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nuwildcat-my.sharepoint.com/personal/bco5763_ads_northwestern_edu/Documents/_FromNUBox/Dunand Research/Machine Learning/Final ML program/"/>
    </mc:Choice>
  </mc:AlternateContent>
  <xr:revisionPtr revIDLastSave="78" documentId="8_{766B525B-C80B-46B0-BEA4-74EA63C24A73}" xr6:coauthVersionLast="47" xr6:coauthVersionMax="47" xr10:uidLastSave="{B45EFA59-64F5-48A6-9297-73FB987F00F4}"/>
  <bookViews>
    <workbookView xWindow="-108" yWindow="-108" windowWidth="23256" windowHeight="12456" firstSheet="4" activeTab="7" xr2:uid="{097D8FB1-CCE1-41EB-BC1D-D410BDAEA184}"/>
  </bookViews>
  <sheets>
    <sheet name="Comp" sheetId="1" r:id="rId1"/>
    <sheet name="ML-Co-input_lattice misfit" sheetId="2" r:id="rId2"/>
    <sheet name="ML-Co-input_solvus_only" sheetId="3" r:id="rId3"/>
    <sheet name="ML-Co-input_solidus_only" sheetId="4" r:id="rId4"/>
    <sheet name="ML-Co-input_liquidus_only" sheetId="5" r:id="rId5"/>
    <sheet name="ML-Co-input_hardness" sheetId="6" r:id="rId6"/>
    <sheet name="ML-Co-input_YS" sheetId="7" r:id="rId7"/>
    <sheet name="ML-Co-input_FinalProgram" sheetId="9" r:id="rId8"/>
  </sheets>
  <externalReferences>
    <externalReference r:id="rId9"/>
    <externalReference r:id="rId1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9" l="1"/>
  <c r="K2" i="9" s="1"/>
  <c r="J3" i="9"/>
  <c r="K3" i="9" s="1"/>
  <c r="J4" i="9"/>
  <c r="K4" i="9" s="1"/>
  <c r="J5" i="9"/>
  <c r="K5" i="9" s="1"/>
  <c r="J6" i="9"/>
  <c r="K6" i="9" s="1"/>
  <c r="J7" i="9"/>
  <c r="K7" i="9" s="1"/>
  <c r="J8" i="9"/>
  <c r="K8" i="9" s="1"/>
  <c r="J9" i="9"/>
  <c r="K9" i="9" s="1"/>
  <c r="J10" i="9"/>
  <c r="K10" i="9" s="1"/>
  <c r="J11" i="9"/>
  <c r="K11" i="9" s="1"/>
  <c r="J12" i="9"/>
  <c r="K12" i="9" s="1"/>
  <c r="J13" i="9"/>
  <c r="K13" i="9" s="1"/>
  <c r="J14" i="9"/>
  <c r="K14" i="9" s="1"/>
  <c r="J15" i="9"/>
  <c r="K15" i="9" s="1"/>
  <c r="J16" i="9"/>
  <c r="K16" i="9" s="1"/>
  <c r="J17" i="9"/>
  <c r="K17" i="9" s="1"/>
  <c r="J18" i="9"/>
  <c r="K18" i="9" s="1"/>
  <c r="J19" i="9"/>
  <c r="K19" i="9" s="1"/>
  <c r="J20" i="9"/>
  <c r="K20" i="9" s="1"/>
  <c r="J21" i="9"/>
  <c r="K21" i="9" s="1"/>
  <c r="J22" i="9"/>
  <c r="K22" i="9" s="1"/>
  <c r="J23" i="9"/>
  <c r="K23" i="9" s="1"/>
  <c r="J24" i="9"/>
  <c r="K24" i="9" s="1"/>
  <c r="J25" i="9"/>
  <c r="K25" i="9" s="1"/>
  <c r="J26" i="9"/>
  <c r="K26" i="9" s="1"/>
  <c r="J27" i="9"/>
  <c r="K27" i="9" s="1"/>
  <c r="J28" i="9"/>
  <c r="K28" i="9" s="1"/>
  <c r="J29" i="9"/>
  <c r="K29" i="9" s="1"/>
  <c r="J30" i="9"/>
  <c r="K30" i="9" s="1"/>
  <c r="J31" i="9"/>
  <c r="K31" i="9" s="1"/>
  <c r="J32" i="9"/>
  <c r="K32" i="9" s="1"/>
  <c r="J33" i="9"/>
  <c r="K33" i="9" s="1"/>
  <c r="J34" i="9"/>
  <c r="K34" i="9" s="1"/>
  <c r="J35" i="9"/>
  <c r="K35" i="9" s="1"/>
  <c r="J36" i="9"/>
  <c r="K36" i="9" s="1"/>
  <c r="J37" i="9"/>
  <c r="K37" i="9" s="1"/>
  <c r="J38" i="9"/>
  <c r="K38" i="9" s="1"/>
  <c r="J39" i="9"/>
  <c r="K39" i="9" s="1"/>
  <c r="J40" i="9"/>
  <c r="K40" i="9" s="1"/>
  <c r="J41" i="9"/>
  <c r="K41" i="9" s="1"/>
  <c r="J42" i="9"/>
  <c r="K42" i="9" s="1"/>
  <c r="J43" i="9"/>
  <c r="K43" i="9" s="1"/>
  <c r="J44" i="9"/>
  <c r="K44" i="9" s="1"/>
  <c r="J45" i="9"/>
  <c r="K45" i="9" s="1"/>
  <c r="J46" i="9"/>
  <c r="K46" i="9" s="1"/>
  <c r="J47" i="9"/>
  <c r="K47" i="9" s="1"/>
  <c r="J48" i="9"/>
  <c r="K48" i="9" s="1"/>
  <c r="J49" i="9"/>
  <c r="K49" i="9" s="1"/>
  <c r="J50" i="9"/>
  <c r="K50" i="9" s="1"/>
  <c r="J51" i="9"/>
  <c r="K51" i="9" s="1"/>
  <c r="J52" i="9"/>
  <c r="K52" i="9" s="1"/>
  <c r="J53" i="9"/>
  <c r="K53" i="9" s="1"/>
  <c r="J54" i="9"/>
  <c r="K54" i="9" s="1"/>
  <c r="J55" i="9"/>
  <c r="K55" i="9" s="1"/>
  <c r="J56" i="9"/>
  <c r="K56" i="9" s="1"/>
  <c r="J57" i="9"/>
  <c r="K57" i="9" s="1"/>
  <c r="J58" i="9"/>
  <c r="K58" i="9" s="1"/>
  <c r="J59" i="9"/>
  <c r="K59" i="9" s="1"/>
  <c r="J60" i="9"/>
  <c r="K60" i="9" s="1"/>
  <c r="J61" i="9"/>
  <c r="K61" i="9" s="1"/>
  <c r="J62" i="9"/>
  <c r="K62" i="9" s="1"/>
  <c r="J63" i="9"/>
  <c r="K63" i="9" s="1"/>
  <c r="J64" i="9"/>
  <c r="K64" i="9" s="1"/>
  <c r="J65" i="9"/>
  <c r="K65" i="9" s="1"/>
  <c r="J66" i="9"/>
  <c r="K66" i="9" s="1"/>
  <c r="J67" i="9"/>
  <c r="K67" i="9" s="1"/>
  <c r="J68" i="9"/>
  <c r="K68" i="9" s="1"/>
  <c r="J69" i="9"/>
  <c r="K69" i="9" s="1"/>
  <c r="J70" i="9"/>
  <c r="K70" i="9" s="1"/>
  <c r="J71" i="9"/>
  <c r="K71" i="9" s="1"/>
  <c r="J72" i="9"/>
  <c r="K72" i="9" s="1"/>
  <c r="J73" i="9"/>
  <c r="K73" i="9" s="1"/>
  <c r="J74" i="9"/>
  <c r="K74" i="9" s="1"/>
  <c r="J75" i="9"/>
  <c r="K75" i="9" s="1"/>
  <c r="J76" i="9"/>
  <c r="K76" i="9" s="1"/>
  <c r="J77" i="9"/>
  <c r="K77" i="9" s="1"/>
  <c r="J78" i="9"/>
  <c r="K78" i="9" s="1"/>
  <c r="J79" i="9"/>
  <c r="K79" i="9" s="1"/>
  <c r="J80" i="9"/>
  <c r="K80" i="9" s="1"/>
  <c r="J81" i="9"/>
  <c r="K81" i="9" s="1"/>
  <c r="J82" i="9"/>
  <c r="K82" i="9" s="1"/>
  <c r="J83" i="9"/>
  <c r="K83" i="9" s="1"/>
  <c r="J84" i="9"/>
  <c r="K84" i="9" s="1"/>
  <c r="J85" i="9"/>
  <c r="K85" i="9" s="1"/>
  <c r="J86" i="9"/>
  <c r="K86" i="9" s="1"/>
  <c r="J87" i="9"/>
  <c r="K87" i="9" s="1"/>
  <c r="J88" i="9"/>
  <c r="K88" i="9" s="1"/>
  <c r="J89" i="9"/>
  <c r="K89" i="9" s="1"/>
  <c r="J90" i="9"/>
  <c r="K90" i="9" s="1"/>
  <c r="J91" i="9"/>
  <c r="K91" i="9" s="1"/>
  <c r="J92" i="9"/>
  <c r="K92" i="9" s="1"/>
  <c r="J93" i="9"/>
  <c r="K93" i="9" s="1"/>
  <c r="J94" i="9"/>
  <c r="K94" i="9" s="1"/>
  <c r="J95" i="9"/>
  <c r="K95" i="9" s="1"/>
  <c r="J96" i="9"/>
  <c r="K96" i="9" s="1"/>
  <c r="J97" i="9"/>
  <c r="K97" i="9" s="1"/>
  <c r="J98" i="9"/>
  <c r="K98" i="9" s="1"/>
  <c r="J99" i="9"/>
  <c r="K99" i="9" s="1"/>
  <c r="J100" i="9"/>
  <c r="K100" i="9" s="1"/>
  <c r="J101" i="9"/>
  <c r="K101" i="9" s="1"/>
  <c r="J102" i="9"/>
  <c r="K102" i="9" s="1"/>
  <c r="J103" i="9"/>
  <c r="K103" i="9" s="1"/>
  <c r="J104" i="9"/>
  <c r="K104" i="9" s="1"/>
  <c r="J105" i="9"/>
  <c r="K105" i="9" s="1"/>
  <c r="J106" i="9"/>
  <c r="K106" i="9" s="1"/>
  <c r="J107" i="9"/>
  <c r="K107" i="9" s="1"/>
  <c r="J108" i="9"/>
  <c r="K108" i="9" s="1"/>
  <c r="J109" i="9"/>
  <c r="K109" i="9" s="1"/>
  <c r="J110" i="9"/>
  <c r="K110" i="9" s="1"/>
  <c r="J111" i="9"/>
  <c r="K111" i="9" s="1"/>
  <c r="J112" i="9"/>
  <c r="K112" i="9" s="1"/>
  <c r="J113" i="9"/>
  <c r="K113" i="9" s="1"/>
  <c r="J114" i="9"/>
  <c r="K114" i="9" s="1"/>
  <c r="J115" i="9"/>
  <c r="K115" i="9" s="1"/>
  <c r="J116" i="9"/>
  <c r="K116" i="9" s="1"/>
  <c r="J117" i="9"/>
  <c r="K117" i="9" s="1"/>
  <c r="J118" i="9"/>
  <c r="K118" i="9" s="1"/>
  <c r="J119" i="9"/>
  <c r="K119" i="9" s="1"/>
  <c r="J120" i="9"/>
  <c r="K120" i="9" s="1"/>
  <c r="J121" i="9"/>
  <c r="K121" i="9" s="1"/>
  <c r="J122" i="9"/>
  <c r="K122" i="9" s="1"/>
  <c r="J123" i="9"/>
  <c r="K123" i="9" s="1"/>
  <c r="J124" i="9"/>
  <c r="K124" i="9" s="1"/>
  <c r="J125" i="9"/>
  <c r="K125" i="9" s="1"/>
  <c r="J126" i="9"/>
  <c r="K126" i="9" s="1"/>
  <c r="J127" i="9"/>
  <c r="K127" i="9" s="1"/>
  <c r="J128" i="9"/>
  <c r="K128" i="9" s="1"/>
  <c r="J129" i="9"/>
  <c r="K129" i="9" s="1"/>
  <c r="J130" i="9"/>
  <c r="K130" i="9" s="1"/>
  <c r="J131" i="9"/>
  <c r="K131" i="9" s="1"/>
  <c r="J132" i="9"/>
  <c r="K132" i="9" s="1"/>
  <c r="J133" i="9"/>
  <c r="K133" i="9" s="1"/>
  <c r="J134" i="9"/>
  <c r="K134" i="9" s="1"/>
  <c r="J135" i="9"/>
  <c r="K135" i="9" s="1"/>
  <c r="J136" i="9"/>
  <c r="K136" i="9" s="1"/>
  <c r="J137" i="9"/>
  <c r="K137" i="9" s="1"/>
  <c r="J138" i="9"/>
  <c r="K138" i="9" s="1"/>
  <c r="J139" i="9"/>
  <c r="K139" i="9" s="1"/>
  <c r="J140" i="9"/>
  <c r="K140" i="9" s="1"/>
  <c r="J141" i="9"/>
  <c r="K141" i="9" s="1"/>
  <c r="J142" i="9"/>
  <c r="K142" i="9" s="1"/>
  <c r="J143" i="9"/>
  <c r="K143" i="9" s="1"/>
  <c r="J144" i="9"/>
  <c r="K144" i="9" s="1"/>
  <c r="J145" i="9"/>
  <c r="K145" i="9" s="1"/>
  <c r="J146" i="9"/>
  <c r="K146" i="9" s="1"/>
  <c r="J147" i="9"/>
  <c r="K147" i="9" s="1"/>
  <c r="J148" i="9"/>
  <c r="K148" i="9" s="1"/>
  <c r="J149" i="9"/>
  <c r="K149" i="9" s="1"/>
  <c r="J150" i="9"/>
  <c r="K150" i="9" s="1"/>
  <c r="J151" i="9"/>
  <c r="K151" i="9" s="1"/>
  <c r="J152" i="9"/>
  <c r="K152" i="9" s="1"/>
  <c r="J153" i="9"/>
  <c r="K153" i="9" s="1"/>
  <c r="J154" i="9"/>
  <c r="K154" i="9" s="1"/>
  <c r="J155" i="9"/>
  <c r="K155" i="9" s="1"/>
  <c r="J156" i="9"/>
  <c r="K156" i="9" s="1"/>
  <c r="J157" i="9"/>
  <c r="K157" i="9" s="1"/>
  <c r="J158" i="9"/>
  <c r="K158" i="9" s="1"/>
  <c r="J159" i="9"/>
  <c r="K159" i="9" s="1"/>
  <c r="J160" i="9"/>
  <c r="K160" i="9" s="1"/>
  <c r="J161" i="9"/>
  <c r="K161" i="9" s="1"/>
  <c r="J162" i="9"/>
  <c r="K162" i="9" s="1"/>
  <c r="J163" i="9"/>
  <c r="K163" i="9" s="1"/>
  <c r="J164" i="9"/>
  <c r="K164" i="9" s="1"/>
  <c r="J165" i="9"/>
  <c r="K165" i="9" s="1"/>
  <c r="J166" i="9"/>
  <c r="K166" i="9" s="1"/>
  <c r="J167" i="9"/>
  <c r="K167" i="9" s="1"/>
  <c r="J168" i="9"/>
  <c r="K168" i="9" s="1"/>
  <c r="J169" i="9"/>
  <c r="K169" i="9" s="1"/>
  <c r="J170" i="9"/>
  <c r="K170" i="9" s="1"/>
  <c r="J171" i="9"/>
  <c r="K171" i="9" s="1"/>
  <c r="J172" i="9"/>
  <c r="K172" i="9" s="1"/>
  <c r="J173" i="9"/>
  <c r="K173" i="9" s="1"/>
  <c r="J174" i="9"/>
  <c r="K174" i="9" s="1"/>
  <c r="J175" i="9"/>
  <c r="K175" i="9" s="1"/>
  <c r="J176" i="9"/>
  <c r="K176" i="9" s="1"/>
  <c r="J177" i="9"/>
  <c r="K177" i="9" s="1"/>
  <c r="J178" i="9"/>
  <c r="K178" i="9" s="1"/>
  <c r="J179" i="9"/>
  <c r="K179" i="9" s="1"/>
  <c r="J180" i="9"/>
  <c r="K180" i="9" s="1"/>
  <c r="J181" i="9"/>
  <c r="K181" i="9" s="1"/>
  <c r="J182" i="9"/>
  <c r="K182" i="9" s="1"/>
  <c r="J183" i="9"/>
  <c r="K183" i="9" s="1"/>
  <c r="J184" i="9"/>
  <c r="K184" i="9" s="1"/>
  <c r="J185" i="9"/>
  <c r="K185" i="9" s="1"/>
  <c r="J186" i="9"/>
  <c r="K186" i="9" s="1"/>
  <c r="J187" i="9"/>
  <c r="K187" i="9" s="1"/>
  <c r="J188" i="9"/>
  <c r="K188" i="9" s="1"/>
  <c r="J189" i="9"/>
  <c r="K189" i="9" s="1"/>
  <c r="J190" i="9"/>
  <c r="K190" i="9" s="1"/>
  <c r="J191" i="9"/>
  <c r="K191" i="9" s="1"/>
  <c r="J192" i="9"/>
  <c r="K192" i="9" s="1"/>
  <c r="J193" i="9"/>
  <c r="K193" i="9" s="1"/>
  <c r="J194" i="9"/>
  <c r="K194" i="9" s="1"/>
  <c r="J195" i="9"/>
  <c r="K195" i="9" s="1"/>
  <c r="J196" i="9"/>
  <c r="K196" i="9" s="1"/>
  <c r="J197" i="9"/>
  <c r="K197" i="9" s="1"/>
  <c r="J198" i="9"/>
  <c r="K198" i="9" s="1"/>
  <c r="J199" i="9"/>
  <c r="K199" i="9" s="1"/>
  <c r="J200" i="9"/>
  <c r="K200" i="9" s="1"/>
  <c r="J201" i="9"/>
  <c r="K201" i="9" s="1"/>
  <c r="J202" i="9"/>
  <c r="K202" i="9" s="1"/>
  <c r="J203" i="9"/>
  <c r="K203" i="9" s="1"/>
  <c r="J204" i="9"/>
  <c r="K204" i="9" s="1"/>
  <c r="J205" i="9"/>
  <c r="K205" i="9" s="1"/>
  <c r="J206" i="9"/>
  <c r="K206" i="9" s="1"/>
  <c r="J207" i="9"/>
  <c r="K207" i="9" s="1"/>
  <c r="J208" i="9"/>
  <c r="K208" i="9" s="1"/>
  <c r="J209" i="9"/>
  <c r="K209" i="9" s="1"/>
  <c r="J210" i="9"/>
  <c r="K210" i="9" s="1"/>
  <c r="J211" i="9"/>
  <c r="K211" i="9" s="1"/>
  <c r="J212" i="9"/>
  <c r="K212" i="9" s="1"/>
  <c r="J213" i="9"/>
  <c r="K213" i="9" s="1"/>
  <c r="J214" i="9"/>
  <c r="K214" i="9" s="1"/>
  <c r="J215" i="9"/>
  <c r="K215" i="9" s="1"/>
  <c r="J216" i="9"/>
  <c r="K216" i="9" s="1"/>
  <c r="J217" i="9"/>
  <c r="K217" i="9" s="1"/>
  <c r="J218" i="9"/>
  <c r="K218" i="9" s="1"/>
  <c r="J219" i="9"/>
  <c r="K219" i="9" s="1"/>
  <c r="J220" i="9"/>
  <c r="K220" i="9" s="1"/>
  <c r="J221" i="9"/>
  <c r="K221" i="9" s="1"/>
  <c r="J222" i="9"/>
  <c r="K222" i="9" s="1"/>
  <c r="J223" i="9"/>
  <c r="K223" i="9" s="1"/>
  <c r="J224" i="9"/>
  <c r="K224" i="9" s="1"/>
  <c r="J225" i="9"/>
  <c r="K225" i="9" s="1"/>
  <c r="J226" i="9"/>
  <c r="K226" i="9" s="1"/>
  <c r="J227" i="9"/>
  <c r="K227" i="9" s="1"/>
  <c r="J228" i="9"/>
  <c r="K228" i="9" s="1"/>
  <c r="J229" i="9"/>
  <c r="K229" i="9" s="1"/>
  <c r="J230" i="9"/>
  <c r="K230" i="9" s="1"/>
  <c r="J231" i="9"/>
  <c r="K231" i="9" s="1"/>
  <c r="J232" i="9"/>
  <c r="K232" i="9" s="1"/>
  <c r="J233" i="9"/>
  <c r="K233" i="9" s="1"/>
  <c r="J234" i="9"/>
  <c r="K234" i="9" s="1"/>
  <c r="J235" i="9"/>
  <c r="K235" i="9" s="1"/>
  <c r="J236" i="9"/>
  <c r="K236" i="9" s="1"/>
  <c r="J237" i="9"/>
  <c r="K237" i="9" s="1"/>
  <c r="J238" i="9"/>
  <c r="K238" i="9" s="1"/>
  <c r="J239" i="9"/>
  <c r="K239" i="9" s="1"/>
  <c r="J240" i="9"/>
  <c r="K240" i="9" s="1"/>
  <c r="J241" i="9"/>
  <c r="K241" i="9" s="1"/>
  <c r="J242" i="9"/>
  <c r="K242" i="9" s="1"/>
  <c r="J243" i="9"/>
  <c r="K243" i="9" s="1"/>
  <c r="J244" i="9"/>
  <c r="K244" i="9" s="1"/>
  <c r="J245" i="9"/>
  <c r="K245" i="9" s="1"/>
  <c r="J246" i="9"/>
  <c r="K246" i="9" s="1"/>
  <c r="J247" i="9"/>
  <c r="K247" i="9" s="1"/>
  <c r="J248" i="9"/>
  <c r="K248" i="9" s="1"/>
  <c r="J249" i="9"/>
  <c r="K249" i="9" s="1"/>
  <c r="J250" i="9"/>
  <c r="K250" i="9" s="1"/>
  <c r="J251" i="9"/>
  <c r="K251" i="9" s="1"/>
  <c r="J252" i="9"/>
  <c r="K252" i="9" s="1"/>
  <c r="J253" i="9"/>
  <c r="K253" i="9" s="1"/>
  <c r="J254" i="9"/>
  <c r="K254" i="9" s="1"/>
  <c r="J255" i="9"/>
  <c r="K255" i="9" s="1"/>
  <c r="J256" i="9"/>
  <c r="K256" i="9" s="1"/>
  <c r="J257" i="9"/>
  <c r="K257" i="9" s="1"/>
  <c r="J258" i="9"/>
  <c r="K258" i="9" s="1"/>
  <c r="J259" i="9"/>
  <c r="K259" i="9" s="1"/>
  <c r="J260" i="9"/>
  <c r="K260" i="9" s="1"/>
  <c r="J261" i="9"/>
  <c r="K261" i="9" s="1"/>
  <c r="J262" i="9"/>
  <c r="K262" i="9" s="1"/>
  <c r="J263" i="9"/>
  <c r="K263" i="9" s="1"/>
  <c r="J264" i="9"/>
  <c r="K264" i="9" s="1"/>
  <c r="J265" i="9"/>
  <c r="K265" i="9" s="1"/>
  <c r="J266" i="9"/>
  <c r="K266" i="9" s="1"/>
  <c r="J267" i="9"/>
  <c r="K267" i="9" s="1"/>
  <c r="J268" i="9"/>
  <c r="K268" i="9" s="1"/>
  <c r="J269" i="9"/>
  <c r="K269" i="9" s="1"/>
  <c r="J270" i="9"/>
  <c r="K270" i="9" s="1"/>
  <c r="J271" i="9"/>
  <c r="K271" i="9" s="1"/>
  <c r="J272" i="9"/>
  <c r="K272" i="9" s="1"/>
  <c r="J273" i="9"/>
  <c r="K273" i="9" s="1"/>
  <c r="J274" i="9"/>
  <c r="K274" i="9" s="1"/>
  <c r="J275" i="9"/>
  <c r="K275" i="9" s="1"/>
  <c r="J276" i="9"/>
  <c r="K276" i="9" s="1"/>
  <c r="J277" i="9"/>
  <c r="K277" i="9" s="1"/>
  <c r="J278" i="9"/>
  <c r="K278" i="9" s="1"/>
  <c r="J279" i="9"/>
  <c r="K279" i="9" s="1"/>
  <c r="J280" i="9"/>
  <c r="K280" i="9" s="1"/>
  <c r="J281" i="9"/>
  <c r="K281" i="9" s="1"/>
  <c r="J282" i="9"/>
  <c r="K282" i="9" s="1"/>
  <c r="J283" i="9"/>
  <c r="K283" i="9" s="1"/>
  <c r="J284" i="9"/>
  <c r="K284" i="9" s="1"/>
  <c r="J285" i="9"/>
  <c r="K285" i="9" s="1"/>
  <c r="J286" i="9"/>
  <c r="K286" i="9" s="1"/>
  <c r="J287" i="9"/>
  <c r="K287" i="9" s="1"/>
  <c r="J288" i="9"/>
  <c r="K288" i="9" s="1"/>
  <c r="J289" i="9"/>
  <c r="K289" i="9" s="1"/>
  <c r="J290" i="9"/>
  <c r="K290" i="9" s="1"/>
  <c r="J291" i="9"/>
  <c r="K291" i="9" s="1"/>
  <c r="J292" i="9"/>
  <c r="K292" i="9" s="1"/>
  <c r="J293" i="9"/>
  <c r="K293" i="9" s="1"/>
  <c r="J294" i="9"/>
  <c r="K294" i="9" s="1"/>
  <c r="J295" i="9"/>
  <c r="K295" i="9" s="1"/>
  <c r="J296" i="9"/>
  <c r="K296" i="9" s="1"/>
  <c r="J297" i="9"/>
  <c r="K297" i="9" s="1"/>
  <c r="J298" i="9"/>
  <c r="K298" i="9" s="1"/>
  <c r="J299" i="9"/>
  <c r="K299" i="9" s="1"/>
  <c r="J300" i="9"/>
  <c r="K300" i="9" s="1"/>
  <c r="J301" i="9"/>
  <c r="K301" i="9" s="1"/>
  <c r="J302" i="9"/>
  <c r="K302" i="9" s="1"/>
  <c r="J303" i="9"/>
  <c r="K303" i="9" s="1"/>
  <c r="J304" i="9"/>
  <c r="K304" i="9" s="1"/>
  <c r="J305" i="9"/>
  <c r="K305" i="9" s="1"/>
  <c r="J306" i="9"/>
  <c r="K306" i="9" s="1"/>
  <c r="J307" i="9"/>
  <c r="K307" i="9" s="1"/>
  <c r="J308" i="9"/>
  <c r="K308" i="9" s="1"/>
  <c r="J309" i="9"/>
  <c r="K309" i="9" s="1"/>
  <c r="J310" i="9"/>
  <c r="K310" i="9" s="1"/>
  <c r="J311" i="9"/>
  <c r="K311" i="9" s="1"/>
  <c r="J312" i="9"/>
  <c r="K312" i="9" s="1"/>
  <c r="J313" i="9"/>
  <c r="K313" i="9" s="1"/>
  <c r="J314" i="9"/>
  <c r="K314" i="9" s="1"/>
  <c r="J315" i="9"/>
  <c r="K315" i="9" s="1"/>
  <c r="J316" i="9"/>
  <c r="K316" i="9" s="1"/>
  <c r="J317" i="9"/>
  <c r="K317" i="9" s="1"/>
  <c r="J318" i="9"/>
  <c r="K318" i="9" s="1"/>
  <c r="J319" i="9"/>
  <c r="K319" i="9" s="1"/>
  <c r="J320" i="9"/>
  <c r="K320" i="9" s="1"/>
  <c r="J321" i="9"/>
  <c r="K321" i="9" s="1"/>
  <c r="J322" i="9"/>
  <c r="K322" i="9" s="1"/>
  <c r="J323" i="9"/>
  <c r="K323" i="9" s="1"/>
  <c r="J324" i="9"/>
  <c r="K324" i="9" s="1"/>
  <c r="J325" i="9"/>
  <c r="K325" i="9" s="1"/>
  <c r="J326" i="9"/>
  <c r="K326" i="9" s="1"/>
  <c r="J327" i="9"/>
  <c r="K327" i="9" s="1"/>
  <c r="J328" i="9"/>
  <c r="K328" i="9" s="1"/>
  <c r="J329" i="9"/>
  <c r="K329" i="9" s="1"/>
  <c r="J330" i="9"/>
  <c r="K330" i="9" s="1"/>
  <c r="J331" i="9"/>
  <c r="K331" i="9" s="1"/>
  <c r="J332" i="9"/>
  <c r="K332" i="9" s="1"/>
  <c r="J333" i="9"/>
  <c r="K333" i="9" s="1"/>
  <c r="J334" i="9"/>
  <c r="K334" i="9" s="1"/>
  <c r="J335" i="9"/>
  <c r="K335" i="9" s="1"/>
  <c r="J336" i="9"/>
  <c r="K336" i="9" s="1"/>
  <c r="J337" i="9"/>
  <c r="K337" i="9" s="1"/>
  <c r="J338" i="9"/>
  <c r="K338" i="9" s="1"/>
  <c r="J339" i="9"/>
  <c r="K339" i="9" s="1"/>
  <c r="J340" i="9"/>
  <c r="K340" i="9" s="1"/>
  <c r="J341" i="9"/>
  <c r="K341" i="9" s="1"/>
  <c r="J342" i="9"/>
  <c r="K342" i="9" s="1"/>
  <c r="J343" i="9"/>
  <c r="K343" i="9" s="1"/>
  <c r="J344" i="9"/>
  <c r="K344" i="9" s="1"/>
  <c r="J345" i="9"/>
  <c r="K345" i="9" s="1"/>
  <c r="J346" i="9"/>
  <c r="K346" i="9" s="1"/>
  <c r="J347" i="9"/>
  <c r="K347" i="9" s="1"/>
  <c r="J348" i="9"/>
  <c r="K348" i="9" s="1"/>
  <c r="J349" i="9"/>
  <c r="K349" i="9" s="1"/>
  <c r="J350" i="9"/>
  <c r="K350" i="9" s="1"/>
  <c r="J351" i="9"/>
  <c r="K351" i="9" s="1"/>
  <c r="J352" i="9"/>
  <c r="K352" i="9" s="1"/>
  <c r="J353" i="9"/>
  <c r="K353" i="9" s="1"/>
  <c r="J354" i="9"/>
  <c r="K354" i="9" s="1"/>
  <c r="J355" i="9"/>
  <c r="K355" i="9" s="1"/>
  <c r="J356" i="9"/>
  <c r="K356" i="9" s="1"/>
  <c r="J357" i="9"/>
  <c r="K357" i="9" s="1"/>
  <c r="J358" i="9"/>
  <c r="K358" i="9" s="1"/>
  <c r="J359" i="9"/>
  <c r="K359" i="9" s="1"/>
  <c r="J360" i="9"/>
  <c r="K360" i="9" s="1"/>
  <c r="J361" i="9"/>
  <c r="K361" i="9" s="1"/>
  <c r="J362" i="9"/>
  <c r="K362" i="9" s="1"/>
  <c r="J363" i="9"/>
  <c r="K363" i="9" s="1"/>
  <c r="J364" i="9"/>
  <c r="K364" i="9" s="1"/>
  <c r="J365" i="9"/>
  <c r="K365" i="9" s="1"/>
  <c r="J366" i="9"/>
  <c r="K366" i="9" s="1"/>
  <c r="J367" i="9"/>
  <c r="K367" i="9" s="1"/>
  <c r="J368" i="9"/>
  <c r="K368" i="9" s="1"/>
  <c r="J369" i="9"/>
  <c r="K369" i="9" s="1"/>
  <c r="J370" i="9"/>
  <c r="K370" i="9" s="1"/>
  <c r="J371" i="9"/>
  <c r="K371" i="9" s="1"/>
  <c r="J372" i="9"/>
  <c r="K372" i="9" s="1"/>
  <c r="J373" i="9"/>
  <c r="K373" i="9" s="1"/>
  <c r="J374" i="9"/>
  <c r="K374" i="9" s="1"/>
  <c r="J375" i="9"/>
  <c r="K375" i="9" s="1"/>
  <c r="J376" i="9"/>
  <c r="K376" i="9" s="1"/>
  <c r="J377" i="9"/>
  <c r="K377" i="9" s="1"/>
  <c r="J378" i="9"/>
  <c r="K378" i="9" s="1"/>
  <c r="J379" i="9"/>
  <c r="K379" i="9" s="1"/>
  <c r="J380" i="9"/>
  <c r="K380" i="9" s="1"/>
  <c r="J381" i="9"/>
  <c r="K381" i="9" s="1"/>
  <c r="J382" i="9"/>
  <c r="K382" i="9" s="1"/>
  <c r="J383" i="9"/>
  <c r="K383" i="9" s="1"/>
  <c r="J384" i="9"/>
  <c r="K384" i="9" s="1"/>
  <c r="J385" i="9"/>
  <c r="K385" i="9" s="1"/>
  <c r="J386" i="9"/>
  <c r="K386" i="9" s="1"/>
  <c r="J387" i="9"/>
  <c r="K387" i="9" s="1"/>
  <c r="J388" i="9"/>
  <c r="K388" i="9" s="1"/>
  <c r="J389" i="9"/>
  <c r="K389" i="9" s="1"/>
  <c r="J390" i="9"/>
  <c r="K390" i="9" s="1"/>
  <c r="J391" i="9"/>
  <c r="K391" i="9" s="1"/>
  <c r="J392" i="9"/>
  <c r="K392" i="9" s="1"/>
  <c r="J393" i="9"/>
  <c r="K393" i="9" s="1"/>
  <c r="J394" i="9"/>
  <c r="K394" i="9" s="1"/>
  <c r="J395" i="9"/>
  <c r="K395" i="9" s="1"/>
  <c r="J396" i="9"/>
  <c r="K396" i="9" s="1"/>
  <c r="J397" i="9"/>
  <c r="K397" i="9" s="1"/>
  <c r="J398" i="9"/>
  <c r="K398" i="9" s="1"/>
  <c r="J399" i="9"/>
  <c r="K399" i="9" s="1"/>
  <c r="J400" i="9"/>
  <c r="K400" i="9" s="1"/>
  <c r="J401" i="9"/>
  <c r="K401" i="9" s="1"/>
  <c r="J402" i="9"/>
  <c r="K402" i="9" s="1"/>
  <c r="J403" i="9"/>
  <c r="K403" i="9" s="1"/>
  <c r="J404" i="9"/>
  <c r="K404" i="9" s="1"/>
  <c r="J405" i="9"/>
  <c r="K405" i="9" s="1"/>
  <c r="J406" i="9"/>
  <c r="K406" i="9" s="1"/>
  <c r="J407" i="9"/>
  <c r="K407" i="9" s="1"/>
  <c r="J408" i="9"/>
  <c r="K408" i="9" s="1"/>
  <c r="J409" i="9"/>
  <c r="K409" i="9" s="1"/>
  <c r="J410" i="9"/>
  <c r="K410" i="9" s="1"/>
  <c r="J411" i="9"/>
  <c r="K411" i="9" s="1"/>
  <c r="J412" i="9"/>
  <c r="K412" i="9" s="1"/>
  <c r="J413" i="9"/>
  <c r="K413" i="9" s="1"/>
  <c r="J414" i="9"/>
  <c r="K414" i="9" s="1"/>
  <c r="J415" i="9"/>
  <c r="K415" i="9" s="1"/>
  <c r="J416" i="9"/>
  <c r="K416" i="9" s="1"/>
  <c r="J417" i="9"/>
  <c r="K417" i="9" s="1"/>
  <c r="J418" i="9"/>
  <c r="K418" i="9" s="1"/>
  <c r="J419" i="9"/>
  <c r="K419" i="9" s="1"/>
  <c r="J420" i="9"/>
  <c r="K420" i="9" s="1"/>
  <c r="J421" i="9"/>
  <c r="K421" i="9" s="1"/>
  <c r="J422" i="9"/>
  <c r="K422" i="9" s="1"/>
  <c r="J423" i="9"/>
  <c r="K423" i="9" s="1"/>
  <c r="J424" i="9"/>
  <c r="K424" i="9" s="1"/>
  <c r="J425" i="9"/>
  <c r="K425" i="9" s="1"/>
  <c r="J426" i="9"/>
  <c r="K426" i="9" s="1"/>
  <c r="J427" i="9"/>
  <c r="K427" i="9" s="1"/>
  <c r="J428" i="9"/>
  <c r="K428" i="9" s="1"/>
  <c r="J429" i="9"/>
  <c r="K429" i="9" s="1"/>
  <c r="J430" i="9"/>
  <c r="K430" i="9" s="1"/>
  <c r="J431" i="9"/>
  <c r="K431" i="9" s="1"/>
  <c r="J432" i="9"/>
  <c r="K432" i="9" s="1"/>
  <c r="J433" i="9"/>
  <c r="K433" i="9" s="1"/>
  <c r="J434" i="9"/>
  <c r="K434" i="9" s="1"/>
  <c r="J435" i="9"/>
  <c r="K435" i="9" s="1"/>
  <c r="J436" i="9"/>
  <c r="K436" i="9" s="1"/>
  <c r="J437" i="9"/>
  <c r="K437" i="9" s="1"/>
  <c r="J438" i="9"/>
  <c r="K438" i="9" s="1"/>
  <c r="J439" i="9"/>
  <c r="K439" i="9" s="1"/>
  <c r="J440" i="9"/>
  <c r="K440" i="9" s="1"/>
  <c r="J441" i="9"/>
  <c r="K441" i="9" s="1"/>
  <c r="J442" i="9"/>
  <c r="K442" i="9" s="1"/>
  <c r="J443" i="9"/>
  <c r="K443" i="9" s="1"/>
  <c r="J444" i="9"/>
  <c r="K444" i="9" s="1"/>
  <c r="J445" i="9"/>
  <c r="K445" i="9" s="1"/>
  <c r="J446" i="9"/>
  <c r="K446" i="9" s="1"/>
  <c r="J447" i="9"/>
  <c r="K447" i="9" s="1"/>
  <c r="J448" i="9"/>
  <c r="K448" i="9" s="1"/>
  <c r="J449" i="9"/>
  <c r="K449" i="9" s="1"/>
  <c r="J450" i="9"/>
  <c r="K450" i="9" s="1"/>
  <c r="J451" i="9"/>
  <c r="K451" i="9" s="1"/>
  <c r="J452" i="9"/>
  <c r="K452" i="9" s="1"/>
  <c r="J453" i="9"/>
  <c r="K453" i="9" s="1"/>
  <c r="J454" i="9"/>
  <c r="K454" i="9" s="1"/>
  <c r="J455" i="9"/>
  <c r="K455" i="9" s="1"/>
  <c r="J456" i="9"/>
  <c r="K456" i="9" s="1"/>
  <c r="J457" i="9"/>
  <c r="K457" i="9" s="1"/>
  <c r="J458" i="9"/>
  <c r="K458" i="9" s="1"/>
  <c r="J459" i="9"/>
  <c r="K459" i="9" s="1"/>
  <c r="J460" i="9"/>
  <c r="K460" i="9" s="1"/>
  <c r="J461" i="9"/>
  <c r="K461" i="9" s="1"/>
  <c r="J462" i="9"/>
  <c r="K462" i="9" s="1"/>
  <c r="J463" i="9"/>
  <c r="K463" i="9" s="1"/>
  <c r="J464" i="9"/>
  <c r="K464" i="9" s="1"/>
  <c r="J465" i="9"/>
  <c r="K465" i="9" s="1"/>
  <c r="J466" i="9"/>
  <c r="K466" i="9" s="1"/>
  <c r="J467" i="9"/>
  <c r="K467" i="9" s="1"/>
  <c r="J468" i="9"/>
  <c r="K468" i="9" s="1"/>
  <c r="J469" i="9"/>
  <c r="K469" i="9" s="1"/>
  <c r="J470" i="9"/>
  <c r="K470" i="9" s="1"/>
  <c r="J471" i="9"/>
  <c r="K471" i="9" s="1"/>
  <c r="J472" i="9"/>
  <c r="K472" i="9" s="1"/>
  <c r="J473" i="9"/>
  <c r="K473" i="9" s="1"/>
  <c r="J474" i="9"/>
  <c r="K474" i="9" s="1"/>
  <c r="J475" i="9"/>
  <c r="K475" i="9" s="1"/>
  <c r="J476" i="9"/>
  <c r="K476" i="9" s="1"/>
  <c r="J477" i="9"/>
  <c r="K477" i="9" s="1"/>
  <c r="J478" i="9"/>
  <c r="K478" i="9" s="1"/>
  <c r="J479" i="9"/>
  <c r="K479" i="9" s="1"/>
  <c r="J480" i="9"/>
  <c r="K480" i="9" s="1"/>
  <c r="J481" i="9"/>
  <c r="K481" i="9" s="1"/>
  <c r="J482" i="9"/>
  <c r="K482" i="9" s="1"/>
  <c r="J483" i="9"/>
  <c r="K483" i="9" s="1"/>
  <c r="J484" i="9"/>
  <c r="K484" i="9" s="1"/>
  <c r="J485" i="9"/>
  <c r="K485" i="9" s="1"/>
  <c r="J486" i="9"/>
  <c r="K486" i="9" s="1"/>
  <c r="J487" i="9"/>
  <c r="K487" i="9" s="1"/>
  <c r="J488" i="9"/>
  <c r="K488" i="9" s="1"/>
  <c r="J489" i="9"/>
  <c r="K489" i="9" s="1"/>
  <c r="J490" i="9"/>
  <c r="K490" i="9" s="1"/>
  <c r="J491" i="9"/>
  <c r="K491" i="9" s="1"/>
  <c r="J492" i="9"/>
  <c r="K492" i="9" s="1"/>
  <c r="J493" i="9"/>
  <c r="K493" i="9" s="1"/>
  <c r="J494" i="9"/>
  <c r="K494" i="9" s="1"/>
  <c r="J495" i="9"/>
  <c r="K495" i="9" s="1"/>
  <c r="J496" i="9"/>
  <c r="K496" i="9" s="1"/>
  <c r="J497" i="9"/>
  <c r="K497" i="9" s="1"/>
  <c r="J498" i="9"/>
  <c r="K498" i="9" s="1"/>
  <c r="J499" i="9"/>
  <c r="K499" i="9" s="1"/>
  <c r="J500" i="9"/>
  <c r="K500" i="9" s="1"/>
  <c r="J501" i="9"/>
  <c r="K501" i="9" s="1"/>
  <c r="J502" i="9"/>
  <c r="K502" i="9" s="1"/>
  <c r="J503" i="9"/>
  <c r="K503" i="9" s="1"/>
  <c r="J504" i="9"/>
  <c r="K504" i="9" s="1"/>
  <c r="J505" i="9"/>
  <c r="K505" i="9" s="1"/>
  <c r="J506" i="9"/>
  <c r="K506" i="9" s="1"/>
  <c r="J507" i="9"/>
  <c r="K507" i="9" s="1"/>
  <c r="J508" i="9"/>
  <c r="K508" i="9" s="1"/>
  <c r="J509" i="9"/>
  <c r="K509" i="9" s="1"/>
  <c r="J510" i="9"/>
  <c r="K510" i="9" s="1"/>
  <c r="J511" i="9"/>
  <c r="K511" i="9" s="1"/>
  <c r="J512" i="9"/>
  <c r="K512" i="9" s="1"/>
  <c r="J513" i="9"/>
  <c r="K513" i="9" s="1"/>
  <c r="J514" i="9"/>
  <c r="K514" i="9" s="1"/>
  <c r="J515" i="9"/>
  <c r="K515" i="9" s="1"/>
  <c r="J516" i="9"/>
  <c r="K516" i="9" s="1"/>
  <c r="J517" i="9"/>
  <c r="K517" i="9" s="1"/>
  <c r="J518" i="9"/>
  <c r="K518" i="9" s="1"/>
  <c r="J519" i="9"/>
  <c r="K519" i="9" s="1"/>
  <c r="J520" i="9"/>
  <c r="K520" i="9" s="1"/>
  <c r="J521" i="9"/>
  <c r="K521" i="9" s="1"/>
  <c r="J522" i="9"/>
  <c r="K522" i="9" s="1"/>
  <c r="J523" i="9"/>
  <c r="K523" i="9" s="1"/>
  <c r="J524" i="9"/>
  <c r="K524" i="9" s="1"/>
  <c r="J525" i="9"/>
  <c r="K525" i="9" s="1"/>
  <c r="J526" i="9"/>
  <c r="K526" i="9" s="1"/>
  <c r="J527" i="9"/>
  <c r="K527" i="9" s="1"/>
  <c r="J528" i="9"/>
  <c r="K528" i="9" s="1"/>
  <c r="J529" i="9"/>
  <c r="K529" i="9" s="1"/>
  <c r="J530" i="9"/>
  <c r="K530" i="9" s="1"/>
  <c r="J531" i="9"/>
  <c r="K531" i="9" s="1"/>
  <c r="J532" i="9"/>
  <c r="K532" i="9" s="1"/>
  <c r="J533" i="9"/>
  <c r="K533" i="9" s="1"/>
  <c r="J534" i="9"/>
  <c r="K534" i="9" s="1"/>
  <c r="J535" i="9"/>
  <c r="K535" i="9" s="1"/>
  <c r="J536" i="9"/>
  <c r="K536" i="9" s="1"/>
  <c r="J537" i="9"/>
  <c r="K537" i="9" s="1"/>
  <c r="J538" i="9"/>
  <c r="K538" i="9" s="1"/>
  <c r="J539" i="9"/>
  <c r="K539" i="9" s="1"/>
  <c r="J540" i="9"/>
  <c r="K540" i="9" s="1"/>
  <c r="J541" i="9"/>
  <c r="K541" i="9" s="1"/>
  <c r="J542" i="9"/>
  <c r="K542" i="9" s="1"/>
  <c r="J543" i="9"/>
  <c r="K543" i="9" s="1"/>
  <c r="J544" i="9"/>
  <c r="K544" i="9" s="1"/>
  <c r="J545" i="9"/>
  <c r="K545" i="9" s="1"/>
  <c r="J546" i="9"/>
  <c r="K546" i="9" s="1"/>
  <c r="J547" i="9"/>
  <c r="K547" i="9" s="1"/>
  <c r="J548" i="9"/>
  <c r="K548" i="9" s="1"/>
  <c r="J549" i="9"/>
  <c r="K549" i="9" s="1"/>
  <c r="J550" i="9"/>
  <c r="K550" i="9" s="1"/>
  <c r="J551" i="9"/>
  <c r="K551" i="9" s="1"/>
  <c r="J552" i="9"/>
  <c r="K552" i="9" s="1"/>
  <c r="J553" i="9"/>
  <c r="K553" i="9" s="1"/>
  <c r="J554" i="9"/>
  <c r="K554" i="9" s="1"/>
  <c r="J555" i="9"/>
  <c r="K555" i="9" s="1"/>
  <c r="J556" i="9"/>
  <c r="K556" i="9" s="1"/>
  <c r="J557" i="9"/>
  <c r="K557" i="9" s="1"/>
  <c r="J558" i="9"/>
  <c r="K558" i="9" s="1"/>
  <c r="J559" i="9"/>
  <c r="K559" i="9" s="1"/>
  <c r="J560" i="9"/>
  <c r="K560" i="9" s="1"/>
  <c r="J561" i="9"/>
  <c r="K561" i="9" s="1"/>
  <c r="J562" i="9"/>
  <c r="K562" i="9" s="1"/>
  <c r="J563" i="9"/>
  <c r="K563" i="9" s="1"/>
  <c r="J564" i="9"/>
  <c r="K564" i="9" s="1"/>
  <c r="J565" i="9"/>
  <c r="K565" i="9" s="1"/>
  <c r="J566" i="9"/>
  <c r="K566" i="9" s="1"/>
  <c r="J567" i="9"/>
  <c r="K567" i="9" s="1"/>
  <c r="J568" i="9"/>
  <c r="K568" i="9" s="1"/>
  <c r="J569" i="9"/>
  <c r="K569" i="9" s="1"/>
  <c r="J570" i="9"/>
  <c r="K570" i="9" s="1"/>
  <c r="J571" i="9"/>
  <c r="K571" i="9" s="1"/>
  <c r="J572" i="9"/>
  <c r="K572" i="9" s="1"/>
  <c r="J573" i="9"/>
  <c r="K573" i="9" s="1"/>
  <c r="J574" i="9"/>
  <c r="K574" i="9" s="1"/>
  <c r="J575" i="9"/>
  <c r="K575" i="9" s="1"/>
  <c r="J576" i="9"/>
  <c r="K576" i="9" s="1"/>
  <c r="J577" i="9"/>
  <c r="K577" i="9" s="1"/>
  <c r="J578" i="9"/>
  <c r="K578" i="9" s="1"/>
  <c r="J579" i="9"/>
  <c r="K579" i="9" s="1"/>
  <c r="J580" i="9"/>
  <c r="K580" i="9" s="1"/>
  <c r="J581" i="9"/>
  <c r="K581" i="9" s="1"/>
  <c r="J582" i="9"/>
  <c r="K582" i="9" s="1"/>
  <c r="J583" i="9"/>
  <c r="K583" i="9" s="1"/>
  <c r="J584" i="9"/>
  <c r="K584" i="9" s="1"/>
  <c r="J585" i="9"/>
  <c r="K585" i="9" s="1"/>
  <c r="J586" i="9"/>
  <c r="K586" i="9" s="1"/>
  <c r="J587" i="9"/>
  <c r="K587" i="9" s="1"/>
  <c r="J588" i="9"/>
  <c r="K588" i="9" s="1"/>
  <c r="J589" i="9"/>
  <c r="K589" i="9" s="1"/>
  <c r="J590" i="9"/>
  <c r="K590" i="9" s="1"/>
  <c r="J591" i="9"/>
  <c r="K591" i="9" s="1"/>
  <c r="J592" i="9"/>
  <c r="K592" i="9" s="1"/>
  <c r="J593" i="9"/>
  <c r="K593" i="9" s="1"/>
  <c r="J594" i="9"/>
  <c r="K594" i="9" s="1"/>
  <c r="J595" i="9"/>
  <c r="K595" i="9" s="1"/>
  <c r="J596" i="9"/>
  <c r="K596" i="9" s="1"/>
  <c r="J597" i="9"/>
  <c r="K597" i="9" s="1"/>
  <c r="J598" i="9"/>
  <c r="K598" i="9" s="1"/>
  <c r="J599" i="9"/>
  <c r="K599" i="9" s="1"/>
  <c r="J600" i="9"/>
  <c r="K600" i="9" s="1"/>
  <c r="J601" i="9"/>
  <c r="K601" i="9" s="1"/>
  <c r="J602" i="9"/>
  <c r="K602" i="9" s="1"/>
  <c r="J603" i="9"/>
  <c r="K603" i="9" s="1"/>
  <c r="J604" i="9"/>
  <c r="K604" i="9" s="1"/>
  <c r="J605" i="9"/>
  <c r="K605" i="9" s="1"/>
  <c r="J606" i="9"/>
  <c r="K606" i="9" s="1"/>
  <c r="J607" i="9"/>
  <c r="K607" i="9" s="1"/>
  <c r="J608" i="9"/>
  <c r="K608" i="9" s="1"/>
  <c r="J609" i="9"/>
  <c r="K609" i="9" s="1"/>
  <c r="J610" i="9"/>
  <c r="K610" i="9" s="1"/>
  <c r="J611" i="9"/>
  <c r="K611" i="9" s="1"/>
  <c r="J612" i="9"/>
  <c r="K612" i="9" s="1"/>
  <c r="J613" i="9"/>
  <c r="K613" i="9" s="1"/>
  <c r="J614" i="9"/>
  <c r="K614" i="9" s="1"/>
  <c r="J615" i="9"/>
  <c r="K615" i="9" s="1"/>
  <c r="J616" i="9"/>
  <c r="K616" i="9" s="1"/>
  <c r="J617" i="9"/>
  <c r="K617" i="9" s="1"/>
  <c r="J618" i="9"/>
  <c r="K618" i="9" s="1"/>
  <c r="J619" i="9"/>
  <c r="K619" i="9" s="1"/>
  <c r="J620" i="9"/>
  <c r="K620" i="9" s="1"/>
  <c r="J621" i="9"/>
  <c r="K621" i="9" s="1"/>
  <c r="J622" i="9"/>
  <c r="K622" i="9" s="1"/>
  <c r="J623" i="9"/>
  <c r="K623" i="9" s="1"/>
  <c r="J624" i="9"/>
  <c r="K624" i="9" s="1"/>
  <c r="J625" i="9"/>
  <c r="K625" i="9" s="1"/>
  <c r="J626" i="9"/>
  <c r="K626" i="9" s="1"/>
  <c r="J627" i="9"/>
  <c r="K627" i="9" s="1"/>
  <c r="J628" i="9"/>
  <c r="K628" i="9" s="1"/>
  <c r="J629" i="9"/>
  <c r="K629" i="9" s="1"/>
  <c r="J630" i="9"/>
  <c r="K630" i="9" s="1"/>
  <c r="J631" i="9"/>
  <c r="K631" i="9" s="1"/>
  <c r="J632" i="9"/>
  <c r="K632" i="9" s="1"/>
  <c r="J633" i="9"/>
  <c r="K633" i="9" s="1"/>
  <c r="J634" i="9"/>
  <c r="K634" i="9" s="1"/>
  <c r="J635" i="9"/>
  <c r="K635" i="9" s="1"/>
  <c r="J636" i="9"/>
  <c r="K636" i="9" s="1"/>
  <c r="J637" i="9"/>
  <c r="K637" i="9" s="1"/>
  <c r="J638" i="9"/>
  <c r="K638" i="9" s="1"/>
  <c r="J639" i="9"/>
  <c r="K639" i="9" s="1"/>
  <c r="J640" i="9"/>
  <c r="K640" i="9" s="1"/>
  <c r="J641" i="9"/>
  <c r="K641" i="9" s="1"/>
  <c r="J642" i="9"/>
  <c r="K642" i="9" s="1"/>
  <c r="J643" i="9"/>
  <c r="K643" i="9" s="1"/>
  <c r="J644" i="9"/>
  <c r="K644" i="9" s="1"/>
  <c r="J645" i="9"/>
  <c r="K645" i="9" s="1"/>
  <c r="J646" i="9"/>
  <c r="K646" i="9" s="1"/>
  <c r="J647" i="9"/>
  <c r="K647" i="9" s="1"/>
  <c r="J648" i="9"/>
  <c r="K648" i="9" s="1"/>
  <c r="J649" i="9"/>
  <c r="K649" i="9" s="1"/>
  <c r="J650" i="9"/>
  <c r="K650" i="9" s="1"/>
  <c r="J651" i="9"/>
  <c r="K651" i="9" s="1"/>
  <c r="J652" i="9"/>
  <c r="K652" i="9" s="1"/>
  <c r="J653" i="9"/>
  <c r="K653" i="9" s="1"/>
  <c r="J654" i="9"/>
  <c r="K654" i="9" s="1"/>
  <c r="J655" i="9"/>
  <c r="K655" i="9" s="1"/>
  <c r="J656" i="9"/>
  <c r="K656" i="9" s="1"/>
  <c r="J657" i="9"/>
  <c r="K657" i="9" s="1"/>
  <c r="J658" i="9"/>
  <c r="K658" i="9" s="1"/>
  <c r="J659" i="9"/>
  <c r="K659" i="9" s="1"/>
  <c r="J358" i="2"/>
  <c r="K358" i="2"/>
  <c r="L358" i="2"/>
  <c r="M358" i="2"/>
  <c r="N358" i="2"/>
  <c r="O358" i="2"/>
  <c r="P358" i="2"/>
  <c r="Q358" i="2"/>
  <c r="R358" i="2"/>
  <c r="S358" i="2"/>
  <c r="T358" i="2"/>
  <c r="U358" i="2"/>
  <c r="V358" i="2"/>
  <c r="W358" i="2"/>
  <c r="X358" i="2"/>
  <c r="Y358" i="2"/>
  <c r="Z358" i="2"/>
  <c r="AA358" i="2"/>
  <c r="AB358" i="2"/>
  <c r="AC358" i="2"/>
  <c r="AD358" i="2"/>
  <c r="AE358" i="2"/>
  <c r="AF358" i="2"/>
  <c r="AG358" i="2"/>
  <c r="AH358" i="2"/>
  <c r="AI358" i="2"/>
  <c r="J359" i="2"/>
  <c r="K359" i="2"/>
  <c r="L359" i="2"/>
  <c r="M359" i="2"/>
  <c r="N359" i="2"/>
  <c r="O359" i="2"/>
  <c r="P359" i="2"/>
  <c r="Q359" i="2"/>
  <c r="R359" i="2"/>
  <c r="S359" i="2"/>
  <c r="T359" i="2"/>
  <c r="U359" i="2"/>
  <c r="V359" i="2"/>
  <c r="W359" i="2"/>
  <c r="X359" i="2"/>
  <c r="Y359" i="2"/>
  <c r="Z359" i="2"/>
  <c r="AA359" i="2"/>
  <c r="AB359" i="2"/>
  <c r="AC359" i="2"/>
  <c r="AD359" i="2"/>
  <c r="AE359" i="2"/>
  <c r="AF359" i="2"/>
  <c r="AG359" i="2"/>
  <c r="AH359" i="2"/>
  <c r="AI359" i="2"/>
  <c r="J360" i="2"/>
  <c r="K360" i="2"/>
  <c r="L360" i="2"/>
  <c r="M360" i="2"/>
  <c r="N360" i="2"/>
  <c r="O360" i="2"/>
  <c r="P360" i="2"/>
  <c r="Q360" i="2"/>
  <c r="R360" i="2"/>
  <c r="S360" i="2"/>
  <c r="T360" i="2"/>
  <c r="U360" i="2"/>
  <c r="V360" i="2"/>
  <c r="W360" i="2"/>
  <c r="X360" i="2"/>
  <c r="Y360" i="2"/>
  <c r="Z360" i="2"/>
  <c r="AA360" i="2"/>
  <c r="AB360" i="2"/>
  <c r="AC360" i="2"/>
  <c r="AD360" i="2"/>
  <c r="AE360" i="2"/>
  <c r="AF360" i="2"/>
  <c r="AG360" i="2"/>
  <c r="AH360" i="2"/>
  <c r="AI360" i="2"/>
  <c r="J361" i="2"/>
  <c r="K361" i="2"/>
  <c r="L361" i="2"/>
  <c r="M361" i="2"/>
  <c r="N361" i="2"/>
  <c r="O361" i="2"/>
  <c r="P361" i="2"/>
  <c r="Q361" i="2"/>
  <c r="R361" i="2"/>
  <c r="S361" i="2"/>
  <c r="T361" i="2"/>
  <c r="U361" i="2"/>
  <c r="V361" i="2"/>
  <c r="W361" i="2"/>
  <c r="X361" i="2"/>
  <c r="Y361" i="2"/>
  <c r="Z361" i="2"/>
  <c r="AA361" i="2"/>
  <c r="AB361" i="2"/>
  <c r="AC361" i="2"/>
  <c r="AD361" i="2"/>
  <c r="AE361" i="2"/>
  <c r="AF361" i="2"/>
  <c r="AG361" i="2"/>
  <c r="AH361" i="2"/>
  <c r="AI361" i="2"/>
  <c r="J362" i="2"/>
  <c r="K362" i="2"/>
  <c r="L362" i="2"/>
  <c r="M362" i="2"/>
  <c r="N362" i="2"/>
  <c r="O362" i="2"/>
  <c r="P362" i="2"/>
  <c r="Q362" i="2"/>
  <c r="R362" i="2"/>
  <c r="S362" i="2"/>
  <c r="T362" i="2"/>
  <c r="U362" i="2"/>
  <c r="V362" i="2"/>
  <c r="W362" i="2"/>
  <c r="X362" i="2"/>
  <c r="Y362" i="2"/>
  <c r="Z362" i="2"/>
  <c r="AA362" i="2"/>
  <c r="AB362" i="2"/>
  <c r="AC362" i="2"/>
  <c r="AD362" i="2"/>
  <c r="AE362" i="2"/>
  <c r="AF362" i="2"/>
  <c r="AG362" i="2"/>
  <c r="AH362" i="2"/>
  <c r="AI362" i="2"/>
  <c r="J363" i="2"/>
  <c r="K363" i="2"/>
  <c r="L363" i="2"/>
  <c r="M363" i="2"/>
  <c r="N363" i="2"/>
  <c r="O363" i="2"/>
  <c r="P363" i="2"/>
  <c r="Q363" i="2"/>
  <c r="R363" i="2"/>
  <c r="S363" i="2"/>
  <c r="T363" i="2"/>
  <c r="U363" i="2"/>
  <c r="V363" i="2"/>
  <c r="W363" i="2"/>
  <c r="X363" i="2"/>
  <c r="Y363" i="2"/>
  <c r="Z363" i="2"/>
  <c r="AA363" i="2"/>
  <c r="AB363" i="2"/>
  <c r="AC363" i="2"/>
  <c r="AD363" i="2"/>
  <c r="AE363" i="2"/>
  <c r="AF363" i="2"/>
  <c r="AG363" i="2"/>
  <c r="AH363" i="2"/>
  <c r="AI363" i="2"/>
  <c r="AA3" i="9"/>
  <c r="AB3" i="9"/>
  <c r="AC3" i="9"/>
  <c r="AD3" i="9"/>
  <c r="AE3" i="9"/>
  <c r="AF3" i="9"/>
  <c r="AG3" i="9"/>
  <c r="AH3" i="9"/>
  <c r="AI3" i="9"/>
  <c r="AJ3" i="9"/>
  <c r="AK3" i="9"/>
  <c r="AL3" i="9"/>
  <c r="AM3" i="9"/>
  <c r="AN3" i="9"/>
  <c r="AO3" i="9"/>
  <c r="AP3" i="9"/>
  <c r="AQ3" i="9"/>
  <c r="AR3" i="9"/>
  <c r="AS3" i="9"/>
  <c r="AT3" i="9"/>
  <c r="AU3" i="9"/>
  <c r="AV3" i="9"/>
  <c r="AW3" i="9"/>
  <c r="AX3" i="9"/>
  <c r="AY3" i="9"/>
  <c r="AZ3" i="9"/>
  <c r="AA4" i="9"/>
  <c r="AB4" i="9"/>
  <c r="AC4" i="9"/>
  <c r="AD4" i="9"/>
  <c r="AE4" i="9"/>
  <c r="AF4" i="9"/>
  <c r="AG4" i="9"/>
  <c r="AH4" i="9"/>
  <c r="AI4" i="9"/>
  <c r="AJ4" i="9"/>
  <c r="AK4" i="9"/>
  <c r="AL4" i="9"/>
  <c r="AM4" i="9"/>
  <c r="AN4" i="9"/>
  <c r="AO4" i="9"/>
  <c r="AP4" i="9"/>
  <c r="AQ4" i="9"/>
  <c r="AR4" i="9"/>
  <c r="AS4" i="9"/>
  <c r="AT4" i="9"/>
  <c r="AU4" i="9"/>
  <c r="AV4" i="9"/>
  <c r="AW4" i="9"/>
  <c r="AX4" i="9"/>
  <c r="AY4" i="9"/>
  <c r="AZ4" i="9"/>
  <c r="AA5" i="9"/>
  <c r="AB5" i="9"/>
  <c r="AC5" i="9"/>
  <c r="AD5" i="9"/>
  <c r="AE5" i="9"/>
  <c r="AF5" i="9"/>
  <c r="AG5" i="9"/>
  <c r="AH5" i="9"/>
  <c r="AI5" i="9"/>
  <c r="AJ5" i="9"/>
  <c r="AK5" i="9"/>
  <c r="AL5" i="9"/>
  <c r="AM5" i="9"/>
  <c r="AN5" i="9"/>
  <c r="AO5" i="9"/>
  <c r="AP5" i="9"/>
  <c r="AQ5" i="9"/>
  <c r="AR5" i="9"/>
  <c r="AS5" i="9"/>
  <c r="AT5" i="9"/>
  <c r="AU5" i="9"/>
  <c r="AV5" i="9"/>
  <c r="AW5" i="9"/>
  <c r="AX5" i="9"/>
  <c r="AY5" i="9"/>
  <c r="AZ5" i="9"/>
  <c r="AA6" i="9"/>
  <c r="AB6" i="9"/>
  <c r="AC6" i="9"/>
  <c r="AD6" i="9"/>
  <c r="AE6" i="9"/>
  <c r="AF6" i="9"/>
  <c r="AG6" i="9"/>
  <c r="AH6" i="9"/>
  <c r="AI6" i="9"/>
  <c r="AJ6" i="9"/>
  <c r="AK6" i="9"/>
  <c r="AL6" i="9"/>
  <c r="AM6" i="9"/>
  <c r="AN6" i="9"/>
  <c r="AO6" i="9"/>
  <c r="AP6" i="9"/>
  <c r="AQ6" i="9"/>
  <c r="AR6" i="9"/>
  <c r="AS6" i="9"/>
  <c r="AT6" i="9"/>
  <c r="AU6" i="9"/>
  <c r="AV6" i="9"/>
  <c r="AW6" i="9"/>
  <c r="AX6" i="9"/>
  <c r="AY6" i="9"/>
  <c r="AZ6" i="9"/>
  <c r="AA7" i="9"/>
  <c r="AB7" i="9"/>
  <c r="AC7" i="9"/>
  <c r="AD7" i="9"/>
  <c r="AE7" i="9"/>
  <c r="AF7" i="9"/>
  <c r="AG7" i="9"/>
  <c r="AH7" i="9"/>
  <c r="AI7" i="9"/>
  <c r="AJ7" i="9"/>
  <c r="AK7" i="9"/>
  <c r="AL7" i="9"/>
  <c r="AM7" i="9"/>
  <c r="AN7" i="9"/>
  <c r="AO7" i="9"/>
  <c r="AP7" i="9"/>
  <c r="AQ7" i="9"/>
  <c r="AR7" i="9"/>
  <c r="AS7" i="9"/>
  <c r="AT7" i="9"/>
  <c r="AU7" i="9"/>
  <c r="AV7" i="9"/>
  <c r="AW7" i="9"/>
  <c r="AX7" i="9"/>
  <c r="AY7" i="9"/>
  <c r="AZ7" i="9"/>
  <c r="AA8" i="9"/>
  <c r="AB8" i="9"/>
  <c r="AC8" i="9"/>
  <c r="AD8" i="9"/>
  <c r="AE8" i="9"/>
  <c r="AF8" i="9"/>
  <c r="AG8" i="9"/>
  <c r="AH8" i="9"/>
  <c r="AI8" i="9"/>
  <c r="AJ8" i="9"/>
  <c r="AK8" i="9"/>
  <c r="AL8" i="9"/>
  <c r="AM8" i="9"/>
  <c r="AN8" i="9"/>
  <c r="AO8" i="9"/>
  <c r="AP8" i="9"/>
  <c r="AQ8" i="9"/>
  <c r="AR8" i="9"/>
  <c r="AS8" i="9"/>
  <c r="AT8" i="9"/>
  <c r="AU8" i="9"/>
  <c r="AV8" i="9"/>
  <c r="AW8" i="9"/>
  <c r="AX8" i="9"/>
  <c r="AY8" i="9"/>
  <c r="AZ8" i="9"/>
  <c r="AA9" i="9"/>
  <c r="AB9" i="9"/>
  <c r="AC9" i="9"/>
  <c r="AD9" i="9"/>
  <c r="AE9" i="9"/>
  <c r="AF9" i="9"/>
  <c r="AG9" i="9"/>
  <c r="AH9" i="9"/>
  <c r="AI9" i="9"/>
  <c r="AJ9" i="9"/>
  <c r="AK9" i="9"/>
  <c r="AL9" i="9"/>
  <c r="AM9" i="9"/>
  <c r="AN9" i="9"/>
  <c r="AO9" i="9"/>
  <c r="AP9" i="9"/>
  <c r="AQ9" i="9"/>
  <c r="AR9" i="9"/>
  <c r="AS9" i="9"/>
  <c r="AT9" i="9"/>
  <c r="AU9" i="9"/>
  <c r="AV9" i="9"/>
  <c r="AW9" i="9"/>
  <c r="AX9" i="9"/>
  <c r="AY9" i="9"/>
  <c r="AZ9" i="9"/>
  <c r="AA10" i="9"/>
  <c r="AB10" i="9"/>
  <c r="AC10" i="9"/>
  <c r="AD10" i="9"/>
  <c r="AE10" i="9"/>
  <c r="AF10" i="9"/>
  <c r="AG10" i="9"/>
  <c r="AH10" i="9"/>
  <c r="AI10" i="9"/>
  <c r="AJ10" i="9"/>
  <c r="AK10" i="9"/>
  <c r="AL10" i="9"/>
  <c r="AM10" i="9"/>
  <c r="AN10" i="9"/>
  <c r="AO10" i="9"/>
  <c r="AP10" i="9"/>
  <c r="AQ10" i="9"/>
  <c r="AR10" i="9"/>
  <c r="AS10" i="9"/>
  <c r="AT10" i="9"/>
  <c r="AU10" i="9"/>
  <c r="AV10" i="9"/>
  <c r="AW10" i="9"/>
  <c r="AX10" i="9"/>
  <c r="AY10" i="9"/>
  <c r="AZ10" i="9"/>
  <c r="AA11" i="9"/>
  <c r="AB11" i="9"/>
  <c r="AC11" i="9"/>
  <c r="AD11" i="9"/>
  <c r="AE11" i="9"/>
  <c r="AF11" i="9"/>
  <c r="AG11" i="9"/>
  <c r="AH11" i="9"/>
  <c r="AI11" i="9"/>
  <c r="AJ11" i="9"/>
  <c r="AK11" i="9"/>
  <c r="AL11" i="9"/>
  <c r="AM11" i="9"/>
  <c r="AN11" i="9"/>
  <c r="AO11" i="9"/>
  <c r="AP11" i="9"/>
  <c r="AQ11" i="9"/>
  <c r="AR11" i="9"/>
  <c r="AS11" i="9"/>
  <c r="AT11" i="9"/>
  <c r="AU11" i="9"/>
  <c r="AV11" i="9"/>
  <c r="AW11" i="9"/>
  <c r="AX11" i="9"/>
  <c r="AY11" i="9"/>
  <c r="AZ11" i="9"/>
  <c r="AA12" i="9"/>
  <c r="AB12" i="9"/>
  <c r="AC12" i="9"/>
  <c r="AD12" i="9"/>
  <c r="AE12" i="9"/>
  <c r="AF12" i="9"/>
  <c r="AG12" i="9"/>
  <c r="AH12" i="9"/>
  <c r="AI12" i="9"/>
  <c r="AJ12" i="9"/>
  <c r="AK12" i="9"/>
  <c r="AL12" i="9"/>
  <c r="AM12" i="9"/>
  <c r="AN12" i="9"/>
  <c r="AO12" i="9"/>
  <c r="AP12" i="9"/>
  <c r="AQ12" i="9"/>
  <c r="AR12" i="9"/>
  <c r="AS12" i="9"/>
  <c r="AT12" i="9"/>
  <c r="AU12" i="9"/>
  <c r="AV12" i="9"/>
  <c r="AW12" i="9"/>
  <c r="AX12" i="9"/>
  <c r="AY12" i="9"/>
  <c r="AZ12" i="9"/>
  <c r="AA13" i="9"/>
  <c r="AB13" i="9"/>
  <c r="AC13" i="9"/>
  <c r="AD13" i="9"/>
  <c r="AE13" i="9"/>
  <c r="AF13" i="9"/>
  <c r="AG13" i="9"/>
  <c r="AH13" i="9"/>
  <c r="AI13" i="9"/>
  <c r="AJ13" i="9"/>
  <c r="AK13" i="9"/>
  <c r="AL13" i="9"/>
  <c r="AM13" i="9"/>
  <c r="AN13" i="9"/>
  <c r="AO13" i="9"/>
  <c r="AP13" i="9"/>
  <c r="AQ13" i="9"/>
  <c r="AR13" i="9"/>
  <c r="AS13" i="9"/>
  <c r="AT13" i="9"/>
  <c r="AU13" i="9"/>
  <c r="AV13" i="9"/>
  <c r="AW13" i="9"/>
  <c r="AX13" i="9"/>
  <c r="AY13" i="9"/>
  <c r="AZ13" i="9"/>
  <c r="AA14" i="9"/>
  <c r="AB14" i="9"/>
  <c r="AC14" i="9"/>
  <c r="AD14" i="9"/>
  <c r="AE14" i="9"/>
  <c r="AF14" i="9"/>
  <c r="AG14" i="9"/>
  <c r="AH14" i="9"/>
  <c r="AI14" i="9"/>
  <c r="AJ14" i="9"/>
  <c r="AK14" i="9"/>
  <c r="AL14" i="9"/>
  <c r="AM14" i="9"/>
  <c r="AN14" i="9"/>
  <c r="AO14" i="9"/>
  <c r="AP14" i="9"/>
  <c r="AQ14" i="9"/>
  <c r="AR14" i="9"/>
  <c r="AS14" i="9"/>
  <c r="AT14" i="9"/>
  <c r="AU14" i="9"/>
  <c r="AV14" i="9"/>
  <c r="AW14" i="9"/>
  <c r="AX14" i="9"/>
  <c r="AY14" i="9"/>
  <c r="AZ14" i="9"/>
  <c r="AA15" i="9"/>
  <c r="AB15" i="9"/>
  <c r="AC15" i="9"/>
  <c r="AD15" i="9"/>
  <c r="AE15" i="9"/>
  <c r="AF15" i="9"/>
  <c r="AG15" i="9"/>
  <c r="AH15" i="9"/>
  <c r="AI15" i="9"/>
  <c r="AJ15" i="9"/>
  <c r="AK15" i="9"/>
  <c r="AL15" i="9"/>
  <c r="AM15" i="9"/>
  <c r="AN15" i="9"/>
  <c r="AO15" i="9"/>
  <c r="AP15" i="9"/>
  <c r="AQ15" i="9"/>
  <c r="AR15" i="9"/>
  <c r="AS15" i="9"/>
  <c r="AT15" i="9"/>
  <c r="AU15" i="9"/>
  <c r="AV15" i="9"/>
  <c r="AW15" i="9"/>
  <c r="AX15" i="9"/>
  <c r="AY15" i="9"/>
  <c r="AZ15" i="9"/>
  <c r="AA16" i="9"/>
  <c r="AB16" i="9"/>
  <c r="AC16" i="9"/>
  <c r="AD16" i="9"/>
  <c r="AE16" i="9"/>
  <c r="AF16" i="9"/>
  <c r="AG16" i="9"/>
  <c r="AH16" i="9"/>
  <c r="AI16" i="9"/>
  <c r="AJ16" i="9"/>
  <c r="AK16" i="9"/>
  <c r="AL16" i="9"/>
  <c r="AM16" i="9"/>
  <c r="AN16" i="9"/>
  <c r="AO16" i="9"/>
  <c r="AP16" i="9"/>
  <c r="AQ16" i="9"/>
  <c r="AR16" i="9"/>
  <c r="AS16" i="9"/>
  <c r="AT16" i="9"/>
  <c r="AU16" i="9"/>
  <c r="AV16" i="9"/>
  <c r="AW16" i="9"/>
  <c r="AX16" i="9"/>
  <c r="AY16" i="9"/>
  <c r="AZ16" i="9"/>
  <c r="AA17" i="9"/>
  <c r="AB17" i="9"/>
  <c r="AC17" i="9"/>
  <c r="AD17" i="9"/>
  <c r="AE17" i="9"/>
  <c r="AF17" i="9"/>
  <c r="AG17" i="9"/>
  <c r="AH17" i="9"/>
  <c r="AI17" i="9"/>
  <c r="AJ17" i="9"/>
  <c r="AK17" i="9"/>
  <c r="AL17" i="9"/>
  <c r="AM17" i="9"/>
  <c r="AN17" i="9"/>
  <c r="AO17" i="9"/>
  <c r="AP17" i="9"/>
  <c r="AQ17" i="9"/>
  <c r="AR17" i="9"/>
  <c r="AS17" i="9"/>
  <c r="AT17" i="9"/>
  <c r="AU17" i="9"/>
  <c r="AV17" i="9"/>
  <c r="AW17" i="9"/>
  <c r="AX17" i="9"/>
  <c r="AY17" i="9"/>
  <c r="AZ17" i="9"/>
  <c r="AA18" i="9"/>
  <c r="AB18" i="9"/>
  <c r="AC18" i="9"/>
  <c r="AD18" i="9"/>
  <c r="AE18" i="9"/>
  <c r="AF18" i="9"/>
  <c r="AG18" i="9"/>
  <c r="AH18" i="9"/>
  <c r="AI18" i="9"/>
  <c r="AJ18" i="9"/>
  <c r="AK18" i="9"/>
  <c r="AL18" i="9"/>
  <c r="AM18" i="9"/>
  <c r="AN18" i="9"/>
  <c r="AO18" i="9"/>
  <c r="AP18" i="9"/>
  <c r="AQ18" i="9"/>
  <c r="AR18" i="9"/>
  <c r="AS18" i="9"/>
  <c r="AT18" i="9"/>
  <c r="AU18" i="9"/>
  <c r="AV18" i="9"/>
  <c r="AW18" i="9"/>
  <c r="AX18" i="9"/>
  <c r="AY18" i="9"/>
  <c r="AZ18" i="9"/>
  <c r="AA19" i="9"/>
  <c r="AB19" i="9"/>
  <c r="AC19" i="9"/>
  <c r="AD19" i="9"/>
  <c r="AE19" i="9"/>
  <c r="AF19" i="9"/>
  <c r="AG19" i="9"/>
  <c r="AH19" i="9"/>
  <c r="AI19" i="9"/>
  <c r="AJ19" i="9"/>
  <c r="AK19" i="9"/>
  <c r="AL19" i="9"/>
  <c r="AM19" i="9"/>
  <c r="AN19" i="9"/>
  <c r="AO19" i="9"/>
  <c r="AP19" i="9"/>
  <c r="AQ19" i="9"/>
  <c r="AR19" i="9"/>
  <c r="AS19" i="9"/>
  <c r="AT19" i="9"/>
  <c r="AU19" i="9"/>
  <c r="AV19" i="9"/>
  <c r="AW19" i="9"/>
  <c r="AX19" i="9"/>
  <c r="AY19" i="9"/>
  <c r="AZ19" i="9"/>
  <c r="AA20" i="9"/>
  <c r="AB20" i="9"/>
  <c r="AC20" i="9"/>
  <c r="AD20" i="9"/>
  <c r="AE20" i="9"/>
  <c r="AF20" i="9"/>
  <c r="AG20" i="9"/>
  <c r="AH20" i="9"/>
  <c r="AI20" i="9"/>
  <c r="AJ20" i="9"/>
  <c r="AK20" i="9"/>
  <c r="AL20" i="9"/>
  <c r="AM20" i="9"/>
  <c r="AN20" i="9"/>
  <c r="AO20" i="9"/>
  <c r="AP20" i="9"/>
  <c r="AQ20" i="9"/>
  <c r="AR20" i="9"/>
  <c r="AS20" i="9"/>
  <c r="AT20" i="9"/>
  <c r="AU20" i="9"/>
  <c r="AV20" i="9"/>
  <c r="AW20" i="9"/>
  <c r="AX20" i="9"/>
  <c r="AY20" i="9"/>
  <c r="AZ20" i="9"/>
  <c r="AA21" i="9"/>
  <c r="AB21" i="9"/>
  <c r="AC21" i="9"/>
  <c r="AD21" i="9"/>
  <c r="AE21" i="9"/>
  <c r="AF21" i="9"/>
  <c r="AG21" i="9"/>
  <c r="AH21" i="9"/>
  <c r="AI21" i="9"/>
  <c r="AJ21" i="9"/>
  <c r="AK21" i="9"/>
  <c r="AL21" i="9"/>
  <c r="AM21" i="9"/>
  <c r="AN21" i="9"/>
  <c r="AO21" i="9"/>
  <c r="AP21" i="9"/>
  <c r="AQ21" i="9"/>
  <c r="AR21" i="9"/>
  <c r="AS21" i="9"/>
  <c r="AT21" i="9"/>
  <c r="AU21" i="9"/>
  <c r="AV21" i="9"/>
  <c r="AW21" i="9"/>
  <c r="AX21" i="9"/>
  <c r="AY21" i="9"/>
  <c r="AZ21" i="9"/>
  <c r="AA22" i="9"/>
  <c r="AB22" i="9"/>
  <c r="AC22" i="9"/>
  <c r="AD22" i="9"/>
  <c r="AE22" i="9"/>
  <c r="AF22" i="9"/>
  <c r="AG22" i="9"/>
  <c r="AH22" i="9"/>
  <c r="AI22" i="9"/>
  <c r="AJ22" i="9"/>
  <c r="AK22" i="9"/>
  <c r="AL22" i="9"/>
  <c r="AM22" i="9"/>
  <c r="AN22" i="9"/>
  <c r="AO22" i="9"/>
  <c r="AP22" i="9"/>
  <c r="AQ22" i="9"/>
  <c r="AR22" i="9"/>
  <c r="AS22" i="9"/>
  <c r="AT22" i="9"/>
  <c r="AU22" i="9"/>
  <c r="AV22" i="9"/>
  <c r="AW22" i="9"/>
  <c r="AX22" i="9"/>
  <c r="AY22" i="9"/>
  <c r="AZ22" i="9"/>
  <c r="AA23" i="9"/>
  <c r="AB23" i="9"/>
  <c r="AC23" i="9"/>
  <c r="AD23" i="9"/>
  <c r="AE23" i="9"/>
  <c r="AF23" i="9"/>
  <c r="AG23" i="9"/>
  <c r="AH23" i="9"/>
  <c r="AI23" i="9"/>
  <c r="AJ23" i="9"/>
  <c r="AK23" i="9"/>
  <c r="AL23" i="9"/>
  <c r="AM23" i="9"/>
  <c r="AN23" i="9"/>
  <c r="AO23" i="9"/>
  <c r="AP23" i="9"/>
  <c r="AQ23" i="9"/>
  <c r="AR23" i="9"/>
  <c r="AS23" i="9"/>
  <c r="AT23" i="9"/>
  <c r="AU23" i="9"/>
  <c r="AV23" i="9"/>
  <c r="AW23" i="9"/>
  <c r="AX23" i="9"/>
  <c r="AY23" i="9"/>
  <c r="AZ23" i="9"/>
  <c r="AA24" i="9"/>
  <c r="AB24" i="9"/>
  <c r="AC24" i="9"/>
  <c r="AD24" i="9"/>
  <c r="AE24" i="9"/>
  <c r="AF24" i="9"/>
  <c r="AG24" i="9"/>
  <c r="AH24" i="9"/>
  <c r="AI24" i="9"/>
  <c r="AJ24" i="9"/>
  <c r="AK24" i="9"/>
  <c r="AL24" i="9"/>
  <c r="AM24" i="9"/>
  <c r="AN24" i="9"/>
  <c r="AO24" i="9"/>
  <c r="AP24" i="9"/>
  <c r="AQ24" i="9"/>
  <c r="AR24" i="9"/>
  <c r="AS24" i="9"/>
  <c r="AT24" i="9"/>
  <c r="AU24" i="9"/>
  <c r="AV24" i="9"/>
  <c r="AW24" i="9"/>
  <c r="AX24" i="9"/>
  <c r="AY24" i="9"/>
  <c r="AZ24" i="9"/>
  <c r="AA25" i="9"/>
  <c r="AB25" i="9"/>
  <c r="AC25" i="9"/>
  <c r="AD25" i="9"/>
  <c r="AE25" i="9"/>
  <c r="AF25" i="9"/>
  <c r="AG25" i="9"/>
  <c r="AH25" i="9"/>
  <c r="AI25" i="9"/>
  <c r="AJ25" i="9"/>
  <c r="AK25" i="9"/>
  <c r="AL25" i="9"/>
  <c r="AM25" i="9"/>
  <c r="AN25" i="9"/>
  <c r="AO25" i="9"/>
  <c r="AP25" i="9"/>
  <c r="AQ25" i="9"/>
  <c r="AR25" i="9"/>
  <c r="AS25" i="9"/>
  <c r="AT25" i="9"/>
  <c r="AU25" i="9"/>
  <c r="AV25" i="9"/>
  <c r="AW25" i="9"/>
  <c r="AX25" i="9"/>
  <c r="AY25" i="9"/>
  <c r="AZ25" i="9"/>
  <c r="AA26" i="9"/>
  <c r="AB26" i="9"/>
  <c r="AC26" i="9"/>
  <c r="AD26" i="9"/>
  <c r="AE26" i="9"/>
  <c r="AF26" i="9"/>
  <c r="AG26" i="9"/>
  <c r="AH26" i="9"/>
  <c r="AI26" i="9"/>
  <c r="AJ26" i="9"/>
  <c r="AK26" i="9"/>
  <c r="AL26" i="9"/>
  <c r="AM26" i="9"/>
  <c r="AN26" i="9"/>
  <c r="AO26" i="9"/>
  <c r="AP26" i="9"/>
  <c r="AQ26" i="9"/>
  <c r="AR26" i="9"/>
  <c r="AS26" i="9"/>
  <c r="AT26" i="9"/>
  <c r="AU26" i="9"/>
  <c r="AV26" i="9"/>
  <c r="AW26" i="9"/>
  <c r="AX26" i="9"/>
  <c r="AY26" i="9"/>
  <c r="AZ26" i="9"/>
  <c r="AA27" i="9"/>
  <c r="AB27" i="9"/>
  <c r="AC27" i="9"/>
  <c r="AD27" i="9"/>
  <c r="AE27" i="9"/>
  <c r="AF27" i="9"/>
  <c r="AG27" i="9"/>
  <c r="AH27" i="9"/>
  <c r="AI27" i="9"/>
  <c r="AJ27" i="9"/>
  <c r="AK27" i="9"/>
  <c r="AL27" i="9"/>
  <c r="AM27" i="9"/>
  <c r="AN27" i="9"/>
  <c r="AO27" i="9"/>
  <c r="AP27" i="9"/>
  <c r="AQ27" i="9"/>
  <c r="AR27" i="9"/>
  <c r="AS27" i="9"/>
  <c r="AT27" i="9"/>
  <c r="AU27" i="9"/>
  <c r="AV27" i="9"/>
  <c r="AW27" i="9"/>
  <c r="AX27" i="9"/>
  <c r="AY27" i="9"/>
  <c r="AZ27" i="9"/>
  <c r="AA28" i="9"/>
  <c r="AB28" i="9"/>
  <c r="AC28" i="9"/>
  <c r="AD28" i="9"/>
  <c r="AE28" i="9"/>
  <c r="AF28" i="9"/>
  <c r="AG28" i="9"/>
  <c r="AH28" i="9"/>
  <c r="AI28" i="9"/>
  <c r="AJ28" i="9"/>
  <c r="AK28" i="9"/>
  <c r="AL28" i="9"/>
  <c r="AM28" i="9"/>
  <c r="AN28" i="9"/>
  <c r="AO28" i="9"/>
  <c r="AP28" i="9"/>
  <c r="AQ28" i="9"/>
  <c r="AR28" i="9"/>
  <c r="AS28" i="9"/>
  <c r="AT28" i="9"/>
  <c r="AU28" i="9"/>
  <c r="AV28" i="9"/>
  <c r="AW28" i="9"/>
  <c r="AX28" i="9"/>
  <c r="AY28" i="9"/>
  <c r="AZ28" i="9"/>
  <c r="AA29" i="9"/>
  <c r="AB29" i="9"/>
  <c r="AC29" i="9"/>
  <c r="AD29" i="9"/>
  <c r="AE29" i="9"/>
  <c r="AF29" i="9"/>
  <c r="AG29" i="9"/>
  <c r="AH29" i="9"/>
  <c r="AI29" i="9"/>
  <c r="AJ29" i="9"/>
  <c r="AK29" i="9"/>
  <c r="AL29" i="9"/>
  <c r="AM29" i="9"/>
  <c r="AN29" i="9"/>
  <c r="AO29" i="9"/>
  <c r="AP29" i="9"/>
  <c r="AQ29" i="9"/>
  <c r="AR29" i="9"/>
  <c r="AS29" i="9"/>
  <c r="AT29" i="9"/>
  <c r="AU29" i="9"/>
  <c r="AV29" i="9"/>
  <c r="AW29" i="9"/>
  <c r="AX29" i="9"/>
  <c r="AY29" i="9"/>
  <c r="AZ29" i="9"/>
  <c r="AA30" i="9"/>
  <c r="AB30" i="9"/>
  <c r="AC30" i="9"/>
  <c r="AD30" i="9"/>
  <c r="AE30" i="9"/>
  <c r="AF30" i="9"/>
  <c r="AG30" i="9"/>
  <c r="AH30" i="9"/>
  <c r="AI30" i="9"/>
  <c r="AJ30" i="9"/>
  <c r="AK30" i="9"/>
  <c r="AL30" i="9"/>
  <c r="AM30" i="9"/>
  <c r="AN30" i="9"/>
  <c r="AO30" i="9"/>
  <c r="AP30" i="9"/>
  <c r="AQ30" i="9"/>
  <c r="AR30" i="9"/>
  <c r="AS30" i="9"/>
  <c r="AT30" i="9"/>
  <c r="AU30" i="9"/>
  <c r="AV30" i="9"/>
  <c r="AW30" i="9"/>
  <c r="AX30" i="9"/>
  <c r="AY30" i="9"/>
  <c r="AZ30" i="9"/>
  <c r="AA31" i="9"/>
  <c r="AB31" i="9"/>
  <c r="AC31" i="9"/>
  <c r="AD31" i="9"/>
  <c r="AE31" i="9"/>
  <c r="AF31" i="9"/>
  <c r="AG31" i="9"/>
  <c r="AH31" i="9"/>
  <c r="AI31" i="9"/>
  <c r="AJ31" i="9"/>
  <c r="AK31" i="9"/>
  <c r="AL31" i="9"/>
  <c r="AM31" i="9"/>
  <c r="AN31" i="9"/>
  <c r="AO31" i="9"/>
  <c r="AP31" i="9"/>
  <c r="AQ31" i="9"/>
  <c r="AR31" i="9"/>
  <c r="AS31" i="9"/>
  <c r="AT31" i="9"/>
  <c r="AU31" i="9"/>
  <c r="AV31" i="9"/>
  <c r="AW31" i="9"/>
  <c r="AX31" i="9"/>
  <c r="AY31" i="9"/>
  <c r="AZ31" i="9"/>
  <c r="AA32" i="9"/>
  <c r="AB32" i="9"/>
  <c r="AC32" i="9"/>
  <c r="AD32" i="9"/>
  <c r="AE32" i="9"/>
  <c r="AF32" i="9"/>
  <c r="AG32" i="9"/>
  <c r="AH32" i="9"/>
  <c r="AI32" i="9"/>
  <c r="AJ32" i="9"/>
  <c r="AK32" i="9"/>
  <c r="AL32" i="9"/>
  <c r="AM32" i="9"/>
  <c r="AN32" i="9"/>
  <c r="AO32" i="9"/>
  <c r="AP32" i="9"/>
  <c r="AQ32" i="9"/>
  <c r="AR32" i="9"/>
  <c r="AS32" i="9"/>
  <c r="AT32" i="9"/>
  <c r="AU32" i="9"/>
  <c r="AV32" i="9"/>
  <c r="AW32" i="9"/>
  <c r="AX32" i="9"/>
  <c r="AY32" i="9"/>
  <c r="AZ32" i="9"/>
  <c r="AA33" i="9"/>
  <c r="AB33" i="9"/>
  <c r="AC33" i="9"/>
  <c r="AD33" i="9"/>
  <c r="AE33" i="9"/>
  <c r="AF33" i="9"/>
  <c r="AG33" i="9"/>
  <c r="AH33" i="9"/>
  <c r="AI33" i="9"/>
  <c r="AJ33" i="9"/>
  <c r="AK33" i="9"/>
  <c r="AL33" i="9"/>
  <c r="AM33" i="9"/>
  <c r="AN33" i="9"/>
  <c r="AO33" i="9"/>
  <c r="AP33" i="9"/>
  <c r="AQ33" i="9"/>
  <c r="AR33" i="9"/>
  <c r="AS33" i="9"/>
  <c r="AT33" i="9"/>
  <c r="AU33" i="9"/>
  <c r="AV33" i="9"/>
  <c r="AW33" i="9"/>
  <c r="AX33" i="9"/>
  <c r="AY33" i="9"/>
  <c r="AZ33" i="9"/>
  <c r="AA34" i="9"/>
  <c r="AB34" i="9"/>
  <c r="AC34" i="9"/>
  <c r="AD34" i="9"/>
  <c r="AE34" i="9"/>
  <c r="AF34" i="9"/>
  <c r="AG34" i="9"/>
  <c r="AH34" i="9"/>
  <c r="AI34" i="9"/>
  <c r="AJ34" i="9"/>
  <c r="AK34" i="9"/>
  <c r="AL34" i="9"/>
  <c r="AM34" i="9"/>
  <c r="AN34" i="9"/>
  <c r="AO34" i="9"/>
  <c r="AP34" i="9"/>
  <c r="AQ34" i="9"/>
  <c r="AR34" i="9"/>
  <c r="AS34" i="9"/>
  <c r="AT34" i="9"/>
  <c r="AU34" i="9"/>
  <c r="AV34" i="9"/>
  <c r="AW34" i="9"/>
  <c r="AX34" i="9"/>
  <c r="AY34" i="9"/>
  <c r="AZ34" i="9"/>
  <c r="AA35" i="9"/>
  <c r="AB35" i="9"/>
  <c r="AC35" i="9"/>
  <c r="AD35" i="9"/>
  <c r="AE35" i="9"/>
  <c r="AF35" i="9"/>
  <c r="AG35" i="9"/>
  <c r="AH35" i="9"/>
  <c r="AI35" i="9"/>
  <c r="AJ35" i="9"/>
  <c r="AK35" i="9"/>
  <c r="AL35" i="9"/>
  <c r="AM35" i="9"/>
  <c r="AN35" i="9"/>
  <c r="AO35" i="9"/>
  <c r="AP35" i="9"/>
  <c r="AQ35" i="9"/>
  <c r="AR35" i="9"/>
  <c r="AS35" i="9"/>
  <c r="AT35" i="9"/>
  <c r="AU35" i="9"/>
  <c r="AV35" i="9"/>
  <c r="AW35" i="9"/>
  <c r="AX35" i="9"/>
  <c r="AY35" i="9"/>
  <c r="AZ35" i="9"/>
  <c r="AA36" i="9"/>
  <c r="AB36" i="9"/>
  <c r="AC36" i="9"/>
  <c r="AD36" i="9"/>
  <c r="AE36" i="9"/>
  <c r="AF36" i="9"/>
  <c r="AG36" i="9"/>
  <c r="AH36" i="9"/>
  <c r="AI36" i="9"/>
  <c r="AJ36" i="9"/>
  <c r="AK36" i="9"/>
  <c r="AL36" i="9"/>
  <c r="AM36" i="9"/>
  <c r="AN36" i="9"/>
  <c r="AO36" i="9"/>
  <c r="AP36" i="9"/>
  <c r="AQ36" i="9"/>
  <c r="AR36" i="9"/>
  <c r="AS36" i="9"/>
  <c r="AT36" i="9"/>
  <c r="AU36" i="9"/>
  <c r="AV36" i="9"/>
  <c r="AW36" i="9"/>
  <c r="AX36" i="9"/>
  <c r="AY36" i="9"/>
  <c r="AZ36" i="9"/>
  <c r="AA37" i="9"/>
  <c r="AB37" i="9"/>
  <c r="AC37" i="9"/>
  <c r="AD37" i="9"/>
  <c r="AE37" i="9"/>
  <c r="AF37" i="9"/>
  <c r="AG37" i="9"/>
  <c r="AH37" i="9"/>
  <c r="AI37" i="9"/>
  <c r="AJ37" i="9"/>
  <c r="AK37" i="9"/>
  <c r="AL37" i="9"/>
  <c r="AM37" i="9"/>
  <c r="AN37" i="9"/>
  <c r="AO37" i="9"/>
  <c r="AP37" i="9"/>
  <c r="AQ37" i="9"/>
  <c r="AR37" i="9"/>
  <c r="AS37" i="9"/>
  <c r="AT37" i="9"/>
  <c r="AU37" i="9"/>
  <c r="AV37" i="9"/>
  <c r="AW37" i="9"/>
  <c r="AX37" i="9"/>
  <c r="AY37" i="9"/>
  <c r="AZ37" i="9"/>
  <c r="AA38" i="9"/>
  <c r="AB38" i="9"/>
  <c r="AC38" i="9"/>
  <c r="AD38" i="9"/>
  <c r="AE38" i="9"/>
  <c r="AF38" i="9"/>
  <c r="AG38" i="9"/>
  <c r="AH38" i="9"/>
  <c r="AI38" i="9"/>
  <c r="AJ38" i="9"/>
  <c r="AK38" i="9"/>
  <c r="AL38" i="9"/>
  <c r="AM38" i="9"/>
  <c r="AN38" i="9"/>
  <c r="AO38" i="9"/>
  <c r="AP38" i="9"/>
  <c r="AQ38" i="9"/>
  <c r="AR38" i="9"/>
  <c r="AS38" i="9"/>
  <c r="AT38" i="9"/>
  <c r="AU38" i="9"/>
  <c r="AV38" i="9"/>
  <c r="AW38" i="9"/>
  <c r="AX38" i="9"/>
  <c r="AY38" i="9"/>
  <c r="AZ38" i="9"/>
  <c r="AA39" i="9"/>
  <c r="AB39" i="9"/>
  <c r="AC39" i="9"/>
  <c r="AD39" i="9"/>
  <c r="AE39" i="9"/>
  <c r="AF39" i="9"/>
  <c r="AG39" i="9"/>
  <c r="AH39" i="9"/>
  <c r="AI39" i="9"/>
  <c r="AJ39" i="9"/>
  <c r="AK39" i="9"/>
  <c r="AL39" i="9"/>
  <c r="AM39" i="9"/>
  <c r="AN39" i="9"/>
  <c r="AO39" i="9"/>
  <c r="AP39" i="9"/>
  <c r="AQ39" i="9"/>
  <c r="AR39" i="9"/>
  <c r="AS39" i="9"/>
  <c r="AT39" i="9"/>
  <c r="AU39" i="9"/>
  <c r="AV39" i="9"/>
  <c r="AW39" i="9"/>
  <c r="AX39" i="9"/>
  <c r="AY39" i="9"/>
  <c r="AZ39" i="9"/>
  <c r="AA40" i="9"/>
  <c r="AB40" i="9"/>
  <c r="AC40" i="9"/>
  <c r="AD40" i="9"/>
  <c r="AE40" i="9"/>
  <c r="AF40" i="9"/>
  <c r="AG40" i="9"/>
  <c r="AH40" i="9"/>
  <c r="AI40" i="9"/>
  <c r="AJ40" i="9"/>
  <c r="AK40" i="9"/>
  <c r="AL40" i="9"/>
  <c r="AM40" i="9"/>
  <c r="AN40" i="9"/>
  <c r="AO40" i="9"/>
  <c r="AP40" i="9"/>
  <c r="AQ40" i="9"/>
  <c r="AR40" i="9"/>
  <c r="AS40" i="9"/>
  <c r="AT40" i="9"/>
  <c r="AU40" i="9"/>
  <c r="AV40" i="9"/>
  <c r="AW40" i="9"/>
  <c r="AX40" i="9"/>
  <c r="AY40" i="9"/>
  <c r="AZ40" i="9"/>
  <c r="AA41" i="9"/>
  <c r="AB41" i="9"/>
  <c r="AC41" i="9"/>
  <c r="AD41" i="9"/>
  <c r="AE41" i="9"/>
  <c r="AF41" i="9"/>
  <c r="AG41" i="9"/>
  <c r="AH41" i="9"/>
  <c r="AI41" i="9"/>
  <c r="AJ41" i="9"/>
  <c r="AK41" i="9"/>
  <c r="AL41" i="9"/>
  <c r="AM41" i="9"/>
  <c r="AN41" i="9"/>
  <c r="AO41" i="9"/>
  <c r="AP41" i="9"/>
  <c r="AQ41" i="9"/>
  <c r="AR41" i="9"/>
  <c r="AS41" i="9"/>
  <c r="AT41" i="9"/>
  <c r="AU41" i="9"/>
  <c r="AV41" i="9"/>
  <c r="AW41" i="9"/>
  <c r="AX41" i="9"/>
  <c r="AY41" i="9"/>
  <c r="AZ41" i="9"/>
  <c r="AA42" i="9"/>
  <c r="AB42" i="9"/>
  <c r="AC42" i="9"/>
  <c r="AD42" i="9"/>
  <c r="AE42" i="9"/>
  <c r="AF42" i="9"/>
  <c r="AG42" i="9"/>
  <c r="AH42" i="9"/>
  <c r="AI42" i="9"/>
  <c r="AJ42" i="9"/>
  <c r="AK42" i="9"/>
  <c r="AL42" i="9"/>
  <c r="AM42" i="9"/>
  <c r="AN42" i="9"/>
  <c r="AO42" i="9"/>
  <c r="AP42" i="9"/>
  <c r="AQ42" i="9"/>
  <c r="AR42" i="9"/>
  <c r="AS42" i="9"/>
  <c r="AT42" i="9"/>
  <c r="AU42" i="9"/>
  <c r="AV42" i="9"/>
  <c r="AW42" i="9"/>
  <c r="AX42" i="9"/>
  <c r="AY42" i="9"/>
  <c r="AZ42" i="9"/>
  <c r="AA43" i="9"/>
  <c r="AB43" i="9"/>
  <c r="AC43" i="9"/>
  <c r="AD43" i="9"/>
  <c r="AE43" i="9"/>
  <c r="AF43" i="9"/>
  <c r="AG43" i="9"/>
  <c r="AH43" i="9"/>
  <c r="AI43" i="9"/>
  <c r="AJ43" i="9"/>
  <c r="AK43" i="9"/>
  <c r="AL43" i="9"/>
  <c r="AM43" i="9"/>
  <c r="AN43" i="9"/>
  <c r="AO43" i="9"/>
  <c r="AP43" i="9"/>
  <c r="AQ43" i="9"/>
  <c r="AR43" i="9"/>
  <c r="AS43" i="9"/>
  <c r="AT43" i="9"/>
  <c r="AU43" i="9"/>
  <c r="AV43" i="9"/>
  <c r="AW43" i="9"/>
  <c r="AX43" i="9"/>
  <c r="AY43" i="9"/>
  <c r="AZ43" i="9"/>
  <c r="AA44" i="9"/>
  <c r="AB44" i="9"/>
  <c r="AC44" i="9"/>
  <c r="AD44" i="9"/>
  <c r="AE44" i="9"/>
  <c r="AF44" i="9"/>
  <c r="AG44" i="9"/>
  <c r="AH44" i="9"/>
  <c r="AI44" i="9"/>
  <c r="AJ44" i="9"/>
  <c r="AK44" i="9"/>
  <c r="AL44" i="9"/>
  <c r="AM44" i="9"/>
  <c r="AN44" i="9"/>
  <c r="AO44" i="9"/>
  <c r="AP44" i="9"/>
  <c r="AQ44" i="9"/>
  <c r="AR44" i="9"/>
  <c r="AS44" i="9"/>
  <c r="AT44" i="9"/>
  <c r="AU44" i="9"/>
  <c r="AV44" i="9"/>
  <c r="AW44" i="9"/>
  <c r="AX44" i="9"/>
  <c r="AY44" i="9"/>
  <c r="AZ44" i="9"/>
  <c r="AA45" i="9"/>
  <c r="AB45" i="9"/>
  <c r="AC45" i="9"/>
  <c r="AD45" i="9"/>
  <c r="AE45" i="9"/>
  <c r="AF45" i="9"/>
  <c r="AG45" i="9"/>
  <c r="AH45" i="9"/>
  <c r="AI45" i="9"/>
  <c r="AJ45" i="9"/>
  <c r="AK45" i="9"/>
  <c r="AL45" i="9"/>
  <c r="AM45" i="9"/>
  <c r="AN45" i="9"/>
  <c r="AO45" i="9"/>
  <c r="AP45" i="9"/>
  <c r="AQ45" i="9"/>
  <c r="AR45" i="9"/>
  <c r="AS45" i="9"/>
  <c r="AT45" i="9"/>
  <c r="AU45" i="9"/>
  <c r="AV45" i="9"/>
  <c r="AW45" i="9"/>
  <c r="AX45" i="9"/>
  <c r="AY45" i="9"/>
  <c r="AZ45" i="9"/>
  <c r="AA46" i="9"/>
  <c r="AB46" i="9"/>
  <c r="AC46" i="9"/>
  <c r="AD46" i="9"/>
  <c r="AE46" i="9"/>
  <c r="AF46" i="9"/>
  <c r="AG46" i="9"/>
  <c r="AH46" i="9"/>
  <c r="AI46" i="9"/>
  <c r="AJ46" i="9"/>
  <c r="AK46" i="9"/>
  <c r="AL46" i="9"/>
  <c r="AM46" i="9"/>
  <c r="AN46" i="9"/>
  <c r="AO46" i="9"/>
  <c r="AP46" i="9"/>
  <c r="AQ46" i="9"/>
  <c r="AR46" i="9"/>
  <c r="AS46" i="9"/>
  <c r="AT46" i="9"/>
  <c r="AU46" i="9"/>
  <c r="AV46" i="9"/>
  <c r="AW46" i="9"/>
  <c r="AX46" i="9"/>
  <c r="AY46" i="9"/>
  <c r="AZ46" i="9"/>
  <c r="AA47" i="9"/>
  <c r="AB47" i="9"/>
  <c r="AC47" i="9"/>
  <c r="AD47" i="9"/>
  <c r="AE47" i="9"/>
  <c r="AF47" i="9"/>
  <c r="AG47" i="9"/>
  <c r="AH47" i="9"/>
  <c r="AI47" i="9"/>
  <c r="AJ47" i="9"/>
  <c r="AK47" i="9"/>
  <c r="AL47" i="9"/>
  <c r="AM47" i="9"/>
  <c r="AN47" i="9"/>
  <c r="AO47" i="9"/>
  <c r="AP47" i="9"/>
  <c r="AQ47" i="9"/>
  <c r="AR47" i="9"/>
  <c r="AS47" i="9"/>
  <c r="AT47" i="9"/>
  <c r="AU47" i="9"/>
  <c r="AV47" i="9"/>
  <c r="AW47" i="9"/>
  <c r="AX47" i="9"/>
  <c r="AY47" i="9"/>
  <c r="AZ47" i="9"/>
  <c r="AA48" i="9"/>
  <c r="AB48" i="9"/>
  <c r="AC48" i="9"/>
  <c r="AD48" i="9"/>
  <c r="AE48" i="9"/>
  <c r="AF48" i="9"/>
  <c r="AG48" i="9"/>
  <c r="AH48" i="9"/>
  <c r="AI48" i="9"/>
  <c r="AJ48" i="9"/>
  <c r="AK48" i="9"/>
  <c r="AL48" i="9"/>
  <c r="AM48" i="9"/>
  <c r="AN48" i="9"/>
  <c r="AO48" i="9"/>
  <c r="AP48" i="9"/>
  <c r="AQ48" i="9"/>
  <c r="AR48" i="9"/>
  <c r="AS48" i="9"/>
  <c r="AT48" i="9"/>
  <c r="AU48" i="9"/>
  <c r="AV48" i="9"/>
  <c r="AW48" i="9"/>
  <c r="AX48" i="9"/>
  <c r="AY48" i="9"/>
  <c r="AZ48" i="9"/>
  <c r="AA49" i="9"/>
  <c r="AB49" i="9"/>
  <c r="AC49" i="9"/>
  <c r="AD49" i="9"/>
  <c r="AE49" i="9"/>
  <c r="AF49" i="9"/>
  <c r="AG49" i="9"/>
  <c r="AH49" i="9"/>
  <c r="AI49" i="9"/>
  <c r="AJ49" i="9"/>
  <c r="AK49" i="9"/>
  <c r="AL49" i="9"/>
  <c r="AM49" i="9"/>
  <c r="AN49" i="9"/>
  <c r="AO49" i="9"/>
  <c r="AP49" i="9"/>
  <c r="AQ49" i="9"/>
  <c r="AR49" i="9"/>
  <c r="AS49" i="9"/>
  <c r="AT49" i="9"/>
  <c r="AU49" i="9"/>
  <c r="AV49" i="9"/>
  <c r="AW49" i="9"/>
  <c r="AX49" i="9"/>
  <c r="AY49" i="9"/>
  <c r="AZ49" i="9"/>
  <c r="AA50" i="9"/>
  <c r="AB50" i="9"/>
  <c r="AC50" i="9"/>
  <c r="AD50" i="9"/>
  <c r="AE50" i="9"/>
  <c r="AF50" i="9"/>
  <c r="AG50" i="9"/>
  <c r="AH50" i="9"/>
  <c r="AI50" i="9"/>
  <c r="AJ50" i="9"/>
  <c r="AK50" i="9"/>
  <c r="AL50" i="9"/>
  <c r="AM50" i="9"/>
  <c r="AN50" i="9"/>
  <c r="AO50" i="9"/>
  <c r="AP50" i="9"/>
  <c r="AQ50" i="9"/>
  <c r="AR50" i="9"/>
  <c r="AS50" i="9"/>
  <c r="AT50" i="9"/>
  <c r="AU50" i="9"/>
  <c r="AV50" i="9"/>
  <c r="AW50" i="9"/>
  <c r="AX50" i="9"/>
  <c r="AY50" i="9"/>
  <c r="AZ50" i="9"/>
  <c r="AA51" i="9"/>
  <c r="AB51" i="9"/>
  <c r="AC51" i="9"/>
  <c r="AD51" i="9"/>
  <c r="AE51" i="9"/>
  <c r="AF51" i="9"/>
  <c r="AG51" i="9"/>
  <c r="AH51" i="9"/>
  <c r="AI51" i="9"/>
  <c r="AJ51" i="9"/>
  <c r="AK51" i="9"/>
  <c r="AL51" i="9"/>
  <c r="AM51" i="9"/>
  <c r="AN51" i="9"/>
  <c r="AO51" i="9"/>
  <c r="AP51" i="9"/>
  <c r="AQ51" i="9"/>
  <c r="AR51" i="9"/>
  <c r="AS51" i="9"/>
  <c r="AT51" i="9"/>
  <c r="AU51" i="9"/>
  <c r="AV51" i="9"/>
  <c r="AW51" i="9"/>
  <c r="AX51" i="9"/>
  <c r="AY51" i="9"/>
  <c r="AZ51" i="9"/>
  <c r="AA52" i="9"/>
  <c r="AB52" i="9"/>
  <c r="AC52" i="9"/>
  <c r="AD52" i="9"/>
  <c r="AE52" i="9"/>
  <c r="AF52" i="9"/>
  <c r="AG52" i="9"/>
  <c r="AH52" i="9"/>
  <c r="AI52" i="9"/>
  <c r="AJ52" i="9"/>
  <c r="AK52" i="9"/>
  <c r="AL52" i="9"/>
  <c r="AM52" i="9"/>
  <c r="AN52" i="9"/>
  <c r="AO52" i="9"/>
  <c r="AP52" i="9"/>
  <c r="AQ52" i="9"/>
  <c r="AR52" i="9"/>
  <c r="AS52" i="9"/>
  <c r="AT52" i="9"/>
  <c r="AU52" i="9"/>
  <c r="AV52" i="9"/>
  <c r="AW52" i="9"/>
  <c r="AX52" i="9"/>
  <c r="AY52" i="9"/>
  <c r="AZ52" i="9"/>
  <c r="AA53" i="9"/>
  <c r="AB53" i="9"/>
  <c r="AC53" i="9"/>
  <c r="AD53" i="9"/>
  <c r="AE53" i="9"/>
  <c r="AF53" i="9"/>
  <c r="AG53" i="9"/>
  <c r="AH53" i="9"/>
  <c r="AI53" i="9"/>
  <c r="AJ53" i="9"/>
  <c r="AK53" i="9"/>
  <c r="AL53" i="9"/>
  <c r="AM53" i="9"/>
  <c r="AN53" i="9"/>
  <c r="AO53" i="9"/>
  <c r="AP53" i="9"/>
  <c r="AQ53" i="9"/>
  <c r="AR53" i="9"/>
  <c r="AS53" i="9"/>
  <c r="AT53" i="9"/>
  <c r="AU53" i="9"/>
  <c r="AV53" i="9"/>
  <c r="AW53" i="9"/>
  <c r="AX53" i="9"/>
  <c r="AY53" i="9"/>
  <c r="AZ53" i="9"/>
  <c r="AA54" i="9"/>
  <c r="AB54" i="9"/>
  <c r="AC54" i="9"/>
  <c r="AD54" i="9"/>
  <c r="AE54" i="9"/>
  <c r="AF54" i="9"/>
  <c r="AG54" i="9"/>
  <c r="AH54" i="9"/>
  <c r="AI54" i="9"/>
  <c r="AJ54" i="9"/>
  <c r="AK54" i="9"/>
  <c r="AL54" i="9"/>
  <c r="AM54" i="9"/>
  <c r="AN54" i="9"/>
  <c r="AO54" i="9"/>
  <c r="AP54" i="9"/>
  <c r="AQ54" i="9"/>
  <c r="AR54" i="9"/>
  <c r="AS54" i="9"/>
  <c r="AT54" i="9"/>
  <c r="AU54" i="9"/>
  <c r="AV54" i="9"/>
  <c r="AW54" i="9"/>
  <c r="AX54" i="9"/>
  <c r="AY54" i="9"/>
  <c r="AZ54" i="9"/>
  <c r="AA55" i="9"/>
  <c r="AB55" i="9"/>
  <c r="AC55" i="9"/>
  <c r="AD55" i="9"/>
  <c r="AE55" i="9"/>
  <c r="AF55" i="9"/>
  <c r="AG55" i="9"/>
  <c r="AH55" i="9"/>
  <c r="AI55" i="9"/>
  <c r="AJ55" i="9"/>
  <c r="AK55" i="9"/>
  <c r="AL55" i="9"/>
  <c r="AM55" i="9"/>
  <c r="AN55" i="9"/>
  <c r="AO55" i="9"/>
  <c r="AP55" i="9"/>
  <c r="AQ55" i="9"/>
  <c r="AR55" i="9"/>
  <c r="AS55" i="9"/>
  <c r="AT55" i="9"/>
  <c r="AU55" i="9"/>
  <c r="AV55" i="9"/>
  <c r="AW55" i="9"/>
  <c r="AX55" i="9"/>
  <c r="AY55" i="9"/>
  <c r="AZ55" i="9"/>
  <c r="AA56" i="9"/>
  <c r="AB56" i="9"/>
  <c r="AC56" i="9"/>
  <c r="AD56" i="9"/>
  <c r="AE56" i="9"/>
  <c r="AF56" i="9"/>
  <c r="AG56" i="9"/>
  <c r="AH56" i="9"/>
  <c r="AI56" i="9"/>
  <c r="AJ56" i="9"/>
  <c r="AK56" i="9"/>
  <c r="AL56" i="9"/>
  <c r="AM56" i="9"/>
  <c r="AN56" i="9"/>
  <c r="AO56" i="9"/>
  <c r="AP56" i="9"/>
  <c r="AQ56" i="9"/>
  <c r="AR56" i="9"/>
  <c r="AS56" i="9"/>
  <c r="AT56" i="9"/>
  <c r="AU56" i="9"/>
  <c r="AV56" i="9"/>
  <c r="AW56" i="9"/>
  <c r="AX56" i="9"/>
  <c r="AY56" i="9"/>
  <c r="AZ56" i="9"/>
  <c r="AA57" i="9"/>
  <c r="AB57" i="9"/>
  <c r="AC57" i="9"/>
  <c r="AD57" i="9"/>
  <c r="AE57" i="9"/>
  <c r="AF57" i="9"/>
  <c r="AG57" i="9"/>
  <c r="AH57" i="9"/>
  <c r="AI57" i="9"/>
  <c r="AJ57" i="9"/>
  <c r="AK57" i="9"/>
  <c r="AL57" i="9"/>
  <c r="AM57" i="9"/>
  <c r="AN57" i="9"/>
  <c r="AO57" i="9"/>
  <c r="AP57" i="9"/>
  <c r="AQ57" i="9"/>
  <c r="AR57" i="9"/>
  <c r="AS57" i="9"/>
  <c r="AT57" i="9"/>
  <c r="AU57" i="9"/>
  <c r="AV57" i="9"/>
  <c r="AW57" i="9"/>
  <c r="AX57" i="9"/>
  <c r="AY57" i="9"/>
  <c r="AZ57" i="9"/>
  <c r="AA58" i="9"/>
  <c r="AB58" i="9"/>
  <c r="AC58" i="9"/>
  <c r="AD58" i="9"/>
  <c r="AE58" i="9"/>
  <c r="AF58" i="9"/>
  <c r="AG58" i="9"/>
  <c r="AH58" i="9"/>
  <c r="AI58" i="9"/>
  <c r="AJ58" i="9"/>
  <c r="AK58" i="9"/>
  <c r="AL58" i="9"/>
  <c r="AM58" i="9"/>
  <c r="AN58" i="9"/>
  <c r="AO58" i="9"/>
  <c r="AP58" i="9"/>
  <c r="AQ58" i="9"/>
  <c r="AR58" i="9"/>
  <c r="AS58" i="9"/>
  <c r="AT58" i="9"/>
  <c r="AU58" i="9"/>
  <c r="AV58" i="9"/>
  <c r="AW58" i="9"/>
  <c r="AX58" i="9"/>
  <c r="AY58" i="9"/>
  <c r="AZ58" i="9"/>
  <c r="AA59" i="9"/>
  <c r="AB59" i="9"/>
  <c r="AC59" i="9"/>
  <c r="AD59" i="9"/>
  <c r="AE59" i="9"/>
  <c r="AF59" i="9"/>
  <c r="AG59" i="9"/>
  <c r="AH59" i="9"/>
  <c r="AI59" i="9"/>
  <c r="AJ59" i="9"/>
  <c r="AK59" i="9"/>
  <c r="AL59" i="9"/>
  <c r="AM59" i="9"/>
  <c r="AN59" i="9"/>
  <c r="AO59" i="9"/>
  <c r="AP59" i="9"/>
  <c r="AQ59" i="9"/>
  <c r="AR59" i="9"/>
  <c r="AS59" i="9"/>
  <c r="AT59" i="9"/>
  <c r="AU59" i="9"/>
  <c r="AV59" i="9"/>
  <c r="AW59" i="9"/>
  <c r="AX59" i="9"/>
  <c r="AY59" i="9"/>
  <c r="AZ59" i="9"/>
  <c r="AA60" i="9"/>
  <c r="AB60" i="9"/>
  <c r="AC60" i="9"/>
  <c r="AD60" i="9"/>
  <c r="AE60" i="9"/>
  <c r="AF60" i="9"/>
  <c r="AG60" i="9"/>
  <c r="AH60" i="9"/>
  <c r="AI60" i="9"/>
  <c r="AJ60" i="9"/>
  <c r="AK60" i="9"/>
  <c r="AL60" i="9"/>
  <c r="AM60" i="9"/>
  <c r="AN60" i="9"/>
  <c r="AO60" i="9"/>
  <c r="AP60" i="9"/>
  <c r="AQ60" i="9"/>
  <c r="AR60" i="9"/>
  <c r="AS60" i="9"/>
  <c r="AT60" i="9"/>
  <c r="AU60" i="9"/>
  <c r="AV60" i="9"/>
  <c r="AW60" i="9"/>
  <c r="AX60" i="9"/>
  <c r="AY60" i="9"/>
  <c r="AZ60" i="9"/>
  <c r="AA61" i="9"/>
  <c r="AB61" i="9"/>
  <c r="AC61" i="9"/>
  <c r="AD61" i="9"/>
  <c r="AE61" i="9"/>
  <c r="AF61" i="9"/>
  <c r="AG61" i="9"/>
  <c r="AH61" i="9"/>
  <c r="AI61" i="9"/>
  <c r="AJ61" i="9"/>
  <c r="AK61" i="9"/>
  <c r="AL61" i="9"/>
  <c r="AM61" i="9"/>
  <c r="AN61" i="9"/>
  <c r="AO61" i="9"/>
  <c r="AP61" i="9"/>
  <c r="AQ61" i="9"/>
  <c r="AR61" i="9"/>
  <c r="AS61" i="9"/>
  <c r="AT61" i="9"/>
  <c r="AU61" i="9"/>
  <c r="AV61" i="9"/>
  <c r="AW61" i="9"/>
  <c r="AX61" i="9"/>
  <c r="AY61" i="9"/>
  <c r="AZ61" i="9"/>
  <c r="AA62" i="9"/>
  <c r="AB62" i="9"/>
  <c r="AC62" i="9"/>
  <c r="AD62" i="9"/>
  <c r="AE62" i="9"/>
  <c r="AF62" i="9"/>
  <c r="AG62" i="9"/>
  <c r="AH62" i="9"/>
  <c r="AI62" i="9"/>
  <c r="AJ62" i="9"/>
  <c r="AK62" i="9"/>
  <c r="AL62" i="9"/>
  <c r="AM62" i="9"/>
  <c r="AN62" i="9"/>
  <c r="AO62" i="9"/>
  <c r="AP62" i="9"/>
  <c r="AQ62" i="9"/>
  <c r="AR62" i="9"/>
  <c r="AS62" i="9"/>
  <c r="AT62" i="9"/>
  <c r="AU62" i="9"/>
  <c r="AV62" i="9"/>
  <c r="AW62" i="9"/>
  <c r="AX62" i="9"/>
  <c r="AY62" i="9"/>
  <c r="AZ62" i="9"/>
  <c r="AA63" i="9"/>
  <c r="AB63" i="9"/>
  <c r="AC63" i="9"/>
  <c r="AD63" i="9"/>
  <c r="AE63" i="9"/>
  <c r="AF63" i="9"/>
  <c r="AG63" i="9"/>
  <c r="AH63" i="9"/>
  <c r="AI63" i="9"/>
  <c r="AJ63" i="9"/>
  <c r="AK63" i="9"/>
  <c r="AL63" i="9"/>
  <c r="AM63" i="9"/>
  <c r="AN63" i="9"/>
  <c r="AO63" i="9"/>
  <c r="AP63" i="9"/>
  <c r="AQ63" i="9"/>
  <c r="AR63" i="9"/>
  <c r="AS63" i="9"/>
  <c r="AT63" i="9"/>
  <c r="AU63" i="9"/>
  <c r="AV63" i="9"/>
  <c r="AW63" i="9"/>
  <c r="AX63" i="9"/>
  <c r="AY63" i="9"/>
  <c r="AZ63" i="9"/>
  <c r="AA64" i="9"/>
  <c r="AB64" i="9"/>
  <c r="AC64" i="9"/>
  <c r="AD64" i="9"/>
  <c r="AE64" i="9"/>
  <c r="AF64" i="9"/>
  <c r="AG64" i="9"/>
  <c r="AH64" i="9"/>
  <c r="AI64" i="9"/>
  <c r="AJ64" i="9"/>
  <c r="AK64" i="9"/>
  <c r="AL64" i="9"/>
  <c r="AM64" i="9"/>
  <c r="AN64" i="9"/>
  <c r="AO64" i="9"/>
  <c r="AP64" i="9"/>
  <c r="AQ64" i="9"/>
  <c r="AR64" i="9"/>
  <c r="AS64" i="9"/>
  <c r="AT64" i="9"/>
  <c r="AU64" i="9"/>
  <c r="AV64" i="9"/>
  <c r="AW64" i="9"/>
  <c r="AX64" i="9"/>
  <c r="AY64" i="9"/>
  <c r="AZ64" i="9"/>
  <c r="AA65" i="9"/>
  <c r="AB65" i="9"/>
  <c r="AC65" i="9"/>
  <c r="AD65" i="9"/>
  <c r="AE65" i="9"/>
  <c r="AF65" i="9"/>
  <c r="AG65" i="9"/>
  <c r="AH65" i="9"/>
  <c r="AI65" i="9"/>
  <c r="AJ65" i="9"/>
  <c r="AK65" i="9"/>
  <c r="AL65" i="9"/>
  <c r="AM65" i="9"/>
  <c r="AN65" i="9"/>
  <c r="AO65" i="9"/>
  <c r="AP65" i="9"/>
  <c r="AQ65" i="9"/>
  <c r="AR65" i="9"/>
  <c r="AS65" i="9"/>
  <c r="AT65" i="9"/>
  <c r="AU65" i="9"/>
  <c r="AV65" i="9"/>
  <c r="AW65" i="9"/>
  <c r="AX65" i="9"/>
  <c r="AY65" i="9"/>
  <c r="AZ65" i="9"/>
  <c r="AA66" i="9"/>
  <c r="AB66" i="9"/>
  <c r="AC66" i="9"/>
  <c r="AD66" i="9"/>
  <c r="AE66" i="9"/>
  <c r="AF66" i="9"/>
  <c r="AG66" i="9"/>
  <c r="AH66" i="9"/>
  <c r="AI66" i="9"/>
  <c r="AJ66" i="9"/>
  <c r="AK66" i="9"/>
  <c r="AL66" i="9"/>
  <c r="AM66" i="9"/>
  <c r="AN66" i="9"/>
  <c r="AO66" i="9"/>
  <c r="AP66" i="9"/>
  <c r="AQ66" i="9"/>
  <c r="AR66" i="9"/>
  <c r="AS66" i="9"/>
  <c r="AT66" i="9"/>
  <c r="AU66" i="9"/>
  <c r="AV66" i="9"/>
  <c r="AW66" i="9"/>
  <c r="AX66" i="9"/>
  <c r="AY66" i="9"/>
  <c r="AZ66" i="9"/>
  <c r="AA67" i="9"/>
  <c r="AB67" i="9"/>
  <c r="AC67" i="9"/>
  <c r="AD67" i="9"/>
  <c r="AE67" i="9"/>
  <c r="AF67" i="9"/>
  <c r="AG67" i="9"/>
  <c r="AH67" i="9"/>
  <c r="AI67" i="9"/>
  <c r="AJ67" i="9"/>
  <c r="AK67" i="9"/>
  <c r="AL67" i="9"/>
  <c r="AM67" i="9"/>
  <c r="AN67" i="9"/>
  <c r="AO67" i="9"/>
  <c r="AP67" i="9"/>
  <c r="AQ67" i="9"/>
  <c r="AR67" i="9"/>
  <c r="AS67" i="9"/>
  <c r="AT67" i="9"/>
  <c r="AU67" i="9"/>
  <c r="AV67" i="9"/>
  <c r="AW67" i="9"/>
  <c r="AX67" i="9"/>
  <c r="AY67" i="9"/>
  <c r="AZ67" i="9"/>
  <c r="AA68" i="9"/>
  <c r="AB68" i="9"/>
  <c r="AC68" i="9"/>
  <c r="AD68" i="9"/>
  <c r="AE68" i="9"/>
  <c r="AF68" i="9"/>
  <c r="AG68" i="9"/>
  <c r="AH68" i="9"/>
  <c r="AI68" i="9"/>
  <c r="AJ68" i="9"/>
  <c r="AK68" i="9"/>
  <c r="AL68" i="9"/>
  <c r="AM68" i="9"/>
  <c r="AN68" i="9"/>
  <c r="AO68" i="9"/>
  <c r="AP68" i="9"/>
  <c r="AQ68" i="9"/>
  <c r="AR68" i="9"/>
  <c r="AS68" i="9"/>
  <c r="AT68" i="9"/>
  <c r="AU68" i="9"/>
  <c r="AV68" i="9"/>
  <c r="AW68" i="9"/>
  <c r="AX68" i="9"/>
  <c r="AY68" i="9"/>
  <c r="AZ68" i="9"/>
  <c r="AA69" i="9"/>
  <c r="AB69" i="9"/>
  <c r="AC69" i="9"/>
  <c r="AD69" i="9"/>
  <c r="AE69" i="9"/>
  <c r="AF69" i="9"/>
  <c r="AG69" i="9"/>
  <c r="AH69" i="9"/>
  <c r="AI69" i="9"/>
  <c r="AJ69" i="9"/>
  <c r="AK69" i="9"/>
  <c r="AL69" i="9"/>
  <c r="AM69" i="9"/>
  <c r="AN69" i="9"/>
  <c r="AO69" i="9"/>
  <c r="AP69" i="9"/>
  <c r="AQ69" i="9"/>
  <c r="AR69" i="9"/>
  <c r="AS69" i="9"/>
  <c r="AT69" i="9"/>
  <c r="AU69" i="9"/>
  <c r="AV69" i="9"/>
  <c r="AW69" i="9"/>
  <c r="AX69" i="9"/>
  <c r="AY69" i="9"/>
  <c r="AZ69" i="9"/>
  <c r="AA70" i="9"/>
  <c r="AB70" i="9"/>
  <c r="AC70" i="9"/>
  <c r="AD70" i="9"/>
  <c r="AE70" i="9"/>
  <c r="AF70" i="9"/>
  <c r="AG70" i="9"/>
  <c r="AH70" i="9"/>
  <c r="AI70" i="9"/>
  <c r="AJ70" i="9"/>
  <c r="AK70" i="9"/>
  <c r="AL70" i="9"/>
  <c r="AM70" i="9"/>
  <c r="AN70" i="9"/>
  <c r="AO70" i="9"/>
  <c r="AP70" i="9"/>
  <c r="AQ70" i="9"/>
  <c r="AR70" i="9"/>
  <c r="AS70" i="9"/>
  <c r="AT70" i="9"/>
  <c r="AU70" i="9"/>
  <c r="AV70" i="9"/>
  <c r="AW70" i="9"/>
  <c r="AX70" i="9"/>
  <c r="AY70" i="9"/>
  <c r="AZ70" i="9"/>
  <c r="AA71" i="9"/>
  <c r="AB71" i="9"/>
  <c r="AC71" i="9"/>
  <c r="AD71" i="9"/>
  <c r="AE71" i="9"/>
  <c r="AF71" i="9"/>
  <c r="AG71" i="9"/>
  <c r="AH71" i="9"/>
  <c r="AI71" i="9"/>
  <c r="AJ71" i="9"/>
  <c r="AK71" i="9"/>
  <c r="AL71" i="9"/>
  <c r="AM71" i="9"/>
  <c r="AN71" i="9"/>
  <c r="AO71" i="9"/>
  <c r="AP71" i="9"/>
  <c r="AQ71" i="9"/>
  <c r="AR71" i="9"/>
  <c r="AS71" i="9"/>
  <c r="AT71" i="9"/>
  <c r="AU71" i="9"/>
  <c r="AV71" i="9"/>
  <c r="AW71" i="9"/>
  <c r="AX71" i="9"/>
  <c r="AY71" i="9"/>
  <c r="AZ71" i="9"/>
  <c r="AA72" i="9"/>
  <c r="AB72" i="9"/>
  <c r="AC72" i="9"/>
  <c r="AD72" i="9"/>
  <c r="AE72" i="9"/>
  <c r="AF72" i="9"/>
  <c r="AG72" i="9"/>
  <c r="AH72" i="9"/>
  <c r="AI72" i="9"/>
  <c r="AJ72" i="9"/>
  <c r="AK72" i="9"/>
  <c r="AL72" i="9"/>
  <c r="AM72" i="9"/>
  <c r="AN72" i="9"/>
  <c r="AO72" i="9"/>
  <c r="AP72" i="9"/>
  <c r="AQ72" i="9"/>
  <c r="AR72" i="9"/>
  <c r="AS72" i="9"/>
  <c r="AT72" i="9"/>
  <c r="AU72" i="9"/>
  <c r="AV72" i="9"/>
  <c r="AW72" i="9"/>
  <c r="AX72" i="9"/>
  <c r="AY72" i="9"/>
  <c r="AZ72" i="9"/>
  <c r="AA73" i="9"/>
  <c r="AB73" i="9"/>
  <c r="AC73" i="9"/>
  <c r="AD73" i="9"/>
  <c r="AE73" i="9"/>
  <c r="AF73" i="9"/>
  <c r="AG73" i="9"/>
  <c r="AH73" i="9"/>
  <c r="AI73" i="9"/>
  <c r="AJ73" i="9"/>
  <c r="AK73" i="9"/>
  <c r="AL73" i="9"/>
  <c r="AM73" i="9"/>
  <c r="AN73" i="9"/>
  <c r="AO73" i="9"/>
  <c r="AP73" i="9"/>
  <c r="AQ73" i="9"/>
  <c r="AR73" i="9"/>
  <c r="AS73" i="9"/>
  <c r="AT73" i="9"/>
  <c r="AU73" i="9"/>
  <c r="AV73" i="9"/>
  <c r="AW73" i="9"/>
  <c r="AX73" i="9"/>
  <c r="AY73" i="9"/>
  <c r="AZ73" i="9"/>
  <c r="AA74" i="9"/>
  <c r="AB74" i="9"/>
  <c r="AC74" i="9"/>
  <c r="AD74" i="9"/>
  <c r="AE74" i="9"/>
  <c r="AF74" i="9"/>
  <c r="AG74" i="9"/>
  <c r="AH74" i="9"/>
  <c r="AI74" i="9"/>
  <c r="AJ74" i="9"/>
  <c r="AK74" i="9"/>
  <c r="AL74" i="9"/>
  <c r="AM74" i="9"/>
  <c r="AN74" i="9"/>
  <c r="AO74" i="9"/>
  <c r="AP74" i="9"/>
  <c r="AQ74" i="9"/>
  <c r="AR74" i="9"/>
  <c r="AS74" i="9"/>
  <c r="AT74" i="9"/>
  <c r="AU74" i="9"/>
  <c r="AV74" i="9"/>
  <c r="AW74" i="9"/>
  <c r="AX74" i="9"/>
  <c r="AY74" i="9"/>
  <c r="AZ74" i="9"/>
  <c r="AA75" i="9"/>
  <c r="AB75" i="9"/>
  <c r="AC75" i="9"/>
  <c r="AD75" i="9"/>
  <c r="AE75" i="9"/>
  <c r="AF75" i="9"/>
  <c r="AG75" i="9"/>
  <c r="AH75" i="9"/>
  <c r="AI75" i="9"/>
  <c r="AJ75" i="9"/>
  <c r="AK75" i="9"/>
  <c r="AL75" i="9"/>
  <c r="AM75" i="9"/>
  <c r="AN75" i="9"/>
  <c r="AO75" i="9"/>
  <c r="AP75" i="9"/>
  <c r="AQ75" i="9"/>
  <c r="AR75" i="9"/>
  <c r="AS75" i="9"/>
  <c r="AT75" i="9"/>
  <c r="AU75" i="9"/>
  <c r="AV75" i="9"/>
  <c r="AW75" i="9"/>
  <c r="AX75" i="9"/>
  <c r="AY75" i="9"/>
  <c r="AZ75" i="9"/>
  <c r="AA76" i="9"/>
  <c r="AB76" i="9"/>
  <c r="AC76" i="9"/>
  <c r="AD76" i="9"/>
  <c r="AE76" i="9"/>
  <c r="AF76" i="9"/>
  <c r="AG76" i="9"/>
  <c r="AH76" i="9"/>
  <c r="AI76" i="9"/>
  <c r="AJ76" i="9"/>
  <c r="AK76" i="9"/>
  <c r="AL76" i="9"/>
  <c r="AM76" i="9"/>
  <c r="AN76" i="9"/>
  <c r="AO76" i="9"/>
  <c r="AP76" i="9"/>
  <c r="AQ76" i="9"/>
  <c r="AR76" i="9"/>
  <c r="AS76" i="9"/>
  <c r="AT76" i="9"/>
  <c r="AU76" i="9"/>
  <c r="AV76" i="9"/>
  <c r="AW76" i="9"/>
  <c r="AX76" i="9"/>
  <c r="AY76" i="9"/>
  <c r="AZ76" i="9"/>
  <c r="AA77" i="9"/>
  <c r="AB77" i="9"/>
  <c r="AC77" i="9"/>
  <c r="AD77" i="9"/>
  <c r="AE77" i="9"/>
  <c r="AF77" i="9"/>
  <c r="AG77" i="9"/>
  <c r="AH77" i="9"/>
  <c r="AI77" i="9"/>
  <c r="AJ77" i="9"/>
  <c r="AK77" i="9"/>
  <c r="AL77" i="9"/>
  <c r="AM77" i="9"/>
  <c r="AN77" i="9"/>
  <c r="AO77" i="9"/>
  <c r="AP77" i="9"/>
  <c r="AQ77" i="9"/>
  <c r="AR77" i="9"/>
  <c r="AS77" i="9"/>
  <c r="AT77" i="9"/>
  <c r="AU77" i="9"/>
  <c r="AV77" i="9"/>
  <c r="AW77" i="9"/>
  <c r="AX77" i="9"/>
  <c r="AY77" i="9"/>
  <c r="AZ77" i="9"/>
  <c r="AA78" i="9"/>
  <c r="AB78" i="9"/>
  <c r="AC78" i="9"/>
  <c r="AD78" i="9"/>
  <c r="AE78" i="9"/>
  <c r="AF78" i="9"/>
  <c r="AG78" i="9"/>
  <c r="AH78" i="9"/>
  <c r="AI78" i="9"/>
  <c r="AJ78" i="9"/>
  <c r="AK78" i="9"/>
  <c r="AL78" i="9"/>
  <c r="AM78" i="9"/>
  <c r="AN78" i="9"/>
  <c r="AO78" i="9"/>
  <c r="AP78" i="9"/>
  <c r="AQ78" i="9"/>
  <c r="AR78" i="9"/>
  <c r="AS78" i="9"/>
  <c r="AT78" i="9"/>
  <c r="AU78" i="9"/>
  <c r="AV78" i="9"/>
  <c r="AW78" i="9"/>
  <c r="AX78" i="9"/>
  <c r="AY78" i="9"/>
  <c r="AZ78" i="9"/>
  <c r="AA79" i="9"/>
  <c r="AB79" i="9"/>
  <c r="AC79" i="9"/>
  <c r="AD79" i="9"/>
  <c r="AE79" i="9"/>
  <c r="AF79" i="9"/>
  <c r="AG79" i="9"/>
  <c r="AH79" i="9"/>
  <c r="AI79" i="9"/>
  <c r="AJ79" i="9"/>
  <c r="AK79" i="9"/>
  <c r="AL79" i="9"/>
  <c r="AM79" i="9"/>
  <c r="AN79" i="9"/>
  <c r="AO79" i="9"/>
  <c r="AP79" i="9"/>
  <c r="AQ79" i="9"/>
  <c r="AR79" i="9"/>
  <c r="AS79" i="9"/>
  <c r="AT79" i="9"/>
  <c r="AU79" i="9"/>
  <c r="AV79" i="9"/>
  <c r="AW79" i="9"/>
  <c r="AX79" i="9"/>
  <c r="AY79" i="9"/>
  <c r="AZ79" i="9"/>
  <c r="AA80" i="9"/>
  <c r="AB80" i="9"/>
  <c r="AC80" i="9"/>
  <c r="AD80" i="9"/>
  <c r="AE80" i="9"/>
  <c r="AF80" i="9"/>
  <c r="AG80" i="9"/>
  <c r="AH80" i="9"/>
  <c r="AI80" i="9"/>
  <c r="AJ80" i="9"/>
  <c r="AK80" i="9"/>
  <c r="AL80" i="9"/>
  <c r="AM80" i="9"/>
  <c r="AN80" i="9"/>
  <c r="AO80" i="9"/>
  <c r="AP80" i="9"/>
  <c r="AQ80" i="9"/>
  <c r="AR80" i="9"/>
  <c r="AS80" i="9"/>
  <c r="AT80" i="9"/>
  <c r="AU80" i="9"/>
  <c r="AV80" i="9"/>
  <c r="AW80" i="9"/>
  <c r="AX80" i="9"/>
  <c r="AY80" i="9"/>
  <c r="AZ80" i="9"/>
  <c r="AA81" i="9"/>
  <c r="AB81" i="9"/>
  <c r="AC81" i="9"/>
  <c r="AD81" i="9"/>
  <c r="AE81" i="9"/>
  <c r="AF81" i="9"/>
  <c r="AG81" i="9"/>
  <c r="AH81" i="9"/>
  <c r="AI81" i="9"/>
  <c r="AJ81" i="9"/>
  <c r="AK81" i="9"/>
  <c r="AL81" i="9"/>
  <c r="AM81" i="9"/>
  <c r="AN81" i="9"/>
  <c r="AO81" i="9"/>
  <c r="AP81" i="9"/>
  <c r="AQ81" i="9"/>
  <c r="AR81" i="9"/>
  <c r="AS81" i="9"/>
  <c r="AT81" i="9"/>
  <c r="AU81" i="9"/>
  <c r="AV81" i="9"/>
  <c r="AW81" i="9"/>
  <c r="AX81" i="9"/>
  <c r="AY81" i="9"/>
  <c r="AZ81" i="9"/>
  <c r="AA82" i="9"/>
  <c r="AB82" i="9"/>
  <c r="AC82" i="9"/>
  <c r="AD82" i="9"/>
  <c r="AE82" i="9"/>
  <c r="AF82" i="9"/>
  <c r="AG82" i="9"/>
  <c r="AH82" i="9"/>
  <c r="AI82" i="9"/>
  <c r="AJ82" i="9"/>
  <c r="AK82" i="9"/>
  <c r="AL82" i="9"/>
  <c r="AM82" i="9"/>
  <c r="AN82" i="9"/>
  <c r="AO82" i="9"/>
  <c r="AP82" i="9"/>
  <c r="AQ82" i="9"/>
  <c r="AR82" i="9"/>
  <c r="AS82" i="9"/>
  <c r="AT82" i="9"/>
  <c r="AU82" i="9"/>
  <c r="AV82" i="9"/>
  <c r="AW82" i="9"/>
  <c r="AX82" i="9"/>
  <c r="AY82" i="9"/>
  <c r="AZ82" i="9"/>
  <c r="AA83" i="9"/>
  <c r="AB83" i="9"/>
  <c r="AC83" i="9"/>
  <c r="AD83" i="9"/>
  <c r="AE83" i="9"/>
  <c r="AF83" i="9"/>
  <c r="AG83" i="9"/>
  <c r="AH83" i="9"/>
  <c r="AI83" i="9"/>
  <c r="AJ83" i="9"/>
  <c r="AK83" i="9"/>
  <c r="AL83" i="9"/>
  <c r="AM83" i="9"/>
  <c r="AN83" i="9"/>
  <c r="AO83" i="9"/>
  <c r="AP83" i="9"/>
  <c r="AQ83" i="9"/>
  <c r="AR83" i="9"/>
  <c r="AS83" i="9"/>
  <c r="AT83" i="9"/>
  <c r="AU83" i="9"/>
  <c r="AV83" i="9"/>
  <c r="AW83" i="9"/>
  <c r="AX83" i="9"/>
  <c r="AY83" i="9"/>
  <c r="AZ83" i="9"/>
  <c r="AA84" i="9"/>
  <c r="AB84" i="9"/>
  <c r="AC84" i="9"/>
  <c r="AD84" i="9"/>
  <c r="AE84" i="9"/>
  <c r="AF84" i="9"/>
  <c r="AG84" i="9"/>
  <c r="AH84" i="9"/>
  <c r="AI84" i="9"/>
  <c r="AJ84" i="9"/>
  <c r="AK84" i="9"/>
  <c r="AL84" i="9"/>
  <c r="AM84" i="9"/>
  <c r="AN84" i="9"/>
  <c r="AO84" i="9"/>
  <c r="AP84" i="9"/>
  <c r="AQ84" i="9"/>
  <c r="AR84" i="9"/>
  <c r="AS84" i="9"/>
  <c r="AT84" i="9"/>
  <c r="AU84" i="9"/>
  <c r="AV84" i="9"/>
  <c r="AW84" i="9"/>
  <c r="AX84" i="9"/>
  <c r="AY84" i="9"/>
  <c r="AZ84" i="9"/>
  <c r="AA85" i="9"/>
  <c r="AB85" i="9"/>
  <c r="AC85" i="9"/>
  <c r="AD85" i="9"/>
  <c r="AE85" i="9"/>
  <c r="AF85" i="9"/>
  <c r="AG85" i="9"/>
  <c r="AH85" i="9"/>
  <c r="AI85" i="9"/>
  <c r="AJ85" i="9"/>
  <c r="AK85" i="9"/>
  <c r="AL85" i="9"/>
  <c r="AM85" i="9"/>
  <c r="AN85" i="9"/>
  <c r="AO85" i="9"/>
  <c r="AP85" i="9"/>
  <c r="AQ85" i="9"/>
  <c r="AR85" i="9"/>
  <c r="AS85" i="9"/>
  <c r="AT85" i="9"/>
  <c r="AU85" i="9"/>
  <c r="AV85" i="9"/>
  <c r="AW85" i="9"/>
  <c r="AX85" i="9"/>
  <c r="AY85" i="9"/>
  <c r="AZ85" i="9"/>
  <c r="AA86" i="9"/>
  <c r="AB86" i="9"/>
  <c r="AC86" i="9"/>
  <c r="AD86" i="9"/>
  <c r="AE86" i="9"/>
  <c r="AF86" i="9"/>
  <c r="AG86" i="9"/>
  <c r="AH86" i="9"/>
  <c r="AI86" i="9"/>
  <c r="AJ86" i="9"/>
  <c r="AK86" i="9"/>
  <c r="AL86" i="9"/>
  <c r="AM86" i="9"/>
  <c r="AN86" i="9"/>
  <c r="AO86" i="9"/>
  <c r="AP86" i="9"/>
  <c r="AQ86" i="9"/>
  <c r="AR86" i="9"/>
  <c r="AS86" i="9"/>
  <c r="AT86" i="9"/>
  <c r="AU86" i="9"/>
  <c r="AV86" i="9"/>
  <c r="AW86" i="9"/>
  <c r="AX86" i="9"/>
  <c r="AY86" i="9"/>
  <c r="AZ86" i="9"/>
  <c r="AA87" i="9"/>
  <c r="AB87" i="9"/>
  <c r="AC87" i="9"/>
  <c r="AD87" i="9"/>
  <c r="AE87" i="9"/>
  <c r="AF87" i="9"/>
  <c r="AG87" i="9"/>
  <c r="AH87" i="9"/>
  <c r="AI87" i="9"/>
  <c r="AJ87" i="9"/>
  <c r="AK87" i="9"/>
  <c r="AL87" i="9"/>
  <c r="AM87" i="9"/>
  <c r="AN87" i="9"/>
  <c r="AO87" i="9"/>
  <c r="AP87" i="9"/>
  <c r="AQ87" i="9"/>
  <c r="AR87" i="9"/>
  <c r="AS87" i="9"/>
  <c r="AT87" i="9"/>
  <c r="AU87" i="9"/>
  <c r="AV87" i="9"/>
  <c r="AW87" i="9"/>
  <c r="AX87" i="9"/>
  <c r="AY87" i="9"/>
  <c r="AZ87" i="9"/>
  <c r="AA88" i="9"/>
  <c r="AB88" i="9"/>
  <c r="AC88" i="9"/>
  <c r="AD88" i="9"/>
  <c r="AE88" i="9"/>
  <c r="AF88" i="9"/>
  <c r="AG88" i="9"/>
  <c r="AH88" i="9"/>
  <c r="AI88" i="9"/>
  <c r="AJ88" i="9"/>
  <c r="AK88" i="9"/>
  <c r="AL88" i="9"/>
  <c r="AM88" i="9"/>
  <c r="AN88" i="9"/>
  <c r="AO88" i="9"/>
  <c r="AP88" i="9"/>
  <c r="AQ88" i="9"/>
  <c r="AR88" i="9"/>
  <c r="AS88" i="9"/>
  <c r="AT88" i="9"/>
  <c r="AU88" i="9"/>
  <c r="AV88" i="9"/>
  <c r="AW88" i="9"/>
  <c r="AX88" i="9"/>
  <c r="AY88" i="9"/>
  <c r="AZ88" i="9"/>
  <c r="AA89" i="9"/>
  <c r="AB89" i="9"/>
  <c r="AC89" i="9"/>
  <c r="AD89" i="9"/>
  <c r="AE89" i="9"/>
  <c r="AF89" i="9"/>
  <c r="AG89" i="9"/>
  <c r="AH89" i="9"/>
  <c r="AI89" i="9"/>
  <c r="AJ89" i="9"/>
  <c r="AK89" i="9"/>
  <c r="AL89" i="9"/>
  <c r="AM89" i="9"/>
  <c r="AN89" i="9"/>
  <c r="AO89" i="9"/>
  <c r="AP89" i="9"/>
  <c r="AQ89" i="9"/>
  <c r="AR89" i="9"/>
  <c r="AS89" i="9"/>
  <c r="AT89" i="9"/>
  <c r="AU89" i="9"/>
  <c r="AV89" i="9"/>
  <c r="AW89" i="9"/>
  <c r="AX89" i="9"/>
  <c r="AY89" i="9"/>
  <c r="AZ89" i="9"/>
  <c r="AA90" i="9"/>
  <c r="AB90" i="9"/>
  <c r="AC90" i="9"/>
  <c r="AD90" i="9"/>
  <c r="AE90" i="9"/>
  <c r="AF90" i="9"/>
  <c r="AG90" i="9"/>
  <c r="AH90" i="9"/>
  <c r="AI90" i="9"/>
  <c r="AJ90" i="9"/>
  <c r="AK90" i="9"/>
  <c r="AL90" i="9"/>
  <c r="AM90" i="9"/>
  <c r="AN90" i="9"/>
  <c r="AO90" i="9"/>
  <c r="AP90" i="9"/>
  <c r="AQ90" i="9"/>
  <c r="AR90" i="9"/>
  <c r="AS90" i="9"/>
  <c r="AT90" i="9"/>
  <c r="AU90" i="9"/>
  <c r="AV90" i="9"/>
  <c r="AW90" i="9"/>
  <c r="AX90" i="9"/>
  <c r="AY90" i="9"/>
  <c r="AZ90" i="9"/>
  <c r="AA91" i="9"/>
  <c r="AB91" i="9"/>
  <c r="AC91" i="9"/>
  <c r="AD91" i="9"/>
  <c r="AE91" i="9"/>
  <c r="AF91" i="9"/>
  <c r="AG91" i="9"/>
  <c r="AH91" i="9"/>
  <c r="AI91" i="9"/>
  <c r="AJ91" i="9"/>
  <c r="AK91" i="9"/>
  <c r="AL91" i="9"/>
  <c r="AM91" i="9"/>
  <c r="AN91" i="9"/>
  <c r="AO91" i="9"/>
  <c r="AP91" i="9"/>
  <c r="AQ91" i="9"/>
  <c r="AR91" i="9"/>
  <c r="AS91" i="9"/>
  <c r="AT91" i="9"/>
  <c r="AU91" i="9"/>
  <c r="AV91" i="9"/>
  <c r="AW91" i="9"/>
  <c r="AX91" i="9"/>
  <c r="AY91" i="9"/>
  <c r="AZ91" i="9"/>
  <c r="AA92" i="9"/>
  <c r="AB92" i="9"/>
  <c r="AC92" i="9"/>
  <c r="AD92" i="9"/>
  <c r="AE92" i="9"/>
  <c r="AF92" i="9"/>
  <c r="AG92" i="9"/>
  <c r="AH92" i="9"/>
  <c r="AI92" i="9"/>
  <c r="AJ92" i="9"/>
  <c r="AK92" i="9"/>
  <c r="AL92" i="9"/>
  <c r="AM92" i="9"/>
  <c r="AN92" i="9"/>
  <c r="AO92" i="9"/>
  <c r="AP92" i="9"/>
  <c r="AQ92" i="9"/>
  <c r="AR92" i="9"/>
  <c r="AS92" i="9"/>
  <c r="AT92" i="9"/>
  <c r="AU92" i="9"/>
  <c r="AV92" i="9"/>
  <c r="AW92" i="9"/>
  <c r="AX92" i="9"/>
  <c r="AY92" i="9"/>
  <c r="AZ92" i="9"/>
  <c r="AA93" i="9"/>
  <c r="AB93" i="9"/>
  <c r="AC93" i="9"/>
  <c r="AD93" i="9"/>
  <c r="AE93" i="9"/>
  <c r="AF93" i="9"/>
  <c r="AG93" i="9"/>
  <c r="AH93" i="9"/>
  <c r="AI93" i="9"/>
  <c r="AJ93" i="9"/>
  <c r="AK93" i="9"/>
  <c r="AL93" i="9"/>
  <c r="AM93" i="9"/>
  <c r="AN93" i="9"/>
  <c r="AO93" i="9"/>
  <c r="AP93" i="9"/>
  <c r="AQ93" i="9"/>
  <c r="AR93" i="9"/>
  <c r="AS93" i="9"/>
  <c r="AT93" i="9"/>
  <c r="AU93" i="9"/>
  <c r="AV93" i="9"/>
  <c r="AW93" i="9"/>
  <c r="AX93" i="9"/>
  <c r="AY93" i="9"/>
  <c r="AZ93" i="9"/>
  <c r="AA94" i="9"/>
  <c r="AB94" i="9"/>
  <c r="AC94" i="9"/>
  <c r="AD94" i="9"/>
  <c r="AE94" i="9"/>
  <c r="AF94" i="9"/>
  <c r="AG94" i="9"/>
  <c r="AH94" i="9"/>
  <c r="AI94" i="9"/>
  <c r="AJ94" i="9"/>
  <c r="AK94" i="9"/>
  <c r="AL94" i="9"/>
  <c r="AM94" i="9"/>
  <c r="AN94" i="9"/>
  <c r="AO94" i="9"/>
  <c r="AP94" i="9"/>
  <c r="AQ94" i="9"/>
  <c r="AR94" i="9"/>
  <c r="AS94" i="9"/>
  <c r="AT94" i="9"/>
  <c r="AU94" i="9"/>
  <c r="AV94" i="9"/>
  <c r="AW94" i="9"/>
  <c r="AX94" i="9"/>
  <c r="AY94" i="9"/>
  <c r="AZ94" i="9"/>
  <c r="AA95" i="9"/>
  <c r="AB95" i="9"/>
  <c r="AC95" i="9"/>
  <c r="AD95" i="9"/>
  <c r="AE95" i="9"/>
  <c r="AF95" i="9"/>
  <c r="AG95" i="9"/>
  <c r="AH95" i="9"/>
  <c r="AI95" i="9"/>
  <c r="AJ95" i="9"/>
  <c r="AK95" i="9"/>
  <c r="AL95" i="9"/>
  <c r="AM95" i="9"/>
  <c r="AN95" i="9"/>
  <c r="AO95" i="9"/>
  <c r="AP95" i="9"/>
  <c r="AQ95" i="9"/>
  <c r="AR95" i="9"/>
  <c r="AS95" i="9"/>
  <c r="AT95" i="9"/>
  <c r="AU95" i="9"/>
  <c r="AV95" i="9"/>
  <c r="AW95" i="9"/>
  <c r="AX95" i="9"/>
  <c r="AY95" i="9"/>
  <c r="AZ95" i="9"/>
  <c r="AA96" i="9"/>
  <c r="AB96" i="9"/>
  <c r="AC96" i="9"/>
  <c r="AD96" i="9"/>
  <c r="AE96" i="9"/>
  <c r="AF96" i="9"/>
  <c r="AG96" i="9"/>
  <c r="AH96" i="9"/>
  <c r="AI96" i="9"/>
  <c r="AJ96" i="9"/>
  <c r="AK96" i="9"/>
  <c r="AL96" i="9"/>
  <c r="AM96" i="9"/>
  <c r="AN96" i="9"/>
  <c r="AO96" i="9"/>
  <c r="AP96" i="9"/>
  <c r="AQ96" i="9"/>
  <c r="AR96" i="9"/>
  <c r="AS96" i="9"/>
  <c r="AT96" i="9"/>
  <c r="AU96" i="9"/>
  <c r="AV96" i="9"/>
  <c r="AW96" i="9"/>
  <c r="AX96" i="9"/>
  <c r="AY96" i="9"/>
  <c r="AZ96" i="9"/>
  <c r="AA97" i="9"/>
  <c r="AB97" i="9"/>
  <c r="AC97" i="9"/>
  <c r="AD97" i="9"/>
  <c r="AE97" i="9"/>
  <c r="AF97" i="9"/>
  <c r="AG97" i="9"/>
  <c r="AH97" i="9"/>
  <c r="AI97" i="9"/>
  <c r="AJ97" i="9"/>
  <c r="AK97" i="9"/>
  <c r="AL97" i="9"/>
  <c r="AM97" i="9"/>
  <c r="AN97" i="9"/>
  <c r="AO97" i="9"/>
  <c r="AP97" i="9"/>
  <c r="AQ97" i="9"/>
  <c r="AR97" i="9"/>
  <c r="AS97" i="9"/>
  <c r="AT97" i="9"/>
  <c r="AU97" i="9"/>
  <c r="AV97" i="9"/>
  <c r="AW97" i="9"/>
  <c r="AX97" i="9"/>
  <c r="AY97" i="9"/>
  <c r="AZ97" i="9"/>
  <c r="AA98" i="9"/>
  <c r="AB98" i="9"/>
  <c r="AC98" i="9"/>
  <c r="AD98" i="9"/>
  <c r="AE98" i="9"/>
  <c r="AF98" i="9"/>
  <c r="AG98" i="9"/>
  <c r="AH98" i="9"/>
  <c r="AI98" i="9"/>
  <c r="AJ98" i="9"/>
  <c r="AK98" i="9"/>
  <c r="AL98" i="9"/>
  <c r="AM98" i="9"/>
  <c r="AN98" i="9"/>
  <c r="AO98" i="9"/>
  <c r="AP98" i="9"/>
  <c r="AQ98" i="9"/>
  <c r="AR98" i="9"/>
  <c r="AS98" i="9"/>
  <c r="AT98" i="9"/>
  <c r="AU98" i="9"/>
  <c r="AV98" i="9"/>
  <c r="AW98" i="9"/>
  <c r="AX98" i="9"/>
  <c r="AY98" i="9"/>
  <c r="AZ98" i="9"/>
  <c r="AA99" i="9"/>
  <c r="AB99" i="9"/>
  <c r="AC99" i="9"/>
  <c r="AD99" i="9"/>
  <c r="AE99" i="9"/>
  <c r="AF99" i="9"/>
  <c r="AG99" i="9"/>
  <c r="AH99" i="9"/>
  <c r="AI99" i="9"/>
  <c r="AJ99" i="9"/>
  <c r="AK99" i="9"/>
  <c r="AL99" i="9"/>
  <c r="AM99" i="9"/>
  <c r="AN99" i="9"/>
  <c r="AO99" i="9"/>
  <c r="AP99" i="9"/>
  <c r="AQ99" i="9"/>
  <c r="AR99" i="9"/>
  <c r="AS99" i="9"/>
  <c r="AT99" i="9"/>
  <c r="AU99" i="9"/>
  <c r="AV99" i="9"/>
  <c r="AW99" i="9"/>
  <c r="AX99" i="9"/>
  <c r="AY99" i="9"/>
  <c r="AZ99" i="9"/>
  <c r="AA100" i="9"/>
  <c r="AB100" i="9"/>
  <c r="AC100" i="9"/>
  <c r="AD100" i="9"/>
  <c r="AE100" i="9"/>
  <c r="AF100" i="9"/>
  <c r="AG100" i="9"/>
  <c r="AH100" i="9"/>
  <c r="AI100" i="9"/>
  <c r="AJ100" i="9"/>
  <c r="AK100" i="9"/>
  <c r="AL100" i="9"/>
  <c r="AM100" i="9"/>
  <c r="AN100" i="9"/>
  <c r="AO100" i="9"/>
  <c r="AP100" i="9"/>
  <c r="AQ100" i="9"/>
  <c r="AR100" i="9"/>
  <c r="AS100" i="9"/>
  <c r="AT100" i="9"/>
  <c r="AU100" i="9"/>
  <c r="AV100" i="9"/>
  <c r="AW100" i="9"/>
  <c r="AX100" i="9"/>
  <c r="AY100" i="9"/>
  <c r="AZ100" i="9"/>
  <c r="AA101" i="9"/>
  <c r="AB101" i="9"/>
  <c r="AC101" i="9"/>
  <c r="AD101" i="9"/>
  <c r="AE101" i="9"/>
  <c r="AF101" i="9"/>
  <c r="AG101" i="9"/>
  <c r="AH101" i="9"/>
  <c r="AI101" i="9"/>
  <c r="AJ101" i="9"/>
  <c r="AK101" i="9"/>
  <c r="AL101" i="9"/>
  <c r="AM101" i="9"/>
  <c r="AN101" i="9"/>
  <c r="AO101" i="9"/>
  <c r="AP101" i="9"/>
  <c r="AQ101" i="9"/>
  <c r="AR101" i="9"/>
  <c r="AS101" i="9"/>
  <c r="AT101" i="9"/>
  <c r="AU101" i="9"/>
  <c r="AV101" i="9"/>
  <c r="AW101" i="9"/>
  <c r="AX101" i="9"/>
  <c r="AY101" i="9"/>
  <c r="AZ101" i="9"/>
  <c r="AA102" i="9"/>
  <c r="AB102" i="9"/>
  <c r="AC102" i="9"/>
  <c r="AD102" i="9"/>
  <c r="AE102" i="9"/>
  <c r="AF102" i="9"/>
  <c r="AG102" i="9"/>
  <c r="AH102" i="9"/>
  <c r="AI102" i="9"/>
  <c r="AJ102" i="9"/>
  <c r="AK102" i="9"/>
  <c r="AL102" i="9"/>
  <c r="AM102" i="9"/>
  <c r="AN102" i="9"/>
  <c r="AO102" i="9"/>
  <c r="AP102" i="9"/>
  <c r="AQ102" i="9"/>
  <c r="AR102" i="9"/>
  <c r="AS102" i="9"/>
  <c r="AT102" i="9"/>
  <c r="AU102" i="9"/>
  <c r="AV102" i="9"/>
  <c r="AW102" i="9"/>
  <c r="AX102" i="9"/>
  <c r="AY102" i="9"/>
  <c r="AZ102" i="9"/>
  <c r="AA103" i="9"/>
  <c r="AB103" i="9"/>
  <c r="AC103" i="9"/>
  <c r="AD103" i="9"/>
  <c r="AE103" i="9"/>
  <c r="AF103" i="9"/>
  <c r="AG103" i="9"/>
  <c r="AH103" i="9"/>
  <c r="AI103" i="9"/>
  <c r="AJ103" i="9"/>
  <c r="AK103" i="9"/>
  <c r="AL103" i="9"/>
  <c r="AM103" i="9"/>
  <c r="AN103" i="9"/>
  <c r="AO103" i="9"/>
  <c r="AP103" i="9"/>
  <c r="AQ103" i="9"/>
  <c r="AR103" i="9"/>
  <c r="AS103" i="9"/>
  <c r="AT103" i="9"/>
  <c r="AU103" i="9"/>
  <c r="AV103" i="9"/>
  <c r="AW103" i="9"/>
  <c r="AX103" i="9"/>
  <c r="AY103" i="9"/>
  <c r="AZ103" i="9"/>
  <c r="AA104" i="9"/>
  <c r="AB104" i="9"/>
  <c r="AC104" i="9"/>
  <c r="AD104" i="9"/>
  <c r="AE104" i="9"/>
  <c r="AF104" i="9"/>
  <c r="AG104" i="9"/>
  <c r="AH104" i="9"/>
  <c r="AI104" i="9"/>
  <c r="AJ104" i="9"/>
  <c r="AK104" i="9"/>
  <c r="AL104" i="9"/>
  <c r="AM104" i="9"/>
  <c r="AN104" i="9"/>
  <c r="AO104" i="9"/>
  <c r="AP104" i="9"/>
  <c r="AQ104" i="9"/>
  <c r="AR104" i="9"/>
  <c r="AS104" i="9"/>
  <c r="AT104" i="9"/>
  <c r="AU104" i="9"/>
  <c r="AV104" i="9"/>
  <c r="AW104" i="9"/>
  <c r="AX104" i="9"/>
  <c r="AY104" i="9"/>
  <c r="AZ104" i="9"/>
  <c r="AA105" i="9"/>
  <c r="AB105" i="9"/>
  <c r="AC105" i="9"/>
  <c r="AD105" i="9"/>
  <c r="AE105" i="9"/>
  <c r="AF105" i="9"/>
  <c r="AG105" i="9"/>
  <c r="AH105" i="9"/>
  <c r="AI105" i="9"/>
  <c r="AJ105" i="9"/>
  <c r="AK105" i="9"/>
  <c r="AL105" i="9"/>
  <c r="AM105" i="9"/>
  <c r="AN105" i="9"/>
  <c r="AO105" i="9"/>
  <c r="AP105" i="9"/>
  <c r="AQ105" i="9"/>
  <c r="AR105" i="9"/>
  <c r="AS105" i="9"/>
  <c r="AT105" i="9"/>
  <c r="AU105" i="9"/>
  <c r="AV105" i="9"/>
  <c r="AW105" i="9"/>
  <c r="AX105" i="9"/>
  <c r="AY105" i="9"/>
  <c r="AZ105" i="9"/>
  <c r="AA106" i="9"/>
  <c r="AB106" i="9"/>
  <c r="AC106" i="9"/>
  <c r="AD106" i="9"/>
  <c r="AE106" i="9"/>
  <c r="AF106" i="9"/>
  <c r="AG106" i="9"/>
  <c r="AH106" i="9"/>
  <c r="AI106" i="9"/>
  <c r="AJ106" i="9"/>
  <c r="AK106" i="9"/>
  <c r="AL106" i="9"/>
  <c r="AM106" i="9"/>
  <c r="AN106" i="9"/>
  <c r="AO106" i="9"/>
  <c r="AP106" i="9"/>
  <c r="AQ106" i="9"/>
  <c r="AR106" i="9"/>
  <c r="AS106" i="9"/>
  <c r="AT106" i="9"/>
  <c r="AU106" i="9"/>
  <c r="AV106" i="9"/>
  <c r="AW106" i="9"/>
  <c r="AX106" i="9"/>
  <c r="AY106" i="9"/>
  <c r="AZ106" i="9"/>
  <c r="AA107" i="9"/>
  <c r="AB107" i="9"/>
  <c r="AC107" i="9"/>
  <c r="AD107" i="9"/>
  <c r="AE107" i="9"/>
  <c r="AF107" i="9"/>
  <c r="AG107" i="9"/>
  <c r="AH107" i="9"/>
  <c r="AI107" i="9"/>
  <c r="AJ107" i="9"/>
  <c r="AK107" i="9"/>
  <c r="AL107" i="9"/>
  <c r="AM107" i="9"/>
  <c r="AN107" i="9"/>
  <c r="AO107" i="9"/>
  <c r="AP107" i="9"/>
  <c r="AQ107" i="9"/>
  <c r="AR107" i="9"/>
  <c r="AS107" i="9"/>
  <c r="AT107" i="9"/>
  <c r="AU107" i="9"/>
  <c r="AV107" i="9"/>
  <c r="AW107" i="9"/>
  <c r="AX107" i="9"/>
  <c r="AY107" i="9"/>
  <c r="AZ107" i="9"/>
  <c r="AA108" i="9"/>
  <c r="AB108" i="9"/>
  <c r="AC108" i="9"/>
  <c r="AD108" i="9"/>
  <c r="AE108" i="9"/>
  <c r="AF108" i="9"/>
  <c r="AG108" i="9"/>
  <c r="AH108" i="9"/>
  <c r="AI108" i="9"/>
  <c r="AJ108" i="9"/>
  <c r="AK108" i="9"/>
  <c r="AL108" i="9"/>
  <c r="AM108" i="9"/>
  <c r="AN108" i="9"/>
  <c r="AO108" i="9"/>
  <c r="AP108" i="9"/>
  <c r="AQ108" i="9"/>
  <c r="AR108" i="9"/>
  <c r="AS108" i="9"/>
  <c r="AT108" i="9"/>
  <c r="AU108" i="9"/>
  <c r="AV108" i="9"/>
  <c r="AW108" i="9"/>
  <c r="AX108" i="9"/>
  <c r="AY108" i="9"/>
  <c r="AZ108" i="9"/>
  <c r="AA109" i="9"/>
  <c r="AB109" i="9"/>
  <c r="AC109" i="9"/>
  <c r="AD109" i="9"/>
  <c r="AE109" i="9"/>
  <c r="AF109" i="9"/>
  <c r="AG109" i="9"/>
  <c r="AH109" i="9"/>
  <c r="AI109" i="9"/>
  <c r="AJ109" i="9"/>
  <c r="AK109" i="9"/>
  <c r="AL109" i="9"/>
  <c r="AM109" i="9"/>
  <c r="AN109" i="9"/>
  <c r="AO109" i="9"/>
  <c r="AP109" i="9"/>
  <c r="AQ109" i="9"/>
  <c r="AR109" i="9"/>
  <c r="AS109" i="9"/>
  <c r="AT109" i="9"/>
  <c r="AU109" i="9"/>
  <c r="AV109" i="9"/>
  <c r="AW109" i="9"/>
  <c r="AX109" i="9"/>
  <c r="AY109" i="9"/>
  <c r="AZ109" i="9"/>
  <c r="AA110" i="9"/>
  <c r="AB110" i="9"/>
  <c r="AC110" i="9"/>
  <c r="AD110" i="9"/>
  <c r="AE110" i="9"/>
  <c r="AF110" i="9"/>
  <c r="AG110" i="9"/>
  <c r="AH110" i="9"/>
  <c r="AI110" i="9"/>
  <c r="AJ110" i="9"/>
  <c r="AK110" i="9"/>
  <c r="AL110" i="9"/>
  <c r="AM110" i="9"/>
  <c r="AN110" i="9"/>
  <c r="AO110" i="9"/>
  <c r="AP110" i="9"/>
  <c r="AQ110" i="9"/>
  <c r="AR110" i="9"/>
  <c r="AS110" i="9"/>
  <c r="AT110" i="9"/>
  <c r="AU110" i="9"/>
  <c r="AV110" i="9"/>
  <c r="AW110" i="9"/>
  <c r="AX110" i="9"/>
  <c r="AY110" i="9"/>
  <c r="AZ110" i="9"/>
  <c r="AA111" i="9"/>
  <c r="AB111" i="9"/>
  <c r="AC111" i="9"/>
  <c r="AD111" i="9"/>
  <c r="AE111" i="9"/>
  <c r="AF111" i="9"/>
  <c r="AG111" i="9"/>
  <c r="AH111" i="9"/>
  <c r="AI111" i="9"/>
  <c r="AJ111" i="9"/>
  <c r="AK111" i="9"/>
  <c r="AL111" i="9"/>
  <c r="AM111" i="9"/>
  <c r="AN111" i="9"/>
  <c r="AO111" i="9"/>
  <c r="AP111" i="9"/>
  <c r="AQ111" i="9"/>
  <c r="AR111" i="9"/>
  <c r="AS111" i="9"/>
  <c r="AT111" i="9"/>
  <c r="AU111" i="9"/>
  <c r="AV111" i="9"/>
  <c r="AW111" i="9"/>
  <c r="AX111" i="9"/>
  <c r="AY111" i="9"/>
  <c r="AZ111" i="9"/>
  <c r="AA112" i="9"/>
  <c r="AB112" i="9"/>
  <c r="AC112" i="9"/>
  <c r="AD112" i="9"/>
  <c r="AE112" i="9"/>
  <c r="AF112" i="9"/>
  <c r="AG112" i="9"/>
  <c r="AH112" i="9"/>
  <c r="AI112" i="9"/>
  <c r="AJ112" i="9"/>
  <c r="AK112" i="9"/>
  <c r="AL112" i="9"/>
  <c r="AM112" i="9"/>
  <c r="AN112" i="9"/>
  <c r="AO112" i="9"/>
  <c r="AP112" i="9"/>
  <c r="AQ112" i="9"/>
  <c r="AR112" i="9"/>
  <c r="AS112" i="9"/>
  <c r="AT112" i="9"/>
  <c r="AU112" i="9"/>
  <c r="AV112" i="9"/>
  <c r="AW112" i="9"/>
  <c r="AX112" i="9"/>
  <c r="AY112" i="9"/>
  <c r="AZ112" i="9"/>
  <c r="AA113" i="9"/>
  <c r="AB113" i="9"/>
  <c r="AC113" i="9"/>
  <c r="AD113" i="9"/>
  <c r="AE113" i="9"/>
  <c r="AF113" i="9"/>
  <c r="AG113" i="9"/>
  <c r="AH113" i="9"/>
  <c r="AI113" i="9"/>
  <c r="AJ113" i="9"/>
  <c r="AK113" i="9"/>
  <c r="AL113" i="9"/>
  <c r="AM113" i="9"/>
  <c r="AN113" i="9"/>
  <c r="AO113" i="9"/>
  <c r="AP113" i="9"/>
  <c r="AQ113" i="9"/>
  <c r="AR113" i="9"/>
  <c r="AS113" i="9"/>
  <c r="AT113" i="9"/>
  <c r="AU113" i="9"/>
  <c r="AV113" i="9"/>
  <c r="AW113" i="9"/>
  <c r="AX113" i="9"/>
  <c r="AY113" i="9"/>
  <c r="AZ113" i="9"/>
  <c r="AA114" i="9"/>
  <c r="AB114" i="9"/>
  <c r="AC114" i="9"/>
  <c r="AD114" i="9"/>
  <c r="AE114" i="9"/>
  <c r="AF114" i="9"/>
  <c r="AG114" i="9"/>
  <c r="AH114" i="9"/>
  <c r="AI114" i="9"/>
  <c r="AJ114" i="9"/>
  <c r="AK114" i="9"/>
  <c r="AL114" i="9"/>
  <c r="AM114" i="9"/>
  <c r="AN114" i="9"/>
  <c r="AO114" i="9"/>
  <c r="AP114" i="9"/>
  <c r="AQ114" i="9"/>
  <c r="AR114" i="9"/>
  <c r="AS114" i="9"/>
  <c r="AT114" i="9"/>
  <c r="AU114" i="9"/>
  <c r="AV114" i="9"/>
  <c r="AW114" i="9"/>
  <c r="AX114" i="9"/>
  <c r="AY114" i="9"/>
  <c r="AZ114" i="9"/>
  <c r="AA115" i="9"/>
  <c r="AB115" i="9"/>
  <c r="AC115" i="9"/>
  <c r="AD115" i="9"/>
  <c r="AE115" i="9"/>
  <c r="AF115" i="9"/>
  <c r="AG115" i="9"/>
  <c r="AH115" i="9"/>
  <c r="AI115" i="9"/>
  <c r="AJ115" i="9"/>
  <c r="AK115" i="9"/>
  <c r="AL115" i="9"/>
  <c r="AM115" i="9"/>
  <c r="AN115" i="9"/>
  <c r="AO115" i="9"/>
  <c r="AP115" i="9"/>
  <c r="AQ115" i="9"/>
  <c r="AR115" i="9"/>
  <c r="AS115" i="9"/>
  <c r="AT115" i="9"/>
  <c r="AU115" i="9"/>
  <c r="AV115" i="9"/>
  <c r="AW115" i="9"/>
  <c r="AX115" i="9"/>
  <c r="AY115" i="9"/>
  <c r="AZ115" i="9"/>
  <c r="AA116" i="9"/>
  <c r="AB116" i="9"/>
  <c r="AC116" i="9"/>
  <c r="AD116" i="9"/>
  <c r="AE116" i="9"/>
  <c r="AF116" i="9"/>
  <c r="AG116" i="9"/>
  <c r="AH116" i="9"/>
  <c r="AI116" i="9"/>
  <c r="AJ116" i="9"/>
  <c r="AK116" i="9"/>
  <c r="AL116" i="9"/>
  <c r="AM116" i="9"/>
  <c r="AN116" i="9"/>
  <c r="AO116" i="9"/>
  <c r="AP116" i="9"/>
  <c r="AQ116" i="9"/>
  <c r="AR116" i="9"/>
  <c r="AS116" i="9"/>
  <c r="AT116" i="9"/>
  <c r="AU116" i="9"/>
  <c r="AV116" i="9"/>
  <c r="AW116" i="9"/>
  <c r="AX116" i="9"/>
  <c r="AY116" i="9"/>
  <c r="AZ116" i="9"/>
  <c r="AA117" i="9"/>
  <c r="AB117" i="9"/>
  <c r="AC117" i="9"/>
  <c r="AD117" i="9"/>
  <c r="AE117" i="9"/>
  <c r="AF117" i="9"/>
  <c r="AG117" i="9"/>
  <c r="AH117" i="9"/>
  <c r="AI117" i="9"/>
  <c r="AJ117" i="9"/>
  <c r="AK117" i="9"/>
  <c r="AL117" i="9"/>
  <c r="AM117" i="9"/>
  <c r="AN117" i="9"/>
  <c r="AO117" i="9"/>
  <c r="AP117" i="9"/>
  <c r="AQ117" i="9"/>
  <c r="AR117" i="9"/>
  <c r="AS117" i="9"/>
  <c r="AT117" i="9"/>
  <c r="AU117" i="9"/>
  <c r="AV117" i="9"/>
  <c r="AW117" i="9"/>
  <c r="AX117" i="9"/>
  <c r="AY117" i="9"/>
  <c r="AZ117" i="9"/>
  <c r="AA118" i="9"/>
  <c r="AB118" i="9"/>
  <c r="AC118" i="9"/>
  <c r="AD118" i="9"/>
  <c r="AE118" i="9"/>
  <c r="AF118" i="9"/>
  <c r="AG118" i="9"/>
  <c r="AH118" i="9"/>
  <c r="AI118" i="9"/>
  <c r="AJ118" i="9"/>
  <c r="AK118" i="9"/>
  <c r="AL118" i="9"/>
  <c r="AM118" i="9"/>
  <c r="AN118" i="9"/>
  <c r="AO118" i="9"/>
  <c r="AP118" i="9"/>
  <c r="AQ118" i="9"/>
  <c r="AR118" i="9"/>
  <c r="AS118" i="9"/>
  <c r="AT118" i="9"/>
  <c r="AU118" i="9"/>
  <c r="AV118" i="9"/>
  <c r="AW118" i="9"/>
  <c r="AX118" i="9"/>
  <c r="AY118" i="9"/>
  <c r="AZ118" i="9"/>
  <c r="AA119" i="9"/>
  <c r="AB119" i="9"/>
  <c r="AC119" i="9"/>
  <c r="AD119" i="9"/>
  <c r="AE119" i="9"/>
  <c r="AF119" i="9"/>
  <c r="AG119" i="9"/>
  <c r="AH119" i="9"/>
  <c r="AI119" i="9"/>
  <c r="AJ119" i="9"/>
  <c r="AK119" i="9"/>
  <c r="AL119" i="9"/>
  <c r="AM119" i="9"/>
  <c r="AN119" i="9"/>
  <c r="AO119" i="9"/>
  <c r="AP119" i="9"/>
  <c r="AQ119" i="9"/>
  <c r="AR119" i="9"/>
  <c r="AS119" i="9"/>
  <c r="AT119" i="9"/>
  <c r="AU119" i="9"/>
  <c r="AV119" i="9"/>
  <c r="AW119" i="9"/>
  <c r="AX119" i="9"/>
  <c r="AY119" i="9"/>
  <c r="AZ119" i="9"/>
  <c r="AA120" i="9"/>
  <c r="AB120" i="9"/>
  <c r="AC120" i="9"/>
  <c r="AD120" i="9"/>
  <c r="AE120" i="9"/>
  <c r="AF120" i="9"/>
  <c r="AG120" i="9"/>
  <c r="AH120" i="9"/>
  <c r="AI120" i="9"/>
  <c r="AJ120" i="9"/>
  <c r="AK120" i="9"/>
  <c r="AL120" i="9"/>
  <c r="AM120" i="9"/>
  <c r="AN120" i="9"/>
  <c r="AO120" i="9"/>
  <c r="AP120" i="9"/>
  <c r="AQ120" i="9"/>
  <c r="AR120" i="9"/>
  <c r="AS120" i="9"/>
  <c r="AT120" i="9"/>
  <c r="AU120" i="9"/>
  <c r="AV120" i="9"/>
  <c r="AW120" i="9"/>
  <c r="AX120" i="9"/>
  <c r="AY120" i="9"/>
  <c r="AZ120" i="9"/>
  <c r="AA121" i="9"/>
  <c r="AB121" i="9"/>
  <c r="AC121" i="9"/>
  <c r="AD121" i="9"/>
  <c r="AE121" i="9"/>
  <c r="AF121" i="9"/>
  <c r="AG121" i="9"/>
  <c r="AH121" i="9"/>
  <c r="AI121" i="9"/>
  <c r="AJ121" i="9"/>
  <c r="AK121" i="9"/>
  <c r="AL121" i="9"/>
  <c r="AM121" i="9"/>
  <c r="AN121" i="9"/>
  <c r="AO121" i="9"/>
  <c r="AP121" i="9"/>
  <c r="AQ121" i="9"/>
  <c r="AR121" i="9"/>
  <c r="AS121" i="9"/>
  <c r="AT121" i="9"/>
  <c r="AU121" i="9"/>
  <c r="AV121" i="9"/>
  <c r="AW121" i="9"/>
  <c r="AX121" i="9"/>
  <c r="AY121" i="9"/>
  <c r="AZ121" i="9"/>
  <c r="AA122" i="9"/>
  <c r="AB122" i="9"/>
  <c r="AC122" i="9"/>
  <c r="AD122" i="9"/>
  <c r="AE122" i="9"/>
  <c r="AF122" i="9"/>
  <c r="AG122" i="9"/>
  <c r="AH122" i="9"/>
  <c r="AI122" i="9"/>
  <c r="AJ122" i="9"/>
  <c r="AK122" i="9"/>
  <c r="AL122" i="9"/>
  <c r="AM122" i="9"/>
  <c r="AN122" i="9"/>
  <c r="AO122" i="9"/>
  <c r="AP122" i="9"/>
  <c r="AQ122" i="9"/>
  <c r="AR122" i="9"/>
  <c r="AS122" i="9"/>
  <c r="AT122" i="9"/>
  <c r="AU122" i="9"/>
  <c r="AV122" i="9"/>
  <c r="AW122" i="9"/>
  <c r="AX122" i="9"/>
  <c r="AY122" i="9"/>
  <c r="AZ122" i="9"/>
  <c r="AA123" i="9"/>
  <c r="AB123" i="9"/>
  <c r="AC123" i="9"/>
  <c r="AD123" i="9"/>
  <c r="AE123" i="9"/>
  <c r="AF123" i="9"/>
  <c r="AG123" i="9"/>
  <c r="AH123" i="9"/>
  <c r="AI123" i="9"/>
  <c r="AJ123" i="9"/>
  <c r="AK123" i="9"/>
  <c r="AL123" i="9"/>
  <c r="AM123" i="9"/>
  <c r="AN123" i="9"/>
  <c r="AO123" i="9"/>
  <c r="AP123" i="9"/>
  <c r="AQ123" i="9"/>
  <c r="AR123" i="9"/>
  <c r="AS123" i="9"/>
  <c r="AT123" i="9"/>
  <c r="AU123" i="9"/>
  <c r="AV123" i="9"/>
  <c r="AW123" i="9"/>
  <c r="AX123" i="9"/>
  <c r="AY123" i="9"/>
  <c r="AZ123" i="9"/>
  <c r="AA124" i="9"/>
  <c r="AB124" i="9"/>
  <c r="AC124" i="9"/>
  <c r="AD124" i="9"/>
  <c r="AE124" i="9"/>
  <c r="AF124" i="9"/>
  <c r="AG124" i="9"/>
  <c r="AH124" i="9"/>
  <c r="AI124" i="9"/>
  <c r="AJ124" i="9"/>
  <c r="AK124" i="9"/>
  <c r="AL124" i="9"/>
  <c r="AM124" i="9"/>
  <c r="AN124" i="9"/>
  <c r="AO124" i="9"/>
  <c r="AP124" i="9"/>
  <c r="AQ124" i="9"/>
  <c r="AR124" i="9"/>
  <c r="AS124" i="9"/>
  <c r="AT124" i="9"/>
  <c r="AU124" i="9"/>
  <c r="AV124" i="9"/>
  <c r="AW124" i="9"/>
  <c r="AX124" i="9"/>
  <c r="AY124" i="9"/>
  <c r="AZ124" i="9"/>
  <c r="AA125" i="9"/>
  <c r="AB125" i="9"/>
  <c r="AC125" i="9"/>
  <c r="AD125" i="9"/>
  <c r="AE125" i="9"/>
  <c r="AF125" i="9"/>
  <c r="AG125" i="9"/>
  <c r="AH125" i="9"/>
  <c r="AI125" i="9"/>
  <c r="AJ125" i="9"/>
  <c r="AK125" i="9"/>
  <c r="AL125" i="9"/>
  <c r="AM125" i="9"/>
  <c r="AN125" i="9"/>
  <c r="AO125" i="9"/>
  <c r="AP125" i="9"/>
  <c r="AQ125" i="9"/>
  <c r="AR125" i="9"/>
  <c r="AS125" i="9"/>
  <c r="AT125" i="9"/>
  <c r="AU125" i="9"/>
  <c r="AV125" i="9"/>
  <c r="AW125" i="9"/>
  <c r="AX125" i="9"/>
  <c r="AY125" i="9"/>
  <c r="AZ125" i="9"/>
  <c r="AA126" i="9"/>
  <c r="AB126" i="9"/>
  <c r="AC126" i="9"/>
  <c r="AD126" i="9"/>
  <c r="AE126" i="9"/>
  <c r="AF126" i="9"/>
  <c r="AG126" i="9"/>
  <c r="AH126" i="9"/>
  <c r="AI126" i="9"/>
  <c r="AJ126" i="9"/>
  <c r="AK126" i="9"/>
  <c r="AL126" i="9"/>
  <c r="AM126" i="9"/>
  <c r="AN126" i="9"/>
  <c r="AO126" i="9"/>
  <c r="AP126" i="9"/>
  <c r="AQ126" i="9"/>
  <c r="AR126" i="9"/>
  <c r="AS126" i="9"/>
  <c r="AT126" i="9"/>
  <c r="AU126" i="9"/>
  <c r="AV126" i="9"/>
  <c r="AW126" i="9"/>
  <c r="AX126" i="9"/>
  <c r="AY126" i="9"/>
  <c r="AZ126" i="9"/>
  <c r="AA127" i="9"/>
  <c r="AB127" i="9"/>
  <c r="AC127" i="9"/>
  <c r="AD127" i="9"/>
  <c r="AE127" i="9"/>
  <c r="AF127" i="9"/>
  <c r="AG127" i="9"/>
  <c r="AH127" i="9"/>
  <c r="AI127" i="9"/>
  <c r="AJ127" i="9"/>
  <c r="AK127" i="9"/>
  <c r="AL127" i="9"/>
  <c r="AM127" i="9"/>
  <c r="AN127" i="9"/>
  <c r="AO127" i="9"/>
  <c r="AP127" i="9"/>
  <c r="AQ127" i="9"/>
  <c r="AR127" i="9"/>
  <c r="AS127" i="9"/>
  <c r="AT127" i="9"/>
  <c r="AU127" i="9"/>
  <c r="AV127" i="9"/>
  <c r="AW127" i="9"/>
  <c r="AX127" i="9"/>
  <c r="AY127" i="9"/>
  <c r="AZ127" i="9"/>
  <c r="AA128" i="9"/>
  <c r="AB128" i="9"/>
  <c r="AC128" i="9"/>
  <c r="AD128" i="9"/>
  <c r="AE128" i="9"/>
  <c r="AF128" i="9"/>
  <c r="AG128" i="9"/>
  <c r="AH128" i="9"/>
  <c r="AI128" i="9"/>
  <c r="AJ128" i="9"/>
  <c r="AK128" i="9"/>
  <c r="AL128" i="9"/>
  <c r="AM128" i="9"/>
  <c r="AN128" i="9"/>
  <c r="AO128" i="9"/>
  <c r="AP128" i="9"/>
  <c r="AQ128" i="9"/>
  <c r="AR128" i="9"/>
  <c r="AS128" i="9"/>
  <c r="AT128" i="9"/>
  <c r="AU128" i="9"/>
  <c r="AV128" i="9"/>
  <c r="AW128" i="9"/>
  <c r="AX128" i="9"/>
  <c r="AY128" i="9"/>
  <c r="AZ128" i="9"/>
  <c r="AA129" i="9"/>
  <c r="AB129" i="9"/>
  <c r="AC129" i="9"/>
  <c r="AD129" i="9"/>
  <c r="AE129" i="9"/>
  <c r="AF129" i="9"/>
  <c r="AG129" i="9"/>
  <c r="AH129" i="9"/>
  <c r="AI129" i="9"/>
  <c r="AJ129" i="9"/>
  <c r="AK129" i="9"/>
  <c r="AL129" i="9"/>
  <c r="AM129" i="9"/>
  <c r="AN129" i="9"/>
  <c r="AO129" i="9"/>
  <c r="AP129" i="9"/>
  <c r="AQ129" i="9"/>
  <c r="AR129" i="9"/>
  <c r="AS129" i="9"/>
  <c r="AT129" i="9"/>
  <c r="AU129" i="9"/>
  <c r="AV129" i="9"/>
  <c r="AW129" i="9"/>
  <c r="AX129" i="9"/>
  <c r="AY129" i="9"/>
  <c r="AZ129" i="9"/>
  <c r="AA130" i="9"/>
  <c r="AB130" i="9"/>
  <c r="AC130" i="9"/>
  <c r="AD130" i="9"/>
  <c r="AE130" i="9"/>
  <c r="AF130" i="9"/>
  <c r="AG130" i="9"/>
  <c r="AH130" i="9"/>
  <c r="AI130" i="9"/>
  <c r="AJ130" i="9"/>
  <c r="AK130" i="9"/>
  <c r="AL130" i="9"/>
  <c r="AM130" i="9"/>
  <c r="AN130" i="9"/>
  <c r="AO130" i="9"/>
  <c r="AP130" i="9"/>
  <c r="AQ130" i="9"/>
  <c r="AR130" i="9"/>
  <c r="AS130" i="9"/>
  <c r="AT130" i="9"/>
  <c r="AU130" i="9"/>
  <c r="AV130" i="9"/>
  <c r="AW130" i="9"/>
  <c r="AX130" i="9"/>
  <c r="AY130" i="9"/>
  <c r="AZ130" i="9"/>
  <c r="AA131" i="9"/>
  <c r="AB131" i="9"/>
  <c r="AC131" i="9"/>
  <c r="AD131" i="9"/>
  <c r="AE131" i="9"/>
  <c r="AF131" i="9"/>
  <c r="AG131" i="9"/>
  <c r="AH131" i="9"/>
  <c r="AI131" i="9"/>
  <c r="AJ131" i="9"/>
  <c r="AK131" i="9"/>
  <c r="AL131" i="9"/>
  <c r="AM131" i="9"/>
  <c r="AN131" i="9"/>
  <c r="AO131" i="9"/>
  <c r="AP131" i="9"/>
  <c r="AQ131" i="9"/>
  <c r="AR131" i="9"/>
  <c r="AS131" i="9"/>
  <c r="AT131" i="9"/>
  <c r="AU131" i="9"/>
  <c r="AV131" i="9"/>
  <c r="AW131" i="9"/>
  <c r="AX131" i="9"/>
  <c r="AY131" i="9"/>
  <c r="AZ131" i="9"/>
  <c r="AA132" i="9"/>
  <c r="AB132" i="9"/>
  <c r="AC132" i="9"/>
  <c r="AD132" i="9"/>
  <c r="AE132" i="9"/>
  <c r="AF132" i="9"/>
  <c r="AG132" i="9"/>
  <c r="AH132" i="9"/>
  <c r="AI132" i="9"/>
  <c r="AJ132" i="9"/>
  <c r="AK132" i="9"/>
  <c r="AL132" i="9"/>
  <c r="AM132" i="9"/>
  <c r="AN132" i="9"/>
  <c r="AO132" i="9"/>
  <c r="AP132" i="9"/>
  <c r="AQ132" i="9"/>
  <c r="AR132" i="9"/>
  <c r="AS132" i="9"/>
  <c r="AT132" i="9"/>
  <c r="AU132" i="9"/>
  <c r="AV132" i="9"/>
  <c r="AW132" i="9"/>
  <c r="AX132" i="9"/>
  <c r="AY132" i="9"/>
  <c r="AZ132" i="9"/>
  <c r="AA133" i="9"/>
  <c r="AB133" i="9"/>
  <c r="AC133" i="9"/>
  <c r="AD133" i="9"/>
  <c r="AE133" i="9"/>
  <c r="AF133" i="9"/>
  <c r="AG133" i="9"/>
  <c r="AH133" i="9"/>
  <c r="AI133" i="9"/>
  <c r="AJ133" i="9"/>
  <c r="AK133" i="9"/>
  <c r="AL133" i="9"/>
  <c r="AM133" i="9"/>
  <c r="AN133" i="9"/>
  <c r="AO133" i="9"/>
  <c r="AP133" i="9"/>
  <c r="AQ133" i="9"/>
  <c r="AR133" i="9"/>
  <c r="AS133" i="9"/>
  <c r="AT133" i="9"/>
  <c r="AU133" i="9"/>
  <c r="AV133" i="9"/>
  <c r="AW133" i="9"/>
  <c r="AX133" i="9"/>
  <c r="AY133" i="9"/>
  <c r="AZ133" i="9"/>
  <c r="AA134" i="9"/>
  <c r="AB134" i="9"/>
  <c r="AC134" i="9"/>
  <c r="AD134" i="9"/>
  <c r="AE134" i="9"/>
  <c r="AF134" i="9"/>
  <c r="AG134" i="9"/>
  <c r="AH134" i="9"/>
  <c r="AI134" i="9"/>
  <c r="AJ134" i="9"/>
  <c r="AK134" i="9"/>
  <c r="AL134" i="9"/>
  <c r="AM134" i="9"/>
  <c r="AN134" i="9"/>
  <c r="AO134" i="9"/>
  <c r="AP134" i="9"/>
  <c r="AQ134" i="9"/>
  <c r="AR134" i="9"/>
  <c r="AS134" i="9"/>
  <c r="AT134" i="9"/>
  <c r="AU134" i="9"/>
  <c r="AV134" i="9"/>
  <c r="AW134" i="9"/>
  <c r="AX134" i="9"/>
  <c r="AY134" i="9"/>
  <c r="AZ134" i="9"/>
  <c r="AA135" i="9"/>
  <c r="AB135" i="9"/>
  <c r="AC135" i="9"/>
  <c r="AD135" i="9"/>
  <c r="AE135" i="9"/>
  <c r="AF135" i="9"/>
  <c r="AG135" i="9"/>
  <c r="AH135" i="9"/>
  <c r="AI135" i="9"/>
  <c r="AJ135" i="9"/>
  <c r="AK135" i="9"/>
  <c r="AL135" i="9"/>
  <c r="AM135" i="9"/>
  <c r="AN135" i="9"/>
  <c r="AO135" i="9"/>
  <c r="AP135" i="9"/>
  <c r="AQ135" i="9"/>
  <c r="AR135" i="9"/>
  <c r="AS135" i="9"/>
  <c r="AT135" i="9"/>
  <c r="AU135" i="9"/>
  <c r="AV135" i="9"/>
  <c r="AW135" i="9"/>
  <c r="AX135" i="9"/>
  <c r="AY135" i="9"/>
  <c r="AZ135" i="9"/>
  <c r="AA136" i="9"/>
  <c r="AB136" i="9"/>
  <c r="AC136" i="9"/>
  <c r="AD136" i="9"/>
  <c r="AE136" i="9"/>
  <c r="AF136" i="9"/>
  <c r="AG136" i="9"/>
  <c r="AH136" i="9"/>
  <c r="AI136" i="9"/>
  <c r="AJ136" i="9"/>
  <c r="AK136" i="9"/>
  <c r="AL136" i="9"/>
  <c r="AM136" i="9"/>
  <c r="AN136" i="9"/>
  <c r="AO136" i="9"/>
  <c r="AP136" i="9"/>
  <c r="AQ136" i="9"/>
  <c r="AR136" i="9"/>
  <c r="AS136" i="9"/>
  <c r="AT136" i="9"/>
  <c r="AU136" i="9"/>
  <c r="AV136" i="9"/>
  <c r="AW136" i="9"/>
  <c r="AX136" i="9"/>
  <c r="AY136" i="9"/>
  <c r="AZ136" i="9"/>
  <c r="AA137" i="9"/>
  <c r="AB137" i="9"/>
  <c r="AC137" i="9"/>
  <c r="AD137" i="9"/>
  <c r="AE137" i="9"/>
  <c r="AF137" i="9"/>
  <c r="AG137" i="9"/>
  <c r="AH137" i="9"/>
  <c r="AI137" i="9"/>
  <c r="AJ137" i="9"/>
  <c r="AK137" i="9"/>
  <c r="AL137" i="9"/>
  <c r="AM137" i="9"/>
  <c r="AN137" i="9"/>
  <c r="AO137" i="9"/>
  <c r="AP137" i="9"/>
  <c r="AQ137" i="9"/>
  <c r="AR137" i="9"/>
  <c r="AS137" i="9"/>
  <c r="AT137" i="9"/>
  <c r="AU137" i="9"/>
  <c r="AV137" i="9"/>
  <c r="AW137" i="9"/>
  <c r="AX137" i="9"/>
  <c r="AY137" i="9"/>
  <c r="AZ137" i="9"/>
  <c r="AA138" i="9"/>
  <c r="AB138" i="9"/>
  <c r="AC138" i="9"/>
  <c r="AD138" i="9"/>
  <c r="AE138" i="9"/>
  <c r="AF138" i="9"/>
  <c r="AG138" i="9"/>
  <c r="AH138" i="9"/>
  <c r="AI138" i="9"/>
  <c r="AJ138" i="9"/>
  <c r="AK138" i="9"/>
  <c r="AL138" i="9"/>
  <c r="AM138" i="9"/>
  <c r="AN138" i="9"/>
  <c r="AO138" i="9"/>
  <c r="AP138" i="9"/>
  <c r="AQ138" i="9"/>
  <c r="AR138" i="9"/>
  <c r="AS138" i="9"/>
  <c r="AT138" i="9"/>
  <c r="AU138" i="9"/>
  <c r="AV138" i="9"/>
  <c r="AW138" i="9"/>
  <c r="AX138" i="9"/>
  <c r="AY138" i="9"/>
  <c r="AZ138" i="9"/>
  <c r="AA139" i="9"/>
  <c r="AB139" i="9"/>
  <c r="AC139" i="9"/>
  <c r="AD139" i="9"/>
  <c r="AE139" i="9"/>
  <c r="AF139" i="9"/>
  <c r="AG139" i="9"/>
  <c r="AH139" i="9"/>
  <c r="AI139" i="9"/>
  <c r="AJ139" i="9"/>
  <c r="AK139" i="9"/>
  <c r="AL139" i="9"/>
  <c r="AM139" i="9"/>
  <c r="AN139" i="9"/>
  <c r="AO139" i="9"/>
  <c r="AP139" i="9"/>
  <c r="AQ139" i="9"/>
  <c r="AR139" i="9"/>
  <c r="AS139" i="9"/>
  <c r="AT139" i="9"/>
  <c r="AU139" i="9"/>
  <c r="AV139" i="9"/>
  <c r="AW139" i="9"/>
  <c r="AX139" i="9"/>
  <c r="AY139" i="9"/>
  <c r="AZ139" i="9"/>
  <c r="AA140" i="9"/>
  <c r="AB140" i="9"/>
  <c r="AC140" i="9"/>
  <c r="AD140" i="9"/>
  <c r="AE140" i="9"/>
  <c r="AF140" i="9"/>
  <c r="AG140" i="9"/>
  <c r="AH140" i="9"/>
  <c r="AI140" i="9"/>
  <c r="AJ140" i="9"/>
  <c r="AK140" i="9"/>
  <c r="AL140" i="9"/>
  <c r="AM140" i="9"/>
  <c r="AN140" i="9"/>
  <c r="AO140" i="9"/>
  <c r="AP140" i="9"/>
  <c r="AQ140" i="9"/>
  <c r="AR140" i="9"/>
  <c r="AS140" i="9"/>
  <c r="AT140" i="9"/>
  <c r="AU140" i="9"/>
  <c r="AV140" i="9"/>
  <c r="AW140" i="9"/>
  <c r="AX140" i="9"/>
  <c r="AY140" i="9"/>
  <c r="AZ140" i="9"/>
  <c r="AA141" i="9"/>
  <c r="AB141" i="9"/>
  <c r="AC141" i="9"/>
  <c r="AD141" i="9"/>
  <c r="AE141" i="9"/>
  <c r="AF141" i="9"/>
  <c r="AG141" i="9"/>
  <c r="AH141" i="9"/>
  <c r="AI141" i="9"/>
  <c r="AJ141" i="9"/>
  <c r="AK141" i="9"/>
  <c r="AL141" i="9"/>
  <c r="AM141" i="9"/>
  <c r="AN141" i="9"/>
  <c r="AO141" i="9"/>
  <c r="AP141" i="9"/>
  <c r="AQ141" i="9"/>
  <c r="AR141" i="9"/>
  <c r="AS141" i="9"/>
  <c r="AT141" i="9"/>
  <c r="AU141" i="9"/>
  <c r="AV141" i="9"/>
  <c r="AW141" i="9"/>
  <c r="AX141" i="9"/>
  <c r="AY141" i="9"/>
  <c r="AZ141" i="9"/>
  <c r="AA142" i="9"/>
  <c r="AB142" i="9"/>
  <c r="AC142" i="9"/>
  <c r="AD142" i="9"/>
  <c r="AE142" i="9"/>
  <c r="AF142" i="9"/>
  <c r="AG142" i="9"/>
  <c r="AH142" i="9"/>
  <c r="AI142" i="9"/>
  <c r="AJ142" i="9"/>
  <c r="AK142" i="9"/>
  <c r="AL142" i="9"/>
  <c r="AM142" i="9"/>
  <c r="AN142" i="9"/>
  <c r="AO142" i="9"/>
  <c r="AP142" i="9"/>
  <c r="AQ142" i="9"/>
  <c r="AR142" i="9"/>
  <c r="AS142" i="9"/>
  <c r="AT142" i="9"/>
  <c r="AU142" i="9"/>
  <c r="AV142" i="9"/>
  <c r="AW142" i="9"/>
  <c r="AX142" i="9"/>
  <c r="AY142" i="9"/>
  <c r="AZ142" i="9"/>
  <c r="AA143" i="9"/>
  <c r="AB143" i="9"/>
  <c r="AC143" i="9"/>
  <c r="AD143" i="9"/>
  <c r="AE143" i="9"/>
  <c r="AF143" i="9"/>
  <c r="AG143" i="9"/>
  <c r="AH143" i="9"/>
  <c r="AI143" i="9"/>
  <c r="AJ143" i="9"/>
  <c r="AK143" i="9"/>
  <c r="AL143" i="9"/>
  <c r="AM143" i="9"/>
  <c r="AN143" i="9"/>
  <c r="AO143" i="9"/>
  <c r="AP143" i="9"/>
  <c r="AQ143" i="9"/>
  <c r="AR143" i="9"/>
  <c r="AS143" i="9"/>
  <c r="AT143" i="9"/>
  <c r="AU143" i="9"/>
  <c r="AV143" i="9"/>
  <c r="AW143" i="9"/>
  <c r="AX143" i="9"/>
  <c r="AY143" i="9"/>
  <c r="AZ143" i="9"/>
  <c r="AA144" i="9"/>
  <c r="AB144" i="9"/>
  <c r="AC144" i="9"/>
  <c r="AD144" i="9"/>
  <c r="AE144" i="9"/>
  <c r="AF144" i="9"/>
  <c r="AG144" i="9"/>
  <c r="AH144" i="9"/>
  <c r="AI144" i="9"/>
  <c r="AJ144" i="9"/>
  <c r="AK144" i="9"/>
  <c r="AL144" i="9"/>
  <c r="AM144" i="9"/>
  <c r="AN144" i="9"/>
  <c r="AO144" i="9"/>
  <c r="AP144" i="9"/>
  <c r="AQ144" i="9"/>
  <c r="AR144" i="9"/>
  <c r="AS144" i="9"/>
  <c r="AT144" i="9"/>
  <c r="AU144" i="9"/>
  <c r="AV144" i="9"/>
  <c r="AW144" i="9"/>
  <c r="AX144" i="9"/>
  <c r="AY144" i="9"/>
  <c r="AZ144" i="9"/>
  <c r="AA145" i="9"/>
  <c r="AB145" i="9"/>
  <c r="AC145" i="9"/>
  <c r="AD145" i="9"/>
  <c r="AE145" i="9"/>
  <c r="AF145" i="9"/>
  <c r="AG145" i="9"/>
  <c r="AH145" i="9"/>
  <c r="AI145" i="9"/>
  <c r="AJ145" i="9"/>
  <c r="AK145" i="9"/>
  <c r="AL145" i="9"/>
  <c r="AM145" i="9"/>
  <c r="AN145" i="9"/>
  <c r="AO145" i="9"/>
  <c r="AP145" i="9"/>
  <c r="AQ145" i="9"/>
  <c r="AR145" i="9"/>
  <c r="AS145" i="9"/>
  <c r="AT145" i="9"/>
  <c r="AU145" i="9"/>
  <c r="AV145" i="9"/>
  <c r="AW145" i="9"/>
  <c r="AX145" i="9"/>
  <c r="AY145" i="9"/>
  <c r="AZ145" i="9"/>
  <c r="AA146" i="9"/>
  <c r="AB146" i="9"/>
  <c r="AC146" i="9"/>
  <c r="AD146" i="9"/>
  <c r="AE146" i="9"/>
  <c r="AF146" i="9"/>
  <c r="AG146" i="9"/>
  <c r="AH146" i="9"/>
  <c r="AI146" i="9"/>
  <c r="AJ146" i="9"/>
  <c r="AK146" i="9"/>
  <c r="AL146" i="9"/>
  <c r="AM146" i="9"/>
  <c r="AN146" i="9"/>
  <c r="AO146" i="9"/>
  <c r="AP146" i="9"/>
  <c r="AQ146" i="9"/>
  <c r="AR146" i="9"/>
  <c r="AS146" i="9"/>
  <c r="AT146" i="9"/>
  <c r="AU146" i="9"/>
  <c r="AV146" i="9"/>
  <c r="AW146" i="9"/>
  <c r="AX146" i="9"/>
  <c r="AY146" i="9"/>
  <c r="AZ146" i="9"/>
  <c r="AA147" i="9"/>
  <c r="AB147" i="9"/>
  <c r="AC147" i="9"/>
  <c r="AD147" i="9"/>
  <c r="AE147" i="9"/>
  <c r="AF147" i="9"/>
  <c r="AG147" i="9"/>
  <c r="AH147" i="9"/>
  <c r="AI147" i="9"/>
  <c r="AJ147" i="9"/>
  <c r="AK147" i="9"/>
  <c r="AL147" i="9"/>
  <c r="AM147" i="9"/>
  <c r="AN147" i="9"/>
  <c r="AO147" i="9"/>
  <c r="AP147" i="9"/>
  <c r="AQ147" i="9"/>
  <c r="AR147" i="9"/>
  <c r="AS147" i="9"/>
  <c r="AT147" i="9"/>
  <c r="AU147" i="9"/>
  <c r="AV147" i="9"/>
  <c r="AW147" i="9"/>
  <c r="AX147" i="9"/>
  <c r="AY147" i="9"/>
  <c r="AZ147" i="9"/>
  <c r="AA148" i="9"/>
  <c r="AB148" i="9"/>
  <c r="AC148" i="9"/>
  <c r="AD148" i="9"/>
  <c r="AE148" i="9"/>
  <c r="AF148" i="9"/>
  <c r="AG148" i="9"/>
  <c r="AH148" i="9"/>
  <c r="AI148" i="9"/>
  <c r="AJ148" i="9"/>
  <c r="AK148" i="9"/>
  <c r="AL148" i="9"/>
  <c r="AM148" i="9"/>
  <c r="AN148" i="9"/>
  <c r="AO148" i="9"/>
  <c r="AP148" i="9"/>
  <c r="AQ148" i="9"/>
  <c r="AR148" i="9"/>
  <c r="AS148" i="9"/>
  <c r="AT148" i="9"/>
  <c r="AU148" i="9"/>
  <c r="AV148" i="9"/>
  <c r="AW148" i="9"/>
  <c r="AX148" i="9"/>
  <c r="AY148" i="9"/>
  <c r="AZ148" i="9"/>
  <c r="AA149" i="9"/>
  <c r="AB149" i="9"/>
  <c r="AC149" i="9"/>
  <c r="AD149" i="9"/>
  <c r="AE149" i="9"/>
  <c r="AF149" i="9"/>
  <c r="AG149" i="9"/>
  <c r="AH149" i="9"/>
  <c r="AI149" i="9"/>
  <c r="AJ149" i="9"/>
  <c r="AK149" i="9"/>
  <c r="AL149" i="9"/>
  <c r="AM149" i="9"/>
  <c r="AN149" i="9"/>
  <c r="AO149" i="9"/>
  <c r="AP149" i="9"/>
  <c r="AQ149" i="9"/>
  <c r="AR149" i="9"/>
  <c r="AS149" i="9"/>
  <c r="AT149" i="9"/>
  <c r="AU149" i="9"/>
  <c r="AV149" i="9"/>
  <c r="AW149" i="9"/>
  <c r="AX149" i="9"/>
  <c r="AY149" i="9"/>
  <c r="AZ149" i="9"/>
  <c r="AA150" i="9"/>
  <c r="AB150" i="9"/>
  <c r="AC150" i="9"/>
  <c r="AD150" i="9"/>
  <c r="AE150" i="9"/>
  <c r="AF150" i="9"/>
  <c r="AG150" i="9"/>
  <c r="AH150" i="9"/>
  <c r="AI150" i="9"/>
  <c r="AJ150" i="9"/>
  <c r="AK150" i="9"/>
  <c r="AL150" i="9"/>
  <c r="AM150" i="9"/>
  <c r="AN150" i="9"/>
  <c r="AO150" i="9"/>
  <c r="AP150" i="9"/>
  <c r="AQ150" i="9"/>
  <c r="AR150" i="9"/>
  <c r="AS150" i="9"/>
  <c r="AT150" i="9"/>
  <c r="AU150" i="9"/>
  <c r="AV150" i="9"/>
  <c r="AW150" i="9"/>
  <c r="AX150" i="9"/>
  <c r="AY150" i="9"/>
  <c r="AZ150" i="9"/>
  <c r="AA151" i="9"/>
  <c r="AB151" i="9"/>
  <c r="AC151" i="9"/>
  <c r="AD151" i="9"/>
  <c r="AE151" i="9"/>
  <c r="AF151" i="9"/>
  <c r="AG151" i="9"/>
  <c r="AH151" i="9"/>
  <c r="AI151" i="9"/>
  <c r="AJ151" i="9"/>
  <c r="AK151" i="9"/>
  <c r="AL151" i="9"/>
  <c r="AM151" i="9"/>
  <c r="AN151" i="9"/>
  <c r="AO151" i="9"/>
  <c r="AP151" i="9"/>
  <c r="AQ151" i="9"/>
  <c r="AR151" i="9"/>
  <c r="AS151" i="9"/>
  <c r="AT151" i="9"/>
  <c r="AU151" i="9"/>
  <c r="AV151" i="9"/>
  <c r="AW151" i="9"/>
  <c r="AX151" i="9"/>
  <c r="AY151" i="9"/>
  <c r="AZ151" i="9"/>
  <c r="AA152" i="9"/>
  <c r="AB152" i="9"/>
  <c r="AC152" i="9"/>
  <c r="AD152" i="9"/>
  <c r="AE152" i="9"/>
  <c r="AF152" i="9"/>
  <c r="AG152" i="9"/>
  <c r="AH152" i="9"/>
  <c r="AI152" i="9"/>
  <c r="AJ152" i="9"/>
  <c r="AK152" i="9"/>
  <c r="AL152" i="9"/>
  <c r="AM152" i="9"/>
  <c r="AN152" i="9"/>
  <c r="AO152" i="9"/>
  <c r="AP152" i="9"/>
  <c r="AQ152" i="9"/>
  <c r="AR152" i="9"/>
  <c r="AS152" i="9"/>
  <c r="AT152" i="9"/>
  <c r="AU152" i="9"/>
  <c r="AV152" i="9"/>
  <c r="AW152" i="9"/>
  <c r="AX152" i="9"/>
  <c r="AY152" i="9"/>
  <c r="AZ152" i="9"/>
  <c r="AA153" i="9"/>
  <c r="AB153" i="9"/>
  <c r="AC153" i="9"/>
  <c r="AD153" i="9"/>
  <c r="AE153" i="9"/>
  <c r="AF153" i="9"/>
  <c r="AG153" i="9"/>
  <c r="AH153" i="9"/>
  <c r="AI153" i="9"/>
  <c r="AJ153" i="9"/>
  <c r="AK153" i="9"/>
  <c r="AL153" i="9"/>
  <c r="AM153" i="9"/>
  <c r="AN153" i="9"/>
  <c r="AO153" i="9"/>
  <c r="AP153" i="9"/>
  <c r="AQ153" i="9"/>
  <c r="AR153" i="9"/>
  <c r="AS153" i="9"/>
  <c r="AT153" i="9"/>
  <c r="AU153" i="9"/>
  <c r="AV153" i="9"/>
  <c r="AW153" i="9"/>
  <c r="AX153" i="9"/>
  <c r="AY153" i="9"/>
  <c r="AZ153" i="9"/>
  <c r="AA154" i="9"/>
  <c r="AB154" i="9"/>
  <c r="AC154" i="9"/>
  <c r="AD154" i="9"/>
  <c r="AE154" i="9"/>
  <c r="AF154" i="9"/>
  <c r="AG154" i="9"/>
  <c r="AH154" i="9"/>
  <c r="AI154" i="9"/>
  <c r="AJ154" i="9"/>
  <c r="AK154" i="9"/>
  <c r="AL154" i="9"/>
  <c r="AM154" i="9"/>
  <c r="AN154" i="9"/>
  <c r="AO154" i="9"/>
  <c r="AP154" i="9"/>
  <c r="AQ154" i="9"/>
  <c r="AR154" i="9"/>
  <c r="AS154" i="9"/>
  <c r="AT154" i="9"/>
  <c r="AU154" i="9"/>
  <c r="AV154" i="9"/>
  <c r="AW154" i="9"/>
  <c r="AX154" i="9"/>
  <c r="AY154" i="9"/>
  <c r="AZ154" i="9"/>
  <c r="AA155" i="9"/>
  <c r="AB155" i="9"/>
  <c r="AC155" i="9"/>
  <c r="AD155" i="9"/>
  <c r="AE155" i="9"/>
  <c r="AF155" i="9"/>
  <c r="AG155" i="9"/>
  <c r="AH155" i="9"/>
  <c r="AI155" i="9"/>
  <c r="AJ155" i="9"/>
  <c r="AK155" i="9"/>
  <c r="AL155" i="9"/>
  <c r="AM155" i="9"/>
  <c r="AN155" i="9"/>
  <c r="AO155" i="9"/>
  <c r="AP155" i="9"/>
  <c r="AQ155" i="9"/>
  <c r="AR155" i="9"/>
  <c r="AS155" i="9"/>
  <c r="AT155" i="9"/>
  <c r="AU155" i="9"/>
  <c r="AV155" i="9"/>
  <c r="AW155" i="9"/>
  <c r="AX155" i="9"/>
  <c r="AY155" i="9"/>
  <c r="AZ155" i="9"/>
  <c r="AA156" i="9"/>
  <c r="AB156" i="9"/>
  <c r="AC156" i="9"/>
  <c r="AD156" i="9"/>
  <c r="AE156" i="9"/>
  <c r="AF156" i="9"/>
  <c r="AG156" i="9"/>
  <c r="AH156" i="9"/>
  <c r="AI156" i="9"/>
  <c r="AJ156" i="9"/>
  <c r="AK156" i="9"/>
  <c r="AL156" i="9"/>
  <c r="AM156" i="9"/>
  <c r="AN156" i="9"/>
  <c r="AO156" i="9"/>
  <c r="AP156" i="9"/>
  <c r="AQ156" i="9"/>
  <c r="AR156" i="9"/>
  <c r="AS156" i="9"/>
  <c r="AT156" i="9"/>
  <c r="AU156" i="9"/>
  <c r="AV156" i="9"/>
  <c r="AW156" i="9"/>
  <c r="AX156" i="9"/>
  <c r="AY156" i="9"/>
  <c r="AZ156" i="9"/>
  <c r="AA157" i="9"/>
  <c r="AB157" i="9"/>
  <c r="AC157" i="9"/>
  <c r="AD157" i="9"/>
  <c r="AE157" i="9"/>
  <c r="AF157" i="9"/>
  <c r="AG157" i="9"/>
  <c r="AH157" i="9"/>
  <c r="AI157" i="9"/>
  <c r="AJ157" i="9"/>
  <c r="AK157" i="9"/>
  <c r="AL157" i="9"/>
  <c r="AM157" i="9"/>
  <c r="AN157" i="9"/>
  <c r="AO157" i="9"/>
  <c r="AP157" i="9"/>
  <c r="AQ157" i="9"/>
  <c r="AR157" i="9"/>
  <c r="AS157" i="9"/>
  <c r="AT157" i="9"/>
  <c r="AU157" i="9"/>
  <c r="AV157" i="9"/>
  <c r="AW157" i="9"/>
  <c r="AX157" i="9"/>
  <c r="AY157" i="9"/>
  <c r="AZ157" i="9"/>
  <c r="AA158" i="9"/>
  <c r="AB158" i="9"/>
  <c r="AC158" i="9"/>
  <c r="AD158" i="9"/>
  <c r="AE158" i="9"/>
  <c r="AF158" i="9"/>
  <c r="AG158" i="9"/>
  <c r="AH158" i="9"/>
  <c r="AI158" i="9"/>
  <c r="AJ158" i="9"/>
  <c r="AK158" i="9"/>
  <c r="AL158" i="9"/>
  <c r="AM158" i="9"/>
  <c r="AN158" i="9"/>
  <c r="AO158" i="9"/>
  <c r="AP158" i="9"/>
  <c r="AQ158" i="9"/>
  <c r="AR158" i="9"/>
  <c r="AS158" i="9"/>
  <c r="AT158" i="9"/>
  <c r="AU158" i="9"/>
  <c r="AV158" i="9"/>
  <c r="AW158" i="9"/>
  <c r="AX158" i="9"/>
  <c r="AY158" i="9"/>
  <c r="AZ158" i="9"/>
  <c r="AA159" i="9"/>
  <c r="AB159" i="9"/>
  <c r="AC159" i="9"/>
  <c r="AD159" i="9"/>
  <c r="AE159" i="9"/>
  <c r="AF159" i="9"/>
  <c r="AG159" i="9"/>
  <c r="AH159" i="9"/>
  <c r="AI159" i="9"/>
  <c r="AJ159" i="9"/>
  <c r="AK159" i="9"/>
  <c r="AL159" i="9"/>
  <c r="AM159" i="9"/>
  <c r="AN159" i="9"/>
  <c r="AO159" i="9"/>
  <c r="AP159" i="9"/>
  <c r="AQ159" i="9"/>
  <c r="AR159" i="9"/>
  <c r="AS159" i="9"/>
  <c r="AT159" i="9"/>
  <c r="AU159" i="9"/>
  <c r="AV159" i="9"/>
  <c r="AW159" i="9"/>
  <c r="AX159" i="9"/>
  <c r="AY159" i="9"/>
  <c r="AZ159" i="9"/>
  <c r="AA160" i="9"/>
  <c r="AB160" i="9"/>
  <c r="AC160" i="9"/>
  <c r="AD160" i="9"/>
  <c r="AE160" i="9"/>
  <c r="AF160" i="9"/>
  <c r="AG160" i="9"/>
  <c r="AH160" i="9"/>
  <c r="AI160" i="9"/>
  <c r="AJ160" i="9"/>
  <c r="AK160" i="9"/>
  <c r="AL160" i="9"/>
  <c r="AM160" i="9"/>
  <c r="AN160" i="9"/>
  <c r="AO160" i="9"/>
  <c r="AP160" i="9"/>
  <c r="AQ160" i="9"/>
  <c r="AR160" i="9"/>
  <c r="AS160" i="9"/>
  <c r="AT160" i="9"/>
  <c r="AU160" i="9"/>
  <c r="AV160" i="9"/>
  <c r="AW160" i="9"/>
  <c r="AX160" i="9"/>
  <c r="AY160" i="9"/>
  <c r="AZ160" i="9"/>
  <c r="AA161" i="9"/>
  <c r="AB161" i="9"/>
  <c r="AC161" i="9"/>
  <c r="AD161" i="9"/>
  <c r="AE161" i="9"/>
  <c r="AF161" i="9"/>
  <c r="AG161" i="9"/>
  <c r="AH161" i="9"/>
  <c r="AI161" i="9"/>
  <c r="AJ161" i="9"/>
  <c r="AK161" i="9"/>
  <c r="AL161" i="9"/>
  <c r="AM161" i="9"/>
  <c r="AN161" i="9"/>
  <c r="AO161" i="9"/>
  <c r="AP161" i="9"/>
  <c r="AQ161" i="9"/>
  <c r="AR161" i="9"/>
  <c r="AS161" i="9"/>
  <c r="AT161" i="9"/>
  <c r="AU161" i="9"/>
  <c r="AV161" i="9"/>
  <c r="AW161" i="9"/>
  <c r="AX161" i="9"/>
  <c r="AY161" i="9"/>
  <c r="AZ161" i="9"/>
  <c r="AA162" i="9"/>
  <c r="AB162" i="9"/>
  <c r="AC162" i="9"/>
  <c r="AD162" i="9"/>
  <c r="AE162" i="9"/>
  <c r="AF162" i="9"/>
  <c r="AG162" i="9"/>
  <c r="AH162" i="9"/>
  <c r="AI162" i="9"/>
  <c r="AJ162" i="9"/>
  <c r="AK162" i="9"/>
  <c r="AL162" i="9"/>
  <c r="AM162" i="9"/>
  <c r="AN162" i="9"/>
  <c r="AO162" i="9"/>
  <c r="AP162" i="9"/>
  <c r="AQ162" i="9"/>
  <c r="AR162" i="9"/>
  <c r="AS162" i="9"/>
  <c r="AT162" i="9"/>
  <c r="AU162" i="9"/>
  <c r="AV162" i="9"/>
  <c r="AW162" i="9"/>
  <c r="AX162" i="9"/>
  <c r="AY162" i="9"/>
  <c r="AZ162" i="9"/>
  <c r="AA163" i="9"/>
  <c r="AB163" i="9"/>
  <c r="AC163" i="9"/>
  <c r="AD163" i="9"/>
  <c r="AE163" i="9"/>
  <c r="AF163" i="9"/>
  <c r="AG163" i="9"/>
  <c r="AH163" i="9"/>
  <c r="AI163" i="9"/>
  <c r="AJ163" i="9"/>
  <c r="AK163" i="9"/>
  <c r="AL163" i="9"/>
  <c r="AM163" i="9"/>
  <c r="AN163" i="9"/>
  <c r="AO163" i="9"/>
  <c r="AP163" i="9"/>
  <c r="AQ163" i="9"/>
  <c r="AR163" i="9"/>
  <c r="AS163" i="9"/>
  <c r="AT163" i="9"/>
  <c r="AU163" i="9"/>
  <c r="AV163" i="9"/>
  <c r="AW163" i="9"/>
  <c r="AX163" i="9"/>
  <c r="AY163" i="9"/>
  <c r="AZ163" i="9"/>
  <c r="AA164" i="9"/>
  <c r="AB164" i="9"/>
  <c r="AC164" i="9"/>
  <c r="AD164" i="9"/>
  <c r="AE164" i="9"/>
  <c r="AF164" i="9"/>
  <c r="AG164" i="9"/>
  <c r="AH164" i="9"/>
  <c r="AI164" i="9"/>
  <c r="AJ164" i="9"/>
  <c r="AK164" i="9"/>
  <c r="AL164" i="9"/>
  <c r="AM164" i="9"/>
  <c r="AN164" i="9"/>
  <c r="AO164" i="9"/>
  <c r="AP164" i="9"/>
  <c r="AQ164" i="9"/>
  <c r="AR164" i="9"/>
  <c r="AS164" i="9"/>
  <c r="AT164" i="9"/>
  <c r="AU164" i="9"/>
  <c r="AV164" i="9"/>
  <c r="AW164" i="9"/>
  <c r="AX164" i="9"/>
  <c r="AY164" i="9"/>
  <c r="AZ164" i="9"/>
  <c r="AA165" i="9"/>
  <c r="AB165" i="9"/>
  <c r="AC165" i="9"/>
  <c r="AD165" i="9"/>
  <c r="AE165" i="9"/>
  <c r="AF165" i="9"/>
  <c r="AG165" i="9"/>
  <c r="AH165" i="9"/>
  <c r="AI165" i="9"/>
  <c r="AJ165" i="9"/>
  <c r="AK165" i="9"/>
  <c r="AL165" i="9"/>
  <c r="AM165" i="9"/>
  <c r="AN165" i="9"/>
  <c r="AO165" i="9"/>
  <c r="AP165" i="9"/>
  <c r="AQ165" i="9"/>
  <c r="AR165" i="9"/>
  <c r="AS165" i="9"/>
  <c r="AT165" i="9"/>
  <c r="AU165" i="9"/>
  <c r="AV165" i="9"/>
  <c r="AW165" i="9"/>
  <c r="AX165" i="9"/>
  <c r="AY165" i="9"/>
  <c r="AZ165" i="9"/>
  <c r="AA166" i="9"/>
  <c r="AB166" i="9"/>
  <c r="AC166" i="9"/>
  <c r="AD166" i="9"/>
  <c r="AE166" i="9"/>
  <c r="AF166" i="9"/>
  <c r="AG166" i="9"/>
  <c r="AH166" i="9"/>
  <c r="AI166" i="9"/>
  <c r="AJ166" i="9"/>
  <c r="AK166" i="9"/>
  <c r="AL166" i="9"/>
  <c r="AM166" i="9"/>
  <c r="AN166" i="9"/>
  <c r="AO166" i="9"/>
  <c r="AP166" i="9"/>
  <c r="AQ166" i="9"/>
  <c r="AR166" i="9"/>
  <c r="AS166" i="9"/>
  <c r="AT166" i="9"/>
  <c r="AU166" i="9"/>
  <c r="AV166" i="9"/>
  <c r="AW166" i="9"/>
  <c r="AX166" i="9"/>
  <c r="AY166" i="9"/>
  <c r="AZ166" i="9"/>
  <c r="AA167" i="9"/>
  <c r="AB167" i="9"/>
  <c r="AC167" i="9"/>
  <c r="AD167" i="9"/>
  <c r="AE167" i="9"/>
  <c r="AF167" i="9"/>
  <c r="AG167" i="9"/>
  <c r="AH167" i="9"/>
  <c r="AI167" i="9"/>
  <c r="AJ167" i="9"/>
  <c r="AK167" i="9"/>
  <c r="AL167" i="9"/>
  <c r="AM167" i="9"/>
  <c r="AN167" i="9"/>
  <c r="AO167" i="9"/>
  <c r="AP167" i="9"/>
  <c r="AQ167" i="9"/>
  <c r="AR167" i="9"/>
  <c r="AS167" i="9"/>
  <c r="AT167" i="9"/>
  <c r="AU167" i="9"/>
  <c r="AV167" i="9"/>
  <c r="AW167" i="9"/>
  <c r="AX167" i="9"/>
  <c r="AY167" i="9"/>
  <c r="AZ167" i="9"/>
  <c r="AA168" i="9"/>
  <c r="AB168" i="9"/>
  <c r="AC168" i="9"/>
  <c r="AD168" i="9"/>
  <c r="AE168" i="9"/>
  <c r="AF168" i="9"/>
  <c r="AG168" i="9"/>
  <c r="AH168" i="9"/>
  <c r="AI168" i="9"/>
  <c r="AJ168" i="9"/>
  <c r="AK168" i="9"/>
  <c r="AL168" i="9"/>
  <c r="AM168" i="9"/>
  <c r="AN168" i="9"/>
  <c r="AO168" i="9"/>
  <c r="AP168" i="9"/>
  <c r="AQ168" i="9"/>
  <c r="AR168" i="9"/>
  <c r="AS168" i="9"/>
  <c r="AT168" i="9"/>
  <c r="AU168" i="9"/>
  <c r="AV168" i="9"/>
  <c r="AW168" i="9"/>
  <c r="AX168" i="9"/>
  <c r="AY168" i="9"/>
  <c r="AZ168" i="9"/>
  <c r="AA169" i="9"/>
  <c r="AB169" i="9"/>
  <c r="AC169" i="9"/>
  <c r="AD169" i="9"/>
  <c r="AE169" i="9"/>
  <c r="AF169" i="9"/>
  <c r="AG169" i="9"/>
  <c r="AH169" i="9"/>
  <c r="AI169" i="9"/>
  <c r="AJ169" i="9"/>
  <c r="AK169" i="9"/>
  <c r="AL169" i="9"/>
  <c r="AM169" i="9"/>
  <c r="AN169" i="9"/>
  <c r="AO169" i="9"/>
  <c r="AP169" i="9"/>
  <c r="AQ169" i="9"/>
  <c r="AR169" i="9"/>
  <c r="AS169" i="9"/>
  <c r="AT169" i="9"/>
  <c r="AU169" i="9"/>
  <c r="AV169" i="9"/>
  <c r="AW169" i="9"/>
  <c r="AX169" i="9"/>
  <c r="AY169" i="9"/>
  <c r="AZ169" i="9"/>
  <c r="AA170" i="9"/>
  <c r="AB170" i="9"/>
  <c r="AC170" i="9"/>
  <c r="AD170" i="9"/>
  <c r="AE170" i="9"/>
  <c r="AF170" i="9"/>
  <c r="AG170" i="9"/>
  <c r="AH170" i="9"/>
  <c r="AI170" i="9"/>
  <c r="AJ170" i="9"/>
  <c r="AK170" i="9"/>
  <c r="AL170" i="9"/>
  <c r="AM170" i="9"/>
  <c r="AN170" i="9"/>
  <c r="AO170" i="9"/>
  <c r="AP170" i="9"/>
  <c r="AQ170" i="9"/>
  <c r="AR170" i="9"/>
  <c r="AS170" i="9"/>
  <c r="AT170" i="9"/>
  <c r="AU170" i="9"/>
  <c r="AV170" i="9"/>
  <c r="AW170" i="9"/>
  <c r="AX170" i="9"/>
  <c r="AY170" i="9"/>
  <c r="AZ170" i="9"/>
  <c r="AA171" i="9"/>
  <c r="AB171" i="9"/>
  <c r="AC171" i="9"/>
  <c r="AD171" i="9"/>
  <c r="AE171" i="9"/>
  <c r="AF171" i="9"/>
  <c r="AG171" i="9"/>
  <c r="AH171" i="9"/>
  <c r="AI171" i="9"/>
  <c r="AJ171" i="9"/>
  <c r="AK171" i="9"/>
  <c r="AL171" i="9"/>
  <c r="AM171" i="9"/>
  <c r="AN171" i="9"/>
  <c r="AO171" i="9"/>
  <c r="AP171" i="9"/>
  <c r="AQ171" i="9"/>
  <c r="AR171" i="9"/>
  <c r="AS171" i="9"/>
  <c r="AT171" i="9"/>
  <c r="AU171" i="9"/>
  <c r="AV171" i="9"/>
  <c r="AW171" i="9"/>
  <c r="AX171" i="9"/>
  <c r="AY171" i="9"/>
  <c r="AZ171" i="9"/>
  <c r="AA172" i="9"/>
  <c r="AB172" i="9"/>
  <c r="AC172" i="9"/>
  <c r="AD172" i="9"/>
  <c r="AE172" i="9"/>
  <c r="AF172" i="9"/>
  <c r="AG172" i="9"/>
  <c r="AH172" i="9"/>
  <c r="AI172" i="9"/>
  <c r="AJ172" i="9"/>
  <c r="AK172" i="9"/>
  <c r="AL172" i="9"/>
  <c r="AM172" i="9"/>
  <c r="AN172" i="9"/>
  <c r="AO172" i="9"/>
  <c r="AP172" i="9"/>
  <c r="AQ172" i="9"/>
  <c r="AR172" i="9"/>
  <c r="AS172" i="9"/>
  <c r="AT172" i="9"/>
  <c r="AU172" i="9"/>
  <c r="AV172" i="9"/>
  <c r="AW172" i="9"/>
  <c r="AX172" i="9"/>
  <c r="AY172" i="9"/>
  <c r="AZ172" i="9"/>
  <c r="AA173" i="9"/>
  <c r="AB173" i="9"/>
  <c r="AC173" i="9"/>
  <c r="AD173" i="9"/>
  <c r="AE173" i="9"/>
  <c r="AF173" i="9"/>
  <c r="AG173" i="9"/>
  <c r="AH173" i="9"/>
  <c r="AI173" i="9"/>
  <c r="AJ173" i="9"/>
  <c r="AK173" i="9"/>
  <c r="AL173" i="9"/>
  <c r="AM173" i="9"/>
  <c r="AN173" i="9"/>
  <c r="AO173" i="9"/>
  <c r="AP173" i="9"/>
  <c r="AQ173" i="9"/>
  <c r="AR173" i="9"/>
  <c r="AS173" i="9"/>
  <c r="AT173" i="9"/>
  <c r="AU173" i="9"/>
  <c r="AV173" i="9"/>
  <c r="AW173" i="9"/>
  <c r="AX173" i="9"/>
  <c r="AY173" i="9"/>
  <c r="AZ173" i="9"/>
  <c r="AA174" i="9"/>
  <c r="AB174" i="9"/>
  <c r="AC174" i="9"/>
  <c r="AD174" i="9"/>
  <c r="AE174" i="9"/>
  <c r="AF174" i="9"/>
  <c r="AG174" i="9"/>
  <c r="AH174" i="9"/>
  <c r="AI174" i="9"/>
  <c r="AJ174" i="9"/>
  <c r="AK174" i="9"/>
  <c r="AL174" i="9"/>
  <c r="AM174" i="9"/>
  <c r="AN174" i="9"/>
  <c r="AO174" i="9"/>
  <c r="AP174" i="9"/>
  <c r="AQ174" i="9"/>
  <c r="AR174" i="9"/>
  <c r="AS174" i="9"/>
  <c r="AT174" i="9"/>
  <c r="AU174" i="9"/>
  <c r="AV174" i="9"/>
  <c r="AW174" i="9"/>
  <c r="AX174" i="9"/>
  <c r="AY174" i="9"/>
  <c r="AZ174" i="9"/>
  <c r="AA175" i="9"/>
  <c r="AB175" i="9"/>
  <c r="AC175" i="9"/>
  <c r="AD175" i="9"/>
  <c r="AE175" i="9"/>
  <c r="AF175" i="9"/>
  <c r="AG175" i="9"/>
  <c r="AH175" i="9"/>
  <c r="AI175" i="9"/>
  <c r="AJ175" i="9"/>
  <c r="AK175" i="9"/>
  <c r="AL175" i="9"/>
  <c r="AM175" i="9"/>
  <c r="AN175" i="9"/>
  <c r="AO175" i="9"/>
  <c r="AP175" i="9"/>
  <c r="AQ175" i="9"/>
  <c r="AR175" i="9"/>
  <c r="AS175" i="9"/>
  <c r="AT175" i="9"/>
  <c r="AU175" i="9"/>
  <c r="AV175" i="9"/>
  <c r="AW175" i="9"/>
  <c r="AX175" i="9"/>
  <c r="AY175" i="9"/>
  <c r="AZ175" i="9"/>
  <c r="AA176" i="9"/>
  <c r="AB176" i="9"/>
  <c r="AC176" i="9"/>
  <c r="AD176" i="9"/>
  <c r="AE176" i="9"/>
  <c r="AF176" i="9"/>
  <c r="AG176" i="9"/>
  <c r="AH176" i="9"/>
  <c r="AI176" i="9"/>
  <c r="AJ176" i="9"/>
  <c r="AK176" i="9"/>
  <c r="AL176" i="9"/>
  <c r="AM176" i="9"/>
  <c r="AN176" i="9"/>
  <c r="AO176" i="9"/>
  <c r="AP176" i="9"/>
  <c r="AQ176" i="9"/>
  <c r="AR176" i="9"/>
  <c r="AS176" i="9"/>
  <c r="AT176" i="9"/>
  <c r="AU176" i="9"/>
  <c r="AV176" i="9"/>
  <c r="AW176" i="9"/>
  <c r="AX176" i="9"/>
  <c r="AY176" i="9"/>
  <c r="AZ176" i="9"/>
  <c r="AA177" i="9"/>
  <c r="AB177" i="9"/>
  <c r="AC177" i="9"/>
  <c r="AD177" i="9"/>
  <c r="AE177" i="9"/>
  <c r="AF177" i="9"/>
  <c r="AG177" i="9"/>
  <c r="AH177" i="9"/>
  <c r="AI177" i="9"/>
  <c r="AJ177" i="9"/>
  <c r="AK177" i="9"/>
  <c r="AL177" i="9"/>
  <c r="AM177" i="9"/>
  <c r="AN177" i="9"/>
  <c r="AO177" i="9"/>
  <c r="AP177" i="9"/>
  <c r="AQ177" i="9"/>
  <c r="AR177" i="9"/>
  <c r="AS177" i="9"/>
  <c r="AT177" i="9"/>
  <c r="AU177" i="9"/>
  <c r="AV177" i="9"/>
  <c r="AW177" i="9"/>
  <c r="AX177" i="9"/>
  <c r="AY177" i="9"/>
  <c r="AZ177" i="9"/>
  <c r="AA178" i="9"/>
  <c r="AB178" i="9"/>
  <c r="AC178" i="9"/>
  <c r="AD178" i="9"/>
  <c r="AE178" i="9"/>
  <c r="AF178" i="9"/>
  <c r="AG178" i="9"/>
  <c r="AH178" i="9"/>
  <c r="AI178" i="9"/>
  <c r="AJ178" i="9"/>
  <c r="AK178" i="9"/>
  <c r="AL178" i="9"/>
  <c r="AM178" i="9"/>
  <c r="AN178" i="9"/>
  <c r="AO178" i="9"/>
  <c r="AP178" i="9"/>
  <c r="AQ178" i="9"/>
  <c r="AR178" i="9"/>
  <c r="AS178" i="9"/>
  <c r="AT178" i="9"/>
  <c r="AU178" i="9"/>
  <c r="AV178" i="9"/>
  <c r="AW178" i="9"/>
  <c r="AX178" i="9"/>
  <c r="AY178" i="9"/>
  <c r="AZ178" i="9"/>
  <c r="AA179" i="9"/>
  <c r="AB179" i="9"/>
  <c r="AC179" i="9"/>
  <c r="AD179" i="9"/>
  <c r="AE179" i="9"/>
  <c r="AF179" i="9"/>
  <c r="AG179" i="9"/>
  <c r="AH179" i="9"/>
  <c r="AI179" i="9"/>
  <c r="AJ179" i="9"/>
  <c r="AK179" i="9"/>
  <c r="AL179" i="9"/>
  <c r="AM179" i="9"/>
  <c r="AN179" i="9"/>
  <c r="AO179" i="9"/>
  <c r="AP179" i="9"/>
  <c r="AQ179" i="9"/>
  <c r="AR179" i="9"/>
  <c r="AS179" i="9"/>
  <c r="AT179" i="9"/>
  <c r="AU179" i="9"/>
  <c r="AV179" i="9"/>
  <c r="AW179" i="9"/>
  <c r="AX179" i="9"/>
  <c r="AY179" i="9"/>
  <c r="AZ179" i="9"/>
  <c r="AA180" i="9"/>
  <c r="AB180" i="9"/>
  <c r="AC180" i="9"/>
  <c r="AD180" i="9"/>
  <c r="AE180" i="9"/>
  <c r="AF180" i="9"/>
  <c r="AG180" i="9"/>
  <c r="AH180" i="9"/>
  <c r="AI180" i="9"/>
  <c r="AJ180" i="9"/>
  <c r="AK180" i="9"/>
  <c r="AL180" i="9"/>
  <c r="AM180" i="9"/>
  <c r="AN180" i="9"/>
  <c r="AO180" i="9"/>
  <c r="AP180" i="9"/>
  <c r="AQ180" i="9"/>
  <c r="AR180" i="9"/>
  <c r="AS180" i="9"/>
  <c r="AT180" i="9"/>
  <c r="AU180" i="9"/>
  <c r="AV180" i="9"/>
  <c r="AW180" i="9"/>
  <c r="AX180" i="9"/>
  <c r="AY180" i="9"/>
  <c r="AZ180" i="9"/>
  <c r="AA181" i="9"/>
  <c r="AB181" i="9"/>
  <c r="AC181" i="9"/>
  <c r="AD181" i="9"/>
  <c r="AE181" i="9"/>
  <c r="AF181" i="9"/>
  <c r="AG181" i="9"/>
  <c r="AH181" i="9"/>
  <c r="AI181" i="9"/>
  <c r="AJ181" i="9"/>
  <c r="AK181" i="9"/>
  <c r="AL181" i="9"/>
  <c r="AM181" i="9"/>
  <c r="AN181" i="9"/>
  <c r="AO181" i="9"/>
  <c r="AP181" i="9"/>
  <c r="AQ181" i="9"/>
  <c r="AR181" i="9"/>
  <c r="AS181" i="9"/>
  <c r="AT181" i="9"/>
  <c r="AU181" i="9"/>
  <c r="AV181" i="9"/>
  <c r="AW181" i="9"/>
  <c r="AX181" i="9"/>
  <c r="AY181" i="9"/>
  <c r="AZ181" i="9"/>
  <c r="AA182" i="9"/>
  <c r="AB182" i="9"/>
  <c r="AC182" i="9"/>
  <c r="AD182" i="9"/>
  <c r="AE182" i="9"/>
  <c r="AF182" i="9"/>
  <c r="AG182" i="9"/>
  <c r="AH182" i="9"/>
  <c r="AI182" i="9"/>
  <c r="AJ182" i="9"/>
  <c r="AK182" i="9"/>
  <c r="AL182" i="9"/>
  <c r="AM182" i="9"/>
  <c r="AN182" i="9"/>
  <c r="AO182" i="9"/>
  <c r="AP182" i="9"/>
  <c r="AQ182" i="9"/>
  <c r="AR182" i="9"/>
  <c r="AS182" i="9"/>
  <c r="AT182" i="9"/>
  <c r="AU182" i="9"/>
  <c r="AV182" i="9"/>
  <c r="AW182" i="9"/>
  <c r="AX182" i="9"/>
  <c r="AY182" i="9"/>
  <c r="AZ182" i="9"/>
  <c r="AA183" i="9"/>
  <c r="AB183" i="9"/>
  <c r="AC183" i="9"/>
  <c r="AD183" i="9"/>
  <c r="AE183" i="9"/>
  <c r="AF183" i="9"/>
  <c r="AG183" i="9"/>
  <c r="AH183" i="9"/>
  <c r="AI183" i="9"/>
  <c r="AJ183" i="9"/>
  <c r="AK183" i="9"/>
  <c r="AL183" i="9"/>
  <c r="AM183" i="9"/>
  <c r="AN183" i="9"/>
  <c r="AO183" i="9"/>
  <c r="AP183" i="9"/>
  <c r="AQ183" i="9"/>
  <c r="AR183" i="9"/>
  <c r="AS183" i="9"/>
  <c r="AT183" i="9"/>
  <c r="AU183" i="9"/>
  <c r="AV183" i="9"/>
  <c r="AW183" i="9"/>
  <c r="AX183" i="9"/>
  <c r="AY183" i="9"/>
  <c r="AZ183" i="9"/>
  <c r="AA184" i="9"/>
  <c r="AB184" i="9"/>
  <c r="AC184" i="9"/>
  <c r="AD184" i="9"/>
  <c r="AE184" i="9"/>
  <c r="AF184" i="9"/>
  <c r="AG184" i="9"/>
  <c r="AH184" i="9"/>
  <c r="AI184" i="9"/>
  <c r="AJ184" i="9"/>
  <c r="AK184" i="9"/>
  <c r="AL184" i="9"/>
  <c r="AM184" i="9"/>
  <c r="AN184" i="9"/>
  <c r="AO184" i="9"/>
  <c r="AP184" i="9"/>
  <c r="AQ184" i="9"/>
  <c r="AR184" i="9"/>
  <c r="AS184" i="9"/>
  <c r="AT184" i="9"/>
  <c r="AU184" i="9"/>
  <c r="AV184" i="9"/>
  <c r="AW184" i="9"/>
  <c r="AX184" i="9"/>
  <c r="AY184" i="9"/>
  <c r="AZ184" i="9"/>
  <c r="AA185" i="9"/>
  <c r="AB185" i="9"/>
  <c r="AC185" i="9"/>
  <c r="AD185" i="9"/>
  <c r="AE185" i="9"/>
  <c r="AF185" i="9"/>
  <c r="AG185" i="9"/>
  <c r="AH185" i="9"/>
  <c r="AI185" i="9"/>
  <c r="AJ185" i="9"/>
  <c r="AK185" i="9"/>
  <c r="AL185" i="9"/>
  <c r="AM185" i="9"/>
  <c r="AN185" i="9"/>
  <c r="AO185" i="9"/>
  <c r="AP185" i="9"/>
  <c r="AQ185" i="9"/>
  <c r="AR185" i="9"/>
  <c r="AS185" i="9"/>
  <c r="AT185" i="9"/>
  <c r="AU185" i="9"/>
  <c r="AV185" i="9"/>
  <c r="AW185" i="9"/>
  <c r="AX185" i="9"/>
  <c r="AY185" i="9"/>
  <c r="AZ185" i="9"/>
  <c r="AA186" i="9"/>
  <c r="AB186" i="9"/>
  <c r="AC186" i="9"/>
  <c r="AD186" i="9"/>
  <c r="AE186" i="9"/>
  <c r="AF186" i="9"/>
  <c r="AG186" i="9"/>
  <c r="AH186" i="9"/>
  <c r="AI186" i="9"/>
  <c r="AJ186" i="9"/>
  <c r="AK186" i="9"/>
  <c r="AL186" i="9"/>
  <c r="AM186" i="9"/>
  <c r="AN186" i="9"/>
  <c r="AO186" i="9"/>
  <c r="AP186" i="9"/>
  <c r="AQ186" i="9"/>
  <c r="AR186" i="9"/>
  <c r="AS186" i="9"/>
  <c r="AT186" i="9"/>
  <c r="AU186" i="9"/>
  <c r="AV186" i="9"/>
  <c r="AW186" i="9"/>
  <c r="AX186" i="9"/>
  <c r="AY186" i="9"/>
  <c r="AZ186" i="9"/>
  <c r="AA187" i="9"/>
  <c r="AB187" i="9"/>
  <c r="AC187" i="9"/>
  <c r="AD187" i="9"/>
  <c r="AE187" i="9"/>
  <c r="AF187" i="9"/>
  <c r="AG187" i="9"/>
  <c r="AH187" i="9"/>
  <c r="AI187" i="9"/>
  <c r="AJ187" i="9"/>
  <c r="AK187" i="9"/>
  <c r="AL187" i="9"/>
  <c r="AM187" i="9"/>
  <c r="AN187" i="9"/>
  <c r="AO187" i="9"/>
  <c r="AP187" i="9"/>
  <c r="AQ187" i="9"/>
  <c r="AR187" i="9"/>
  <c r="AS187" i="9"/>
  <c r="AT187" i="9"/>
  <c r="AU187" i="9"/>
  <c r="AV187" i="9"/>
  <c r="AW187" i="9"/>
  <c r="AX187" i="9"/>
  <c r="AY187" i="9"/>
  <c r="AZ187" i="9"/>
  <c r="AA188" i="9"/>
  <c r="AB188" i="9"/>
  <c r="AC188" i="9"/>
  <c r="AD188" i="9"/>
  <c r="AE188" i="9"/>
  <c r="AF188" i="9"/>
  <c r="AG188" i="9"/>
  <c r="AH188" i="9"/>
  <c r="AI188" i="9"/>
  <c r="AJ188" i="9"/>
  <c r="AK188" i="9"/>
  <c r="AL188" i="9"/>
  <c r="AM188" i="9"/>
  <c r="AN188" i="9"/>
  <c r="AO188" i="9"/>
  <c r="AP188" i="9"/>
  <c r="AQ188" i="9"/>
  <c r="AR188" i="9"/>
  <c r="AS188" i="9"/>
  <c r="AT188" i="9"/>
  <c r="AU188" i="9"/>
  <c r="AV188" i="9"/>
  <c r="AW188" i="9"/>
  <c r="AX188" i="9"/>
  <c r="AY188" i="9"/>
  <c r="AZ188" i="9"/>
  <c r="AA189" i="9"/>
  <c r="AB189" i="9"/>
  <c r="AC189" i="9"/>
  <c r="AD189" i="9"/>
  <c r="AE189" i="9"/>
  <c r="AF189" i="9"/>
  <c r="AG189" i="9"/>
  <c r="AH189" i="9"/>
  <c r="AI189" i="9"/>
  <c r="AJ189" i="9"/>
  <c r="AK189" i="9"/>
  <c r="AL189" i="9"/>
  <c r="AM189" i="9"/>
  <c r="AN189" i="9"/>
  <c r="AO189" i="9"/>
  <c r="AP189" i="9"/>
  <c r="AQ189" i="9"/>
  <c r="AR189" i="9"/>
  <c r="AS189" i="9"/>
  <c r="AT189" i="9"/>
  <c r="AU189" i="9"/>
  <c r="AV189" i="9"/>
  <c r="AW189" i="9"/>
  <c r="AX189" i="9"/>
  <c r="AY189" i="9"/>
  <c r="AZ189" i="9"/>
  <c r="AA190" i="9"/>
  <c r="AB190" i="9"/>
  <c r="AC190" i="9"/>
  <c r="AD190" i="9"/>
  <c r="AE190" i="9"/>
  <c r="AF190" i="9"/>
  <c r="AG190" i="9"/>
  <c r="AH190" i="9"/>
  <c r="AI190" i="9"/>
  <c r="AJ190" i="9"/>
  <c r="AK190" i="9"/>
  <c r="AL190" i="9"/>
  <c r="AM190" i="9"/>
  <c r="AN190" i="9"/>
  <c r="AO190" i="9"/>
  <c r="AP190" i="9"/>
  <c r="AQ190" i="9"/>
  <c r="AR190" i="9"/>
  <c r="AS190" i="9"/>
  <c r="AT190" i="9"/>
  <c r="AU190" i="9"/>
  <c r="AV190" i="9"/>
  <c r="AW190" i="9"/>
  <c r="AX190" i="9"/>
  <c r="AY190" i="9"/>
  <c r="AZ190" i="9"/>
  <c r="AA191" i="9"/>
  <c r="AB191" i="9"/>
  <c r="AC191" i="9"/>
  <c r="AD191" i="9"/>
  <c r="AE191" i="9"/>
  <c r="AF191" i="9"/>
  <c r="AG191" i="9"/>
  <c r="AH191" i="9"/>
  <c r="AI191" i="9"/>
  <c r="AJ191" i="9"/>
  <c r="AK191" i="9"/>
  <c r="AL191" i="9"/>
  <c r="AM191" i="9"/>
  <c r="AN191" i="9"/>
  <c r="AO191" i="9"/>
  <c r="AP191" i="9"/>
  <c r="AQ191" i="9"/>
  <c r="AR191" i="9"/>
  <c r="AS191" i="9"/>
  <c r="AT191" i="9"/>
  <c r="AU191" i="9"/>
  <c r="AV191" i="9"/>
  <c r="AW191" i="9"/>
  <c r="AX191" i="9"/>
  <c r="AY191" i="9"/>
  <c r="AZ191" i="9"/>
  <c r="AA192" i="9"/>
  <c r="AB192" i="9"/>
  <c r="AC192" i="9"/>
  <c r="AD192" i="9"/>
  <c r="AE192" i="9"/>
  <c r="AF192" i="9"/>
  <c r="AG192" i="9"/>
  <c r="AH192" i="9"/>
  <c r="AI192" i="9"/>
  <c r="AJ192" i="9"/>
  <c r="AK192" i="9"/>
  <c r="AL192" i="9"/>
  <c r="AM192" i="9"/>
  <c r="AN192" i="9"/>
  <c r="AO192" i="9"/>
  <c r="AP192" i="9"/>
  <c r="AQ192" i="9"/>
  <c r="AR192" i="9"/>
  <c r="AS192" i="9"/>
  <c r="AT192" i="9"/>
  <c r="AU192" i="9"/>
  <c r="AV192" i="9"/>
  <c r="AW192" i="9"/>
  <c r="AX192" i="9"/>
  <c r="AY192" i="9"/>
  <c r="AZ192" i="9"/>
  <c r="AA193" i="9"/>
  <c r="AB193" i="9"/>
  <c r="AC193" i="9"/>
  <c r="AD193" i="9"/>
  <c r="AE193" i="9"/>
  <c r="AF193" i="9"/>
  <c r="AG193" i="9"/>
  <c r="AH193" i="9"/>
  <c r="AI193" i="9"/>
  <c r="AJ193" i="9"/>
  <c r="AK193" i="9"/>
  <c r="AL193" i="9"/>
  <c r="AM193" i="9"/>
  <c r="AN193" i="9"/>
  <c r="AO193" i="9"/>
  <c r="AP193" i="9"/>
  <c r="AQ193" i="9"/>
  <c r="AR193" i="9"/>
  <c r="AS193" i="9"/>
  <c r="AT193" i="9"/>
  <c r="AU193" i="9"/>
  <c r="AV193" i="9"/>
  <c r="AW193" i="9"/>
  <c r="AX193" i="9"/>
  <c r="AY193" i="9"/>
  <c r="AZ193" i="9"/>
  <c r="AA194" i="9"/>
  <c r="AB194" i="9"/>
  <c r="AC194" i="9"/>
  <c r="AD194" i="9"/>
  <c r="AE194" i="9"/>
  <c r="AF194" i="9"/>
  <c r="AG194" i="9"/>
  <c r="AH194" i="9"/>
  <c r="AI194" i="9"/>
  <c r="AJ194" i="9"/>
  <c r="AK194" i="9"/>
  <c r="AL194" i="9"/>
  <c r="AM194" i="9"/>
  <c r="AN194" i="9"/>
  <c r="AO194" i="9"/>
  <c r="AP194" i="9"/>
  <c r="AQ194" i="9"/>
  <c r="AR194" i="9"/>
  <c r="AS194" i="9"/>
  <c r="AT194" i="9"/>
  <c r="AU194" i="9"/>
  <c r="AV194" i="9"/>
  <c r="AW194" i="9"/>
  <c r="AX194" i="9"/>
  <c r="AY194" i="9"/>
  <c r="AZ194" i="9"/>
  <c r="AA195" i="9"/>
  <c r="AB195" i="9"/>
  <c r="AC195" i="9"/>
  <c r="AD195" i="9"/>
  <c r="AE195" i="9"/>
  <c r="AF195" i="9"/>
  <c r="AG195" i="9"/>
  <c r="AH195" i="9"/>
  <c r="AI195" i="9"/>
  <c r="AJ195" i="9"/>
  <c r="AK195" i="9"/>
  <c r="AL195" i="9"/>
  <c r="AM195" i="9"/>
  <c r="AN195" i="9"/>
  <c r="AO195" i="9"/>
  <c r="AP195" i="9"/>
  <c r="AQ195" i="9"/>
  <c r="AR195" i="9"/>
  <c r="AS195" i="9"/>
  <c r="AT195" i="9"/>
  <c r="AU195" i="9"/>
  <c r="AV195" i="9"/>
  <c r="AW195" i="9"/>
  <c r="AX195" i="9"/>
  <c r="AY195" i="9"/>
  <c r="AZ195" i="9"/>
  <c r="AA196" i="9"/>
  <c r="AB196" i="9"/>
  <c r="AC196" i="9"/>
  <c r="AD196" i="9"/>
  <c r="AE196" i="9"/>
  <c r="AF196" i="9"/>
  <c r="AG196" i="9"/>
  <c r="AH196" i="9"/>
  <c r="AI196" i="9"/>
  <c r="AJ196" i="9"/>
  <c r="AK196" i="9"/>
  <c r="AL196" i="9"/>
  <c r="AM196" i="9"/>
  <c r="AN196" i="9"/>
  <c r="AO196" i="9"/>
  <c r="AP196" i="9"/>
  <c r="AQ196" i="9"/>
  <c r="AR196" i="9"/>
  <c r="AS196" i="9"/>
  <c r="AT196" i="9"/>
  <c r="AU196" i="9"/>
  <c r="AV196" i="9"/>
  <c r="AW196" i="9"/>
  <c r="AX196" i="9"/>
  <c r="AY196" i="9"/>
  <c r="AZ196" i="9"/>
  <c r="AA197" i="9"/>
  <c r="AB197" i="9"/>
  <c r="AC197" i="9"/>
  <c r="AD197" i="9"/>
  <c r="AE197" i="9"/>
  <c r="AF197" i="9"/>
  <c r="AG197" i="9"/>
  <c r="AH197" i="9"/>
  <c r="AI197" i="9"/>
  <c r="AJ197" i="9"/>
  <c r="AK197" i="9"/>
  <c r="AL197" i="9"/>
  <c r="AM197" i="9"/>
  <c r="AN197" i="9"/>
  <c r="AO197" i="9"/>
  <c r="AP197" i="9"/>
  <c r="AQ197" i="9"/>
  <c r="AR197" i="9"/>
  <c r="AS197" i="9"/>
  <c r="AT197" i="9"/>
  <c r="AU197" i="9"/>
  <c r="AV197" i="9"/>
  <c r="AW197" i="9"/>
  <c r="AX197" i="9"/>
  <c r="AY197" i="9"/>
  <c r="AZ197" i="9"/>
  <c r="AA198" i="9"/>
  <c r="AB198" i="9"/>
  <c r="AC198" i="9"/>
  <c r="AD198" i="9"/>
  <c r="AE198" i="9"/>
  <c r="AF198" i="9"/>
  <c r="AG198" i="9"/>
  <c r="AH198" i="9"/>
  <c r="AI198" i="9"/>
  <c r="AJ198" i="9"/>
  <c r="AK198" i="9"/>
  <c r="AL198" i="9"/>
  <c r="AM198" i="9"/>
  <c r="AN198" i="9"/>
  <c r="AO198" i="9"/>
  <c r="AP198" i="9"/>
  <c r="AQ198" i="9"/>
  <c r="AR198" i="9"/>
  <c r="AS198" i="9"/>
  <c r="AT198" i="9"/>
  <c r="AU198" i="9"/>
  <c r="AV198" i="9"/>
  <c r="AW198" i="9"/>
  <c r="AX198" i="9"/>
  <c r="AY198" i="9"/>
  <c r="AZ198" i="9"/>
  <c r="AA199" i="9"/>
  <c r="AB199" i="9"/>
  <c r="AC199" i="9"/>
  <c r="AD199" i="9"/>
  <c r="AE199" i="9"/>
  <c r="AF199" i="9"/>
  <c r="AG199" i="9"/>
  <c r="AH199" i="9"/>
  <c r="AI199" i="9"/>
  <c r="AJ199" i="9"/>
  <c r="AK199" i="9"/>
  <c r="AL199" i="9"/>
  <c r="AM199" i="9"/>
  <c r="AN199" i="9"/>
  <c r="AO199" i="9"/>
  <c r="AP199" i="9"/>
  <c r="AQ199" i="9"/>
  <c r="AR199" i="9"/>
  <c r="AS199" i="9"/>
  <c r="AT199" i="9"/>
  <c r="AU199" i="9"/>
  <c r="AV199" i="9"/>
  <c r="AW199" i="9"/>
  <c r="AX199" i="9"/>
  <c r="AY199" i="9"/>
  <c r="AZ199" i="9"/>
  <c r="AA200" i="9"/>
  <c r="AB200" i="9"/>
  <c r="AC200" i="9"/>
  <c r="AD200" i="9"/>
  <c r="AE200" i="9"/>
  <c r="AF200" i="9"/>
  <c r="AG200" i="9"/>
  <c r="AH200" i="9"/>
  <c r="AI200" i="9"/>
  <c r="AJ200" i="9"/>
  <c r="AK200" i="9"/>
  <c r="AL200" i="9"/>
  <c r="AM200" i="9"/>
  <c r="AN200" i="9"/>
  <c r="AO200" i="9"/>
  <c r="AP200" i="9"/>
  <c r="AQ200" i="9"/>
  <c r="AR200" i="9"/>
  <c r="AS200" i="9"/>
  <c r="AT200" i="9"/>
  <c r="AU200" i="9"/>
  <c r="AV200" i="9"/>
  <c r="AW200" i="9"/>
  <c r="AX200" i="9"/>
  <c r="AY200" i="9"/>
  <c r="AZ200" i="9"/>
  <c r="AA201" i="9"/>
  <c r="AB201" i="9"/>
  <c r="AC201" i="9"/>
  <c r="AD201" i="9"/>
  <c r="AE201" i="9"/>
  <c r="AF201" i="9"/>
  <c r="AG201" i="9"/>
  <c r="AH201" i="9"/>
  <c r="AI201" i="9"/>
  <c r="AJ201" i="9"/>
  <c r="AK201" i="9"/>
  <c r="AL201" i="9"/>
  <c r="AM201" i="9"/>
  <c r="AN201" i="9"/>
  <c r="AO201" i="9"/>
  <c r="AP201" i="9"/>
  <c r="AQ201" i="9"/>
  <c r="AR201" i="9"/>
  <c r="AS201" i="9"/>
  <c r="AT201" i="9"/>
  <c r="AU201" i="9"/>
  <c r="AV201" i="9"/>
  <c r="AW201" i="9"/>
  <c r="AX201" i="9"/>
  <c r="AY201" i="9"/>
  <c r="AZ201" i="9"/>
  <c r="AA202" i="9"/>
  <c r="AB202" i="9"/>
  <c r="AC202" i="9"/>
  <c r="AD202" i="9"/>
  <c r="AE202" i="9"/>
  <c r="AF202" i="9"/>
  <c r="AG202" i="9"/>
  <c r="AH202" i="9"/>
  <c r="AI202" i="9"/>
  <c r="AJ202" i="9"/>
  <c r="AK202" i="9"/>
  <c r="AL202" i="9"/>
  <c r="AM202" i="9"/>
  <c r="AN202" i="9"/>
  <c r="AO202" i="9"/>
  <c r="AP202" i="9"/>
  <c r="AQ202" i="9"/>
  <c r="AR202" i="9"/>
  <c r="AS202" i="9"/>
  <c r="AT202" i="9"/>
  <c r="AU202" i="9"/>
  <c r="AV202" i="9"/>
  <c r="AW202" i="9"/>
  <c r="AX202" i="9"/>
  <c r="AY202" i="9"/>
  <c r="AZ202" i="9"/>
  <c r="AA203" i="9"/>
  <c r="AB203" i="9"/>
  <c r="AC203" i="9"/>
  <c r="AD203" i="9"/>
  <c r="AE203" i="9"/>
  <c r="AF203" i="9"/>
  <c r="AG203" i="9"/>
  <c r="AH203" i="9"/>
  <c r="AI203" i="9"/>
  <c r="AJ203" i="9"/>
  <c r="AK203" i="9"/>
  <c r="AL203" i="9"/>
  <c r="AM203" i="9"/>
  <c r="AN203" i="9"/>
  <c r="AO203" i="9"/>
  <c r="AP203" i="9"/>
  <c r="AQ203" i="9"/>
  <c r="AR203" i="9"/>
  <c r="AS203" i="9"/>
  <c r="AT203" i="9"/>
  <c r="AU203" i="9"/>
  <c r="AV203" i="9"/>
  <c r="AW203" i="9"/>
  <c r="AX203" i="9"/>
  <c r="AY203" i="9"/>
  <c r="AZ203" i="9"/>
  <c r="AA204" i="9"/>
  <c r="AB204" i="9"/>
  <c r="AC204" i="9"/>
  <c r="AD204" i="9"/>
  <c r="AE204" i="9"/>
  <c r="AF204" i="9"/>
  <c r="AG204" i="9"/>
  <c r="AH204" i="9"/>
  <c r="AI204" i="9"/>
  <c r="AJ204" i="9"/>
  <c r="AK204" i="9"/>
  <c r="AL204" i="9"/>
  <c r="AM204" i="9"/>
  <c r="AN204" i="9"/>
  <c r="AO204" i="9"/>
  <c r="AP204" i="9"/>
  <c r="AQ204" i="9"/>
  <c r="AR204" i="9"/>
  <c r="AS204" i="9"/>
  <c r="AT204" i="9"/>
  <c r="AU204" i="9"/>
  <c r="AV204" i="9"/>
  <c r="AW204" i="9"/>
  <c r="AX204" i="9"/>
  <c r="AY204" i="9"/>
  <c r="AZ204" i="9"/>
  <c r="AA205" i="9"/>
  <c r="AB205" i="9"/>
  <c r="AC205" i="9"/>
  <c r="AD205" i="9"/>
  <c r="AE205" i="9"/>
  <c r="AF205" i="9"/>
  <c r="AG205" i="9"/>
  <c r="AH205" i="9"/>
  <c r="AI205" i="9"/>
  <c r="AJ205" i="9"/>
  <c r="AK205" i="9"/>
  <c r="AL205" i="9"/>
  <c r="AM205" i="9"/>
  <c r="AN205" i="9"/>
  <c r="AO205" i="9"/>
  <c r="AP205" i="9"/>
  <c r="AQ205" i="9"/>
  <c r="AR205" i="9"/>
  <c r="AS205" i="9"/>
  <c r="AT205" i="9"/>
  <c r="AU205" i="9"/>
  <c r="AV205" i="9"/>
  <c r="AW205" i="9"/>
  <c r="AX205" i="9"/>
  <c r="AY205" i="9"/>
  <c r="AZ205" i="9"/>
  <c r="AA206" i="9"/>
  <c r="AB206" i="9"/>
  <c r="AC206" i="9"/>
  <c r="AD206" i="9"/>
  <c r="AE206" i="9"/>
  <c r="AF206" i="9"/>
  <c r="AG206" i="9"/>
  <c r="AH206" i="9"/>
  <c r="AI206" i="9"/>
  <c r="AJ206" i="9"/>
  <c r="AK206" i="9"/>
  <c r="AL206" i="9"/>
  <c r="AM206" i="9"/>
  <c r="AN206" i="9"/>
  <c r="AO206" i="9"/>
  <c r="AP206" i="9"/>
  <c r="AQ206" i="9"/>
  <c r="AR206" i="9"/>
  <c r="AS206" i="9"/>
  <c r="AT206" i="9"/>
  <c r="AU206" i="9"/>
  <c r="AV206" i="9"/>
  <c r="AW206" i="9"/>
  <c r="AX206" i="9"/>
  <c r="AY206" i="9"/>
  <c r="AZ206" i="9"/>
  <c r="AA207" i="9"/>
  <c r="AB207" i="9"/>
  <c r="AC207" i="9"/>
  <c r="AD207" i="9"/>
  <c r="AE207" i="9"/>
  <c r="AF207" i="9"/>
  <c r="AG207" i="9"/>
  <c r="AH207" i="9"/>
  <c r="AI207" i="9"/>
  <c r="AJ207" i="9"/>
  <c r="AK207" i="9"/>
  <c r="AL207" i="9"/>
  <c r="AM207" i="9"/>
  <c r="AN207" i="9"/>
  <c r="AO207" i="9"/>
  <c r="AP207" i="9"/>
  <c r="AQ207" i="9"/>
  <c r="AR207" i="9"/>
  <c r="AS207" i="9"/>
  <c r="AT207" i="9"/>
  <c r="AU207" i="9"/>
  <c r="AV207" i="9"/>
  <c r="AW207" i="9"/>
  <c r="AX207" i="9"/>
  <c r="AY207" i="9"/>
  <c r="AZ207" i="9"/>
  <c r="AA208" i="9"/>
  <c r="AB208" i="9"/>
  <c r="AC208" i="9"/>
  <c r="AD208" i="9"/>
  <c r="AE208" i="9"/>
  <c r="AF208" i="9"/>
  <c r="AG208" i="9"/>
  <c r="AH208" i="9"/>
  <c r="AI208" i="9"/>
  <c r="AJ208" i="9"/>
  <c r="AK208" i="9"/>
  <c r="AL208" i="9"/>
  <c r="AM208" i="9"/>
  <c r="AN208" i="9"/>
  <c r="AO208" i="9"/>
  <c r="AP208" i="9"/>
  <c r="AQ208" i="9"/>
  <c r="AR208" i="9"/>
  <c r="AS208" i="9"/>
  <c r="AT208" i="9"/>
  <c r="AU208" i="9"/>
  <c r="AV208" i="9"/>
  <c r="AW208" i="9"/>
  <c r="AX208" i="9"/>
  <c r="AY208" i="9"/>
  <c r="AZ208" i="9"/>
  <c r="AA209" i="9"/>
  <c r="AB209" i="9"/>
  <c r="AC209" i="9"/>
  <c r="AD209" i="9"/>
  <c r="AE209" i="9"/>
  <c r="AF209" i="9"/>
  <c r="AG209" i="9"/>
  <c r="AH209" i="9"/>
  <c r="AI209" i="9"/>
  <c r="AJ209" i="9"/>
  <c r="AK209" i="9"/>
  <c r="AL209" i="9"/>
  <c r="AM209" i="9"/>
  <c r="AN209" i="9"/>
  <c r="AO209" i="9"/>
  <c r="AP209" i="9"/>
  <c r="AQ209" i="9"/>
  <c r="AR209" i="9"/>
  <c r="AS209" i="9"/>
  <c r="AT209" i="9"/>
  <c r="AU209" i="9"/>
  <c r="AV209" i="9"/>
  <c r="AW209" i="9"/>
  <c r="AX209" i="9"/>
  <c r="AY209" i="9"/>
  <c r="AZ209" i="9"/>
  <c r="AA210" i="9"/>
  <c r="AB210" i="9"/>
  <c r="AC210" i="9"/>
  <c r="AD210" i="9"/>
  <c r="AE210" i="9"/>
  <c r="AF210" i="9"/>
  <c r="AG210" i="9"/>
  <c r="AH210" i="9"/>
  <c r="AI210" i="9"/>
  <c r="AJ210" i="9"/>
  <c r="AK210" i="9"/>
  <c r="AL210" i="9"/>
  <c r="AM210" i="9"/>
  <c r="AN210" i="9"/>
  <c r="AO210" i="9"/>
  <c r="AP210" i="9"/>
  <c r="AQ210" i="9"/>
  <c r="AR210" i="9"/>
  <c r="AS210" i="9"/>
  <c r="AT210" i="9"/>
  <c r="AU210" i="9"/>
  <c r="AV210" i="9"/>
  <c r="AW210" i="9"/>
  <c r="AX210" i="9"/>
  <c r="AY210" i="9"/>
  <c r="AZ210" i="9"/>
  <c r="AA211" i="9"/>
  <c r="AB211" i="9"/>
  <c r="AC211" i="9"/>
  <c r="AD211" i="9"/>
  <c r="AE211" i="9"/>
  <c r="AF211" i="9"/>
  <c r="AG211" i="9"/>
  <c r="AH211" i="9"/>
  <c r="AI211" i="9"/>
  <c r="AJ211" i="9"/>
  <c r="AK211" i="9"/>
  <c r="AL211" i="9"/>
  <c r="AM211" i="9"/>
  <c r="AN211" i="9"/>
  <c r="AO211" i="9"/>
  <c r="AP211" i="9"/>
  <c r="AQ211" i="9"/>
  <c r="AR211" i="9"/>
  <c r="AS211" i="9"/>
  <c r="AT211" i="9"/>
  <c r="AU211" i="9"/>
  <c r="AV211" i="9"/>
  <c r="AW211" i="9"/>
  <c r="AX211" i="9"/>
  <c r="AY211" i="9"/>
  <c r="AZ211" i="9"/>
  <c r="AA212" i="9"/>
  <c r="AB212" i="9"/>
  <c r="AC212" i="9"/>
  <c r="AD212" i="9"/>
  <c r="AE212" i="9"/>
  <c r="AF212" i="9"/>
  <c r="AG212" i="9"/>
  <c r="AH212" i="9"/>
  <c r="AI212" i="9"/>
  <c r="AJ212" i="9"/>
  <c r="AK212" i="9"/>
  <c r="AL212" i="9"/>
  <c r="AM212" i="9"/>
  <c r="AN212" i="9"/>
  <c r="AO212" i="9"/>
  <c r="AP212" i="9"/>
  <c r="AQ212" i="9"/>
  <c r="AR212" i="9"/>
  <c r="AS212" i="9"/>
  <c r="AT212" i="9"/>
  <c r="AU212" i="9"/>
  <c r="AV212" i="9"/>
  <c r="AW212" i="9"/>
  <c r="AX212" i="9"/>
  <c r="AY212" i="9"/>
  <c r="AZ212" i="9"/>
  <c r="AA213" i="9"/>
  <c r="AB213" i="9"/>
  <c r="AC213" i="9"/>
  <c r="AD213" i="9"/>
  <c r="AE213" i="9"/>
  <c r="AF213" i="9"/>
  <c r="AG213" i="9"/>
  <c r="AH213" i="9"/>
  <c r="AI213" i="9"/>
  <c r="AJ213" i="9"/>
  <c r="AK213" i="9"/>
  <c r="AL213" i="9"/>
  <c r="AM213" i="9"/>
  <c r="AN213" i="9"/>
  <c r="AO213" i="9"/>
  <c r="AP213" i="9"/>
  <c r="AQ213" i="9"/>
  <c r="AR213" i="9"/>
  <c r="AS213" i="9"/>
  <c r="AT213" i="9"/>
  <c r="AU213" i="9"/>
  <c r="AV213" i="9"/>
  <c r="AW213" i="9"/>
  <c r="AX213" i="9"/>
  <c r="AY213" i="9"/>
  <c r="AZ213" i="9"/>
  <c r="AA214" i="9"/>
  <c r="AB214" i="9"/>
  <c r="AC214" i="9"/>
  <c r="AD214" i="9"/>
  <c r="AE214" i="9"/>
  <c r="AF214" i="9"/>
  <c r="AG214" i="9"/>
  <c r="AH214" i="9"/>
  <c r="AI214" i="9"/>
  <c r="AJ214" i="9"/>
  <c r="AK214" i="9"/>
  <c r="AL214" i="9"/>
  <c r="AM214" i="9"/>
  <c r="AN214" i="9"/>
  <c r="AO214" i="9"/>
  <c r="AP214" i="9"/>
  <c r="AQ214" i="9"/>
  <c r="AR214" i="9"/>
  <c r="AS214" i="9"/>
  <c r="AT214" i="9"/>
  <c r="AU214" i="9"/>
  <c r="AV214" i="9"/>
  <c r="AW214" i="9"/>
  <c r="AX214" i="9"/>
  <c r="AY214" i="9"/>
  <c r="AZ214" i="9"/>
  <c r="AA215" i="9"/>
  <c r="AB215" i="9"/>
  <c r="AC215" i="9"/>
  <c r="AD215" i="9"/>
  <c r="AE215" i="9"/>
  <c r="AF215" i="9"/>
  <c r="AG215" i="9"/>
  <c r="AH215" i="9"/>
  <c r="AI215" i="9"/>
  <c r="AJ215" i="9"/>
  <c r="AK215" i="9"/>
  <c r="AL215" i="9"/>
  <c r="AM215" i="9"/>
  <c r="AN215" i="9"/>
  <c r="AO215" i="9"/>
  <c r="AP215" i="9"/>
  <c r="AQ215" i="9"/>
  <c r="AR215" i="9"/>
  <c r="AS215" i="9"/>
  <c r="AT215" i="9"/>
  <c r="AU215" i="9"/>
  <c r="AV215" i="9"/>
  <c r="AW215" i="9"/>
  <c r="AX215" i="9"/>
  <c r="AY215" i="9"/>
  <c r="AZ215" i="9"/>
  <c r="AA216" i="9"/>
  <c r="AB216" i="9"/>
  <c r="AC216" i="9"/>
  <c r="AD216" i="9"/>
  <c r="AE216" i="9"/>
  <c r="AF216" i="9"/>
  <c r="AG216" i="9"/>
  <c r="AH216" i="9"/>
  <c r="AI216" i="9"/>
  <c r="AJ216" i="9"/>
  <c r="AK216" i="9"/>
  <c r="AL216" i="9"/>
  <c r="AM216" i="9"/>
  <c r="AN216" i="9"/>
  <c r="AO216" i="9"/>
  <c r="AP216" i="9"/>
  <c r="AQ216" i="9"/>
  <c r="AR216" i="9"/>
  <c r="AS216" i="9"/>
  <c r="AT216" i="9"/>
  <c r="AU216" i="9"/>
  <c r="AV216" i="9"/>
  <c r="AW216" i="9"/>
  <c r="AX216" i="9"/>
  <c r="AY216" i="9"/>
  <c r="AZ216" i="9"/>
  <c r="AA217" i="9"/>
  <c r="AB217" i="9"/>
  <c r="AC217" i="9"/>
  <c r="AD217" i="9"/>
  <c r="AE217" i="9"/>
  <c r="AF217" i="9"/>
  <c r="AG217" i="9"/>
  <c r="AH217" i="9"/>
  <c r="AI217" i="9"/>
  <c r="AJ217" i="9"/>
  <c r="AK217" i="9"/>
  <c r="AL217" i="9"/>
  <c r="AM217" i="9"/>
  <c r="AN217" i="9"/>
  <c r="AO217" i="9"/>
  <c r="AP217" i="9"/>
  <c r="AQ217" i="9"/>
  <c r="AR217" i="9"/>
  <c r="AS217" i="9"/>
  <c r="AT217" i="9"/>
  <c r="AU217" i="9"/>
  <c r="AV217" i="9"/>
  <c r="AW217" i="9"/>
  <c r="AX217" i="9"/>
  <c r="AY217" i="9"/>
  <c r="AZ217" i="9"/>
  <c r="AA218" i="9"/>
  <c r="AB218" i="9"/>
  <c r="AC218" i="9"/>
  <c r="AD218" i="9"/>
  <c r="AE218" i="9"/>
  <c r="AF218" i="9"/>
  <c r="AG218" i="9"/>
  <c r="AH218" i="9"/>
  <c r="AI218" i="9"/>
  <c r="AJ218" i="9"/>
  <c r="AK218" i="9"/>
  <c r="AL218" i="9"/>
  <c r="AM218" i="9"/>
  <c r="AN218" i="9"/>
  <c r="AO218" i="9"/>
  <c r="AP218" i="9"/>
  <c r="AQ218" i="9"/>
  <c r="AR218" i="9"/>
  <c r="AS218" i="9"/>
  <c r="AT218" i="9"/>
  <c r="AU218" i="9"/>
  <c r="AV218" i="9"/>
  <c r="AW218" i="9"/>
  <c r="AX218" i="9"/>
  <c r="AY218" i="9"/>
  <c r="AZ218" i="9"/>
  <c r="AA219" i="9"/>
  <c r="AB219" i="9"/>
  <c r="AC219" i="9"/>
  <c r="AD219" i="9"/>
  <c r="AE219" i="9"/>
  <c r="AF219" i="9"/>
  <c r="AG219" i="9"/>
  <c r="AH219" i="9"/>
  <c r="AI219" i="9"/>
  <c r="AJ219" i="9"/>
  <c r="AK219" i="9"/>
  <c r="AL219" i="9"/>
  <c r="AM219" i="9"/>
  <c r="AN219" i="9"/>
  <c r="AO219" i="9"/>
  <c r="AP219" i="9"/>
  <c r="AQ219" i="9"/>
  <c r="AR219" i="9"/>
  <c r="AS219" i="9"/>
  <c r="AT219" i="9"/>
  <c r="AU219" i="9"/>
  <c r="AV219" i="9"/>
  <c r="AW219" i="9"/>
  <c r="AX219" i="9"/>
  <c r="AY219" i="9"/>
  <c r="AZ219" i="9"/>
  <c r="AA220" i="9"/>
  <c r="AB220" i="9"/>
  <c r="AC220" i="9"/>
  <c r="AD220" i="9"/>
  <c r="AE220" i="9"/>
  <c r="AF220" i="9"/>
  <c r="AG220" i="9"/>
  <c r="AH220" i="9"/>
  <c r="AI220" i="9"/>
  <c r="AJ220" i="9"/>
  <c r="AK220" i="9"/>
  <c r="AL220" i="9"/>
  <c r="AM220" i="9"/>
  <c r="AN220" i="9"/>
  <c r="AO220" i="9"/>
  <c r="AP220" i="9"/>
  <c r="AQ220" i="9"/>
  <c r="AR220" i="9"/>
  <c r="AS220" i="9"/>
  <c r="AT220" i="9"/>
  <c r="AU220" i="9"/>
  <c r="AV220" i="9"/>
  <c r="AW220" i="9"/>
  <c r="AX220" i="9"/>
  <c r="AY220" i="9"/>
  <c r="AZ220" i="9"/>
  <c r="AA221" i="9"/>
  <c r="AB221" i="9"/>
  <c r="AC221" i="9"/>
  <c r="AD221" i="9"/>
  <c r="AE221" i="9"/>
  <c r="AF221" i="9"/>
  <c r="AG221" i="9"/>
  <c r="AH221" i="9"/>
  <c r="AI221" i="9"/>
  <c r="AJ221" i="9"/>
  <c r="AK221" i="9"/>
  <c r="AL221" i="9"/>
  <c r="AM221" i="9"/>
  <c r="AN221" i="9"/>
  <c r="AO221" i="9"/>
  <c r="AP221" i="9"/>
  <c r="AQ221" i="9"/>
  <c r="AR221" i="9"/>
  <c r="AS221" i="9"/>
  <c r="AT221" i="9"/>
  <c r="AU221" i="9"/>
  <c r="AV221" i="9"/>
  <c r="AW221" i="9"/>
  <c r="AX221" i="9"/>
  <c r="AY221" i="9"/>
  <c r="AZ221" i="9"/>
  <c r="AA222" i="9"/>
  <c r="AB222" i="9"/>
  <c r="AC222" i="9"/>
  <c r="AD222" i="9"/>
  <c r="AE222" i="9"/>
  <c r="AF222" i="9"/>
  <c r="AG222" i="9"/>
  <c r="AH222" i="9"/>
  <c r="AI222" i="9"/>
  <c r="AJ222" i="9"/>
  <c r="AK222" i="9"/>
  <c r="AL222" i="9"/>
  <c r="AM222" i="9"/>
  <c r="AN222" i="9"/>
  <c r="AO222" i="9"/>
  <c r="AP222" i="9"/>
  <c r="AQ222" i="9"/>
  <c r="AR222" i="9"/>
  <c r="AS222" i="9"/>
  <c r="AT222" i="9"/>
  <c r="AU222" i="9"/>
  <c r="AV222" i="9"/>
  <c r="AW222" i="9"/>
  <c r="AX222" i="9"/>
  <c r="AY222" i="9"/>
  <c r="AZ222" i="9"/>
  <c r="AA223" i="9"/>
  <c r="AB223" i="9"/>
  <c r="AC223" i="9"/>
  <c r="AD223" i="9"/>
  <c r="AE223" i="9"/>
  <c r="AF223" i="9"/>
  <c r="AG223" i="9"/>
  <c r="AH223" i="9"/>
  <c r="AI223" i="9"/>
  <c r="AJ223" i="9"/>
  <c r="AK223" i="9"/>
  <c r="AL223" i="9"/>
  <c r="AM223" i="9"/>
  <c r="AN223" i="9"/>
  <c r="AO223" i="9"/>
  <c r="AP223" i="9"/>
  <c r="AQ223" i="9"/>
  <c r="AR223" i="9"/>
  <c r="AS223" i="9"/>
  <c r="AT223" i="9"/>
  <c r="AU223" i="9"/>
  <c r="AV223" i="9"/>
  <c r="AW223" i="9"/>
  <c r="AX223" i="9"/>
  <c r="AY223" i="9"/>
  <c r="AZ223" i="9"/>
  <c r="AA224" i="9"/>
  <c r="AB224" i="9"/>
  <c r="AC224" i="9"/>
  <c r="AD224" i="9"/>
  <c r="AE224" i="9"/>
  <c r="AF224" i="9"/>
  <c r="AG224" i="9"/>
  <c r="AH224" i="9"/>
  <c r="AI224" i="9"/>
  <c r="AJ224" i="9"/>
  <c r="AK224" i="9"/>
  <c r="AL224" i="9"/>
  <c r="AM224" i="9"/>
  <c r="AN224" i="9"/>
  <c r="AO224" i="9"/>
  <c r="AP224" i="9"/>
  <c r="AQ224" i="9"/>
  <c r="AR224" i="9"/>
  <c r="AS224" i="9"/>
  <c r="AT224" i="9"/>
  <c r="AU224" i="9"/>
  <c r="AV224" i="9"/>
  <c r="AW224" i="9"/>
  <c r="AX224" i="9"/>
  <c r="AY224" i="9"/>
  <c r="AZ224" i="9"/>
  <c r="AA225" i="9"/>
  <c r="AB225" i="9"/>
  <c r="AC225" i="9"/>
  <c r="AD225" i="9"/>
  <c r="AE225" i="9"/>
  <c r="AF225" i="9"/>
  <c r="AG225" i="9"/>
  <c r="AH225" i="9"/>
  <c r="AI225" i="9"/>
  <c r="AJ225" i="9"/>
  <c r="AK225" i="9"/>
  <c r="AL225" i="9"/>
  <c r="AM225" i="9"/>
  <c r="AN225" i="9"/>
  <c r="AO225" i="9"/>
  <c r="AP225" i="9"/>
  <c r="AQ225" i="9"/>
  <c r="AR225" i="9"/>
  <c r="AS225" i="9"/>
  <c r="AT225" i="9"/>
  <c r="AU225" i="9"/>
  <c r="AV225" i="9"/>
  <c r="AW225" i="9"/>
  <c r="AX225" i="9"/>
  <c r="AY225" i="9"/>
  <c r="AZ225" i="9"/>
  <c r="AA226" i="9"/>
  <c r="AB226" i="9"/>
  <c r="AC226" i="9"/>
  <c r="AD226" i="9"/>
  <c r="AE226" i="9"/>
  <c r="AF226" i="9"/>
  <c r="AG226" i="9"/>
  <c r="AH226" i="9"/>
  <c r="AI226" i="9"/>
  <c r="AJ226" i="9"/>
  <c r="AK226" i="9"/>
  <c r="AL226" i="9"/>
  <c r="AM226" i="9"/>
  <c r="AN226" i="9"/>
  <c r="AO226" i="9"/>
  <c r="AP226" i="9"/>
  <c r="AQ226" i="9"/>
  <c r="AR226" i="9"/>
  <c r="AS226" i="9"/>
  <c r="AT226" i="9"/>
  <c r="AU226" i="9"/>
  <c r="AV226" i="9"/>
  <c r="AW226" i="9"/>
  <c r="AX226" i="9"/>
  <c r="AY226" i="9"/>
  <c r="AZ226" i="9"/>
  <c r="AA227" i="9"/>
  <c r="AB227" i="9"/>
  <c r="AC227" i="9"/>
  <c r="AD227" i="9"/>
  <c r="AE227" i="9"/>
  <c r="AF227" i="9"/>
  <c r="AG227" i="9"/>
  <c r="AH227" i="9"/>
  <c r="AI227" i="9"/>
  <c r="AJ227" i="9"/>
  <c r="AK227" i="9"/>
  <c r="AL227" i="9"/>
  <c r="AM227" i="9"/>
  <c r="AN227" i="9"/>
  <c r="AO227" i="9"/>
  <c r="AP227" i="9"/>
  <c r="AQ227" i="9"/>
  <c r="AR227" i="9"/>
  <c r="AS227" i="9"/>
  <c r="AT227" i="9"/>
  <c r="AU227" i="9"/>
  <c r="AV227" i="9"/>
  <c r="AW227" i="9"/>
  <c r="AX227" i="9"/>
  <c r="AY227" i="9"/>
  <c r="AZ227" i="9"/>
  <c r="AA228" i="9"/>
  <c r="AB228" i="9"/>
  <c r="AC228" i="9"/>
  <c r="AD228" i="9"/>
  <c r="AE228" i="9"/>
  <c r="AF228" i="9"/>
  <c r="AG228" i="9"/>
  <c r="AH228" i="9"/>
  <c r="AI228" i="9"/>
  <c r="AJ228" i="9"/>
  <c r="AK228" i="9"/>
  <c r="AL228" i="9"/>
  <c r="AM228" i="9"/>
  <c r="AN228" i="9"/>
  <c r="AO228" i="9"/>
  <c r="AP228" i="9"/>
  <c r="AQ228" i="9"/>
  <c r="AR228" i="9"/>
  <c r="AS228" i="9"/>
  <c r="AT228" i="9"/>
  <c r="AU228" i="9"/>
  <c r="AV228" i="9"/>
  <c r="AW228" i="9"/>
  <c r="AX228" i="9"/>
  <c r="AY228" i="9"/>
  <c r="AZ228" i="9"/>
  <c r="AA229" i="9"/>
  <c r="AB229" i="9"/>
  <c r="AC229" i="9"/>
  <c r="AD229" i="9"/>
  <c r="AE229" i="9"/>
  <c r="AF229" i="9"/>
  <c r="AG229" i="9"/>
  <c r="AH229" i="9"/>
  <c r="AI229" i="9"/>
  <c r="AJ229" i="9"/>
  <c r="AK229" i="9"/>
  <c r="AL229" i="9"/>
  <c r="AM229" i="9"/>
  <c r="AN229" i="9"/>
  <c r="AO229" i="9"/>
  <c r="AP229" i="9"/>
  <c r="AQ229" i="9"/>
  <c r="AR229" i="9"/>
  <c r="AS229" i="9"/>
  <c r="AT229" i="9"/>
  <c r="AU229" i="9"/>
  <c r="AV229" i="9"/>
  <c r="AW229" i="9"/>
  <c r="AX229" i="9"/>
  <c r="AY229" i="9"/>
  <c r="AZ229" i="9"/>
  <c r="AA230" i="9"/>
  <c r="AB230" i="9"/>
  <c r="AC230" i="9"/>
  <c r="AD230" i="9"/>
  <c r="AE230" i="9"/>
  <c r="AF230" i="9"/>
  <c r="AG230" i="9"/>
  <c r="AH230" i="9"/>
  <c r="AI230" i="9"/>
  <c r="AJ230" i="9"/>
  <c r="AK230" i="9"/>
  <c r="AL230" i="9"/>
  <c r="AM230" i="9"/>
  <c r="AN230" i="9"/>
  <c r="AO230" i="9"/>
  <c r="AP230" i="9"/>
  <c r="AQ230" i="9"/>
  <c r="AR230" i="9"/>
  <c r="AS230" i="9"/>
  <c r="AT230" i="9"/>
  <c r="AU230" i="9"/>
  <c r="AV230" i="9"/>
  <c r="AW230" i="9"/>
  <c r="AX230" i="9"/>
  <c r="AY230" i="9"/>
  <c r="AZ230" i="9"/>
  <c r="AA231" i="9"/>
  <c r="AB231" i="9"/>
  <c r="AC231" i="9"/>
  <c r="AD231" i="9"/>
  <c r="AE231" i="9"/>
  <c r="AF231" i="9"/>
  <c r="AG231" i="9"/>
  <c r="AH231" i="9"/>
  <c r="AI231" i="9"/>
  <c r="AJ231" i="9"/>
  <c r="AK231" i="9"/>
  <c r="AL231" i="9"/>
  <c r="AM231" i="9"/>
  <c r="AN231" i="9"/>
  <c r="AO231" i="9"/>
  <c r="AP231" i="9"/>
  <c r="AQ231" i="9"/>
  <c r="AR231" i="9"/>
  <c r="AS231" i="9"/>
  <c r="AT231" i="9"/>
  <c r="AU231" i="9"/>
  <c r="AV231" i="9"/>
  <c r="AW231" i="9"/>
  <c r="AX231" i="9"/>
  <c r="AY231" i="9"/>
  <c r="AZ231" i="9"/>
  <c r="AA232" i="9"/>
  <c r="AB232" i="9"/>
  <c r="AC232" i="9"/>
  <c r="AD232" i="9"/>
  <c r="AE232" i="9"/>
  <c r="AF232" i="9"/>
  <c r="AG232" i="9"/>
  <c r="AH232" i="9"/>
  <c r="AI232" i="9"/>
  <c r="AJ232" i="9"/>
  <c r="AK232" i="9"/>
  <c r="AL232" i="9"/>
  <c r="AM232" i="9"/>
  <c r="AN232" i="9"/>
  <c r="AO232" i="9"/>
  <c r="AP232" i="9"/>
  <c r="AQ232" i="9"/>
  <c r="AR232" i="9"/>
  <c r="AS232" i="9"/>
  <c r="AT232" i="9"/>
  <c r="AU232" i="9"/>
  <c r="AV232" i="9"/>
  <c r="AW232" i="9"/>
  <c r="AX232" i="9"/>
  <c r="AY232" i="9"/>
  <c r="AZ232" i="9"/>
  <c r="AA233" i="9"/>
  <c r="AB233" i="9"/>
  <c r="AC233" i="9"/>
  <c r="AD233" i="9"/>
  <c r="AE233" i="9"/>
  <c r="AF233" i="9"/>
  <c r="AG233" i="9"/>
  <c r="AH233" i="9"/>
  <c r="AI233" i="9"/>
  <c r="AJ233" i="9"/>
  <c r="AK233" i="9"/>
  <c r="AL233" i="9"/>
  <c r="AM233" i="9"/>
  <c r="AN233" i="9"/>
  <c r="AO233" i="9"/>
  <c r="AP233" i="9"/>
  <c r="AQ233" i="9"/>
  <c r="AR233" i="9"/>
  <c r="AS233" i="9"/>
  <c r="AT233" i="9"/>
  <c r="AU233" i="9"/>
  <c r="AV233" i="9"/>
  <c r="AW233" i="9"/>
  <c r="AX233" i="9"/>
  <c r="AY233" i="9"/>
  <c r="AZ233" i="9"/>
  <c r="AA234" i="9"/>
  <c r="AB234" i="9"/>
  <c r="AC234" i="9"/>
  <c r="AD234" i="9"/>
  <c r="AE234" i="9"/>
  <c r="AF234" i="9"/>
  <c r="AG234" i="9"/>
  <c r="AH234" i="9"/>
  <c r="AI234" i="9"/>
  <c r="AJ234" i="9"/>
  <c r="AK234" i="9"/>
  <c r="AL234" i="9"/>
  <c r="AM234" i="9"/>
  <c r="AN234" i="9"/>
  <c r="AO234" i="9"/>
  <c r="AP234" i="9"/>
  <c r="AQ234" i="9"/>
  <c r="AR234" i="9"/>
  <c r="AS234" i="9"/>
  <c r="AT234" i="9"/>
  <c r="AU234" i="9"/>
  <c r="AV234" i="9"/>
  <c r="AW234" i="9"/>
  <c r="AX234" i="9"/>
  <c r="AY234" i="9"/>
  <c r="AZ234" i="9"/>
  <c r="AA235" i="9"/>
  <c r="AB235" i="9"/>
  <c r="AC235" i="9"/>
  <c r="AD235" i="9"/>
  <c r="AE235" i="9"/>
  <c r="AF235" i="9"/>
  <c r="AG235" i="9"/>
  <c r="AH235" i="9"/>
  <c r="AI235" i="9"/>
  <c r="AJ235" i="9"/>
  <c r="AK235" i="9"/>
  <c r="AL235" i="9"/>
  <c r="AM235" i="9"/>
  <c r="AN235" i="9"/>
  <c r="AO235" i="9"/>
  <c r="AP235" i="9"/>
  <c r="AQ235" i="9"/>
  <c r="AR235" i="9"/>
  <c r="AS235" i="9"/>
  <c r="AT235" i="9"/>
  <c r="AU235" i="9"/>
  <c r="AV235" i="9"/>
  <c r="AW235" i="9"/>
  <c r="AX235" i="9"/>
  <c r="AY235" i="9"/>
  <c r="AZ235" i="9"/>
  <c r="AA236" i="9"/>
  <c r="AB236" i="9"/>
  <c r="AC236" i="9"/>
  <c r="AD236" i="9"/>
  <c r="AE236" i="9"/>
  <c r="AF236" i="9"/>
  <c r="AG236" i="9"/>
  <c r="AH236" i="9"/>
  <c r="AI236" i="9"/>
  <c r="AJ236" i="9"/>
  <c r="AK236" i="9"/>
  <c r="AL236" i="9"/>
  <c r="AM236" i="9"/>
  <c r="AN236" i="9"/>
  <c r="AO236" i="9"/>
  <c r="AP236" i="9"/>
  <c r="AQ236" i="9"/>
  <c r="AR236" i="9"/>
  <c r="AS236" i="9"/>
  <c r="AT236" i="9"/>
  <c r="AU236" i="9"/>
  <c r="AV236" i="9"/>
  <c r="AW236" i="9"/>
  <c r="AX236" i="9"/>
  <c r="AY236" i="9"/>
  <c r="AZ236" i="9"/>
  <c r="AA237" i="9"/>
  <c r="AB237" i="9"/>
  <c r="AC237" i="9"/>
  <c r="AD237" i="9"/>
  <c r="AE237" i="9"/>
  <c r="AF237" i="9"/>
  <c r="AG237" i="9"/>
  <c r="AH237" i="9"/>
  <c r="AI237" i="9"/>
  <c r="AJ237" i="9"/>
  <c r="AK237" i="9"/>
  <c r="AL237" i="9"/>
  <c r="AM237" i="9"/>
  <c r="AN237" i="9"/>
  <c r="AO237" i="9"/>
  <c r="AP237" i="9"/>
  <c r="AQ237" i="9"/>
  <c r="AR237" i="9"/>
  <c r="AS237" i="9"/>
  <c r="AT237" i="9"/>
  <c r="AU237" i="9"/>
  <c r="AV237" i="9"/>
  <c r="AW237" i="9"/>
  <c r="AX237" i="9"/>
  <c r="AY237" i="9"/>
  <c r="AZ237" i="9"/>
  <c r="AA238" i="9"/>
  <c r="AB238" i="9"/>
  <c r="AC238" i="9"/>
  <c r="AD238" i="9"/>
  <c r="AE238" i="9"/>
  <c r="AF238" i="9"/>
  <c r="AG238" i="9"/>
  <c r="AH238" i="9"/>
  <c r="AI238" i="9"/>
  <c r="AJ238" i="9"/>
  <c r="AK238" i="9"/>
  <c r="AL238" i="9"/>
  <c r="AM238" i="9"/>
  <c r="AN238" i="9"/>
  <c r="AO238" i="9"/>
  <c r="AP238" i="9"/>
  <c r="AQ238" i="9"/>
  <c r="AR238" i="9"/>
  <c r="AS238" i="9"/>
  <c r="AT238" i="9"/>
  <c r="AU238" i="9"/>
  <c r="AV238" i="9"/>
  <c r="AW238" i="9"/>
  <c r="AX238" i="9"/>
  <c r="AY238" i="9"/>
  <c r="AZ238" i="9"/>
  <c r="AA239" i="9"/>
  <c r="AB239" i="9"/>
  <c r="AC239" i="9"/>
  <c r="AD239" i="9"/>
  <c r="AE239" i="9"/>
  <c r="AF239" i="9"/>
  <c r="AG239" i="9"/>
  <c r="AH239" i="9"/>
  <c r="AI239" i="9"/>
  <c r="AJ239" i="9"/>
  <c r="AK239" i="9"/>
  <c r="AL239" i="9"/>
  <c r="AM239" i="9"/>
  <c r="AN239" i="9"/>
  <c r="AO239" i="9"/>
  <c r="AP239" i="9"/>
  <c r="AQ239" i="9"/>
  <c r="AR239" i="9"/>
  <c r="AS239" i="9"/>
  <c r="AT239" i="9"/>
  <c r="AU239" i="9"/>
  <c r="AV239" i="9"/>
  <c r="AW239" i="9"/>
  <c r="AX239" i="9"/>
  <c r="AY239" i="9"/>
  <c r="AZ239" i="9"/>
  <c r="AA240" i="9"/>
  <c r="AB240" i="9"/>
  <c r="AC240" i="9"/>
  <c r="AD240" i="9"/>
  <c r="AE240" i="9"/>
  <c r="AF240" i="9"/>
  <c r="AG240" i="9"/>
  <c r="AH240" i="9"/>
  <c r="AI240" i="9"/>
  <c r="AJ240" i="9"/>
  <c r="AK240" i="9"/>
  <c r="AL240" i="9"/>
  <c r="AM240" i="9"/>
  <c r="AN240" i="9"/>
  <c r="AO240" i="9"/>
  <c r="AP240" i="9"/>
  <c r="AQ240" i="9"/>
  <c r="AR240" i="9"/>
  <c r="AS240" i="9"/>
  <c r="AT240" i="9"/>
  <c r="AU240" i="9"/>
  <c r="AV240" i="9"/>
  <c r="AW240" i="9"/>
  <c r="AX240" i="9"/>
  <c r="AY240" i="9"/>
  <c r="AZ240" i="9"/>
  <c r="AA241" i="9"/>
  <c r="AB241" i="9"/>
  <c r="AC241" i="9"/>
  <c r="AD241" i="9"/>
  <c r="AE241" i="9"/>
  <c r="AF241" i="9"/>
  <c r="AG241" i="9"/>
  <c r="AH241" i="9"/>
  <c r="AI241" i="9"/>
  <c r="AJ241" i="9"/>
  <c r="AK241" i="9"/>
  <c r="AL241" i="9"/>
  <c r="AM241" i="9"/>
  <c r="AN241" i="9"/>
  <c r="AO241" i="9"/>
  <c r="AP241" i="9"/>
  <c r="AQ241" i="9"/>
  <c r="AR241" i="9"/>
  <c r="AS241" i="9"/>
  <c r="AT241" i="9"/>
  <c r="AU241" i="9"/>
  <c r="AV241" i="9"/>
  <c r="AW241" i="9"/>
  <c r="AX241" i="9"/>
  <c r="AY241" i="9"/>
  <c r="AZ241" i="9"/>
  <c r="AA242" i="9"/>
  <c r="AB242" i="9"/>
  <c r="AC242" i="9"/>
  <c r="AD242" i="9"/>
  <c r="AE242" i="9"/>
  <c r="AF242" i="9"/>
  <c r="AG242" i="9"/>
  <c r="AH242" i="9"/>
  <c r="AI242" i="9"/>
  <c r="AJ242" i="9"/>
  <c r="AK242" i="9"/>
  <c r="AL242" i="9"/>
  <c r="AM242" i="9"/>
  <c r="AN242" i="9"/>
  <c r="AO242" i="9"/>
  <c r="AP242" i="9"/>
  <c r="AQ242" i="9"/>
  <c r="AR242" i="9"/>
  <c r="AS242" i="9"/>
  <c r="AT242" i="9"/>
  <c r="AU242" i="9"/>
  <c r="AV242" i="9"/>
  <c r="AW242" i="9"/>
  <c r="AX242" i="9"/>
  <c r="AY242" i="9"/>
  <c r="AZ242" i="9"/>
  <c r="AA243" i="9"/>
  <c r="AB243" i="9"/>
  <c r="AC243" i="9"/>
  <c r="AD243" i="9"/>
  <c r="AE243" i="9"/>
  <c r="AF243" i="9"/>
  <c r="AG243" i="9"/>
  <c r="AH243" i="9"/>
  <c r="AI243" i="9"/>
  <c r="AJ243" i="9"/>
  <c r="AK243" i="9"/>
  <c r="AL243" i="9"/>
  <c r="AM243" i="9"/>
  <c r="AN243" i="9"/>
  <c r="AO243" i="9"/>
  <c r="AP243" i="9"/>
  <c r="AQ243" i="9"/>
  <c r="AR243" i="9"/>
  <c r="AS243" i="9"/>
  <c r="AT243" i="9"/>
  <c r="AU243" i="9"/>
  <c r="AV243" i="9"/>
  <c r="AW243" i="9"/>
  <c r="AX243" i="9"/>
  <c r="AY243" i="9"/>
  <c r="AZ243" i="9"/>
  <c r="AA244" i="9"/>
  <c r="AB244" i="9"/>
  <c r="AC244" i="9"/>
  <c r="AD244" i="9"/>
  <c r="AE244" i="9"/>
  <c r="AF244" i="9"/>
  <c r="AG244" i="9"/>
  <c r="AH244" i="9"/>
  <c r="AI244" i="9"/>
  <c r="AJ244" i="9"/>
  <c r="AK244" i="9"/>
  <c r="AL244" i="9"/>
  <c r="AM244" i="9"/>
  <c r="AN244" i="9"/>
  <c r="AO244" i="9"/>
  <c r="AP244" i="9"/>
  <c r="AQ244" i="9"/>
  <c r="AR244" i="9"/>
  <c r="AS244" i="9"/>
  <c r="AT244" i="9"/>
  <c r="AU244" i="9"/>
  <c r="AV244" i="9"/>
  <c r="AW244" i="9"/>
  <c r="AX244" i="9"/>
  <c r="AY244" i="9"/>
  <c r="AZ244" i="9"/>
  <c r="AA245" i="9"/>
  <c r="AB245" i="9"/>
  <c r="AC245" i="9"/>
  <c r="AD245" i="9"/>
  <c r="AE245" i="9"/>
  <c r="AF245" i="9"/>
  <c r="AG245" i="9"/>
  <c r="AH245" i="9"/>
  <c r="AI245" i="9"/>
  <c r="AJ245" i="9"/>
  <c r="AK245" i="9"/>
  <c r="AL245" i="9"/>
  <c r="AM245" i="9"/>
  <c r="AN245" i="9"/>
  <c r="AO245" i="9"/>
  <c r="AP245" i="9"/>
  <c r="AQ245" i="9"/>
  <c r="AR245" i="9"/>
  <c r="AS245" i="9"/>
  <c r="AT245" i="9"/>
  <c r="AU245" i="9"/>
  <c r="AV245" i="9"/>
  <c r="AW245" i="9"/>
  <c r="AX245" i="9"/>
  <c r="AY245" i="9"/>
  <c r="AZ245" i="9"/>
  <c r="AA246" i="9"/>
  <c r="AB246" i="9"/>
  <c r="AC246" i="9"/>
  <c r="AD246" i="9"/>
  <c r="AE246" i="9"/>
  <c r="AF246" i="9"/>
  <c r="AG246" i="9"/>
  <c r="AH246" i="9"/>
  <c r="AI246" i="9"/>
  <c r="AJ246" i="9"/>
  <c r="AK246" i="9"/>
  <c r="AL246" i="9"/>
  <c r="AM246" i="9"/>
  <c r="AN246" i="9"/>
  <c r="AO246" i="9"/>
  <c r="AP246" i="9"/>
  <c r="AQ246" i="9"/>
  <c r="AR246" i="9"/>
  <c r="AS246" i="9"/>
  <c r="AT246" i="9"/>
  <c r="AU246" i="9"/>
  <c r="AV246" i="9"/>
  <c r="AW246" i="9"/>
  <c r="AX246" i="9"/>
  <c r="AY246" i="9"/>
  <c r="AZ246" i="9"/>
  <c r="AA247" i="9"/>
  <c r="AB247" i="9"/>
  <c r="AC247" i="9"/>
  <c r="AD247" i="9"/>
  <c r="AE247" i="9"/>
  <c r="AF247" i="9"/>
  <c r="AG247" i="9"/>
  <c r="AH247" i="9"/>
  <c r="AI247" i="9"/>
  <c r="AJ247" i="9"/>
  <c r="AK247" i="9"/>
  <c r="AL247" i="9"/>
  <c r="AM247" i="9"/>
  <c r="AN247" i="9"/>
  <c r="AO247" i="9"/>
  <c r="AP247" i="9"/>
  <c r="AQ247" i="9"/>
  <c r="AR247" i="9"/>
  <c r="AS247" i="9"/>
  <c r="AT247" i="9"/>
  <c r="AU247" i="9"/>
  <c r="AV247" i="9"/>
  <c r="AW247" i="9"/>
  <c r="AX247" i="9"/>
  <c r="AY247" i="9"/>
  <c r="AZ247" i="9"/>
  <c r="AA248" i="9"/>
  <c r="AB248" i="9"/>
  <c r="AC248" i="9"/>
  <c r="AD248" i="9"/>
  <c r="AE248" i="9"/>
  <c r="AF248" i="9"/>
  <c r="AG248" i="9"/>
  <c r="AH248" i="9"/>
  <c r="AI248" i="9"/>
  <c r="AJ248" i="9"/>
  <c r="AK248" i="9"/>
  <c r="AL248" i="9"/>
  <c r="AM248" i="9"/>
  <c r="AN248" i="9"/>
  <c r="AO248" i="9"/>
  <c r="AP248" i="9"/>
  <c r="AQ248" i="9"/>
  <c r="AR248" i="9"/>
  <c r="AS248" i="9"/>
  <c r="AT248" i="9"/>
  <c r="AU248" i="9"/>
  <c r="AV248" i="9"/>
  <c r="AW248" i="9"/>
  <c r="AX248" i="9"/>
  <c r="AY248" i="9"/>
  <c r="AZ248" i="9"/>
  <c r="AA249" i="9"/>
  <c r="AB249" i="9"/>
  <c r="AC249" i="9"/>
  <c r="AD249" i="9"/>
  <c r="AE249" i="9"/>
  <c r="AF249" i="9"/>
  <c r="AG249" i="9"/>
  <c r="AH249" i="9"/>
  <c r="AI249" i="9"/>
  <c r="AJ249" i="9"/>
  <c r="AK249" i="9"/>
  <c r="AL249" i="9"/>
  <c r="AM249" i="9"/>
  <c r="AN249" i="9"/>
  <c r="AO249" i="9"/>
  <c r="AP249" i="9"/>
  <c r="AQ249" i="9"/>
  <c r="AR249" i="9"/>
  <c r="AS249" i="9"/>
  <c r="AT249" i="9"/>
  <c r="AU249" i="9"/>
  <c r="AV249" i="9"/>
  <c r="AW249" i="9"/>
  <c r="AX249" i="9"/>
  <c r="AY249" i="9"/>
  <c r="AZ249" i="9"/>
  <c r="AA250" i="9"/>
  <c r="AB250" i="9"/>
  <c r="AC250" i="9"/>
  <c r="AD250" i="9"/>
  <c r="AE250" i="9"/>
  <c r="AF250" i="9"/>
  <c r="AG250" i="9"/>
  <c r="AH250" i="9"/>
  <c r="AI250" i="9"/>
  <c r="AJ250" i="9"/>
  <c r="AK250" i="9"/>
  <c r="AL250" i="9"/>
  <c r="AM250" i="9"/>
  <c r="AN250" i="9"/>
  <c r="AO250" i="9"/>
  <c r="AP250" i="9"/>
  <c r="AQ250" i="9"/>
  <c r="AR250" i="9"/>
  <c r="AS250" i="9"/>
  <c r="AT250" i="9"/>
  <c r="AU250" i="9"/>
  <c r="AV250" i="9"/>
  <c r="AW250" i="9"/>
  <c r="AX250" i="9"/>
  <c r="AY250" i="9"/>
  <c r="AZ250" i="9"/>
  <c r="AA251" i="9"/>
  <c r="AB251" i="9"/>
  <c r="AC251" i="9"/>
  <c r="AD251" i="9"/>
  <c r="AE251" i="9"/>
  <c r="AF251" i="9"/>
  <c r="AG251" i="9"/>
  <c r="AH251" i="9"/>
  <c r="AI251" i="9"/>
  <c r="AJ251" i="9"/>
  <c r="AK251" i="9"/>
  <c r="AL251" i="9"/>
  <c r="AM251" i="9"/>
  <c r="AN251" i="9"/>
  <c r="AO251" i="9"/>
  <c r="AP251" i="9"/>
  <c r="AQ251" i="9"/>
  <c r="AR251" i="9"/>
  <c r="AS251" i="9"/>
  <c r="AT251" i="9"/>
  <c r="AU251" i="9"/>
  <c r="AV251" i="9"/>
  <c r="AW251" i="9"/>
  <c r="AX251" i="9"/>
  <c r="AY251" i="9"/>
  <c r="AZ251" i="9"/>
  <c r="AA252" i="9"/>
  <c r="AB252" i="9"/>
  <c r="AC252" i="9"/>
  <c r="AD252" i="9"/>
  <c r="AE252" i="9"/>
  <c r="AF252" i="9"/>
  <c r="AG252" i="9"/>
  <c r="AH252" i="9"/>
  <c r="AI252" i="9"/>
  <c r="AJ252" i="9"/>
  <c r="AK252" i="9"/>
  <c r="AL252" i="9"/>
  <c r="AM252" i="9"/>
  <c r="AN252" i="9"/>
  <c r="AO252" i="9"/>
  <c r="AP252" i="9"/>
  <c r="AQ252" i="9"/>
  <c r="AR252" i="9"/>
  <c r="AS252" i="9"/>
  <c r="AT252" i="9"/>
  <c r="AU252" i="9"/>
  <c r="AV252" i="9"/>
  <c r="AW252" i="9"/>
  <c r="AX252" i="9"/>
  <c r="AY252" i="9"/>
  <c r="AZ252" i="9"/>
  <c r="AA253" i="9"/>
  <c r="AB253" i="9"/>
  <c r="AC253" i="9"/>
  <c r="AD253" i="9"/>
  <c r="AE253" i="9"/>
  <c r="AF253" i="9"/>
  <c r="AG253" i="9"/>
  <c r="AH253" i="9"/>
  <c r="AI253" i="9"/>
  <c r="AJ253" i="9"/>
  <c r="AK253" i="9"/>
  <c r="AL253" i="9"/>
  <c r="AM253" i="9"/>
  <c r="AN253" i="9"/>
  <c r="AO253" i="9"/>
  <c r="AP253" i="9"/>
  <c r="AQ253" i="9"/>
  <c r="AR253" i="9"/>
  <c r="AS253" i="9"/>
  <c r="AT253" i="9"/>
  <c r="AU253" i="9"/>
  <c r="AV253" i="9"/>
  <c r="AW253" i="9"/>
  <c r="AX253" i="9"/>
  <c r="AY253" i="9"/>
  <c r="AZ253" i="9"/>
  <c r="AA254" i="9"/>
  <c r="AB254" i="9"/>
  <c r="AC254" i="9"/>
  <c r="AD254" i="9"/>
  <c r="AE254" i="9"/>
  <c r="AF254" i="9"/>
  <c r="AG254" i="9"/>
  <c r="AH254" i="9"/>
  <c r="AI254" i="9"/>
  <c r="AJ254" i="9"/>
  <c r="AK254" i="9"/>
  <c r="AL254" i="9"/>
  <c r="AM254" i="9"/>
  <c r="AN254" i="9"/>
  <c r="AO254" i="9"/>
  <c r="AP254" i="9"/>
  <c r="AQ254" i="9"/>
  <c r="AR254" i="9"/>
  <c r="AS254" i="9"/>
  <c r="AT254" i="9"/>
  <c r="AU254" i="9"/>
  <c r="AV254" i="9"/>
  <c r="AW254" i="9"/>
  <c r="AX254" i="9"/>
  <c r="AY254" i="9"/>
  <c r="AZ254" i="9"/>
  <c r="AA255" i="9"/>
  <c r="AB255" i="9"/>
  <c r="AC255" i="9"/>
  <c r="AD255" i="9"/>
  <c r="AE255" i="9"/>
  <c r="AF255" i="9"/>
  <c r="AG255" i="9"/>
  <c r="AH255" i="9"/>
  <c r="AI255" i="9"/>
  <c r="AJ255" i="9"/>
  <c r="AK255" i="9"/>
  <c r="AL255" i="9"/>
  <c r="AM255" i="9"/>
  <c r="AN255" i="9"/>
  <c r="AO255" i="9"/>
  <c r="AP255" i="9"/>
  <c r="AQ255" i="9"/>
  <c r="AR255" i="9"/>
  <c r="AS255" i="9"/>
  <c r="AT255" i="9"/>
  <c r="AU255" i="9"/>
  <c r="AV255" i="9"/>
  <c r="AW255" i="9"/>
  <c r="AX255" i="9"/>
  <c r="AY255" i="9"/>
  <c r="AZ255" i="9"/>
  <c r="AA256" i="9"/>
  <c r="AB256" i="9"/>
  <c r="AC256" i="9"/>
  <c r="AD256" i="9"/>
  <c r="AE256" i="9"/>
  <c r="AF256" i="9"/>
  <c r="AG256" i="9"/>
  <c r="AH256" i="9"/>
  <c r="AI256" i="9"/>
  <c r="AJ256" i="9"/>
  <c r="AK256" i="9"/>
  <c r="AL256" i="9"/>
  <c r="AM256" i="9"/>
  <c r="AN256" i="9"/>
  <c r="AO256" i="9"/>
  <c r="AP256" i="9"/>
  <c r="AQ256" i="9"/>
  <c r="AR256" i="9"/>
  <c r="AS256" i="9"/>
  <c r="AT256" i="9"/>
  <c r="AU256" i="9"/>
  <c r="AV256" i="9"/>
  <c r="AW256" i="9"/>
  <c r="AX256" i="9"/>
  <c r="AY256" i="9"/>
  <c r="AZ256" i="9"/>
  <c r="AA257" i="9"/>
  <c r="AB257" i="9"/>
  <c r="AC257" i="9"/>
  <c r="AD257" i="9"/>
  <c r="AE257" i="9"/>
  <c r="AF257" i="9"/>
  <c r="AG257" i="9"/>
  <c r="AH257" i="9"/>
  <c r="AI257" i="9"/>
  <c r="AJ257" i="9"/>
  <c r="AK257" i="9"/>
  <c r="AL257" i="9"/>
  <c r="AM257" i="9"/>
  <c r="AN257" i="9"/>
  <c r="AO257" i="9"/>
  <c r="AP257" i="9"/>
  <c r="AQ257" i="9"/>
  <c r="AR257" i="9"/>
  <c r="AS257" i="9"/>
  <c r="AT257" i="9"/>
  <c r="AU257" i="9"/>
  <c r="AV257" i="9"/>
  <c r="AW257" i="9"/>
  <c r="AX257" i="9"/>
  <c r="AY257" i="9"/>
  <c r="AZ257" i="9"/>
  <c r="AA258" i="9"/>
  <c r="AB258" i="9"/>
  <c r="AC258" i="9"/>
  <c r="AD258" i="9"/>
  <c r="AE258" i="9"/>
  <c r="AF258" i="9"/>
  <c r="AG258" i="9"/>
  <c r="AH258" i="9"/>
  <c r="AI258" i="9"/>
  <c r="AJ258" i="9"/>
  <c r="AK258" i="9"/>
  <c r="AL258" i="9"/>
  <c r="AM258" i="9"/>
  <c r="AN258" i="9"/>
  <c r="AO258" i="9"/>
  <c r="AP258" i="9"/>
  <c r="AQ258" i="9"/>
  <c r="AR258" i="9"/>
  <c r="AS258" i="9"/>
  <c r="AT258" i="9"/>
  <c r="AU258" i="9"/>
  <c r="AV258" i="9"/>
  <c r="AW258" i="9"/>
  <c r="AX258" i="9"/>
  <c r="AY258" i="9"/>
  <c r="AZ258" i="9"/>
  <c r="AA259" i="9"/>
  <c r="AB259" i="9"/>
  <c r="AC259" i="9"/>
  <c r="AD259" i="9"/>
  <c r="AE259" i="9"/>
  <c r="AF259" i="9"/>
  <c r="AG259" i="9"/>
  <c r="AH259" i="9"/>
  <c r="AI259" i="9"/>
  <c r="AJ259" i="9"/>
  <c r="AK259" i="9"/>
  <c r="AL259" i="9"/>
  <c r="AM259" i="9"/>
  <c r="AN259" i="9"/>
  <c r="AO259" i="9"/>
  <c r="AP259" i="9"/>
  <c r="AQ259" i="9"/>
  <c r="AR259" i="9"/>
  <c r="AS259" i="9"/>
  <c r="AT259" i="9"/>
  <c r="AU259" i="9"/>
  <c r="AV259" i="9"/>
  <c r="AW259" i="9"/>
  <c r="AX259" i="9"/>
  <c r="AY259" i="9"/>
  <c r="AZ259" i="9"/>
  <c r="AA260" i="9"/>
  <c r="AB260" i="9"/>
  <c r="AC260" i="9"/>
  <c r="AD260" i="9"/>
  <c r="AE260" i="9"/>
  <c r="AF260" i="9"/>
  <c r="AG260" i="9"/>
  <c r="AH260" i="9"/>
  <c r="AI260" i="9"/>
  <c r="AJ260" i="9"/>
  <c r="AK260" i="9"/>
  <c r="AL260" i="9"/>
  <c r="AM260" i="9"/>
  <c r="AN260" i="9"/>
  <c r="AO260" i="9"/>
  <c r="AP260" i="9"/>
  <c r="AQ260" i="9"/>
  <c r="AR260" i="9"/>
  <c r="AS260" i="9"/>
  <c r="AT260" i="9"/>
  <c r="AU260" i="9"/>
  <c r="AV260" i="9"/>
  <c r="AW260" i="9"/>
  <c r="AX260" i="9"/>
  <c r="AY260" i="9"/>
  <c r="AZ260" i="9"/>
  <c r="AA261" i="9"/>
  <c r="AB261" i="9"/>
  <c r="AC261" i="9"/>
  <c r="AD261" i="9"/>
  <c r="AE261" i="9"/>
  <c r="AF261" i="9"/>
  <c r="AG261" i="9"/>
  <c r="AH261" i="9"/>
  <c r="AI261" i="9"/>
  <c r="AJ261" i="9"/>
  <c r="AK261" i="9"/>
  <c r="AL261" i="9"/>
  <c r="AM261" i="9"/>
  <c r="AN261" i="9"/>
  <c r="AO261" i="9"/>
  <c r="AP261" i="9"/>
  <c r="AQ261" i="9"/>
  <c r="AR261" i="9"/>
  <c r="AS261" i="9"/>
  <c r="AT261" i="9"/>
  <c r="AU261" i="9"/>
  <c r="AV261" i="9"/>
  <c r="AW261" i="9"/>
  <c r="AX261" i="9"/>
  <c r="AY261" i="9"/>
  <c r="AZ261" i="9"/>
  <c r="AA262" i="9"/>
  <c r="AB262" i="9"/>
  <c r="AC262" i="9"/>
  <c r="AD262" i="9"/>
  <c r="AE262" i="9"/>
  <c r="AF262" i="9"/>
  <c r="AG262" i="9"/>
  <c r="AH262" i="9"/>
  <c r="AI262" i="9"/>
  <c r="AJ262" i="9"/>
  <c r="AK262" i="9"/>
  <c r="AL262" i="9"/>
  <c r="AM262" i="9"/>
  <c r="AN262" i="9"/>
  <c r="AO262" i="9"/>
  <c r="AP262" i="9"/>
  <c r="AQ262" i="9"/>
  <c r="AR262" i="9"/>
  <c r="AS262" i="9"/>
  <c r="AT262" i="9"/>
  <c r="AU262" i="9"/>
  <c r="AV262" i="9"/>
  <c r="AW262" i="9"/>
  <c r="AX262" i="9"/>
  <c r="AY262" i="9"/>
  <c r="AZ262" i="9"/>
  <c r="AA263" i="9"/>
  <c r="AB263" i="9"/>
  <c r="AC263" i="9"/>
  <c r="AD263" i="9"/>
  <c r="AE263" i="9"/>
  <c r="AF263" i="9"/>
  <c r="AG263" i="9"/>
  <c r="AH263" i="9"/>
  <c r="AI263" i="9"/>
  <c r="AJ263" i="9"/>
  <c r="AK263" i="9"/>
  <c r="AL263" i="9"/>
  <c r="AM263" i="9"/>
  <c r="AN263" i="9"/>
  <c r="AO263" i="9"/>
  <c r="AP263" i="9"/>
  <c r="AQ263" i="9"/>
  <c r="AR263" i="9"/>
  <c r="AS263" i="9"/>
  <c r="AT263" i="9"/>
  <c r="AU263" i="9"/>
  <c r="AV263" i="9"/>
  <c r="AW263" i="9"/>
  <c r="AX263" i="9"/>
  <c r="AY263" i="9"/>
  <c r="AZ263" i="9"/>
  <c r="AA264" i="9"/>
  <c r="AB264" i="9"/>
  <c r="AC264" i="9"/>
  <c r="AD264" i="9"/>
  <c r="AE264" i="9"/>
  <c r="AF264" i="9"/>
  <c r="AG264" i="9"/>
  <c r="AH264" i="9"/>
  <c r="AI264" i="9"/>
  <c r="AJ264" i="9"/>
  <c r="AK264" i="9"/>
  <c r="AL264" i="9"/>
  <c r="AM264" i="9"/>
  <c r="AN264" i="9"/>
  <c r="AO264" i="9"/>
  <c r="AP264" i="9"/>
  <c r="AQ264" i="9"/>
  <c r="AR264" i="9"/>
  <c r="AS264" i="9"/>
  <c r="AT264" i="9"/>
  <c r="AU264" i="9"/>
  <c r="AV264" i="9"/>
  <c r="AW264" i="9"/>
  <c r="AX264" i="9"/>
  <c r="AY264" i="9"/>
  <c r="AZ264" i="9"/>
  <c r="AA265" i="9"/>
  <c r="AB265" i="9"/>
  <c r="AC265" i="9"/>
  <c r="AD265" i="9"/>
  <c r="AE265" i="9"/>
  <c r="AF265" i="9"/>
  <c r="AG265" i="9"/>
  <c r="AH265" i="9"/>
  <c r="AI265" i="9"/>
  <c r="AJ265" i="9"/>
  <c r="AK265" i="9"/>
  <c r="AL265" i="9"/>
  <c r="AM265" i="9"/>
  <c r="AN265" i="9"/>
  <c r="AO265" i="9"/>
  <c r="AP265" i="9"/>
  <c r="AQ265" i="9"/>
  <c r="AR265" i="9"/>
  <c r="AS265" i="9"/>
  <c r="AT265" i="9"/>
  <c r="AU265" i="9"/>
  <c r="AV265" i="9"/>
  <c r="AW265" i="9"/>
  <c r="AX265" i="9"/>
  <c r="AY265" i="9"/>
  <c r="AZ265" i="9"/>
  <c r="AA266" i="9"/>
  <c r="AB266" i="9"/>
  <c r="AC266" i="9"/>
  <c r="AD266" i="9"/>
  <c r="AE266" i="9"/>
  <c r="AF266" i="9"/>
  <c r="AG266" i="9"/>
  <c r="AH266" i="9"/>
  <c r="AI266" i="9"/>
  <c r="AJ266" i="9"/>
  <c r="AK266" i="9"/>
  <c r="AL266" i="9"/>
  <c r="AM266" i="9"/>
  <c r="AN266" i="9"/>
  <c r="AO266" i="9"/>
  <c r="AP266" i="9"/>
  <c r="AQ266" i="9"/>
  <c r="AR266" i="9"/>
  <c r="AS266" i="9"/>
  <c r="AT266" i="9"/>
  <c r="AU266" i="9"/>
  <c r="AV266" i="9"/>
  <c r="AW266" i="9"/>
  <c r="AX266" i="9"/>
  <c r="AY266" i="9"/>
  <c r="AZ266" i="9"/>
  <c r="AA267" i="9"/>
  <c r="AB267" i="9"/>
  <c r="AC267" i="9"/>
  <c r="AD267" i="9"/>
  <c r="AE267" i="9"/>
  <c r="AF267" i="9"/>
  <c r="AG267" i="9"/>
  <c r="AH267" i="9"/>
  <c r="AI267" i="9"/>
  <c r="AJ267" i="9"/>
  <c r="AK267" i="9"/>
  <c r="AL267" i="9"/>
  <c r="AM267" i="9"/>
  <c r="AN267" i="9"/>
  <c r="AO267" i="9"/>
  <c r="AP267" i="9"/>
  <c r="AQ267" i="9"/>
  <c r="AR267" i="9"/>
  <c r="AS267" i="9"/>
  <c r="AT267" i="9"/>
  <c r="AU267" i="9"/>
  <c r="AV267" i="9"/>
  <c r="AW267" i="9"/>
  <c r="AX267" i="9"/>
  <c r="AY267" i="9"/>
  <c r="AZ267" i="9"/>
  <c r="AA268" i="9"/>
  <c r="AB268" i="9"/>
  <c r="AC268" i="9"/>
  <c r="AD268" i="9"/>
  <c r="AE268" i="9"/>
  <c r="AF268" i="9"/>
  <c r="AG268" i="9"/>
  <c r="AH268" i="9"/>
  <c r="AI268" i="9"/>
  <c r="AJ268" i="9"/>
  <c r="AK268" i="9"/>
  <c r="AL268" i="9"/>
  <c r="AM268" i="9"/>
  <c r="AN268" i="9"/>
  <c r="AO268" i="9"/>
  <c r="AP268" i="9"/>
  <c r="AQ268" i="9"/>
  <c r="AR268" i="9"/>
  <c r="AS268" i="9"/>
  <c r="AT268" i="9"/>
  <c r="AU268" i="9"/>
  <c r="AV268" i="9"/>
  <c r="AW268" i="9"/>
  <c r="AX268" i="9"/>
  <c r="AY268" i="9"/>
  <c r="AZ268" i="9"/>
  <c r="AA269" i="9"/>
  <c r="AB269" i="9"/>
  <c r="AC269" i="9"/>
  <c r="AD269" i="9"/>
  <c r="AE269" i="9"/>
  <c r="AF269" i="9"/>
  <c r="AG269" i="9"/>
  <c r="AH269" i="9"/>
  <c r="AI269" i="9"/>
  <c r="AJ269" i="9"/>
  <c r="AK269" i="9"/>
  <c r="AL269" i="9"/>
  <c r="AM269" i="9"/>
  <c r="AN269" i="9"/>
  <c r="AO269" i="9"/>
  <c r="AP269" i="9"/>
  <c r="AQ269" i="9"/>
  <c r="AR269" i="9"/>
  <c r="AS269" i="9"/>
  <c r="AT269" i="9"/>
  <c r="AU269" i="9"/>
  <c r="AV269" i="9"/>
  <c r="AW269" i="9"/>
  <c r="AX269" i="9"/>
  <c r="AY269" i="9"/>
  <c r="AZ269" i="9"/>
  <c r="AA270" i="9"/>
  <c r="AB270" i="9"/>
  <c r="AC270" i="9"/>
  <c r="AD270" i="9"/>
  <c r="AE270" i="9"/>
  <c r="AF270" i="9"/>
  <c r="AG270" i="9"/>
  <c r="AH270" i="9"/>
  <c r="AI270" i="9"/>
  <c r="AJ270" i="9"/>
  <c r="AK270" i="9"/>
  <c r="AL270" i="9"/>
  <c r="AM270" i="9"/>
  <c r="AN270" i="9"/>
  <c r="AO270" i="9"/>
  <c r="AP270" i="9"/>
  <c r="AQ270" i="9"/>
  <c r="AR270" i="9"/>
  <c r="AS270" i="9"/>
  <c r="AT270" i="9"/>
  <c r="AU270" i="9"/>
  <c r="AV270" i="9"/>
  <c r="AW270" i="9"/>
  <c r="AX270" i="9"/>
  <c r="AY270" i="9"/>
  <c r="AZ270" i="9"/>
  <c r="AA271" i="9"/>
  <c r="AB271" i="9"/>
  <c r="AC271" i="9"/>
  <c r="AD271" i="9"/>
  <c r="AE271" i="9"/>
  <c r="AF271" i="9"/>
  <c r="AG271" i="9"/>
  <c r="AH271" i="9"/>
  <c r="AI271" i="9"/>
  <c r="AJ271" i="9"/>
  <c r="AK271" i="9"/>
  <c r="AL271" i="9"/>
  <c r="AM271" i="9"/>
  <c r="AN271" i="9"/>
  <c r="AO271" i="9"/>
  <c r="AP271" i="9"/>
  <c r="AQ271" i="9"/>
  <c r="AR271" i="9"/>
  <c r="AS271" i="9"/>
  <c r="AT271" i="9"/>
  <c r="AU271" i="9"/>
  <c r="AV271" i="9"/>
  <c r="AW271" i="9"/>
  <c r="AX271" i="9"/>
  <c r="AY271" i="9"/>
  <c r="AZ271" i="9"/>
  <c r="AA272" i="9"/>
  <c r="AB272" i="9"/>
  <c r="AC272" i="9"/>
  <c r="AD272" i="9"/>
  <c r="AE272" i="9"/>
  <c r="AF272" i="9"/>
  <c r="AG272" i="9"/>
  <c r="AH272" i="9"/>
  <c r="AI272" i="9"/>
  <c r="AJ272" i="9"/>
  <c r="AK272" i="9"/>
  <c r="AL272" i="9"/>
  <c r="AM272" i="9"/>
  <c r="AN272" i="9"/>
  <c r="AO272" i="9"/>
  <c r="AP272" i="9"/>
  <c r="AQ272" i="9"/>
  <c r="AR272" i="9"/>
  <c r="AS272" i="9"/>
  <c r="AT272" i="9"/>
  <c r="AU272" i="9"/>
  <c r="AV272" i="9"/>
  <c r="AW272" i="9"/>
  <c r="AX272" i="9"/>
  <c r="AY272" i="9"/>
  <c r="AZ272" i="9"/>
  <c r="AA273" i="9"/>
  <c r="AB273" i="9"/>
  <c r="AC273" i="9"/>
  <c r="AD273" i="9"/>
  <c r="AE273" i="9"/>
  <c r="AF273" i="9"/>
  <c r="AG273" i="9"/>
  <c r="AH273" i="9"/>
  <c r="AI273" i="9"/>
  <c r="AJ273" i="9"/>
  <c r="AK273" i="9"/>
  <c r="AL273" i="9"/>
  <c r="AM273" i="9"/>
  <c r="AN273" i="9"/>
  <c r="AO273" i="9"/>
  <c r="AP273" i="9"/>
  <c r="AQ273" i="9"/>
  <c r="AR273" i="9"/>
  <c r="AS273" i="9"/>
  <c r="AT273" i="9"/>
  <c r="AU273" i="9"/>
  <c r="AV273" i="9"/>
  <c r="AW273" i="9"/>
  <c r="AX273" i="9"/>
  <c r="AY273" i="9"/>
  <c r="AZ273" i="9"/>
  <c r="AA274" i="9"/>
  <c r="AB274" i="9"/>
  <c r="AC274" i="9"/>
  <c r="AD274" i="9"/>
  <c r="AE274" i="9"/>
  <c r="AF274" i="9"/>
  <c r="AG274" i="9"/>
  <c r="AH274" i="9"/>
  <c r="AI274" i="9"/>
  <c r="AJ274" i="9"/>
  <c r="AK274" i="9"/>
  <c r="AL274" i="9"/>
  <c r="AM274" i="9"/>
  <c r="AN274" i="9"/>
  <c r="AO274" i="9"/>
  <c r="AP274" i="9"/>
  <c r="AQ274" i="9"/>
  <c r="AR274" i="9"/>
  <c r="AS274" i="9"/>
  <c r="AT274" i="9"/>
  <c r="AU274" i="9"/>
  <c r="AV274" i="9"/>
  <c r="AW274" i="9"/>
  <c r="AX274" i="9"/>
  <c r="AY274" i="9"/>
  <c r="AZ274" i="9"/>
  <c r="AA275" i="9"/>
  <c r="AB275" i="9"/>
  <c r="AC275" i="9"/>
  <c r="AD275" i="9"/>
  <c r="AE275" i="9"/>
  <c r="AF275" i="9"/>
  <c r="AG275" i="9"/>
  <c r="AH275" i="9"/>
  <c r="AI275" i="9"/>
  <c r="AJ275" i="9"/>
  <c r="AK275" i="9"/>
  <c r="AL275" i="9"/>
  <c r="AM275" i="9"/>
  <c r="AN275" i="9"/>
  <c r="AO275" i="9"/>
  <c r="AP275" i="9"/>
  <c r="AQ275" i="9"/>
  <c r="AR275" i="9"/>
  <c r="AS275" i="9"/>
  <c r="AT275" i="9"/>
  <c r="AU275" i="9"/>
  <c r="AV275" i="9"/>
  <c r="AW275" i="9"/>
  <c r="AX275" i="9"/>
  <c r="AY275" i="9"/>
  <c r="AZ275" i="9"/>
  <c r="AA276" i="9"/>
  <c r="AB276" i="9"/>
  <c r="AC276" i="9"/>
  <c r="AD276" i="9"/>
  <c r="AE276" i="9"/>
  <c r="AF276" i="9"/>
  <c r="AG276" i="9"/>
  <c r="AH276" i="9"/>
  <c r="AI276" i="9"/>
  <c r="AJ276" i="9"/>
  <c r="AK276" i="9"/>
  <c r="AL276" i="9"/>
  <c r="AM276" i="9"/>
  <c r="AN276" i="9"/>
  <c r="AO276" i="9"/>
  <c r="AP276" i="9"/>
  <c r="AQ276" i="9"/>
  <c r="AR276" i="9"/>
  <c r="AS276" i="9"/>
  <c r="AT276" i="9"/>
  <c r="AU276" i="9"/>
  <c r="AV276" i="9"/>
  <c r="AW276" i="9"/>
  <c r="AX276" i="9"/>
  <c r="AY276" i="9"/>
  <c r="AZ276" i="9"/>
  <c r="AA277" i="9"/>
  <c r="AB277" i="9"/>
  <c r="AC277" i="9"/>
  <c r="AD277" i="9"/>
  <c r="AE277" i="9"/>
  <c r="AF277" i="9"/>
  <c r="AG277" i="9"/>
  <c r="AH277" i="9"/>
  <c r="AI277" i="9"/>
  <c r="AJ277" i="9"/>
  <c r="AK277" i="9"/>
  <c r="AL277" i="9"/>
  <c r="AM277" i="9"/>
  <c r="AN277" i="9"/>
  <c r="AO277" i="9"/>
  <c r="AP277" i="9"/>
  <c r="AQ277" i="9"/>
  <c r="AR277" i="9"/>
  <c r="AS277" i="9"/>
  <c r="AT277" i="9"/>
  <c r="AU277" i="9"/>
  <c r="AV277" i="9"/>
  <c r="AW277" i="9"/>
  <c r="AX277" i="9"/>
  <c r="AY277" i="9"/>
  <c r="AZ277" i="9"/>
  <c r="AA278" i="9"/>
  <c r="AB278" i="9"/>
  <c r="AC278" i="9"/>
  <c r="AD278" i="9"/>
  <c r="AE278" i="9"/>
  <c r="AF278" i="9"/>
  <c r="AG278" i="9"/>
  <c r="AH278" i="9"/>
  <c r="AI278" i="9"/>
  <c r="AJ278" i="9"/>
  <c r="AK278" i="9"/>
  <c r="AL278" i="9"/>
  <c r="AM278" i="9"/>
  <c r="AN278" i="9"/>
  <c r="AO278" i="9"/>
  <c r="AP278" i="9"/>
  <c r="AQ278" i="9"/>
  <c r="AR278" i="9"/>
  <c r="AS278" i="9"/>
  <c r="AT278" i="9"/>
  <c r="AU278" i="9"/>
  <c r="AV278" i="9"/>
  <c r="AW278" i="9"/>
  <c r="AX278" i="9"/>
  <c r="AY278" i="9"/>
  <c r="AZ278" i="9"/>
  <c r="AA279" i="9"/>
  <c r="AB279" i="9"/>
  <c r="AC279" i="9"/>
  <c r="AD279" i="9"/>
  <c r="AE279" i="9"/>
  <c r="AF279" i="9"/>
  <c r="AG279" i="9"/>
  <c r="AH279" i="9"/>
  <c r="AI279" i="9"/>
  <c r="AJ279" i="9"/>
  <c r="AK279" i="9"/>
  <c r="AL279" i="9"/>
  <c r="AM279" i="9"/>
  <c r="AN279" i="9"/>
  <c r="AO279" i="9"/>
  <c r="AP279" i="9"/>
  <c r="AQ279" i="9"/>
  <c r="AR279" i="9"/>
  <c r="AS279" i="9"/>
  <c r="AT279" i="9"/>
  <c r="AU279" i="9"/>
  <c r="AV279" i="9"/>
  <c r="AW279" i="9"/>
  <c r="AX279" i="9"/>
  <c r="AY279" i="9"/>
  <c r="AZ279" i="9"/>
  <c r="AA280" i="9"/>
  <c r="AB280" i="9"/>
  <c r="AC280" i="9"/>
  <c r="AD280" i="9"/>
  <c r="AE280" i="9"/>
  <c r="AF280" i="9"/>
  <c r="AG280" i="9"/>
  <c r="AH280" i="9"/>
  <c r="AI280" i="9"/>
  <c r="AJ280" i="9"/>
  <c r="AK280" i="9"/>
  <c r="AL280" i="9"/>
  <c r="AM280" i="9"/>
  <c r="AN280" i="9"/>
  <c r="AO280" i="9"/>
  <c r="AP280" i="9"/>
  <c r="AQ280" i="9"/>
  <c r="AR280" i="9"/>
  <c r="AS280" i="9"/>
  <c r="AT280" i="9"/>
  <c r="AU280" i="9"/>
  <c r="AV280" i="9"/>
  <c r="AW280" i="9"/>
  <c r="AX280" i="9"/>
  <c r="AY280" i="9"/>
  <c r="AZ280" i="9"/>
  <c r="AA281" i="9"/>
  <c r="AB281" i="9"/>
  <c r="AC281" i="9"/>
  <c r="AD281" i="9"/>
  <c r="AE281" i="9"/>
  <c r="AF281" i="9"/>
  <c r="AG281" i="9"/>
  <c r="AH281" i="9"/>
  <c r="AI281" i="9"/>
  <c r="AJ281" i="9"/>
  <c r="AK281" i="9"/>
  <c r="AL281" i="9"/>
  <c r="AM281" i="9"/>
  <c r="AN281" i="9"/>
  <c r="AO281" i="9"/>
  <c r="AP281" i="9"/>
  <c r="AQ281" i="9"/>
  <c r="AR281" i="9"/>
  <c r="AS281" i="9"/>
  <c r="AT281" i="9"/>
  <c r="AU281" i="9"/>
  <c r="AV281" i="9"/>
  <c r="AW281" i="9"/>
  <c r="AX281" i="9"/>
  <c r="AY281" i="9"/>
  <c r="AZ281" i="9"/>
  <c r="AA282" i="9"/>
  <c r="AB282" i="9"/>
  <c r="AC282" i="9"/>
  <c r="AD282" i="9"/>
  <c r="AE282" i="9"/>
  <c r="AF282" i="9"/>
  <c r="AG282" i="9"/>
  <c r="AH282" i="9"/>
  <c r="AI282" i="9"/>
  <c r="AJ282" i="9"/>
  <c r="AK282" i="9"/>
  <c r="AL282" i="9"/>
  <c r="AM282" i="9"/>
  <c r="AN282" i="9"/>
  <c r="AO282" i="9"/>
  <c r="AP282" i="9"/>
  <c r="AQ282" i="9"/>
  <c r="AR282" i="9"/>
  <c r="AS282" i="9"/>
  <c r="AT282" i="9"/>
  <c r="AU282" i="9"/>
  <c r="AV282" i="9"/>
  <c r="AW282" i="9"/>
  <c r="AX282" i="9"/>
  <c r="AY282" i="9"/>
  <c r="AZ282" i="9"/>
  <c r="AA283" i="9"/>
  <c r="AB283" i="9"/>
  <c r="AC283" i="9"/>
  <c r="AD283" i="9"/>
  <c r="AE283" i="9"/>
  <c r="AF283" i="9"/>
  <c r="AG283" i="9"/>
  <c r="AH283" i="9"/>
  <c r="AI283" i="9"/>
  <c r="AJ283" i="9"/>
  <c r="AK283" i="9"/>
  <c r="AL283" i="9"/>
  <c r="AM283" i="9"/>
  <c r="AN283" i="9"/>
  <c r="AO283" i="9"/>
  <c r="AP283" i="9"/>
  <c r="AQ283" i="9"/>
  <c r="AR283" i="9"/>
  <c r="AS283" i="9"/>
  <c r="AT283" i="9"/>
  <c r="AU283" i="9"/>
  <c r="AV283" i="9"/>
  <c r="AW283" i="9"/>
  <c r="AX283" i="9"/>
  <c r="AY283" i="9"/>
  <c r="AZ283" i="9"/>
  <c r="AA284" i="9"/>
  <c r="AB284" i="9"/>
  <c r="AC284" i="9"/>
  <c r="AD284" i="9"/>
  <c r="AE284" i="9"/>
  <c r="AF284" i="9"/>
  <c r="AG284" i="9"/>
  <c r="AH284" i="9"/>
  <c r="AI284" i="9"/>
  <c r="AJ284" i="9"/>
  <c r="AK284" i="9"/>
  <c r="AL284" i="9"/>
  <c r="AM284" i="9"/>
  <c r="AN284" i="9"/>
  <c r="AO284" i="9"/>
  <c r="AP284" i="9"/>
  <c r="AQ284" i="9"/>
  <c r="AR284" i="9"/>
  <c r="AS284" i="9"/>
  <c r="AT284" i="9"/>
  <c r="AU284" i="9"/>
  <c r="AV284" i="9"/>
  <c r="AW284" i="9"/>
  <c r="AX284" i="9"/>
  <c r="AY284" i="9"/>
  <c r="AZ284" i="9"/>
  <c r="AA285" i="9"/>
  <c r="AB285" i="9"/>
  <c r="AC285" i="9"/>
  <c r="AD285" i="9"/>
  <c r="AE285" i="9"/>
  <c r="AF285" i="9"/>
  <c r="AG285" i="9"/>
  <c r="AH285" i="9"/>
  <c r="AI285" i="9"/>
  <c r="AJ285" i="9"/>
  <c r="AK285" i="9"/>
  <c r="AL285" i="9"/>
  <c r="AM285" i="9"/>
  <c r="AN285" i="9"/>
  <c r="AO285" i="9"/>
  <c r="AP285" i="9"/>
  <c r="AQ285" i="9"/>
  <c r="AR285" i="9"/>
  <c r="AS285" i="9"/>
  <c r="AT285" i="9"/>
  <c r="AU285" i="9"/>
  <c r="AV285" i="9"/>
  <c r="AW285" i="9"/>
  <c r="AX285" i="9"/>
  <c r="AY285" i="9"/>
  <c r="AZ285" i="9"/>
  <c r="AA286" i="9"/>
  <c r="AB286" i="9"/>
  <c r="AC286" i="9"/>
  <c r="AD286" i="9"/>
  <c r="AE286" i="9"/>
  <c r="AF286" i="9"/>
  <c r="AG286" i="9"/>
  <c r="AH286" i="9"/>
  <c r="AI286" i="9"/>
  <c r="AJ286" i="9"/>
  <c r="AK286" i="9"/>
  <c r="AL286" i="9"/>
  <c r="AM286" i="9"/>
  <c r="AN286" i="9"/>
  <c r="AO286" i="9"/>
  <c r="AP286" i="9"/>
  <c r="AQ286" i="9"/>
  <c r="AR286" i="9"/>
  <c r="AS286" i="9"/>
  <c r="AT286" i="9"/>
  <c r="AU286" i="9"/>
  <c r="AV286" i="9"/>
  <c r="AW286" i="9"/>
  <c r="AX286" i="9"/>
  <c r="AY286" i="9"/>
  <c r="AZ286" i="9"/>
  <c r="AA287" i="9"/>
  <c r="AB287" i="9"/>
  <c r="AC287" i="9"/>
  <c r="AD287" i="9"/>
  <c r="AE287" i="9"/>
  <c r="AF287" i="9"/>
  <c r="AG287" i="9"/>
  <c r="AH287" i="9"/>
  <c r="AI287" i="9"/>
  <c r="AJ287" i="9"/>
  <c r="AK287" i="9"/>
  <c r="AL287" i="9"/>
  <c r="AM287" i="9"/>
  <c r="AN287" i="9"/>
  <c r="AO287" i="9"/>
  <c r="AP287" i="9"/>
  <c r="AQ287" i="9"/>
  <c r="AR287" i="9"/>
  <c r="AS287" i="9"/>
  <c r="AT287" i="9"/>
  <c r="AU287" i="9"/>
  <c r="AV287" i="9"/>
  <c r="AW287" i="9"/>
  <c r="AX287" i="9"/>
  <c r="AY287" i="9"/>
  <c r="AZ287" i="9"/>
  <c r="AA288" i="9"/>
  <c r="AB288" i="9"/>
  <c r="AC288" i="9"/>
  <c r="AD288" i="9"/>
  <c r="AE288" i="9"/>
  <c r="AF288" i="9"/>
  <c r="AG288" i="9"/>
  <c r="AH288" i="9"/>
  <c r="AI288" i="9"/>
  <c r="AJ288" i="9"/>
  <c r="AK288" i="9"/>
  <c r="AL288" i="9"/>
  <c r="AM288" i="9"/>
  <c r="AN288" i="9"/>
  <c r="AO288" i="9"/>
  <c r="AP288" i="9"/>
  <c r="AQ288" i="9"/>
  <c r="AR288" i="9"/>
  <c r="AS288" i="9"/>
  <c r="AT288" i="9"/>
  <c r="AU288" i="9"/>
  <c r="AV288" i="9"/>
  <c r="AW288" i="9"/>
  <c r="AX288" i="9"/>
  <c r="AY288" i="9"/>
  <c r="AZ288" i="9"/>
  <c r="AA289" i="9"/>
  <c r="AB289" i="9"/>
  <c r="AC289" i="9"/>
  <c r="AD289" i="9"/>
  <c r="AE289" i="9"/>
  <c r="AF289" i="9"/>
  <c r="AG289" i="9"/>
  <c r="AH289" i="9"/>
  <c r="AI289" i="9"/>
  <c r="AJ289" i="9"/>
  <c r="AK289" i="9"/>
  <c r="AL289" i="9"/>
  <c r="AM289" i="9"/>
  <c r="AN289" i="9"/>
  <c r="AO289" i="9"/>
  <c r="AP289" i="9"/>
  <c r="AQ289" i="9"/>
  <c r="AR289" i="9"/>
  <c r="AS289" i="9"/>
  <c r="AT289" i="9"/>
  <c r="AU289" i="9"/>
  <c r="AV289" i="9"/>
  <c r="AW289" i="9"/>
  <c r="AX289" i="9"/>
  <c r="AY289" i="9"/>
  <c r="AZ289" i="9"/>
  <c r="AA290" i="9"/>
  <c r="AB290" i="9"/>
  <c r="AC290" i="9"/>
  <c r="AD290" i="9"/>
  <c r="AE290" i="9"/>
  <c r="AF290" i="9"/>
  <c r="AG290" i="9"/>
  <c r="AH290" i="9"/>
  <c r="AI290" i="9"/>
  <c r="AJ290" i="9"/>
  <c r="AK290" i="9"/>
  <c r="AL290" i="9"/>
  <c r="AM290" i="9"/>
  <c r="AN290" i="9"/>
  <c r="AO290" i="9"/>
  <c r="AP290" i="9"/>
  <c r="AQ290" i="9"/>
  <c r="AR290" i="9"/>
  <c r="AS290" i="9"/>
  <c r="AT290" i="9"/>
  <c r="AU290" i="9"/>
  <c r="AV290" i="9"/>
  <c r="AW290" i="9"/>
  <c r="AX290" i="9"/>
  <c r="AY290" i="9"/>
  <c r="AZ290" i="9"/>
  <c r="AA291" i="9"/>
  <c r="AB291" i="9"/>
  <c r="AC291" i="9"/>
  <c r="AD291" i="9"/>
  <c r="AE291" i="9"/>
  <c r="AF291" i="9"/>
  <c r="AG291" i="9"/>
  <c r="AH291" i="9"/>
  <c r="AI291" i="9"/>
  <c r="AJ291" i="9"/>
  <c r="AK291" i="9"/>
  <c r="AL291" i="9"/>
  <c r="AM291" i="9"/>
  <c r="AN291" i="9"/>
  <c r="AO291" i="9"/>
  <c r="AP291" i="9"/>
  <c r="AQ291" i="9"/>
  <c r="AR291" i="9"/>
  <c r="AS291" i="9"/>
  <c r="AT291" i="9"/>
  <c r="AU291" i="9"/>
  <c r="AV291" i="9"/>
  <c r="AW291" i="9"/>
  <c r="AX291" i="9"/>
  <c r="AY291" i="9"/>
  <c r="AZ291" i="9"/>
  <c r="AA292" i="9"/>
  <c r="AB292" i="9"/>
  <c r="AC292" i="9"/>
  <c r="AD292" i="9"/>
  <c r="AE292" i="9"/>
  <c r="AF292" i="9"/>
  <c r="AG292" i="9"/>
  <c r="AH292" i="9"/>
  <c r="AI292" i="9"/>
  <c r="AJ292" i="9"/>
  <c r="AK292" i="9"/>
  <c r="AL292" i="9"/>
  <c r="AM292" i="9"/>
  <c r="AN292" i="9"/>
  <c r="AO292" i="9"/>
  <c r="AP292" i="9"/>
  <c r="AQ292" i="9"/>
  <c r="AR292" i="9"/>
  <c r="AS292" i="9"/>
  <c r="AT292" i="9"/>
  <c r="AU292" i="9"/>
  <c r="AV292" i="9"/>
  <c r="AW292" i="9"/>
  <c r="AX292" i="9"/>
  <c r="AY292" i="9"/>
  <c r="AZ292" i="9"/>
  <c r="AA293" i="9"/>
  <c r="AB293" i="9"/>
  <c r="AC293" i="9"/>
  <c r="AD293" i="9"/>
  <c r="AE293" i="9"/>
  <c r="AF293" i="9"/>
  <c r="AG293" i="9"/>
  <c r="AH293" i="9"/>
  <c r="AI293" i="9"/>
  <c r="AJ293" i="9"/>
  <c r="AK293" i="9"/>
  <c r="AL293" i="9"/>
  <c r="AM293" i="9"/>
  <c r="AN293" i="9"/>
  <c r="AO293" i="9"/>
  <c r="AP293" i="9"/>
  <c r="AQ293" i="9"/>
  <c r="AR293" i="9"/>
  <c r="AS293" i="9"/>
  <c r="AT293" i="9"/>
  <c r="AU293" i="9"/>
  <c r="AV293" i="9"/>
  <c r="AW293" i="9"/>
  <c r="AX293" i="9"/>
  <c r="AY293" i="9"/>
  <c r="AZ293" i="9"/>
  <c r="AA294" i="9"/>
  <c r="AB294" i="9"/>
  <c r="AC294" i="9"/>
  <c r="AD294" i="9"/>
  <c r="AE294" i="9"/>
  <c r="AF294" i="9"/>
  <c r="AG294" i="9"/>
  <c r="AH294" i="9"/>
  <c r="AI294" i="9"/>
  <c r="AJ294" i="9"/>
  <c r="AK294" i="9"/>
  <c r="AL294" i="9"/>
  <c r="AM294" i="9"/>
  <c r="AN294" i="9"/>
  <c r="AO294" i="9"/>
  <c r="AP294" i="9"/>
  <c r="AQ294" i="9"/>
  <c r="AR294" i="9"/>
  <c r="AS294" i="9"/>
  <c r="AT294" i="9"/>
  <c r="AU294" i="9"/>
  <c r="AV294" i="9"/>
  <c r="AW294" i="9"/>
  <c r="AX294" i="9"/>
  <c r="AY294" i="9"/>
  <c r="AZ294" i="9"/>
  <c r="AA295" i="9"/>
  <c r="AB295" i="9"/>
  <c r="AC295" i="9"/>
  <c r="AD295" i="9"/>
  <c r="AE295" i="9"/>
  <c r="AF295" i="9"/>
  <c r="AG295" i="9"/>
  <c r="AH295" i="9"/>
  <c r="AI295" i="9"/>
  <c r="AJ295" i="9"/>
  <c r="AK295" i="9"/>
  <c r="AL295" i="9"/>
  <c r="AM295" i="9"/>
  <c r="AN295" i="9"/>
  <c r="AO295" i="9"/>
  <c r="AP295" i="9"/>
  <c r="AQ295" i="9"/>
  <c r="AR295" i="9"/>
  <c r="AS295" i="9"/>
  <c r="AT295" i="9"/>
  <c r="AU295" i="9"/>
  <c r="AV295" i="9"/>
  <c r="AW295" i="9"/>
  <c r="AX295" i="9"/>
  <c r="AY295" i="9"/>
  <c r="AZ295" i="9"/>
  <c r="AA296" i="9"/>
  <c r="AB296" i="9"/>
  <c r="AC296" i="9"/>
  <c r="AD296" i="9"/>
  <c r="AE296" i="9"/>
  <c r="AF296" i="9"/>
  <c r="AG296" i="9"/>
  <c r="AH296" i="9"/>
  <c r="AI296" i="9"/>
  <c r="AJ296" i="9"/>
  <c r="AK296" i="9"/>
  <c r="AL296" i="9"/>
  <c r="AM296" i="9"/>
  <c r="AN296" i="9"/>
  <c r="AO296" i="9"/>
  <c r="AP296" i="9"/>
  <c r="AQ296" i="9"/>
  <c r="AR296" i="9"/>
  <c r="AS296" i="9"/>
  <c r="AT296" i="9"/>
  <c r="AU296" i="9"/>
  <c r="AV296" i="9"/>
  <c r="AW296" i="9"/>
  <c r="AX296" i="9"/>
  <c r="AY296" i="9"/>
  <c r="AZ296" i="9"/>
  <c r="AA297" i="9"/>
  <c r="AB297" i="9"/>
  <c r="AC297" i="9"/>
  <c r="AD297" i="9"/>
  <c r="AE297" i="9"/>
  <c r="AF297" i="9"/>
  <c r="AG297" i="9"/>
  <c r="AH297" i="9"/>
  <c r="AI297" i="9"/>
  <c r="AJ297" i="9"/>
  <c r="AK297" i="9"/>
  <c r="AL297" i="9"/>
  <c r="AM297" i="9"/>
  <c r="AN297" i="9"/>
  <c r="AO297" i="9"/>
  <c r="AP297" i="9"/>
  <c r="AQ297" i="9"/>
  <c r="AR297" i="9"/>
  <c r="AS297" i="9"/>
  <c r="AT297" i="9"/>
  <c r="AU297" i="9"/>
  <c r="AV297" i="9"/>
  <c r="AW297" i="9"/>
  <c r="AX297" i="9"/>
  <c r="AY297" i="9"/>
  <c r="AZ297" i="9"/>
  <c r="AA298" i="9"/>
  <c r="AB298" i="9"/>
  <c r="AC298" i="9"/>
  <c r="AD298" i="9"/>
  <c r="AE298" i="9"/>
  <c r="AF298" i="9"/>
  <c r="AG298" i="9"/>
  <c r="AH298" i="9"/>
  <c r="AI298" i="9"/>
  <c r="AJ298" i="9"/>
  <c r="AK298" i="9"/>
  <c r="AL298" i="9"/>
  <c r="AM298" i="9"/>
  <c r="AN298" i="9"/>
  <c r="AO298" i="9"/>
  <c r="AP298" i="9"/>
  <c r="AQ298" i="9"/>
  <c r="AR298" i="9"/>
  <c r="AS298" i="9"/>
  <c r="AT298" i="9"/>
  <c r="AU298" i="9"/>
  <c r="AV298" i="9"/>
  <c r="AW298" i="9"/>
  <c r="AX298" i="9"/>
  <c r="AY298" i="9"/>
  <c r="AZ298" i="9"/>
  <c r="AA299" i="9"/>
  <c r="AB299" i="9"/>
  <c r="AC299" i="9"/>
  <c r="AD299" i="9"/>
  <c r="AE299" i="9"/>
  <c r="AF299" i="9"/>
  <c r="AG299" i="9"/>
  <c r="AH299" i="9"/>
  <c r="AI299" i="9"/>
  <c r="AJ299" i="9"/>
  <c r="AK299" i="9"/>
  <c r="AL299" i="9"/>
  <c r="AM299" i="9"/>
  <c r="AN299" i="9"/>
  <c r="AO299" i="9"/>
  <c r="AP299" i="9"/>
  <c r="AQ299" i="9"/>
  <c r="AR299" i="9"/>
  <c r="AS299" i="9"/>
  <c r="AT299" i="9"/>
  <c r="AU299" i="9"/>
  <c r="AV299" i="9"/>
  <c r="AW299" i="9"/>
  <c r="AX299" i="9"/>
  <c r="AY299" i="9"/>
  <c r="AZ299" i="9"/>
  <c r="AA300" i="9"/>
  <c r="AB300" i="9"/>
  <c r="AC300" i="9"/>
  <c r="AD300" i="9"/>
  <c r="AE300" i="9"/>
  <c r="AF300" i="9"/>
  <c r="AG300" i="9"/>
  <c r="AH300" i="9"/>
  <c r="AI300" i="9"/>
  <c r="AJ300" i="9"/>
  <c r="AK300" i="9"/>
  <c r="AL300" i="9"/>
  <c r="AM300" i="9"/>
  <c r="AN300" i="9"/>
  <c r="AO300" i="9"/>
  <c r="AP300" i="9"/>
  <c r="AQ300" i="9"/>
  <c r="AR300" i="9"/>
  <c r="AS300" i="9"/>
  <c r="AT300" i="9"/>
  <c r="AU300" i="9"/>
  <c r="AV300" i="9"/>
  <c r="AW300" i="9"/>
  <c r="AX300" i="9"/>
  <c r="AY300" i="9"/>
  <c r="AZ300" i="9"/>
  <c r="AA301" i="9"/>
  <c r="AB301" i="9"/>
  <c r="AC301" i="9"/>
  <c r="AD301" i="9"/>
  <c r="AE301" i="9"/>
  <c r="AF301" i="9"/>
  <c r="AG301" i="9"/>
  <c r="AH301" i="9"/>
  <c r="AI301" i="9"/>
  <c r="AJ301" i="9"/>
  <c r="AK301" i="9"/>
  <c r="AL301" i="9"/>
  <c r="AM301" i="9"/>
  <c r="AN301" i="9"/>
  <c r="AO301" i="9"/>
  <c r="AP301" i="9"/>
  <c r="AQ301" i="9"/>
  <c r="AR301" i="9"/>
  <c r="AS301" i="9"/>
  <c r="AT301" i="9"/>
  <c r="AU301" i="9"/>
  <c r="AV301" i="9"/>
  <c r="AW301" i="9"/>
  <c r="AX301" i="9"/>
  <c r="AY301" i="9"/>
  <c r="AZ301" i="9"/>
  <c r="AA302" i="9"/>
  <c r="AB302" i="9"/>
  <c r="AC302" i="9"/>
  <c r="AD302" i="9"/>
  <c r="AE302" i="9"/>
  <c r="AF302" i="9"/>
  <c r="AG302" i="9"/>
  <c r="AH302" i="9"/>
  <c r="AI302" i="9"/>
  <c r="AJ302" i="9"/>
  <c r="AK302" i="9"/>
  <c r="AL302" i="9"/>
  <c r="AM302" i="9"/>
  <c r="AN302" i="9"/>
  <c r="AO302" i="9"/>
  <c r="AP302" i="9"/>
  <c r="AQ302" i="9"/>
  <c r="AR302" i="9"/>
  <c r="AS302" i="9"/>
  <c r="AT302" i="9"/>
  <c r="AU302" i="9"/>
  <c r="AV302" i="9"/>
  <c r="AW302" i="9"/>
  <c r="AX302" i="9"/>
  <c r="AY302" i="9"/>
  <c r="AZ302" i="9"/>
  <c r="AA303" i="9"/>
  <c r="AB303" i="9"/>
  <c r="AC303" i="9"/>
  <c r="AD303" i="9"/>
  <c r="AE303" i="9"/>
  <c r="AF303" i="9"/>
  <c r="AG303" i="9"/>
  <c r="AH303" i="9"/>
  <c r="AI303" i="9"/>
  <c r="AJ303" i="9"/>
  <c r="AK303" i="9"/>
  <c r="AL303" i="9"/>
  <c r="AM303" i="9"/>
  <c r="AN303" i="9"/>
  <c r="AO303" i="9"/>
  <c r="AP303" i="9"/>
  <c r="AQ303" i="9"/>
  <c r="AR303" i="9"/>
  <c r="AS303" i="9"/>
  <c r="AT303" i="9"/>
  <c r="AU303" i="9"/>
  <c r="AV303" i="9"/>
  <c r="AW303" i="9"/>
  <c r="AX303" i="9"/>
  <c r="AY303" i="9"/>
  <c r="AZ303" i="9"/>
  <c r="AA304" i="9"/>
  <c r="AB304" i="9"/>
  <c r="AC304" i="9"/>
  <c r="AD304" i="9"/>
  <c r="AE304" i="9"/>
  <c r="AF304" i="9"/>
  <c r="AG304" i="9"/>
  <c r="AH304" i="9"/>
  <c r="AI304" i="9"/>
  <c r="AJ304" i="9"/>
  <c r="AK304" i="9"/>
  <c r="AL304" i="9"/>
  <c r="AM304" i="9"/>
  <c r="AN304" i="9"/>
  <c r="AO304" i="9"/>
  <c r="AP304" i="9"/>
  <c r="AQ304" i="9"/>
  <c r="AR304" i="9"/>
  <c r="AS304" i="9"/>
  <c r="AT304" i="9"/>
  <c r="AU304" i="9"/>
  <c r="AV304" i="9"/>
  <c r="AW304" i="9"/>
  <c r="AX304" i="9"/>
  <c r="AY304" i="9"/>
  <c r="AZ304" i="9"/>
  <c r="AA305" i="9"/>
  <c r="AB305" i="9"/>
  <c r="AC305" i="9"/>
  <c r="AD305" i="9"/>
  <c r="AE305" i="9"/>
  <c r="AF305" i="9"/>
  <c r="AG305" i="9"/>
  <c r="AH305" i="9"/>
  <c r="AI305" i="9"/>
  <c r="AJ305" i="9"/>
  <c r="AK305" i="9"/>
  <c r="AL305" i="9"/>
  <c r="AM305" i="9"/>
  <c r="AN305" i="9"/>
  <c r="AO305" i="9"/>
  <c r="AP305" i="9"/>
  <c r="AQ305" i="9"/>
  <c r="AR305" i="9"/>
  <c r="AS305" i="9"/>
  <c r="AT305" i="9"/>
  <c r="AU305" i="9"/>
  <c r="AV305" i="9"/>
  <c r="AW305" i="9"/>
  <c r="AX305" i="9"/>
  <c r="AY305" i="9"/>
  <c r="AZ305" i="9"/>
  <c r="AA306" i="9"/>
  <c r="AB306" i="9"/>
  <c r="AC306" i="9"/>
  <c r="AD306" i="9"/>
  <c r="AE306" i="9"/>
  <c r="AF306" i="9"/>
  <c r="AG306" i="9"/>
  <c r="AH306" i="9"/>
  <c r="AI306" i="9"/>
  <c r="AJ306" i="9"/>
  <c r="AK306" i="9"/>
  <c r="AL306" i="9"/>
  <c r="AM306" i="9"/>
  <c r="AN306" i="9"/>
  <c r="AO306" i="9"/>
  <c r="AP306" i="9"/>
  <c r="AQ306" i="9"/>
  <c r="AR306" i="9"/>
  <c r="AS306" i="9"/>
  <c r="AT306" i="9"/>
  <c r="AU306" i="9"/>
  <c r="AV306" i="9"/>
  <c r="AW306" i="9"/>
  <c r="AX306" i="9"/>
  <c r="AY306" i="9"/>
  <c r="AZ306" i="9"/>
  <c r="AA307" i="9"/>
  <c r="AB307" i="9"/>
  <c r="AC307" i="9"/>
  <c r="AD307" i="9"/>
  <c r="AE307" i="9"/>
  <c r="AF307" i="9"/>
  <c r="AG307" i="9"/>
  <c r="AH307" i="9"/>
  <c r="AI307" i="9"/>
  <c r="AJ307" i="9"/>
  <c r="AK307" i="9"/>
  <c r="AL307" i="9"/>
  <c r="AM307" i="9"/>
  <c r="AN307" i="9"/>
  <c r="AO307" i="9"/>
  <c r="AP307" i="9"/>
  <c r="AQ307" i="9"/>
  <c r="AR307" i="9"/>
  <c r="AS307" i="9"/>
  <c r="AT307" i="9"/>
  <c r="AU307" i="9"/>
  <c r="AV307" i="9"/>
  <c r="AW307" i="9"/>
  <c r="AX307" i="9"/>
  <c r="AY307" i="9"/>
  <c r="AZ307" i="9"/>
  <c r="AA308" i="9"/>
  <c r="AB308" i="9"/>
  <c r="AC308" i="9"/>
  <c r="AD308" i="9"/>
  <c r="AE308" i="9"/>
  <c r="AF308" i="9"/>
  <c r="AG308" i="9"/>
  <c r="AH308" i="9"/>
  <c r="AI308" i="9"/>
  <c r="AJ308" i="9"/>
  <c r="AK308" i="9"/>
  <c r="AL308" i="9"/>
  <c r="AM308" i="9"/>
  <c r="AN308" i="9"/>
  <c r="AO308" i="9"/>
  <c r="AP308" i="9"/>
  <c r="AQ308" i="9"/>
  <c r="AR308" i="9"/>
  <c r="AS308" i="9"/>
  <c r="AT308" i="9"/>
  <c r="AU308" i="9"/>
  <c r="AV308" i="9"/>
  <c r="AW308" i="9"/>
  <c r="AX308" i="9"/>
  <c r="AY308" i="9"/>
  <c r="AZ308" i="9"/>
  <c r="AA309" i="9"/>
  <c r="AB309" i="9"/>
  <c r="AC309" i="9"/>
  <c r="AD309" i="9"/>
  <c r="AE309" i="9"/>
  <c r="AF309" i="9"/>
  <c r="AG309" i="9"/>
  <c r="AH309" i="9"/>
  <c r="AI309" i="9"/>
  <c r="AJ309" i="9"/>
  <c r="AK309" i="9"/>
  <c r="AL309" i="9"/>
  <c r="AM309" i="9"/>
  <c r="AN309" i="9"/>
  <c r="AO309" i="9"/>
  <c r="AP309" i="9"/>
  <c r="AQ309" i="9"/>
  <c r="AR309" i="9"/>
  <c r="AS309" i="9"/>
  <c r="AT309" i="9"/>
  <c r="AU309" i="9"/>
  <c r="AV309" i="9"/>
  <c r="AW309" i="9"/>
  <c r="AX309" i="9"/>
  <c r="AY309" i="9"/>
  <c r="AZ309" i="9"/>
  <c r="AA310" i="9"/>
  <c r="AB310" i="9"/>
  <c r="AC310" i="9"/>
  <c r="AD310" i="9"/>
  <c r="AE310" i="9"/>
  <c r="AF310" i="9"/>
  <c r="AG310" i="9"/>
  <c r="AH310" i="9"/>
  <c r="AI310" i="9"/>
  <c r="AJ310" i="9"/>
  <c r="AK310" i="9"/>
  <c r="AL310" i="9"/>
  <c r="AM310" i="9"/>
  <c r="AN310" i="9"/>
  <c r="AO310" i="9"/>
  <c r="AP310" i="9"/>
  <c r="AQ310" i="9"/>
  <c r="AR310" i="9"/>
  <c r="AS310" i="9"/>
  <c r="AT310" i="9"/>
  <c r="AU310" i="9"/>
  <c r="AV310" i="9"/>
  <c r="AW310" i="9"/>
  <c r="AX310" i="9"/>
  <c r="AY310" i="9"/>
  <c r="AZ310" i="9"/>
  <c r="AA311" i="9"/>
  <c r="AB311" i="9"/>
  <c r="AC311" i="9"/>
  <c r="AD311" i="9"/>
  <c r="AE311" i="9"/>
  <c r="AF311" i="9"/>
  <c r="AG311" i="9"/>
  <c r="AH311" i="9"/>
  <c r="AI311" i="9"/>
  <c r="AJ311" i="9"/>
  <c r="AK311" i="9"/>
  <c r="AL311" i="9"/>
  <c r="AM311" i="9"/>
  <c r="AN311" i="9"/>
  <c r="AO311" i="9"/>
  <c r="AP311" i="9"/>
  <c r="AQ311" i="9"/>
  <c r="AR311" i="9"/>
  <c r="AS311" i="9"/>
  <c r="AT311" i="9"/>
  <c r="AU311" i="9"/>
  <c r="AV311" i="9"/>
  <c r="AW311" i="9"/>
  <c r="AX311" i="9"/>
  <c r="AY311" i="9"/>
  <c r="AZ311" i="9"/>
  <c r="AA312" i="9"/>
  <c r="AB312" i="9"/>
  <c r="AC312" i="9"/>
  <c r="AD312" i="9"/>
  <c r="AE312" i="9"/>
  <c r="AF312" i="9"/>
  <c r="AG312" i="9"/>
  <c r="AH312" i="9"/>
  <c r="AI312" i="9"/>
  <c r="AJ312" i="9"/>
  <c r="AK312" i="9"/>
  <c r="AL312" i="9"/>
  <c r="AM312" i="9"/>
  <c r="AN312" i="9"/>
  <c r="AO312" i="9"/>
  <c r="AP312" i="9"/>
  <c r="AQ312" i="9"/>
  <c r="AR312" i="9"/>
  <c r="AS312" i="9"/>
  <c r="AT312" i="9"/>
  <c r="AU312" i="9"/>
  <c r="AV312" i="9"/>
  <c r="AW312" i="9"/>
  <c r="AX312" i="9"/>
  <c r="AY312" i="9"/>
  <c r="AZ312" i="9"/>
  <c r="AA313" i="9"/>
  <c r="AB313" i="9"/>
  <c r="AC313" i="9"/>
  <c r="AD313" i="9"/>
  <c r="AE313" i="9"/>
  <c r="AF313" i="9"/>
  <c r="AG313" i="9"/>
  <c r="AH313" i="9"/>
  <c r="AI313" i="9"/>
  <c r="AJ313" i="9"/>
  <c r="AK313" i="9"/>
  <c r="AL313" i="9"/>
  <c r="AM313" i="9"/>
  <c r="AN313" i="9"/>
  <c r="AO313" i="9"/>
  <c r="AP313" i="9"/>
  <c r="AQ313" i="9"/>
  <c r="AR313" i="9"/>
  <c r="AS313" i="9"/>
  <c r="AT313" i="9"/>
  <c r="AU313" i="9"/>
  <c r="AV313" i="9"/>
  <c r="AW313" i="9"/>
  <c r="AX313" i="9"/>
  <c r="AY313" i="9"/>
  <c r="AZ313" i="9"/>
  <c r="AA314" i="9"/>
  <c r="AB314" i="9"/>
  <c r="AC314" i="9"/>
  <c r="AD314" i="9"/>
  <c r="AE314" i="9"/>
  <c r="AF314" i="9"/>
  <c r="AG314" i="9"/>
  <c r="AH314" i="9"/>
  <c r="AI314" i="9"/>
  <c r="AJ314" i="9"/>
  <c r="AK314" i="9"/>
  <c r="AL314" i="9"/>
  <c r="AM314" i="9"/>
  <c r="AN314" i="9"/>
  <c r="AO314" i="9"/>
  <c r="AP314" i="9"/>
  <c r="AQ314" i="9"/>
  <c r="AR314" i="9"/>
  <c r="AS314" i="9"/>
  <c r="AT314" i="9"/>
  <c r="AU314" i="9"/>
  <c r="AV314" i="9"/>
  <c r="AW314" i="9"/>
  <c r="AX314" i="9"/>
  <c r="AY314" i="9"/>
  <c r="AZ314" i="9"/>
  <c r="AA315" i="9"/>
  <c r="AB315" i="9"/>
  <c r="AC315" i="9"/>
  <c r="AD315" i="9"/>
  <c r="AE315" i="9"/>
  <c r="AF315" i="9"/>
  <c r="AG315" i="9"/>
  <c r="AH315" i="9"/>
  <c r="AI315" i="9"/>
  <c r="AJ315" i="9"/>
  <c r="AK315" i="9"/>
  <c r="AL315" i="9"/>
  <c r="AM315" i="9"/>
  <c r="AN315" i="9"/>
  <c r="AO315" i="9"/>
  <c r="AP315" i="9"/>
  <c r="AQ315" i="9"/>
  <c r="AR315" i="9"/>
  <c r="AS315" i="9"/>
  <c r="AT315" i="9"/>
  <c r="AU315" i="9"/>
  <c r="AV315" i="9"/>
  <c r="AW315" i="9"/>
  <c r="AX315" i="9"/>
  <c r="AY315" i="9"/>
  <c r="AZ315" i="9"/>
  <c r="AA316" i="9"/>
  <c r="AB316" i="9"/>
  <c r="AC316" i="9"/>
  <c r="AD316" i="9"/>
  <c r="AE316" i="9"/>
  <c r="AF316" i="9"/>
  <c r="AG316" i="9"/>
  <c r="AH316" i="9"/>
  <c r="AI316" i="9"/>
  <c r="AJ316" i="9"/>
  <c r="AK316" i="9"/>
  <c r="AL316" i="9"/>
  <c r="AM316" i="9"/>
  <c r="AN316" i="9"/>
  <c r="AO316" i="9"/>
  <c r="AP316" i="9"/>
  <c r="AQ316" i="9"/>
  <c r="AR316" i="9"/>
  <c r="AS316" i="9"/>
  <c r="AT316" i="9"/>
  <c r="AU316" i="9"/>
  <c r="AV316" i="9"/>
  <c r="AW316" i="9"/>
  <c r="AX316" i="9"/>
  <c r="AY316" i="9"/>
  <c r="AZ316" i="9"/>
  <c r="AA317" i="9"/>
  <c r="AB317" i="9"/>
  <c r="AC317" i="9"/>
  <c r="AD317" i="9"/>
  <c r="AE317" i="9"/>
  <c r="AF317" i="9"/>
  <c r="AG317" i="9"/>
  <c r="AH317" i="9"/>
  <c r="AI317" i="9"/>
  <c r="AJ317" i="9"/>
  <c r="AK317" i="9"/>
  <c r="AL317" i="9"/>
  <c r="AM317" i="9"/>
  <c r="AN317" i="9"/>
  <c r="AO317" i="9"/>
  <c r="AP317" i="9"/>
  <c r="AQ317" i="9"/>
  <c r="AR317" i="9"/>
  <c r="AS317" i="9"/>
  <c r="AT317" i="9"/>
  <c r="AU317" i="9"/>
  <c r="AV317" i="9"/>
  <c r="AW317" i="9"/>
  <c r="AX317" i="9"/>
  <c r="AY317" i="9"/>
  <c r="AZ317" i="9"/>
  <c r="AA318" i="9"/>
  <c r="AB318" i="9"/>
  <c r="AC318" i="9"/>
  <c r="AD318" i="9"/>
  <c r="AE318" i="9"/>
  <c r="AF318" i="9"/>
  <c r="AG318" i="9"/>
  <c r="AH318" i="9"/>
  <c r="AI318" i="9"/>
  <c r="AJ318" i="9"/>
  <c r="AK318" i="9"/>
  <c r="AL318" i="9"/>
  <c r="AM318" i="9"/>
  <c r="AN318" i="9"/>
  <c r="AO318" i="9"/>
  <c r="AP318" i="9"/>
  <c r="AQ318" i="9"/>
  <c r="AR318" i="9"/>
  <c r="AS318" i="9"/>
  <c r="AT318" i="9"/>
  <c r="AU318" i="9"/>
  <c r="AV318" i="9"/>
  <c r="AW318" i="9"/>
  <c r="AX318" i="9"/>
  <c r="AY318" i="9"/>
  <c r="AZ318" i="9"/>
  <c r="AA319" i="9"/>
  <c r="AB319" i="9"/>
  <c r="AC319" i="9"/>
  <c r="AD319" i="9"/>
  <c r="AE319" i="9"/>
  <c r="AF319" i="9"/>
  <c r="AG319" i="9"/>
  <c r="AH319" i="9"/>
  <c r="AI319" i="9"/>
  <c r="AJ319" i="9"/>
  <c r="AK319" i="9"/>
  <c r="AL319" i="9"/>
  <c r="AM319" i="9"/>
  <c r="AN319" i="9"/>
  <c r="AO319" i="9"/>
  <c r="AP319" i="9"/>
  <c r="AQ319" i="9"/>
  <c r="AR319" i="9"/>
  <c r="AS319" i="9"/>
  <c r="AT319" i="9"/>
  <c r="AU319" i="9"/>
  <c r="AV319" i="9"/>
  <c r="AW319" i="9"/>
  <c r="AX319" i="9"/>
  <c r="AY319" i="9"/>
  <c r="AZ319" i="9"/>
  <c r="AA320" i="9"/>
  <c r="AB320" i="9"/>
  <c r="AC320" i="9"/>
  <c r="AD320" i="9"/>
  <c r="AE320" i="9"/>
  <c r="AF320" i="9"/>
  <c r="AG320" i="9"/>
  <c r="AH320" i="9"/>
  <c r="AI320" i="9"/>
  <c r="AJ320" i="9"/>
  <c r="AK320" i="9"/>
  <c r="AL320" i="9"/>
  <c r="AM320" i="9"/>
  <c r="AN320" i="9"/>
  <c r="AO320" i="9"/>
  <c r="AP320" i="9"/>
  <c r="AQ320" i="9"/>
  <c r="AR320" i="9"/>
  <c r="AS320" i="9"/>
  <c r="AT320" i="9"/>
  <c r="AU320" i="9"/>
  <c r="AV320" i="9"/>
  <c r="AW320" i="9"/>
  <c r="AX320" i="9"/>
  <c r="AY320" i="9"/>
  <c r="AZ320" i="9"/>
  <c r="AA321" i="9"/>
  <c r="AB321" i="9"/>
  <c r="AC321" i="9"/>
  <c r="AD321" i="9"/>
  <c r="AE321" i="9"/>
  <c r="AF321" i="9"/>
  <c r="AG321" i="9"/>
  <c r="AH321" i="9"/>
  <c r="AI321" i="9"/>
  <c r="AJ321" i="9"/>
  <c r="AK321" i="9"/>
  <c r="AL321" i="9"/>
  <c r="AM321" i="9"/>
  <c r="AN321" i="9"/>
  <c r="AO321" i="9"/>
  <c r="AP321" i="9"/>
  <c r="AQ321" i="9"/>
  <c r="AR321" i="9"/>
  <c r="AS321" i="9"/>
  <c r="AT321" i="9"/>
  <c r="AU321" i="9"/>
  <c r="AV321" i="9"/>
  <c r="AW321" i="9"/>
  <c r="AX321" i="9"/>
  <c r="AY321" i="9"/>
  <c r="AZ321" i="9"/>
  <c r="AA322" i="9"/>
  <c r="AB322" i="9"/>
  <c r="AC322" i="9"/>
  <c r="AD322" i="9"/>
  <c r="AE322" i="9"/>
  <c r="AF322" i="9"/>
  <c r="AG322" i="9"/>
  <c r="AH322" i="9"/>
  <c r="AI322" i="9"/>
  <c r="AJ322" i="9"/>
  <c r="AK322" i="9"/>
  <c r="AL322" i="9"/>
  <c r="AM322" i="9"/>
  <c r="AN322" i="9"/>
  <c r="AO322" i="9"/>
  <c r="AP322" i="9"/>
  <c r="AQ322" i="9"/>
  <c r="AR322" i="9"/>
  <c r="AS322" i="9"/>
  <c r="AT322" i="9"/>
  <c r="AU322" i="9"/>
  <c r="AV322" i="9"/>
  <c r="AW322" i="9"/>
  <c r="AX322" i="9"/>
  <c r="AY322" i="9"/>
  <c r="AZ322" i="9"/>
  <c r="AA323" i="9"/>
  <c r="AB323" i="9"/>
  <c r="AC323" i="9"/>
  <c r="AD323" i="9"/>
  <c r="AE323" i="9"/>
  <c r="AF323" i="9"/>
  <c r="AG323" i="9"/>
  <c r="AH323" i="9"/>
  <c r="AI323" i="9"/>
  <c r="AJ323" i="9"/>
  <c r="AK323" i="9"/>
  <c r="AL323" i="9"/>
  <c r="AM323" i="9"/>
  <c r="AN323" i="9"/>
  <c r="AO323" i="9"/>
  <c r="AP323" i="9"/>
  <c r="AQ323" i="9"/>
  <c r="AR323" i="9"/>
  <c r="AS323" i="9"/>
  <c r="AT323" i="9"/>
  <c r="AU323" i="9"/>
  <c r="AV323" i="9"/>
  <c r="AW323" i="9"/>
  <c r="AX323" i="9"/>
  <c r="AY323" i="9"/>
  <c r="AZ323" i="9"/>
  <c r="AA324" i="9"/>
  <c r="AB324" i="9"/>
  <c r="AC324" i="9"/>
  <c r="AD324" i="9"/>
  <c r="AE324" i="9"/>
  <c r="AF324" i="9"/>
  <c r="AG324" i="9"/>
  <c r="AH324" i="9"/>
  <c r="AI324" i="9"/>
  <c r="AJ324" i="9"/>
  <c r="AK324" i="9"/>
  <c r="AL324" i="9"/>
  <c r="AM324" i="9"/>
  <c r="AN324" i="9"/>
  <c r="AO324" i="9"/>
  <c r="AP324" i="9"/>
  <c r="AQ324" i="9"/>
  <c r="AR324" i="9"/>
  <c r="AS324" i="9"/>
  <c r="AT324" i="9"/>
  <c r="AU324" i="9"/>
  <c r="AV324" i="9"/>
  <c r="AW324" i="9"/>
  <c r="AX324" i="9"/>
  <c r="AY324" i="9"/>
  <c r="AZ324" i="9"/>
  <c r="AA325" i="9"/>
  <c r="AB325" i="9"/>
  <c r="AC325" i="9"/>
  <c r="AD325" i="9"/>
  <c r="AE325" i="9"/>
  <c r="AF325" i="9"/>
  <c r="AG325" i="9"/>
  <c r="AH325" i="9"/>
  <c r="AI325" i="9"/>
  <c r="AJ325" i="9"/>
  <c r="AK325" i="9"/>
  <c r="AL325" i="9"/>
  <c r="AM325" i="9"/>
  <c r="AN325" i="9"/>
  <c r="AO325" i="9"/>
  <c r="AP325" i="9"/>
  <c r="AQ325" i="9"/>
  <c r="AR325" i="9"/>
  <c r="AS325" i="9"/>
  <c r="AT325" i="9"/>
  <c r="AU325" i="9"/>
  <c r="AV325" i="9"/>
  <c r="AW325" i="9"/>
  <c r="AX325" i="9"/>
  <c r="AY325" i="9"/>
  <c r="AZ325" i="9"/>
  <c r="AA326" i="9"/>
  <c r="AB326" i="9"/>
  <c r="AC326" i="9"/>
  <c r="AD326" i="9"/>
  <c r="AE326" i="9"/>
  <c r="AF326" i="9"/>
  <c r="AG326" i="9"/>
  <c r="AH326" i="9"/>
  <c r="AI326" i="9"/>
  <c r="AJ326" i="9"/>
  <c r="AK326" i="9"/>
  <c r="AL326" i="9"/>
  <c r="AM326" i="9"/>
  <c r="AN326" i="9"/>
  <c r="AO326" i="9"/>
  <c r="AP326" i="9"/>
  <c r="AQ326" i="9"/>
  <c r="AR326" i="9"/>
  <c r="AS326" i="9"/>
  <c r="AT326" i="9"/>
  <c r="AU326" i="9"/>
  <c r="AV326" i="9"/>
  <c r="AW326" i="9"/>
  <c r="AX326" i="9"/>
  <c r="AY326" i="9"/>
  <c r="AZ326" i="9"/>
  <c r="AA327" i="9"/>
  <c r="AB327" i="9"/>
  <c r="AC327" i="9"/>
  <c r="AD327" i="9"/>
  <c r="AE327" i="9"/>
  <c r="AF327" i="9"/>
  <c r="AG327" i="9"/>
  <c r="AH327" i="9"/>
  <c r="AI327" i="9"/>
  <c r="AJ327" i="9"/>
  <c r="AK327" i="9"/>
  <c r="AL327" i="9"/>
  <c r="AM327" i="9"/>
  <c r="AN327" i="9"/>
  <c r="AO327" i="9"/>
  <c r="AP327" i="9"/>
  <c r="AQ327" i="9"/>
  <c r="AR327" i="9"/>
  <c r="AS327" i="9"/>
  <c r="AT327" i="9"/>
  <c r="AU327" i="9"/>
  <c r="AV327" i="9"/>
  <c r="AW327" i="9"/>
  <c r="AX327" i="9"/>
  <c r="AY327" i="9"/>
  <c r="AZ327" i="9"/>
  <c r="AA328" i="9"/>
  <c r="AB328" i="9"/>
  <c r="AC328" i="9"/>
  <c r="AD328" i="9"/>
  <c r="AE328" i="9"/>
  <c r="AF328" i="9"/>
  <c r="AG328" i="9"/>
  <c r="AH328" i="9"/>
  <c r="AI328" i="9"/>
  <c r="AJ328" i="9"/>
  <c r="AK328" i="9"/>
  <c r="AL328" i="9"/>
  <c r="AM328" i="9"/>
  <c r="AN328" i="9"/>
  <c r="AO328" i="9"/>
  <c r="AP328" i="9"/>
  <c r="AQ328" i="9"/>
  <c r="AR328" i="9"/>
  <c r="AS328" i="9"/>
  <c r="AT328" i="9"/>
  <c r="AU328" i="9"/>
  <c r="AV328" i="9"/>
  <c r="AW328" i="9"/>
  <c r="AX328" i="9"/>
  <c r="AY328" i="9"/>
  <c r="AZ328" i="9"/>
  <c r="AA329" i="9"/>
  <c r="AB329" i="9"/>
  <c r="AC329" i="9"/>
  <c r="AD329" i="9"/>
  <c r="AE329" i="9"/>
  <c r="AF329" i="9"/>
  <c r="AG329" i="9"/>
  <c r="AH329" i="9"/>
  <c r="AI329" i="9"/>
  <c r="AJ329" i="9"/>
  <c r="AK329" i="9"/>
  <c r="AL329" i="9"/>
  <c r="AM329" i="9"/>
  <c r="AN329" i="9"/>
  <c r="AO329" i="9"/>
  <c r="AP329" i="9"/>
  <c r="AQ329" i="9"/>
  <c r="AR329" i="9"/>
  <c r="AS329" i="9"/>
  <c r="AT329" i="9"/>
  <c r="AU329" i="9"/>
  <c r="AV329" i="9"/>
  <c r="AW329" i="9"/>
  <c r="AX329" i="9"/>
  <c r="AY329" i="9"/>
  <c r="AZ329" i="9"/>
  <c r="AA330" i="9"/>
  <c r="AB330" i="9"/>
  <c r="AC330" i="9"/>
  <c r="AD330" i="9"/>
  <c r="AE330" i="9"/>
  <c r="AF330" i="9"/>
  <c r="AG330" i="9"/>
  <c r="AH330" i="9"/>
  <c r="AI330" i="9"/>
  <c r="AJ330" i="9"/>
  <c r="AK330" i="9"/>
  <c r="AL330" i="9"/>
  <c r="AM330" i="9"/>
  <c r="AN330" i="9"/>
  <c r="AO330" i="9"/>
  <c r="AP330" i="9"/>
  <c r="AQ330" i="9"/>
  <c r="AR330" i="9"/>
  <c r="AS330" i="9"/>
  <c r="AT330" i="9"/>
  <c r="AU330" i="9"/>
  <c r="AV330" i="9"/>
  <c r="AW330" i="9"/>
  <c r="AX330" i="9"/>
  <c r="AY330" i="9"/>
  <c r="AZ330" i="9"/>
  <c r="AA331" i="9"/>
  <c r="AB331" i="9"/>
  <c r="AC331" i="9"/>
  <c r="AD331" i="9"/>
  <c r="AE331" i="9"/>
  <c r="AF331" i="9"/>
  <c r="AG331" i="9"/>
  <c r="AH331" i="9"/>
  <c r="AI331" i="9"/>
  <c r="AJ331" i="9"/>
  <c r="AK331" i="9"/>
  <c r="AL331" i="9"/>
  <c r="AM331" i="9"/>
  <c r="AN331" i="9"/>
  <c r="AO331" i="9"/>
  <c r="AP331" i="9"/>
  <c r="AQ331" i="9"/>
  <c r="AR331" i="9"/>
  <c r="AS331" i="9"/>
  <c r="AT331" i="9"/>
  <c r="AU331" i="9"/>
  <c r="AV331" i="9"/>
  <c r="AW331" i="9"/>
  <c r="AX331" i="9"/>
  <c r="AY331" i="9"/>
  <c r="AZ331" i="9"/>
  <c r="AA332" i="9"/>
  <c r="AB332" i="9"/>
  <c r="AC332" i="9"/>
  <c r="AD332" i="9"/>
  <c r="AE332" i="9"/>
  <c r="AF332" i="9"/>
  <c r="AG332" i="9"/>
  <c r="AH332" i="9"/>
  <c r="AI332" i="9"/>
  <c r="AJ332" i="9"/>
  <c r="AK332" i="9"/>
  <c r="AL332" i="9"/>
  <c r="AM332" i="9"/>
  <c r="AN332" i="9"/>
  <c r="AO332" i="9"/>
  <c r="AP332" i="9"/>
  <c r="AQ332" i="9"/>
  <c r="AR332" i="9"/>
  <c r="AS332" i="9"/>
  <c r="AT332" i="9"/>
  <c r="AU332" i="9"/>
  <c r="AV332" i="9"/>
  <c r="AW332" i="9"/>
  <c r="AX332" i="9"/>
  <c r="AY332" i="9"/>
  <c r="AZ332" i="9"/>
  <c r="AA333" i="9"/>
  <c r="AB333" i="9"/>
  <c r="AC333" i="9"/>
  <c r="AD333" i="9"/>
  <c r="AE333" i="9"/>
  <c r="AF333" i="9"/>
  <c r="AG333" i="9"/>
  <c r="AH333" i="9"/>
  <c r="AI333" i="9"/>
  <c r="AJ333" i="9"/>
  <c r="AK333" i="9"/>
  <c r="AL333" i="9"/>
  <c r="AM333" i="9"/>
  <c r="AN333" i="9"/>
  <c r="AO333" i="9"/>
  <c r="AP333" i="9"/>
  <c r="AQ333" i="9"/>
  <c r="AR333" i="9"/>
  <c r="AS333" i="9"/>
  <c r="AT333" i="9"/>
  <c r="AU333" i="9"/>
  <c r="AV333" i="9"/>
  <c r="AW333" i="9"/>
  <c r="AX333" i="9"/>
  <c r="AY333" i="9"/>
  <c r="AZ333" i="9"/>
  <c r="AA334" i="9"/>
  <c r="AB334" i="9"/>
  <c r="AC334" i="9"/>
  <c r="AD334" i="9"/>
  <c r="AE334" i="9"/>
  <c r="AF334" i="9"/>
  <c r="AG334" i="9"/>
  <c r="AH334" i="9"/>
  <c r="AI334" i="9"/>
  <c r="AJ334" i="9"/>
  <c r="AK334" i="9"/>
  <c r="AL334" i="9"/>
  <c r="AM334" i="9"/>
  <c r="AN334" i="9"/>
  <c r="AO334" i="9"/>
  <c r="AP334" i="9"/>
  <c r="AQ334" i="9"/>
  <c r="AR334" i="9"/>
  <c r="AS334" i="9"/>
  <c r="AT334" i="9"/>
  <c r="AU334" i="9"/>
  <c r="AV334" i="9"/>
  <c r="AW334" i="9"/>
  <c r="AX334" i="9"/>
  <c r="AY334" i="9"/>
  <c r="AZ334" i="9"/>
  <c r="AA335" i="9"/>
  <c r="AB335" i="9"/>
  <c r="AC335" i="9"/>
  <c r="AD335" i="9"/>
  <c r="AE335" i="9"/>
  <c r="AF335" i="9"/>
  <c r="AG335" i="9"/>
  <c r="AH335" i="9"/>
  <c r="AI335" i="9"/>
  <c r="AJ335" i="9"/>
  <c r="AK335" i="9"/>
  <c r="AL335" i="9"/>
  <c r="AM335" i="9"/>
  <c r="AN335" i="9"/>
  <c r="AO335" i="9"/>
  <c r="AP335" i="9"/>
  <c r="AQ335" i="9"/>
  <c r="AR335" i="9"/>
  <c r="AS335" i="9"/>
  <c r="AT335" i="9"/>
  <c r="AU335" i="9"/>
  <c r="AV335" i="9"/>
  <c r="AW335" i="9"/>
  <c r="AX335" i="9"/>
  <c r="AY335" i="9"/>
  <c r="AZ335" i="9"/>
  <c r="AA336" i="9"/>
  <c r="AB336" i="9"/>
  <c r="AC336" i="9"/>
  <c r="AD336" i="9"/>
  <c r="AE336" i="9"/>
  <c r="AF336" i="9"/>
  <c r="AG336" i="9"/>
  <c r="AH336" i="9"/>
  <c r="AI336" i="9"/>
  <c r="AJ336" i="9"/>
  <c r="AK336" i="9"/>
  <c r="AL336" i="9"/>
  <c r="AM336" i="9"/>
  <c r="AN336" i="9"/>
  <c r="AO336" i="9"/>
  <c r="AP336" i="9"/>
  <c r="AQ336" i="9"/>
  <c r="AR336" i="9"/>
  <c r="AS336" i="9"/>
  <c r="AT336" i="9"/>
  <c r="AU336" i="9"/>
  <c r="AV336" i="9"/>
  <c r="AW336" i="9"/>
  <c r="AX336" i="9"/>
  <c r="AY336" i="9"/>
  <c r="AZ336" i="9"/>
  <c r="AA337" i="9"/>
  <c r="AB337" i="9"/>
  <c r="AC337" i="9"/>
  <c r="AD337" i="9"/>
  <c r="AE337" i="9"/>
  <c r="AF337" i="9"/>
  <c r="AG337" i="9"/>
  <c r="AH337" i="9"/>
  <c r="AI337" i="9"/>
  <c r="AJ337" i="9"/>
  <c r="AK337" i="9"/>
  <c r="AL337" i="9"/>
  <c r="AM337" i="9"/>
  <c r="AN337" i="9"/>
  <c r="AO337" i="9"/>
  <c r="AP337" i="9"/>
  <c r="AQ337" i="9"/>
  <c r="AR337" i="9"/>
  <c r="AS337" i="9"/>
  <c r="AT337" i="9"/>
  <c r="AU337" i="9"/>
  <c r="AV337" i="9"/>
  <c r="AW337" i="9"/>
  <c r="AX337" i="9"/>
  <c r="AY337" i="9"/>
  <c r="AZ337" i="9"/>
  <c r="AA338" i="9"/>
  <c r="AB338" i="9"/>
  <c r="AC338" i="9"/>
  <c r="AD338" i="9"/>
  <c r="AE338" i="9"/>
  <c r="AF338" i="9"/>
  <c r="AG338" i="9"/>
  <c r="AH338" i="9"/>
  <c r="AI338" i="9"/>
  <c r="AJ338" i="9"/>
  <c r="AK338" i="9"/>
  <c r="AL338" i="9"/>
  <c r="AM338" i="9"/>
  <c r="AN338" i="9"/>
  <c r="AO338" i="9"/>
  <c r="AP338" i="9"/>
  <c r="AQ338" i="9"/>
  <c r="AR338" i="9"/>
  <c r="AS338" i="9"/>
  <c r="AT338" i="9"/>
  <c r="AU338" i="9"/>
  <c r="AV338" i="9"/>
  <c r="AW338" i="9"/>
  <c r="AX338" i="9"/>
  <c r="AY338" i="9"/>
  <c r="AZ338" i="9"/>
  <c r="AA339" i="9"/>
  <c r="AB339" i="9"/>
  <c r="AC339" i="9"/>
  <c r="AD339" i="9"/>
  <c r="AE339" i="9"/>
  <c r="AF339" i="9"/>
  <c r="AG339" i="9"/>
  <c r="AH339" i="9"/>
  <c r="AI339" i="9"/>
  <c r="AJ339" i="9"/>
  <c r="AK339" i="9"/>
  <c r="AL339" i="9"/>
  <c r="AM339" i="9"/>
  <c r="AN339" i="9"/>
  <c r="AO339" i="9"/>
  <c r="AP339" i="9"/>
  <c r="AQ339" i="9"/>
  <c r="AR339" i="9"/>
  <c r="AS339" i="9"/>
  <c r="AT339" i="9"/>
  <c r="AU339" i="9"/>
  <c r="AV339" i="9"/>
  <c r="AW339" i="9"/>
  <c r="AX339" i="9"/>
  <c r="AY339" i="9"/>
  <c r="AZ339" i="9"/>
  <c r="AA340" i="9"/>
  <c r="AB340" i="9"/>
  <c r="AC340" i="9"/>
  <c r="AD340" i="9"/>
  <c r="AE340" i="9"/>
  <c r="AF340" i="9"/>
  <c r="AG340" i="9"/>
  <c r="AH340" i="9"/>
  <c r="AI340" i="9"/>
  <c r="AJ340" i="9"/>
  <c r="AK340" i="9"/>
  <c r="AL340" i="9"/>
  <c r="AM340" i="9"/>
  <c r="AN340" i="9"/>
  <c r="AO340" i="9"/>
  <c r="AP340" i="9"/>
  <c r="AQ340" i="9"/>
  <c r="AR340" i="9"/>
  <c r="AS340" i="9"/>
  <c r="AT340" i="9"/>
  <c r="AU340" i="9"/>
  <c r="AV340" i="9"/>
  <c r="AW340" i="9"/>
  <c r="AX340" i="9"/>
  <c r="AY340" i="9"/>
  <c r="AZ340" i="9"/>
  <c r="AA341" i="9"/>
  <c r="AB341" i="9"/>
  <c r="AC341" i="9"/>
  <c r="AD341" i="9"/>
  <c r="AE341" i="9"/>
  <c r="AF341" i="9"/>
  <c r="AG341" i="9"/>
  <c r="AH341" i="9"/>
  <c r="AI341" i="9"/>
  <c r="AJ341" i="9"/>
  <c r="AK341" i="9"/>
  <c r="AL341" i="9"/>
  <c r="AM341" i="9"/>
  <c r="AN341" i="9"/>
  <c r="AO341" i="9"/>
  <c r="AP341" i="9"/>
  <c r="AQ341" i="9"/>
  <c r="AR341" i="9"/>
  <c r="AS341" i="9"/>
  <c r="AT341" i="9"/>
  <c r="AU341" i="9"/>
  <c r="AV341" i="9"/>
  <c r="AW341" i="9"/>
  <c r="AX341" i="9"/>
  <c r="AY341" i="9"/>
  <c r="AZ341" i="9"/>
  <c r="AA342" i="9"/>
  <c r="AB342" i="9"/>
  <c r="AC342" i="9"/>
  <c r="AD342" i="9"/>
  <c r="AE342" i="9"/>
  <c r="AF342" i="9"/>
  <c r="AG342" i="9"/>
  <c r="AH342" i="9"/>
  <c r="AI342" i="9"/>
  <c r="AJ342" i="9"/>
  <c r="AK342" i="9"/>
  <c r="AL342" i="9"/>
  <c r="AM342" i="9"/>
  <c r="AN342" i="9"/>
  <c r="AO342" i="9"/>
  <c r="AP342" i="9"/>
  <c r="AQ342" i="9"/>
  <c r="AR342" i="9"/>
  <c r="AS342" i="9"/>
  <c r="AT342" i="9"/>
  <c r="AU342" i="9"/>
  <c r="AV342" i="9"/>
  <c r="AW342" i="9"/>
  <c r="AX342" i="9"/>
  <c r="AY342" i="9"/>
  <c r="AZ342" i="9"/>
  <c r="AA343" i="9"/>
  <c r="AB343" i="9"/>
  <c r="AC343" i="9"/>
  <c r="AD343" i="9"/>
  <c r="AE343" i="9"/>
  <c r="AF343" i="9"/>
  <c r="AG343" i="9"/>
  <c r="AH343" i="9"/>
  <c r="AI343" i="9"/>
  <c r="AJ343" i="9"/>
  <c r="AK343" i="9"/>
  <c r="AL343" i="9"/>
  <c r="AM343" i="9"/>
  <c r="AN343" i="9"/>
  <c r="AO343" i="9"/>
  <c r="AP343" i="9"/>
  <c r="AQ343" i="9"/>
  <c r="AR343" i="9"/>
  <c r="AS343" i="9"/>
  <c r="AT343" i="9"/>
  <c r="AU343" i="9"/>
  <c r="AV343" i="9"/>
  <c r="AW343" i="9"/>
  <c r="AX343" i="9"/>
  <c r="AY343" i="9"/>
  <c r="AZ343" i="9"/>
  <c r="AA344" i="9"/>
  <c r="AB344" i="9"/>
  <c r="AC344" i="9"/>
  <c r="AD344" i="9"/>
  <c r="AE344" i="9"/>
  <c r="AF344" i="9"/>
  <c r="AG344" i="9"/>
  <c r="AH344" i="9"/>
  <c r="AI344" i="9"/>
  <c r="AJ344" i="9"/>
  <c r="AK344" i="9"/>
  <c r="AL344" i="9"/>
  <c r="AM344" i="9"/>
  <c r="AN344" i="9"/>
  <c r="AO344" i="9"/>
  <c r="AP344" i="9"/>
  <c r="AQ344" i="9"/>
  <c r="AR344" i="9"/>
  <c r="AS344" i="9"/>
  <c r="AT344" i="9"/>
  <c r="AU344" i="9"/>
  <c r="AV344" i="9"/>
  <c r="AW344" i="9"/>
  <c r="AX344" i="9"/>
  <c r="AY344" i="9"/>
  <c r="AZ344" i="9"/>
  <c r="AA345" i="9"/>
  <c r="AB345" i="9"/>
  <c r="AC345" i="9"/>
  <c r="AD345" i="9"/>
  <c r="AE345" i="9"/>
  <c r="AF345" i="9"/>
  <c r="AG345" i="9"/>
  <c r="AH345" i="9"/>
  <c r="AI345" i="9"/>
  <c r="AJ345" i="9"/>
  <c r="AK345" i="9"/>
  <c r="AL345" i="9"/>
  <c r="AM345" i="9"/>
  <c r="AN345" i="9"/>
  <c r="AO345" i="9"/>
  <c r="AP345" i="9"/>
  <c r="AQ345" i="9"/>
  <c r="AR345" i="9"/>
  <c r="AS345" i="9"/>
  <c r="AT345" i="9"/>
  <c r="AU345" i="9"/>
  <c r="AV345" i="9"/>
  <c r="AW345" i="9"/>
  <c r="AX345" i="9"/>
  <c r="AY345" i="9"/>
  <c r="AZ345" i="9"/>
  <c r="AA346" i="9"/>
  <c r="AB346" i="9"/>
  <c r="AC346" i="9"/>
  <c r="AD346" i="9"/>
  <c r="AE346" i="9"/>
  <c r="AF346" i="9"/>
  <c r="AG346" i="9"/>
  <c r="AH346" i="9"/>
  <c r="AI346" i="9"/>
  <c r="AJ346" i="9"/>
  <c r="AK346" i="9"/>
  <c r="AL346" i="9"/>
  <c r="AM346" i="9"/>
  <c r="AN346" i="9"/>
  <c r="AO346" i="9"/>
  <c r="AP346" i="9"/>
  <c r="AQ346" i="9"/>
  <c r="AR346" i="9"/>
  <c r="AS346" i="9"/>
  <c r="AT346" i="9"/>
  <c r="AU346" i="9"/>
  <c r="AV346" i="9"/>
  <c r="AW346" i="9"/>
  <c r="AX346" i="9"/>
  <c r="AY346" i="9"/>
  <c r="AZ346" i="9"/>
  <c r="AA347" i="9"/>
  <c r="AB347" i="9"/>
  <c r="AC347" i="9"/>
  <c r="AD347" i="9"/>
  <c r="AE347" i="9"/>
  <c r="AF347" i="9"/>
  <c r="AG347" i="9"/>
  <c r="AH347" i="9"/>
  <c r="AI347" i="9"/>
  <c r="AJ347" i="9"/>
  <c r="AK347" i="9"/>
  <c r="AL347" i="9"/>
  <c r="AM347" i="9"/>
  <c r="AN347" i="9"/>
  <c r="AO347" i="9"/>
  <c r="AP347" i="9"/>
  <c r="AQ347" i="9"/>
  <c r="AR347" i="9"/>
  <c r="AS347" i="9"/>
  <c r="AT347" i="9"/>
  <c r="AU347" i="9"/>
  <c r="AV347" i="9"/>
  <c r="AW347" i="9"/>
  <c r="AX347" i="9"/>
  <c r="AY347" i="9"/>
  <c r="AZ347" i="9"/>
  <c r="AA348" i="9"/>
  <c r="AB348" i="9"/>
  <c r="AC348" i="9"/>
  <c r="AD348" i="9"/>
  <c r="AE348" i="9"/>
  <c r="AF348" i="9"/>
  <c r="AG348" i="9"/>
  <c r="AH348" i="9"/>
  <c r="AI348" i="9"/>
  <c r="AJ348" i="9"/>
  <c r="AK348" i="9"/>
  <c r="AL348" i="9"/>
  <c r="AM348" i="9"/>
  <c r="AN348" i="9"/>
  <c r="AO348" i="9"/>
  <c r="AP348" i="9"/>
  <c r="AQ348" i="9"/>
  <c r="AR348" i="9"/>
  <c r="AS348" i="9"/>
  <c r="AT348" i="9"/>
  <c r="AU348" i="9"/>
  <c r="AV348" i="9"/>
  <c r="AW348" i="9"/>
  <c r="AX348" i="9"/>
  <c r="AY348" i="9"/>
  <c r="AZ348" i="9"/>
  <c r="AA349" i="9"/>
  <c r="AB349" i="9"/>
  <c r="AC349" i="9"/>
  <c r="AD349" i="9"/>
  <c r="AE349" i="9"/>
  <c r="AF349" i="9"/>
  <c r="AG349" i="9"/>
  <c r="AH349" i="9"/>
  <c r="AI349" i="9"/>
  <c r="AJ349" i="9"/>
  <c r="AK349" i="9"/>
  <c r="AL349" i="9"/>
  <c r="AM349" i="9"/>
  <c r="AN349" i="9"/>
  <c r="AO349" i="9"/>
  <c r="AP349" i="9"/>
  <c r="AQ349" i="9"/>
  <c r="AR349" i="9"/>
  <c r="AS349" i="9"/>
  <c r="AT349" i="9"/>
  <c r="AU349" i="9"/>
  <c r="AV349" i="9"/>
  <c r="AW349" i="9"/>
  <c r="AX349" i="9"/>
  <c r="AY349" i="9"/>
  <c r="AZ349" i="9"/>
  <c r="AA350" i="9"/>
  <c r="AB350" i="9"/>
  <c r="AC350" i="9"/>
  <c r="AD350" i="9"/>
  <c r="AE350" i="9"/>
  <c r="AF350" i="9"/>
  <c r="AG350" i="9"/>
  <c r="AH350" i="9"/>
  <c r="AI350" i="9"/>
  <c r="AJ350" i="9"/>
  <c r="AK350" i="9"/>
  <c r="AL350" i="9"/>
  <c r="AM350" i="9"/>
  <c r="AN350" i="9"/>
  <c r="AO350" i="9"/>
  <c r="AP350" i="9"/>
  <c r="AQ350" i="9"/>
  <c r="AR350" i="9"/>
  <c r="AS350" i="9"/>
  <c r="AT350" i="9"/>
  <c r="AU350" i="9"/>
  <c r="AV350" i="9"/>
  <c r="AW350" i="9"/>
  <c r="AX350" i="9"/>
  <c r="AY350" i="9"/>
  <c r="AZ350" i="9"/>
  <c r="AA351" i="9"/>
  <c r="AB351" i="9"/>
  <c r="AC351" i="9"/>
  <c r="AD351" i="9"/>
  <c r="AE351" i="9"/>
  <c r="AF351" i="9"/>
  <c r="AG351" i="9"/>
  <c r="AH351" i="9"/>
  <c r="AI351" i="9"/>
  <c r="AJ351" i="9"/>
  <c r="AK351" i="9"/>
  <c r="AL351" i="9"/>
  <c r="AM351" i="9"/>
  <c r="AN351" i="9"/>
  <c r="AO351" i="9"/>
  <c r="AP351" i="9"/>
  <c r="AQ351" i="9"/>
  <c r="AR351" i="9"/>
  <c r="AS351" i="9"/>
  <c r="AT351" i="9"/>
  <c r="AU351" i="9"/>
  <c r="AV351" i="9"/>
  <c r="AW351" i="9"/>
  <c r="AX351" i="9"/>
  <c r="AY351" i="9"/>
  <c r="AZ351" i="9"/>
  <c r="AA352" i="9"/>
  <c r="AB352" i="9"/>
  <c r="AC352" i="9"/>
  <c r="AD352" i="9"/>
  <c r="AE352" i="9"/>
  <c r="AF352" i="9"/>
  <c r="AG352" i="9"/>
  <c r="AH352" i="9"/>
  <c r="AI352" i="9"/>
  <c r="AJ352" i="9"/>
  <c r="AK352" i="9"/>
  <c r="AL352" i="9"/>
  <c r="AM352" i="9"/>
  <c r="AN352" i="9"/>
  <c r="AO352" i="9"/>
  <c r="AP352" i="9"/>
  <c r="AQ352" i="9"/>
  <c r="AR352" i="9"/>
  <c r="AS352" i="9"/>
  <c r="AT352" i="9"/>
  <c r="AU352" i="9"/>
  <c r="AV352" i="9"/>
  <c r="AW352" i="9"/>
  <c r="AX352" i="9"/>
  <c r="AY352" i="9"/>
  <c r="AZ352" i="9"/>
  <c r="AA353" i="9"/>
  <c r="AB353" i="9"/>
  <c r="AC353" i="9"/>
  <c r="AD353" i="9"/>
  <c r="AE353" i="9"/>
  <c r="AF353" i="9"/>
  <c r="AG353" i="9"/>
  <c r="AH353" i="9"/>
  <c r="AI353" i="9"/>
  <c r="AJ353" i="9"/>
  <c r="AK353" i="9"/>
  <c r="AL353" i="9"/>
  <c r="AM353" i="9"/>
  <c r="AN353" i="9"/>
  <c r="AO353" i="9"/>
  <c r="AP353" i="9"/>
  <c r="AQ353" i="9"/>
  <c r="AR353" i="9"/>
  <c r="AS353" i="9"/>
  <c r="AT353" i="9"/>
  <c r="AU353" i="9"/>
  <c r="AV353" i="9"/>
  <c r="AW353" i="9"/>
  <c r="AX353" i="9"/>
  <c r="AY353" i="9"/>
  <c r="AZ353" i="9"/>
  <c r="AA354" i="9"/>
  <c r="AB354" i="9"/>
  <c r="AC354" i="9"/>
  <c r="AD354" i="9"/>
  <c r="AE354" i="9"/>
  <c r="AF354" i="9"/>
  <c r="AG354" i="9"/>
  <c r="AH354" i="9"/>
  <c r="AI354" i="9"/>
  <c r="AJ354" i="9"/>
  <c r="AK354" i="9"/>
  <c r="AL354" i="9"/>
  <c r="AM354" i="9"/>
  <c r="AN354" i="9"/>
  <c r="AO354" i="9"/>
  <c r="AP354" i="9"/>
  <c r="AQ354" i="9"/>
  <c r="AR354" i="9"/>
  <c r="AS354" i="9"/>
  <c r="AT354" i="9"/>
  <c r="AU354" i="9"/>
  <c r="AV354" i="9"/>
  <c r="AW354" i="9"/>
  <c r="AX354" i="9"/>
  <c r="AY354" i="9"/>
  <c r="AZ354" i="9"/>
  <c r="AA355" i="9"/>
  <c r="AB355" i="9"/>
  <c r="AC355" i="9"/>
  <c r="AD355" i="9"/>
  <c r="AE355" i="9"/>
  <c r="AF355" i="9"/>
  <c r="AG355" i="9"/>
  <c r="AH355" i="9"/>
  <c r="AI355" i="9"/>
  <c r="AJ355" i="9"/>
  <c r="AK355" i="9"/>
  <c r="AL355" i="9"/>
  <c r="AM355" i="9"/>
  <c r="AN355" i="9"/>
  <c r="AO355" i="9"/>
  <c r="AP355" i="9"/>
  <c r="AQ355" i="9"/>
  <c r="AR355" i="9"/>
  <c r="AS355" i="9"/>
  <c r="AT355" i="9"/>
  <c r="AU355" i="9"/>
  <c r="AV355" i="9"/>
  <c r="AW355" i="9"/>
  <c r="AX355" i="9"/>
  <c r="AY355" i="9"/>
  <c r="AZ355" i="9"/>
  <c r="AA356" i="9"/>
  <c r="AB356" i="9"/>
  <c r="AC356" i="9"/>
  <c r="AD356" i="9"/>
  <c r="AE356" i="9"/>
  <c r="AF356" i="9"/>
  <c r="AG356" i="9"/>
  <c r="AH356" i="9"/>
  <c r="AI356" i="9"/>
  <c r="AJ356" i="9"/>
  <c r="AK356" i="9"/>
  <c r="AL356" i="9"/>
  <c r="AM356" i="9"/>
  <c r="AN356" i="9"/>
  <c r="AO356" i="9"/>
  <c r="AP356" i="9"/>
  <c r="AQ356" i="9"/>
  <c r="AR356" i="9"/>
  <c r="AS356" i="9"/>
  <c r="AT356" i="9"/>
  <c r="AU356" i="9"/>
  <c r="AV356" i="9"/>
  <c r="AW356" i="9"/>
  <c r="AX356" i="9"/>
  <c r="AY356" i="9"/>
  <c r="AZ356" i="9"/>
  <c r="AA357" i="9"/>
  <c r="AB357" i="9"/>
  <c r="AC357" i="9"/>
  <c r="AD357" i="9"/>
  <c r="AE357" i="9"/>
  <c r="AF357" i="9"/>
  <c r="AG357" i="9"/>
  <c r="AH357" i="9"/>
  <c r="AI357" i="9"/>
  <c r="AJ357" i="9"/>
  <c r="AK357" i="9"/>
  <c r="AL357" i="9"/>
  <c r="AM357" i="9"/>
  <c r="AN357" i="9"/>
  <c r="AO357" i="9"/>
  <c r="AP357" i="9"/>
  <c r="AQ357" i="9"/>
  <c r="AR357" i="9"/>
  <c r="AS357" i="9"/>
  <c r="AT357" i="9"/>
  <c r="AU357" i="9"/>
  <c r="AV357" i="9"/>
  <c r="AW357" i="9"/>
  <c r="AX357" i="9"/>
  <c r="AY357" i="9"/>
  <c r="AZ357" i="9"/>
  <c r="AA358" i="9"/>
  <c r="AB358" i="9"/>
  <c r="AC358" i="9"/>
  <c r="AD358" i="9"/>
  <c r="AE358" i="9"/>
  <c r="AF358" i="9"/>
  <c r="AG358" i="9"/>
  <c r="AH358" i="9"/>
  <c r="AI358" i="9"/>
  <c r="AJ358" i="9"/>
  <c r="AK358" i="9"/>
  <c r="AL358" i="9"/>
  <c r="AM358" i="9"/>
  <c r="AN358" i="9"/>
  <c r="AO358" i="9"/>
  <c r="AP358" i="9"/>
  <c r="AQ358" i="9"/>
  <c r="AR358" i="9"/>
  <c r="AS358" i="9"/>
  <c r="AT358" i="9"/>
  <c r="AU358" i="9"/>
  <c r="AV358" i="9"/>
  <c r="AW358" i="9"/>
  <c r="AX358" i="9"/>
  <c r="AY358" i="9"/>
  <c r="AZ358" i="9"/>
  <c r="AA359" i="9"/>
  <c r="AB359" i="9"/>
  <c r="AC359" i="9"/>
  <c r="AD359" i="9"/>
  <c r="AE359" i="9"/>
  <c r="AF359" i="9"/>
  <c r="AG359" i="9"/>
  <c r="AH359" i="9"/>
  <c r="AI359" i="9"/>
  <c r="AJ359" i="9"/>
  <c r="AK359" i="9"/>
  <c r="AL359" i="9"/>
  <c r="AM359" i="9"/>
  <c r="AN359" i="9"/>
  <c r="AO359" i="9"/>
  <c r="AP359" i="9"/>
  <c r="AQ359" i="9"/>
  <c r="AR359" i="9"/>
  <c r="AS359" i="9"/>
  <c r="AT359" i="9"/>
  <c r="AU359" i="9"/>
  <c r="AV359" i="9"/>
  <c r="AW359" i="9"/>
  <c r="AX359" i="9"/>
  <c r="AY359" i="9"/>
  <c r="AZ359" i="9"/>
  <c r="AA360" i="9"/>
  <c r="AB360" i="9"/>
  <c r="AC360" i="9"/>
  <c r="AD360" i="9"/>
  <c r="AE360" i="9"/>
  <c r="AF360" i="9"/>
  <c r="AG360" i="9"/>
  <c r="AH360" i="9"/>
  <c r="AI360" i="9"/>
  <c r="AJ360" i="9"/>
  <c r="AK360" i="9"/>
  <c r="AL360" i="9"/>
  <c r="AM360" i="9"/>
  <c r="AN360" i="9"/>
  <c r="AO360" i="9"/>
  <c r="AP360" i="9"/>
  <c r="AQ360" i="9"/>
  <c r="AR360" i="9"/>
  <c r="AS360" i="9"/>
  <c r="AT360" i="9"/>
  <c r="AU360" i="9"/>
  <c r="AV360" i="9"/>
  <c r="AW360" i="9"/>
  <c r="AX360" i="9"/>
  <c r="AY360" i="9"/>
  <c r="AZ360" i="9"/>
  <c r="AA361" i="9"/>
  <c r="AB361" i="9"/>
  <c r="AC361" i="9"/>
  <c r="AD361" i="9"/>
  <c r="AE361" i="9"/>
  <c r="AF361" i="9"/>
  <c r="AG361" i="9"/>
  <c r="AH361" i="9"/>
  <c r="AI361" i="9"/>
  <c r="AJ361" i="9"/>
  <c r="AK361" i="9"/>
  <c r="AL361" i="9"/>
  <c r="AM361" i="9"/>
  <c r="AN361" i="9"/>
  <c r="AO361" i="9"/>
  <c r="AP361" i="9"/>
  <c r="AQ361" i="9"/>
  <c r="AR361" i="9"/>
  <c r="AS361" i="9"/>
  <c r="AT361" i="9"/>
  <c r="AU361" i="9"/>
  <c r="AV361" i="9"/>
  <c r="AW361" i="9"/>
  <c r="AX361" i="9"/>
  <c r="AY361" i="9"/>
  <c r="AZ361" i="9"/>
  <c r="AA362" i="9"/>
  <c r="AB362" i="9"/>
  <c r="AC362" i="9"/>
  <c r="AD362" i="9"/>
  <c r="AE362" i="9"/>
  <c r="AF362" i="9"/>
  <c r="AG362" i="9"/>
  <c r="AH362" i="9"/>
  <c r="AI362" i="9"/>
  <c r="AJ362" i="9"/>
  <c r="AK362" i="9"/>
  <c r="AL362" i="9"/>
  <c r="AM362" i="9"/>
  <c r="AN362" i="9"/>
  <c r="AO362" i="9"/>
  <c r="AP362" i="9"/>
  <c r="AQ362" i="9"/>
  <c r="AR362" i="9"/>
  <c r="AS362" i="9"/>
  <c r="AT362" i="9"/>
  <c r="AU362" i="9"/>
  <c r="AV362" i="9"/>
  <c r="AW362" i="9"/>
  <c r="AX362" i="9"/>
  <c r="AY362" i="9"/>
  <c r="AZ362" i="9"/>
  <c r="AA363" i="9"/>
  <c r="AB363" i="9"/>
  <c r="AC363" i="9"/>
  <c r="AD363" i="9"/>
  <c r="AE363" i="9"/>
  <c r="AF363" i="9"/>
  <c r="AG363" i="9"/>
  <c r="AH363" i="9"/>
  <c r="AI363" i="9"/>
  <c r="AJ363" i="9"/>
  <c r="AK363" i="9"/>
  <c r="AL363" i="9"/>
  <c r="AM363" i="9"/>
  <c r="AN363" i="9"/>
  <c r="AO363" i="9"/>
  <c r="AP363" i="9"/>
  <c r="AQ363" i="9"/>
  <c r="AR363" i="9"/>
  <c r="AS363" i="9"/>
  <c r="AT363" i="9"/>
  <c r="AU363" i="9"/>
  <c r="AV363" i="9"/>
  <c r="AW363" i="9"/>
  <c r="AX363" i="9"/>
  <c r="AY363" i="9"/>
  <c r="AZ363" i="9"/>
  <c r="AA364" i="9"/>
  <c r="AB364" i="9"/>
  <c r="AC364" i="9"/>
  <c r="AD364" i="9"/>
  <c r="AE364" i="9"/>
  <c r="AF364" i="9"/>
  <c r="AG364" i="9"/>
  <c r="AH364" i="9"/>
  <c r="AI364" i="9"/>
  <c r="AJ364" i="9"/>
  <c r="AK364" i="9"/>
  <c r="AL364" i="9"/>
  <c r="AM364" i="9"/>
  <c r="AN364" i="9"/>
  <c r="AO364" i="9"/>
  <c r="AP364" i="9"/>
  <c r="AQ364" i="9"/>
  <c r="AR364" i="9"/>
  <c r="AS364" i="9"/>
  <c r="AT364" i="9"/>
  <c r="AU364" i="9"/>
  <c r="AV364" i="9"/>
  <c r="AW364" i="9"/>
  <c r="AX364" i="9"/>
  <c r="AY364" i="9"/>
  <c r="AZ364" i="9"/>
  <c r="AA365" i="9"/>
  <c r="AB365" i="9"/>
  <c r="AC365" i="9"/>
  <c r="AD365" i="9"/>
  <c r="AE365" i="9"/>
  <c r="AF365" i="9"/>
  <c r="AG365" i="9"/>
  <c r="AH365" i="9"/>
  <c r="AI365" i="9"/>
  <c r="AJ365" i="9"/>
  <c r="AK365" i="9"/>
  <c r="AL365" i="9"/>
  <c r="AM365" i="9"/>
  <c r="AN365" i="9"/>
  <c r="AO365" i="9"/>
  <c r="AP365" i="9"/>
  <c r="AQ365" i="9"/>
  <c r="AR365" i="9"/>
  <c r="AS365" i="9"/>
  <c r="AT365" i="9"/>
  <c r="AU365" i="9"/>
  <c r="AV365" i="9"/>
  <c r="AW365" i="9"/>
  <c r="AX365" i="9"/>
  <c r="AY365" i="9"/>
  <c r="AZ365" i="9"/>
  <c r="AA366" i="9"/>
  <c r="AB366" i="9"/>
  <c r="AC366" i="9"/>
  <c r="AD366" i="9"/>
  <c r="AE366" i="9"/>
  <c r="AF366" i="9"/>
  <c r="AG366" i="9"/>
  <c r="AH366" i="9"/>
  <c r="AI366" i="9"/>
  <c r="AJ366" i="9"/>
  <c r="AK366" i="9"/>
  <c r="AL366" i="9"/>
  <c r="AM366" i="9"/>
  <c r="AN366" i="9"/>
  <c r="AO366" i="9"/>
  <c r="AP366" i="9"/>
  <c r="AQ366" i="9"/>
  <c r="AR366" i="9"/>
  <c r="AS366" i="9"/>
  <c r="AT366" i="9"/>
  <c r="AU366" i="9"/>
  <c r="AV366" i="9"/>
  <c r="AW366" i="9"/>
  <c r="AX366" i="9"/>
  <c r="AY366" i="9"/>
  <c r="AZ366" i="9"/>
  <c r="AA367" i="9"/>
  <c r="AB367" i="9"/>
  <c r="AC367" i="9"/>
  <c r="AD367" i="9"/>
  <c r="AE367" i="9"/>
  <c r="AF367" i="9"/>
  <c r="AG367" i="9"/>
  <c r="AH367" i="9"/>
  <c r="AI367" i="9"/>
  <c r="AJ367" i="9"/>
  <c r="AK367" i="9"/>
  <c r="AL367" i="9"/>
  <c r="AM367" i="9"/>
  <c r="AN367" i="9"/>
  <c r="AO367" i="9"/>
  <c r="AP367" i="9"/>
  <c r="AQ367" i="9"/>
  <c r="AR367" i="9"/>
  <c r="AS367" i="9"/>
  <c r="AT367" i="9"/>
  <c r="AU367" i="9"/>
  <c r="AV367" i="9"/>
  <c r="AW367" i="9"/>
  <c r="AX367" i="9"/>
  <c r="AY367" i="9"/>
  <c r="AZ367" i="9"/>
  <c r="AA368" i="9"/>
  <c r="AB368" i="9"/>
  <c r="AC368" i="9"/>
  <c r="AD368" i="9"/>
  <c r="AE368" i="9"/>
  <c r="AF368" i="9"/>
  <c r="AG368" i="9"/>
  <c r="AH368" i="9"/>
  <c r="AI368" i="9"/>
  <c r="AJ368" i="9"/>
  <c r="AK368" i="9"/>
  <c r="AL368" i="9"/>
  <c r="AM368" i="9"/>
  <c r="AN368" i="9"/>
  <c r="AO368" i="9"/>
  <c r="AP368" i="9"/>
  <c r="AQ368" i="9"/>
  <c r="AR368" i="9"/>
  <c r="AS368" i="9"/>
  <c r="AT368" i="9"/>
  <c r="AU368" i="9"/>
  <c r="AV368" i="9"/>
  <c r="AW368" i="9"/>
  <c r="AX368" i="9"/>
  <c r="AY368" i="9"/>
  <c r="AZ368" i="9"/>
  <c r="AA369" i="9"/>
  <c r="AB369" i="9"/>
  <c r="AC369" i="9"/>
  <c r="AD369" i="9"/>
  <c r="AE369" i="9"/>
  <c r="AF369" i="9"/>
  <c r="AG369" i="9"/>
  <c r="AH369" i="9"/>
  <c r="AI369" i="9"/>
  <c r="AJ369" i="9"/>
  <c r="AK369" i="9"/>
  <c r="AL369" i="9"/>
  <c r="AM369" i="9"/>
  <c r="AN369" i="9"/>
  <c r="AO369" i="9"/>
  <c r="AP369" i="9"/>
  <c r="AQ369" i="9"/>
  <c r="AR369" i="9"/>
  <c r="AS369" i="9"/>
  <c r="AT369" i="9"/>
  <c r="AU369" i="9"/>
  <c r="AV369" i="9"/>
  <c r="AW369" i="9"/>
  <c r="AX369" i="9"/>
  <c r="AY369" i="9"/>
  <c r="AZ369" i="9"/>
  <c r="AA370" i="9"/>
  <c r="AB370" i="9"/>
  <c r="AC370" i="9"/>
  <c r="AD370" i="9"/>
  <c r="AE370" i="9"/>
  <c r="AF370" i="9"/>
  <c r="AG370" i="9"/>
  <c r="AH370" i="9"/>
  <c r="AI370" i="9"/>
  <c r="AJ370" i="9"/>
  <c r="AK370" i="9"/>
  <c r="AL370" i="9"/>
  <c r="AM370" i="9"/>
  <c r="AN370" i="9"/>
  <c r="AO370" i="9"/>
  <c r="AP370" i="9"/>
  <c r="AQ370" i="9"/>
  <c r="AR370" i="9"/>
  <c r="AS370" i="9"/>
  <c r="AT370" i="9"/>
  <c r="AU370" i="9"/>
  <c r="AV370" i="9"/>
  <c r="AW370" i="9"/>
  <c r="AX370" i="9"/>
  <c r="AY370" i="9"/>
  <c r="AZ370" i="9"/>
  <c r="AA371" i="9"/>
  <c r="AB371" i="9"/>
  <c r="AC371" i="9"/>
  <c r="AD371" i="9"/>
  <c r="AE371" i="9"/>
  <c r="AF371" i="9"/>
  <c r="AG371" i="9"/>
  <c r="AH371" i="9"/>
  <c r="AI371" i="9"/>
  <c r="AJ371" i="9"/>
  <c r="AK371" i="9"/>
  <c r="AL371" i="9"/>
  <c r="AM371" i="9"/>
  <c r="AN371" i="9"/>
  <c r="AO371" i="9"/>
  <c r="AP371" i="9"/>
  <c r="AQ371" i="9"/>
  <c r="AR371" i="9"/>
  <c r="AS371" i="9"/>
  <c r="AT371" i="9"/>
  <c r="AU371" i="9"/>
  <c r="AV371" i="9"/>
  <c r="AW371" i="9"/>
  <c r="AX371" i="9"/>
  <c r="AY371" i="9"/>
  <c r="AZ371" i="9"/>
  <c r="AA372" i="9"/>
  <c r="AB372" i="9"/>
  <c r="AC372" i="9"/>
  <c r="AD372" i="9"/>
  <c r="AE372" i="9"/>
  <c r="AF372" i="9"/>
  <c r="AG372" i="9"/>
  <c r="AH372" i="9"/>
  <c r="AI372" i="9"/>
  <c r="AJ372" i="9"/>
  <c r="AK372" i="9"/>
  <c r="AL372" i="9"/>
  <c r="AM372" i="9"/>
  <c r="AN372" i="9"/>
  <c r="AO372" i="9"/>
  <c r="AP372" i="9"/>
  <c r="AQ372" i="9"/>
  <c r="AR372" i="9"/>
  <c r="AS372" i="9"/>
  <c r="AT372" i="9"/>
  <c r="AU372" i="9"/>
  <c r="AV372" i="9"/>
  <c r="AW372" i="9"/>
  <c r="AX372" i="9"/>
  <c r="AY372" i="9"/>
  <c r="AZ372" i="9"/>
  <c r="AA373" i="9"/>
  <c r="AB373" i="9"/>
  <c r="AC373" i="9"/>
  <c r="AD373" i="9"/>
  <c r="AE373" i="9"/>
  <c r="AF373" i="9"/>
  <c r="AG373" i="9"/>
  <c r="AH373" i="9"/>
  <c r="AI373" i="9"/>
  <c r="AJ373" i="9"/>
  <c r="AK373" i="9"/>
  <c r="AL373" i="9"/>
  <c r="AM373" i="9"/>
  <c r="AN373" i="9"/>
  <c r="AO373" i="9"/>
  <c r="AP373" i="9"/>
  <c r="AQ373" i="9"/>
  <c r="AR373" i="9"/>
  <c r="AS373" i="9"/>
  <c r="AT373" i="9"/>
  <c r="AU373" i="9"/>
  <c r="AV373" i="9"/>
  <c r="AW373" i="9"/>
  <c r="AX373" i="9"/>
  <c r="AY373" i="9"/>
  <c r="AZ373" i="9"/>
  <c r="AA374" i="9"/>
  <c r="AB374" i="9"/>
  <c r="AC374" i="9"/>
  <c r="AD374" i="9"/>
  <c r="AE374" i="9"/>
  <c r="AF374" i="9"/>
  <c r="AG374" i="9"/>
  <c r="AH374" i="9"/>
  <c r="AI374" i="9"/>
  <c r="AJ374" i="9"/>
  <c r="AK374" i="9"/>
  <c r="AL374" i="9"/>
  <c r="AM374" i="9"/>
  <c r="AN374" i="9"/>
  <c r="AO374" i="9"/>
  <c r="AP374" i="9"/>
  <c r="AQ374" i="9"/>
  <c r="AR374" i="9"/>
  <c r="AS374" i="9"/>
  <c r="AT374" i="9"/>
  <c r="AU374" i="9"/>
  <c r="AV374" i="9"/>
  <c r="AW374" i="9"/>
  <c r="AX374" i="9"/>
  <c r="AY374" i="9"/>
  <c r="AZ374" i="9"/>
  <c r="AA375" i="9"/>
  <c r="AB375" i="9"/>
  <c r="AC375" i="9"/>
  <c r="AD375" i="9"/>
  <c r="AE375" i="9"/>
  <c r="AF375" i="9"/>
  <c r="AG375" i="9"/>
  <c r="AH375" i="9"/>
  <c r="AI375" i="9"/>
  <c r="AJ375" i="9"/>
  <c r="AK375" i="9"/>
  <c r="AL375" i="9"/>
  <c r="AM375" i="9"/>
  <c r="AN375" i="9"/>
  <c r="AO375" i="9"/>
  <c r="AP375" i="9"/>
  <c r="AQ375" i="9"/>
  <c r="AR375" i="9"/>
  <c r="AS375" i="9"/>
  <c r="AT375" i="9"/>
  <c r="AU375" i="9"/>
  <c r="AV375" i="9"/>
  <c r="AW375" i="9"/>
  <c r="AX375" i="9"/>
  <c r="AY375" i="9"/>
  <c r="AZ375" i="9"/>
  <c r="AA376" i="9"/>
  <c r="AB376" i="9"/>
  <c r="AC376" i="9"/>
  <c r="AD376" i="9"/>
  <c r="AE376" i="9"/>
  <c r="AF376" i="9"/>
  <c r="AG376" i="9"/>
  <c r="AH376" i="9"/>
  <c r="AI376" i="9"/>
  <c r="AJ376" i="9"/>
  <c r="AK376" i="9"/>
  <c r="AL376" i="9"/>
  <c r="AM376" i="9"/>
  <c r="AN376" i="9"/>
  <c r="AO376" i="9"/>
  <c r="AP376" i="9"/>
  <c r="AQ376" i="9"/>
  <c r="AR376" i="9"/>
  <c r="AS376" i="9"/>
  <c r="AT376" i="9"/>
  <c r="AU376" i="9"/>
  <c r="AV376" i="9"/>
  <c r="AW376" i="9"/>
  <c r="AX376" i="9"/>
  <c r="AY376" i="9"/>
  <c r="AZ376" i="9"/>
  <c r="AA377" i="9"/>
  <c r="AB377" i="9"/>
  <c r="AC377" i="9"/>
  <c r="AD377" i="9"/>
  <c r="AE377" i="9"/>
  <c r="AF377" i="9"/>
  <c r="AG377" i="9"/>
  <c r="AH377" i="9"/>
  <c r="AI377" i="9"/>
  <c r="AJ377" i="9"/>
  <c r="AK377" i="9"/>
  <c r="AL377" i="9"/>
  <c r="AM377" i="9"/>
  <c r="AN377" i="9"/>
  <c r="AO377" i="9"/>
  <c r="AP377" i="9"/>
  <c r="AQ377" i="9"/>
  <c r="AR377" i="9"/>
  <c r="AS377" i="9"/>
  <c r="AT377" i="9"/>
  <c r="AU377" i="9"/>
  <c r="AV377" i="9"/>
  <c r="AW377" i="9"/>
  <c r="AX377" i="9"/>
  <c r="AY377" i="9"/>
  <c r="AZ377" i="9"/>
  <c r="AA378" i="9"/>
  <c r="AB378" i="9"/>
  <c r="AC378" i="9"/>
  <c r="AD378" i="9"/>
  <c r="AE378" i="9"/>
  <c r="AF378" i="9"/>
  <c r="AG378" i="9"/>
  <c r="AH378" i="9"/>
  <c r="AI378" i="9"/>
  <c r="AJ378" i="9"/>
  <c r="AK378" i="9"/>
  <c r="AL378" i="9"/>
  <c r="AM378" i="9"/>
  <c r="AN378" i="9"/>
  <c r="AO378" i="9"/>
  <c r="AP378" i="9"/>
  <c r="AQ378" i="9"/>
  <c r="AR378" i="9"/>
  <c r="AS378" i="9"/>
  <c r="AT378" i="9"/>
  <c r="AU378" i="9"/>
  <c r="AV378" i="9"/>
  <c r="AW378" i="9"/>
  <c r="AX378" i="9"/>
  <c r="AY378" i="9"/>
  <c r="AZ378" i="9"/>
  <c r="AA379" i="9"/>
  <c r="AB379" i="9"/>
  <c r="AC379" i="9"/>
  <c r="AD379" i="9"/>
  <c r="AE379" i="9"/>
  <c r="AF379" i="9"/>
  <c r="AG379" i="9"/>
  <c r="AH379" i="9"/>
  <c r="AI379" i="9"/>
  <c r="AJ379" i="9"/>
  <c r="AK379" i="9"/>
  <c r="AL379" i="9"/>
  <c r="AM379" i="9"/>
  <c r="AN379" i="9"/>
  <c r="AO379" i="9"/>
  <c r="AP379" i="9"/>
  <c r="AQ379" i="9"/>
  <c r="AR379" i="9"/>
  <c r="AS379" i="9"/>
  <c r="AT379" i="9"/>
  <c r="AU379" i="9"/>
  <c r="AV379" i="9"/>
  <c r="AW379" i="9"/>
  <c r="AX379" i="9"/>
  <c r="AY379" i="9"/>
  <c r="AZ379" i="9"/>
  <c r="AA380" i="9"/>
  <c r="AB380" i="9"/>
  <c r="AC380" i="9"/>
  <c r="AD380" i="9"/>
  <c r="AE380" i="9"/>
  <c r="AF380" i="9"/>
  <c r="AG380" i="9"/>
  <c r="AH380" i="9"/>
  <c r="AI380" i="9"/>
  <c r="AJ380" i="9"/>
  <c r="AK380" i="9"/>
  <c r="AL380" i="9"/>
  <c r="AM380" i="9"/>
  <c r="AN380" i="9"/>
  <c r="AO380" i="9"/>
  <c r="AP380" i="9"/>
  <c r="AQ380" i="9"/>
  <c r="AR380" i="9"/>
  <c r="AS380" i="9"/>
  <c r="AT380" i="9"/>
  <c r="AU380" i="9"/>
  <c r="AV380" i="9"/>
  <c r="AW380" i="9"/>
  <c r="AX380" i="9"/>
  <c r="AY380" i="9"/>
  <c r="AZ380" i="9"/>
  <c r="AA381" i="9"/>
  <c r="AB381" i="9"/>
  <c r="AC381" i="9"/>
  <c r="AD381" i="9"/>
  <c r="AE381" i="9"/>
  <c r="AF381" i="9"/>
  <c r="AG381" i="9"/>
  <c r="AH381" i="9"/>
  <c r="AI381" i="9"/>
  <c r="AJ381" i="9"/>
  <c r="AK381" i="9"/>
  <c r="AL381" i="9"/>
  <c r="AM381" i="9"/>
  <c r="AN381" i="9"/>
  <c r="AO381" i="9"/>
  <c r="AP381" i="9"/>
  <c r="AQ381" i="9"/>
  <c r="AR381" i="9"/>
  <c r="AS381" i="9"/>
  <c r="AT381" i="9"/>
  <c r="AU381" i="9"/>
  <c r="AV381" i="9"/>
  <c r="AW381" i="9"/>
  <c r="AX381" i="9"/>
  <c r="AY381" i="9"/>
  <c r="AZ381" i="9"/>
  <c r="AA382" i="9"/>
  <c r="AB382" i="9"/>
  <c r="AC382" i="9"/>
  <c r="AD382" i="9"/>
  <c r="AE382" i="9"/>
  <c r="AF382" i="9"/>
  <c r="AG382" i="9"/>
  <c r="AH382" i="9"/>
  <c r="AI382" i="9"/>
  <c r="AJ382" i="9"/>
  <c r="AK382" i="9"/>
  <c r="AL382" i="9"/>
  <c r="AM382" i="9"/>
  <c r="AN382" i="9"/>
  <c r="AO382" i="9"/>
  <c r="AP382" i="9"/>
  <c r="AQ382" i="9"/>
  <c r="AR382" i="9"/>
  <c r="AS382" i="9"/>
  <c r="AT382" i="9"/>
  <c r="AU382" i="9"/>
  <c r="AV382" i="9"/>
  <c r="AW382" i="9"/>
  <c r="AX382" i="9"/>
  <c r="AY382" i="9"/>
  <c r="AZ382" i="9"/>
  <c r="AA383" i="9"/>
  <c r="AB383" i="9"/>
  <c r="AC383" i="9"/>
  <c r="AD383" i="9"/>
  <c r="AE383" i="9"/>
  <c r="AF383" i="9"/>
  <c r="AG383" i="9"/>
  <c r="AH383" i="9"/>
  <c r="AI383" i="9"/>
  <c r="AJ383" i="9"/>
  <c r="AK383" i="9"/>
  <c r="AL383" i="9"/>
  <c r="AM383" i="9"/>
  <c r="AN383" i="9"/>
  <c r="AO383" i="9"/>
  <c r="AP383" i="9"/>
  <c r="AQ383" i="9"/>
  <c r="AR383" i="9"/>
  <c r="AS383" i="9"/>
  <c r="AT383" i="9"/>
  <c r="AU383" i="9"/>
  <c r="AV383" i="9"/>
  <c r="AW383" i="9"/>
  <c r="AX383" i="9"/>
  <c r="AY383" i="9"/>
  <c r="AZ383" i="9"/>
  <c r="AA384" i="9"/>
  <c r="AB384" i="9"/>
  <c r="AC384" i="9"/>
  <c r="AD384" i="9"/>
  <c r="AE384" i="9"/>
  <c r="AF384" i="9"/>
  <c r="AG384" i="9"/>
  <c r="AH384" i="9"/>
  <c r="AI384" i="9"/>
  <c r="AJ384" i="9"/>
  <c r="AK384" i="9"/>
  <c r="AL384" i="9"/>
  <c r="AM384" i="9"/>
  <c r="AN384" i="9"/>
  <c r="AO384" i="9"/>
  <c r="AP384" i="9"/>
  <c r="AQ384" i="9"/>
  <c r="AR384" i="9"/>
  <c r="AS384" i="9"/>
  <c r="AT384" i="9"/>
  <c r="AU384" i="9"/>
  <c r="AV384" i="9"/>
  <c r="AW384" i="9"/>
  <c r="AX384" i="9"/>
  <c r="AY384" i="9"/>
  <c r="AZ384" i="9"/>
  <c r="AA385" i="9"/>
  <c r="AB385" i="9"/>
  <c r="AC385" i="9"/>
  <c r="AD385" i="9"/>
  <c r="AE385" i="9"/>
  <c r="AF385" i="9"/>
  <c r="AG385" i="9"/>
  <c r="AH385" i="9"/>
  <c r="AI385" i="9"/>
  <c r="AJ385" i="9"/>
  <c r="AK385" i="9"/>
  <c r="AL385" i="9"/>
  <c r="AM385" i="9"/>
  <c r="AN385" i="9"/>
  <c r="AO385" i="9"/>
  <c r="AP385" i="9"/>
  <c r="AQ385" i="9"/>
  <c r="AR385" i="9"/>
  <c r="AS385" i="9"/>
  <c r="AT385" i="9"/>
  <c r="AU385" i="9"/>
  <c r="AV385" i="9"/>
  <c r="AW385" i="9"/>
  <c r="AX385" i="9"/>
  <c r="AY385" i="9"/>
  <c r="AZ385" i="9"/>
  <c r="AA386" i="9"/>
  <c r="AB386" i="9"/>
  <c r="AC386" i="9"/>
  <c r="AD386" i="9"/>
  <c r="AE386" i="9"/>
  <c r="AF386" i="9"/>
  <c r="AG386" i="9"/>
  <c r="AH386" i="9"/>
  <c r="AI386" i="9"/>
  <c r="AJ386" i="9"/>
  <c r="AK386" i="9"/>
  <c r="AL386" i="9"/>
  <c r="AM386" i="9"/>
  <c r="AN386" i="9"/>
  <c r="AO386" i="9"/>
  <c r="AP386" i="9"/>
  <c r="AQ386" i="9"/>
  <c r="AR386" i="9"/>
  <c r="AS386" i="9"/>
  <c r="AT386" i="9"/>
  <c r="AU386" i="9"/>
  <c r="AV386" i="9"/>
  <c r="AW386" i="9"/>
  <c r="AX386" i="9"/>
  <c r="AY386" i="9"/>
  <c r="AZ386" i="9"/>
  <c r="AA387" i="9"/>
  <c r="AB387" i="9"/>
  <c r="AC387" i="9"/>
  <c r="AD387" i="9"/>
  <c r="AE387" i="9"/>
  <c r="AF387" i="9"/>
  <c r="AG387" i="9"/>
  <c r="AH387" i="9"/>
  <c r="AI387" i="9"/>
  <c r="AJ387" i="9"/>
  <c r="AK387" i="9"/>
  <c r="AL387" i="9"/>
  <c r="AM387" i="9"/>
  <c r="AN387" i="9"/>
  <c r="AO387" i="9"/>
  <c r="AP387" i="9"/>
  <c r="AQ387" i="9"/>
  <c r="AR387" i="9"/>
  <c r="AS387" i="9"/>
  <c r="AT387" i="9"/>
  <c r="AU387" i="9"/>
  <c r="AV387" i="9"/>
  <c r="AW387" i="9"/>
  <c r="AX387" i="9"/>
  <c r="AY387" i="9"/>
  <c r="AZ387" i="9"/>
  <c r="AA388" i="9"/>
  <c r="AB388" i="9"/>
  <c r="AC388" i="9"/>
  <c r="AD388" i="9"/>
  <c r="AE388" i="9"/>
  <c r="AF388" i="9"/>
  <c r="AG388" i="9"/>
  <c r="AH388" i="9"/>
  <c r="AI388" i="9"/>
  <c r="AJ388" i="9"/>
  <c r="AK388" i="9"/>
  <c r="AL388" i="9"/>
  <c r="AM388" i="9"/>
  <c r="AN388" i="9"/>
  <c r="AO388" i="9"/>
  <c r="AP388" i="9"/>
  <c r="AQ388" i="9"/>
  <c r="AR388" i="9"/>
  <c r="AS388" i="9"/>
  <c r="AT388" i="9"/>
  <c r="AU388" i="9"/>
  <c r="AV388" i="9"/>
  <c r="AW388" i="9"/>
  <c r="AX388" i="9"/>
  <c r="AY388" i="9"/>
  <c r="AZ388" i="9"/>
  <c r="AA389" i="9"/>
  <c r="AB389" i="9"/>
  <c r="AC389" i="9"/>
  <c r="AD389" i="9"/>
  <c r="AE389" i="9"/>
  <c r="AF389" i="9"/>
  <c r="AG389" i="9"/>
  <c r="AH389" i="9"/>
  <c r="AI389" i="9"/>
  <c r="AJ389" i="9"/>
  <c r="AK389" i="9"/>
  <c r="AL389" i="9"/>
  <c r="AM389" i="9"/>
  <c r="AN389" i="9"/>
  <c r="AO389" i="9"/>
  <c r="AP389" i="9"/>
  <c r="AQ389" i="9"/>
  <c r="AR389" i="9"/>
  <c r="AS389" i="9"/>
  <c r="AT389" i="9"/>
  <c r="AU389" i="9"/>
  <c r="AV389" i="9"/>
  <c r="AW389" i="9"/>
  <c r="AX389" i="9"/>
  <c r="AY389" i="9"/>
  <c r="AZ389" i="9"/>
  <c r="AA390" i="9"/>
  <c r="AB390" i="9"/>
  <c r="AC390" i="9"/>
  <c r="AD390" i="9"/>
  <c r="AE390" i="9"/>
  <c r="AF390" i="9"/>
  <c r="AG390" i="9"/>
  <c r="AH390" i="9"/>
  <c r="AI390" i="9"/>
  <c r="AJ390" i="9"/>
  <c r="AK390" i="9"/>
  <c r="AL390" i="9"/>
  <c r="AM390" i="9"/>
  <c r="AN390" i="9"/>
  <c r="AO390" i="9"/>
  <c r="AP390" i="9"/>
  <c r="AQ390" i="9"/>
  <c r="AR390" i="9"/>
  <c r="AS390" i="9"/>
  <c r="AT390" i="9"/>
  <c r="AU390" i="9"/>
  <c r="AV390" i="9"/>
  <c r="AW390" i="9"/>
  <c r="AX390" i="9"/>
  <c r="AY390" i="9"/>
  <c r="AZ390" i="9"/>
  <c r="AA391" i="9"/>
  <c r="AB391" i="9"/>
  <c r="AC391" i="9"/>
  <c r="AD391" i="9"/>
  <c r="AE391" i="9"/>
  <c r="AF391" i="9"/>
  <c r="AG391" i="9"/>
  <c r="AH391" i="9"/>
  <c r="AI391" i="9"/>
  <c r="AJ391" i="9"/>
  <c r="AK391" i="9"/>
  <c r="AL391" i="9"/>
  <c r="AM391" i="9"/>
  <c r="AN391" i="9"/>
  <c r="AO391" i="9"/>
  <c r="AP391" i="9"/>
  <c r="AQ391" i="9"/>
  <c r="AR391" i="9"/>
  <c r="AS391" i="9"/>
  <c r="AT391" i="9"/>
  <c r="AU391" i="9"/>
  <c r="AV391" i="9"/>
  <c r="AW391" i="9"/>
  <c r="AX391" i="9"/>
  <c r="AY391" i="9"/>
  <c r="AZ391" i="9"/>
  <c r="AA392" i="9"/>
  <c r="AB392" i="9"/>
  <c r="AC392" i="9"/>
  <c r="AD392" i="9"/>
  <c r="AE392" i="9"/>
  <c r="AF392" i="9"/>
  <c r="AG392" i="9"/>
  <c r="AH392" i="9"/>
  <c r="AI392" i="9"/>
  <c r="AJ392" i="9"/>
  <c r="AK392" i="9"/>
  <c r="AL392" i="9"/>
  <c r="AM392" i="9"/>
  <c r="AN392" i="9"/>
  <c r="AO392" i="9"/>
  <c r="AP392" i="9"/>
  <c r="AQ392" i="9"/>
  <c r="AR392" i="9"/>
  <c r="AS392" i="9"/>
  <c r="AT392" i="9"/>
  <c r="AU392" i="9"/>
  <c r="AV392" i="9"/>
  <c r="AW392" i="9"/>
  <c r="AX392" i="9"/>
  <c r="AY392" i="9"/>
  <c r="AZ392" i="9"/>
  <c r="AA393" i="9"/>
  <c r="AB393" i="9"/>
  <c r="AC393" i="9"/>
  <c r="AD393" i="9"/>
  <c r="AE393" i="9"/>
  <c r="AF393" i="9"/>
  <c r="AG393" i="9"/>
  <c r="AH393" i="9"/>
  <c r="AI393" i="9"/>
  <c r="AJ393" i="9"/>
  <c r="AK393" i="9"/>
  <c r="AL393" i="9"/>
  <c r="AM393" i="9"/>
  <c r="AN393" i="9"/>
  <c r="AO393" i="9"/>
  <c r="AP393" i="9"/>
  <c r="AQ393" i="9"/>
  <c r="AR393" i="9"/>
  <c r="AS393" i="9"/>
  <c r="AT393" i="9"/>
  <c r="AU393" i="9"/>
  <c r="AV393" i="9"/>
  <c r="AW393" i="9"/>
  <c r="AX393" i="9"/>
  <c r="AY393" i="9"/>
  <c r="AZ393" i="9"/>
  <c r="AA394" i="9"/>
  <c r="AB394" i="9"/>
  <c r="AC394" i="9"/>
  <c r="AD394" i="9"/>
  <c r="AE394" i="9"/>
  <c r="AF394" i="9"/>
  <c r="AG394" i="9"/>
  <c r="AH394" i="9"/>
  <c r="AI394" i="9"/>
  <c r="AJ394" i="9"/>
  <c r="AK394" i="9"/>
  <c r="AL394" i="9"/>
  <c r="AM394" i="9"/>
  <c r="AN394" i="9"/>
  <c r="AO394" i="9"/>
  <c r="AP394" i="9"/>
  <c r="AQ394" i="9"/>
  <c r="AR394" i="9"/>
  <c r="AS394" i="9"/>
  <c r="AT394" i="9"/>
  <c r="AU394" i="9"/>
  <c r="AV394" i="9"/>
  <c r="AW394" i="9"/>
  <c r="AX394" i="9"/>
  <c r="AY394" i="9"/>
  <c r="AZ394" i="9"/>
  <c r="AA395" i="9"/>
  <c r="AB395" i="9"/>
  <c r="AC395" i="9"/>
  <c r="AD395" i="9"/>
  <c r="AE395" i="9"/>
  <c r="AF395" i="9"/>
  <c r="AG395" i="9"/>
  <c r="AH395" i="9"/>
  <c r="AI395" i="9"/>
  <c r="AJ395" i="9"/>
  <c r="AK395" i="9"/>
  <c r="AL395" i="9"/>
  <c r="AM395" i="9"/>
  <c r="AN395" i="9"/>
  <c r="AO395" i="9"/>
  <c r="AP395" i="9"/>
  <c r="AQ395" i="9"/>
  <c r="AR395" i="9"/>
  <c r="AS395" i="9"/>
  <c r="AT395" i="9"/>
  <c r="AU395" i="9"/>
  <c r="AV395" i="9"/>
  <c r="AW395" i="9"/>
  <c r="AX395" i="9"/>
  <c r="AY395" i="9"/>
  <c r="AZ395" i="9"/>
  <c r="AA396" i="9"/>
  <c r="AB396" i="9"/>
  <c r="AC396" i="9"/>
  <c r="AD396" i="9"/>
  <c r="AE396" i="9"/>
  <c r="AF396" i="9"/>
  <c r="AG396" i="9"/>
  <c r="AH396" i="9"/>
  <c r="AI396" i="9"/>
  <c r="AJ396" i="9"/>
  <c r="AK396" i="9"/>
  <c r="AL396" i="9"/>
  <c r="AM396" i="9"/>
  <c r="AN396" i="9"/>
  <c r="AO396" i="9"/>
  <c r="AP396" i="9"/>
  <c r="AQ396" i="9"/>
  <c r="AR396" i="9"/>
  <c r="AS396" i="9"/>
  <c r="AT396" i="9"/>
  <c r="AU396" i="9"/>
  <c r="AV396" i="9"/>
  <c r="AW396" i="9"/>
  <c r="AX396" i="9"/>
  <c r="AY396" i="9"/>
  <c r="AZ396" i="9"/>
  <c r="AA397" i="9"/>
  <c r="AB397" i="9"/>
  <c r="AC397" i="9"/>
  <c r="AD397" i="9"/>
  <c r="AE397" i="9"/>
  <c r="AF397" i="9"/>
  <c r="AG397" i="9"/>
  <c r="AH397" i="9"/>
  <c r="AI397" i="9"/>
  <c r="AJ397" i="9"/>
  <c r="AK397" i="9"/>
  <c r="AL397" i="9"/>
  <c r="AM397" i="9"/>
  <c r="AN397" i="9"/>
  <c r="AO397" i="9"/>
  <c r="AP397" i="9"/>
  <c r="AQ397" i="9"/>
  <c r="AR397" i="9"/>
  <c r="AS397" i="9"/>
  <c r="AT397" i="9"/>
  <c r="AU397" i="9"/>
  <c r="AV397" i="9"/>
  <c r="AW397" i="9"/>
  <c r="AX397" i="9"/>
  <c r="AY397" i="9"/>
  <c r="AZ397" i="9"/>
  <c r="AA398" i="9"/>
  <c r="AB398" i="9"/>
  <c r="AC398" i="9"/>
  <c r="AD398" i="9"/>
  <c r="AE398" i="9"/>
  <c r="AF398" i="9"/>
  <c r="AG398" i="9"/>
  <c r="AH398" i="9"/>
  <c r="AI398" i="9"/>
  <c r="AJ398" i="9"/>
  <c r="AK398" i="9"/>
  <c r="AL398" i="9"/>
  <c r="AM398" i="9"/>
  <c r="AN398" i="9"/>
  <c r="AO398" i="9"/>
  <c r="AP398" i="9"/>
  <c r="AQ398" i="9"/>
  <c r="AR398" i="9"/>
  <c r="AS398" i="9"/>
  <c r="AT398" i="9"/>
  <c r="AU398" i="9"/>
  <c r="AV398" i="9"/>
  <c r="AW398" i="9"/>
  <c r="AX398" i="9"/>
  <c r="AY398" i="9"/>
  <c r="AZ398" i="9"/>
  <c r="AA399" i="9"/>
  <c r="AB399" i="9"/>
  <c r="AC399" i="9"/>
  <c r="AD399" i="9"/>
  <c r="AE399" i="9"/>
  <c r="AF399" i="9"/>
  <c r="AG399" i="9"/>
  <c r="AH399" i="9"/>
  <c r="AI399" i="9"/>
  <c r="AJ399" i="9"/>
  <c r="AK399" i="9"/>
  <c r="AL399" i="9"/>
  <c r="AM399" i="9"/>
  <c r="AN399" i="9"/>
  <c r="AO399" i="9"/>
  <c r="AP399" i="9"/>
  <c r="AQ399" i="9"/>
  <c r="AR399" i="9"/>
  <c r="AS399" i="9"/>
  <c r="AT399" i="9"/>
  <c r="AU399" i="9"/>
  <c r="AV399" i="9"/>
  <c r="AW399" i="9"/>
  <c r="AX399" i="9"/>
  <c r="AY399" i="9"/>
  <c r="AZ399" i="9"/>
  <c r="AA400" i="9"/>
  <c r="AB400" i="9"/>
  <c r="AC400" i="9"/>
  <c r="AD400" i="9"/>
  <c r="AE400" i="9"/>
  <c r="AF400" i="9"/>
  <c r="AG400" i="9"/>
  <c r="AH400" i="9"/>
  <c r="AI400" i="9"/>
  <c r="AJ400" i="9"/>
  <c r="AK400" i="9"/>
  <c r="AL400" i="9"/>
  <c r="AM400" i="9"/>
  <c r="AN400" i="9"/>
  <c r="AO400" i="9"/>
  <c r="AP400" i="9"/>
  <c r="AQ400" i="9"/>
  <c r="AR400" i="9"/>
  <c r="AS400" i="9"/>
  <c r="AT400" i="9"/>
  <c r="AU400" i="9"/>
  <c r="AV400" i="9"/>
  <c r="AW400" i="9"/>
  <c r="AX400" i="9"/>
  <c r="AY400" i="9"/>
  <c r="AZ400" i="9"/>
  <c r="AA401" i="9"/>
  <c r="AB401" i="9"/>
  <c r="AC401" i="9"/>
  <c r="AD401" i="9"/>
  <c r="AE401" i="9"/>
  <c r="AF401" i="9"/>
  <c r="AG401" i="9"/>
  <c r="AH401" i="9"/>
  <c r="AI401" i="9"/>
  <c r="AJ401" i="9"/>
  <c r="AK401" i="9"/>
  <c r="AL401" i="9"/>
  <c r="AM401" i="9"/>
  <c r="AN401" i="9"/>
  <c r="AO401" i="9"/>
  <c r="AP401" i="9"/>
  <c r="AQ401" i="9"/>
  <c r="AR401" i="9"/>
  <c r="AS401" i="9"/>
  <c r="AT401" i="9"/>
  <c r="AU401" i="9"/>
  <c r="AV401" i="9"/>
  <c r="AW401" i="9"/>
  <c r="AX401" i="9"/>
  <c r="AY401" i="9"/>
  <c r="AZ401" i="9"/>
  <c r="AA402" i="9"/>
  <c r="AB402" i="9"/>
  <c r="AC402" i="9"/>
  <c r="AD402" i="9"/>
  <c r="AE402" i="9"/>
  <c r="AF402" i="9"/>
  <c r="AG402" i="9"/>
  <c r="AH402" i="9"/>
  <c r="AI402" i="9"/>
  <c r="AJ402" i="9"/>
  <c r="AK402" i="9"/>
  <c r="AL402" i="9"/>
  <c r="AM402" i="9"/>
  <c r="AN402" i="9"/>
  <c r="AO402" i="9"/>
  <c r="AP402" i="9"/>
  <c r="AQ402" i="9"/>
  <c r="AR402" i="9"/>
  <c r="AS402" i="9"/>
  <c r="AT402" i="9"/>
  <c r="AU402" i="9"/>
  <c r="AV402" i="9"/>
  <c r="AW402" i="9"/>
  <c r="AX402" i="9"/>
  <c r="AY402" i="9"/>
  <c r="AZ402" i="9"/>
  <c r="AA403" i="9"/>
  <c r="AB403" i="9"/>
  <c r="AC403" i="9"/>
  <c r="AD403" i="9"/>
  <c r="AE403" i="9"/>
  <c r="AF403" i="9"/>
  <c r="AG403" i="9"/>
  <c r="AH403" i="9"/>
  <c r="AI403" i="9"/>
  <c r="AJ403" i="9"/>
  <c r="AK403" i="9"/>
  <c r="AL403" i="9"/>
  <c r="AM403" i="9"/>
  <c r="AN403" i="9"/>
  <c r="AO403" i="9"/>
  <c r="AP403" i="9"/>
  <c r="AQ403" i="9"/>
  <c r="AR403" i="9"/>
  <c r="AS403" i="9"/>
  <c r="AT403" i="9"/>
  <c r="AU403" i="9"/>
  <c r="AV403" i="9"/>
  <c r="AW403" i="9"/>
  <c r="AX403" i="9"/>
  <c r="AY403" i="9"/>
  <c r="AZ403" i="9"/>
  <c r="AA404" i="9"/>
  <c r="AB404" i="9"/>
  <c r="AC404" i="9"/>
  <c r="AD404" i="9"/>
  <c r="AE404" i="9"/>
  <c r="AF404" i="9"/>
  <c r="AG404" i="9"/>
  <c r="AH404" i="9"/>
  <c r="AI404" i="9"/>
  <c r="AJ404" i="9"/>
  <c r="AK404" i="9"/>
  <c r="AL404" i="9"/>
  <c r="AM404" i="9"/>
  <c r="AN404" i="9"/>
  <c r="AO404" i="9"/>
  <c r="AP404" i="9"/>
  <c r="AQ404" i="9"/>
  <c r="AR404" i="9"/>
  <c r="AS404" i="9"/>
  <c r="AT404" i="9"/>
  <c r="AU404" i="9"/>
  <c r="AV404" i="9"/>
  <c r="AW404" i="9"/>
  <c r="AX404" i="9"/>
  <c r="AY404" i="9"/>
  <c r="AZ404" i="9"/>
  <c r="AA405" i="9"/>
  <c r="AB405" i="9"/>
  <c r="AC405" i="9"/>
  <c r="AD405" i="9"/>
  <c r="AE405" i="9"/>
  <c r="AF405" i="9"/>
  <c r="AG405" i="9"/>
  <c r="AH405" i="9"/>
  <c r="AI405" i="9"/>
  <c r="AJ405" i="9"/>
  <c r="AK405" i="9"/>
  <c r="AL405" i="9"/>
  <c r="AM405" i="9"/>
  <c r="AN405" i="9"/>
  <c r="AO405" i="9"/>
  <c r="AP405" i="9"/>
  <c r="AQ405" i="9"/>
  <c r="AR405" i="9"/>
  <c r="AS405" i="9"/>
  <c r="AT405" i="9"/>
  <c r="AU405" i="9"/>
  <c r="AV405" i="9"/>
  <c r="AW405" i="9"/>
  <c r="AX405" i="9"/>
  <c r="AY405" i="9"/>
  <c r="AZ405" i="9"/>
  <c r="AA406" i="9"/>
  <c r="AB406" i="9"/>
  <c r="AC406" i="9"/>
  <c r="AD406" i="9"/>
  <c r="AE406" i="9"/>
  <c r="AF406" i="9"/>
  <c r="AG406" i="9"/>
  <c r="AH406" i="9"/>
  <c r="AI406" i="9"/>
  <c r="AJ406" i="9"/>
  <c r="AK406" i="9"/>
  <c r="AL406" i="9"/>
  <c r="AM406" i="9"/>
  <c r="AN406" i="9"/>
  <c r="AO406" i="9"/>
  <c r="AP406" i="9"/>
  <c r="AQ406" i="9"/>
  <c r="AR406" i="9"/>
  <c r="AS406" i="9"/>
  <c r="AT406" i="9"/>
  <c r="AU406" i="9"/>
  <c r="AV406" i="9"/>
  <c r="AW406" i="9"/>
  <c r="AX406" i="9"/>
  <c r="AY406" i="9"/>
  <c r="AZ406" i="9"/>
  <c r="AA407" i="9"/>
  <c r="AB407" i="9"/>
  <c r="AC407" i="9"/>
  <c r="AD407" i="9"/>
  <c r="AE407" i="9"/>
  <c r="AF407" i="9"/>
  <c r="AG407" i="9"/>
  <c r="AH407" i="9"/>
  <c r="AI407" i="9"/>
  <c r="AJ407" i="9"/>
  <c r="AK407" i="9"/>
  <c r="AL407" i="9"/>
  <c r="AM407" i="9"/>
  <c r="AN407" i="9"/>
  <c r="AO407" i="9"/>
  <c r="AP407" i="9"/>
  <c r="AQ407" i="9"/>
  <c r="AR407" i="9"/>
  <c r="AS407" i="9"/>
  <c r="AT407" i="9"/>
  <c r="AU407" i="9"/>
  <c r="AV407" i="9"/>
  <c r="AW407" i="9"/>
  <c r="AX407" i="9"/>
  <c r="AY407" i="9"/>
  <c r="AZ407" i="9"/>
  <c r="AA408" i="9"/>
  <c r="AB408" i="9"/>
  <c r="AC408" i="9"/>
  <c r="AD408" i="9"/>
  <c r="AE408" i="9"/>
  <c r="AF408" i="9"/>
  <c r="AG408" i="9"/>
  <c r="AH408" i="9"/>
  <c r="AI408" i="9"/>
  <c r="AJ408" i="9"/>
  <c r="AK408" i="9"/>
  <c r="AL408" i="9"/>
  <c r="AM408" i="9"/>
  <c r="AN408" i="9"/>
  <c r="AO408" i="9"/>
  <c r="AP408" i="9"/>
  <c r="AQ408" i="9"/>
  <c r="AR408" i="9"/>
  <c r="AS408" i="9"/>
  <c r="AT408" i="9"/>
  <c r="AU408" i="9"/>
  <c r="AV408" i="9"/>
  <c r="AW408" i="9"/>
  <c r="AX408" i="9"/>
  <c r="AY408" i="9"/>
  <c r="AZ408" i="9"/>
  <c r="AA409" i="9"/>
  <c r="AB409" i="9"/>
  <c r="AC409" i="9"/>
  <c r="AD409" i="9"/>
  <c r="AE409" i="9"/>
  <c r="AF409" i="9"/>
  <c r="AG409" i="9"/>
  <c r="AH409" i="9"/>
  <c r="AI409" i="9"/>
  <c r="AJ409" i="9"/>
  <c r="AK409" i="9"/>
  <c r="AL409" i="9"/>
  <c r="AM409" i="9"/>
  <c r="AN409" i="9"/>
  <c r="AO409" i="9"/>
  <c r="AP409" i="9"/>
  <c r="AQ409" i="9"/>
  <c r="AR409" i="9"/>
  <c r="AS409" i="9"/>
  <c r="AT409" i="9"/>
  <c r="AU409" i="9"/>
  <c r="AV409" i="9"/>
  <c r="AW409" i="9"/>
  <c r="AX409" i="9"/>
  <c r="AY409" i="9"/>
  <c r="AZ409" i="9"/>
  <c r="AA410" i="9"/>
  <c r="AB410" i="9"/>
  <c r="AC410" i="9"/>
  <c r="AD410" i="9"/>
  <c r="AE410" i="9"/>
  <c r="AF410" i="9"/>
  <c r="AG410" i="9"/>
  <c r="AH410" i="9"/>
  <c r="AI410" i="9"/>
  <c r="AJ410" i="9"/>
  <c r="AK410" i="9"/>
  <c r="AL410" i="9"/>
  <c r="AM410" i="9"/>
  <c r="AN410" i="9"/>
  <c r="AO410" i="9"/>
  <c r="AP410" i="9"/>
  <c r="AQ410" i="9"/>
  <c r="AR410" i="9"/>
  <c r="AS410" i="9"/>
  <c r="AT410" i="9"/>
  <c r="AU410" i="9"/>
  <c r="AV410" i="9"/>
  <c r="AW410" i="9"/>
  <c r="AX410" i="9"/>
  <c r="AY410" i="9"/>
  <c r="AZ410" i="9"/>
  <c r="AA411" i="9"/>
  <c r="AB411" i="9"/>
  <c r="AC411" i="9"/>
  <c r="AD411" i="9"/>
  <c r="AE411" i="9"/>
  <c r="AF411" i="9"/>
  <c r="AG411" i="9"/>
  <c r="AH411" i="9"/>
  <c r="AI411" i="9"/>
  <c r="AJ411" i="9"/>
  <c r="AK411" i="9"/>
  <c r="AL411" i="9"/>
  <c r="AM411" i="9"/>
  <c r="AN411" i="9"/>
  <c r="AO411" i="9"/>
  <c r="AP411" i="9"/>
  <c r="AQ411" i="9"/>
  <c r="AR411" i="9"/>
  <c r="AS411" i="9"/>
  <c r="AT411" i="9"/>
  <c r="AU411" i="9"/>
  <c r="AV411" i="9"/>
  <c r="AW411" i="9"/>
  <c r="AX411" i="9"/>
  <c r="AY411" i="9"/>
  <c r="AZ411" i="9"/>
  <c r="AA412" i="9"/>
  <c r="AB412" i="9"/>
  <c r="AC412" i="9"/>
  <c r="AD412" i="9"/>
  <c r="AE412" i="9"/>
  <c r="AF412" i="9"/>
  <c r="AG412" i="9"/>
  <c r="AH412" i="9"/>
  <c r="AI412" i="9"/>
  <c r="AJ412" i="9"/>
  <c r="AK412" i="9"/>
  <c r="AL412" i="9"/>
  <c r="AM412" i="9"/>
  <c r="AN412" i="9"/>
  <c r="AO412" i="9"/>
  <c r="AP412" i="9"/>
  <c r="AQ412" i="9"/>
  <c r="AR412" i="9"/>
  <c r="AS412" i="9"/>
  <c r="AT412" i="9"/>
  <c r="AU412" i="9"/>
  <c r="AV412" i="9"/>
  <c r="AW412" i="9"/>
  <c r="AX412" i="9"/>
  <c r="AY412" i="9"/>
  <c r="AZ412" i="9"/>
  <c r="AA413" i="9"/>
  <c r="AB413" i="9"/>
  <c r="AC413" i="9"/>
  <c r="AD413" i="9"/>
  <c r="AE413" i="9"/>
  <c r="AF413" i="9"/>
  <c r="AG413" i="9"/>
  <c r="AH413" i="9"/>
  <c r="AI413" i="9"/>
  <c r="AJ413" i="9"/>
  <c r="AK413" i="9"/>
  <c r="AL413" i="9"/>
  <c r="AM413" i="9"/>
  <c r="AN413" i="9"/>
  <c r="AO413" i="9"/>
  <c r="AP413" i="9"/>
  <c r="AQ413" i="9"/>
  <c r="AR413" i="9"/>
  <c r="AS413" i="9"/>
  <c r="AT413" i="9"/>
  <c r="AU413" i="9"/>
  <c r="AV413" i="9"/>
  <c r="AW413" i="9"/>
  <c r="AX413" i="9"/>
  <c r="AY413" i="9"/>
  <c r="AZ413" i="9"/>
  <c r="AA414" i="9"/>
  <c r="AB414" i="9"/>
  <c r="AC414" i="9"/>
  <c r="AD414" i="9"/>
  <c r="AE414" i="9"/>
  <c r="AF414" i="9"/>
  <c r="AG414" i="9"/>
  <c r="AH414" i="9"/>
  <c r="AI414" i="9"/>
  <c r="AJ414" i="9"/>
  <c r="AK414" i="9"/>
  <c r="AL414" i="9"/>
  <c r="AM414" i="9"/>
  <c r="AN414" i="9"/>
  <c r="AO414" i="9"/>
  <c r="AP414" i="9"/>
  <c r="AQ414" i="9"/>
  <c r="AR414" i="9"/>
  <c r="AS414" i="9"/>
  <c r="AT414" i="9"/>
  <c r="AU414" i="9"/>
  <c r="AV414" i="9"/>
  <c r="AW414" i="9"/>
  <c r="AX414" i="9"/>
  <c r="AY414" i="9"/>
  <c r="AZ414" i="9"/>
  <c r="AA415" i="9"/>
  <c r="AB415" i="9"/>
  <c r="AC415" i="9"/>
  <c r="AD415" i="9"/>
  <c r="AE415" i="9"/>
  <c r="AF415" i="9"/>
  <c r="AG415" i="9"/>
  <c r="AH415" i="9"/>
  <c r="AI415" i="9"/>
  <c r="AJ415" i="9"/>
  <c r="AK415" i="9"/>
  <c r="AL415" i="9"/>
  <c r="AM415" i="9"/>
  <c r="AN415" i="9"/>
  <c r="AO415" i="9"/>
  <c r="AP415" i="9"/>
  <c r="AQ415" i="9"/>
  <c r="AR415" i="9"/>
  <c r="AS415" i="9"/>
  <c r="AT415" i="9"/>
  <c r="AU415" i="9"/>
  <c r="AV415" i="9"/>
  <c r="AW415" i="9"/>
  <c r="AX415" i="9"/>
  <c r="AY415" i="9"/>
  <c r="AZ415" i="9"/>
  <c r="AA416" i="9"/>
  <c r="AB416" i="9"/>
  <c r="AC416" i="9"/>
  <c r="AD416" i="9"/>
  <c r="AE416" i="9"/>
  <c r="AF416" i="9"/>
  <c r="AG416" i="9"/>
  <c r="AH416" i="9"/>
  <c r="AI416" i="9"/>
  <c r="AJ416" i="9"/>
  <c r="AK416" i="9"/>
  <c r="AL416" i="9"/>
  <c r="AM416" i="9"/>
  <c r="AN416" i="9"/>
  <c r="AO416" i="9"/>
  <c r="AP416" i="9"/>
  <c r="AQ416" i="9"/>
  <c r="AR416" i="9"/>
  <c r="AS416" i="9"/>
  <c r="AT416" i="9"/>
  <c r="AU416" i="9"/>
  <c r="AV416" i="9"/>
  <c r="AW416" i="9"/>
  <c r="AX416" i="9"/>
  <c r="AY416" i="9"/>
  <c r="AZ416" i="9"/>
  <c r="AA417" i="9"/>
  <c r="AB417" i="9"/>
  <c r="AC417" i="9"/>
  <c r="AD417" i="9"/>
  <c r="AE417" i="9"/>
  <c r="AF417" i="9"/>
  <c r="AG417" i="9"/>
  <c r="AH417" i="9"/>
  <c r="AI417" i="9"/>
  <c r="AJ417" i="9"/>
  <c r="AK417" i="9"/>
  <c r="AL417" i="9"/>
  <c r="AM417" i="9"/>
  <c r="AN417" i="9"/>
  <c r="AO417" i="9"/>
  <c r="AP417" i="9"/>
  <c r="AQ417" i="9"/>
  <c r="AR417" i="9"/>
  <c r="AS417" i="9"/>
  <c r="AT417" i="9"/>
  <c r="AU417" i="9"/>
  <c r="AV417" i="9"/>
  <c r="AW417" i="9"/>
  <c r="AX417" i="9"/>
  <c r="AY417" i="9"/>
  <c r="AZ417" i="9"/>
  <c r="AA418" i="9"/>
  <c r="AB418" i="9"/>
  <c r="AC418" i="9"/>
  <c r="AD418" i="9"/>
  <c r="AE418" i="9"/>
  <c r="AF418" i="9"/>
  <c r="AG418" i="9"/>
  <c r="AH418" i="9"/>
  <c r="AI418" i="9"/>
  <c r="AJ418" i="9"/>
  <c r="AK418" i="9"/>
  <c r="AL418" i="9"/>
  <c r="AM418" i="9"/>
  <c r="AN418" i="9"/>
  <c r="AO418" i="9"/>
  <c r="AP418" i="9"/>
  <c r="AQ418" i="9"/>
  <c r="AR418" i="9"/>
  <c r="AS418" i="9"/>
  <c r="AT418" i="9"/>
  <c r="AU418" i="9"/>
  <c r="AV418" i="9"/>
  <c r="AW418" i="9"/>
  <c r="AX418" i="9"/>
  <c r="AY418" i="9"/>
  <c r="AZ418" i="9"/>
  <c r="AA419" i="9"/>
  <c r="AB419" i="9"/>
  <c r="AC419" i="9"/>
  <c r="AD419" i="9"/>
  <c r="AE419" i="9"/>
  <c r="AF419" i="9"/>
  <c r="AG419" i="9"/>
  <c r="AH419" i="9"/>
  <c r="AI419" i="9"/>
  <c r="AJ419" i="9"/>
  <c r="AK419" i="9"/>
  <c r="AL419" i="9"/>
  <c r="AM419" i="9"/>
  <c r="AN419" i="9"/>
  <c r="AO419" i="9"/>
  <c r="AP419" i="9"/>
  <c r="AQ419" i="9"/>
  <c r="AR419" i="9"/>
  <c r="AS419" i="9"/>
  <c r="AT419" i="9"/>
  <c r="AU419" i="9"/>
  <c r="AV419" i="9"/>
  <c r="AW419" i="9"/>
  <c r="AX419" i="9"/>
  <c r="AY419" i="9"/>
  <c r="AZ419" i="9"/>
  <c r="AA420" i="9"/>
  <c r="AB420" i="9"/>
  <c r="AC420" i="9"/>
  <c r="AD420" i="9"/>
  <c r="AE420" i="9"/>
  <c r="AF420" i="9"/>
  <c r="AG420" i="9"/>
  <c r="AH420" i="9"/>
  <c r="AI420" i="9"/>
  <c r="AJ420" i="9"/>
  <c r="AK420" i="9"/>
  <c r="AL420" i="9"/>
  <c r="AM420" i="9"/>
  <c r="AN420" i="9"/>
  <c r="AO420" i="9"/>
  <c r="AP420" i="9"/>
  <c r="AQ420" i="9"/>
  <c r="AR420" i="9"/>
  <c r="AS420" i="9"/>
  <c r="AT420" i="9"/>
  <c r="AU420" i="9"/>
  <c r="AV420" i="9"/>
  <c r="AW420" i="9"/>
  <c r="AX420" i="9"/>
  <c r="AY420" i="9"/>
  <c r="AZ420" i="9"/>
  <c r="AA421" i="9"/>
  <c r="AB421" i="9"/>
  <c r="AC421" i="9"/>
  <c r="AD421" i="9"/>
  <c r="AE421" i="9"/>
  <c r="AF421" i="9"/>
  <c r="AG421" i="9"/>
  <c r="AH421" i="9"/>
  <c r="AI421" i="9"/>
  <c r="AJ421" i="9"/>
  <c r="AK421" i="9"/>
  <c r="AL421" i="9"/>
  <c r="AM421" i="9"/>
  <c r="AN421" i="9"/>
  <c r="AO421" i="9"/>
  <c r="AP421" i="9"/>
  <c r="AQ421" i="9"/>
  <c r="AR421" i="9"/>
  <c r="AS421" i="9"/>
  <c r="AT421" i="9"/>
  <c r="AU421" i="9"/>
  <c r="AV421" i="9"/>
  <c r="AW421" i="9"/>
  <c r="AX421" i="9"/>
  <c r="AY421" i="9"/>
  <c r="AZ421" i="9"/>
  <c r="AA422" i="9"/>
  <c r="AB422" i="9"/>
  <c r="AC422" i="9"/>
  <c r="AD422" i="9"/>
  <c r="AE422" i="9"/>
  <c r="AF422" i="9"/>
  <c r="AG422" i="9"/>
  <c r="AH422" i="9"/>
  <c r="AI422" i="9"/>
  <c r="AJ422" i="9"/>
  <c r="AK422" i="9"/>
  <c r="AL422" i="9"/>
  <c r="AM422" i="9"/>
  <c r="AN422" i="9"/>
  <c r="AO422" i="9"/>
  <c r="AP422" i="9"/>
  <c r="AQ422" i="9"/>
  <c r="AR422" i="9"/>
  <c r="AS422" i="9"/>
  <c r="AT422" i="9"/>
  <c r="AU422" i="9"/>
  <c r="AV422" i="9"/>
  <c r="AW422" i="9"/>
  <c r="AX422" i="9"/>
  <c r="AY422" i="9"/>
  <c r="AZ422" i="9"/>
  <c r="AA423" i="9"/>
  <c r="AB423" i="9"/>
  <c r="AC423" i="9"/>
  <c r="AD423" i="9"/>
  <c r="AE423" i="9"/>
  <c r="AF423" i="9"/>
  <c r="AG423" i="9"/>
  <c r="AH423" i="9"/>
  <c r="AI423" i="9"/>
  <c r="AJ423" i="9"/>
  <c r="AK423" i="9"/>
  <c r="AL423" i="9"/>
  <c r="AM423" i="9"/>
  <c r="AN423" i="9"/>
  <c r="AO423" i="9"/>
  <c r="AP423" i="9"/>
  <c r="AQ423" i="9"/>
  <c r="AR423" i="9"/>
  <c r="AS423" i="9"/>
  <c r="AT423" i="9"/>
  <c r="AU423" i="9"/>
  <c r="AV423" i="9"/>
  <c r="AW423" i="9"/>
  <c r="AX423" i="9"/>
  <c r="AY423" i="9"/>
  <c r="AZ423" i="9"/>
  <c r="AA424" i="9"/>
  <c r="AB424" i="9"/>
  <c r="AC424" i="9"/>
  <c r="AD424" i="9"/>
  <c r="AE424" i="9"/>
  <c r="AF424" i="9"/>
  <c r="AG424" i="9"/>
  <c r="AH424" i="9"/>
  <c r="AI424" i="9"/>
  <c r="AJ424" i="9"/>
  <c r="AK424" i="9"/>
  <c r="AL424" i="9"/>
  <c r="AM424" i="9"/>
  <c r="AN424" i="9"/>
  <c r="AO424" i="9"/>
  <c r="AP424" i="9"/>
  <c r="AQ424" i="9"/>
  <c r="AR424" i="9"/>
  <c r="AS424" i="9"/>
  <c r="AT424" i="9"/>
  <c r="AU424" i="9"/>
  <c r="AV424" i="9"/>
  <c r="AW424" i="9"/>
  <c r="AX424" i="9"/>
  <c r="AY424" i="9"/>
  <c r="AZ424" i="9"/>
  <c r="AA425" i="9"/>
  <c r="AB425" i="9"/>
  <c r="AC425" i="9"/>
  <c r="AD425" i="9"/>
  <c r="AE425" i="9"/>
  <c r="AF425" i="9"/>
  <c r="AG425" i="9"/>
  <c r="AH425" i="9"/>
  <c r="AI425" i="9"/>
  <c r="AJ425" i="9"/>
  <c r="AK425" i="9"/>
  <c r="AL425" i="9"/>
  <c r="AM425" i="9"/>
  <c r="AN425" i="9"/>
  <c r="AO425" i="9"/>
  <c r="AP425" i="9"/>
  <c r="AQ425" i="9"/>
  <c r="AR425" i="9"/>
  <c r="AS425" i="9"/>
  <c r="AT425" i="9"/>
  <c r="AU425" i="9"/>
  <c r="AV425" i="9"/>
  <c r="AW425" i="9"/>
  <c r="AX425" i="9"/>
  <c r="AY425" i="9"/>
  <c r="AZ425" i="9"/>
  <c r="AA426" i="9"/>
  <c r="AB426" i="9"/>
  <c r="AC426" i="9"/>
  <c r="AD426" i="9"/>
  <c r="AE426" i="9"/>
  <c r="AF426" i="9"/>
  <c r="AG426" i="9"/>
  <c r="AH426" i="9"/>
  <c r="AI426" i="9"/>
  <c r="AJ426" i="9"/>
  <c r="AK426" i="9"/>
  <c r="AL426" i="9"/>
  <c r="AM426" i="9"/>
  <c r="AN426" i="9"/>
  <c r="AO426" i="9"/>
  <c r="AP426" i="9"/>
  <c r="AQ426" i="9"/>
  <c r="AR426" i="9"/>
  <c r="AS426" i="9"/>
  <c r="AT426" i="9"/>
  <c r="AU426" i="9"/>
  <c r="AV426" i="9"/>
  <c r="AW426" i="9"/>
  <c r="AX426" i="9"/>
  <c r="AY426" i="9"/>
  <c r="AZ426" i="9"/>
  <c r="AA427" i="9"/>
  <c r="AB427" i="9"/>
  <c r="AC427" i="9"/>
  <c r="AD427" i="9"/>
  <c r="AE427" i="9"/>
  <c r="AF427" i="9"/>
  <c r="AG427" i="9"/>
  <c r="AH427" i="9"/>
  <c r="AI427" i="9"/>
  <c r="AJ427" i="9"/>
  <c r="AK427" i="9"/>
  <c r="AL427" i="9"/>
  <c r="AM427" i="9"/>
  <c r="AN427" i="9"/>
  <c r="AO427" i="9"/>
  <c r="AP427" i="9"/>
  <c r="AQ427" i="9"/>
  <c r="AR427" i="9"/>
  <c r="AS427" i="9"/>
  <c r="AT427" i="9"/>
  <c r="AU427" i="9"/>
  <c r="AV427" i="9"/>
  <c r="AW427" i="9"/>
  <c r="AX427" i="9"/>
  <c r="AY427" i="9"/>
  <c r="AZ427" i="9"/>
  <c r="AA428" i="9"/>
  <c r="AB428" i="9"/>
  <c r="AC428" i="9"/>
  <c r="AD428" i="9"/>
  <c r="AE428" i="9"/>
  <c r="AF428" i="9"/>
  <c r="AG428" i="9"/>
  <c r="AH428" i="9"/>
  <c r="AI428" i="9"/>
  <c r="AJ428" i="9"/>
  <c r="AK428" i="9"/>
  <c r="AL428" i="9"/>
  <c r="AM428" i="9"/>
  <c r="AN428" i="9"/>
  <c r="AO428" i="9"/>
  <c r="AP428" i="9"/>
  <c r="AQ428" i="9"/>
  <c r="AR428" i="9"/>
  <c r="AS428" i="9"/>
  <c r="AT428" i="9"/>
  <c r="AU428" i="9"/>
  <c r="AV428" i="9"/>
  <c r="AW428" i="9"/>
  <c r="AX428" i="9"/>
  <c r="AY428" i="9"/>
  <c r="AZ428" i="9"/>
  <c r="AA429" i="9"/>
  <c r="AB429" i="9"/>
  <c r="AC429" i="9"/>
  <c r="AD429" i="9"/>
  <c r="AE429" i="9"/>
  <c r="AF429" i="9"/>
  <c r="AG429" i="9"/>
  <c r="AH429" i="9"/>
  <c r="AI429" i="9"/>
  <c r="AJ429" i="9"/>
  <c r="AK429" i="9"/>
  <c r="AL429" i="9"/>
  <c r="AM429" i="9"/>
  <c r="AN429" i="9"/>
  <c r="AO429" i="9"/>
  <c r="AP429" i="9"/>
  <c r="AQ429" i="9"/>
  <c r="AR429" i="9"/>
  <c r="AS429" i="9"/>
  <c r="AT429" i="9"/>
  <c r="AU429" i="9"/>
  <c r="AV429" i="9"/>
  <c r="AW429" i="9"/>
  <c r="AX429" i="9"/>
  <c r="AY429" i="9"/>
  <c r="AZ429" i="9"/>
  <c r="AA430" i="9"/>
  <c r="AB430" i="9"/>
  <c r="AC430" i="9"/>
  <c r="AD430" i="9"/>
  <c r="AE430" i="9"/>
  <c r="AF430" i="9"/>
  <c r="AG430" i="9"/>
  <c r="AH430" i="9"/>
  <c r="AI430" i="9"/>
  <c r="AJ430" i="9"/>
  <c r="AK430" i="9"/>
  <c r="AL430" i="9"/>
  <c r="AM430" i="9"/>
  <c r="AN430" i="9"/>
  <c r="AO430" i="9"/>
  <c r="AP430" i="9"/>
  <c r="AQ430" i="9"/>
  <c r="AR430" i="9"/>
  <c r="AS430" i="9"/>
  <c r="AT430" i="9"/>
  <c r="AU430" i="9"/>
  <c r="AV430" i="9"/>
  <c r="AW430" i="9"/>
  <c r="AX430" i="9"/>
  <c r="AY430" i="9"/>
  <c r="AZ430" i="9"/>
  <c r="AA431" i="9"/>
  <c r="AB431" i="9"/>
  <c r="AC431" i="9"/>
  <c r="AD431" i="9"/>
  <c r="AE431" i="9"/>
  <c r="AF431" i="9"/>
  <c r="AG431" i="9"/>
  <c r="AH431" i="9"/>
  <c r="AI431" i="9"/>
  <c r="AJ431" i="9"/>
  <c r="AK431" i="9"/>
  <c r="AL431" i="9"/>
  <c r="AM431" i="9"/>
  <c r="AN431" i="9"/>
  <c r="AO431" i="9"/>
  <c r="AP431" i="9"/>
  <c r="AQ431" i="9"/>
  <c r="AR431" i="9"/>
  <c r="AS431" i="9"/>
  <c r="AT431" i="9"/>
  <c r="AU431" i="9"/>
  <c r="AV431" i="9"/>
  <c r="AW431" i="9"/>
  <c r="AX431" i="9"/>
  <c r="AY431" i="9"/>
  <c r="AZ431" i="9"/>
  <c r="AA432" i="9"/>
  <c r="AB432" i="9"/>
  <c r="AC432" i="9"/>
  <c r="AD432" i="9"/>
  <c r="AE432" i="9"/>
  <c r="AF432" i="9"/>
  <c r="AG432" i="9"/>
  <c r="AH432" i="9"/>
  <c r="AI432" i="9"/>
  <c r="AJ432" i="9"/>
  <c r="AK432" i="9"/>
  <c r="AL432" i="9"/>
  <c r="AM432" i="9"/>
  <c r="AN432" i="9"/>
  <c r="AO432" i="9"/>
  <c r="AP432" i="9"/>
  <c r="AQ432" i="9"/>
  <c r="AR432" i="9"/>
  <c r="AS432" i="9"/>
  <c r="AT432" i="9"/>
  <c r="AU432" i="9"/>
  <c r="AV432" i="9"/>
  <c r="AW432" i="9"/>
  <c r="AX432" i="9"/>
  <c r="AY432" i="9"/>
  <c r="AZ432" i="9"/>
  <c r="AA433" i="9"/>
  <c r="AB433" i="9"/>
  <c r="AC433" i="9"/>
  <c r="AD433" i="9"/>
  <c r="AE433" i="9"/>
  <c r="AF433" i="9"/>
  <c r="AG433" i="9"/>
  <c r="AH433" i="9"/>
  <c r="AI433" i="9"/>
  <c r="AJ433" i="9"/>
  <c r="AK433" i="9"/>
  <c r="AL433" i="9"/>
  <c r="AM433" i="9"/>
  <c r="AN433" i="9"/>
  <c r="AO433" i="9"/>
  <c r="AP433" i="9"/>
  <c r="AQ433" i="9"/>
  <c r="AR433" i="9"/>
  <c r="AS433" i="9"/>
  <c r="AT433" i="9"/>
  <c r="AU433" i="9"/>
  <c r="AV433" i="9"/>
  <c r="AW433" i="9"/>
  <c r="AX433" i="9"/>
  <c r="AY433" i="9"/>
  <c r="AZ433" i="9"/>
  <c r="AA434" i="9"/>
  <c r="AB434" i="9"/>
  <c r="AC434" i="9"/>
  <c r="AD434" i="9"/>
  <c r="AE434" i="9"/>
  <c r="AF434" i="9"/>
  <c r="AG434" i="9"/>
  <c r="AH434" i="9"/>
  <c r="AI434" i="9"/>
  <c r="AJ434" i="9"/>
  <c r="AK434" i="9"/>
  <c r="AL434" i="9"/>
  <c r="AM434" i="9"/>
  <c r="AN434" i="9"/>
  <c r="AO434" i="9"/>
  <c r="AP434" i="9"/>
  <c r="AQ434" i="9"/>
  <c r="AR434" i="9"/>
  <c r="AS434" i="9"/>
  <c r="AT434" i="9"/>
  <c r="AU434" i="9"/>
  <c r="AV434" i="9"/>
  <c r="AW434" i="9"/>
  <c r="AX434" i="9"/>
  <c r="AY434" i="9"/>
  <c r="AZ434" i="9"/>
  <c r="AA435" i="9"/>
  <c r="AB435" i="9"/>
  <c r="AC435" i="9"/>
  <c r="AD435" i="9"/>
  <c r="AE435" i="9"/>
  <c r="AF435" i="9"/>
  <c r="AG435" i="9"/>
  <c r="AH435" i="9"/>
  <c r="AI435" i="9"/>
  <c r="AJ435" i="9"/>
  <c r="AK435" i="9"/>
  <c r="AL435" i="9"/>
  <c r="AM435" i="9"/>
  <c r="AN435" i="9"/>
  <c r="AO435" i="9"/>
  <c r="AP435" i="9"/>
  <c r="AQ435" i="9"/>
  <c r="AR435" i="9"/>
  <c r="AS435" i="9"/>
  <c r="AT435" i="9"/>
  <c r="AU435" i="9"/>
  <c r="AV435" i="9"/>
  <c r="AW435" i="9"/>
  <c r="AX435" i="9"/>
  <c r="AY435" i="9"/>
  <c r="AZ435" i="9"/>
  <c r="AA436" i="9"/>
  <c r="AB436" i="9"/>
  <c r="AC436" i="9"/>
  <c r="AD436" i="9"/>
  <c r="AE436" i="9"/>
  <c r="AF436" i="9"/>
  <c r="AG436" i="9"/>
  <c r="AH436" i="9"/>
  <c r="AI436" i="9"/>
  <c r="AJ436" i="9"/>
  <c r="AK436" i="9"/>
  <c r="AL436" i="9"/>
  <c r="AM436" i="9"/>
  <c r="AN436" i="9"/>
  <c r="AO436" i="9"/>
  <c r="AP436" i="9"/>
  <c r="AQ436" i="9"/>
  <c r="AR436" i="9"/>
  <c r="AS436" i="9"/>
  <c r="AT436" i="9"/>
  <c r="AU436" i="9"/>
  <c r="AV436" i="9"/>
  <c r="AW436" i="9"/>
  <c r="AX436" i="9"/>
  <c r="AY436" i="9"/>
  <c r="AZ436" i="9"/>
  <c r="AA437" i="9"/>
  <c r="AB437" i="9"/>
  <c r="AC437" i="9"/>
  <c r="AD437" i="9"/>
  <c r="AE437" i="9"/>
  <c r="AF437" i="9"/>
  <c r="AG437" i="9"/>
  <c r="AH437" i="9"/>
  <c r="AI437" i="9"/>
  <c r="AJ437" i="9"/>
  <c r="AK437" i="9"/>
  <c r="AL437" i="9"/>
  <c r="AM437" i="9"/>
  <c r="AN437" i="9"/>
  <c r="AO437" i="9"/>
  <c r="AP437" i="9"/>
  <c r="AQ437" i="9"/>
  <c r="AR437" i="9"/>
  <c r="AS437" i="9"/>
  <c r="AT437" i="9"/>
  <c r="AU437" i="9"/>
  <c r="AV437" i="9"/>
  <c r="AW437" i="9"/>
  <c r="AX437" i="9"/>
  <c r="AY437" i="9"/>
  <c r="AZ437" i="9"/>
  <c r="AA438" i="9"/>
  <c r="AB438" i="9"/>
  <c r="AC438" i="9"/>
  <c r="AD438" i="9"/>
  <c r="AE438" i="9"/>
  <c r="AF438" i="9"/>
  <c r="AG438" i="9"/>
  <c r="AH438" i="9"/>
  <c r="AI438" i="9"/>
  <c r="AJ438" i="9"/>
  <c r="AK438" i="9"/>
  <c r="AL438" i="9"/>
  <c r="AM438" i="9"/>
  <c r="AN438" i="9"/>
  <c r="AO438" i="9"/>
  <c r="AP438" i="9"/>
  <c r="AQ438" i="9"/>
  <c r="AR438" i="9"/>
  <c r="AS438" i="9"/>
  <c r="AT438" i="9"/>
  <c r="AU438" i="9"/>
  <c r="AV438" i="9"/>
  <c r="AW438" i="9"/>
  <c r="AX438" i="9"/>
  <c r="AY438" i="9"/>
  <c r="AZ438" i="9"/>
  <c r="AA439" i="9"/>
  <c r="AB439" i="9"/>
  <c r="AC439" i="9"/>
  <c r="AD439" i="9"/>
  <c r="AE439" i="9"/>
  <c r="AF439" i="9"/>
  <c r="AG439" i="9"/>
  <c r="AH439" i="9"/>
  <c r="AI439" i="9"/>
  <c r="AJ439" i="9"/>
  <c r="AK439" i="9"/>
  <c r="AL439" i="9"/>
  <c r="AM439" i="9"/>
  <c r="AN439" i="9"/>
  <c r="AO439" i="9"/>
  <c r="AP439" i="9"/>
  <c r="AQ439" i="9"/>
  <c r="AR439" i="9"/>
  <c r="AS439" i="9"/>
  <c r="AT439" i="9"/>
  <c r="AU439" i="9"/>
  <c r="AV439" i="9"/>
  <c r="AW439" i="9"/>
  <c r="AX439" i="9"/>
  <c r="AY439" i="9"/>
  <c r="AZ439" i="9"/>
  <c r="AA440" i="9"/>
  <c r="AB440" i="9"/>
  <c r="AC440" i="9"/>
  <c r="AD440" i="9"/>
  <c r="AE440" i="9"/>
  <c r="AF440" i="9"/>
  <c r="AG440" i="9"/>
  <c r="AH440" i="9"/>
  <c r="AI440" i="9"/>
  <c r="AJ440" i="9"/>
  <c r="AK440" i="9"/>
  <c r="AL440" i="9"/>
  <c r="AM440" i="9"/>
  <c r="AN440" i="9"/>
  <c r="AO440" i="9"/>
  <c r="AP440" i="9"/>
  <c r="AQ440" i="9"/>
  <c r="AR440" i="9"/>
  <c r="AS440" i="9"/>
  <c r="AT440" i="9"/>
  <c r="AU440" i="9"/>
  <c r="AV440" i="9"/>
  <c r="AW440" i="9"/>
  <c r="AX440" i="9"/>
  <c r="AY440" i="9"/>
  <c r="AZ440" i="9"/>
  <c r="AA441" i="9"/>
  <c r="AB441" i="9"/>
  <c r="AC441" i="9"/>
  <c r="AD441" i="9"/>
  <c r="AE441" i="9"/>
  <c r="AF441" i="9"/>
  <c r="AG441" i="9"/>
  <c r="AH441" i="9"/>
  <c r="AI441" i="9"/>
  <c r="AJ441" i="9"/>
  <c r="AK441" i="9"/>
  <c r="AL441" i="9"/>
  <c r="AM441" i="9"/>
  <c r="AN441" i="9"/>
  <c r="AO441" i="9"/>
  <c r="AP441" i="9"/>
  <c r="AQ441" i="9"/>
  <c r="AR441" i="9"/>
  <c r="AS441" i="9"/>
  <c r="AT441" i="9"/>
  <c r="AU441" i="9"/>
  <c r="AV441" i="9"/>
  <c r="AW441" i="9"/>
  <c r="AX441" i="9"/>
  <c r="AY441" i="9"/>
  <c r="AZ441" i="9"/>
  <c r="AA442" i="9"/>
  <c r="AB442" i="9"/>
  <c r="AC442" i="9"/>
  <c r="AD442" i="9"/>
  <c r="AE442" i="9"/>
  <c r="AF442" i="9"/>
  <c r="AG442" i="9"/>
  <c r="AH442" i="9"/>
  <c r="AI442" i="9"/>
  <c r="AJ442" i="9"/>
  <c r="AK442" i="9"/>
  <c r="AL442" i="9"/>
  <c r="AM442" i="9"/>
  <c r="AN442" i="9"/>
  <c r="AO442" i="9"/>
  <c r="AP442" i="9"/>
  <c r="AQ442" i="9"/>
  <c r="AR442" i="9"/>
  <c r="AS442" i="9"/>
  <c r="AT442" i="9"/>
  <c r="AU442" i="9"/>
  <c r="AV442" i="9"/>
  <c r="AW442" i="9"/>
  <c r="AX442" i="9"/>
  <c r="AY442" i="9"/>
  <c r="AZ442" i="9"/>
  <c r="AA443" i="9"/>
  <c r="AB443" i="9"/>
  <c r="AC443" i="9"/>
  <c r="AD443" i="9"/>
  <c r="AE443" i="9"/>
  <c r="AF443" i="9"/>
  <c r="AG443" i="9"/>
  <c r="AH443" i="9"/>
  <c r="AI443" i="9"/>
  <c r="AJ443" i="9"/>
  <c r="AK443" i="9"/>
  <c r="AL443" i="9"/>
  <c r="AM443" i="9"/>
  <c r="AN443" i="9"/>
  <c r="AO443" i="9"/>
  <c r="AP443" i="9"/>
  <c r="AQ443" i="9"/>
  <c r="AR443" i="9"/>
  <c r="AS443" i="9"/>
  <c r="AT443" i="9"/>
  <c r="AU443" i="9"/>
  <c r="AV443" i="9"/>
  <c r="AW443" i="9"/>
  <c r="AX443" i="9"/>
  <c r="AY443" i="9"/>
  <c r="AZ443" i="9"/>
  <c r="AA444" i="9"/>
  <c r="AB444" i="9"/>
  <c r="AC444" i="9"/>
  <c r="AD444" i="9"/>
  <c r="AE444" i="9"/>
  <c r="AF444" i="9"/>
  <c r="AG444" i="9"/>
  <c r="AH444" i="9"/>
  <c r="AI444" i="9"/>
  <c r="AJ444" i="9"/>
  <c r="AK444" i="9"/>
  <c r="AL444" i="9"/>
  <c r="AM444" i="9"/>
  <c r="AN444" i="9"/>
  <c r="AO444" i="9"/>
  <c r="AP444" i="9"/>
  <c r="AQ444" i="9"/>
  <c r="AR444" i="9"/>
  <c r="AS444" i="9"/>
  <c r="AT444" i="9"/>
  <c r="AU444" i="9"/>
  <c r="AV444" i="9"/>
  <c r="AW444" i="9"/>
  <c r="AX444" i="9"/>
  <c r="AY444" i="9"/>
  <c r="AZ444" i="9"/>
  <c r="AA445" i="9"/>
  <c r="AB445" i="9"/>
  <c r="AC445" i="9"/>
  <c r="AD445" i="9"/>
  <c r="AE445" i="9"/>
  <c r="AF445" i="9"/>
  <c r="AG445" i="9"/>
  <c r="AH445" i="9"/>
  <c r="AI445" i="9"/>
  <c r="AJ445" i="9"/>
  <c r="AK445" i="9"/>
  <c r="AL445" i="9"/>
  <c r="AM445" i="9"/>
  <c r="AN445" i="9"/>
  <c r="AO445" i="9"/>
  <c r="AP445" i="9"/>
  <c r="AQ445" i="9"/>
  <c r="AR445" i="9"/>
  <c r="AS445" i="9"/>
  <c r="AT445" i="9"/>
  <c r="AU445" i="9"/>
  <c r="AV445" i="9"/>
  <c r="AW445" i="9"/>
  <c r="AX445" i="9"/>
  <c r="AY445" i="9"/>
  <c r="AZ445" i="9"/>
  <c r="AA446" i="9"/>
  <c r="AB446" i="9"/>
  <c r="AC446" i="9"/>
  <c r="AD446" i="9"/>
  <c r="AE446" i="9"/>
  <c r="AF446" i="9"/>
  <c r="AG446" i="9"/>
  <c r="AH446" i="9"/>
  <c r="AI446" i="9"/>
  <c r="AJ446" i="9"/>
  <c r="AK446" i="9"/>
  <c r="AL446" i="9"/>
  <c r="AM446" i="9"/>
  <c r="AN446" i="9"/>
  <c r="AO446" i="9"/>
  <c r="AP446" i="9"/>
  <c r="AQ446" i="9"/>
  <c r="AR446" i="9"/>
  <c r="AS446" i="9"/>
  <c r="AT446" i="9"/>
  <c r="AU446" i="9"/>
  <c r="AV446" i="9"/>
  <c r="AW446" i="9"/>
  <c r="AX446" i="9"/>
  <c r="AY446" i="9"/>
  <c r="AZ446" i="9"/>
  <c r="AA447" i="9"/>
  <c r="AB447" i="9"/>
  <c r="AC447" i="9"/>
  <c r="AD447" i="9"/>
  <c r="AE447" i="9"/>
  <c r="AF447" i="9"/>
  <c r="AG447" i="9"/>
  <c r="AH447" i="9"/>
  <c r="AI447" i="9"/>
  <c r="AJ447" i="9"/>
  <c r="AK447" i="9"/>
  <c r="AL447" i="9"/>
  <c r="AM447" i="9"/>
  <c r="AN447" i="9"/>
  <c r="AO447" i="9"/>
  <c r="AP447" i="9"/>
  <c r="AQ447" i="9"/>
  <c r="AR447" i="9"/>
  <c r="AS447" i="9"/>
  <c r="AT447" i="9"/>
  <c r="AU447" i="9"/>
  <c r="AV447" i="9"/>
  <c r="AW447" i="9"/>
  <c r="AX447" i="9"/>
  <c r="AY447" i="9"/>
  <c r="AZ447" i="9"/>
  <c r="AA448" i="9"/>
  <c r="AB448" i="9"/>
  <c r="AC448" i="9"/>
  <c r="AD448" i="9"/>
  <c r="AE448" i="9"/>
  <c r="AF448" i="9"/>
  <c r="AG448" i="9"/>
  <c r="AH448" i="9"/>
  <c r="AI448" i="9"/>
  <c r="AJ448" i="9"/>
  <c r="AK448" i="9"/>
  <c r="AL448" i="9"/>
  <c r="AM448" i="9"/>
  <c r="AN448" i="9"/>
  <c r="AO448" i="9"/>
  <c r="AP448" i="9"/>
  <c r="AQ448" i="9"/>
  <c r="AR448" i="9"/>
  <c r="AS448" i="9"/>
  <c r="AT448" i="9"/>
  <c r="AU448" i="9"/>
  <c r="AV448" i="9"/>
  <c r="AW448" i="9"/>
  <c r="AX448" i="9"/>
  <c r="AY448" i="9"/>
  <c r="AZ448" i="9"/>
  <c r="AA449" i="9"/>
  <c r="AB449" i="9"/>
  <c r="AC449" i="9"/>
  <c r="AD449" i="9"/>
  <c r="AE449" i="9"/>
  <c r="AF449" i="9"/>
  <c r="AG449" i="9"/>
  <c r="AH449" i="9"/>
  <c r="AI449" i="9"/>
  <c r="AJ449" i="9"/>
  <c r="AK449" i="9"/>
  <c r="AL449" i="9"/>
  <c r="AM449" i="9"/>
  <c r="AN449" i="9"/>
  <c r="AO449" i="9"/>
  <c r="AP449" i="9"/>
  <c r="AQ449" i="9"/>
  <c r="AR449" i="9"/>
  <c r="AS449" i="9"/>
  <c r="AT449" i="9"/>
  <c r="AU449" i="9"/>
  <c r="AV449" i="9"/>
  <c r="AW449" i="9"/>
  <c r="AX449" i="9"/>
  <c r="AY449" i="9"/>
  <c r="AZ449" i="9"/>
  <c r="AA450" i="9"/>
  <c r="AB450" i="9"/>
  <c r="AC450" i="9"/>
  <c r="AD450" i="9"/>
  <c r="AE450" i="9"/>
  <c r="AF450" i="9"/>
  <c r="AG450" i="9"/>
  <c r="AH450" i="9"/>
  <c r="AI450" i="9"/>
  <c r="AJ450" i="9"/>
  <c r="AK450" i="9"/>
  <c r="AL450" i="9"/>
  <c r="AM450" i="9"/>
  <c r="AN450" i="9"/>
  <c r="AO450" i="9"/>
  <c r="AP450" i="9"/>
  <c r="AQ450" i="9"/>
  <c r="AR450" i="9"/>
  <c r="AS450" i="9"/>
  <c r="AT450" i="9"/>
  <c r="AU450" i="9"/>
  <c r="AV450" i="9"/>
  <c r="AW450" i="9"/>
  <c r="AX450" i="9"/>
  <c r="AY450" i="9"/>
  <c r="AZ450" i="9"/>
  <c r="AA451" i="9"/>
  <c r="AB451" i="9"/>
  <c r="AC451" i="9"/>
  <c r="AD451" i="9"/>
  <c r="AE451" i="9"/>
  <c r="AF451" i="9"/>
  <c r="AG451" i="9"/>
  <c r="AH451" i="9"/>
  <c r="AI451" i="9"/>
  <c r="AJ451" i="9"/>
  <c r="AK451" i="9"/>
  <c r="AL451" i="9"/>
  <c r="AM451" i="9"/>
  <c r="AN451" i="9"/>
  <c r="AO451" i="9"/>
  <c r="AP451" i="9"/>
  <c r="AQ451" i="9"/>
  <c r="AR451" i="9"/>
  <c r="AS451" i="9"/>
  <c r="AT451" i="9"/>
  <c r="AU451" i="9"/>
  <c r="AV451" i="9"/>
  <c r="AW451" i="9"/>
  <c r="AX451" i="9"/>
  <c r="AY451" i="9"/>
  <c r="AZ451" i="9"/>
  <c r="AA452" i="9"/>
  <c r="AB452" i="9"/>
  <c r="AC452" i="9"/>
  <c r="AD452" i="9"/>
  <c r="AE452" i="9"/>
  <c r="AF452" i="9"/>
  <c r="AG452" i="9"/>
  <c r="AH452" i="9"/>
  <c r="AI452" i="9"/>
  <c r="AJ452" i="9"/>
  <c r="AK452" i="9"/>
  <c r="AL452" i="9"/>
  <c r="AM452" i="9"/>
  <c r="AN452" i="9"/>
  <c r="AO452" i="9"/>
  <c r="AP452" i="9"/>
  <c r="AQ452" i="9"/>
  <c r="AR452" i="9"/>
  <c r="AS452" i="9"/>
  <c r="AT452" i="9"/>
  <c r="AU452" i="9"/>
  <c r="AV452" i="9"/>
  <c r="AW452" i="9"/>
  <c r="AX452" i="9"/>
  <c r="AY452" i="9"/>
  <c r="AZ452" i="9"/>
  <c r="AA453" i="9"/>
  <c r="AB453" i="9"/>
  <c r="AC453" i="9"/>
  <c r="AD453" i="9"/>
  <c r="AE453" i="9"/>
  <c r="AF453" i="9"/>
  <c r="AG453" i="9"/>
  <c r="AH453" i="9"/>
  <c r="AI453" i="9"/>
  <c r="AJ453" i="9"/>
  <c r="AK453" i="9"/>
  <c r="AL453" i="9"/>
  <c r="AM453" i="9"/>
  <c r="AN453" i="9"/>
  <c r="AO453" i="9"/>
  <c r="AP453" i="9"/>
  <c r="AQ453" i="9"/>
  <c r="AR453" i="9"/>
  <c r="AS453" i="9"/>
  <c r="AT453" i="9"/>
  <c r="AU453" i="9"/>
  <c r="AV453" i="9"/>
  <c r="AW453" i="9"/>
  <c r="AX453" i="9"/>
  <c r="AY453" i="9"/>
  <c r="AZ453" i="9"/>
  <c r="AA454" i="9"/>
  <c r="AB454" i="9"/>
  <c r="AC454" i="9"/>
  <c r="AD454" i="9"/>
  <c r="AE454" i="9"/>
  <c r="AF454" i="9"/>
  <c r="AG454" i="9"/>
  <c r="AH454" i="9"/>
  <c r="AI454" i="9"/>
  <c r="AJ454" i="9"/>
  <c r="AK454" i="9"/>
  <c r="AL454" i="9"/>
  <c r="AM454" i="9"/>
  <c r="AN454" i="9"/>
  <c r="AO454" i="9"/>
  <c r="AP454" i="9"/>
  <c r="AQ454" i="9"/>
  <c r="AR454" i="9"/>
  <c r="AS454" i="9"/>
  <c r="AT454" i="9"/>
  <c r="AU454" i="9"/>
  <c r="AV454" i="9"/>
  <c r="AW454" i="9"/>
  <c r="AX454" i="9"/>
  <c r="AY454" i="9"/>
  <c r="AZ454" i="9"/>
  <c r="AA455" i="9"/>
  <c r="AB455" i="9"/>
  <c r="AC455" i="9"/>
  <c r="AD455" i="9"/>
  <c r="AE455" i="9"/>
  <c r="AF455" i="9"/>
  <c r="AG455" i="9"/>
  <c r="AH455" i="9"/>
  <c r="AI455" i="9"/>
  <c r="AJ455" i="9"/>
  <c r="AK455" i="9"/>
  <c r="AL455" i="9"/>
  <c r="AM455" i="9"/>
  <c r="AN455" i="9"/>
  <c r="AO455" i="9"/>
  <c r="AP455" i="9"/>
  <c r="AQ455" i="9"/>
  <c r="AR455" i="9"/>
  <c r="AS455" i="9"/>
  <c r="AT455" i="9"/>
  <c r="AU455" i="9"/>
  <c r="AV455" i="9"/>
  <c r="AW455" i="9"/>
  <c r="AX455" i="9"/>
  <c r="AY455" i="9"/>
  <c r="AZ455" i="9"/>
  <c r="AA456" i="9"/>
  <c r="AB456" i="9"/>
  <c r="AC456" i="9"/>
  <c r="AD456" i="9"/>
  <c r="AE456" i="9"/>
  <c r="AF456" i="9"/>
  <c r="AG456" i="9"/>
  <c r="AH456" i="9"/>
  <c r="AI456" i="9"/>
  <c r="AJ456" i="9"/>
  <c r="AK456" i="9"/>
  <c r="AL456" i="9"/>
  <c r="AM456" i="9"/>
  <c r="AN456" i="9"/>
  <c r="AO456" i="9"/>
  <c r="AP456" i="9"/>
  <c r="AQ456" i="9"/>
  <c r="AR456" i="9"/>
  <c r="AS456" i="9"/>
  <c r="AT456" i="9"/>
  <c r="AU456" i="9"/>
  <c r="AV456" i="9"/>
  <c r="AW456" i="9"/>
  <c r="AX456" i="9"/>
  <c r="AY456" i="9"/>
  <c r="AZ456" i="9"/>
  <c r="AA457" i="9"/>
  <c r="AB457" i="9"/>
  <c r="AC457" i="9"/>
  <c r="AD457" i="9"/>
  <c r="AE457" i="9"/>
  <c r="AF457" i="9"/>
  <c r="AG457" i="9"/>
  <c r="AH457" i="9"/>
  <c r="AI457" i="9"/>
  <c r="AJ457" i="9"/>
  <c r="AK457" i="9"/>
  <c r="AL457" i="9"/>
  <c r="AM457" i="9"/>
  <c r="AN457" i="9"/>
  <c r="AO457" i="9"/>
  <c r="AP457" i="9"/>
  <c r="AQ457" i="9"/>
  <c r="AR457" i="9"/>
  <c r="AS457" i="9"/>
  <c r="AT457" i="9"/>
  <c r="AU457" i="9"/>
  <c r="AV457" i="9"/>
  <c r="AW457" i="9"/>
  <c r="AX457" i="9"/>
  <c r="AY457" i="9"/>
  <c r="AZ457" i="9"/>
  <c r="AA458" i="9"/>
  <c r="AB458" i="9"/>
  <c r="AC458" i="9"/>
  <c r="AD458" i="9"/>
  <c r="AE458" i="9"/>
  <c r="AF458" i="9"/>
  <c r="AG458" i="9"/>
  <c r="AH458" i="9"/>
  <c r="AI458" i="9"/>
  <c r="AJ458" i="9"/>
  <c r="AK458" i="9"/>
  <c r="AL458" i="9"/>
  <c r="AM458" i="9"/>
  <c r="AN458" i="9"/>
  <c r="AO458" i="9"/>
  <c r="AP458" i="9"/>
  <c r="AQ458" i="9"/>
  <c r="AR458" i="9"/>
  <c r="AS458" i="9"/>
  <c r="AT458" i="9"/>
  <c r="AU458" i="9"/>
  <c r="AV458" i="9"/>
  <c r="AW458" i="9"/>
  <c r="AX458" i="9"/>
  <c r="AY458" i="9"/>
  <c r="AZ458" i="9"/>
  <c r="AA459" i="9"/>
  <c r="AB459" i="9"/>
  <c r="AC459" i="9"/>
  <c r="AD459" i="9"/>
  <c r="AE459" i="9"/>
  <c r="AF459" i="9"/>
  <c r="AG459" i="9"/>
  <c r="AH459" i="9"/>
  <c r="AI459" i="9"/>
  <c r="AJ459" i="9"/>
  <c r="AK459" i="9"/>
  <c r="AL459" i="9"/>
  <c r="AM459" i="9"/>
  <c r="AN459" i="9"/>
  <c r="AO459" i="9"/>
  <c r="AP459" i="9"/>
  <c r="AQ459" i="9"/>
  <c r="AR459" i="9"/>
  <c r="AS459" i="9"/>
  <c r="AT459" i="9"/>
  <c r="AU459" i="9"/>
  <c r="AV459" i="9"/>
  <c r="AW459" i="9"/>
  <c r="AX459" i="9"/>
  <c r="AY459" i="9"/>
  <c r="AZ459" i="9"/>
  <c r="AA460" i="9"/>
  <c r="AB460" i="9"/>
  <c r="AC460" i="9"/>
  <c r="AD460" i="9"/>
  <c r="AE460" i="9"/>
  <c r="AF460" i="9"/>
  <c r="AG460" i="9"/>
  <c r="AH460" i="9"/>
  <c r="AI460" i="9"/>
  <c r="AJ460" i="9"/>
  <c r="AK460" i="9"/>
  <c r="AL460" i="9"/>
  <c r="AM460" i="9"/>
  <c r="AN460" i="9"/>
  <c r="AO460" i="9"/>
  <c r="AP460" i="9"/>
  <c r="AQ460" i="9"/>
  <c r="AR460" i="9"/>
  <c r="AS460" i="9"/>
  <c r="AT460" i="9"/>
  <c r="AU460" i="9"/>
  <c r="AV460" i="9"/>
  <c r="AW460" i="9"/>
  <c r="AX460" i="9"/>
  <c r="AY460" i="9"/>
  <c r="AZ460" i="9"/>
  <c r="AA461" i="9"/>
  <c r="AB461" i="9"/>
  <c r="AC461" i="9"/>
  <c r="AD461" i="9"/>
  <c r="AE461" i="9"/>
  <c r="AF461" i="9"/>
  <c r="AG461" i="9"/>
  <c r="AH461" i="9"/>
  <c r="AI461" i="9"/>
  <c r="AJ461" i="9"/>
  <c r="AK461" i="9"/>
  <c r="AL461" i="9"/>
  <c r="AM461" i="9"/>
  <c r="AN461" i="9"/>
  <c r="AO461" i="9"/>
  <c r="AP461" i="9"/>
  <c r="AQ461" i="9"/>
  <c r="AR461" i="9"/>
  <c r="AS461" i="9"/>
  <c r="AT461" i="9"/>
  <c r="AU461" i="9"/>
  <c r="AV461" i="9"/>
  <c r="AW461" i="9"/>
  <c r="AX461" i="9"/>
  <c r="AY461" i="9"/>
  <c r="AZ461" i="9"/>
  <c r="AA462" i="9"/>
  <c r="AB462" i="9"/>
  <c r="AC462" i="9"/>
  <c r="AD462" i="9"/>
  <c r="AE462" i="9"/>
  <c r="AF462" i="9"/>
  <c r="AG462" i="9"/>
  <c r="AH462" i="9"/>
  <c r="AI462" i="9"/>
  <c r="AJ462" i="9"/>
  <c r="AK462" i="9"/>
  <c r="AL462" i="9"/>
  <c r="AM462" i="9"/>
  <c r="AN462" i="9"/>
  <c r="AO462" i="9"/>
  <c r="AP462" i="9"/>
  <c r="AQ462" i="9"/>
  <c r="AR462" i="9"/>
  <c r="AS462" i="9"/>
  <c r="AT462" i="9"/>
  <c r="AU462" i="9"/>
  <c r="AV462" i="9"/>
  <c r="AW462" i="9"/>
  <c r="AX462" i="9"/>
  <c r="AY462" i="9"/>
  <c r="AZ462" i="9"/>
  <c r="AA463" i="9"/>
  <c r="AB463" i="9"/>
  <c r="AC463" i="9"/>
  <c r="AD463" i="9"/>
  <c r="AE463" i="9"/>
  <c r="AF463" i="9"/>
  <c r="AG463" i="9"/>
  <c r="AH463" i="9"/>
  <c r="AI463" i="9"/>
  <c r="AJ463" i="9"/>
  <c r="AK463" i="9"/>
  <c r="AL463" i="9"/>
  <c r="AM463" i="9"/>
  <c r="AN463" i="9"/>
  <c r="AO463" i="9"/>
  <c r="AP463" i="9"/>
  <c r="AQ463" i="9"/>
  <c r="AR463" i="9"/>
  <c r="AS463" i="9"/>
  <c r="AT463" i="9"/>
  <c r="AU463" i="9"/>
  <c r="AV463" i="9"/>
  <c r="AW463" i="9"/>
  <c r="AX463" i="9"/>
  <c r="AY463" i="9"/>
  <c r="AZ463" i="9"/>
  <c r="AA464" i="9"/>
  <c r="AB464" i="9"/>
  <c r="AC464" i="9"/>
  <c r="AD464" i="9"/>
  <c r="AE464" i="9"/>
  <c r="AF464" i="9"/>
  <c r="AG464" i="9"/>
  <c r="AH464" i="9"/>
  <c r="AI464" i="9"/>
  <c r="AJ464" i="9"/>
  <c r="AK464" i="9"/>
  <c r="AL464" i="9"/>
  <c r="AM464" i="9"/>
  <c r="AN464" i="9"/>
  <c r="AO464" i="9"/>
  <c r="AP464" i="9"/>
  <c r="AQ464" i="9"/>
  <c r="AR464" i="9"/>
  <c r="AS464" i="9"/>
  <c r="AT464" i="9"/>
  <c r="AU464" i="9"/>
  <c r="AV464" i="9"/>
  <c r="AW464" i="9"/>
  <c r="AX464" i="9"/>
  <c r="AY464" i="9"/>
  <c r="AZ464" i="9"/>
  <c r="AA465" i="9"/>
  <c r="AB465" i="9"/>
  <c r="AC465" i="9"/>
  <c r="AD465" i="9"/>
  <c r="AE465" i="9"/>
  <c r="AF465" i="9"/>
  <c r="AG465" i="9"/>
  <c r="AH465" i="9"/>
  <c r="AI465" i="9"/>
  <c r="AJ465" i="9"/>
  <c r="AK465" i="9"/>
  <c r="AL465" i="9"/>
  <c r="AM465" i="9"/>
  <c r="AN465" i="9"/>
  <c r="AO465" i="9"/>
  <c r="AP465" i="9"/>
  <c r="AQ465" i="9"/>
  <c r="AR465" i="9"/>
  <c r="AS465" i="9"/>
  <c r="AT465" i="9"/>
  <c r="AU465" i="9"/>
  <c r="AV465" i="9"/>
  <c r="AW465" i="9"/>
  <c r="AX465" i="9"/>
  <c r="AY465" i="9"/>
  <c r="AZ465" i="9"/>
  <c r="AA466" i="9"/>
  <c r="AB466" i="9"/>
  <c r="AC466" i="9"/>
  <c r="AD466" i="9"/>
  <c r="AE466" i="9"/>
  <c r="AF466" i="9"/>
  <c r="AG466" i="9"/>
  <c r="AH466" i="9"/>
  <c r="AI466" i="9"/>
  <c r="AJ466" i="9"/>
  <c r="AK466" i="9"/>
  <c r="AL466" i="9"/>
  <c r="AM466" i="9"/>
  <c r="AN466" i="9"/>
  <c r="AO466" i="9"/>
  <c r="AP466" i="9"/>
  <c r="AQ466" i="9"/>
  <c r="AR466" i="9"/>
  <c r="AS466" i="9"/>
  <c r="AT466" i="9"/>
  <c r="AU466" i="9"/>
  <c r="AV466" i="9"/>
  <c r="AW466" i="9"/>
  <c r="AX466" i="9"/>
  <c r="AY466" i="9"/>
  <c r="AZ466" i="9"/>
  <c r="AA467" i="9"/>
  <c r="AB467" i="9"/>
  <c r="AC467" i="9"/>
  <c r="AD467" i="9"/>
  <c r="AE467" i="9"/>
  <c r="AF467" i="9"/>
  <c r="AG467" i="9"/>
  <c r="AH467" i="9"/>
  <c r="AI467" i="9"/>
  <c r="AJ467" i="9"/>
  <c r="AK467" i="9"/>
  <c r="AL467" i="9"/>
  <c r="AM467" i="9"/>
  <c r="AN467" i="9"/>
  <c r="AO467" i="9"/>
  <c r="AP467" i="9"/>
  <c r="AQ467" i="9"/>
  <c r="AR467" i="9"/>
  <c r="AS467" i="9"/>
  <c r="AT467" i="9"/>
  <c r="AU467" i="9"/>
  <c r="AV467" i="9"/>
  <c r="AW467" i="9"/>
  <c r="AX467" i="9"/>
  <c r="AY467" i="9"/>
  <c r="AZ467" i="9"/>
  <c r="AA468" i="9"/>
  <c r="AB468" i="9"/>
  <c r="AC468" i="9"/>
  <c r="AD468" i="9"/>
  <c r="AE468" i="9"/>
  <c r="AF468" i="9"/>
  <c r="AG468" i="9"/>
  <c r="AH468" i="9"/>
  <c r="AI468" i="9"/>
  <c r="AJ468" i="9"/>
  <c r="AK468" i="9"/>
  <c r="AL468" i="9"/>
  <c r="AM468" i="9"/>
  <c r="AN468" i="9"/>
  <c r="AO468" i="9"/>
  <c r="AP468" i="9"/>
  <c r="AQ468" i="9"/>
  <c r="AR468" i="9"/>
  <c r="AS468" i="9"/>
  <c r="AT468" i="9"/>
  <c r="AU468" i="9"/>
  <c r="AV468" i="9"/>
  <c r="AW468" i="9"/>
  <c r="AX468" i="9"/>
  <c r="AY468" i="9"/>
  <c r="AZ468" i="9"/>
  <c r="AA469" i="9"/>
  <c r="AB469" i="9"/>
  <c r="AC469" i="9"/>
  <c r="AD469" i="9"/>
  <c r="AE469" i="9"/>
  <c r="AF469" i="9"/>
  <c r="AG469" i="9"/>
  <c r="AH469" i="9"/>
  <c r="AI469" i="9"/>
  <c r="AJ469" i="9"/>
  <c r="AK469" i="9"/>
  <c r="AL469" i="9"/>
  <c r="AM469" i="9"/>
  <c r="AN469" i="9"/>
  <c r="AO469" i="9"/>
  <c r="AP469" i="9"/>
  <c r="AQ469" i="9"/>
  <c r="AR469" i="9"/>
  <c r="AS469" i="9"/>
  <c r="AT469" i="9"/>
  <c r="AU469" i="9"/>
  <c r="AV469" i="9"/>
  <c r="AW469" i="9"/>
  <c r="AX469" i="9"/>
  <c r="AY469" i="9"/>
  <c r="AZ469" i="9"/>
  <c r="AA470" i="9"/>
  <c r="AB470" i="9"/>
  <c r="AC470" i="9"/>
  <c r="AD470" i="9"/>
  <c r="AE470" i="9"/>
  <c r="AF470" i="9"/>
  <c r="AG470" i="9"/>
  <c r="AH470" i="9"/>
  <c r="AI470" i="9"/>
  <c r="AJ470" i="9"/>
  <c r="AK470" i="9"/>
  <c r="AL470" i="9"/>
  <c r="AM470" i="9"/>
  <c r="AN470" i="9"/>
  <c r="AO470" i="9"/>
  <c r="AP470" i="9"/>
  <c r="AQ470" i="9"/>
  <c r="AR470" i="9"/>
  <c r="AS470" i="9"/>
  <c r="AT470" i="9"/>
  <c r="AU470" i="9"/>
  <c r="AV470" i="9"/>
  <c r="AW470" i="9"/>
  <c r="AX470" i="9"/>
  <c r="AY470" i="9"/>
  <c r="AZ470" i="9"/>
  <c r="AA471" i="9"/>
  <c r="AB471" i="9"/>
  <c r="AC471" i="9"/>
  <c r="AD471" i="9"/>
  <c r="AE471" i="9"/>
  <c r="AF471" i="9"/>
  <c r="AG471" i="9"/>
  <c r="AH471" i="9"/>
  <c r="AI471" i="9"/>
  <c r="AJ471" i="9"/>
  <c r="AK471" i="9"/>
  <c r="AL471" i="9"/>
  <c r="AM471" i="9"/>
  <c r="AN471" i="9"/>
  <c r="AO471" i="9"/>
  <c r="AP471" i="9"/>
  <c r="AQ471" i="9"/>
  <c r="AR471" i="9"/>
  <c r="AS471" i="9"/>
  <c r="AT471" i="9"/>
  <c r="AU471" i="9"/>
  <c r="AV471" i="9"/>
  <c r="AW471" i="9"/>
  <c r="AX471" i="9"/>
  <c r="AY471" i="9"/>
  <c r="AZ471" i="9"/>
  <c r="AA472" i="9"/>
  <c r="AB472" i="9"/>
  <c r="AC472" i="9"/>
  <c r="AD472" i="9"/>
  <c r="AE472" i="9"/>
  <c r="AF472" i="9"/>
  <c r="AG472" i="9"/>
  <c r="AH472" i="9"/>
  <c r="AI472" i="9"/>
  <c r="AJ472" i="9"/>
  <c r="AK472" i="9"/>
  <c r="AL472" i="9"/>
  <c r="AM472" i="9"/>
  <c r="AN472" i="9"/>
  <c r="AO472" i="9"/>
  <c r="AP472" i="9"/>
  <c r="AQ472" i="9"/>
  <c r="AR472" i="9"/>
  <c r="AS472" i="9"/>
  <c r="AT472" i="9"/>
  <c r="AU472" i="9"/>
  <c r="AV472" i="9"/>
  <c r="AW472" i="9"/>
  <c r="AX472" i="9"/>
  <c r="AY472" i="9"/>
  <c r="AZ472" i="9"/>
  <c r="AA473" i="9"/>
  <c r="AB473" i="9"/>
  <c r="AC473" i="9"/>
  <c r="AD473" i="9"/>
  <c r="AE473" i="9"/>
  <c r="AF473" i="9"/>
  <c r="AG473" i="9"/>
  <c r="AH473" i="9"/>
  <c r="AI473" i="9"/>
  <c r="AJ473" i="9"/>
  <c r="AK473" i="9"/>
  <c r="AL473" i="9"/>
  <c r="AM473" i="9"/>
  <c r="AN473" i="9"/>
  <c r="AO473" i="9"/>
  <c r="AP473" i="9"/>
  <c r="AQ473" i="9"/>
  <c r="AR473" i="9"/>
  <c r="AS473" i="9"/>
  <c r="AT473" i="9"/>
  <c r="AU473" i="9"/>
  <c r="AV473" i="9"/>
  <c r="AW473" i="9"/>
  <c r="AX473" i="9"/>
  <c r="AY473" i="9"/>
  <c r="AZ473" i="9"/>
  <c r="AA474" i="9"/>
  <c r="AB474" i="9"/>
  <c r="AC474" i="9"/>
  <c r="AD474" i="9"/>
  <c r="AE474" i="9"/>
  <c r="AF474" i="9"/>
  <c r="AG474" i="9"/>
  <c r="AH474" i="9"/>
  <c r="AI474" i="9"/>
  <c r="AJ474" i="9"/>
  <c r="AK474" i="9"/>
  <c r="AL474" i="9"/>
  <c r="AM474" i="9"/>
  <c r="AN474" i="9"/>
  <c r="AO474" i="9"/>
  <c r="AP474" i="9"/>
  <c r="AQ474" i="9"/>
  <c r="AR474" i="9"/>
  <c r="AS474" i="9"/>
  <c r="AT474" i="9"/>
  <c r="AU474" i="9"/>
  <c r="AV474" i="9"/>
  <c r="AW474" i="9"/>
  <c r="AX474" i="9"/>
  <c r="AY474" i="9"/>
  <c r="AZ474" i="9"/>
  <c r="AA475" i="9"/>
  <c r="AB475" i="9"/>
  <c r="AC475" i="9"/>
  <c r="AD475" i="9"/>
  <c r="AE475" i="9"/>
  <c r="AF475" i="9"/>
  <c r="AG475" i="9"/>
  <c r="AH475" i="9"/>
  <c r="AI475" i="9"/>
  <c r="AJ475" i="9"/>
  <c r="AK475" i="9"/>
  <c r="AL475" i="9"/>
  <c r="AM475" i="9"/>
  <c r="AN475" i="9"/>
  <c r="AO475" i="9"/>
  <c r="AP475" i="9"/>
  <c r="AQ475" i="9"/>
  <c r="AR475" i="9"/>
  <c r="AS475" i="9"/>
  <c r="AT475" i="9"/>
  <c r="AU475" i="9"/>
  <c r="AV475" i="9"/>
  <c r="AW475" i="9"/>
  <c r="AX475" i="9"/>
  <c r="AY475" i="9"/>
  <c r="AZ475" i="9"/>
  <c r="AA476" i="9"/>
  <c r="AB476" i="9"/>
  <c r="AC476" i="9"/>
  <c r="AD476" i="9"/>
  <c r="AE476" i="9"/>
  <c r="AF476" i="9"/>
  <c r="AG476" i="9"/>
  <c r="AH476" i="9"/>
  <c r="AI476" i="9"/>
  <c r="AJ476" i="9"/>
  <c r="AK476" i="9"/>
  <c r="AL476" i="9"/>
  <c r="AM476" i="9"/>
  <c r="AN476" i="9"/>
  <c r="AO476" i="9"/>
  <c r="AP476" i="9"/>
  <c r="AQ476" i="9"/>
  <c r="AR476" i="9"/>
  <c r="AS476" i="9"/>
  <c r="AT476" i="9"/>
  <c r="AU476" i="9"/>
  <c r="AV476" i="9"/>
  <c r="AW476" i="9"/>
  <c r="AX476" i="9"/>
  <c r="AY476" i="9"/>
  <c r="AZ476" i="9"/>
  <c r="AA477" i="9"/>
  <c r="AB477" i="9"/>
  <c r="AC477" i="9"/>
  <c r="AD477" i="9"/>
  <c r="AE477" i="9"/>
  <c r="AF477" i="9"/>
  <c r="AG477" i="9"/>
  <c r="AH477" i="9"/>
  <c r="AI477" i="9"/>
  <c r="AJ477" i="9"/>
  <c r="AK477" i="9"/>
  <c r="AL477" i="9"/>
  <c r="AM477" i="9"/>
  <c r="AN477" i="9"/>
  <c r="AO477" i="9"/>
  <c r="AP477" i="9"/>
  <c r="AQ477" i="9"/>
  <c r="AR477" i="9"/>
  <c r="AS477" i="9"/>
  <c r="AT477" i="9"/>
  <c r="AU477" i="9"/>
  <c r="AV477" i="9"/>
  <c r="AW477" i="9"/>
  <c r="AX477" i="9"/>
  <c r="AY477" i="9"/>
  <c r="AZ477" i="9"/>
  <c r="AA478" i="9"/>
  <c r="AB478" i="9"/>
  <c r="AC478" i="9"/>
  <c r="AD478" i="9"/>
  <c r="AE478" i="9"/>
  <c r="AF478" i="9"/>
  <c r="AG478" i="9"/>
  <c r="AH478" i="9"/>
  <c r="AI478" i="9"/>
  <c r="AJ478" i="9"/>
  <c r="AK478" i="9"/>
  <c r="AL478" i="9"/>
  <c r="AM478" i="9"/>
  <c r="AN478" i="9"/>
  <c r="AO478" i="9"/>
  <c r="AP478" i="9"/>
  <c r="AQ478" i="9"/>
  <c r="AR478" i="9"/>
  <c r="AS478" i="9"/>
  <c r="AT478" i="9"/>
  <c r="AU478" i="9"/>
  <c r="AV478" i="9"/>
  <c r="AW478" i="9"/>
  <c r="AX478" i="9"/>
  <c r="AY478" i="9"/>
  <c r="AZ478" i="9"/>
  <c r="AA479" i="9"/>
  <c r="AB479" i="9"/>
  <c r="AC479" i="9"/>
  <c r="AD479" i="9"/>
  <c r="AE479" i="9"/>
  <c r="AF479" i="9"/>
  <c r="AG479" i="9"/>
  <c r="AH479" i="9"/>
  <c r="AI479" i="9"/>
  <c r="AJ479" i="9"/>
  <c r="AK479" i="9"/>
  <c r="AL479" i="9"/>
  <c r="AM479" i="9"/>
  <c r="AN479" i="9"/>
  <c r="AO479" i="9"/>
  <c r="AP479" i="9"/>
  <c r="AQ479" i="9"/>
  <c r="AR479" i="9"/>
  <c r="AS479" i="9"/>
  <c r="AT479" i="9"/>
  <c r="AU479" i="9"/>
  <c r="AV479" i="9"/>
  <c r="AW479" i="9"/>
  <c r="AX479" i="9"/>
  <c r="AY479" i="9"/>
  <c r="AZ479" i="9"/>
  <c r="AA480" i="9"/>
  <c r="AB480" i="9"/>
  <c r="AC480" i="9"/>
  <c r="AD480" i="9"/>
  <c r="AE480" i="9"/>
  <c r="AF480" i="9"/>
  <c r="AG480" i="9"/>
  <c r="AH480" i="9"/>
  <c r="AI480" i="9"/>
  <c r="AJ480" i="9"/>
  <c r="AK480" i="9"/>
  <c r="AL480" i="9"/>
  <c r="AM480" i="9"/>
  <c r="AN480" i="9"/>
  <c r="AO480" i="9"/>
  <c r="AP480" i="9"/>
  <c r="AQ480" i="9"/>
  <c r="AR480" i="9"/>
  <c r="AS480" i="9"/>
  <c r="AT480" i="9"/>
  <c r="AU480" i="9"/>
  <c r="AV480" i="9"/>
  <c r="AW480" i="9"/>
  <c r="AX480" i="9"/>
  <c r="AY480" i="9"/>
  <c r="AZ480" i="9"/>
  <c r="AA481" i="9"/>
  <c r="AB481" i="9"/>
  <c r="AC481" i="9"/>
  <c r="AD481" i="9"/>
  <c r="AE481" i="9"/>
  <c r="AF481" i="9"/>
  <c r="AG481" i="9"/>
  <c r="AH481" i="9"/>
  <c r="AI481" i="9"/>
  <c r="AJ481" i="9"/>
  <c r="AK481" i="9"/>
  <c r="AL481" i="9"/>
  <c r="AM481" i="9"/>
  <c r="AN481" i="9"/>
  <c r="AO481" i="9"/>
  <c r="AP481" i="9"/>
  <c r="AQ481" i="9"/>
  <c r="AR481" i="9"/>
  <c r="AS481" i="9"/>
  <c r="AT481" i="9"/>
  <c r="AU481" i="9"/>
  <c r="AV481" i="9"/>
  <c r="AW481" i="9"/>
  <c r="AX481" i="9"/>
  <c r="AY481" i="9"/>
  <c r="AZ481" i="9"/>
  <c r="AA482" i="9"/>
  <c r="AB482" i="9"/>
  <c r="AC482" i="9"/>
  <c r="AD482" i="9"/>
  <c r="AE482" i="9"/>
  <c r="AF482" i="9"/>
  <c r="AG482" i="9"/>
  <c r="AH482" i="9"/>
  <c r="AI482" i="9"/>
  <c r="AJ482" i="9"/>
  <c r="AK482" i="9"/>
  <c r="AL482" i="9"/>
  <c r="AM482" i="9"/>
  <c r="AN482" i="9"/>
  <c r="AO482" i="9"/>
  <c r="AP482" i="9"/>
  <c r="AQ482" i="9"/>
  <c r="AR482" i="9"/>
  <c r="AS482" i="9"/>
  <c r="AT482" i="9"/>
  <c r="AU482" i="9"/>
  <c r="AV482" i="9"/>
  <c r="AW482" i="9"/>
  <c r="AX482" i="9"/>
  <c r="AY482" i="9"/>
  <c r="AZ482" i="9"/>
  <c r="AA483" i="9"/>
  <c r="AB483" i="9"/>
  <c r="AC483" i="9"/>
  <c r="AD483" i="9"/>
  <c r="AE483" i="9"/>
  <c r="AF483" i="9"/>
  <c r="AG483" i="9"/>
  <c r="AH483" i="9"/>
  <c r="AI483" i="9"/>
  <c r="AJ483" i="9"/>
  <c r="AK483" i="9"/>
  <c r="AL483" i="9"/>
  <c r="AM483" i="9"/>
  <c r="AN483" i="9"/>
  <c r="AO483" i="9"/>
  <c r="AP483" i="9"/>
  <c r="AQ483" i="9"/>
  <c r="AR483" i="9"/>
  <c r="AS483" i="9"/>
  <c r="AT483" i="9"/>
  <c r="AU483" i="9"/>
  <c r="AV483" i="9"/>
  <c r="AW483" i="9"/>
  <c r="AX483" i="9"/>
  <c r="AY483" i="9"/>
  <c r="AZ483" i="9"/>
  <c r="AA484" i="9"/>
  <c r="AB484" i="9"/>
  <c r="AC484" i="9"/>
  <c r="AD484" i="9"/>
  <c r="AE484" i="9"/>
  <c r="AF484" i="9"/>
  <c r="AG484" i="9"/>
  <c r="AH484" i="9"/>
  <c r="AI484" i="9"/>
  <c r="AJ484" i="9"/>
  <c r="AK484" i="9"/>
  <c r="AL484" i="9"/>
  <c r="AM484" i="9"/>
  <c r="AN484" i="9"/>
  <c r="AO484" i="9"/>
  <c r="AP484" i="9"/>
  <c r="AQ484" i="9"/>
  <c r="AR484" i="9"/>
  <c r="AS484" i="9"/>
  <c r="AT484" i="9"/>
  <c r="AU484" i="9"/>
  <c r="AV484" i="9"/>
  <c r="AW484" i="9"/>
  <c r="AX484" i="9"/>
  <c r="AY484" i="9"/>
  <c r="AZ484" i="9"/>
  <c r="AA485" i="9"/>
  <c r="AB485" i="9"/>
  <c r="AC485" i="9"/>
  <c r="AD485" i="9"/>
  <c r="AE485" i="9"/>
  <c r="AF485" i="9"/>
  <c r="AG485" i="9"/>
  <c r="AH485" i="9"/>
  <c r="AI485" i="9"/>
  <c r="AJ485" i="9"/>
  <c r="AK485" i="9"/>
  <c r="AL485" i="9"/>
  <c r="AM485" i="9"/>
  <c r="AN485" i="9"/>
  <c r="AO485" i="9"/>
  <c r="AP485" i="9"/>
  <c r="AQ485" i="9"/>
  <c r="AR485" i="9"/>
  <c r="AS485" i="9"/>
  <c r="AT485" i="9"/>
  <c r="AU485" i="9"/>
  <c r="AV485" i="9"/>
  <c r="AW485" i="9"/>
  <c r="AX485" i="9"/>
  <c r="AY485" i="9"/>
  <c r="AZ485" i="9"/>
  <c r="AA486" i="9"/>
  <c r="AB486" i="9"/>
  <c r="AC486" i="9"/>
  <c r="AD486" i="9"/>
  <c r="AE486" i="9"/>
  <c r="AF486" i="9"/>
  <c r="AG486" i="9"/>
  <c r="AH486" i="9"/>
  <c r="AI486" i="9"/>
  <c r="AJ486" i="9"/>
  <c r="AK486" i="9"/>
  <c r="AL486" i="9"/>
  <c r="AM486" i="9"/>
  <c r="AN486" i="9"/>
  <c r="AO486" i="9"/>
  <c r="AP486" i="9"/>
  <c r="AQ486" i="9"/>
  <c r="AR486" i="9"/>
  <c r="AS486" i="9"/>
  <c r="AT486" i="9"/>
  <c r="AU486" i="9"/>
  <c r="AV486" i="9"/>
  <c r="AW486" i="9"/>
  <c r="AX486" i="9"/>
  <c r="AY486" i="9"/>
  <c r="AZ486" i="9"/>
  <c r="AA487" i="9"/>
  <c r="AB487" i="9"/>
  <c r="AC487" i="9"/>
  <c r="AD487" i="9"/>
  <c r="AE487" i="9"/>
  <c r="AF487" i="9"/>
  <c r="AG487" i="9"/>
  <c r="AH487" i="9"/>
  <c r="AI487" i="9"/>
  <c r="AJ487" i="9"/>
  <c r="AK487" i="9"/>
  <c r="AL487" i="9"/>
  <c r="AM487" i="9"/>
  <c r="AN487" i="9"/>
  <c r="AO487" i="9"/>
  <c r="AP487" i="9"/>
  <c r="AQ487" i="9"/>
  <c r="AR487" i="9"/>
  <c r="AS487" i="9"/>
  <c r="AT487" i="9"/>
  <c r="AU487" i="9"/>
  <c r="AV487" i="9"/>
  <c r="AW487" i="9"/>
  <c r="AX487" i="9"/>
  <c r="AY487" i="9"/>
  <c r="AZ487" i="9"/>
  <c r="AA488" i="9"/>
  <c r="AB488" i="9"/>
  <c r="AC488" i="9"/>
  <c r="AD488" i="9"/>
  <c r="AE488" i="9"/>
  <c r="AF488" i="9"/>
  <c r="AG488" i="9"/>
  <c r="AH488" i="9"/>
  <c r="AI488" i="9"/>
  <c r="AJ488" i="9"/>
  <c r="AK488" i="9"/>
  <c r="AL488" i="9"/>
  <c r="AM488" i="9"/>
  <c r="AN488" i="9"/>
  <c r="AO488" i="9"/>
  <c r="AP488" i="9"/>
  <c r="AQ488" i="9"/>
  <c r="AR488" i="9"/>
  <c r="AS488" i="9"/>
  <c r="AT488" i="9"/>
  <c r="AU488" i="9"/>
  <c r="AV488" i="9"/>
  <c r="AW488" i="9"/>
  <c r="AX488" i="9"/>
  <c r="AY488" i="9"/>
  <c r="AZ488" i="9"/>
  <c r="AA489" i="9"/>
  <c r="AB489" i="9"/>
  <c r="AC489" i="9"/>
  <c r="AD489" i="9"/>
  <c r="AE489" i="9"/>
  <c r="AF489" i="9"/>
  <c r="AG489" i="9"/>
  <c r="AH489" i="9"/>
  <c r="AI489" i="9"/>
  <c r="AJ489" i="9"/>
  <c r="AK489" i="9"/>
  <c r="AL489" i="9"/>
  <c r="AM489" i="9"/>
  <c r="AN489" i="9"/>
  <c r="AO489" i="9"/>
  <c r="AP489" i="9"/>
  <c r="AQ489" i="9"/>
  <c r="AR489" i="9"/>
  <c r="AS489" i="9"/>
  <c r="AT489" i="9"/>
  <c r="AU489" i="9"/>
  <c r="AV489" i="9"/>
  <c r="AW489" i="9"/>
  <c r="AX489" i="9"/>
  <c r="AY489" i="9"/>
  <c r="AZ489" i="9"/>
  <c r="AA490" i="9"/>
  <c r="AB490" i="9"/>
  <c r="AC490" i="9"/>
  <c r="AD490" i="9"/>
  <c r="AE490" i="9"/>
  <c r="AF490" i="9"/>
  <c r="AG490" i="9"/>
  <c r="AH490" i="9"/>
  <c r="AI490" i="9"/>
  <c r="AJ490" i="9"/>
  <c r="AK490" i="9"/>
  <c r="AL490" i="9"/>
  <c r="AM490" i="9"/>
  <c r="AN490" i="9"/>
  <c r="AO490" i="9"/>
  <c r="AP490" i="9"/>
  <c r="AQ490" i="9"/>
  <c r="AR490" i="9"/>
  <c r="AS490" i="9"/>
  <c r="AT490" i="9"/>
  <c r="AU490" i="9"/>
  <c r="AV490" i="9"/>
  <c r="AW490" i="9"/>
  <c r="AX490" i="9"/>
  <c r="AY490" i="9"/>
  <c r="AZ490" i="9"/>
  <c r="AA491" i="9"/>
  <c r="AB491" i="9"/>
  <c r="AC491" i="9"/>
  <c r="AD491" i="9"/>
  <c r="AE491" i="9"/>
  <c r="AF491" i="9"/>
  <c r="AG491" i="9"/>
  <c r="AH491" i="9"/>
  <c r="AI491" i="9"/>
  <c r="AJ491" i="9"/>
  <c r="AK491" i="9"/>
  <c r="AL491" i="9"/>
  <c r="AM491" i="9"/>
  <c r="AN491" i="9"/>
  <c r="AO491" i="9"/>
  <c r="AP491" i="9"/>
  <c r="AQ491" i="9"/>
  <c r="AR491" i="9"/>
  <c r="AS491" i="9"/>
  <c r="AT491" i="9"/>
  <c r="AU491" i="9"/>
  <c r="AV491" i="9"/>
  <c r="AW491" i="9"/>
  <c r="AX491" i="9"/>
  <c r="AY491" i="9"/>
  <c r="AZ491" i="9"/>
  <c r="AA492" i="9"/>
  <c r="AB492" i="9"/>
  <c r="AC492" i="9"/>
  <c r="AD492" i="9"/>
  <c r="AE492" i="9"/>
  <c r="AF492" i="9"/>
  <c r="AG492" i="9"/>
  <c r="AH492" i="9"/>
  <c r="AI492" i="9"/>
  <c r="AJ492" i="9"/>
  <c r="AK492" i="9"/>
  <c r="AL492" i="9"/>
  <c r="AM492" i="9"/>
  <c r="AN492" i="9"/>
  <c r="AO492" i="9"/>
  <c r="AP492" i="9"/>
  <c r="AQ492" i="9"/>
  <c r="AR492" i="9"/>
  <c r="AS492" i="9"/>
  <c r="AT492" i="9"/>
  <c r="AU492" i="9"/>
  <c r="AV492" i="9"/>
  <c r="AW492" i="9"/>
  <c r="AX492" i="9"/>
  <c r="AY492" i="9"/>
  <c r="AZ492" i="9"/>
  <c r="AA493" i="9"/>
  <c r="AB493" i="9"/>
  <c r="AC493" i="9"/>
  <c r="AD493" i="9"/>
  <c r="AE493" i="9"/>
  <c r="AF493" i="9"/>
  <c r="AG493" i="9"/>
  <c r="AH493" i="9"/>
  <c r="AI493" i="9"/>
  <c r="AJ493" i="9"/>
  <c r="AK493" i="9"/>
  <c r="AL493" i="9"/>
  <c r="AM493" i="9"/>
  <c r="AN493" i="9"/>
  <c r="AO493" i="9"/>
  <c r="AP493" i="9"/>
  <c r="AQ493" i="9"/>
  <c r="AR493" i="9"/>
  <c r="AS493" i="9"/>
  <c r="AT493" i="9"/>
  <c r="AU493" i="9"/>
  <c r="AV493" i="9"/>
  <c r="AW493" i="9"/>
  <c r="AX493" i="9"/>
  <c r="AY493" i="9"/>
  <c r="AZ493" i="9"/>
  <c r="AA494" i="9"/>
  <c r="AB494" i="9"/>
  <c r="AC494" i="9"/>
  <c r="AD494" i="9"/>
  <c r="AE494" i="9"/>
  <c r="AF494" i="9"/>
  <c r="AG494" i="9"/>
  <c r="AH494" i="9"/>
  <c r="AI494" i="9"/>
  <c r="AJ494" i="9"/>
  <c r="AK494" i="9"/>
  <c r="AL494" i="9"/>
  <c r="AM494" i="9"/>
  <c r="AN494" i="9"/>
  <c r="AO494" i="9"/>
  <c r="AP494" i="9"/>
  <c r="AQ494" i="9"/>
  <c r="AR494" i="9"/>
  <c r="AS494" i="9"/>
  <c r="AT494" i="9"/>
  <c r="AU494" i="9"/>
  <c r="AV494" i="9"/>
  <c r="AW494" i="9"/>
  <c r="AX494" i="9"/>
  <c r="AY494" i="9"/>
  <c r="AZ494" i="9"/>
  <c r="AA495" i="9"/>
  <c r="AB495" i="9"/>
  <c r="AC495" i="9"/>
  <c r="AD495" i="9"/>
  <c r="AE495" i="9"/>
  <c r="AF495" i="9"/>
  <c r="AG495" i="9"/>
  <c r="AH495" i="9"/>
  <c r="AI495" i="9"/>
  <c r="AJ495" i="9"/>
  <c r="AK495" i="9"/>
  <c r="AL495" i="9"/>
  <c r="AM495" i="9"/>
  <c r="AN495" i="9"/>
  <c r="AO495" i="9"/>
  <c r="AP495" i="9"/>
  <c r="AQ495" i="9"/>
  <c r="AR495" i="9"/>
  <c r="AS495" i="9"/>
  <c r="AT495" i="9"/>
  <c r="AU495" i="9"/>
  <c r="AV495" i="9"/>
  <c r="AW495" i="9"/>
  <c r="AX495" i="9"/>
  <c r="AY495" i="9"/>
  <c r="AZ495" i="9"/>
  <c r="AA496" i="9"/>
  <c r="AB496" i="9"/>
  <c r="AC496" i="9"/>
  <c r="AD496" i="9"/>
  <c r="AE496" i="9"/>
  <c r="AF496" i="9"/>
  <c r="AG496" i="9"/>
  <c r="AH496" i="9"/>
  <c r="AI496" i="9"/>
  <c r="AJ496" i="9"/>
  <c r="AK496" i="9"/>
  <c r="AL496" i="9"/>
  <c r="AM496" i="9"/>
  <c r="AN496" i="9"/>
  <c r="AO496" i="9"/>
  <c r="AP496" i="9"/>
  <c r="AQ496" i="9"/>
  <c r="AR496" i="9"/>
  <c r="AS496" i="9"/>
  <c r="AT496" i="9"/>
  <c r="AU496" i="9"/>
  <c r="AV496" i="9"/>
  <c r="AW496" i="9"/>
  <c r="AX496" i="9"/>
  <c r="AY496" i="9"/>
  <c r="AZ496" i="9"/>
  <c r="AA497" i="9"/>
  <c r="AB497" i="9"/>
  <c r="AC497" i="9"/>
  <c r="AD497" i="9"/>
  <c r="AE497" i="9"/>
  <c r="AF497" i="9"/>
  <c r="AG497" i="9"/>
  <c r="AH497" i="9"/>
  <c r="AI497" i="9"/>
  <c r="AJ497" i="9"/>
  <c r="AK497" i="9"/>
  <c r="AL497" i="9"/>
  <c r="AM497" i="9"/>
  <c r="AN497" i="9"/>
  <c r="AO497" i="9"/>
  <c r="AP497" i="9"/>
  <c r="AQ497" i="9"/>
  <c r="AR497" i="9"/>
  <c r="AS497" i="9"/>
  <c r="AT497" i="9"/>
  <c r="AU497" i="9"/>
  <c r="AV497" i="9"/>
  <c r="AW497" i="9"/>
  <c r="AX497" i="9"/>
  <c r="AY497" i="9"/>
  <c r="AZ497" i="9"/>
  <c r="AA498" i="9"/>
  <c r="AB498" i="9"/>
  <c r="AC498" i="9"/>
  <c r="AD498" i="9"/>
  <c r="AE498" i="9"/>
  <c r="AF498" i="9"/>
  <c r="AG498" i="9"/>
  <c r="AH498" i="9"/>
  <c r="AI498" i="9"/>
  <c r="AJ498" i="9"/>
  <c r="AK498" i="9"/>
  <c r="AL498" i="9"/>
  <c r="AM498" i="9"/>
  <c r="AN498" i="9"/>
  <c r="AO498" i="9"/>
  <c r="AP498" i="9"/>
  <c r="AQ498" i="9"/>
  <c r="AR498" i="9"/>
  <c r="AS498" i="9"/>
  <c r="AT498" i="9"/>
  <c r="AU498" i="9"/>
  <c r="AV498" i="9"/>
  <c r="AW498" i="9"/>
  <c r="AX498" i="9"/>
  <c r="AY498" i="9"/>
  <c r="AZ498" i="9"/>
  <c r="AA499" i="9"/>
  <c r="AB499" i="9"/>
  <c r="AC499" i="9"/>
  <c r="AD499" i="9"/>
  <c r="AE499" i="9"/>
  <c r="AF499" i="9"/>
  <c r="AG499" i="9"/>
  <c r="AH499" i="9"/>
  <c r="AI499" i="9"/>
  <c r="AJ499" i="9"/>
  <c r="AK499" i="9"/>
  <c r="AL499" i="9"/>
  <c r="AM499" i="9"/>
  <c r="AN499" i="9"/>
  <c r="AO499" i="9"/>
  <c r="AP499" i="9"/>
  <c r="AQ499" i="9"/>
  <c r="AR499" i="9"/>
  <c r="AS499" i="9"/>
  <c r="AT499" i="9"/>
  <c r="AU499" i="9"/>
  <c r="AV499" i="9"/>
  <c r="AW499" i="9"/>
  <c r="AX499" i="9"/>
  <c r="AY499" i="9"/>
  <c r="AZ499" i="9"/>
  <c r="AA500" i="9"/>
  <c r="AB500" i="9"/>
  <c r="AC500" i="9"/>
  <c r="AD500" i="9"/>
  <c r="AE500" i="9"/>
  <c r="AF500" i="9"/>
  <c r="AG500" i="9"/>
  <c r="AH500" i="9"/>
  <c r="AI500" i="9"/>
  <c r="AJ500" i="9"/>
  <c r="AK500" i="9"/>
  <c r="AL500" i="9"/>
  <c r="AM500" i="9"/>
  <c r="AN500" i="9"/>
  <c r="AO500" i="9"/>
  <c r="AP500" i="9"/>
  <c r="AQ500" i="9"/>
  <c r="AR500" i="9"/>
  <c r="AS500" i="9"/>
  <c r="AT500" i="9"/>
  <c r="AU500" i="9"/>
  <c r="AV500" i="9"/>
  <c r="AW500" i="9"/>
  <c r="AX500" i="9"/>
  <c r="AY500" i="9"/>
  <c r="AZ500" i="9"/>
  <c r="AA501" i="9"/>
  <c r="AB501" i="9"/>
  <c r="AC501" i="9"/>
  <c r="AD501" i="9"/>
  <c r="AE501" i="9"/>
  <c r="AF501" i="9"/>
  <c r="AG501" i="9"/>
  <c r="AH501" i="9"/>
  <c r="AI501" i="9"/>
  <c r="AJ501" i="9"/>
  <c r="AK501" i="9"/>
  <c r="AL501" i="9"/>
  <c r="AM501" i="9"/>
  <c r="AN501" i="9"/>
  <c r="AO501" i="9"/>
  <c r="AP501" i="9"/>
  <c r="AQ501" i="9"/>
  <c r="AR501" i="9"/>
  <c r="AS501" i="9"/>
  <c r="AT501" i="9"/>
  <c r="AU501" i="9"/>
  <c r="AV501" i="9"/>
  <c r="AW501" i="9"/>
  <c r="AX501" i="9"/>
  <c r="AY501" i="9"/>
  <c r="AZ501" i="9"/>
  <c r="AA502" i="9"/>
  <c r="AB502" i="9"/>
  <c r="AC502" i="9"/>
  <c r="AD502" i="9"/>
  <c r="AE502" i="9"/>
  <c r="AF502" i="9"/>
  <c r="AG502" i="9"/>
  <c r="AH502" i="9"/>
  <c r="AI502" i="9"/>
  <c r="AJ502" i="9"/>
  <c r="AK502" i="9"/>
  <c r="AL502" i="9"/>
  <c r="AM502" i="9"/>
  <c r="AN502" i="9"/>
  <c r="AO502" i="9"/>
  <c r="AP502" i="9"/>
  <c r="AQ502" i="9"/>
  <c r="AR502" i="9"/>
  <c r="AS502" i="9"/>
  <c r="AT502" i="9"/>
  <c r="AU502" i="9"/>
  <c r="AV502" i="9"/>
  <c r="AW502" i="9"/>
  <c r="AX502" i="9"/>
  <c r="AY502" i="9"/>
  <c r="AZ502" i="9"/>
  <c r="AA503" i="9"/>
  <c r="AB503" i="9"/>
  <c r="AC503" i="9"/>
  <c r="AD503" i="9"/>
  <c r="AE503" i="9"/>
  <c r="AF503" i="9"/>
  <c r="AG503" i="9"/>
  <c r="AH503" i="9"/>
  <c r="AI503" i="9"/>
  <c r="AJ503" i="9"/>
  <c r="AK503" i="9"/>
  <c r="AL503" i="9"/>
  <c r="AM503" i="9"/>
  <c r="AN503" i="9"/>
  <c r="AO503" i="9"/>
  <c r="AP503" i="9"/>
  <c r="AQ503" i="9"/>
  <c r="AR503" i="9"/>
  <c r="AS503" i="9"/>
  <c r="AT503" i="9"/>
  <c r="AU503" i="9"/>
  <c r="AV503" i="9"/>
  <c r="AW503" i="9"/>
  <c r="AX503" i="9"/>
  <c r="AY503" i="9"/>
  <c r="AZ503" i="9"/>
  <c r="AA504" i="9"/>
  <c r="AB504" i="9"/>
  <c r="AC504" i="9"/>
  <c r="AD504" i="9"/>
  <c r="AE504" i="9"/>
  <c r="AF504" i="9"/>
  <c r="AG504" i="9"/>
  <c r="AH504" i="9"/>
  <c r="AI504" i="9"/>
  <c r="AJ504" i="9"/>
  <c r="AK504" i="9"/>
  <c r="AL504" i="9"/>
  <c r="AM504" i="9"/>
  <c r="AN504" i="9"/>
  <c r="AO504" i="9"/>
  <c r="AP504" i="9"/>
  <c r="AQ504" i="9"/>
  <c r="AR504" i="9"/>
  <c r="AS504" i="9"/>
  <c r="AT504" i="9"/>
  <c r="AU504" i="9"/>
  <c r="AV504" i="9"/>
  <c r="AW504" i="9"/>
  <c r="AX504" i="9"/>
  <c r="AY504" i="9"/>
  <c r="AZ504" i="9"/>
  <c r="AA505" i="9"/>
  <c r="AB505" i="9"/>
  <c r="AC505" i="9"/>
  <c r="AD505" i="9"/>
  <c r="AE505" i="9"/>
  <c r="AF505" i="9"/>
  <c r="AG505" i="9"/>
  <c r="AH505" i="9"/>
  <c r="AI505" i="9"/>
  <c r="AJ505" i="9"/>
  <c r="AK505" i="9"/>
  <c r="AL505" i="9"/>
  <c r="AM505" i="9"/>
  <c r="AN505" i="9"/>
  <c r="AO505" i="9"/>
  <c r="AP505" i="9"/>
  <c r="AQ505" i="9"/>
  <c r="AR505" i="9"/>
  <c r="AS505" i="9"/>
  <c r="AT505" i="9"/>
  <c r="AU505" i="9"/>
  <c r="AV505" i="9"/>
  <c r="AW505" i="9"/>
  <c r="AX505" i="9"/>
  <c r="AY505" i="9"/>
  <c r="AZ505" i="9"/>
  <c r="AA506" i="9"/>
  <c r="AB506" i="9"/>
  <c r="AC506" i="9"/>
  <c r="AD506" i="9"/>
  <c r="AE506" i="9"/>
  <c r="AF506" i="9"/>
  <c r="AG506" i="9"/>
  <c r="AH506" i="9"/>
  <c r="AI506" i="9"/>
  <c r="AJ506" i="9"/>
  <c r="AK506" i="9"/>
  <c r="AL506" i="9"/>
  <c r="AM506" i="9"/>
  <c r="AN506" i="9"/>
  <c r="AO506" i="9"/>
  <c r="AP506" i="9"/>
  <c r="AQ506" i="9"/>
  <c r="AR506" i="9"/>
  <c r="AS506" i="9"/>
  <c r="AT506" i="9"/>
  <c r="AU506" i="9"/>
  <c r="AV506" i="9"/>
  <c r="AW506" i="9"/>
  <c r="AX506" i="9"/>
  <c r="AY506" i="9"/>
  <c r="AZ506" i="9"/>
  <c r="AA507" i="9"/>
  <c r="AB507" i="9"/>
  <c r="AC507" i="9"/>
  <c r="AD507" i="9"/>
  <c r="AE507" i="9"/>
  <c r="AF507" i="9"/>
  <c r="AG507" i="9"/>
  <c r="AH507" i="9"/>
  <c r="AI507" i="9"/>
  <c r="AJ507" i="9"/>
  <c r="AK507" i="9"/>
  <c r="AL507" i="9"/>
  <c r="AM507" i="9"/>
  <c r="AN507" i="9"/>
  <c r="AO507" i="9"/>
  <c r="AP507" i="9"/>
  <c r="AQ507" i="9"/>
  <c r="AR507" i="9"/>
  <c r="AS507" i="9"/>
  <c r="AT507" i="9"/>
  <c r="AU507" i="9"/>
  <c r="AV507" i="9"/>
  <c r="AW507" i="9"/>
  <c r="AX507" i="9"/>
  <c r="AY507" i="9"/>
  <c r="AZ507" i="9"/>
  <c r="AA508" i="9"/>
  <c r="AB508" i="9"/>
  <c r="AC508" i="9"/>
  <c r="AD508" i="9"/>
  <c r="AE508" i="9"/>
  <c r="AF508" i="9"/>
  <c r="AG508" i="9"/>
  <c r="AH508" i="9"/>
  <c r="AI508" i="9"/>
  <c r="AJ508" i="9"/>
  <c r="AK508" i="9"/>
  <c r="AL508" i="9"/>
  <c r="AM508" i="9"/>
  <c r="AN508" i="9"/>
  <c r="AO508" i="9"/>
  <c r="AP508" i="9"/>
  <c r="AQ508" i="9"/>
  <c r="AR508" i="9"/>
  <c r="AS508" i="9"/>
  <c r="AT508" i="9"/>
  <c r="AU508" i="9"/>
  <c r="AV508" i="9"/>
  <c r="AW508" i="9"/>
  <c r="AX508" i="9"/>
  <c r="AY508" i="9"/>
  <c r="AZ508" i="9"/>
  <c r="AA509" i="9"/>
  <c r="AB509" i="9"/>
  <c r="AC509" i="9"/>
  <c r="AD509" i="9"/>
  <c r="AE509" i="9"/>
  <c r="AF509" i="9"/>
  <c r="AG509" i="9"/>
  <c r="AH509" i="9"/>
  <c r="AI509" i="9"/>
  <c r="AJ509" i="9"/>
  <c r="AK509" i="9"/>
  <c r="AL509" i="9"/>
  <c r="AM509" i="9"/>
  <c r="AN509" i="9"/>
  <c r="AO509" i="9"/>
  <c r="AP509" i="9"/>
  <c r="AQ509" i="9"/>
  <c r="AR509" i="9"/>
  <c r="AS509" i="9"/>
  <c r="AT509" i="9"/>
  <c r="AU509" i="9"/>
  <c r="AV509" i="9"/>
  <c r="AW509" i="9"/>
  <c r="AX509" i="9"/>
  <c r="AY509" i="9"/>
  <c r="AZ509" i="9"/>
  <c r="AA510" i="9"/>
  <c r="AB510" i="9"/>
  <c r="AC510" i="9"/>
  <c r="AD510" i="9"/>
  <c r="AE510" i="9"/>
  <c r="AF510" i="9"/>
  <c r="AG510" i="9"/>
  <c r="AH510" i="9"/>
  <c r="AI510" i="9"/>
  <c r="AJ510" i="9"/>
  <c r="AK510" i="9"/>
  <c r="AL510" i="9"/>
  <c r="AM510" i="9"/>
  <c r="AN510" i="9"/>
  <c r="AO510" i="9"/>
  <c r="AP510" i="9"/>
  <c r="AQ510" i="9"/>
  <c r="AR510" i="9"/>
  <c r="AS510" i="9"/>
  <c r="AT510" i="9"/>
  <c r="AU510" i="9"/>
  <c r="AV510" i="9"/>
  <c r="AW510" i="9"/>
  <c r="AX510" i="9"/>
  <c r="AY510" i="9"/>
  <c r="AZ510" i="9"/>
  <c r="AA511" i="9"/>
  <c r="AB511" i="9"/>
  <c r="AC511" i="9"/>
  <c r="AD511" i="9"/>
  <c r="AE511" i="9"/>
  <c r="AF511" i="9"/>
  <c r="AG511" i="9"/>
  <c r="AH511" i="9"/>
  <c r="AI511" i="9"/>
  <c r="AJ511" i="9"/>
  <c r="AK511" i="9"/>
  <c r="AL511" i="9"/>
  <c r="AM511" i="9"/>
  <c r="AN511" i="9"/>
  <c r="AO511" i="9"/>
  <c r="AP511" i="9"/>
  <c r="AQ511" i="9"/>
  <c r="AR511" i="9"/>
  <c r="AS511" i="9"/>
  <c r="AT511" i="9"/>
  <c r="AU511" i="9"/>
  <c r="AV511" i="9"/>
  <c r="AW511" i="9"/>
  <c r="AX511" i="9"/>
  <c r="AY511" i="9"/>
  <c r="AZ511" i="9"/>
  <c r="AA512" i="9"/>
  <c r="AB512" i="9"/>
  <c r="AC512" i="9"/>
  <c r="AD512" i="9"/>
  <c r="AE512" i="9"/>
  <c r="AF512" i="9"/>
  <c r="AG512" i="9"/>
  <c r="AH512" i="9"/>
  <c r="AI512" i="9"/>
  <c r="AJ512" i="9"/>
  <c r="AK512" i="9"/>
  <c r="AL512" i="9"/>
  <c r="AM512" i="9"/>
  <c r="AN512" i="9"/>
  <c r="AO512" i="9"/>
  <c r="AP512" i="9"/>
  <c r="AQ512" i="9"/>
  <c r="AR512" i="9"/>
  <c r="AS512" i="9"/>
  <c r="AT512" i="9"/>
  <c r="AU512" i="9"/>
  <c r="AV512" i="9"/>
  <c r="AW512" i="9"/>
  <c r="AX512" i="9"/>
  <c r="AY512" i="9"/>
  <c r="AZ512" i="9"/>
  <c r="AA513" i="9"/>
  <c r="AB513" i="9"/>
  <c r="AC513" i="9"/>
  <c r="AD513" i="9"/>
  <c r="AE513" i="9"/>
  <c r="AF513" i="9"/>
  <c r="AG513" i="9"/>
  <c r="AH513" i="9"/>
  <c r="AI513" i="9"/>
  <c r="AJ513" i="9"/>
  <c r="AK513" i="9"/>
  <c r="AL513" i="9"/>
  <c r="AM513" i="9"/>
  <c r="AN513" i="9"/>
  <c r="AO513" i="9"/>
  <c r="AP513" i="9"/>
  <c r="AQ513" i="9"/>
  <c r="AR513" i="9"/>
  <c r="AS513" i="9"/>
  <c r="AT513" i="9"/>
  <c r="AU513" i="9"/>
  <c r="AV513" i="9"/>
  <c r="AW513" i="9"/>
  <c r="AX513" i="9"/>
  <c r="AY513" i="9"/>
  <c r="AZ513" i="9"/>
  <c r="AA514" i="9"/>
  <c r="AB514" i="9"/>
  <c r="AC514" i="9"/>
  <c r="AD514" i="9"/>
  <c r="AE514" i="9"/>
  <c r="AF514" i="9"/>
  <c r="AG514" i="9"/>
  <c r="AH514" i="9"/>
  <c r="AI514" i="9"/>
  <c r="AJ514" i="9"/>
  <c r="AK514" i="9"/>
  <c r="AL514" i="9"/>
  <c r="AM514" i="9"/>
  <c r="AN514" i="9"/>
  <c r="AO514" i="9"/>
  <c r="AP514" i="9"/>
  <c r="AQ514" i="9"/>
  <c r="AR514" i="9"/>
  <c r="AS514" i="9"/>
  <c r="AT514" i="9"/>
  <c r="AU514" i="9"/>
  <c r="AV514" i="9"/>
  <c r="AW514" i="9"/>
  <c r="AX514" i="9"/>
  <c r="AY514" i="9"/>
  <c r="AZ514" i="9"/>
  <c r="AA515" i="9"/>
  <c r="AB515" i="9"/>
  <c r="AC515" i="9"/>
  <c r="AD515" i="9"/>
  <c r="AE515" i="9"/>
  <c r="AF515" i="9"/>
  <c r="AG515" i="9"/>
  <c r="AH515" i="9"/>
  <c r="AI515" i="9"/>
  <c r="AJ515" i="9"/>
  <c r="AK515" i="9"/>
  <c r="AL515" i="9"/>
  <c r="AM515" i="9"/>
  <c r="AN515" i="9"/>
  <c r="AO515" i="9"/>
  <c r="AP515" i="9"/>
  <c r="AQ515" i="9"/>
  <c r="AR515" i="9"/>
  <c r="AS515" i="9"/>
  <c r="AT515" i="9"/>
  <c r="AU515" i="9"/>
  <c r="AV515" i="9"/>
  <c r="AW515" i="9"/>
  <c r="AX515" i="9"/>
  <c r="AY515" i="9"/>
  <c r="AZ515" i="9"/>
  <c r="AA516" i="9"/>
  <c r="AB516" i="9"/>
  <c r="AC516" i="9"/>
  <c r="AD516" i="9"/>
  <c r="AE516" i="9"/>
  <c r="AF516" i="9"/>
  <c r="AG516" i="9"/>
  <c r="AH516" i="9"/>
  <c r="AI516" i="9"/>
  <c r="AJ516" i="9"/>
  <c r="AK516" i="9"/>
  <c r="AL516" i="9"/>
  <c r="AM516" i="9"/>
  <c r="AN516" i="9"/>
  <c r="AO516" i="9"/>
  <c r="AP516" i="9"/>
  <c r="AQ516" i="9"/>
  <c r="AR516" i="9"/>
  <c r="AS516" i="9"/>
  <c r="AT516" i="9"/>
  <c r="AU516" i="9"/>
  <c r="AV516" i="9"/>
  <c r="AW516" i="9"/>
  <c r="AX516" i="9"/>
  <c r="AY516" i="9"/>
  <c r="AZ516" i="9"/>
  <c r="AA517" i="9"/>
  <c r="AB517" i="9"/>
  <c r="AC517" i="9"/>
  <c r="AD517" i="9"/>
  <c r="AE517" i="9"/>
  <c r="AF517" i="9"/>
  <c r="AG517" i="9"/>
  <c r="AH517" i="9"/>
  <c r="AI517" i="9"/>
  <c r="AJ517" i="9"/>
  <c r="AK517" i="9"/>
  <c r="AL517" i="9"/>
  <c r="AM517" i="9"/>
  <c r="AN517" i="9"/>
  <c r="AO517" i="9"/>
  <c r="AP517" i="9"/>
  <c r="AQ517" i="9"/>
  <c r="AR517" i="9"/>
  <c r="AS517" i="9"/>
  <c r="AT517" i="9"/>
  <c r="AU517" i="9"/>
  <c r="AV517" i="9"/>
  <c r="AW517" i="9"/>
  <c r="AX517" i="9"/>
  <c r="AY517" i="9"/>
  <c r="AZ517" i="9"/>
  <c r="AA518" i="9"/>
  <c r="AB518" i="9"/>
  <c r="AC518" i="9"/>
  <c r="AD518" i="9"/>
  <c r="AE518" i="9"/>
  <c r="AF518" i="9"/>
  <c r="AG518" i="9"/>
  <c r="AH518" i="9"/>
  <c r="AI518" i="9"/>
  <c r="AJ518" i="9"/>
  <c r="AK518" i="9"/>
  <c r="AL518" i="9"/>
  <c r="AM518" i="9"/>
  <c r="AN518" i="9"/>
  <c r="AO518" i="9"/>
  <c r="AP518" i="9"/>
  <c r="AQ518" i="9"/>
  <c r="AR518" i="9"/>
  <c r="AS518" i="9"/>
  <c r="AT518" i="9"/>
  <c r="AU518" i="9"/>
  <c r="AV518" i="9"/>
  <c r="AW518" i="9"/>
  <c r="AX518" i="9"/>
  <c r="AY518" i="9"/>
  <c r="AZ518" i="9"/>
  <c r="AA519" i="9"/>
  <c r="AB519" i="9"/>
  <c r="AC519" i="9"/>
  <c r="AD519" i="9"/>
  <c r="AE519" i="9"/>
  <c r="AF519" i="9"/>
  <c r="AG519" i="9"/>
  <c r="AH519" i="9"/>
  <c r="AI519" i="9"/>
  <c r="AJ519" i="9"/>
  <c r="AK519" i="9"/>
  <c r="AL519" i="9"/>
  <c r="AM519" i="9"/>
  <c r="AN519" i="9"/>
  <c r="AO519" i="9"/>
  <c r="AP519" i="9"/>
  <c r="AQ519" i="9"/>
  <c r="AR519" i="9"/>
  <c r="AS519" i="9"/>
  <c r="AT519" i="9"/>
  <c r="AU519" i="9"/>
  <c r="AV519" i="9"/>
  <c r="AW519" i="9"/>
  <c r="AX519" i="9"/>
  <c r="AY519" i="9"/>
  <c r="AZ519" i="9"/>
  <c r="AA520" i="9"/>
  <c r="AB520" i="9"/>
  <c r="AC520" i="9"/>
  <c r="AD520" i="9"/>
  <c r="AE520" i="9"/>
  <c r="AF520" i="9"/>
  <c r="AG520" i="9"/>
  <c r="AH520" i="9"/>
  <c r="AI520" i="9"/>
  <c r="AJ520" i="9"/>
  <c r="AK520" i="9"/>
  <c r="AL520" i="9"/>
  <c r="AM520" i="9"/>
  <c r="AN520" i="9"/>
  <c r="AO520" i="9"/>
  <c r="AP520" i="9"/>
  <c r="AQ520" i="9"/>
  <c r="AR520" i="9"/>
  <c r="AS520" i="9"/>
  <c r="AT520" i="9"/>
  <c r="AU520" i="9"/>
  <c r="AV520" i="9"/>
  <c r="AW520" i="9"/>
  <c r="AX520" i="9"/>
  <c r="AY520" i="9"/>
  <c r="AZ520" i="9"/>
  <c r="AA521" i="9"/>
  <c r="AB521" i="9"/>
  <c r="AC521" i="9"/>
  <c r="AD521" i="9"/>
  <c r="AE521" i="9"/>
  <c r="AF521" i="9"/>
  <c r="AG521" i="9"/>
  <c r="AH521" i="9"/>
  <c r="AI521" i="9"/>
  <c r="AJ521" i="9"/>
  <c r="AK521" i="9"/>
  <c r="AL521" i="9"/>
  <c r="AM521" i="9"/>
  <c r="AN521" i="9"/>
  <c r="AO521" i="9"/>
  <c r="AP521" i="9"/>
  <c r="AQ521" i="9"/>
  <c r="AR521" i="9"/>
  <c r="AS521" i="9"/>
  <c r="AT521" i="9"/>
  <c r="AU521" i="9"/>
  <c r="AV521" i="9"/>
  <c r="AW521" i="9"/>
  <c r="AX521" i="9"/>
  <c r="AY521" i="9"/>
  <c r="AZ521" i="9"/>
  <c r="AA522" i="9"/>
  <c r="AB522" i="9"/>
  <c r="AC522" i="9"/>
  <c r="AD522" i="9"/>
  <c r="AE522" i="9"/>
  <c r="AF522" i="9"/>
  <c r="AG522" i="9"/>
  <c r="AH522" i="9"/>
  <c r="AI522" i="9"/>
  <c r="AJ522" i="9"/>
  <c r="AK522" i="9"/>
  <c r="AL522" i="9"/>
  <c r="AM522" i="9"/>
  <c r="AN522" i="9"/>
  <c r="AO522" i="9"/>
  <c r="AP522" i="9"/>
  <c r="AQ522" i="9"/>
  <c r="AR522" i="9"/>
  <c r="AS522" i="9"/>
  <c r="AT522" i="9"/>
  <c r="AU522" i="9"/>
  <c r="AV522" i="9"/>
  <c r="AW522" i="9"/>
  <c r="AX522" i="9"/>
  <c r="AY522" i="9"/>
  <c r="AZ522" i="9"/>
  <c r="AA523" i="9"/>
  <c r="AB523" i="9"/>
  <c r="AC523" i="9"/>
  <c r="AD523" i="9"/>
  <c r="AE523" i="9"/>
  <c r="AF523" i="9"/>
  <c r="AG523" i="9"/>
  <c r="AH523" i="9"/>
  <c r="AI523" i="9"/>
  <c r="AJ523" i="9"/>
  <c r="AK523" i="9"/>
  <c r="AL523" i="9"/>
  <c r="AM523" i="9"/>
  <c r="AN523" i="9"/>
  <c r="AO523" i="9"/>
  <c r="AP523" i="9"/>
  <c r="AQ523" i="9"/>
  <c r="AR523" i="9"/>
  <c r="AS523" i="9"/>
  <c r="AT523" i="9"/>
  <c r="AU523" i="9"/>
  <c r="AV523" i="9"/>
  <c r="AW523" i="9"/>
  <c r="AX523" i="9"/>
  <c r="AY523" i="9"/>
  <c r="AZ523" i="9"/>
  <c r="AA524" i="9"/>
  <c r="AB524" i="9"/>
  <c r="AC524" i="9"/>
  <c r="AD524" i="9"/>
  <c r="AE524" i="9"/>
  <c r="AF524" i="9"/>
  <c r="AG524" i="9"/>
  <c r="AH524" i="9"/>
  <c r="AI524" i="9"/>
  <c r="AJ524" i="9"/>
  <c r="AK524" i="9"/>
  <c r="AL524" i="9"/>
  <c r="AM524" i="9"/>
  <c r="AN524" i="9"/>
  <c r="AO524" i="9"/>
  <c r="AP524" i="9"/>
  <c r="AQ524" i="9"/>
  <c r="AR524" i="9"/>
  <c r="AS524" i="9"/>
  <c r="AT524" i="9"/>
  <c r="AU524" i="9"/>
  <c r="AV524" i="9"/>
  <c r="AW524" i="9"/>
  <c r="AX524" i="9"/>
  <c r="AY524" i="9"/>
  <c r="AZ524" i="9"/>
  <c r="AA525" i="9"/>
  <c r="AB525" i="9"/>
  <c r="AC525" i="9"/>
  <c r="AD525" i="9"/>
  <c r="AE525" i="9"/>
  <c r="AF525" i="9"/>
  <c r="AG525" i="9"/>
  <c r="AH525" i="9"/>
  <c r="AI525" i="9"/>
  <c r="AJ525" i="9"/>
  <c r="AK525" i="9"/>
  <c r="AL525" i="9"/>
  <c r="AM525" i="9"/>
  <c r="AN525" i="9"/>
  <c r="AO525" i="9"/>
  <c r="AP525" i="9"/>
  <c r="AQ525" i="9"/>
  <c r="AR525" i="9"/>
  <c r="AS525" i="9"/>
  <c r="AT525" i="9"/>
  <c r="AU525" i="9"/>
  <c r="AV525" i="9"/>
  <c r="AW525" i="9"/>
  <c r="AX525" i="9"/>
  <c r="AY525" i="9"/>
  <c r="AZ525" i="9"/>
  <c r="AA526" i="9"/>
  <c r="AB526" i="9"/>
  <c r="AC526" i="9"/>
  <c r="AD526" i="9"/>
  <c r="AE526" i="9"/>
  <c r="AF526" i="9"/>
  <c r="AG526" i="9"/>
  <c r="AH526" i="9"/>
  <c r="AI526" i="9"/>
  <c r="AJ526" i="9"/>
  <c r="AK526" i="9"/>
  <c r="AL526" i="9"/>
  <c r="AM526" i="9"/>
  <c r="AN526" i="9"/>
  <c r="AO526" i="9"/>
  <c r="AP526" i="9"/>
  <c r="AQ526" i="9"/>
  <c r="AR526" i="9"/>
  <c r="AS526" i="9"/>
  <c r="AT526" i="9"/>
  <c r="AU526" i="9"/>
  <c r="AV526" i="9"/>
  <c r="AW526" i="9"/>
  <c r="AX526" i="9"/>
  <c r="AY526" i="9"/>
  <c r="AZ526" i="9"/>
  <c r="AA527" i="9"/>
  <c r="AB527" i="9"/>
  <c r="AC527" i="9"/>
  <c r="AD527" i="9"/>
  <c r="AE527" i="9"/>
  <c r="AF527" i="9"/>
  <c r="AG527" i="9"/>
  <c r="AH527" i="9"/>
  <c r="AI527" i="9"/>
  <c r="AJ527" i="9"/>
  <c r="AK527" i="9"/>
  <c r="AL527" i="9"/>
  <c r="AM527" i="9"/>
  <c r="AN527" i="9"/>
  <c r="AO527" i="9"/>
  <c r="AP527" i="9"/>
  <c r="AQ527" i="9"/>
  <c r="AR527" i="9"/>
  <c r="AS527" i="9"/>
  <c r="AT527" i="9"/>
  <c r="AU527" i="9"/>
  <c r="AV527" i="9"/>
  <c r="AW527" i="9"/>
  <c r="AX527" i="9"/>
  <c r="AY527" i="9"/>
  <c r="AZ527" i="9"/>
  <c r="AA528" i="9"/>
  <c r="AB528" i="9"/>
  <c r="AC528" i="9"/>
  <c r="AD528" i="9"/>
  <c r="AE528" i="9"/>
  <c r="AF528" i="9"/>
  <c r="AG528" i="9"/>
  <c r="AH528" i="9"/>
  <c r="AI528" i="9"/>
  <c r="AJ528" i="9"/>
  <c r="AK528" i="9"/>
  <c r="AL528" i="9"/>
  <c r="AM528" i="9"/>
  <c r="AN528" i="9"/>
  <c r="AO528" i="9"/>
  <c r="AP528" i="9"/>
  <c r="AQ528" i="9"/>
  <c r="AR528" i="9"/>
  <c r="AS528" i="9"/>
  <c r="AT528" i="9"/>
  <c r="AU528" i="9"/>
  <c r="AV528" i="9"/>
  <c r="AW528" i="9"/>
  <c r="AX528" i="9"/>
  <c r="AY528" i="9"/>
  <c r="AZ528" i="9"/>
  <c r="AA529" i="9"/>
  <c r="AB529" i="9"/>
  <c r="AC529" i="9"/>
  <c r="AD529" i="9"/>
  <c r="AE529" i="9"/>
  <c r="AF529" i="9"/>
  <c r="AG529" i="9"/>
  <c r="AH529" i="9"/>
  <c r="AI529" i="9"/>
  <c r="AJ529" i="9"/>
  <c r="AK529" i="9"/>
  <c r="AL529" i="9"/>
  <c r="AM529" i="9"/>
  <c r="AN529" i="9"/>
  <c r="AO529" i="9"/>
  <c r="AP529" i="9"/>
  <c r="AQ529" i="9"/>
  <c r="AR529" i="9"/>
  <c r="AS529" i="9"/>
  <c r="AT529" i="9"/>
  <c r="AU529" i="9"/>
  <c r="AV529" i="9"/>
  <c r="AW529" i="9"/>
  <c r="AX529" i="9"/>
  <c r="AY529" i="9"/>
  <c r="AZ529" i="9"/>
  <c r="AA530" i="9"/>
  <c r="AB530" i="9"/>
  <c r="AC530" i="9"/>
  <c r="AD530" i="9"/>
  <c r="AE530" i="9"/>
  <c r="AF530" i="9"/>
  <c r="AG530" i="9"/>
  <c r="AH530" i="9"/>
  <c r="AI530" i="9"/>
  <c r="AJ530" i="9"/>
  <c r="AK530" i="9"/>
  <c r="AL530" i="9"/>
  <c r="AM530" i="9"/>
  <c r="AN530" i="9"/>
  <c r="AO530" i="9"/>
  <c r="AP530" i="9"/>
  <c r="AQ530" i="9"/>
  <c r="AR530" i="9"/>
  <c r="AS530" i="9"/>
  <c r="AT530" i="9"/>
  <c r="AU530" i="9"/>
  <c r="AV530" i="9"/>
  <c r="AW530" i="9"/>
  <c r="AX530" i="9"/>
  <c r="AY530" i="9"/>
  <c r="AZ530" i="9"/>
  <c r="AA531" i="9"/>
  <c r="AB531" i="9"/>
  <c r="AC531" i="9"/>
  <c r="AD531" i="9"/>
  <c r="AE531" i="9"/>
  <c r="AF531" i="9"/>
  <c r="AG531" i="9"/>
  <c r="AH531" i="9"/>
  <c r="AI531" i="9"/>
  <c r="AJ531" i="9"/>
  <c r="AK531" i="9"/>
  <c r="AL531" i="9"/>
  <c r="AM531" i="9"/>
  <c r="AN531" i="9"/>
  <c r="AO531" i="9"/>
  <c r="AP531" i="9"/>
  <c r="AQ531" i="9"/>
  <c r="AR531" i="9"/>
  <c r="AS531" i="9"/>
  <c r="AT531" i="9"/>
  <c r="AU531" i="9"/>
  <c r="AV531" i="9"/>
  <c r="AW531" i="9"/>
  <c r="AX531" i="9"/>
  <c r="AY531" i="9"/>
  <c r="AZ531" i="9"/>
  <c r="AA532" i="9"/>
  <c r="AB532" i="9"/>
  <c r="AC532" i="9"/>
  <c r="AD532" i="9"/>
  <c r="AE532" i="9"/>
  <c r="AF532" i="9"/>
  <c r="AG532" i="9"/>
  <c r="AH532" i="9"/>
  <c r="AI532" i="9"/>
  <c r="AJ532" i="9"/>
  <c r="AK532" i="9"/>
  <c r="AL532" i="9"/>
  <c r="AM532" i="9"/>
  <c r="AN532" i="9"/>
  <c r="AO532" i="9"/>
  <c r="AP532" i="9"/>
  <c r="AQ532" i="9"/>
  <c r="AR532" i="9"/>
  <c r="AS532" i="9"/>
  <c r="AT532" i="9"/>
  <c r="AU532" i="9"/>
  <c r="AV532" i="9"/>
  <c r="AW532" i="9"/>
  <c r="AX532" i="9"/>
  <c r="AY532" i="9"/>
  <c r="AZ532" i="9"/>
  <c r="AA533" i="9"/>
  <c r="AB533" i="9"/>
  <c r="AC533" i="9"/>
  <c r="AD533" i="9"/>
  <c r="AE533" i="9"/>
  <c r="AF533" i="9"/>
  <c r="AG533" i="9"/>
  <c r="AH533" i="9"/>
  <c r="AI533" i="9"/>
  <c r="AJ533" i="9"/>
  <c r="AK533" i="9"/>
  <c r="AL533" i="9"/>
  <c r="AM533" i="9"/>
  <c r="AN533" i="9"/>
  <c r="AO533" i="9"/>
  <c r="AP533" i="9"/>
  <c r="AQ533" i="9"/>
  <c r="AR533" i="9"/>
  <c r="AS533" i="9"/>
  <c r="AT533" i="9"/>
  <c r="AU533" i="9"/>
  <c r="AV533" i="9"/>
  <c r="AW533" i="9"/>
  <c r="AX533" i="9"/>
  <c r="AY533" i="9"/>
  <c r="AZ533" i="9"/>
  <c r="AA534" i="9"/>
  <c r="AB534" i="9"/>
  <c r="AC534" i="9"/>
  <c r="AD534" i="9"/>
  <c r="AE534" i="9"/>
  <c r="AF534" i="9"/>
  <c r="AG534" i="9"/>
  <c r="AH534" i="9"/>
  <c r="AI534" i="9"/>
  <c r="AJ534" i="9"/>
  <c r="AK534" i="9"/>
  <c r="AL534" i="9"/>
  <c r="AM534" i="9"/>
  <c r="AN534" i="9"/>
  <c r="AO534" i="9"/>
  <c r="AP534" i="9"/>
  <c r="AQ534" i="9"/>
  <c r="AR534" i="9"/>
  <c r="AS534" i="9"/>
  <c r="AT534" i="9"/>
  <c r="AU534" i="9"/>
  <c r="AV534" i="9"/>
  <c r="AW534" i="9"/>
  <c r="AX534" i="9"/>
  <c r="AY534" i="9"/>
  <c r="AZ534" i="9"/>
  <c r="AA535" i="9"/>
  <c r="AB535" i="9"/>
  <c r="AC535" i="9"/>
  <c r="AD535" i="9"/>
  <c r="AE535" i="9"/>
  <c r="AF535" i="9"/>
  <c r="AG535" i="9"/>
  <c r="AH535" i="9"/>
  <c r="AI535" i="9"/>
  <c r="AJ535" i="9"/>
  <c r="AK535" i="9"/>
  <c r="AL535" i="9"/>
  <c r="AM535" i="9"/>
  <c r="AN535" i="9"/>
  <c r="AO535" i="9"/>
  <c r="AP535" i="9"/>
  <c r="AQ535" i="9"/>
  <c r="AR535" i="9"/>
  <c r="AS535" i="9"/>
  <c r="AT535" i="9"/>
  <c r="AU535" i="9"/>
  <c r="AV535" i="9"/>
  <c r="AW535" i="9"/>
  <c r="AX535" i="9"/>
  <c r="AY535" i="9"/>
  <c r="AZ535" i="9"/>
  <c r="AA536" i="9"/>
  <c r="AB536" i="9"/>
  <c r="AC536" i="9"/>
  <c r="AD536" i="9"/>
  <c r="AE536" i="9"/>
  <c r="AF536" i="9"/>
  <c r="AG536" i="9"/>
  <c r="AH536" i="9"/>
  <c r="AI536" i="9"/>
  <c r="AJ536" i="9"/>
  <c r="AK536" i="9"/>
  <c r="AL536" i="9"/>
  <c r="AM536" i="9"/>
  <c r="AN536" i="9"/>
  <c r="AO536" i="9"/>
  <c r="AP536" i="9"/>
  <c r="AQ536" i="9"/>
  <c r="AR536" i="9"/>
  <c r="AS536" i="9"/>
  <c r="AT536" i="9"/>
  <c r="AU536" i="9"/>
  <c r="AV536" i="9"/>
  <c r="AW536" i="9"/>
  <c r="AX536" i="9"/>
  <c r="AY536" i="9"/>
  <c r="AZ536" i="9"/>
  <c r="AA537" i="9"/>
  <c r="AB537" i="9"/>
  <c r="AC537" i="9"/>
  <c r="AD537" i="9"/>
  <c r="AE537" i="9"/>
  <c r="AF537" i="9"/>
  <c r="AG537" i="9"/>
  <c r="AH537" i="9"/>
  <c r="AI537" i="9"/>
  <c r="AJ537" i="9"/>
  <c r="AK537" i="9"/>
  <c r="AL537" i="9"/>
  <c r="AM537" i="9"/>
  <c r="AN537" i="9"/>
  <c r="AO537" i="9"/>
  <c r="AP537" i="9"/>
  <c r="AQ537" i="9"/>
  <c r="AR537" i="9"/>
  <c r="AS537" i="9"/>
  <c r="AT537" i="9"/>
  <c r="AU537" i="9"/>
  <c r="AV537" i="9"/>
  <c r="AW537" i="9"/>
  <c r="AX537" i="9"/>
  <c r="AY537" i="9"/>
  <c r="AZ537" i="9"/>
  <c r="AA538" i="9"/>
  <c r="AB538" i="9"/>
  <c r="AC538" i="9"/>
  <c r="AD538" i="9"/>
  <c r="AE538" i="9"/>
  <c r="AF538" i="9"/>
  <c r="AG538" i="9"/>
  <c r="AH538" i="9"/>
  <c r="AI538" i="9"/>
  <c r="AJ538" i="9"/>
  <c r="AK538" i="9"/>
  <c r="AL538" i="9"/>
  <c r="AM538" i="9"/>
  <c r="AN538" i="9"/>
  <c r="AO538" i="9"/>
  <c r="AP538" i="9"/>
  <c r="AQ538" i="9"/>
  <c r="AR538" i="9"/>
  <c r="AS538" i="9"/>
  <c r="AT538" i="9"/>
  <c r="AU538" i="9"/>
  <c r="AV538" i="9"/>
  <c r="AW538" i="9"/>
  <c r="AX538" i="9"/>
  <c r="AY538" i="9"/>
  <c r="AZ538" i="9"/>
  <c r="AA539" i="9"/>
  <c r="AB539" i="9"/>
  <c r="AC539" i="9"/>
  <c r="AD539" i="9"/>
  <c r="AE539" i="9"/>
  <c r="AF539" i="9"/>
  <c r="AG539" i="9"/>
  <c r="AH539" i="9"/>
  <c r="AI539" i="9"/>
  <c r="AJ539" i="9"/>
  <c r="AK539" i="9"/>
  <c r="AL539" i="9"/>
  <c r="AM539" i="9"/>
  <c r="AN539" i="9"/>
  <c r="AO539" i="9"/>
  <c r="AP539" i="9"/>
  <c r="AQ539" i="9"/>
  <c r="AR539" i="9"/>
  <c r="AS539" i="9"/>
  <c r="AT539" i="9"/>
  <c r="AU539" i="9"/>
  <c r="AV539" i="9"/>
  <c r="AW539" i="9"/>
  <c r="AX539" i="9"/>
  <c r="AY539" i="9"/>
  <c r="AZ539" i="9"/>
  <c r="AA540" i="9"/>
  <c r="AB540" i="9"/>
  <c r="AC540" i="9"/>
  <c r="AD540" i="9"/>
  <c r="AE540" i="9"/>
  <c r="AF540" i="9"/>
  <c r="AG540" i="9"/>
  <c r="AH540" i="9"/>
  <c r="AI540" i="9"/>
  <c r="AJ540" i="9"/>
  <c r="AK540" i="9"/>
  <c r="AL540" i="9"/>
  <c r="AM540" i="9"/>
  <c r="AN540" i="9"/>
  <c r="AO540" i="9"/>
  <c r="AP540" i="9"/>
  <c r="AQ540" i="9"/>
  <c r="AR540" i="9"/>
  <c r="AS540" i="9"/>
  <c r="AT540" i="9"/>
  <c r="AU540" i="9"/>
  <c r="AV540" i="9"/>
  <c r="AW540" i="9"/>
  <c r="AX540" i="9"/>
  <c r="AY540" i="9"/>
  <c r="AZ540" i="9"/>
  <c r="AA541" i="9"/>
  <c r="AB541" i="9"/>
  <c r="AC541" i="9"/>
  <c r="AD541" i="9"/>
  <c r="AE541" i="9"/>
  <c r="AF541" i="9"/>
  <c r="AG541" i="9"/>
  <c r="AH541" i="9"/>
  <c r="AI541" i="9"/>
  <c r="AJ541" i="9"/>
  <c r="AK541" i="9"/>
  <c r="AL541" i="9"/>
  <c r="AM541" i="9"/>
  <c r="AN541" i="9"/>
  <c r="AO541" i="9"/>
  <c r="AP541" i="9"/>
  <c r="AQ541" i="9"/>
  <c r="AR541" i="9"/>
  <c r="AS541" i="9"/>
  <c r="AT541" i="9"/>
  <c r="AU541" i="9"/>
  <c r="AV541" i="9"/>
  <c r="AW541" i="9"/>
  <c r="AX541" i="9"/>
  <c r="AY541" i="9"/>
  <c r="AZ541" i="9"/>
  <c r="AA542" i="9"/>
  <c r="AB542" i="9"/>
  <c r="AC542" i="9"/>
  <c r="AD542" i="9"/>
  <c r="AE542" i="9"/>
  <c r="AF542" i="9"/>
  <c r="AG542" i="9"/>
  <c r="AH542" i="9"/>
  <c r="AI542" i="9"/>
  <c r="AJ542" i="9"/>
  <c r="AK542" i="9"/>
  <c r="AL542" i="9"/>
  <c r="AM542" i="9"/>
  <c r="AN542" i="9"/>
  <c r="AO542" i="9"/>
  <c r="AP542" i="9"/>
  <c r="AQ542" i="9"/>
  <c r="AR542" i="9"/>
  <c r="AS542" i="9"/>
  <c r="AT542" i="9"/>
  <c r="AU542" i="9"/>
  <c r="AV542" i="9"/>
  <c r="AW542" i="9"/>
  <c r="AX542" i="9"/>
  <c r="AY542" i="9"/>
  <c r="AZ542" i="9"/>
  <c r="AA543" i="9"/>
  <c r="AB543" i="9"/>
  <c r="AC543" i="9"/>
  <c r="AD543" i="9"/>
  <c r="AE543" i="9"/>
  <c r="AF543" i="9"/>
  <c r="AG543" i="9"/>
  <c r="AH543" i="9"/>
  <c r="AI543" i="9"/>
  <c r="AJ543" i="9"/>
  <c r="AK543" i="9"/>
  <c r="AL543" i="9"/>
  <c r="AM543" i="9"/>
  <c r="AN543" i="9"/>
  <c r="AO543" i="9"/>
  <c r="AP543" i="9"/>
  <c r="AQ543" i="9"/>
  <c r="AR543" i="9"/>
  <c r="AS543" i="9"/>
  <c r="AT543" i="9"/>
  <c r="AU543" i="9"/>
  <c r="AV543" i="9"/>
  <c r="AW543" i="9"/>
  <c r="AX543" i="9"/>
  <c r="AY543" i="9"/>
  <c r="AZ543" i="9"/>
  <c r="AA544" i="9"/>
  <c r="AB544" i="9"/>
  <c r="AC544" i="9"/>
  <c r="AD544" i="9"/>
  <c r="AE544" i="9"/>
  <c r="AF544" i="9"/>
  <c r="AG544" i="9"/>
  <c r="AH544" i="9"/>
  <c r="AI544" i="9"/>
  <c r="AJ544" i="9"/>
  <c r="AK544" i="9"/>
  <c r="AL544" i="9"/>
  <c r="AM544" i="9"/>
  <c r="AN544" i="9"/>
  <c r="AO544" i="9"/>
  <c r="AP544" i="9"/>
  <c r="AQ544" i="9"/>
  <c r="AR544" i="9"/>
  <c r="AS544" i="9"/>
  <c r="AT544" i="9"/>
  <c r="AU544" i="9"/>
  <c r="AV544" i="9"/>
  <c r="AW544" i="9"/>
  <c r="AX544" i="9"/>
  <c r="AY544" i="9"/>
  <c r="AZ544" i="9"/>
  <c r="AA545" i="9"/>
  <c r="AB545" i="9"/>
  <c r="AC545" i="9"/>
  <c r="AD545" i="9"/>
  <c r="AE545" i="9"/>
  <c r="AF545" i="9"/>
  <c r="AG545" i="9"/>
  <c r="AH545" i="9"/>
  <c r="AI545" i="9"/>
  <c r="AJ545" i="9"/>
  <c r="AK545" i="9"/>
  <c r="AL545" i="9"/>
  <c r="AM545" i="9"/>
  <c r="AN545" i="9"/>
  <c r="AO545" i="9"/>
  <c r="AP545" i="9"/>
  <c r="AQ545" i="9"/>
  <c r="AR545" i="9"/>
  <c r="AS545" i="9"/>
  <c r="AT545" i="9"/>
  <c r="AU545" i="9"/>
  <c r="AV545" i="9"/>
  <c r="AW545" i="9"/>
  <c r="AX545" i="9"/>
  <c r="AY545" i="9"/>
  <c r="AZ545" i="9"/>
  <c r="AA546" i="9"/>
  <c r="AB546" i="9"/>
  <c r="AC546" i="9"/>
  <c r="AD546" i="9"/>
  <c r="AE546" i="9"/>
  <c r="AF546" i="9"/>
  <c r="AG546" i="9"/>
  <c r="AH546" i="9"/>
  <c r="AI546" i="9"/>
  <c r="AJ546" i="9"/>
  <c r="AK546" i="9"/>
  <c r="AL546" i="9"/>
  <c r="AM546" i="9"/>
  <c r="AN546" i="9"/>
  <c r="AO546" i="9"/>
  <c r="AP546" i="9"/>
  <c r="AQ546" i="9"/>
  <c r="AR546" i="9"/>
  <c r="AS546" i="9"/>
  <c r="AT546" i="9"/>
  <c r="AU546" i="9"/>
  <c r="AV546" i="9"/>
  <c r="AW546" i="9"/>
  <c r="AX546" i="9"/>
  <c r="AY546" i="9"/>
  <c r="AZ546" i="9"/>
  <c r="AA547" i="9"/>
  <c r="AB547" i="9"/>
  <c r="AC547" i="9"/>
  <c r="AD547" i="9"/>
  <c r="AE547" i="9"/>
  <c r="AF547" i="9"/>
  <c r="AG547" i="9"/>
  <c r="AH547" i="9"/>
  <c r="AI547" i="9"/>
  <c r="AJ547" i="9"/>
  <c r="AK547" i="9"/>
  <c r="AL547" i="9"/>
  <c r="AM547" i="9"/>
  <c r="AN547" i="9"/>
  <c r="AO547" i="9"/>
  <c r="AP547" i="9"/>
  <c r="AQ547" i="9"/>
  <c r="AR547" i="9"/>
  <c r="AS547" i="9"/>
  <c r="AT547" i="9"/>
  <c r="AU547" i="9"/>
  <c r="AV547" i="9"/>
  <c r="AW547" i="9"/>
  <c r="AX547" i="9"/>
  <c r="AY547" i="9"/>
  <c r="AZ547" i="9"/>
  <c r="AA548" i="9"/>
  <c r="AB548" i="9"/>
  <c r="AC548" i="9"/>
  <c r="AD548" i="9"/>
  <c r="AE548" i="9"/>
  <c r="AF548" i="9"/>
  <c r="AG548" i="9"/>
  <c r="AH548" i="9"/>
  <c r="AI548" i="9"/>
  <c r="AJ548" i="9"/>
  <c r="AK548" i="9"/>
  <c r="AL548" i="9"/>
  <c r="AM548" i="9"/>
  <c r="AN548" i="9"/>
  <c r="AO548" i="9"/>
  <c r="AP548" i="9"/>
  <c r="AQ548" i="9"/>
  <c r="AR548" i="9"/>
  <c r="AS548" i="9"/>
  <c r="AT548" i="9"/>
  <c r="AU548" i="9"/>
  <c r="AV548" i="9"/>
  <c r="AW548" i="9"/>
  <c r="AX548" i="9"/>
  <c r="AY548" i="9"/>
  <c r="AZ548" i="9"/>
  <c r="AA549" i="9"/>
  <c r="AB549" i="9"/>
  <c r="AC549" i="9"/>
  <c r="AD549" i="9"/>
  <c r="AE549" i="9"/>
  <c r="AF549" i="9"/>
  <c r="AG549" i="9"/>
  <c r="AH549" i="9"/>
  <c r="AI549" i="9"/>
  <c r="AJ549" i="9"/>
  <c r="AK549" i="9"/>
  <c r="AL549" i="9"/>
  <c r="AM549" i="9"/>
  <c r="AN549" i="9"/>
  <c r="AO549" i="9"/>
  <c r="AP549" i="9"/>
  <c r="AQ549" i="9"/>
  <c r="AR549" i="9"/>
  <c r="AS549" i="9"/>
  <c r="AT549" i="9"/>
  <c r="AU549" i="9"/>
  <c r="AV549" i="9"/>
  <c r="AW549" i="9"/>
  <c r="AX549" i="9"/>
  <c r="AY549" i="9"/>
  <c r="AZ549" i="9"/>
  <c r="AA550" i="9"/>
  <c r="AB550" i="9"/>
  <c r="AC550" i="9"/>
  <c r="AD550" i="9"/>
  <c r="AE550" i="9"/>
  <c r="AF550" i="9"/>
  <c r="AG550" i="9"/>
  <c r="AH550" i="9"/>
  <c r="AI550" i="9"/>
  <c r="AJ550" i="9"/>
  <c r="AK550" i="9"/>
  <c r="AL550" i="9"/>
  <c r="AM550" i="9"/>
  <c r="AN550" i="9"/>
  <c r="AO550" i="9"/>
  <c r="AP550" i="9"/>
  <c r="AQ550" i="9"/>
  <c r="AR550" i="9"/>
  <c r="AS550" i="9"/>
  <c r="AT550" i="9"/>
  <c r="AU550" i="9"/>
  <c r="AV550" i="9"/>
  <c r="AW550" i="9"/>
  <c r="AX550" i="9"/>
  <c r="AY550" i="9"/>
  <c r="AZ550" i="9"/>
  <c r="AA551" i="9"/>
  <c r="AB551" i="9"/>
  <c r="AC551" i="9"/>
  <c r="AD551" i="9"/>
  <c r="AE551" i="9"/>
  <c r="AF551" i="9"/>
  <c r="AG551" i="9"/>
  <c r="AH551" i="9"/>
  <c r="AI551" i="9"/>
  <c r="AJ551" i="9"/>
  <c r="AK551" i="9"/>
  <c r="AL551" i="9"/>
  <c r="AM551" i="9"/>
  <c r="AN551" i="9"/>
  <c r="AO551" i="9"/>
  <c r="AP551" i="9"/>
  <c r="AQ551" i="9"/>
  <c r="AR551" i="9"/>
  <c r="AS551" i="9"/>
  <c r="AT551" i="9"/>
  <c r="AU551" i="9"/>
  <c r="AV551" i="9"/>
  <c r="AW551" i="9"/>
  <c r="AX551" i="9"/>
  <c r="AY551" i="9"/>
  <c r="AZ551" i="9"/>
  <c r="AA552" i="9"/>
  <c r="AB552" i="9"/>
  <c r="AC552" i="9"/>
  <c r="AD552" i="9"/>
  <c r="AE552" i="9"/>
  <c r="AF552" i="9"/>
  <c r="AG552" i="9"/>
  <c r="AH552" i="9"/>
  <c r="AI552" i="9"/>
  <c r="AJ552" i="9"/>
  <c r="AK552" i="9"/>
  <c r="AL552" i="9"/>
  <c r="AM552" i="9"/>
  <c r="AN552" i="9"/>
  <c r="AO552" i="9"/>
  <c r="AP552" i="9"/>
  <c r="AQ552" i="9"/>
  <c r="AR552" i="9"/>
  <c r="AS552" i="9"/>
  <c r="AT552" i="9"/>
  <c r="AU552" i="9"/>
  <c r="AV552" i="9"/>
  <c r="AW552" i="9"/>
  <c r="AX552" i="9"/>
  <c r="AY552" i="9"/>
  <c r="AZ552" i="9"/>
  <c r="AA553" i="9"/>
  <c r="AB553" i="9"/>
  <c r="AC553" i="9"/>
  <c r="AD553" i="9"/>
  <c r="AE553" i="9"/>
  <c r="AF553" i="9"/>
  <c r="AG553" i="9"/>
  <c r="AH553" i="9"/>
  <c r="AI553" i="9"/>
  <c r="AJ553" i="9"/>
  <c r="AK553" i="9"/>
  <c r="AL553" i="9"/>
  <c r="AM553" i="9"/>
  <c r="AN553" i="9"/>
  <c r="AO553" i="9"/>
  <c r="AP553" i="9"/>
  <c r="AQ553" i="9"/>
  <c r="AR553" i="9"/>
  <c r="AS553" i="9"/>
  <c r="AT553" i="9"/>
  <c r="AU553" i="9"/>
  <c r="AV553" i="9"/>
  <c r="AW553" i="9"/>
  <c r="AX553" i="9"/>
  <c r="AY553" i="9"/>
  <c r="AZ553" i="9"/>
  <c r="AA554" i="9"/>
  <c r="AB554" i="9"/>
  <c r="AC554" i="9"/>
  <c r="AD554" i="9"/>
  <c r="AE554" i="9"/>
  <c r="AF554" i="9"/>
  <c r="AG554" i="9"/>
  <c r="AH554" i="9"/>
  <c r="AI554" i="9"/>
  <c r="AJ554" i="9"/>
  <c r="AK554" i="9"/>
  <c r="AL554" i="9"/>
  <c r="AM554" i="9"/>
  <c r="AN554" i="9"/>
  <c r="AO554" i="9"/>
  <c r="AP554" i="9"/>
  <c r="AQ554" i="9"/>
  <c r="AR554" i="9"/>
  <c r="AS554" i="9"/>
  <c r="AT554" i="9"/>
  <c r="AU554" i="9"/>
  <c r="AV554" i="9"/>
  <c r="AW554" i="9"/>
  <c r="AX554" i="9"/>
  <c r="AY554" i="9"/>
  <c r="AZ554" i="9"/>
  <c r="AA555" i="9"/>
  <c r="AB555" i="9"/>
  <c r="AC555" i="9"/>
  <c r="AD555" i="9"/>
  <c r="AE555" i="9"/>
  <c r="AF555" i="9"/>
  <c r="AG555" i="9"/>
  <c r="AH555" i="9"/>
  <c r="AI555" i="9"/>
  <c r="AJ555" i="9"/>
  <c r="AK555" i="9"/>
  <c r="AL555" i="9"/>
  <c r="AM555" i="9"/>
  <c r="AN555" i="9"/>
  <c r="AO555" i="9"/>
  <c r="AP555" i="9"/>
  <c r="AQ555" i="9"/>
  <c r="AR555" i="9"/>
  <c r="AS555" i="9"/>
  <c r="AT555" i="9"/>
  <c r="AU555" i="9"/>
  <c r="AV555" i="9"/>
  <c r="AW555" i="9"/>
  <c r="AX555" i="9"/>
  <c r="AY555" i="9"/>
  <c r="AZ555" i="9"/>
  <c r="AA556" i="9"/>
  <c r="AB556" i="9"/>
  <c r="AC556" i="9"/>
  <c r="AD556" i="9"/>
  <c r="AE556" i="9"/>
  <c r="AF556" i="9"/>
  <c r="AG556" i="9"/>
  <c r="AH556" i="9"/>
  <c r="AI556" i="9"/>
  <c r="AJ556" i="9"/>
  <c r="AK556" i="9"/>
  <c r="AL556" i="9"/>
  <c r="AM556" i="9"/>
  <c r="AN556" i="9"/>
  <c r="AO556" i="9"/>
  <c r="AP556" i="9"/>
  <c r="AQ556" i="9"/>
  <c r="AR556" i="9"/>
  <c r="AS556" i="9"/>
  <c r="AT556" i="9"/>
  <c r="AU556" i="9"/>
  <c r="AV556" i="9"/>
  <c r="AW556" i="9"/>
  <c r="AX556" i="9"/>
  <c r="AY556" i="9"/>
  <c r="AZ556" i="9"/>
  <c r="AA557" i="9"/>
  <c r="AB557" i="9"/>
  <c r="AC557" i="9"/>
  <c r="AD557" i="9"/>
  <c r="AE557" i="9"/>
  <c r="AF557" i="9"/>
  <c r="AG557" i="9"/>
  <c r="AH557" i="9"/>
  <c r="AI557" i="9"/>
  <c r="AJ557" i="9"/>
  <c r="AK557" i="9"/>
  <c r="AL557" i="9"/>
  <c r="AM557" i="9"/>
  <c r="AN557" i="9"/>
  <c r="AO557" i="9"/>
  <c r="AP557" i="9"/>
  <c r="AQ557" i="9"/>
  <c r="AR557" i="9"/>
  <c r="AS557" i="9"/>
  <c r="AT557" i="9"/>
  <c r="AU557" i="9"/>
  <c r="AV557" i="9"/>
  <c r="AW557" i="9"/>
  <c r="AX557" i="9"/>
  <c r="AY557" i="9"/>
  <c r="AZ557" i="9"/>
  <c r="AA558" i="9"/>
  <c r="AB558" i="9"/>
  <c r="AC558" i="9"/>
  <c r="AD558" i="9"/>
  <c r="AE558" i="9"/>
  <c r="AF558" i="9"/>
  <c r="AG558" i="9"/>
  <c r="AH558" i="9"/>
  <c r="AI558" i="9"/>
  <c r="AJ558" i="9"/>
  <c r="AK558" i="9"/>
  <c r="AL558" i="9"/>
  <c r="AM558" i="9"/>
  <c r="AN558" i="9"/>
  <c r="AO558" i="9"/>
  <c r="AP558" i="9"/>
  <c r="AQ558" i="9"/>
  <c r="AR558" i="9"/>
  <c r="AS558" i="9"/>
  <c r="AT558" i="9"/>
  <c r="AU558" i="9"/>
  <c r="AV558" i="9"/>
  <c r="AW558" i="9"/>
  <c r="AX558" i="9"/>
  <c r="AY558" i="9"/>
  <c r="AZ558" i="9"/>
  <c r="AA559" i="9"/>
  <c r="AB559" i="9"/>
  <c r="AC559" i="9"/>
  <c r="AD559" i="9"/>
  <c r="AE559" i="9"/>
  <c r="AF559" i="9"/>
  <c r="AG559" i="9"/>
  <c r="AH559" i="9"/>
  <c r="AI559" i="9"/>
  <c r="AJ559" i="9"/>
  <c r="AK559" i="9"/>
  <c r="AL559" i="9"/>
  <c r="AM559" i="9"/>
  <c r="AN559" i="9"/>
  <c r="AO559" i="9"/>
  <c r="AP559" i="9"/>
  <c r="AQ559" i="9"/>
  <c r="AR559" i="9"/>
  <c r="AS559" i="9"/>
  <c r="AT559" i="9"/>
  <c r="AU559" i="9"/>
  <c r="AV559" i="9"/>
  <c r="AW559" i="9"/>
  <c r="AX559" i="9"/>
  <c r="AY559" i="9"/>
  <c r="AZ559" i="9"/>
  <c r="AA560" i="9"/>
  <c r="AB560" i="9"/>
  <c r="AC560" i="9"/>
  <c r="AD560" i="9"/>
  <c r="AE560" i="9"/>
  <c r="AF560" i="9"/>
  <c r="AG560" i="9"/>
  <c r="AH560" i="9"/>
  <c r="AI560" i="9"/>
  <c r="AJ560" i="9"/>
  <c r="AK560" i="9"/>
  <c r="AL560" i="9"/>
  <c r="AM560" i="9"/>
  <c r="AN560" i="9"/>
  <c r="AO560" i="9"/>
  <c r="AP560" i="9"/>
  <c r="AQ560" i="9"/>
  <c r="AR560" i="9"/>
  <c r="AS560" i="9"/>
  <c r="AT560" i="9"/>
  <c r="AU560" i="9"/>
  <c r="AV560" i="9"/>
  <c r="AW560" i="9"/>
  <c r="AX560" i="9"/>
  <c r="AY560" i="9"/>
  <c r="AZ560" i="9"/>
  <c r="AA561" i="9"/>
  <c r="AB561" i="9"/>
  <c r="AC561" i="9"/>
  <c r="AD561" i="9"/>
  <c r="AE561" i="9"/>
  <c r="AF561" i="9"/>
  <c r="AG561" i="9"/>
  <c r="AH561" i="9"/>
  <c r="AI561" i="9"/>
  <c r="AJ561" i="9"/>
  <c r="AK561" i="9"/>
  <c r="AL561" i="9"/>
  <c r="AM561" i="9"/>
  <c r="AN561" i="9"/>
  <c r="AO561" i="9"/>
  <c r="AP561" i="9"/>
  <c r="AQ561" i="9"/>
  <c r="AR561" i="9"/>
  <c r="AS561" i="9"/>
  <c r="AT561" i="9"/>
  <c r="AU561" i="9"/>
  <c r="AV561" i="9"/>
  <c r="AW561" i="9"/>
  <c r="AX561" i="9"/>
  <c r="AY561" i="9"/>
  <c r="AZ561" i="9"/>
  <c r="AA562" i="9"/>
  <c r="AB562" i="9"/>
  <c r="AC562" i="9"/>
  <c r="AD562" i="9"/>
  <c r="AE562" i="9"/>
  <c r="AF562" i="9"/>
  <c r="AG562" i="9"/>
  <c r="AH562" i="9"/>
  <c r="AI562" i="9"/>
  <c r="AJ562" i="9"/>
  <c r="AK562" i="9"/>
  <c r="AL562" i="9"/>
  <c r="AM562" i="9"/>
  <c r="AN562" i="9"/>
  <c r="AO562" i="9"/>
  <c r="AP562" i="9"/>
  <c r="AQ562" i="9"/>
  <c r="AR562" i="9"/>
  <c r="AS562" i="9"/>
  <c r="AT562" i="9"/>
  <c r="AU562" i="9"/>
  <c r="AV562" i="9"/>
  <c r="AW562" i="9"/>
  <c r="AX562" i="9"/>
  <c r="AY562" i="9"/>
  <c r="AZ562" i="9"/>
  <c r="AA563" i="9"/>
  <c r="AB563" i="9"/>
  <c r="AC563" i="9"/>
  <c r="AD563" i="9"/>
  <c r="AE563" i="9"/>
  <c r="AF563" i="9"/>
  <c r="AG563" i="9"/>
  <c r="AH563" i="9"/>
  <c r="AI563" i="9"/>
  <c r="AJ563" i="9"/>
  <c r="AK563" i="9"/>
  <c r="AL563" i="9"/>
  <c r="AM563" i="9"/>
  <c r="AN563" i="9"/>
  <c r="AO563" i="9"/>
  <c r="AP563" i="9"/>
  <c r="AQ563" i="9"/>
  <c r="AR563" i="9"/>
  <c r="AS563" i="9"/>
  <c r="AT563" i="9"/>
  <c r="AU563" i="9"/>
  <c r="AV563" i="9"/>
  <c r="AW563" i="9"/>
  <c r="AX563" i="9"/>
  <c r="AY563" i="9"/>
  <c r="AZ563" i="9"/>
  <c r="AA564" i="9"/>
  <c r="AB564" i="9"/>
  <c r="AC564" i="9"/>
  <c r="AD564" i="9"/>
  <c r="AE564" i="9"/>
  <c r="AF564" i="9"/>
  <c r="AG564" i="9"/>
  <c r="AH564" i="9"/>
  <c r="AI564" i="9"/>
  <c r="AJ564" i="9"/>
  <c r="AK564" i="9"/>
  <c r="AL564" i="9"/>
  <c r="AM564" i="9"/>
  <c r="AN564" i="9"/>
  <c r="AO564" i="9"/>
  <c r="AP564" i="9"/>
  <c r="AQ564" i="9"/>
  <c r="AR564" i="9"/>
  <c r="AS564" i="9"/>
  <c r="AT564" i="9"/>
  <c r="AU564" i="9"/>
  <c r="AV564" i="9"/>
  <c r="AW564" i="9"/>
  <c r="AX564" i="9"/>
  <c r="AY564" i="9"/>
  <c r="AZ564" i="9"/>
  <c r="AA565" i="9"/>
  <c r="AB565" i="9"/>
  <c r="AC565" i="9"/>
  <c r="AD565" i="9"/>
  <c r="AE565" i="9"/>
  <c r="AF565" i="9"/>
  <c r="AG565" i="9"/>
  <c r="AH565" i="9"/>
  <c r="AI565" i="9"/>
  <c r="AJ565" i="9"/>
  <c r="AK565" i="9"/>
  <c r="AL565" i="9"/>
  <c r="AM565" i="9"/>
  <c r="AN565" i="9"/>
  <c r="AO565" i="9"/>
  <c r="AP565" i="9"/>
  <c r="AQ565" i="9"/>
  <c r="AR565" i="9"/>
  <c r="AS565" i="9"/>
  <c r="AT565" i="9"/>
  <c r="AU565" i="9"/>
  <c r="AV565" i="9"/>
  <c r="AW565" i="9"/>
  <c r="AX565" i="9"/>
  <c r="AY565" i="9"/>
  <c r="AZ565" i="9"/>
  <c r="AA566" i="9"/>
  <c r="AB566" i="9"/>
  <c r="AC566" i="9"/>
  <c r="AD566" i="9"/>
  <c r="AE566" i="9"/>
  <c r="AF566" i="9"/>
  <c r="AG566" i="9"/>
  <c r="AH566" i="9"/>
  <c r="AI566" i="9"/>
  <c r="AJ566" i="9"/>
  <c r="AK566" i="9"/>
  <c r="AL566" i="9"/>
  <c r="AM566" i="9"/>
  <c r="AN566" i="9"/>
  <c r="AO566" i="9"/>
  <c r="AP566" i="9"/>
  <c r="AQ566" i="9"/>
  <c r="AR566" i="9"/>
  <c r="AS566" i="9"/>
  <c r="AT566" i="9"/>
  <c r="AU566" i="9"/>
  <c r="AV566" i="9"/>
  <c r="AW566" i="9"/>
  <c r="AX566" i="9"/>
  <c r="AY566" i="9"/>
  <c r="AZ566" i="9"/>
  <c r="AA567" i="9"/>
  <c r="AB567" i="9"/>
  <c r="AC567" i="9"/>
  <c r="AD567" i="9"/>
  <c r="AE567" i="9"/>
  <c r="AF567" i="9"/>
  <c r="AG567" i="9"/>
  <c r="AH567" i="9"/>
  <c r="AI567" i="9"/>
  <c r="AJ567" i="9"/>
  <c r="AK567" i="9"/>
  <c r="AL567" i="9"/>
  <c r="AM567" i="9"/>
  <c r="AN567" i="9"/>
  <c r="AO567" i="9"/>
  <c r="AP567" i="9"/>
  <c r="AQ567" i="9"/>
  <c r="AR567" i="9"/>
  <c r="AS567" i="9"/>
  <c r="AT567" i="9"/>
  <c r="AU567" i="9"/>
  <c r="AV567" i="9"/>
  <c r="AW567" i="9"/>
  <c r="AX567" i="9"/>
  <c r="AY567" i="9"/>
  <c r="AZ567" i="9"/>
  <c r="AA568" i="9"/>
  <c r="AB568" i="9"/>
  <c r="AC568" i="9"/>
  <c r="AD568" i="9"/>
  <c r="AE568" i="9"/>
  <c r="AF568" i="9"/>
  <c r="AG568" i="9"/>
  <c r="AH568" i="9"/>
  <c r="AI568" i="9"/>
  <c r="AJ568" i="9"/>
  <c r="AK568" i="9"/>
  <c r="AL568" i="9"/>
  <c r="AM568" i="9"/>
  <c r="AN568" i="9"/>
  <c r="AO568" i="9"/>
  <c r="AP568" i="9"/>
  <c r="AQ568" i="9"/>
  <c r="AR568" i="9"/>
  <c r="AS568" i="9"/>
  <c r="AT568" i="9"/>
  <c r="AU568" i="9"/>
  <c r="AV568" i="9"/>
  <c r="AW568" i="9"/>
  <c r="AX568" i="9"/>
  <c r="AY568" i="9"/>
  <c r="AZ568" i="9"/>
  <c r="AA569" i="9"/>
  <c r="AB569" i="9"/>
  <c r="AC569" i="9"/>
  <c r="AD569" i="9"/>
  <c r="AE569" i="9"/>
  <c r="AF569" i="9"/>
  <c r="AG569" i="9"/>
  <c r="AH569" i="9"/>
  <c r="AI569" i="9"/>
  <c r="AJ569" i="9"/>
  <c r="AK569" i="9"/>
  <c r="AL569" i="9"/>
  <c r="AM569" i="9"/>
  <c r="AN569" i="9"/>
  <c r="AO569" i="9"/>
  <c r="AP569" i="9"/>
  <c r="AQ569" i="9"/>
  <c r="AR569" i="9"/>
  <c r="AS569" i="9"/>
  <c r="AT569" i="9"/>
  <c r="AU569" i="9"/>
  <c r="AV569" i="9"/>
  <c r="AW569" i="9"/>
  <c r="AX569" i="9"/>
  <c r="AY569" i="9"/>
  <c r="AZ569" i="9"/>
  <c r="AA570" i="9"/>
  <c r="AB570" i="9"/>
  <c r="AC570" i="9"/>
  <c r="AD570" i="9"/>
  <c r="AE570" i="9"/>
  <c r="AF570" i="9"/>
  <c r="AG570" i="9"/>
  <c r="AH570" i="9"/>
  <c r="AI570" i="9"/>
  <c r="AJ570" i="9"/>
  <c r="AK570" i="9"/>
  <c r="AL570" i="9"/>
  <c r="AM570" i="9"/>
  <c r="AN570" i="9"/>
  <c r="AO570" i="9"/>
  <c r="AP570" i="9"/>
  <c r="AQ570" i="9"/>
  <c r="AR570" i="9"/>
  <c r="AS570" i="9"/>
  <c r="AT570" i="9"/>
  <c r="AU570" i="9"/>
  <c r="AV570" i="9"/>
  <c r="AW570" i="9"/>
  <c r="AX570" i="9"/>
  <c r="AY570" i="9"/>
  <c r="AZ570" i="9"/>
  <c r="AA571" i="9"/>
  <c r="AB571" i="9"/>
  <c r="AC571" i="9"/>
  <c r="AD571" i="9"/>
  <c r="AE571" i="9"/>
  <c r="AF571" i="9"/>
  <c r="AG571" i="9"/>
  <c r="AH571" i="9"/>
  <c r="AI571" i="9"/>
  <c r="AJ571" i="9"/>
  <c r="AK571" i="9"/>
  <c r="AL571" i="9"/>
  <c r="AM571" i="9"/>
  <c r="AN571" i="9"/>
  <c r="AO571" i="9"/>
  <c r="AP571" i="9"/>
  <c r="AQ571" i="9"/>
  <c r="AR571" i="9"/>
  <c r="AS571" i="9"/>
  <c r="AT571" i="9"/>
  <c r="AU571" i="9"/>
  <c r="AV571" i="9"/>
  <c r="AW571" i="9"/>
  <c r="AX571" i="9"/>
  <c r="AY571" i="9"/>
  <c r="AZ571" i="9"/>
  <c r="AA572" i="9"/>
  <c r="AB572" i="9"/>
  <c r="AC572" i="9"/>
  <c r="AD572" i="9"/>
  <c r="AE572" i="9"/>
  <c r="AF572" i="9"/>
  <c r="AG572" i="9"/>
  <c r="AH572" i="9"/>
  <c r="AI572" i="9"/>
  <c r="AJ572" i="9"/>
  <c r="AK572" i="9"/>
  <c r="AL572" i="9"/>
  <c r="AM572" i="9"/>
  <c r="AN572" i="9"/>
  <c r="AO572" i="9"/>
  <c r="AP572" i="9"/>
  <c r="AQ572" i="9"/>
  <c r="AR572" i="9"/>
  <c r="AS572" i="9"/>
  <c r="AT572" i="9"/>
  <c r="AU572" i="9"/>
  <c r="AV572" i="9"/>
  <c r="AW572" i="9"/>
  <c r="AX572" i="9"/>
  <c r="AY572" i="9"/>
  <c r="AZ572" i="9"/>
  <c r="AA573" i="9"/>
  <c r="AB573" i="9"/>
  <c r="AC573" i="9"/>
  <c r="AD573" i="9"/>
  <c r="AE573" i="9"/>
  <c r="AF573" i="9"/>
  <c r="AG573" i="9"/>
  <c r="AH573" i="9"/>
  <c r="AI573" i="9"/>
  <c r="AJ573" i="9"/>
  <c r="AK573" i="9"/>
  <c r="AL573" i="9"/>
  <c r="AM573" i="9"/>
  <c r="AN573" i="9"/>
  <c r="AO573" i="9"/>
  <c r="AP573" i="9"/>
  <c r="AQ573" i="9"/>
  <c r="AR573" i="9"/>
  <c r="AS573" i="9"/>
  <c r="AT573" i="9"/>
  <c r="AU573" i="9"/>
  <c r="AV573" i="9"/>
  <c r="AW573" i="9"/>
  <c r="AX573" i="9"/>
  <c r="AY573" i="9"/>
  <c r="AZ573" i="9"/>
  <c r="AA574" i="9"/>
  <c r="AB574" i="9"/>
  <c r="AC574" i="9"/>
  <c r="AD574" i="9"/>
  <c r="AE574" i="9"/>
  <c r="AF574" i="9"/>
  <c r="AG574" i="9"/>
  <c r="AH574" i="9"/>
  <c r="AI574" i="9"/>
  <c r="AJ574" i="9"/>
  <c r="AK574" i="9"/>
  <c r="AL574" i="9"/>
  <c r="AM574" i="9"/>
  <c r="AN574" i="9"/>
  <c r="AO574" i="9"/>
  <c r="AP574" i="9"/>
  <c r="AQ574" i="9"/>
  <c r="AR574" i="9"/>
  <c r="AS574" i="9"/>
  <c r="AT574" i="9"/>
  <c r="AU574" i="9"/>
  <c r="AV574" i="9"/>
  <c r="AW574" i="9"/>
  <c r="AX574" i="9"/>
  <c r="AY574" i="9"/>
  <c r="AZ574" i="9"/>
  <c r="AA575" i="9"/>
  <c r="AB575" i="9"/>
  <c r="AC575" i="9"/>
  <c r="AD575" i="9"/>
  <c r="AE575" i="9"/>
  <c r="AF575" i="9"/>
  <c r="AG575" i="9"/>
  <c r="AH575" i="9"/>
  <c r="AI575" i="9"/>
  <c r="AJ575" i="9"/>
  <c r="AK575" i="9"/>
  <c r="AL575" i="9"/>
  <c r="AM575" i="9"/>
  <c r="AN575" i="9"/>
  <c r="AO575" i="9"/>
  <c r="AP575" i="9"/>
  <c r="AQ575" i="9"/>
  <c r="AR575" i="9"/>
  <c r="AS575" i="9"/>
  <c r="AT575" i="9"/>
  <c r="AU575" i="9"/>
  <c r="AV575" i="9"/>
  <c r="AW575" i="9"/>
  <c r="AX575" i="9"/>
  <c r="AY575" i="9"/>
  <c r="AZ575" i="9"/>
  <c r="AA576" i="9"/>
  <c r="AB576" i="9"/>
  <c r="AC576" i="9"/>
  <c r="AD576" i="9"/>
  <c r="AE576" i="9"/>
  <c r="AF576" i="9"/>
  <c r="AG576" i="9"/>
  <c r="AH576" i="9"/>
  <c r="AI576" i="9"/>
  <c r="AJ576" i="9"/>
  <c r="AK576" i="9"/>
  <c r="AL576" i="9"/>
  <c r="AM576" i="9"/>
  <c r="AN576" i="9"/>
  <c r="AO576" i="9"/>
  <c r="AP576" i="9"/>
  <c r="AQ576" i="9"/>
  <c r="AR576" i="9"/>
  <c r="AS576" i="9"/>
  <c r="AT576" i="9"/>
  <c r="AU576" i="9"/>
  <c r="AV576" i="9"/>
  <c r="AW576" i="9"/>
  <c r="AX576" i="9"/>
  <c r="AY576" i="9"/>
  <c r="AZ576" i="9"/>
  <c r="AA577" i="9"/>
  <c r="AB577" i="9"/>
  <c r="AC577" i="9"/>
  <c r="AD577" i="9"/>
  <c r="AE577" i="9"/>
  <c r="AF577" i="9"/>
  <c r="AG577" i="9"/>
  <c r="AH577" i="9"/>
  <c r="AI577" i="9"/>
  <c r="AJ577" i="9"/>
  <c r="AK577" i="9"/>
  <c r="AL577" i="9"/>
  <c r="AM577" i="9"/>
  <c r="AN577" i="9"/>
  <c r="AO577" i="9"/>
  <c r="AP577" i="9"/>
  <c r="AQ577" i="9"/>
  <c r="AR577" i="9"/>
  <c r="AS577" i="9"/>
  <c r="AT577" i="9"/>
  <c r="AU577" i="9"/>
  <c r="AV577" i="9"/>
  <c r="AW577" i="9"/>
  <c r="AX577" i="9"/>
  <c r="AY577" i="9"/>
  <c r="AZ577" i="9"/>
  <c r="AA578" i="9"/>
  <c r="AB578" i="9"/>
  <c r="AC578" i="9"/>
  <c r="AD578" i="9"/>
  <c r="AE578" i="9"/>
  <c r="AF578" i="9"/>
  <c r="AG578" i="9"/>
  <c r="AH578" i="9"/>
  <c r="AI578" i="9"/>
  <c r="AJ578" i="9"/>
  <c r="AK578" i="9"/>
  <c r="AL578" i="9"/>
  <c r="AM578" i="9"/>
  <c r="AN578" i="9"/>
  <c r="AO578" i="9"/>
  <c r="AP578" i="9"/>
  <c r="AQ578" i="9"/>
  <c r="AR578" i="9"/>
  <c r="AS578" i="9"/>
  <c r="AT578" i="9"/>
  <c r="AU578" i="9"/>
  <c r="AV578" i="9"/>
  <c r="AW578" i="9"/>
  <c r="AX578" i="9"/>
  <c r="AY578" i="9"/>
  <c r="AZ578" i="9"/>
  <c r="AA579" i="9"/>
  <c r="AB579" i="9"/>
  <c r="AC579" i="9"/>
  <c r="AD579" i="9"/>
  <c r="AE579" i="9"/>
  <c r="AF579" i="9"/>
  <c r="AG579" i="9"/>
  <c r="AH579" i="9"/>
  <c r="AI579" i="9"/>
  <c r="AJ579" i="9"/>
  <c r="AK579" i="9"/>
  <c r="AL579" i="9"/>
  <c r="AM579" i="9"/>
  <c r="AN579" i="9"/>
  <c r="AO579" i="9"/>
  <c r="AP579" i="9"/>
  <c r="AQ579" i="9"/>
  <c r="AR579" i="9"/>
  <c r="AS579" i="9"/>
  <c r="AT579" i="9"/>
  <c r="AU579" i="9"/>
  <c r="AV579" i="9"/>
  <c r="AW579" i="9"/>
  <c r="AX579" i="9"/>
  <c r="AY579" i="9"/>
  <c r="AZ579" i="9"/>
  <c r="AA580" i="9"/>
  <c r="AB580" i="9"/>
  <c r="AC580" i="9"/>
  <c r="AD580" i="9"/>
  <c r="AE580" i="9"/>
  <c r="AF580" i="9"/>
  <c r="AG580" i="9"/>
  <c r="AH580" i="9"/>
  <c r="AI580" i="9"/>
  <c r="AJ580" i="9"/>
  <c r="AK580" i="9"/>
  <c r="AL580" i="9"/>
  <c r="AM580" i="9"/>
  <c r="AN580" i="9"/>
  <c r="AO580" i="9"/>
  <c r="AP580" i="9"/>
  <c r="AQ580" i="9"/>
  <c r="AR580" i="9"/>
  <c r="AS580" i="9"/>
  <c r="AT580" i="9"/>
  <c r="AU580" i="9"/>
  <c r="AV580" i="9"/>
  <c r="AW580" i="9"/>
  <c r="AX580" i="9"/>
  <c r="AY580" i="9"/>
  <c r="AZ580" i="9"/>
  <c r="AA581" i="9"/>
  <c r="AB581" i="9"/>
  <c r="AC581" i="9"/>
  <c r="AD581" i="9"/>
  <c r="AE581" i="9"/>
  <c r="AF581" i="9"/>
  <c r="AG581" i="9"/>
  <c r="AH581" i="9"/>
  <c r="AI581" i="9"/>
  <c r="AJ581" i="9"/>
  <c r="AK581" i="9"/>
  <c r="AL581" i="9"/>
  <c r="AM581" i="9"/>
  <c r="AN581" i="9"/>
  <c r="AO581" i="9"/>
  <c r="AP581" i="9"/>
  <c r="AQ581" i="9"/>
  <c r="AR581" i="9"/>
  <c r="AS581" i="9"/>
  <c r="AT581" i="9"/>
  <c r="AU581" i="9"/>
  <c r="AV581" i="9"/>
  <c r="AW581" i="9"/>
  <c r="AX581" i="9"/>
  <c r="AY581" i="9"/>
  <c r="AZ581" i="9"/>
  <c r="AA582" i="9"/>
  <c r="AB582" i="9"/>
  <c r="AC582" i="9"/>
  <c r="AD582" i="9"/>
  <c r="AE582" i="9"/>
  <c r="AF582" i="9"/>
  <c r="AG582" i="9"/>
  <c r="AH582" i="9"/>
  <c r="AI582" i="9"/>
  <c r="AJ582" i="9"/>
  <c r="AK582" i="9"/>
  <c r="AL582" i="9"/>
  <c r="AM582" i="9"/>
  <c r="AN582" i="9"/>
  <c r="AO582" i="9"/>
  <c r="AP582" i="9"/>
  <c r="AQ582" i="9"/>
  <c r="AR582" i="9"/>
  <c r="AS582" i="9"/>
  <c r="AT582" i="9"/>
  <c r="AU582" i="9"/>
  <c r="AV582" i="9"/>
  <c r="AW582" i="9"/>
  <c r="AX582" i="9"/>
  <c r="AY582" i="9"/>
  <c r="AZ582" i="9"/>
  <c r="AA583" i="9"/>
  <c r="AB583" i="9"/>
  <c r="AC583" i="9"/>
  <c r="AD583" i="9"/>
  <c r="AE583" i="9"/>
  <c r="AF583" i="9"/>
  <c r="AG583" i="9"/>
  <c r="AH583" i="9"/>
  <c r="AI583" i="9"/>
  <c r="AJ583" i="9"/>
  <c r="AK583" i="9"/>
  <c r="AL583" i="9"/>
  <c r="AM583" i="9"/>
  <c r="AN583" i="9"/>
  <c r="AO583" i="9"/>
  <c r="AP583" i="9"/>
  <c r="AQ583" i="9"/>
  <c r="AR583" i="9"/>
  <c r="AS583" i="9"/>
  <c r="AT583" i="9"/>
  <c r="AU583" i="9"/>
  <c r="AV583" i="9"/>
  <c r="AW583" i="9"/>
  <c r="AX583" i="9"/>
  <c r="AY583" i="9"/>
  <c r="AZ583" i="9"/>
  <c r="AA584" i="9"/>
  <c r="AB584" i="9"/>
  <c r="AC584" i="9"/>
  <c r="AD584" i="9"/>
  <c r="AE584" i="9"/>
  <c r="AF584" i="9"/>
  <c r="AG584" i="9"/>
  <c r="AH584" i="9"/>
  <c r="AI584" i="9"/>
  <c r="AJ584" i="9"/>
  <c r="AK584" i="9"/>
  <c r="AL584" i="9"/>
  <c r="AM584" i="9"/>
  <c r="AN584" i="9"/>
  <c r="AO584" i="9"/>
  <c r="AP584" i="9"/>
  <c r="AQ584" i="9"/>
  <c r="AR584" i="9"/>
  <c r="AS584" i="9"/>
  <c r="AT584" i="9"/>
  <c r="AU584" i="9"/>
  <c r="AV584" i="9"/>
  <c r="AW584" i="9"/>
  <c r="AX584" i="9"/>
  <c r="AY584" i="9"/>
  <c r="AZ584" i="9"/>
  <c r="AA585" i="9"/>
  <c r="AB585" i="9"/>
  <c r="AC585" i="9"/>
  <c r="AD585" i="9"/>
  <c r="AE585" i="9"/>
  <c r="AF585" i="9"/>
  <c r="AG585" i="9"/>
  <c r="AH585" i="9"/>
  <c r="AI585" i="9"/>
  <c r="AJ585" i="9"/>
  <c r="AK585" i="9"/>
  <c r="AL585" i="9"/>
  <c r="AM585" i="9"/>
  <c r="AN585" i="9"/>
  <c r="AO585" i="9"/>
  <c r="AP585" i="9"/>
  <c r="AQ585" i="9"/>
  <c r="AR585" i="9"/>
  <c r="AS585" i="9"/>
  <c r="AT585" i="9"/>
  <c r="AU585" i="9"/>
  <c r="AV585" i="9"/>
  <c r="AW585" i="9"/>
  <c r="AX585" i="9"/>
  <c r="AY585" i="9"/>
  <c r="AZ585" i="9"/>
  <c r="AA586" i="9"/>
  <c r="AB586" i="9"/>
  <c r="AC586" i="9"/>
  <c r="AD586" i="9"/>
  <c r="AE586" i="9"/>
  <c r="AF586" i="9"/>
  <c r="AG586" i="9"/>
  <c r="AH586" i="9"/>
  <c r="AI586" i="9"/>
  <c r="AJ586" i="9"/>
  <c r="AK586" i="9"/>
  <c r="AL586" i="9"/>
  <c r="AM586" i="9"/>
  <c r="AN586" i="9"/>
  <c r="AO586" i="9"/>
  <c r="AP586" i="9"/>
  <c r="AQ586" i="9"/>
  <c r="AR586" i="9"/>
  <c r="AS586" i="9"/>
  <c r="AT586" i="9"/>
  <c r="AU586" i="9"/>
  <c r="AV586" i="9"/>
  <c r="AW586" i="9"/>
  <c r="AX586" i="9"/>
  <c r="AY586" i="9"/>
  <c r="AZ586" i="9"/>
  <c r="AA587" i="9"/>
  <c r="AB587" i="9"/>
  <c r="AC587" i="9"/>
  <c r="AD587" i="9"/>
  <c r="AE587" i="9"/>
  <c r="AF587" i="9"/>
  <c r="AG587" i="9"/>
  <c r="AH587" i="9"/>
  <c r="AI587" i="9"/>
  <c r="AJ587" i="9"/>
  <c r="AK587" i="9"/>
  <c r="AL587" i="9"/>
  <c r="AM587" i="9"/>
  <c r="AN587" i="9"/>
  <c r="AO587" i="9"/>
  <c r="AP587" i="9"/>
  <c r="AQ587" i="9"/>
  <c r="AR587" i="9"/>
  <c r="AS587" i="9"/>
  <c r="AT587" i="9"/>
  <c r="AU587" i="9"/>
  <c r="AV587" i="9"/>
  <c r="AW587" i="9"/>
  <c r="AX587" i="9"/>
  <c r="AY587" i="9"/>
  <c r="AZ587" i="9"/>
  <c r="AA588" i="9"/>
  <c r="AB588" i="9"/>
  <c r="AC588" i="9"/>
  <c r="AD588" i="9"/>
  <c r="AE588" i="9"/>
  <c r="AF588" i="9"/>
  <c r="AG588" i="9"/>
  <c r="AH588" i="9"/>
  <c r="AI588" i="9"/>
  <c r="AJ588" i="9"/>
  <c r="AK588" i="9"/>
  <c r="AL588" i="9"/>
  <c r="AM588" i="9"/>
  <c r="AN588" i="9"/>
  <c r="AO588" i="9"/>
  <c r="AP588" i="9"/>
  <c r="AQ588" i="9"/>
  <c r="AR588" i="9"/>
  <c r="AS588" i="9"/>
  <c r="AT588" i="9"/>
  <c r="AU588" i="9"/>
  <c r="AV588" i="9"/>
  <c r="AW588" i="9"/>
  <c r="AX588" i="9"/>
  <c r="AY588" i="9"/>
  <c r="AZ588" i="9"/>
  <c r="AA589" i="9"/>
  <c r="AB589" i="9"/>
  <c r="AC589" i="9"/>
  <c r="AD589" i="9"/>
  <c r="AE589" i="9"/>
  <c r="AF589" i="9"/>
  <c r="AG589" i="9"/>
  <c r="AH589" i="9"/>
  <c r="AI589" i="9"/>
  <c r="AJ589" i="9"/>
  <c r="AK589" i="9"/>
  <c r="AL589" i="9"/>
  <c r="AM589" i="9"/>
  <c r="AN589" i="9"/>
  <c r="AO589" i="9"/>
  <c r="AP589" i="9"/>
  <c r="AQ589" i="9"/>
  <c r="AR589" i="9"/>
  <c r="AS589" i="9"/>
  <c r="AT589" i="9"/>
  <c r="AU589" i="9"/>
  <c r="AV589" i="9"/>
  <c r="AW589" i="9"/>
  <c r="AX589" i="9"/>
  <c r="AY589" i="9"/>
  <c r="AZ589" i="9"/>
  <c r="AA590" i="9"/>
  <c r="AB590" i="9"/>
  <c r="AC590" i="9"/>
  <c r="AD590" i="9"/>
  <c r="AE590" i="9"/>
  <c r="AF590" i="9"/>
  <c r="AG590" i="9"/>
  <c r="AH590" i="9"/>
  <c r="AI590" i="9"/>
  <c r="AJ590" i="9"/>
  <c r="AK590" i="9"/>
  <c r="AL590" i="9"/>
  <c r="AM590" i="9"/>
  <c r="AN590" i="9"/>
  <c r="AO590" i="9"/>
  <c r="AP590" i="9"/>
  <c r="AQ590" i="9"/>
  <c r="AR590" i="9"/>
  <c r="AS590" i="9"/>
  <c r="AT590" i="9"/>
  <c r="AU590" i="9"/>
  <c r="AV590" i="9"/>
  <c r="AW590" i="9"/>
  <c r="AX590" i="9"/>
  <c r="AY590" i="9"/>
  <c r="AZ590" i="9"/>
  <c r="AA591" i="9"/>
  <c r="AB591" i="9"/>
  <c r="AC591" i="9"/>
  <c r="AD591" i="9"/>
  <c r="AE591" i="9"/>
  <c r="AF591" i="9"/>
  <c r="AG591" i="9"/>
  <c r="AH591" i="9"/>
  <c r="AI591" i="9"/>
  <c r="AJ591" i="9"/>
  <c r="AK591" i="9"/>
  <c r="AL591" i="9"/>
  <c r="AM591" i="9"/>
  <c r="AN591" i="9"/>
  <c r="AO591" i="9"/>
  <c r="AP591" i="9"/>
  <c r="AQ591" i="9"/>
  <c r="AR591" i="9"/>
  <c r="AS591" i="9"/>
  <c r="AT591" i="9"/>
  <c r="AU591" i="9"/>
  <c r="AV591" i="9"/>
  <c r="AW591" i="9"/>
  <c r="AX591" i="9"/>
  <c r="AY591" i="9"/>
  <c r="AZ591" i="9"/>
  <c r="AA592" i="9"/>
  <c r="AB592" i="9"/>
  <c r="AC592" i="9"/>
  <c r="AD592" i="9"/>
  <c r="AE592" i="9"/>
  <c r="AF592" i="9"/>
  <c r="AG592" i="9"/>
  <c r="AH592" i="9"/>
  <c r="AI592" i="9"/>
  <c r="AJ592" i="9"/>
  <c r="AK592" i="9"/>
  <c r="AL592" i="9"/>
  <c r="AM592" i="9"/>
  <c r="AN592" i="9"/>
  <c r="AO592" i="9"/>
  <c r="AP592" i="9"/>
  <c r="AQ592" i="9"/>
  <c r="AR592" i="9"/>
  <c r="AS592" i="9"/>
  <c r="AT592" i="9"/>
  <c r="AU592" i="9"/>
  <c r="AV592" i="9"/>
  <c r="AW592" i="9"/>
  <c r="AX592" i="9"/>
  <c r="AY592" i="9"/>
  <c r="AZ592" i="9"/>
  <c r="AA593" i="9"/>
  <c r="AB593" i="9"/>
  <c r="AC593" i="9"/>
  <c r="AD593" i="9"/>
  <c r="AE593" i="9"/>
  <c r="AF593" i="9"/>
  <c r="AG593" i="9"/>
  <c r="AH593" i="9"/>
  <c r="AI593" i="9"/>
  <c r="AJ593" i="9"/>
  <c r="AK593" i="9"/>
  <c r="AL593" i="9"/>
  <c r="AM593" i="9"/>
  <c r="AN593" i="9"/>
  <c r="AO593" i="9"/>
  <c r="AP593" i="9"/>
  <c r="AQ593" i="9"/>
  <c r="AR593" i="9"/>
  <c r="AS593" i="9"/>
  <c r="AT593" i="9"/>
  <c r="AU593" i="9"/>
  <c r="AV593" i="9"/>
  <c r="AW593" i="9"/>
  <c r="AX593" i="9"/>
  <c r="AY593" i="9"/>
  <c r="AZ593" i="9"/>
  <c r="AA594" i="9"/>
  <c r="AB594" i="9"/>
  <c r="AC594" i="9"/>
  <c r="AD594" i="9"/>
  <c r="AE594" i="9"/>
  <c r="AF594" i="9"/>
  <c r="AG594" i="9"/>
  <c r="AH594" i="9"/>
  <c r="AI594" i="9"/>
  <c r="AJ594" i="9"/>
  <c r="AK594" i="9"/>
  <c r="AL594" i="9"/>
  <c r="AM594" i="9"/>
  <c r="AN594" i="9"/>
  <c r="AO594" i="9"/>
  <c r="AP594" i="9"/>
  <c r="AQ594" i="9"/>
  <c r="AR594" i="9"/>
  <c r="AS594" i="9"/>
  <c r="AT594" i="9"/>
  <c r="AU594" i="9"/>
  <c r="AV594" i="9"/>
  <c r="AW594" i="9"/>
  <c r="AX594" i="9"/>
  <c r="AY594" i="9"/>
  <c r="AZ594" i="9"/>
  <c r="AA595" i="9"/>
  <c r="AB595" i="9"/>
  <c r="AC595" i="9"/>
  <c r="AD595" i="9"/>
  <c r="AE595" i="9"/>
  <c r="AF595" i="9"/>
  <c r="AG595" i="9"/>
  <c r="AH595" i="9"/>
  <c r="AI595" i="9"/>
  <c r="AJ595" i="9"/>
  <c r="AK595" i="9"/>
  <c r="AL595" i="9"/>
  <c r="AM595" i="9"/>
  <c r="AN595" i="9"/>
  <c r="AO595" i="9"/>
  <c r="AP595" i="9"/>
  <c r="AQ595" i="9"/>
  <c r="AR595" i="9"/>
  <c r="AS595" i="9"/>
  <c r="AT595" i="9"/>
  <c r="AU595" i="9"/>
  <c r="AV595" i="9"/>
  <c r="AW595" i="9"/>
  <c r="AX595" i="9"/>
  <c r="AY595" i="9"/>
  <c r="AZ595" i="9"/>
  <c r="AA596" i="9"/>
  <c r="AB596" i="9"/>
  <c r="AC596" i="9"/>
  <c r="AD596" i="9"/>
  <c r="AE596" i="9"/>
  <c r="AF596" i="9"/>
  <c r="AG596" i="9"/>
  <c r="AH596" i="9"/>
  <c r="AI596" i="9"/>
  <c r="AJ596" i="9"/>
  <c r="AK596" i="9"/>
  <c r="AL596" i="9"/>
  <c r="AM596" i="9"/>
  <c r="AN596" i="9"/>
  <c r="AO596" i="9"/>
  <c r="AP596" i="9"/>
  <c r="AQ596" i="9"/>
  <c r="AR596" i="9"/>
  <c r="AS596" i="9"/>
  <c r="AT596" i="9"/>
  <c r="AU596" i="9"/>
  <c r="AV596" i="9"/>
  <c r="AW596" i="9"/>
  <c r="AX596" i="9"/>
  <c r="AY596" i="9"/>
  <c r="AZ596" i="9"/>
  <c r="AA597" i="9"/>
  <c r="AB597" i="9"/>
  <c r="AC597" i="9"/>
  <c r="AD597" i="9"/>
  <c r="AE597" i="9"/>
  <c r="AF597" i="9"/>
  <c r="AG597" i="9"/>
  <c r="AH597" i="9"/>
  <c r="AI597" i="9"/>
  <c r="AJ597" i="9"/>
  <c r="AK597" i="9"/>
  <c r="AL597" i="9"/>
  <c r="AM597" i="9"/>
  <c r="AN597" i="9"/>
  <c r="AO597" i="9"/>
  <c r="AP597" i="9"/>
  <c r="AQ597" i="9"/>
  <c r="AR597" i="9"/>
  <c r="AS597" i="9"/>
  <c r="AT597" i="9"/>
  <c r="AU597" i="9"/>
  <c r="AV597" i="9"/>
  <c r="AW597" i="9"/>
  <c r="AX597" i="9"/>
  <c r="AY597" i="9"/>
  <c r="AZ597" i="9"/>
  <c r="AA598" i="9"/>
  <c r="AB598" i="9"/>
  <c r="AC598" i="9"/>
  <c r="AD598" i="9"/>
  <c r="AE598" i="9"/>
  <c r="AF598" i="9"/>
  <c r="AG598" i="9"/>
  <c r="AH598" i="9"/>
  <c r="AI598" i="9"/>
  <c r="AJ598" i="9"/>
  <c r="AK598" i="9"/>
  <c r="AL598" i="9"/>
  <c r="AM598" i="9"/>
  <c r="AN598" i="9"/>
  <c r="AO598" i="9"/>
  <c r="AP598" i="9"/>
  <c r="AQ598" i="9"/>
  <c r="AR598" i="9"/>
  <c r="AS598" i="9"/>
  <c r="AT598" i="9"/>
  <c r="AU598" i="9"/>
  <c r="AV598" i="9"/>
  <c r="AW598" i="9"/>
  <c r="AX598" i="9"/>
  <c r="AY598" i="9"/>
  <c r="AZ598" i="9"/>
  <c r="AA599" i="9"/>
  <c r="AB599" i="9"/>
  <c r="AC599" i="9"/>
  <c r="AD599" i="9"/>
  <c r="AE599" i="9"/>
  <c r="AF599" i="9"/>
  <c r="AG599" i="9"/>
  <c r="AH599" i="9"/>
  <c r="AI599" i="9"/>
  <c r="AJ599" i="9"/>
  <c r="AK599" i="9"/>
  <c r="AL599" i="9"/>
  <c r="AM599" i="9"/>
  <c r="AN599" i="9"/>
  <c r="AO599" i="9"/>
  <c r="AP599" i="9"/>
  <c r="AQ599" i="9"/>
  <c r="AR599" i="9"/>
  <c r="AS599" i="9"/>
  <c r="AT599" i="9"/>
  <c r="AU599" i="9"/>
  <c r="AV599" i="9"/>
  <c r="AW599" i="9"/>
  <c r="AX599" i="9"/>
  <c r="AY599" i="9"/>
  <c r="AZ599" i="9"/>
  <c r="AA600" i="9"/>
  <c r="AB600" i="9"/>
  <c r="AC600" i="9"/>
  <c r="AD600" i="9"/>
  <c r="AE600" i="9"/>
  <c r="AF600" i="9"/>
  <c r="AG600" i="9"/>
  <c r="AH600" i="9"/>
  <c r="AI600" i="9"/>
  <c r="AJ600" i="9"/>
  <c r="AK600" i="9"/>
  <c r="AL600" i="9"/>
  <c r="AM600" i="9"/>
  <c r="AN600" i="9"/>
  <c r="AO600" i="9"/>
  <c r="AP600" i="9"/>
  <c r="AQ600" i="9"/>
  <c r="AR600" i="9"/>
  <c r="AS600" i="9"/>
  <c r="AT600" i="9"/>
  <c r="AU600" i="9"/>
  <c r="AV600" i="9"/>
  <c r="AW600" i="9"/>
  <c r="AX600" i="9"/>
  <c r="AY600" i="9"/>
  <c r="AZ600" i="9"/>
  <c r="AA601" i="9"/>
  <c r="AB601" i="9"/>
  <c r="AC601" i="9"/>
  <c r="AD601" i="9"/>
  <c r="AE601" i="9"/>
  <c r="AF601" i="9"/>
  <c r="AG601" i="9"/>
  <c r="AH601" i="9"/>
  <c r="AI601" i="9"/>
  <c r="AJ601" i="9"/>
  <c r="AK601" i="9"/>
  <c r="AL601" i="9"/>
  <c r="AM601" i="9"/>
  <c r="AN601" i="9"/>
  <c r="AO601" i="9"/>
  <c r="AP601" i="9"/>
  <c r="AQ601" i="9"/>
  <c r="AR601" i="9"/>
  <c r="AS601" i="9"/>
  <c r="AT601" i="9"/>
  <c r="AU601" i="9"/>
  <c r="AV601" i="9"/>
  <c r="AW601" i="9"/>
  <c r="AX601" i="9"/>
  <c r="AY601" i="9"/>
  <c r="AZ601" i="9"/>
  <c r="AA602" i="9"/>
  <c r="AB602" i="9"/>
  <c r="AC602" i="9"/>
  <c r="AD602" i="9"/>
  <c r="AE602" i="9"/>
  <c r="AF602" i="9"/>
  <c r="AG602" i="9"/>
  <c r="AH602" i="9"/>
  <c r="AI602" i="9"/>
  <c r="AJ602" i="9"/>
  <c r="AK602" i="9"/>
  <c r="AL602" i="9"/>
  <c r="AM602" i="9"/>
  <c r="AN602" i="9"/>
  <c r="AO602" i="9"/>
  <c r="AP602" i="9"/>
  <c r="AQ602" i="9"/>
  <c r="AR602" i="9"/>
  <c r="AS602" i="9"/>
  <c r="AT602" i="9"/>
  <c r="AU602" i="9"/>
  <c r="AV602" i="9"/>
  <c r="AW602" i="9"/>
  <c r="AX602" i="9"/>
  <c r="AY602" i="9"/>
  <c r="AZ602" i="9"/>
  <c r="AA603" i="9"/>
  <c r="AB603" i="9"/>
  <c r="AC603" i="9"/>
  <c r="AD603" i="9"/>
  <c r="AE603" i="9"/>
  <c r="AF603" i="9"/>
  <c r="AG603" i="9"/>
  <c r="AH603" i="9"/>
  <c r="AI603" i="9"/>
  <c r="AJ603" i="9"/>
  <c r="AK603" i="9"/>
  <c r="AL603" i="9"/>
  <c r="AM603" i="9"/>
  <c r="AN603" i="9"/>
  <c r="AO603" i="9"/>
  <c r="AP603" i="9"/>
  <c r="AQ603" i="9"/>
  <c r="AR603" i="9"/>
  <c r="AS603" i="9"/>
  <c r="AT603" i="9"/>
  <c r="AU603" i="9"/>
  <c r="AV603" i="9"/>
  <c r="AW603" i="9"/>
  <c r="AX603" i="9"/>
  <c r="AY603" i="9"/>
  <c r="AZ603" i="9"/>
  <c r="AA604" i="9"/>
  <c r="AB604" i="9"/>
  <c r="AC604" i="9"/>
  <c r="AD604" i="9"/>
  <c r="AE604" i="9"/>
  <c r="AF604" i="9"/>
  <c r="AG604" i="9"/>
  <c r="AH604" i="9"/>
  <c r="AI604" i="9"/>
  <c r="AJ604" i="9"/>
  <c r="AK604" i="9"/>
  <c r="AL604" i="9"/>
  <c r="AM604" i="9"/>
  <c r="AN604" i="9"/>
  <c r="AO604" i="9"/>
  <c r="AP604" i="9"/>
  <c r="AQ604" i="9"/>
  <c r="AR604" i="9"/>
  <c r="AS604" i="9"/>
  <c r="AT604" i="9"/>
  <c r="AU604" i="9"/>
  <c r="AV604" i="9"/>
  <c r="AW604" i="9"/>
  <c r="AX604" i="9"/>
  <c r="AY604" i="9"/>
  <c r="AZ604" i="9"/>
  <c r="AA605" i="9"/>
  <c r="AB605" i="9"/>
  <c r="AC605" i="9"/>
  <c r="AD605" i="9"/>
  <c r="AE605" i="9"/>
  <c r="AF605" i="9"/>
  <c r="AG605" i="9"/>
  <c r="AH605" i="9"/>
  <c r="AI605" i="9"/>
  <c r="AJ605" i="9"/>
  <c r="AK605" i="9"/>
  <c r="AL605" i="9"/>
  <c r="AM605" i="9"/>
  <c r="AN605" i="9"/>
  <c r="AO605" i="9"/>
  <c r="AP605" i="9"/>
  <c r="AQ605" i="9"/>
  <c r="AR605" i="9"/>
  <c r="AS605" i="9"/>
  <c r="AT605" i="9"/>
  <c r="AU605" i="9"/>
  <c r="AV605" i="9"/>
  <c r="AW605" i="9"/>
  <c r="AX605" i="9"/>
  <c r="AY605" i="9"/>
  <c r="AZ605" i="9"/>
  <c r="AA606" i="9"/>
  <c r="AB606" i="9"/>
  <c r="AC606" i="9"/>
  <c r="AD606" i="9"/>
  <c r="AE606" i="9"/>
  <c r="AF606" i="9"/>
  <c r="AG606" i="9"/>
  <c r="AH606" i="9"/>
  <c r="AI606" i="9"/>
  <c r="AJ606" i="9"/>
  <c r="AK606" i="9"/>
  <c r="AL606" i="9"/>
  <c r="AM606" i="9"/>
  <c r="AN606" i="9"/>
  <c r="AO606" i="9"/>
  <c r="AP606" i="9"/>
  <c r="AQ606" i="9"/>
  <c r="AR606" i="9"/>
  <c r="AS606" i="9"/>
  <c r="AT606" i="9"/>
  <c r="AU606" i="9"/>
  <c r="AV606" i="9"/>
  <c r="AW606" i="9"/>
  <c r="AX606" i="9"/>
  <c r="AY606" i="9"/>
  <c r="AZ606" i="9"/>
  <c r="AA607" i="9"/>
  <c r="AB607" i="9"/>
  <c r="AC607" i="9"/>
  <c r="AD607" i="9"/>
  <c r="AE607" i="9"/>
  <c r="AF607" i="9"/>
  <c r="AG607" i="9"/>
  <c r="AH607" i="9"/>
  <c r="AI607" i="9"/>
  <c r="AJ607" i="9"/>
  <c r="AK607" i="9"/>
  <c r="AL607" i="9"/>
  <c r="AM607" i="9"/>
  <c r="AN607" i="9"/>
  <c r="AO607" i="9"/>
  <c r="AP607" i="9"/>
  <c r="AQ607" i="9"/>
  <c r="AR607" i="9"/>
  <c r="AS607" i="9"/>
  <c r="AT607" i="9"/>
  <c r="AU607" i="9"/>
  <c r="AV607" i="9"/>
  <c r="AW607" i="9"/>
  <c r="AX607" i="9"/>
  <c r="AY607" i="9"/>
  <c r="AZ607" i="9"/>
  <c r="AA608" i="9"/>
  <c r="AB608" i="9"/>
  <c r="AC608" i="9"/>
  <c r="AD608" i="9"/>
  <c r="AE608" i="9"/>
  <c r="AF608" i="9"/>
  <c r="AG608" i="9"/>
  <c r="AH608" i="9"/>
  <c r="AI608" i="9"/>
  <c r="AJ608" i="9"/>
  <c r="AK608" i="9"/>
  <c r="AL608" i="9"/>
  <c r="AM608" i="9"/>
  <c r="AN608" i="9"/>
  <c r="AO608" i="9"/>
  <c r="AP608" i="9"/>
  <c r="AQ608" i="9"/>
  <c r="AR608" i="9"/>
  <c r="AS608" i="9"/>
  <c r="AT608" i="9"/>
  <c r="AU608" i="9"/>
  <c r="AV608" i="9"/>
  <c r="AW608" i="9"/>
  <c r="AX608" i="9"/>
  <c r="AY608" i="9"/>
  <c r="AZ608" i="9"/>
  <c r="AA609" i="9"/>
  <c r="AB609" i="9"/>
  <c r="AC609" i="9"/>
  <c r="AD609" i="9"/>
  <c r="AE609" i="9"/>
  <c r="AF609" i="9"/>
  <c r="AG609" i="9"/>
  <c r="AH609" i="9"/>
  <c r="AI609" i="9"/>
  <c r="AJ609" i="9"/>
  <c r="AK609" i="9"/>
  <c r="AL609" i="9"/>
  <c r="AM609" i="9"/>
  <c r="AN609" i="9"/>
  <c r="AO609" i="9"/>
  <c r="AP609" i="9"/>
  <c r="AQ609" i="9"/>
  <c r="AR609" i="9"/>
  <c r="AS609" i="9"/>
  <c r="AT609" i="9"/>
  <c r="AU609" i="9"/>
  <c r="AV609" i="9"/>
  <c r="AW609" i="9"/>
  <c r="AX609" i="9"/>
  <c r="AY609" i="9"/>
  <c r="AZ609" i="9"/>
  <c r="AA610" i="9"/>
  <c r="AB610" i="9"/>
  <c r="AC610" i="9"/>
  <c r="AD610" i="9"/>
  <c r="AE610" i="9"/>
  <c r="AF610" i="9"/>
  <c r="AG610" i="9"/>
  <c r="AH610" i="9"/>
  <c r="AI610" i="9"/>
  <c r="AJ610" i="9"/>
  <c r="AK610" i="9"/>
  <c r="AL610" i="9"/>
  <c r="AM610" i="9"/>
  <c r="AN610" i="9"/>
  <c r="AO610" i="9"/>
  <c r="AP610" i="9"/>
  <c r="AQ610" i="9"/>
  <c r="AR610" i="9"/>
  <c r="AS610" i="9"/>
  <c r="AT610" i="9"/>
  <c r="AU610" i="9"/>
  <c r="AV610" i="9"/>
  <c r="AW610" i="9"/>
  <c r="AX610" i="9"/>
  <c r="AY610" i="9"/>
  <c r="AZ610" i="9"/>
  <c r="AA611" i="9"/>
  <c r="AB611" i="9"/>
  <c r="AC611" i="9"/>
  <c r="AD611" i="9"/>
  <c r="AE611" i="9"/>
  <c r="AF611" i="9"/>
  <c r="AG611" i="9"/>
  <c r="AH611" i="9"/>
  <c r="AI611" i="9"/>
  <c r="AJ611" i="9"/>
  <c r="AK611" i="9"/>
  <c r="AL611" i="9"/>
  <c r="AM611" i="9"/>
  <c r="AN611" i="9"/>
  <c r="AO611" i="9"/>
  <c r="AP611" i="9"/>
  <c r="AQ611" i="9"/>
  <c r="AR611" i="9"/>
  <c r="AS611" i="9"/>
  <c r="AT611" i="9"/>
  <c r="AU611" i="9"/>
  <c r="AV611" i="9"/>
  <c r="AW611" i="9"/>
  <c r="AX611" i="9"/>
  <c r="AY611" i="9"/>
  <c r="AZ611" i="9"/>
  <c r="AA612" i="9"/>
  <c r="AB612" i="9"/>
  <c r="AC612" i="9"/>
  <c r="AD612" i="9"/>
  <c r="AE612" i="9"/>
  <c r="AF612" i="9"/>
  <c r="AG612" i="9"/>
  <c r="AH612" i="9"/>
  <c r="AI612" i="9"/>
  <c r="AJ612" i="9"/>
  <c r="AK612" i="9"/>
  <c r="AL612" i="9"/>
  <c r="AM612" i="9"/>
  <c r="AN612" i="9"/>
  <c r="AO612" i="9"/>
  <c r="AP612" i="9"/>
  <c r="AQ612" i="9"/>
  <c r="AR612" i="9"/>
  <c r="AS612" i="9"/>
  <c r="AT612" i="9"/>
  <c r="AU612" i="9"/>
  <c r="AV612" i="9"/>
  <c r="AW612" i="9"/>
  <c r="AX612" i="9"/>
  <c r="AY612" i="9"/>
  <c r="AZ612" i="9"/>
  <c r="AA613" i="9"/>
  <c r="AB613" i="9"/>
  <c r="AC613" i="9"/>
  <c r="AD613" i="9"/>
  <c r="AE613" i="9"/>
  <c r="AF613" i="9"/>
  <c r="AG613" i="9"/>
  <c r="AH613" i="9"/>
  <c r="AI613" i="9"/>
  <c r="AJ613" i="9"/>
  <c r="AK613" i="9"/>
  <c r="AL613" i="9"/>
  <c r="AM613" i="9"/>
  <c r="AN613" i="9"/>
  <c r="AO613" i="9"/>
  <c r="AP613" i="9"/>
  <c r="AQ613" i="9"/>
  <c r="AR613" i="9"/>
  <c r="AS613" i="9"/>
  <c r="AT613" i="9"/>
  <c r="AU613" i="9"/>
  <c r="AV613" i="9"/>
  <c r="AW613" i="9"/>
  <c r="AX613" i="9"/>
  <c r="AY613" i="9"/>
  <c r="AZ613" i="9"/>
  <c r="AA614" i="9"/>
  <c r="AB614" i="9"/>
  <c r="AC614" i="9"/>
  <c r="AD614" i="9"/>
  <c r="AE614" i="9"/>
  <c r="AF614" i="9"/>
  <c r="AG614" i="9"/>
  <c r="AH614" i="9"/>
  <c r="AI614" i="9"/>
  <c r="AJ614" i="9"/>
  <c r="AK614" i="9"/>
  <c r="AL614" i="9"/>
  <c r="AM614" i="9"/>
  <c r="AN614" i="9"/>
  <c r="AO614" i="9"/>
  <c r="AP614" i="9"/>
  <c r="AQ614" i="9"/>
  <c r="AR614" i="9"/>
  <c r="AS614" i="9"/>
  <c r="AT614" i="9"/>
  <c r="AU614" i="9"/>
  <c r="AV614" i="9"/>
  <c r="AW614" i="9"/>
  <c r="AX614" i="9"/>
  <c r="AY614" i="9"/>
  <c r="AZ614" i="9"/>
  <c r="AA615" i="9"/>
  <c r="AB615" i="9"/>
  <c r="AC615" i="9"/>
  <c r="AD615" i="9"/>
  <c r="AE615" i="9"/>
  <c r="AF615" i="9"/>
  <c r="AG615" i="9"/>
  <c r="AH615" i="9"/>
  <c r="AI615" i="9"/>
  <c r="AJ615" i="9"/>
  <c r="AK615" i="9"/>
  <c r="AL615" i="9"/>
  <c r="AM615" i="9"/>
  <c r="AN615" i="9"/>
  <c r="AO615" i="9"/>
  <c r="AP615" i="9"/>
  <c r="AQ615" i="9"/>
  <c r="AR615" i="9"/>
  <c r="AS615" i="9"/>
  <c r="AT615" i="9"/>
  <c r="AU615" i="9"/>
  <c r="AV615" i="9"/>
  <c r="AW615" i="9"/>
  <c r="AX615" i="9"/>
  <c r="AY615" i="9"/>
  <c r="AZ615" i="9"/>
  <c r="AA616" i="9"/>
  <c r="AB616" i="9"/>
  <c r="AC616" i="9"/>
  <c r="AD616" i="9"/>
  <c r="AE616" i="9"/>
  <c r="AF616" i="9"/>
  <c r="AG616" i="9"/>
  <c r="AH616" i="9"/>
  <c r="AI616" i="9"/>
  <c r="AJ616" i="9"/>
  <c r="AK616" i="9"/>
  <c r="AL616" i="9"/>
  <c r="AM616" i="9"/>
  <c r="AN616" i="9"/>
  <c r="AO616" i="9"/>
  <c r="AP616" i="9"/>
  <c r="AQ616" i="9"/>
  <c r="AR616" i="9"/>
  <c r="AS616" i="9"/>
  <c r="AT616" i="9"/>
  <c r="AU616" i="9"/>
  <c r="AV616" i="9"/>
  <c r="AW616" i="9"/>
  <c r="AX616" i="9"/>
  <c r="AY616" i="9"/>
  <c r="AZ616" i="9"/>
  <c r="AA617" i="9"/>
  <c r="AB617" i="9"/>
  <c r="AC617" i="9"/>
  <c r="AD617" i="9"/>
  <c r="AE617" i="9"/>
  <c r="AF617" i="9"/>
  <c r="AG617" i="9"/>
  <c r="AH617" i="9"/>
  <c r="AI617" i="9"/>
  <c r="AJ617" i="9"/>
  <c r="AK617" i="9"/>
  <c r="AL617" i="9"/>
  <c r="AM617" i="9"/>
  <c r="AN617" i="9"/>
  <c r="AO617" i="9"/>
  <c r="AP617" i="9"/>
  <c r="AQ617" i="9"/>
  <c r="AR617" i="9"/>
  <c r="AS617" i="9"/>
  <c r="AT617" i="9"/>
  <c r="AU617" i="9"/>
  <c r="AV617" i="9"/>
  <c r="AW617" i="9"/>
  <c r="AX617" i="9"/>
  <c r="AY617" i="9"/>
  <c r="AZ617" i="9"/>
  <c r="AA618" i="9"/>
  <c r="AB618" i="9"/>
  <c r="AC618" i="9"/>
  <c r="AD618" i="9"/>
  <c r="AE618" i="9"/>
  <c r="AF618" i="9"/>
  <c r="AG618" i="9"/>
  <c r="AH618" i="9"/>
  <c r="AI618" i="9"/>
  <c r="AJ618" i="9"/>
  <c r="AK618" i="9"/>
  <c r="AL618" i="9"/>
  <c r="AM618" i="9"/>
  <c r="AN618" i="9"/>
  <c r="AO618" i="9"/>
  <c r="AP618" i="9"/>
  <c r="AQ618" i="9"/>
  <c r="AR618" i="9"/>
  <c r="AS618" i="9"/>
  <c r="AT618" i="9"/>
  <c r="AU618" i="9"/>
  <c r="AV618" i="9"/>
  <c r="AW618" i="9"/>
  <c r="AX618" i="9"/>
  <c r="AY618" i="9"/>
  <c r="AZ618" i="9"/>
  <c r="AA619" i="9"/>
  <c r="AB619" i="9"/>
  <c r="AC619" i="9"/>
  <c r="AD619" i="9"/>
  <c r="AE619" i="9"/>
  <c r="AF619" i="9"/>
  <c r="AG619" i="9"/>
  <c r="AH619" i="9"/>
  <c r="AI619" i="9"/>
  <c r="AJ619" i="9"/>
  <c r="AK619" i="9"/>
  <c r="AL619" i="9"/>
  <c r="AM619" i="9"/>
  <c r="AN619" i="9"/>
  <c r="AO619" i="9"/>
  <c r="AP619" i="9"/>
  <c r="AQ619" i="9"/>
  <c r="AR619" i="9"/>
  <c r="AS619" i="9"/>
  <c r="AT619" i="9"/>
  <c r="AU619" i="9"/>
  <c r="AV619" i="9"/>
  <c r="AW619" i="9"/>
  <c r="AX619" i="9"/>
  <c r="AY619" i="9"/>
  <c r="AZ619" i="9"/>
  <c r="AA620" i="9"/>
  <c r="AB620" i="9"/>
  <c r="AC620" i="9"/>
  <c r="AD620" i="9"/>
  <c r="AE620" i="9"/>
  <c r="AF620" i="9"/>
  <c r="AG620" i="9"/>
  <c r="AH620" i="9"/>
  <c r="AI620" i="9"/>
  <c r="AJ620" i="9"/>
  <c r="AK620" i="9"/>
  <c r="AL620" i="9"/>
  <c r="AM620" i="9"/>
  <c r="AN620" i="9"/>
  <c r="AO620" i="9"/>
  <c r="AP620" i="9"/>
  <c r="AQ620" i="9"/>
  <c r="AR620" i="9"/>
  <c r="AS620" i="9"/>
  <c r="AT620" i="9"/>
  <c r="AU620" i="9"/>
  <c r="AV620" i="9"/>
  <c r="AW620" i="9"/>
  <c r="AX620" i="9"/>
  <c r="AY620" i="9"/>
  <c r="AZ620" i="9"/>
  <c r="AA621" i="9"/>
  <c r="AB621" i="9"/>
  <c r="AC621" i="9"/>
  <c r="AD621" i="9"/>
  <c r="AE621" i="9"/>
  <c r="AF621" i="9"/>
  <c r="AG621" i="9"/>
  <c r="AH621" i="9"/>
  <c r="AI621" i="9"/>
  <c r="AJ621" i="9"/>
  <c r="AK621" i="9"/>
  <c r="AL621" i="9"/>
  <c r="AM621" i="9"/>
  <c r="AN621" i="9"/>
  <c r="AO621" i="9"/>
  <c r="AP621" i="9"/>
  <c r="AQ621" i="9"/>
  <c r="AR621" i="9"/>
  <c r="AS621" i="9"/>
  <c r="AT621" i="9"/>
  <c r="AU621" i="9"/>
  <c r="AV621" i="9"/>
  <c r="AW621" i="9"/>
  <c r="AX621" i="9"/>
  <c r="AY621" i="9"/>
  <c r="AZ621" i="9"/>
  <c r="AA622" i="9"/>
  <c r="AB622" i="9"/>
  <c r="AC622" i="9"/>
  <c r="AD622" i="9"/>
  <c r="AE622" i="9"/>
  <c r="AF622" i="9"/>
  <c r="AG622" i="9"/>
  <c r="AH622" i="9"/>
  <c r="AI622" i="9"/>
  <c r="AJ622" i="9"/>
  <c r="AK622" i="9"/>
  <c r="AL622" i="9"/>
  <c r="AM622" i="9"/>
  <c r="AN622" i="9"/>
  <c r="AO622" i="9"/>
  <c r="AP622" i="9"/>
  <c r="AQ622" i="9"/>
  <c r="AR622" i="9"/>
  <c r="AS622" i="9"/>
  <c r="AT622" i="9"/>
  <c r="AU622" i="9"/>
  <c r="AV622" i="9"/>
  <c r="AW622" i="9"/>
  <c r="AX622" i="9"/>
  <c r="AY622" i="9"/>
  <c r="AZ622" i="9"/>
  <c r="AA623" i="9"/>
  <c r="AB623" i="9"/>
  <c r="AC623" i="9"/>
  <c r="AD623" i="9"/>
  <c r="AE623" i="9"/>
  <c r="AF623" i="9"/>
  <c r="AG623" i="9"/>
  <c r="AH623" i="9"/>
  <c r="AI623" i="9"/>
  <c r="AJ623" i="9"/>
  <c r="AK623" i="9"/>
  <c r="AL623" i="9"/>
  <c r="AM623" i="9"/>
  <c r="AN623" i="9"/>
  <c r="AO623" i="9"/>
  <c r="AP623" i="9"/>
  <c r="AQ623" i="9"/>
  <c r="AR623" i="9"/>
  <c r="AS623" i="9"/>
  <c r="AT623" i="9"/>
  <c r="AU623" i="9"/>
  <c r="AV623" i="9"/>
  <c r="AW623" i="9"/>
  <c r="AX623" i="9"/>
  <c r="AY623" i="9"/>
  <c r="AZ623" i="9"/>
  <c r="AA624" i="9"/>
  <c r="AB624" i="9"/>
  <c r="AC624" i="9"/>
  <c r="AD624" i="9"/>
  <c r="AE624" i="9"/>
  <c r="AF624" i="9"/>
  <c r="AG624" i="9"/>
  <c r="AH624" i="9"/>
  <c r="AI624" i="9"/>
  <c r="AJ624" i="9"/>
  <c r="AK624" i="9"/>
  <c r="AL624" i="9"/>
  <c r="AM624" i="9"/>
  <c r="AN624" i="9"/>
  <c r="AO624" i="9"/>
  <c r="AP624" i="9"/>
  <c r="AQ624" i="9"/>
  <c r="AR624" i="9"/>
  <c r="AS624" i="9"/>
  <c r="AT624" i="9"/>
  <c r="AU624" i="9"/>
  <c r="AV624" i="9"/>
  <c r="AW624" i="9"/>
  <c r="AX624" i="9"/>
  <c r="AY624" i="9"/>
  <c r="AZ624" i="9"/>
  <c r="AA625" i="9"/>
  <c r="AB625" i="9"/>
  <c r="AC625" i="9"/>
  <c r="AD625" i="9"/>
  <c r="AE625" i="9"/>
  <c r="AF625" i="9"/>
  <c r="AG625" i="9"/>
  <c r="AH625" i="9"/>
  <c r="AI625" i="9"/>
  <c r="AJ625" i="9"/>
  <c r="AK625" i="9"/>
  <c r="AL625" i="9"/>
  <c r="AM625" i="9"/>
  <c r="AN625" i="9"/>
  <c r="AO625" i="9"/>
  <c r="AP625" i="9"/>
  <c r="AQ625" i="9"/>
  <c r="AR625" i="9"/>
  <c r="AS625" i="9"/>
  <c r="AT625" i="9"/>
  <c r="AU625" i="9"/>
  <c r="AV625" i="9"/>
  <c r="AW625" i="9"/>
  <c r="AX625" i="9"/>
  <c r="AY625" i="9"/>
  <c r="AZ625" i="9"/>
  <c r="AA626" i="9"/>
  <c r="AB626" i="9"/>
  <c r="AC626" i="9"/>
  <c r="AD626" i="9"/>
  <c r="AE626" i="9"/>
  <c r="AF626" i="9"/>
  <c r="AG626" i="9"/>
  <c r="AH626" i="9"/>
  <c r="AI626" i="9"/>
  <c r="AJ626" i="9"/>
  <c r="AK626" i="9"/>
  <c r="AL626" i="9"/>
  <c r="AM626" i="9"/>
  <c r="AN626" i="9"/>
  <c r="AO626" i="9"/>
  <c r="AP626" i="9"/>
  <c r="AQ626" i="9"/>
  <c r="AR626" i="9"/>
  <c r="AS626" i="9"/>
  <c r="AT626" i="9"/>
  <c r="AU626" i="9"/>
  <c r="AV626" i="9"/>
  <c r="AW626" i="9"/>
  <c r="AX626" i="9"/>
  <c r="AY626" i="9"/>
  <c r="AZ626" i="9"/>
  <c r="AA627" i="9"/>
  <c r="AB627" i="9"/>
  <c r="AC627" i="9"/>
  <c r="AD627" i="9"/>
  <c r="AE627" i="9"/>
  <c r="AF627" i="9"/>
  <c r="AG627" i="9"/>
  <c r="AH627" i="9"/>
  <c r="AI627" i="9"/>
  <c r="AJ627" i="9"/>
  <c r="AK627" i="9"/>
  <c r="AL627" i="9"/>
  <c r="AM627" i="9"/>
  <c r="AN627" i="9"/>
  <c r="AO627" i="9"/>
  <c r="AP627" i="9"/>
  <c r="AQ627" i="9"/>
  <c r="AR627" i="9"/>
  <c r="AS627" i="9"/>
  <c r="AT627" i="9"/>
  <c r="AU627" i="9"/>
  <c r="AV627" i="9"/>
  <c r="AW627" i="9"/>
  <c r="AX627" i="9"/>
  <c r="AY627" i="9"/>
  <c r="AZ627" i="9"/>
  <c r="AA628" i="9"/>
  <c r="AB628" i="9"/>
  <c r="AC628" i="9"/>
  <c r="AD628" i="9"/>
  <c r="AE628" i="9"/>
  <c r="AF628" i="9"/>
  <c r="AG628" i="9"/>
  <c r="AH628" i="9"/>
  <c r="AI628" i="9"/>
  <c r="AJ628" i="9"/>
  <c r="AK628" i="9"/>
  <c r="AL628" i="9"/>
  <c r="AM628" i="9"/>
  <c r="AN628" i="9"/>
  <c r="AO628" i="9"/>
  <c r="AP628" i="9"/>
  <c r="AQ628" i="9"/>
  <c r="AR628" i="9"/>
  <c r="AS628" i="9"/>
  <c r="AT628" i="9"/>
  <c r="AU628" i="9"/>
  <c r="AV628" i="9"/>
  <c r="AW628" i="9"/>
  <c r="AX628" i="9"/>
  <c r="AY628" i="9"/>
  <c r="AZ628" i="9"/>
  <c r="AA629" i="9"/>
  <c r="AB629" i="9"/>
  <c r="AC629" i="9"/>
  <c r="AD629" i="9"/>
  <c r="AE629" i="9"/>
  <c r="AF629" i="9"/>
  <c r="AG629" i="9"/>
  <c r="AH629" i="9"/>
  <c r="AI629" i="9"/>
  <c r="AJ629" i="9"/>
  <c r="AK629" i="9"/>
  <c r="AL629" i="9"/>
  <c r="AM629" i="9"/>
  <c r="AN629" i="9"/>
  <c r="AO629" i="9"/>
  <c r="AP629" i="9"/>
  <c r="AQ629" i="9"/>
  <c r="AR629" i="9"/>
  <c r="AS629" i="9"/>
  <c r="AT629" i="9"/>
  <c r="AU629" i="9"/>
  <c r="AV629" i="9"/>
  <c r="AW629" i="9"/>
  <c r="AX629" i="9"/>
  <c r="AY629" i="9"/>
  <c r="AZ629" i="9"/>
  <c r="AA630" i="9"/>
  <c r="AB630" i="9"/>
  <c r="AC630" i="9"/>
  <c r="AD630" i="9"/>
  <c r="AE630" i="9"/>
  <c r="AF630" i="9"/>
  <c r="AG630" i="9"/>
  <c r="AH630" i="9"/>
  <c r="AI630" i="9"/>
  <c r="AJ630" i="9"/>
  <c r="AK630" i="9"/>
  <c r="AL630" i="9"/>
  <c r="AM630" i="9"/>
  <c r="AN630" i="9"/>
  <c r="AO630" i="9"/>
  <c r="AP630" i="9"/>
  <c r="AQ630" i="9"/>
  <c r="AR630" i="9"/>
  <c r="AS630" i="9"/>
  <c r="AT630" i="9"/>
  <c r="AU630" i="9"/>
  <c r="AV630" i="9"/>
  <c r="AW630" i="9"/>
  <c r="AX630" i="9"/>
  <c r="AY630" i="9"/>
  <c r="AZ630" i="9"/>
  <c r="AA631" i="9"/>
  <c r="AB631" i="9"/>
  <c r="AC631" i="9"/>
  <c r="AD631" i="9"/>
  <c r="AE631" i="9"/>
  <c r="AF631" i="9"/>
  <c r="AG631" i="9"/>
  <c r="AH631" i="9"/>
  <c r="AI631" i="9"/>
  <c r="AJ631" i="9"/>
  <c r="AK631" i="9"/>
  <c r="AL631" i="9"/>
  <c r="AM631" i="9"/>
  <c r="AN631" i="9"/>
  <c r="AO631" i="9"/>
  <c r="AP631" i="9"/>
  <c r="AQ631" i="9"/>
  <c r="AR631" i="9"/>
  <c r="AS631" i="9"/>
  <c r="AT631" i="9"/>
  <c r="AU631" i="9"/>
  <c r="AV631" i="9"/>
  <c r="AW631" i="9"/>
  <c r="AX631" i="9"/>
  <c r="AY631" i="9"/>
  <c r="AZ631" i="9"/>
  <c r="AA632" i="9"/>
  <c r="AB632" i="9"/>
  <c r="AC632" i="9"/>
  <c r="AD632" i="9"/>
  <c r="AE632" i="9"/>
  <c r="AF632" i="9"/>
  <c r="AG632" i="9"/>
  <c r="AH632" i="9"/>
  <c r="AI632" i="9"/>
  <c r="AJ632" i="9"/>
  <c r="AK632" i="9"/>
  <c r="AL632" i="9"/>
  <c r="AM632" i="9"/>
  <c r="AN632" i="9"/>
  <c r="AO632" i="9"/>
  <c r="AP632" i="9"/>
  <c r="AQ632" i="9"/>
  <c r="AR632" i="9"/>
  <c r="AS632" i="9"/>
  <c r="AT632" i="9"/>
  <c r="AU632" i="9"/>
  <c r="AV632" i="9"/>
  <c r="AW632" i="9"/>
  <c r="AX632" i="9"/>
  <c r="AY632" i="9"/>
  <c r="AZ632" i="9"/>
  <c r="AA633" i="9"/>
  <c r="AB633" i="9"/>
  <c r="AC633" i="9"/>
  <c r="AD633" i="9"/>
  <c r="AE633" i="9"/>
  <c r="AF633" i="9"/>
  <c r="AG633" i="9"/>
  <c r="AH633" i="9"/>
  <c r="AI633" i="9"/>
  <c r="AJ633" i="9"/>
  <c r="AK633" i="9"/>
  <c r="AL633" i="9"/>
  <c r="AM633" i="9"/>
  <c r="AN633" i="9"/>
  <c r="AO633" i="9"/>
  <c r="AP633" i="9"/>
  <c r="AQ633" i="9"/>
  <c r="AR633" i="9"/>
  <c r="AS633" i="9"/>
  <c r="AT633" i="9"/>
  <c r="AU633" i="9"/>
  <c r="AV633" i="9"/>
  <c r="AW633" i="9"/>
  <c r="AX633" i="9"/>
  <c r="AY633" i="9"/>
  <c r="AZ633" i="9"/>
  <c r="AA634" i="9"/>
  <c r="AB634" i="9"/>
  <c r="AC634" i="9"/>
  <c r="AD634" i="9"/>
  <c r="AE634" i="9"/>
  <c r="AF634" i="9"/>
  <c r="AG634" i="9"/>
  <c r="AH634" i="9"/>
  <c r="AI634" i="9"/>
  <c r="AJ634" i="9"/>
  <c r="AK634" i="9"/>
  <c r="AL634" i="9"/>
  <c r="AM634" i="9"/>
  <c r="AN634" i="9"/>
  <c r="AO634" i="9"/>
  <c r="AP634" i="9"/>
  <c r="AQ634" i="9"/>
  <c r="AR634" i="9"/>
  <c r="AS634" i="9"/>
  <c r="AT634" i="9"/>
  <c r="AU634" i="9"/>
  <c r="AV634" i="9"/>
  <c r="AW634" i="9"/>
  <c r="AX634" i="9"/>
  <c r="AY634" i="9"/>
  <c r="AZ634" i="9"/>
  <c r="AA635" i="9"/>
  <c r="AB635" i="9"/>
  <c r="AC635" i="9"/>
  <c r="AD635" i="9"/>
  <c r="AE635" i="9"/>
  <c r="AF635" i="9"/>
  <c r="AG635" i="9"/>
  <c r="AH635" i="9"/>
  <c r="AI635" i="9"/>
  <c r="AJ635" i="9"/>
  <c r="AK635" i="9"/>
  <c r="AL635" i="9"/>
  <c r="AM635" i="9"/>
  <c r="AN635" i="9"/>
  <c r="AO635" i="9"/>
  <c r="AP635" i="9"/>
  <c r="AQ635" i="9"/>
  <c r="AR635" i="9"/>
  <c r="AS635" i="9"/>
  <c r="AT635" i="9"/>
  <c r="AU635" i="9"/>
  <c r="AV635" i="9"/>
  <c r="AW635" i="9"/>
  <c r="AX635" i="9"/>
  <c r="AY635" i="9"/>
  <c r="AZ635" i="9"/>
  <c r="AA636" i="9"/>
  <c r="AB636" i="9"/>
  <c r="AC636" i="9"/>
  <c r="AD636" i="9"/>
  <c r="AE636" i="9"/>
  <c r="AF636" i="9"/>
  <c r="AG636" i="9"/>
  <c r="AH636" i="9"/>
  <c r="AI636" i="9"/>
  <c r="AJ636" i="9"/>
  <c r="AK636" i="9"/>
  <c r="AL636" i="9"/>
  <c r="AM636" i="9"/>
  <c r="AN636" i="9"/>
  <c r="AO636" i="9"/>
  <c r="AP636" i="9"/>
  <c r="AQ636" i="9"/>
  <c r="AR636" i="9"/>
  <c r="AS636" i="9"/>
  <c r="AT636" i="9"/>
  <c r="AU636" i="9"/>
  <c r="AV636" i="9"/>
  <c r="AW636" i="9"/>
  <c r="AX636" i="9"/>
  <c r="AY636" i="9"/>
  <c r="AZ636" i="9"/>
  <c r="AA637" i="9"/>
  <c r="AB637" i="9"/>
  <c r="AC637" i="9"/>
  <c r="AD637" i="9"/>
  <c r="AE637" i="9"/>
  <c r="AF637" i="9"/>
  <c r="AG637" i="9"/>
  <c r="AH637" i="9"/>
  <c r="AI637" i="9"/>
  <c r="AJ637" i="9"/>
  <c r="AK637" i="9"/>
  <c r="AL637" i="9"/>
  <c r="AM637" i="9"/>
  <c r="AN637" i="9"/>
  <c r="AO637" i="9"/>
  <c r="AP637" i="9"/>
  <c r="AQ637" i="9"/>
  <c r="AR637" i="9"/>
  <c r="AS637" i="9"/>
  <c r="AT637" i="9"/>
  <c r="AU637" i="9"/>
  <c r="AV637" i="9"/>
  <c r="AW637" i="9"/>
  <c r="AX637" i="9"/>
  <c r="AY637" i="9"/>
  <c r="AZ637" i="9"/>
  <c r="AA638" i="9"/>
  <c r="AB638" i="9"/>
  <c r="AC638" i="9"/>
  <c r="AD638" i="9"/>
  <c r="AE638" i="9"/>
  <c r="AF638" i="9"/>
  <c r="AG638" i="9"/>
  <c r="AH638" i="9"/>
  <c r="AI638" i="9"/>
  <c r="AJ638" i="9"/>
  <c r="AK638" i="9"/>
  <c r="AL638" i="9"/>
  <c r="AM638" i="9"/>
  <c r="AN638" i="9"/>
  <c r="AO638" i="9"/>
  <c r="AP638" i="9"/>
  <c r="AQ638" i="9"/>
  <c r="AR638" i="9"/>
  <c r="AS638" i="9"/>
  <c r="AT638" i="9"/>
  <c r="AU638" i="9"/>
  <c r="AV638" i="9"/>
  <c r="AW638" i="9"/>
  <c r="AX638" i="9"/>
  <c r="AY638" i="9"/>
  <c r="AZ638" i="9"/>
  <c r="AA639" i="9"/>
  <c r="AB639" i="9"/>
  <c r="AC639" i="9"/>
  <c r="AD639" i="9"/>
  <c r="AE639" i="9"/>
  <c r="AF639" i="9"/>
  <c r="AG639" i="9"/>
  <c r="AH639" i="9"/>
  <c r="AI639" i="9"/>
  <c r="AJ639" i="9"/>
  <c r="AK639" i="9"/>
  <c r="AL639" i="9"/>
  <c r="AM639" i="9"/>
  <c r="AN639" i="9"/>
  <c r="AO639" i="9"/>
  <c r="AP639" i="9"/>
  <c r="AQ639" i="9"/>
  <c r="AR639" i="9"/>
  <c r="AS639" i="9"/>
  <c r="AT639" i="9"/>
  <c r="AU639" i="9"/>
  <c r="AV639" i="9"/>
  <c r="AW639" i="9"/>
  <c r="AX639" i="9"/>
  <c r="AY639" i="9"/>
  <c r="AZ639" i="9"/>
  <c r="AA640" i="9"/>
  <c r="AB640" i="9"/>
  <c r="AC640" i="9"/>
  <c r="AD640" i="9"/>
  <c r="AE640" i="9"/>
  <c r="AF640" i="9"/>
  <c r="AG640" i="9"/>
  <c r="AH640" i="9"/>
  <c r="AI640" i="9"/>
  <c r="AJ640" i="9"/>
  <c r="AK640" i="9"/>
  <c r="AL640" i="9"/>
  <c r="AM640" i="9"/>
  <c r="AN640" i="9"/>
  <c r="AO640" i="9"/>
  <c r="AP640" i="9"/>
  <c r="AQ640" i="9"/>
  <c r="AR640" i="9"/>
  <c r="AS640" i="9"/>
  <c r="AT640" i="9"/>
  <c r="AU640" i="9"/>
  <c r="AV640" i="9"/>
  <c r="AW640" i="9"/>
  <c r="AX640" i="9"/>
  <c r="AY640" i="9"/>
  <c r="AZ640" i="9"/>
  <c r="AA641" i="9"/>
  <c r="AB641" i="9"/>
  <c r="AC641" i="9"/>
  <c r="AD641" i="9"/>
  <c r="AE641" i="9"/>
  <c r="AF641" i="9"/>
  <c r="AG641" i="9"/>
  <c r="AH641" i="9"/>
  <c r="AI641" i="9"/>
  <c r="AJ641" i="9"/>
  <c r="AK641" i="9"/>
  <c r="AL641" i="9"/>
  <c r="AM641" i="9"/>
  <c r="AN641" i="9"/>
  <c r="AO641" i="9"/>
  <c r="AP641" i="9"/>
  <c r="AQ641" i="9"/>
  <c r="AR641" i="9"/>
  <c r="AS641" i="9"/>
  <c r="AT641" i="9"/>
  <c r="AU641" i="9"/>
  <c r="AV641" i="9"/>
  <c r="AW641" i="9"/>
  <c r="AX641" i="9"/>
  <c r="AY641" i="9"/>
  <c r="AZ641" i="9"/>
  <c r="AA642" i="9"/>
  <c r="AB642" i="9"/>
  <c r="AC642" i="9"/>
  <c r="AD642" i="9"/>
  <c r="AE642" i="9"/>
  <c r="AF642" i="9"/>
  <c r="AG642" i="9"/>
  <c r="AH642" i="9"/>
  <c r="AI642" i="9"/>
  <c r="AJ642" i="9"/>
  <c r="AK642" i="9"/>
  <c r="AL642" i="9"/>
  <c r="AM642" i="9"/>
  <c r="AN642" i="9"/>
  <c r="AO642" i="9"/>
  <c r="AP642" i="9"/>
  <c r="AQ642" i="9"/>
  <c r="AR642" i="9"/>
  <c r="AS642" i="9"/>
  <c r="AT642" i="9"/>
  <c r="AU642" i="9"/>
  <c r="AV642" i="9"/>
  <c r="AW642" i="9"/>
  <c r="AX642" i="9"/>
  <c r="AY642" i="9"/>
  <c r="AZ642" i="9"/>
  <c r="AA643" i="9"/>
  <c r="AB643" i="9"/>
  <c r="AC643" i="9"/>
  <c r="AD643" i="9"/>
  <c r="AE643" i="9"/>
  <c r="AF643" i="9"/>
  <c r="AG643" i="9"/>
  <c r="AH643" i="9"/>
  <c r="AI643" i="9"/>
  <c r="AJ643" i="9"/>
  <c r="AK643" i="9"/>
  <c r="AL643" i="9"/>
  <c r="AM643" i="9"/>
  <c r="AN643" i="9"/>
  <c r="AO643" i="9"/>
  <c r="AP643" i="9"/>
  <c r="AQ643" i="9"/>
  <c r="AR643" i="9"/>
  <c r="AS643" i="9"/>
  <c r="AT643" i="9"/>
  <c r="AU643" i="9"/>
  <c r="AV643" i="9"/>
  <c r="AW643" i="9"/>
  <c r="AX643" i="9"/>
  <c r="AY643" i="9"/>
  <c r="AZ643" i="9"/>
  <c r="AA644" i="9"/>
  <c r="AB644" i="9"/>
  <c r="AC644" i="9"/>
  <c r="AD644" i="9"/>
  <c r="AE644" i="9"/>
  <c r="AF644" i="9"/>
  <c r="AG644" i="9"/>
  <c r="AH644" i="9"/>
  <c r="AI644" i="9"/>
  <c r="AJ644" i="9"/>
  <c r="AK644" i="9"/>
  <c r="AL644" i="9"/>
  <c r="AM644" i="9"/>
  <c r="AN644" i="9"/>
  <c r="AO644" i="9"/>
  <c r="AP644" i="9"/>
  <c r="AQ644" i="9"/>
  <c r="AR644" i="9"/>
  <c r="AS644" i="9"/>
  <c r="AT644" i="9"/>
  <c r="AU644" i="9"/>
  <c r="AV644" i="9"/>
  <c r="AW644" i="9"/>
  <c r="AX644" i="9"/>
  <c r="AY644" i="9"/>
  <c r="AZ644" i="9"/>
  <c r="AA645" i="9"/>
  <c r="AB645" i="9"/>
  <c r="AC645" i="9"/>
  <c r="AD645" i="9"/>
  <c r="AE645" i="9"/>
  <c r="AF645" i="9"/>
  <c r="AG645" i="9"/>
  <c r="AH645" i="9"/>
  <c r="AI645" i="9"/>
  <c r="AJ645" i="9"/>
  <c r="AK645" i="9"/>
  <c r="AL645" i="9"/>
  <c r="AM645" i="9"/>
  <c r="AN645" i="9"/>
  <c r="AO645" i="9"/>
  <c r="AP645" i="9"/>
  <c r="AQ645" i="9"/>
  <c r="AR645" i="9"/>
  <c r="AS645" i="9"/>
  <c r="AT645" i="9"/>
  <c r="AU645" i="9"/>
  <c r="AV645" i="9"/>
  <c r="AW645" i="9"/>
  <c r="AX645" i="9"/>
  <c r="AY645" i="9"/>
  <c r="AZ645" i="9"/>
  <c r="AA646" i="9"/>
  <c r="AB646" i="9"/>
  <c r="AC646" i="9"/>
  <c r="AD646" i="9"/>
  <c r="AE646" i="9"/>
  <c r="AF646" i="9"/>
  <c r="AG646" i="9"/>
  <c r="AH646" i="9"/>
  <c r="AI646" i="9"/>
  <c r="AJ646" i="9"/>
  <c r="AK646" i="9"/>
  <c r="AL646" i="9"/>
  <c r="AM646" i="9"/>
  <c r="AN646" i="9"/>
  <c r="AO646" i="9"/>
  <c r="AP646" i="9"/>
  <c r="AQ646" i="9"/>
  <c r="AR646" i="9"/>
  <c r="AS646" i="9"/>
  <c r="AT646" i="9"/>
  <c r="AU646" i="9"/>
  <c r="AV646" i="9"/>
  <c r="AW646" i="9"/>
  <c r="AX646" i="9"/>
  <c r="AY646" i="9"/>
  <c r="AZ646" i="9"/>
  <c r="AA647" i="9"/>
  <c r="AB647" i="9"/>
  <c r="AC647" i="9"/>
  <c r="AD647" i="9"/>
  <c r="AE647" i="9"/>
  <c r="AF647" i="9"/>
  <c r="AG647" i="9"/>
  <c r="AH647" i="9"/>
  <c r="AI647" i="9"/>
  <c r="AJ647" i="9"/>
  <c r="AK647" i="9"/>
  <c r="AL647" i="9"/>
  <c r="AM647" i="9"/>
  <c r="AN647" i="9"/>
  <c r="AO647" i="9"/>
  <c r="AP647" i="9"/>
  <c r="AQ647" i="9"/>
  <c r="AR647" i="9"/>
  <c r="AS647" i="9"/>
  <c r="AT647" i="9"/>
  <c r="AU647" i="9"/>
  <c r="AV647" i="9"/>
  <c r="AW647" i="9"/>
  <c r="AX647" i="9"/>
  <c r="AY647" i="9"/>
  <c r="AZ647" i="9"/>
  <c r="AA648" i="9"/>
  <c r="AB648" i="9"/>
  <c r="AC648" i="9"/>
  <c r="AD648" i="9"/>
  <c r="AE648" i="9"/>
  <c r="AF648" i="9"/>
  <c r="AG648" i="9"/>
  <c r="AH648" i="9"/>
  <c r="AI648" i="9"/>
  <c r="AJ648" i="9"/>
  <c r="AK648" i="9"/>
  <c r="AL648" i="9"/>
  <c r="AM648" i="9"/>
  <c r="AN648" i="9"/>
  <c r="AO648" i="9"/>
  <c r="AP648" i="9"/>
  <c r="AQ648" i="9"/>
  <c r="AR648" i="9"/>
  <c r="AS648" i="9"/>
  <c r="AT648" i="9"/>
  <c r="AU648" i="9"/>
  <c r="AV648" i="9"/>
  <c r="AW648" i="9"/>
  <c r="AX648" i="9"/>
  <c r="AY648" i="9"/>
  <c r="AZ648" i="9"/>
  <c r="AA649" i="9"/>
  <c r="AB649" i="9"/>
  <c r="AC649" i="9"/>
  <c r="AD649" i="9"/>
  <c r="AE649" i="9"/>
  <c r="AF649" i="9"/>
  <c r="AG649" i="9"/>
  <c r="AH649" i="9"/>
  <c r="AI649" i="9"/>
  <c r="AJ649" i="9"/>
  <c r="AK649" i="9"/>
  <c r="AL649" i="9"/>
  <c r="AM649" i="9"/>
  <c r="AN649" i="9"/>
  <c r="AO649" i="9"/>
  <c r="AP649" i="9"/>
  <c r="AQ649" i="9"/>
  <c r="AR649" i="9"/>
  <c r="AS649" i="9"/>
  <c r="AT649" i="9"/>
  <c r="AU649" i="9"/>
  <c r="AV649" i="9"/>
  <c r="AW649" i="9"/>
  <c r="AX649" i="9"/>
  <c r="AY649" i="9"/>
  <c r="AZ649" i="9"/>
  <c r="AA650" i="9"/>
  <c r="AB650" i="9"/>
  <c r="AC650" i="9"/>
  <c r="AD650" i="9"/>
  <c r="AE650" i="9"/>
  <c r="AF650" i="9"/>
  <c r="AG650" i="9"/>
  <c r="AH650" i="9"/>
  <c r="AI650" i="9"/>
  <c r="AJ650" i="9"/>
  <c r="AK650" i="9"/>
  <c r="AL650" i="9"/>
  <c r="AM650" i="9"/>
  <c r="AN650" i="9"/>
  <c r="AO650" i="9"/>
  <c r="AP650" i="9"/>
  <c r="AQ650" i="9"/>
  <c r="AR650" i="9"/>
  <c r="AS650" i="9"/>
  <c r="AT650" i="9"/>
  <c r="AU650" i="9"/>
  <c r="AV650" i="9"/>
  <c r="AW650" i="9"/>
  <c r="AX650" i="9"/>
  <c r="AY650" i="9"/>
  <c r="AZ650" i="9"/>
  <c r="AA651" i="9"/>
  <c r="AB651" i="9"/>
  <c r="AC651" i="9"/>
  <c r="AD651" i="9"/>
  <c r="AE651" i="9"/>
  <c r="AF651" i="9"/>
  <c r="AG651" i="9"/>
  <c r="AH651" i="9"/>
  <c r="AI651" i="9"/>
  <c r="AJ651" i="9"/>
  <c r="AK651" i="9"/>
  <c r="AL651" i="9"/>
  <c r="AM651" i="9"/>
  <c r="AN651" i="9"/>
  <c r="AO651" i="9"/>
  <c r="AP651" i="9"/>
  <c r="AQ651" i="9"/>
  <c r="AR651" i="9"/>
  <c r="AS651" i="9"/>
  <c r="AT651" i="9"/>
  <c r="AU651" i="9"/>
  <c r="AV651" i="9"/>
  <c r="AW651" i="9"/>
  <c r="AX651" i="9"/>
  <c r="AY651" i="9"/>
  <c r="AZ651" i="9"/>
  <c r="AA652" i="9"/>
  <c r="AB652" i="9"/>
  <c r="AC652" i="9"/>
  <c r="AD652" i="9"/>
  <c r="AE652" i="9"/>
  <c r="AF652" i="9"/>
  <c r="AG652" i="9"/>
  <c r="AH652" i="9"/>
  <c r="AI652" i="9"/>
  <c r="AJ652" i="9"/>
  <c r="AK652" i="9"/>
  <c r="AL652" i="9"/>
  <c r="AM652" i="9"/>
  <c r="AN652" i="9"/>
  <c r="AO652" i="9"/>
  <c r="AP652" i="9"/>
  <c r="AQ652" i="9"/>
  <c r="AR652" i="9"/>
  <c r="AS652" i="9"/>
  <c r="AT652" i="9"/>
  <c r="AU652" i="9"/>
  <c r="AV652" i="9"/>
  <c r="AW652" i="9"/>
  <c r="AX652" i="9"/>
  <c r="AY652" i="9"/>
  <c r="AZ652" i="9"/>
  <c r="AA653" i="9"/>
  <c r="AB653" i="9"/>
  <c r="AC653" i="9"/>
  <c r="AD653" i="9"/>
  <c r="AE653" i="9"/>
  <c r="AF653" i="9"/>
  <c r="AG653" i="9"/>
  <c r="AH653" i="9"/>
  <c r="AI653" i="9"/>
  <c r="AJ653" i="9"/>
  <c r="AK653" i="9"/>
  <c r="AL653" i="9"/>
  <c r="AM653" i="9"/>
  <c r="AN653" i="9"/>
  <c r="AO653" i="9"/>
  <c r="AP653" i="9"/>
  <c r="AQ653" i="9"/>
  <c r="AR653" i="9"/>
  <c r="AS653" i="9"/>
  <c r="AT653" i="9"/>
  <c r="AU653" i="9"/>
  <c r="AV653" i="9"/>
  <c r="AW653" i="9"/>
  <c r="AX653" i="9"/>
  <c r="AY653" i="9"/>
  <c r="AZ653" i="9"/>
  <c r="AA654" i="9"/>
  <c r="AB654" i="9"/>
  <c r="AC654" i="9"/>
  <c r="AD654" i="9"/>
  <c r="AE654" i="9"/>
  <c r="AF654" i="9"/>
  <c r="AG654" i="9"/>
  <c r="AH654" i="9"/>
  <c r="AI654" i="9"/>
  <c r="AJ654" i="9"/>
  <c r="AK654" i="9"/>
  <c r="AL654" i="9"/>
  <c r="AM654" i="9"/>
  <c r="AN654" i="9"/>
  <c r="AO654" i="9"/>
  <c r="AP654" i="9"/>
  <c r="AQ654" i="9"/>
  <c r="AR654" i="9"/>
  <c r="AS654" i="9"/>
  <c r="AT654" i="9"/>
  <c r="AU654" i="9"/>
  <c r="AV654" i="9"/>
  <c r="AW654" i="9"/>
  <c r="AX654" i="9"/>
  <c r="AY654" i="9"/>
  <c r="AZ654" i="9"/>
  <c r="AA655" i="9"/>
  <c r="AB655" i="9"/>
  <c r="AC655" i="9"/>
  <c r="AD655" i="9"/>
  <c r="AE655" i="9"/>
  <c r="AF655" i="9"/>
  <c r="AG655" i="9"/>
  <c r="AH655" i="9"/>
  <c r="AI655" i="9"/>
  <c r="AJ655" i="9"/>
  <c r="AK655" i="9"/>
  <c r="AL655" i="9"/>
  <c r="AM655" i="9"/>
  <c r="AN655" i="9"/>
  <c r="AO655" i="9"/>
  <c r="AP655" i="9"/>
  <c r="AQ655" i="9"/>
  <c r="AR655" i="9"/>
  <c r="AS655" i="9"/>
  <c r="AT655" i="9"/>
  <c r="AU655" i="9"/>
  <c r="AV655" i="9"/>
  <c r="AW655" i="9"/>
  <c r="AX655" i="9"/>
  <c r="AY655" i="9"/>
  <c r="AZ655" i="9"/>
  <c r="AA656" i="9"/>
  <c r="AB656" i="9"/>
  <c r="AC656" i="9"/>
  <c r="AD656" i="9"/>
  <c r="AE656" i="9"/>
  <c r="AF656" i="9"/>
  <c r="AG656" i="9"/>
  <c r="AH656" i="9"/>
  <c r="AI656" i="9"/>
  <c r="AJ656" i="9"/>
  <c r="AK656" i="9"/>
  <c r="AL656" i="9"/>
  <c r="AM656" i="9"/>
  <c r="AN656" i="9"/>
  <c r="AO656" i="9"/>
  <c r="AP656" i="9"/>
  <c r="AQ656" i="9"/>
  <c r="AR656" i="9"/>
  <c r="AS656" i="9"/>
  <c r="AT656" i="9"/>
  <c r="AU656" i="9"/>
  <c r="AV656" i="9"/>
  <c r="AW656" i="9"/>
  <c r="AX656" i="9"/>
  <c r="AY656" i="9"/>
  <c r="AZ656" i="9"/>
  <c r="AA657" i="9"/>
  <c r="AB657" i="9"/>
  <c r="AC657" i="9"/>
  <c r="AD657" i="9"/>
  <c r="AE657" i="9"/>
  <c r="AF657" i="9"/>
  <c r="AG657" i="9"/>
  <c r="AH657" i="9"/>
  <c r="AI657" i="9"/>
  <c r="AJ657" i="9"/>
  <c r="AK657" i="9"/>
  <c r="AL657" i="9"/>
  <c r="AM657" i="9"/>
  <c r="AN657" i="9"/>
  <c r="AO657" i="9"/>
  <c r="AP657" i="9"/>
  <c r="AQ657" i="9"/>
  <c r="AR657" i="9"/>
  <c r="AS657" i="9"/>
  <c r="AT657" i="9"/>
  <c r="AU657" i="9"/>
  <c r="AV657" i="9"/>
  <c r="AW657" i="9"/>
  <c r="AX657" i="9"/>
  <c r="AY657" i="9"/>
  <c r="AZ657" i="9"/>
  <c r="AA658" i="9"/>
  <c r="AB658" i="9"/>
  <c r="AC658" i="9"/>
  <c r="AD658" i="9"/>
  <c r="AE658" i="9"/>
  <c r="AF658" i="9"/>
  <c r="AG658" i="9"/>
  <c r="AH658" i="9"/>
  <c r="AI658" i="9"/>
  <c r="AJ658" i="9"/>
  <c r="AK658" i="9"/>
  <c r="AL658" i="9"/>
  <c r="AM658" i="9"/>
  <c r="AN658" i="9"/>
  <c r="AO658" i="9"/>
  <c r="AP658" i="9"/>
  <c r="AQ658" i="9"/>
  <c r="AR658" i="9"/>
  <c r="AS658" i="9"/>
  <c r="AT658" i="9"/>
  <c r="AU658" i="9"/>
  <c r="AV658" i="9"/>
  <c r="AW658" i="9"/>
  <c r="AX658" i="9"/>
  <c r="AY658" i="9"/>
  <c r="AZ658" i="9"/>
  <c r="AA659" i="9"/>
  <c r="AB659" i="9"/>
  <c r="AC659" i="9"/>
  <c r="AD659" i="9"/>
  <c r="AE659" i="9"/>
  <c r="AF659" i="9"/>
  <c r="AG659" i="9"/>
  <c r="AH659" i="9"/>
  <c r="AI659" i="9"/>
  <c r="AJ659" i="9"/>
  <c r="AK659" i="9"/>
  <c r="AL659" i="9"/>
  <c r="AM659" i="9"/>
  <c r="AN659" i="9"/>
  <c r="AO659" i="9"/>
  <c r="AP659" i="9"/>
  <c r="AQ659" i="9"/>
  <c r="AR659" i="9"/>
  <c r="AS659" i="9"/>
  <c r="AT659" i="9"/>
  <c r="AU659" i="9"/>
  <c r="AV659" i="9"/>
  <c r="AW659" i="9"/>
  <c r="AX659" i="9"/>
  <c r="AY659" i="9"/>
  <c r="AZ659" i="9"/>
  <c r="AZ2" i="9"/>
  <c r="AY2" i="9"/>
  <c r="AX2" i="9"/>
  <c r="AW2" i="9"/>
  <c r="AV2" i="9"/>
  <c r="AU2" i="9"/>
  <c r="AT2" i="9"/>
  <c r="AS2" i="9"/>
  <c r="AR2" i="9"/>
  <c r="AQ2" i="9"/>
  <c r="AP2" i="9"/>
  <c r="AO2" i="9"/>
  <c r="AN2" i="9"/>
  <c r="AM2" i="9"/>
  <c r="AL2" i="9"/>
  <c r="AK2" i="9"/>
  <c r="AJ2" i="9"/>
  <c r="AI2" i="9"/>
  <c r="AH2" i="9"/>
  <c r="AG2" i="9"/>
  <c r="AF2" i="9"/>
  <c r="AE2" i="9"/>
  <c r="AD2" i="9"/>
  <c r="AC2" i="9"/>
  <c r="AB2" i="9"/>
  <c r="AA2" i="9"/>
  <c r="G167" i="6"/>
  <c r="H167" i="6"/>
  <c r="I167" i="6"/>
  <c r="J167" i="6"/>
  <c r="K167" i="6"/>
  <c r="L167" i="6"/>
  <c r="M167" i="6"/>
  <c r="N167" i="6"/>
  <c r="O167" i="6"/>
  <c r="P167" i="6"/>
  <c r="Q167" i="6"/>
  <c r="R167" i="6"/>
  <c r="S167" i="6"/>
  <c r="T167" i="6"/>
  <c r="U167" i="6"/>
  <c r="V167" i="6"/>
  <c r="W167" i="6"/>
  <c r="X167" i="6"/>
  <c r="Y167" i="6"/>
  <c r="Z167" i="6"/>
  <c r="AA167" i="6"/>
  <c r="AB167" i="6"/>
  <c r="AC167" i="6"/>
  <c r="AD167" i="6"/>
  <c r="AE167" i="6"/>
  <c r="AF167" i="6"/>
  <c r="G168" i="6"/>
  <c r="H168" i="6"/>
  <c r="I168" i="6"/>
  <c r="J168" i="6"/>
  <c r="K168" i="6"/>
  <c r="L168" i="6"/>
  <c r="M168" i="6"/>
  <c r="N168" i="6"/>
  <c r="O168" i="6"/>
  <c r="P168" i="6"/>
  <c r="Q168" i="6"/>
  <c r="R168" i="6"/>
  <c r="S168" i="6"/>
  <c r="T168" i="6"/>
  <c r="U168" i="6"/>
  <c r="V168" i="6"/>
  <c r="W168" i="6"/>
  <c r="X168" i="6"/>
  <c r="Y168" i="6"/>
  <c r="Z168" i="6"/>
  <c r="AA168" i="6"/>
  <c r="AB168" i="6"/>
  <c r="AC168" i="6"/>
  <c r="AD168" i="6"/>
  <c r="AE168" i="6"/>
  <c r="AF168" i="6"/>
  <c r="G169" i="6"/>
  <c r="H169" i="6"/>
  <c r="I169" i="6"/>
  <c r="J169" i="6"/>
  <c r="K169" i="6"/>
  <c r="L169" i="6"/>
  <c r="M169" i="6"/>
  <c r="N169" i="6"/>
  <c r="O169" i="6"/>
  <c r="P169" i="6"/>
  <c r="Q169" i="6"/>
  <c r="R169" i="6"/>
  <c r="S169" i="6"/>
  <c r="T169" i="6"/>
  <c r="U169" i="6"/>
  <c r="V169" i="6"/>
  <c r="W169" i="6"/>
  <c r="X169" i="6"/>
  <c r="Y169" i="6"/>
  <c r="Z169" i="6"/>
  <c r="AA169" i="6"/>
  <c r="AB169" i="6"/>
  <c r="AC169" i="6"/>
  <c r="AD169" i="6"/>
  <c r="AE169" i="6"/>
  <c r="AF169" i="6"/>
  <c r="G170" i="6"/>
  <c r="H170" i="6"/>
  <c r="I170" i="6"/>
  <c r="J170" i="6"/>
  <c r="K170" i="6"/>
  <c r="L170" i="6"/>
  <c r="M170" i="6"/>
  <c r="N170" i="6"/>
  <c r="O170" i="6"/>
  <c r="P170" i="6"/>
  <c r="Q170" i="6"/>
  <c r="R170" i="6"/>
  <c r="S170" i="6"/>
  <c r="T170" i="6"/>
  <c r="U170" i="6"/>
  <c r="V170" i="6"/>
  <c r="W170" i="6"/>
  <c r="X170" i="6"/>
  <c r="Y170" i="6"/>
  <c r="Z170" i="6"/>
  <c r="AA170" i="6"/>
  <c r="AB170" i="6"/>
  <c r="AC170" i="6"/>
  <c r="AD170" i="6"/>
  <c r="AE170" i="6"/>
  <c r="AF170" i="6"/>
  <c r="G171" i="6"/>
  <c r="H171" i="6"/>
  <c r="I171" i="6"/>
  <c r="J171" i="6"/>
  <c r="K171" i="6"/>
  <c r="L171" i="6"/>
  <c r="M171" i="6"/>
  <c r="N171" i="6"/>
  <c r="O171" i="6"/>
  <c r="P171" i="6"/>
  <c r="Q171" i="6"/>
  <c r="R171" i="6"/>
  <c r="S171" i="6"/>
  <c r="T171" i="6"/>
  <c r="U171" i="6"/>
  <c r="V171" i="6"/>
  <c r="W171" i="6"/>
  <c r="X171" i="6"/>
  <c r="Y171" i="6"/>
  <c r="Z171" i="6"/>
  <c r="AA171" i="6"/>
  <c r="AB171" i="6"/>
  <c r="AC171" i="6"/>
  <c r="AD171" i="6"/>
  <c r="AE171" i="6"/>
  <c r="AF171" i="6"/>
  <c r="G172" i="6"/>
  <c r="H172" i="6"/>
  <c r="I172" i="6"/>
  <c r="J172" i="6"/>
  <c r="K172" i="6"/>
  <c r="L172" i="6"/>
  <c r="M172" i="6"/>
  <c r="N172" i="6"/>
  <c r="O172" i="6"/>
  <c r="P172" i="6"/>
  <c r="Q172" i="6"/>
  <c r="R172" i="6"/>
  <c r="S172" i="6"/>
  <c r="T172" i="6"/>
  <c r="U172" i="6"/>
  <c r="V172" i="6"/>
  <c r="W172" i="6"/>
  <c r="X172" i="6"/>
  <c r="Y172" i="6"/>
  <c r="Z172" i="6"/>
  <c r="AA172" i="6"/>
  <c r="AB172" i="6"/>
  <c r="AC172" i="6"/>
  <c r="AD172" i="6"/>
  <c r="AE172" i="6"/>
  <c r="AF172" i="6"/>
  <c r="G173" i="6"/>
  <c r="H173" i="6"/>
  <c r="I173" i="6"/>
  <c r="J173" i="6"/>
  <c r="K173" i="6"/>
  <c r="L173" i="6"/>
  <c r="M173" i="6"/>
  <c r="N173" i="6"/>
  <c r="O173" i="6"/>
  <c r="P173" i="6"/>
  <c r="Q173" i="6"/>
  <c r="R173" i="6"/>
  <c r="S173" i="6"/>
  <c r="T173" i="6"/>
  <c r="U173" i="6"/>
  <c r="V173" i="6"/>
  <c r="W173" i="6"/>
  <c r="X173" i="6"/>
  <c r="Y173" i="6"/>
  <c r="Z173" i="6"/>
  <c r="AA173" i="6"/>
  <c r="AB173" i="6"/>
  <c r="AC173" i="6"/>
  <c r="AD173" i="6"/>
  <c r="AE173" i="6"/>
  <c r="AF173" i="6"/>
  <c r="G174" i="6"/>
  <c r="H174" i="6"/>
  <c r="I174" i="6"/>
  <c r="J174" i="6"/>
  <c r="K174" i="6"/>
  <c r="L174" i="6"/>
  <c r="M174" i="6"/>
  <c r="N174" i="6"/>
  <c r="O174" i="6"/>
  <c r="P174" i="6"/>
  <c r="Q174" i="6"/>
  <c r="R174" i="6"/>
  <c r="S174" i="6"/>
  <c r="T174" i="6"/>
  <c r="U174" i="6"/>
  <c r="V174" i="6"/>
  <c r="W174" i="6"/>
  <c r="X174" i="6"/>
  <c r="Y174" i="6"/>
  <c r="Z174" i="6"/>
  <c r="AA174" i="6"/>
  <c r="AB174" i="6"/>
  <c r="AC174" i="6"/>
  <c r="AD174" i="6"/>
  <c r="AE174" i="6"/>
  <c r="AF174" i="6"/>
  <c r="G175" i="6"/>
  <c r="H175" i="6"/>
  <c r="I175" i="6"/>
  <c r="J175" i="6"/>
  <c r="K175" i="6"/>
  <c r="L175" i="6"/>
  <c r="M175" i="6"/>
  <c r="N175" i="6"/>
  <c r="O175" i="6"/>
  <c r="P175" i="6"/>
  <c r="Q175" i="6"/>
  <c r="R175" i="6"/>
  <c r="S175" i="6"/>
  <c r="T175" i="6"/>
  <c r="U175" i="6"/>
  <c r="V175" i="6"/>
  <c r="W175" i="6"/>
  <c r="X175" i="6"/>
  <c r="Y175" i="6"/>
  <c r="Z175" i="6"/>
  <c r="AA175" i="6"/>
  <c r="AB175" i="6"/>
  <c r="AC175" i="6"/>
  <c r="AD175" i="6"/>
  <c r="AE175" i="6"/>
  <c r="AF175" i="6"/>
  <c r="G176" i="6"/>
  <c r="H176" i="6"/>
  <c r="I176" i="6"/>
  <c r="J176" i="6"/>
  <c r="K176" i="6"/>
  <c r="L176" i="6"/>
  <c r="M176" i="6"/>
  <c r="N176" i="6"/>
  <c r="O176" i="6"/>
  <c r="P176" i="6"/>
  <c r="Q176" i="6"/>
  <c r="R176" i="6"/>
  <c r="S176" i="6"/>
  <c r="T176" i="6"/>
  <c r="U176" i="6"/>
  <c r="V176" i="6"/>
  <c r="W176" i="6"/>
  <c r="X176" i="6"/>
  <c r="Y176" i="6"/>
  <c r="Z176" i="6"/>
  <c r="AA176" i="6"/>
  <c r="AB176" i="6"/>
  <c r="AC176" i="6"/>
  <c r="AD176" i="6"/>
  <c r="AE176" i="6"/>
  <c r="AF176" i="6"/>
  <c r="G178" i="6"/>
  <c r="H178" i="6"/>
  <c r="I178" i="6"/>
  <c r="J178" i="6"/>
  <c r="K178" i="6"/>
  <c r="L178" i="6"/>
  <c r="M178" i="6"/>
  <c r="N178" i="6"/>
  <c r="O178" i="6"/>
  <c r="P178" i="6"/>
  <c r="Q178" i="6"/>
  <c r="R178" i="6"/>
  <c r="S178" i="6"/>
  <c r="T178" i="6"/>
  <c r="U178" i="6"/>
  <c r="V178" i="6"/>
  <c r="W178" i="6"/>
  <c r="X178" i="6"/>
  <c r="Y178" i="6"/>
  <c r="Z178" i="6"/>
  <c r="AA178" i="6"/>
  <c r="AB178" i="6"/>
  <c r="AC178" i="6"/>
  <c r="AD178" i="6"/>
  <c r="AE178" i="6"/>
  <c r="AF178" i="6"/>
  <c r="G179" i="6"/>
  <c r="H179" i="6"/>
  <c r="I179" i="6"/>
  <c r="J179" i="6"/>
  <c r="K179" i="6"/>
  <c r="L179" i="6"/>
  <c r="M179" i="6"/>
  <c r="N179" i="6"/>
  <c r="O179" i="6"/>
  <c r="P179" i="6"/>
  <c r="Q179" i="6"/>
  <c r="R179" i="6"/>
  <c r="S179" i="6"/>
  <c r="T179" i="6"/>
  <c r="U179" i="6"/>
  <c r="V179" i="6"/>
  <c r="W179" i="6"/>
  <c r="X179" i="6"/>
  <c r="Y179" i="6"/>
  <c r="Z179" i="6"/>
  <c r="AA179" i="6"/>
  <c r="AB179" i="6"/>
  <c r="AC179" i="6"/>
  <c r="AD179" i="6"/>
  <c r="AE179" i="6"/>
  <c r="AF179" i="6"/>
  <c r="G180" i="6"/>
  <c r="H180" i="6"/>
  <c r="I180" i="6"/>
  <c r="J180" i="6"/>
  <c r="K180" i="6"/>
  <c r="L180" i="6"/>
  <c r="M180" i="6"/>
  <c r="N180" i="6"/>
  <c r="O180" i="6"/>
  <c r="P180" i="6"/>
  <c r="Q180" i="6"/>
  <c r="R180" i="6"/>
  <c r="S180" i="6"/>
  <c r="T180" i="6"/>
  <c r="U180" i="6"/>
  <c r="V180" i="6"/>
  <c r="W180" i="6"/>
  <c r="X180" i="6"/>
  <c r="Y180" i="6"/>
  <c r="Z180" i="6"/>
  <c r="AA180" i="6"/>
  <c r="AB180" i="6"/>
  <c r="AC180" i="6"/>
  <c r="AD180" i="6"/>
  <c r="AE180" i="6"/>
  <c r="AF180" i="6"/>
  <c r="G181" i="6"/>
  <c r="H181" i="6"/>
  <c r="I181" i="6"/>
  <c r="J181" i="6"/>
  <c r="K181" i="6"/>
  <c r="L181" i="6"/>
  <c r="M181" i="6"/>
  <c r="N181" i="6"/>
  <c r="O181" i="6"/>
  <c r="P181" i="6"/>
  <c r="Q181" i="6"/>
  <c r="R181" i="6"/>
  <c r="S181" i="6"/>
  <c r="T181" i="6"/>
  <c r="U181" i="6"/>
  <c r="V181" i="6"/>
  <c r="W181" i="6"/>
  <c r="X181" i="6"/>
  <c r="Y181" i="6"/>
  <c r="Z181" i="6"/>
  <c r="AA181" i="6"/>
  <c r="AB181" i="6"/>
  <c r="AC181" i="6"/>
  <c r="AD181" i="6"/>
  <c r="AE181" i="6"/>
  <c r="AF181" i="6"/>
  <c r="G182" i="6"/>
  <c r="H182" i="6"/>
  <c r="I182" i="6"/>
  <c r="J182" i="6"/>
  <c r="K182" i="6"/>
  <c r="L182" i="6"/>
  <c r="M182" i="6"/>
  <c r="N182" i="6"/>
  <c r="O182" i="6"/>
  <c r="P182" i="6"/>
  <c r="Q182" i="6"/>
  <c r="R182" i="6"/>
  <c r="S182" i="6"/>
  <c r="T182" i="6"/>
  <c r="U182" i="6"/>
  <c r="V182" i="6"/>
  <c r="W182" i="6"/>
  <c r="X182" i="6"/>
  <c r="Y182" i="6"/>
  <c r="Z182" i="6"/>
  <c r="AA182" i="6"/>
  <c r="AB182" i="6"/>
  <c r="AC182" i="6"/>
  <c r="AD182" i="6"/>
  <c r="AE182" i="6"/>
  <c r="AF182" i="6"/>
  <c r="G183" i="6"/>
  <c r="H183" i="6"/>
  <c r="I183" i="6"/>
  <c r="J183" i="6"/>
  <c r="K183" i="6"/>
  <c r="L183" i="6"/>
  <c r="M183" i="6"/>
  <c r="N183" i="6"/>
  <c r="O183" i="6"/>
  <c r="P183" i="6"/>
  <c r="Q183" i="6"/>
  <c r="R183" i="6"/>
  <c r="S183" i="6"/>
  <c r="T183" i="6"/>
  <c r="U183" i="6"/>
  <c r="V183" i="6"/>
  <c r="W183" i="6"/>
  <c r="X183" i="6"/>
  <c r="Y183" i="6"/>
  <c r="Z183" i="6"/>
  <c r="AA183" i="6"/>
  <c r="AB183" i="6"/>
  <c r="AC183" i="6"/>
  <c r="AD183" i="6"/>
  <c r="AE183" i="6"/>
  <c r="AF183" i="6"/>
  <c r="G184" i="6"/>
  <c r="H184" i="6"/>
  <c r="I184" i="6"/>
  <c r="J184" i="6"/>
  <c r="K184" i="6"/>
  <c r="L184" i="6"/>
  <c r="M184" i="6"/>
  <c r="N184" i="6"/>
  <c r="O184" i="6"/>
  <c r="P184" i="6"/>
  <c r="Q184" i="6"/>
  <c r="R184" i="6"/>
  <c r="S184" i="6"/>
  <c r="T184" i="6"/>
  <c r="U184" i="6"/>
  <c r="V184" i="6"/>
  <c r="W184" i="6"/>
  <c r="X184" i="6"/>
  <c r="Y184" i="6"/>
  <c r="Z184" i="6"/>
  <c r="AA184" i="6"/>
  <c r="AB184" i="6"/>
  <c r="AC184" i="6"/>
  <c r="AD184" i="6"/>
  <c r="AE184" i="6"/>
  <c r="AF184" i="6"/>
  <c r="G185" i="6"/>
  <c r="H185" i="6"/>
  <c r="I185" i="6"/>
  <c r="J185" i="6"/>
  <c r="K185" i="6"/>
  <c r="L185" i="6"/>
  <c r="M185" i="6"/>
  <c r="N185" i="6"/>
  <c r="O185" i="6"/>
  <c r="P185" i="6"/>
  <c r="Q185" i="6"/>
  <c r="R185" i="6"/>
  <c r="S185" i="6"/>
  <c r="T185" i="6"/>
  <c r="U185" i="6"/>
  <c r="V185" i="6"/>
  <c r="W185" i="6"/>
  <c r="X185" i="6"/>
  <c r="Y185" i="6"/>
  <c r="Z185" i="6"/>
  <c r="AA185" i="6"/>
  <c r="AB185" i="6"/>
  <c r="AC185" i="6"/>
  <c r="AD185" i="6"/>
  <c r="AE185" i="6"/>
  <c r="AF185" i="6"/>
  <c r="G186" i="6"/>
  <c r="H186" i="6"/>
  <c r="I186" i="6"/>
  <c r="J186" i="6"/>
  <c r="K186" i="6"/>
  <c r="L186" i="6"/>
  <c r="M186" i="6"/>
  <c r="N186" i="6"/>
  <c r="O186" i="6"/>
  <c r="P186" i="6"/>
  <c r="Q186" i="6"/>
  <c r="R186" i="6"/>
  <c r="S186" i="6"/>
  <c r="T186" i="6"/>
  <c r="U186" i="6"/>
  <c r="V186" i="6"/>
  <c r="W186" i="6"/>
  <c r="X186" i="6"/>
  <c r="Y186" i="6"/>
  <c r="Z186" i="6"/>
  <c r="AA186" i="6"/>
  <c r="AB186" i="6"/>
  <c r="AC186" i="6"/>
  <c r="AD186" i="6"/>
  <c r="AE186" i="6"/>
  <c r="AF186" i="6"/>
  <c r="G187" i="6"/>
  <c r="H187" i="6"/>
  <c r="I187" i="6"/>
  <c r="J187" i="6"/>
  <c r="K187" i="6"/>
  <c r="L187" i="6"/>
  <c r="M187" i="6"/>
  <c r="N187" i="6"/>
  <c r="O187" i="6"/>
  <c r="P187" i="6"/>
  <c r="Q187" i="6"/>
  <c r="R187" i="6"/>
  <c r="S187" i="6"/>
  <c r="T187" i="6"/>
  <c r="U187" i="6"/>
  <c r="V187" i="6"/>
  <c r="W187" i="6"/>
  <c r="X187" i="6"/>
  <c r="Y187" i="6"/>
  <c r="Z187" i="6"/>
  <c r="AA187" i="6"/>
  <c r="AB187" i="6"/>
  <c r="AC187" i="6"/>
  <c r="AD187" i="6"/>
  <c r="AE187" i="6"/>
  <c r="AF187" i="6"/>
  <c r="K2" i="7" l="1"/>
  <c r="AH3" i="7"/>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40" i="7"/>
  <c r="AH41" i="7"/>
  <c r="AH42" i="7"/>
  <c r="AH43" i="7"/>
  <c r="AH44" i="7"/>
  <c r="AH45" i="7"/>
  <c r="AH46" i="7"/>
  <c r="AH47" i="7"/>
  <c r="AH48" i="7"/>
  <c r="AH49" i="7"/>
  <c r="AH50" i="7"/>
  <c r="AH51" i="7"/>
  <c r="AH52" i="7"/>
  <c r="AH53" i="7"/>
  <c r="AH54" i="7"/>
  <c r="AH55" i="7"/>
  <c r="AH56" i="7"/>
  <c r="AH57" i="7"/>
  <c r="AH58" i="7"/>
  <c r="AH59" i="7"/>
  <c r="AH60" i="7"/>
  <c r="AH61" i="7"/>
  <c r="AH62" i="7"/>
  <c r="AH63" i="7"/>
  <c r="AH64" i="7"/>
  <c r="AH65" i="7"/>
  <c r="AH66" i="7"/>
  <c r="AH67" i="7"/>
  <c r="AH68" i="7"/>
  <c r="AH69" i="7"/>
  <c r="AH70" i="7"/>
  <c r="AH71" i="7"/>
  <c r="AH72" i="7"/>
  <c r="AH73" i="7"/>
  <c r="AH74" i="7"/>
  <c r="AH75" i="7"/>
  <c r="AH76" i="7"/>
  <c r="AH77" i="7"/>
  <c r="AH78" i="7"/>
  <c r="AH79" i="7"/>
  <c r="AH80" i="7"/>
  <c r="AH81" i="7"/>
  <c r="AH82" i="7"/>
  <c r="AH83" i="7"/>
  <c r="AH84" i="7"/>
  <c r="AH85" i="7"/>
  <c r="AH86" i="7"/>
  <c r="AH87" i="7"/>
  <c r="AH88" i="7"/>
  <c r="AH89" i="7"/>
  <c r="AH90" i="7"/>
  <c r="AH91" i="7"/>
  <c r="AH92" i="7"/>
  <c r="AH93" i="7"/>
  <c r="AH94" i="7"/>
  <c r="AH95" i="7"/>
  <c r="AH96" i="7"/>
  <c r="AH97" i="7"/>
  <c r="AH98" i="7"/>
  <c r="AH99" i="7"/>
  <c r="AH100" i="7"/>
  <c r="AH101" i="7"/>
  <c r="AH102" i="7"/>
  <c r="AH103" i="7"/>
  <c r="AH104" i="7"/>
  <c r="AH105" i="7"/>
  <c r="AH106" i="7"/>
  <c r="AH107" i="7"/>
  <c r="AH108" i="7"/>
  <c r="AH109" i="7"/>
  <c r="AH110" i="7"/>
  <c r="AH111" i="7"/>
  <c r="AH112" i="7"/>
  <c r="AH113" i="7"/>
  <c r="AH114" i="7"/>
  <c r="AH115" i="7"/>
  <c r="AH116" i="7"/>
  <c r="AH117" i="7"/>
  <c r="AH118" i="7"/>
  <c r="AH119" i="7"/>
  <c r="AH120" i="7"/>
  <c r="AH121" i="7"/>
  <c r="AH122" i="7"/>
  <c r="AH123" i="7"/>
  <c r="AH124" i="7"/>
  <c r="AH125" i="7"/>
  <c r="AH126" i="7"/>
  <c r="AH127" i="7"/>
  <c r="AH128" i="7"/>
  <c r="AH129" i="7"/>
  <c r="AH130" i="7"/>
  <c r="AH131" i="7"/>
  <c r="AH132" i="7"/>
  <c r="AH133" i="7"/>
  <c r="AH134" i="7"/>
  <c r="AH135" i="7"/>
  <c r="AH136" i="7"/>
  <c r="AH137" i="7"/>
  <c r="AH138" i="7"/>
  <c r="AH139" i="7"/>
  <c r="AH140" i="7"/>
  <c r="AH141" i="7"/>
  <c r="AH142" i="7"/>
  <c r="AH143" i="7"/>
  <c r="AH144" i="7"/>
  <c r="AH145" i="7"/>
  <c r="AH146" i="7"/>
  <c r="AH147" i="7"/>
  <c r="AH148" i="7"/>
  <c r="AH149" i="7"/>
  <c r="AH150" i="7"/>
  <c r="AH151" i="7"/>
  <c r="AH152" i="7"/>
  <c r="AH153" i="7"/>
  <c r="AH154" i="7"/>
  <c r="AH155" i="7"/>
  <c r="AH156" i="7"/>
  <c r="AH157" i="7"/>
  <c r="AH158" i="7"/>
  <c r="AH159" i="7"/>
  <c r="AH160" i="7"/>
  <c r="AH161" i="7"/>
  <c r="AH162" i="7"/>
  <c r="AH163" i="7"/>
  <c r="AH164" i="7"/>
  <c r="AH165" i="7"/>
  <c r="AH166" i="7"/>
  <c r="AH167" i="7"/>
  <c r="AH168" i="7"/>
  <c r="AH169" i="7"/>
  <c r="AH170" i="7"/>
  <c r="AH171" i="7"/>
  <c r="AH172" i="7"/>
  <c r="AH173" i="7"/>
  <c r="AH174" i="7"/>
  <c r="AH175" i="7"/>
  <c r="AH176" i="7"/>
  <c r="AH177" i="7"/>
  <c r="AH178" i="7"/>
  <c r="AH179" i="7"/>
  <c r="AH180" i="7"/>
  <c r="AH181" i="7"/>
  <c r="AH182" i="7"/>
  <c r="AH183" i="7"/>
  <c r="AH184" i="7"/>
  <c r="AH185" i="7"/>
  <c r="AH186" i="7"/>
  <c r="AH187" i="7"/>
  <c r="AH188" i="7"/>
  <c r="AH189" i="7"/>
  <c r="AH190" i="7"/>
  <c r="AH191" i="7"/>
  <c r="AH192" i="7"/>
  <c r="AH193" i="7"/>
  <c r="AH194" i="7"/>
  <c r="AH195" i="7"/>
  <c r="AH196" i="7"/>
  <c r="AH197" i="7"/>
  <c r="AH198" i="7"/>
  <c r="AH199" i="7"/>
  <c r="AH200" i="7"/>
  <c r="AH201" i="7"/>
  <c r="AH202" i="7"/>
  <c r="AH203" i="7"/>
  <c r="AH204" i="7"/>
  <c r="AH205" i="7"/>
  <c r="AH206" i="7"/>
  <c r="AH207" i="7"/>
  <c r="AH208" i="7"/>
  <c r="AH209" i="7"/>
  <c r="AH210" i="7"/>
  <c r="AH211" i="7"/>
  <c r="AH212" i="7"/>
  <c r="AH213" i="7"/>
  <c r="AH214" i="7"/>
  <c r="AH215" i="7"/>
  <c r="AH216" i="7"/>
  <c r="AH217" i="7"/>
  <c r="AH218" i="7"/>
  <c r="AH219" i="7"/>
  <c r="AH220" i="7"/>
  <c r="AH221" i="7"/>
  <c r="AH222" i="7"/>
  <c r="AH223" i="7"/>
  <c r="AH224" i="7"/>
  <c r="AH225" i="7"/>
  <c r="AH226" i="7"/>
  <c r="AH227" i="7"/>
  <c r="AH228" i="7"/>
  <c r="AH229" i="7"/>
  <c r="AH230" i="7"/>
  <c r="AH231" i="7"/>
  <c r="AH232" i="7"/>
  <c r="AH233" i="7"/>
  <c r="AH234" i="7"/>
  <c r="AH235" i="7"/>
  <c r="AH236" i="7"/>
  <c r="AH237" i="7"/>
  <c r="AH238" i="7"/>
  <c r="AH239" i="7"/>
  <c r="AH240" i="7"/>
  <c r="AH241" i="7"/>
  <c r="AH242" i="7"/>
  <c r="AH243" i="7"/>
  <c r="AH244" i="7"/>
  <c r="AH245" i="7"/>
  <c r="AH246" i="7"/>
  <c r="AH247" i="7"/>
  <c r="AH248" i="7"/>
  <c r="AH249" i="7"/>
  <c r="AH250" i="7"/>
  <c r="AH251" i="7"/>
  <c r="AH252" i="7"/>
  <c r="AH253" i="7"/>
  <c r="AH254" i="7"/>
  <c r="AH255" i="7"/>
  <c r="AH256" i="7"/>
  <c r="AH257" i="7"/>
  <c r="AH258" i="7"/>
  <c r="AH259" i="7"/>
  <c r="AH260" i="7"/>
  <c r="AH261" i="7"/>
  <c r="AH262" i="7"/>
  <c r="AH263" i="7"/>
  <c r="AH264" i="7"/>
  <c r="AH265" i="7"/>
  <c r="AH266" i="7"/>
  <c r="AH267" i="7"/>
  <c r="AH268" i="7"/>
  <c r="AH269" i="7"/>
  <c r="AH270" i="7"/>
  <c r="AH271" i="7"/>
  <c r="AH272" i="7"/>
  <c r="AH273" i="7"/>
  <c r="AH274" i="7"/>
  <c r="AH275" i="7"/>
  <c r="AH276" i="7"/>
  <c r="AH277" i="7"/>
  <c r="AH278" i="7"/>
  <c r="AH279" i="7"/>
  <c r="AH280" i="7"/>
  <c r="AH281" i="7"/>
  <c r="AH282" i="7"/>
  <c r="AH283" i="7"/>
  <c r="AH284" i="7"/>
  <c r="AH285" i="7"/>
  <c r="AH286" i="7"/>
  <c r="AH287" i="7"/>
  <c r="AH288" i="7"/>
  <c r="AH289" i="7"/>
  <c r="AH290" i="7"/>
  <c r="AH291" i="7"/>
  <c r="AH292" i="7"/>
  <c r="AH293" i="7"/>
  <c r="AH294" i="7"/>
  <c r="AH295" i="7"/>
  <c r="AH296" i="7"/>
  <c r="AH297" i="7"/>
  <c r="AH298" i="7"/>
  <c r="AH299" i="7"/>
  <c r="AH300" i="7"/>
  <c r="AH301" i="7"/>
  <c r="AH302" i="7"/>
  <c r="AH303" i="7"/>
  <c r="AH304" i="7"/>
  <c r="AH305" i="7"/>
  <c r="AH306" i="7"/>
  <c r="AH307" i="7"/>
  <c r="AH308" i="7"/>
  <c r="AH309" i="7"/>
  <c r="AH310" i="7"/>
  <c r="AH311" i="7"/>
  <c r="AH312" i="7"/>
  <c r="AH313" i="7"/>
  <c r="AH314" i="7"/>
  <c r="AH315" i="7"/>
  <c r="AH316" i="7"/>
  <c r="AH317" i="7"/>
  <c r="AH318" i="7"/>
  <c r="AH319" i="7"/>
  <c r="AH320" i="7"/>
  <c r="AH321" i="7"/>
  <c r="AH322" i="7"/>
  <c r="AH323" i="7"/>
  <c r="AH324" i="7"/>
  <c r="AH325" i="7"/>
  <c r="AH326" i="7"/>
  <c r="AH327" i="7"/>
  <c r="AH328" i="7"/>
  <c r="AH329" i="7"/>
  <c r="AH330" i="7"/>
  <c r="AH331" i="7"/>
  <c r="AH332" i="7"/>
  <c r="AH333" i="7"/>
  <c r="AH334" i="7"/>
  <c r="AH335" i="7"/>
  <c r="AH336" i="7"/>
  <c r="AH337" i="7"/>
  <c r="AH338" i="7"/>
  <c r="AH339" i="7"/>
  <c r="AH340" i="7"/>
  <c r="AH341" i="7"/>
  <c r="AH342" i="7"/>
  <c r="AH343" i="7"/>
  <c r="AH344" i="7"/>
  <c r="AH345" i="7"/>
  <c r="AH346" i="7"/>
  <c r="AH347" i="7"/>
  <c r="AH348" i="7"/>
  <c r="AH349" i="7"/>
  <c r="AH350" i="7"/>
  <c r="AH351" i="7"/>
  <c r="AH352" i="7"/>
  <c r="AH353" i="7"/>
  <c r="AH354" i="7"/>
  <c r="AH355" i="7"/>
  <c r="AH356" i="7"/>
  <c r="AH357" i="7"/>
  <c r="AH358" i="7"/>
  <c r="AH359" i="7"/>
  <c r="AH360" i="7"/>
  <c r="AH361" i="7"/>
  <c r="AH362" i="7"/>
  <c r="AH363" i="7"/>
  <c r="AH364" i="7"/>
  <c r="AH365" i="7"/>
  <c r="AH366" i="7"/>
  <c r="AH367" i="7"/>
  <c r="AH368" i="7"/>
  <c r="AH369" i="7"/>
  <c r="AH370" i="7"/>
  <c r="AH371" i="7"/>
  <c r="AH372" i="7"/>
  <c r="AH373" i="7"/>
  <c r="AH374" i="7"/>
  <c r="AH375" i="7"/>
  <c r="AH376" i="7"/>
  <c r="AH377" i="7"/>
  <c r="AH378" i="7"/>
  <c r="AH379" i="7"/>
  <c r="AH380" i="7"/>
  <c r="AH381" i="7"/>
  <c r="AH382" i="7"/>
  <c r="AH383" i="7"/>
  <c r="AH384" i="7"/>
  <c r="AH385" i="7"/>
  <c r="AH386" i="7"/>
  <c r="AH387" i="7"/>
  <c r="AH388" i="7"/>
  <c r="AH389" i="7"/>
  <c r="AH390" i="7"/>
  <c r="AH391" i="7"/>
  <c r="AH392" i="7"/>
  <c r="AH393" i="7"/>
  <c r="AH394" i="7"/>
  <c r="AH395" i="7"/>
  <c r="AH396" i="7"/>
  <c r="AH397" i="7"/>
  <c r="AH398" i="7"/>
  <c r="AH399" i="7"/>
  <c r="AH400" i="7"/>
  <c r="AH401" i="7"/>
  <c r="AH402" i="7"/>
  <c r="AH403" i="7"/>
  <c r="AH404" i="7"/>
  <c r="AH405" i="7"/>
  <c r="AH406" i="7"/>
  <c r="AH407" i="7"/>
  <c r="AH408" i="7"/>
  <c r="AH409" i="7"/>
  <c r="AH410" i="7"/>
  <c r="AH411" i="7"/>
  <c r="AH412" i="7"/>
  <c r="AH413" i="7"/>
  <c r="AH414" i="7"/>
  <c r="AH415" i="7"/>
  <c r="AH416" i="7"/>
  <c r="AH417" i="7"/>
  <c r="AH418" i="7"/>
  <c r="AH419" i="7"/>
  <c r="AH420" i="7"/>
  <c r="AH421" i="7"/>
  <c r="AH422" i="7"/>
  <c r="AH423" i="7"/>
  <c r="AH424" i="7"/>
  <c r="AH425" i="7"/>
  <c r="AH426" i="7"/>
  <c r="AH427" i="7"/>
  <c r="AH428" i="7"/>
  <c r="AH429" i="7"/>
  <c r="AH430" i="7"/>
  <c r="AH431" i="7"/>
  <c r="AH432" i="7"/>
  <c r="AH433" i="7"/>
  <c r="AH434" i="7"/>
  <c r="AH435" i="7"/>
  <c r="AH436" i="7"/>
  <c r="AH437" i="7"/>
  <c r="AH438" i="7"/>
  <c r="AH439" i="7"/>
  <c r="AH440" i="7"/>
  <c r="AH441" i="7"/>
  <c r="AH442" i="7"/>
  <c r="AH443" i="7"/>
  <c r="AH444" i="7"/>
  <c r="AH445" i="7"/>
  <c r="AH446" i="7"/>
  <c r="AH447" i="7"/>
  <c r="AH448" i="7"/>
  <c r="AH449" i="7"/>
  <c r="AH450" i="7"/>
  <c r="AH451" i="7"/>
  <c r="AH452" i="7"/>
  <c r="AH453" i="7"/>
  <c r="AH454" i="7"/>
  <c r="AH455" i="7"/>
  <c r="AH456" i="7"/>
  <c r="AH457" i="7"/>
  <c r="AH458" i="7"/>
  <c r="AH459" i="7"/>
  <c r="AH460" i="7"/>
  <c r="AH461" i="7"/>
  <c r="AH462" i="7"/>
  <c r="AH463" i="7"/>
  <c r="AH464" i="7"/>
  <c r="AH465" i="7"/>
  <c r="AH466" i="7"/>
  <c r="AH467" i="7"/>
  <c r="AH468" i="7"/>
  <c r="AH469" i="7"/>
  <c r="AH470" i="7"/>
  <c r="AH471" i="7"/>
  <c r="AH472" i="7"/>
  <c r="AH473" i="7"/>
  <c r="AH474" i="7"/>
  <c r="AH475" i="7"/>
  <c r="AH476" i="7"/>
  <c r="AH477" i="7"/>
  <c r="AH478" i="7"/>
  <c r="AH479" i="7"/>
  <c r="AH480" i="7"/>
  <c r="AH481" i="7"/>
  <c r="AH482" i="7"/>
  <c r="AH483" i="7"/>
  <c r="AH484" i="7"/>
  <c r="AH485" i="7"/>
  <c r="AH486" i="7"/>
  <c r="AH487" i="7"/>
  <c r="AH488" i="7"/>
  <c r="AH489" i="7"/>
  <c r="AH490" i="7"/>
  <c r="AH491" i="7"/>
  <c r="AH492" i="7"/>
  <c r="AH493" i="7"/>
  <c r="AH494" i="7"/>
  <c r="AH495" i="7"/>
  <c r="AH496" i="7"/>
  <c r="AH497" i="7"/>
  <c r="AH498" i="7"/>
  <c r="AH499" i="7"/>
  <c r="AH500" i="7"/>
  <c r="AH501" i="7"/>
  <c r="AH502" i="7"/>
  <c r="AH503" i="7"/>
  <c r="AH504" i="7"/>
  <c r="AH505" i="7"/>
  <c r="AH506" i="7"/>
  <c r="AH507" i="7"/>
  <c r="AH508" i="7"/>
  <c r="AH509" i="7"/>
  <c r="AH510" i="7"/>
  <c r="AH511" i="7"/>
  <c r="AH512" i="7"/>
  <c r="AH513" i="7"/>
  <c r="AH514" i="7"/>
  <c r="AH515" i="7"/>
  <c r="AH516" i="7"/>
  <c r="AH517" i="7"/>
  <c r="AH518" i="7"/>
  <c r="AH519" i="7"/>
  <c r="AH520" i="7"/>
  <c r="AH521" i="7"/>
  <c r="AH522" i="7"/>
  <c r="AH523" i="7"/>
  <c r="AH524" i="7"/>
  <c r="AH525" i="7"/>
  <c r="AH526" i="7"/>
  <c r="AH527" i="7"/>
  <c r="AH528" i="7"/>
  <c r="AH529" i="7"/>
  <c r="AH530" i="7"/>
  <c r="AH531" i="7"/>
  <c r="AH532" i="7"/>
  <c r="AH533" i="7"/>
  <c r="AH534" i="7"/>
  <c r="AH535" i="7"/>
  <c r="AH536" i="7"/>
  <c r="AH537" i="7"/>
  <c r="AH538" i="7"/>
  <c r="AH539" i="7"/>
  <c r="AH540" i="7"/>
  <c r="AH541" i="7"/>
  <c r="AH542" i="7"/>
  <c r="AH543" i="7"/>
  <c r="AH544" i="7"/>
  <c r="AH545" i="7"/>
  <c r="AH546" i="7"/>
  <c r="AH547" i="7"/>
  <c r="AH548" i="7"/>
  <c r="AH549" i="7"/>
  <c r="AH550" i="7"/>
  <c r="AH551" i="7"/>
  <c r="AH552" i="7"/>
  <c r="AH553" i="7"/>
  <c r="AH554" i="7"/>
  <c r="AH555" i="7"/>
  <c r="AH556" i="7"/>
  <c r="AH557" i="7"/>
  <c r="AH558" i="7"/>
  <c r="AH559" i="7"/>
  <c r="AH560" i="7"/>
  <c r="AH561" i="7"/>
  <c r="AH562" i="7"/>
  <c r="AH563" i="7"/>
  <c r="AH564" i="7"/>
  <c r="AH565" i="7"/>
  <c r="AH566" i="7"/>
  <c r="AH567" i="7"/>
  <c r="AH568" i="7"/>
  <c r="AH569" i="7"/>
  <c r="AH570" i="7"/>
  <c r="AH571" i="7"/>
  <c r="AH572" i="7"/>
  <c r="AH573" i="7"/>
  <c r="AH574" i="7"/>
  <c r="AH575" i="7"/>
  <c r="AH576" i="7"/>
  <c r="AH577" i="7"/>
  <c r="AH578" i="7"/>
  <c r="AH579" i="7"/>
  <c r="AH580" i="7"/>
  <c r="AH581" i="7"/>
  <c r="AH582" i="7"/>
  <c r="AH583" i="7"/>
  <c r="AH584" i="7"/>
  <c r="AH585" i="7"/>
  <c r="AH586" i="7"/>
  <c r="AH587" i="7"/>
  <c r="AH588" i="7"/>
  <c r="AH589" i="7"/>
  <c r="AH590" i="7"/>
  <c r="AH591" i="7"/>
  <c r="AH592" i="7"/>
  <c r="AH593" i="7"/>
  <c r="AH594" i="7"/>
  <c r="AH595" i="7"/>
  <c r="AH596" i="7"/>
  <c r="AH597" i="7"/>
  <c r="AH598" i="7"/>
  <c r="AH599" i="7"/>
  <c r="AH600" i="7"/>
  <c r="AH601" i="7"/>
  <c r="AH602" i="7"/>
  <c r="AH603" i="7"/>
  <c r="AH604" i="7"/>
  <c r="AH605" i="7"/>
  <c r="AH606" i="7"/>
  <c r="AH607" i="7"/>
  <c r="AH608" i="7"/>
  <c r="AH609" i="7"/>
  <c r="AH610" i="7"/>
  <c r="AH611" i="7"/>
  <c r="AH612" i="7"/>
  <c r="AH613" i="7"/>
  <c r="AH614" i="7"/>
  <c r="AH615" i="7"/>
  <c r="AH616" i="7"/>
  <c r="AH617" i="7"/>
  <c r="AH618" i="7"/>
  <c r="AH619" i="7"/>
  <c r="AH620" i="7"/>
  <c r="AH621" i="7"/>
  <c r="AH622" i="7"/>
  <c r="AH623" i="7"/>
  <c r="AH624" i="7"/>
  <c r="AH625" i="7"/>
  <c r="AH626" i="7"/>
  <c r="AH627" i="7"/>
  <c r="AH628" i="7"/>
  <c r="AH629" i="7"/>
  <c r="AH630" i="7"/>
  <c r="AH631" i="7"/>
  <c r="AH632" i="7"/>
  <c r="AH633" i="7"/>
  <c r="AH634" i="7"/>
  <c r="AH635" i="7"/>
  <c r="AH636" i="7"/>
  <c r="AH637" i="7"/>
  <c r="AH638" i="7"/>
  <c r="AH639" i="7"/>
  <c r="AH640" i="7"/>
  <c r="AH641" i="7"/>
  <c r="AH642" i="7"/>
  <c r="AH643" i="7"/>
  <c r="AH644" i="7"/>
  <c r="AH645" i="7"/>
  <c r="AH646" i="7"/>
  <c r="AH647" i="7"/>
  <c r="AH648" i="7"/>
  <c r="AH649" i="7"/>
  <c r="AH650" i="7"/>
  <c r="AH651" i="7"/>
  <c r="AH652" i="7"/>
  <c r="AH653" i="7"/>
  <c r="AH654" i="7"/>
  <c r="AH655" i="7"/>
  <c r="AH656" i="7"/>
  <c r="AH657" i="7"/>
  <c r="AH658" i="7"/>
  <c r="AH659" i="7"/>
  <c r="AH660" i="7"/>
  <c r="AH661" i="7"/>
  <c r="AH662" i="7"/>
  <c r="AH663" i="7"/>
  <c r="AH664" i="7"/>
  <c r="AH665" i="7"/>
  <c r="AH666" i="7"/>
  <c r="AH667" i="7"/>
  <c r="AH668" i="7"/>
  <c r="AH669" i="7"/>
  <c r="AH670" i="7"/>
  <c r="AH671" i="7"/>
  <c r="AH672" i="7"/>
  <c r="AH673" i="7"/>
  <c r="AH674" i="7"/>
  <c r="AH675" i="7"/>
  <c r="AH676" i="7"/>
  <c r="AH677" i="7"/>
  <c r="AH678" i="7"/>
  <c r="AH679" i="7"/>
  <c r="AH680" i="7"/>
  <c r="AH681" i="7"/>
  <c r="AH682" i="7"/>
  <c r="AH683" i="7"/>
  <c r="AH684" i="7"/>
  <c r="AH685" i="7"/>
  <c r="AH686" i="7"/>
  <c r="AH687" i="7"/>
  <c r="AH688" i="7"/>
  <c r="AH689" i="7"/>
  <c r="AH690" i="7"/>
  <c r="AH691" i="7"/>
  <c r="AH692" i="7"/>
  <c r="AH693" i="7"/>
  <c r="AH694" i="7"/>
  <c r="AH695" i="7"/>
  <c r="AH696" i="7"/>
  <c r="AH697" i="7"/>
  <c r="AH698" i="7"/>
  <c r="AH699" i="7"/>
  <c r="AH700" i="7"/>
  <c r="AH701" i="7"/>
  <c r="AH702" i="7"/>
  <c r="AH703" i="7"/>
  <c r="AH704" i="7"/>
  <c r="AH705" i="7"/>
  <c r="AH706" i="7"/>
  <c r="AH707" i="7"/>
  <c r="AH708" i="7"/>
  <c r="AH709" i="7"/>
  <c r="AH710" i="7"/>
  <c r="AH711" i="7"/>
  <c r="AH712" i="7"/>
  <c r="AH713" i="7"/>
  <c r="AH714" i="7"/>
  <c r="AH715" i="7"/>
  <c r="AH716" i="7"/>
  <c r="AH717" i="7"/>
  <c r="AH718" i="7"/>
  <c r="AH719" i="7"/>
  <c r="AH720" i="7"/>
  <c r="AH721" i="7"/>
  <c r="AH722" i="7"/>
  <c r="AH723" i="7"/>
  <c r="AH724" i="7"/>
  <c r="AH725" i="7"/>
  <c r="AH726" i="7"/>
  <c r="AH727" i="7"/>
  <c r="AH728" i="7"/>
  <c r="AH729" i="7"/>
  <c r="AH730" i="7"/>
  <c r="AH731" i="7"/>
  <c r="AH732" i="7"/>
  <c r="AH733" i="7"/>
  <c r="AH734" i="7"/>
  <c r="AH735" i="7"/>
  <c r="AH736" i="7"/>
  <c r="AH737" i="7"/>
  <c r="AH738" i="7"/>
  <c r="AH739" i="7"/>
  <c r="AH740" i="7"/>
  <c r="AH741" i="7"/>
  <c r="AH742" i="7"/>
  <c r="AH743" i="7"/>
  <c r="AH744" i="7"/>
  <c r="AH745" i="7"/>
  <c r="AH746" i="7"/>
  <c r="AH747" i="7"/>
  <c r="AH748" i="7"/>
  <c r="AH749" i="7"/>
  <c r="AH750" i="7"/>
  <c r="AH751" i="7"/>
  <c r="AH752" i="7"/>
  <c r="AH753" i="7"/>
  <c r="AH754" i="7"/>
  <c r="AH755" i="7"/>
  <c r="AH756" i="7"/>
  <c r="AH757" i="7"/>
  <c r="AH758" i="7"/>
  <c r="AH759" i="7"/>
  <c r="AH760" i="7"/>
  <c r="AH761" i="7"/>
  <c r="AH762" i="7"/>
  <c r="AH763" i="7"/>
  <c r="AH764" i="7"/>
  <c r="AH765" i="7"/>
  <c r="AH766" i="7"/>
  <c r="AH767" i="7"/>
  <c r="AH768" i="7"/>
  <c r="AH769" i="7"/>
  <c r="AH770" i="7"/>
  <c r="AH771" i="7"/>
  <c r="AH772" i="7"/>
  <c r="AH773" i="7"/>
  <c r="AH774" i="7"/>
  <c r="AH775" i="7"/>
  <c r="AH776" i="7"/>
  <c r="AH777" i="7"/>
  <c r="AH778" i="7"/>
  <c r="AH779" i="7"/>
  <c r="AH780" i="7"/>
  <c r="AH781" i="7"/>
  <c r="AH782" i="7"/>
  <c r="AH783" i="7"/>
  <c r="AH784" i="7"/>
  <c r="AH785" i="7"/>
  <c r="AH786" i="7"/>
  <c r="AH787" i="7"/>
  <c r="AH788" i="7"/>
  <c r="AH789" i="7"/>
  <c r="AH790" i="7"/>
  <c r="AH791" i="7"/>
  <c r="AH792" i="7"/>
  <c r="AH793" i="7"/>
  <c r="AH794" i="7"/>
  <c r="AH795" i="7"/>
  <c r="AH796" i="7"/>
  <c r="AH797" i="7"/>
  <c r="AH798" i="7"/>
  <c r="AH799" i="7"/>
  <c r="AH800" i="7"/>
  <c r="AH801" i="7"/>
  <c r="AH802" i="7"/>
  <c r="AH803" i="7"/>
  <c r="AH804" i="7"/>
  <c r="AH805" i="7"/>
  <c r="AH806" i="7"/>
  <c r="AH807" i="7"/>
  <c r="AH808" i="7"/>
  <c r="AH809" i="7"/>
  <c r="AH810" i="7"/>
  <c r="AH811" i="7"/>
  <c r="AH812" i="7"/>
  <c r="AH813" i="7"/>
  <c r="AH814" i="7"/>
  <c r="AH815" i="7"/>
  <c r="AH816" i="7"/>
  <c r="AH817" i="7"/>
  <c r="AH818" i="7"/>
  <c r="AH819" i="7"/>
  <c r="AH820" i="7"/>
  <c r="AH821" i="7"/>
  <c r="AH822" i="7"/>
  <c r="AH823" i="7"/>
  <c r="AH824" i="7"/>
  <c r="AH825" i="7"/>
  <c r="AH826" i="7"/>
  <c r="AH827" i="7"/>
  <c r="AH828" i="7"/>
  <c r="AH829" i="7"/>
  <c r="AH830" i="7"/>
  <c r="AH831" i="7"/>
  <c r="AH832" i="7"/>
  <c r="AH833" i="7"/>
  <c r="AH834" i="7"/>
  <c r="AH835" i="7"/>
  <c r="AH836" i="7"/>
  <c r="AH837" i="7"/>
  <c r="AH838" i="7"/>
  <c r="AH839" i="7"/>
  <c r="AH840" i="7"/>
  <c r="AH841" i="7"/>
  <c r="AH842" i="7"/>
  <c r="AH843" i="7"/>
  <c r="AH844" i="7"/>
  <c r="AH845" i="7"/>
  <c r="AH846" i="7"/>
  <c r="AH847" i="7"/>
  <c r="AH848" i="7"/>
  <c r="AH849" i="7"/>
  <c r="AH850" i="7"/>
  <c r="AH851" i="7"/>
  <c r="AH852" i="7"/>
  <c r="AH853" i="7"/>
  <c r="AH854" i="7"/>
  <c r="AH855" i="7"/>
  <c r="AH856" i="7"/>
  <c r="AH857" i="7"/>
  <c r="AH858" i="7"/>
  <c r="AH859" i="7"/>
  <c r="AH860" i="7"/>
  <c r="AH861" i="7"/>
  <c r="AH862" i="7"/>
  <c r="AH863" i="7"/>
  <c r="AH864" i="7"/>
  <c r="AH865" i="7"/>
  <c r="AH866" i="7"/>
  <c r="AH867" i="7"/>
  <c r="AH868" i="7"/>
  <c r="AH869" i="7"/>
  <c r="AH870" i="7"/>
  <c r="AH871" i="7"/>
  <c r="AH872" i="7"/>
  <c r="AH873" i="7"/>
  <c r="AH874" i="7"/>
  <c r="AH875" i="7"/>
  <c r="AH876" i="7"/>
  <c r="AH877" i="7"/>
  <c r="AH878" i="7"/>
  <c r="AH879" i="7"/>
  <c r="AH880" i="7"/>
  <c r="AH881" i="7"/>
  <c r="AH882" i="7"/>
  <c r="AH883" i="7"/>
  <c r="AH884" i="7"/>
  <c r="AH885" i="7"/>
  <c r="AH886" i="7"/>
  <c r="AH887" i="7"/>
  <c r="AH888" i="7"/>
  <c r="AH889" i="7"/>
  <c r="AH890" i="7"/>
  <c r="AH891" i="7"/>
  <c r="AH892" i="7"/>
  <c r="AH893" i="7"/>
  <c r="AH894" i="7"/>
  <c r="AH895" i="7"/>
  <c r="AH896" i="7"/>
  <c r="AH897" i="7"/>
  <c r="AH898" i="7"/>
  <c r="AH899" i="7"/>
  <c r="AH900" i="7"/>
  <c r="AH901" i="7"/>
  <c r="AH902" i="7"/>
  <c r="AH903" i="7"/>
  <c r="AH904" i="7"/>
  <c r="AH905" i="7"/>
  <c r="AH906" i="7"/>
  <c r="AH907" i="7"/>
  <c r="AH908" i="7"/>
  <c r="AH909" i="7"/>
  <c r="AH910" i="7"/>
  <c r="AH911" i="7"/>
  <c r="AH912" i="7"/>
  <c r="AH913" i="7"/>
  <c r="AH914" i="7"/>
  <c r="AH915" i="7"/>
  <c r="AH916" i="7"/>
  <c r="AH917" i="7"/>
  <c r="AH918" i="7"/>
  <c r="AH919" i="7"/>
  <c r="AH920" i="7"/>
  <c r="AH921" i="7"/>
  <c r="AH922" i="7"/>
  <c r="AH923" i="7"/>
  <c r="AH924" i="7"/>
  <c r="AH925" i="7"/>
  <c r="AH926" i="7"/>
  <c r="AH927" i="7"/>
  <c r="AH928" i="7"/>
  <c r="AH929" i="7"/>
  <c r="AH930" i="7"/>
  <c r="AH931" i="7"/>
  <c r="AH932" i="7"/>
  <c r="AH933" i="7"/>
  <c r="AH934" i="7"/>
  <c r="AH935" i="7"/>
  <c r="AH936" i="7"/>
  <c r="AH937" i="7"/>
  <c r="AH938" i="7"/>
  <c r="AH939" i="7"/>
  <c r="AH940" i="7"/>
  <c r="AH941" i="7"/>
  <c r="AH942" i="7"/>
  <c r="AH943" i="7"/>
  <c r="AH944" i="7"/>
  <c r="AH945" i="7"/>
  <c r="AH946" i="7"/>
  <c r="AH947" i="7"/>
  <c r="AH948" i="7"/>
  <c r="AH949" i="7"/>
  <c r="AH950" i="7"/>
  <c r="AH951" i="7"/>
  <c r="AH952" i="7"/>
  <c r="AH953" i="7"/>
  <c r="AH954" i="7"/>
  <c r="AH955" i="7"/>
  <c r="AH956" i="7"/>
  <c r="AH957" i="7"/>
  <c r="AH958" i="7"/>
  <c r="AH959" i="7"/>
  <c r="AH960" i="7"/>
  <c r="AH961" i="7"/>
  <c r="AH962" i="7"/>
  <c r="AH963" i="7"/>
  <c r="AH964" i="7"/>
  <c r="AH965" i="7"/>
  <c r="AH966" i="7"/>
  <c r="AH967" i="7"/>
  <c r="AH968" i="7"/>
  <c r="AH969" i="7"/>
  <c r="AH970" i="7"/>
  <c r="AH971" i="7"/>
  <c r="AH972" i="7"/>
  <c r="AH973" i="7"/>
  <c r="AH974" i="7"/>
  <c r="AH975" i="7"/>
  <c r="AH976" i="7"/>
  <c r="AH977" i="7"/>
  <c r="AH978" i="7"/>
  <c r="AH979" i="7"/>
  <c r="AH980" i="7"/>
  <c r="AH981" i="7"/>
  <c r="AH982" i="7"/>
  <c r="AH983" i="7"/>
  <c r="AH984" i="7"/>
  <c r="AH985" i="7"/>
  <c r="AH986" i="7"/>
  <c r="AH987" i="7"/>
  <c r="AH988" i="7"/>
  <c r="AH989" i="7"/>
  <c r="AH990" i="7"/>
  <c r="AH991" i="7"/>
  <c r="AH992" i="7"/>
  <c r="AH993" i="7"/>
  <c r="AH994" i="7"/>
  <c r="AH995" i="7"/>
  <c r="AH996" i="7"/>
  <c r="AH997" i="7"/>
  <c r="AH998" i="7"/>
  <c r="AH999" i="7"/>
  <c r="AH1000" i="7"/>
  <c r="AH1001" i="7"/>
  <c r="AH1002" i="7"/>
  <c r="AH1003" i="7"/>
  <c r="AH1004" i="7"/>
  <c r="AH1005" i="7"/>
  <c r="AH1006" i="7"/>
  <c r="AH1007" i="7"/>
  <c r="AH1008" i="7"/>
  <c r="AH1009" i="7"/>
  <c r="AH1010" i="7"/>
  <c r="AH1011" i="7"/>
  <c r="AH1012" i="7"/>
  <c r="AH1013" i="7"/>
  <c r="AH1014" i="7"/>
  <c r="AH1015" i="7"/>
  <c r="AH1016" i="7"/>
  <c r="AH1017" i="7"/>
  <c r="AH1018" i="7"/>
  <c r="AH1019" i="7"/>
  <c r="AH1020" i="7"/>
  <c r="AH1021" i="7"/>
  <c r="AH1022" i="7"/>
  <c r="AH1023" i="7"/>
  <c r="AH1024" i="7"/>
  <c r="AH1025" i="7"/>
  <c r="AH1026" i="7"/>
  <c r="AH1027" i="7"/>
  <c r="AH1028" i="7"/>
  <c r="AH1029" i="7"/>
  <c r="AH1030" i="7"/>
  <c r="AH1031" i="7"/>
  <c r="AH1032" i="7"/>
  <c r="AH1033" i="7"/>
  <c r="AH1034" i="7"/>
  <c r="AH1035" i="7"/>
  <c r="AH1036" i="7"/>
  <c r="AH1037" i="7"/>
  <c r="AH1038" i="7"/>
  <c r="AH1039" i="7"/>
  <c r="AH1040" i="7"/>
  <c r="AH1041" i="7"/>
  <c r="AH1042" i="7"/>
  <c r="AH1043" i="7"/>
  <c r="AH1044" i="7"/>
  <c r="AH1045" i="7"/>
  <c r="AH1046" i="7"/>
  <c r="AH1047" i="7"/>
  <c r="AH1048" i="7"/>
  <c r="AH1049" i="7"/>
  <c r="AH1050" i="7"/>
  <c r="AH1051" i="7"/>
  <c r="AH1052" i="7"/>
  <c r="AH1053" i="7"/>
  <c r="AH1054" i="7"/>
  <c r="AH1055" i="7"/>
  <c r="AH1056" i="7"/>
  <c r="AH1057" i="7"/>
  <c r="AH1058" i="7"/>
  <c r="AH1059" i="7"/>
  <c r="AH1060" i="7"/>
  <c r="AH1061" i="7"/>
  <c r="AH1062" i="7"/>
  <c r="AH1063" i="7"/>
  <c r="AH1064" i="7"/>
  <c r="AH1065" i="7"/>
  <c r="AH1066" i="7"/>
  <c r="AH1067" i="7"/>
  <c r="AH1068" i="7"/>
  <c r="AH1069" i="7"/>
  <c r="AH1070" i="7"/>
  <c r="AH1071" i="7"/>
  <c r="AH1072" i="7"/>
  <c r="AH1073" i="7"/>
  <c r="AH1074" i="7"/>
  <c r="AH1075" i="7"/>
  <c r="AH1076" i="7"/>
  <c r="AH1077" i="7"/>
  <c r="AH1078" i="7"/>
  <c r="AH1079" i="7"/>
  <c r="AH1080" i="7"/>
  <c r="AH1081" i="7"/>
  <c r="AH1082" i="7"/>
  <c r="AH1083" i="7"/>
  <c r="AH1084" i="7"/>
  <c r="AH1085" i="7"/>
  <c r="AH1086" i="7"/>
  <c r="AH1087" i="7"/>
  <c r="AH1088" i="7"/>
  <c r="AH1089" i="7"/>
  <c r="AH1090" i="7"/>
  <c r="AH1091" i="7"/>
  <c r="AH1092" i="7"/>
  <c r="AH1093" i="7"/>
  <c r="AH1094" i="7"/>
  <c r="AH1095" i="7"/>
  <c r="AH1096" i="7"/>
  <c r="AH1097" i="7"/>
  <c r="AH1098" i="7"/>
  <c r="AH1099" i="7"/>
  <c r="AH1100" i="7"/>
  <c r="AH1101" i="7"/>
  <c r="AH1102" i="7"/>
  <c r="AH1103" i="7"/>
  <c r="AH1104" i="7"/>
  <c r="AH1105" i="7"/>
  <c r="AH1106" i="7"/>
  <c r="AH1107" i="7"/>
  <c r="AH1108" i="7"/>
  <c r="AH1109" i="7"/>
  <c r="AH1110" i="7"/>
  <c r="AH1111" i="7"/>
  <c r="AH1112" i="7"/>
  <c r="AH1113" i="7"/>
  <c r="AH1114" i="7"/>
  <c r="AH1115" i="7"/>
  <c r="AH1116" i="7"/>
  <c r="AH1117" i="7"/>
  <c r="AH1118" i="7"/>
  <c r="AH1119" i="7"/>
  <c r="AH1120" i="7"/>
  <c r="AH1121" i="7"/>
  <c r="AH1122" i="7"/>
  <c r="AH1123" i="7"/>
  <c r="AH1124" i="7"/>
  <c r="AH1125" i="7"/>
  <c r="AH1126" i="7"/>
  <c r="AH1127" i="7"/>
  <c r="AH1128" i="7"/>
  <c r="AH1129" i="7"/>
  <c r="AH1130" i="7"/>
  <c r="AH1131" i="7"/>
  <c r="AH1132" i="7"/>
  <c r="AH1133" i="7"/>
  <c r="AH1134" i="7"/>
  <c r="AH1135" i="7"/>
  <c r="AH1136" i="7"/>
  <c r="AH1137" i="7"/>
  <c r="AH1138" i="7"/>
  <c r="AH1139" i="7"/>
  <c r="AH1140" i="7"/>
  <c r="AH1141" i="7"/>
  <c r="AH1142" i="7"/>
  <c r="AH1143" i="7"/>
  <c r="AH1144" i="7"/>
  <c r="AH1145" i="7"/>
  <c r="AH1146" i="7"/>
  <c r="AH1147" i="7"/>
  <c r="AH1148" i="7"/>
  <c r="AH1149" i="7"/>
  <c r="AH1150" i="7"/>
  <c r="AH1151" i="7"/>
  <c r="AH1152" i="7"/>
  <c r="AH1153" i="7"/>
  <c r="AH1154" i="7"/>
  <c r="AH1155" i="7"/>
  <c r="AH1156" i="7"/>
  <c r="AH1157" i="7"/>
  <c r="AH1158" i="7"/>
  <c r="AH1159" i="7"/>
  <c r="AH1160" i="7"/>
  <c r="AH1161" i="7"/>
  <c r="AH1162" i="7"/>
  <c r="AH1163" i="7"/>
  <c r="AH1164" i="7"/>
  <c r="AH1165" i="7"/>
  <c r="AH1166" i="7"/>
  <c r="AH1167" i="7"/>
  <c r="AH1168" i="7"/>
  <c r="AH1169" i="7"/>
  <c r="AH1170" i="7"/>
  <c r="AH1171" i="7"/>
  <c r="AH1172" i="7"/>
  <c r="AH1173" i="7"/>
  <c r="AH1174" i="7"/>
  <c r="AH1175" i="7"/>
  <c r="AH1176" i="7"/>
  <c r="AH1177" i="7"/>
  <c r="AH1178" i="7"/>
  <c r="AH1179" i="7"/>
  <c r="AH1180" i="7"/>
  <c r="AH1181" i="7"/>
  <c r="AH1182" i="7"/>
  <c r="AH1183" i="7"/>
  <c r="AH1184" i="7"/>
  <c r="AH1185" i="7"/>
  <c r="AH1186" i="7"/>
  <c r="AH1187" i="7"/>
  <c r="AH1188" i="7"/>
  <c r="AH1189" i="7"/>
  <c r="AH1190" i="7"/>
  <c r="AH1191" i="7"/>
  <c r="AH1192" i="7"/>
  <c r="AH1193" i="7"/>
  <c r="AH1194" i="7"/>
  <c r="AH1195" i="7"/>
  <c r="AH1196" i="7"/>
  <c r="AH1197" i="7"/>
  <c r="AH1198" i="7"/>
  <c r="AH1199" i="7"/>
  <c r="AH1200" i="7"/>
  <c r="AH1201" i="7"/>
  <c r="AH1202" i="7"/>
  <c r="AH1203" i="7"/>
  <c r="AH1204" i="7"/>
  <c r="AH1205" i="7"/>
  <c r="AH1206" i="7"/>
  <c r="AH1207" i="7"/>
  <c r="AH1208" i="7"/>
  <c r="AH1209" i="7"/>
  <c r="AH1210" i="7"/>
  <c r="AH1211" i="7"/>
  <c r="AH1212" i="7"/>
  <c r="AH1213" i="7"/>
  <c r="AH1214" i="7"/>
  <c r="AH1215" i="7"/>
  <c r="AH1216" i="7"/>
  <c r="AH1217" i="7"/>
  <c r="AH1218" i="7"/>
  <c r="AH1219" i="7"/>
  <c r="AH1220" i="7"/>
  <c r="AH1221" i="7"/>
  <c r="AH1222" i="7"/>
  <c r="AH1223" i="7"/>
  <c r="AH1224" i="7"/>
  <c r="AH1225" i="7"/>
  <c r="AH1226" i="7"/>
  <c r="AH1227" i="7"/>
  <c r="AH1228" i="7"/>
  <c r="AH1229" i="7"/>
  <c r="AH1230" i="7"/>
  <c r="AH1231" i="7"/>
  <c r="AH1232" i="7"/>
  <c r="AH1233" i="7"/>
  <c r="AH1234" i="7"/>
  <c r="AH1235" i="7"/>
  <c r="AH1236" i="7"/>
  <c r="AH1237" i="7"/>
  <c r="AH1238" i="7"/>
  <c r="AH1239" i="7"/>
  <c r="AH1240" i="7"/>
  <c r="AH1241" i="7"/>
  <c r="AH1242" i="7"/>
  <c r="AH1243" i="7"/>
  <c r="AH1244" i="7"/>
  <c r="AH1245" i="7"/>
  <c r="AH1246" i="7"/>
  <c r="AH1247" i="7"/>
  <c r="AH1248" i="7"/>
  <c r="AH1249" i="7"/>
  <c r="AH1250" i="7"/>
  <c r="AH1251" i="7"/>
  <c r="AH1252" i="7"/>
  <c r="AH1253" i="7"/>
  <c r="AH1254" i="7"/>
  <c r="AH1255" i="7"/>
  <c r="AH1256" i="7"/>
  <c r="AH1257" i="7"/>
  <c r="AH1258" i="7"/>
  <c r="AH1259" i="7"/>
  <c r="AH1260" i="7"/>
  <c r="AH1261" i="7"/>
  <c r="AH1262" i="7"/>
  <c r="AH1263" i="7"/>
  <c r="AH1264" i="7"/>
  <c r="AH1265" i="7"/>
  <c r="AH1266" i="7"/>
  <c r="AH1267" i="7"/>
  <c r="AH1268" i="7"/>
  <c r="AH1269" i="7"/>
  <c r="AH1270" i="7"/>
  <c r="AH1271" i="7"/>
  <c r="AH1272" i="7"/>
  <c r="AH1273" i="7"/>
  <c r="AH1274" i="7"/>
  <c r="AH1275" i="7"/>
  <c r="AH1276" i="7"/>
  <c r="AH1277" i="7"/>
  <c r="AH1278" i="7"/>
  <c r="AH1279" i="7"/>
  <c r="AH1280" i="7"/>
  <c r="AH1281" i="7"/>
  <c r="AH1282" i="7"/>
  <c r="AH1283" i="7"/>
  <c r="AH1284" i="7"/>
  <c r="AH1285" i="7"/>
  <c r="AH1286" i="7"/>
  <c r="AH1287" i="7"/>
  <c r="AH1288" i="7"/>
  <c r="AH1289" i="7"/>
  <c r="AH1290" i="7"/>
  <c r="AH1291" i="7"/>
  <c r="AH1292" i="7"/>
  <c r="AH1293" i="7"/>
  <c r="AH1294" i="7"/>
  <c r="AH1295" i="7"/>
  <c r="AH1296" i="7"/>
  <c r="AH1297" i="7"/>
  <c r="AH1298" i="7"/>
  <c r="AH1299" i="7"/>
  <c r="AH1300" i="7"/>
  <c r="AH1301" i="7"/>
  <c r="AH1302" i="7"/>
  <c r="AH1303" i="7"/>
  <c r="AH1304" i="7"/>
  <c r="AH1305" i="7"/>
  <c r="AH1306" i="7"/>
  <c r="AH1307" i="7"/>
  <c r="AH1308" i="7"/>
  <c r="AH1309" i="7"/>
  <c r="AH1310" i="7"/>
  <c r="AH1311" i="7"/>
  <c r="AH1312" i="7"/>
  <c r="AH1313" i="7"/>
  <c r="AH1314" i="7"/>
  <c r="AH1315" i="7"/>
  <c r="AH1316" i="7"/>
  <c r="AH1317" i="7"/>
  <c r="AH1318" i="7"/>
  <c r="AH1319" i="7"/>
  <c r="AH1320" i="7"/>
  <c r="AH1321" i="7"/>
  <c r="AH1322" i="7"/>
  <c r="AH1323" i="7"/>
  <c r="AH1324" i="7"/>
  <c r="AH1325" i="7"/>
  <c r="AH1326" i="7"/>
  <c r="AH1327" i="7"/>
  <c r="AH1328" i="7"/>
  <c r="AH1329" i="7"/>
  <c r="AH1330" i="7"/>
  <c r="AH1331" i="7"/>
  <c r="AH1332" i="7"/>
  <c r="AH1333" i="7"/>
  <c r="AH1334" i="7"/>
  <c r="AH1335" i="7"/>
  <c r="AH1336" i="7"/>
  <c r="AH1337" i="7"/>
  <c r="AH1338" i="7"/>
  <c r="AH1339" i="7"/>
  <c r="AH1340" i="7"/>
  <c r="AH1341" i="7"/>
  <c r="AH1342" i="7"/>
  <c r="AH1343" i="7"/>
  <c r="AH1344" i="7"/>
  <c r="AH1345" i="7"/>
  <c r="AH1346" i="7"/>
  <c r="AH1347" i="7"/>
  <c r="AH1348" i="7"/>
  <c r="AH1349" i="7"/>
  <c r="AH1350" i="7"/>
  <c r="AH1351" i="7"/>
  <c r="AH1352" i="7"/>
  <c r="AH1353" i="7"/>
  <c r="AH1354" i="7"/>
  <c r="AH1355" i="7"/>
  <c r="AH1356" i="7"/>
  <c r="AH1357" i="7"/>
  <c r="AH1358" i="7"/>
  <c r="AH1359" i="7"/>
  <c r="AH1360" i="7"/>
  <c r="AH1361" i="7"/>
  <c r="AH1362" i="7"/>
  <c r="AH1363" i="7"/>
  <c r="AH1364" i="7"/>
  <c r="AH1365" i="7"/>
  <c r="AH1366" i="7"/>
  <c r="AH1367" i="7"/>
  <c r="AH1368" i="7"/>
  <c r="AH1369" i="7"/>
  <c r="AH1370" i="7"/>
  <c r="AH1371" i="7"/>
  <c r="AH1372" i="7"/>
  <c r="AH1373" i="7"/>
  <c r="AH1374" i="7"/>
  <c r="AH1375" i="7"/>
  <c r="AH1376" i="7"/>
  <c r="AH1377" i="7"/>
  <c r="AH1378" i="7"/>
  <c r="AH1379" i="7"/>
  <c r="AH1380" i="7"/>
  <c r="AH1381" i="7"/>
  <c r="AH1382" i="7"/>
  <c r="AH1383" i="7"/>
  <c r="AH1384" i="7"/>
  <c r="AH1385" i="7"/>
  <c r="AH1386" i="7"/>
  <c r="AH1387" i="7"/>
  <c r="AH1388" i="7"/>
  <c r="AH1389" i="7"/>
  <c r="AG3" i="7"/>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104" i="7"/>
  <c r="AG105" i="7"/>
  <c r="AG106" i="7"/>
  <c r="AG107" i="7"/>
  <c r="AG108" i="7"/>
  <c r="AG109" i="7"/>
  <c r="AG110" i="7"/>
  <c r="AG111" i="7"/>
  <c r="AG112" i="7"/>
  <c r="AG113" i="7"/>
  <c r="AG114" i="7"/>
  <c r="AG115" i="7"/>
  <c r="AG116" i="7"/>
  <c r="AG117" i="7"/>
  <c r="AG118" i="7"/>
  <c r="AG119" i="7"/>
  <c r="AG120" i="7"/>
  <c r="AG121" i="7"/>
  <c r="AG122" i="7"/>
  <c r="AG123" i="7"/>
  <c r="AG124" i="7"/>
  <c r="AG125" i="7"/>
  <c r="AG126" i="7"/>
  <c r="AG127" i="7"/>
  <c r="AG128" i="7"/>
  <c r="AG129" i="7"/>
  <c r="AG130" i="7"/>
  <c r="AG131" i="7"/>
  <c r="AG132" i="7"/>
  <c r="AG133" i="7"/>
  <c r="AG134" i="7"/>
  <c r="AG135" i="7"/>
  <c r="AG136" i="7"/>
  <c r="AG137" i="7"/>
  <c r="AG138" i="7"/>
  <c r="AG139" i="7"/>
  <c r="AG140" i="7"/>
  <c r="AG141" i="7"/>
  <c r="AG142" i="7"/>
  <c r="AG143" i="7"/>
  <c r="AG144" i="7"/>
  <c r="AG145" i="7"/>
  <c r="AG146" i="7"/>
  <c r="AG147" i="7"/>
  <c r="AG148" i="7"/>
  <c r="AG149"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92" i="7"/>
  <c r="AG193" i="7"/>
  <c r="AG194" i="7"/>
  <c r="AG195" i="7"/>
  <c r="AG196" i="7"/>
  <c r="AG197" i="7"/>
  <c r="AG198" i="7"/>
  <c r="AG199" i="7"/>
  <c r="AG200" i="7"/>
  <c r="AG201" i="7"/>
  <c r="AG202" i="7"/>
  <c r="AG203" i="7"/>
  <c r="AG204" i="7"/>
  <c r="AG205" i="7"/>
  <c r="AG206" i="7"/>
  <c r="AG207" i="7"/>
  <c r="AG208" i="7"/>
  <c r="AG209" i="7"/>
  <c r="AG210" i="7"/>
  <c r="AG211" i="7"/>
  <c r="AG212" i="7"/>
  <c r="AG213" i="7"/>
  <c r="AG214" i="7"/>
  <c r="AG215" i="7"/>
  <c r="AG216" i="7"/>
  <c r="AG217" i="7"/>
  <c r="AG218" i="7"/>
  <c r="AG219" i="7"/>
  <c r="AG220" i="7"/>
  <c r="AG221" i="7"/>
  <c r="AG222" i="7"/>
  <c r="AG223" i="7"/>
  <c r="AG224" i="7"/>
  <c r="AG225" i="7"/>
  <c r="AG226" i="7"/>
  <c r="AG227" i="7"/>
  <c r="AG228" i="7"/>
  <c r="AG229" i="7"/>
  <c r="AG230" i="7"/>
  <c r="AG231" i="7"/>
  <c r="AG232" i="7"/>
  <c r="AG233" i="7"/>
  <c r="AG234" i="7"/>
  <c r="AG235" i="7"/>
  <c r="AG236" i="7"/>
  <c r="AG237" i="7"/>
  <c r="AG238" i="7"/>
  <c r="AG239" i="7"/>
  <c r="AG240" i="7"/>
  <c r="AG241" i="7"/>
  <c r="AG242" i="7"/>
  <c r="AG243" i="7"/>
  <c r="AG244" i="7"/>
  <c r="AG245" i="7"/>
  <c r="AG246" i="7"/>
  <c r="AG247" i="7"/>
  <c r="AG248" i="7"/>
  <c r="AG249" i="7"/>
  <c r="AG250" i="7"/>
  <c r="AG251" i="7"/>
  <c r="AG252" i="7"/>
  <c r="AG253" i="7"/>
  <c r="AG254" i="7"/>
  <c r="AG255" i="7"/>
  <c r="AG256" i="7"/>
  <c r="AG257" i="7"/>
  <c r="AG258" i="7"/>
  <c r="AG259" i="7"/>
  <c r="AG260" i="7"/>
  <c r="AG261" i="7"/>
  <c r="AG262" i="7"/>
  <c r="AG263" i="7"/>
  <c r="AG264" i="7"/>
  <c r="AG265" i="7"/>
  <c r="AG266" i="7"/>
  <c r="AG267" i="7"/>
  <c r="AG268" i="7"/>
  <c r="AG269" i="7"/>
  <c r="AG270" i="7"/>
  <c r="AG271" i="7"/>
  <c r="AG272" i="7"/>
  <c r="AG273" i="7"/>
  <c r="AG274" i="7"/>
  <c r="AG275" i="7"/>
  <c r="AG276" i="7"/>
  <c r="AG277" i="7"/>
  <c r="AG278" i="7"/>
  <c r="AG279" i="7"/>
  <c r="AG280" i="7"/>
  <c r="AG281" i="7"/>
  <c r="AG282" i="7"/>
  <c r="AG283" i="7"/>
  <c r="AG284" i="7"/>
  <c r="AG285" i="7"/>
  <c r="AG286" i="7"/>
  <c r="AG287" i="7"/>
  <c r="AG288" i="7"/>
  <c r="AG289" i="7"/>
  <c r="AG290" i="7"/>
  <c r="AG291" i="7"/>
  <c r="AG292" i="7"/>
  <c r="AG293" i="7"/>
  <c r="AG294" i="7"/>
  <c r="AG295" i="7"/>
  <c r="AG296" i="7"/>
  <c r="AG297" i="7"/>
  <c r="AG298" i="7"/>
  <c r="AG299" i="7"/>
  <c r="AG300" i="7"/>
  <c r="AG301" i="7"/>
  <c r="AG302" i="7"/>
  <c r="AG303" i="7"/>
  <c r="AG304" i="7"/>
  <c r="AG305" i="7"/>
  <c r="AG306" i="7"/>
  <c r="AG307" i="7"/>
  <c r="AG308" i="7"/>
  <c r="AG309" i="7"/>
  <c r="AG310" i="7"/>
  <c r="AG311" i="7"/>
  <c r="AG312" i="7"/>
  <c r="AG313" i="7"/>
  <c r="AG314" i="7"/>
  <c r="AG315" i="7"/>
  <c r="AG316" i="7"/>
  <c r="AG317" i="7"/>
  <c r="AG318" i="7"/>
  <c r="AG319" i="7"/>
  <c r="AG320" i="7"/>
  <c r="AG321" i="7"/>
  <c r="AG322" i="7"/>
  <c r="AG323" i="7"/>
  <c r="AG324" i="7"/>
  <c r="AG325" i="7"/>
  <c r="AG326" i="7"/>
  <c r="AG327" i="7"/>
  <c r="AG328" i="7"/>
  <c r="AG329" i="7"/>
  <c r="AG330" i="7"/>
  <c r="AG331" i="7"/>
  <c r="AG332" i="7"/>
  <c r="AG333" i="7"/>
  <c r="AG334" i="7"/>
  <c r="AG335" i="7"/>
  <c r="AG336" i="7"/>
  <c r="AG337" i="7"/>
  <c r="AG338" i="7"/>
  <c r="AG339" i="7"/>
  <c r="AG340" i="7"/>
  <c r="AG341" i="7"/>
  <c r="AG342" i="7"/>
  <c r="AG343" i="7"/>
  <c r="AG344" i="7"/>
  <c r="AG345" i="7"/>
  <c r="AG346" i="7"/>
  <c r="AG347" i="7"/>
  <c r="AG348" i="7"/>
  <c r="AG349" i="7"/>
  <c r="AG350" i="7"/>
  <c r="AG351" i="7"/>
  <c r="AG352" i="7"/>
  <c r="AG353" i="7"/>
  <c r="AG354" i="7"/>
  <c r="AG355" i="7"/>
  <c r="AG356" i="7"/>
  <c r="AG357" i="7"/>
  <c r="AG358" i="7"/>
  <c r="AG359" i="7"/>
  <c r="AG360" i="7"/>
  <c r="AG361" i="7"/>
  <c r="AG362" i="7"/>
  <c r="AG363" i="7"/>
  <c r="AG364" i="7"/>
  <c r="AG365" i="7"/>
  <c r="AG366" i="7"/>
  <c r="AG367" i="7"/>
  <c r="AG368" i="7"/>
  <c r="AG369" i="7"/>
  <c r="AG370" i="7"/>
  <c r="AG371" i="7"/>
  <c r="AG372" i="7"/>
  <c r="AG373" i="7"/>
  <c r="AG374" i="7"/>
  <c r="AG375" i="7"/>
  <c r="AG376" i="7"/>
  <c r="AG377" i="7"/>
  <c r="AG378" i="7"/>
  <c r="AG379" i="7"/>
  <c r="AG380" i="7"/>
  <c r="AG381" i="7"/>
  <c r="AG382" i="7"/>
  <c r="AG383" i="7"/>
  <c r="AG384" i="7"/>
  <c r="AG385" i="7"/>
  <c r="AG386" i="7"/>
  <c r="AG387" i="7"/>
  <c r="AG388" i="7"/>
  <c r="AG389" i="7"/>
  <c r="AG390" i="7"/>
  <c r="AG391" i="7"/>
  <c r="AG392" i="7"/>
  <c r="AG393" i="7"/>
  <c r="AG394" i="7"/>
  <c r="AG395" i="7"/>
  <c r="AG396" i="7"/>
  <c r="AG397" i="7"/>
  <c r="AG398" i="7"/>
  <c r="AG399" i="7"/>
  <c r="AG400" i="7"/>
  <c r="AG401" i="7"/>
  <c r="AG402" i="7"/>
  <c r="AG403" i="7"/>
  <c r="AG404" i="7"/>
  <c r="AG405" i="7"/>
  <c r="AG406" i="7"/>
  <c r="AG407" i="7"/>
  <c r="AG408" i="7"/>
  <c r="AG409" i="7"/>
  <c r="AG410" i="7"/>
  <c r="AG411" i="7"/>
  <c r="AG412" i="7"/>
  <c r="AG413" i="7"/>
  <c r="AG414" i="7"/>
  <c r="AG415" i="7"/>
  <c r="AG416" i="7"/>
  <c r="AG417" i="7"/>
  <c r="AG418" i="7"/>
  <c r="AG419" i="7"/>
  <c r="AG420" i="7"/>
  <c r="AG421" i="7"/>
  <c r="AG422" i="7"/>
  <c r="AG423" i="7"/>
  <c r="AG424" i="7"/>
  <c r="AG425" i="7"/>
  <c r="AG426" i="7"/>
  <c r="AG427" i="7"/>
  <c r="AG428" i="7"/>
  <c r="AG429" i="7"/>
  <c r="AG430" i="7"/>
  <c r="AG431" i="7"/>
  <c r="AG432" i="7"/>
  <c r="AG433" i="7"/>
  <c r="AG434" i="7"/>
  <c r="AG435" i="7"/>
  <c r="AG436" i="7"/>
  <c r="AG437" i="7"/>
  <c r="AG438" i="7"/>
  <c r="AG439" i="7"/>
  <c r="AG440" i="7"/>
  <c r="AG441" i="7"/>
  <c r="AG442" i="7"/>
  <c r="AG443" i="7"/>
  <c r="AG444" i="7"/>
  <c r="AG445" i="7"/>
  <c r="AG446" i="7"/>
  <c r="AG447" i="7"/>
  <c r="AG448" i="7"/>
  <c r="AG449" i="7"/>
  <c r="AG450" i="7"/>
  <c r="AG451" i="7"/>
  <c r="AG452" i="7"/>
  <c r="AG453" i="7"/>
  <c r="AG454" i="7"/>
  <c r="AG455" i="7"/>
  <c r="AG456" i="7"/>
  <c r="AG457" i="7"/>
  <c r="AG458" i="7"/>
  <c r="AG459" i="7"/>
  <c r="AG460" i="7"/>
  <c r="AG461" i="7"/>
  <c r="AG462" i="7"/>
  <c r="AG463" i="7"/>
  <c r="AG464" i="7"/>
  <c r="AG465" i="7"/>
  <c r="AG466" i="7"/>
  <c r="AG467" i="7"/>
  <c r="AG468" i="7"/>
  <c r="AG469" i="7"/>
  <c r="AG470" i="7"/>
  <c r="AG471" i="7"/>
  <c r="AG472" i="7"/>
  <c r="AG473" i="7"/>
  <c r="AG474" i="7"/>
  <c r="AG475" i="7"/>
  <c r="AG476" i="7"/>
  <c r="AG477" i="7"/>
  <c r="AG478" i="7"/>
  <c r="AG479" i="7"/>
  <c r="AG480" i="7"/>
  <c r="AG481" i="7"/>
  <c r="AG482" i="7"/>
  <c r="AG483" i="7"/>
  <c r="AG484" i="7"/>
  <c r="AG485" i="7"/>
  <c r="AG486" i="7"/>
  <c r="AG487" i="7"/>
  <c r="AG488" i="7"/>
  <c r="AG489" i="7"/>
  <c r="AG490" i="7"/>
  <c r="AG491" i="7"/>
  <c r="AG492" i="7"/>
  <c r="AG493" i="7"/>
  <c r="AG494" i="7"/>
  <c r="AG495" i="7"/>
  <c r="AG496" i="7"/>
  <c r="AG497" i="7"/>
  <c r="AG498" i="7"/>
  <c r="AG499" i="7"/>
  <c r="AG500" i="7"/>
  <c r="AG501" i="7"/>
  <c r="AG502" i="7"/>
  <c r="AG503" i="7"/>
  <c r="AG504" i="7"/>
  <c r="AG505" i="7"/>
  <c r="AG506" i="7"/>
  <c r="AG507" i="7"/>
  <c r="AG508" i="7"/>
  <c r="AG509" i="7"/>
  <c r="AG510" i="7"/>
  <c r="AG511" i="7"/>
  <c r="AG512" i="7"/>
  <c r="AG513" i="7"/>
  <c r="AG514" i="7"/>
  <c r="AG515" i="7"/>
  <c r="AG516" i="7"/>
  <c r="AG517" i="7"/>
  <c r="AG518" i="7"/>
  <c r="AG519" i="7"/>
  <c r="AG520" i="7"/>
  <c r="AG521" i="7"/>
  <c r="AG522" i="7"/>
  <c r="AG523" i="7"/>
  <c r="AG524" i="7"/>
  <c r="AG525" i="7"/>
  <c r="AG526" i="7"/>
  <c r="AG527" i="7"/>
  <c r="AG528" i="7"/>
  <c r="AG529" i="7"/>
  <c r="AG530" i="7"/>
  <c r="AG531" i="7"/>
  <c r="AG532" i="7"/>
  <c r="AG533" i="7"/>
  <c r="AG534" i="7"/>
  <c r="AG535" i="7"/>
  <c r="AG536" i="7"/>
  <c r="AG537" i="7"/>
  <c r="AG538" i="7"/>
  <c r="AG539" i="7"/>
  <c r="AG540" i="7"/>
  <c r="AG541" i="7"/>
  <c r="AG542" i="7"/>
  <c r="AG543" i="7"/>
  <c r="AG544" i="7"/>
  <c r="AG545" i="7"/>
  <c r="AG546" i="7"/>
  <c r="AG547" i="7"/>
  <c r="AG548" i="7"/>
  <c r="AG549" i="7"/>
  <c r="AG550" i="7"/>
  <c r="AG551" i="7"/>
  <c r="AG552" i="7"/>
  <c r="AG553" i="7"/>
  <c r="AG554" i="7"/>
  <c r="AG555" i="7"/>
  <c r="AG556" i="7"/>
  <c r="AG557" i="7"/>
  <c r="AG558" i="7"/>
  <c r="AG559" i="7"/>
  <c r="AG560" i="7"/>
  <c r="AG561" i="7"/>
  <c r="AG562" i="7"/>
  <c r="AG563" i="7"/>
  <c r="AG564" i="7"/>
  <c r="AG565" i="7"/>
  <c r="AG566" i="7"/>
  <c r="AG567" i="7"/>
  <c r="AG568" i="7"/>
  <c r="AG569" i="7"/>
  <c r="AG570" i="7"/>
  <c r="AG571" i="7"/>
  <c r="AG572" i="7"/>
  <c r="AG573" i="7"/>
  <c r="AG574" i="7"/>
  <c r="AG575" i="7"/>
  <c r="AG576" i="7"/>
  <c r="AG577" i="7"/>
  <c r="AG578" i="7"/>
  <c r="AG579" i="7"/>
  <c r="AG580" i="7"/>
  <c r="AG581" i="7"/>
  <c r="AG582" i="7"/>
  <c r="AG583" i="7"/>
  <c r="AG584" i="7"/>
  <c r="AG585" i="7"/>
  <c r="AG586" i="7"/>
  <c r="AG587" i="7"/>
  <c r="AG588" i="7"/>
  <c r="AG589" i="7"/>
  <c r="AG590" i="7"/>
  <c r="AG591" i="7"/>
  <c r="AG592" i="7"/>
  <c r="AG593" i="7"/>
  <c r="AG594" i="7"/>
  <c r="AG595" i="7"/>
  <c r="AG596" i="7"/>
  <c r="AG597" i="7"/>
  <c r="AG598" i="7"/>
  <c r="AG599" i="7"/>
  <c r="AG600" i="7"/>
  <c r="AG601" i="7"/>
  <c r="AG602" i="7"/>
  <c r="AG603" i="7"/>
  <c r="AG604" i="7"/>
  <c r="AG605" i="7"/>
  <c r="AG606" i="7"/>
  <c r="AG607" i="7"/>
  <c r="AG608" i="7"/>
  <c r="AG609" i="7"/>
  <c r="AG610" i="7"/>
  <c r="AG611" i="7"/>
  <c r="AG612" i="7"/>
  <c r="AG613" i="7"/>
  <c r="AG614" i="7"/>
  <c r="AG615" i="7"/>
  <c r="AG616" i="7"/>
  <c r="AG617" i="7"/>
  <c r="AG618" i="7"/>
  <c r="AG619" i="7"/>
  <c r="AG620" i="7"/>
  <c r="AG621" i="7"/>
  <c r="AG622" i="7"/>
  <c r="AG623" i="7"/>
  <c r="AG624" i="7"/>
  <c r="AG625" i="7"/>
  <c r="AG626" i="7"/>
  <c r="AG627" i="7"/>
  <c r="AG628" i="7"/>
  <c r="AG629" i="7"/>
  <c r="AG630" i="7"/>
  <c r="AG631" i="7"/>
  <c r="AG632" i="7"/>
  <c r="AG633" i="7"/>
  <c r="AG634" i="7"/>
  <c r="AG635" i="7"/>
  <c r="AG636" i="7"/>
  <c r="AG637" i="7"/>
  <c r="AG638" i="7"/>
  <c r="AG639" i="7"/>
  <c r="AG640" i="7"/>
  <c r="AG641" i="7"/>
  <c r="AG642" i="7"/>
  <c r="AG643" i="7"/>
  <c r="AG644" i="7"/>
  <c r="AG645" i="7"/>
  <c r="AG646" i="7"/>
  <c r="AG647" i="7"/>
  <c r="AG648" i="7"/>
  <c r="AG649" i="7"/>
  <c r="AG650" i="7"/>
  <c r="AG651" i="7"/>
  <c r="AG652" i="7"/>
  <c r="AG653" i="7"/>
  <c r="AG654" i="7"/>
  <c r="AG655" i="7"/>
  <c r="AG656" i="7"/>
  <c r="AG657" i="7"/>
  <c r="AG658" i="7"/>
  <c r="AG659" i="7"/>
  <c r="AG660" i="7"/>
  <c r="AG661" i="7"/>
  <c r="AG662" i="7"/>
  <c r="AG663" i="7"/>
  <c r="AG664" i="7"/>
  <c r="AG665" i="7"/>
  <c r="AG666" i="7"/>
  <c r="AG667" i="7"/>
  <c r="AG668" i="7"/>
  <c r="AG669" i="7"/>
  <c r="AG670" i="7"/>
  <c r="AG671" i="7"/>
  <c r="AG672" i="7"/>
  <c r="AG673" i="7"/>
  <c r="AG674" i="7"/>
  <c r="AG675" i="7"/>
  <c r="AG676" i="7"/>
  <c r="AG677" i="7"/>
  <c r="AG678" i="7"/>
  <c r="AG679" i="7"/>
  <c r="AG680" i="7"/>
  <c r="AG681" i="7"/>
  <c r="AG682" i="7"/>
  <c r="AG683" i="7"/>
  <c r="AG684" i="7"/>
  <c r="AG685" i="7"/>
  <c r="AG686" i="7"/>
  <c r="AG687" i="7"/>
  <c r="AG688" i="7"/>
  <c r="AG689" i="7"/>
  <c r="AG690" i="7"/>
  <c r="AG691" i="7"/>
  <c r="AG692" i="7"/>
  <c r="AG693" i="7"/>
  <c r="AG694" i="7"/>
  <c r="AG695" i="7"/>
  <c r="AG696" i="7"/>
  <c r="AG697" i="7"/>
  <c r="AG698" i="7"/>
  <c r="AG699" i="7"/>
  <c r="AG700" i="7"/>
  <c r="AG701" i="7"/>
  <c r="AG702" i="7"/>
  <c r="AG703" i="7"/>
  <c r="AG704" i="7"/>
  <c r="AG705" i="7"/>
  <c r="AG706" i="7"/>
  <c r="AG707" i="7"/>
  <c r="AG708" i="7"/>
  <c r="AG709" i="7"/>
  <c r="AG710" i="7"/>
  <c r="AG711" i="7"/>
  <c r="AG712" i="7"/>
  <c r="AG713" i="7"/>
  <c r="AG714" i="7"/>
  <c r="AG715" i="7"/>
  <c r="AG716" i="7"/>
  <c r="AG717" i="7"/>
  <c r="AG718" i="7"/>
  <c r="AG719" i="7"/>
  <c r="AG720" i="7"/>
  <c r="AG721" i="7"/>
  <c r="AG722" i="7"/>
  <c r="AG723" i="7"/>
  <c r="AG724" i="7"/>
  <c r="AG725" i="7"/>
  <c r="AG726" i="7"/>
  <c r="AG727" i="7"/>
  <c r="AG728" i="7"/>
  <c r="AG729" i="7"/>
  <c r="AG730" i="7"/>
  <c r="AG731" i="7"/>
  <c r="AG732" i="7"/>
  <c r="AG733" i="7"/>
  <c r="AG734" i="7"/>
  <c r="AG735" i="7"/>
  <c r="AG736" i="7"/>
  <c r="AG737" i="7"/>
  <c r="AG738" i="7"/>
  <c r="AG739" i="7"/>
  <c r="AG740" i="7"/>
  <c r="AG741" i="7"/>
  <c r="AG742" i="7"/>
  <c r="AG743" i="7"/>
  <c r="AG744" i="7"/>
  <c r="AG745" i="7"/>
  <c r="AG746" i="7"/>
  <c r="AG747" i="7"/>
  <c r="AG748" i="7"/>
  <c r="AG749" i="7"/>
  <c r="AG750" i="7"/>
  <c r="AG751" i="7"/>
  <c r="AG752" i="7"/>
  <c r="AG753" i="7"/>
  <c r="AG754" i="7"/>
  <c r="AG755" i="7"/>
  <c r="AG756" i="7"/>
  <c r="AG757" i="7"/>
  <c r="AG758" i="7"/>
  <c r="AG759" i="7"/>
  <c r="AG760" i="7"/>
  <c r="AG761" i="7"/>
  <c r="AG762" i="7"/>
  <c r="AG763" i="7"/>
  <c r="AG764" i="7"/>
  <c r="AG765" i="7"/>
  <c r="AG766" i="7"/>
  <c r="AG767" i="7"/>
  <c r="AG768" i="7"/>
  <c r="AG769" i="7"/>
  <c r="AG770" i="7"/>
  <c r="AG771" i="7"/>
  <c r="AG772" i="7"/>
  <c r="AG773" i="7"/>
  <c r="AG774" i="7"/>
  <c r="AG775" i="7"/>
  <c r="AG776" i="7"/>
  <c r="AG777" i="7"/>
  <c r="AG778" i="7"/>
  <c r="AG779" i="7"/>
  <c r="AG780" i="7"/>
  <c r="AG781" i="7"/>
  <c r="AG782" i="7"/>
  <c r="AG783" i="7"/>
  <c r="AG784" i="7"/>
  <c r="AG785" i="7"/>
  <c r="AG786" i="7"/>
  <c r="AG787" i="7"/>
  <c r="AG788" i="7"/>
  <c r="AG789" i="7"/>
  <c r="AG790" i="7"/>
  <c r="AG791" i="7"/>
  <c r="AG792" i="7"/>
  <c r="AG793" i="7"/>
  <c r="AG794" i="7"/>
  <c r="AG795" i="7"/>
  <c r="AG796" i="7"/>
  <c r="AG797" i="7"/>
  <c r="AG798" i="7"/>
  <c r="AG799" i="7"/>
  <c r="AG800" i="7"/>
  <c r="AG801" i="7"/>
  <c r="AG802" i="7"/>
  <c r="AG803" i="7"/>
  <c r="AG804" i="7"/>
  <c r="AG805" i="7"/>
  <c r="AG806" i="7"/>
  <c r="AG807" i="7"/>
  <c r="AG808" i="7"/>
  <c r="AG809" i="7"/>
  <c r="AG810" i="7"/>
  <c r="AG811" i="7"/>
  <c r="AG812" i="7"/>
  <c r="AG813" i="7"/>
  <c r="AG814" i="7"/>
  <c r="AG815" i="7"/>
  <c r="AG816" i="7"/>
  <c r="AG817" i="7"/>
  <c r="AG818" i="7"/>
  <c r="AG819" i="7"/>
  <c r="AG820" i="7"/>
  <c r="AG821" i="7"/>
  <c r="AG822" i="7"/>
  <c r="AG823" i="7"/>
  <c r="AG824" i="7"/>
  <c r="AG825" i="7"/>
  <c r="AG826" i="7"/>
  <c r="AG827" i="7"/>
  <c r="AG828" i="7"/>
  <c r="AG829" i="7"/>
  <c r="AG830" i="7"/>
  <c r="AG831" i="7"/>
  <c r="AG832" i="7"/>
  <c r="AG833" i="7"/>
  <c r="AG834" i="7"/>
  <c r="AG835" i="7"/>
  <c r="AG836" i="7"/>
  <c r="AG837" i="7"/>
  <c r="AG838" i="7"/>
  <c r="AG839" i="7"/>
  <c r="AG840" i="7"/>
  <c r="AG841" i="7"/>
  <c r="AG842" i="7"/>
  <c r="AG843" i="7"/>
  <c r="AG844" i="7"/>
  <c r="AG845" i="7"/>
  <c r="AG846" i="7"/>
  <c r="AG847" i="7"/>
  <c r="AG848" i="7"/>
  <c r="AG849" i="7"/>
  <c r="AG850" i="7"/>
  <c r="AG851" i="7"/>
  <c r="AG852" i="7"/>
  <c r="AG853" i="7"/>
  <c r="AG854" i="7"/>
  <c r="AG855" i="7"/>
  <c r="AG856" i="7"/>
  <c r="AG857" i="7"/>
  <c r="AG858" i="7"/>
  <c r="AG859" i="7"/>
  <c r="AG860" i="7"/>
  <c r="AG861" i="7"/>
  <c r="AG862" i="7"/>
  <c r="AG863" i="7"/>
  <c r="AG864" i="7"/>
  <c r="AG865" i="7"/>
  <c r="AG866" i="7"/>
  <c r="AG867" i="7"/>
  <c r="AG868" i="7"/>
  <c r="AG869" i="7"/>
  <c r="AG870" i="7"/>
  <c r="AG871" i="7"/>
  <c r="AG872" i="7"/>
  <c r="AG873" i="7"/>
  <c r="AG874" i="7"/>
  <c r="AG875" i="7"/>
  <c r="AG876" i="7"/>
  <c r="AG877" i="7"/>
  <c r="AG878" i="7"/>
  <c r="AG879" i="7"/>
  <c r="AG880" i="7"/>
  <c r="AG881" i="7"/>
  <c r="AG882" i="7"/>
  <c r="AG883" i="7"/>
  <c r="AG884" i="7"/>
  <c r="AG885" i="7"/>
  <c r="AG886" i="7"/>
  <c r="AG887" i="7"/>
  <c r="AG888" i="7"/>
  <c r="AG889" i="7"/>
  <c r="AG890" i="7"/>
  <c r="AG891" i="7"/>
  <c r="AG892" i="7"/>
  <c r="AG893" i="7"/>
  <c r="AG894" i="7"/>
  <c r="AG895" i="7"/>
  <c r="AG896" i="7"/>
  <c r="AG897" i="7"/>
  <c r="AG898" i="7"/>
  <c r="AG899" i="7"/>
  <c r="AG900" i="7"/>
  <c r="AG901" i="7"/>
  <c r="AG902" i="7"/>
  <c r="AG903" i="7"/>
  <c r="AG904" i="7"/>
  <c r="AG905" i="7"/>
  <c r="AG906" i="7"/>
  <c r="AG907" i="7"/>
  <c r="AG908" i="7"/>
  <c r="AG909" i="7"/>
  <c r="AG910" i="7"/>
  <c r="AG911" i="7"/>
  <c r="AG912" i="7"/>
  <c r="AG913" i="7"/>
  <c r="AG914" i="7"/>
  <c r="AG915" i="7"/>
  <c r="AG916" i="7"/>
  <c r="AG917" i="7"/>
  <c r="AG918" i="7"/>
  <c r="AG919" i="7"/>
  <c r="AG920" i="7"/>
  <c r="AG921" i="7"/>
  <c r="AG922" i="7"/>
  <c r="AG923" i="7"/>
  <c r="AG924" i="7"/>
  <c r="AG925" i="7"/>
  <c r="AG926" i="7"/>
  <c r="AG927" i="7"/>
  <c r="AG928" i="7"/>
  <c r="AG929" i="7"/>
  <c r="AG930" i="7"/>
  <c r="AG931" i="7"/>
  <c r="AG932" i="7"/>
  <c r="AG933" i="7"/>
  <c r="AG934" i="7"/>
  <c r="AG935" i="7"/>
  <c r="AG936" i="7"/>
  <c r="AG937" i="7"/>
  <c r="AG938" i="7"/>
  <c r="AG939" i="7"/>
  <c r="AG940" i="7"/>
  <c r="AG941" i="7"/>
  <c r="AG942" i="7"/>
  <c r="AG943" i="7"/>
  <c r="AG944" i="7"/>
  <c r="AG945" i="7"/>
  <c r="AG946" i="7"/>
  <c r="AG947" i="7"/>
  <c r="AG948" i="7"/>
  <c r="AG949" i="7"/>
  <c r="AG950" i="7"/>
  <c r="AG951" i="7"/>
  <c r="AG952" i="7"/>
  <c r="AG953" i="7"/>
  <c r="AG954" i="7"/>
  <c r="AG955" i="7"/>
  <c r="AG956" i="7"/>
  <c r="AG957" i="7"/>
  <c r="AG958" i="7"/>
  <c r="AG959" i="7"/>
  <c r="AG960" i="7"/>
  <c r="AG961" i="7"/>
  <c r="AG962" i="7"/>
  <c r="AG963" i="7"/>
  <c r="AG964" i="7"/>
  <c r="AG965" i="7"/>
  <c r="AG966" i="7"/>
  <c r="AG967" i="7"/>
  <c r="AG968" i="7"/>
  <c r="AG969" i="7"/>
  <c r="AG970" i="7"/>
  <c r="AG971" i="7"/>
  <c r="AG972" i="7"/>
  <c r="AG973" i="7"/>
  <c r="AG974" i="7"/>
  <c r="AG975" i="7"/>
  <c r="AG976" i="7"/>
  <c r="AG977" i="7"/>
  <c r="AG978" i="7"/>
  <c r="AG979" i="7"/>
  <c r="AG980" i="7"/>
  <c r="AG981" i="7"/>
  <c r="AG982" i="7"/>
  <c r="AG983" i="7"/>
  <c r="AG984" i="7"/>
  <c r="AG985" i="7"/>
  <c r="AG986" i="7"/>
  <c r="AG987" i="7"/>
  <c r="AG988" i="7"/>
  <c r="AG989" i="7"/>
  <c r="AG990" i="7"/>
  <c r="AG991" i="7"/>
  <c r="AG992" i="7"/>
  <c r="AG993" i="7"/>
  <c r="AG994" i="7"/>
  <c r="AG995" i="7"/>
  <c r="AG996" i="7"/>
  <c r="AG997" i="7"/>
  <c r="AG998" i="7"/>
  <c r="AG999" i="7"/>
  <c r="AG1000" i="7"/>
  <c r="AG1001" i="7"/>
  <c r="AG1002" i="7"/>
  <c r="AG1003" i="7"/>
  <c r="AG1004" i="7"/>
  <c r="AG1005" i="7"/>
  <c r="AG1006" i="7"/>
  <c r="AG1007" i="7"/>
  <c r="AG1008" i="7"/>
  <c r="AG1009" i="7"/>
  <c r="AG1010" i="7"/>
  <c r="AG1011" i="7"/>
  <c r="AG1012" i="7"/>
  <c r="AG1013" i="7"/>
  <c r="AG1014" i="7"/>
  <c r="AG1015" i="7"/>
  <c r="AG1016" i="7"/>
  <c r="AG1017" i="7"/>
  <c r="AG1018" i="7"/>
  <c r="AG1019" i="7"/>
  <c r="AG1020" i="7"/>
  <c r="AG1021" i="7"/>
  <c r="AG1022" i="7"/>
  <c r="AG1023" i="7"/>
  <c r="AG1024" i="7"/>
  <c r="AG1025" i="7"/>
  <c r="AG1026" i="7"/>
  <c r="AG1027" i="7"/>
  <c r="AG1028" i="7"/>
  <c r="AG1029" i="7"/>
  <c r="AG1030" i="7"/>
  <c r="AG1031" i="7"/>
  <c r="AG1032" i="7"/>
  <c r="AG1033" i="7"/>
  <c r="AG1034" i="7"/>
  <c r="AG1035" i="7"/>
  <c r="AG1036" i="7"/>
  <c r="AG1037" i="7"/>
  <c r="AG1038" i="7"/>
  <c r="AG1039" i="7"/>
  <c r="AG1040" i="7"/>
  <c r="AG1041" i="7"/>
  <c r="AG1042" i="7"/>
  <c r="AG1043" i="7"/>
  <c r="AG1044" i="7"/>
  <c r="AG1045" i="7"/>
  <c r="AG1046" i="7"/>
  <c r="AG1047" i="7"/>
  <c r="AG1048" i="7"/>
  <c r="AG1049" i="7"/>
  <c r="AG1050" i="7"/>
  <c r="AG1051" i="7"/>
  <c r="AG1052" i="7"/>
  <c r="AG1053" i="7"/>
  <c r="AG1054" i="7"/>
  <c r="AG1055" i="7"/>
  <c r="AG1056" i="7"/>
  <c r="AG1057" i="7"/>
  <c r="AG1058" i="7"/>
  <c r="AG1059" i="7"/>
  <c r="AG1060" i="7"/>
  <c r="AG1061" i="7"/>
  <c r="AG1062" i="7"/>
  <c r="AG1063" i="7"/>
  <c r="AG1064" i="7"/>
  <c r="AG1065" i="7"/>
  <c r="AG1066" i="7"/>
  <c r="AG1067" i="7"/>
  <c r="AG1068" i="7"/>
  <c r="AG1069" i="7"/>
  <c r="AG1070" i="7"/>
  <c r="AG1071" i="7"/>
  <c r="AG1072" i="7"/>
  <c r="AG1073" i="7"/>
  <c r="AG1074" i="7"/>
  <c r="AG1075" i="7"/>
  <c r="AG1076" i="7"/>
  <c r="AG1077" i="7"/>
  <c r="AG1078" i="7"/>
  <c r="AG1079" i="7"/>
  <c r="AG1080" i="7"/>
  <c r="AG1081" i="7"/>
  <c r="AG1082" i="7"/>
  <c r="AG1083" i="7"/>
  <c r="AG1084" i="7"/>
  <c r="AG1085" i="7"/>
  <c r="AG1086" i="7"/>
  <c r="AG1087" i="7"/>
  <c r="AG1088" i="7"/>
  <c r="AG1089" i="7"/>
  <c r="AG1090" i="7"/>
  <c r="AG1091" i="7"/>
  <c r="AG1092" i="7"/>
  <c r="AG1093" i="7"/>
  <c r="AG1094" i="7"/>
  <c r="AG1095" i="7"/>
  <c r="AG1096" i="7"/>
  <c r="AG1097" i="7"/>
  <c r="AG1098" i="7"/>
  <c r="AG1099" i="7"/>
  <c r="AG1100" i="7"/>
  <c r="AG1101" i="7"/>
  <c r="AG1102" i="7"/>
  <c r="AG1103" i="7"/>
  <c r="AG1104" i="7"/>
  <c r="AG1105" i="7"/>
  <c r="AG1106" i="7"/>
  <c r="AG1107" i="7"/>
  <c r="AG1108" i="7"/>
  <c r="AG1109" i="7"/>
  <c r="AG1110" i="7"/>
  <c r="AG1111" i="7"/>
  <c r="AG1112" i="7"/>
  <c r="AG1113" i="7"/>
  <c r="AG1114" i="7"/>
  <c r="AG1115" i="7"/>
  <c r="AG1116" i="7"/>
  <c r="AG1117" i="7"/>
  <c r="AG1118" i="7"/>
  <c r="AG1119" i="7"/>
  <c r="AG1120" i="7"/>
  <c r="AG1121" i="7"/>
  <c r="AG1122" i="7"/>
  <c r="AG1123" i="7"/>
  <c r="AG1124" i="7"/>
  <c r="AG1125" i="7"/>
  <c r="AG1126" i="7"/>
  <c r="AG1127" i="7"/>
  <c r="AG1128" i="7"/>
  <c r="AG1129" i="7"/>
  <c r="AG1130" i="7"/>
  <c r="AG1131" i="7"/>
  <c r="AG1132" i="7"/>
  <c r="AG1133" i="7"/>
  <c r="AG1134" i="7"/>
  <c r="AG1135" i="7"/>
  <c r="AG1136" i="7"/>
  <c r="AG1137" i="7"/>
  <c r="AG1138" i="7"/>
  <c r="AG1139" i="7"/>
  <c r="AG1140" i="7"/>
  <c r="AG1141" i="7"/>
  <c r="AG1142" i="7"/>
  <c r="AG1143" i="7"/>
  <c r="AG1144" i="7"/>
  <c r="AG1145" i="7"/>
  <c r="AG1146" i="7"/>
  <c r="AG1147" i="7"/>
  <c r="AG1148" i="7"/>
  <c r="AG1149" i="7"/>
  <c r="AG1150" i="7"/>
  <c r="AG1151" i="7"/>
  <c r="AG1152" i="7"/>
  <c r="AG1153" i="7"/>
  <c r="AG1154" i="7"/>
  <c r="AG1155" i="7"/>
  <c r="AG1156" i="7"/>
  <c r="AG1157" i="7"/>
  <c r="AG1158" i="7"/>
  <c r="AG1159" i="7"/>
  <c r="AG1160" i="7"/>
  <c r="AG1161" i="7"/>
  <c r="AG1162" i="7"/>
  <c r="AG1163" i="7"/>
  <c r="AG1164" i="7"/>
  <c r="AG1165" i="7"/>
  <c r="AG1166" i="7"/>
  <c r="AG1167" i="7"/>
  <c r="AG1168" i="7"/>
  <c r="AG1169" i="7"/>
  <c r="AG1170" i="7"/>
  <c r="AG1171" i="7"/>
  <c r="AG1172" i="7"/>
  <c r="AG1173" i="7"/>
  <c r="AG1174" i="7"/>
  <c r="AG1175" i="7"/>
  <c r="AG1176" i="7"/>
  <c r="AG1177" i="7"/>
  <c r="AG1178" i="7"/>
  <c r="AG1179" i="7"/>
  <c r="AG1180" i="7"/>
  <c r="AG1181" i="7"/>
  <c r="AG1182" i="7"/>
  <c r="AG1183" i="7"/>
  <c r="AG1184" i="7"/>
  <c r="AG1185" i="7"/>
  <c r="AG1186" i="7"/>
  <c r="AG1187" i="7"/>
  <c r="AG1188" i="7"/>
  <c r="AG1189" i="7"/>
  <c r="AG1190" i="7"/>
  <c r="AG1191" i="7"/>
  <c r="AG1192" i="7"/>
  <c r="AG1193" i="7"/>
  <c r="AG1194" i="7"/>
  <c r="AG1195" i="7"/>
  <c r="AG1196" i="7"/>
  <c r="AG1197" i="7"/>
  <c r="AG1198" i="7"/>
  <c r="AG1199" i="7"/>
  <c r="AG1200" i="7"/>
  <c r="AG1201" i="7"/>
  <c r="AG1202" i="7"/>
  <c r="AG1203" i="7"/>
  <c r="AG1204" i="7"/>
  <c r="AG1205" i="7"/>
  <c r="AG1206" i="7"/>
  <c r="AG1207" i="7"/>
  <c r="AG1208" i="7"/>
  <c r="AG1209" i="7"/>
  <c r="AG1210" i="7"/>
  <c r="AG1211" i="7"/>
  <c r="AG1212" i="7"/>
  <c r="AG1213" i="7"/>
  <c r="AG1214" i="7"/>
  <c r="AG1215" i="7"/>
  <c r="AG1216" i="7"/>
  <c r="AG1217" i="7"/>
  <c r="AG1218" i="7"/>
  <c r="AG1219" i="7"/>
  <c r="AG1220" i="7"/>
  <c r="AG1221" i="7"/>
  <c r="AG1222" i="7"/>
  <c r="AG1223" i="7"/>
  <c r="AG1224" i="7"/>
  <c r="AG1225" i="7"/>
  <c r="AG1226" i="7"/>
  <c r="AG1227" i="7"/>
  <c r="AG1228" i="7"/>
  <c r="AG1229" i="7"/>
  <c r="AG1230" i="7"/>
  <c r="AG1231" i="7"/>
  <c r="AG1232" i="7"/>
  <c r="AG1233" i="7"/>
  <c r="AG1234" i="7"/>
  <c r="AG1235" i="7"/>
  <c r="AG1236" i="7"/>
  <c r="AG1237" i="7"/>
  <c r="AG1238" i="7"/>
  <c r="AG1239" i="7"/>
  <c r="AG1240" i="7"/>
  <c r="AG1241" i="7"/>
  <c r="AG1242" i="7"/>
  <c r="AG1243" i="7"/>
  <c r="AG1244" i="7"/>
  <c r="AG1245" i="7"/>
  <c r="AG1246" i="7"/>
  <c r="AG1247" i="7"/>
  <c r="AG1248" i="7"/>
  <c r="AG1249" i="7"/>
  <c r="AG1250" i="7"/>
  <c r="AG1251" i="7"/>
  <c r="AG1252" i="7"/>
  <c r="AG1253" i="7"/>
  <c r="AG1254" i="7"/>
  <c r="AG1255" i="7"/>
  <c r="AG1256" i="7"/>
  <c r="AG1257" i="7"/>
  <c r="AG1258" i="7"/>
  <c r="AG1259" i="7"/>
  <c r="AG1260" i="7"/>
  <c r="AG1261" i="7"/>
  <c r="AG1262" i="7"/>
  <c r="AG1263" i="7"/>
  <c r="AG1264" i="7"/>
  <c r="AG1265" i="7"/>
  <c r="AG1266" i="7"/>
  <c r="AG1267" i="7"/>
  <c r="AG1268" i="7"/>
  <c r="AG1269" i="7"/>
  <c r="AG1270" i="7"/>
  <c r="AG1271" i="7"/>
  <c r="AG1272" i="7"/>
  <c r="AG1273" i="7"/>
  <c r="AG1274" i="7"/>
  <c r="AG1275" i="7"/>
  <c r="AG1276" i="7"/>
  <c r="AG1277" i="7"/>
  <c r="AG1278" i="7"/>
  <c r="AG1279" i="7"/>
  <c r="AG1280" i="7"/>
  <c r="AG1281" i="7"/>
  <c r="AG1282" i="7"/>
  <c r="AG1283" i="7"/>
  <c r="AG1284" i="7"/>
  <c r="AG1285" i="7"/>
  <c r="AG1286" i="7"/>
  <c r="AG1287" i="7"/>
  <c r="AG1288" i="7"/>
  <c r="AG1289" i="7"/>
  <c r="AG1290" i="7"/>
  <c r="AG1291" i="7"/>
  <c r="AG1292" i="7"/>
  <c r="AG1293" i="7"/>
  <c r="AG1294" i="7"/>
  <c r="AG1295" i="7"/>
  <c r="AG1296" i="7"/>
  <c r="AG1297" i="7"/>
  <c r="AG1298" i="7"/>
  <c r="AG1299" i="7"/>
  <c r="AG1300" i="7"/>
  <c r="AG1301" i="7"/>
  <c r="AG1302" i="7"/>
  <c r="AG1303" i="7"/>
  <c r="AG1304" i="7"/>
  <c r="AG1305" i="7"/>
  <c r="AG1306" i="7"/>
  <c r="AG1307" i="7"/>
  <c r="AG1308" i="7"/>
  <c r="AG1309" i="7"/>
  <c r="AG1310" i="7"/>
  <c r="AG1311" i="7"/>
  <c r="AG1312" i="7"/>
  <c r="AG1313" i="7"/>
  <c r="AG1314" i="7"/>
  <c r="AG1315" i="7"/>
  <c r="AG1316" i="7"/>
  <c r="AG1317" i="7"/>
  <c r="AG1318" i="7"/>
  <c r="AG1319" i="7"/>
  <c r="AG1320" i="7"/>
  <c r="AG1321" i="7"/>
  <c r="AG1322" i="7"/>
  <c r="AG1323" i="7"/>
  <c r="AG1324" i="7"/>
  <c r="AG1325" i="7"/>
  <c r="AG1326" i="7"/>
  <c r="AG1327" i="7"/>
  <c r="AG1328" i="7"/>
  <c r="AG1329" i="7"/>
  <c r="AG1330" i="7"/>
  <c r="AG1331" i="7"/>
  <c r="AG1332" i="7"/>
  <c r="AG1333" i="7"/>
  <c r="AG1334" i="7"/>
  <c r="AG1335" i="7"/>
  <c r="AG1336" i="7"/>
  <c r="AG1337" i="7"/>
  <c r="AG1338" i="7"/>
  <c r="AG1339" i="7"/>
  <c r="AG1340" i="7"/>
  <c r="AG1341" i="7"/>
  <c r="AG1342" i="7"/>
  <c r="AG1343" i="7"/>
  <c r="AG1344" i="7"/>
  <c r="AG1345" i="7"/>
  <c r="AG1346" i="7"/>
  <c r="AG1347" i="7"/>
  <c r="AG1348" i="7"/>
  <c r="AG1349" i="7"/>
  <c r="AG1350" i="7"/>
  <c r="AG1351" i="7"/>
  <c r="AG1352" i="7"/>
  <c r="AG1353" i="7"/>
  <c r="AG1354" i="7"/>
  <c r="AG1355" i="7"/>
  <c r="AG1356" i="7"/>
  <c r="AG1357" i="7"/>
  <c r="AG1358" i="7"/>
  <c r="AG1359" i="7"/>
  <c r="AG1360" i="7"/>
  <c r="AG1361" i="7"/>
  <c r="AG1362" i="7"/>
  <c r="AG1363" i="7"/>
  <c r="AG1364" i="7"/>
  <c r="AG1365" i="7"/>
  <c r="AG1366" i="7"/>
  <c r="AG1367" i="7"/>
  <c r="AG1368" i="7"/>
  <c r="AG1369" i="7"/>
  <c r="AG1370" i="7"/>
  <c r="AG1371" i="7"/>
  <c r="AG1372" i="7"/>
  <c r="AG1373" i="7"/>
  <c r="AG1374" i="7"/>
  <c r="AG1375" i="7"/>
  <c r="AG1376" i="7"/>
  <c r="AG1377" i="7"/>
  <c r="AG1378" i="7"/>
  <c r="AG1379" i="7"/>
  <c r="AG1380" i="7"/>
  <c r="AG1381" i="7"/>
  <c r="AG1382" i="7"/>
  <c r="AG1383" i="7"/>
  <c r="AG1384" i="7"/>
  <c r="AG1385" i="7"/>
  <c r="AG1386" i="7"/>
  <c r="AG1387" i="7"/>
  <c r="AG1388" i="7"/>
  <c r="AG1389" i="7"/>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E3" i="7"/>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AE97" i="7"/>
  <c r="AE98" i="7"/>
  <c r="AE99" i="7"/>
  <c r="AE100" i="7"/>
  <c r="AE101" i="7"/>
  <c r="AE102" i="7"/>
  <c r="AE103" i="7"/>
  <c r="AE104" i="7"/>
  <c r="AE105" i="7"/>
  <c r="AE106" i="7"/>
  <c r="AE107" i="7"/>
  <c r="AE108" i="7"/>
  <c r="AE109" i="7"/>
  <c r="AE110" i="7"/>
  <c r="AE111" i="7"/>
  <c r="AE112" i="7"/>
  <c r="AE113" i="7"/>
  <c r="AE114" i="7"/>
  <c r="AE115" i="7"/>
  <c r="AE116" i="7"/>
  <c r="AE117" i="7"/>
  <c r="AE118" i="7"/>
  <c r="AE119" i="7"/>
  <c r="AE120" i="7"/>
  <c r="AE121" i="7"/>
  <c r="AE122" i="7"/>
  <c r="AE123" i="7"/>
  <c r="AE124" i="7"/>
  <c r="AE125" i="7"/>
  <c r="AE126" i="7"/>
  <c r="AE127" i="7"/>
  <c r="AE128" i="7"/>
  <c r="AE129" i="7"/>
  <c r="AE130" i="7"/>
  <c r="AE131" i="7"/>
  <c r="AE132" i="7"/>
  <c r="AE133" i="7"/>
  <c r="AE134" i="7"/>
  <c r="AE13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5" i="7"/>
  <c r="AE196" i="7"/>
  <c r="AE197" i="7"/>
  <c r="AE198" i="7"/>
  <c r="AE199" i="7"/>
  <c r="AE200" i="7"/>
  <c r="AE201" i="7"/>
  <c r="AE202" i="7"/>
  <c r="AE203" i="7"/>
  <c r="AE204" i="7"/>
  <c r="AE205" i="7"/>
  <c r="AE206" i="7"/>
  <c r="AE207" i="7"/>
  <c r="AE208" i="7"/>
  <c r="AE209" i="7"/>
  <c r="AE210" i="7"/>
  <c r="AE211" i="7"/>
  <c r="AE212" i="7"/>
  <c r="AE213" i="7"/>
  <c r="AE214" i="7"/>
  <c r="AE215" i="7"/>
  <c r="AE216" i="7"/>
  <c r="AE217" i="7"/>
  <c r="AE218" i="7"/>
  <c r="AE219" i="7"/>
  <c r="AE220" i="7"/>
  <c r="AE221" i="7"/>
  <c r="AE222" i="7"/>
  <c r="AE223" i="7"/>
  <c r="AE224" i="7"/>
  <c r="AE225" i="7"/>
  <c r="AE226" i="7"/>
  <c r="AE227" i="7"/>
  <c r="AE228" i="7"/>
  <c r="AE229" i="7"/>
  <c r="AE230" i="7"/>
  <c r="AE231" i="7"/>
  <c r="AE232" i="7"/>
  <c r="AE233" i="7"/>
  <c r="AE234" i="7"/>
  <c r="AE235" i="7"/>
  <c r="AE236" i="7"/>
  <c r="AE237" i="7"/>
  <c r="AE238" i="7"/>
  <c r="AE239" i="7"/>
  <c r="AE240" i="7"/>
  <c r="AE241" i="7"/>
  <c r="AE242" i="7"/>
  <c r="AE243" i="7"/>
  <c r="AE244" i="7"/>
  <c r="AE245" i="7"/>
  <c r="AE246" i="7"/>
  <c r="AE247" i="7"/>
  <c r="AE248" i="7"/>
  <c r="AE249" i="7"/>
  <c r="AE250" i="7"/>
  <c r="AE251" i="7"/>
  <c r="AE252" i="7"/>
  <c r="AE253" i="7"/>
  <c r="AE254" i="7"/>
  <c r="AE255" i="7"/>
  <c r="AE256" i="7"/>
  <c r="AE257" i="7"/>
  <c r="AE258" i="7"/>
  <c r="AE259" i="7"/>
  <c r="AE260" i="7"/>
  <c r="AE261" i="7"/>
  <c r="AE262" i="7"/>
  <c r="AE263" i="7"/>
  <c r="AE264" i="7"/>
  <c r="AE265" i="7"/>
  <c r="AE266" i="7"/>
  <c r="AE267" i="7"/>
  <c r="AE268" i="7"/>
  <c r="AE269" i="7"/>
  <c r="AE270" i="7"/>
  <c r="AE271" i="7"/>
  <c r="AE272" i="7"/>
  <c r="AE273" i="7"/>
  <c r="AE274" i="7"/>
  <c r="AE275" i="7"/>
  <c r="AE276" i="7"/>
  <c r="AE277" i="7"/>
  <c r="AE278" i="7"/>
  <c r="AE279" i="7"/>
  <c r="AE280" i="7"/>
  <c r="AE281" i="7"/>
  <c r="AE282" i="7"/>
  <c r="AE283" i="7"/>
  <c r="AE284" i="7"/>
  <c r="AE285" i="7"/>
  <c r="AE286" i="7"/>
  <c r="AE287" i="7"/>
  <c r="AE288" i="7"/>
  <c r="AE289" i="7"/>
  <c r="AE290" i="7"/>
  <c r="AE291" i="7"/>
  <c r="AE292" i="7"/>
  <c r="AE293" i="7"/>
  <c r="AE294" i="7"/>
  <c r="AE295" i="7"/>
  <c r="AE296" i="7"/>
  <c r="AE297" i="7"/>
  <c r="AE298" i="7"/>
  <c r="AE299" i="7"/>
  <c r="AE300" i="7"/>
  <c r="AE301" i="7"/>
  <c r="AE302" i="7"/>
  <c r="AE303" i="7"/>
  <c r="AE304" i="7"/>
  <c r="AE305" i="7"/>
  <c r="AE306" i="7"/>
  <c r="AE307" i="7"/>
  <c r="AE308" i="7"/>
  <c r="AE309" i="7"/>
  <c r="AE310" i="7"/>
  <c r="AE311" i="7"/>
  <c r="AE312" i="7"/>
  <c r="AE313" i="7"/>
  <c r="AE314" i="7"/>
  <c r="AE315" i="7"/>
  <c r="AE316" i="7"/>
  <c r="AE317" i="7"/>
  <c r="AE318" i="7"/>
  <c r="AE319" i="7"/>
  <c r="AE320" i="7"/>
  <c r="AE321" i="7"/>
  <c r="AE322" i="7"/>
  <c r="AE323" i="7"/>
  <c r="AE324" i="7"/>
  <c r="AE325" i="7"/>
  <c r="AE326" i="7"/>
  <c r="AE327" i="7"/>
  <c r="AE328" i="7"/>
  <c r="AE329" i="7"/>
  <c r="AE330" i="7"/>
  <c r="AE331" i="7"/>
  <c r="AE332" i="7"/>
  <c r="AE333" i="7"/>
  <c r="AE334" i="7"/>
  <c r="AE335" i="7"/>
  <c r="AE336" i="7"/>
  <c r="AE337" i="7"/>
  <c r="AE338" i="7"/>
  <c r="AE339" i="7"/>
  <c r="AE340" i="7"/>
  <c r="AE341" i="7"/>
  <c r="AE342" i="7"/>
  <c r="AE343" i="7"/>
  <c r="AE344" i="7"/>
  <c r="AE345" i="7"/>
  <c r="AE346" i="7"/>
  <c r="AE347" i="7"/>
  <c r="AE348" i="7"/>
  <c r="AE349" i="7"/>
  <c r="AE350" i="7"/>
  <c r="AE351" i="7"/>
  <c r="AE352" i="7"/>
  <c r="AE353" i="7"/>
  <c r="AE354" i="7"/>
  <c r="AE355" i="7"/>
  <c r="AE356" i="7"/>
  <c r="AE357" i="7"/>
  <c r="AE358" i="7"/>
  <c r="AE359" i="7"/>
  <c r="AE360" i="7"/>
  <c r="AE361" i="7"/>
  <c r="AE362" i="7"/>
  <c r="AE363" i="7"/>
  <c r="AE364" i="7"/>
  <c r="AE365" i="7"/>
  <c r="AE366" i="7"/>
  <c r="AE367" i="7"/>
  <c r="AE368" i="7"/>
  <c r="AE369" i="7"/>
  <c r="AE370" i="7"/>
  <c r="AE371" i="7"/>
  <c r="AE372" i="7"/>
  <c r="AE373" i="7"/>
  <c r="AE374" i="7"/>
  <c r="AE375" i="7"/>
  <c r="AE376" i="7"/>
  <c r="AE377" i="7"/>
  <c r="AE378" i="7"/>
  <c r="AE379" i="7"/>
  <c r="AE380" i="7"/>
  <c r="AE381" i="7"/>
  <c r="AE382" i="7"/>
  <c r="AE383" i="7"/>
  <c r="AE384" i="7"/>
  <c r="AE385" i="7"/>
  <c r="AE386" i="7"/>
  <c r="AE387" i="7"/>
  <c r="AE388" i="7"/>
  <c r="AE389" i="7"/>
  <c r="AE390" i="7"/>
  <c r="AE391" i="7"/>
  <c r="AE392" i="7"/>
  <c r="AE393" i="7"/>
  <c r="AE394" i="7"/>
  <c r="AE395" i="7"/>
  <c r="AE396" i="7"/>
  <c r="AE397" i="7"/>
  <c r="AE398" i="7"/>
  <c r="AE399" i="7"/>
  <c r="AE400" i="7"/>
  <c r="AE401" i="7"/>
  <c r="AE402" i="7"/>
  <c r="AE403" i="7"/>
  <c r="AE404" i="7"/>
  <c r="AE405" i="7"/>
  <c r="AE406" i="7"/>
  <c r="AE407" i="7"/>
  <c r="AE408" i="7"/>
  <c r="AE409" i="7"/>
  <c r="AE410" i="7"/>
  <c r="AE411" i="7"/>
  <c r="AE412" i="7"/>
  <c r="AE413" i="7"/>
  <c r="AE414" i="7"/>
  <c r="AE415" i="7"/>
  <c r="AE416" i="7"/>
  <c r="AE417" i="7"/>
  <c r="AE418" i="7"/>
  <c r="AE419" i="7"/>
  <c r="AE420" i="7"/>
  <c r="AE421" i="7"/>
  <c r="AE422" i="7"/>
  <c r="AE423" i="7"/>
  <c r="AE424" i="7"/>
  <c r="AE425" i="7"/>
  <c r="AE426" i="7"/>
  <c r="AE427" i="7"/>
  <c r="AE428" i="7"/>
  <c r="AE429" i="7"/>
  <c r="AE430" i="7"/>
  <c r="AE431" i="7"/>
  <c r="AE432" i="7"/>
  <c r="AE433" i="7"/>
  <c r="AE434" i="7"/>
  <c r="AE435" i="7"/>
  <c r="AE436" i="7"/>
  <c r="AE437" i="7"/>
  <c r="AE438" i="7"/>
  <c r="AE439" i="7"/>
  <c r="AE440" i="7"/>
  <c r="AE441" i="7"/>
  <c r="AE442" i="7"/>
  <c r="AE443" i="7"/>
  <c r="AE444" i="7"/>
  <c r="AE445" i="7"/>
  <c r="AE446" i="7"/>
  <c r="AE447" i="7"/>
  <c r="AE448" i="7"/>
  <c r="AE449" i="7"/>
  <c r="AE450" i="7"/>
  <c r="AE451" i="7"/>
  <c r="AE452" i="7"/>
  <c r="AE453" i="7"/>
  <c r="AE454" i="7"/>
  <c r="AE455" i="7"/>
  <c r="AE456" i="7"/>
  <c r="AE457" i="7"/>
  <c r="AE458" i="7"/>
  <c r="AE459" i="7"/>
  <c r="AE460" i="7"/>
  <c r="AE461" i="7"/>
  <c r="AE462" i="7"/>
  <c r="AE463" i="7"/>
  <c r="AE464" i="7"/>
  <c r="AE465" i="7"/>
  <c r="AE466" i="7"/>
  <c r="AE467" i="7"/>
  <c r="AE468" i="7"/>
  <c r="AE469" i="7"/>
  <c r="AE470" i="7"/>
  <c r="AE471" i="7"/>
  <c r="AE472" i="7"/>
  <c r="AE473" i="7"/>
  <c r="AE474" i="7"/>
  <c r="AE475" i="7"/>
  <c r="AE476" i="7"/>
  <c r="AE477" i="7"/>
  <c r="AE478" i="7"/>
  <c r="AE479" i="7"/>
  <c r="AE480" i="7"/>
  <c r="AE481" i="7"/>
  <c r="AE482" i="7"/>
  <c r="AE483" i="7"/>
  <c r="AE484" i="7"/>
  <c r="AE485" i="7"/>
  <c r="AE486" i="7"/>
  <c r="AE487" i="7"/>
  <c r="AE488" i="7"/>
  <c r="AE489" i="7"/>
  <c r="AE490" i="7"/>
  <c r="AE491" i="7"/>
  <c r="AE492" i="7"/>
  <c r="AE493" i="7"/>
  <c r="AE494" i="7"/>
  <c r="AE495" i="7"/>
  <c r="AE496" i="7"/>
  <c r="AE497" i="7"/>
  <c r="AE498" i="7"/>
  <c r="AE499" i="7"/>
  <c r="AE500" i="7"/>
  <c r="AE501" i="7"/>
  <c r="AE502" i="7"/>
  <c r="AE503" i="7"/>
  <c r="AE504" i="7"/>
  <c r="AE505" i="7"/>
  <c r="AE506" i="7"/>
  <c r="AE507" i="7"/>
  <c r="AE508" i="7"/>
  <c r="AE509" i="7"/>
  <c r="AE510" i="7"/>
  <c r="AE511" i="7"/>
  <c r="AE512" i="7"/>
  <c r="AE513" i="7"/>
  <c r="AE514" i="7"/>
  <c r="AE515" i="7"/>
  <c r="AE516" i="7"/>
  <c r="AE517" i="7"/>
  <c r="AE518" i="7"/>
  <c r="AE519" i="7"/>
  <c r="AE520" i="7"/>
  <c r="AE521" i="7"/>
  <c r="AE522" i="7"/>
  <c r="AE523" i="7"/>
  <c r="AE524" i="7"/>
  <c r="AE525" i="7"/>
  <c r="AE526" i="7"/>
  <c r="AE527" i="7"/>
  <c r="AE528" i="7"/>
  <c r="AE529" i="7"/>
  <c r="AE530" i="7"/>
  <c r="AE531" i="7"/>
  <c r="AE532" i="7"/>
  <c r="AE533" i="7"/>
  <c r="AE534" i="7"/>
  <c r="AE535" i="7"/>
  <c r="AE536" i="7"/>
  <c r="AE537" i="7"/>
  <c r="AE538" i="7"/>
  <c r="AE539" i="7"/>
  <c r="AE540" i="7"/>
  <c r="AE541" i="7"/>
  <c r="AE542" i="7"/>
  <c r="AE543" i="7"/>
  <c r="AE544" i="7"/>
  <c r="AE545" i="7"/>
  <c r="AE546" i="7"/>
  <c r="AE547" i="7"/>
  <c r="AE548" i="7"/>
  <c r="AE549" i="7"/>
  <c r="AE550" i="7"/>
  <c r="AE551" i="7"/>
  <c r="AE552" i="7"/>
  <c r="AE553" i="7"/>
  <c r="AE554" i="7"/>
  <c r="AE555" i="7"/>
  <c r="AE556" i="7"/>
  <c r="AE557" i="7"/>
  <c r="AE558" i="7"/>
  <c r="AE559" i="7"/>
  <c r="AE560" i="7"/>
  <c r="AE561" i="7"/>
  <c r="AE562" i="7"/>
  <c r="AE563" i="7"/>
  <c r="AE564" i="7"/>
  <c r="AE565" i="7"/>
  <c r="AE566" i="7"/>
  <c r="AE567" i="7"/>
  <c r="AE568" i="7"/>
  <c r="AE569" i="7"/>
  <c r="AE570" i="7"/>
  <c r="AE571" i="7"/>
  <c r="AE572" i="7"/>
  <c r="AE573" i="7"/>
  <c r="AE574" i="7"/>
  <c r="AE575" i="7"/>
  <c r="AE576" i="7"/>
  <c r="AE577" i="7"/>
  <c r="AE578" i="7"/>
  <c r="AE579" i="7"/>
  <c r="AE580" i="7"/>
  <c r="AE581" i="7"/>
  <c r="AE582" i="7"/>
  <c r="AE583" i="7"/>
  <c r="AE584" i="7"/>
  <c r="AE585" i="7"/>
  <c r="AE586" i="7"/>
  <c r="AE587" i="7"/>
  <c r="AE588" i="7"/>
  <c r="AE589" i="7"/>
  <c r="AE590" i="7"/>
  <c r="AE591" i="7"/>
  <c r="AE592" i="7"/>
  <c r="AE593" i="7"/>
  <c r="AE594" i="7"/>
  <c r="AE595" i="7"/>
  <c r="AE596" i="7"/>
  <c r="AE597" i="7"/>
  <c r="AE598" i="7"/>
  <c r="AE599" i="7"/>
  <c r="AE600" i="7"/>
  <c r="AE601" i="7"/>
  <c r="AE602" i="7"/>
  <c r="AE603" i="7"/>
  <c r="AE604" i="7"/>
  <c r="AE605" i="7"/>
  <c r="AE606" i="7"/>
  <c r="AE607" i="7"/>
  <c r="AE608" i="7"/>
  <c r="AE609" i="7"/>
  <c r="AE610" i="7"/>
  <c r="AE611" i="7"/>
  <c r="AE612" i="7"/>
  <c r="AE613" i="7"/>
  <c r="AE614" i="7"/>
  <c r="AE615" i="7"/>
  <c r="AE616" i="7"/>
  <c r="AE617" i="7"/>
  <c r="AE618" i="7"/>
  <c r="AE619" i="7"/>
  <c r="AE620" i="7"/>
  <c r="AE621" i="7"/>
  <c r="AE622" i="7"/>
  <c r="AE623" i="7"/>
  <c r="AE624" i="7"/>
  <c r="AE625" i="7"/>
  <c r="AE626" i="7"/>
  <c r="AE627" i="7"/>
  <c r="AE628" i="7"/>
  <c r="AE629" i="7"/>
  <c r="AE630" i="7"/>
  <c r="AE631" i="7"/>
  <c r="AE632" i="7"/>
  <c r="AE633" i="7"/>
  <c r="AE634" i="7"/>
  <c r="AE635" i="7"/>
  <c r="AE636" i="7"/>
  <c r="AE637" i="7"/>
  <c r="AE638" i="7"/>
  <c r="AE639" i="7"/>
  <c r="AE640" i="7"/>
  <c r="AE641" i="7"/>
  <c r="AE642" i="7"/>
  <c r="AE643" i="7"/>
  <c r="AE644" i="7"/>
  <c r="AE645" i="7"/>
  <c r="AE646" i="7"/>
  <c r="AE647" i="7"/>
  <c r="AE648" i="7"/>
  <c r="AE649" i="7"/>
  <c r="AE650" i="7"/>
  <c r="AE651" i="7"/>
  <c r="AE652" i="7"/>
  <c r="AE653" i="7"/>
  <c r="AE654" i="7"/>
  <c r="AE655" i="7"/>
  <c r="AE656" i="7"/>
  <c r="AE657" i="7"/>
  <c r="AE658" i="7"/>
  <c r="AE659" i="7"/>
  <c r="AE660" i="7"/>
  <c r="AE661" i="7"/>
  <c r="AE662" i="7"/>
  <c r="AE663" i="7"/>
  <c r="AE664" i="7"/>
  <c r="AE665" i="7"/>
  <c r="AE666" i="7"/>
  <c r="AE667" i="7"/>
  <c r="AE668" i="7"/>
  <c r="AE669" i="7"/>
  <c r="AE670" i="7"/>
  <c r="AE671" i="7"/>
  <c r="AE672" i="7"/>
  <c r="AE673" i="7"/>
  <c r="AE674" i="7"/>
  <c r="AE675" i="7"/>
  <c r="AE676" i="7"/>
  <c r="AE677" i="7"/>
  <c r="AE678" i="7"/>
  <c r="AE679" i="7"/>
  <c r="AE680" i="7"/>
  <c r="AE681" i="7"/>
  <c r="AE682" i="7"/>
  <c r="AE683" i="7"/>
  <c r="AE684" i="7"/>
  <c r="AE685" i="7"/>
  <c r="AE686" i="7"/>
  <c r="AE687" i="7"/>
  <c r="AE688" i="7"/>
  <c r="AE689" i="7"/>
  <c r="AE690" i="7"/>
  <c r="AE691" i="7"/>
  <c r="AE692" i="7"/>
  <c r="AE693" i="7"/>
  <c r="AE694" i="7"/>
  <c r="AE695" i="7"/>
  <c r="AE696" i="7"/>
  <c r="AE697" i="7"/>
  <c r="AE698" i="7"/>
  <c r="AE699" i="7"/>
  <c r="AE700" i="7"/>
  <c r="AE701" i="7"/>
  <c r="AE702" i="7"/>
  <c r="AE703" i="7"/>
  <c r="AE704" i="7"/>
  <c r="AE705" i="7"/>
  <c r="AE706" i="7"/>
  <c r="AE707" i="7"/>
  <c r="AE708" i="7"/>
  <c r="AE709" i="7"/>
  <c r="AE710" i="7"/>
  <c r="AE711" i="7"/>
  <c r="AE712" i="7"/>
  <c r="AE713" i="7"/>
  <c r="AE714" i="7"/>
  <c r="AE715" i="7"/>
  <c r="AE716" i="7"/>
  <c r="AE717" i="7"/>
  <c r="AE718" i="7"/>
  <c r="AE719" i="7"/>
  <c r="AE720" i="7"/>
  <c r="AE721" i="7"/>
  <c r="AE722" i="7"/>
  <c r="AE723" i="7"/>
  <c r="AE724" i="7"/>
  <c r="AE725" i="7"/>
  <c r="AE726" i="7"/>
  <c r="AE727" i="7"/>
  <c r="AE728" i="7"/>
  <c r="AE729" i="7"/>
  <c r="AE730" i="7"/>
  <c r="AE731" i="7"/>
  <c r="AE732" i="7"/>
  <c r="AE733" i="7"/>
  <c r="AE734" i="7"/>
  <c r="AE735" i="7"/>
  <c r="AE736" i="7"/>
  <c r="AE737" i="7"/>
  <c r="AE738" i="7"/>
  <c r="AE739" i="7"/>
  <c r="AE740" i="7"/>
  <c r="AE741" i="7"/>
  <c r="AE742" i="7"/>
  <c r="AE743" i="7"/>
  <c r="AE744" i="7"/>
  <c r="AE745" i="7"/>
  <c r="AE746" i="7"/>
  <c r="AE747" i="7"/>
  <c r="AE748" i="7"/>
  <c r="AE749" i="7"/>
  <c r="AE750" i="7"/>
  <c r="AE751" i="7"/>
  <c r="AE752" i="7"/>
  <c r="AE753" i="7"/>
  <c r="AE754" i="7"/>
  <c r="AE755" i="7"/>
  <c r="AE756" i="7"/>
  <c r="AE757" i="7"/>
  <c r="AE758" i="7"/>
  <c r="AE759" i="7"/>
  <c r="AE760" i="7"/>
  <c r="AE761" i="7"/>
  <c r="AE762" i="7"/>
  <c r="AE763" i="7"/>
  <c r="AE764" i="7"/>
  <c r="AE765" i="7"/>
  <c r="AE766" i="7"/>
  <c r="AE767" i="7"/>
  <c r="AE768" i="7"/>
  <c r="AE769" i="7"/>
  <c r="AE770" i="7"/>
  <c r="AE771" i="7"/>
  <c r="AE772" i="7"/>
  <c r="AE773" i="7"/>
  <c r="AE774" i="7"/>
  <c r="AE775" i="7"/>
  <c r="AE776" i="7"/>
  <c r="AE777" i="7"/>
  <c r="AE778" i="7"/>
  <c r="AE779" i="7"/>
  <c r="AE780" i="7"/>
  <c r="AE781" i="7"/>
  <c r="AE782" i="7"/>
  <c r="AE783" i="7"/>
  <c r="AE784" i="7"/>
  <c r="AE785" i="7"/>
  <c r="AE786" i="7"/>
  <c r="AE787" i="7"/>
  <c r="AE788" i="7"/>
  <c r="AE789" i="7"/>
  <c r="AE790" i="7"/>
  <c r="AE791" i="7"/>
  <c r="AE792" i="7"/>
  <c r="AE793" i="7"/>
  <c r="AE794" i="7"/>
  <c r="AE795" i="7"/>
  <c r="AE796" i="7"/>
  <c r="AE797" i="7"/>
  <c r="AE798" i="7"/>
  <c r="AE799" i="7"/>
  <c r="AE800" i="7"/>
  <c r="AE801" i="7"/>
  <c r="AE802" i="7"/>
  <c r="AE803" i="7"/>
  <c r="AE804" i="7"/>
  <c r="AE805" i="7"/>
  <c r="AE806" i="7"/>
  <c r="AE807" i="7"/>
  <c r="AE808" i="7"/>
  <c r="AE809" i="7"/>
  <c r="AE810" i="7"/>
  <c r="AE811" i="7"/>
  <c r="AE812" i="7"/>
  <c r="AE813" i="7"/>
  <c r="AE814" i="7"/>
  <c r="AE815" i="7"/>
  <c r="AE816" i="7"/>
  <c r="AE817" i="7"/>
  <c r="AE818" i="7"/>
  <c r="AE819" i="7"/>
  <c r="AE820" i="7"/>
  <c r="AE821" i="7"/>
  <c r="AE822" i="7"/>
  <c r="AE823" i="7"/>
  <c r="AE824" i="7"/>
  <c r="AE825" i="7"/>
  <c r="AE826" i="7"/>
  <c r="AE827" i="7"/>
  <c r="AE828" i="7"/>
  <c r="AE829" i="7"/>
  <c r="AE830" i="7"/>
  <c r="AE831" i="7"/>
  <c r="AE832" i="7"/>
  <c r="AE833" i="7"/>
  <c r="AE834" i="7"/>
  <c r="AE835" i="7"/>
  <c r="AE836" i="7"/>
  <c r="AE837" i="7"/>
  <c r="AE838" i="7"/>
  <c r="AE839" i="7"/>
  <c r="AE840" i="7"/>
  <c r="AE841" i="7"/>
  <c r="AE842" i="7"/>
  <c r="AE843" i="7"/>
  <c r="AE844" i="7"/>
  <c r="AE845" i="7"/>
  <c r="AE846" i="7"/>
  <c r="AE847" i="7"/>
  <c r="AE848" i="7"/>
  <c r="AE849" i="7"/>
  <c r="AE850" i="7"/>
  <c r="AE851" i="7"/>
  <c r="AE852" i="7"/>
  <c r="AE853" i="7"/>
  <c r="AE854" i="7"/>
  <c r="AE855" i="7"/>
  <c r="AE856" i="7"/>
  <c r="AE857" i="7"/>
  <c r="AE858" i="7"/>
  <c r="AE859" i="7"/>
  <c r="AE860" i="7"/>
  <c r="AE861" i="7"/>
  <c r="AE862" i="7"/>
  <c r="AE863" i="7"/>
  <c r="AE864" i="7"/>
  <c r="AE865" i="7"/>
  <c r="AE866" i="7"/>
  <c r="AE867" i="7"/>
  <c r="AE868" i="7"/>
  <c r="AE869" i="7"/>
  <c r="AE870" i="7"/>
  <c r="AE871" i="7"/>
  <c r="AE872" i="7"/>
  <c r="AE873" i="7"/>
  <c r="AE874" i="7"/>
  <c r="AE875" i="7"/>
  <c r="AE876" i="7"/>
  <c r="AE877" i="7"/>
  <c r="AE878" i="7"/>
  <c r="AE879" i="7"/>
  <c r="AE880" i="7"/>
  <c r="AE881" i="7"/>
  <c r="AE882" i="7"/>
  <c r="AE883" i="7"/>
  <c r="AE884" i="7"/>
  <c r="AE885" i="7"/>
  <c r="AE886" i="7"/>
  <c r="AE887" i="7"/>
  <c r="AE888" i="7"/>
  <c r="AE889" i="7"/>
  <c r="AE890" i="7"/>
  <c r="AE891" i="7"/>
  <c r="AE892" i="7"/>
  <c r="AE893" i="7"/>
  <c r="AE894" i="7"/>
  <c r="AE895" i="7"/>
  <c r="AE896" i="7"/>
  <c r="AE897" i="7"/>
  <c r="AE898" i="7"/>
  <c r="AE899" i="7"/>
  <c r="AE900" i="7"/>
  <c r="AE901" i="7"/>
  <c r="AE902" i="7"/>
  <c r="AE903" i="7"/>
  <c r="AE904" i="7"/>
  <c r="AE905" i="7"/>
  <c r="AE906" i="7"/>
  <c r="AE907" i="7"/>
  <c r="AE908" i="7"/>
  <c r="AE909" i="7"/>
  <c r="AE910" i="7"/>
  <c r="AE911" i="7"/>
  <c r="AE912" i="7"/>
  <c r="AE913" i="7"/>
  <c r="AE914" i="7"/>
  <c r="AE915" i="7"/>
  <c r="AE916" i="7"/>
  <c r="AE917" i="7"/>
  <c r="AE918" i="7"/>
  <c r="AE919" i="7"/>
  <c r="AE920" i="7"/>
  <c r="AE921" i="7"/>
  <c r="AE922" i="7"/>
  <c r="AE923" i="7"/>
  <c r="AE924" i="7"/>
  <c r="AE925" i="7"/>
  <c r="AE926" i="7"/>
  <c r="AE927" i="7"/>
  <c r="AE928" i="7"/>
  <c r="AE929" i="7"/>
  <c r="AE930" i="7"/>
  <c r="AE931" i="7"/>
  <c r="AE932" i="7"/>
  <c r="AE933" i="7"/>
  <c r="AE934" i="7"/>
  <c r="AE935" i="7"/>
  <c r="AE936" i="7"/>
  <c r="AE937" i="7"/>
  <c r="AE938" i="7"/>
  <c r="AE939" i="7"/>
  <c r="AE940" i="7"/>
  <c r="AE941" i="7"/>
  <c r="AE942" i="7"/>
  <c r="AE943" i="7"/>
  <c r="AE944" i="7"/>
  <c r="AE945" i="7"/>
  <c r="AE946" i="7"/>
  <c r="AE947" i="7"/>
  <c r="AE948" i="7"/>
  <c r="AE949" i="7"/>
  <c r="AE950" i="7"/>
  <c r="AE951" i="7"/>
  <c r="AE952" i="7"/>
  <c r="AE953" i="7"/>
  <c r="AE954" i="7"/>
  <c r="AE955" i="7"/>
  <c r="AE956" i="7"/>
  <c r="AE957" i="7"/>
  <c r="AE958" i="7"/>
  <c r="AE959" i="7"/>
  <c r="AE960" i="7"/>
  <c r="AE961" i="7"/>
  <c r="AE962" i="7"/>
  <c r="AE963" i="7"/>
  <c r="AE964" i="7"/>
  <c r="AE965" i="7"/>
  <c r="AE966" i="7"/>
  <c r="AE967" i="7"/>
  <c r="AE968" i="7"/>
  <c r="AE969" i="7"/>
  <c r="AE970" i="7"/>
  <c r="AE971" i="7"/>
  <c r="AE972" i="7"/>
  <c r="AE973" i="7"/>
  <c r="AE974" i="7"/>
  <c r="AE975" i="7"/>
  <c r="AE976" i="7"/>
  <c r="AE977" i="7"/>
  <c r="AE978" i="7"/>
  <c r="AE979" i="7"/>
  <c r="AE980" i="7"/>
  <c r="AE981" i="7"/>
  <c r="AE982" i="7"/>
  <c r="AE983" i="7"/>
  <c r="AE984" i="7"/>
  <c r="AE985" i="7"/>
  <c r="AE986" i="7"/>
  <c r="AE987" i="7"/>
  <c r="AE988" i="7"/>
  <c r="AE989" i="7"/>
  <c r="AE990" i="7"/>
  <c r="AE991" i="7"/>
  <c r="AE992" i="7"/>
  <c r="AE993" i="7"/>
  <c r="AE994" i="7"/>
  <c r="AE995" i="7"/>
  <c r="AE996" i="7"/>
  <c r="AE997" i="7"/>
  <c r="AE998" i="7"/>
  <c r="AE999" i="7"/>
  <c r="AE1000" i="7"/>
  <c r="AE1001" i="7"/>
  <c r="AE1002" i="7"/>
  <c r="AE1003" i="7"/>
  <c r="AE1004" i="7"/>
  <c r="AE1005" i="7"/>
  <c r="AE1006" i="7"/>
  <c r="AE1007" i="7"/>
  <c r="AE1008" i="7"/>
  <c r="AE1009" i="7"/>
  <c r="AE1010" i="7"/>
  <c r="AE1011" i="7"/>
  <c r="AE1012" i="7"/>
  <c r="AE1013" i="7"/>
  <c r="AE1014" i="7"/>
  <c r="AE1015" i="7"/>
  <c r="AE1016" i="7"/>
  <c r="AE1017" i="7"/>
  <c r="AE1018" i="7"/>
  <c r="AE1019" i="7"/>
  <c r="AE1020" i="7"/>
  <c r="AE1021" i="7"/>
  <c r="AE1022" i="7"/>
  <c r="AE1023" i="7"/>
  <c r="AE1024" i="7"/>
  <c r="AE1025" i="7"/>
  <c r="AE1026" i="7"/>
  <c r="AE1027" i="7"/>
  <c r="AE1028" i="7"/>
  <c r="AE1029" i="7"/>
  <c r="AE1030" i="7"/>
  <c r="AE1031" i="7"/>
  <c r="AE1032" i="7"/>
  <c r="AE1033" i="7"/>
  <c r="AE1034" i="7"/>
  <c r="AE1035" i="7"/>
  <c r="AE1036" i="7"/>
  <c r="AE1037" i="7"/>
  <c r="AE1038" i="7"/>
  <c r="AE1039" i="7"/>
  <c r="AE1040" i="7"/>
  <c r="AE1041" i="7"/>
  <c r="AE1042" i="7"/>
  <c r="AE1043" i="7"/>
  <c r="AE1044" i="7"/>
  <c r="AE1045" i="7"/>
  <c r="AE1046" i="7"/>
  <c r="AE1047" i="7"/>
  <c r="AE1048" i="7"/>
  <c r="AE1049" i="7"/>
  <c r="AE1050" i="7"/>
  <c r="AE1051" i="7"/>
  <c r="AE1052" i="7"/>
  <c r="AE1053" i="7"/>
  <c r="AE1054" i="7"/>
  <c r="AE1055" i="7"/>
  <c r="AE1056" i="7"/>
  <c r="AE1057" i="7"/>
  <c r="AE1058" i="7"/>
  <c r="AE1059" i="7"/>
  <c r="AE1060" i="7"/>
  <c r="AE1061" i="7"/>
  <c r="AE1062" i="7"/>
  <c r="AE1063" i="7"/>
  <c r="AE1064" i="7"/>
  <c r="AE1065" i="7"/>
  <c r="AE1066" i="7"/>
  <c r="AE1067" i="7"/>
  <c r="AE1068" i="7"/>
  <c r="AE1069" i="7"/>
  <c r="AE1070" i="7"/>
  <c r="AE1071" i="7"/>
  <c r="AE1072" i="7"/>
  <c r="AE1073" i="7"/>
  <c r="AE1074" i="7"/>
  <c r="AE1075" i="7"/>
  <c r="AE1076" i="7"/>
  <c r="AE1077" i="7"/>
  <c r="AE1078" i="7"/>
  <c r="AE1079" i="7"/>
  <c r="AE1080" i="7"/>
  <c r="AE1081" i="7"/>
  <c r="AE1082" i="7"/>
  <c r="AE1083" i="7"/>
  <c r="AE1084" i="7"/>
  <c r="AE1085" i="7"/>
  <c r="AE1086" i="7"/>
  <c r="AE1087" i="7"/>
  <c r="AE1088" i="7"/>
  <c r="AE1089" i="7"/>
  <c r="AE1090" i="7"/>
  <c r="AE1091" i="7"/>
  <c r="AE1092" i="7"/>
  <c r="AE1093" i="7"/>
  <c r="AE1094" i="7"/>
  <c r="AE1095" i="7"/>
  <c r="AE1096" i="7"/>
  <c r="AE1097" i="7"/>
  <c r="AE1098" i="7"/>
  <c r="AE1099" i="7"/>
  <c r="AE1100" i="7"/>
  <c r="AE1101" i="7"/>
  <c r="AE1102" i="7"/>
  <c r="AE1103" i="7"/>
  <c r="AE1104" i="7"/>
  <c r="AE1105" i="7"/>
  <c r="AE1106" i="7"/>
  <c r="AE1107" i="7"/>
  <c r="AE1108" i="7"/>
  <c r="AE1109" i="7"/>
  <c r="AE1110" i="7"/>
  <c r="AE1111" i="7"/>
  <c r="AE1112" i="7"/>
  <c r="AE1113" i="7"/>
  <c r="AE1114" i="7"/>
  <c r="AE1115" i="7"/>
  <c r="AE1116" i="7"/>
  <c r="AE1117" i="7"/>
  <c r="AE1118" i="7"/>
  <c r="AE1119" i="7"/>
  <c r="AE1120" i="7"/>
  <c r="AE1121" i="7"/>
  <c r="AE1122" i="7"/>
  <c r="AE1123" i="7"/>
  <c r="AE1124" i="7"/>
  <c r="AE1125" i="7"/>
  <c r="AE1126" i="7"/>
  <c r="AE1127" i="7"/>
  <c r="AE1128" i="7"/>
  <c r="AE1129" i="7"/>
  <c r="AE1130" i="7"/>
  <c r="AE1131" i="7"/>
  <c r="AE1132" i="7"/>
  <c r="AE1133" i="7"/>
  <c r="AE1134" i="7"/>
  <c r="AE1135" i="7"/>
  <c r="AE1136" i="7"/>
  <c r="AE1137" i="7"/>
  <c r="AE1138" i="7"/>
  <c r="AE1139" i="7"/>
  <c r="AE1140" i="7"/>
  <c r="AE1141" i="7"/>
  <c r="AE1142" i="7"/>
  <c r="AE1143" i="7"/>
  <c r="AE1144" i="7"/>
  <c r="AE1145" i="7"/>
  <c r="AE1146" i="7"/>
  <c r="AE1147" i="7"/>
  <c r="AE1148" i="7"/>
  <c r="AE1149" i="7"/>
  <c r="AE1150" i="7"/>
  <c r="AE1151" i="7"/>
  <c r="AE1152" i="7"/>
  <c r="AE1153" i="7"/>
  <c r="AE1154" i="7"/>
  <c r="AE1155" i="7"/>
  <c r="AE1156" i="7"/>
  <c r="AE1157" i="7"/>
  <c r="AE1158" i="7"/>
  <c r="AE1159" i="7"/>
  <c r="AE1160" i="7"/>
  <c r="AE1161" i="7"/>
  <c r="AE1162" i="7"/>
  <c r="AE1163" i="7"/>
  <c r="AE1164" i="7"/>
  <c r="AE1165" i="7"/>
  <c r="AE1166" i="7"/>
  <c r="AE1167" i="7"/>
  <c r="AE1168" i="7"/>
  <c r="AE1169" i="7"/>
  <c r="AE1170" i="7"/>
  <c r="AE1171" i="7"/>
  <c r="AE1172" i="7"/>
  <c r="AE1173" i="7"/>
  <c r="AE1174" i="7"/>
  <c r="AE1175" i="7"/>
  <c r="AE1176" i="7"/>
  <c r="AE1177" i="7"/>
  <c r="AE1178" i="7"/>
  <c r="AE1179" i="7"/>
  <c r="AE1180" i="7"/>
  <c r="AE1181" i="7"/>
  <c r="AE1182" i="7"/>
  <c r="AE1183" i="7"/>
  <c r="AE1184" i="7"/>
  <c r="AE1185" i="7"/>
  <c r="AE1186" i="7"/>
  <c r="AE1187" i="7"/>
  <c r="AE1188" i="7"/>
  <c r="AE1189" i="7"/>
  <c r="AE1190" i="7"/>
  <c r="AE1191" i="7"/>
  <c r="AE1192" i="7"/>
  <c r="AE1193" i="7"/>
  <c r="AE1194" i="7"/>
  <c r="AE1195" i="7"/>
  <c r="AE1196" i="7"/>
  <c r="AE1197" i="7"/>
  <c r="AE1198" i="7"/>
  <c r="AE1199" i="7"/>
  <c r="AE1200" i="7"/>
  <c r="AE1201" i="7"/>
  <c r="AE1202" i="7"/>
  <c r="AE1203" i="7"/>
  <c r="AE1204" i="7"/>
  <c r="AE1205" i="7"/>
  <c r="AE1206" i="7"/>
  <c r="AE1207" i="7"/>
  <c r="AE1208" i="7"/>
  <c r="AE1209" i="7"/>
  <c r="AE1210" i="7"/>
  <c r="AE1211" i="7"/>
  <c r="AE1212" i="7"/>
  <c r="AE1213" i="7"/>
  <c r="AE1214" i="7"/>
  <c r="AE1215" i="7"/>
  <c r="AE1216" i="7"/>
  <c r="AE1217" i="7"/>
  <c r="AE1218" i="7"/>
  <c r="AE1219" i="7"/>
  <c r="AE1220" i="7"/>
  <c r="AE1221" i="7"/>
  <c r="AE1222" i="7"/>
  <c r="AE1223" i="7"/>
  <c r="AE1224" i="7"/>
  <c r="AE1225" i="7"/>
  <c r="AE1226" i="7"/>
  <c r="AE1227" i="7"/>
  <c r="AE1228" i="7"/>
  <c r="AE1229" i="7"/>
  <c r="AE1230" i="7"/>
  <c r="AE1231" i="7"/>
  <c r="AE1232" i="7"/>
  <c r="AE1233" i="7"/>
  <c r="AE1234" i="7"/>
  <c r="AE1235" i="7"/>
  <c r="AE1236" i="7"/>
  <c r="AE1237" i="7"/>
  <c r="AE1238" i="7"/>
  <c r="AE1239" i="7"/>
  <c r="AE1240" i="7"/>
  <c r="AE1241" i="7"/>
  <c r="AE1242" i="7"/>
  <c r="AE1243" i="7"/>
  <c r="AE1244" i="7"/>
  <c r="AE1245" i="7"/>
  <c r="AE1246" i="7"/>
  <c r="AE1247" i="7"/>
  <c r="AE1248" i="7"/>
  <c r="AE1249" i="7"/>
  <c r="AE1250" i="7"/>
  <c r="AE1251" i="7"/>
  <c r="AE1252" i="7"/>
  <c r="AE1253" i="7"/>
  <c r="AE1254" i="7"/>
  <c r="AE1255" i="7"/>
  <c r="AE1256" i="7"/>
  <c r="AE1257" i="7"/>
  <c r="AE1258" i="7"/>
  <c r="AE1259" i="7"/>
  <c r="AE1260" i="7"/>
  <c r="AE1261" i="7"/>
  <c r="AE1262" i="7"/>
  <c r="AE1263" i="7"/>
  <c r="AE1264" i="7"/>
  <c r="AE1265" i="7"/>
  <c r="AE1266" i="7"/>
  <c r="AE1267" i="7"/>
  <c r="AE1268" i="7"/>
  <c r="AE1269" i="7"/>
  <c r="AE1270" i="7"/>
  <c r="AE1271" i="7"/>
  <c r="AE1272" i="7"/>
  <c r="AE1273" i="7"/>
  <c r="AE1274" i="7"/>
  <c r="AE1275" i="7"/>
  <c r="AE1276" i="7"/>
  <c r="AE1277" i="7"/>
  <c r="AE1278" i="7"/>
  <c r="AE1279" i="7"/>
  <c r="AE1280" i="7"/>
  <c r="AE1281" i="7"/>
  <c r="AE1282" i="7"/>
  <c r="AE1283" i="7"/>
  <c r="AE1284" i="7"/>
  <c r="AE1285" i="7"/>
  <c r="AE1286" i="7"/>
  <c r="AE1287" i="7"/>
  <c r="AE1288" i="7"/>
  <c r="AE1289" i="7"/>
  <c r="AE1290" i="7"/>
  <c r="AE1291" i="7"/>
  <c r="AE1292" i="7"/>
  <c r="AE1293" i="7"/>
  <c r="AE1294" i="7"/>
  <c r="AE1295" i="7"/>
  <c r="AE1296" i="7"/>
  <c r="AE1297" i="7"/>
  <c r="AE1298" i="7"/>
  <c r="AE1299" i="7"/>
  <c r="AE1300" i="7"/>
  <c r="AE1301" i="7"/>
  <c r="AE1302" i="7"/>
  <c r="AE1303" i="7"/>
  <c r="AE1304" i="7"/>
  <c r="AE1305" i="7"/>
  <c r="AE1306" i="7"/>
  <c r="AE1307" i="7"/>
  <c r="AE1308" i="7"/>
  <c r="AE1309" i="7"/>
  <c r="AE1310" i="7"/>
  <c r="AE1311" i="7"/>
  <c r="AE1312" i="7"/>
  <c r="AE1313" i="7"/>
  <c r="AE1314" i="7"/>
  <c r="AE1315" i="7"/>
  <c r="AE1316" i="7"/>
  <c r="AE1317" i="7"/>
  <c r="AE1318" i="7"/>
  <c r="AE1319" i="7"/>
  <c r="AE1320" i="7"/>
  <c r="AE1321" i="7"/>
  <c r="AE1322" i="7"/>
  <c r="AE1323" i="7"/>
  <c r="AE1324" i="7"/>
  <c r="AE1325" i="7"/>
  <c r="AE1326" i="7"/>
  <c r="AE1327" i="7"/>
  <c r="AE1328" i="7"/>
  <c r="AE1329" i="7"/>
  <c r="AE1330" i="7"/>
  <c r="AE1331" i="7"/>
  <c r="AE1332" i="7"/>
  <c r="AE1333" i="7"/>
  <c r="AE1334" i="7"/>
  <c r="AE1335" i="7"/>
  <c r="AE1336" i="7"/>
  <c r="AE1337" i="7"/>
  <c r="AE1338" i="7"/>
  <c r="AE1339" i="7"/>
  <c r="AE1340" i="7"/>
  <c r="AE1341" i="7"/>
  <c r="AE1342" i="7"/>
  <c r="AE1343" i="7"/>
  <c r="AE1344" i="7"/>
  <c r="AE1345" i="7"/>
  <c r="AE1346" i="7"/>
  <c r="AE1347" i="7"/>
  <c r="AE1348" i="7"/>
  <c r="AE1349" i="7"/>
  <c r="AE1350" i="7"/>
  <c r="AE1351" i="7"/>
  <c r="AE1352" i="7"/>
  <c r="AE1353" i="7"/>
  <c r="AE1354" i="7"/>
  <c r="AE1355" i="7"/>
  <c r="AE1356" i="7"/>
  <c r="AE1357" i="7"/>
  <c r="AE1358" i="7"/>
  <c r="AE1359" i="7"/>
  <c r="AE1360" i="7"/>
  <c r="AE1361" i="7"/>
  <c r="AE1362" i="7"/>
  <c r="AE1363" i="7"/>
  <c r="AE1364" i="7"/>
  <c r="AE1365" i="7"/>
  <c r="AE1366" i="7"/>
  <c r="AE1367" i="7"/>
  <c r="AE1368" i="7"/>
  <c r="AE1369" i="7"/>
  <c r="AE1370" i="7"/>
  <c r="AE1371" i="7"/>
  <c r="AE1372" i="7"/>
  <c r="AE1373" i="7"/>
  <c r="AE1374" i="7"/>
  <c r="AE1375" i="7"/>
  <c r="AE1376" i="7"/>
  <c r="AE1377" i="7"/>
  <c r="AE1378" i="7"/>
  <c r="AE1379" i="7"/>
  <c r="AE1380" i="7"/>
  <c r="AE1381" i="7"/>
  <c r="AE1382" i="7"/>
  <c r="AE1383" i="7"/>
  <c r="AE1384" i="7"/>
  <c r="AE1385" i="7"/>
  <c r="AE1386" i="7"/>
  <c r="AE1387" i="7"/>
  <c r="AE1388" i="7"/>
  <c r="AE1389" i="7"/>
  <c r="AD3"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95" i="7"/>
  <c r="AD196" i="7"/>
  <c r="AD197" i="7"/>
  <c r="AD198" i="7"/>
  <c r="AD199" i="7"/>
  <c r="AD200" i="7"/>
  <c r="AD201" i="7"/>
  <c r="AD202" i="7"/>
  <c r="AD203" i="7"/>
  <c r="AD204" i="7"/>
  <c r="AD205" i="7"/>
  <c r="AD206" i="7"/>
  <c r="AD207" i="7"/>
  <c r="AD208" i="7"/>
  <c r="AD209" i="7"/>
  <c r="AD210" i="7"/>
  <c r="AD211" i="7"/>
  <c r="AD212" i="7"/>
  <c r="AD213" i="7"/>
  <c r="AD214" i="7"/>
  <c r="AD215" i="7"/>
  <c r="AD216" i="7"/>
  <c r="AD217" i="7"/>
  <c r="AD218" i="7"/>
  <c r="AD219" i="7"/>
  <c r="AD220" i="7"/>
  <c r="AD221" i="7"/>
  <c r="AD222" i="7"/>
  <c r="AD223" i="7"/>
  <c r="AD224" i="7"/>
  <c r="AD225" i="7"/>
  <c r="AD226" i="7"/>
  <c r="AD227" i="7"/>
  <c r="AD228" i="7"/>
  <c r="AD229" i="7"/>
  <c r="AD230" i="7"/>
  <c r="AD231" i="7"/>
  <c r="AD232" i="7"/>
  <c r="AD233" i="7"/>
  <c r="AD234" i="7"/>
  <c r="AD235" i="7"/>
  <c r="AD236" i="7"/>
  <c r="AD237" i="7"/>
  <c r="AD238" i="7"/>
  <c r="AD239" i="7"/>
  <c r="AD240" i="7"/>
  <c r="AD241" i="7"/>
  <c r="AD242" i="7"/>
  <c r="AD243" i="7"/>
  <c r="AD244" i="7"/>
  <c r="AD245" i="7"/>
  <c r="AD246" i="7"/>
  <c r="AD247" i="7"/>
  <c r="AD248" i="7"/>
  <c r="AD249" i="7"/>
  <c r="AD250" i="7"/>
  <c r="AD251" i="7"/>
  <c r="AD252" i="7"/>
  <c r="AD253" i="7"/>
  <c r="AD254" i="7"/>
  <c r="AD255" i="7"/>
  <c r="AD256" i="7"/>
  <c r="AD257" i="7"/>
  <c r="AD258" i="7"/>
  <c r="AD259" i="7"/>
  <c r="AD260" i="7"/>
  <c r="AD261" i="7"/>
  <c r="AD262" i="7"/>
  <c r="AD263" i="7"/>
  <c r="AD264" i="7"/>
  <c r="AD265" i="7"/>
  <c r="AD266" i="7"/>
  <c r="AD267" i="7"/>
  <c r="AD268" i="7"/>
  <c r="AD269" i="7"/>
  <c r="AD270" i="7"/>
  <c r="AD271" i="7"/>
  <c r="AD272" i="7"/>
  <c r="AD273" i="7"/>
  <c r="AD274" i="7"/>
  <c r="AD275" i="7"/>
  <c r="AD276" i="7"/>
  <c r="AD277" i="7"/>
  <c r="AD278" i="7"/>
  <c r="AD279" i="7"/>
  <c r="AD280" i="7"/>
  <c r="AD281" i="7"/>
  <c r="AD282" i="7"/>
  <c r="AD283" i="7"/>
  <c r="AD284" i="7"/>
  <c r="AD285" i="7"/>
  <c r="AD286" i="7"/>
  <c r="AD287" i="7"/>
  <c r="AD288" i="7"/>
  <c r="AD289" i="7"/>
  <c r="AD290" i="7"/>
  <c r="AD291" i="7"/>
  <c r="AD292" i="7"/>
  <c r="AD293" i="7"/>
  <c r="AD294" i="7"/>
  <c r="AD295" i="7"/>
  <c r="AD296" i="7"/>
  <c r="AD297" i="7"/>
  <c r="AD298" i="7"/>
  <c r="AD299" i="7"/>
  <c r="AD300" i="7"/>
  <c r="AD301" i="7"/>
  <c r="AD302" i="7"/>
  <c r="AD303" i="7"/>
  <c r="AD304" i="7"/>
  <c r="AD305" i="7"/>
  <c r="AD306" i="7"/>
  <c r="AD307" i="7"/>
  <c r="AD308" i="7"/>
  <c r="AD309" i="7"/>
  <c r="AD310" i="7"/>
  <c r="AD311" i="7"/>
  <c r="AD312" i="7"/>
  <c r="AD313" i="7"/>
  <c r="AD314" i="7"/>
  <c r="AD315" i="7"/>
  <c r="AD316" i="7"/>
  <c r="AD317" i="7"/>
  <c r="AD318" i="7"/>
  <c r="AD319" i="7"/>
  <c r="AD320" i="7"/>
  <c r="AD321" i="7"/>
  <c r="AD322" i="7"/>
  <c r="AD323" i="7"/>
  <c r="AD324" i="7"/>
  <c r="AD325" i="7"/>
  <c r="AD326" i="7"/>
  <c r="AD327" i="7"/>
  <c r="AD328" i="7"/>
  <c r="AD329" i="7"/>
  <c r="AD330" i="7"/>
  <c r="AD331" i="7"/>
  <c r="AD332" i="7"/>
  <c r="AD333" i="7"/>
  <c r="AD334" i="7"/>
  <c r="AD335" i="7"/>
  <c r="AD336" i="7"/>
  <c r="AD337" i="7"/>
  <c r="AD338" i="7"/>
  <c r="AD339" i="7"/>
  <c r="AD340" i="7"/>
  <c r="AD341" i="7"/>
  <c r="AD342" i="7"/>
  <c r="AD343" i="7"/>
  <c r="AD344" i="7"/>
  <c r="AD345" i="7"/>
  <c r="AD346" i="7"/>
  <c r="AD347" i="7"/>
  <c r="AD348" i="7"/>
  <c r="AD349" i="7"/>
  <c r="AD350" i="7"/>
  <c r="AD351" i="7"/>
  <c r="AD352" i="7"/>
  <c r="AD353" i="7"/>
  <c r="AD354" i="7"/>
  <c r="AD355" i="7"/>
  <c r="AD356" i="7"/>
  <c r="AD357" i="7"/>
  <c r="AD358" i="7"/>
  <c r="AD359" i="7"/>
  <c r="AD360" i="7"/>
  <c r="AD361" i="7"/>
  <c r="AD362" i="7"/>
  <c r="AD363" i="7"/>
  <c r="AD364" i="7"/>
  <c r="AD365" i="7"/>
  <c r="AD366" i="7"/>
  <c r="AD367" i="7"/>
  <c r="AD368" i="7"/>
  <c r="AD369" i="7"/>
  <c r="AD370" i="7"/>
  <c r="AD371" i="7"/>
  <c r="AD372" i="7"/>
  <c r="AD373" i="7"/>
  <c r="AD374" i="7"/>
  <c r="AD375" i="7"/>
  <c r="AD376" i="7"/>
  <c r="AD377" i="7"/>
  <c r="AD378" i="7"/>
  <c r="AD379" i="7"/>
  <c r="AD380" i="7"/>
  <c r="AD381" i="7"/>
  <c r="AD382" i="7"/>
  <c r="AD383" i="7"/>
  <c r="AD384" i="7"/>
  <c r="AD385" i="7"/>
  <c r="AD386" i="7"/>
  <c r="AD387" i="7"/>
  <c r="AD388" i="7"/>
  <c r="AD389" i="7"/>
  <c r="AD390" i="7"/>
  <c r="AD391" i="7"/>
  <c r="AD392" i="7"/>
  <c r="AD393" i="7"/>
  <c r="AD394" i="7"/>
  <c r="AD395" i="7"/>
  <c r="AD396" i="7"/>
  <c r="AD397" i="7"/>
  <c r="AD398" i="7"/>
  <c r="AD399" i="7"/>
  <c r="AD400" i="7"/>
  <c r="AD401" i="7"/>
  <c r="AD402" i="7"/>
  <c r="AD403" i="7"/>
  <c r="AD404" i="7"/>
  <c r="AD405" i="7"/>
  <c r="AD406" i="7"/>
  <c r="AD407" i="7"/>
  <c r="AD408" i="7"/>
  <c r="AD409" i="7"/>
  <c r="AD410" i="7"/>
  <c r="AD411" i="7"/>
  <c r="AD412" i="7"/>
  <c r="AD413" i="7"/>
  <c r="AD414" i="7"/>
  <c r="AD415" i="7"/>
  <c r="AD416" i="7"/>
  <c r="AD417" i="7"/>
  <c r="AD418" i="7"/>
  <c r="AD419" i="7"/>
  <c r="AD420" i="7"/>
  <c r="AD421" i="7"/>
  <c r="AD422" i="7"/>
  <c r="AD423" i="7"/>
  <c r="AD424" i="7"/>
  <c r="AD425" i="7"/>
  <c r="AD426" i="7"/>
  <c r="AD427" i="7"/>
  <c r="AD428" i="7"/>
  <c r="AD429" i="7"/>
  <c r="AD430" i="7"/>
  <c r="AD431" i="7"/>
  <c r="AD432" i="7"/>
  <c r="AD433" i="7"/>
  <c r="AD434" i="7"/>
  <c r="AD435" i="7"/>
  <c r="AD436" i="7"/>
  <c r="AD437" i="7"/>
  <c r="AD438" i="7"/>
  <c r="AD439" i="7"/>
  <c r="AD440" i="7"/>
  <c r="AD441" i="7"/>
  <c r="AD442" i="7"/>
  <c r="AD443" i="7"/>
  <c r="AD444" i="7"/>
  <c r="AD445" i="7"/>
  <c r="AD446" i="7"/>
  <c r="AD447" i="7"/>
  <c r="AD448" i="7"/>
  <c r="AD449" i="7"/>
  <c r="AD450" i="7"/>
  <c r="AD451" i="7"/>
  <c r="AD452" i="7"/>
  <c r="AD453" i="7"/>
  <c r="AD454" i="7"/>
  <c r="AD455" i="7"/>
  <c r="AD456" i="7"/>
  <c r="AD457" i="7"/>
  <c r="AD458" i="7"/>
  <c r="AD459" i="7"/>
  <c r="AD460" i="7"/>
  <c r="AD461" i="7"/>
  <c r="AD462" i="7"/>
  <c r="AD463" i="7"/>
  <c r="AD464" i="7"/>
  <c r="AD465" i="7"/>
  <c r="AD466" i="7"/>
  <c r="AD467" i="7"/>
  <c r="AD468" i="7"/>
  <c r="AD469" i="7"/>
  <c r="AD470" i="7"/>
  <c r="AD471" i="7"/>
  <c r="AD472" i="7"/>
  <c r="AD473" i="7"/>
  <c r="AD474" i="7"/>
  <c r="AD475" i="7"/>
  <c r="AD476" i="7"/>
  <c r="AD477" i="7"/>
  <c r="AD478" i="7"/>
  <c r="AD479" i="7"/>
  <c r="AD480" i="7"/>
  <c r="AD481" i="7"/>
  <c r="AD482" i="7"/>
  <c r="AD483" i="7"/>
  <c r="AD484" i="7"/>
  <c r="AD485" i="7"/>
  <c r="AD486" i="7"/>
  <c r="AD487" i="7"/>
  <c r="AD488" i="7"/>
  <c r="AD489" i="7"/>
  <c r="AD490" i="7"/>
  <c r="AD491" i="7"/>
  <c r="AD492" i="7"/>
  <c r="AD493" i="7"/>
  <c r="AD494" i="7"/>
  <c r="AD495" i="7"/>
  <c r="AD496" i="7"/>
  <c r="AD497" i="7"/>
  <c r="AD498" i="7"/>
  <c r="AD499" i="7"/>
  <c r="AD500" i="7"/>
  <c r="AD501" i="7"/>
  <c r="AD502" i="7"/>
  <c r="AD503" i="7"/>
  <c r="AD504" i="7"/>
  <c r="AD505" i="7"/>
  <c r="AD506" i="7"/>
  <c r="AD507" i="7"/>
  <c r="AD508" i="7"/>
  <c r="AD509" i="7"/>
  <c r="AD510" i="7"/>
  <c r="AD511" i="7"/>
  <c r="AD512" i="7"/>
  <c r="AD513" i="7"/>
  <c r="AD514" i="7"/>
  <c r="AD515" i="7"/>
  <c r="AD516" i="7"/>
  <c r="AD517" i="7"/>
  <c r="AD518" i="7"/>
  <c r="AD519" i="7"/>
  <c r="AD520" i="7"/>
  <c r="AD521" i="7"/>
  <c r="AD522" i="7"/>
  <c r="AD523" i="7"/>
  <c r="AD524" i="7"/>
  <c r="AD525" i="7"/>
  <c r="AD526" i="7"/>
  <c r="AD527" i="7"/>
  <c r="AD528" i="7"/>
  <c r="AD529" i="7"/>
  <c r="AD530" i="7"/>
  <c r="AD531" i="7"/>
  <c r="AD532" i="7"/>
  <c r="AD533" i="7"/>
  <c r="AD534" i="7"/>
  <c r="AD535" i="7"/>
  <c r="AD536" i="7"/>
  <c r="AD537" i="7"/>
  <c r="AD538" i="7"/>
  <c r="AD539" i="7"/>
  <c r="AD540" i="7"/>
  <c r="AD541" i="7"/>
  <c r="AD542" i="7"/>
  <c r="AD543" i="7"/>
  <c r="AD544" i="7"/>
  <c r="AD545" i="7"/>
  <c r="AD546" i="7"/>
  <c r="AD547" i="7"/>
  <c r="AD548" i="7"/>
  <c r="AD549" i="7"/>
  <c r="AD550" i="7"/>
  <c r="AD551" i="7"/>
  <c r="AD552" i="7"/>
  <c r="AD553" i="7"/>
  <c r="AD554" i="7"/>
  <c r="AD555" i="7"/>
  <c r="AD556" i="7"/>
  <c r="AD557" i="7"/>
  <c r="AD558" i="7"/>
  <c r="AD559" i="7"/>
  <c r="AD560" i="7"/>
  <c r="AD561" i="7"/>
  <c r="AD562" i="7"/>
  <c r="AD563" i="7"/>
  <c r="AD564" i="7"/>
  <c r="AD565" i="7"/>
  <c r="AD566" i="7"/>
  <c r="AD567" i="7"/>
  <c r="AD568" i="7"/>
  <c r="AD569" i="7"/>
  <c r="AD570" i="7"/>
  <c r="AD571" i="7"/>
  <c r="AD572" i="7"/>
  <c r="AD573" i="7"/>
  <c r="AD574" i="7"/>
  <c r="AD575" i="7"/>
  <c r="AD576" i="7"/>
  <c r="AD577" i="7"/>
  <c r="AD578" i="7"/>
  <c r="AD579" i="7"/>
  <c r="AD580" i="7"/>
  <c r="AD581" i="7"/>
  <c r="AD582" i="7"/>
  <c r="AD583" i="7"/>
  <c r="AD584" i="7"/>
  <c r="AD585" i="7"/>
  <c r="AD586" i="7"/>
  <c r="AD587" i="7"/>
  <c r="AD588" i="7"/>
  <c r="AD589" i="7"/>
  <c r="AD590" i="7"/>
  <c r="AD591" i="7"/>
  <c r="AD592" i="7"/>
  <c r="AD593" i="7"/>
  <c r="AD594" i="7"/>
  <c r="AD595" i="7"/>
  <c r="AD596" i="7"/>
  <c r="AD597" i="7"/>
  <c r="AD598" i="7"/>
  <c r="AD599" i="7"/>
  <c r="AD600" i="7"/>
  <c r="AD601" i="7"/>
  <c r="AD602" i="7"/>
  <c r="AD603" i="7"/>
  <c r="AD604" i="7"/>
  <c r="AD605" i="7"/>
  <c r="AD606" i="7"/>
  <c r="AD607" i="7"/>
  <c r="AD608" i="7"/>
  <c r="AD609" i="7"/>
  <c r="AD610" i="7"/>
  <c r="AD611" i="7"/>
  <c r="AD612" i="7"/>
  <c r="AD613" i="7"/>
  <c r="AD614" i="7"/>
  <c r="AD615" i="7"/>
  <c r="AD616" i="7"/>
  <c r="AD617" i="7"/>
  <c r="AD618" i="7"/>
  <c r="AD619" i="7"/>
  <c r="AD620" i="7"/>
  <c r="AD621" i="7"/>
  <c r="AD622" i="7"/>
  <c r="AD623" i="7"/>
  <c r="AD624" i="7"/>
  <c r="AD625" i="7"/>
  <c r="AD626" i="7"/>
  <c r="AD627" i="7"/>
  <c r="AD628" i="7"/>
  <c r="AD629" i="7"/>
  <c r="AD630" i="7"/>
  <c r="AD631" i="7"/>
  <c r="AD632" i="7"/>
  <c r="AD633" i="7"/>
  <c r="AD634" i="7"/>
  <c r="AD635" i="7"/>
  <c r="AD636" i="7"/>
  <c r="AD637" i="7"/>
  <c r="AD638" i="7"/>
  <c r="AD639" i="7"/>
  <c r="AD640" i="7"/>
  <c r="AD641" i="7"/>
  <c r="AD642" i="7"/>
  <c r="AD643" i="7"/>
  <c r="AD644" i="7"/>
  <c r="AD645" i="7"/>
  <c r="AD646" i="7"/>
  <c r="AD647" i="7"/>
  <c r="AD648" i="7"/>
  <c r="AD649" i="7"/>
  <c r="AD650" i="7"/>
  <c r="AD651" i="7"/>
  <c r="AD652" i="7"/>
  <c r="AD653" i="7"/>
  <c r="AD654" i="7"/>
  <c r="AD655" i="7"/>
  <c r="AD656" i="7"/>
  <c r="AD657" i="7"/>
  <c r="AD658" i="7"/>
  <c r="AD659" i="7"/>
  <c r="AD660" i="7"/>
  <c r="AD661" i="7"/>
  <c r="AD662" i="7"/>
  <c r="AD663" i="7"/>
  <c r="AD664" i="7"/>
  <c r="AD665" i="7"/>
  <c r="AD666" i="7"/>
  <c r="AD667" i="7"/>
  <c r="AD668" i="7"/>
  <c r="AD669" i="7"/>
  <c r="AD670" i="7"/>
  <c r="AD671" i="7"/>
  <c r="AD672" i="7"/>
  <c r="AD673" i="7"/>
  <c r="AD674" i="7"/>
  <c r="AD675" i="7"/>
  <c r="AD676" i="7"/>
  <c r="AD677" i="7"/>
  <c r="AD678" i="7"/>
  <c r="AD679" i="7"/>
  <c r="AD680" i="7"/>
  <c r="AD681" i="7"/>
  <c r="AD682" i="7"/>
  <c r="AD683" i="7"/>
  <c r="AD684" i="7"/>
  <c r="AD685" i="7"/>
  <c r="AD686" i="7"/>
  <c r="AD687" i="7"/>
  <c r="AD688" i="7"/>
  <c r="AD689" i="7"/>
  <c r="AD690" i="7"/>
  <c r="AD691" i="7"/>
  <c r="AD692" i="7"/>
  <c r="AD693" i="7"/>
  <c r="AD694" i="7"/>
  <c r="AD695" i="7"/>
  <c r="AD696" i="7"/>
  <c r="AD697" i="7"/>
  <c r="AD698" i="7"/>
  <c r="AD699" i="7"/>
  <c r="AD700" i="7"/>
  <c r="AD701" i="7"/>
  <c r="AD702" i="7"/>
  <c r="AD703" i="7"/>
  <c r="AD704" i="7"/>
  <c r="AD705" i="7"/>
  <c r="AD706" i="7"/>
  <c r="AD707" i="7"/>
  <c r="AD708" i="7"/>
  <c r="AD709" i="7"/>
  <c r="AD710" i="7"/>
  <c r="AD711" i="7"/>
  <c r="AD712" i="7"/>
  <c r="AD713" i="7"/>
  <c r="AD714" i="7"/>
  <c r="AD715" i="7"/>
  <c r="AD716" i="7"/>
  <c r="AD717" i="7"/>
  <c r="AD718" i="7"/>
  <c r="AD719" i="7"/>
  <c r="AD720" i="7"/>
  <c r="AD721" i="7"/>
  <c r="AD722" i="7"/>
  <c r="AD723" i="7"/>
  <c r="AD724" i="7"/>
  <c r="AD725" i="7"/>
  <c r="AD726" i="7"/>
  <c r="AD727" i="7"/>
  <c r="AD728" i="7"/>
  <c r="AD729" i="7"/>
  <c r="AD730" i="7"/>
  <c r="AD731" i="7"/>
  <c r="AD732" i="7"/>
  <c r="AD733" i="7"/>
  <c r="AD734" i="7"/>
  <c r="AD735" i="7"/>
  <c r="AD736" i="7"/>
  <c r="AD737" i="7"/>
  <c r="AD738" i="7"/>
  <c r="AD739" i="7"/>
  <c r="AD740" i="7"/>
  <c r="AD741" i="7"/>
  <c r="AD742" i="7"/>
  <c r="AD743" i="7"/>
  <c r="AD744" i="7"/>
  <c r="AD745" i="7"/>
  <c r="AD746" i="7"/>
  <c r="AD747" i="7"/>
  <c r="AD748" i="7"/>
  <c r="AD749" i="7"/>
  <c r="AD750" i="7"/>
  <c r="AD751" i="7"/>
  <c r="AD752" i="7"/>
  <c r="AD753" i="7"/>
  <c r="AD754" i="7"/>
  <c r="AD755" i="7"/>
  <c r="AD756" i="7"/>
  <c r="AD757" i="7"/>
  <c r="AD758" i="7"/>
  <c r="AD759" i="7"/>
  <c r="AD760" i="7"/>
  <c r="AD761" i="7"/>
  <c r="AD762" i="7"/>
  <c r="AD763" i="7"/>
  <c r="AD764" i="7"/>
  <c r="AD765" i="7"/>
  <c r="AD766" i="7"/>
  <c r="AD767" i="7"/>
  <c r="AD768" i="7"/>
  <c r="AD769" i="7"/>
  <c r="AD770" i="7"/>
  <c r="AD771" i="7"/>
  <c r="AD772" i="7"/>
  <c r="AD773" i="7"/>
  <c r="AD774" i="7"/>
  <c r="AD775" i="7"/>
  <c r="AD776" i="7"/>
  <c r="AD777" i="7"/>
  <c r="AD778" i="7"/>
  <c r="AD779" i="7"/>
  <c r="AD780" i="7"/>
  <c r="AD781" i="7"/>
  <c r="AD782" i="7"/>
  <c r="AD783" i="7"/>
  <c r="AD784" i="7"/>
  <c r="AD785" i="7"/>
  <c r="AD786" i="7"/>
  <c r="AD787" i="7"/>
  <c r="AD788" i="7"/>
  <c r="AD789" i="7"/>
  <c r="AD790" i="7"/>
  <c r="AD791" i="7"/>
  <c r="AD792" i="7"/>
  <c r="AD793" i="7"/>
  <c r="AD794" i="7"/>
  <c r="AD795" i="7"/>
  <c r="AD796" i="7"/>
  <c r="AD797" i="7"/>
  <c r="AD798" i="7"/>
  <c r="AD799" i="7"/>
  <c r="AD800" i="7"/>
  <c r="AD801" i="7"/>
  <c r="AD802" i="7"/>
  <c r="AD803" i="7"/>
  <c r="AD804" i="7"/>
  <c r="AD805" i="7"/>
  <c r="AD806" i="7"/>
  <c r="AD807" i="7"/>
  <c r="AD808" i="7"/>
  <c r="AD809" i="7"/>
  <c r="AD810" i="7"/>
  <c r="AD811" i="7"/>
  <c r="AD812" i="7"/>
  <c r="AD813" i="7"/>
  <c r="AD814" i="7"/>
  <c r="AD815" i="7"/>
  <c r="AD816" i="7"/>
  <c r="AD817" i="7"/>
  <c r="AD818" i="7"/>
  <c r="AD819" i="7"/>
  <c r="AD820" i="7"/>
  <c r="AD821" i="7"/>
  <c r="AD822" i="7"/>
  <c r="AD823" i="7"/>
  <c r="AD824" i="7"/>
  <c r="AD825" i="7"/>
  <c r="AD826" i="7"/>
  <c r="AD827" i="7"/>
  <c r="AD828" i="7"/>
  <c r="AD829" i="7"/>
  <c r="AD830" i="7"/>
  <c r="AD831" i="7"/>
  <c r="AD832" i="7"/>
  <c r="AD833" i="7"/>
  <c r="AD834" i="7"/>
  <c r="AD835" i="7"/>
  <c r="AD836" i="7"/>
  <c r="AD837" i="7"/>
  <c r="AD838" i="7"/>
  <c r="AD839" i="7"/>
  <c r="AD840" i="7"/>
  <c r="AD841" i="7"/>
  <c r="AD842" i="7"/>
  <c r="AD843" i="7"/>
  <c r="AD844" i="7"/>
  <c r="AD845" i="7"/>
  <c r="AD846" i="7"/>
  <c r="AD847" i="7"/>
  <c r="AD848" i="7"/>
  <c r="AD849" i="7"/>
  <c r="AD850" i="7"/>
  <c r="AD851" i="7"/>
  <c r="AD852" i="7"/>
  <c r="AD853" i="7"/>
  <c r="AD854" i="7"/>
  <c r="AD855" i="7"/>
  <c r="AD856" i="7"/>
  <c r="AD857" i="7"/>
  <c r="AD858" i="7"/>
  <c r="AD859" i="7"/>
  <c r="AD860" i="7"/>
  <c r="AD861" i="7"/>
  <c r="AD862" i="7"/>
  <c r="AD863" i="7"/>
  <c r="AD864" i="7"/>
  <c r="AD865" i="7"/>
  <c r="AD866" i="7"/>
  <c r="AD867" i="7"/>
  <c r="AD868" i="7"/>
  <c r="AD869" i="7"/>
  <c r="AD870" i="7"/>
  <c r="AD871" i="7"/>
  <c r="AD872" i="7"/>
  <c r="AD873" i="7"/>
  <c r="AD874" i="7"/>
  <c r="AD875" i="7"/>
  <c r="AD876" i="7"/>
  <c r="AD877" i="7"/>
  <c r="AD878" i="7"/>
  <c r="AD879" i="7"/>
  <c r="AD880" i="7"/>
  <c r="AD881" i="7"/>
  <c r="AD882" i="7"/>
  <c r="AD883" i="7"/>
  <c r="AD884" i="7"/>
  <c r="AD885" i="7"/>
  <c r="AD886" i="7"/>
  <c r="AD887" i="7"/>
  <c r="AD888" i="7"/>
  <c r="AD889" i="7"/>
  <c r="AD890" i="7"/>
  <c r="AD891" i="7"/>
  <c r="AD892" i="7"/>
  <c r="AD893" i="7"/>
  <c r="AD894" i="7"/>
  <c r="AD895" i="7"/>
  <c r="AD896" i="7"/>
  <c r="AD897" i="7"/>
  <c r="AD898" i="7"/>
  <c r="AD899" i="7"/>
  <c r="AD900" i="7"/>
  <c r="AD901" i="7"/>
  <c r="AD902" i="7"/>
  <c r="AD903" i="7"/>
  <c r="AD904" i="7"/>
  <c r="AD905" i="7"/>
  <c r="AD906" i="7"/>
  <c r="AD907" i="7"/>
  <c r="AD908" i="7"/>
  <c r="AD909" i="7"/>
  <c r="AD910" i="7"/>
  <c r="AD911" i="7"/>
  <c r="AD912" i="7"/>
  <c r="AD913" i="7"/>
  <c r="AD914" i="7"/>
  <c r="AD915" i="7"/>
  <c r="AD916" i="7"/>
  <c r="AD917" i="7"/>
  <c r="AD918" i="7"/>
  <c r="AD919" i="7"/>
  <c r="AD920" i="7"/>
  <c r="AD921" i="7"/>
  <c r="AD922" i="7"/>
  <c r="AD923" i="7"/>
  <c r="AD924" i="7"/>
  <c r="AD925" i="7"/>
  <c r="AD926" i="7"/>
  <c r="AD927" i="7"/>
  <c r="AD928" i="7"/>
  <c r="AD929" i="7"/>
  <c r="AD930" i="7"/>
  <c r="AD931" i="7"/>
  <c r="AD932" i="7"/>
  <c r="AD933" i="7"/>
  <c r="AD934" i="7"/>
  <c r="AD935" i="7"/>
  <c r="AD936" i="7"/>
  <c r="AD937" i="7"/>
  <c r="AD938" i="7"/>
  <c r="AD939" i="7"/>
  <c r="AD940" i="7"/>
  <c r="AD941" i="7"/>
  <c r="AD942" i="7"/>
  <c r="AD943" i="7"/>
  <c r="AD944" i="7"/>
  <c r="AD945" i="7"/>
  <c r="AD946" i="7"/>
  <c r="AD947" i="7"/>
  <c r="AD948" i="7"/>
  <c r="AD949" i="7"/>
  <c r="AD950" i="7"/>
  <c r="AD951" i="7"/>
  <c r="AD952" i="7"/>
  <c r="AD953" i="7"/>
  <c r="AD954" i="7"/>
  <c r="AD955" i="7"/>
  <c r="AD956" i="7"/>
  <c r="AD957" i="7"/>
  <c r="AD958" i="7"/>
  <c r="AD959" i="7"/>
  <c r="AD960" i="7"/>
  <c r="AD961" i="7"/>
  <c r="AD962" i="7"/>
  <c r="AD963" i="7"/>
  <c r="AD964" i="7"/>
  <c r="AD965" i="7"/>
  <c r="AD966" i="7"/>
  <c r="AD967" i="7"/>
  <c r="AD968" i="7"/>
  <c r="AD969" i="7"/>
  <c r="AD970" i="7"/>
  <c r="AD971" i="7"/>
  <c r="AD972" i="7"/>
  <c r="AD973" i="7"/>
  <c r="AD974" i="7"/>
  <c r="AD975" i="7"/>
  <c r="AD976" i="7"/>
  <c r="AD977" i="7"/>
  <c r="AD978" i="7"/>
  <c r="AD979" i="7"/>
  <c r="AD980" i="7"/>
  <c r="AD981" i="7"/>
  <c r="AD982" i="7"/>
  <c r="AD983" i="7"/>
  <c r="AD984" i="7"/>
  <c r="AD985" i="7"/>
  <c r="AD986" i="7"/>
  <c r="AD987" i="7"/>
  <c r="AD988" i="7"/>
  <c r="AD989" i="7"/>
  <c r="AD990" i="7"/>
  <c r="AD991" i="7"/>
  <c r="AD992" i="7"/>
  <c r="AD993" i="7"/>
  <c r="AD994" i="7"/>
  <c r="AD995" i="7"/>
  <c r="AD996" i="7"/>
  <c r="AD997" i="7"/>
  <c r="AD998" i="7"/>
  <c r="AD999" i="7"/>
  <c r="AD1000" i="7"/>
  <c r="AD1001" i="7"/>
  <c r="AD1002" i="7"/>
  <c r="AD1003" i="7"/>
  <c r="AD1004" i="7"/>
  <c r="AD1005" i="7"/>
  <c r="AD1006" i="7"/>
  <c r="AD1007" i="7"/>
  <c r="AD1008" i="7"/>
  <c r="AD1009" i="7"/>
  <c r="AD1010" i="7"/>
  <c r="AD1011" i="7"/>
  <c r="AD1012" i="7"/>
  <c r="AD1013" i="7"/>
  <c r="AD1014" i="7"/>
  <c r="AD1015" i="7"/>
  <c r="AD1016" i="7"/>
  <c r="AD1017" i="7"/>
  <c r="AD1018" i="7"/>
  <c r="AD1019" i="7"/>
  <c r="AD1020" i="7"/>
  <c r="AD1021" i="7"/>
  <c r="AD1022" i="7"/>
  <c r="AD1023" i="7"/>
  <c r="AD1024" i="7"/>
  <c r="AD1025" i="7"/>
  <c r="AD1026" i="7"/>
  <c r="AD1027" i="7"/>
  <c r="AD1028" i="7"/>
  <c r="AD1029" i="7"/>
  <c r="AD1030" i="7"/>
  <c r="AD1031" i="7"/>
  <c r="AD1032" i="7"/>
  <c r="AD1033" i="7"/>
  <c r="AD1034" i="7"/>
  <c r="AD1035" i="7"/>
  <c r="AD1036" i="7"/>
  <c r="AD1037" i="7"/>
  <c r="AD1038" i="7"/>
  <c r="AD1039" i="7"/>
  <c r="AD1040" i="7"/>
  <c r="AD1041" i="7"/>
  <c r="AD1042" i="7"/>
  <c r="AD1043" i="7"/>
  <c r="AD1044" i="7"/>
  <c r="AD1045" i="7"/>
  <c r="AD1046" i="7"/>
  <c r="AD1047" i="7"/>
  <c r="AD1048" i="7"/>
  <c r="AD1049" i="7"/>
  <c r="AD1050" i="7"/>
  <c r="AD1051" i="7"/>
  <c r="AD1052" i="7"/>
  <c r="AD1053" i="7"/>
  <c r="AD1054" i="7"/>
  <c r="AD1055" i="7"/>
  <c r="AD1056" i="7"/>
  <c r="AD1057" i="7"/>
  <c r="AD1058" i="7"/>
  <c r="AD1059" i="7"/>
  <c r="AD1060" i="7"/>
  <c r="AD1061" i="7"/>
  <c r="AD1062" i="7"/>
  <c r="AD1063" i="7"/>
  <c r="AD1064" i="7"/>
  <c r="AD1065" i="7"/>
  <c r="AD1066" i="7"/>
  <c r="AD1067" i="7"/>
  <c r="AD1068" i="7"/>
  <c r="AD1069" i="7"/>
  <c r="AD1070" i="7"/>
  <c r="AD1071" i="7"/>
  <c r="AD1072" i="7"/>
  <c r="AD1073" i="7"/>
  <c r="AD1074" i="7"/>
  <c r="AD1075" i="7"/>
  <c r="AD1076" i="7"/>
  <c r="AD1077" i="7"/>
  <c r="AD1078" i="7"/>
  <c r="AD1079" i="7"/>
  <c r="AD1080" i="7"/>
  <c r="AD1081" i="7"/>
  <c r="AD1082" i="7"/>
  <c r="AD1083" i="7"/>
  <c r="AD1084" i="7"/>
  <c r="AD1085" i="7"/>
  <c r="AD1086" i="7"/>
  <c r="AD1087" i="7"/>
  <c r="AD1088" i="7"/>
  <c r="AD1089" i="7"/>
  <c r="AD1090" i="7"/>
  <c r="AD1091" i="7"/>
  <c r="AD1092" i="7"/>
  <c r="AD1093" i="7"/>
  <c r="AD1094" i="7"/>
  <c r="AD1095" i="7"/>
  <c r="AD1096" i="7"/>
  <c r="AD1097" i="7"/>
  <c r="AD1098" i="7"/>
  <c r="AD1099" i="7"/>
  <c r="AD1100" i="7"/>
  <c r="AD1101" i="7"/>
  <c r="AD1102" i="7"/>
  <c r="AD1103" i="7"/>
  <c r="AD1104" i="7"/>
  <c r="AD1105" i="7"/>
  <c r="AD1106" i="7"/>
  <c r="AD1107" i="7"/>
  <c r="AD1108" i="7"/>
  <c r="AD1109" i="7"/>
  <c r="AD1110" i="7"/>
  <c r="AD1111" i="7"/>
  <c r="AD1112" i="7"/>
  <c r="AD1113" i="7"/>
  <c r="AD1114" i="7"/>
  <c r="AD1115" i="7"/>
  <c r="AD1116" i="7"/>
  <c r="AD1117" i="7"/>
  <c r="AD1118" i="7"/>
  <c r="AD1119" i="7"/>
  <c r="AD1120" i="7"/>
  <c r="AD1121" i="7"/>
  <c r="AD1122" i="7"/>
  <c r="AD1123" i="7"/>
  <c r="AD1124" i="7"/>
  <c r="AD1125" i="7"/>
  <c r="AD1126" i="7"/>
  <c r="AD1127" i="7"/>
  <c r="AD1128" i="7"/>
  <c r="AD1129" i="7"/>
  <c r="AD1130" i="7"/>
  <c r="AD1131" i="7"/>
  <c r="AD1132" i="7"/>
  <c r="AD1133" i="7"/>
  <c r="AD1134" i="7"/>
  <c r="AD1135" i="7"/>
  <c r="AD1136" i="7"/>
  <c r="AD1137" i="7"/>
  <c r="AD1138" i="7"/>
  <c r="AD1139" i="7"/>
  <c r="AD1140" i="7"/>
  <c r="AD1141" i="7"/>
  <c r="AD1142" i="7"/>
  <c r="AD1143" i="7"/>
  <c r="AD1144" i="7"/>
  <c r="AD1145" i="7"/>
  <c r="AD1146" i="7"/>
  <c r="AD1147" i="7"/>
  <c r="AD1148" i="7"/>
  <c r="AD1149" i="7"/>
  <c r="AD1150" i="7"/>
  <c r="AD1151" i="7"/>
  <c r="AD1152" i="7"/>
  <c r="AD1153" i="7"/>
  <c r="AD1154" i="7"/>
  <c r="AD1155" i="7"/>
  <c r="AD1156" i="7"/>
  <c r="AD1157" i="7"/>
  <c r="AD1158" i="7"/>
  <c r="AD1159" i="7"/>
  <c r="AD1160" i="7"/>
  <c r="AD1161" i="7"/>
  <c r="AD1162" i="7"/>
  <c r="AD1163" i="7"/>
  <c r="AD1164" i="7"/>
  <c r="AD1165" i="7"/>
  <c r="AD1166" i="7"/>
  <c r="AD1167" i="7"/>
  <c r="AD1168" i="7"/>
  <c r="AD1169" i="7"/>
  <c r="AD1170" i="7"/>
  <c r="AD1171" i="7"/>
  <c r="AD1172" i="7"/>
  <c r="AD1173" i="7"/>
  <c r="AD1174" i="7"/>
  <c r="AD1175" i="7"/>
  <c r="AD1176" i="7"/>
  <c r="AD1177" i="7"/>
  <c r="AD1178" i="7"/>
  <c r="AD1179" i="7"/>
  <c r="AD1180" i="7"/>
  <c r="AD1181" i="7"/>
  <c r="AD1182" i="7"/>
  <c r="AD1183" i="7"/>
  <c r="AD1184" i="7"/>
  <c r="AD1185" i="7"/>
  <c r="AD1186" i="7"/>
  <c r="AD1187" i="7"/>
  <c r="AD1188" i="7"/>
  <c r="AD1189" i="7"/>
  <c r="AD1190" i="7"/>
  <c r="AD1191" i="7"/>
  <c r="AD1192" i="7"/>
  <c r="AD1193" i="7"/>
  <c r="AD1194" i="7"/>
  <c r="AD1195" i="7"/>
  <c r="AD1196" i="7"/>
  <c r="AD1197" i="7"/>
  <c r="AD1198" i="7"/>
  <c r="AD1199" i="7"/>
  <c r="AD1200" i="7"/>
  <c r="AD1201" i="7"/>
  <c r="AD1202" i="7"/>
  <c r="AD1203" i="7"/>
  <c r="AD1204" i="7"/>
  <c r="AD1205" i="7"/>
  <c r="AD1206" i="7"/>
  <c r="AD1207" i="7"/>
  <c r="AD1208" i="7"/>
  <c r="AD1209" i="7"/>
  <c r="AD1210" i="7"/>
  <c r="AD1211" i="7"/>
  <c r="AD1212" i="7"/>
  <c r="AD1213" i="7"/>
  <c r="AD1214" i="7"/>
  <c r="AD1215" i="7"/>
  <c r="AD1216" i="7"/>
  <c r="AD1217" i="7"/>
  <c r="AD1218" i="7"/>
  <c r="AD1219" i="7"/>
  <c r="AD1220" i="7"/>
  <c r="AD1221" i="7"/>
  <c r="AD1222" i="7"/>
  <c r="AD1223" i="7"/>
  <c r="AD1224" i="7"/>
  <c r="AD1225" i="7"/>
  <c r="AD1226" i="7"/>
  <c r="AD1227" i="7"/>
  <c r="AD1228" i="7"/>
  <c r="AD1229" i="7"/>
  <c r="AD1230" i="7"/>
  <c r="AD1231" i="7"/>
  <c r="AD1232" i="7"/>
  <c r="AD1233" i="7"/>
  <c r="AD1234" i="7"/>
  <c r="AD1235" i="7"/>
  <c r="AD1236" i="7"/>
  <c r="AD1237" i="7"/>
  <c r="AD1238" i="7"/>
  <c r="AD1239" i="7"/>
  <c r="AD1240" i="7"/>
  <c r="AD1241" i="7"/>
  <c r="AD1242" i="7"/>
  <c r="AD1243" i="7"/>
  <c r="AD1244" i="7"/>
  <c r="AD1245" i="7"/>
  <c r="AD1246" i="7"/>
  <c r="AD1247" i="7"/>
  <c r="AD1248" i="7"/>
  <c r="AD1249" i="7"/>
  <c r="AD1250" i="7"/>
  <c r="AD1251" i="7"/>
  <c r="AD1252" i="7"/>
  <c r="AD1253" i="7"/>
  <c r="AD1254" i="7"/>
  <c r="AD1255" i="7"/>
  <c r="AD1256" i="7"/>
  <c r="AD1257" i="7"/>
  <c r="AD1258" i="7"/>
  <c r="AD1259" i="7"/>
  <c r="AD1260" i="7"/>
  <c r="AD1261" i="7"/>
  <c r="AD1262" i="7"/>
  <c r="AD1263" i="7"/>
  <c r="AD1264" i="7"/>
  <c r="AD1265" i="7"/>
  <c r="AD1266" i="7"/>
  <c r="AD1267" i="7"/>
  <c r="AD1268" i="7"/>
  <c r="AD1269" i="7"/>
  <c r="AD1270" i="7"/>
  <c r="AD1271" i="7"/>
  <c r="AD1272" i="7"/>
  <c r="AD1273" i="7"/>
  <c r="AD1274" i="7"/>
  <c r="AD1275" i="7"/>
  <c r="AD1276" i="7"/>
  <c r="AD1277" i="7"/>
  <c r="AD1278" i="7"/>
  <c r="AD1279" i="7"/>
  <c r="AD1280" i="7"/>
  <c r="AD1281" i="7"/>
  <c r="AD1282" i="7"/>
  <c r="AD1283" i="7"/>
  <c r="AD1284" i="7"/>
  <c r="AD1285" i="7"/>
  <c r="AD1286" i="7"/>
  <c r="AD1287" i="7"/>
  <c r="AD1288" i="7"/>
  <c r="AD1289" i="7"/>
  <c r="AD1290" i="7"/>
  <c r="AD1291" i="7"/>
  <c r="AD1292" i="7"/>
  <c r="AD1293" i="7"/>
  <c r="AD1294" i="7"/>
  <c r="AD1295" i="7"/>
  <c r="AD1296" i="7"/>
  <c r="AD1297" i="7"/>
  <c r="AD1298" i="7"/>
  <c r="AD1299" i="7"/>
  <c r="AD1300" i="7"/>
  <c r="AD1301" i="7"/>
  <c r="AD1302" i="7"/>
  <c r="AD1303" i="7"/>
  <c r="AD1304" i="7"/>
  <c r="AD1305" i="7"/>
  <c r="AD1306" i="7"/>
  <c r="AD1307" i="7"/>
  <c r="AD1308" i="7"/>
  <c r="AD1309" i="7"/>
  <c r="AD1310" i="7"/>
  <c r="AD1311" i="7"/>
  <c r="AD1312" i="7"/>
  <c r="AD1313" i="7"/>
  <c r="AD1314" i="7"/>
  <c r="AD1315" i="7"/>
  <c r="AD1316" i="7"/>
  <c r="AD1317" i="7"/>
  <c r="AD1318" i="7"/>
  <c r="AD1319" i="7"/>
  <c r="AD1320" i="7"/>
  <c r="AD1321" i="7"/>
  <c r="AD1322" i="7"/>
  <c r="AD1323" i="7"/>
  <c r="AD1324" i="7"/>
  <c r="AD1325" i="7"/>
  <c r="AD1326" i="7"/>
  <c r="AD1327" i="7"/>
  <c r="AD1328" i="7"/>
  <c r="AD1329" i="7"/>
  <c r="AD1330" i="7"/>
  <c r="AD1331" i="7"/>
  <c r="AD1332" i="7"/>
  <c r="AD1333" i="7"/>
  <c r="AD1334" i="7"/>
  <c r="AD1335" i="7"/>
  <c r="AD1336" i="7"/>
  <c r="AD1337" i="7"/>
  <c r="AD1338" i="7"/>
  <c r="AD1339" i="7"/>
  <c r="AD1340" i="7"/>
  <c r="AD1341" i="7"/>
  <c r="AD1342" i="7"/>
  <c r="AD1343" i="7"/>
  <c r="AD1344" i="7"/>
  <c r="AD1345" i="7"/>
  <c r="AD1346" i="7"/>
  <c r="AD1347" i="7"/>
  <c r="AD1348" i="7"/>
  <c r="AD1349" i="7"/>
  <c r="AD1350" i="7"/>
  <c r="AD1351" i="7"/>
  <c r="AD1352" i="7"/>
  <c r="AD1353" i="7"/>
  <c r="AD1354" i="7"/>
  <c r="AD1355" i="7"/>
  <c r="AD1356" i="7"/>
  <c r="AD1357" i="7"/>
  <c r="AD1358" i="7"/>
  <c r="AD1359" i="7"/>
  <c r="AD1360" i="7"/>
  <c r="AD1361" i="7"/>
  <c r="AD1362" i="7"/>
  <c r="AD1363" i="7"/>
  <c r="AD1364" i="7"/>
  <c r="AD1365" i="7"/>
  <c r="AD1366" i="7"/>
  <c r="AD1367" i="7"/>
  <c r="AD1368" i="7"/>
  <c r="AD1369" i="7"/>
  <c r="AD1370" i="7"/>
  <c r="AD1371" i="7"/>
  <c r="AD1372" i="7"/>
  <c r="AD1373" i="7"/>
  <c r="AD1374" i="7"/>
  <c r="AD1375" i="7"/>
  <c r="AD1376" i="7"/>
  <c r="AD1377" i="7"/>
  <c r="AD1378" i="7"/>
  <c r="AD1379" i="7"/>
  <c r="AD1380" i="7"/>
  <c r="AD1381" i="7"/>
  <c r="AD1382" i="7"/>
  <c r="AD1383" i="7"/>
  <c r="AD1384" i="7"/>
  <c r="AD1385" i="7"/>
  <c r="AD1386" i="7"/>
  <c r="AD1387" i="7"/>
  <c r="AD1388" i="7"/>
  <c r="AD1389" i="7"/>
  <c r="AC3" i="7"/>
  <c r="AC4" i="7"/>
  <c r="AC5" i="7"/>
  <c r="AC6" i="7"/>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4" i="7"/>
  <c r="AC65" i="7"/>
  <c r="AC66" i="7"/>
  <c r="AC67" i="7"/>
  <c r="AC68" i="7"/>
  <c r="AC69" i="7"/>
  <c r="AC70" i="7"/>
  <c r="AC71" i="7"/>
  <c r="AC72" i="7"/>
  <c r="AC73" i="7"/>
  <c r="AC74" i="7"/>
  <c r="AC75" i="7"/>
  <c r="AC76" i="7"/>
  <c r="AC77" i="7"/>
  <c r="AC78" i="7"/>
  <c r="AC79" i="7"/>
  <c r="AC80" i="7"/>
  <c r="AC81" i="7"/>
  <c r="AC82" i="7"/>
  <c r="AC83" i="7"/>
  <c r="AC84" i="7"/>
  <c r="AC85" i="7"/>
  <c r="AC86" i="7"/>
  <c r="AC87" i="7"/>
  <c r="AC88" i="7"/>
  <c r="AC89" i="7"/>
  <c r="AC90" i="7"/>
  <c r="AC91" i="7"/>
  <c r="AC92" i="7"/>
  <c r="AC93" i="7"/>
  <c r="AC94" i="7"/>
  <c r="AC95" i="7"/>
  <c r="AC96" i="7"/>
  <c r="AC97" i="7"/>
  <c r="AC98" i="7"/>
  <c r="AC99" i="7"/>
  <c r="AC100" i="7"/>
  <c r="AC101" i="7"/>
  <c r="AC102" i="7"/>
  <c r="AC103" i="7"/>
  <c r="AC104" i="7"/>
  <c r="AC105" i="7"/>
  <c r="AC106" i="7"/>
  <c r="AC107" i="7"/>
  <c r="AC108" i="7"/>
  <c r="AC109" i="7"/>
  <c r="AC110" i="7"/>
  <c r="AC111" i="7"/>
  <c r="AC112" i="7"/>
  <c r="AC113" i="7"/>
  <c r="AC114" i="7"/>
  <c r="AC115" i="7"/>
  <c r="AC116" i="7"/>
  <c r="AC117" i="7"/>
  <c r="AC118" i="7"/>
  <c r="AC119" i="7"/>
  <c r="AC120" i="7"/>
  <c r="AC121" i="7"/>
  <c r="AC122" i="7"/>
  <c r="AC123" i="7"/>
  <c r="AC124" i="7"/>
  <c r="AC125" i="7"/>
  <c r="AC126" i="7"/>
  <c r="AC127" i="7"/>
  <c r="AC128" i="7"/>
  <c r="AC129" i="7"/>
  <c r="AC130" i="7"/>
  <c r="AC131" i="7"/>
  <c r="AC132" i="7"/>
  <c r="AC133" i="7"/>
  <c r="AC134" i="7"/>
  <c r="AC135" i="7"/>
  <c r="AC136" i="7"/>
  <c r="AC137" i="7"/>
  <c r="AC138" i="7"/>
  <c r="AC139" i="7"/>
  <c r="AC140" i="7"/>
  <c r="AC141" i="7"/>
  <c r="AC142" i="7"/>
  <c r="AC143" i="7"/>
  <c r="AC144" i="7"/>
  <c r="AC145" i="7"/>
  <c r="AC146" i="7"/>
  <c r="AC147" i="7"/>
  <c r="AC148" i="7"/>
  <c r="AC149"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97" i="7"/>
  <c r="AC198" i="7"/>
  <c r="AC199" i="7"/>
  <c r="AC200" i="7"/>
  <c r="AC201" i="7"/>
  <c r="AC202" i="7"/>
  <c r="AC203" i="7"/>
  <c r="AC204" i="7"/>
  <c r="AC205" i="7"/>
  <c r="AC206" i="7"/>
  <c r="AC207" i="7"/>
  <c r="AC208" i="7"/>
  <c r="AC209" i="7"/>
  <c r="AC210" i="7"/>
  <c r="AC211" i="7"/>
  <c r="AC212" i="7"/>
  <c r="AC213" i="7"/>
  <c r="AC214" i="7"/>
  <c r="AC215" i="7"/>
  <c r="AC216" i="7"/>
  <c r="AC217" i="7"/>
  <c r="AC218" i="7"/>
  <c r="AC219" i="7"/>
  <c r="AC220" i="7"/>
  <c r="AC221" i="7"/>
  <c r="AC222" i="7"/>
  <c r="AC223" i="7"/>
  <c r="AC224" i="7"/>
  <c r="AC225" i="7"/>
  <c r="AC226" i="7"/>
  <c r="AC227" i="7"/>
  <c r="AC228" i="7"/>
  <c r="AC229" i="7"/>
  <c r="AC230" i="7"/>
  <c r="AC231" i="7"/>
  <c r="AC232" i="7"/>
  <c r="AC233" i="7"/>
  <c r="AC234" i="7"/>
  <c r="AC235" i="7"/>
  <c r="AC236" i="7"/>
  <c r="AC237" i="7"/>
  <c r="AC238" i="7"/>
  <c r="AC239" i="7"/>
  <c r="AC240" i="7"/>
  <c r="AC241" i="7"/>
  <c r="AC242" i="7"/>
  <c r="AC243" i="7"/>
  <c r="AC244" i="7"/>
  <c r="AC245" i="7"/>
  <c r="AC246" i="7"/>
  <c r="AC247" i="7"/>
  <c r="AC248" i="7"/>
  <c r="AC249" i="7"/>
  <c r="AC250" i="7"/>
  <c r="AC251" i="7"/>
  <c r="AC252" i="7"/>
  <c r="AC253" i="7"/>
  <c r="AC254" i="7"/>
  <c r="AC255" i="7"/>
  <c r="AC256" i="7"/>
  <c r="AC257" i="7"/>
  <c r="AC258" i="7"/>
  <c r="AC259" i="7"/>
  <c r="AC260" i="7"/>
  <c r="AC261" i="7"/>
  <c r="AC262" i="7"/>
  <c r="AC263" i="7"/>
  <c r="AC264" i="7"/>
  <c r="AC265" i="7"/>
  <c r="AC266" i="7"/>
  <c r="AC267" i="7"/>
  <c r="AC268" i="7"/>
  <c r="AC269" i="7"/>
  <c r="AC270" i="7"/>
  <c r="AC271" i="7"/>
  <c r="AC272" i="7"/>
  <c r="AC273" i="7"/>
  <c r="AC274" i="7"/>
  <c r="AC275" i="7"/>
  <c r="AC276" i="7"/>
  <c r="AC277" i="7"/>
  <c r="AC278" i="7"/>
  <c r="AC279" i="7"/>
  <c r="AC280" i="7"/>
  <c r="AC281" i="7"/>
  <c r="AC282" i="7"/>
  <c r="AC283" i="7"/>
  <c r="AC284" i="7"/>
  <c r="AC285" i="7"/>
  <c r="AC286" i="7"/>
  <c r="AC287" i="7"/>
  <c r="AC288" i="7"/>
  <c r="AC289" i="7"/>
  <c r="AC290" i="7"/>
  <c r="AC291" i="7"/>
  <c r="AC292" i="7"/>
  <c r="AC293" i="7"/>
  <c r="AC294" i="7"/>
  <c r="AC295" i="7"/>
  <c r="AC296" i="7"/>
  <c r="AC297" i="7"/>
  <c r="AC298" i="7"/>
  <c r="AC299" i="7"/>
  <c r="AC300" i="7"/>
  <c r="AC301" i="7"/>
  <c r="AC302" i="7"/>
  <c r="AC303" i="7"/>
  <c r="AC304" i="7"/>
  <c r="AC305" i="7"/>
  <c r="AC306" i="7"/>
  <c r="AC307" i="7"/>
  <c r="AC308" i="7"/>
  <c r="AC309" i="7"/>
  <c r="AC310" i="7"/>
  <c r="AC311" i="7"/>
  <c r="AC312" i="7"/>
  <c r="AC313" i="7"/>
  <c r="AC314" i="7"/>
  <c r="AC315" i="7"/>
  <c r="AC316" i="7"/>
  <c r="AC317" i="7"/>
  <c r="AC318" i="7"/>
  <c r="AC319" i="7"/>
  <c r="AC320" i="7"/>
  <c r="AC321" i="7"/>
  <c r="AC322" i="7"/>
  <c r="AC323" i="7"/>
  <c r="AC324" i="7"/>
  <c r="AC325" i="7"/>
  <c r="AC326" i="7"/>
  <c r="AC327" i="7"/>
  <c r="AC328" i="7"/>
  <c r="AC329" i="7"/>
  <c r="AC330" i="7"/>
  <c r="AC331" i="7"/>
  <c r="AC332" i="7"/>
  <c r="AC333" i="7"/>
  <c r="AC334" i="7"/>
  <c r="AC335" i="7"/>
  <c r="AC336" i="7"/>
  <c r="AC337" i="7"/>
  <c r="AC338" i="7"/>
  <c r="AC339" i="7"/>
  <c r="AC340" i="7"/>
  <c r="AC341" i="7"/>
  <c r="AC342" i="7"/>
  <c r="AC343" i="7"/>
  <c r="AC344" i="7"/>
  <c r="AC345" i="7"/>
  <c r="AC346" i="7"/>
  <c r="AC347" i="7"/>
  <c r="AC348" i="7"/>
  <c r="AC349" i="7"/>
  <c r="AC350" i="7"/>
  <c r="AC351" i="7"/>
  <c r="AC352" i="7"/>
  <c r="AC353" i="7"/>
  <c r="AC354" i="7"/>
  <c r="AC355" i="7"/>
  <c r="AC356" i="7"/>
  <c r="AC357" i="7"/>
  <c r="AC358" i="7"/>
  <c r="AC359" i="7"/>
  <c r="AC360" i="7"/>
  <c r="AC361" i="7"/>
  <c r="AC362" i="7"/>
  <c r="AC363" i="7"/>
  <c r="AC364" i="7"/>
  <c r="AC365" i="7"/>
  <c r="AC366" i="7"/>
  <c r="AC367" i="7"/>
  <c r="AC368" i="7"/>
  <c r="AC369" i="7"/>
  <c r="AC370" i="7"/>
  <c r="AC371" i="7"/>
  <c r="AC372" i="7"/>
  <c r="AC373" i="7"/>
  <c r="AC374" i="7"/>
  <c r="AC375" i="7"/>
  <c r="AC376" i="7"/>
  <c r="AC377" i="7"/>
  <c r="AC378" i="7"/>
  <c r="AC379" i="7"/>
  <c r="AC380" i="7"/>
  <c r="AC381" i="7"/>
  <c r="AC382" i="7"/>
  <c r="AC383" i="7"/>
  <c r="AC384" i="7"/>
  <c r="AC385" i="7"/>
  <c r="AC386" i="7"/>
  <c r="AC387" i="7"/>
  <c r="AC388" i="7"/>
  <c r="AC389" i="7"/>
  <c r="AC390" i="7"/>
  <c r="AC391" i="7"/>
  <c r="AC392" i="7"/>
  <c r="AC393" i="7"/>
  <c r="AC394" i="7"/>
  <c r="AC395" i="7"/>
  <c r="AC396" i="7"/>
  <c r="AC397" i="7"/>
  <c r="AC398" i="7"/>
  <c r="AC399" i="7"/>
  <c r="AC400" i="7"/>
  <c r="AC401" i="7"/>
  <c r="AC402" i="7"/>
  <c r="AC403" i="7"/>
  <c r="AC404" i="7"/>
  <c r="AC405" i="7"/>
  <c r="AC406" i="7"/>
  <c r="AC407" i="7"/>
  <c r="AC408" i="7"/>
  <c r="AC409" i="7"/>
  <c r="AC410" i="7"/>
  <c r="AC411" i="7"/>
  <c r="AC412" i="7"/>
  <c r="AC413" i="7"/>
  <c r="AC414" i="7"/>
  <c r="AC415" i="7"/>
  <c r="AC416" i="7"/>
  <c r="AC417" i="7"/>
  <c r="AC418" i="7"/>
  <c r="AC419" i="7"/>
  <c r="AC420" i="7"/>
  <c r="AC421" i="7"/>
  <c r="AC422" i="7"/>
  <c r="AC423" i="7"/>
  <c r="AC424" i="7"/>
  <c r="AC425" i="7"/>
  <c r="AC426" i="7"/>
  <c r="AC427" i="7"/>
  <c r="AC428" i="7"/>
  <c r="AC429" i="7"/>
  <c r="AC430" i="7"/>
  <c r="AC431" i="7"/>
  <c r="AC432" i="7"/>
  <c r="AC433" i="7"/>
  <c r="AC434" i="7"/>
  <c r="AC435" i="7"/>
  <c r="AC436" i="7"/>
  <c r="AC437" i="7"/>
  <c r="AC438" i="7"/>
  <c r="AC439" i="7"/>
  <c r="AC440" i="7"/>
  <c r="AC441" i="7"/>
  <c r="AC442" i="7"/>
  <c r="AC443" i="7"/>
  <c r="AC444" i="7"/>
  <c r="AC445" i="7"/>
  <c r="AC446" i="7"/>
  <c r="AC447" i="7"/>
  <c r="AC448" i="7"/>
  <c r="AC449" i="7"/>
  <c r="AC450" i="7"/>
  <c r="AC451" i="7"/>
  <c r="AC452" i="7"/>
  <c r="AC453" i="7"/>
  <c r="AC454" i="7"/>
  <c r="AC455" i="7"/>
  <c r="AC456" i="7"/>
  <c r="AC457" i="7"/>
  <c r="AC458" i="7"/>
  <c r="AC459" i="7"/>
  <c r="AC460" i="7"/>
  <c r="AC461" i="7"/>
  <c r="AC462" i="7"/>
  <c r="AC463" i="7"/>
  <c r="AC464" i="7"/>
  <c r="AC465" i="7"/>
  <c r="AC466" i="7"/>
  <c r="AC467" i="7"/>
  <c r="AC468" i="7"/>
  <c r="AC469" i="7"/>
  <c r="AC470" i="7"/>
  <c r="AC471" i="7"/>
  <c r="AC472" i="7"/>
  <c r="AC473" i="7"/>
  <c r="AC474" i="7"/>
  <c r="AC475" i="7"/>
  <c r="AC476" i="7"/>
  <c r="AC477" i="7"/>
  <c r="AC478" i="7"/>
  <c r="AC479" i="7"/>
  <c r="AC480" i="7"/>
  <c r="AC481" i="7"/>
  <c r="AC482" i="7"/>
  <c r="AC483" i="7"/>
  <c r="AC484" i="7"/>
  <c r="AC485" i="7"/>
  <c r="AC486" i="7"/>
  <c r="AC487" i="7"/>
  <c r="AC488" i="7"/>
  <c r="AC489" i="7"/>
  <c r="AC490" i="7"/>
  <c r="AC491" i="7"/>
  <c r="AC492" i="7"/>
  <c r="AC493" i="7"/>
  <c r="AC494" i="7"/>
  <c r="AC495" i="7"/>
  <c r="AC496" i="7"/>
  <c r="AC497" i="7"/>
  <c r="AC498" i="7"/>
  <c r="AC499" i="7"/>
  <c r="AC500" i="7"/>
  <c r="AC501" i="7"/>
  <c r="AC502" i="7"/>
  <c r="AC503" i="7"/>
  <c r="AC504" i="7"/>
  <c r="AC505" i="7"/>
  <c r="AC506" i="7"/>
  <c r="AC507" i="7"/>
  <c r="AC508" i="7"/>
  <c r="AC509" i="7"/>
  <c r="AC510" i="7"/>
  <c r="AC511" i="7"/>
  <c r="AC512" i="7"/>
  <c r="AC513" i="7"/>
  <c r="AC514" i="7"/>
  <c r="AC515" i="7"/>
  <c r="AC516" i="7"/>
  <c r="AC517" i="7"/>
  <c r="AC518" i="7"/>
  <c r="AC519" i="7"/>
  <c r="AC520" i="7"/>
  <c r="AC521" i="7"/>
  <c r="AC522" i="7"/>
  <c r="AC523" i="7"/>
  <c r="AC524" i="7"/>
  <c r="AC525" i="7"/>
  <c r="AC526" i="7"/>
  <c r="AC527" i="7"/>
  <c r="AC528" i="7"/>
  <c r="AC529" i="7"/>
  <c r="AC530" i="7"/>
  <c r="AC531" i="7"/>
  <c r="AC532" i="7"/>
  <c r="AC533" i="7"/>
  <c r="AC534" i="7"/>
  <c r="AC535" i="7"/>
  <c r="AC536" i="7"/>
  <c r="AC537" i="7"/>
  <c r="AC538" i="7"/>
  <c r="AC539" i="7"/>
  <c r="AC540" i="7"/>
  <c r="AC541" i="7"/>
  <c r="AC542" i="7"/>
  <c r="AC543" i="7"/>
  <c r="AC544" i="7"/>
  <c r="AC545" i="7"/>
  <c r="AC546" i="7"/>
  <c r="AC547" i="7"/>
  <c r="AC548" i="7"/>
  <c r="AC549" i="7"/>
  <c r="AC550" i="7"/>
  <c r="AC551" i="7"/>
  <c r="AC552" i="7"/>
  <c r="AC553" i="7"/>
  <c r="AC554" i="7"/>
  <c r="AC555" i="7"/>
  <c r="AC556" i="7"/>
  <c r="AC557" i="7"/>
  <c r="AC558" i="7"/>
  <c r="AC559" i="7"/>
  <c r="AC560" i="7"/>
  <c r="AC561" i="7"/>
  <c r="AC562" i="7"/>
  <c r="AC563" i="7"/>
  <c r="AC564" i="7"/>
  <c r="AC565" i="7"/>
  <c r="AC566" i="7"/>
  <c r="AC567" i="7"/>
  <c r="AC568" i="7"/>
  <c r="AC569" i="7"/>
  <c r="AC570" i="7"/>
  <c r="AC571" i="7"/>
  <c r="AC572" i="7"/>
  <c r="AC573" i="7"/>
  <c r="AC574" i="7"/>
  <c r="AC575" i="7"/>
  <c r="AC576" i="7"/>
  <c r="AC577" i="7"/>
  <c r="AC578" i="7"/>
  <c r="AC579" i="7"/>
  <c r="AC580" i="7"/>
  <c r="AC581" i="7"/>
  <c r="AC582" i="7"/>
  <c r="AC583" i="7"/>
  <c r="AC584" i="7"/>
  <c r="AC585" i="7"/>
  <c r="AC586" i="7"/>
  <c r="AC587" i="7"/>
  <c r="AC588" i="7"/>
  <c r="AC589" i="7"/>
  <c r="AC590" i="7"/>
  <c r="AC591" i="7"/>
  <c r="AC592" i="7"/>
  <c r="AC593" i="7"/>
  <c r="AC594" i="7"/>
  <c r="AC595" i="7"/>
  <c r="AC596" i="7"/>
  <c r="AC597" i="7"/>
  <c r="AC598" i="7"/>
  <c r="AC599" i="7"/>
  <c r="AC600" i="7"/>
  <c r="AC601" i="7"/>
  <c r="AC602" i="7"/>
  <c r="AC603" i="7"/>
  <c r="AC604" i="7"/>
  <c r="AC605" i="7"/>
  <c r="AC606" i="7"/>
  <c r="AC607" i="7"/>
  <c r="AC608" i="7"/>
  <c r="AC609" i="7"/>
  <c r="AC610" i="7"/>
  <c r="AC611" i="7"/>
  <c r="AC612" i="7"/>
  <c r="AC613" i="7"/>
  <c r="AC614" i="7"/>
  <c r="AC615" i="7"/>
  <c r="AC616" i="7"/>
  <c r="AC617" i="7"/>
  <c r="AC618" i="7"/>
  <c r="AC619" i="7"/>
  <c r="AC620" i="7"/>
  <c r="AC621" i="7"/>
  <c r="AC622" i="7"/>
  <c r="AC623" i="7"/>
  <c r="AC624" i="7"/>
  <c r="AC625" i="7"/>
  <c r="AC626" i="7"/>
  <c r="AC627" i="7"/>
  <c r="AC628" i="7"/>
  <c r="AC629" i="7"/>
  <c r="AC630" i="7"/>
  <c r="AC631" i="7"/>
  <c r="AC632" i="7"/>
  <c r="AC633" i="7"/>
  <c r="AC634" i="7"/>
  <c r="AC635" i="7"/>
  <c r="AC636" i="7"/>
  <c r="AC637" i="7"/>
  <c r="AC638" i="7"/>
  <c r="AC639" i="7"/>
  <c r="AC640" i="7"/>
  <c r="AC641" i="7"/>
  <c r="AC642" i="7"/>
  <c r="AC643" i="7"/>
  <c r="AC644" i="7"/>
  <c r="AC645" i="7"/>
  <c r="AC646" i="7"/>
  <c r="AC647" i="7"/>
  <c r="AC648" i="7"/>
  <c r="AC649" i="7"/>
  <c r="AC650" i="7"/>
  <c r="AC651" i="7"/>
  <c r="AC652" i="7"/>
  <c r="AC653" i="7"/>
  <c r="AC654" i="7"/>
  <c r="AC655" i="7"/>
  <c r="AC656" i="7"/>
  <c r="AC657" i="7"/>
  <c r="AC658" i="7"/>
  <c r="AC659" i="7"/>
  <c r="AC660" i="7"/>
  <c r="AC661" i="7"/>
  <c r="AC662" i="7"/>
  <c r="AC663" i="7"/>
  <c r="AC664" i="7"/>
  <c r="AC665" i="7"/>
  <c r="AC666" i="7"/>
  <c r="AC667" i="7"/>
  <c r="AC668" i="7"/>
  <c r="AC669" i="7"/>
  <c r="AC670" i="7"/>
  <c r="AC671" i="7"/>
  <c r="AC672" i="7"/>
  <c r="AC673" i="7"/>
  <c r="AC674" i="7"/>
  <c r="AC675" i="7"/>
  <c r="AC676" i="7"/>
  <c r="AC677" i="7"/>
  <c r="AC678" i="7"/>
  <c r="AC679" i="7"/>
  <c r="AC680" i="7"/>
  <c r="AC681" i="7"/>
  <c r="AC682" i="7"/>
  <c r="AC683" i="7"/>
  <c r="AC684" i="7"/>
  <c r="AC685" i="7"/>
  <c r="AC686" i="7"/>
  <c r="AC687" i="7"/>
  <c r="AC688" i="7"/>
  <c r="AC689" i="7"/>
  <c r="AC690" i="7"/>
  <c r="AC691" i="7"/>
  <c r="AC692" i="7"/>
  <c r="AC693" i="7"/>
  <c r="AC694" i="7"/>
  <c r="AC695" i="7"/>
  <c r="AC696" i="7"/>
  <c r="AC697" i="7"/>
  <c r="AC698" i="7"/>
  <c r="AC699" i="7"/>
  <c r="AC700" i="7"/>
  <c r="AC701" i="7"/>
  <c r="AC702" i="7"/>
  <c r="AC703" i="7"/>
  <c r="AC704" i="7"/>
  <c r="AC705" i="7"/>
  <c r="AC706" i="7"/>
  <c r="AC707" i="7"/>
  <c r="AC708" i="7"/>
  <c r="AC709" i="7"/>
  <c r="AC710" i="7"/>
  <c r="AC711" i="7"/>
  <c r="AC712" i="7"/>
  <c r="AC713" i="7"/>
  <c r="AC714" i="7"/>
  <c r="AC715" i="7"/>
  <c r="AC716" i="7"/>
  <c r="AC717" i="7"/>
  <c r="AC718" i="7"/>
  <c r="AC719" i="7"/>
  <c r="AC720" i="7"/>
  <c r="AC721" i="7"/>
  <c r="AC722" i="7"/>
  <c r="AC723" i="7"/>
  <c r="AC724" i="7"/>
  <c r="AC725" i="7"/>
  <c r="AC726" i="7"/>
  <c r="AC727" i="7"/>
  <c r="AC728" i="7"/>
  <c r="AC729" i="7"/>
  <c r="AC730" i="7"/>
  <c r="AC731" i="7"/>
  <c r="AC732" i="7"/>
  <c r="AC733" i="7"/>
  <c r="AC734" i="7"/>
  <c r="AC735" i="7"/>
  <c r="AC736" i="7"/>
  <c r="AC737" i="7"/>
  <c r="AC738" i="7"/>
  <c r="AC739" i="7"/>
  <c r="AC740" i="7"/>
  <c r="AC741" i="7"/>
  <c r="AC742" i="7"/>
  <c r="AC743" i="7"/>
  <c r="AC744" i="7"/>
  <c r="AC745" i="7"/>
  <c r="AC746" i="7"/>
  <c r="AC747" i="7"/>
  <c r="AC748" i="7"/>
  <c r="AC749" i="7"/>
  <c r="AC750" i="7"/>
  <c r="AC751" i="7"/>
  <c r="AC752" i="7"/>
  <c r="AC753" i="7"/>
  <c r="AC754" i="7"/>
  <c r="AC755" i="7"/>
  <c r="AC756" i="7"/>
  <c r="AC757" i="7"/>
  <c r="AC758" i="7"/>
  <c r="AC759" i="7"/>
  <c r="AC760" i="7"/>
  <c r="AC761" i="7"/>
  <c r="AC762" i="7"/>
  <c r="AC763" i="7"/>
  <c r="AC764" i="7"/>
  <c r="AC765" i="7"/>
  <c r="AC766" i="7"/>
  <c r="AC767" i="7"/>
  <c r="AC768" i="7"/>
  <c r="AC769" i="7"/>
  <c r="AC770" i="7"/>
  <c r="AC771" i="7"/>
  <c r="AC772" i="7"/>
  <c r="AC773" i="7"/>
  <c r="AC774" i="7"/>
  <c r="AC775" i="7"/>
  <c r="AC776" i="7"/>
  <c r="AC777" i="7"/>
  <c r="AC778" i="7"/>
  <c r="AC779" i="7"/>
  <c r="AC780" i="7"/>
  <c r="AC781" i="7"/>
  <c r="AC782" i="7"/>
  <c r="AC783" i="7"/>
  <c r="AC784" i="7"/>
  <c r="AC785" i="7"/>
  <c r="AC786" i="7"/>
  <c r="AC787" i="7"/>
  <c r="AC788" i="7"/>
  <c r="AC789" i="7"/>
  <c r="AC790" i="7"/>
  <c r="AC791" i="7"/>
  <c r="AC792" i="7"/>
  <c r="AC793" i="7"/>
  <c r="AC794" i="7"/>
  <c r="AC795" i="7"/>
  <c r="AC796" i="7"/>
  <c r="AC797" i="7"/>
  <c r="AC798" i="7"/>
  <c r="AC799" i="7"/>
  <c r="AC800" i="7"/>
  <c r="AC801" i="7"/>
  <c r="AC802" i="7"/>
  <c r="AC803" i="7"/>
  <c r="AC804" i="7"/>
  <c r="AC805" i="7"/>
  <c r="AC806" i="7"/>
  <c r="AC807" i="7"/>
  <c r="AC808" i="7"/>
  <c r="AC809" i="7"/>
  <c r="AC810" i="7"/>
  <c r="AC811" i="7"/>
  <c r="AC812" i="7"/>
  <c r="AC813" i="7"/>
  <c r="AC814" i="7"/>
  <c r="AC815" i="7"/>
  <c r="AC816" i="7"/>
  <c r="AC817" i="7"/>
  <c r="AC818" i="7"/>
  <c r="AC819" i="7"/>
  <c r="AC820" i="7"/>
  <c r="AC821" i="7"/>
  <c r="AC822" i="7"/>
  <c r="AC823" i="7"/>
  <c r="AC824" i="7"/>
  <c r="AC825" i="7"/>
  <c r="AC826" i="7"/>
  <c r="AC827" i="7"/>
  <c r="AC828" i="7"/>
  <c r="AC829" i="7"/>
  <c r="AC830" i="7"/>
  <c r="AC831" i="7"/>
  <c r="AC832" i="7"/>
  <c r="AC833" i="7"/>
  <c r="AC834" i="7"/>
  <c r="AC835" i="7"/>
  <c r="AC836" i="7"/>
  <c r="AC837" i="7"/>
  <c r="AC838" i="7"/>
  <c r="AC839" i="7"/>
  <c r="AC840" i="7"/>
  <c r="AC841" i="7"/>
  <c r="AC842" i="7"/>
  <c r="AC843" i="7"/>
  <c r="AC844" i="7"/>
  <c r="AC845" i="7"/>
  <c r="AC846" i="7"/>
  <c r="AC847" i="7"/>
  <c r="AC848" i="7"/>
  <c r="AC849" i="7"/>
  <c r="AC850" i="7"/>
  <c r="AC851" i="7"/>
  <c r="AC852" i="7"/>
  <c r="AC853" i="7"/>
  <c r="AC854" i="7"/>
  <c r="AC855" i="7"/>
  <c r="AC856" i="7"/>
  <c r="AC857" i="7"/>
  <c r="AC858" i="7"/>
  <c r="AC859" i="7"/>
  <c r="AC860" i="7"/>
  <c r="AC861" i="7"/>
  <c r="AC862" i="7"/>
  <c r="AC863" i="7"/>
  <c r="AC864" i="7"/>
  <c r="AC865" i="7"/>
  <c r="AC866" i="7"/>
  <c r="AC867" i="7"/>
  <c r="AC868" i="7"/>
  <c r="AC869" i="7"/>
  <c r="AC870" i="7"/>
  <c r="AC871" i="7"/>
  <c r="AC872" i="7"/>
  <c r="AC873" i="7"/>
  <c r="AC874" i="7"/>
  <c r="AC875" i="7"/>
  <c r="AC876" i="7"/>
  <c r="AC877" i="7"/>
  <c r="AC878" i="7"/>
  <c r="AC879" i="7"/>
  <c r="AC880" i="7"/>
  <c r="AC881" i="7"/>
  <c r="AC882" i="7"/>
  <c r="AC883" i="7"/>
  <c r="AC884" i="7"/>
  <c r="AC885" i="7"/>
  <c r="AC886" i="7"/>
  <c r="AC887" i="7"/>
  <c r="AC888" i="7"/>
  <c r="AC889" i="7"/>
  <c r="AC890" i="7"/>
  <c r="AC891" i="7"/>
  <c r="AC892" i="7"/>
  <c r="AC893" i="7"/>
  <c r="AC894" i="7"/>
  <c r="AC895" i="7"/>
  <c r="AC896" i="7"/>
  <c r="AC897" i="7"/>
  <c r="AC898" i="7"/>
  <c r="AC899" i="7"/>
  <c r="AC900" i="7"/>
  <c r="AC901" i="7"/>
  <c r="AC902" i="7"/>
  <c r="AC903" i="7"/>
  <c r="AC904" i="7"/>
  <c r="AC905" i="7"/>
  <c r="AC906" i="7"/>
  <c r="AC907" i="7"/>
  <c r="AC908" i="7"/>
  <c r="AC909" i="7"/>
  <c r="AC910" i="7"/>
  <c r="AC911" i="7"/>
  <c r="AC912" i="7"/>
  <c r="AC913" i="7"/>
  <c r="AC914" i="7"/>
  <c r="AC915" i="7"/>
  <c r="AC916" i="7"/>
  <c r="AC917" i="7"/>
  <c r="AC918" i="7"/>
  <c r="AC919" i="7"/>
  <c r="AC920" i="7"/>
  <c r="AC921" i="7"/>
  <c r="AC922" i="7"/>
  <c r="AC923" i="7"/>
  <c r="AC924" i="7"/>
  <c r="AC925" i="7"/>
  <c r="AC926" i="7"/>
  <c r="AC927" i="7"/>
  <c r="AC928" i="7"/>
  <c r="AC929" i="7"/>
  <c r="AC930" i="7"/>
  <c r="AC931" i="7"/>
  <c r="AC932" i="7"/>
  <c r="AC933" i="7"/>
  <c r="AC934" i="7"/>
  <c r="AC935" i="7"/>
  <c r="AC936" i="7"/>
  <c r="AC937" i="7"/>
  <c r="AC938" i="7"/>
  <c r="AC939" i="7"/>
  <c r="AC940" i="7"/>
  <c r="AC941" i="7"/>
  <c r="AC942" i="7"/>
  <c r="AC943" i="7"/>
  <c r="AC944" i="7"/>
  <c r="AC945" i="7"/>
  <c r="AC946" i="7"/>
  <c r="AC947" i="7"/>
  <c r="AC948" i="7"/>
  <c r="AC949" i="7"/>
  <c r="AC950" i="7"/>
  <c r="AC951" i="7"/>
  <c r="AC952" i="7"/>
  <c r="AC953" i="7"/>
  <c r="AC954" i="7"/>
  <c r="AC955" i="7"/>
  <c r="AC956" i="7"/>
  <c r="AC957" i="7"/>
  <c r="AC958" i="7"/>
  <c r="AC959" i="7"/>
  <c r="AC960" i="7"/>
  <c r="AC961" i="7"/>
  <c r="AC962" i="7"/>
  <c r="AC963" i="7"/>
  <c r="AC964" i="7"/>
  <c r="AC965" i="7"/>
  <c r="AC966" i="7"/>
  <c r="AC967" i="7"/>
  <c r="AC968" i="7"/>
  <c r="AC969" i="7"/>
  <c r="AC970" i="7"/>
  <c r="AC971" i="7"/>
  <c r="AC972" i="7"/>
  <c r="AC973" i="7"/>
  <c r="AC974" i="7"/>
  <c r="AC975" i="7"/>
  <c r="AC976" i="7"/>
  <c r="AC977" i="7"/>
  <c r="AC978" i="7"/>
  <c r="AC979" i="7"/>
  <c r="AC980" i="7"/>
  <c r="AC981" i="7"/>
  <c r="AC982" i="7"/>
  <c r="AC983" i="7"/>
  <c r="AC984" i="7"/>
  <c r="AC985" i="7"/>
  <c r="AC986" i="7"/>
  <c r="AC987" i="7"/>
  <c r="AC988" i="7"/>
  <c r="AC989" i="7"/>
  <c r="AC990" i="7"/>
  <c r="AC991" i="7"/>
  <c r="AC992" i="7"/>
  <c r="AC993" i="7"/>
  <c r="AC994" i="7"/>
  <c r="AC995" i="7"/>
  <c r="AC996" i="7"/>
  <c r="AC997" i="7"/>
  <c r="AC998" i="7"/>
  <c r="AC999" i="7"/>
  <c r="AC1000" i="7"/>
  <c r="AC1001" i="7"/>
  <c r="AC1002" i="7"/>
  <c r="AC1003" i="7"/>
  <c r="AC1004" i="7"/>
  <c r="AC1005" i="7"/>
  <c r="AC1006" i="7"/>
  <c r="AC1007" i="7"/>
  <c r="AC1008" i="7"/>
  <c r="AC1009" i="7"/>
  <c r="AC1010" i="7"/>
  <c r="AC1011" i="7"/>
  <c r="AC1012" i="7"/>
  <c r="AC1013" i="7"/>
  <c r="AC1014" i="7"/>
  <c r="AC1015" i="7"/>
  <c r="AC1016" i="7"/>
  <c r="AC1017" i="7"/>
  <c r="AC1018" i="7"/>
  <c r="AC1019" i="7"/>
  <c r="AC1020" i="7"/>
  <c r="AC1021" i="7"/>
  <c r="AC1022" i="7"/>
  <c r="AC1023" i="7"/>
  <c r="AC1024" i="7"/>
  <c r="AC1025" i="7"/>
  <c r="AC1026" i="7"/>
  <c r="AC1027" i="7"/>
  <c r="AC1028" i="7"/>
  <c r="AC1029" i="7"/>
  <c r="AC1030" i="7"/>
  <c r="AC1031" i="7"/>
  <c r="AC1032" i="7"/>
  <c r="AC1033" i="7"/>
  <c r="AC1034" i="7"/>
  <c r="AC1035" i="7"/>
  <c r="AC1036" i="7"/>
  <c r="AC1037" i="7"/>
  <c r="AC1038" i="7"/>
  <c r="AC1039" i="7"/>
  <c r="AC1040" i="7"/>
  <c r="AC1041" i="7"/>
  <c r="AC1042" i="7"/>
  <c r="AC1043" i="7"/>
  <c r="AC1044" i="7"/>
  <c r="AC1045" i="7"/>
  <c r="AC1046" i="7"/>
  <c r="AC1047" i="7"/>
  <c r="AC1048" i="7"/>
  <c r="AC1049" i="7"/>
  <c r="AC1050" i="7"/>
  <c r="AC1051" i="7"/>
  <c r="AC1052" i="7"/>
  <c r="AC1053" i="7"/>
  <c r="AC1054" i="7"/>
  <c r="AC1055" i="7"/>
  <c r="AC1056" i="7"/>
  <c r="AC1057" i="7"/>
  <c r="AC1058" i="7"/>
  <c r="AC1059" i="7"/>
  <c r="AC1060" i="7"/>
  <c r="AC1061" i="7"/>
  <c r="AC1062" i="7"/>
  <c r="AC1063" i="7"/>
  <c r="AC1064" i="7"/>
  <c r="AC1065" i="7"/>
  <c r="AC1066" i="7"/>
  <c r="AC1067" i="7"/>
  <c r="AC1068" i="7"/>
  <c r="AC1069" i="7"/>
  <c r="AC1070" i="7"/>
  <c r="AC1071" i="7"/>
  <c r="AC1072" i="7"/>
  <c r="AC1073" i="7"/>
  <c r="AC1074" i="7"/>
  <c r="AC1075" i="7"/>
  <c r="AC1076" i="7"/>
  <c r="AC1077" i="7"/>
  <c r="AC1078" i="7"/>
  <c r="AC1079" i="7"/>
  <c r="AC1080" i="7"/>
  <c r="AC1081" i="7"/>
  <c r="AC1082" i="7"/>
  <c r="AC1083" i="7"/>
  <c r="AC1084" i="7"/>
  <c r="AC1085" i="7"/>
  <c r="AC1086" i="7"/>
  <c r="AC1087" i="7"/>
  <c r="AC1088" i="7"/>
  <c r="AC1089" i="7"/>
  <c r="AC1090" i="7"/>
  <c r="AC1091" i="7"/>
  <c r="AC1092" i="7"/>
  <c r="AC1093" i="7"/>
  <c r="AC1094" i="7"/>
  <c r="AC1095" i="7"/>
  <c r="AC1096" i="7"/>
  <c r="AC1097" i="7"/>
  <c r="AC1098" i="7"/>
  <c r="AC1099" i="7"/>
  <c r="AC1100" i="7"/>
  <c r="AC1101" i="7"/>
  <c r="AC1102" i="7"/>
  <c r="AC1103" i="7"/>
  <c r="AC1104" i="7"/>
  <c r="AC1105" i="7"/>
  <c r="AC1106" i="7"/>
  <c r="AC1107" i="7"/>
  <c r="AC1108" i="7"/>
  <c r="AC1109" i="7"/>
  <c r="AC1110" i="7"/>
  <c r="AC1111" i="7"/>
  <c r="AC1112" i="7"/>
  <c r="AC1113" i="7"/>
  <c r="AC1114" i="7"/>
  <c r="AC1115" i="7"/>
  <c r="AC1116" i="7"/>
  <c r="AC1117" i="7"/>
  <c r="AC1118" i="7"/>
  <c r="AC1119" i="7"/>
  <c r="AC1120" i="7"/>
  <c r="AC1121" i="7"/>
  <c r="AC1122" i="7"/>
  <c r="AC1123" i="7"/>
  <c r="AC1124" i="7"/>
  <c r="AC1125" i="7"/>
  <c r="AC1126" i="7"/>
  <c r="AC1127" i="7"/>
  <c r="AC1128" i="7"/>
  <c r="AC1129" i="7"/>
  <c r="AC1130" i="7"/>
  <c r="AC1131" i="7"/>
  <c r="AC1132" i="7"/>
  <c r="AC1133" i="7"/>
  <c r="AC1134" i="7"/>
  <c r="AC1135" i="7"/>
  <c r="AC1136" i="7"/>
  <c r="AC1137" i="7"/>
  <c r="AC1138" i="7"/>
  <c r="AC1139" i="7"/>
  <c r="AC1140" i="7"/>
  <c r="AC1141" i="7"/>
  <c r="AC1142" i="7"/>
  <c r="AC1143" i="7"/>
  <c r="AC1144" i="7"/>
  <c r="AC1145" i="7"/>
  <c r="AC1146" i="7"/>
  <c r="AC1147" i="7"/>
  <c r="AC1148" i="7"/>
  <c r="AC1149" i="7"/>
  <c r="AC1150" i="7"/>
  <c r="AC1151" i="7"/>
  <c r="AC1152" i="7"/>
  <c r="AC1153" i="7"/>
  <c r="AC1154" i="7"/>
  <c r="AC1155" i="7"/>
  <c r="AC1156" i="7"/>
  <c r="AC1157" i="7"/>
  <c r="AC1158" i="7"/>
  <c r="AC1159" i="7"/>
  <c r="AC1160" i="7"/>
  <c r="AC1161" i="7"/>
  <c r="AC1162" i="7"/>
  <c r="AC1163" i="7"/>
  <c r="AC1164" i="7"/>
  <c r="AC1165" i="7"/>
  <c r="AC1166" i="7"/>
  <c r="AC1167" i="7"/>
  <c r="AC1168" i="7"/>
  <c r="AC1169" i="7"/>
  <c r="AC1170" i="7"/>
  <c r="AC1171" i="7"/>
  <c r="AC1172" i="7"/>
  <c r="AC1173" i="7"/>
  <c r="AC1174" i="7"/>
  <c r="AC1175" i="7"/>
  <c r="AC1176" i="7"/>
  <c r="AC1177" i="7"/>
  <c r="AC1178" i="7"/>
  <c r="AC1179" i="7"/>
  <c r="AC1180" i="7"/>
  <c r="AC1181" i="7"/>
  <c r="AC1182" i="7"/>
  <c r="AC1183" i="7"/>
  <c r="AC1184" i="7"/>
  <c r="AC1185" i="7"/>
  <c r="AC1186" i="7"/>
  <c r="AC1187" i="7"/>
  <c r="AC1188" i="7"/>
  <c r="AC1189" i="7"/>
  <c r="AC1190" i="7"/>
  <c r="AC1191" i="7"/>
  <c r="AC1192" i="7"/>
  <c r="AC1193" i="7"/>
  <c r="AC1194" i="7"/>
  <c r="AC1195" i="7"/>
  <c r="AC1196" i="7"/>
  <c r="AC1197" i="7"/>
  <c r="AC1198" i="7"/>
  <c r="AC1199" i="7"/>
  <c r="AC1200" i="7"/>
  <c r="AC1201" i="7"/>
  <c r="AC1202" i="7"/>
  <c r="AC1203" i="7"/>
  <c r="AC1204" i="7"/>
  <c r="AC1205" i="7"/>
  <c r="AC1206" i="7"/>
  <c r="AC1207" i="7"/>
  <c r="AC1208" i="7"/>
  <c r="AC1209" i="7"/>
  <c r="AC1210" i="7"/>
  <c r="AC1211" i="7"/>
  <c r="AC1212" i="7"/>
  <c r="AC1213" i="7"/>
  <c r="AC1214" i="7"/>
  <c r="AC1215" i="7"/>
  <c r="AC1216" i="7"/>
  <c r="AC1217" i="7"/>
  <c r="AC1218" i="7"/>
  <c r="AC1219" i="7"/>
  <c r="AC1220" i="7"/>
  <c r="AC1221" i="7"/>
  <c r="AC1222" i="7"/>
  <c r="AC1223" i="7"/>
  <c r="AC1224" i="7"/>
  <c r="AC1225" i="7"/>
  <c r="AC1226" i="7"/>
  <c r="AC1227" i="7"/>
  <c r="AC1228" i="7"/>
  <c r="AC1229" i="7"/>
  <c r="AC1230" i="7"/>
  <c r="AC1231" i="7"/>
  <c r="AC1232" i="7"/>
  <c r="AC1233" i="7"/>
  <c r="AC1234" i="7"/>
  <c r="AC1235" i="7"/>
  <c r="AC1236" i="7"/>
  <c r="AC1237" i="7"/>
  <c r="AC1238" i="7"/>
  <c r="AC1239" i="7"/>
  <c r="AC1240" i="7"/>
  <c r="AC1241" i="7"/>
  <c r="AC1242" i="7"/>
  <c r="AC1243" i="7"/>
  <c r="AC1244" i="7"/>
  <c r="AC1245" i="7"/>
  <c r="AC1246" i="7"/>
  <c r="AC1247" i="7"/>
  <c r="AC1248" i="7"/>
  <c r="AC1249" i="7"/>
  <c r="AC1250" i="7"/>
  <c r="AC1251" i="7"/>
  <c r="AC1252" i="7"/>
  <c r="AC1253" i="7"/>
  <c r="AC1254" i="7"/>
  <c r="AC1255" i="7"/>
  <c r="AC1256" i="7"/>
  <c r="AC1257" i="7"/>
  <c r="AC1258" i="7"/>
  <c r="AC1259" i="7"/>
  <c r="AC1260" i="7"/>
  <c r="AC1261" i="7"/>
  <c r="AC1262" i="7"/>
  <c r="AC1263" i="7"/>
  <c r="AC1264" i="7"/>
  <c r="AC1265" i="7"/>
  <c r="AC1266" i="7"/>
  <c r="AC1267" i="7"/>
  <c r="AC1268" i="7"/>
  <c r="AC1269" i="7"/>
  <c r="AC1270" i="7"/>
  <c r="AC1271" i="7"/>
  <c r="AC1272" i="7"/>
  <c r="AC1273" i="7"/>
  <c r="AC1274" i="7"/>
  <c r="AC1275" i="7"/>
  <c r="AC1276" i="7"/>
  <c r="AC1277" i="7"/>
  <c r="AC1278" i="7"/>
  <c r="AC1279" i="7"/>
  <c r="AC1280" i="7"/>
  <c r="AC1281" i="7"/>
  <c r="AC1282" i="7"/>
  <c r="AC1283" i="7"/>
  <c r="AC1284" i="7"/>
  <c r="AC1285" i="7"/>
  <c r="AC1286" i="7"/>
  <c r="AC1287" i="7"/>
  <c r="AC1288" i="7"/>
  <c r="AC1289" i="7"/>
  <c r="AC1290" i="7"/>
  <c r="AC1291" i="7"/>
  <c r="AC1292" i="7"/>
  <c r="AC1293" i="7"/>
  <c r="AC1294" i="7"/>
  <c r="AC1295" i="7"/>
  <c r="AC1296" i="7"/>
  <c r="AC1297" i="7"/>
  <c r="AC1298" i="7"/>
  <c r="AC1299" i="7"/>
  <c r="AC1300" i="7"/>
  <c r="AC1301" i="7"/>
  <c r="AC1302" i="7"/>
  <c r="AC1303" i="7"/>
  <c r="AC1304" i="7"/>
  <c r="AC1305" i="7"/>
  <c r="AC1306" i="7"/>
  <c r="AC1307" i="7"/>
  <c r="AC1308" i="7"/>
  <c r="AC1309" i="7"/>
  <c r="AC1310" i="7"/>
  <c r="AC1311" i="7"/>
  <c r="AC1312" i="7"/>
  <c r="AC1313" i="7"/>
  <c r="AC1314" i="7"/>
  <c r="AC1315" i="7"/>
  <c r="AC1316" i="7"/>
  <c r="AC1317" i="7"/>
  <c r="AC1318" i="7"/>
  <c r="AC1319" i="7"/>
  <c r="AC1320" i="7"/>
  <c r="AC1321" i="7"/>
  <c r="AC1322" i="7"/>
  <c r="AC1323" i="7"/>
  <c r="AC1324" i="7"/>
  <c r="AC1325" i="7"/>
  <c r="AC1326" i="7"/>
  <c r="AC1327" i="7"/>
  <c r="AC1328" i="7"/>
  <c r="AC1329" i="7"/>
  <c r="AC1330" i="7"/>
  <c r="AC1331" i="7"/>
  <c r="AC1332" i="7"/>
  <c r="AC1333" i="7"/>
  <c r="AC1334" i="7"/>
  <c r="AC1335" i="7"/>
  <c r="AC1336" i="7"/>
  <c r="AC1337" i="7"/>
  <c r="AC1338" i="7"/>
  <c r="AC1339" i="7"/>
  <c r="AC1340" i="7"/>
  <c r="AC1341" i="7"/>
  <c r="AC1342" i="7"/>
  <c r="AC1343" i="7"/>
  <c r="AC1344" i="7"/>
  <c r="AC1345" i="7"/>
  <c r="AC1346" i="7"/>
  <c r="AC1347" i="7"/>
  <c r="AC1348" i="7"/>
  <c r="AC1349" i="7"/>
  <c r="AC1350" i="7"/>
  <c r="AC1351" i="7"/>
  <c r="AC1352" i="7"/>
  <c r="AC1353" i="7"/>
  <c r="AC1354" i="7"/>
  <c r="AC1355" i="7"/>
  <c r="AC1356" i="7"/>
  <c r="AC1357" i="7"/>
  <c r="AC1358" i="7"/>
  <c r="AC1359" i="7"/>
  <c r="AC1360" i="7"/>
  <c r="AC1361" i="7"/>
  <c r="AC1362" i="7"/>
  <c r="AC1363" i="7"/>
  <c r="AC1364" i="7"/>
  <c r="AC1365" i="7"/>
  <c r="AC1366" i="7"/>
  <c r="AC1367" i="7"/>
  <c r="AC1368" i="7"/>
  <c r="AC1369" i="7"/>
  <c r="AC1370" i="7"/>
  <c r="AC1371" i="7"/>
  <c r="AC1372" i="7"/>
  <c r="AC1373" i="7"/>
  <c r="AC1374" i="7"/>
  <c r="AC1375" i="7"/>
  <c r="AC1376" i="7"/>
  <c r="AC1377" i="7"/>
  <c r="AC1378" i="7"/>
  <c r="AC1379" i="7"/>
  <c r="AC1380" i="7"/>
  <c r="AC1381" i="7"/>
  <c r="AC1382" i="7"/>
  <c r="AC1383" i="7"/>
  <c r="AC1384" i="7"/>
  <c r="AC1385" i="7"/>
  <c r="AC1386" i="7"/>
  <c r="AC1387" i="7"/>
  <c r="AC1388" i="7"/>
  <c r="AC1389" i="7"/>
  <c r="AB3" i="7"/>
  <c r="AB4" i="7"/>
  <c r="AB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270" i="7"/>
  <c r="AB271" i="7"/>
  <c r="AB272" i="7"/>
  <c r="AB273" i="7"/>
  <c r="AB274" i="7"/>
  <c r="AB275" i="7"/>
  <c r="AB276" i="7"/>
  <c r="AB277" i="7"/>
  <c r="AB278" i="7"/>
  <c r="AB279" i="7"/>
  <c r="AB280" i="7"/>
  <c r="AB281" i="7"/>
  <c r="AB282" i="7"/>
  <c r="AB283" i="7"/>
  <c r="AB284" i="7"/>
  <c r="AB285" i="7"/>
  <c r="AB286" i="7"/>
  <c r="AB287" i="7"/>
  <c r="AB288" i="7"/>
  <c r="AB289" i="7"/>
  <c r="AB290" i="7"/>
  <c r="AB291" i="7"/>
  <c r="AB292" i="7"/>
  <c r="AB293" i="7"/>
  <c r="AB294" i="7"/>
  <c r="AB295" i="7"/>
  <c r="AB296" i="7"/>
  <c r="AB297" i="7"/>
  <c r="AB298" i="7"/>
  <c r="AB299" i="7"/>
  <c r="AB300" i="7"/>
  <c r="AB301" i="7"/>
  <c r="AB302" i="7"/>
  <c r="AB303" i="7"/>
  <c r="AB304" i="7"/>
  <c r="AB305" i="7"/>
  <c r="AB306" i="7"/>
  <c r="AB307" i="7"/>
  <c r="AB308" i="7"/>
  <c r="AB309" i="7"/>
  <c r="AB310" i="7"/>
  <c r="AB311" i="7"/>
  <c r="AB312" i="7"/>
  <c r="AB313" i="7"/>
  <c r="AB314" i="7"/>
  <c r="AB315" i="7"/>
  <c r="AB316" i="7"/>
  <c r="AB317" i="7"/>
  <c r="AB318" i="7"/>
  <c r="AB319" i="7"/>
  <c r="AB320" i="7"/>
  <c r="AB321" i="7"/>
  <c r="AB322" i="7"/>
  <c r="AB323" i="7"/>
  <c r="AB324" i="7"/>
  <c r="AB325" i="7"/>
  <c r="AB326" i="7"/>
  <c r="AB327" i="7"/>
  <c r="AB328" i="7"/>
  <c r="AB329" i="7"/>
  <c r="AB330" i="7"/>
  <c r="AB331" i="7"/>
  <c r="AB332" i="7"/>
  <c r="AB333" i="7"/>
  <c r="AB334" i="7"/>
  <c r="AB335" i="7"/>
  <c r="AB336" i="7"/>
  <c r="AB337" i="7"/>
  <c r="AB338" i="7"/>
  <c r="AB339" i="7"/>
  <c r="AB340" i="7"/>
  <c r="AB341" i="7"/>
  <c r="AB342" i="7"/>
  <c r="AB343" i="7"/>
  <c r="AB344" i="7"/>
  <c r="AB345" i="7"/>
  <c r="AB346" i="7"/>
  <c r="AB347" i="7"/>
  <c r="AB348" i="7"/>
  <c r="AB349" i="7"/>
  <c r="AB350" i="7"/>
  <c r="AB351" i="7"/>
  <c r="AB352" i="7"/>
  <c r="AB353" i="7"/>
  <c r="AB354" i="7"/>
  <c r="AB355" i="7"/>
  <c r="AB356" i="7"/>
  <c r="AB357" i="7"/>
  <c r="AB358" i="7"/>
  <c r="AB359" i="7"/>
  <c r="AB360" i="7"/>
  <c r="AB361" i="7"/>
  <c r="AB362" i="7"/>
  <c r="AB363" i="7"/>
  <c r="AB364" i="7"/>
  <c r="AB365" i="7"/>
  <c r="AB366" i="7"/>
  <c r="AB367" i="7"/>
  <c r="AB368" i="7"/>
  <c r="AB369" i="7"/>
  <c r="AB370" i="7"/>
  <c r="AB371" i="7"/>
  <c r="AB372" i="7"/>
  <c r="AB373" i="7"/>
  <c r="AB374" i="7"/>
  <c r="AB375" i="7"/>
  <c r="AB376" i="7"/>
  <c r="AB377" i="7"/>
  <c r="AB378" i="7"/>
  <c r="AB379" i="7"/>
  <c r="AB380" i="7"/>
  <c r="AB381" i="7"/>
  <c r="AB382" i="7"/>
  <c r="AB383" i="7"/>
  <c r="AB384" i="7"/>
  <c r="AB385" i="7"/>
  <c r="AB386" i="7"/>
  <c r="AB387" i="7"/>
  <c r="AB388" i="7"/>
  <c r="AB389" i="7"/>
  <c r="AB390" i="7"/>
  <c r="AB391" i="7"/>
  <c r="AB392" i="7"/>
  <c r="AB393" i="7"/>
  <c r="AB394" i="7"/>
  <c r="AB395" i="7"/>
  <c r="AB396" i="7"/>
  <c r="AB397" i="7"/>
  <c r="AB398" i="7"/>
  <c r="AB399" i="7"/>
  <c r="AB400" i="7"/>
  <c r="AB401" i="7"/>
  <c r="AB402" i="7"/>
  <c r="AB403" i="7"/>
  <c r="AB404" i="7"/>
  <c r="AB405" i="7"/>
  <c r="AB406" i="7"/>
  <c r="AB407" i="7"/>
  <c r="AB408" i="7"/>
  <c r="AB409" i="7"/>
  <c r="AB410" i="7"/>
  <c r="AB411" i="7"/>
  <c r="AB412" i="7"/>
  <c r="AB413" i="7"/>
  <c r="AB414" i="7"/>
  <c r="AB415" i="7"/>
  <c r="AB416" i="7"/>
  <c r="AB417" i="7"/>
  <c r="AB418" i="7"/>
  <c r="AB419" i="7"/>
  <c r="AB420" i="7"/>
  <c r="AB421" i="7"/>
  <c r="AB422" i="7"/>
  <c r="AB423" i="7"/>
  <c r="AB424" i="7"/>
  <c r="AB425" i="7"/>
  <c r="AB426" i="7"/>
  <c r="AB427" i="7"/>
  <c r="AB428" i="7"/>
  <c r="AB429" i="7"/>
  <c r="AB430" i="7"/>
  <c r="AB431" i="7"/>
  <c r="AB432" i="7"/>
  <c r="AB433" i="7"/>
  <c r="AB434" i="7"/>
  <c r="AB435" i="7"/>
  <c r="AB436" i="7"/>
  <c r="AB437" i="7"/>
  <c r="AB438" i="7"/>
  <c r="AB439" i="7"/>
  <c r="AB440" i="7"/>
  <c r="AB441" i="7"/>
  <c r="AB442" i="7"/>
  <c r="AB443" i="7"/>
  <c r="AB444" i="7"/>
  <c r="AB445" i="7"/>
  <c r="AB446" i="7"/>
  <c r="AB447" i="7"/>
  <c r="AB448" i="7"/>
  <c r="AB449" i="7"/>
  <c r="AB450" i="7"/>
  <c r="AB451" i="7"/>
  <c r="AB452" i="7"/>
  <c r="AB453" i="7"/>
  <c r="AB454" i="7"/>
  <c r="AB455" i="7"/>
  <c r="AB456" i="7"/>
  <c r="AB457" i="7"/>
  <c r="AB458" i="7"/>
  <c r="AB459" i="7"/>
  <c r="AB460" i="7"/>
  <c r="AB461" i="7"/>
  <c r="AB462" i="7"/>
  <c r="AB463" i="7"/>
  <c r="AB464" i="7"/>
  <c r="AB465" i="7"/>
  <c r="AB466" i="7"/>
  <c r="AB467" i="7"/>
  <c r="AB468" i="7"/>
  <c r="AB469" i="7"/>
  <c r="AB470" i="7"/>
  <c r="AB471" i="7"/>
  <c r="AB472" i="7"/>
  <c r="AB473" i="7"/>
  <c r="AB474" i="7"/>
  <c r="AB475" i="7"/>
  <c r="AB476" i="7"/>
  <c r="AB477" i="7"/>
  <c r="AB478" i="7"/>
  <c r="AB479" i="7"/>
  <c r="AB480" i="7"/>
  <c r="AB481" i="7"/>
  <c r="AB482" i="7"/>
  <c r="AB483" i="7"/>
  <c r="AB484" i="7"/>
  <c r="AB485" i="7"/>
  <c r="AB486" i="7"/>
  <c r="AB487" i="7"/>
  <c r="AB488" i="7"/>
  <c r="AB489" i="7"/>
  <c r="AB490" i="7"/>
  <c r="AB491" i="7"/>
  <c r="AB492" i="7"/>
  <c r="AB493" i="7"/>
  <c r="AB494" i="7"/>
  <c r="AB495" i="7"/>
  <c r="AB496" i="7"/>
  <c r="AB497" i="7"/>
  <c r="AB498" i="7"/>
  <c r="AB499" i="7"/>
  <c r="AB500" i="7"/>
  <c r="AB501" i="7"/>
  <c r="AB502" i="7"/>
  <c r="AB503" i="7"/>
  <c r="AB504" i="7"/>
  <c r="AB505" i="7"/>
  <c r="AB506" i="7"/>
  <c r="AB507" i="7"/>
  <c r="AB508" i="7"/>
  <c r="AB509" i="7"/>
  <c r="AB510" i="7"/>
  <c r="AB511" i="7"/>
  <c r="AB512" i="7"/>
  <c r="AB513" i="7"/>
  <c r="AB514" i="7"/>
  <c r="AB515" i="7"/>
  <c r="AB516" i="7"/>
  <c r="AB517" i="7"/>
  <c r="AB518" i="7"/>
  <c r="AB519" i="7"/>
  <c r="AB520" i="7"/>
  <c r="AB521" i="7"/>
  <c r="AB522" i="7"/>
  <c r="AB523" i="7"/>
  <c r="AB524" i="7"/>
  <c r="AB525" i="7"/>
  <c r="AB526" i="7"/>
  <c r="AB527" i="7"/>
  <c r="AB528" i="7"/>
  <c r="AB529" i="7"/>
  <c r="AB530" i="7"/>
  <c r="AB531" i="7"/>
  <c r="AB532" i="7"/>
  <c r="AB533" i="7"/>
  <c r="AB534" i="7"/>
  <c r="AB535" i="7"/>
  <c r="AB536" i="7"/>
  <c r="AB537" i="7"/>
  <c r="AB538" i="7"/>
  <c r="AB539" i="7"/>
  <c r="AB540" i="7"/>
  <c r="AB541" i="7"/>
  <c r="AB542" i="7"/>
  <c r="AB543" i="7"/>
  <c r="AB544" i="7"/>
  <c r="AB545" i="7"/>
  <c r="AB546" i="7"/>
  <c r="AB547" i="7"/>
  <c r="AB548" i="7"/>
  <c r="AB549" i="7"/>
  <c r="AB550" i="7"/>
  <c r="AB551" i="7"/>
  <c r="AB552" i="7"/>
  <c r="AB553" i="7"/>
  <c r="AB554" i="7"/>
  <c r="AB555" i="7"/>
  <c r="AB556" i="7"/>
  <c r="AB557" i="7"/>
  <c r="AB558" i="7"/>
  <c r="AB559" i="7"/>
  <c r="AB560" i="7"/>
  <c r="AB561" i="7"/>
  <c r="AB562" i="7"/>
  <c r="AB563" i="7"/>
  <c r="AB564" i="7"/>
  <c r="AB565" i="7"/>
  <c r="AB566" i="7"/>
  <c r="AB567" i="7"/>
  <c r="AB568" i="7"/>
  <c r="AB569" i="7"/>
  <c r="AB570" i="7"/>
  <c r="AB571" i="7"/>
  <c r="AB572" i="7"/>
  <c r="AB573" i="7"/>
  <c r="AB574" i="7"/>
  <c r="AB575" i="7"/>
  <c r="AB576" i="7"/>
  <c r="AB577" i="7"/>
  <c r="AB578" i="7"/>
  <c r="AB579" i="7"/>
  <c r="AB580" i="7"/>
  <c r="AB581" i="7"/>
  <c r="AB582" i="7"/>
  <c r="AB583" i="7"/>
  <c r="AB584" i="7"/>
  <c r="AB585" i="7"/>
  <c r="AB586" i="7"/>
  <c r="AB587" i="7"/>
  <c r="AB588" i="7"/>
  <c r="AB589" i="7"/>
  <c r="AB590" i="7"/>
  <c r="AB591" i="7"/>
  <c r="AB592" i="7"/>
  <c r="AB593" i="7"/>
  <c r="AB594" i="7"/>
  <c r="AB595" i="7"/>
  <c r="AB596" i="7"/>
  <c r="AB597" i="7"/>
  <c r="AB598" i="7"/>
  <c r="AB599" i="7"/>
  <c r="AB600" i="7"/>
  <c r="AB601" i="7"/>
  <c r="AB602" i="7"/>
  <c r="AB603" i="7"/>
  <c r="AB604" i="7"/>
  <c r="AB605" i="7"/>
  <c r="AB606" i="7"/>
  <c r="AB607" i="7"/>
  <c r="AB608" i="7"/>
  <c r="AB609" i="7"/>
  <c r="AB610" i="7"/>
  <c r="AB611" i="7"/>
  <c r="AB612" i="7"/>
  <c r="AB613" i="7"/>
  <c r="AB614" i="7"/>
  <c r="AB615" i="7"/>
  <c r="AB616" i="7"/>
  <c r="AB617" i="7"/>
  <c r="AB618" i="7"/>
  <c r="AB619" i="7"/>
  <c r="AB620" i="7"/>
  <c r="AB621" i="7"/>
  <c r="AB622" i="7"/>
  <c r="AB623" i="7"/>
  <c r="AB624" i="7"/>
  <c r="AB625" i="7"/>
  <c r="AB626" i="7"/>
  <c r="AB627" i="7"/>
  <c r="AB628" i="7"/>
  <c r="AB629" i="7"/>
  <c r="AB630" i="7"/>
  <c r="AB631" i="7"/>
  <c r="AB632" i="7"/>
  <c r="AB633" i="7"/>
  <c r="AB634" i="7"/>
  <c r="AB635" i="7"/>
  <c r="AB636" i="7"/>
  <c r="AB637" i="7"/>
  <c r="AB638" i="7"/>
  <c r="AB639" i="7"/>
  <c r="AB640" i="7"/>
  <c r="AB641" i="7"/>
  <c r="AB642" i="7"/>
  <c r="AB643" i="7"/>
  <c r="AB644" i="7"/>
  <c r="AB645" i="7"/>
  <c r="AB646" i="7"/>
  <c r="AB647" i="7"/>
  <c r="AB648" i="7"/>
  <c r="AB649" i="7"/>
  <c r="AB650" i="7"/>
  <c r="AB651" i="7"/>
  <c r="AB652" i="7"/>
  <c r="AB653" i="7"/>
  <c r="AB654" i="7"/>
  <c r="AB655" i="7"/>
  <c r="AB656" i="7"/>
  <c r="AB657" i="7"/>
  <c r="AB658" i="7"/>
  <c r="AB659" i="7"/>
  <c r="AB660" i="7"/>
  <c r="AB661" i="7"/>
  <c r="AB662" i="7"/>
  <c r="AB663" i="7"/>
  <c r="AB664" i="7"/>
  <c r="AB665" i="7"/>
  <c r="AB666" i="7"/>
  <c r="AB667" i="7"/>
  <c r="AB668" i="7"/>
  <c r="AB669" i="7"/>
  <c r="AB670" i="7"/>
  <c r="AB671" i="7"/>
  <c r="AB672" i="7"/>
  <c r="AB673" i="7"/>
  <c r="AB674" i="7"/>
  <c r="AB675" i="7"/>
  <c r="AB676" i="7"/>
  <c r="AB677" i="7"/>
  <c r="AB678" i="7"/>
  <c r="AB679" i="7"/>
  <c r="AB680" i="7"/>
  <c r="AB681" i="7"/>
  <c r="AB682" i="7"/>
  <c r="AB683" i="7"/>
  <c r="AB684" i="7"/>
  <c r="AB685" i="7"/>
  <c r="AB686" i="7"/>
  <c r="AB687" i="7"/>
  <c r="AB688" i="7"/>
  <c r="AB689" i="7"/>
  <c r="AB690" i="7"/>
  <c r="AB691" i="7"/>
  <c r="AB692" i="7"/>
  <c r="AB693" i="7"/>
  <c r="AB694" i="7"/>
  <c r="AB695" i="7"/>
  <c r="AB696" i="7"/>
  <c r="AB697" i="7"/>
  <c r="AB698" i="7"/>
  <c r="AB699" i="7"/>
  <c r="AB700" i="7"/>
  <c r="AB701" i="7"/>
  <c r="AB702" i="7"/>
  <c r="AB703" i="7"/>
  <c r="AB704" i="7"/>
  <c r="AB705" i="7"/>
  <c r="AB706" i="7"/>
  <c r="AB707" i="7"/>
  <c r="AB708" i="7"/>
  <c r="AB709" i="7"/>
  <c r="AB710" i="7"/>
  <c r="AB711" i="7"/>
  <c r="AB712" i="7"/>
  <c r="AB713" i="7"/>
  <c r="AB714" i="7"/>
  <c r="AB715" i="7"/>
  <c r="AB716" i="7"/>
  <c r="AB717" i="7"/>
  <c r="AB718" i="7"/>
  <c r="AB719" i="7"/>
  <c r="AB720" i="7"/>
  <c r="AB721" i="7"/>
  <c r="AB722" i="7"/>
  <c r="AB723" i="7"/>
  <c r="AB724" i="7"/>
  <c r="AB725" i="7"/>
  <c r="AB726" i="7"/>
  <c r="AB727" i="7"/>
  <c r="AB728" i="7"/>
  <c r="AB729" i="7"/>
  <c r="AB730" i="7"/>
  <c r="AB731" i="7"/>
  <c r="AB732" i="7"/>
  <c r="AB733" i="7"/>
  <c r="AB734" i="7"/>
  <c r="AB735" i="7"/>
  <c r="AB736" i="7"/>
  <c r="AB737" i="7"/>
  <c r="AB738" i="7"/>
  <c r="AB739" i="7"/>
  <c r="AB740" i="7"/>
  <c r="AB741" i="7"/>
  <c r="AB742" i="7"/>
  <c r="AB743" i="7"/>
  <c r="AB744" i="7"/>
  <c r="AB745" i="7"/>
  <c r="AB746" i="7"/>
  <c r="AB747" i="7"/>
  <c r="AB748" i="7"/>
  <c r="AB749" i="7"/>
  <c r="AB750" i="7"/>
  <c r="AB751" i="7"/>
  <c r="AB752" i="7"/>
  <c r="AB753" i="7"/>
  <c r="AB754" i="7"/>
  <c r="AB755" i="7"/>
  <c r="AB756" i="7"/>
  <c r="AB757" i="7"/>
  <c r="AB758" i="7"/>
  <c r="AB759" i="7"/>
  <c r="AB760" i="7"/>
  <c r="AB761" i="7"/>
  <c r="AB762" i="7"/>
  <c r="AB763" i="7"/>
  <c r="AB764" i="7"/>
  <c r="AB765" i="7"/>
  <c r="AB766" i="7"/>
  <c r="AB767" i="7"/>
  <c r="AB768" i="7"/>
  <c r="AB769" i="7"/>
  <c r="AB770" i="7"/>
  <c r="AB771" i="7"/>
  <c r="AB772" i="7"/>
  <c r="AB773" i="7"/>
  <c r="AB774" i="7"/>
  <c r="AB775" i="7"/>
  <c r="AB776" i="7"/>
  <c r="AB777" i="7"/>
  <c r="AB778" i="7"/>
  <c r="AB779" i="7"/>
  <c r="AB780" i="7"/>
  <c r="AB781" i="7"/>
  <c r="AB782" i="7"/>
  <c r="AB783" i="7"/>
  <c r="AB784" i="7"/>
  <c r="AB785" i="7"/>
  <c r="AB786" i="7"/>
  <c r="AB787" i="7"/>
  <c r="AB788" i="7"/>
  <c r="AB789" i="7"/>
  <c r="AB790" i="7"/>
  <c r="AB791" i="7"/>
  <c r="AB792" i="7"/>
  <c r="AB793" i="7"/>
  <c r="AB794" i="7"/>
  <c r="AB795" i="7"/>
  <c r="AB796" i="7"/>
  <c r="AB797" i="7"/>
  <c r="AB798" i="7"/>
  <c r="AB799" i="7"/>
  <c r="AB800" i="7"/>
  <c r="AB801" i="7"/>
  <c r="AB802" i="7"/>
  <c r="AB803" i="7"/>
  <c r="AB804" i="7"/>
  <c r="AB805" i="7"/>
  <c r="AB806" i="7"/>
  <c r="AB807" i="7"/>
  <c r="AB808" i="7"/>
  <c r="AB809" i="7"/>
  <c r="AB810" i="7"/>
  <c r="AB811" i="7"/>
  <c r="AB812" i="7"/>
  <c r="AB813" i="7"/>
  <c r="AB814" i="7"/>
  <c r="AB815" i="7"/>
  <c r="AB816" i="7"/>
  <c r="AB817" i="7"/>
  <c r="AB818" i="7"/>
  <c r="AB819" i="7"/>
  <c r="AB820" i="7"/>
  <c r="AB821" i="7"/>
  <c r="AB822" i="7"/>
  <c r="AB823" i="7"/>
  <c r="AB824" i="7"/>
  <c r="AB825" i="7"/>
  <c r="AB826" i="7"/>
  <c r="AB827" i="7"/>
  <c r="AB828" i="7"/>
  <c r="AB829" i="7"/>
  <c r="AB830" i="7"/>
  <c r="AB831" i="7"/>
  <c r="AB832" i="7"/>
  <c r="AB833" i="7"/>
  <c r="AB834" i="7"/>
  <c r="AB835" i="7"/>
  <c r="AB836" i="7"/>
  <c r="AB837" i="7"/>
  <c r="AB838" i="7"/>
  <c r="AB839" i="7"/>
  <c r="AB840" i="7"/>
  <c r="AB841" i="7"/>
  <c r="AB842" i="7"/>
  <c r="AB843" i="7"/>
  <c r="AB844" i="7"/>
  <c r="AB845" i="7"/>
  <c r="AB846" i="7"/>
  <c r="AB847" i="7"/>
  <c r="AB848" i="7"/>
  <c r="AB849" i="7"/>
  <c r="AB850" i="7"/>
  <c r="AB851" i="7"/>
  <c r="AB852" i="7"/>
  <c r="AB853" i="7"/>
  <c r="AB854" i="7"/>
  <c r="AB855" i="7"/>
  <c r="AB856" i="7"/>
  <c r="AB857" i="7"/>
  <c r="AB858" i="7"/>
  <c r="AB859" i="7"/>
  <c r="AB860" i="7"/>
  <c r="AB861" i="7"/>
  <c r="AB862" i="7"/>
  <c r="AB863" i="7"/>
  <c r="AB864" i="7"/>
  <c r="AB865" i="7"/>
  <c r="AB866" i="7"/>
  <c r="AB867" i="7"/>
  <c r="AB868" i="7"/>
  <c r="AB869" i="7"/>
  <c r="AB870" i="7"/>
  <c r="AB871" i="7"/>
  <c r="AB872" i="7"/>
  <c r="AB873" i="7"/>
  <c r="AB874" i="7"/>
  <c r="AB875" i="7"/>
  <c r="AB876" i="7"/>
  <c r="AB877" i="7"/>
  <c r="AB878" i="7"/>
  <c r="AB879" i="7"/>
  <c r="AB880" i="7"/>
  <c r="AB881" i="7"/>
  <c r="AB882" i="7"/>
  <c r="AB883" i="7"/>
  <c r="AB884" i="7"/>
  <c r="AB885" i="7"/>
  <c r="AB886" i="7"/>
  <c r="AB887" i="7"/>
  <c r="AB888" i="7"/>
  <c r="AB889" i="7"/>
  <c r="AB890" i="7"/>
  <c r="AB891" i="7"/>
  <c r="AB892" i="7"/>
  <c r="AB893" i="7"/>
  <c r="AB894" i="7"/>
  <c r="AB895" i="7"/>
  <c r="AB896" i="7"/>
  <c r="AB897" i="7"/>
  <c r="AB898" i="7"/>
  <c r="AB899" i="7"/>
  <c r="AB900" i="7"/>
  <c r="AB901" i="7"/>
  <c r="AB902" i="7"/>
  <c r="AB903" i="7"/>
  <c r="AB904" i="7"/>
  <c r="AB905" i="7"/>
  <c r="AB906" i="7"/>
  <c r="AB907" i="7"/>
  <c r="AB908" i="7"/>
  <c r="AB909" i="7"/>
  <c r="AB910" i="7"/>
  <c r="AB911" i="7"/>
  <c r="AB912" i="7"/>
  <c r="AB913" i="7"/>
  <c r="AB914" i="7"/>
  <c r="AB915" i="7"/>
  <c r="AB916" i="7"/>
  <c r="AB917" i="7"/>
  <c r="AB918" i="7"/>
  <c r="AB919" i="7"/>
  <c r="AB920" i="7"/>
  <c r="AB921" i="7"/>
  <c r="AB922" i="7"/>
  <c r="AB923" i="7"/>
  <c r="AB924" i="7"/>
  <c r="AB925" i="7"/>
  <c r="AB926" i="7"/>
  <c r="AB927" i="7"/>
  <c r="AB928" i="7"/>
  <c r="AB929" i="7"/>
  <c r="AB930" i="7"/>
  <c r="AB931" i="7"/>
  <c r="AB932" i="7"/>
  <c r="AB933" i="7"/>
  <c r="AB934" i="7"/>
  <c r="AB935" i="7"/>
  <c r="AB936" i="7"/>
  <c r="AB937" i="7"/>
  <c r="AB938" i="7"/>
  <c r="AB939" i="7"/>
  <c r="AB940" i="7"/>
  <c r="AB941" i="7"/>
  <c r="AB942" i="7"/>
  <c r="AB943" i="7"/>
  <c r="AB944" i="7"/>
  <c r="AB945" i="7"/>
  <c r="AB946" i="7"/>
  <c r="AB947" i="7"/>
  <c r="AB948" i="7"/>
  <c r="AB949" i="7"/>
  <c r="AB950" i="7"/>
  <c r="AB951" i="7"/>
  <c r="AB952" i="7"/>
  <c r="AB953" i="7"/>
  <c r="AB954" i="7"/>
  <c r="AB955" i="7"/>
  <c r="AB956" i="7"/>
  <c r="AB957" i="7"/>
  <c r="AB958" i="7"/>
  <c r="AB959" i="7"/>
  <c r="AB960" i="7"/>
  <c r="AB961" i="7"/>
  <c r="AB962" i="7"/>
  <c r="AB963" i="7"/>
  <c r="AB964" i="7"/>
  <c r="AB965" i="7"/>
  <c r="AB966" i="7"/>
  <c r="AB967" i="7"/>
  <c r="AB968" i="7"/>
  <c r="AB969" i="7"/>
  <c r="AB970" i="7"/>
  <c r="AB971" i="7"/>
  <c r="AB972" i="7"/>
  <c r="AB973" i="7"/>
  <c r="AB974" i="7"/>
  <c r="AB975" i="7"/>
  <c r="AB976" i="7"/>
  <c r="AB977" i="7"/>
  <c r="AB978" i="7"/>
  <c r="AB979" i="7"/>
  <c r="AB980" i="7"/>
  <c r="AB981" i="7"/>
  <c r="AB982" i="7"/>
  <c r="AB983" i="7"/>
  <c r="AB984" i="7"/>
  <c r="AB985" i="7"/>
  <c r="AB986" i="7"/>
  <c r="AB987" i="7"/>
  <c r="AB988" i="7"/>
  <c r="AB989" i="7"/>
  <c r="AB990" i="7"/>
  <c r="AB991" i="7"/>
  <c r="AB992" i="7"/>
  <c r="AB993" i="7"/>
  <c r="AB994" i="7"/>
  <c r="AB995" i="7"/>
  <c r="AB996" i="7"/>
  <c r="AB997" i="7"/>
  <c r="AB998" i="7"/>
  <c r="AB999" i="7"/>
  <c r="AB1000" i="7"/>
  <c r="AB1001" i="7"/>
  <c r="AB1002" i="7"/>
  <c r="AB1003" i="7"/>
  <c r="AB1004" i="7"/>
  <c r="AB1005" i="7"/>
  <c r="AB1006" i="7"/>
  <c r="AB1007" i="7"/>
  <c r="AB1008" i="7"/>
  <c r="AB1009" i="7"/>
  <c r="AB1010" i="7"/>
  <c r="AB1011" i="7"/>
  <c r="AB1012" i="7"/>
  <c r="AB1013" i="7"/>
  <c r="AB1014" i="7"/>
  <c r="AB1015" i="7"/>
  <c r="AB1016" i="7"/>
  <c r="AB1017" i="7"/>
  <c r="AB1018" i="7"/>
  <c r="AB1019" i="7"/>
  <c r="AB1020" i="7"/>
  <c r="AB1021" i="7"/>
  <c r="AB1022" i="7"/>
  <c r="AB1023" i="7"/>
  <c r="AB1024" i="7"/>
  <c r="AB1025" i="7"/>
  <c r="AB1026" i="7"/>
  <c r="AB1027" i="7"/>
  <c r="AB1028" i="7"/>
  <c r="AB1029" i="7"/>
  <c r="AB1030" i="7"/>
  <c r="AB1031" i="7"/>
  <c r="AB1032" i="7"/>
  <c r="AB1033" i="7"/>
  <c r="AB1034" i="7"/>
  <c r="AB1035" i="7"/>
  <c r="AB1036" i="7"/>
  <c r="AB1037" i="7"/>
  <c r="AB1038" i="7"/>
  <c r="AB1039" i="7"/>
  <c r="AB1040" i="7"/>
  <c r="AB1041" i="7"/>
  <c r="AB1042" i="7"/>
  <c r="AB1043" i="7"/>
  <c r="AB1044" i="7"/>
  <c r="AB1045" i="7"/>
  <c r="AB1046" i="7"/>
  <c r="AB1047" i="7"/>
  <c r="AB1048" i="7"/>
  <c r="AB1049" i="7"/>
  <c r="AB1050" i="7"/>
  <c r="AB1051" i="7"/>
  <c r="AB1052" i="7"/>
  <c r="AB1053" i="7"/>
  <c r="AB1054" i="7"/>
  <c r="AB1055" i="7"/>
  <c r="AB1056" i="7"/>
  <c r="AB1057" i="7"/>
  <c r="AB1058" i="7"/>
  <c r="AB1059" i="7"/>
  <c r="AB1060" i="7"/>
  <c r="AB1061" i="7"/>
  <c r="AB1062" i="7"/>
  <c r="AB1063" i="7"/>
  <c r="AB1064" i="7"/>
  <c r="AB1065" i="7"/>
  <c r="AB1066" i="7"/>
  <c r="AB1067" i="7"/>
  <c r="AB1068" i="7"/>
  <c r="AB1069" i="7"/>
  <c r="AB1070" i="7"/>
  <c r="AB1071" i="7"/>
  <c r="AB1072" i="7"/>
  <c r="AB1073" i="7"/>
  <c r="AB1074" i="7"/>
  <c r="AB1075" i="7"/>
  <c r="AB1076" i="7"/>
  <c r="AB1077" i="7"/>
  <c r="AB1078" i="7"/>
  <c r="AB1079" i="7"/>
  <c r="AB1080" i="7"/>
  <c r="AB1081" i="7"/>
  <c r="AB1082" i="7"/>
  <c r="AB1083" i="7"/>
  <c r="AB1084" i="7"/>
  <c r="AB1085" i="7"/>
  <c r="AB1086" i="7"/>
  <c r="AB1087" i="7"/>
  <c r="AB1088" i="7"/>
  <c r="AB1089" i="7"/>
  <c r="AB1090" i="7"/>
  <c r="AB1091" i="7"/>
  <c r="AB1092" i="7"/>
  <c r="AB1093" i="7"/>
  <c r="AB1094" i="7"/>
  <c r="AB1095" i="7"/>
  <c r="AB1096" i="7"/>
  <c r="AB1097" i="7"/>
  <c r="AB1098" i="7"/>
  <c r="AB1099" i="7"/>
  <c r="AB1100" i="7"/>
  <c r="AB1101" i="7"/>
  <c r="AB1102" i="7"/>
  <c r="AB1103" i="7"/>
  <c r="AB1104" i="7"/>
  <c r="AB1105" i="7"/>
  <c r="AB1106" i="7"/>
  <c r="AB1107" i="7"/>
  <c r="AB1108" i="7"/>
  <c r="AB1109" i="7"/>
  <c r="AB1110" i="7"/>
  <c r="AB1111" i="7"/>
  <c r="AB1112" i="7"/>
  <c r="AB1113" i="7"/>
  <c r="AB1114" i="7"/>
  <c r="AB1115" i="7"/>
  <c r="AB1116" i="7"/>
  <c r="AB1117" i="7"/>
  <c r="AB1118" i="7"/>
  <c r="AB1119" i="7"/>
  <c r="AB1120" i="7"/>
  <c r="AB1121" i="7"/>
  <c r="AB1122" i="7"/>
  <c r="AB1123" i="7"/>
  <c r="AB1124" i="7"/>
  <c r="AB1125" i="7"/>
  <c r="AB1126" i="7"/>
  <c r="AB1127" i="7"/>
  <c r="AB1128" i="7"/>
  <c r="AB1129" i="7"/>
  <c r="AB1130" i="7"/>
  <c r="AB1131" i="7"/>
  <c r="AB1132" i="7"/>
  <c r="AB1133" i="7"/>
  <c r="AB1134" i="7"/>
  <c r="AB1135" i="7"/>
  <c r="AB1136" i="7"/>
  <c r="AB1137" i="7"/>
  <c r="AB1138" i="7"/>
  <c r="AB1139" i="7"/>
  <c r="AB1140" i="7"/>
  <c r="AB1141" i="7"/>
  <c r="AB1142" i="7"/>
  <c r="AB1143" i="7"/>
  <c r="AB1144" i="7"/>
  <c r="AB1145" i="7"/>
  <c r="AB1146" i="7"/>
  <c r="AB1147" i="7"/>
  <c r="AB1148" i="7"/>
  <c r="AB1149" i="7"/>
  <c r="AB1150" i="7"/>
  <c r="AB1151" i="7"/>
  <c r="AB1152" i="7"/>
  <c r="AB1153" i="7"/>
  <c r="AB1154" i="7"/>
  <c r="AB1155" i="7"/>
  <c r="AB1156" i="7"/>
  <c r="AB1157" i="7"/>
  <c r="AB1158" i="7"/>
  <c r="AB1159" i="7"/>
  <c r="AB1160" i="7"/>
  <c r="AB1161" i="7"/>
  <c r="AB1162" i="7"/>
  <c r="AB1163" i="7"/>
  <c r="AB1164" i="7"/>
  <c r="AB1165" i="7"/>
  <c r="AB1166" i="7"/>
  <c r="AB1167" i="7"/>
  <c r="AB1168" i="7"/>
  <c r="AB1169" i="7"/>
  <c r="AB1170" i="7"/>
  <c r="AB1171" i="7"/>
  <c r="AB1172" i="7"/>
  <c r="AB1173" i="7"/>
  <c r="AB1174" i="7"/>
  <c r="AB1175" i="7"/>
  <c r="AB1176" i="7"/>
  <c r="AB1177" i="7"/>
  <c r="AB1178" i="7"/>
  <c r="AB1179" i="7"/>
  <c r="AB1180" i="7"/>
  <c r="AB1181" i="7"/>
  <c r="AB1182" i="7"/>
  <c r="AB1183" i="7"/>
  <c r="AB1184" i="7"/>
  <c r="AB1185" i="7"/>
  <c r="AB1186" i="7"/>
  <c r="AB1187" i="7"/>
  <c r="AB1188" i="7"/>
  <c r="AB1189" i="7"/>
  <c r="AB1190" i="7"/>
  <c r="AB1191" i="7"/>
  <c r="AB1192" i="7"/>
  <c r="AB1193" i="7"/>
  <c r="AB1194" i="7"/>
  <c r="AB1195" i="7"/>
  <c r="AB1196" i="7"/>
  <c r="AB1197" i="7"/>
  <c r="AB1198" i="7"/>
  <c r="AB1199" i="7"/>
  <c r="AB1200" i="7"/>
  <c r="AB1201" i="7"/>
  <c r="AB1202" i="7"/>
  <c r="AB1203" i="7"/>
  <c r="AB1204" i="7"/>
  <c r="AB1205" i="7"/>
  <c r="AB1206" i="7"/>
  <c r="AB1207" i="7"/>
  <c r="AB1208" i="7"/>
  <c r="AB1209" i="7"/>
  <c r="AB1210" i="7"/>
  <c r="AB1211" i="7"/>
  <c r="AB1212" i="7"/>
  <c r="AB1213" i="7"/>
  <c r="AB1214" i="7"/>
  <c r="AB1215" i="7"/>
  <c r="AB1216" i="7"/>
  <c r="AB1217" i="7"/>
  <c r="AB1218" i="7"/>
  <c r="AB1219" i="7"/>
  <c r="AB1220" i="7"/>
  <c r="AB1221" i="7"/>
  <c r="AB1222" i="7"/>
  <c r="AB1223" i="7"/>
  <c r="AB1224" i="7"/>
  <c r="AB1225" i="7"/>
  <c r="AB1226" i="7"/>
  <c r="AB1227" i="7"/>
  <c r="AB1228" i="7"/>
  <c r="AB1229" i="7"/>
  <c r="AB1230" i="7"/>
  <c r="AB1231" i="7"/>
  <c r="AB1232" i="7"/>
  <c r="AB1233" i="7"/>
  <c r="AB1234" i="7"/>
  <c r="AB1235" i="7"/>
  <c r="AB1236" i="7"/>
  <c r="AB1237" i="7"/>
  <c r="AB1238" i="7"/>
  <c r="AB1239" i="7"/>
  <c r="AB1240" i="7"/>
  <c r="AB1241" i="7"/>
  <c r="AB1242" i="7"/>
  <c r="AB1243" i="7"/>
  <c r="AB1244" i="7"/>
  <c r="AB1245" i="7"/>
  <c r="AB1246" i="7"/>
  <c r="AB1247" i="7"/>
  <c r="AB1248" i="7"/>
  <c r="AB1249" i="7"/>
  <c r="AB1250" i="7"/>
  <c r="AB1251" i="7"/>
  <c r="AB1252" i="7"/>
  <c r="AB1253" i="7"/>
  <c r="AB1254" i="7"/>
  <c r="AB1255" i="7"/>
  <c r="AB1256" i="7"/>
  <c r="AB1257" i="7"/>
  <c r="AB1258" i="7"/>
  <c r="AB1259" i="7"/>
  <c r="AB1260" i="7"/>
  <c r="AB1261" i="7"/>
  <c r="AB1262" i="7"/>
  <c r="AB1263" i="7"/>
  <c r="AB1264" i="7"/>
  <c r="AB1265" i="7"/>
  <c r="AB1266" i="7"/>
  <c r="AB1267" i="7"/>
  <c r="AB1268" i="7"/>
  <c r="AB1269" i="7"/>
  <c r="AB1270" i="7"/>
  <c r="AB1271" i="7"/>
  <c r="AB1272" i="7"/>
  <c r="AB1273" i="7"/>
  <c r="AB1274" i="7"/>
  <c r="AB1275" i="7"/>
  <c r="AB1276" i="7"/>
  <c r="AB1277" i="7"/>
  <c r="AB1278" i="7"/>
  <c r="AB1279" i="7"/>
  <c r="AB1280" i="7"/>
  <c r="AB1281" i="7"/>
  <c r="AB1282" i="7"/>
  <c r="AB1283" i="7"/>
  <c r="AB1284" i="7"/>
  <c r="AB1285" i="7"/>
  <c r="AB1286" i="7"/>
  <c r="AB1287" i="7"/>
  <c r="AB1288" i="7"/>
  <c r="AB1289" i="7"/>
  <c r="AB1290" i="7"/>
  <c r="AB1291" i="7"/>
  <c r="AB1292" i="7"/>
  <c r="AB1293" i="7"/>
  <c r="AB1294" i="7"/>
  <c r="AB1295" i="7"/>
  <c r="AB1296" i="7"/>
  <c r="AB1297" i="7"/>
  <c r="AB1298" i="7"/>
  <c r="AB1299" i="7"/>
  <c r="AB1300" i="7"/>
  <c r="AB1301" i="7"/>
  <c r="AB1302" i="7"/>
  <c r="AB1303" i="7"/>
  <c r="AB1304" i="7"/>
  <c r="AB1305" i="7"/>
  <c r="AB1306" i="7"/>
  <c r="AB1307" i="7"/>
  <c r="AB1308" i="7"/>
  <c r="AB1309" i="7"/>
  <c r="AB1310" i="7"/>
  <c r="AB1311" i="7"/>
  <c r="AB1312" i="7"/>
  <c r="AB1313" i="7"/>
  <c r="AB1314" i="7"/>
  <c r="AB1315" i="7"/>
  <c r="AB1316" i="7"/>
  <c r="AB1317" i="7"/>
  <c r="AB1318" i="7"/>
  <c r="AB1319" i="7"/>
  <c r="AB1320" i="7"/>
  <c r="AB1321" i="7"/>
  <c r="AB1322" i="7"/>
  <c r="AB1323" i="7"/>
  <c r="AB1324" i="7"/>
  <c r="AB1325" i="7"/>
  <c r="AB1326" i="7"/>
  <c r="AB1327" i="7"/>
  <c r="AB1328" i="7"/>
  <c r="AB1329" i="7"/>
  <c r="AB1330" i="7"/>
  <c r="AB1331" i="7"/>
  <c r="AB1332" i="7"/>
  <c r="AB1333" i="7"/>
  <c r="AB1334" i="7"/>
  <c r="AB1335" i="7"/>
  <c r="AB1336" i="7"/>
  <c r="AB1337" i="7"/>
  <c r="AB1338" i="7"/>
  <c r="AB1339" i="7"/>
  <c r="AB1340" i="7"/>
  <c r="AB1341" i="7"/>
  <c r="AB1342" i="7"/>
  <c r="AB1343" i="7"/>
  <c r="AB1344" i="7"/>
  <c r="AB1345" i="7"/>
  <c r="AB1346" i="7"/>
  <c r="AB1347" i="7"/>
  <c r="AB1348" i="7"/>
  <c r="AB1349" i="7"/>
  <c r="AB1350" i="7"/>
  <c r="AB1351" i="7"/>
  <c r="AB1352" i="7"/>
  <c r="AB1353" i="7"/>
  <c r="AB1354" i="7"/>
  <c r="AB1355" i="7"/>
  <c r="AB1356" i="7"/>
  <c r="AB1357" i="7"/>
  <c r="AB1358" i="7"/>
  <c r="AB1359" i="7"/>
  <c r="AB1360" i="7"/>
  <c r="AB1361" i="7"/>
  <c r="AB1362" i="7"/>
  <c r="AB1363" i="7"/>
  <c r="AB1364" i="7"/>
  <c r="AB1365" i="7"/>
  <c r="AB1366" i="7"/>
  <c r="AB1367" i="7"/>
  <c r="AB1368" i="7"/>
  <c r="AB1369" i="7"/>
  <c r="AB1370" i="7"/>
  <c r="AB1371" i="7"/>
  <c r="AB1372" i="7"/>
  <c r="AB1373" i="7"/>
  <c r="AB1374" i="7"/>
  <c r="AB1375" i="7"/>
  <c r="AB1376" i="7"/>
  <c r="AB1377" i="7"/>
  <c r="AB1378" i="7"/>
  <c r="AB1379" i="7"/>
  <c r="AB1380" i="7"/>
  <c r="AB1381" i="7"/>
  <c r="AB1382" i="7"/>
  <c r="AB1383" i="7"/>
  <c r="AB1384" i="7"/>
  <c r="AB1385" i="7"/>
  <c r="AB1386" i="7"/>
  <c r="AB1387" i="7"/>
  <c r="AB1388" i="7"/>
  <c r="AB1389" i="7"/>
  <c r="AA3" i="7"/>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AA202" i="7"/>
  <c r="AA203" i="7"/>
  <c r="AA204" i="7"/>
  <c r="AA205" i="7"/>
  <c r="AA206" i="7"/>
  <c r="AA207" i="7"/>
  <c r="AA208" i="7"/>
  <c r="AA209" i="7"/>
  <c r="AA210" i="7"/>
  <c r="AA211" i="7"/>
  <c r="AA212" i="7"/>
  <c r="AA213" i="7"/>
  <c r="AA214" i="7"/>
  <c r="AA215" i="7"/>
  <c r="AA216" i="7"/>
  <c r="AA217" i="7"/>
  <c r="AA218" i="7"/>
  <c r="AA219" i="7"/>
  <c r="AA220" i="7"/>
  <c r="AA221" i="7"/>
  <c r="AA222" i="7"/>
  <c r="AA223" i="7"/>
  <c r="AA224" i="7"/>
  <c r="AA225" i="7"/>
  <c r="AA226" i="7"/>
  <c r="AA227" i="7"/>
  <c r="AA228" i="7"/>
  <c r="AA229" i="7"/>
  <c r="AA230" i="7"/>
  <c r="AA231" i="7"/>
  <c r="AA232" i="7"/>
  <c r="AA233" i="7"/>
  <c r="AA234" i="7"/>
  <c r="AA235" i="7"/>
  <c r="AA236" i="7"/>
  <c r="AA237" i="7"/>
  <c r="AA238" i="7"/>
  <c r="AA239" i="7"/>
  <c r="AA240" i="7"/>
  <c r="AA241" i="7"/>
  <c r="AA242" i="7"/>
  <c r="AA243" i="7"/>
  <c r="AA244" i="7"/>
  <c r="AA245" i="7"/>
  <c r="AA246" i="7"/>
  <c r="AA247" i="7"/>
  <c r="AA248" i="7"/>
  <c r="AA249" i="7"/>
  <c r="AA250" i="7"/>
  <c r="AA251" i="7"/>
  <c r="AA252" i="7"/>
  <c r="AA253" i="7"/>
  <c r="AA254" i="7"/>
  <c r="AA255" i="7"/>
  <c r="AA256" i="7"/>
  <c r="AA257" i="7"/>
  <c r="AA258" i="7"/>
  <c r="AA259" i="7"/>
  <c r="AA260" i="7"/>
  <c r="AA261" i="7"/>
  <c r="AA262" i="7"/>
  <c r="AA263" i="7"/>
  <c r="AA264" i="7"/>
  <c r="AA265" i="7"/>
  <c r="AA266" i="7"/>
  <c r="AA267" i="7"/>
  <c r="AA268" i="7"/>
  <c r="AA269" i="7"/>
  <c r="AA270" i="7"/>
  <c r="AA271" i="7"/>
  <c r="AA272" i="7"/>
  <c r="AA273" i="7"/>
  <c r="AA274" i="7"/>
  <c r="AA275" i="7"/>
  <c r="AA276" i="7"/>
  <c r="AA277" i="7"/>
  <c r="AA278" i="7"/>
  <c r="AA279" i="7"/>
  <c r="AA280" i="7"/>
  <c r="AA281" i="7"/>
  <c r="AA282" i="7"/>
  <c r="AA283" i="7"/>
  <c r="AA284" i="7"/>
  <c r="AA285" i="7"/>
  <c r="AA286" i="7"/>
  <c r="AA287" i="7"/>
  <c r="AA288" i="7"/>
  <c r="AA289" i="7"/>
  <c r="AA290" i="7"/>
  <c r="AA291" i="7"/>
  <c r="AA292" i="7"/>
  <c r="AA293" i="7"/>
  <c r="AA294" i="7"/>
  <c r="AA295" i="7"/>
  <c r="AA296" i="7"/>
  <c r="AA297" i="7"/>
  <c r="AA298" i="7"/>
  <c r="AA299" i="7"/>
  <c r="AA300" i="7"/>
  <c r="AA301" i="7"/>
  <c r="AA302" i="7"/>
  <c r="AA303" i="7"/>
  <c r="AA304" i="7"/>
  <c r="AA305" i="7"/>
  <c r="AA306" i="7"/>
  <c r="AA307" i="7"/>
  <c r="AA308" i="7"/>
  <c r="AA309" i="7"/>
  <c r="AA310" i="7"/>
  <c r="AA311" i="7"/>
  <c r="AA312" i="7"/>
  <c r="AA313" i="7"/>
  <c r="AA314" i="7"/>
  <c r="AA315" i="7"/>
  <c r="AA316" i="7"/>
  <c r="AA317" i="7"/>
  <c r="AA318" i="7"/>
  <c r="AA319" i="7"/>
  <c r="AA320" i="7"/>
  <c r="AA321" i="7"/>
  <c r="AA322" i="7"/>
  <c r="AA323" i="7"/>
  <c r="AA324" i="7"/>
  <c r="AA325" i="7"/>
  <c r="AA326" i="7"/>
  <c r="AA327" i="7"/>
  <c r="AA328" i="7"/>
  <c r="AA329" i="7"/>
  <c r="AA330" i="7"/>
  <c r="AA331" i="7"/>
  <c r="AA332" i="7"/>
  <c r="AA333" i="7"/>
  <c r="AA334" i="7"/>
  <c r="AA335" i="7"/>
  <c r="AA336" i="7"/>
  <c r="AA337" i="7"/>
  <c r="AA338" i="7"/>
  <c r="AA339" i="7"/>
  <c r="AA340" i="7"/>
  <c r="AA341" i="7"/>
  <c r="AA342" i="7"/>
  <c r="AA343" i="7"/>
  <c r="AA344" i="7"/>
  <c r="AA345" i="7"/>
  <c r="AA346" i="7"/>
  <c r="AA347" i="7"/>
  <c r="AA348" i="7"/>
  <c r="AA349" i="7"/>
  <c r="AA350" i="7"/>
  <c r="AA351" i="7"/>
  <c r="AA352" i="7"/>
  <c r="AA353" i="7"/>
  <c r="AA354" i="7"/>
  <c r="AA355" i="7"/>
  <c r="AA356" i="7"/>
  <c r="AA357" i="7"/>
  <c r="AA358" i="7"/>
  <c r="AA359" i="7"/>
  <c r="AA360" i="7"/>
  <c r="AA361" i="7"/>
  <c r="AA362" i="7"/>
  <c r="AA363" i="7"/>
  <c r="AA364" i="7"/>
  <c r="AA365" i="7"/>
  <c r="AA366" i="7"/>
  <c r="AA367" i="7"/>
  <c r="AA368" i="7"/>
  <c r="AA369" i="7"/>
  <c r="AA370" i="7"/>
  <c r="AA371" i="7"/>
  <c r="AA372" i="7"/>
  <c r="AA373" i="7"/>
  <c r="AA374" i="7"/>
  <c r="AA375" i="7"/>
  <c r="AA376" i="7"/>
  <c r="AA377" i="7"/>
  <c r="AA378" i="7"/>
  <c r="AA379" i="7"/>
  <c r="AA380" i="7"/>
  <c r="AA381" i="7"/>
  <c r="AA382" i="7"/>
  <c r="AA383" i="7"/>
  <c r="AA384" i="7"/>
  <c r="AA385" i="7"/>
  <c r="AA386" i="7"/>
  <c r="AA387" i="7"/>
  <c r="AA388" i="7"/>
  <c r="AA389" i="7"/>
  <c r="AA390" i="7"/>
  <c r="AA391" i="7"/>
  <c r="AA392" i="7"/>
  <c r="AA393" i="7"/>
  <c r="AA394" i="7"/>
  <c r="AA395" i="7"/>
  <c r="AA396" i="7"/>
  <c r="AA397" i="7"/>
  <c r="AA398" i="7"/>
  <c r="AA399" i="7"/>
  <c r="AA400" i="7"/>
  <c r="AA401" i="7"/>
  <c r="AA402" i="7"/>
  <c r="AA403" i="7"/>
  <c r="AA404" i="7"/>
  <c r="AA405" i="7"/>
  <c r="AA406" i="7"/>
  <c r="AA407" i="7"/>
  <c r="AA408" i="7"/>
  <c r="AA409" i="7"/>
  <c r="AA410" i="7"/>
  <c r="AA411" i="7"/>
  <c r="AA412" i="7"/>
  <c r="AA413" i="7"/>
  <c r="AA414" i="7"/>
  <c r="AA415" i="7"/>
  <c r="AA416" i="7"/>
  <c r="AA417" i="7"/>
  <c r="AA418" i="7"/>
  <c r="AA419" i="7"/>
  <c r="AA420" i="7"/>
  <c r="AA421" i="7"/>
  <c r="AA422" i="7"/>
  <c r="AA423" i="7"/>
  <c r="AA424" i="7"/>
  <c r="AA425" i="7"/>
  <c r="AA426" i="7"/>
  <c r="AA427" i="7"/>
  <c r="AA428" i="7"/>
  <c r="AA429" i="7"/>
  <c r="AA430" i="7"/>
  <c r="AA431" i="7"/>
  <c r="AA432" i="7"/>
  <c r="AA433" i="7"/>
  <c r="AA434" i="7"/>
  <c r="AA435" i="7"/>
  <c r="AA436" i="7"/>
  <c r="AA437" i="7"/>
  <c r="AA438" i="7"/>
  <c r="AA439" i="7"/>
  <c r="AA440" i="7"/>
  <c r="AA441" i="7"/>
  <c r="AA442" i="7"/>
  <c r="AA443" i="7"/>
  <c r="AA444" i="7"/>
  <c r="AA445" i="7"/>
  <c r="AA446" i="7"/>
  <c r="AA447" i="7"/>
  <c r="AA448" i="7"/>
  <c r="AA449" i="7"/>
  <c r="AA450" i="7"/>
  <c r="AA451" i="7"/>
  <c r="AA452" i="7"/>
  <c r="AA453" i="7"/>
  <c r="AA454" i="7"/>
  <c r="AA455" i="7"/>
  <c r="AA456" i="7"/>
  <c r="AA457" i="7"/>
  <c r="AA458" i="7"/>
  <c r="AA459" i="7"/>
  <c r="AA460" i="7"/>
  <c r="AA461" i="7"/>
  <c r="AA462" i="7"/>
  <c r="AA463" i="7"/>
  <c r="AA464" i="7"/>
  <c r="AA465" i="7"/>
  <c r="AA466" i="7"/>
  <c r="AA467" i="7"/>
  <c r="AA468" i="7"/>
  <c r="AA469" i="7"/>
  <c r="AA470" i="7"/>
  <c r="AA471" i="7"/>
  <c r="AA472" i="7"/>
  <c r="AA473" i="7"/>
  <c r="AA474" i="7"/>
  <c r="AA475" i="7"/>
  <c r="AA476" i="7"/>
  <c r="AA477" i="7"/>
  <c r="AA478" i="7"/>
  <c r="AA479" i="7"/>
  <c r="AA480" i="7"/>
  <c r="AA481" i="7"/>
  <c r="AA482" i="7"/>
  <c r="AA483" i="7"/>
  <c r="AA484" i="7"/>
  <c r="AA485" i="7"/>
  <c r="AA486" i="7"/>
  <c r="AA487" i="7"/>
  <c r="AA488" i="7"/>
  <c r="AA489" i="7"/>
  <c r="AA490" i="7"/>
  <c r="AA491" i="7"/>
  <c r="AA492" i="7"/>
  <c r="AA493" i="7"/>
  <c r="AA494" i="7"/>
  <c r="AA495" i="7"/>
  <c r="AA496" i="7"/>
  <c r="AA497" i="7"/>
  <c r="AA498" i="7"/>
  <c r="AA499" i="7"/>
  <c r="AA500" i="7"/>
  <c r="AA501" i="7"/>
  <c r="AA502" i="7"/>
  <c r="AA503" i="7"/>
  <c r="AA504" i="7"/>
  <c r="AA505" i="7"/>
  <c r="AA506" i="7"/>
  <c r="AA507" i="7"/>
  <c r="AA508" i="7"/>
  <c r="AA509" i="7"/>
  <c r="AA510" i="7"/>
  <c r="AA511" i="7"/>
  <c r="AA512" i="7"/>
  <c r="AA513" i="7"/>
  <c r="AA514" i="7"/>
  <c r="AA515" i="7"/>
  <c r="AA516" i="7"/>
  <c r="AA517" i="7"/>
  <c r="AA518" i="7"/>
  <c r="AA519" i="7"/>
  <c r="AA520" i="7"/>
  <c r="AA521" i="7"/>
  <c r="AA522" i="7"/>
  <c r="AA523" i="7"/>
  <c r="AA524" i="7"/>
  <c r="AA525" i="7"/>
  <c r="AA526" i="7"/>
  <c r="AA527" i="7"/>
  <c r="AA528" i="7"/>
  <c r="AA529" i="7"/>
  <c r="AA530" i="7"/>
  <c r="AA531" i="7"/>
  <c r="AA532" i="7"/>
  <c r="AA533" i="7"/>
  <c r="AA534" i="7"/>
  <c r="AA535" i="7"/>
  <c r="AA536" i="7"/>
  <c r="AA537" i="7"/>
  <c r="AA538" i="7"/>
  <c r="AA539" i="7"/>
  <c r="AA540" i="7"/>
  <c r="AA541" i="7"/>
  <c r="AA542" i="7"/>
  <c r="AA543" i="7"/>
  <c r="AA544" i="7"/>
  <c r="AA545" i="7"/>
  <c r="AA546" i="7"/>
  <c r="AA547" i="7"/>
  <c r="AA548" i="7"/>
  <c r="AA549" i="7"/>
  <c r="AA550" i="7"/>
  <c r="AA551" i="7"/>
  <c r="AA552" i="7"/>
  <c r="AA553" i="7"/>
  <c r="AA554" i="7"/>
  <c r="AA555" i="7"/>
  <c r="AA556" i="7"/>
  <c r="AA557" i="7"/>
  <c r="AA558" i="7"/>
  <c r="AA559" i="7"/>
  <c r="AA560" i="7"/>
  <c r="AA561" i="7"/>
  <c r="AA562" i="7"/>
  <c r="AA563" i="7"/>
  <c r="AA564" i="7"/>
  <c r="AA565" i="7"/>
  <c r="AA566" i="7"/>
  <c r="AA567" i="7"/>
  <c r="AA568" i="7"/>
  <c r="AA569" i="7"/>
  <c r="AA570" i="7"/>
  <c r="AA571" i="7"/>
  <c r="AA572" i="7"/>
  <c r="AA573" i="7"/>
  <c r="AA574" i="7"/>
  <c r="AA575" i="7"/>
  <c r="AA576" i="7"/>
  <c r="AA577" i="7"/>
  <c r="AA578" i="7"/>
  <c r="AA579" i="7"/>
  <c r="AA580" i="7"/>
  <c r="AA581" i="7"/>
  <c r="AA582" i="7"/>
  <c r="AA583" i="7"/>
  <c r="AA584" i="7"/>
  <c r="AA585" i="7"/>
  <c r="AA586" i="7"/>
  <c r="AA587" i="7"/>
  <c r="AA588" i="7"/>
  <c r="AA589" i="7"/>
  <c r="AA590" i="7"/>
  <c r="AA591" i="7"/>
  <c r="AA592" i="7"/>
  <c r="AA593" i="7"/>
  <c r="AA594" i="7"/>
  <c r="AA595" i="7"/>
  <c r="AA596" i="7"/>
  <c r="AA597" i="7"/>
  <c r="AA598" i="7"/>
  <c r="AA599" i="7"/>
  <c r="AA600" i="7"/>
  <c r="AA601" i="7"/>
  <c r="AA602" i="7"/>
  <c r="AA603" i="7"/>
  <c r="AA604" i="7"/>
  <c r="AA605" i="7"/>
  <c r="AA606" i="7"/>
  <c r="AA607" i="7"/>
  <c r="AA608" i="7"/>
  <c r="AA609" i="7"/>
  <c r="AA610" i="7"/>
  <c r="AA611" i="7"/>
  <c r="AA612" i="7"/>
  <c r="AA613" i="7"/>
  <c r="AA614" i="7"/>
  <c r="AA615" i="7"/>
  <c r="AA616" i="7"/>
  <c r="AA617" i="7"/>
  <c r="AA618" i="7"/>
  <c r="AA619" i="7"/>
  <c r="AA620" i="7"/>
  <c r="AA621" i="7"/>
  <c r="AA622" i="7"/>
  <c r="AA623" i="7"/>
  <c r="AA624" i="7"/>
  <c r="AA625" i="7"/>
  <c r="AA626" i="7"/>
  <c r="AA627" i="7"/>
  <c r="AA628" i="7"/>
  <c r="AA629" i="7"/>
  <c r="AA630" i="7"/>
  <c r="AA631" i="7"/>
  <c r="AA632" i="7"/>
  <c r="AA633" i="7"/>
  <c r="AA634" i="7"/>
  <c r="AA635" i="7"/>
  <c r="AA636" i="7"/>
  <c r="AA637" i="7"/>
  <c r="AA638" i="7"/>
  <c r="AA639" i="7"/>
  <c r="AA640" i="7"/>
  <c r="AA641" i="7"/>
  <c r="AA642" i="7"/>
  <c r="AA643" i="7"/>
  <c r="AA644" i="7"/>
  <c r="AA645" i="7"/>
  <c r="AA646" i="7"/>
  <c r="AA647" i="7"/>
  <c r="AA648" i="7"/>
  <c r="AA649" i="7"/>
  <c r="AA650" i="7"/>
  <c r="AA651" i="7"/>
  <c r="AA652" i="7"/>
  <c r="AA653" i="7"/>
  <c r="AA654" i="7"/>
  <c r="AA655" i="7"/>
  <c r="AA656" i="7"/>
  <c r="AA657" i="7"/>
  <c r="AA658" i="7"/>
  <c r="AA659" i="7"/>
  <c r="AA660" i="7"/>
  <c r="AA661" i="7"/>
  <c r="AA662" i="7"/>
  <c r="AA663" i="7"/>
  <c r="AA664" i="7"/>
  <c r="AA665" i="7"/>
  <c r="AA666" i="7"/>
  <c r="AA667" i="7"/>
  <c r="AA668" i="7"/>
  <c r="AA669" i="7"/>
  <c r="AA670" i="7"/>
  <c r="AA671" i="7"/>
  <c r="AA672" i="7"/>
  <c r="AA673" i="7"/>
  <c r="AA674" i="7"/>
  <c r="AA675" i="7"/>
  <c r="AA676" i="7"/>
  <c r="AA677" i="7"/>
  <c r="AA678" i="7"/>
  <c r="AA679" i="7"/>
  <c r="AA680" i="7"/>
  <c r="AA681" i="7"/>
  <c r="AA682" i="7"/>
  <c r="AA683" i="7"/>
  <c r="AA684" i="7"/>
  <c r="AA685" i="7"/>
  <c r="AA686" i="7"/>
  <c r="AA687" i="7"/>
  <c r="AA688" i="7"/>
  <c r="AA689" i="7"/>
  <c r="AA690" i="7"/>
  <c r="AA691" i="7"/>
  <c r="AA692" i="7"/>
  <c r="AA693" i="7"/>
  <c r="AA694" i="7"/>
  <c r="AA695" i="7"/>
  <c r="AA696" i="7"/>
  <c r="AA697" i="7"/>
  <c r="AA698" i="7"/>
  <c r="AA699" i="7"/>
  <c r="AA700" i="7"/>
  <c r="AA701" i="7"/>
  <c r="AA702" i="7"/>
  <c r="AA703" i="7"/>
  <c r="AA704" i="7"/>
  <c r="AA705" i="7"/>
  <c r="AA706" i="7"/>
  <c r="AA707" i="7"/>
  <c r="AA708" i="7"/>
  <c r="AA709" i="7"/>
  <c r="AA710" i="7"/>
  <c r="AA711" i="7"/>
  <c r="AA712" i="7"/>
  <c r="AA713" i="7"/>
  <c r="AA714" i="7"/>
  <c r="AA715" i="7"/>
  <c r="AA716" i="7"/>
  <c r="AA717" i="7"/>
  <c r="AA718" i="7"/>
  <c r="AA719" i="7"/>
  <c r="AA720" i="7"/>
  <c r="AA721" i="7"/>
  <c r="AA722" i="7"/>
  <c r="AA723" i="7"/>
  <c r="AA724" i="7"/>
  <c r="AA725" i="7"/>
  <c r="AA726" i="7"/>
  <c r="AA727" i="7"/>
  <c r="AA728" i="7"/>
  <c r="AA729" i="7"/>
  <c r="AA730" i="7"/>
  <c r="AA731" i="7"/>
  <c r="AA732" i="7"/>
  <c r="AA733" i="7"/>
  <c r="AA734" i="7"/>
  <c r="AA735" i="7"/>
  <c r="AA736" i="7"/>
  <c r="AA737" i="7"/>
  <c r="AA738" i="7"/>
  <c r="AA739" i="7"/>
  <c r="AA740" i="7"/>
  <c r="AA741" i="7"/>
  <c r="AA742" i="7"/>
  <c r="AA743" i="7"/>
  <c r="AA744" i="7"/>
  <c r="AA745" i="7"/>
  <c r="AA746" i="7"/>
  <c r="AA747" i="7"/>
  <c r="AA748" i="7"/>
  <c r="AA749" i="7"/>
  <c r="AA750" i="7"/>
  <c r="AA751" i="7"/>
  <c r="AA752" i="7"/>
  <c r="AA753" i="7"/>
  <c r="AA754" i="7"/>
  <c r="AA755" i="7"/>
  <c r="AA756" i="7"/>
  <c r="AA757" i="7"/>
  <c r="AA758" i="7"/>
  <c r="AA759" i="7"/>
  <c r="AA760" i="7"/>
  <c r="AA761" i="7"/>
  <c r="AA762" i="7"/>
  <c r="AA763" i="7"/>
  <c r="AA764" i="7"/>
  <c r="AA765" i="7"/>
  <c r="AA766" i="7"/>
  <c r="AA767" i="7"/>
  <c r="AA768" i="7"/>
  <c r="AA769" i="7"/>
  <c r="AA770" i="7"/>
  <c r="AA771" i="7"/>
  <c r="AA772" i="7"/>
  <c r="AA773" i="7"/>
  <c r="AA774" i="7"/>
  <c r="AA775" i="7"/>
  <c r="AA776" i="7"/>
  <c r="AA777" i="7"/>
  <c r="AA778" i="7"/>
  <c r="AA779" i="7"/>
  <c r="AA780" i="7"/>
  <c r="AA781" i="7"/>
  <c r="AA782" i="7"/>
  <c r="AA783" i="7"/>
  <c r="AA784" i="7"/>
  <c r="AA785" i="7"/>
  <c r="AA786" i="7"/>
  <c r="AA787" i="7"/>
  <c r="AA788" i="7"/>
  <c r="AA789" i="7"/>
  <c r="AA790" i="7"/>
  <c r="AA791" i="7"/>
  <c r="AA792" i="7"/>
  <c r="AA793" i="7"/>
  <c r="AA794" i="7"/>
  <c r="AA795" i="7"/>
  <c r="AA796" i="7"/>
  <c r="AA797" i="7"/>
  <c r="AA798" i="7"/>
  <c r="AA799" i="7"/>
  <c r="AA800" i="7"/>
  <c r="AA801" i="7"/>
  <c r="AA802" i="7"/>
  <c r="AA803" i="7"/>
  <c r="AA804" i="7"/>
  <c r="AA805" i="7"/>
  <c r="AA806" i="7"/>
  <c r="AA807" i="7"/>
  <c r="AA808" i="7"/>
  <c r="AA809" i="7"/>
  <c r="AA810" i="7"/>
  <c r="AA811" i="7"/>
  <c r="AA812" i="7"/>
  <c r="AA813" i="7"/>
  <c r="AA814" i="7"/>
  <c r="AA815" i="7"/>
  <c r="AA816" i="7"/>
  <c r="AA817" i="7"/>
  <c r="AA818" i="7"/>
  <c r="AA819" i="7"/>
  <c r="AA820" i="7"/>
  <c r="AA821" i="7"/>
  <c r="AA822" i="7"/>
  <c r="AA823" i="7"/>
  <c r="AA824" i="7"/>
  <c r="AA825" i="7"/>
  <c r="AA826" i="7"/>
  <c r="AA827" i="7"/>
  <c r="AA828" i="7"/>
  <c r="AA829" i="7"/>
  <c r="AA830" i="7"/>
  <c r="AA831" i="7"/>
  <c r="AA832" i="7"/>
  <c r="AA833" i="7"/>
  <c r="AA834" i="7"/>
  <c r="AA835" i="7"/>
  <c r="AA836" i="7"/>
  <c r="AA837" i="7"/>
  <c r="AA838" i="7"/>
  <c r="AA839" i="7"/>
  <c r="AA840" i="7"/>
  <c r="AA841" i="7"/>
  <c r="AA842" i="7"/>
  <c r="AA843" i="7"/>
  <c r="AA844" i="7"/>
  <c r="AA845" i="7"/>
  <c r="AA846" i="7"/>
  <c r="AA847" i="7"/>
  <c r="AA848" i="7"/>
  <c r="AA849" i="7"/>
  <c r="AA850" i="7"/>
  <c r="AA851" i="7"/>
  <c r="AA852" i="7"/>
  <c r="AA853" i="7"/>
  <c r="AA854" i="7"/>
  <c r="AA855" i="7"/>
  <c r="AA856" i="7"/>
  <c r="AA857" i="7"/>
  <c r="AA858" i="7"/>
  <c r="AA859" i="7"/>
  <c r="AA860" i="7"/>
  <c r="AA861" i="7"/>
  <c r="AA862" i="7"/>
  <c r="AA863" i="7"/>
  <c r="AA864" i="7"/>
  <c r="AA865" i="7"/>
  <c r="AA866" i="7"/>
  <c r="AA867" i="7"/>
  <c r="AA868" i="7"/>
  <c r="AA869" i="7"/>
  <c r="AA870" i="7"/>
  <c r="AA871" i="7"/>
  <c r="AA872" i="7"/>
  <c r="AA873" i="7"/>
  <c r="AA874" i="7"/>
  <c r="AA875" i="7"/>
  <c r="AA876" i="7"/>
  <c r="AA877" i="7"/>
  <c r="AA878" i="7"/>
  <c r="AA879" i="7"/>
  <c r="AA880" i="7"/>
  <c r="AA881" i="7"/>
  <c r="AA882" i="7"/>
  <c r="AA883" i="7"/>
  <c r="AA884" i="7"/>
  <c r="AA885" i="7"/>
  <c r="AA886" i="7"/>
  <c r="AA887" i="7"/>
  <c r="AA888" i="7"/>
  <c r="AA889" i="7"/>
  <c r="AA890" i="7"/>
  <c r="AA891" i="7"/>
  <c r="AA892" i="7"/>
  <c r="AA893" i="7"/>
  <c r="AA894" i="7"/>
  <c r="AA895" i="7"/>
  <c r="AA896" i="7"/>
  <c r="AA897" i="7"/>
  <c r="AA898" i="7"/>
  <c r="AA899" i="7"/>
  <c r="AA900" i="7"/>
  <c r="AA901" i="7"/>
  <c r="AA902" i="7"/>
  <c r="AA903" i="7"/>
  <c r="AA904" i="7"/>
  <c r="AA905" i="7"/>
  <c r="AA906" i="7"/>
  <c r="AA907" i="7"/>
  <c r="AA908" i="7"/>
  <c r="AA909" i="7"/>
  <c r="AA910" i="7"/>
  <c r="AA911" i="7"/>
  <c r="AA912" i="7"/>
  <c r="AA913" i="7"/>
  <c r="AA914" i="7"/>
  <c r="AA915" i="7"/>
  <c r="AA916" i="7"/>
  <c r="AA917" i="7"/>
  <c r="AA918" i="7"/>
  <c r="AA919" i="7"/>
  <c r="AA920" i="7"/>
  <c r="AA921" i="7"/>
  <c r="AA922" i="7"/>
  <c r="AA923" i="7"/>
  <c r="AA924" i="7"/>
  <c r="AA925" i="7"/>
  <c r="AA926" i="7"/>
  <c r="AA927" i="7"/>
  <c r="AA928" i="7"/>
  <c r="AA929" i="7"/>
  <c r="AA930" i="7"/>
  <c r="AA931" i="7"/>
  <c r="AA932" i="7"/>
  <c r="AA933" i="7"/>
  <c r="AA934" i="7"/>
  <c r="AA935" i="7"/>
  <c r="AA936" i="7"/>
  <c r="AA937" i="7"/>
  <c r="AA938" i="7"/>
  <c r="AA939" i="7"/>
  <c r="AA940" i="7"/>
  <c r="AA941" i="7"/>
  <c r="AA942" i="7"/>
  <c r="AA943" i="7"/>
  <c r="AA944" i="7"/>
  <c r="AA945" i="7"/>
  <c r="AA946" i="7"/>
  <c r="AA947" i="7"/>
  <c r="AA948" i="7"/>
  <c r="AA949" i="7"/>
  <c r="AA950" i="7"/>
  <c r="AA951" i="7"/>
  <c r="AA952" i="7"/>
  <c r="AA953" i="7"/>
  <c r="AA954" i="7"/>
  <c r="AA955" i="7"/>
  <c r="AA956" i="7"/>
  <c r="AA957" i="7"/>
  <c r="AA958" i="7"/>
  <c r="AA959" i="7"/>
  <c r="AA960" i="7"/>
  <c r="AA961" i="7"/>
  <c r="AA962" i="7"/>
  <c r="AA963" i="7"/>
  <c r="AA964" i="7"/>
  <c r="AA965" i="7"/>
  <c r="AA966" i="7"/>
  <c r="AA967" i="7"/>
  <c r="AA968" i="7"/>
  <c r="AA969" i="7"/>
  <c r="AA970" i="7"/>
  <c r="AA971" i="7"/>
  <c r="AA972" i="7"/>
  <c r="AA973" i="7"/>
  <c r="AA974" i="7"/>
  <c r="AA975" i="7"/>
  <c r="AA976" i="7"/>
  <c r="AA977" i="7"/>
  <c r="AA978" i="7"/>
  <c r="AA979" i="7"/>
  <c r="AA980" i="7"/>
  <c r="AA981" i="7"/>
  <c r="AA982" i="7"/>
  <c r="AA983" i="7"/>
  <c r="AA984" i="7"/>
  <c r="AA985" i="7"/>
  <c r="AA986" i="7"/>
  <c r="AA987" i="7"/>
  <c r="AA988" i="7"/>
  <c r="AA989" i="7"/>
  <c r="AA990" i="7"/>
  <c r="AA991" i="7"/>
  <c r="AA992" i="7"/>
  <c r="AA993" i="7"/>
  <c r="AA994" i="7"/>
  <c r="AA995" i="7"/>
  <c r="AA996" i="7"/>
  <c r="AA997" i="7"/>
  <c r="AA998" i="7"/>
  <c r="AA999" i="7"/>
  <c r="AA1000" i="7"/>
  <c r="AA1001" i="7"/>
  <c r="AA1002" i="7"/>
  <c r="AA1003" i="7"/>
  <c r="AA1004" i="7"/>
  <c r="AA1005" i="7"/>
  <c r="AA1006" i="7"/>
  <c r="AA1007" i="7"/>
  <c r="AA1008" i="7"/>
  <c r="AA1009" i="7"/>
  <c r="AA1010" i="7"/>
  <c r="AA1011" i="7"/>
  <c r="AA1012" i="7"/>
  <c r="AA1013" i="7"/>
  <c r="AA1014" i="7"/>
  <c r="AA1015" i="7"/>
  <c r="AA1016" i="7"/>
  <c r="AA1017" i="7"/>
  <c r="AA1018" i="7"/>
  <c r="AA1019" i="7"/>
  <c r="AA1020" i="7"/>
  <c r="AA1021" i="7"/>
  <c r="AA1022" i="7"/>
  <c r="AA1023" i="7"/>
  <c r="AA1024" i="7"/>
  <c r="AA1025" i="7"/>
  <c r="AA1026" i="7"/>
  <c r="AA1027" i="7"/>
  <c r="AA1028" i="7"/>
  <c r="AA1029" i="7"/>
  <c r="AA1030" i="7"/>
  <c r="AA1031" i="7"/>
  <c r="AA1032" i="7"/>
  <c r="AA1033" i="7"/>
  <c r="AA1034" i="7"/>
  <c r="AA1035" i="7"/>
  <c r="AA1036" i="7"/>
  <c r="AA1037" i="7"/>
  <c r="AA1038" i="7"/>
  <c r="AA1039" i="7"/>
  <c r="AA1040" i="7"/>
  <c r="AA1041" i="7"/>
  <c r="AA1042" i="7"/>
  <c r="AA1043" i="7"/>
  <c r="AA1044" i="7"/>
  <c r="AA1045" i="7"/>
  <c r="AA1046" i="7"/>
  <c r="AA1047" i="7"/>
  <c r="AA1048" i="7"/>
  <c r="AA1049" i="7"/>
  <c r="AA1050" i="7"/>
  <c r="AA1051" i="7"/>
  <c r="AA1052" i="7"/>
  <c r="AA1053" i="7"/>
  <c r="AA1054" i="7"/>
  <c r="AA1055" i="7"/>
  <c r="AA1056" i="7"/>
  <c r="AA1057" i="7"/>
  <c r="AA1058" i="7"/>
  <c r="AA1059" i="7"/>
  <c r="AA1060" i="7"/>
  <c r="AA1061" i="7"/>
  <c r="AA1062" i="7"/>
  <c r="AA1063" i="7"/>
  <c r="AA1064" i="7"/>
  <c r="AA1065" i="7"/>
  <c r="AA1066" i="7"/>
  <c r="AA1067" i="7"/>
  <c r="AA1068" i="7"/>
  <c r="AA1069" i="7"/>
  <c r="AA1070" i="7"/>
  <c r="AA1071" i="7"/>
  <c r="AA1072" i="7"/>
  <c r="AA1073" i="7"/>
  <c r="AA1074" i="7"/>
  <c r="AA1075" i="7"/>
  <c r="AA1076" i="7"/>
  <c r="AA1077" i="7"/>
  <c r="AA1078" i="7"/>
  <c r="AA1079" i="7"/>
  <c r="AA1080" i="7"/>
  <c r="AA1081" i="7"/>
  <c r="AA1082" i="7"/>
  <c r="AA1083" i="7"/>
  <c r="AA1084" i="7"/>
  <c r="AA1085" i="7"/>
  <c r="AA1086" i="7"/>
  <c r="AA1087" i="7"/>
  <c r="AA1088" i="7"/>
  <c r="AA1089" i="7"/>
  <c r="AA1090" i="7"/>
  <c r="AA1091" i="7"/>
  <c r="AA1092" i="7"/>
  <c r="AA1093" i="7"/>
  <c r="AA1094" i="7"/>
  <c r="AA1095" i="7"/>
  <c r="AA1096" i="7"/>
  <c r="AA1097" i="7"/>
  <c r="AA1098" i="7"/>
  <c r="AA1099" i="7"/>
  <c r="AA1100" i="7"/>
  <c r="AA1101" i="7"/>
  <c r="AA1102" i="7"/>
  <c r="AA1103" i="7"/>
  <c r="AA1104" i="7"/>
  <c r="AA1105" i="7"/>
  <c r="AA1106" i="7"/>
  <c r="AA1107" i="7"/>
  <c r="AA1108" i="7"/>
  <c r="AA1109" i="7"/>
  <c r="AA1110" i="7"/>
  <c r="AA1111" i="7"/>
  <c r="AA1112" i="7"/>
  <c r="AA1113" i="7"/>
  <c r="AA1114" i="7"/>
  <c r="AA1115" i="7"/>
  <c r="AA1116" i="7"/>
  <c r="AA1117" i="7"/>
  <c r="AA1118" i="7"/>
  <c r="AA1119" i="7"/>
  <c r="AA1120" i="7"/>
  <c r="AA1121" i="7"/>
  <c r="AA1122" i="7"/>
  <c r="AA1123" i="7"/>
  <c r="AA1124" i="7"/>
  <c r="AA1125" i="7"/>
  <c r="AA1126" i="7"/>
  <c r="AA1127" i="7"/>
  <c r="AA1128" i="7"/>
  <c r="AA1129" i="7"/>
  <c r="AA1130" i="7"/>
  <c r="AA1131" i="7"/>
  <c r="AA1132" i="7"/>
  <c r="AA1133" i="7"/>
  <c r="AA1134" i="7"/>
  <c r="AA1135" i="7"/>
  <c r="AA1136" i="7"/>
  <c r="AA1137" i="7"/>
  <c r="AA1138" i="7"/>
  <c r="AA1139" i="7"/>
  <c r="AA1140" i="7"/>
  <c r="AA1141" i="7"/>
  <c r="AA1142" i="7"/>
  <c r="AA1143" i="7"/>
  <c r="AA1144" i="7"/>
  <c r="AA1145" i="7"/>
  <c r="AA1146" i="7"/>
  <c r="AA1147" i="7"/>
  <c r="AA1148" i="7"/>
  <c r="AA1149" i="7"/>
  <c r="AA1150" i="7"/>
  <c r="AA1151" i="7"/>
  <c r="AA1152" i="7"/>
  <c r="AA1153" i="7"/>
  <c r="AA1154" i="7"/>
  <c r="AA1155" i="7"/>
  <c r="AA1156" i="7"/>
  <c r="AA1157" i="7"/>
  <c r="AA1158" i="7"/>
  <c r="AA1159" i="7"/>
  <c r="AA1160" i="7"/>
  <c r="AA1161" i="7"/>
  <c r="AA1162" i="7"/>
  <c r="AA1163" i="7"/>
  <c r="AA1164" i="7"/>
  <c r="AA1165" i="7"/>
  <c r="AA1166" i="7"/>
  <c r="AA1167" i="7"/>
  <c r="AA1168" i="7"/>
  <c r="AA1169" i="7"/>
  <c r="AA1170" i="7"/>
  <c r="AA1171" i="7"/>
  <c r="AA1172" i="7"/>
  <c r="AA1173" i="7"/>
  <c r="AA1174" i="7"/>
  <c r="AA1175" i="7"/>
  <c r="AA1176" i="7"/>
  <c r="AA1177" i="7"/>
  <c r="AA1178" i="7"/>
  <c r="AA1179" i="7"/>
  <c r="AA1180" i="7"/>
  <c r="AA1181" i="7"/>
  <c r="AA1182" i="7"/>
  <c r="AA1183" i="7"/>
  <c r="AA1184" i="7"/>
  <c r="AA1185" i="7"/>
  <c r="AA1186" i="7"/>
  <c r="AA1187" i="7"/>
  <c r="AA1188" i="7"/>
  <c r="AA1189" i="7"/>
  <c r="AA1190" i="7"/>
  <c r="AA1191" i="7"/>
  <c r="AA1192" i="7"/>
  <c r="AA1193" i="7"/>
  <c r="AA1194" i="7"/>
  <c r="AA1195" i="7"/>
  <c r="AA1196" i="7"/>
  <c r="AA1197" i="7"/>
  <c r="AA1198" i="7"/>
  <c r="AA1199" i="7"/>
  <c r="AA1200" i="7"/>
  <c r="AA1201" i="7"/>
  <c r="AA1202" i="7"/>
  <c r="AA1203" i="7"/>
  <c r="AA1204" i="7"/>
  <c r="AA1205" i="7"/>
  <c r="AA1206" i="7"/>
  <c r="AA1207" i="7"/>
  <c r="AA1208" i="7"/>
  <c r="AA1209" i="7"/>
  <c r="AA1210" i="7"/>
  <c r="AA1211" i="7"/>
  <c r="AA1212" i="7"/>
  <c r="AA1213" i="7"/>
  <c r="AA1214" i="7"/>
  <c r="AA1215" i="7"/>
  <c r="AA1216" i="7"/>
  <c r="AA1217" i="7"/>
  <c r="AA1218" i="7"/>
  <c r="AA1219" i="7"/>
  <c r="AA1220" i="7"/>
  <c r="AA1221" i="7"/>
  <c r="AA1222" i="7"/>
  <c r="AA1223" i="7"/>
  <c r="AA1224" i="7"/>
  <c r="AA1225" i="7"/>
  <c r="AA1226" i="7"/>
  <c r="AA1227" i="7"/>
  <c r="AA1228" i="7"/>
  <c r="AA1229" i="7"/>
  <c r="AA1230" i="7"/>
  <c r="AA1231" i="7"/>
  <c r="AA1232" i="7"/>
  <c r="AA1233" i="7"/>
  <c r="AA1234" i="7"/>
  <c r="AA1235" i="7"/>
  <c r="AA1236" i="7"/>
  <c r="AA1237" i="7"/>
  <c r="AA1238" i="7"/>
  <c r="AA1239" i="7"/>
  <c r="AA1240" i="7"/>
  <c r="AA1241" i="7"/>
  <c r="AA1242" i="7"/>
  <c r="AA1243" i="7"/>
  <c r="AA1244" i="7"/>
  <c r="AA1245" i="7"/>
  <c r="AA1246" i="7"/>
  <c r="AA1247" i="7"/>
  <c r="AA1248" i="7"/>
  <c r="AA1249" i="7"/>
  <c r="AA1250" i="7"/>
  <c r="AA1251" i="7"/>
  <c r="AA1252" i="7"/>
  <c r="AA1253" i="7"/>
  <c r="AA1254" i="7"/>
  <c r="AA1255" i="7"/>
  <c r="AA1256" i="7"/>
  <c r="AA1257" i="7"/>
  <c r="AA1258" i="7"/>
  <c r="AA1259" i="7"/>
  <c r="AA1260" i="7"/>
  <c r="AA1261" i="7"/>
  <c r="AA1262" i="7"/>
  <c r="AA1263" i="7"/>
  <c r="AA1264" i="7"/>
  <c r="AA1265" i="7"/>
  <c r="AA1266" i="7"/>
  <c r="AA1267" i="7"/>
  <c r="AA1268" i="7"/>
  <c r="AA1269" i="7"/>
  <c r="AA1270" i="7"/>
  <c r="AA1271" i="7"/>
  <c r="AA1272" i="7"/>
  <c r="AA1273" i="7"/>
  <c r="AA1274" i="7"/>
  <c r="AA1275" i="7"/>
  <c r="AA1276" i="7"/>
  <c r="AA1277" i="7"/>
  <c r="AA1278" i="7"/>
  <c r="AA1279" i="7"/>
  <c r="AA1280" i="7"/>
  <c r="AA1281" i="7"/>
  <c r="AA1282" i="7"/>
  <c r="AA1283" i="7"/>
  <c r="AA1284" i="7"/>
  <c r="AA1285" i="7"/>
  <c r="AA1286" i="7"/>
  <c r="AA1287" i="7"/>
  <c r="AA1288" i="7"/>
  <c r="AA1289" i="7"/>
  <c r="AA1290" i="7"/>
  <c r="AA1291" i="7"/>
  <c r="AA1292" i="7"/>
  <c r="AA1293" i="7"/>
  <c r="AA1294" i="7"/>
  <c r="AA1295" i="7"/>
  <c r="AA1296" i="7"/>
  <c r="AA1297" i="7"/>
  <c r="AA1298" i="7"/>
  <c r="AA1299" i="7"/>
  <c r="AA1300" i="7"/>
  <c r="AA1301" i="7"/>
  <c r="AA1302" i="7"/>
  <c r="AA1303" i="7"/>
  <c r="AA1304" i="7"/>
  <c r="AA1305" i="7"/>
  <c r="AA1306" i="7"/>
  <c r="AA1307" i="7"/>
  <c r="AA1308" i="7"/>
  <c r="AA1309" i="7"/>
  <c r="AA1310" i="7"/>
  <c r="AA1311" i="7"/>
  <c r="AA1312" i="7"/>
  <c r="AA1313" i="7"/>
  <c r="AA1314" i="7"/>
  <c r="AA1315" i="7"/>
  <c r="AA1316" i="7"/>
  <c r="AA1317" i="7"/>
  <c r="AA1318" i="7"/>
  <c r="AA1319" i="7"/>
  <c r="AA1320" i="7"/>
  <c r="AA1321" i="7"/>
  <c r="AA1322" i="7"/>
  <c r="AA1323" i="7"/>
  <c r="AA1324" i="7"/>
  <c r="AA1325" i="7"/>
  <c r="AA1326" i="7"/>
  <c r="AA1327" i="7"/>
  <c r="AA1328" i="7"/>
  <c r="AA1329" i="7"/>
  <c r="AA1330" i="7"/>
  <c r="AA1331" i="7"/>
  <c r="AA1332" i="7"/>
  <c r="AA1333" i="7"/>
  <c r="AA1334" i="7"/>
  <c r="AA1335" i="7"/>
  <c r="AA1336" i="7"/>
  <c r="AA1337" i="7"/>
  <c r="AA1338" i="7"/>
  <c r="AA1339" i="7"/>
  <c r="AA1340" i="7"/>
  <c r="AA1341" i="7"/>
  <c r="AA1342" i="7"/>
  <c r="AA1343" i="7"/>
  <c r="AA1344" i="7"/>
  <c r="AA1345" i="7"/>
  <c r="AA1346" i="7"/>
  <c r="AA1347" i="7"/>
  <c r="AA1348" i="7"/>
  <c r="AA1349" i="7"/>
  <c r="AA1350" i="7"/>
  <c r="AA1351" i="7"/>
  <c r="AA1352" i="7"/>
  <c r="AA1353" i="7"/>
  <c r="AA1354" i="7"/>
  <c r="AA1355" i="7"/>
  <c r="AA1356" i="7"/>
  <c r="AA1357" i="7"/>
  <c r="AA1358" i="7"/>
  <c r="AA1359" i="7"/>
  <c r="AA1360" i="7"/>
  <c r="AA1361" i="7"/>
  <c r="AA1362" i="7"/>
  <c r="AA1363" i="7"/>
  <c r="AA1364" i="7"/>
  <c r="AA1365" i="7"/>
  <c r="AA1366" i="7"/>
  <c r="AA1367" i="7"/>
  <c r="AA1368" i="7"/>
  <c r="AA1369" i="7"/>
  <c r="AA1370" i="7"/>
  <c r="AA1371" i="7"/>
  <c r="AA1372" i="7"/>
  <c r="AA1373" i="7"/>
  <c r="AA1374" i="7"/>
  <c r="AA1375" i="7"/>
  <c r="AA1376" i="7"/>
  <c r="AA1377" i="7"/>
  <c r="AA1378" i="7"/>
  <c r="AA1379" i="7"/>
  <c r="AA1380" i="7"/>
  <c r="AA1381" i="7"/>
  <c r="AA1382" i="7"/>
  <c r="AA1383" i="7"/>
  <c r="AA1384" i="7"/>
  <c r="AA1385" i="7"/>
  <c r="AA1386" i="7"/>
  <c r="AA1387" i="7"/>
  <c r="AA1388" i="7"/>
  <c r="AA1389" i="7"/>
  <c r="Z3" i="7"/>
  <c r="Z4" i="7"/>
  <c r="Z5" i="7"/>
  <c r="Z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Z66" i="7"/>
  <c r="Z67" i="7"/>
  <c r="Z68" i="7"/>
  <c r="Z69" i="7"/>
  <c r="Z70" i="7"/>
  <c r="Z71" i="7"/>
  <c r="Z72" i="7"/>
  <c r="Z73" i="7"/>
  <c r="Z74" i="7"/>
  <c r="Z75" i="7"/>
  <c r="Z76" i="7"/>
  <c r="Z77" i="7"/>
  <c r="Z78" i="7"/>
  <c r="Z79" i="7"/>
  <c r="Z80" i="7"/>
  <c r="Z81" i="7"/>
  <c r="Z82" i="7"/>
  <c r="Z83" i="7"/>
  <c r="Z84" i="7"/>
  <c r="Z85" i="7"/>
  <c r="Z86" i="7"/>
  <c r="Z87" i="7"/>
  <c r="Z88" i="7"/>
  <c r="Z89" i="7"/>
  <c r="Z90" i="7"/>
  <c r="Z91" i="7"/>
  <c r="Z92" i="7"/>
  <c r="Z93" i="7"/>
  <c r="Z94" i="7"/>
  <c r="Z95" i="7"/>
  <c r="Z96" i="7"/>
  <c r="Z97" i="7"/>
  <c r="Z98" i="7"/>
  <c r="Z99" i="7"/>
  <c r="Z100" i="7"/>
  <c r="Z101" i="7"/>
  <c r="Z102" i="7"/>
  <c r="Z103" i="7"/>
  <c r="Z104" i="7"/>
  <c r="Z105" i="7"/>
  <c r="Z106" i="7"/>
  <c r="Z107" i="7"/>
  <c r="Z108" i="7"/>
  <c r="Z109" i="7"/>
  <c r="Z110" i="7"/>
  <c r="Z111" i="7"/>
  <c r="Z112" i="7"/>
  <c r="Z113" i="7"/>
  <c r="Z114" i="7"/>
  <c r="Z115" i="7"/>
  <c r="Z116" i="7"/>
  <c r="Z117" i="7"/>
  <c r="Z118" i="7"/>
  <c r="Z119" i="7"/>
  <c r="Z120" i="7"/>
  <c r="Z121" i="7"/>
  <c r="Z122" i="7"/>
  <c r="Z123" i="7"/>
  <c r="Z124" i="7"/>
  <c r="Z125" i="7"/>
  <c r="Z126" i="7"/>
  <c r="Z127" i="7"/>
  <c r="Z128" i="7"/>
  <c r="Z129" i="7"/>
  <c r="Z130" i="7"/>
  <c r="Z131" i="7"/>
  <c r="Z132" i="7"/>
  <c r="Z133" i="7"/>
  <c r="Z134" i="7"/>
  <c r="Z135" i="7"/>
  <c r="Z136" i="7"/>
  <c r="Z137" i="7"/>
  <c r="Z138" i="7"/>
  <c r="Z139" i="7"/>
  <c r="Z140" i="7"/>
  <c r="Z141" i="7"/>
  <c r="Z142" i="7"/>
  <c r="Z143" i="7"/>
  <c r="Z144" i="7"/>
  <c r="Z145" i="7"/>
  <c r="Z146" i="7"/>
  <c r="Z147" i="7"/>
  <c r="Z148" i="7"/>
  <c r="Z149"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86" i="7"/>
  <c r="Z187" i="7"/>
  <c r="Z188" i="7"/>
  <c r="Z189" i="7"/>
  <c r="Z190" i="7"/>
  <c r="Z191" i="7"/>
  <c r="Z192" i="7"/>
  <c r="Z193" i="7"/>
  <c r="Z194" i="7"/>
  <c r="Z195" i="7"/>
  <c r="Z196" i="7"/>
  <c r="Z197" i="7"/>
  <c r="Z198" i="7"/>
  <c r="Z199" i="7"/>
  <c r="Z200" i="7"/>
  <c r="Z201" i="7"/>
  <c r="Z202" i="7"/>
  <c r="Z203" i="7"/>
  <c r="Z204" i="7"/>
  <c r="Z205" i="7"/>
  <c r="Z206" i="7"/>
  <c r="Z207" i="7"/>
  <c r="Z208" i="7"/>
  <c r="Z209" i="7"/>
  <c r="Z210" i="7"/>
  <c r="Z211" i="7"/>
  <c r="Z212" i="7"/>
  <c r="Z213" i="7"/>
  <c r="Z214" i="7"/>
  <c r="Z215" i="7"/>
  <c r="Z216" i="7"/>
  <c r="Z217" i="7"/>
  <c r="Z218" i="7"/>
  <c r="Z219" i="7"/>
  <c r="Z220" i="7"/>
  <c r="Z221" i="7"/>
  <c r="Z222" i="7"/>
  <c r="Z223" i="7"/>
  <c r="Z224" i="7"/>
  <c r="Z225" i="7"/>
  <c r="Z226" i="7"/>
  <c r="Z227" i="7"/>
  <c r="Z228" i="7"/>
  <c r="Z229" i="7"/>
  <c r="Z230" i="7"/>
  <c r="Z231" i="7"/>
  <c r="Z232" i="7"/>
  <c r="Z233" i="7"/>
  <c r="Z234" i="7"/>
  <c r="Z235" i="7"/>
  <c r="Z236" i="7"/>
  <c r="Z237" i="7"/>
  <c r="Z238" i="7"/>
  <c r="Z239" i="7"/>
  <c r="Z240" i="7"/>
  <c r="Z241" i="7"/>
  <c r="Z242" i="7"/>
  <c r="Z243" i="7"/>
  <c r="Z244" i="7"/>
  <c r="Z245" i="7"/>
  <c r="Z246" i="7"/>
  <c r="Z247" i="7"/>
  <c r="Z248" i="7"/>
  <c r="Z249" i="7"/>
  <c r="Z250" i="7"/>
  <c r="Z251" i="7"/>
  <c r="Z252" i="7"/>
  <c r="Z253" i="7"/>
  <c r="Z254" i="7"/>
  <c r="Z255" i="7"/>
  <c r="Z256" i="7"/>
  <c r="Z257" i="7"/>
  <c r="Z258" i="7"/>
  <c r="Z259" i="7"/>
  <c r="Z260" i="7"/>
  <c r="Z261" i="7"/>
  <c r="Z262" i="7"/>
  <c r="Z263" i="7"/>
  <c r="Z264" i="7"/>
  <c r="Z265" i="7"/>
  <c r="Z266" i="7"/>
  <c r="Z267" i="7"/>
  <c r="Z268" i="7"/>
  <c r="Z269" i="7"/>
  <c r="Z270" i="7"/>
  <c r="Z271" i="7"/>
  <c r="Z272" i="7"/>
  <c r="Z273" i="7"/>
  <c r="Z274" i="7"/>
  <c r="Z275" i="7"/>
  <c r="Z276" i="7"/>
  <c r="Z277" i="7"/>
  <c r="Z278" i="7"/>
  <c r="Z279" i="7"/>
  <c r="Z280" i="7"/>
  <c r="Z281" i="7"/>
  <c r="Z282" i="7"/>
  <c r="Z283" i="7"/>
  <c r="Z284" i="7"/>
  <c r="Z285" i="7"/>
  <c r="Z286" i="7"/>
  <c r="Z287" i="7"/>
  <c r="Z288" i="7"/>
  <c r="Z289" i="7"/>
  <c r="Z290" i="7"/>
  <c r="Z291" i="7"/>
  <c r="Z292" i="7"/>
  <c r="Z293" i="7"/>
  <c r="Z294" i="7"/>
  <c r="Z295" i="7"/>
  <c r="Z296" i="7"/>
  <c r="Z297" i="7"/>
  <c r="Z298" i="7"/>
  <c r="Z299" i="7"/>
  <c r="Z300" i="7"/>
  <c r="Z301" i="7"/>
  <c r="Z302" i="7"/>
  <c r="Z303" i="7"/>
  <c r="Z304" i="7"/>
  <c r="Z305" i="7"/>
  <c r="Z306" i="7"/>
  <c r="Z307" i="7"/>
  <c r="Z308" i="7"/>
  <c r="Z309" i="7"/>
  <c r="Z310" i="7"/>
  <c r="Z311" i="7"/>
  <c r="Z312" i="7"/>
  <c r="Z313" i="7"/>
  <c r="Z314" i="7"/>
  <c r="Z315" i="7"/>
  <c r="Z316" i="7"/>
  <c r="Z317" i="7"/>
  <c r="Z318" i="7"/>
  <c r="Z319" i="7"/>
  <c r="Z320" i="7"/>
  <c r="Z321" i="7"/>
  <c r="Z322" i="7"/>
  <c r="Z323" i="7"/>
  <c r="Z324" i="7"/>
  <c r="Z325" i="7"/>
  <c r="Z326" i="7"/>
  <c r="Z327" i="7"/>
  <c r="Z328" i="7"/>
  <c r="Z329" i="7"/>
  <c r="Z330" i="7"/>
  <c r="Z331" i="7"/>
  <c r="Z332" i="7"/>
  <c r="Z333" i="7"/>
  <c r="Z334" i="7"/>
  <c r="Z335" i="7"/>
  <c r="Z336" i="7"/>
  <c r="Z337" i="7"/>
  <c r="Z338" i="7"/>
  <c r="Z339" i="7"/>
  <c r="Z340" i="7"/>
  <c r="Z341" i="7"/>
  <c r="Z342" i="7"/>
  <c r="Z343" i="7"/>
  <c r="Z344" i="7"/>
  <c r="Z345" i="7"/>
  <c r="Z346" i="7"/>
  <c r="Z347" i="7"/>
  <c r="Z348" i="7"/>
  <c r="Z349" i="7"/>
  <c r="Z350" i="7"/>
  <c r="Z351" i="7"/>
  <c r="Z352" i="7"/>
  <c r="Z353" i="7"/>
  <c r="Z354" i="7"/>
  <c r="Z355" i="7"/>
  <c r="Z356" i="7"/>
  <c r="Z357" i="7"/>
  <c r="Z358" i="7"/>
  <c r="Z359" i="7"/>
  <c r="Z360" i="7"/>
  <c r="Z361" i="7"/>
  <c r="Z362" i="7"/>
  <c r="Z363" i="7"/>
  <c r="Z364" i="7"/>
  <c r="Z365" i="7"/>
  <c r="Z366" i="7"/>
  <c r="Z367" i="7"/>
  <c r="Z368" i="7"/>
  <c r="Z369" i="7"/>
  <c r="Z370" i="7"/>
  <c r="Z371" i="7"/>
  <c r="Z372" i="7"/>
  <c r="Z373" i="7"/>
  <c r="Z374" i="7"/>
  <c r="Z375" i="7"/>
  <c r="Z376" i="7"/>
  <c r="Z377" i="7"/>
  <c r="Z378" i="7"/>
  <c r="Z379" i="7"/>
  <c r="Z380" i="7"/>
  <c r="Z381" i="7"/>
  <c r="Z382" i="7"/>
  <c r="Z383" i="7"/>
  <c r="Z384" i="7"/>
  <c r="Z385" i="7"/>
  <c r="Z386" i="7"/>
  <c r="Z387" i="7"/>
  <c r="Z388" i="7"/>
  <c r="Z389" i="7"/>
  <c r="Z390" i="7"/>
  <c r="Z391" i="7"/>
  <c r="Z392" i="7"/>
  <c r="Z393" i="7"/>
  <c r="Z394" i="7"/>
  <c r="Z395" i="7"/>
  <c r="Z396" i="7"/>
  <c r="Z397" i="7"/>
  <c r="Z398" i="7"/>
  <c r="Z399" i="7"/>
  <c r="Z400" i="7"/>
  <c r="Z401" i="7"/>
  <c r="Z402" i="7"/>
  <c r="Z403" i="7"/>
  <c r="Z404" i="7"/>
  <c r="Z405" i="7"/>
  <c r="Z406" i="7"/>
  <c r="Z407" i="7"/>
  <c r="Z408" i="7"/>
  <c r="Z409" i="7"/>
  <c r="Z410" i="7"/>
  <c r="Z411" i="7"/>
  <c r="Z412" i="7"/>
  <c r="Z413" i="7"/>
  <c r="Z414" i="7"/>
  <c r="Z415" i="7"/>
  <c r="Z416" i="7"/>
  <c r="Z417" i="7"/>
  <c r="Z418" i="7"/>
  <c r="Z419" i="7"/>
  <c r="Z420" i="7"/>
  <c r="Z421" i="7"/>
  <c r="Z422" i="7"/>
  <c r="Z423" i="7"/>
  <c r="Z424" i="7"/>
  <c r="Z425" i="7"/>
  <c r="Z426" i="7"/>
  <c r="Z427" i="7"/>
  <c r="Z428" i="7"/>
  <c r="Z429" i="7"/>
  <c r="Z430" i="7"/>
  <c r="Z431" i="7"/>
  <c r="Z432" i="7"/>
  <c r="Z433" i="7"/>
  <c r="Z434" i="7"/>
  <c r="Z435" i="7"/>
  <c r="Z436" i="7"/>
  <c r="Z437" i="7"/>
  <c r="Z438" i="7"/>
  <c r="Z439" i="7"/>
  <c r="Z440" i="7"/>
  <c r="Z441" i="7"/>
  <c r="Z442" i="7"/>
  <c r="Z443" i="7"/>
  <c r="Z444" i="7"/>
  <c r="Z445" i="7"/>
  <c r="Z446" i="7"/>
  <c r="Z447" i="7"/>
  <c r="Z448" i="7"/>
  <c r="Z449" i="7"/>
  <c r="Z450" i="7"/>
  <c r="Z451" i="7"/>
  <c r="Z452" i="7"/>
  <c r="Z453" i="7"/>
  <c r="Z454" i="7"/>
  <c r="Z455" i="7"/>
  <c r="Z456" i="7"/>
  <c r="Z457" i="7"/>
  <c r="Z458" i="7"/>
  <c r="Z459" i="7"/>
  <c r="Z460" i="7"/>
  <c r="Z461" i="7"/>
  <c r="Z462" i="7"/>
  <c r="Z463" i="7"/>
  <c r="Z464" i="7"/>
  <c r="Z465" i="7"/>
  <c r="Z466" i="7"/>
  <c r="Z467" i="7"/>
  <c r="Z468" i="7"/>
  <c r="Z469" i="7"/>
  <c r="Z470" i="7"/>
  <c r="Z471" i="7"/>
  <c r="Z472" i="7"/>
  <c r="Z473" i="7"/>
  <c r="Z474" i="7"/>
  <c r="Z475" i="7"/>
  <c r="Z476" i="7"/>
  <c r="Z477" i="7"/>
  <c r="Z478" i="7"/>
  <c r="Z479" i="7"/>
  <c r="Z480" i="7"/>
  <c r="Z481" i="7"/>
  <c r="Z482" i="7"/>
  <c r="Z483" i="7"/>
  <c r="Z484" i="7"/>
  <c r="Z485" i="7"/>
  <c r="Z486" i="7"/>
  <c r="Z487" i="7"/>
  <c r="Z488" i="7"/>
  <c r="Z489" i="7"/>
  <c r="Z490" i="7"/>
  <c r="Z491" i="7"/>
  <c r="Z492" i="7"/>
  <c r="Z493" i="7"/>
  <c r="Z494" i="7"/>
  <c r="Z495" i="7"/>
  <c r="Z496" i="7"/>
  <c r="Z497" i="7"/>
  <c r="Z498" i="7"/>
  <c r="Z499" i="7"/>
  <c r="Z500" i="7"/>
  <c r="Z501" i="7"/>
  <c r="Z502" i="7"/>
  <c r="Z503" i="7"/>
  <c r="Z504" i="7"/>
  <c r="Z505" i="7"/>
  <c r="Z506" i="7"/>
  <c r="Z507" i="7"/>
  <c r="Z508" i="7"/>
  <c r="Z509" i="7"/>
  <c r="Z510" i="7"/>
  <c r="Z511" i="7"/>
  <c r="Z512" i="7"/>
  <c r="Z513" i="7"/>
  <c r="Z514" i="7"/>
  <c r="Z515" i="7"/>
  <c r="Z516" i="7"/>
  <c r="Z517" i="7"/>
  <c r="Z518" i="7"/>
  <c r="Z519" i="7"/>
  <c r="Z520" i="7"/>
  <c r="Z521" i="7"/>
  <c r="Z522" i="7"/>
  <c r="Z523" i="7"/>
  <c r="Z524" i="7"/>
  <c r="Z525" i="7"/>
  <c r="Z526" i="7"/>
  <c r="Z527" i="7"/>
  <c r="Z528" i="7"/>
  <c r="Z529" i="7"/>
  <c r="Z530" i="7"/>
  <c r="Z531" i="7"/>
  <c r="Z532" i="7"/>
  <c r="Z533" i="7"/>
  <c r="Z534" i="7"/>
  <c r="Z535" i="7"/>
  <c r="Z536" i="7"/>
  <c r="Z537" i="7"/>
  <c r="Z538" i="7"/>
  <c r="Z539" i="7"/>
  <c r="Z540" i="7"/>
  <c r="Z541" i="7"/>
  <c r="Z542" i="7"/>
  <c r="Z543" i="7"/>
  <c r="Z544" i="7"/>
  <c r="Z545" i="7"/>
  <c r="Z546" i="7"/>
  <c r="Z547" i="7"/>
  <c r="Z548" i="7"/>
  <c r="Z549" i="7"/>
  <c r="Z550" i="7"/>
  <c r="Z551" i="7"/>
  <c r="Z552" i="7"/>
  <c r="Z553" i="7"/>
  <c r="Z554" i="7"/>
  <c r="Z555" i="7"/>
  <c r="Z556" i="7"/>
  <c r="Z557" i="7"/>
  <c r="Z558" i="7"/>
  <c r="Z559" i="7"/>
  <c r="Z560" i="7"/>
  <c r="Z561" i="7"/>
  <c r="Z562" i="7"/>
  <c r="Z563" i="7"/>
  <c r="Z564" i="7"/>
  <c r="Z565" i="7"/>
  <c r="Z566" i="7"/>
  <c r="Z567" i="7"/>
  <c r="Z568" i="7"/>
  <c r="Z569" i="7"/>
  <c r="Z570" i="7"/>
  <c r="Z571" i="7"/>
  <c r="Z572" i="7"/>
  <c r="Z573" i="7"/>
  <c r="Z574" i="7"/>
  <c r="Z575" i="7"/>
  <c r="Z576" i="7"/>
  <c r="Z577" i="7"/>
  <c r="Z578" i="7"/>
  <c r="Z579" i="7"/>
  <c r="Z580" i="7"/>
  <c r="Z581" i="7"/>
  <c r="Z582" i="7"/>
  <c r="Z583" i="7"/>
  <c r="Z584" i="7"/>
  <c r="Z585" i="7"/>
  <c r="Z586" i="7"/>
  <c r="Z587" i="7"/>
  <c r="Z588" i="7"/>
  <c r="Z589" i="7"/>
  <c r="Z590" i="7"/>
  <c r="Z591" i="7"/>
  <c r="Z592" i="7"/>
  <c r="Z593" i="7"/>
  <c r="Z594" i="7"/>
  <c r="Z595" i="7"/>
  <c r="Z596" i="7"/>
  <c r="Z597" i="7"/>
  <c r="Z598" i="7"/>
  <c r="Z599" i="7"/>
  <c r="Z600" i="7"/>
  <c r="Z601" i="7"/>
  <c r="Z602" i="7"/>
  <c r="Z603" i="7"/>
  <c r="Z604" i="7"/>
  <c r="Z605" i="7"/>
  <c r="Z606" i="7"/>
  <c r="Z607" i="7"/>
  <c r="Z608" i="7"/>
  <c r="Z609" i="7"/>
  <c r="Z610" i="7"/>
  <c r="Z611" i="7"/>
  <c r="Z612" i="7"/>
  <c r="Z613" i="7"/>
  <c r="Z614" i="7"/>
  <c r="Z615" i="7"/>
  <c r="Z616" i="7"/>
  <c r="Z617" i="7"/>
  <c r="Z618" i="7"/>
  <c r="Z619" i="7"/>
  <c r="Z620" i="7"/>
  <c r="Z621" i="7"/>
  <c r="Z622" i="7"/>
  <c r="Z623" i="7"/>
  <c r="Z624" i="7"/>
  <c r="Z625" i="7"/>
  <c r="Z626" i="7"/>
  <c r="Z627" i="7"/>
  <c r="Z628" i="7"/>
  <c r="Z629" i="7"/>
  <c r="Z630" i="7"/>
  <c r="Z631" i="7"/>
  <c r="Z632" i="7"/>
  <c r="Z633" i="7"/>
  <c r="Z634" i="7"/>
  <c r="Z635" i="7"/>
  <c r="Z636" i="7"/>
  <c r="Z637" i="7"/>
  <c r="Z638" i="7"/>
  <c r="Z639" i="7"/>
  <c r="Z640" i="7"/>
  <c r="Z641" i="7"/>
  <c r="Z642" i="7"/>
  <c r="Z643" i="7"/>
  <c r="Z644" i="7"/>
  <c r="Z645" i="7"/>
  <c r="Z646" i="7"/>
  <c r="Z647" i="7"/>
  <c r="Z648" i="7"/>
  <c r="Z649" i="7"/>
  <c r="Z650" i="7"/>
  <c r="Z651" i="7"/>
  <c r="Z652" i="7"/>
  <c r="Z653" i="7"/>
  <c r="Z654" i="7"/>
  <c r="Z655" i="7"/>
  <c r="Z656" i="7"/>
  <c r="Z657" i="7"/>
  <c r="Z658" i="7"/>
  <c r="Z659" i="7"/>
  <c r="Z660" i="7"/>
  <c r="Z661" i="7"/>
  <c r="Z662" i="7"/>
  <c r="Z663" i="7"/>
  <c r="Z664" i="7"/>
  <c r="Z665" i="7"/>
  <c r="Z666" i="7"/>
  <c r="Z667" i="7"/>
  <c r="Z668" i="7"/>
  <c r="Z669" i="7"/>
  <c r="Z670" i="7"/>
  <c r="Z671" i="7"/>
  <c r="Z672" i="7"/>
  <c r="Z673" i="7"/>
  <c r="Z674" i="7"/>
  <c r="Z675" i="7"/>
  <c r="Z676" i="7"/>
  <c r="Z677" i="7"/>
  <c r="Z678" i="7"/>
  <c r="Z679" i="7"/>
  <c r="Z680" i="7"/>
  <c r="Z681" i="7"/>
  <c r="Z682" i="7"/>
  <c r="Z683" i="7"/>
  <c r="Z684" i="7"/>
  <c r="Z685" i="7"/>
  <c r="Z686" i="7"/>
  <c r="Z687" i="7"/>
  <c r="Z688" i="7"/>
  <c r="Z689" i="7"/>
  <c r="Z690" i="7"/>
  <c r="Z691" i="7"/>
  <c r="Z692" i="7"/>
  <c r="Z693" i="7"/>
  <c r="Z694" i="7"/>
  <c r="Z695" i="7"/>
  <c r="Z696" i="7"/>
  <c r="Z697" i="7"/>
  <c r="Z698" i="7"/>
  <c r="Z699" i="7"/>
  <c r="Z700" i="7"/>
  <c r="Z701" i="7"/>
  <c r="Z702" i="7"/>
  <c r="Z703" i="7"/>
  <c r="Z704" i="7"/>
  <c r="Z705" i="7"/>
  <c r="Z706" i="7"/>
  <c r="Z707" i="7"/>
  <c r="Z708" i="7"/>
  <c r="Z709" i="7"/>
  <c r="Z710" i="7"/>
  <c r="Z711" i="7"/>
  <c r="Z712" i="7"/>
  <c r="Z713" i="7"/>
  <c r="Z714" i="7"/>
  <c r="Z715" i="7"/>
  <c r="Z716" i="7"/>
  <c r="Z717" i="7"/>
  <c r="Z718" i="7"/>
  <c r="Z719" i="7"/>
  <c r="Z720" i="7"/>
  <c r="Z721" i="7"/>
  <c r="Z722" i="7"/>
  <c r="Z723" i="7"/>
  <c r="Z724" i="7"/>
  <c r="Z725" i="7"/>
  <c r="Z726" i="7"/>
  <c r="Z727" i="7"/>
  <c r="Z728" i="7"/>
  <c r="Z729" i="7"/>
  <c r="Z730" i="7"/>
  <c r="Z731" i="7"/>
  <c r="Z732" i="7"/>
  <c r="Z733" i="7"/>
  <c r="Z734" i="7"/>
  <c r="Z735" i="7"/>
  <c r="Z736" i="7"/>
  <c r="Z737" i="7"/>
  <c r="Z738" i="7"/>
  <c r="Z739" i="7"/>
  <c r="Z740" i="7"/>
  <c r="Z741" i="7"/>
  <c r="Z742" i="7"/>
  <c r="Z743" i="7"/>
  <c r="Z744" i="7"/>
  <c r="Z745" i="7"/>
  <c r="Z746" i="7"/>
  <c r="Z747" i="7"/>
  <c r="Z748" i="7"/>
  <c r="Z749" i="7"/>
  <c r="Z750" i="7"/>
  <c r="Z751" i="7"/>
  <c r="Z752" i="7"/>
  <c r="Z753" i="7"/>
  <c r="Z754" i="7"/>
  <c r="Z755" i="7"/>
  <c r="Z756" i="7"/>
  <c r="Z757" i="7"/>
  <c r="Z758" i="7"/>
  <c r="Z759" i="7"/>
  <c r="Z760" i="7"/>
  <c r="Z761" i="7"/>
  <c r="Z762" i="7"/>
  <c r="Z763" i="7"/>
  <c r="Z764" i="7"/>
  <c r="Z765" i="7"/>
  <c r="Z766" i="7"/>
  <c r="Z767" i="7"/>
  <c r="Z768" i="7"/>
  <c r="Z769" i="7"/>
  <c r="Z770" i="7"/>
  <c r="Z771" i="7"/>
  <c r="Z772" i="7"/>
  <c r="Z773" i="7"/>
  <c r="Z774" i="7"/>
  <c r="Z775" i="7"/>
  <c r="Z776" i="7"/>
  <c r="Z777" i="7"/>
  <c r="Z778" i="7"/>
  <c r="Z779" i="7"/>
  <c r="Z780" i="7"/>
  <c r="Z781" i="7"/>
  <c r="Z782" i="7"/>
  <c r="Z783" i="7"/>
  <c r="Z784" i="7"/>
  <c r="Z785" i="7"/>
  <c r="Z786" i="7"/>
  <c r="Z787" i="7"/>
  <c r="Z788" i="7"/>
  <c r="Z789" i="7"/>
  <c r="Z790" i="7"/>
  <c r="Z791" i="7"/>
  <c r="Z792" i="7"/>
  <c r="Z793" i="7"/>
  <c r="Z794" i="7"/>
  <c r="Z795" i="7"/>
  <c r="Z796" i="7"/>
  <c r="Z797" i="7"/>
  <c r="Z798" i="7"/>
  <c r="Z799" i="7"/>
  <c r="Z800" i="7"/>
  <c r="Z801" i="7"/>
  <c r="Z802" i="7"/>
  <c r="Z803" i="7"/>
  <c r="Z804" i="7"/>
  <c r="Z805" i="7"/>
  <c r="Z806" i="7"/>
  <c r="Z807" i="7"/>
  <c r="Z808" i="7"/>
  <c r="Z809" i="7"/>
  <c r="Z810" i="7"/>
  <c r="Z811" i="7"/>
  <c r="Z812" i="7"/>
  <c r="Z813" i="7"/>
  <c r="Z814" i="7"/>
  <c r="Z815" i="7"/>
  <c r="Z816" i="7"/>
  <c r="Z817" i="7"/>
  <c r="Z818" i="7"/>
  <c r="Z819" i="7"/>
  <c r="Z820" i="7"/>
  <c r="Z821" i="7"/>
  <c r="Z822" i="7"/>
  <c r="Z823" i="7"/>
  <c r="Z824" i="7"/>
  <c r="Z825" i="7"/>
  <c r="Z826" i="7"/>
  <c r="Z827" i="7"/>
  <c r="Z828" i="7"/>
  <c r="Z829" i="7"/>
  <c r="Z830" i="7"/>
  <c r="Z831" i="7"/>
  <c r="Z832" i="7"/>
  <c r="Z833" i="7"/>
  <c r="Z834" i="7"/>
  <c r="Z835" i="7"/>
  <c r="Z836" i="7"/>
  <c r="Z837" i="7"/>
  <c r="Z838" i="7"/>
  <c r="Z839" i="7"/>
  <c r="Z840" i="7"/>
  <c r="Z841" i="7"/>
  <c r="Z842" i="7"/>
  <c r="Z843" i="7"/>
  <c r="Z844" i="7"/>
  <c r="Z845" i="7"/>
  <c r="Z846" i="7"/>
  <c r="Z847" i="7"/>
  <c r="Z848" i="7"/>
  <c r="Z849" i="7"/>
  <c r="Z850" i="7"/>
  <c r="Z851" i="7"/>
  <c r="Z852" i="7"/>
  <c r="Z853" i="7"/>
  <c r="Z854" i="7"/>
  <c r="Z855" i="7"/>
  <c r="Z856" i="7"/>
  <c r="Z857" i="7"/>
  <c r="Z858" i="7"/>
  <c r="Z859" i="7"/>
  <c r="Z860" i="7"/>
  <c r="Z861" i="7"/>
  <c r="Z862" i="7"/>
  <c r="Z863" i="7"/>
  <c r="Z864" i="7"/>
  <c r="Z865" i="7"/>
  <c r="Z866" i="7"/>
  <c r="Z867" i="7"/>
  <c r="Z868" i="7"/>
  <c r="Z869" i="7"/>
  <c r="Z870" i="7"/>
  <c r="Z871" i="7"/>
  <c r="Z872" i="7"/>
  <c r="Z873" i="7"/>
  <c r="Z874" i="7"/>
  <c r="Z875" i="7"/>
  <c r="Z876" i="7"/>
  <c r="Z877" i="7"/>
  <c r="Z878" i="7"/>
  <c r="Z879" i="7"/>
  <c r="Z880" i="7"/>
  <c r="Z881" i="7"/>
  <c r="Z882" i="7"/>
  <c r="Z883" i="7"/>
  <c r="Z884" i="7"/>
  <c r="Z885" i="7"/>
  <c r="Z886" i="7"/>
  <c r="Z887" i="7"/>
  <c r="Z888" i="7"/>
  <c r="Z889" i="7"/>
  <c r="Z890" i="7"/>
  <c r="Z891" i="7"/>
  <c r="Z892" i="7"/>
  <c r="Z893" i="7"/>
  <c r="Z894" i="7"/>
  <c r="Z895" i="7"/>
  <c r="Z896" i="7"/>
  <c r="Z897" i="7"/>
  <c r="Z898" i="7"/>
  <c r="Z899" i="7"/>
  <c r="Z900" i="7"/>
  <c r="Z901" i="7"/>
  <c r="Z902" i="7"/>
  <c r="Z903" i="7"/>
  <c r="Z904" i="7"/>
  <c r="Z905" i="7"/>
  <c r="Z906" i="7"/>
  <c r="Z907" i="7"/>
  <c r="Z908" i="7"/>
  <c r="Z909" i="7"/>
  <c r="Z910" i="7"/>
  <c r="Z911" i="7"/>
  <c r="Z912" i="7"/>
  <c r="Z913" i="7"/>
  <c r="Z914" i="7"/>
  <c r="Z915" i="7"/>
  <c r="Z916" i="7"/>
  <c r="Z917" i="7"/>
  <c r="Z918" i="7"/>
  <c r="Z919" i="7"/>
  <c r="Z920" i="7"/>
  <c r="Z921" i="7"/>
  <c r="Z922" i="7"/>
  <c r="Z923" i="7"/>
  <c r="Z924" i="7"/>
  <c r="Z925" i="7"/>
  <c r="Z926" i="7"/>
  <c r="Z927" i="7"/>
  <c r="Z928" i="7"/>
  <c r="Z929" i="7"/>
  <c r="Z930" i="7"/>
  <c r="Z931" i="7"/>
  <c r="Z932" i="7"/>
  <c r="Z933" i="7"/>
  <c r="Z934" i="7"/>
  <c r="Z935" i="7"/>
  <c r="Z936" i="7"/>
  <c r="Z937" i="7"/>
  <c r="Z938" i="7"/>
  <c r="Z939" i="7"/>
  <c r="Z940" i="7"/>
  <c r="Z941" i="7"/>
  <c r="Z942" i="7"/>
  <c r="Z943" i="7"/>
  <c r="Z944" i="7"/>
  <c r="Z945" i="7"/>
  <c r="Z946" i="7"/>
  <c r="Z947" i="7"/>
  <c r="Z948" i="7"/>
  <c r="Z949" i="7"/>
  <c r="Z950" i="7"/>
  <c r="Z951" i="7"/>
  <c r="Z952" i="7"/>
  <c r="Z953" i="7"/>
  <c r="Z954" i="7"/>
  <c r="Z955" i="7"/>
  <c r="Z956" i="7"/>
  <c r="Z957" i="7"/>
  <c r="Z958" i="7"/>
  <c r="Z959" i="7"/>
  <c r="Z960" i="7"/>
  <c r="Z961" i="7"/>
  <c r="Z962" i="7"/>
  <c r="Z963" i="7"/>
  <c r="Z964" i="7"/>
  <c r="Z965" i="7"/>
  <c r="Z966" i="7"/>
  <c r="Z967" i="7"/>
  <c r="Z968" i="7"/>
  <c r="Z969" i="7"/>
  <c r="Z970" i="7"/>
  <c r="Z971" i="7"/>
  <c r="Z972" i="7"/>
  <c r="Z973" i="7"/>
  <c r="Z974" i="7"/>
  <c r="Z975" i="7"/>
  <c r="Z976" i="7"/>
  <c r="Z977" i="7"/>
  <c r="Z978" i="7"/>
  <c r="Z979" i="7"/>
  <c r="Z980" i="7"/>
  <c r="Z981" i="7"/>
  <c r="Z982" i="7"/>
  <c r="Z983" i="7"/>
  <c r="Z984" i="7"/>
  <c r="Z985" i="7"/>
  <c r="Z986" i="7"/>
  <c r="Z987" i="7"/>
  <c r="Z988" i="7"/>
  <c r="Z989" i="7"/>
  <c r="Z990" i="7"/>
  <c r="Z991" i="7"/>
  <c r="Z992" i="7"/>
  <c r="Z993" i="7"/>
  <c r="Z994" i="7"/>
  <c r="Z995" i="7"/>
  <c r="Z996" i="7"/>
  <c r="Z997" i="7"/>
  <c r="Z998" i="7"/>
  <c r="Z999" i="7"/>
  <c r="Z1000" i="7"/>
  <c r="Z1001" i="7"/>
  <c r="Z1002" i="7"/>
  <c r="Z1003" i="7"/>
  <c r="Z1004" i="7"/>
  <c r="Z1005" i="7"/>
  <c r="Z1006" i="7"/>
  <c r="Z1007" i="7"/>
  <c r="Z1008" i="7"/>
  <c r="Z1009" i="7"/>
  <c r="Z1010" i="7"/>
  <c r="Z1011" i="7"/>
  <c r="Z1012" i="7"/>
  <c r="Z1013" i="7"/>
  <c r="Z1014" i="7"/>
  <c r="Z1015" i="7"/>
  <c r="Z1016" i="7"/>
  <c r="Z1017" i="7"/>
  <c r="Z1018" i="7"/>
  <c r="Z1019" i="7"/>
  <c r="Z1020" i="7"/>
  <c r="Z1021" i="7"/>
  <c r="Z1022" i="7"/>
  <c r="Z1023" i="7"/>
  <c r="Z1024" i="7"/>
  <c r="Z1025" i="7"/>
  <c r="Z1026" i="7"/>
  <c r="Z1027" i="7"/>
  <c r="Z1028" i="7"/>
  <c r="Z1029" i="7"/>
  <c r="Z1030" i="7"/>
  <c r="Z1031" i="7"/>
  <c r="Z1032" i="7"/>
  <c r="Z1033" i="7"/>
  <c r="Z1034" i="7"/>
  <c r="Z1035" i="7"/>
  <c r="Z1036" i="7"/>
  <c r="Z1037" i="7"/>
  <c r="Z1038" i="7"/>
  <c r="Z1039" i="7"/>
  <c r="Z1040" i="7"/>
  <c r="Z1041" i="7"/>
  <c r="Z1042" i="7"/>
  <c r="Z1043" i="7"/>
  <c r="Z1044" i="7"/>
  <c r="Z1045" i="7"/>
  <c r="Z1046" i="7"/>
  <c r="Z1047" i="7"/>
  <c r="Z1048" i="7"/>
  <c r="Z1049" i="7"/>
  <c r="Z1050" i="7"/>
  <c r="Z1051" i="7"/>
  <c r="Z1052" i="7"/>
  <c r="Z1053" i="7"/>
  <c r="Z1054" i="7"/>
  <c r="Z1055" i="7"/>
  <c r="Z1056" i="7"/>
  <c r="Z1057" i="7"/>
  <c r="Z1058" i="7"/>
  <c r="Z1059" i="7"/>
  <c r="Z1060" i="7"/>
  <c r="Z1061" i="7"/>
  <c r="Z1062" i="7"/>
  <c r="Z1063" i="7"/>
  <c r="Z1064" i="7"/>
  <c r="Z1065" i="7"/>
  <c r="Z1066" i="7"/>
  <c r="Z1067" i="7"/>
  <c r="Z1068" i="7"/>
  <c r="Z1069" i="7"/>
  <c r="Z1070" i="7"/>
  <c r="Z1071" i="7"/>
  <c r="Z1072" i="7"/>
  <c r="Z1073" i="7"/>
  <c r="Z1074" i="7"/>
  <c r="Z1075" i="7"/>
  <c r="Z1076" i="7"/>
  <c r="Z1077" i="7"/>
  <c r="Z1078" i="7"/>
  <c r="Z1079" i="7"/>
  <c r="Z1080" i="7"/>
  <c r="Z1081" i="7"/>
  <c r="Z1082" i="7"/>
  <c r="Z1083" i="7"/>
  <c r="Z1084" i="7"/>
  <c r="Z1085" i="7"/>
  <c r="Z1086" i="7"/>
  <c r="Z1087" i="7"/>
  <c r="Z1088" i="7"/>
  <c r="Z1089" i="7"/>
  <c r="Z1090" i="7"/>
  <c r="Z1091" i="7"/>
  <c r="Z1092" i="7"/>
  <c r="Z1093" i="7"/>
  <c r="Z1094" i="7"/>
  <c r="Z1095" i="7"/>
  <c r="Z1096" i="7"/>
  <c r="Z1097" i="7"/>
  <c r="Z1098" i="7"/>
  <c r="Z1099" i="7"/>
  <c r="Z1100" i="7"/>
  <c r="Z1101" i="7"/>
  <c r="Z1102" i="7"/>
  <c r="Z1103" i="7"/>
  <c r="Z1104" i="7"/>
  <c r="Z1105" i="7"/>
  <c r="Z1106" i="7"/>
  <c r="Z1107" i="7"/>
  <c r="Z1108" i="7"/>
  <c r="Z1109" i="7"/>
  <c r="Z1110" i="7"/>
  <c r="Z1111" i="7"/>
  <c r="Z1112" i="7"/>
  <c r="Z1113" i="7"/>
  <c r="Z1114" i="7"/>
  <c r="Z1115" i="7"/>
  <c r="Z1116" i="7"/>
  <c r="Z1117" i="7"/>
  <c r="Z1118" i="7"/>
  <c r="Z1119" i="7"/>
  <c r="Z1120" i="7"/>
  <c r="Z1121" i="7"/>
  <c r="Z1122" i="7"/>
  <c r="Z1123" i="7"/>
  <c r="Z1124" i="7"/>
  <c r="Z1125" i="7"/>
  <c r="Z1126" i="7"/>
  <c r="Z1127" i="7"/>
  <c r="Z1128" i="7"/>
  <c r="Z1129" i="7"/>
  <c r="Z1130" i="7"/>
  <c r="Z1131" i="7"/>
  <c r="Z1132" i="7"/>
  <c r="Z1133" i="7"/>
  <c r="Z1134" i="7"/>
  <c r="Z1135" i="7"/>
  <c r="Z1136" i="7"/>
  <c r="Z1137" i="7"/>
  <c r="Z1138" i="7"/>
  <c r="Z1139" i="7"/>
  <c r="Z1140" i="7"/>
  <c r="Z1141" i="7"/>
  <c r="Z1142" i="7"/>
  <c r="Z1143" i="7"/>
  <c r="Z1144" i="7"/>
  <c r="Z1145" i="7"/>
  <c r="Z1146" i="7"/>
  <c r="Z1147" i="7"/>
  <c r="Z1148" i="7"/>
  <c r="Z1149" i="7"/>
  <c r="Z1150" i="7"/>
  <c r="Z1151" i="7"/>
  <c r="Z1152" i="7"/>
  <c r="Z1153" i="7"/>
  <c r="Z1154" i="7"/>
  <c r="Z1155" i="7"/>
  <c r="Z1156" i="7"/>
  <c r="Z1157" i="7"/>
  <c r="Z1158" i="7"/>
  <c r="Z1159" i="7"/>
  <c r="Z1160" i="7"/>
  <c r="Z1161" i="7"/>
  <c r="Z1162" i="7"/>
  <c r="Z1163" i="7"/>
  <c r="Z1164" i="7"/>
  <c r="Z1165" i="7"/>
  <c r="Z1166" i="7"/>
  <c r="Z1167" i="7"/>
  <c r="Z1168" i="7"/>
  <c r="Z1169" i="7"/>
  <c r="Z1170" i="7"/>
  <c r="Z1171" i="7"/>
  <c r="Z1172" i="7"/>
  <c r="Z1173" i="7"/>
  <c r="Z1174" i="7"/>
  <c r="Z1175" i="7"/>
  <c r="Z1176" i="7"/>
  <c r="Z1177" i="7"/>
  <c r="Z1178" i="7"/>
  <c r="Z1179" i="7"/>
  <c r="Z1180" i="7"/>
  <c r="Z1181" i="7"/>
  <c r="Z1182" i="7"/>
  <c r="Z1183" i="7"/>
  <c r="Z1184" i="7"/>
  <c r="Z1185" i="7"/>
  <c r="Z1186" i="7"/>
  <c r="Z1187" i="7"/>
  <c r="Z1188" i="7"/>
  <c r="Z1189" i="7"/>
  <c r="Z1190" i="7"/>
  <c r="Z1191" i="7"/>
  <c r="Z1192" i="7"/>
  <c r="Z1193" i="7"/>
  <c r="Z1194" i="7"/>
  <c r="Z1195" i="7"/>
  <c r="Z1196" i="7"/>
  <c r="Z1197" i="7"/>
  <c r="Z1198" i="7"/>
  <c r="Z1199" i="7"/>
  <c r="Z1200" i="7"/>
  <c r="Z1201" i="7"/>
  <c r="Z1202" i="7"/>
  <c r="Z1203" i="7"/>
  <c r="Z1204" i="7"/>
  <c r="Z1205" i="7"/>
  <c r="Z1206" i="7"/>
  <c r="Z1207" i="7"/>
  <c r="Z1208" i="7"/>
  <c r="Z1209" i="7"/>
  <c r="Z1210" i="7"/>
  <c r="Z1211" i="7"/>
  <c r="Z1212" i="7"/>
  <c r="Z1213" i="7"/>
  <c r="Z1214" i="7"/>
  <c r="Z1215" i="7"/>
  <c r="Z1216" i="7"/>
  <c r="Z1217" i="7"/>
  <c r="Z1218" i="7"/>
  <c r="Z1219" i="7"/>
  <c r="Z1220" i="7"/>
  <c r="Z1221" i="7"/>
  <c r="Z1222" i="7"/>
  <c r="Z1223" i="7"/>
  <c r="Z1224" i="7"/>
  <c r="Z1225" i="7"/>
  <c r="Z1226" i="7"/>
  <c r="Z1227" i="7"/>
  <c r="Z1228" i="7"/>
  <c r="Z1229" i="7"/>
  <c r="Z1230" i="7"/>
  <c r="Z1231" i="7"/>
  <c r="Z1232" i="7"/>
  <c r="Z1233" i="7"/>
  <c r="Z1234" i="7"/>
  <c r="Z1235" i="7"/>
  <c r="Z1236" i="7"/>
  <c r="Z1237" i="7"/>
  <c r="Z1238" i="7"/>
  <c r="Z1239" i="7"/>
  <c r="Z1240" i="7"/>
  <c r="Z1241" i="7"/>
  <c r="Z1242" i="7"/>
  <c r="Z1243" i="7"/>
  <c r="Z1244" i="7"/>
  <c r="Z1245" i="7"/>
  <c r="Z1246" i="7"/>
  <c r="Z1247" i="7"/>
  <c r="Z1248" i="7"/>
  <c r="Z1249" i="7"/>
  <c r="Z1250" i="7"/>
  <c r="Z1251" i="7"/>
  <c r="Z1252" i="7"/>
  <c r="Z1253" i="7"/>
  <c r="Z1254" i="7"/>
  <c r="Z1255" i="7"/>
  <c r="Z1256" i="7"/>
  <c r="Z1257" i="7"/>
  <c r="Z1258" i="7"/>
  <c r="Z1259" i="7"/>
  <c r="Z1260" i="7"/>
  <c r="Z1261" i="7"/>
  <c r="Z1262" i="7"/>
  <c r="Z1263" i="7"/>
  <c r="Z1264" i="7"/>
  <c r="Z1265" i="7"/>
  <c r="Z1266" i="7"/>
  <c r="Z1267" i="7"/>
  <c r="Z1268" i="7"/>
  <c r="Z1269" i="7"/>
  <c r="Z1270" i="7"/>
  <c r="Z1271" i="7"/>
  <c r="Z1272" i="7"/>
  <c r="Z1273" i="7"/>
  <c r="Z1274" i="7"/>
  <c r="Z1275" i="7"/>
  <c r="Z1276" i="7"/>
  <c r="Z1277" i="7"/>
  <c r="Z1278" i="7"/>
  <c r="Z1279" i="7"/>
  <c r="Z1280" i="7"/>
  <c r="Z1281" i="7"/>
  <c r="Z1282" i="7"/>
  <c r="Z1283" i="7"/>
  <c r="Z1284" i="7"/>
  <c r="Z1285" i="7"/>
  <c r="Z1286" i="7"/>
  <c r="Z1287" i="7"/>
  <c r="Z1288" i="7"/>
  <c r="Z1289" i="7"/>
  <c r="Z1290" i="7"/>
  <c r="Z1291" i="7"/>
  <c r="Z1292" i="7"/>
  <c r="Z1293" i="7"/>
  <c r="Z1294" i="7"/>
  <c r="Z1295" i="7"/>
  <c r="Z1296" i="7"/>
  <c r="Z1297" i="7"/>
  <c r="Z1298" i="7"/>
  <c r="Z1299" i="7"/>
  <c r="Z1300" i="7"/>
  <c r="Z1301" i="7"/>
  <c r="Z1302" i="7"/>
  <c r="Z1303" i="7"/>
  <c r="Z1304" i="7"/>
  <c r="Z1305" i="7"/>
  <c r="Z1306" i="7"/>
  <c r="Z1307" i="7"/>
  <c r="Z1308" i="7"/>
  <c r="Z1309" i="7"/>
  <c r="Z1310" i="7"/>
  <c r="Z1311" i="7"/>
  <c r="Z1312" i="7"/>
  <c r="Z1313" i="7"/>
  <c r="Z1314" i="7"/>
  <c r="Z1315" i="7"/>
  <c r="Z1316" i="7"/>
  <c r="Z1317" i="7"/>
  <c r="Z1318" i="7"/>
  <c r="Z1319" i="7"/>
  <c r="Z1320" i="7"/>
  <c r="Z1321" i="7"/>
  <c r="Z1322" i="7"/>
  <c r="Z1323" i="7"/>
  <c r="Z1324" i="7"/>
  <c r="Z1325" i="7"/>
  <c r="Z1326" i="7"/>
  <c r="Z1327" i="7"/>
  <c r="Z1328" i="7"/>
  <c r="Z1329" i="7"/>
  <c r="Z1330" i="7"/>
  <c r="Z1331" i="7"/>
  <c r="Z1332" i="7"/>
  <c r="Z1333" i="7"/>
  <c r="Z1334" i="7"/>
  <c r="Z1335" i="7"/>
  <c r="Z1336" i="7"/>
  <c r="Z1337" i="7"/>
  <c r="Z1338" i="7"/>
  <c r="Z1339" i="7"/>
  <c r="Z1340" i="7"/>
  <c r="Z1341" i="7"/>
  <c r="Z1342" i="7"/>
  <c r="Z1343" i="7"/>
  <c r="Z1344" i="7"/>
  <c r="Z1345" i="7"/>
  <c r="Z1346" i="7"/>
  <c r="Z1347" i="7"/>
  <c r="Z1348" i="7"/>
  <c r="Z1349" i="7"/>
  <c r="Z1350" i="7"/>
  <c r="Z1351" i="7"/>
  <c r="Z1352" i="7"/>
  <c r="Z1353" i="7"/>
  <c r="Z1354" i="7"/>
  <c r="Z1355" i="7"/>
  <c r="Z1356" i="7"/>
  <c r="Z1357" i="7"/>
  <c r="Z1358" i="7"/>
  <c r="Z1359" i="7"/>
  <c r="Z1360" i="7"/>
  <c r="Z1361" i="7"/>
  <c r="Z1362" i="7"/>
  <c r="Z1363" i="7"/>
  <c r="Z1364" i="7"/>
  <c r="Z1365" i="7"/>
  <c r="Z1366" i="7"/>
  <c r="Z1367" i="7"/>
  <c r="Z1368" i="7"/>
  <c r="Z1369" i="7"/>
  <c r="Z1370" i="7"/>
  <c r="Z1371" i="7"/>
  <c r="Z1372" i="7"/>
  <c r="Z1373" i="7"/>
  <c r="Z1374" i="7"/>
  <c r="Z1375" i="7"/>
  <c r="Z1376" i="7"/>
  <c r="Z1377" i="7"/>
  <c r="Z1378" i="7"/>
  <c r="Z1379" i="7"/>
  <c r="Z1380" i="7"/>
  <c r="Z1381" i="7"/>
  <c r="Z1382" i="7"/>
  <c r="Z1383" i="7"/>
  <c r="Z1384" i="7"/>
  <c r="Z1385" i="7"/>
  <c r="Z1386" i="7"/>
  <c r="Z1387" i="7"/>
  <c r="Z1388" i="7"/>
  <c r="Z1389" i="7"/>
  <c r="Y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4"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Y503" i="7"/>
  <c r="Y504" i="7"/>
  <c r="Y505" i="7"/>
  <c r="Y506" i="7"/>
  <c r="Y507" i="7"/>
  <c r="Y508" i="7"/>
  <c r="Y509" i="7"/>
  <c r="Y510" i="7"/>
  <c r="Y511" i="7"/>
  <c r="Y512" i="7"/>
  <c r="Y513" i="7"/>
  <c r="Y514" i="7"/>
  <c r="Y515" i="7"/>
  <c r="Y516" i="7"/>
  <c r="Y517" i="7"/>
  <c r="Y518" i="7"/>
  <c r="Y519" i="7"/>
  <c r="Y520" i="7"/>
  <c r="Y521" i="7"/>
  <c r="Y522" i="7"/>
  <c r="Y523" i="7"/>
  <c r="Y524" i="7"/>
  <c r="Y525" i="7"/>
  <c r="Y526" i="7"/>
  <c r="Y527" i="7"/>
  <c r="Y528" i="7"/>
  <c r="Y529" i="7"/>
  <c r="Y530" i="7"/>
  <c r="Y531" i="7"/>
  <c r="Y532" i="7"/>
  <c r="Y533" i="7"/>
  <c r="Y534" i="7"/>
  <c r="Y535" i="7"/>
  <c r="Y536" i="7"/>
  <c r="Y537" i="7"/>
  <c r="Y538" i="7"/>
  <c r="Y539" i="7"/>
  <c r="Y540" i="7"/>
  <c r="Y541" i="7"/>
  <c r="Y542" i="7"/>
  <c r="Y543" i="7"/>
  <c r="Y544" i="7"/>
  <c r="Y545" i="7"/>
  <c r="Y546" i="7"/>
  <c r="Y547" i="7"/>
  <c r="Y548" i="7"/>
  <c r="Y549" i="7"/>
  <c r="Y550" i="7"/>
  <c r="Y551" i="7"/>
  <c r="Y552" i="7"/>
  <c r="Y553" i="7"/>
  <c r="Y554" i="7"/>
  <c r="Y555" i="7"/>
  <c r="Y556" i="7"/>
  <c r="Y557" i="7"/>
  <c r="Y558" i="7"/>
  <c r="Y559" i="7"/>
  <c r="Y560" i="7"/>
  <c r="Y561" i="7"/>
  <c r="Y562" i="7"/>
  <c r="Y563" i="7"/>
  <c r="Y564" i="7"/>
  <c r="Y565" i="7"/>
  <c r="Y566" i="7"/>
  <c r="Y567" i="7"/>
  <c r="Y568" i="7"/>
  <c r="Y569" i="7"/>
  <c r="Y570" i="7"/>
  <c r="Y571" i="7"/>
  <c r="Y572" i="7"/>
  <c r="Y573" i="7"/>
  <c r="Y574" i="7"/>
  <c r="Y575" i="7"/>
  <c r="Y576" i="7"/>
  <c r="Y577" i="7"/>
  <c r="Y578" i="7"/>
  <c r="Y579" i="7"/>
  <c r="Y580" i="7"/>
  <c r="Y581" i="7"/>
  <c r="Y582" i="7"/>
  <c r="Y583" i="7"/>
  <c r="Y584" i="7"/>
  <c r="Y585" i="7"/>
  <c r="Y586" i="7"/>
  <c r="Y587" i="7"/>
  <c r="Y588" i="7"/>
  <c r="Y589" i="7"/>
  <c r="Y590" i="7"/>
  <c r="Y591" i="7"/>
  <c r="Y592" i="7"/>
  <c r="Y593" i="7"/>
  <c r="Y594" i="7"/>
  <c r="Y595" i="7"/>
  <c r="Y596" i="7"/>
  <c r="Y597" i="7"/>
  <c r="Y598" i="7"/>
  <c r="Y599" i="7"/>
  <c r="Y600" i="7"/>
  <c r="Y601" i="7"/>
  <c r="Y602" i="7"/>
  <c r="Y603" i="7"/>
  <c r="Y604" i="7"/>
  <c r="Y605" i="7"/>
  <c r="Y606" i="7"/>
  <c r="Y607" i="7"/>
  <c r="Y608" i="7"/>
  <c r="Y609" i="7"/>
  <c r="Y610" i="7"/>
  <c r="Y611" i="7"/>
  <c r="Y612" i="7"/>
  <c r="Y613" i="7"/>
  <c r="Y614" i="7"/>
  <c r="Y615" i="7"/>
  <c r="Y616" i="7"/>
  <c r="Y617" i="7"/>
  <c r="Y618" i="7"/>
  <c r="Y619" i="7"/>
  <c r="Y620" i="7"/>
  <c r="Y621" i="7"/>
  <c r="Y622" i="7"/>
  <c r="Y623" i="7"/>
  <c r="Y624" i="7"/>
  <c r="Y625" i="7"/>
  <c r="Y626" i="7"/>
  <c r="Y627" i="7"/>
  <c r="Y628" i="7"/>
  <c r="Y629" i="7"/>
  <c r="Y630" i="7"/>
  <c r="Y631" i="7"/>
  <c r="Y632" i="7"/>
  <c r="Y633" i="7"/>
  <c r="Y634" i="7"/>
  <c r="Y635" i="7"/>
  <c r="Y636" i="7"/>
  <c r="Y637" i="7"/>
  <c r="Y638" i="7"/>
  <c r="Y639" i="7"/>
  <c r="Y640" i="7"/>
  <c r="Y641" i="7"/>
  <c r="Y642" i="7"/>
  <c r="Y643" i="7"/>
  <c r="Y644" i="7"/>
  <c r="Y645" i="7"/>
  <c r="Y646" i="7"/>
  <c r="Y647" i="7"/>
  <c r="Y648" i="7"/>
  <c r="Y649" i="7"/>
  <c r="Y650" i="7"/>
  <c r="Y651" i="7"/>
  <c r="Y652" i="7"/>
  <c r="Y653" i="7"/>
  <c r="Y654" i="7"/>
  <c r="Y655" i="7"/>
  <c r="Y656" i="7"/>
  <c r="Y657" i="7"/>
  <c r="Y658" i="7"/>
  <c r="Y659" i="7"/>
  <c r="Y660" i="7"/>
  <c r="Y661" i="7"/>
  <c r="Y662" i="7"/>
  <c r="Y663" i="7"/>
  <c r="Y664" i="7"/>
  <c r="Y665" i="7"/>
  <c r="Y666" i="7"/>
  <c r="Y667" i="7"/>
  <c r="Y668" i="7"/>
  <c r="Y669" i="7"/>
  <c r="Y670" i="7"/>
  <c r="Y671" i="7"/>
  <c r="Y672" i="7"/>
  <c r="Y673" i="7"/>
  <c r="Y674" i="7"/>
  <c r="Y675" i="7"/>
  <c r="Y676" i="7"/>
  <c r="Y677" i="7"/>
  <c r="Y678" i="7"/>
  <c r="Y679" i="7"/>
  <c r="Y680" i="7"/>
  <c r="Y681" i="7"/>
  <c r="Y682" i="7"/>
  <c r="Y683" i="7"/>
  <c r="Y684" i="7"/>
  <c r="Y685" i="7"/>
  <c r="Y686" i="7"/>
  <c r="Y687" i="7"/>
  <c r="Y688" i="7"/>
  <c r="Y689" i="7"/>
  <c r="Y690" i="7"/>
  <c r="Y691" i="7"/>
  <c r="Y692" i="7"/>
  <c r="Y693" i="7"/>
  <c r="Y694" i="7"/>
  <c r="Y695" i="7"/>
  <c r="Y696" i="7"/>
  <c r="Y697" i="7"/>
  <c r="Y698" i="7"/>
  <c r="Y699" i="7"/>
  <c r="Y700" i="7"/>
  <c r="Y701" i="7"/>
  <c r="Y702" i="7"/>
  <c r="Y703" i="7"/>
  <c r="Y704" i="7"/>
  <c r="Y705" i="7"/>
  <c r="Y706" i="7"/>
  <c r="Y707" i="7"/>
  <c r="Y708" i="7"/>
  <c r="Y709" i="7"/>
  <c r="Y710" i="7"/>
  <c r="Y711" i="7"/>
  <c r="Y712" i="7"/>
  <c r="Y713" i="7"/>
  <c r="Y714" i="7"/>
  <c r="Y715" i="7"/>
  <c r="Y716" i="7"/>
  <c r="Y717" i="7"/>
  <c r="Y718" i="7"/>
  <c r="Y719" i="7"/>
  <c r="Y720" i="7"/>
  <c r="Y721" i="7"/>
  <c r="Y722" i="7"/>
  <c r="Y723" i="7"/>
  <c r="Y724" i="7"/>
  <c r="Y725" i="7"/>
  <c r="Y726" i="7"/>
  <c r="Y727" i="7"/>
  <c r="Y728" i="7"/>
  <c r="Y729" i="7"/>
  <c r="Y730" i="7"/>
  <c r="Y731" i="7"/>
  <c r="Y732" i="7"/>
  <c r="Y733" i="7"/>
  <c r="Y734" i="7"/>
  <c r="Y735" i="7"/>
  <c r="Y736" i="7"/>
  <c r="Y737" i="7"/>
  <c r="Y738" i="7"/>
  <c r="Y739" i="7"/>
  <c r="Y740" i="7"/>
  <c r="Y741" i="7"/>
  <c r="Y742" i="7"/>
  <c r="Y743" i="7"/>
  <c r="Y744" i="7"/>
  <c r="Y745" i="7"/>
  <c r="Y746" i="7"/>
  <c r="Y747" i="7"/>
  <c r="Y748" i="7"/>
  <c r="Y749" i="7"/>
  <c r="Y750" i="7"/>
  <c r="Y751" i="7"/>
  <c r="Y752" i="7"/>
  <c r="Y753" i="7"/>
  <c r="Y754" i="7"/>
  <c r="Y755" i="7"/>
  <c r="Y756" i="7"/>
  <c r="Y757" i="7"/>
  <c r="Y758" i="7"/>
  <c r="Y759" i="7"/>
  <c r="Y760" i="7"/>
  <c r="Y761" i="7"/>
  <c r="Y762" i="7"/>
  <c r="Y763" i="7"/>
  <c r="Y764" i="7"/>
  <c r="Y765" i="7"/>
  <c r="Y766" i="7"/>
  <c r="Y767" i="7"/>
  <c r="Y768" i="7"/>
  <c r="Y769" i="7"/>
  <c r="Y770" i="7"/>
  <c r="Y771" i="7"/>
  <c r="Y772" i="7"/>
  <c r="Y773" i="7"/>
  <c r="Y774" i="7"/>
  <c r="Y775" i="7"/>
  <c r="Y776" i="7"/>
  <c r="Y777" i="7"/>
  <c r="Y778" i="7"/>
  <c r="Y779" i="7"/>
  <c r="Y780" i="7"/>
  <c r="Y781" i="7"/>
  <c r="Y782" i="7"/>
  <c r="Y783" i="7"/>
  <c r="Y784" i="7"/>
  <c r="Y785" i="7"/>
  <c r="Y786" i="7"/>
  <c r="Y787" i="7"/>
  <c r="Y788" i="7"/>
  <c r="Y789" i="7"/>
  <c r="Y790" i="7"/>
  <c r="Y791" i="7"/>
  <c r="Y792" i="7"/>
  <c r="Y793" i="7"/>
  <c r="Y794" i="7"/>
  <c r="Y795" i="7"/>
  <c r="Y796" i="7"/>
  <c r="Y797" i="7"/>
  <c r="Y798" i="7"/>
  <c r="Y799" i="7"/>
  <c r="Y800" i="7"/>
  <c r="Y801" i="7"/>
  <c r="Y802" i="7"/>
  <c r="Y803" i="7"/>
  <c r="Y804" i="7"/>
  <c r="Y805" i="7"/>
  <c r="Y806" i="7"/>
  <c r="Y807" i="7"/>
  <c r="Y808" i="7"/>
  <c r="Y809" i="7"/>
  <c r="Y810" i="7"/>
  <c r="Y811" i="7"/>
  <c r="Y812" i="7"/>
  <c r="Y813" i="7"/>
  <c r="Y814" i="7"/>
  <c r="Y815" i="7"/>
  <c r="Y816" i="7"/>
  <c r="Y817" i="7"/>
  <c r="Y818" i="7"/>
  <c r="Y819" i="7"/>
  <c r="Y820" i="7"/>
  <c r="Y821" i="7"/>
  <c r="Y822" i="7"/>
  <c r="Y823" i="7"/>
  <c r="Y824" i="7"/>
  <c r="Y825" i="7"/>
  <c r="Y826" i="7"/>
  <c r="Y827" i="7"/>
  <c r="Y828" i="7"/>
  <c r="Y829" i="7"/>
  <c r="Y830" i="7"/>
  <c r="Y831" i="7"/>
  <c r="Y832" i="7"/>
  <c r="Y833" i="7"/>
  <c r="Y834" i="7"/>
  <c r="Y835" i="7"/>
  <c r="Y836" i="7"/>
  <c r="Y837" i="7"/>
  <c r="Y838" i="7"/>
  <c r="Y839" i="7"/>
  <c r="Y840" i="7"/>
  <c r="Y841" i="7"/>
  <c r="Y842" i="7"/>
  <c r="Y843" i="7"/>
  <c r="Y844" i="7"/>
  <c r="Y845" i="7"/>
  <c r="Y846" i="7"/>
  <c r="Y847" i="7"/>
  <c r="Y848" i="7"/>
  <c r="Y849" i="7"/>
  <c r="Y850" i="7"/>
  <c r="Y851" i="7"/>
  <c r="Y852" i="7"/>
  <c r="Y853" i="7"/>
  <c r="Y854" i="7"/>
  <c r="Y855" i="7"/>
  <c r="Y856" i="7"/>
  <c r="Y857" i="7"/>
  <c r="Y858" i="7"/>
  <c r="Y859" i="7"/>
  <c r="Y860" i="7"/>
  <c r="Y861" i="7"/>
  <c r="Y862" i="7"/>
  <c r="Y863" i="7"/>
  <c r="Y864" i="7"/>
  <c r="Y865" i="7"/>
  <c r="Y866" i="7"/>
  <c r="Y867" i="7"/>
  <c r="Y868" i="7"/>
  <c r="Y869" i="7"/>
  <c r="Y870" i="7"/>
  <c r="Y871" i="7"/>
  <c r="Y872" i="7"/>
  <c r="Y873" i="7"/>
  <c r="Y874" i="7"/>
  <c r="Y875" i="7"/>
  <c r="Y876" i="7"/>
  <c r="Y877" i="7"/>
  <c r="Y878" i="7"/>
  <c r="Y879" i="7"/>
  <c r="Y880" i="7"/>
  <c r="Y881" i="7"/>
  <c r="Y882" i="7"/>
  <c r="Y883" i="7"/>
  <c r="Y884" i="7"/>
  <c r="Y885" i="7"/>
  <c r="Y886" i="7"/>
  <c r="Y887" i="7"/>
  <c r="Y888" i="7"/>
  <c r="Y889" i="7"/>
  <c r="Y890" i="7"/>
  <c r="Y891" i="7"/>
  <c r="Y892" i="7"/>
  <c r="Y893" i="7"/>
  <c r="Y894" i="7"/>
  <c r="Y895" i="7"/>
  <c r="Y896" i="7"/>
  <c r="Y897" i="7"/>
  <c r="Y898" i="7"/>
  <c r="Y899" i="7"/>
  <c r="Y900" i="7"/>
  <c r="Y901" i="7"/>
  <c r="Y902" i="7"/>
  <c r="Y903" i="7"/>
  <c r="Y904" i="7"/>
  <c r="Y905" i="7"/>
  <c r="Y906" i="7"/>
  <c r="Y907" i="7"/>
  <c r="Y908" i="7"/>
  <c r="Y909" i="7"/>
  <c r="Y910" i="7"/>
  <c r="Y911" i="7"/>
  <c r="Y912" i="7"/>
  <c r="Y913" i="7"/>
  <c r="Y914" i="7"/>
  <c r="Y915" i="7"/>
  <c r="Y916" i="7"/>
  <c r="Y917" i="7"/>
  <c r="Y918" i="7"/>
  <c r="Y919" i="7"/>
  <c r="Y920" i="7"/>
  <c r="Y921" i="7"/>
  <c r="Y922" i="7"/>
  <c r="Y923" i="7"/>
  <c r="Y924" i="7"/>
  <c r="Y925" i="7"/>
  <c r="Y926" i="7"/>
  <c r="Y927" i="7"/>
  <c r="Y928" i="7"/>
  <c r="Y929" i="7"/>
  <c r="Y930" i="7"/>
  <c r="Y931" i="7"/>
  <c r="Y932" i="7"/>
  <c r="Y933" i="7"/>
  <c r="Y934" i="7"/>
  <c r="Y935" i="7"/>
  <c r="Y936" i="7"/>
  <c r="Y937" i="7"/>
  <c r="Y938" i="7"/>
  <c r="Y939" i="7"/>
  <c r="Y940" i="7"/>
  <c r="Y941" i="7"/>
  <c r="Y942" i="7"/>
  <c r="Y943" i="7"/>
  <c r="Y944" i="7"/>
  <c r="Y945" i="7"/>
  <c r="Y946" i="7"/>
  <c r="Y947" i="7"/>
  <c r="Y948" i="7"/>
  <c r="Y949" i="7"/>
  <c r="Y950" i="7"/>
  <c r="Y951" i="7"/>
  <c r="Y952" i="7"/>
  <c r="Y953" i="7"/>
  <c r="Y954" i="7"/>
  <c r="Y955" i="7"/>
  <c r="Y956" i="7"/>
  <c r="Y957" i="7"/>
  <c r="Y958" i="7"/>
  <c r="Y959" i="7"/>
  <c r="Y960" i="7"/>
  <c r="Y961" i="7"/>
  <c r="Y962" i="7"/>
  <c r="Y963" i="7"/>
  <c r="Y964" i="7"/>
  <c r="Y965" i="7"/>
  <c r="Y966" i="7"/>
  <c r="Y967" i="7"/>
  <c r="Y968" i="7"/>
  <c r="Y969" i="7"/>
  <c r="Y970" i="7"/>
  <c r="Y971" i="7"/>
  <c r="Y972" i="7"/>
  <c r="Y973" i="7"/>
  <c r="Y974" i="7"/>
  <c r="Y975" i="7"/>
  <c r="Y976" i="7"/>
  <c r="Y977" i="7"/>
  <c r="Y978" i="7"/>
  <c r="Y979" i="7"/>
  <c r="Y980" i="7"/>
  <c r="Y981" i="7"/>
  <c r="Y982" i="7"/>
  <c r="Y983" i="7"/>
  <c r="Y984" i="7"/>
  <c r="Y985" i="7"/>
  <c r="Y986" i="7"/>
  <c r="Y987" i="7"/>
  <c r="Y988" i="7"/>
  <c r="Y989" i="7"/>
  <c r="Y990" i="7"/>
  <c r="Y991" i="7"/>
  <c r="Y992" i="7"/>
  <c r="Y993" i="7"/>
  <c r="Y994" i="7"/>
  <c r="Y995" i="7"/>
  <c r="Y996" i="7"/>
  <c r="Y997" i="7"/>
  <c r="Y998" i="7"/>
  <c r="Y999" i="7"/>
  <c r="Y1000" i="7"/>
  <c r="Y1001" i="7"/>
  <c r="Y1002" i="7"/>
  <c r="Y1003" i="7"/>
  <c r="Y1004" i="7"/>
  <c r="Y1005" i="7"/>
  <c r="Y1006" i="7"/>
  <c r="Y1007" i="7"/>
  <c r="Y1008" i="7"/>
  <c r="Y1009" i="7"/>
  <c r="Y1010" i="7"/>
  <c r="Y1011" i="7"/>
  <c r="Y1012" i="7"/>
  <c r="Y1013" i="7"/>
  <c r="Y1014" i="7"/>
  <c r="Y1015" i="7"/>
  <c r="Y1016" i="7"/>
  <c r="Y1017" i="7"/>
  <c r="Y1018" i="7"/>
  <c r="Y1019" i="7"/>
  <c r="Y1020" i="7"/>
  <c r="Y1021" i="7"/>
  <c r="Y1022" i="7"/>
  <c r="Y1023" i="7"/>
  <c r="Y1024" i="7"/>
  <c r="Y1025" i="7"/>
  <c r="Y1026" i="7"/>
  <c r="Y1027" i="7"/>
  <c r="Y1028" i="7"/>
  <c r="Y1029" i="7"/>
  <c r="Y1030" i="7"/>
  <c r="Y1031" i="7"/>
  <c r="Y1032" i="7"/>
  <c r="Y1033" i="7"/>
  <c r="Y1034" i="7"/>
  <c r="Y1035" i="7"/>
  <c r="Y1036" i="7"/>
  <c r="Y1037" i="7"/>
  <c r="Y1038" i="7"/>
  <c r="Y1039" i="7"/>
  <c r="Y1040" i="7"/>
  <c r="Y1041" i="7"/>
  <c r="Y1042" i="7"/>
  <c r="Y1043" i="7"/>
  <c r="Y1044" i="7"/>
  <c r="Y1045" i="7"/>
  <c r="Y1046" i="7"/>
  <c r="Y1047" i="7"/>
  <c r="Y1048" i="7"/>
  <c r="Y1049" i="7"/>
  <c r="Y1050" i="7"/>
  <c r="Y1051" i="7"/>
  <c r="Y1052" i="7"/>
  <c r="Y1053" i="7"/>
  <c r="Y1054" i="7"/>
  <c r="Y1055" i="7"/>
  <c r="Y1056" i="7"/>
  <c r="Y1057" i="7"/>
  <c r="Y1058" i="7"/>
  <c r="Y1059" i="7"/>
  <c r="Y1060" i="7"/>
  <c r="Y1061" i="7"/>
  <c r="Y1062" i="7"/>
  <c r="Y1063" i="7"/>
  <c r="Y1064" i="7"/>
  <c r="Y1065" i="7"/>
  <c r="Y1066" i="7"/>
  <c r="Y1067" i="7"/>
  <c r="Y1068" i="7"/>
  <c r="Y1069" i="7"/>
  <c r="Y1070" i="7"/>
  <c r="Y1071" i="7"/>
  <c r="Y1072" i="7"/>
  <c r="Y1073" i="7"/>
  <c r="Y1074" i="7"/>
  <c r="Y1075" i="7"/>
  <c r="Y1076" i="7"/>
  <c r="Y1077" i="7"/>
  <c r="Y1078" i="7"/>
  <c r="Y1079" i="7"/>
  <c r="Y1080" i="7"/>
  <c r="Y1081" i="7"/>
  <c r="Y1082" i="7"/>
  <c r="Y1083" i="7"/>
  <c r="Y1084" i="7"/>
  <c r="Y1085" i="7"/>
  <c r="Y1086" i="7"/>
  <c r="Y1087" i="7"/>
  <c r="Y1088" i="7"/>
  <c r="Y1089" i="7"/>
  <c r="Y1090" i="7"/>
  <c r="Y1091" i="7"/>
  <c r="Y1092" i="7"/>
  <c r="Y1093" i="7"/>
  <c r="Y1094" i="7"/>
  <c r="Y1095" i="7"/>
  <c r="Y1096" i="7"/>
  <c r="Y1097" i="7"/>
  <c r="Y1098" i="7"/>
  <c r="Y1099" i="7"/>
  <c r="Y1100" i="7"/>
  <c r="Y1101" i="7"/>
  <c r="Y1102" i="7"/>
  <c r="Y1103" i="7"/>
  <c r="Y1104" i="7"/>
  <c r="Y1105" i="7"/>
  <c r="Y1106" i="7"/>
  <c r="Y1107" i="7"/>
  <c r="Y1108" i="7"/>
  <c r="Y1109" i="7"/>
  <c r="Y1110" i="7"/>
  <c r="Y1111" i="7"/>
  <c r="Y1112" i="7"/>
  <c r="Y1113" i="7"/>
  <c r="Y1114" i="7"/>
  <c r="Y1115" i="7"/>
  <c r="Y1116" i="7"/>
  <c r="Y1117" i="7"/>
  <c r="Y1118" i="7"/>
  <c r="Y1119" i="7"/>
  <c r="Y1120" i="7"/>
  <c r="Y1121" i="7"/>
  <c r="Y1122" i="7"/>
  <c r="Y1123" i="7"/>
  <c r="Y1124" i="7"/>
  <c r="Y1125" i="7"/>
  <c r="Y1126" i="7"/>
  <c r="Y1127" i="7"/>
  <c r="Y1128" i="7"/>
  <c r="Y1129" i="7"/>
  <c r="Y1130" i="7"/>
  <c r="Y1131" i="7"/>
  <c r="Y1132" i="7"/>
  <c r="Y1133" i="7"/>
  <c r="Y1134" i="7"/>
  <c r="Y1135" i="7"/>
  <c r="Y1136" i="7"/>
  <c r="Y1137" i="7"/>
  <c r="Y1138" i="7"/>
  <c r="Y1139" i="7"/>
  <c r="Y1140" i="7"/>
  <c r="Y1141" i="7"/>
  <c r="Y1142" i="7"/>
  <c r="Y1143" i="7"/>
  <c r="Y1144" i="7"/>
  <c r="Y1145" i="7"/>
  <c r="Y1146" i="7"/>
  <c r="Y1147" i="7"/>
  <c r="Y1148" i="7"/>
  <c r="Y1149" i="7"/>
  <c r="Y1150" i="7"/>
  <c r="Y1151" i="7"/>
  <c r="Y1152" i="7"/>
  <c r="Y1153" i="7"/>
  <c r="Y1154" i="7"/>
  <c r="Y1155" i="7"/>
  <c r="Y1156" i="7"/>
  <c r="Y1157" i="7"/>
  <c r="Y1158" i="7"/>
  <c r="Y1159" i="7"/>
  <c r="Y1160" i="7"/>
  <c r="Y1161" i="7"/>
  <c r="Y1162" i="7"/>
  <c r="Y1163" i="7"/>
  <c r="Y1164" i="7"/>
  <c r="Y1165" i="7"/>
  <c r="Y1166" i="7"/>
  <c r="Y1167" i="7"/>
  <c r="Y1168" i="7"/>
  <c r="Y1169" i="7"/>
  <c r="Y1170" i="7"/>
  <c r="Y1171" i="7"/>
  <c r="Y1172" i="7"/>
  <c r="Y1173" i="7"/>
  <c r="Y1174" i="7"/>
  <c r="Y1175" i="7"/>
  <c r="Y1176" i="7"/>
  <c r="Y1177" i="7"/>
  <c r="Y1178" i="7"/>
  <c r="Y1179" i="7"/>
  <c r="Y1180" i="7"/>
  <c r="Y1181" i="7"/>
  <c r="Y1182" i="7"/>
  <c r="Y1183" i="7"/>
  <c r="Y1184" i="7"/>
  <c r="Y1185" i="7"/>
  <c r="Y1186" i="7"/>
  <c r="Y1187" i="7"/>
  <c r="Y1188" i="7"/>
  <c r="Y1189" i="7"/>
  <c r="Y1190" i="7"/>
  <c r="Y1191" i="7"/>
  <c r="Y1192" i="7"/>
  <c r="Y1193" i="7"/>
  <c r="Y1194" i="7"/>
  <c r="Y1195" i="7"/>
  <c r="Y1196" i="7"/>
  <c r="Y1197" i="7"/>
  <c r="Y1198" i="7"/>
  <c r="Y1199" i="7"/>
  <c r="Y1200" i="7"/>
  <c r="Y1201" i="7"/>
  <c r="Y1202" i="7"/>
  <c r="Y1203" i="7"/>
  <c r="Y1204" i="7"/>
  <c r="Y1205" i="7"/>
  <c r="Y1206" i="7"/>
  <c r="Y1207" i="7"/>
  <c r="Y1208" i="7"/>
  <c r="Y1209" i="7"/>
  <c r="Y1210" i="7"/>
  <c r="Y1211" i="7"/>
  <c r="Y1212" i="7"/>
  <c r="Y1213" i="7"/>
  <c r="Y1214" i="7"/>
  <c r="Y1215" i="7"/>
  <c r="Y1216" i="7"/>
  <c r="Y1217" i="7"/>
  <c r="Y1218" i="7"/>
  <c r="Y1219" i="7"/>
  <c r="Y1220" i="7"/>
  <c r="Y1221" i="7"/>
  <c r="Y1222" i="7"/>
  <c r="Y1223" i="7"/>
  <c r="Y1224" i="7"/>
  <c r="Y1225" i="7"/>
  <c r="Y1226" i="7"/>
  <c r="Y1227" i="7"/>
  <c r="Y1228" i="7"/>
  <c r="Y1229" i="7"/>
  <c r="Y1230" i="7"/>
  <c r="Y1231" i="7"/>
  <c r="Y1232" i="7"/>
  <c r="Y1233" i="7"/>
  <c r="Y1234" i="7"/>
  <c r="Y1235" i="7"/>
  <c r="Y1236" i="7"/>
  <c r="Y1237" i="7"/>
  <c r="Y1238" i="7"/>
  <c r="Y1239" i="7"/>
  <c r="Y1240" i="7"/>
  <c r="Y1241" i="7"/>
  <c r="Y1242" i="7"/>
  <c r="Y1243" i="7"/>
  <c r="Y1244" i="7"/>
  <c r="Y1245" i="7"/>
  <c r="Y1246" i="7"/>
  <c r="Y1247" i="7"/>
  <c r="Y1248" i="7"/>
  <c r="Y1249" i="7"/>
  <c r="Y1250" i="7"/>
  <c r="Y1251" i="7"/>
  <c r="Y1252" i="7"/>
  <c r="Y1253" i="7"/>
  <c r="Y1254" i="7"/>
  <c r="Y1255" i="7"/>
  <c r="Y1256" i="7"/>
  <c r="Y1257" i="7"/>
  <c r="Y1258" i="7"/>
  <c r="Y1259" i="7"/>
  <c r="Y1260" i="7"/>
  <c r="Y1261" i="7"/>
  <c r="Y1262" i="7"/>
  <c r="Y1263" i="7"/>
  <c r="Y1264" i="7"/>
  <c r="Y1265" i="7"/>
  <c r="Y1266" i="7"/>
  <c r="Y1267" i="7"/>
  <c r="Y1268" i="7"/>
  <c r="Y1269" i="7"/>
  <c r="Y1270" i="7"/>
  <c r="Y1271" i="7"/>
  <c r="Y1272" i="7"/>
  <c r="Y1273" i="7"/>
  <c r="Y1274" i="7"/>
  <c r="Y1275" i="7"/>
  <c r="Y1276" i="7"/>
  <c r="Y1277" i="7"/>
  <c r="Y1278" i="7"/>
  <c r="Y1279" i="7"/>
  <c r="Y1280" i="7"/>
  <c r="Y1281" i="7"/>
  <c r="Y1282" i="7"/>
  <c r="Y1283" i="7"/>
  <c r="Y1284" i="7"/>
  <c r="Y1285" i="7"/>
  <c r="Y1286" i="7"/>
  <c r="Y1287" i="7"/>
  <c r="Y1288" i="7"/>
  <c r="Y1289" i="7"/>
  <c r="Y1290" i="7"/>
  <c r="Y1291" i="7"/>
  <c r="Y1292" i="7"/>
  <c r="Y1293" i="7"/>
  <c r="Y1294" i="7"/>
  <c r="Y1295" i="7"/>
  <c r="Y1296" i="7"/>
  <c r="Y1297" i="7"/>
  <c r="Y1298" i="7"/>
  <c r="Y1299" i="7"/>
  <c r="Y1300" i="7"/>
  <c r="Y1301" i="7"/>
  <c r="Y1302" i="7"/>
  <c r="Y1303" i="7"/>
  <c r="Y1304" i="7"/>
  <c r="Y1305" i="7"/>
  <c r="Y1306" i="7"/>
  <c r="Y1307" i="7"/>
  <c r="Y1308" i="7"/>
  <c r="Y1309" i="7"/>
  <c r="Y1310" i="7"/>
  <c r="Y1311" i="7"/>
  <c r="Y1312" i="7"/>
  <c r="Y1313" i="7"/>
  <c r="Y1314" i="7"/>
  <c r="Y1315" i="7"/>
  <c r="Y1316" i="7"/>
  <c r="Y1317" i="7"/>
  <c r="Y1318" i="7"/>
  <c r="Y1319" i="7"/>
  <c r="Y1320" i="7"/>
  <c r="Y1321" i="7"/>
  <c r="Y1322" i="7"/>
  <c r="Y1323" i="7"/>
  <c r="Y1324" i="7"/>
  <c r="Y1325" i="7"/>
  <c r="Y1326" i="7"/>
  <c r="Y1327" i="7"/>
  <c r="Y1328" i="7"/>
  <c r="Y1329" i="7"/>
  <c r="Y1330" i="7"/>
  <c r="Y1331" i="7"/>
  <c r="Y1332" i="7"/>
  <c r="Y1333" i="7"/>
  <c r="Y1334" i="7"/>
  <c r="Y1335" i="7"/>
  <c r="Y1336" i="7"/>
  <c r="Y1337" i="7"/>
  <c r="Y1338" i="7"/>
  <c r="Y1339" i="7"/>
  <c r="Y1340" i="7"/>
  <c r="Y1341" i="7"/>
  <c r="Y1342" i="7"/>
  <c r="Y1343" i="7"/>
  <c r="Y1344" i="7"/>
  <c r="Y1345" i="7"/>
  <c r="Y1346" i="7"/>
  <c r="Y1347" i="7"/>
  <c r="Y1348" i="7"/>
  <c r="Y1349" i="7"/>
  <c r="Y1350" i="7"/>
  <c r="Y1351" i="7"/>
  <c r="Y1352" i="7"/>
  <c r="Y1353" i="7"/>
  <c r="Y1354" i="7"/>
  <c r="Y1355" i="7"/>
  <c r="Y1356" i="7"/>
  <c r="Y1357" i="7"/>
  <c r="Y1358" i="7"/>
  <c r="Y1359" i="7"/>
  <c r="Y1360" i="7"/>
  <c r="Y1361" i="7"/>
  <c r="Y1362" i="7"/>
  <c r="Y1363" i="7"/>
  <c r="Y1364" i="7"/>
  <c r="Y1365" i="7"/>
  <c r="Y1366" i="7"/>
  <c r="Y1367" i="7"/>
  <c r="Y1368" i="7"/>
  <c r="Y1369" i="7"/>
  <c r="Y1370" i="7"/>
  <c r="Y1371" i="7"/>
  <c r="Y1372" i="7"/>
  <c r="Y1373" i="7"/>
  <c r="Y1374" i="7"/>
  <c r="Y1375" i="7"/>
  <c r="Y1376" i="7"/>
  <c r="Y1377" i="7"/>
  <c r="Y1378" i="7"/>
  <c r="Y1379" i="7"/>
  <c r="Y1380" i="7"/>
  <c r="Y1381" i="7"/>
  <c r="Y1382" i="7"/>
  <c r="Y1383" i="7"/>
  <c r="Y1384" i="7"/>
  <c r="Y1385" i="7"/>
  <c r="Y1386" i="7"/>
  <c r="Y1387" i="7"/>
  <c r="Y1388" i="7"/>
  <c r="Y1389" i="7"/>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W3" i="7"/>
  <c r="W4" i="7"/>
  <c r="W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4"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W399" i="7"/>
  <c r="W400" i="7"/>
  <c r="W401" i="7"/>
  <c r="W402" i="7"/>
  <c r="W403" i="7"/>
  <c r="W404" i="7"/>
  <c r="W405" i="7"/>
  <c r="W406" i="7"/>
  <c r="W407" i="7"/>
  <c r="W408" i="7"/>
  <c r="W409" i="7"/>
  <c r="W410" i="7"/>
  <c r="W411" i="7"/>
  <c r="W412" i="7"/>
  <c r="W413" i="7"/>
  <c r="W414" i="7"/>
  <c r="W415" i="7"/>
  <c r="W416" i="7"/>
  <c r="W417" i="7"/>
  <c r="W418" i="7"/>
  <c r="W419" i="7"/>
  <c r="W420" i="7"/>
  <c r="W421" i="7"/>
  <c r="W422" i="7"/>
  <c r="W423" i="7"/>
  <c r="W424" i="7"/>
  <c r="W425" i="7"/>
  <c r="W426" i="7"/>
  <c r="W427" i="7"/>
  <c r="W428" i="7"/>
  <c r="W429" i="7"/>
  <c r="W430" i="7"/>
  <c r="W431" i="7"/>
  <c r="W432" i="7"/>
  <c r="W433" i="7"/>
  <c r="W434" i="7"/>
  <c r="W435" i="7"/>
  <c r="W436" i="7"/>
  <c r="W437" i="7"/>
  <c r="W438" i="7"/>
  <c r="W439" i="7"/>
  <c r="W440" i="7"/>
  <c r="W441" i="7"/>
  <c r="W442" i="7"/>
  <c r="W443" i="7"/>
  <c r="W444" i="7"/>
  <c r="W445" i="7"/>
  <c r="W446" i="7"/>
  <c r="W447" i="7"/>
  <c r="W448" i="7"/>
  <c r="W449" i="7"/>
  <c r="W450" i="7"/>
  <c r="W451" i="7"/>
  <c r="W452" i="7"/>
  <c r="W453" i="7"/>
  <c r="W454" i="7"/>
  <c r="W455" i="7"/>
  <c r="W456" i="7"/>
  <c r="W457" i="7"/>
  <c r="W458" i="7"/>
  <c r="W459" i="7"/>
  <c r="W460" i="7"/>
  <c r="W461" i="7"/>
  <c r="W462" i="7"/>
  <c r="W463" i="7"/>
  <c r="W464" i="7"/>
  <c r="W465" i="7"/>
  <c r="W466" i="7"/>
  <c r="W467" i="7"/>
  <c r="W468" i="7"/>
  <c r="W469" i="7"/>
  <c r="W470" i="7"/>
  <c r="W471" i="7"/>
  <c r="W472" i="7"/>
  <c r="W473" i="7"/>
  <c r="W474" i="7"/>
  <c r="W475" i="7"/>
  <c r="W476" i="7"/>
  <c r="W477" i="7"/>
  <c r="W478" i="7"/>
  <c r="W479" i="7"/>
  <c r="W480" i="7"/>
  <c r="W481" i="7"/>
  <c r="W482" i="7"/>
  <c r="W483" i="7"/>
  <c r="W484" i="7"/>
  <c r="W485" i="7"/>
  <c r="W486" i="7"/>
  <c r="W487" i="7"/>
  <c r="W488" i="7"/>
  <c r="W489" i="7"/>
  <c r="W490" i="7"/>
  <c r="W491" i="7"/>
  <c r="W492" i="7"/>
  <c r="W493" i="7"/>
  <c r="W494" i="7"/>
  <c r="W495" i="7"/>
  <c r="W496" i="7"/>
  <c r="W497" i="7"/>
  <c r="W498" i="7"/>
  <c r="W499" i="7"/>
  <c r="W500" i="7"/>
  <c r="W501" i="7"/>
  <c r="W502" i="7"/>
  <c r="W503" i="7"/>
  <c r="W504" i="7"/>
  <c r="W505" i="7"/>
  <c r="W506" i="7"/>
  <c r="W507" i="7"/>
  <c r="W508" i="7"/>
  <c r="W509" i="7"/>
  <c r="W510" i="7"/>
  <c r="W511" i="7"/>
  <c r="W512" i="7"/>
  <c r="W513" i="7"/>
  <c r="W514" i="7"/>
  <c r="W515" i="7"/>
  <c r="W516" i="7"/>
  <c r="W517" i="7"/>
  <c r="W518" i="7"/>
  <c r="W519" i="7"/>
  <c r="W520" i="7"/>
  <c r="W521" i="7"/>
  <c r="W522" i="7"/>
  <c r="W523" i="7"/>
  <c r="W524" i="7"/>
  <c r="W525" i="7"/>
  <c r="W526" i="7"/>
  <c r="W527" i="7"/>
  <c r="W528" i="7"/>
  <c r="W529" i="7"/>
  <c r="W530" i="7"/>
  <c r="W531" i="7"/>
  <c r="W532" i="7"/>
  <c r="W533" i="7"/>
  <c r="W534" i="7"/>
  <c r="W535" i="7"/>
  <c r="W536" i="7"/>
  <c r="W537" i="7"/>
  <c r="W538" i="7"/>
  <c r="W539" i="7"/>
  <c r="W540" i="7"/>
  <c r="W541" i="7"/>
  <c r="W542" i="7"/>
  <c r="W543" i="7"/>
  <c r="W544" i="7"/>
  <c r="W545" i="7"/>
  <c r="W546" i="7"/>
  <c r="W547" i="7"/>
  <c r="W548" i="7"/>
  <c r="W549" i="7"/>
  <c r="W550" i="7"/>
  <c r="W551" i="7"/>
  <c r="W552" i="7"/>
  <c r="W553" i="7"/>
  <c r="W554" i="7"/>
  <c r="W555" i="7"/>
  <c r="W556" i="7"/>
  <c r="W557" i="7"/>
  <c r="W558" i="7"/>
  <c r="W559" i="7"/>
  <c r="W560" i="7"/>
  <c r="W561" i="7"/>
  <c r="W562" i="7"/>
  <c r="W563" i="7"/>
  <c r="W564" i="7"/>
  <c r="W565" i="7"/>
  <c r="W566" i="7"/>
  <c r="W567" i="7"/>
  <c r="W568" i="7"/>
  <c r="W569" i="7"/>
  <c r="W570" i="7"/>
  <c r="W571" i="7"/>
  <c r="W572" i="7"/>
  <c r="W573" i="7"/>
  <c r="W574" i="7"/>
  <c r="W575" i="7"/>
  <c r="W576" i="7"/>
  <c r="W577" i="7"/>
  <c r="W578" i="7"/>
  <c r="W579" i="7"/>
  <c r="W580" i="7"/>
  <c r="W581" i="7"/>
  <c r="W582" i="7"/>
  <c r="W583" i="7"/>
  <c r="W584" i="7"/>
  <c r="W585" i="7"/>
  <c r="W586" i="7"/>
  <c r="W587" i="7"/>
  <c r="W588" i="7"/>
  <c r="W589" i="7"/>
  <c r="W590" i="7"/>
  <c r="W591" i="7"/>
  <c r="W592" i="7"/>
  <c r="W593" i="7"/>
  <c r="W594" i="7"/>
  <c r="W595" i="7"/>
  <c r="W596" i="7"/>
  <c r="W597" i="7"/>
  <c r="W598" i="7"/>
  <c r="W599" i="7"/>
  <c r="W600" i="7"/>
  <c r="W601" i="7"/>
  <c r="W602" i="7"/>
  <c r="W603" i="7"/>
  <c r="W604" i="7"/>
  <c r="W605" i="7"/>
  <c r="W606" i="7"/>
  <c r="W607" i="7"/>
  <c r="W608" i="7"/>
  <c r="W609" i="7"/>
  <c r="W610" i="7"/>
  <c r="W611" i="7"/>
  <c r="W612" i="7"/>
  <c r="W613" i="7"/>
  <c r="W614" i="7"/>
  <c r="W615" i="7"/>
  <c r="W616" i="7"/>
  <c r="W617" i="7"/>
  <c r="W618" i="7"/>
  <c r="W619" i="7"/>
  <c r="W620" i="7"/>
  <c r="W621" i="7"/>
  <c r="W622" i="7"/>
  <c r="W623" i="7"/>
  <c r="W624" i="7"/>
  <c r="W625" i="7"/>
  <c r="W626" i="7"/>
  <c r="W627" i="7"/>
  <c r="W628" i="7"/>
  <c r="W629" i="7"/>
  <c r="W630" i="7"/>
  <c r="W631" i="7"/>
  <c r="W632" i="7"/>
  <c r="W633" i="7"/>
  <c r="W634" i="7"/>
  <c r="W635" i="7"/>
  <c r="W636" i="7"/>
  <c r="W637" i="7"/>
  <c r="W638" i="7"/>
  <c r="W639" i="7"/>
  <c r="W640" i="7"/>
  <c r="W641" i="7"/>
  <c r="W642" i="7"/>
  <c r="W643" i="7"/>
  <c r="W644" i="7"/>
  <c r="W645" i="7"/>
  <c r="W646" i="7"/>
  <c r="W647" i="7"/>
  <c r="W648" i="7"/>
  <c r="W649" i="7"/>
  <c r="W650" i="7"/>
  <c r="W651" i="7"/>
  <c r="W652" i="7"/>
  <c r="W653" i="7"/>
  <c r="W654" i="7"/>
  <c r="W655" i="7"/>
  <c r="W656" i="7"/>
  <c r="W657" i="7"/>
  <c r="W658" i="7"/>
  <c r="W659" i="7"/>
  <c r="W660" i="7"/>
  <c r="W661" i="7"/>
  <c r="W662" i="7"/>
  <c r="W663" i="7"/>
  <c r="W664" i="7"/>
  <c r="W665" i="7"/>
  <c r="W666" i="7"/>
  <c r="W667" i="7"/>
  <c r="W668" i="7"/>
  <c r="W669" i="7"/>
  <c r="W670" i="7"/>
  <c r="W671" i="7"/>
  <c r="W672" i="7"/>
  <c r="W673" i="7"/>
  <c r="W674" i="7"/>
  <c r="W675" i="7"/>
  <c r="W676" i="7"/>
  <c r="W677" i="7"/>
  <c r="W678" i="7"/>
  <c r="W679" i="7"/>
  <c r="W680" i="7"/>
  <c r="W681" i="7"/>
  <c r="W682" i="7"/>
  <c r="W683" i="7"/>
  <c r="W684" i="7"/>
  <c r="W685" i="7"/>
  <c r="W686" i="7"/>
  <c r="W687" i="7"/>
  <c r="W688" i="7"/>
  <c r="W689" i="7"/>
  <c r="W690" i="7"/>
  <c r="W691" i="7"/>
  <c r="W692" i="7"/>
  <c r="W693" i="7"/>
  <c r="W694" i="7"/>
  <c r="W695" i="7"/>
  <c r="W696" i="7"/>
  <c r="W697" i="7"/>
  <c r="W698" i="7"/>
  <c r="W699" i="7"/>
  <c r="W700" i="7"/>
  <c r="W701" i="7"/>
  <c r="W702" i="7"/>
  <c r="W703" i="7"/>
  <c r="W704" i="7"/>
  <c r="W705" i="7"/>
  <c r="W706" i="7"/>
  <c r="W707" i="7"/>
  <c r="W708" i="7"/>
  <c r="W709" i="7"/>
  <c r="W710" i="7"/>
  <c r="W711" i="7"/>
  <c r="W712" i="7"/>
  <c r="W713" i="7"/>
  <c r="W714" i="7"/>
  <c r="W715" i="7"/>
  <c r="W716" i="7"/>
  <c r="W717" i="7"/>
  <c r="W718" i="7"/>
  <c r="W719" i="7"/>
  <c r="W720" i="7"/>
  <c r="W721" i="7"/>
  <c r="W722" i="7"/>
  <c r="W723" i="7"/>
  <c r="W724" i="7"/>
  <c r="W725" i="7"/>
  <c r="W726" i="7"/>
  <c r="W727" i="7"/>
  <c r="W728" i="7"/>
  <c r="W729" i="7"/>
  <c r="W730" i="7"/>
  <c r="W731" i="7"/>
  <c r="W732" i="7"/>
  <c r="W733" i="7"/>
  <c r="W734" i="7"/>
  <c r="W735" i="7"/>
  <c r="W736" i="7"/>
  <c r="W737" i="7"/>
  <c r="W738" i="7"/>
  <c r="W739" i="7"/>
  <c r="W740" i="7"/>
  <c r="W741" i="7"/>
  <c r="W742" i="7"/>
  <c r="W743" i="7"/>
  <c r="W744" i="7"/>
  <c r="W745" i="7"/>
  <c r="W746" i="7"/>
  <c r="W747" i="7"/>
  <c r="W748" i="7"/>
  <c r="W749" i="7"/>
  <c r="W750" i="7"/>
  <c r="W751" i="7"/>
  <c r="W752" i="7"/>
  <c r="W753" i="7"/>
  <c r="W754" i="7"/>
  <c r="W755" i="7"/>
  <c r="W756" i="7"/>
  <c r="W757" i="7"/>
  <c r="W758" i="7"/>
  <c r="W759" i="7"/>
  <c r="W760" i="7"/>
  <c r="W761" i="7"/>
  <c r="W762" i="7"/>
  <c r="W763" i="7"/>
  <c r="W764" i="7"/>
  <c r="W765" i="7"/>
  <c r="W766" i="7"/>
  <c r="W767" i="7"/>
  <c r="W768" i="7"/>
  <c r="W769" i="7"/>
  <c r="W770" i="7"/>
  <c r="W771" i="7"/>
  <c r="W772" i="7"/>
  <c r="W773" i="7"/>
  <c r="W774" i="7"/>
  <c r="W775" i="7"/>
  <c r="W776" i="7"/>
  <c r="W777" i="7"/>
  <c r="W778" i="7"/>
  <c r="W779" i="7"/>
  <c r="W780" i="7"/>
  <c r="W781" i="7"/>
  <c r="W782" i="7"/>
  <c r="W783" i="7"/>
  <c r="W784" i="7"/>
  <c r="W785" i="7"/>
  <c r="W786" i="7"/>
  <c r="W787" i="7"/>
  <c r="W788" i="7"/>
  <c r="W789" i="7"/>
  <c r="W790" i="7"/>
  <c r="W791" i="7"/>
  <c r="W792" i="7"/>
  <c r="W793" i="7"/>
  <c r="W794" i="7"/>
  <c r="W795" i="7"/>
  <c r="W796" i="7"/>
  <c r="W797" i="7"/>
  <c r="W798" i="7"/>
  <c r="W799" i="7"/>
  <c r="W800" i="7"/>
  <c r="W801" i="7"/>
  <c r="W802" i="7"/>
  <c r="W803" i="7"/>
  <c r="W804" i="7"/>
  <c r="W805" i="7"/>
  <c r="W806" i="7"/>
  <c r="W807" i="7"/>
  <c r="W808" i="7"/>
  <c r="W809" i="7"/>
  <c r="W810" i="7"/>
  <c r="W811" i="7"/>
  <c r="W812" i="7"/>
  <c r="W813" i="7"/>
  <c r="W814" i="7"/>
  <c r="W815" i="7"/>
  <c r="W816" i="7"/>
  <c r="W817" i="7"/>
  <c r="W818" i="7"/>
  <c r="W819" i="7"/>
  <c r="W820" i="7"/>
  <c r="W821" i="7"/>
  <c r="W822" i="7"/>
  <c r="W823" i="7"/>
  <c r="W824" i="7"/>
  <c r="W825" i="7"/>
  <c r="W826" i="7"/>
  <c r="W827" i="7"/>
  <c r="W828" i="7"/>
  <c r="W829" i="7"/>
  <c r="W830" i="7"/>
  <c r="W831" i="7"/>
  <c r="W832" i="7"/>
  <c r="W833" i="7"/>
  <c r="W834" i="7"/>
  <c r="W835" i="7"/>
  <c r="W836" i="7"/>
  <c r="W837" i="7"/>
  <c r="W838" i="7"/>
  <c r="W839" i="7"/>
  <c r="W840" i="7"/>
  <c r="W841" i="7"/>
  <c r="W842" i="7"/>
  <c r="W843" i="7"/>
  <c r="W844" i="7"/>
  <c r="W845" i="7"/>
  <c r="W846" i="7"/>
  <c r="W847" i="7"/>
  <c r="W848" i="7"/>
  <c r="W849" i="7"/>
  <c r="W850" i="7"/>
  <c r="W851" i="7"/>
  <c r="W852" i="7"/>
  <c r="W853" i="7"/>
  <c r="W854" i="7"/>
  <c r="W855" i="7"/>
  <c r="W856" i="7"/>
  <c r="W857" i="7"/>
  <c r="W858" i="7"/>
  <c r="W859" i="7"/>
  <c r="W860" i="7"/>
  <c r="W861" i="7"/>
  <c r="W862" i="7"/>
  <c r="W863" i="7"/>
  <c r="W864" i="7"/>
  <c r="W865" i="7"/>
  <c r="W866" i="7"/>
  <c r="W867" i="7"/>
  <c r="W868" i="7"/>
  <c r="W869" i="7"/>
  <c r="W870" i="7"/>
  <c r="W871" i="7"/>
  <c r="W872" i="7"/>
  <c r="W873" i="7"/>
  <c r="W874" i="7"/>
  <c r="W875" i="7"/>
  <c r="W876" i="7"/>
  <c r="W877" i="7"/>
  <c r="W878" i="7"/>
  <c r="W879" i="7"/>
  <c r="W880" i="7"/>
  <c r="W881" i="7"/>
  <c r="W882" i="7"/>
  <c r="W883" i="7"/>
  <c r="W884" i="7"/>
  <c r="W885" i="7"/>
  <c r="W886" i="7"/>
  <c r="W887" i="7"/>
  <c r="W888" i="7"/>
  <c r="W889" i="7"/>
  <c r="W890" i="7"/>
  <c r="W891" i="7"/>
  <c r="W892" i="7"/>
  <c r="W893" i="7"/>
  <c r="W894" i="7"/>
  <c r="W895" i="7"/>
  <c r="W896" i="7"/>
  <c r="W897" i="7"/>
  <c r="W898" i="7"/>
  <c r="W899" i="7"/>
  <c r="W900" i="7"/>
  <c r="W901" i="7"/>
  <c r="W902" i="7"/>
  <c r="W903" i="7"/>
  <c r="W904" i="7"/>
  <c r="W905" i="7"/>
  <c r="W906" i="7"/>
  <c r="W907" i="7"/>
  <c r="W908" i="7"/>
  <c r="W909" i="7"/>
  <c r="W910" i="7"/>
  <c r="W911" i="7"/>
  <c r="W912" i="7"/>
  <c r="W913" i="7"/>
  <c r="W914" i="7"/>
  <c r="W915" i="7"/>
  <c r="W916" i="7"/>
  <c r="W917" i="7"/>
  <c r="W918" i="7"/>
  <c r="W919" i="7"/>
  <c r="W920" i="7"/>
  <c r="W921" i="7"/>
  <c r="W922" i="7"/>
  <c r="W923" i="7"/>
  <c r="W924" i="7"/>
  <c r="W925" i="7"/>
  <c r="W926" i="7"/>
  <c r="W927" i="7"/>
  <c r="W928" i="7"/>
  <c r="W929" i="7"/>
  <c r="W930" i="7"/>
  <c r="W931" i="7"/>
  <c r="W932" i="7"/>
  <c r="W933" i="7"/>
  <c r="W934" i="7"/>
  <c r="W935" i="7"/>
  <c r="W936" i="7"/>
  <c r="W937" i="7"/>
  <c r="W938" i="7"/>
  <c r="W939" i="7"/>
  <c r="W940" i="7"/>
  <c r="W941" i="7"/>
  <c r="W942" i="7"/>
  <c r="W943" i="7"/>
  <c r="W944" i="7"/>
  <c r="W945" i="7"/>
  <c r="W946" i="7"/>
  <c r="W947" i="7"/>
  <c r="W948" i="7"/>
  <c r="W949" i="7"/>
  <c r="W950" i="7"/>
  <c r="W951" i="7"/>
  <c r="W952" i="7"/>
  <c r="W953" i="7"/>
  <c r="W954" i="7"/>
  <c r="W955" i="7"/>
  <c r="W956" i="7"/>
  <c r="W957" i="7"/>
  <c r="W958" i="7"/>
  <c r="W959" i="7"/>
  <c r="W960" i="7"/>
  <c r="W961" i="7"/>
  <c r="W962" i="7"/>
  <c r="W963" i="7"/>
  <c r="W964" i="7"/>
  <c r="W965" i="7"/>
  <c r="W966" i="7"/>
  <c r="W967" i="7"/>
  <c r="W968" i="7"/>
  <c r="W969" i="7"/>
  <c r="W970" i="7"/>
  <c r="W971" i="7"/>
  <c r="W972" i="7"/>
  <c r="W973" i="7"/>
  <c r="W974" i="7"/>
  <c r="W975" i="7"/>
  <c r="W976" i="7"/>
  <c r="W977" i="7"/>
  <c r="W978" i="7"/>
  <c r="W979" i="7"/>
  <c r="W980" i="7"/>
  <c r="W981" i="7"/>
  <c r="W982" i="7"/>
  <c r="W983" i="7"/>
  <c r="W984" i="7"/>
  <c r="W985" i="7"/>
  <c r="W986" i="7"/>
  <c r="W987" i="7"/>
  <c r="W988" i="7"/>
  <c r="W989" i="7"/>
  <c r="W990" i="7"/>
  <c r="W991" i="7"/>
  <c r="W992" i="7"/>
  <c r="W993" i="7"/>
  <c r="W994" i="7"/>
  <c r="W995" i="7"/>
  <c r="W996" i="7"/>
  <c r="W997" i="7"/>
  <c r="W998" i="7"/>
  <c r="W999" i="7"/>
  <c r="W1000" i="7"/>
  <c r="W1001" i="7"/>
  <c r="W1002" i="7"/>
  <c r="W1003" i="7"/>
  <c r="W1004" i="7"/>
  <c r="W1005" i="7"/>
  <c r="W1006" i="7"/>
  <c r="W1007" i="7"/>
  <c r="W1008" i="7"/>
  <c r="W1009" i="7"/>
  <c r="W1010" i="7"/>
  <c r="W1011" i="7"/>
  <c r="W1012" i="7"/>
  <c r="W1013" i="7"/>
  <c r="W1014" i="7"/>
  <c r="W1015" i="7"/>
  <c r="W1016" i="7"/>
  <c r="W1017" i="7"/>
  <c r="W1018" i="7"/>
  <c r="W1019" i="7"/>
  <c r="W1020" i="7"/>
  <c r="W1021" i="7"/>
  <c r="W1022" i="7"/>
  <c r="W1023" i="7"/>
  <c r="W1024" i="7"/>
  <c r="W1025" i="7"/>
  <c r="W1026" i="7"/>
  <c r="W1027" i="7"/>
  <c r="W1028" i="7"/>
  <c r="W1029" i="7"/>
  <c r="W1030" i="7"/>
  <c r="W1031" i="7"/>
  <c r="W1032" i="7"/>
  <c r="W1033" i="7"/>
  <c r="W1034" i="7"/>
  <c r="W1035" i="7"/>
  <c r="W1036" i="7"/>
  <c r="W1037" i="7"/>
  <c r="W1038" i="7"/>
  <c r="W1039" i="7"/>
  <c r="W1040" i="7"/>
  <c r="W1041" i="7"/>
  <c r="W1042" i="7"/>
  <c r="W1043" i="7"/>
  <c r="W1044" i="7"/>
  <c r="W1045" i="7"/>
  <c r="W1046" i="7"/>
  <c r="W1047" i="7"/>
  <c r="W1048" i="7"/>
  <c r="W1049" i="7"/>
  <c r="W1050" i="7"/>
  <c r="W1051" i="7"/>
  <c r="W1052" i="7"/>
  <c r="W1053" i="7"/>
  <c r="W1054" i="7"/>
  <c r="W1055" i="7"/>
  <c r="W1056" i="7"/>
  <c r="W1057" i="7"/>
  <c r="W1058" i="7"/>
  <c r="W1059" i="7"/>
  <c r="W1060" i="7"/>
  <c r="W1061" i="7"/>
  <c r="W1062" i="7"/>
  <c r="W1063" i="7"/>
  <c r="W1064" i="7"/>
  <c r="W1065" i="7"/>
  <c r="W1066" i="7"/>
  <c r="W1067" i="7"/>
  <c r="W1068" i="7"/>
  <c r="W1069" i="7"/>
  <c r="W1070" i="7"/>
  <c r="W1071" i="7"/>
  <c r="W1072" i="7"/>
  <c r="W1073" i="7"/>
  <c r="W1074" i="7"/>
  <c r="W1075" i="7"/>
  <c r="W1076" i="7"/>
  <c r="W1077" i="7"/>
  <c r="W1078" i="7"/>
  <c r="W1079" i="7"/>
  <c r="W1080" i="7"/>
  <c r="W1081" i="7"/>
  <c r="W1082" i="7"/>
  <c r="W1083" i="7"/>
  <c r="W1084" i="7"/>
  <c r="W1085" i="7"/>
  <c r="W1086" i="7"/>
  <c r="W1087" i="7"/>
  <c r="W1088" i="7"/>
  <c r="W1089" i="7"/>
  <c r="W1090" i="7"/>
  <c r="W1091" i="7"/>
  <c r="W1092" i="7"/>
  <c r="W1093" i="7"/>
  <c r="W1094" i="7"/>
  <c r="W1095" i="7"/>
  <c r="W1096" i="7"/>
  <c r="W1097" i="7"/>
  <c r="W1098" i="7"/>
  <c r="W1099" i="7"/>
  <c r="W1100" i="7"/>
  <c r="W1101" i="7"/>
  <c r="W1102" i="7"/>
  <c r="W1103" i="7"/>
  <c r="W1104" i="7"/>
  <c r="W1105" i="7"/>
  <c r="W1106" i="7"/>
  <c r="W1107" i="7"/>
  <c r="W1108" i="7"/>
  <c r="W1109" i="7"/>
  <c r="W1110" i="7"/>
  <c r="W1111" i="7"/>
  <c r="W1112" i="7"/>
  <c r="W1113" i="7"/>
  <c r="W1114" i="7"/>
  <c r="W1115" i="7"/>
  <c r="W1116" i="7"/>
  <c r="W1117" i="7"/>
  <c r="W1118" i="7"/>
  <c r="W1119" i="7"/>
  <c r="W1120" i="7"/>
  <c r="W1121" i="7"/>
  <c r="W1122" i="7"/>
  <c r="W1123" i="7"/>
  <c r="W1124" i="7"/>
  <c r="W1125" i="7"/>
  <c r="W1126" i="7"/>
  <c r="W1127" i="7"/>
  <c r="W1128" i="7"/>
  <c r="W1129" i="7"/>
  <c r="W1130" i="7"/>
  <c r="W1131" i="7"/>
  <c r="W1132" i="7"/>
  <c r="W1133" i="7"/>
  <c r="W1134" i="7"/>
  <c r="W1135" i="7"/>
  <c r="W1136" i="7"/>
  <c r="W1137" i="7"/>
  <c r="W1138" i="7"/>
  <c r="W1139" i="7"/>
  <c r="W1140" i="7"/>
  <c r="W1141" i="7"/>
  <c r="W1142" i="7"/>
  <c r="W1143" i="7"/>
  <c r="W1144" i="7"/>
  <c r="W1145" i="7"/>
  <c r="W1146" i="7"/>
  <c r="W1147" i="7"/>
  <c r="W1148" i="7"/>
  <c r="W1149" i="7"/>
  <c r="W1150" i="7"/>
  <c r="W1151" i="7"/>
  <c r="W1152" i="7"/>
  <c r="W1153" i="7"/>
  <c r="W1154" i="7"/>
  <c r="W1155" i="7"/>
  <c r="W1156" i="7"/>
  <c r="W1157" i="7"/>
  <c r="W1158" i="7"/>
  <c r="W1159" i="7"/>
  <c r="W1160" i="7"/>
  <c r="W1161" i="7"/>
  <c r="W1162" i="7"/>
  <c r="W1163" i="7"/>
  <c r="W1164" i="7"/>
  <c r="W1165" i="7"/>
  <c r="W1166" i="7"/>
  <c r="W1167" i="7"/>
  <c r="W1168" i="7"/>
  <c r="W1169" i="7"/>
  <c r="W1170" i="7"/>
  <c r="W1171" i="7"/>
  <c r="W1172" i="7"/>
  <c r="W1173" i="7"/>
  <c r="W1174" i="7"/>
  <c r="W1175" i="7"/>
  <c r="W1176" i="7"/>
  <c r="W1177" i="7"/>
  <c r="W1178" i="7"/>
  <c r="W1179" i="7"/>
  <c r="W1180" i="7"/>
  <c r="W1181" i="7"/>
  <c r="W1182" i="7"/>
  <c r="W1183" i="7"/>
  <c r="W1184" i="7"/>
  <c r="W1185" i="7"/>
  <c r="W1186" i="7"/>
  <c r="W1187" i="7"/>
  <c r="W1188" i="7"/>
  <c r="W1189" i="7"/>
  <c r="W1190" i="7"/>
  <c r="W1191" i="7"/>
  <c r="W1192" i="7"/>
  <c r="W1193" i="7"/>
  <c r="W1194" i="7"/>
  <c r="W1195" i="7"/>
  <c r="W1196" i="7"/>
  <c r="W1197" i="7"/>
  <c r="W1198" i="7"/>
  <c r="W1199" i="7"/>
  <c r="W1200" i="7"/>
  <c r="W1201" i="7"/>
  <c r="W1202" i="7"/>
  <c r="W1203" i="7"/>
  <c r="W1204" i="7"/>
  <c r="W1205" i="7"/>
  <c r="W1206" i="7"/>
  <c r="W1207" i="7"/>
  <c r="W1208" i="7"/>
  <c r="W1209" i="7"/>
  <c r="W1210" i="7"/>
  <c r="W1211" i="7"/>
  <c r="W1212" i="7"/>
  <c r="W1213" i="7"/>
  <c r="W1214" i="7"/>
  <c r="W1215" i="7"/>
  <c r="W1216" i="7"/>
  <c r="W1217" i="7"/>
  <c r="W1218" i="7"/>
  <c r="W1219" i="7"/>
  <c r="W1220" i="7"/>
  <c r="W1221" i="7"/>
  <c r="W1222" i="7"/>
  <c r="W1223" i="7"/>
  <c r="W1224" i="7"/>
  <c r="W1225" i="7"/>
  <c r="W1226" i="7"/>
  <c r="W1227" i="7"/>
  <c r="W1228" i="7"/>
  <c r="W1229" i="7"/>
  <c r="W1230" i="7"/>
  <c r="W1231" i="7"/>
  <c r="W1232" i="7"/>
  <c r="W1233" i="7"/>
  <c r="W1234" i="7"/>
  <c r="W1235" i="7"/>
  <c r="W1236" i="7"/>
  <c r="W1237" i="7"/>
  <c r="W1238" i="7"/>
  <c r="W1239" i="7"/>
  <c r="W1240" i="7"/>
  <c r="W1241" i="7"/>
  <c r="W1242" i="7"/>
  <c r="W1243" i="7"/>
  <c r="W1244" i="7"/>
  <c r="W1245" i="7"/>
  <c r="W1246" i="7"/>
  <c r="W1247" i="7"/>
  <c r="W1248" i="7"/>
  <c r="W1249" i="7"/>
  <c r="W1250" i="7"/>
  <c r="W1251" i="7"/>
  <c r="W1252" i="7"/>
  <c r="W1253" i="7"/>
  <c r="W1254" i="7"/>
  <c r="W1255" i="7"/>
  <c r="W1256" i="7"/>
  <c r="W1257" i="7"/>
  <c r="W1258" i="7"/>
  <c r="W1259" i="7"/>
  <c r="W1260" i="7"/>
  <c r="W1261" i="7"/>
  <c r="W1262" i="7"/>
  <c r="W1263" i="7"/>
  <c r="W1264" i="7"/>
  <c r="W1265" i="7"/>
  <c r="W1266" i="7"/>
  <c r="W1267" i="7"/>
  <c r="W1268" i="7"/>
  <c r="W1269" i="7"/>
  <c r="W1270" i="7"/>
  <c r="W1271" i="7"/>
  <c r="W1272" i="7"/>
  <c r="W1273" i="7"/>
  <c r="W1274" i="7"/>
  <c r="W1275" i="7"/>
  <c r="W1276" i="7"/>
  <c r="W1277" i="7"/>
  <c r="W1278" i="7"/>
  <c r="W1279" i="7"/>
  <c r="W1280" i="7"/>
  <c r="W1281" i="7"/>
  <c r="W1282" i="7"/>
  <c r="W1283" i="7"/>
  <c r="W1284" i="7"/>
  <c r="W1285" i="7"/>
  <c r="W1286" i="7"/>
  <c r="W1287" i="7"/>
  <c r="W1288" i="7"/>
  <c r="W1289" i="7"/>
  <c r="W1290" i="7"/>
  <c r="W1291" i="7"/>
  <c r="W1292" i="7"/>
  <c r="W1293" i="7"/>
  <c r="W1294" i="7"/>
  <c r="W1295" i="7"/>
  <c r="W1296" i="7"/>
  <c r="W1297" i="7"/>
  <c r="W1298" i="7"/>
  <c r="W1299" i="7"/>
  <c r="W1300" i="7"/>
  <c r="W1301" i="7"/>
  <c r="W1302" i="7"/>
  <c r="W1303" i="7"/>
  <c r="W1304" i="7"/>
  <c r="W1305" i="7"/>
  <c r="W1306" i="7"/>
  <c r="W1307" i="7"/>
  <c r="W1308" i="7"/>
  <c r="W1309" i="7"/>
  <c r="W1310" i="7"/>
  <c r="W1311" i="7"/>
  <c r="W1312" i="7"/>
  <c r="W1313" i="7"/>
  <c r="W1314" i="7"/>
  <c r="W1315" i="7"/>
  <c r="W1316" i="7"/>
  <c r="W1317" i="7"/>
  <c r="W1318" i="7"/>
  <c r="W1319" i="7"/>
  <c r="W1320" i="7"/>
  <c r="W1321" i="7"/>
  <c r="W1322" i="7"/>
  <c r="W1323" i="7"/>
  <c r="W1324" i="7"/>
  <c r="W1325" i="7"/>
  <c r="W1326" i="7"/>
  <c r="W1327" i="7"/>
  <c r="W1328" i="7"/>
  <c r="W1329" i="7"/>
  <c r="W1330" i="7"/>
  <c r="W1331" i="7"/>
  <c r="W1332" i="7"/>
  <c r="W1333" i="7"/>
  <c r="W1334" i="7"/>
  <c r="W1335" i="7"/>
  <c r="W1336" i="7"/>
  <c r="W1337" i="7"/>
  <c r="W1338" i="7"/>
  <c r="W1339" i="7"/>
  <c r="W1340" i="7"/>
  <c r="W1341" i="7"/>
  <c r="W1342" i="7"/>
  <c r="W1343" i="7"/>
  <c r="W1344" i="7"/>
  <c r="W1345" i="7"/>
  <c r="W1346" i="7"/>
  <c r="W1347" i="7"/>
  <c r="W1348" i="7"/>
  <c r="W1349" i="7"/>
  <c r="W1350" i="7"/>
  <c r="W1351" i="7"/>
  <c r="W1352" i="7"/>
  <c r="W1353" i="7"/>
  <c r="W1354" i="7"/>
  <c r="W1355" i="7"/>
  <c r="W1356" i="7"/>
  <c r="W1357" i="7"/>
  <c r="W1358" i="7"/>
  <c r="W1359" i="7"/>
  <c r="W1360" i="7"/>
  <c r="W1361" i="7"/>
  <c r="W1362" i="7"/>
  <c r="W1363" i="7"/>
  <c r="W1364" i="7"/>
  <c r="W1365" i="7"/>
  <c r="W1366" i="7"/>
  <c r="W1367" i="7"/>
  <c r="W1368" i="7"/>
  <c r="W1369" i="7"/>
  <c r="W1370" i="7"/>
  <c r="W1371" i="7"/>
  <c r="W1372" i="7"/>
  <c r="W1373" i="7"/>
  <c r="W1374" i="7"/>
  <c r="W1375" i="7"/>
  <c r="W1376" i="7"/>
  <c r="W1377" i="7"/>
  <c r="W1378" i="7"/>
  <c r="W1379" i="7"/>
  <c r="W1380" i="7"/>
  <c r="W1381" i="7"/>
  <c r="W1382" i="7"/>
  <c r="W1383" i="7"/>
  <c r="W1384" i="7"/>
  <c r="W1385" i="7"/>
  <c r="W1386" i="7"/>
  <c r="W1387" i="7"/>
  <c r="W1388" i="7"/>
  <c r="W1389" i="7"/>
  <c r="V3"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79"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311" i="7"/>
  <c r="V312" i="7"/>
  <c r="V313" i="7"/>
  <c r="V314" i="7"/>
  <c r="V315" i="7"/>
  <c r="V316" i="7"/>
  <c r="V317" i="7"/>
  <c r="V318" i="7"/>
  <c r="V319" i="7"/>
  <c r="V320" i="7"/>
  <c r="V321" i="7"/>
  <c r="V322" i="7"/>
  <c r="V323" i="7"/>
  <c r="V324" i="7"/>
  <c r="V325" i="7"/>
  <c r="V326" i="7"/>
  <c r="V327" i="7"/>
  <c r="V328" i="7"/>
  <c r="V329" i="7"/>
  <c r="V330" i="7"/>
  <c r="V331" i="7"/>
  <c r="V332" i="7"/>
  <c r="V333" i="7"/>
  <c r="V334" i="7"/>
  <c r="V335" i="7"/>
  <c r="V336" i="7"/>
  <c r="V337" i="7"/>
  <c r="V338" i="7"/>
  <c r="V339" i="7"/>
  <c r="V340" i="7"/>
  <c r="V341" i="7"/>
  <c r="V342" i="7"/>
  <c r="V343" i="7"/>
  <c r="V344" i="7"/>
  <c r="V345" i="7"/>
  <c r="V346" i="7"/>
  <c r="V347" i="7"/>
  <c r="V348" i="7"/>
  <c r="V349" i="7"/>
  <c r="V350" i="7"/>
  <c r="V351" i="7"/>
  <c r="V352" i="7"/>
  <c r="V353" i="7"/>
  <c r="V354" i="7"/>
  <c r="V355" i="7"/>
  <c r="V356" i="7"/>
  <c r="V357" i="7"/>
  <c r="V358" i="7"/>
  <c r="V359" i="7"/>
  <c r="V360" i="7"/>
  <c r="V361" i="7"/>
  <c r="V362" i="7"/>
  <c r="V363" i="7"/>
  <c r="V364" i="7"/>
  <c r="V365" i="7"/>
  <c r="V366" i="7"/>
  <c r="V367" i="7"/>
  <c r="V368" i="7"/>
  <c r="V369" i="7"/>
  <c r="V370" i="7"/>
  <c r="V371" i="7"/>
  <c r="V372" i="7"/>
  <c r="V373" i="7"/>
  <c r="V374" i="7"/>
  <c r="V375" i="7"/>
  <c r="V376" i="7"/>
  <c r="V377" i="7"/>
  <c r="V378" i="7"/>
  <c r="V379" i="7"/>
  <c r="V380" i="7"/>
  <c r="V381" i="7"/>
  <c r="V382" i="7"/>
  <c r="V383" i="7"/>
  <c r="V384" i="7"/>
  <c r="V385" i="7"/>
  <c r="V386" i="7"/>
  <c r="V387" i="7"/>
  <c r="V388" i="7"/>
  <c r="V389" i="7"/>
  <c r="V390" i="7"/>
  <c r="V391" i="7"/>
  <c r="V392" i="7"/>
  <c r="V393" i="7"/>
  <c r="V394" i="7"/>
  <c r="V395" i="7"/>
  <c r="V396" i="7"/>
  <c r="V397" i="7"/>
  <c r="V398" i="7"/>
  <c r="V399" i="7"/>
  <c r="V400" i="7"/>
  <c r="V401" i="7"/>
  <c r="V402" i="7"/>
  <c r="V403" i="7"/>
  <c r="V404" i="7"/>
  <c r="V405" i="7"/>
  <c r="V406" i="7"/>
  <c r="V407" i="7"/>
  <c r="V408" i="7"/>
  <c r="V409" i="7"/>
  <c r="V410" i="7"/>
  <c r="V411" i="7"/>
  <c r="V412" i="7"/>
  <c r="V413" i="7"/>
  <c r="V414" i="7"/>
  <c r="V415" i="7"/>
  <c r="V416" i="7"/>
  <c r="V417" i="7"/>
  <c r="V418" i="7"/>
  <c r="V419" i="7"/>
  <c r="V420" i="7"/>
  <c r="V421" i="7"/>
  <c r="V422" i="7"/>
  <c r="V423" i="7"/>
  <c r="V424" i="7"/>
  <c r="V425" i="7"/>
  <c r="V426" i="7"/>
  <c r="V427" i="7"/>
  <c r="V428" i="7"/>
  <c r="V429" i="7"/>
  <c r="V430" i="7"/>
  <c r="V431" i="7"/>
  <c r="V432" i="7"/>
  <c r="V433" i="7"/>
  <c r="V434" i="7"/>
  <c r="V435" i="7"/>
  <c r="V436" i="7"/>
  <c r="V437" i="7"/>
  <c r="V438" i="7"/>
  <c r="V439" i="7"/>
  <c r="V440" i="7"/>
  <c r="V441" i="7"/>
  <c r="V442" i="7"/>
  <c r="V443" i="7"/>
  <c r="V444" i="7"/>
  <c r="V445" i="7"/>
  <c r="V446" i="7"/>
  <c r="V447" i="7"/>
  <c r="V448" i="7"/>
  <c r="V449" i="7"/>
  <c r="V450" i="7"/>
  <c r="V451" i="7"/>
  <c r="V452" i="7"/>
  <c r="V453" i="7"/>
  <c r="V454" i="7"/>
  <c r="V455" i="7"/>
  <c r="V456" i="7"/>
  <c r="V457" i="7"/>
  <c r="V458" i="7"/>
  <c r="V459" i="7"/>
  <c r="V460" i="7"/>
  <c r="V461" i="7"/>
  <c r="V462" i="7"/>
  <c r="V463" i="7"/>
  <c r="V464" i="7"/>
  <c r="V465" i="7"/>
  <c r="V466" i="7"/>
  <c r="V467" i="7"/>
  <c r="V468" i="7"/>
  <c r="V469" i="7"/>
  <c r="V470" i="7"/>
  <c r="V471" i="7"/>
  <c r="V472" i="7"/>
  <c r="V473" i="7"/>
  <c r="V474" i="7"/>
  <c r="V475" i="7"/>
  <c r="V476" i="7"/>
  <c r="V477" i="7"/>
  <c r="V478" i="7"/>
  <c r="V479" i="7"/>
  <c r="V480" i="7"/>
  <c r="V481" i="7"/>
  <c r="V482" i="7"/>
  <c r="V483" i="7"/>
  <c r="V484" i="7"/>
  <c r="V485" i="7"/>
  <c r="V486" i="7"/>
  <c r="V487" i="7"/>
  <c r="V488" i="7"/>
  <c r="V489" i="7"/>
  <c r="V490" i="7"/>
  <c r="V491" i="7"/>
  <c r="V492" i="7"/>
  <c r="V493" i="7"/>
  <c r="V494" i="7"/>
  <c r="V495" i="7"/>
  <c r="V496" i="7"/>
  <c r="V497" i="7"/>
  <c r="V498" i="7"/>
  <c r="V499" i="7"/>
  <c r="V500" i="7"/>
  <c r="V501" i="7"/>
  <c r="V502" i="7"/>
  <c r="V503" i="7"/>
  <c r="V504" i="7"/>
  <c r="V505" i="7"/>
  <c r="V506" i="7"/>
  <c r="V507" i="7"/>
  <c r="V508" i="7"/>
  <c r="V509" i="7"/>
  <c r="V510" i="7"/>
  <c r="V511" i="7"/>
  <c r="V512" i="7"/>
  <c r="V513" i="7"/>
  <c r="V514" i="7"/>
  <c r="V515" i="7"/>
  <c r="V516" i="7"/>
  <c r="V517" i="7"/>
  <c r="V518" i="7"/>
  <c r="V519" i="7"/>
  <c r="V520" i="7"/>
  <c r="V521" i="7"/>
  <c r="V522" i="7"/>
  <c r="V523" i="7"/>
  <c r="V524" i="7"/>
  <c r="V525" i="7"/>
  <c r="V526" i="7"/>
  <c r="V527" i="7"/>
  <c r="V528" i="7"/>
  <c r="V529" i="7"/>
  <c r="V530" i="7"/>
  <c r="V531" i="7"/>
  <c r="V532" i="7"/>
  <c r="V533" i="7"/>
  <c r="V534" i="7"/>
  <c r="V535" i="7"/>
  <c r="V536" i="7"/>
  <c r="V537" i="7"/>
  <c r="V538" i="7"/>
  <c r="V539" i="7"/>
  <c r="V540" i="7"/>
  <c r="V541" i="7"/>
  <c r="V542" i="7"/>
  <c r="V543" i="7"/>
  <c r="V544" i="7"/>
  <c r="V545" i="7"/>
  <c r="V546" i="7"/>
  <c r="V547" i="7"/>
  <c r="V548" i="7"/>
  <c r="V549" i="7"/>
  <c r="V550" i="7"/>
  <c r="V551" i="7"/>
  <c r="V552" i="7"/>
  <c r="V553" i="7"/>
  <c r="V554" i="7"/>
  <c r="V555" i="7"/>
  <c r="V556" i="7"/>
  <c r="V557" i="7"/>
  <c r="V558" i="7"/>
  <c r="V559" i="7"/>
  <c r="V560" i="7"/>
  <c r="V561" i="7"/>
  <c r="V562" i="7"/>
  <c r="V563" i="7"/>
  <c r="V564" i="7"/>
  <c r="V565" i="7"/>
  <c r="V566" i="7"/>
  <c r="V567" i="7"/>
  <c r="V568" i="7"/>
  <c r="V569" i="7"/>
  <c r="V570" i="7"/>
  <c r="V571" i="7"/>
  <c r="V572" i="7"/>
  <c r="V573" i="7"/>
  <c r="V574" i="7"/>
  <c r="V575" i="7"/>
  <c r="V576" i="7"/>
  <c r="V577" i="7"/>
  <c r="V578" i="7"/>
  <c r="V579" i="7"/>
  <c r="V580" i="7"/>
  <c r="V581" i="7"/>
  <c r="V582" i="7"/>
  <c r="V583" i="7"/>
  <c r="V584" i="7"/>
  <c r="V585" i="7"/>
  <c r="V586" i="7"/>
  <c r="V587" i="7"/>
  <c r="V588" i="7"/>
  <c r="V589" i="7"/>
  <c r="V590" i="7"/>
  <c r="V591" i="7"/>
  <c r="V592" i="7"/>
  <c r="V593" i="7"/>
  <c r="V594" i="7"/>
  <c r="V595" i="7"/>
  <c r="V596" i="7"/>
  <c r="V597" i="7"/>
  <c r="V598" i="7"/>
  <c r="V599" i="7"/>
  <c r="V600" i="7"/>
  <c r="V601" i="7"/>
  <c r="V602" i="7"/>
  <c r="V603" i="7"/>
  <c r="V604" i="7"/>
  <c r="V605" i="7"/>
  <c r="V606" i="7"/>
  <c r="V607" i="7"/>
  <c r="V608" i="7"/>
  <c r="V609" i="7"/>
  <c r="V610" i="7"/>
  <c r="V611" i="7"/>
  <c r="V612" i="7"/>
  <c r="V613" i="7"/>
  <c r="V614" i="7"/>
  <c r="V615" i="7"/>
  <c r="V616" i="7"/>
  <c r="V617" i="7"/>
  <c r="V618" i="7"/>
  <c r="V619" i="7"/>
  <c r="V620" i="7"/>
  <c r="V621" i="7"/>
  <c r="V622" i="7"/>
  <c r="V623" i="7"/>
  <c r="V624" i="7"/>
  <c r="V625" i="7"/>
  <c r="V626" i="7"/>
  <c r="V627" i="7"/>
  <c r="V628" i="7"/>
  <c r="V629" i="7"/>
  <c r="V630" i="7"/>
  <c r="V631" i="7"/>
  <c r="V632" i="7"/>
  <c r="V633" i="7"/>
  <c r="V634" i="7"/>
  <c r="V635" i="7"/>
  <c r="V636" i="7"/>
  <c r="V637" i="7"/>
  <c r="V638" i="7"/>
  <c r="V639" i="7"/>
  <c r="V640" i="7"/>
  <c r="V641" i="7"/>
  <c r="V642" i="7"/>
  <c r="V643" i="7"/>
  <c r="V644" i="7"/>
  <c r="V645" i="7"/>
  <c r="V646" i="7"/>
  <c r="V647" i="7"/>
  <c r="V648" i="7"/>
  <c r="V649" i="7"/>
  <c r="V650" i="7"/>
  <c r="V651" i="7"/>
  <c r="V652" i="7"/>
  <c r="V653" i="7"/>
  <c r="V654" i="7"/>
  <c r="V655" i="7"/>
  <c r="V656" i="7"/>
  <c r="V657" i="7"/>
  <c r="V658" i="7"/>
  <c r="V659" i="7"/>
  <c r="V660" i="7"/>
  <c r="V661" i="7"/>
  <c r="V662" i="7"/>
  <c r="V663" i="7"/>
  <c r="V664" i="7"/>
  <c r="V665" i="7"/>
  <c r="V666" i="7"/>
  <c r="V667" i="7"/>
  <c r="V668" i="7"/>
  <c r="V669" i="7"/>
  <c r="V670" i="7"/>
  <c r="V671" i="7"/>
  <c r="V672" i="7"/>
  <c r="V673" i="7"/>
  <c r="V674" i="7"/>
  <c r="V675" i="7"/>
  <c r="V676" i="7"/>
  <c r="V677" i="7"/>
  <c r="V678" i="7"/>
  <c r="V679" i="7"/>
  <c r="V680" i="7"/>
  <c r="V681" i="7"/>
  <c r="V682" i="7"/>
  <c r="V683" i="7"/>
  <c r="V684" i="7"/>
  <c r="V685" i="7"/>
  <c r="V686" i="7"/>
  <c r="V687" i="7"/>
  <c r="V688" i="7"/>
  <c r="V689" i="7"/>
  <c r="V690" i="7"/>
  <c r="V691" i="7"/>
  <c r="V692" i="7"/>
  <c r="V693" i="7"/>
  <c r="V694" i="7"/>
  <c r="V695" i="7"/>
  <c r="V696" i="7"/>
  <c r="V697" i="7"/>
  <c r="V698" i="7"/>
  <c r="V699" i="7"/>
  <c r="V700" i="7"/>
  <c r="V701" i="7"/>
  <c r="V702" i="7"/>
  <c r="V703" i="7"/>
  <c r="V704" i="7"/>
  <c r="V705" i="7"/>
  <c r="V706" i="7"/>
  <c r="V707" i="7"/>
  <c r="V708" i="7"/>
  <c r="V709" i="7"/>
  <c r="V710" i="7"/>
  <c r="V711" i="7"/>
  <c r="V712" i="7"/>
  <c r="V713" i="7"/>
  <c r="V714" i="7"/>
  <c r="V715" i="7"/>
  <c r="V716" i="7"/>
  <c r="V717" i="7"/>
  <c r="V718" i="7"/>
  <c r="V719" i="7"/>
  <c r="V720" i="7"/>
  <c r="V721" i="7"/>
  <c r="V722" i="7"/>
  <c r="V723" i="7"/>
  <c r="V724" i="7"/>
  <c r="V725" i="7"/>
  <c r="V726" i="7"/>
  <c r="V727" i="7"/>
  <c r="V728" i="7"/>
  <c r="V729" i="7"/>
  <c r="V730" i="7"/>
  <c r="V731" i="7"/>
  <c r="V732" i="7"/>
  <c r="V733" i="7"/>
  <c r="V734" i="7"/>
  <c r="V735" i="7"/>
  <c r="V736" i="7"/>
  <c r="V737" i="7"/>
  <c r="V738" i="7"/>
  <c r="V739" i="7"/>
  <c r="V740" i="7"/>
  <c r="V741" i="7"/>
  <c r="V742" i="7"/>
  <c r="V743" i="7"/>
  <c r="V744" i="7"/>
  <c r="V745" i="7"/>
  <c r="V746" i="7"/>
  <c r="V747" i="7"/>
  <c r="V748" i="7"/>
  <c r="V749" i="7"/>
  <c r="V750" i="7"/>
  <c r="V751" i="7"/>
  <c r="V752" i="7"/>
  <c r="V753" i="7"/>
  <c r="V754" i="7"/>
  <c r="V755" i="7"/>
  <c r="V756" i="7"/>
  <c r="V757" i="7"/>
  <c r="V758" i="7"/>
  <c r="V759" i="7"/>
  <c r="V760" i="7"/>
  <c r="V761" i="7"/>
  <c r="V762" i="7"/>
  <c r="V763" i="7"/>
  <c r="V764" i="7"/>
  <c r="V765" i="7"/>
  <c r="V766" i="7"/>
  <c r="V767" i="7"/>
  <c r="V768" i="7"/>
  <c r="V769" i="7"/>
  <c r="V770" i="7"/>
  <c r="V771" i="7"/>
  <c r="V772" i="7"/>
  <c r="V773" i="7"/>
  <c r="V774" i="7"/>
  <c r="V775" i="7"/>
  <c r="V776" i="7"/>
  <c r="V777" i="7"/>
  <c r="V778" i="7"/>
  <c r="V779" i="7"/>
  <c r="V780" i="7"/>
  <c r="V781" i="7"/>
  <c r="V782" i="7"/>
  <c r="V783" i="7"/>
  <c r="V784" i="7"/>
  <c r="V785" i="7"/>
  <c r="V786" i="7"/>
  <c r="V787" i="7"/>
  <c r="V788" i="7"/>
  <c r="V789" i="7"/>
  <c r="V790" i="7"/>
  <c r="V791" i="7"/>
  <c r="V792" i="7"/>
  <c r="V793" i="7"/>
  <c r="V794" i="7"/>
  <c r="V795" i="7"/>
  <c r="V796" i="7"/>
  <c r="V797" i="7"/>
  <c r="V798" i="7"/>
  <c r="V799" i="7"/>
  <c r="V800" i="7"/>
  <c r="V801" i="7"/>
  <c r="V802" i="7"/>
  <c r="V803" i="7"/>
  <c r="V804" i="7"/>
  <c r="V805" i="7"/>
  <c r="V806" i="7"/>
  <c r="V807" i="7"/>
  <c r="V808" i="7"/>
  <c r="V809" i="7"/>
  <c r="V810" i="7"/>
  <c r="V811" i="7"/>
  <c r="V812" i="7"/>
  <c r="V813" i="7"/>
  <c r="V814" i="7"/>
  <c r="V815" i="7"/>
  <c r="V816" i="7"/>
  <c r="V817" i="7"/>
  <c r="V818" i="7"/>
  <c r="V819" i="7"/>
  <c r="V820" i="7"/>
  <c r="V821" i="7"/>
  <c r="V822" i="7"/>
  <c r="V823" i="7"/>
  <c r="V824" i="7"/>
  <c r="V825" i="7"/>
  <c r="V826" i="7"/>
  <c r="V827" i="7"/>
  <c r="V828" i="7"/>
  <c r="V829" i="7"/>
  <c r="V830" i="7"/>
  <c r="V831" i="7"/>
  <c r="V832" i="7"/>
  <c r="V833" i="7"/>
  <c r="V834" i="7"/>
  <c r="V835" i="7"/>
  <c r="V836" i="7"/>
  <c r="V837" i="7"/>
  <c r="V838" i="7"/>
  <c r="V839" i="7"/>
  <c r="V840" i="7"/>
  <c r="V841" i="7"/>
  <c r="V842" i="7"/>
  <c r="V843" i="7"/>
  <c r="V844" i="7"/>
  <c r="V845" i="7"/>
  <c r="V846" i="7"/>
  <c r="V847" i="7"/>
  <c r="V848" i="7"/>
  <c r="V849" i="7"/>
  <c r="V850" i="7"/>
  <c r="V851" i="7"/>
  <c r="V852" i="7"/>
  <c r="V853" i="7"/>
  <c r="V854" i="7"/>
  <c r="V855" i="7"/>
  <c r="V856" i="7"/>
  <c r="V857" i="7"/>
  <c r="V858" i="7"/>
  <c r="V859" i="7"/>
  <c r="V860" i="7"/>
  <c r="V861" i="7"/>
  <c r="V862" i="7"/>
  <c r="V863" i="7"/>
  <c r="V864" i="7"/>
  <c r="V865" i="7"/>
  <c r="V866" i="7"/>
  <c r="V867" i="7"/>
  <c r="V868" i="7"/>
  <c r="V869" i="7"/>
  <c r="V870" i="7"/>
  <c r="V871" i="7"/>
  <c r="V872" i="7"/>
  <c r="V873" i="7"/>
  <c r="V874" i="7"/>
  <c r="V875" i="7"/>
  <c r="V876" i="7"/>
  <c r="V877" i="7"/>
  <c r="V878" i="7"/>
  <c r="V879" i="7"/>
  <c r="V880" i="7"/>
  <c r="V881" i="7"/>
  <c r="V882" i="7"/>
  <c r="V883" i="7"/>
  <c r="V884" i="7"/>
  <c r="V885" i="7"/>
  <c r="V886" i="7"/>
  <c r="V887" i="7"/>
  <c r="V888" i="7"/>
  <c r="V889" i="7"/>
  <c r="V890" i="7"/>
  <c r="V891" i="7"/>
  <c r="V892" i="7"/>
  <c r="V893" i="7"/>
  <c r="V894" i="7"/>
  <c r="V895" i="7"/>
  <c r="V896" i="7"/>
  <c r="V897" i="7"/>
  <c r="V898" i="7"/>
  <c r="V899" i="7"/>
  <c r="V900" i="7"/>
  <c r="V901" i="7"/>
  <c r="V902" i="7"/>
  <c r="V903" i="7"/>
  <c r="V904" i="7"/>
  <c r="V905" i="7"/>
  <c r="V906" i="7"/>
  <c r="V907" i="7"/>
  <c r="V908" i="7"/>
  <c r="V909" i="7"/>
  <c r="V910" i="7"/>
  <c r="V911" i="7"/>
  <c r="V912" i="7"/>
  <c r="V913" i="7"/>
  <c r="V914" i="7"/>
  <c r="V915" i="7"/>
  <c r="V916" i="7"/>
  <c r="V917" i="7"/>
  <c r="V918" i="7"/>
  <c r="V919" i="7"/>
  <c r="V920" i="7"/>
  <c r="V921" i="7"/>
  <c r="V922" i="7"/>
  <c r="V923" i="7"/>
  <c r="V924" i="7"/>
  <c r="V925" i="7"/>
  <c r="V926" i="7"/>
  <c r="V927" i="7"/>
  <c r="V928" i="7"/>
  <c r="V929" i="7"/>
  <c r="V930" i="7"/>
  <c r="V931" i="7"/>
  <c r="V932" i="7"/>
  <c r="V933" i="7"/>
  <c r="V934" i="7"/>
  <c r="V935" i="7"/>
  <c r="V936" i="7"/>
  <c r="V937" i="7"/>
  <c r="V938" i="7"/>
  <c r="V939" i="7"/>
  <c r="V940" i="7"/>
  <c r="V941" i="7"/>
  <c r="V942" i="7"/>
  <c r="V943" i="7"/>
  <c r="V944" i="7"/>
  <c r="V945" i="7"/>
  <c r="V946" i="7"/>
  <c r="V947" i="7"/>
  <c r="V948" i="7"/>
  <c r="V949" i="7"/>
  <c r="V950" i="7"/>
  <c r="V951" i="7"/>
  <c r="V952" i="7"/>
  <c r="V953" i="7"/>
  <c r="V954" i="7"/>
  <c r="V955" i="7"/>
  <c r="V956" i="7"/>
  <c r="V957" i="7"/>
  <c r="V958" i="7"/>
  <c r="V959" i="7"/>
  <c r="V960" i="7"/>
  <c r="V961" i="7"/>
  <c r="V962" i="7"/>
  <c r="V963" i="7"/>
  <c r="V964" i="7"/>
  <c r="V965" i="7"/>
  <c r="V966" i="7"/>
  <c r="V967" i="7"/>
  <c r="V968" i="7"/>
  <c r="V969" i="7"/>
  <c r="V970" i="7"/>
  <c r="V971" i="7"/>
  <c r="V972" i="7"/>
  <c r="V973" i="7"/>
  <c r="V974" i="7"/>
  <c r="V975" i="7"/>
  <c r="V976" i="7"/>
  <c r="V977" i="7"/>
  <c r="V978" i="7"/>
  <c r="V979" i="7"/>
  <c r="V980" i="7"/>
  <c r="V981" i="7"/>
  <c r="V982" i="7"/>
  <c r="V983" i="7"/>
  <c r="V984" i="7"/>
  <c r="V985" i="7"/>
  <c r="V986" i="7"/>
  <c r="V987" i="7"/>
  <c r="V988" i="7"/>
  <c r="V989" i="7"/>
  <c r="V990" i="7"/>
  <c r="V991" i="7"/>
  <c r="V992" i="7"/>
  <c r="V993" i="7"/>
  <c r="V994" i="7"/>
  <c r="V995" i="7"/>
  <c r="V996" i="7"/>
  <c r="V997" i="7"/>
  <c r="V998" i="7"/>
  <c r="V999" i="7"/>
  <c r="V1000" i="7"/>
  <c r="V1001" i="7"/>
  <c r="V1002" i="7"/>
  <c r="V1003" i="7"/>
  <c r="V1004" i="7"/>
  <c r="V1005" i="7"/>
  <c r="V1006" i="7"/>
  <c r="V1007" i="7"/>
  <c r="V1008" i="7"/>
  <c r="V1009" i="7"/>
  <c r="V1010" i="7"/>
  <c r="V1011" i="7"/>
  <c r="V1012" i="7"/>
  <c r="V1013" i="7"/>
  <c r="V1014" i="7"/>
  <c r="V1015" i="7"/>
  <c r="V1016" i="7"/>
  <c r="V1017" i="7"/>
  <c r="V1018" i="7"/>
  <c r="V1019" i="7"/>
  <c r="V1020" i="7"/>
  <c r="V1021" i="7"/>
  <c r="V1022" i="7"/>
  <c r="V1023" i="7"/>
  <c r="V1024" i="7"/>
  <c r="V1025" i="7"/>
  <c r="V1026" i="7"/>
  <c r="V1027" i="7"/>
  <c r="V1028" i="7"/>
  <c r="V1029" i="7"/>
  <c r="V1030" i="7"/>
  <c r="V1031" i="7"/>
  <c r="V1032" i="7"/>
  <c r="V1033" i="7"/>
  <c r="V1034" i="7"/>
  <c r="V1035" i="7"/>
  <c r="V1036" i="7"/>
  <c r="V1037" i="7"/>
  <c r="V1038" i="7"/>
  <c r="V1039" i="7"/>
  <c r="V1040" i="7"/>
  <c r="V1041" i="7"/>
  <c r="V1042" i="7"/>
  <c r="V1043" i="7"/>
  <c r="V1044" i="7"/>
  <c r="V1045" i="7"/>
  <c r="V1046" i="7"/>
  <c r="V1047" i="7"/>
  <c r="V1048" i="7"/>
  <c r="V1049" i="7"/>
  <c r="V1050" i="7"/>
  <c r="V1051" i="7"/>
  <c r="V1052" i="7"/>
  <c r="V1053" i="7"/>
  <c r="V1054" i="7"/>
  <c r="V1055" i="7"/>
  <c r="V1056" i="7"/>
  <c r="V1057" i="7"/>
  <c r="V1058" i="7"/>
  <c r="V1059" i="7"/>
  <c r="V1060" i="7"/>
  <c r="V1061" i="7"/>
  <c r="V1062" i="7"/>
  <c r="V1063" i="7"/>
  <c r="V1064" i="7"/>
  <c r="V1065" i="7"/>
  <c r="V1066" i="7"/>
  <c r="V1067" i="7"/>
  <c r="V1068" i="7"/>
  <c r="V1069" i="7"/>
  <c r="V1070" i="7"/>
  <c r="V1071" i="7"/>
  <c r="V1072" i="7"/>
  <c r="V1073" i="7"/>
  <c r="V1074" i="7"/>
  <c r="V1075" i="7"/>
  <c r="V1076" i="7"/>
  <c r="V1077" i="7"/>
  <c r="V1078" i="7"/>
  <c r="V1079" i="7"/>
  <c r="V1080" i="7"/>
  <c r="V1081" i="7"/>
  <c r="V1082" i="7"/>
  <c r="V1083" i="7"/>
  <c r="V1084" i="7"/>
  <c r="V1085" i="7"/>
  <c r="V1086" i="7"/>
  <c r="V1087" i="7"/>
  <c r="V1088" i="7"/>
  <c r="V1089" i="7"/>
  <c r="V1090" i="7"/>
  <c r="V1091" i="7"/>
  <c r="V1092" i="7"/>
  <c r="V1093" i="7"/>
  <c r="V1094" i="7"/>
  <c r="V1095" i="7"/>
  <c r="V1096" i="7"/>
  <c r="V1097" i="7"/>
  <c r="V1098" i="7"/>
  <c r="V1099" i="7"/>
  <c r="V1100" i="7"/>
  <c r="V1101" i="7"/>
  <c r="V1102" i="7"/>
  <c r="V1103" i="7"/>
  <c r="V1104" i="7"/>
  <c r="V1105" i="7"/>
  <c r="V1106" i="7"/>
  <c r="V1107" i="7"/>
  <c r="V1108" i="7"/>
  <c r="V1109" i="7"/>
  <c r="V1110" i="7"/>
  <c r="V1111" i="7"/>
  <c r="V1112" i="7"/>
  <c r="V1113" i="7"/>
  <c r="V1114" i="7"/>
  <c r="V1115" i="7"/>
  <c r="V1116" i="7"/>
  <c r="V1117" i="7"/>
  <c r="V1118" i="7"/>
  <c r="V1119" i="7"/>
  <c r="V1120" i="7"/>
  <c r="V1121" i="7"/>
  <c r="V1122" i="7"/>
  <c r="V1123" i="7"/>
  <c r="V1124" i="7"/>
  <c r="V1125" i="7"/>
  <c r="V1126" i="7"/>
  <c r="V1127" i="7"/>
  <c r="V1128" i="7"/>
  <c r="V1129" i="7"/>
  <c r="V1130" i="7"/>
  <c r="V1131" i="7"/>
  <c r="V1132" i="7"/>
  <c r="V1133" i="7"/>
  <c r="V1134" i="7"/>
  <c r="V1135" i="7"/>
  <c r="V1136" i="7"/>
  <c r="V1137" i="7"/>
  <c r="V1138" i="7"/>
  <c r="V1139" i="7"/>
  <c r="V1140" i="7"/>
  <c r="V1141" i="7"/>
  <c r="V1142" i="7"/>
  <c r="V1143" i="7"/>
  <c r="V1144" i="7"/>
  <c r="V1145" i="7"/>
  <c r="V1146" i="7"/>
  <c r="V1147" i="7"/>
  <c r="V1148" i="7"/>
  <c r="V1149" i="7"/>
  <c r="V1150" i="7"/>
  <c r="V1151" i="7"/>
  <c r="V1152" i="7"/>
  <c r="V1153" i="7"/>
  <c r="V1154" i="7"/>
  <c r="V1155" i="7"/>
  <c r="V1156" i="7"/>
  <c r="V1157" i="7"/>
  <c r="V1158" i="7"/>
  <c r="V1159" i="7"/>
  <c r="V1160" i="7"/>
  <c r="V1161" i="7"/>
  <c r="V1162" i="7"/>
  <c r="V1163" i="7"/>
  <c r="V1164" i="7"/>
  <c r="V1165" i="7"/>
  <c r="V1166" i="7"/>
  <c r="V1167" i="7"/>
  <c r="V1168" i="7"/>
  <c r="V1169" i="7"/>
  <c r="V1170" i="7"/>
  <c r="V1171" i="7"/>
  <c r="V1172" i="7"/>
  <c r="V1173" i="7"/>
  <c r="V1174" i="7"/>
  <c r="V1175" i="7"/>
  <c r="V1176" i="7"/>
  <c r="V1177" i="7"/>
  <c r="V1178" i="7"/>
  <c r="V1179" i="7"/>
  <c r="V1180" i="7"/>
  <c r="V1181" i="7"/>
  <c r="V1182" i="7"/>
  <c r="V1183" i="7"/>
  <c r="V1184" i="7"/>
  <c r="V1185" i="7"/>
  <c r="V1186" i="7"/>
  <c r="V1187" i="7"/>
  <c r="V1188" i="7"/>
  <c r="V1189" i="7"/>
  <c r="V1190" i="7"/>
  <c r="V1191" i="7"/>
  <c r="V1192" i="7"/>
  <c r="V1193" i="7"/>
  <c r="V1194" i="7"/>
  <c r="V1195" i="7"/>
  <c r="V1196" i="7"/>
  <c r="V1197" i="7"/>
  <c r="V1198" i="7"/>
  <c r="V1199" i="7"/>
  <c r="V1200" i="7"/>
  <c r="V1201" i="7"/>
  <c r="V1202" i="7"/>
  <c r="V1203" i="7"/>
  <c r="V1204" i="7"/>
  <c r="V1205" i="7"/>
  <c r="V1206" i="7"/>
  <c r="V1207" i="7"/>
  <c r="V1208" i="7"/>
  <c r="V1209" i="7"/>
  <c r="V1210" i="7"/>
  <c r="V1211" i="7"/>
  <c r="V1212" i="7"/>
  <c r="V1213" i="7"/>
  <c r="V1214" i="7"/>
  <c r="V1215" i="7"/>
  <c r="V1216" i="7"/>
  <c r="V1217" i="7"/>
  <c r="V1218" i="7"/>
  <c r="V1219" i="7"/>
  <c r="V1220" i="7"/>
  <c r="V1221" i="7"/>
  <c r="V1222" i="7"/>
  <c r="V1223" i="7"/>
  <c r="V1224" i="7"/>
  <c r="V1225" i="7"/>
  <c r="V1226" i="7"/>
  <c r="V1227" i="7"/>
  <c r="V1228" i="7"/>
  <c r="V1229" i="7"/>
  <c r="V1230" i="7"/>
  <c r="V1231" i="7"/>
  <c r="V1232" i="7"/>
  <c r="V1233" i="7"/>
  <c r="V1234" i="7"/>
  <c r="V1235" i="7"/>
  <c r="V1236" i="7"/>
  <c r="V1237" i="7"/>
  <c r="V1238" i="7"/>
  <c r="V1239" i="7"/>
  <c r="V1240" i="7"/>
  <c r="V1241" i="7"/>
  <c r="V1242" i="7"/>
  <c r="V1243" i="7"/>
  <c r="V1244" i="7"/>
  <c r="V1245" i="7"/>
  <c r="V1246" i="7"/>
  <c r="V1247" i="7"/>
  <c r="V1248" i="7"/>
  <c r="V1249" i="7"/>
  <c r="V1250" i="7"/>
  <c r="V1251" i="7"/>
  <c r="V1252" i="7"/>
  <c r="V1253" i="7"/>
  <c r="V1254" i="7"/>
  <c r="V1255" i="7"/>
  <c r="V1256" i="7"/>
  <c r="V1257" i="7"/>
  <c r="V1258" i="7"/>
  <c r="V1259" i="7"/>
  <c r="V1260" i="7"/>
  <c r="V1261" i="7"/>
  <c r="V1262" i="7"/>
  <c r="V1263" i="7"/>
  <c r="V1264" i="7"/>
  <c r="V1265" i="7"/>
  <c r="V1266" i="7"/>
  <c r="V1267" i="7"/>
  <c r="V1268" i="7"/>
  <c r="V1269" i="7"/>
  <c r="V1270" i="7"/>
  <c r="V1271" i="7"/>
  <c r="V1272" i="7"/>
  <c r="V1273" i="7"/>
  <c r="V1274" i="7"/>
  <c r="V1275" i="7"/>
  <c r="V1276" i="7"/>
  <c r="V1277" i="7"/>
  <c r="V1278" i="7"/>
  <c r="V1279" i="7"/>
  <c r="V1280" i="7"/>
  <c r="V1281" i="7"/>
  <c r="V1282" i="7"/>
  <c r="V1283" i="7"/>
  <c r="V1284" i="7"/>
  <c r="V1285" i="7"/>
  <c r="V1286" i="7"/>
  <c r="V1287" i="7"/>
  <c r="V1288" i="7"/>
  <c r="V1289" i="7"/>
  <c r="V1290" i="7"/>
  <c r="V1291" i="7"/>
  <c r="V1292" i="7"/>
  <c r="V1293" i="7"/>
  <c r="V1294" i="7"/>
  <c r="V1295" i="7"/>
  <c r="V1296" i="7"/>
  <c r="V1297" i="7"/>
  <c r="V1298" i="7"/>
  <c r="V1299" i="7"/>
  <c r="V1300" i="7"/>
  <c r="V1301" i="7"/>
  <c r="V1302" i="7"/>
  <c r="V1303" i="7"/>
  <c r="V1304" i="7"/>
  <c r="V1305" i="7"/>
  <c r="V1306" i="7"/>
  <c r="V1307" i="7"/>
  <c r="V1308" i="7"/>
  <c r="V1309" i="7"/>
  <c r="V1310" i="7"/>
  <c r="V1311" i="7"/>
  <c r="V1312" i="7"/>
  <c r="V1313" i="7"/>
  <c r="V1314" i="7"/>
  <c r="V1315" i="7"/>
  <c r="V1316" i="7"/>
  <c r="V1317" i="7"/>
  <c r="V1318" i="7"/>
  <c r="V1319" i="7"/>
  <c r="V1320" i="7"/>
  <c r="V1321" i="7"/>
  <c r="V1322" i="7"/>
  <c r="V1323" i="7"/>
  <c r="V1324" i="7"/>
  <c r="V1325" i="7"/>
  <c r="V1326" i="7"/>
  <c r="V1327" i="7"/>
  <c r="V1328" i="7"/>
  <c r="V1329" i="7"/>
  <c r="V1330" i="7"/>
  <c r="V1331" i="7"/>
  <c r="V1332" i="7"/>
  <c r="V1333" i="7"/>
  <c r="V1334" i="7"/>
  <c r="V1335" i="7"/>
  <c r="V1336" i="7"/>
  <c r="V1337" i="7"/>
  <c r="V1338" i="7"/>
  <c r="V1339" i="7"/>
  <c r="V1340" i="7"/>
  <c r="V1341" i="7"/>
  <c r="V1342" i="7"/>
  <c r="V1343" i="7"/>
  <c r="V1344" i="7"/>
  <c r="V1345" i="7"/>
  <c r="V1346" i="7"/>
  <c r="V1347" i="7"/>
  <c r="V1348" i="7"/>
  <c r="V1349" i="7"/>
  <c r="V1350" i="7"/>
  <c r="V1351" i="7"/>
  <c r="V1352" i="7"/>
  <c r="V1353" i="7"/>
  <c r="V1354" i="7"/>
  <c r="V1355" i="7"/>
  <c r="V1356" i="7"/>
  <c r="V1357" i="7"/>
  <c r="V1358" i="7"/>
  <c r="V1359" i="7"/>
  <c r="V1360" i="7"/>
  <c r="V1361" i="7"/>
  <c r="V1362" i="7"/>
  <c r="V1363" i="7"/>
  <c r="V1364" i="7"/>
  <c r="V1365" i="7"/>
  <c r="V1366" i="7"/>
  <c r="V1367" i="7"/>
  <c r="V1368" i="7"/>
  <c r="V1369" i="7"/>
  <c r="V1370" i="7"/>
  <c r="V1371" i="7"/>
  <c r="V1372" i="7"/>
  <c r="V1373" i="7"/>
  <c r="V1374" i="7"/>
  <c r="V1375" i="7"/>
  <c r="V1376" i="7"/>
  <c r="V1377" i="7"/>
  <c r="V1378" i="7"/>
  <c r="V1379" i="7"/>
  <c r="V1380" i="7"/>
  <c r="V1381" i="7"/>
  <c r="V1382" i="7"/>
  <c r="V1383" i="7"/>
  <c r="V1384" i="7"/>
  <c r="V1385" i="7"/>
  <c r="V1386" i="7"/>
  <c r="V1387" i="7"/>
  <c r="V1388" i="7"/>
  <c r="V1389" i="7"/>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52" i="7"/>
  <c r="U253" i="7"/>
  <c r="U254" i="7"/>
  <c r="U255" i="7"/>
  <c r="U256" i="7"/>
  <c r="U257" i="7"/>
  <c r="U258" i="7"/>
  <c r="U259" i="7"/>
  <c r="U260" i="7"/>
  <c r="U261" i="7"/>
  <c r="U262" i="7"/>
  <c r="U263" i="7"/>
  <c r="U264" i="7"/>
  <c r="U265" i="7"/>
  <c r="U266" i="7"/>
  <c r="U267" i="7"/>
  <c r="U268" i="7"/>
  <c r="U269" i="7"/>
  <c r="U270" i="7"/>
  <c r="U271" i="7"/>
  <c r="U272" i="7"/>
  <c r="U273" i="7"/>
  <c r="U274" i="7"/>
  <c r="U275" i="7"/>
  <c r="U276" i="7"/>
  <c r="U277" i="7"/>
  <c r="U278" i="7"/>
  <c r="U279" i="7"/>
  <c r="U280" i="7"/>
  <c r="U281" i="7"/>
  <c r="U282" i="7"/>
  <c r="U283" i="7"/>
  <c r="U284" i="7"/>
  <c r="U285" i="7"/>
  <c r="U286" i="7"/>
  <c r="U287" i="7"/>
  <c r="U288" i="7"/>
  <c r="U289" i="7"/>
  <c r="U290" i="7"/>
  <c r="U291" i="7"/>
  <c r="U292" i="7"/>
  <c r="U293" i="7"/>
  <c r="U294" i="7"/>
  <c r="U295" i="7"/>
  <c r="U296" i="7"/>
  <c r="U297" i="7"/>
  <c r="U298" i="7"/>
  <c r="U299" i="7"/>
  <c r="U300" i="7"/>
  <c r="U301" i="7"/>
  <c r="U302" i="7"/>
  <c r="U303" i="7"/>
  <c r="U304" i="7"/>
  <c r="U305" i="7"/>
  <c r="U306" i="7"/>
  <c r="U307" i="7"/>
  <c r="U308" i="7"/>
  <c r="U309" i="7"/>
  <c r="U310" i="7"/>
  <c r="U311" i="7"/>
  <c r="U312" i="7"/>
  <c r="U313" i="7"/>
  <c r="U314" i="7"/>
  <c r="U315" i="7"/>
  <c r="U316" i="7"/>
  <c r="U317" i="7"/>
  <c r="U318" i="7"/>
  <c r="U319" i="7"/>
  <c r="U320" i="7"/>
  <c r="U321" i="7"/>
  <c r="U322" i="7"/>
  <c r="U323" i="7"/>
  <c r="U324" i="7"/>
  <c r="U325" i="7"/>
  <c r="U326" i="7"/>
  <c r="U327" i="7"/>
  <c r="U328" i="7"/>
  <c r="U329" i="7"/>
  <c r="U330" i="7"/>
  <c r="U331" i="7"/>
  <c r="U332" i="7"/>
  <c r="U333" i="7"/>
  <c r="U334" i="7"/>
  <c r="U335" i="7"/>
  <c r="U336" i="7"/>
  <c r="U337" i="7"/>
  <c r="U338" i="7"/>
  <c r="U339" i="7"/>
  <c r="U340" i="7"/>
  <c r="U341" i="7"/>
  <c r="U342" i="7"/>
  <c r="U343" i="7"/>
  <c r="U344" i="7"/>
  <c r="U345" i="7"/>
  <c r="U346" i="7"/>
  <c r="U347" i="7"/>
  <c r="U348" i="7"/>
  <c r="U349" i="7"/>
  <c r="U350" i="7"/>
  <c r="U351" i="7"/>
  <c r="U352" i="7"/>
  <c r="U353" i="7"/>
  <c r="U354" i="7"/>
  <c r="U355" i="7"/>
  <c r="U356" i="7"/>
  <c r="U357" i="7"/>
  <c r="U358" i="7"/>
  <c r="U359" i="7"/>
  <c r="U360" i="7"/>
  <c r="U361" i="7"/>
  <c r="U362" i="7"/>
  <c r="U363" i="7"/>
  <c r="U364" i="7"/>
  <c r="U365" i="7"/>
  <c r="U366" i="7"/>
  <c r="U367" i="7"/>
  <c r="U368" i="7"/>
  <c r="U369" i="7"/>
  <c r="U370" i="7"/>
  <c r="U371" i="7"/>
  <c r="U372" i="7"/>
  <c r="U373" i="7"/>
  <c r="U374" i="7"/>
  <c r="U375" i="7"/>
  <c r="U376" i="7"/>
  <c r="U377" i="7"/>
  <c r="U378" i="7"/>
  <c r="U379" i="7"/>
  <c r="U380" i="7"/>
  <c r="U381" i="7"/>
  <c r="U382" i="7"/>
  <c r="U383" i="7"/>
  <c r="U384" i="7"/>
  <c r="U385" i="7"/>
  <c r="U386" i="7"/>
  <c r="U387" i="7"/>
  <c r="U388" i="7"/>
  <c r="U389" i="7"/>
  <c r="U390" i="7"/>
  <c r="U391" i="7"/>
  <c r="U392" i="7"/>
  <c r="U393" i="7"/>
  <c r="U394" i="7"/>
  <c r="U395" i="7"/>
  <c r="U396" i="7"/>
  <c r="U397" i="7"/>
  <c r="U398" i="7"/>
  <c r="U399" i="7"/>
  <c r="U400" i="7"/>
  <c r="U401" i="7"/>
  <c r="U402" i="7"/>
  <c r="U403" i="7"/>
  <c r="U404" i="7"/>
  <c r="U405" i="7"/>
  <c r="U406" i="7"/>
  <c r="U407" i="7"/>
  <c r="U408" i="7"/>
  <c r="U409" i="7"/>
  <c r="U410" i="7"/>
  <c r="U411" i="7"/>
  <c r="U412" i="7"/>
  <c r="U413" i="7"/>
  <c r="U414" i="7"/>
  <c r="U415" i="7"/>
  <c r="U416" i="7"/>
  <c r="U417" i="7"/>
  <c r="U418" i="7"/>
  <c r="U419" i="7"/>
  <c r="U420" i="7"/>
  <c r="U421" i="7"/>
  <c r="U422" i="7"/>
  <c r="U423" i="7"/>
  <c r="U424" i="7"/>
  <c r="U425" i="7"/>
  <c r="U426" i="7"/>
  <c r="U427" i="7"/>
  <c r="U428" i="7"/>
  <c r="U429" i="7"/>
  <c r="U430" i="7"/>
  <c r="U431" i="7"/>
  <c r="U432" i="7"/>
  <c r="U433" i="7"/>
  <c r="U434" i="7"/>
  <c r="U435" i="7"/>
  <c r="U436" i="7"/>
  <c r="U437" i="7"/>
  <c r="U438" i="7"/>
  <c r="U439" i="7"/>
  <c r="U440" i="7"/>
  <c r="U441" i="7"/>
  <c r="U442" i="7"/>
  <c r="U443" i="7"/>
  <c r="U444" i="7"/>
  <c r="U445" i="7"/>
  <c r="U446" i="7"/>
  <c r="U447" i="7"/>
  <c r="U448" i="7"/>
  <c r="U449" i="7"/>
  <c r="U450" i="7"/>
  <c r="U451" i="7"/>
  <c r="U452" i="7"/>
  <c r="U453" i="7"/>
  <c r="U454" i="7"/>
  <c r="U455" i="7"/>
  <c r="U456" i="7"/>
  <c r="U457" i="7"/>
  <c r="U458" i="7"/>
  <c r="U459" i="7"/>
  <c r="U460" i="7"/>
  <c r="U461" i="7"/>
  <c r="U462" i="7"/>
  <c r="U463" i="7"/>
  <c r="U464" i="7"/>
  <c r="U465" i="7"/>
  <c r="U466" i="7"/>
  <c r="U467" i="7"/>
  <c r="U468" i="7"/>
  <c r="U469" i="7"/>
  <c r="U470" i="7"/>
  <c r="U471" i="7"/>
  <c r="U472" i="7"/>
  <c r="U473" i="7"/>
  <c r="U474" i="7"/>
  <c r="U475" i="7"/>
  <c r="U476" i="7"/>
  <c r="U477" i="7"/>
  <c r="U478" i="7"/>
  <c r="U479" i="7"/>
  <c r="U480" i="7"/>
  <c r="U481" i="7"/>
  <c r="U482" i="7"/>
  <c r="U483" i="7"/>
  <c r="U484" i="7"/>
  <c r="U485" i="7"/>
  <c r="U486" i="7"/>
  <c r="U487" i="7"/>
  <c r="U488" i="7"/>
  <c r="U489" i="7"/>
  <c r="U490" i="7"/>
  <c r="U491" i="7"/>
  <c r="U492" i="7"/>
  <c r="U493" i="7"/>
  <c r="U494" i="7"/>
  <c r="U495" i="7"/>
  <c r="U496" i="7"/>
  <c r="U497" i="7"/>
  <c r="U498" i="7"/>
  <c r="U499" i="7"/>
  <c r="U500" i="7"/>
  <c r="U501" i="7"/>
  <c r="U502" i="7"/>
  <c r="U503" i="7"/>
  <c r="U504" i="7"/>
  <c r="U505" i="7"/>
  <c r="U506" i="7"/>
  <c r="U507" i="7"/>
  <c r="U508" i="7"/>
  <c r="U509" i="7"/>
  <c r="U510" i="7"/>
  <c r="U511" i="7"/>
  <c r="U512" i="7"/>
  <c r="U513" i="7"/>
  <c r="U514" i="7"/>
  <c r="U515" i="7"/>
  <c r="U516" i="7"/>
  <c r="U517" i="7"/>
  <c r="U518" i="7"/>
  <c r="U519" i="7"/>
  <c r="U520" i="7"/>
  <c r="U521" i="7"/>
  <c r="U522" i="7"/>
  <c r="U523" i="7"/>
  <c r="U524" i="7"/>
  <c r="U525" i="7"/>
  <c r="U526" i="7"/>
  <c r="U527" i="7"/>
  <c r="U528" i="7"/>
  <c r="U529" i="7"/>
  <c r="U530" i="7"/>
  <c r="U531" i="7"/>
  <c r="U532" i="7"/>
  <c r="U533" i="7"/>
  <c r="U534" i="7"/>
  <c r="U535" i="7"/>
  <c r="U536" i="7"/>
  <c r="U537" i="7"/>
  <c r="U538" i="7"/>
  <c r="U539" i="7"/>
  <c r="U540" i="7"/>
  <c r="U541" i="7"/>
  <c r="U542" i="7"/>
  <c r="U543" i="7"/>
  <c r="U544" i="7"/>
  <c r="U545" i="7"/>
  <c r="U546" i="7"/>
  <c r="U547" i="7"/>
  <c r="U548" i="7"/>
  <c r="U549" i="7"/>
  <c r="U550" i="7"/>
  <c r="U551" i="7"/>
  <c r="U552" i="7"/>
  <c r="U553" i="7"/>
  <c r="U554" i="7"/>
  <c r="U555" i="7"/>
  <c r="U556" i="7"/>
  <c r="U557" i="7"/>
  <c r="U558" i="7"/>
  <c r="U559" i="7"/>
  <c r="U560" i="7"/>
  <c r="U561" i="7"/>
  <c r="U562" i="7"/>
  <c r="U563" i="7"/>
  <c r="U564" i="7"/>
  <c r="U565" i="7"/>
  <c r="U566" i="7"/>
  <c r="U567" i="7"/>
  <c r="U568" i="7"/>
  <c r="U569" i="7"/>
  <c r="U570" i="7"/>
  <c r="U571" i="7"/>
  <c r="U572" i="7"/>
  <c r="U573" i="7"/>
  <c r="U574" i="7"/>
  <c r="U575" i="7"/>
  <c r="U576" i="7"/>
  <c r="U577" i="7"/>
  <c r="U578" i="7"/>
  <c r="U579" i="7"/>
  <c r="U580" i="7"/>
  <c r="U581" i="7"/>
  <c r="U582" i="7"/>
  <c r="U583" i="7"/>
  <c r="U584" i="7"/>
  <c r="U585" i="7"/>
  <c r="U586" i="7"/>
  <c r="U587" i="7"/>
  <c r="U588" i="7"/>
  <c r="U589" i="7"/>
  <c r="U590" i="7"/>
  <c r="U591" i="7"/>
  <c r="U592" i="7"/>
  <c r="U593" i="7"/>
  <c r="U594" i="7"/>
  <c r="U595" i="7"/>
  <c r="U596" i="7"/>
  <c r="U597" i="7"/>
  <c r="U598" i="7"/>
  <c r="U599" i="7"/>
  <c r="U600" i="7"/>
  <c r="U601" i="7"/>
  <c r="U602" i="7"/>
  <c r="U603" i="7"/>
  <c r="U604" i="7"/>
  <c r="U605" i="7"/>
  <c r="U606" i="7"/>
  <c r="U607" i="7"/>
  <c r="U608" i="7"/>
  <c r="U609" i="7"/>
  <c r="U610" i="7"/>
  <c r="U611" i="7"/>
  <c r="U612" i="7"/>
  <c r="U613" i="7"/>
  <c r="U614" i="7"/>
  <c r="U615" i="7"/>
  <c r="U616" i="7"/>
  <c r="U617" i="7"/>
  <c r="U618" i="7"/>
  <c r="U619" i="7"/>
  <c r="U620" i="7"/>
  <c r="U621" i="7"/>
  <c r="U622" i="7"/>
  <c r="U623" i="7"/>
  <c r="U624" i="7"/>
  <c r="U625" i="7"/>
  <c r="U626" i="7"/>
  <c r="U627" i="7"/>
  <c r="U628" i="7"/>
  <c r="U629" i="7"/>
  <c r="U630" i="7"/>
  <c r="U631" i="7"/>
  <c r="U632" i="7"/>
  <c r="U633" i="7"/>
  <c r="U634" i="7"/>
  <c r="U635" i="7"/>
  <c r="U636" i="7"/>
  <c r="U637" i="7"/>
  <c r="U638" i="7"/>
  <c r="U639" i="7"/>
  <c r="U640" i="7"/>
  <c r="U641" i="7"/>
  <c r="U642" i="7"/>
  <c r="U643" i="7"/>
  <c r="U644" i="7"/>
  <c r="U645" i="7"/>
  <c r="U646" i="7"/>
  <c r="U647" i="7"/>
  <c r="U648" i="7"/>
  <c r="U649" i="7"/>
  <c r="U650" i="7"/>
  <c r="U651" i="7"/>
  <c r="U652" i="7"/>
  <c r="U653" i="7"/>
  <c r="U654" i="7"/>
  <c r="U655" i="7"/>
  <c r="U656" i="7"/>
  <c r="U657" i="7"/>
  <c r="U658" i="7"/>
  <c r="U659" i="7"/>
  <c r="U660" i="7"/>
  <c r="U661" i="7"/>
  <c r="U662" i="7"/>
  <c r="U663" i="7"/>
  <c r="U664" i="7"/>
  <c r="U665" i="7"/>
  <c r="U666" i="7"/>
  <c r="U667" i="7"/>
  <c r="U668" i="7"/>
  <c r="U669" i="7"/>
  <c r="U670" i="7"/>
  <c r="U671" i="7"/>
  <c r="U672" i="7"/>
  <c r="U673" i="7"/>
  <c r="U674" i="7"/>
  <c r="U675" i="7"/>
  <c r="U676" i="7"/>
  <c r="U677" i="7"/>
  <c r="U678" i="7"/>
  <c r="U679" i="7"/>
  <c r="U680" i="7"/>
  <c r="U681" i="7"/>
  <c r="U682" i="7"/>
  <c r="U683" i="7"/>
  <c r="U684" i="7"/>
  <c r="U685" i="7"/>
  <c r="U686" i="7"/>
  <c r="U687" i="7"/>
  <c r="U688" i="7"/>
  <c r="U689" i="7"/>
  <c r="U690" i="7"/>
  <c r="U691" i="7"/>
  <c r="U692" i="7"/>
  <c r="U693" i="7"/>
  <c r="U694" i="7"/>
  <c r="U695" i="7"/>
  <c r="U696" i="7"/>
  <c r="U697" i="7"/>
  <c r="U698" i="7"/>
  <c r="U699" i="7"/>
  <c r="U700" i="7"/>
  <c r="U701" i="7"/>
  <c r="U702" i="7"/>
  <c r="U703" i="7"/>
  <c r="U704" i="7"/>
  <c r="U705" i="7"/>
  <c r="U706" i="7"/>
  <c r="U707" i="7"/>
  <c r="U708" i="7"/>
  <c r="U709" i="7"/>
  <c r="U710" i="7"/>
  <c r="U711" i="7"/>
  <c r="U712" i="7"/>
  <c r="U713" i="7"/>
  <c r="U714" i="7"/>
  <c r="U715" i="7"/>
  <c r="U716" i="7"/>
  <c r="U717" i="7"/>
  <c r="U718" i="7"/>
  <c r="U719" i="7"/>
  <c r="U720" i="7"/>
  <c r="U721" i="7"/>
  <c r="U722" i="7"/>
  <c r="U723" i="7"/>
  <c r="U724" i="7"/>
  <c r="U725" i="7"/>
  <c r="U726" i="7"/>
  <c r="U727" i="7"/>
  <c r="U728" i="7"/>
  <c r="U729" i="7"/>
  <c r="U730" i="7"/>
  <c r="U731" i="7"/>
  <c r="U732" i="7"/>
  <c r="U733" i="7"/>
  <c r="U734" i="7"/>
  <c r="U735" i="7"/>
  <c r="U736" i="7"/>
  <c r="U737" i="7"/>
  <c r="U738" i="7"/>
  <c r="U739" i="7"/>
  <c r="U740" i="7"/>
  <c r="U741" i="7"/>
  <c r="U742" i="7"/>
  <c r="U743" i="7"/>
  <c r="U744" i="7"/>
  <c r="U745" i="7"/>
  <c r="U746" i="7"/>
  <c r="U747" i="7"/>
  <c r="U748" i="7"/>
  <c r="U749" i="7"/>
  <c r="U750" i="7"/>
  <c r="U751" i="7"/>
  <c r="U752" i="7"/>
  <c r="U753" i="7"/>
  <c r="U754" i="7"/>
  <c r="U755" i="7"/>
  <c r="U756" i="7"/>
  <c r="U757" i="7"/>
  <c r="U758" i="7"/>
  <c r="U759" i="7"/>
  <c r="U760" i="7"/>
  <c r="U761" i="7"/>
  <c r="U762" i="7"/>
  <c r="U763" i="7"/>
  <c r="U764" i="7"/>
  <c r="U765" i="7"/>
  <c r="U766" i="7"/>
  <c r="U767" i="7"/>
  <c r="U768" i="7"/>
  <c r="U769" i="7"/>
  <c r="U770" i="7"/>
  <c r="U771" i="7"/>
  <c r="U772" i="7"/>
  <c r="U773" i="7"/>
  <c r="U774" i="7"/>
  <c r="U775" i="7"/>
  <c r="U776" i="7"/>
  <c r="U777" i="7"/>
  <c r="U778" i="7"/>
  <c r="U779" i="7"/>
  <c r="U780" i="7"/>
  <c r="U781" i="7"/>
  <c r="U782" i="7"/>
  <c r="U783" i="7"/>
  <c r="U784" i="7"/>
  <c r="U785" i="7"/>
  <c r="U786" i="7"/>
  <c r="U787" i="7"/>
  <c r="U788" i="7"/>
  <c r="U789" i="7"/>
  <c r="U790" i="7"/>
  <c r="U791" i="7"/>
  <c r="U792" i="7"/>
  <c r="U793" i="7"/>
  <c r="U794" i="7"/>
  <c r="U795" i="7"/>
  <c r="U796" i="7"/>
  <c r="U797" i="7"/>
  <c r="U798" i="7"/>
  <c r="U799" i="7"/>
  <c r="U800" i="7"/>
  <c r="U801" i="7"/>
  <c r="U802" i="7"/>
  <c r="U803" i="7"/>
  <c r="U804" i="7"/>
  <c r="U805" i="7"/>
  <c r="U806" i="7"/>
  <c r="U807" i="7"/>
  <c r="U808" i="7"/>
  <c r="U809" i="7"/>
  <c r="U810" i="7"/>
  <c r="U811" i="7"/>
  <c r="U812" i="7"/>
  <c r="U813" i="7"/>
  <c r="U814" i="7"/>
  <c r="U815" i="7"/>
  <c r="U816" i="7"/>
  <c r="U817" i="7"/>
  <c r="U818" i="7"/>
  <c r="U819" i="7"/>
  <c r="U820" i="7"/>
  <c r="U821" i="7"/>
  <c r="U822" i="7"/>
  <c r="U823" i="7"/>
  <c r="U824" i="7"/>
  <c r="U825" i="7"/>
  <c r="U826" i="7"/>
  <c r="U827" i="7"/>
  <c r="U828" i="7"/>
  <c r="U829" i="7"/>
  <c r="U830" i="7"/>
  <c r="U831" i="7"/>
  <c r="U832" i="7"/>
  <c r="U833" i="7"/>
  <c r="U834" i="7"/>
  <c r="U835" i="7"/>
  <c r="U836" i="7"/>
  <c r="U837" i="7"/>
  <c r="U838" i="7"/>
  <c r="U839" i="7"/>
  <c r="U840" i="7"/>
  <c r="U841" i="7"/>
  <c r="U842" i="7"/>
  <c r="U843" i="7"/>
  <c r="U844" i="7"/>
  <c r="U845" i="7"/>
  <c r="U846" i="7"/>
  <c r="U847" i="7"/>
  <c r="U848" i="7"/>
  <c r="U849" i="7"/>
  <c r="U850" i="7"/>
  <c r="U851" i="7"/>
  <c r="U852" i="7"/>
  <c r="U853" i="7"/>
  <c r="U854" i="7"/>
  <c r="U855" i="7"/>
  <c r="U856" i="7"/>
  <c r="U857" i="7"/>
  <c r="U858" i="7"/>
  <c r="U859" i="7"/>
  <c r="U860" i="7"/>
  <c r="U861" i="7"/>
  <c r="U862" i="7"/>
  <c r="U863" i="7"/>
  <c r="U864" i="7"/>
  <c r="U865" i="7"/>
  <c r="U866" i="7"/>
  <c r="U867" i="7"/>
  <c r="U868" i="7"/>
  <c r="U869" i="7"/>
  <c r="U870" i="7"/>
  <c r="U871" i="7"/>
  <c r="U872" i="7"/>
  <c r="U873" i="7"/>
  <c r="U874" i="7"/>
  <c r="U875" i="7"/>
  <c r="U876" i="7"/>
  <c r="U877" i="7"/>
  <c r="U878" i="7"/>
  <c r="U879" i="7"/>
  <c r="U880" i="7"/>
  <c r="U881" i="7"/>
  <c r="U882" i="7"/>
  <c r="U883" i="7"/>
  <c r="U884" i="7"/>
  <c r="U885" i="7"/>
  <c r="U886" i="7"/>
  <c r="U887" i="7"/>
  <c r="U888" i="7"/>
  <c r="U889" i="7"/>
  <c r="U890" i="7"/>
  <c r="U891" i="7"/>
  <c r="U892" i="7"/>
  <c r="U893" i="7"/>
  <c r="U894" i="7"/>
  <c r="U895" i="7"/>
  <c r="U896" i="7"/>
  <c r="U897" i="7"/>
  <c r="U898" i="7"/>
  <c r="U899" i="7"/>
  <c r="U900" i="7"/>
  <c r="U901" i="7"/>
  <c r="U902" i="7"/>
  <c r="U903" i="7"/>
  <c r="U904" i="7"/>
  <c r="U905" i="7"/>
  <c r="U906" i="7"/>
  <c r="U907" i="7"/>
  <c r="U908" i="7"/>
  <c r="U909" i="7"/>
  <c r="U910" i="7"/>
  <c r="U911" i="7"/>
  <c r="U912" i="7"/>
  <c r="U913" i="7"/>
  <c r="U914" i="7"/>
  <c r="U915" i="7"/>
  <c r="U916" i="7"/>
  <c r="U917" i="7"/>
  <c r="U918" i="7"/>
  <c r="U919" i="7"/>
  <c r="U920" i="7"/>
  <c r="U921" i="7"/>
  <c r="U922" i="7"/>
  <c r="U923" i="7"/>
  <c r="U924" i="7"/>
  <c r="U925" i="7"/>
  <c r="U926" i="7"/>
  <c r="U927" i="7"/>
  <c r="U928" i="7"/>
  <c r="U929" i="7"/>
  <c r="U930" i="7"/>
  <c r="U931" i="7"/>
  <c r="U932" i="7"/>
  <c r="U933" i="7"/>
  <c r="U934" i="7"/>
  <c r="U935" i="7"/>
  <c r="U936" i="7"/>
  <c r="U937" i="7"/>
  <c r="U938" i="7"/>
  <c r="U939" i="7"/>
  <c r="U940" i="7"/>
  <c r="U941" i="7"/>
  <c r="U942" i="7"/>
  <c r="U943" i="7"/>
  <c r="U944" i="7"/>
  <c r="U945" i="7"/>
  <c r="U946" i="7"/>
  <c r="U947" i="7"/>
  <c r="U948" i="7"/>
  <c r="U949" i="7"/>
  <c r="U950" i="7"/>
  <c r="U951" i="7"/>
  <c r="U952" i="7"/>
  <c r="U953" i="7"/>
  <c r="U954" i="7"/>
  <c r="U955" i="7"/>
  <c r="U956" i="7"/>
  <c r="U957" i="7"/>
  <c r="U958" i="7"/>
  <c r="U959" i="7"/>
  <c r="U960" i="7"/>
  <c r="U961" i="7"/>
  <c r="U962" i="7"/>
  <c r="U963" i="7"/>
  <c r="U964" i="7"/>
  <c r="U965" i="7"/>
  <c r="U966" i="7"/>
  <c r="U967" i="7"/>
  <c r="U968" i="7"/>
  <c r="U969" i="7"/>
  <c r="U970" i="7"/>
  <c r="U971" i="7"/>
  <c r="U972" i="7"/>
  <c r="U973" i="7"/>
  <c r="U974" i="7"/>
  <c r="U975" i="7"/>
  <c r="U976" i="7"/>
  <c r="U977" i="7"/>
  <c r="U978" i="7"/>
  <c r="U979" i="7"/>
  <c r="U980" i="7"/>
  <c r="U981" i="7"/>
  <c r="U982" i="7"/>
  <c r="U983" i="7"/>
  <c r="U984" i="7"/>
  <c r="U985" i="7"/>
  <c r="U986" i="7"/>
  <c r="U987" i="7"/>
  <c r="U988" i="7"/>
  <c r="U989" i="7"/>
  <c r="U990" i="7"/>
  <c r="U991" i="7"/>
  <c r="U992" i="7"/>
  <c r="U993" i="7"/>
  <c r="U994" i="7"/>
  <c r="U995" i="7"/>
  <c r="U996" i="7"/>
  <c r="U997" i="7"/>
  <c r="U998" i="7"/>
  <c r="U999" i="7"/>
  <c r="U1000" i="7"/>
  <c r="U1001" i="7"/>
  <c r="U1002" i="7"/>
  <c r="U1003" i="7"/>
  <c r="U1004" i="7"/>
  <c r="U1005" i="7"/>
  <c r="U1006" i="7"/>
  <c r="U1007" i="7"/>
  <c r="U1008" i="7"/>
  <c r="U1009" i="7"/>
  <c r="U1010" i="7"/>
  <c r="U1011" i="7"/>
  <c r="U1012" i="7"/>
  <c r="U1013" i="7"/>
  <c r="U1014" i="7"/>
  <c r="U1015" i="7"/>
  <c r="U1016" i="7"/>
  <c r="U1017" i="7"/>
  <c r="U1018" i="7"/>
  <c r="U1019" i="7"/>
  <c r="U1020" i="7"/>
  <c r="U1021" i="7"/>
  <c r="U1022" i="7"/>
  <c r="U1023" i="7"/>
  <c r="U1024" i="7"/>
  <c r="U1025" i="7"/>
  <c r="U1026" i="7"/>
  <c r="U1027" i="7"/>
  <c r="U1028" i="7"/>
  <c r="U1029" i="7"/>
  <c r="U1030" i="7"/>
  <c r="U1031" i="7"/>
  <c r="U1032" i="7"/>
  <c r="U1033" i="7"/>
  <c r="U1034" i="7"/>
  <c r="U1035" i="7"/>
  <c r="U1036" i="7"/>
  <c r="U1037" i="7"/>
  <c r="U1038" i="7"/>
  <c r="U1039" i="7"/>
  <c r="U1040" i="7"/>
  <c r="U1041" i="7"/>
  <c r="U1042" i="7"/>
  <c r="U1043" i="7"/>
  <c r="U1044" i="7"/>
  <c r="U1045" i="7"/>
  <c r="U1046" i="7"/>
  <c r="U1047" i="7"/>
  <c r="U1048" i="7"/>
  <c r="U1049" i="7"/>
  <c r="U1050" i="7"/>
  <c r="U1051" i="7"/>
  <c r="U1052" i="7"/>
  <c r="U1053" i="7"/>
  <c r="U1054" i="7"/>
  <c r="U1055" i="7"/>
  <c r="U1056" i="7"/>
  <c r="U1057" i="7"/>
  <c r="U1058" i="7"/>
  <c r="U1059" i="7"/>
  <c r="U1060" i="7"/>
  <c r="U1061" i="7"/>
  <c r="U1062" i="7"/>
  <c r="U1063" i="7"/>
  <c r="U1064" i="7"/>
  <c r="U1065" i="7"/>
  <c r="U1066" i="7"/>
  <c r="U1067" i="7"/>
  <c r="U1068" i="7"/>
  <c r="U1069" i="7"/>
  <c r="U1070" i="7"/>
  <c r="U1071" i="7"/>
  <c r="U1072" i="7"/>
  <c r="U1073" i="7"/>
  <c r="U1074" i="7"/>
  <c r="U1075" i="7"/>
  <c r="U1076" i="7"/>
  <c r="U1077" i="7"/>
  <c r="U1078" i="7"/>
  <c r="U1079" i="7"/>
  <c r="U1080" i="7"/>
  <c r="U1081" i="7"/>
  <c r="U1082" i="7"/>
  <c r="U1083" i="7"/>
  <c r="U1084" i="7"/>
  <c r="U1085" i="7"/>
  <c r="U1086" i="7"/>
  <c r="U1087" i="7"/>
  <c r="U1088" i="7"/>
  <c r="U1089" i="7"/>
  <c r="U1090" i="7"/>
  <c r="U1091" i="7"/>
  <c r="U1092" i="7"/>
  <c r="U1093" i="7"/>
  <c r="U1094" i="7"/>
  <c r="U1095" i="7"/>
  <c r="U1096" i="7"/>
  <c r="U1097" i="7"/>
  <c r="U1098" i="7"/>
  <c r="U1099" i="7"/>
  <c r="U1100" i="7"/>
  <c r="U1101" i="7"/>
  <c r="U1102" i="7"/>
  <c r="U1103" i="7"/>
  <c r="U1104" i="7"/>
  <c r="U1105" i="7"/>
  <c r="U1106" i="7"/>
  <c r="U1107" i="7"/>
  <c r="U1108" i="7"/>
  <c r="U1109" i="7"/>
  <c r="U1110" i="7"/>
  <c r="U1111" i="7"/>
  <c r="U1112" i="7"/>
  <c r="U1113" i="7"/>
  <c r="U1114" i="7"/>
  <c r="U1115" i="7"/>
  <c r="U1116" i="7"/>
  <c r="U1117" i="7"/>
  <c r="U1118" i="7"/>
  <c r="U1119" i="7"/>
  <c r="U1120" i="7"/>
  <c r="U1121" i="7"/>
  <c r="U1122" i="7"/>
  <c r="U1123" i="7"/>
  <c r="U1124" i="7"/>
  <c r="U1125" i="7"/>
  <c r="U1126" i="7"/>
  <c r="U1127" i="7"/>
  <c r="U1128" i="7"/>
  <c r="U1129" i="7"/>
  <c r="U1130" i="7"/>
  <c r="U1131" i="7"/>
  <c r="U1132" i="7"/>
  <c r="U1133" i="7"/>
  <c r="U1134" i="7"/>
  <c r="U1135" i="7"/>
  <c r="U1136" i="7"/>
  <c r="U1137" i="7"/>
  <c r="U1138" i="7"/>
  <c r="U1139" i="7"/>
  <c r="U1140" i="7"/>
  <c r="U1141" i="7"/>
  <c r="U1142" i="7"/>
  <c r="U1143" i="7"/>
  <c r="U1144" i="7"/>
  <c r="U1145" i="7"/>
  <c r="U1146" i="7"/>
  <c r="U1147" i="7"/>
  <c r="U1148" i="7"/>
  <c r="U1149" i="7"/>
  <c r="U1150" i="7"/>
  <c r="U1151" i="7"/>
  <c r="U1152" i="7"/>
  <c r="U1153" i="7"/>
  <c r="U1154" i="7"/>
  <c r="U1155" i="7"/>
  <c r="U1156" i="7"/>
  <c r="U1157" i="7"/>
  <c r="U1158" i="7"/>
  <c r="U1159" i="7"/>
  <c r="U1160" i="7"/>
  <c r="U1161" i="7"/>
  <c r="U1162" i="7"/>
  <c r="U1163" i="7"/>
  <c r="U1164" i="7"/>
  <c r="U1165" i="7"/>
  <c r="U1166" i="7"/>
  <c r="U1167" i="7"/>
  <c r="U1168" i="7"/>
  <c r="U1169" i="7"/>
  <c r="U1170" i="7"/>
  <c r="U1171" i="7"/>
  <c r="U1172" i="7"/>
  <c r="U1173" i="7"/>
  <c r="U1174" i="7"/>
  <c r="U1175" i="7"/>
  <c r="U1176" i="7"/>
  <c r="U1177" i="7"/>
  <c r="U1178" i="7"/>
  <c r="U1179" i="7"/>
  <c r="U1180" i="7"/>
  <c r="U1181" i="7"/>
  <c r="U1182" i="7"/>
  <c r="U1183" i="7"/>
  <c r="U1184" i="7"/>
  <c r="U1185" i="7"/>
  <c r="U1186" i="7"/>
  <c r="U1187" i="7"/>
  <c r="U1188" i="7"/>
  <c r="U1189" i="7"/>
  <c r="U1190" i="7"/>
  <c r="U1191" i="7"/>
  <c r="U1192" i="7"/>
  <c r="U1193" i="7"/>
  <c r="U1194" i="7"/>
  <c r="U1195" i="7"/>
  <c r="U1196" i="7"/>
  <c r="U1197" i="7"/>
  <c r="U1198" i="7"/>
  <c r="U1199" i="7"/>
  <c r="U1200" i="7"/>
  <c r="U1201" i="7"/>
  <c r="U1202" i="7"/>
  <c r="U1203" i="7"/>
  <c r="U1204" i="7"/>
  <c r="U1205" i="7"/>
  <c r="U1206" i="7"/>
  <c r="U1207" i="7"/>
  <c r="U1208" i="7"/>
  <c r="U1209" i="7"/>
  <c r="U1210" i="7"/>
  <c r="U1211" i="7"/>
  <c r="U1212" i="7"/>
  <c r="U1213" i="7"/>
  <c r="U1214" i="7"/>
  <c r="U1215" i="7"/>
  <c r="U1216" i="7"/>
  <c r="U1217" i="7"/>
  <c r="U1218" i="7"/>
  <c r="U1219" i="7"/>
  <c r="U1220" i="7"/>
  <c r="U1221" i="7"/>
  <c r="U1222" i="7"/>
  <c r="U1223" i="7"/>
  <c r="U1224" i="7"/>
  <c r="U1225" i="7"/>
  <c r="U1226" i="7"/>
  <c r="U1227" i="7"/>
  <c r="U1228" i="7"/>
  <c r="U1229" i="7"/>
  <c r="U1230" i="7"/>
  <c r="U1231" i="7"/>
  <c r="U1232" i="7"/>
  <c r="U1233" i="7"/>
  <c r="U1234" i="7"/>
  <c r="U1235" i="7"/>
  <c r="U1236" i="7"/>
  <c r="U1237" i="7"/>
  <c r="U1238" i="7"/>
  <c r="U1239" i="7"/>
  <c r="U1240" i="7"/>
  <c r="U1241" i="7"/>
  <c r="U1242" i="7"/>
  <c r="U1243" i="7"/>
  <c r="U1244" i="7"/>
  <c r="U1245" i="7"/>
  <c r="U1246" i="7"/>
  <c r="U1247" i="7"/>
  <c r="U1248" i="7"/>
  <c r="U1249" i="7"/>
  <c r="U1250" i="7"/>
  <c r="U1251" i="7"/>
  <c r="U1252" i="7"/>
  <c r="U1253" i="7"/>
  <c r="U1254" i="7"/>
  <c r="U1255" i="7"/>
  <c r="U1256" i="7"/>
  <c r="U1257" i="7"/>
  <c r="U1258" i="7"/>
  <c r="U1259" i="7"/>
  <c r="U1260" i="7"/>
  <c r="U1261" i="7"/>
  <c r="U1262" i="7"/>
  <c r="U1263" i="7"/>
  <c r="U1264" i="7"/>
  <c r="U1265" i="7"/>
  <c r="U1266" i="7"/>
  <c r="U1267" i="7"/>
  <c r="U1268" i="7"/>
  <c r="U1269" i="7"/>
  <c r="U1270" i="7"/>
  <c r="U1271" i="7"/>
  <c r="U1272" i="7"/>
  <c r="U1273" i="7"/>
  <c r="U1274" i="7"/>
  <c r="U1275" i="7"/>
  <c r="U1276" i="7"/>
  <c r="U1277" i="7"/>
  <c r="U1278" i="7"/>
  <c r="U1279" i="7"/>
  <c r="U1280" i="7"/>
  <c r="U1281" i="7"/>
  <c r="U1282" i="7"/>
  <c r="U1283" i="7"/>
  <c r="U1284" i="7"/>
  <c r="U1285" i="7"/>
  <c r="U1286" i="7"/>
  <c r="U1287" i="7"/>
  <c r="U1288" i="7"/>
  <c r="U1289" i="7"/>
  <c r="U1290" i="7"/>
  <c r="U1291" i="7"/>
  <c r="U1292" i="7"/>
  <c r="U1293" i="7"/>
  <c r="U1294" i="7"/>
  <c r="U1295" i="7"/>
  <c r="U1296" i="7"/>
  <c r="U1297" i="7"/>
  <c r="U1298" i="7"/>
  <c r="U1299" i="7"/>
  <c r="U1300" i="7"/>
  <c r="U1301" i="7"/>
  <c r="U1302" i="7"/>
  <c r="U1303" i="7"/>
  <c r="U1304" i="7"/>
  <c r="U1305" i="7"/>
  <c r="U1306" i="7"/>
  <c r="U1307" i="7"/>
  <c r="U1308" i="7"/>
  <c r="U1309" i="7"/>
  <c r="U1310" i="7"/>
  <c r="U1311" i="7"/>
  <c r="U1312" i="7"/>
  <c r="U1313" i="7"/>
  <c r="U1314" i="7"/>
  <c r="U1315" i="7"/>
  <c r="U1316" i="7"/>
  <c r="U1317" i="7"/>
  <c r="U1318" i="7"/>
  <c r="U1319" i="7"/>
  <c r="U1320" i="7"/>
  <c r="U1321" i="7"/>
  <c r="U1322" i="7"/>
  <c r="U1323" i="7"/>
  <c r="U1324" i="7"/>
  <c r="U1325" i="7"/>
  <c r="U1326" i="7"/>
  <c r="U1327" i="7"/>
  <c r="U1328" i="7"/>
  <c r="U1329" i="7"/>
  <c r="U1330" i="7"/>
  <c r="U1331" i="7"/>
  <c r="U1332" i="7"/>
  <c r="U1333" i="7"/>
  <c r="U1334" i="7"/>
  <c r="U1335" i="7"/>
  <c r="U1336" i="7"/>
  <c r="U1337" i="7"/>
  <c r="U1338" i="7"/>
  <c r="U1339" i="7"/>
  <c r="U1340" i="7"/>
  <c r="U1341" i="7"/>
  <c r="U1342" i="7"/>
  <c r="U1343" i="7"/>
  <c r="U1344" i="7"/>
  <c r="U1345" i="7"/>
  <c r="U1346" i="7"/>
  <c r="U1347" i="7"/>
  <c r="U1348" i="7"/>
  <c r="U1349" i="7"/>
  <c r="U1350" i="7"/>
  <c r="U1351" i="7"/>
  <c r="U1352" i="7"/>
  <c r="U1353" i="7"/>
  <c r="U1354" i="7"/>
  <c r="U1355" i="7"/>
  <c r="U1356" i="7"/>
  <c r="U1357" i="7"/>
  <c r="U1358" i="7"/>
  <c r="U1359" i="7"/>
  <c r="U1360" i="7"/>
  <c r="U1361" i="7"/>
  <c r="U1362" i="7"/>
  <c r="U1363" i="7"/>
  <c r="U1364" i="7"/>
  <c r="U1365" i="7"/>
  <c r="U1366" i="7"/>
  <c r="U1367" i="7"/>
  <c r="U1368" i="7"/>
  <c r="U1369" i="7"/>
  <c r="U1370" i="7"/>
  <c r="U1371" i="7"/>
  <c r="U1372" i="7"/>
  <c r="U1373" i="7"/>
  <c r="U1374" i="7"/>
  <c r="U1375" i="7"/>
  <c r="U1376" i="7"/>
  <c r="U1377" i="7"/>
  <c r="U1378" i="7"/>
  <c r="U1379" i="7"/>
  <c r="U1380" i="7"/>
  <c r="U1381" i="7"/>
  <c r="U1382" i="7"/>
  <c r="U1383" i="7"/>
  <c r="U1384" i="7"/>
  <c r="U1385" i="7"/>
  <c r="U1386" i="7"/>
  <c r="U1387" i="7"/>
  <c r="U1388" i="7"/>
  <c r="U1389" i="7"/>
  <c r="T3" i="7"/>
  <c r="T4" i="7"/>
  <c r="T5" i="7"/>
  <c r="T6" i="7"/>
  <c r="T7" i="7"/>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200" i="7"/>
  <c r="T201" i="7"/>
  <c r="T202" i="7"/>
  <c r="T203" i="7"/>
  <c r="T204" i="7"/>
  <c r="T205" i="7"/>
  <c r="T206" i="7"/>
  <c r="T207" i="7"/>
  <c r="T208" i="7"/>
  <c r="T209" i="7"/>
  <c r="T210" i="7"/>
  <c r="T211" i="7"/>
  <c r="T212" i="7"/>
  <c r="T213" i="7"/>
  <c r="T214" i="7"/>
  <c r="T215" i="7"/>
  <c r="T216" i="7"/>
  <c r="T217" i="7"/>
  <c r="T218" i="7"/>
  <c r="T219" i="7"/>
  <c r="T220" i="7"/>
  <c r="T221" i="7"/>
  <c r="T222" i="7"/>
  <c r="T223" i="7"/>
  <c r="T224" i="7"/>
  <c r="T225" i="7"/>
  <c r="T226" i="7"/>
  <c r="T227" i="7"/>
  <c r="T228" i="7"/>
  <c r="T229" i="7"/>
  <c r="T230" i="7"/>
  <c r="T231" i="7"/>
  <c r="T232" i="7"/>
  <c r="T233" i="7"/>
  <c r="T234" i="7"/>
  <c r="T235" i="7"/>
  <c r="T236" i="7"/>
  <c r="T237" i="7"/>
  <c r="T238" i="7"/>
  <c r="T239" i="7"/>
  <c r="T240" i="7"/>
  <c r="T241" i="7"/>
  <c r="T242" i="7"/>
  <c r="T243" i="7"/>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T291" i="7"/>
  <c r="T292" i="7"/>
  <c r="T293" i="7"/>
  <c r="T294" i="7"/>
  <c r="T295" i="7"/>
  <c r="T296" i="7"/>
  <c r="T297" i="7"/>
  <c r="T298" i="7"/>
  <c r="T299" i="7"/>
  <c r="T300" i="7"/>
  <c r="T301" i="7"/>
  <c r="T302" i="7"/>
  <c r="T303" i="7"/>
  <c r="T304" i="7"/>
  <c r="T305" i="7"/>
  <c r="T306" i="7"/>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335" i="7"/>
  <c r="T336" i="7"/>
  <c r="T337" i="7"/>
  <c r="T338" i="7"/>
  <c r="T339" i="7"/>
  <c r="T340" i="7"/>
  <c r="T341" i="7"/>
  <c r="T342" i="7"/>
  <c r="T343" i="7"/>
  <c r="T344" i="7"/>
  <c r="T345" i="7"/>
  <c r="T346" i="7"/>
  <c r="T347" i="7"/>
  <c r="T348" i="7"/>
  <c r="T349" i="7"/>
  <c r="T350" i="7"/>
  <c r="T351" i="7"/>
  <c r="T352" i="7"/>
  <c r="T353" i="7"/>
  <c r="T354" i="7"/>
  <c r="T355" i="7"/>
  <c r="T356" i="7"/>
  <c r="T357" i="7"/>
  <c r="T358" i="7"/>
  <c r="T359" i="7"/>
  <c r="T360" i="7"/>
  <c r="T361" i="7"/>
  <c r="T362" i="7"/>
  <c r="T363" i="7"/>
  <c r="T364" i="7"/>
  <c r="T365" i="7"/>
  <c r="T366" i="7"/>
  <c r="T367" i="7"/>
  <c r="T368" i="7"/>
  <c r="T369" i="7"/>
  <c r="T370" i="7"/>
  <c r="T371" i="7"/>
  <c r="T372" i="7"/>
  <c r="T373" i="7"/>
  <c r="T374" i="7"/>
  <c r="T375" i="7"/>
  <c r="T376" i="7"/>
  <c r="T377" i="7"/>
  <c r="T378" i="7"/>
  <c r="T379" i="7"/>
  <c r="T380" i="7"/>
  <c r="T381" i="7"/>
  <c r="T382" i="7"/>
  <c r="T383" i="7"/>
  <c r="T384" i="7"/>
  <c r="T385" i="7"/>
  <c r="T386" i="7"/>
  <c r="T387" i="7"/>
  <c r="T388" i="7"/>
  <c r="T389" i="7"/>
  <c r="T390" i="7"/>
  <c r="T391" i="7"/>
  <c r="T392" i="7"/>
  <c r="T393" i="7"/>
  <c r="T394" i="7"/>
  <c r="T395" i="7"/>
  <c r="T396" i="7"/>
  <c r="T397" i="7"/>
  <c r="T398" i="7"/>
  <c r="T399" i="7"/>
  <c r="T400" i="7"/>
  <c r="T401" i="7"/>
  <c r="T402" i="7"/>
  <c r="T403" i="7"/>
  <c r="T404" i="7"/>
  <c r="T405" i="7"/>
  <c r="T406" i="7"/>
  <c r="T407" i="7"/>
  <c r="T408" i="7"/>
  <c r="T409" i="7"/>
  <c r="T410" i="7"/>
  <c r="T411" i="7"/>
  <c r="T412" i="7"/>
  <c r="T413" i="7"/>
  <c r="T414" i="7"/>
  <c r="T415" i="7"/>
  <c r="T416" i="7"/>
  <c r="T417" i="7"/>
  <c r="T418" i="7"/>
  <c r="T419" i="7"/>
  <c r="T420" i="7"/>
  <c r="T421" i="7"/>
  <c r="T422" i="7"/>
  <c r="T423" i="7"/>
  <c r="T424" i="7"/>
  <c r="T425" i="7"/>
  <c r="T426" i="7"/>
  <c r="T427" i="7"/>
  <c r="T428" i="7"/>
  <c r="T429" i="7"/>
  <c r="T430" i="7"/>
  <c r="T431" i="7"/>
  <c r="T432" i="7"/>
  <c r="T433" i="7"/>
  <c r="T434" i="7"/>
  <c r="T435" i="7"/>
  <c r="T436" i="7"/>
  <c r="T437" i="7"/>
  <c r="T438" i="7"/>
  <c r="T439" i="7"/>
  <c r="T440" i="7"/>
  <c r="T441" i="7"/>
  <c r="T442" i="7"/>
  <c r="T443" i="7"/>
  <c r="T444" i="7"/>
  <c r="T445" i="7"/>
  <c r="T446" i="7"/>
  <c r="T447" i="7"/>
  <c r="T448" i="7"/>
  <c r="T449" i="7"/>
  <c r="T450" i="7"/>
  <c r="T451" i="7"/>
  <c r="T452" i="7"/>
  <c r="T453" i="7"/>
  <c r="T454" i="7"/>
  <c r="T455" i="7"/>
  <c r="T456" i="7"/>
  <c r="T457" i="7"/>
  <c r="T458" i="7"/>
  <c r="T459" i="7"/>
  <c r="T460" i="7"/>
  <c r="T461" i="7"/>
  <c r="T462" i="7"/>
  <c r="T463" i="7"/>
  <c r="T464" i="7"/>
  <c r="T465" i="7"/>
  <c r="T466" i="7"/>
  <c r="T467" i="7"/>
  <c r="T468" i="7"/>
  <c r="T469" i="7"/>
  <c r="T470" i="7"/>
  <c r="T471" i="7"/>
  <c r="T472" i="7"/>
  <c r="T473" i="7"/>
  <c r="T474" i="7"/>
  <c r="T475" i="7"/>
  <c r="T476" i="7"/>
  <c r="T477" i="7"/>
  <c r="T478" i="7"/>
  <c r="T479" i="7"/>
  <c r="T480" i="7"/>
  <c r="T481" i="7"/>
  <c r="T482" i="7"/>
  <c r="T483" i="7"/>
  <c r="T484" i="7"/>
  <c r="T485" i="7"/>
  <c r="T486" i="7"/>
  <c r="T487" i="7"/>
  <c r="T488" i="7"/>
  <c r="T489" i="7"/>
  <c r="T490" i="7"/>
  <c r="T491" i="7"/>
  <c r="T492" i="7"/>
  <c r="T493" i="7"/>
  <c r="T494" i="7"/>
  <c r="T495" i="7"/>
  <c r="T496" i="7"/>
  <c r="T497" i="7"/>
  <c r="T498" i="7"/>
  <c r="T499" i="7"/>
  <c r="T500" i="7"/>
  <c r="T501" i="7"/>
  <c r="T502" i="7"/>
  <c r="T503" i="7"/>
  <c r="T504" i="7"/>
  <c r="T505" i="7"/>
  <c r="T506" i="7"/>
  <c r="T507" i="7"/>
  <c r="T508" i="7"/>
  <c r="T509" i="7"/>
  <c r="T510" i="7"/>
  <c r="T511" i="7"/>
  <c r="T512" i="7"/>
  <c r="T513" i="7"/>
  <c r="T514" i="7"/>
  <c r="T515" i="7"/>
  <c r="T516" i="7"/>
  <c r="T517" i="7"/>
  <c r="T518" i="7"/>
  <c r="T519" i="7"/>
  <c r="T520" i="7"/>
  <c r="T521" i="7"/>
  <c r="T522" i="7"/>
  <c r="T523" i="7"/>
  <c r="T524" i="7"/>
  <c r="T525" i="7"/>
  <c r="T526" i="7"/>
  <c r="T527" i="7"/>
  <c r="T528" i="7"/>
  <c r="T529" i="7"/>
  <c r="T530" i="7"/>
  <c r="T531" i="7"/>
  <c r="T532" i="7"/>
  <c r="T533" i="7"/>
  <c r="T534" i="7"/>
  <c r="T535" i="7"/>
  <c r="T536" i="7"/>
  <c r="T537" i="7"/>
  <c r="T538" i="7"/>
  <c r="T539" i="7"/>
  <c r="T540" i="7"/>
  <c r="T541" i="7"/>
  <c r="T542" i="7"/>
  <c r="T543" i="7"/>
  <c r="T544" i="7"/>
  <c r="T545" i="7"/>
  <c r="T546" i="7"/>
  <c r="T547" i="7"/>
  <c r="T548" i="7"/>
  <c r="T549" i="7"/>
  <c r="T550" i="7"/>
  <c r="T551" i="7"/>
  <c r="T552" i="7"/>
  <c r="T553" i="7"/>
  <c r="T554" i="7"/>
  <c r="T555" i="7"/>
  <c r="T556" i="7"/>
  <c r="T557" i="7"/>
  <c r="T558" i="7"/>
  <c r="T559" i="7"/>
  <c r="T560" i="7"/>
  <c r="T561" i="7"/>
  <c r="T562" i="7"/>
  <c r="T563" i="7"/>
  <c r="T564" i="7"/>
  <c r="T565" i="7"/>
  <c r="T566" i="7"/>
  <c r="T567" i="7"/>
  <c r="T568" i="7"/>
  <c r="T569" i="7"/>
  <c r="T570" i="7"/>
  <c r="T571" i="7"/>
  <c r="T572" i="7"/>
  <c r="T573" i="7"/>
  <c r="T574" i="7"/>
  <c r="T575" i="7"/>
  <c r="T576" i="7"/>
  <c r="T577" i="7"/>
  <c r="T578" i="7"/>
  <c r="T579" i="7"/>
  <c r="T580" i="7"/>
  <c r="T581" i="7"/>
  <c r="T582" i="7"/>
  <c r="T583" i="7"/>
  <c r="T584" i="7"/>
  <c r="T585" i="7"/>
  <c r="T586" i="7"/>
  <c r="T587" i="7"/>
  <c r="T588" i="7"/>
  <c r="T589" i="7"/>
  <c r="T590" i="7"/>
  <c r="T591" i="7"/>
  <c r="T592" i="7"/>
  <c r="T593" i="7"/>
  <c r="T594" i="7"/>
  <c r="T595" i="7"/>
  <c r="T596" i="7"/>
  <c r="T597" i="7"/>
  <c r="T598" i="7"/>
  <c r="T599" i="7"/>
  <c r="T600" i="7"/>
  <c r="T601" i="7"/>
  <c r="T602" i="7"/>
  <c r="T603" i="7"/>
  <c r="T604" i="7"/>
  <c r="T605" i="7"/>
  <c r="T606" i="7"/>
  <c r="T607" i="7"/>
  <c r="T608" i="7"/>
  <c r="T609" i="7"/>
  <c r="T610" i="7"/>
  <c r="T611" i="7"/>
  <c r="T612" i="7"/>
  <c r="T613" i="7"/>
  <c r="T614" i="7"/>
  <c r="T615" i="7"/>
  <c r="T616" i="7"/>
  <c r="T617" i="7"/>
  <c r="T618" i="7"/>
  <c r="T619" i="7"/>
  <c r="T620" i="7"/>
  <c r="T621" i="7"/>
  <c r="T622" i="7"/>
  <c r="T623" i="7"/>
  <c r="T624" i="7"/>
  <c r="T625" i="7"/>
  <c r="T626" i="7"/>
  <c r="T627" i="7"/>
  <c r="T628" i="7"/>
  <c r="T629" i="7"/>
  <c r="T630" i="7"/>
  <c r="T631" i="7"/>
  <c r="T632" i="7"/>
  <c r="T633" i="7"/>
  <c r="T634" i="7"/>
  <c r="T635" i="7"/>
  <c r="T636" i="7"/>
  <c r="T637" i="7"/>
  <c r="T638" i="7"/>
  <c r="T639" i="7"/>
  <c r="T640" i="7"/>
  <c r="T641" i="7"/>
  <c r="T642" i="7"/>
  <c r="T643" i="7"/>
  <c r="T644" i="7"/>
  <c r="T645" i="7"/>
  <c r="T646" i="7"/>
  <c r="T647" i="7"/>
  <c r="T648" i="7"/>
  <c r="T649" i="7"/>
  <c r="T650" i="7"/>
  <c r="T651" i="7"/>
  <c r="T652" i="7"/>
  <c r="T653" i="7"/>
  <c r="T654" i="7"/>
  <c r="T655" i="7"/>
  <c r="T656" i="7"/>
  <c r="T657" i="7"/>
  <c r="T658" i="7"/>
  <c r="T659" i="7"/>
  <c r="T660" i="7"/>
  <c r="T661" i="7"/>
  <c r="T662" i="7"/>
  <c r="T663" i="7"/>
  <c r="T664" i="7"/>
  <c r="T665" i="7"/>
  <c r="T666" i="7"/>
  <c r="T667" i="7"/>
  <c r="T668" i="7"/>
  <c r="T669" i="7"/>
  <c r="T670" i="7"/>
  <c r="T671" i="7"/>
  <c r="T672" i="7"/>
  <c r="T673" i="7"/>
  <c r="T674" i="7"/>
  <c r="T675" i="7"/>
  <c r="T676" i="7"/>
  <c r="T677" i="7"/>
  <c r="T678" i="7"/>
  <c r="T679" i="7"/>
  <c r="T680" i="7"/>
  <c r="T681" i="7"/>
  <c r="T682" i="7"/>
  <c r="T683" i="7"/>
  <c r="T684" i="7"/>
  <c r="T685" i="7"/>
  <c r="T686" i="7"/>
  <c r="T687" i="7"/>
  <c r="T688" i="7"/>
  <c r="T689" i="7"/>
  <c r="T690" i="7"/>
  <c r="T691" i="7"/>
  <c r="T692" i="7"/>
  <c r="T693" i="7"/>
  <c r="T694" i="7"/>
  <c r="T695" i="7"/>
  <c r="T696" i="7"/>
  <c r="T697" i="7"/>
  <c r="T698" i="7"/>
  <c r="T699" i="7"/>
  <c r="T700" i="7"/>
  <c r="T701" i="7"/>
  <c r="T702" i="7"/>
  <c r="T703" i="7"/>
  <c r="T704" i="7"/>
  <c r="T705" i="7"/>
  <c r="T706" i="7"/>
  <c r="T707" i="7"/>
  <c r="T708" i="7"/>
  <c r="T709" i="7"/>
  <c r="T710" i="7"/>
  <c r="T711" i="7"/>
  <c r="T712" i="7"/>
  <c r="T713" i="7"/>
  <c r="T714" i="7"/>
  <c r="T715" i="7"/>
  <c r="T716" i="7"/>
  <c r="T717" i="7"/>
  <c r="T718" i="7"/>
  <c r="T719" i="7"/>
  <c r="T720" i="7"/>
  <c r="T721" i="7"/>
  <c r="T722" i="7"/>
  <c r="T723" i="7"/>
  <c r="T724" i="7"/>
  <c r="T725" i="7"/>
  <c r="T726" i="7"/>
  <c r="T727" i="7"/>
  <c r="T728" i="7"/>
  <c r="T729" i="7"/>
  <c r="T730" i="7"/>
  <c r="T731" i="7"/>
  <c r="T732" i="7"/>
  <c r="T733" i="7"/>
  <c r="T734" i="7"/>
  <c r="T735" i="7"/>
  <c r="T736" i="7"/>
  <c r="T737" i="7"/>
  <c r="T738" i="7"/>
  <c r="T739" i="7"/>
  <c r="T740" i="7"/>
  <c r="T741" i="7"/>
  <c r="T742" i="7"/>
  <c r="T743" i="7"/>
  <c r="T744" i="7"/>
  <c r="T745" i="7"/>
  <c r="T746" i="7"/>
  <c r="T747" i="7"/>
  <c r="T748" i="7"/>
  <c r="T749" i="7"/>
  <c r="T750" i="7"/>
  <c r="T751" i="7"/>
  <c r="T752" i="7"/>
  <c r="T753" i="7"/>
  <c r="T754" i="7"/>
  <c r="T755" i="7"/>
  <c r="T756" i="7"/>
  <c r="T757" i="7"/>
  <c r="T758" i="7"/>
  <c r="T759" i="7"/>
  <c r="T760" i="7"/>
  <c r="T761" i="7"/>
  <c r="T762" i="7"/>
  <c r="T763" i="7"/>
  <c r="T764" i="7"/>
  <c r="T765" i="7"/>
  <c r="T766" i="7"/>
  <c r="T767" i="7"/>
  <c r="T768" i="7"/>
  <c r="T769" i="7"/>
  <c r="T770" i="7"/>
  <c r="T771" i="7"/>
  <c r="T772" i="7"/>
  <c r="T773" i="7"/>
  <c r="T774" i="7"/>
  <c r="T775" i="7"/>
  <c r="T776" i="7"/>
  <c r="T777" i="7"/>
  <c r="T778" i="7"/>
  <c r="T779" i="7"/>
  <c r="T780" i="7"/>
  <c r="T781" i="7"/>
  <c r="T782" i="7"/>
  <c r="T783" i="7"/>
  <c r="T784" i="7"/>
  <c r="T785" i="7"/>
  <c r="T786" i="7"/>
  <c r="T787" i="7"/>
  <c r="T788" i="7"/>
  <c r="T789" i="7"/>
  <c r="T790" i="7"/>
  <c r="T791" i="7"/>
  <c r="T792" i="7"/>
  <c r="T793" i="7"/>
  <c r="T794" i="7"/>
  <c r="T795" i="7"/>
  <c r="T796" i="7"/>
  <c r="T797" i="7"/>
  <c r="T798" i="7"/>
  <c r="T799" i="7"/>
  <c r="T800" i="7"/>
  <c r="T801" i="7"/>
  <c r="T802" i="7"/>
  <c r="T803" i="7"/>
  <c r="T804" i="7"/>
  <c r="T805" i="7"/>
  <c r="T806" i="7"/>
  <c r="T807" i="7"/>
  <c r="T808" i="7"/>
  <c r="T809" i="7"/>
  <c r="T810" i="7"/>
  <c r="T811" i="7"/>
  <c r="T812" i="7"/>
  <c r="T813" i="7"/>
  <c r="T814" i="7"/>
  <c r="T815" i="7"/>
  <c r="T816" i="7"/>
  <c r="T817" i="7"/>
  <c r="T818" i="7"/>
  <c r="T819" i="7"/>
  <c r="T820" i="7"/>
  <c r="T821" i="7"/>
  <c r="T822" i="7"/>
  <c r="T823" i="7"/>
  <c r="T824" i="7"/>
  <c r="T825" i="7"/>
  <c r="T826" i="7"/>
  <c r="T827" i="7"/>
  <c r="T828" i="7"/>
  <c r="T829" i="7"/>
  <c r="T830" i="7"/>
  <c r="T831" i="7"/>
  <c r="T832" i="7"/>
  <c r="T833" i="7"/>
  <c r="T834" i="7"/>
  <c r="T835" i="7"/>
  <c r="T836" i="7"/>
  <c r="T837" i="7"/>
  <c r="T838" i="7"/>
  <c r="T839" i="7"/>
  <c r="T840" i="7"/>
  <c r="T841" i="7"/>
  <c r="T842" i="7"/>
  <c r="T843" i="7"/>
  <c r="T844" i="7"/>
  <c r="T845" i="7"/>
  <c r="T846" i="7"/>
  <c r="T847" i="7"/>
  <c r="T848" i="7"/>
  <c r="T849" i="7"/>
  <c r="T850" i="7"/>
  <c r="T851" i="7"/>
  <c r="T852" i="7"/>
  <c r="T853" i="7"/>
  <c r="T854" i="7"/>
  <c r="T855" i="7"/>
  <c r="T856" i="7"/>
  <c r="T857" i="7"/>
  <c r="T858" i="7"/>
  <c r="T859" i="7"/>
  <c r="T860" i="7"/>
  <c r="T861" i="7"/>
  <c r="T862" i="7"/>
  <c r="T863" i="7"/>
  <c r="T864" i="7"/>
  <c r="T865" i="7"/>
  <c r="T866" i="7"/>
  <c r="T867" i="7"/>
  <c r="T868" i="7"/>
  <c r="T869" i="7"/>
  <c r="T870" i="7"/>
  <c r="T871" i="7"/>
  <c r="T872" i="7"/>
  <c r="T873" i="7"/>
  <c r="T874" i="7"/>
  <c r="T875" i="7"/>
  <c r="T876" i="7"/>
  <c r="T877" i="7"/>
  <c r="T878" i="7"/>
  <c r="T879" i="7"/>
  <c r="T880" i="7"/>
  <c r="T881" i="7"/>
  <c r="T882" i="7"/>
  <c r="T883" i="7"/>
  <c r="T884" i="7"/>
  <c r="T885" i="7"/>
  <c r="T886" i="7"/>
  <c r="T887" i="7"/>
  <c r="T888" i="7"/>
  <c r="T889" i="7"/>
  <c r="T890" i="7"/>
  <c r="T891" i="7"/>
  <c r="T892" i="7"/>
  <c r="T893" i="7"/>
  <c r="T894" i="7"/>
  <c r="T895" i="7"/>
  <c r="T896" i="7"/>
  <c r="T897" i="7"/>
  <c r="T898" i="7"/>
  <c r="T899" i="7"/>
  <c r="T900" i="7"/>
  <c r="T901" i="7"/>
  <c r="T902"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T943" i="7"/>
  <c r="T944" i="7"/>
  <c r="T945" i="7"/>
  <c r="T946" i="7"/>
  <c r="T947" i="7"/>
  <c r="T948" i="7"/>
  <c r="T949" i="7"/>
  <c r="T950" i="7"/>
  <c r="T951" i="7"/>
  <c r="T952" i="7"/>
  <c r="T953" i="7"/>
  <c r="T954" i="7"/>
  <c r="T955" i="7"/>
  <c r="T956" i="7"/>
  <c r="T957" i="7"/>
  <c r="T958" i="7"/>
  <c r="T959" i="7"/>
  <c r="T960" i="7"/>
  <c r="T961" i="7"/>
  <c r="T962" i="7"/>
  <c r="T963" i="7"/>
  <c r="T964" i="7"/>
  <c r="T965" i="7"/>
  <c r="T966" i="7"/>
  <c r="T967" i="7"/>
  <c r="T968" i="7"/>
  <c r="T969" i="7"/>
  <c r="T970" i="7"/>
  <c r="T971" i="7"/>
  <c r="T972" i="7"/>
  <c r="T973" i="7"/>
  <c r="T974" i="7"/>
  <c r="T975" i="7"/>
  <c r="T976" i="7"/>
  <c r="T977" i="7"/>
  <c r="T978" i="7"/>
  <c r="T979" i="7"/>
  <c r="T980" i="7"/>
  <c r="T981" i="7"/>
  <c r="T982" i="7"/>
  <c r="T983" i="7"/>
  <c r="T984" i="7"/>
  <c r="T985" i="7"/>
  <c r="T986" i="7"/>
  <c r="T987" i="7"/>
  <c r="T988" i="7"/>
  <c r="T989" i="7"/>
  <c r="T990" i="7"/>
  <c r="T991" i="7"/>
  <c r="T992" i="7"/>
  <c r="T993" i="7"/>
  <c r="T994" i="7"/>
  <c r="T995" i="7"/>
  <c r="T996" i="7"/>
  <c r="T997" i="7"/>
  <c r="T998" i="7"/>
  <c r="T999" i="7"/>
  <c r="T1000" i="7"/>
  <c r="T1001" i="7"/>
  <c r="T1002" i="7"/>
  <c r="T1003" i="7"/>
  <c r="T1004" i="7"/>
  <c r="T1005" i="7"/>
  <c r="T1006" i="7"/>
  <c r="T1007" i="7"/>
  <c r="T1008" i="7"/>
  <c r="T1009" i="7"/>
  <c r="T1010" i="7"/>
  <c r="T1011" i="7"/>
  <c r="T1012" i="7"/>
  <c r="T1013" i="7"/>
  <c r="T1014" i="7"/>
  <c r="T1015" i="7"/>
  <c r="T1016" i="7"/>
  <c r="T1017" i="7"/>
  <c r="T1018" i="7"/>
  <c r="T1019" i="7"/>
  <c r="T1020" i="7"/>
  <c r="T1021" i="7"/>
  <c r="T1022" i="7"/>
  <c r="T1023" i="7"/>
  <c r="T1024" i="7"/>
  <c r="T1025" i="7"/>
  <c r="T1026" i="7"/>
  <c r="T1027" i="7"/>
  <c r="T1028" i="7"/>
  <c r="T1029" i="7"/>
  <c r="T1030" i="7"/>
  <c r="T1031" i="7"/>
  <c r="T1032" i="7"/>
  <c r="T1033" i="7"/>
  <c r="T1034" i="7"/>
  <c r="T1035" i="7"/>
  <c r="T1036" i="7"/>
  <c r="T1037" i="7"/>
  <c r="T1038" i="7"/>
  <c r="T1039" i="7"/>
  <c r="T1040" i="7"/>
  <c r="T1041" i="7"/>
  <c r="T1042" i="7"/>
  <c r="T1043" i="7"/>
  <c r="T1044" i="7"/>
  <c r="T1045" i="7"/>
  <c r="T1046" i="7"/>
  <c r="T1047" i="7"/>
  <c r="T1048" i="7"/>
  <c r="T1049" i="7"/>
  <c r="T1050" i="7"/>
  <c r="T1051" i="7"/>
  <c r="T1052" i="7"/>
  <c r="T1053" i="7"/>
  <c r="T1054" i="7"/>
  <c r="T1055" i="7"/>
  <c r="T1056" i="7"/>
  <c r="T1057" i="7"/>
  <c r="T1058" i="7"/>
  <c r="T1059" i="7"/>
  <c r="T1060" i="7"/>
  <c r="T1061" i="7"/>
  <c r="T1062" i="7"/>
  <c r="T1063" i="7"/>
  <c r="T1064" i="7"/>
  <c r="T1065" i="7"/>
  <c r="T1066" i="7"/>
  <c r="T1067" i="7"/>
  <c r="T1068" i="7"/>
  <c r="T1069" i="7"/>
  <c r="T1070" i="7"/>
  <c r="T1071" i="7"/>
  <c r="T1072" i="7"/>
  <c r="T1073" i="7"/>
  <c r="T1074" i="7"/>
  <c r="T1075" i="7"/>
  <c r="T1076" i="7"/>
  <c r="T1077" i="7"/>
  <c r="T1078" i="7"/>
  <c r="T1079" i="7"/>
  <c r="T1080" i="7"/>
  <c r="T1081" i="7"/>
  <c r="T1082" i="7"/>
  <c r="T1083" i="7"/>
  <c r="T1084" i="7"/>
  <c r="T1085" i="7"/>
  <c r="T1086" i="7"/>
  <c r="T1087" i="7"/>
  <c r="T1088" i="7"/>
  <c r="T1089" i="7"/>
  <c r="T1090" i="7"/>
  <c r="T1091" i="7"/>
  <c r="T1092" i="7"/>
  <c r="T1093" i="7"/>
  <c r="T1094" i="7"/>
  <c r="T1095" i="7"/>
  <c r="T1096" i="7"/>
  <c r="T1097" i="7"/>
  <c r="T1098" i="7"/>
  <c r="T1099" i="7"/>
  <c r="T1100" i="7"/>
  <c r="T1101" i="7"/>
  <c r="T1102" i="7"/>
  <c r="T1103" i="7"/>
  <c r="T1104" i="7"/>
  <c r="T1105" i="7"/>
  <c r="T1106" i="7"/>
  <c r="T1107" i="7"/>
  <c r="T1108" i="7"/>
  <c r="T1109" i="7"/>
  <c r="T1110" i="7"/>
  <c r="T1111" i="7"/>
  <c r="T1112" i="7"/>
  <c r="T1113" i="7"/>
  <c r="T1114" i="7"/>
  <c r="T1115" i="7"/>
  <c r="T1116" i="7"/>
  <c r="T1117" i="7"/>
  <c r="T1118" i="7"/>
  <c r="T1119" i="7"/>
  <c r="T1120" i="7"/>
  <c r="T1121" i="7"/>
  <c r="T1122" i="7"/>
  <c r="T1123" i="7"/>
  <c r="T1124" i="7"/>
  <c r="T1125" i="7"/>
  <c r="T1126" i="7"/>
  <c r="T1127" i="7"/>
  <c r="T1128" i="7"/>
  <c r="T1129" i="7"/>
  <c r="T1130" i="7"/>
  <c r="T1131" i="7"/>
  <c r="T1132" i="7"/>
  <c r="T1133" i="7"/>
  <c r="T1134" i="7"/>
  <c r="T1135" i="7"/>
  <c r="T1136" i="7"/>
  <c r="T1137" i="7"/>
  <c r="T1138" i="7"/>
  <c r="T1139" i="7"/>
  <c r="T1140" i="7"/>
  <c r="T1141" i="7"/>
  <c r="T1142" i="7"/>
  <c r="T1143" i="7"/>
  <c r="T1144" i="7"/>
  <c r="T1145" i="7"/>
  <c r="T1146" i="7"/>
  <c r="T1147" i="7"/>
  <c r="T1148" i="7"/>
  <c r="T1149" i="7"/>
  <c r="T1150" i="7"/>
  <c r="T1151" i="7"/>
  <c r="T1152" i="7"/>
  <c r="T1153" i="7"/>
  <c r="T1154" i="7"/>
  <c r="T1155" i="7"/>
  <c r="T1156" i="7"/>
  <c r="T1157" i="7"/>
  <c r="T1158" i="7"/>
  <c r="T1159" i="7"/>
  <c r="T1160" i="7"/>
  <c r="T1161" i="7"/>
  <c r="T1162" i="7"/>
  <c r="T1163" i="7"/>
  <c r="T1164" i="7"/>
  <c r="T1165" i="7"/>
  <c r="T1166" i="7"/>
  <c r="T1167" i="7"/>
  <c r="T1168" i="7"/>
  <c r="T1169" i="7"/>
  <c r="T1170" i="7"/>
  <c r="T1171" i="7"/>
  <c r="T1172" i="7"/>
  <c r="T1173" i="7"/>
  <c r="T1174" i="7"/>
  <c r="T1175" i="7"/>
  <c r="T1176" i="7"/>
  <c r="T1177" i="7"/>
  <c r="T1178" i="7"/>
  <c r="T1179" i="7"/>
  <c r="T1180" i="7"/>
  <c r="T1181" i="7"/>
  <c r="T1182" i="7"/>
  <c r="T1183" i="7"/>
  <c r="T1184" i="7"/>
  <c r="T1185" i="7"/>
  <c r="T1186" i="7"/>
  <c r="T1187" i="7"/>
  <c r="T1188" i="7"/>
  <c r="T1189" i="7"/>
  <c r="T1190" i="7"/>
  <c r="T1191" i="7"/>
  <c r="T1192" i="7"/>
  <c r="T1193" i="7"/>
  <c r="T1194" i="7"/>
  <c r="T1195" i="7"/>
  <c r="T1196" i="7"/>
  <c r="T1197" i="7"/>
  <c r="T1198" i="7"/>
  <c r="T1199" i="7"/>
  <c r="T1200" i="7"/>
  <c r="T1201" i="7"/>
  <c r="T1202" i="7"/>
  <c r="T1203" i="7"/>
  <c r="T1204" i="7"/>
  <c r="T1205" i="7"/>
  <c r="T1206" i="7"/>
  <c r="T1207" i="7"/>
  <c r="T1208" i="7"/>
  <c r="T1209" i="7"/>
  <c r="T1210" i="7"/>
  <c r="T1211" i="7"/>
  <c r="T1212" i="7"/>
  <c r="T1213" i="7"/>
  <c r="T1214" i="7"/>
  <c r="T1215" i="7"/>
  <c r="T1216" i="7"/>
  <c r="T1217" i="7"/>
  <c r="T1218" i="7"/>
  <c r="T1219" i="7"/>
  <c r="T1220" i="7"/>
  <c r="T1221" i="7"/>
  <c r="T1222" i="7"/>
  <c r="T1223" i="7"/>
  <c r="T1224" i="7"/>
  <c r="T1225" i="7"/>
  <c r="T1226" i="7"/>
  <c r="T1227" i="7"/>
  <c r="T1228" i="7"/>
  <c r="T1229" i="7"/>
  <c r="T1230" i="7"/>
  <c r="T1231" i="7"/>
  <c r="T1232" i="7"/>
  <c r="T1233" i="7"/>
  <c r="T1234" i="7"/>
  <c r="T1235" i="7"/>
  <c r="T1236" i="7"/>
  <c r="T1237" i="7"/>
  <c r="T1238" i="7"/>
  <c r="T1239" i="7"/>
  <c r="T1240" i="7"/>
  <c r="T1241" i="7"/>
  <c r="T1242" i="7"/>
  <c r="T1243" i="7"/>
  <c r="T1244" i="7"/>
  <c r="T1245" i="7"/>
  <c r="T1246" i="7"/>
  <c r="T1247" i="7"/>
  <c r="T1248" i="7"/>
  <c r="T1249" i="7"/>
  <c r="T1250" i="7"/>
  <c r="T1251" i="7"/>
  <c r="T1252" i="7"/>
  <c r="T1253" i="7"/>
  <c r="T1254" i="7"/>
  <c r="T1255" i="7"/>
  <c r="T1256" i="7"/>
  <c r="T1257" i="7"/>
  <c r="T1258" i="7"/>
  <c r="T1259" i="7"/>
  <c r="T1260" i="7"/>
  <c r="T1261" i="7"/>
  <c r="T1262" i="7"/>
  <c r="T1263" i="7"/>
  <c r="T1264" i="7"/>
  <c r="T1265" i="7"/>
  <c r="T1266" i="7"/>
  <c r="T1267" i="7"/>
  <c r="T1268" i="7"/>
  <c r="T1269" i="7"/>
  <c r="T1270" i="7"/>
  <c r="T1271" i="7"/>
  <c r="T1272" i="7"/>
  <c r="T1273" i="7"/>
  <c r="T1274" i="7"/>
  <c r="T1275" i="7"/>
  <c r="T1276" i="7"/>
  <c r="T1277" i="7"/>
  <c r="T1278" i="7"/>
  <c r="T1279" i="7"/>
  <c r="T1280" i="7"/>
  <c r="T1281" i="7"/>
  <c r="T1282" i="7"/>
  <c r="T1283" i="7"/>
  <c r="T1284" i="7"/>
  <c r="T1285" i="7"/>
  <c r="T1286" i="7"/>
  <c r="T1287" i="7"/>
  <c r="T1288" i="7"/>
  <c r="T1289" i="7"/>
  <c r="T1290" i="7"/>
  <c r="T1291" i="7"/>
  <c r="T1292" i="7"/>
  <c r="T1293" i="7"/>
  <c r="T1294" i="7"/>
  <c r="T1295" i="7"/>
  <c r="T1296" i="7"/>
  <c r="T1297" i="7"/>
  <c r="T1298" i="7"/>
  <c r="T1299" i="7"/>
  <c r="T1300" i="7"/>
  <c r="T1301" i="7"/>
  <c r="T1302" i="7"/>
  <c r="T1303" i="7"/>
  <c r="T1304" i="7"/>
  <c r="T1305" i="7"/>
  <c r="T1306" i="7"/>
  <c r="T1307" i="7"/>
  <c r="T1308" i="7"/>
  <c r="T1309" i="7"/>
  <c r="T1310" i="7"/>
  <c r="T1311" i="7"/>
  <c r="T1312" i="7"/>
  <c r="T1313" i="7"/>
  <c r="T1314" i="7"/>
  <c r="T1315" i="7"/>
  <c r="T1316" i="7"/>
  <c r="T1317" i="7"/>
  <c r="T1318" i="7"/>
  <c r="T1319" i="7"/>
  <c r="T1320" i="7"/>
  <c r="T1321" i="7"/>
  <c r="T1322" i="7"/>
  <c r="T1323" i="7"/>
  <c r="T1324" i="7"/>
  <c r="T1325" i="7"/>
  <c r="T1326" i="7"/>
  <c r="T1327" i="7"/>
  <c r="T1328" i="7"/>
  <c r="T1329" i="7"/>
  <c r="T1330" i="7"/>
  <c r="T1331" i="7"/>
  <c r="T1332" i="7"/>
  <c r="T1333" i="7"/>
  <c r="T1334" i="7"/>
  <c r="T1335" i="7"/>
  <c r="T1336" i="7"/>
  <c r="T1337" i="7"/>
  <c r="T1338" i="7"/>
  <c r="T1339" i="7"/>
  <c r="T1340" i="7"/>
  <c r="T1341" i="7"/>
  <c r="T1342" i="7"/>
  <c r="T1343" i="7"/>
  <c r="T1344" i="7"/>
  <c r="T1345" i="7"/>
  <c r="T1346" i="7"/>
  <c r="T1347" i="7"/>
  <c r="T1348" i="7"/>
  <c r="T1349" i="7"/>
  <c r="T1350" i="7"/>
  <c r="T1351" i="7"/>
  <c r="T1352" i="7"/>
  <c r="T1353" i="7"/>
  <c r="T1354" i="7"/>
  <c r="T1355" i="7"/>
  <c r="T1356" i="7"/>
  <c r="T1357" i="7"/>
  <c r="T1358" i="7"/>
  <c r="T1359" i="7"/>
  <c r="T1360" i="7"/>
  <c r="T1361" i="7"/>
  <c r="T1362" i="7"/>
  <c r="T1363" i="7"/>
  <c r="T1364" i="7"/>
  <c r="T1365" i="7"/>
  <c r="T1366" i="7"/>
  <c r="T1367" i="7"/>
  <c r="T1368" i="7"/>
  <c r="T1369" i="7"/>
  <c r="T1370" i="7"/>
  <c r="T1371" i="7"/>
  <c r="T1372" i="7"/>
  <c r="T1373" i="7"/>
  <c r="T1374" i="7"/>
  <c r="T1375" i="7"/>
  <c r="T1376" i="7"/>
  <c r="T1377" i="7"/>
  <c r="T1378" i="7"/>
  <c r="T1379" i="7"/>
  <c r="T1380" i="7"/>
  <c r="T1381" i="7"/>
  <c r="T1382" i="7"/>
  <c r="T1383" i="7"/>
  <c r="T1384" i="7"/>
  <c r="T1385" i="7"/>
  <c r="T1386" i="7"/>
  <c r="T1387" i="7"/>
  <c r="T1388" i="7"/>
  <c r="T1389"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1102" i="7"/>
  <c r="S1103" i="7"/>
  <c r="S1104" i="7"/>
  <c r="S1105" i="7"/>
  <c r="S1106" i="7"/>
  <c r="S1107" i="7"/>
  <c r="S1108" i="7"/>
  <c r="S1109" i="7"/>
  <c r="S1110" i="7"/>
  <c r="S1111" i="7"/>
  <c r="S1112" i="7"/>
  <c r="S1113" i="7"/>
  <c r="S1114" i="7"/>
  <c r="S1115" i="7"/>
  <c r="S1116" i="7"/>
  <c r="S1117" i="7"/>
  <c r="S1118" i="7"/>
  <c r="S1119" i="7"/>
  <c r="S1120" i="7"/>
  <c r="S1121" i="7"/>
  <c r="S1122" i="7"/>
  <c r="S1123" i="7"/>
  <c r="S1124" i="7"/>
  <c r="S1125" i="7"/>
  <c r="S1126" i="7"/>
  <c r="S1127" i="7"/>
  <c r="S1128" i="7"/>
  <c r="S1129" i="7"/>
  <c r="S1130" i="7"/>
  <c r="S1131" i="7"/>
  <c r="S1132" i="7"/>
  <c r="S1133" i="7"/>
  <c r="S1134" i="7"/>
  <c r="S1135" i="7"/>
  <c r="S1136" i="7"/>
  <c r="S1137" i="7"/>
  <c r="S1138" i="7"/>
  <c r="S1139" i="7"/>
  <c r="S1140" i="7"/>
  <c r="S1141" i="7"/>
  <c r="S1142" i="7"/>
  <c r="S1143" i="7"/>
  <c r="S1144" i="7"/>
  <c r="S1145" i="7"/>
  <c r="S1146" i="7"/>
  <c r="S1147" i="7"/>
  <c r="S1148" i="7"/>
  <c r="S1149" i="7"/>
  <c r="S1150" i="7"/>
  <c r="S1151" i="7"/>
  <c r="S1152" i="7"/>
  <c r="S1153" i="7"/>
  <c r="S1154" i="7"/>
  <c r="S1155" i="7"/>
  <c r="S1156" i="7"/>
  <c r="S1157" i="7"/>
  <c r="S1158" i="7"/>
  <c r="S1159" i="7"/>
  <c r="S1160" i="7"/>
  <c r="S1161" i="7"/>
  <c r="S1162" i="7"/>
  <c r="S1163" i="7"/>
  <c r="S1164" i="7"/>
  <c r="S1165" i="7"/>
  <c r="S1166" i="7"/>
  <c r="S1167" i="7"/>
  <c r="S1168" i="7"/>
  <c r="S1169" i="7"/>
  <c r="S1170" i="7"/>
  <c r="S1171" i="7"/>
  <c r="S1172" i="7"/>
  <c r="S1173" i="7"/>
  <c r="S1174" i="7"/>
  <c r="S1175" i="7"/>
  <c r="S1176" i="7"/>
  <c r="S1177" i="7"/>
  <c r="S1178" i="7"/>
  <c r="S1179" i="7"/>
  <c r="S1180" i="7"/>
  <c r="S1181" i="7"/>
  <c r="S1182" i="7"/>
  <c r="S1183" i="7"/>
  <c r="S1184" i="7"/>
  <c r="S1185" i="7"/>
  <c r="S1186" i="7"/>
  <c r="S1187" i="7"/>
  <c r="S1188" i="7"/>
  <c r="S1189" i="7"/>
  <c r="S1190" i="7"/>
  <c r="S1191" i="7"/>
  <c r="S1192" i="7"/>
  <c r="S1193" i="7"/>
  <c r="S1194" i="7"/>
  <c r="S1195" i="7"/>
  <c r="S1196" i="7"/>
  <c r="S1197" i="7"/>
  <c r="S1198" i="7"/>
  <c r="S1199" i="7"/>
  <c r="S1200" i="7"/>
  <c r="S1201" i="7"/>
  <c r="S1202" i="7"/>
  <c r="S1203" i="7"/>
  <c r="S1204" i="7"/>
  <c r="S1205" i="7"/>
  <c r="S1206" i="7"/>
  <c r="S1207" i="7"/>
  <c r="S1208" i="7"/>
  <c r="S1209" i="7"/>
  <c r="S1210" i="7"/>
  <c r="S1211" i="7"/>
  <c r="S1212" i="7"/>
  <c r="S1213" i="7"/>
  <c r="S1214" i="7"/>
  <c r="S1215" i="7"/>
  <c r="S1216" i="7"/>
  <c r="S1217" i="7"/>
  <c r="S1218" i="7"/>
  <c r="S1219" i="7"/>
  <c r="S1220" i="7"/>
  <c r="S1221" i="7"/>
  <c r="S1222" i="7"/>
  <c r="S1223" i="7"/>
  <c r="S1224" i="7"/>
  <c r="S1225" i="7"/>
  <c r="S1226" i="7"/>
  <c r="S1227" i="7"/>
  <c r="S1228" i="7"/>
  <c r="S1229" i="7"/>
  <c r="S1230" i="7"/>
  <c r="S1231" i="7"/>
  <c r="S1232" i="7"/>
  <c r="S1233" i="7"/>
  <c r="S1234" i="7"/>
  <c r="S1235" i="7"/>
  <c r="S1236" i="7"/>
  <c r="S1237" i="7"/>
  <c r="S1238" i="7"/>
  <c r="S1239" i="7"/>
  <c r="S1240" i="7"/>
  <c r="S1241" i="7"/>
  <c r="S1242" i="7"/>
  <c r="S1243" i="7"/>
  <c r="S1244" i="7"/>
  <c r="S1245" i="7"/>
  <c r="S1246" i="7"/>
  <c r="S1247" i="7"/>
  <c r="S1248" i="7"/>
  <c r="S1249" i="7"/>
  <c r="S1250" i="7"/>
  <c r="S1251" i="7"/>
  <c r="S1252" i="7"/>
  <c r="S1253" i="7"/>
  <c r="S1254" i="7"/>
  <c r="S1255" i="7"/>
  <c r="S1256" i="7"/>
  <c r="S1257" i="7"/>
  <c r="S1258" i="7"/>
  <c r="S1259" i="7"/>
  <c r="S1260" i="7"/>
  <c r="S1261" i="7"/>
  <c r="S1262" i="7"/>
  <c r="S1263" i="7"/>
  <c r="S1264" i="7"/>
  <c r="S1265" i="7"/>
  <c r="S1266" i="7"/>
  <c r="S1267" i="7"/>
  <c r="S1268" i="7"/>
  <c r="S1269" i="7"/>
  <c r="S1270" i="7"/>
  <c r="S1271" i="7"/>
  <c r="S1272" i="7"/>
  <c r="S1273" i="7"/>
  <c r="S1274" i="7"/>
  <c r="S1275" i="7"/>
  <c r="S1276" i="7"/>
  <c r="S1277" i="7"/>
  <c r="S1278" i="7"/>
  <c r="S1279" i="7"/>
  <c r="S1280" i="7"/>
  <c r="S1281" i="7"/>
  <c r="S1282" i="7"/>
  <c r="S1283" i="7"/>
  <c r="S1284" i="7"/>
  <c r="S1285" i="7"/>
  <c r="S1286" i="7"/>
  <c r="S1287" i="7"/>
  <c r="S1288" i="7"/>
  <c r="S1289" i="7"/>
  <c r="S1290" i="7"/>
  <c r="S1291" i="7"/>
  <c r="S1292" i="7"/>
  <c r="S1293" i="7"/>
  <c r="S1294" i="7"/>
  <c r="S1295" i="7"/>
  <c r="S1296" i="7"/>
  <c r="S1297" i="7"/>
  <c r="S1298" i="7"/>
  <c r="S1299" i="7"/>
  <c r="S1300" i="7"/>
  <c r="S1301" i="7"/>
  <c r="S1302" i="7"/>
  <c r="S1303" i="7"/>
  <c r="S1304" i="7"/>
  <c r="S1305" i="7"/>
  <c r="S1306" i="7"/>
  <c r="S1307" i="7"/>
  <c r="S1308" i="7"/>
  <c r="S1309" i="7"/>
  <c r="S1310" i="7"/>
  <c r="S1311" i="7"/>
  <c r="S1312" i="7"/>
  <c r="S1313" i="7"/>
  <c r="S1314" i="7"/>
  <c r="S1315" i="7"/>
  <c r="S1316" i="7"/>
  <c r="S1317" i="7"/>
  <c r="S1318" i="7"/>
  <c r="S1319" i="7"/>
  <c r="S1320" i="7"/>
  <c r="S1321" i="7"/>
  <c r="S1322" i="7"/>
  <c r="S1323" i="7"/>
  <c r="S1324" i="7"/>
  <c r="S1325" i="7"/>
  <c r="S1326" i="7"/>
  <c r="S1327" i="7"/>
  <c r="S1328" i="7"/>
  <c r="S1329" i="7"/>
  <c r="S1330" i="7"/>
  <c r="S1331" i="7"/>
  <c r="S1332" i="7"/>
  <c r="S1333" i="7"/>
  <c r="S1334" i="7"/>
  <c r="S1335" i="7"/>
  <c r="S1336" i="7"/>
  <c r="S1337" i="7"/>
  <c r="S1338" i="7"/>
  <c r="S1339" i="7"/>
  <c r="S1340" i="7"/>
  <c r="S1341" i="7"/>
  <c r="S1342" i="7"/>
  <c r="S1343" i="7"/>
  <c r="S1344" i="7"/>
  <c r="S1345" i="7"/>
  <c r="S1346" i="7"/>
  <c r="S1347" i="7"/>
  <c r="S1348" i="7"/>
  <c r="S1349" i="7"/>
  <c r="S1350" i="7"/>
  <c r="S1351" i="7"/>
  <c r="S1352" i="7"/>
  <c r="S1353" i="7"/>
  <c r="S1354" i="7"/>
  <c r="S1355" i="7"/>
  <c r="S1356" i="7"/>
  <c r="S1357" i="7"/>
  <c r="S1358" i="7"/>
  <c r="S1359" i="7"/>
  <c r="S1360" i="7"/>
  <c r="S1361" i="7"/>
  <c r="S1362" i="7"/>
  <c r="S1363" i="7"/>
  <c r="S1364" i="7"/>
  <c r="S1365" i="7"/>
  <c r="S1366" i="7"/>
  <c r="S1367" i="7"/>
  <c r="S1368" i="7"/>
  <c r="S1369" i="7"/>
  <c r="S1370" i="7"/>
  <c r="S1371" i="7"/>
  <c r="S1372" i="7"/>
  <c r="S1373" i="7"/>
  <c r="S1374" i="7"/>
  <c r="S1375" i="7"/>
  <c r="S1376" i="7"/>
  <c r="S1377" i="7"/>
  <c r="S1378" i="7"/>
  <c r="S1379" i="7"/>
  <c r="S1380" i="7"/>
  <c r="S1381" i="7"/>
  <c r="S1382" i="7"/>
  <c r="S1383" i="7"/>
  <c r="S1384" i="7"/>
  <c r="S1385" i="7"/>
  <c r="S1386" i="7"/>
  <c r="S1387" i="7"/>
  <c r="S1388" i="7"/>
  <c r="S1389"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R440" i="7"/>
  <c r="R441" i="7"/>
  <c r="R442" i="7"/>
  <c r="R443" i="7"/>
  <c r="R444" i="7"/>
  <c r="R445" i="7"/>
  <c r="R446" i="7"/>
  <c r="R447" i="7"/>
  <c r="R448" i="7"/>
  <c r="R449" i="7"/>
  <c r="R450" i="7"/>
  <c r="R451" i="7"/>
  <c r="R452" i="7"/>
  <c r="R453" i="7"/>
  <c r="R454" i="7"/>
  <c r="R455" i="7"/>
  <c r="R456" i="7"/>
  <c r="R457" i="7"/>
  <c r="R458" i="7"/>
  <c r="R459" i="7"/>
  <c r="R460" i="7"/>
  <c r="R461" i="7"/>
  <c r="R462" i="7"/>
  <c r="R463" i="7"/>
  <c r="R464" i="7"/>
  <c r="R465" i="7"/>
  <c r="R466" i="7"/>
  <c r="R467" i="7"/>
  <c r="R468" i="7"/>
  <c r="R469" i="7"/>
  <c r="R470" i="7"/>
  <c r="R471" i="7"/>
  <c r="R472" i="7"/>
  <c r="R473" i="7"/>
  <c r="R474" i="7"/>
  <c r="R475" i="7"/>
  <c r="R476" i="7"/>
  <c r="R477" i="7"/>
  <c r="R478" i="7"/>
  <c r="R479" i="7"/>
  <c r="R480" i="7"/>
  <c r="R481" i="7"/>
  <c r="R482" i="7"/>
  <c r="R483" i="7"/>
  <c r="R484" i="7"/>
  <c r="R485" i="7"/>
  <c r="R486" i="7"/>
  <c r="R487" i="7"/>
  <c r="R488" i="7"/>
  <c r="R489" i="7"/>
  <c r="R490" i="7"/>
  <c r="R491" i="7"/>
  <c r="R492" i="7"/>
  <c r="R493" i="7"/>
  <c r="R494" i="7"/>
  <c r="R495" i="7"/>
  <c r="R496" i="7"/>
  <c r="R497" i="7"/>
  <c r="R498" i="7"/>
  <c r="R499" i="7"/>
  <c r="R500" i="7"/>
  <c r="R501" i="7"/>
  <c r="R502" i="7"/>
  <c r="R503" i="7"/>
  <c r="R504" i="7"/>
  <c r="R505" i="7"/>
  <c r="R506" i="7"/>
  <c r="R507" i="7"/>
  <c r="R508" i="7"/>
  <c r="R509" i="7"/>
  <c r="R510" i="7"/>
  <c r="R511" i="7"/>
  <c r="R512" i="7"/>
  <c r="R513" i="7"/>
  <c r="R514" i="7"/>
  <c r="R515" i="7"/>
  <c r="R516" i="7"/>
  <c r="R517" i="7"/>
  <c r="R518" i="7"/>
  <c r="R519" i="7"/>
  <c r="R520" i="7"/>
  <c r="R521" i="7"/>
  <c r="R522" i="7"/>
  <c r="R523" i="7"/>
  <c r="R524" i="7"/>
  <c r="R525" i="7"/>
  <c r="R526" i="7"/>
  <c r="R527" i="7"/>
  <c r="R528" i="7"/>
  <c r="R529" i="7"/>
  <c r="R530" i="7"/>
  <c r="R531" i="7"/>
  <c r="R532" i="7"/>
  <c r="R533" i="7"/>
  <c r="R534" i="7"/>
  <c r="R535" i="7"/>
  <c r="R536" i="7"/>
  <c r="R537" i="7"/>
  <c r="R538" i="7"/>
  <c r="R539" i="7"/>
  <c r="R540" i="7"/>
  <c r="R541" i="7"/>
  <c r="R542" i="7"/>
  <c r="R543" i="7"/>
  <c r="R544" i="7"/>
  <c r="R545" i="7"/>
  <c r="R546" i="7"/>
  <c r="R547" i="7"/>
  <c r="R548" i="7"/>
  <c r="R549" i="7"/>
  <c r="R550" i="7"/>
  <c r="R551" i="7"/>
  <c r="R552" i="7"/>
  <c r="R553" i="7"/>
  <c r="R554" i="7"/>
  <c r="R555" i="7"/>
  <c r="R556" i="7"/>
  <c r="R557" i="7"/>
  <c r="R558" i="7"/>
  <c r="R559" i="7"/>
  <c r="R560" i="7"/>
  <c r="R561" i="7"/>
  <c r="R562" i="7"/>
  <c r="R563" i="7"/>
  <c r="R564" i="7"/>
  <c r="R565" i="7"/>
  <c r="R566" i="7"/>
  <c r="R567" i="7"/>
  <c r="R568" i="7"/>
  <c r="R569" i="7"/>
  <c r="R570" i="7"/>
  <c r="R571" i="7"/>
  <c r="R572" i="7"/>
  <c r="R573" i="7"/>
  <c r="R574" i="7"/>
  <c r="R575" i="7"/>
  <c r="R576" i="7"/>
  <c r="R577" i="7"/>
  <c r="R578" i="7"/>
  <c r="R579" i="7"/>
  <c r="R580" i="7"/>
  <c r="R581" i="7"/>
  <c r="R582" i="7"/>
  <c r="R583" i="7"/>
  <c r="R584" i="7"/>
  <c r="R585" i="7"/>
  <c r="R586" i="7"/>
  <c r="R587" i="7"/>
  <c r="R588" i="7"/>
  <c r="R589" i="7"/>
  <c r="R590" i="7"/>
  <c r="R591" i="7"/>
  <c r="R592" i="7"/>
  <c r="R593" i="7"/>
  <c r="R594" i="7"/>
  <c r="R595" i="7"/>
  <c r="R596" i="7"/>
  <c r="R597" i="7"/>
  <c r="R598" i="7"/>
  <c r="R599" i="7"/>
  <c r="R600" i="7"/>
  <c r="R601" i="7"/>
  <c r="R602" i="7"/>
  <c r="R603" i="7"/>
  <c r="R604" i="7"/>
  <c r="R605" i="7"/>
  <c r="R606" i="7"/>
  <c r="R607" i="7"/>
  <c r="R608" i="7"/>
  <c r="R609" i="7"/>
  <c r="R610" i="7"/>
  <c r="R611" i="7"/>
  <c r="R612" i="7"/>
  <c r="R613" i="7"/>
  <c r="R614" i="7"/>
  <c r="R615" i="7"/>
  <c r="R616" i="7"/>
  <c r="R617" i="7"/>
  <c r="R618" i="7"/>
  <c r="R619" i="7"/>
  <c r="R620" i="7"/>
  <c r="R621" i="7"/>
  <c r="R622" i="7"/>
  <c r="R623" i="7"/>
  <c r="R624" i="7"/>
  <c r="R625" i="7"/>
  <c r="R626" i="7"/>
  <c r="R627" i="7"/>
  <c r="R628" i="7"/>
  <c r="R629" i="7"/>
  <c r="R630" i="7"/>
  <c r="R631" i="7"/>
  <c r="R632" i="7"/>
  <c r="R633" i="7"/>
  <c r="R634" i="7"/>
  <c r="R635" i="7"/>
  <c r="R636" i="7"/>
  <c r="R637" i="7"/>
  <c r="R638" i="7"/>
  <c r="R639" i="7"/>
  <c r="R640" i="7"/>
  <c r="R641" i="7"/>
  <c r="R642" i="7"/>
  <c r="R643" i="7"/>
  <c r="R644" i="7"/>
  <c r="R645" i="7"/>
  <c r="R646" i="7"/>
  <c r="R647" i="7"/>
  <c r="R648" i="7"/>
  <c r="R649" i="7"/>
  <c r="R650" i="7"/>
  <c r="R651" i="7"/>
  <c r="R652" i="7"/>
  <c r="R653" i="7"/>
  <c r="R654" i="7"/>
  <c r="R655" i="7"/>
  <c r="R656" i="7"/>
  <c r="R657" i="7"/>
  <c r="R658" i="7"/>
  <c r="R659" i="7"/>
  <c r="R660" i="7"/>
  <c r="R661" i="7"/>
  <c r="R662" i="7"/>
  <c r="R663" i="7"/>
  <c r="R664" i="7"/>
  <c r="R665" i="7"/>
  <c r="R666" i="7"/>
  <c r="R667" i="7"/>
  <c r="R668" i="7"/>
  <c r="R669" i="7"/>
  <c r="R670" i="7"/>
  <c r="R671" i="7"/>
  <c r="R672" i="7"/>
  <c r="R673" i="7"/>
  <c r="R674" i="7"/>
  <c r="R675" i="7"/>
  <c r="R676" i="7"/>
  <c r="R677" i="7"/>
  <c r="R678" i="7"/>
  <c r="R679" i="7"/>
  <c r="R680" i="7"/>
  <c r="R681" i="7"/>
  <c r="R682" i="7"/>
  <c r="R683" i="7"/>
  <c r="R684" i="7"/>
  <c r="R685" i="7"/>
  <c r="R686" i="7"/>
  <c r="R687" i="7"/>
  <c r="R688" i="7"/>
  <c r="R689" i="7"/>
  <c r="R690" i="7"/>
  <c r="R691" i="7"/>
  <c r="R692" i="7"/>
  <c r="R693" i="7"/>
  <c r="R694" i="7"/>
  <c r="R695" i="7"/>
  <c r="R696" i="7"/>
  <c r="R697" i="7"/>
  <c r="R698" i="7"/>
  <c r="R699" i="7"/>
  <c r="R700" i="7"/>
  <c r="R701" i="7"/>
  <c r="R702" i="7"/>
  <c r="R703" i="7"/>
  <c r="R704" i="7"/>
  <c r="R705" i="7"/>
  <c r="R706" i="7"/>
  <c r="R707" i="7"/>
  <c r="R708" i="7"/>
  <c r="R709" i="7"/>
  <c r="R710" i="7"/>
  <c r="R711" i="7"/>
  <c r="R712" i="7"/>
  <c r="R713" i="7"/>
  <c r="R714" i="7"/>
  <c r="R715" i="7"/>
  <c r="R716" i="7"/>
  <c r="R717" i="7"/>
  <c r="R718" i="7"/>
  <c r="R719" i="7"/>
  <c r="R720" i="7"/>
  <c r="R721" i="7"/>
  <c r="R722" i="7"/>
  <c r="R723" i="7"/>
  <c r="R724" i="7"/>
  <c r="R725" i="7"/>
  <c r="R726" i="7"/>
  <c r="R727" i="7"/>
  <c r="R728" i="7"/>
  <c r="R729" i="7"/>
  <c r="R730" i="7"/>
  <c r="R731" i="7"/>
  <c r="R732" i="7"/>
  <c r="R733" i="7"/>
  <c r="R734" i="7"/>
  <c r="R735" i="7"/>
  <c r="R736" i="7"/>
  <c r="R737" i="7"/>
  <c r="R738" i="7"/>
  <c r="R739" i="7"/>
  <c r="R740" i="7"/>
  <c r="R741" i="7"/>
  <c r="R742" i="7"/>
  <c r="R743" i="7"/>
  <c r="R744" i="7"/>
  <c r="R745" i="7"/>
  <c r="R746" i="7"/>
  <c r="R747" i="7"/>
  <c r="R748" i="7"/>
  <c r="R749" i="7"/>
  <c r="R750" i="7"/>
  <c r="R751" i="7"/>
  <c r="R752" i="7"/>
  <c r="R753" i="7"/>
  <c r="R754" i="7"/>
  <c r="R755" i="7"/>
  <c r="R756" i="7"/>
  <c r="R757" i="7"/>
  <c r="R758" i="7"/>
  <c r="R759" i="7"/>
  <c r="R760" i="7"/>
  <c r="R761" i="7"/>
  <c r="R762" i="7"/>
  <c r="R763" i="7"/>
  <c r="R764" i="7"/>
  <c r="R765" i="7"/>
  <c r="R766" i="7"/>
  <c r="R767" i="7"/>
  <c r="R768" i="7"/>
  <c r="R769" i="7"/>
  <c r="R770" i="7"/>
  <c r="R771" i="7"/>
  <c r="R772" i="7"/>
  <c r="R773" i="7"/>
  <c r="R774" i="7"/>
  <c r="R775" i="7"/>
  <c r="R776" i="7"/>
  <c r="R777" i="7"/>
  <c r="R778" i="7"/>
  <c r="R779" i="7"/>
  <c r="R780" i="7"/>
  <c r="R781" i="7"/>
  <c r="R782" i="7"/>
  <c r="R783" i="7"/>
  <c r="R784" i="7"/>
  <c r="R785" i="7"/>
  <c r="R786" i="7"/>
  <c r="R787" i="7"/>
  <c r="R788" i="7"/>
  <c r="R789" i="7"/>
  <c r="R790" i="7"/>
  <c r="R791" i="7"/>
  <c r="R792" i="7"/>
  <c r="R793" i="7"/>
  <c r="R794" i="7"/>
  <c r="R795" i="7"/>
  <c r="R796" i="7"/>
  <c r="R797" i="7"/>
  <c r="R798" i="7"/>
  <c r="R799" i="7"/>
  <c r="R800" i="7"/>
  <c r="R801" i="7"/>
  <c r="R802" i="7"/>
  <c r="R803" i="7"/>
  <c r="R804" i="7"/>
  <c r="R805" i="7"/>
  <c r="R806" i="7"/>
  <c r="R807" i="7"/>
  <c r="R808" i="7"/>
  <c r="R809" i="7"/>
  <c r="R810" i="7"/>
  <c r="R811" i="7"/>
  <c r="R812" i="7"/>
  <c r="R813" i="7"/>
  <c r="R814" i="7"/>
  <c r="R815" i="7"/>
  <c r="R816" i="7"/>
  <c r="R817" i="7"/>
  <c r="R818" i="7"/>
  <c r="R819" i="7"/>
  <c r="R820" i="7"/>
  <c r="R821" i="7"/>
  <c r="R822" i="7"/>
  <c r="R823" i="7"/>
  <c r="R824" i="7"/>
  <c r="R825" i="7"/>
  <c r="R826" i="7"/>
  <c r="R827" i="7"/>
  <c r="R828" i="7"/>
  <c r="R829" i="7"/>
  <c r="R830" i="7"/>
  <c r="R831" i="7"/>
  <c r="R832" i="7"/>
  <c r="R833" i="7"/>
  <c r="R834" i="7"/>
  <c r="R835" i="7"/>
  <c r="R836" i="7"/>
  <c r="R837" i="7"/>
  <c r="R838" i="7"/>
  <c r="R839" i="7"/>
  <c r="R840" i="7"/>
  <c r="R841" i="7"/>
  <c r="R842" i="7"/>
  <c r="R843" i="7"/>
  <c r="R844" i="7"/>
  <c r="R845" i="7"/>
  <c r="R846" i="7"/>
  <c r="R847" i="7"/>
  <c r="R848" i="7"/>
  <c r="R849" i="7"/>
  <c r="R850" i="7"/>
  <c r="R851" i="7"/>
  <c r="R852" i="7"/>
  <c r="R853" i="7"/>
  <c r="R854" i="7"/>
  <c r="R855" i="7"/>
  <c r="R856" i="7"/>
  <c r="R857" i="7"/>
  <c r="R858" i="7"/>
  <c r="R859" i="7"/>
  <c r="R860" i="7"/>
  <c r="R861" i="7"/>
  <c r="R862" i="7"/>
  <c r="R863" i="7"/>
  <c r="R864" i="7"/>
  <c r="R865" i="7"/>
  <c r="R866" i="7"/>
  <c r="R867" i="7"/>
  <c r="R868" i="7"/>
  <c r="R869" i="7"/>
  <c r="R870" i="7"/>
  <c r="R871" i="7"/>
  <c r="R872" i="7"/>
  <c r="R873" i="7"/>
  <c r="R874" i="7"/>
  <c r="R875" i="7"/>
  <c r="R876" i="7"/>
  <c r="R877" i="7"/>
  <c r="R878" i="7"/>
  <c r="R879" i="7"/>
  <c r="R880" i="7"/>
  <c r="R881" i="7"/>
  <c r="R882" i="7"/>
  <c r="R883" i="7"/>
  <c r="R884" i="7"/>
  <c r="R885" i="7"/>
  <c r="R886" i="7"/>
  <c r="R887" i="7"/>
  <c r="R888" i="7"/>
  <c r="R889" i="7"/>
  <c r="R890" i="7"/>
  <c r="R891" i="7"/>
  <c r="R892" i="7"/>
  <c r="R893" i="7"/>
  <c r="R894" i="7"/>
  <c r="R895" i="7"/>
  <c r="R896" i="7"/>
  <c r="R897" i="7"/>
  <c r="R898" i="7"/>
  <c r="R899" i="7"/>
  <c r="R900" i="7"/>
  <c r="R901" i="7"/>
  <c r="R902" i="7"/>
  <c r="R903" i="7"/>
  <c r="R904" i="7"/>
  <c r="R905" i="7"/>
  <c r="R906" i="7"/>
  <c r="R907" i="7"/>
  <c r="R908" i="7"/>
  <c r="R909" i="7"/>
  <c r="R910" i="7"/>
  <c r="R911" i="7"/>
  <c r="R912" i="7"/>
  <c r="R913" i="7"/>
  <c r="R914" i="7"/>
  <c r="R915" i="7"/>
  <c r="R916" i="7"/>
  <c r="R917" i="7"/>
  <c r="R918" i="7"/>
  <c r="R919" i="7"/>
  <c r="R920" i="7"/>
  <c r="R921" i="7"/>
  <c r="R922" i="7"/>
  <c r="R923" i="7"/>
  <c r="R924" i="7"/>
  <c r="R925" i="7"/>
  <c r="R926" i="7"/>
  <c r="R927" i="7"/>
  <c r="R928" i="7"/>
  <c r="R929" i="7"/>
  <c r="R930" i="7"/>
  <c r="R931" i="7"/>
  <c r="R932" i="7"/>
  <c r="R933" i="7"/>
  <c r="R934" i="7"/>
  <c r="R935" i="7"/>
  <c r="R936" i="7"/>
  <c r="R937" i="7"/>
  <c r="R938" i="7"/>
  <c r="R939" i="7"/>
  <c r="R940" i="7"/>
  <c r="R941" i="7"/>
  <c r="R942" i="7"/>
  <c r="R943" i="7"/>
  <c r="R944" i="7"/>
  <c r="R945" i="7"/>
  <c r="R946" i="7"/>
  <c r="R947" i="7"/>
  <c r="R948" i="7"/>
  <c r="R949" i="7"/>
  <c r="R950" i="7"/>
  <c r="R951" i="7"/>
  <c r="R952" i="7"/>
  <c r="R953" i="7"/>
  <c r="R954" i="7"/>
  <c r="R955" i="7"/>
  <c r="R956" i="7"/>
  <c r="R957" i="7"/>
  <c r="R958" i="7"/>
  <c r="R959" i="7"/>
  <c r="R960" i="7"/>
  <c r="R961" i="7"/>
  <c r="R962" i="7"/>
  <c r="R963" i="7"/>
  <c r="R964" i="7"/>
  <c r="R965" i="7"/>
  <c r="R966" i="7"/>
  <c r="R967" i="7"/>
  <c r="R968" i="7"/>
  <c r="R969" i="7"/>
  <c r="R970" i="7"/>
  <c r="R971" i="7"/>
  <c r="R972" i="7"/>
  <c r="R973" i="7"/>
  <c r="R974" i="7"/>
  <c r="R975" i="7"/>
  <c r="R976" i="7"/>
  <c r="R977" i="7"/>
  <c r="R978" i="7"/>
  <c r="R979" i="7"/>
  <c r="R980" i="7"/>
  <c r="R981" i="7"/>
  <c r="R982" i="7"/>
  <c r="R983" i="7"/>
  <c r="R984" i="7"/>
  <c r="R985" i="7"/>
  <c r="R986" i="7"/>
  <c r="R987" i="7"/>
  <c r="R988" i="7"/>
  <c r="R989" i="7"/>
  <c r="R990" i="7"/>
  <c r="R991" i="7"/>
  <c r="R992" i="7"/>
  <c r="R993" i="7"/>
  <c r="R994" i="7"/>
  <c r="R995" i="7"/>
  <c r="R996" i="7"/>
  <c r="R997" i="7"/>
  <c r="R998" i="7"/>
  <c r="R999" i="7"/>
  <c r="R1000" i="7"/>
  <c r="R1001" i="7"/>
  <c r="R1002" i="7"/>
  <c r="R1003" i="7"/>
  <c r="R1004" i="7"/>
  <c r="R1005" i="7"/>
  <c r="R1006" i="7"/>
  <c r="R1007" i="7"/>
  <c r="R1008" i="7"/>
  <c r="R1009" i="7"/>
  <c r="R1010" i="7"/>
  <c r="R1011" i="7"/>
  <c r="R1012" i="7"/>
  <c r="R1013" i="7"/>
  <c r="R1014" i="7"/>
  <c r="R1015" i="7"/>
  <c r="R1016" i="7"/>
  <c r="R1017" i="7"/>
  <c r="R1018" i="7"/>
  <c r="R1019" i="7"/>
  <c r="R1020" i="7"/>
  <c r="R1021" i="7"/>
  <c r="R1022" i="7"/>
  <c r="R1023" i="7"/>
  <c r="R1024" i="7"/>
  <c r="R1025" i="7"/>
  <c r="R1026" i="7"/>
  <c r="R1027" i="7"/>
  <c r="R1028" i="7"/>
  <c r="R1029" i="7"/>
  <c r="R1030" i="7"/>
  <c r="R1031" i="7"/>
  <c r="R1032" i="7"/>
  <c r="R1033" i="7"/>
  <c r="R1034" i="7"/>
  <c r="R1035" i="7"/>
  <c r="R1036" i="7"/>
  <c r="R1037" i="7"/>
  <c r="R1038" i="7"/>
  <c r="R1039" i="7"/>
  <c r="R1040" i="7"/>
  <c r="R1041" i="7"/>
  <c r="R1042" i="7"/>
  <c r="R1043" i="7"/>
  <c r="R1044" i="7"/>
  <c r="R1045" i="7"/>
  <c r="R1046" i="7"/>
  <c r="R1047" i="7"/>
  <c r="R1048" i="7"/>
  <c r="R1049" i="7"/>
  <c r="R1050" i="7"/>
  <c r="R1051" i="7"/>
  <c r="R1052" i="7"/>
  <c r="R1053" i="7"/>
  <c r="R1054" i="7"/>
  <c r="R1055" i="7"/>
  <c r="R1056" i="7"/>
  <c r="R1057" i="7"/>
  <c r="R1058" i="7"/>
  <c r="R1059" i="7"/>
  <c r="R1060" i="7"/>
  <c r="R1061" i="7"/>
  <c r="R1062" i="7"/>
  <c r="R1063" i="7"/>
  <c r="R1064" i="7"/>
  <c r="R1065" i="7"/>
  <c r="R1066" i="7"/>
  <c r="R1067" i="7"/>
  <c r="R1068" i="7"/>
  <c r="R1069" i="7"/>
  <c r="R1070" i="7"/>
  <c r="R1071" i="7"/>
  <c r="R1072" i="7"/>
  <c r="R1073" i="7"/>
  <c r="R1074" i="7"/>
  <c r="R1075" i="7"/>
  <c r="R1076" i="7"/>
  <c r="R1077" i="7"/>
  <c r="R1078" i="7"/>
  <c r="R1079" i="7"/>
  <c r="R1080" i="7"/>
  <c r="R1081" i="7"/>
  <c r="R1082" i="7"/>
  <c r="R1083" i="7"/>
  <c r="R1084" i="7"/>
  <c r="R1085" i="7"/>
  <c r="R1086" i="7"/>
  <c r="R1087" i="7"/>
  <c r="R1088" i="7"/>
  <c r="R1089" i="7"/>
  <c r="R1090" i="7"/>
  <c r="R1091" i="7"/>
  <c r="R1092" i="7"/>
  <c r="R1093" i="7"/>
  <c r="R1094" i="7"/>
  <c r="R1095" i="7"/>
  <c r="R1096" i="7"/>
  <c r="R1097" i="7"/>
  <c r="R1098" i="7"/>
  <c r="R1099" i="7"/>
  <c r="R1100" i="7"/>
  <c r="R1101" i="7"/>
  <c r="R1102" i="7"/>
  <c r="R1103" i="7"/>
  <c r="R1104" i="7"/>
  <c r="R1105" i="7"/>
  <c r="R1106" i="7"/>
  <c r="R1107" i="7"/>
  <c r="R1108" i="7"/>
  <c r="R1109" i="7"/>
  <c r="R1110" i="7"/>
  <c r="R1111" i="7"/>
  <c r="R1112" i="7"/>
  <c r="R1113" i="7"/>
  <c r="R1114" i="7"/>
  <c r="R1115" i="7"/>
  <c r="R1116" i="7"/>
  <c r="R1117" i="7"/>
  <c r="R1118" i="7"/>
  <c r="R1119" i="7"/>
  <c r="R1120" i="7"/>
  <c r="R1121" i="7"/>
  <c r="R1122" i="7"/>
  <c r="R1123" i="7"/>
  <c r="R1124" i="7"/>
  <c r="R1125" i="7"/>
  <c r="R1126" i="7"/>
  <c r="R1127" i="7"/>
  <c r="R1128" i="7"/>
  <c r="R1129" i="7"/>
  <c r="R1130" i="7"/>
  <c r="R1131" i="7"/>
  <c r="R1132" i="7"/>
  <c r="R1133" i="7"/>
  <c r="R1134" i="7"/>
  <c r="R1135" i="7"/>
  <c r="R1136" i="7"/>
  <c r="R1137" i="7"/>
  <c r="R1138" i="7"/>
  <c r="R1139" i="7"/>
  <c r="R1140" i="7"/>
  <c r="R1141" i="7"/>
  <c r="R1142" i="7"/>
  <c r="R1143" i="7"/>
  <c r="R1144" i="7"/>
  <c r="R1145" i="7"/>
  <c r="R1146" i="7"/>
  <c r="R1147" i="7"/>
  <c r="R1148" i="7"/>
  <c r="R1149" i="7"/>
  <c r="R1150" i="7"/>
  <c r="R1151" i="7"/>
  <c r="R1152" i="7"/>
  <c r="R1153" i="7"/>
  <c r="R1154" i="7"/>
  <c r="R1155" i="7"/>
  <c r="R1156" i="7"/>
  <c r="R1157" i="7"/>
  <c r="R1158" i="7"/>
  <c r="R1159" i="7"/>
  <c r="R1160" i="7"/>
  <c r="R1161" i="7"/>
  <c r="R1162" i="7"/>
  <c r="R1163" i="7"/>
  <c r="R1164" i="7"/>
  <c r="R1165" i="7"/>
  <c r="R1166" i="7"/>
  <c r="R1167" i="7"/>
  <c r="R1168" i="7"/>
  <c r="R1169" i="7"/>
  <c r="R1170" i="7"/>
  <c r="R1171" i="7"/>
  <c r="R1172" i="7"/>
  <c r="R1173" i="7"/>
  <c r="R1174" i="7"/>
  <c r="R1175" i="7"/>
  <c r="R1176" i="7"/>
  <c r="R1177" i="7"/>
  <c r="R1178" i="7"/>
  <c r="R1179" i="7"/>
  <c r="R1180" i="7"/>
  <c r="R1181" i="7"/>
  <c r="R1182" i="7"/>
  <c r="R1183" i="7"/>
  <c r="R1184" i="7"/>
  <c r="R1185" i="7"/>
  <c r="R1186" i="7"/>
  <c r="R1187" i="7"/>
  <c r="R1188" i="7"/>
  <c r="R1189" i="7"/>
  <c r="R1190" i="7"/>
  <c r="R1191" i="7"/>
  <c r="R1192" i="7"/>
  <c r="R1193" i="7"/>
  <c r="R1194" i="7"/>
  <c r="R1195" i="7"/>
  <c r="R1196" i="7"/>
  <c r="R1197" i="7"/>
  <c r="R1198" i="7"/>
  <c r="R1199" i="7"/>
  <c r="R1200" i="7"/>
  <c r="R1201" i="7"/>
  <c r="R1202" i="7"/>
  <c r="R1203" i="7"/>
  <c r="R1204" i="7"/>
  <c r="R1205" i="7"/>
  <c r="R1206" i="7"/>
  <c r="R1207" i="7"/>
  <c r="R1208" i="7"/>
  <c r="R1209" i="7"/>
  <c r="R1210" i="7"/>
  <c r="R1211" i="7"/>
  <c r="R1212" i="7"/>
  <c r="R1213" i="7"/>
  <c r="R1214" i="7"/>
  <c r="R1215" i="7"/>
  <c r="R1216" i="7"/>
  <c r="R1217" i="7"/>
  <c r="R1218" i="7"/>
  <c r="R1219" i="7"/>
  <c r="R1220" i="7"/>
  <c r="R1221" i="7"/>
  <c r="R1222" i="7"/>
  <c r="R1223" i="7"/>
  <c r="R1224" i="7"/>
  <c r="R1225" i="7"/>
  <c r="R1226" i="7"/>
  <c r="R1227" i="7"/>
  <c r="R1228" i="7"/>
  <c r="R1229" i="7"/>
  <c r="R1230" i="7"/>
  <c r="R1231" i="7"/>
  <c r="R1232" i="7"/>
  <c r="R1233" i="7"/>
  <c r="R1234" i="7"/>
  <c r="R1235" i="7"/>
  <c r="R1236" i="7"/>
  <c r="R1237" i="7"/>
  <c r="R1238" i="7"/>
  <c r="R1239" i="7"/>
  <c r="R1240" i="7"/>
  <c r="R1241" i="7"/>
  <c r="R1242" i="7"/>
  <c r="R1243" i="7"/>
  <c r="R1244" i="7"/>
  <c r="R1245" i="7"/>
  <c r="R1246" i="7"/>
  <c r="R1247" i="7"/>
  <c r="R1248" i="7"/>
  <c r="R1249" i="7"/>
  <c r="R1250" i="7"/>
  <c r="R1251" i="7"/>
  <c r="R1252" i="7"/>
  <c r="R1253" i="7"/>
  <c r="R1254" i="7"/>
  <c r="R1255" i="7"/>
  <c r="R1256" i="7"/>
  <c r="R1257" i="7"/>
  <c r="R1258" i="7"/>
  <c r="R1259" i="7"/>
  <c r="R1260" i="7"/>
  <c r="R1261" i="7"/>
  <c r="R1262" i="7"/>
  <c r="R1263" i="7"/>
  <c r="R1264" i="7"/>
  <c r="R1265" i="7"/>
  <c r="R1266" i="7"/>
  <c r="R1267" i="7"/>
  <c r="R1268" i="7"/>
  <c r="R1269" i="7"/>
  <c r="R1270" i="7"/>
  <c r="R1271" i="7"/>
  <c r="R1272" i="7"/>
  <c r="R1273" i="7"/>
  <c r="R1274" i="7"/>
  <c r="R1275" i="7"/>
  <c r="R1276" i="7"/>
  <c r="R1277" i="7"/>
  <c r="R1278" i="7"/>
  <c r="R1279" i="7"/>
  <c r="R1280" i="7"/>
  <c r="R1281" i="7"/>
  <c r="R1282" i="7"/>
  <c r="R1283" i="7"/>
  <c r="R1284" i="7"/>
  <c r="R1285" i="7"/>
  <c r="R1286" i="7"/>
  <c r="R1287" i="7"/>
  <c r="R1288" i="7"/>
  <c r="R1289" i="7"/>
  <c r="R1290" i="7"/>
  <c r="R1291" i="7"/>
  <c r="R1292" i="7"/>
  <c r="R1293" i="7"/>
  <c r="R1294" i="7"/>
  <c r="R1295" i="7"/>
  <c r="R1296" i="7"/>
  <c r="R1297" i="7"/>
  <c r="R1298" i="7"/>
  <c r="R1299" i="7"/>
  <c r="R1300" i="7"/>
  <c r="R1301" i="7"/>
  <c r="R1302" i="7"/>
  <c r="R1303" i="7"/>
  <c r="R1304" i="7"/>
  <c r="R1305" i="7"/>
  <c r="R1306" i="7"/>
  <c r="R1307" i="7"/>
  <c r="R1308" i="7"/>
  <c r="R1309" i="7"/>
  <c r="R1310" i="7"/>
  <c r="R1311" i="7"/>
  <c r="R1312" i="7"/>
  <c r="R1313" i="7"/>
  <c r="R1314" i="7"/>
  <c r="R1315" i="7"/>
  <c r="R1316" i="7"/>
  <c r="R1317" i="7"/>
  <c r="R1318" i="7"/>
  <c r="R1319" i="7"/>
  <c r="R1320" i="7"/>
  <c r="R1321" i="7"/>
  <c r="R1322" i="7"/>
  <c r="R1323" i="7"/>
  <c r="R1324" i="7"/>
  <c r="R1325" i="7"/>
  <c r="R1326" i="7"/>
  <c r="R1327" i="7"/>
  <c r="R1328" i="7"/>
  <c r="R1329" i="7"/>
  <c r="R1330" i="7"/>
  <c r="R1331" i="7"/>
  <c r="R1332" i="7"/>
  <c r="R1333" i="7"/>
  <c r="R1334" i="7"/>
  <c r="R1335" i="7"/>
  <c r="R1336" i="7"/>
  <c r="R1337" i="7"/>
  <c r="R1338" i="7"/>
  <c r="R1339" i="7"/>
  <c r="R1340" i="7"/>
  <c r="R1341" i="7"/>
  <c r="R1342" i="7"/>
  <c r="R1343" i="7"/>
  <c r="R1344" i="7"/>
  <c r="R1345" i="7"/>
  <c r="R1346" i="7"/>
  <c r="R1347" i="7"/>
  <c r="R1348" i="7"/>
  <c r="R1349" i="7"/>
  <c r="R1350" i="7"/>
  <c r="R1351" i="7"/>
  <c r="R1352" i="7"/>
  <c r="R1353" i="7"/>
  <c r="R1354" i="7"/>
  <c r="R1355" i="7"/>
  <c r="R1356" i="7"/>
  <c r="R1357" i="7"/>
  <c r="R1358" i="7"/>
  <c r="R1359" i="7"/>
  <c r="R1360" i="7"/>
  <c r="R1361" i="7"/>
  <c r="R1362" i="7"/>
  <c r="R1363" i="7"/>
  <c r="R1364" i="7"/>
  <c r="R1365" i="7"/>
  <c r="R1366" i="7"/>
  <c r="R1367" i="7"/>
  <c r="R1368" i="7"/>
  <c r="R1369" i="7"/>
  <c r="R1370" i="7"/>
  <c r="R1371" i="7"/>
  <c r="R1372" i="7"/>
  <c r="R1373" i="7"/>
  <c r="R1374" i="7"/>
  <c r="R1375" i="7"/>
  <c r="R1376" i="7"/>
  <c r="R1377" i="7"/>
  <c r="R1378" i="7"/>
  <c r="R1379" i="7"/>
  <c r="R1380" i="7"/>
  <c r="R1381" i="7"/>
  <c r="R1382" i="7"/>
  <c r="R1383" i="7"/>
  <c r="R1384" i="7"/>
  <c r="R1385" i="7"/>
  <c r="R1386" i="7"/>
  <c r="R1387" i="7"/>
  <c r="R1388" i="7"/>
  <c r="R1389"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29"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Q503" i="7"/>
  <c r="Q504" i="7"/>
  <c r="Q505" i="7"/>
  <c r="Q506" i="7"/>
  <c r="Q507" i="7"/>
  <c r="Q508" i="7"/>
  <c r="Q509" i="7"/>
  <c r="Q510" i="7"/>
  <c r="Q511" i="7"/>
  <c r="Q512" i="7"/>
  <c r="Q513" i="7"/>
  <c r="Q514" i="7"/>
  <c r="Q515" i="7"/>
  <c r="Q516" i="7"/>
  <c r="Q517" i="7"/>
  <c r="Q518" i="7"/>
  <c r="Q519" i="7"/>
  <c r="Q520" i="7"/>
  <c r="Q521" i="7"/>
  <c r="Q522" i="7"/>
  <c r="Q523" i="7"/>
  <c r="Q524" i="7"/>
  <c r="Q525" i="7"/>
  <c r="Q526" i="7"/>
  <c r="Q527" i="7"/>
  <c r="Q528" i="7"/>
  <c r="Q529" i="7"/>
  <c r="Q530" i="7"/>
  <c r="Q531" i="7"/>
  <c r="Q532" i="7"/>
  <c r="Q533" i="7"/>
  <c r="Q534" i="7"/>
  <c r="Q535" i="7"/>
  <c r="Q536" i="7"/>
  <c r="Q537" i="7"/>
  <c r="Q538" i="7"/>
  <c r="Q539" i="7"/>
  <c r="Q540" i="7"/>
  <c r="Q541" i="7"/>
  <c r="Q542" i="7"/>
  <c r="Q543" i="7"/>
  <c r="Q544" i="7"/>
  <c r="Q545" i="7"/>
  <c r="Q546" i="7"/>
  <c r="Q547" i="7"/>
  <c r="Q548" i="7"/>
  <c r="Q549" i="7"/>
  <c r="Q550" i="7"/>
  <c r="Q551" i="7"/>
  <c r="Q552" i="7"/>
  <c r="Q553" i="7"/>
  <c r="Q554" i="7"/>
  <c r="Q555" i="7"/>
  <c r="Q556" i="7"/>
  <c r="Q557" i="7"/>
  <c r="Q558" i="7"/>
  <c r="Q559" i="7"/>
  <c r="Q560" i="7"/>
  <c r="Q561" i="7"/>
  <c r="Q562" i="7"/>
  <c r="Q563" i="7"/>
  <c r="Q564" i="7"/>
  <c r="Q565" i="7"/>
  <c r="Q566" i="7"/>
  <c r="Q567" i="7"/>
  <c r="Q568" i="7"/>
  <c r="Q569" i="7"/>
  <c r="Q570" i="7"/>
  <c r="Q571" i="7"/>
  <c r="Q572" i="7"/>
  <c r="Q573" i="7"/>
  <c r="Q574" i="7"/>
  <c r="Q575" i="7"/>
  <c r="Q576" i="7"/>
  <c r="Q577" i="7"/>
  <c r="Q578" i="7"/>
  <c r="Q579" i="7"/>
  <c r="Q580" i="7"/>
  <c r="Q581" i="7"/>
  <c r="Q582" i="7"/>
  <c r="Q583" i="7"/>
  <c r="Q584" i="7"/>
  <c r="Q585" i="7"/>
  <c r="Q586" i="7"/>
  <c r="Q587" i="7"/>
  <c r="Q588" i="7"/>
  <c r="Q589" i="7"/>
  <c r="Q590" i="7"/>
  <c r="Q591" i="7"/>
  <c r="Q592" i="7"/>
  <c r="Q593" i="7"/>
  <c r="Q594" i="7"/>
  <c r="Q595" i="7"/>
  <c r="Q596" i="7"/>
  <c r="Q597" i="7"/>
  <c r="Q598" i="7"/>
  <c r="Q599" i="7"/>
  <c r="Q600" i="7"/>
  <c r="Q601" i="7"/>
  <c r="Q602" i="7"/>
  <c r="Q603" i="7"/>
  <c r="Q604" i="7"/>
  <c r="Q605" i="7"/>
  <c r="Q606" i="7"/>
  <c r="Q607" i="7"/>
  <c r="Q608" i="7"/>
  <c r="Q609" i="7"/>
  <c r="Q610" i="7"/>
  <c r="Q611" i="7"/>
  <c r="Q612" i="7"/>
  <c r="Q613" i="7"/>
  <c r="Q614" i="7"/>
  <c r="Q615" i="7"/>
  <c r="Q616" i="7"/>
  <c r="Q617" i="7"/>
  <c r="Q618" i="7"/>
  <c r="Q619" i="7"/>
  <c r="Q620" i="7"/>
  <c r="Q621" i="7"/>
  <c r="Q622" i="7"/>
  <c r="Q623" i="7"/>
  <c r="Q624" i="7"/>
  <c r="Q625" i="7"/>
  <c r="Q626" i="7"/>
  <c r="Q627" i="7"/>
  <c r="Q628" i="7"/>
  <c r="Q629" i="7"/>
  <c r="Q630" i="7"/>
  <c r="Q631" i="7"/>
  <c r="Q632" i="7"/>
  <c r="Q633" i="7"/>
  <c r="Q634" i="7"/>
  <c r="Q635" i="7"/>
  <c r="Q636" i="7"/>
  <c r="Q637" i="7"/>
  <c r="Q638" i="7"/>
  <c r="Q639" i="7"/>
  <c r="Q640" i="7"/>
  <c r="Q641" i="7"/>
  <c r="Q642" i="7"/>
  <c r="Q643" i="7"/>
  <c r="Q644" i="7"/>
  <c r="Q645" i="7"/>
  <c r="Q646" i="7"/>
  <c r="Q647" i="7"/>
  <c r="Q648" i="7"/>
  <c r="Q649" i="7"/>
  <c r="Q650" i="7"/>
  <c r="Q651" i="7"/>
  <c r="Q652" i="7"/>
  <c r="Q653" i="7"/>
  <c r="Q654" i="7"/>
  <c r="Q655" i="7"/>
  <c r="Q656" i="7"/>
  <c r="Q657" i="7"/>
  <c r="Q658" i="7"/>
  <c r="Q659" i="7"/>
  <c r="Q660" i="7"/>
  <c r="Q661" i="7"/>
  <c r="Q662" i="7"/>
  <c r="Q663" i="7"/>
  <c r="Q664" i="7"/>
  <c r="Q665" i="7"/>
  <c r="Q666" i="7"/>
  <c r="Q667" i="7"/>
  <c r="Q668" i="7"/>
  <c r="Q669" i="7"/>
  <c r="Q670" i="7"/>
  <c r="Q671" i="7"/>
  <c r="Q672" i="7"/>
  <c r="Q673" i="7"/>
  <c r="Q674" i="7"/>
  <c r="Q675" i="7"/>
  <c r="Q676" i="7"/>
  <c r="Q677" i="7"/>
  <c r="Q678" i="7"/>
  <c r="Q679" i="7"/>
  <c r="Q680" i="7"/>
  <c r="Q681" i="7"/>
  <c r="Q682" i="7"/>
  <c r="Q683" i="7"/>
  <c r="Q684" i="7"/>
  <c r="Q685" i="7"/>
  <c r="Q686" i="7"/>
  <c r="Q687" i="7"/>
  <c r="Q688" i="7"/>
  <c r="Q689" i="7"/>
  <c r="Q690" i="7"/>
  <c r="Q691" i="7"/>
  <c r="Q692" i="7"/>
  <c r="Q693" i="7"/>
  <c r="Q694" i="7"/>
  <c r="Q695" i="7"/>
  <c r="Q696" i="7"/>
  <c r="Q697" i="7"/>
  <c r="Q698" i="7"/>
  <c r="Q699" i="7"/>
  <c r="Q700" i="7"/>
  <c r="Q701" i="7"/>
  <c r="Q702" i="7"/>
  <c r="Q703" i="7"/>
  <c r="Q704" i="7"/>
  <c r="Q705" i="7"/>
  <c r="Q706" i="7"/>
  <c r="Q707" i="7"/>
  <c r="Q708" i="7"/>
  <c r="Q709" i="7"/>
  <c r="Q710" i="7"/>
  <c r="Q711" i="7"/>
  <c r="Q712" i="7"/>
  <c r="Q713" i="7"/>
  <c r="Q714" i="7"/>
  <c r="Q715" i="7"/>
  <c r="Q716" i="7"/>
  <c r="Q717" i="7"/>
  <c r="Q718" i="7"/>
  <c r="Q719" i="7"/>
  <c r="Q720" i="7"/>
  <c r="Q721" i="7"/>
  <c r="Q722" i="7"/>
  <c r="Q723" i="7"/>
  <c r="Q724" i="7"/>
  <c r="Q725" i="7"/>
  <c r="Q726" i="7"/>
  <c r="Q727" i="7"/>
  <c r="Q728" i="7"/>
  <c r="Q729" i="7"/>
  <c r="Q730" i="7"/>
  <c r="Q731" i="7"/>
  <c r="Q732" i="7"/>
  <c r="Q733" i="7"/>
  <c r="Q734" i="7"/>
  <c r="Q735" i="7"/>
  <c r="Q736" i="7"/>
  <c r="Q737" i="7"/>
  <c r="Q738" i="7"/>
  <c r="Q739" i="7"/>
  <c r="Q740" i="7"/>
  <c r="Q741" i="7"/>
  <c r="Q742" i="7"/>
  <c r="Q743" i="7"/>
  <c r="Q744" i="7"/>
  <c r="Q745" i="7"/>
  <c r="Q746" i="7"/>
  <c r="Q747" i="7"/>
  <c r="Q748" i="7"/>
  <c r="Q749" i="7"/>
  <c r="Q750" i="7"/>
  <c r="Q751" i="7"/>
  <c r="Q752" i="7"/>
  <c r="Q753" i="7"/>
  <c r="Q754" i="7"/>
  <c r="Q755" i="7"/>
  <c r="Q756" i="7"/>
  <c r="Q757" i="7"/>
  <c r="Q758" i="7"/>
  <c r="Q759" i="7"/>
  <c r="Q760" i="7"/>
  <c r="Q761" i="7"/>
  <c r="Q762" i="7"/>
  <c r="Q763" i="7"/>
  <c r="Q764" i="7"/>
  <c r="Q765" i="7"/>
  <c r="Q766" i="7"/>
  <c r="Q767" i="7"/>
  <c r="Q768" i="7"/>
  <c r="Q769" i="7"/>
  <c r="Q770" i="7"/>
  <c r="Q771" i="7"/>
  <c r="Q772" i="7"/>
  <c r="Q773" i="7"/>
  <c r="Q774" i="7"/>
  <c r="Q775" i="7"/>
  <c r="Q776" i="7"/>
  <c r="Q777" i="7"/>
  <c r="Q778" i="7"/>
  <c r="Q779" i="7"/>
  <c r="Q780" i="7"/>
  <c r="Q781" i="7"/>
  <c r="Q782" i="7"/>
  <c r="Q783" i="7"/>
  <c r="Q784" i="7"/>
  <c r="Q785" i="7"/>
  <c r="Q786" i="7"/>
  <c r="Q787" i="7"/>
  <c r="Q788" i="7"/>
  <c r="Q789" i="7"/>
  <c r="Q790" i="7"/>
  <c r="Q791" i="7"/>
  <c r="Q792" i="7"/>
  <c r="Q793" i="7"/>
  <c r="Q794" i="7"/>
  <c r="Q795" i="7"/>
  <c r="Q796" i="7"/>
  <c r="Q797" i="7"/>
  <c r="Q798" i="7"/>
  <c r="Q799" i="7"/>
  <c r="Q800" i="7"/>
  <c r="Q801" i="7"/>
  <c r="Q802" i="7"/>
  <c r="Q803" i="7"/>
  <c r="Q804" i="7"/>
  <c r="Q805" i="7"/>
  <c r="Q806" i="7"/>
  <c r="Q807" i="7"/>
  <c r="Q808" i="7"/>
  <c r="Q809" i="7"/>
  <c r="Q810" i="7"/>
  <c r="Q811" i="7"/>
  <c r="Q812" i="7"/>
  <c r="Q813" i="7"/>
  <c r="Q814" i="7"/>
  <c r="Q815" i="7"/>
  <c r="Q816" i="7"/>
  <c r="Q817" i="7"/>
  <c r="Q818" i="7"/>
  <c r="Q819" i="7"/>
  <c r="Q820" i="7"/>
  <c r="Q821" i="7"/>
  <c r="Q822" i="7"/>
  <c r="Q823" i="7"/>
  <c r="Q824" i="7"/>
  <c r="Q825" i="7"/>
  <c r="Q826" i="7"/>
  <c r="Q827" i="7"/>
  <c r="Q828" i="7"/>
  <c r="Q829" i="7"/>
  <c r="Q830" i="7"/>
  <c r="Q831" i="7"/>
  <c r="Q832" i="7"/>
  <c r="Q833" i="7"/>
  <c r="Q834" i="7"/>
  <c r="Q835" i="7"/>
  <c r="Q836" i="7"/>
  <c r="Q837" i="7"/>
  <c r="Q838" i="7"/>
  <c r="Q839" i="7"/>
  <c r="Q840" i="7"/>
  <c r="Q841" i="7"/>
  <c r="Q842" i="7"/>
  <c r="Q843" i="7"/>
  <c r="Q844" i="7"/>
  <c r="Q845" i="7"/>
  <c r="Q846" i="7"/>
  <c r="Q847" i="7"/>
  <c r="Q848" i="7"/>
  <c r="Q849" i="7"/>
  <c r="Q850" i="7"/>
  <c r="Q851" i="7"/>
  <c r="Q852" i="7"/>
  <c r="Q853" i="7"/>
  <c r="Q854" i="7"/>
  <c r="Q855" i="7"/>
  <c r="Q856" i="7"/>
  <c r="Q857" i="7"/>
  <c r="Q858" i="7"/>
  <c r="Q859" i="7"/>
  <c r="Q860" i="7"/>
  <c r="Q861" i="7"/>
  <c r="Q862" i="7"/>
  <c r="Q863" i="7"/>
  <c r="Q864" i="7"/>
  <c r="Q865" i="7"/>
  <c r="Q866" i="7"/>
  <c r="Q867" i="7"/>
  <c r="Q868" i="7"/>
  <c r="Q869" i="7"/>
  <c r="Q870" i="7"/>
  <c r="Q871" i="7"/>
  <c r="Q872" i="7"/>
  <c r="Q873" i="7"/>
  <c r="Q874" i="7"/>
  <c r="Q875" i="7"/>
  <c r="Q876" i="7"/>
  <c r="Q877" i="7"/>
  <c r="Q878" i="7"/>
  <c r="Q879" i="7"/>
  <c r="Q880" i="7"/>
  <c r="Q881" i="7"/>
  <c r="Q882" i="7"/>
  <c r="Q883" i="7"/>
  <c r="Q884" i="7"/>
  <c r="Q885" i="7"/>
  <c r="Q886" i="7"/>
  <c r="Q887" i="7"/>
  <c r="Q888" i="7"/>
  <c r="Q889" i="7"/>
  <c r="Q890" i="7"/>
  <c r="Q891" i="7"/>
  <c r="Q892" i="7"/>
  <c r="Q893" i="7"/>
  <c r="Q894" i="7"/>
  <c r="Q895" i="7"/>
  <c r="Q896" i="7"/>
  <c r="Q897" i="7"/>
  <c r="Q898" i="7"/>
  <c r="Q899" i="7"/>
  <c r="Q900" i="7"/>
  <c r="Q901" i="7"/>
  <c r="Q902" i="7"/>
  <c r="Q903" i="7"/>
  <c r="Q904" i="7"/>
  <c r="Q905" i="7"/>
  <c r="Q906" i="7"/>
  <c r="Q907" i="7"/>
  <c r="Q908" i="7"/>
  <c r="Q909" i="7"/>
  <c r="Q910" i="7"/>
  <c r="Q911" i="7"/>
  <c r="Q912" i="7"/>
  <c r="Q913" i="7"/>
  <c r="Q914" i="7"/>
  <c r="Q915" i="7"/>
  <c r="Q916" i="7"/>
  <c r="Q917" i="7"/>
  <c r="Q918" i="7"/>
  <c r="Q919" i="7"/>
  <c r="Q920" i="7"/>
  <c r="Q921" i="7"/>
  <c r="Q922" i="7"/>
  <c r="Q923" i="7"/>
  <c r="Q924" i="7"/>
  <c r="Q925" i="7"/>
  <c r="Q926" i="7"/>
  <c r="Q927" i="7"/>
  <c r="Q928" i="7"/>
  <c r="Q929" i="7"/>
  <c r="Q930" i="7"/>
  <c r="Q931" i="7"/>
  <c r="Q932" i="7"/>
  <c r="Q933" i="7"/>
  <c r="Q934" i="7"/>
  <c r="Q935" i="7"/>
  <c r="Q936" i="7"/>
  <c r="Q937" i="7"/>
  <c r="Q938" i="7"/>
  <c r="Q939" i="7"/>
  <c r="Q940" i="7"/>
  <c r="Q941" i="7"/>
  <c r="Q942" i="7"/>
  <c r="Q943" i="7"/>
  <c r="Q944" i="7"/>
  <c r="Q945" i="7"/>
  <c r="Q946" i="7"/>
  <c r="Q947" i="7"/>
  <c r="Q948" i="7"/>
  <c r="Q949" i="7"/>
  <c r="Q950" i="7"/>
  <c r="Q951" i="7"/>
  <c r="Q952" i="7"/>
  <c r="Q953" i="7"/>
  <c r="Q954" i="7"/>
  <c r="Q955" i="7"/>
  <c r="Q956" i="7"/>
  <c r="Q957" i="7"/>
  <c r="Q958" i="7"/>
  <c r="Q959" i="7"/>
  <c r="Q960" i="7"/>
  <c r="Q961" i="7"/>
  <c r="Q962" i="7"/>
  <c r="Q963" i="7"/>
  <c r="Q964" i="7"/>
  <c r="Q965" i="7"/>
  <c r="Q966" i="7"/>
  <c r="Q967" i="7"/>
  <c r="Q968" i="7"/>
  <c r="Q969" i="7"/>
  <c r="Q970" i="7"/>
  <c r="Q971" i="7"/>
  <c r="Q972" i="7"/>
  <c r="Q973" i="7"/>
  <c r="Q974" i="7"/>
  <c r="Q975" i="7"/>
  <c r="Q976" i="7"/>
  <c r="Q977" i="7"/>
  <c r="Q978" i="7"/>
  <c r="Q979" i="7"/>
  <c r="Q980" i="7"/>
  <c r="Q981" i="7"/>
  <c r="Q982" i="7"/>
  <c r="Q983" i="7"/>
  <c r="Q984" i="7"/>
  <c r="Q985" i="7"/>
  <c r="Q986" i="7"/>
  <c r="Q987" i="7"/>
  <c r="Q988" i="7"/>
  <c r="Q989" i="7"/>
  <c r="Q990" i="7"/>
  <c r="Q991" i="7"/>
  <c r="Q992" i="7"/>
  <c r="Q993" i="7"/>
  <c r="Q994" i="7"/>
  <c r="Q995" i="7"/>
  <c r="Q996" i="7"/>
  <c r="Q997" i="7"/>
  <c r="Q998" i="7"/>
  <c r="Q999" i="7"/>
  <c r="Q1000" i="7"/>
  <c r="Q1001" i="7"/>
  <c r="Q1002" i="7"/>
  <c r="Q1003" i="7"/>
  <c r="Q1004" i="7"/>
  <c r="Q1005" i="7"/>
  <c r="Q1006" i="7"/>
  <c r="Q1007" i="7"/>
  <c r="Q1008" i="7"/>
  <c r="Q1009" i="7"/>
  <c r="Q1010" i="7"/>
  <c r="Q1011" i="7"/>
  <c r="Q1012" i="7"/>
  <c r="Q1013" i="7"/>
  <c r="Q1014" i="7"/>
  <c r="Q1015" i="7"/>
  <c r="Q1016" i="7"/>
  <c r="Q1017" i="7"/>
  <c r="Q1018" i="7"/>
  <c r="Q1019" i="7"/>
  <c r="Q1020" i="7"/>
  <c r="Q1021" i="7"/>
  <c r="Q1022" i="7"/>
  <c r="Q1023" i="7"/>
  <c r="Q1024" i="7"/>
  <c r="Q1025" i="7"/>
  <c r="Q1026" i="7"/>
  <c r="Q1027" i="7"/>
  <c r="Q1028" i="7"/>
  <c r="Q1029" i="7"/>
  <c r="Q1030" i="7"/>
  <c r="Q1031" i="7"/>
  <c r="Q1032" i="7"/>
  <c r="Q1033" i="7"/>
  <c r="Q1034" i="7"/>
  <c r="Q1035" i="7"/>
  <c r="Q1036" i="7"/>
  <c r="Q1037" i="7"/>
  <c r="Q1038" i="7"/>
  <c r="Q1039" i="7"/>
  <c r="Q1040" i="7"/>
  <c r="Q1041" i="7"/>
  <c r="Q1042" i="7"/>
  <c r="Q1043" i="7"/>
  <c r="Q1044" i="7"/>
  <c r="Q1045" i="7"/>
  <c r="Q1046" i="7"/>
  <c r="Q1047" i="7"/>
  <c r="Q1048" i="7"/>
  <c r="Q1049" i="7"/>
  <c r="Q1050" i="7"/>
  <c r="Q1051" i="7"/>
  <c r="Q1052" i="7"/>
  <c r="Q1053" i="7"/>
  <c r="Q1054" i="7"/>
  <c r="Q1055" i="7"/>
  <c r="Q1056" i="7"/>
  <c r="Q1057" i="7"/>
  <c r="Q1058" i="7"/>
  <c r="Q1059" i="7"/>
  <c r="Q1060" i="7"/>
  <c r="Q1061" i="7"/>
  <c r="Q1062" i="7"/>
  <c r="Q1063" i="7"/>
  <c r="Q1064" i="7"/>
  <c r="Q1065" i="7"/>
  <c r="Q1066" i="7"/>
  <c r="Q1067" i="7"/>
  <c r="Q1068" i="7"/>
  <c r="Q1069" i="7"/>
  <c r="Q1070" i="7"/>
  <c r="Q1071" i="7"/>
  <c r="Q1072" i="7"/>
  <c r="Q1073" i="7"/>
  <c r="Q1074" i="7"/>
  <c r="Q1075" i="7"/>
  <c r="Q1076" i="7"/>
  <c r="Q1077" i="7"/>
  <c r="Q1078" i="7"/>
  <c r="Q1079" i="7"/>
  <c r="Q1080" i="7"/>
  <c r="Q1081" i="7"/>
  <c r="Q1082" i="7"/>
  <c r="Q1083" i="7"/>
  <c r="Q1084" i="7"/>
  <c r="Q1085" i="7"/>
  <c r="Q1086" i="7"/>
  <c r="Q1087" i="7"/>
  <c r="Q1088" i="7"/>
  <c r="Q1089" i="7"/>
  <c r="Q1090" i="7"/>
  <c r="Q1091" i="7"/>
  <c r="Q1092" i="7"/>
  <c r="Q1093" i="7"/>
  <c r="Q1094" i="7"/>
  <c r="Q1095" i="7"/>
  <c r="Q1096" i="7"/>
  <c r="Q1097" i="7"/>
  <c r="Q1098" i="7"/>
  <c r="Q1099" i="7"/>
  <c r="Q1100" i="7"/>
  <c r="Q1101" i="7"/>
  <c r="Q1102" i="7"/>
  <c r="Q1103" i="7"/>
  <c r="Q1104" i="7"/>
  <c r="Q1105" i="7"/>
  <c r="Q1106" i="7"/>
  <c r="Q1107" i="7"/>
  <c r="Q1108" i="7"/>
  <c r="Q1109" i="7"/>
  <c r="Q1110" i="7"/>
  <c r="Q1111" i="7"/>
  <c r="Q1112" i="7"/>
  <c r="Q1113" i="7"/>
  <c r="Q1114" i="7"/>
  <c r="Q1115" i="7"/>
  <c r="Q1116" i="7"/>
  <c r="Q1117" i="7"/>
  <c r="Q1118" i="7"/>
  <c r="Q1119" i="7"/>
  <c r="Q1120" i="7"/>
  <c r="Q1121" i="7"/>
  <c r="Q1122" i="7"/>
  <c r="Q1123" i="7"/>
  <c r="Q1124" i="7"/>
  <c r="Q1125" i="7"/>
  <c r="Q1126" i="7"/>
  <c r="Q1127" i="7"/>
  <c r="Q1128" i="7"/>
  <c r="Q1129" i="7"/>
  <c r="Q1130" i="7"/>
  <c r="Q1131" i="7"/>
  <c r="Q1132" i="7"/>
  <c r="Q1133" i="7"/>
  <c r="Q1134" i="7"/>
  <c r="Q1135" i="7"/>
  <c r="Q1136" i="7"/>
  <c r="Q1137" i="7"/>
  <c r="Q1138" i="7"/>
  <c r="Q1139" i="7"/>
  <c r="Q1140" i="7"/>
  <c r="Q1141" i="7"/>
  <c r="Q1142" i="7"/>
  <c r="Q1143" i="7"/>
  <c r="Q1144" i="7"/>
  <c r="Q1145" i="7"/>
  <c r="Q1146" i="7"/>
  <c r="Q1147" i="7"/>
  <c r="Q1148" i="7"/>
  <c r="Q1149" i="7"/>
  <c r="Q1150" i="7"/>
  <c r="Q1151" i="7"/>
  <c r="Q1152" i="7"/>
  <c r="Q1153" i="7"/>
  <c r="Q1154" i="7"/>
  <c r="Q1155" i="7"/>
  <c r="Q1156" i="7"/>
  <c r="Q1157" i="7"/>
  <c r="Q1158" i="7"/>
  <c r="Q1159" i="7"/>
  <c r="Q1160" i="7"/>
  <c r="Q1161" i="7"/>
  <c r="Q1162" i="7"/>
  <c r="Q1163" i="7"/>
  <c r="Q1164" i="7"/>
  <c r="Q1165" i="7"/>
  <c r="Q1166" i="7"/>
  <c r="Q1167" i="7"/>
  <c r="Q1168" i="7"/>
  <c r="Q1169" i="7"/>
  <c r="Q1170" i="7"/>
  <c r="Q1171" i="7"/>
  <c r="Q1172" i="7"/>
  <c r="Q1173" i="7"/>
  <c r="Q1174" i="7"/>
  <c r="Q1175" i="7"/>
  <c r="Q1176" i="7"/>
  <c r="Q1177" i="7"/>
  <c r="Q1178" i="7"/>
  <c r="Q1179" i="7"/>
  <c r="Q1180" i="7"/>
  <c r="Q1181" i="7"/>
  <c r="Q1182" i="7"/>
  <c r="Q1183" i="7"/>
  <c r="Q1184" i="7"/>
  <c r="Q1185" i="7"/>
  <c r="Q1186" i="7"/>
  <c r="Q1187" i="7"/>
  <c r="Q1188" i="7"/>
  <c r="Q1189" i="7"/>
  <c r="Q1190" i="7"/>
  <c r="Q1191" i="7"/>
  <c r="Q1192" i="7"/>
  <c r="Q1193" i="7"/>
  <c r="Q1194" i="7"/>
  <c r="Q1195" i="7"/>
  <c r="Q1196" i="7"/>
  <c r="Q1197" i="7"/>
  <c r="Q1198" i="7"/>
  <c r="Q1199" i="7"/>
  <c r="Q1200" i="7"/>
  <c r="Q1201" i="7"/>
  <c r="Q1202" i="7"/>
  <c r="Q1203" i="7"/>
  <c r="Q1204" i="7"/>
  <c r="Q1205" i="7"/>
  <c r="Q1206" i="7"/>
  <c r="Q1207" i="7"/>
  <c r="Q1208" i="7"/>
  <c r="Q1209" i="7"/>
  <c r="Q1210" i="7"/>
  <c r="Q1211" i="7"/>
  <c r="Q1212" i="7"/>
  <c r="Q1213" i="7"/>
  <c r="Q1214" i="7"/>
  <c r="Q1215" i="7"/>
  <c r="Q1216" i="7"/>
  <c r="Q1217" i="7"/>
  <c r="Q1218" i="7"/>
  <c r="Q1219" i="7"/>
  <c r="Q1220" i="7"/>
  <c r="Q1221" i="7"/>
  <c r="Q1222" i="7"/>
  <c r="Q1223" i="7"/>
  <c r="Q1224" i="7"/>
  <c r="Q1225" i="7"/>
  <c r="Q1226" i="7"/>
  <c r="Q1227" i="7"/>
  <c r="Q1228" i="7"/>
  <c r="Q1229" i="7"/>
  <c r="Q1230" i="7"/>
  <c r="Q1231" i="7"/>
  <c r="Q1232" i="7"/>
  <c r="Q1233" i="7"/>
  <c r="Q1234" i="7"/>
  <c r="Q1235" i="7"/>
  <c r="Q1236" i="7"/>
  <c r="Q1237" i="7"/>
  <c r="Q1238" i="7"/>
  <c r="Q1239" i="7"/>
  <c r="Q1240" i="7"/>
  <c r="Q1241" i="7"/>
  <c r="Q1242" i="7"/>
  <c r="Q1243" i="7"/>
  <c r="Q1244" i="7"/>
  <c r="Q1245" i="7"/>
  <c r="Q1246" i="7"/>
  <c r="Q1247" i="7"/>
  <c r="Q1248" i="7"/>
  <c r="Q1249" i="7"/>
  <c r="Q1250" i="7"/>
  <c r="Q1251" i="7"/>
  <c r="Q1252" i="7"/>
  <c r="Q1253" i="7"/>
  <c r="Q1254" i="7"/>
  <c r="Q1255" i="7"/>
  <c r="Q1256" i="7"/>
  <c r="Q1257" i="7"/>
  <c r="Q1258" i="7"/>
  <c r="Q1259" i="7"/>
  <c r="Q1260" i="7"/>
  <c r="Q1261" i="7"/>
  <c r="Q1262" i="7"/>
  <c r="Q1263" i="7"/>
  <c r="Q1264" i="7"/>
  <c r="Q1265" i="7"/>
  <c r="Q1266" i="7"/>
  <c r="Q1267" i="7"/>
  <c r="Q1268" i="7"/>
  <c r="Q1269" i="7"/>
  <c r="Q1270" i="7"/>
  <c r="Q1271" i="7"/>
  <c r="Q1272" i="7"/>
  <c r="Q1273" i="7"/>
  <c r="Q1274" i="7"/>
  <c r="Q1275" i="7"/>
  <c r="Q1276" i="7"/>
  <c r="Q1277" i="7"/>
  <c r="Q1278" i="7"/>
  <c r="Q1279" i="7"/>
  <c r="Q1280" i="7"/>
  <c r="Q1281" i="7"/>
  <c r="Q1282" i="7"/>
  <c r="Q1283" i="7"/>
  <c r="Q1284" i="7"/>
  <c r="Q1285" i="7"/>
  <c r="Q1286" i="7"/>
  <c r="Q1287" i="7"/>
  <c r="Q1288" i="7"/>
  <c r="Q1289" i="7"/>
  <c r="Q1290" i="7"/>
  <c r="Q1291" i="7"/>
  <c r="Q1292" i="7"/>
  <c r="Q1293" i="7"/>
  <c r="Q1294" i="7"/>
  <c r="Q1295" i="7"/>
  <c r="Q1296" i="7"/>
  <c r="Q1297" i="7"/>
  <c r="Q1298" i="7"/>
  <c r="Q1299" i="7"/>
  <c r="Q1300" i="7"/>
  <c r="Q1301" i="7"/>
  <c r="Q1302" i="7"/>
  <c r="Q1303" i="7"/>
  <c r="Q1304" i="7"/>
  <c r="Q1305" i="7"/>
  <c r="Q1306" i="7"/>
  <c r="Q1307" i="7"/>
  <c r="Q1308" i="7"/>
  <c r="Q1309" i="7"/>
  <c r="Q1310" i="7"/>
  <c r="Q1311" i="7"/>
  <c r="Q1312" i="7"/>
  <c r="Q1313" i="7"/>
  <c r="Q1314" i="7"/>
  <c r="Q1315" i="7"/>
  <c r="Q1316" i="7"/>
  <c r="Q1317" i="7"/>
  <c r="Q1318" i="7"/>
  <c r="Q1319" i="7"/>
  <c r="Q1320" i="7"/>
  <c r="Q1321" i="7"/>
  <c r="Q1322" i="7"/>
  <c r="Q1323" i="7"/>
  <c r="Q1324" i="7"/>
  <c r="Q1325" i="7"/>
  <c r="Q1326" i="7"/>
  <c r="Q1327" i="7"/>
  <c r="Q1328" i="7"/>
  <c r="Q1329" i="7"/>
  <c r="Q1330" i="7"/>
  <c r="Q1331" i="7"/>
  <c r="Q1332" i="7"/>
  <c r="Q1333" i="7"/>
  <c r="Q1334" i="7"/>
  <c r="Q1335" i="7"/>
  <c r="Q1336" i="7"/>
  <c r="Q1337" i="7"/>
  <c r="Q1338" i="7"/>
  <c r="Q1339" i="7"/>
  <c r="Q1340" i="7"/>
  <c r="Q1341" i="7"/>
  <c r="Q1342" i="7"/>
  <c r="Q1343" i="7"/>
  <c r="Q1344" i="7"/>
  <c r="Q1345" i="7"/>
  <c r="Q1346" i="7"/>
  <c r="Q1347" i="7"/>
  <c r="Q1348" i="7"/>
  <c r="Q1349" i="7"/>
  <c r="Q1350" i="7"/>
  <c r="Q1351" i="7"/>
  <c r="Q1352" i="7"/>
  <c r="Q1353" i="7"/>
  <c r="Q1354" i="7"/>
  <c r="Q1355" i="7"/>
  <c r="Q1356" i="7"/>
  <c r="Q1357" i="7"/>
  <c r="Q1358" i="7"/>
  <c r="Q1359" i="7"/>
  <c r="Q1360" i="7"/>
  <c r="Q1361" i="7"/>
  <c r="Q1362" i="7"/>
  <c r="Q1363" i="7"/>
  <c r="Q1364" i="7"/>
  <c r="Q1365" i="7"/>
  <c r="Q1366" i="7"/>
  <c r="Q1367" i="7"/>
  <c r="Q1368" i="7"/>
  <c r="Q1369" i="7"/>
  <c r="Q1370" i="7"/>
  <c r="Q1371" i="7"/>
  <c r="Q1372" i="7"/>
  <c r="Q1373" i="7"/>
  <c r="Q1374" i="7"/>
  <c r="Q1375" i="7"/>
  <c r="Q1376" i="7"/>
  <c r="Q1377" i="7"/>
  <c r="Q1378" i="7"/>
  <c r="Q1379" i="7"/>
  <c r="Q1380" i="7"/>
  <c r="Q1381" i="7"/>
  <c r="Q1382" i="7"/>
  <c r="Q1383" i="7"/>
  <c r="Q1384" i="7"/>
  <c r="Q1385" i="7"/>
  <c r="Q1386" i="7"/>
  <c r="Q1387" i="7"/>
  <c r="Q1388" i="7"/>
  <c r="Q1389" i="7"/>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AH2" i="7"/>
  <c r="AG2" i="7"/>
  <c r="AF2" i="7"/>
  <c r="AE2" i="7"/>
  <c r="AD2" i="7"/>
  <c r="AC2" i="7"/>
  <c r="AB2" i="7"/>
  <c r="AA2" i="7"/>
  <c r="Z2" i="7"/>
  <c r="Y2" i="7"/>
  <c r="X2" i="7"/>
  <c r="W2" i="7"/>
  <c r="V2" i="7"/>
  <c r="U2" i="7"/>
  <c r="T2" i="7"/>
  <c r="S2" i="7"/>
  <c r="R2" i="7"/>
  <c r="Q2" i="7"/>
  <c r="P2" i="7"/>
  <c r="O2" i="7"/>
  <c r="N2" i="7"/>
  <c r="M2" i="7"/>
  <c r="L2" i="7"/>
  <c r="J2"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7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E307" i="6"/>
  <c r="AE306" i="6"/>
  <c r="AE305" i="6"/>
  <c r="AE304" i="6"/>
  <c r="AE303" i="6"/>
  <c r="AE302" i="6"/>
  <c r="AE301" i="6"/>
  <c r="AE300" i="6"/>
  <c r="AE299" i="6"/>
  <c r="AE298" i="6"/>
  <c r="AE297" i="6"/>
  <c r="AE296" i="6"/>
  <c r="AE295" i="6"/>
  <c r="AE294" i="6"/>
  <c r="AE293" i="6"/>
  <c r="AE292" i="6"/>
  <c r="AE291" i="6"/>
  <c r="AE290" i="6"/>
  <c r="AE289" i="6"/>
  <c r="AE288" i="6"/>
  <c r="AE287" i="6"/>
  <c r="AE286" i="6"/>
  <c r="AE285" i="6"/>
  <c r="AE284" i="6"/>
  <c r="AE283" i="6"/>
  <c r="AE282" i="6"/>
  <c r="AE281" i="6"/>
  <c r="AE280" i="6"/>
  <c r="AE279" i="6"/>
  <c r="AE278" i="6"/>
  <c r="AE277" i="6"/>
  <c r="AE276" i="6"/>
  <c r="AE275" i="6"/>
  <c r="AE274" i="6"/>
  <c r="AE273" i="6"/>
  <c r="AE272" i="6"/>
  <c r="AE271" i="6"/>
  <c r="AE270" i="6"/>
  <c r="AE269" i="6"/>
  <c r="AE268" i="6"/>
  <c r="AE267" i="6"/>
  <c r="AE266" i="6"/>
  <c r="AE265" i="6"/>
  <c r="AE264" i="6"/>
  <c r="AE263" i="6"/>
  <c r="AE262" i="6"/>
  <c r="AE261" i="6"/>
  <c r="AE260" i="6"/>
  <c r="AE259" i="6"/>
  <c r="AE258" i="6"/>
  <c r="AE257" i="6"/>
  <c r="AE256" i="6"/>
  <c r="AE255" i="6"/>
  <c r="AE254" i="6"/>
  <c r="AE253" i="6"/>
  <c r="AE252" i="6"/>
  <c r="AE251" i="6"/>
  <c r="AE250" i="6"/>
  <c r="AE249" i="6"/>
  <c r="AE248" i="6"/>
  <c r="AE247" i="6"/>
  <c r="AE246" i="6"/>
  <c r="AE245" i="6"/>
  <c r="AE244" i="6"/>
  <c r="AE243" i="6"/>
  <c r="AE242"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7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7"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6" i="6"/>
  <c r="AE5" i="6"/>
  <c r="AE4" i="6"/>
  <c r="AE3" i="6"/>
  <c r="AD307" i="6"/>
  <c r="AD306" i="6"/>
  <c r="AD305" i="6"/>
  <c r="AD304" i="6"/>
  <c r="AD303" i="6"/>
  <c r="AD302" i="6"/>
  <c r="AD301" i="6"/>
  <c r="AD300" i="6"/>
  <c r="AD299" i="6"/>
  <c r="AD298" i="6"/>
  <c r="AD297" i="6"/>
  <c r="AD296" i="6"/>
  <c r="AD295" i="6"/>
  <c r="AD294" i="6"/>
  <c r="AD293" i="6"/>
  <c r="AD292" i="6"/>
  <c r="AD291" i="6"/>
  <c r="AD290" i="6"/>
  <c r="AD289" i="6"/>
  <c r="AD288" i="6"/>
  <c r="AD287" i="6"/>
  <c r="AD286" i="6"/>
  <c r="AD285" i="6"/>
  <c r="AD284" i="6"/>
  <c r="AD283" i="6"/>
  <c r="AD282" i="6"/>
  <c r="AD281" i="6"/>
  <c r="AD280" i="6"/>
  <c r="AD279" i="6"/>
  <c r="AD278" i="6"/>
  <c r="AD277" i="6"/>
  <c r="AD276" i="6"/>
  <c r="AD275" i="6"/>
  <c r="AD274" i="6"/>
  <c r="AD273" i="6"/>
  <c r="AD272" i="6"/>
  <c r="AD271" i="6"/>
  <c r="AD270" i="6"/>
  <c r="AD269" i="6"/>
  <c r="AD268" i="6"/>
  <c r="AD267" i="6"/>
  <c r="AD266" i="6"/>
  <c r="AD265" i="6"/>
  <c r="AD264" i="6"/>
  <c r="AD263" i="6"/>
  <c r="AD262" i="6"/>
  <c r="AD261" i="6"/>
  <c r="AD260" i="6"/>
  <c r="AD259" i="6"/>
  <c r="AD258" i="6"/>
  <c r="AD257" i="6"/>
  <c r="AD256" i="6"/>
  <c r="AD255" i="6"/>
  <c r="AD254" i="6"/>
  <c r="AD253" i="6"/>
  <c r="AD252" i="6"/>
  <c r="AD251" i="6"/>
  <c r="AD250" i="6"/>
  <c r="AD249" i="6"/>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7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AC307" i="6"/>
  <c r="AC306" i="6"/>
  <c r="AC305" i="6"/>
  <c r="AC304" i="6"/>
  <c r="AC303" i="6"/>
  <c r="AC302" i="6"/>
  <c r="AC301" i="6"/>
  <c r="AC300" i="6"/>
  <c r="AC299" i="6"/>
  <c r="AC298" i="6"/>
  <c r="AC297" i="6"/>
  <c r="AC296" i="6"/>
  <c r="AC295" i="6"/>
  <c r="AC294" i="6"/>
  <c r="AC293" i="6"/>
  <c r="AC292" i="6"/>
  <c r="AC291" i="6"/>
  <c r="AC290" i="6"/>
  <c r="AC289" i="6"/>
  <c r="AC288" i="6"/>
  <c r="AC287" i="6"/>
  <c r="AC286" i="6"/>
  <c r="AC285" i="6"/>
  <c r="AC284" i="6"/>
  <c r="AC283" i="6"/>
  <c r="AC282" i="6"/>
  <c r="AC281" i="6"/>
  <c r="AC280" i="6"/>
  <c r="AC279" i="6"/>
  <c r="AC278" i="6"/>
  <c r="AC277" i="6"/>
  <c r="AC276" i="6"/>
  <c r="AC275" i="6"/>
  <c r="AC274" i="6"/>
  <c r="AC273" i="6"/>
  <c r="AC272" i="6"/>
  <c r="AC271" i="6"/>
  <c r="AC270" i="6"/>
  <c r="AC269" i="6"/>
  <c r="AC268" i="6"/>
  <c r="AC267" i="6"/>
  <c r="AC266" i="6"/>
  <c r="AC265" i="6"/>
  <c r="AC264" i="6"/>
  <c r="AC263" i="6"/>
  <c r="AC262" i="6"/>
  <c r="AC261" i="6"/>
  <c r="AC260" i="6"/>
  <c r="AC259" i="6"/>
  <c r="AC258" i="6"/>
  <c r="AC257" i="6"/>
  <c r="AC256" i="6"/>
  <c r="AC255" i="6"/>
  <c r="AC254" i="6"/>
  <c r="AC253" i="6"/>
  <c r="AC252" i="6"/>
  <c r="AC251" i="6"/>
  <c r="AC250" i="6"/>
  <c r="AC249" i="6"/>
  <c r="AC248" i="6"/>
  <c r="AC247" i="6"/>
  <c r="AC246" i="6"/>
  <c r="AC245" i="6"/>
  <c r="AC244" i="6"/>
  <c r="AC243" i="6"/>
  <c r="AC242" i="6"/>
  <c r="AC241" i="6"/>
  <c r="AC240" i="6"/>
  <c r="AC239" i="6"/>
  <c r="AC238" i="6"/>
  <c r="AC237" i="6"/>
  <c r="AC236" i="6"/>
  <c r="AC235" i="6"/>
  <c r="AC234" i="6"/>
  <c r="AC233" i="6"/>
  <c r="AC232" i="6"/>
  <c r="AC231" i="6"/>
  <c r="AC230" i="6"/>
  <c r="AC229" i="6"/>
  <c r="AC228" i="6"/>
  <c r="AC227" i="6"/>
  <c r="AC226" i="6"/>
  <c r="AC225" i="6"/>
  <c r="AC224" i="6"/>
  <c r="AC223" i="6"/>
  <c r="AC222" i="6"/>
  <c r="AC221" i="6"/>
  <c r="AC220" i="6"/>
  <c r="AC219" i="6"/>
  <c r="AC218" i="6"/>
  <c r="AC217" i="6"/>
  <c r="AC216" i="6"/>
  <c r="AC215" i="6"/>
  <c r="AC214" i="6"/>
  <c r="AC213" i="6"/>
  <c r="AC212" i="6"/>
  <c r="AC211" i="6"/>
  <c r="AC210" i="6"/>
  <c r="AC209" i="6"/>
  <c r="AC208" i="6"/>
  <c r="AC207" i="6"/>
  <c r="AC206" i="6"/>
  <c r="AC205" i="6"/>
  <c r="AC204" i="6"/>
  <c r="AC203" i="6"/>
  <c r="AC202" i="6"/>
  <c r="AC201" i="6"/>
  <c r="AC200" i="6"/>
  <c r="AC199" i="6"/>
  <c r="AC198" i="6"/>
  <c r="AC197" i="6"/>
  <c r="AC196" i="6"/>
  <c r="AC195" i="6"/>
  <c r="AC194" i="6"/>
  <c r="AC193" i="6"/>
  <c r="AC192" i="6"/>
  <c r="AC191" i="6"/>
  <c r="AC190" i="6"/>
  <c r="AC189" i="6"/>
  <c r="AC188" i="6"/>
  <c r="AC177" i="6"/>
  <c r="AC166" i="6"/>
  <c r="AC165" i="6"/>
  <c r="AC164" i="6"/>
  <c r="AC163" i="6"/>
  <c r="AC162" i="6"/>
  <c r="AC161" i="6"/>
  <c r="AC160" i="6"/>
  <c r="AC159" i="6"/>
  <c r="AC158" i="6"/>
  <c r="AC157" i="6"/>
  <c r="AC156" i="6"/>
  <c r="AC155" i="6"/>
  <c r="AC154" i="6"/>
  <c r="AC153" i="6"/>
  <c r="AC152" i="6"/>
  <c r="AC151" i="6"/>
  <c r="AC150" i="6"/>
  <c r="AC149" i="6"/>
  <c r="AC148" i="6"/>
  <c r="AC147" i="6"/>
  <c r="AC146" i="6"/>
  <c r="AC145" i="6"/>
  <c r="AC144" i="6"/>
  <c r="AC143" i="6"/>
  <c r="AC142" i="6"/>
  <c r="AC141" i="6"/>
  <c r="AC140" i="6"/>
  <c r="AC139" i="6"/>
  <c r="AC138" i="6"/>
  <c r="AC137" i="6"/>
  <c r="AC136" i="6"/>
  <c r="AC135" i="6"/>
  <c r="AC134" i="6"/>
  <c r="AC133" i="6"/>
  <c r="AC132" i="6"/>
  <c r="AC131" i="6"/>
  <c r="AC130" i="6"/>
  <c r="AC129" i="6"/>
  <c r="AC128" i="6"/>
  <c r="AC127" i="6"/>
  <c r="AC126" i="6"/>
  <c r="AC125" i="6"/>
  <c r="AC124" i="6"/>
  <c r="AC123" i="6"/>
  <c r="AC122" i="6"/>
  <c r="AC121" i="6"/>
  <c r="AC120" i="6"/>
  <c r="AC119" i="6"/>
  <c r="AC118" i="6"/>
  <c r="AC117" i="6"/>
  <c r="AC116" i="6"/>
  <c r="AC115" i="6"/>
  <c r="AC114" i="6"/>
  <c r="AC113" i="6"/>
  <c r="AC112" i="6"/>
  <c r="AC111" i="6"/>
  <c r="AC110" i="6"/>
  <c r="AC109" i="6"/>
  <c r="AC108" i="6"/>
  <c r="AC107" i="6"/>
  <c r="AC106" i="6"/>
  <c r="AC105" i="6"/>
  <c r="AC104" i="6"/>
  <c r="AC103" i="6"/>
  <c r="AC102" i="6"/>
  <c r="AC101" i="6"/>
  <c r="AC100" i="6"/>
  <c r="AC99" i="6"/>
  <c r="AC98" i="6"/>
  <c r="AC97" i="6"/>
  <c r="AC96" i="6"/>
  <c r="AC95" i="6"/>
  <c r="AC94" i="6"/>
  <c r="AC93" i="6"/>
  <c r="AC92" i="6"/>
  <c r="AC91" i="6"/>
  <c r="AC90" i="6"/>
  <c r="AC89" i="6"/>
  <c r="AC88" i="6"/>
  <c r="AC87" i="6"/>
  <c r="AC86" i="6"/>
  <c r="AC85" i="6"/>
  <c r="AC84" i="6"/>
  <c r="AC83" i="6"/>
  <c r="AC82" i="6"/>
  <c r="AC81" i="6"/>
  <c r="AC80" i="6"/>
  <c r="AC79" i="6"/>
  <c r="AC78" i="6"/>
  <c r="AC77" i="6"/>
  <c r="AC76" i="6"/>
  <c r="AC75" i="6"/>
  <c r="AC74" i="6"/>
  <c r="AC73" i="6"/>
  <c r="AC72" i="6"/>
  <c r="AC71" i="6"/>
  <c r="AC70" i="6"/>
  <c r="AC69" i="6"/>
  <c r="AC68" i="6"/>
  <c r="AC67" i="6"/>
  <c r="AC66" i="6"/>
  <c r="AC65" i="6"/>
  <c r="AC64" i="6"/>
  <c r="AC63" i="6"/>
  <c r="AC62" i="6"/>
  <c r="AC61" i="6"/>
  <c r="AC60" i="6"/>
  <c r="AC59" i="6"/>
  <c r="AC58" i="6"/>
  <c r="AC57" i="6"/>
  <c r="AC56" i="6"/>
  <c r="AC55" i="6"/>
  <c r="AC54" i="6"/>
  <c r="AC53" i="6"/>
  <c r="AC52" i="6"/>
  <c r="AC51" i="6"/>
  <c r="AC50" i="6"/>
  <c r="AC49" i="6"/>
  <c r="AC48" i="6"/>
  <c r="AC47" i="6"/>
  <c r="AC46" i="6"/>
  <c r="AC45" i="6"/>
  <c r="AC44" i="6"/>
  <c r="AC43" i="6"/>
  <c r="AC42" i="6"/>
  <c r="AC41" i="6"/>
  <c r="AC40" i="6"/>
  <c r="AC39" i="6"/>
  <c r="AC38" i="6"/>
  <c r="AC37" i="6"/>
  <c r="AC36" i="6"/>
  <c r="AC35" i="6"/>
  <c r="AC34" i="6"/>
  <c r="AC33" i="6"/>
  <c r="AC32" i="6"/>
  <c r="AC31" i="6"/>
  <c r="AC30" i="6"/>
  <c r="AC29" i="6"/>
  <c r="AC28" i="6"/>
  <c r="AC27" i="6"/>
  <c r="AC26" i="6"/>
  <c r="AC25" i="6"/>
  <c r="AC24" i="6"/>
  <c r="AC23" i="6"/>
  <c r="AC22" i="6"/>
  <c r="AC21" i="6"/>
  <c r="AC20" i="6"/>
  <c r="AC19" i="6"/>
  <c r="AC18" i="6"/>
  <c r="AC17" i="6"/>
  <c r="AC16" i="6"/>
  <c r="AC15" i="6"/>
  <c r="AC14" i="6"/>
  <c r="AC13" i="6"/>
  <c r="AC12" i="6"/>
  <c r="AC11" i="6"/>
  <c r="AC10" i="6"/>
  <c r="AC9" i="6"/>
  <c r="AC8" i="6"/>
  <c r="AC7" i="6"/>
  <c r="AC6" i="6"/>
  <c r="AC5" i="6"/>
  <c r="AC4" i="6"/>
  <c r="AC3" i="6"/>
  <c r="AB307" i="6"/>
  <c r="AB306" i="6"/>
  <c r="AB305" i="6"/>
  <c r="AB304" i="6"/>
  <c r="AB303" i="6"/>
  <c r="AB302" i="6"/>
  <c r="AB301" i="6"/>
  <c r="AB300" i="6"/>
  <c r="AB299" i="6"/>
  <c r="AB298" i="6"/>
  <c r="AB297" i="6"/>
  <c r="AB296" i="6"/>
  <c r="AB295" i="6"/>
  <c r="AB294" i="6"/>
  <c r="AB293" i="6"/>
  <c r="AB292" i="6"/>
  <c r="AB291" i="6"/>
  <c r="AB290" i="6"/>
  <c r="AB289" i="6"/>
  <c r="AB288" i="6"/>
  <c r="AB287" i="6"/>
  <c r="AB286" i="6"/>
  <c r="AB285" i="6"/>
  <c r="AB284" i="6"/>
  <c r="AB283" i="6"/>
  <c r="AB282" i="6"/>
  <c r="AB281" i="6"/>
  <c r="AB280" i="6"/>
  <c r="AB279" i="6"/>
  <c r="AB278" i="6"/>
  <c r="AB277" i="6"/>
  <c r="AB276" i="6"/>
  <c r="AB275" i="6"/>
  <c r="AB274" i="6"/>
  <c r="AB273" i="6"/>
  <c r="AB272" i="6"/>
  <c r="AB271" i="6"/>
  <c r="AB270" i="6"/>
  <c r="AB269" i="6"/>
  <c r="AB268" i="6"/>
  <c r="AB267" i="6"/>
  <c r="AB266" i="6"/>
  <c r="AB265" i="6"/>
  <c r="AB264" i="6"/>
  <c r="AB263" i="6"/>
  <c r="AB262" i="6"/>
  <c r="AB261" i="6"/>
  <c r="AB260" i="6"/>
  <c r="AB259" i="6"/>
  <c r="AB258" i="6"/>
  <c r="AB257" i="6"/>
  <c r="AB256" i="6"/>
  <c r="AB255" i="6"/>
  <c r="AB254" i="6"/>
  <c r="AB253" i="6"/>
  <c r="AB252" i="6"/>
  <c r="AB251" i="6"/>
  <c r="AB250" i="6"/>
  <c r="AB249" i="6"/>
  <c r="AB248" i="6"/>
  <c r="AB247" i="6"/>
  <c r="AB246" i="6"/>
  <c r="AB245" i="6"/>
  <c r="AB244" i="6"/>
  <c r="AB243" i="6"/>
  <c r="AB242" i="6"/>
  <c r="AB241" i="6"/>
  <c r="AB240" i="6"/>
  <c r="AB239" i="6"/>
  <c r="AB238" i="6"/>
  <c r="AB237" i="6"/>
  <c r="AB236" i="6"/>
  <c r="AB235" i="6"/>
  <c r="AB234" i="6"/>
  <c r="AB233" i="6"/>
  <c r="AB232" i="6"/>
  <c r="AB231" i="6"/>
  <c r="AB230" i="6"/>
  <c r="AB229" i="6"/>
  <c r="AB228" i="6"/>
  <c r="AB227" i="6"/>
  <c r="AB226" i="6"/>
  <c r="AB225" i="6"/>
  <c r="AB224" i="6"/>
  <c r="AB223" i="6"/>
  <c r="AB222" i="6"/>
  <c r="AB221" i="6"/>
  <c r="AB220" i="6"/>
  <c r="AB219" i="6"/>
  <c r="AB218" i="6"/>
  <c r="AB217" i="6"/>
  <c r="AB216" i="6"/>
  <c r="AB215" i="6"/>
  <c r="AB214" i="6"/>
  <c r="AB213" i="6"/>
  <c r="AB212" i="6"/>
  <c r="AB211" i="6"/>
  <c r="AB210" i="6"/>
  <c r="AB209" i="6"/>
  <c r="AB208" i="6"/>
  <c r="AB207" i="6"/>
  <c r="AB206" i="6"/>
  <c r="AB205" i="6"/>
  <c r="AB204" i="6"/>
  <c r="AB203" i="6"/>
  <c r="AB202" i="6"/>
  <c r="AB201" i="6"/>
  <c r="AB200" i="6"/>
  <c r="AB199" i="6"/>
  <c r="AB198" i="6"/>
  <c r="AB197" i="6"/>
  <c r="AB196" i="6"/>
  <c r="AB195" i="6"/>
  <c r="AB194" i="6"/>
  <c r="AB193" i="6"/>
  <c r="AB192" i="6"/>
  <c r="AB191" i="6"/>
  <c r="AB190" i="6"/>
  <c r="AB189" i="6"/>
  <c r="AB188" i="6"/>
  <c r="AB177" i="6"/>
  <c r="AB166" i="6"/>
  <c r="AB165" i="6"/>
  <c r="AB164" i="6"/>
  <c r="AB163" i="6"/>
  <c r="AB162" i="6"/>
  <c r="AB161" i="6"/>
  <c r="AB160" i="6"/>
  <c r="AB159" i="6"/>
  <c r="AB158" i="6"/>
  <c r="AB157" i="6"/>
  <c r="AB156" i="6"/>
  <c r="AB155" i="6"/>
  <c r="AB154" i="6"/>
  <c r="AB153" i="6"/>
  <c r="AB152" i="6"/>
  <c r="AB151" i="6"/>
  <c r="AB150" i="6"/>
  <c r="AB149" i="6"/>
  <c r="AB148" i="6"/>
  <c r="AB147" i="6"/>
  <c r="AB146" i="6"/>
  <c r="AB145" i="6"/>
  <c r="AB144" i="6"/>
  <c r="AB143" i="6"/>
  <c r="AB142" i="6"/>
  <c r="AB141" i="6"/>
  <c r="AB140" i="6"/>
  <c r="AB139" i="6"/>
  <c r="AB138" i="6"/>
  <c r="AB137" i="6"/>
  <c r="AB136" i="6"/>
  <c r="AB135" i="6"/>
  <c r="AB134" i="6"/>
  <c r="AB133" i="6"/>
  <c r="AB132" i="6"/>
  <c r="AB131" i="6"/>
  <c r="AB130" i="6"/>
  <c r="AB129" i="6"/>
  <c r="AB128" i="6"/>
  <c r="AB127" i="6"/>
  <c r="AB126" i="6"/>
  <c r="AB125" i="6"/>
  <c r="AB124" i="6"/>
  <c r="AB123" i="6"/>
  <c r="AB122" i="6"/>
  <c r="AB121" i="6"/>
  <c r="AB120" i="6"/>
  <c r="AB119" i="6"/>
  <c r="AB118" i="6"/>
  <c r="AB117" i="6"/>
  <c r="AB116" i="6"/>
  <c r="AB115" i="6"/>
  <c r="AB114" i="6"/>
  <c r="AB113" i="6"/>
  <c r="AB112" i="6"/>
  <c r="AB111" i="6"/>
  <c r="AB110" i="6"/>
  <c r="AB109" i="6"/>
  <c r="AB108" i="6"/>
  <c r="AB107" i="6"/>
  <c r="AB106" i="6"/>
  <c r="AB105" i="6"/>
  <c r="AB104" i="6"/>
  <c r="AB103" i="6"/>
  <c r="AB102" i="6"/>
  <c r="AB101" i="6"/>
  <c r="AB100" i="6"/>
  <c r="AB99" i="6"/>
  <c r="AB98" i="6"/>
  <c r="AB97" i="6"/>
  <c r="AB96" i="6"/>
  <c r="AB95" i="6"/>
  <c r="AB94" i="6"/>
  <c r="AB93" i="6"/>
  <c r="AB92" i="6"/>
  <c r="AB91" i="6"/>
  <c r="AB90" i="6"/>
  <c r="AB89" i="6"/>
  <c r="AB88" i="6"/>
  <c r="AB87" i="6"/>
  <c r="AB86" i="6"/>
  <c r="AB85" i="6"/>
  <c r="AB84" i="6"/>
  <c r="AB83" i="6"/>
  <c r="AB82" i="6"/>
  <c r="AB81" i="6"/>
  <c r="AB80" i="6"/>
  <c r="AB79" i="6"/>
  <c r="AB78" i="6"/>
  <c r="AB77" i="6"/>
  <c r="AB76" i="6"/>
  <c r="AB75" i="6"/>
  <c r="AB74" i="6"/>
  <c r="AB73" i="6"/>
  <c r="AB72" i="6"/>
  <c r="AB71" i="6"/>
  <c r="AB70" i="6"/>
  <c r="AB69" i="6"/>
  <c r="AB68" i="6"/>
  <c r="AB67" i="6"/>
  <c r="AB66" i="6"/>
  <c r="AB65" i="6"/>
  <c r="AB64" i="6"/>
  <c r="AB63" i="6"/>
  <c r="AB62" i="6"/>
  <c r="AB61" i="6"/>
  <c r="AB60" i="6"/>
  <c r="AB59" i="6"/>
  <c r="AB58" i="6"/>
  <c r="AB57" i="6"/>
  <c r="AB56" i="6"/>
  <c r="AB55" i="6"/>
  <c r="AB54" i="6"/>
  <c r="AB53" i="6"/>
  <c r="AB52" i="6"/>
  <c r="AB51" i="6"/>
  <c r="AB50" i="6"/>
  <c r="AB49" i="6"/>
  <c r="AB48" i="6"/>
  <c r="AB47" i="6"/>
  <c r="AB46" i="6"/>
  <c r="AB45" i="6"/>
  <c r="AB44" i="6"/>
  <c r="AB43" i="6"/>
  <c r="AB42" i="6"/>
  <c r="AB41" i="6"/>
  <c r="AB40" i="6"/>
  <c r="AB39" i="6"/>
  <c r="AB38" i="6"/>
  <c r="AB37" i="6"/>
  <c r="AB36" i="6"/>
  <c r="AB35" i="6"/>
  <c r="AB34" i="6"/>
  <c r="AB33" i="6"/>
  <c r="AB32" i="6"/>
  <c r="AB31" i="6"/>
  <c r="AB30" i="6"/>
  <c r="AB29" i="6"/>
  <c r="AB28" i="6"/>
  <c r="AB27" i="6"/>
  <c r="AB26" i="6"/>
  <c r="AB25" i="6"/>
  <c r="AB24" i="6"/>
  <c r="AB23" i="6"/>
  <c r="AB22" i="6"/>
  <c r="AB21" i="6"/>
  <c r="AB20" i="6"/>
  <c r="AB19" i="6"/>
  <c r="AB18" i="6"/>
  <c r="AB17" i="6"/>
  <c r="AB16" i="6"/>
  <c r="AB15" i="6"/>
  <c r="AB14" i="6"/>
  <c r="AB13" i="6"/>
  <c r="AB12" i="6"/>
  <c r="AB11" i="6"/>
  <c r="AB10" i="6"/>
  <c r="AB9" i="6"/>
  <c r="AB8" i="6"/>
  <c r="AB7" i="6"/>
  <c r="AB6" i="6"/>
  <c r="AB5" i="6"/>
  <c r="AB4" i="6"/>
  <c r="AB3" i="6"/>
  <c r="AA307" i="6"/>
  <c r="AA306" i="6"/>
  <c r="AA305" i="6"/>
  <c r="AA304" i="6"/>
  <c r="AA303" i="6"/>
  <c r="AA302" i="6"/>
  <c r="AA301" i="6"/>
  <c r="AA300" i="6"/>
  <c r="AA299" i="6"/>
  <c r="AA298" i="6"/>
  <c r="AA297" i="6"/>
  <c r="AA296" i="6"/>
  <c r="AA295" i="6"/>
  <c r="AA294" i="6"/>
  <c r="AA293" i="6"/>
  <c r="AA292" i="6"/>
  <c r="AA291" i="6"/>
  <c r="AA290" i="6"/>
  <c r="AA289" i="6"/>
  <c r="AA288" i="6"/>
  <c r="AA287" i="6"/>
  <c r="AA286" i="6"/>
  <c r="AA285" i="6"/>
  <c r="AA284" i="6"/>
  <c r="AA283" i="6"/>
  <c r="AA282" i="6"/>
  <c r="AA281" i="6"/>
  <c r="AA280" i="6"/>
  <c r="AA279" i="6"/>
  <c r="AA278" i="6"/>
  <c r="AA277" i="6"/>
  <c r="AA276" i="6"/>
  <c r="AA275" i="6"/>
  <c r="AA274" i="6"/>
  <c r="AA273" i="6"/>
  <c r="AA272" i="6"/>
  <c r="AA271" i="6"/>
  <c r="AA270" i="6"/>
  <c r="AA269" i="6"/>
  <c r="AA268" i="6"/>
  <c r="AA267" i="6"/>
  <c r="AA266" i="6"/>
  <c r="AA265" i="6"/>
  <c r="AA264" i="6"/>
  <c r="AA263" i="6"/>
  <c r="AA262" i="6"/>
  <c r="AA261" i="6"/>
  <c r="AA260" i="6"/>
  <c r="AA259" i="6"/>
  <c r="AA258" i="6"/>
  <c r="AA257" i="6"/>
  <c r="AA256" i="6"/>
  <c r="AA255" i="6"/>
  <c r="AA254" i="6"/>
  <c r="AA253" i="6"/>
  <c r="AA252" i="6"/>
  <c r="AA251" i="6"/>
  <c r="AA250" i="6"/>
  <c r="AA249" i="6"/>
  <c r="AA248" i="6"/>
  <c r="AA247" i="6"/>
  <c r="AA246" i="6"/>
  <c r="AA245" i="6"/>
  <c r="AA244" i="6"/>
  <c r="AA243" i="6"/>
  <c r="AA242" i="6"/>
  <c r="AA241" i="6"/>
  <c r="AA240" i="6"/>
  <c r="AA239" i="6"/>
  <c r="AA238" i="6"/>
  <c r="AA237" i="6"/>
  <c r="AA236" i="6"/>
  <c r="AA235" i="6"/>
  <c r="AA234" i="6"/>
  <c r="AA233" i="6"/>
  <c r="AA232" i="6"/>
  <c r="AA231" i="6"/>
  <c r="AA230" i="6"/>
  <c r="AA229" i="6"/>
  <c r="AA228" i="6"/>
  <c r="AA227" i="6"/>
  <c r="AA226" i="6"/>
  <c r="AA225" i="6"/>
  <c r="AA224" i="6"/>
  <c r="AA223" i="6"/>
  <c r="AA222" i="6"/>
  <c r="AA221" i="6"/>
  <c r="AA220" i="6"/>
  <c r="AA219" i="6"/>
  <c r="AA218" i="6"/>
  <c r="AA217" i="6"/>
  <c r="AA216" i="6"/>
  <c r="AA215" i="6"/>
  <c r="AA214" i="6"/>
  <c r="AA213" i="6"/>
  <c r="AA212" i="6"/>
  <c r="AA211" i="6"/>
  <c r="AA210" i="6"/>
  <c r="AA209" i="6"/>
  <c r="AA208" i="6"/>
  <c r="AA207" i="6"/>
  <c r="AA206" i="6"/>
  <c r="AA205" i="6"/>
  <c r="AA204" i="6"/>
  <c r="AA203" i="6"/>
  <c r="AA202" i="6"/>
  <c r="AA201" i="6"/>
  <c r="AA200" i="6"/>
  <c r="AA199" i="6"/>
  <c r="AA198" i="6"/>
  <c r="AA197" i="6"/>
  <c r="AA196" i="6"/>
  <c r="AA195" i="6"/>
  <c r="AA194" i="6"/>
  <c r="AA193" i="6"/>
  <c r="AA192" i="6"/>
  <c r="AA191" i="6"/>
  <c r="AA190" i="6"/>
  <c r="AA189" i="6"/>
  <c r="AA188" i="6"/>
  <c r="AA177" i="6"/>
  <c r="AA166" i="6"/>
  <c r="AA165" i="6"/>
  <c r="AA164" i="6"/>
  <c r="AA163" i="6"/>
  <c r="AA162" i="6"/>
  <c r="AA161" i="6"/>
  <c r="AA160" i="6"/>
  <c r="AA159" i="6"/>
  <c r="AA158" i="6"/>
  <c r="AA157" i="6"/>
  <c r="AA156" i="6"/>
  <c r="AA155" i="6"/>
  <c r="AA154" i="6"/>
  <c r="AA153" i="6"/>
  <c r="AA152" i="6"/>
  <c r="AA151" i="6"/>
  <c r="AA150" i="6"/>
  <c r="AA149" i="6"/>
  <c r="AA148" i="6"/>
  <c r="AA147" i="6"/>
  <c r="AA146" i="6"/>
  <c r="AA145" i="6"/>
  <c r="AA144" i="6"/>
  <c r="AA143" i="6"/>
  <c r="AA142" i="6"/>
  <c r="AA141" i="6"/>
  <c r="AA140" i="6"/>
  <c r="AA139" i="6"/>
  <c r="AA138" i="6"/>
  <c r="AA137" i="6"/>
  <c r="AA136" i="6"/>
  <c r="AA135" i="6"/>
  <c r="AA134" i="6"/>
  <c r="AA133" i="6"/>
  <c r="AA132" i="6"/>
  <c r="AA131" i="6"/>
  <c r="AA130" i="6"/>
  <c r="AA129" i="6"/>
  <c r="AA128" i="6"/>
  <c r="AA127" i="6"/>
  <c r="AA126" i="6"/>
  <c r="AA125" i="6"/>
  <c r="AA124" i="6"/>
  <c r="AA123" i="6"/>
  <c r="AA122" i="6"/>
  <c r="AA121" i="6"/>
  <c r="AA120" i="6"/>
  <c r="AA119" i="6"/>
  <c r="AA118" i="6"/>
  <c r="AA117" i="6"/>
  <c r="AA116" i="6"/>
  <c r="AA115" i="6"/>
  <c r="AA114" i="6"/>
  <c r="AA113" i="6"/>
  <c r="AA112" i="6"/>
  <c r="AA111" i="6"/>
  <c r="AA110" i="6"/>
  <c r="AA109" i="6"/>
  <c r="AA108" i="6"/>
  <c r="AA107" i="6"/>
  <c r="AA106" i="6"/>
  <c r="AA105" i="6"/>
  <c r="AA104" i="6"/>
  <c r="AA103" i="6"/>
  <c r="AA102" i="6"/>
  <c r="AA101" i="6"/>
  <c r="AA100" i="6"/>
  <c r="AA99" i="6"/>
  <c r="AA98" i="6"/>
  <c r="AA97" i="6"/>
  <c r="AA96" i="6"/>
  <c r="AA95" i="6"/>
  <c r="AA94" i="6"/>
  <c r="AA93" i="6"/>
  <c r="AA92" i="6"/>
  <c r="AA91" i="6"/>
  <c r="AA90" i="6"/>
  <c r="AA89" i="6"/>
  <c r="AA88" i="6"/>
  <c r="AA87" i="6"/>
  <c r="AA86" i="6"/>
  <c r="AA85" i="6"/>
  <c r="AA84" i="6"/>
  <c r="AA83" i="6"/>
  <c r="AA82" i="6"/>
  <c r="AA81" i="6"/>
  <c r="AA80" i="6"/>
  <c r="AA79" i="6"/>
  <c r="AA78" i="6"/>
  <c r="AA77" i="6"/>
  <c r="AA76" i="6"/>
  <c r="AA75" i="6"/>
  <c r="AA74" i="6"/>
  <c r="AA73" i="6"/>
  <c r="AA72" i="6"/>
  <c r="AA71" i="6"/>
  <c r="AA70" i="6"/>
  <c r="AA69" i="6"/>
  <c r="AA68" i="6"/>
  <c r="AA67" i="6"/>
  <c r="AA66" i="6"/>
  <c r="AA65" i="6"/>
  <c r="AA64" i="6"/>
  <c r="AA63" i="6"/>
  <c r="AA62" i="6"/>
  <c r="AA61" i="6"/>
  <c r="AA60" i="6"/>
  <c r="AA59" i="6"/>
  <c r="AA58" i="6"/>
  <c r="AA57" i="6"/>
  <c r="AA56" i="6"/>
  <c r="AA55" i="6"/>
  <c r="AA54" i="6"/>
  <c r="AA53" i="6"/>
  <c r="AA52" i="6"/>
  <c r="AA51" i="6"/>
  <c r="AA50" i="6"/>
  <c r="AA49" i="6"/>
  <c r="AA48" i="6"/>
  <c r="AA47" i="6"/>
  <c r="AA46" i="6"/>
  <c r="AA45" i="6"/>
  <c r="AA44" i="6"/>
  <c r="AA43" i="6"/>
  <c r="AA42" i="6"/>
  <c r="AA41" i="6"/>
  <c r="AA40" i="6"/>
  <c r="AA39" i="6"/>
  <c r="AA38" i="6"/>
  <c r="AA37" i="6"/>
  <c r="AA36" i="6"/>
  <c r="AA35" i="6"/>
  <c r="AA34" i="6"/>
  <c r="AA33" i="6"/>
  <c r="AA32" i="6"/>
  <c r="AA31" i="6"/>
  <c r="AA30" i="6"/>
  <c r="AA29" i="6"/>
  <c r="AA28" i="6"/>
  <c r="AA27" i="6"/>
  <c r="AA26" i="6"/>
  <c r="AA25" i="6"/>
  <c r="AA24" i="6"/>
  <c r="AA23" i="6"/>
  <c r="AA22" i="6"/>
  <c r="AA21" i="6"/>
  <c r="AA20" i="6"/>
  <c r="AA19" i="6"/>
  <c r="AA18" i="6"/>
  <c r="AA17" i="6"/>
  <c r="AA16" i="6"/>
  <c r="AA15" i="6"/>
  <c r="AA14" i="6"/>
  <c r="AA13" i="6"/>
  <c r="AA12" i="6"/>
  <c r="AA11" i="6"/>
  <c r="AA10" i="6"/>
  <c r="AA9" i="6"/>
  <c r="AA8" i="6"/>
  <c r="AA7" i="6"/>
  <c r="AA6" i="6"/>
  <c r="AA5" i="6"/>
  <c r="AA4" i="6"/>
  <c r="AA3" i="6"/>
  <c r="Z307" i="6"/>
  <c r="Z306" i="6"/>
  <c r="Z305" i="6"/>
  <c r="Z304" i="6"/>
  <c r="Z303" i="6"/>
  <c r="Z302" i="6"/>
  <c r="Z301" i="6"/>
  <c r="Z300" i="6"/>
  <c r="Z299" i="6"/>
  <c r="Z298" i="6"/>
  <c r="Z297" i="6"/>
  <c r="Z296" i="6"/>
  <c r="Z295" i="6"/>
  <c r="Z294" i="6"/>
  <c r="Z293" i="6"/>
  <c r="Z292" i="6"/>
  <c r="Z291" i="6"/>
  <c r="Z290" i="6"/>
  <c r="Z289" i="6"/>
  <c r="Z288" i="6"/>
  <c r="Z287" i="6"/>
  <c r="Z286" i="6"/>
  <c r="Z285" i="6"/>
  <c r="Z284" i="6"/>
  <c r="Z283" i="6"/>
  <c r="Z282" i="6"/>
  <c r="Z281" i="6"/>
  <c r="Z280" i="6"/>
  <c r="Z279" i="6"/>
  <c r="Z278" i="6"/>
  <c r="Z277" i="6"/>
  <c r="Z276" i="6"/>
  <c r="Z275" i="6"/>
  <c r="Z274" i="6"/>
  <c r="Z273" i="6"/>
  <c r="Z272" i="6"/>
  <c r="Z271" i="6"/>
  <c r="Z270" i="6"/>
  <c r="Z269" i="6"/>
  <c r="Z268" i="6"/>
  <c r="Z267" i="6"/>
  <c r="Z266" i="6"/>
  <c r="Z265" i="6"/>
  <c r="Z264" i="6"/>
  <c r="Z263" i="6"/>
  <c r="Z262" i="6"/>
  <c r="Z261" i="6"/>
  <c r="Z260" i="6"/>
  <c r="Z259" i="6"/>
  <c r="Z258" i="6"/>
  <c r="Z257" i="6"/>
  <c r="Z256" i="6"/>
  <c r="Z255" i="6"/>
  <c r="Z254" i="6"/>
  <c r="Z253" i="6"/>
  <c r="Z252" i="6"/>
  <c r="Z251" i="6"/>
  <c r="Z250" i="6"/>
  <c r="Z249" i="6"/>
  <c r="Z248" i="6"/>
  <c r="Z247" i="6"/>
  <c r="Z246" i="6"/>
  <c r="Z245" i="6"/>
  <c r="Z244" i="6"/>
  <c r="Z243" i="6"/>
  <c r="Z242" i="6"/>
  <c r="Z241" i="6"/>
  <c r="Z240" i="6"/>
  <c r="Z239" i="6"/>
  <c r="Z238" i="6"/>
  <c r="Z237" i="6"/>
  <c r="Z236" i="6"/>
  <c r="Z235" i="6"/>
  <c r="Z234" i="6"/>
  <c r="Z233" i="6"/>
  <c r="Z232" i="6"/>
  <c r="Z231" i="6"/>
  <c r="Z230" i="6"/>
  <c r="Z229" i="6"/>
  <c r="Z228" i="6"/>
  <c r="Z227" i="6"/>
  <c r="Z226" i="6"/>
  <c r="Z225" i="6"/>
  <c r="Z224" i="6"/>
  <c r="Z223" i="6"/>
  <c r="Z222" i="6"/>
  <c r="Z221" i="6"/>
  <c r="Z220" i="6"/>
  <c r="Z219" i="6"/>
  <c r="Z218" i="6"/>
  <c r="Z217" i="6"/>
  <c r="Z216" i="6"/>
  <c r="Z215" i="6"/>
  <c r="Z214" i="6"/>
  <c r="Z213" i="6"/>
  <c r="Z212" i="6"/>
  <c r="Z211" i="6"/>
  <c r="Z210" i="6"/>
  <c r="Z209" i="6"/>
  <c r="Z208" i="6"/>
  <c r="Z207" i="6"/>
  <c r="Z206" i="6"/>
  <c r="Z205" i="6"/>
  <c r="Z204" i="6"/>
  <c r="Z203" i="6"/>
  <c r="Z202" i="6"/>
  <c r="Z201" i="6"/>
  <c r="Z200" i="6"/>
  <c r="Z199" i="6"/>
  <c r="Z198" i="6"/>
  <c r="Z197" i="6"/>
  <c r="Z196" i="6"/>
  <c r="Z195" i="6"/>
  <c r="Z194" i="6"/>
  <c r="Z193" i="6"/>
  <c r="Z192" i="6"/>
  <c r="Z191" i="6"/>
  <c r="Z190" i="6"/>
  <c r="Z189" i="6"/>
  <c r="Z188" i="6"/>
  <c r="Z177" i="6"/>
  <c r="Z166" i="6"/>
  <c r="Z165" i="6"/>
  <c r="Z164" i="6"/>
  <c r="Z163" i="6"/>
  <c r="Z162" i="6"/>
  <c r="Z161" i="6"/>
  <c r="Z160" i="6"/>
  <c r="Z159" i="6"/>
  <c r="Z158" i="6"/>
  <c r="Z157" i="6"/>
  <c r="Z156" i="6"/>
  <c r="Z155" i="6"/>
  <c r="Z154" i="6"/>
  <c r="Z153" i="6"/>
  <c r="Z152" i="6"/>
  <c r="Z151" i="6"/>
  <c r="Z150" i="6"/>
  <c r="Z149" i="6"/>
  <c r="Z148" i="6"/>
  <c r="Z147" i="6"/>
  <c r="Z146" i="6"/>
  <c r="Z145" i="6"/>
  <c r="Z144" i="6"/>
  <c r="Z143" i="6"/>
  <c r="Z142" i="6"/>
  <c r="Z141" i="6"/>
  <c r="Z140" i="6"/>
  <c r="Z139" i="6"/>
  <c r="Z138" i="6"/>
  <c r="Z137" i="6"/>
  <c r="Z136" i="6"/>
  <c r="Z135" i="6"/>
  <c r="Z134" i="6"/>
  <c r="Z133" i="6"/>
  <c r="Z132" i="6"/>
  <c r="Z131" i="6"/>
  <c r="Z130" i="6"/>
  <c r="Z129" i="6"/>
  <c r="Z128" i="6"/>
  <c r="Z127" i="6"/>
  <c r="Z126" i="6"/>
  <c r="Z125" i="6"/>
  <c r="Z124" i="6"/>
  <c r="Z123" i="6"/>
  <c r="Z122" i="6"/>
  <c r="Z121" i="6"/>
  <c r="Z120" i="6"/>
  <c r="Z119" i="6"/>
  <c r="Z118" i="6"/>
  <c r="Z117" i="6"/>
  <c r="Z116" i="6"/>
  <c r="Z115" i="6"/>
  <c r="Z114" i="6"/>
  <c r="Z113" i="6"/>
  <c r="Z112" i="6"/>
  <c r="Z111" i="6"/>
  <c r="Z110" i="6"/>
  <c r="Z109" i="6"/>
  <c r="Z108" i="6"/>
  <c r="Z107" i="6"/>
  <c r="Z106" i="6"/>
  <c r="Z105" i="6"/>
  <c r="Z104" i="6"/>
  <c r="Z103" i="6"/>
  <c r="Z102" i="6"/>
  <c r="Z101" i="6"/>
  <c r="Z100" i="6"/>
  <c r="Z99" i="6"/>
  <c r="Z98" i="6"/>
  <c r="Z97" i="6"/>
  <c r="Z96" i="6"/>
  <c r="Z95" i="6"/>
  <c r="Z94" i="6"/>
  <c r="Z93" i="6"/>
  <c r="Z92" i="6"/>
  <c r="Z91" i="6"/>
  <c r="Z90" i="6"/>
  <c r="Z89" i="6"/>
  <c r="Z88" i="6"/>
  <c r="Z87" i="6"/>
  <c r="Z86" i="6"/>
  <c r="Z85" i="6"/>
  <c r="Z84" i="6"/>
  <c r="Z83" i="6"/>
  <c r="Z82" i="6"/>
  <c r="Z81" i="6"/>
  <c r="Z80" i="6"/>
  <c r="Z79" i="6"/>
  <c r="Z78" i="6"/>
  <c r="Z77" i="6"/>
  <c r="Z76" i="6"/>
  <c r="Z75" i="6"/>
  <c r="Z74" i="6"/>
  <c r="Z73" i="6"/>
  <c r="Z72" i="6"/>
  <c r="Z71" i="6"/>
  <c r="Z70" i="6"/>
  <c r="Z69" i="6"/>
  <c r="Z68" i="6"/>
  <c r="Z67" i="6"/>
  <c r="Z66" i="6"/>
  <c r="Z65" i="6"/>
  <c r="Z64" i="6"/>
  <c r="Z63" i="6"/>
  <c r="Z62" i="6"/>
  <c r="Z61" i="6"/>
  <c r="Z60" i="6"/>
  <c r="Z59" i="6"/>
  <c r="Z58" i="6"/>
  <c r="Z57" i="6"/>
  <c r="Z56" i="6"/>
  <c r="Z55" i="6"/>
  <c r="Z54" i="6"/>
  <c r="Z53" i="6"/>
  <c r="Z52" i="6"/>
  <c r="Z51" i="6"/>
  <c r="Z50" i="6"/>
  <c r="Z49" i="6"/>
  <c r="Z48" i="6"/>
  <c r="Z47" i="6"/>
  <c r="Z46" i="6"/>
  <c r="Z45" i="6"/>
  <c r="Z44" i="6"/>
  <c r="Z43" i="6"/>
  <c r="Z42" i="6"/>
  <c r="Z41" i="6"/>
  <c r="Z40" i="6"/>
  <c r="Z39" i="6"/>
  <c r="Z38" i="6"/>
  <c r="Z37" i="6"/>
  <c r="Z36" i="6"/>
  <c r="Z35" i="6"/>
  <c r="Z34" i="6"/>
  <c r="Z33" i="6"/>
  <c r="Z32" i="6"/>
  <c r="Z31" i="6"/>
  <c r="Z30" i="6"/>
  <c r="Z29" i="6"/>
  <c r="Z28" i="6"/>
  <c r="Z27" i="6"/>
  <c r="Z26" i="6"/>
  <c r="Z25" i="6"/>
  <c r="Z24" i="6"/>
  <c r="Z23" i="6"/>
  <c r="Z22" i="6"/>
  <c r="Z21" i="6"/>
  <c r="Z20" i="6"/>
  <c r="Z19" i="6"/>
  <c r="Z18" i="6"/>
  <c r="Z17" i="6"/>
  <c r="Z16" i="6"/>
  <c r="Z15" i="6"/>
  <c r="Z14" i="6"/>
  <c r="Z13" i="6"/>
  <c r="Z12" i="6"/>
  <c r="Z11" i="6"/>
  <c r="Z10" i="6"/>
  <c r="Z9" i="6"/>
  <c r="Z8" i="6"/>
  <c r="Z7" i="6"/>
  <c r="Z6" i="6"/>
  <c r="Z5" i="6"/>
  <c r="Z4" i="6"/>
  <c r="Z3" i="6"/>
  <c r="Y307" i="6"/>
  <c r="Y306" i="6"/>
  <c r="Y305" i="6"/>
  <c r="Y304" i="6"/>
  <c r="Y303" i="6"/>
  <c r="Y302" i="6"/>
  <c r="Y301" i="6"/>
  <c r="Y300" i="6"/>
  <c r="Y299" i="6"/>
  <c r="Y298" i="6"/>
  <c r="Y297" i="6"/>
  <c r="Y296" i="6"/>
  <c r="Y295" i="6"/>
  <c r="Y294" i="6"/>
  <c r="Y293" i="6"/>
  <c r="Y292" i="6"/>
  <c r="Y291" i="6"/>
  <c r="Y290" i="6"/>
  <c r="Y289" i="6"/>
  <c r="Y288" i="6"/>
  <c r="Y287" i="6"/>
  <c r="Y286" i="6"/>
  <c r="Y285" i="6"/>
  <c r="Y284" i="6"/>
  <c r="Y283" i="6"/>
  <c r="Y282" i="6"/>
  <c r="Y281" i="6"/>
  <c r="Y280" i="6"/>
  <c r="Y279" i="6"/>
  <c r="Y278" i="6"/>
  <c r="Y277" i="6"/>
  <c r="Y276" i="6"/>
  <c r="Y275" i="6"/>
  <c r="Y274" i="6"/>
  <c r="Y273" i="6"/>
  <c r="Y272" i="6"/>
  <c r="Y271" i="6"/>
  <c r="Y270" i="6"/>
  <c r="Y269" i="6"/>
  <c r="Y268" i="6"/>
  <c r="Y267" i="6"/>
  <c r="Y266" i="6"/>
  <c r="Y265" i="6"/>
  <c r="Y264" i="6"/>
  <c r="Y263" i="6"/>
  <c r="Y262" i="6"/>
  <c r="Y261" i="6"/>
  <c r="Y260" i="6"/>
  <c r="Y259" i="6"/>
  <c r="Y258" i="6"/>
  <c r="Y257" i="6"/>
  <c r="Y256" i="6"/>
  <c r="Y255" i="6"/>
  <c r="Y254" i="6"/>
  <c r="Y253" i="6"/>
  <c r="Y252" i="6"/>
  <c r="Y251" i="6"/>
  <c r="Y250" i="6"/>
  <c r="Y249" i="6"/>
  <c r="Y248" i="6"/>
  <c r="Y247" i="6"/>
  <c r="Y246" i="6"/>
  <c r="Y245" i="6"/>
  <c r="Y244" i="6"/>
  <c r="Y243" i="6"/>
  <c r="Y242" i="6"/>
  <c r="Y241" i="6"/>
  <c r="Y240" i="6"/>
  <c r="Y239" i="6"/>
  <c r="Y238" i="6"/>
  <c r="Y237" i="6"/>
  <c r="Y236" i="6"/>
  <c r="Y235" i="6"/>
  <c r="Y234" i="6"/>
  <c r="Y233" i="6"/>
  <c r="Y232" i="6"/>
  <c r="Y231" i="6"/>
  <c r="Y230" i="6"/>
  <c r="Y229" i="6"/>
  <c r="Y228" i="6"/>
  <c r="Y227" i="6"/>
  <c r="Y226" i="6"/>
  <c r="Y225" i="6"/>
  <c r="Y224" i="6"/>
  <c r="Y223" i="6"/>
  <c r="Y222" i="6"/>
  <c r="Y221" i="6"/>
  <c r="Y220" i="6"/>
  <c r="Y219" i="6"/>
  <c r="Y218" i="6"/>
  <c r="Y217" i="6"/>
  <c r="Y216" i="6"/>
  <c r="Y215" i="6"/>
  <c r="Y214" i="6"/>
  <c r="Y213" i="6"/>
  <c r="Y212" i="6"/>
  <c r="Y211" i="6"/>
  <c r="Y210" i="6"/>
  <c r="Y209" i="6"/>
  <c r="Y208" i="6"/>
  <c r="Y207" i="6"/>
  <c r="Y206" i="6"/>
  <c r="Y205" i="6"/>
  <c r="Y204" i="6"/>
  <c r="Y203" i="6"/>
  <c r="Y202" i="6"/>
  <c r="Y201" i="6"/>
  <c r="Y200" i="6"/>
  <c r="Y199" i="6"/>
  <c r="Y198" i="6"/>
  <c r="Y197" i="6"/>
  <c r="Y196" i="6"/>
  <c r="Y195" i="6"/>
  <c r="Y194" i="6"/>
  <c r="Y193" i="6"/>
  <c r="Y192" i="6"/>
  <c r="Y191" i="6"/>
  <c r="Y190" i="6"/>
  <c r="Y189" i="6"/>
  <c r="Y188" i="6"/>
  <c r="Y177" i="6"/>
  <c r="Y166" i="6"/>
  <c r="Y165" i="6"/>
  <c r="Y164" i="6"/>
  <c r="Y163" i="6"/>
  <c r="Y162" i="6"/>
  <c r="Y161" i="6"/>
  <c r="Y160" i="6"/>
  <c r="Y159" i="6"/>
  <c r="Y158" i="6"/>
  <c r="Y157" i="6"/>
  <c r="Y156" i="6"/>
  <c r="Y155" i="6"/>
  <c r="Y154" i="6"/>
  <c r="Y153" i="6"/>
  <c r="Y152" i="6"/>
  <c r="Y151" i="6"/>
  <c r="Y150" i="6"/>
  <c r="Y149" i="6"/>
  <c r="Y148" i="6"/>
  <c r="Y147" i="6"/>
  <c r="Y146" i="6"/>
  <c r="Y145" i="6"/>
  <c r="Y144" i="6"/>
  <c r="Y143" i="6"/>
  <c r="Y142" i="6"/>
  <c r="Y141" i="6"/>
  <c r="Y140" i="6"/>
  <c r="Y139" i="6"/>
  <c r="Y138" i="6"/>
  <c r="Y137" i="6"/>
  <c r="Y136" i="6"/>
  <c r="Y135" i="6"/>
  <c r="Y134" i="6"/>
  <c r="Y133" i="6"/>
  <c r="Y132" i="6"/>
  <c r="Y131" i="6"/>
  <c r="Y130" i="6"/>
  <c r="Y129" i="6"/>
  <c r="Y128" i="6"/>
  <c r="Y127" i="6"/>
  <c r="Y126" i="6"/>
  <c r="Y125" i="6"/>
  <c r="Y124" i="6"/>
  <c r="Y123" i="6"/>
  <c r="Y122" i="6"/>
  <c r="Y121" i="6"/>
  <c r="Y120" i="6"/>
  <c r="Y119" i="6"/>
  <c r="Y118" i="6"/>
  <c r="Y117" i="6"/>
  <c r="Y116" i="6"/>
  <c r="Y115" i="6"/>
  <c r="Y114" i="6"/>
  <c r="Y113" i="6"/>
  <c r="Y112" i="6"/>
  <c r="Y111" i="6"/>
  <c r="Y110" i="6"/>
  <c r="Y109" i="6"/>
  <c r="Y108" i="6"/>
  <c r="Y107" i="6"/>
  <c r="Y106" i="6"/>
  <c r="Y105" i="6"/>
  <c r="Y104" i="6"/>
  <c r="Y103" i="6"/>
  <c r="Y102" i="6"/>
  <c r="Y101" i="6"/>
  <c r="Y100" i="6"/>
  <c r="Y99" i="6"/>
  <c r="Y98" i="6"/>
  <c r="Y97" i="6"/>
  <c r="Y96" i="6"/>
  <c r="Y95" i="6"/>
  <c r="Y94" i="6"/>
  <c r="Y93" i="6"/>
  <c r="Y92" i="6"/>
  <c r="Y91" i="6"/>
  <c r="Y90" i="6"/>
  <c r="Y89" i="6"/>
  <c r="Y88" i="6"/>
  <c r="Y87" i="6"/>
  <c r="Y86" i="6"/>
  <c r="Y85" i="6"/>
  <c r="Y84" i="6"/>
  <c r="Y83" i="6"/>
  <c r="Y82" i="6"/>
  <c r="Y81" i="6"/>
  <c r="Y80" i="6"/>
  <c r="Y79" i="6"/>
  <c r="Y78" i="6"/>
  <c r="Y77" i="6"/>
  <c r="Y76" i="6"/>
  <c r="Y75" i="6"/>
  <c r="Y74" i="6"/>
  <c r="Y73" i="6"/>
  <c r="Y72" i="6"/>
  <c r="Y71" i="6"/>
  <c r="Y70" i="6"/>
  <c r="Y69" i="6"/>
  <c r="Y68" i="6"/>
  <c r="Y67" i="6"/>
  <c r="Y66" i="6"/>
  <c r="Y65" i="6"/>
  <c r="Y64" i="6"/>
  <c r="Y63" i="6"/>
  <c r="Y62" i="6"/>
  <c r="Y61" i="6"/>
  <c r="Y60" i="6"/>
  <c r="Y59" i="6"/>
  <c r="Y58" i="6"/>
  <c r="Y57" i="6"/>
  <c r="Y56" i="6"/>
  <c r="Y55" i="6"/>
  <c r="Y54" i="6"/>
  <c r="Y53" i="6"/>
  <c r="Y52" i="6"/>
  <c r="Y51" i="6"/>
  <c r="Y50" i="6"/>
  <c r="Y49" i="6"/>
  <c r="Y48" i="6"/>
  <c r="Y47" i="6"/>
  <c r="Y46" i="6"/>
  <c r="Y45" i="6"/>
  <c r="Y44" i="6"/>
  <c r="Y43" i="6"/>
  <c r="Y42" i="6"/>
  <c r="Y41" i="6"/>
  <c r="Y40" i="6"/>
  <c r="Y39" i="6"/>
  <c r="Y38" i="6"/>
  <c r="Y37" i="6"/>
  <c r="Y36" i="6"/>
  <c r="Y35" i="6"/>
  <c r="Y34" i="6"/>
  <c r="Y33" i="6"/>
  <c r="Y32" i="6"/>
  <c r="Y31" i="6"/>
  <c r="Y30" i="6"/>
  <c r="Y29" i="6"/>
  <c r="Y28" i="6"/>
  <c r="Y27" i="6"/>
  <c r="Y26" i="6"/>
  <c r="Y25" i="6"/>
  <c r="Y24" i="6"/>
  <c r="Y23" i="6"/>
  <c r="Y22" i="6"/>
  <c r="Y21" i="6"/>
  <c r="Y20" i="6"/>
  <c r="Y19" i="6"/>
  <c r="Y18" i="6"/>
  <c r="Y17" i="6"/>
  <c r="Y16" i="6"/>
  <c r="Y15" i="6"/>
  <c r="Y14" i="6"/>
  <c r="Y13" i="6"/>
  <c r="Y12" i="6"/>
  <c r="Y11" i="6"/>
  <c r="Y10" i="6"/>
  <c r="Y9" i="6"/>
  <c r="Y8" i="6"/>
  <c r="Y7" i="6"/>
  <c r="Y6" i="6"/>
  <c r="Y5" i="6"/>
  <c r="Y4" i="6"/>
  <c r="Y3" i="6"/>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7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W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77" i="6"/>
  <c r="W188" i="6"/>
  <c r="W189" i="6"/>
  <c r="W190" i="6"/>
  <c r="W191" i="6"/>
  <c r="W192" i="6"/>
  <c r="W193" i="6"/>
  <c r="W194" i="6"/>
  <c r="W195" i="6"/>
  <c r="W196" i="6"/>
  <c r="W197" i="6"/>
  <c r="W198" i="6"/>
  <c r="W199" i="6"/>
  <c r="W200"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252" i="6"/>
  <c r="W253" i="6"/>
  <c r="W254" i="6"/>
  <c r="W255" i="6"/>
  <c r="W256" i="6"/>
  <c r="W257" i="6"/>
  <c r="W258" i="6"/>
  <c r="W259" i="6"/>
  <c r="W260" i="6"/>
  <c r="W261" i="6"/>
  <c r="W262" i="6"/>
  <c r="W263" i="6"/>
  <c r="W264" i="6"/>
  <c r="W265" i="6"/>
  <c r="W266" i="6"/>
  <c r="W267" i="6"/>
  <c r="W268" i="6"/>
  <c r="W269" i="6"/>
  <c r="W270" i="6"/>
  <c r="W271" i="6"/>
  <c r="W272" i="6"/>
  <c r="W273" i="6"/>
  <c r="W274" i="6"/>
  <c r="W275" i="6"/>
  <c r="W276" i="6"/>
  <c r="W277" i="6"/>
  <c r="W278" i="6"/>
  <c r="W279" i="6"/>
  <c r="W280" i="6"/>
  <c r="W281" i="6"/>
  <c r="W282" i="6"/>
  <c r="W283" i="6"/>
  <c r="W284" i="6"/>
  <c r="W285" i="6"/>
  <c r="W286" i="6"/>
  <c r="W287" i="6"/>
  <c r="W288" i="6"/>
  <c r="W289" i="6"/>
  <c r="W290" i="6"/>
  <c r="W291" i="6"/>
  <c r="W292" i="6"/>
  <c r="W293" i="6"/>
  <c r="W294" i="6"/>
  <c r="W295" i="6"/>
  <c r="W296" i="6"/>
  <c r="W297" i="6"/>
  <c r="W298" i="6"/>
  <c r="W299" i="6"/>
  <c r="W300" i="6"/>
  <c r="W301" i="6"/>
  <c r="W302" i="6"/>
  <c r="W303" i="6"/>
  <c r="W304" i="6"/>
  <c r="W305" i="6"/>
  <c r="W306" i="6"/>
  <c r="W307" i="6"/>
  <c r="V3"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7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7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7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7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7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7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7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7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7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7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7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7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7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7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7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AF2" i="6"/>
  <c r="AE2" i="6"/>
  <c r="AD2" i="6"/>
  <c r="AC2" i="6"/>
  <c r="AB2" i="6"/>
  <c r="AA2" i="6"/>
  <c r="Z2" i="6"/>
  <c r="Y2" i="6"/>
  <c r="X2" i="6"/>
  <c r="W2" i="6"/>
  <c r="V2" i="6"/>
  <c r="U2" i="6"/>
  <c r="T2" i="6"/>
  <c r="S2" i="6"/>
  <c r="R2" i="6"/>
  <c r="Q2" i="6"/>
  <c r="P2" i="6"/>
  <c r="O2" i="6"/>
  <c r="N2" i="6"/>
  <c r="M2" i="6"/>
  <c r="L2" i="6"/>
  <c r="K2" i="6"/>
  <c r="J2" i="6"/>
  <c r="I2" i="6"/>
  <c r="H2"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7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AF373" i="5"/>
  <c r="AE373" i="5"/>
  <c r="AD373" i="5"/>
  <c r="AC373" i="5"/>
  <c r="AB373" i="5"/>
  <c r="AA373" i="5"/>
  <c r="Z373" i="5"/>
  <c r="Y373" i="5"/>
  <c r="X373" i="5"/>
  <c r="W373" i="5"/>
  <c r="V373" i="5"/>
  <c r="U373" i="5"/>
  <c r="T373" i="5"/>
  <c r="S373" i="5"/>
  <c r="R373" i="5"/>
  <c r="Q373" i="5"/>
  <c r="P373" i="5"/>
  <c r="O373" i="5"/>
  <c r="N373" i="5"/>
  <c r="M373" i="5"/>
  <c r="L373" i="5"/>
  <c r="K373" i="5"/>
  <c r="J373" i="5"/>
  <c r="I373" i="5"/>
  <c r="H373" i="5"/>
  <c r="AF372" i="5"/>
  <c r="AE372" i="5"/>
  <c r="AD372" i="5"/>
  <c r="AC372" i="5"/>
  <c r="AB372" i="5"/>
  <c r="AA372" i="5"/>
  <c r="Z372" i="5"/>
  <c r="Y372" i="5"/>
  <c r="X372" i="5"/>
  <c r="W372" i="5"/>
  <c r="V372" i="5"/>
  <c r="U372" i="5"/>
  <c r="T372" i="5"/>
  <c r="S372" i="5"/>
  <c r="R372" i="5"/>
  <c r="Q372" i="5"/>
  <c r="P372" i="5"/>
  <c r="O372" i="5"/>
  <c r="N372" i="5"/>
  <c r="M372" i="5"/>
  <c r="L372" i="5"/>
  <c r="K372" i="5"/>
  <c r="J372" i="5"/>
  <c r="I372" i="5"/>
  <c r="H372" i="5"/>
  <c r="AF371" i="5"/>
  <c r="AE371" i="5"/>
  <c r="AD371" i="5"/>
  <c r="AC371" i="5"/>
  <c r="AB371" i="5"/>
  <c r="AA371" i="5"/>
  <c r="Z371" i="5"/>
  <c r="Y371" i="5"/>
  <c r="X371" i="5"/>
  <c r="W371" i="5"/>
  <c r="V371" i="5"/>
  <c r="U371" i="5"/>
  <c r="T371" i="5"/>
  <c r="S371" i="5"/>
  <c r="R371" i="5"/>
  <c r="Q371" i="5"/>
  <c r="P371" i="5"/>
  <c r="O371" i="5"/>
  <c r="N371" i="5"/>
  <c r="M371" i="5"/>
  <c r="L371" i="5"/>
  <c r="K371" i="5"/>
  <c r="J371" i="5"/>
  <c r="I371" i="5"/>
  <c r="H371" i="5"/>
  <c r="AF370" i="5"/>
  <c r="AE370" i="5"/>
  <c r="AD370" i="5"/>
  <c r="AC370" i="5"/>
  <c r="AB370" i="5"/>
  <c r="AA370" i="5"/>
  <c r="Z370" i="5"/>
  <c r="Y370" i="5"/>
  <c r="X370" i="5"/>
  <c r="W370" i="5"/>
  <c r="V370" i="5"/>
  <c r="U370" i="5"/>
  <c r="T370" i="5"/>
  <c r="S370" i="5"/>
  <c r="R370" i="5"/>
  <c r="Q370" i="5"/>
  <c r="P370" i="5"/>
  <c r="O370" i="5"/>
  <c r="N370" i="5"/>
  <c r="M370" i="5"/>
  <c r="L370" i="5"/>
  <c r="K370" i="5"/>
  <c r="J370" i="5"/>
  <c r="I370" i="5"/>
  <c r="H370" i="5"/>
  <c r="AF369" i="5"/>
  <c r="AE369" i="5"/>
  <c r="AD369" i="5"/>
  <c r="AC369" i="5"/>
  <c r="AB369" i="5"/>
  <c r="AA369" i="5"/>
  <c r="Z369" i="5"/>
  <c r="Y369" i="5"/>
  <c r="X369" i="5"/>
  <c r="W369" i="5"/>
  <c r="V369" i="5"/>
  <c r="U369" i="5"/>
  <c r="T369" i="5"/>
  <c r="S369" i="5"/>
  <c r="R369" i="5"/>
  <c r="Q369" i="5"/>
  <c r="P369" i="5"/>
  <c r="O369" i="5"/>
  <c r="N369" i="5"/>
  <c r="M369" i="5"/>
  <c r="L369" i="5"/>
  <c r="K369" i="5"/>
  <c r="J369" i="5"/>
  <c r="I369" i="5"/>
  <c r="H369" i="5"/>
  <c r="AF368" i="5"/>
  <c r="AE368" i="5"/>
  <c r="AD368" i="5"/>
  <c r="AC368" i="5"/>
  <c r="AB368" i="5"/>
  <c r="AA368" i="5"/>
  <c r="Z368" i="5"/>
  <c r="Y368" i="5"/>
  <c r="X368" i="5"/>
  <c r="W368" i="5"/>
  <c r="V368" i="5"/>
  <c r="U368" i="5"/>
  <c r="T368" i="5"/>
  <c r="S368" i="5"/>
  <c r="R368" i="5"/>
  <c r="Q368" i="5"/>
  <c r="P368" i="5"/>
  <c r="O368" i="5"/>
  <c r="N368" i="5"/>
  <c r="M368" i="5"/>
  <c r="L368" i="5"/>
  <c r="K368" i="5"/>
  <c r="J368" i="5"/>
  <c r="I368" i="5"/>
  <c r="H368" i="5"/>
  <c r="AF367" i="5"/>
  <c r="AE367" i="5"/>
  <c r="AD367" i="5"/>
  <c r="AC367" i="5"/>
  <c r="AB367" i="5"/>
  <c r="AA367" i="5"/>
  <c r="Z367" i="5"/>
  <c r="Y367" i="5"/>
  <c r="X367" i="5"/>
  <c r="W367" i="5"/>
  <c r="V367" i="5"/>
  <c r="U367" i="5"/>
  <c r="T367" i="5"/>
  <c r="S367" i="5"/>
  <c r="R367" i="5"/>
  <c r="Q367" i="5"/>
  <c r="P367" i="5"/>
  <c r="O367" i="5"/>
  <c r="N367" i="5"/>
  <c r="M367" i="5"/>
  <c r="L367" i="5"/>
  <c r="K367" i="5"/>
  <c r="J367" i="5"/>
  <c r="I367" i="5"/>
  <c r="H367" i="5"/>
  <c r="AF366" i="5"/>
  <c r="AE366" i="5"/>
  <c r="AD366" i="5"/>
  <c r="AC366" i="5"/>
  <c r="AB366" i="5"/>
  <c r="AA366" i="5"/>
  <c r="Z366" i="5"/>
  <c r="Y366" i="5"/>
  <c r="X366" i="5"/>
  <c r="W366" i="5"/>
  <c r="V366" i="5"/>
  <c r="U366" i="5"/>
  <c r="T366" i="5"/>
  <c r="S366" i="5"/>
  <c r="R366" i="5"/>
  <c r="Q366" i="5"/>
  <c r="P366" i="5"/>
  <c r="O366" i="5"/>
  <c r="N366" i="5"/>
  <c r="M366" i="5"/>
  <c r="L366" i="5"/>
  <c r="K366" i="5"/>
  <c r="J366" i="5"/>
  <c r="I366" i="5"/>
  <c r="H366" i="5"/>
  <c r="AF365" i="5"/>
  <c r="AE365" i="5"/>
  <c r="AD365" i="5"/>
  <c r="AC365" i="5"/>
  <c r="AB365" i="5"/>
  <c r="AA365" i="5"/>
  <c r="Z365" i="5"/>
  <c r="Y365" i="5"/>
  <c r="X365" i="5"/>
  <c r="W365" i="5"/>
  <c r="V365" i="5"/>
  <c r="U365" i="5"/>
  <c r="T365" i="5"/>
  <c r="S365" i="5"/>
  <c r="R365" i="5"/>
  <c r="Q365" i="5"/>
  <c r="P365" i="5"/>
  <c r="O365" i="5"/>
  <c r="N365" i="5"/>
  <c r="M365" i="5"/>
  <c r="L365" i="5"/>
  <c r="K365" i="5"/>
  <c r="J365" i="5"/>
  <c r="I365" i="5"/>
  <c r="H365" i="5"/>
  <c r="AF364" i="5"/>
  <c r="AE364" i="5"/>
  <c r="AD364" i="5"/>
  <c r="AC364" i="5"/>
  <c r="AB364" i="5"/>
  <c r="AA364" i="5"/>
  <c r="Z364" i="5"/>
  <c r="Y364" i="5"/>
  <c r="X364" i="5"/>
  <c r="W364" i="5"/>
  <c r="V364" i="5"/>
  <c r="U364" i="5"/>
  <c r="T364" i="5"/>
  <c r="S364" i="5"/>
  <c r="R364" i="5"/>
  <c r="Q364" i="5"/>
  <c r="P364" i="5"/>
  <c r="O364" i="5"/>
  <c r="N364" i="5"/>
  <c r="M364" i="5"/>
  <c r="L364" i="5"/>
  <c r="K364" i="5"/>
  <c r="J364" i="5"/>
  <c r="I364" i="5"/>
  <c r="H364" i="5"/>
  <c r="AF363" i="5"/>
  <c r="AE363" i="5"/>
  <c r="AD363" i="5"/>
  <c r="AC363" i="5"/>
  <c r="AB363" i="5"/>
  <c r="AA363" i="5"/>
  <c r="Z363" i="5"/>
  <c r="Y363" i="5"/>
  <c r="X363" i="5"/>
  <c r="W363" i="5"/>
  <c r="V363" i="5"/>
  <c r="U363" i="5"/>
  <c r="T363" i="5"/>
  <c r="S363" i="5"/>
  <c r="R363" i="5"/>
  <c r="Q363" i="5"/>
  <c r="P363" i="5"/>
  <c r="O363" i="5"/>
  <c r="N363" i="5"/>
  <c r="M363" i="5"/>
  <c r="L363" i="5"/>
  <c r="K363" i="5"/>
  <c r="J363" i="5"/>
  <c r="I363" i="5"/>
  <c r="H363" i="5"/>
  <c r="AF362" i="5"/>
  <c r="AE362" i="5"/>
  <c r="AD362" i="5"/>
  <c r="AC362" i="5"/>
  <c r="AB362" i="5"/>
  <c r="AA362" i="5"/>
  <c r="Z362" i="5"/>
  <c r="Y362" i="5"/>
  <c r="X362" i="5"/>
  <c r="W362" i="5"/>
  <c r="V362" i="5"/>
  <c r="U362" i="5"/>
  <c r="T362" i="5"/>
  <c r="S362" i="5"/>
  <c r="R362" i="5"/>
  <c r="Q362" i="5"/>
  <c r="P362" i="5"/>
  <c r="O362" i="5"/>
  <c r="N362" i="5"/>
  <c r="M362" i="5"/>
  <c r="L362" i="5"/>
  <c r="K362" i="5"/>
  <c r="J362" i="5"/>
  <c r="I362" i="5"/>
  <c r="H362" i="5"/>
  <c r="AF361" i="5"/>
  <c r="AE361" i="5"/>
  <c r="AD361" i="5"/>
  <c r="AC361" i="5"/>
  <c r="AB361" i="5"/>
  <c r="AA361" i="5"/>
  <c r="Z361" i="5"/>
  <c r="Y361" i="5"/>
  <c r="X361" i="5"/>
  <c r="W361" i="5"/>
  <c r="V361" i="5"/>
  <c r="U361" i="5"/>
  <c r="T361" i="5"/>
  <c r="S361" i="5"/>
  <c r="R361" i="5"/>
  <c r="Q361" i="5"/>
  <c r="P361" i="5"/>
  <c r="O361" i="5"/>
  <c r="N361" i="5"/>
  <c r="M361" i="5"/>
  <c r="L361" i="5"/>
  <c r="K361" i="5"/>
  <c r="J361" i="5"/>
  <c r="I361" i="5"/>
  <c r="H361" i="5"/>
  <c r="AF360" i="5"/>
  <c r="AE360" i="5"/>
  <c r="AD360" i="5"/>
  <c r="AC360" i="5"/>
  <c r="AB360" i="5"/>
  <c r="AA360" i="5"/>
  <c r="Z360" i="5"/>
  <c r="Y360" i="5"/>
  <c r="X360" i="5"/>
  <c r="W360" i="5"/>
  <c r="V360" i="5"/>
  <c r="U360" i="5"/>
  <c r="T360" i="5"/>
  <c r="S360" i="5"/>
  <c r="R360" i="5"/>
  <c r="Q360" i="5"/>
  <c r="P360" i="5"/>
  <c r="O360" i="5"/>
  <c r="N360" i="5"/>
  <c r="M360" i="5"/>
  <c r="L360" i="5"/>
  <c r="K360" i="5"/>
  <c r="J360" i="5"/>
  <c r="I360" i="5"/>
  <c r="H360" i="5"/>
  <c r="AF359" i="5"/>
  <c r="AE359" i="5"/>
  <c r="AD359" i="5"/>
  <c r="AC359" i="5"/>
  <c r="AB359" i="5"/>
  <c r="AA359" i="5"/>
  <c r="Z359" i="5"/>
  <c r="Y359" i="5"/>
  <c r="X359" i="5"/>
  <c r="W359" i="5"/>
  <c r="V359" i="5"/>
  <c r="U359" i="5"/>
  <c r="T359" i="5"/>
  <c r="S359" i="5"/>
  <c r="R359" i="5"/>
  <c r="Q359" i="5"/>
  <c r="P359" i="5"/>
  <c r="O359" i="5"/>
  <c r="N359" i="5"/>
  <c r="M359" i="5"/>
  <c r="L359" i="5"/>
  <c r="K359" i="5"/>
  <c r="J359" i="5"/>
  <c r="I359" i="5"/>
  <c r="H359" i="5"/>
  <c r="AF358" i="5"/>
  <c r="AE358" i="5"/>
  <c r="AD358" i="5"/>
  <c r="AC358" i="5"/>
  <c r="AB358" i="5"/>
  <c r="AA358" i="5"/>
  <c r="Z358" i="5"/>
  <c r="Y358" i="5"/>
  <c r="X358" i="5"/>
  <c r="W358" i="5"/>
  <c r="V358" i="5"/>
  <c r="U358" i="5"/>
  <c r="T358" i="5"/>
  <c r="S358" i="5"/>
  <c r="R358" i="5"/>
  <c r="Q358" i="5"/>
  <c r="P358" i="5"/>
  <c r="O358" i="5"/>
  <c r="N358" i="5"/>
  <c r="M358" i="5"/>
  <c r="L358" i="5"/>
  <c r="K358" i="5"/>
  <c r="J358" i="5"/>
  <c r="I358" i="5"/>
  <c r="H358" i="5"/>
  <c r="AF357" i="5"/>
  <c r="AE357" i="5"/>
  <c r="AD357" i="5"/>
  <c r="AC357" i="5"/>
  <c r="AB357" i="5"/>
  <c r="AA357" i="5"/>
  <c r="Z357" i="5"/>
  <c r="Y357" i="5"/>
  <c r="X357" i="5"/>
  <c r="W357" i="5"/>
  <c r="V357" i="5"/>
  <c r="U357" i="5"/>
  <c r="T357" i="5"/>
  <c r="S357" i="5"/>
  <c r="R357" i="5"/>
  <c r="Q357" i="5"/>
  <c r="P357" i="5"/>
  <c r="O357" i="5"/>
  <c r="N357" i="5"/>
  <c r="M357" i="5"/>
  <c r="L357" i="5"/>
  <c r="K357" i="5"/>
  <c r="J357" i="5"/>
  <c r="I357" i="5"/>
  <c r="H357" i="5"/>
  <c r="AF356" i="5"/>
  <c r="AE356" i="5"/>
  <c r="AD356" i="5"/>
  <c r="AC356" i="5"/>
  <c r="AB356" i="5"/>
  <c r="AA356" i="5"/>
  <c r="Z356" i="5"/>
  <c r="Y356" i="5"/>
  <c r="X356" i="5"/>
  <c r="W356" i="5"/>
  <c r="V356" i="5"/>
  <c r="U356" i="5"/>
  <c r="T356" i="5"/>
  <c r="S356" i="5"/>
  <c r="R356" i="5"/>
  <c r="Q356" i="5"/>
  <c r="P356" i="5"/>
  <c r="O356" i="5"/>
  <c r="N356" i="5"/>
  <c r="M356" i="5"/>
  <c r="L356" i="5"/>
  <c r="K356" i="5"/>
  <c r="J356" i="5"/>
  <c r="I356" i="5"/>
  <c r="H356" i="5"/>
  <c r="AF355" i="5"/>
  <c r="AE355" i="5"/>
  <c r="AD355" i="5"/>
  <c r="AC355" i="5"/>
  <c r="AB355" i="5"/>
  <c r="AA355" i="5"/>
  <c r="Z355" i="5"/>
  <c r="Y355" i="5"/>
  <c r="X355" i="5"/>
  <c r="W355" i="5"/>
  <c r="V355" i="5"/>
  <c r="U355" i="5"/>
  <c r="T355" i="5"/>
  <c r="S355" i="5"/>
  <c r="R355" i="5"/>
  <c r="Q355" i="5"/>
  <c r="P355" i="5"/>
  <c r="O355" i="5"/>
  <c r="N355" i="5"/>
  <c r="M355" i="5"/>
  <c r="L355" i="5"/>
  <c r="K355" i="5"/>
  <c r="J355" i="5"/>
  <c r="I355" i="5"/>
  <c r="H355" i="5"/>
  <c r="AF354" i="5"/>
  <c r="AE354" i="5"/>
  <c r="AD354" i="5"/>
  <c r="AC354" i="5"/>
  <c r="AB354" i="5"/>
  <c r="AA354" i="5"/>
  <c r="Z354" i="5"/>
  <c r="Y354" i="5"/>
  <c r="X354" i="5"/>
  <c r="W354" i="5"/>
  <c r="V354" i="5"/>
  <c r="U354" i="5"/>
  <c r="T354" i="5"/>
  <c r="S354" i="5"/>
  <c r="R354" i="5"/>
  <c r="Q354" i="5"/>
  <c r="P354" i="5"/>
  <c r="O354" i="5"/>
  <c r="N354" i="5"/>
  <c r="M354" i="5"/>
  <c r="L354" i="5"/>
  <c r="K354" i="5"/>
  <c r="J354" i="5"/>
  <c r="I354" i="5"/>
  <c r="H354" i="5"/>
  <c r="AF353" i="5"/>
  <c r="AE353" i="5"/>
  <c r="AD353" i="5"/>
  <c r="AC353" i="5"/>
  <c r="AB353" i="5"/>
  <c r="AA353" i="5"/>
  <c r="Z353" i="5"/>
  <c r="Y353" i="5"/>
  <c r="X353" i="5"/>
  <c r="W353" i="5"/>
  <c r="V353" i="5"/>
  <c r="U353" i="5"/>
  <c r="T353" i="5"/>
  <c r="S353" i="5"/>
  <c r="R353" i="5"/>
  <c r="Q353" i="5"/>
  <c r="P353" i="5"/>
  <c r="O353" i="5"/>
  <c r="N353" i="5"/>
  <c r="M353" i="5"/>
  <c r="L353" i="5"/>
  <c r="K353" i="5"/>
  <c r="J353" i="5"/>
  <c r="I353" i="5"/>
  <c r="H353" i="5"/>
  <c r="AF352" i="5"/>
  <c r="AE352" i="5"/>
  <c r="AD352" i="5"/>
  <c r="AC352" i="5"/>
  <c r="AB352" i="5"/>
  <c r="AA352" i="5"/>
  <c r="Z352" i="5"/>
  <c r="Y352" i="5"/>
  <c r="X352" i="5"/>
  <c r="W352" i="5"/>
  <c r="V352" i="5"/>
  <c r="U352" i="5"/>
  <c r="T352" i="5"/>
  <c r="S352" i="5"/>
  <c r="R352" i="5"/>
  <c r="Q352" i="5"/>
  <c r="P352" i="5"/>
  <c r="O352" i="5"/>
  <c r="N352" i="5"/>
  <c r="M352" i="5"/>
  <c r="L352" i="5"/>
  <c r="K352" i="5"/>
  <c r="J352" i="5"/>
  <c r="I352" i="5"/>
  <c r="H352" i="5"/>
  <c r="AF351" i="5"/>
  <c r="AE351" i="5"/>
  <c r="AD351" i="5"/>
  <c r="AC351" i="5"/>
  <c r="AB351" i="5"/>
  <c r="AA351" i="5"/>
  <c r="Z351" i="5"/>
  <c r="Y351" i="5"/>
  <c r="X351" i="5"/>
  <c r="W351" i="5"/>
  <c r="V351" i="5"/>
  <c r="U351" i="5"/>
  <c r="T351" i="5"/>
  <c r="S351" i="5"/>
  <c r="R351" i="5"/>
  <c r="Q351" i="5"/>
  <c r="P351" i="5"/>
  <c r="O351" i="5"/>
  <c r="N351" i="5"/>
  <c r="M351" i="5"/>
  <c r="L351" i="5"/>
  <c r="K351" i="5"/>
  <c r="J351" i="5"/>
  <c r="I351" i="5"/>
  <c r="H351" i="5"/>
  <c r="AF350" i="5"/>
  <c r="AE350" i="5"/>
  <c r="AD350" i="5"/>
  <c r="AC350" i="5"/>
  <c r="AB350" i="5"/>
  <c r="AA350" i="5"/>
  <c r="Z350" i="5"/>
  <c r="Y350" i="5"/>
  <c r="X350" i="5"/>
  <c r="W350" i="5"/>
  <c r="V350" i="5"/>
  <c r="U350" i="5"/>
  <c r="T350" i="5"/>
  <c r="S350" i="5"/>
  <c r="R350" i="5"/>
  <c r="Q350" i="5"/>
  <c r="P350" i="5"/>
  <c r="O350" i="5"/>
  <c r="N350" i="5"/>
  <c r="M350" i="5"/>
  <c r="L350" i="5"/>
  <c r="K350" i="5"/>
  <c r="J350" i="5"/>
  <c r="I350" i="5"/>
  <c r="H350" i="5"/>
  <c r="AF349" i="5"/>
  <c r="AE349" i="5"/>
  <c r="AD349" i="5"/>
  <c r="AC349" i="5"/>
  <c r="AB349" i="5"/>
  <c r="AA349" i="5"/>
  <c r="Z349" i="5"/>
  <c r="Y349" i="5"/>
  <c r="X349" i="5"/>
  <c r="W349" i="5"/>
  <c r="V349" i="5"/>
  <c r="U349" i="5"/>
  <c r="T349" i="5"/>
  <c r="S349" i="5"/>
  <c r="R349" i="5"/>
  <c r="Q349" i="5"/>
  <c r="P349" i="5"/>
  <c r="O349" i="5"/>
  <c r="N349" i="5"/>
  <c r="M349" i="5"/>
  <c r="L349" i="5"/>
  <c r="K349" i="5"/>
  <c r="J349" i="5"/>
  <c r="I349" i="5"/>
  <c r="H349" i="5"/>
  <c r="AF348" i="5"/>
  <c r="AE348" i="5"/>
  <c r="AD348" i="5"/>
  <c r="AC348" i="5"/>
  <c r="AB348" i="5"/>
  <c r="AA348" i="5"/>
  <c r="Z348" i="5"/>
  <c r="Y348" i="5"/>
  <c r="X348" i="5"/>
  <c r="W348" i="5"/>
  <c r="V348" i="5"/>
  <c r="U348" i="5"/>
  <c r="T348" i="5"/>
  <c r="S348" i="5"/>
  <c r="R348" i="5"/>
  <c r="Q348" i="5"/>
  <c r="P348" i="5"/>
  <c r="O348" i="5"/>
  <c r="N348" i="5"/>
  <c r="M348" i="5"/>
  <c r="L348" i="5"/>
  <c r="K348" i="5"/>
  <c r="J348" i="5"/>
  <c r="I348" i="5"/>
  <c r="H348" i="5"/>
  <c r="AF347" i="5"/>
  <c r="AE347" i="5"/>
  <c r="AD347" i="5"/>
  <c r="AC347" i="5"/>
  <c r="AB347" i="5"/>
  <c r="AA347" i="5"/>
  <c r="Z347" i="5"/>
  <c r="Y347" i="5"/>
  <c r="X347" i="5"/>
  <c r="W347" i="5"/>
  <c r="V347" i="5"/>
  <c r="U347" i="5"/>
  <c r="T347" i="5"/>
  <c r="S347" i="5"/>
  <c r="R347" i="5"/>
  <c r="Q347" i="5"/>
  <c r="P347" i="5"/>
  <c r="O347" i="5"/>
  <c r="N347" i="5"/>
  <c r="M347" i="5"/>
  <c r="L347" i="5"/>
  <c r="K347" i="5"/>
  <c r="J347" i="5"/>
  <c r="I347" i="5"/>
  <c r="H347" i="5"/>
  <c r="AF346" i="5"/>
  <c r="AE346" i="5"/>
  <c r="AD346" i="5"/>
  <c r="AC346" i="5"/>
  <c r="AB346" i="5"/>
  <c r="AA346" i="5"/>
  <c r="Z346" i="5"/>
  <c r="Y346" i="5"/>
  <c r="X346" i="5"/>
  <c r="W346" i="5"/>
  <c r="V346" i="5"/>
  <c r="U346" i="5"/>
  <c r="T346" i="5"/>
  <c r="S346" i="5"/>
  <c r="R346" i="5"/>
  <c r="Q346" i="5"/>
  <c r="P346" i="5"/>
  <c r="O346" i="5"/>
  <c r="N346" i="5"/>
  <c r="M346" i="5"/>
  <c r="L346" i="5"/>
  <c r="K346" i="5"/>
  <c r="J346" i="5"/>
  <c r="I346" i="5"/>
  <c r="H346" i="5"/>
  <c r="AF345" i="5"/>
  <c r="AE345" i="5"/>
  <c r="AD345" i="5"/>
  <c r="AC345" i="5"/>
  <c r="AB345" i="5"/>
  <c r="AA345" i="5"/>
  <c r="Z345" i="5"/>
  <c r="Y345" i="5"/>
  <c r="X345" i="5"/>
  <c r="W345" i="5"/>
  <c r="V345" i="5"/>
  <c r="U345" i="5"/>
  <c r="T345" i="5"/>
  <c r="S345" i="5"/>
  <c r="R345" i="5"/>
  <c r="Q345" i="5"/>
  <c r="P345" i="5"/>
  <c r="O345" i="5"/>
  <c r="N345" i="5"/>
  <c r="M345" i="5"/>
  <c r="L345" i="5"/>
  <c r="K345" i="5"/>
  <c r="J345" i="5"/>
  <c r="I345" i="5"/>
  <c r="H345" i="5"/>
  <c r="AF344" i="5"/>
  <c r="AE344" i="5"/>
  <c r="AD344" i="5"/>
  <c r="AC344" i="5"/>
  <c r="AB344" i="5"/>
  <c r="AA344" i="5"/>
  <c r="Z344" i="5"/>
  <c r="Y344" i="5"/>
  <c r="X344" i="5"/>
  <c r="W344" i="5"/>
  <c r="V344" i="5"/>
  <c r="U344" i="5"/>
  <c r="T344" i="5"/>
  <c r="S344" i="5"/>
  <c r="R344" i="5"/>
  <c r="Q344" i="5"/>
  <c r="P344" i="5"/>
  <c r="O344" i="5"/>
  <c r="N344" i="5"/>
  <c r="M344" i="5"/>
  <c r="L344" i="5"/>
  <c r="K344" i="5"/>
  <c r="J344" i="5"/>
  <c r="I344" i="5"/>
  <c r="H344" i="5"/>
  <c r="AF343" i="5"/>
  <c r="AE343" i="5"/>
  <c r="AD343" i="5"/>
  <c r="AC343" i="5"/>
  <c r="AB343" i="5"/>
  <c r="AA343" i="5"/>
  <c r="Z343" i="5"/>
  <c r="Y343" i="5"/>
  <c r="X343" i="5"/>
  <c r="W343" i="5"/>
  <c r="V343" i="5"/>
  <c r="U343" i="5"/>
  <c r="T343" i="5"/>
  <c r="S343" i="5"/>
  <c r="R343" i="5"/>
  <c r="Q343" i="5"/>
  <c r="P343" i="5"/>
  <c r="O343" i="5"/>
  <c r="N343" i="5"/>
  <c r="M343" i="5"/>
  <c r="L343" i="5"/>
  <c r="K343" i="5"/>
  <c r="J343" i="5"/>
  <c r="I343" i="5"/>
  <c r="H343" i="5"/>
  <c r="AF342" i="5"/>
  <c r="AE342" i="5"/>
  <c r="AD342" i="5"/>
  <c r="AC342" i="5"/>
  <c r="AB342" i="5"/>
  <c r="AA342" i="5"/>
  <c r="Z342" i="5"/>
  <c r="Y342" i="5"/>
  <c r="X342" i="5"/>
  <c r="W342" i="5"/>
  <c r="V342" i="5"/>
  <c r="U342" i="5"/>
  <c r="T342" i="5"/>
  <c r="S342" i="5"/>
  <c r="R342" i="5"/>
  <c r="Q342" i="5"/>
  <c r="P342" i="5"/>
  <c r="O342" i="5"/>
  <c r="N342" i="5"/>
  <c r="M342" i="5"/>
  <c r="L342" i="5"/>
  <c r="K342" i="5"/>
  <c r="J342" i="5"/>
  <c r="I342" i="5"/>
  <c r="H342" i="5"/>
  <c r="AF341" i="5"/>
  <c r="AE341" i="5"/>
  <c r="AD341" i="5"/>
  <c r="AC341" i="5"/>
  <c r="AB341" i="5"/>
  <c r="AA341" i="5"/>
  <c r="Z341" i="5"/>
  <c r="Y341" i="5"/>
  <c r="X341" i="5"/>
  <c r="W341" i="5"/>
  <c r="V341" i="5"/>
  <c r="U341" i="5"/>
  <c r="T341" i="5"/>
  <c r="S341" i="5"/>
  <c r="R341" i="5"/>
  <c r="Q341" i="5"/>
  <c r="P341" i="5"/>
  <c r="O341" i="5"/>
  <c r="N341" i="5"/>
  <c r="M341" i="5"/>
  <c r="L341" i="5"/>
  <c r="K341" i="5"/>
  <c r="J341" i="5"/>
  <c r="I341" i="5"/>
  <c r="H341" i="5"/>
  <c r="AF340" i="5"/>
  <c r="AE340" i="5"/>
  <c r="AD340" i="5"/>
  <c r="AC340" i="5"/>
  <c r="AB340" i="5"/>
  <c r="AA340" i="5"/>
  <c r="Z340" i="5"/>
  <c r="Y340" i="5"/>
  <c r="X340" i="5"/>
  <c r="W340" i="5"/>
  <c r="V340" i="5"/>
  <c r="U340" i="5"/>
  <c r="T340" i="5"/>
  <c r="S340" i="5"/>
  <c r="R340" i="5"/>
  <c r="Q340" i="5"/>
  <c r="P340" i="5"/>
  <c r="O340" i="5"/>
  <c r="N340" i="5"/>
  <c r="M340" i="5"/>
  <c r="L340" i="5"/>
  <c r="K340" i="5"/>
  <c r="J340" i="5"/>
  <c r="I340" i="5"/>
  <c r="H340" i="5"/>
  <c r="AF339" i="5"/>
  <c r="AE339" i="5"/>
  <c r="AD339" i="5"/>
  <c r="AC339" i="5"/>
  <c r="AB339" i="5"/>
  <c r="AA339" i="5"/>
  <c r="Z339" i="5"/>
  <c r="Y339" i="5"/>
  <c r="X339" i="5"/>
  <c r="W339" i="5"/>
  <c r="V339" i="5"/>
  <c r="U339" i="5"/>
  <c r="T339" i="5"/>
  <c r="S339" i="5"/>
  <c r="R339" i="5"/>
  <c r="Q339" i="5"/>
  <c r="P339" i="5"/>
  <c r="O339" i="5"/>
  <c r="N339" i="5"/>
  <c r="M339" i="5"/>
  <c r="L339" i="5"/>
  <c r="K339" i="5"/>
  <c r="J339" i="5"/>
  <c r="I339" i="5"/>
  <c r="H339" i="5"/>
  <c r="AF338" i="5"/>
  <c r="AE338" i="5"/>
  <c r="AD338" i="5"/>
  <c r="AC338" i="5"/>
  <c r="AB338" i="5"/>
  <c r="AA338" i="5"/>
  <c r="Z338" i="5"/>
  <c r="Y338" i="5"/>
  <c r="X338" i="5"/>
  <c r="W338" i="5"/>
  <c r="V338" i="5"/>
  <c r="U338" i="5"/>
  <c r="T338" i="5"/>
  <c r="S338" i="5"/>
  <c r="R338" i="5"/>
  <c r="Q338" i="5"/>
  <c r="P338" i="5"/>
  <c r="O338" i="5"/>
  <c r="N338" i="5"/>
  <c r="M338" i="5"/>
  <c r="L338" i="5"/>
  <c r="K338" i="5"/>
  <c r="J338" i="5"/>
  <c r="I338" i="5"/>
  <c r="H338" i="5"/>
  <c r="AF337" i="5"/>
  <c r="AE337" i="5"/>
  <c r="AD337" i="5"/>
  <c r="AC337" i="5"/>
  <c r="AB337" i="5"/>
  <c r="AA337" i="5"/>
  <c r="Z337" i="5"/>
  <c r="Y337" i="5"/>
  <c r="X337" i="5"/>
  <c r="W337" i="5"/>
  <c r="V337" i="5"/>
  <c r="U337" i="5"/>
  <c r="T337" i="5"/>
  <c r="S337" i="5"/>
  <c r="R337" i="5"/>
  <c r="Q337" i="5"/>
  <c r="P337" i="5"/>
  <c r="O337" i="5"/>
  <c r="N337" i="5"/>
  <c r="M337" i="5"/>
  <c r="L337" i="5"/>
  <c r="K337" i="5"/>
  <c r="J337" i="5"/>
  <c r="I337" i="5"/>
  <c r="H337" i="5"/>
  <c r="AF336" i="5"/>
  <c r="AE336" i="5"/>
  <c r="AD336" i="5"/>
  <c r="AC336" i="5"/>
  <c r="AB336" i="5"/>
  <c r="AA336" i="5"/>
  <c r="Z336" i="5"/>
  <c r="Y336" i="5"/>
  <c r="X336" i="5"/>
  <c r="W336" i="5"/>
  <c r="V336" i="5"/>
  <c r="U336" i="5"/>
  <c r="T336" i="5"/>
  <c r="S336" i="5"/>
  <c r="R336" i="5"/>
  <c r="Q336" i="5"/>
  <c r="P336" i="5"/>
  <c r="O336" i="5"/>
  <c r="N336" i="5"/>
  <c r="M336" i="5"/>
  <c r="L336" i="5"/>
  <c r="K336" i="5"/>
  <c r="J336" i="5"/>
  <c r="I336" i="5"/>
  <c r="H336" i="5"/>
  <c r="AF335" i="5"/>
  <c r="AE335" i="5"/>
  <c r="AD335" i="5"/>
  <c r="AC335" i="5"/>
  <c r="AB335" i="5"/>
  <c r="AA335" i="5"/>
  <c r="Z335" i="5"/>
  <c r="Y335" i="5"/>
  <c r="X335" i="5"/>
  <c r="W335" i="5"/>
  <c r="V335" i="5"/>
  <c r="U335" i="5"/>
  <c r="T335" i="5"/>
  <c r="S335" i="5"/>
  <c r="R335" i="5"/>
  <c r="Q335" i="5"/>
  <c r="P335" i="5"/>
  <c r="O335" i="5"/>
  <c r="N335" i="5"/>
  <c r="M335" i="5"/>
  <c r="L335" i="5"/>
  <c r="K335" i="5"/>
  <c r="J335" i="5"/>
  <c r="I335" i="5"/>
  <c r="H335" i="5"/>
  <c r="AF334" i="5"/>
  <c r="AE334" i="5"/>
  <c r="AD334" i="5"/>
  <c r="AC334" i="5"/>
  <c r="AB334" i="5"/>
  <c r="AA334" i="5"/>
  <c r="Z334" i="5"/>
  <c r="Y334" i="5"/>
  <c r="X334" i="5"/>
  <c r="W334" i="5"/>
  <c r="V334" i="5"/>
  <c r="U334" i="5"/>
  <c r="T334" i="5"/>
  <c r="S334" i="5"/>
  <c r="R334" i="5"/>
  <c r="Q334" i="5"/>
  <c r="P334" i="5"/>
  <c r="O334" i="5"/>
  <c r="N334" i="5"/>
  <c r="M334" i="5"/>
  <c r="L334" i="5"/>
  <c r="K334" i="5"/>
  <c r="J334" i="5"/>
  <c r="I334" i="5"/>
  <c r="H334" i="5"/>
  <c r="AF333" i="5"/>
  <c r="AE333" i="5"/>
  <c r="AD333" i="5"/>
  <c r="AC333" i="5"/>
  <c r="AB333" i="5"/>
  <c r="AA333" i="5"/>
  <c r="Z333" i="5"/>
  <c r="Y333" i="5"/>
  <c r="X333" i="5"/>
  <c r="W333" i="5"/>
  <c r="V333" i="5"/>
  <c r="U333" i="5"/>
  <c r="T333" i="5"/>
  <c r="S333" i="5"/>
  <c r="R333" i="5"/>
  <c r="Q333" i="5"/>
  <c r="P333" i="5"/>
  <c r="O333" i="5"/>
  <c r="N333" i="5"/>
  <c r="M333" i="5"/>
  <c r="L333" i="5"/>
  <c r="K333" i="5"/>
  <c r="J333" i="5"/>
  <c r="I333" i="5"/>
  <c r="H333" i="5"/>
  <c r="AF332" i="5"/>
  <c r="AE332" i="5"/>
  <c r="AD332" i="5"/>
  <c r="AC332" i="5"/>
  <c r="AB332" i="5"/>
  <c r="AA332" i="5"/>
  <c r="Z332" i="5"/>
  <c r="Y332" i="5"/>
  <c r="X332" i="5"/>
  <c r="W332" i="5"/>
  <c r="V332" i="5"/>
  <c r="U332" i="5"/>
  <c r="T332" i="5"/>
  <c r="S332" i="5"/>
  <c r="R332" i="5"/>
  <c r="Q332" i="5"/>
  <c r="P332" i="5"/>
  <c r="O332" i="5"/>
  <c r="N332" i="5"/>
  <c r="M332" i="5"/>
  <c r="L332" i="5"/>
  <c r="K332" i="5"/>
  <c r="J332" i="5"/>
  <c r="I332" i="5"/>
  <c r="H332" i="5"/>
  <c r="AF331" i="5"/>
  <c r="AE331" i="5"/>
  <c r="AD331" i="5"/>
  <c r="AC331" i="5"/>
  <c r="AB331" i="5"/>
  <c r="AA331" i="5"/>
  <c r="Z331" i="5"/>
  <c r="Y331" i="5"/>
  <c r="X331" i="5"/>
  <c r="W331" i="5"/>
  <c r="V331" i="5"/>
  <c r="U331" i="5"/>
  <c r="T331" i="5"/>
  <c r="S331" i="5"/>
  <c r="R331" i="5"/>
  <c r="Q331" i="5"/>
  <c r="P331" i="5"/>
  <c r="O331" i="5"/>
  <c r="N331" i="5"/>
  <c r="M331" i="5"/>
  <c r="L331" i="5"/>
  <c r="K331" i="5"/>
  <c r="J331" i="5"/>
  <c r="I331" i="5"/>
  <c r="H331" i="5"/>
  <c r="AF330" i="5"/>
  <c r="AE330" i="5"/>
  <c r="AD330" i="5"/>
  <c r="AC330" i="5"/>
  <c r="AB330" i="5"/>
  <c r="AA330" i="5"/>
  <c r="Z330" i="5"/>
  <c r="Y330" i="5"/>
  <c r="X330" i="5"/>
  <c r="W330" i="5"/>
  <c r="V330" i="5"/>
  <c r="U330" i="5"/>
  <c r="T330" i="5"/>
  <c r="S330" i="5"/>
  <c r="R330" i="5"/>
  <c r="Q330" i="5"/>
  <c r="P330" i="5"/>
  <c r="O330" i="5"/>
  <c r="N330" i="5"/>
  <c r="M330" i="5"/>
  <c r="L330" i="5"/>
  <c r="K330" i="5"/>
  <c r="J330" i="5"/>
  <c r="I330" i="5"/>
  <c r="H330" i="5"/>
  <c r="AF329" i="5"/>
  <c r="AE329" i="5"/>
  <c r="AD329" i="5"/>
  <c r="AC329" i="5"/>
  <c r="AB329" i="5"/>
  <c r="AA329" i="5"/>
  <c r="Z329" i="5"/>
  <c r="Y329" i="5"/>
  <c r="X329" i="5"/>
  <c r="W329" i="5"/>
  <c r="V329" i="5"/>
  <c r="U329" i="5"/>
  <c r="T329" i="5"/>
  <c r="S329" i="5"/>
  <c r="R329" i="5"/>
  <c r="Q329" i="5"/>
  <c r="P329" i="5"/>
  <c r="O329" i="5"/>
  <c r="N329" i="5"/>
  <c r="M329" i="5"/>
  <c r="L329" i="5"/>
  <c r="K329" i="5"/>
  <c r="J329" i="5"/>
  <c r="I329" i="5"/>
  <c r="H329" i="5"/>
  <c r="AF328" i="5"/>
  <c r="AE328" i="5"/>
  <c r="AD328" i="5"/>
  <c r="AC328" i="5"/>
  <c r="AB328" i="5"/>
  <c r="AA328" i="5"/>
  <c r="Z328" i="5"/>
  <c r="Y328" i="5"/>
  <c r="X328" i="5"/>
  <c r="W328" i="5"/>
  <c r="V328" i="5"/>
  <c r="U328" i="5"/>
  <c r="T328" i="5"/>
  <c r="S328" i="5"/>
  <c r="R328" i="5"/>
  <c r="Q328" i="5"/>
  <c r="P328" i="5"/>
  <c r="O328" i="5"/>
  <c r="N328" i="5"/>
  <c r="M328" i="5"/>
  <c r="L328" i="5"/>
  <c r="K328" i="5"/>
  <c r="J328" i="5"/>
  <c r="I328" i="5"/>
  <c r="H328" i="5"/>
  <c r="AF327" i="5"/>
  <c r="AE327" i="5"/>
  <c r="AD327" i="5"/>
  <c r="AC327" i="5"/>
  <c r="AB327" i="5"/>
  <c r="AA327" i="5"/>
  <c r="Z327" i="5"/>
  <c r="Y327" i="5"/>
  <c r="X327" i="5"/>
  <c r="W327" i="5"/>
  <c r="V327" i="5"/>
  <c r="U327" i="5"/>
  <c r="T327" i="5"/>
  <c r="S327" i="5"/>
  <c r="R327" i="5"/>
  <c r="Q327" i="5"/>
  <c r="P327" i="5"/>
  <c r="O327" i="5"/>
  <c r="N327" i="5"/>
  <c r="M327" i="5"/>
  <c r="L327" i="5"/>
  <c r="K327" i="5"/>
  <c r="J327" i="5"/>
  <c r="I327" i="5"/>
  <c r="H327" i="5"/>
  <c r="AF326" i="5"/>
  <c r="AE326" i="5"/>
  <c r="AD326" i="5"/>
  <c r="AC326" i="5"/>
  <c r="AB326" i="5"/>
  <c r="AA326" i="5"/>
  <c r="Z326" i="5"/>
  <c r="Y326" i="5"/>
  <c r="X326" i="5"/>
  <c r="W326" i="5"/>
  <c r="V326" i="5"/>
  <c r="U326" i="5"/>
  <c r="T326" i="5"/>
  <c r="S326" i="5"/>
  <c r="R326" i="5"/>
  <c r="Q326" i="5"/>
  <c r="P326" i="5"/>
  <c r="O326" i="5"/>
  <c r="N326" i="5"/>
  <c r="M326" i="5"/>
  <c r="L326" i="5"/>
  <c r="K326" i="5"/>
  <c r="J326" i="5"/>
  <c r="I326" i="5"/>
  <c r="H326" i="5"/>
  <c r="AF325" i="5"/>
  <c r="AE325" i="5"/>
  <c r="AD325" i="5"/>
  <c r="AC325" i="5"/>
  <c r="AB325" i="5"/>
  <c r="AA325" i="5"/>
  <c r="Z325" i="5"/>
  <c r="Y325" i="5"/>
  <c r="X325" i="5"/>
  <c r="W325" i="5"/>
  <c r="V325" i="5"/>
  <c r="U325" i="5"/>
  <c r="T325" i="5"/>
  <c r="S325" i="5"/>
  <c r="R325" i="5"/>
  <c r="Q325" i="5"/>
  <c r="P325" i="5"/>
  <c r="O325" i="5"/>
  <c r="N325" i="5"/>
  <c r="M325" i="5"/>
  <c r="L325" i="5"/>
  <c r="K325" i="5"/>
  <c r="J325" i="5"/>
  <c r="I325" i="5"/>
  <c r="H325" i="5"/>
  <c r="AF324" i="5"/>
  <c r="AE324" i="5"/>
  <c r="AD324" i="5"/>
  <c r="AC324" i="5"/>
  <c r="AB324" i="5"/>
  <c r="AA324" i="5"/>
  <c r="Z324" i="5"/>
  <c r="Y324" i="5"/>
  <c r="X324" i="5"/>
  <c r="W324" i="5"/>
  <c r="V324" i="5"/>
  <c r="U324" i="5"/>
  <c r="T324" i="5"/>
  <c r="S324" i="5"/>
  <c r="R324" i="5"/>
  <c r="Q324" i="5"/>
  <c r="P324" i="5"/>
  <c r="O324" i="5"/>
  <c r="N324" i="5"/>
  <c r="M324" i="5"/>
  <c r="L324" i="5"/>
  <c r="K324" i="5"/>
  <c r="J324" i="5"/>
  <c r="I324" i="5"/>
  <c r="H324" i="5"/>
  <c r="AF323" i="5"/>
  <c r="AE323" i="5"/>
  <c r="AD323" i="5"/>
  <c r="AC323" i="5"/>
  <c r="AB323" i="5"/>
  <c r="AA323" i="5"/>
  <c r="Z323" i="5"/>
  <c r="Y323" i="5"/>
  <c r="X323" i="5"/>
  <c r="W323" i="5"/>
  <c r="V323" i="5"/>
  <c r="U323" i="5"/>
  <c r="T323" i="5"/>
  <c r="S323" i="5"/>
  <c r="R323" i="5"/>
  <c r="Q323" i="5"/>
  <c r="P323" i="5"/>
  <c r="O323" i="5"/>
  <c r="N323" i="5"/>
  <c r="M323" i="5"/>
  <c r="L323" i="5"/>
  <c r="K323" i="5"/>
  <c r="J323" i="5"/>
  <c r="I323" i="5"/>
  <c r="H323" i="5"/>
  <c r="AF322" i="5"/>
  <c r="AE322" i="5"/>
  <c r="AD322" i="5"/>
  <c r="AC322" i="5"/>
  <c r="AB322" i="5"/>
  <c r="AA322" i="5"/>
  <c r="Z322" i="5"/>
  <c r="Y322" i="5"/>
  <c r="X322" i="5"/>
  <c r="W322" i="5"/>
  <c r="V322" i="5"/>
  <c r="U322" i="5"/>
  <c r="T322" i="5"/>
  <c r="S322" i="5"/>
  <c r="R322" i="5"/>
  <c r="Q322" i="5"/>
  <c r="P322" i="5"/>
  <c r="O322" i="5"/>
  <c r="N322" i="5"/>
  <c r="M322" i="5"/>
  <c r="L322" i="5"/>
  <c r="K322" i="5"/>
  <c r="J322" i="5"/>
  <c r="I322" i="5"/>
  <c r="H322" i="5"/>
  <c r="AF321" i="5"/>
  <c r="AE321" i="5"/>
  <c r="AD321" i="5"/>
  <c r="AC321" i="5"/>
  <c r="AB321" i="5"/>
  <c r="AA321" i="5"/>
  <c r="Z321" i="5"/>
  <c r="Y321" i="5"/>
  <c r="X321" i="5"/>
  <c r="W321" i="5"/>
  <c r="V321" i="5"/>
  <c r="U321" i="5"/>
  <c r="T321" i="5"/>
  <c r="S321" i="5"/>
  <c r="R321" i="5"/>
  <c r="Q321" i="5"/>
  <c r="P321" i="5"/>
  <c r="O321" i="5"/>
  <c r="N321" i="5"/>
  <c r="M321" i="5"/>
  <c r="L321" i="5"/>
  <c r="K321" i="5"/>
  <c r="J321" i="5"/>
  <c r="I321" i="5"/>
  <c r="H321" i="5"/>
  <c r="AF320" i="5"/>
  <c r="AE320" i="5"/>
  <c r="AD320" i="5"/>
  <c r="AC320" i="5"/>
  <c r="AB320" i="5"/>
  <c r="AA320" i="5"/>
  <c r="Z320" i="5"/>
  <c r="Y320" i="5"/>
  <c r="X320" i="5"/>
  <c r="W320" i="5"/>
  <c r="V320" i="5"/>
  <c r="U320" i="5"/>
  <c r="T320" i="5"/>
  <c r="S320" i="5"/>
  <c r="R320" i="5"/>
  <c r="Q320" i="5"/>
  <c r="P320" i="5"/>
  <c r="O320" i="5"/>
  <c r="N320" i="5"/>
  <c r="M320" i="5"/>
  <c r="L320" i="5"/>
  <c r="K320" i="5"/>
  <c r="J320" i="5"/>
  <c r="I320" i="5"/>
  <c r="H320" i="5"/>
  <c r="AF319" i="5"/>
  <c r="AE319" i="5"/>
  <c r="AD319" i="5"/>
  <c r="AC319" i="5"/>
  <c r="AB319" i="5"/>
  <c r="AA319" i="5"/>
  <c r="Z319" i="5"/>
  <c r="Y319" i="5"/>
  <c r="X319" i="5"/>
  <c r="W319" i="5"/>
  <c r="V319" i="5"/>
  <c r="U319" i="5"/>
  <c r="T319" i="5"/>
  <c r="S319" i="5"/>
  <c r="R319" i="5"/>
  <c r="Q319" i="5"/>
  <c r="P319" i="5"/>
  <c r="O319" i="5"/>
  <c r="N319" i="5"/>
  <c r="M319" i="5"/>
  <c r="L319" i="5"/>
  <c r="K319" i="5"/>
  <c r="J319" i="5"/>
  <c r="I319" i="5"/>
  <c r="H319" i="5"/>
  <c r="AF318" i="5"/>
  <c r="AE318" i="5"/>
  <c r="AD318" i="5"/>
  <c r="AC318" i="5"/>
  <c r="AB318" i="5"/>
  <c r="AA318" i="5"/>
  <c r="Z318" i="5"/>
  <c r="Y318" i="5"/>
  <c r="X318" i="5"/>
  <c r="W318" i="5"/>
  <c r="V318" i="5"/>
  <c r="U318" i="5"/>
  <c r="T318" i="5"/>
  <c r="S318" i="5"/>
  <c r="R318" i="5"/>
  <c r="Q318" i="5"/>
  <c r="P318" i="5"/>
  <c r="O318" i="5"/>
  <c r="N318" i="5"/>
  <c r="M318" i="5"/>
  <c r="L318" i="5"/>
  <c r="K318" i="5"/>
  <c r="J318" i="5"/>
  <c r="I318" i="5"/>
  <c r="H318" i="5"/>
  <c r="AF317" i="5"/>
  <c r="AE317" i="5"/>
  <c r="AD317" i="5"/>
  <c r="AC317" i="5"/>
  <c r="AB317" i="5"/>
  <c r="AA317" i="5"/>
  <c r="Z317" i="5"/>
  <c r="Y317" i="5"/>
  <c r="X317" i="5"/>
  <c r="W317" i="5"/>
  <c r="V317" i="5"/>
  <c r="U317" i="5"/>
  <c r="T317" i="5"/>
  <c r="S317" i="5"/>
  <c r="R317" i="5"/>
  <c r="Q317" i="5"/>
  <c r="P317" i="5"/>
  <c r="O317" i="5"/>
  <c r="N317" i="5"/>
  <c r="M317" i="5"/>
  <c r="L317" i="5"/>
  <c r="K317" i="5"/>
  <c r="J317" i="5"/>
  <c r="I317" i="5"/>
  <c r="H317" i="5"/>
  <c r="AF316" i="5"/>
  <c r="AE316" i="5"/>
  <c r="AD316" i="5"/>
  <c r="AC316" i="5"/>
  <c r="AB316" i="5"/>
  <c r="AA316" i="5"/>
  <c r="Z316" i="5"/>
  <c r="Y316" i="5"/>
  <c r="X316" i="5"/>
  <c r="W316" i="5"/>
  <c r="V316" i="5"/>
  <c r="U316" i="5"/>
  <c r="T316" i="5"/>
  <c r="S316" i="5"/>
  <c r="R316" i="5"/>
  <c r="Q316" i="5"/>
  <c r="P316" i="5"/>
  <c r="O316" i="5"/>
  <c r="N316" i="5"/>
  <c r="M316" i="5"/>
  <c r="L316" i="5"/>
  <c r="K316" i="5"/>
  <c r="J316" i="5"/>
  <c r="I316" i="5"/>
  <c r="H316" i="5"/>
  <c r="AF315" i="5"/>
  <c r="AE315" i="5"/>
  <c r="AD315" i="5"/>
  <c r="AC315" i="5"/>
  <c r="AB315" i="5"/>
  <c r="AA315" i="5"/>
  <c r="Z315" i="5"/>
  <c r="Y315" i="5"/>
  <c r="X315" i="5"/>
  <c r="W315" i="5"/>
  <c r="V315" i="5"/>
  <c r="U315" i="5"/>
  <c r="T315" i="5"/>
  <c r="S315" i="5"/>
  <c r="R315" i="5"/>
  <c r="Q315" i="5"/>
  <c r="P315" i="5"/>
  <c r="O315" i="5"/>
  <c r="N315" i="5"/>
  <c r="M315" i="5"/>
  <c r="L315" i="5"/>
  <c r="K315" i="5"/>
  <c r="J315" i="5"/>
  <c r="I315" i="5"/>
  <c r="H315" i="5"/>
  <c r="AF314" i="5"/>
  <c r="AE314" i="5"/>
  <c r="AD314" i="5"/>
  <c r="AC314" i="5"/>
  <c r="AB314" i="5"/>
  <c r="AA314" i="5"/>
  <c r="Z314" i="5"/>
  <c r="Y314" i="5"/>
  <c r="X314" i="5"/>
  <c r="W314" i="5"/>
  <c r="V314" i="5"/>
  <c r="U314" i="5"/>
  <c r="T314" i="5"/>
  <c r="S314" i="5"/>
  <c r="R314" i="5"/>
  <c r="Q314" i="5"/>
  <c r="P314" i="5"/>
  <c r="O314" i="5"/>
  <c r="N314" i="5"/>
  <c r="M314" i="5"/>
  <c r="L314" i="5"/>
  <c r="K314" i="5"/>
  <c r="J314" i="5"/>
  <c r="I314" i="5"/>
  <c r="H314" i="5"/>
  <c r="AF313" i="5"/>
  <c r="AE313" i="5"/>
  <c r="AD313" i="5"/>
  <c r="AC313" i="5"/>
  <c r="AB313" i="5"/>
  <c r="AA313" i="5"/>
  <c r="Z313" i="5"/>
  <c r="Y313" i="5"/>
  <c r="X313" i="5"/>
  <c r="W313" i="5"/>
  <c r="V313" i="5"/>
  <c r="U313" i="5"/>
  <c r="T313" i="5"/>
  <c r="S313" i="5"/>
  <c r="R313" i="5"/>
  <c r="Q313" i="5"/>
  <c r="P313" i="5"/>
  <c r="O313" i="5"/>
  <c r="N313" i="5"/>
  <c r="M313" i="5"/>
  <c r="L313" i="5"/>
  <c r="K313" i="5"/>
  <c r="J313" i="5"/>
  <c r="I313" i="5"/>
  <c r="H313" i="5"/>
  <c r="AF312" i="5"/>
  <c r="AE312" i="5"/>
  <c r="AD312" i="5"/>
  <c r="AC312" i="5"/>
  <c r="AB312" i="5"/>
  <c r="AA312" i="5"/>
  <c r="Z312" i="5"/>
  <c r="Y312" i="5"/>
  <c r="X312" i="5"/>
  <c r="W312" i="5"/>
  <c r="V312" i="5"/>
  <c r="U312" i="5"/>
  <c r="T312" i="5"/>
  <c r="S312" i="5"/>
  <c r="R312" i="5"/>
  <c r="Q312" i="5"/>
  <c r="P312" i="5"/>
  <c r="O312" i="5"/>
  <c r="N312" i="5"/>
  <c r="M312" i="5"/>
  <c r="L312" i="5"/>
  <c r="K312" i="5"/>
  <c r="J312" i="5"/>
  <c r="I312" i="5"/>
  <c r="H312" i="5"/>
  <c r="AF311" i="5"/>
  <c r="AE311" i="5"/>
  <c r="AD311" i="5"/>
  <c r="AC311" i="5"/>
  <c r="AB311" i="5"/>
  <c r="AA311" i="5"/>
  <c r="Z311" i="5"/>
  <c r="Y311" i="5"/>
  <c r="X311" i="5"/>
  <c r="W311" i="5"/>
  <c r="V311" i="5"/>
  <c r="U311" i="5"/>
  <c r="T311" i="5"/>
  <c r="S311" i="5"/>
  <c r="R311" i="5"/>
  <c r="Q311" i="5"/>
  <c r="P311" i="5"/>
  <c r="O311" i="5"/>
  <c r="N311" i="5"/>
  <c r="M311" i="5"/>
  <c r="L311" i="5"/>
  <c r="K311" i="5"/>
  <c r="J311" i="5"/>
  <c r="I311" i="5"/>
  <c r="H311" i="5"/>
  <c r="AF310" i="5"/>
  <c r="AE310" i="5"/>
  <c r="AD310" i="5"/>
  <c r="AC310" i="5"/>
  <c r="AB310" i="5"/>
  <c r="AA310" i="5"/>
  <c r="Z310" i="5"/>
  <c r="Y310" i="5"/>
  <c r="X310" i="5"/>
  <c r="W310" i="5"/>
  <c r="V310" i="5"/>
  <c r="U310" i="5"/>
  <c r="T310" i="5"/>
  <c r="S310" i="5"/>
  <c r="R310" i="5"/>
  <c r="Q310" i="5"/>
  <c r="P310" i="5"/>
  <c r="O310" i="5"/>
  <c r="N310" i="5"/>
  <c r="M310" i="5"/>
  <c r="L310" i="5"/>
  <c r="K310" i="5"/>
  <c r="J310" i="5"/>
  <c r="I310" i="5"/>
  <c r="H310" i="5"/>
  <c r="AF309" i="5"/>
  <c r="AE309" i="5"/>
  <c r="AD309" i="5"/>
  <c r="AC309" i="5"/>
  <c r="AB309" i="5"/>
  <c r="AA309" i="5"/>
  <c r="Z309" i="5"/>
  <c r="Y309" i="5"/>
  <c r="X309" i="5"/>
  <c r="W309" i="5"/>
  <c r="V309" i="5"/>
  <c r="U309" i="5"/>
  <c r="T309" i="5"/>
  <c r="S309" i="5"/>
  <c r="R309" i="5"/>
  <c r="Q309" i="5"/>
  <c r="P309" i="5"/>
  <c r="O309" i="5"/>
  <c r="N309" i="5"/>
  <c r="M309" i="5"/>
  <c r="L309" i="5"/>
  <c r="K309" i="5"/>
  <c r="J309" i="5"/>
  <c r="I309" i="5"/>
  <c r="H309" i="5"/>
  <c r="AF308" i="5"/>
  <c r="AE308" i="5"/>
  <c r="AD308" i="5"/>
  <c r="AC308" i="5"/>
  <c r="AB308" i="5"/>
  <c r="AA308" i="5"/>
  <c r="Z308" i="5"/>
  <c r="Y308" i="5"/>
  <c r="X308" i="5"/>
  <c r="W308" i="5"/>
  <c r="V308" i="5"/>
  <c r="U308" i="5"/>
  <c r="T308" i="5"/>
  <c r="S308" i="5"/>
  <c r="R308" i="5"/>
  <c r="Q308" i="5"/>
  <c r="P308" i="5"/>
  <c r="O308" i="5"/>
  <c r="N308" i="5"/>
  <c r="M308" i="5"/>
  <c r="L308" i="5"/>
  <c r="K308" i="5"/>
  <c r="J308" i="5"/>
  <c r="I308" i="5"/>
  <c r="H308" i="5"/>
  <c r="AF307" i="5"/>
  <c r="AE307" i="5"/>
  <c r="AD307" i="5"/>
  <c r="AC307" i="5"/>
  <c r="AB307" i="5"/>
  <c r="AA307" i="5"/>
  <c r="Z307" i="5"/>
  <c r="Y307" i="5"/>
  <c r="X307" i="5"/>
  <c r="W307" i="5"/>
  <c r="V307" i="5"/>
  <c r="U307" i="5"/>
  <c r="T307" i="5"/>
  <c r="S307" i="5"/>
  <c r="R307" i="5"/>
  <c r="Q307" i="5"/>
  <c r="P307" i="5"/>
  <c r="O307" i="5"/>
  <c r="N307" i="5"/>
  <c r="M307" i="5"/>
  <c r="L307" i="5"/>
  <c r="K307" i="5"/>
  <c r="J307" i="5"/>
  <c r="I307" i="5"/>
  <c r="H307" i="5"/>
  <c r="AF306" i="5"/>
  <c r="AE306" i="5"/>
  <c r="AD306" i="5"/>
  <c r="AC306" i="5"/>
  <c r="AB306" i="5"/>
  <c r="AA306" i="5"/>
  <c r="Z306" i="5"/>
  <c r="Y306" i="5"/>
  <c r="X306" i="5"/>
  <c r="W306" i="5"/>
  <c r="V306" i="5"/>
  <c r="U306" i="5"/>
  <c r="T306" i="5"/>
  <c r="S306" i="5"/>
  <c r="R306" i="5"/>
  <c r="Q306" i="5"/>
  <c r="P306" i="5"/>
  <c r="O306" i="5"/>
  <c r="N306" i="5"/>
  <c r="M306" i="5"/>
  <c r="L306" i="5"/>
  <c r="K306" i="5"/>
  <c r="J306" i="5"/>
  <c r="I306" i="5"/>
  <c r="H306" i="5"/>
  <c r="AF305" i="5"/>
  <c r="AE305" i="5"/>
  <c r="AD305" i="5"/>
  <c r="AC305" i="5"/>
  <c r="AB305" i="5"/>
  <c r="AA305" i="5"/>
  <c r="Z305" i="5"/>
  <c r="Y305" i="5"/>
  <c r="X305" i="5"/>
  <c r="W305" i="5"/>
  <c r="V305" i="5"/>
  <c r="U305" i="5"/>
  <c r="T305" i="5"/>
  <c r="S305" i="5"/>
  <c r="R305" i="5"/>
  <c r="Q305" i="5"/>
  <c r="P305" i="5"/>
  <c r="O305" i="5"/>
  <c r="N305" i="5"/>
  <c r="M305" i="5"/>
  <c r="L305" i="5"/>
  <c r="K305" i="5"/>
  <c r="J305" i="5"/>
  <c r="I305" i="5"/>
  <c r="H305" i="5"/>
  <c r="AF304" i="5"/>
  <c r="AE304" i="5"/>
  <c r="AD304" i="5"/>
  <c r="AC304" i="5"/>
  <c r="AB304" i="5"/>
  <c r="AA304" i="5"/>
  <c r="Z304" i="5"/>
  <c r="Y304" i="5"/>
  <c r="X304" i="5"/>
  <c r="W304" i="5"/>
  <c r="V304" i="5"/>
  <c r="U304" i="5"/>
  <c r="T304" i="5"/>
  <c r="S304" i="5"/>
  <c r="R304" i="5"/>
  <c r="Q304" i="5"/>
  <c r="P304" i="5"/>
  <c r="O304" i="5"/>
  <c r="N304" i="5"/>
  <c r="M304" i="5"/>
  <c r="L304" i="5"/>
  <c r="K304" i="5"/>
  <c r="J304" i="5"/>
  <c r="I304" i="5"/>
  <c r="H304" i="5"/>
  <c r="AF303" i="5"/>
  <c r="AE303" i="5"/>
  <c r="AD303" i="5"/>
  <c r="AC303" i="5"/>
  <c r="AB303" i="5"/>
  <c r="AA303" i="5"/>
  <c r="Z303" i="5"/>
  <c r="Y303" i="5"/>
  <c r="X303" i="5"/>
  <c r="W303" i="5"/>
  <c r="V303" i="5"/>
  <c r="U303" i="5"/>
  <c r="T303" i="5"/>
  <c r="S303" i="5"/>
  <c r="R303" i="5"/>
  <c r="Q303" i="5"/>
  <c r="P303" i="5"/>
  <c r="O303" i="5"/>
  <c r="N303" i="5"/>
  <c r="M303" i="5"/>
  <c r="L303" i="5"/>
  <c r="K303" i="5"/>
  <c r="J303" i="5"/>
  <c r="I303" i="5"/>
  <c r="H303" i="5"/>
  <c r="AF302" i="5"/>
  <c r="AE302" i="5"/>
  <c r="AD302" i="5"/>
  <c r="AC302" i="5"/>
  <c r="AB302" i="5"/>
  <c r="AA302" i="5"/>
  <c r="Z302" i="5"/>
  <c r="Y302" i="5"/>
  <c r="X302" i="5"/>
  <c r="W302" i="5"/>
  <c r="V302" i="5"/>
  <c r="U302" i="5"/>
  <c r="T302" i="5"/>
  <c r="S302" i="5"/>
  <c r="R302" i="5"/>
  <c r="Q302" i="5"/>
  <c r="P302" i="5"/>
  <c r="O302" i="5"/>
  <c r="N302" i="5"/>
  <c r="M302" i="5"/>
  <c r="L302" i="5"/>
  <c r="K302" i="5"/>
  <c r="J302" i="5"/>
  <c r="I302" i="5"/>
  <c r="H302" i="5"/>
  <c r="AF301" i="5"/>
  <c r="AE301" i="5"/>
  <c r="AD301" i="5"/>
  <c r="AC301" i="5"/>
  <c r="AB301" i="5"/>
  <c r="AA301" i="5"/>
  <c r="Z301" i="5"/>
  <c r="Y301" i="5"/>
  <c r="X301" i="5"/>
  <c r="W301" i="5"/>
  <c r="V301" i="5"/>
  <c r="U301" i="5"/>
  <c r="T301" i="5"/>
  <c r="S301" i="5"/>
  <c r="R301" i="5"/>
  <c r="Q301" i="5"/>
  <c r="P301" i="5"/>
  <c r="O301" i="5"/>
  <c r="N301" i="5"/>
  <c r="M301" i="5"/>
  <c r="L301" i="5"/>
  <c r="K301" i="5"/>
  <c r="J301" i="5"/>
  <c r="I301" i="5"/>
  <c r="H301" i="5"/>
  <c r="AF300" i="5"/>
  <c r="AE300" i="5"/>
  <c r="AD300" i="5"/>
  <c r="AC300" i="5"/>
  <c r="AB300" i="5"/>
  <c r="AA300" i="5"/>
  <c r="Z300" i="5"/>
  <c r="Y300" i="5"/>
  <c r="X300" i="5"/>
  <c r="W300" i="5"/>
  <c r="V300" i="5"/>
  <c r="U300" i="5"/>
  <c r="T300" i="5"/>
  <c r="S300" i="5"/>
  <c r="R300" i="5"/>
  <c r="Q300" i="5"/>
  <c r="P300" i="5"/>
  <c r="O300" i="5"/>
  <c r="N300" i="5"/>
  <c r="M300" i="5"/>
  <c r="L300" i="5"/>
  <c r="K300" i="5"/>
  <c r="J300" i="5"/>
  <c r="I300" i="5"/>
  <c r="H300" i="5"/>
  <c r="AF299" i="5"/>
  <c r="AE299" i="5"/>
  <c r="AD299" i="5"/>
  <c r="AC299" i="5"/>
  <c r="AB299" i="5"/>
  <c r="AA299" i="5"/>
  <c r="Z299" i="5"/>
  <c r="Y299" i="5"/>
  <c r="X299" i="5"/>
  <c r="W299" i="5"/>
  <c r="V299" i="5"/>
  <c r="U299" i="5"/>
  <c r="T299" i="5"/>
  <c r="S299" i="5"/>
  <c r="R299" i="5"/>
  <c r="Q299" i="5"/>
  <c r="P299" i="5"/>
  <c r="O299" i="5"/>
  <c r="N299" i="5"/>
  <c r="M299" i="5"/>
  <c r="L299" i="5"/>
  <c r="K299" i="5"/>
  <c r="J299" i="5"/>
  <c r="I299" i="5"/>
  <c r="H299" i="5"/>
  <c r="AF298" i="5"/>
  <c r="AE298" i="5"/>
  <c r="AD298" i="5"/>
  <c r="AC298" i="5"/>
  <c r="AB298" i="5"/>
  <c r="AA298" i="5"/>
  <c r="Z298" i="5"/>
  <c r="Y298" i="5"/>
  <c r="X298" i="5"/>
  <c r="W298" i="5"/>
  <c r="V298" i="5"/>
  <c r="U298" i="5"/>
  <c r="T298" i="5"/>
  <c r="S298" i="5"/>
  <c r="R298" i="5"/>
  <c r="Q298" i="5"/>
  <c r="P298" i="5"/>
  <c r="O298" i="5"/>
  <c r="N298" i="5"/>
  <c r="M298" i="5"/>
  <c r="L298" i="5"/>
  <c r="K298" i="5"/>
  <c r="J298" i="5"/>
  <c r="I298" i="5"/>
  <c r="H298" i="5"/>
  <c r="AF297" i="5"/>
  <c r="AE297" i="5"/>
  <c r="AD297" i="5"/>
  <c r="AC297" i="5"/>
  <c r="AB297" i="5"/>
  <c r="AA297" i="5"/>
  <c r="Z297" i="5"/>
  <c r="Y297" i="5"/>
  <c r="X297" i="5"/>
  <c r="W297" i="5"/>
  <c r="V297" i="5"/>
  <c r="U297" i="5"/>
  <c r="T297" i="5"/>
  <c r="S297" i="5"/>
  <c r="R297" i="5"/>
  <c r="Q297" i="5"/>
  <c r="P297" i="5"/>
  <c r="O297" i="5"/>
  <c r="N297" i="5"/>
  <c r="M297" i="5"/>
  <c r="L297" i="5"/>
  <c r="K297" i="5"/>
  <c r="J297" i="5"/>
  <c r="I297" i="5"/>
  <c r="H297" i="5"/>
  <c r="AF296" i="5"/>
  <c r="AE296" i="5"/>
  <c r="AD296" i="5"/>
  <c r="AC296" i="5"/>
  <c r="AB296" i="5"/>
  <c r="AA296" i="5"/>
  <c r="Z296" i="5"/>
  <c r="Y296" i="5"/>
  <c r="X296" i="5"/>
  <c r="W296" i="5"/>
  <c r="V296" i="5"/>
  <c r="U296" i="5"/>
  <c r="T296" i="5"/>
  <c r="S296" i="5"/>
  <c r="R296" i="5"/>
  <c r="Q296" i="5"/>
  <c r="P296" i="5"/>
  <c r="O296" i="5"/>
  <c r="N296" i="5"/>
  <c r="M296" i="5"/>
  <c r="L296" i="5"/>
  <c r="K296" i="5"/>
  <c r="J296" i="5"/>
  <c r="I296" i="5"/>
  <c r="H296" i="5"/>
  <c r="AF295" i="5"/>
  <c r="AE295" i="5"/>
  <c r="AD295" i="5"/>
  <c r="AC295" i="5"/>
  <c r="AB295" i="5"/>
  <c r="AA295" i="5"/>
  <c r="Z295" i="5"/>
  <c r="Y295" i="5"/>
  <c r="X295" i="5"/>
  <c r="W295" i="5"/>
  <c r="V295" i="5"/>
  <c r="U295" i="5"/>
  <c r="T295" i="5"/>
  <c r="S295" i="5"/>
  <c r="R295" i="5"/>
  <c r="Q295" i="5"/>
  <c r="P295" i="5"/>
  <c r="O295" i="5"/>
  <c r="N295" i="5"/>
  <c r="M295" i="5"/>
  <c r="L295" i="5"/>
  <c r="K295" i="5"/>
  <c r="J295" i="5"/>
  <c r="I295" i="5"/>
  <c r="H295" i="5"/>
  <c r="AF294" i="5"/>
  <c r="AE294" i="5"/>
  <c r="AD294" i="5"/>
  <c r="AC294" i="5"/>
  <c r="AB294" i="5"/>
  <c r="AA294" i="5"/>
  <c r="Z294" i="5"/>
  <c r="Y294" i="5"/>
  <c r="X294" i="5"/>
  <c r="W294" i="5"/>
  <c r="V294" i="5"/>
  <c r="U294" i="5"/>
  <c r="T294" i="5"/>
  <c r="S294" i="5"/>
  <c r="R294" i="5"/>
  <c r="Q294" i="5"/>
  <c r="P294" i="5"/>
  <c r="O294" i="5"/>
  <c r="N294" i="5"/>
  <c r="M294" i="5"/>
  <c r="L294" i="5"/>
  <c r="K294" i="5"/>
  <c r="J294" i="5"/>
  <c r="I294" i="5"/>
  <c r="H294" i="5"/>
  <c r="AF293" i="5"/>
  <c r="AE293" i="5"/>
  <c r="AD293" i="5"/>
  <c r="AC293" i="5"/>
  <c r="AB293" i="5"/>
  <c r="AA293" i="5"/>
  <c r="Z293" i="5"/>
  <c r="Y293" i="5"/>
  <c r="X293" i="5"/>
  <c r="W293" i="5"/>
  <c r="V293" i="5"/>
  <c r="U293" i="5"/>
  <c r="T293" i="5"/>
  <c r="S293" i="5"/>
  <c r="R293" i="5"/>
  <c r="Q293" i="5"/>
  <c r="P293" i="5"/>
  <c r="O293" i="5"/>
  <c r="N293" i="5"/>
  <c r="M293" i="5"/>
  <c r="L293" i="5"/>
  <c r="K293" i="5"/>
  <c r="J293" i="5"/>
  <c r="I293" i="5"/>
  <c r="H293" i="5"/>
  <c r="AF292" i="5"/>
  <c r="AE292" i="5"/>
  <c r="AD292" i="5"/>
  <c r="AC292" i="5"/>
  <c r="AB292" i="5"/>
  <c r="AA292" i="5"/>
  <c r="Z292" i="5"/>
  <c r="Y292" i="5"/>
  <c r="X292" i="5"/>
  <c r="W292" i="5"/>
  <c r="V292" i="5"/>
  <c r="U292" i="5"/>
  <c r="T292" i="5"/>
  <c r="S292" i="5"/>
  <c r="R292" i="5"/>
  <c r="Q292" i="5"/>
  <c r="P292" i="5"/>
  <c r="O292" i="5"/>
  <c r="N292" i="5"/>
  <c r="M292" i="5"/>
  <c r="L292" i="5"/>
  <c r="K292" i="5"/>
  <c r="J292" i="5"/>
  <c r="I292" i="5"/>
  <c r="H292" i="5"/>
  <c r="AF291" i="5"/>
  <c r="AE291" i="5"/>
  <c r="AD291" i="5"/>
  <c r="AC291" i="5"/>
  <c r="AB291" i="5"/>
  <c r="AA291" i="5"/>
  <c r="Z291" i="5"/>
  <c r="Y291" i="5"/>
  <c r="X291" i="5"/>
  <c r="W291" i="5"/>
  <c r="V291" i="5"/>
  <c r="U291" i="5"/>
  <c r="T291" i="5"/>
  <c r="S291" i="5"/>
  <c r="R291" i="5"/>
  <c r="Q291" i="5"/>
  <c r="P291" i="5"/>
  <c r="O291" i="5"/>
  <c r="N291" i="5"/>
  <c r="M291" i="5"/>
  <c r="L291" i="5"/>
  <c r="K291" i="5"/>
  <c r="J291" i="5"/>
  <c r="I291" i="5"/>
  <c r="H291" i="5"/>
  <c r="AF290" i="5"/>
  <c r="AE290" i="5"/>
  <c r="AD290" i="5"/>
  <c r="AC290" i="5"/>
  <c r="AB290" i="5"/>
  <c r="AA290" i="5"/>
  <c r="Z290" i="5"/>
  <c r="Y290" i="5"/>
  <c r="X290" i="5"/>
  <c r="W290" i="5"/>
  <c r="V290" i="5"/>
  <c r="U290" i="5"/>
  <c r="T290" i="5"/>
  <c r="S290" i="5"/>
  <c r="R290" i="5"/>
  <c r="Q290" i="5"/>
  <c r="P290" i="5"/>
  <c r="O290" i="5"/>
  <c r="N290" i="5"/>
  <c r="M290" i="5"/>
  <c r="L290" i="5"/>
  <c r="K290" i="5"/>
  <c r="J290" i="5"/>
  <c r="I290" i="5"/>
  <c r="H290" i="5"/>
  <c r="AF289" i="5"/>
  <c r="AE289" i="5"/>
  <c r="AD289" i="5"/>
  <c r="AC289" i="5"/>
  <c r="AB289" i="5"/>
  <c r="AA289" i="5"/>
  <c r="Z289" i="5"/>
  <c r="Y289" i="5"/>
  <c r="X289" i="5"/>
  <c r="W289" i="5"/>
  <c r="V289" i="5"/>
  <c r="U289" i="5"/>
  <c r="T289" i="5"/>
  <c r="S289" i="5"/>
  <c r="R289" i="5"/>
  <c r="Q289" i="5"/>
  <c r="P289" i="5"/>
  <c r="O289" i="5"/>
  <c r="N289" i="5"/>
  <c r="M289" i="5"/>
  <c r="L289" i="5"/>
  <c r="K289" i="5"/>
  <c r="J289" i="5"/>
  <c r="I289" i="5"/>
  <c r="H289" i="5"/>
  <c r="AF288" i="5"/>
  <c r="AE288" i="5"/>
  <c r="AD288" i="5"/>
  <c r="AC288" i="5"/>
  <c r="AB288" i="5"/>
  <c r="AA288" i="5"/>
  <c r="Z288" i="5"/>
  <c r="Y288" i="5"/>
  <c r="X288" i="5"/>
  <c r="W288" i="5"/>
  <c r="V288" i="5"/>
  <c r="U288" i="5"/>
  <c r="T288" i="5"/>
  <c r="S288" i="5"/>
  <c r="R288" i="5"/>
  <c r="Q288" i="5"/>
  <c r="P288" i="5"/>
  <c r="O288" i="5"/>
  <c r="N288" i="5"/>
  <c r="M288" i="5"/>
  <c r="L288" i="5"/>
  <c r="K288" i="5"/>
  <c r="J288" i="5"/>
  <c r="I288" i="5"/>
  <c r="H288" i="5"/>
  <c r="AF287" i="5"/>
  <c r="AE287" i="5"/>
  <c r="AD287" i="5"/>
  <c r="AC287" i="5"/>
  <c r="AB287" i="5"/>
  <c r="AA287" i="5"/>
  <c r="Z287" i="5"/>
  <c r="Y287" i="5"/>
  <c r="X287" i="5"/>
  <c r="W287" i="5"/>
  <c r="V287" i="5"/>
  <c r="U287" i="5"/>
  <c r="T287" i="5"/>
  <c r="S287" i="5"/>
  <c r="R287" i="5"/>
  <c r="Q287" i="5"/>
  <c r="P287" i="5"/>
  <c r="O287" i="5"/>
  <c r="N287" i="5"/>
  <c r="M287" i="5"/>
  <c r="L287" i="5"/>
  <c r="K287" i="5"/>
  <c r="J287" i="5"/>
  <c r="I287" i="5"/>
  <c r="H287" i="5"/>
  <c r="AF286" i="5"/>
  <c r="AE286" i="5"/>
  <c r="AD286" i="5"/>
  <c r="AC286" i="5"/>
  <c r="AB286" i="5"/>
  <c r="AA286" i="5"/>
  <c r="Z286" i="5"/>
  <c r="Y286" i="5"/>
  <c r="X286" i="5"/>
  <c r="W286" i="5"/>
  <c r="V286" i="5"/>
  <c r="U286" i="5"/>
  <c r="T286" i="5"/>
  <c r="S286" i="5"/>
  <c r="R286" i="5"/>
  <c r="Q286" i="5"/>
  <c r="P286" i="5"/>
  <c r="O286" i="5"/>
  <c r="N286" i="5"/>
  <c r="M286" i="5"/>
  <c r="L286" i="5"/>
  <c r="K286" i="5"/>
  <c r="J286" i="5"/>
  <c r="I286" i="5"/>
  <c r="H286" i="5"/>
  <c r="AF285" i="5"/>
  <c r="AE285" i="5"/>
  <c r="AD285" i="5"/>
  <c r="AC285" i="5"/>
  <c r="AB285" i="5"/>
  <c r="AA285" i="5"/>
  <c r="Z285" i="5"/>
  <c r="Y285" i="5"/>
  <c r="X285" i="5"/>
  <c r="W285" i="5"/>
  <c r="V285" i="5"/>
  <c r="U285" i="5"/>
  <c r="T285" i="5"/>
  <c r="S285" i="5"/>
  <c r="R285" i="5"/>
  <c r="Q285" i="5"/>
  <c r="P285" i="5"/>
  <c r="O285" i="5"/>
  <c r="N285" i="5"/>
  <c r="M285" i="5"/>
  <c r="L285" i="5"/>
  <c r="K285" i="5"/>
  <c r="J285" i="5"/>
  <c r="I285" i="5"/>
  <c r="H285" i="5"/>
  <c r="AF284" i="5"/>
  <c r="AE284" i="5"/>
  <c r="AD284" i="5"/>
  <c r="AC284" i="5"/>
  <c r="AB284" i="5"/>
  <c r="AA284" i="5"/>
  <c r="Z284" i="5"/>
  <c r="Y284" i="5"/>
  <c r="X284" i="5"/>
  <c r="W284" i="5"/>
  <c r="V284" i="5"/>
  <c r="U284" i="5"/>
  <c r="T284" i="5"/>
  <c r="S284" i="5"/>
  <c r="R284" i="5"/>
  <c r="Q284" i="5"/>
  <c r="P284" i="5"/>
  <c r="O284" i="5"/>
  <c r="N284" i="5"/>
  <c r="M284" i="5"/>
  <c r="L284" i="5"/>
  <c r="K284" i="5"/>
  <c r="J284" i="5"/>
  <c r="I284" i="5"/>
  <c r="H284" i="5"/>
  <c r="AF283" i="5"/>
  <c r="AE283" i="5"/>
  <c r="AD283" i="5"/>
  <c r="AC283" i="5"/>
  <c r="AB283" i="5"/>
  <c r="AA283" i="5"/>
  <c r="Z283" i="5"/>
  <c r="Y283" i="5"/>
  <c r="X283" i="5"/>
  <c r="W283" i="5"/>
  <c r="V283" i="5"/>
  <c r="U283" i="5"/>
  <c r="T283" i="5"/>
  <c r="S283" i="5"/>
  <c r="R283" i="5"/>
  <c r="Q283" i="5"/>
  <c r="P283" i="5"/>
  <c r="O283" i="5"/>
  <c r="N283" i="5"/>
  <c r="M283" i="5"/>
  <c r="L283" i="5"/>
  <c r="K283" i="5"/>
  <c r="J283" i="5"/>
  <c r="I283" i="5"/>
  <c r="H283" i="5"/>
  <c r="AF282" i="5"/>
  <c r="AE282" i="5"/>
  <c r="AD282" i="5"/>
  <c r="AC282" i="5"/>
  <c r="AB282" i="5"/>
  <c r="AA282" i="5"/>
  <c r="Z282" i="5"/>
  <c r="Y282" i="5"/>
  <c r="X282" i="5"/>
  <c r="W282" i="5"/>
  <c r="V282" i="5"/>
  <c r="U282" i="5"/>
  <c r="T282" i="5"/>
  <c r="S282" i="5"/>
  <c r="R282" i="5"/>
  <c r="Q282" i="5"/>
  <c r="P282" i="5"/>
  <c r="O282" i="5"/>
  <c r="N282" i="5"/>
  <c r="M282" i="5"/>
  <c r="L282" i="5"/>
  <c r="K282" i="5"/>
  <c r="J282" i="5"/>
  <c r="I282" i="5"/>
  <c r="H282" i="5"/>
  <c r="AF281" i="5"/>
  <c r="AE281" i="5"/>
  <c r="AD281" i="5"/>
  <c r="AC281" i="5"/>
  <c r="AB281" i="5"/>
  <c r="AA281" i="5"/>
  <c r="Z281" i="5"/>
  <c r="Y281" i="5"/>
  <c r="X281" i="5"/>
  <c r="W281" i="5"/>
  <c r="V281" i="5"/>
  <c r="U281" i="5"/>
  <c r="T281" i="5"/>
  <c r="S281" i="5"/>
  <c r="R281" i="5"/>
  <c r="Q281" i="5"/>
  <c r="P281" i="5"/>
  <c r="O281" i="5"/>
  <c r="N281" i="5"/>
  <c r="M281" i="5"/>
  <c r="L281" i="5"/>
  <c r="K281" i="5"/>
  <c r="J281" i="5"/>
  <c r="I281" i="5"/>
  <c r="H281" i="5"/>
  <c r="AF280" i="5"/>
  <c r="AE280" i="5"/>
  <c r="AD280" i="5"/>
  <c r="AC280" i="5"/>
  <c r="AB280" i="5"/>
  <c r="AA280" i="5"/>
  <c r="Z280" i="5"/>
  <c r="Y280" i="5"/>
  <c r="X280" i="5"/>
  <c r="W280" i="5"/>
  <c r="V280" i="5"/>
  <c r="U280" i="5"/>
  <c r="T280" i="5"/>
  <c r="S280" i="5"/>
  <c r="R280" i="5"/>
  <c r="Q280" i="5"/>
  <c r="P280" i="5"/>
  <c r="O280" i="5"/>
  <c r="N280" i="5"/>
  <c r="M280" i="5"/>
  <c r="L280" i="5"/>
  <c r="K280" i="5"/>
  <c r="J280" i="5"/>
  <c r="I280" i="5"/>
  <c r="H280" i="5"/>
  <c r="AF279" i="5"/>
  <c r="AE279" i="5"/>
  <c r="AD279" i="5"/>
  <c r="AC279" i="5"/>
  <c r="AB279" i="5"/>
  <c r="AA279" i="5"/>
  <c r="Z279" i="5"/>
  <c r="Y279" i="5"/>
  <c r="X279" i="5"/>
  <c r="W279" i="5"/>
  <c r="V279" i="5"/>
  <c r="U279" i="5"/>
  <c r="T279" i="5"/>
  <c r="S279" i="5"/>
  <c r="R279" i="5"/>
  <c r="Q279" i="5"/>
  <c r="P279" i="5"/>
  <c r="O279" i="5"/>
  <c r="N279" i="5"/>
  <c r="M279" i="5"/>
  <c r="L279" i="5"/>
  <c r="K279" i="5"/>
  <c r="J279" i="5"/>
  <c r="I279" i="5"/>
  <c r="H279" i="5"/>
  <c r="AF278" i="5"/>
  <c r="AE278" i="5"/>
  <c r="AD278" i="5"/>
  <c r="AC278" i="5"/>
  <c r="AB278" i="5"/>
  <c r="AA278" i="5"/>
  <c r="Z278" i="5"/>
  <c r="Y278" i="5"/>
  <c r="X278" i="5"/>
  <c r="W278" i="5"/>
  <c r="V278" i="5"/>
  <c r="U278" i="5"/>
  <c r="T278" i="5"/>
  <c r="S278" i="5"/>
  <c r="R278" i="5"/>
  <c r="Q278" i="5"/>
  <c r="P278" i="5"/>
  <c r="O278" i="5"/>
  <c r="N278" i="5"/>
  <c r="M278" i="5"/>
  <c r="L278" i="5"/>
  <c r="K278" i="5"/>
  <c r="J278" i="5"/>
  <c r="I278" i="5"/>
  <c r="H278" i="5"/>
  <c r="AF277" i="5"/>
  <c r="AE277" i="5"/>
  <c r="AD277" i="5"/>
  <c r="AC277" i="5"/>
  <c r="AB277" i="5"/>
  <c r="AA277" i="5"/>
  <c r="Z277" i="5"/>
  <c r="Y277" i="5"/>
  <c r="X277" i="5"/>
  <c r="W277" i="5"/>
  <c r="V277" i="5"/>
  <c r="U277" i="5"/>
  <c r="T277" i="5"/>
  <c r="S277" i="5"/>
  <c r="R277" i="5"/>
  <c r="Q277" i="5"/>
  <c r="P277" i="5"/>
  <c r="O277" i="5"/>
  <c r="N277" i="5"/>
  <c r="M277" i="5"/>
  <c r="L277" i="5"/>
  <c r="K277" i="5"/>
  <c r="J277" i="5"/>
  <c r="I277" i="5"/>
  <c r="H277" i="5"/>
  <c r="AF276" i="5"/>
  <c r="AE276" i="5"/>
  <c r="AD276" i="5"/>
  <c r="AC276" i="5"/>
  <c r="AB276" i="5"/>
  <c r="AA276" i="5"/>
  <c r="Z276" i="5"/>
  <c r="Y276" i="5"/>
  <c r="X276" i="5"/>
  <c r="W276" i="5"/>
  <c r="V276" i="5"/>
  <c r="U276" i="5"/>
  <c r="T276" i="5"/>
  <c r="S276" i="5"/>
  <c r="R276" i="5"/>
  <c r="Q276" i="5"/>
  <c r="P276" i="5"/>
  <c r="O276" i="5"/>
  <c r="N276" i="5"/>
  <c r="M276" i="5"/>
  <c r="L276" i="5"/>
  <c r="K276" i="5"/>
  <c r="J276" i="5"/>
  <c r="I276" i="5"/>
  <c r="H276" i="5"/>
  <c r="AF275" i="5"/>
  <c r="AE275" i="5"/>
  <c r="AD275" i="5"/>
  <c r="AC275" i="5"/>
  <c r="AB275" i="5"/>
  <c r="AA275" i="5"/>
  <c r="Z275" i="5"/>
  <c r="Y275" i="5"/>
  <c r="X275" i="5"/>
  <c r="W275" i="5"/>
  <c r="V275" i="5"/>
  <c r="U275" i="5"/>
  <c r="T275" i="5"/>
  <c r="S275" i="5"/>
  <c r="R275" i="5"/>
  <c r="Q275" i="5"/>
  <c r="P275" i="5"/>
  <c r="O275" i="5"/>
  <c r="N275" i="5"/>
  <c r="M275" i="5"/>
  <c r="L275" i="5"/>
  <c r="K275" i="5"/>
  <c r="J275" i="5"/>
  <c r="I275" i="5"/>
  <c r="H275" i="5"/>
  <c r="AF274" i="5"/>
  <c r="AE274" i="5"/>
  <c r="AD274" i="5"/>
  <c r="AC274" i="5"/>
  <c r="AB274" i="5"/>
  <c r="AA274" i="5"/>
  <c r="Z274" i="5"/>
  <c r="Y274" i="5"/>
  <c r="X274" i="5"/>
  <c r="W274" i="5"/>
  <c r="V274" i="5"/>
  <c r="U274" i="5"/>
  <c r="T274" i="5"/>
  <c r="S274" i="5"/>
  <c r="R274" i="5"/>
  <c r="Q274" i="5"/>
  <c r="P274" i="5"/>
  <c r="O274" i="5"/>
  <c r="N274" i="5"/>
  <c r="M274" i="5"/>
  <c r="L274" i="5"/>
  <c r="K274" i="5"/>
  <c r="J274" i="5"/>
  <c r="I274" i="5"/>
  <c r="H274" i="5"/>
  <c r="AF273" i="5"/>
  <c r="AE273" i="5"/>
  <c r="AD273" i="5"/>
  <c r="AC273" i="5"/>
  <c r="AB273" i="5"/>
  <c r="AA273" i="5"/>
  <c r="Z273" i="5"/>
  <c r="Y273" i="5"/>
  <c r="X273" i="5"/>
  <c r="W273" i="5"/>
  <c r="V273" i="5"/>
  <c r="U273" i="5"/>
  <c r="T273" i="5"/>
  <c r="S273" i="5"/>
  <c r="R273" i="5"/>
  <c r="Q273" i="5"/>
  <c r="P273" i="5"/>
  <c r="O273" i="5"/>
  <c r="N273" i="5"/>
  <c r="M273" i="5"/>
  <c r="L273" i="5"/>
  <c r="K273" i="5"/>
  <c r="J273" i="5"/>
  <c r="I273" i="5"/>
  <c r="H273" i="5"/>
  <c r="AF272" i="5"/>
  <c r="AE272" i="5"/>
  <c r="AD272" i="5"/>
  <c r="AC272" i="5"/>
  <c r="AB272" i="5"/>
  <c r="AA272" i="5"/>
  <c r="Z272" i="5"/>
  <c r="Y272" i="5"/>
  <c r="X272" i="5"/>
  <c r="W272" i="5"/>
  <c r="V272" i="5"/>
  <c r="U272" i="5"/>
  <c r="T272" i="5"/>
  <c r="S272" i="5"/>
  <c r="R272" i="5"/>
  <c r="Q272" i="5"/>
  <c r="P272" i="5"/>
  <c r="O272" i="5"/>
  <c r="N272" i="5"/>
  <c r="M272" i="5"/>
  <c r="L272" i="5"/>
  <c r="K272" i="5"/>
  <c r="J272" i="5"/>
  <c r="I272" i="5"/>
  <c r="H272" i="5"/>
  <c r="AF271" i="5"/>
  <c r="AE271" i="5"/>
  <c r="AD271" i="5"/>
  <c r="AC271" i="5"/>
  <c r="AB271" i="5"/>
  <c r="AA271" i="5"/>
  <c r="Z271" i="5"/>
  <c r="Y271" i="5"/>
  <c r="X271" i="5"/>
  <c r="W271" i="5"/>
  <c r="V271" i="5"/>
  <c r="U271" i="5"/>
  <c r="T271" i="5"/>
  <c r="S271" i="5"/>
  <c r="R271" i="5"/>
  <c r="Q271" i="5"/>
  <c r="P271" i="5"/>
  <c r="O271" i="5"/>
  <c r="N271" i="5"/>
  <c r="M271" i="5"/>
  <c r="L271" i="5"/>
  <c r="K271" i="5"/>
  <c r="J271" i="5"/>
  <c r="I271" i="5"/>
  <c r="H271" i="5"/>
  <c r="AF270" i="5"/>
  <c r="AE270" i="5"/>
  <c r="AD270" i="5"/>
  <c r="AC270" i="5"/>
  <c r="AB270" i="5"/>
  <c r="AA270" i="5"/>
  <c r="Z270" i="5"/>
  <c r="Y270" i="5"/>
  <c r="X270" i="5"/>
  <c r="W270" i="5"/>
  <c r="V270" i="5"/>
  <c r="U270" i="5"/>
  <c r="T270" i="5"/>
  <c r="S270" i="5"/>
  <c r="R270" i="5"/>
  <c r="Q270" i="5"/>
  <c r="P270" i="5"/>
  <c r="O270" i="5"/>
  <c r="N270" i="5"/>
  <c r="M270" i="5"/>
  <c r="L270" i="5"/>
  <c r="K270" i="5"/>
  <c r="J270" i="5"/>
  <c r="I270" i="5"/>
  <c r="H270" i="5"/>
  <c r="AF269" i="5"/>
  <c r="AE269" i="5"/>
  <c r="AD269" i="5"/>
  <c r="AC269" i="5"/>
  <c r="AB269" i="5"/>
  <c r="AA269" i="5"/>
  <c r="Z269" i="5"/>
  <c r="Y269" i="5"/>
  <c r="X269" i="5"/>
  <c r="W269" i="5"/>
  <c r="V269" i="5"/>
  <c r="U269" i="5"/>
  <c r="T269" i="5"/>
  <c r="S269" i="5"/>
  <c r="R269" i="5"/>
  <c r="Q269" i="5"/>
  <c r="P269" i="5"/>
  <c r="O269" i="5"/>
  <c r="N269" i="5"/>
  <c r="M269" i="5"/>
  <c r="L269" i="5"/>
  <c r="K269" i="5"/>
  <c r="J269" i="5"/>
  <c r="I269" i="5"/>
  <c r="H269" i="5"/>
  <c r="AF268" i="5"/>
  <c r="AE268" i="5"/>
  <c r="AD268" i="5"/>
  <c r="AC268" i="5"/>
  <c r="AB268" i="5"/>
  <c r="AA268" i="5"/>
  <c r="Z268" i="5"/>
  <c r="Y268" i="5"/>
  <c r="X268" i="5"/>
  <c r="W268" i="5"/>
  <c r="V268" i="5"/>
  <c r="U268" i="5"/>
  <c r="T268" i="5"/>
  <c r="S268" i="5"/>
  <c r="R268" i="5"/>
  <c r="Q268" i="5"/>
  <c r="P268" i="5"/>
  <c r="O268" i="5"/>
  <c r="N268" i="5"/>
  <c r="M268" i="5"/>
  <c r="L268" i="5"/>
  <c r="K268" i="5"/>
  <c r="J268" i="5"/>
  <c r="I268" i="5"/>
  <c r="H268" i="5"/>
  <c r="AF267" i="5"/>
  <c r="AE267" i="5"/>
  <c r="AD267" i="5"/>
  <c r="AC267" i="5"/>
  <c r="AB267" i="5"/>
  <c r="AA267" i="5"/>
  <c r="Z267" i="5"/>
  <c r="Y267" i="5"/>
  <c r="X267" i="5"/>
  <c r="W267" i="5"/>
  <c r="V267" i="5"/>
  <c r="U267" i="5"/>
  <c r="T267" i="5"/>
  <c r="S267" i="5"/>
  <c r="R267" i="5"/>
  <c r="Q267" i="5"/>
  <c r="P267" i="5"/>
  <c r="O267" i="5"/>
  <c r="N267" i="5"/>
  <c r="M267" i="5"/>
  <c r="L267" i="5"/>
  <c r="K267" i="5"/>
  <c r="J267" i="5"/>
  <c r="I267" i="5"/>
  <c r="H267" i="5"/>
  <c r="AF266" i="5"/>
  <c r="AE266" i="5"/>
  <c r="AD266" i="5"/>
  <c r="AC266" i="5"/>
  <c r="AB266" i="5"/>
  <c r="AA266" i="5"/>
  <c r="Z266" i="5"/>
  <c r="Y266" i="5"/>
  <c r="X266" i="5"/>
  <c r="W266" i="5"/>
  <c r="V266" i="5"/>
  <c r="U266" i="5"/>
  <c r="T266" i="5"/>
  <c r="S266" i="5"/>
  <c r="R266" i="5"/>
  <c r="Q266" i="5"/>
  <c r="P266" i="5"/>
  <c r="O266" i="5"/>
  <c r="N266" i="5"/>
  <c r="M266" i="5"/>
  <c r="L266" i="5"/>
  <c r="K266" i="5"/>
  <c r="J266" i="5"/>
  <c r="I266" i="5"/>
  <c r="H266" i="5"/>
  <c r="AF265" i="5"/>
  <c r="AE265" i="5"/>
  <c r="AD265" i="5"/>
  <c r="AC265" i="5"/>
  <c r="AB265" i="5"/>
  <c r="AA265" i="5"/>
  <c r="Z265" i="5"/>
  <c r="Y265" i="5"/>
  <c r="X265" i="5"/>
  <c r="W265" i="5"/>
  <c r="V265" i="5"/>
  <c r="U265" i="5"/>
  <c r="T265" i="5"/>
  <c r="S265" i="5"/>
  <c r="R265" i="5"/>
  <c r="Q265" i="5"/>
  <c r="P265" i="5"/>
  <c r="O265" i="5"/>
  <c r="N265" i="5"/>
  <c r="M265" i="5"/>
  <c r="L265" i="5"/>
  <c r="K265" i="5"/>
  <c r="J265" i="5"/>
  <c r="I265" i="5"/>
  <c r="H265" i="5"/>
  <c r="AF264" i="5"/>
  <c r="AE264" i="5"/>
  <c r="AD264" i="5"/>
  <c r="AC264" i="5"/>
  <c r="AB264" i="5"/>
  <c r="AA264" i="5"/>
  <c r="Z264" i="5"/>
  <c r="Y264" i="5"/>
  <c r="X264" i="5"/>
  <c r="W264" i="5"/>
  <c r="V264" i="5"/>
  <c r="U264" i="5"/>
  <c r="T264" i="5"/>
  <c r="S264" i="5"/>
  <c r="R264" i="5"/>
  <c r="Q264" i="5"/>
  <c r="P264" i="5"/>
  <c r="O264" i="5"/>
  <c r="N264" i="5"/>
  <c r="M264" i="5"/>
  <c r="L264" i="5"/>
  <c r="K264" i="5"/>
  <c r="J264" i="5"/>
  <c r="I264" i="5"/>
  <c r="H264" i="5"/>
  <c r="AF263" i="5"/>
  <c r="AE263" i="5"/>
  <c r="AD263" i="5"/>
  <c r="AC263" i="5"/>
  <c r="AB263" i="5"/>
  <c r="AA263" i="5"/>
  <c r="Z263" i="5"/>
  <c r="Y263" i="5"/>
  <c r="X263" i="5"/>
  <c r="W263" i="5"/>
  <c r="V263" i="5"/>
  <c r="U263" i="5"/>
  <c r="T263" i="5"/>
  <c r="S263" i="5"/>
  <c r="R263" i="5"/>
  <c r="Q263" i="5"/>
  <c r="P263" i="5"/>
  <c r="O263" i="5"/>
  <c r="N263" i="5"/>
  <c r="M263" i="5"/>
  <c r="L263" i="5"/>
  <c r="K263" i="5"/>
  <c r="J263" i="5"/>
  <c r="I263" i="5"/>
  <c r="H263" i="5"/>
  <c r="AF262" i="5"/>
  <c r="AE262" i="5"/>
  <c r="AD262" i="5"/>
  <c r="AC262" i="5"/>
  <c r="AB262" i="5"/>
  <c r="AA262" i="5"/>
  <c r="Z262" i="5"/>
  <c r="Y262" i="5"/>
  <c r="X262" i="5"/>
  <c r="W262" i="5"/>
  <c r="V262" i="5"/>
  <c r="U262" i="5"/>
  <c r="T262" i="5"/>
  <c r="S262" i="5"/>
  <c r="R262" i="5"/>
  <c r="Q262" i="5"/>
  <c r="P262" i="5"/>
  <c r="O262" i="5"/>
  <c r="N262" i="5"/>
  <c r="M262" i="5"/>
  <c r="L262" i="5"/>
  <c r="K262" i="5"/>
  <c r="J262" i="5"/>
  <c r="I262" i="5"/>
  <c r="H262" i="5"/>
  <c r="AF261" i="5"/>
  <c r="AE261" i="5"/>
  <c r="AD261" i="5"/>
  <c r="AC261" i="5"/>
  <c r="AB261" i="5"/>
  <c r="AA261" i="5"/>
  <c r="Z261" i="5"/>
  <c r="Y261" i="5"/>
  <c r="X261" i="5"/>
  <c r="W261" i="5"/>
  <c r="V261" i="5"/>
  <c r="U261" i="5"/>
  <c r="T261" i="5"/>
  <c r="S261" i="5"/>
  <c r="R261" i="5"/>
  <c r="Q261" i="5"/>
  <c r="P261" i="5"/>
  <c r="O261" i="5"/>
  <c r="N261" i="5"/>
  <c r="M261" i="5"/>
  <c r="L261" i="5"/>
  <c r="K261" i="5"/>
  <c r="J261" i="5"/>
  <c r="I261" i="5"/>
  <c r="H261" i="5"/>
  <c r="AF260" i="5"/>
  <c r="AE260" i="5"/>
  <c r="AD260" i="5"/>
  <c r="AC260" i="5"/>
  <c r="AB260" i="5"/>
  <c r="AA260" i="5"/>
  <c r="Z260" i="5"/>
  <c r="Y260" i="5"/>
  <c r="X260" i="5"/>
  <c r="W260" i="5"/>
  <c r="V260" i="5"/>
  <c r="U260" i="5"/>
  <c r="T260" i="5"/>
  <c r="S260" i="5"/>
  <c r="R260" i="5"/>
  <c r="Q260" i="5"/>
  <c r="P260" i="5"/>
  <c r="O260" i="5"/>
  <c r="N260" i="5"/>
  <c r="M260" i="5"/>
  <c r="L260" i="5"/>
  <c r="K260" i="5"/>
  <c r="J260" i="5"/>
  <c r="I260" i="5"/>
  <c r="H260" i="5"/>
  <c r="AF259" i="5"/>
  <c r="AE259" i="5"/>
  <c r="AD259" i="5"/>
  <c r="AC259" i="5"/>
  <c r="AB259" i="5"/>
  <c r="AA259" i="5"/>
  <c r="Z259" i="5"/>
  <c r="Y259" i="5"/>
  <c r="X259" i="5"/>
  <c r="W259" i="5"/>
  <c r="V259" i="5"/>
  <c r="U259" i="5"/>
  <c r="T259" i="5"/>
  <c r="S259" i="5"/>
  <c r="R259" i="5"/>
  <c r="Q259" i="5"/>
  <c r="P259" i="5"/>
  <c r="O259" i="5"/>
  <c r="N259" i="5"/>
  <c r="M259" i="5"/>
  <c r="L259" i="5"/>
  <c r="K259" i="5"/>
  <c r="J259" i="5"/>
  <c r="I259" i="5"/>
  <c r="H259" i="5"/>
  <c r="AF258" i="5"/>
  <c r="AE258" i="5"/>
  <c r="AD258" i="5"/>
  <c r="AC258" i="5"/>
  <c r="AB258" i="5"/>
  <c r="AA258" i="5"/>
  <c r="Z258" i="5"/>
  <c r="Y258" i="5"/>
  <c r="X258" i="5"/>
  <c r="W258" i="5"/>
  <c r="V258" i="5"/>
  <c r="U258" i="5"/>
  <c r="T258" i="5"/>
  <c r="S258" i="5"/>
  <c r="R258" i="5"/>
  <c r="Q258" i="5"/>
  <c r="P258" i="5"/>
  <c r="O258" i="5"/>
  <c r="N258" i="5"/>
  <c r="M258" i="5"/>
  <c r="L258" i="5"/>
  <c r="K258" i="5"/>
  <c r="J258" i="5"/>
  <c r="I258" i="5"/>
  <c r="H258" i="5"/>
  <c r="AF257" i="5"/>
  <c r="AE257" i="5"/>
  <c r="AD257" i="5"/>
  <c r="AC257" i="5"/>
  <c r="AB257" i="5"/>
  <c r="AA257" i="5"/>
  <c r="Z257" i="5"/>
  <c r="Y257" i="5"/>
  <c r="X257" i="5"/>
  <c r="W257" i="5"/>
  <c r="V257" i="5"/>
  <c r="U257" i="5"/>
  <c r="T257" i="5"/>
  <c r="S257" i="5"/>
  <c r="R257" i="5"/>
  <c r="Q257" i="5"/>
  <c r="P257" i="5"/>
  <c r="O257" i="5"/>
  <c r="N257" i="5"/>
  <c r="M257" i="5"/>
  <c r="L257" i="5"/>
  <c r="K257" i="5"/>
  <c r="J257" i="5"/>
  <c r="I257" i="5"/>
  <c r="H257" i="5"/>
  <c r="AF256" i="5"/>
  <c r="AE256" i="5"/>
  <c r="AD256" i="5"/>
  <c r="AC256" i="5"/>
  <c r="AB256" i="5"/>
  <c r="AA256" i="5"/>
  <c r="Z256" i="5"/>
  <c r="Y256" i="5"/>
  <c r="X256" i="5"/>
  <c r="W256" i="5"/>
  <c r="V256" i="5"/>
  <c r="U256" i="5"/>
  <c r="T256" i="5"/>
  <c r="S256" i="5"/>
  <c r="R256" i="5"/>
  <c r="Q256" i="5"/>
  <c r="P256" i="5"/>
  <c r="O256" i="5"/>
  <c r="N256" i="5"/>
  <c r="M256" i="5"/>
  <c r="L256" i="5"/>
  <c r="K256" i="5"/>
  <c r="J256" i="5"/>
  <c r="I256" i="5"/>
  <c r="H256" i="5"/>
  <c r="AF255" i="5"/>
  <c r="AE255" i="5"/>
  <c r="AD255" i="5"/>
  <c r="AC255" i="5"/>
  <c r="AB255" i="5"/>
  <c r="AA255" i="5"/>
  <c r="Z255" i="5"/>
  <c r="Y255" i="5"/>
  <c r="X255" i="5"/>
  <c r="W255" i="5"/>
  <c r="V255" i="5"/>
  <c r="U255" i="5"/>
  <c r="T255" i="5"/>
  <c r="S255" i="5"/>
  <c r="R255" i="5"/>
  <c r="Q255" i="5"/>
  <c r="P255" i="5"/>
  <c r="O255" i="5"/>
  <c r="N255" i="5"/>
  <c r="M255" i="5"/>
  <c r="L255" i="5"/>
  <c r="K255" i="5"/>
  <c r="J255" i="5"/>
  <c r="I255" i="5"/>
  <c r="H255" i="5"/>
  <c r="AF254" i="5"/>
  <c r="AE254" i="5"/>
  <c r="AD254" i="5"/>
  <c r="AC254" i="5"/>
  <c r="AB254" i="5"/>
  <c r="AA254" i="5"/>
  <c r="Z254" i="5"/>
  <c r="Y254" i="5"/>
  <c r="X254" i="5"/>
  <c r="W254" i="5"/>
  <c r="V254" i="5"/>
  <c r="U254" i="5"/>
  <c r="T254" i="5"/>
  <c r="S254" i="5"/>
  <c r="R254" i="5"/>
  <c r="Q254" i="5"/>
  <c r="P254" i="5"/>
  <c r="O254" i="5"/>
  <c r="N254" i="5"/>
  <c r="M254" i="5"/>
  <c r="L254" i="5"/>
  <c r="K254" i="5"/>
  <c r="J254" i="5"/>
  <c r="I254" i="5"/>
  <c r="H254" i="5"/>
  <c r="AF253" i="5"/>
  <c r="AE253" i="5"/>
  <c r="AD253" i="5"/>
  <c r="AC253" i="5"/>
  <c r="AB253" i="5"/>
  <c r="AA253" i="5"/>
  <c r="Z253" i="5"/>
  <c r="Y253" i="5"/>
  <c r="X253" i="5"/>
  <c r="W253" i="5"/>
  <c r="V253" i="5"/>
  <c r="U253" i="5"/>
  <c r="T253" i="5"/>
  <c r="S253" i="5"/>
  <c r="R253" i="5"/>
  <c r="Q253" i="5"/>
  <c r="P253" i="5"/>
  <c r="O253" i="5"/>
  <c r="N253" i="5"/>
  <c r="M253" i="5"/>
  <c r="L253" i="5"/>
  <c r="K253" i="5"/>
  <c r="J253" i="5"/>
  <c r="I253" i="5"/>
  <c r="H253" i="5"/>
  <c r="AF252" i="5"/>
  <c r="AE252" i="5"/>
  <c r="AD252" i="5"/>
  <c r="AC252" i="5"/>
  <c r="AB252" i="5"/>
  <c r="AA252" i="5"/>
  <c r="Z252" i="5"/>
  <c r="Y252" i="5"/>
  <c r="X252" i="5"/>
  <c r="W252" i="5"/>
  <c r="V252" i="5"/>
  <c r="U252" i="5"/>
  <c r="T252" i="5"/>
  <c r="S252" i="5"/>
  <c r="R252" i="5"/>
  <c r="Q252" i="5"/>
  <c r="P252" i="5"/>
  <c r="O252" i="5"/>
  <c r="N252" i="5"/>
  <c r="M252" i="5"/>
  <c r="L252" i="5"/>
  <c r="K252" i="5"/>
  <c r="J252" i="5"/>
  <c r="I252" i="5"/>
  <c r="H252" i="5"/>
  <c r="AF251" i="5"/>
  <c r="AE251" i="5"/>
  <c r="AD251" i="5"/>
  <c r="AC251" i="5"/>
  <c r="AB251" i="5"/>
  <c r="AA251" i="5"/>
  <c r="Z251" i="5"/>
  <c r="Y251" i="5"/>
  <c r="X251" i="5"/>
  <c r="W251" i="5"/>
  <c r="V251" i="5"/>
  <c r="U251" i="5"/>
  <c r="T251" i="5"/>
  <c r="S251" i="5"/>
  <c r="R251" i="5"/>
  <c r="Q251" i="5"/>
  <c r="P251" i="5"/>
  <c r="O251" i="5"/>
  <c r="N251" i="5"/>
  <c r="M251" i="5"/>
  <c r="L251" i="5"/>
  <c r="K251" i="5"/>
  <c r="J251" i="5"/>
  <c r="I251" i="5"/>
  <c r="H251" i="5"/>
  <c r="AF250" i="5"/>
  <c r="AE250" i="5"/>
  <c r="AD250" i="5"/>
  <c r="AC250" i="5"/>
  <c r="AB250" i="5"/>
  <c r="AA250" i="5"/>
  <c r="Z250" i="5"/>
  <c r="Y250" i="5"/>
  <c r="X250" i="5"/>
  <c r="W250" i="5"/>
  <c r="V250" i="5"/>
  <c r="U250" i="5"/>
  <c r="T250" i="5"/>
  <c r="S250" i="5"/>
  <c r="R250" i="5"/>
  <c r="Q250" i="5"/>
  <c r="P250" i="5"/>
  <c r="O250" i="5"/>
  <c r="N250" i="5"/>
  <c r="M250" i="5"/>
  <c r="L250" i="5"/>
  <c r="K250" i="5"/>
  <c r="J250" i="5"/>
  <c r="I250" i="5"/>
  <c r="H250" i="5"/>
  <c r="AF249" i="5"/>
  <c r="AE249" i="5"/>
  <c r="AD249" i="5"/>
  <c r="AC249" i="5"/>
  <c r="AB249" i="5"/>
  <c r="AA249" i="5"/>
  <c r="Z249" i="5"/>
  <c r="Y249" i="5"/>
  <c r="X249" i="5"/>
  <c r="W249" i="5"/>
  <c r="V249" i="5"/>
  <c r="U249" i="5"/>
  <c r="T249" i="5"/>
  <c r="S249" i="5"/>
  <c r="R249" i="5"/>
  <c r="Q249" i="5"/>
  <c r="P249" i="5"/>
  <c r="O249" i="5"/>
  <c r="N249" i="5"/>
  <c r="M249" i="5"/>
  <c r="L249" i="5"/>
  <c r="K249" i="5"/>
  <c r="J249" i="5"/>
  <c r="I249" i="5"/>
  <c r="H249" i="5"/>
  <c r="AF248" i="5"/>
  <c r="AE248" i="5"/>
  <c r="AD248" i="5"/>
  <c r="AC248" i="5"/>
  <c r="AB248" i="5"/>
  <c r="AA248" i="5"/>
  <c r="Z248" i="5"/>
  <c r="Y248" i="5"/>
  <c r="X248" i="5"/>
  <c r="W248" i="5"/>
  <c r="V248" i="5"/>
  <c r="U248" i="5"/>
  <c r="T248" i="5"/>
  <c r="S248" i="5"/>
  <c r="R248" i="5"/>
  <c r="Q248" i="5"/>
  <c r="P248" i="5"/>
  <c r="O248" i="5"/>
  <c r="N248" i="5"/>
  <c r="M248" i="5"/>
  <c r="L248" i="5"/>
  <c r="K248" i="5"/>
  <c r="J248" i="5"/>
  <c r="I248" i="5"/>
  <c r="H248" i="5"/>
  <c r="AF247" i="5"/>
  <c r="AE247" i="5"/>
  <c r="AD247" i="5"/>
  <c r="AC247" i="5"/>
  <c r="AB247" i="5"/>
  <c r="AA247" i="5"/>
  <c r="Z247" i="5"/>
  <c r="Y247" i="5"/>
  <c r="X247" i="5"/>
  <c r="W247" i="5"/>
  <c r="V247" i="5"/>
  <c r="U247" i="5"/>
  <c r="T247" i="5"/>
  <c r="S247" i="5"/>
  <c r="R247" i="5"/>
  <c r="Q247" i="5"/>
  <c r="P247" i="5"/>
  <c r="O247" i="5"/>
  <c r="N247" i="5"/>
  <c r="M247" i="5"/>
  <c r="L247" i="5"/>
  <c r="K247" i="5"/>
  <c r="J247" i="5"/>
  <c r="I247" i="5"/>
  <c r="H247" i="5"/>
  <c r="AF246" i="5"/>
  <c r="AE246" i="5"/>
  <c r="AD246" i="5"/>
  <c r="AC246" i="5"/>
  <c r="AB246" i="5"/>
  <c r="AA246" i="5"/>
  <c r="Z246" i="5"/>
  <c r="Y246" i="5"/>
  <c r="X246" i="5"/>
  <c r="W246" i="5"/>
  <c r="V246" i="5"/>
  <c r="U246" i="5"/>
  <c r="T246" i="5"/>
  <c r="S246" i="5"/>
  <c r="R246" i="5"/>
  <c r="Q246" i="5"/>
  <c r="P246" i="5"/>
  <c r="O246" i="5"/>
  <c r="N246" i="5"/>
  <c r="M246" i="5"/>
  <c r="L246" i="5"/>
  <c r="K246" i="5"/>
  <c r="J246" i="5"/>
  <c r="I246" i="5"/>
  <c r="H246" i="5"/>
  <c r="AF245" i="5"/>
  <c r="AE245" i="5"/>
  <c r="AD245" i="5"/>
  <c r="AC245" i="5"/>
  <c r="AB245" i="5"/>
  <c r="AA245" i="5"/>
  <c r="Z245" i="5"/>
  <c r="Y245" i="5"/>
  <c r="X245" i="5"/>
  <c r="W245" i="5"/>
  <c r="V245" i="5"/>
  <c r="U245" i="5"/>
  <c r="T245" i="5"/>
  <c r="S245" i="5"/>
  <c r="R245" i="5"/>
  <c r="Q245" i="5"/>
  <c r="P245" i="5"/>
  <c r="O245" i="5"/>
  <c r="N245" i="5"/>
  <c r="M245" i="5"/>
  <c r="L245" i="5"/>
  <c r="K245" i="5"/>
  <c r="J245" i="5"/>
  <c r="I245" i="5"/>
  <c r="H245" i="5"/>
  <c r="AF244" i="5"/>
  <c r="AE244" i="5"/>
  <c r="AD244" i="5"/>
  <c r="AC244" i="5"/>
  <c r="AB244" i="5"/>
  <c r="AA244" i="5"/>
  <c r="Z244" i="5"/>
  <c r="Y244" i="5"/>
  <c r="X244" i="5"/>
  <c r="W244" i="5"/>
  <c r="V244" i="5"/>
  <c r="U244" i="5"/>
  <c r="T244" i="5"/>
  <c r="S244" i="5"/>
  <c r="R244" i="5"/>
  <c r="Q244" i="5"/>
  <c r="P244" i="5"/>
  <c r="O244" i="5"/>
  <c r="N244" i="5"/>
  <c r="M244" i="5"/>
  <c r="L244" i="5"/>
  <c r="K244" i="5"/>
  <c r="J244" i="5"/>
  <c r="I244" i="5"/>
  <c r="H244" i="5"/>
  <c r="AF243" i="5"/>
  <c r="AE243" i="5"/>
  <c r="AD243" i="5"/>
  <c r="AC243" i="5"/>
  <c r="AB243" i="5"/>
  <c r="AA243" i="5"/>
  <c r="Z243" i="5"/>
  <c r="Y243" i="5"/>
  <c r="X243" i="5"/>
  <c r="W243" i="5"/>
  <c r="V243" i="5"/>
  <c r="U243" i="5"/>
  <c r="T243" i="5"/>
  <c r="S243" i="5"/>
  <c r="R243" i="5"/>
  <c r="Q243" i="5"/>
  <c r="P243" i="5"/>
  <c r="O243" i="5"/>
  <c r="N243" i="5"/>
  <c r="M243" i="5"/>
  <c r="L243" i="5"/>
  <c r="K243" i="5"/>
  <c r="J243" i="5"/>
  <c r="I243" i="5"/>
  <c r="H243" i="5"/>
  <c r="AF242" i="5"/>
  <c r="AE242" i="5"/>
  <c r="AD242" i="5"/>
  <c r="AC242" i="5"/>
  <c r="AB242" i="5"/>
  <c r="AA242" i="5"/>
  <c r="Z242" i="5"/>
  <c r="Y242" i="5"/>
  <c r="X242" i="5"/>
  <c r="W242" i="5"/>
  <c r="V242" i="5"/>
  <c r="U242" i="5"/>
  <c r="T242" i="5"/>
  <c r="S242" i="5"/>
  <c r="R242" i="5"/>
  <c r="Q242" i="5"/>
  <c r="P242" i="5"/>
  <c r="O242" i="5"/>
  <c r="N242" i="5"/>
  <c r="M242" i="5"/>
  <c r="L242" i="5"/>
  <c r="K242" i="5"/>
  <c r="J242" i="5"/>
  <c r="I242" i="5"/>
  <c r="H242" i="5"/>
  <c r="AF241" i="5"/>
  <c r="AE241" i="5"/>
  <c r="AD241" i="5"/>
  <c r="AC241" i="5"/>
  <c r="AB241" i="5"/>
  <c r="AA241" i="5"/>
  <c r="Z241" i="5"/>
  <c r="Y241" i="5"/>
  <c r="X241" i="5"/>
  <c r="W241" i="5"/>
  <c r="V241" i="5"/>
  <c r="U241" i="5"/>
  <c r="T241" i="5"/>
  <c r="S241" i="5"/>
  <c r="R241" i="5"/>
  <c r="Q241" i="5"/>
  <c r="P241" i="5"/>
  <c r="O241" i="5"/>
  <c r="N241" i="5"/>
  <c r="M241" i="5"/>
  <c r="L241" i="5"/>
  <c r="K241" i="5"/>
  <c r="J241" i="5"/>
  <c r="I241" i="5"/>
  <c r="H241" i="5"/>
  <c r="AF240" i="5"/>
  <c r="AE240" i="5"/>
  <c r="AD240" i="5"/>
  <c r="AC240" i="5"/>
  <c r="AB240" i="5"/>
  <c r="AA240" i="5"/>
  <c r="Z240" i="5"/>
  <c r="Y240" i="5"/>
  <c r="X240" i="5"/>
  <c r="W240" i="5"/>
  <c r="V240" i="5"/>
  <c r="U240" i="5"/>
  <c r="T240" i="5"/>
  <c r="S240" i="5"/>
  <c r="R240" i="5"/>
  <c r="Q240" i="5"/>
  <c r="P240" i="5"/>
  <c r="O240" i="5"/>
  <c r="N240" i="5"/>
  <c r="M240" i="5"/>
  <c r="L240" i="5"/>
  <c r="K240" i="5"/>
  <c r="J240" i="5"/>
  <c r="I240" i="5"/>
  <c r="H240" i="5"/>
  <c r="AF239" i="5"/>
  <c r="AE239" i="5"/>
  <c r="AD239" i="5"/>
  <c r="AC239" i="5"/>
  <c r="AB239" i="5"/>
  <c r="AA239" i="5"/>
  <c r="Z239" i="5"/>
  <c r="Y239" i="5"/>
  <c r="X239" i="5"/>
  <c r="W239" i="5"/>
  <c r="V239" i="5"/>
  <c r="U239" i="5"/>
  <c r="T239" i="5"/>
  <c r="S239" i="5"/>
  <c r="R239" i="5"/>
  <c r="Q239" i="5"/>
  <c r="P239" i="5"/>
  <c r="O239" i="5"/>
  <c r="N239" i="5"/>
  <c r="M239" i="5"/>
  <c r="L239" i="5"/>
  <c r="K239" i="5"/>
  <c r="J239" i="5"/>
  <c r="I239" i="5"/>
  <c r="H239" i="5"/>
  <c r="AF238" i="5"/>
  <c r="AE238" i="5"/>
  <c r="AD238" i="5"/>
  <c r="AC238" i="5"/>
  <c r="AB238" i="5"/>
  <c r="AA238" i="5"/>
  <c r="Z238" i="5"/>
  <c r="Y238" i="5"/>
  <c r="X238" i="5"/>
  <c r="W238" i="5"/>
  <c r="V238" i="5"/>
  <c r="U238" i="5"/>
  <c r="T238" i="5"/>
  <c r="S238" i="5"/>
  <c r="R238" i="5"/>
  <c r="Q238" i="5"/>
  <c r="P238" i="5"/>
  <c r="O238" i="5"/>
  <c r="N238" i="5"/>
  <c r="M238" i="5"/>
  <c r="L238" i="5"/>
  <c r="K238" i="5"/>
  <c r="J238" i="5"/>
  <c r="I238" i="5"/>
  <c r="H238" i="5"/>
  <c r="AF237" i="5"/>
  <c r="AE237" i="5"/>
  <c r="AD237" i="5"/>
  <c r="AC237" i="5"/>
  <c r="AB237" i="5"/>
  <c r="AA237" i="5"/>
  <c r="Z237" i="5"/>
  <c r="Y237" i="5"/>
  <c r="X237" i="5"/>
  <c r="W237" i="5"/>
  <c r="V237" i="5"/>
  <c r="U237" i="5"/>
  <c r="T237" i="5"/>
  <c r="S237" i="5"/>
  <c r="R237" i="5"/>
  <c r="Q237" i="5"/>
  <c r="P237" i="5"/>
  <c r="O237" i="5"/>
  <c r="N237" i="5"/>
  <c r="M237" i="5"/>
  <c r="L237" i="5"/>
  <c r="K237" i="5"/>
  <c r="J237" i="5"/>
  <c r="I237" i="5"/>
  <c r="H237" i="5"/>
  <c r="AF236" i="5"/>
  <c r="AE236" i="5"/>
  <c r="AD236" i="5"/>
  <c r="AC236" i="5"/>
  <c r="AB236" i="5"/>
  <c r="AA236" i="5"/>
  <c r="Z236" i="5"/>
  <c r="Y236" i="5"/>
  <c r="X236" i="5"/>
  <c r="W236" i="5"/>
  <c r="V236" i="5"/>
  <c r="U236" i="5"/>
  <c r="T236" i="5"/>
  <c r="S236" i="5"/>
  <c r="R236" i="5"/>
  <c r="Q236" i="5"/>
  <c r="P236" i="5"/>
  <c r="O236" i="5"/>
  <c r="N236" i="5"/>
  <c r="M236" i="5"/>
  <c r="L236" i="5"/>
  <c r="K236" i="5"/>
  <c r="J236" i="5"/>
  <c r="I236" i="5"/>
  <c r="H236" i="5"/>
  <c r="AF235" i="5"/>
  <c r="AE235" i="5"/>
  <c r="AD235" i="5"/>
  <c r="AC235" i="5"/>
  <c r="AB235" i="5"/>
  <c r="AA235" i="5"/>
  <c r="Z235" i="5"/>
  <c r="Y235" i="5"/>
  <c r="X235" i="5"/>
  <c r="W235" i="5"/>
  <c r="V235" i="5"/>
  <c r="U235" i="5"/>
  <c r="T235" i="5"/>
  <c r="S235" i="5"/>
  <c r="R235" i="5"/>
  <c r="Q235" i="5"/>
  <c r="P235" i="5"/>
  <c r="O235" i="5"/>
  <c r="N235" i="5"/>
  <c r="M235" i="5"/>
  <c r="L235" i="5"/>
  <c r="K235" i="5"/>
  <c r="J235" i="5"/>
  <c r="I235" i="5"/>
  <c r="H235" i="5"/>
  <c r="AF234" i="5"/>
  <c r="AE234" i="5"/>
  <c r="AD234" i="5"/>
  <c r="AC234" i="5"/>
  <c r="AB234" i="5"/>
  <c r="AA234" i="5"/>
  <c r="Z234" i="5"/>
  <c r="Y234" i="5"/>
  <c r="X234" i="5"/>
  <c r="W234" i="5"/>
  <c r="V234" i="5"/>
  <c r="U234" i="5"/>
  <c r="T234" i="5"/>
  <c r="S234" i="5"/>
  <c r="R234" i="5"/>
  <c r="Q234" i="5"/>
  <c r="P234" i="5"/>
  <c r="O234" i="5"/>
  <c r="N234" i="5"/>
  <c r="M234" i="5"/>
  <c r="L234" i="5"/>
  <c r="K234" i="5"/>
  <c r="J234" i="5"/>
  <c r="I234" i="5"/>
  <c r="H234" i="5"/>
  <c r="AF233" i="5"/>
  <c r="AE233" i="5"/>
  <c r="AD233" i="5"/>
  <c r="AC233" i="5"/>
  <c r="AB233" i="5"/>
  <c r="AA233" i="5"/>
  <c r="Z233" i="5"/>
  <c r="Y233" i="5"/>
  <c r="X233" i="5"/>
  <c r="W233" i="5"/>
  <c r="V233" i="5"/>
  <c r="U233" i="5"/>
  <c r="T233" i="5"/>
  <c r="S233" i="5"/>
  <c r="R233" i="5"/>
  <c r="Q233" i="5"/>
  <c r="P233" i="5"/>
  <c r="O233" i="5"/>
  <c r="N233" i="5"/>
  <c r="M233" i="5"/>
  <c r="L233" i="5"/>
  <c r="K233" i="5"/>
  <c r="J233" i="5"/>
  <c r="I233" i="5"/>
  <c r="H233" i="5"/>
  <c r="AF232" i="5"/>
  <c r="AE232" i="5"/>
  <c r="AD232" i="5"/>
  <c r="AC232" i="5"/>
  <c r="AB232" i="5"/>
  <c r="AA232" i="5"/>
  <c r="Z232" i="5"/>
  <c r="Y232" i="5"/>
  <c r="X232" i="5"/>
  <c r="W232" i="5"/>
  <c r="V232" i="5"/>
  <c r="U232" i="5"/>
  <c r="T232" i="5"/>
  <c r="S232" i="5"/>
  <c r="R232" i="5"/>
  <c r="Q232" i="5"/>
  <c r="P232" i="5"/>
  <c r="O232" i="5"/>
  <c r="N232" i="5"/>
  <c r="M232" i="5"/>
  <c r="L232" i="5"/>
  <c r="K232" i="5"/>
  <c r="J232" i="5"/>
  <c r="I232" i="5"/>
  <c r="H232" i="5"/>
  <c r="AF231" i="5"/>
  <c r="AE231" i="5"/>
  <c r="AD231" i="5"/>
  <c r="AC231" i="5"/>
  <c r="AB231" i="5"/>
  <c r="AA231" i="5"/>
  <c r="Z231" i="5"/>
  <c r="Y231" i="5"/>
  <c r="X231" i="5"/>
  <c r="W231" i="5"/>
  <c r="V231" i="5"/>
  <c r="U231" i="5"/>
  <c r="T231" i="5"/>
  <c r="S231" i="5"/>
  <c r="R231" i="5"/>
  <c r="Q231" i="5"/>
  <c r="P231" i="5"/>
  <c r="O231" i="5"/>
  <c r="N231" i="5"/>
  <c r="M231" i="5"/>
  <c r="L231" i="5"/>
  <c r="K231" i="5"/>
  <c r="J231" i="5"/>
  <c r="I231" i="5"/>
  <c r="H231" i="5"/>
  <c r="AF230" i="5"/>
  <c r="AE230" i="5"/>
  <c r="AD230" i="5"/>
  <c r="AC230" i="5"/>
  <c r="AB230" i="5"/>
  <c r="AA230" i="5"/>
  <c r="Z230" i="5"/>
  <c r="Y230" i="5"/>
  <c r="X230" i="5"/>
  <c r="W230" i="5"/>
  <c r="V230" i="5"/>
  <c r="U230" i="5"/>
  <c r="T230" i="5"/>
  <c r="S230" i="5"/>
  <c r="R230" i="5"/>
  <c r="Q230" i="5"/>
  <c r="P230" i="5"/>
  <c r="O230" i="5"/>
  <c r="N230" i="5"/>
  <c r="M230" i="5"/>
  <c r="L230" i="5"/>
  <c r="K230" i="5"/>
  <c r="J230" i="5"/>
  <c r="I230" i="5"/>
  <c r="H230" i="5"/>
  <c r="AF229" i="5"/>
  <c r="AE229" i="5"/>
  <c r="AD229" i="5"/>
  <c r="AC229" i="5"/>
  <c r="AB229" i="5"/>
  <c r="AA229" i="5"/>
  <c r="Z229" i="5"/>
  <c r="Y229" i="5"/>
  <c r="X229" i="5"/>
  <c r="W229" i="5"/>
  <c r="V229" i="5"/>
  <c r="U229" i="5"/>
  <c r="T229" i="5"/>
  <c r="S229" i="5"/>
  <c r="R229" i="5"/>
  <c r="Q229" i="5"/>
  <c r="P229" i="5"/>
  <c r="O229" i="5"/>
  <c r="N229" i="5"/>
  <c r="M229" i="5"/>
  <c r="L229" i="5"/>
  <c r="K229" i="5"/>
  <c r="J229" i="5"/>
  <c r="I229" i="5"/>
  <c r="H229" i="5"/>
  <c r="AF228" i="5"/>
  <c r="AE228" i="5"/>
  <c r="AD228" i="5"/>
  <c r="AC228" i="5"/>
  <c r="AB228" i="5"/>
  <c r="AA228" i="5"/>
  <c r="Z228" i="5"/>
  <c r="Y228" i="5"/>
  <c r="X228" i="5"/>
  <c r="W228" i="5"/>
  <c r="V228" i="5"/>
  <c r="U228" i="5"/>
  <c r="T228" i="5"/>
  <c r="S228" i="5"/>
  <c r="R228" i="5"/>
  <c r="Q228" i="5"/>
  <c r="P228" i="5"/>
  <c r="O228" i="5"/>
  <c r="N228" i="5"/>
  <c r="M228" i="5"/>
  <c r="L228" i="5"/>
  <c r="K228" i="5"/>
  <c r="J228" i="5"/>
  <c r="I228" i="5"/>
  <c r="H228" i="5"/>
  <c r="AF227" i="5"/>
  <c r="AE227" i="5"/>
  <c r="AD227" i="5"/>
  <c r="AC227" i="5"/>
  <c r="AB227" i="5"/>
  <c r="AA227" i="5"/>
  <c r="Z227" i="5"/>
  <c r="Y227" i="5"/>
  <c r="X227" i="5"/>
  <c r="W227" i="5"/>
  <c r="V227" i="5"/>
  <c r="U227" i="5"/>
  <c r="T227" i="5"/>
  <c r="S227" i="5"/>
  <c r="R227" i="5"/>
  <c r="Q227" i="5"/>
  <c r="P227" i="5"/>
  <c r="O227" i="5"/>
  <c r="N227" i="5"/>
  <c r="M227" i="5"/>
  <c r="L227" i="5"/>
  <c r="K227" i="5"/>
  <c r="J227" i="5"/>
  <c r="I227" i="5"/>
  <c r="H227" i="5"/>
  <c r="AF226" i="5"/>
  <c r="AE226" i="5"/>
  <c r="AD226" i="5"/>
  <c r="AC226" i="5"/>
  <c r="AB226" i="5"/>
  <c r="AA226" i="5"/>
  <c r="Z226" i="5"/>
  <c r="Y226" i="5"/>
  <c r="X226" i="5"/>
  <c r="W226" i="5"/>
  <c r="V226" i="5"/>
  <c r="U226" i="5"/>
  <c r="T226" i="5"/>
  <c r="S226" i="5"/>
  <c r="R226" i="5"/>
  <c r="Q226" i="5"/>
  <c r="P226" i="5"/>
  <c r="O226" i="5"/>
  <c r="N226" i="5"/>
  <c r="M226" i="5"/>
  <c r="L226" i="5"/>
  <c r="K226" i="5"/>
  <c r="J226" i="5"/>
  <c r="I226" i="5"/>
  <c r="H226" i="5"/>
  <c r="AF225" i="5"/>
  <c r="AE225" i="5"/>
  <c r="AD225" i="5"/>
  <c r="AC225" i="5"/>
  <c r="AB225" i="5"/>
  <c r="AA225" i="5"/>
  <c r="Z225" i="5"/>
  <c r="Y225" i="5"/>
  <c r="X225" i="5"/>
  <c r="W225" i="5"/>
  <c r="V225" i="5"/>
  <c r="U225" i="5"/>
  <c r="T225" i="5"/>
  <c r="S225" i="5"/>
  <c r="R225" i="5"/>
  <c r="Q225" i="5"/>
  <c r="P225" i="5"/>
  <c r="O225" i="5"/>
  <c r="N225" i="5"/>
  <c r="M225" i="5"/>
  <c r="L225" i="5"/>
  <c r="K225" i="5"/>
  <c r="J225" i="5"/>
  <c r="I225" i="5"/>
  <c r="H225" i="5"/>
  <c r="AF224" i="5"/>
  <c r="AE224" i="5"/>
  <c r="AD224" i="5"/>
  <c r="AC224" i="5"/>
  <c r="AB224" i="5"/>
  <c r="AA224" i="5"/>
  <c r="Z224" i="5"/>
  <c r="Y224" i="5"/>
  <c r="X224" i="5"/>
  <c r="W224" i="5"/>
  <c r="V224" i="5"/>
  <c r="U224" i="5"/>
  <c r="T224" i="5"/>
  <c r="S224" i="5"/>
  <c r="R224" i="5"/>
  <c r="Q224" i="5"/>
  <c r="P224" i="5"/>
  <c r="O224" i="5"/>
  <c r="N224" i="5"/>
  <c r="M224" i="5"/>
  <c r="L224" i="5"/>
  <c r="K224" i="5"/>
  <c r="J224" i="5"/>
  <c r="I224" i="5"/>
  <c r="H224" i="5"/>
  <c r="AF223" i="5"/>
  <c r="AE223" i="5"/>
  <c r="AD223" i="5"/>
  <c r="AC223" i="5"/>
  <c r="AB223" i="5"/>
  <c r="AA223" i="5"/>
  <c r="Z223" i="5"/>
  <c r="Y223" i="5"/>
  <c r="X223" i="5"/>
  <c r="W223" i="5"/>
  <c r="V223" i="5"/>
  <c r="U223" i="5"/>
  <c r="T223" i="5"/>
  <c r="S223" i="5"/>
  <c r="R223" i="5"/>
  <c r="Q223" i="5"/>
  <c r="P223" i="5"/>
  <c r="O223" i="5"/>
  <c r="N223" i="5"/>
  <c r="M223" i="5"/>
  <c r="L223" i="5"/>
  <c r="K223" i="5"/>
  <c r="J223" i="5"/>
  <c r="I223" i="5"/>
  <c r="H223" i="5"/>
  <c r="AF222" i="5"/>
  <c r="AE222" i="5"/>
  <c r="AD222" i="5"/>
  <c r="AC222" i="5"/>
  <c r="AB222" i="5"/>
  <c r="AA222" i="5"/>
  <c r="Z222" i="5"/>
  <c r="Y222" i="5"/>
  <c r="X222" i="5"/>
  <c r="W222" i="5"/>
  <c r="V222" i="5"/>
  <c r="U222" i="5"/>
  <c r="T222" i="5"/>
  <c r="S222" i="5"/>
  <c r="R222" i="5"/>
  <c r="Q222" i="5"/>
  <c r="P222" i="5"/>
  <c r="O222" i="5"/>
  <c r="N222" i="5"/>
  <c r="M222" i="5"/>
  <c r="L222" i="5"/>
  <c r="K222" i="5"/>
  <c r="J222" i="5"/>
  <c r="I222" i="5"/>
  <c r="H222" i="5"/>
  <c r="AF221" i="5"/>
  <c r="AE221" i="5"/>
  <c r="AD221" i="5"/>
  <c r="AC221" i="5"/>
  <c r="AB221" i="5"/>
  <c r="AA221" i="5"/>
  <c r="Z221" i="5"/>
  <c r="Y221" i="5"/>
  <c r="X221" i="5"/>
  <c r="W221" i="5"/>
  <c r="V221" i="5"/>
  <c r="U221" i="5"/>
  <c r="T221" i="5"/>
  <c r="S221" i="5"/>
  <c r="R221" i="5"/>
  <c r="Q221" i="5"/>
  <c r="P221" i="5"/>
  <c r="O221" i="5"/>
  <c r="N221" i="5"/>
  <c r="M221" i="5"/>
  <c r="L221" i="5"/>
  <c r="K221" i="5"/>
  <c r="J221" i="5"/>
  <c r="I221" i="5"/>
  <c r="H221" i="5"/>
  <c r="AF220" i="5"/>
  <c r="AE220" i="5"/>
  <c r="AD220" i="5"/>
  <c r="AC220" i="5"/>
  <c r="AB220" i="5"/>
  <c r="AA220" i="5"/>
  <c r="Z220" i="5"/>
  <c r="Y220" i="5"/>
  <c r="X220" i="5"/>
  <c r="W220" i="5"/>
  <c r="V220" i="5"/>
  <c r="U220" i="5"/>
  <c r="T220" i="5"/>
  <c r="S220" i="5"/>
  <c r="R220" i="5"/>
  <c r="Q220" i="5"/>
  <c r="P220" i="5"/>
  <c r="O220" i="5"/>
  <c r="N220" i="5"/>
  <c r="M220" i="5"/>
  <c r="L220" i="5"/>
  <c r="K220" i="5"/>
  <c r="J220" i="5"/>
  <c r="I220" i="5"/>
  <c r="H220" i="5"/>
  <c r="AF219" i="5"/>
  <c r="AE219" i="5"/>
  <c r="AD219" i="5"/>
  <c r="AC219" i="5"/>
  <c r="AB219" i="5"/>
  <c r="AA219" i="5"/>
  <c r="Z219" i="5"/>
  <c r="Y219" i="5"/>
  <c r="X219" i="5"/>
  <c r="W219" i="5"/>
  <c r="V219" i="5"/>
  <c r="U219" i="5"/>
  <c r="T219" i="5"/>
  <c r="S219" i="5"/>
  <c r="R219" i="5"/>
  <c r="Q219" i="5"/>
  <c r="P219" i="5"/>
  <c r="O219" i="5"/>
  <c r="N219" i="5"/>
  <c r="M219" i="5"/>
  <c r="L219" i="5"/>
  <c r="K219" i="5"/>
  <c r="J219" i="5"/>
  <c r="I219" i="5"/>
  <c r="H219" i="5"/>
  <c r="AF218" i="5"/>
  <c r="AE218" i="5"/>
  <c r="AD218" i="5"/>
  <c r="AC218" i="5"/>
  <c r="AB218" i="5"/>
  <c r="AA218" i="5"/>
  <c r="Z218" i="5"/>
  <c r="Y218" i="5"/>
  <c r="X218" i="5"/>
  <c r="W218" i="5"/>
  <c r="V218" i="5"/>
  <c r="U218" i="5"/>
  <c r="T218" i="5"/>
  <c r="S218" i="5"/>
  <c r="R218" i="5"/>
  <c r="Q218" i="5"/>
  <c r="P218" i="5"/>
  <c r="O218" i="5"/>
  <c r="N218" i="5"/>
  <c r="M218" i="5"/>
  <c r="L218" i="5"/>
  <c r="K218" i="5"/>
  <c r="J218" i="5"/>
  <c r="I218" i="5"/>
  <c r="H218" i="5"/>
  <c r="AF217" i="5"/>
  <c r="AE217" i="5"/>
  <c r="AD217" i="5"/>
  <c r="AC217" i="5"/>
  <c r="AB217" i="5"/>
  <c r="AA217" i="5"/>
  <c r="Z217" i="5"/>
  <c r="Y217" i="5"/>
  <c r="X217" i="5"/>
  <c r="W217" i="5"/>
  <c r="V217" i="5"/>
  <c r="U217" i="5"/>
  <c r="T217" i="5"/>
  <c r="S217" i="5"/>
  <c r="R217" i="5"/>
  <c r="Q217" i="5"/>
  <c r="P217" i="5"/>
  <c r="O217" i="5"/>
  <c r="N217" i="5"/>
  <c r="M217" i="5"/>
  <c r="L217" i="5"/>
  <c r="K217" i="5"/>
  <c r="J217" i="5"/>
  <c r="I217" i="5"/>
  <c r="H217" i="5"/>
  <c r="AF216" i="5"/>
  <c r="AE216" i="5"/>
  <c r="AD216" i="5"/>
  <c r="AC216" i="5"/>
  <c r="AB216" i="5"/>
  <c r="AA216" i="5"/>
  <c r="Z216" i="5"/>
  <c r="Y216" i="5"/>
  <c r="X216" i="5"/>
  <c r="W216" i="5"/>
  <c r="V216" i="5"/>
  <c r="U216" i="5"/>
  <c r="T216" i="5"/>
  <c r="S216" i="5"/>
  <c r="R216" i="5"/>
  <c r="Q216" i="5"/>
  <c r="P216" i="5"/>
  <c r="O216" i="5"/>
  <c r="N216" i="5"/>
  <c r="M216" i="5"/>
  <c r="L216" i="5"/>
  <c r="K216" i="5"/>
  <c r="J216" i="5"/>
  <c r="I216" i="5"/>
  <c r="H216" i="5"/>
  <c r="AF215" i="5"/>
  <c r="AE215" i="5"/>
  <c r="AD215" i="5"/>
  <c r="AC215" i="5"/>
  <c r="AB215" i="5"/>
  <c r="AA215" i="5"/>
  <c r="Z215" i="5"/>
  <c r="Y215" i="5"/>
  <c r="X215" i="5"/>
  <c r="W215" i="5"/>
  <c r="V215" i="5"/>
  <c r="U215" i="5"/>
  <c r="T215" i="5"/>
  <c r="S215" i="5"/>
  <c r="R215" i="5"/>
  <c r="Q215" i="5"/>
  <c r="P215" i="5"/>
  <c r="O215" i="5"/>
  <c r="N215" i="5"/>
  <c r="M215" i="5"/>
  <c r="L215" i="5"/>
  <c r="K215" i="5"/>
  <c r="J215" i="5"/>
  <c r="I215" i="5"/>
  <c r="H215" i="5"/>
  <c r="AF214" i="5"/>
  <c r="AE214" i="5"/>
  <c r="AD214" i="5"/>
  <c r="AC214" i="5"/>
  <c r="AB214" i="5"/>
  <c r="AA214" i="5"/>
  <c r="Z214" i="5"/>
  <c r="Y214" i="5"/>
  <c r="X214" i="5"/>
  <c r="W214" i="5"/>
  <c r="V214" i="5"/>
  <c r="U214" i="5"/>
  <c r="T214" i="5"/>
  <c r="S214" i="5"/>
  <c r="R214" i="5"/>
  <c r="Q214" i="5"/>
  <c r="P214" i="5"/>
  <c r="O214" i="5"/>
  <c r="N214" i="5"/>
  <c r="M214" i="5"/>
  <c r="L214" i="5"/>
  <c r="K214" i="5"/>
  <c r="J214" i="5"/>
  <c r="I214" i="5"/>
  <c r="H214" i="5"/>
  <c r="AF213" i="5"/>
  <c r="AE213" i="5"/>
  <c r="AD213" i="5"/>
  <c r="AC213" i="5"/>
  <c r="AB213" i="5"/>
  <c r="AA213" i="5"/>
  <c r="Z213" i="5"/>
  <c r="Y213" i="5"/>
  <c r="X213" i="5"/>
  <c r="W213" i="5"/>
  <c r="V213" i="5"/>
  <c r="U213" i="5"/>
  <c r="T213" i="5"/>
  <c r="S213" i="5"/>
  <c r="R213" i="5"/>
  <c r="Q213" i="5"/>
  <c r="P213" i="5"/>
  <c r="O213" i="5"/>
  <c r="N213" i="5"/>
  <c r="M213" i="5"/>
  <c r="L213" i="5"/>
  <c r="K213" i="5"/>
  <c r="J213" i="5"/>
  <c r="I213" i="5"/>
  <c r="H213" i="5"/>
  <c r="AF212" i="5"/>
  <c r="AE212" i="5"/>
  <c r="AD212" i="5"/>
  <c r="AC212" i="5"/>
  <c r="AB212" i="5"/>
  <c r="AA212" i="5"/>
  <c r="Z212" i="5"/>
  <c r="Y212" i="5"/>
  <c r="X212" i="5"/>
  <c r="W212" i="5"/>
  <c r="V212" i="5"/>
  <c r="U212" i="5"/>
  <c r="T212" i="5"/>
  <c r="S212" i="5"/>
  <c r="R212" i="5"/>
  <c r="Q212" i="5"/>
  <c r="P212" i="5"/>
  <c r="O212" i="5"/>
  <c r="N212" i="5"/>
  <c r="M212" i="5"/>
  <c r="L212" i="5"/>
  <c r="K212" i="5"/>
  <c r="J212" i="5"/>
  <c r="I212" i="5"/>
  <c r="H212" i="5"/>
  <c r="AF211" i="5"/>
  <c r="AE211" i="5"/>
  <c r="AD211" i="5"/>
  <c r="AC211" i="5"/>
  <c r="AB211" i="5"/>
  <c r="AA211" i="5"/>
  <c r="Z211" i="5"/>
  <c r="Y211" i="5"/>
  <c r="X211" i="5"/>
  <c r="W211" i="5"/>
  <c r="V211" i="5"/>
  <c r="U211" i="5"/>
  <c r="T211" i="5"/>
  <c r="S211" i="5"/>
  <c r="R211" i="5"/>
  <c r="Q211" i="5"/>
  <c r="P211" i="5"/>
  <c r="O211" i="5"/>
  <c r="N211" i="5"/>
  <c r="M211" i="5"/>
  <c r="L211" i="5"/>
  <c r="K211" i="5"/>
  <c r="J211" i="5"/>
  <c r="I211" i="5"/>
  <c r="H211" i="5"/>
  <c r="AF210" i="5"/>
  <c r="AE210" i="5"/>
  <c r="AD210" i="5"/>
  <c r="AC210" i="5"/>
  <c r="AB210" i="5"/>
  <c r="AA210" i="5"/>
  <c r="Z210" i="5"/>
  <c r="Y210" i="5"/>
  <c r="X210" i="5"/>
  <c r="W210" i="5"/>
  <c r="V210" i="5"/>
  <c r="U210" i="5"/>
  <c r="T210" i="5"/>
  <c r="S210" i="5"/>
  <c r="R210" i="5"/>
  <c r="Q210" i="5"/>
  <c r="P210" i="5"/>
  <c r="O210" i="5"/>
  <c r="N210" i="5"/>
  <c r="M210" i="5"/>
  <c r="L210" i="5"/>
  <c r="K210" i="5"/>
  <c r="J210" i="5"/>
  <c r="I210" i="5"/>
  <c r="H210" i="5"/>
  <c r="AF209" i="5"/>
  <c r="AE209" i="5"/>
  <c r="AD209" i="5"/>
  <c r="AC209" i="5"/>
  <c r="AB209" i="5"/>
  <c r="AA209" i="5"/>
  <c r="Z209" i="5"/>
  <c r="Y209" i="5"/>
  <c r="X209" i="5"/>
  <c r="W209" i="5"/>
  <c r="V209" i="5"/>
  <c r="U209" i="5"/>
  <c r="T209" i="5"/>
  <c r="S209" i="5"/>
  <c r="R209" i="5"/>
  <c r="Q209" i="5"/>
  <c r="P209" i="5"/>
  <c r="O209" i="5"/>
  <c r="N209" i="5"/>
  <c r="M209" i="5"/>
  <c r="L209" i="5"/>
  <c r="K209" i="5"/>
  <c r="J209" i="5"/>
  <c r="I209" i="5"/>
  <c r="H209" i="5"/>
  <c r="AF208" i="5"/>
  <c r="AE208" i="5"/>
  <c r="AD208" i="5"/>
  <c r="AC208" i="5"/>
  <c r="AB208" i="5"/>
  <c r="AA208" i="5"/>
  <c r="Z208" i="5"/>
  <c r="Y208" i="5"/>
  <c r="X208" i="5"/>
  <c r="W208" i="5"/>
  <c r="V208" i="5"/>
  <c r="U208" i="5"/>
  <c r="T208" i="5"/>
  <c r="S208" i="5"/>
  <c r="R208" i="5"/>
  <c r="Q208" i="5"/>
  <c r="P208" i="5"/>
  <c r="O208" i="5"/>
  <c r="N208" i="5"/>
  <c r="M208" i="5"/>
  <c r="L208" i="5"/>
  <c r="K208" i="5"/>
  <c r="J208" i="5"/>
  <c r="I208" i="5"/>
  <c r="H208" i="5"/>
  <c r="AF207" i="5"/>
  <c r="AE207" i="5"/>
  <c r="AD207" i="5"/>
  <c r="AC207" i="5"/>
  <c r="AB207" i="5"/>
  <c r="AA207" i="5"/>
  <c r="Z207" i="5"/>
  <c r="Y207" i="5"/>
  <c r="X207" i="5"/>
  <c r="W207" i="5"/>
  <c r="V207" i="5"/>
  <c r="U207" i="5"/>
  <c r="T207" i="5"/>
  <c r="S207" i="5"/>
  <c r="R207" i="5"/>
  <c r="Q207" i="5"/>
  <c r="P207" i="5"/>
  <c r="O207" i="5"/>
  <c r="N207" i="5"/>
  <c r="M207" i="5"/>
  <c r="L207" i="5"/>
  <c r="K207" i="5"/>
  <c r="J207" i="5"/>
  <c r="I207" i="5"/>
  <c r="H207" i="5"/>
  <c r="AF206" i="5"/>
  <c r="AE206" i="5"/>
  <c r="AD206" i="5"/>
  <c r="AC206" i="5"/>
  <c r="AB206" i="5"/>
  <c r="AA206" i="5"/>
  <c r="Z206" i="5"/>
  <c r="Y206" i="5"/>
  <c r="X206" i="5"/>
  <c r="W206" i="5"/>
  <c r="V206" i="5"/>
  <c r="U206" i="5"/>
  <c r="T206" i="5"/>
  <c r="S206" i="5"/>
  <c r="R206" i="5"/>
  <c r="Q206" i="5"/>
  <c r="P206" i="5"/>
  <c r="O206" i="5"/>
  <c r="N206" i="5"/>
  <c r="M206" i="5"/>
  <c r="L206" i="5"/>
  <c r="K206" i="5"/>
  <c r="J206" i="5"/>
  <c r="I206" i="5"/>
  <c r="H206" i="5"/>
  <c r="AF205" i="5"/>
  <c r="AE205" i="5"/>
  <c r="AD205" i="5"/>
  <c r="AC205" i="5"/>
  <c r="AB205" i="5"/>
  <c r="AA205" i="5"/>
  <c r="Z205" i="5"/>
  <c r="Y205" i="5"/>
  <c r="X205" i="5"/>
  <c r="W205" i="5"/>
  <c r="V205" i="5"/>
  <c r="U205" i="5"/>
  <c r="T205" i="5"/>
  <c r="S205" i="5"/>
  <c r="R205" i="5"/>
  <c r="Q205" i="5"/>
  <c r="P205" i="5"/>
  <c r="O205" i="5"/>
  <c r="N205" i="5"/>
  <c r="M205" i="5"/>
  <c r="L205" i="5"/>
  <c r="K205" i="5"/>
  <c r="J205" i="5"/>
  <c r="I205" i="5"/>
  <c r="H205" i="5"/>
  <c r="AF204" i="5"/>
  <c r="AE204" i="5"/>
  <c r="AD204" i="5"/>
  <c r="AC204" i="5"/>
  <c r="AB204" i="5"/>
  <c r="AA204" i="5"/>
  <c r="Z204" i="5"/>
  <c r="Y204" i="5"/>
  <c r="X204" i="5"/>
  <c r="W204" i="5"/>
  <c r="V204" i="5"/>
  <c r="U204" i="5"/>
  <c r="T204" i="5"/>
  <c r="S204" i="5"/>
  <c r="R204" i="5"/>
  <c r="Q204" i="5"/>
  <c r="P204" i="5"/>
  <c r="O204" i="5"/>
  <c r="N204" i="5"/>
  <c r="M204" i="5"/>
  <c r="L204" i="5"/>
  <c r="K204" i="5"/>
  <c r="J204" i="5"/>
  <c r="I204" i="5"/>
  <c r="H204" i="5"/>
  <c r="AF203" i="5"/>
  <c r="AE203" i="5"/>
  <c r="AD203" i="5"/>
  <c r="AC203" i="5"/>
  <c r="AB203" i="5"/>
  <c r="AA203" i="5"/>
  <c r="Z203" i="5"/>
  <c r="Y203" i="5"/>
  <c r="X203" i="5"/>
  <c r="W203" i="5"/>
  <c r="V203" i="5"/>
  <c r="U203" i="5"/>
  <c r="T203" i="5"/>
  <c r="S203" i="5"/>
  <c r="R203" i="5"/>
  <c r="Q203" i="5"/>
  <c r="P203" i="5"/>
  <c r="O203" i="5"/>
  <c r="N203" i="5"/>
  <c r="M203" i="5"/>
  <c r="L203" i="5"/>
  <c r="K203" i="5"/>
  <c r="J203" i="5"/>
  <c r="I203" i="5"/>
  <c r="H203" i="5"/>
  <c r="AF202" i="5"/>
  <c r="AE202" i="5"/>
  <c r="AD202" i="5"/>
  <c r="AC202" i="5"/>
  <c r="AB202" i="5"/>
  <c r="AA202" i="5"/>
  <c r="Z202" i="5"/>
  <c r="Y202" i="5"/>
  <c r="X202" i="5"/>
  <c r="W202" i="5"/>
  <c r="V202" i="5"/>
  <c r="U202" i="5"/>
  <c r="T202" i="5"/>
  <c r="S202" i="5"/>
  <c r="R202" i="5"/>
  <c r="Q202" i="5"/>
  <c r="P202" i="5"/>
  <c r="O202" i="5"/>
  <c r="N202" i="5"/>
  <c r="M202" i="5"/>
  <c r="L202" i="5"/>
  <c r="K202" i="5"/>
  <c r="J202" i="5"/>
  <c r="I202" i="5"/>
  <c r="H202" i="5"/>
  <c r="AF201" i="5"/>
  <c r="AE201" i="5"/>
  <c r="AD201" i="5"/>
  <c r="AC201" i="5"/>
  <c r="AB201" i="5"/>
  <c r="AA201" i="5"/>
  <c r="Z201" i="5"/>
  <c r="Y201" i="5"/>
  <c r="X201" i="5"/>
  <c r="W201" i="5"/>
  <c r="V201" i="5"/>
  <c r="U201" i="5"/>
  <c r="T201" i="5"/>
  <c r="S201" i="5"/>
  <c r="R201" i="5"/>
  <c r="Q201" i="5"/>
  <c r="P201" i="5"/>
  <c r="O201" i="5"/>
  <c r="N201" i="5"/>
  <c r="M201" i="5"/>
  <c r="L201" i="5"/>
  <c r="K201" i="5"/>
  <c r="J201" i="5"/>
  <c r="I201" i="5"/>
  <c r="H201" i="5"/>
  <c r="AF200" i="5"/>
  <c r="AE200" i="5"/>
  <c r="AD200" i="5"/>
  <c r="AC200" i="5"/>
  <c r="AB200" i="5"/>
  <c r="AA200" i="5"/>
  <c r="Z200" i="5"/>
  <c r="Y200" i="5"/>
  <c r="X200" i="5"/>
  <c r="W200" i="5"/>
  <c r="V200" i="5"/>
  <c r="U200" i="5"/>
  <c r="T200" i="5"/>
  <c r="S200" i="5"/>
  <c r="R200" i="5"/>
  <c r="Q200" i="5"/>
  <c r="P200" i="5"/>
  <c r="O200" i="5"/>
  <c r="N200" i="5"/>
  <c r="M200" i="5"/>
  <c r="L200" i="5"/>
  <c r="K200" i="5"/>
  <c r="J200" i="5"/>
  <c r="I200" i="5"/>
  <c r="H200" i="5"/>
  <c r="AF199" i="5"/>
  <c r="AE199" i="5"/>
  <c r="AD199" i="5"/>
  <c r="AC199" i="5"/>
  <c r="AB199" i="5"/>
  <c r="AA199" i="5"/>
  <c r="Z199" i="5"/>
  <c r="Y199" i="5"/>
  <c r="X199" i="5"/>
  <c r="W199" i="5"/>
  <c r="V199" i="5"/>
  <c r="U199" i="5"/>
  <c r="T199" i="5"/>
  <c r="S199" i="5"/>
  <c r="R199" i="5"/>
  <c r="Q199" i="5"/>
  <c r="P199" i="5"/>
  <c r="O199" i="5"/>
  <c r="N199" i="5"/>
  <c r="M199" i="5"/>
  <c r="L199" i="5"/>
  <c r="K199" i="5"/>
  <c r="J199" i="5"/>
  <c r="I199" i="5"/>
  <c r="H199" i="5"/>
  <c r="AF198" i="5"/>
  <c r="AE198" i="5"/>
  <c r="AD198" i="5"/>
  <c r="AC198" i="5"/>
  <c r="AB198" i="5"/>
  <c r="AA198" i="5"/>
  <c r="Z198" i="5"/>
  <c r="Y198" i="5"/>
  <c r="X198" i="5"/>
  <c r="W198" i="5"/>
  <c r="V198" i="5"/>
  <c r="U198" i="5"/>
  <c r="T198" i="5"/>
  <c r="S198" i="5"/>
  <c r="R198" i="5"/>
  <c r="Q198" i="5"/>
  <c r="P198" i="5"/>
  <c r="O198" i="5"/>
  <c r="N198" i="5"/>
  <c r="M198" i="5"/>
  <c r="L198" i="5"/>
  <c r="K198" i="5"/>
  <c r="J198" i="5"/>
  <c r="I198" i="5"/>
  <c r="H198" i="5"/>
  <c r="AF197" i="5"/>
  <c r="AE197" i="5"/>
  <c r="AD197" i="5"/>
  <c r="AC197" i="5"/>
  <c r="AB197" i="5"/>
  <c r="AA197" i="5"/>
  <c r="Z197" i="5"/>
  <c r="Y197" i="5"/>
  <c r="X197" i="5"/>
  <c r="W197" i="5"/>
  <c r="V197" i="5"/>
  <c r="U197" i="5"/>
  <c r="T197" i="5"/>
  <c r="S197" i="5"/>
  <c r="R197" i="5"/>
  <c r="Q197" i="5"/>
  <c r="P197" i="5"/>
  <c r="O197" i="5"/>
  <c r="N197" i="5"/>
  <c r="M197" i="5"/>
  <c r="L197" i="5"/>
  <c r="K197" i="5"/>
  <c r="J197" i="5"/>
  <c r="I197" i="5"/>
  <c r="H197" i="5"/>
  <c r="AF196" i="5"/>
  <c r="AE196" i="5"/>
  <c r="AD196" i="5"/>
  <c r="AC196" i="5"/>
  <c r="AB196" i="5"/>
  <c r="AA196" i="5"/>
  <c r="Z196" i="5"/>
  <c r="Y196" i="5"/>
  <c r="X196" i="5"/>
  <c r="W196" i="5"/>
  <c r="V196" i="5"/>
  <c r="U196" i="5"/>
  <c r="T196" i="5"/>
  <c r="S196" i="5"/>
  <c r="R196" i="5"/>
  <c r="Q196" i="5"/>
  <c r="P196" i="5"/>
  <c r="O196" i="5"/>
  <c r="N196" i="5"/>
  <c r="M196" i="5"/>
  <c r="L196" i="5"/>
  <c r="K196" i="5"/>
  <c r="J196" i="5"/>
  <c r="I196" i="5"/>
  <c r="H196" i="5"/>
  <c r="AF195" i="5"/>
  <c r="AE195" i="5"/>
  <c r="AD195" i="5"/>
  <c r="AC195" i="5"/>
  <c r="AB195" i="5"/>
  <c r="AA195" i="5"/>
  <c r="Z195" i="5"/>
  <c r="Y195" i="5"/>
  <c r="X195" i="5"/>
  <c r="W195" i="5"/>
  <c r="V195" i="5"/>
  <c r="U195" i="5"/>
  <c r="T195" i="5"/>
  <c r="S195" i="5"/>
  <c r="R195" i="5"/>
  <c r="Q195" i="5"/>
  <c r="P195" i="5"/>
  <c r="O195" i="5"/>
  <c r="N195" i="5"/>
  <c r="M195" i="5"/>
  <c r="L195" i="5"/>
  <c r="K195" i="5"/>
  <c r="J195" i="5"/>
  <c r="I195" i="5"/>
  <c r="H195" i="5"/>
  <c r="AF194" i="5"/>
  <c r="AE194" i="5"/>
  <c r="AD194" i="5"/>
  <c r="AC194" i="5"/>
  <c r="AB194" i="5"/>
  <c r="AA194" i="5"/>
  <c r="Z194" i="5"/>
  <c r="Y194" i="5"/>
  <c r="X194" i="5"/>
  <c r="W194" i="5"/>
  <c r="V194" i="5"/>
  <c r="U194" i="5"/>
  <c r="T194" i="5"/>
  <c r="S194" i="5"/>
  <c r="R194" i="5"/>
  <c r="Q194" i="5"/>
  <c r="P194" i="5"/>
  <c r="O194" i="5"/>
  <c r="N194" i="5"/>
  <c r="M194" i="5"/>
  <c r="L194" i="5"/>
  <c r="K194" i="5"/>
  <c r="J194" i="5"/>
  <c r="I194" i="5"/>
  <c r="H194" i="5"/>
  <c r="AF193" i="5"/>
  <c r="AE193" i="5"/>
  <c r="AD193" i="5"/>
  <c r="AC193" i="5"/>
  <c r="AB193" i="5"/>
  <c r="AA193" i="5"/>
  <c r="Z193" i="5"/>
  <c r="Y193" i="5"/>
  <c r="X193" i="5"/>
  <c r="W193" i="5"/>
  <c r="V193" i="5"/>
  <c r="U193" i="5"/>
  <c r="T193" i="5"/>
  <c r="S193" i="5"/>
  <c r="R193" i="5"/>
  <c r="Q193" i="5"/>
  <c r="P193" i="5"/>
  <c r="O193" i="5"/>
  <c r="N193" i="5"/>
  <c r="M193" i="5"/>
  <c r="L193" i="5"/>
  <c r="K193" i="5"/>
  <c r="J193" i="5"/>
  <c r="I193" i="5"/>
  <c r="H193" i="5"/>
  <c r="AF192" i="5"/>
  <c r="AE192" i="5"/>
  <c r="AD192" i="5"/>
  <c r="AC192" i="5"/>
  <c r="AB192" i="5"/>
  <c r="AA192" i="5"/>
  <c r="Z192" i="5"/>
  <c r="Y192" i="5"/>
  <c r="X192" i="5"/>
  <c r="W192" i="5"/>
  <c r="V192" i="5"/>
  <c r="U192" i="5"/>
  <c r="T192" i="5"/>
  <c r="S192" i="5"/>
  <c r="R192" i="5"/>
  <c r="Q192" i="5"/>
  <c r="P192" i="5"/>
  <c r="O192" i="5"/>
  <c r="N192" i="5"/>
  <c r="M192" i="5"/>
  <c r="L192" i="5"/>
  <c r="K192" i="5"/>
  <c r="J192" i="5"/>
  <c r="I192" i="5"/>
  <c r="H192" i="5"/>
  <c r="AF191" i="5"/>
  <c r="AE191" i="5"/>
  <c r="AD191" i="5"/>
  <c r="AC191" i="5"/>
  <c r="AB191" i="5"/>
  <c r="AA191" i="5"/>
  <c r="Z191" i="5"/>
  <c r="Y191" i="5"/>
  <c r="X191" i="5"/>
  <c r="W191" i="5"/>
  <c r="V191" i="5"/>
  <c r="U191" i="5"/>
  <c r="T191" i="5"/>
  <c r="S191" i="5"/>
  <c r="R191" i="5"/>
  <c r="Q191" i="5"/>
  <c r="P191" i="5"/>
  <c r="O191" i="5"/>
  <c r="N191" i="5"/>
  <c r="M191" i="5"/>
  <c r="L191" i="5"/>
  <c r="K191" i="5"/>
  <c r="J191" i="5"/>
  <c r="I191" i="5"/>
  <c r="H191" i="5"/>
  <c r="AF190" i="5"/>
  <c r="AE190" i="5"/>
  <c r="AD190" i="5"/>
  <c r="AC190" i="5"/>
  <c r="AB190" i="5"/>
  <c r="AA190" i="5"/>
  <c r="Z190" i="5"/>
  <c r="Y190" i="5"/>
  <c r="X190" i="5"/>
  <c r="W190" i="5"/>
  <c r="V190" i="5"/>
  <c r="U190" i="5"/>
  <c r="T190" i="5"/>
  <c r="S190" i="5"/>
  <c r="R190" i="5"/>
  <c r="Q190" i="5"/>
  <c r="P190" i="5"/>
  <c r="O190" i="5"/>
  <c r="N190" i="5"/>
  <c r="M190" i="5"/>
  <c r="L190" i="5"/>
  <c r="K190" i="5"/>
  <c r="J190" i="5"/>
  <c r="I190" i="5"/>
  <c r="H190" i="5"/>
  <c r="AF189" i="5"/>
  <c r="AE189" i="5"/>
  <c r="AD189" i="5"/>
  <c r="AC189" i="5"/>
  <c r="AB189" i="5"/>
  <c r="AA189" i="5"/>
  <c r="Z189" i="5"/>
  <c r="Y189" i="5"/>
  <c r="X189" i="5"/>
  <c r="W189" i="5"/>
  <c r="V189" i="5"/>
  <c r="U189" i="5"/>
  <c r="T189" i="5"/>
  <c r="S189" i="5"/>
  <c r="R189" i="5"/>
  <c r="Q189" i="5"/>
  <c r="P189" i="5"/>
  <c r="O189" i="5"/>
  <c r="N189" i="5"/>
  <c r="M189" i="5"/>
  <c r="L189" i="5"/>
  <c r="K189" i="5"/>
  <c r="J189" i="5"/>
  <c r="I189" i="5"/>
  <c r="H189" i="5"/>
  <c r="AF188" i="5"/>
  <c r="AE188" i="5"/>
  <c r="AD188" i="5"/>
  <c r="AC188" i="5"/>
  <c r="AB188" i="5"/>
  <c r="AA188" i="5"/>
  <c r="Z188" i="5"/>
  <c r="Y188" i="5"/>
  <c r="X188" i="5"/>
  <c r="W188" i="5"/>
  <c r="V188" i="5"/>
  <c r="U188" i="5"/>
  <c r="T188" i="5"/>
  <c r="S188" i="5"/>
  <c r="R188" i="5"/>
  <c r="Q188" i="5"/>
  <c r="P188" i="5"/>
  <c r="O188" i="5"/>
  <c r="N188" i="5"/>
  <c r="M188" i="5"/>
  <c r="L188" i="5"/>
  <c r="K188" i="5"/>
  <c r="J188" i="5"/>
  <c r="I188" i="5"/>
  <c r="H188" i="5"/>
  <c r="AF187" i="5"/>
  <c r="AE187" i="5"/>
  <c r="AD187" i="5"/>
  <c r="AC187" i="5"/>
  <c r="AB187" i="5"/>
  <c r="AA187" i="5"/>
  <c r="Z187" i="5"/>
  <c r="Y187" i="5"/>
  <c r="X187" i="5"/>
  <c r="W187" i="5"/>
  <c r="V187" i="5"/>
  <c r="U187" i="5"/>
  <c r="T187" i="5"/>
  <c r="S187" i="5"/>
  <c r="R187" i="5"/>
  <c r="Q187" i="5"/>
  <c r="P187" i="5"/>
  <c r="O187" i="5"/>
  <c r="N187" i="5"/>
  <c r="M187" i="5"/>
  <c r="L187" i="5"/>
  <c r="K187" i="5"/>
  <c r="J187" i="5"/>
  <c r="I187" i="5"/>
  <c r="H187" i="5"/>
  <c r="AF186" i="5"/>
  <c r="AE186" i="5"/>
  <c r="AD186" i="5"/>
  <c r="AC186" i="5"/>
  <c r="AB186" i="5"/>
  <c r="AA186" i="5"/>
  <c r="Z186" i="5"/>
  <c r="Y186" i="5"/>
  <c r="X186" i="5"/>
  <c r="W186" i="5"/>
  <c r="V186" i="5"/>
  <c r="U186" i="5"/>
  <c r="T186" i="5"/>
  <c r="S186" i="5"/>
  <c r="R186" i="5"/>
  <c r="Q186" i="5"/>
  <c r="P186" i="5"/>
  <c r="O186" i="5"/>
  <c r="N186" i="5"/>
  <c r="M186" i="5"/>
  <c r="L186" i="5"/>
  <c r="K186" i="5"/>
  <c r="J186" i="5"/>
  <c r="I186" i="5"/>
  <c r="H186" i="5"/>
  <c r="AF185" i="5"/>
  <c r="AE185" i="5"/>
  <c r="AD185" i="5"/>
  <c r="AC185" i="5"/>
  <c r="AB185" i="5"/>
  <c r="AA185" i="5"/>
  <c r="Z185" i="5"/>
  <c r="Y185" i="5"/>
  <c r="X185" i="5"/>
  <c r="W185" i="5"/>
  <c r="V185" i="5"/>
  <c r="U185" i="5"/>
  <c r="T185" i="5"/>
  <c r="S185" i="5"/>
  <c r="R185" i="5"/>
  <c r="Q185" i="5"/>
  <c r="P185" i="5"/>
  <c r="O185" i="5"/>
  <c r="N185" i="5"/>
  <c r="M185" i="5"/>
  <c r="L185" i="5"/>
  <c r="K185" i="5"/>
  <c r="J185" i="5"/>
  <c r="I185" i="5"/>
  <c r="H185" i="5"/>
  <c r="AF184" i="5"/>
  <c r="AE184" i="5"/>
  <c r="AD184" i="5"/>
  <c r="AC184" i="5"/>
  <c r="AB184" i="5"/>
  <c r="AA184" i="5"/>
  <c r="Z184" i="5"/>
  <c r="Y184" i="5"/>
  <c r="X184" i="5"/>
  <c r="W184" i="5"/>
  <c r="V184" i="5"/>
  <c r="U184" i="5"/>
  <c r="T184" i="5"/>
  <c r="S184" i="5"/>
  <c r="R184" i="5"/>
  <c r="Q184" i="5"/>
  <c r="P184" i="5"/>
  <c r="O184" i="5"/>
  <c r="N184" i="5"/>
  <c r="M184" i="5"/>
  <c r="L184" i="5"/>
  <c r="K184" i="5"/>
  <c r="J184" i="5"/>
  <c r="I184" i="5"/>
  <c r="H184" i="5"/>
  <c r="AF183" i="5"/>
  <c r="AE183" i="5"/>
  <c r="AD183" i="5"/>
  <c r="AC183" i="5"/>
  <c r="AB183" i="5"/>
  <c r="AA183" i="5"/>
  <c r="Z183" i="5"/>
  <c r="Y183" i="5"/>
  <c r="X183" i="5"/>
  <c r="W183" i="5"/>
  <c r="V183" i="5"/>
  <c r="U183" i="5"/>
  <c r="T183" i="5"/>
  <c r="S183" i="5"/>
  <c r="R183" i="5"/>
  <c r="Q183" i="5"/>
  <c r="P183" i="5"/>
  <c r="O183" i="5"/>
  <c r="N183" i="5"/>
  <c r="M183" i="5"/>
  <c r="L183" i="5"/>
  <c r="K183" i="5"/>
  <c r="J183" i="5"/>
  <c r="I183" i="5"/>
  <c r="H183" i="5"/>
  <c r="AF182" i="5"/>
  <c r="AE182" i="5"/>
  <c r="AD182" i="5"/>
  <c r="AC182" i="5"/>
  <c r="AB182" i="5"/>
  <c r="AA182" i="5"/>
  <c r="Z182" i="5"/>
  <c r="Y182" i="5"/>
  <c r="X182" i="5"/>
  <c r="W182" i="5"/>
  <c r="V182" i="5"/>
  <c r="U182" i="5"/>
  <c r="T182" i="5"/>
  <c r="S182" i="5"/>
  <c r="R182" i="5"/>
  <c r="Q182" i="5"/>
  <c r="P182" i="5"/>
  <c r="O182" i="5"/>
  <c r="N182" i="5"/>
  <c r="M182" i="5"/>
  <c r="L182" i="5"/>
  <c r="K182" i="5"/>
  <c r="J182" i="5"/>
  <c r="I182" i="5"/>
  <c r="H182" i="5"/>
  <c r="AF181" i="5"/>
  <c r="AE181" i="5"/>
  <c r="AD181" i="5"/>
  <c r="AC181" i="5"/>
  <c r="AB181" i="5"/>
  <c r="AA181" i="5"/>
  <c r="Z181" i="5"/>
  <c r="Y181" i="5"/>
  <c r="X181" i="5"/>
  <c r="W181" i="5"/>
  <c r="V181" i="5"/>
  <c r="U181" i="5"/>
  <c r="T181" i="5"/>
  <c r="S181" i="5"/>
  <c r="R181" i="5"/>
  <c r="Q181" i="5"/>
  <c r="P181" i="5"/>
  <c r="O181" i="5"/>
  <c r="N181" i="5"/>
  <c r="M181" i="5"/>
  <c r="L181" i="5"/>
  <c r="K181" i="5"/>
  <c r="J181" i="5"/>
  <c r="I181" i="5"/>
  <c r="H181" i="5"/>
  <c r="AF180" i="5"/>
  <c r="AE180" i="5"/>
  <c r="AD180" i="5"/>
  <c r="AC180" i="5"/>
  <c r="AB180" i="5"/>
  <c r="AA180" i="5"/>
  <c r="Z180" i="5"/>
  <c r="Y180" i="5"/>
  <c r="X180" i="5"/>
  <c r="W180" i="5"/>
  <c r="V180" i="5"/>
  <c r="U180" i="5"/>
  <c r="T180" i="5"/>
  <c r="S180" i="5"/>
  <c r="R180" i="5"/>
  <c r="Q180" i="5"/>
  <c r="P180" i="5"/>
  <c r="O180" i="5"/>
  <c r="N180" i="5"/>
  <c r="M180" i="5"/>
  <c r="L180" i="5"/>
  <c r="K180" i="5"/>
  <c r="J180" i="5"/>
  <c r="I180" i="5"/>
  <c r="H180" i="5"/>
  <c r="AF179" i="5"/>
  <c r="AE179" i="5"/>
  <c r="AD179" i="5"/>
  <c r="AC179" i="5"/>
  <c r="AB179" i="5"/>
  <c r="AA179" i="5"/>
  <c r="Z179" i="5"/>
  <c r="Y179" i="5"/>
  <c r="X179" i="5"/>
  <c r="W179" i="5"/>
  <c r="V179" i="5"/>
  <c r="U179" i="5"/>
  <c r="T179" i="5"/>
  <c r="S179" i="5"/>
  <c r="R179" i="5"/>
  <c r="Q179" i="5"/>
  <c r="P179" i="5"/>
  <c r="O179" i="5"/>
  <c r="N179" i="5"/>
  <c r="M179" i="5"/>
  <c r="L179" i="5"/>
  <c r="K179" i="5"/>
  <c r="J179" i="5"/>
  <c r="I179" i="5"/>
  <c r="H179" i="5"/>
  <c r="AF178" i="5"/>
  <c r="AE178" i="5"/>
  <c r="AD178" i="5"/>
  <c r="AC178" i="5"/>
  <c r="AB178" i="5"/>
  <c r="AA178" i="5"/>
  <c r="Z178" i="5"/>
  <c r="Y178" i="5"/>
  <c r="X178" i="5"/>
  <c r="W178" i="5"/>
  <c r="V178" i="5"/>
  <c r="U178" i="5"/>
  <c r="T178" i="5"/>
  <c r="S178" i="5"/>
  <c r="R178" i="5"/>
  <c r="Q178" i="5"/>
  <c r="P178" i="5"/>
  <c r="O178" i="5"/>
  <c r="N178" i="5"/>
  <c r="M178" i="5"/>
  <c r="L178" i="5"/>
  <c r="K178" i="5"/>
  <c r="J178" i="5"/>
  <c r="I178" i="5"/>
  <c r="H178" i="5"/>
  <c r="AF177" i="5"/>
  <c r="AE177" i="5"/>
  <c r="AD177" i="5"/>
  <c r="AC177" i="5"/>
  <c r="AB177" i="5"/>
  <c r="AA177" i="5"/>
  <c r="Z177" i="5"/>
  <c r="Y177" i="5"/>
  <c r="X177" i="5"/>
  <c r="W177" i="5"/>
  <c r="V177" i="5"/>
  <c r="U177" i="5"/>
  <c r="T177" i="5"/>
  <c r="S177" i="5"/>
  <c r="R177" i="5"/>
  <c r="Q177" i="5"/>
  <c r="P177" i="5"/>
  <c r="O177" i="5"/>
  <c r="N177" i="5"/>
  <c r="M177" i="5"/>
  <c r="L177" i="5"/>
  <c r="K177" i="5"/>
  <c r="J177" i="5"/>
  <c r="I177" i="5"/>
  <c r="H177" i="5"/>
  <c r="AF176" i="5"/>
  <c r="AE176" i="5"/>
  <c r="AD176" i="5"/>
  <c r="AC176" i="5"/>
  <c r="AB176" i="5"/>
  <c r="AA176" i="5"/>
  <c r="Z176" i="5"/>
  <c r="Y176" i="5"/>
  <c r="X176" i="5"/>
  <c r="W176" i="5"/>
  <c r="V176" i="5"/>
  <c r="U176" i="5"/>
  <c r="T176" i="5"/>
  <c r="S176" i="5"/>
  <c r="R176" i="5"/>
  <c r="Q176" i="5"/>
  <c r="P176" i="5"/>
  <c r="O176" i="5"/>
  <c r="N176" i="5"/>
  <c r="M176" i="5"/>
  <c r="L176" i="5"/>
  <c r="K176" i="5"/>
  <c r="J176" i="5"/>
  <c r="I176" i="5"/>
  <c r="H176" i="5"/>
  <c r="AF175" i="5"/>
  <c r="AE175" i="5"/>
  <c r="AD175" i="5"/>
  <c r="AC175" i="5"/>
  <c r="AB175" i="5"/>
  <c r="AA175" i="5"/>
  <c r="Z175" i="5"/>
  <c r="Y175" i="5"/>
  <c r="X175" i="5"/>
  <c r="W175" i="5"/>
  <c r="V175" i="5"/>
  <c r="U175" i="5"/>
  <c r="T175" i="5"/>
  <c r="S175" i="5"/>
  <c r="R175" i="5"/>
  <c r="Q175" i="5"/>
  <c r="P175" i="5"/>
  <c r="O175" i="5"/>
  <c r="N175" i="5"/>
  <c r="M175" i="5"/>
  <c r="L175" i="5"/>
  <c r="K175" i="5"/>
  <c r="J175" i="5"/>
  <c r="I175" i="5"/>
  <c r="H175" i="5"/>
  <c r="AF174" i="5"/>
  <c r="AE174" i="5"/>
  <c r="AD174" i="5"/>
  <c r="AC174" i="5"/>
  <c r="AB174" i="5"/>
  <c r="AA174" i="5"/>
  <c r="Z174" i="5"/>
  <c r="Y174" i="5"/>
  <c r="X174" i="5"/>
  <c r="W174" i="5"/>
  <c r="V174" i="5"/>
  <c r="U174" i="5"/>
  <c r="T174" i="5"/>
  <c r="S174" i="5"/>
  <c r="R174" i="5"/>
  <c r="Q174" i="5"/>
  <c r="P174" i="5"/>
  <c r="O174" i="5"/>
  <c r="N174" i="5"/>
  <c r="M174" i="5"/>
  <c r="L174" i="5"/>
  <c r="K174" i="5"/>
  <c r="J174" i="5"/>
  <c r="I174" i="5"/>
  <c r="H174" i="5"/>
  <c r="AF173" i="5"/>
  <c r="AE173" i="5"/>
  <c r="AD173" i="5"/>
  <c r="AC173" i="5"/>
  <c r="AB173" i="5"/>
  <c r="AA173" i="5"/>
  <c r="Z173" i="5"/>
  <c r="Y173" i="5"/>
  <c r="X173" i="5"/>
  <c r="W173" i="5"/>
  <c r="V173" i="5"/>
  <c r="U173" i="5"/>
  <c r="T173" i="5"/>
  <c r="S173" i="5"/>
  <c r="R173" i="5"/>
  <c r="Q173" i="5"/>
  <c r="P173" i="5"/>
  <c r="O173" i="5"/>
  <c r="N173" i="5"/>
  <c r="M173" i="5"/>
  <c r="L173" i="5"/>
  <c r="K173" i="5"/>
  <c r="J173" i="5"/>
  <c r="I173" i="5"/>
  <c r="H173" i="5"/>
  <c r="AF172" i="5"/>
  <c r="AE172" i="5"/>
  <c r="AD172" i="5"/>
  <c r="AC172" i="5"/>
  <c r="AB172" i="5"/>
  <c r="AA172" i="5"/>
  <c r="Z172" i="5"/>
  <c r="Y172" i="5"/>
  <c r="X172" i="5"/>
  <c r="W172" i="5"/>
  <c r="V172" i="5"/>
  <c r="U172" i="5"/>
  <c r="T172" i="5"/>
  <c r="S172" i="5"/>
  <c r="R172" i="5"/>
  <c r="Q172" i="5"/>
  <c r="P172" i="5"/>
  <c r="O172" i="5"/>
  <c r="N172" i="5"/>
  <c r="M172" i="5"/>
  <c r="L172" i="5"/>
  <c r="K172" i="5"/>
  <c r="J172" i="5"/>
  <c r="I172" i="5"/>
  <c r="H172" i="5"/>
  <c r="AF171" i="5"/>
  <c r="AE171" i="5"/>
  <c r="AD171" i="5"/>
  <c r="AC171" i="5"/>
  <c r="AB171" i="5"/>
  <c r="AA171" i="5"/>
  <c r="Z171" i="5"/>
  <c r="Y171" i="5"/>
  <c r="X171" i="5"/>
  <c r="W171" i="5"/>
  <c r="V171" i="5"/>
  <c r="U171" i="5"/>
  <c r="T171" i="5"/>
  <c r="S171" i="5"/>
  <c r="R171" i="5"/>
  <c r="Q171" i="5"/>
  <c r="P171" i="5"/>
  <c r="O171" i="5"/>
  <c r="N171" i="5"/>
  <c r="M171" i="5"/>
  <c r="L171" i="5"/>
  <c r="K171" i="5"/>
  <c r="J171" i="5"/>
  <c r="I171" i="5"/>
  <c r="H171" i="5"/>
  <c r="AF170" i="5"/>
  <c r="AE170" i="5"/>
  <c r="AD170" i="5"/>
  <c r="AC170" i="5"/>
  <c r="AB170" i="5"/>
  <c r="AA170" i="5"/>
  <c r="Z170" i="5"/>
  <c r="Y170" i="5"/>
  <c r="X170" i="5"/>
  <c r="W170" i="5"/>
  <c r="V170" i="5"/>
  <c r="U170" i="5"/>
  <c r="T170" i="5"/>
  <c r="S170" i="5"/>
  <c r="R170" i="5"/>
  <c r="Q170" i="5"/>
  <c r="P170" i="5"/>
  <c r="O170" i="5"/>
  <c r="N170" i="5"/>
  <c r="M170" i="5"/>
  <c r="L170" i="5"/>
  <c r="K170" i="5"/>
  <c r="J170" i="5"/>
  <c r="I170" i="5"/>
  <c r="H170" i="5"/>
  <c r="AF169" i="5"/>
  <c r="AE169" i="5"/>
  <c r="AD169" i="5"/>
  <c r="AC169" i="5"/>
  <c r="AB169" i="5"/>
  <c r="AA169" i="5"/>
  <c r="Z169" i="5"/>
  <c r="Y169" i="5"/>
  <c r="X169" i="5"/>
  <c r="W169" i="5"/>
  <c r="V169" i="5"/>
  <c r="U169" i="5"/>
  <c r="T169" i="5"/>
  <c r="S169" i="5"/>
  <c r="R169" i="5"/>
  <c r="Q169" i="5"/>
  <c r="P169" i="5"/>
  <c r="O169" i="5"/>
  <c r="N169" i="5"/>
  <c r="M169" i="5"/>
  <c r="L169" i="5"/>
  <c r="K169" i="5"/>
  <c r="J169" i="5"/>
  <c r="I169" i="5"/>
  <c r="H169" i="5"/>
  <c r="AF168" i="5"/>
  <c r="AE168" i="5"/>
  <c r="AD168" i="5"/>
  <c r="AC168" i="5"/>
  <c r="AB168" i="5"/>
  <c r="AA168" i="5"/>
  <c r="Z168" i="5"/>
  <c r="Y168" i="5"/>
  <c r="X168" i="5"/>
  <c r="W168" i="5"/>
  <c r="V168" i="5"/>
  <c r="U168" i="5"/>
  <c r="T168" i="5"/>
  <c r="S168" i="5"/>
  <c r="R168" i="5"/>
  <c r="Q168" i="5"/>
  <c r="P168" i="5"/>
  <c r="O168" i="5"/>
  <c r="N168" i="5"/>
  <c r="M168" i="5"/>
  <c r="L168" i="5"/>
  <c r="K168" i="5"/>
  <c r="J168" i="5"/>
  <c r="I168" i="5"/>
  <c r="H168" i="5"/>
  <c r="AF167" i="5"/>
  <c r="AE167" i="5"/>
  <c r="AD167" i="5"/>
  <c r="AC167" i="5"/>
  <c r="AB167" i="5"/>
  <c r="AA167" i="5"/>
  <c r="Z167" i="5"/>
  <c r="Y167" i="5"/>
  <c r="X167" i="5"/>
  <c r="W167" i="5"/>
  <c r="V167" i="5"/>
  <c r="U167" i="5"/>
  <c r="T167" i="5"/>
  <c r="S167" i="5"/>
  <c r="R167" i="5"/>
  <c r="Q167" i="5"/>
  <c r="P167" i="5"/>
  <c r="O167" i="5"/>
  <c r="N167" i="5"/>
  <c r="M167" i="5"/>
  <c r="L167" i="5"/>
  <c r="K167" i="5"/>
  <c r="J167" i="5"/>
  <c r="I167" i="5"/>
  <c r="H167" i="5"/>
  <c r="AF166" i="5"/>
  <c r="AE166" i="5"/>
  <c r="AD166" i="5"/>
  <c r="AC166" i="5"/>
  <c r="AB166" i="5"/>
  <c r="AA166" i="5"/>
  <c r="Z166" i="5"/>
  <c r="Y166" i="5"/>
  <c r="X166" i="5"/>
  <c r="W166" i="5"/>
  <c r="V166" i="5"/>
  <c r="U166" i="5"/>
  <c r="T166" i="5"/>
  <c r="S166" i="5"/>
  <c r="R166" i="5"/>
  <c r="Q166" i="5"/>
  <c r="P166" i="5"/>
  <c r="O166" i="5"/>
  <c r="N166" i="5"/>
  <c r="M166" i="5"/>
  <c r="L166" i="5"/>
  <c r="K166" i="5"/>
  <c r="J166" i="5"/>
  <c r="I166" i="5"/>
  <c r="H166" i="5"/>
  <c r="AF165" i="5"/>
  <c r="AE165" i="5"/>
  <c r="AD165" i="5"/>
  <c r="AC165" i="5"/>
  <c r="AB165" i="5"/>
  <c r="AA165" i="5"/>
  <c r="Z165" i="5"/>
  <c r="Y165" i="5"/>
  <c r="X165" i="5"/>
  <c r="W165" i="5"/>
  <c r="V165" i="5"/>
  <c r="U165" i="5"/>
  <c r="T165" i="5"/>
  <c r="S165" i="5"/>
  <c r="R165" i="5"/>
  <c r="Q165" i="5"/>
  <c r="P165" i="5"/>
  <c r="O165" i="5"/>
  <c r="N165" i="5"/>
  <c r="M165" i="5"/>
  <c r="L165" i="5"/>
  <c r="K165" i="5"/>
  <c r="J165" i="5"/>
  <c r="I165" i="5"/>
  <c r="H165" i="5"/>
  <c r="AF164" i="5"/>
  <c r="AE164" i="5"/>
  <c r="AD164" i="5"/>
  <c r="AC164" i="5"/>
  <c r="AB164" i="5"/>
  <c r="AA164" i="5"/>
  <c r="Z164" i="5"/>
  <c r="Y164" i="5"/>
  <c r="X164" i="5"/>
  <c r="W164" i="5"/>
  <c r="V164" i="5"/>
  <c r="U164" i="5"/>
  <c r="T164" i="5"/>
  <c r="S164" i="5"/>
  <c r="R164" i="5"/>
  <c r="Q164" i="5"/>
  <c r="P164" i="5"/>
  <c r="O164" i="5"/>
  <c r="N164" i="5"/>
  <c r="M164" i="5"/>
  <c r="L164" i="5"/>
  <c r="K164" i="5"/>
  <c r="J164" i="5"/>
  <c r="I164" i="5"/>
  <c r="H164" i="5"/>
  <c r="AF163" i="5"/>
  <c r="AE163" i="5"/>
  <c r="AD163" i="5"/>
  <c r="AC163" i="5"/>
  <c r="AB163" i="5"/>
  <c r="AA163" i="5"/>
  <c r="Z163" i="5"/>
  <c r="Y163" i="5"/>
  <c r="X163" i="5"/>
  <c r="W163" i="5"/>
  <c r="V163" i="5"/>
  <c r="U163" i="5"/>
  <c r="T163" i="5"/>
  <c r="S163" i="5"/>
  <c r="R163" i="5"/>
  <c r="Q163" i="5"/>
  <c r="P163" i="5"/>
  <c r="O163" i="5"/>
  <c r="N163" i="5"/>
  <c r="M163" i="5"/>
  <c r="L163" i="5"/>
  <c r="K163" i="5"/>
  <c r="J163" i="5"/>
  <c r="I163" i="5"/>
  <c r="H163" i="5"/>
  <c r="AF162" i="5"/>
  <c r="AE162" i="5"/>
  <c r="AD162" i="5"/>
  <c r="AC162" i="5"/>
  <c r="AB162" i="5"/>
  <c r="AA162" i="5"/>
  <c r="Z162" i="5"/>
  <c r="Y162" i="5"/>
  <c r="X162" i="5"/>
  <c r="W162" i="5"/>
  <c r="V162" i="5"/>
  <c r="U162" i="5"/>
  <c r="T162" i="5"/>
  <c r="S162" i="5"/>
  <c r="R162" i="5"/>
  <c r="Q162" i="5"/>
  <c r="P162" i="5"/>
  <c r="O162" i="5"/>
  <c r="N162" i="5"/>
  <c r="M162" i="5"/>
  <c r="L162" i="5"/>
  <c r="K162" i="5"/>
  <c r="J162" i="5"/>
  <c r="I162" i="5"/>
  <c r="H162" i="5"/>
  <c r="AF161" i="5"/>
  <c r="AE161" i="5"/>
  <c r="AD161" i="5"/>
  <c r="AC161" i="5"/>
  <c r="AB161" i="5"/>
  <c r="AA161" i="5"/>
  <c r="Z161" i="5"/>
  <c r="Y161" i="5"/>
  <c r="X161" i="5"/>
  <c r="W161" i="5"/>
  <c r="V161" i="5"/>
  <c r="U161" i="5"/>
  <c r="T161" i="5"/>
  <c r="S161" i="5"/>
  <c r="R161" i="5"/>
  <c r="Q161" i="5"/>
  <c r="P161" i="5"/>
  <c r="O161" i="5"/>
  <c r="N161" i="5"/>
  <c r="M161" i="5"/>
  <c r="L161" i="5"/>
  <c r="K161" i="5"/>
  <c r="J161" i="5"/>
  <c r="I161" i="5"/>
  <c r="H161" i="5"/>
  <c r="AF160" i="5"/>
  <c r="AE160" i="5"/>
  <c r="AD160" i="5"/>
  <c r="AC160" i="5"/>
  <c r="AB160" i="5"/>
  <c r="AA160" i="5"/>
  <c r="Z160" i="5"/>
  <c r="Y160" i="5"/>
  <c r="X160" i="5"/>
  <c r="W160" i="5"/>
  <c r="V160" i="5"/>
  <c r="U160" i="5"/>
  <c r="T160" i="5"/>
  <c r="S160" i="5"/>
  <c r="R160" i="5"/>
  <c r="Q160" i="5"/>
  <c r="P160" i="5"/>
  <c r="O160" i="5"/>
  <c r="N160" i="5"/>
  <c r="M160" i="5"/>
  <c r="L160" i="5"/>
  <c r="K160" i="5"/>
  <c r="J160" i="5"/>
  <c r="I160" i="5"/>
  <c r="H160" i="5"/>
  <c r="AF159" i="5"/>
  <c r="AE159" i="5"/>
  <c r="AD159" i="5"/>
  <c r="AC159" i="5"/>
  <c r="AB159" i="5"/>
  <c r="AA159" i="5"/>
  <c r="Z159" i="5"/>
  <c r="Y159" i="5"/>
  <c r="X159" i="5"/>
  <c r="W159" i="5"/>
  <c r="V159" i="5"/>
  <c r="U159" i="5"/>
  <c r="T159" i="5"/>
  <c r="S159" i="5"/>
  <c r="R159" i="5"/>
  <c r="Q159" i="5"/>
  <c r="P159" i="5"/>
  <c r="O159" i="5"/>
  <c r="N159" i="5"/>
  <c r="M159" i="5"/>
  <c r="L159" i="5"/>
  <c r="K159" i="5"/>
  <c r="J159" i="5"/>
  <c r="I159" i="5"/>
  <c r="H159" i="5"/>
  <c r="AF158" i="5"/>
  <c r="AE158" i="5"/>
  <c r="AD158" i="5"/>
  <c r="AC158" i="5"/>
  <c r="AB158" i="5"/>
  <c r="AA158" i="5"/>
  <c r="Z158" i="5"/>
  <c r="Y158" i="5"/>
  <c r="X158" i="5"/>
  <c r="W158" i="5"/>
  <c r="V158" i="5"/>
  <c r="U158" i="5"/>
  <c r="T158" i="5"/>
  <c r="S158" i="5"/>
  <c r="R158" i="5"/>
  <c r="Q158" i="5"/>
  <c r="P158" i="5"/>
  <c r="O158" i="5"/>
  <c r="N158" i="5"/>
  <c r="M158" i="5"/>
  <c r="L158" i="5"/>
  <c r="K158" i="5"/>
  <c r="J158" i="5"/>
  <c r="I158" i="5"/>
  <c r="H158" i="5"/>
  <c r="AF157" i="5"/>
  <c r="AE157" i="5"/>
  <c r="AD157" i="5"/>
  <c r="AC157" i="5"/>
  <c r="AB157" i="5"/>
  <c r="AA157" i="5"/>
  <c r="Z157" i="5"/>
  <c r="Y157" i="5"/>
  <c r="X157" i="5"/>
  <c r="W157" i="5"/>
  <c r="V157" i="5"/>
  <c r="U157" i="5"/>
  <c r="T157" i="5"/>
  <c r="S157" i="5"/>
  <c r="R157" i="5"/>
  <c r="Q157" i="5"/>
  <c r="P157" i="5"/>
  <c r="O157" i="5"/>
  <c r="N157" i="5"/>
  <c r="M157" i="5"/>
  <c r="L157" i="5"/>
  <c r="K157" i="5"/>
  <c r="J157" i="5"/>
  <c r="I157" i="5"/>
  <c r="H157" i="5"/>
  <c r="AF156" i="5"/>
  <c r="AE156" i="5"/>
  <c r="AD156" i="5"/>
  <c r="AC156" i="5"/>
  <c r="AB156" i="5"/>
  <c r="AA156" i="5"/>
  <c r="Z156" i="5"/>
  <c r="Y156" i="5"/>
  <c r="X156" i="5"/>
  <c r="W156" i="5"/>
  <c r="V156" i="5"/>
  <c r="U156" i="5"/>
  <c r="T156" i="5"/>
  <c r="S156" i="5"/>
  <c r="R156" i="5"/>
  <c r="Q156" i="5"/>
  <c r="P156" i="5"/>
  <c r="O156" i="5"/>
  <c r="N156" i="5"/>
  <c r="M156" i="5"/>
  <c r="L156" i="5"/>
  <c r="K156" i="5"/>
  <c r="J156" i="5"/>
  <c r="I156" i="5"/>
  <c r="H156" i="5"/>
  <c r="AF155" i="5"/>
  <c r="AE155" i="5"/>
  <c r="AD155" i="5"/>
  <c r="AC155" i="5"/>
  <c r="AB155" i="5"/>
  <c r="AA155" i="5"/>
  <c r="Z155" i="5"/>
  <c r="Y155" i="5"/>
  <c r="X155" i="5"/>
  <c r="W155" i="5"/>
  <c r="V155" i="5"/>
  <c r="U155" i="5"/>
  <c r="T155" i="5"/>
  <c r="S155" i="5"/>
  <c r="R155" i="5"/>
  <c r="Q155" i="5"/>
  <c r="P155" i="5"/>
  <c r="O155" i="5"/>
  <c r="N155" i="5"/>
  <c r="M155" i="5"/>
  <c r="L155" i="5"/>
  <c r="K155" i="5"/>
  <c r="J155" i="5"/>
  <c r="I155" i="5"/>
  <c r="H155" i="5"/>
  <c r="AF154" i="5"/>
  <c r="AE154" i="5"/>
  <c r="AD154" i="5"/>
  <c r="AC154" i="5"/>
  <c r="AB154" i="5"/>
  <c r="AA154" i="5"/>
  <c r="Z154" i="5"/>
  <c r="Y154" i="5"/>
  <c r="X154" i="5"/>
  <c r="W154" i="5"/>
  <c r="V154" i="5"/>
  <c r="U154" i="5"/>
  <c r="T154" i="5"/>
  <c r="S154" i="5"/>
  <c r="R154" i="5"/>
  <c r="Q154" i="5"/>
  <c r="P154" i="5"/>
  <c r="O154" i="5"/>
  <c r="N154" i="5"/>
  <c r="M154" i="5"/>
  <c r="L154" i="5"/>
  <c r="K154" i="5"/>
  <c r="J154" i="5"/>
  <c r="I154" i="5"/>
  <c r="H154" i="5"/>
  <c r="AF153" i="5"/>
  <c r="AE153" i="5"/>
  <c r="AD153" i="5"/>
  <c r="AC153" i="5"/>
  <c r="AB153" i="5"/>
  <c r="AA153" i="5"/>
  <c r="Z153" i="5"/>
  <c r="Y153" i="5"/>
  <c r="X153" i="5"/>
  <c r="W153" i="5"/>
  <c r="V153" i="5"/>
  <c r="U153" i="5"/>
  <c r="T153" i="5"/>
  <c r="S153" i="5"/>
  <c r="R153" i="5"/>
  <c r="Q153" i="5"/>
  <c r="P153" i="5"/>
  <c r="O153" i="5"/>
  <c r="N153" i="5"/>
  <c r="M153" i="5"/>
  <c r="L153" i="5"/>
  <c r="K153" i="5"/>
  <c r="J153" i="5"/>
  <c r="I153" i="5"/>
  <c r="H153" i="5"/>
  <c r="AF152" i="5"/>
  <c r="AE152" i="5"/>
  <c r="AD152" i="5"/>
  <c r="AC152" i="5"/>
  <c r="AB152" i="5"/>
  <c r="AA152" i="5"/>
  <c r="Z152" i="5"/>
  <c r="Y152" i="5"/>
  <c r="X152" i="5"/>
  <c r="W152" i="5"/>
  <c r="V152" i="5"/>
  <c r="U152" i="5"/>
  <c r="T152" i="5"/>
  <c r="S152" i="5"/>
  <c r="R152" i="5"/>
  <c r="Q152" i="5"/>
  <c r="P152" i="5"/>
  <c r="O152" i="5"/>
  <c r="N152" i="5"/>
  <c r="M152" i="5"/>
  <c r="L152" i="5"/>
  <c r="K152" i="5"/>
  <c r="J152" i="5"/>
  <c r="I152" i="5"/>
  <c r="H152" i="5"/>
  <c r="AF151" i="5"/>
  <c r="AE151" i="5"/>
  <c r="AD151" i="5"/>
  <c r="AC151" i="5"/>
  <c r="AB151" i="5"/>
  <c r="AA151" i="5"/>
  <c r="Z151" i="5"/>
  <c r="Y151" i="5"/>
  <c r="X151" i="5"/>
  <c r="W151" i="5"/>
  <c r="V151" i="5"/>
  <c r="U151" i="5"/>
  <c r="T151" i="5"/>
  <c r="S151" i="5"/>
  <c r="R151" i="5"/>
  <c r="Q151" i="5"/>
  <c r="P151" i="5"/>
  <c r="O151" i="5"/>
  <c r="N151" i="5"/>
  <c r="M151" i="5"/>
  <c r="L151" i="5"/>
  <c r="K151" i="5"/>
  <c r="J151" i="5"/>
  <c r="I151" i="5"/>
  <c r="H151" i="5"/>
  <c r="AF150" i="5"/>
  <c r="AE150" i="5"/>
  <c r="AD150" i="5"/>
  <c r="AC150" i="5"/>
  <c r="AB150" i="5"/>
  <c r="AA150" i="5"/>
  <c r="Z150" i="5"/>
  <c r="Y150" i="5"/>
  <c r="X150" i="5"/>
  <c r="W150" i="5"/>
  <c r="V150" i="5"/>
  <c r="U150" i="5"/>
  <c r="T150" i="5"/>
  <c r="S150" i="5"/>
  <c r="R150" i="5"/>
  <c r="Q150" i="5"/>
  <c r="P150" i="5"/>
  <c r="O150" i="5"/>
  <c r="N150" i="5"/>
  <c r="M150" i="5"/>
  <c r="L150" i="5"/>
  <c r="K150" i="5"/>
  <c r="J150" i="5"/>
  <c r="I150" i="5"/>
  <c r="H150" i="5"/>
  <c r="AF149" i="5"/>
  <c r="AE149" i="5"/>
  <c r="AD149" i="5"/>
  <c r="AC149" i="5"/>
  <c r="AB149" i="5"/>
  <c r="AA149" i="5"/>
  <c r="Z149" i="5"/>
  <c r="Y149" i="5"/>
  <c r="X149" i="5"/>
  <c r="W149" i="5"/>
  <c r="V149" i="5"/>
  <c r="U149" i="5"/>
  <c r="T149" i="5"/>
  <c r="S149" i="5"/>
  <c r="R149" i="5"/>
  <c r="Q149" i="5"/>
  <c r="P149" i="5"/>
  <c r="O149" i="5"/>
  <c r="N149" i="5"/>
  <c r="M149" i="5"/>
  <c r="L149" i="5"/>
  <c r="K149" i="5"/>
  <c r="J149" i="5"/>
  <c r="I149" i="5"/>
  <c r="H149" i="5"/>
  <c r="AF148" i="5"/>
  <c r="AE148" i="5"/>
  <c r="AD148" i="5"/>
  <c r="AC148" i="5"/>
  <c r="AB148" i="5"/>
  <c r="AA148" i="5"/>
  <c r="Z148" i="5"/>
  <c r="Y148" i="5"/>
  <c r="X148" i="5"/>
  <c r="W148" i="5"/>
  <c r="V148" i="5"/>
  <c r="U148" i="5"/>
  <c r="T148" i="5"/>
  <c r="S148" i="5"/>
  <c r="R148" i="5"/>
  <c r="Q148" i="5"/>
  <c r="P148" i="5"/>
  <c r="O148" i="5"/>
  <c r="N148" i="5"/>
  <c r="M148" i="5"/>
  <c r="L148" i="5"/>
  <c r="K148" i="5"/>
  <c r="J148" i="5"/>
  <c r="I148" i="5"/>
  <c r="H148" i="5"/>
  <c r="AF147" i="5"/>
  <c r="AE147" i="5"/>
  <c r="AD147" i="5"/>
  <c r="AC147" i="5"/>
  <c r="AB147" i="5"/>
  <c r="AA147" i="5"/>
  <c r="Z147" i="5"/>
  <c r="Y147" i="5"/>
  <c r="X147" i="5"/>
  <c r="W147" i="5"/>
  <c r="V147" i="5"/>
  <c r="U147" i="5"/>
  <c r="T147" i="5"/>
  <c r="S147" i="5"/>
  <c r="R147" i="5"/>
  <c r="Q147" i="5"/>
  <c r="P147" i="5"/>
  <c r="O147" i="5"/>
  <c r="N147" i="5"/>
  <c r="M147" i="5"/>
  <c r="L147" i="5"/>
  <c r="K147" i="5"/>
  <c r="J147" i="5"/>
  <c r="I147" i="5"/>
  <c r="H147" i="5"/>
  <c r="G147" i="5"/>
  <c r="AF146" i="5"/>
  <c r="AE146" i="5"/>
  <c r="AD146" i="5"/>
  <c r="AC146" i="5"/>
  <c r="AB146" i="5"/>
  <c r="AA146" i="5"/>
  <c r="Z146" i="5"/>
  <c r="Y146" i="5"/>
  <c r="X146" i="5"/>
  <c r="W146" i="5"/>
  <c r="V146" i="5"/>
  <c r="U146" i="5"/>
  <c r="T146" i="5"/>
  <c r="S146" i="5"/>
  <c r="R146" i="5"/>
  <c r="Q146" i="5"/>
  <c r="P146" i="5"/>
  <c r="O146" i="5"/>
  <c r="N146" i="5"/>
  <c r="M146" i="5"/>
  <c r="L146" i="5"/>
  <c r="K146" i="5"/>
  <c r="J146" i="5"/>
  <c r="I146" i="5"/>
  <c r="H146" i="5"/>
  <c r="G146" i="5"/>
  <c r="AF145" i="5"/>
  <c r="AE145" i="5"/>
  <c r="AD145" i="5"/>
  <c r="AC145" i="5"/>
  <c r="AB145" i="5"/>
  <c r="AA145" i="5"/>
  <c r="Z145" i="5"/>
  <c r="Y145" i="5"/>
  <c r="X145" i="5"/>
  <c r="W145" i="5"/>
  <c r="V145" i="5"/>
  <c r="U145" i="5"/>
  <c r="T145" i="5"/>
  <c r="S145" i="5"/>
  <c r="R145" i="5"/>
  <c r="Q145" i="5"/>
  <c r="P145" i="5"/>
  <c r="O145" i="5"/>
  <c r="N145" i="5"/>
  <c r="M145" i="5"/>
  <c r="L145" i="5"/>
  <c r="K145" i="5"/>
  <c r="J145" i="5"/>
  <c r="I145" i="5"/>
  <c r="H145" i="5"/>
  <c r="G145" i="5"/>
  <c r="AF144" i="5"/>
  <c r="AE144" i="5"/>
  <c r="AD144" i="5"/>
  <c r="AC144" i="5"/>
  <c r="AB144" i="5"/>
  <c r="AA144" i="5"/>
  <c r="Z144" i="5"/>
  <c r="Y144" i="5"/>
  <c r="X144" i="5"/>
  <c r="W144" i="5"/>
  <c r="V144" i="5"/>
  <c r="U144" i="5"/>
  <c r="T144" i="5"/>
  <c r="S144" i="5"/>
  <c r="R144" i="5"/>
  <c r="Q144" i="5"/>
  <c r="P144" i="5"/>
  <c r="O144" i="5"/>
  <c r="N144" i="5"/>
  <c r="M144" i="5"/>
  <c r="L144" i="5"/>
  <c r="K144" i="5"/>
  <c r="J144" i="5"/>
  <c r="I144" i="5"/>
  <c r="H144" i="5"/>
  <c r="G144" i="5"/>
  <c r="AF143" i="5"/>
  <c r="AE143" i="5"/>
  <c r="AD143" i="5"/>
  <c r="AC143" i="5"/>
  <c r="AB143" i="5"/>
  <c r="AA143" i="5"/>
  <c r="Z143" i="5"/>
  <c r="Y143" i="5"/>
  <c r="X143" i="5"/>
  <c r="W143" i="5"/>
  <c r="V143" i="5"/>
  <c r="U143" i="5"/>
  <c r="T143" i="5"/>
  <c r="S143" i="5"/>
  <c r="R143" i="5"/>
  <c r="Q143" i="5"/>
  <c r="P143" i="5"/>
  <c r="O143" i="5"/>
  <c r="N143" i="5"/>
  <c r="M143" i="5"/>
  <c r="L143" i="5"/>
  <c r="K143" i="5"/>
  <c r="J143" i="5"/>
  <c r="I143" i="5"/>
  <c r="H143" i="5"/>
  <c r="G143" i="5"/>
  <c r="AF142" i="5"/>
  <c r="AE142" i="5"/>
  <c r="AD142" i="5"/>
  <c r="AC142" i="5"/>
  <c r="AB142" i="5"/>
  <c r="AA142" i="5"/>
  <c r="Z142" i="5"/>
  <c r="Y142" i="5"/>
  <c r="X142" i="5"/>
  <c r="W142" i="5"/>
  <c r="V142" i="5"/>
  <c r="U142" i="5"/>
  <c r="T142" i="5"/>
  <c r="S142" i="5"/>
  <c r="R142" i="5"/>
  <c r="Q142" i="5"/>
  <c r="P142" i="5"/>
  <c r="O142" i="5"/>
  <c r="N142" i="5"/>
  <c r="M142" i="5"/>
  <c r="L142" i="5"/>
  <c r="K142" i="5"/>
  <c r="J142" i="5"/>
  <c r="I142" i="5"/>
  <c r="H142" i="5"/>
  <c r="G142" i="5"/>
  <c r="AF141" i="5"/>
  <c r="AE141" i="5"/>
  <c r="AD141" i="5"/>
  <c r="AC141" i="5"/>
  <c r="AB141" i="5"/>
  <c r="AA141" i="5"/>
  <c r="Z141" i="5"/>
  <c r="Y141" i="5"/>
  <c r="X141" i="5"/>
  <c r="W141" i="5"/>
  <c r="V141" i="5"/>
  <c r="U141" i="5"/>
  <c r="T141" i="5"/>
  <c r="S141" i="5"/>
  <c r="R141" i="5"/>
  <c r="Q141" i="5"/>
  <c r="P141" i="5"/>
  <c r="O141" i="5"/>
  <c r="N141" i="5"/>
  <c r="M141" i="5"/>
  <c r="L141" i="5"/>
  <c r="K141" i="5"/>
  <c r="J141" i="5"/>
  <c r="I141" i="5"/>
  <c r="H141" i="5"/>
  <c r="G141" i="5"/>
  <c r="AF140" i="5"/>
  <c r="AE140" i="5"/>
  <c r="AD140" i="5"/>
  <c r="AC140" i="5"/>
  <c r="AB140" i="5"/>
  <c r="AA140" i="5"/>
  <c r="Z140" i="5"/>
  <c r="Y140" i="5"/>
  <c r="X140" i="5"/>
  <c r="W140" i="5"/>
  <c r="V140" i="5"/>
  <c r="U140" i="5"/>
  <c r="T140" i="5"/>
  <c r="S140" i="5"/>
  <c r="R140" i="5"/>
  <c r="Q140" i="5"/>
  <c r="P140" i="5"/>
  <c r="O140" i="5"/>
  <c r="N140" i="5"/>
  <c r="M140" i="5"/>
  <c r="L140" i="5"/>
  <c r="K140" i="5"/>
  <c r="J140" i="5"/>
  <c r="I140" i="5"/>
  <c r="H140" i="5"/>
  <c r="G140" i="5"/>
  <c r="AF139" i="5"/>
  <c r="AE139" i="5"/>
  <c r="AD139" i="5"/>
  <c r="AC139" i="5"/>
  <c r="AB139" i="5"/>
  <c r="AA139" i="5"/>
  <c r="Z139" i="5"/>
  <c r="Y139" i="5"/>
  <c r="X139" i="5"/>
  <c r="W139" i="5"/>
  <c r="V139" i="5"/>
  <c r="U139" i="5"/>
  <c r="T139" i="5"/>
  <c r="S139" i="5"/>
  <c r="R139" i="5"/>
  <c r="Q139" i="5"/>
  <c r="P139" i="5"/>
  <c r="O139" i="5"/>
  <c r="N139" i="5"/>
  <c r="M139" i="5"/>
  <c r="L139" i="5"/>
  <c r="K139" i="5"/>
  <c r="J139" i="5"/>
  <c r="I139" i="5"/>
  <c r="H139" i="5"/>
  <c r="G139" i="5"/>
  <c r="AF138" i="5"/>
  <c r="AE138" i="5"/>
  <c r="AD138" i="5"/>
  <c r="AC138" i="5"/>
  <c r="AB138" i="5"/>
  <c r="AA138" i="5"/>
  <c r="Z138" i="5"/>
  <c r="Y138" i="5"/>
  <c r="X138" i="5"/>
  <c r="W138" i="5"/>
  <c r="V138" i="5"/>
  <c r="U138" i="5"/>
  <c r="T138" i="5"/>
  <c r="S138" i="5"/>
  <c r="R138" i="5"/>
  <c r="Q138" i="5"/>
  <c r="P138" i="5"/>
  <c r="O138" i="5"/>
  <c r="N138" i="5"/>
  <c r="M138" i="5"/>
  <c r="L138" i="5"/>
  <c r="K138" i="5"/>
  <c r="J138" i="5"/>
  <c r="I138" i="5"/>
  <c r="H138" i="5"/>
  <c r="G138" i="5"/>
  <c r="AF137" i="5"/>
  <c r="AE137" i="5"/>
  <c r="AD137" i="5"/>
  <c r="AC137" i="5"/>
  <c r="AB137" i="5"/>
  <c r="AA137" i="5"/>
  <c r="Z137" i="5"/>
  <c r="Y137" i="5"/>
  <c r="X137" i="5"/>
  <c r="W137" i="5"/>
  <c r="V137" i="5"/>
  <c r="U137" i="5"/>
  <c r="T137" i="5"/>
  <c r="S137" i="5"/>
  <c r="R137" i="5"/>
  <c r="Q137" i="5"/>
  <c r="P137" i="5"/>
  <c r="O137" i="5"/>
  <c r="N137" i="5"/>
  <c r="M137" i="5"/>
  <c r="L137" i="5"/>
  <c r="K137" i="5"/>
  <c r="J137" i="5"/>
  <c r="I137" i="5"/>
  <c r="H137" i="5"/>
  <c r="G137" i="5"/>
  <c r="AF136" i="5"/>
  <c r="AE136" i="5"/>
  <c r="AD136" i="5"/>
  <c r="AC136" i="5"/>
  <c r="AB136" i="5"/>
  <c r="AA136" i="5"/>
  <c r="Z136" i="5"/>
  <c r="Y136" i="5"/>
  <c r="X136" i="5"/>
  <c r="W136" i="5"/>
  <c r="V136" i="5"/>
  <c r="U136" i="5"/>
  <c r="T136" i="5"/>
  <c r="S136" i="5"/>
  <c r="R136" i="5"/>
  <c r="Q136" i="5"/>
  <c r="P136" i="5"/>
  <c r="O136" i="5"/>
  <c r="N136" i="5"/>
  <c r="M136" i="5"/>
  <c r="L136" i="5"/>
  <c r="K136" i="5"/>
  <c r="J136" i="5"/>
  <c r="I136" i="5"/>
  <c r="H136" i="5"/>
  <c r="G136" i="5"/>
  <c r="AF135" i="5"/>
  <c r="AE135" i="5"/>
  <c r="AD135" i="5"/>
  <c r="AC135" i="5"/>
  <c r="AB135" i="5"/>
  <c r="AA135" i="5"/>
  <c r="Z135" i="5"/>
  <c r="Y135" i="5"/>
  <c r="X135" i="5"/>
  <c r="W135" i="5"/>
  <c r="V135" i="5"/>
  <c r="U135" i="5"/>
  <c r="T135" i="5"/>
  <c r="S135" i="5"/>
  <c r="R135" i="5"/>
  <c r="Q135" i="5"/>
  <c r="P135" i="5"/>
  <c r="O135" i="5"/>
  <c r="N135" i="5"/>
  <c r="M135" i="5"/>
  <c r="L135" i="5"/>
  <c r="K135" i="5"/>
  <c r="J135" i="5"/>
  <c r="I135" i="5"/>
  <c r="H135" i="5"/>
  <c r="G135" i="5"/>
  <c r="AF134" i="5"/>
  <c r="AE134" i="5"/>
  <c r="AD134" i="5"/>
  <c r="AC134" i="5"/>
  <c r="AB134" i="5"/>
  <c r="AA134" i="5"/>
  <c r="Z134" i="5"/>
  <c r="Y134" i="5"/>
  <c r="X134" i="5"/>
  <c r="W134" i="5"/>
  <c r="V134" i="5"/>
  <c r="U134" i="5"/>
  <c r="T134" i="5"/>
  <c r="S134" i="5"/>
  <c r="R134" i="5"/>
  <c r="Q134" i="5"/>
  <c r="P134" i="5"/>
  <c r="O134" i="5"/>
  <c r="N134" i="5"/>
  <c r="M134" i="5"/>
  <c r="L134" i="5"/>
  <c r="K134" i="5"/>
  <c r="J134" i="5"/>
  <c r="I134" i="5"/>
  <c r="H134" i="5"/>
  <c r="G134" i="5"/>
  <c r="AF133" i="5"/>
  <c r="AE133" i="5"/>
  <c r="AD133" i="5"/>
  <c r="AC133" i="5"/>
  <c r="AB133" i="5"/>
  <c r="AA133" i="5"/>
  <c r="Z133" i="5"/>
  <c r="Y133" i="5"/>
  <c r="X133" i="5"/>
  <c r="W133" i="5"/>
  <c r="V133" i="5"/>
  <c r="U133" i="5"/>
  <c r="T133" i="5"/>
  <c r="S133" i="5"/>
  <c r="R133" i="5"/>
  <c r="Q133" i="5"/>
  <c r="P133" i="5"/>
  <c r="O133" i="5"/>
  <c r="N133" i="5"/>
  <c r="M133" i="5"/>
  <c r="L133" i="5"/>
  <c r="K133" i="5"/>
  <c r="J133" i="5"/>
  <c r="I133" i="5"/>
  <c r="H133" i="5"/>
  <c r="G133" i="5"/>
  <c r="AF132" i="5"/>
  <c r="AE132" i="5"/>
  <c r="AD132" i="5"/>
  <c r="AC132" i="5"/>
  <c r="AB132" i="5"/>
  <c r="AA132" i="5"/>
  <c r="Z132" i="5"/>
  <c r="Y132" i="5"/>
  <c r="X132" i="5"/>
  <c r="W132" i="5"/>
  <c r="V132" i="5"/>
  <c r="U132" i="5"/>
  <c r="T132" i="5"/>
  <c r="S132" i="5"/>
  <c r="R132" i="5"/>
  <c r="Q132" i="5"/>
  <c r="P132" i="5"/>
  <c r="O132" i="5"/>
  <c r="N132" i="5"/>
  <c r="M132" i="5"/>
  <c r="L132" i="5"/>
  <c r="K132" i="5"/>
  <c r="J132" i="5"/>
  <c r="I132" i="5"/>
  <c r="H132" i="5"/>
  <c r="G132" i="5"/>
  <c r="AF131" i="5"/>
  <c r="AE131" i="5"/>
  <c r="AD131" i="5"/>
  <c r="AC131" i="5"/>
  <c r="AB131" i="5"/>
  <c r="AA131" i="5"/>
  <c r="Z131" i="5"/>
  <c r="Y131" i="5"/>
  <c r="X131" i="5"/>
  <c r="W131" i="5"/>
  <c r="V131" i="5"/>
  <c r="U131" i="5"/>
  <c r="T131" i="5"/>
  <c r="S131" i="5"/>
  <c r="R131" i="5"/>
  <c r="Q131" i="5"/>
  <c r="P131" i="5"/>
  <c r="O131" i="5"/>
  <c r="N131" i="5"/>
  <c r="M131" i="5"/>
  <c r="L131" i="5"/>
  <c r="K131" i="5"/>
  <c r="J131" i="5"/>
  <c r="I131" i="5"/>
  <c r="H131" i="5"/>
  <c r="G131" i="5"/>
  <c r="AF130" i="5"/>
  <c r="AE130" i="5"/>
  <c r="AD130" i="5"/>
  <c r="AC130" i="5"/>
  <c r="AB130" i="5"/>
  <c r="AA130" i="5"/>
  <c r="Z130" i="5"/>
  <c r="Y130" i="5"/>
  <c r="X130" i="5"/>
  <c r="W130" i="5"/>
  <c r="V130" i="5"/>
  <c r="U130" i="5"/>
  <c r="T130" i="5"/>
  <c r="S130" i="5"/>
  <c r="R130" i="5"/>
  <c r="Q130" i="5"/>
  <c r="P130" i="5"/>
  <c r="O130" i="5"/>
  <c r="N130" i="5"/>
  <c r="M130" i="5"/>
  <c r="L130" i="5"/>
  <c r="K130" i="5"/>
  <c r="J130" i="5"/>
  <c r="I130" i="5"/>
  <c r="H130" i="5"/>
  <c r="G130" i="5"/>
  <c r="AF129" i="5"/>
  <c r="AE129" i="5"/>
  <c r="AD129" i="5"/>
  <c r="AC129" i="5"/>
  <c r="AB129" i="5"/>
  <c r="AA129" i="5"/>
  <c r="Z129" i="5"/>
  <c r="Y129" i="5"/>
  <c r="X129" i="5"/>
  <c r="W129" i="5"/>
  <c r="V129" i="5"/>
  <c r="U129" i="5"/>
  <c r="T129" i="5"/>
  <c r="S129" i="5"/>
  <c r="R129" i="5"/>
  <c r="Q129" i="5"/>
  <c r="P129" i="5"/>
  <c r="O129" i="5"/>
  <c r="N129" i="5"/>
  <c r="M129" i="5"/>
  <c r="L129" i="5"/>
  <c r="K129" i="5"/>
  <c r="J129" i="5"/>
  <c r="I129" i="5"/>
  <c r="H129" i="5"/>
  <c r="G129" i="5"/>
  <c r="AF128" i="5"/>
  <c r="AE128" i="5"/>
  <c r="AD128" i="5"/>
  <c r="AC128" i="5"/>
  <c r="AB128" i="5"/>
  <c r="AA128" i="5"/>
  <c r="Z128" i="5"/>
  <c r="Y128" i="5"/>
  <c r="X128" i="5"/>
  <c r="W128" i="5"/>
  <c r="V128" i="5"/>
  <c r="U128" i="5"/>
  <c r="T128" i="5"/>
  <c r="S128" i="5"/>
  <c r="R128" i="5"/>
  <c r="Q128" i="5"/>
  <c r="P128" i="5"/>
  <c r="O128" i="5"/>
  <c r="N128" i="5"/>
  <c r="M128" i="5"/>
  <c r="L128" i="5"/>
  <c r="K128" i="5"/>
  <c r="J128" i="5"/>
  <c r="I128" i="5"/>
  <c r="H128" i="5"/>
  <c r="G128" i="5"/>
  <c r="AF127" i="5"/>
  <c r="AE127" i="5"/>
  <c r="AD127" i="5"/>
  <c r="AC127" i="5"/>
  <c r="AB127" i="5"/>
  <c r="AA127" i="5"/>
  <c r="Z127" i="5"/>
  <c r="Y127" i="5"/>
  <c r="X127" i="5"/>
  <c r="W127" i="5"/>
  <c r="V127" i="5"/>
  <c r="U127" i="5"/>
  <c r="T127" i="5"/>
  <c r="S127" i="5"/>
  <c r="R127" i="5"/>
  <c r="Q127" i="5"/>
  <c r="P127" i="5"/>
  <c r="O127" i="5"/>
  <c r="N127" i="5"/>
  <c r="M127" i="5"/>
  <c r="L127" i="5"/>
  <c r="K127" i="5"/>
  <c r="J127" i="5"/>
  <c r="I127" i="5"/>
  <c r="H127" i="5"/>
  <c r="G127" i="5"/>
  <c r="AF126" i="5"/>
  <c r="AE126" i="5"/>
  <c r="AD126" i="5"/>
  <c r="AC126" i="5"/>
  <c r="AB126" i="5"/>
  <c r="AA126" i="5"/>
  <c r="Z126" i="5"/>
  <c r="Y126" i="5"/>
  <c r="X126" i="5"/>
  <c r="W126" i="5"/>
  <c r="V126" i="5"/>
  <c r="U126" i="5"/>
  <c r="T126" i="5"/>
  <c r="S126" i="5"/>
  <c r="R126" i="5"/>
  <c r="Q126" i="5"/>
  <c r="P126" i="5"/>
  <c r="O126" i="5"/>
  <c r="N126" i="5"/>
  <c r="M126" i="5"/>
  <c r="L126" i="5"/>
  <c r="K126" i="5"/>
  <c r="J126" i="5"/>
  <c r="I126" i="5"/>
  <c r="H126" i="5"/>
  <c r="G126" i="5"/>
  <c r="AF125" i="5"/>
  <c r="AE125" i="5"/>
  <c r="AD125" i="5"/>
  <c r="AC125" i="5"/>
  <c r="AB125" i="5"/>
  <c r="AA125" i="5"/>
  <c r="Z125" i="5"/>
  <c r="Y125" i="5"/>
  <c r="X125" i="5"/>
  <c r="W125" i="5"/>
  <c r="V125" i="5"/>
  <c r="U125" i="5"/>
  <c r="T125" i="5"/>
  <c r="S125" i="5"/>
  <c r="R125" i="5"/>
  <c r="Q125" i="5"/>
  <c r="P125" i="5"/>
  <c r="O125" i="5"/>
  <c r="N125" i="5"/>
  <c r="M125" i="5"/>
  <c r="L125" i="5"/>
  <c r="K125" i="5"/>
  <c r="J125" i="5"/>
  <c r="I125" i="5"/>
  <c r="H125" i="5"/>
  <c r="G125" i="5"/>
  <c r="AF124" i="5"/>
  <c r="AE124" i="5"/>
  <c r="AD124" i="5"/>
  <c r="AC124" i="5"/>
  <c r="AB124" i="5"/>
  <c r="AA124" i="5"/>
  <c r="Z124" i="5"/>
  <c r="Y124" i="5"/>
  <c r="X124" i="5"/>
  <c r="W124" i="5"/>
  <c r="V124" i="5"/>
  <c r="U124" i="5"/>
  <c r="T124" i="5"/>
  <c r="S124" i="5"/>
  <c r="R124" i="5"/>
  <c r="Q124" i="5"/>
  <c r="P124" i="5"/>
  <c r="O124" i="5"/>
  <c r="N124" i="5"/>
  <c r="M124" i="5"/>
  <c r="L124" i="5"/>
  <c r="K124" i="5"/>
  <c r="J124" i="5"/>
  <c r="I124" i="5"/>
  <c r="H124" i="5"/>
  <c r="G124" i="5"/>
  <c r="AF123" i="5"/>
  <c r="AE123" i="5"/>
  <c r="AD123" i="5"/>
  <c r="AC123" i="5"/>
  <c r="AB123" i="5"/>
  <c r="AA123" i="5"/>
  <c r="Z123" i="5"/>
  <c r="Y123" i="5"/>
  <c r="X123" i="5"/>
  <c r="W123" i="5"/>
  <c r="V123" i="5"/>
  <c r="U123" i="5"/>
  <c r="T123" i="5"/>
  <c r="S123" i="5"/>
  <c r="R123" i="5"/>
  <c r="Q123" i="5"/>
  <c r="P123" i="5"/>
  <c r="O123" i="5"/>
  <c r="N123" i="5"/>
  <c r="M123" i="5"/>
  <c r="L123" i="5"/>
  <c r="K123" i="5"/>
  <c r="J123" i="5"/>
  <c r="I123" i="5"/>
  <c r="H123" i="5"/>
  <c r="G123" i="5"/>
  <c r="AF122" i="5"/>
  <c r="AE122" i="5"/>
  <c r="AD122" i="5"/>
  <c r="AC122" i="5"/>
  <c r="AB122" i="5"/>
  <c r="AA122" i="5"/>
  <c r="Z122" i="5"/>
  <c r="Y122" i="5"/>
  <c r="X122" i="5"/>
  <c r="W122" i="5"/>
  <c r="V122" i="5"/>
  <c r="U122" i="5"/>
  <c r="T122" i="5"/>
  <c r="S122" i="5"/>
  <c r="R122" i="5"/>
  <c r="Q122" i="5"/>
  <c r="P122" i="5"/>
  <c r="O122" i="5"/>
  <c r="N122" i="5"/>
  <c r="M122" i="5"/>
  <c r="L122" i="5"/>
  <c r="K122" i="5"/>
  <c r="J122" i="5"/>
  <c r="I122" i="5"/>
  <c r="H122" i="5"/>
  <c r="G122" i="5"/>
  <c r="AF121" i="5"/>
  <c r="AE121" i="5"/>
  <c r="AD121" i="5"/>
  <c r="AC121" i="5"/>
  <c r="AB121" i="5"/>
  <c r="AA121" i="5"/>
  <c r="Z121" i="5"/>
  <c r="Y121" i="5"/>
  <c r="X121" i="5"/>
  <c r="W121" i="5"/>
  <c r="V121" i="5"/>
  <c r="U121" i="5"/>
  <c r="T121" i="5"/>
  <c r="S121" i="5"/>
  <c r="R121" i="5"/>
  <c r="Q121" i="5"/>
  <c r="P121" i="5"/>
  <c r="O121" i="5"/>
  <c r="N121" i="5"/>
  <c r="M121" i="5"/>
  <c r="L121" i="5"/>
  <c r="K121" i="5"/>
  <c r="J121" i="5"/>
  <c r="I121" i="5"/>
  <c r="H121" i="5"/>
  <c r="G121" i="5"/>
  <c r="AF120" i="5"/>
  <c r="AE120" i="5"/>
  <c r="AD120" i="5"/>
  <c r="AC120" i="5"/>
  <c r="AB120" i="5"/>
  <c r="AA120" i="5"/>
  <c r="Z120" i="5"/>
  <c r="Y120" i="5"/>
  <c r="X120" i="5"/>
  <c r="W120" i="5"/>
  <c r="V120" i="5"/>
  <c r="U120" i="5"/>
  <c r="T120" i="5"/>
  <c r="S120" i="5"/>
  <c r="R120" i="5"/>
  <c r="Q120" i="5"/>
  <c r="P120" i="5"/>
  <c r="O120" i="5"/>
  <c r="N120" i="5"/>
  <c r="M120" i="5"/>
  <c r="L120" i="5"/>
  <c r="K120" i="5"/>
  <c r="J120" i="5"/>
  <c r="I120" i="5"/>
  <c r="H120" i="5"/>
  <c r="G120" i="5"/>
  <c r="AF119" i="5"/>
  <c r="AE119" i="5"/>
  <c r="AD119" i="5"/>
  <c r="AC119" i="5"/>
  <c r="AB119" i="5"/>
  <c r="AA119" i="5"/>
  <c r="Z119" i="5"/>
  <c r="Y119" i="5"/>
  <c r="X119" i="5"/>
  <c r="W119" i="5"/>
  <c r="V119" i="5"/>
  <c r="U119" i="5"/>
  <c r="T119" i="5"/>
  <c r="S119" i="5"/>
  <c r="R119" i="5"/>
  <c r="Q119" i="5"/>
  <c r="P119" i="5"/>
  <c r="O119" i="5"/>
  <c r="N119" i="5"/>
  <c r="M119" i="5"/>
  <c r="L119" i="5"/>
  <c r="K119" i="5"/>
  <c r="J119" i="5"/>
  <c r="I119" i="5"/>
  <c r="H119" i="5"/>
  <c r="G119" i="5"/>
  <c r="AF118" i="5"/>
  <c r="AE118" i="5"/>
  <c r="AD118" i="5"/>
  <c r="AC118" i="5"/>
  <c r="AB118" i="5"/>
  <c r="AA118" i="5"/>
  <c r="Z118" i="5"/>
  <c r="Y118" i="5"/>
  <c r="X118" i="5"/>
  <c r="W118" i="5"/>
  <c r="V118" i="5"/>
  <c r="U118" i="5"/>
  <c r="T118" i="5"/>
  <c r="S118" i="5"/>
  <c r="R118" i="5"/>
  <c r="Q118" i="5"/>
  <c r="P118" i="5"/>
  <c r="O118" i="5"/>
  <c r="N118" i="5"/>
  <c r="M118" i="5"/>
  <c r="L118" i="5"/>
  <c r="K118" i="5"/>
  <c r="J118" i="5"/>
  <c r="I118" i="5"/>
  <c r="H118" i="5"/>
  <c r="G118" i="5"/>
  <c r="AF117" i="5"/>
  <c r="AE117" i="5"/>
  <c r="AD117" i="5"/>
  <c r="AC117" i="5"/>
  <c r="AB117" i="5"/>
  <c r="AA117" i="5"/>
  <c r="Z117" i="5"/>
  <c r="Y117" i="5"/>
  <c r="X117" i="5"/>
  <c r="W117" i="5"/>
  <c r="V117" i="5"/>
  <c r="U117" i="5"/>
  <c r="T117" i="5"/>
  <c r="S117" i="5"/>
  <c r="R117" i="5"/>
  <c r="Q117" i="5"/>
  <c r="P117" i="5"/>
  <c r="O117" i="5"/>
  <c r="N117" i="5"/>
  <c r="M117" i="5"/>
  <c r="L117" i="5"/>
  <c r="K117" i="5"/>
  <c r="J117" i="5"/>
  <c r="I117" i="5"/>
  <c r="H117" i="5"/>
  <c r="G117" i="5"/>
  <c r="AF116" i="5"/>
  <c r="AE116" i="5"/>
  <c r="AD116" i="5"/>
  <c r="AC116" i="5"/>
  <c r="AB116" i="5"/>
  <c r="AA116" i="5"/>
  <c r="Z116" i="5"/>
  <c r="Y116" i="5"/>
  <c r="X116" i="5"/>
  <c r="W116" i="5"/>
  <c r="V116" i="5"/>
  <c r="U116" i="5"/>
  <c r="T116" i="5"/>
  <c r="S116" i="5"/>
  <c r="R116" i="5"/>
  <c r="Q116" i="5"/>
  <c r="P116" i="5"/>
  <c r="O116" i="5"/>
  <c r="N116" i="5"/>
  <c r="M116" i="5"/>
  <c r="L116" i="5"/>
  <c r="K116" i="5"/>
  <c r="J116" i="5"/>
  <c r="I116" i="5"/>
  <c r="H116" i="5"/>
  <c r="G116" i="5"/>
  <c r="AF115" i="5"/>
  <c r="AE115" i="5"/>
  <c r="AD115" i="5"/>
  <c r="AC115" i="5"/>
  <c r="AB115" i="5"/>
  <c r="AA115" i="5"/>
  <c r="Z115" i="5"/>
  <c r="Y115" i="5"/>
  <c r="X115" i="5"/>
  <c r="W115" i="5"/>
  <c r="V115" i="5"/>
  <c r="U115" i="5"/>
  <c r="T115" i="5"/>
  <c r="S115" i="5"/>
  <c r="R115" i="5"/>
  <c r="Q115" i="5"/>
  <c r="P115" i="5"/>
  <c r="O115" i="5"/>
  <c r="N115" i="5"/>
  <c r="M115" i="5"/>
  <c r="L115" i="5"/>
  <c r="K115" i="5"/>
  <c r="J115" i="5"/>
  <c r="I115" i="5"/>
  <c r="H115" i="5"/>
  <c r="G115" i="5"/>
  <c r="AF114" i="5"/>
  <c r="AE114" i="5"/>
  <c r="AD114" i="5"/>
  <c r="AC114" i="5"/>
  <c r="AB114" i="5"/>
  <c r="AA114" i="5"/>
  <c r="Z114" i="5"/>
  <c r="Y114" i="5"/>
  <c r="X114" i="5"/>
  <c r="W114" i="5"/>
  <c r="V114" i="5"/>
  <c r="U114" i="5"/>
  <c r="T114" i="5"/>
  <c r="S114" i="5"/>
  <c r="R114" i="5"/>
  <c r="Q114" i="5"/>
  <c r="P114" i="5"/>
  <c r="O114" i="5"/>
  <c r="N114" i="5"/>
  <c r="M114" i="5"/>
  <c r="L114" i="5"/>
  <c r="K114" i="5"/>
  <c r="J114" i="5"/>
  <c r="I114" i="5"/>
  <c r="H114" i="5"/>
  <c r="G114" i="5"/>
  <c r="AF113" i="5"/>
  <c r="AE113" i="5"/>
  <c r="AD113" i="5"/>
  <c r="AC113" i="5"/>
  <c r="AB113" i="5"/>
  <c r="AA113" i="5"/>
  <c r="Z113" i="5"/>
  <c r="Y113" i="5"/>
  <c r="X113" i="5"/>
  <c r="W113" i="5"/>
  <c r="V113" i="5"/>
  <c r="U113" i="5"/>
  <c r="T113" i="5"/>
  <c r="S113" i="5"/>
  <c r="R113" i="5"/>
  <c r="Q113" i="5"/>
  <c r="P113" i="5"/>
  <c r="O113" i="5"/>
  <c r="N113" i="5"/>
  <c r="M113" i="5"/>
  <c r="L113" i="5"/>
  <c r="K113" i="5"/>
  <c r="J113" i="5"/>
  <c r="I113" i="5"/>
  <c r="H113" i="5"/>
  <c r="G113" i="5"/>
  <c r="AF112" i="5"/>
  <c r="AE112" i="5"/>
  <c r="AD112" i="5"/>
  <c r="AC112" i="5"/>
  <c r="AB112" i="5"/>
  <c r="AA112" i="5"/>
  <c r="Z112" i="5"/>
  <c r="Y112" i="5"/>
  <c r="X112" i="5"/>
  <c r="W112" i="5"/>
  <c r="V112" i="5"/>
  <c r="U112" i="5"/>
  <c r="T112" i="5"/>
  <c r="S112" i="5"/>
  <c r="R112" i="5"/>
  <c r="Q112" i="5"/>
  <c r="P112" i="5"/>
  <c r="O112" i="5"/>
  <c r="N112" i="5"/>
  <c r="M112" i="5"/>
  <c r="L112" i="5"/>
  <c r="K112" i="5"/>
  <c r="J112" i="5"/>
  <c r="I112" i="5"/>
  <c r="H112" i="5"/>
  <c r="G112"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AF110" i="5"/>
  <c r="AE110" i="5"/>
  <c r="AD110" i="5"/>
  <c r="AC110" i="5"/>
  <c r="AB110" i="5"/>
  <c r="AA110" i="5"/>
  <c r="Z110" i="5"/>
  <c r="Y110" i="5"/>
  <c r="X110" i="5"/>
  <c r="W110" i="5"/>
  <c r="V110" i="5"/>
  <c r="U110" i="5"/>
  <c r="T110" i="5"/>
  <c r="S110" i="5"/>
  <c r="R110" i="5"/>
  <c r="Q110" i="5"/>
  <c r="P110" i="5"/>
  <c r="O110" i="5"/>
  <c r="N110" i="5"/>
  <c r="M110" i="5"/>
  <c r="L110" i="5"/>
  <c r="K110" i="5"/>
  <c r="J110" i="5"/>
  <c r="I110" i="5"/>
  <c r="H110" i="5"/>
  <c r="G110" i="5"/>
  <c r="AF109" i="5"/>
  <c r="AE109" i="5"/>
  <c r="AD109" i="5"/>
  <c r="AC109" i="5"/>
  <c r="AB109" i="5"/>
  <c r="AA109" i="5"/>
  <c r="Z109" i="5"/>
  <c r="Y109" i="5"/>
  <c r="X109" i="5"/>
  <c r="W109" i="5"/>
  <c r="V109" i="5"/>
  <c r="U109" i="5"/>
  <c r="T109" i="5"/>
  <c r="S109" i="5"/>
  <c r="R109" i="5"/>
  <c r="Q109" i="5"/>
  <c r="P109" i="5"/>
  <c r="O109" i="5"/>
  <c r="N109" i="5"/>
  <c r="M109" i="5"/>
  <c r="L109" i="5"/>
  <c r="K109" i="5"/>
  <c r="J109" i="5"/>
  <c r="I109" i="5"/>
  <c r="H109" i="5"/>
  <c r="G109" i="5"/>
  <c r="AF108" i="5"/>
  <c r="AE108" i="5"/>
  <c r="AD108" i="5"/>
  <c r="AC108" i="5"/>
  <c r="AB108" i="5"/>
  <c r="AA108" i="5"/>
  <c r="Z108" i="5"/>
  <c r="Y108" i="5"/>
  <c r="X108" i="5"/>
  <c r="W108" i="5"/>
  <c r="V108" i="5"/>
  <c r="U108" i="5"/>
  <c r="T108" i="5"/>
  <c r="S108" i="5"/>
  <c r="R108" i="5"/>
  <c r="Q108" i="5"/>
  <c r="P108" i="5"/>
  <c r="O108" i="5"/>
  <c r="N108" i="5"/>
  <c r="M108" i="5"/>
  <c r="L108" i="5"/>
  <c r="K108" i="5"/>
  <c r="J108" i="5"/>
  <c r="I108" i="5"/>
  <c r="H108" i="5"/>
  <c r="G108" i="5"/>
  <c r="AF107" i="5"/>
  <c r="AE107" i="5"/>
  <c r="AD107" i="5"/>
  <c r="AC107" i="5"/>
  <c r="AB107" i="5"/>
  <c r="AA107" i="5"/>
  <c r="Z107" i="5"/>
  <c r="Y107" i="5"/>
  <c r="X107" i="5"/>
  <c r="W107" i="5"/>
  <c r="V107" i="5"/>
  <c r="U107" i="5"/>
  <c r="T107" i="5"/>
  <c r="S107" i="5"/>
  <c r="R107" i="5"/>
  <c r="Q107" i="5"/>
  <c r="P107" i="5"/>
  <c r="O107" i="5"/>
  <c r="N107" i="5"/>
  <c r="M107" i="5"/>
  <c r="L107" i="5"/>
  <c r="K107" i="5"/>
  <c r="J107" i="5"/>
  <c r="I107" i="5"/>
  <c r="H107" i="5"/>
  <c r="G107" i="5"/>
  <c r="AF106" i="5"/>
  <c r="AE106" i="5"/>
  <c r="AD106" i="5"/>
  <c r="AC106" i="5"/>
  <c r="AB106" i="5"/>
  <c r="AA106" i="5"/>
  <c r="Z106" i="5"/>
  <c r="Y106" i="5"/>
  <c r="X106" i="5"/>
  <c r="W106" i="5"/>
  <c r="V106" i="5"/>
  <c r="U106" i="5"/>
  <c r="T106" i="5"/>
  <c r="S106" i="5"/>
  <c r="R106" i="5"/>
  <c r="Q106" i="5"/>
  <c r="P106" i="5"/>
  <c r="O106" i="5"/>
  <c r="N106" i="5"/>
  <c r="M106" i="5"/>
  <c r="L106" i="5"/>
  <c r="K106" i="5"/>
  <c r="J106" i="5"/>
  <c r="I106" i="5"/>
  <c r="H106" i="5"/>
  <c r="G106" i="5"/>
  <c r="AF105" i="5"/>
  <c r="AE105" i="5"/>
  <c r="AD105" i="5"/>
  <c r="AC105" i="5"/>
  <c r="AB105" i="5"/>
  <c r="AA105" i="5"/>
  <c r="Z105" i="5"/>
  <c r="Y105" i="5"/>
  <c r="X105" i="5"/>
  <c r="W105" i="5"/>
  <c r="V105" i="5"/>
  <c r="U105" i="5"/>
  <c r="T105" i="5"/>
  <c r="S105" i="5"/>
  <c r="R105" i="5"/>
  <c r="Q105" i="5"/>
  <c r="P105" i="5"/>
  <c r="O105" i="5"/>
  <c r="N105" i="5"/>
  <c r="M105" i="5"/>
  <c r="L105" i="5"/>
  <c r="K105" i="5"/>
  <c r="J105" i="5"/>
  <c r="I105" i="5"/>
  <c r="H105" i="5"/>
  <c r="G105" i="5"/>
  <c r="AF104" i="5"/>
  <c r="AE104" i="5"/>
  <c r="AD104" i="5"/>
  <c r="AC104" i="5"/>
  <c r="AB104" i="5"/>
  <c r="AA104" i="5"/>
  <c r="Z104" i="5"/>
  <c r="Y104" i="5"/>
  <c r="X104" i="5"/>
  <c r="W104" i="5"/>
  <c r="V104" i="5"/>
  <c r="U104" i="5"/>
  <c r="T104" i="5"/>
  <c r="S104" i="5"/>
  <c r="R104" i="5"/>
  <c r="Q104" i="5"/>
  <c r="P104" i="5"/>
  <c r="O104" i="5"/>
  <c r="N104" i="5"/>
  <c r="M104" i="5"/>
  <c r="L104" i="5"/>
  <c r="K104" i="5"/>
  <c r="J104" i="5"/>
  <c r="I104" i="5"/>
  <c r="H104" i="5"/>
  <c r="G104" i="5"/>
  <c r="AF103" i="5"/>
  <c r="AE103" i="5"/>
  <c r="AD103" i="5"/>
  <c r="AC103" i="5"/>
  <c r="AB103" i="5"/>
  <c r="AA103" i="5"/>
  <c r="Z103" i="5"/>
  <c r="Y103" i="5"/>
  <c r="X103" i="5"/>
  <c r="W103" i="5"/>
  <c r="V103" i="5"/>
  <c r="U103" i="5"/>
  <c r="T103" i="5"/>
  <c r="S103" i="5"/>
  <c r="R103" i="5"/>
  <c r="Q103" i="5"/>
  <c r="P103" i="5"/>
  <c r="O103" i="5"/>
  <c r="N103" i="5"/>
  <c r="M103" i="5"/>
  <c r="L103" i="5"/>
  <c r="K103" i="5"/>
  <c r="J103" i="5"/>
  <c r="I103" i="5"/>
  <c r="H103" i="5"/>
  <c r="G103" i="5"/>
  <c r="AF102" i="5"/>
  <c r="AE102" i="5"/>
  <c r="AD102" i="5"/>
  <c r="AC102" i="5"/>
  <c r="AB102" i="5"/>
  <c r="AA102" i="5"/>
  <c r="Z102" i="5"/>
  <c r="Y102" i="5"/>
  <c r="X102" i="5"/>
  <c r="W102" i="5"/>
  <c r="V102" i="5"/>
  <c r="U102" i="5"/>
  <c r="T102" i="5"/>
  <c r="S102" i="5"/>
  <c r="R102" i="5"/>
  <c r="Q102" i="5"/>
  <c r="P102" i="5"/>
  <c r="O102" i="5"/>
  <c r="N102" i="5"/>
  <c r="M102" i="5"/>
  <c r="L102" i="5"/>
  <c r="K102" i="5"/>
  <c r="J102" i="5"/>
  <c r="I102" i="5"/>
  <c r="H102" i="5"/>
  <c r="G102"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AF100" i="5"/>
  <c r="AE100" i="5"/>
  <c r="AD100" i="5"/>
  <c r="AC100" i="5"/>
  <c r="AB100" i="5"/>
  <c r="AA100" i="5"/>
  <c r="Z100" i="5"/>
  <c r="Y100" i="5"/>
  <c r="X100" i="5"/>
  <c r="W100" i="5"/>
  <c r="V100" i="5"/>
  <c r="U100" i="5"/>
  <c r="T100" i="5"/>
  <c r="S100" i="5"/>
  <c r="R100" i="5"/>
  <c r="Q100" i="5"/>
  <c r="P100" i="5"/>
  <c r="O100" i="5"/>
  <c r="N100" i="5"/>
  <c r="M100" i="5"/>
  <c r="L100" i="5"/>
  <c r="K100" i="5"/>
  <c r="J100" i="5"/>
  <c r="I100" i="5"/>
  <c r="H100" i="5"/>
  <c r="G100" i="5"/>
  <c r="AF99" i="5"/>
  <c r="AE99" i="5"/>
  <c r="AD99" i="5"/>
  <c r="AC99" i="5"/>
  <c r="AB99" i="5"/>
  <c r="AA99" i="5"/>
  <c r="Z99" i="5"/>
  <c r="Y99" i="5"/>
  <c r="X99" i="5"/>
  <c r="W99" i="5"/>
  <c r="V99" i="5"/>
  <c r="U99" i="5"/>
  <c r="T99" i="5"/>
  <c r="S99" i="5"/>
  <c r="R99" i="5"/>
  <c r="Q99" i="5"/>
  <c r="P99" i="5"/>
  <c r="O99" i="5"/>
  <c r="N99" i="5"/>
  <c r="M99" i="5"/>
  <c r="L99" i="5"/>
  <c r="K99" i="5"/>
  <c r="J99" i="5"/>
  <c r="I99" i="5"/>
  <c r="H99" i="5"/>
  <c r="G99" i="5"/>
  <c r="AF98" i="5"/>
  <c r="AE98" i="5"/>
  <c r="AD98" i="5"/>
  <c r="AC98" i="5"/>
  <c r="AB98" i="5"/>
  <c r="AA98" i="5"/>
  <c r="Z98" i="5"/>
  <c r="Y98" i="5"/>
  <c r="X98" i="5"/>
  <c r="W98" i="5"/>
  <c r="V98" i="5"/>
  <c r="U98" i="5"/>
  <c r="T98" i="5"/>
  <c r="S98" i="5"/>
  <c r="R98" i="5"/>
  <c r="Q98" i="5"/>
  <c r="P98" i="5"/>
  <c r="O98" i="5"/>
  <c r="N98" i="5"/>
  <c r="M98" i="5"/>
  <c r="L98" i="5"/>
  <c r="K98" i="5"/>
  <c r="J98" i="5"/>
  <c r="I98" i="5"/>
  <c r="H98" i="5"/>
  <c r="G98" i="5"/>
  <c r="AF97" i="5"/>
  <c r="AE97" i="5"/>
  <c r="AD97" i="5"/>
  <c r="AC97" i="5"/>
  <c r="AB97" i="5"/>
  <c r="AA97" i="5"/>
  <c r="Z97" i="5"/>
  <c r="Y97" i="5"/>
  <c r="X97" i="5"/>
  <c r="W97" i="5"/>
  <c r="V97" i="5"/>
  <c r="U97" i="5"/>
  <c r="T97" i="5"/>
  <c r="S97" i="5"/>
  <c r="R97" i="5"/>
  <c r="Q97" i="5"/>
  <c r="P97" i="5"/>
  <c r="O97" i="5"/>
  <c r="N97" i="5"/>
  <c r="M97" i="5"/>
  <c r="L97" i="5"/>
  <c r="K97" i="5"/>
  <c r="J97" i="5"/>
  <c r="I97" i="5"/>
  <c r="H97" i="5"/>
  <c r="G97" i="5"/>
  <c r="AF96" i="5"/>
  <c r="AE96" i="5"/>
  <c r="AD96" i="5"/>
  <c r="AC96" i="5"/>
  <c r="AB96" i="5"/>
  <c r="AA96" i="5"/>
  <c r="Z96" i="5"/>
  <c r="Y96" i="5"/>
  <c r="X96" i="5"/>
  <c r="W96" i="5"/>
  <c r="V96" i="5"/>
  <c r="U96" i="5"/>
  <c r="T96" i="5"/>
  <c r="S96" i="5"/>
  <c r="R96" i="5"/>
  <c r="Q96" i="5"/>
  <c r="P96" i="5"/>
  <c r="O96" i="5"/>
  <c r="N96" i="5"/>
  <c r="M96" i="5"/>
  <c r="L96" i="5"/>
  <c r="K96" i="5"/>
  <c r="J96" i="5"/>
  <c r="I96" i="5"/>
  <c r="H96" i="5"/>
  <c r="G96" i="5"/>
  <c r="AF95" i="5"/>
  <c r="AE95" i="5"/>
  <c r="AD95" i="5"/>
  <c r="AC95" i="5"/>
  <c r="AB95" i="5"/>
  <c r="AA95" i="5"/>
  <c r="Z95" i="5"/>
  <c r="Y95" i="5"/>
  <c r="X95" i="5"/>
  <c r="W95" i="5"/>
  <c r="V95" i="5"/>
  <c r="U95" i="5"/>
  <c r="T95" i="5"/>
  <c r="S95" i="5"/>
  <c r="R95" i="5"/>
  <c r="Q95" i="5"/>
  <c r="P95" i="5"/>
  <c r="O95" i="5"/>
  <c r="N95" i="5"/>
  <c r="M95" i="5"/>
  <c r="L95" i="5"/>
  <c r="K95" i="5"/>
  <c r="J95" i="5"/>
  <c r="I95" i="5"/>
  <c r="H95" i="5"/>
  <c r="G95" i="5"/>
  <c r="AF94" i="5"/>
  <c r="AE94" i="5"/>
  <c r="AD94" i="5"/>
  <c r="AC94" i="5"/>
  <c r="AB94" i="5"/>
  <c r="AA94" i="5"/>
  <c r="Z94" i="5"/>
  <c r="Y94" i="5"/>
  <c r="X94" i="5"/>
  <c r="W94" i="5"/>
  <c r="V94" i="5"/>
  <c r="U94" i="5"/>
  <c r="T94" i="5"/>
  <c r="S94" i="5"/>
  <c r="R94" i="5"/>
  <c r="Q94" i="5"/>
  <c r="P94" i="5"/>
  <c r="O94" i="5"/>
  <c r="N94" i="5"/>
  <c r="M94" i="5"/>
  <c r="L94" i="5"/>
  <c r="K94" i="5"/>
  <c r="J94" i="5"/>
  <c r="I94" i="5"/>
  <c r="H94" i="5"/>
  <c r="G94" i="5"/>
  <c r="AF93" i="5"/>
  <c r="AE93" i="5"/>
  <c r="AD93" i="5"/>
  <c r="AC93" i="5"/>
  <c r="AB93" i="5"/>
  <c r="AA93" i="5"/>
  <c r="Z93" i="5"/>
  <c r="Y93" i="5"/>
  <c r="X93" i="5"/>
  <c r="W93" i="5"/>
  <c r="V93" i="5"/>
  <c r="U93" i="5"/>
  <c r="T93" i="5"/>
  <c r="S93" i="5"/>
  <c r="R93" i="5"/>
  <c r="Q93" i="5"/>
  <c r="P93" i="5"/>
  <c r="O93" i="5"/>
  <c r="N93" i="5"/>
  <c r="M93" i="5"/>
  <c r="L93" i="5"/>
  <c r="K93" i="5"/>
  <c r="J93" i="5"/>
  <c r="I93" i="5"/>
  <c r="H93" i="5"/>
  <c r="G93" i="5"/>
  <c r="AF92" i="5"/>
  <c r="AE92" i="5"/>
  <c r="AD92" i="5"/>
  <c r="AC92" i="5"/>
  <c r="AB92" i="5"/>
  <c r="AA92" i="5"/>
  <c r="Z92" i="5"/>
  <c r="Y92" i="5"/>
  <c r="X92" i="5"/>
  <c r="W92" i="5"/>
  <c r="V92" i="5"/>
  <c r="U92" i="5"/>
  <c r="T92" i="5"/>
  <c r="S92" i="5"/>
  <c r="R92" i="5"/>
  <c r="Q92" i="5"/>
  <c r="P92" i="5"/>
  <c r="O92" i="5"/>
  <c r="N92" i="5"/>
  <c r="M92" i="5"/>
  <c r="L92" i="5"/>
  <c r="K92" i="5"/>
  <c r="J92" i="5"/>
  <c r="I92" i="5"/>
  <c r="H92" i="5"/>
  <c r="G92" i="5"/>
  <c r="AF91" i="5"/>
  <c r="AE91" i="5"/>
  <c r="AD91" i="5"/>
  <c r="AC91" i="5"/>
  <c r="AB91" i="5"/>
  <c r="AA91" i="5"/>
  <c r="Z91" i="5"/>
  <c r="Y91" i="5"/>
  <c r="X91" i="5"/>
  <c r="W91" i="5"/>
  <c r="V91" i="5"/>
  <c r="U91" i="5"/>
  <c r="T91" i="5"/>
  <c r="S91" i="5"/>
  <c r="R91" i="5"/>
  <c r="Q91" i="5"/>
  <c r="P91" i="5"/>
  <c r="O91" i="5"/>
  <c r="N91" i="5"/>
  <c r="M91" i="5"/>
  <c r="L91" i="5"/>
  <c r="K91" i="5"/>
  <c r="J91" i="5"/>
  <c r="I91" i="5"/>
  <c r="H91" i="5"/>
  <c r="G91" i="5"/>
  <c r="AF90" i="5"/>
  <c r="AE90" i="5"/>
  <c r="AD90" i="5"/>
  <c r="AC90" i="5"/>
  <c r="AB90" i="5"/>
  <c r="AA90" i="5"/>
  <c r="Z90" i="5"/>
  <c r="Y90" i="5"/>
  <c r="X90" i="5"/>
  <c r="W90" i="5"/>
  <c r="V90" i="5"/>
  <c r="U90" i="5"/>
  <c r="T90" i="5"/>
  <c r="S90" i="5"/>
  <c r="R90" i="5"/>
  <c r="Q90" i="5"/>
  <c r="P90" i="5"/>
  <c r="O90" i="5"/>
  <c r="N90" i="5"/>
  <c r="M90" i="5"/>
  <c r="L90" i="5"/>
  <c r="K90" i="5"/>
  <c r="J90" i="5"/>
  <c r="I90" i="5"/>
  <c r="H90" i="5"/>
  <c r="G90" i="5"/>
  <c r="AF89" i="5"/>
  <c r="AE89" i="5"/>
  <c r="AD89" i="5"/>
  <c r="AC89" i="5"/>
  <c r="AB89" i="5"/>
  <c r="AA89" i="5"/>
  <c r="Z89" i="5"/>
  <c r="Y89" i="5"/>
  <c r="X89" i="5"/>
  <c r="W89" i="5"/>
  <c r="V89" i="5"/>
  <c r="U89" i="5"/>
  <c r="T89" i="5"/>
  <c r="S89" i="5"/>
  <c r="R89" i="5"/>
  <c r="Q89" i="5"/>
  <c r="P89" i="5"/>
  <c r="O89" i="5"/>
  <c r="N89" i="5"/>
  <c r="M89" i="5"/>
  <c r="L89" i="5"/>
  <c r="K89" i="5"/>
  <c r="J89" i="5"/>
  <c r="I89" i="5"/>
  <c r="H89" i="5"/>
  <c r="G89" i="5"/>
  <c r="AF88" i="5"/>
  <c r="AE88" i="5"/>
  <c r="AD88" i="5"/>
  <c r="AC88" i="5"/>
  <c r="AB88" i="5"/>
  <c r="AA88" i="5"/>
  <c r="Z88" i="5"/>
  <c r="Y88" i="5"/>
  <c r="X88" i="5"/>
  <c r="W88" i="5"/>
  <c r="V88" i="5"/>
  <c r="U88" i="5"/>
  <c r="T88" i="5"/>
  <c r="S88" i="5"/>
  <c r="R88" i="5"/>
  <c r="Q88" i="5"/>
  <c r="P88" i="5"/>
  <c r="O88" i="5"/>
  <c r="N88" i="5"/>
  <c r="M88" i="5"/>
  <c r="L88" i="5"/>
  <c r="K88" i="5"/>
  <c r="J88" i="5"/>
  <c r="I88" i="5"/>
  <c r="H88" i="5"/>
  <c r="G88" i="5"/>
  <c r="AF87" i="5"/>
  <c r="AE87" i="5"/>
  <c r="AD87" i="5"/>
  <c r="AC87" i="5"/>
  <c r="AB87" i="5"/>
  <c r="AA87" i="5"/>
  <c r="Z87" i="5"/>
  <c r="Y87" i="5"/>
  <c r="X87" i="5"/>
  <c r="W87" i="5"/>
  <c r="V87" i="5"/>
  <c r="U87" i="5"/>
  <c r="T87" i="5"/>
  <c r="S87" i="5"/>
  <c r="R87" i="5"/>
  <c r="Q87" i="5"/>
  <c r="P87" i="5"/>
  <c r="O87" i="5"/>
  <c r="N87" i="5"/>
  <c r="M87" i="5"/>
  <c r="L87" i="5"/>
  <c r="K87" i="5"/>
  <c r="J87" i="5"/>
  <c r="I87" i="5"/>
  <c r="H87" i="5"/>
  <c r="G87" i="5"/>
  <c r="AF86" i="5"/>
  <c r="AE86" i="5"/>
  <c r="AD86" i="5"/>
  <c r="AC86" i="5"/>
  <c r="AB86" i="5"/>
  <c r="AA86" i="5"/>
  <c r="Z86" i="5"/>
  <c r="Y86" i="5"/>
  <c r="X86" i="5"/>
  <c r="W86" i="5"/>
  <c r="V86" i="5"/>
  <c r="U86" i="5"/>
  <c r="T86" i="5"/>
  <c r="S86" i="5"/>
  <c r="R86" i="5"/>
  <c r="Q86" i="5"/>
  <c r="P86" i="5"/>
  <c r="O86" i="5"/>
  <c r="N86" i="5"/>
  <c r="M86" i="5"/>
  <c r="L86" i="5"/>
  <c r="K86" i="5"/>
  <c r="J86" i="5"/>
  <c r="I86" i="5"/>
  <c r="H86" i="5"/>
  <c r="G86" i="5"/>
  <c r="AF85" i="5"/>
  <c r="AE85" i="5"/>
  <c r="AD85" i="5"/>
  <c r="AC85" i="5"/>
  <c r="AB85" i="5"/>
  <c r="AA85" i="5"/>
  <c r="Z85" i="5"/>
  <c r="Y85" i="5"/>
  <c r="X85" i="5"/>
  <c r="W85" i="5"/>
  <c r="V85" i="5"/>
  <c r="U85" i="5"/>
  <c r="T85" i="5"/>
  <c r="S85" i="5"/>
  <c r="R85" i="5"/>
  <c r="Q85" i="5"/>
  <c r="P85" i="5"/>
  <c r="O85" i="5"/>
  <c r="N85" i="5"/>
  <c r="M85" i="5"/>
  <c r="L85" i="5"/>
  <c r="K85" i="5"/>
  <c r="J85" i="5"/>
  <c r="I85" i="5"/>
  <c r="H85" i="5"/>
  <c r="G85" i="5"/>
  <c r="AF84" i="5"/>
  <c r="AE84" i="5"/>
  <c r="AD84" i="5"/>
  <c r="AC84" i="5"/>
  <c r="AB84" i="5"/>
  <c r="AA84" i="5"/>
  <c r="Z84" i="5"/>
  <c r="Y84" i="5"/>
  <c r="X84" i="5"/>
  <c r="W84" i="5"/>
  <c r="V84" i="5"/>
  <c r="U84" i="5"/>
  <c r="T84" i="5"/>
  <c r="S84" i="5"/>
  <c r="R84" i="5"/>
  <c r="Q84" i="5"/>
  <c r="P84" i="5"/>
  <c r="O84" i="5"/>
  <c r="N84" i="5"/>
  <c r="M84" i="5"/>
  <c r="L84" i="5"/>
  <c r="K84" i="5"/>
  <c r="J84" i="5"/>
  <c r="I84" i="5"/>
  <c r="H84" i="5"/>
  <c r="G84" i="5"/>
  <c r="AF83" i="5"/>
  <c r="AE83" i="5"/>
  <c r="AD83" i="5"/>
  <c r="AC83" i="5"/>
  <c r="AB83" i="5"/>
  <c r="AA83" i="5"/>
  <c r="Z83" i="5"/>
  <c r="Y83" i="5"/>
  <c r="X83" i="5"/>
  <c r="W83" i="5"/>
  <c r="V83" i="5"/>
  <c r="U83" i="5"/>
  <c r="T83" i="5"/>
  <c r="S83" i="5"/>
  <c r="R83" i="5"/>
  <c r="Q83" i="5"/>
  <c r="P83" i="5"/>
  <c r="O83" i="5"/>
  <c r="N83" i="5"/>
  <c r="M83" i="5"/>
  <c r="L83" i="5"/>
  <c r="K83" i="5"/>
  <c r="J83" i="5"/>
  <c r="I83" i="5"/>
  <c r="H83" i="5"/>
  <c r="G83" i="5"/>
  <c r="AF82" i="5"/>
  <c r="AE82" i="5"/>
  <c r="AD82" i="5"/>
  <c r="AC82" i="5"/>
  <c r="AB82" i="5"/>
  <c r="AA82" i="5"/>
  <c r="Z82" i="5"/>
  <c r="Y82" i="5"/>
  <c r="X82" i="5"/>
  <c r="W82" i="5"/>
  <c r="V82" i="5"/>
  <c r="U82" i="5"/>
  <c r="T82" i="5"/>
  <c r="S82" i="5"/>
  <c r="R82" i="5"/>
  <c r="Q82" i="5"/>
  <c r="P82" i="5"/>
  <c r="O82" i="5"/>
  <c r="N82" i="5"/>
  <c r="M82" i="5"/>
  <c r="L82" i="5"/>
  <c r="K82" i="5"/>
  <c r="J82" i="5"/>
  <c r="I82" i="5"/>
  <c r="H82" i="5"/>
  <c r="G82" i="5"/>
  <c r="AF81" i="5"/>
  <c r="AE81" i="5"/>
  <c r="AD81" i="5"/>
  <c r="AC81" i="5"/>
  <c r="AB81" i="5"/>
  <c r="AA81" i="5"/>
  <c r="Z81" i="5"/>
  <c r="Y81" i="5"/>
  <c r="X81" i="5"/>
  <c r="W81" i="5"/>
  <c r="V81" i="5"/>
  <c r="U81" i="5"/>
  <c r="T81" i="5"/>
  <c r="S81" i="5"/>
  <c r="R81" i="5"/>
  <c r="Q81" i="5"/>
  <c r="P81" i="5"/>
  <c r="O81" i="5"/>
  <c r="N81" i="5"/>
  <c r="M81" i="5"/>
  <c r="L81" i="5"/>
  <c r="K81" i="5"/>
  <c r="J81" i="5"/>
  <c r="I81" i="5"/>
  <c r="H81" i="5"/>
  <c r="G81" i="5"/>
  <c r="AF80" i="5"/>
  <c r="AE80" i="5"/>
  <c r="AD80" i="5"/>
  <c r="AC80" i="5"/>
  <c r="AB80" i="5"/>
  <c r="AA80" i="5"/>
  <c r="Z80" i="5"/>
  <c r="Y80" i="5"/>
  <c r="X80" i="5"/>
  <c r="W80" i="5"/>
  <c r="V80" i="5"/>
  <c r="U80" i="5"/>
  <c r="T80" i="5"/>
  <c r="S80" i="5"/>
  <c r="R80" i="5"/>
  <c r="Q80" i="5"/>
  <c r="P80" i="5"/>
  <c r="O80" i="5"/>
  <c r="N80" i="5"/>
  <c r="M80" i="5"/>
  <c r="L80" i="5"/>
  <c r="K80" i="5"/>
  <c r="J80" i="5"/>
  <c r="I80" i="5"/>
  <c r="H80" i="5"/>
  <c r="G80" i="5"/>
  <c r="AF79" i="5"/>
  <c r="AE79" i="5"/>
  <c r="AD79" i="5"/>
  <c r="AC79" i="5"/>
  <c r="AB79" i="5"/>
  <c r="AA79" i="5"/>
  <c r="Z79" i="5"/>
  <c r="Y79" i="5"/>
  <c r="X79" i="5"/>
  <c r="W79" i="5"/>
  <c r="V79" i="5"/>
  <c r="U79" i="5"/>
  <c r="T79" i="5"/>
  <c r="S79" i="5"/>
  <c r="R79" i="5"/>
  <c r="Q79" i="5"/>
  <c r="P79" i="5"/>
  <c r="O79" i="5"/>
  <c r="N79" i="5"/>
  <c r="M79" i="5"/>
  <c r="L79" i="5"/>
  <c r="K79" i="5"/>
  <c r="J79" i="5"/>
  <c r="I79" i="5"/>
  <c r="H79" i="5"/>
  <c r="G79" i="5"/>
  <c r="AF78" i="5"/>
  <c r="AE78" i="5"/>
  <c r="AD78" i="5"/>
  <c r="AC78" i="5"/>
  <c r="AB78" i="5"/>
  <c r="AA78" i="5"/>
  <c r="Z78" i="5"/>
  <c r="Y78" i="5"/>
  <c r="X78" i="5"/>
  <c r="W78" i="5"/>
  <c r="V78" i="5"/>
  <c r="U78" i="5"/>
  <c r="T78" i="5"/>
  <c r="S78" i="5"/>
  <c r="R78" i="5"/>
  <c r="Q78" i="5"/>
  <c r="P78" i="5"/>
  <c r="O78" i="5"/>
  <c r="N78" i="5"/>
  <c r="M78" i="5"/>
  <c r="L78" i="5"/>
  <c r="K78" i="5"/>
  <c r="J78" i="5"/>
  <c r="I78" i="5"/>
  <c r="H78" i="5"/>
  <c r="G78" i="5"/>
  <c r="AF77" i="5"/>
  <c r="AE77" i="5"/>
  <c r="AD77" i="5"/>
  <c r="AC77" i="5"/>
  <c r="AB77" i="5"/>
  <c r="AA77" i="5"/>
  <c r="Z77" i="5"/>
  <c r="Y77" i="5"/>
  <c r="X77" i="5"/>
  <c r="W77" i="5"/>
  <c r="V77" i="5"/>
  <c r="U77" i="5"/>
  <c r="T77" i="5"/>
  <c r="S77" i="5"/>
  <c r="R77" i="5"/>
  <c r="Q77" i="5"/>
  <c r="P77" i="5"/>
  <c r="O77" i="5"/>
  <c r="N77" i="5"/>
  <c r="M77" i="5"/>
  <c r="L77" i="5"/>
  <c r="K77" i="5"/>
  <c r="J77" i="5"/>
  <c r="I77" i="5"/>
  <c r="H77" i="5"/>
  <c r="G77" i="5"/>
  <c r="AF76" i="5"/>
  <c r="AE76" i="5"/>
  <c r="AD76" i="5"/>
  <c r="AC76" i="5"/>
  <c r="AB76" i="5"/>
  <c r="AA76" i="5"/>
  <c r="Z76" i="5"/>
  <c r="Y76" i="5"/>
  <c r="X76" i="5"/>
  <c r="W76" i="5"/>
  <c r="V76" i="5"/>
  <c r="U76" i="5"/>
  <c r="T76" i="5"/>
  <c r="S76" i="5"/>
  <c r="R76" i="5"/>
  <c r="Q76" i="5"/>
  <c r="P76" i="5"/>
  <c r="O76" i="5"/>
  <c r="N76" i="5"/>
  <c r="M76" i="5"/>
  <c r="L76" i="5"/>
  <c r="K76" i="5"/>
  <c r="J76" i="5"/>
  <c r="I76" i="5"/>
  <c r="H76" i="5"/>
  <c r="G76" i="5"/>
  <c r="AF75" i="5"/>
  <c r="AE75" i="5"/>
  <c r="AD75" i="5"/>
  <c r="AC75" i="5"/>
  <c r="AB75" i="5"/>
  <c r="AA75" i="5"/>
  <c r="Z75" i="5"/>
  <c r="Y75" i="5"/>
  <c r="X75" i="5"/>
  <c r="W75" i="5"/>
  <c r="V75" i="5"/>
  <c r="U75" i="5"/>
  <c r="T75" i="5"/>
  <c r="S75" i="5"/>
  <c r="R75" i="5"/>
  <c r="Q75" i="5"/>
  <c r="P75" i="5"/>
  <c r="O75" i="5"/>
  <c r="N75" i="5"/>
  <c r="M75" i="5"/>
  <c r="L75" i="5"/>
  <c r="K75" i="5"/>
  <c r="J75" i="5"/>
  <c r="I75" i="5"/>
  <c r="H75" i="5"/>
  <c r="G75" i="5"/>
  <c r="AF74" i="5"/>
  <c r="AE74" i="5"/>
  <c r="AD74" i="5"/>
  <c r="AC74" i="5"/>
  <c r="AB74" i="5"/>
  <c r="AA74" i="5"/>
  <c r="Z74" i="5"/>
  <c r="Y74" i="5"/>
  <c r="X74" i="5"/>
  <c r="W74" i="5"/>
  <c r="V74" i="5"/>
  <c r="U74" i="5"/>
  <c r="T74" i="5"/>
  <c r="S74" i="5"/>
  <c r="R74" i="5"/>
  <c r="Q74" i="5"/>
  <c r="P74" i="5"/>
  <c r="O74" i="5"/>
  <c r="N74" i="5"/>
  <c r="M74" i="5"/>
  <c r="L74" i="5"/>
  <c r="K74" i="5"/>
  <c r="J74" i="5"/>
  <c r="I74" i="5"/>
  <c r="H74" i="5"/>
  <c r="G74" i="5"/>
  <c r="AF73" i="5"/>
  <c r="AE73" i="5"/>
  <c r="AD73" i="5"/>
  <c r="AC73" i="5"/>
  <c r="AB73" i="5"/>
  <c r="AA73" i="5"/>
  <c r="Z73" i="5"/>
  <c r="Y73" i="5"/>
  <c r="X73" i="5"/>
  <c r="W73" i="5"/>
  <c r="V73" i="5"/>
  <c r="U73" i="5"/>
  <c r="T73" i="5"/>
  <c r="S73" i="5"/>
  <c r="R73" i="5"/>
  <c r="Q73" i="5"/>
  <c r="P73" i="5"/>
  <c r="O73" i="5"/>
  <c r="N73" i="5"/>
  <c r="M73" i="5"/>
  <c r="L73" i="5"/>
  <c r="K73" i="5"/>
  <c r="J73" i="5"/>
  <c r="I73" i="5"/>
  <c r="H73" i="5"/>
  <c r="G73" i="5"/>
  <c r="AF72" i="5"/>
  <c r="AE72" i="5"/>
  <c r="AD72" i="5"/>
  <c r="AC72" i="5"/>
  <c r="AB72" i="5"/>
  <c r="AA72" i="5"/>
  <c r="Z72" i="5"/>
  <c r="Y72" i="5"/>
  <c r="X72" i="5"/>
  <c r="W72" i="5"/>
  <c r="V72" i="5"/>
  <c r="U72" i="5"/>
  <c r="T72" i="5"/>
  <c r="S72" i="5"/>
  <c r="R72" i="5"/>
  <c r="Q72" i="5"/>
  <c r="P72" i="5"/>
  <c r="O72" i="5"/>
  <c r="N72" i="5"/>
  <c r="M72" i="5"/>
  <c r="L72" i="5"/>
  <c r="K72" i="5"/>
  <c r="J72" i="5"/>
  <c r="I72" i="5"/>
  <c r="H72" i="5"/>
  <c r="G72" i="5"/>
  <c r="AF71" i="5"/>
  <c r="AE71" i="5"/>
  <c r="AD71" i="5"/>
  <c r="AC71" i="5"/>
  <c r="AB71" i="5"/>
  <c r="AA71" i="5"/>
  <c r="Z71" i="5"/>
  <c r="Y71" i="5"/>
  <c r="X71" i="5"/>
  <c r="W71" i="5"/>
  <c r="V71" i="5"/>
  <c r="U71" i="5"/>
  <c r="T71" i="5"/>
  <c r="S71" i="5"/>
  <c r="R71" i="5"/>
  <c r="Q71" i="5"/>
  <c r="P71" i="5"/>
  <c r="O71" i="5"/>
  <c r="N71" i="5"/>
  <c r="M71" i="5"/>
  <c r="L71" i="5"/>
  <c r="K71" i="5"/>
  <c r="J71" i="5"/>
  <c r="I71" i="5"/>
  <c r="H71" i="5"/>
  <c r="G71" i="5"/>
  <c r="AF70" i="5"/>
  <c r="AE70" i="5"/>
  <c r="AD70" i="5"/>
  <c r="AC70" i="5"/>
  <c r="AB70" i="5"/>
  <c r="AA70" i="5"/>
  <c r="Z70" i="5"/>
  <c r="Y70" i="5"/>
  <c r="X70" i="5"/>
  <c r="W70" i="5"/>
  <c r="V70" i="5"/>
  <c r="U70" i="5"/>
  <c r="T70" i="5"/>
  <c r="S70" i="5"/>
  <c r="R70" i="5"/>
  <c r="Q70" i="5"/>
  <c r="P70" i="5"/>
  <c r="O70" i="5"/>
  <c r="N70" i="5"/>
  <c r="M70" i="5"/>
  <c r="L70" i="5"/>
  <c r="K70" i="5"/>
  <c r="J70" i="5"/>
  <c r="I70" i="5"/>
  <c r="H70" i="5"/>
  <c r="G70" i="5"/>
  <c r="AF69" i="5"/>
  <c r="AE69" i="5"/>
  <c r="AD69" i="5"/>
  <c r="AC69" i="5"/>
  <c r="AB69" i="5"/>
  <c r="AA69" i="5"/>
  <c r="Z69" i="5"/>
  <c r="Y69" i="5"/>
  <c r="X69" i="5"/>
  <c r="W69" i="5"/>
  <c r="V69" i="5"/>
  <c r="U69" i="5"/>
  <c r="T69" i="5"/>
  <c r="S69" i="5"/>
  <c r="R69" i="5"/>
  <c r="Q69" i="5"/>
  <c r="P69" i="5"/>
  <c r="O69" i="5"/>
  <c r="N69" i="5"/>
  <c r="M69" i="5"/>
  <c r="L69" i="5"/>
  <c r="K69" i="5"/>
  <c r="J69" i="5"/>
  <c r="I69" i="5"/>
  <c r="H69" i="5"/>
  <c r="G69" i="5"/>
  <c r="AF68" i="5"/>
  <c r="AE68" i="5"/>
  <c r="AD68" i="5"/>
  <c r="AC68" i="5"/>
  <c r="AB68" i="5"/>
  <c r="AA68" i="5"/>
  <c r="Z68" i="5"/>
  <c r="Y68" i="5"/>
  <c r="X68" i="5"/>
  <c r="W68" i="5"/>
  <c r="V68" i="5"/>
  <c r="U68" i="5"/>
  <c r="T68" i="5"/>
  <c r="S68" i="5"/>
  <c r="R68" i="5"/>
  <c r="Q68" i="5"/>
  <c r="P68" i="5"/>
  <c r="O68" i="5"/>
  <c r="N68" i="5"/>
  <c r="M68" i="5"/>
  <c r="L68" i="5"/>
  <c r="K68" i="5"/>
  <c r="J68" i="5"/>
  <c r="I68" i="5"/>
  <c r="H68" i="5"/>
  <c r="G68" i="5"/>
  <c r="AF67" i="5"/>
  <c r="AE67" i="5"/>
  <c r="AD67" i="5"/>
  <c r="AC67" i="5"/>
  <c r="AB67" i="5"/>
  <c r="AA67" i="5"/>
  <c r="Z67" i="5"/>
  <c r="Y67" i="5"/>
  <c r="X67" i="5"/>
  <c r="W67" i="5"/>
  <c r="V67" i="5"/>
  <c r="U67" i="5"/>
  <c r="T67" i="5"/>
  <c r="S67" i="5"/>
  <c r="R67" i="5"/>
  <c r="Q67" i="5"/>
  <c r="P67" i="5"/>
  <c r="O67" i="5"/>
  <c r="N67" i="5"/>
  <c r="M67" i="5"/>
  <c r="L67" i="5"/>
  <c r="K67" i="5"/>
  <c r="J67" i="5"/>
  <c r="I67" i="5"/>
  <c r="H67" i="5"/>
  <c r="G67" i="5"/>
  <c r="AF66" i="5"/>
  <c r="AE66" i="5"/>
  <c r="AD66" i="5"/>
  <c r="AC66" i="5"/>
  <c r="AB66" i="5"/>
  <c r="AA66" i="5"/>
  <c r="Z66" i="5"/>
  <c r="Y66" i="5"/>
  <c r="X66" i="5"/>
  <c r="W66" i="5"/>
  <c r="V66" i="5"/>
  <c r="U66" i="5"/>
  <c r="T66" i="5"/>
  <c r="S66" i="5"/>
  <c r="R66" i="5"/>
  <c r="Q66" i="5"/>
  <c r="P66" i="5"/>
  <c r="O66" i="5"/>
  <c r="N66" i="5"/>
  <c r="M66" i="5"/>
  <c r="L66" i="5"/>
  <c r="K66" i="5"/>
  <c r="J66" i="5"/>
  <c r="I66" i="5"/>
  <c r="H66" i="5"/>
  <c r="G66" i="5"/>
  <c r="AF65" i="5"/>
  <c r="AE65" i="5"/>
  <c r="AD65" i="5"/>
  <c r="AC65" i="5"/>
  <c r="AB65" i="5"/>
  <c r="AA65" i="5"/>
  <c r="Z65" i="5"/>
  <c r="Y65" i="5"/>
  <c r="X65" i="5"/>
  <c r="W65" i="5"/>
  <c r="V65" i="5"/>
  <c r="U65" i="5"/>
  <c r="T65" i="5"/>
  <c r="S65" i="5"/>
  <c r="R65" i="5"/>
  <c r="Q65" i="5"/>
  <c r="P65" i="5"/>
  <c r="O65" i="5"/>
  <c r="N65" i="5"/>
  <c r="M65" i="5"/>
  <c r="L65" i="5"/>
  <c r="K65" i="5"/>
  <c r="J65" i="5"/>
  <c r="I65" i="5"/>
  <c r="H65" i="5"/>
  <c r="G65" i="5"/>
  <c r="AF64" i="5"/>
  <c r="AE64" i="5"/>
  <c r="AD64" i="5"/>
  <c r="AC64" i="5"/>
  <c r="AB64" i="5"/>
  <c r="AA64" i="5"/>
  <c r="Z64" i="5"/>
  <c r="Y64" i="5"/>
  <c r="X64" i="5"/>
  <c r="W64" i="5"/>
  <c r="V64" i="5"/>
  <c r="U64" i="5"/>
  <c r="T64" i="5"/>
  <c r="S64" i="5"/>
  <c r="R64" i="5"/>
  <c r="Q64" i="5"/>
  <c r="P64" i="5"/>
  <c r="O64" i="5"/>
  <c r="N64" i="5"/>
  <c r="M64" i="5"/>
  <c r="L64" i="5"/>
  <c r="K64" i="5"/>
  <c r="J64" i="5"/>
  <c r="I64" i="5"/>
  <c r="H64" i="5"/>
  <c r="G64" i="5"/>
  <c r="AF63" i="5"/>
  <c r="AE63" i="5"/>
  <c r="AD63" i="5"/>
  <c r="AC63" i="5"/>
  <c r="AB63" i="5"/>
  <c r="AA63" i="5"/>
  <c r="Z63" i="5"/>
  <c r="Y63" i="5"/>
  <c r="X63" i="5"/>
  <c r="W63" i="5"/>
  <c r="V63" i="5"/>
  <c r="U63" i="5"/>
  <c r="T63" i="5"/>
  <c r="S63" i="5"/>
  <c r="R63" i="5"/>
  <c r="Q63" i="5"/>
  <c r="P63" i="5"/>
  <c r="O63" i="5"/>
  <c r="N63" i="5"/>
  <c r="M63" i="5"/>
  <c r="L63" i="5"/>
  <c r="K63" i="5"/>
  <c r="J63" i="5"/>
  <c r="I63" i="5"/>
  <c r="H63" i="5"/>
  <c r="G63" i="5"/>
  <c r="AF62" i="5"/>
  <c r="AE62" i="5"/>
  <c r="AD62" i="5"/>
  <c r="AC62" i="5"/>
  <c r="AB62" i="5"/>
  <c r="AA62" i="5"/>
  <c r="Z62" i="5"/>
  <c r="Y62" i="5"/>
  <c r="X62" i="5"/>
  <c r="W62" i="5"/>
  <c r="V62" i="5"/>
  <c r="U62" i="5"/>
  <c r="T62" i="5"/>
  <c r="S62" i="5"/>
  <c r="R62" i="5"/>
  <c r="Q62" i="5"/>
  <c r="P62" i="5"/>
  <c r="O62" i="5"/>
  <c r="N62" i="5"/>
  <c r="M62" i="5"/>
  <c r="L62" i="5"/>
  <c r="K62" i="5"/>
  <c r="J62" i="5"/>
  <c r="I62" i="5"/>
  <c r="H62" i="5"/>
  <c r="G62" i="5"/>
  <c r="AF61" i="5"/>
  <c r="AE61" i="5"/>
  <c r="AD61" i="5"/>
  <c r="AC61" i="5"/>
  <c r="AB61" i="5"/>
  <c r="AA61" i="5"/>
  <c r="Z61" i="5"/>
  <c r="Y61" i="5"/>
  <c r="X61" i="5"/>
  <c r="W61" i="5"/>
  <c r="V61" i="5"/>
  <c r="U61" i="5"/>
  <c r="T61" i="5"/>
  <c r="S61" i="5"/>
  <c r="R61" i="5"/>
  <c r="Q61" i="5"/>
  <c r="P61" i="5"/>
  <c r="O61" i="5"/>
  <c r="N61" i="5"/>
  <c r="M61" i="5"/>
  <c r="L61" i="5"/>
  <c r="K61" i="5"/>
  <c r="J61" i="5"/>
  <c r="I61" i="5"/>
  <c r="H61" i="5"/>
  <c r="G61" i="5"/>
  <c r="AF60" i="5"/>
  <c r="AE60" i="5"/>
  <c r="AD60" i="5"/>
  <c r="AC60" i="5"/>
  <c r="AB60" i="5"/>
  <c r="AA60" i="5"/>
  <c r="Z60" i="5"/>
  <c r="Y60" i="5"/>
  <c r="X60" i="5"/>
  <c r="W60" i="5"/>
  <c r="V60" i="5"/>
  <c r="U60" i="5"/>
  <c r="T60" i="5"/>
  <c r="S60" i="5"/>
  <c r="R60" i="5"/>
  <c r="Q60" i="5"/>
  <c r="P60" i="5"/>
  <c r="O60" i="5"/>
  <c r="N60" i="5"/>
  <c r="M60" i="5"/>
  <c r="L60" i="5"/>
  <c r="K60" i="5"/>
  <c r="J60" i="5"/>
  <c r="I60" i="5"/>
  <c r="H60" i="5"/>
  <c r="G60" i="5"/>
  <c r="AF59" i="5"/>
  <c r="AE59" i="5"/>
  <c r="AD59" i="5"/>
  <c r="AC59" i="5"/>
  <c r="AB59" i="5"/>
  <c r="AA59" i="5"/>
  <c r="Z59" i="5"/>
  <c r="Y59" i="5"/>
  <c r="X59" i="5"/>
  <c r="W59" i="5"/>
  <c r="V59" i="5"/>
  <c r="U59" i="5"/>
  <c r="T59" i="5"/>
  <c r="S59" i="5"/>
  <c r="R59" i="5"/>
  <c r="Q59" i="5"/>
  <c r="P59" i="5"/>
  <c r="O59" i="5"/>
  <c r="N59" i="5"/>
  <c r="M59" i="5"/>
  <c r="L59" i="5"/>
  <c r="K59" i="5"/>
  <c r="J59" i="5"/>
  <c r="I59" i="5"/>
  <c r="H59" i="5"/>
  <c r="G59" i="5"/>
  <c r="AF58" i="5"/>
  <c r="AE58" i="5"/>
  <c r="AD58" i="5"/>
  <c r="AC58" i="5"/>
  <c r="AB58" i="5"/>
  <c r="AA58" i="5"/>
  <c r="Z58" i="5"/>
  <c r="Y58" i="5"/>
  <c r="X58" i="5"/>
  <c r="W58" i="5"/>
  <c r="V58" i="5"/>
  <c r="U58" i="5"/>
  <c r="T58" i="5"/>
  <c r="S58" i="5"/>
  <c r="R58" i="5"/>
  <c r="Q58" i="5"/>
  <c r="P58" i="5"/>
  <c r="O58" i="5"/>
  <c r="N58" i="5"/>
  <c r="M58" i="5"/>
  <c r="L58" i="5"/>
  <c r="K58" i="5"/>
  <c r="J58" i="5"/>
  <c r="I58" i="5"/>
  <c r="H58" i="5"/>
  <c r="G58" i="5"/>
  <c r="AF57" i="5"/>
  <c r="AE57" i="5"/>
  <c r="AD57" i="5"/>
  <c r="AC57" i="5"/>
  <c r="AB57" i="5"/>
  <c r="AA57" i="5"/>
  <c r="Z57" i="5"/>
  <c r="Y57" i="5"/>
  <c r="X57" i="5"/>
  <c r="W57" i="5"/>
  <c r="V57" i="5"/>
  <c r="U57" i="5"/>
  <c r="T57" i="5"/>
  <c r="S57" i="5"/>
  <c r="R57" i="5"/>
  <c r="Q57" i="5"/>
  <c r="P57" i="5"/>
  <c r="O57" i="5"/>
  <c r="N57" i="5"/>
  <c r="M57" i="5"/>
  <c r="L57" i="5"/>
  <c r="K57" i="5"/>
  <c r="J57" i="5"/>
  <c r="I57" i="5"/>
  <c r="H57" i="5"/>
  <c r="G57" i="5"/>
  <c r="AF56" i="5"/>
  <c r="AE56" i="5"/>
  <c r="AD56" i="5"/>
  <c r="AC56" i="5"/>
  <c r="AB56" i="5"/>
  <c r="AA56" i="5"/>
  <c r="Z56" i="5"/>
  <c r="Y56" i="5"/>
  <c r="X56" i="5"/>
  <c r="W56" i="5"/>
  <c r="V56" i="5"/>
  <c r="U56" i="5"/>
  <c r="T56" i="5"/>
  <c r="S56" i="5"/>
  <c r="R56" i="5"/>
  <c r="Q56" i="5"/>
  <c r="P56" i="5"/>
  <c r="O56" i="5"/>
  <c r="N56" i="5"/>
  <c r="M56" i="5"/>
  <c r="L56" i="5"/>
  <c r="K56" i="5"/>
  <c r="J56" i="5"/>
  <c r="I56" i="5"/>
  <c r="H56" i="5"/>
  <c r="G56" i="5"/>
  <c r="AF55" i="5"/>
  <c r="AE55" i="5"/>
  <c r="AD55" i="5"/>
  <c r="AC55" i="5"/>
  <c r="AB55" i="5"/>
  <c r="AA55" i="5"/>
  <c r="Z55" i="5"/>
  <c r="Y55" i="5"/>
  <c r="X55" i="5"/>
  <c r="W55" i="5"/>
  <c r="V55" i="5"/>
  <c r="U55" i="5"/>
  <c r="T55" i="5"/>
  <c r="S55" i="5"/>
  <c r="R55" i="5"/>
  <c r="Q55" i="5"/>
  <c r="P55" i="5"/>
  <c r="O55" i="5"/>
  <c r="N55" i="5"/>
  <c r="M55" i="5"/>
  <c r="L55" i="5"/>
  <c r="K55" i="5"/>
  <c r="J55" i="5"/>
  <c r="I55" i="5"/>
  <c r="H55" i="5"/>
  <c r="G55" i="5"/>
  <c r="AF54" i="5"/>
  <c r="AE54" i="5"/>
  <c r="AD54" i="5"/>
  <c r="AC54" i="5"/>
  <c r="AB54" i="5"/>
  <c r="AA54" i="5"/>
  <c r="Z54" i="5"/>
  <c r="Y54" i="5"/>
  <c r="X54" i="5"/>
  <c r="W54" i="5"/>
  <c r="V54" i="5"/>
  <c r="U54" i="5"/>
  <c r="T54" i="5"/>
  <c r="S54" i="5"/>
  <c r="R54" i="5"/>
  <c r="Q54" i="5"/>
  <c r="P54" i="5"/>
  <c r="O54" i="5"/>
  <c r="N54" i="5"/>
  <c r="M54" i="5"/>
  <c r="L54" i="5"/>
  <c r="K54" i="5"/>
  <c r="J54" i="5"/>
  <c r="I54" i="5"/>
  <c r="H54" i="5"/>
  <c r="G54" i="5"/>
  <c r="AF53" i="5"/>
  <c r="AE53" i="5"/>
  <c r="AD53" i="5"/>
  <c r="AC53" i="5"/>
  <c r="AB53" i="5"/>
  <c r="AA53" i="5"/>
  <c r="Z53" i="5"/>
  <c r="Y53" i="5"/>
  <c r="X53" i="5"/>
  <c r="W53" i="5"/>
  <c r="V53" i="5"/>
  <c r="U53" i="5"/>
  <c r="T53" i="5"/>
  <c r="S53" i="5"/>
  <c r="R53" i="5"/>
  <c r="Q53" i="5"/>
  <c r="P53" i="5"/>
  <c r="O53" i="5"/>
  <c r="N53" i="5"/>
  <c r="M53" i="5"/>
  <c r="L53" i="5"/>
  <c r="K53" i="5"/>
  <c r="J53" i="5"/>
  <c r="I53" i="5"/>
  <c r="H53" i="5"/>
  <c r="G53" i="5"/>
  <c r="AF52" i="5"/>
  <c r="AE52" i="5"/>
  <c r="AD52" i="5"/>
  <c r="AC52" i="5"/>
  <c r="AB52" i="5"/>
  <c r="AA52" i="5"/>
  <c r="Z52" i="5"/>
  <c r="Y52" i="5"/>
  <c r="X52" i="5"/>
  <c r="W52" i="5"/>
  <c r="V52" i="5"/>
  <c r="U52" i="5"/>
  <c r="T52" i="5"/>
  <c r="S52" i="5"/>
  <c r="R52" i="5"/>
  <c r="Q52" i="5"/>
  <c r="P52" i="5"/>
  <c r="O52" i="5"/>
  <c r="N52" i="5"/>
  <c r="M52" i="5"/>
  <c r="L52" i="5"/>
  <c r="K52" i="5"/>
  <c r="J52" i="5"/>
  <c r="I52" i="5"/>
  <c r="H52" i="5"/>
  <c r="G52" i="5"/>
  <c r="AF51" i="5"/>
  <c r="AE51" i="5"/>
  <c r="AD51" i="5"/>
  <c r="AC51" i="5"/>
  <c r="AB51" i="5"/>
  <c r="AA51" i="5"/>
  <c r="Z51" i="5"/>
  <c r="Y51" i="5"/>
  <c r="X51" i="5"/>
  <c r="W51" i="5"/>
  <c r="V51" i="5"/>
  <c r="U51" i="5"/>
  <c r="T51" i="5"/>
  <c r="S51" i="5"/>
  <c r="R51" i="5"/>
  <c r="Q51" i="5"/>
  <c r="P51" i="5"/>
  <c r="O51" i="5"/>
  <c r="N51" i="5"/>
  <c r="M51" i="5"/>
  <c r="L51" i="5"/>
  <c r="K51" i="5"/>
  <c r="J51" i="5"/>
  <c r="I51" i="5"/>
  <c r="H51" i="5"/>
  <c r="G51" i="5"/>
  <c r="AF50" i="5"/>
  <c r="AE50" i="5"/>
  <c r="AD50" i="5"/>
  <c r="AC50" i="5"/>
  <c r="AB50" i="5"/>
  <c r="AA50" i="5"/>
  <c r="Z50" i="5"/>
  <c r="Y50" i="5"/>
  <c r="X50" i="5"/>
  <c r="W50" i="5"/>
  <c r="V50" i="5"/>
  <c r="U50" i="5"/>
  <c r="T50" i="5"/>
  <c r="S50" i="5"/>
  <c r="R50" i="5"/>
  <c r="Q50" i="5"/>
  <c r="P50" i="5"/>
  <c r="O50" i="5"/>
  <c r="N50" i="5"/>
  <c r="M50" i="5"/>
  <c r="L50" i="5"/>
  <c r="K50" i="5"/>
  <c r="J50" i="5"/>
  <c r="I50" i="5"/>
  <c r="H50" i="5"/>
  <c r="G50" i="5"/>
  <c r="AF49" i="5"/>
  <c r="AE49" i="5"/>
  <c r="AD49" i="5"/>
  <c r="AC49" i="5"/>
  <c r="AB49" i="5"/>
  <c r="AA49" i="5"/>
  <c r="Z49" i="5"/>
  <c r="Y49" i="5"/>
  <c r="X49" i="5"/>
  <c r="W49" i="5"/>
  <c r="V49" i="5"/>
  <c r="U49" i="5"/>
  <c r="T49" i="5"/>
  <c r="S49" i="5"/>
  <c r="R49" i="5"/>
  <c r="Q49" i="5"/>
  <c r="P49" i="5"/>
  <c r="O49" i="5"/>
  <c r="N49" i="5"/>
  <c r="M49" i="5"/>
  <c r="L49" i="5"/>
  <c r="K49" i="5"/>
  <c r="J49" i="5"/>
  <c r="I49" i="5"/>
  <c r="H49" i="5"/>
  <c r="G49" i="5"/>
  <c r="AF48" i="5"/>
  <c r="AE48" i="5"/>
  <c r="AD48" i="5"/>
  <c r="AC48" i="5"/>
  <c r="AB48" i="5"/>
  <c r="AA48" i="5"/>
  <c r="Z48" i="5"/>
  <c r="Y48" i="5"/>
  <c r="X48" i="5"/>
  <c r="W48" i="5"/>
  <c r="V48" i="5"/>
  <c r="U48" i="5"/>
  <c r="T48" i="5"/>
  <c r="S48" i="5"/>
  <c r="R48" i="5"/>
  <c r="Q48" i="5"/>
  <c r="P48" i="5"/>
  <c r="O48" i="5"/>
  <c r="N48" i="5"/>
  <c r="M48" i="5"/>
  <c r="L48" i="5"/>
  <c r="K48" i="5"/>
  <c r="J48" i="5"/>
  <c r="I48" i="5"/>
  <c r="H48" i="5"/>
  <c r="G48" i="5"/>
  <c r="AF47" i="5"/>
  <c r="AE47" i="5"/>
  <c r="AD47" i="5"/>
  <c r="AC47" i="5"/>
  <c r="AB47" i="5"/>
  <c r="AA47" i="5"/>
  <c r="Z47" i="5"/>
  <c r="Y47" i="5"/>
  <c r="X47" i="5"/>
  <c r="W47" i="5"/>
  <c r="V47" i="5"/>
  <c r="U47" i="5"/>
  <c r="T47" i="5"/>
  <c r="S47" i="5"/>
  <c r="R47" i="5"/>
  <c r="Q47" i="5"/>
  <c r="P47" i="5"/>
  <c r="O47" i="5"/>
  <c r="N47" i="5"/>
  <c r="M47" i="5"/>
  <c r="L47" i="5"/>
  <c r="K47" i="5"/>
  <c r="J47" i="5"/>
  <c r="I47" i="5"/>
  <c r="H47" i="5"/>
  <c r="G47" i="5"/>
  <c r="AF46" i="5"/>
  <c r="AE46" i="5"/>
  <c r="AD46" i="5"/>
  <c r="AC46" i="5"/>
  <c r="AB46" i="5"/>
  <c r="AA46" i="5"/>
  <c r="Z46" i="5"/>
  <c r="Y46" i="5"/>
  <c r="X46" i="5"/>
  <c r="W46" i="5"/>
  <c r="V46" i="5"/>
  <c r="U46" i="5"/>
  <c r="T46" i="5"/>
  <c r="S46" i="5"/>
  <c r="R46" i="5"/>
  <c r="Q46" i="5"/>
  <c r="P46" i="5"/>
  <c r="O46" i="5"/>
  <c r="N46" i="5"/>
  <c r="M46" i="5"/>
  <c r="L46" i="5"/>
  <c r="K46" i="5"/>
  <c r="J46" i="5"/>
  <c r="I46" i="5"/>
  <c r="H46" i="5"/>
  <c r="G46" i="5"/>
  <c r="AF45" i="5"/>
  <c r="AE45" i="5"/>
  <c r="AD45" i="5"/>
  <c r="AC45" i="5"/>
  <c r="AB45" i="5"/>
  <c r="AA45" i="5"/>
  <c r="Z45" i="5"/>
  <c r="Y45" i="5"/>
  <c r="X45" i="5"/>
  <c r="W45" i="5"/>
  <c r="V45" i="5"/>
  <c r="U45" i="5"/>
  <c r="T45" i="5"/>
  <c r="S45" i="5"/>
  <c r="R45" i="5"/>
  <c r="Q45" i="5"/>
  <c r="P45" i="5"/>
  <c r="O45" i="5"/>
  <c r="N45" i="5"/>
  <c r="M45" i="5"/>
  <c r="L45" i="5"/>
  <c r="K45" i="5"/>
  <c r="J45" i="5"/>
  <c r="I45" i="5"/>
  <c r="H45" i="5"/>
  <c r="G45" i="5"/>
  <c r="AF44" i="5"/>
  <c r="AE44" i="5"/>
  <c r="AD44" i="5"/>
  <c r="AC44" i="5"/>
  <c r="AB44" i="5"/>
  <c r="AA44" i="5"/>
  <c r="Z44" i="5"/>
  <c r="Y44" i="5"/>
  <c r="X44" i="5"/>
  <c r="W44" i="5"/>
  <c r="V44" i="5"/>
  <c r="U44" i="5"/>
  <c r="T44" i="5"/>
  <c r="S44" i="5"/>
  <c r="R44" i="5"/>
  <c r="Q44" i="5"/>
  <c r="P44" i="5"/>
  <c r="O44" i="5"/>
  <c r="N44" i="5"/>
  <c r="M44" i="5"/>
  <c r="L44" i="5"/>
  <c r="K44" i="5"/>
  <c r="J44" i="5"/>
  <c r="I44" i="5"/>
  <c r="H44" i="5"/>
  <c r="G44" i="5"/>
  <c r="AF43" i="5"/>
  <c r="AE43" i="5"/>
  <c r="AD43" i="5"/>
  <c r="AC43" i="5"/>
  <c r="AB43" i="5"/>
  <c r="AA43" i="5"/>
  <c r="Z43" i="5"/>
  <c r="Y43" i="5"/>
  <c r="X43" i="5"/>
  <c r="W43" i="5"/>
  <c r="V43" i="5"/>
  <c r="U43" i="5"/>
  <c r="T43" i="5"/>
  <c r="S43" i="5"/>
  <c r="R43" i="5"/>
  <c r="Q43" i="5"/>
  <c r="P43" i="5"/>
  <c r="O43" i="5"/>
  <c r="N43" i="5"/>
  <c r="M43" i="5"/>
  <c r="L43" i="5"/>
  <c r="K43" i="5"/>
  <c r="J43" i="5"/>
  <c r="I43" i="5"/>
  <c r="H43" i="5"/>
  <c r="G43" i="5"/>
  <c r="AF42" i="5"/>
  <c r="AE42" i="5"/>
  <c r="AD42" i="5"/>
  <c r="AC42" i="5"/>
  <c r="AB42" i="5"/>
  <c r="AA42" i="5"/>
  <c r="Z42" i="5"/>
  <c r="Y42" i="5"/>
  <c r="X42" i="5"/>
  <c r="W42" i="5"/>
  <c r="V42" i="5"/>
  <c r="U42" i="5"/>
  <c r="T42" i="5"/>
  <c r="S42" i="5"/>
  <c r="R42" i="5"/>
  <c r="Q42" i="5"/>
  <c r="P42" i="5"/>
  <c r="O42" i="5"/>
  <c r="N42" i="5"/>
  <c r="M42" i="5"/>
  <c r="L42" i="5"/>
  <c r="K42" i="5"/>
  <c r="J42" i="5"/>
  <c r="I42" i="5"/>
  <c r="H42" i="5"/>
  <c r="G42" i="5"/>
  <c r="AF41" i="5"/>
  <c r="AE41" i="5"/>
  <c r="AD41" i="5"/>
  <c r="AC41" i="5"/>
  <c r="AB41" i="5"/>
  <c r="AA41" i="5"/>
  <c r="Z41" i="5"/>
  <c r="Y41" i="5"/>
  <c r="X41" i="5"/>
  <c r="W41" i="5"/>
  <c r="V41" i="5"/>
  <c r="U41" i="5"/>
  <c r="T41" i="5"/>
  <c r="S41" i="5"/>
  <c r="R41" i="5"/>
  <c r="Q41" i="5"/>
  <c r="P41" i="5"/>
  <c r="O41" i="5"/>
  <c r="N41" i="5"/>
  <c r="M41" i="5"/>
  <c r="L41" i="5"/>
  <c r="K41" i="5"/>
  <c r="J41" i="5"/>
  <c r="I41" i="5"/>
  <c r="H41" i="5"/>
  <c r="G41" i="5"/>
  <c r="AF40" i="5"/>
  <c r="AE40" i="5"/>
  <c r="AD40" i="5"/>
  <c r="AC40" i="5"/>
  <c r="AB40" i="5"/>
  <c r="AA40" i="5"/>
  <c r="Z40" i="5"/>
  <c r="Y40" i="5"/>
  <c r="X40" i="5"/>
  <c r="W40" i="5"/>
  <c r="V40" i="5"/>
  <c r="U40" i="5"/>
  <c r="T40" i="5"/>
  <c r="S40" i="5"/>
  <c r="R40" i="5"/>
  <c r="Q40" i="5"/>
  <c r="P40" i="5"/>
  <c r="O40" i="5"/>
  <c r="N40" i="5"/>
  <c r="M40" i="5"/>
  <c r="L40" i="5"/>
  <c r="K40" i="5"/>
  <c r="J40" i="5"/>
  <c r="I40" i="5"/>
  <c r="H40" i="5"/>
  <c r="G40" i="5"/>
  <c r="AF39" i="5"/>
  <c r="AE39" i="5"/>
  <c r="AD39" i="5"/>
  <c r="AC39" i="5"/>
  <c r="AB39" i="5"/>
  <c r="AA39" i="5"/>
  <c r="Z39" i="5"/>
  <c r="Y39" i="5"/>
  <c r="X39" i="5"/>
  <c r="W39" i="5"/>
  <c r="V39" i="5"/>
  <c r="U39" i="5"/>
  <c r="T39" i="5"/>
  <c r="S39" i="5"/>
  <c r="R39" i="5"/>
  <c r="Q39" i="5"/>
  <c r="P39" i="5"/>
  <c r="O39" i="5"/>
  <c r="N39" i="5"/>
  <c r="M39" i="5"/>
  <c r="L39" i="5"/>
  <c r="K39" i="5"/>
  <c r="J39" i="5"/>
  <c r="I39" i="5"/>
  <c r="H39" i="5"/>
  <c r="G39" i="5"/>
  <c r="AF38" i="5"/>
  <c r="AE38" i="5"/>
  <c r="AD38" i="5"/>
  <c r="AC38" i="5"/>
  <c r="AB38" i="5"/>
  <c r="AA38" i="5"/>
  <c r="Z38" i="5"/>
  <c r="Y38" i="5"/>
  <c r="X38" i="5"/>
  <c r="W38" i="5"/>
  <c r="V38" i="5"/>
  <c r="U38" i="5"/>
  <c r="T38" i="5"/>
  <c r="S38" i="5"/>
  <c r="R38" i="5"/>
  <c r="Q38" i="5"/>
  <c r="P38" i="5"/>
  <c r="O38" i="5"/>
  <c r="N38" i="5"/>
  <c r="M38" i="5"/>
  <c r="L38" i="5"/>
  <c r="K38" i="5"/>
  <c r="J38" i="5"/>
  <c r="I38" i="5"/>
  <c r="H38" i="5"/>
  <c r="G38" i="5"/>
  <c r="AF37" i="5"/>
  <c r="AE37" i="5"/>
  <c r="AD37" i="5"/>
  <c r="AC37" i="5"/>
  <c r="AB37" i="5"/>
  <c r="AA37" i="5"/>
  <c r="Z37" i="5"/>
  <c r="Y37" i="5"/>
  <c r="X37" i="5"/>
  <c r="W37" i="5"/>
  <c r="V37" i="5"/>
  <c r="U37" i="5"/>
  <c r="T37" i="5"/>
  <c r="S37" i="5"/>
  <c r="R37" i="5"/>
  <c r="Q37" i="5"/>
  <c r="P37" i="5"/>
  <c r="O37" i="5"/>
  <c r="N37" i="5"/>
  <c r="M37" i="5"/>
  <c r="L37" i="5"/>
  <c r="K37" i="5"/>
  <c r="J37" i="5"/>
  <c r="I37" i="5"/>
  <c r="H37" i="5"/>
  <c r="G37" i="5"/>
  <c r="AF36" i="5"/>
  <c r="AE36" i="5"/>
  <c r="AD36" i="5"/>
  <c r="AC36" i="5"/>
  <c r="AB36" i="5"/>
  <c r="AA36" i="5"/>
  <c r="Z36" i="5"/>
  <c r="Y36" i="5"/>
  <c r="X36" i="5"/>
  <c r="W36" i="5"/>
  <c r="V36" i="5"/>
  <c r="U36" i="5"/>
  <c r="T36" i="5"/>
  <c r="S36" i="5"/>
  <c r="R36" i="5"/>
  <c r="Q36" i="5"/>
  <c r="P36" i="5"/>
  <c r="O36" i="5"/>
  <c r="N36" i="5"/>
  <c r="M36" i="5"/>
  <c r="L36" i="5"/>
  <c r="K36" i="5"/>
  <c r="J36" i="5"/>
  <c r="I36" i="5"/>
  <c r="H36" i="5"/>
  <c r="G36" i="5"/>
  <c r="AF35" i="5"/>
  <c r="AE35" i="5"/>
  <c r="AD35" i="5"/>
  <c r="AC35" i="5"/>
  <c r="AB35" i="5"/>
  <c r="AA35" i="5"/>
  <c r="Z35" i="5"/>
  <c r="Y35" i="5"/>
  <c r="X35" i="5"/>
  <c r="W35" i="5"/>
  <c r="V35" i="5"/>
  <c r="U35" i="5"/>
  <c r="T35" i="5"/>
  <c r="S35" i="5"/>
  <c r="R35" i="5"/>
  <c r="Q35" i="5"/>
  <c r="P35" i="5"/>
  <c r="O35" i="5"/>
  <c r="N35" i="5"/>
  <c r="M35" i="5"/>
  <c r="L35" i="5"/>
  <c r="K35" i="5"/>
  <c r="J35" i="5"/>
  <c r="I35" i="5"/>
  <c r="H35" i="5"/>
  <c r="G35" i="5"/>
  <c r="AF34" i="5"/>
  <c r="AE34" i="5"/>
  <c r="AD34" i="5"/>
  <c r="AC34" i="5"/>
  <c r="AB34" i="5"/>
  <c r="AA34" i="5"/>
  <c r="Z34" i="5"/>
  <c r="Y34" i="5"/>
  <c r="X34" i="5"/>
  <c r="W34" i="5"/>
  <c r="V34" i="5"/>
  <c r="U34" i="5"/>
  <c r="T34" i="5"/>
  <c r="S34" i="5"/>
  <c r="R34" i="5"/>
  <c r="Q34" i="5"/>
  <c r="P34" i="5"/>
  <c r="O34" i="5"/>
  <c r="N34" i="5"/>
  <c r="M34" i="5"/>
  <c r="L34" i="5"/>
  <c r="K34" i="5"/>
  <c r="J34" i="5"/>
  <c r="I34" i="5"/>
  <c r="H34" i="5"/>
  <c r="G34" i="5"/>
  <c r="AF33" i="5"/>
  <c r="AE33" i="5"/>
  <c r="AD33" i="5"/>
  <c r="AC33" i="5"/>
  <c r="AB33" i="5"/>
  <c r="AA33" i="5"/>
  <c r="Z33" i="5"/>
  <c r="Y33" i="5"/>
  <c r="X33" i="5"/>
  <c r="W33" i="5"/>
  <c r="V33" i="5"/>
  <c r="U33" i="5"/>
  <c r="T33" i="5"/>
  <c r="S33" i="5"/>
  <c r="R33" i="5"/>
  <c r="Q33" i="5"/>
  <c r="P33" i="5"/>
  <c r="O33" i="5"/>
  <c r="N33" i="5"/>
  <c r="M33" i="5"/>
  <c r="L33" i="5"/>
  <c r="K33" i="5"/>
  <c r="J33" i="5"/>
  <c r="I33" i="5"/>
  <c r="H33" i="5"/>
  <c r="G33" i="5"/>
  <c r="AF32" i="5"/>
  <c r="AE32" i="5"/>
  <c r="AD32" i="5"/>
  <c r="AC32" i="5"/>
  <c r="AB32" i="5"/>
  <c r="AA32" i="5"/>
  <c r="Z32" i="5"/>
  <c r="Y32" i="5"/>
  <c r="X32" i="5"/>
  <c r="W32" i="5"/>
  <c r="V32" i="5"/>
  <c r="U32" i="5"/>
  <c r="T32" i="5"/>
  <c r="S32" i="5"/>
  <c r="R32" i="5"/>
  <c r="Q32" i="5"/>
  <c r="P32" i="5"/>
  <c r="O32" i="5"/>
  <c r="N32" i="5"/>
  <c r="M32" i="5"/>
  <c r="L32" i="5"/>
  <c r="K32" i="5"/>
  <c r="J32" i="5"/>
  <c r="I32" i="5"/>
  <c r="H32" i="5"/>
  <c r="G32" i="5"/>
  <c r="AF31" i="5"/>
  <c r="AE31" i="5"/>
  <c r="AD31" i="5"/>
  <c r="AC31" i="5"/>
  <c r="AB31" i="5"/>
  <c r="AA31" i="5"/>
  <c r="Z31" i="5"/>
  <c r="Y31" i="5"/>
  <c r="X31" i="5"/>
  <c r="W31" i="5"/>
  <c r="V31" i="5"/>
  <c r="U31" i="5"/>
  <c r="T31" i="5"/>
  <c r="S31" i="5"/>
  <c r="R31" i="5"/>
  <c r="Q31" i="5"/>
  <c r="P31" i="5"/>
  <c r="O31" i="5"/>
  <c r="N31" i="5"/>
  <c r="M31" i="5"/>
  <c r="L31" i="5"/>
  <c r="K31" i="5"/>
  <c r="J31" i="5"/>
  <c r="I31" i="5"/>
  <c r="H31" i="5"/>
  <c r="G31" i="5"/>
  <c r="AF30" i="5"/>
  <c r="AE30" i="5"/>
  <c r="AD30" i="5"/>
  <c r="AC30" i="5"/>
  <c r="AB30" i="5"/>
  <c r="AA30" i="5"/>
  <c r="Z30" i="5"/>
  <c r="Y30" i="5"/>
  <c r="X30" i="5"/>
  <c r="W30" i="5"/>
  <c r="V30" i="5"/>
  <c r="U30" i="5"/>
  <c r="T30" i="5"/>
  <c r="S30" i="5"/>
  <c r="R30" i="5"/>
  <c r="Q30" i="5"/>
  <c r="P30" i="5"/>
  <c r="O30" i="5"/>
  <c r="N30" i="5"/>
  <c r="M30" i="5"/>
  <c r="L30" i="5"/>
  <c r="K30" i="5"/>
  <c r="J30" i="5"/>
  <c r="I30" i="5"/>
  <c r="H30" i="5"/>
  <c r="G30" i="5"/>
  <c r="AF29" i="5"/>
  <c r="AE29" i="5"/>
  <c r="AD29" i="5"/>
  <c r="AC29" i="5"/>
  <c r="AB29" i="5"/>
  <c r="AA29" i="5"/>
  <c r="Z29" i="5"/>
  <c r="Y29" i="5"/>
  <c r="X29" i="5"/>
  <c r="W29" i="5"/>
  <c r="V29" i="5"/>
  <c r="U29" i="5"/>
  <c r="T29" i="5"/>
  <c r="S29" i="5"/>
  <c r="R29" i="5"/>
  <c r="Q29" i="5"/>
  <c r="P29" i="5"/>
  <c r="O29" i="5"/>
  <c r="N29" i="5"/>
  <c r="M29" i="5"/>
  <c r="L29" i="5"/>
  <c r="K29" i="5"/>
  <c r="J29" i="5"/>
  <c r="I29" i="5"/>
  <c r="H29" i="5"/>
  <c r="G29" i="5"/>
  <c r="AF28" i="5"/>
  <c r="AE28" i="5"/>
  <c r="AD28" i="5"/>
  <c r="AC28" i="5"/>
  <c r="AB28" i="5"/>
  <c r="AA28" i="5"/>
  <c r="Z28" i="5"/>
  <c r="Y28" i="5"/>
  <c r="X28" i="5"/>
  <c r="W28" i="5"/>
  <c r="V28" i="5"/>
  <c r="U28" i="5"/>
  <c r="T28" i="5"/>
  <c r="S28" i="5"/>
  <c r="R28" i="5"/>
  <c r="Q28" i="5"/>
  <c r="P28" i="5"/>
  <c r="O28" i="5"/>
  <c r="N28" i="5"/>
  <c r="M28" i="5"/>
  <c r="L28" i="5"/>
  <c r="K28" i="5"/>
  <c r="J28" i="5"/>
  <c r="I28" i="5"/>
  <c r="H28" i="5"/>
  <c r="G28" i="5"/>
  <c r="AF27" i="5"/>
  <c r="AE27" i="5"/>
  <c r="AD27" i="5"/>
  <c r="AC27" i="5"/>
  <c r="AB27" i="5"/>
  <c r="AA27" i="5"/>
  <c r="Z27" i="5"/>
  <c r="Y27" i="5"/>
  <c r="X27" i="5"/>
  <c r="W27" i="5"/>
  <c r="V27" i="5"/>
  <c r="U27" i="5"/>
  <c r="T27" i="5"/>
  <c r="S27" i="5"/>
  <c r="R27" i="5"/>
  <c r="Q27" i="5"/>
  <c r="P27" i="5"/>
  <c r="O27" i="5"/>
  <c r="N27" i="5"/>
  <c r="M27" i="5"/>
  <c r="L27" i="5"/>
  <c r="K27" i="5"/>
  <c r="J27" i="5"/>
  <c r="I27" i="5"/>
  <c r="H27" i="5"/>
  <c r="G27" i="5"/>
  <c r="AF26" i="5"/>
  <c r="AE26" i="5"/>
  <c r="AD26" i="5"/>
  <c r="AC26" i="5"/>
  <c r="AB26" i="5"/>
  <c r="AA26" i="5"/>
  <c r="Z26" i="5"/>
  <c r="Y26" i="5"/>
  <c r="X26" i="5"/>
  <c r="W26" i="5"/>
  <c r="V26" i="5"/>
  <c r="U26" i="5"/>
  <c r="T26" i="5"/>
  <c r="S26" i="5"/>
  <c r="R26" i="5"/>
  <c r="Q26" i="5"/>
  <c r="P26" i="5"/>
  <c r="O26" i="5"/>
  <c r="N26" i="5"/>
  <c r="M26" i="5"/>
  <c r="L26" i="5"/>
  <c r="K26" i="5"/>
  <c r="J26" i="5"/>
  <c r="I26" i="5"/>
  <c r="H26" i="5"/>
  <c r="G26" i="5"/>
  <c r="AF25" i="5"/>
  <c r="AE25" i="5"/>
  <c r="AD25" i="5"/>
  <c r="AC25" i="5"/>
  <c r="AB25" i="5"/>
  <c r="AA25" i="5"/>
  <c r="Z25" i="5"/>
  <c r="Y25" i="5"/>
  <c r="X25" i="5"/>
  <c r="W25" i="5"/>
  <c r="V25" i="5"/>
  <c r="U25" i="5"/>
  <c r="T25" i="5"/>
  <c r="S25" i="5"/>
  <c r="R25" i="5"/>
  <c r="Q25" i="5"/>
  <c r="P25" i="5"/>
  <c r="O25" i="5"/>
  <c r="N25" i="5"/>
  <c r="M25" i="5"/>
  <c r="L25" i="5"/>
  <c r="K25" i="5"/>
  <c r="J25" i="5"/>
  <c r="I25" i="5"/>
  <c r="H25" i="5"/>
  <c r="G25" i="5"/>
  <c r="AF24" i="5"/>
  <c r="AE24" i="5"/>
  <c r="AD24" i="5"/>
  <c r="AC24" i="5"/>
  <c r="AB24" i="5"/>
  <c r="AA24" i="5"/>
  <c r="Z24" i="5"/>
  <c r="Y24" i="5"/>
  <c r="X24" i="5"/>
  <c r="W24" i="5"/>
  <c r="V24" i="5"/>
  <c r="U24" i="5"/>
  <c r="T24" i="5"/>
  <c r="S24" i="5"/>
  <c r="R24" i="5"/>
  <c r="Q24" i="5"/>
  <c r="P24" i="5"/>
  <c r="O24" i="5"/>
  <c r="N24" i="5"/>
  <c r="M24" i="5"/>
  <c r="L24" i="5"/>
  <c r="K24" i="5"/>
  <c r="J24" i="5"/>
  <c r="I24" i="5"/>
  <c r="H24" i="5"/>
  <c r="G24" i="5"/>
  <c r="AF23" i="5"/>
  <c r="AE23" i="5"/>
  <c r="AD23" i="5"/>
  <c r="AC23" i="5"/>
  <c r="AB23" i="5"/>
  <c r="AA23" i="5"/>
  <c r="Z23" i="5"/>
  <c r="Y23" i="5"/>
  <c r="X23" i="5"/>
  <c r="W23" i="5"/>
  <c r="V23" i="5"/>
  <c r="U23" i="5"/>
  <c r="T23" i="5"/>
  <c r="S23" i="5"/>
  <c r="R23" i="5"/>
  <c r="Q23" i="5"/>
  <c r="P23" i="5"/>
  <c r="O23" i="5"/>
  <c r="N23" i="5"/>
  <c r="M23" i="5"/>
  <c r="L23" i="5"/>
  <c r="K23" i="5"/>
  <c r="J23" i="5"/>
  <c r="I23" i="5"/>
  <c r="H23" i="5"/>
  <c r="G23" i="5"/>
  <c r="AF22" i="5"/>
  <c r="AE22" i="5"/>
  <c r="AD22" i="5"/>
  <c r="AC22" i="5"/>
  <c r="AB22" i="5"/>
  <c r="AA22" i="5"/>
  <c r="Z22" i="5"/>
  <c r="Y22" i="5"/>
  <c r="X22" i="5"/>
  <c r="W22" i="5"/>
  <c r="V22" i="5"/>
  <c r="U22" i="5"/>
  <c r="T22" i="5"/>
  <c r="S22" i="5"/>
  <c r="R22" i="5"/>
  <c r="Q22" i="5"/>
  <c r="P22" i="5"/>
  <c r="O22" i="5"/>
  <c r="N22" i="5"/>
  <c r="M22" i="5"/>
  <c r="L22" i="5"/>
  <c r="K22" i="5"/>
  <c r="J22" i="5"/>
  <c r="I22" i="5"/>
  <c r="H22" i="5"/>
  <c r="G22" i="5"/>
  <c r="AF21" i="5"/>
  <c r="AE21" i="5"/>
  <c r="AD21" i="5"/>
  <c r="AC21" i="5"/>
  <c r="AB21" i="5"/>
  <c r="AA21" i="5"/>
  <c r="Z21" i="5"/>
  <c r="Y21" i="5"/>
  <c r="X21" i="5"/>
  <c r="W21" i="5"/>
  <c r="V21" i="5"/>
  <c r="U21" i="5"/>
  <c r="T21" i="5"/>
  <c r="S21" i="5"/>
  <c r="R21" i="5"/>
  <c r="Q21" i="5"/>
  <c r="P21" i="5"/>
  <c r="O21" i="5"/>
  <c r="N21" i="5"/>
  <c r="M21" i="5"/>
  <c r="L21" i="5"/>
  <c r="K21" i="5"/>
  <c r="J21" i="5"/>
  <c r="I21" i="5"/>
  <c r="H21" i="5"/>
  <c r="G21" i="5"/>
  <c r="AF20" i="5"/>
  <c r="AE20" i="5"/>
  <c r="AD20" i="5"/>
  <c r="AC20" i="5"/>
  <c r="AB20" i="5"/>
  <c r="AA20" i="5"/>
  <c r="Z20" i="5"/>
  <c r="Y20" i="5"/>
  <c r="X20" i="5"/>
  <c r="W20" i="5"/>
  <c r="V20" i="5"/>
  <c r="U20" i="5"/>
  <c r="T20" i="5"/>
  <c r="S20" i="5"/>
  <c r="R20" i="5"/>
  <c r="Q20" i="5"/>
  <c r="P20" i="5"/>
  <c r="O20" i="5"/>
  <c r="N20" i="5"/>
  <c r="M20" i="5"/>
  <c r="L20" i="5"/>
  <c r="K20" i="5"/>
  <c r="J20" i="5"/>
  <c r="I20" i="5"/>
  <c r="H20" i="5"/>
  <c r="G20" i="5"/>
  <c r="AF19" i="5"/>
  <c r="AE19" i="5"/>
  <c r="AD19" i="5"/>
  <c r="AC19" i="5"/>
  <c r="AB19" i="5"/>
  <c r="AA19" i="5"/>
  <c r="Z19" i="5"/>
  <c r="Y19" i="5"/>
  <c r="X19" i="5"/>
  <c r="W19" i="5"/>
  <c r="V19" i="5"/>
  <c r="U19" i="5"/>
  <c r="T19" i="5"/>
  <c r="S19" i="5"/>
  <c r="R19" i="5"/>
  <c r="Q19" i="5"/>
  <c r="P19" i="5"/>
  <c r="O19" i="5"/>
  <c r="N19" i="5"/>
  <c r="M19" i="5"/>
  <c r="L19" i="5"/>
  <c r="K19" i="5"/>
  <c r="J19" i="5"/>
  <c r="I19" i="5"/>
  <c r="H19" i="5"/>
  <c r="G19" i="5"/>
  <c r="AF18" i="5"/>
  <c r="AE18" i="5"/>
  <c r="AD18" i="5"/>
  <c r="AC18" i="5"/>
  <c r="AB18" i="5"/>
  <c r="AA18" i="5"/>
  <c r="Z18" i="5"/>
  <c r="Y18" i="5"/>
  <c r="X18" i="5"/>
  <c r="W18" i="5"/>
  <c r="V18" i="5"/>
  <c r="U18" i="5"/>
  <c r="T18" i="5"/>
  <c r="S18" i="5"/>
  <c r="R18" i="5"/>
  <c r="Q18" i="5"/>
  <c r="P18" i="5"/>
  <c r="O18" i="5"/>
  <c r="N18" i="5"/>
  <c r="M18" i="5"/>
  <c r="L18" i="5"/>
  <c r="K18" i="5"/>
  <c r="J18" i="5"/>
  <c r="I18" i="5"/>
  <c r="H18" i="5"/>
  <c r="G18" i="5"/>
  <c r="AF17" i="5"/>
  <c r="AE17" i="5"/>
  <c r="AD17" i="5"/>
  <c r="AC17" i="5"/>
  <c r="AB17" i="5"/>
  <c r="AA17" i="5"/>
  <c r="Z17" i="5"/>
  <c r="Y17" i="5"/>
  <c r="X17" i="5"/>
  <c r="W17" i="5"/>
  <c r="V17" i="5"/>
  <c r="U17" i="5"/>
  <c r="T17" i="5"/>
  <c r="S17" i="5"/>
  <c r="R17" i="5"/>
  <c r="Q17" i="5"/>
  <c r="P17" i="5"/>
  <c r="O17" i="5"/>
  <c r="N17" i="5"/>
  <c r="M17" i="5"/>
  <c r="L17" i="5"/>
  <c r="K17" i="5"/>
  <c r="J17" i="5"/>
  <c r="I17" i="5"/>
  <c r="H17" i="5"/>
  <c r="G17" i="5"/>
  <c r="AF16" i="5"/>
  <c r="AE16" i="5"/>
  <c r="AD16" i="5"/>
  <c r="AC16" i="5"/>
  <c r="AB16" i="5"/>
  <c r="AA16" i="5"/>
  <c r="Z16" i="5"/>
  <c r="Y16" i="5"/>
  <c r="X16" i="5"/>
  <c r="W16" i="5"/>
  <c r="V16" i="5"/>
  <c r="U16" i="5"/>
  <c r="T16" i="5"/>
  <c r="S16" i="5"/>
  <c r="R16" i="5"/>
  <c r="Q16" i="5"/>
  <c r="P16" i="5"/>
  <c r="O16" i="5"/>
  <c r="N16" i="5"/>
  <c r="M16" i="5"/>
  <c r="L16" i="5"/>
  <c r="K16" i="5"/>
  <c r="J16" i="5"/>
  <c r="I16" i="5"/>
  <c r="H16" i="5"/>
  <c r="G16" i="5"/>
  <c r="AF15" i="5"/>
  <c r="AE15" i="5"/>
  <c r="AD15" i="5"/>
  <c r="AC15" i="5"/>
  <c r="AB15" i="5"/>
  <c r="AA15" i="5"/>
  <c r="Z15" i="5"/>
  <c r="Y15" i="5"/>
  <c r="X15" i="5"/>
  <c r="W15" i="5"/>
  <c r="V15" i="5"/>
  <c r="U15" i="5"/>
  <c r="T15" i="5"/>
  <c r="S15" i="5"/>
  <c r="R15" i="5"/>
  <c r="Q15" i="5"/>
  <c r="P15" i="5"/>
  <c r="O15" i="5"/>
  <c r="N15" i="5"/>
  <c r="M15" i="5"/>
  <c r="L15" i="5"/>
  <c r="K15" i="5"/>
  <c r="J15" i="5"/>
  <c r="I15" i="5"/>
  <c r="H15" i="5"/>
  <c r="G15" i="5"/>
  <c r="AF14" i="5"/>
  <c r="AE14" i="5"/>
  <c r="AD14" i="5"/>
  <c r="AC14" i="5"/>
  <c r="AB14" i="5"/>
  <c r="AA14" i="5"/>
  <c r="Z14" i="5"/>
  <c r="Y14" i="5"/>
  <c r="X14" i="5"/>
  <c r="W14" i="5"/>
  <c r="V14" i="5"/>
  <c r="U14" i="5"/>
  <c r="T14" i="5"/>
  <c r="S14" i="5"/>
  <c r="R14" i="5"/>
  <c r="Q14" i="5"/>
  <c r="P14" i="5"/>
  <c r="O14" i="5"/>
  <c r="N14" i="5"/>
  <c r="M14" i="5"/>
  <c r="L14" i="5"/>
  <c r="K14" i="5"/>
  <c r="J14" i="5"/>
  <c r="I14" i="5"/>
  <c r="H14" i="5"/>
  <c r="G14" i="5"/>
  <c r="AF13" i="5"/>
  <c r="AE13" i="5"/>
  <c r="AD13" i="5"/>
  <c r="AC13" i="5"/>
  <c r="AB13" i="5"/>
  <c r="AA13" i="5"/>
  <c r="Z13" i="5"/>
  <c r="Y13" i="5"/>
  <c r="X13" i="5"/>
  <c r="W13" i="5"/>
  <c r="V13" i="5"/>
  <c r="U13" i="5"/>
  <c r="T13" i="5"/>
  <c r="S13" i="5"/>
  <c r="R13" i="5"/>
  <c r="Q13" i="5"/>
  <c r="P13" i="5"/>
  <c r="O13" i="5"/>
  <c r="N13" i="5"/>
  <c r="M13" i="5"/>
  <c r="L13" i="5"/>
  <c r="K13" i="5"/>
  <c r="J13" i="5"/>
  <c r="I13" i="5"/>
  <c r="H13" i="5"/>
  <c r="G13" i="5"/>
  <c r="AF12" i="5"/>
  <c r="AE12" i="5"/>
  <c r="AD12" i="5"/>
  <c r="AC12" i="5"/>
  <c r="AB12" i="5"/>
  <c r="AA12" i="5"/>
  <c r="Z12" i="5"/>
  <c r="Y12" i="5"/>
  <c r="X12" i="5"/>
  <c r="W12" i="5"/>
  <c r="V12" i="5"/>
  <c r="U12" i="5"/>
  <c r="T12" i="5"/>
  <c r="S12" i="5"/>
  <c r="R12" i="5"/>
  <c r="Q12" i="5"/>
  <c r="P12" i="5"/>
  <c r="O12" i="5"/>
  <c r="N12" i="5"/>
  <c r="M12" i="5"/>
  <c r="L12" i="5"/>
  <c r="K12" i="5"/>
  <c r="J12" i="5"/>
  <c r="I12" i="5"/>
  <c r="H12" i="5"/>
  <c r="G12" i="5"/>
  <c r="AF11" i="5"/>
  <c r="AE11" i="5"/>
  <c r="AD11" i="5"/>
  <c r="AC11" i="5"/>
  <c r="AB11" i="5"/>
  <c r="AA11" i="5"/>
  <c r="Z11" i="5"/>
  <c r="Y11" i="5"/>
  <c r="X11" i="5"/>
  <c r="W11" i="5"/>
  <c r="V11" i="5"/>
  <c r="U11" i="5"/>
  <c r="T11" i="5"/>
  <c r="S11" i="5"/>
  <c r="R11" i="5"/>
  <c r="Q11" i="5"/>
  <c r="P11" i="5"/>
  <c r="O11" i="5"/>
  <c r="N11" i="5"/>
  <c r="M11" i="5"/>
  <c r="L11" i="5"/>
  <c r="K11" i="5"/>
  <c r="J11" i="5"/>
  <c r="I11" i="5"/>
  <c r="H11" i="5"/>
  <c r="G11" i="5"/>
  <c r="AF10" i="5"/>
  <c r="AE10" i="5"/>
  <c r="AD10" i="5"/>
  <c r="AC10" i="5"/>
  <c r="AB10" i="5"/>
  <c r="AA10" i="5"/>
  <c r="Z10" i="5"/>
  <c r="Y10" i="5"/>
  <c r="X10" i="5"/>
  <c r="W10" i="5"/>
  <c r="V10" i="5"/>
  <c r="U10" i="5"/>
  <c r="T10" i="5"/>
  <c r="S10" i="5"/>
  <c r="R10" i="5"/>
  <c r="Q10" i="5"/>
  <c r="P10" i="5"/>
  <c r="O10" i="5"/>
  <c r="N10" i="5"/>
  <c r="M10" i="5"/>
  <c r="L10" i="5"/>
  <c r="K10" i="5"/>
  <c r="J10" i="5"/>
  <c r="I10" i="5"/>
  <c r="H10" i="5"/>
  <c r="G10" i="5"/>
  <c r="AF9" i="5"/>
  <c r="AE9" i="5"/>
  <c r="AD9" i="5"/>
  <c r="AC9" i="5"/>
  <c r="AB9" i="5"/>
  <c r="AA9" i="5"/>
  <c r="Z9" i="5"/>
  <c r="Y9" i="5"/>
  <c r="X9" i="5"/>
  <c r="W9" i="5"/>
  <c r="V9" i="5"/>
  <c r="U9" i="5"/>
  <c r="T9" i="5"/>
  <c r="S9" i="5"/>
  <c r="R9" i="5"/>
  <c r="Q9" i="5"/>
  <c r="P9" i="5"/>
  <c r="O9" i="5"/>
  <c r="N9" i="5"/>
  <c r="M9" i="5"/>
  <c r="L9" i="5"/>
  <c r="K9" i="5"/>
  <c r="J9" i="5"/>
  <c r="I9" i="5"/>
  <c r="H9" i="5"/>
  <c r="G9" i="5"/>
  <c r="AF8" i="5"/>
  <c r="AE8" i="5"/>
  <c r="AD8" i="5"/>
  <c r="AC8" i="5"/>
  <c r="AB8" i="5"/>
  <c r="AA8" i="5"/>
  <c r="Z8" i="5"/>
  <c r="Y8" i="5"/>
  <c r="X8" i="5"/>
  <c r="W8" i="5"/>
  <c r="V8" i="5"/>
  <c r="U8" i="5"/>
  <c r="T8" i="5"/>
  <c r="S8" i="5"/>
  <c r="R8" i="5"/>
  <c r="Q8" i="5"/>
  <c r="P8" i="5"/>
  <c r="O8" i="5"/>
  <c r="N8" i="5"/>
  <c r="M8" i="5"/>
  <c r="L8" i="5"/>
  <c r="K8" i="5"/>
  <c r="J8" i="5"/>
  <c r="I8" i="5"/>
  <c r="H8" i="5"/>
  <c r="G8" i="5"/>
  <c r="AF7" i="5"/>
  <c r="AE7" i="5"/>
  <c r="AD7" i="5"/>
  <c r="AC7" i="5"/>
  <c r="AB7" i="5"/>
  <c r="AA7" i="5"/>
  <c r="Z7" i="5"/>
  <c r="Y7" i="5"/>
  <c r="X7" i="5"/>
  <c r="W7" i="5"/>
  <c r="V7" i="5"/>
  <c r="U7" i="5"/>
  <c r="T7" i="5"/>
  <c r="S7" i="5"/>
  <c r="R7" i="5"/>
  <c r="Q7" i="5"/>
  <c r="P7" i="5"/>
  <c r="O7" i="5"/>
  <c r="N7" i="5"/>
  <c r="M7" i="5"/>
  <c r="L7" i="5"/>
  <c r="K7" i="5"/>
  <c r="J7" i="5"/>
  <c r="I7" i="5"/>
  <c r="H7" i="5"/>
  <c r="G7" i="5"/>
  <c r="AF6" i="5"/>
  <c r="AE6" i="5"/>
  <c r="AD6" i="5"/>
  <c r="AC6" i="5"/>
  <c r="AB6" i="5"/>
  <c r="AA6" i="5"/>
  <c r="Z6" i="5"/>
  <c r="Y6" i="5"/>
  <c r="X6" i="5"/>
  <c r="W6" i="5"/>
  <c r="V6" i="5"/>
  <c r="U6" i="5"/>
  <c r="T6" i="5"/>
  <c r="S6" i="5"/>
  <c r="R6" i="5"/>
  <c r="Q6" i="5"/>
  <c r="P6" i="5"/>
  <c r="O6" i="5"/>
  <c r="N6" i="5"/>
  <c r="M6" i="5"/>
  <c r="L6" i="5"/>
  <c r="K6" i="5"/>
  <c r="J6" i="5"/>
  <c r="I6" i="5"/>
  <c r="H6" i="5"/>
  <c r="G6" i="5"/>
  <c r="AF5" i="5"/>
  <c r="AE5" i="5"/>
  <c r="AD5" i="5"/>
  <c r="AC5" i="5"/>
  <c r="AB5" i="5"/>
  <c r="AA5" i="5"/>
  <c r="Z5" i="5"/>
  <c r="Y5" i="5"/>
  <c r="X5" i="5"/>
  <c r="W5" i="5"/>
  <c r="V5" i="5"/>
  <c r="U5" i="5"/>
  <c r="T5" i="5"/>
  <c r="S5" i="5"/>
  <c r="R5" i="5"/>
  <c r="Q5" i="5"/>
  <c r="P5" i="5"/>
  <c r="O5" i="5"/>
  <c r="N5" i="5"/>
  <c r="M5" i="5"/>
  <c r="L5" i="5"/>
  <c r="K5" i="5"/>
  <c r="J5" i="5"/>
  <c r="I5" i="5"/>
  <c r="H5" i="5"/>
  <c r="G5" i="5"/>
  <c r="AF4" i="5"/>
  <c r="AE4" i="5"/>
  <c r="AD4" i="5"/>
  <c r="AC4" i="5"/>
  <c r="AB4" i="5"/>
  <c r="AA4" i="5"/>
  <c r="Z4" i="5"/>
  <c r="Y4" i="5"/>
  <c r="X4" i="5"/>
  <c r="W4" i="5"/>
  <c r="V4" i="5"/>
  <c r="U4" i="5"/>
  <c r="T4" i="5"/>
  <c r="S4" i="5"/>
  <c r="R4" i="5"/>
  <c r="Q4" i="5"/>
  <c r="P4" i="5"/>
  <c r="O4" i="5"/>
  <c r="N4" i="5"/>
  <c r="M4" i="5"/>
  <c r="L4" i="5"/>
  <c r="K4" i="5"/>
  <c r="J4" i="5"/>
  <c r="I4" i="5"/>
  <c r="H4" i="5"/>
  <c r="G4" i="5"/>
  <c r="AF3" i="5"/>
  <c r="AE3" i="5"/>
  <c r="AD3" i="5"/>
  <c r="AC3" i="5"/>
  <c r="AB3" i="5"/>
  <c r="AA3" i="5"/>
  <c r="Z3" i="5"/>
  <c r="Y3" i="5"/>
  <c r="X3" i="5"/>
  <c r="W3" i="5"/>
  <c r="V3" i="5"/>
  <c r="U3" i="5"/>
  <c r="T3" i="5"/>
  <c r="S3" i="5"/>
  <c r="R3" i="5"/>
  <c r="Q3" i="5"/>
  <c r="P3" i="5"/>
  <c r="O3" i="5"/>
  <c r="N3" i="5"/>
  <c r="M3" i="5"/>
  <c r="L3" i="5"/>
  <c r="K3" i="5"/>
  <c r="J3" i="5"/>
  <c r="I3" i="5"/>
  <c r="H3" i="5"/>
  <c r="G3" i="5"/>
  <c r="AF2" i="5"/>
  <c r="AE2" i="5"/>
  <c r="AD2" i="5"/>
  <c r="AC2" i="5"/>
  <c r="AB2" i="5"/>
  <c r="AA2" i="5"/>
  <c r="Z2" i="5"/>
  <c r="Y2" i="5"/>
  <c r="X2" i="5"/>
  <c r="W2" i="5"/>
  <c r="V2" i="5"/>
  <c r="U2" i="5"/>
  <c r="T2" i="5"/>
  <c r="S2" i="5"/>
  <c r="R2" i="5"/>
  <c r="Q2" i="5"/>
  <c r="P2" i="5"/>
  <c r="O2" i="5"/>
  <c r="N2" i="5"/>
  <c r="M2" i="5"/>
  <c r="L2" i="5"/>
  <c r="K2" i="5"/>
  <c r="J2" i="5"/>
  <c r="I2" i="5"/>
  <c r="H2" i="5"/>
  <c r="G2" i="5"/>
  <c r="AF395" i="4"/>
  <c r="AE395" i="4"/>
  <c r="AD395" i="4"/>
  <c r="AC395" i="4"/>
  <c r="AB395" i="4"/>
  <c r="AA395" i="4"/>
  <c r="Z395" i="4"/>
  <c r="Y395" i="4"/>
  <c r="X395" i="4"/>
  <c r="W395" i="4"/>
  <c r="V395" i="4"/>
  <c r="U395" i="4"/>
  <c r="T395" i="4"/>
  <c r="S395" i="4"/>
  <c r="R395" i="4"/>
  <c r="Q395" i="4"/>
  <c r="P395" i="4"/>
  <c r="O395" i="4"/>
  <c r="N395" i="4"/>
  <c r="M395" i="4"/>
  <c r="L395" i="4"/>
  <c r="K395" i="4"/>
  <c r="J395" i="4"/>
  <c r="I395" i="4"/>
  <c r="H395" i="4"/>
  <c r="AF394" i="4"/>
  <c r="AE394" i="4"/>
  <c r="AD394" i="4"/>
  <c r="AC394" i="4"/>
  <c r="AB394" i="4"/>
  <c r="AA394" i="4"/>
  <c r="Z394" i="4"/>
  <c r="Y394" i="4"/>
  <c r="X394" i="4"/>
  <c r="W394" i="4"/>
  <c r="V394" i="4"/>
  <c r="U394" i="4"/>
  <c r="T394" i="4"/>
  <c r="S394" i="4"/>
  <c r="R394" i="4"/>
  <c r="Q394" i="4"/>
  <c r="P394" i="4"/>
  <c r="O394" i="4"/>
  <c r="N394" i="4"/>
  <c r="M394" i="4"/>
  <c r="L394" i="4"/>
  <c r="K394" i="4"/>
  <c r="J394" i="4"/>
  <c r="I394" i="4"/>
  <c r="H394" i="4"/>
  <c r="AF393" i="4"/>
  <c r="AE393" i="4"/>
  <c r="AD393" i="4"/>
  <c r="AC393" i="4"/>
  <c r="AB393" i="4"/>
  <c r="AA393" i="4"/>
  <c r="Z393" i="4"/>
  <c r="Y393" i="4"/>
  <c r="X393" i="4"/>
  <c r="W393" i="4"/>
  <c r="V393" i="4"/>
  <c r="U393" i="4"/>
  <c r="T393" i="4"/>
  <c r="S393" i="4"/>
  <c r="R393" i="4"/>
  <c r="Q393" i="4"/>
  <c r="P393" i="4"/>
  <c r="O393" i="4"/>
  <c r="N393" i="4"/>
  <c r="M393" i="4"/>
  <c r="L393" i="4"/>
  <c r="K393" i="4"/>
  <c r="J393" i="4"/>
  <c r="I393" i="4"/>
  <c r="H393" i="4"/>
  <c r="AF392" i="4"/>
  <c r="AE392" i="4"/>
  <c r="AD392" i="4"/>
  <c r="AC392" i="4"/>
  <c r="AB392" i="4"/>
  <c r="AA392" i="4"/>
  <c r="Z392" i="4"/>
  <c r="Y392" i="4"/>
  <c r="X392" i="4"/>
  <c r="W392" i="4"/>
  <c r="V392" i="4"/>
  <c r="U392" i="4"/>
  <c r="T392" i="4"/>
  <c r="S392" i="4"/>
  <c r="R392" i="4"/>
  <c r="Q392" i="4"/>
  <c r="P392" i="4"/>
  <c r="O392" i="4"/>
  <c r="N392" i="4"/>
  <c r="M392" i="4"/>
  <c r="L392" i="4"/>
  <c r="K392" i="4"/>
  <c r="J392" i="4"/>
  <c r="I392" i="4"/>
  <c r="H392" i="4"/>
  <c r="AF391" i="4"/>
  <c r="AE391" i="4"/>
  <c r="AD391" i="4"/>
  <c r="AC391" i="4"/>
  <c r="AB391" i="4"/>
  <c r="AA391" i="4"/>
  <c r="Z391" i="4"/>
  <c r="Y391" i="4"/>
  <c r="X391" i="4"/>
  <c r="W391" i="4"/>
  <c r="V391" i="4"/>
  <c r="U391" i="4"/>
  <c r="T391" i="4"/>
  <c r="S391" i="4"/>
  <c r="R391" i="4"/>
  <c r="Q391" i="4"/>
  <c r="P391" i="4"/>
  <c r="O391" i="4"/>
  <c r="N391" i="4"/>
  <c r="M391" i="4"/>
  <c r="L391" i="4"/>
  <c r="K391" i="4"/>
  <c r="J391" i="4"/>
  <c r="I391" i="4"/>
  <c r="H391" i="4"/>
  <c r="AF390" i="4"/>
  <c r="AE390" i="4"/>
  <c r="AD390" i="4"/>
  <c r="AC390" i="4"/>
  <c r="AB390" i="4"/>
  <c r="AA390" i="4"/>
  <c r="Z390" i="4"/>
  <c r="Y390" i="4"/>
  <c r="X390" i="4"/>
  <c r="W390" i="4"/>
  <c r="V390" i="4"/>
  <c r="U390" i="4"/>
  <c r="T390" i="4"/>
  <c r="S390" i="4"/>
  <c r="R390" i="4"/>
  <c r="Q390" i="4"/>
  <c r="P390" i="4"/>
  <c r="O390" i="4"/>
  <c r="N390" i="4"/>
  <c r="M390" i="4"/>
  <c r="L390" i="4"/>
  <c r="K390" i="4"/>
  <c r="J390" i="4"/>
  <c r="I390" i="4"/>
  <c r="H390" i="4"/>
  <c r="AF389" i="4"/>
  <c r="AE389" i="4"/>
  <c r="AD389" i="4"/>
  <c r="AC389" i="4"/>
  <c r="AB389" i="4"/>
  <c r="AA389" i="4"/>
  <c r="Z389" i="4"/>
  <c r="Y389" i="4"/>
  <c r="X389" i="4"/>
  <c r="W389" i="4"/>
  <c r="V389" i="4"/>
  <c r="U389" i="4"/>
  <c r="T389" i="4"/>
  <c r="S389" i="4"/>
  <c r="R389" i="4"/>
  <c r="Q389" i="4"/>
  <c r="P389" i="4"/>
  <c r="O389" i="4"/>
  <c r="N389" i="4"/>
  <c r="M389" i="4"/>
  <c r="L389" i="4"/>
  <c r="K389" i="4"/>
  <c r="J389" i="4"/>
  <c r="I389" i="4"/>
  <c r="H389" i="4"/>
  <c r="AF388" i="4"/>
  <c r="AE388" i="4"/>
  <c r="AD388" i="4"/>
  <c r="AC388" i="4"/>
  <c r="AB388" i="4"/>
  <c r="AA388" i="4"/>
  <c r="Z388" i="4"/>
  <c r="Y388" i="4"/>
  <c r="X388" i="4"/>
  <c r="W388" i="4"/>
  <c r="V388" i="4"/>
  <c r="U388" i="4"/>
  <c r="T388" i="4"/>
  <c r="S388" i="4"/>
  <c r="R388" i="4"/>
  <c r="Q388" i="4"/>
  <c r="P388" i="4"/>
  <c r="O388" i="4"/>
  <c r="N388" i="4"/>
  <c r="M388" i="4"/>
  <c r="L388" i="4"/>
  <c r="K388" i="4"/>
  <c r="J388" i="4"/>
  <c r="I388" i="4"/>
  <c r="H388" i="4"/>
  <c r="AF387" i="4"/>
  <c r="AE387" i="4"/>
  <c r="AD387" i="4"/>
  <c r="AC387" i="4"/>
  <c r="AB387" i="4"/>
  <c r="AA387" i="4"/>
  <c r="Z387" i="4"/>
  <c r="Y387" i="4"/>
  <c r="X387" i="4"/>
  <c r="W387" i="4"/>
  <c r="V387" i="4"/>
  <c r="U387" i="4"/>
  <c r="T387" i="4"/>
  <c r="S387" i="4"/>
  <c r="R387" i="4"/>
  <c r="Q387" i="4"/>
  <c r="P387" i="4"/>
  <c r="O387" i="4"/>
  <c r="N387" i="4"/>
  <c r="M387" i="4"/>
  <c r="L387" i="4"/>
  <c r="K387" i="4"/>
  <c r="J387" i="4"/>
  <c r="I387" i="4"/>
  <c r="H387" i="4"/>
  <c r="AF386" i="4"/>
  <c r="AE386" i="4"/>
  <c r="AD386" i="4"/>
  <c r="AC386" i="4"/>
  <c r="AB386" i="4"/>
  <c r="AA386" i="4"/>
  <c r="Z386" i="4"/>
  <c r="Y386" i="4"/>
  <c r="X386" i="4"/>
  <c r="W386" i="4"/>
  <c r="V386" i="4"/>
  <c r="U386" i="4"/>
  <c r="T386" i="4"/>
  <c r="S386" i="4"/>
  <c r="R386" i="4"/>
  <c r="Q386" i="4"/>
  <c r="P386" i="4"/>
  <c r="O386" i="4"/>
  <c r="N386" i="4"/>
  <c r="M386" i="4"/>
  <c r="L386" i="4"/>
  <c r="K386" i="4"/>
  <c r="J386" i="4"/>
  <c r="I386" i="4"/>
  <c r="H386" i="4"/>
  <c r="AF385" i="4"/>
  <c r="AE385" i="4"/>
  <c r="AD385" i="4"/>
  <c r="AC385" i="4"/>
  <c r="AB385" i="4"/>
  <c r="AA385" i="4"/>
  <c r="Z385" i="4"/>
  <c r="Y385" i="4"/>
  <c r="X385" i="4"/>
  <c r="W385" i="4"/>
  <c r="V385" i="4"/>
  <c r="U385" i="4"/>
  <c r="T385" i="4"/>
  <c r="S385" i="4"/>
  <c r="R385" i="4"/>
  <c r="Q385" i="4"/>
  <c r="P385" i="4"/>
  <c r="O385" i="4"/>
  <c r="N385" i="4"/>
  <c r="M385" i="4"/>
  <c r="L385" i="4"/>
  <c r="K385" i="4"/>
  <c r="J385" i="4"/>
  <c r="I385" i="4"/>
  <c r="H385" i="4"/>
  <c r="AF384" i="4"/>
  <c r="AE384" i="4"/>
  <c r="AD384" i="4"/>
  <c r="AC384" i="4"/>
  <c r="AB384" i="4"/>
  <c r="AA384" i="4"/>
  <c r="Z384" i="4"/>
  <c r="Y384" i="4"/>
  <c r="X384" i="4"/>
  <c r="W384" i="4"/>
  <c r="V384" i="4"/>
  <c r="U384" i="4"/>
  <c r="T384" i="4"/>
  <c r="S384" i="4"/>
  <c r="R384" i="4"/>
  <c r="Q384" i="4"/>
  <c r="P384" i="4"/>
  <c r="O384" i="4"/>
  <c r="N384" i="4"/>
  <c r="M384" i="4"/>
  <c r="L384" i="4"/>
  <c r="K384" i="4"/>
  <c r="J384" i="4"/>
  <c r="I384" i="4"/>
  <c r="H384" i="4"/>
  <c r="AF383" i="4"/>
  <c r="AE383" i="4"/>
  <c r="AD383" i="4"/>
  <c r="AC383" i="4"/>
  <c r="AB383" i="4"/>
  <c r="AA383" i="4"/>
  <c r="Z383" i="4"/>
  <c r="Y383" i="4"/>
  <c r="X383" i="4"/>
  <c r="W383" i="4"/>
  <c r="V383" i="4"/>
  <c r="U383" i="4"/>
  <c r="T383" i="4"/>
  <c r="S383" i="4"/>
  <c r="R383" i="4"/>
  <c r="Q383" i="4"/>
  <c r="P383" i="4"/>
  <c r="O383" i="4"/>
  <c r="N383" i="4"/>
  <c r="M383" i="4"/>
  <c r="L383" i="4"/>
  <c r="K383" i="4"/>
  <c r="J383" i="4"/>
  <c r="I383" i="4"/>
  <c r="H383" i="4"/>
  <c r="AF382" i="4"/>
  <c r="AE382" i="4"/>
  <c r="AD382" i="4"/>
  <c r="AC382" i="4"/>
  <c r="AB382" i="4"/>
  <c r="AA382" i="4"/>
  <c r="Z382" i="4"/>
  <c r="Y382" i="4"/>
  <c r="X382" i="4"/>
  <c r="W382" i="4"/>
  <c r="V382" i="4"/>
  <c r="U382" i="4"/>
  <c r="T382" i="4"/>
  <c r="S382" i="4"/>
  <c r="R382" i="4"/>
  <c r="Q382" i="4"/>
  <c r="P382" i="4"/>
  <c r="O382" i="4"/>
  <c r="N382" i="4"/>
  <c r="M382" i="4"/>
  <c r="L382" i="4"/>
  <c r="K382" i="4"/>
  <c r="J382" i="4"/>
  <c r="I382" i="4"/>
  <c r="H382" i="4"/>
  <c r="AF381" i="4"/>
  <c r="AE381" i="4"/>
  <c r="AD381" i="4"/>
  <c r="AC381" i="4"/>
  <c r="AB381" i="4"/>
  <c r="AA381" i="4"/>
  <c r="Z381" i="4"/>
  <c r="Y381" i="4"/>
  <c r="X381" i="4"/>
  <c r="W381" i="4"/>
  <c r="V381" i="4"/>
  <c r="U381" i="4"/>
  <c r="T381" i="4"/>
  <c r="S381" i="4"/>
  <c r="R381" i="4"/>
  <c r="Q381" i="4"/>
  <c r="P381" i="4"/>
  <c r="O381" i="4"/>
  <c r="N381" i="4"/>
  <c r="M381" i="4"/>
  <c r="L381" i="4"/>
  <c r="K381" i="4"/>
  <c r="J381" i="4"/>
  <c r="I381" i="4"/>
  <c r="H381" i="4"/>
  <c r="AF380" i="4"/>
  <c r="AE380" i="4"/>
  <c r="AD380" i="4"/>
  <c r="AC380" i="4"/>
  <c r="AB380" i="4"/>
  <c r="AA380" i="4"/>
  <c r="Z380" i="4"/>
  <c r="Y380" i="4"/>
  <c r="X380" i="4"/>
  <c r="W380" i="4"/>
  <c r="V380" i="4"/>
  <c r="U380" i="4"/>
  <c r="T380" i="4"/>
  <c r="S380" i="4"/>
  <c r="R380" i="4"/>
  <c r="Q380" i="4"/>
  <c r="P380" i="4"/>
  <c r="O380" i="4"/>
  <c r="N380" i="4"/>
  <c r="M380" i="4"/>
  <c r="L380" i="4"/>
  <c r="K380" i="4"/>
  <c r="J380" i="4"/>
  <c r="I380" i="4"/>
  <c r="H380" i="4"/>
  <c r="AF379" i="4"/>
  <c r="AE379" i="4"/>
  <c r="AD379" i="4"/>
  <c r="AC379" i="4"/>
  <c r="AB379" i="4"/>
  <c r="AA379" i="4"/>
  <c r="Z379" i="4"/>
  <c r="Y379" i="4"/>
  <c r="X379" i="4"/>
  <c r="W379" i="4"/>
  <c r="V379" i="4"/>
  <c r="U379" i="4"/>
  <c r="T379" i="4"/>
  <c r="S379" i="4"/>
  <c r="R379" i="4"/>
  <c r="Q379" i="4"/>
  <c r="P379" i="4"/>
  <c r="O379" i="4"/>
  <c r="N379" i="4"/>
  <c r="M379" i="4"/>
  <c r="L379" i="4"/>
  <c r="K379" i="4"/>
  <c r="J379" i="4"/>
  <c r="I379" i="4"/>
  <c r="H379" i="4"/>
  <c r="AF378" i="4"/>
  <c r="AE378" i="4"/>
  <c r="AD378" i="4"/>
  <c r="AC378" i="4"/>
  <c r="AB378" i="4"/>
  <c r="AA378" i="4"/>
  <c r="Z378" i="4"/>
  <c r="Y378" i="4"/>
  <c r="X378" i="4"/>
  <c r="W378" i="4"/>
  <c r="V378" i="4"/>
  <c r="U378" i="4"/>
  <c r="T378" i="4"/>
  <c r="S378" i="4"/>
  <c r="R378" i="4"/>
  <c r="Q378" i="4"/>
  <c r="P378" i="4"/>
  <c r="O378" i="4"/>
  <c r="N378" i="4"/>
  <c r="M378" i="4"/>
  <c r="L378" i="4"/>
  <c r="K378" i="4"/>
  <c r="J378" i="4"/>
  <c r="I378" i="4"/>
  <c r="H378" i="4"/>
  <c r="AF377" i="4"/>
  <c r="AE377" i="4"/>
  <c r="AD377" i="4"/>
  <c r="AC377" i="4"/>
  <c r="AB377" i="4"/>
  <c r="AA377" i="4"/>
  <c r="Z377" i="4"/>
  <c r="Y377" i="4"/>
  <c r="X377" i="4"/>
  <c r="W377" i="4"/>
  <c r="V377" i="4"/>
  <c r="U377" i="4"/>
  <c r="T377" i="4"/>
  <c r="S377" i="4"/>
  <c r="R377" i="4"/>
  <c r="Q377" i="4"/>
  <c r="P377" i="4"/>
  <c r="O377" i="4"/>
  <c r="N377" i="4"/>
  <c r="M377" i="4"/>
  <c r="L377" i="4"/>
  <c r="K377" i="4"/>
  <c r="J377" i="4"/>
  <c r="I377" i="4"/>
  <c r="H377" i="4"/>
  <c r="AF376" i="4"/>
  <c r="AE376" i="4"/>
  <c r="AD376" i="4"/>
  <c r="AC376" i="4"/>
  <c r="AB376" i="4"/>
  <c r="AA376" i="4"/>
  <c r="Z376" i="4"/>
  <c r="Y376" i="4"/>
  <c r="X376" i="4"/>
  <c r="W376" i="4"/>
  <c r="V376" i="4"/>
  <c r="U376" i="4"/>
  <c r="T376" i="4"/>
  <c r="S376" i="4"/>
  <c r="R376" i="4"/>
  <c r="Q376" i="4"/>
  <c r="P376" i="4"/>
  <c r="O376" i="4"/>
  <c r="N376" i="4"/>
  <c r="M376" i="4"/>
  <c r="L376" i="4"/>
  <c r="K376" i="4"/>
  <c r="J376" i="4"/>
  <c r="I376" i="4"/>
  <c r="H376" i="4"/>
  <c r="AF375" i="4"/>
  <c r="AE375" i="4"/>
  <c r="AD375" i="4"/>
  <c r="AC375" i="4"/>
  <c r="AB375" i="4"/>
  <c r="AA375" i="4"/>
  <c r="Z375" i="4"/>
  <c r="Y375" i="4"/>
  <c r="X375" i="4"/>
  <c r="W375" i="4"/>
  <c r="V375" i="4"/>
  <c r="U375" i="4"/>
  <c r="T375" i="4"/>
  <c r="S375" i="4"/>
  <c r="R375" i="4"/>
  <c r="Q375" i="4"/>
  <c r="P375" i="4"/>
  <c r="O375" i="4"/>
  <c r="N375" i="4"/>
  <c r="M375" i="4"/>
  <c r="L375" i="4"/>
  <c r="K375" i="4"/>
  <c r="J375" i="4"/>
  <c r="I375" i="4"/>
  <c r="H375" i="4"/>
  <c r="AF374" i="4"/>
  <c r="AE374" i="4"/>
  <c r="AD374" i="4"/>
  <c r="AC374" i="4"/>
  <c r="AB374" i="4"/>
  <c r="AA374" i="4"/>
  <c r="Z374" i="4"/>
  <c r="Y374" i="4"/>
  <c r="X374" i="4"/>
  <c r="W374" i="4"/>
  <c r="V374" i="4"/>
  <c r="U374" i="4"/>
  <c r="T374" i="4"/>
  <c r="S374" i="4"/>
  <c r="R374" i="4"/>
  <c r="Q374" i="4"/>
  <c r="P374" i="4"/>
  <c r="O374" i="4"/>
  <c r="N374" i="4"/>
  <c r="M374" i="4"/>
  <c r="L374" i="4"/>
  <c r="K374" i="4"/>
  <c r="J374" i="4"/>
  <c r="I374" i="4"/>
  <c r="H374" i="4"/>
  <c r="AF373" i="4"/>
  <c r="AE373" i="4"/>
  <c r="AD373" i="4"/>
  <c r="AC373" i="4"/>
  <c r="AB373" i="4"/>
  <c r="AA373" i="4"/>
  <c r="Z373" i="4"/>
  <c r="Y373" i="4"/>
  <c r="X373" i="4"/>
  <c r="W373" i="4"/>
  <c r="V373" i="4"/>
  <c r="U373" i="4"/>
  <c r="T373" i="4"/>
  <c r="S373" i="4"/>
  <c r="R373" i="4"/>
  <c r="Q373" i="4"/>
  <c r="P373" i="4"/>
  <c r="O373" i="4"/>
  <c r="N373" i="4"/>
  <c r="M373" i="4"/>
  <c r="L373" i="4"/>
  <c r="K373" i="4"/>
  <c r="J373" i="4"/>
  <c r="I373" i="4"/>
  <c r="H373" i="4"/>
  <c r="AF372" i="4"/>
  <c r="AE372" i="4"/>
  <c r="AD372" i="4"/>
  <c r="AC372" i="4"/>
  <c r="AB372" i="4"/>
  <c r="AA372" i="4"/>
  <c r="Z372" i="4"/>
  <c r="Y372" i="4"/>
  <c r="X372" i="4"/>
  <c r="W372" i="4"/>
  <c r="V372" i="4"/>
  <c r="U372" i="4"/>
  <c r="T372" i="4"/>
  <c r="S372" i="4"/>
  <c r="R372" i="4"/>
  <c r="Q372" i="4"/>
  <c r="P372" i="4"/>
  <c r="O372" i="4"/>
  <c r="N372" i="4"/>
  <c r="M372" i="4"/>
  <c r="L372" i="4"/>
  <c r="K372" i="4"/>
  <c r="J372" i="4"/>
  <c r="I372" i="4"/>
  <c r="H372" i="4"/>
  <c r="AF371" i="4"/>
  <c r="AE371" i="4"/>
  <c r="AD371" i="4"/>
  <c r="AC371" i="4"/>
  <c r="AB371" i="4"/>
  <c r="AA371" i="4"/>
  <c r="Z371" i="4"/>
  <c r="Y371" i="4"/>
  <c r="X371" i="4"/>
  <c r="W371" i="4"/>
  <c r="V371" i="4"/>
  <c r="U371" i="4"/>
  <c r="T371" i="4"/>
  <c r="S371" i="4"/>
  <c r="R371" i="4"/>
  <c r="Q371" i="4"/>
  <c r="P371" i="4"/>
  <c r="O371" i="4"/>
  <c r="N371" i="4"/>
  <c r="M371" i="4"/>
  <c r="L371" i="4"/>
  <c r="K371" i="4"/>
  <c r="J371" i="4"/>
  <c r="I371" i="4"/>
  <c r="H371" i="4"/>
  <c r="AF370" i="4"/>
  <c r="AE370" i="4"/>
  <c r="AD370" i="4"/>
  <c r="AC370" i="4"/>
  <c r="AB370" i="4"/>
  <c r="AA370" i="4"/>
  <c r="Z370" i="4"/>
  <c r="Y370" i="4"/>
  <c r="X370" i="4"/>
  <c r="W370" i="4"/>
  <c r="V370" i="4"/>
  <c r="U370" i="4"/>
  <c r="T370" i="4"/>
  <c r="S370" i="4"/>
  <c r="R370" i="4"/>
  <c r="Q370" i="4"/>
  <c r="P370" i="4"/>
  <c r="O370" i="4"/>
  <c r="N370" i="4"/>
  <c r="M370" i="4"/>
  <c r="L370" i="4"/>
  <c r="K370" i="4"/>
  <c r="J370" i="4"/>
  <c r="I370" i="4"/>
  <c r="H370" i="4"/>
  <c r="AF369" i="4"/>
  <c r="AE369" i="4"/>
  <c r="AD369" i="4"/>
  <c r="AC369" i="4"/>
  <c r="AB369" i="4"/>
  <c r="AA369" i="4"/>
  <c r="Z369" i="4"/>
  <c r="Y369" i="4"/>
  <c r="X369" i="4"/>
  <c r="W369" i="4"/>
  <c r="V369" i="4"/>
  <c r="U369" i="4"/>
  <c r="T369" i="4"/>
  <c r="S369" i="4"/>
  <c r="R369" i="4"/>
  <c r="Q369" i="4"/>
  <c r="P369" i="4"/>
  <c r="O369" i="4"/>
  <c r="N369" i="4"/>
  <c r="M369" i="4"/>
  <c r="L369" i="4"/>
  <c r="K369" i="4"/>
  <c r="J369" i="4"/>
  <c r="I369" i="4"/>
  <c r="H369" i="4"/>
  <c r="AF368" i="4"/>
  <c r="AE368" i="4"/>
  <c r="AD368" i="4"/>
  <c r="AC368" i="4"/>
  <c r="AB368" i="4"/>
  <c r="AA368" i="4"/>
  <c r="Z368" i="4"/>
  <c r="Y368" i="4"/>
  <c r="X368" i="4"/>
  <c r="W368" i="4"/>
  <c r="V368" i="4"/>
  <c r="U368" i="4"/>
  <c r="T368" i="4"/>
  <c r="S368" i="4"/>
  <c r="R368" i="4"/>
  <c r="Q368" i="4"/>
  <c r="P368" i="4"/>
  <c r="O368" i="4"/>
  <c r="N368" i="4"/>
  <c r="M368" i="4"/>
  <c r="L368" i="4"/>
  <c r="K368" i="4"/>
  <c r="J368" i="4"/>
  <c r="I368" i="4"/>
  <c r="H368" i="4"/>
  <c r="AF367" i="4"/>
  <c r="AE367" i="4"/>
  <c r="AD367" i="4"/>
  <c r="AC367" i="4"/>
  <c r="AB367" i="4"/>
  <c r="AA367" i="4"/>
  <c r="Z367" i="4"/>
  <c r="Y367" i="4"/>
  <c r="X367" i="4"/>
  <c r="W367" i="4"/>
  <c r="V367" i="4"/>
  <c r="U367" i="4"/>
  <c r="T367" i="4"/>
  <c r="S367" i="4"/>
  <c r="R367" i="4"/>
  <c r="Q367" i="4"/>
  <c r="P367" i="4"/>
  <c r="O367" i="4"/>
  <c r="N367" i="4"/>
  <c r="M367" i="4"/>
  <c r="L367" i="4"/>
  <c r="K367" i="4"/>
  <c r="J367" i="4"/>
  <c r="I367" i="4"/>
  <c r="H367" i="4"/>
  <c r="AF366" i="4"/>
  <c r="AE366" i="4"/>
  <c r="AD366" i="4"/>
  <c r="AC366" i="4"/>
  <c r="AB366" i="4"/>
  <c r="AA366" i="4"/>
  <c r="Z366" i="4"/>
  <c r="Y366" i="4"/>
  <c r="X366" i="4"/>
  <c r="W366" i="4"/>
  <c r="V366" i="4"/>
  <c r="U366" i="4"/>
  <c r="T366" i="4"/>
  <c r="S366" i="4"/>
  <c r="R366" i="4"/>
  <c r="Q366" i="4"/>
  <c r="P366" i="4"/>
  <c r="O366" i="4"/>
  <c r="N366" i="4"/>
  <c r="M366" i="4"/>
  <c r="L366" i="4"/>
  <c r="K366" i="4"/>
  <c r="J366" i="4"/>
  <c r="I366" i="4"/>
  <c r="H366" i="4"/>
  <c r="AF365" i="4"/>
  <c r="AE365" i="4"/>
  <c r="AD365" i="4"/>
  <c r="AC365" i="4"/>
  <c r="AB365" i="4"/>
  <c r="AA365" i="4"/>
  <c r="Z365" i="4"/>
  <c r="Y365" i="4"/>
  <c r="X365" i="4"/>
  <c r="W365" i="4"/>
  <c r="V365" i="4"/>
  <c r="U365" i="4"/>
  <c r="T365" i="4"/>
  <c r="S365" i="4"/>
  <c r="R365" i="4"/>
  <c r="Q365" i="4"/>
  <c r="P365" i="4"/>
  <c r="O365" i="4"/>
  <c r="N365" i="4"/>
  <c r="M365" i="4"/>
  <c r="L365" i="4"/>
  <c r="K365" i="4"/>
  <c r="J365" i="4"/>
  <c r="I365" i="4"/>
  <c r="H365" i="4"/>
  <c r="AF364" i="4"/>
  <c r="AE364" i="4"/>
  <c r="AD364" i="4"/>
  <c r="AC364" i="4"/>
  <c r="AB364" i="4"/>
  <c r="AA364" i="4"/>
  <c r="Z364" i="4"/>
  <c r="Y364" i="4"/>
  <c r="X364" i="4"/>
  <c r="W364" i="4"/>
  <c r="V364" i="4"/>
  <c r="U364" i="4"/>
  <c r="T364" i="4"/>
  <c r="S364" i="4"/>
  <c r="R364" i="4"/>
  <c r="Q364" i="4"/>
  <c r="P364" i="4"/>
  <c r="O364" i="4"/>
  <c r="N364" i="4"/>
  <c r="M364" i="4"/>
  <c r="L364" i="4"/>
  <c r="K364" i="4"/>
  <c r="J364" i="4"/>
  <c r="I364" i="4"/>
  <c r="H364" i="4"/>
  <c r="AF363" i="4"/>
  <c r="AE363" i="4"/>
  <c r="AD363" i="4"/>
  <c r="AC363" i="4"/>
  <c r="AB363" i="4"/>
  <c r="AA363" i="4"/>
  <c r="Z363" i="4"/>
  <c r="Y363" i="4"/>
  <c r="X363" i="4"/>
  <c r="W363" i="4"/>
  <c r="V363" i="4"/>
  <c r="U363" i="4"/>
  <c r="T363" i="4"/>
  <c r="S363" i="4"/>
  <c r="R363" i="4"/>
  <c r="Q363" i="4"/>
  <c r="P363" i="4"/>
  <c r="O363" i="4"/>
  <c r="N363" i="4"/>
  <c r="M363" i="4"/>
  <c r="L363" i="4"/>
  <c r="K363" i="4"/>
  <c r="J363" i="4"/>
  <c r="I363" i="4"/>
  <c r="H363" i="4"/>
  <c r="AF362" i="4"/>
  <c r="AE362" i="4"/>
  <c r="AD362" i="4"/>
  <c r="AC362" i="4"/>
  <c r="AB362" i="4"/>
  <c r="AA362" i="4"/>
  <c r="Z362" i="4"/>
  <c r="Y362" i="4"/>
  <c r="X362" i="4"/>
  <c r="W362" i="4"/>
  <c r="V362" i="4"/>
  <c r="U362" i="4"/>
  <c r="T362" i="4"/>
  <c r="S362" i="4"/>
  <c r="R362" i="4"/>
  <c r="Q362" i="4"/>
  <c r="P362" i="4"/>
  <c r="O362" i="4"/>
  <c r="N362" i="4"/>
  <c r="M362" i="4"/>
  <c r="L362" i="4"/>
  <c r="K362" i="4"/>
  <c r="J362" i="4"/>
  <c r="I362" i="4"/>
  <c r="H362" i="4"/>
  <c r="AF361" i="4"/>
  <c r="AE361" i="4"/>
  <c r="AD361" i="4"/>
  <c r="AC361" i="4"/>
  <c r="AB361" i="4"/>
  <c r="AA361" i="4"/>
  <c r="Z361" i="4"/>
  <c r="Y361" i="4"/>
  <c r="X361" i="4"/>
  <c r="W361" i="4"/>
  <c r="V361" i="4"/>
  <c r="U361" i="4"/>
  <c r="T361" i="4"/>
  <c r="S361" i="4"/>
  <c r="R361" i="4"/>
  <c r="Q361" i="4"/>
  <c r="P361" i="4"/>
  <c r="O361" i="4"/>
  <c r="N361" i="4"/>
  <c r="M361" i="4"/>
  <c r="L361" i="4"/>
  <c r="K361" i="4"/>
  <c r="J361" i="4"/>
  <c r="I361" i="4"/>
  <c r="H361" i="4"/>
  <c r="AF360" i="4"/>
  <c r="AE360" i="4"/>
  <c r="AD360" i="4"/>
  <c r="AC360" i="4"/>
  <c r="AB360" i="4"/>
  <c r="AA360" i="4"/>
  <c r="Z360" i="4"/>
  <c r="Y360" i="4"/>
  <c r="X360" i="4"/>
  <c r="W360" i="4"/>
  <c r="V360" i="4"/>
  <c r="U360" i="4"/>
  <c r="T360" i="4"/>
  <c r="S360" i="4"/>
  <c r="R360" i="4"/>
  <c r="Q360" i="4"/>
  <c r="P360" i="4"/>
  <c r="O360" i="4"/>
  <c r="N360" i="4"/>
  <c r="M360" i="4"/>
  <c r="L360" i="4"/>
  <c r="K360" i="4"/>
  <c r="J360" i="4"/>
  <c r="I360" i="4"/>
  <c r="H360" i="4"/>
  <c r="AF359" i="4"/>
  <c r="AE359" i="4"/>
  <c r="AD359" i="4"/>
  <c r="AC359" i="4"/>
  <c r="AB359" i="4"/>
  <c r="AA359" i="4"/>
  <c r="Z359" i="4"/>
  <c r="Y359" i="4"/>
  <c r="X359" i="4"/>
  <c r="W359" i="4"/>
  <c r="V359" i="4"/>
  <c r="U359" i="4"/>
  <c r="T359" i="4"/>
  <c r="S359" i="4"/>
  <c r="R359" i="4"/>
  <c r="Q359" i="4"/>
  <c r="P359" i="4"/>
  <c r="O359" i="4"/>
  <c r="N359" i="4"/>
  <c r="M359" i="4"/>
  <c r="L359" i="4"/>
  <c r="K359" i="4"/>
  <c r="J359" i="4"/>
  <c r="I359" i="4"/>
  <c r="H359" i="4"/>
  <c r="AF358" i="4"/>
  <c r="AE358" i="4"/>
  <c r="AD358" i="4"/>
  <c r="AC358" i="4"/>
  <c r="AB358" i="4"/>
  <c r="AA358" i="4"/>
  <c r="Z358" i="4"/>
  <c r="Y358" i="4"/>
  <c r="X358" i="4"/>
  <c r="W358" i="4"/>
  <c r="V358" i="4"/>
  <c r="U358" i="4"/>
  <c r="T358" i="4"/>
  <c r="S358" i="4"/>
  <c r="R358" i="4"/>
  <c r="Q358" i="4"/>
  <c r="P358" i="4"/>
  <c r="O358" i="4"/>
  <c r="N358" i="4"/>
  <c r="M358" i="4"/>
  <c r="L358" i="4"/>
  <c r="K358" i="4"/>
  <c r="J358" i="4"/>
  <c r="I358" i="4"/>
  <c r="H358" i="4"/>
  <c r="AF357" i="4"/>
  <c r="AE357" i="4"/>
  <c r="AD357" i="4"/>
  <c r="AC357" i="4"/>
  <c r="AB357" i="4"/>
  <c r="AA357" i="4"/>
  <c r="Z357" i="4"/>
  <c r="Y357" i="4"/>
  <c r="X357" i="4"/>
  <c r="W357" i="4"/>
  <c r="V357" i="4"/>
  <c r="U357" i="4"/>
  <c r="T357" i="4"/>
  <c r="S357" i="4"/>
  <c r="R357" i="4"/>
  <c r="Q357" i="4"/>
  <c r="P357" i="4"/>
  <c r="O357" i="4"/>
  <c r="N357" i="4"/>
  <c r="M357" i="4"/>
  <c r="L357" i="4"/>
  <c r="K357" i="4"/>
  <c r="J357" i="4"/>
  <c r="I357" i="4"/>
  <c r="H357" i="4"/>
  <c r="AF356" i="4"/>
  <c r="AE356" i="4"/>
  <c r="AD356" i="4"/>
  <c r="AC356" i="4"/>
  <c r="AB356" i="4"/>
  <c r="AA356" i="4"/>
  <c r="Z356" i="4"/>
  <c r="Y356" i="4"/>
  <c r="X356" i="4"/>
  <c r="W356" i="4"/>
  <c r="V356" i="4"/>
  <c r="U356" i="4"/>
  <c r="T356" i="4"/>
  <c r="S356" i="4"/>
  <c r="R356" i="4"/>
  <c r="Q356" i="4"/>
  <c r="P356" i="4"/>
  <c r="O356" i="4"/>
  <c r="N356" i="4"/>
  <c r="M356" i="4"/>
  <c r="L356" i="4"/>
  <c r="K356" i="4"/>
  <c r="J356" i="4"/>
  <c r="I356" i="4"/>
  <c r="H356" i="4"/>
  <c r="AF355" i="4"/>
  <c r="AE355" i="4"/>
  <c r="AD355" i="4"/>
  <c r="AC355" i="4"/>
  <c r="AB355" i="4"/>
  <c r="AA355" i="4"/>
  <c r="Z355" i="4"/>
  <c r="Y355" i="4"/>
  <c r="X355" i="4"/>
  <c r="W355" i="4"/>
  <c r="V355" i="4"/>
  <c r="U355" i="4"/>
  <c r="T355" i="4"/>
  <c r="S355" i="4"/>
  <c r="R355" i="4"/>
  <c r="Q355" i="4"/>
  <c r="P355" i="4"/>
  <c r="O355" i="4"/>
  <c r="N355" i="4"/>
  <c r="M355" i="4"/>
  <c r="L355" i="4"/>
  <c r="K355" i="4"/>
  <c r="J355" i="4"/>
  <c r="I355" i="4"/>
  <c r="H355" i="4"/>
  <c r="AF354" i="4"/>
  <c r="AE354" i="4"/>
  <c r="AD354" i="4"/>
  <c r="AC354" i="4"/>
  <c r="AB354" i="4"/>
  <c r="AA354" i="4"/>
  <c r="Z354" i="4"/>
  <c r="Y354" i="4"/>
  <c r="X354" i="4"/>
  <c r="W354" i="4"/>
  <c r="V354" i="4"/>
  <c r="U354" i="4"/>
  <c r="T354" i="4"/>
  <c r="S354" i="4"/>
  <c r="R354" i="4"/>
  <c r="Q354" i="4"/>
  <c r="P354" i="4"/>
  <c r="O354" i="4"/>
  <c r="N354" i="4"/>
  <c r="M354" i="4"/>
  <c r="L354" i="4"/>
  <c r="K354" i="4"/>
  <c r="J354" i="4"/>
  <c r="I354" i="4"/>
  <c r="H354" i="4"/>
  <c r="AF353" i="4"/>
  <c r="AE353" i="4"/>
  <c r="AD353" i="4"/>
  <c r="AC353" i="4"/>
  <c r="AB353" i="4"/>
  <c r="AA353" i="4"/>
  <c r="Z353" i="4"/>
  <c r="Y353" i="4"/>
  <c r="X353" i="4"/>
  <c r="W353" i="4"/>
  <c r="V353" i="4"/>
  <c r="U353" i="4"/>
  <c r="T353" i="4"/>
  <c r="S353" i="4"/>
  <c r="R353" i="4"/>
  <c r="Q353" i="4"/>
  <c r="P353" i="4"/>
  <c r="O353" i="4"/>
  <c r="N353" i="4"/>
  <c r="M353" i="4"/>
  <c r="L353" i="4"/>
  <c r="K353" i="4"/>
  <c r="J353" i="4"/>
  <c r="I353" i="4"/>
  <c r="H353" i="4"/>
  <c r="AF352" i="4"/>
  <c r="AE352" i="4"/>
  <c r="AD352" i="4"/>
  <c r="AC352" i="4"/>
  <c r="AB352" i="4"/>
  <c r="AA352" i="4"/>
  <c r="Z352" i="4"/>
  <c r="Y352" i="4"/>
  <c r="X352" i="4"/>
  <c r="W352" i="4"/>
  <c r="V352" i="4"/>
  <c r="U352" i="4"/>
  <c r="T352" i="4"/>
  <c r="S352" i="4"/>
  <c r="R352" i="4"/>
  <c r="Q352" i="4"/>
  <c r="P352" i="4"/>
  <c r="O352" i="4"/>
  <c r="N352" i="4"/>
  <c r="M352" i="4"/>
  <c r="L352" i="4"/>
  <c r="K352" i="4"/>
  <c r="J352" i="4"/>
  <c r="I352" i="4"/>
  <c r="H352" i="4"/>
  <c r="AF351" i="4"/>
  <c r="AE351" i="4"/>
  <c r="AD351" i="4"/>
  <c r="AC351" i="4"/>
  <c r="AB351" i="4"/>
  <c r="AA351" i="4"/>
  <c r="Z351" i="4"/>
  <c r="Y351" i="4"/>
  <c r="X351" i="4"/>
  <c r="W351" i="4"/>
  <c r="V351" i="4"/>
  <c r="U351" i="4"/>
  <c r="T351" i="4"/>
  <c r="S351" i="4"/>
  <c r="R351" i="4"/>
  <c r="Q351" i="4"/>
  <c r="P351" i="4"/>
  <c r="O351" i="4"/>
  <c r="N351" i="4"/>
  <c r="M351" i="4"/>
  <c r="L351" i="4"/>
  <c r="K351" i="4"/>
  <c r="J351" i="4"/>
  <c r="I351" i="4"/>
  <c r="H351" i="4"/>
  <c r="AF350" i="4"/>
  <c r="AE350" i="4"/>
  <c r="AD350" i="4"/>
  <c r="AC350" i="4"/>
  <c r="AB350" i="4"/>
  <c r="AA350" i="4"/>
  <c r="Z350" i="4"/>
  <c r="Y350" i="4"/>
  <c r="X350" i="4"/>
  <c r="W350" i="4"/>
  <c r="V350" i="4"/>
  <c r="U350" i="4"/>
  <c r="T350" i="4"/>
  <c r="S350" i="4"/>
  <c r="R350" i="4"/>
  <c r="Q350" i="4"/>
  <c r="P350" i="4"/>
  <c r="O350" i="4"/>
  <c r="N350" i="4"/>
  <c r="M350" i="4"/>
  <c r="L350" i="4"/>
  <c r="K350" i="4"/>
  <c r="J350" i="4"/>
  <c r="I350" i="4"/>
  <c r="H350" i="4"/>
  <c r="AF349" i="4"/>
  <c r="AE349" i="4"/>
  <c r="AD349" i="4"/>
  <c r="AC349" i="4"/>
  <c r="AB349" i="4"/>
  <c r="AA349" i="4"/>
  <c r="Z349" i="4"/>
  <c r="Y349" i="4"/>
  <c r="X349" i="4"/>
  <c r="W349" i="4"/>
  <c r="V349" i="4"/>
  <c r="U349" i="4"/>
  <c r="T349" i="4"/>
  <c r="S349" i="4"/>
  <c r="R349" i="4"/>
  <c r="Q349" i="4"/>
  <c r="P349" i="4"/>
  <c r="O349" i="4"/>
  <c r="N349" i="4"/>
  <c r="M349" i="4"/>
  <c r="L349" i="4"/>
  <c r="K349" i="4"/>
  <c r="J349" i="4"/>
  <c r="I349" i="4"/>
  <c r="H349" i="4"/>
  <c r="AF348" i="4"/>
  <c r="AE348" i="4"/>
  <c r="AD348" i="4"/>
  <c r="AC348" i="4"/>
  <c r="AB348" i="4"/>
  <c r="AA348" i="4"/>
  <c r="Z348" i="4"/>
  <c r="Y348" i="4"/>
  <c r="X348" i="4"/>
  <c r="W348" i="4"/>
  <c r="V348" i="4"/>
  <c r="U348" i="4"/>
  <c r="T348" i="4"/>
  <c r="S348" i="4"/>
  <c r="R348" i="4"/>
  <c r="Q348" i="4"/>
  <c r="P348" i="4"/>
  <c r="O348" i="4"/>
  <c r="N348" i="4"/>
  <c r="M348" i="4"/>
  <c r="L348" i="4"/>
  <c r="K348" i="4"/>
  <c r="J348" i="4"/>
  <c r="I348" i="4"/>
  <c r="H348" i="4"/>
  <c r="AF347" i="4"/>
  <c r="AE347" i="4"/>
  <c r="AD347" i="4"/>
  <c r="AC347" i="4"/>
  <c r="AB347" i="4"/>
  <c r="AA347" i="4"/>
  <c r="Z347" i="4"/>
  <c r="Y347" i="4"/>
  <c r="X347" i="4"/>
  <c r="W347" i="4"/>
  <c r="V347" i="4"/>
  <c r="U347" i="4"/>
  <c r="T347" i="4"/>
  <c r="S347" i="4"/>
  <c r="R347" i="4"/>
  <c r="Q347" i="4"/>
  <c r="P347" i="4"/>
  <c r="O347" i="4"/>
  <c r="N347" i="4"/>
  <c r="M347" i="4"/>
  <c r="L347" i="4"/>
  <c r="K347" i="4"/>
  <c r="J347" i="4"/>
  <c r="I347" i="4"/>
  <c r="H347" i="4"/>
  <c r="AF346" i="4"/>
  <c r="AE346" i="4"/>
  <c r="AD346" i="4"/>
  <c r="AC346" i="4"/>
  <c r="AB346" i="4"/>
  <c r="AA346" i="4"/>
  <c r="Z346" i="4"/>
  <c r="Y346" i="4"/>
  <c r="X346" i="4"/>
  <c r="W346" i="4"/>
  <c r="V346" i="4"/>
  <c r="U346" i="4"/>
  <c r="T346" i="4"/>
  <c r="S346" i="4"/>
  <c r="R346" i="4"/>
  <c r="Q346" i="4"/>
  <c r="P346" i="4"/>
  <c r="O346" i="4"/>
  <c r="N346" i="4"/>
  <c r="M346" i="4"/>
  <c r="L346" i="4"/>
  <c r="K346" i="4"/>
  <c r="J346" i="4"/>
  <c r="I346" i="4"/>
  <c r="H346" i="4"/>
  <c r="AF345" i="4"/>
  <c r="AE345" i="4"/>
  <c r="AD345" i="4"/>
  <c r="AC345" i="4"/>
  <c r="AB345" i="4"/>
  <c r="AA345" i="4"/>
  <c r="Z345" i="4"/>
  <c r="Y345" i="4"/>
  <c r="X345" i="4"/>
  <c r="W345" i="4"/>
  <c r="V345" i="4"/>
  <c r="U345" i="4"/>
  <c r="T345" i="4"/>
  <c r="S345" i="4"/>
  <c r="R345" i="4"/>
  <c r="Q345" i="4"/>
  <c r="P345" i="4"/>
  <c r="O345" i="4"/>
  <c r="N345" i="4"/>
  <c r="M345" i="4"/>
  <c r="L345" i="4"/>
  <c r="K345" i="4"/>
  <c r="J345" i="4"/>
  <c r="I345" i="4"/>
  <c r="H345" i="4"/>
  <c r="AF344" i="4"/>
  <c r="AE344" i="4"/>
  <c r="AD344" i="4"/>
  <c r="AC344" i="4"/>
  <c r="AB344" i="4"/>
  <c r="AA344" i="4"/>
  <c r="Z344" i="4"/>
  <c r="Y344" i="4"/>
  <c r="X344" i="4"/>
  <c r="W344" i="4"/>
  <c r="V344" i="4"/>
  <c r="U344" i="4"/>
  <c r="T344" i="4"/>
  <c r="S344" i="4"/>
  <c r="R344" i="4"/>
  <c r="Q344" i="4"/>
  <c r="P344" i="4"/>
  <c r="O344" i="4"/>
  <c r="N344" i="4"/>
  <c r="M344" i="4"/>
  <c r="L344" i="4"/>
  <c r="K344" i="4"/>
  <c r="J344" i="4"/>
  <c r="I344" i="4"/>
  <c r="H344" i="4"/>
  <c r="AF343" i="4"/>
  <c r="AE343" i="4"/>
  <c r="AD343" i="4"/>
  <c r="AC343" i="4"/>
  <c r="AB343" i="4"/>
  <c r="AA343" i="4"/>
  <c r="Z343" i="4"/>
  <c r="Y343" i="4"/>
  <c r="X343" i="4"/>
  <c r="W343" i="4"/>
  <c r="V343" i="4"/>
  <c r="U343" i="4"/>
  <c r="T343" i="4"/>
  <c r="S343" i="4"/>
  <c r="R343" i="4"/>
  <c r="Q343" i="4"/>
  <c r="P343" i="4"/>
  <c r="O343" i="4"/>
  <c r="N343" i="4"/>
  <c r="M343" i="4"/>
  <c r="L343" i="4"/>
  <c r="K343" i="4"/>
  <c r="J343" i="4"/>
  <c r="I343" i="4"/>
  <c r="H343" i="4"/>
  <c r="AF342" i="4"/>
  <c r="AE342" i="4"/>
  <c r="AD342" i="4"/>
  <c r="AC342" i="4"/>
  <c r="AB342" i="4"/>
  <c r="AA342" i="4"/>
  <c r="Z342" i="4"/>
  <c r="Y342" i="4"/>
  <c r="X342" i="4"/>
  <c r="W342" i="4"/>
  <c r="V342" i="4"/>
  <c r="U342" i="4"/>
  <c r="T342" i="4"/>
  <c r="S342" i="4"/>
  <c r="R342" i="4"/>
  <c r="Q342" i="4"/>
  <c r="P342" i="4"/>
  <c r="O342" i="4"/>
  <c r="N342" i="4"/>
  <c r="M342" i="4"/>
  <c r="L342" i="4"/>
  <c r="K342" i="4"/>
  <c r="J342" i="4"/>
  <c r="I342" i="4"/>
  <c r="H342" i="4"/>
  <c r="AF341" i="4"/>
  <c r="AE341" i="4"/>
  <c r="AD341" i="4"/>
  <c r="AC341" i="4"/>
  <c r="AB341" i="4"/>
  <c r="AA341" i="4"/>
  <c r="Z341" i="4"/>
  <c r="Y341" i="4"/>
  <c r="X341" i="4"/>
  <c r="W341" i="4"/>
  <c r="V341" i="4"/>
  <c r="U341" i="4"/>
  <c r="T341" i="4"/>
  <c r="S341" i="4"/>
  <c r="R341" i="4"/>
  <c r="Q341" i="4"/>
  <c r="P341" i="4"/>
  <c r="O341" i="4"/>
  <c r="N341" i="4"/>
  <c r="M341" i="4"/>
  <c r="L341" i="4"/>
  <c r="K341" i="4"/>
  <c r="J341" i="4"/>
  <c r="I341" i="4"/>
  <c r="H341" i="4"/>
  <c r="AF340" i="4"/>
  <c r="AE340" i="4"/>
  <c r="AD340" i="4"/>
  <c r="AC340" i="4"/>
  <c r="AB340" i="4"/>
  <c r="AA340" i="4"/>
  <c r="Z340" i="4"/>
  <c r="Y340" i="4"/>
  <c r="X340" i="4"/>
  <c r="W340" i="4"/>
  <c r="V340" i="4"/>
  <c r="U340" i="4"/>
  <c r="T340" i="4"/>
  <c r="S340" i="4"/>
  <c r="R340" i="4"/>
  <c r="Q340" i="4"/>
  <c r="P340" i="4"/>
  <c r="O340" i="4"/>
  <c r="N340" i="4"/>
  <c r="M340" i="4"/>
  <c r="L340" i="4"/>
  <c r="K340" i="4"/>
  <c r="J340" i="4"/>
  <c r="I340" i="4"/>
  <c r="H340" i="4"/>
  <c r="AF339" i="4"/>
  <c r="AE339" i="4"/>
  <c r="AD339" i="4"/>
  <c r="AC339" i="4"/>
  <c r="AB339" i="4"/>
  <c r="AA339" i="4"/>
  <c r="Z339" i="4"/>
  <c r="Y339" i="4"/>
  <c r="X339" i="4"/>
  <c r="W339" i="4"/>
  <c r="V339" i="4"/>
  <c r="U339" i="4"/>
  <c r="T339" i="4"/>
  <c r="S339" i="4"/>
  <c r="R339" i="4"/>
  <c r="Q339" i="4"/>
  <c r="P339" i="4"/>
  <c r="O339" i="4"/>
  <c r="N339" i="4"/>
  <c r="M339" i="4"/>
  <c r="L339" i="4"/>
  <c r="K339" i="4"/>
  <c r="J339" i="4"/>
  <c r="I339" i="4"/>
  <c r="H339" i="4"/>
  <c r="AF338" i="4"/>
  <c r="AE338" i="4"/>
  <c r="AD338" i="4"/>
  <c r="AC338" i="4"/>
  <c r="AB338" i="4"/>
  <c r="AA338" i="4"/>
  <c r="Z338" i="4"/>
  <c r="Y338" i="4"/>
  <c r="X338" i="4"/>
  <c r="W338" i="4"/>
  <c r="V338" i="4"/>
  <c r="U338" i="4"/>
  <c r="T338" i="4"/>
  <c r="S338" i="4"/>
  <c r="R338" i="4"/>
  <c r="Q338" i="4"/>
  <c r="P338" i="4"/>
  <c r="O338" i="4"/>
  <c r="N338" i="4"/>
  <c r="M338" i="4"/>
  <c r="L338" i="4"/>
  <c r="K338" i="4"/>
  <c r="J338" i="4"/>
  <c r="I338" i="4"/>
  <c r="H338" i="4"/>
  <c r="AF337" i="4"/>
  <c r="AE337" i="4"/>
  <c r="AD337" i="4"/>
  <c r="AC337" i="4"/>
  <c r="AB337" i="4"/>
  <c r="AA337" i="4"/>
  <c r="Z337" i="4"/>
  <c r="Y337" i="4"/>
  <c r="X337" i="4"/>
  <c r="W337" i="4"/>
  <c r="V337" i="4"/>
  <c r="U337" i="4"/>
  <c r="T337" i="4"/>
  <c r="S337" i="4"/>
  <c r="R337" i="4"/>
  <c r="Q337" i="4"/>
  <c r="P337" i="4"/>
  <c r="O337" i="4"/>
  <c r="N337" i="4"/>
  <c r="M337" i="4"/>
  <c r="L337" i="4"/>
  <c r="K337" i="4"/>
  <c r="J337" i="4"/>
  <c r="I337" i="4"/>
  <c r="H337" i="4"/>
  <c r="AF336" i="4"/>
  <c r="AE336" i="4"/>
  <c r="AD336" i="4"/>
  <c r="AC336" i="4"/>
  <c r="AB336" i="4"/>
  <c r="AA336" i="4"/>
  <c r="Z336" i="4"/>
  <c r="Y336" i="4"/>
  <c r="X336" i="4"/>
  <c r="W336" i="4"/>
  <c r="V336" i="4"/>
  <c r="U336" i="4"/>
  <c r="T336" i="4"/>
  <c r="S336" i="4"/>
  <c r="R336" i="4"/>
  <c r="Q336" i="4"/>
  <c r="P336" i="4"/>
  <c r="O336" i="4"/>
  <c r="N336" i="4"/>
  <c r="M336" i="4"/>
  <c r="L336" i="4"/>
  <c r="K336" i="4"/>
  <c r="J336" i="4"/>
  <c r="I336" i="4"/>
  <c r="H336" i="4"/>
  <c r="AF335" i="4"/>
  <c r="AE335" i="4"/>
  <c r="AD335" i="4"/>
  <c r="AC335" i="4"/>
  <c r="AB335" i="4"/>
  <c r="AA335" i="4"/>
  <c r="Z335" i="4"/>
  <c r="Y335" i="4"/>
  <c r="X335" i="4"/>
  <c r="W335" i="4"/>
  <c r="V335" i="4"/>
  <c r="U335" i="4"/>
  <c r="T335" i="4"/>
  <c r="S335" i="4"/>
  <c r="R335" i="4"/>
  <c r="Q335" i="4"/>
  <c r="P335" i="4"/>
  <c r="O335" i="4"/>
  <c r="N335" i="4"/>
  <c r="M335" i="4"/>
  <c r="L335" i="4"/>
  <c r="K335" i="4"/>
  <c r="J335" i="4"/>
  <c r="I335" i="4"/>
  <c r="H335" i="4"/>
  <c r="AF334" i="4"/>
  <c r="AE334" i="4"/>
  <c r="AD334" i="4"/>
  <c r="AC334" i="4"/>
  <c r="AB334" i="4"/>
  <c r="AA334" i="4"/>
  <c r="Z334" i="4"/>
  <c r="Y334" i="4"/>
  <c r="X334" i="4"/>
  <c r="W334" i="4"/>
  <c r="V334" i="4"/>
  <c r="U334" i="4"/>
  <c r="T334" i="4"/>
  <c r="S334" i="4"/>
  <c r="R334" i="4"/>
  <c r="Q334" i="4"/>
  <c r="P334" i="4"/>
  <c r="O334" i="4"/>
  <c r="N334" i="4"/>
  <c r="M334" i="4"/>
  <c r="L334" i="4"/>
  <c r="K334" i="4"/>
  <c r="J334" i="4"/>
  <c r="I334" i="4"/>
  <c r="H334" i="4"/>
  <c r="AF333" i="4"/>
  <c r="AE333" i="4"/>
  <c r="AD333" i="4"/>
  <c r="AC333" i="4"/>
  <c r="AB333" i="4"/>
  <c r="AA333" i="4"/>
  <c r="Z333" i="4"/>
  <c r="Y333" i="4"/>
  <c r="X333" i="4"/>
  <c r="W333" i="4"/>
  <c r="V333" i="4"/>
  <c r="U333" i="4"/>
  <c r="T333" i="4"/>
  <c r="S333" i="4"/>
  <c r="R333" i="4"/>
  <c r="Q333" i="4"/>
  <c r="P333" i="4"/>
  <c r="O333" i="4"/>
  <c r="N333" i="4"/>
  <c r="M333" i="4"/>
  <c r="L333" i="4"/>
  <c r="K333" i="4"/>
  <c r="J333" i="4"/>
  <c r="I333" i="4"/>
  <c r="H333" i="4"/>
  <c r="AF332" i="4"/>
  <c r="AE332" i="4"/>
  <c r="AD332" i="4"/>
  <c r="AC332" i="4"/>
  <c r="AB332" i="4"/>
  <c r="AA332" i="4"/>
  <c r="Z332" i="4"/>
  <c r="Y332" i="4"/>
  <c r="X332" i="4"/>
  <c r="W332" i="4"/>
  <c r="V332" i="4"/>
  <c r="U332" i="4"/>
  <c r="T332" i="4"/>
  <c r="S332" i="4"/>
  <c r="R332" i="4"/>
  <c r="Q332" i="4"/>
  <c r="P332" i="4"/>
  <c r="O332" i="4"/>
  <c r="N332" i="4"/>
  <c r="M332" i="4"/>
  <c r="L332" i="4"/>
  <c r="K332" i="4"/>
  <c r="J332" i="4"/>
  <c r="I332" i="4"/>
  <c r="H332" i="4"/>
  <c r="AF331" i="4"/>
  <c r="AE331" i="4"/>
  <c r="AD331" i="4"/>
  <c r="AC331" i="4"/>
  <c r="AB331" i="4"/>
  <c r="AA331" i="4"/>
  <c r="Z331" i="4"/>
  <c r="Y331" i="4"/>
  <c r="X331" i="4"/>
  <c r="W331" i="4"/>
  <c r="V331" i="4"/>
  <c r="U331" i="4"/>
  <c r="T331" i="4"/>
  <c r="S331" i="4"/>
  <c r="R331" i="4"/>
  <c r="Q331" i="4"/>
  <c r="P331" i="4"/>
  <c r="O331" i="4"/>
  <c r="N331" i="4"/>
  <c r="M331" i="4"/>
  <c r="L331" i="4"/>
  <c r="K331" i="4"/>
  <c r="J331" i="4"/>
  <c r="I331" i="4"/>
  <c r="H331" i="4"/>
  <c r="AF330" i="4"/>
  <c r="AE330" i="4"/>
  <c r="AD330" i="4"/>
  <c r="AC330" i="4"/>
  <c r="AB330" i="4"/>
  <c r="AA330" i="4"/>
  <c r="Z330" i="4"/>
  <c r="Y330" i="4"/>
  <c r="X330" i="4"/>
  <c r="W330" i="4"/>
  <c r="V330" i="4"/>
  <c r="U330" i="4"/>
  <c r="T330" i="4"/>
  <c r="S330" i="4"/>
  <c r="R330" i="4"/>
  <c r="Q330" i="4"/>
  <c r="P330" i="4"/>
  <c r="O330" i="4"/>
  <c r="N330" i="4"/>
  <c r="M330" i="4"/>
  <c r="L330" i="4"/>
  <c r="K330" i="4"/>
  <c r="J330" i="4"/>
  <c r="I330" i="4"/>
  <c r="H330" i="4"/>
  <c r="AF329" i="4"/>
  <c r="AE329" i="4"/>
  <c r="AD329" i="4"/>
  <c r="AC329" i="4"/>
  <c r="AB329" i="4"/>
  <c r="AA329" i="4"/>
  <c r="Z329" i="4"/>
  <c r="Y329" i="4"/>
  <c r="X329" i="4"/>
  <c r="W329" i="4"/>
  <c r="V329" i="4"/>
  <c r="U329" i="4"/>
  <c r="T329" i="4"/>
  <c r="S329" i="4"/>
  <c r="R329" i="4"/>
  <c r="Q329" i="4"/>
  <c r="P329" i="4"/>
  <c r="O329" i="4"/>
  <c r="N329" i="4"/>
  <c r="M329" i="4"/>
  <c r="L329" i="4"/>
  <c r="K329" i="4"/>
  <c r="J329" i="4"/>
  <c r="I329" i="4"/>
  <c r="H329" i="4"/>
  <c r="AF328" i="4"/>
  <c r="AE328" i="4"/>
  <c r="AD328" i="4"/>
  <c r="AC328" i="4"/>
  <c r="AB328" i="4"/>
  <c r="AA328" i="4"/>
  <c r="Z328" i="4"/>
  <c r="Y328" i="4"/>
  <c r="X328" i="4"/>
  <c r="W328" i="4"/>
  <c r="V328" i="4"/>
  <c r="U328" i="4"/>
  <c r="T328" i="4"/>
  <c r="S328" i="4"/>
  <c r="R328" i="4"/>
  <c r="Q328" i="4"/>
  <c r="P328" i="4"/>
  <c r="O328" i="4"/>
  <c r="N328" i="4"/>
  <c r="M328" i="4"/>
  <c r="L328" i="4"/>
  <c r="K328" i="4"/>
  <c r="J328" i="4"/>
  <c r="I328" i="4"/>
  <c r="H328" i="4"/>
  <c r="AF327" i="4"/>
  <c r="AE327" i="4"/>
  <c r="AD327" i="4"/>
  <c r="AC327" i="4"/>
  <c r="AB327" i="4"/>
  <c r="AA327" i="4"/>
  <c r="Z327" i="4"/>
  <c r="Y327" i="4"/>
  <c r="X327" i="4"/>
  <c r="W327" i="4"/>
  <c r="V327" i="4"/>
  <c r="U327" i="4"/>
  <c r="T327" i="4"/>
  <c r="S327" i="4"/>
  <c r="R327" i="4"/>
  <c r="Q327" i="4"/>
  <c r="P327" i="4"/>
  <c r="O327" i="4"/>
  <c r="N327" i="4"/>
  <c r="M327" i="4"/>
  <c r="L327" i="4"/>
  <c r="K327" i="4"/>
  <c r="J327" i="4"/>
  <c r="I327" i="4"/>
  <c r="H327" i="4"/>
  <c r="AF326" i="4"/>
  <c r="AE326" i="4"/>
  <c r="AD326" i="4"/>
  <c r="AC326" i="4"/>
  <c r="AB326" i="4"/>
  <c r="AA326" i="4"/>
  <c r="Z326" i="4"/>
  <c r="Y326" i="4"/>
  <c r="X326" i="4"/>
  <c r="W326" i="4"/>
  <c r="V326" i="4"/>
  <c r="U326" i="4"/>
  <c r="T326" i="4"/>
  <c r="S326" i="4"/>
  <c r="R326" i="4"/>
  <c r="Q326" i="4"/>
  <c r="P326" i="4"/>
  <c r="O326" i="4"/>
  <c r="N326" i="4"/>
  <c r="M326" i="4"/>
  <c r="L326" i="4"/>
  <c r="K326" i="4"/>
  <c r="J326" i="4"/>
  <c r="I326" i="4"/>
  <c r="H326" i="4"/>
  <c r="AF325" i="4"/>
  <c r="AE325" i="4"/>
  <c r="AD325" i="4"/>
  <c r="AC325" i="4"/>
  <c r="AB325" i="4"/>
  <c r="AA325" i="4"/>
  <c r="Z325" i="4"/>
  <c r="Y325" i="4"/>
  <c r="X325" i="4"/>
  <c r="W325" i="4"/>
  <c r="V325" i="4"/>
  <c r="U325" i="4"/>
  <c r="T325" i="4"/>
  <c r="S325" i="4"/>
  <c r="R325" i="4"/>
  <c r="Q325" i="4"/>
  <c r="P325" i="4"/>
  <c r="O325" i="4"/>
  <c r="N325" i="4"/>
  <c r="M325" i="4"/>
  <c r="L325" i="4"/>
  <c r="K325" i="4"/>
  <c r="J325" i="4"/>
  <c r="I325" i="4"/>
  <c r="H325" i="4"/>
  <c r="AF324" i="4"/>
  <c r="AE324" i="4"/>
  <c r="AD324" i="4"/>
  <c r="AC324" i="4"/>
  <c r="AB324" i="4"/>
  <c r="AA324" i="4"/>
  <c r="Z324" i="4"/>
  <c r="Y324" i="4"/>
  <c r="X324" i="4"/>
  <c r="W324" i="4"/>
  <c r="V324" i="4"/>
  <c r="U324" i="4"/>
  <c r="T324" i="4"/>
  <c r="S324" i="4"/>
  <c r="R324" i="4"/>
  <c r="Q324" i="4"/>
  <c r="P324" i="4"/>
  <c r="O324" i="4"/>
  <c r="N324" i="4"/>
  <c r="M324" i="4"/>
  <c r="L324" i="4"/>
  <c r="K324" i="4"/>
  <c r="J324" i="4"/>
  <c r="I324" i="4"/>
  <c r="H324" i="4"/>
  <c r="AF323" i="4"/>
  <c r="AE323" i="4"/>
  <c r="AD323" i="4"/>
  <c r="AC323" i="4"/>
  <c r="AB323" i="4"/>
  <c r="AA323" i="4"/>
  <c r="Z323" i="4"/>
  <c r="Y323" i="4"/>
  <c r="X323" i="4"/>
  <c r="W323" i="4"/>
  <c r="V323" i="4"/>
  <c r="U323" i="4"/>
  <c r="T323" i="4"/>
  <c r="S323" i="4"/>
  <c r="R323" i="4"/>
  <c r="Q323" i="4"/>
  <c r="P323" i="4"/>
  <c r="O323" i="4"/>
  <c r="N323" i="4"/>
  <c r="M323" i="4"/>
  <c r="L323" i="4"/>
  <c r="K323" i="4"/>
  <c r="J323" i="4"/>
  <c r="I323" i="4"/>
  <c r="H323" i="4"/>
  <c r="AF322" i="4"/>
  <c r="AE322" i="4"/>
  <c r="AD322" i="4"/>
  <c r="AC322" i="4"/>
  <c r="AB322" i="4"/>
  <c r="AA322" i="4"/>
  <c r="Z322" i="4"/>
  <c r="Y322" i="4"/>
  <c r="X322" i="4"/>
  <c r="W322" i="4"/>
  <c r="V322" i="4"/>
  <c r="U322" i="4"/>
  <c r="T322" i="4"/>
  <c r="S322" i="4"/>
  <c r="R322" i="4"/>
  <c r="Q322" i="4"/>
  <c r="P322" i="4"/>
  <c r="O322" i="4"/>
  <c r="N322" i="4"/>
  <c r="M322" i="4"/>
  <c r="L322" i="4"/>
  <c r="K322" i="4"/>
  <c r="J322" i="4"/>
  <c r="I322" i="4"/>
  <c r="H322" i="4"/>
  <c r="AF321" i="4"/>
  <c r="AE321" i="4"/>
  <c r="AD321" i="4"/>
  <c r="AC321" i="4"/>
  <c r="AB321" i="4"/>
  <c r="AA321" i="4"/>
  <c r="Z321" i="4"/>
  <c r="Y321" i="4"/>
  <c r="X321" i="4"/>
  <c r="W321" i="4"/>
  <c r="V321" i="4"/>
  <c r="U321" i="4"/>
  <c r="T321" i="4"/>
  <c r="S321" i="4"/>
  <c r="R321" i="4"/>
  <c r="Q321" i="4"/>
  <c r="P321" i="4"/>
  <c r="O321" i="4"/>
  <c r="N321" i="4"/>
  <c r="M321" i="4"/>
  <c r="L321" i="4"/>
  <c r="K321" i="4"/>
  <c r="J321" i="4"/>
  <c r="I321" i="4"/>
  <c r="H321" i="4"/>
  <c r="AF320" i="4"/>
  <c r="AE320" i="4"/>
  <c r="AD320" i="4"/>
  <c r="AC320" i="4"/>
  <c r="AB320" i="4"/>
  <c r="AA320" i="4"/>
  <c r="Z320" i="4"/>
  <c r="Y320" i="4"/>
  <c r="X320" i="4"/>
  <c r="W320" i="4"/>
  <c r="V320" i="4"/>
  <c r="U320" i="4"/>
  <c r="T320" i="4"/>
  <c r="S320" i="4"/>
  <c r="R320" i="4"/>
  <c r="Q320" i="4"/>
  <c r="P320" i="4"/>
  <c r="O320" i="4"/>
  <c r="N320" i="4"/>
  <c r="M320" i="4"/>
  <c r="L320" i="4"/>
  <c r="K320" i="4"/>
  <c r="J320" i="4"/>
  <c r="I320" i="4"/>
  <c r="H320" i="4"/>
  <c r="AF319" i="4"/>
  <c r="AE319" i="4"/>
  <c r="AD319" i="4"/>
  <c r="AC319" i="4"/>
  <c r="AB319" i="4"/>
  <c r="AA319" i="4"/>
  <c r="Z319" i="4"/>
  <c r="Y319" i="4"/>
  <c r="X319" i="4"/>
  <c r="W319" i="4"/>
  <c r="V319" i="4"/>
  <c r="U319" i="4"/>
  <c r="T319" i="4"/>
  <c r="S319" i="4"/>
  <c r="R319" i="4"/>
  <c r="Q319" i="4"/>
  <c r="P319" i="4"/>
  <c r="O319" i="4"/>
  <c r="N319" i="4"/>
  <c r="M319" i="4"/>
  <c r="L319" i="4"/>
  <c r="K319" i="4"/>
  <c r="J319" i="4"/>
  <c r="I319" i="4"/>
  <c r="H319" i="4"/>
  <c r="AF318" i="4"/>
  <c r="AE318" i="4"/>
  <c r="AD318" i="4"/>
  <c r="AC318" i="4"/>
  <c r="AB318" i="4"/>
  <c r="AA318" i="4"/>
  <c r="Z318" i="4"/>
  <c r="Y318" i="4"/>
  <c r="X318" i="4"/>
  <c r="W318" i="4"/>
  <c r="V318" i="4"/>
  <c r="U318" i="4"/>
  <c r="T318" i="4"/>
  <c r="S318" i="4"/>
  <c r="R318" i="4"/>
  <c r="Q318" i="4"/>
  <c r="P318" i="4"/>
  <c r="O318" i="4"/>
  <c r="N318" i="4"/>
  <c r="M318" i="4"/>
  <c r="L318" i="4"/>
  <c r="K318" i="4"/>
  <c r="J318" i="4"/>
  <c r="I318" i="4"/>
  <c r="H318" i="4"/>
  <c r="AF317" i="4"/>
  <c r="AE317" i="4"/>
  <c r="AD317" i="4"/>
  <c r="AC317" i="4"/>
  <c r="AB317" i="4"/>
  <c r="AA317" i="4"/>
  <c r="Z317" i="4"/>
  <c r="Y317" i="4"/>
  <c r="X317" i="4"/>
  <c r="W317" i="4"/>
  <c r="V317" i="4"/>
  <c r="U317" i="4"/>
  <c r="T317" i="4"/>
  <c r="S317" i="4"/>
  <c r="R317" i="4"/>
  <c r="Q317" i="4"/>
  <c r="P317" i="4"/>
  <c r="O317" i="4"/>
  <c r="N317" i="4"/>
  <c r="M317" i="4"/>
  <c r="L317" i="4"/>
  <c r="K317" i="4"/>
  <c r="J317" i="4"/>
  <c r="I317" i="4"/>
  <c r="H317" i="4"/>
  <c r="AF316" i="4"/>
  <c r="AE316" i="4"/>
  <c r="AD316" i="4"/>
  <c r="AC316" i="4"/>
  <c r="AB316" i="4"/>
  <c r="AA316" i="4"/>
  <c r="Z316" i="4"/>
  <c r="Y316" i="4"/>
  <c r="X316" i="4"/>
  <c r="W316" i="4"/>
  <c r="V316" i="4"/>
  <c r="U316" i="4"/>
  <c r="T316" i="4"/>
  <c r="S316" i="4"/>
  <c r="R316" i="4"/>
  <c r="Q316" i="4"/>
  <c r="P316" i="4"/>
  <c r="O316" i="4"/>
  <c r="N316" i="4"/>
  <c r="M316" i="4"/>
  <c r="L316" i="4"/>
  <c r="K316" i="4"/>
  <c r="J316" i="4"/>
  <c r="I316" i="4"/>
  <c r="H316" i="4"/>
  <c r="AF315" i="4"/>
  <c r="AE315" i="4"/>
  <c r="AD315" i="4"/>
  <c r="AC315" i="4"/>
  <c r="AB315" i="4"/>
  <c r="AA315" i="4"/>
  <c r="Z315" i="4"/>
  <c r="Y315" i="4"/>
  <c r="X315" i="4"/>
  <c r="W315" i="4"/>
  <c r="V315" i="4"/>
  <c r="U315" i="4"/>
  <c r="T315" i="4"/>
  <c r="S315" i="4"/>
  <c r="R315" i="4"/>
  <c r="Q315" i="4"/>
  <c r="P315" i="4"/>
  <c r="O315" i="4"/>
  <c r="N315" i="4"/>
  <c r="M315" i="4"/>
  <c r="L315" i="4"/>
  <c r="K315" i="4"/>
  <c r="J315" i="4"/>
  <c r="I315" i="4"/>
  <c r="H315" i="4"/>
  <c r="AF314" i="4"/>
  <c r="AE314" i="4"/>
  <c r="AD314" i="4"/>
  <c r="AC314" i="4"/>
  <c r="AB314" i="4"/>
  <c r="AA314" i="4"/>
  <c r="Z314" i="4"/>
  <c r="Y314" i="4"/>
  <c r="X314" i="4"/>
  <c r="W314" i="4"/>
  <c r="V314" i="4"/>
  <c r="U314" i="4"/>
  <c r="T314" i="4"/>
  <c r="S314" i="4"/>
  <c r="R314" i="4"/>
  <c r="Q314" i="4"/>
  <c r="P314" i="4"/>
  <c r="O314" i="4"/>
  <c r="N314" i="4"/>
  <c r="M314" i="4"/>
  <c r="L314" i="4"/>
  <c r="K314" i="4"/>
  <c r="J314" i="4"/>
  <c r="I314" i="4"/>
  <c r="H314" i="4"/>
  <c r="AF313" i="4"/>
  <c r="AE313" i="4"/>
  <c r="AD313" i="4"/>
  <c r="AC313" i="4"/>
  <c r="AB313" i="4"/>
  <c r="AA313" i="4"/>
  <c r="Z313" i="4"/>
  <c r="Y313" i="4"/>
  <c r="X313" i="4"/>
  <c r="W313" i="4"/>
  <c r="V313" i="4"/>
  <c r="U313" i="4"/>
  <c r="T313" i="4"/>
  <c r="S313" i="4"/>
  <c r="R313" i="4"/>
  <c r="Q313" i="4"/>
  <c r="P313" i="4"/>
  <c r="O313" i="4"/>
  <c r="N313" i="4"/>
  <c r="M313" i="4"/>
  <c r="L313" i="4"/>
  <c r="K313" i="4"/>
  <c r="J313" i="4"/>
  <c r="I313" i="4"/>
  <c r="H313" i="4"/>
  <c r="AF312" i="4"/>
  <c r="AE312" i="4"/>
  <c r="AD312" i="4"/>
  <c r="AC312" i="4"/>
  <c r="AB312" i="4"/>
  <c r="AA312" i="4"/>
  <c r="Z312" i="4"/>
  <c r="Y312" i="4"/>
  <c r="X312" i="4"/>
  <c r="W312" i="4"/>
  <c r="V312" i="4"/>
  <c r="U312" i="4"/>
  <c r="T312" i="4"/>
  <c r="S312" i="4"/>
  <c r="R312" i="4"/>
  <c r="Q312" i="4"/>
  <c r="P312" i="4"/>
  <c r="O312" i="4"/>
  <c r="N312" i="4"/>
  <c r="M312" i="4"/>
  <c r="L312" i="4"/>
  <c r="K312" i="4"/>
  <c r="J312" i="4"/>
  <c r="I312" i="4"/>
  <c r="H312" i="4"/>
  <c r="AF311" i="4"/>
  <c r="AE311" i="4"/>
  <c r="AD311" i="4"/>
  <c r="AC311" i="4"/>
  <c r="AB311" i="4"/>
  <c r="AA311" i="4"/>
  <c r="Z311" i="4"/>
  <c r="Y311" i="4"/>
  <c r="X311" i="4"/>
  <c r="W311" i="4"/>
  <c r="V311" i="4"/>
  <c r="U311" i="4"/>
  <c r="T311" i="4"/>
  <c r="S311" i="4"/>
  <c r="R311" i="4"/>
  <c r="Q311" i="4"/>
  <c r="P311" i="4"/>
  <c r="O311" i="4"/>
  <c r="N311" i="4"/>
  <c r="M311" i="4"/>
  <c r="L311" i="4"/>
  <c r="K311" i="4"/>
  <c r="J311" i="4"/>
  <c r="I311" i="4"/>
  <c r="H311" i="4"/>
  <c r="AF310" i="4"/>
  <c r="AE310" i="4"/>
  <c r="AD310" i="4"/>
  <c r="AC310" i="4"/>
  <c r="AB310" i="4"/>
  <c r="AA310" i="4"/>
  <c r="Z310" i="4"/>
  <c r="Y310" i="4"/>
  <c r="X310" i="4"/>
  <c r="W310" i="4"/>
  <c r="V310" i="4"/>
  <c r="U310" i="4"/>
  <c r="T310" i="4"/>
  <c r="S310" i="4"/>
  <c r="R310" i="4"/>
  <c r="Q310" i="4"/>
  <c r="P310" i="4"/>
  <c r="O310" i="4"/>
  <c r="N310" i="4"/>
  <c r="M310" i="4"/>
  <c r="L310" i="4"/>
  <c r="K310" i="4"/>
  <c r="J310" i="4"/>
  <c r="I310" i="4"/>
  <c r="H310" i="4"/>
  <c r="AF309" i="4"/>
  <c r="AE309" i="4"/>
  <c r="AD309" i="4"/>
  <c r="AC309" i="4"/>
  <c r="AB309" i="4"/>
  <c r="AA309" i="4"/>
  <c r="Z309" i="4"/>
  <c r="Y309" i="4"/>
  <c r="X309" i="4"/>
  <c r="W309" i="4"/>
  <c r="V309" i="4"/>
  <c r="U309" i="4"/>
  <c r="T309" i="4"/>
  <c r="S309" i="4"/>
  <c r="R309" i="4"/>
  <c r="Q309" i="4"/>
  <c r="P309" i="4"/>
  <c r="O309" i="4"/>
  <c r="N309" i="4"/>
  <c r="M309" i="4"/>
  <c r="L309" i="4"/>
  <c r="K309" i="4"/>
  <c r="J309" i="4"/>
  <c r="I309" i="4"/>
  <c r="H309" i="4"/>
  <c r="AF308" i="4"/>
  <c r="AE308" i="4"/>
  <c r="AD308" i="4"/>
  <c r="AC308" i="4"/>
  <c r="AB308" i="4"/>
  <c r="AA308" i="4"/>
  <c r="Z308" i="4"/>
  <c r="Y308" i="4"/>
  <c r="X308" i="4"/>
  <c r="W308" i="4"/>
  <c r="V308" i="4"/>
  <c r="U308" i="4"/>
  <c r="T308" i="4"/>
  <c r="S308" i="4"/>
  <c r="R308" i="4"/>
  <c r="Q308" i="4"/>
  <c r="P308" i="4"/>
  <c r="O308" i="4"/>
  <c r="N308" i="4"/>
  <c r="M308" i="4"/>
  <c r="L308" i="4"/>
  <c r="K308" i="4"/>
  <c r="J308" i="4"/>
  <c r="I308" i="4"/>
  <c r="H308" i="4"/>
  <c r="AF307" i="4"/>
  <c r="AE307" i="4"/>
  <c r="AD307" i="4"/>
  <c r="AC307" i="4"/>
  <c r="AB307" i="4"/>
  <c r="AA307" i="4"/>
  <c r="Z307" i="4"/>
  <c r="Y307" i="4"/>
  <c r="X307" i="4"/>
  <c r="W307" i="4"/>
  <c r="V307" i="4"/>
  <c r="U307" i="4"/>
  <c r="T307" i="4"/>
  <c r="S307" i="4"/>
  <c r="R307" i="4"/>
  <c r="Q307" i="4"/>
  <c r="P307" i="4"/>
  <c r="O307" i="4"/>
  <c r="N307" i="4"/>
  <c r="M307" i="4"/>
  <c r="L307" i="4"/>
  <c r="K307" i="4"/>
  <c r="J307" i="4"/>
  <c r="I307" i="4"/>
  <c r="H307" i="4"/>
  <c r="AF306" i="4"/>
  <c r="AE306" i="4"/>
  <c r="AD306" i="4"/>
  <c r="AC306" i="4"/>
  <c r="AB306" i="4"/>
  <c r="AA306" i="4"/>
  <c r="Z306" i="4"/>
  <c r="Y306" i="4"/>
  <c r="X306" i="4"/>
  <c r="W306" i="4"/>
  <c r="V306" i="4"/>
  <c r="U306" i="4"/>
  <c r="T306" i="4"/>
  <c r="S306" i="4"/>
  <c r="R306" i="4"/>
  <c r="Q306" i="4"/>
  <c r="P306" i="4"/>
  <c r="O306" i="4"/>
  <c r="N306" i="4"/>
  <c r="M306" i="4"/>
  <c r="L306" i="4"/>
  <c r="K306" i="4"/>
  <c r="J306" i="4"/>
  <c r="I306" i="4"/>
  <c r="H306" i="4"/>
  <c r="AF305" i="4"/>
  <c r="AE305" i="4"/>
  <c r="AD305" i="4"/>
  <c r="AC305" i="4"/>
  <c r="AB305" i="4"/>
  <c r="AA305" i="4"/>
  <c r="Z305" i="4"/>
  <c r="Y305" i="4"/>
  <c r="X305" i="4"/>
  <c r="W305" i="4"/>
  <c r="V305" i="4"/>
  <c r="U305" i="4"/>
  <c r="T305" i="4"/>
  <c r="S305" i="4"/>
  <c r="R305" i="4"/>
  <c r="Q305" i="4"/>
  <c r="P305" i="4"/>
  <c r="O305" i="4"/>
  <c r="N305" i="4"/>
  <c r="M305" i="4"/>
  <c r="L305" i="4"/>
  <c r="K305" i="4"/>
  <c r="J305" i="4"/>
  <c r="I305" i="4"/>
  <c r="H305" i="4"/>
  <c r="AF304" i="4"/>
  <c r="AE304" i="4"/>
  <c r="AD304" i="4"/>
  <c r="AC304" i="4"/>
  <c r="AB304" i="4"/>
  <c r="AA304" i="4"/>
  <c r="Z304" i="4"/>
  <c r="Y304" i="4"/>
  <c r="X304" i="4"/>
  <c r="W304" i="4"/>
  <c r="V304" i="4"/>
  <c r="U304" i="4"/>
  <c r="T304" i="4"/>
  <c r="S304" i="4"/>
  <c r="R304" i="4"/>
  <c r="Q304" i="4"/>
  <c r="P304" i="4"/>
  <c r="O304" i="4"/>
  <c r="N304" i="4"/>
  <c r="M304" i="4"/>
  <c r="L304" i="4"/>
  <c r="K304" i="4"/>
  <c r="J304" i="4"/>
  <c r="I304" i="4"/>
  <c r="H304" i="4"/>
  <c r="AF303" i="4"/>
  <c r="AE303" i="4"/>
  <c r="AD303" i="4"/>
  <c r="AC303" i="4"/>
  <c r="AB303" i="4"/>
  <c r="AA303" i="4"/>
  <c r="Z303" i="4"/>
  <c r="Y303" i="4"/>
  <c r="X303" i="4"/>
  <c r="W303" i="4"/>
  <c r="V303" i="4"/>
  <c r="U303" i="4"/>
  <c r="T303" i="4"/>
  <c r="S303" i="4"/>
  <c r="R303" i="4"/>
  <c r="Q303" i="4"/>
  <c r="P303" i="4"/>
  <c r="O303" i="4"/>
  <c r="N303" i="4"/>
  <c r="M303" i="4"/>
  <c r="L303" i="4"/>
  <c r="K303" i="4"/>
  <c r="J303" i="4"/>
  <c r="I303" i="4"/>
  <c r="H303" i="4"/>
  <c r="AF302" i="4"/>
  <c r="AE302" i="4"/>
  <c r="AD302" i="4"/>
  <c r="AC302" i="4"/>
  <c r="AB302" i="4"/>
  <c r="AA302" i="4"/>
  <c r="Z302" i="4"/>
  <c r="Y302" i="4"/>
  <c r="X302" i="4"/>
  <c r="W302" i="4"/>
  <c r="V302" i="4"/>
  <c r="U302" i="4"/>
  <c r="T302" i="4"/>
  <c r="S302" i="4"/>
  <c r="R302" i="4"/>
  <c r="Q302" i="4"/>
  <c r="P302" i="4"/>
  <c r="O302" i="4"/>
  <c r="N302" i="4"/>
  <c r="M302" i="4"/>
  <c r="L302" i="4"/>
  <c r="K302" i="4"/>
  <c r="J302" i="4"/>
  <c r="I302" i="4"/>
  <c r="H302" i="4"/>
  <c r="AF301" i="4"/>
  <c r="AE301" i="4"/>
  <c r="AD301" i="4"/>
  <c r="AC301" i="4"/>
  <c r="AB301" i="4"/>
  <c r="AA301" i="4"/>
  <c r="Z301" i="4"/>
  <c r="Y301" i="4"/>
  <c r="X301" i="4"/>
  <c r="W301" i="4"/>
  <c r="V301" i="4"/>
  <c r="U301" i="4"/>
  <c r="T301" i="4"/>
  <c r="S301" i="4"/>
  <c r="R301" i="4"/>
  <c r="Q301" i="4"/>
  <c r="P301" i="4"/>
  <c r="O301" i="4"/>
  <c r="N301" i="4"/>
  <c r="M301" i="4"/>
  <c r="L301" i="4"/>
  <c r="K301" i="4"/>
  <c r="J301" i="4"/>
  <c r="I301" i="4"/>
  <c r="H301" i="4"/>
  <c r="AF300" i="4"/>
  <c r="AE300" i="4"/>
  <c r="AD300" i="4"/>
  <c r="AC300" i="4"/>
  <c r="AB300" i="4"/>
  <c r="AA300" i="4"/>
  <c r="Z300" i="4"/>
  <c r="Y300" i="4"/>
  <c r="X300" i="4"/>
  <c r="W300" i="4"/>
  <c r="V300" i="4"/>
  <c r="U300" i="4"/>
  <c r="T300" i="4"/>
  <c r="S300" i="4"/>
  <c r="R300" i="4"/>
  <c r="Q300" i="4"/>
  <c r="P300" i="4"/>
  <c r="O300" i="4"/>
  <c r="N300" i="4"/>
  <c r="M300" i="4"/>
  <c r="L300" i="4"/>
  <c r="K300" i="4"/>
  <c r="J300" i="4"/>
  <c r="I300" i="4"/>
  <c r="H300" i="4"/>
  <c r="AF299" i="4"/>
  <c r="AE299" i="4"/>
  <c r="AD299" i="4"/>
  <c r="AC299" i="4"/>
  <c r="AB299" i="4"/>
  <c r="AA299" i="4"/>
  <c r="Z299" i="4"/>
  <c r="Y299" i="4"/>
  <c r="X299" i="4"/>
  <c r="W299" i="4"/>
  <c r="V299" i="4"/>
  <c r="U299" i="4"/>
  <c r="T299" i="4"/>
  <c r="S299" i="4"/>
  <c r="R299" i="4"/>
  <c r="Q299" i="4"/>
  <c r="P299" i="4"/>
  <c r="O299" i="4"/>
  <c r="N299" i="4"/>
  <c r="M299" i="4"/>
  <c r="L299" i="4"/>
  <c r="K299" i="4"/>
  <c r="J299" i="4"/>
  <c r="I299" i="4"/>
  <c r="H299" i="4"/>
  <c r="AF298" i="4"/>
  <c r="AE298" i="4"/>
  <c r="AD298" i="4"/>
  <c r="AC298" i="4"/>
  <c r="AB298" i="4"/>
  <c r="AA298" i="4"/>
  <c r="Z298" i="4"/>
  <c r="Y298" i="4"/>
  <c r="X298" i="4"/>
  <c r="W298" i="4"/>
  <c r="V298" i="4"/>
  <c r="U298" i="4"/>
  <c r="T298" i="4"/>
  <c r="S298" i="4"/>
  <c r="R298" i="4"/>
  <c r="Q298" i="4"/>
  <c r="P298" i="4"/>
  <c r="O298" i="4"/>
  <c r="N298" i="4"/>
  <c r="M298" i="4"/>
  <c r="L298" i="4"/>
  <c r="K298" i="4"/>
  <c r="J298" i="4"/>
  <c r="I298" i="4"/>
  <c r="H298" i="4"/>
  <c r="AF297" i="4"/>
  <c r="AE297" i="4"/>
  <c r="AD297" i="4"/>
  <c r="AC297" i="4"/>
  <c r="AB297" i="4"/>
  <c r="AA297" i="4"/>
  <c r="Z297" i="4"/>
  <c r="Y297" i="4"/>
  <c r="X297" i="4"/>
  <c r="W297" i="4"/>
  <c r="V297" i="4"/>
  <c r="U297" i="4"/>
  <c r="T297" i="4"/>
  <c r="S297" i="4"/>
  <c r="R297" i="4"/>
  <c r="Q297" i="4"/>
  <c r="P297" i="4"/>
  <c r="O297" i="4"/>
  <c r="N297" i="4"/>
  <c r="M297" i="4"/>
  <c r="L297" i="4"/>
  <c r="K297" i="4"/>
  <c r="J297" i="4"/>
  <c r="I297" i="4"/>
  <c r="H297" i="4"/>
  <c r="AF296" i="4"/>
  <c r="AE296" i="4"/>
  <c r="AD296" i="4"/>
  <c r="AC296" i="4"/>
  <c r="AB296" i="4"/>
  <c r="AA296" i="4"/>
  <c r="Z296" i="4"/>
  <c r="Y296" i="4"/>
  <c r="X296" i="4"/>
  <c r="W296" i="4"/>
  <c r="V296" i="4"/>
  <c r="U296" i="4"/>
  <c r="T296" i="4"/>
  <c r="S296" i="4"/>
  <c r="R296" i="4"/>
  <c r="Q296" i="4"/>
  <c r="P296" i="4"/>
  <c r="O296" i="4"/>
  <c r="N296" i="4"/>
  <c r="M296" i="4"/>
  <c r="L296" i="4"/>
  <c r="K296" i="4"/>
  <c r="J296" i="4"/>
  <c r="I296" i="4"/>
  <c r="H296" i="4"/>
  <c r="AF295" i="4"/>
  <c r="AE295" i="4"/>
  <c r="AD295" i="4"/>
  <c r="AC295" i="4"/>
  <c r="AB295" i="4"/>
  <c r="AA295" i="4"/>
  <c r="Z295" i="4"/>
  <c r="Y295" i="4"/>
  <c r="X295" i="4"/>
  <c r="W295" i="4"/>
  <c r="V295" i="4"/>
  <c r="U295" i="4"/>
  <c r="T295" i="4"/>
  <c r="S295" i="4"/>
  <c r="R295" i="4"/>
  <c r="Q295" i="4"/>
  <c r="P295" i="4"/>
  <c r="O295" i="4"/>
  <c r="N295" i="4"/>
  <c r="M295" i="4"/>
  <c r="L295" i="4"/>
  <c r="K295" i="4"/>
  <c r="J295" i="4"/>
  <c r="I295" i="4"/>
  <c r="H295" i="4"/>
  <c r="AF294" i="4"/>
  <c r="AE294" i="4"/>
  <c r="AD294" i="4"/>
  <c r="AC294" i="4"/>
  <c r="AB294" i="4"/>
  <c r="AA294" i="4"/>
  <c r="Z294" i="4"/>
  <c r="Y294" i="4"/>
  <c r="X294" i="4"/>
  <c r="W294" i="4"/>
  <c r="V294" i="4"/>
  <c r="U294" i="4"/>
  <c r="T294" i="4"/>
  <c r="S294" i="4"/>
  <c r="R294" i="4"/>
  <c r="Q294" i="4"/>
  <c r="P294" i="4"/>
  <c r="O294" i="4"/>
  <c r="N294" i="4"/>
  <c r="M294" i="4"/>
  <c r="L294" i="4"/>
  <c r="K294" i="4"/>
  <c r="J294" i="4"/>
  <c r="I294" i="4"/>
  <c r="H294" i="4"/>
  <c r="AF293" i="4"/>
  <c r="AE293" i="4"/>
  <c r="AD293" i="4"/>
  <c r="AC293" i="4"/>
  <c r="AB293" i="4"/>
  <c r="AA293" i="4"/>
  <c r="Z293" i="4"/>
  <c r="Y293" i="4"/>
  <c r="X293" i="4"/>
  <c r="W293" i="4"/>
  <c r="V293" i="4"/>
  <c r="U293" i="4"/>
  <c r="T293" i="4"/>
  <c r="S293" i="4"/>
  <c r="R293" i="4"/>
  <c r="Q293" i="4"/>
  <c r="P293" i="4"/>
  <c r="O293" i="4"/>
  <c r="N293" i="4"/>
  <c r="M293" i="4"/>
  <c r="L293" i="4"/>
  <c r="K293" i="4"/>
  <c r="J293" i="4"/>
  <c r="I293" i="4"/>
  <c r="H293" i="4"/>
  <c r="AF292" i="4"/>
  <c r="AE292" i="4"/>
  <c r="AD292" i="4"/>
  <c r="AC292" i="4"/>
  <c r="AB292" i="4"/>
  <c r="AA292" i="4"/>
  <c r="Z292" i="4"/>
  <c r="Y292" i="4"/>
  <c r="X292" i="4"/>
  <c r="W292" i="4"/>
  <c r="V292" i="4"/>
  <c r="U292" i="4"/>
  <c r="T292" i="4"/>
  <c r="S292" i="4"/>
  <c r="R292" i="4"/>
  <c r="Q292" i="4"/>
  <c r="P292" i="4"/>
  <c r="O292" i="4"/>
  <c r="N292" i="4"/>
  <c r="M292" i="4"/>
  <c r="L292" i="4"/>
  <c r="K292" i="4"/>
  <c r="J292" i="4"/>
  <c r="I292" i="4"/>
  <c r="H292" i="4"/>
  <c r="AF291" i="4"/>
  <c r="AE291" i="4"/>
  <c r="AD291" i="4"/>
  <c r="AC291" i="4"/>
  <c r="AB291" i="4"/>
  <c r="AA291" i="4"/>
  <c r="Z291" i="4"/>
  <c r="Y291" i="4"/>
  <c r="X291" i="4"/>
  <c r="W291" i="4"/>
  <c r="V291" i="4"/>
  <c r="U291" i="4"/>
  <c r="T291" i="4"/>
  <c r="S291" i="4"/>
  <c r="R291" i="4"/>
  <c r="Q291" i="4"/>
  <c r="P291" i="4"/>
  <c r="O291" i="4"/>
  <c r="N291" i="4"/>
  <c r="M291" i="4"/>
  <c r="L291" i="4"/>
  <c r="K291" i="4"/>
  <c r="J291" i="4"/>
  <c r="I291" i="4"/>
  <c r="H291" i="4"/>
  <c r="AF290" i="4"/>
  <c r="AE290" i="4"/>
  <c r="AD290" i="4"/>
  <c r="AC290" i="4"/>
  <c r="AB290" i="4"/>
  <c r="AA290" i="4"/>
  <c r="Z290" i="4"/>
  <c r="Y290" i="4"/>
  <c r="X290" i="4"/>
  <c r="W290" i="4"/>
  <c r="V290" i="4"/>
  <c r="U290" i="4"/>
  <c r="T290" i="4"/>
  <c r="S290" i="4"/>
  <c r="R290" i="4"/>
  <c r="Q290" i="4"/>
  <c r="P290" i="4"/>
  <c r="O290" i="4"/>
  <c r="N290" i="4"/>
  <c r="M290" i="4"/>
  <c r="L290" i="4"/>
  <c r="K290" i="4"/>
  <c r="J290" i="4"/>
  <c r="I290" i="4"/>
  <c r="H290" i="4"/>
  <c r="AF289" i="4"/>
  <c r="AE289" i="4"/>
  <c r="AD289" i="4"/>
  <c r="AC289" i="4"/>
  <c r="AB289" i="4"/>
  <c r="AA289" i="4"/>
  <c r="Z289" i="4"/>
  <c r="Y289" i="4"/>
  <c r="X289" i="4"/>
  <c r="W289" i="4"/>
  <c r="V289" i="4"/>
  <c r="U289" i="4"/>
  <c r="T289" i="4"/>
  <c r="S289" i="4"/>
  <c r="R289" i="4"/>
  <c r="Q289" i="4"/>
  <c r="P289" i="4"/>
  <c r="O289" i="4"/>
  <c r="N289" i="4"/>
  <c r="M289" i="4"/>
  <c r="L289" i="4"/>
  <c r="K289" i="4"/>
  <c r="J289" i="4"/>
  <c r="I289" i="4"/>
  <c r="H289" i="4"/>
  <c r="AF288" i="4"/>
  <c r="AE288" i="4"/>
  <c r="AD288" i="4"/>
  <c r="AC288" i="4"/>
  <c r="AB288" i="4"/>
  <c r="AA288" i="4"/>
  <c r="Z288" i="4"/>
  <c r="Y288" i="4"/>
  <c r="X288" i="4"/>
  <c r="W288" i="4"/>
  <c r="V288" i="4"/>
  <c r="U288" i="4"/>
  <c r="T288" i="4"/>
  <c r="S288" i="4"/>
  <c r="R288" i="4"/>
  <c r="Q288" i="4"/>
  <c r="P288" i="4"/>
  <c r="O288" i="4"/>
  <c r="N288" i="4"/>
  <c r="M288" i="4"/>
  <c r="L288" i="4"/>
  <c r="K288" i="4"/>
  <c r="J288" i="4"/>
  <c r="I288" i="4"/>
  <c r="H288" i="4"/>
  <c r="AF287" i="4"/>
  <c r="AE287" i="4"/>
  <c r="AD287" i="4"/>
  <c r="AC287" i="4"/>
  <c r="AB287" i="4"/>
  <c r="AA287" i="4"/>
  <c r="Z287" i="4"/>
  <c r="Y287" i="4"/>
  <c r="X287" i="4"/>
  <c r="W287" i="4"/>
  <c r="V287" i="4"/>
  <c r="U287" i="4"/>
  <c r="T287" i="4"/>
  <c r="S287" i="4"/>
  <c r="R287" i="4"/>
  <c r="Q287" i="4"/>
  <c r="P287" i="4"/>
  <c r="O287" i="4"/>
  <c r="N287" i="4"/>
  <c r="M287" i="4"/>
  <c r="L287" i="4"/>
  <c r="K287" i="4"/>
  <c r="J287" i="4"/>
  <c r="I287" i="4"/>
  <c r="H287" i="4"/>
  <c r="AF286" i="4"/>
  <c r="AE286" i="4"/>
  <c r="AD286" i="4"/>
  <c r="AC286" i="4"/>
  <c r="AB286" i="4"/>
  <c r="AA286" i="4"/>
  <c r="Z286" i="4"/>
  <c r="Y286" i="4"/>
  <c r="X286" i="4"/>
  <c r="W286" i="4"/>
  <c r="V286" i="4"/>
  <c r="U286" i="4"/>
  <c r="T286" i="4"/>
  <c r="S286" i="4"/>
  <c r="R286" i="4"/>
  <c r="Q286" i="4"/>
  <c r="P286" i="4"/>
  <c r="O286" i="4"/>
  <c r="N286" i="4"/>
  <c r="M286" i="4"/>
  <c r="L286" i="4"/>
  <c r="K286" i="4"/>
  <c r="J286" i="4"/>
  <c r="I286" i="4"/>
  <c r="H286" i="4"/>
  <c r="AF285" i="4"/>
  <c r="AE285" i="4"/>
  <c r="AD285" i="4"/>
  <c r="AC285" i="4"/>
  <c r="AB285" i="4"/>
  <c r="AA285" i="4"/>
  <c r="Z285" i="4"/>
  <c r="Y285" i="4"/>
  <c r="X285" i="4"/>
  <c r="W285" i="4"/>
  <c r="V285" i="4"/>
  <c r="U285" i="4"/>
  <c r="T285" i="4"/>
  <c r="S285" i="4"/>
  <c r="R285" i="4"/>
  <c r="Q285" i="4"/>
  <c r="P285" i="4"/>
  <c r="O285" i="4"/>
  <c r="N285" i="4"/>
  <c r="M285" i="4"/>
  <c r="L285" i="4"/>
  <c r="K285" i="4"/>
  <c r="J285" i="4"/>
  <c r="I285" i="4"/>
  <c r="H285" i="4"/>
  <c r="AF284" i="4"/>
  <c r="AE284" i="4"/>
  <c r="AD284" i="4"/>
  <c r="AC284" i="4"/>
  <c r="AB284" i="4"/>
  <c r="AA284" i="4"/>
  <c r="Z284" i="4"/>
  <c r="Y284" i="4"/>
  <c r="X284" i="4"/>
  <c r="W284" i="4"/>
  <c r="V284" i="4"/>
  <c r="U284" i="4"/>
  <c r="T284" i="4"/>
  <c r="S284" i="4"/>
  <c r="R284" i="4"/>
  <c r="Q284" i="4"/>
  <c r="P284" i="4"/>
  <c r="O284" i="4"/>
  <c r="N284" i="4"/>
  <c r="M284" i="4"/>
  <c r="L284" i="4"/>
  <c r="K284" i="4"/>
  <c r="J284" i="4"/>
  <c r="I284" i="4"/>
  <c r="H284" i="4"/>
  <c r="AF283" i="4"/>
  <c r="AE283" i="4"/>
  <c r="AD283" i="4"/>
  <c r="AC283" i="4"/>
  <c r="AB283" i="4"/>
  <c r="AA283" i="4"/>
  <c r="Z283" i="4"/>
  <c r="Y283" i="4"/>
  <c r="X283" i="4"/>
  <c r="W283" i="4"/>
  <c r="V283" i="4"/>
  <c r="U283" i="4"/>
  <c r="T283" i="4"/>
  <c r="S283" i="4"/>
  <c r="R283" i="4"/>
  <c r="Q283" i="4"/>
  <c r="P283" i="4"/>
  <c r="O283" i="4"/>
  <c r="N283" i="4"/>
  <c r="M283" i="4"/>
  <c r="L283" i="4"/>
  <c r="K283" i="4"/>
  <c r="J283" i="4"/>
  <c r="I283" i="4"/>
  <c r="H283" i="4"/>
  <c r="AF282" i="4"/>
  <c r="AE282" i="4"/>
  <c r="AD282" i="4"/>
  <c r="AC282" i="4"/>
  <c r="AB282" i="4"/>
  <c r="AA282" i="4"/>
  <c r="Z282" i="4"/>
  <c r="Y282" i="4"/>
  <c r="X282" i="4"/>
  <c r="W282" i="4"/>
  <c r="V282" i="4"/>
  <c r="U282" i="4"/>
  <c r="T282" i="4"/>
  <c r="S282" i="4"/>
  <c r="R282" i="4"/>
  <c r="Q282" i="4"/>
  <c r="P282" i="4"/>
  <c r="O282" i="4"/>
  <c r="N282" i="4"/>
  <c r="M282" i="4"/>
  <c r="L282" i="4"/>
  <c r="K282" i="4"/>
  <c r="J282" i="4"/>
  <c r="I282" i="4"/>
  <c r="H282" i="4"/>
  <c r="AF281" i="4"/>
  <c r="AE281" i="4"/>
  <c r="AD281" i="4"/>
  <c r="AC281" i="4"/>
  <c r="AB281" i="4"/>
  <c r="AA281" i="4"/>
  <c r="Z281" i="4"/>
  <c r="Y281" i="4"/>
  <c r="X281" i="4"/>
  <c r="W281" i="4"/>
  <c r="V281" i="4"/>
  <c r="U281" i="4"/>
  <c r="T281" i="4"/>
  <c r="S281" i="4"/>
  <c r="R281" i="4"/>
  <c r="Q281" i="4"/>
  <c r="P281" i="4"/>
  <c r="O281" i="4"/>
  <c r="N281" i="4"/>
  <c r="M281" i="4"/>
  <c r="L281" i="4"/>
  <c r="K281" i="4"/>
  <c r="J281" i="4"/>
  <c r="I281" i="4"/>
  <c r="H281" i="4"/>
  <c r="AF280" i="4"/>
  <c r="AE280" i="4"/>
  <c r="AD280" i="4"/>
  <c r="AC280" i="4"/>
  <c r="AB280" i="4"/>
  <c r="AA280" i="4"/>
  <c r="Z280" i="4"/>
  <c r="Y280" i="4"/>
  <c r="X280" i="4"/>
  <c r="W280" i="4"/>
  <c r="V280" i="4"/>
  <c r="U280" i="4"/>
  <c r="T280" i="4"/>
  <c r="S280" i="4"/>
  <c r="R280" i="4"/>
  <c r="Q280" i="4"/>
  <c r="P280" i="4"/>
  <c r="O280" i="4"/>
  <c r="N280" i="4"/>
  <c r="M280" i="4"/>
  <c r="L280" i="4"/>
  <c r="K280" i="4"/>
  <c r="J280" i="4"/>
  <c r="I280" i="4"/>
  <c r="H280" i="4"/>
  <c r="AF279" i="4"/>
  <c r="AE279" i="4"/>
  <c r="AD279" i="4"/>
  <c r="AC279" i="4"/>
  <c r="AB279" i="4"/>
  <c r="AA279" i="4"/>
  <c r="Z279" i="4"/>
  <c r="Y279" i="4"/>
  <c r="X279" i="4"/>
  <c r="W279" i="4"/>
  <c r="V279" i="4"/>
  <c r="U279" i="4"/>
  <c r="T279" i="4"/>
  <c r="S279" i="4"/>
  <c r="R279" i="4"/>
  <c r="Q279" i="4"/>
  <c r="P279" i="4"/>
  <c r="O279" i="4"/>
  <c r="N279" i="4"/>
  <c r="M279" i="4"/>
  <c r="L279" i="4"/>
  <c r="K279" i="4"/>
  <c r="J279" i="4"/>
  <c r="I279" i="4"/>
  <c r="H279" i="4"/>
  <c r="AF278" i="4"/>
  <c r="AE278" i="4"/>
  <c r="AD278" i="4"/>
  <c r="AC278" i="4"/>
  <c r="AB278" i="4"/>
  <c r="AA278" i="4"/>
  <c r="Z278" i="4"/>
  <c r="Y278" i="4"/>
  <c r="X278" i="4"/>
  <c r="W278" i="4"/>
  <c r="V278" i="4"/>
  <c r="U278" i="4"/>
  <c r="T278" i="4"/>
  <c r="S278" i="4"/>
  <c r="R278" i="4"/>
  <c r="Q278" i="4"/>
  <c r="P278" i="4"/>
  <c r="O278" i="4"/>
  <c r="N278" i="4"/>
  <c r="M278" i="4"/>
  <c r="L278" i="4"/>
  <c r="K278" i="4"/>
  <c r="J278" i="4"/>
  <c r="I278" i="4"/>
  <c r="H278" i="4"/>
  <c r="AF277" i="4"/>
  <c r="AE277" i="4"/>
  <c r="AD277" i="4"/>
  <c r="AC277" i="4"/>
  <c r="AB277" i="4"/>
  <c r="AA277" i="4"/>
  <c r="Z277" i="4"/>
  <c r="Y277" i="4"/>
  <c r="X277" i="4"/>
  <c r="W277" i="4"/>
  <c r="V277" i="4"/>
  <c r="U277" i="4"/>
  <c r="T277" i="4"/>
  <c r="S277" i="4"/>
  <c r="R277" i="4"/>
  <c r="Q277" i="4"/>
  <c r="P277" i="4"/>
  <c r="O277" i="4"/>
  <c r="N277" i="4"/>
  <c r="M277" i="4"/>
  <c r="L277" i="4"/>
  <c r="K277" i="4"/>
  <c r="J277" i="4"/>
  <c r="I277" i="4"/>
  <c r="H277" i="4"/>
  <c r="AF276" i="4"/>
  <c r="AE276" i="4"/>
  <c r="AD276" i="4"/>
  <c r="AC276" i="4"/>
  <c r="AB276" i="4"/>
  <c r="AA276" i="4"/>
  <c r="Z276" i="4"/>
  <c r="Y276" i="4"/>
  <c r="X276" i="4"/>
  <c r="W276" i="4"/>
  <c r="V276" i="4"/>
  <c r="U276" i="4"/>
  <c r="T276" i="4"/>
  <c r="S276" i="4"/>
  <c r="R276" i="4"/>
  <c r="Q276" i="4"/>
  <c r="P276" i="4"/>
  <c r="O276" i="4"/>
  <c r="N276" i="4"/>
  <c r="M276" i="4"/>
  <c r="L276" i="4"/>
  <c r="K276" i="4"/>
  <c r="J276" i="4"/>
  <c r="I276" i="4"/>
  <c r="H276" i="4"/>
  <c r="AF275" i="4"/>
  <c r="AE275" i="4"/>
  <c r="AD275" i="4"/>
  <c r="AC275" i="4"/>
  <c r="AB275" i="4"/>
  <c r="AA275" i="4"/>
  <c r="Z275" i="4"/>
  <c r="Y275" i="4"/>
  <c r="X275" i="4"/>
  <c r="W275" i="4"/>
  <c r="V275" i="4"/>
  <c r="U275" i="4"/>
  <c r="T275" i="4"/>
  <c r="S275" i="4"/>
  <c r="R275" i="4"/>
  <c r="Q275" i="4"/>
  <c r="P275" i="4"/>
  <c r="O275" i="4"/>
  <c r="N275" i="4"/>
  <c r="M275" i="4"/>
  <c r="L275" i="4"/>
  <c r="K275" i="4"/>
  <c r="J275" i="4"/>
  <c r="I275" i="4"/>
  <c r="H275" i="4"/>
  <c r="AF274" i="4"/>
  <c r="AE274" i="4"/>
  <c r="AD274" i="4"/>
  <c r="AC274" i="4"/>
  <c r="AB274" i="4"/>
  <c r="AA274" i="4"/>
  <c r="Z274" i="4"/>
  <c r="Y274" i="4"/>
  <c r="X274" i="4"/>
  <c r="W274" i="4"/>
  <c r="V274" i="4"/>
  <c r="U274" i="4"/>
  <c r="T274" i="4"/>
  <c r="S274" i="4"/>
  <c r="R274" i="4"/>
  <c r="Q274" i="4"/>
  <c r="P274" i="4"/>
  <c r="O274" i="4"/>
  <c r="N274" i="4"/>
  <c r="M274" i="4"/>
  <c r="L274" i="4"/>
  <c r="K274" i="4"/>
  <c r="J274" i="4"/>
  <c r="I274" i="4"/>
  <c r="H274" i="4"/>
  <c r="AF273" i="4"/>
  <c r="AE273" i="4"/>
  <c r="AD273" i="4"/>
  <c r="AC273" i="4"/>
  <c r="AB273" i="4"/>
  <c r="AA273" i="4"/>
  <c r="Z273" i="4"/>
  <c r="Y273" i="4"/>
  <c r="X273" i="4"/>
  <c r="W273" i="4"/>
  <c r="V273" i="4"/>
  <c r="U273" i="4"/>
  <c r="T273" i="4"/>
  <c r="S273" i="4"/>
  <c r="R273" i="4"/>
  <c r="Q273" i="4"/>
  <c r="P273" i="4"/>
  <c r="O273" i="4"/>
  <c r="N273" i="4"/>
  <c r="M273" i="4"/>
  <c r="L273" i="4"/>
  <c r="K273" i="4"/>
  <c r="J273" i="4"/>
  <c r="I273" i="4"/>
  <c r="H273" i="4"/>
  <c r="AF272" i="4"/>
  <c r="AE272" i="4"/>
  <c r="AD272" i="4"/>
  <c r="AC272" i="4"/>
  <c r="AB272" i="4"/>
  <c r="AA272" i="4"/>
  <c r="Z272" i="4"/>
  <c r="Y272" i="4"/>
  <c r="X272" i="4"/>
  <c r="W272" i="4"/>
  <c r="V272" i="4"/>
  <c r="U272" i="4"/>
  <c r="T272" i="4"/>
  <c r="S272" i="4"/>
  <c r="R272" i="4"/>
  <c r="Q272" i="4"/>
  <c r="P272" i="4"/>
  <c r="O272" i="4"/>
  <c r="N272" i="4"/>
  <c r="M272" i="4"/>
  <c r="L272" i="4"/>
  <c r="K272" i="4"/>
  <c r="J272" i="4"/>
  <c r="I272" i="4"/>
  <c r="H272" i="4"/>
  <c r="AF271" i="4"/>
  <c r="AE271" i="4"/>
  <c r="AD271" i="4"/>
  <c r="AC271" i="4"/>
  <c r="AB271" i="4"/>
  <c r="AA271" i="4"/>
  <c r="Z271" i="4"/>
  <c r="Y271" i="4"/>
  <c r="X271" i="4"/>
  <c r="W271" i="4"/>
  <c r="V271" i="4"/>
  <c r="U271" i="4"/>
  <c r="T271" i="4"/>
  <c r="S271" i="4"/>
  <c r="R271" i="4"/>
  <c r="Q271" i="4"/>
  <c r="P271" i="4"/>
  <c r="O271" i="4"/>
  <c r="N271" i="4"/>
  <c r="M271" i="4"/>
  <c r="L271" i="4"/>
  <c r="K271" i="4"/>
  <c r="J271" i="4"/>
  <c r="I271" i="4"/>
  <c r="H271" i="4"/>
  <c r="AF270" i="4"/>
  <c r="AE270" i="4"/>
  <c r="AD270" i="4"/>
  <c r="AC270" i="4"/>
  <c r="AB270" i="4"/>
  <c r="AA270" i="4"/>
  <c r="Z270" i="4"/>
  <c r="Y270" i="4"/>
  <c r="X270" i="4"/>
  <c r="W270" i="4"/>
  <c r="V270" i="4"/>
  <c r="U270" i="4"/>
  <c r="T270" i="4"/>
  <c r="S270" i="4"/>
  <c r="R270" i="4"/>
  <c r="Q270" i="4"/>
  <c r="P270" i="4"/>
  <c r="O270" i="4"/>
  <c r="N270" i="4"/>
  <c r="M270" i="4"/>
  <c r="L270" i="4"/>
  <c r="K270" i="4"/>
  <c r="J270" i="4"/>
  <c r="I270" i="4"/>
  <c r="H270" i="4"/>
  <c r="AF269" i="4"/>
  <c r="AE269" i="4"/>
  <c r="AD269" i="4"/>
  <c r="AC269" i="4"/>
  <c r="AB269" i="4"/>
  <c r="AA269" i="4"/>
  <c r="Z269" i="4"/>
  <c r="Y269" i="4"/>
  <c r="X269" i="4"/>
  <c r="W269" i="4"/>
  <c r="V269" i="4"/>
  <c r="U269" i="4"/>
  <c r="T269" i="4"/>
  <c r="S269" i="4"/>
  <c r="R269" i="4"/>
  <c r="Q269" i="4"/>
  <c r="P269" i="4"/>
  <c r="O269" i="4"/>
  <c r="N269" i="4"/>
  <c r="M269" i="4"/>
  <c r="L269" i="4"/>
  <c r="K269" i="4"/>
  <c r="J269" i="4"/>
  <c r="I269" i="4"/>
  <c r="H269" i="4"/>
  <c r="AF268" i="4"/>
  <c r="AE268" i="4"/>
  <c r="AD268" i="4"/>
  <c r="AC268" i="4"/>
  <c r="AB268" i="4"/>
  <c r="AA268" i="4"/>
  <c r="Z268" i="4"/>
  <c r="Y268" i="4"/>
  <c r="X268" i="4"/>
  <c r="W268" i="4"/>
  <c r="V268" i="4"/>
  <c r="U268" i="4"/>
  <c r="T268" i="4"/>
  <c r="S268" i="4"/>
  <c r="R268" i="4"/>
  <c r="Q268" i="4"/>
  <c r="P268" i="4"/>
  <c r="O268" i="4"/>
  <c r="N268" i="4"/>
  <c r="M268" i="4"/>
  <c r="L268" i="4"/>
  <c r="K268" i="4"/>
  <c r="J268" i="4"/>
  <c r="I268" i="4"/>
  <c r="H268" i="4"/>
  <c r="AF267" i="4"/>
  <c r="AE267" i="4"/>
  <c r="AD267" i="4"/>
  <c r="AC267" i="4"/>
  <c r="AB267" i="4"/>
  <c r="AA267" i="4"/>
  <c r="Z267" i="4"/>
  <c r="Y267" i="4"/>
  <c r="X267" i="4"/>
  <c r="W267" i="4"/>
  <c r="V267" i="4"/>
  <c r="U267" i="4"/>
  <c r="T267" i="4"/>
  <c r="S267" i="4"/>
  <c r="R267" i="4"/>
  <c r="Q267" i="4"/>
  <c r="P267" i="4"/>
  <c r="O267" i="4"/>
  <c r="N267" i="4"/>
  <c r="M267" i="4"/>
  <c r="L267" i="4"/>
  <c r="K267" i="4"/>
  <c r="J267" i="4"/>
  <c r="I267" i="4"/>
  <c r="H267" i="4"/>
  <c r="AF266" i="4"/>
  <c r="AE266" i="4"/>
  <c r="AD266" i="4"/>
  <c r="AC266" i="4"/>
  <c r="AB266" i="4"/>
  <c r="AA266" i="4"/>
  <c r="Z266" i="4"/>
  <c r="Y266" i="4"/>
  <c r="X266" i="4"/>
  <c r="W266" i="4"/>
  <c r="V266" i="4"/>
  <c r="U266" i="4"/>
  <c r="T266" i="4"/>
  <c r="S266" i="4"/>
  <c r="R266" i="4"/>
  <c r="Q266" i="4"/>
  <c r="P266" i="4"/>
  <c r="O266" i="4"/>
  <c r="N266" i="4"/>
  <c r="M266" i="4"/>
  <c r="L266" i="4"/>
  <c r="K266" i="4"/>
  <c r="J266" i="4"/>
  <c r="I266" i="4"/>
  <c r="H266" i="4"/>
  <c r="AF265" i="4"/>
  <c r="AE265" i="4"/>
  <c r="AD265" i="4"/>
  <c r="AC265" i="4"/>
  <c r="AB265" i="4"/>
  <c r="AA265" i="4"/>
  <c r="Z265" i="4"/>
  <c r="Y265" i="4"/>
  <c r="X265" i="4"/>
  <c r="W265" i="4"/>
  <c r="V265" i="4"/>
  <c r="U265" i="4"/>
  <c r="T265" i="4"/>
  <c r="S265" i="4"/>
  <c r="R265" i="4"/>
  <c r="Q265" i="4"/>
  <c r="P265" i="4"/>
  <c r="O265" i="4"/>
  <c r="N265" i="4"/>
  <c r="M265" i="4"/>
  <c r="L265" i="4"/>
  <c r="K265" i="4"/>
  <c r="J265" i="4"/>
  <c r="I265" i="4"/>
  <c r="H265" i="4"/>
  <c r="AF264" i="4"/>
  <c r="AE264" i="4"/>
  <c r="AD264" i="4"/>
  <c r="AC264" i="4"/>
  <c r="AB264" i="4"/>
  <c r="AA264" i="4"/>
  <c r="Z264" i="4"/>
  <c r="Y264" i="4"/>
  <c r="X264" i="4"/>
  <c r="W264" i="4"/>
  <c r="V264" i="4"/>
  <c r="U264" i="4"/>
  <c r="T264" i="4"/>
  <c r="S264" i="4"/>
  <c r="R264" i="4"/>
  <c r="Q264" i="4"/>
  <c r="P264" i="4"/>
  <c r="O264" i="4"/>
  <c r="N264" i="4"/>
  <c r="M264" i="4"/>
  <c r="L264" i="4"/>
  <c r="K264" i="4"/>
  <c r="J264" i="4"/>
  <c r="I264" i="4"/>
  <c r="H264" i="4"/>
  <c r="AF263" i="4"/>
  <c r="AE263" i="4"/>
  <c r="AD263" i="4"/>
  <c r="AC263" i="4"/>
  <c r="AB263" i="4"/>
  <c r="AA263" i="4"/>
  <c r="Z263" i="4"/>
  <c r="Y263" i="4"/>
  <c r="X263" i="4"/>
  <c r="W263" i="4"/>
  <c r="V263" i="4"/>
  <c r="U263" i="4"/>
  <c r="T263" i="4"/>
  <c r="S263" i="4"/>
  <c r="R263" i="4"/>
  <c r="Q263" i="4"/>
  <c r="P263" i="4"/>
  <c r="O263" i="4"/>
  <c r="N263" i="4"/>
  <c r="M263" i="4"/>
  <c r="L263" i="4"/>
  <c r="K263" i="4"/>
  <c r="J263" i="4"/>
  <c r="I263" i="4"/>
  <c r="H263" i="4"/>
  <c r="AF262" i="4"/>
  <c r="AE262" i="4"/>
  <c r="AD262" i="4"/>
  <c r="AC262" i="4"/>
  <c r="AB262" i="4"/>
  <c r="AA262" i="4"/>
  <c r="Z262" i="4"/>
  <c r="Y262" i="4"/>
  <c r="X262" i="4"/>
  <c r="W262" i="4"/>
  <c r="V262" i="4"/>
  <c r="U262" i="4"/>
  <c r="T262" i="4"/>
  <c r="S262" i="4"/>
  <c r="R262" i="4"/>
  <c r="Q262" i="4"/>
  <c r="P262" i="4"/>
  <c r="O262" i="4"/>
  <c r="N262" i="4"/>
  <c r="M262" i="4"/>
  <c r="L262" i="4"/>
  <c r="K262" i="4"/>
  <c r="J262" i="4"/>
  <c r="I262" i="4"/>
  <c r="H262" i="4"/>
  <c r="AF261" i="4"/>
  <c r="AE261" i="4"/>
  <c r="AD261" i="4"/>
  <c r="AC261" i="4"/>
  <c r="AB261" i="4"/>
  <c r="AA261" i="4"/>
  <c r="Z261" i="4"/>
  <c r="Y261" i="4"/>
  <c r="X261" i="4"/>
  <c r="W261" i="4"/>
  <c r="V261" i="4"/>
  <c r="U261" i="4"/>
  <c r="T261" i="4"/>
  <c r="S261" i="4"/>
  <c r="R261" i="4"/>
  <c r="Q261" i="4"/>
  <c r="P261" i="4"/>
  <c r="O261" i="4"/>
  <c r="N261" i="4"/>
  <c r="M261" i="4"/>
  <c r="L261" i="4"/>
  <c r="K261" i="4"/>
  <c r="J261" i="4"/>
  <c r="I261" i="4"/>
  <c r="H261" i="4"/>
  <c r="AF260" i="4"/>
  <c r="AE260" i="4"/>
  <c r="AD260" i="4"/>
  <c r="AC260" i="4"/>
  <c r="AB260" i="4"/>
  <c r="AA260" i="4"/>
  <c r="Z260" i="4"/>
  <c r="Y260" i="4"/>
  <c r="X260" i="4"/>
  <c r="W260" i="4"/>
  <c r="V260" i="4"/>
  <c r="U260" i="4"/>
  <c r="T260" i="4"/>
  <c r="S260" i="4"/>
  <c r="R260" i="4"/>
  <c r="Q260" i="4"/>
  <c r="P260" i="4"/>
  <c r="O260" i="4"/>
  <c r="N260" i="4"/>
  <c r="M260" i="4"/>
  <c r="L260" i="4"/>
  <c r="K260" i="4"/>
  <c r="J260" i="4"/>
  <c r="I260" i="4"/>
  <c r="H260" i="4"/>
  <c r="AF259" i="4"/>
  <c r="AE259" i="4"/>
  <c r="AD259" i="4"/>
  <c r="AC259" i="4"/>
  <c r="AB259" i="4"/>
  <c r="AA259" i="4"/>
  <c r="Z259" i="4"/>
  <c r="Y259" i="4"/>
  <c r="X259" i="4"/>
  <c r="W259" i="4"/>
  <c r="V259" i="4"/>
  <c r="U259" i="4"/>
  <c r="T259" i="4"/>
  <c r="S259" i="4"/>
  <c r="R259" i="4"/>
  <c r="Q259" i="4"/>
  <c r="P259" i="4"/>
  <c r="O259" i="4"/>
  <c r="N259" i="4"/>
  <c r="M259" i="4"/>
  <c r="L259" i="4"/>
  <c r="K259" i="4"/>
  <c r="J259" i="4"/>
  <c r="I259" i="4"/>
  <c r="H259" i="4"/>
  <c r="AF258" i="4"/>
  <c r="AE258" i="4"/>
  <c r="AD258" i="4"/>
  <c r="AC258" i="4"/>
  <c r="AB258" i="4"/>
  <c r="AA258" i="4"/>
  <c r="Z258" i="4"/>
  <c r="Y258" i="4"/>
  <c r="X258" i="4"/>
  <c r="W258" i="4"/>
  <c r="V258" i="4"/>
  <c r="U258" i="4"/>
  <c r="T258" i="4"/>
  <c r="S258" i="4"/>
  <c r="R258" i="4"/>
  <c r="Q258" i="4"/>
  <c r="P258" i="4"/>
  <c r="O258" i="4"/>
  <c r="N258" i="4"/>
  <c r="M258" i="4"/>
  <c r="L258" i="4"/>
  <c r="K258" i="4"/>
  <c r="J258" i="4"/>
  <c r="I258" i="4"/>
  <c r="H258" i="4"/>
  <c r="AF257" i="4"/>
  <c r="AE257" i="4"/>
  <c r="AD257" i="4"/>
  <c r="AC257" i="4"/>
  <c r="AB257" i="4"/>
  <c r="AA257" i="4"/>
  <c r="Z257" i="4"/>
  <c r="Y257" i="4"/>
  <c r="X257" i="4"/>
  <c r="W257" i="4"/>
  <c r="V257" i="4"/>
  <c r="U257" i="4"/>
  <c r="T257" i="4"/>
  <c r="S257" i="4"/>
  <c r="R257" i="4"/>
  <c r="Q257" i="4"/>
  <c r="P257" i="4"/>
  <c r="O257" i="4"/>
  <c r="N257" i="4"/>
  <c r="M257" i="4"/>
  <c r="L257" i="4"/>
  <c r="K257" i="4"/>
  <c r="J257" i="4"/>
  <c r="I257" i="4"/>
  <c r="H257" i="4"/>
  <c r="AF256" i="4"/>
  <c r="AE256" i="4"/>
  <c r="AD256" i="4"/>
  <c r="AC256" i="4"/>
  <c r="AB256" i="4"/>
  <c r="AA256" i="4"/>
  <c r="Z256" i="4"/>
  <c r="Y256" i="4"/>
  <c r="X256" i="4"/>
  <c r="W256" i="4"/>
  <c r="V256" i="4"/>
  <c r="U256" i="4"/>
  <c r="T256" i="4"/>
  <c r="S256" i="4"/>
  <c r="R256" i="4"/>
  <c r="Q256" i="4"/>
  <c r="P256" i="4"/>
  <c r="O256" i="4"/>
  <c r="N256" i="4"/>
  <c r="M256" i="4"/>
  <c r="L256" i="4"/>
  <c r="K256" i="4"/>
  <c r="J256" i="4"/>
  <c r="I256" i="4"/>
  <c r="H256" i="4"/>
  <c r="AF255" i="4"/>
  <c r="AE255" i="4"/>
  <c r="AD255" i="4"/>
  <c r="AC255" i="4"/>
  <c r="AB255" i="4"/>
  <c r="AA255" i="4"/>
  <c r="Z255" i="4"/>
  <c r="Y255" i="4"/>
  <c r="X255" i="4"/>
  <c r="W255" i="4"/>
  <c r="V255" i="4"/>
  <c r="U255" i="4"/>
  <c r="T255" i="4"/>
  <c r="S255" i="4"/>
  <c r="R255" i="4"/>
  <c r="Q255" i="4"/>
  <c r="P255" i="4"/>
  <c r="O255" i="4"/>
  <c r="N255" i="4"/>
  <c r="M255" i="4"/>
  <c r="L255" i="4"/>
  <c r="K255" i="4"/>
  <c r="J255" i="4"/>
  <c r="I255" i="4"/>
  <c r="H255" i="4"/>
  <c r="AF254" i="4"/>
  <c r="AE254" i="4"/>
  <c r="AD254" i="4"/>
  <c r="AC254" i="4"/>
  <c r="AB254" i="4"/>
  <c r="AA254" i="4"/>
  <c r="Z254" i="4"/>
  <c r="Y254" i="4"/>
  <c r="X254" i="4"/>
  <c r="W254" i="4"/>
  <c r="V254" i="4"/>
  <c r="U254" i="4"/>
  <c r="T254" i="4"/>
  <c r="S254" i="4"/>
  <c r="R254" i="4"/>
  <c r="Q254" i="4"/>
  <c r="P254" i="4"/>
  <c r="O254" i="4"/>
  <c r="N254" i="4"/>
  <c r="M254" i="4"/>
  <c r="L254" i="4"/>
  <c r="K254" i="4"/>
  <c r="J254" i="4"/>
  <c r="I254" i="4"/>
  <c r="H254" i="4"/>
  <c r="AF253" i="4"/>
  <c r="AE253" i="4"/>
  <c r="AD253" i="4"/>
  <c r="AC253" i="4"/>
  <c r="AB253" i="4"/>
  <c r="AA253" i="4"/>
  <c r="Z253" i="4"/>
  <c r="Y253" i="4"/>
  <c r="X253" i="4"/>
  <c r="W253" i="4"/>
  <c r="V253" i="4"/>
  <c r="U253" i="4"/>
  <c r="T253" i="4"/>
  <c r="S253" i="4"/>
  <c r="R253" i="4"/>
  <c r="Q253" i="4"/>
  <c r="P253" i="4"/>
  <c r="O253" i="4"/>
  <c r="N253" i="4"/>
  <c r="M253" i="4"/>
  <c r="L253" i="4"/>
  <c r="K253" i="4"/>
  <c r="J253" i="4"/>
  <c r="I253" i="4"/>
  <c r="H253" i="4"/>
  <c r="AF252" i="4"/>
  <c r="AE252" i="4"/>
  <c r="AD252" i="4"/>
  <c r="AC252" i="4"/>
  <c r="AB252" i="4"/>
  <c r="AA252" i="4"/>
  <c r="Z252" i="4"/>
  <c r="Y252" i="4"/>
  <c r="X252" i="4"/>
  <c r="W252" i="4"/>
  <c r="V252" i="4"/>
  <c r="U252" i="4"/>
  <c r="T252" i="4"/>
  <c r="S252" i="4"/>
  <c r="R252" i="4"/>
  <c r="Q252" i="4"/>
  <c r="P252" i="4"/>
  <c r="O252" i="4"/>
  <c r="N252" i="4"/>
  <c r="M252" i="4"/>
  <c r="L252" i="4"/>
  <c r="K252" i="4"/>
  <c r="J252" i="4"/>
  <c r="I252" i="4"/>
  <c r="H252" i="4"/>
  <c r="AF251" i="4"/>
  <c r="AE251" i="4"/>
  <c r="AD251" i="4"/>
  <c r="AC251" i="4"/>
  <c r="AB251" i="4"/>
  <c r="AA251" i="4"/>
  <c r="Z251" i="4"/>
  <c r="Y251" i="4"/>
  <c r="X251" i="4"/>
  <c r="W251" i="4"/>
  <c r="V251" i="4"/>
  <c r="U251" i="4"/>
  <c r="T251" i="4"/>
  <c r="S251" i="4"/>
  <c r="R251" i="4"/>
  <c r="Q251" i="4"/>
  <c r="P251" i="4"/>
  <c r="O251" i="4"/>
  <c r="N251" i="4"/>
  <c r="M251" i="4"/>
  <c r="L251" i="4"/>
  <c r="K251" i="4"/>
  <c r="J251" i="4"/>
  <c r="I251" i="4"/>
  <c r="H251" i="4"/>
  <c r="AF250" i="4"/>
  <c r="AE250" i="4"/>
  <c r="AD250" i="4"/>
  <c r="AC250" i="4"/>
  <c r="AB250" i="4"/>
  <c r="AA250" i="4"/>
  <c r="Z250" i="4"/>
  <c r="Y250" i="4"/>
  <c r="X250" i="4"/>
  <c r="W250" i="4"/>
  <c r="V250" i="4"/>
  <c r="U250" i="4"/>
  <c r="T250" i="4"/>
  <c r="S250" i="4"/>
  <c r="R250" i="4"/>
  <c r="Q250" i="4"/>
  <c r="P250" i="4"/>
  <c r="O250" i="4"/>
  <c r="N250" i="4"/>
  <c r="M250" i="4"/>
  <c r="L250" i="4"/>
  <c r="K250" i="4"/>
  <c r="J250" i="4"/>
  <c r="I250" i="4"/>
  <c r="H250" i="4"/>
  <c r="AF249" i="4"/>
  <c r="AE249" i="4"/>
  <c r="AD249" i="4"/>
  <c r="AC249" i="4"/>
  <c r="AB249" i="4"/>
  <c r="AA249" i="4"/>
  <c r="Z249" i="4"/>
  <c r="Y249" i="4"/>
  <c r="X249" i="4"/>
  <c r="W249" i="4"/>
  <c r="V249" i="4"/>
  <c r="U249" i="4"/>
  <c r="T249" i="4"/>
  <c r="S249" i="4"/>
  <c r="R249" i="4"/>
  <c r="Q249" i="4"/>
  <c r="P249" i="4"/>
  <c r="O249" i="4"/>
  <c r="N249" i="4"/>
  <c r="M249" i="4"/>
  <c r="L249" i="4"/>
  <c r="K249" i="4"/>
  <c r="J249" i="4"/>
  <c r="I249" i="4"/>
  <c r="H249" i="4"/>
  <c r="AF248" i="4"/>
  <c r="AE248" i="4"/>
  <c r="AD248" i="4"/>
  <c r="AC248" i="4"/>
  <c r="AB248" i="4"/>
  <c r="AA248" i="4"/>
  <c r="Z248" i="4"/>
  <c r="Y248" i="4"/>
  <c r="X248" i="4"/>
  <c r="W248" i="4"/>
  <c r="V248" i="4"/>
  <c r="U248" i="4"/>
  <c r="T248" i="4"/>
  <c r="S248" i="4"/>
  <c r="R248" i="4"/>
  <c r="Q248" i="4"/>
  <c r="P248" i="4"/>
  <c r="O248" i="4"/>
  <c r="N248" i="4"/>
  <c r="M248" i="4"/>
  <c r="L248" i="4"/>
  <c r="K248" i="4"/>
  <c r="J248" i="4"/>
  <c r="I248" i="4"/>
  <c r="H248" i="4"/>
  <c r="AF247" i="4"/>
  <c r="AE247" i="4"/>
  <c r="AD247" i="4"/>
  <c r="AC247" i="4"/>
  <c r="AB247" i="4"/>
  <c r="AA247" i="4"/>
  <c r="Z247" i="4"/>
  <c r="Y247" i="4"/>
  <c r="X247" i="4"/>
  <c r="W247" i="4"/>
  <c r="V247" i="4"/>
  <c r="U247" i="4"/>
  <c r="T247" i="4"/>
  <c r="S247" i="4"/>
  <c r="R247" i="4"/>
  <c r="Q247" i="4"/>
  <c r="P247" i="4"/>
  <c r="O247" i="4"/>
  <c r="N247" i="4"/>
  <c r="M247" i="4"/>
  <c r="L247" i="4"/>
  <c r="K247" i="4"/>
  <c r="J247" i="4"/>
  <c r="I247" i="4"/>
  <c r="H247" i="4"/>
  <c r="AF246" i="4"/>
  <c r="AE246" i="4"/>
  <c r="AD246" i="4"/>
  <c r="AC246" i="4"/>
  <c r="AB246" i="4"/>
  <c r="AA246" i="4"/>
  <c r="Z246" i="4"/>
  <c r="Y246" i="4"/>
  <c r="X246" i="4"/>
  <c r="W246" i="4"/>
  <c r="V246" i="4"/>
  <c r="U246" i="4"/>
  <c r="T246" i="4"/>
  <c r="S246" i="4"/>
  <c r="R246" i="4"/>
  <c r="Q246" i="4"/>
  <c r="P246" i="4"/>
  <c r="O246" i="4"/>
  <c r="N246" i="4"/>
  <c r="M246" i="4"/>
  <c r="L246" i="4"/>
  <c r="K246" i="4"/>
  <c r="J246" i="4"/>
  <c r="I246" i="4"/>
  <c r="H246" i="4"/>
  <c r="AF245" i="4"/>
  <c r="AE245" i="4"/>
  <c r="AD245" i="4"/>
  <c r="AC245" i="4"/>
  <c r="AB245" i="4"/>
  <c r="AA245" i="4"/>
  <c r="Z245" i="4"/>
  <c r="Y245" i="4"/>
  <c r="X245" i="4"/>
  <c r="W245" i="4"/>
  <c r="V245" i="4"/>
  <c r="U245" i="4"/>
  <c r="T245" i="4"/>
  <c r="S245" i="4"/>
  <c r="R245" i="4"/>
  <c r="Q245" i="4"/>
  <c r="P245" i="4"/>
  <c r="O245" i="4"/>
  <c r="N245" i="4"/>
  <c r="M245" i="4"/>
  <c r="L245" i="4"/>
  <c r="K245" i="4"/>
  <c r="J245" i="4"/>
  <c r="I245" i="4"/>
  <c r="H245" i="4"/>
  <c r="AF244" i="4"/>
  <c r="AE244" i="4"/>
  <c r="AD244" i="4"/>
  <c r="AC244" i="4"/>
  <c r="AB244" i="4"/>
  <c r="AA244" i="4"/>
  <c r="Z244" i="4"/>
  <c r="Y244" i="4"/>
  <c r="X244" i="4"/>
  <c r="W244" i="4"/>
  <c r="V244" i="4"/>
  <c r="U244" i="4"/>
  <c r="T244" i="4"/>
  <c r="S244" i="4"/>
  <c r="R244" i="4"/>
  <c r="Q244" i="4"/>
  <c r="P244" i="4"/>
  <c r="O244" i="4"/>
  <c r="N244" i="4"/>
  <c r="M244" i="4"/>
  <c r="L244" i="4"/>
  <c r="K244" i="4"/>
  <c r="J244" i="4"/>
  <c r="I244" i="4"/>
  <c r="H244" i="4"/>
  <c r="AF243" i="4"/>
  <c r="AE243" i="4"/>
  <c r="AD243" i="4"/>
  <c r="AC243" i="4"/>
  <c r="AB243" i="4"/>
  <c r="AA243" i="4"/>
  <c r="Z243" i="4"/>
  <c r="Y243" i="4"/>
  <c r="X243" i="4"/>
  <c r="W243" i="4"/>
  <c r="V243" i="4"/>
  <c r="U243" i="4"/>
  <c r="T243" i="4"/>
  <c r="S243" i="4"/>
  <c r="R243" i="4"/>
  <c r="Q243" i="4"/>
  <c r="P243" i="4"/>
  <c r="O243" i="4"/>
  <c r="N243" i="4"/>
  <c r="M243" i="4"/>
  <c r="L243" i="4"/>
  <c r="K243" i="4"/>
  <c r="J243" i="4"/>
  <c r="I243" i="4"/>
  <c r="H243" i="4"/>
  <c r="AF242" i="4"/>
  <c r="AE242" i="4"/>
  <c r="AD242" i="4"/>
  <c r="AC242" i="4"/>
  <c r="AB242" i="4"/>
  <c r="AA242" i="4"/>
  <c r="Z242" i="4"/>
  <c r="Y242" i="4"/>
  <c r="X242" i="4"/>
  <c r="W242" i="4"/>
  <c r="V242" i="4"/>
  <c r="U242" i="4"/>
  <c r="T242" i="4"/>
  <c r="S242" i="4"/>
  <c r="R242" i="4"/>
  <c r="Q242" i="4"/>
  <c r="P242" i="4"/>
  <c r="O242" i="4"/>
  <c r="N242" i="4"/>
  <c r="M242" i="4"/>
  <c r="L242" i="4"/>
  <c r="K242" i="4"/>
  <c r="J242" i="4"/>
  <c r="I242" i="4"/>
  <c r="H242" i="4"/>
  <c r="AF241" i="4"/>
  <c r="AE241" i="4"/>
  <c r="AD241" i="4"/>
  <c r="AC241" i="4"/>
  <c r="AB241" i="4"/>
  <c r="AA241" i="4"/>
  <c r="Z241" i="4"/>
  <c r="Y241" i="4"/>
  <c r="X241" i="4"/>
  <c r="W241" i="4"/>
  <c r="V241" i="4"/>
  <c r="U241" i="4"/>
  <c r="T241" i="4"/>
  <c r="S241" i="4"/>
  <c r="R241" i="4"/>
  <c r="Q241" i="4"/>
  <c r="P241" i="4"/>
  <c r="O241" i="4"/>
  <c r="N241" i="4"/>
  <c r="M241" i="4"/>
  <c r="L241" i="4"/>
  <c r="K241" i="4"/>
  <c r="J241" i="4"/>
  <c r="I241" i="4"/>
  <c r="H241" i="4"/>
  <c r="AF240" i="4"/>
  <c r="AE240" i="4"/>
  <c r="AD240" i="4"/>
  <c r="AC240" i="4"/>
  <c r="AB240" i="4"/>
  <c r="AA240" i="4"/>
  <c r="Z240" i="4"/>
  <c r="Y240" i="4"/>
  <c r="X240" i="4"/>
  <c r="W240" i="4"/>
  <c r="V240" i="4"/>
  <c r="U240" i="4"/>
  <c r="T240" i="4"/>
  <c r="S240" i="4"/>
  <c r="R240" i="4"/>
  <c r="Q240" i="4"/>
  <c r="P240" i="4"/>
  <c r="O240" i="4"/>
  <c r="N240" i="4"/>
  <c r="M240" i="4"/>
  <c r="L240" i="4"/>
  <c r="K240" i="4"/>
  <c r="J240" i="4"/>
  <c r="I240" i="4"/>
  <c r="H240" i="4"/>
  <c r="AF239" i="4"/>
  <c r="AE239" i="4"/>
  <c r="AD239" i="4"/>
  <c r="AC239" i="4"/>
  <c r="AB239" i="4"/>
  <c r="AA239" i="4"/>
  <c r="Z239" i="4"/>
  <c r="Y239" i="4"/>
  <c r="X239" i="4"/>
  <c r="W239" i="4"/>
  <c r="V239" i="4"/>
  <c r="U239" i="4"/>
  <c r="T239" i="4"/>
  <c r="S239" i="4"/>
  <c r="R239" i="4"/>
  <c r="Q239" i="4"/>
  <c r="P239" i="4"/>
  <c r="O239" i="4"/>
  <c r="N239" i="4"/>
  <c r="M239" i="4"/>
  <c r="L239" i="4"/>
  <c r="K239" i="4"/>
  <c r="J239" i="4"/>
  <c r="I239" i="4"/>
  <c r="H239" i="4"/>
  <c r="AF238" i="4"/>
  <c r="AE238" i="4"/>
  <c r="AD238" i="4"/>
  <c r="AC238" i="4"/>
  <c r="AB238" i="4"/>
  <c r="AA238" i="4"/>
  <c r="Z238" i="4"/>
  <c r="Y238" i="4"/>
  <c r="X238" i="4"/>
  <c r="W238" i="4"/>
  <c r="V238" i="4"/>
  <c r="U238" i="4"/>
  <c r="T238" i="4"/>
  <c r="S238" i="4"/>
  <c r="R238" i="4"/>
  <c r="Q238" i="4"/>
  <c r="P238" i="4"/>
  <c r="O238" i="4"/>
  <c r="N238" i="4"/>
  <c r="M238" i="4"/>
  <c r="L238" i="4"/>
  <c r="K238" i="4"/>
  <c r="J238" i="4"/>
  <c r="I238" i="4"/>
  <c r="H238" i="4"/>
  <c r="AF237" i="4"/>
  <c r="AE237" i="4"/>
  <c r="AD237" i="4"/>
  <c r="AC237" i="4"/>
  <c r="AB237" i="4"/>
  <c r="AA237" i="4"/>
  <c r="Z237" i="4"/>
  <c r="Y237" i="4"/>
  <c r="X237" i="4"/>
  <c r="W237" i="4"/>
  <c r="V237" i="4"/>
  <c r="U237" i="4"/>
  <c r="T237" i="4"/>
  <c r="S237" i="4"/>
  <c r="R237" i="4"/>
  <c r="Q237" i="4"/>
  <c r="P237" i="4"/>
  <c r="O237" i="4"/>
  <c r="N237" i="4"/>
  <c r="M237" i="4"/>
  <c r="L237" i="4"/>
  <c r="K237" i="4"/>
  <c r="J237" i="4"/>
  <c r="I237" i="4"/>
  <c r="H237" i="4"/>
  <c r="AF236" i="4"/>
  <c r="AE236" i="4"/>
  <c r="AD236" i="4"/>
  <c r="AC236" i="4"/>
  <c r="AB236" i="4"/>
  <c r="AA236" i="4"/>
  <c r="Z236" i="4"/>
  <c r="Y236" i="4"/>
  <c r="X236" i="4"/>
  <c r="W236" i="4"/>
  <c r="V236" i="4"/>
  <c r="U236" i="4"/>
  <c r="T236" i="4"/>
  <c r="S236" i="4"/>
  <c r="R236" i="4"/>
  <c r="Q236" i="4"/>
  <c r="P236" i="4"/>
  <c r="O236" i="4"/>
  <c r="N236" i="4"/>
  <c r="M236" i="4"/>
  <c r="L236" i="4"/>
  <c r="K236" i="4"/>
  <c r="J236" i="4"/>
  <c r="I236" i="4"/>
  <c r="H236" i="4"/>
  <c r="AF235" i="4"/>
  <c r="AE235" i="4"/>
  <c r="AD235" i="4"/>
  <c r="AC235" i="4"/>
  <c r="AB235" i="4"/>
  <c r="AA235" i="4"/>
  <c r="Z235" i="4"/>
  <c r="Y235" i="4"/>
  <c r="X235" i="4"/>
  <c r="W235" i="4"/>
  <c r="V235" i="4"/>
  <c r="U235" i="4"/>
  <c r="T235" i="4"/>
  <c r="S235" i="4"/>
  <c r="R235" i="4"/>
  <c r="Q235" i="4"/>
  <c r="P235" i="4"/>
  <c r="O235" i="4"/>
  <c r="N235" i="4"/>
  <c r="M235" i="4"/>
  <c r="L235" i="4"/>
  <c r="K235" i="4"/>
  <c r="J235" i="4"/>
  <c r="I235" i="4"/>
  <c r="H235" i="4"/>
  <c r="AF234" i="4"/>
  <c r="AE234" i="4"/>
  <c r="AD234" i="4"/>
  <c r="AC234" i="4"/>
  <c r="AB234" i="4"/>
  <c r="AA234" i="4"/>
  <c r="Z234" i="4"/>
  <c r="Y234" i="4"/>
  <c r="X234" i="4"/>
  <c r="W234" i="4"/>
  <c r="V234" i="4"/>
  <c r="U234" i="4"/>
  <c r="T234" i="4"/>
  <c r="S234" i="4"/>
  <c r="R234" i="4"/>
  <c r="Q234" i="4"/>
  <c r="P234" i="4"/>
  <c r="O234" i="4"/>
  <c r="N234" i="4"/>
  <c r="M234" i="4"/>
  <c r="L234" i="4"/>
  <c r="K234" i="4"/>
  <c r="J234" i="4"/>
  <c r="I234" i="4"/>
  <c r="H234" i="4"/>
  <c r="AF233" i="4"/>
  <c r="AE233" i="4"/>
  <c r="AD233" i="4"/>
  <c r="AC233" i="4"/>
  <c r="AB233" i="4"/>
  <c r="AA233" i="4"/>
  <c r="Z233" i="4"/>
  <c r="Y233" i="4"/>
  <c r="X233" i="4"/>
  <c r="W233" i="4"/>
  <c r="V233" i="4"/>
  <c r="U233" i="4"/>
  <c r="T233" i="4"/>
  <c r="S233" i="4"/>
  <c r="R233" i="4"/>
  <c r="Q233" i="4"/>
  <c r="P233" i="4"/>
  <c r="O233" i="4"/>
  <c r="N233" i="4"/>
  <c r="M233" i="4"/>
  <c r="L233" i="4"/>
  <c r="K233" i="4"/>
  <c r="J233" i="4"/>
  <c r="I233" i="4"/>
  <c r="H233" i="4"/>
  <c r="AF232" i="4"/>
  <c r="AE232" i="4"/>
  <c r="AD232" i="4"/>
  <c r="AC232" i="4"/>
  <c r="AB232" i="4"/>
  <c r="AA232" i="4"/>
  <c r="Z232" i="4"/>
  <c r="Y232" i="4"/>
  <c r="X232" i="4"/>
  <c r="W232" i="4"/>
  <c r="V232" i="4"/>
  <c r="U232" i="4"/>
  <c r="T232" i="4"/>
  <c r="S232" i="4"/>
  <c r="R232" i="4"/>
  <c r="Q232" i="4"/>
  <c r="P232" i="4"/>
  <c r="O232" i="4"/>
  <c r="N232" i="4"/>
  <c r="M232" i="4"/>
  <c r="L232" i="4"/>
  <c r="K232" i="4"/>
  <c r="J232" i="4"/>
  <c r="I232" i="4"/>
  <c r="H232" i="4"/>
  <c r="AF231" i="4"/>
  <c r="AE231" i="4"/>
  <c r="AD231" i="4"/>
  <c r="AC231" i="4"/>
  <c r="AB231" i="4"/>
  <c r="AA231" i="4"/>
  <c r="Z231" i="4"/>
  <c r="Y231" i="4"/>
  <c r="X231" i="4"/>
  <c r="W231" i="4"/>
  <c r="V231" i="4"/>
  <c r="U231" i="4"/>
  <c r="T231" i="4"/>
  <c r="S231" i="4"/>
  <c r="R231" i="4"/>
  <c r="Q231" i="4"/>
  <c r="P231" i="4"/>
  <c r="O231" i="4"/>
  <c r="N231" i="4"/>
  <c r="M231" i="4"/>
  <c r="L231" i="4"/>
  <c r="K231" i="4"/>
  <c r="J231" i="4"/>
  <c r="I231" i="4"/>
  <c r="H231" i="4"/>
  <c r="AF230" i="4"/>
  <c r="AE230" i="4"/>
  <c r="AD230" i="4"/>
  <c r="AC230" i="4"/>
  <c r="AB230" i="4"/>
  <c r="AA230" i="4"/>
  <c r="Z230" i="4"/>
  <c r="Y230" i="4"/>
  <c r="X230" i="4"/>
  <c r="W230" i="4"/>
  <c r="V230" i="4"/>
  <c r="U230" i="4"/>
  <c r="T230" i="4"/>
  <c r="S230" i="4"/>
  <c r="R230" i="4"/>
  <c r="Q230" i="4"/>
  <c r="P230" i="4"/>
  <c r="O230" i="4"/>
  <c r="N230" i="4"/>
  <c r="M230" i="4"/>
  <c r="L230" i="4"/>
  <c r="K230" i="4"/>
  <c r="J230" i="4"/>
  <c r="I230" i="4"/>
  <c r="H230" i="4"/>
  <c r="AF229" i="4"/>
  <c r="AE229" i="4"/>
  <c r="AD229" i="4"/>
  <c r="AC229" i="4"/>
  <c r="AB229" i="4"/>
  <c r="AA229" i="4"/>
  <c r="Z229" i="4"/>
  <c r="Y229" i="4"/>
  <c r="X229" i="4"/>
  <c r="W229" i="4"/>
  <c r="V229" i="4"/>
  <c r="U229" i="4"/>
  <c r="T229" i="4"/>
  <c r="S229" i="4"/>
  <c r="R229" i="4"/>
  <c r="Q229" i="4"/>
  <c r="P229" i="4"/>
  <c r="O229" i="4"/>
  <c r="N229" i="4"/>
  <c r="M229" i="4"/>
  <c r="L229" i="4"/>
  <c r="K229" i="4"/>
  <c r="J229" i="4"/>
  <c r="I229" i="4"/>
  <c r="H229" i="4"/>
  <c r="AF228" i="4"/>
  <c r="AE228" i="4"/>
  <c r="AD228" i="4"/>
  <c r="AC228" i="4"/>
  <c r="AB228" i="4"/>
  <c r="AA228" i="4"/>
  <c r="Z228" i="4"/>
  <c r="Y228" i="4"/>
  <c r="X228" i="4"/>
  <c r="W228" i="4"/>
  <c r="V228" i="4"/>
  <c r="U228" i="4"/>
  <c r="T228" i="4"/>
  <c r="S228" i="4"/>
  <c r="R228" i="4"/>
  <c r="Q228" i="4"/>
  <c r="P228" i="4"/>
  <c r="O228" i="4"/>
  <c r="N228" i="4"/>
  <c r="M228" i="4"/>
  <c r="L228" i="4"/>
  <c r="K228" i="4"/>
  <c r="J228" i="4"/>
  <c r="I228" i="4"/>
  <c r="H228" i="4"/>
  <c r="AF227" i="4"/>
  <c r="AE227" i="4"/>
  <c r="AD227" i="4"/>
  <c r="AC227" i="4"/>
  <c r="AB227" i="4"/>
  <c r="AA227" i="4"/>
  <c r="Z227" i="4"/>
  <c r="Y227" i="4"/>
  <c r="X227" i="4"/>
  <c r="W227" i="4"/>
  <c r="V227" i="4"/>
  <c r="U227" i="4"/>
  <c r="T227" i="4"/>
  <c r="S227" i="4"/>
  <c r="R227" i="4"/>
  <c r="Q227" i="4"/>
  <c r="P227" i="4"/>
  <c r="O227" i="4"/>
  <c r="N227" i="4"/>
  <c r="M227" i="4"/>
  <c r="L227" i="4"/>
  <c r="K227" i="4"/>
  <c r="J227" i="4"/>
  <c r="I227" i="4"/>
  <c r="H227" i="4"/>
  <c r="AF226" i="4"/>
  <c r="AE226" i="4"/>
  <c r="AD226" i="4"/>
  <c r="AC226" i="4"/>
  <c r="AB226" i="4"/>
  <c r="AA226" i="4"/>
  <c r="Z226" i="4"/>
  <c r="Y226" i="4"/>
  <c r="X226" i="4"/>
  <c r="W226" i="4"/>
  <c r="V226" i="4"/>
  <c r="U226" i="4"/>
  <c r="T226" i="4"/>
  <c r="S226" i="4"/>
  <c r="R226" i="4"/>
  <c r="Q226" i="4"/>
  <c r="P226" i="4"/>
  <c r="O226" i="4"/>
  <c r="N226" i="4"/>
  <c r="M226" i="4"/>
  <c r="L226" i="4"/>
  <c r="K226" i="4"/>
  <c r="J226" i="4"/>
  <c r="I226" i="4"/>
  <c r="H226" i="4"/>
  <c r="AF225" i="4"/>
  <c r="AE225" i="4"/>
  <c r="AD225" i="4"/>
  <c r="AC225" i="4"/>
  <c r="AB225" i="4"/>
  <c r="AA225" i="4"/>
  <c r="Z225" i="4"/>
  <c r="Y225" i="4"/>
  <c r="X225" i="4"/>
  <c r="W225" i="4"/>
  <c r="V225" i="4"/>
  <c r="U225" i="4"/>
  <c r="T225" i="4"/>
  <c r="S225" i="4"/>
  <c r="R225" i="4"/>
  <c r="Q225" i="4"/>
  <c r="P225" i="4"/>
  <c r="O225" i="4"/>
  <c r="N225" i="4"/>
  <c r="M225" i="4"/>
  <c r="L225" i="4"/>
  <c r="K225" i="4"/>
  <c r="J225" i="4"/>
  <c r="I225" i="4"/>
  <c r="H225" i="4"/>
  <c r="AF224" i="4"/>
  <c r="AE224" i="4"/>
  <c r="AD224" i="4"/>
  <c r="AC224" i="4"/>
  <c r="AB224" i="4"/>
  <c r="AA224" i="4"/>
  <c r="Z224" i="4"/>
  <c r="Y224" i="4"/>
  <c r="X224" i="4"/>
  <c r="W224" i="4"/>
  <c r="V224" i="4"/>
  <c r="U224" i="4"/>
  <c r="T224" i="4"/>
  <c r="S224" i="4"/>
  <c r="R224" i="4"/>
  <c r="Q224" i="4"/>
  <c r="P224" i="4"/>
  <c r="O224" i="4"/>
  <c r="N224" i="4"/>
  <c r="M224" i="4"/>
  <c r="L224" i="4"/>
  <c r="K224" i="4"/>
  <c r="J224" i="4"/>
  <c r="I224" i="4"/>
  <c r="H224" i="4"/>
  <c r="AF223" i="4"/>
  <c r="AE223" i="4"/>
  <c r="AD223" i="4"/>
  <c r="AC223" i="4"/>
  <c r="AB223" i="4"/>
  <c r="AA223" i="4"/>
  <c r="Z223" i="4"/>
  <c r="Y223" i="4"/>
  <c r="X223" i="4"/>
  <c r="W223" i="4"/>
  <c r="V223" i="4"/>
  <c r="U223" i="4"/>
  <c r="T223" i="4"/>
  <c r="S223" i="4"/>
  <c r="R223" i="4"/>
  <c r="Q223" i="4"/>
  <c r="P223" i="4"/>
  <c r="O223" i="4"/>
  <c r="N223" i="4"/>
  <c r="M223" i="4"/>
  <c r="L223" i="4"/>
  <c r="K223" i="4"/>
  <c r="J223" i="4"/>
  <c r="I223" i="4"/>
  <c r="H223" i="4"/>
  <c r="AF222" i="4"/>
  <c r="AE222" i="4"/>
  <c r="AD222" i="4"/>
  <c r="AC222" i="4"/>
  <c r="AB222" i="4"/>
  <c r="AA222" i="4"/>
  <c r="Z222" i="4"/>
  <c r="Y222" i="4"/>
  <c r="X222" i="4"/>
  <c r="W222" i="4"/>
  <c r="V222" i="4"/>
  <c r="U222" i="4"/>
  <c r="T222" i="4"/>
  <c r="S222" i="4"/>
  <c r="R222" i="4"/>
  <c r="Q222" i="4"/>
  <c r="P222" i="4"/>
  <c r="O222" i="4"/>
  <c r="N222" i="4"/>
  <c r="M222" i="4"/>
  <c r="L222" i="4"/>
  <c r="K222" i="4"/>
  <c r="J222" i="4"/>
  <c r="I222" i="4"/>
  <c r="H222" i="4"/>
  <c r="AF221" i="4"/>
  <c r="AE221" i="4"/>
  <c r="AD221" i="4"/>
  <c r="AC221" i="4"/>
  <c r="AB221" i="4"/>
  <c r="AA221" i="4"/>
  <c r="Z221" i="4"/>
  <c r="Y221" i="4"/>
  <c r="X221" i="4"/>
  <c r="W221" i="4"/>
  <c r="V221" i="4"/>
  <c r="U221" i="4"/>
  <c r="T221" i="4"/>
  <c r="S221" i="4"/>
  <c r="R221" i="4"/>
  <c r="Q221" i="4"/>
  <c r="P221" i="4"/>
  <c r="O221" i="4"/>
  <c r="N221" i="4"/>
  <c r="M221" i="4"/>
  <c r="L221" i="4"/>
  <c r="K221" i="4"/>
  <c r="J221" i="4"/>
  <c r="I221" i="4"/>
  <c r="H221" i="4"/>
  <c r="AF220" i="4"/>
  <c r="AE220" i="4"/>
  <c r="AD220" i="4"/>
  <c r="AC220" i="4"/>
  <c r="AB220" i="4"/>
  <c r="AA220" i="4"/>
  <c r="Z220" i="4"/>
  <c r="Y220" i="4"/>
  <c r="X220" i="4"/>
  <c r="W220" i="4"/>
  <c r="V220" i="4"/>
  <c r="U220" i="4"/>
  <c r="T220" i="4"/>
  <c r="S220" i="4"/>
  <c r="R220" i="4"/>
  <c r="Q220" i="4"/>
  <c r="P220" i="4"/>
  <c r="O220" i="4"/>
  <c r="N220" i="4"/>
  <c r="M220" i="4"/>
  <c r="L220" i="4"/>
  <c r="K220" i="4"/>
  <c r="J220" i="4"/>
  <c r="I220" i="4"/>
  <c r="H220" i="4"/>
  <c r="AF219" i="4"/>
  <c r="AE219" i="4"/>
  <c r="AD219" i="4"/>
  <c r="AC219" i="4"/>
  <c r="AB219" i="4"/>
  <c r="AA219" i="4"/>
  <c r="Z219" i="4"/>
  <c r="Y219" i="4"/>
  <c r="X219" i="4"/>
  <c r="W219" i="4"/>
  <c r="V219" i="4"/>
  <c r="U219" i="4"/>
  <c r="T219" i="4"/>
  <c r="S219" i="4"/>
  <c r="R219" i="4"/>
  <c r="Q219" i="4"/>
  <c r="P219" i="4"/>
  <c r="O219" i="4"/>
  <c r="N219" i="4"/>
  <c r="M219" i="4"/>
  <c r="L219" i="4"/>
  <c r="K219" i="4"/>
  <c r="J219" i="4"/>
  <c r="I219" i="4"/>
  <c r="H219" i="4"/>
  <c r="AF218" i="4"/>
  <c r="AE218" i="4"/>
  <c r="AD218" i="4"/>
  <c r="AC218" i="4"/>
  <c r="AB218" i="4"/>
  <c r="AA218" i="4"/>
  <c r="Z218" i="4"/>
  <c r="Y218" i="4"/>
  <c r="X218" i="4"/>
  <c r="W218" i="4"/>
  <c r="V218" i="4"/>
  <c r="U218" i="4"/>
  <c r="T218" i="4"/>
  <c r="S218" i="4"/>
  <c r="R218" i="4"/>
  <c r="Q218" i="4"/>
  <c r="P218" i="4"/>
  <c r="O218" i="4"/>
  <c r="N218" i="4"/>
  <c r="M218" i="4"/>
  <c r="L218" i="4"/>
  <c r="K218" i="4"/>
  <c r="J218" i="4"/>
  <c r="I218" i="4"/>
  <c r="H218" i="4"/>
  <c r="AF217" i="4"/>
  <c r="AE217" i="4"/>
  <c r="AD217" i="4"/>
  <c r="AC217" i="4"/>
  <c r="AB217" i="4"/>
  <c r="AA217" i="4"/>
  <c r="Z217" i="4"/>
  <c r="Y217" i="4"/>
  <c r="X217" i="4"/>
  <c r="W217" i="4"/>
  <c r="V217" i="4"/>
  <c r="U217" i="4"/>
  <c r="T217" i="4"/>
  <c r="S217" i="4"/>
  <c r="R217" i="4"/>
  <c r="Q217" i="4"/>
  <c r="P217" i="4"/>
  <c r="O217" i="4"/>
  <c r="N217" i="4"/>
  <c r="M217" i="4"/>
  <c r="L217" i="4"/>
  <c r="K217" i="4"/>
  <c r="J217" i="4"/>
  <c r="I217" i="4"/>
  <c r="H217" i="4"/>
  <c r="AF216" i="4"/>
  <c r="AE216" i="4"/>
  <c r="AD216" i="4"/>
  <c r="AC216" i="4"/>
  <c r="AB216" i="4"/>
  <c r="AA216" i="4"/>
  <c r="Z216" i="4"/>
  <c r="Y216" i="4"/>
  <c r="X216" i="4"/>
  <c r="W216" i="4"/>
  <c r="V216" i="4"/>
  <c r="U216" i="4"/>
  <c r="T216" i="4"/>
  <c r="S216" i="4"/>
  <c r="R216" i="4"/>
  <c r="Q216" i="4"/>
  <c r="P216" i="4"/>
  <c r="O216" i="4"/>
  <c r="N216" i="4"/>
  <c r="M216" i="4"/>
  <c r="L216" i="4"/>
  <c r="K216" i="4"/>
  <c r="J216" i="4"/>
  <c r="I216" i="4"/>
  <c r="H216" i="4"/>
  <c r="AF215" i="4"/>
  <c r="AE215" i="4"/>
  <c r="AD215" i="4"/>
  <c r="AC215" i="4"/>
  <c r="AB215" i="4"/>
  <c r="AA215" i="4"/>
  <c r="Z215" i="4"/>
  <c r="Y215" i="4"/>
  <c r="X215" i="4"/>
  <c r="W215" i="4"/>
  <c r="V215" i="4"/>
  <c r="U215" i="4"/>
  <c r="T215" i="4"/>
  <c r="S215" i="4"/>
  <c r="R215" i="4"/>
  <c r="Q215" i="4"/>
  <c r="P215" i="4"/>
  <c r="O215" i="4"/>
  <c r="N215" i="4"/>
  <c r="M215" i="4"/>
  <c r="L215" i="4"/>
  <c r="K215" i="4"/>
  <c r="J215" i="4"/>
  <c r="I215" i="4"/>
  <c r="H215" i="4"/>
  <c r="AF214" i="4"/>
  <c r="AE214" i="4"/>
  <c r="AD214" i="4"/>
  <c r="AC214" i="4"/>
  <c r="AB214" i="4"/>
  <c r="AA214" i="4"/>
  <c r="Z214" i="4"/>
  <c r="Y214" i="4"/>
  <c r="X214" i="4"/>
  <c r="W214" i="4"/>
  <c r="V214" i="4"/>
  <c r="U214" i="4"/>
  <c r="T214" i="4"/>
  <c r="S214" i="4"/>
  <c r="R214" i="4"/>
  <c r="Q214" i="4"/>
  <c r="P214" i="4"/>
  <c r="O214" i="4"/>
  <c r="N214" i="4"/>
  <c r="M214" i="4"/>
  <c r="L214" i="4"/>
  <c r="K214" i="4"/>
  <c r="J214" i="4"/>
  <c r="I214" i="4"/>
  <c r="H214" i="4"/>
  <c r="AF213" i="4"/>
  <c r="AE213" i="4"/>
  <c r="AD213" i="4"/>
  <c r="AC213" i="4"/>
  <c r="AB213" i="4"/>
  <c r="AA213" i="4"/>
  <c r="Z213" i="4"/>
  <c r="Y213" i="4"/>
  <c r="X213" i="4"/>
  <c r="W213" i="4"/>
  <c r="V213" i="4"/>
  <c r="U213" i="4"/>
  <c r="T213" i="4"/>
  <c r="S213" i="4"/>
  <c r="R213" i="4"/>
  <c r="Q213" i="4"/>
  <c r="P213" i="4"/>
  <c r="O213" i="4"/>
  <c r="N213" i="4"/>
  <c r="M213" i="4"/>
  <c r="L213" i="4"/>
  <c r="K213" i="4"/>
  <c r="J213" i="4"/>
  <c r="I213" i="4"/>
  <c r="H213" i="4"/>
  <c r="AF212" i="4"/>
  <c r="AE212" i="4"/>
  <c r="AD212" i="4"/>
  <c r="AC212" i="4"/>
  <c r="AB212" i="4"/>
  <c r="AA212" i="4"/>
  <c r="Z212" i="4"/>
  <c r="Y212" i="4"/>
  <c r="X212" i="4"/>
  <c r="W212" i="4"/>
  <c r="V212" i="4"/>
  <c r="U212" i="4"/>
  <c r="T212" i="4"/>
  <c r="S212" i="4"/>
  <c r="R212" i="4"/>
  <c r="Q212" i="4"/>
  <c r="P212" i="4"/>
  <c r="O212" i="4"/>
  <c r="N212" i="4"/>
  <c r="M212" i="4"/>
  <c r="L212" i="4"/>
  <c r="K212" i="4"/>
  <c r="J212" i="4"/>
  <c r="I212" i="4"/>
  <c r="H212" i="4"/>
  <c r="AF211" i="4"/>
  <c r="AE211" i="4"/>
  <c r="AD211" i="4"/>
  <c r="AC211" i="4"/>
  <c r="AB211" i="4"/>
  <c r="AA211" i="4"/>
  <c r="Z211" i="4"/>
  <c r="Y211" i="4"/>
  <c r="X211" i="4"/>
  <c r="W211" i="4"/>
  <c r="V211" i="4"/>
  <c r="U211" i="4"/>
  <c r="T211" i="4"/>
  <c r="S211" i="4"/>
  <c r="R211" i="4"/>
  <c r="Q211" i="4"/>
  <c r="P211" i="4"/>
  <c r="O211" i="4"/>
  <c r="N211" i="4"/>
  <c r="M211" i="4"/>
  <c r="L211" i="4"/>
  <c r="K211" i="4"/>
  <c r="J211" i="4"/>
  <c r="I211" i="4"/>
  <c r="H211" i="4"/>
  <c r="AF210" i="4"/>
  <c r="AE210" i="4"/>
  <c r="AD210" i="4"/>
  <c r="AC210" i="4"/>
  <c r="AB210" i="4"/>
  <c r="AA210" i="4"/>
  <c r="Z210" i="4"/>
  <c r="Y210" i="4"/>
  <c r="X210" i="4"/>
  <c r="W210" i="4"/>
  <c r="V210" i="4"/>
  <c r="U210" i="4"/>
  <c r="T210" i="4"/>
  <c r="S210" i="4"/>
  <c r="R210" i="4"/>
  <c r="Q210" i="4"/>
  <c r="P210" i="4"/>
  <c r="O210" i="4"/>
  <c r="N210" i="4"/>
  <c r="M210" i="4"/>
  <c r="L210" i="4"/>
  <c r="K210" i="4"/>
  <c r="J210" i="4"/>
  <c r="I210" i="4"/>
  <c r="H210" i="4"/>
  <c r="AF209" i="4"/>
  <c r="AE209" i="4"/>
  <c r="AD209" i="4"/>
  <c r="AC209" i="4"/>
  <c r="AB209" i="4"/>
  <c r="AA209" i="4"/>
  <c r="Z209" i="4"/>
  <c r="Y209" i="4"/>
  <c r="X209" i="4"/>
  <c r="W209" i="4"/>
  <c r="V209" i="4"/>
  <c r="U209" i="4"/>
  <c r="T209" i="4"/>
  <c r="S209" i="4"/>
  <c r="R209" i="4"/>
  <c r="Q209" i="4"/>
  <c r="P209" i="4"/>
  <c r="O209" i="4"/>
  <c r="N209" i="4"/>
  <c r="M209" i="4"/>
  <c r="L209" i="4"/>
  <c r="K209" i="4"/>
  <c r="J209" i="4"/>
  <c r="I209" i="4"/>
  <c r="H209" i="4"/>
  <c r="AF208" i="4"/>
  <c r="AE208" i="4"/>
  <c r="AD208" i="4"/>
  <c r="AC208" i="4"/>
  <c r="AB208" i="4"/>
  <c r="AA208" i="4"/>
  <c r="Z208" i="4"/>
  <c r="Y208" i="4"/>
  <c r="X208" i="4"/>
  <c r="W208" i="4"/>
  <c r="V208" i="4"/>
  <c r="U208" i="4"/>
  <c r="T208" i="4"/>
  <c r="S208" i="4"/>
  <c r="R208" i="4"/>
  <c r="Q208" i="4"/>
  <c r="P208" i="4"/>
  <c r="O208" i="4"/>
  <c r="N208" i="4"/>
  <c r="M208" i="4"/>
  <c r="L208" i="4"/>
  <c r="K208" i="4"/>
  <c r="J208" i="4"/>
  <c r="I208" i="4"/>
  <c r="H208" i="4"/>
  <c r="AF207" i="4"/>
  <c r="AE207" i="4"/>
  <c r="AD207" i="4"/>
  <c r="AC207" i="4"/>
  <c r="AB207" i="4"/>
  <c r="AA207" i="4"/>
  <c r="Z207" i="4"/>
  <c r="Y207" i="4"/>
  <c r="X207" i="4"/>
  <c r="W207" i="4"/>
  <c r="V207" i="4"/>
  <c r="U207" i="4"/>
  <c r="T207" i="4"/>
  <c r="S207" i="4"/>
  <c r="R207" i="4"/>
  <c r="Q207" i="4"/>
  <c r="P207" i="4"/>
  <c r="O207" i="4"/>
  <c r="N207" i="4"/>
  <c r="M207" i="4"/>
  <c r="L207" i="4"/>
  <c r="K207" i="4"/>
  <c r="J207" i="4"/>
  <c r="I207" i="4"/>
  <c r="H207" i="4"/>
  <c r="AF206" i="4"/>
  <c r="AE206" i="4"/>
  <c r="AD206" i="4"/>
  <c r="AC206" i="4"/>
  <c r="AB206" i="4"/>
  <c r="AA206" i="4"/>
  <c r="Z206" i="4"/>
  <c r="Y206" i="4"/>
  <c r="X206" i="4"/>
  <c r="W206" i="4"/>
  <c r="V206" i="4"/>
  <c r="U206" i="4"/>
  <c r="T206" i="4"/>
  <c r="S206" i="4"/>
  <c r="R206" i="4"/>
  <c r="Q206" i="4"/>
  <c r="P206" i="4"/>
  <c r="O206" i="4"/>
  <c r="N206" i="4"/>
  <c r="M206" i="4"/>
  <c r="L206" i="4"/>
  <c r="K206" i="4"/>
  <c r="J206" i="4"/>
  <c r="I206" i="4"/>
  <c r="H206" i="4"/>
  <c r="AF205" i="4"/>
  <c r="AE205" i="4"/>
  <c r="AD205" i="4"/>
  <c r="AC205" i="4"/>
  <c r="AB205" i="4"/>
  <c r="AA205" i="4"/>
  <c r="Z205" i="4"/>
  <c r="Y205" i="4"/>
  <c r="X205" i="4"/>
  <c r="W205" i="4"/>
  <c r="V205" i="4"/>
  <c r="U205" i="4"/>
  <c r="T205" i="4"/>
  <c r="S205" i="4"/>
  <c r="R205" i="4"/>
  <c r="Q205" i="4"/>
  <c r="P205" i="4"/>
  <c r="O205" i="4"/>
  <c r="N205" i="4"/>
  <c r="M205" i="4"/>
  <c r="L205" i="4"/>
  <c r="K205" i="4"/>
  <c r="J205" i="4"/>
  <c r="I205" i="4"/>
  <c r="H205" i="4"/>
  <c r="AF204" i="4"/>
  <c r="AE204" i="4"/>
  <c r="AD204" i="4"/>
  <c r="AC204" i="4"/>
  <c r="AB204" i="4"/>
  <c r="AA204" i="4"/>
  <c r="Z204" i="4"/>
  <c r="Y204" i="4"/>
  <c r="X204" i="4"/>
  <c r="W204" i="4"/>
  <c r="V204" i="4"/>
  <c r="U204" i="4"/>
  <c r="T204" i="4"/>
  <c r="S204" i="4"/>
  <c r="R204" i="4"/>
  <c r="Q204" i="4"/>
  <c r="P204" i="4"/>
  <c r="O204" i="4"/>
  <c r="N204" i="4"/>
  <c r="M204" i="4"/>
  <c r="L204" i="4"/>
  <c r="K204" i="4"/>
  <c r="J204" i="4"/>
  <c r="I204" i="4"/>
  <c r="H204" i="4"/>
  <c r="AF203" i="4"/>
  <c r="AE203" i="4"/>
  <c r="AD203" i="4"/>
  <c r="AC203" i="4"/>
  <c r="AB203" i="4"/>
  <c r="AA203" i="4"/>
  <c r="Z203" i="4"/>
  <c r="Y203" i="4"/>
  <c r="X203" i="4"/>
  <c r="W203" i="4"/>
  <c r="V203" i="4"/>
  <c r="U203" i="4"/>
  <c r="T203" i="4"/>
  <c r="S203" i="4"/>
  <c r="R203" i="4"/>
  <c r="Q203" i="4"/>
  <c r="P203" i="4"/>
  <c r="O203" i="4"/>
  <c r="N203" i="4"/>
  <c r="M203" i="4"/>
  <c r="L203" i="4"/>
  <c r="K203" i="4"/>
  <c r="J203" i="4"/>
  <c r="I203" i="4"/>
  <c r="H203" i="4"/>
  <c r="AF202" i="4"/>
  <c r="AE202" i="4"/>
  <c r="AD202" i="4"/>
  <c r="AC202" i="4"/>
  <c r="AB202" i="4"/>
  <c r="AA202" i="4"/>
  <c r="Z202" i="4"/>
  <c r="Y202" i="4"/>
  <c r="X202" i="4"/>
  <c r="W202" i="4"/>
  <c r="V202" i="4"/>
  <c r="U202" i="4"/>
  <c r="T202" i="4"/>
  <c r="S202" i="4"/>
  <c r="R202" i="4"/>
  <c r="Q202" i="4"/>
  <c r="P202" i="4"/>
  <c r="O202" i="4"/>
  <c r="N202" i="4"/>
  <c r="M202" i="4"/>
  <c r="L202" i="4"/>
  <c r="K202" i="4"/>
  <c r="J202" i="4"/>
  <c r="I202" i="4"/>
  <c r="H202" i="4"/>
  <c r="AF201" i="4"/>
  <c r="AE201" i="4"/>
  <c r="AD201" i="4"/>
  <c r="AC201" i="4"/>
  <c r="AB201" i="4"/>
  <c r="AA201" i="4"/>
  <c r="Z201" i="4"/>
  <c r="Y201" i="4"/>
  <c r="X201" i="4"/>
  <c r="W201" i="4"/>
  <c r="V201" i="4"/>
  <c r="U201" i="4"/>
  <c r="T201" i="4"/>
  <c r="S201" i="4"/>
  <c r="R201" i="4"/>
  <c r="Q201" i="4"/>
  <c r="P201" i="4"/>
  <c r="O201" i="4"/>
  <c r="N201" i="4"/>
  <c r="M201" i="4"/>
  <c r="L201" i="4"/>
  <c r="K201" i="4"/>
  <c r="J201" i="4"/>
  <c r="I201" i="4"/>
  <c r="H201" i="4"/>
  <c r="AF200" i="4"/>
  <c r="AE200" i="4"/>
  <c r="AD200" i="4"/>
  <c r="AC200" i="4"/>
  <c r="AB200" i="4"/>
  <c r="AA200" i="4"/>
  <c r="Z200" i="4"/>
  <c r="Y200" i="4"/>
  <c r="X200" i="4"/>
  <c r="W200" i="4"/>
  <c r="V200" i="4"/>
  <c r="U200" i="4"/>
  <c r="T200" i="4"/>
  <c r="S200" i="4"/>
  <c r="R200" i="4"/>
  <c r="Q200" i="4"/>
  <c r="P200" i="4"/>
  <c r="O200" i="4"/>
  <c r="N200" i="4"/>
  <c r="M200" i="4"/>
  <c r="L200" i="4"/>
  <c r="K200" i="4"/>
  <c r="J200" i="4"/>
  <c r="I200" i="4"/>
  <c r="H200" i="4"/>
  <c r="AF199" i="4"/>
  <c r="AE199" i="4"/>
  <c r="AD199" i="4"/>
  <c r="AC199" i="4"/>
  <c r="AB199" i="4"/>
  <c r="AA199" i="4"/>
  <c r="Z199" i="4"/>
  <c r="Y199" i="4"/>
  <c r="X199" i="4"/>
  <c r="W199" i="4"/>
  <c r="V199" i="4"/>
  <c r="U199" i="4"/>
  <c r="T199" i="4"/>
  <c r="S199" i="4"/>
  <c r="R199" i="4"/>
  <c r="Q199" i="4"/>
  <c r="P199" i="4"/>
  <c r="O199" i="4"/>
  <c r="N199" i="4"/>
  <c r="M199" i="4"/>
  <c r="L199" i="4"/>
  <c r="K199" i="4"/>
  <c r="J199" i="4"/>
  <c r="I199" i="4"/>
  <c r="H199" i="4"/>
  <c r="AF198" i="4"/>
  <c r="AE198" i="4"/>
  <c r="AD198" i="4"/>
  <c r="AC198" i="4"/>
  <c r="AB198" i="4"/>
  <c r="AA198" i="4"/>
  <c r="Z198" i="4"/>
  <c r="Y198" i="4"/>
  <c r="X198" i="4"/>
  <c r="W198" i="4"/>
  <c r="V198" i="4"/>
  <c r="U198" i="4"/>
  <c r="T198" i="4"/>
  <c r="S198" i="4"/>
  <c r="R198" i="4"/>
  <c r="Q198" i="4"/>
  <c r="P198" i="4"/>
  <c r="O198" i="4"/>
  <c r="N198" i="4"/>
  <c r="M198" i="4"/>
  <c r="L198" i="4"/>
  <c r="K198" i="4"/>
  <c r="J198" i="4"/>
  <c r="I198" i="4"/>
  <c r="H198" i="4"/>
  <c r="AF197" i="4"/>
  <c r="AE197" i="4"/>
  <c r="AD197" i="4"/>
  <c r="AC197" i="4"/>
  <c r="AB197" i="4"/>
  <c r="AA197" i="4"/>
  <c r="Z197" i="4"/>
  <c r="Y197" i="4"/>
  <c r="X197" i="4"/>
  <c r="W197" i="4"/>
  <c r="V197" i="4"/>
  <c r="U197" i="4"/>
  <c r="T197" i="4"/>
  <c r="S197" i="4"/>
  <c r="R197" i="4"/>
  <c r="Q197" i="4"/>
  <c r="P197" i="4"/>
  <c r="O197" i="4"/>
  <c r="N197" i="4"/>
  <c r="M197" i="4"/>
  <c r="L197" i="4"/>
  <c r="K197" i="4"/>
  <c r="J197" i="4"/>
  <c r="I197" i="4"/>
  <c r="H197" i="4"/>
  <c r="AF196" i="4"/>
  <c r="AE196" i="4"/>
  <c r="AD196" i="4"/>
  <c r="AC196" i="4"/>
  <c r="AB196" i="4"/>
  <c r="AA196" i="4"/>
  <c r="Z196" i="4"/>
  <c r="Y196" i="4"/>
  <c r="X196" i="4"/>
  <c r="W196" i="4"/>
  <c r="V196" i="4"/>
  <c r="U196" i="4"/>
  <c r="T196" i="4"/>
  <c r="S196" i="4"/>
  <c r="R196" i="4"/>
  <c r="Q196" i="4"/>
  <c r="P196" i="4"/>
  <c r="O196" i="4"/>
  <c r="N196" i="4"/>
  <c r="M196" i="4"/>
  <c r="L196" i="4"/>
  <c r="K196" i="4"/>
  <c r="J196" i="4"/>
  <c r="I196" i="4"/>
  <c r="H196" i="4"/>
  <c r="AF195" i="4"/>
  <c r="AE195" i="4"/>
  <c r="AD195" i="4"/>
  <c r="AC195" i="4"/>
  <c r="AB195" i="4"/>
  <c r="AA195" i="4"/>
  <c r="Z195" i="4"/>
  <c r="Y195" i="4"/>
  <c r="X195" i="4"/>
  <c r="W195" i="4"/>
  <c r="V195" i="4"/>
  <c r="U195" i="4"/>
  <c r="T195" i="4"/>
  <c r="S195" i="4"/>
  <c r="R195" i="4"/>
  <c r="Q195" i="4"/>
  <c r="P195" i="4"/>
  <c r="O195" i="4"/>
  <c r="N195" i="4"/>
  <c r="M195" i="4"/>
  <c r="L195" i="4"/>
  <c r="K195" i="4"/>
  <c r="J195" i="4"/>
  <c r="I195" i="4"/>
  <c r="H195" i="4"/>
  <c r="AF194" i="4"/>
  <c r="AE194" i="4"/>
  <c r="AD194" i="4"/>
  <c r="AC194" i="4"/>
  <c r="AB194" i="4"/>
  <c r="AA194" i="4"/>
  <c r="Z194" i="4"/>
  <c r="Y194" i="4"/>
  <c r="X194" i="4"/>
  <c r="W194" i="4"/>
  <c r="V194" i="4"/>
  <c r="U194" i="4"/>
  <c r="T194" i="4"/>
  <c r="S194" i="4"/>
  <c r="R194" i="4"/>
  <c r="Q194" i="4"/>
  <c r="P194" i="4"/>
  <c r="O194" i="4"/>
  <c r="N194" i="4"/>
  <c r="M194" i="4"/>
  <c r="L194" i="4"/>
  <c r="K194" i="4"/>
  <c r="J194" i="4"/>
  <c r="I194" i="4"/>
  <c r="H194" i="4"/>
  <c r="AF193" i="4"/>
  <c r="AE193" i="4"/>
  <c r="AD193" i="4"/>
  <c r="AC193" i="4"/>
  <c r="AB193" i="4"/>
  <c r="AA193" i="4"/>
  <c r="Z193" i="4"/>
  <c r="Y193" i="4"/>
  <c r="X193" i="4"/>
  <c r="W193" i="4"/>
  <c r="V193" i="4"/>
  <c r="U193" i="4"/>
  <c r="T193" i="4"/>
  <c r="S193" i="4"/>
  <c r="R193" i="4"/>
  <c r="Q193" i="4"/>
  <c r="P193" i="4"/>
  <c r="O193" i="4"/>
  <c r="N193" i="4"/>
  <c r="M193" i="4"/>
  <c r="L193" i="4"/>
  <c r="K193" i="4"/>
  <c r="J193" i="4"/>
  <c r="I193" i="4"/>
  <c r="H193" i="4"/>
  <c r="AF192" i="4"/>
  <c r="AE192" i="4"/>
  <c r="AD192" i="4"/>
  <c r="AC192" i="4"/>
  <c r="AB192" i="4"/>
  <c r="AA192" i="4"/>
  <c r="Z192" i="4"/>
  <c r="Y192" i="4"/>
  <c r="X192" i="4"/>
  <c r="W192" i="4"/>
  <c r="V192" i="4"/>
  <c r="U192" i="4"/>
  <c r="T192" i="4"/>
  <c r="S192" i="4"/>
  <c r="R192" i="4"/>
  <c r="Q192" i="4"/>
  <c r="P192" i="4"/>
  <c r="O192" i="4"/>
  <c r="N192" i="4"/>
  <c r="M192" i="4"/>
  <c r="L192" i="4"/>
  <c r="K192" i="4"/>
  <c r="J192" i="4"/>
  <c r="I192" i="4"/>
  <c r="H192" i="4"/>
  <c r="AF191" i="4"/>
  <c r="AE191" i="4"/>
  <c r="AD191" i="4"/>
  <c r="AC191" i="4"/>
  <c r="AB191" i="4"/>
  <c r="AA191" i="4"/>
  <c r="Z191" i="4"/>
  <c r="Y191" i="4"/>
  <c r="X191" i="4"/>
  <c r="W191" i="4"/>
  <c r="V191" i="4"/>
  <c r="U191" i="4"/>
  <c r="T191" i="4"/>
  <c r="S191" i="4"/>
  <c r="R191" i="4"/>
  <c r="Q191" i="4"/>
  <c r="P191" i="4"/>
  <c r="O191" i="4"/>
  <c r="N191" i="4"/>
  <c r="M191" i="4"/>
  <c r="L191" i="4"/>
  <c r="K191" i="4"/>
  <c r="J191" i="4"/>
  <c r="I191" i="4"/>
  <c r="H191" i="4"/>
  <c r="AF190" i="4"/>
  <c r="AE190" i="4"/>
  <c r="AD190" i="4"/>
  <c r="AC190" i="4"/>
  <c r="AB190" i="4"/>
  <c r="AA190" i="4"/>
  <c r="Z190" i="4"/>
  <c r="Y190" i="4"/>
  <c r="X190" i="4"/>
  <c r="W190" i="4"/>
  <c r="V190" i="4"/>
  <c r="U190" i="4"/>
  <c r="T190" i="4"/>
  <c r="S190" i="4"/>
  <c r="R190" i="4"/>
  <c r="Q190" i="4"/>
  <c r="P190" i="4"/>
  <c r="O190" i="4"/>
  <c r="N190" i="4"/>
  <c r="M190" i="4"/>
  <c r="L190" i="4"/>
  <c r="K190" i="4"/>
  <c r="J190" i="4"/>
  <c r="I190" i="4"/>
  <c r="H190" i="4"/>
  <c r="AF189" i="4"/>
  <c r="AE189" i="4"/>
  <c r="AD189" i="4"/>
  <c r="AC189" i="4"/>
  <c r="AB189" i="4"/>
  <c r="AA189" i="4"/>
  <c r="Z189" i="4"/>
  <c r="Y189" i="4"/>
  <c r="X189" i="4"/>
  <c r="W189" i="4"/>
  <c r="V189" i="4"/>
  <c r="U189" i="4"/>
  <c r="T189" i="4"/>
  <c r="S189" i="4"/>
  <c r="R189" i="4"/>
  <c r="Q189" i="4"/>
  <c r="P189" i="4"/>
  <c r="O189" i="4"/>
  <c r="N189" i="4"/>
  <c r="M189" i="4"/>
  <c r="L189" i="4"/>
  <c r="K189" i="4"/>
  <c r="J189" i="4"/>
  <c r="I189" i="4"/>
  <c r="H189" i="4"/>
  <c r="AF188" i="4"/>
  <c r="AE188" i="4"/>
  <c r="AD188" i="4"/>
  <c r="AC188" i="4"/>
  <c r="AB188" i="4"/>
  <c r="AA188" i="4"/>
  <c r="Z188" i="4"/>
  <c r="Y188" i="4"/>
  <c r="X188" i="4"/>
  <c r="W188" i="4"/>
  <c r="V188" i="4"/>
  <c r="U188" i="4"/>
  <c r="T188" i="4"/>
  <c r="S188" i="4"/>
  <c r="R188" i="4"/>
  <c r="Q188" i="4"/>
  <c r="P188" i="4"/>
  <c r="O188" i="4"/>
  <c r="N188" i="4"/>
  <c r="M188" i="4"/>
  <c r="L188" i="4"/>
  <c r="K188" i="4"/>
  <c r="J188" i="4"/>
  <c r="I188" i="4"/>
  <c r="H188" i="4"/>
  <c r="AF187" i="4"/>
  <c r="AE187" i="4"/>
  <c r="AD187" i="4"/>
  <c r="AC187" i="4"/>
  <c r="AB187" i="4"/>
  <c r="AA187" i="4"/>
  <c r="Z187" i="4"/>
  <c r="Y187" i="4"/>
  <c r="X187" i="4"/>
  <c r="W187" i="4"/>
  <c r="V187" i="4"/>
  <c r="U187" i="4"/>
  <c r="T187" i="4"/>
  <c r="S187" i="4"/>
  <c r="R187" i="4"/>
  <c r="Q187" i="4"/>
  <c r="P187" i="4"/>
  <c r="O187" i="4"/>
  <c r="N187" i="4"/>
  <c r="M187" i="4"/>
  <c r="L187" i="4"/>
  <c r="K187" i="4"/>
  <c r="J187" i="4"/>
  <c r="I187" i="4"/>
  <c r="H187" i="4"/>
  <c r="AF186" i="4"/>
  <c r="AE186" i="4"/>
  <c r="AD186" i="4"/>
  <c r="AC186" i="4"/>
  <c r="AB186" i="4"/>
  <c r="AA186" i="4"/>
  <c r="Z186" i="4"/>
  <c r="Y186" i="4"/>
  <c r="X186" i="4"/>
  <c r="W186" i="4"/>
  <c r="V186" i="4"/>
  <c r="U186" i="4"/>
  <c r="T186" i="4"/>
  <c r="S186" i="4"/>
  <c r="R186" i="4"/>
  <c r="Q186" i="4"/>
  <c r="P186" i="4"/>
  <c r="O186" i="4"/>
  <c r="N186" i="4"/>
  <c r="M186" i="4"/>
  <c r="L186" i="4"/>
  <c r="K186" i="4"/>
  <c r="J186" i="4"/>
  <c r="I186" i="4"/>
  <c r="H186" i="4"/>
  <c r="AF185" i="4"/>
  <c r="AE185" i="4"/>
  <c r="AD185" i="4"/>
  <c r="AC185" i="4"/>
  <c r="AB185" i="4"/>
  <c r="AA185" i="4"/>
  <c r="Z185" i="4"/>
  <c r="Y185" i="4"/>
  <c r="X185" i="4"/>
  <c r="W185" i="4"/>
  <c r="V185" i="4"/>
  <c r="U185" i="4"/>
  <c r="T185" i="4"/>
  <c r="S185" i="4"/>
  <c r="R185" i="4"/>
  <c r="Q185" i="4"/>
  <c r="P185" i="4"/>
  <c r="O185" i="4"/>
  <c r="N185" i="4"/>
  <c r="M185" i="4"/>
  <c r="L185" i="4"/>
  <c r="K185" i="4"/>
  <c r="J185" i="4"/>
  <c r="I185" i="4"/>
  <c r="H185" i="4"/>
  <c r="AF184" i="4"/>
  <c r="AE184" i="4"/>
  <c r="AD184" i="4"/>
  <c r="AC184" i="4"/>
  <c r="AB184" i="4"/>
  <c r="AA184" i="4"/>
  <c r="Z184" i="4"/>
  <c r="Y184" i="4"/>
  <c r="X184" i="4"/>
  <c r="W184" i="4"/>
  <c r="V184" i="4"/>
  <c r="U184" i="4"/>
  <c r="T184" i="4"/>
  <c r="S184" i="4"/>
  <c r="R184" i="4"/>
  <c r="Q184" i="4"/>
  <c r="P184" i="4"/>
  <c r="O184" i="4"/>
  <c r="N184" i="4"/>
  <c r="M184" i="4"/>
  <c r="L184" i="4"/>
  <c r="K184" i="4"/>
  <c r="J184" i="4"/>
  <c r="I184" i="4"/>
  <c r="H184" i="4"/>
  <c r="AF183" i="4"/>
  <c r="AE183" i="4"/>
  <c r="AD183" i="4"/>
  <c r="AC183" i="4"/>
  <c r="AB183" i="4"/>
  <c r="AA183" i="4"/>
  <c r="Z183" i="4"/>
  <c r="Y183" i="4"/>
  <c r="X183" i="4"/>
  <c r="W183" i="4"/>
  <c r="V183" i="4"/>
  <c r="U183" i="4"/>
  <c r="T183" i="4"/>
  <c r="S183" i="4"/>
  <c r="R183" i="4"/>
  <c r="Q183" i="4"/>
  <c r="P183" i="4"/>
  <c r="O183" i="4"/>
  <c r="N183" i="4"/>
  <c r="M183" i="4"/>
  <c r="L183" i="4"/>
  <c r="K183" i="4"/>
  <c r="J183" i="4"/>
  <c r="I183" i="4"/>
  <c r="H183" i="4"/>
  <c r="AF182" i="4"/>
  <c r="AE182" i="4"/>
  <c r="AD182" i="4"/>
  <c r="AC182" i="4"/>
  <c r="AB182" i="4"/>
  <c r="AA182" i="4"/>
  <c r="Z182" i="4"/>
  <c r="Y182" i="4"/>
  <c r="X182" i="4"/>
  <c r="W182" i="4"/>
  <c r="V182" i="4"/>
  <c r="U182" i="4"/>
  <c r="T182" i="4"/>
  <c r="S182" i="4"/>
  <c r="R182" i="4"/>
  <c r="Q182" i="4"/>
  <c r="P182" i="4"/>
  <c r="O182" i="4"/>
  <c r="N182" i="4"/>
  <c r="M182" i="4"/>
  <c r="L182" i="4"/>
  <c r="K182" i="4"/>
  <c r="J182" i="4"/>
  <c r="I182" i="4"/>
  <c r="H182" i="4"/>
  <c r="AF181" i="4"/>
  <c r="AE181" i="4"/>
  <c r="AD181" i="4"/>
  <c r="AC181" i="4"/>
  <c r="AB181" i="4"/>
  <c r="AA181" i="4"/>
  <c r="Z181" i="4"/>
  <c r="Y181" i="4"/>
  <c r="X181" i="4"/>
  <c r="W181" i="4"/>
  <c r="V181" i="4"/>
  <c r="U181" i="4"/>
  <c r="T181" i="4"/>
  <c r="S181" i="4"/>
  <c r="R181" i="4"/>
  <c r="Q181" i="4"/>
  <c r="P181" i="4"/>
  <c r="O181" i="4"/>
  <c r="N181" i="4"/>
  <c r="M181" i="4"/>
  <c r="L181" i="4"/>
  <c r="K181" i="4"/>
  <c r="J181" i="4"/>
  <c r="I181" i="4"/>
  <c r="H181" i="4"/>
  <c r="AF180" i="4"/>
  <c r="AE180" i="4"/>
  <c r="AD180" i="4"/>
  <c r="AC180" i="4"/>
  <c r="AB180" i="4"/>
  <c r="AA180" i="4"/>
  <c r="Z180" i="4"/>
  <c r="Y180" i="4"/>
  <c r="X180" i="4"/>
  <c r="W180" i="4"/>
  <c r="V180" i="4"/>
  <c r="U180" i="4"/>
  <c r="T180" i="4"/>
  <c r="S180" i="4"/>
  <c r="R180" i="4"/>
  <c r="Q180" i="4"/>
  <c r="P180" i="4"/>
  <c r="O180" i="4"/>
  <c r="N180" i="4"/>
  <c r="M180" i="4"/>
  <c r="L180" i="4"/>
  <c r="K180" i="4"/>
  <c r="J180" i="4"/>
  <c r="I180" i="4"/>
  <c r="H180" i="4"/>
  <c r="AF179" i="4"/>
  <c r="AE179" i="4"/>
  <c r="AD179" i="4"/>
  <c r="AC179" i="4"/>
  <c r="AB179" i="4"/>
  <c r="AA179" i="4"/>
  <c r="Z179" i="4"/>
  <c r="Y179" i="4"/>
  <c r="X179" i="4"/>
  <c r="W179" i="4"/>
  <c r="V179" i="4"/>
  <c r="U179" i="4"/>
  <c r="T179" i="4"/>
  <c r="S179" i="4"/>
  <c r="R179" i="4"/>
  <c r="Q179" i="4"/>
  <c r="P179" i="4"/>
  <c r="O179" i="4"/>
  <c r="N179" i="4"/>
  <c r="M179" i="4"/>
  <c r="L179" i="4"/>
  <c r="K179" i="4"/>
  <c r="J179" i="4"/>
  <c r="I179" i="4"/>
  <c r="H179" i="4"/>
  <c r="AF178" i="4"/>
  <c r="AE178" i="4"/>
  <c r="AD178" i="4"/>
  <c r="AC178" i="4"/>
  <c r="AB178" i="4"/>
  <c r="AA178" i="4"/>
  <c r="Z178" i="4"/>
  <c r="Y178" i="4"/>
  <c r="X178" i="4"/>
  <c r="W178" i="4"/>
  <c r="V178" i="4"/>
  <c r="U178" i="4"/>
  <c r="T178" i="4"/>
  <c r="S178" i="4"/>
  <c r="R178" i="4"/>
  <c r="Q178" i="4"/>
  <c r="P178" i="4"/>
  <c r="O178" i="4"/>
  <c r="N178" i="4"/>
  <c r="M178" i="4"/>
  <c r="L178" i="4"/>
  <c r="K178" i="4"/>
  <c r="J178" i="4"/>
  <c r="I178" i="4"/>
  <c r="H178" i="4"/>
  <c r="AF177" i="4"/>
  <c r="AE177" i="4"/>
  <c r="AD177" i="4"/>
  <c r="AC177" i="4"/>
  <c r="AB177" i="4"/>
  <c r="AA177" i="4"/>
  <c r="Z177" i="4"/>
  <c r="Y177" i="4"/>
  <c r="X177" i="4"/>
  <c r="W177" i="4"/>
  <c r="V177" i="4"/>
  <c r="U177" i="4"/>
  <c r="T177" i="4"/>
  <c r="S177" i="4"/>
  <c r="R177" i="4"/>
  <c r="Q177" i="4"/>
  <c r="P177" i="4"/>
  <c r="O177" i="4"/>
  <c r="N177" i="4"/>
  <c r="M177" i="4"/>
  <c r="L177" i="4"/>
  <c r="K177" i="4"/>
  <c r="J177" i="4"/>
  <c r="I177" i="4"/>
  <c r="H177" i="4"/>
  <c r="AF176" i="4"/>
  <c r="AE176" i="4"/>
  <c r="AD176" i="4"/>
  <c r="AC176" i="4"/>
  <c r="AB176" i="4"/>
  <c r="AA176" i="4"/>
  <c r="Z176" i="4"/>
  <c r="Y176" i="4"/>
  <c r="X176" i="4"/>
  <c r="W176" i="4"/>
  <c r="V176" i="4"/>
  <c r="U176" i="4"/>
  <c r="T176" i="4"/>
  <c r="S176" i="4"/>
  <c r="R176" i="4"/>
  <c r="Q176" i="4"/>
  <c r="P176" i="4"/>
  <c r="O176" i="4"/>
  <c r="N176" i="4"/>
  <c r="M176" i="4"/>
  <c r="L176" i="4"/>
  <c r="K176" i="4"/>
  <c r="J176" i="4"/>
  <c r="I176" i="4"/>
  <c r="H176" i="4"/>
  <c r="AF175" i="4"/>
  <c r="AE175" i="4"/>
  <c r="AD175" i="4"/>
  <c r="AC175" i="4"/>
  <c r="AB175" i="4"/>
  <c r="AA175" i="4"/>
  <c r="Z175" i="4"/>
  <c r="Y175" i="4"/>
  <c r="X175" i="4"/>
  <c r="W175" i="4"/>
  <c r="V175" i="4"/>
  <c r="U175" i="4"/>
  <c r="T175" i="4"/>
  <c r="S175" i="4"/>
  <c r="R175" i="4"/>
  <c r="Q175" i="4"/>
  <c r="P175" i="4"/>
  <c r="O175" i="4"/>
  <c r="N175" i="4"/>
  <c r="M175" i="4"/>
  <c r="L175" i="4"/>
  <c r="K175" i="4"/>
  <c r="J175" i="4"/>
  <c r="I175" i="4"/>
  <c r="H175" i="4"/>
  <c r="AF174" i="4"/>
  <c r="AE174" i="4"/>
  <c r="AD174" i="4"/>
  <c r="AC174" i="4"/>
  <c r="AB174" i="4"/>
  <c r="AA174" i="4"/>
  <c r="Z174" i="4"/>
  <c r="Y174" i="4"/>
  <c r="X174" i="4"/>
  <c r="W174" i="4"/>
  <c r="V174" i="4"/>
  <c r="U174" i="4"/>
  <c r="T174" i="4"/>
  <c r="S174" i="4"/>
  <c r="R174" i="4"/>
  <c r="Q174" i="4"/>
  <c r="P174" i="4"/>
  <c r="O174" i="4"/>
  <c r="N174" i="4"/>
  <c r="M174" i="4"/>
  <c r="L174" i="4"/>
  <c r="K174" i="4"/>
  <c r="J174" i="4"/>
  <c r="I174" i="4"/>
  <c r="H174" i="4"/>
  <c r="AF173" i="4"/>
  <c r="AE173" i="4"/>
  <c r="AD173" i="4"/>
  <c r="AC173" i="4"/>
  <c r="AB173" i="4"/>
  <c r="AA173" i="4"/>
  <c r="Z173" i="4"/>
  <c r="Y173" i="4"/>
  <c r="X173" i="4"/>
  <c r="W173" i="4"/>
  <c r="V173" i="4"/>
  <c r="U173" i="4"/>
  <c r="T173" i="4"/>
  <c r="S173" i="4"/>
  <c r="R173" i="4"/>
  <c r="Q173" i="4"/>
  <c r="P173" i="4"/>
  <c r="O173" i="4"/>
  <c r="N173" i="4"/>
  <c r="M173" i="4"/>
  <c r="L173" i="4"/>
  <c r="K173" i="4"/>
  <c r="J173" i="4"/>
  <c r="I173" i="4"/>
  <c r="H173" i="4"/>
  <c r="AF172" i="4"/>
  <c r="AE172" i="4"/>
  <c r="AD172" i="4"/>
  <c r="AC172" i="4"/>
  <c r="AB172" i="4"/>
  <c r="AA172" i="4"/>
  <c r="Z172" i="4"/>
  <c r="Y172" i="4"/>
  <c r="X172" i="4"/>
  <c r="W172" i="4"/>
  <c r="V172" i="4"/>
  <c r="U172" i="4"/>
  <c r="T172" i="4"/>
  <c r="S172" i="4"/>
  <c r="R172" i="4"/>
  <c r="Q172" i="4"/>
  <c r="P172" i="4"/>
  <c r="O172" i="4"/>
  <c r="N172" i="4"/>
  <c r="M172" i="4"/>
  <c r="L172" i="4"/>
  <c r="K172" i="4"/>
  <c r="J172" i="4"/>
  <c r="I172" i="4"/>
  <c r="H172" i="4"/>
  <c r="AF171" i="4"/>
  <c r="AE171" i="4"/>
  <c r="AD171" i="4"/>
  <c r="AC171" i="4"/>
  <c r="AB171" i="4"/>
  <c r="AA171" i="4"/>
  <c r="Z171" i="4"/>
  <c r="Y171" i="4"/>
  <c r="X171" i="4"/>
  <c r="W171" i="4"/>
  <c r="V171" i="4"/>
  <c r="U171" i="4"/>
  <c r="T171" i="4"/>
  <c r="S171" i="4"/>
  <c r="R171" i="4"/>
  <c r="Q171" i="4"/>
  <c r="P171" i="4"/>
  <c r="O171" i="4"/>
  <c r="N171" i="4"/>
  <c r="M171" i="4"/>
  <c r="L171" i="4"/>
  <c r="K171" i="4"/>
  <c r="J171" i="4"/>
  <c r="I171" i="4"/>
  <c r="H171" i="4"/>
  <c r="AF170" i="4"/>
  <c r="AE170" i="4"/>
  <c r="AD170" i="4"/>
  <c r="AC170" i="4"/>
  <c r="AB170" i="4"/>
  <c r="AA170" i="4"/>
  <c r="Z170" i="4"/>
  <c r="Y170" i="4"/>
  <c r="X170" i="4"/>
  <c r="W170" i="4"/>
  <c r="V170" i="4"/>
  <c r="U170" i="4"/>
  <c r="T170" i="4"/>
  <c r="S170" i="4"/>
  <c r="R170" i="4"/>
  <c r="Q170" i="4"/>
  <c r="P170" i="4"/>
  <c r="O170" i="4"/>
  <c r="N170" i="4"/>
  <c r="M170" i="4"/>
  <c r="L170" i="4"/>
  <c r="K170" i="4"/>
  <c r="J170" i="4"/>
  <c r="I170" i="4"/>
  <c r="H170" i="4"/>
  <c r="AF169" i="4"/>
  <c r="AE169" i="4"/>
  <c r="AD169" i="4"/>
  <c r="AC169" i="4"/>
  <c r="AB169" i="4"/>
  <c r="AA169" i="4"/>
  <c r="Z169" i="4"/>
  <c r="Y169" i="4"/>
  <c r="X169" i="4"/>
  <c r="W169" i="4"/>
  <c r="V169" i="4"/>
  <c r="U169" i="4"/>
  <c r="T169" i="4"/>
  <c r="S169" i="4"/>
  <c r="R169" i="4"/>
  <c r="Q169" i="4"/>
  <c r="P169" i="4"/>
  <c r="O169" i="4"/>
  <c r="N169" i="4"/>
  <c r="M169" i="4"/>
  <c r="L169" i="4"/>
  <c r="K169" i="4"/>
  <c r="J169" i="4"/>
  <c r="I169" i="4"/>
  <c r="H169" i="4"/>
  <c r="AF168" i="4"/>
  <c r="AE168" i="4"/>
  <c r="AD168" i="4"/>
  <c r="AC168" i="4"/>
  <c r="AB168" i="4"/>
  <c r="AA168" i="4"/>
  <c r="Z168" i="4"/>
  <c r="Y168" i="4"/>
  <c r="X168" i="4"/>
  <c r="W168" i="4"/>
  <c r="V168" i="4"/>
  <c r="U168" i="4"/>
  <c r="T168" i="4"/>
  <c r="S168" i="4"/>
  <c r="R168" i="4"/>
  <c r="Q168" i="4"/>
  <c r="P168" i="4"/>
  <c r="O168" i="4"/>
  <c r="N168" i="4"/>
  <c r="M168" i="4"/>
  <c r="L168" i="4"/>
  <c r="K168" i="4"/>
  <c r="J168" i="4"/>
  <c r="I168" i="4"/>
  <c r="H168" i="4"/>
  <c r="AF167" i="4"/>
  <c r="AE167" i="4"/>
  <c r="AD167" i="4"/>
  <c r="AC167" i="4"/>
  <c r="AB167" i="4"/>
  <c r="AA167" i="4"/>
  <c r="Z167" i="4"/>
  <c r="Y167" i="4"/>
  <c r="X167" i="4"/>
  <c r="W167" i="4"/>
  <c r="V167" i="4"/>
  <c r="U167" i="4"/>
  <c r="T167" i="4"/>
  <c r="S167" i="4"/>
  <c r="R167" i="4"/>
  <c r="Q167" i="4"/>
  <c r="P167" i="4"/>
  <c r="O167" i="4"/>
  <c r="N167" i="4"/>
  <c r="M167" i="4"/>
  <c r="L167" i="4"/>
  <c r="K167" i="4"/>
  <c r="J167" i="4"/>
  <c r="I167" i="4"/>
  <c r="H167" i="4"/>
  <c r="AF166" i="4"/>
  <c r="AE166" i="4"/>
  <c r="AD166" i="4"/>
  <c r="AC166" i="4"/>
  <c r="AB166" i="4"/>
  <c r="AA166" i="4"/>
  <c r="Z166" i="4"/>
  <c r="Y166" i="4"/>
  <c r="X166" i="4"/>
  <c r="W166" i="4"/>
  <c r="V166" i="4"/>
  <c r="U166" i="4"/>
  <c r="T166" i="4"/>
  <c r="S166" i="4"/>
  <c r="R166" i="4"/>
  <c r="Q166" i="4"/>
  <c r="P166" i="4"/>
  <c r="O166" i="4"/>
  <c r="N166" i="4"/>
  <c r="M166" i="4"/>
  <c r="L166" i="4"/>
  <c r="K166" i="4"/>
  <c r="J166" i="4"/>
  <c r="I166" i="4"/>
  <c r="H166" i="4"/>
  <c r="AF165" i="4"/>
  <c r="AE165" i="4"/>
  <c r="AD165" i="4"/>
  <c r="AC165" i="4"/>
  <c r="AB165" i="4"/>
  <c r="AA165" i="4"/>
  <c r="Z165" i="4"/>
  <c r="Y165" i="4"/>
  <c r="X165" i="4"/>
  <c r="W165" i="4"/>
  <c r="V165" i="4"/>
  <c r="U165" i="4"/>
  <c r="T165" i="4"/>
  <c r="S165" i="4"/>
  <c r="R165" i="4"/>
  <c r="Q165" i="4"/>
  <c r="P165" i="4"/>
  <c r="O165" i="4"/>
  <c r="N165" i="4"/>
  <c r="M165" i="4"/>
  <c r="L165" i="4"/>
  <c r="K165" i="4"/>
  <c r="J165" i="4"/>
  <c r="I165" i="4"/>
  <c r="H165" i="4"/>
  <c r="AF164" i="4"/>
  <c r="AE164" i="4"/>
  <c r="AD164" i="4"/>
  <c r="AC164" i="4"/>
  <c r="AB164" i="4"/>
  <c r="AA164" i="4"/>
  <c r="Z164" i="4"/>
  <c r="Y164" i="4"/>
  <c r="X164" i="4"/>
  <c r="W164" i="4"/>
  <c r="V164" i="4"/>
  <c r="U164" i="4"/>
  <c r="T164" i="4"/>
  <c r="S164" i="4"/>
  <c r="R164" i="4"/>
  <c r="Q164" i="4"/>
  <c r="P164" i="4"/>
  <c r="O164" i="4"/>
  <c r="N164" i="4"/>
  <c r="M164" i="4"/>
  <c r="L164" i="4"/>
  <c r="K164" i="4"/>
  <c r="J164" i="4"/>
  <c r="I164" i="4"/>
  <c r="H164" i="4"/>
  <c r="AF163" i="4"/>
  <c r="AE163" i="4"/>
  <c r="AD163" i="4"/>
  <c r="AC163" i="4"/>
  <c r="AB163" i="4"/>
  <c r="AA163" i="4"/>
  <c r="Z163" i="4"/>
  <c r="Y163" i="4"/>
  <c r="X163" i="4"/>
  <c r="W163" i="4"/>
  <c r="V163" i="4"/>
  <c r="U163" i="4"/>
  <c r="T163" i="4"/>
  <c r="S163" i="4"/>
  <c r="R163" i="4"/>
  <c r="Q163" i="4"/>
  <c r="P163" i="4"/>
  <c r="O163" i="4"/>
  <c r="N163" i="4"/>
  <c r="M163" i="4"/>
  <c r="L163" i="4"/>
  <c r="K163" i="4"/>
  <c r="J163" i="4"/>
  <c r="I163" i="4"/>
  <c r="H163" i="4"/>
  <c r="AF162" i="4"/>
  <c r="AE162" i="4"/>
  <c r="AD162" i="4"/>
  <c r="AC162" i="4"/>
  <c r="AB162" i="4"/>
  <c r="AA162" i="4"/>
  <c r="Z162" i="4"/>
  <c r="Y162" i="4"/>
  <c r="X162" i="4"/>
  <c r="W162" i="4"/>
  <c r="V162" i="4"/>
  <c r="U162" i="4"/>
  <c r="T162" i="4"/>
  <c r="S162" i="4"/>
  <c r="R162" i="4"/>
  <c r="Q162" i="4"/>
  <c r="P162" i="4"/>
  <c r="O162" i="4"/>
  <c r="N162" i="4"/>
  <c r="M162" i="4"/>
  <c r="L162" i="4"/>
  <c r="K162" i="4"/>
  <c r="J162" i="4"/>
  <c r="I162" i="4"/>
  <c r="H162" i="4"/>
  <c r="AF161" i="4"/>
  <c r="AE161" i="4"/>
  <c r="AD161" i="4"/>
  <c r="AC161" i="4"/>
  <c r="AB161" i="4"/>
  <c r="AA161" i="4"/>
  <c r="Z161" i="4"/>
  <c r="Y161" i="4"/>
  <c r="X161" i="4"/>
  <c r="W161" i="4"/>
  <c r="V161" i="4"/>
  <c r="U161" i="4"/>
  <c r="T161" i="4"/>
  <c r="S161" i="4"/>
  <c r="R161" i="4"/>
  <c r="Q161" i="4"/>
  <c r="P161" i="4"/>
  <c r="O161" i="4"/>
  <c r="N161" i="4"/>
  <c r="M161" i="4"/>
  <c r="L161" i="4"/>
  <c r="K161" i="4"/>
  <c r="J161" i="4"/>
  <c r="I161" i="4"/>
  <c r="H161" i="4"/>
  <c r="AF160" i="4"/>
  <c r="AE160" i="4"/>
  <c r="AD160" i="4"/>
  <c r="AC160" i="4"/>
  <c r="AB160" i="4"/>
  <c r="AA160" i="4"/>
  <c r="Z160" i="4"/>
  <c r="Y160" i="4"/>
  <c r="X160" i="4"/>
  <c r="W160" i="4"/>
  <c r="V160" i="4"/>
  <c r="U160" i="4"/>
  <c r="T160" i="4"/>
  <c r="S160" i="4"/>
  <c r="R160" i="4"/>
  <c r="Q160" i="4"/>
  <c r="P160" i="4"/>
  <c r="O160" i="4"/>
  <c r="N160" i="4"/>
  <c r="M160" i="4"/>
  <c r="L160" i="4"/>
  <c r="K160" i="4"/>
  <c r="J160" i="4"/>
  <c r="I160" i="4"/>
  <c r="H160" i="4"/>
  <c r="AF159" i="4"/>
  <c r="AE159" i="4"/>
  <c r="AD159" i="4"/>
  <c r="AC159" i="4"/>
  <c r="AB159" i="4"/>
  <c r="AA159" i="4"/>
  <c r="Z159" i="4"/>
  <c r="Y159" i="4"/>
  <c r="X159" i="4"/>
  <c r="W159" i="4"/>
  <c r="V159" i="4"/>
  <c r="U159" i="4"/>
  <c r="T159" i="4"/>
  <c r="S159" i="4"/>
  <c r="R159" i="4"/>
  <c r="Q159" i="4"/>
  <c r="P159" i="4"/>
  <c r="O159" i="4"/>
  <c r="N159" i="4"/>
  <c r="M159" i="4"/>
  <c r="L159" i="4"/>
  <c r="K159" i="4"/>
  <c r="J159" i="4"/>
  <c r="I159" i="4"/>
  <c r="H159" i="4"/>
  <c r="AF158" i="4"/>
  <c r="AE158" i="4"/>
  <c r="AD158" i="4"/>
  <c r="AC158" i="4"/>
  <c r="AB158" i="4"/>
  <c r="AA158" i="4"/>
  <c r="Z158" i="4"/>
  <c r="Y158" i="4"/>
  <c r="X158" i="4"/>
  <c r="W158" i="4"/>
  <c r="V158" i="4"/>
  <c r="U158" i="4"/>
  <c r="T158" i="4"/>
  <c r="S158" i="4"/>
  <c r="R158" i="4"/>
  <c r="Q158" i="4"/>
  <c r="P158" i="4"/>
  <c r="O158" i="4"/>
  <c r="N158" i="4"/>
  <c r="M158" i="4"/>
  <c r="L158" i="4"/>
  <c r="K158" i="4"/>
  <c r="J158" i="4"/>
  <c r="I158" i="4"/>
  <c r="H158" i="4"/>
  <c r="AF157" i="4"/>
  <c r="AE157" i="4"/>
  <c r="AD157" i="4"/>
  <c r="AC157" i="4"/>
  <c r="AB157" i="4"/>
  <c r="AA157" i="4"/>
  <c r="Z157" i="4"/>
  <c r="Y157" i="4"/>
  <c r="X157" i="4"/>
  <c r="W157" i="4"/>
  <c r="V157" i="4"/>
  <c r="U157" i="4"/>
  <c r="T157" i="4"/>
  <c r="S157" i="4"/>
  <c r="R157" i="4"/>
  <c r="Q157" i="4"/>
  <c r="P157" i="4"/>
  <c r="O157" i="4"/>
  <c r="N157" i="4"/>
  <c r="M157" i="4"/>
  <c r="L157" i="4"/>
  <c r="K157" i="4"/>
  <c r="J157" i="4"/>
  <c r="I157" i="4"/>
  <c r="H157" i="4"/>
  <c r="AF156" i="4"/>
  <c r="AE156" i="4"/>
  <c r="AD156" i="4"/>
  <c r="AC156" i="4"/>
  <c r="AB156" i="4"/>
  <c r="AA156" i="4"/>
  <c r="Z156" i="4"/>
  <c r="Y156" i="4"/>
  <c r="X156" i="4"/>
  <c r="W156" i="4"/>
  <c r="V156" i="4"/>
  <c r="U156" i="4"/>
  <c r="T156" i="4"/>
  <c r="S156" i="4"/>
  <c r="R156" i="4"/>
  <c r="Q156" i="4"/>
  <c r="P156" i="4"/>
  <c r="O156" i="4"/>
  <c r="N156" i="4"/>
  <c r="M156" i="4"/>
  <c r="L156" i="4"/>
  <c r="K156" i="4"/>
  <c r="J156" i="4"/>
  <c r="I156" i="4"/>
  <c r="H156" i="4"/>
  <c r="AF155" i="4"/>
  <c r="AE155" i="4"/>
  <c r="AD155" i="4"/>
  <c r="AC155" i="4"/>
  <c r="AB155" i="4"/>
  <c r="AA155" i="4"/>
  <c r="Z155" i="4"/>
  <c r="Y155" i="4"/>
  <c r="X155" i="4"/>
  <c r="W155" i="4"/>
  <c r="V155" i="4"/>
  <c r="U155" i="4"/>
  <c r="T155" i="4"/>
  <c r="S155" i="4"/>
  <c r="R155" i="4"/>
  <c r="Q155" i="4"/>
  <c r="P155" i="4"/>
  <c r="O155" i="4"/>
  <c r="N155" i="4"/>
  <c r="M155" i="4"/>
  <c r="L155" i="4"/>
  <c r="K155" i="4"/>
  <c r="J155" i="4"/>
  <c r="I155" i="4"/>
  <c r="H155" i="4"/>
  <c r="AF154" i="4"/>
  <c r="AE154" i="4"/>
  <c r="AD154" i="4"/>
  <c r="AC154" i="4"/>
  <c r="AB154" i="4"/>
  <c r="AA154" i="4"/>
  <c r="Z154" i="4"/>
  <c r="Y154" i="4"/>
  <c r="X154" i="4"/>
  <c r="W154" i="4"/>
  <c r="V154" i="4"/>
  <c r="U154" i="4"/>
  <c r="T154" i="4"/>
  <c r="S154" i="4"/>
  <c r="R154" i="4"/>
  <c r="Q154" i="4"/>
  <c r="P154" i="4"/>
  <c r="O154" i="4"/>
  <c r="N154" i="4"/>
  <c r="M154" i="4"/>
  <c r="L154" i="4"/>
  <c r="K154" i="4"/>
  <c r="J154" i="4"/>
  <c r="I154" i="4"/>
  <c r="H154" i="4"/>
  <c r="AF153" i="4"/>
  <c r="AE153" i="4"/>
  <c r="AD153" i="4"/>
  <c r="AC153" i="4"/>
  <c r="AB153" i="4"/>
  <c r="AA153" i="4"/>
  <c r="Z153" i="4"/>
  <c r="Y153" i="4"/>
  <c r="X153" i="4"/>
  <c r="W153" i="4"/>
  <c r="V153" i="4"/>
  <c r="U153" i="4"/>
  <c r="T153" i="4"/>
  <c r="S153" i="4"/>
  <c r="R153" i="4"/>
  <c r="Q153" i="4"/>
  <c r="P153" i="4"/>
  <c r="O153" i="4"/>
  <c r="N153" i="4"/>
  <c r="M153" i="4"/>
  <c r="L153" i="4"/>
  <c r="K153" i="4"/>
  <c r="J153" i="4"/>
  <c r="I153" i="4"/>
  <c r="H153" i="4"/>
  <c r="AF152" i="4"/>
  <c r="AE152" i="4"/>
  <c r="AD152" i="4"/>
  <c r="AC152" i="4"/>
  <c r="AB152" i="4"/>
  <c r="AA152" i="4"/>
  <c r="Z152" i="4"/>
  <c r="Y152" i="4"/>
  <c r="X152" i="4"/>
  <c r="W152" i="4"/>
  <c r="V152" i="4"/>
  <c r="U152" i="4"/>
  <c r="T152" i="4"/>
  <c r="S152" i="4"/>
  <c r="R152" i="4"/>
  <c r="Q152" i="4"/>
  <c r="P152" i="4"/>
  <c r="O152" i="4"/>
  <c r="N152" i="4"/>
  <c r="M152" i="4"/>
  <c r="L152" i="4"/>
  <c r="K152" i="4"/>
  <c r="J152" i="4"/>
  <c r="I152" i="4"/>
  <c r="H152" i="4"/>
  <c r="AF151" i="4"/>
  <c r="AE151" i="4"/>
  <c r="AD151" i="4"/>
  <c r="AC151" i="4"/>
  <c r="AB151" i="4"/>
  <c r="AA151" i="4"/>
  <c r="Z151" i="4"/>
  <c r="Y151" i="4"/>
  <c r="X151" i="4"/>
  <c r="W151" i="4"/>
  <c r="V151" i="4"/>
  <c r="U151" i="4"/>
  <c r="T151" i="4"/>
  <c r="S151" i="4"/>
  <c r="R151" i="4"/>
  <c r="Q151" i="4"/>
  <c r="P151" i="4"/>
  <c r="O151" i="4"/>
  <c r="N151" i="4"/>
  <c r="M151" i="4"/>
  <c r="L151" i="4"/>
  <c r="K151" i="4"/>
  <c r="J151" i="4"/>
  <c r="I151" i="4"/>
  <c r="H151" i="4"/>
  <c r="AF150" i="4"/>
  <c r="AE150" i="4"/>
  <c r="AD150" i="4"/>
  <c r="AC150" i="4"/>
  <c r="AB150" i="4"/>
  <c r="AA150" i="4"/>
  <c r="Z150" i="4"/>
  <c r="Y150" i="4"/>
  <c r="X150" i="4"/>
  <c r="W150" i="4"/>
  <c r="V150" i="4"/>
  <c r="U150" i="4"/>
  <c r="T150" i="4"/>
  <c r="S150" i="4"/>
  <c r="R150" i="4"/>
  <c r="Q150" i="4"/>
  <c r="P150" i="4"/>
  <c r="O150" i="4"/>
  <c r="N150" i="4"/>
  <c r="M150" i="4"/>
  <c r="L150" i="4"/>
  <c r="K150" i="4"/>
  <c r="J150" i="4"/>
  <c r="I150" i="4"/>
  <c r="H150" i="4"/>
  <c r="AF149" i="4"/>
  <c r="AE149" i="4"/>
  <c r="AD149" i="4"/>
  <c r="AC149" i="4"/>
  <c r="AB149" i="4"/>
  <c r="AA149" i="4"/>
  <c r="Z149" i="4"/>
  <c r="Y149" i="4"/>
  <c r="X149" i="4"/>
  <c r="W149" i="4"/>
  <c r="V149" i="4"/>
  <c r="U149" i="4"/>
  <c r="T149" i="4"/>
  <c r="S149" i="4"/>
  <c r="R149" i="4"/>
  <c r="Q149" i="4"/>
  <c r="P149" i="4"/>
  <c r="O149" i="4"/>
  <c r="N149" i="4"/>
  <c r="M149" i="4"/>
  <c r="L149" i="4"/>
  <c r="K149" i="4"/>
  <c r="J149" i="4"/>
  <c r="I149" i="4"/>
  <c r="H149" i="4"/>
  <c r="AF148" i="4"/>
  <c r="AE148" i="4"/>
  <c r="AD148" i="4"/>
  <c r="AC148" i="4"/>
  <c r="AB148" i="4"/>
  <c r="AA148" i="4"/>
  <c r="Z148" i="4"/>
  <c r="Y148" i="4"/>
  <c r="X148" i="4"/>
  <c r="W148" i="4"/>
  <c r="V148" i="4"/>
  <c r="U148" i="4"/>
  <c r="T148" i="4"/>
  <c r="S148" i="4"/>
  <c r="R148" i="4"/>
  <c r="Q148" i="4"/>
  <c r="P148" i="4"/>
  <c r="O148" i="4"/>
  <c r="N148" i="4"/>
  <c r="M148" i="4"/>
  <c r="L148" i="4"/>
  <c r="K148" i="4"/>
  <c r="J148" i="4"/>
  <c r="I148" i="4"/>
  <c r="H148" i="4"/>
  <c r="AF147" i="4"/>
  <c r="AE147" i="4"/>
  <c r="AD147" i="4"/>
  <c r="AC147" i="4"/>
  <c r="AB147" i="4"/>
  <c r="AA147" i="4"/>
  <c r="Z147" i="4"/>
  <c r="Y147" i="4"/>
  <c r="X147" i="4"/>
  <c r="W147" i="4"/>
  <c r="V147" i="4"/>
  <c r="U147" i="4"/>
  <c r="T147" i="4"/>
  <c r="S147" i="4"/>
  <c r="R147" i="4"/>
  <c r="Q147" i="4"/>
  <c r="P147" i="4"/>
  <c r="O147" i="4"/>
  <c r="N147" i="4"/>
  <c r="M147" i="4"/>
  <c r="L147" i="4"/>
  <c r="K147" i="4"/>
  <c r="J147" i="4"/>
  <c r="I147" i="4"/>
  <c r="H147" i="4"/>
  <c r="AF146" i="4"/>
  <c r="AE146" i="4"/>
  <c r="AD146" i="4"/>
  <c r="AC146" i="4"/>
  <c r="AB146" i="4"/>
  <c r="AA146" i="4"/>
  <c r="Z146" i="4"/>
  <c r="Y146" i="4"/>
  <c r="X146" i="4"/>
  <c r="W146" i="4"/>
  <c r="V146" i="4"/>
  <c r="U146" i="4"/>
  <c r="T146" i="4"/>
  <c r="S146" i="4"/>
  <c r="R146" i="4"/>
  <c r="Q146" i="4"/>
  <c r="P146" i="4"/>
  <c r="O146" i="4"/>
  <c r="N146" i="4"/>
  <c r="M146" i="4"/>
  <c r="L146" i="4"/>
  <c r="K146" i="4"/>
  <c r="J146" i="4"/>
  <c r="I146" i="4"/>
  <c r="H146" i="4"/>
  <c r="G146" i="4"/>
  <c r="AF145" i="4"/>
  <c r="AE145" i="4"/>
  <c r="AD145" i="4"/>
  <c r="AC145" i="4"/>
  <c r="AB145" i="4"/>
  <c r="AA145" i="4"/>
  <c r="Z145" i="4"/>
  <c r="Y145" i="4"/>
  <c r="X145" i="4"/>
  <c r="W145" i="4"/>
  <c r="V145" i="4"/>
  <c r="U145" i="4"/>
  <c r="T145" i="4"/>
  <c r="S145" i="4"/>
  <c r="R145" i="4"/>
  <c r="Q145" i="4"/>
  <c r="P145" i="4"/>
  <c r="O145" i="4"/>
  <c r="N145" i="4"/>
  <c r="M145" i="4"/>
  <c r="L145" i="4"/>
  <c r="K145" i="4"/>
  <c r="J145" i="4"/>
  <c r="I145" i="4"/>
  <c r="H145" i="4"/>
  <c r="G145" i="4"/>
  <c r="AF144" i="4"/>
  <c r="AE144" i="4"/>
  <c r="AD144" i="4"/>
  <c r="AC144" i="4"/>
  <c r="AB144" i="4"/>
  <c r="AA144" i="4"/>
  <c r="Z144" i="4"/>
  <c r="Y144" i="4"/>
  <c r="X144" i="4"/>
  <c r="W144" i="4"/>
  <c r="V144" i="4"/>
  <c r="U144" i="4"/>
  <c r="T144" i="4"/>
  <c r="S144" i="4"/>
  <c r="R144" i="4"/>
  <c r="Q144" i="4"/>
  <c r="P144" i="4"/>
  <c r="O144" i="4"/>
  <c r="N144" i="4"/>
  <c r="M144" i="4"/>
  <c r="L144" i="4"/>
  <c r="K144" i="4"/>
  <c r="J144" i="4"/>
  <c r="I144" i="4"/>
  <c r="H144" i="4"/>
  <c r="G144" i="4"/>
  <c r="AF143" i="4"/>
  <c r="AE143" i="4"/>
  <c r="AD143" i="4"/>
  <c r="AC143" i="4"/>
  <c r="AB143" i="4"/>
  <c r="AA143" i="4"/>
  <c r="Z143" i="4"/>
  <c r="Y143" i="4"/>
  <c r="X143" i="4"/>
  <c r="W143" i="4"/>
  <c r="V143" i="4"/>
  <c r="U143" i="4"/>
  <c r="T143" i="4"/>
  <c r="S143" i="4"/>
  <c r="R143" i="4"/>
  <c r="Q143" i="4"/>
  <c r="P143" i="4"/>
  <c r="O143" i="4"/>
  <c r="N143" i="4"/>
  <c r="M143" i="4"/>
  <c r="L143" i="4"/>
  <c r="K143" i="4"/>
  <c r="J143" i="4"/>
  <c r="I143" i="4"/>
  <c r="H143" i="4"/>
  <c r="G143" i="4"/>
  <c r="AF142" i="4"/>
  <c r="AE142" i="4"/>
  <c r="AD142" i="4"/>
  <c r="AC142" i="4"/>
  <c r="AB142" i="4"/>
  <c r="AA142" i="4"/>
  <c r="Z142" i="4"/>
  <c r="Y142" i="4"/>
  <c r="X142" i="4"/>
  <c r="W142" i="4"/>
  <c r="V142" i="4"/>
  <c r="U142" i="4"/>
  <c r="T142" i="4"/>
  <c r="S142" i="4"/>
  <c r="R142" i="4"/>
  <c r="Q142" i="4"/>
  <c r="P142" i="4"/>
  <c r="O142" i="4"/>
  <c r="N142" i="4"/>
  <c r="M142" i="4"/>
  <c r="L142" i="4"/>
  <c r="K142" i="4"/>
  <c r="J142" i="4"/>
  <c r="I142" i="4"/>
  <c r="H142" i="4"/>
  <c r="G142" i="4"/>
  <c r="AF141" i="4"/>
  <c r="AE141" i="4"/>
  <c r="AD141" i="4"/>
  <c r="AC141" i="4"/>
  <c r="AB141" i="4"/>
  <c r="AA141" i="4"/>
  <c r="Z141" i="4"/>
  <c r="Y141" i="4"/>
  <c r="X141" i="4"/>
  <c r="W141" i="4"/>
  <c r="V141" i="4"/>
  <c r="U141" i="4"/>
  <c r="T141" i="4"/>
  <c r="S141" i="4"/>
  <c r="R141" i="4"/>
  <c r="Q141" i="4"/>
  <c r="P141" i="4"/>
  <c r="O141" i="4"/>
  <c r="N141" i="4"/>
  <c r="M141" i="4"/>
  <c r="L141" i="4"/>
  <c r="K141" i="4"/>
  <c r="J141" i="4"/>
  <c r="I141" i="4"/>
  <c r="H141" i="4"/>
  <c r="G141" i="4"/>
  <c r="AF140" i="4"/>
  <c r="AE140" i="4"/>
  <c r="AD140" i="4"/>
  <c r="AC140" i="4"/>
  <c r="AB140" i="4"/>
  <c r="AA140" i="4"/>
  <c r="Z140" i="4"/>
  <c r="Y140" i="4"/>
  <c r="X140" i="4"/>
  <c r="W140" i="4"/>
  <c r="V140" i="4"/>
  <c r="U140" i="4"/>
  <c r="T140" i="4"/>
  <c r="S140" i="4"/>
  <c r="R140" i="4"/>
  <c r="Q140" i="4"/>
  <c r="P140" i="4"/>
  <c r="O140" i="4"/>
  <c r="N140" i="4"/>
  <c r="M140" i="4"/>
  <c r="L140" i="4"/>
  <c r="K140" i="4"/>
  <c r="J140" i="4"/>
  <c r="I140" i="4"/>
  <c r="H140" i="4"/>
  <c r="G140" i="4"/>
  <c r="AF139" i="4"/>
  <c r="AE139" i="4"/>
  <c r="AD139" i="4"/>
  <c r="AC139" i="4"/>
  <c r="AB139" i="4"/>
  <c r="AA139" i="4"/>
  <c r="Z139" i="4"/>
  <c r="Y139" i="4"/>
  <c r="X139" i="4"/>
  <c r="W139" i="4"/>
  <c r="V139" i="4"/>
  <c r="U139" i="4"/>
  <c r="T139" i="4"/>
  <c r="S139" i="4"/>
  <c r="R139" i="4"/>
  <c r="Q139" i="4"/>
  <c r="P139" i="4"/>
  <c r="O139" i="4"/>
  <c r="N139" i="4"/>
  <c r="M139" i="4"/>
  <c r="L139" i="4"/>
  <c r="K139" i="4"/>
  <c r="J139" i="4"/>
  <c r="I139" i="4"/>
  <c r="H139" i="4"/>
  <c r="G139" i="4"/>
  <c r="AF138" i="4"/>
  <c r="AE138" i="4"/>
  <c r="AD138" i="4"/>
  <c r="AC138" i="4"/>
  <c r="AB138" i="4"/>
  <c r="AA138" i="4"/>
  <c r="Z138" i="4"/>
  <c r="Y138" i="4"/>
  <c r="X138" i="4"/>
  <c r="W138" i="4"/>
  <c r="V138" i="4"/>
  <c r="U138" i="4"/>
  <c r="T138" i="4"/>
  <c r="S138" i="4"/>
  <c r="R138" i="4"/>
  <c r="Q138" i="4"/>
  <c r="P138" i="4"/>
  <c r="O138" i="4"/>
  <c r="N138" i="4"/>
  <c r="M138" i="4"/>
  <c r="L138" i="4"/>
  <c r="K138" i="4"/>
  <c r="J138" i="4"/>
  <c r="I138" i="4"/>
  <c r="H138" i="4"/>
  <c r="G138" i="4"/>
  <c r="AF137" i="4"/>
  <c r="AE137" i="4"/>
  <c r="AD137" i="4"/>
  <c r="AC137" i="4"/>
  <c r="AB137" i="4"/>
  <c r="AA137" i="4"/>
  <c r="Z137" i="4"/>
  <c r="Y137" i="4"/>
  <c r="X137" i="4"/>
  <c r="W137" i="4"/>
  <c r="V137" i="4"/>
  <c r="U137" i="4"/>
  <c r="T137" i="4"/>
  <c r="S137" i="4"/>
  <c r="R137" i="4"/>
  <c r="Q137" i="4"/>
  <c r="P137" i="4"/>
  <c r="O137" i="4"/>
  <c r="N137" i="4"/>
  <c r="M137" i="4"/>
  <c r="L137" i="4"/>
  <c r="K137" i="4"/>
  <c r="J137" i="4"/>
  <c r="I137" i="4"/>
  <c r="H137" i="4"/>
  <c r="G137" i="4"/>
  <c r="AF136" i="4"/>
  <c r="AE136" i="4"/>
  <c r="AD136" i="4"/>
  <c r="AC136" i="4"/>
  <c r="AB136" i="4"/>
  <c r="AA136" i="4"/>
  <c r="Z136" i="4"/>
  <c r="Y136" i="4"/>
  <c r="X136" i="4"/>
  <c r="W136" i="4"/>
  <c r="V136" i="4"/>
  <c r="U136" i="4"/>
  <c r="T136" i="4"/>
  <c r="S136" i="4"/>
  <c r="R136" i="4"/>
  <c r="Q136" i="4"/>
  <c r="P136" i="4"/>
  <c r="O136" i="4"/>
  <c r="N136" i="4"/>
  <c r="M136" i="4"/>
  <c r="L136" i="4"/>
  <c r="K136" i="4"/>
  <c r="J136" i="4"/>
  <c r="I136" i="4"/>
  <c r="H136" i="4"/>
  <c r="G136" i="4"/>
  <c r="AF135" i="4"/>
  <c r="AE135" i="4"/>
  <c r="AD135" i="4"/>
  <c r="AC135" i="4"/>
  <c r="AB135" i="4"/>
  <c r="AA135" i="4"/>
  <c r="Z135" i="4"/>
  <c r="Y135" i="4"/>
  <c r="X135" i="4"/>
  <c r="W135" i="4"/>
  <c r="V135" i="4"/>
  <c r="U135" i="4"/>
  <c r="T135" i="4"/>
  <c r="S135" i="4"/>
  <c r="R135" i="4"/>
  <c r="Q135" i="4"/>
  <c r="P135" i="4"/>
  <c r="O135" i="4"/>
  <c r="N135" i="4"/>
  <c r="M135" i="4"/>
  <c r="L135" i="4"/>
  <c r="K135" i="4"/>
  <c r="J135" i="4"/>
  <c r="I135" i="4"/>
  <c r="H135" i="4"/>
  <c r="G135" i="4"/>
  <c r="AF134" i="4"/>
  <c r="AE134" i="4"/>
  <c r="AD134" i="4"/>
  <c r="AC134" i="4"/>
  <c r="AB134" i="4"/>
  <c r="AA134" i="4"/>
  <c r="Z134" i="4"/>
  <c r="Y134" i="4"/>
  <c r="X134" i="4"/>
  <c r="W134" i="4"/>
  <c r="V134" i="4"/>
  <c r="U134" i="4"/>
  <c r="T134" i="4"/>
  <c r="S134" i="4"/>
  <c r="R134" i="4"/>
  <c r="Q134" i="4"/>
  <c r="P134" i="4"/>
  <c r="O134" i="4"/>
  <c r="N134" i="4"/>
  <c r="M134" i="4"/>
  <c r="L134" i="4"/>
  <c r="K134" i="4"/>
  <c r="J134" i="4"/>
  <c r="I134" i="4"/>
  <c r="H134" i="4"/>
  <c r="G134" i="4"/>
  <c r="AF133" i="4"/>
  <c r="AE133" i="4"/>
  <c r="AD133" i="4"/>
  <c r="AC133" i="4"/>
  <c r="AB133" i="4"/>
  <c r="AA133" i="4"/>
  <c r="Z133" i="4"/>
  <c r="Y133" i="4"/>
  <c r="X133" i="4"/>
  <c r="W133" i="4"/>
  <c r="V133" i="4"/>
  <c r="U133" i="4"/>
  <c r="T133" i="4"/>
  <c r="S133" i="4"/>
  <c r="R133" i="4"/>
  <c r="Q133" i="4"/>
  <c r="P133" i="4"/>
  <c r="O133" i="4"/>
  <c r="N133" i="4"/>
  <c r="M133" i="4"/>
  <c r="L133" i="4"/>
  <c r="K133" i="4"/>
  <c r="J133" i="4"/>
  <c r="I133" i="4"/>
  <c r="H133" i="4"/>
  <c r="G133" i="4"/>
  <c r="AF132" i="4"/>
  <c r="AE132" i="4"/>
  <c r="AD132" i="4"/>
  <c r="AC132" i="4"/>
  <c r="AB132" i="4"/>
  <c r="AA132" i="4"/>
  <c r="Z132" i="4"/>
  <c r="Y132" i="4"/>
  <c r="X132" i="4"/>
  <c r="W132" i="4"/>
  <c r="V132" i="4"/>
  <c r="U132" i="4"/>
  <c r="T132" i="4"/>
  <c r="S132" i="4"/>
  <c r="R132" i="4"/>
  <c r="Q132" i="4"/>
  <c r="P132" i="4"/>
  <c r="O132" i="4"/>
  <c r="N132" i="4"/>
  <c r="M132" i="4"/>
  <c r="L132" i="4"/>
  <c r="K132" i="4"/>
  <c r="J132" i="4"/>
  <c r="I132" i="4"/>
  <c r="H132" i="4"/>
  <c r="G132" i="4"/>
  <c r="AF131" i="4"/>
  <c r="AE131" i="4"/>
  <c r="AD131" i="4"/>
  <c r="AC131" i="4"/>
  <c r="AB131" i="4"/>
  <c r="AA131" i="4"/>
  <c r="Z131" i="4"/>
  <c r="Y131" i="4"/>
  <c r="X131" i="4"/>
  <c r="W131" i="4"/>
  <c r="V131" i="4"/>
  <c r="U131" i="4"/>
  <c r="T131" i="4"/>
  <c r="S131" i="4"/>
  <c r="R131" i="4"/>
  <c r="Q131" i="4"/>
  <c r="P131" i="4"/>
  <c r="O131" i="4"/>
  <c r="N131" i="4"/>
  <c r="M131" i="4"/>
  <c r="L131" i="4"/>
  <c r="K131" i="4"/>
  <c r="J131" i="4"/>
  <c r="I131" i="4"/>
  <c r="H131" i="4"/>
  <c r="G131" i="4"/>
  <c r="AF130" i="4"/>
  <c r="AE130" i="4"/>
  <c r="AD130" i="4"/>
  <c r="AC130" i="4"/>
  <c r="AB130" i="4"/>
  <c r="AA130" i="4"/>
  <c r="Z130" i="4"/>
  <c r="Y130" i="4"/>
  <c r="X130" i="4"/>
  <c r="W130" i="4"/>
  <c r="V130" i="4"/>
  <c r="U130" i="4"/>
  <c r="T130" i="4"/>
  <c r="S130" i="4"/>
  <c r="R130" i="4"/>
  <c r="Q130" i="4"/>
  <c r="P130" i="4"/>
  <c r="O130" i="4"/>
  <c r="N130" i="4"/>
  <c r="M130" i="4"/>
  <c r="L130" i="4"/>
  <c r="K130" i="4"/>
  <c r="J130" i="4"/>
  <c r="I130" i="4"/>
  <c r="H130" i="4"/>
  <c r="G130" i="4"/>
  <c r="AF129" i="4"/>
  <c r="AE129" i="4"/>
  <c r="AD129" i="4"/>
  <c r="AC129" i="4"/>
  <c r="AB129" i="4"/>
  <c r="AA129" i="4"/>
  <c r="Z129" i="4"/>
  <c r="Y129" i="4"/>
  <c r="X129" i="4"/>
  <c r="W129" i="4"/>
  <c r="V129" i="4"/>
  <c r="U129" i="4"/>
  <c r="T129" i="4"/>
  <c r="S129" i="4"/>
  <c r="R129" i="4"/>
  <c r="Q129" i="4"/>
  <c r="P129" i="4"/>
  <c r="O129" i="4"/>
  <c r="N129" i="4"/>
  <c r="M129" i="4"/>
  <c r="L129" i="4"/>
  <c r="K129" i="4"/>
  <c r="J129" i="4"/>
  <c r="I129" i="4"/>
  <c r="H129" i="4"/>
  <c r="G129" i="4"/>
  <c r="AF128" i="4"/>
  <c r="AE128" i="4"/>
  <c r="AD128" i="4"/>
  <c r="AC128" i="4"/>
  <c r="AB128" i="4"/>
  <c r="AA128" i="4"/>
  <c r="Z128" i="4"/>
  <c r="Y128" i="4"/>
  <c r="X128" i="4"/>
  <c r="W128" i="4"/>
  <c r="V128" i="4"/>
  <c r="U128" i="4"/>
  <c r="T128" i="4"/>
  <c r="S128" i="4"/>
  <c r="R128" i="4"/>
  <c r="Q128" i="4"/>
  <c r="P128" i="4"/>
  <c r="O128" i="4"/>
  <c r="N128" i="4"/>
  <c r="M128" i="4"/>
  <c r="L128" i="4"/>
  <c r="K128" i="4"/>
  <c r="J128" i="4"/>
  <c r="I128" i="4"/>
  <c r="H128" i="4"/>
  <c r="G128" i="4"/>
  <c r="AF127" i="4"/>
  <c r="AE127" i="4"/>
  <c r="AD127" i="4"/>
  <c r="AC127" i="4"/>
  <c r="AB127" i="4"/>
  <c r="AA127" i="4"/>
  <c r="Z127" i="4"/>
  <c r="Y127" i="4"/>
  <c r="X127" i="4"/>
  <c r="W127" i="4"/>
  <c r="V127" i="4"/>
  <c r="U127" i="4"/>
  <c r="T127" i="4"/>
  <c r="S127" i="4"/>
  <c r="R127" i="4"/>
  <c r="Q127" i="4"/>
  <c r="P127" i="4"/>
  <c r="O127" i="4"/>
  <c r="N127" i="4"/>
  <c r="M127" i="4"/>
  <c r="L127" i="4"/>
  <c r="K127" i="4"/>
  <c r="J127" i="4"/>
  <c r="I127" i="4"/>
  <c r="H127" i="4"/>
  <c r="G127" i="4"/>
  <c r="AF126" i="4"/>
  <c r="AE126" i="4"/>
  <c r="AD126" i="4"/>
  <c r="AC126" i="4"/>
  <c r="AB126" i="4"/>
  <c r="AA126" i="4"/>
  <c r="Z126" i="4"/>
  <c r="Y126" i="4"/>
  <c r="X126" i="4"/>
  <c r="W126" i="4"/>
  <c r="V126" i="4"/>
  <c r="U126" i="4"/>
  <c r="T126" i="4"/>
  <c r="S126" i="4"/>
  <c r="R126" i="4"/>
  <c r="Q126" i="4"/>
  <c r="P126" i="4"/>
  <c r="O126" i="4"/>
  <c r="N126" i="4"/>
  <c r="M126" i="4"/>
  <c r="L126" i="4"/>
  <c r="K126" i="4"/>
  <c r="J126" i="4"/>
  <c r="I126" i="4"/>
  <c r="H126" i="4"/>
  <c r="G126" i="4"/>
  <c r="AF125" i="4"/>
  <c r="AE125" i="4"/>
  <c r="AD125" i="4"/>
  <c r="AC125" i="4"/>
  <c r="AB125" i="4"/>
  <c r="AA125" i="4"/>
  <c r="Z125" i="4"/>
  <c r="Y125" i="4"/>
  <c r="X125" i="4"/>
  <c r="W125" i="4"/>
  <c r="V125" i="4"/>
  <c r="U125" i="4"/>
  <c r="T125" i="4"/>
  <c r="S125" i="4"/>
  <c r="R125" i="4"/>
  <c r="Q125" i="4"/>
  <c r="P125" i="4"/>
  <c r="O125" i="4"/>
  <c r="N125" i="4"/>
  <c r="M125" i="4"/>
  <c r="L125" i="4"/>
  <c r="K125" i="4"/>
  <c r="J125" i="4"/>
  <c r="I125" i="4"/>
  <c r="H125" i="4"/>
  <c r="G125" i="4"/>
  <c r="AF124" i="4"/>
  <c r="AE124" i="4"/>
  <c r="AD124" i="4"/>
  <c r="AC124" i="4"/>
  <c r="AB124" i="4"/>
  <c r="AA124" i="4"/>
  <c r="Z124" i="4"/>
  <c r="Y124" i="4"/>
  <c r="X124" i="4"/>
  <c r="W124" i="4"/>
  <c r="V124" i="4"/>
  <c r="U124" i="4"/>
  <c r="T124" i="4"/>
  <c r="S124" i="4"/>
  <c r="R124" i="4"/>
  <c r="Q124" i="4"/>
  <c r="P124" i="4"/>
  <c r="O124" i="4"/>
  <c r="N124" i="4"/>
  <c r="M124" i="4"/>
  <c r="L124" i="4"/>
  <c r="K124" i="4"/>
  <c r="J124" i="4"/>
  <c r="I124" i="4"/>
  <c r="H124" i="4"/>
  <c r="G124" i="4"/>
  <c r="AF123" i="4"/>
  <c r="AE123" i="4"/>
  <c r="AD123" i="4"/>
  <c r="AC123" i="4"/>
  <c r="AB123" i="4"/>
  <c r="AA123" i="4"/>
  <c r="Z123" i="4"/>
  <c r="Y123" i="4"/>
  <c r="X123" i="4"/>
  <c r="W123" i="4"/>
  <c r="V123" i="4"/>
  <c r="U123" i="4"/>
  <c r="T123" i="4"/>
  <c r="S123" i="4"/>
  <c r="R123" i="4"/>
  <c r="Q123" i="4"/>
  <c r="P123" i="4"/>
  <c r="O123" i="4"/>
  <c r="N123" i="4"/>
  <c r="M123" i="4"/>
  <c r="L123" i="4"/>
  <c r="K123" i="4"/>
  <c r="J123" i="4"/>
  <c r="I123" i="4"/>
  <c r="H123" i="4"/>
  <c r="G123" i="4"/>
  <c r="AF122" i="4"/>
  <c r="AE122" i="4"/>
  <c r="AD122" i="4"/>
  <c r="AC122" i="4"/>
  <c r="AB122" i="4"/>
  <c r="AA122" i="4"/>
  <c r="Z122" i="4"/>
  <c r="Y122" i="4"/>
  <c r="X122" i="4"/>
  <c r="W122" i="4"/>
  <c r="V122" i="4"/>
  <c r="U122" i="4"/>
  <c r="T122" i="4"/>
  <c r="S122" i="4"/>
  <c r="R122" i="4"/>
  <c r="Q122" i="4"/>
  <c r="P122" i="4"/>
  <c r="O122" i="4"/>
  <c r="N122" i="4"/>
  <c r="M122" i="4"/>
  <c r="L122" i="4"/>
  <c r="K122" i="4"/>
  <c r="J122" i="4"/>
  <c r="I122" i="4"/>
  <c r="H122" i="4"/>
  <c r="G122" i="4"/>
  <c r="AF121" i="4"/>
  <c r="AE121" i="4"/>
  <c r="AD121" i="4"/>
  <c r="AC121" i="4"/>
  <c r="AB121" i="4"/>
  <c r="AA121" i="4"/>
  <c r="Z121" i="4"/>
  <c r="Y121" i="4"/>
  <c r="X121" i="4"/>
  <c r="W121" i="4"/>
  <c r="V121" i="4"/>
  <c r="U121" i="4"/>
  <c r="T121" i="4"/>
  <c r="S121" i="4"/>
  <c r="R121" i="4"/>
  <c r="Q121" i="4"/>
  <c r="P121" i="4"/>
  <c r="O121" i="4"/>
  <c r="N121" i="4"/>
  <c r="M121" i="4"/>
  <c r="L121" i="4"/>
  <c r="K121" i="4"/>
  <c r="J121" i="4"/>
  <c r="I121" i="4"/>
  <c r="H121" i="4"/>
  <c r="G121" i="4"/>
  <c r="AF120" i="4"/>
  <c r="AE120" i="4"/>
  <c r="AD120" i="4"/>
  <c r="AC120" i="4"/>
  <c r="AB120" i="4"/>
  <c r="AA120" i="4"/>
  <c r="Z120" i="4"/>
  <c r="Y120" i="4"/>
  <c r="X120" i="4"/>
  <c r="W120" i="4"/>
  <c r="V120" i="4"/>
  <c r="U120" i="4"/>
  <c r="T120" i="4"/>
  <c r="S120" i="4"/>
  <c r="R120" i="4"/>
  <c r="Q120" i="4"/>
  <c r="P120" i="4"/>
  <c r="O120" i="4"/>
  <c r="N120" i="4"/>
  <c r="M120" i="4"/>
  <c r="L120" i="4"/>
  <c r="K120" i="4"/>
  <c r="J120" i="4"/>
  <c r="I120" i="4"/>
  <c r="H120" i="4"/>
  <c r="G120" i="4"/>
  <c r="AF119" i="4"/>
  <c r="AE119" i="4"/>
  <c r="AD119" i="4"/>
  <c r="AC119" i="4"/>
  <c r="AB119" i="4"/>
  <c r="AA119" i="4"/>
  <c r="Z119" i="4"/>
  <c r="Y119" i="4"/>
  <c r="X119" i="4"/>
  <c r="W119" i="4"/>
  <c r="V119" i="4"/>
  <c r="U119" i="4"/>
  <c r="T119" i="4"/>
  <c r="S119" i="4"/>
  <c r="R119" i="4"/>
  <c r="Q119" i="4"/>
  <c r="P119" i="4"/>
  <c r="O119" i="4"/>
  <c r="N119" i="4"/>
  <c r="M119" i="4"/>
  <c r="L119" i="4"/>
  <c r="K119" i="4"/>
  <c r="J119" i="4"/>
  <c r="I119" i="4"/>
  <c r="H119" i="4"/>
  <c r="G119" i="4"/>
  <c r="AF118" i="4"/>
  <c r="AE118" i="4"/>
  <c r="AD118" i="4"/>
  <c r="AC118" i="4"/>
  <c r="AB118" i="4"/>
  <c r="AA118" i="4"/>
  <c r="Z118" i="4"/>
  <c r="Y118" i="4"/>
  <c r="X118" i="4"/>
  <c r="W118" i="4"/>
  <c r="V118" i="4"/>
  <c r="U118" i="4"/>
  <c r="T118" i="4"/>
  <c r="S118" i="4"/>
  <c r="R118" i="4"/>
  <c r="Q118" i="4"/>
  <c r="P118" i="4"/>
  <c r="O118" i="4"/>
  <c r="N118" i="4"/>
  <c r="M118" i="4"/>
  <c r="L118" i="4"/>
  <c r="K118" i="4"/>
  <c r="J118" i="4"/>
  <c r="I118" i="4"/>
  <c r="H118" i="4"/>
  <c r="G118" i="4"/>
  <c r="AF117" i="4"/>
  <c r="AE117" i="4"/>
  <c r="AD117" i="4"/>
  <c r="AC117" i="4"/>
  <c r="AB117" i="4"/>
  <c r="AA117" i="4"/>
  <c r="Z117" i="4"/>
  <c r="Y117" i="4"/>
  <c r="X117" i="4"/>
  <c r="W117" i="4"/>
  <c r="V117" i="4"/>
  <c r="U117" i="4"/>
  <c r="T117" i="4"/>
  <c r="S117" i="4"/>
  <c r="R117" i="4"/>
  <c r="Q117" i="4"/>
  <c r="P117" i="4"/>
  <c r="O117" i="4"/>
  <c r="N117" i="4"/>
  <c r="M117" i="4"/>
  <c r="L117" i="4"/>
  <c r="K117" i="4"/>
  <c r="J117" i="4"/>
  <c r="I117" i="4"/>
  <c r="H117" i="4"/>
  <c r="G117" i="4"/>
  <c r="AF116" i="4"/>
  <c r="AE116" i="4"/>
  <c r="AD116" i="4"/>
  <c r="AC116" i="4"/>
  <c r="AB116" i="4"/>
  <c r="AA116" i="4"/>
  <c r="Z116" i="4"/>
  <c r="Y116" i="4"/>
  <c r="X116" i="4"/>
  <c r="W116" i="4"/>
  <c r="V116" i="4"/>
  <c r="U116" i="4"/>
  <c r="T116" i="4"/>
  <c r="S116" i="4"/>
  <c r="R116" i="4"/>
  <c r="Q116" i="4"/>
  <c r="P116" i="4"/>
  <c r="O116" i="4"/>
  <c r="N116" i="4"/>
  <c r="M116" i="4"/>
  <c r="L116" i="4"/>
  <c r="K116" i="4"/>
  <c r="J116" i="4"/>
  <c r="I116" i="4"/>
  <c r="H116" i="4"/>
  <c r="G116" i="4"/>
  <c r="AF115" i="4"/>
  <c r="AE115" i="4"/>
  <c r="AD115" i="4"/>
  <c r="AC115" i="4"/>
  <c r="AB115" i="4"/>
  <c r="AA115" i="4"/>
  <c r="Z115" i="4"/>
  <c r="Y115" i="4"/>
  <c r="X115" i="4"/>
  <c r="W115" i="4"/>
  <c r="V115" i="4"/>
  <c r="U115" i="4"/>
  <c r="T115" i="4"/>
  <c r="S115" i="4"/>
  <c r="R115" i="4"/>
  <c r="Q115" i="4"/>
  <c r="P115" i="4"/>
  <c r="O115" i="4"/>
  <c r="N115" i="4"/>
  <c r="M115" i="4"/>
  <c r="L115" i="4"/>
  <c r="K115" i="4"/>
  <c r="J115" i="4"/>
  <c r="I115" i="4"/>
  <c r="H115" i="4"/>
  <c r="G115" i="4"/>
  <c r="AF114" i="4"/>
  <c r="AE114" i="4"/>
  <c r="AD114" i="4"/>
  <c r="AC114" i="4"/>
  <c r="AB114" i="4"/>
  <c r="AA114" i="4"/>
  <c r="Z114" i="4"/>
  <c r="Y114" i="4"/>
  <c r="X114" i="4"/>
  <c r="W114" i="4"/>
  <c r="V114" i="4"/>
  <c r="U114" i="4"/>
  <c r="T114" i="4"/>
  <c r="S114" i="4"/>
  <c r="R114" i="4"/>
  <c r="Q114" i="4"/>
  <c r="P114" i="4"/>
  <c r="O114" i="4"/>
  <c r="N114" i="4"/>
  <c r="M114" i="4"/>
  <c r="L114" i="4"/>
  <c r="K114" i="4"/>
  <c r="J114" i="4"/>
  <c r="I114" i="4"/>
  <c r="H114" i="4"/>
  <c r="G114" i="4"/>
  <c r="AF113" i="4"/>
  <c r="AE113" i="4"/>
  <c r="AD113" i="4"/>
  <c r="AC113" i="4"/>
  <c r="AB113" i="4"/>
  <c r="AA113" i="4"/>
  <c r="Z113" i="4"/>
  <c r="Y113" i="4"/>
  <c r="X113" i="4"/>
  <c r="W113" i="4"/>
  <c r="V113" i="4"/>
  <c r="U113" i="4"/>
  <c r="T113" i="4"/>
  <c r="S113" i="4"/>
  <c r="R113" i="4"/>
  <c r="Q113" i="4"/>
  <c r="P113" i="4"/>
  <c r="O113" i="4"/>
  <c r="N113" i="4"/>
  <c r="M113" i="4"/>
  <c r="L113" i="4"/>
  <c r="K113" i="4"/>
  <c r="J113" i="4"/>
  <c r="I113" i="4"/>
  <c r="H113" i="4"/>
  <c r="G113" i="4"/>
  <c r="AF112" i="4"/>
  <c r="AE112" i="4"/>
  <c r="AD112" i="4"/>
  <c r="AC112" i="4"/>
  <c r="AB112" i="4"/>
  <c r="AA112" i="4"/>
  <c r="Z112" i="4"/>
  <c r="Y112" i="4"/>
  <c r="X112" i="4"/>
  <c r="W112" i="4"/>
  <c r="V112" i="4"/>
  <c r="U112" i="4"/>
  <c r="T112" i="4"/>
  <c r="S112" i="4"/>
  <c r="R112" i="4"/>
  <c r="Q112" i="4"/>
  <c r="P112" i="4"/>
  <c r="O112" i="4"/>
  <c r="N112" i="4"/>
  <c r="M112" i="4"/>
  <c r="L112" i="4"/>
  <c r="K112" i="4"/>
  <c r="J112" i="4"/>
  <c r="I112" i="4"/>
  <c r="H112" i="4"/>
  <c r="G112" i="4"/>
  <c r="AF111" i="4"/>
  <c r="AE111" i="4"/>
  <c r="AD111" i="4"/>
  <c r="AC111" i="4"/>
  <c r="AB111" i="4"/>
  <c r="AA111" i="4"/>
  <c r="Z111" i="4"/>
  <c r="Y111" i="4"/>
  <c r="X111" i="4"/>
  <c r="W111" i="4"/>
  <c r="V111" i="4"/>
  <c r="U111" i="4"/>
  <c r="T111" i="4"/>
  <c r="S111" i="4"/>
  <c r="R111" i="4"/>
  <c r="Q111" i="4"/>
  <c r="P111" i="4"/>
  <c r="O111" i="4"/>
  <c r="N111" i="4"/>
  <c r="M111" i="4"/>
  <c r="L111" i="4"/>
  <c r="K111" i="4"/>
  <c r="J111" i="4"/>
  <c r="I111" i="4"/>
  <c r="H111" i="4"/>
  <c r="G111" i="4"/>
  <c r="AF110" i="4"/>
  <c r="AE110" i="4"/>
  <c r="AD110" i="4"/>
  <c r="AC110" i="4"/>
  <c r="AB110" i="4"/>
  <c r="AA110" i="4"/>
  <c r="Z110" i="4"/>
  <c r="Y110" i="4"/>
  <c r="X110" i="4"/>
  <c r="W110" i="4"/>
  <c r="V110" i="4"/>
  <c r="U110" i="4"/>
  <c r="T110" i="4"/>
  <c r="S110" i="4"/>
  <c r="R110" i="4"/>
  <c r="Q110" i="4"/>
  <c r="P110" i="4"/>
  <c r="O110" i="4"/>
  <c r="N110" i="4"/>
  <c r="M110" i="4"/>
  <c r="L110" i="4"/>
  <c r="K110" i="4"/>
  <c r="J110" i="4"/>
  <c r="I110" i="4"/>
  <c r="H110" i="4"/>
  <c r="G110" i="4"/>
  <c r="AF109" i="4"/>
  <c r="AE109" i="4"/>
  <c r="AD109" i="4"/>
  <c r="AC109" i="4"/>
  <c r="AB109" i="4"/>
  <c r="AA109" i="4"/>
  <c r="Z109" i="4"/>
  <c r="Y109" i="4"/>
  <c r="X109" i="4"/>
  <c r="W109" i="4"/>
  <c r="V109" i="4"/>
  <c r="U109" i="4"/>
  <c r="T109" i="4"/>
  <c r="S109" i="4"/>
  <c r="R109" i="4"/>
  <c r="Q109" i="4"/>
  <c r="P109" i="4"/>
  <c r="O109" i="4"/>
  <c r="N109" i="4"/>
  <c r="M109" i="4"/>
  <c r="L109" i="4"/>
  <c r="K109" i="4"/>
  <c r="J109" i="4"/>
  <c r="I109" i="4"/>
  <c r="H109" i="4"/>
  <c r="G109" i="4"/>
  <c r="AF108" i="4"/>
  <c r="AE108" i="4"/>
  <c r="AD108" i="4"/>
  <c r="AC108" i="4"/>
  <c r="AB108" i="4"/>
  <c r="AA108" i="4"/>
  <c r="Z108" i="4"/>
  <c r="Y108" i="4"/>
  <c r="X108" i="4"/>
  <c r="W108" i="4"/>
  <c r="V108" i="4"/>
  <c r="U108" i="4"/>
  <c r="T108" i="4"/>
  <c r="S108" i="4"/>
  <c r="R108" i="4"/>
  <c r="Q108" i="4"/>
  <c r="P108" i="4"/>
  <c r="O108" i="4"/>
  <c r="N108" i="4"/>
  <c r="M108" i="4"/>
  <c r="L108" i="4"/>
  <c r="K108" i="4"/>
  <c r="J108" i="4"/>
  <c r="I108" i="4"/>
  <c r="H108" i="4"/>
  <c r="G108" i="4"/>
  <c r="AF107" i="4"/>
  <c r="AE107" i="4"/>
  <c r="AD107" i="4"/>
  <c r="AC107" i="4"/>
  <c r="AB107" i="4"/>
  <c r="AA107" i="4"/>
  <c r="Z107" i="4"/>
  <c r="Y107" i="4"/>
  <c r="X107" i="4"/>
  <c r="W107" i="4"/>
  <c r="V107" i="4"/>
  <c r="U107" i="4"/>
  <c r="T107" i="4"/>
  <c r="S107" i="4"/>
  <c r="R107" i="4"/>
  <c r="Q107" i="4"/>
  <c r="P107" i="4"/>
  <c r="O107" i="4"/>
  <c r="N107" i="4"/>
  <c r="M107" i="4"/>
  <c r="L107" i="4"/>
  <c r="K107" i="4"/>
  <c r="J107" i="4"/>
  <c r="I107" i="4"/>
  <c r="H107" i="4"/>
  <c r="G107" i="4"/>
  <c r="AF106" i="4"/>
  <c r="AE106" i="4"/>
  <c r="AD106" i="4"/>
  <c r="AC106" i="4"/>
  <c r="AB106" i="4"/>
  <c r="AA106" i="4"/>
  <c r="Z106" i="4"/>
  <c r="Y106" i="4"/>
  <c r="X106" i="4"/>
  <c r="W106" i="4"/>
  <c r="V106" i="4"/>
  <c r="U106" i="4"/>
  <c r="T106" i="4"/>
  <c r="S106" i="4"/>
  <c r="R106" i="4"/>
  <c r="Q106" i="4"/>
  <c r="P106" i="4"/>
  <c r="O106" i="4"/>
  <c r="N106" i="4"/>
  <c r="M106" i="4"/>
  <c r="L106" i="4"/>
  <c r="K106" i="4"/>
  <c r="J106" i="4"/>
  <c r="I106" i="4"/>
  <c r="H106" i="4"/>
  <c r="G106" i="4"/>
  <c r="AF105" i="4"/>
  <c r="AE105" i="4"/>
  <c r="AD105" i="4"/>
  <c r="AC105" i="4"/>
  <c r="AB105" i="4"/>
  <c r="AA105" i="4"/>
  <c r="Z105" i="4"/>
  <c r="Y105" i="4"/>
  <c r="X105" i="4"/>
  <c r="W105" i="4"/>
  <c r="V105" i="4"/>
  <c r="U105" i="4"/>
  <c r="T105" i="4"/>
  <c r="S105" i="4"/>
  <c r="R105" i="4"/>
  <c r="Q105" i="4"/>
  <c r="P105" i="4"/>
  <c r="O105" i="4"/>
  <c r="N105" i="4"/>
  <c r="M105" i="4"/>
  <c r="L105" i="4"/>
  <c r="K105" i="4"/>
  <c r="J105" i="4"/>
  <c r="I105" i="4"/>
  <c r="H105" i="4"/>
  <c r="G105" i="4"/>
  <c r="AF104" i="4"/>
  <c r="AE104" i="4"/>
  <c r="AD104" i="4"/>
  <c r="AC104" i="4"/>
  <c r="AB104" i="4"/>
  <c r="AA104" i="4"/>
  <c r="Z104" i="4"/>
  <c r="Y104" i="4"/>
  <c r="X104" i="4"/>
  <c r="W104" i="4"/>
  <c r="V104" i="4"/>
  <c r="U104" i="4"/>
  <c r="T104" i="4"/>
  <c r="S104" i="4"/>
  <c r="R104" i="4"/>
  <c r="Q104" i="4"/>
  <c r="P104" i="4"/>
  <c r="O104" i="4"/>
  <c r="N104" i="4"/>
  <c r="M104" i="4"/>
  <c r="L104" i="4"/>
  <c r="K104" i="4"/>
  <c r="J104" i="4"/>
  <c r="I104" i="4"/>
  <c r="H104" i="4"/>
  <c r="G104" i="4"/>
  <c r="AF103" i="4"/>
  <c r="AE103" i="4"/>
  <c r="AD103" i="4"/>
  <c r="AC103" i="4"/>
  <c r="AB103" i="4"/>
  <c r="AA103" i="4"/>
  <c r="Z103" i="4"/>
  <c r="Y103" i="4"/>
  <c r="X103" i="4"/>
  <c r="W103" i="4"/>
  <c r="V103" i="4"/>
  <c r="U103" i="4"/>
  <c r="T103" i="4"/>
  <c r="S103" i="4"/>
  <c r="R103" i="4"/>
  <c r="Q103" i="4"/>
  <c r="P103" i="4"/>
  <c r="O103" i="4"/>
  <c r="N103" i="4"/>
  <c r="M103" i="4"/>
  <c r="L103" i="4"/>
  <c r="K103" i="4"/>
  <c r="J103" i="4"/>
  <c r="I103" i="4"/>
  <c r="H103" i="4"/>
  <c r="G103" i="4"/>
  <c r="AF102" i="4"/>
  <c r="AE102" i="4"/>
  <c r="AD102" i="4"/>
  <c r="AC102" i="4"/>
  <c r="AB102" i="4"/>
  <c r="AA102" i="4"/>
  <c r="Z102" i="4"/>
  <c r="Y102" i="4"/>
  <c r="X102" i="4"/>
  <c r="W102" i="4"/>
  <c r="V102" i="4"/>
  <c r="U102" i="4"/>
  <c r="T102" i="4"/>
  <c r="S102" i="4"/>
  <c r="R102" i="4"/>
  <c r="Q102" i="4"/>
  <c r="P102" i="4"/>
  <c r="O102" i="4"/>
  <c r="N102" i="4"/>
  <c r="M102" i="4"/>
  <c r="L102" i="4"/>
  <c r="K102" i="4"/>
  <c r="J102" i="4"/>
  <c r="I102" i="4"/>
  <c r="H102" i="4"/>
  <c r="G102" i="4"/>
  <c r="AF101" i="4"/>
  <c r="AE101" i="4"/>
  <c r="AD101" i="4"/>
  <c r="AC101" i="4"/>
  <c r="AB101" i="4"/>
  <c r="AA101" i="4"/>
  <c r="Z101" i="4"/>
  <c r="Y101" i="4"/>
  <c r="X101" i="4"/>
  <c r="W101" i="4"/>
  <c r="V101" i="4"/>
  <c r="U101" i="4"/>
  <c r="T101" i="4"/>
  <c r="S101" i="4"/>
  <c r="R101" i="4"/>
  <c r="Q101" i="4"/>
  <c r="P101" i="4"/>
  <c r="O101" i="4"/>
  <c r="N101" i="4"/>
  <c r="M101" i="4"/>
  <c r="L101" i="4"/>
  <c r="K101" i="4"/>
  <c r="J101" i="4"/>
  <c r="I101" i="4"/>
  <c r="H101" i="4"/>
  <c r="G101" i="4"/>
  <c r="AF100" i="4"/>
  <c r="AE100" i="4"/>
  <c r="AD100" i="4"/>
  <c r="AC100" i="4"/>
  <c r="AB100" i="4"/>
  <c r="AA100" i="4"/>
  <c r="Z100" i="4"/>
  <c r="Y100" i="4"/>
  <c r="X100" i="4"/>
  <c r="W100" i="4"/>
  <c r="V100" i="4"/>
  <c r="U100" i="4"/>
  <c r="T100" i="4"/>
  <c r="S100" i="4"/>
  <c r="R100" i="4"/>
  <c r="Q100" i="4"/>
  <c r="P100" i="4"/>
  <c r="O100" i="4"/>
  <c r="N100" i="4"/>
  <c r="M100" i="4"/>
  <c r="L100" i="4"/>
  <c r="K100" i="4"/>
  <c r="J100" i="4"/>
  <c r="I100" i="4"/>
  <c r="H100" i="4"/>
  <c r="G100" i="4"/>
  <c r="AF99" i="4"/>
  <c r="AE99" i="4"/>
  <c r="AD99" i="4"/>
  <c r="AC99" i="4"/>
  <c r="AB99" i="4"/>
  <c r="AA99" i="4"/>
  <c r="Z99" i="4"/>
  <c r="Y99" i="4"/>
  <c r="X99" i="4"/>
  <c r="W99" i="4"/>
  <c r="V99" i="4"/>
  <c r="U99" i="4"/>
  <c r="T99" i="4"/>
  <c r="S99" i="4"/>
  <c r="R99" i="4"/>
  <c r="Q99" i="4"/>
  <c r="P99" i="4"/>
  <c r="O99" i="4"/>
  <c r="N99" i="4"/>
  <c r="M99" i="4"/>
  <c r="L99" i="4"/>
  <c r="K99" i="4"/>
  <c r="J99" i="4"/>
  <c r="I99" i="4"/>
  <c r="H99" i="4"/>
  <c r="G99" i="4"/>
  <c r="AF98" i="4"/>
  <c r="AE98" i="4"/>
  <c r="AD98" i="4"/>
  <c r="AC98" i="4"/>
  <c r="AB98" i="4"/>
  <c r="AA98" i="4"/>
  <c r="Z98" i="4"/>
  <c r="Y98" i="4"/>
  <c r="X98" i="4"/>
  <c r="W98" i="4"/>
  <c r="V98" i="4"/>
  <c r="U98" i="4"/>
  <c r="T98" i="4"/>
  <c r="S98" i="4"/>
  <c r="R98" i="4"/>
  <c r="Q98" i="4"/>
  <c r="P98" i="4"/>
  <c r="O98" i="4"/>
  <c r="N98" i="4"/>
  <c r="M98" i="4"/>
  <c r="L98" i="4"/>
  <c r="K98" i="4"/>
  <c r="J98" i="4"/>
  <c r="I98" i="4"/>
  <c r="H98" i="4"/>
  <c r="G98" i="4"/>
  <c r="AF97" i="4"/>
  <c r="AE97" i="4"/>
  <c r="AD97" i="4"/>
  <c r="AC97" i="4"/>
  <c r="AB97" i="4"/>
  <c r="AA97" i="4"/>
  <c r="Z97" i="4"/>
  <c r="Y97" i="4"/>
  <c r="X97" i="4"/>
  <c r="W97" i="4"/>
  <c r="V97" i="4"/>
  <c r="U97" i="4"/>
  <c r="T97" i="4"/>
  <c r="S97" i="4"/>
  <c r="R97" i="4"/>
  <c r="Q97" i="4"/>
  <c r="P97" i="4"/>
  <c r="O97" i="4"/>
  <c r="N97" i="4"/>
  <c r="M97" i="4"/>
  <c r="L97" i="4"/>
  <c r="K97" i="4"/>
  <c r="J97" i="4"/>
  <c r="I97" i="4"/>
  <c r="H97" i="4"/>
  <c r="G97" i="4"/>
  <c r="AF96" i="4"/>
  <c r="AE96" i="4"/>
  <c r="AD96" i="4"/>
  <c r="AC96" i="4"/>
  <c r="AB96" i="4"/>
  <c r="AA96" i="4"/>
  <c r="Z96" i="4"/>
  <c r="Y96" i="4"/>
  <c r="X96" i="4"/>
  <c r="W96" i="4"/>
  <c r="V96" i="4"/>
  <c r="U96" i="4"/>
  <c r="T96" i="4"/>
  <c r="S96" i="4"/>
  <c r="R96" i="4"/>
  <c r="Q96" i="4"/>
  <c r="P96" i="4"/>
  <c r="O96" i="4"/>
  <c r="N96" i="4"/>
  <c r="M96" i="4"/>
  <c r="L96" i="4"/>
  <c r="K96" i="4"/>
  <c r="J96" i="4"/>
  <c r="I96" i="4"/>
  <c r="H96" i="4"/>
  <c r="G96" i="4"/>
  <c r="AF95" i="4"/>
  <c r="AE95" i="4"/>
  <c r="AD95" i="4"/>
  <c r="AC95" i="4"/>
  <c r="AB95" i="4"/>
  <c r="AA95" i="4"/>
  <c r="Z95" i="4"/>
  <c r="Y95" i="4"/>
  <c r="X95" i="4"/>
  <c r="W95" i="4"/>
  <c r="V95" i="4"/>
  <c r="U95" i="4"/>
  <c r="T95" i="4"/>
  <c r="S95" i="4"/>
  <c r="R95" i="4"/>
  <c r="Q95" i="4"/>
  <c r="P95" i="4"/>
  <c r="O95" i="4"/>
  <c r="N95" i="4"/>
  <c r="M95" i="4"/>
  <c r="L95" i="4"/>
  <c r="K95" i="4"/>
  <c r="J95" i="4"/>
  <c r="I95" i="4"/>
  <c r="H95" i="4"/>
  <c r="G95" i="4"/>
  <c r="AF94" i="4"/>
  <c r="AE94" i="4"/>
  <c r="AD94" i="4"/>
  <c r="AC94" i="4"/>
  <c r="AB94" i="4"/>
  <c r="AA94" i="4"/>
  <c r="Z94" i="4"/>
  <c r="Y94" i="4"/>
  <c r="X94" i="4"/>
  <c r="W94" i="4"/>
  <c r="V94" i="4"/>
  <c r="U94" i="4"/>
  <c r="T94" i="4"/>
  <c r="S94" i="4"/>
  <c r="R94" i="4"/>
  <c r="Q94" i="4"/>
  <c r="P94" i="4"/>
  <c r="O94" i="4"/>
  <c r="N94" i="4"/>
  <c r="M94" i="4"/>
  <c r="L94" i="4"/>
  <c r="K94" i="4"/>
  <c r="J94" i="4"/>
  <c r="I94" i="4"/>
  <c r="H94" i="4"/>
  <c r="G94" i="4"/>
  <c r="AF93" i="4"/>
  <c r="AE93" i="4"/>
  <c r="AD93" i="4"/>
  <c r="AC93" i="4"/>
  <c r="AB93" i="4"/>
  <c r="AA93" i="4"/>
  <c r="Z93" i="4"/>
  <c r="Y93" i="4"/>
  <c r="X93" i="4"/>
  <c r="W93" i="4"/>
  <c r="V93" i="4"/>
  <c r="U93" i="4"/>
  <c r="T93" i="4"/>
  <c r="S93" i="4"/>
  <c r="R93" i="4"/>
  <c r="Q93" i="4"/>
  <c r="P93" i="4"/>
  <c r="O93" i="4"/>
  <c r="N93" i="4"/>
  <c r="M93" i="4"/>
  <c r="L93" i="4"/>
  <c r="K93" i="4"/>
  <c r="J93" i="4"/>
  <c r="I93" i="4"/>
  <c r="H93" i="4"/>
  <c r="G93" i="4"/>
  <c r="AF92" i="4"/>
  <c r="AE92" i="4"/>
  <c r="AD92" i="4"/>
  <c r="AC92" i="4"/>
  <c r="AB92" i="4"/>
  <c r="AA92" i="4"/>
  <c r="Z92" i="4"/>
  <c r="Y92" i="4"/>
  <c r="X92" i="4"/>
  <c r="W92" i="4"/>
  <c r="V92" i="4"/>
  <c r="U92" i="4"/>
  <c r="T92" i="4"/>
  <c r="S92" i="4"/>
  <c r="R92" i="4"/>
  <c r="Q92" i="4"/>
  <c r="P92" i="4"/>
  <c r="O92" i="4"/>
  <c r="N92" i="4"/>
  <c r="M92" i="4"/>
  <c r="L92" i="4"/>
  <c r="K92" i="4"/>
  <c r="J92" i="4"/>
  <c r="I92" i="4"/>
  <c r="H92" i="4"/>
  <c r="G92" i="4"/>
  <c r="AF91" i="4"/>
  <c r="AE91" i="4"/>
  <c r="AD91" i="4"/>
  <c r="AC91" i="4"/>
  <c r="AB91" i="4"/>
  <c r="AA91" i="4"/>
  <c r="Z91" i="4"/>
  <c r="Y91" i="4"/>
  <c r="X91" i="4"/>
  <c r="W91" i="4"/>
  <c r="V91" i="4"/>
  <c r="U91" i="4"/>
  <c r="T91" i="4"/>
  <c r="S91" i="4"/>
  <c r="R91" i="4"/>
  <c r="Q91" i="4"/>
  <c r="P91" i="4"/>
  <c r="O91" i="4"/>
  <c r="N91" i="4"/>
  <c r="M91" i="4"/>
  <c r="L91" i="4"/>
  <c r="K91" i="4"/>
  <c r="J91" i="4"/>
  <c r="I91" i="4"/>
  <c r="H91" i="4"/>
  <c r="G91" i="4"/>
  <c r="AF90" i="4"/>
  <c r="AE90" i="4"/>
  <c r="AD90" i="4"/>
  <c r="AC90" i="4"/>
  <c r="AB90" i="4"/>
  <c r="AA90" i="4"/>
  <c r="Z90" i="4"/>
  <c r="Y90" i="4"/>
  <c r="X90" i="4"/>
  <c r="W90" i="4"/>
  <c r="V90" i="4"/>
  <c r="U90" i="4"/>
  <c r="T90" i="4"/>
  <c r="S90" i="4"/>
  <c r="R90" i="4"/>
  <c r="Q90" i="4"/>
  <c r="P90" i="4"/>
  <c r="O90" i="4"/>
  <c r="N90" i="4"/>
  <c r="M90" i="4"/>
  <c r="L90" i="4"/>
  <c r="K90" i="4"/>
  <c r="J90" i="4"/>
  <c r="I90" i="4"/>
  <c r="H90" i="4"/>
  <c r="G90" i="4"/>
  <c r="AF89" i="4"/>
  <c r="AE89" i="4"/>
  <c r="AD89" i="4"/>
  <c r="AC89" i="4"/>
  <c r="AB89" i="4"/>
  <c r="AA89" i="4"/>
  <c r="Z89" i="4"/>
  <c r="Y89" i="4"/>
  <c r="X89" i="4"/>
  <c r="W89" i="4"/>
  <c r="V89" i="4"/>
  <c r="U89" i="4"/>
  <c r="T89" i="4"/>
  <c r="S89" i="4"/>
  <c r="R89" i="4"/>
  <c r="Q89" i="4"/>
  <c r="P89" i="4"/>
  <c r="O89" i="4"/>
  <c r="N89" i="4"/>
  <c r="M89" i="4"/>
  <c r="L89" i="4"/>
  <c r="K89" i="4"/>
  <c r="J89" i="4"/>
  <c r="I89" i="4"/>
  <c r="H89" i="4"/>
  <c r="G89" i="4"/>
  <c r="AF88" i="4"/>
  <c r="AE88" i="4"/>
  <c r="AD88" i="4"/>
  <c r="AC88" i="4"/>
  <c r="AB88" i="4"/>
  <c r="AA88" i="4"/>
  <c r="Z88" i="4"/>
  <c r="Y88" i="4"/>
  <c r="X88" i="4"/>
  <c r="W88" i="4"/>
  <c r="V88" i="4"/>
  <c r="U88" i="4"/>
  <c r="T88" i="4"/>
  <c r="S88" i="4"/>
  <c r="R88" i="4"/>
  <c r="Q88" i="4"/>
  <c r="P88" i="4"/>
  <c r="O88" i="4"/>
  <c r="N88" i="4"/>
  <c r="M88" i="4"/>
  <c r="L88" i="4"/>
  <c r="K88" i="4"/>
  <c r="J88" i="4"/>
  <c r="I88" i="4"/>
  <c r="H88" i="4"/>
  <c r="G88" i="4"/>
  <c r="AF87" i="4"/>
  <c r="AE87" i="4"/>
  <c r="AD87" i="4"/>
  <c r="AC87" i="4"/>
  <c r="AB87" i="4"/>
  <c r="AA87" i="4"/>
  <c r="Z87" i="4"/>
  <c r="Y87" i="4"/>
  <c r="X87" i="4"/>
  <c r="W87" i="4"/>
  <c r="V87" i="4"/>
  <c r="U87" i="4"/>
  <c r="T87" i="4"/>
  <c r="S87" i="4"/>
  <c r="R87" i="4"/>
  <c r="Q87" i="4"/>
  <c r="P87" i="4"/>
  <c r="O87" i="4"/>
  <c r="N87" i="4"/>
  <c r="M87" i="4"/>
  <c r="L87" i="4"/>
  <c r="K87" i="4"/>
  <c r="J87" i="4"/>
  <c r="I87" i="4"/>
  <c r="H87" i="4"/>
  <c r="G87" i="4"/>
  <c r="AF86" i="4"/>
  <c r="AE86" i="4"/>
  <c r="AD86" i="4"/>
  <c r="AC86" i="4"/>
  <c r="AB86" i="4"/>
  <c r="AA86" i="4"/>
  <c r="Z86" i="4"/>
  <c r="Y86" i="4"/>
  <c r="X86" i="4"/>
  <c r="W86" i="4"/>
  <c r="V86" i="4"/>
  <c r="U86" i="4"/>
  <c r="T86" i="4"/>
  <c r="S86" i="4"/>
  <c r="R86" i="4"/>
  <c r="Q86" i="4"/>
  <c r="P86" i="4"/>
  <c r="O86" i="4"/>
  <c r="N86" i="4"/>
  <c r="M86" i="4"/>
  <c r="L86" i="4"/>
  <c r="K86" i="4"/>
  <c r="J86" i="4"/>
  <c r="I86" i="4"/>
  <c r="H86" i="4"/>
  <c r="G86" i="4"/>
  <c r="AF85" i="4"/>
  <c r="AE85" i="4"/>
  <c r="AD85" i="4"/>
  <c r="AC85" i="4"/>
  <c r="AB85" i="4"/>
  <c r="AA85" i="4"/>
  <c r="Z85" i="4"/>
  <c r="Y85" i="4"/>
  <c r="X85" i="4"/>
  <c r="W85" i="4"/>
  <c r="V85" i="4"/>
  <c r="U85" i="4"/>
  <c r="T85" i="4"/>
  <c r="S85" i="4"/>
  <c r="R85" i="4"/>
  <c r="Q85" i="4"/>
  <c r="P85" i="4"/>
  <c r="O85" i="4"/>
  <c r="N85" i="4"/>
  <c r="M85" i="4"/>
  <c r="L85" i="4"/>
  <c r="K85" i="4"/>
  <c r="J85" i="4"/>
  <c r="I85" i="4"/>
  <c r="H85" i="4"/>
  <c r="G85" i="4"/>
  <c r="AF84" i="4"/>
  <c r="AE84" i="4"/>
  <c r="AD84" i="4"/>
  <c r="AC84" i="4"/>
  <c r="AB84" i="4"/>
  <c r="AA84" i="4"/>
  <c r="Z84" i="4"/>
  <c r="Y84" i="4"/>
  <c r="X84" i="4"/>
  <c r="W84" i="4"/>
  <c r="V84" i="4"/>
  <c r="U84" i="4"/>
  <c r="T84" i="4"/>
  <c r="S84" i="4"/>
  <c r="R84" i="4"/>
  <c r="Q84" i="4"/>
  <c r="P84" i="4"/>
  <c r="O84" i="4"/>
  <c r="N84" i="4"/>
  <c r="M84" i="4"/>
  <c r="L84" i="4"/>
  <c r="K84" i="4"/>
  <c r="J84" i="4"/>
  <c r="I84" i="4"/>
  <c r="H84" i="4"/>
  <c r="G84" i="4"/>
  <c r="AF83" i="4"/>
  <c r="AE83" i="4"/>
  <c r="AD83" i="4"/>
  <c r="AC83" i="4"/>
  <c r="AB83" i="4"/>
  <c r="AA83" i="4"/>
  <c r="Z83" i="4"/>
  <c r="Y83" i="4"/>
  <c r="X83" i="4"/>
  <c r="W83" i="4"/>
  <c r="V83" i="4"/>
  <c r="U83" i="4"/>
  <c r="T83" i="4"/>
  <c r="S83" i="4"/>
  <c r="R83" i="4"/>
  <c r="Q83" i="4"/>
  <c r="P83" i="4"/>
  <c r="O83" i="4"/>
  <c r="N83" i="4"/>
  <c r="M83" i="4"/>
  <c r="L83" i="4"/>
  <c r="K83" i="4"/>
  <c r="J83" i="4"/>
  <c r="I83" i="4"/>
  <c r="H83" i="4"/>
  <c r="G83" i="4"/>
  <c r="AF82" i="4"/>
  <c r="AE82" i="4"/>
  <c r="AD82" i="4"/>
  <c r="AC82" i="4"/>
  <c r="AB82" i="4"/>
  <c r="AA82" i="4"/>
  <c r="Z82" i="4"/>
  <c r="Y82" i="4"/>
  <c r="X82" i="4"/>
  <c r="W82" i="4"/>
  <c r="V82" i="4"/>
  <c r="U82" i="4"/>
  <c r="T82" i="4"/>
  <c r="S82" i="4"/>
  <c r="R82" i="4"/>
  <c r="Q82" i="4"/>
  <c r="P82" i="4"/>
  <c r="O82" i="4"/>
  <c r="N82" i="4"/>
  <c r="M82" i="4"/>
  <c r="L82" i="4"/>
  <c r="K82" i="4"/>
  <c r="J82" i="4"/>
  <c r="I82" i="4"/>
  <c r="H82" i="4"/>
  <c r="G82" i="4"/>
  <c r="AF81" i="4"/>
  <c r="AE81" i="4"/>
  <c r="AD81" i="4"/>
  <c r="AC81" i="4"/>
  <c r="AB81" i="4"/>
  <c r="AA81" i="4"/>
  <c r="Z81" i="4"/>
  <c r="Y81" i="4"/>
  <c r="X81" i="4"/>
  <c r="W81" i="4"/>
  <c r="V81" i="4"/>
  <c r="U81" i="4"/>
  <c r="T81" i="4"/>
  <c r="S81" i="4"/>
  <c r="R81" i="4"/>
  <c r="Q81" i="4"/>
  <c r="P81" i="4"/>
  <c r="O81" i="4"/>
  <c r="N81" i="4"/>
  <c r="M81" i="4"/>
  <c r="L81" i="4"/>
  <c r="K81" i="4"/>
  <c r="J81" i="4"/>
  <c r="I81" i="4"/>
  <c r="H81" i="4"/>
  <c r="G81" i="4"/>
  <c r="AF80" i="4"/>
  <c r="AE80" i="4"/>
  <c r="AD80" i="4"/>
  <c r="AC80" i="4"/>
  <c r="AB80" i="4"/>
  <c r="AA80" i="4"/>
  <c r="Z80" i="4"/>
  <c r="Y80" i="4"/>
  <c r="X80" i="4"/>
  <c r="W80" i="4"/>
  <c r="V80" i="4"/>
  <c r="U80" i="4"/>
  <c r="T80" i="4"/>
  <c r="S80" i="4"/>
  <c r="R80" i="4"/>
  <c r="Q80" i="4"/>
  <c r="P80" i="4"/>
  <c r="O80" i="4"/>
  <c r="N80" i="4"/>
  <c r="M80" i="4"/>
  <c r="L80" i="4"/>
  <c r="K80" i="4"/>
  <c r="J80" i="4"/>
  <c r="I80" i="4"/>
  <c r="H80" i="4"/>
  <c r="G80" i="4"/>
  <c r="AF79" i="4"/>
  <c r="AE79" i="4"/>
  <c r="AD79" i="4"/>
  <c r="AC79" i="4"/>
  <c r="AB79" i="4"/>
  <c r="AA79" i="4"/>
  <c r="Z79" i="4"/>
  <c r="Y79" i="4"/>
  <c r="X79" i="4"/>
  <c r="W79" i="4"/>
  <c r="V79" i="4"/>
  <c r="U79" i="4"/>
  <c r="T79" i="4"/>
  <c r="S79" i="4"/>
  <c r="R79" i="4"/>
  <c r="Q79" i="4"/>
  <c r="P79" i="4"/>
  <c r="O79" i="4"/>
  <c r="N79" i="4"/>
  <c r="M79" i="4"/>
  <c r="L79" i="4"/>
  <c r="K79" i="4"/>
  <c r="J79" i="4"/>
  <c r="I79" i="4"/>
  <c r="H79" i="4"/>
  <c r="G79" i="4"/>
  <c r="AF78" i="4"/>
  <c r="AE78" i="4"/>
  <c r="AD78" i="4"/>
  <c r="AC78" i="4"/>
  <c r="AB78" i="4"/>
  <c r="AA78" i="4"/>
  <c r="Z78" i="4"/>
  <c r="Y78" i="4"/>
  <c r="X78" i="4"/>
  <c r="W78" i="4"/>
  <c r="V78" i="4"/>
  <c r="U78" i="4"/>
  <c r="T78" i="4"/>
  <c r="S78" i="4"/>
  <c r="R78" i="4"/>
  <c r="Q78" i="4"/>
  <c r="P78" i="4"/>
  <c r="O78" i="4"/>
  <c r="N78" i="4"/>
  <c r="M78" i="4"/>
  <c r="L78" i="4"/>
  <c r="K78" i="4"/>
  <c r="J78" i="4"/>
  <c r="I78" i="4"/>
  <c r="H78" i="4"/>
  <c r="G78" i="4"/>
  <c r="AF77" i="4"/>
  <c r="AE77" i="4"/>
  <c r="AD77" i="4"/>
  <c r="AC77" i="4"/>
  <c r="AB77" i="4"/>
  <c r="AA77" i="4"/>
  <c r="Z77" i="4"/>
  <c r="Y77" i="4"/>
  <c r="X77" i="4"/>
  <c r="W77" i="4"/>
  <c r="V77" i="4"/>
  <c r="U77" i="4"/>
  <c r="T77" i="4"/>
  <c r="S77" i="4"/>
  <c r="R77" i="4"/>
  <c r="Q77" i="4"/>
  <c r="P77" i="4"/>
  <c r="O77" i="4"/>
  <c r="N77" i="4"/>
  <c r="M77" i="4"/>
  <c r="L77" i="4"/>
  <c r="K77" i="4"/>
  <c r="J77" i="4"/>
  <c r="I77" i="4"/>
  <c r="H77" i="4"/>
  <c r="G77" i="4"/>
  <c r="AF76" i="4"/>
  <c r="AE76" i="4"/>
  <c r="AD76" i="4"/>
  <c r="AC76" i="4"/>
  <c r="AB76" i="4"/>
  <c r="AA76" i="4"/>
  <c r="Z76" i="4"/>
  <c r="Y76" i="4"/>
  <c r="X76" i="4"/>
  <c r="W76" i="4"/>
  <c r="V76" i="4"/>
  <c r="U76" i="4"/>
  <c r="T76" i="4"/>
  <c r="S76" i="4"/>
  <c r="R76" i="4"/>
  <c r="Q76" i="4"/>
  <c r="P76" i="4"/>
  <c r="O76" i="4"/>
  <c r="N76" i="4"/>
  <c r="M76" i="4"/>
  <c r="L76" i="4"/>
  <c r="K76" i="4"/>
  <c r="J76" i="4"/>
  <c r="I76" i="4"/>
  <c r="H76" i="4"/>
  <c r="G76" i="4"/>
  <c r="AF75" i="4"/>
  <c r="AE75" i="4"/>
  <c r="AD75" i="4"/>
  <c r="AC75" i="4"/>
  <c r="AB75" i="4"/>
  <c r="AA75" i="4"/>
  <c r="Z75" i="4"/>
  <c r="Y75" i="4"/>
  <c r="X75" i="4"/>
  <c r="W75" i="4"/>
  <c r="V75" i="4"/>
  <c r="U75" i="4"/>
  <c r="T75" i="4"/>
  <c r="S75" i="4"/>
  <c r="R75" i="4"/>
  <c r="Q75" i="4"/>
  <c r="P75" i="4"/>
  <c r="O75" i="4"/>
  <c r="N75" i="4"/>
  <c r="M75" i="4"/>
  <c r="L75" i="4"/>
  <c r="K75" i="4"/>
  <c r="J75" i="4"/>
  <c r="I75" i="4"/>
  <c r="H75" i="4"/>
  <c r="G75" i="4"/>
  <c r="AF74" i="4"/>
  <c r="AE74" i="4"/>
  <c r="AD74" i="4"/>
  <c r="AC74" i="4"/>
  <c r="AB74" i="4"/>
  <c r="AA74" i="4"/>
  <c r="Z74" i="4"/>
  <c r="Y74" i="4"/>
  <c r="X74" i="4"/>
  <c r="W74" i="4"/>
  <c r="V74" i="4"/>
  <c r="U74" i="4"/>
  <c r="T74" i="4"/>
  <c r="S74" i="4"/>
  <c r="R74" i="4"/>
  <c r="Q74" i="4"/>
  <c r="P74" i="4"/>
  <c r="O74" i="4"/>
  <c r="N74" i="4"/>
  <c r="M74" i="4"/>
  <c r="L74" i="4"/>
  <c r="K74" i="4"/>
  <c r="J74" i="4"/>
  <c r="I74" i="4"/>
  <c r="H74" i="4"/>
  <c r="G74" i="4"/>
  <c r="AF73" i="4"/>
  <c r="AE73" i="4"/>
  <c r="AD73" i="4"/>
  <c r="AC73" i="4"/>
  <c r="AB73" i="4"/>
  <c r="AA73" i="4"/>
  <c r="Z73" i="4"/>
  <c r="Y73" i="4"/>
  <c r="X73" i="4"/>
  <c r="W73" i="4"/>
  <c r="V73" i="4"/>
  <c r="U73" i="4"/>
  <c r="T73" i="4"/>
  <c r="S73" i="4"/>
  <c r="R73" i="4"/>
  <c r="Q73" i="4"/>
  <c r="P73" i="4"/>
  <c r="O73" i="4"/>
  <c r="N73" i="4"/>
  <c r="M73" i="4"/>
  <c r="L73" i="4"/>
  <c r="K73" i="4"/>
  <c r="J73" i="4"/>
  <c r="I73" i="4"/>
  <c r="H73" i="4"/>
  <c r="G73" i="4"/>
  <c r="AF72" i="4"/>
  <c r="AE72" i="4"/>
  <c r="AD72" i="4"/>
  <c r="AC72" i="4"/>
  <c r="AB72" i="4"/>
  <c r="AA72" i="4"/>
  <c r="Z72" i="4"/>
  <c r="Y72" i="4"/>
  <c r="X72" i="4"/>
  <c r="W72" i="4"/>
  <c r="V72" i="4"/>
  <c r="U72" i="4"/>
  <c r="T72" i="4"/>
  <c r="S72" i="4"/>
  <c r="R72" i="4"/>
  <c r="Q72" i="4"/>
  <c r="P72" i="4"/>
  <c r="O72" i="4"/>
  <c r="N72" i="4"/>
  <c r="M72" i="4"/>
  <c r="L72" i="4"/>
  <c r="K72" i="4"/>
  <c r="J72" i="4"/>
  <c r="I72" i="4"/>
  <c r="H72" i="4"/>
  <c r="G72" i="4"/>
  <c r="AF71" i="4"/>
  <c r="AE71" i="4"/>
  <c r="AD71" i="4"/>
  <c r="AC71" i="4"/>
  <c r="AB71" i="4"/>
  <c r="AA71" i="4"/>
  <c r="Z71" i="4"/>
  <c r="Y71" i="4"/>
  <c r="X71" i="4"/>
  <c r="W71" i="4"/>
  <c r="V71" i="4"/>
  <c r="U71" i="4"/>
  <c r="T71" i="4"/>
  <c r="S71" i="4"/>
  <c r="R71" i="4"/>
  <c r="Q71" i="4"/>
  <c r="P71" i="4"/>
  <c r="O71" i="4"/>
  <c r="N71" i="4"/>
  <c r="M71" i="4"/>
  <c r="L71" i="4"/>
  <c r="K71" i="4"/>
  <c r="J71" i="4"/>
  <c r="I71" i="4"/>
  <c r="H71" i="4"/>
  <c r="G71" i="4"/>
  <c r="AF70" i="4"/>
  <c r="AE70" i="4"/>
  <c r="AD70" i="4"/>
  <c r="AC70" i="4"/>
  <c r="AB70" i="4"/>
  <c r="AA70" i="4"/>
  <c r="Z70" i="4"/>
  <c r="Y70" i="4"/>
  <c r="X70" i="4"/>
  <c r="W70" i="4"/>
  <c r="V70" i="4"/>
  <c r="U70" i="4"/>
  <c r="T70" i="4"/>
  <c r="S70" i="4"/>
  <c r="R70" i="4"/>
  <c r="Q70" i="4"/>
  <c r="P70" i="4"/>
  <c r="O70" i="4"/>
  <c r="N70" i="4"/>
  <c r="M70" i="4"/>
  <c r="L70" i="4"/>
  <c r="K70" i="4"/>
  <c r="J70" i="4"/>
  <c r="I70" i="4"/>
  <c r="H70" i="4"/>
  <c r="G70" i="4"/>
  <c r="AF69" i="4"/>
  <c r="AE69" i="4"/>
  <c r="AD69" i="4"/>
  <c r="AC69" i="4"/>
  <c r="AB69" i="4"/>
  <c r="AA69" i="4"/>
  <c r="Z69" i="4"/>
  <c r="Y69" i="4"/>
  <c r="X69" i="4"/>
  <c r="W69" i="4"/>
  <c r="V69" i="4"/>
  <c r="U69" i="4"/>
  <c r="T69" i="4"/>
  <c r="S69" i="4"/>
  <c r="R69" i="4"/>
  <c r="Q69" i="4"/>
  <c r="P69" i="4"/>
  <c r="O69" i="4"/>
  <c r="N69" i="4"/>
  <c r="M69" i="4"/>
  <c r="L69" i="4"/>
  <c r="K69" i="4"/>
  <c r="J69" i="4"/>
  <c r="I69" i="4"/>
  <c r="H69" i="4"/>
  <c r="G69" i="4"/>
  <c r="AF68" i="4"/>
  <c r="AE68" i="4"/>
  <c r="AD68" i="4"/>
  <c r="AC68" i="4"/>
  <c r="AB68" i="4"/>
  <c r="AA68" i="4"/>
  <c r="Z68" i="4"/>
  <c r="Y68" i="4"/>
  <c r="X68" i="4"/>
  <c r="W68" i="4"/>
  <c r="V68" i="4"/>
  <c r="U68" i="4"/>
  <c r="T68" i="4"/>
  <c r="S68" i="4"/>
  <c r="R68" i="4"/>
  <c r="Q68" i="4"/>
  <c r="P68" i="4"/>
  <c r="O68" i="4"/>
  <c r="N68" i="4"/>
  <c r="M68" i="4"/>
  <c r="L68" i="4"/>
  <c r="K68" i="4"/>
  <c r="J68" i="4"/>
  <c r="I68" i="4"/>
  <c r="H68" i="4"/>
  <c r="G68" i="4"/>
  <c r="AF67" i="4"/>
  <c r="AE67" i="4"/>
  <c r="AD67" i="4"/>
  <c r="AC67" i="4"/>
  <c r="AB67" i="4"/>
  <c r="AA67" i="4"/>
  <c r="Z67" i="4"/>
  <c r="Y67" i="4"/>
  <c r="X67" i="4"/>
  <c r="W67" i="4"/>
  <c r="V67" i="4"/>
  <c r="U67" i="4"/>
  <c r="T67" i="4"/>
  <c r="S67" i="4"/>
  <c r="R67" i="4"/>
  <c r="Q67" i="4"/>
  <c r="P67" i="4"/>
  <c r="O67" i="4"/>
  <c r="N67" i="4"/>
  <c r="M67" i="4"/>
  <c r="L67" i="4"/>
  <c r="K67" i="4"/>
  <c r="J67" i="4"/>
  <c r="I67" i="4"/>
  <c r="H67" i="4"/>
  <c r="G67" i="4"/>
  <c r="AF66" i="4"/>
  <c r="AE66" i="4"/>
  <c r="AD66" i="4"/>
  <c r="AC66" i="4"/>
  <c r="AB66" i="4"/>
  <c r="AA66" i="4"/>
  <c r="Z66" i="4"/>
  <c r="Y66" i="4"/>
  <c r="X66" i="4"/>
  <c r="W66" i="4"/>
  <c r="V66" i="4"/>
  <c r="U66" i="4"/>
  <c r="T66" i="4"/>
  <c r="S66" i="4"/>
  <c r="R66" i="4"/>
  <c r="Q66" i="4"/>
  <c r="P66" i="4"/>
  <c r="O66" i="4"/>
  <c r="N66" i="4"/>
  <c r="M66" i="4"/>
  <c r="L66" i="4"/>
  <c r="K66" i="4"/>
  <c r="J66" i="4"/>
  <c r="I66" i="4"/>
  <c r="H66" i="4"/>
  <c r="G66" i="4"/>
  <c r="AF65" i="4"/>
  <c r="AE65" i="4"/>
  <c r="AD65" i="4"/>
  <c r="AC65" i="4"/>
  <c r="AB65" i="4"/>
  <c r="AA65" i="4"/>
  <c r="Z65" i="4"/>
  <c r="Y65" i="4"/>
  <c r="X65" i="4"/>
  <c r="W65" i="4"/>
  <c r="V65" i="4"/>
  <c r="U65" i="4"/>
  <c r="T65" i="4"/>
  <c r="S65" i="4"/>
  <c r="R65" i="4"/>
  <c r="Q65" i="4"/>
  <c r="P65" i="4"/>
  <c r="O65" i="4"/>
  <c r="N65" i="4"/>
  <c r="M65" i="4"/>
  <c r="L65" i="4"/>
  <c r="K65" i="4"/>
  <c r="J65" i="4"/>
  <c r="I65" i="4"/>
  <c r="H65" i="4"/>
  <c r="G65" i="4"/>
  <c r="AF64" i="4"/>
  <c r="AE64" i="4"/>
  <c r="AD64" i="4"/>
  <c r="AC64" i="4"/>
  <c r="AB64" i="4"/>
  <c r="AA64" i="4"/>
  <c r="Z64" i="4"/>
  <c r="Y64" i="4"/>
  <c r="X64" i="4"/>
  <c r="W64" i="4"/>
  <c r="V64" i="4"/>
  <c r="U64" i="4"/>
  <c r="T64" i="4"/>
  <c r="S64" i="4"/>
  <c r="R64" i="4"/>
  <c r="Q64" i="4"/>
  <c r="P64" i="4"/>
  <c r="O64" i="4"/>
  <c r="N64" i="4"/>
  <c r="M64" i="4"/>
  <c r="L64" i="4"/>
  <c r="K64" i="4"/>
  <c r="J64" i="4"/>
  <c r="I64" i="4"/>
  <c r="H64" i="4"/>
  <c r="G64" i="4"/>
  <c r="AF63" i="4"/>
  <c r="AE63" i="4"/>
  <c r="AD63" i="4"/>
  <c r="AC63" i="4"/>
  <c r="AB63" i="4"/>
  <c r="AA63" i="4"/>
  <c r="Z63" i="4"/>
  <c r="Y63" i="4"/>
  <c r="X63" i="4"/>
  <c r="W63" i="4"/>
  <c r="V63" i="4"/>
  <c r="U63" i="4"/>
  <c r="T63" i="4"/>
  <c r="S63" i="4"/>
  <c r="R63" i="4"/>
  <c r="Q63" i="4"/>
  <c r="P63" i="4"/>
  <c r="O63" i="4"/>
  <c r="N63" i="4"/>
  <c r="M63" i="4"/>
  <c r="L63" i="4"/>
  <c r="K63" i="4"/>
  <c r="J63" i="4"/>
  <c r="I63" i="4"/>
  <c r="H63" i="4"/>
  <c r="G63" i="4"/>
  <c r="AF62" i="4"/>
  <c r="AE62" i="4"/>
  <c r="AD62" i="4"/>
  <c r="AC62" i="4"/>
  <c r="AB62" i="4"/>
  <c r="AA62" i="4"/>
  <c r="Z62" i="4"/>
  <c r="Y62" i="4"/>
  <c r="X62" i="4"/>
  <c r="W62" i="4"/>
  <c r="V62" i="4"/>
  <c r="U62" i="4"/>
  <c r="T62" i="4"/>
  <c r="S62" i="4"/>
  <c r="R62" i="4"/>
  <c r="Q62" i="4"/>
  <c r="P62" i="4"/>
  <c r="O62" i="4"/>
  <c r="N62" i="4"/>
  <c r="M62" i="4"/>
  <c r="L62" i="4"/>
  <c r="K62" i="4"/>
  <c r="J62" i="4"/>
  <c r="I62" i="4"/>
  <c r="H62" i="4"/>
  <c r="G62" i="4"/>
  <c r="AF61" i="4"/>
  <c r="AE61" i="4"/>
  <c r="AD61" i="4"/>
  <c r="AC61" i="4"/>
  <c r="AB61" i="4"/>
  <c r="AA61" i="4"/>
  <c r="Z61" i="4"/>
  <c r="Y61" i="4"/>
  <c r="X61" i="4"/>
  <c r="W61" i="4"/>
  <c r="V61" i="4"/>
  <c r="U61" i="4"/>
  <c r="T61" i="4"/>
  <c r="S61" i="4"/>
  <c r="R61" i="4"/>
  <c r="Q61" i="4"/>
  <c r="P61" i="4"/>
  <c r="O61" i="4"/>
  <c r="N61" i="4"/>
  <c r="M61" i="4"/>
  <c r="L61" i="4"/>
  <c r="K61" i="4"/>
  <c r="J61" i="4"/>
  <c r="I61" i="4"/>
  <c r="H61" i="4"/>
  <c r="G61" i="4"/>
  <c r="AF60" i="4"/>
  <c r="AE60" i="4"/>
  <c r="AD60" i="4"/>
  <c r="AC60" i="4"/>
  <c r="AB60" i="4"/>
  <c r="AA60" i="4"/>
  <c r="Z60" i="4"/>
  <c r="Y60" i="4"/>
  <c r="X60" i="4"/>
  <c r="W60" i="4"/>
  <c r="V60" i="4"/>
  <c r="U60" i="4"/>
  <c r="T60" i="4"/>
  <c r="S60" i="4"/>
  <c r="R60" i="4"/>
  <c r="Q60" i="4"/>
  <c r="P60" i="4"/>
  <c r="O60" i="4"/>
  <c r="N60" i="4"/>
  <c r="M60" i="4"/>
  <c r="L60" i="4"/>
  <c r="K60" i="4"/>
  <c r="J60" i="4"/>
  <c r="I60" i="4"/>
  <c r="H60" i="4"/>
  <c r="G60" i="4"/>
  <c r="AF59" i="4"/>
  <c r="AE59" i="4"/>
  <c r="AD59" i="4"/>
  <c r="AC59" i="4"/>
  <c r="AB59" i="4"/>
  <c r="AA59" i="4"/>
  <c r="Z59" i="4"/>
  <c r="Y59" i="4"/>
  <c r="X59" i="4"/>
  <c r="W59" i="4"/>
  <c r="V59" i="4"/>
  <c r="U59" i="4"/>
  <c r="T59" i="4"/>
  <c r="S59" i="4"/>
  <c r="R59" i="4"/>
  <c r="Q59" i="4"/>
  <c r="P59" i="4"/>
  <c r="O59" i="4"/>
  <c r="N59" i="4"/>
  <c r="M59" i="4"/>
  <c r="L59" i="4"/>
  <c r="K59" i="4"/>
  <c r="J59" i="4"/>
  <c r="I59" i="4"/>
  <c r="H59" i="4"/>
  <c r="G59" i="4"/>
  <c r="AF58" i="4"/>
  <c r="AE58" i="4"/>
  <c r="AD58" i="4"/>
  <c r="AC58" i="4"/>
  <c r="AB58" i="4"/>
  <c r="AA58" i="4"/>
  <c r="Z58" i="4"/>
  <c r="Y58" i="4"/>
  <c r="X58" i="4"/>
  <c r="W58" i="4"/>
  <c r="V58" i="4"/>
  <c r="U58" i="4"/>
  <c r="T58" i="4"/>
  <c r="S58" i="4"/>
  <c r="R58" i="4"/>
  <c r="Q58" i="4"/>
  <c r="P58" i="4"/>
  <c r="O58" i="4"/>
  <c r="N58" i="4"/>
  <c r="M58" i="4"/>
  <c r="L58" i="4"/>
  <c r="K58" i="4"/>
  <c r="J58" i="4"/>
  <c r="I58" i="4"/>
  <c r="H58" i="4"/>
  <c r="G58" i="4"/>
  <c r="AF57" i="4"/>
  <c r="AE57" i="4"/>
  <c r="AD57" i="4"/>
  <c r="AC57" i="4"/>
  <c r="AB57" i="4"/>
  <c r="AA57" i="4"/>
  <c r="Z57" i="4"/>
  <c r="Y57" i="4"/>
  <c r="X57" i="4"/>
  <c r="W57" i="4"/>
  <c r="V57" i="4"/>
  <c r="U57" i="4"/>
  <c r="T57" i="4"/>
  <c r="S57" i="4"/>
  <c r="R57" i="4"/>
  <c r="Q57" i="4"/>
  <c r="P57" i="4"/>
  <c r="O57" i="4"/>
  <c r="N57" i="4"/>
  <c r="M57" i="4"/>
  <c r="L57" i="4"/>
  <c r="K57" i="4"/>
  <c r="J57" i="4"/>
  <c r="I57" i="4"/>
  <c r="H57" i="4"/>
  <c r="G57" i="4"/>
  <c r="AF56" i="4"/>
  <c r="AE56" i="4"/>
  <c r="AD56" i="4"/>
  <c r="AC56" i="4"/>
  <c r="AB56" i="4"/>
  <c r="AA56" i="4"/>
  <c r="Z56" i="4"/>
  <c r="Y56" i="4"/>
  <c r="X56" i="4"/>
  <c r="W56" i="4"/>
  <c r="V56" i="4"/>
  <c r="U56" i="4"/>
  <c r="T56" i="4"/>
  <c r="S56" i="4"/>
  <c r="R56" i="4"/>
  <c r="Q56" i="4"/>
  <c r="P56" i="4"/>
  <c r="O56" i="4"/>
  <c r="N56" i="4"/>
  <c r="M56" i="4"/>
  <c r="L56" i="4"/>
  <c r="K56" i="4"/>
  <c r="J56" i="4"/>
  <c r="I56" i="4"/>
  <c r="H56" i="4"/>
  <c r="G56" i="4"/>
  <c r="AF55" i="4"/>
  <c r="AE55" i="4"/>
  <c r="AD55" i="4"/>
  <c r="AC55" i="4"/>
  <c r="AB55" i="4"/>
  <c r="AA55" i="4"/>
  <c r="Z55" i="4"/>
  <c r="Y55" i="4"/>
  <c r="X55" i="4"/>
  <c r="W55" i="4"/>
  <c r="V55" i="4"/>
  <c r="U55" i="4"/>
  <c r="T55" i="4"/>
  <c r="S55" i="4"/>
  <c r="R55" i="4"/>
  <c r="Q55" i="4"/>
  <c r="P55" i="4"/>
  <c r="O55" i="4"/>
  <c r="N55" i="4"/>
  <c r="M55" i="4"/>
  <c r="L55" i="4"/>
  <c r="K55" i="4"/>
  <c r="J55" i="4"/>
  <c r="I55" i="4"/>
  <c r="H55" i="4"/>
  <c r="G55" i="4"/>
  <c r="AF54" i="4"/>
  <c r="AE54" i="4"/>
  <c r="AD54" i="4"/>
  <c r="AC54" i="4"/>
  <c r="AB54" i="4"/>
  <c r="AA54" i="4"/>
  <c r="Z54" i="4"/>
  <c r="Y54" i="4"/>
  <c r="X54" i="4"/>
  <c r="W54" i="4"/>
  <c r="V54" i="4"/>
  <c r="U54" i="4"/>
  <c r="T54" i="4"/>
  <c r="S54" i="4"/>
  <c r="R54" i="4"/>
  <c r="Q54" i="4"/>
  <c r="P54" i="4"/>
  <c r="O54" i="4"/>
  <c r="N54" i="4"/>
  <c r="M54" i="4"/>
  <c r="L54" i="4"/>
  <c r="K54" i="4"/>
  <c r="J54" i="4"/>
  <c r="I54" i="4"/>
  <c r="H54" i="4"/>
  <c r="G54" i="4"/>
  <c r="AF53" i="4"/>
  <c r="AE53" i="4"/>
  <c r="AD53" i="4"/>
  <c r="AC53" i="4"/>
  <c r="AB53" i="4"/>
  <c r="AA53" i="4"/>
  <c r="Z53" i="4"/>
  <c r="Y53" i="4"/>
  <c r="X53" i="4"/>
  <c r="W53" i="4"/>
  <c r="V53" i="4"/>
  <c r="U53" i="4"/>
  <c r="T53" i="4"/>
  <c r="S53" i="4"/>
  <c r="R53" i="4"/>
  <c r="Q53" i="4"/>
  <c r="P53" i="4"/>
  <c r="O53" i="4"/>
  <c r="N53" i="4"/>
  <c r="M53" i="4"/>
  <c r="L53" i="4"/>
  <c r="K53" i="4"/>
  <c r="J53" i="4"/>
  <c r="I53" i="4"/>
  <c r="H53" i="4"/>
  <c r="G53" i="4"/>
  <c r="AF52" i="4"/>
  <c r="AE52" i="4"/>
  <c r="AD52" i="4"/>
  <c r="AC52" i="4"/>
  <c r="AB52" i="4"/>
  <c r="AA52" i="4"/>
  <c r="Z52" i="4"/>
  <c r="Y52" i="4"/>
  <c r="X52" i="4"/>
  <c r="W52" i="4"/>
  <c r="V52" i="4"/>
  <c r="U52" i="4"/>
  <c r="T52" i="4"/>
  <c r="S52" i="4"/>
  <c r="R52" i="4"/>
  <c r="Q52" i="4"/>
  <c r="P52" i="4"/>
  <c r="O52" i="4"/>
  <c r="N52" i="4"/>
  <c r="M52" i="4"/>
  <c r="L52" i="4"/>
  <c r="K52" i="4"/>
  <c r="J52" i="4"/>
  <c r="I52" i="4"/>
  <c r="H52" i="4"/>
  <c r="G52" i="4"/>
  <c r="AF51" i="4"/>
  <c r="AE51" i="4"/>
  <c r="AD51" i="4"/>
  <c r="AC51" i="4"/>
  <c r="AB51" i="4"/>
  <c r="AA51" i="4"/>
  <c r="Z51" i="4"/>
  <c r="Y51" i="4"/>
  <c r="X51" i="4"/>
  <c r="W51" i="4"/>
  <c r="V51" i="4"/>
  <c r="U51" i="4"/>
  <c r="T51" i="4"/>
  <c r="S51" i="4"/>
  <c r="R51" i="4"/>
  <c r="Q51" i="4"/>
  <c r="P51" i="4"/>
  <c r="O51" i="4"/>
  <c r="N51" i="4"/>
  <c r="M51" i="4"/>
  <c r="L51" i="4"/>
  <c r="K51" i="4"/>
  <c r="J51" i="4"/>
  <c r="I51" i="4"/>
  <c r="H51" i="4"/>
  <c r="G51" i="4"/>
  <c r="AF50" i="4"/>
  <c r="AE50" i="4"/>
  <c r="AD50" i="4"/>
  <c r="AC50" i="4"/>
  <c r="AB50" i="4"/>
  <c r="AA50" i="4"/>
  <c r="Z50" i="4"/>
  <c r="Y50" i="4"/>
  <c r="X50" i="4"/>
  <c r="W50" i="4"/>
  <c r="V50" i="4"/>
  <c r="U50" i="4"/>
  <c r="T50" i="4"/>
  <c r="S50" i="4"/>
  <c r="R50" i="4"/>
  <c r="Q50" i="4"/>
  <c r="P50" i="4"/>
  <c r="O50" i="4"/>
  <c r="N50" i="4"/>
  <c r="M50" i="4"/>
  <c r="L50" i="4"/>
  <c r="K50" i="4"/>
  <c r="J50" i="4"/>
  <c r="I50" i="4"/>
  <c r="H50" i="4"/>
  <c r="G50" i="4"/>
  <c r="AF49" i="4"/>
  <c r="AE49" i="4"/>
  <c r="AD49" i="4"/>
  <c r="AC49" i="4"/>
  <c r="AB49" i="4"/>
  <c r="AA49" i="4"/>
  <c r="Z49" i="4"/>
  <c r="Y49" i="4"/>
  <c r="X49" i="4"/>
  <c r="W49" i="4"/>
  <c r="V49" i="4"/>
  <c r="U49" i="4"/>
  <c r="T49" i="4"/>
  <c r="S49" i="4"/>
  <c r="R49" i="4"/>
  <c r="Q49" i="4"/>
  <c r="P49" i="4"/>
  <c r="O49" i="4"/>
  <c r="N49" i="4"/>
  <c r="M49" i="4"/>
  <c r="L49" i="4"/>
  <c r="K49" i="4"/>
  <c r="J49" i="4"/>
  <c r="I49" i="4"/>
  <c r="H49" i="4"/>
  <c r="G49" i="4"/>
  <c r="AF48" i="4"/>
  <c r="AE48" i="4"/>
  <c r="AD48" i="4"/>
  <c r="AC48" i="4"/>
  <c r="AB48" i="4"/>
  <c r="AA48" i="4"/>
  <c r="Z48" i="4"/>
  <c r="Y48" i="4"/>
  <c r="X48" i="4"/>
  <c r="W48" i="4"/>
  <c r="V48" i="4"/>
  <c r="U48" i="4"/>
  <c r="T48" i="4"/>
  <c r="S48" i="4"/>
  <c r="R48" i="4"/>
  <c r="Q48" i="4"/>
  <c r="P48" i="4"/>
  <c r="O48" i="4"/>
  <c r="N48" i="4"/>
  <c r="M48" i="4"/>
  <c r="L48" i="4"/>
  <c r="K48" i="4"/>
  <c r="J48" i="4"/>
  <c r="I48" i="4"/>
  <c r="H48" i="4"/>
  <c r="G48" i="4"/>
  <c r="AF47" i="4"/>
  <c r="AE47" i="4"/>
  <c r="AD47" i="4"/>
  <c r="AC47" i="4"/>
  <c r="AB47" i="4"/>
  <c r="AA47" i="4"/>
  <c r="Z47" i="4"/>
  <c r="Y47" i="4"/>
  <c r="X47" i="4"/>
  <c r="W47" i="4"/>
  <c r="V47" i="4"/>
  <c r="U47" i="4"/>
  <c r="T47" i="4"/>
  <c r="S47" i="4"/>
  <c r="R47" i="4"/>
  <c r="Q47" i="4"/>
  <c r="P47" i="4"/>
  <c r="O47" i="4"/>
  <c r="N47" i="4"/>
  <c r="M47" i="4"/>
  <c r="L47" i="4"/>
  <c r="K47" i="4"/>
  <c r="J47" i="4"/>
  <c r="I47" i="4"/>
  <c r="H47" i="4"/>
  <c r="G47" i="4"/>
  <c r="AF46" i="4"/>
  <c r="AE46" i="4"/>
  <c r="AD46" i="4"/>
  <c r="AC46" i="4"/>
  <c r="AB46" i="4"/>
  <c r="AA46" i="4"/>
  <c r="Z46" i="4"/>
  <c r="Y46" i="4"/>
  <c r="X46" i="4"/>
  <c r="W46" i="4"/>
  <c r="V46" i="4"/>
  <c r="U46" i="4"/>
  <c r="T46" i="4"/>
  <c r="S46" i="4"/>
  <c r="R46" i="4"/>
  <c r="Q46" i="4"/>
  <c r="P46" i="4"/>
  <c r="O46" i="4"/>
  <c r="N46" i="4"/>
  <c r="M46" i="4"/>
  <c r="L46" i="4"/>
  <c r="K46" i="4"/>
  <c r="J46" i="4"/>
  <c r="I46" i="4"/>
  <c r="H46" i="4"/>
  <c r="G46" i="4"/>
  <c r="AF45" i="4"/>
  <c r="AE45" i="4"/>
  <c r="AD45" i="4"/>
  <c r="AC45" i="4"/>
  <c r="AB45" i="4"/>
  <c r="AA45" i="4"/>
  <c r="Z45" i="4"/>
  <c r="Y45" i="4"/>
  <c r="X45" i="4"/>
  <c r="W45" i="4"/>
  <c r="V45" i="4"/>
  <c r="U45" i="4"/>
  <c r="T45" i="4"/>
  <c r="S45" i="4"/>
  <c r="R45" i="4"/>
  <c r="Q45" i="4"/>
  <c r="P45" i="4"/>
  <c r="O45" i="4"/>
  <c r="N45" i="4"/>
  <c r="M45" i="4"/>
  <c r="L45" i="4"/>
  <c r="K45" i="4"/>
  <c r="J45" i="4"/>
  <c r="I45" i="4"/>
  <c r="H45" i="4"/>
  <c r="G45" i="4"/>
  <c r="AF44" i="4"/>
  <c r="AE44" i="4"/>
  <c r="AD44" i="4"/>
  <c r="AC44" i="4"/>
  <c r="AB44" i="4"/>
  <c r="AA44" i="4"/>
  <c r="Z44" i="4"/>
  <c r="Y44" i="4"/>
  <c r="X44" i="4"/>
  <c r="W44" i="4"/>
  <c r="V44" i="4"/>
  <c r="U44" i="4"/>
  <c r="T44" i="4"/>
  <c r="S44" i="4"/>
  <c r="R44" i="4"/>
  <c r="Q44" i="4"/>
  <c r="P44" i="4"/>
  <c r="O44" i="4"/>
  <c r="N44" i="4"/>
  <c r="M44" i="4"/>
  <c r="L44" i="4"/>
  <c r="K44" i="4"/>
  <c r="J44" i="4"/>
  <c r="I44" i="4"/>
  <c r="H44" i="4"/>
  <c r="G44" i="4"/>
  <c r="AF43" i="4"/>
  <c r="AE43" i="4"/>
  <c r="AD43" i="4"/>
  <c r="AC43" i="4"/>
  <c r="AB43" i="4"/>
  <c r="AA43" i="4"/>
  <c r="Z43" i="4"/>
  <c r="Y43" i="4"/>
  <c r="X43" i="4"/>
  <c r="W43" i="4"/>
  <c r="V43" i="4"/>
  <c r="U43" i="4"/>
  <c r="T43" i="4"/>
  <c r="S43" i="4"/>
  <c r="R43" i="4"/>
  <c r="Q43" i="4"/>
  <c r="P43" i="4"/>
  <c r="O43" i="4"/>
  <c r="N43" i="4"/>
  <c r="M43" i="4"/>
  <c r="L43" i="4"/>
  <c r="K43" i="4"/>
  <c r="J43" i="4"/>
  <c r="I43" i="4"/>
  <c r="H43" i="4"/>
  <c r="G43" i="4"/>
  <c r="AF42" i="4"/>
  <c r="AE42" i="4"/>
  <c r="AD42" i="4"/>
  <c r="AC42" i="4"/>
  <c r="AB42" i="4"/>
  <c r="AA42" i="4"/>
  <c r="Z42" i="4"/>
  <c r="Y42" i="4"/>
  <c r="X42" i="4"/>
  <c r="W42" i="4"/>
  <c r="V42" i="4"/>
  <c r="U42" i="4"/>
  <c r="T42" i="4"/>
  <c r="S42" i="4"/>
  <c r="R42" i="4"/>
  <c r="Q42" i="4"/>
  <c r="P42" i="4"/>
  <c r="O42" i="4"/>
  <c r="N42" i="4"/>
  <c r="M42" i="4"/>
  <c r="L42" i="4"/>
  <c r="K42" i="4"/>
  <c r="J42" i="4"/>
  <c r="I42" i="4"/>
  <c r="H42" i="4"/>
  <c r="G42" i="4"/>
  <c r="AF41" i="4"/>
  <c r="AE41" i="4"/>
  <c r="AD41" i="4"/>
  <c r="AC41" i="4"/>
  <c r="AB41" i="4"/>
  <c r="AA41" i="4"/>
  <c r="Z41" i="4"/>
  <c r="Y41" i="4"/>
  <c r="X41" i="4"/>
  <c r="W41" i="4"/>
  <c r="V41" i="4"/>
  <c r="U41" i="4"/>
  <c r="T41" i="4"/>
  <c r="S41" i="4"/>
  <c r="R41" i="4"/>
  <c r="Q41" i="4"/>
  <c r="P41" i="4"/>
  <c r="O41" i="4"/>
  <c r="N41" i="4"/>
  <c r="M41" i="4"/>
  <c r="L41" i="4"/>
  <c r="K41" i="4"/>
  <c r="J41" i="4"/>
  <c r="I41" i="4"/>
  <c r="H41" i="4"/>
  <c r="G41" i="4"/>
  <c r="AF40" i="4"/>
  <c r="AE40" i="4"/>
  <c r="AD40" i="4"/>
  <c r="AC40" i="4"/>
  <c r="AB40" i="4"/>
  <c r="AA40" i="4"/>
  <c r="Z40" i="4"/>
  <c r="Y40" i="4"/>
  <c r="X40" i="4"/>
  <c r="W40" i="4"/>
  <c r="V40" i="4"/>
  <c r="U40" i="4"/>
  <c r="T40" i="4"/>
  <c r="S40" i="4"/>
  <c r="R40" i="4"/>
  <c r="Q40" i="4"/>
  <c r="P40" i="4"/>
  <c r="O40" i="4"/>
  <c r="N40" i="4"/>
  <c r="M40" i="4"/>
  <c r="L40" i="4"/>
  <c r="K40" i="4"/>
  <c r="J40" i="4"/>
  <c r="I40" i="4"/>
  <c r="H40" i="4"/>
  <c r="G40" i="4"/>
  <c r="AF39" i="4"/>
  <c r="AE39" i="4"/>
  <c r="AD39" i="4"/>
  <c r="AC39" i="4"/>
  <c r="AB39" i="4"/>
  <c r="AA39" i="4"/>
  <c r="Z39" i="4"/>
  <c r="Y39" i="4"/>
  <c r="X39" i="4"/>
  <c r="W39" i="4"/>
  <c r="V39" i="4"/>
  <c r="U39" i="4"/>
  <c r="T39" i="4"/>
  <c r="S39" i="4"/>
  <c r="R39" i="4"/>
  <c r="Q39" i="4"/>
  <c r="P39" i="4"/>
  <c r="O39" i="4"/>
  <c r="N39" i="4"/>
  <c r="M39" i="4"/>
  <c r="L39" i="4"/>
  <c r="K39" i="4"/>
  <c r="J39" i="4"/>
  <c r="I39" i="4"/>
  <c r="H39" i="4"/>
  <c r="G39" i="4"/>
  <c r="AF38" i="4"/>
  <c r="AE38" i="4"/>
  <c r="AD38" i="4"/>
  <c r="AC38" i="4"/>
  <c r="AB38" i="4"/>
  <c r="AA38" i="4"/>
  <c r="Z38" i="4"/>
  <c r="Y38" i="4"/>
  <c r="X38" i="4"/>
  <c r="W38" i="4"/>
  <c r="V38" i="4"/>
  <c r="U38" i="4"/>
  <c r="T38" i="4"/>
  <c r="S38" i="4"/>
  <c r="R38" i="4"/>
  <c r="Q38" i="4"/>
  <c r="P38" i="4"/>
  <c r="O38" i="4"/>
  <c r="N38" i="4"/>
  <c r="M38" i="4"/>
  <c r="L38" i="4"/>
  <c r="K38" i="4"/>
  <c r="J38" i="4"/>
  <c r="I38" i="4"/>
  <c r="H38" i="4"/>
  <c r="G38" i="4"/>
  <c r="AF37" i="4"/>
  <c r="AE37" i="4"/>
  <c r="AD37" i="4"/>
  <c r="AC37" i="4"/>
  <c r="AB37" i="4"/>
  <c r="AA37" i="4"/>
  <c r="Z37" i="4"/>
  <c r="Y37" i="4"/>
  <c r="X37" i="4"/>
  <c r="W37" i="4"/>
  <c r="V37" i="4"/>
  <c r="U37" i="4"/>
  <c r="T37" i="4"/>
  <c r="S37" i="4"/>
  <c r="R37" i="4"/>
  <c r="Q37" i="4"/>
  <c r="P37" i="4"/>
  <c r="O37" i="4"/>
  <c r="N37" i="4"/>
  <c r="M37" i="4"/>
  <c r="L37" i="4"/>
  <c r="K37" i="4"/>
  <c r="J37" i="4"/>
  <c r="I37" i="4"/>
  <c r="H37" i="4"/>
  <c r="G37" i="4"/>
  <c r="AF36" i="4"/>
  <c r="AE36" i="4"/>
  <c r="AD36" i="4"/>
  <c r="AC36" i="4"/>
  <c r="AB36" i="4"/>
  <c r="AA36" i="4"/>
  <c r="Z36" i="4"/>
  <c r="Y36" i="4"/>
  <c r="X36" i="4"/>
  <c r="W36" i="4"/>
  <c r="V36" i="4"/>
  <c r="U36" i="4"/>
  <c r="T36" i="4"/>
  <c r="S36" i="4"/>
  <c r="R36" i="4"/>
  <c r="Q36" i="4"/>
  <c r="P36" i="4"/>
  <c r="O36" i="4"/>
  <c r="N36" i="4"/>
  <c r="M36" i="4"/>
  <c r="L36" i="4"/>
  <c r="K36" i="4"/>
  <c r="J36" i="4"/>
  <c r="I36" i="4"/>
  <c r="H36" i="4"/>
  <c r="G36" i="4"/>
  <c r="AF35" i="4"/>
  <c r="AE35" i="4"/>
  <c r="AD35" i="4"/>
  <c r="AC35" i="4"/>
  <c r="AB35" i="4"/>
  <c r="AA35" i="4"/>
  <c r="Z35" i="4"/>
  <c r="Y35" i="4"/>
  <c r="X35" i="4"/>
  <c r="W35" i="4"/>
  <c r="V35" i="4"/>
  <c r="U35" i="4"/>
  <c r="T35" i="4"/>
  <c r="S35" i="4"/>
  <c r="R35" i="4"/>
  <c r="Q35" i="4"/>
  <c r="P35" i="4"/>
  <c r="O35" i="4"/>
  <c r="N35" i="4"/>
  <c r="M35" i="4"/>
  <c r="L35" i="4"/>
  <c r="K35" i="4"/>
  <c r="J35" i="4"/>
  <c r="I35" i="4"/>
  <c r="H35" i="4"/>
  <c r="G35" i="4"/>
  <c r="AF34" i="4"/>
  <c r="AE34" i="4"/>
  <c r="AD34" i="4"/>
  <c r="AC34" i="4"/>
  <c r="AB34" i="4"/>
  <c r="AA34" i="4"/>
  <c r="Z34" i="4"/>
  <c r="Y34" i="4"/>
  <c r="X34" i="4"/>
  <c r="W34" i="4"/>
  <c r="V34" i="4"/>
  <c r="U34" i="4"/>
  <c r="T34" i="4"/>
  <c r="S34" i="4"/>
  <c r="R34" i="4"/>
  <c r="Q34" i="4"/>
  <c r="P34" i="4"/>
  <c r="O34" i="4"/>
  <c r="N34" i="4"/>
  <c r="M34" i="4"/>
  <c r="L34" i="4"/>
  <c r="K34" i="4"/>
  <c r="J34" i="4"/>
  <c r="I34" i="4"/>
  <c r="H34" i="4"/>
  <c r="G34" i="4"/>
  <c r="AF33" i="4"/>
  <c r="AE33" i="4"/>
  <c r="AD33" i="4"/>
  <c r="AC33" i="4"/>
  <c r="AB33" i="4"/>
  <c r="AA33" i="4"/>
  <c r="Z33" i="4"/>
  <c r="Y33" i="4"/>
  <c r="X33" i="4"/>
  <c r="W33" i="4"/>
  <c r="V33" i="4"/>
  <c r="U33" i="4"/>
  <c r="T33" i="4"/>
  <c r="S33" i="4"/>
  <c r="R33" i="4"/>
  <c r="Q33" i="4"/>
  <c r="P33" i="4"/>
  <c r="O33" i="4"/>
  <c r="N33" i="4"/>
  <c r="M33" i="4"/>
  <c r="L33" i="4"/>
  <c r="K33" i="4"/>
  <c r="J33" i="4"/>
  <c r="I33" i="4"/>
  <c r="H33" i="4"/>
  <c r="G33" i="4"/>
  <c r="AF32" i="4"/>
  <c r="AE32" i="4"/>
  <c r="AD32" i="4"/>
  <c r="AC32" i="4"/>
  <c r="AB32" i="4"/>
  <c r="AA32" i="4"/>
  <c r="Z32" i="4"/>
  <c r="Y32" i="4"/>
  <c r="X32" i="4"/>
  <c r="W32" i="4"/>
  <c r="V32" i="4"/>
  <c r="U32" i="4"/>
  <c r="T32" i="4"/>
  <c r="S32" i="4"/>
  <c r="R32" i="4"/>
  <c r="Q32" i="4"/>
  <c r="P32" i="4"/>
  <c r="O32" i="4"/>
  <c r="N32" i="4"/>
  <c r="M32" i="4"/>
  <c r="L32" i="4"/>
  <c r="K32" i="4"/>
  <c r="J32" i="4"/>
  <c r="I32" i="4"/>
  <c r="H32" i="4"/>
  <c r="G32" i="4"/>
  <c r="AF31" i="4"/>
  <c r="AE31" i="4"/>
  <c r="AD31" i="4"/>
  <c r="AC31" i="4"/>
  <c r="AB31" i="4"/>
  <c r="AA31" i="4"/>
  <c r="Z31" i="4"/>
  <c r="Y31" i="4"/>
  <c r="X31" i="4"/>
  <c r="W31" i="4"/>
  <c r="V31" i="4"/>
  <c r="U31" i="4"/>
  <c r="T31" i="4"/>
  <c r="S31" i="4"/>
  <c r="R31" i="4"/>
  <c r="Q31" i="4"/>
  <c r="P31" i="4"/>
  <c r="O31" i="4"/>
  <c r="N31" i="4"/>
  <c r="M31" i="4"/>
  <c r="L31" i="4"/>
  <c r="K31" i="4"/>
  <c r="J31" i="4"/>
  <c r="I31" i="4"/>
  <c r="H31" i="4"/>
  <c r="G31" i="4"/>
  <c r="AF30" i="4"/>
  <c r="AE30" i="4"/>
  <c r="AD30" i="4"/>
  <c r="AC30" i="4"/>
  <c r="AB30" i="4"/>
  <c r="AA30" i="4"/>
  <c r="Z30" i="4"/>
  <c r="Y30" i="4"/>
  <c r="X30" i="4"/>
  <c r="W30" i="4"/>
  <c r="V30" i="4"/>
  <c r="U30" i="4"/>
  <c r="T30" i="4"/>
  <c r="S30" i="4"/>
  <c r="R30" i="4"/>
  <c r="Q30" i="4"/>
  <c r="P30" i="4"/>
  <c r="O30" i="4"/>
  <c r="N30" i="4"/>
  <c r="M30" i="4"/>
  <c r="L30" i="4"/>
  <c r="K30" i="4"/>
  <c r="J30" i="4"/>
  <c r="I30" i="4"/>
  <c r="H30" i="4"/>
  <c r="G30" i="4"/>
  <c r="AF29" i="4"/>
  <c r="AE29" i="4"/>
  <c r="AD29" i="4"/>
  <c r="AC29" i="4"/>
  <c r="AB29" i="4"/>
  <c r="AA29" i="4"/>
  <c r="Z29" i="4"/>
  <c r="Y29" i="4"/>
  <c r="X29" i="4"/>
  <c r="W29" i="4"/>
  <c r="V29" i="4"/>
  <c r="U29" i="4"/>
  <c r="T29" i="4"/>
  <c r="S29" i="4"/>
  <c r="R29" i="4"/>
  <c r="Q29" i="4"/>
  <c r="P29" i="4"/>
  <c r="O29" i="4"/>
  <c r="N29" i="4"/>
  <c r="M29" i="4"/>
  <c r="L29" i="4"/>
  <c r="K29" i="4"/>
  <c r="J29" i="4"/>
  <c r="I29" i="4"/>
  <c r="H29" i="4"/>
  <c r="G29" i="4"/>
  <c r="AF28" i="4"/>
  <c r="AE28" i="4"/>
  <c r="AD28" i="4"/>
  <c r="AC28" i="4"/>
  <c r="AB28" i="4"/>
  <c r="AA28" i="4"/>
  <c r="Z28" i="4"/>
  <c r="Y28" i="4"/>
  <c r="X28" i="4"/>
  <c r="W28" i="4"/>
  <c r="V28" i="4"/>
  <c r="U28" i="4"/>
  <c r="T28" i="4"/>
  <c r="S28" i="4"/>
  <c r="R28" i="4"/>
  <c r="Q28" i="4"/>
  <c r="P28" i="4"/>
  <c r="O28" i="4"/>
  <c r="N28" i="4"/>
  <c r="M28" i="4"/>
  <c r="L28" i="4"/>
  <c r="K28" i="4"/>
  <c r="J28" i="4"/>
  <c r="I28" i="4"/>
  <c r="H28" i="4"/>
  <c r="G28" i="4"/>
  <c r="AF27" i="4"/>
  <c r="AE27" i="4"/>
  <c r="AD27" i="4"/>
  <c r="AC27" i="4"/>
  <c r="AB27" i="4"/>
  <c r="AA27" i="4"/>
  <c r="Z27" i="4"/>
  <c r="Y27" i="4"/>
  <c r="X27" i="4"/>
  <c r="W27" i="4"/>
  <c r="V27" i="4"/>
  <c r="U27" i="4"/>
  <c r="T27" i="4"/>
  <c r="S27" i="4"/>
  <c r="R27" i="4"/>
  <c r="Q27" i="4"/>
  <c r="P27" i="4"/>
  <c r="O27" i="4"/>
  <c r="N27" i="4"/>
  <c r="M27" i="4"/>
  <c r="L27" i="4"/>
  <c r="K27" i="4"/>
  <c r="J27" i="4"/>
  <c r="I27" i="4"/>
  <c r="H27" i="4"/>
  <c r="G27" i="4"/>
  <c r="AF26" i="4"/>
  <c r="AE26" i="4"/>
  <c r="AD26" i="4"/>
  <c r="AC26" i="4"/>
  <c r="AB26" i="4"/>
  <c r="AA26" i="4"/>
  <c r="Z26" i="4"/>
  <c r="Y26" i="4"/>
  <c r="X26" i="4"/>
  <c r="W26" i="4"/>
  <c r="V26" i="4"/>
  <c r="U26" i="4"/>
  <c r="T26" i="4"/>
  <c r="S26" i="4"/>
  <c r="R26" i="4"/>
  <c r="Q26" i="4"/>
  <c r="P26" i="4"/>
  <c r="O26" i="4"/>
  <c r="N26" i="4"/>
  <c r="M26" i="4"/>
  <c r="L26" i="4"/>
  <c r="K26" i="4"/>
  <c r="J26" i="4"/>
  <c r="I26" i="4"/>
  <c r="H26" i="4"/>
  <c r="G26" i="4"/>
  <c r="AF25" i="4"/>
  <c r="AE25" i="4"/>
  <c r="AD25" i="4"/>
  <c r="AC25" i="4"/>
  <c r="AB25" i="4"/>
  <c r="AA25" i="4"/>
  <c r="Z25" i="4"/>
  <c r="Y25" i="4"/>
  <c r="X25" i="4"/>
  <c r="W25" i="4"/>
  <c r="V25" i="4"/>
  <c r="U25" i="4"/>
  <c r="T25" i="4"/>
  <c r="S25" i="4"/>
  <c r="R25" i="4"/>
  <c r="Q25" i="4"/>
  <c r="P25" i="4"/>
  <c r="O25" i="4"/>
  <c r="N25" i="4"/>
  <c r="M25" i="4"/>
  <c r="L25" i="4"/>
  <c r="K25" i="4"/>
  <c r="J25" i="4"/>
  <c r="I25" i="4"/>
  <c r="H25" i="4"/>
  <c r="G25" i="4"/>
  <c r="AF24" i="4"/>
  <c r="AE24" i="4"/>
  <c r="AD24" i="4"/>
  <c r="AC24" i="4"/>
  <c r="AB24" i="4"/>
  <c r="AA24" i="4"/>
  <c r="Z24" i="4"/>
  <c r="Y24" i="4"/>
  <c r="X24" i="4"/>
  <c r="W24" i="4"/>
  <c r="V24" i="4"/>
  <c r="U24" i="4"/>
  <c r="T24" i="4"/>
  <c r="S24" i="4"/>
  <c r="R24" i="4"/>
  <c r="Q24" i="4"/>
  <c r="P24" i="4"/>
  <c r="O24" i="4"/>
  <c r="N24" i="4"/>
  <c r="M24" i="4"/>
  <c r="L24" i="4"/>
  <c r="K24" i="4"/>
  <c r="J24" i="4"/>
  <c r="I24" i="4"/>
  <c r="H24" i="4"/>
  <c r="G24" i="4"/>
  <c r="AF23" i="4"/>
  <c r="AE23" i="4"/>
  <c r="AD23" i="4"/>
  <c r="AC23" i="4"/>
  <c r="AB23" i="4"/>
  <c r="AA23" i="4"/>
  <c r="Z23" i="4"/>
  <c r="Y23" i="4"/>
  <c r="X23" i="4"/>
  <c r="W23" i="4"/>
  <c r="V23" i="4"/>
  <c r="U23" i="4"/>
  <c r="T23" i="4"/>
  <c r="S23" i="4"/>
  <c r="R23" i="4"/>
  <c r="Q23" i="4"/>
  <c r="P23" i="4"/>
  <c r="O23" i="4"/>
  <c r="N23" i="4"/>
  <c r="M23" i="4"/>
  <c r="L23" i="4"/>
  <c r="K23" i="4"/>
  <c r="J23" i="4"/>
  <c r="I23" i="4"/>
  <c r="H23" i="4"/>
  <c r="G23" i="4"/>
  <c r="AF22" i="4"/>
  <c r="AE22" i="4"/>
  <c r="AD22" i="4"/>
  <c r="AC22" i="4"/>
  <c r="AB22" i="4"/>
  <c r="AA22" i="4"/>
  <c r="Z22" i="4"/>
  <c r="Y22" i="4"/>
  <c r="X22" i="4"/>
  <c r="W22" i="4"/>
  <c r="V22" i="4"/>
  <c r="U22" i="4"/>
  <c r="T22" i="4"/>
  <c r="S22" i="4"/>
  <c r="R22" i="4"/>
  <c r="Q22" i="4"/>
  <c r="P22" i="4"/>
  <c r="O22" i="4"/>
  <c r="N22" i="4"/>
  <c r="M22" i="4"/>
  <c r="L22" i="4"/>
  <c r="K22" i="4"/>
  <c r="J22" i="4"/>
  <c r="I22" i="4"/>
  <c r="H22" i="4"/>
  <c r="G22" i="4"/>
  <c r="AF21" i="4"/>
  <c r="AE21" i="4"/>
  <c r="AD21" i="4"/>
  <c r="AC21" i="4"/>
  <c r="AB21" i="4"/>
  <c r="AA21" i="4"/>
  <c r="Z21" i="4"/>
  <c r="Y21" i="4"/>
  <c r="X21" i="4"/>
  <c r="W21" i="4"/>
  <c r="V21" i="4"/>
  <c r="U21" i="4"/>
  <c r="T21" i="4"/>
  <c r="S21" i="4"/>
  <c r="R21" i="4"/>
  <c r="Q21" i="4"/>
  <c r="P21" i="4"/>
  <c r="O21" i="4"/>
  <c r="N21" i="4"/>
  <c r="M21" i="4"/>
  <c r="L21" i="4"/>
  <c r="K21" i="4"/>
  <c r="J21" i="4"/>
  <c r="I21" i="4"/>
  <c r="H21" i="4"/>
  <c r="G21" i="4"/>
  <c r="AF20" i="4"/>
  <c r="AE20" i="4"/>
  <c r="AD20" i="4"/>
  <c r="AC20" i="4"/>
  <c r="AB20" i="4"/>
  <c r="AA20" i="4"/>
  <c r="Z20" i="4"/>
  <c r="Y20" i="4"/>
  <c r="X20" i="4"/>
  <c r="W20" i="4"/>
  <c r="V20" i="4"/>
  <c r="U20" i="4"/>
  <c r="T20" i="4"/>
  <c r="S20" i="4"/>
  <c r="R20" i="4"/>
  <c r="Q20" i="4"/>
  <c r="P20" i="4"/>
  <c r="O20" i="4"/>
  <c r="N20" i="4"/>
  <c r="M20" i="4"/>
  <c r="L20" i="4"/>
  <c r="K20" i="4"/>
  <c r="J20" i="4"/>
  <c r="I20" i="4"/>
  <c r="H20" i="4"/>
  <c r="G20" i="4"/>
  <c r="AF19" i="4"/>
  <c r="AE19" i="4"/>
  <c r="AD19" i="4"/>
  <c r="AC19" i="4"/>
  <c r="AB19" i="4"/>
  <c r="AA19" i="4"/>
  <c r="Z19" i="4"/>
  <c r="Y19" i="4"/>
  <c r="X19" i="4"/>
  <c r="W19" i="4"/>
  <c r="V19" i="4"/>
  <c r="U19" i="4"/>
  <c r="T19" i="4"/>
  <c r="S19" i="4"/>
  <c r="R19" i="4"/>
  <c r="Q19" i="4"/>
  <c r="P19" i="4"/>
  <c r="O19" i="4"/>
  <c r="N19" i="4"/>
  <c r="M19" i="4"/>
  <c r="L19" i="4"/>
  <c r="K19" i="4"/>
  <c r="J19" i="4"/>
  <c r="I19" i="4"/>
  <c r="H19" i="4"/>
  <c r="G19" i="4"/>
  <c r="AF18" i="4"/>
  <c r="AE18" i="4"/>
  <c r="AD18" i="4"/>
  <c r="AC18" i="4"/>
  <c r="AB18" i="4"/>
  <c r="AA18" i="4"/>
  <c r="Z18" i="4"/>
  <c r="Y18" i="4"/>
  <c r="X18" i="4"/>
  <c r="W18" i="4"/>
  <c r="V18" i="4"/>
  <c r="U18" i="4"/>
  <c r="T18" i="4"/>
  <c r="S18" i="4"/>
  <c r="R18" i="4"/>
  <c r="Q18" i="4"/>
  <c r="P18" i="4"/>
  <c r="O18" i="4"/>
  <c r="N18" i="4"/>
  <c r="M18" i="4"/>
  <c r="L18" i="4"/>
  <c r="K18" i="4"/>
  <c r="J18" i="4"/>
  <c r="I18" i="4"/>
  <c r="H18" i="4"/>
  <c r="G18" i="4"/>
  <c r="AF17" i="4"/>
  <c r="AE17" i="4"/>
  <c r="AD17" i="4"/>
  <c r="AC17" i="4"/>
  <c r="AB17" i="4"/>
  <c r="AA17" i="4"/>
  <c r="Z17" i="4"/>
  <c r="Y17" i="4"/>
  <c r="X17" i="4"/>
  <c r="W17" i="4"/>
  <c r="V17" i="4"/>
  <c r="U17" i="4"/>
  <c r="T17" i="4"/>
  <c r="S17" i="4"/>
  <c r="R17" i="4"/>
  <c r="Q17" i="4"/>
  <c r="P17" i="4"/>
  <c r="O17" i="4"/>
  <c r="N17" i="4"/>
  <c r="M17" i="4"/>
  <c r="L17" i="4"/>
  <c r="K17" i="4"/>
  <c r="J17" i="4"/>
  <c r="I17" i="4"/>
  <c r="H17" i="4"/>
  <c r="G17" i="4"/>
  <c r="AF16" i="4"/>
  <c r="AE16" i="4"/>
  <c r="AD16" i="4"/>
  <c r="AC16" i="4"/>
  <c r="AB16" i="4"/>
  <c r="AA16" i="4"/>
  <c r="Z16" i="4"/>
  <c r="Y16" i="4"/>
  <c r="X16" i="4"/>
  <c r="W16" i="4"/>
  <c r="V16" i="4"/>
  <c r="U16" i="4"/>
  <c r="T16" i="4"/>
  <c r="S16" i="4"/>
  <c r="R16" i="4"/>
  <c r="Q16" i="4"/>
  <c r="P16" i="4"/>
  <c r="O16" i="4"/>
  <c r="N16" i="4"/>
  <c r="M16" i="4"/>
  <c r="L16" i="4"/>
  <c r="K16" i="4"/>
  <c r="J16" i="4"/>
  <c r="I16" i="4"/>
  <c r="H16" i="4"/>
  <c r="G16" i="4"/>
  <c r="AF15" i="4"/>
  <c r="AE15" i="4"/>
  <c r="AD15" i="4"/>
  <c r="AC15" i="4"/>
  <c r="AB15" i="4"/>
  <c r="AA15" i="4"/>
  <c r="Z15" i="4"/>
  <c r="Y15" i="4"/>
  <c r="X15" i="4"/>
  <c r="W15" i="4"/>
  <c r="V15" i="4"/>
  <c r="U15" i="4"/>
  <c r="T15" i="4"/>
  <c r="S15" i="4"/>
  <c r="R15" i="4"/>
  <c r="Q15" i="4"/>
  <c r="P15" i="4"/>
  <c r="O15" i="4"/>
  <c r="N15" i="4"/>
  <c r="M15" i="4"/>
  <c r="L15" i="4"/>
  <c r="K15" i="4"/>
  <c r="J15" i="4"/>
  <c r="I15" i="4"/>
  <c r="H15" i="4"/>
  <c r="G15" i="4"/>
  <c r="AF14" i="4"/>
  <c r="AE14" i="4"/>
  <c r="AD14" i="4"/>
  <c r="AC14" i="4"/>
  <c r="AB14" i="4"/>
  <c r="AA14" i="4"/>
  <c r="Z14" i="4"/>
  <c r="Y14" i="4"/>
  <c r="X14" i="4"/>
  <c r="W14" i="4"/>
  <c r="V14" i="4"/>
  <c r="U14" i="4"/>
  <c r="T14" i="4"/>
  <c r="S14" i="4"/>
  <c r="R14" i="4"/>
  <c r="Q14" i="4"/>
  <c r="P14" i="4"/>
  <c r="O14" i="4"/>
  <c r="N14" i="4"/>
  <c r="M14" i="4"/>
  <c r="L14" i="4"/>
  <c r="K14" i="4"/>
  <c r="J14" i="4"/>
  <c r="I14" i="4"/>
  <c r="H14" i="4"/>
  <c r="G14" i="4"/>
  <c r="AF13" i="4"/>
  <c r="AE13" i="4"/>
  <c r="AD13" i="4"/>
  <c r="AC13" i="4"/>
  <c r="AB13" i="4"/>
  <c r="AA13" i="4"/>
  <c r="Z13" i="4"/>
  <c r="Y13" i="4"/>
  <c r="X13" i="4"/>
  <c r="W13" i="4"/>
  <c r="V13" i="4"/>
  <c r="U13" i="4"/>
  <c r="T13" i="4"/>
  <c r="S13" i="4"/>
  <c r="R13" i="4"/>
  <c r="Q13" i="4"/>
  <c r="P13" i="4"/>
  <c r="O13" i="4"/>
  <c r="N13" i="4"/>
  <c r="M13" i="4"/>
  <c r="L13" i="4"/>
  <c r="K13" i="4"/>
  <c r="J13" i="4"/>
  <c r="I13" i="4"/>
  <c r="H13" i="4"/>
  <c r="G13" i="4"/>
  <c r="AF12" i="4"/>
  <c r="AE12" i="4"/>
  <c r="AD12" i="4"/>
  <c r="AC12" i="4"/>
  <c r="AB12" i="4"/>
  <c r="AA12" i="4"/>
  <c r="Z12" i="4"/>
  <c r="Y12" i="4"/>
  <c r="X12" i="4"/>
  <c r="W12" i="4"/>
  <c r="V12" i="4"/>
  <c r="U12" i="4"/>
  <c r="T12" i="4"/>
  <c r="S12" i="4"/>
  <c r="R12" i="4"/>
  <c r="Q12" i="4"/>
  <c r="P12" i="4"/>
  <c r="O12" i="4"/>
  <c r="N12" i="4"/>
  <c r="M12" i="4"/>
  <c r="L12" i="4"/>
  <c r="K12" i="4"/>
  <c r="J12" i="4"/>
  <c r="I12" i="4"/>
  <c r="H12" i="4"/>
  <c r="G12" i="4"/>
  <c r="AF11" i="4"/>
  <c r="AE11" i="4"/>
  <c r="AD11" i="4"/>
  <c r="AC11" i="4"/>
  <c r="AB11" i="4"/>
  <c r="AA11" i="4"/>
  <c r="Z11" i="4"/>
  <c r="Y11" i="4"/>
  <c r="X11" i="4"/>
  <c r="W11" i="4"/>
  <c r="V11" i="4"/>
  <c r="U11" i="4"/>
  <c r="T11" i="4"/>
  <c r="S11" i="4"/>
  <c r="R11" i="4"/>
  <c r="Q11" i="4"/>
  <c r="P11" i="4"/>
  <c r="O11" i="4"/>
  <c r="N11" i="4"/>
  <c r="M11" i="4"/>
  <c r="L11" i="4"/>
  <c r="K11" i="4"/>
  <c r="J11" i="4"/>
  <c r="I11" i="4"/>
  <c r="H11" i="4"/>
  <c r="G11" i="4"/>
  <c r="AF10" i="4"/>
  <c r="AE10" i="4"/>
  <c r="AD10" i="4"/>
  <c r="AC10" i="4"/>
  <c r="AB10" i="4"/>
  <c r="AA10" i="4"/>
  <c r="Z10" i="4"/>
  <c r="Y10" i="4"/>
  <c r="X10" i="4"/>
  <c r="W10" i="4"/>
  <c r="V10" i="4"/>
  <c r="U10" i="4"/>
  <c r="T10" i="4"/>
  <c r="S10" i="4"/>
  <c r="R10" i="4"/>
  <c r="Q10" i="4"/>
  <c r="P10" i="4"/>
  <c r="O10" i="4"/>
  <c r="N10" i="4"/>
  <c r="M10" i="4"/>
  <c r="L10" i="4"/>
  <c r="K10" i="4"/>
  <c r="J10" i="4"/>
  <c r="I10" i="4"/>
  <c r="H10" i="4"/>
  <c r="G10" i="4"/>
  <c r="AF9" i="4"/>
  <c r="AE9" i="4"/>
  <c r="AD9" i="4"/>
  <c r="AC9" i="4"/>
  <c r="AB9" i="4"/>
  <c r="AA9" i="4"/>
  <c r="Z9" i="4"/>
  <c r="Y9" i="4"/>
  <c r="X9" i="4"/>
  <c r="W9" i="4"/>
  <c r="V9" i="4"/>
  <c r="U9" i="4"/>
  <c r="T9" i="4"/>
  <c r="S9" i="4"/>
  <c r="R9" i="4"/>
  <c r="Q9" i="4"/>
  <c r="P9" i="4"/>
  <c r="O9" i="4"/>
  <c r="N9" i="4"/>
  <c r="M9" i="4"/>
  <c r="L9" i="4"/>
  <c r="K9" i="4"/>
  <c r="J9" i="4"/>
  <c r="I9" i="4"/>
  <c r="H9" i="4"/>
  <c r="G9" i="4"/>
  <c r="AF8" i="4"/>
  <c r="AE8" i="4"/>
  <c r="AD8" i="4"/>
  <c r="AC8" i="4"/>
  <c r="AB8" i="4"/>
  <c r="AA8" i="4"/>
  <c r="Z8" i="4"/>
  <c r="Y8" i="4"/>
  <c r="X8" i="4"/>
  <c r="W8" i="4"/>
  <c r="V8" i="4"/>
  <c r="U8" i="4"/>
  <c r="T8" i="4"/>
  <c r="S8" i="4"/>
  <c r="R8" i="4"/>
  <c r="Q8" i="4"/>
  <c r="P8" i="4"/>
  <c r="O8" i="4"/>
  <c r="N8" i="4"/>
  <c r="M8" i="4"/>
  <c r="L8" i="4"/>
  <c r="K8" i="4"/>
  <c r="J8" i="4"/>
  <c r="I8" i="4"/>
  <c r="H8" i="4"/>
  <c r="G8" i="4"/>
  <c r="AF7" i="4"/>
  <c r="AE7" i="4"/>
  <c r="AD7" i="4"/>
  <c r="AC7" i="4"/>
  <c r="AB7" i="4"/>
  <c r="AA7" i="4"/>
  <c r="Z7" i="4"/>
  <c r="Y7" i="4"/>
  <c r="X7" i="4"/>
  <c r="W7" i="4"/>
  <c r="V7" i="4"/>
  <c r="U7" i="4"/>
  <c r="T7" i="4"/>
  <c r="S7" i="4"/>
  <c r="R7" i="4"/>
  <c r="Q7" i="4"/>
  <c r="P7" i="4"/>
  <c r="O7" i="4"/>
  <c r="N7" i="4"/>
  <c r="M7" i="4"/>
  <c r="L7" i="4"/>
  <c r="K7" i="4"/>
  <c r="J7" i="4"/>
  <c r="I7" i="4"/>
  <c r="H7" i="4"/>
  <c r="G7" i="4"/>
  <c r="AF6" i="4"/>
  <c r="AE6" i="4"/>
  <c r="AD6" i="4"/>
  <c r="AC6" i="4"/>
  <c r="AB6" i="4"/>
  <c r="AA6" i="4"/>
  <c r="Z6" i="4"/>
  <c r="Y6" i="4"/>
  <c r="X6" i="4"/>
  <c r="W6" i="4"/>
  <c r="V6" i="4"/>
  <c r="U6" i="4"/>
  <c r="T6" i="4"/>
  <c r="S6" i="4"/>
  <c r="R6" i="4"/>
  <c r="Q6" i="4"/>
  <c r="P6" i="4"/>
  <c r="O6" i="4"/>
  <c r="N6" i="4"/>
  <c r="M6" i="4"/>
  <c r="L6" i="4"/>
  <c r="K6" i="4"/>
  <c r="J6" i="4"/>
  <c r="I6" i="4"/>
  <c r="H6" i="4"/>
  <c r="G6" i="4"/>
  <c r="AF5" i="4"/>
  <c r="AE5" i="4"/>
  <c r="AD5" i="4"/>
  <c r="AC5" i="4"/>
  <c r="AB5" i="4"/>
  <c r="AA5" i="4"/>
  <c r="Z5" i="4"/>
  <c r="Y5" i="4"/>
  <c r="X5" i="4"/>
  <c r="W5" i="4"/>
  <c r="V5" i="4"/>
  <c r="U5" i="4"/>
  <c r="T5" i="4"/>
  <c r="S5" i="4"/>
  <c r="R5" i="4"/>
  <c r="Q5" i="4"/>
  <c r="P5" i="4"/>
  <c r="O5" i="4"/>
  <c r="N5" i="4"/>
  <c r="M5" i="4"/>
  <c r="L5" i="4"/>
  <c r="K5" i="4"/>
  <c r="J5" i="4"/>
  <c r="I5" i="4"/>
  <c r="H5" i="4"/>
  <c r="G5" i="4"/>
  <c r="AF4" i="4"/>
  <c r="AE4" i="4"/>
  <c r="AD4" i="4"/>
  <c r="AC4" i="4"/>
  <c r="AB4" i="4"/>
  <c r="AA4" i="4"/>
  <c r="Z4" i="4"/>
  <c r="Y4" i="4"/>
  <c r="X4" i="4"/>
  <c r="W4" i="4"/>
  <c r="V4" i="4"/>
  <c r="U4" i="4"/>
  <c r="T4" i="4"/>
  <c r="S4" i="4"/>
  <c r="R4" i="4"/>
  <c r="Q4" i="4"/>
  <c r="P4" i="4"/>
  <c r="O4" i="4"/>
  <c r="N4" i="4"/>
  <c r="M4" i="4"/>
  <c r="L4" i="4"/>
  <c r="K4" i="4"/>
  <c r="J4" i="4"/>
  <c r="I4" i="4"/>
  <c r="H4" i="4"/>
  <c r="G4" i="4"/>
  <c r="AF3" i="4"/>
  <c r="AE3" i="4"/>
  <c r="AD3" i="4"/>
  <c r="AC3" i="4"/>
  <c r="AB3" i="4"/>
  <c r="AA3" i="4"/>
  <c r="Z3" i="4"/>
  <c r="Y3" i="4"/>
  <c r="X3" i="4"/>
  <c r="W3" i="4"/>
  <c r="V3" i="4"/>
  <c r="U3" i="4"/>
  <c r="T3" i="4"/>
  <c r="S3" i="4"/>
  <c r="R3" i="4"/>
  <c r="Q3" i="4"/>
  <c r="P3" i="4"/>
  <c r="O3" i="4"/>
  <c r="N3" i="4"/>
  <c r="M3" i="4"/>
  <c r="L3" i="4"/>
  <c r="K3" i="4"/>
  <c r="J3" i="4"/>
  <c r="I3" i="4"/>
  <c r="H3" i="4"/>
  <c r="G3" i="4"/>
  <c r="AF2" i="4"/>
  <c r="AE2" i="4"/>
  <c r="AD2" i="4"/>
  <c r="AC2" i="4"/>
  <c r="AB2" i="4"/>
  <c r="AA2" i="4"/>
  <c r="Z2" i="4"/>
  <c r="Y2" i="4"/>
  <c r="X2" i="4"/>
  <c r="W2" i="4"/>
  <c r="V2" i="4"/>
  <c r="U2" i="4"/>
  <c r="T2" i="4"/>
  <c r="S2" i="4"/>
  <c r="R2" i="4"/>
  <c r="Q2" i="4"/>
  <c r="P2" i="4"/>
  <c r="O2" i="4"/>
  <c r="N2" i="4"/>
  <c r="M2" i="4"/>
  <c r="L2" i="4"/>
  <c r="K2" i="4"/>
  <c r="J2" i="4"/>
  <c r="I2" i="4"/>
  <c r="H2" i="4"/>
  <c r="G2" i="4"/>
  <c r="AH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2" i="3"/>
  <c r="J612" i="3"/>
  <c r="K612" i="3"/>
  <c r="L612" i="3"/>
  <c r="M612" i="3"/>
  <c r="N612" i="3"/>
  <c r="O612" i="3"/>
  <c r="P612" i="3"/>
  <c r="Q612" i="3"/>
  <c r="R612" i="3"/>
  <c r="S612" i="3"/>
  <c r="T612" i="3"/>
  <c r="U612" i="3"/>
  <c r="V612" i="3"/>
  <c r="W612" i="3"/>
  <c r="X612" i="3"/>
  <c r="Y612" i="3"/>
  <c r="Z612" i="3"/>
  <c r="AA612" i="3"/>
  <c r="AB612" i="3"/>
  <c r="AC612" i="3"/>
  <c r="AD612" i="3"/>
  <c r="AE612" i="3"/>
  <c r="AF612" i="3"/>
  <c r="AG612" i="3"/>
  <c r="J613" i="3"/>
  <c r="K613" i="3"/>
  <c r="L613" i="3"/>
  <c r="M613" i="3"/>
  <c r="N613" i="3"/>
  <c r="O613" i="3"/>
  <c r="P613" i="3"/>
  <c r="Q613" i="3"/>
  <c r="R613" i="3"/>
  <c r="S613" i="3"/>
  <c r="T613" i="3"/>
  <c r="U613" i="3"/>
  <c r="V613" i="3"/>
  <c r="W613" i="3"/>
  <c r="X613" i="3"/>
  <c r="Y613" i="3"/>
  <c r="Z613" i="3"/>
  <c r="AA613" i="3"/>
  <c r="AB613" i="3"/>
  <c r="AC613" i="3"/>
  <c r="AD613" i="3"/>
  <c r="AE613" i="3"/>
  <c r="AF613" i="3"/>
  <c r="AG613" i="3"/>
  <c r="J614" i="3"/>
  <c r="K614" i="3"/>
  <c r="L614" i="3"/>
  <c r="M614" i="3"/>
  <c r="N614" i="3"/>
  <c r="O614" i="3"/>
  <c r="P614" i="3"/>
  <c r="Q614" i="3"/>
  <c r="R614" i="3"/>
  <c r="S614" i="3"/>
  <c r="T614" i="3"/>
  <c r="U614" i="3"/>
  <c r="V614" i="3"/>
  <c r="W614" i="3"/>
  <c r="X614" i="3"/>
  <c r="Y614" i="3"/>
  <c r="Z614" i="3"/>
  <c r="AA614" i="3"/>
  <c r="AB614" i="3"/>
  <c r="AC614" i="3"/>
  <c r="AD614" i="3"/>
  <c r="AE614" i="3"/>
  <c r="AF614" i="3"/>
  <c r="AG614" i="3"/>
  <c r="J615" i="3"/>
  <c r="K615" i="3"/>
  <c r="L615" i="3"/>
  <c r="M615" i="3"/>
  <c r="N615" i="3"/>
  <c r="O615" i="3"/>
  <c r="P615" i="3"/>
  <c r="Q615" i="3"/>
  <c r="R615" i="3"/>
  <c r="S615" i="3"/>
  <c r="T615" i="3"/>
  <c r="U615" i="3"/>
  <c r="V615" i="3"/>
  <c r="W615" i="3"/>
  <c r="X615" i="3"/>
  <c r="Y615" i="3"/>
  <c r="Z615" i="3"/>
  <c r="AA615" i="3"/>
  <c r="AB615" i="3"/>
  <c r="AC615" i="3"/>
  <c r="AD615" i="3"/>
  <c r="AE615" i="3"/>
  <c r="AF615" i="3"/>
  <c r="AG615" i="3"/>
  <c r="J616" i="3"/>
  <c r="K616" i="3"/>
  <c r="L616" i="3"/>
  <c r="M616" i="3"/>
  <c r="N616" i="3"/>
  <c r="O616" i="3"/>
  <c r="P616" i="3"/>
  <c r="Q616" i="3"/>
  <c r="R616" i="3"/>
  <c r="S616" i="3"/>
  <c r="T616" i="3"/>
  <c r="U616" i="3"/>
  <c r="V616" i="3"/>
  <c r="W616" i="3"/>
  <c r="X616" i="3"/>
  <c r="Y616" i="3"/>
  <c r="Z616" i="3"/>
  <c r="AA616" i="3"/>
  <c r="AB616" i="3"/>
  <c r="AC616" i="3"/>
  <c r="AD616" i="3"/>
  <c r="AE616" i="3"/>
  <c r="AF616" i="3"/>
  <c r="AG616" i="3"/>
  <c r="J617" i="3"/>
  <c r="K617" i="3"/>
  <c r="L617" i="3"/>
  <c r="M617" i="3"/>
  <c r="N617" i="3"/>
  <c r="O617" i="3"/>
  <c r="P617" i="3"/>
  <c r="Q617" i="3"/>
  <c r="R617" i="3"/>
  <c r="S617" i="3"/>
  <c r="T617" i="3"/>
  <c r="U617" i="3"/>
  <c r="V617" i="3"/>
  <c r="W617" i="3"/>
  <c r="X617" i="3"/>
  <c r="Y617" i="3"/>
  <c r="Z617" i="3"/>
  <c r="AA617" i="3"/>
  <c r="AB617" i="3"/>
  <c r="AC617" i="3"/>
  <c r="AD617" i="3"/>
  <c r="AE617" i="3"/>
  <c r="AF617" i="3"/>
  <c r="AG617" i="3"/>
  <c r="J618" i="3"/>
  <c r="K618" i="3"/>
  <c r="L618" i="3"/>
  <c r="M618" i="3"/>
  <c r="N618" i="3"/>
  <c r="O618" i="3"/>
  <c r="P618" i="3"/>
  <c r="Q618" i="3"/>
  <c r="R618" i="3"/>
  <c r="S618" i="3"/>
  <c r="T618" i="3"/>
  <c r="U618" i="3"/>
  <c r="V618" i="3"/>
  <c r="W618" i="3"/>
  <c r="X618" i="3"/>
  <c r="Y618" i="3"/>
  <c r="Z618" i="3"/>
  <c r="AA618" i="3"/>
  <c r="AB618" i="3"/>
  <c r="AC618" i="3"/>
  <c r="AD618" i="3"/>
  <c r="AE618" i="3"/>
  <c r="AF618" i="3"/>
  <c r="AG618" i="3"/>
  <c r="J619" i="3"/>
  <c r="K619" i="3"/>
  <c r="L619" i="3"/>
  <c r="M619" i="3"/>
  <c r="N619" i="3"/>
  <c r="O619" i="3"/>
  <c r="P619" i="3"/>
  <c r="Q619" i="3"/>
  <c r="R619" i="3"/>
  <c r="S619" i="3"/>
  <c r="T619" i="3"/>
  <c r="U619" i="3"/>
  <c r="V619" i="3"/>
  <c r="W619" i="3"/>
  <c r="X619" i="3"/>
  <c r="Y619" i="3"/>
  <c r="Z619" i="3"/>
  <c r="AA619" i="3"/>
  <c r="AB619" i="3"/>
  <c r="AC619" i="3"/>
  <c r="AD619" i="3"/>
  <c r="AE619" i="3"/>
  <c r="AF619" i="3"/>
  <c r="AG619" i="3"/>
  <c r="J620" i="3"/>
  <c r="K620" i="3"/>
  <c r="L620" i="3"/>
  <c r="M620" i="3"/>
  <c r="N620" i="3"/>
  <c r="O620" i="3"/>
  <c r="P620" i="3"/>
  <c r="Q620" i="3"/>
  <c r="R620" i="3"/>
  <c r="S620" i="3"/>
  <c r="T620" i="3"/>
  <c r="U620" i="3"/>
  <c r="V620" i="3"/>
  <c r="W620" i="3"/>
  <c r="X620" i="3"/>
  <c r="Y620" i="3"/>
  <c r="Z620" i="3"/>
  <c r="AA620" i="3"/>
  <c r="AB620" i="3"/>
  <c r="AC620" i="3"/>
  <c r="AD620" i="3"/>
  <c r="AE620" i="3"/>
  <c r="AF620" i="3"/>
  <c r="AG620" i="3"/>
  <c r="J621" i="3"/>
  <c r="K621" i="3"/>
  <c r="L621" i="3"/>
  <c r="M621" i="3"/>
  <c r="N621" i="3"/>
  <c r="O621" i="3"/>
  <c r="P621" i="3"/>
  <c r="Q621" i="3"/>
  <c r="R621" i="3"/>
  <c r="S621" i="3"/>
  <c r="T621" i="3"/>
  <c r="U621" i="3"/>
  <c r="V621" i="3"/>
  <c r="W621" i="3"/>
  <c r="X621" i="3"/>
  <c r="Y621" i="3"/>
  <c r="Z621" i="3"/>
  <c r="AA621" i="3"/>
  <c r="AB621" i="3"/>
  <c r="AC621" i="3"/>
  <c r="AD621" i="3"/>
  <c r="AE621" i="3"/>
  <c r="AF621" i="3"/>
  <c r="AG621" i="3"/>
  <c r="J622" i="3"/>
  <c r="K622" i="3"/>
  <c r="L622" i="3"/>
  <c r="M622" i="3"/>
  <c r="N622" i="3"/>
  <c r="O622" i="3"/>
  <c r="P622" i="3"/>
  <c r="Q622" i="3"/>
  <c r="R622" i="3"/>
  <c r="S622" i="3"/>
  <c r="T622" i="3"/>
  <c r="U622" i="3"/>
  <c r="V622" i="3"/>
  <c r="W622" i="3"/>
  <c r="X622" i="3"/>
  <c r="Y622" i="3"/>
  <c r="Z622" i="3"/>
  <c r="AA622" i="3"/>
  <c r="AB622" i="3"/>
  <c r="AC622" i="3"/>
  <c r="AD622" i="3"/>
  <c r="AE622" i="3"/>
  <c r="AF622" i="3"/>
  <c r="AG622" i="3"/>
  <c r="J623" i="3"/>
  <c r="K623" i="3"/>
  <c r="L623" i="3"/>
  <c r="M623" i="3"/>
  <c r="N623" i="3"/>
  <c r="O623" i="3"/>
  <c r="P623" i="3"/>
  <c r="Q623" i="3"/>
  <c r="R623" i="3"/>
  <c r="S623" i="3"/>
  <c r="T623" i="3"/>
  <c r="U623" i="3"/>
  <c r="V623" i="3"/>
  <c r="W623" i="3"/>
  <c r="X623" i="3"/>
  <c r="Y623" i="3"/>
  <c r="Z623" i="3"/>
  <c r="AA623" i="3"/>
  <c r="AB623" i="3"/>
  <c r="AC623" i="3"/>
  <c r="AD623" i="3"/>
  <c r="AE623" i="3"/>
  <c r="AF623" i="3"/>
  <c r="AG623" i="3"/>
  <c r="J624" i="3"/>
  <c r="K624" i="3"/>
  <c r="L624" i="3"/>
  <c r="M624" i="3"/>
  <c r="N624" i="3"/>
  <c r="O624" i="3"/>
  <c r="P624" i="3"/>
  <c r="Q624" i="3"/>
  <c r="R624" i="3"/>
  <c r="S624" i="3"/>
  <c r="T624" i="3"/>
  <c r="U624" i="3"/>
  <c r="V624" i="3"/>
  <c r="W624" i="3"/>
  <c r="X624" i="3"/>
  <c r="Y624" i="3"/>
  <c r="Z624" i="3"/>
  <c r="AA624" i="3"/>
  <c r="AB624" i="3"/>
  <c r="AC624" i="3"/>
  <c r="AD624" i="3"/>
  <c r="AE624" i="3"/>
  <c r="AF624" i="3"/>
  <c r="AG624" i="3"/>
  <c r="J625" i="3"/>
  <c r="K625" i="3"/>
  <c r="L625" i="3"/>
  <c r="M625" i="3"/>
  <c r="N625" i="3"/>
  <c r="O625" i="3"/>
  <c r="P625" i="3"/>
  <c r="Q625" i="3"/>
  <c r="R625" i="3"/>
  <c r="S625" i="3"/>
  <c r="T625" i="3"/>
  <c r="U625" i="3"/>
  <c r="V625" i="3"/>
  <c r="W625" i="3"/>
  <c r="X625" i="3"/>
  <c r="Y625" i="3"/>
  <c r="Z625" i="3"/>
  <c r="AA625" i="3"/>
  <c r="AB625" i="3"/>
  <c r="AC625" i="3"/>
  <c r="AD625" i="3"/>
  <c r="AE625" i="3"/>
  <c r="AF625" i="3"/>
  <c r="AG625" i="3"/>
  <c r="J626" i="3"/>
  <c r="K626" i="3"/>
  <c r="L626" i="3"/>
  <c r="M626" i="3"/>
  <c r="N626" i="3"/>
  <c r="O626" i="3"/>
  <c r="P626" i="3"/>
  <c r="Q626" i="3"/>
  <c r="R626" i="3"/>
  <c r="S626" i="3"/>
  <c r="T626" i="3"/>
  <c r="U626" i="3"/>
  <c r="V626" i="3"/>
  <c r="W626" i="3"/>
  <c r="X626" i="3"/>
  <c r="Y626" i="3"/>
  <c r="Z626" i="3"/>
  <c r="AA626" i="3"/>
  <c r="AB626" i="3"/>
  <c r="AC626" i="3"/>
  <c r="AD626" i="3"/>
  <c r="AE626" i="3"/>
  <c r="AF626" i="3"/>
  <c r="AG626" i="3"/>
  <c r="J627" i="3"/>
  <c r="K627" i="3"/>
  <c r="L627" i="3"/>
  <c r="M627" i="3"/>
  <c r="N627" i="3"/>
  <c r="O627" i="3"/>
  <c r="P627" i="3"/>
  <c r="Q627" i="3"/>
  <c r="R627" i="3"/>
  <c r="S627" i="3"/>
  <c r="T627" i="3"/>
  <c r="U627" i="3"/>
  <c r="V627" i="3"/>
  <c r="W627" i="3"/>
  <c r="X627" i="3"/>
  <c r="Y627" i="3"/>
  <c r="Z627" i="3"/>
  <c r="AA627" i="3"/>
  <c r="AB627" i="3"/>
  <c r="AC627" i="3"/>
  <c r="AD627" i="3"/>
  <c r="AE627" i="3"/>
  <c r="AF627" i="3"/>
  <c r="AG627" i="3"/>
  <c r="J628" i="3"/>
  <c r="K628" i="3"/>
  <c r="L628" i="3"/>
  <c r="M628" i="3"/>
  <c r="N628" i="3"/>
  <c r="O628" i="3"/>
  <c r="P628" i="3"/>
  <c r="Q628" i="3"/>
  <c r="R628" i="3"/>
  <c r="S628" i="3"/>
  <c r="T628" i="3"/>
  <c r="U628" i="3"/>
  <c r="V628" i="3"/>
  <c r="W628" i="3"/>
  <c r="X628" i="3"/>
  <c r="Y628" i="3"/>
  <c r="Z628" i="3"/>
  <c r="AA628" i="3"/>
  <c r="AB628" i="3"/>
  <c r="AC628" i="3"/>
  <c r="AD628" i="3"/>
  <c r="AE628" i="3"/>
  <c r="AF628" i="3"/>
  <c r="AG628" i="3"/>
  <c r="J629" i="3"/>
  <c r="K629" i="3"/>
  <c r="L629" i="3"/>
  <c r="M629" i="3"/>
  <c r="N629" i="3"/>
  <c r="O629" i="3"/>
  <c r="P629" i="3"/>
  <c r="Q629" i="3"/>
  <c r="R629" i="3"/>
  <c r="S629" i="3"/>
  <c r="T629" i="3"/>
  <c r="U629" i="3"/>
  <c r="V629" i="3"/>
  <c r="W629" i="3"/>
  <c r="X629" i="3"/>
  <c r="Y629" i="3"/>
  <c r="Z629" i="3"/>
  <c r="AA629" i="3"/>
  <c r="AB629" i="3"/>
  <c r="AC629" i="3"/>
  <c r="AD629" i="3"/>
  <c r="AE629" i="3"/>
  <c r="AF629" i="3"/>
  <c r="AG629" i="3"/>
  <c r="J630" i="3"/>
  <c r="K630" i="3"/>
  <c r="L630" i="3"/>
  <c r="M630" i="3"/>
  <c r="N630" i="3"/>
  <c r="O630" i="3"/>
  <c r="P630" i="3"/>
  <c r="Q630" i="3"/>
  <c r="R630" i="3"/>
  <c r="S630" i="3"/>
  <c r="T630" i="3"/>
  <c r="U630" i="3"/>
  <c r="V630" i="3"/>
  <c r="W630" i="3"/>
  <c r="X630" i="3"/>
  <c r="Y630" i="3"/>
  <c r="Z630" i="3"/>
  <c r="AA630" i="3"/>
  <c r="AB630" i="3"/>
  <c r="AC630" i="3"/>
  <c r="AD630" i="3"/>
  <c r="AE630" i="3"/>
  <c r="AF630" i="3"/>
  <c r="AG630" i="3"/>
  <c r="J631" i="3"/>
  <c r="K631" i="3"/>
  <c r="L631" i="3"/>
  <c r="M631" i="3"/>
  <c r="N631" i="3"/>
  <c r="O631" i="3"/>
  <c r="P631" i="3"/>
  <c r="Q631" i="3"/>
  <c r="R631" i="3"/>
  <c r="S631" i="3"/>
  <c r="T631" i="3"/>
  <c r="U631" i="3"/>
  <c r="V631" i="3"/>
  <c r="W631" i="3"/>
  <c r="X631" i="3"/>
  <c r="Y631" i="3"/>
  <c r="Z631" i="3"/>
  <c r="AA631" i="3"/>
  <c r="AB631" i="3"/>
  <c r="AC631" i="3"/>
  <c r="AD631" i="3"/>
  <c r="AE631" i="3"/>
  <c r="AF631" i="3"/>
  <c r="AG631" i="3"/>
  <c r="J632" i="3"/>
  <c r="K632" i="3"/>
  <c r="L632" i="3"/>
  <c r="M632" i="3"/>
  <c r="N632" i="3"/>
  <c r="O632" i="3"/>
  <c r="P632" i="3"/>
  <c r="Q632" i="3"/>
  <c r="R632" i="3"/>
  <c r="S632" i="3"/>
  <c r="T632" i="3"/>
  <c r="U632" i="3"/>
  <c r="V632" i="3"/>
  <c r="W632" i="3"/>
  <c r="X632" i="3"/>
  <c r="Y632" i="3"/>
  <c r="Z632" i="3"/>
  <c r="AA632" i="3"/>
  <c r="AB632" i="3"/>
  <c r="AC632" i="3"/>
  <c r="AD632" i="3"/>
  <c r="AE632" i="3"/>
  <c r="AF632" i="3"/>
  <c r="AG632" i="3"/>
  <c r="J633" i="3"/>
  <c r="K633" i="3"/>
  <c r="L633" i="3"/>
  <c r="M633" i="3"/>
  <c r="N633" i="3"/>
  <c r="O633" i="3"/>
  <c r="P633" i="3"/>
  <c r="Q633" i="3"/>
  <c r="R633" i="3"/>
  <c r="S633" i="3"/>
  <c r="T633" i="3"/>
  <c r="U633" i="3"/>
  <c r="V633" i="3"/>
  <c r="W633" i="3"/>
  <c r="X633" i="3"/>
  <c r="Y633" i="3"/>
  <c r="Z633" i="3"/>
  <c r="AA633" i="3"/>
  <c r="AB633" i="3"/>
  <c r="AC633" i="3"/>
  <c r="AD633" i="3"/>
  <c r="AE633" i="3"/>
  <c r="AF633" i="3"/>
  <c r="AG633" i="3"/>
  <c r="J634" i="3"/>
  <c r="K634" i="3"/>
  <c r="L634" i="3"/>
  <c r="M634" i="3"/>
  <c r="N634" i="3"/>
  <c r="O634" i="3"/>
  <c r="P634" i="3"/>
  <c r="Q634" i="3"/>
  <c r="R634" i="3"/>
  <c r="S634" i="3"/>
  <c r="T634" i="3"/>
  <c r="U634" i="3"/>
  <c r="V634" i="3"/>
  <c r="W634" i="3"/>
  <c r="X634" i="3"/>
  <c r="Y634" i="3"/>
  <c r="Z634" i="3"/>
  <c r="AA634" i="3"/>
  <c r="AB634" i="3"/>
  <c r="AC634" i="3"/>
  <c r="AD634" i="3"/>
  <c r="AE634" i="3"/>
  <c r="AF634" i="3"/>
  <c r="AG634" i="3"/>
  <c r="J635" i="3"/>
  <c r="K635" i="3"/>
  <c r="L635" i="3"/>
  <c r="M635" i="3"/>
  <c r="N635" i="3"/>
  <c r="O635" i="3"/>
  <c r="P635" i="3"/>
  <c r="Q635" i="3"/>
  <c r="R635" i="3"/>
  <c r="S635" i="3"/>
  <c r="T635" i="3"/>
  <c r="U635" i="3"/>
  <c r="V635" i="3"/>
  <c r="W635" i="3"/>
  <c r="X635" i="3"/>
  <c r="Y635" i="3"/>
  <c r="Z635" i="3"/>
  <c r="AA635" i="3"/>
  <c r="AB635" i="3"/>
  <c r="AC635" i="3"/>
  <c r="AD635" i="3"/>
  <c r="AE635" i="3"/>
  <c r="AF635" i="3"/>
  <c r="AG635" i="3"/>
  <c r="J636" i="3"/>
  <c r="K636" i="3"/>
  <c r="L636" i="3"/>
  <c r="M636" i="3"/>
  <c r="N636" i="3"/>
  <c r="O636" i="3"/>
  <c r="P636" i="3"/>
  <c r="Q636" i="3"/>
  <c r="R636" i="3"/>
  <c r="S636" i="3"/>
  <c r="T636" i="3"/>
  <c r="U636" i="3"/>
  <c r="V636" i="3"/>
  <c r="W636" i="3"/>
  <c r="X636" i="3"/>
  <c r="Y636" i="3"/>
  <c r="Z636" i="3"/>
  <c r="AA636" i="3"/>
  <c r="AB636" i="3"/>
  <c r="AC636" i="3"/>
  <c r="AD636" i="3"/>
  <c r="AE636" i="3"/>
  <c r="AF636" i="3"/>
  <c r="AG636" i="3"/>
  <c r="J637" i="3"/>
  <c r="K637" i="3"/>
  <c r="L637" i="3"/>
  <c r="M637" i="3"/>
  <c r="N637" i="3"/>
  <c r="O637" i="3"/>
  <c r="P637" i="3"/>
  <c r="Q637" i="3"/>
  <c r="R637" i="3"/>
  <c r="S637" i="3"/>
  <c r="T637" i="3"/>
  <c r="U637" i="3"/>
  <c r="V637" i="3"/>
  <c r="W637" i="3"/>
  <c r="X637" i="3"/>
  <c r="Y637" i="3"/>
  <c r="Z637" i="3"/>
  <c r="AA637" i="3"/>
  <c r="AB637" i="3"/>
  <c r="AC637" i="3"/>
  <c r="AD637" i="3"/>
  <c r="AE637" i="3"/>
  <c r="AF637" i="3"/>
  <c r="AG637" i="3"/>
  <c r="J638" i="3"/>
  <c r="K638" i="3"/>
  <c r="L638" i="3"/>
  <c r="M638" i="3"/>
  <c r="N638" i="3"/>
  <c r="O638" i="3"/>
  <c r="P638" i="3"/>
  <c r="Q638" i="3"/>
  <c r="R638" i="3"/>
  <c r="S638" i="3"/>
  <c r="T638" i="3"/>
  <c r="U638" i="3"/>
  <c r="V638" i="3"/>
  <c r="W638" i="3"/>
  <c r="X638" i="3"/>
  <c r="Y638" i="3"/>
  <c r="Z638" i="3"/>
  <c r="AA638" i="3"/>
  <c r="AB638" i="3"/>
  <c r="AC638" i="3"/>
  <c r="AD638" i="3"/>
  <c r="AE638" i="3"/>
  <c r="AF638" i="3"/>
  <c r="AG638" i="3"/>
  <c r="J639" i="3"/>
  <c r="K639" i="3"/>
  <c r="L639" i="3"/>
  <c r="M639" i="3"/>
  <c r="N639" i="3"/>
  <c r="O639" i="3"/>
  <c r="P639" i="3"/>
  <c r="Q639" i="3"/>
  <c r="R639" i="3"/>
  <c r="S639" i="3"/>
  <c r="T639" i="3"/>
  <c r="U639" i="3"/>
  <c r="V639" i="3"/>
  <c r="W639" i="3"/>
  <c r="X639" i="3"/>
  <c r="Y639" i="3"/>
  <c r="Z639" i="3"/>
  <c r="AA639" i="3"/>
  <c r="AB639" i="3"/>
  <c r="AC639" i="3"/>
  <c r="AD639" i="3"/>
  <c r="AE639" i="3"/>
  <c r="AF639" i="3"/>
  <c r="AG639" i="3"/>
  <c r="J640" i="3"/>
  <c r="K640" i="3"/>
  <c r="L640" i="3"/>
  <c r="M640" i="3"/>
  <c r="N640" i="3"/>
  <c r="O640" i="3"/>
  <c r="P640" i="3"/>
  <c r="Q640" i="3"/>
  <c r="R640" i="3"/>
  <c r="S640" i="3"/>
  <c r="T640" i="3"/>
  <c r="U640" i="3"/>
  <c r="V640" i="3"/>
  <c r="W640" i="3"/>
  <c r="X640" i="3"/>
  <c r="Y640" i="3"/>
  <c r="Z640" i="3"/>
  <c r="AA640" i="3"/>
  <c r="AB640" i="3"/>
  <c r="AC640" i="3"/>
  <c r="AD640" i="3"/>
  <c r="AE640" i="3"/>
  <c r="AF640" i="3"/>
  <c r="AG640" i="3"/>
  <c r="J641" i="3"/>
  <c r="K641" i="3"/>
  <c r="L641" i="3"/>
  <c r="M641" i="3"/>
  <c r="N641" i="3"/>
  <c r="O641" i="3"/>
  <c r="P641" i="3"/>
  <c r="Q641" i="3"/>
  <c r="R641" i="3"/>
  <c r="S641" i="3"/>
  <c r="T641" i="3"/>
  <c r="U641" i="3"/>
  <c r="V641" i="3"/>
  <c r="W641" i="3"/>
  <c r="X641" i="3"/>
  <c r="Y641" i="3"/>
  <c r="Z641" i="3"/>
  <c r="AA641" i="3"/>
  <c r="AB641" i="3"/>
  <c r="AC641" i="3"/>
  <c r="AD641" i="3"/>
  <c r="AE641" i="3"/>
  <c r="AF641" i="3"/>
  <c r="AG641" i="3"/>
  <c r="J642" i="3"/>
  <c r="K642" i="3"/>
  <c r="L642" i="3"/>
  <c r="M642" i="3"/>
  <c r="N642" i="3"/>
  <c r="O642" i="3"/>
  <c r="P642" i="3"/>
  <c r="Q642" i="3"/>
  <c r="R642" i="3"/>
  <c r="S642" i="3"/>
  <c r="T642" i="3"/>
  <c r="U642" i="3"/>
  <c r="V642" i="3"/>
  <c r="W642" i="3"/>
  <c r="X642" i="3"/>
  <c r="Y642" i="3"/>
  <c r="Z642" i="3"/>
  <c r="AA642" i="3"/>
  <c r="AB642" i="3"/>
  <c r="AC642" i="3"/>
  <c r="AD642" i="3"/>
  <c r="AE642" i="3"/>
  <c r="AF642" i="3"/>
  <c r="AG642" i="3"/>
  <c r="J643" i="3"/>
  <c r="K643" i="3"/>
  <c r="L643" i="3"/>
  <c r="M643" i="3"/>
  <c r="N643" i="3"/>
  <c r="O643" i="3"/>
  <c r="P643" i="3"/>
  <c r="Q643" i="3"/>
  <c r="R643" i="3"/>
  <c r="S643" i="3"/>
  <c r="T643" i="3"/>
  <c r="U643" i="3"/>
  <c r="V643" i="3"/>
  <c r="W643" i="3"/>
  <c r="X643" i="3"/>
  <c r="Y643" i="3"/>
  <c r="Z643" i="3"/>
  <c r="AA643" i="3"/>
  <c r="AB643" i="3"/>
  <c r="AC643" i="3"/>
  <c r="AD643" i="3"/>
  <c r="AE643" i="3"/>
  <c r="AF643" i="3"/>
  <c r="AG643" i="3"/>
  <c r="J644" i="3"/>
  <c r="K644" i="3"/>
  <c r="L644" i="3"/>
  <c r="M644" i="3"/>
  <c r="N644" i="3"/>
  <c r="O644" i="3"/>
  <c r="P644" i="3"/>
  <c r="Q644" i="3"/>
  <c r="R644" i="3"/>
  <c r="S644" i="3"/>
  <c r="T644" i="3"/>
  <c r="U644" i="3"/>
  <c r="V644" i="3"/>
  <c r="W644" i="3"/>
  <c r="X644" i="3"/>
  <c r="Y644" i="3"/>
  <c r="Z644" i="3"/>
  <c r="AA644" i="3"/>
  <c r="AB644" i="3"/>
  <c r="AC644" i="3"/>
  <c r="AD644" i="3"/>
  <c r="AE644" i="3"/>
  <c r="AF644" i="3"/>
  <c r="AG644" i="3"/>
  <c r="J645" i="3"/>
  <c r="K645" i="3"/>
  <c r="L645" i="3"/>
  <c r="M645" i="3"/>
  <c r="N645" i="3"/>
  <c r="O645" i="3"/>
  <c r="P645" i="3"/>
  <c r="Q645" i="3"/>
  <c r="R645" i="3"/>
  <c r="S645" i="3"/>
  <c r="T645" i="3"/>
  <c r="U645" i="3"/>
  <c r="V645" i="3"/>
  <c r="W645" i="3"/>
  <c r="X645" i="3"/>
  <c r="Y645" i="3"/>
  <c r="Z645" i="3"/>
  <c r="AA645" i="3"/>
  <c r="AB645" i="3"/>
  <c r="AC645" i="3"/>
  <c r="AD645" i="3"/>
  <c r="AE645" i="3"/>
  <c r="AF645" i="3"/>
  <c r="AG645" i="3"/>
  <c r="J646" i="3"/>
  <c r="K646" i="3"/>
  <c r="L646" i="3"/>
  <c r="M646" i="3"/>
  <c r="N646" i="3"/>
  <c r="O646" i="3"/>
  <c r="P646" i="3"/>
  <c r="Q646" i="3"/>
  <c r="R646" i="3"/>
  <c r="S646" i="3"/>
  <c r="T646" i="3"/>
  <c r="U646" i="3"/>
  <c r="V646" i="3"/>
  <c r="W646" i="3"/>
  <c r="X646" i="3"/>
  <c r="Y646" i="3"/>
  <c r="Z646" i="3"/>
  <c r="AA646" i="3"/>
  <c r="AB646" i="3"/>
  <c r="AC646" i="3"/>
  <c r="AD646" i="3"/>
  <c r="AE646" i="3"/>
  <c r="AF646" i="3"/>
  <c r="AG646" i="3"/>
  <c r="J647" i="3"/>
  <c r="K647" i="3"/>
  <c r="L647" i="3"/>
  <c r="M647" i="3"/>
  <c r="N647" i="3"/>
  <c r="O647" i="3"/>
  <c r="P647" i="3"/>
  <c r="Q647" i="3"/>
  <c r="R647" i="3"/>
  <c r="S647" i="3"/>
  <c r="T647" i="3"/>
  <c r="U647" i="3"/>
  <c r="V647" i="3"/>
  <c r="W647" i="3"/>
  <c r="X647" i="3"/>
  <c r="Y647" i="3"/>
  <c r="Z647" i="3"/>
  <c r="AA647" i="3"/>
  <c r="AB647" i="3"/>
  <c r="AC647" i="3"/>
  <c r="AD647" i="3"/>
  <c r="AE647" i="3"/>
  <c r="AF647" i="3"/>
  <c r="AG647" i="3"/>
  <c r="J648" i="3"/>
  <c r="K648" i="3"/>
  <c r="L648" i="3"/>
  <c r="M648" i="3"/>
  <c r="N648" i="3"/>
  <c r="O648" i="3"/>
  <c r="P648" i="3"/>
  <c r="Q648" i="3"/>
  <c r="R648" i="3"/>
  <c r="S648" i="3"/>
  <c r="T648" i="3"/>
  <c r="U648" i="3"/>
  <c r="V648" i="3"/>
  <c r="W648" i="3"/>
  <c r="X648" i="3"/>
  <c r="Y648" i="3"/>
  <c r="Z648" i="3"/>
  <c r="AA648" i="3"/>
  <c r="AB648" i="3"/>
  <c r="AC648" i="3"/>
  <c r="AD648" i="3"/>
  <c r="AE648" i="3"/>
  <c r="AF648" i="3"/>
  <c r="AG648" i="3"/>
  <c r="J649" i="3"/>
  <c r="K649" i="3"/>
  <c r="L649" i="3"/>
  <c r="M649" i="3"/>
  <c r="N649" i="3"/>
  <c r="O649" i="3"/>
  <c r="P649" i="3"/>
  <c r="Q649" i="3"/>
  <c r="R649" i="3"/>
  <c r="S649" i="3"/>
  <c r="T649" i="3"/>
  <c r="U649" i="3"/>
  <c r="V649" i="3"/>
  <c r="W649" i="3"/>
  <c r="X649" i="3"/>
  <c r="Y649" i="3"/>
  <c r="Z649" i="3"/>
  <c r="AA649" i="3"/>
  <c r="AB649" i="3"/>
  <c r="AC649" i="3"/>
  <c r="AD649" i="3"/>
  <c r="AE649" i="3"/>
  <c r="AF649" i="3"/>
  <c r="AG649" i="3"/>
  <c r="J650" i="3"/>
  <c r="K650" i="3"/>
  <c r="L650" i="3"/>
  <c r="M650" i="3"/>
  <c r="N650" i="3"/>
  <c r="O650" i="3"/>
  <c r="P650" i="3"/>
  <c r="Q650" i="3"/>
  <c r="R650" i="3"/>
  <c r="S650" i="3"/>
  <c r="T650" i="3"/>
  <c r="U650" i="3"/>
  <c r="V650" i="3"/>
  <c r="W650" i="3"/>
  <c r="X650" i="3"/>
  <c r="Y650" i="3"/>
  <c r="Z650" i="3"/>
  <c r="AA650" i="3"/>
  <c r="AB650" i="3"/>
  <c r="AC650" i="3"/>
  <c r="AD650" i="3"/>
  <c r="AE650" i="3"/>
  <c r="AF650" i="3"/>
  <c r="AG650" i="3"/>
  <c r="J651" i="3"/>
  <c r="K651" i="3"/>
  <c r="L651" i="3"/>
  <c r="M651" i="3"/>
  <c r="N651" i="3"/>
  <c r="O651" i="3"/>
  <c r="P651" i="3"/>
  <c r="Q651" i="3"/>
  <c r="R651" i="3"/>
  <c r="S651" i="3"/>
  <c r="T651" i="3"/>
  <c r="U651" i="3"/>
  <c r="V651" i="3"/>
  <c r="W651" i="3"/>
  <c r="X651" i="3"/>
  <c r="Y651" i="3"/>
  <c r="Z651" i="3"/>
  <c r="AA651" i="3"/>
  <c r="AB651" i="3"/>
  <c r="AC651" i="3"/>
  <c r="AD651" i="3"/>
  <c r="AE651" i="3"/>
  <c r="AF651" i="3"/>
  <c r="AG651" i="3"/>
  <c r="J652" i="3"/>
  <c r="K652" i="3"/>
  <c r="L652" i="3"/>
  <c r="M652" i="3"/>
  <c r="N652" i="3"/>
  <c r="O652" i="3"/>
  <c r="P652" i="3"/>
  <c r="Q652" i="3"/>
  <c r="R652" i="3"/>
  <c r="S652" i="3"/>
  <c r="T652" i="3"/>
  <c r="U652" i="3"/>
  <c r="V652" i="3"/>
  <c r="W652" i="3"/>
  <c r="X652" i="3"/>
  <c r="Y652" i="3"/>
  <c r="Z652" i="3"/>
  <c r="AA652" i="3"/>
  <c r="AB652" i="3"/>
  <c r="AC652" i="3"/>
  <c r="AD652" i="3"/>
  <c r="AE652" i="3"/>
  <c r="AF652" i="3"/>
  <c r="AG652" i="3"/>
  <c r="J653" i="3"/>
  <c r="K653" i="3"/>
  <c r="L653" i="3"/>
  <c r="M653" i="3"/>
  <c r="N653" i="3"/>
  <c r="O653" i="3"/>
  <c r="P653" i="3"/>
  <c r="Q653" i="3"/>
  <c r="R653" i="3"/>
  <c r="S653" i="3"/>
  <c r="T653" i="3"/>
  <c r="U653" i="3"/>
  <c r="V653" i="3"/>
  <c r="W653" i="3"/>
  <c r="X653" i="3"/>
  <c r="Y653" i="3"/>
  <c r="Z653" i="3"/>
  <c r="AA653" i="3"/>
  <c r="AB653" i="3"/>
  <c r="AC653" i="3"/>
  <c r="AD653" i="3"/>
  <c r="AE653" i="3"/>
  <c r="AF653" i="3"/>
  <c r="AG653" i="3"/>
  <c r="J654" i="3"/>
  <c r="K654" i="3"/>
  <c r="L654" i="3"/>
  <c r="M654" i="3"/>
  <c r="N654" i="3"/>
  <c r="O654" i="3"/>
  <c r="P654" i="3"/>
  <c r="Q654" i="3"/>
  <c r="R654" i="3"/>
  <c r="S654" i="3"/>
  <c r="T654" i="3"/>
  <c r="U654" i="3"/>
  <c r="V654" i="3"/>
  <c r="W654" i="3"/>
  <c r="X654" i="3"/>
  <c r="Y654" i="3"/>
  <c r="Z654" i="3"/>
  <c r="AA654" i="3"/>
  <c r="AB654" i="3"/>
  <c r="AC654" i="3"/>
  <c r="AD654" i="3"/>
  <c r="AE654" i="3"/>
  <c r="AF654" i="3"/>
  <c r="AG654" i="3"/>
  <c r="J655" i="3"/>
  <c r="K655" i="3"/>
  <c r="L655" i="3"/>
  <c r="M655" i="3"/>
  <c r="N655" i="3"/>
  <c r="O655" i="3"/>
  <c r="P655" i="3"/>
  <c r="Q655" i="3"/>
  <c r="R655" i="3"/>
  <c r="S655" i="3"/>
  <c r="T655" i="3"/>
  <c r="U655" i="3"/>
  <c r="V655" i="3"/>
  <c r="W655" i="3"/>
  <c r="X655" i="3"/>
  <c r="Y655" i="3"/>
  <c r="Z655" i="3"/>
  <c r="AA655" i="3"/>
  <c r="AB655" i="3"/>
  <c r="AC655" i="3"/>
  <c r="AD655" i="3"/>
  <c r="AE655" i="3"/>
  <c r="AF655" i="3"/>
  <c r="AG655" i="3"/>
  <c r="J656" i="3"/>
  <c r="K656" i="3"/>
  <c r="L656" i="3"/>
  <c r="M656" i="3"/>
  <c r="N656" i="3"/>
  <c r="O656" i="3"/>
  <c r="P656" i="3"/>
  <c r="Q656" i="3"/>
  <c r="R656" i="3"/>
  <c r="S656" i="3"/>
  <c r="T656" i="3"/>
  <c r="U656" i="3"/>
  <c r="V656" i="3"/>
  <c r="W656" i="3"/>
  <c r="X656" i="3"/>
  <c r="Y656" i="3"/>
  <c r="Z656" i="3"/>
  <c r="AA656" i="3"/>
  <c r="AB656" i="3"/>
  <c r="AC656" i="3"/>
  <c r="AD656" i="3"/>
  <c r="AE656" i="3"/>
  <c r="AF656" i="3"/>
  <c r="AG656" i="3"/>
  <c r="J657" i="3"/>
  <c r="K657" i="3"/>
  <c r="L657" i="3"/>
  <c r="M657" i="3"/>
  <c r="N657" i="3"/>
  <c r="O657" i="3"/>
  <c r="P657" i="3"/>
  <c r="Q657" i="3"/>
  <c r="R657" i="3"/>
  <c r="S657" i="3"/>
  <c r="T657" i="3"/>
  <c r="U657" i="3"/>
  <c r="V657" i="3"/>
  <c r="W657" i="3"/>
  <c r="X657" i="3"/>
  <c r="Y657" i="3"/>
  <c r="Z657" i="3"/>
  <c r="AA657" i="3"/>
  <c r="AB657" i="3"/>
  <c r="AC657" i="3"/>
  <c r="AD657" i="3"/>
  <c r="AE657" i="3"/>
  <c r="AF657" i="3"/>
  <c r="AG657" i="3"/>
  <c r="J658" i="3"/>
  <c r="K658" i="3"/>
  <c r="L658" i="3"/>
  <c r="M658" i="3"/>
  <c r="N658" i="3"/>
  <c r="O658" i="3"/>
  <c r="P658" i="3"/>
  <c r="Q658" i="3"/>
  <c r="R658" i="3"/>
  <c r="S658" i="3"/>
  <c r="T658" i="3"/>
  <c r="U658" i="3"/>
  <c r="V658" i="3"/>
  <c r="W658" i="3"/>
  <c r="X658" i="3"/>
  <c r="Y658" i="3"/>
  <c r="Z658" i="3"/>
  <c r="AA658" i="3"/>
  <c r="AB658" i="3"/>
  <c r="AC658" i="3"/>
  <c r="AD658" i="3"/>
  <c r="AE658" i="3"/>
  <c r="AF658" i="3"/>
  <c r="AG658" i="3"/>
  <c r="J659" i="3"/>
  <c r="K659" i="3"/>
  <c r="L659" i="3"/>
  <c r="M659" i="3"/>
  <c r="N659" i="3"/>
  <c r="O659" i="3"/>
  <c r="P659" i="3"/>
  <c r="Q659" i="3"/>
  <c r="R659" i="3"/>
  <c r="S659" i="3"/>
  <c r="T659" i="3"/>
  <c r="U659" i="3"/>
  <c r="V659" i="3"/>
  <c r="W659" i="3"/>
  <c r="X659" i="3"/>
  <c r="Y659" i="3"/>
  <c r="Z659" i="3"/>
  <c r="AA659" i="3"/>
  <c r="AB659" i="3"/>
  <c r="AC659" i="3"/>
  <c r="AD659" i="3"/>
  <c r="AE659" i="3"/>
  <c r="AF659" i="3"/>
  <c r="AG659" i="3"/>
  <c r="J660" i="3"/>
  <c r="K660" i="3"/>
  <c r="L660" i="3"/>
  <c r="M660" i="3"/>
  <c r="N660" i="3"/>
  <c r="O660" i="3"/>
  <c r="P660" i="3"/>
  <c r="Q660" i="3"/>
  <c r="R660" i="3"/>
  <c r="S660" i="3"/>
  <c r="T660" i="3"/>
  <c r="U660" i="3"/>
  <c r="V660" i="3"/>
  <c r="W660" i="3"/>
  <c r="X660" i="3"/>
  <c r="Y660" i="3"/>
  <c r="Z660" i="3"/>
  <c r="AA660" i="3"/>
  <c r="AB660" i="3"/>
  <c r="AC660" i="3"/>
  <c r="AD660" i="3"/>
  <c r="AE660" i="3"/>
  <c r="AF660" i="3"/>
  <c r="AG660" i="3"/>
  <c r="J661" i="3"/>
  <c r="K661" i="3"/>
  <c r="L661" i="3"/>
  <c r="M661" i="3"/>
  <c r="N661" i="3"/>
  <c r="O661" i="3"/>
  <c r="P661" i="3"/>
  <c r="Q661" i="3"/>
  <c r="R661" i="3"/>
  <c r="S661" i="3"/>
  <c r="T661" i="3"/>
  <c r="U661" i="3"/>
  <c r="V661" i="3"/>
  <c r="W661" i="3"/>
  <c r="X661" i="3"/>
  <c r="Y661" i="3"/>
  <c r="Z661" i="3"/>
  <c r="AA661" i="3"/>
  <c r="AB661" i="3"/>
  <c r="AC661" i="3"/>
  <c r="AD661" i="3"/>
  <c r="AE661" i="3"/>
  <c r="AF661" i="3"/>
  <c r="AG661" i="3"/>
  <c r="J662" i="3"/>
  <c r="K662" i="3"/>
  <c r="L662" i="3"/>
  <c r="M662" i="3"/>
  <c r="N662" i="3"/>
  <c r="O662" i="3"/>
  <c r="P662" i="3"/>
  <c r="Q662" i="3"/>
  <c r="R662" i="3"/>
  <c r="S662" i="3"/>
  <c r="T662" i="3"/>
  <c r="U662" i="3"/>
  <c r="V662" i="3"/>
  <c r="W662" i="3"/>
  <c r="X662" i="3"/>
  <c r="Y662" i="3"/>
  <c r="Z662" i="3"/>
  <c r="AA662" i="3"/>
  <c r="AB662" i="3"/>
  <c r="AC662" i="3"/>
  <c r="AD662" i="3"/>
  <c r="AE662" i="3"/>
  <c r="AF662" i="3"/>
  <c r="AG662" i="3"/>
  <c r="J663" i="3"/>
  <c r="K663" i="3"/>
  <c r="L663" i="3"/>
  <c r="M663" i="3"/>
  <c r="N663" i="3"/>
  <c r="O663" i="3"/>
  <c r="P663" i="3"/>
  <c r="Q663" i="3"/>
  <c r="R663" i="3"/>
  <c r="S663" i="3"/>
  <c r="T663" i="3"/>
  <c r="U663" i="3"/>
  <c r="V663" i="3"/>
  <c r="W663" i="3"/>
  <c r="X663" i="3"/>
  <c r="Y663" i="3"/>
  <c r="Z663" i="3"/>
  <c r="AA663" i="3"/>
  <c r="AB663" i="3"/>
  <c r="AC663" i="3"/>
  <c r="AD663" i="3"/>
  <c r="AE663" i="3"/>
  <c r="AF663" i="3"/>
  <c r="AG663" i="3"/>
  <c r="J664" i="3"/>
  <c r="K664" i="3"/>
  <c r="L664" i="3"/>
  <c r="M664" i="3"/>
  <c r="N664" i="3"/>
  <c r="O664" i="3"/>
  <c r="P664" i="3"/>
  <c r="Q664" i="3"/>
  <c r="R664" i="3"/>
  <c r="S664" i="3"/>
  <c r="T664" i="3"/>
  <c r="U664" i="3"/>
  <c r="V664" i="3"/>
  <c r="W664" i="3"/>
  <c r="X664" i="3"/>
  <c r="Y664" i="3"/>
  <c r="Z664" i="3"/>
  <c r="AA664" i="3"/>
  <c r="AB664" i="3"/>
  <c r="AC664" i="3"/>
  <c r="AD664" i="3"/>
  <c r="AE664" i="3"/>
  <c r="AF664" i="3"/>
  <c r="AG664" i="3"/>
  <c r="J665" i="3"/>
  <c r="K665" i="3"/>
  <c r="L665" i="3"/>
  <c r="M665" i="3"/>
  <c r="N665" i="3"/>
  <c r="O665" i="3"/>
  <c r="P665" i="3"/>
  <c r="Q665" i="3"/>
  <c r="R665" i="3"/>
  <c r="S665" i="3"/>
  <c r="T665" i="3"/>
  <c r="U665" i="3"/>
  <c r="V665" i="3"/>
  <c r="W665" i="3"/>
  <c r="X665" i="3"/>
  <c r="Y665" i="3"/>
  <c r="Z665" i="3"/>
  <c r="AA665" i="3"/>
  <c r="AB665" i="3"/>
  <c r="AC665" i="3"/>
  <c r="AD665" i="3"/>
  <c r="AE665" i="3"/>
  <c r="AF665" i="3"/>
  <c r="AG665" i="3"/>
  <c r="J666" i="3"/>
  <c r="K666" i="3"/>
  <c r="L666" i="3"/>
  <c r="M666" i="3"/>
  <c r="N666" i="3"/>
  <c r="O666" i="3"/>
  <c r="P666" i="3"/>
  <c r="Q666" i="3"/>
  <c r="R666" i="3"/>
  <c r="S666" i="3"/>
  <c r="T666" i="3"/>
  <c r="U666" i="3"/>
  <c r="V666" i="3"/>
  <c r="W666" i="3"/>
  <c r="X666" i="3"/>
  <c r="Y666" i="3"/>
  <c r="Z666" i="3"/>
  <c r="AA666" i="3"/>
  <c r="AB666" i="3"/>
  <c r="AC666" i="3"/>
  <c r="AD666" i="3"/>
  <c r="AE666" i="3"/>
  <c r="AF666" i="3"/>
  <c r="AG666" i="3"/>
  <c r="J667" i="3"/>
  <c r="K667" i="3"/>
  <c r="L667" i="3"/>
  <c r="M667" i="3"/>
  <c r="N667" i="3"/>
  <c r="O667" i="3"/>
  <c r="P667" i="3"/>
  <c r="Q667" i="3"/>
  <c r="R667" i="3"/>
  <c r="S667" i="3"/>
  <c r="T667" i="3"/>
  <c r="U667" i="3"/>
  <c r="V667" i="3"/>
  <c r="W667" i="3"/>
  <c r="X667" i="3"/>
  <c r="Y667" i="3"/>
  <c r="Z667" i="3"/>
  <c r="AA667" i="3"/>
  <c r="AB667" i="3"/>
  <c r="AC667" i="3"/>
  <c r="AD667" i="3"/>
  <c r="AE667" i="3"/>
  <c r="AF667" i="3"/>
  <c r="AG667" i="3"/>
  <c r="J668" i="3"/>
  <c r="K668" i="3"/>
  <c r="L668" i="3"/>
  <c r="M668" i="3"/>
  <c r="N668" i="3"/>
  <c r="O668" i="3"/>
  <c r="P668" i="3"/>
  <c r="Q668" i="3"/>
  <c r="R668" i="3"/>
  <c r="S668" i="3"/>
  <c r="T668" i="3"/>
  <c r="U668" i="3"/>
  <c r="V668" i="3"/>
  <c r="W668" i="3"/>
  <c r="X668" i="3"/>
  <c r="Y668" i="3"/>
  <c r="Z668" i="3"/>
  <c r="AA668" i="3"/>
  <c r="AB668" i="3"/>
  <c r="AC668" i="3"/>
  <c r="AD668" i="3"/>
  <c r="AE668" i="3"/>
  <c r="AF668" i="3"/>
  <c r="AG668" i="3"/>
  <c r="J669" i="3"/>
  <c r="K669" i="3"/>
  <c r="L669" i="3"/>
  <c r="M669" i="3"/>
  <c r="N669" i="3"/>
  <c r="O669" i="3"/>
  <c r="P669" i="3"/>
  <c r="Q669" i="3"/>
  <c r="R669" i="3"/>
  <c r="S669" i="3"/>
  <c r="T669" i="3"/>
  <c r="U669" i="3"/>
  <c r="V669" i="3"/>
  <c r="W669" i="3"/>
  <c r="X669" i="3"/>
  <c r="Y669" i="3"/>
  <c r="Z669" i="3"/>
  <c r="AA669" i="3"/>
  <c r="AB669" i="3"/>
  <c r="AC669" i="3"/>
  <c r="AD669" i="3"/>
  <c r="AE669" i="3"/>
  <c r="AF669" i="3"/>
  <c r="AG669" i="3"/>
  <c r="J670" i="3"/>
  <c r="K670" i="3"/>
  <c r="L670" i="3"/>
  <c r="M670" i="3"/>
  <c r="N670" i="3"/>
  <c r="O670" i="3"/>
  <c r="P670" i="3"/>
  <c r="Q670" i="3"/>
  <c r="R670" i="3"/>
  <c r="S670" i="3"/>
  <c r="T670" i="3"/>
  <c r="U670" i="3"/>
  <c r="V670" i="3"/>
  <c r="W670" i="3"/>
  <c r="X670" i="3"/>
  <c r="Y670" i="3"/>
  <c r="Z670" i="3"/>
  <c r="AA670" i="3"/>
  <c r="AB670" i="3"/>
  <c r="AC670" i="3"/>
  <c r="AD670" i="3"/>
  <c r="AE670" i="3"/>
  <c r="AF670" i="3"/>
  <c r="AG670" i="3"/>
  <c r="J671" i="3"/>
  <c r="K671" i="3"/>
  <c r="L671" i="3"/>
  <c r="M671" i="3"/>
  <c r="N671" i="3"/>
  <c r="O671" i="3"/>
  <c r="P671" i="3"/>
  <c r="Q671" i="3"/>
  <c r="R671" i="3"/>
  <c r="S671" i="3"/>
  <c r="T671" i="3"/>
  <c r="U671" i="3"/>
  <c r="V671" i="3"/>
  <c r="W671" i="3"/>
  <c r="X671" i="3"/>
  <c r="Y671" i="3"/>
  <c r="Z671" i="3"/>
  <c r="AA671" i="3"/>
  <c r="AB671" i="3"/>
  <c r="AC671" i="3"/>
  <c r="AD671" i="3"/>
  <c r="AE671" i="3"/>
  <c r="AF671" i="3"/>
  <c r="AG671" i="3"/>
  <c r="J672" i="3"/>
  <c r="K672" i="3"/>
  <c r="L672" i="3"/>
  <c r="M672" i="3"/>
  <c r="N672" i="3"/>
  <c r="O672" i="3"/>
  <c r="P672" i="3"/>
  <c r="Q672" i="3"/>
  <c r="R672" i="3"/>
  <c r="S672" i="3"/>
  <c r="T672" i="3"/>
  <c r="U672" i="3"/>
  <c r="V672" i="3"/>
  <c r="W672" i="3"/>
  <c r="X672" i="3"/>
  <c r="Y672" i="3"/>
  <c r="Z672" i="3"/>
  <c r="AA672" i="3"/>
  <c r="AB672" i="3"/>
  <c r="AC672" i="3"/>
  <c r="AD672" i="3"/>
  <c r="AE672" i="3"/>
  <c r="AF672" i="3"/>
  <c r="AG672" i="3"/>
  <c r="J673" i="3"/>
  <c r="K673" i="3"/>
  <c r="L673" i="3"/>
  <c r="M673" i="3"/>
  <c r="N673" i="3"/>
  <c r="O673" i="3"/>
  <c r="P673" i="3"/>
  <c r="Q673" i="3"/>
  <c r="R673" i="3"/>
  <c r="S673" i="3"/>
  <c r="T673" i="3"/>
  <c r="U673" i="3"/>
  <c r="V673" i="3"/>
  <c r="W673" i="3"/>
  <c r="X673" i="3"/>
  <c r="Y673" i="3"/>
  <c r="Z673" i="3"/>
  <c r="AA673" i="3"/>
  <c r="AB673" i="3"/>
  <c r="AC673" i="3"/>
  <c r="AD673" i="3"/>
  <c r="AE673" i="3"/>
  <c r="AF673" i="3"/>
  <c r="AG673" i="3"/>
  <c r="J674" i="3"/>
  <c r="K674" i="3"/>
  <c r="L674" i="3"/>
  <c r="M674" i="3"/>
  <c r="N674" i="3"/>
  <c r="O674" i="3"/>
  <c r="P674" i="3"/>
  <c r="Q674" i="3"/>
  <c r="R674" i="3"/>
  <c r="S674" i="3"/>
  <c r="T674" i="3"/>
  <c r="U674" i="3"/>
  <c r="V674" i="3"/>
  <c r="W674" i="3"/>
  <c r="X674" i="3"/>
  <c r="Y674" i="3"/>
  <c r="Z674" i="3"/>
  <c r="AA674" i="3"/>
  <c r="AB674" i="3"/>
  <c r="AC674" i="3"/>
  <c r="AD674" i="3"/>
  <c r="AE674" i="3"/>
  <c r="AF674" i="3"/>
  <c r="AG674" i="3"/>
  <c r="J675" i="3"/>
  <c r="K675" i="3"/>
  <c r="L675" i="3"/>
  <c r="M675" i="3"/>
  <c r="N675" i="3"/>
  <c r="O675" i="3"/>
  <c r="P675" i="3"/>
  <c r="Q675" i="3"/>
  <c r="R675" i="3"/>
  <c r="S675" i="3"/>
  <c r="T675" i="3"/>
  <c r="U675" i="3"/>
  <c r="V675" i="3"/>
  <c r="W675" i="3"/>
  <c r="X675" i="3"/>
  <c r="Y675" i="3"/>
  <c r="Z675" i="3"/>
  <c r="AA675" i="3"/>
  <c r="AB675" i="3"/>
  <c r="AC675" i="3"/>
  <c r="AD675" i="3"/>
  <c r="AE675" i="3"/>
  <c r="AF675" i="3"/>
  <c r="AG675" i="3"/>
  <c r="J676" i="3"/>
  <c r="K676" i="3"/>
  <c r="L676" i="3"/>
  <c r="M676" i="3"/>
  <c r="N676" i="3"/>
  <c r="O676" i="3"/>
  <c r="P676" i="3"/>
  <c r="Q676" i="3"/>
  <c r="R676" i="3"/>
  <c r="S676" i="3"/>
  <c r="T676" i="3"/>
  <c r="U676" i="3"/>
  <c r="V676" i="3"/>
  <c r="W676" i="3"/>
  <c r="X676" i="3"/>
  <c r="Y676" i="3"/>
  <c r="Z676" i="3"/>
  <c r="AA676" i="3"/>
  <c r="AB676" i="3"/>
  <c r="AC676" i="3"/>
  <c r="AD676" i="3"/>
  <c r="AE676" i="3"/>
  <c r="AF676" i="3"/>
  <c r="AG676" i="3"/>
  <c r="J677" i="3"/>
  <c r="K677" i="3"/>
  <c r="L677" i="3"/>
  <c r="M677" i="3"/>
  <c r="N677" i="3"/>
  <c r="O677" i="3"/>
  <c r="P677" i="3"/>
  <c r="Q677" i="3"/>
  <c r="R677" i="3"/>
  <c r="S677" i="3"/>
  <c r="T677" i="3"/>
  <c r="U677" i="3"/>
  <c r="V677" i="3"/>
  <c r="W677" i="3"/>
  <c r="X677" i="3"/>
  <c r="Y677" i="3"/>
  <c r="Z677" i="3"/>
  <c r="AA677" i="3"/>
  <c r="AB677" i="3"/>
  <c r="AC677" i="3"/>
  <c r="AD677" i="3"/>
  <c r="AE677" i="3"/>
  <c r="AF677" i="3"/>
  <c r="AG677" i="3"/>
  <c r="J678" i="3"/>
  <c r="K678" i="3"/>
  <c r="L678" i="3"/>
  <c r="M678" i="3"/>
  <c r="N678" i="3"/>
  <c r="O678" i="3"/>
  <c r="P678" i="3"/>
  <c r="Q678" i="3"/>
  <c r="R678" i="3"/>
  <c r="S678" i="3"/>
  <c r="T678" i="3"/>
  <c r="U678" i="3"/>
  <c r="V678" i="3"/>
  <c r="W678" i="3"/>
  <c r="X678" i="3"/>
  <c r="Y678" i="3"/>
  <c r="Z678" i="3"/>
  <c r="AA678" i="3"/>
  <c r="AB678" i="3"/>
  <c r="AC678" i="3"/>
  <c r="AD678" i="3"/>
  <c r="AE678" i="3"/>
  <c r="AF678" i="3"/>
  <c r="AG678" i="3"/>
  <c r="J679" i="3"/>
  <c r="K679" i="3"/>
  <c r="L679" i="3"/>
  <c r="M679" i="3"/>
  <c r="N679" i="3"/>
  <c r="O679" i="3"/>
  <c r="P679" i="3"/>
  <c r="Q679" i="3"/>
  <c r="R679" i="3"/>
  <c r="S679" i="3"/>
  <c r="T679" i="3"/>
  <c r="U679" i="3"/>
  <c r="V679" i="3"/>
  <c r="W679" i="3"/>
  <c r="X679" i="3"/>
  <c r="Y679" i="3"/>
  <c r="Z679" i="3"/>
  <c r="AA679" i="3"/>
  <c r="AB679" i="3"/>
  <c r="AC679" i="3"/>
  <c r="AD679" i="3"/>
  <c r="AE679" i="3"/>
  <c r="AF679" i="3"/>
  <c r="AG679" i="3"/>
  <c r="J680" i="3"/>
  <c r="K680" i="3"/>
  <c r="L680" i="3"/>
  <c r="M680" i="3"/>
  <c r="N680" i="3"/>
  <c r="O680" i="3"/>
  <c r="P680" i="3"/>
  <c r="Q680" i="3"/>
  <c r="R680" i="3"/>
  <c r="S680" i="3"/>
  <c r="T680" i="3"/>
  <c r="U680" i="3"/>
  <c r="V680" i="3"/>
  <c r="W680" i="3"/>
  <c r="X680" i="3"/>
  <c r="Y680" i="3"/>
  <c r="Z680" i="3"/>
  <c r="AA680" i="3"/>
  <c r="AB680" i="3"/>
  <c r="AC680" i="3"/>
  <c r="AD680" i="3"/>
  <c r="AE680" i="3"/>
  <c r="AF680" i="3"/>
  <c r="AG680" i="3"/>
  <c r="J681" i="3"/>
  <c r="K681" i="3"/>
  <c r="L681" i="3"/>
  <c r="M681" i="3"/>
  <c r="N681" i="3"/>
  <c r="O681" i="3"/>
  <c r="P681" i="3"/>
  <c r="Q681" i="3"/>
  <c r="R681" i="3"/>
  <c r="S681" i="3"/>
  <c r="T681" i="3"/>
  <c r="U681" i="3"/>
  <c r="V681" i="3"/>
  <c r="W681" i="3"/>
  <c r="X681" i="3"/>
  <c r="Y681" i="3"/>
  <c r="Z681" i="3"/>
  <c r="AA681" i="3"/>
  <c r="AB681" i="3"/>
  <c r="AC681" i="3"/>
  <c r="AD681" i="3"/>
  <c r="AE681" i="3"/>
  <c r="AF681" i="3"/>
  <c r="AG681" i="3"/>
  <c r="J682" i="3"/>
  <c r="K682" i="3"/>
  <c r="L682" i="3"/>
  <c r="M682" i="3"/>
  <c r="N682" i="3"/>
  <c r="O682" i="3"/>
  <c r="P682" i="3"/>
  <c r="Q682" i="3"/>
  <c r="R682" i="3"/>
  <c r="S682" i="3"/>
  <c r="T682" i="3"/>
  <c r="U682" i="3"/>
  <c r="V682" i="3"/>
  <c r="W682" i="3"/>
  <c r="X682" i="3"/>
  <c r="Y682" i="3"/>
  <c r="Z682" i="3"/>
  <c r="AA682" i="3"/>
  <c r="AB682" i="3"/>
  <c r="AC682" i="3"/>
  <c r="AD682" i="3"/>
  <c r="AE682" i="3"/>
  <c r="AF682" i="3"/>
  <c r="AG682" i="3"/>
  <c r="J683" i="3"/>
  <c r="K683" i="3"/>
  <c r="L683" i="3"/>
  <c r="M683" i="3"/>
  <c r="N683" i="3"/>
  <c r="O683" i="3"/>
  <c r="P683" i="3"/>
  <c r="Q683" i="3"/>
  <c r="R683" i="3"/>
  <c r="S683" i="3"/>
  <c r="T683" i="3"/>
  <c r="U683" i="3"/>
  <c r="V683" i="3"/>
  <c r="W683" i="3"/>
  <c r="X683" i="3"/>
  <c r="Y683" i="3"/>
  <c r="Z683" i="3"/>
  <c r="AA683" i="3"/>
  <c r="AB683" i="3"/>
  <c r="AC683" i="3"/>
  <c r="AD683" i="3"/>
  <c r="AE683" i="3"/>
  <c r="AF683" i="3"/>
  <c r="AG683" i="3"/>
  <c r="J684" i="3"/>
  <c r="K684" i="3"/>
  <c r="L684" i="3"/>
  <c r="M684" i="3"/>
  <c r="N684" i="3"/>
  <c r="O684" i="3"/>
  <c r="P684" i="3"/>
  <c r="Q684" i="3"/>
  <c r="R684" i="3"/>
  <c r="S684" i="3"/>
  <c r="T684" i="3"/>
  <c r="U684" i="3"/>
  <c r="V684" i="3"/>
  <c r="W684" i="3"/>
  <c r="X684" i="3"/>
  <c r="Y684" i="3"/>
  <c r="Z684" i="3"/>
  <c r="AA684" i="3"/>
  <c r="AB684" i="3"/>
  <c r="AC684" i="3"/>
  <c r="AD684" i="3"/>
  <c r="AE684" i="3"/>
  <c r="AF684" i="3"/>
  <c r="AG684" i="3"/>
  <c r="J685" i="3"/>
  <c r="K685" i="3"/>
  <c r="L685" i="3"/>
  <c r="M685" i="3"/>
  <c r="N685" i="3"/>
  <c r="O685" i="3"/>
  <c r="P685" i="3"/>
  <c r="Q685" i="3"/>
  <c r="R685" i="3"/>
  <c r="S685" i="3"/>
  <c r="T685" i="3"/>
  <c r="U685" i="3"/>
  <c r="V685" i="3"/>
  <c r="W685" i="3"/>
  <c r="X685" i="3"/>
  <c r="Y685" i="3"/>
  <c r="Z685" i="3"/>
  <c r="AA685" i="3"/>
  <c r="AB685" i="3"/>
  <c r="AC685" i="3"/>
  <c r="AD685" i="3"/>
  <c r="AE685" i="3"/>
  <c r="AF685" i="3"/>
  <c r="AG685" i="3"/>
  <c r="J686" i="3"/>
  <c r="K686" i="3"/>
  <c r="L686" i="3"/>
  <c r="M686" i="3"/>
  <c r="N686" i="3"/>
  <c r="O686" i="3"/>
  <c r="P686" i="3"/>
  <c r="Q686" i="3"/>
  <c r="R686" i="3"/>
  <c r="S686" i="3"/>
  <c r="T686" i="3"/>
  <c r="U686" i="3"/>
  <c r="V686" i="3"/>
  <c r="W686" i="3"/>
  <c r="X686" i="3"/>
  <c r="Y686" i="3"/>
  <c r="Z686" i="3"/>
  <c r="AA686" i="3"/>
  <c r="AB686" i="3"/>
  <c r="AC686" i="3"/>
  <c r="AD686" i="3"/>
  <c r="AE686" i="3"/>
  <c r="AF686" i="3"/>
  <c r="AG686" i="3"/>
  <c r="J687" i="3"/>
  <c r="K687" i="3"/>
  <c r="L687" i="3"/>
  <c r="M687" i="3"/>
  <c r="N687" i="3"/>
  <c r="O687" i="3"/>
  <c r="P687" i="3"/>
  <c r="Q687" i="3"/>
  <c r="R687" i="3"/>
  <c r="S687" i="3"/>
  <c r="T687" i="3"/>
  <c r="U687" i="3"/>
  <c r="V687" i="3"/>
  <c r="W687" i="3"/>
  <c r="X687" i="3"/>
  <c r="Y687" i="3"/>
  <c r="Z687" i="3"/>
  <c r="AA687" i="3"/>
  <c r="AB687" i="3"/>
  <c r="AC687" i="3"/>
  <c r="AD687" i="3"/>
  <c r="AE687" i="3"/>
  <c r="AF687" i="3"/>
  <c r="AG687" i="3"/>
  <c r="J688" i="3"/>
  <c r="K688" i="3"/>
  <c r="L688" i="3"/>
  <c r="M688" i="3"/>
  <c r="N688" i="3"/>
  <c r="O688" i="3"/>
  <c r="P688" i="3"/>
  <c r="Q688" i="3"/>
  <c r="R688" i="3"/>
  <c r="S688" i="3"/>
  <c r="T688" i="3"/>
  <c r="U688" i="3"/>
  <c r="V688" i="3"/>
  <c r="W688" i="3"/>
  <c r="X688" i="3"/>
  <c r="Y688" i="3"/>
  <c r="Z688" i="3"/>
  <c r="AA688" i="3"/>
  <c r="AB688" i="3"/>
  <c r="AC688" i="3"/>
  <c r="AD688" i="3"/>
  <c r="AE688" i="3"/>
  <c r="AF688" i="3"/>
  <c r="AG688" i="3"/>
  <c r="J689" i="3"/>
  <c r="K689" i="3"/>
  <c r="L689" i="3"/>
  <c r="M689" i="3"/>
  <c r="N689" i="3"/>
  <c r="O689" i="3"/>
  <c r="P689" i="3"/>
  <c r="Q689" i="3"/>
  <c r="R689" i="3"/>
  <c r="S689" i="3"/>
  <c r="T689" i="3"/>
  <c r="U689" i="3"/>
  <c r="V689" i="3"/>
  <c r="W689" i="3"/>
  <c r="X689" i="3"/>
  <c r="Y689" i="3"/>
  <c r="Z689" i="3"/>
  <c r="AA689" i="3"/>
  <c r="AB689" i="3"/>
  <c r="AC689" i="3"/>
  <c r="AD689" i="3"/>
  <c r="AE689" i="3"/>
  <c r="AF689" i="3"/>
  <c r="AG689" i="3"/>
  <c r="J690" i="3"/>
  <c r="K690" i="3"/>
  <c r="L690" i="3"/>
  <c r="M690" i="3"/>
  <c r="N690" i="3"/>
  <c r="O690" i="3"/>
  <c r="P690" i="3"/>
  <c r="Q690" i="3"/>
  <c r="R690" i="3"/>
  <c r="S690" i="3"/>
  <c r="T690" i="3"/>
  <c r="U690" i="3"/>
  <c r="V690" i="3"/>
  <c r="W690" i="3"/>
  <c r="X690" i="3"/>
  <c r="Y690" i="3"/>
  <c r="Z690" i="3"/>
  <c r="AA690" i="3"/>
  <c r="AB690" i="3"/>
  <c r="AC690" i="3"/>
  <c r="AD690" i="3"/>
  <c r="AE690" i="3"/>
  <c r="AF690" i="3"/>
  <c r="AG690" i="3"/>
  <c r="J691" i="3"/>
  <c r="K691" i="3"/>
  <c r="L691" i="3"/>
  <c r="M691" i="3"/>
  <c r="N691" i="3"/>
  <c r="O691" i="3"/>
  <c r="P691" i="3"/>
  <c r="Q691" i="3"/>
  <c r="R691" i="3"/>
  <c r="S691" i="3"/>
  <c r="T691" i="3"/>
  <c r="U691" i="3"/>
  <c r="V691" i="3"/>
  <c r="W691" i="3"/>
  <c r="X691" i="3"/>
  <c r="Y691" i="3"/>
  <c r="Z691" i="3"/>
  <c r="AA691" i="3"/>
  <c r="AB691" i="3"/>
  <c r="AC691" i="3"/>
  <c r="AD691" i="3"/>
  <c r="AE691" i="3"/>
  <c r="AF691" i="3"/>
  <c r="AG691" i="3"/>
  <c r="J692" i="3"/>
  <c r="K692" i="3"/>
  <c r="L692" i="3"/>
  <c r="M692" i="3"/>
  <c r="N692" i="3"/>
  <c r="O692" i="3"/>
  <c r="P692" i="3"/>
  <c r="Q692" i="3"/>
  <c r="R692" i="3"/>
  <c r="S692" i="3"/>
  <c r="T692" i="3"/>
  <c r="U692" i="3"/>
  <c r="V692" i="3"/>
  <c r="W692" i="3"/>
  <c r="X692" i="3"/>
  <c r="Y692" i="3"/>
  <c r="Z692" i="3"/>
  <c r="AA692" i="3"/>
  <c r="AB692" i="3"/>
  <c r="AC692" i="3"/>
  <c r="AD692" i="3"/>
  <c r="AE692" i="3"/>
  <c r="AF692" i="3"/>
  <c r="AG692" i="3"/>
  <c r="J693" i="3"/>
  <c r="K693" i="3"/>
  <c r="L693" i="3"/>
  <c r="M693" i="3"/>
  <c r="N693" i="3"/>
  <c r="O693" i="3"/>
  <c r="P693" i="3"/>
  <c r="Q693" i="3"/>
  <c r="R693" i="3"/>
  <c r="S693" i="3"/>
  <c r="T693" i="3"/>
  <c r="U693" i="3"/>
  <c r="V693" i="3"/>
  <c r="W693" i="3"/>
  <c r="X693" i="3"/>
  <c r="Y693" i="3"/>
  <c r="Z693" i="3"/>
  <c r="AA693" i="3"/>
  <c r="AB693" i="3"/>
  <c r="AC693" i="3"/>
  <c r="AD693" i="3"/>
  <c r="AE693" i="3"/>
  <c r="AF693" i="3"/>
  <c r="AG693" i="3"/>
  <c r="J354" i="3"/>
  <c r="K354" i="3"/>
  <c r="L354" i="3"/>
  <c r="M354" i="3"/>
  <c r="N354" i="3"/>
  <c r="O354" i="3"/>
  <c r="P354" i="3"/>
  <c r="Q354" i="3"/>
  <c r="R354" i="3"/>
  <c r="S354" i="3"/>
  <c r="T354" i="3"/>
  <c r="U354" i="3"/>
  <c r="V354" i="3"/>
  <c r="W354" i="3"/>
  <c r="X354" i="3"/>
  <c r="Y354" i="3"/>
  <c r="Z354" i="3"/>
  <c r="AA354" i="3"/>
  <c r="AB354" i="3"/>
  <c r="AC354" i="3"/>
  <c r="AD354" i="3"/>
  <c r="AE354" i="3"/>
  <c r="AF354" i="3"/>
  <c r="AG354" i="3"/>
  <c r="J355" i="3"/>
  <c r="K355" i="3"/>
  <c r="L355" i="3"/>
  <c r="M355" i="3"/>
  <c r="N355" i="3"/>
  <c r="O355" i="3"/>
  <c r="P355" i="3"/>
  <c r="Q355" i="3"/>
  <c r="R355" i="3"/>
  <c r="S355" i="3"/>
  <c r="T355" i="3"/>
  <c r="U355" i="3"/>
  <c r="V355" i="3"/>
  <c r="W355" i="3"/>
  <c r="X355" i="3"/>
  <c r="Y355" i="3"/>
  <c r="Z355" i="3"/>
  <c r="AA355" i="3"/>
  <c r="AB355" i="3"/>
  <c r="AC355" i="3"/>
  <c r="AD355" i="3"/>
  <c r="AE355" i="3"/>
  <c r="AF355" i="3"/>
  <c r="AG355" i="3"/>
  <c r="J356" i="3"/>
  <c r="K356" i="3"/>
  <c r="L356" i="3"/>
  <c r="M356" i="3"/>
  <c r="N356" i="3"/>
  <c r="O356" i="3"/>
  <c r="P356" i="3"/>
  <c r="Q356" i="3"/>
  <c r="R356" i="3"/>
  <c r="S356" i="3"/>
  <c r="T356" i="3"/>
  <c r="U356" i="3"/>
  <c r="V356" i="3"/>
  <c r="W356" i="3"/>
  <c r="X356" i="3"/>
  <c r="Y356" i="3"/>
  <c r="Z356" i="3"/>
  <c r="AA356" i="3"/>
  <c r="AB356" i="3"/>
  <c r="AC356" i="3"/>
  <c r="AD356" i="3"/>
  <c r="AE356" i="3"/>
  <c r="AF356" i="3"/>
  <c r="AG356" i="3"/>
  <c r="J357" i="3"/>
  <c r="K357" i="3"/>
  <c r="L357" i="3"/>
  <c r="M357" i="3"/>
  <c r="N357" i="3"/>
  <c r="O357" i="3"/>
  <c r="P357" i="3"/>
  <c r="Q357" i="3"/>
  <c r="R357" i="3"/>
  <c r="S357" i="3"/>
  <c r="T357" i="3"/>
  <c r="U357" i="3"/>
  <c r="V357" i="3"/>
  <c r="W357" i="3"/>
  <c r="X357" i="3"/>
  <c r="Y357" i="3"/>
  <c r="Z357" i="3"/>
  <c r="AA357" i="3"/>
  <c r="AB357" i="3"/>
  <c r="AC357" i="3"/>
  <c r="AD357" i="3"/>
  <c r="AE357" i="3"/>
  <c r="AF357" i="3"/>
  <c r="AG357" i="3"/>
  <c r="J358" i="3"/>
  <c r="K358" i="3"/>
  <c r="L358" i="3"/>
  <c r="M358" i="3"/>
  <c r="N358" i="3"/>
  <c r="O358" i="3"/>
  <c r="P358" i="3"/>
  <c r="Q358" i="3"/>
  <c r="R358" i="3"/>
  <c r="S358" i="3"/>
  <c r="T358" i="3"/>
  <c r="U358" i="3"/>
  <c r="V358" i="3"/>
  <c r="W358" i="3"/>
  <c r="X358" i="3"/>
  <c r="Y358" i="3"/>
  <c r="Z358" i="3"/>
  <c r="AA358" i="3"/>
  <c r="AB358" i="3"/>
  <c r="AC358" i="3"/>
  <c r="AD358" i="3"/>
  <c r="AE358" i="3"/>
  <c r="AF358" i="3"/>
  <c r="AG358" i="3"/>
  <c r="J359" i="3"/>
  <c r="K359" i="3"/>
  <c r="L359" i="3"/>
  <c r="M359" i="3"/>
  <c r="N359" i="3"/>
  <c r="O359" i="3"/>
  <c r="P359" i="3"/>
  <c r="Q359" i="3"/>
  <c r="R359" i="3"/>
  <c r="S359" i="3"/>
  <c r="T359" i="3"/>
  <c r="U359" i="3"/>
  <c r="V359" i="3"/>
  <c r="W359" i="3"/>
  <c r="X359" i="3"/>
  <c r="Y359" i="3"/>
  <c r="Z359" i="3"/>
  <c r="AA359" i="3"/>
  <c r="AB359" i="3"/>
  <c r="AC359" i="3"/>
  <c r="AD359" i="3"/>
  <c r="AE359" i="3"/>
  <c r="AF359" i="3"/>
  <c r="AG359" i="3"/>
  <c r="J360" i="3"/>
  <c r="K360" i="3"/>
  <c r="L360" i="3"/>
  <c r="M360" i="3"/>
  <c r="N360" i="3"/>
  <c r="O360" i="3"/>
  <c r="P360" i="3"/>
  <c r="Q360" i="3"/>
  <c r="R360" i="3"/>
  <c r="S360" i="3"/>
  <c r="T360" i="3"/>
  <c r="U360" i="3"/>
  <c r="V360" i="3"/>
  <c r="W360" i="3"/>
  <c r="X360" i="3"/>
  <c r="Y360" i="3"/>
  <c r="Z360" i="3"/>
  <c r="AA360" i="3"/>
  <c r="AB360" i="3"/>
  <c r="AC360" i="3"/>
  <c r="AD360" i="3"/>
  <c r="AE360" i="3"/>
  <c r="AF360" i="3"/>
  <c r="AG360" i="3"/>
  <c r="J361" i="3"/>
  <c r="K361" i="3"/>
  <c r="L361" i="3"/>
  <c r="M361" i="3"/>
  <c r="N361" i="3"/>
  <c r="O361" i="3"/>
  <c r="P361" i="3"/>
  <c r="Q361" i="3"/>
  <c r="R361" i="3"/>
  <c r="S361" i="3"/>
  <c r="T361" i="3"/>
  <c r="U361" i="3"/>
  <c r="V361" i="3"/>
  <c r="W361" i="3"/>
  <c r="X361" i="3"/>
  <c r="Y361" i="3"/>
  <c r="Z361" i="3"/>
  <c r="AA361" i="3"/>
  <c r="AB361" i="3"/>
  <c r="AC361" i="3"/>
  <c r="AD361" i="3"/>
  <c r="AE361" i="3"/>
  <c r="AF361" i="3"/>
  <c r="AG361" i="3"/>
  <c r="J362" i="3"/>
  <c r="K362" i="3"/>
  <c r="L362" i="3"/>
  <c r="M362" i="3"/>
  <c r="N362" i="3"/>
  <c r="O362" i="3"/>
  <c r="P362" i="3"/>
  <c r="Q362" i="3"/>
  <c r="R362" i="3"/>
  <c r="S362" i="3"/>
  <c r="T362" i="3"/>
  <c r="U362" i="3"/>
  <c r="V362" i="3"/>
  <c r="W362" i="3"/>
  <c r="X362" i="3"/>
  <c r="Y362" i="3"/>
  <c r="Z362" i="3"/>
  <c r="AA362" i="3"/>
  <c r="AB362" i="3"/>
  <c r="AC362" i="3"/>
  <c r="AD362" i="3"/>
  <c r="AE362" i="3"/>
  <c r="AF362" i="3"/>
  <c r="AG362" i="3"/>
  <c r="J363" i="3"/>
  <c r="K363" i="3"/>
  <c r="L363" i="3"/>
  <c r="M363" i="3"/>
  <c r="N363" i="3"/>
  <c r="O363" i="3"/>
  <c r="P363" i="3"/>
  <c r="Q363" i="3"/>
  <c r="R363" i="3"/>
  <c r="S363" i="3"/>
  <c r="T363" i="3"/>
  <c r="U363" i="3"/>
  <c r="V363" i="3"/>
  <c r="W363" i="3"/>
  <c r="X363" i="3"/>
  <c r="Y363" i="3"/>
  <c r="Z363" i="3"/>
  <c r="AA363" i="3"/>
  <c r="AB363" i="3"/>
  <c r="AC363" i="3"/>
  <c r="AD363" i="3"/>
  <c r="AE363" i="3"/>
  <c r="AF363" i="3"/>
  <c r="AG363" i="3"/>
  <c r="J364" i="3"/>
  <c r="K364" i="3"/>
  <c r="L364" i="3"/>
  <c r="M364" i="3"/>
  <c r="N364" i="3"/>
  <c r="O364" i="3"/>
  <c r="P364" i="3"/>
  <c r="Q364" i="3"/>
  <c r="R364" i="3"/>
  <c r="S364" i="3"/>
  <c r="T364" i="3"/>
  <c r="U364" i="3"/>
  <c r="V364" i="3"/>
  <c r="W364" i="3"/>
  <c r="X364" i="3"/>
  <c r="Y364" i="3"/>
  <c r="Z364" i="3"/>
  <c r="AA364" i="3"/>
  <c r="AB364" i="3"/>
  <c r="AC364" i="3"/>
  <c r="AD364" i="3"/>
  <c r="AE364" i="3"/>
  <c r="AF364" i="3"/>
  <c r="AG364" i="3"/>
  <c r="J365" i="3"/>
  <c r="K365" i="3"/>
  <c r="L365" i="3"/>
  <c r="M365" i="3"/>
  <c r="N365" i="3"/>
  <c r="O365" i="3"/>
  <c r="P365" i="3"/>
  <c r="Q365" i="3"/>
  <c r="R365" i="3"/>
  <c r="S365" i="3"/>
  <c r="T365" i="3"/>
  <c r="U365" i="3"/>
  <c r="V365" i="3"/>
  <c r="W365" i="3"/>
  <c r="X365" i="3"/>
  <c r="Y365" i="3"/>
  <c r="Z365" i="3"/>
  <c r="AA365" i="3"/>
  <c r="AB365" i="3"/>
  <c r="AC365" i="3"/>
  <c r="AD365" i="3"/>
  <c r="AE365" i="3"/>
  <c r="AF365" i="3"/>
  <c r="AG365" i="3"/>
  <c r="J366" i="3"/>
  <c r="K366" i="3"/>
  <c r="L366" i="3"/>
  <c r="M366" i="3"/>
  <c r="N366" i="3"/>
  <c r="O366" i="3"/>
  <c r="P366" i="3"/>
  <c r="Q366" i="3"/>
  <c r="R366" i="3"/>
  <c r="S366" i="3"/>
  <c r="T366" i="3"/>
  <c r="U366" i="3"/>
  <c r="V366" i="3"/>
  <c r="W366" i="3"/>
  <c r="X366" i="3"/>
  <c r="Y366" i="3"/>
  <c r="Z366" i="3"/>
  <c r="AA366" i="3"/>
  <c r="AB366" i="3"/>
  <c r="AC366" i="3"/>
  <c r="AD366" i="3"/>
  <c r="AE366" i="3"/>
  <c r="AF366" i="3"/>
  <c r="AG366" i="3"/>
  <c r="J367" i="3"/>
  <c r="K367" i="3"/>
  <c r="L367" i="3"/>
  <c r="M367" i="3"/>
  <c r="N367" i="3"/>
  <c r="O367" i="3"/>
  <c r="P367" i="3"/>
  <c r="Q367" i="3"/>
  <c r="R367" i="3"/>
  <c r="S367" i="3"/>
  <c r="T367" i="3"/>
  <c r="U367" i="3"/>
  <c r="V367" i="3"/>
  <c r="W367" i="3"/>
  <c r="X367" i="3"/>
  <c r="Y367" i="3"/>
  <c r="Z367" i="3"/>
  <c r="AA367" i="3"/>
  <c r="AB367" i="3"/>
  <c r="AC367" i="3"/>
  <c r="AD367" i="3"/>
  <c r="AE367" i="3"/>
  <c r="AF367" i="3"/>
  <c r="AG367" i="3"/>
  <c r="J368" i="3"/>
  <c r="K368" i="3"/>
  <c r="L368" i="3"/>
  <c r="M368" i="3"/>
  <c r="N368" i="3"/>
  <c r="O368" i="3"/>
  <c r="P368" i="3"/>
  <c r="Q368" i="3"/>
  <c r="R368" i="3"/>
  <c r="S368" i="3"/>
  <c r="T368" i="3"/>
  <c r="U368" i="3"/>
  <c r="V368" i="3"/>
  <c r="W368" i="3"/>
  <c r="X368" i="3"/>
  <c r="Y368" i="3"/>
  <c r="Z368" i="3"/>
  <c r="AA368" i="3"/>
  <c r="AB368" i="3"/>
  <c r="AC368" i="3"/>
  <c r="AD368" i="3"/>
  <c r="AE368" i="3"/>
  <c r="AF368" i="3"/>
  <c r="AG368" i="3"/>
  <c r="J369" i="3"/>
  <c r="K369" i="3"/>
  <c r="L369" i="3"/>
  <c r="M369" i="3"/>
  <c r="N369" i="3"/>
  <c r="O369" i="3"/>
  <c r="P369" i="3"/>
  <c r="Q369" i="3"/>
  <c r="R369" i="3"/>
  <c r="S369" i="3"/>
  <c r="T369" i="3"/>
  <c r="U369" i="3"/>
  <c r="V369" i="3"/>
  <c r="W369" i="3"/>
  <c r="X369" i="3"/>
  <c r="Y369" i="3"/>
  <c r="Z369" i="3"/>
  <c r="AA369" i="3"/>
  <c r="AB369" i="3"/>
  <c r="AC369" i="3"/>
  <c r="AD369" i="3"/>
  <c r="AE369" i="3"/>
  <c r="AF369" i="3"/>
  <c r="AG369" i="3"/>
  <c r="J370" i="3"/>
  <c r="K370" i="3"/>
  <c r="L370" i="3"/>
  <c r="M370" i="3"/>
  <c r="N370" i="3"/>
  <c r="O370" i="3"/>
  <c r="P370" i="3"/>
  <c r="Q370" i="3"/>
  <c r="R370" i="3"/>
  <c r="S370" i="3"/>
  <c r="T370" i="3"/>
  <c r="U370" i="3"/>
  <c r="V370" i="3"/>
  <c r="W370" i="3"/>
  <c r="X370" i="3"/>
  <c r="Y370" i="3"/>
  <c r="Z370" i="3"/>
  <c r="AA370" i="3"/>
  <c r="AB370" i="3"/>
  <c r="AC370" i="3"/>
  <c r="AD370" i="3"/>
  <c r="AE370" i="3"/>
  <c r="AF370" i="3"/>
  <c r="AG370" i="3"/>
  <c r="J371" i="3"/>
  <c r="K371" i="3"/>
  <c r="L371" i="3"/>
  <c r="M371" i="3"/>
  <c r="N371" i="3"/>
  <c r="O371" i="3"/>
  <c r="P371" i="3"/>
  <c r="Q371" i="3"/>
  <c r="R371" i="3"/>
  <c r="S371" i="3"/>
  <c r="T371" i="3"/>
  <c r="U371" i="3"/>
  <c r="V371" i="3"/>
  <c r="W371" i="3"/>
  <c r="X371" i="3"/>
  <c r="Y371" i="3"/>
  <c r="Z371" i="3"/>
  <c r="AA371" i="3"/>
  <c r="AB371" i="3"/>
  <c r="AC371" i="3"/>
  <c r="AD371" i="3"/>
  <c r="AE371" i="3"/>
  <c r="AF371" i="3"/>
  <c r="AG371" i="3"/>
  <c r="J372" i="3"/>
  <c r="K372" i="3"/>
  <c r="L372" i="3"/>
  <c r="M372" i="3"/>
  <c r="N372" i="3"/>
  <c r="O372" i="3"/>
  <c r="P372" i="3"/>
  <c r="Q372" i="3"/>
  <c r="R372" i="3"/>
  <c r="S372" i="3"/>
  <c r="T372" i="3"/>
  <c r="U372" i="3"/>
  <c r="V372" i="3"/>
  <c r="W372" i="3"/>
  <c r="X372" i="3"/>
  <c r="Y372" i="3"/>
  <c r="Z372" i="3"/>
  <c r="AA372" i="3"/>
  <c r="AB372" i="3"/>
  <c r="AC372" i="3"/>
  <c r="AD372" i="3"/>
  <c r="AE372" i="3"/>
  <c r="AF372" i="3"/>
  <c r="AG372" i="3"/>
  <c r="J373" i="3"/>
  <c r="K373" i="3"/>
  <c r="L373" i="3"/>
  <c r="M373" i="3"/>
  <c r="N373" i="3"/>
  <c r="O373" i="3"/>
  <c r="P373" i="3"/>
  <c r="Q373" i="3"/>
  <c r="R373" i="3"/>
  <c r="S373" i="3"/>
  <c r="T373" i="3"/>
  <c r="U373" i="3"/>
  <c r="V373" i="3"/>
  <c r="W373" i="3"/>
  <c r="X373" i="3"/>
  <c r="Y373" i="3"/>
  <c r="Z373" i="3"/>
  <c r="AA373" i="3"/>
  <c r="AB373" i="3"/>
  <c r="AC373" i="3"/>
  <c r="AD373" i="3"/>
  <c r="AE373" i="3"/>
  <c r="AF373" i="3"/>
  <c r="AG373" i="3"/>
  <c r="J374" i="3"/>
  <c r="K374" i="3"/>
  <c r="L374" i="3"/>
  <c r="M374" i="3"/>
  <c r="N374" i="3"/>
  <c r="O374" i="3"/>
  <c r="P374" i="3"/>
  <c r="Q374" i="3"/>
  <c r="R374" i="3"/>
  <c r="S374" i="3"/>
  <c r="T374" i="3"/>
  <c r="U374" i="3"/>
  <c r="V374" i="3"/>
  <c r="W374" i="3"/>
  <c r="X374" i="3"/>
  <c r="Y374" i="3"/>
  <c r="Z374" i="3"/>
  <c r="AA374" i="3"/>
  <c r="AB374" i="3"/>
  <c r="AC374" i="3"/>
  <c r="AD374" i="3"/>
  <c r="AE374" i="3"/>
  <c r="AF374" i="3"/>
  <c r="AG374" i="3"/>
  <c r="J375" i="3"/>
  <c r="K375" i="3"/>
  <c r="L375" i="3"/>
  <c r="M375" i="3"/>
  <c r="N375" i="3"/>
  <c r="O375" i="3"/>
  <c r="P375" i="3"/>
  <c r="Q375" i="3"/>
  <c r="R375" i="3"/>
  <c r="S375" i="3"/>
  <c r="T375" i="3"/>
  <c r="U375" i="3"/>
  <c r="V375" i="3"/>
  <c r="W375" i="3"/>
  <c r="X375" i="3"/>
  <c r="Y375" i="3"/>
  <c r="Z375" i="3"/>
  <c r="AA375" i="3"/>
  <c r="AB375" i="3"/>
  <c r="AC375" i="3"/>
  <c r="AD375" i="3"/>
  <c r="AE375" i="3"/>
  <c r="AF375" i="3"/>
  <c r="AG375" i="3"/>
  <c r="J376" i="3"/>
  <c r="K376" i="3"/>
  <c r="L376" i="3"/>
  <c r="M376" i="3"/>
  <c r="N376" i="3"/>
  <c r="O376" i="3"/>
  <c r="P376" i="3"/>
  <c r="Q376" i="3"/>
  <c r="R376" i="3"/>
  <c r="S376" i="3"/>
  <c r="T376" i="3"/>
  <c r="U376" i="3"/>
  <c r="V376" i="3"/>
  <c r="W376" i="3"/>
  <c r="X376" i="3"/>
  <c r="Y376" i="3"/>
  <c r="Z376" i="3"/>
  <c r="AA376" i="3"/>
  <c r="AB376" i="3"/>
  <c r="AC376" i="3"/>
  <c r="AD376" i="3"/>
  <c r="AE376" i="3"/>
  <c r="AF376" i="3"/>
  <c r="AG376" i="3"/>
  <c r="J377" i="3"/>
  <c r="K377" i="3"/>
  <c r="L377" i="3"/>
  <c r="M377" i="3"/>
  <c r="N377" i="3"/>
  <c r="O377" i="3"/>
  <c r="P377" i="3"/>
  <c r="Q377" i="3"/>
  <c r="R377" i="3"/>
  <c r="S377" i="3"/>
  <c r="T377" i="3"/>
  <c r="U377" i="3"/>
  <c r="V377" i="3"/>
  <c r="W377" i="3"/>
  <c r="X377" i="3"/>
  <c r="Y377" i="3"/>
  <c r="Z377" i="3"/>
  <c r="AA377" i="3"/>
  <c r="AB377" i="3"/>
  <c r="AC377" i="3"/>
  <c r="AD377" i="3"/>
  <c r="AE377" i="3"/>
  <c r="AF377" i="3"/>
  <c r="AG377" i="3"/>
  <c r="J378" i="3"/>
  <c r="K378" i="3"/>
  <c r="L378" i="3"/>
  <c r="M378" i="3"/>
  <c r="N378" i="3"/>
  <c r="O378" i="3"/>
  <c r="P378" i="3"/>
  <c r="Q378" i="3"/>
  <c r="R378" i="3"/>
  <c r="S378" i="3"/>
  <c r="T378" i="3"/>
  <c r="U378" i="3"/>
  <c r="V378" i="3"/>
  <c r="W378" i="3"/>
  <c r="X378" i="3"/>
  <c r="Y378" i="3"/>
  <c r="Z378" i="3"/>
  <c r="AA378" i="3"/>
  <c r="AB378" i="3"/>
  <c r="AC378" i="3"/>
  <c r="AD378" i="3"/>
  <c r="AE378" i="3"/>
  <c r="AF378" i="3"/>
  <c r="AG378" i="3"/>
  <c r="J379" i="3"/>
  <c r="K379" i="3"/>
  <c r="L379" i="3"/>
  <c r="M379" i="3"/>
  <c r="N379" i="3"/>
  <c r="O379" i="3"/>
  <c r="P379" i="3"/>
  <c r="Q379" i="3"/>
  <c r="R379" i="3"/>
  <c r="S379" i="3"/>
  <c r="T379" i="3"/>
  <c r="U379" i="3"/>
  <c r="V379" i="3"/>
  <c r="W379" i="3"/>
  <c r="X379" i="3"/>
  <c r="Y379" i="3"/>
  <c r="Z379" i="3"/>
  <c r="AA379" i="3"/>
  <c r="AB379" i="3"/>
  <c r="AC379" i="3"/>
  <c r="AD379" i="3"/>
  <c r="AE379" i="3"/>
  <c r="AF379" i="3"/>
  <c r="AG379" i="3"/>
  <c r="J380" i="3"/>
  <c r="K380" i="3"/>
  <c r="L380" i="3"/>
  <c r="M380" i="3"/>
  <c r="N380" i="3"/>
  <c r="O380" i="3"/>
  <c r="P380" i="3"/>
  <c r="Q380" i="3"/>
  <c r="R380" i="3"/>
  <c r="S380" i="3"/>
  <c r="T380" i="3"/>
  <c r="U380" i="3"/>
  <c r="V380" i="3"/>
  <c r="W380" i="3"/>
  <c r="X380" i="3"/>
  <c r="Y380" i="3"/>
  <c r="Z380" i="3"/>
  <c r="AA380" i="3"/>
  <c r="AB380" i="3"/>
  <c r="AC380" i="3"/>
  <c r="AD380" i="3"/>
  <c r="AE380" i="3"/>
  <c r="AF380" i="3"/>
  <c r="AG380" i="3"/>
  <c r="J381" i="3"/>
  <c r="K381" i="3"/>
  <c r="L381" i="3"/>
  <c r="M381" i="3"/>
  <c r="N381" i="3"/>
  <c r="O381" i="3"/>
  <c r="P381" i="3"/>
  <c r="Q381" i="3"/>
  <c r="R381" i="3"/>
  <c r="S381" i="3"/>
  <c r="T381" i="3"/>
  <c r="U381" i="3"/>
  <c r="V381" i="3"/>
  <c r="W381" i="3"/>
  <c r="X381" i="3"/>
  <c r="Y381" i="3"/>
  <c r="Z381" i="3"/>
  <c r="AA381" i="3"/>
  <c r="AB381" i="3"/>
  <c r="AC381" i="3"/>
  <c r="AD381" i="3"/>
  <c r="AE381" i="3"/>
  <c r="AF381" i="3"/>
  <c r="AG381" i="3"/>
  <c r="J382" i="3"/>
  <c r="K382" i="3"/>
  <c r="L382" i="3"/>
  <c r="M382" i="3"/>
  <c r="N382" i="3"/>
  <c r="O382" i="3"/>
  <c r="P382" i="3"/>
  <c r="Q382" i="3"/>
  <c r="R382" i="3"/>
  <c r="S382" i="3"/>
  <c r="T382" i="3"/>
  <c r="U382" i="3"/>
  <c r="V382" i="3"/>
  <c r="W382" i="3"/>
  <c r="X382" i="3"/>
  <c r="Y382" i="3"/>
  <c r="Z382" i="3"/>
  <c r="AA382" i="3"/>
  <c r="AB382" i="3"/>
  <c r="AC382" i="3"/>
  <c r="AD382" i="3"/>
  <c r="AE382" i="3"/>
  <c r="AF382" i="3"/>
  <c r="AG382" i="3"/>
  <c r="J383" i="3"/>
  <c r="K383" i="3"/>
  <c r="L383" i="3"/>
  <c r="M383" i="3"/>
  <c r="N383" i="3"/>
  <c r="O383" i="3"/>
  <c r="P383" i="3"/>
  <c r="Q383" i="3"/>
  <c r="R383" i="3"/>
  <c r="S383" i="3"/>
  <c r="T383" i="3"/>
  <c r="U383" i="3"/>
  <c r="V383" i="3"/>
  <c r="W383" i="3"/>
  <c r="X383" i="3"/>
  <c r="Y383" i="3"/>
  <c r="Z383" i="3"/>
  <c r="AA383" i="3"/>
  <c r="AB383" i="3"/>
  <c r="AC383" i="3"/>
  <c r="AD383" i="3"/>
  <c r="AE383" i="3"/>
  <c r="AF383" i="3"/>
  <c r="AG383" i="3"/>
  <c r="J384" i="3"/>
  <c r="K384" i="3"/>
  <c r="L384" i="3"/>
  <c r="M384" i="3"/>
  <c r="N384" i="3"/>
  <c r="O384" i="3"/>
  <c r="P384" i="3"/>
  <c r="Q384" i="3"/>
  <c r="R384" i="3"/>
  <c r="S384" i="3"/>
  <c r="T384" i="3"/>
  <c r="U384" i="3"/>
  <c r="V384" i="3"/>
  <c r="W384" i="3"/>
  <c r="X384" i="3"/>
  <c r="Y384" i="3"/>
  <c r="Z384" i="3"/>
  <c r="AA384" i="3"/>
  <c r="AB384" i="3"/>
  <c r="AC384" i="3"/>
  <c r="AD384" i="3"/>
  <c r="AE384" i="3"/>
  <c r="AF384" i="3"/>
  <c r="AG384" i="3"/>
  <c r="J385" i="3"/>
  <c r="K385" i="3"/>
  <c r="L385" i="3"/>
  <c r="M385" i="3"/>
  <c r="N385" i="3"/>
  <c r="O385" i="3"/>
  <c r="P385" i="3"/>
  <c r="Q385" i="3"/>
  <c r="R385" i="3"/>
  <c r="S385" i="3"/>
  <c r="T385" i="3"/>
  <c r="U385" i="3"/>
  <c r="V385" i="3"/>
  <c r="W385" i="3"/>
  <c r="X385" i="3"/>
  <c r="Y385" i="3"/>
  <c r="Z385" i="3"/>
  <c r="AA385" i="3"/>
  <c r="AB385" i="3"/>
  <c r="AC385" i="3"/>
  <c r="AD385" i="3"/>
  <c r="AE385" i="3"/>
  <c r="AF385" i="3"/>
  <c r="AG385" i="3"/>
  <c r="J386" i="3"/>
  <c r="K386" i="3"/>
  <c r="L386" i="3"/>
  <c r="M386" i="3"/>
  <c r="N386" i="3"/>
  <c r="O386" i="3"/>
  <c r="P386" i="3"/>
  <c r="Q386" i="3"/>
  <c r="R386" i="3"/>
  <c r="S386" i="3"/>
  <c r="T386" i="3"/>
  <c r="U386" i="3"/>
  <c r="V386" i="3"/>
  <c r="W386" i="3"/>
  <c r="X386" i="3"/>
  <c r="Y386" i="3"/>
  <c r="Z386" i="3"/>
  <c r="AA386" i="3"/>
  <c r="AB386" i="3"/>
  <c r="AC386" i="3"/>
  <c r="AD386" i="3"/>
  <c r="AE386" i="3"/>
  <c r="AF386" i="3"/>
  <c r="AG386" i="3"/>
  <c r="J387" i="3"/>
  <c r="K387" i="3"/>
  <c r="L387" i="3"/>
  <c r="M387" i="3"/>
  <c r="N387" i="3"/>
  <c r="O387" i="3"/>
  <c r="P387" i="3"/>
  <c r="Q387" i="3"/>
  <c r="R387" i="3"/>
  <c r="S387" i="3"/>
  <c r="T387" i="3"/>
  <c r="U387" i="3"/>
  <c r="V387" i="3"/>
  <c r="W387" i="3"/>
  <c r="X387" i="3"/>
  <c r="Y387" i="3"/>
  <c r="Z387" i="3"/>
  <c r="AA387" i="3"/>
  <c r="AB387" i="3"/>
  <c r="AC387" i="3"/>
  <c r="AD387" i="3"/>
  <c r="AE387" i="3"/>
  <c r="AF387" i="3"/>
  <c r="AG387" i="3"/>
  <c r="J388" i="3"/>
  <c r="K388" i="3"/>
  <c r="L388" i="3"/>
  <c r="M388" i="3"/>
  <c r="N388" i="3"/>
  <c r="O388" i="3"/>
  <c r="P388" i="3"/>
  <c r="Q388" i="3"/>
  <c r="R388" i="3"/>
  <c r="S388" i="3"/>
  <c r="T388" i="3"/>
  <c r="U388" i="3"/>
  <c r="V388" i="3"/>
  <c r="W388" i="3"/>
  <c r="X388" i="3"/>
  <c r="Y388" i="3"/>
  <c r="Z388" i="3"/>
  <c r="AA388" i="3"/>
  <c r="AB388" i="3"/>
  <c r="AC388" i="3"/>
  <c r="AD388" i="3"/>
  <c r="AE388" i="3"/>
  <c r="AF388" i="3"/>
  <c r="AG388" i="3"/>
  <c r="J389" i="3"/>
  <c r="K389" i="3"/>
  <c r="L389" i="3"/>
  <c r="M389" i="3"/>
  <c r="N389" i="3"/>
  <c r="O389" i="3"/>
  <c r="P389" i="3"/>
  <c r="Q389" i="3"/>
  <c r="R389" i="3"/>
  <c r="S389" i="3"/>
  <c r="T389" i="3"/>
  <c r="U389" i="3"/>
  <c r="V389" i="3"/>
  <c r="W389" i="3"/>
  <c r="X389" i="3"/>
  <c r="Y389" i="3"/>
  <c r="Z389" i="3"/>
  <c r="AA389" i="3"/>
  <c r="AB389" i="3"/>
  <c r="AC389" i="3"/>
  <c r="AD389" i="3"/>
  <c r="AE389" i="3"/>
  <c r="AF389" i="3"/>
  <c r="AG389" i="3"/>
  <c r="J390" i="3"/>
  <c r="K390" i="3"/>
  <c r="L390" i="3"/>
  <c r="M390" i="3"/>
  <c r="N390" i="3"/>
  <c r="O390" i="3"/>
  <c r="P390" i="3"/>
  <c r="Q390" i="3"/>
  <c r="R390" i="3"/>
  <c r="S390" i="3"/>
  <c r="T390" i="3"/>
  <c r="U390" i="3"/>
  <c r="V390" i="3"/>
  <c r="W390" i="3"/>
  <c r="X390" i="3"/>
  <c r="Y390" i="3"/>
  <c r="Z390" i="3"/>
  <c r="AA390" i="3"/>
  <c r="AB390" i="3"/>
  <c r="AC390" i="3"/>
  <c r="AD390" i="3"/>
  <c r="AE390" i="3"/>
  <c r="AF390" i="3"/>
  <c r="AG390" i="3"/>
  <c r="J391" i="3"/>
  <c r="K391" i="3"/>
  <c r="L391" i="3"/>
  <c r="M391" i="3"/>
  <c r="N391" i="3"/>
  <c r="O391" i="3"/>
  <c r="P391" i="3"/>
  <c r="Q391" i="3"/>
  <c r="R391" i="3"/>
  <c r="S391" i="3"/>
  <c r="T391" i="3"/>
  <c r="U391" i="3"/>
  <c r="V391" i="3"/>
  <c r="W391" i="3"/>
  <c r="X391" i="3"/>
  <c r="Y391" i="3"/>
  <c r="Z391" i="3"/>
  <c r="AA391" i="3"/>
  <c r="AB391" i="3"/>
  <c r="AC391" i="3"/>
  <c r="AD391" i="3"/>
  <c r="AE391" i="3"/>
  <c r="AF391" i="3"/>
  <c r="AG391" i="3"/>
  <c r="J392" i="3"/>
  <c r="K392" i="3"/>
  <c r="L392" i="3"/>
  <c r="M392" i="3"/>
  <c r="N392" i="3"/>
  <c r="O392" i="3"/>
  <c r="P392" i="3"/>
  <c r="Q392" i="3"/>
  <c r="R392" i="3"/>
  <c r="S392" i="3"/>
  <c r="T392" i="3"/>
  <c r="U392" i="3"/>
  <c r="V392" i="3"/>
  <c r="W392" i="3"/>
  <c r="X392" i="3"/>
  <c r="Y392" i="3"/>
  <c r="Z392" i="3"/>
  <c r="AA392" i="3"/>
  <c r="AB392" i="3"/>
  <c r="AC392" i="3"/>
  <c r="AD392" i="3"/>
  <c r="AE392" i="3"/>
  <c r="AF392" i="3"/>
  <c r="AG392" i="3"/>
  <c r="J393" i="3"/>
  <c r="K393" i="3"/>
  <c r="L393" i="3"/>
  <c r="M393" i="3"/>
  <c r="N393" i="3"/>
  <c r="O393" i="3"/>
  <c r="P393" i="3"/>
  <c r="Q393" i="3"/>
  <c r="R393" i="3"/>
  <c r="S393" i="3"/>
  <c r="T393" i="3"/>
  <c r="U393" i="3"/>
  <c r="V393" i="3"/>
  <c r="W393" i="3"/>
  <c r="X393" i="3"/>
  <c r="Y393" i="3"/>
  <c r="Z393" i="3"/>
  <c r="AA393" i="3"/>
  <c r="AB393" i="3"/>
  <c r="AC393" i="3"/>
  <c r="AD393" i="3"/>
  <c r="AE393" i="3"/>
  <c r="AF393" i="3"/>
  <c r="AG393" i="3"/>
  <c r="J394" i="3"/>
  <c r="K394" i="3"/>
  <c r="L394" i="3"/>
  <c r="M394" i="3"/>
  <c r="N394" i="3"/>
  <c r="O394" i="3"/>
  <c r="P394" i="3"/>
  <c r="Q394" i="3"/>
  <c r="R394" i="3"/>
  <c r="S394" i="3"/>
  <c r="T394" i="3"/>
  <c r="U394" i="3"/>
  <c r="V394" i="3"/>
  <c r="W394" i="3"/>
  <c r="X394" i="3"/>
  <c r="Y394" i="3"/>
  <c r="Z394" i="3"/>
  <c r="AA394" i="3"/>
  <c r="AB394" i="3"/>
  <c r="AC394" i="3"/>
  <c r="AD394" i="3"/>
  <c r="AE394" i="3"/>
  <c r="AF394" i="3"/>
  <c r="AG394" i="3"/>
  <c r="J395" i="3"/>
  <c r="K395" i="3"/>
  <c r="L395" i="3"/>
  <c r="M395" i="3"/>
  <c r="N395" i="3"/>
  <c r="O395" i="3"/>
  <c r="P395" i="3"/>
  <c r="Q395" i="3"/>
  <c r="R395" i="3"/>
  <c r="S395" i="3"/>
  <c r="T395" i="3"/>
  <c r="U395" i="3"/>
  <c r="V395" i="3"/>
  <c r="W395" i="3"/>
  <c r="X395" i="3"/>
  <c r="Y395" i="3"/>
  <c r="Z395" i="3"/>
  <c r="AA395" i="3"/>
  <c r="AB395" i="3"/>
  <c r="AC395" i="3"/>
  <c r="AD395" i="3"/>
  <c r="AE395" i="3"/>
  <c r="AF395" i="3"/>
  <c r="AG395" i="3"/>
  <c r="J396" i="3"/>
  <c r="K396" i="3"/>
  <c r="L396" i="3"/>
  <c r="M396" i="3"/>
  <c r="N396" i="3"/>
  <c r="O396" i="3"/>
  <c r="P396" i="3"/>
  <c r="Q396" i="3"/>
  <c r="R396" i="3"/>
  <c r="S396" i="3"/>
  <c r="T396" i="3"/>
  <c r="U396" i="3"/>
  <c r="V396" i="3"/>
  <c r="W396" i="3"/>
  <c r="X396" i="3"/>
  <c r="Y396" i="3"/>
  <c r="Z396" i="3"/>
  <c r="AA396" i="3"/>
  <c r="AB396" i="3"/>
  <c r="AC396" i="3"/>
  <c r="AD396" i="3"/>
  <c r="AE396" i="3"/>
  <c r="AF396" i="3"/>
  <c r="AG396" i="3"/>
  <c r="J397" i="3"/>
  <c r="K397" i="3"/>
  <c r="L397" i="3"/>
  <c r="M397" i="3"/>
  <c r="N397" i="3"/>
  <c r="O397" i="3"/>
  <c r="P397" i="3"/>
  <c r="Q397" i="3"/>
  <c r="R397" i="3"/>
  <c r="S397" i="3"/>
  <c r="T397" i="3"/>
  <c r="U397" i="3"/>
  <c r="V397" i="3"/>
  <c r="W397" i="3"/>
  <c r="X397" i="3"/>
  <c r="Y397" i="3"/>
  <c r="Z397" i="3"/>
  <c r="AA397" i="3"/>
  <c r="AB397" i="3"/>
  <c r="AC397" i="3"/>
  <c r="AD397" i="3"/>
  <c r="AE397" i="3"/>
  <c r="AF397" i="3"/>
  <c r="AG397" i="3"/>
  <c r="J398" i="3"/>
  <c r="K398" i="3"/>
  <c r="L398" i="3"/>
  <c r="M398" i="3"/>
  <c r="N398" i="3"/>
  <c r="O398" i="3"/>
  <c r="P398" i="3"/>
  <c r="Q398" i="3"/>
  <c r="R398" i="3"/>
  <c r="S398" i="3"/>
  <c r="T398" i="3"/>
  <c r="U398" i="3"/>
  <c r="V398" i="3"/>
  <c r="W398" i="3"/>
  <c r="X398" i="3"/>
  <c r="Y398" i="3"/>
  <c r="Z398" i="3"/>
  <c r="AA398" i="3"/>
  <c r="AB398" i="3"/>
  <c r="AC398" i="3"/>
  <c r="AD398" i="3"/>
  <c r="AE398" i="3"/>
  <c r="AF398" i="3"/>
  <c r="AG398" i="3"/>
  <c r="J399" i="3"/>
  <c r="K399" i="3"/>
  <c r="L399" i="3"/>
  <c r="M399" i="3"/>
  <c r="N399" i="3"/>
  <c r="O399" i="3"/>
  <c r="P399" i="3"/>
  <c r="Q399" i="3"/>
  <c r="R399" i="3"/>
  <c r="S399" i="3"/>
  <c r="T399" i="3"/>
  <c r="U399" i="3"/>
  <c r="V399" i="3"/>
  <c r="W399" i="3"/>
  <c r="X399" i="3"/>
  <c r="Y399" i="3"/>
  <c r="Z399" i="3"/>
  <c r="AA399" i="3"/>
  <c r="AB399" i="3"/>
  <c r="AC399" i="3"/>
  <c r="AD399" i="3"/>
  <c r="AE399" i="3"/>
  <c r="AF399" i="3"/>
  <c r="AG399" i="3"/>
  <c r="J400" i="3"/>
  <c r="K400" i="3"/>
  <c r="L400" i="3"/>
  <c r="M400" i="3"/>
  <c r="N400" i="3"/>
  <c r="O400" i="3"/>
  <c r="P400" i="3"/>
  <c r="Q400" i="3"/>
  <c r="R400" i="3"/>
  <c r="S400" i="3"/>
  <c r="T400" i="3"/>
  <c r="U400" i="3"/>
  <c r="V400" i="3"/>
  <c r="W400" i="3"/>
  <c r="X400" i="3"/>
  <c r="Y400" i="3"/>
  <c r="Z400" i="3"/>
  <c r="AA400" i="3"/>
  <c r="AB400" i="3"/>
  <c r="AC400" i="3"/>
  <c r="AD400" i="3"/>
  <c r="AE400" i="3"/>
  <c r="AF400" i="3"/>
  <c r="AG400" i="3"/>
  <c r="J401" i="3"/>
  <c r="K401" i="3"/>
  <c r="L401" i="3"/>
  <c r="M401" i="3"/>
  <c r="N401" i="3"/>
  <c r="O401" i="3"/>
  <c r="P401" i="3"/>
  <c r="Q401" i="3"/>
  <c r="R401" i="3"/>
  <c r="S401" i="3"/>
  <c r="T401" i="3"/>
  <c r="U401" i="3"/>
  <c r="V401" i="3"/>
  <c r="W401" i="3"/>
  <c r="X401" i="3"/>
  <c r="Y401" i="3"/>
  <c r="Z401" i="3"/>
  <c r="AA401" i="3"/>
  <c r="AB401" i="3"/>
  <c r="AC401" i="3"/>
  <c r="AD401" i="3"/>
  <c r="AE401" i="3"/>
  <c r="AF401" i="3"/>
  <c r="AG401" i="3"/>
  <c r="J402" i="3"/>
  <c r="K402" i="3"/>
  <c r="L402" i="3"/>
  <c r="M402" i="3"/>
  <c r="N402" i="3"/>
  <c r="O402" i="3"/>
  <c r="P402" i="3"/>
  <c r="Q402" i="3"/>
  <c r="R402" i="3"/>
  <c r="S402" i="3"/>
  <c r="T402" i="3"/>
  <c r="U402" i="3"/>
  <c r="V402" i="3"/>
  <c r="W402" i="3"/>
  <c r="X402" i="3"/>
  <c r="Y402" i="3"/>
  <c r="Z402" i="3"/>
  <c r="AA402" i="3"/>
  <c r="AB402" i="3"/>
  <c r="AC402" i="3"/>
  <c r="AD402" i="3"/>
  <c r="AE402" i="3"/>
  <c r="AF402" i="3"/>
  <c r="AG402" i="3"/>
  <c r="J403" i="3"/>
  <c r="K403" i="3"/>
  <c r="L403" i="3"/>
  <c r="M403" i="3"/>
  <c r="N403" i="3"/>
  <c r="O403" i="3"/>
  <c r="P403" i="3"/>
  <c r="Q403" i="3"/>
  <c r="R403" i="3"/>
  <c r="S403" i="3"/>
  <c r="T403" i="3"/>
  <c r="U403" i="3"/>
  <c r="V403" i="3"/>
  <c r="W403" i="3"/>
  <c r="X403" i="3"/>
  <c r="Y403" i="3"/>
  <c r="Z403" i="3"/>
  <c r="AA403" i="3"/>
  <c r="AB403" i="3"/>
  <c r="AC403" i="3"/>
  <c r="AD403" i="3"/>
  <c r="AE403" i="3"/>
  <c r="AF403" i="3"/>
  <c r="AG403" i="3"/>
  <c r="J404" i="3"/>
  <c r="K404" i="3"/>
  <c r="L404" i="3"/>
  <c r="M404" i="3"/>
  <c r="N404" i="3"/>
  <c r="O404" i="3"/>
  <c r="P404" i="3"/>
  <c r="Q404" i="3"/>
  <c r="R404" i="3"/>
  <c r="S404" i="3"/>
  <c r="T404" i="3"/>
  <c r="U404" i="3"/>
  <c r="V404" i="3"/>
  <c r="W404" i="3"/>
  <c r="X404" i="3"/>
  <c r="Y404" i="3"/>
  <c r="Z404" i="3"/>
  <c r="AA404" i="3"/>
  <c r="AB404" i="3"/>
  <c r="AC404" i="3"/>
  <c r="AD404" i="3"/>
  <c r="AE404" i="3"/>
  <c r="AF404" i="3"/>
  <c r="AG404" i="3"/>
  <c r="J405" i="3"/>
  <c r="K405" i="3"/>
  <c r="L405" i="3"/>
  <c r="M405" i="3"/>
  <c r="N405" i="3"/>
  <c r="O405" i="3"/>
  <c r="P405" i="3"/>
  <c r="Q405" i="3"/>
  <c r="R405" i="3"/>
  <c r="S405" i="3"/>
  <c r="T405" i="3"/>
  <c r="U405" i="3"/>
  <c r="V405" i="3"/>
  <c r="W405" i="3"/>
  <c r="X405" i="3"/>
  <c r="Y405" i="3"/>
  <c r="Z405" i="3"/>
  <c r="AA405" i="3"/>
  <c r="AB405" i="3"/>
  <c r="AC405" i="3"/>
  <c r="AD405" i="3"/>
  <c r="AE405" i="3"/>
  <c r="AF405" i="3"/>
  <c r="AG405" i="3"/>
  <c r="J406" i="3"/>
  <c r="K406" i="3"/>
  <c r="L406" i="3"/>
  <c r="M406" i="3"/>
  <c r="N406" i="3"/>
  <c r="O406" i="3"/>
  <c r="P406" i="3"/>
  <c r="Q406" i="3"/>
  <c r="R406" i="3"/>
  <c r="S406" i="3"/>
  <c r="T406" i="3"/>
  <c r="U406" i="3"/>
  <c r="V406" i="3"/>
  <c r="W406" i="3"/>
  <c r="X406" i="3"/>
  <c r="Y406" i="3"/>
  <c r="Z406" i="3"/>
  <c r="AA406" i="3"/>
  <c r="AB406" i="3"/>
  <c r="AC406" i="3"/>
  <c r="AD406" i="3"/>
  <c r="AE406" i="3"/>
  <c r="AF406" i="3"/>
  <c r="AG406" i="3"/>
  <c r="J407" i="3"/>
  <c r="K407" i="3"/>
  <c r="L407" i="3"/>
  <c r="M407" i="3"/>
  <c r="N407" i="3"/>
  <c r="O407" i="3"/>
  <c r="P407" i="3"/>
  <c r="Q407" i="3"/>
  <c r="R407" i="3"/>
  <c r="S407" i="3"/>
  <c r="T407" i="3"/>
  <c r="U407" i="3"/>
  <c r="V407" i="3"/>
  <c r="W407" i="3"/>
  <c r="X407" i="3"/>
  <c r="Y407" i="3"/>
  <c r="Z407" i="3"/>
  <c r="AA407" i="3"/>
  <c r="AB407" i="3"/>
  <c r="AC407" i="3"/>
  <c r="AD407" i="3"/>
  <c r="AE407" i="3"/>
  <c r="AF407" i="3"/>
  <c r="AG407" i="3"/>
  <c r="J408" i="3"/>
  <c r="K408" i="3"/>
  <c r="L408" i="3"/>
  <c r="M408" i="3"/>
  <c r="N408" i="3"/>
  <c r="O408" i="3"/>
  <c r="P408" i="3"/>
  <c r="Q408" i="3"/>
  <c r="R408" i="3"/>
  <c r="S408" i="3"/>
  <c r="T408" i="3"/>
  <c r="U408" i="3"/>
  <c r="V408" i="3"/>
  <c r="W408" i="3"/>
  <c r="X408" i="3"/>
  <c r="Y408" i="3"/>
  <c r="Z408" i="3"/>
  <c r="AA408" i="3"/>
  <c r="AB408" i="3"/>
  <c r="AC408" i="3"/>
  <c r="AD408" i="3"/>
  <c r="AE408" i="3"/>
  <c r="AF408" i="3"/>
  <c r="AG408" i="3"/>
  <c r="J409" i="3"/>
  <c r="K409" i="3"/>
  <c r="L409" i="3"/>
  <c r="M409" i="3"/>
  <c r="N409" i="3"/>
  <c r="O409" i="3"/>
  <c r="P409" i="3"/>
  <c r="Q409" i="3"/>
  <c r="R409" i="3"/>
  <c r="S409" i="3"/>
  <c r="T409" i="3"/>
  <c r="U409" i="3"/>
  <c r="V409" i="3"/>
  <c r="W409" i="3"/>
  <c r="X409" i="3"/>
  <c r="Y409" i="3"/>
  <c r="Z409" i="3"/>
  <c r="AA409" i="3"/>
  <c r="AB409" i="3"/>
  <c r="AC409" i="3"/>
  <c r="AD409" i="3"/>
  <c r="AE409" i="3"/>
  <c r="AF409" i="3"/>
  <c r="AG409" i="3"/>
  <c r="J410" i="3"/>
  <c r="K410" i="3"/>
  <c r="L410" i="3"/>
  <c r="M410" i="3"/>
  <c r="N410" i="3"/>
  <c r="O410" i="3"/>
  <c r="P410" i="3"/>
  <c r="Q410" i="3"/>
  <c r="R410" i="3"/>
  <c r="S410" i="3"/>
  <c r="T410" i="3"/>
  <c r="U410" i="3"/>
  <c r="V410" i="3"/>
  <c r="W410" i="3"/>
  <c r="X410" i="3"/>
  <c r="Y410" i="3"/>
  <c r="Z410" i="3"/>
  <c r="AA410" i="3"/>
  <c r="AB410" i="3"/>
  <c r="AC410" i="3"/>
  <c r="AD410" i="3"/>
  <c r="AE410" i="3"/>
  <c r="AF410" i="3"/>
  <c r="AG410" i="3"/>
  <c r="J411" i="3"/>
  <c r="K411" i="3"/>
  <c r="L411" i="3"/>
  <c r="M411" i="3"/>
  <c r="N411" i="3"/>
  <c r="O411" i="3"/>
  <c r="P411" i="3"/>
  <c r="Q411" i="3"/>
  <c r="R411" i="3"/>
  <c r="S411" i="3"/>
  <c r="T411" i="3"/>
  <c r="U411" i="3"/>
  <c r="V411" i="3"/>
  <c r="W411" i="3"/>
  <c r="X411" i="3"/>
  <c r="Y411" i="3"/>
  <c r="Z411" i="3"/>
  <c r="AA411" i="3"/>
  <c r="AB411" i="3"/>
  <c r="AC411" i="3"/>
  <c r="AD411" i="3"/>
  <c r="AE411" i="3"/>
  <c r="AF411" i="3"/>
  <c r="AG411" i="3"/>
  <c r="J412" i="3"/>
  <c r="K412" i="3"/>
  <c r="L412" i="3"/>
  <c r="M412" i="3"/>
  <c r="N412" i="3"/>
  <c r="O412" i="3"/>
  <c r="P412" i="3"/>
  <c r="Q412" i="3"/>
  <c r="R412" i="3"/>
  <c r="S412" i="3"/>
  <c r="T412" i="3"/>
  <c r="U412" i="3"/>
  <c r="V412" i="3"/>
  <c r="W412" i="3"/>
  <c r="X412" i="3"/>
  <c r="Y412" i="3"/>
  <c r="Z412" i="3"/>
  <c r="AA412" i="3"/>
  <c r="AB412" i="3"/>
  <c r="AC412" i="3"/>
  <c r="AD412" i="3"/>
  <c r="AE412" i="3"/>
  <c r="AF412" i="3"/>
  <c r="AG412" i="3"/>
  <c r="J413" i="3"/>
  <c r="K413" i="3"/>
  <c r="L413" i="3"/>
  <c r="M413" i="3"/>
  <c r="N413" i="3"/>
  <c r="O413" i="3"/>
  <c r="P413" i="3"/>
  <c r="Q413" i="3"/>
  <c r="R413" i="3"/>
  <c r="S413" i="3"/>
  <c r="T413" i="3"/>
  <c r="U413" i="3"/>
  <c r="V413" i="3"/>
  <c r="W413" i="3"/>
  <c r="X413" i="3"/>
  <c r="Y413" i="3"/>
  <c r="Z413" i="3"/>
  <c r="AA413" i="3"/>
  <c r="AB413" i="3"/>
  <c r="AC413" i="3"/>
  <c r="AD413" i="3"/>
  <c r="AE413" i="3"/>
  <c r="AF413" i="3"/>
  <c r="AG413" i="3"/>
  <c r="J414" i="3"/>
  <c r="K414" i="3"/>
  <c r="L414" i="3"/>
  <c r="M414" i="3"/>
  <c r="N414" i="3"/>
  <c r="O414" i="3"/>
  <c r="P414" i="3"/>
  <c r="Q414" i="3"/>
  <c r="R414" i="3"/>
  <c r="S414" i="3"/>
  <c r="T414" i="3"/>
  <c r="U414" i="3"/>
  <c r="V414" i="3"/>
  <c r="W414" i="3"/>
  <c r="X414" i="3"/>
  <c r="Y414" i="3"/>
  <c r="Z414" i="3"/>
  <c r="AA414" i="3"/>
  <c r="AB414" i="3"/>
  <c r="AC414" i="3"/>
  <c r="AD414" i="3"/>
  <c r="AE414" i="3"/>
  <c r="AF414" i="3"/>
  <c r="AG414" i="3"/>
  <c r="J415" i="3"/>
  <c r="K415" i="3"/>
  <c r="L415" i="3"/>
  <c r="M415" i="3"/>
  <c r="N415" i="3"/>
  <c r="O415" i="3"/>
  <c r="P415" i="3"/>
  <c r="Q415" i="3"/>
  <c r="R415" i="3"/>
  <c r="S415" i="3"/>
  <c r="T415" i="3"/>
  <c r="U415" i="3"/>
  <c r="V415" i="3"/>
  <c r="W415" i="3"/>
  <c r="X415" i="3"/>
  <c r="Y415" i="3"/>
  <c r="Z415" i="3"/>
  <c r="AA415" i="3"/>
  <c r="AB415" i="3"/>
  <c r="AC415" i="3"/>
  <c r="AD415" i="3"/>
  <c r="AE415" i="3"/>
  <c r="AF415" i="3"/>
  <c r="AG415" i="3"/>
  <c r="J416" i="3"/>
  <c r="K416" i="3"/>
  <c r="L416" i="3"/>
  <c r="M416" i="3"/>
  <c r="N416" i="3"/>
  <c r="O416" i="3"/>
  <c r="P416" i="3"/>
  <c r="Q416" i="3"/>
  <c r="R416" i="3"/>
  <c r="S416" i="3"/>
  <c r="T416" i="3"/>
  <c r="U416" i="3"/>
  <c r="V416" i="3"/>
  <c r="W416" i="3"/>
  <c r="X416" i="3"/>
  <c r="Y416" i="3"/>
  <c r="Z416" i="3"/>
  <c r="AA416" i="3"/>
  <c r="AB416" i="3"/>
  <c r="AC416" i="3"/>
  <c r="AD416" i="3"/>
  <c r="AE416" i="3"/>
  <c r="AF416" i="3"/>
  <c r="AG416" i="3"/>
  <c r="J417" i="3"/>
  <c r="K417" i="3"/>
  <c r="L417" i="3"/>
  <c r="M417" i="3"/>
  <c r="N417" i="3"/>
  <c r="O417" i="3"/>
  <c r="P417" i="3"/>
  <c r="Q417" i="3"/>
  <c r="R417" i="3"/>
  <c r="S417" i="3"/>
  <c r="T417" i="3"/>
  <c r="U417" i="3"/>
  <c r="V417" i="3"/>
  <c r="W417" i="3"/>
  <c r="X417" i="3"/>
  <c r="Y417" i="3"/>
  <c r="Z417" i="3"/>
  <c r="AA417" i="3"/>
  <c r="AB417" i="3"/>
  <c r="AC417" i="3"/>
  <c r="AD417" i="3"/>
  <c r="AE417" i="3"/>
  <c r="AF417" i="3"/>
  <c r="AG417" i="3"/>
  <c r="J418" i="3"/>
  <c r="K418" i="3"/>
  <c r="L418" i="3"/>
  <c r="M418" i="3"/>
  <c r="N418" i="3"/>
  <c r="O418" i="3"/>
  <c r="P418" i="3"/>
  <c r="Q418" i="3"/>
  <c r="R418" i="3"/>
  <c r="S418" i="3"/>
  <c r="T418" i="3"/>
  <c r="U418" i="3"/>
  <c r="V418" i="3"/>
  <c r="W418" i="3"/>
  <c r="X418" i="3"/>
  <c r="Y418" i="3"/>
  <c r="Z418" i="3"/>
  <c r="AA418" i="3"/>
  <c r="AB418" i="3"/>
  <c r="AC418" i="3"/>
  <c r="AD418" i="3"/>
  <c r="AE418" i="3"/>
  <c r="AF418" i="3"/>
  <c r="AG418" i="3"/>
  <c r="J419" i="3"/>
  <c r="K419" i="3"/>
  <c r="L419" i="3"/>
  <c r="M419" i="3"/>
  <c r="N419" i="3"/>
  <c r="O419" i="3"/>
  <c r="P419" i="3"/>
  <c r="Q419" i="3"/>
  <c r="R419" i="3"/>
  <c r="S419" i="3"/>
  <c r="T419" i="3"/>
  <c r="U419" i="3"/>
  <c r="V419" i="3"/>
  <c r="W419" i="3"/>
  <c r="X419" i="3"/>
  <c r="Y419" i="3"/>
  <c r="Z419" i="3"/>
  <c r="AA419" i="3"/>
  <c r="AB419" i="3"/>
  <c r="AC419" i="3"/>
  <c r="AD419" i="3"/>
  <c r="AE419" i="3"/>
  <c r="AF419" i="3"/>
  <c r="AG419" i="3"/>
  <c r="J420" i="3"/>
  <c r="K420" i="3"/>
  <c r="L420" i="3"/>
  <c r="M420" i="3"/>
  <c r="N420" i="3"/>
  <c r="O420" i="3"/>
  <c r="P420" i="3"/>
  <c r="Q420" i="3"/>
  <c r="R420" i="3"/>
  <c r="S420" i="3"/>
  <c r="T420" i="3"/>
  <c r="U420" i="3"/>
  <c r="V420" i="3"/>
  <c r="W420" i="3"/>
  <c r="X420" i="3"/>
  <c r="Y420" i="3"/>
  <c r="Z420" i="3"/>
  <c r="AA420" i="3"/>
  <c r="AB420" i="3"/>
  <c r="AC420" i="3"/>
  <c r="AD420" i="3"/>
  <c r="AE420" i="3"/>
  <c r="AF420" i="3"/>
  <c r="AG420" i="3"/>
  <c r="J421" i="3"/>
  <c r="K421" i="3"/>
  <c r="L421" i="3"/>
  <c r="M421" i="3"/>
  <c r="N421" i="3"/>
  <c r="O421" i="3"/>
  <c r="P421" i="3"/>
  <c r="Q421" i="3"/>
  <c r="R421" i="3"/>
  <c r="S421" i="3"/>
  <c r="T421" i="3"/>
  <c r="U421" i="3"/>
  <c r="V421" i="3"/>
  <c r="W421" i="3"/>
  <c r="X421" i="3"/>
  <c r="Y421" i="3"/>
  <c r="Z421" i="3"/>
  <c r="AA421" i="3"/>
  <c r="AB421" i="3"/>
  <c r="AC421" i="3"/>
  <c r="AD421" i="3"/>
  <c r="AE421" i="3"/>
  <c r="AF421" i="3"/>
  <c r="AG421" i="3"/>
  <c r="J422" i="3"/>
  <c r="K422" i="3"/>
  <c r="L422" i="3"/>
  <c r="M422" i="3"/>
  <c r="N422" i="3"/>
  <c r="O422" i="3"/>
  <c r="P422" i="3"/>
  <c r="Q422" i="3"/>
  <c r="R422" i="3"/>
  <c r="S422" i="3"/>
  <c r="T422" i="3"/>
  <c r="U422" i="3"/>
  <c r="V422" i="3"/>
  <c r="W422" i="3"/>
  <c r="X422" i="3"/>
  <c r="Y422" i="3"/>
  <c r="Z422" i="3"/>
  <c r="AA422" i="3"/>
  <c r="AB422" i="3"/>
  <c r="AC422" i="3"/>
  <c r="AD422" i="3"/>
  <c r="AE422" i="3"/>
  <c r="AF422" i="3"/>
  <c r="AG422" i="3"/>
  <c r="J423" i="3"/>
  <c r="K423" i="3"/>
  <c r="L423" i="3"/>
  <c r="M423" i="3"/>
  <c r="N423" i="3"/>
  <c r="O423" i="3"/>
  <c r="P423" i="3"/>
  <c r="Q423" i="3"/>
  <c r="R423" i="3"/>
  <c r="S423" i="3"/>
  <c r="T423" i="3"/>
  <c r="U423" i="3"/>
  <c r="V423" i="3"/>
  <c r="W423" i="3"/>
  <c r="X423" i="3"/>
  <c r="Y423" i="3"/>
  <c r="Z423" i="3"/>
  <c r="AA423" i="3"/>
  <c r="AB423" i="3"/>
  <c r="AC423" i="3"/>
  <c r="AD423" i="3"/>
  <c r="AE423" i="3"/>
  <c r="AF423" i="3"/>
  <c r="AG423" i="3"/>
  <c r="J424" i="3"/>
  <c r="K424" i="3"/>
  <c r="L424" i="3"/>
  <c r="M424" i="3"/>
  <c r="N424" i="3"/>
  <c r="O424" i="3"/>
  <c r="P424" i="3"/>
  <c r="Q424" i="3"/>
  <c r="R424" i="3"/>
  <c r="S424" i="3"/>
  <c r="T424" i="3"/>
  <c r="U424" i="3"/>
  <c r="V424" i="3"/>
  <c r="W424" i="3"/>
  <c r="X424" i="3"/>
  <c r="Y424" i="3"/>
  <c r="Z424" i="3"/>
  <c r="AA424" i="3"/>
  <c r="AB424" i="3"/>
  <c r="AC424" i="3"/>
  <c r="AD424" i="3"/>
  <c r="AE424" i="3"/>
  <c r="AF424" i="3"/>
  <c r="AG424" i="3"/>
  <c r="J425" i="3"/>
  <c r="K425" i="3"/>
  <c r="L425" i="3"/>
  <c r="M425" i="3"/>
  <c r="N425" i="3"/>
  <c r="O425" i="3"/>
  <c r="P425" i="3"/>
  <c r="Q425" i="3"/>
  <c r="R425" i="3"/>
  <c r="S425" i="3"/>
  <c r="T425" i="3"/>
  <c r="U425" i="3"/>
  <c r="V425" i="3"/>
  <c r="W425" i="3"/>
  <c r="X425" i="3"/>
  <c r="Y425" i="3"/>
  <c r="Z425" i="3"/>
  <c r="AA425" i="3"/>
  <c r="AB425" i="3"/>
  <c r="AC425" i="3"/>
  <c r="AD425" i="3"/>
  <c r="AE425" i="3"/>
  <c r="AF425" i="3"/>
  <c r="AG425" i="3"/>
  <c r="J426" i="3"/>
  <c r="K426" i="3"/>
  <c r="L426" i="3"/>
  <c r="M426" i="3"/>
  <c r="N426" i="3"/>
  <c r="O426" i="3"/>
  <c r="P426" i="3"/>
  <c r="Q426" i="3"/>
  <c r="R426" i="3"/>
  <c r="S426" i="3"/>
  <c r="T426" i="3"/>
  <c r="U426" i="3"/>
  <c r="V426" i="3"/>
  <c r="W426" i="3"/>
  <c r="X426" i="3"/>
  <c r="Y426" i="3"/>
  <c r="Z426" i="3"/>
  <c r="AA426" i="3"/>
  <c r="AB426" i="3"/>
  <c r="AC426" i="3"/>
  <c r="AD426" i="3"/>
  <c r="AE426" i="3"/>
  <c r="AF426" i="3"/>
  <c r="AG426" i="3"/>
  <c r="J427" i="3"/>
  <c r="K427" i="3"/>
  <c r="L427" i="3"/>
  <c r="M427" i="3"/>
  <c r="N427" i="3"/>
  <c r="O427" i="3"/>
  <c r="P427" i="3"/>
  <c r="Q427" i="3"/>
  <c r="R427" i="3"/>
  <c r="S427" i="3"/>
  <c r="T427" i="3"/>
  <c r="U427" i="3"/>
  <c r="V427" i="3"/>
  <c r="W427" i="3"/>
  <c r="X427" i="3"/>
  <c r="Y427" i="3"/>
  <c r="Z427" i="3"/>
  <c r="AA427" i="3"/>
  <c r="AB427" i="3"/>
  <c r="AC427" i="3"/>
  <c r="AD427" i="3"/>
  <c r="AE427" i="3"/>
  <c r="AF427" i="3"/>
  <c r="AG427" i="3"/>
  <c r="J428" i="3"/>
  <c r="K428" i="3"/>
  <c r="L428" i="3"/>
  <c r="M428" i="3"/>
  <c r="N428" i="3"/>
  <c r="O428" i="3"/>
  <c r="P428" i="3"/>
  <c r="Q428" i="3"/>
  <c r="R428" i="3"/>
  <c r="S428" i="3"/>
  <c r="T428" i="3"/>
  <c r="U428" i="3"/>
  <c r="V428" i="3"/>
  <c r="W428" i="3"/>
  <c r="X428" i="3"/>
  <c r="Y428" i="3"/>
  <c r="Z428" i="3"/>
  <c r="AA428" i="3"/>
  <c r="AB428" i="3"/>
  <c r="AC428" i="3"/>
  <c r="AD428" i="3"/>
  <c r="AE428" i="3"/>
  <c r="AF428" i="3"/>
  <c r="AG428" i="3"/>
  <c r="J429" i="3"/>
  <c r="K429" i="3"/>
  <c r="L429" i="3"/>
  <c r="M429" i="3"/>
  <c r="N429" i="3"/>
  <c r="O429" i="3"/>
  <c r="P429" i="3"/>
  <c r="Q429" i="3"/>
  <c r="R429" i="3"/>
  <c r="S429" i="3"/>
  <c r="T429" i="3"/>
  <c r="U429" i="3"/>
  <c r="V429" i="3"/>
  <c r="W429" i="3"/>
  <c r="X429" i="3"/>
  <c r="Y429" i="3"/>
  <c r="Z429" i="3"/>
  <c r="AA429" i="3"/>
  <c r="AB429" i="3"/>
  <c r="AC429" i="3"/>
  <c r="AD429" i="3"/>
  <c r="AE429" i="3"/>
  <c r="AF429" i="3"/>
  <c r="AG429" i="3"/>
  <c r="J430" i="3"/>
  <c r="K430" i="3"/>
  <c r="L430" i="3"/>
  <c r="M430" i="3"/>
  <c r="N430" i="3"/>
  <c r="O430" i="3"/>
  <c r="P430" i="3"/>
  <c r="Q430" i="3"/>
  <c r="R430" i="3"/>
  <c r="S430" i="3"/>
  <c r="T430" i="3"/>
  <c r="U430" i="3"/>
  <c r="V430" i="3"/>
  <c r="W430" i="3"/>
  <c r="X430" i="3"/>
  <c r="Y430" i="3"/>
  <c r="Z430" i="3"/>
  <c r="AA430" i="3"/>
  <c r="AB430" i="3"/>
  <c r="AC430" i="3"/>
  <c r="AD430" i="3"/>
  <c r="AE430" i="3"/>
  <c r="AF430" i="3"/>
  <c r="AG430" i="3"/>
  <c r="J431" i="3"/>
  <c r="K431" i="3"/>
  <c r="L431" i="3"/>
  <c r="M431" i="3"/>
  <c r="N431" i="3"/>
  <c r="O431" i="3"/>
  <c r="P431" i="3"/>
  <c r="Q431" i="3"/>
  <c r="R431" i="3"/>
  <c r="S431" i="3"/>
  <c r="T431" i="3"/>
  <c r="U431" i="3"/>
  <c r="V431" i="3"/>
  <c r="W431" i="3"/>
  <c r="X431" i="3"/>
  <c r="Y431" i="3"/>
  <c r="Z431" i="3"/>
  <c r="AA431" i="3"/>
  <c r="AB431" i="3"/>
  <c r="AC431" i="3"/>
  <c r="AD431" i="3"/>
  <c r="AE431" i="3"/>
  <c r="AF431" i="3"/>
  <c r="AG431" i="3"/>
  <c r="J432" i="3"/>
  <c r="K432" i="3"/>
  <c r="L432" i="3"/>
  <c r="M432" i="3"/>
  <c r="N432" i="3"/>
  <c r="O432" i="3"/>
  <c r="P432" i="3"/>
  <c r="Q432" i="3"/>
  <c r="R432" i="3"/>
  <c r="S432" i="3"/>
  <c r="T432" i="3"/>
  <c r="U432" i="3"/>
  <c r="V432" i="3"/>
  <c r="W432" i="3"/>
  <c r="X432" i="3"/>
  <c r="Y432" i="3"/>
  <c r="Z432" i="3"/>
  <c r="AA432" i="3"/>
  <c r="AB432" i="3"/>
  <c r="AC432" i="3"/>
  <c r="AD432" i="3"/>
  <c r="AE432" i="3"/>
  <c r="AF432" i="3"/>
  <c r="AG432" i="3"/>
  <c r="J433" i="3"/>
  <c r="K433" i="3"/>
  <c r="L433" i="3"/>
  <c r="M433" i="3"/>
  <c r="N433" i="3"/>
  <c r="O433" i="3"/>
  <c r="P433" i="3"/>
  <c r="Q433" i="3"/>
  <c r="R433" i="3"/>
  <c r="S433" i="3"/>
  <c r="T433" i="3"/>
  <c r="U433" i="3"/>
  <c r="V433" i="3"/>
  <c r="W433" i="3"/>
  <c r="X433" i="3"/>
  <c r="Y433" i="3"/>
  <c r="Z433" i="3"/>
  <c r="AA433" i="3"/>
  <c r="AB433" i="3"/>
  <c r="AC433" i="3"/>
  <c r="AD433" i="3"/>
  <c r="AE433" i="3"/>
  <c r="AF433" i="3"/>
  <c r="AG433" i="3"/>
  <c r="J434" i="3"/>
  <c r="K434" i="3"/>
  <c r="L434" i="3"/>
  <c r="M434" i="3"/>
  <c r="N434" i="3"/>
  <c r="O434" i="3"/>
  <c r="P434" i="3"/>
  <c r="Q434" i="3"/>
  <c r="R434" i="3"/>
  <c r="S434" i="3"/>
  <c r="T434" i="3"/>
  <c r="U434" i="3"/>
  <c r="V434" i="3"/>
  <c r="W434" i="3"/>
  <c r="X434" i="3"/>
  <c r="Y434" i="3"/>
  <c r="Z434" i="3"/>
  <c r="AA434" i="3"/>
  <c r="AB434" i="3"/>
  <c r="AC434" i="3"/>
  <c r="AD434" i="3"/>
  <c r="AE434" i="3"/>
  <c r="AF434" i="3"/>
  <c r="AG434" i="3"/>
  <c r="J435" i="3"/>
  <c r="K435" i="3"/>
  <c r="L435" i="3"/>
  <c r="M435" i="3"/>
  <c r="N435" i="3"/>
  <c r="O435" i="3"/>
  <c r="P435" i="3"/>
  <c r="Q435" i="3"/>
  <c r="R435" i="3"/>
  <c r="S435" i="3"/>
  <c r="T435" i="3"/>
  <c r="U435" i="3"/>
  <c r="V435" i="3"/>
  <c r="W435" i="3"/>
  <c r="X435" i="3"/>
  <c r="Y435" i="3"/>
  <c r="Z435" i="3"/>
  <c r="AA435" i="3"/>
  <c r="AB435" i="3"/>
  <c r="AC435" i="3"/>
  <c r="AD435" i="3"/>
  <c r="AE435" i="3"/>
  <c r="AF435" i="3"/>
  <c r="AG435" i="3"/>
  <c r="J436" i="3"/>
  <c r="K436" i="3"/>
  <c r="L436" i="3"/>
  <c r="M436" i="3"/>
  <c r="N436" i="3"/>
  <c r="O436" i="3"/>
  <c r="P436" i="3"/>
  <c r="Q436" i="3"/>
  <c r="R436" i="3"/>
  <c r="S436" i="3"/>
  <c r="T436" i="3"/>
  <c r="U436" i="3"/>
  <c r="V436" i="3"/>
  <c r="W436" i="3"/>
  <c r="X436" i="3"/>
  <c r="Y436" i="3"/>
  <c r="Z436" i="3"/>
  <c r="AA436" i="3"/>
  <c r="AB436" i="3"/>
  <c r="AC436" i="3"/>
  <c r="AD436" i="3"/>
  <c r="AE436" i="3"/>
  <c r="AF436" i="3"/>
  <c r="AG436" i="3"/>
  <c r="J437" i="3"/>
  <c r="K437" i="3"/>
  <c r="L437" i="3"/>
  <c r="M437" i="3"/>
  <c r="N437" i="3"/>
  <c r="O437" i="3"/>
  <c r="P437" i="3"/>
  <c r="Q437" i="3"/>
  <c r="R437" i="3"/>
  <c r="S437" i="3"/>
  <c r="T437" i="3"/>
  <c r="U437" i="3"/>
  <c r="V437" i="3"/>
  <c r="W437" i="3"/>
  <c r="X437" i="3"/>
  <c r="Y437" i="3"/>
  <c r="Z437" i="3"/>
  <c r="AA437" i="3"/>
  <c r="AB437" i="3"/>
  <c r="AC437" i="3"/>
  <c r="AD437" i="3"/>
  <c r="AE437" i="3"/>
  <c r="AF437" i="3"/>
  <c r="AG437" i="3"/>
  <c r="J438" i="3"/>
  <c r="K438" i="3"/>
  <c r="L438" i="3"/>
  <c r="M438" i="3"/>
  <c r="N438" i="3"/>
  <c r="O438" i="3"/>
  <c r="P438" i="3"/>
  <c r="Q438" i="3"/>
  <c r="R438" i="3"/>
  <c r="S438" i="3"/>
  <c r="T438" i="3"/>
  <c r="U438" i="3"/>
  <c r="V438" i="3"/>
  <c r="W438" i="3"/>
  <c r="X438" i="3"/>
  <c r="Y438" i="3"/>
  <c r="Z438" i="3"/>
  <c r="AA438" i="3"/>
  <c r="AB438" i="3"/>
  <c r="AC438" i="3"/>
  <c r="AD438" i="3"/>
  <c r="AE438" i="3"/>
  <c r="AF438" i="3"/>
  <c r="AG438" i="3"/>
  <c r="J439" i="3"/>
  <c r="K439" i="3"/>
  <c r="L439" i="3"/>
  <c r="M439" i="3"/>
  <c r="N439" i="3"/>
  <c r="O439" i="3"/>
  <c r="P439" i="3"/>
  <c r="Q439" i="3"/>
  <c r="R439" i="3"/>
  <c r="S439" i="3"/>
  <c r="T439" i="3"/>
  <c r="U439" i="3"/>
  <c r="V439" i="3"/>
  <c r="W439" i="3"/>
  <c r="X439" i="3"/>
  <c r="Y439" i="3"/>
  <c r="Z439" i="3"/>
  <c r="AA439" i="3"/>
  <c r="AB439" i="3"/>
  <c r="AC439" i="3"/>
  <c r="AD439" i="3"/>
  <c r="AE439" i="3"/>
  <c r="AF439" i="3"/>
  <c r="AG439" i="3"/>
  <c r="J440" i="3"/>
  <c r="K440" i="3"/>
  <c r="L440" i="3"/>
  <c r="M440" i="3"/>
  <c r="N440" i="3"/>
  <c r="O440" i="3"/>
  <c r="P440" i="3"/>
  <c r="Q440" i="3"/>
  <c r="R440" i="3"/>
  <c r="S440" i="3"/>
  <c r="T440" i="3"/>
  <c r="U440" i="3"/>
  <c r="V440" i="3"/>
  <c r="W440" i="3"/>
  <c r="X440" i="3"/>
  <c r="Y440" i="3"/>
  <c r="Z440" i="3"/>
  <c r="AA440" i="3"/>
  <c r="AB440" i="3"/>
  <c r="AC440" i="3"/>
  <c r="AD440" i="3"/>
  <c r="AE440" i="3"/>
  <c r="AF440" i="3"/>
  <c r="AG440" i="3"/>
  <c r="J441" i="3"/>
  <c r="K441" i="3"/>
  <c r="L441" i="3"/>
  <c r="M441" i="3"/>
  <c r="N441" i="3"/>
  <c r="O441" i="3"/>
  <c r="P441" i="3"/>
  <c r="Q441" i="3"/>
  <c r="R441" i="3"/>
  <c r="S441" i="3"/>
  <c r="T441" i="3"/>
  <c r="U441" i="3"/>
  <c r="V441" i="3"/>
  <c r="W441" i="3"/>
  <c r="X441" i="3"/>
  <c r="Y441" i="3"/>
  <c r="Z441" i="3"/>
  <c r="AA441" i="3"/>
  <c r="AB441" i="3"/>
  <c r="AC441" i="3"/>
  <c r="AD441" i="3"/>
  <c r="AE441" i="3"/>
  <c r="AF441" i="3"/>
  <c r="AG441" i="3"/>
  <c r="J442" i="3"/>
  <c r="K442" i="3"/>
  <c r="L442" i="3"/>
  <c r="M442" i="3"/>
  <c r="N442" i="3"/>
  <c r="O442" i="3"/>
  <c r="P442" i="3"/>
  <c r="Q442" i="3"/>
  <c r="R442" i="3"/>
  <c r="S442" i="3"/>
  <c r="T442" i="3"/>
  <c r="U442" i="3"/>
  <c r="V442" i="3"/>
  <c r="W442" i="3"/>
  <c r="X442" i="3"/>
  <c r="Y442" i="3"/>
  <c r="Z442" i="3"/>
  <c r="AA442" i="3"/>
  <c r="AB442" i="3"/>
  <c r="AC442" i="3"/>
  <c r="AD442" i="3"/>
  <c r="AE442" i="3"/>
  <c r="AF442" i="3"/>
  <c r="AG442" i="3"/>
  <c r="J443" i="3"/>
  <c r="K443" i="3"/>
  <c r="L443" i="3"/>
  <c r="M443" i="3"/>
  <c r="N443" i="3"/>
  <c r="O443" i="3"/>
  <c r="P443" i="3"/>
  <c r="Q443" i="3"/>
  <c r="R443" i="3"/>
  <c r="S443" i="3"/>
  <c r="T443" i="3"/>
  <c r="U443" i="3"/>
  <c r="V443" i="3"/>
  <c r="W443" i="3"/>
  <c r="X443" i="3"/>
  <c r="Y443" i="3"/>
  <c r="Z443" i="3"/>
  <c r="AA443" i="3"/>
  <c r="AB443" i="3"/>
  <c r="AC443" i="3"/>
  <c r="AD443" i="3"/>
  <c r="AE443" i="3"/>
  <c r="AF443" i="3"/>
  <c r="AG443" i="3"/>
  <c r="J444" i="3"/>
  <c r="K444" i="3"/>
  <c r="L444" i="3"/>
  <c r="M444" i="3"/>
  <c r="N444" i="3"/>
  <c r="O444" i="3"/>
  <c r="P444" i="3"/>
  <c r="Q444" i="3"/>
  <c r="R444" i="3"/>
  <c r="S444" i="3"/>
  <c r="T444" i="3"/>
  <c r="U444" i="3"/>
  <c r="V444" i="3"/>
  <c r="W444" i="3"/>
  <c r="X444" i="3"/>
  <c r="Y444" i="3"/>
  <c r="Z444" i="3"/>
  <c r="AA444" i="3"/>
  <c r="AB444" i="3"/>
  <c r="AC444" i="3"/>
  <c r="AD444" i="3"/>
  <c r="AE444" i="3"/>
  <c r="AF444" i="3"/>
  <c r="AG444" i="3"/>
  <c r="J445" i="3"/>
  <c r="K445" i="3"/>
  <c r="L445" i="3"/>
  <c r="M445" i="3"/>
  <c r="N445" i="3"/>
  <c r="O445" i="3"/>
  <c r="P445" i="3"/>
  <c r="Q445" i="3"/>
  <c r="R445" i="3"/>
  <c r="S445" i="3"/>
  <c r="T445" i="3"/>
  <c r="U445" i="3"/>
  <c r="V445" i="3"/>
  <c r="W445" i="3"/>
  <c r="X445" i="3"/>
  <c r="Y445" i="3"/>
  <c r="Z445" i="3"/>
  <c r="AA445" i="3"/>
  <c r="AB445" i="3"/>
  <c r="AC445" i="3"/>
  <c r="AD445" i="3"/>
  <c r="AE445" i="3"/>
  <c r="AF445" i="3"/>
  <c r="AG445" i="3"/>
  <c r="J446" i="3"/>
  <c r="K446" i="3"/>
  <c r="L446" i="3"/>
  <c r="M446" i="3"/>
  <c r="N446" i="3"/>
  <c r="O446" i="3"/>
  <c r="P446" i="3"/>
  <c r="Q446" i="3"/>
  <c r="R446" i="3"/>
  <c r="S446" i="3"/>
  <c r="T446" i="3"/>
  <c r="U446" i="3"/>
  <c r="V446" i="3"/>
  <c r="W446" i="3"/>
  <c r="X446" i="3"/>
  <c r="Y446" i="3"/>
  <c r="Z446" i="3"/>
  <c r="AA446" i="3"/>
  <c r="AB446" i="3"/>
  <c r="AC446" i="3"/>
  <c r="AD446" i="3"/>
  <c r="AE446" i="3"/>
  <c r="AF446" i="3"/>
  <c r="AG446" i="3"/>
  <c r="J447" i="3"/>
  <c r="K447" i="3"/>
  <c r="L447" i="3"/>
  <c r="M447" i="3"/>
  <c r="N447" i="3"/>
  <c r="O447" i="3"/>
  <c r="P447" i="3"/>
  <c r="Q447" i="3"/>
  <c r="R447" i="3"/>
  <c r="S447" i="3"/>
  <c r="T447" i="3"/>
  <c r="U447" i="3"/>
  <c r="V447" i="3"/>
  <c r="W447" i="3"/>
  <c r="X447" i="3"/>
  <c r="Y447" i="3"/>
  <c r="Z447" i="3"/>
  <c r="AA447" i="3"/>
  <c r="AB447" i="3"/>
  <c r="AC447" i="3"/>
  <c r="AD447" i="3"/>
  <c r="AE447" i="3"/>
  <c r="AF447" i="3"/>
  <c r="AG447" i="3"/>
  <c r="J448" i="3"/>
  <c r="K448" i="3"/>
  <c r="L448" i="3"/>
  <c r="M448" i="3"/>
  <c r="N448" i="3"/>
  <c r="O448" i="3"/>
  <c r="P448" i="3"/>
  <c r="Q448" i="3"/>
  <c r="R448" i="3"/>
  <c r="S448" i="3"/>
  <c r="T448" i="3"/>
  <c r="U448" i="3"/>
  <c r="V448" i="3"/>
  <c r="W448" i="3"/>
  <c r="X448" i="3"/>
  <c r="Y448" i="3"/>
  <c r="Z448" i="3"/>
  <c r="AA448" i="3"/>
  <c r="AB448" i="3"/>
  <c r="AC448" i="3"/>
  <c r="AD448" i="3"/>
  <c r="AE448" i="3"/>
  <c r="AF448" i="3"/>
  <c r="AG448" i="3"/>
  <c r="J449" i="3"/>
  <c r="K449" i="3"/>
  <c r="L449" i="3"/>
  <c r="M449" i="3"/>
  <c r="N449" i="3"/>
  <c r="O449" i="3"/>
  <c r="P449" i="3"/>
  <c r="Q449" i="3"/>
  <c r="R449" i="3"/>
  <c r="S449" i="3"/>
  <c r="T449" i="3"/>
  <c r="U449" i="3"/>
  <c r="V449" i="3"/>
  <c r="W449" i="3"/>
  <c r="X449" i="3"/>
  <c r="Y449" i="3"/>
  <c r="Z449" i="3"/>
  <c r="AA449" i="3"/>
  <c r="AB449" i="3"/>
  <c r="AC449" i="3"/>
  <c r="AD449" i="3"/>
  <c r="AE449" i="3"/>
  <c r="AF449" i="3"/>
  <c r="AG449" i="3"/>
  <c r="J450" i="3"/>
  <c r="K450" i="3"/>
  <c r="L450" i="3"/>
  <c r="M450" i="3"/>
  <c r="N450" i="3"/>
  <c r="O450" i="3"/>
  <c r="P450" i="3"/>
  <c r="Q450" i="3"/>
  <c r="R450" i="3"/>
  <c r="S450" i="3"/>
  <c r="T450" i="3"/>
  <c r="U450" i="3"/>
  <c r="V450" i="3"/>
  <c r="W450" i="3"/>
  <c r="X450" i="3"/>
  <c r="Y450" i="3"/>
  <c r="Z450" i="3"/>
  <c r="AA450" i="3"/>
  <c r="AB450" i="3"/>
  <c r="AC450" i="3"/>
  <c r="AD450" i="3"/>
  <c r="AE450" i="3"/>
  <c r="AF450" i="3"/>
  <c r="AG450" i="3"/>
  <c r="J451" i="3"/>
  <c r="K451" i="3"/>
  <c r="L451" i="3"/>
  <c r="M451" i="3"/>
  <c r="N451" i="3"/>
  <c r="O451" i="3"/>
  <c r="P451" i="3"/>
  <c r="Q451" i="3"/>
  <c r="R451" i="3"/>
  <c r="S451" i="3"/>
  <c r="T451" i="3"/>
  <c r="U451" i="3"/>
  <c r="V451" i="3"/>
  <c r="W451" i="3"/>
  <c r="X451" i="3"/>
  <c r="Y451" i="3"/>
  <c r="Z451" i="3"/>
  <c r="AA451" i="3"/>
  <c r="AB451" i="3"/>
  <c r="AC451" i="3"/>
  <c r="AD451" i="3"/>
  <c r="AE451" i="3"/>
  <c r="AF451" i="3"/>
  <c r="AG451" i="3"/>
  <c r="J452" i="3"/>
  <c r="K452" i="3"/>
  <c r="L452" i="3"/>
  <c r="M452" i="3"/>
  <c r="N452" i="3"/>
  <c r="O452" i="3"/>
  <c r="P452" i="3"/>
  <c r="Q452" i="3"/>
  <c r="R452" i="3"/>
  <c r="S452" i="3"/>
  <c r="T452" i="3"/>
  <c r="U452" i="3"/>
  <c r="V452" i="3"/>
  <c r="W452" i="3"/>
  <c r="X452" i="3"/>
  <c r="Y452" i="3"/>
  <c r="Z452" i="3"/>
  <c r="AA452" i="3"/>
  <c r="AB452" i="3"/>
  <c r="AC452" i="3"/>
  <c r="AD452" i="3"/>
  <c r="AE452" i="3"/>
  <c r="AF452" i="3"/>
  <c r="AG452" i="3"/>
  <c r="J453" i="3"/>
  <c r="K453" i="3"/>
  <c r="L453" i="3"/>
  <c r="M453" i="3"/>
  <c r="N453" i="3"/>
  <c r="O453" i="3"/>
  <c r="P453" i="3"/>
  <c r="Q453" i="3"/>
  <c r="R453" i="3"/>
  <c r="S453" i="3"/>
  <c r="T453" i="3"/>
  <c r="U453" i="3"/>
  <c r="V453" i="3"/>
  <c r="W453" i="3"/>
  <c r="X453" i="3"/>
  <c r="Y453" i="3"/>
  <c r="Z453" i="3"/>
  <c r="AA453" i="3"/>
  <c r="AB453" i="3"/>
  <c r="AC453" i="3"/>
  <c r="AD453" i="3"/>
  <c r="AE453" i="3"/>
  <c r="AF453" i="3"/>
  <c r="AG453" i="3"/>
  <c r="J454" i="3"/>
  <c r="K454" i="3"/>
  <c r="L454" i="3"/>
  <c r="M454" i="3"/>
  <c r="N454" i="3"/>
  <c r="O454" i="3"/>
  <c r="P454" i="3"/>
  <c r="Q454" i="3"/>
  <c r="R454" i="3"/>
  <c r="S454" i="3"/>
  <c r="T454" i="3"/>
  <c r="U454" i="3"/>
  <c r="V454" i="3"/>
  <c r="W454" i="3"/>
  <c r="X454" i="3"/>
  <c r="Y454" i="3"/>
  <c r="Z454" i="3"/>
  <c r="AA454" i="3"/>
  <c r="AB454" i="3"/>
  <c r="AC454" i="3"/>
  <c r="AD454" i="3"/>
  <c r="AE454" i="3"/>
  <c r="AF454" i="3"/>
  <c r="AG454" i="3"/>
  <c r="J455" i="3"/>
  <c r="K455" i="3"/>
  <c r="L455" i="3"/>
  <c r="M455" i="3"/>
  <c r="N455" i="3"/>
  <c r="O455" i="3"/>
  <c r="P455" i="3"/>
  <c r="Q455" i="3"/>
  <c r="R455" i="3"/>
  <c r="S455" i="3"/>
  <c r="T455" i="3"/>
  <c r="U455" i="3"/>
  <c r="V455" i="3"/>
  <c r="W455" i="3"/>
  <c r="X455" i="3"/>
  <c r="Y455" i="3"/>
  <c r="Z455" i="3"/>
  <c r="AA455" i="3"/>
  <c r="AB455" i="3"/>
  <c r="AC455" i="3"/>
  <c r="AD455" i="3"/>
  <c r="AE455" i="3"/>
  <c r="AF455" i="3"/>
  <c r="AG455" i="3"/>
  <c r="J456" i="3"/>
  <c r="K456" i="3"/>
  <c r="L456" i="3"/>
  <c r="M456" i="3"/>
  <c r="N456" i="3"/>
  <c r="O456" i="3"/>
  <c r="P456" i="3"/>
  <c r="Q456" i="3"/>
  <c r="R456" i="3"/>
  <c r="S456" i="3"/>
  <c r="T456" i="3"/>
  <c r="U456" i="3"/>
  <c r="V456" i="3"/>
  <c r="W456" i="3"/>
  <c r="X456" i="3"/>
  <c r="Y456" i="3"/>
  <c r="Z456" i="3"/>
  <c r="AA456" i="3"/>
  <c r="AB456" i="3"/>
  <c r="AC456" i="3"/>
  <c r="AD456" i="3"/>
  <c r="AE456" i="3"/>
  <c r="AF456" i="3"/>
  <c r="AG456" i="3"/>
  <c r="J457" i="3"/>
  <c r="K457" i="3"/>
  <c r="L457" i="3"/>
  <c r="M457" i="3"/>
  <c r="N457" i="3"/>
  <c r="O457" i="3"/>
  <c r="P457" i="3"/>
  <c r="Q457" i="3"/>
  <c r="R457" i="3"/>
  <c r="S457" i="3"/>
  <c r="T457" i="3"/>
  <c r="U457" i="3"/>
  <c r="V457" i="3"/>
  <c r="W457" i="3"/>
  <c r="X457" i="3"/>
  <c r="Y457" i="3"/>
  <c r="Z457" i="3"/>
  <c r="AA457" i="3"/>
  <c r="AB457" i="3"/>
  <c r="AC457" i="3"/>
  <c r="AD457" i="3"/>
  <c r="AE457" i="3"/>
  <c r="AF457" i="3"/>
  <c r="AG457" i="3"/>
  <c r="J458" i="3"/>
  <c r="K458" i="3"/>
  <c r="L458" i="3"/>
  <c r="M458" i="3"/>
  <c r="N458" i="3"/>
  <c r="O458" i="3"/>
  <c r="P458" i="3"/>
  <c r="Q458" i="3"/>
  <c r="R458" i="3"/>
  <c r="S458" i="3"/>
  <c r="T458" i="3"/>
  <c r="U458" i="3"/>
  <c r="V458" i="3"/>
  <c r="W458" i="3"/>
  <c r="X458" i="3"/>
  <c r="Y458" i="3"/>
  <c r="Z458" i="3"/>
  <c r="AA458" i="3"/>
  <c r="AB458" i="3"/>
  <c r="AC458" i="3"/>
  <c r="AD458" i="3"/>
  <c r="AE458" i="3"/>
  <c r="AF458" i="3"/>
  <c r="AG458" i="3"/>
  <c r="J459" i="3"/>
  <c r="K459" i="3"/>
  <c r="L459" i="3"/>
  <c r="M459" i="3"/>
  <c r="N459" i="3"/>
  <c r="O459" i="3"/>
  <c r="P459" i="3"/>
  <c r="Q459" i="3"/>
  <c r="R459" i="3"/>
  <c r="S459" i="3"/>
  <c r="T459" i="3"/>
  <c r="U459" i="3"/>
  <c r="V459" i="3"/>
  <c r="W459" i="3"/>
  <c r="X459" i="3"/>
  <c r="Y459" i="3"/>
  <c r="Z459" i="3"/>
  <c r="AA459" i="3"/>
  <c r="AB459" i="3"/>
  <c r="AC459" i="3"/>
  <c r="AD459" i="3"/>
  <c r="AE459" i="3"/>
  <c r="AF459" i="3"/>
  <c r="AG459" i="3"/>
  <c r="J460" i="3"/>
  <c r="K460" i="3"/>
  <c r="L460" i="3"/>
  <c r="M460" i="3"/>
  <c r="N460" i="3"/>
  <c r="O460" i="3"/>
  <c r="P460" i="3"/>
  <c r="Q460" i="3"/>
  <c r="R460" i="3"/>
  <c r="S460" i="3"/>
  <c r="T460" i="3"/>
  <c r="U460" i="3"/>
  <c r="V460" i="3"/>
  <c r="W460" i="3"/>
  <c r="X460" i="3"/>
  <c r="Y460" i="3"/>
  <c r="Z460" i="3"/>
  <c r="AA460" i="3"/>
  <c r="AB460" i="3"/>
  <c r="AC460" i="3"/>
  <c r="AD460" i="3"/>
  <c r="AE460" i="3"/>
  <c r="AF460" i="3"/>
  <c r="AG460" i="3"/>
  <c r="J461" i="3"/>
  <c r="K461" i="3"/>
  <c r="L461" i="3"/>
  <c r="M461" i="3"/>
  <c r="N461" i="3"/>
  <c r="O461" i="3"/>
  <c r="P461" i="3"/>
  <c r="Q461" i="3"/>
  <c r="R461" i="3"/>
  <c r="S461" i="3"/>
  <c r="T461" i="3"/>
  <c r="U461" i="3"/>
  <c r="V461" i="3"/>
  <c r="W461" i="3"/>
  <c r="X461" i="3"/>
  <c r="Y461" i="3"/>
  <c r="Z461" i="3"/>
  <c r="AA461" i="3"/>
  <c r="AB461" i="3"/>
  <c r="AC461" i="3"/>
  <c r="AD461" i="3"/>
  <c r="AE461" i="3"/>
  <c r="AF461" i="3"/>
  <c r="AG461" i="3"/>
  <c r="J462" i="3"/>
  <c r="K462" i="3"/>
  <c r="L462" i="3"/>
  <c r="M462" i="3"/>
  <c r="N462" i="3"/>
  <c r="O462" i="3"/>
  <c r="P462" i="3"/>
  <c r="Q462" i="3"/>
  <c r="R462" i="3"/>
  <c r="S462" i="3"/>
  <c r="T462" i="3"/>
  <c r="U462" i="3"/>
  <c r="V462" i="3"/>
  <c r="W462" i="3"/>
  <c r="X462" i="3"/>
  <c r="Y462" i="3"/>
  <c r="Z462" i="3"/>
  <c r="AA462" i="3"/>
  <c r="AB462" i="3"/>
  <c r="AC462" i="3"/>
  <c r="AD462" i="3"/>
  <c r="AE462" i="3"/>
  <c r="AF462" i="3"/>
  <c r="AG462" i="3"/>
  <c r="J463" i="3"/>
  <c r="K463" i="3"/>
  <c r="L463" i="3"/>
  <c r="M463" i="3"/>
  <c r="N463" i="3"/>
  <c r="O463" i="3"/>
  <c r="P463" i="3"/>
  <c r="Q463" i="3"/>
  <c r="R463" i="3"/>
  <c r="S463" i="3"/>
  <c r="T463" i="3"/>
  <c r="U463" i="3"/>
  <c r="V463" i="3"/>
  <c r="W463" i="3"/>
  <c r="X463" i="3"/>
  <c r="Y463" i="3"/>
  <c r="Z463" i="3"/>
  <c r="AA463" i="3"/>
  <c r="AB463" i="3"/>
  <c r="AC463" i="3"/>
  <c r="AD463" i="3"/>
  <c r="AE463" i="3"/>
  <c r="AF463" i="3"/>
  <c r="AG463" i="3"/>
  <c r="J464" i="3"/>
  <c r="K464" i="3"/>
  <c r="L464" i="3"/>
  <c r="M464" i="3"/>
  <c r="N464" i="3"/>
  <c r="O464" i="3"/>
  <c r="P464" i="3"/>
  <c r="Q464" i="3"/>
  <c r="R464" i="3"/>
  <c r="S464" i="3"/>
  <c r="T464" i="3"/>
  <c r="U464" i="3"/>
  <c r="V464" i="3"/>
  <c r="W464" i="3"/>
  <c r="X464" i="3"/>
  <c r="Y464" i="3"/>
  <c r="Z464" i="3"/>
  <c r="AA464" i="3"/>
  <c r="AB464" i="3"/>
  <c r="AC464" i="3"/>
  <c r="AD464" i="3"/>
  <c r="AE464" i="3"/>
  <c r="AF464" i="3"/>
  <c r="AG464" i="3"/>
  <c r="J465" i="3"/>
  <c r="K465" i="3"/>
  <c r="L465" i="3"/>
  <c r="M465" i="3"/>
  <c r="N465" i="3"/>
  <c r="O465" i="3"/>
  <c r="P465" i="3"/>
  <c r="Q465" i="3"/>
  <c r="R465" i="3"/>
  <c r="S465" i="3"/>
  <c r="T465" i="3"/>
  <c r="U465" i="3"/>
  <c r="V465" i="3"/>
  <c r="W465" i="3"/>
  <c r="X465" i="3"/>
  <c r="Y465" i="3"/>
  <c r="Z465" i="3"/>
  <c r="AA465" i="3"/>
  <c r="AB465" i="3"/>
  <c r="AC465" i="3"/>
  <c r="AD465" i="3"/>
  <c r="AE465" i="3"/>
  <c r="AF465" i="3"/>
  <c r="AG465" i="3"/>
  <c r="J466" i="3"/>
  <c r="K466" i="3"/>
  <c r="L466" i="3"/>
  <c r="M466" i="3"/>
  <c r="N466" i="3"/>
  <c r="O466" i="3"/>
  <c r="P466" i="3"/>
  <c r="Q466" i="3"/>
  <c r="R466" i="3"/>
  <c r="S466" i="3"/>
  <c r="T466" i="3"/>
  <c r="U466" i="3"/>
  <c r="V466" i="3"/>
  <c r="W466" i="3"/>
  <c r="X466" i="3"/>
  <c r="Y466" i="3"/>
  <c r="Z466" i="3"/>
  <c r="AA466" i="3"/>
  <c r="AB466" i="3"/>
  <c r="AC466" i="3"/>
  <c r="AD466" i="3"/>
  <c r="AE466" i="3"/>
  <c r="AF466" i="3"/>
  <c r="AG466" i="3"/>
  <c r="J467" i="3"/>
  <c r="K467" i="3"/>
  <c r="L467" i="3"/>
  <c r="M467" i="3"/>
  <c r="N467" i="3"/>
  <c r="O467" i="3"/>
  <c r="P467" i="3"/>
  <c r="Q467" i="3"/>
  <c r="R467" i="3"/>
  <c r="S467" i="3"/>
  <c r="T467" i="3"/>
  <c r="U467" i="3"/>
  <c r="V467" i="3"/>
  <c r="W467" i="3"/>
  <c r="X467" i="3"/>
  <c r="Y467" i="3"/>
  <c r="Z467" i="3"/>
  <c r="AA467" i="3"/>
  <c r="AB467" i="3"/>
  <c r="AC467" i="3"/>
  <c r="AD467" i="3"/>
  <c r="AE467" i="3"/>
  <c r="AF467" i="3"/>
  <c r="AG467" i="3"/>
  <c r="J468" i="3"/>
  <c r="K468" i="3"/>
  <c r="L468" i="3"/>
  <c r="M468" i="3"/>
  <c r="N468" i="3"/>
  <c r="O468" i="3"/>
  <c r="P468" i="3"/>
  <c r="Q468" i="3"/>
  <c r="R468" i="3"/>
  <c r="S468" i="3"/>
  <c r="T468" i="3"/>
  <c r="U468" i="3"/>
  <c r="V468" i="3"/>
  <c r="W468" i="3"/>
  <c r="X468" i="3"/>
  <c r="Y468" i="3"/>
  <c r="Z468" i="3"/>
  <c r="AA468" i="3"/>
  <c r="AB468" i="3"/>
  <c r="AC468" i="3"/>
  <c r="AD468" i="3"/>
  <c r="AE468" i="3"/>
  <c r="AF468" i="3"/>
  <c r="AG468" i="3"/>
  <c r="J469" i="3"/>
  <c r="K469" i="3"/>
  <c r="L469" i="3"/>
  <c r="M469" i="3"/>
  <c r="N469" i="3"/>
  <c r="O469" i="3"/>
  <c r="P469" i="3"/>
  <c r="Q469" i="3"/>
  <c r="R469" i="3"/>
  <c r="S469" i="3"/>
  <c r="T469" i="3"/>
  <c r="U469" i="3"/>
  <c r="V469" i="3"/>
  <c r="W469" i="3"/>
  <c r="X469" i="3"/>
  <c r="Y469" i="3"/>
  <c r="Z469" i="3"/>
  <c r="AA469" i="3"/>
  <c r="AB469" i="3"/>
  <c r="AC469" i="3"/>
  <c r="AD469" i="3"/>
  <c r="AE469" i="3"/>
  <c r="AF469" i="3"/>
  <c r="AG469" i="3"/>
  <c r="J470" i="3"/>
  <c r="K470" i="3"/>
  <c r="L470" i="3"/>
  <c r="M470" i="3"/>
  <c r="N470" i="3"/>
  <c r="O470" i="3"/>
  <c r="P470" i="3"/>
  <c r="Q470" i="3"/>
  <c r="R470" i="3"/>
  <c r="S470" i="3"/>
  <c r="T470" i="3"/>
  <c r="U470" i="3"/>
  <c r="V470" i="3"/>
  <c r="W470" i="3"/>
  <c r="X470" i="3"/>
  <c r="Y470" i="3"/>
  <c r="Z470" i="3"/>
  <c r="AA470" i="3"/>
  <c r="AB470" i="3"/>
  <c r="AC470" i="3"/>
  <c r="AD470" i="3"/>
  <c r="AE470" i="3"/>
  <c r="AF470" i="3"/>
  <c r="AG470" i="3"/>
  <c r="J471" i="3"/>
  <c r="K471" i="3"/>
  <c r="L471" i="3"/>
  <c r="M471" i="3"/>
  <c r="N471" i="3"/>
  <c r="O471" i="3"/>
  <c r="P471" i="3"/>
  <c r="Q471" i="3"/>
  <c r="R471" i="3"/>
  <c r="S471" i="3"/>
  <c r="T471" i="3"/>
  <c r="U471" i="3"/>
  <c r="V471" i="3"/>
  <c r="W471" i="3"/>
  <c r="X471" i="3"/>
  <c r="Y471" i="3"/>
  <c r="Z471" i="3"/>
  <c r="AA471" i="3"/>
  <c r="AB471" i="3"/>
  <c r="AC471" i="3"/>
  <c r="AD471" i="3"/>
  <c r="AE471" i="3"/>
  <c r="AF471" i="3"/>
  <c r="AG471" i="3"/>
  <c r="J472" i="3"/>
  <c r="K472" i="3"/>
  <c r="L472" i="3"/>
  <c r="M472" i="3"/>
  <c r="N472" i="3"/>
  <c r="O472" i="3"/>
  <c r="P472" i="3"/>
  <c r="Q472" i="3"/>
  <c r="R472" i="3"/>
  <c r="S472" i="3"/>
  <c r="T472" i="3"/>
  <c r="U472" i="3"/>
  <c r="V472" i="3"/>
  <c r="W472" i="3"/>
  <c r="X472" i="3"/>
  <c r="Y472" i="3"/>
  <c r="Z472" i="3"/>
  <c r="AA472" i="3"/>
  <c r="AB472" i="3"/>
  <c r="AC472" i="3"/>
  <c r="AD472" i="3"/>
  <c r="AE472" i="3"/>
  <c r="AF472" i="3"/>
  <c r="AG472" i="3"/>
  <c r="J473" i="3"/>
  <c r="K473" i="3"/>
  <c r="L473" i="3"/>
  <c r="M473" i="3"/>
  <c r="N473" i="3"/>
  <c r="O473" i="3"/>
  <c r="P473" i="3"/>
  <c r="Q473" i="3"/>
  <c r="R473" i="3"/>
  <c r="S473" i="3"/>
  <c r="T473" i="3"/>
  <c r="U473" i="3"/>
  <c r="V473" i="3"/>
  <c r="W473" i="3"/>
  <c r="X473" i="3"/>
  <c r="Y473" i="3"/>
  <c r="Z473" i="3"/>
  <c r="AA473" i="3"/>
  <c r="AB473" i="3"/>
  <c r="AC473" i="3"/>
  <c r="AD473" i="3"/>
  <c r="AE473" i="3"/>
  <c r="AF473" i="3"/>
  <c r="AG473" i="3"/>
  <c r="J474" i="3"/>
  <c r="K474" i="3"/>
  <c r="L474" i="3"/>
  <c r="M474" i="3"/>
  <c r="N474" i="3"/>
  <c r="O474" i="3"/>
  <c r="P474" i="3"/>
  <c r="Q474" i="3"/>
  <c r="R474" i="3"/>
  <c r="S474" i="3"/>
  <c r="T474" i="3"/>
  <c r="U474" i="3"/>
  <c r="V474" i="3"/>
  <c r="W474" i="3"/>
  <c r="X474" i="3"/>
  <c r="Y474" i="3"/>
  <c r="Z474" i="3"/>
  <c r="AA474" i="3"/>
  <c r="AB474" i="3"/>
  <c r="AC474" i="3"/>
  <c r="AD474" i="3"/>
  <c r="AE474" i="3"/>
  <c r="AF474" i="3"/>
  <c r="AG474" i="3"/>
  <c r="J475" i="3"/>
  <c r="K475" i="3"/>
  <c r="L475" i="3"/>
  <c r="M475" i="3"/>
  <c r="N475" i="3"/>
  <c r="O475" i="3"/>
  <c r="P475" i="3"/>
  <c r="Q475" i="3"/>
  <c r="R475" i="3"/>
  <c r="S475" i="3"/>
  <c r="T475" i="3"/>
  <c r="U475" i="3"/>
  <c r="V475" i="3"/>
  <c r="W475" i="3"/>
  <c r="X475" i="3"/>
  <c r="Y475" i="3"/>
  <c r="Z475" i="3"/>
  <c r="AA475" i="3"/>
  <c r="AB475" i="3"/>
  <c r="AC475" i="3"/>
  <c r="AD475" i="3"/>
  <c r="AE475" i="3"/>
  <c r="AF475" i="3"/>
  <c r="AG475" i="3"/>
  <c r="J476" i="3"/>
  <c r="K476" i="3"/>
  <c r="L476" i="3"/>
  <c r="M476" i="3"/>
  <c r="N476" i="3"/>
  <c r="O476" i="3"/>
  <c r="P476" i="3"/>
  <c r="Q476" i="3"/>
  <c r="R476" i="3"/>
  <c r="S476" i="3"/>
  <c r="T476" i="3"/>
  <c r="U476" i="3"/>
  <c r="V476" i="3"/>
  <c r="W476" i="3"/>
  <c r="X476" i="3"/>
  <c r="Y476" i="3"/>
  <c r="Z476" i="3"/>
  <c r="AA476" i="3"/>
  <c r="AB476" i="3"/>
  <c r="AC476" i="3"/>
  <c r="AD476" i="3"/>
  <c r="AE476" i="3"/>
  <c r="AF476" i="3"/>
  <c r="AG476" i="3"/>
  <c r="J477" i="3"/>
  <c r="K477" i="3"/>
  <c r="L477" i="3"/>
  <c r="M477" i="3"/>
  <c r="N477" i="3"/>
  <c r="O477" i="3"/>
  <c r="P477" i="3"/>
  <c r="Q477" i="3"/>
  <c r="R477" i="3"/>
  <c r="S477" i="3"/>
  <c r="T477" i="3"/>
  <c r="U477" i="3"/>
  <c r="V477" i="3"/>
  <c r="W477" i="3"/>
  <c r="X477" i="3"/>
  <c r="Y477" i="3"/>
  <c r="Z477" i="3"/>
  <c r="AA477" i="3"/>
  <c r="AB477" i="3"/>
  <c r="AC477" i="3"/>
  <c r="AD477" i="3"/>
  <c r="AE477" i="3"/>
  <c r="AF477" i="3"/>
  <c r="AG477" i="3"/>
  <c r="J478" i="3"/>
  <c r="K478" i="3"/>
  <c r="L478" i="3"/>
  <c r="M478" i="3"/>
  <c r="N478" i="3"/>
  <c r="O478" i="3"/>
  <c r="P478" i="3"/>
  <c r="Q478" i="3"/>
  <c r="R478" i="3"/>
  <c r="S478" i="3"/>
  <c r="T478" i="3"/>
  <c r="U478" i="3"/>
  <c r="V478" i="3"/>
  <c r="W478" i="3"/>
  <c r="X478" i="3"/>
  <c r="Y478" i="3"/>
  <c r="Z478" i="3"/>
  <c r="AA478" i="3"/>
  <c r="AB478" i="3"/>
  <c r="AC478" i="3"/>
  <c r="AD478" i="3"/>
  <c r="AE478" i="3"/>
  <c r="AF478" i="3"/>
  <c r="AG478" i="3"/>
  <c r="J479" i="3"/>
  <c r="K479" i="3"/>
  <c r="L479" i="3"/>
  <c r="M479" i="3"/>
  <c r="N479" i="3"/>
  <c r="O479" i="3"/>
  <c r="P479" i="3"/>
  <c r="Q479" i="3"/>
  <c r="R479" i="3"/>
  <c r="S479" i="3"/>
  <c r="T479" i="3"/>
  <c r="U479" i="3"/>
  <c r="V479" i="3"/>
  <c r="W479" i="3"/>
  <c r="X479" i="3"/>
  <c r="Y479" i="3"/>
  <c r="Z479" i="3"/>
  <c r="AA479" i="3"/>
  <c r="AB479" i="3"/>
  <c r="AC479" i="3"/>
  <c r="AD479" i="3"/>
  <c r="AE479" i="3"/>
  <c r="AF479" i="3"/>
  <c r="AG479" i="3"/>
  <c r="J480" i="3"/>
  <c r="K480" i="3"/>
  <c r="L480" i="3"/>
  <c r="M480" i="3"/>
  <c r="N480" i="3"/>
  <c r="O480" i="3"/>
  <c r="P480" i="3"/>
  <c r="Q480" i="3"/>
  <c r="R480" i="3"/>
  <c r="S480" i="3"/>
  <c r="T480" i="3"/>
  <c r="U480" i="3"/>
  <c r="V480" i="3"/>
  <c r="W480" i="3"/>
  <c r="X480" i="3"/>
  <c r="Y480" i="3"/>
  <c r="Z480" i="3"/>
  <c r="AA480" i="3"/>
  <c r="AB480" i="3"/>
  <c r="AC480" i="3"/>
  <c r="AD480" i="3"/>
  <c r="AE480" i="3"/>
  <c r="AF480" i="3"/>
  <c r="AG480" i="3"/>
  <c r="J481" i="3"/>
  <c r="K481" i="3"/>
  <c r="L481" i="3"/>
  <c r="M481" i="3"/>
  <c r="N481" i="3"/>
  <c r="O481" i="3"/>
  <c r="P481" i="3"/>
  <c r="Q481" i="3"/>
  <c r="R481" i="3"/>
  <c r="S481" i="3"/>
  <c r="T481" i="3"/>
  <c r="U481" i="3"/>
  <c r="V481" i="3"/>
  <c r="W481" i="3"/>
  <c r="X481" i="3"/>
  <c r="Y481" i="3"/>
  <c r="Z481" i="3"/>
  <c r="AA481" i="3"/>
  <c r="AB481" i="3"/>
  <c r="AC481" i="3"/>
  <c r="AD481" i="3"/>
  <c r="AE481" i="3"/>
  <c r="AF481" i="3"/>
  <c r="AG481" i="3"/>
  <c r="J482" i="3"/>
  <c r="K482" i="3"/>
  <c r="L482" i="3"/>
  <c r="M482" i="3"/>
  <c r="N482" i="3"/>
  <c r="O482" i="3"/>
  <c r="P482" i="3"/>
  <c r="Q482" i="3"/>
  <c r="R482" i="3"/>
  <c r="S482" i="3"/>
  <c r="T482" i="3"/>
  <c r="U482" i="3"/>
  <c r="V482" i="3"/>
  <c r="W482" i="3"/>
  <c r="X482" i="3"/>
  <c r="Y482" i="3"/>
  <c r="Z482" i="3"/>
  <c r="AA482" i="3"/>
  <c r="AB482" i="3"/>
  <c r="AC482" i="3"/>
  <c r="AD482" i="3"/>
  <c r="AE482" i="3"/>
  <c r="AF482" i="3"/>
  <c r="AG482" i="3"/>
  <c r="J483" i="3"/>
  <c r="K483" i="3"/>
  <c r="L483" i="3"/>
  <c r="M483" i="3"/>
  <c r="N483" i="3"/>
  <c r="O483" i="3"/>
  <c r="P483" i="3"/>
  <c r="Q483" i="3"/>
  <c r="R483" i="3"/>
  <c r="S483" i="3"/>
  <c r="T483" i="3"/>
  <c r="U483" i="3"/>
  <c r="V483" i="3"/>
  <c r="W483" i="3"/>
  <c r="X483" i="3"/>
  <c r="Y483" i="3"/>
  <c r="Z483" i="3"/>
  <c r="AA483" i="3"/>
  <c r="AB483" i="3"/>
  <c r="AC483" i="3"/>
  <c r="AD483" i="3"/>
  <c r="AE483" i="3"/>
  <c r="AF483" i="3"/>
  <c r="AG483" i="3"/>
  <c r="J484" i="3"/>
  <c r="K484" i="3"/>
  <c r="L484" i="3"/>
  <c r="M484" i="3"/>
  <c r="N484" i="3"/>
  <c r="O484" i="3"/>
  <c r="P484" i="3"/>
  <c r="Q484" i="3"/>
  <c r="R484" i="3"/>
  <c r="S484" i="3"/>
  <c r="T484" i="3"/>
  <c r="U484" i="3"/>
  <c r="V484" i="3"/>
  <c r="W484" i="3"/>
  <c r="X484" i="3"/>
  <c r="Y484" i="3"/>
  <c r="Z484" i="3"/>
  <c r="AA484" i="3"/>
  <c r="AB484" i="3"/>
  <c r="AC484" i="3"/>
  <c r="AD484" i="3"/>
  <c r="AE484" i="3"/>
  <c r="AF484" i="3"/>
  <c r="AG484" i="3"/>
  <c r="J485" i="3"/>
  <c r="K485" i="3"/>
  <c r="L485" i="3"/>
  <c r="M485" i="3"/>
  <c r="N485" i="3"/>
  <c r="O485" i="3"/>
  <c r="P485" i="3"/>
  <c r="Q485" i="3"/>
  <c r="R485" i="3"/>
  <c r="S485" i="3"/>
  <c r="T485" i="3"/>
  <c r="U485" i="3"/>
  <c r="V485" i="3"/>
  <c r="W485" i="3"/>
  <c r="X485" i="3"/>
  <c r="Y485" i="3"/>
  <c r="Z485" i="3"/>
  <c r="AA485" i="3"/>
  <c r="AB485" i="3"/>
  <c r="AC485" i="3"/>
  <c r="AD485" i="3"/>
  <c r="AE485" i="3"/>
  <c r="AF485" i="3"/>
  <c r="AG485" i="3"/>
  <c r="J486" i="3"/>
  <c r="K486" i="3"/>
  <c r="L486" i="3"/>
  <c r="M486" i="3"/>
  <c r="N486" i="3"/>
  <c r="O486" i="3"/>
  <c r="P486" i="3"/>
  <c r="Q486" i="3"/>
  <c r="R486" i="3"/>
  <c r="S486" i="3"/>
  <c r="T486" i="3"/>
  <c r="U486" i="3"/>
  <c r="V486" i="3"/>
  <c r="W486" i="3"/>
  <c r="X486" i="3"/>
  <c r="Y486" i="3"/>
  <c r="Z486" i="3"/>
  <c r="AA486" i="3"/>
  <c r="AB486" i="3"/>
  <c r="AC486" i="3"/>
  <c r="AD486" i="3"/>
  <c r="AE486" i="3"/>
  <c r="AF486" i="3"/>
  <c r="AG486" i="3"/>
  <c r="J487" i="3"/>
  <c r="K487" i="3"/>
  <c r="L487" i="3"/>
  <c r="M487" i="3"/>
  <c r="N487" i="3"/>
  <c r="O487" i="3"/>
  <c r="P487" i="3"/>
  <c r="Q487" i="3"/>
  <c r="R487" i="3"/>
  <c r="S487" i="3"/>
  <c r="T487" i="3"/>
  <c r="U487" i="3"/>
  <c r="V487" i="3"/>
  <c r="W487" i="3"/>
  <c r="X487" i="3"/>
  <c r="Y487" i="3"/>
  <c r="Z487" i="3"/>
  <c r="AA487" i="3"/>
  <c r="AB487" i="3"/>
  <c r="AC487" i="3"/>
  <c r="AD487" i="3"/>
  <c r="AE487" i="3"/>
  <c r="AF487" i="3"/>
  <c r="AG487" i="3"/>
  <c r="J488" i="3"/>
  <c r="K488" i="3"/>
  <c r="L488" i="3"/>
  <c r="M488" i="3"/>
  <c r="N488" i="3"/>
  <c r="O488" i="3"/>
  <c r="P488" i="3"/>
  <c r="Q488" i="3"/>
  <c r="R488" i="3"/>
  <c r="S488" i="3"/>
  <c r="T488" i="3"/>
  <c r="U488" i="3"/>
  <c r="V488" i="3"/>
  <c r="W488" i="3"/>
  <c r="X488" i="3"/>
  <c r="Y488" i="3"/>
  <c r="Z488" i="3"/>
  <c r="AA488" i="3"/>
  <c r="AB488" i="3"/>
  <c r="AC488" i="3"/>
  <c r="AD488" i="3"/>
  <c r="AE488" i="3"/>
  <c r="AF488" i="3"/>
  <c r="AG488" i="3"/>
  <c r="J489" i="3"/>
  <c r="K489" i="3"/>
  <c r="L489" i="3"/>
  <c r="M489" i="3"/>
  <c r="N489" i="3"/>
  <c r="O489" i="3"/>
  <c r="P489" i="3"/>
  <c r="Q489" i="3"/>
  <c r="R489" i="3"/>
  <c r="S489" i="3"/>
  <c r="T489" i="3"/>
  <c r="U489" i="3"/>
  <c r="V489" i="3"/>
  <c r="W489" i="3"/>
  <c r="X489" i="3"/>
  <c r="Y489" i="3"/>
  <c r="Z489" i="3"/>
  <c r="AA489" i="3"/>
  <c r="AB489" i="3"/>
  <c r="AC489" i="3"/>
  <c r="AD489" i="3"/>
  <c r="AE489" i="3"/>
  <c r="AF489" i="3"/>
  <c r="AG489" i="3"/>
  <c r="J490" i="3"/>
  <c r="K490" i="3"/>
  <c r="L490" i="3"/>
  <c r="M490" i="3"/>
  <c r="N490" i="3"/>
  <c r="O490" i="3"/>
  <c r="P490" i="3"/>
  <c r="Q490" i="3"/>
  <c r="R490" i="3"/>
  <c r="S490" i="3"/>
  <c r="T490" i="3"/>
  <c r="U490" i="3"/>
  <c r="V490" i="3"/>
  <c r="W490" i="3"/>
  <c r="X490" i="3"/>
  <c r="Y490" i="3"/>
  <c r="Z490" i="3"/>
  <c r="AA490" i="3"/>
  <c r="AB490" i="3"/>
  <c r="AC490" i="3"/>
  <c r="AD490" i="3"/>
  <c r="AE490" i="3"/>
  <c r="AF490" i="3"/>
  <c r="AG490" i="3"/>
  <c r="J491" i="3"/>
  <c r="K491" i="3"/>
  <c r="L491" i="3"/>
  <c r="M491" i="3"/>
  <c r="N491" i="3"/>
  <c r="O491" i="3"/>
  <c r="P491" i="3"/>
  <c r="Q491" i="3"/>
  <c r="R491" i="3"/>
  <c r="S491" i="3"/>
  <c r="T491" i="3"/>
  <c r="U491" i="3"/>
  <c r="V491" i="3"/>
  <c r="W491" i="3"/>
  <c r="X491" i="3"/>
  <c r="Y491" i="3"/>
  <c r="Z491" i="3"/>
  <c r="AA491" i="3"/>
  <c r="AB491" i="3"/>
  <c r="AC491" i="3"/>
  <c r="AD491" i="3"/>
  <c r="AE491" i="3"/>
  <c r="AF491" i="3"/>
  <c r="AG491" i="3"/>
  <c r="J492" i="3"/>
  <c r="K492" i="3"/>
  <c r="L492" i="3"/>
  <c r="M492" i="3"/>
  <c r="N492" i="3"/>
  <c r="O492" i="3"/>
  <c r="P492" i="3"/>
  <c r="Q492" i="3"/>
  <c r="R492" i="3"/>
  <c r="S492" i="3"/>
  <c r="T492" i="3"/>
  <c r="U492" i="3"/>
  <c r="V492" i="3"/>
  <c r="W492" i="3"/>
  <c r="X492" i="3"/>
  <c r="Y492" i="3"/>
  <c r="Z492" i="3"/>
  <c r="AA492" i="3"/>
  <c r="AB492" i="3"/>
  <c r="AC492" i="3"/>
  <c r="AD492" i="3"/>
  <c r="AE492" i="3"/>
  <c r="AF492" i="3"/>
  <c r="AG492" i="3"/>
  <c r="J493" i="3"/>
  <c r="K493" i="3"/>
  <c r="L493" i="3"/>
  <c r="M493" i="3"/>
  <c r="N493" i="3"/>
  <c r="O493" i="3"/>
  <c r="P493" i="3"/>
  <c r="Q493" i="3"/>
  <c r="R493" i="3"/>
  <c r="S493" i="3"/>
  <c r="T493" i="3"/>
  <c r="U493" i="3"/>
  <c r="V493" i="3"/>
  <c r="W493" i="3"/>
  <c r="X493" i="3"/>
  <c r="Y493" i="3"/>
  <c r="Z493" i="3"/>
  <c r="AA493" i="3"/>
  <c r="AB493" i="3"/>
  <c r="AC493" i="3"/>
  <c r="AD493" i="3"/>
  <c r="AE493" i="3"/>
  <c r="AF493" i="3"/>
  <c r="AG493" i="3"/>
  <c r="J494" i="3"/>
  <c r="K494" i="3"/>
  <c r="L494" i="3"/>
  <c r="M494" i="3"/>
  <c r="N494" i="3"/>
  <c r="O494" i="3"/>
  <c r="P494" i="3"/>
  <c r="Q494" i="3"/>
  <c r="R494" i="3"/>
  <c r="S494" i="3"/>
  <c r="T494" i="3"/>
  <c r="U494" i="3"/>
  <c r="V494" i="3"/>
  <c r="W494" i="3"/>
  <c r="X494" i="3"/>
  <c r="Y494" i="3"/>
  <c r="Z494" i="3"/>
  <c r="AA494" i="3"/>
  <c r="AB494" i="3"/>
  <c r="AC494" i="3"/>
  <c r="AD494" i="3"/>
  <c r="AE494" i="3"/>
  <c r="AF494" i="3"/>
  <c r="AG494" i="3"/>
  <c r="J495" i="3"/>
  <c r="K495" i="3"/>
  <c r="L495" i="3"/>
  <c r="M495" i="3"/>
  <c r="N495" i="3"/>
  <c r="O495" i="3"/>
  <c r="P495" i="3"/>
  <c r="Q495" i="3"/>
  <c r="R495" i="3"/>
  <c r="S495" i="3"/>
  <c r="T495" i="3"/>
  <c r="U495" i="3"/>
  <c r="V495" i="3"/>
  <c r="W495" i="3"/>
  <c r="X495" i="3"/>
  <c r="Y495" i="3"/>
  <c r="Z495" i="3"/>
  <c r="AA495" i="3"/>
  <c r="AB495" i="3"/>
  <c r="AC495" i="3"/>
  <c r="AD495" i="3"/>
  <c r="AE495" i="3"/>
  <c r="AF495" i="3"/>
  <c r="AG495" i="3"/>
  <c r="J496" i="3"/>
  <c r="K496" i="3"/>
  <c r="L496" i="3"/>
  <c r="M496" i="3"/>
  <c r="N496" i="3"/>
  <c r="O496" i="3"/>
  <c r="P496" i="3"/>
  <c r="Q496" i="3"/>
  <c r="R496" i="3"/>
  <c r="S496" i="3"/>
  <c r="T496" i="3"/>
  <c r="U496" i="3"/>
  <c r="V496" i="3"/>
  <c r="W496" i="3"/>
  <c r="X496" i="3"/>
  <c r="Y496" i="3"/>
  <c r="Z496" i="3"/>
  <c r="AA496" i="3"/>
  <c r="AB496" i="3"/>
  <c r="AC496" i="3"/>
  <c r="AD496" i="3"/>
  <c r="AE496" i="3"/>
  <c r="AF496" i="3"/>
  <c r="AG496" i="3"/>
  <c r="J497" i="3"/>
  <c r="K497" i="3"/>
  <c r="L497" i="3"/>
  <c r="M497" i="3"/>
  <c r="N497" i="3"/>
  <c r="O497" i="3"/>
  <c r="P497" i="3"/>
  <c r="Q497" i="3"/>
  <c r="R497" i="3"/>
  <c r="S497" i="3"/>
  <c r="T497" i="3"/>
  <c r="U497" i="3"/>
  <c r="V497" i="3"/>
  <c r="W497" i="3"/>
  <c r="X497" i="3"/>
  <c r="Y497" i="3"/>
  <c r="Z497" i="3"/>
  <c r="AA497" i="3"/>
  <c r="AB497" i="3"/>
  <c r="AC497" i="3"/>
  <c r="AD497" i="3"/>
  <c r="AE497" i="3"/>
  <c r="AF497" i="3"/>
  <c r="AG497" i="3"/>
  <c r="J498" i="3"/>
  <c r="K498" i="3"/>
  <c r="L498" i="3"/>
  <c r="M498" i="3"/>
  <c r="N498" i="3"/>
  <c r="O498" i="3"/>
  <c r="P498" i="3"/>
  <c r="Q498" i="3"/>
  <c r="R498" i="3"/>
  <c r="S498" i="3"/>
  <c r="T498" i="3"/>
  <c r="U498" i="3"/>
  <c r="V498" i="3"/>
  <c r="W498" i="3"/>
  <c r="X498" i="3"/>
  <c r="Y498" i="3"/>
  <c r="Z498" i="3"/>
  <c r="AA498" i="3"/>
  <c r="AB498" i="3"/>
  <c r="AC498" i="3"/>
  <c r="AD498" i="3"/>
  <c r="AE498" i="3"/>
  <c r="AF498" i="3"/>
  <c r="AG498" i="3"/>
  <c r="J499" i="3"/>
  <c r="K499" i="3"/>
  <c r="L499" i="3"/>
  <c r="M499" i="3"/>
  <c r="N499" i="3"/>
  <c r="O499" i="3"/>
  <c r="P499" i="3"/>
  <c r="Q499" i="3"/>
  <c r="R499" i="3"/>
  <c r="S499" i="3"/>
  <c r="T499" i="3"/>
  <c r="U499" i="3"/>
  <c r="V499" i="3"/>
  <c r="W499" i="3"/>
  <c r="X499" i="3"/>
  <c r="Y499" i="3"/>
  <c r="Z499" i="3"/>
  <c r="AA499" i="3"/>
  <c r="AB499" i="3"/>
  <c r="AC499" i="3"/>
  <c r="AD499" i="3"/>
  <c r="AE499" i="3"/>
  <c r="AF499" i="3"/>
  <c r="AG499" i="3"/>
  <c r="J500" i="3"/>
  <c r="K500" i="3"/>
  <c r="L500" i="3"/>
  <c r="M500" i="3"/>
  <c r="N500" i="3"/>
  <c r="O500" i="3"/>
  <c r="P500" i="3"/>
  <c r="Q500" i="3"/>
  <c r="R500" i="3"/>
  <c r="S500" i="3"/>
  <c r="T500" i="3"/>
  <c r="U500" i="3"/>
  <c r="V500" i="3"/>
  <c r="W500" i="3"/>
  <c r="X500" i="3"/>
  <c r="Y500" i="3"/>
  <c r="Z500" i="3"/>
  <c r="AA500" i="3"/>
  <c r="AB500" i="3"/>
  <c r="AC500" i="3"/>
  <c r="AD500" i="3"/>
  <c r="AE500" i="3"/>
  <c r="AF500" i="3"/>
  <c r="AG500" i="3"/>
  <c r="J501" i="3"/>
  <c r="K501" i="3"/>
  <c r="L501" i="3"/>
  <c r="M501" i="3"/>
  <c r="N501" i="3"/>
  <c r="O501" i="3"/>
  <c r="P501" i="3"/>
  <c r="Q501" i="3"/>
  <c r="R501" i="3"/>
  <c r="S501" i="3"/>
  <c r="T501" i="3"/>
  <c r="U501" i="3"/>
  <c r="V501" i="3"/>
  <c r="W501" i="3"/>
  <c r="X501" i="3"/>
  <c r="Y501" i="3"/>
  <c r="Z501" i="3"/>
  <c r="AA501" i="3"/>
  <c r="AB501" i="3"/>
  <c r="AC501" i="3"/>
  <c r="AD501" i="3"/>
  <c r="AE501" i="3"/>
  <c r="AF501" i="3"/>
  <c r="AG501" i="3"/>
  <c r="J502" i="3"/>
  <c r="K502" i="3"/>
  <c r="L502" i="3"/>
  <c r="M502" i="3"/>
  <c r="N502" i="3"/>
  <c r="O502" i="3"/>
  <c r="P502" i="3"/>
  <c r="Q502" i="3"/>
  <c r="R502" i="3"/>
  <c r="S502" i="3"/>
  <c r="T502" i="3"/>
  <c r="U502" i="3"/>
  <c r="V502" i="3"/>
  <c r="W502" i="3"/>
  <c r="X502" i="3"/>
  <c r="Y502" i="3"/>
  <c r="Z502" i="3"/>
  <c r="AA502" i="3"/>
  <c r="AB502" i="3"/>
  <c r="AC502" i="3"/>
  <c r="AD502" i="3"/>
  <c r="AE502" i="3"/>
  <c r="AF502" i="3"/>
  <c r="AG502" i="3"/>
  <c r="J503" i="3"/>
  <c r="K503" i="3"/>
  <c r="L503" i="3"/>
  <c r="M503" i="3"/>
  <c r="N503" i="3"/>
  <c r="O503" i="3"/>
  <c r="P503" i="3"/>
  <c r="Q503" i="3"/>
  <c r="R503" i="3"/>
  <c r="S503" i="3"/>
  <c r="T503" i="3"/>
  <c r="U503" i="3"/>
  <c r="V503" i="3"/>
  <c r="W503" i="3"/>
  <c r="X503" i="3"/>
  <c r="Y503" i="3"/>
  <c r="Z503" i="3"/>
  <c r="AA503" i="3"/>
  <c r="AB503" i="3"/>
  <c r="AC503" i="3"/>
  <c r="AD503" i="3"/>
  <c r="AE503" i="3"/>
  <c r="AF503" i="3"/>
  <c r="AG503" i="3"/>
  <c r="J504" i="3"/>
  <c r="K504" i="3"/>
  <c r="L504" i="3"/>
  <c r="M504" i="3"/>
  <c r="N504" i="3"/>
  <c r="O504" i="3"/>
  <c r="P504" i="3"/>
  <c r="Q504" i="3"/>
  <c r="R504" i="3"/>
  <c r="S504" i="3"/>
  <c r="T504" i="3"/>
  <c r="U504" i="3"/>
  <c r="V504" i="3"/>
  <c r="W504" i="3"/>
  <c r="X504" i="3"/>
  <c r="Y504" i="3"/>
  <c r="Z504" i="3"/>
  <c r="AA504" i="3"/>
  <c r="AB504" i="3"/>
  <c r="AC504" i="3"/>
  <c r="AD504" i="3"/>
  <c r="AE504" i="3"/>
  <c r="AF504" i="3"/>
  <c r="AG504" i="3"/>
  <c r="J505" i="3"/>
  <c r="K505" i="3"/>
  <c r="L505" i="3"/>
  <c r="M505" i="3"/>
  <c r="N505" i="3"/>
  <c r="O505" i="3"/>
  <c r="P505" i="3"/>
  <c r="Q505" i="3"/>
  <c r="R505" i="3"/>
  <c r="S505" i="3"/>
  <c r="T505" i="3"/>
  <c r="U505" i="3"/>
  <c r="V505" i="3"/>
  <c r="W505" i="3"/>
  <c r="X505" i="3"/>
  <c r="Y505" i="3"/>
  <c r="Z505" i="3"/>
  <c r="AA505" i="3"/>
  <c r="AB505" i="3"/>
  <c r="AC505" i="3"/>
  <c r="AD505" i="3"/>
  <c r="AE505" i="3"/>
  <c r="AF505" i="3"/>
  <c r="AG505" i="3"/>
  <c r="J506" i="3"/>
  <c r="K506" i="3"/>
  <c r="L506" i="3"/>
  <c r="M506" i="3"/>
  <c r="N506" i="3"/>
  <c r="O506" i="3"/>
  <c r="P506" i="3"/>
  <c r="Q506" i="3"/>
  <c r="R506" i="3"/>
  <c r="S506" i="3"/>
  <c r="T506" i="3"/>
  <c r="U506" i="3"/>
  <c r="V506" i="3"/>
  <c r="W506" i="3"/>
  <c r="X506" i="3"/>
  <c r="Y506" i="3"/>
  <c r="Z506" i="3"/>
  <c r="AA506" i="3"/>
  <c r="AB506" i="3"/>
  <c r="AC506" i="3"/>
  <c r="AD506" i="3"/>
  <c r="AE506" i="3"/>
  <c r="AF506" i="3"/>
  <c r="AG506" i="3"/>
  <c r="J507" i="3"/>
  <c r="K507" i="3"/>
  <c r="L507" i="3"/>
  <c r="M507" i="3"/>
  <c r="N507" i="3"/>
  <c r="O507" i="3"/>
  <c r="P507" i="3"/>
  <c r="Q507" i="3"/>
  <c r="R507" i="3"/>
  <c r="S507" i="3"/>
  <c r="T507" i="3"/>
  <c r="U507" i="3"/>
  <c r="V507" i="3"/>
  <c r="W507" i="3"/>
  <c r="X507" i="3"/>
  <c r="Y507" i="3"/>
  <c r="Z507" i="3"/>
  <c r="AA507" i="3"/>
  <c r="AB507" i="3"/>
  <c r="AC507" i="3"/>
  <c r="AD507" i="3"/>
  <c r="AE507" i="3"/>
  <c r="AF507" i="3"/>
  <c r="AG507" i="3"/>
  <c r="J508" i="3"/>
  <c r="K508" i="3"/>
  <c r="L508" i="3"/>
  <c r="M508" i="3"/>
  <c r="N508" i="3"/>
  <c r="O508" i="3"/>
  <c r="P508" i="3"/>
  <c r="Q508" i="3"/>
  <c r="R508" i="3"/>
  <c r="S508" i="3"/>
  <c r="T508" i="3"/>
  <c r="U508" i="3"/>
  <c r="V508" i="3"/>
  <c r="W508" i="3"/>
  <c r="X508" i="3"/>
  <c r="Y508" i="3"/>
  <c r="Z508" i="3"/>
  <c r="AA508" i="3"/>
  <c r="AB508" i="3"/>
  <c r="AC508" i="3"/>
  <c r="AD508" i="3"/>
  <c r="AE508" i="3"/>
  <c r="AF508" i="3"/>
  <c r="AG508" i="3"/>
  <c r="J509" i="3"/>
  <c r="K509" i="3"/>
  <c r="L509" i="3"/>
  <c r="M509" i="3"/>
  <c r="N509" i="3"/>
  <c r="O509" i="3"/>
  <c r="P509" i="3"/>
  <c r="Q509" i="3"/>
  <c r="R509" i="3"/>
  <c r="S509" i="3"/>
  <c r="T509" i="3"/>
  <c r="U509" i="3"/>
  <c r="V509" i="3"/>
  <c r="W509" i="3"/>
  <c r="X509" i="3"/>
  <c r="Y509" i="3"/>
  <c r="Z509" i="3"/>
  <c r="AA509" i="3"/>
  <c r="AB509" i="3"/>
  <c r="AC509" i="3"/>
  <c r="AD509" i="3"/>
  <c r="AE509" i="3"/>
  <c r="AF509" i="3"/>
  <c r="AG509" i="3"/>
  <c r="J510" i="3"/>
  <c r="K510" i="3"/>
  <c r="L510" i="3"/>
  <c r="M510" i="3"/>
  <c r="N510" i="3"/>
  <c r="O510" i="3"/>
  <c r="P510" i="3"/>
  <c r="Q510" i="3"/>
  <c r="R510" i="3"/>
  <c r="S510" i="3"/>
  <c r="T510" i="3"/>
  <c r="U510" i="3"/>
  <c r="V510" i="3"/>
  <c r="W510" i="3"/>
  <c r="X510" i="3"/>
  <c r="Y510" i="3"/>
  <c r="Z510" i="3"/>
  <c r="AA510" i="3"/>
  <c r="AB510" i="3"/>
  <c r="AC510" i="3"/>
  <c r="AD510" i="3"/>
  <c r="AE510" i="3"/>
  <c r="AF510" i="3"/>
  <c r="AG510" i="3"/>
  <c r="J511" i="3"/>
  <c r="K511" i="3"/>
  <c r="L511" i="3"/>
  <c r="M511" i="3"/>
  <c r="N511" i="3"/>
  <c r="O511" i="3"/>
  <c r="P511" i="3"/>
  <c r="Q511" i="3"/>
  <c r="R511" i="3"/>
  <c r="S511" i="3"/>
  <c r="T511" i="3"/>
  <c r="U511" i="3"/>
  <c r="V511" i="3"/>
  <c r="W511" i="3"/>
  <c r="X511" i="3"/>
  <c r="Y511" i="3"/>
  <c r="Z511" i="3"/>
  <c r="AA511" i="3"/>
  <c r="AB511" i="3"/>
  <c r="AC511" i="3"/>
  <c r="AD511" i="3"/>
  <c r="AE511" i="3"/>
  <c r="AF511" i="3"/>
  <c r="AG511" i="3"/>
  <c r="J512" i="3"/>
  <c r="K512" i="3"/>
  <c r="L512" i="3"/>
  <c r="M512" i="3"/>
  <c r="N512" i="3"/>
  <c r="O512" i="3"/>
  <c r="P512" i="3"/>
  <c r="Q512" i="3"/>
  <c r="R512" i="3"/>
  <c r="S512" i="3"/>
  <c r="T512" i="3"/>
  <c r="U512" i="3"/>
  <c r="V512" i="3"/>
  <c r="W512" i="3"/>
  <c r="X512" i="3"/>
  <c r="Y512" i="3"/>
  <c r="Z512" i="3"/>
  <c r="AA512" i="3"/>
  <c r="AB512" i="3"/>
  <c r="AC512" i="3"/>
  <c r="AD512" i="3"/>
  <c r="AE512" i="3"/>
  <c r="AF512" i="3"/>
  <c r="AG512" i="3"/>
  <c r="J513" i="3"/>
  <c r="K513" i="3"/>
  <c r="L513" i="3"/>
  <c r="M513" i="3"/>
  <c r="N513" i="3"/>
  <c r="O513" i="3"/>
  <c r="P513" i="3"/>
  <c r="Q513" i="3"/>
  <c r="R513" i="3"/>
  <c r="S513" i="3"/>
  <c r="T513" i="3"/>
  <c r="U513" i="3"/>
  <c r="V513" i="3"/>
  <c r="W513" i="3"/>
  <c r="X513" i="3"/>
  <c r="Y513" i="3"/>
  <c r="Z513" i="3"/>
  <c r="AA513" i="3"/>
  <c r="AB513" i="3"/>
  <c r="AC513" i="3"/>
  <c r="AD513" i="3"/>
  <c r="AE513" i="3"/>
  <c r="AF513" i="3"/>
  <c r="AG513" i="3"/>
  <c r="J514" i="3"/>
  <c r="K514" i="3"/>
  <c r="L514" i="3"/>
  <c r="M514" i="3"/>
  <c r="N514" i="3"/>
  <c r="O514" i="3"/>
  <c r="P514" i="3"/>
  <c r="Q514" i="3"/>
  <c r="R514" i="3"/>
  <c r="S514" i="3"/>
  <c r="T514" i="3"/>
  <c r="U514" i="3"/>
  <c r="V514" i="3"/>
  <c r="W514" i="3"/>
  <c r="X514" i="3"/>
  <c r="Y514" i="3"/>
  <c r="Z514" i="3"/>
  <c r="AA514" i="3"/>
  <c r="AB514" i="3"/>
  <c r="AC514" i="3"/>
  <c r="AD514" i="3"/>
  <c r="AE514" i="3"/>
  <c r="AF514" i="3"/>
  <c r="AG514" i="3"/>
  <c r="J515" i="3"/>
  <c r="K515" i="3"/>
  <c r="L515" i="3"/>
  <c r="M515" i="3"/>
  <c r="N515" i="3"/>
  <c r="O515" i="3"/>
  <c r="P515" i="3"/>
  <c r="Q515" i="3"/>
  <c r="R515" i="3"/>
  <c r="S515" i="3"/>
  <c r="T515" i="3"/>
  <c r="U515" i="3"/>
  <c r="V515" i="3"/>
  <c r="W515" i="3"/>
  <c r="X515" i="3"/>
  <c r="Y515" i="3"/>
  <c r="Z515" i="3"/>
  <c r="AA515" i="3"/>
  <c r="AB515" i="3"/>
  <c r="AC515" i="3"/>
  <c r="AD515" i="3"/>
  <c r="AE515" i="3"/>
  <c r="AF515" i="3"/>
  <c r="AG515" i="3"/>
  <c r="J516" i="3"/>
  <c r="K516" i="3"/>
  <c r="L516" i="3"/>
  <c r="M516" i="3"/>
  <c r="N516" i="3"/>
  <c r="O516" i="3"/>
  <c r="P516" i="3"/>
  <c r="Q516" i="3"/>
  <c r="R516" i="3"/>
  <c r="S516" i="3"/>
  <c r="T516" i="3"/>
  <c r="U516" i="3"/>
  <c r="V516" i="3"/>
  <c r="W516" i="3"/>
  <c r="X516" i="3"/>
  <c r="Y516" i="3"/>
  <c r="Z516" i="3"/>
  <c r="AA516" i="3"/>
  <c r="AB516" i="3"/>
  <c r="AC516" i="3"/>
  <c r="AD516" i="3"/>
  <c r="AE516" i="3"/>
  <c r="AF516" i="3"/>
  <c r="AG516" i="3"/>
  <c r="J517" i="3"/>
  <c r="K517" i="3"/>
  <c r="L517" i="3"/>
  <c r="M517" i="3"/>
  <c r="N517" i="3"/>
  <c r="O517" i="3"/>
  <c r="P517" i="3"/>
  <c r="Q517" i="3"/>
  <c r="R517" i="3"/>
  <c r="S517" i="3"/>
  <c r="T517" i="3"/>
  <c r="U517" i="3"/>
  <c r="V517" i="3"/>
  <c r="W517" i="3"/>
  <c r="X517" i="3"/>
  <c r="Y517" i="3"/>
  <c r="Z517" i="3"/>
  <c r="AA517" i="3"/>
  <c r="AB517" i="3"/>
  <c r="AC517" i="3"/>
  <c r="AD517" i="3"/>
  <c r="AE517" i="3"/>
  <c r="AF517" i="3"/>
  <c r="AG517" i="3"/>
  <c r="J518" i="3"/>
  <c r="K518" i="3"/>
  <c r="L518" i="3"/>
  <c r="M518" i="3"/>
  <c r="N518" i="3"/>
  <c r="O518" i="3"/>
  <c r="P518" i="3"/>
  <c r="Q518" i="3"/>
  <c r="R518" i="3"/>
  <c r="S518" i="3"/>
  <c r="T518" i="3"/>
  <c r="U518" i="3"/>
  <c r="V518" i="3"/>
  <c r="W518" i="3"/>
  <c r="X518" i="3"/>
  <c r="Y518" i="3"/>
  <c r="Z518" i="3"/>
  <c r="AA518" i="3"/>
  <c r="AB518" i="3"/>
  <c r="AC518" i="3"/>
  <c r="AD518" i="3"/>
  <c r="AE518" i="3"/>
  <c r="AF518" i="3"/>
  <c r="AG518" i="3"/>
  <c r="J519" i="3"/>
  <c r="K519" i="3"/>
  <c r="L519" i="3"/>
  <c r="M519" i="3"/>
  <c r="N519" i="3"/>
  <c r="O519" i="3"/>
  <c r="P519" i="3"/>
  <c r="Q519" i="3"/>
  <c r="R519" i="3"/>
  <c r="S519" i="3"/>
  <c r="T519" i="3"/>
  <c r="U519" i="3"/>
  <c r="V519" i="3"/>
  <c r="W519" i="3"/>
  <c r="X519" i="3"/>
  <c r="Y519" i="3"/>
  <c r="Z519" i="3"/>
  <c r="AA519" i="3"/>
  <c r="AB519" i="3"/>
  <c r="AC519" i="3"/>
  <c r="AD519" i="3"/>
  <c r="AE519" i="3"/>
  <c r="AF519" i="3"/>
  <c r="AG519" i="3"/>
  <c r="J520" i="3"/>
  <c r="K520" i="3"/>
  <c r="L520" i="3"/>
  <c r="M520" i="3"/>
  <c r="N520" i="3"/>
  <c r="O520" i="3"/>
  <c r="P520" i="3"/>
  <c r="Q520" i="3"/>
  <c r="R520" i="3"/>
  <c r="S520" i="3"/>
  <c r="T520" i="3"/>
  <c r="U520" i="3"/>
  <c r="V520" i="3"/>
  <c r="W520" i="3"/>
  <c r="X520" i="3"/>
  <c r="Y520" i="3"/>
  <c r="Z520" i="3"/>
  <c r="AA520" i="3"/>
  <c r="AB520" i="3"/>
  <c r="AC520" i="3"/>
  <c r="AD520" i="3"/>
  <c r="AE520" i="3"/>
  <c r="AF520" i="3"/>
  <c r="AG520" i="3"/>
  <c r="J521" i="3"/>
  <c r="K521" i="3"/>
  <c r="L521" i="3"/>
  <c r="M521" i="3"/>
  <c r="N521" i="3"/>
  <c r="O521" i="3"/>
  <c r="P521" i="3"/>
  <c r="Q521" i="3"/>
  <c r="R521" i="3"/>
  <c r="S521" i="3"/>
  <c r="T521" i="3"/>
  <c r="U521" i="3"/>
  <c r="V521" i="3"/>
  <c r="W521" i="3"/>
  <c r="X521" i="3"/>
  <c r="Y521" i="3"/>
  <c r="Z521" i="3"/>
  <c r="AA521" i="3"/>
  <c r="AB521" i="3"/>
  <c r="AC521" i="3"/>
  <c r="AD521" i="3"/>
  <c r="AE521" i="3"/>
  <c r="AF521" i="3"/>
  <c r="AG521" i="3"/>
  <c r="J522" i="3"/>
  <c r="K522" i="3"/>
  <c r="L522" i="3"/>
  <c r="M522" i="3"/>
  <c r="N522" i="3"/>
  <c r="O522" i="3"/>
  <c r="P522" i="3"/>
  <c r="Q522" i="3"/>
  <c r="R522" i="3"/>
  <c r="S522" i="3"/>
  <c r="T522" i="3"/>
  <c r="U522" i="3"/>
  <c r="V522" i="3"/>
  <c r="W522" i="3"/>
  <c r="X522" i="3"/>
  <c r="Y522" i="3"/>
  <c r="Z522" i="3"/>
  <c r="AA522" i="3"/>
  <c r="AB522" i="3"/>
  <c r="AC522" i="3"/>
  <c r="AD522" i="3"/>
  <c r="AE522" i="3"/>
  <c r="AF522" i="3"/>
  <c r="AG522" i="3"/>
  <c r="J523" i="3"/>
  <c r="K523" i="3"/>
  <c r="L523" i="3"/>
  <c r="M523" i="3"/>
  <c r="N523" i="3"/>
  <c r="O523" i="3"/>
  <c r="P523" i="3"/>
  <c r="Q523" i="3"/>
  <c r="R523" i="3"/>
  <c r="S523" i="3"/>
  <c r="T523" i="3"/>
  <c r="U523" i="3"/>
  <c r="V523" i="3"/>
  <c r="W523" i="3"/>
  <c r="X523" i="3"/>
  <c r="Y523" i="3"/>
  <c r="Z523" i="3"/>
  <c r="AA523" i="3"/>
  <c r="AB523" i="3"/>
  <c r="AC523" i="3"/>
  <c r="AD523" i="3"/>
  <c r="AE523" i="3"/>
  <c r="AF523" i="3"/>
  <c r="AG523" i="3"/>
  <c r="J524" i="3"/>
  <c r="K524" i="3"/>
  <c r="L524" i="3"/>
  <c r="M524" i="3"/>
  <c r="N524" i="3"/>
  <c r="O524" i="3"/>
  <c r="P524" i="3"/>
  <c r="Q524" i="3"/>
  <c r="R524" i="3"/>
  <c r="S524" i="3"/>
  <c r="T524" i="3"/>
  <c r="U524" i="3"/>
  <c r="V524" i="3"/>
  <c r="W524" i="3"/>
  <c r="X524" i="3"/>
  <c r="Y524" i="3"/>
  <c r="Z524" i="3"/>
  <c r="AA524" i="3"/>
  <c r="AB524" i="3"/>
  <c r="AC524" i="3"/>
  <c r="AD524" i="3"/>
  <c r="AE524" i="3"/>
  <c r="AF524" i="3"/>
  <c r="AG524" i="3"/>
  <c r="J525" i="3"/>
  <c r="K525" i="3"/>
  <c r="L525" i="3"/>
  <c r="M525" i="3"/>
  <c r="N525" i="3"/>
  <c r="O525" i="3"/>
  <c r="P525" i="3"/>
  <c r="Q525" i="3"/>
  <c r="R525" i="3"/>
  <c r="S525" i="3"/>
  <c r="T525" i="3"/>
  <c r="U525" i="3"/>
  <c r="V525" i="3"/>
  <c r="W525" i="3"/>
  <c r="X525" i="3"/>
  <c r="Y525" i="3"/>
  <c r="Z525" i="3"/>
  <c r="AA525" i="3"/>
  <c r="AB525" i="3"/>
  <c r="AC525" i="3"/>
  <c r="AD525" i="3"/>
  <c r="AE525" i="3"/>
  <c r="AF525" i="3"/>
  <c r="AG525" i="3"/>
  <c r="J526" i="3"/>
  <c r="K526" i="3"/>
  <c r="L526" i="3"/>
  <c r="M526" i="3"/>
  <c r="N526" i="3"/>
  <c r="O526" i="3"/>
  <c r="P526" i="3"/>
  <c r="Q526" i="3"/>
  <c r="R526" i="3"/>
  <c r="S526" i="3"/>
  <c r="T526" i="3"/>
  <c r="U526" i="3"/>
  <c r="V526" i="3"/>
  <c r="W526" i="3"/>
  <c r="X526" i="3"/>
  <c r="Y526" i="3"/>
  <c r="Z526" i="3"/>
  <c r="AA526" i="3"/>
  <c r="AB526" i="3"/>
  <c r="AC526" i="3"/>
  <c r="AD526" i="3"/>
  <c r="AE526" i="3"/>
  <c r="AF526" i="3"/>
  <c r="AG526" i="3"/>
  <c r="J527" i="3"/>
  <c r="K527" i="3"/>
  <c r="L527" i="3"/>
  <c r="M527" i="3"/>
  <c r="N527" i="3"/>
  <c r="O527" i="3"/>
  <c r="P527" i="3"/>
  <c r="Q527" i="3"/>
  <c r="R527" i="3"/>
  <c r="S527" i="3"/>
  <c r="T527" i="3"/>
  <c r="U527" i="3"/>
  <c r="V527" i="3"/>
  <c r="W527" i="3"/>
  <c r="X527" i="3"/>
  <c r="Y527" i="3"/>
  <c r="Z527" i="3"/>
  <c r="AA527" i="3"/>
  <c r="AB527" i="3"/>
  <c r="AC527" i="3"/>
  <c r="AD527" i="3"/>
  <c r="AE527" i="3"/>
  <c r="AF527" i="3"/>
  <c r="AG527" i="3"/>
  <c r="J528" i="3"/>
  <c r="K528" i="3"/>
  <c r="L528" i="3"/>
  <c r="M528" i="3"/>
  <c r="N528" i="3"/>
  <c r="O528" i="3"/>
  <c r="P528" i="3"/>
  <c r="Q528" i="3"/>
  <c r="R528" i="3"/>
  <c r="S528" i="3"/>
  <c r="T528" i="3"/>
  <c r="U528" i="3"/>
  <c r="V528" i="3"/>
  <c r="W528" i="3"/>
  <c r="X528" i="3"/>
  <c r="Y528" i="3"/>
  <c r="Z528" i="3"/>
  <c r="AA528" i="3"/>
  <c r="AB528" i="3"/>
  <c r="AC528" i="3"/>
  <c r="AD528" i="3"/>
  <c r="AE528" i="3"/>
  <c r="AF528" i="3"/>
  <c r="AG528" i="3"/>
  <c r="J529" i="3"/>
  <c r="K529" i="3"/>
  <c r="L529" i="3"/>
  <c r="M529" i="3"/>
  <c r="N529" i="3"/>
  <c r="O529" i="3"/>
  <c r="P529" i="3"/>
  <c r="Q529" i="3"/>
  <c r="R529" i="3"/>
  <c r="S529" i="3"/>
  <c r="T529" i="3"/>
  <c r="U529" i="3"/>
  <c r="V529" i="3"/>
  <c r="W529" i="3"/>
  <c r="X529" i="3"/>
  <c r="Y529" i="3"/>
  <c r="Z529" i="3"/>
  <c r="AA529" i="3"/>
  <c r="AB529" i="3"/>
  <c r="AC529" i="3"/>
  <c r="AD529" i="3"/>
  <c r="AE529" i="3"/>
  <c r="AF529" i="3"/>
  <c r="AG529" i="3"/>
  <c r="J530" i="3"/>
  <c r="K530" i="3"/>
  <c r="L530" i="3"/>
  <c r="M530" i="3"/>
  <c r="N530" i="3"/>
  <c r="O530" i="3"/>
  <c r="P530" i="3"/>
  <c r="Q530" i="3"/>
  <c r="R530" i="3"/>
  <c r="S530" i="3"/>
  <c r="T530" i="3"/>
  <c r="U530" i="3"/>
  <c r="V530" i="3"/>
  <c r="W530" i="3"/>
  <c r="X530" i="3"/>
  <c r="Y530" i="3"/>
  <c r="Z530" i="3"/>
  <c r="AA530" i="3"/>
  <c r="AB530" i="3"/>
  <c r="AC530" i="3"/>
  <c r="AD530" i="3"/>
  <c r="AE530" i="3"/>
  <c r="AF530" i="3"/>
  <c r="AG530" i="3"/>
  <c r="J531" i="3"/>
  <c r="K531" i="3"/>
  <c r="L531" i="3"/>
  <c r="M531" i="3"/>
  <c r="N531" i="3"/>
  <c r="O531" i="3"/>
  <c r="P531" i="3"/>
  <c r="Q531" i="3"/>
  <c r="R531" i="3"/>
  <c r="S531" i="3"/>
  <c r="T531" i="3"/>
  <c r="U531" i="3"/>
  <c r="V531" i="3"/>
  <c r="W531" i="3"/>
  <c r="X531" i="3"/>
  <c r="Y531" i="3"/>
  <c r="Z531" i="3"/>
  <c r="AA531" i="3"/>
  <c r="AB531" i="3"/>
  <c r="AC531" i="3"/>
  <c r="AD531" i="3"/>
  <c r="AE531" i="3"/>
  <c r="AF531" i="3"/>
  <c r="AG531" i="3"/>
  <c r="J532" i="3"/>
  <c r="K532" i="3"/>
  <c r="L532" i="3"/>
  <c r="M532" i="3"/>
  <c r="N532" i="3"/>
  <c r="O532" i="3"/>
  <c r="P532" i="3"/>
  <c r="Q532" i="3"/>
  <c r="R532" i="3"/>
  <c r="S532" i="3"/>
  <c r="T532" i="3"/>
  <c r="U532" i="3"/>
  <c r="V532" i="3"/>
  <c r="W532" i="3"/>
  <c r="X532" i="3"/>
  <c r="Y532" i="3"/>
  <c r="Z532" i="3"/>
  <c r="AA532" i="3"/>
  <c r="AB532" i="3"/>
  <c r="AC532" i="3"/>
  <c r="AD532" i="3"/>
  <c r="AE532" i="3"/>
  <c r="AF532" i="3"/>
  <c r="AG532" i="3"/>
  <c r="J533" i="3"/>
  <c r="K533" i="3"/>
  <c r="L533" i="3"/>
  <c r="M533" i="3"/>
  <c r="N533" i="3"/>
  <c r="O533" i="3"/>
  <c r="P533" i="3"/>
  <c r="Q533" i="3"/>
  <c r="R533" i="3"/>
  <c r="S533" i="3"/>
  <c r="T533" i="3"/>
  <c r="U533" i="3"/>
  <c r="V533" i="3"/>
  <c r="W533" i="3"/>
  <c r="X533" i="3"/>
  <c r="Y533" i="3"/>
  <c r="Z533" i="3"/>
  <c r="AA533" i="3"/>
  <c r="AB533" i="3"/>
  <c r="AC533" i="3"/>
  <c r="AD533" i="3"/>
  <c r="AE533" i="3"/>
  <c r="AF533" i="3"/>
  <c r="AG533" i="3"/>
  <c r="J534" i="3"/>
  <c r="K534" i="3"/>
  <c r="L534" i="3"/>
  <c r="M534" i="3"/>
  <c r="N534" i="3"/>
  <c r="O534" i="3"/>
  <c r="P534" i="3"/>
  <c r="Q534" i="3"/>
  <c r="R534" i="3"/>
  <c r="S534" i="3"/>
  <c r="T534" i="3"/>
  <c r="U534" i="3"/>
  <c r="V534" i="3"/>
  <c r="W534" i="3"/>
  <c r="X534" i="3"/>
  <c r="Y534" i="3"/>
  <c r="Z534" i="3"/>
  <c r="AA534" i="3"/>
  <c r="AB534" i="3"/>
  <c r="AC534" i="3"/>
  <c r="AD534" i="3"/>
  <c r="AE534" i="3"/>
  <c r="AF534" i="3"/>
  <c r="AG534" i="3"/>
  <c r="J535" i="3"/>
  <c r="K535" i="3"/>
  <c r="L535" i="3"/>
  <c r="M535" i="3"/>
  <c r="N535" i="3"/>
  <c r="O535" i="3"/>
  <c r="P535" i="3"/>
  <c r="Q535" i="3"/>
  <c r="R535" i="3"/>
  <c r="S535" i="3"/>
  <c r="T535" i="3"/>
  <c r="U535" i="3"/>
  <c r="V535" i="3"/>
  <c r="W535" i="3"/>
  <c r="X535" i="3"/>
  <c r="Y535" i="3"/>
  <c r="Z535" i="3"/>
  <c r="AA535" i="3"/>
  <c r="AB535" i="3"/>
  <c r="AC535" i="3"/>
  <c r="AD535" i="3"/>
  <c r="AE535" i="3"/>
  <c r="AF535" i="3"/>
  <c r="AG535" i="3"/>
  <c r="J536" i="3"/>
  <c r="K536" i="3"/>
  <c r="L536" i="3"/>
  <c r="M536" i="3"/>
  <c r="N536" i="3"/>
  <c r="O536" i="3"/>
  <c r="P536" i="3"/>
  <c r="Q536" i="3"/>
  <c r="R536" i="3"/>
  <c r="S536" i="3"/>
  <c r="T536" i="3"/>
  <c r="U536" i="3"/>
  <c r="V536" i="3"/>
  <c r="W536" i="3"/>
  <c r="X536" i="3"/>
  <c r="Y536" i="3"/>
  <c r="Z536" i="3"/>
  <c r="AA536" i="3"/>
  <c r="AB536" i="3"/>
  <c r="AC536" i="3"/>
  <c r="AD536" i="3"/>
  <c r="AE536" i="3"/>
  <c r="AF536" i="3"/>
  <c r="AG536" i="3"/>
  <c r="J537" i="3"/>
  <c r="K537" i="3"/>
  <c r="L537" i="3"/>
  <c r="M537" i="3"/>
  <c r="N537" i="3"/>
  <c r="O537" i="3"/>
  <c r="P537" i="3"/>
  <c r="Q537" i="3"/>
  <c r="R537" i="3"/>
  <c r="S537" i="3"/>
  <c r="T537" i="3"/>
  <c r="U537" i="3"/>
  <c r="V537" i="3"/>
  <c r="W537" i="3"/>
  <c r="X537" i="3"/>
  <c r="Y537" i="3"/>
  <c r="Z537" i="3"/>
  <c r="AA537" i="3"/>
  <c r="AB537" i="3"/>
  <c r="AC537" i="3"/>
  <c r="AD537" i="3"/>
  <c r="AE537" i="3"/>
  <c r="AF537" i="3"/>
  <c r="AG537" i="3"/>
  <c r="J538" i="3"/>
  <c r="K538" i="3"/>
  <c r="L538" i="3"/>
  <c r="M538" i="3"/>
  <c r="N538" i="3"/>
  <c r="O538" i="3"/>
  <c r="P538" i="3"/>
  <c r="Q538" i="3"/>
  <c r="R538" i="3"/>
  <c r="S538" i="3"/>
  <c r="T538" i="3"/>
  <c r="U538" i="3"/>
  <c r="V538" i="3"/>
  <c r="W538" i="3"/>
  <c r="X538" i="3"/>
  <c r="Y538" i="3"/>
  <c r="Z538" i="3"/>
  <c r="AA538" i="3"/>
  <c r="AB538" i="3"/>
  <c r="AC538" i="3"/>
  <c r="AD538" i="3"/>
  <c r="AE538" i="3"/>
  <c r="AF538" i="3"/>
  <c r="AG538" i="3"/>
  <c r="J539" i="3"/>
  <c r="K539" i="3"/>
  <c r="L539" i="3"/>
  <c r="M539" i="3"/>
  <c r="N539" i="3"/>
  <c r="O539" i="3"/>
  <c r="P539" i="3"/>
  <c r="Q539" i="3"/>
  <c r="R539" i="3"/>
  <c r="S539" i="3"/>
  <c r="T539" i="3"/>
  <c r="U539" i="3"/>
  <c r="V539" i="3"/>
  <c r="W539" i="3"/>
  <c r="X539" i="3"/>
  <c r="Y539" i="3"/>
  <c r="Z539" i="3"/>
  <c r="AA539" i="3"/>
  <c r="AB539" i="3"/>
  <c r="AC539" i="3"/>
  <c r="AD539" i="3"/>
  <c r="AE539" i="3"/>
  <c r="AF539" i="3"/>
  <c r="AG539" i="3"/>
  <c r="J540" i="3"/>
  <c r="K540" i="3"/>
  <c r="L540" i="3"/>
  <c r="M540" i="3"/>
  <c r="N540" i="3"/>
  <c r="O540" i="3"/>
  <c r="P540" i="3"/>
  <c r="Q540" i="3"/>
  <c r="R540" i="3"/>
  <c r="S540" i="3"/>
  <c r="T540" i="3"/>
  <c r="U540" i="3"/>
  <c r="V540" i="3"/>
  <c r="W540" i="3"/>
  <c r="X540" i="3"/>
  <c r="Y540" i="3"/>
  <c r="Z540" i="3"/>
  <c r="AA540" i="3"/>
  <c r="AB540" i="3"/>
  <c r="AC540" i="3"/>
  <c r="AD540" i="3"/>
  <c r="AE540" i="3"/>
  <c r="AF540" i="3"/>
  <c r="AG540" i="3"/>
  <c r="J541" i="3"/>
  <c r="K541" i="3"/>
  <c r="L541" i="3"/>
  <c r="M541" i="3"/>
  <c r="N541" i="3"/>
  <c r="O541" i="3"/>
  <c r="P541" i="3"/>
  <c r="Q541" i="3"/>
  <c r="R541" i="3"/>
  <c r="S541" i="3"/>
  <c r="T541" i="3"/>
  <c r="U541" i="3"/>
  <c r="V541" i="3"/>
  <c r="W541" i="3"/>
  <c r="X541" i="3"/>
  <c r="Y541" i="3"/>
  <c r="Z541" i="3"/>
  <c r="AA541" i="3"/>
  <c r="AB541" i="3"/>
  <c r="AC541" i="3"/>
  <c r="AD541" i="3"/>
  <c r="AE541" i="3"/>
  <c r="AF541" i="3"/>
  <c r="AG541" i="3"/>
  <c r="J542" i="3"/>
  <c r="K542" i="3"/>
  <c r="L542" i="3"/>
  <c r="M542" i="3"/>
  <c r="N542" i="3"/>
  <c r="O542" i="3"/>
  <c r="P542" i="3"/>
  <c r="Q542" i="3"/>
  <c r="R542" i="3"/>
  <c r="S542" i="3"/>
  <c r="T542" i="3"/>
  <c r="U542" i="3"/>
  <c r="V542" i="3"/>
  <c r="W542" i="3"/>
  <c r="X542" i="3"/>
  <c r="Y542" i="3"/>
  <c r="Z542" i="3"/>
  <c r="AA542" i="3"/>
  <c r="AB542" i="3"/>
  <c r="AC542" i="3"/>
  <c r="AD542" i="3"/>
  <c r="AE542" i="3"/>
  <c r="AF542" i="3"/>
  <c r="AG542" i="3"/>
  <c r="J543" i="3"/>
  <c r="K543" i="3"/>
  <c r="L543" i="3"/>
  <c r="M543" i="3"/>
  <c r="N543" i="3"/>
  <c r="O543" i="3"/>
  <c r="P543" i="3"/>
  <c r="Q543" i="3"/>
  <c r="R543" i="3"/>
  <c r="S543" i="3"/>
  <c r="T543" i="3"/>
  <c r="U543" i="3"/>
  <c r="V543" i="3"/>
  <c r="W543" i="3"/>
  <c r="X543" i="3"/>
  <c r="Y543" i="3"/>
  <c r="Z543" i="3"/>
  <c r="AA543" i="3"/>
  <c r="AB543" i="3"/>
  <c r="AC543" i="3"/>
  <c r="AD543" i="3"/>
  <c r="AE543" i="3"/>
  <c r="AF543" i="3"/>
  <c r="AG543" i="3"/>
  <c r="J544" i="3"/>
  <c r="K544" i="3"/>
  <c r="L544" i="3"/>
  <c r="M544" i="3"/>
  <c r="N544" i="3"/>
  <c r="O544" i="3"/>
  <c r="P544" i="3"/>
  <c r="Q544" i="3"/>
  <c r="R544" i="3"/>
  <c r="S544" i="3"/>
  <c r="T544" i="3"/>
  <c r="U544" i="3"/>
  <c r="V544" i="3"/>
  <c r="W544" i="3"/>
  <c r="X544" i="3"/>
  <c r="Y544" i="3"/>
  <c r="Z544" i="3"/>
  <c r="AA544" i="3"/>
  <c r="AB544" i="3"/>
  <c r="AC544" i="3"/>
  <c r="AD544" i="3"/>
  <c r="AE544" i="3"/>
  <c r="AF544" i="3"/>
  <c r="AG544" i="3"/>
  <c r="J545" i="3"/>
  <c r="K545" i="3"/>
  <c r="L545" i="3"/>
  <c r="M545" i="3"/>
  <c r="N545" i="3"/>
  <c r="O545" i="3"/>
  <c r="P545" i="3"/>
  <c r="Q545" i="3"/>
  <c r="R545" i="3"/>
  <c r="S545" i="3"/>
  <c r="T545" i="3"/>
  <c r="U545" i="3"/>
  <c r="V545" i="3"/>
  <c r="W545" i="3"/>
  <c r="X545" i="3"/>
  <c r="Y545" i="3"/>
  <c r="Z545" i="3"/>
  <c r="AA545" i="3"/>
  <c r="AB545" i="3"/>
  <c r="AC545" i="3"/>
  <c r="AD545" i="3"/>
  <c r="AE545" i="3"/>
  <c r="AF545" i="3"/>
  <c r="AG545" i="3"/>
  <c r="J546" i="3"/>
  <c r="K546" i="3"/>
  <c r="L546" i="3"/>
  <c r="M546" i="3"/>
  <c r="N546" i="3"/>
  <c r="O546" i="3"/>
  <c r="P546" i="3"/>
  <c r="Q546" i="3"/>
  <c r="R546" i="3"/>
  <c r="S546" i="3"/>
  <c r="T546" i="3"/>
  <c r="U546" i="3"/>
  <c r="V546" i="3"/>
  <c r="W546" i="3"/>
  <c r="X546" i="3"/>
  <c r="Y546" i="3"/>
  <c r="Z546" i="3"/>
  <c r="AA546" i="3"/>
  <c r="AB546" i="3"/>
  <c r="AC546" i="3"/>
  <c r="AD546" i="3"/>
  <c r="AE546" i="3"/>
  <c r="AF546" i="3"/>
  <c r="AG546" i="3"/>
  <c r="J547" i="3"/>
  <c r="K547" i="3"/>
  <c r="L547" i="3"/>
  <c r="M547" i="3"/>
  <c r="N547" i="3"/>
  <c r="O547" i="3"/>
  <c r="P547" i="3"/>
  <c r="Q547" i="3"/>
  <c r="R547" i="3"/>
  <c r="S547" i="3"/>
  <c r="T547" i="3"/>
  <c r="U547" i="3"/>
  <c r="V547" i="3"/>
  <c r="W547" i="3"/>
  <c r="X547" i="3"/>
  <c r="Y547" i="3"/>
  <c r="Z547" i="3"/>
  <c r="AA547" i="3"/>
  <c r="AB547" i="3"/>
  <c r="AC547" i="3"/>
  <c r="AD547" i="3"/>
  <c r="AE547" i="3"/>
  <c r="AF547" i="3"/>
  <c r="AG547" i="3"/>
  <c r="J548" i="3"/>
  <c r="K548" i="3"/>
  <c r="L548" i="3"/>
  <c r="M548" i="3"/>
  <c r="N548" i="3"/>
  <c r="O548" i="3"/>
  <c r="P548" i="3"/>
  <c r="Q548" i="3"/>
  <c r="R548" i="3"/>
  <c r="S548" i="3"/>
  <c r="T548" i="3"/>
  <c r="U548" i="3"/>
  <c r="V548" i="3"/>
  <c r="W548" i="3"/>
  <c r="X548" i="3"/>
  <c r="Y548" i="3"/>
  <c r="Z548" i="3"/>
  <c r="AA548" i="3"/>
  <c r="AB548" i="3"/>
  <c r="AC548" i="3"/>
  <c r="AD548" i="3"/>
  <c r="AE548" i="3"/>
  <c r="AF548" i="3"/>
  <c r="AG548" i="3"/>
  <c r="J549" i="3"/>
  <c r="K549" i="3"/>
  <c r="L549" i="3"/>
  <c r="M549" i="3"/>
  <c r="N549" i="3"/>
  <c r="O549" i="3"/>
  <c r="P549" i="3"/>
  <c r="Q549" i="3"/>
  <c r="R549" i="3"/>
  <c r="S549" i="3"/>
  <c r="T549" i="3"/>
  <c r="U549" i="3"/>
  <c r="V549" i="3"/>
  <c r="W549" i="3"/>
  <c r="X549" i="3"/>
  <c r="Y549" i="3"/>
  <c r="Z549" i="3"/>
  <c r="AA549" i="3"/>
  <c r="AB549" i="3"/>
  <c r="AC549" i="3"/>
  <c r="AD549" i="3"/>
  <c r="AE549" i="3"/>
  <c r="AF549" i="3"/>
  <c r="AG549" i="3"/>
  <c r="J550" i="3"/>
  <c r="K550" i="3"/>
  <c r="L550" i="3"/>
  <c r="M550" i="3"/>
  <c r="N550" i="3"/>
  <c r="O550" i="3"/>
  <c r="P550" i="3"/>
  <c r="Q550" i="3"/>
  <c r="R550" i="3"/>
  <c r="S550" i="3"/>
  <c r="T550" i="3"/>
  <c r="U550" i="3"/>
  <c r="V550" i="3"/>
  <c r="W550" i="3"/>
  <c r="X550" i="3"/>
  <c r="Y550" i="3"/>
  <c r="Z550" i="3"/>
  <c r="AA550" i="3"/>
  <c r="AB550" i="3"/>
  <c r="AC550" i="3"/>
  <c r="AD550" i="3"/>
  <c r="AE550" i="3"/>
  <c r="AF550" i="3"/>
  <c r="AG550" i="3"/>
  <c r="J551" i="3"/>
  <c r="K551" i="3"/>
  <c r="L551" i="3"/>
  <c r="M551" i="3"/>
  <c r="N551" i="3"/>
  <c r="O551" i="3"/>
  <c r="P551" i="3"/>
  <c r="Q551" i="3"/>
  <c r="R551" i="3"/>
  <c r="S551" i="3"/>
  <c r="T551" i="3"/>
  <c r="U551" i="3"/>
  <c r="V551" i="3"/>
  <c r="W551" i="3"/>
  <c r="X551" i="3"/>
  <c r="Y551" i="3"/>
  <c r="Z551" i="3"/>
  <c r="AA551" i="3"/>
  <c r="AB551" i="3"/>
  <c r="AC551" i="3"/>
  <c r="AD551" i="3"/>
  <c r="AE551" i="3"/>
  <c r="AF551" i="3"/>
  <c r="AG551" i="3"/>
  <c r="J552" i="3"/>
  <c r="K552" i="3"/>
  <c r="L552" i="3"/>
  <c r="M552" i="3"/>
  <c r="N552" i="3"/>
  <c r="O552" i="3"/>
  <c r="P552" i="3"/>
  <c r="Q552" i="3"/>
  <c r="R552" i="3"/>
  <c r="S552" i="3"/>
  <c r="T552" i="3"/>
  <c r="U552" i="3"/>
  <c r="V552" i="3"/>
  <c r="W552" i="3"/>
  <c r="X552" i="3"/>
  <c r="Y552" i="3"/>
  <c r="Z552" i="3"/>
  <c r="AA552" i="3"/>
  <c r="AB552" i="3"/>
  <c r="AC552" i="3"/>
  <c r="AD552" i="3"/>
  <c r="AE552" i="3"/>
  <c r="AF552" i="3"/>
  <c r="AG552" i="3"/>
  <c r="J553" i="3"/>
  <c r="K553" i="3"/>
  <c r="L553" i="3"/>
  <c r="M553" i="3"/>
  <c r="N553" i="3"/>
  <c r="O553" i="3"/>
  <c r="P553" i="3"/>
  <c r="Q553" i="3"/>
  <c r="R553" i="3"/>
  <c r="S553" i="3"/>
  <c r="T553" i="3"/>
  <c r="U553" i="3"/>
  <c r="V553" i="3"/>
  <c r="W553" i="3"/>
  <c r="X553" i="3"/>
  <c r="Y553" i="3"/>
  <c r="Z553" i="3"/>
  <c r="AA553" i="3"/>
  <c r="AB553" i="3"/>
  <c r="AC553" i="3"/>
  <c r="AD553" i="3"/>
  <c r="AE553" i="3"/>
  <c r="AF553" i="3"/>
  <c r="AG553" i="3"/>
  <c r="J554" i="3"/>
  <c r="K554" i="3"/>
  <c r="L554" i="3"/>
  <c r="M554" i="3"/>
  <c r="N554" i="3"/>
  <c r="O554" i="3"/>
  <c r="P554" i="3"/>
  <c r="Q554" i="3"/>
  <c r="R554" i="3"/>
  <c r="S554" i="3"/>
  <c r="T554" i="3"/>
  <c r="U554" i="3"/>
  <c r="V554" i="3"/>
  <c r="W554" i="3"/>
  <c r="X554" i="3"/>
  <c r="Y554" i="3"/>
  <c r="Z554" i="3"/>
  <c r="AA554" i="3"/>
  <c r="AB554" i="3"/>
  <c r="AC554" i="3"/>
  <c r="AD554" i="3"/>
  <c r="AE554" i="3"/>
  <c r="AF554" i="3"/>
  <c r="AG554" i="3"/>
  <c r="J555" i="3"/>
  <c r="K555" i="3"/>
  <c r="L555" i="3"/>
  <c r="M555" i="3"/>
  <c r="N555" i="3"/>
  <c r="O555" i="3"/>
  <c r="P555" i="3"/>
  <c r="Q555" i="3"/>
  <c r="R555" i="3"/>
  <c r="S555" i="3"/>
  <c r="T555" i="3"/>
  <c r="U555" i="3"/>
  <c r="V555" i="3"/>
  <c r="W555" i="3"/>
  <c r="X555" i="3"/>
  <c r="Y555" i="3"/>
  <c r="Z555" i="3"/>
  <c r="AA555" i="3"/>
  <c r="AB555" i="3"/>
  <c r="AC555" i="3"/>
  <c r="AD555" i="3"/>
  <c r="AE555" i="3"/>
  <c r="AF555" i="3"/>
  <c r="AG555" i="3"/>
  <c r="J556" i="3"/>
  <c r="K556" i="3"/>
  <c r="L556" i="3"/>
  <c r="M556" i="3"/>
  <c r="N556" i="3"/>
  <c r="O556" i="3"/>
  <c r="P556" i="3"/>
  <c r="Q556" i="3"/>
  <c r="R556" i="3"/>
  <c r="S556" i="3"/>
  <c r="T556" i="3"/>
  <c r="U556" i="3"/>
  <c r="V556" i="3"/>
  <c r="W556" i="3"/>
  <c r="X556" i="3"/>
  <c r="Y556" i="3"/>
  <c r="Z556" i="3"/>
  <c r="AA556" i="3"/>
  <c r="AB556" i="3"/>
  <c r="AC556" i="3"/>
  <c r="AD556" i="3"/>
  <c r="AE556" i="3"/>
  <c r="AF556" i="3"/>
  <c r="AG556" i="3"/>
  <c r="J557" i="3"/>
  <c r="K557" i="3"/>
  <c r="L557" i="3"/>
  <c r="M557" i="3"/>
  <c r="N557" i="3"/>
  <c r="O557" i="3"/>
  <c r="P557" i="3"/>
  <c r="Q557" i="3"/>
  <c r="R557" i="3"/>
  <c r="S557" i="3"/>
  <c r="T557" i="3"/>
  <c r="U557" i="3"/>
  <c r="V557" i="3"/>
  <c r="W557" i="3"/>
  <c r="X557" i="3"/>
  <c r="Y557" i="3"/>
  <c r="Z557" i="3"/>
  <c r="AA557" i="3"/>
  <c r="AB557" i="3"/>
  <c r="AC557" i="3"/>
  <c r="AD557" i="3"/>
  <c r="AE557" i="3"/>
  <c r="AF557" i="3"/>
  <c r="AG557" i="3"/>
  <c r="J558" i="3"/>
  <c r="K558" i="3"/>
  <c r="L558" i="3"/>
  <c r="M558" i="3"/>
  <c r="N558" i="3"/>
  <c r="O558" i="3"/>
  <c r="P558" i="3"/>
  <c r="Q558" i="3"/>
  <c r="R558" i="3"/>
  <c r="S558" i="3"/>
  <c r="T558" i="3"/>
  <c r="U558" i="3"/>
  <c r="V558" i="3"/>
  <c r="W558" i="3"/>
  <c r="X558" i="3"/>
  <c r="Y558" i="3"/>
  <c r="Z558" i="3"/>
  <c r="AA558" i="3"/>
  <c r="AB558" i="3"/>
  <c r="AC558" i="3"/>
  <c r="AD558" i="3"/>
  <c r="AE558" i="3"/>
  <c r="AF558" i="3"/>
  <c r="AG558" i="3"/>
  <c r="J559" i="3"/>
  <c r="K559" i="3"/>
  <c r="L559" i="3"/>
  <c r="M559" i="3"/>
  <c r="N559" i="3"/>
  <c r="O559" i="3"/>
  <c r="P559" i="3"/>
  <c r="Q559" i="3"/>
  <c r="R559" i="3"/>
  <c r="S559" i="3"/>
  <c r="T559" i="3"/>
  <c r="U559" i="3"/>
  <c r="V559" i="3"/>
  <c r="W559" i="3"/>
  <c r="X559" i="3"/>
  <c r="Y559" i="3"/>
  <c r="Z559" i="3"/>
  <c r="AA559" i="3"/>
  <c r="AB559" i="3"/>
  <c r="AC559" i="3"/>
  <c r="AD559" i="3"/>
  <c r="AE559" i="3"/>
  <c r="AF559" i="3"/>
  <c r="AG559" i="3"/>
  <c r="J560" i="3"/>
  <c r="K560" i="3"/>
  <c r="L560" i="3"/>
  <c r="M560" i="3"/>
  <c r="N560" i="3"/>
  <c r="O560" i="3"/>
  <c r="P560" i="3"/>
  <c r="Q560" i="3"/>
  <c r="R560" i="3"/>
  <c r="S560" i="3"/>
  <c r="T560" i="3"/>
  <c r="U560" i="3"/>
  <c r="V560" i="3"/>
  <c r="W560" i="3"/>
  <c r="X560" i="3"/>
  <c r="Y560" i="3"/>
  <c r="Z560" i="3"/>
  <c r="AA560" i="3"/>
  <c r="AB560" i="3"/>
  <c r="AC560" i="3"/>
  <c r="AD560" i="3"/>
  <c r="AE560" i="3"/>
  <c r="AF560" i="3"/>
  <c r="AG560" i="3"/>
  <c r="J561" i="3"/>
  <c r="K561" i="3"/>
  <c r="L561" i="3"/>
  <c r="M561" i="3"/>
  <c r="N561" i="3"/>
  <c r="O561" i="3"/>
  <c r="P561" i="3"/>
  <c r="Q561" i="3"/>
  <c r="R561" i="3"/>
  <c r="S561" i="3"/>
  <c r="T561" i="3"/>
  <c r="U561" i="3"/>
  <c r="V561" i="3"/>
  <c r="W561" i="3"/>
  <c r="X561" i="3"/>
  <c r="Y561" i="3"/>
  <c r="Z561" i="3"/>
  <c r="AA561" i="3"/>
  <c r="AB561" i="3"/>
  <c r="AC561" i="3"/>
  <c r="AD561" i="3"/>
  <c r="AE561" i="3"/>
  <c r="AF561" i="3"/>
  <c r="AG561" i="3"/>
  <c r="J562" i="3"/>
  <c r="K562" i="3"/>
  <c r="L562" i="3"/>
  <c r="M562" i="3"/>
  <c r="N562" i="3"/>
  <c r="O562" i="3"/>
  <c r="P562" i="3"/>
  <c r="Q562" i="3"/>
  <c r="R562" i="3"/>
  <c r="S562" i="3"/>
  <c r="T562" i="3"/>
  <c r="U562" i="3"/>
  <c r="V562" i="3"/>
  <c r="W562" i="3"/>
  <c r="X562" i="3"/>
  <c r="Y562" i="3"/>
  <c r="Z562" i="3"/>
  <c r="AA562" i="3"/>
  <c r="AB562" i="3"/>
  <c r="AC562" i="3"/>
  <c r="AD562" i="3"/>
  <c r="AE562" i="3"/>
  <c r="AF562" i="3"/>
  <c r="AG562" i="3"/>
  <c r="J563" i="3"/>
  <c r="K563" i="3"/>
  <c r="L563" i="3"/>
  <c r="M563" i="3"/>
  <c r="N563" i="3"/>
  <c r="O563" i="3"/>
  <c r="P563" i="3"/>
  <c r="Q563" i="3"/>
  <c r="R563" i="3"/>
  <c r="S563" i="3"/>
  <c r="T563" i="3"/>
  <c r="U563" i="3"/>
  <c r="V563" i="3"/>
  <c r="W563" i="3"/>
  <c r="X563" i="3"/>
  <c r="Y563" i="3"/>
  <c r="Z563" i="3"/>
  <c r="AA563" i="3"/>
  <c r="AB563" i="3"/>
  <c r="AC563" i="3"/>
  <c r="AD563" i="3"/>
  <c r="AE563" i="3"/>
  <c r="AF563" i="3"/>
  <c r="AG563" i="3"/>
  <c r="J564" i="3"/>
  <c r="K564" i="3"/>
  <c r="L564" i="3"/>
  <c r="M564" i="3"/>
  <c r="N564" i="3"/>
  <c r="O564" i="3"/>
  <c r="P564" i="3"/>
  <c r="Q564" i="3"/>
  <c r="R564" i="3"/>
  <c r="S564" i="3"/>
  <c r="T564" i="3"/>
  <c r="U564" i="3"/>
  <c r="V564" i="3"/>
  <c r="W564" i="3"/>
  <c r="X564" i="3"/>
  <c r="Y564" i="3"/>
  <c r="Z564" i="3"/>
  <c r="AA564" i="3"/>
  <c r="AB564" i="3"/>
  <c r="AC564" i="3"/>
  <c r="AD564" i="3"/>
  <c r="AE564" i="3"/>
  <c r="AF564" i="3"/>
  <c r="AG564" i="3"/>
  <c r="J565" i="3"/>
  <c r="K565" i="3"/>
  <c r="L565" i="3"/>
  <c r="M565" i="3"/>
  <c r="N565" i="3"/>
  <c r="O565" i="3"/>
  <c r="P565" i="3"/>
  <c r="Q565" i="3"/>
  <c r="R565" i="3"/>
  <c r="S565" i="3"/>
  <c r="T565" i="3"/>
  <c r="U565" i="3"/>
  <c r="V565" i="3"/>
  <c r="W565" i="3"/>
  <c r="X565" i="3"/>
  <c r="Y565" i="3"/>
  <c r="Z565" i="3"/>
  <c r="AA565" i="3"/>
  <c r="AB565" i="3"/>
  <c r="AC565" i="3"/>
  <c r="AD565" i="3"/>
  <c r="AE565" i="3"/>
  <c r="AF565" i="3"/>
  <c r="AG565" i="3"/>
  <c r="J566" i="3"/>
  <c r="K566" i="3"/>
  <c r="L566" i="3"/>
  <c r="M566" i="3"/>
  <c r="N566" i="3"/>
  <c r="O566" i="3"/>
  <c r="P566" i="3"/>
  <c r="Q566" i="3"/>
  <c r="R566" i="3"/>
  <c r="S566" i="3"/>
  <c r="T566" i="3"/>
  <c r="U566" i="3"/>
  <c r="V566" i="3"/>
  <c r="W566" i="3"/>
  <c r="X566" i="3"/>
  <c r="Y566" i="3"/>
  <c r="Z566" i="3"/>
  <c r="AA566" i="3"/>
  <c r="AB566" i="3"/>
  <c r="AC566" i="3"/>
  <c r="AD566" i="3"/>
  <c r="AE566" i="3"/>
  <c r="AF566" i="3"/>
  <c r="AG566" i="3"/>
  <c r="J567" i="3"/>
  <c r="K567" i="3"/>
  <c r="L567" i="3"/>
  <c r="M567" i="3"/>
  <c r="N567" i="3"/>
  <c r="O567" i="3"/>
  <c r="P567" i="3"/>
  <c r="Q567" i="3"/>
  <c r="R567" i="3"/>
  <c r="S567" i="3"/>
  <c r="T567" i="3"/>
  <c r="U567" i="3"/>
  <c r="V567" i="3"/>
  <c r="W567" i="3"/>
  <c r="X567" i="3"/>
  <c r="Y567" i="3"/>
  <c r="Z567" i="3"/>
  <c r="AA567" i="3"/>
  <c r="AB567" i="3"/>
  <c r="AC567" i="3"/>
  <c r="AD567" i="3"/>
  <c r="AE567" i="3"/>
  <c r="AF567" i="3"/>
  <c r="AG567" i="3"/>
  <c r="J568" i="3"/>
  <c r="K568" i="3"/>
  <c r="L568" i="3"/>
  <c r="M568" i="3"/>
  <c r="N568" i="3"/>
  <c r="O568" i="3"/>
  <c r="P568" i="3"/>
  <c r="Q568" i="3"/>
  <c r="R568" i="3"/>
  <c r="S568" i="3"/>
  <c r="T568" i="3"/>
  <c r="U568" i="3"/>
  <c r="V568" i="3"/>
  <c r="W568" i="3"/>
  <c r="X568" i="3"/>
  <c r="Y568" i="3"/>
  <c r="Z568" i="3"/>
  <c r="AA568" i="3"/>
  <c r="AB568" i="3"/>
  <c r="AC568" i="3"/>
  <c r="AD568" i="3"/>
  <c r="AE568" i="3"/>
  <c r="AF568" i="3"/>
  <c r="AG568" i="3"/>
  <c r="J569" i="3"/>
  <c r="K569" i="3"/>
  <c r="L569" i="3"/>
  <c r="M569" i="3"/>
  <c r="N569" i="3"/>
  <c r="O569" i="3"/>
  <c r="P569" i="3"/>
  <c r="Q569" i="3"/>
  <c r="R569" i="3"/>
  <c r="S569" i="3"/>
  <c r="T569" i="3"/>
  <c r="U569" i="3"/>
  <c r="V569" i="3"/>
  <c r="W569" i="3"/>
  <c r="X569" i="3"/>
  <c r="Y569" i="3"/>
  <c r="Z569" i="3"/>
  <c r="AA569" i="3"/>
  <c r="AB569" i="3"/>
  <c r="AC569" i="3"/>
  <c r="AD569" i="3"/>
  <c r="AE569" i="3"/>
  <c r="AF569" i="3"/>
  <c r="AG569" i="3"/>
  <c r="J570" i="3"/>
  <c r="K570" i="3"/>
  <c r="L570" i="3"/>
  <c r="M570" i="3"/>
  <c r="N570" i="3"/>
  <c r="O570" i="3"/>
  <c r="P570" i="3"/>
  <c r="Q570" i="3"/>
  <c r="R570" i="3"/>
  <c r="S570" i="3"/>
  <c r="T570" i="3"/>
  <c r="U570" i="3"/>
  <c r="V570" i="3"/>
  <c r="W570" i="3"/>
  <c r="X570" i="3"/>
  <c r="Y570" i="3"/>
  <c r="Z570" i="3"/>
  <c r="AA570" i="3"/>
  <c r="AB570" i="3"/>
  <c r="AC570" i="3"/>
  <c r="AD570" i="3"/>
  <c r="AE570" i="3"/>
  <c r="AF570" i="3"/>
  <c r="AG570" i="3"/>
  <c r="J571" i="3"/>
  <c r="K571" i="3"/>
  <c r="L571" i="3"/>
  <c r="M571" i="3"/>
  <c r="N571" i="3"/>
  <c r="O571" i="3"/>
  <c r="P571" i="3"/>
  <c r="Q571" i="3"/>
  <c r="R571" i="3"/>
  <c r="S571" i="3"/>
  <c r="T571" i="3"/>
  <c r="U571" i="3"/>
  <c r="V571" i="3"/>
  <c r="W571" i="3"/>
  <c r="X571" i="3"/>
  <c r="Y571" i="3"/>
  <c r="Z571" i="3"/>
  <c r="AA571" i="3"/>
  <c r="AB571" i="3"/>
  <c r="AC571" i="3"/>
  <c r="AD571" i="3"/>
  <c r="AE571" i="3"/>
  <c r="AF571" i="3"/>
  <c r="AG571" i="3"/>
  <c r="J572" i="3"/>
  <c r="K572" i="3"/>
  <c r="L572" i="3"/>
  <c r="M572" i="3"/>
  <c r="N572" i="3"/>
  <c r="O572" i="3"/>
  <c r="P572" i="3"/>
  <c r="Q572" i="3"/>
  <c r="R572" i="3"/>
  <c r="S572" i="3"/>
  <c r="T572" i="3"/>
  <c r="U572" i="3"/>
  <c r="V572" i="3"/>
  <c r="W572" i="3"/>
  <c r="X572" i="3"/>
  <c r="Y572" i="3"/>
  <c r="Z572" i="3"/>
  <c r="AA572" i="3"/>
  <c r="AB572" i="3"/>
  <c r="AC572" i="3"/>
  <c r="AD572" i="3"/>
  <c r="AE572" i="3"/>
  <c r="AF572" i="3"/>
  <c r="AG572" i="3"/>
  <c r="J573" i="3"/>
  <c r="K573" i="3"/>
  <c r="L573" i="3"/>
  <c r="M573" i="3"/>
  <c r="N573" i="3"/>
  <c r="O573" i="3"/>
  <c r="P573" i="3"/>
  <c r="Q573" i="3"/>
  <c r="R573" i="3"/>
  <c r="S573" i="3"/>
  <c r="T573" i="3"/>
  <c r="U573" i="3"/>
  <c r="V573" i="3"/>
  <c r="W573" i="3"/>
  <c r="X573" i="3"/>
  <c r="Y573" i="3"/>
  <c r="Z573" i="3"/>
  <c r="AA573" i="3"/>
  <c r="AB573" i="3"/>
  <c r="AC573" i="3"/>
  <c r="AD573" i="3"/>
  <c r="AE573" i="3"/>
  <c r="AF573" i="3"/>
  <c r="AG573" i="3"/>
  <c r="J574" i="3"/>
  <c r="K574" i="3"/>
  <c r="L574" i="3"/>
  <c r="M574" i="3"/>
  <c r="N574" i="3"/>
  <c r="O574" i="3"/>
  <c r="P574" i="3"/>
  <c r="Q574" i="3"/>
  <c r="R574" i="3"/>
  <c r="S574" i="3"/>
  <c r="T574" i="3"/>
  <c r="U574" i="3"/>
  <c r="V574" i="3"/>
  <c r="W574" i="3"/>
  <c r="X574" i="3"/>
  <c r="Y574" i="3"/>
  <c r="Z574" i="3"/>
  <c r="AA574" i="3"/>
  <c r="AB574" i="3"/>
  <c r="AC574" i="3"/>
  <c r="AD574" i="3"/>
  <c r="AE574" i="3"/>
  <c r="AF574" i="3"/>
  <c r="AG574" i="3"/>
  <c r="J575" i="3"/>
  <c r="K575" i="3"/>
  <c r="L575" i="3"/>
  <c r="M575" i="3"/>
  <c r="N575" i="3"/>
  <c r="O575" i="3"/>
  <c r="P575" i="3"/>
  <c r="Q575" i="3"/>
  <c r="R575" i="3"/>
  <c r="S575" i="3"/>
  <c r="T575" i="3"/>
  <c r="U575" i="3"/>
  <c r="V575" i="3"/>
  <c r="W575" i="3"/>
  <c r="X575" i="3"/>
  <c r="Y575" i="3"/>
  <c r="Z575" i="3"/>
  <c r="AA575" i="3"/>
  <c r="AB575" i="3"/>
  <c r="AC575" i="3"/>
  <c r="AD575" i="3"/>
  <c r="AE575" i="3"/>
  <c r="AF575" i="3"/>
  <c r="AG575" i="3"/>
  <c r="J576" i="3"/>
  <c r="K576" i="3"/>
  <c r="L576" i="3"/>
  <c r="M576" i="3"/>
  <c r="N576" i="3"/>
  <c r="O576" i="3"/>
  <c r="P576" i="3"/>
  <c r="Q576" i="3"/>
  <c r="R576" i="3"/>
  <c r="S576" i="3"/>
  <c r="T576" i="3"/>
  <c r="U576" i="3"/>
  <c r="V576" i="3"/>
  <c r="W576" i="3"/>
  <c r="X576" i="3"/>
  <c r="Y576" i="3"/>
  <c r="Z576" i="3"/>
  <c r="AA576" i="3"/>
  <c r="AB576" i="3"/>
  <c r="AC576" i="3"/>
  <c r="AD576" i="3"/>
  <c r="AE576" i="3"/>
  <c r="AF576" i="3"/>
  <c r="AG576" i="3"/>
  <c r="J577" i="3"/>
  <c r="K577" i="3"/>
  <c r="L577" i="3"/>
  <c r="M577" i="3"/>
  <c r="N577" i="3"/>
  <c r="O577" i="3"/>
  <c r="P577" i="3"/>
  <c r="Q577" i="3"/>
  <c r="R577" i="3"/>
  <c r="S577" i="3"/>
  <c r="T577" i="3"/>
  <c r="U577" i="3"/>
  <c r="V577" i="3"/>
  <c r="W577" i="3"/>
  <c r="X577" i="3"/>
  <c r="Y577" i="3"/>
  <c r="Z577" i="3"/>
  <c r="AA577" i="3"/>
  <c r="AB577" i="3"/>
  <c r="AC577" i="3"/>
  <c r="AD577" i="3"/>
  <c r="AE577" i="3"/>
  <c r="AF577" i="3"/>
  <c r="AG577" i="3"/>
  <c r="J578" i="3"/>
  <c r="K578" i="3"/>
  <c r="L578" i="3"/>
  <c r="M578" i="3"/>
  <c r="N578" i="3"/>
  <c r="O578" i="3"/>
  <c r="P578" i="3"/>
  <c r="Q578" i="3"/>
  <c r="R578" i="3"/>
  <c r="S578" i="3"/>
  <c r="T578" i="3"/>
  <c r="U578" i="3"/>
  <c r="V578" i="3"/>
  <c r="W578" i="3"/>
  <c r="X578" i="3"/>
  <c r="Y578" i="3"/>
  <c r="Z578" i="3"/>
  <c r="AA578" i="3"/>
  <c r="AB578" i="3"/>
  <c r="AC578" i="3"/>
  <c r="AD578" i="3"/>
  <c r="AE578" i="3"/>
  <c r="AF578" i="3"/>
  <c r="AG578" i="3"/>
  <c r="J579" i="3"/>
  <c r="K579" i="3"/>
  <c r="L579" i="3"/>
  <c r="M579" i="3"/>
  <c r="N579" i="3"/>
  <c r="O579" i="3"/>
  <c r="P579" i="3"/>
  <c r="Q579" i="3"/>
  <c r="R579" i="3"/>
  <c r="S579" i="3"/>
  <c r="T579" i="3"/>
  <c r="U579" i="3"/>
  <c r="V579" i="3"/>
  <c r="W579" i="3"/>
  <c r="X579" i="3"/>
  <c r="Y579" i="3"/>
  <c r="Z579" i="3"/>
  <c r="AA579" i="3"/>
  <c r="AB579" i="3"/>
  <c r="AC579" i="3"/>
  <c r="AD579" i="3"/>
  <c r="AE579" i="3"/>
  <c r="AF579" i="3"/>
  <c r="AG579" i="3"/>
  <c r="J580" i="3"/>
  <c r="K580" i="3"/>
  <c r="L580" i="3"/>
  <c r="M580" i="3"/>
  <c r="N580" i="3"/>
  <c r="O580" i="3"/>
  <c r="P580" i="3"/>
  <c r="Q580" i="3"/>
  <c r="R580" i="3"/>
  <c r="S580" i="3"/>
  <c r="T580" i="3"/>
  <c r="U580" i="3"/>
  <c r="V580" i="3"/>
  <c r="W580" i="3"/>
  <c r="X580" i="3"/>
  <c r="Y580" i="3"/>
  <c r="Z580" i="3"/>
  <c r="AA580" i="3"/>
  <c r="AB580" i="3"/>
  <c r="AC580" i="3"/>
  <c r="AD580" i="3"/>
  <c r="AE580" i="3"/>
  <c r="AF580" i="3"/>
  <c r="AG580" i="3"/>
  <c r="J581" i="3"/>
  <c r="K581" i="3"/>
  <c r="L581" i="3"/>
  <c r="M581" i="3"/>
  <c r="N581" i="3"/>
  <c r="O581" i="3"/>
  <c r="P581" i="3"/>
  <c r="Q581" i="3"/>
  <c r="R581" i="3"/>
  <c r="S581" i="3"/>
  <c r="T581" i="3"/>
  <c r="U581" i="3"/>
  <c r="V581" i="3"/>
  <c r="W581" i="3"/>
  <c r="X581" i="3"/>
  <c r="Y581" i="3"/>
  <c r="Z581" i="3"/>
  <c r="AA581" i="3"/>
  <c r="AB581" i="3"/>
  <c r="AC581" i="3"/>
  <c r="AD581" i="3"/>
  <c r="AE581" i="3"/>
  <c r="AF581" i="3"/>
  <c r="AG581" i="3"/>
  <c r="J582" i="3"/>
  <c r="K582" i="3"/>
  <c r="L582" i="3"/>
  <c r="M582" i="3"/>
  <c r="N582" i="3"/>
  <c r="O582" i="3"/>
  <c r="P582" i="3"/>
  <c r="Q582" i="3"/>
  <c r="R582" i="3"/>
  <c r="S582" i="3"/>
  <c r="T582" i="3"/>
  <c r="U582" i="3"/>
  <c r="V582" i="3"/>
  <c r="W582" i="3"/>
  <c r="X582" i="3"/>
  <c r="Y582" i="3"/>
  <c r="Z582" i="3"/>
  <c r="AA582" i="3"/>
  <c r="AB582" i="3"/>
  <c r="AC582" i="3"/>
  <c r="AD582" i="3"/>
  <c r="AE582" i="3"/>
  <c r="AF582" i="3"/>
  <c r="AG582" i="3"/>
  <c r="J583" i="3"/>
  <c r="K583" i="3"/>
  <c r="L583" i="3"/>
  <c r="M583" i="3"/>
  <c r="N583" i="3"/>
  <c r="O583" i="3"/>
  <c r="P583" i="3"/>
  <c r="Q583" i="3"/>
  <c r="R583" i="3"/>
  <c r="S583" i="3"/>
  <c r="T583" i="3"/>
  <c r="U583" i="3"/>
  <c r="V583" i="3"/>
  <c r="W583" i="3"/>
  <c r="X583" i="3"/>
  <c r="Y583" i="3"/>
  <c r="Z583" i="3"/>
  <c r="AA583" i="3"/>
  <c r="AB583" i="3"/>
  <c r="AC583" i="3"/>
  <c r="AD583" i="3"/>
  <c r="AE583" i="3"/>
  <c r="AF583" i="3"/>
  <c r="AG583" i="3"/>
  <c r="J584" i="3"/>
  <c r="K584" i="3"/>
  <c r="L584" i="3"/>
  <c r="M584" i="3"/>
  <c r="N584" i="3"/>
  <c r="O584" i="3"/>
  <c r="P584" i="3"/>
  <c r="Q584" i="3"/>
  <c r="R584" i="3"/>
  <c r="S584" i="3"/>
  <c r="T584" i="3"/>
  <c r="U584" i="3"/>
  <c r="V584" i="3"/>
  <c r="W584" i="3"/>
  <c r="X584" i="3"/>
  <c r="Y584" i="3"/>
  <c r="Z584" i="3"/>
  <c r="AA584" i="3"/>
  <c r="AB584" i="3"/>
  <c r="AC584" i="3"/>
  <c r="AD584" i="3"/>
  <c r="AE584" i="3"/>
  <c r="AF584" i="3"/>
  <c r="AG584" i="3"/>
  <c r="J585" i="3"/>
  <c r="K585" i="3"/>
  <c r="L585" i="3"/>
  <c r="M585" i="3"/>
  <c r="N585" i="3"/>
  <c r="O585" i="3"/>
  <c r="P585" i="3"/>
  <c r="Q585" i="3"/>
  <c r="R585" i="3"/>
  <c r="S585" i="3"/>
  <c r="T585" i="3"/>
  <c r="U585" i="3"/>
  <c r="V585" i="3"/>
  <c r="W585" i="3"/>
  <c r="X585" i="3"/>
  <c r="Y585" i="3"/>
  <c r="Z585" i="3"/>
  <c r="AA585" i="3"/>
  <c r="AB585" i="3"/>
  <c r="AC585" i="3"/>
  <c r="AD585" i="3"/>
  <c r="AE585" i="3"/>
  <c r="AF585" i="3"/>
  <c r="AG585" i="3"/>
  <c r="J586" i="3"/>
  <c r="K586" i="3"/>
  <c r="L586" i="3"/>
  <c r="M586" i="3"/>
  <c r="N586" i="3"/>
  <c r="O586" i="3"/>
  <c r="P586" i="3"/>
  <c r="Q586" i="3"/>
  <c r="R586" i="3"/>
  <c r="S586" i="3"/>
  <c r="T586" i="3"/>
  <c r="U586" i="3"/>
  <c r="V586" i="3"/>
  <c r="W586" i="3"/>
  <c r="X586" i="3"/>
  <c r="Y586" i="3"/>
  <c r="Z586" i="3"/>
  <c r="AA586" i="3"/>
  <c r="AB586" i="3"/>
  <c r="AC586" i="3"/>
  <c r="AD586" i="3"/>
  <c r="AE586" i="3"/>
  <c r="AF586" i="3"/>
  <c r="AG586" i="3"/>
  <c r="J587" i="3"/>
  <c r="K587" i="3"/>
  <c r="L587" i="3"/>
  <c r="M587" i="3"/>
  <c r="N587" i="3"/>
  <c r="O587" i="3"/>
  <c r="P587" i="3"/>
  <c r="Q587" i="3"/>
  <c r="R587" i="3"/>
  <c r="S587" i="3"/>
  <c r="T587" i="3"/>
  <c r="U587" i="3"/>
  <c r="V587" i="3"/>
  <c r="W587" i="3"/>
  <c r="X587" i="3"/>
  <c r="Y587" i="3"/>
  <c r="Z587" i="3"/>
  <c r="AA587" i="3"/>
  <c r="AB587" i="3"/>
  <c r="AC587" i="3"/>
  <c r="AD587" i="3"/>
  <c r="AE587" i="3"/>
  <c r="AF587" i="3"/>
  <c r="AG587" i="3"/>
  <c r="J588" i="3"/>
  <c r="K588" i="3"/>
  <c r="L588" i="3"/>
  <c r="M588" i="3"/>
  <c r="N588" i="3"/>
  <c r="O588" i="3"/>
  <c r="P588" i="3"/>
  <c r="Q588" i="3"/>
  <c r="R588" i="3"/>
  <c r="S588" i="3"/>
  <c r="T588" i="3"/>
  <c r="U588" i="3"/>
  <c r="V588" i="3"/>
  <c r="W588" i="3"/>
  <c r="X588" i="3"/>
  <c r="Y588" i="3"/>
  <c r="Z588" i="3"/>
  <c r="AA588" i="3"/>
  <c r="AB588" i="3"/>
  <c r="AC588" i="3"/>
  <c r="AD588" i="3"/>
  <c r="AE588" i="3"/>
  <c r="AF588" i="3"/>
  <c r="AG588" i="3"/>
  <c r="J589" i="3"/>
  <c r="K589" i="3"/>
  <c r="L589" i="3"/>
  <c r="M589" i="3"/>
  <c r="N589" i="3"/>
  <c r="O589" i="3"/>
  <c r="P589" i="3"/>
  <c r="Q589" i="3"/>
  <c r="R589" i="3"/>
  <c r="S589" i="3"/>
  <c r="T589" i="3"/>
  <c r="U589" i="3"/>
  <c r="V589" i="3"/>
  <c r="W589" i="3"/>
  <c r="X589" i="3"/>
  <c r="Y589" i="3"/>
  <c r="Z589" i="3"/>
  <c r="AA589" i="3"/>
  <c r="AB589" i="3"/>
  <c r="AC589" i="3"/>
  <c r="AD589" i="3"/>
  <c r="AE589" i="3"/>
  <c r="AF589" i="3"/>
  <c r="AG589" i="3"/>
  <c r="J590" i="3"/>
  <c r="K590" i="3"/>
  <c r="L590" i="3"/>
  <c r="M590" i="3"/>
  <c r="N590" i="3"/>
  <c r="O590" i="3"/>
  <c r="P590" i="3"/>
  <c r="Q590" i="3"/>
  <c r="R590" i="3"/>
  <c r="S590" i="3"/>
  <c r="T590" i="3"/>
  <c r="U590" i="3"/>
  <c r="V590" i="3"/>
  <c r="W590" i="3"/>
  <c r="X590" i="3"/>
  <c r="Y590" i="3"/>
  <c r="Z590" i="3"/>
  <c r="AA590" i="3"/>
  <c r="AB590" i="3"/>
  <c r="AC590" i="3"/>
  <c r="AD590" i="3"/>
  <c r="AE590" i="3"/>
  <c r="AF590" i="3"/>
  <c r="AG590" i="3"/>
  <c r="J591" i="3"/>
  <c r="K591" i="3"/>
  <c r="L591" i="3"/>
  <c r="M591" i="3"/>
  <c r="N591" i="3"/>
  <c r="O591" i="3"/>
  <c r="P591" i="3"/>
  <c r="Q591" i="3"/>
  <c r="R591" i="3"/>
  <c r="S591" i="3"/>
  <c r="T591" i="3"/>
  <c r="U591" i="3"/>
  <c r="V591" i="3"/>
  <c r="W591" i="3"/>
  <c r="X591" i="3"/>
  <c r="Y591" i="3"/>
  <c r="Z591" i="3"/>
  <c r="AA591" i="3"/>
  <c r="AB591" i="3"/>
  <c r="AC591" i="3"/>
  <c r="AD591" i="3"/>
  <c r="AE591" i="3"/>
  <c r="AF591" i="3"/>
  <c r="AG591" i="3"/>
  <c r="J592" i="3"/>
  <c r="K592" i="3"/>
  <c r="L592" i="3"/>
  <c r="M592" i="3"/>
  <c r="N592" i="3"/>
  <c r="O592" i="3"/>
  <c r="P592" i="3"/>
  <c r="Q592" i="3"/>
  <c r="R592" i="3"/>
  <c r="S592" i="3"/>
  <c r="T592" i="3"/>
  <c r="U592" i="3"/>
  <c r="V592" i="3"/>
  <c r="W592" i="3"/>
  <c r="X592" i="3"/>
  <c r="Y592" i="3"/>
  <c r="Z592" i="3"/>
  <c r="AA592" i="3"/>
  <c r="AB592" i="3"/>
  <c r="AC592" i="3"/>
  <c r="AD592" i="3"/>
  <c r="AE592" i="3"/>
  <c r="AF592" i="3"/>
  <c r="AG592" i="3"/>
  <c r="J593" i="3"/>
  <c r="K593" i="3"/>
  <c r="L593" i="3"/>
  <c r="M593" i="3"/>
  <c r="N593" i="3"/>
  <c r="O593" i="3"/>
  <c r="P593" i="3"/>
  <c r="Q593" i="3"/>
  <c r="R593" i="3"/>
  <c r="S593" i="3"/>
  <c r="T593" i="3"/>
  <c r="U593" i="3"/>
  <c r="V593" i="3"/>
  <c r="W593" i="3"/>
  <c r="X593" i="3"/>
  <c r="Y593" i="3"/>
  <c r="Z593" i="3"/>
  <c r="AA593" i="3"/>
  <c r="AB593" i="3"/>
  <c r="AC593" i="3"/>
  <c r="AD593" i="3"/>
  <c r="AE593" i="3"/>
  <c r="AF593" i="3"/>
  <c r="AG593" i="3"/>
  <c r="J594" i="3"/>
  <c r="K594" i="3"/>
  <c r="L594" i="3"/>
  <c r="M594" i="3"/>
  <c r="N594" i="3"/>
  <c r="O594" i="3"/>
  <c r="P594" i="3"/>
  <c r="Q594" i="3"/>
  <c r="R594" i="3"/>
  <c r="S594" i="3"/>
  <c r="T594" i="3"/>
  <c r="U594" i="3"/>
  <c r="V594" i="3"/>
  <c r="W594" i="3"/>
  <c r="X594" i="3"/>
  <c r="Y594" i="3"/>
  <c r="Z594" i="3"/>
  <c r="AA594" i="3"/>
  <c r="AB594" i="3"/>
  <c r="AC594" i="3"/>
  <c r="AD594" i="3"/>
  <c r="AE594" i="3"/>
  <c r="AF594" i="3"/>
  <c r="AG594" i="3"/>
  <c r="J595" i="3"/>
  <c r="K595" i="3"/>
  <c r="L595" i="3"/>
  <c r="M595" i="3"/>
  <c r="N595" i="3"/>
  <c r="O595" i="3"/>
  <c r="P595" i="3"/>
  <c r="Q595" i="3"/>
  <c r="R595" i="3"/>
  <c r="S595" i="3"/>
  <c r="T595" i="3"/>
  <c r="U595" i="3"/>
  <c r="V595" i="3"/>
  <c r="W595" i="3"/>
  <c r="X595" i="3"/>
  <c r="Y595" i="3"/>
  <c r="Z595" i="3"/>
  <c r="AA595" i="3"/>
  <c r="AB595" i="3"/>
  <c r="AC595" i="3"/>
  <c r="AD595" i="3"/>
  <c r="AE595" i="3"/>
  <c r="AF595" i="3"/>
  <c r="AG595" i="3"/>
  <c r="J596" i="3"/>
  <c r="K596" i="3"/>
  <c r="L596" i="3"/>
  <c r="M596" i="3"/>
  <c r="N596" i="3"/>
  <c r="O596" i="3"/>
  <c r="P596" i="3"/>
  <c r="Q596" i="3"/>
  <c r="R596" i="3"/>
  <c r="S596" i="3"/>
  <c r="T596" i="3"/>
  <c r="U596" i="3"/>
  <c r="V596" i="3"/>
  <c r="W596" i="3"/>
  <c r="X596" i="3"/>
  <c r="Y596" i="3"/>
  <c r="Z596" i="3"/>
  <c r="AA596" i="3"/>
  <c r="AB596" i="3"/>
  <c r="AC596" i="3"/>
  <c r="AD596" i="3"/>
  <c r="AE596" i="3"/>
  <c r="AF596" i="3"/>
  <c r="AG596" i="3"/>
  <c r="J597" i="3"/>
  <c r="K597" i="3"/>
  <c r="L597" i="3"/>
  <c r="M597" i="3"/>
  <c r="N597" i="3"/>
  <c r="O597" i="3"/>
  <c r="P597" i="3"/>
  <c r="Q597" i="3"/>
  <c r="R597" i="3"/>
  <c r="S597" i="3"/>
  <c r="T597" i="3"/>
  <c r="U597" i="3"/>
  <c r="V597" i="3"/>
  <c r="W597" i="3"/>
  <c r="X597" i="3"/>
  <c r="Y597" i="3"/>
  <c r="Z597" i="3"/>
  <c r="AA597" i="3"/>
  <c r="AB597" i="3"/>
  <c r="AC597" i="3"/>
  <c r="AD597" i="3"/>
  <c r="AE597" i="3"/>
  <c r="AF597" i="3"/>
  <c r="AG597" i="3"/>
  <c r="J598" i="3"/>
  <c r="K598" i="3"/>
  <c r="L598" i="3"/>
  <c r="M598" i="3"/>
  <c r="N598" i="3"/>
  <c r="O598" i="3"/>
  <c r="P598" i="3"/>
  <c r="Q598" i="3"/>
  <c r="R598" i="3"/>
  <c r="S598" i="3"/>
  <c r="T598" i="3"/>
  <c r="U598" i="3"/>
  <c r="V598" i="3"/>
  <c r="W598" i="3"/>
  <c r="X598" i="3"/>
  <c r="Y598" i="3"/>
  <c r="Z598" i="3"/>
  <c r="AA598" i="3"/>
  <c r="AB598" i="3"/>
  <c r="AC598" i="3"/>
  <c r="AD598" i="3"/>
  <c r="AE598" i="3"/>
  <c r="AF598" i="3"/>
  <c r="AG598" i="3"/>
  <c r="J599" i="3"/>
  <c r="K599" i="3"/>
  <c r="L599" i="3"/>
  <c r="M599" i="3"/>
  <c r="N599" i="3"/>
  <c r="O599" i="3"/>
  <c r="P599" i="3"/>
  <c r="Q599" i="3"/>
  <c r="R599" i="3"/>
  <c r="S599" i="3"/>
  <c r="T599" i="3"/>
  <c r="U599" i="3"/>
  <c r="V599" i="3"/>
  <c r="W599" i="3"/>
  <c r="X599" i="3"/>
  <c r="Y599" i="3"/>
  <c r="Z599" i="3"/>
  <c r="AA599" i="3"/>
  <c r="AB599" i="3"/>
  <c r="AC599" i="3"/>
  <c r="AD599" i="3"/>
  <c r="AE599" i="3"/>
  <c r="AF599" i="3"/>
  <c r="AG599" i="3"/>
  <c r="J600" i="3"/>
  <c r="K600" i="3"/>
  <c r="L600" i="3"/>
  <c r="M600" i="3"/>
  <c r="N600" i="3"/>
  <c r="O600" i="3"/>
  <c r="P600" i="3"/>
  <c r="Q600" i="3"/>
  <c r="R600" i="3"/>
  <c r="S600" i="3"/>
  <c r="T600" i="3"/>
  <c r="U600" i="3"/>
  <c r="V600" i="3"/>
  <c r="W600" i="3"/>
  <c r="X600" i="3"/>
  <c r="Y600" i="3"/>
  <c r="Z600" i="3"/>
  <c r="AA600" i="3"/>
  <c r="AB600" i="3"/>
  <c r="AC600" i="3"/>
  <c r="AD600" i="3"/>
  <c r="AE600" i="3"/>
  <c r="AF600" i="3"/>
  <c r="AG600" i="3"/>
  <c r="J601" i="3"/>
  <c r="K601" i="3"/>
  <c r="L601" i="3"/>
  <c r="M601" i="3"/>
  <c r="N601" i="3"/>
  <c r="O601" i="3"/>
  <c r="P601" i="3"/>
  <c r="Q601" i="3"/>
  <c r="R601" i="3"/>
  <c r="S601" i="3"/>
  <c r="T601" i="3"/>
  <c r="U601" i="3"/>
  <c r="V601" i="3"/>
  <c r="W601" i="3"/>
  <c r="X601" i="3"/>
  <c r="Y601" i="3"/>
  <c r="Z601" i="3"/>
  <c r="AA601" i="3"/>
  <c r="AB601" i="3"/>
  <c r="AC601" i="3"/>
  <c r="AD601" i="3"/>
  <c r="AE601" i="3"/>
  <c r="AF601" i="3"/>
  <c r="AG601" i="3"/>
  <c r="J602" i="3"/>
  <c r="K602" i="3"/>
  <c r="L602" i="3"/>
  <c r="M602" i="3"/>
  <c r="N602" i="3"/>
  <c r="O602" i="3"/>
  <c r="P602" i="3"/>
  <c r="Q602" i="3"/>
  <c r="R602" i="3"/>
  <c r="S602" i="3"/>
  <c r="T602" i="3"/>
  <c r="U602" i="3"/>
  <c r="V602" i="3"/>
  <c r="W602" i="3"/>
  <c r="X602" i="3"/>
  <c r="Y602" i="3"/>
  <c r="Z602" i="3"/>
  <c r="AA602" i="3"/>
  <c r="AB602" i="3"/>
  <c r="AC602" i="3"/>
  <c r="AD602" i="3"/>
  <c r="AE602" i="3"/>
  <c r="AF602" i="3"/>
  <c r="AG602" i="3"/>
  <c r="J603" i="3"/>
  <c r="K603" i="3"/>
  <c r="L603" i="3"/>
  <c r="M603" i="3"/>
  <c r="N603" i="3"/>
  <c r="O603" i="3"/>
  <c r="P603" i="3"/>
  <c r="Q603" i="3"/>
  <c r="R603" i="3"/>
  <c r="S603" i="3"/>
  <c r="T603" i="3"/>
  <c r="U603" i="3"/>
  <c r="V603" i="3"/>
  <c r="W603" i="3"/>
  <c r="X603" i="3"/>
  <c r="Y603" i="3"/>
  <c r="Z603" i="3"/>
  <c r="AA603" i="3"/>
  <c r="AB603" i="3"/>
  <c r="AC603" i="3"/>
  <c r="AD603" i="3"/>
  <c r="AE603" i="3"/>
  <c r="AF603" i="3"/>
  <c r="AG603" i="3"/>
  <c r="J604" i="3"/>
  <c r="K604" i="3"/>
  <c r="L604" i="3"/>
  <c r="M604" i="3"/>
  <c r="N604" i="3"/>
  <c r="O604" i="3"/>
  <c r="P604" i="3"/>
  <c r="Q604" i="3"/>
  <c r="R604" i="3"/>
  <c r="S604" i="3"/>
  <c r="T604" i="3"/>
  <c r="U604" i="3"/>
  <c r="V604" i="3"/>
  <c r="W604" i="3"/>
  <c r="X604" i="3"/>
  <c r="Y604" i="3"/>
  <c r="Z604" i="3"/>
  <c r="AA604" i="3"/>
  <c r="AB604" i="3"/>
  <c r="AC604" i="3"/>
  <c r="AD604" i="3"/>
  <c r="AE604" i="3"/>
  <c r="AF604" i="3"/>
  <c r="AG604" i="3"/>
  <c r="J605" i="3"/>
  <c r="K605" i="3"/>
  <c r="L605" i="3"/>
  <c r="M605" i="3"/>
  <c r="N605" i="3"/>
  <c r="O605" i="3"/>
  <c r="P605" i="3"/>
  <c r="Q605" i="3"/>
  <c r="R605" i="3"/>
  <c r="S605" i="3"/>
  <c r="T605" i="3"/>
  <c r="U605" i="3"/>
  <c r="V605" i="3"/>
  <c r="W605" i="3"/>
  <c r="X605" i="3"/>
  <c r="Y605" i="3"/>
  <c r="Z605" i="3"/>
  <c r="AA605" i="3"/>
  <c r="AB605" i="3"/>
  <c r="AC605" i="3"/>
  <c r="AD605" i="3"/>
  <c r="AE605" i="3"/>
  <c r="AF605" i="3"/>
  <c r="AG605" i="3"/>
  <c r="J606" i="3"/>
  <c r="K606" i="3"/>
  <c r="L606" i="3"/>
  <c r="M606" i="3"/>
  <c r="N606" i="3"/>
  <c r="O606" i="3"/>
  <c r="P606" i="3"/>
  <c r="Q606" i="3"/>
  <c r="R606" i="3"/>
  <c r="S606" i="3"/>
  <c r="T606" i="3"/>
  <c r="U606" i="3"/>
  <c r="V606" i="3"/>
  <c r="W606" i="3"/>
  <c r="X606" i="3"/>
  <c r="Y606" i="3"/>
  <c r="Z606" i="3"/>
  <c r="AA606" i="3"/>
  <c r="AB606" i="3"/>
  <c r="AC606" i="3"/>
  <c r="AD606" i="3"/>
  <c r="AE606" i="3"/>
  <c r="AF606" i="3"/>
  <c r="AG606" i="3"/>
  <c r="J607" i="3"/>
  <c r="K607" i="3"/>
  <c r="L607" i="3"/>
  <c r="M607" i="3"/>
  <c r="N607" i="3"/>
  <c r="O607" i="3"/>
  <c r="P607" i="3"/>
  <c r="Q607" i="3"/>
  <c r="R607" i="3"/>
  <c r="S607" i="3"/>
  <c r="T607" i="3"/>
  <c r="U607" i="3"/>
  <c r="V607" i="3"/>
  <c r="W607" i="3"/>
  <c r="X607" i="3"/>
  <c r="Y607" i="3"/>
  <c r="Z607" i="3"/>
  <c r="AA607" i="3"/>
  <c r="AB607" i="3"/>
  <c r="AC607" i="3"/>
  <c r="AD607" i="3"/>
  <c r="AE607" i="3"/>
  <c r="AF607" i="3"/>
  <c r="AG607" i="3"/>
  <c r="J608" i="3"/>
  <c r="K608" i="3"/>
  <c r="L608" i="3"/>
  <c r="M608" i="3"/>
  <c r="N608" i="3"/>
  <c r="O608" i="3"/>
  <c r="P608" i="3"/>
  <c r="Q608" i="3"/>
  <c r="R608" i="3"/>
  <c r="S608" i="3"/>
  <c r="T608" i="3"/>
  <c r="U608" i="3"/>
  <c r="V608" i="3"/>
  <c r="W608" i="3"/>
  <c r="X608" i="3"/>
  <c r="Y608" i="3"/>
  <c r="Z608" i="3"/>
  <c r="AA608" i="3"/>
  <c r="AB608" i="3"/>
  <c r="AC608" i="3"/>
  <c r="AD608" i="3"/>
  <c r="AE608" i="3"/>
  <c r="AF608" i="3"/>
  <c r="AG608" i="3"/>
  <c r="J609" i="3"/>
  <c r="K609" i="3"/>
  <c r="L609" i="3"/>
  <c r="M609" i="3"/>
  <c r="N609" i="3"/>
  <c r="O609" i="3"/>
  <c r="P609" i="3"/>
  <c r="Q609" i="3"/>
  <c r="R609" i="3"/>
  <c r="S609" i="3"/>
  <c r="T609" i="3"/>
  <c r="U609" i="3"/>
  <c r="V609" i="3"/>
  <c r="W609" i="3"/>
  <c r="X609" i="3"/>
  <c r="Y609" i="3"/>
  <c r="Z609" i="3"/>
  <c r="AA609" i="3"/>
  <c r="AB609" i="3"/>
  <c r="AC609" i="3"/>
  <c r="AD609" i="3"/>
  <c r="AE609" i="3"/>
  <c r="AF609" i="3"/>
  <c r="AG609" i="3"/>
  <c r="J610" i="3"/>
  <c r="K610" i="3"/>
  <c r="L610" i="3"/>
  <c r="M610" i="3"/>
  <c r="N610" i="3"/>
  <c r="O610" i="3"/>
  <c r="P610" i="3"/>
  <c r="Q610" i="3"/>
  <c r="R610" i="3"/>
  <c r="S610" i="3"/>
  <c r="T610" i="3"/>
  <c r="U610" i="3"/>
  <c r="V610" i="3"/>
  <c r="W610" i="3"/>
  <c r="X610" i="3"/>
  <c r="Y610" i="3"/>
  <c r="Z610" i="3"/>
  <c r="AA610" i="3"/>
  <c r="AB610" i="3"/>
  <c r="AC610" i="3"/>
  <c r="AD610" i="3"/>
  <c r="AE610" i="3"/>
  <c r="AF610" i="3"/>
  <c r="AG610" i="3"/>
  <c r="J611" i="3"/>
  <c r="K611" i="3"/>
  <c r="L611" i="3"/>
  <c r="M611" i="3"/>
  <c r="N611" i="3"/>
  <c r="O611" i="3"/>
  <c r="P611" i="3"/>
  <c r="Q611" i="3"/>
  <c r="R611" i="3"/>
  <c r="S611" i="3"/>
  <c r="T611" i="3"/>
  <c r="U611" i="3"/>
  <c r="V611" i="3"/>
  <c r="W611" i="3"/>
  <c r="X611" i="3"/>
  <c r="Y611" i="3"/>
  <c r="Z611" i="3"/>
  <c r="AA611" i="3"/>
  <c r="AB611" i="3"/>
  <c r="AC611" i="3"/>
  <c r="AD611" i="3"/>
  <c r="AE611" i="3"/>
  <c r="AF611" i="3"/>
  <c r="AG611" i="3"/>
  <c r="J348" i="3"/>
  <c r="K348" i="3"/>
  <c r="L348" i="3"/>
  <c r="M348" i="3"/>
  <c r="N348" i="3"/>
  <c r="O348" i="3"/>
  <c r="P348" i="3"/>
  <c r="Q348" i="3"/>
  <c r="R348" i="3"/>
  <c r="S348" i="3"/>
  <c r="T348" i="3"/>
  <c r="U348" i="3"/>
  <c r="V348" i="3"/>
  <c r="W348" i="3"/>
  <c r="X348" i="3"/>
  <c r="Y348" i="3"/>
  <c r="Z348" i="3"/>
  <c r="AA348" i="3"/>
  <c r="AB348" i="3"/>
  <c r="AC348" i="3"/>
  <c r="AD348" i="3"/>
  <c r="AE348" i="3"/>
  <c r="AF348" i="3"/>
  <c r="AG348" i="3"/>
  <c r="J349" i="3"/>
  <c r="K349" i="3"/>
  <c r="L349" i="3"/>
  <c r="M349" i="3"/>
  <c r="N349" i="3"/>
  <c r="O349" i="3"/>
  <c r="P349" i="3"/>
  <c r="Q349" i="3"/>
  <c r="R349" i="3"/>
  <c r="S349" i="3"/>
  <c r="T349" i="3"/>
  <c r="U349" i="3"/>
  <c r="V349" i="3"/>
  <c r="W349" i="3"/>
  <c r="X349" i="3"/>
  <c r="Y349" i="3"/>
  <c r="Z349" i="3"/>
  <c r="AA349" i="3"/>
  <c r="AB349" i="3"/>
  <c r="AC349" i="3"/>
  <c r="AD349" i="3"/>
  <c r="AE349" i="3"/>
  <c r="AF349" i="3"/>
  <c r="AG349" i="3"/>
  <c r="J350" i="3"/>
  <c r="K350" i="3"/>
  <c r="L350" i="3"/>
  <c r="M350" i="3"/>
  <c r="N350" i="3"/>
  <c r="O350" i="3"/>
  <c r="P350" i="3"/>
  <c r="Q350" i="3"/>
  <c r="R350" i="3"/>
  <c r="S350" i="3"/>
  <c r="T350" i="3"/>
  <c r="U350" i="3"/>
  <c r="V350" i="3"/>
  <c r="W350" i="3"/>
  <c r="X350" i="3"/>
  <c r="Y350" i="3"/>
  <c r="Z350" i="3"/>
  <c r="AA350" i="3"/>
  <c r="AB350" i="3"/>
  <c r="AC350" i="3"/>
  <c r="AD350" i="3"/>
  <c r="AE350" i="3"/>
  <c r="AF350" i="3"/>
  <c r="AG350" i="3"/>
  <c r="J351" i="3"/>
  <c r="K351" i="3"/>
  <c r="L351" i="3"/>
  <c r="M351" i="3"/>
  <c r="N351" i="3"/>
  <c r="O351" i="3"/>
  <c r="P351" i="3"/>
  <c r="Q351" i="3"/>
  <c r="R351" i="3"/>
  <c r="S351" i="3"/>
  <c r="T351" i="3"/>
  <c r="U351" i="3"/>
  <c r="V351" i="3"/>
  <c r="W351" i="3"/>
  <c r="X351" i="3"/>
  <c r="Y351" i="3"/>
  <c r="Z351" i="3"/>
  <c r="AA351" i="3"/>
  <c r="AB351" i="3"/>
  <c r="AC351" i="3"/>
  <c r="AD351" i="3"/>
  <c r="AE351" i="3"/>
  <c r="AF351" i="3"/>
  <c r="AG351" i="3"/>
  <c r="J352" i="3"/>
  <c r="K352" i="3"/>
  <c r="L352" i="3"/>
  <c r="M352" i="3"/>
  <c r="N352" i="3"/>
  <c r="O352" i="3"/>
  <c r="P352" i="3"/>
  <c r="Q352" i="3"/>
  <c r="R352" i="3"/>
  <c r="S352" i="3"/>
  <c r="T352" i="3"/>
  <c r="U352" i="3"/>
  <c r="V352" i="3"/>
  <c r="W352" i="3"/>
  <c r="X352" i="3"/>
  <c r="Y352" i="3"/>
  <c r="Z352" i="3"/>
  <c r="AA352" i="3"/>
  <c r="AB352" i="3"/>
  <c r="AC352" i="3"/>
  <c r="AD352" i="3"/>
  <c r="AE352" i="3"/>
  <c r="AF352" i="3"/>
  <c r="AG352" i="3"/>
  <c r="J353" i="3"/>
  <c r="K353" i="3"/>
  <c r="L353" i="3"/>
  <c r="M353" i="3"/>
  <c r="N353" i="3"/>
  <c r="O353" i="3"/>
  <c r="P353" i="3"/>
  <c r="Q353" i="3"/>
  <c r="R353" i="3"/>
  <c r="S353" i="3"/>
  <c r="T353" i="3"/>
  <c r="U353" i="3"/>
  <c r="V353" i="3"/>
  <c r="W353" i="3"/>
  <c r="X353" i="3"/>
  <c r="Y353" i="3"/>
  <c r="Z353" i="3"/>
  <c r="AA353" i="3"/>
  <c r="AB353" i="3"/>
  <c r="AC353" i="3"/>
  <c r="AD353" i="3"/>
  <c r="AE353" i="3"/>
  <c r="AF353" i="3"/>
  <c r="AG353" i="3"/>
  <c r="J3" i="3"/>
  <c r="K3" i="3"/>
  <c r="L3" i="3"/>
  <c r="M3" i="3"/>
  <c r="N3" i="3"/>
  <c r="O3" i="3"/>
  <c r="P3" i="3"/>
  <c r="Q3" i="3"/>
  <c r="R3" i="3"/>
  <c r="S3" i="3"/>
  <c r="T3" i="3"/>
  <c r="U3" i="3"/>
  <c r="V3" i="3"/>
  <c r="W3" i="3"/>
  <c r="X3" i="3"/>
  <c r="Y3" i="3"/>
  <c r="Z3" i="3"/>
  <c r="AA3" i="3"/>
  <c r="AB3" i="3"/>
  <c r="AC3" i="3"/>
  <c r="AD3" i="3"/>
  <c r="AE3" i="3"/>
  <c r="AF3" i="3"/>
  <c r="AG3" i="3"/>
  <c r="J4" i="3"/>
  <c r="K4" i="3"/>
  <c r="L4" i="3"/>
  <c r="M4" i="3"/>
  <c r="N4" i="3"/>
  <c r="O4" i="3"/>
  <c r="P4" i="3"/>
  <c r="Q4" i="3"/>
  <c r="R4" i="3"/>
  <c r="S4" i="3"/>
  <c r="T4" i="3"/>
  <c r="U4" i="3"/>
  <c r="V4" i="3"/>
  <c r="W4" i="3"/>
  <c r="X4" i="3"/>
  <c r="Y4" i="3"/>
  <c r="Z4" i="3"/>
  <c r="AA4" i="3"/>
  <c r="AB4" i="3"/>
  <c r="AC4" i="3"/>
  <c r="AD4" i="3"/>
  <c r="AE4" i="3"/>
  <c r="AF4" i="3"/>
  <c r="AG4" i="3"/>
  <c r="J5" i="3"/>
  <c r="K5" i="3"/>
  <c r="L5" i="3"/>
  <c r="M5" i="3"/>
  <c r="N5" i="3"/>
  <c r="O5" i="3"/>
  <c r="P5" i="3"/>
  <c r="Q5" i="3"/>
  <c r="R5" i="3"/>
  <c r="S5" i="3"/>
  <c r="T5" i="3"/>
  <c r="U5" i="3"/>
  <c r="V5" i="3"/>
  <c r="W5" i="3"/>
  <c r="X5" i="3"/>
  <c r="Y5" i="3"/>
  <c r="Z5" i="3"/>
  <c r="AA5" i="3"/>
  <c r="AB5" i="3"/>
  <c r="AC5" i="3"/>
  <c r="AD5" i="3"/>
  <c r="AE5" i="3"/>
  <c r="AF5" i="3"/>
  <c r="AG5" i="3"/>
  <c r="J6" i="3"/>
  <c r="K6" i="3"/>
  <c r="L6" i="3"/>
  <c r="M6" i="3"/>
  <c r="N6" i="3"/>
  <c r="O6" i="3"/>
  <c r="P6" i="3"/>
  <c r="Q6" i="3"/>
  <c r="R6" i="3"/>
  <c r="S6" i="3"/>
  <c r="T6" i="3"/>
  <c r="U6" i="3"/>
  <c r="V6" i="3"/>
  <c r="W6" i="3"/>
  <c r="X6" i="3"/>
  <c r="Y6" i="3"/>
  <c r="Z6" i="3"/>
  <c r="AA6" i="3"/>
  <c r="AB6" i="3"/>
  <c r="AC6" i="3"/>
  <c r="AD6" i="3"/>
  <c r="AE6" i="3"/>
  <c r="AF6" i="3"/>
  <c r="AG6" i="3"/>
  <c r="J7" i="3"/>
  <c r="K7" i="3"/>
  <c r="L7" i="3"/>
  <c r="M7" i="3"/>
  <c r="N7" i="3"/>
  <c r="O7" i="3"/>
  <c r="P7" i="3"/>
  <c r="Q7" i="3"/>
  <c r="R7" i="3"/>
  <c r="S7" i="3"/>
  <c r="T7" i="3"/>
  <c r="U7" i="3"/>
  <c r="V7" i="3"/>
  <c r="W7" i="3"/>
  <c r="X7" i="3"/>
  <c r="Y7" i="3"/>
  <c r="Z7" i="3"/>
  <c r="AA7" i="3"/>
  <c r="AB7" i="3"/>
  <c r="AC7" i="3"/>
  <c r="AD7" i="3"/>
  <c r="AE7" i="3"/>
  <c r="AF7" i="3"/>
  <c r="AG7" i="3"/>
  <c r="J8" i="3"/>
  <c r="K8" i="3"/>
  <c r="L8" i="3"/>
  <c r="M8" i="3"/>
  <c r="N8" i="3"/>
  <c r="O8" i="3"/>
  <c r="P8" i="3"/>
  <c r="Q8" i="3"/>
  <c r="R8" i="3"/>
  <c r="S8" i="3"/>
  <c r="T8" i="3"/>
  <c r="U8" i="3"/>
  <c r="V8" i="3"/>
  <c r="W8" i="3"/>
  <c r="X8" i="3"/>
  <c r="Y8" i="3"/>
  <c r="Z8" i="3"/>
  <c r="AA8" i="3"/>
  <c r="AB8" i="3"/>
  <c r="AC8" i="3"/>
  <c r="AD8" i="3"/>
  <c r="AE8" i="3"/>
  <c r="AF8" i="3"/>
  <c r="AG8" i="3"/>
  <c r="J9" i="3"/>
  <c r="K9" i="3"/>
  <c r="L9" i="3"/>
  <c r="M9" i="3"/>
  <c r="N9" i="3"/>
  <c r="O9" i="3"/>
  <c r="P9" i="3"/>
  <c r="Q9" i="3"/>
  <c r="R9" i="3"/>
  <c r="S9" i="3"/>
  <c r="T9" i="3"/>
  <c r="U9" i="3"/>
  <c r="V9" i="3"/>
  <c r="W9" i="3"/>
  <c r="X9" i="3"/>
  <c r="Y9" i="3"/>
  <c r="Z9" i="3"/>
  <c r="AA9" i="3"/>
  <c r="AB9" i="3"/>
  <c r="AC9" i="3"/>
  <c r="AD9" i="3"/>
  <c r="AE9" i="3"/>
  <c r="AF9" i="3"/>
  <c r="AG9" i="3"/>
  <c r="J10" i="3"/>
  <c r="K10" i="3"/>
  <c r="L10" i="3"/>
  <c r="M10" i="3"/>
  <c r="N10" i="3"/>
  <c r="O10" i="3"/>
  <c r="P10" i="3"/>
  <c r="Q10" i="3"/>
  <c r="R10" i="3"/>
  <c r="S10" i="3"/>
  <c r="T10" i="3"/>
  <c r="U10" i="3"/>
  <c r="V10" i="3"/>
  <c r="W10" i="3"/>
  <c r="X10" i="3"/>
  <c r="Y10" i="3"/>
  <c r="Z10" i="3"/>
  <c r="AA10" i="3"/>
  <c r="AB10" i="3"/>
  <c r="AC10" i="3"/>
  <c r="AD10" i="3"/>
  <c r="AE10" i="3"/>
  <c r="AF10" i="3"/>
  <c r="AG10" i="3"/>
  <c r="J11" i="3"/>
  <c r="K11" i="3"/>
  <c r="L11" i="3"/>
  <c r="M11" i="3"/>
  <c r="N11" i="3"/>
  <c r="O11" i="3"/>
  <c r="P11" i="3"/>
  <c r="Q11" i="3"/>
  <c r="R11" i="3"/>
  <c r="S11" i="3"/>
  <c r="T11" i="3"/>
  <c r="U11" i="3"/>
  <c r="V11" i="3"/>
  <c r="W11" i="3"/>
  <c r="X11" i="3"/>
  <c r="Y11" i="3"/>
  <c r="Z11" i="3"/>
  <c r="AA11" i="3"/>
  <c r="AB11" i="3"/>
  <c r="AC11" i="3"/>
  <c r="AD11" i="3"/>
  <c r="AE11" i="3"/>
  <c r="AF11" i="3"/>
  <c r="AG11" i="3"/>
  <c r="J12" i="3"/>
  <c r="K12" i="3"/>
  <c r="L12" i="3"/>
  <c r="M12" i="3"/>
  <c r="N12" i="3"/>
  <c r="O12" i="3"/>
  <c r="P12" i="3"/>
  <c r="Q12" i="3"/>
  <c r="R12" i="3"/>
  <c r="S12" i="3"/>
  <c r="T12" i="3"/>
  <c r="U12" i="3"/>
  <c r="V12" i="3"/>
  <c r="W12" i="3"/>
  <c r="X12" i="3"/>
  <c r="Y12" i="3"/>
  <c r="Z12" i="3"/>
  <c r="AA12" i="3"/>
  <c r="AB12" i="3"/>
  <c r="AC12" i="3"/>
  <c r="AD12" i="3"/>
  <c r="AE12" i="3"/>
  <c r="AF12" i="3"/>
  <c r="AG12" i="3"/>
  <c r="J13" i="3"/>
  <c r="K13" i="3"/>
  <c r="L13" i="3"/>
  <c r="M13" i="3"/>
  <c r="N13" i="3"/>
  <c r="O13" i="3"/>
  <c r="P13" i="3"/>
  <c r="Q13" i="3"/>
  <c r="R13" i="3"/>
  <c r="S13" i="3"/>
  <c r="T13" i="3"/>
  <c r="U13" i="3"/>
  <c r="V13" i="3"/>
  <c r="W13" i="3"/>
  <c r="X13" i="3"/>
  <c r="Y13" i="3"/>
  <c r="Z13" i="3"/>
  <c r="AA13" i="3"/>
  <c r="AB13" i="3"/>
  <c r="AC13" i="3"/>
  <c r="AD13" i="3"/>
  <c r="AE13" i="3"/>
  <c r="AF13" i="3"/>
  <c r="AG13" i="3"/>
  <c r="J14" i="3"/>
  <c r="K14" i="3"/>
  <c r="L14" i="3"/>
  <c r="M14" i="3"/>
  <c r="N14" i="3"/>
  <c r="O14" i="3"/>
  <c r="P14" i="3"/>
  <c r="Q14" i="3"/>
  <c r="R14" i="3"/>
  <c r="S14" i="3"/>
  <c r="T14" i="3"/>
  <c r="U14" i="3"/>
  <c r="V14" i="3"/>
  <c r="W14" i="3"/>
  <c r="X14" i="3"/>
  <c r="Y14" i="3"/>
  <c r="Z14" i="3"/>
  <c r="AA14" i="3"/>
  <c r="AB14" i="3"/>
  <c r="AC14" i="3"/>
  <c r="AD14" i="3"/>
  <c r="AE14" i="3"/>
  <c r="AF14" i="3"/>
  <c r="AG14" i="3"/>
  <c r="J15" i="3"/>
  <c r="K15" i="3"/>
  <c r="L15" i="3"/>
  <c r="M15" i="3"/>
  <c r="N15" i="3"/>
  <c r="O15" i="3"/>
  <c r="P15" i="3"/>
  <c r="Q15" i="3"/>
  <c r="R15" i="3"/>
  <c r="S15" i="3"/>
  <c r="T15" i="3"/>
  <c r="U15" i="3"/>
  <c r="V15" i="3"/>
  <c r="W15" i="3"/>
  <c r="X15" i="3"/>
  <c r="Y15" i="3"/>
  <c r="Z15" i="3"/>
  <c r="AA15" i="3"/>
  <c r="AB15" i="3"/>
  <c r="AC15" i="3"/>
  <c r="AD15" i="3"/>
  <c r="AE15" i="3"/>
  <c r="AF15" i="3"/>
  <c r="AG15" i="3"/>
  <c r="J16" i="3"/>
  <c r="K16" i="3"/>
  <c r="L16" i="3"/>
  <c r="M16" i="3"/>
  <c r="N16" i="3"/>
  <c r="O16" i="3"/>
  <c r="P16" i="3"/>
  <c r="Q16" i="3"/>
  <c r="R16" i="3"/>
  <c r="S16" i="3"/>
  <c r="T16" i="3"/>
  <c r="U16" i="3"/>
  <c r="V16" i="3"/>
  <c r="W16" i="3"/>
  <c r="X16" i="3"/>
  <c r="Y16" i="3"/>
  <c r="Z16" i="3"/>
  <c r="AA16" i="3"/>
  <c r="AB16" i="3"/>
  <c r="AC16" i="3"/>
  <c r="AD16" i="3"/>
  <c r="AE16" i="3"/>
  <c r="AF16" i="3"/>
  <c r="AG16" i="3"/>
  <c r="J17" i="3"/>
  <c r="K17" i="3"/>
  <c r="L17" i="3"/>
  <c r="M17" i="3"/>
  <c r="N17" i="3"/>
  <c r="O17" i="3"/>
  <c r="P17" i="3"/>
  <c r="Q17" i="3"/>
  <c r="R17" i="3"/>
  <c r="S17" i="3"/>
  <c r="T17" i="3"/>
  <c r="U17" i="3"/>
  <c r="V17" i="3"/>
  <c r="W17" i="3"/>
  <c r="X17" i="3"/>
  <c r="Y17" i="3"/>
  <c r="Z17" i="3"/>
  <c r="AA17" i="3"/>
  <c r="AB17" i="3"/>
  <c r="AC17" i="3"/>
  <c r="AD17" i="3"/>
  <c r="AE17" i="3"/>
  <c r="AF17" i="3"/>
  <c r="AG17" i="3"/>
  <c r="J18" i="3"/>
  <c r="K18" i="3"/>
  <c r="L18" i="3"/>
  <c r="M18" i="3"/>
  <c r="N18" i="3"/>
  <c r="O18" i="3"/>
  <c r="P18" i="3"/>
  <c r="Q18" i="3"/>
  <c r="R18" i="3"/>
  <c r="S18" i="3"/>
  <c r="T18" i="3"/>
  <c r="U18" i="3"/>
  <c r="V18" i="3"/>
  <c r="W18" i="3"/>
  <c r="X18" i="3"/>
  <c r="Y18" i="3"/>
  <c r="Z18" i="3"/>
  <c r="AA18" i="3"/>
  <c r="AB18" i="3"/>
  <c r="AC18" i="3"/>
  <c r="AD18" i="3"/>
  <c r="AE18" i="3"/>
  <c r="AF18" i="3"/>
  <c r="AG18" i="3"/>
  <c r="J19" i="3"/>
  <c r="K19" i="3"/>
  <c r="L19" i="3"/>
  <c r="M19" i="3"/>
  <c r="N19" i="3"/>
  <c r="O19" i="3"/>
  <c r="P19" i="3"/>
  <c r="Q19" i="3"/>
  <c r="R19" i="3"/>
  <c r="S19" i="3"/>
  <c r="T19" i="3"/>
  <c r="U19" i="3"/>
  <c r="V19" i="3"/>
  <c r="W19" i="3"/>
  <c r="X19" i="3"/>
  <c r="Y19" i="3"/>
  <c r="Z19" i="3"/>
  <c r="AA19" i="3"/>
  <c r="AB19" i="3"/>
  <c r="AC19" i="3"/>
  <c r="AD19" i="3"/>
  <c r="AE19" i="3"/>
  <c r="AF19" i="3"/>
  <c r="AG19" i="3"/>
  <c r="J20" i="3"/>
  <c r="K20" i="3"/>
  <c r="L20" i="3"/>
  <c r="M20" i="3"/>
  <c r="N20" i="3"/>
  <c r="O20" i="3"/>
  <c r="P20" i="3"/>
  <c r="Q20" i="3"/>
  <c r="R20" i="3"/>
  <c r="S20" i="3"/>
  <c r="T20" i="3"/>
  <c r="U20" i="3"/>
  <c r="V20" i="3"/>
  <c r="W20" i="3"/>
  <c r="X20" i="3"/>
  <c r="Y20" i="3"/>
  <c r="Z20" i="3"/>
  <c r="AA20" i="3"/>
  <c r="AB20" i="3"/>
  <c r="AC20" i="3"/>
  <c r="AD20" i="3"/>
  <c r="AE20" i="3"/>
  <c r="AF20" i="3"/>
  <c r="AG20" i="3"/>
  <c r="J21" i="3"/>
  <c r="K21" i="3"/>
  <c r="L21" i="3"/>
  <c r="M21" i="3"/>
  <c r="N21" i="3"/>
  <c r="O21" i="3"/>
  <c r="P21" i="3"/>
  <c r="Q21" i="3"/>
  <c r="R21" i="3"/>
  <c r="S21" i="3"/>
  <c r="T21" i="3"/>
  <c r="U21" i="3"/>
  <c r="V21" i="3"/>
  <c r="W21" i="3"/>
  <c r="X21" i="3"/>
  <c r="Y21" i="3"/>
  <c r="Z21" i="3"/>
  <c r="AA21" i="3"/>
  <c r="AB21" i="3"/>
  <c r="AC21" i="3"/>
  <c r="AD21" i="3"/>
  <c r="AE21" i="3"/>
  <c r="AF21" i="3"/>
  <c r="AG21" i="3"/>
  <c r="J22" i="3"/>
  <c r="K22" i="3"/>
  <c r="L22" i="3"/>
  <c r="M22" i="3"/>
  <c r="N22" i="3"/>
  <c r="O22" i="3"/>
  <c r="P22" i="3"/>
  <c r="Q22" i="3"/>
  <c r="R22" i="3"/>
  <c r="S22" i="3"/>
  <c r="T22" i="3"/>
  <c r="U22" i="3"/>
  <c r="V22" i="3"/>
  <c r="W22" i="3"/>
  <c r="X22" i="3"/>
  <c r="Y22" i="3"/>
  <c r="Z22" i="3"/>
  <c r="AA22" i="3"/>
  <c r="AB22" i="3"/>
  <c r="AC22" i="3"/>
  <c r="AD22" i="3"/>
  <c r="AE22" i="3"/>
  <c r="AF22" i="3"/>
  <c r="AG22" i="3"/>
  <c r="J23" i="3"/>
  <c r="K23" i="3"/>
  <c r="L23" i="3"/>
  <c r="M23" i="3"/>
  <c r="N23" i="3"/>
  <c r="O23" i="3"/>
  <c r="P23" i="3"/>
  <c r="Q23" i="3"/>
  <c r="R23" i="3"/>
  <c r="S23" i="3"/>
  <c r="T23" i="3"/>
  <c r="U23" i="3"/>
  <c r="V23" i="3"/>
  <c r="W23" i="3"/>
  <c r="X23" i="3"/>
  <c r="Y23" i="3"/>
  <c r="Z23" i="3"/>
  <c r="AA23" i="3"/>
  <c r="AB23" i="3"/>
  <c r="AC23" i="3"/>
  <c r="AD23" i="3"/>
  <c r="AE23" i="3"/>
  <c r="AF23" i="3"/>
  <c r="AG23" i="3"/>
  <c r="J24" i="3"/>
  <c r="K24" i="3"/>
  <c r="L24" i="3"/>
  <c r="M24" i="3"/>
  <c r="N24" i="3"/>
  <c r="O24" i="3"/>
  <c r="P24" i="3"/>
  <c r="Q24" i="3"/>
  <c r="R24" i="3"/>
  <c r="S24" i="3"/>
  <c r="T24" i="3"/>
  <c r="U24" i="3"/>
  <c r="V24" i="3"/>
  <c r="W24" i="3"/>
  <c r="X24" i="3"/>
  <c r="Y24" i="3"/>
  <c r="Z24" i="3"/>
  <c r="AA24" i="3"/>
  <c r="AB24" i="3"/>
  <c r="AC24" i="3"/>
  <c r="AD24" i="3"/>
  <c r="AE24" i="3"/>
  <c r="AF24" i="3"/>
  <c r="AG24" i="3"/>
  <c r="J25" i="3"/>
  <c r="K25" i="3"/>
  <c r="L25" i="3"/>
  <c r="M25" i="3"/>
  <c r="N25" i="3"/>
  <c r="O25" i="3"/>
  <c r="P25" i="3"/>
  <c r="Q25" i="3"/>
  <c r="R25" i="3"/>
  <c r="S25" i="3"/>
  <c r="T25" i="3"/>
  <c r="U25" i="3"/>
  <c r="V25" i="3"/>
  <c r="W25" i="3"/>
  <c r="X25" i="3"/>
  <c r="Y25" i="3"/>
  <c r="Z25" i="3"/>
  <c r="AA25" i="3"/>
  <c r="AB25" i="3"/>
  <c r="AC25" i="3"/>
  <c r="AD25" i="3"/>
  <c r="AE25" i="3"/>
  <c r="AF25" i="3"/>
  <c r="AG25" i="3"/>
  <c r="J26" i="3"/>
  <c r="K26" i="3"/>
  <c r="L26" i="3"/>
  <c r="M26" i="3"/>
  <c r="N26" i="3"/>
  <c r="O26" i="3"/>
  <c r="P26" i="3"/>
  <c r="Q26" i="3"/>
  <c r="R26" i="3"/>
  <c r="S26" i="3"/>
  <c r="T26" i="3"/>
  <c r="U26" i="3"/>
  <c r="V26" i="3"/>
  <c r="W26" i="3"/>
  <c r="X26" i="3"/>
  <c r="Y26" i="3"/>
  <c r="Z26" i="3"/>
  <c r="AA26" i="3"/>
  <c r="AB26" i="3"/>
  <c r="AC26" i="3"/>
  <c r="AD26" i="3"/>
  <c r="AE26" i="3"/>
  <c r="AF26" i="3"/>
  <c r="AG26" i="3"/>
  <c r="J27" i="3"/>
  <c r="K27" i="3"/>
  <c r="L27" i="3"/>
  <c r="M27" i="3"/>
  <c r="N27" i="3"/>
  <c r="O27" i="3"/>
  <c r="P27" i="3"/>
  <c r="Q27" i="3"/>
  <c r="R27" i="3"/>
  <c r="S27" i="3"/>
  <c r="T27" i="3"/>
  <c r="U27" i="3"/>
  <c r="V27" i="3"/>
  <c r="W27" i="3"/>
  <c r="X27" i="3"/>
  <c r="Y27" i="3"/>
  <c r="Z27" i="3"/>
  <c r="AA27" i="3"/>
  <c r="AB27" i="3"/>
  <c r="AC27" i="3"/>
  <c r="AD27" i="3"/>
  <c r="AE27" i="3"/>
  <c r="AF27" i="3"/>
  <c r="AG27" i="3"/>
  <c r="J28" i="3"/>
  <c r="K28" i="3"/>
  <c r="L28" i="3"/>
  <c r="M28" i="3"/>
  <c r="N28" i="3"/>
  <c r="O28" i="3"/>
  <c r="P28" i="3"/>
  <c r="Q28" i="3"/>
  <c r="R28" i="3"/>
  <c r="S28" i="3"/>
  <c r="T28" i="3"/>
  <c r="U28" i="3"/>
  <c r="V28" i="3"/>
  <c r="W28" i="3"/>
  <c r="X28" i="3"/>
  <c r="Y28" i="3"/>
  <c r="Z28" i="3"/>
  <c r="AA28" i="3"/>
  <c r="AB28" i="3"/>
  <c r="AC28" i="3"/>
  <c r="AD28" i="3"/>
  <c r="AE28" i="3"/>
  <c r="AF28" i="3"/>
  <c r="AG28" i="3"/>
  <c r="J29" i="3"/>
  <c r="K29" i="3"/>
  <c r="L29" i="3"/>
  <c r="M29" i="3"/>
  <c r="N29" i="3"/>
  <c r="O29" i="3"/>
  <c r="P29" i="3"/>
  <c r="Q29" i="3"/>
  <c r="R29" i="3"/>
  <c r="S29" i="3"/>
  <c r="T29" i="3"/>
  <c r="U29" i="3"/>
  <c r="V29" i="3"/>
  <c r="W29" i="3"/>
  <c r="X29" i="3"/>
  <c r="Y29" i="3"/>
  <c r="Z29" i="3"/>
  <c r="AA29" i="3"/>
  <c r="AB29" i="3"/>
  <c r="AC29" i="3"/>
  <c r="AD29" i="3"/>
  <c r="AE29" i="3"/>
  <c r="AF29" i="3"/>
  <c r="AG29" i="3"/>
  <c r="J30" i="3"/>
  <c r="K30" i="3"/>
  <c r="L30" i="3"/>
  <c r="M30" i="3"/>
  <c r="N30" i="3"/>
  <c r="O30" i="3"/>
  <c r="P30" i="3"/>
  <c r="Q30" i="3"/>
  <c r="R30" i="3"/>
  <c r="S30" i="3"/>
  <c r="T30" i="3"/>
  <c r="U30" i="3"/>
  <c r="V30" i="3"/>
  <c r="W30" i="3"/>
  <c r="X30" i="3"/>
  <c r="Y30" i="3"/>
  <c r="Z30" i="3"/>
  <c r="AA30" i="3"/>
  <c r="AB30" i="3"/>
  <c r="AC30" i="3"/>
  <c r="AD30" i="3"/>
  <c r="AE30" i="3"/>
  <c r="AF30" i="3"/>
  <c r="AG30" i="3"/>
  <c r="J31" i="3"/>
  <c r="K31" i="3"/>
  <c r="L31" i="3"/>
  <c r="M31" i="3"/>
  <c r="N31" i="3"/>
  <c r="O31" i="3"/>
  <c r="P31" i="3"/>
  <c r="Q31" i="3"/>
  <c r="R31" i="3"/>
  <c r="S31" i="3"/>
  <c r="T31" i="3"/>
  <c r="U31" i="3"/>
  <c r="V31" i="3"/>
  <c r="W31" i="3"/>
  <c r="X31" i="3"/>
  <c r="Y31" i="3"/>
  <c r="Z31" i="3"/>
  <c r="AA31" i="3"/>
  <c r="AB31" i="3"/>
  <c r="AC31" i="3"/>
  <c r="AD31" i="3"/>
  <c r="AE31" i="3"/>
  <c r="AF31" i="3"/>
  <c r="AG31" i="3"/>
  <c r="J32" i="3"/>
  <c r="K32" i="3"/>
  <c r="L32" i="3"/>
  <c r="M32" i="3"/>
  <c r="N32" i="3"/>
  <c r="O32" i="3"/>
  <c r="P32" i="3"/>
  <c r="Q32" i="3"/>
  <c r="R32" i="3"/>
  <c r="S32" i="3"/>
  <c r="T32" i="3"/>
  <c r="U32" i="3"/>
  <c r="V32" i="3"/>
  <c r="W32" i="3"/>
  <c r="X32" i="3"/>
  <c r="Y32" i="3"/>
  <c r="Z32" i="3"/>
  <c r="AA32" i="3"/>
  <c r="AB32" i="3"/>
  <c r="AC32" i="3"/>
  <c r="AD32" i="3"/>
  <c r="AE32" i="3"/>
  <c r="AF32" i="3"/>
  <c r="AG32" i="3"/>
  <c r="J33" i="3"/>
  <c r="K33" i="3"/>
  <c r="L33" i="3"/>
  <c r="M33" i="3"/>
  <c r="N33" i="3"/>
  <c r="O33" i="3"/>
  <c r="P33" i="3"/>
  <c r="Q33" i="3"/>
  <c r="R33" i="3"/>
  <c r="S33" i="3"/>
  <c r="T33" i="3"/>
  <c r="U33" i="3"/>
  <c r="V33" i="3"/>
  <c r="W33" i="3"/>
  <c r="X33" i="3"/>
  <c r="Y33" i="3"/>
  <c r="Z33" i="3"/>
  <c r="AA33" i="3"/>
  <c r="AB33" i="3"/>
  <c r="AC33" i="3"/>
  <c r="AD33" i="3"/>
  <c r="AE33" i="3"/>
  <c r="AF33" i="3"/>
  <c r="AG33" i="3"/>
  <c r="J34" i="3"/>
  <c r="K34" i="3"/>
  <c r="L34" i="3"/>
  <c r="M34" i="3"/>
  <c r="N34" i="3"/>
  <c r="O34" i="3"/>
  <c r="P34" i="3"/>
  <c r="Q34" i="3"/>
  <c r="R34" i="3"/>
  <c r="S34" i="3"/>
  <c r="T34" i="3"/>
  <c r="U34" i="3"/>
  <c r="V34" i="3"/>
  <c r="W34" i="3"/>
  <c r="X34" i="3"/>
  <c r="Y34" i="3"/>
  <c r="Z34" i="3"/>
  <c r="AA34" i="3"/>
  <c r="AB34" i="3"/>
  <c r="AC34" i="3"/>
  <c r="AD34" i="3"/>
  <c r="AE34" i="3"/>
  <c r="AF34" i="3"/>
  <c r="AG34" i="3"/>
  <c r="J35" i="3"/>
  <c r="K35" i="3"/>
  <c r="L35" i="3"/>
  <c r="M35" i="3"/>
  <c r="N35" i="3"/>
  <c r="O35" i="3"/>
  <c r="P35" i="3"/>
  <c r="Q35" i="3"/>
  <c r="R35" i="3"/>
  <c r="S35" i="3"/>
  <c r="T35" i="3"/>
  <c r="U35" i="3"/>
  <c r="V35" i="3"/>
  <c r="W35" i="3"/>
  <c r="X35" i="3"/>
  <c r="Y35" i="3"/>
  <c r="Z35" i="3"/>
  <c r="AA35" i="3"/>
  <c r="AB35" i="3"/>
  <c r="AC35" i="3"/>
  <c r="AD35" i="3"/>
  <c r="AE35" i="3"/>
  <c r="AF35" i="3"/>
  <c r="AG35" i="3"/>
  <c r="J36" i="3"/>
  <c r="K36" i="3"/>
  <c r="L36" i="3"/>
  <c r="M36" i="3"/>
  <c r="N36" i="3"/>
  <c r="O36" i="3"/>
  <c r="P36" i="3"/>
  <c r="Q36" i="3"/>
  <c r="R36" i="3"/>
  <c r="S36" i="3"/>
  <c r="T36" i="3"/>
  <c r="U36" i="3"/>
  <c r="V36" i="3"/>
  <c r="W36" i="3"/>
  <c r="X36" i="3"/>
  <c r="Y36" i="3"/>
  <c r="Z36" i="3"/>
  <c r="AA36" i="3"/>
  <c r="AB36" i="3"/>
  <c r="AC36" i="3"/>
  <c r="AD36" i="3"/>
  <c r="AE36" i="3"/>
  <c r="AF36" i="3"/>
  <c r="AG36" i="3"/>
  <c r="J37" i="3"/>
  <c r="K37" i="3"/>
  <c r="L37" i="3"/>
  <c r="M37" i="3"/>
  <c r="N37" i="3"/>
  <c r="O37" i="3"/>
  <c r="P37" i="3"/>
  <c r="Q37" i="3"/>
  <c r="R37" i="3"/>
  <c r="S37" i="3"/>
  <c r="T37" i="3"/>
  <c r="U37" i="3"/>
  <c r="V37" i="3"/>
  <c r="W37" i="3"/>
  <c r="X37" i="3"/>
  <c r="Y37" i="3"/>
  <c r="Z37" i="3"/>
  <c r="AA37" i="3"/>
  <c r="AB37" i="3"/>
  <c r="AC37" i="3"/>
  <c r="AD37" i="3"/>
  <c r="AE37" i="3"/>
  <c r="AF37" i="3"/>
  <c r="AG37" i="3"/>
  <c r="J38" i="3"/>
  <c r="K38" i="3"/>
  <c r="L38" i="3"/>
  <c r="M38" i="3"/>
  <c r="N38" i="3"/>
  <c r="O38" i="3"/>
  <c r="P38" i="3"/>
  <c r="Q38" i="3"/>
  <c r="R38" i="3"/>
  <c r="S38" i="3"/>
  <c r="T38" i="3"/>
  <c r="U38" i="3"/>
  <c r="V38" i="3"/>
  <c r="W38" i="3"/>
  <c r="X38" i="3"/>
  <c r="Y38" i="3"/>
  <c r="Z38" i="3"/>
  <c r="AA38" i="3"/>
  <c r="AB38" i="3"/>
  <c r="AC38" i="3"/>
  <c r="AD38" i="3"/>
  <c r="AE38" i="3"/>
  <c r="AF38" i="3"/>
  <c r="AG38" i="3"/>
  <c r="J39" i="3"/>
  <c r="K39" i="3"/>
  <c r="L39" i="3"/>
  <c r="M39" i="3"/>
  <c r="N39" i="3"/>
  <c r="O39" i="3"/>
  <c r="P39" i="3"/>
  <c r="Q39" i="3"/>
  <c r="R39" i="3"/>
  <c r="S39" i="3"/>
  <c r="T39" i="3"/>
  <c r="U39" i="3"/>
  <c r="V39" i="3"/>
  <c r="W39" i="3"/>
  <c r="X39" i="3"/>
  <c r="Y39" i="3"/>
  <c r="Z39" i="3"/>
  <c r="AA39" i="3"/>
  <c r="AB39" i="3"/>
  <c r="AC39" i="3"/>
  <c r="AD39" i="3"/>
  <c r="AE39" i="3"/>
  <c r="AF39" i="3"/>
  <c r="AG39" i="3"/>
  <c r="J40" i="3"/>
  <c r="K40" i="3"/>
  <c r="L40" i="3"/>
  <c r="M40" i="3"/>
  <c r="N40" i="3"/>
  <c r="O40" i="3"/>
  <c r="P40" i="3"/>
  <c r="Q40" i="3"/>
  <c r="R40" i="3"/>
  <c r="S40" i="3"/>
  <c r="T40" i="3"/>
  <c r="U40" i="3"/>
  <c r="V40" i="3"/>
  <c r="W40" i="3"/>
  <c r="X40" i="3"/>
  <c r="Y40" i="3"/>
  <c r="Z40" i="3"/>
  <c r="AA40" i="3"/>
  <c r="AB40" i="3"/>
  <c r="AC40" i="3"/>
  <c r="AD40" i="3"/>
  <c r="AE40" i="3"/>
  <c r="AF40" i="3"/>
  <c r="AG40" i="3"/>
  <c r="J41" i="3"/>
  <c r="K41" i="3"/>
  <c r="L41" i="3"/>
  <c r="M41" i="3"/>
  <c r="N41" i="3"/>
  <c r="O41" i="3"/>
  <c r="P41" i="3"/>
  <c r="Q41" i="3"/>
  <c r="R41" i="3"/>
  <c r="S41" i="3"/>
  <c r="T41" i="3"/>
  <c r="U41" i="3"/>
  <c r="V41" i="3"/>
  <c r="W41" i="3"/>
  <c r="X41" i="3"/>
  <c r="Y41" i="3"/>
  <c r="Z41" i="3"/>
  <c r="AA41" i="3"/>
  <c r="AB41" i="3"/>
  <c r="AC41" i="3"/>
  <c r="AD41" i="3"/>
  <c r="AE41" i="3"/>
  <c r="AF41" i="3"/>
  <c r="AG41" i="3"/>
  <c r="J42" i="3"/>
  <c r="K42" i="3"/>
  <c r="L42" i="3"/>
  <c r="M42" i="3"/>
  <c r="N42" i="3"/>
  <c r="O42" i="3"/>
  <c r="P42" i="3"/>
  <c r="Q42" i="3"/>
  <c r="R42" i="3"/>
  <c r="S42" i="3"/>
  <c r="T42" i="3"/>
  <c r="U42" i="3"/>
  <c r="V42" i="3"/>
  <c r="W42" i="3"/>
  <c r="X42" i="3"/>
  <c r="Y42" i="3"/>
  <c r="Z42" i="3"/>
  <c r="AA42" i="3"/>
  <c r="AB42" i="3"/>
  <c r="AC42" i="3"/>
  <c r="AD42" i="3"/>
  <c r="AE42" i="3"/>
  <c r="AF42" i="3"/>
  <c r="AG42" i="3"/>
  <c r="J43" i="3"/>
  <c r="K43" i="3"/>
  <c r="L43" i="3"/>
  <c r="M43" i="3"/>
  <c r="N43" i="3"/>
  <c r="O43" i="3"/>
  <c r="P43" i="3"/>
  <c r="Q43" i="3"/>
  <c r="R43" i="3"/>
  <c r="S43" i="3"/>
  <c r="T43" i="3"/>
  <c r="U43" i="3"/>
  <c r="V43" i="3"/>
  <c r="W43" i="3"/>
  <c r="X43" i="3"/>
  <c r="Y43" i="3"/>
  <c r="Z43" i="3"/>
  <c r="AA43" i="3"/>
  <c r="AB43" i="3"/>
  <c r="AC43" i="3"/>
  <c r="AD43" i="3"/>
  <c r="AE43" i="3"/>
  <c r="AF43" i="3"/>
  <c r="AG43" i="3"/>
  <c r="J44" i="3"/>
  <c r="K44" i="3"/>
  <c r="L44" i="3"/>
  <c r="M44" i="3"/>
  <c r="N44" i="3"/>
  <c r="O44" i="3"/>
  <c r="P44" i="3"/>
  <c r="Q44" i="3"/>
  <c r="R44" i="3"/>
  <c r="S44" i="3"/>
  <c r="T44" i="3"/>
  <c r="U44" i="3"/>
  <c r="V44" i="3"/>
  <c r="W44" i="3"/>
  <c r="X44" i="3"/>
  <c r="Y44" i="3"/>
  <c r="Z44" i="3"/>
  <c r="AA44" i="3"/>
  <c r="AB44" i="3"/>
  <c r="AC44" i="3"/>
  <c r="AD44" i="3"/>
  <c r="AE44" i="3"/>
  <c r="AF44" i="3"/>
  <c r="AG44" i="3"/>
  <c r="J45" i="3"/>
  <c r="K45" i="3"/>
  <c r="L45" i="3"/>
  <c r="M45" i="3"/>
  <c r="N45" i="3"/>
  <c r="O45" i="3"/>
  <c r="P45" i="3"/>
  <c r="Q45" i="3"/>
  <c r="R45" i="3"/>
  <c r="S45" i="3"/>
  <c r="T45" i="3"/>
  <c r="U45" i="3"/>
  <c r="V45" i="3"/>
  <c r="W45" i="3"/>
  <c r="X45" i="3"/>
  <c r="Y45" i="3"/>
  <c r="Z45" i="3"/>
  <c r="AA45" i="3"/>
  <c r="AB45" i="3"/>
  <c r="AC45" i="3"/>
  <c r="AD45" i="3"/>
  <c r="AE45" i="3"/>
  <c r="AF45" i="3"/>
  <c r="AG45" i="3"/>
  <c r="J46" i="3"/>
  <c r="K46" i="3"/>
  <c r="L46" i="3"/>
  <c r="M46" i="3"/>
  <c r="N46" i="3"/>
  <c r="O46" i="3"/>
  <c r="P46" i="3"/>
  <c r="Q46" i="3"/>
  <c r="R46" i="3"/>
  <c r="S46" i="3"/>
  <c r="T46" i="3"/>
  <c r="U46" i="3"/>
  <c r="V46" i="3"/>
  <c r="W46" i="3"/>
  <c r="X46" i="3"/>
  <c r="Y46" i="3"/>
  <c r="Z46" i="3"/>
  <c r="AA46" i="3"/>
  <c r="AB46" i="3"/>
  <c r="AC46" i="3"/>
  <c r="AD46" i="3"/>
  <c r="AE46" i="3"/>
  <c r="AF46" i="3"/>
  <c r="AG46" i="3"/>
  <c r="J47" i="3"/>
  <c r="K47" i="3"/>
  <c r="L47" i="3"/>
  <c r="M47" i="3"/>
  <c r="N47" i="3"/>
  <c r="O47" i="3"/>
  <c r="P47" i="3"/>
  <c r="Q47" i="3"/>
  <c r="R47" i="3"/>
  <c r="S47" i="3"/>
  <c r="T47" i="3"/>
  <c r="U47" i="3"/>
  <c r="V47" i="3"/>
  <c r="W47" i="3"/>
  <c r="X47" i="3"/>
  <c r="Y47" i="3"/>
  <c r="Z47" i="3"/>
  <c r="AA47" i="3"/>
  <c r="AB47" i="3"/>
  <c r="AC47" i="3"/>
  <c r="AD47" i="3"/>
  <c r="AE47" i="3"/>
  <c r="AF47" i="3"/>
  <c r="AG47" i="3"/>
  <c r="J48" i="3"/>
  <c r="K48" i="3"/>
  <c r="L48" i="3"/>
  <c r="M48" i="3"/>
  <c r="N48" i="3"/>
  <c r="O48" i="3"/>
  <c r="P48" i="3"/>
  <c r="Q48" i="3"/>
  <c r="R48" i="3"/>
  <c r="S48" i="3"/>
  <c r="T48" i="3"/>
  <c r="U48" i="3"/>
  <c r="V48" i="3"/>
  <c r="W48" i="3"/>
  <c r="X48" i="3"/>
  <c r="Y48" i="3"/>
  <c r="Z48" i="3"/>
  <c r="AA48" i="3"/>
  <c r="AB48" i="3"/>
  <c r="AC48" i="3"/>
  <c r="AD48" i="3"/>
  <c r="AE48" i="3"/>
  <c r="AF48" i="3"/>
  <c r="AG48" i="3"/>
  <c r="J49" i="3"/>
  <c r="K49" i="3"/>
  <c r="L49" i="3"/>
  <c r="M49" i="3"/>
  <c r="N49" i="3"/>
  <c r="O49" i="3"/>
  <c r="P49" i="3"/>
  <c r="Q49" i="3"/>
  <c r="R49" i="3"/>
  <c r="S49" i="3"/>
  <c r="T49" i="3"/>
  <c r="U49" i="3"/>
  <c r="V49" i="3"/>
  <c r="W49" i="3"/>
  <c r="X49" i="3"/>
  <c r="Y49" i="3"/>
  <c r="Z49" i="3"/>
  <c r="AA49" i="3"/>
  <c r="AB49" i="3"/>
  <c r="AC49" i="3"/>
  <c r="AD49" i="3"/>
  <c r="AE49" i="3"/>
  <c r="AF49" i="3"/>
  <c r="AG49" i="3"/>
  <c r="J50" i="3"/>
  <c r="K50" i="3"/>
  <c r="L50" i="3"/>
  <c r="M50" i="3"/>
  <c r="N50" i="3"/>
  <c r="O50" i="3"/>
  <c r="P50" i="3"/>
  <c r="Q50" i="3"/>
  <c r="R50" i="3"/>
  <c r="S50" i="3"/>
  <c r="T50" i="3"/>
  <c r="U50" i="3"/>
  <c r="V50" i="3"/>
  <c r="W50" i="3"/>
  <c r="X50" i="3"/>
  <c r="Y50" i="3"/>
  <c r="Z50" i="3"/>
  <c r="AA50" i="3"/>
  <c r="AB50" i="3"/>
  <c r="AC50" i="3"/>
  <c r="AD50" i="3"/>
  <c r="AE50" i="3"/>
  <c r="AF50" i="3"/>
  <c r="AG50" i="3"/>
  <c r="J51" i="3"/>
  <c r="K51" i="3"/>
  <c r="L51" i="3"/>
  <c r="M51" i="3"/>
  <c r="N51" i="3"/>
  <c r="O51" i="3"/>
  <c r="P51" i="3"/>
  <c r="Q51" i="3"/>
  <c r="R51" i="3"/>
  <c r="S51" i="3"/>
  <c r="T51" i="3"/>
  <c r="U51" i="3"/>
  <c r="V51" i="3"/>
  <c r="W51" i="3"/>
  <c r="X51" i="3"/>
  <c r="Y51" i="3"/>
  <c r="Z51" i="3"/>
  <c r="AA51" i="3"/>
  <c r="AB51" i="3"/>
  <c r="AC51" i="3"/>
  <c r="AD51" i="3"/>
  <c r="AE51" i="3"/>
  <c r="AF51" i="3"/>
  <c r="AG51" i="3"/>
  <c r="J52" i="3"/>
  <c r="K52" i="3"/>
  <c r="L52" i="3"/>
  <c r="M52" i="3"/>
  <c r="N52" i="3"/>
  <c r="O52" i="3"/>
  <c r="P52" i="3"/>
  <c r="Q52" i="3"/>
  <c r="R52" i="3"/>
  <c r="S52" i="3"/>
  <c r="T52" i="3"/>
  <c r="U52" i="3"/>
  <c r="V52" i="3"/>
  <c r="W52" i="3"/>
  <c r="X52" i="3"/>
  <c r="Y52" i="3"/>
  <c r="Z52" i="3"/>
  <c r="AA52" i="3"/>
  <c r="AB52" i="3"/>
  <c r="AC52" i="3"/>
  <c r="AD52" i="3"/>
  <c r="AE52" i="3"/>
  <c r="AF52" i="3"/>
  <c r="AG52" i="3"/>
  <c r="J53" i="3"/>
  <c r="K53" i="3"/>
  <c r="L53" i="3"/>
  <c r="M53" i="3"/>
  <c r="N53" i="3"/>
  <c r="O53" i="3"/>
  <c r="P53" i="3"/>
  <c r="Q53" i="3"/>
  <c r="R53" i="3"/>
  <c r="S53" i="3"/>
  <c r="T53" i="3"/>
  <c r="U53" i="3"/>
  <c r="V53" i="3"/>
  <c r="W53" i="3"/>
  <c r="X53" i="3"/>
  <c r="Y53" i="3"/>
  <c r="Z53" i="3"/>
  <c r="AA53" i="3"/>
  <c r="AB53" i="3"/>
  <c r="AC53" i="3"/>
  <c r="AD53" i="3"/>
  <c r="AE53" i="3"/>
  <c r="AF53" i="3"/>
  <c r="AG53" i="3"/>
  <c r="J54" i="3"/>
  <c r="K54" i="3"/>
  <c r="L54" i="3"/>
  <c r="M54" i="3"/>
  <c r="N54" i="3"/>
  <c r="O54" i="3"/>
  <c r="P54" i="3"/>
  <c r="Q54" i="3"/>
  <c r="R54" i="3"/>
  <c r="S54" i="3"/>
  <c r="T54" i="3"/>
  <c r="U54" i="3"/>
  <c r="V54" i="3"/>
  <c r="W54" i="3"/>
  <c r="X54" i="3"/>
  <c r="Y54" i="3"/>
  <c r="Z54" i="3"/>
  <c r="AA54" i="3"/>
  <c r="AB54" i="3"/>
  <c r="AC54" i="3"/>
  <c r="AD54" i="3"/>
  <c r="AE54" i="3"/>
  <c r="AF54" i="3"/>
  <c r="AG54" i="3"/>
  <c r="J55" i="3"/>
  <c r="K55" i="3"/>
  <c r="L55" i="3"/>
  <c r="M55" i="3"/>
  <c r="N55" i="3"/>
  <c r="O55" i="3"/>
  <c r="P55" i="3"/>
  <c r="Q55" i="3"/>
  <c r="R55" i="3"/>
  <c r="S55" i="3"/>
  <c r="T55" i="3"/>
  <c r="U55" i="3"/>
  <c r="V55" i="3"/>
  <c r="W55" i="3"/>
  <c r="X55" i="3"/>
  <c r="Y55" i="3"/>
  <c r="Z55" i="3"/>
  <c r="AA55" i="3"/>
  <c r="AB55" i="3"/>
  <c r="AC55" i="3"/>
  <c r="AD55" i="3"/>
  <c r="AE55" i="3"/>
  <c r="AF55" i="3"/>
  <c r="AG55" i="3"/>
  <c r="J56" i="3"/>
  <c r="K56" i="3"/>
  <c r="L56" i="3"/>
  <c r="M56" i="3"/>
  <c r="N56" i="3"/>
  <c r="O56" i="3"/>
  <c r="P56" i="3"/>
  <c r="Q56" i="3"/>
  <c r="R56" i="3"/>
  <c r="S56" i="3"/>
  <c r="T56" i="3"/>
  <c r="U56" i="3"/>
  <c r="V56" i="3"/>
  <c r="W56" i="3"/>
  <c r="X56" i="3"/>
  <c r="Y56" i="3"/>
  <c r="Z56" i="3"/>
  <c r="AA56" i="3"/>
  <c r="AB56" i="3"/>
  <c r="AC56" i="3"/>
  <c r="AD56" i="3"/>
  <c r="AE56" i="3"/>
  <c r="AF56" i="3"/>
  <c r="AG56" i="3"/>
  <c r="J57" i="3"/>
  <c r="K57" i="3"/>
  <c r="L57" i="3"/>
  <c r="M57" i="3"/>
  <c r="N57" i="3"/>
  <c r="O57" i="3"/>
  <c r="P57" i="3"/>
  <c r="Q57" i="3"/>
  <c r="R57" i="3"/>
  <c r="S57" i="3"/>
  <c r="T57" i="3"/>
  <c r="U57" i="3"/>
  <c r="V57" i="3"/>
  <c r="W57" i="3"/>
  <c r="X57" i="3"/>
  <c r="Y57" i="3"/>
  <c r="Z57" i="3"/>
  <c r="AA57" i="3"/>
  <c r="AB57" i="3"/>
  <c r="AC57" i="3"/>
  <c r="AD57" i="3"/>
  <c r="AE57" i="3"/>
  <c r="AF57" i="3"/>
  <c r="AG57" i="3"/>
  <c r="J58" i="3"/>
  <c r="K58" i="3"/>
  <c r="L58" i="3"/>
  <c r="M58" i="3"/>
  <c r="N58" i="3"/>
  <c r="O58" i="3"/>
  <c r="P58" i="3"/>
  <c r="Q58" i="3"/>
  <c r="R58" i="3"/>
  <c r="S58" i="3"/>
  <c r="T58" i="3"/>
  <c r="U58" i="3"/>
  <c r="V58" i="3"/>
  <c r="W58" i="3"/>
  <c r="X58" i="3"/>
  <c r="Y58" i="3"/>
  <c r="Z58" i="3"/>
  <c r="AA58" i="3"/>
  <c r="AB58" i="3"/>
  <c r="AC58" i="3"/>
  <c r="AD58" i="3"/>
  <c r="AE58" i="3"/>
  <c r="AF58" i="3"/>
  <c r="AG58" i="3"/>
  <c r="J59" i="3"/>
  <c r="K59" i="3"/>
  <c r="L59" i="3"/>
  <c r="M59" i="3"/>
  <c r="N59" i="3"/>
  <c r="O59" i="3"/>
  <c r="P59" i="3"/>
  <c r="Q59" i="3"/>
  <c r="R59" i="3"/>
  <c r="S59" i="3"/>
  <c r="T59" i="3"/>
  <c r="U59" i="3"/>
  <c r="V59" i="3"/>
  <c r="W59" i="3"/>
  <c r="X59" i="3"/>
  <c r="Y59" i="3"/>
  <c r="Z59" i="3"/>
  <c r="AA59" i="3"/>
  <c r="AB59" i="3"/>
  <c r="AC59" i="3"/>
  <c r="AD59" i="3"/>
  <c r="AE59" i="3"/>
  <c r="AF59" i="3"/>
  <c r="AG59" i="3"/>
  <c r="J60" i="3"/>
  <c r="K60" i="3"/>
  <c r="L60" i="3"/>
  <c r="M60" i="3"/>
  <c r="N60" i="3"/>
  <c r="O60" i="3"/>
  <c r="P60" i="3"/>
  <c r="Q60" i="3"/>
  <c r="R60" i="3"/>
  <c r="S60" i="3"/>
  <c r="T60" i="3"/>
  <c r="U60" i="3"/>
  <c r="V60" i="3"/>
  <c r="W60" i="3"/>
  <c r="X60" i="3"/>
  <c r="Y60" i="3"/>
  <c r="Z60" i="3"/>
  <c r="AA60" i="3"/>
  <c r="AB60" i="3"/>
  <c r="AC60" i="3"/>
  <c r="AD60" i="3"/>
  <c r="AE60" i="3"/>
  <c r="AF60" i="3"/>
  <c r="AG60" i="3"/>
  <c r="J61" i="3"/>
  <c r="K61" i="3"/>
  <c r="L61" i="3"/>
  <c r="M61" i="3"/>
  <c r="N61" i="3"/>
  <c r="O61" i="3"/>
  <c r="P61" i="3"/>
  <c r="Q61" i="3"/>
  <c r="R61" i="3"/>
  <c r="S61" i="3"/>
  <c r="T61" i="3"/>
  <c r="U61" i="3"/>
  <c r="V61" i="3"/>
  <c r="W61" i="3"/>
  <c r="X61" i="3"/>
  <c r="Y61" i="3"/>
  <c r="Z61" i="3"/>
  <c r="AA61" i="3"/>
  <c r="AB61" i="3"/>
  <c r="AC61" i="3"/>
  <c r="AD61" i="3"/>
  <c r="AE61" i="3"/>
  <c r="AF61" i="3"/>
  <c r="AG61" i="3"/>
  <c r="J62" i="3"/>
  <c r="K62" i="3"/>
  <c r="L62" i="3"/>
  <c r="M62" i="3"/>
  <c r="N62" i="3"/>
  <c r="O62" i="3"/>
  <c r="P62" i="3"/>
  <c r="Q62" i="3"/>
  <c r="R62" i="3"/>
  <c r="S62" i="3"/>
  <c r="T62" i="3"/>
  <c r="U62" i="3"/>
  <c r="V62" i="3"/>
  <c r="W62" i="3"/>
  <c r="X62" i="3"/>
  <c r="Y62" i="3"/>
  <c r="Z62" i="3"/>
  <c r="AA62" i="3"/>
  <c r="AB62" i="3"/>
  <c r="AC62" i="3"/>
  <c r="AD62" i="3"/>
  <c r="AE62" i="3"/>
  <c r="AF62" i="3"/>
  <c r="AG62" i="3"/>
  <c r="J63" i="3"/>
  <c r="K63" i="3"/>
  <c r="L63" i="3"/>
  <c r="M63" i="3"/>
  <c r="N63" i="3"/>
  <c r="O63" i="3"/>
  <c r="P63" i="3"/>
  <c r="Q63" i="3"/>
  <c r="R63" i="3"/>
  <c r="S63" i="3"/>
  <c r="T63" i="3"/>
  <c r="U63" i="3"/>
  <c r="V63" i="3"/>
  <c r="W63" i="3"/>
  <c r="X63" i="3"/>
  <c r="Y63" i="3"/>
  <c r="Z63" i="3"/>
  <c r="AA63" i="3"/>
  <c r="AB63" i="3"/>
  <c r="AC63" i="3"/>
  <c r="AD63" i="3"/>
  <c r="AE63" i="3"/>
  <c r="AF63" i="3"/>
  <c r="AG63" i="3"/>
  <c r="J64" i="3"/>
  <c r="K64" i="3"/>
  <c r="L64" i="3"/>
  <c r="M64" i="3"/>
  <c r="N64" i="3"/>
  <c r="O64" i="3"/>
  <c r="P64" i="3"/>
  <c r="Q64" i="3"/>
  <c r="R64" i="3"/>
  <c r="S64" i="3"/>
  <c r="T64" i="3"/>
  <c r="U64" i="3"/>
  <c r="V64" i="3"/>
  <c r="W64" i="3"/>
  <c r="X64" i="3"/>
  <c r="Y64" i="3"/>
  <c r="Z64" i="3"/>
  <c r="AA64" i="3"/>
  <c r="AB64" i="3"/>
  <c r="AC64" i="3"/>
  <c r="AD64" i="3"/>
  <c r="AE64" i="3"/>
  <c r="AF64" i="3"/>
  <c r="AG64" i="3"/>
  <c r="J65" i="3"/>
  <c r="K65" i="3"/>
  <c r="L65" i="3"/>
  <c r="M65" i="3"/>
  <c r="N65" i="3"/>
  <c r="O65" i="3"/>
  <c r="P65" i="3"/>
  <c r="Q65" i="3"/>
  <c r="R65" i="3"/>
  <c r="S65" i="3"/>
  <c r="T65" i="3"/>
  <c r="U65" i="3"/>
  <c r="V65" i="3"/>
  <c r="W65" i="3"/>
  <c r="X65" i="3"/>
  <c r="Y65" i="3"/>
  <c r="Z65" i="3"/>
  <c r="AA65" i="3"/>
  <c r="AB65" i="3"/>
  <c r="AC65" i="3"/>
  <c r="AD65" i="3"/>
  <c r="AE65" i="3"/>
  <c r="AF65" i="3"/>
  <c r="AG65" i="3"/>
  <c r="J66" i="3"/>
  <c r="K66" i="3"/>
  <c r="L66" i="3"/>
  <c r="M66" i="3"/>
  <c r="N66" i="3"/>
  <c r="O66" i="3"/>
  <c r="P66" i="3"/>
  <c r="Q66" i="3"/>
  <c r="R66" i="3"/>
  <c r="S66" i="3"/>
  <c r="T66" i="3"/>
  <c r="U66" i="3"/>
  <c r="V66" i="3"/>
  <c r="W66" i="3"/>
  <c r="X66" i="3"/>
  <c r="Y66" i="3"/>
  <c r="Z66" i="3"/>
  <c r="AA66" i="3"/>
  <c r="AB66" i="3"/>
  <c r="AC66" i="3"/>
  <c r="AD66" i="3"/>
  <c r="AE66" i="3"/>
  <c r="AF66" i="3"/>
  <c r="AG66" i="3"/>
  <c r="J67" i="3"/>
  <c r="K67" i="3"/>
  <c r="L67" i="3"/>
  <c r="M67" i="3"/>
  <c r="N67" i="3"/>
  <c r="O67" i="3"/>
  <c r="P67" i="3"/>
  <c r="Q67" i="3"/>
  <c r="R67" i="3"/>
  <c r="S67" i="3"/>
  <c r="T67" i="3"/>
  <c r="U67" i="3"/>
  <c r="V67" i="3"/>
  <c r="W67" i="3"/>
  <c r="X67" i="3"/>
  <c r="Y67" i="3"/>
  <c r="Z67" i="3"/>
  <c r="AA67" i="3"/>
  <c r="AB67" i="3"/>
  <c r="AC67" i="3"/>
  <c r="AD67" i="3"/>
  <c r="AE67" i="3"/>
  <c r="AF67" i="3"/>
  <c r="AG67" i="3"/>
  <c r="J68" i="3"/>
  <c r="K68" i="3"/>
  <c r="L68" i="3"/>
  <c r="M68" i="3"/>
  <c r="N68" i="3"/>
  <c r="O68" i="3"/>
  <c r="P68" i="3"/>
  <c r="Q68" i="3"/>
  <c r="R68" i="3"/>
  <c r="S68" i="3"/>
  <c r="T68" i="3"/>
  <c r="U68" i="3"/>
  <c r="V68" i="3"/>
  <c r="W68" i="3"/>
  <c r="X68" i="3"/>
  <c r="Y68" i="3"/>
  <c r="Z68" i="3"/>
  <c r="AA68" i="3"/>
  <c r="AB68" i="3"/>
  <c r="AC68" i="3"/>
  <c r="AD68" i="3"/>
  <c r="AE68" i="3"/>
  <c r="AF68" i="3"/>
  <c r="AG68" i="3"/>
  <c r="J69" i="3"/>
  <c r="K69" i="3"/>
  <c r="L69" i="3"/>
  <c r="M69" i="3"/>
  <c r="N69" i="3"/>
  <c r="O69" i="3"/>
  <c r="P69" i="3"/>
  <c r="Q69" i="3"/>
  <c r="R69" i="3"/>
  <c r="S69" i="3"/>
  <c r="T69" i="3"/>
  <c r="U69" i="3"/>
  <c r="V69" i="3"/>
  <c r="W69" i="3"/>
  <c r="X69" i="3"/>
  <c r="Y69" i="3"/>
  <c r="Z69" i="3"/>
  <c r="AA69" i="3"/>
  <c r="AB69" i="3"/>
  <c r="AC69" i="3"/>
  <c r="AD69" i="3"/>
  <c r="AE69" i="3"/>
  <c r="AF69" i="3"/>
  <c r="AG69" i="3"/>
  <c r="J70" i="3"/>
  <c r="K70" i="3"/>
  <c r="L70" i="3"/>
  <c r="M70" i="3"/>
  <c r="N70" i="3"/>
  <c r="O70" i="3"/>
  <c r="P70" i="3"/>
  <c r="Q70" i="3"/>
  <c r="R70" i="3"/>
  <c r="S70" i="3"/>
  <c r="T70" i="3"/>
  <c r="U70" i="3"/>
  <c r="V70" i="3"/>
  <c r="W70" i="3"/>
  <c r="X70" i="3"/>
  <c r="Y70" i="3"/>
  <c r="Z70" i="3"/>
  <c r="AA70" i="3"/>
  <c r="AB70" i="3"/>
  <c r="AC70" i="3"/>
  <c r="AD70" i="3"/>
  <c r="AE70" i="3"/>
  <c r="AF70" i="3"/>
  <c r="AG70" i="3"/>
  <c r="J71" i="3"/>
  <c r="K71" i="3"/>
  <c r="L71" i="3"/>
  <c r="M71" i="3"/>
  <c r="N71" i="3"/>
  <c r="O71" i="3"/>
  <c r="P71" i="3"/>
  <c r="Q71" i="3"/>
  <c r="R71" i="3"/>
  <c r="S71" i="3"/>
  <c r="T71" i="3"/>
  <c r="U71" i="3"/>
  <c r="V71" i="3"/>
  <c r="W71" i="3"/>
  <c r="X71" i="3"/>
  <c r="Y71" i="3"/>
  <c r="Z71" i="3"/>
  <c r="AA71" i="3"/>
  <c r="AB71" i="3"/>
  <c r="AC71" i="3"/>
  <c r="AD71" i="3"/>
  <c r="AE71" i="3"/>
  <c r="AF71" i="3"/>
  <c r="AG71" i="3"/>
  <c r="J72" i="3"/>
  <c r="K72" i="3"/>
  <c r="L72" i="3"/>
  <c r="M72" i="3"/>
  <c r="N72" i="3"/>
  <c r="O72" i="3"/>
  <c r="P72" i="3"/>
  <c r="Q72" i="3"/>
  <c r="R72" i="3"/>
  <c r="S72" i="3"/>
  <c r="T72" i="3"/>
  <c r="U72" i="3"/>
  <c r="V72" i="3"/>
  <c r="W72" i="3"/>
  <c r="X72" i="3"/>
  <c r="Y72" i="3"/>
  <c r="Z72" i="3"/>
  <c r="AA72" i="3"/>
  <c r="AB72" i="3"/>
  <c r="AC72" i="3"/>
  <c r="AD72" i="3"/>
  <c r="AE72" i="3"/>
  <c r="AF72" i="3"/>
  <c r="AG72" i="3"/>
  <c r="J73" i="3"/>
  <c r="K73" i="3"/>
  <c r="L73" i="3"/>
  <c r="M73" i="3"/>
  <c r="N73" i="3"/>
  <c r="O73" i="3"/>
  <c r="P73" i="3"/>
  <c r="Q73" i="3"/>
  <c r="R73" i="3"/>
  <c r="S73" i="3"/>
  <c r="T73" i="3"/>
  <c r="U73" i="3"/>
  <c r="V73" i="3"/>
  <c r="W73" i="3"/>
  <c r="X73" i="3"/>
  <c r="Y73" i="3"/>
  <c r="Z73" i="3"/>
  <c r="AA73" i="3"/>
  <c r="AB73" i="3"/>
  <c r="AC73" i="3"/>
  <c r="AD73" i="3"/>
  <c r="AE73" i="3"/>
  <c r="AF73" i="3"/>
  <c r="AG73" i="3"/>
  <c r="J74" i="3"/>
  <c r="K74" i="3"/>
  <c r="L74" i="3"/>
  <c r="M74" i="3"/>
  <c r="N74" i="3"/>
  <c r="O74" i="3"/>
  <c r="P74" i="3"/>
  <c r="Q74" i="3"/>
  <c r="R74" i="3"/>
  <c r="S74" i="3"/>
  <c r="T74" i="3"/>
  <c r="U74" i="3"/>
  <c r="V74" i="3"/>
  <c r="W74" i="3"/>
  <c r="X74" i="3"/>
  <c r="Y74" i="3"/>
  <c r="Z74" i="3"/>
  <c r="AA74" i="3"/>
  <c r="AB74" i="3"/>
  <c r="AC74" i="3"/>
  <c r="AD74" i="3"/>
  <c r="AE74" i="3"/>
  <c r="AF74" i="3"/>
  <c r="AG74" i="3"/>
  <c r="J75" i="3"/>
  <c r="K75" i="3"/>
  <c r="L75" i="3"/>
  <c r="M75" i="3"/>
  <c r="N75" i="3"/>
  <c r="O75" i="3"/>
  <c r="P75" i="3"/>
  <c r="Q75" i="3"/>
  <c r="R75" i="3"/>
  <c r="S75" i="3"/>
  <c r="T75" i="3"/>
  <c r="U75" i="3"/>
  <c r="V75" i="3"/>
  <c r="W75" i="3"/>
  <c r="X75" i="3"/>
  <c r="Y75" i="3"/>
  <c r="Z75" i="3"/>
  <c r="AA75" i="3"/>
  <c r="AB75" i="3"/>
  <c r="AC75" i="3"/>
  <c r="AD75" i="3"/>
  <c r="AE75" i="3"/>
  <c r="AF75" i="3"/>
  <c r="AG75" i="3"/>
  <c r="J76" i="3"/>
  <c r="K76" i="3"/>
  <c r="L76" i="3"/>
  <c r="M76" i="3"/>
  <c r="N76" i="3"/>
  <c r="O76" i="3"/>
  <c r="P76" i="3"/>
  <c r="Q76" i="3"/>
  <c r="R76" i="3"/>
  <c r="S76" i="3"/>
  <c r="T76" i="3"/>
  <c r="U76" i="3"/>
  <c r="V76" i="3"/>
  <c r="W76" i="3"/>
  <c r="X76" i="3"/>
  <c r="Y76" i="3"/>
  <c r="Z76" i="3"/>
  <c r="AA76" i="3"/>
  <c r="AB76" i="3"/>
  <c r="AC76" i="3"/>
  <c r="AD76" i="3"/>
  <c r="AE76" i="3"/>
  <c r="AF76" i="3"/>
  <c r="AG76" i="3"/>
  <c r="J77" i="3"/>
  <c r="K77" i="3"/>
  <c r="L77" i="3"/>
  <c r="M77" i="3"/>
  <c r="N77" i="3"/>
  <c r="O77" i="3"/>
  <c r="P77" i="3"/>
  <c r="Q77" i="3"/>
  <c r="R77" i="3"/>
  <c r="S77" i="3"/>
  <c r="T77" i="3"/>
  <c r="U77" i="3"/>
  <c r="V77" i="3"/>
  <c r="W77" i="3"/>
  <c r="X77" i="3"/>
  <c r="Y77" i="3"/>
  <c r="Z77" i="3"/>
  <c r="AA77" i="3"/>
  <c r="AB77" i="3"/>
  <c r="AC77" i="3"/>
  <c r="AD77" i="3"/>
  <c r="AE77" i="3"/>
  <c r="AF77" i="3"/>
  <c r="AG77" i="3"/>
  <c r="J78" i="3"/>
  <c r="K78" i="3"/>
  <c r="L78" i="3"/>
  <c r="M78" i="3"/>
  <c r="N78" i="3"/>
  <c r="O78" i="3"/>
  <c r="P78" i="3"/>
  <c r="Q78" i="3"/>
  <c r="R78" i="3"/>
  <c r="S78" i="3"/>
  <c r="T78" i="3"/>
  <c r="U78" i="3"/>
  <c r="V78" i="3"/>
  <c r="W78" i="3"/>
  <c r="X78" i="3"/>
  <c r="Y78" i="3"/>
  <c r="Z78" i="3"/>
  <c r="AA78" i="3"/>
  <c r="AB78" i="3"/>
  <c r="AC78" i="3"/>
  <c r="AD78" i="3"/>
  <c r="AE78" i="3"/>
  <c r="AF78" i="3"/>
  <c r="AG78" i="3"/>
  <c r="J79" i="3"/>
  <c r="K79" i="3"/>
  <c r="L79" i="3"/>
  <c r="M79" i="3"/>
  <c r="N79" i="3"/>
  <c r="O79" i="3"/>
  <c r="P79" i="3"/>
  <c r="Q79" i="3"/>
  <c r="R79" i="3"/>
  <c r="S79" i="3"/>
  <c r="T79" i="3"/>
  <c r="U79" i="3"/>
  <c r="V79" i="3"/>
  <c r="W79" i="3"/>
  <c r="X79" i="3"/>
  <c r="Y79" i="3"/>
  <c r="Z79" i="3"/>
  <c r="AA79" i="3"/>
  <c r="AB79" i="3"/>
  <c r="AC79" i="3"/>
  <c r="AD79" i="3"/>
  <c r="AE79" i="3"/>
  <c r="AF79" i="3"/>
  <c r="AG79" i="3"/>
  <c r="J80" i="3"/>
  <c r="K80" i="3"/>
  <c r="L80" i="3"/>
  <c r="M80" i="3"/>
  <c r="N80" i="3"/>
  <c r="O80" i="3"/>
  <c r="P80" i="3"/>
  <c r="Q80" i="3"/>
  <c r="R80" i="3"/>
  <c r="S80" i="3"/>
  <c r="T80" i="3"/>
  <c r="U80" i="3"/>
  <c r="V80" i="3"/>
  <c r="W80" i="3"/>
  <c r="X80" i="3"/>
  <c r="Y80" i="3"/>
  <c r="Z80" i="3"/>
  <c r="AA80" i="3"/>
  <c r="AB80" i="3"/>
  <c r="AC80" i="3"/>
  <c r="AD80" i="3"/>
  <c r="AE80" i="3"/>
  <c r="AF80" i="3"/>
  <c r="AG80" i="3"/>
  <c r="J81" i="3"/>
  <c r="K81" i="3"/>
  <c r="L81" i="3"/>
  <c r="M81" i="3"/>
  <c r="N81" i="3"/>
  <c r="O81" i="3"/>
  <c r="P81" i="3"/>
  <c r="Q81" i="3"/>
  <c r="R81" i="3"/>
  <c r="S81" i="3"/>
  <c r="T81" i="3"/>
  <c r="U81" i="3"/>
  <c r="V81" i="3"/>
  <c r="W81" i="3"/>
  <c r="X81" i="3"/>
  <c r="Y81" i="3"/>
  <c r="Z81" i="3"/>
  <c r="AA81" i="3"/>
  <c r="AB81" i="3"/>
  <c r="AC81" i="3"/>
  <c r="AD81" i="3"/>
  <c r="AE81" i="3"/>
  <c r="AF81" i="3"/>
  <c r="AG81" i="3"/>
  <c r="J82" i="3"/>
  <c r="K82" i="3"/>
  <c r="L82" i="3"/>
  <c r="M82" i="3"/>
  <c r="N82" i="3"/>
  <c r="O82" i="3"/>
  <c r="P82" i="3"/>
  <c r="Q82" i="3"/>
  <c r="R82" i="3"/>
  <c r="S82" i="3"/>
  <c r="T82" i="3"/>
  <c r="U82" i="3"/>
  <c r="V82" i="3"/>
  <c r="W82" i="3"/>
  <c r="X82" i="3"/>
  <c r="Y82" i="3"/>
  <c r="Z82" i="3"/>
  <c r="AA82" i="3"/>
  <c r="AB82" i="3"/>
  <c r="AC82" i="3"/>
  <c r="AD82" i="3"/>
  <c r="AE82" i="3"/>
  <c r="AF82" i="3"/>
  <c r="AG82" i="3"/>
  <c r="J83" i="3"/>
  <c r="K83" i="3"/>
  <c r="L83" i="3"/>
  <c r="M83" i="3"/>
  <c r="N83" i="3"/>
  <c r="O83" i="3"/>
  <c r="P83" i="3"/>
  <c r="Q83" i="3"/>
  <c r="R83" i="3"/>
  <c r="S83" i="3"/>
  <c r="T83" i="3"/>
  <c r="U83" i="3"/>
  <c r="V83" i="3"/>
  <c r="W83" i="3"/>
  <c r="X83" i="3"/>
  <c r="Y83" i="3"/>
  <c r="Z83" i="3"/>
  <c r="AA83" i="3"/>
  <c r="AB83" i="3"/>
  <c r="AC83" i="3"/>
  <c r="AD83" i="3"/>
  <c r="AE83" i="3"/>
  <c r="AF83" i="3"/>
  <c r="AG83" i="3"/>
  <c r="J84" i="3"/>
  <c r="K84" i="3"/>
  <c r="L84" i="3"/>
  <c r="M84" i="3"/>
  <c r="N84" i="3"/>
  <c r="O84" i="3"/>
  <c r="P84" i="3"/>
  <c r="Q84" i="3"/>
  <c r="R84" i="3"/>
  <c r="S84" i="3"/>
  <c r="T84" i="3"/>
  <c r="U84" i="3"/>
  <c r="V84" i="3"/>
  <c r="W84" i="3"/>
  <c r="X84" i="3"/>
  <c r="Y84" i="3"/>
  <c r="Z84" i="3"/>
  <c r="AA84" i="3"/>
  <c r="AB84" i="3"/>
  <c r="AC84" i="3"/>
  <c r="AD84" i="3"/>
  <c r="AE84" i="3"/>
  <c r="AF84" i="3"/>
  <c r="AG84" i="3"/>
  <c r="J85" i="3"/>
  <c r="K85" i="3"/>
  <c r="L85" i="3"/>
  <c r="M85" i="3"/>
  <c r="N85" i="3"/>
  <c r="O85" i="3"/>
  <c r="P85" i="3"/>
  <c r="Q85" i="3"/>
  <c r="R85" i="3"/>
  <c r="S85" i="3"/>
  <c r="T85" i="3"/>
  <c r="U85" i="3"/>
  <c r="V85" i="3"/>
  <c r="W85" i="3"/>
  <c r="X85" i="3"/>
  <c r="Y85" i="3"/>
  <c r="Z85" i="3"/>
  <c r="AA85" i="3"/>
  <c r="AB85" i="3"/>
  <c r="AC85" i="3"/>
  <c r="AD85" i="3"/>
  <c r="AE85" i="3"/>
  <c r="AF85" i="3"/>
  <c r="AG85" i="3"/>
  <c r="J86" i="3"/>
  <c r="K86" i="3"/>
  <c r="L86" i="3"/>
  <c r="M86" i="3"/>
  <c r="N86" i="3"/>
  <c r="O86" i="3"/>
  <c r="P86" i="3"/>
  <c r="Q86" i="3"/>
  <c r="R86" i="3"/>
  <c r="S86" i="3"/>
  <c r="T86" i="3"/>
  <c r="U86" i="3"/>
  <c r="V86" i="3"/>
  <c r="W86" i="3"/>
  <c r="X86" i="3"/>
  <c r="Y86" i="3"/>
  <c r="Z86" i="3"/>
  <c r="AA86" i="3"/>
  <c r="AB86" i="3"/>
  <c r="AC86" i="3"/>
  <c r="AD86" i="3"/>
  <c r="AE86" i="3"/>
  <c r="AF86" i="3"/>
  <c r="AG86" i="3"/>
  <c r="J87" i="3"/>
  <c r="K87" i="3"/>
  <c r="L87" i="3"/>
  <c r="M87" i="3"/>
  <c r="N87" i="3"/>
  <c r="O87" i="3"/>
  <c r="P87" i="3"/>
  <c r="Q87" i="3"/>
  <c r="R87" i="3"/>
  <c r="S87" i="3"/>
  <c r="T87" i="3"/>
  <c r="U87" i="3"/>
  <c r="V87" i="3"/>
  <c r="W87" i="3"/>
  <c r="X87" i="3"/>
  <c r="Y87" i="3"/>
  <c r="Z87" i="3"/>
  <c r="AA87" i="3"/>
  <c r="AB87" i="3"/>
  <c r="AC87" i="3"/>
  <c r="AD87" i="3"/>
  <c r="AE87" i="3"/>
  <c r="AF87" i="3"/>
  <c r="AG87" i="3"/>
  <c r="J88" i="3"/>
  <c r="K88" i="3"/>
  <c r="L88" i="3"/>
  <c r="M88" i="3"/>
  <c r="N88" i="3"/>
  <c r="O88" i="3"/>
  <c r="P88" i="3"/>
  <c r="Q88" i="3"/>
  <c r="R88" i="3"/>
  <c r="S88" i="3"/>
  <c r="T88" i="3"/>
  <c r="U88" i="3"/>
  <c r="V88" i="3"/>
  <c r="W88" i="3"/>
  <c r="X88" i="3"/>
  <c r="Y88" i="3"/>
  <c r="Z88" i="3"/>
  <c r="AA88" i="3"/>
  <c r="AB88" i="3"/>
  <c r="AC88" i="3"/>
  <c r="AD88" i="3"/>
  <c r="AE88" i="3"/>
  <c r="AF88" i="3"/>
  <c r="AG88" i="3"/>
  <c r="J89" i="3"/>
  <c r="K89" i="3"/>
  <c r="L89" i="3"/>
  <c r="M89" i="3"/>
  <c r="N89" i="3"/>
  <c r="O89" i="3"/>
  <c r="P89" i="3"/>
  <c r="Q89" i="3"/>
  <c r="R89" i="3"/>
  <c r="S89" i="3"/>
  <c r="T89" i="3"/>
  <c r="U89" i="3"/>
  <c r="V89" i="3"/>
  <c r="W89" i="3"/>
  <c r="X89" i="3"/>
  <c r="Y89" i="3"/>
  <c r="Z89" i="3"/>
  <c r="AA89" i="3"/>
  <c r="AB89" i="3"/>
  <c r="AC89" i="3"/>
  <c r="AD89" i="3"/>
  <c r="AE89" i="3"/>
  <c r="AF89" i="3"/>
  <c r="AG89" i="3"/>
  <c r="J90" i="3"/>
  <c r="K90" i="3"/>
  <c r="L90" i="3"/>
  <c r="M90" i="3"/>
  <c r="N90" i="3"/>
  <c r="O90" i="3"/>
  <c r="P90" i="3"/>
  <c r="Q90" i="3"/>
  <c r="R90" i="3"/>
  <c r="S90" i="3"/>
  <c r="T90" i="3"/>
  <c r="U90" i="3"/>
  <c r="V90" i="3"/>
  <c r="W90" i="3"/>
  <c r="X90" i="3"/>
  <c r="Y90" i="3"/>
  <c r="Z90" i="3"/>
  <c r="AA90" i="3"/>
  <c r="AB90" i="3"/>
  <c r="AC90" i="3"/>
  <c r="AD90" i="3"/>
  <c r="AE90" i="3"/>
  <c r="AF90" i="3"/>
  <c r="AG90" i="3"/>
  <c r="J91" i="3"/>
  <c r="K91" i="3"/>
  <c r="L91" i="3"/>
  <c r="M91" i="3"/>
  <c r="N91" i="3"/>
  <c r="O91" i="3"/>
  <c r="P91" i="3"/>
  <c r="Q91" i="3"/>
  <c r="R91" i="3"/>
  <c r="S91" i="3"/>
  <c r="T91" i="3"/>
  <c r="U91" i="3"/>
  <c r="V91" i="3"/>
  <c r="W91" i="3"/>
  <c r="X91" i="3"/>
  <c r="Y91" i="3"/>
  <c r="Z91" i="3"/>
  <c r="AA91" i="3"/>
  <c r="AB91" i="3"/>
  <c r="AC91" i="3"/>
  <c r="AD91" i="3"/>
  <c r="AE91" i="3"/>
  <c r="AF91" i="3"/>
  <c r="AG91" i="3"/>
  <c r="J92" i="3"/>
  <c r="K92" i="3"/>
  <c r="L92" i="3"/>
  <c r="M92" i="3"/>
  <c r="N92" i="3"/>
  <c r="O92" i="3"/>
  <c r="P92" i="3"/>
  <c r="Q92" i="3"/>
  <c r="R92" i="3"/>
  <c r="S92" i="3"/>
  <c r="T92" i="3"/>
  <c r="U92" i="3"/>
  <c r="V92" i="3"/>
  <c r="W92" i="3"/>
  <c r="X92" i="3"/>
  <c r="Y92" i="3"/>
  <c r="Z92" i="3"/>
  <c r="AA92" i="3"/>
  <c r="AB92" i="3"/>
  <c r="AC92" i="3"/>
  <c r="AD92" i="3"/>
  <c r="AE92" i="3"/>
  <c r="AF92" i="3"/>
  <c r="AG92" i="3"/>
  <c r="J93" i="3"/>
  <c r="K93" i="3"/>
  <c r="L93" i="3"/>
  <c r="M93" i="3"/>
  <c r="N93" i="3"/>
  <c r="O93" i="3"/>
  <c r="P93" i="3"/>
  <c r="Q93" i="3"/>
  <c r="R93" i="3"/>
  <c r="S93" i="3"/>
  <c r="T93" i="3"/>
  <c r="U93" i="3"/>
  <c r="V93" i="3"/>
  <c r="W93" i="3"/>
  <c r="X93" i="3"/>
  <c r="Y93" i="3"/>
  <c r="Z93" i="3"/>
  <c r="AA93" i="3"/>
  <c r="AB93" i="3"/>
  <c r="AC93" i="3"/>
  <c r="AD93" i="3"/>
  <c r="AE93" i="3"/>
  <c r="AF93" i="3"/>
  <c r="AG93" i="3"/>
  <c r="J94" i="3"/>
  <c r="K94" i="3"/>
  <c r="L94" i="3"/>
  <c r="M94" i="3"/>
  <c r="N94" i="3"/>
  <c r="O94" i="3"/>
  <c r="P94" i="3"/>
  <c r="Q94" i="3"/>
  <c r="R94" i="3"/>
  <c r="S94" i="3"/>
  <c r="T94" i="3"/>
  <c r="U94" i="3"/>
  <c r="V94" i="3"/>
  <c r="W94" i="3"/>
  <c r="X94" i="3"/>
  <c r="Y94" i="3"/>
  <c r="Z94" i="3"/>
  <c r="AA94" i="3"/>
  <c r="AB94" i="3"/>
  <c r="AC94" i="3"/>
  <c r="AD94" i="3"/>
  <c r="AE94" i="3"/>
  <c r="AF94" i="3"/>
  <c r="AG94" i="3"/>
  <c r="J95" i="3"/>
  <c r="K95" i="3"/>
  <c r="L95" i="3"/>
  <c r="M95" i="3"/>
  <c r="N95" i="3"/>
  <c r="O95" i="3"/>
  <c r="P95" i="3"/>
  <c r="Q95" i="3"/>
  <c r="R95" i="3"/>
  <c r="S95" i="3"/>
  <c r="T95" i="3"/>
  <c r="U95" i="3"/>
  <c r="V95" i="3"/>
  <c r="W95" i="3"/>
  <c r="X95" i="3"/>
  <c r="Y95" i="3"/>
  <c r="Z95" i="3"/>
  <c r="AA95" i="3"/>
  <c r="AB95" i="3"/>
  <c r="AC95" i="3"/>
  <c r="AD95" i="3"/>
  <c r="AE95" i="3"/>
  <c r="AF95" i="3"/>
  <c r="AG95" i="3"/>
  <c r="J96" i="3"/>
  <c r="K96" i="3"/>
  <c r="L96" i="3"/>
  <c r="M96" i="3"/>
  <c r="N96" i="3"/>
  <c r="O96" i="3"/>
  <c r="P96" i="3"/>
  <c r="Q96" i="3"/>
  <c r="R96" i="3"/>
  <c r="S96" i="3"/>
  <c r="T96" i="3"/>
  <c r="U96" i="3"/>
  <c r="V96" i="3"/>
  <c r="W96" i="3"/>
  <c r="X96" i="3"/>
  <c r="Y96" i="3"/>
  <c r="Z96" i="3"/>
  <c r="AA96" i="3"/>
  <c r="AB96" i="3"/>
  <c r="AC96" i="3"/>
  <c r="AD96" i="3"/>
  <c r="AE96" i="3"/>
  <c r="AF96" i="3"/>
  <c r="AG96" i="3"/>
  <c r="J97" i="3"/>
  <c r="K97" i="3"/>
  <c r="L97" i="3"/>
  <c r="M97" i="3"/>
  <c r="N97" i="3"/>
  <c r="O97" i="3"/>
  <c r="P97" i="3"/>
  <c r="Q97" i="3"/>
  <c r="R97" i="3"/>
  <c r="S97" i="3"/>
  <c r="T97" i="3"/>
  <c r="U97" i="3"/>
  <c r="V97" i="3"/>
  <c r="W97" i="3"/>
  <c r="X97" i="3"/>
  <c r="Y97" i="3"/>
  <c r="Z97" i="3"/>
  <c r="AA97" i="3"/>
  <c r="AB97" i="3"/>
  <c r="AC97" i="3"/>
  <c r="AD97" i="3"/>
  <c r="AE97" i="3"/>
  <c r="AF97" i="3"/>
  <c r="AG97" i="3"/>
  <c r="J98" i="3"/>
  <c r="K98" i="3"/>
  <c r="L98" i="3"/>
  <c r="M98" i="3"/>
  <c r="N98" i="3"/>
  <c r="O98" i="3"/>
  <c r="P98" i="3"/>
  <c r="Q98" i="3"/>
  <c r="R98" i="3"/>
  <c r="S98" i="3"/>
  <c r="T98" i="3"/>
  <c r="U98" i="3"/>
  <c r="V98" i="3"/>
  <c r="W98" i="3"/>
  <c r="X98" i="3"/>
  <c r="Y98" i="3"/>
  <c r="Z98" i="3"/>
  <c r="AA98" i="3"/>
  <c r="AB98" i="3"/>
  <c r="AC98" i="3"/>
  <c r="AD98" i="3"/>
  <c r="AE98" i="3"/>
  <c r="AF98" i="3"/>
  <c r="AG98" i="3"/>
  <c r="J99" i="3"/>
  <c r="K99" i="3"/>
  <c r="L99" i="3"/>
  <c r="M99" i="3"/>
  <c r="N99" i="3"/>
  <c r="O99" i="3"/>
  <c r="P99" i="3"/>
  <c r="Q99" i="3"/>
  <c r="R99" i="3"/>
  <c r="S99" i="3"/>
  <c r="T99" i="3"/>
  <c r="U99" i="3"/>
  <c r="V99" i="3"/>
  <c r="W99" i="3"/>
  <c r="X99" i="3"/>
  <c r="Y99" i="3"/>
  <c r="Z99" i="3"/>
  <c r="AA99" i="3"/>
  <c r="AB99" i="3"/>
  <c r="AC99" i="3"/>
  <c r="AD99" i="3"/>
  <c r="AE99" i="3"/>
  <c r="AF99" i="3"/>
  <c r="AG99" i="3"/>
  <c r="J100" i="3"/>
  <c r="K100" i="3"/>
  <c r="L100" i="3"/>
  <c r="M100" i="3"/>
  <c r="N100" i="3"/>
  <c r="O100" i="3"/>
  <c r="P100" i="3"/>
  <c r="Q100" i="3"/>
  <c r="R100" i="3"/>
  <c r="S100" i="3"/>
  <c r="T100" i="3"/>
  <c r="U100" i="3"/>
  <c r="V100" i="3"/>
  <c r="W100" i="3"/>
  <c r="X100" i="3"/>
  <c r="Y100" i="3"/>
  <c r="Z100" i="3"/>
  <c r="AA100" i="3"/>
  <c r="AB100" i="3"/>
  <c r="AC100" i="3"/>
  <c r="AD100" i="3"/>
  <c r="AE100" i="3"/>
  <c r="AF100" i="3"/>
  <c r="AG100" i="3"/>
  <c r="J101" i="3"/>
  <c r="K101" i="3"/>
  <c r="L101" i="3"/>
  <c r="M101" i="3"/>
  <c r="N101" i="3"/>
  <c r="O101" i="3"/>
  <c r="P101" i="3"/>
  <c r="Q101" i="3"/>
  <c r="R101" i="3"/>
  <c r="S101" i="3"/>
  <c r="T101" i="3"/>
  <c r="U101" i="3"/>
  <c r="V101" i="3"/>
  <c r="W101" i="3"/>
  <c r="X101" i="3"/>
  <c r="Y101" i="3"/>
  <c r="Z101" i="3"/>
  <c r="AA101" i="3"/>
  <c r="AB101" i="3"/>
  <c r="AC101" i="3"/>
  <c r="AD101" i="3"/>
  <c r="AE101" i="3"/>
  <c r="AF101" i="3"/>
  <c r="AG101" i="3"/>
  <c r="J102" i="3"/>
  <c r="K102" i="3"/>
  <c r="L102" i="3"/>
  <c r="M102" i="3"/>
  <c r="N102" i="3"/>
  <c r="O102" i="3"/>
  <c r="P102" i="3"/>
  <c r="Q102" i="3"/>
  <c r="R102" i="3"/>
  <c r="S102" i="3"/>
  <c r="T102" i="3"/>
  <c r="U102" i="3"/>
  <c r="V102" i="3"/>
  <c r="W102" i="3"/>
  <c r="X102" i="3"/>
  <c r="Y102" i="3"/>
  <c r="Z102" i="3"/>
  <c r="AA102" i="3"/>
  <c r="AB102" i="3"/>
  <c r="AC102" i="3"/>
  <c r="AD102" i="3"/>
  <c r="AE102" i="3"/>
  <c r="AF102" i="3"/>
  <c r="AG102" i="3"/>
  <c r="J103" i="3"/>
  <c r="K103" i="3"/>
  <c r="L103" i="3"/>
  <c r="M103" i="3"/>
  <c r="N103" i="3"/>
  <c r="O103" i="3"/>
  <c r="P103" i="3"/>
  <c r="Q103" i="3"/>
  <c r="R103" i="3"/>
  <c r="S103" i="3"/>
  <c r="T103" i="3"/>
  <c r="U103" i="3"/>
  <c r="V103" i="3"/>
  <c r="W103" i="3"/>
  <c r="X103" i="3"/>
  <c r="Y103" i="3"/>
  <c r="Z103" i="3"/>
  <c r="AA103" i="3"/>
  <c r="AB103" i="3"/>
  <c r="AC103" i="3"/>
  <c r="AD103" i="3"/>
  <c r="AE103" i="3"/>
  <c r="AF103" i="3"/>
  <c r="AG103" i="3"/>
  <c r="J104" i="3"/>
  <c r="K104" i="3"/>
  <c r="L104" i="3"/>
  <c r="M104" i="3"/>
  <c r="N104" i="3"/>
  <c r="O104" i="3"/>
  <c r="P104" i="3"/>
  <c r="Q104" i="3"/>
  <c r="R104" i="3"/>
  <c r="S104" i="3"/>
  <c r="T104" i="3"/>
  <c r="U104" i="3"/>
  <c r="V104" i="3"/>
  <c r="W104" i="3"/>
  <c r="X104" i="3"/>
  <c r="Y104" i="3"/>
  <c r="Z104" i="3"/>
  <c r="AA104" i="3"/>
  <c r="AB104" i="3"/>
  <c r="AC104" i="3"/>
  <c r="AD104" i="3"/>
  <c r="AE104" i="3"/>
  <c r="AF104" i="3"/>
  <c r="AG104" i="3"/>
  <c r="J105" i="3"/>
  <c r="K105" i="3"/>
  <c r="L105" i="3"/>
  <c r="M105" i="3"/>
  <c r="N105" i="3"/>
  <c r="O105" i="3"/>
  <c r="P105" i="3"/>
  <c r="Q105" i="3"/>
  <c r="R105" i="3"/>
  <c r="S105" i="3"/>
  <c r="T105" i="3"/>
  <c r="U105" i="3"/>
  <c r="V105" i="3"/>
  <c r="W105" i="3"/>
  <c r="X105" i="3"/>
  <c r="Y105" i="3"/>
  <c r="Z105" i="3"/>
  <c r="AA105" i="3"/>
  <c r="AB105" i="3"/>
  <c r="AC105" i="3"/>
  <c r="AD105" i="3"/>
  <c r="AE105" i="3"/>
  <c r="AF105" i="3"/>
  <c r="AG105" i="3"/>
  <c r="J106" i="3"/>
  <c r="K106" i="3"/>
  <c r="L106" i="3"/>
  <c r="M106" i="3"/>
  <c r="N106" i="3"/>
  <c r="O106" i="3"/>
  <c r="P106" i="3"/>
  <c r="Q106" i="3"/>
  <c r="R106" i="3"/>
  <c r="S106" i="3"/>
  <c r="T106" i="3"/>
  <c r="U106" i="3"/>
  <c r="V106" i="3"/>
  <c r="W106" i="3"/>
  <c r="X106" i="3"/>
  <c r="Y106" i="3"/>
  <c r="Z106" i="3"/>
  <c r="AA106" i="3"/>
  <c r="AB106" i="3"/>
  <c r="AC106" i="3"/>
  <c r="AD106" i="3"/>
  <c r="AE106" i="3"/>
  <c r="AF106" i="3"/>
  <c r="AG106" i="3"/>
  <c r="J107" i="3"/>
  <c r="K107" i="3"/>
  <c r="L107" i="3"/>
  <c r="M107" i="3"/>
  <c r="N107" i="3"/>
  <c r="O107" i="3"/>
  <c r="P107" i="3"/>
  <c r="Q107" i="3"/>
  <c r="R107" i="3"/>
  <c r="S107" i="3"/>
  <c r="T107" i="3"/>
  <c r="U107" i="3"/>
  <c r="V107" i="3"/>
  <c r="W107" i="3"/>
  <c r="X107" i="3"/>
  <c r="Y107" i="3"/>
  <c r="Z107" i="3"/>
  <c r="AA107" i="3"/>
  <c r="AB107" i="3"/>
  <c r="AC107" i="3"/>
  <c r="AD107" i="3"/>
  <c r="AE107" i="3"/>
  <c r="AF107" i="3"/>
  <c r="AG107" i="3"/>
  <c r="J108" i="3"/>
  <c r="K108" i="3"/>
  <c r="L108" i="3"/>
  <c r="M108" i="3"/>
  <c r="N108" i="3"/>
  <c r="O108" i="3"/>
  <c r="P108" i="3"/>
  <c r="Q108" i="3"/>
  <c r="R108" i="3"/>
  <c r="S108" i="3"/>
  <c r="T108" i="3"/>
  <c r="U108" i="3"/>
  <c r="V108" i="3"/>
  <c r="W108" i="3"/>
  <c r="X108" i="3"/>
  <c r="Y108" i="3"/>
  <c r="Z108" i="3"/>
  <c r="AA108" i="3"/>
  <c r="AB108" i="3"/>
  <c r="AC108" i="3"/>
  <c r="AD108" i="3"/>
  <c r="AE108" i="3"/>
  <c r="AF108" i="3"/>
  <c r="AG108" i="3"/>
  <c r="J109" i="3"/>
  <c r="K109" i="3"/>
  <c r="L109" i="3"/>
  <c r="M109" i="3"/>
  <c r="N109" i="3"/>
  <c r="O109" i="3"/>
  <c r="P109" i="3"/>
  <c r="Q109" i="3"/>
  <c r="R109" i="3"/>
  <c r="S109" i="3"/>
  <c r="T109" i="3"/>
  <c r="U109" i="3"/>
  <c r="V109" i="3"/>
  <c r="W109" i="3"/>
  <c r="X109" i="3"/>
  <c r="Y109" i="3"/>
  <c r="Z109" i="3"/>
  <c r="AA109" i="3"/>
  <c r="AB109" i="3"/>
  <c r="AC109" i="3"/>
  <c r="AD109" i="3"/>
  <c r="AE109" i="3"/>
  <c r="AF109" i="3"/>
  <c r="AG109" i="3"/>
  <c r="J110" i="3"/>
  <c r="K110" i="3"/>
  <c r="L110" i="3"/>
  <c r="M110" i="3"/>
  <c r="N110" i="3"/>
  <c r="O110" i="3"/>
  <c r="P110" i="3"/>
  <c r="Q110" i="3"/>
  <c r="R110" i="3"/>
  <c r="S110" i="3"/>
  <c r="T110" i="3"/>
  <c r="U110" i="3"/>
  <c r="V110" i="3"/>
  <c r="W110" i="3"/>
  <c r="X110" i="3"/>
  <c r="Y110" i="3"/>
  <c r="Z110" i="3"/>
  <c r="AA110" i="3"/>
  <c r="AB110" i="3"/>
  <c r="AC110" i="3"/>
  <c r="AD110" i="3"/>
  <c r="AE110" i="3"/>
  <c r="AF110" i="3"/>
  <c r="AG110" i="3"/>
  <c r="J111" i="3"/>
  <c r="K111" i="3"/>
  <c r="L111" i="3"/>
  <c r="M111" i="3"/>
  <c r="N111" i="3"/>
  <c r="O111" i="3"/>
  <c r="P111" i="3"/>
  <c r="Q111" i="3"/>
  <c r="R111" i="3"/>
  <c r="S111" i="3"/>
  <c r="T111" i="3"/>
  <c r="U111" i="3"/>
  <c r="V111" i="3"/>
  <c r="W111" i="3"/>
  <c r="X111" i="3"/>
  <c r="Y111" i="3"/>
  <c r="Z111" i="3"/>
  <c r="AA111" i="3"/>
  <c r="AB111" i="3"/>
  <c r="AC111" i="3"/>
  <c r="AD111" i="3"/>
  <c r="AE111" i="3"/>
  <c r="AF111" i="3"/>
  <c r="AG111" i="3"/>
  <c r="J112" i="3"/>
  <c r="K112" i="3"/>
  <c r="L112" i="3"/>
  <c r="M112" i="3"/>
  <c r="N112" i="3"/>
  <c r="O112" i="3"/>
  <c r="P112" i="3"/>
  <c r="Q112" i="3"/>
  <c r="R112" i="3"/>
  <c r="S112" i="3"/>
  <c r="T112" i="3"/>
  <c r="U112" i="3"/>
  <c r="V112" i="3"/>
  <c r="W112" i="3"/>
  <c r="X112" i="3"/>
  <c r="Y112" i="3"/>
  <c r="Z112" i="3"/>
  <c r="AA112" i="3"/>
  <c r="AB112" i="3"/>
  <c r="AC112" i="3"/>
  <c r="AD112" i="3"/>
  <c r="AE112" i="3"/>
  <c r="AF112" i="3"/>
  <c r="AG112" i="3"/>
  <c r="J113" i="3"/>
  <c r="K113" i="3"/>
  <c r="L113" i="3"/>
  <c r="M113" i="3"/>
  <c r="N113" i="3"/>
  <c r="O113" i="3"/>
  <c r="P113" i="3"/>
  <c r="Q113" i="3"/>
  <c r="R113" i="3"/>
  <c r="S113" i="3"/>
  <c r="T113" i="3"/>
  <c r="U113" i="3"/>
  <c r="V113" i="3"/>
  <c r="W113" i="3"/>
  <c r="X113" i="3"/>
  <c r="Y113" i="3"/>
  <c r="Z113" i="3"/>
  <c r="AA113" i="3"/>
  <c r="AB113" i="3"/>
  <c r="AC113" i="3"/>
  <c r="AD113" i="3"/>
  <c r="AE113" i="3"/>
  <c r="AF113" i="3"/>
  <c r="AG113" i="3"/>
  <c r="J114" i="3"/>
  <c r="K114" i="3"/>
  <c r="L114" i="3"/>
  <c r="M114" i="3"/>
  <c r="N114" i="3"/>
  <c r="O114" i="3"/>
  <c r="P114" i="3"/>
  <c r="Q114" i="3"/>
  <c r="R114" i="3"/>
  <c r="S114" i="3"/>
  <c r="T114" i="3"/>
  <c r="U114" i="3"/>
  <c r="V114" i="3"/>
  <c r="W114" i="3"/>
  <c r="X114" i="3"/>
  <c r="Y114" i="3"/>
  <c r="Z114" i="3"/>
  <c r="AA114" i="3"/>
  <c r="AB114" i="3"/>
  <c r="AC114" i="3"/>
  <c r="AD114" i="3"/>
  <c r="AE114" i="3"/>
  <c r="AF114" i="3"/>
  <c r="AG114" i="3"/>
  <c r="J115" i="3"/>
  <c r="K115" i="3"/>
  <c r="L115" i="3"/>
  <c r="M115" i="3"/>
  <c r="N115" i="3"/>
  <c r="O115" i="3"/>
  <c r="P115" i="3"/>
  <c r="Q115" i="3"/>
  <c r="R115" i="3"/>
  <c r="S115" i="3"/>
  <c r="T115" i="3"/>
  <c r="U115" i="3"/>
  <c r="V115" i="3"/>
  <c r="W115" i="3"/>
  <c r="X115" i="3"/>
  <c r="Y115" i="3"/>
  <c r="Z115" i="3"/>
  <c r="AA115" i="3"/>
  <c r="AB115" i="3"/>
  <c r="AC115" i="3"/>
  <c r="AD115" i="3"/>
  <c r="AE115" i="3"/>
  <c r="AF115" i="3"/>
  <c r="AG115" i="3"/>
  <c r="J116" i="3"/>
  <c r="K116" i="3"/>
  <c r="L116" i="3"/>
  <c r="M116" i="3"/>
  <c r="N116" i="3"/>
  <c r="O116" i="3"/>
  <c r="P116" i="3"/>
  <c r="Q116" i="3"/>
  <c r="R116" i="3"/>
  <c r="S116" i="3"/>
  <c r="T116" i="3"/>
  <c r="U116" i="3"/>
  <c r="V116" i="3"/>
  <c r="W116" i="3"/>
  <c r="X116" i="3"/>
  <c r="Y116" i="3"/>
  <c r="Z116" i="3"/>
  <c r="AA116" i="3"/>
  <c r="AB116" i="3"/>
  <c r="AC116" i="3"/>
  <c r="AD116" i="3"/>
  <c r="AE116" i="3"/>
  <c r="AF116" i="3"/>
  <c r="AG116" i="3"/>
  <c r="J117" i="3"/>
  <c r="K117" i="3"/>
  <c r="L117" i="3"/>
  <c r="M117" i="3"/>
  <c r="N117" i="3"/>
  <c r="O117" i="3"/>
  <c r="P117" i="3"/>
  <c r="Q117" i="3"/>
  <c r="R117" i="3"/>
  <c r="S117" i="3"/>
  <c r="T117" i="3"/>
  <c r="U117" i="3"/>
  <c r="V117" i="3"/>
  <c r="W117" i="3"/>
  <c r="X117" i="3"/>
  <c r="Y117" i="3"/>
  <c r="Z117" i="3"/>
  <c r="AA117" i="3"/>
  <c r="AB117" i="3"/>
  <c r="AC117" i="3"/>
  <c r="AD117" i="3"/>
  <c r="AE117" i="3"/>
  <c r="AF117" i="3"/>
  <c r="AG117" i="3"/>
  <c r="J118" i="3"/>
  <c r="K118" i="3"/>
  <c r="L118" i="3"/>
  <c r="M118" i="3"/>
  <c r="N118" i="3"/>
  <c r="O118" i="3"/>
  <c r="P118" i="3"/>
  <c r="Q118" i="3"/>
  <c r="R118" i="3"/>
  <c r="S118" i="3"/>
  <c r="T118" i="3"/>
  <c r="U118" i="3"/>
  <c r="V118" i="3"/>
  <c r="W118" i="3"/>
  <c r="X118" i="3"/>
  <c r="Y118" i="3"/>
  <c r="Z118" i="3"/>
  <c r="AA118" i="3"/>
  <c r="AB118" i="3"/>
  <c r="AC118" i="3"/>
  <c r="AD118" i="3"/>
  <c r="AE118" i="3"/>
  <c r="AF118" i="3"/>
  <c r="AG118" i="3"/>
  <c r="J119" i="3"/>
  <c r="K119" i="3"/>
  <c r="L119" i="3"/>
  <c r="M119" i="3"/>
  <c r="N119" i="3"/>
  <c r="O119" i="3"/>
  <c r="P119" i="3"/>
  <c r="Q119" i="3"/>
  <c r="R119" i="3"/>
  <c r="S119" i="3"/>
  <c r="T119" i="3"/>
  <c r="U119" i="3"/>
  <c r="V119" i="3"/>
  <c r="W119" i="3"/>
  <c r="X119" i="3"/>
  <c r="Y119" i="3"/>
  <c r="Z119" i="3"/>
  <c r="AA119" i="3"/>
  <c r="AB119" i="3"/>
  <c r="AC119" i="3"/>
  <c r="AD119" i="3"/>
  <c r="AE119" i="3"/>
  <c r="AF119" i="3"/>
  <c r="AG119" i="3"/>
  <c r="J120" i="3"/>
  <c r="K120" i="3"/>
  <c r="L120" i="3"/>
  <c r="M120" i="3"/>
  <c r="N120" i="3"/>
  <c r="O120" i="3"/>
  <c r="P120" i="3"/>
  <c r="Q120" i="3"/>
  <c r="R120" i="3"/>
  <c r="S120" i="3"/>
  <c r="T120" i="3"/>
  <c r="U120" i="3"/>
  <c r="V120" i="3"/>
  <c r="W120" i="3"/>
  <c r="X120" i="3"/>
  <c r="Y120" i="3"/>
  <c r="Z120" i="3"/>
  <c r="AA120" i="3"/>
  <c r="AB120" i="3"/>
  <c r="AC120" i="3"/>
  <c r="AD120" i="3"/>
  <c r="AE120" i="3"/>
  <c r="AF120" i="3"/>
  <c r="AG120" i="3"/>
  <c r="J121" i="3"/>
  <c r="K121" i="3"/>
  <c r="L121" i="3"/>
  <c r="M121" i="3"/>
  <c r="N121" i="3"/>
  <c r="O121" i="3"/>
  <c r="P121" i="3"/>
  <c r="Q121" i="3"/>
  <c r="R121" i="3"/>
  <c r="S121" i="3"/>
  <c r="T121" i="3"/>
  <c r="U121" i="3"/>
  <c r="V121" i="3"/>
  <c r="W121" i="3"/>
  <c r="X121" i="3"/>
  <c r="Y121" i="3"/>
  <c r="Z121" i="3"/>
  <c r="AA121" i="3"/>
  <c r="AB121" i="3"/>
  <c r="AC121" i="3"/>
  <c r="AD121" i="3"/>
  <c r="AE121" i="3"/>
  <c r="AF121" i="3"/>
  <c r="AG121" i="3"/>
  <c r="J122" i="3"/>
  <c r="K122" i="3"/>
  <c r="L122" i="3"/>
  <c r="M122" i="3"/>
  <c r="N122" i="3"/>
  <c r="O122" i="3"/>
  <c r="P122" i="3"/>
  <c r="Q122" i="3"/>
  <c r="R122" i="3"/>
  <c r="S122" i="3"/>
  <c r="T122" i="3"/>
  <c r="U122" i="3"/>
  <c r="V122" i="3"/>
  <c r="W122" i="3"/>
  <c r="X122" i="3"/>
  <c r="Y122" i="3"/>
  <c r="Z122" i="3"/>
  <c r="AA122" i="3"/>
  <c r="AB122" i="3"/>
  <c r="AC122" i="3"/>
  <c r="AD122" i="3"/>
  <c r="AE122" i="3"/>
  <c r="AF122" i="3"/>
  <c r="AG122" i="3"/>
  <c r="J123" i="3"/>
  <c r="K123" i="3"/>
  <c r="L123" i="3"/>
  <c r="M123" i="3"/>
  <c r="N123" i="3"/>
  <c r="O123" i="3"/>
  <c r="P123" i="3"/>
  <c r="Q123" i="3"/>
  <c r="R123" i="3"/>
  <c r="S123" i="3"/>
  <c r="T123" i="3"/>
  <c r="U123" i="3"/>
  <c r="V123" i="3"/>
  <c r="W123" i="3"/>
  <c r="X123" i="3"/>
  <c r="Y123" i="3"/>
  <c r="Z123" i="3"/>
  <c r="AA123" i="3"/>
  <c r="AB123" i="3"/>
  <c r="AC123" i="3"/>
  <c r="AD123" i="3"/>
  <c r="AE123" i="3"/>
  <c r="AF123" i="3"/>
  <c r="AG123" i="3"/>
  <c r="J124" i="3"/>
  <c r="K124" i="3"/>
  <c r="L124" i="3"/>
  <c r="M124" i="3"/>
  <c r="N124" i="3"/>
  <c r="O124" i="3"/>
  <c r="P124" i="3"/>
  <c r="Q124" i="3"/>
  <c r="R124" i="3"/>
  <c r="S124" i="3"/>
  <c r="T124" i="3"/>
  <c r="U124" i="3"/>
  <c r="V124" i="3"/>
  <c r="W124" i="3"/>
  <c r="X124" i="3"/>
  <c r="Y124" i="3"/>
  <c r="Z124" i="3"/>
  <c r="AA124" i="3"/>
  <c r="AB124" i="3"/>
  <c r="AC124" i="3"/>
  <c r="AD124" i="3"/>
  <c r="AE124" i="3"/>
  <c r="AF124" i="3"/>
  <c r="AG124" i="3"/>
  <c r="J125" i="3"/>
  <c r="K125" i="3"/>
  <c r="L125" i="3"/>
  <c r="M125" i="3"/>
  <c r="N125" i="3"/>
  <c r="O125" i="3"/>
  <c r="P125" i="3"/>
  <c r="Q125" i="3"/>
  <c r="R125" i="3"/>
  <c r="S125" i="3"/>
  <c r="T125" i="3"/>
  <c r="U125" i="3"/>
  <c r="V125" i="3"/>
  <c r="W125" i="3"/>
  <c r="X125" i="3"/>
  <c r="Y125" i="3"/>
  <c r="Z125" i="3"/>
  <c r="AA125" i="3"/>
  <c r="AB125" i="3"/>
  <c r="AC125" i="3"/>
  <c r="AD125" i="3"/>
  <c r="AE125" i="3"/>
  <c r="AF125" i="3"/>
  <c r="AG125" i="3"/>
  <c r="J126" i="3"/>
  <c r="K126" i="3"/>
  <c r="L126" i="3"/>
  <c r="M126" i="3"/>
  <c r="N126" i="3"/>
  <c r="O126" i="3"/>
  <c r="P126" i="3"/>
  <c r="Q126" i="3"/>
  <c r="R126" i="3"/>
  <c r="S126" i="3"/>
  <c r="T126" i="3"/>
  <c r="U126" i="3"/>
  <c r="V126" i="3"/>
  <c r="W126" i="3"/>
  <c r="X126" i="3"/>
  <c r="Y126" i="3"/>
  <c r="Z126" i="3"/>
  <c r="AA126" i="3"/>
  <c r="AB126" i="3"/>
  <c r="AC126" i="3"/>
  <c r="AD126" i="3"/>
  <c r="AE126" i="3"/>
  <c r="AF126" i="3"/>
  <c r="AG126" i="3"/>
  <c r="J127" i="3"/>
  <c r="K127" i="3"/>
  <c r="L127" i="3"/>
  <c r="M127" i="3"/>
  <c r="N127" i="3"/>
  <c r="O127" i="3"/>
  <c r="P127" i="3"/>
  <c r="Q127" i="3"/>
  <c r="R127" i="3"/>
  <c r="S127" i="3"/>
  <c r="T127" i="3"/>
  <c r="U127" i="3"/>
  <c r="V127" i="3"/>
  <c r="W127" i="3"/>
  <c r="X127" i="3"/>
  <c r="Y127" i="3"/>
  <c r="Z127" i="3"/>
  <c r="AA127" i="3"/>
  <c r="AB127" i="3"/>
  <c r="AC127" i="3"/>
  <c r="AD127" i="3"/>
  <c r="AE127" i="3"/>
  <c r="AF127" i="3"/>
  <c r="AG127" i="3"/>
  <c r="J128" i="3"/>
  <c r="K128" i="3"/>
  <c r="L128" i="3"/>
  <c r="M128" i="3"/>
  <c r="N128" i="3"/>
  <c r="O128" i="3"/>
  <c r="P128" i="3"/>
  <c r="Q128" i="3"/>
  <c r="R128" i="3"/>
  <c r="S128" i="3"/>
  <c r="T128" i="3"/>
  <c r="U128" i="3"/>
  <c r="V128" i="3"/>
  <c r="W128" i="3"/>
  <c r="X128" i="3"/>
  <c r="Y128" i="3"/>
  <c r="Z128" i="3"/>
  <c r="AA128" i="3"/>
  <c r="AB128" i="3"/>
  <c r="AC128" i="3"/>
  <c r="AD128" i="3"/>
  <c r="AE128" i="3"/>
  <c r="AF128" i="3"/>
  <c r="AG128" i="3"/>
  <c r="J129" i="3"/>
  <c r="K129" i="3"/>
  <c r="L129" i="3"/>
  <c r="M129" i="3"/>
  <c r="N129" i="3"/>
  <c r="O129" i="3"/>
  <c r="P129" i="3"/>
  <c r="Q129" i="3"/>
  <c r="R129" i="3"/>
  <c r="S129" i="3"/>
  <c r="T129" i="3"/>
  <c r="U129" i="3"/>
  <c r="V129" i="3"/>
  <c r="W129" i="3"/>
  <c r="X129" i="3"/>
  <c r="Y129" i="3"/>
  <c r="Z129" i="3"/>
  <c r="AA129" i="3"/>
  <c r="AB129" i="3"/>
  <c r="AC129" i="3"/>
  <c r="AD129" i="3"/>
  <c r="AE129" i="3"/>
  <c r="AF129" i="3"/>
  <c r="AG129" i="3"/>
  <c r="J130" i="3"/>
  <c r="K130" i="3"/>
  <c r="L130" i="3"/>
  <c r="M130" i="3"/>
  <c r="N130" i="3"/>
  <c r="O130" i="3"/>
  <c r="P130" i="3"/>
  <c r="Q130" i="3"/>
  <c r="R130" i="3"/>
  <c r="S130" i="3"/>
  <c r="T130" i="3"/>
  <c r="U130" i="3"/>
  <c r="V130" i="3"/>
  <c r="W130" i="3"/>
  <c r="X130" i="3"/>
  <c r="Y130" i="3"/>
  <c r="Z130" i="3"/>
  <c r="AA130" i="3"/>
  <c r="AB130" i="3"/>
  <c r="AC130" i="3"/>
  <c r="AD130" i="3"/>
  <c r="AE130" i="3"/>
  <c r="AF130" i="3"/>
  <c r="AG130" i="3"/>
  <c r="J131" i="3"/>
  <c r="K131" i="3"/>
  <c r="L131" i="3"/>
  <c r="M131" i="3"/>
  <c r="N131" i="3"/>
  <c r="O131" i="3"/>
  <c r="P131" i="3"/>
  <c r="Q131" i="3"/>
  <c r="R131" i="3"/>
  <c r="S131" i="3"/>
  <c r="T131" i="3"/>
  <c r="U131" i="3"/>
  <c r="V131" i="3"/>
  <c r="W131" i="3"/>
  <c r="X131" i="3"/>
  <c r="Y131" i="3"/>
  <c r="Z131" i="3"/>
  <c r="AA131" i="3"/>
  <c r="AB131" i="3"/>
  <c r="AC131" i="3"/>
  <c r="AD131" i="3"/>
  <c r="AE131" i="3"/>
  <c r="AF131" i="3"/>
  <c r="AG131" i="3"/>
  <c r="J132" i="3"/>
  <c r="K132" i="3"/>
  <c r="L132" i="3"/>
  <c r="M132" i="3"/>
  <c r="N132" i="3"/>
  <c r="O132" i="3"/>
  <c r="P132" i="3"/>
  <c r="Q132" i="3"/>
  <c r="R132" i="3"/>
  <c r="S132" i="3"/>
  <c r="T132" i="3"/>
  <c r="U132" i="3"/>
  <c r="V132" i="3"/>
  <c r="W132" i="3"/>
  <c r="X132" i="3"/>
  <c r="Y132" i="3"/>
  <c r="Z132" i="3"/>
  <c r="AA132" i="3"/>
  <c r="AB132" i="3"/>
  <c r="AC132" i="3"/>
  <c r="AD132" i="3"/>
  <c r="AE132" i="3"/>
  <c r="AF132" i="3"/>
  <c r="AG132" i="3"/>
  <c r="J133" i="3"/>
  <c r="K133" i="3"/>
  <c r="L133" i="3"/>
  <c r="M133" i="3"/>
  <c r="N133" i="3"/>
  <c r="O133" i="3"/>
  <c r="P133" i="3"/>
  <c r="Q133" i="3"/>
  <c r="R133" i="3"/>
  <c r="S133" i="3"/>
  <c r="T133" i="3"/>
  <c r="U133" i="3"/>
  <c r="V133" i="3"/>
  <c r="W133" i="3"/>
  <c r="X133" i="3"/>
  <c r="Y133" i="3"/>
  <c r="Z133" i="3"/>
  <c r="AA133" i="3"/>
  <c r="AB133" i="3"/>
  <c r="AC133" i="3"/>
  <c r="AD133" i="3"/>
  <c r="AE133" i="3"/>
  <c r="AF133" i="3"/>
  <c r="AG133" i="3"/>
  <c r="J134" i="3"/>
  <c r="K134" i="3"/>
  <c r="L134" i="3"/>
  <c r="M134" i="3"/>
  <c r="N134" i="3"/>
  <c r="O134" i="3"/>
  <c r="P134" i="3"/>
  <c r="Q134" i="3"/>
  <c r="R134" i="3"/>
  <c r="S134" i="3"/>
  <c r="T134" i="3"/>
  <c r="U134" i="3"/>
  <c r="V134" i="3"/>
  <c r="W134" i="3"/>
  <c r="X134" i="3"/>
  <c r="Y134" i="3"/>
  <c r="Z134" i="3"/>
  <c r="AA134" i="3"/>
  <c r="AB134" i="3"/>
  <c r="AC134" i="3"/>
  <c r="AD134" i="3"/>
  <c r="AE134" i="3"/>
  <c r="AF134" i="3"/>
  <c r="AG134" i="3"/>
  <c r="J135" i="3"/>
  <c r="K135" i="3"/>
  <c r="L135" i="3"/>
  <c r="M135" i="3"/>
  <c r="N135" i="3"/>
  <c r="O135" i="3"/>
  <c r="P135" i="3"/>
  <c r="Q135" i="3"/>
  <c r="R135" i="3"/>
  <c r="S135" i="3"/>
  <c r="T135" i="3"/>
  <c r="U135" i="3"/>
  <c r="V135" i="3"/>
  <c r="W135" i="3"/>
  <c r="X135" i="3"/>
  <c r="Y135" i="3"/>
  <c r="Z135" i="3"/>
  <c r="AA135" i="3"/>
  <c r="AB135" i="3"/>
  <c r="AC135" i="3"/>
  <c r="AD135" i="3"/>
  <c r="AE135" i="3"/>
  <c r="AF135" i="3"/>
  <c r="AG135" i="3"/>
  <c r="J136" i="3"/>
  <c r="K136" i="3"/>
  <c r="L136" i="3"/>
  <c r="M136" i="3"/>
  <c r="N136" i="3"/>
  <c r="O136" i="3"/>
  <c r="P136" i="3"/>
  <c r="Q136" i="3"/>
  <c r="R136" i="3"/>
  <c r="S136" i="3"/>
  <c r="T136" i="3"/>
  <c r="U136" i="3"/>
  <c r="V136" i="3"/>
  <c r="W136" i="3"/>
  <c r="X136" i="3"/>
  <c r="Y136" i="3"/>
  <c r="Z136" i="3"/>
  <c r="AA136" i="3"/>
  <c r="AB136" i="3"/>
  <c r="AC136" i="3"/>
  <c r="AD136" i="3"/>
  <c r="AE136" i="3"/>
  <c r="AF136" i="3"/>
  <c r="AG136" i="3"/>
  <c r="J137" i="3"/>
  <c r="K137" i="3"/>
  <c r="L137" i="3"/>
  <c r="M137" i="3"/>
  <c r="N137" i="3"/>
  <c r="O137" i="3"/>
  <c r="P137" i="3"/>
  <c r="Q137" i="3"/>
  <c r="R137" i="3"/>
  <c r="S137" i="3"/>
  <c r="T137" i="3"/>
  <c r="U137" i="3"/>
  <c r="V137" i="3"/>
  <c r="W137" i="3"/>
  <c r="X137" i="3"/>
  <c r="Y137" i="3"/>
  <c r="Z137" i="3"/>
  <c r="AA137" i="3"/>
  <c r="AB137" i="3"/>
  <c r="AC137" i="3"/>
  <c r="AD137" i="3"/>
  <c r="AE137" i="3"/>
  <c r="AF137" i="3"/>
  <c r="AG137" i="3"/>
  <c r="J138" i="3"/>
  <c r="K138" i="3"/>
  <c r="L138" i="3"/>
  <c r="M138" i="3"/>
  <c r="N138" i="3"/>
  <c r="O138" i="3"/>
  <c r="P138" i="3"/>
  <c r="Q138" i="3"/>
  <c r="R138" i="3"/>
  <c r="S138" i="3"/>
  <c r="T138" i="3"/>
  <c r="U138" i="3"/>
  <c r="V138" i="3"/>
  <c r="W138" i="3"/>
  <c r="X138" i="3"/>
  <c r="Y138" i="3"/>
  <c r="Z138" i="3"/>
  <c r="AA138" i="3"/>
  <c r="AB138" i="3"/>
  <c r="AC138" i="3"/>
  <c r="AD138" i="3"/>
  <c r="AE138" i="3"/>
  <c r="AF138" i="3"/>
  <c r="AG138" i="3"/>
  <c r="J139" i="3"/>
  <c r="K139" i="3"/>
  <c r="L139" i="3"/>
  <c r="M139" i="3"/>
  <c r="N139" i="3"/>
  <c r="O139" i="3"/>
  <c r="P139" i="3"/>
  <c r="Q139" i="3"/>
  <c r="R139" i="3"/>
  <c r="S139" i="3"/>
  <c r="T139" i="3"/>
  <c r="U139" i="3"/>
  <c r="V139" i="3"/>
  <c r="W139" i="3"/>
  <c r="X139" i="3"/>
  <c r="Y139" i="3"/>
  <c r="Z139" i="3"/>
  <c r="AA139" i="3"/>
  <c r="AB139" i="3"/>
  <c r="AC139" i="3"/>
  <c r="AD139" i="3"/>
  <c r="AE139" i="3"/>
  <c r="AF139" i="3"/>
  <c r="AG139" i="3"/>
  <c r="J140" i="3"/>
  <c r="K140" i="3"/>
  <c r="L140" i="3"/>
  <c r="M140" i="3"/>
  <c r="N140" i="3"/>
  <c r="O140" i="3"/>
  <c r="P140" i="3"/>
  <c r="Q140" i="3"/>
  <c r="R140" i="3"/>
  <c r="S140" i="3"/>
  <c r="T140" i="3"/>
  <c r="U140" i="3"/>
  <c r="V140" i="3"/>
  <c r="W140" i="3"/>
  <c r="X140" i="3"/>
  <c r="Y140" i="3"/>
  <c r="Z140" i="3"/>
  <c r="AA140" i="3"/>
  <c r="AB140" i="3"/>
  <c r="AC140" i="3"/>
  <c r="AD140" i="3"/>
  <c r="AE140" i="3"/>
  <c r="AF140" i="3"/>
  <c r="AG140" i="3"/>
  <c r="J141" i="3"/>
  <c r="K141" i="3"/>
  <c r="L141" i="3"/>
  <c r="M141" i="3"/>
  <c r="N141" i="3"/>
  <c r="O141" i="3"/>
  <c r="P141" i="3"/>
  <c r="Q141" i="3"/>
  <c r="R141" i="3"/>
  <c r="S141" i="3"/>
  <c r="T141" i="3"/>
  <c r="U141" i="3"/>
  <c r="V141" i="3"/>
  <c r="W141" i="3"/>
  <c r="X141" i="3"/>
  <c r="Y141" i="3"/>
  <c r="Z141" i="3"/>
  <c r="AA141" i="3"/>
  <c r="AB141" i="3"/>
  <c r="AC141" i="3"/>
  <c r="AD141" i="3"/>
  <c r="AE141" i="3"/>
  <c r="AF141" i="3"/>
  <c r="AG141" i="3"/>
  <c r="J142" i="3"/>
  <c r="K142" i="3"/>
  <c r="L142" i="3"/>
  <c r="M142" i="3"/>
  <c r="N142" i="3"/>
  <c r="O142" i="3"/>
  <c r="P142" i="3"/>
  <c r="Q142" i="3"/>
  <c r="R142" i="3"/>
  <c r="S142" i="3"/>
  <c r="T142" i="3"/>
  <c r="U142" i="3"/>
  <c r="V142" i="3"/>
  <c r="W142" i="3"/>
  <c r="X142" i="3"/>
  <c r="Y142" i="3"/>
  <c r="Z142" i="3"/>
  <c r="AA142" i="3"/>
  <c r="AB142" i="3"/>
  <c r="AC142" i="3"/>
  <c r="AD142" i="3"/>
  <c r="AE142" i="3"/>
  <c r="AF142" i="3"/>
  <c r="AG142" i="3"/>
  <c r="J143" i="3"/>
  <c r="K143" i="3"/>
  <c r="L143" i="3"/>
  <c r="M143" i="3"/>
  <c r="N143" i="3"/>
  <c r="O143" i="3"/>
  <c r="P143" i="3"/>
  <c r="Q143" i="3"/>
  <c r="R143" i="3"/>
  <c r="S143" i="3"/>
  <c r="T143" i="3"/>
  <c r="U143" i="3"/>
  <c r="V143" i="3"/>
  <c r="W143" i="3"/>
  <c r="X143" i="3"/>
  <c r="Y143" i="3"/>
  <c r="Z143" i="3"/>
  <c r="AA143" i="3"/>
  <c r="AB143" i="3"/>
  <c r="AC143" i="3"/>
  <c r="AD143" i="3"/>
  <c r="AE143" i="3"/>
  <c r="AF143" i="3"/>
  <c r="AG143" i="3"/>
  <c r="J144" i="3"/>
  <c r="K144" i="3"/>
  <c r="L144" i="3"/>
  <c r="M144" i="3"/>
  <c r="N144" i="3"/>
  <c r="O144" i="3"/>
  <c r="P144" i="3"/>
  <c r="Q144" i="3"/>
  <c r="R144" i="3"/>
  <c r="S144" i="3"/>
  <c r="T144" i="3"/>
  <c r="U144" i="3"/>
  <c r="V144" i="3"/>
  <c r="W144" i="3"/>
  <c r="X144" i="3"/>
  <c r="Y144" i="3"/>
  <c r="Z144" i="3"/>
  <c r="AA144" i="3"/>
  <c r="AB144" i="3"/>
  <c r="AC144" i="3"/>
  <c r="AD144" i="3"/>
  <c r="AE144" i="3"/>
  <c r="AF144" i="3"/>
  <c r="AG144" i="3"/>
  <c r="J145" i="3"/>
  <c r="K145" i="3"/>
  <c r="L145" i="3"/>
  <c r="M145" i="3"/>
  <c r="N145" i="3"/>
  <c r="O145" i="3"/>
  <c r="P145" i="3"/>
  <c r="Q145" i="3"/>
  <c r="R145" i="3"/>
  <c r="S145" i="3"/>
  <c r="T145" i="3"/>
  <c r="U145" i="3"/>
  <c r="V145" i="3"/>
  <c r="W145" i="3"/>
  <c r="X145" i="3"/>
  <c r="Y145" i="3"/>
  <c r="Z145" i="3"/>
  <c r="AA145" i="3"/>
  <c r="AB145" i="3"/>
  <c r="AC145" i="3"/>
  <c r="AD145" i="3"/>
  <c r="AE145" i="3"/>
  <c r="AF145" i="3"/>
  <c r="AG145" i="3"/>
  <c r="J146" i="3"/>
  <c r="K146" i="3"/>
  <c r="L146" i="3"/>
  <c r="M146" i="3"/>
  <c r="N146" i="3"/>
  <c r="O146" i="3"/>
  <c r="P146" i="3"/>
  <c r="Q146" i="3"/>
  <c r="R146" i="3"/>
  <c r="S146" i="3"/>
  <c r="T146" i="3"/>
  <c r="U146" i="3"/>
  <c r="V146" i="3"/>
  <c r="W146" i="3"/>
  <c r="X146" i="3"/>
  <c r="Y146" i="3"/>
  <c r="Z146" i="3"/>
  <c r="AA146" i="3"/>
  <c r="AB146" i="3"/>
  <c r="AC146" i="3"/>
  <c r="AD146" i="3"/>
  <c r="AE146" i="3"/>
  <c r="AF146" i="3"/>
  <c r="AG146" i="3"/>
  <c r="J147" i="3"/>
  <c r="K147" i="3"/>
  <c r="L147" i="3"/>
  <c r="M147" i="3"/>
  <c r="N147" i="3"/>
  <c r="O147" i="3"/>
  <c r="P147" i="3"/>
  <c r="Q147" i="3"/>
  <c r="R147" i="3"/>
  <c r="S147" i="3"/>
  <c r="T147" i="3"/>
  <c r="U147" i="3"/>
  <c r="V147" i="3"/>
  <c r="W147" i="3"/>
  <c r="X147" i="3"/>
  <c r="Y147" i="3"/>
  <c r="Z147" i="3"/>
  <c r="AA147" i="3"/>
  <c r="AB147" i="3"/>
  <c r="AC147" i="3"/>
  <c r="AD147" i="3"/>
  <c r="AE147" i="3"/>
  <c r="AF147" i="3"/>
  <c r="AG147" i="3"/>
  <c r="J148" i="3"/>
  <c r="K148" i="3"/>
  <c r="L148" i="3"/>
  <c r="M148" i="3"/>
  <c r="N148" i="3"/>
  <c r="O148" i="3"/>
  <c r="P148" i="3"/>
  <c r="Q148" i="3"/>
  <c r="R148" i="3"/>
  <c r="S148" i="3"/>
  <c r="T148" i="3"/>
  <c r="U148" i="3"/>
  <c r="V148" i="3"/>
  <c r="W148" i="3"/>
  <c r="X148" i="3"/>
  <c r="Y148" i="3"/>
  <c r="Z148" i="3"/>
  <c r="AA148" i="3"/>
  <c r="AB148" i="3"/>
  <c r="AC148" i="3"/>
  <c r="AD148" i="3"/>
  <c r="AE148" i="3"/>
  <c r="AF148" i="3"/>
  <c r="AG148" i="3"/>
  <c r="J149" i="3"/>
  <c r="K149" i="3"/>
  <c r="L149" i="3"/>
  <c r="M149" i="3"/>
  <c r="N149" i="3"/>
  <c r="O149" i="3"/>
  <c r="P149" i="3"/>
  <c r="Q149" i="3"/>
  <c r="R149" i="3"/>
  <c r="S149" i="3"/>
  <c r="T149" i="3"/>
  <c r="U149" i="3"/>
  <c r="V149" i="3"/>
  <c r="W149" i="3"/>
  <c r="X149" i="3"/>
  <c r="Y149" i="3"/>
  <c r="Z149" i="3"/>
  <c r="AA149" i="3"/>
  <c r="AB149" i="3"/>
  <c r="AC149" i="3"/>
  <c r="AD149" i="3"/>
  <c r="AE149" i="3"/>
  <c r="AF149" i="3"/>
  <c r="AG149" i="3"/>
  <c r="J150" i="3"/>
  <c r="K150" i="3"/>
  <c r="L150" i="3"/>
  <c r="M150" i="3"/>
  <c r="N150" i="3"/>
  <c r="O150" i="3"/>
  <c r="P150" i="3"/>
  <c r="Q150" i="3"/>
  <c r="R150" i="3"/>
  <c r="S150" i="3"/>
  <c r="T150" i="3"/>
  <c r="U150" i="3"/>
  <c r="V150" i="3"/>
  <c r="W150" i="3"/>
  <c r="X150" i="3"/>
  <c r="Y150" i="3"/>
  <c r="Z150" i="3"/>
  <c r="AA150" i="3"/>
  <c r="AB150" i="3"/>
  <c r="AC150" i="3"/>
  <c r="AD150" i="3"/>
  <c r="AE150" i="3"/>
  <c r="AF150" i="3"/>
  <c r="AG150" i="3"/>
  <c r="J151" i="3"/>
  <c r="K151" i="3"/>
  <c r="L151" i="3"/>
  <c r="M151" i="3"/>
  <c r="N151" i="3"/>
  <c r="O151" i="3"/>
  <c r="P151" i="3"/>
  <c r="Q151" i="3"/>
  <c r="R151" i="3"/>
  <c r="S151" i="3"/>
  <c r="T151" i="3"/>
  <c r="U151" i="3"/>
  <c r="V151" i="3"/>
  <c r="W151" i="3"/>
  <c r="X151" i="3"/>
  <c r="Y151" i="3"/>
  <c r="Z151" i="3"/>
  <c r="AA151" i="3"/>
  <c r="AB151" i="3"/>
  <c r="AC151" i="3"/>
  <c r="AD151" i="3"/>
  <c r="AE151" i="3"/>
  <c r="AF151" i="3"/>
  <c r="AG151" i="3"/>
  <c r="J152" i="3"/>
  <c r="K152" i="3"/>
  <c r="L152" i="3"/>
  <c r="M152" i="3"/>
  <c r="N152" i="3"/>
  <c r="O152" i="3"/>
  <c r="P152" i="3"/>
  <c r="Q152" i="3"/>
  <c r="R152" i="3"/>
  <c r="S152" i="3"/>
  <c r="T152" i="3"/>
  <c r="U152" i="3"/>
  <c r="V152" i="3"/>
  <c r="W152" i="3"/>
  <c r="X152" i="3"/>
  <c r="Y152" i="3"/>
  <c r="Z152" i="3"/>
  <c r="AA152" i="3"/>
  <c r="AB152" i="3"/>
  <c r="AC152" i="3"/>
  <c r="AD152" i="3"/>
  <c r="AE152" i="3"/>
  <c r="AF152" i="3"/>
  <c r="AG152" i="3"/>
  <c r="J153" i="3"/>
  <c r="K153" i="3"/>
  <c r="L153" i="3"/>
  <c r="M153" i="3"/>
  <c r="N153" i="3"/>
  <c r="O153" i="3"/>
  <c r="P153" i="3"/>
  <c r="Q153" i="3"/>
  <c r="R153" i="3"/>
  <c r="S153" i="3"/>
  <c r="T153" i="3"/>
  <c r="U153" i="3"/>
  <c r="V153" i="3"/>
  <c r="W153" i="3"/>
  <c r="X153" i="3"/>
  <c r="Y153" i="3"/>
  <c r="Z153" i="3"/>
  <c r="AA153" i="3"/>
  <c r="AB153" i="3"/>
  <c r="AC153" i="3"/>
  <c r="AD153" i="3"/>
  <c r="AE153" i="3"/>
  <c r="AF153" i="3"/>
  <c r="AG153" i="3"/>
  <c r="J154" i="3"/>
  <c r="K154" i="3"/>
  <c r="L154" i="3"/>
  <c r="M154" i="3"/>
  <c r="N154" i="3"/>
  <c r="O154" i="3"/>
  <c r="P154" i="3"/>
  <c r="Q154" i="3"/>
  <c r="R154" i="3"/>
  <c r="S154" i="3"/>
  <c r="T154" i="3"/>
  <c r="U154" i="3"/>
  <c r="V154" i="3"/>
  <c r="W154" i="3"/>
  <c r="X154" i="3"/>
  <c r="Y154" i="3"/>
  <c r="Z154" i="3"/>
  <c r="AA154" i="3"/>
  <c r="AB154" i="3"/>
  <c r="AC154" i="3"/>
  <c r="AD154" i="3"/>
  <c r="AE154" i="3"/>
  <c r="AF154" i="3"/>
  <c r="AG154" i="3"/>
  <c r="J155" i="3"/>
  <c r="K155" i="3"/>
  <c r="L155" i="3"/>
  <c r="M155" i="3"/>
  <c r="N155" i="3"/>
  <c r="O155" i="3"/>
  <c r="P155" i="3"/>
  <c r="Q155" i="3"/>
  <c r="R155" i="3"/>
  <c r="S155" i="3"/>
  <c r="T155" i="3"/>
  <c r="U155" i="3"/>
  <c r="V155" i="3"/>
  <c r="W155" i="3"/>
  <c r="X155" i="3"/>
  <c r="Y155" i="3"/>
  <c r="Z155" i="3"/>
  <c r="AA155" i="3"/>
  <c r="AB155" i="3"/>
  <c r="AC155" i="3"/>
  <c r="AD155" i="3"/>
  <c r="AE155" i="3"/>
  <c r="AF155" i="3"/>
  <c r="AG155" i="3"/>
  <c r="J156" i="3"/>
  <c r="K156" i="3"/>
  <c r="L156" i="3"/>
  <c r="M156" i="3"/>
  <c r="N156" i="3"/>
  <c r="O156" i="3"/>
  <c r="P156" i="3"/>
  <c r="Q156" i="3"/>
  <c r="R156" i="3"/>
  <c r="S156" i="3"/>
  <c r="T156" i="3"/>
  <c r="U156" i="3"/>
  <c r="V156" i="3"/>
  <c r="W156" i="3"/>
  <c r="X156" i="3"/>
  <c r="Y156" i="3"/>
  <c r="Z156" i="3"/>
  <c r="AA156" i="3"/>
  <c r="AB156" i="3"/>
  <c r="AC156" i="3"/>
  <c r="AD156" i="3"/>
  <c r="AE156" i="3"/>
  <c r="AF156" i="3"/>
  <c r="AG156" i="3"/>
  <c r="J157" i="3"/>
  <c r="K157" i="3"/>
  <c r="L157" i="3"/>
  <c r="M157" i="3"/>
  <c r="N157" i="3"/>
  <c r="O157" i="3"/>
  <c r="P157" i="3"/>
  <c r="Q157" i="3"/>
  <c r="R157" i="3"/>
  <c r="S157" i="3"/>
  <c r="T157" i="3"/>
  <c r="U157" i="3"/>
  <c r="V157" i="3"/>
  <c r="W157" i="3"/>
  <c r="X157" i="3"/>
  <c r="Y157" i="3"/>
  <c r="Z157" i="3"/>
  <c r="AA157" i="3"/>
  <c r="AB157" i="3"/>
  <c r="AC157" i="3"/>
  <c r="AD157" i="3"/>
  <c r="AE157" i="3"/>
  <c r="AF157" i="3"/>
  <c r="AG157" i="3"/>
  <c r="J158" i="3"/>
  <c r="K158" i="3"/>
  <c r="L158" i="3"/>
  <c r="M158" i="3"/>
  <c r="N158" i="3"/>
  <c r="O158" i="3"/>
  <c r="P158" i="3"/>
  <c r="Q158" i="3"/>
  <c r="R158" i="3"/>
  <c r="S158" i="3"/>
  <c r="T158" i="3"/>
  <c r="U158" i="3"/>
  <c r="V158" i="3"/>
  <c r="W158" i="3"/>
  <c r="X158" i="3"/>
  <c r="Y158" i="3"/>
  <c r="Z158" i="3"/>
  <c r="AA158" i="3"/>
  <c r="AB158" i="3"/>
  <c r="AC158" i="3"/>
  <c r="AD158" i="3"/>
  <c r="AE158" i="3"/>
  <c r="AF158" i="3"/>
  <c r="AG158" i="3"/>
  <c r="J159" i="3"/>
  <c r="K159" i="3"/>
  <c r="L159" i="3"/>
  <c r="M159" i="3"/>
  <c r="N159" i="3"/>
  <c r="O159" i="3"/>
  <c r="P159" i="3"/>
  <c r="Q159" i="3"/>
  <c r="R159" i="3"/>
  <c r="S159" i="3"/>
  <c r="T159" i="3"/>
  <c r="U159" i="3"/>
  <c r="V159" i="3"/>
  <c r="W159" i="3"/>
  <c r="X159" i="3"/>
  <c r="Y159" i="3"/>
  <c r="Z159" i="3"/>
  <c r="AA159" i="3"/>
  <c r="AB159" i="3"/>
  <c r="AC159" i="3"/>
  <c r="AD159" i="3"/>
  <c r="AE159" i="3"/>
  <c r="AF159" i="3"/>
  <c r="AG159" i="3"/>
  <c r="J160" i="3"/>
  <c r="K160" i="3"/>
  <c r="L160" i="3"/>
  <c r="M160" i="3"/>
  <c r="N160" i="3"/>
  <c r="O160" i="3"/>
  <c r="P160" i="3"/>
  <c r="Q160" i="3"/>
  <c r="R160" i="3"/>
  <c r="S160" i="3"/>
  <c r="T160" i="3"/>
  <c r="U160" i="3"/>
  <c r="V160" i="3"/>
  <c r="W160" i="3"/>
  <c r="X160" i="3"/>
  <c r="Y160" i="3"/>
  <c r="Z160" i="3"/>
  <c r="AA160" i="3"/>
  <c r="AB160" i="3"/>
  <c r="AC160" i="3"/>
  <c r="AD160" i="3"/>
  <c r="AE160" i="3"/>
  <c r="AF160" i="3"/>
  <c r="AG160" i="3"/>
  <c r="J161" i="3"/>
  <c r="K161" i="3"/>
  <c r="L161" i="3"/>
  <c r="M161" i="3"/>
  <c r="N161" i="3"/>
  <c r="O161" i="3"/>
  <c r="P161" i="3"/>
  <c r="Q161" i="3"/>
  <c r="R161" i="3"/>
  <c r="S161" i="3"/>
  <c r="T161" i="3"/>
  <c r="U161" i="3"/>
  <c r="V161" i="3"/>
  <c r="W161" i="3"/>
  <c r="X161" i="3"/>
  <c r="Y161" i="3"/>
  <c r="Z161" i="3"/>
  <c r="AA161" i="3"/>
  <c r="AB161" i="3"/>
  <c r="AC161" i="3"/>
  <c r="AD161" i="3"/>
  <c r="AE161" i="3"/>
  <c r="AF161" i="3"/>
  <c r="AG161" i="3"/>
  <c r="J162" i="3"/>
  <c r="K162" i="3"/>
  <c r="L162" i="3"/>
  <c r="M162" i="3"/>
  <c r="N162" i="3"/>
  <c r="O162" i="3"/>
  <c r="P162" i="3"/>
  <c r="Q162" i="3"/>
  <c r="R162" i="3"/>
  <c r="S162" i="3"/>
  <c r="T162" i="3"/>
  <c r="U162" i="3"/>
  <c r="V162" i="3"/>
  <c r="W162" i="3"/>
  <c r="X162" i="3"/>
  <c r="Y162" i="3"/>
  <c r="Z162" i="3"/>
  <c r="AA162" i="3"/>
  <c r="AB162" i="3"/>
  <c r="AC162" i="3"/>
  <c r="AD162" i="3"/>
  <c r="AE162" i="3"/>
  <c r="AF162" i="3"/>
  <c r="AG162" i="3"/>
  <c r="J163" i="3"/>
  <c r="K163" i="3"/>
  <c r="L163" i="3"/>
  <c r="M163" i="3"/>
  <c r="N163" i="3"/>
  <c r="O163" i="3"/>
  <c r="P163" i="3"/>
  <c r="Q163" i="3"/>
  <c r="R163" i="3"/>
  <c r="S163" i="3"/>
  <c r="T163" i="3"/>
  <c r="U163" i="3"/>
  <c r="V163" i="3"/>
  <c r="W163" i="3"/>
  <c r="X163" i="3"/>
  <c r="Y163" i="3"/>
  <c r="Z163" i="3"/>
  <c r="AA163" i="3"/>
  <c r="AB163" i="3"/>
  <c r="AC163" i="3"/>
  <c r="AD163" i="3"/>
  <c r="AE163" i="3"/>
  <c r="AF163" i="3"/>
  <c r="AG163" i="3"/>
  <c r="J164" i="3"/>
  <c r="K164" i="3"/>
  <c r="L164" i="3"/>
  <c r="M164" i="3"/>
  <c r="N164" i="3"/>
  <c r="O164" i="3"/>
  <c r="P164" i="3"/>
  <c r="Q164" i="3"/>
  <c r="R164" i="3"/>
  <c r="S164" i="3"/>
  <c r="T164" i="3"/>
  <c r="U164" i="3"/>
  <c r="V164" i="3"/>
  <c r="W164" i="3"/>
  <c r="X164" i="3"/>
  <c r="Y164" i="3"/>
  <c r="Z164" i="3"/>
  <c r="AA164" i="3"/>
  <c r="AB164" i="3"/>
  <c r="AC164" i="3"/>
  <c r="AD164" i="3"/>
  <c r="AE164" i="3"/>
  <c r="AF164" i="3"/>
  <c r="AG164" i="3"/>
  <c r="J165" i="3"/>
  <c r="K165" i="3"/>
  <c r="L165" i="3"/>
  <c r="M165" i="3"/>
  <c r="N165" i="3"/>
  <c r="O165" i="3"/>
  <c r="P165" i="3"/>
  <c r="Q165" i="3"/>
  <c r="R165" i="3"/>
  <c r="S165" i="3"/>
  <c r="T165" i="3"/>
  <c r="U165" i="3"/>
  <c r="V165" i="3"/>
  <c r="W165" i="3"/>
  <c r="X165" i="3"/>
  <c r="Y165" i="3"/>
  <c r="Z165" i="3"/>
  <c r="AA165" i="3"/>
  <c r="AB165" i="3"/>
  <c r="AC165" i="3"/>
  <c r="AD165" i="3"/>
  <c r="AE165" i="3"/>
  <c r="AF165" i="3"/>
  <c r="AG165" i="3"/>
  <c r="J166" i="3"/>
  <c r="K166" i="3"/>
  <c r="L166" i="3"/>
  <c r="M166" i="3"/>
  <c r="N166" i="3"/>
  <c r="O166" i="3"/>
  <c r="P166" i="3"/>
  <c r="Q166" i="3"/>
  <c r="R166" i="3"/>
  <c r="S166" i="3"/>
  <c r="T166" i="3"/>
  <c r="U166" i="3"/>
  <c r="V166" i="3"/>
  <c r="W166" i="3"/>
  <c r="X166" i="3"/>
  <c r="Y166" i="3"/>
  <c r="Z166" i="3"/>
  <c r="AA166" i="3"/>
  <c r="AB166" i="3"/>
  <c r="AC166" i="3"/>
  <c r="AD166" i="3"/>
  <c r="AE166" i="3"/>
  <c r="AF166" i="3"/>
  <c r="AG166" i="3"/>
  <c r="J167" i="3"/>
  <c r="K167" i="3"/>
  <c r="L167" i="3"/>
  <c r="M167" i="3"/>
  <c r="N167" i="3"/>
  <c r="O167" i="3"/>
  <c r="P167" i="3"/>
  <c r="Q167" i="3"/>
  <c r="R167" i="3"/>
  <c r="S167" i="3"/>
  <c r="T167" i="3"/>
  <c r="U167" i="3"/>
  <c r="V167" i="3"/>
  <c r="W167" i="3"/>
  <c r="X167" i="3"/>
  <c r="Y167" i="3"/>
  <c r="Z167" i="3"/>
  <c r="AA167" i="3"/>
  <c r="AB167" i="3"/>
  <c r="AC167" i="3"/>
  <c r="AD167" i="3"/>
  <c r="AE167" i="3"/>
  <c r="AF167" i="3"/>
  <c r="AG167" i="3"/>
  <c r="J168" i="3"/>
  <c r="K168" i="3"/>
  <c r="L168" i="3"/>
  <c r="M168" i="3"/>
  <c r="N168" i="3"/>
  <c r="O168" i="3"/>
  <c r="P168" i="3"/>
  <c r="Q168" i="3"/>
  <c r="R168" i="3"/>
  <c r="S168" i="3"/>
  <c r="T168" i="3"/>
  <c r="U168" i="3"/>
  <c r="V168" i="3"/>
  <c r="W168" i="3"/>
  <c r="X168" i="3"/>
  <c r="Y168" i="3"/>
  <c r="Z168" i="3"/>
  <c r="AA168" i="3"/>
  <c r="AB168" i="3"/>
  <c r="AC168" i="3"/>
  <c r="AD168" i="3"/>
  <c r="AE168" i="3"/>
  <c r="AF168" i="3"/>
  <c r="AG168" i="3"/>
  <c r="J169" i="3"/>
  <c r="K169" i="3"/>
  <c r="L169" i="3"/>
  <c r="M169" i="3"/>
  <c r="N169" i="3"/>
  <c r="O169" i="3"/>
  <c r="P169" i="3"/>
  <c r="Q169" i="3"/>
  <c r="R169" i="3"/>
  <c r="S169" i="3"/>
  <c r="T169" i="3"/>
  <c r="U169" i="3"/>
  <c r="V169" i="3"/>
  <c r="W169" i="3"/>
  <c r="X169" i="3"/>
  <c r="Y169" i="3"/>
  <c r="Z169" i="3"/>
  <c r="AA169" i="3"/>
  <c r="AB169" i="3"/>
  <c r="AC169" i="3"/>
  <c r="AD169" i="3"/>
  <c r="AE169" i="3"/>
  <c r="AF169" i="3"/>
  <c r="AG169" i="3"/>
  <c r="J170" i="3"/>
  <c r="K170" i="3"/>
  <c r="L170" i="3"/>
  <c r="M170" i="3"/>
  <c r="N170" i="3"/>
  <c r="O170" i="3"/>
  <c r="P170" i="3"/>
  <c r="Q170" i="3"/>
  <c r="R170" i="3"/>
  <c r="S170" i="3"/>
  <c r="T170" i="3"/>
  <c r="U170" i="3"/>
  <c r="V170" i="3"/>
  <c r="W170" i="3"/>
  <c r="X170" i="3"/>
  <c r="Y170" i="3"/>
  <c r="Z170" i="3"/>
  <c r="AA170" i="3"/>
  <c r="AB170" i="3"/>
  <c r="AC170" i="3"/>
  <c r="AD170" i="3"/>
  <c r="AE170" i="3"/>
  <c r="AF170" i="3"/>
  <c r="AG170" i="3"/>
  <c r="J171" i="3"/>
  <c r="K171" i="3"/>
  <c r="L171" i="3"/>
  <c r="M171" i="3"/>
  <c r="N171" i="3"/>
  <c r="O171" i="3"/>
  <c r="P171" i="3"/>
  <c r="Q171" i="3"/>
  <c r="R171" i="3"/>
  <c r="S171" i="3"/>
  <c r="T171" i="3"/>
  <c r="U171" i="3"/>
  <c r="V171" i="3"/>
  <c r="W171" i="3"/>
  <c r="X171" i="3"/>
  <c r="Y171" i="3"/>
  <c r="Z171" i="3"/>
  <c r="AA171" i="3"/>
  <c r="AB171" i="3"/>
  <c r="AC171" i="3"/>
  <c r="AD171" i="3"/>
  <c r="AE171" i="3"/>
  <c r="AF171" i="3"/>
  <c r="AG171" i="3"/>
  <c r="J172" i="3"/>
  <c r="K172" i="3"/>
  <c r="L172" i="3"/>
  <c r="M172" i="3"/>
  <c r="N172" i="3"/>
  <c r="O172" i="3"/>
  <c r="P172" i="3"/>
  <c r="Q172" i="3"/>
  <c r="R172" i="3"/>
  <c r="S172" i="3"/>
  <c r="T172" i="3"/>
  <c r="U172" i="3"/>
  <c r="V172" i="3"/>
  <c r="W172" i="3"/>
  <c r="X172" i="3"/>
  <c r="Y172" i="3"/>
  <c r="Z172" i="3"/>
  <c r="AA172" i="3"/>
  <c r="AB172" i="3"/>
  <c r="AC172" i="3"/>
  <c r="AD172" i="3"/>
  <c r="AE172" i="3"/>
  <c r="AF172" i="3"/>
  <c r="AG172" i="3"/>
  <c r="J173" i="3"/>
  <c r="K173" i="3"/>
  <c r="L173" i="3"/>
  <c r="M173" i="3"/>
  <c r="N173" i="3"/>
  <c r="O173" i="3"/>
  <c r="P173" i="3"/>
  <c r="Q173" i="3"/>
  <c r="R173" i="3"/>
  <c r="S173" i="3"/>
  <c r="T173" i="3"/>
  <c r="U173" i="3"/>
  <c r="V173" i="3"/>
  <c r="W173" i="3"/>
  <c r="X173" i="3"/>
  <c r="Y173" i="3"/>
  <c r="Z173" i="3"/>
  <c r="AA173" i="3"/>
  <c r="AB173" i="3"/>
  <c r="AC173" i="3"/>
  <c r="AD173" i="3"/>
  <c r="AE173" i="3"/>
  <c r="AF173" i="3"/>
  <c r="AG173" i="3"/>
  <c r="J174" i="3"/>
  <c r="K174" i="3"/>
  <c r="L174" i="3"/>
  <c r="M174" i="3"/>
  <c r="N174" i="3"/>
  <c r="O174" i="3"/>
  <c r="P174" i="3"/>
  <c r="Q174" i="3"/>
  <c r="R174" i="3"/>
  <c r="S174" i="3"/>
  <c r="T174" i="3"/>
  <c r="U174" i="3"/>
  <c r="V174" i="3"/>
  <c r="W174" i="3"/>
  <c r="X174" i="3"/>
  <c r="Y174" i="3"/>
  <c r="Z174" i="3"/>
  <c r="AA174" i="3"/>
  <c r="AB174" i="3"/>
  <c r="AC174" i="3"/>
  <c r="AD174" i="3"/>
  <c r="AE174" i="3"/>
  <c r="AF174" i="3"/>
  <c r="AG174" i="3"/>
  <c r="J175" i="3"/>
  <c r="K175" i="3"/>
  <c r="L175" i="3"/>
  <c r="M175" i="3"/>
  <c r="N175" i="3"/>
  <c r="O175" i="3"/>
  <c r="P175" i="3"/>
  <c r="Q175" i="3"/>
  <c r="R175" i="3"/>
  <c r="S175" i="3"/>
  <c r="T175" i="3"/>
  <c r="U175" i="3"/>
  <c r="V175" i="3"/>
  <c r="W175" i="3"/>
  <c r="X175" i="3"/>
  <c r="Y175" i="3"/>
  <c r="Z175" i="3"/>
  <c r="AA175" i="3"/>
  <c r="AB175" i="3"/>
  <c r="AC175" i="3"/>
  <c r="AD175" i="3"/>
  <c r="AE175" i="3"/>
  <c r="AF175" i="3"/>
  <c r="AG175" i="3"/>
  <c r="J176" i="3"/>
  <c r="K176" i="3"/>
  <c r="L176" i="3"/>
  <c r="M176" i="3"/>
  <c r="N176" i="3"/>
  <c r="O176" i="3"/>
  <c r="P176" i="3"/>
  <c r="Q176" i="3"/>
  <c r="R176" i="3"/>
  <c r="S176" i="3"/>
  <c r="T176" i="3"/>
  <c r="U176" i="3"/>
  <c r="V176" i="3"/>
  <c r="W176" i="3"/>
  <c r="X176" i="3"/>
  <c r="Y176" i="3"/>
  <c r="Z176" i="3"/>
  <c r="AA176" i="3"/>
  <c r="AB176" i="3"/>
  <c r="AC176" i="3"/>
  <c r="AD176" i="3"/>
  <c r="AE176" i="3"/>
  <c r="AF176" i="3"/>
  <c r="AG176" i="3"/>
  <c r="J177" i="3"/>
  <c r="K177" i="3"/>
  <c r="L177" i="3"/>
  <c r="M177" i="3"/>
  <c r="N177" i="3"/>
  <c r="O177" i="3"/>
  <c r="P177" i="3"/>
  <c r="Q177" i="3"/>
  <c r="R177" i="3"/>
  <c r="S177" i="3"/>
  <c r="T177" i="3"/>
  <c r="U177" i="3"/>
  <c r="V177" i="3"/>
  <c r="W177" i="3"/>
  <c r="X177" i="3"/>
  <c r="Y177" i="3"/>
  <c r="Z177" i="3"/>
  <c r="AA177" i="3"/>
  <c r="AB177" i="3"/>
  <c r="AC177" i="3"/>
  <c r="AD177" i="3"/>
  <c r="AE177" i="3"/>
  <c r="AF177" i="3"/>
  <c r="AG177" i="3"/>
  <c r="J178" i="3"/>
  <c r="K178" i="3"/>
  <c r="L178" i="3"/>
  <c r="M178" i="3"/>
  <c r="N178" i="3"/>
  <c r="O178" i="3"/>
  <c r="P178" i="3"/>
  <c r="Q178" i="3"/>
  <c r="R178" i="3"/>
  <c r="S178" i="3"/>
  <c r="T178" i="3"/>
  <c r="U178" i="3"/>
  <c r="V178" i="3"/>
  <c r="W178" i="3"/>
  <c r="X178" i="3"/>
  <c r="Y178" i="3"/>
  <c r="Z178" i="3"/>
  <c r="AA178" i="3"/>
  <c r="AB178" i="3"/>
  <c r="AC178" i="3"/>
  <c r="AD178" i="3"/>
  <c r="AE178" i="3"/>
  <c r="AF178" i="3"/>
  <c r="AG178" i="3"/>
  <c r="J179" i="3"/>
  <c r="K179" i="3"/>
  <c r="L179" i="3"/>
  <c r="M179" i="3"/>
  <c r="N179" i="3"/>
  <c r="O179" i="3"/>
  <c r="P179" i="3"/>
  <c r="Q179" i="3"/>
  <c r="R179" i="3"/>
  <c r="S179" i="3"/>
  <c r="T179" i="3"/>
  <c r="U179" i="3"/>
  <c r="V179" i="3"/>
  <c r="W179" i="3"/>
  <c r="X179" i="3"/>
  <c r="Y179" i="3"/>
  <c r="Z179" i="3"/>
  <c r="AA179" i="3"/>
  <c r="AB179" i="3"/>
  <c r="AC179" i="3"/>
  <c r="AD179" i="3"/>
  <c r="AE179" i="3"/>
  <c r="AF179" i="3"/>
  <c r="AG179" i="3"/>
  <c r="J180" i="3"/>
  <c r="K180" i="3"/>
  <c r="L180" i="3"/>
  <c r="M180" i="3"/>
  <c r="N180" i="3"/>
  <c r="O180" i="3"/>
  <c r="P180" i="3"/>
  <c r="Q180" i="3"/>
  <c r="R180" i="3"/>
  <c r="S180" i="3"/>
  <c r="T180" i="3"/>
  <c r="U180" i="3"/>
  <c r="V180" i="3"/>
  <c r="W180" i="3"/>
  <c r="X180" i="3"/>
  <c r="Y180" i="3"/>
  <c r="Z180" i="3"/>
  <c r="AA180" i="3"/>
  <c r="AB180" i="3"/>
  <c r="AC180" i="3"/>
  <c r="AD180" i="3"/>
  <c r="AE180" i="3"/>
  <c r="AF180" i="3"/>
  <c r="AG180" i="3"/>
  <c r="J181" i="3"/>
  <c r="K181" i="3"/>
  <c r="L181" i="3"/>
  <c r="M181" i="3"/>
  <c r="N181" i="3"/>
  <c r="O181" i="3"/>
  <c r="P181" i="3"/>
  <c r="Q181" i="3"/>
  <c r="R181" i="3"/>
  <c r="S181" i="3"/>
  <c r="T181" i="3"/>
  <c r="U181" i="3"/>
  <c r="V181" i="3"/>
  <c r="W181" i="3"/>
  <c r="X181" i="3"/>
  <c r="Y181" i="3"/>
  <c r="Z181" i="3"/>
  <c r="AA181" i="3"/>
  <c r="AB181" i="3"/>
  <c r="AC181" i="3"/>
  <c r="AD181" i="3"/>
  <c r="AE181" i="3"/>
  <c r="AF181" i="3"/>
  <c r="AG181" i="3"/>
  <c r="J182" i="3"/>
  <c r="K182" i="3"/>
  <c r="L182" i="3"/>
  <c r="M182" i="3"/>
  <c r="N182" i="3"/>
  <c r="O182" i="3"/>
  <c r="P182" i="3"/>
  <c r="Q182" i="3"/>
  <c r="R182" i="3"/>
  <c r="S182" i="3"/>
  <c r="T182" i="3"/>
  <c r="U182" i="3"/>
  <c r="V182" i="3"/>
  <c r="W182" i="3"/>
  <c r="X182" i="3"/>
  <c r="Y182" i="3"/>
  <c r="Z182" i="3"/>
  <c r="AA182" i="3"/>
  <c r="AB182" i="3"/>
  <c r="AC182" i="3"/>
  <c r="AD182" i="3"/>
  <c r="AE182" i="3"/>
  <c r="AF182" i="3"/>
  <c r="AG182" i="3"/>
  <c r="J183" i="3"/>
  <c r="K183" i="3"/>
  <c r="L183" i="3"/>
  <c r="M183" i="3"/>
  <c r="N183" i="3"/>
  <c r="O183" i="3"/>
  <c r="P183" i="3"/>
  <c r="Q183" i="3"/>
  <c r="R183" i="3"/>
  <c r="S183" i="3"/>
  <c r="T183" i="3"/>
  <c r="U183" i="3"/>
  <c r="V183" i="3"/>
  <c r="W183" i="3"/>
  <c r="X183" i="3"/>
  <c r="Y183" i="3"/>
  <c r="Z183" i="3"/>
  <c r="AA183" i="3"/>
  <c r="AB183" i="3"/>
  <c r="AC183" i="3"/>
  <c r="AD183" i="3"/>
  <c r="AE183" i="3"/>
  <c r="AF183" i="3"/>
  <c r="AG183" i="3"/>
  <c r="J184" i="3"/>
  <c r="K184" i="3"/>
  <c r="L184" i="3"/>
  <c r="M184" i="3"/>
  <c r="N184" i="3"/>
  <c r="O184" i="3"/>
  <c r="P184" i="3"/>
  <c r="Q184" i="3"/>
  <c r="R184" i="3"/>
  <c r="S184" i="3"/>
  <c r="T184" i="3"/>
  <c r="U184" i="3"/>
  <c r="V184" i="3"/>
  <c r="W184" i="3"/>
  <c r="X184" i="3"/>
  <c r="Y184" i="3"/>
  <c r="Z184" i="3"/>
  <c r="AA184" i="3"/>
  <c r="AB184" i="3"/>
  <c r="AC184" i="3"/>
  <c r="AD184" i="3"/>
  <c r="AE184" i="3"/>
  <c r="AF184" i="3"/>
  <c r="AG184" i="3"/>
  <c r="J185" i="3"/>
  <c r="K185" i="3"/>
  <c r="L185" i="3"/>
  <c r="M185" i="3"/>
  <c r="N185" i="3"/>
  <c r="O185" i="3"/>
  <c r="P185" i="3"/>
  <c r="Q185" i="3"/>
  <c r="R185" i="3"/>
  <c r="S185" i="3"/>
  <c r="T185" i="3"/>
  <c r="U185" i="3"/>
  <c r="V185" i="3"/>
  <c r="W185" i="3"/>
  <c r="X185" i="3"/>
  <c r="Y185" i="3"/>
  <c r="Z185" i="3"/>
  <c r="AA185" i="3"/>
  <c r="AB185" i="3"/>
  <c r="AC185" i="3"/>
  <c r="AD185" i="3"/>
  <c r="AE185" i="3"/>
  <c r="AF185" i="3"/>
  <c r="AG185" i="3"/>
  <c r="J186" i="3"/>
  <c r="K186" i="3"/>
  <c r="L186" i="3"/>
  <c r="M186" i="3"/>
  <c r="N186" i="3"/>
  <c r="O186" i="3"/>
  <c r="P186" i="3"/>
  <c r="Q186" i="3"/>
  <c r="R186" i="3"/>
  <c r="S186" i="3"/>
  <c r="T186" i="3"/>
  <c r="U186" i="3"/>
  <c r="V186" i="3"/>
  <c r="W186" i="3"/>
  <c r="X186" i="3"/>
  <c r="Y186" i="3"/>
  <c r="Z186" i="3"/>
  <c r="AA186" i="3"/>
  <c r="AB186" i="3"/>
  <c r="AC186" i="3"/>
  <c r="AD186" i="3"/>
  <c r="AE186" i="3"/>
  <c r="AF186" i="3"/>
  <c r="AG186" i="3"/>
  <c r="J187" i="3"/>
  <c r="K187" i="3"/>
  <c r="L187" i="3"/>
  <c r="M187" i="3"/>
  <c r="N187" i="3"/>
  <c r="O187" i="3"/>
  <c r="P187" i="3"/>
  <c r="Q187" i="3"/>
  <c r="R187" i="3"/>
  <c r="S187" i="3"/>
  <c r="T187" i="3"/>
  <c r="U187" i="3"/>
  <c r="V187" i="3"/>
  <c r="W187" i="3"/>
  <c r="X187" i="3"/>
  <c r="Y187" i="3"/>
  <c r="Z187" i="3"/>
  <c r="AA187" i="3"/>
  <c r="AB187" i="3"/>
  <c r="AC187" i="3"/>
  <c r="AD187" i="3"/>
  <c r="AE187" i="3"/>
  <c r="AF187" i="3"/>
  <c r="AG187" i="3"/>
  <c r="J188" i="3"/>
  <c r="K188" i="3"/>
  <c r="L188" i="3"/>
  <c r="M188" i="3"/>
  <c r="N188" i="3"/>
  <c r="O188" i="3"/>
  <c r="P188" i="3"/>
  <c r="Q188" i="3"/>
  <c r="R188" i="3"/>
  <c r="S188" i="3"/>
  <c r="T188" i="3"/>
  <c r="U188" i="3"/>
  <c r="V188" i="3"/>
  <c r="W188" i="3"/>
  <c r="X188" i="3"/>
  <c r="Y188" i="3"/>
  <c r="Z188" i="3"/>
  <c r="AA188" i="3"/>
  <c r="AB188" i="3"/>
  <c r="AC188" i="3"/>
  <c r="AD188" i="3"/>
  <c r="AE188" i="3"/>
  <c r="AF188" i="3"/>
  <c r="AG188" i="3"/>
  <c r="J189" i="3"/>
  <c r="K189" i="3"/>
  <c r="L189" i="3"/>
  <c r="M189" i="3"/>
  <c r="N189" i="3"/>
  <c r="O189" i="3"/>
  <c r="P189" i="3"/>
  <c r="Q189" i="3"/>
  <c r="R189" i="3"/>
  <c r="S189" i="3"/>
  <c r="T189" i="3"/>
  <c r="U189" i="3"/>
  <c r="V189" i="3"/>
  <c r="W189" i="3"/>
  <c r="X189" i="3"/>
  <c r="Y189" i="3"/>
  <c r="Z189" i="3"/>
  <c r="AA189" i="3"/>
  <c r="AB189" i="3"/>
  <c r="AC189" i="3"/>
  <c r="AD189" i="3"/>
  <c r="AE189" i="3"/>
  <c r="AF189" i="3"/>
  <c r="AG189" i="3"/>
  <c r="J190" i="3"/>
  <c r="K190" i="3"/>
  <c r="L190" i="3"/>
  <c r="M190" i="3"/>
  <c r="N190" i="3"/>
  <c r="O190" i="3"/>
  <c r="P190" i="3"/>
  <c r="Q190" i="3"/>
  <c r="R190" i="3"/>
  <c r="S190" i="3"/>
  <c r="T190" i="3"/>
  <c r="U190" i="3"/>
  <c r="V190" i="3"/>
  <c r="W190" i="3"/>
  <c r="X190" i="3"/>
  <c r="Y190" i="3"/>
  <c r="Z190" i="3"/>
  <c r="AA190" i="3"/>
  <c r="AB190" i="3"/>
  <c r="AC190" i="3"/>
  <c r="AD190" i="3"/>
  <c r="AE190" i="3"/>
  <c r="AF190" i="3"/>
  <c r="AG190" i="3"/>
  <c r="J191" i="3"/>
  <c r="K191" i="3"/>
  <c r="L191" i="3"/>
  <c r="M191" i="3"/>
  <c r="N191" i="3"/>
  <c r="O191" i="3"/>
  <c r="P191" i="3"/>
  <c r="Q191" i="3"/>
  <c r="R191" i="3"/>
  <c r="S191" i="3"/>
  <c r="T191" i="3"/>
  <c r="U191" i="3"/>
  <c r="V191" i="3"/>
  <c r="W191" i="3"/>
  <c r="X191" i="3"/>
  <c r="Y191" i="3"/>
  <c r="Z191" i="3"/>
  <c r="AA191" i="3"/>
  <c r="AB191" i="3"/>
  <c r="AC191" i="3"/>
  <c r="AD191" i="3"/>
  <c r="AE191" i="3"/>
  <c r="AF191" i="3"/>
  <c r="AG191" i="3"/>
  <c r="J192" i="3"/>
  <c r="K192" i="3"/>
  <c r="L192" i="3"/>
  <c r="M192" i="3"/>
  <c r="N192" i="3"/>
  <c r="O192" i="3"/>
  <c r="P192" i="3"/>
  <c r="Q192" i="3"/>
  <c r="R192" i="3"/>
  <c r="S192" i="3"/>
  <c r="T192" i="3"/>
  <c r="U192" i="3"/>
  <c r="V192" i="3"/>
  <c r="W192" i="3"/>
  <c r="X192" i="3"/>
  <c r="Y192" i="3"/>
  <c r="Z192" i="3"/>
  <c r="AA192" i="3"/>
  <c r="AB192" i="3"/>
  <c r="AC192" i="3"/>
  <c r="AD192" i="3"/>
  <c r="AE192" i="3"/>
  <c r="AF192" i="3"/>
  <c r="AG192" i="3"/>
  <c r="J193" i="3"/>
  <c r="K193" i="3"/>
  <c r="L193" i="3"/>
  <c r="M193" i="3"/>
  <c r="N193" i="3"/>
  <c r="O193" i="3"/>
  <c r="P193" i="3"/>
  <c r="Q193" i="3"/>
  <c r="R193" i="3"/>
  <c r="S193" i="3"/>
  <c r="T193" i="3"/>
  <c r="U193" i="3"/>
  <c r="V193" i="3"/>
  <c r="W193" i="3"/>
  <c r="X193" i="3"/>
  <c r="Y193" i="3"/>
  <c r="Z193" i="3"/>
  <c r="AA193" i="3"/>
  <c r="AB193" i="3"/>
  <c r="AC193" i="3"/>
  <c r="AD193" i="3"/>
  <c r="AE193" i="3"/>
  <c r="AF193" i="3"/>
  <c r="AG193" i="3"/>
  <c r="J194" i="3"/>
  <c r="K194" i="3"/>
  <c r="L194" i="3"/>
  <c r="M194" i="3"/>
  <c r="N194" i="3"/>
  <c r="O194" i="3"/>
  <c r="P194" i="3"/>
  <c r="Q194" i="3"/>
  <c r="R194" i="3"/>
  <c r="S194" i="3"/>
  <c r="T194" i="3"/>
  <c r="U194" i="3"/>
  <c r="V194" i="3"/>
  <c r="W194" i="3"/>
  <c r="X194" i="3"/>
  <c r="Y194" i="3"/>
  <c r="Z194" i="3"/>
  <c r="AA194" i="3"/>
  <c r="AB194" i="3"/>
  <c r="AC194" i="3"/>
  <c r="AD194" i="3"/>
  <c r="AE194" i="3"/>
  <c r="AF194" i="3"/>
  <c r="AG194" i="3"/>
  <c r="J195" i="3"/>
  <c r="K195" i="3"/>
  <c r="L195" i="3"/>
  <c r="M195" i="3"/>
  <c r="N195" i="3"/>
  <c r="O195" i="3"/>
  <c r="P195" i="3"/>
  <c r="Q195" i="3"/>
  <c r="R195" i="3"/>
  <c r="S195" i="3"/>
  <c r="T195" i="3"/>
  <c r="U195" i="3"/>
  <c r="V195" i="3"/>
  <c r="W195" i="3"/>
  <c r="X195" i="3"/>
  <c r="Y195" i="3"/>
  <c r="Z195" i="3"/>
  <c r="AA195" i="3"/>
  <c r="AB195" i="3"/>
  <c r="AC195" i="3"/>
  <c r="AD195" i="3"/>
  <c r="AE195" i="3"/>
  <c r="AF195" i="3"/>
  <c r="AG195" i="3"/>
  <c r="J196" i="3"/>
  <c r="K196" i="3"/>
  <c r="L196" i="3"/>
  <c r="M196" i="3"/>
  <c r="N196" i="3"/>
  <c r="O196" i="3"/>
  <c r="P196" i="3"/>
  <c r="Q196" i="3"/>
  <c r="R196" i="3"/>
  <c r="S196" i="3"/>
  <c r="T196" i="3"/>
  <c r="U196" i="3"/>
  <c r="V196" i="3"/>
  <c r="W196" i="3"/>
  <c r="X196" i="3"/>
  <c r="Y196" i="3"/>
  <c r="Z196" i="3"/>
  <c r="AA196" i="3"/>
  <c r="AB196" i="3"/>
  <c r="AC196" i="3"/>
  <c r="AD196" i="3"/>
  <c r="AE196" i="3"/>
  <c r="AF196" i="3"/>
  <c r="AG196" i="3"/>
  <c r="J197" i="3"/>
  <c r="K197" i="3"/>
  <c r="L197" i="3"/>
  <c r="M197" i="3"/>
  <c r="N197" i="3"/>
  <c r="O197" i="3"/>
  <c r="P197" i="3"/>
  <c r="Q197" i="3"/>
  <c r="R197" i="3"/>
  <c r="S197" i="3"/>
  <c r="T197" i="3"/>
  <c r="U197" i="3"/>
  <c r="V197" i="3"/>
  <c r="W197" i="3"/>
  <c r="X197" i="3"/>
  <c r="Y197" i="3"/>
  <c r="Z197" i="3"/>
  <c r="AA197" i="3"/>
  <c r="AB197" i="3"/>
  <c r="AC197" i="3"/>
  <c r="AD197" i="3"/>
  <c r="AE197" i="3"/>
  <c r="AF197" i="3"/>
  <c r="AG197" i="3"/>
  <c r="J198" i="3"/>
  <c r="K198" i="3"/>
  <c r="L198" i="3"/>
  <c r="M198" i="3"/>
  <c r="N198" i="3"/>
  <c r="O198" i="3"/>
  <c r="P198" i="3"/>
  <c r="Q198" i="3"/>
  <c r="R198" i="3"/>
  <c r="S198" i="3"/>
  <c r="T198" i="3"/>
  <c r="U198" i="3"/>
  <c r="V198" i="3"/>
  <c r="W198" i="3"/>
  <c r="X198" i="3"/>
  <c r="Y198" i="3"/>
  <c r="Z198" i="3"/>
  <c r="AA198" i="3"/>
  <c r="AB198" i="3"/>
  <c r="AC198" i="3"/>
  <c r="AD198" i="3"/>
  <c r="AE198" i="3"/>
  <c r="AF198" i="3"/>
  <c r="AG198" i="3"/>
  <c r="J199" i="3"/>
  <c r="K199" i="3"/>
  <c r="L199" i="3"/>
  <c r="M199" i="3"/>
  <c r="N199" i="3"/>
  <c r="O199" i="3"/>
  <c r="P199" i="3"/>
  <c r="Q199" i="3"/>
  <c r="R199" i="3"/>
  <c r="S199" i="3"/>
  <c r="T199" i="3"/>
  <c r="U199" i="3"/>
  <c r="V199" i="3"/>
  <c r="W199" i="3"/>
  <c r="X199" i="3"/>
  <c r="Y199" i="3"/>
  <c r="Z199" i="3"/>
  <c r="AA199" i="3"/>
  <c r="AB199" i="3"/>
  <c r="AC199" i="3"/>
  <c r="AD199" i="3"/>
  <c r="AE199" i="3"/>
  <c r="AF199" i="3"/>
  <c r="AG199" i="3"/>
  <c r="J200" i="3"/>
  <c r="K200" i="3"/>
  <c r="L200" i="3"/>
  <c r="M200" i="3"/>
  <c r="N200" i="3"/>
  <c r="O200" i="3"/>
  <c r="P200" i="3"/>
  <c r="Q200" i="3"/>
  <c r="R200" i="3"/>
  <c r="S200" i="3"/>
  <c r="T200" i="3"/>
  <c r="U200" i="3"/>
  <c r="V200" i="3"/>
  <c r="W200" i="3"/>
  <c r="X200" i="3"/>
  <c r="Y200" i="3"/>
  <c r="Z200" i="3"/>
  <c r="AA200" i="3"/>
  <c r="AB200" i="3"/>
  <c r="AC200" i="3"/>
  <c r="AD200" i="3"/>
  <c r="AE200" i="3"/>
  <c r="AF200" i="3"/>
  <c r="AG200" i="3"/>
  <c r="J201" i="3"/>
  <c r="K201" i="3"/>
  <c r="L201" i="3"/>
  <c r="M201" i="3"/>
  <c r="N201" i="3"/>
  <c r="O201" i="3"/>
  <c r="P201" i="3"/>
  <c r="Q201" i="3"/>
  <c r="R201" i="3"/>
  <c r="S201" i="3"/>
  <c r="T201" i="3"/>
  <c r="U201" i="3"/>
  <c r="V201" i="3"/>
  <c r="W201" i="3"/>
  <c r="X201" i="3"/>
  <c r="Y201" i="3"/>
  <c r="Z201" i="3"/>
  <c r="AA201" i="3"/>
  <c r="AB201" i="3"/>
  <c r="AC201" i="3"/>
  <c r="AD201" i="3"/>
  <c r="AE201" i="3"/>
  <c r="AF201" i="3"/>
  <c r="AG201" i="3"/>
  <c r="J202" i="3"/>
  <c r="K202" i="3"/>
  <c r="L202" i="3"/>
  <c r="M202" i="3"/>
  <c r="N202" i="3"/>
  <c r="O202" i="3"/>
  <c r="P202" i="3"/>
  <c r="Q202" i="3"/>
  <c r="R202" i="3"/>
  <c r="S202" i="3"/>
  <c r="T202" i="3"/>
  <c r="U202" i="3"/>
  <c r="V202" i="3"/>
  <c r="W202" i="3"/>
  <c r="X202" i="3"/>
  <c r="Y202" i="3"/>
  <c r="Z202" i="3"/>
  <c r="AA202" i="3"/>
  <c r="AB202" i="3"/>
  <c r="AC202" i="3"/>
  <c r="AD202" i="3"/>
  <c r="AE202" i="3"/>
  <c r="AF202" i="3"/>
  <c r="AG202" i="3"/>
  <c r="J203" i="3"/>
  <c r="K203" i="3"/>
  <c r="L203" i="3"/>
  <c r="M203" i="3"/>
  <c r="N203" i="3"/>
  <c r="O203" i="3"/>
  <c r="P203" i="3"/>
  <c r="Q203" i="3"/>
  <c r="R203" i="3"/>
  <c r="S203" i="3"/>
  <c r="T203" i="3"/>
  <c r="U203" i="3"/>
  <c r="V203" i="3"/>
  <c r="W203" i="3"/>
  <c r="X203" i="3"/>
  <c r="Y203" i="3"/>
  <c r="Z203" i="3"/>
  <c r="AA203" i="3"/>
  <c r="AB203" i="3"/>
  <c r="AC203" i="3"/>
  <c r="AD203" i="3"/>
  <c r="AE203" i="3"/>
  <c r="AF203" i="3"/>
  <c r="AG203" i="3"/>
  <c r="J204" i="3"/>
  <c r="K204" i="3"/>
  <c r="L204" i="3"/>
  <c r="M204" i="3"/>
  <c r="N204" i="3"/>
  <c r="O204" i="3"/>
  <c r="P204" i="3"/>
  <c r="Q204" i="3"/>
  <c r="R204" i="3"/>
  <c r="S204" i="3"/>
  <c r="T204" i="3"/>
  <c r="U204" i="3"/>
  <c r="V204" i="3"/>
  <c r="W204" i="3"/>
  <c r="X204" i="3"/>
  <c r="Y204" i="3"/>
  <c r="Z204" i="3"/>
  <c r="AA204" i="3"/>
  <c r="AB204" i="3"/>
  <c r="AC204" i="3"/>
  <c r="AD204" i="3"/>
  <c r="AE204" i="3"/>
  <c r="AF204" i="3"/>
  <c r="AG204" i="3"/>
  <c r="J205" i="3"/>
  <c r="K205" i="3"/>
  <c r="L205" i="3"/>
  <c r="M205" i="3"/>
  <c r="N205" i="3"/>
  <c r="O205" i="3"/>
  <c r="P205" i="3"/>
  <c r="Q205" i="3"/>
  <c r="R205" i="3"/>
  <c r="S205" i="3"/>
  <c r="T205" i="3"/>
  <c r="U205" i="3"/>
  <c r="V205" i="3"/>
  <c r="W205" i="3"/>
  <c r="X205" i="3"/>
  <c r="Y205" i="3"/>
  <c r="Z205" i="3"/>
  <c r="AA205" i="3"/>
  <c r="AB205" i="3"/>
  <c r="AC205" i="3"/>
  <c r="AD205" i="3"/>
  <c r="AE205" i="3"/>
  <c r="AF205" i="3"/>
  <c r="AG205" i="3"/>
  <c r="J206" i="3"/>
  <c r="K206" i="3"/>
  <c r="L206" i="3"/>
  <c r="M206" i="3"/>
  <c r="N206" i="3"/>
  <c r="O206" i="3"/>
  <c r="P206" i="3"/>
  <c r="Q206" i="3"/>
  <c r="R206" i="3"/>
  <c r="S206" i="3"/>
  <c r="T206" i="3"/>
  <c r="U206" i="3"/>
  <c r="V206" i="3"/>
  <c r="W206" i="3"/>
  <c r="X206" i="3"/>
  <c r="Y206" i="3"/>
  <c r="Z206" i="3"/>
  <c r="AA206" i="3"/>
  <c r="AB206" i="3"/>
  <c r="AC206" i="3"/>
  <c r="AD206" i="3"/>
  <c r="AE206" i="3"/>
  <c r="AF206" i="3"/>
  <c r="AG206" i="3"/>
  <c r="J207" i="3"/>
  <c r="K207" i="3"/>
  <c r="L207" i="3"/>
  <c r="M207" i="3"/>
  <c r="N207" i="3"/>
  <c r="O207" i="3"/>
  <c r="P207" i="3"/>
  <c r="Q207" i="3"/>
  <c r="R207" i="3"/>
  <c r="S207" i="3"/>
  <c r="T207" i="3"/>
  <c r="U207" i="3"/>
  <c r="V207" i="3"/>
  <c r="W207" i="3"/>
  <c r="X207" i="3"/>
  <c r="Y207" i="3"/>
  <c r="Z207" i="3"/>
  <c r="AA207" i="3"/>
  <c r="AB207" i="3"/>
  <c r="AC207" i="3"/>
  <c r="AD207" i="3"/>
  <c r="AE207" i="3"/>
  <c r="AF207" i="3"/>
  <c r="AG207" i="3"/>
  <c r="J208" i="3"/>
  <c r="K208" i="3"/>
  <c r="L208" i="3"/>
  <c r="M208" i="3"/>
  <c r="N208" i="3"/>
  <c r="O208" i="3"/>
  <c r="P208" i="3"/>
  <c r="Q208" i="3"/>
  <c r="R208" i="3"/>
  <c r="S208" i="3"/>
  <c r="T208" i="3"/>
  <c r="U208" i="3"/>
  <c r="V208" i="3"/>
  <c r="W208" i="3"/>
  <c r="X208" i="3"/>
  <c r="Y208" i="3"/>
  <c r="Z208" i="3"/>
  <c r="AA208" i="3"/>
  <c r="AB208" i="3"/>
  <c r="AC208" i="3"/>
  <c r="AD208" i="3"/>
  <c r="AE208" i="3"/>
  <c r="AF208" i="3"/>
  <c r="AG208" i="3"/>
  <c r="J209" i="3"/>
  <c r="K209" i="3"/>
  <c r="L209" i="3"/>
  <c r="M209" i="3"/>
  <c r="N209" i="3"/>
  <c r="O209" i="3"/>
  <c r="P209" i="3"/>
  <c r="Q209" i="3"/>
  <c r="R209" i="3"/>
  <c r="S209" i="3"/>
  <c r="T209" i="3"/>
  <c r="U209" i="3"/>
  <c r="V209" i="3"/>
  <c r="W209" i="3"/>
  <c r="X209" i="3"/>
  <c r="Y209" i="3"/>
  <c r="Z209" i="3"/>
  <c r="AA209" i="3"/>
  <c r="AB209" i="3"/>
  <c r="AC209" i="3"/>
  <c r="AD209" i="3"/>
  <c r="AE209" i="3"/>
  <c r="AF209" i="3"/>
  <c r="AG209" i="3"/>
  <c r="J210" i="3"/>
  <c r="K210" i="3"/>
  <c r="L210" i="3"/>
  <c r="M210" i="3"/>
  <c r="N210" i="3"/>
  <c r="O210" i="3"/>
  <c r="P210" i="3"/>
  <c r="Q210" i="3"/>
  <c r="R210" i="3"/>
  <c r="S210" i="3"/>
  <c r="T210" i="3"/>
  <c r="U210" i="3"/>
  <c r="V210" i="3"/>
  <c r="W210" i="3"/>
  <c r="X210" i="3"/>
  <c r="Y210" i="3"/>
  <c r="Z210" i="3"/>
  <c r="AA210" i="3"/>
  <c r="AB210" i="3"/>
  <c r="AC210" i="3"/>
  <c r="AD210" i="3"/>
  <c r="AE210" i="3"/>
  <c r="AF210" i="3"/>
  <c r="AG210" i="3"/>
  <c r="J211" i="3"/>
  <c r="K211" i="3"/>
  <c r="L211" i="3"/>
  <c r="M211" i="3"/>
  <c r="N211" i="3"/>
  <c r="O211" i="3"/>
  <c r="P211" i="3"/>
  <c r="Q211" i="3"/>
  <c r="R211" i="3"/>
  <c r="S211" i="3"/>
  <c r="T211" i="3"/>
  <c r="U211" i="3"/>
  <c r="V211" i="3"/>
  <c r="W211" i="3"/>
  <c r="X211" i="3"/>
  <c r="Y211" i="3"/>
  <c r="Z211" i="3"/>
  <c r="AA211" i="3"/>
  <c r="AB211" i="3"/>
  <c r="AC211" i="3"/>
  <c r="AD211" i="3"/>
  <c r="AE211" i="3"/>
  <c r="AF211" i="3"/>
  <c r="AG211" i="3"/>
  <c r="J212" i="3"/>
  <c r="K212" i="3"/>
  <c r="L212" i="3"/>
  <c r="M212" i="3"/>
  <c r="N212" i="3"/>
  <c r="O212" i="3"/>
  <c r="P212" i="3"/>
  <c r="Q212" i="3"/>
  <c r="R212" i="3"/>
  <c r="S212" i="3"/>
  <c r="T212" i="3"/>
  <c r="U212" i="3"/>
  <c r="V212" i="3"/>
  <c r="W212" i="3"/>
  <c r="X212" i="3"/>
  <c r="Y212" i="3"/>
  <c r="Z212" i="3"/>
  <c r="AA212" i="3"/>
  <c r="AB212" i="3"/>
  <c r="AC212" i="3"/>
  <c r="AD212" i="3"/>
  <c r="AE212" i="3"/>
  <c r="AF212" i="3"/>
  <c r="AG212" i="3"/>
  <c r="J213" i="3"/>
  <c r="K213" i="3"/>
  <c r="L213" i="3"/>
  <c r="M213" i="3"/>
  <c r="N213" i="3"/>
  <c r="O213" i="3"/>
  <c r="P213" i="3"/>
  <c r="Q213" i="3"/>
  <c r="R213" i="3"/>
  <c r="S213" i="3"/>
  <c r="T213" i="3"/>
  <c r="U213" i="3"/>
  <c r="V213" i="3"/>
  <c r="W213" i="3"/>
  <c r="X213" i="3"/>
  <c r="Y213" i="3"/>
  <c r="Z213" i="3"/>
  <c r="AA213" i="3"/>
  <c r="AB213" i="3"/>
  <c r="AC213" i="3"/>
  <c r="AD213" i="3"/>
  <c r="AE213" i="3"/>
  <c r="AF213" i="3"/>
  <c r="AG213" i="3"/>
  <c r="J214" i="3"/>
  <c r="K214" i="3"/>
  <c r="L214" i="3"/>
  <c r="M214" i="3"/>
  <c r="N214" i="3"/>
  <c r="O214" i="3"/>
  <c r="P214" i="3"/>
  <c r="Q214" i="3"/>
  <c r="R214" i="3"/>
  <c r="S214" i="3"/>
  <c r="T214" i="3"/>
  <c r="U214" i="3"/>
  <c r="V214" i="3"/>
  <c r="W214" i="3"/>
  <c r="X214" i="3"/>
  <c r="Y214" i="3"/>
  <c r="Z214" i="3"/>
  <c r="AA214" i="3"/>
  <c r="AB214" i="3"/>
  <c r="AC214" i="3"/>
  <c r="AD214" i="3"/>
  <c r="AE214" i="3"/>
  <c r="AF214" i="3"/>
  <c r="AG214" i="3"/>
  <c r="J215" i="3"/>
  <c r="K215" i="3"/>
  <c r="L215" i="3"/>
  <c r="M215" i="3"/>
  <c r="N215" i="3"/>
  <c r="O215" i="3"/>
  <c r="P215" i="3"/>
  <c r="Q215" i="3"/>
  <c r="R215" i="3"/>
  <c r="S215" i="3"/>
  <c r="T215" i="3"/>
  <c r="U215" i="3"/>
  <c r="V215" i="3"/>
  <c r="W215" i="3"/>
  <c r="X215" i="3"/>
  <c r="Y215" i="3"/>
  <c r="Z215" i="3"/>
  <c r="AA215" i="3"/>
  <c r="AB215" i="3"/>
  <c r="AC215" i="3"/>
  <c r="AD215" i="3"/>
  <c r="AE215" i="3"/>
  <c r="AF215" i="3"/>
  <c r="AG215" i="3"/>
  <c r="J216" i="3"/>
  <c r="K216" i="3"/>
  <c r="L216" i="3"/>
  <c r="M216" i="3"/>
  <c r="N216" i="3"/>
  <c r="O216" i="3"/>
  <c r="P216" i="3"/>
  <c r="Q216" i="3"/>
  <c r="R216" i="3"/>
  <c r="S216" i="3"/>
  <c r="T216" i="3"/>
  <c r="U216" i="3"/>
  <c r="V216" i="3"/>
  <c r="W216" i="3"/>
  <c r="X216" i="3"/>
  <c r="Y216" i="3"/>
  <c r="Z216" i="3"/>
  <c r="AA216" i="3"/>
  <c r="AB216" i="3"/>
  <c r="AC216" i="3"/>
  <c r="AD216" i="3"/>
  <c r="AE216" i="3"/>
  <c r="AF216" i="3"/>
  <c r="AG216" i="3"/>
  <c r="J217" i="3"/>
  <c r="K217" i="3"/>
  <c r="L217" i="3"/>
  <c r="M217" i="3"/>
  <c r="N217" i="3"/>
  <c r="O217" i="3"/>
  <c r="P217" i="3"/>
  <c r="Q217" i="3"/>
  <c r="R217" i="3"/>
  <c r="S217" i="3"/>
  <c r="T217" i="3"/>
  <c r="U217" i="3"/>
  <c r="V217" i="3"/>
  <c r="W217" i="3"/>
  <c r="X217" i="3"/>
  <c r="Y217" i="3"/>
  <c r="Z217" i="3"/>
  <c r="AA217" i="3"/>
  <c r="AB217" i="3"/>
  <c r="AC217" i="3"/>
  <c r="AD217" i="3"/>
  <c r="AE217" i="3"/>
  <c r="AF217" i="3"/>
  <c r="AG217" i="3"/>
  <c r="J218" i="3"/>
  <c r="K218" i="3"/>
  <c r="L218" i="3"/>
  <c r="M218" i="3"/>
  <c r="N218" i="3"/>
  <c r="O218" i="3"/>
  <c r="P218" i="3"/>
  <c r="Q218" i="3"/>
  <c r="R218" i="3"/>
  <c r="S218" i="3"/>
  <c r="T218" i="3"/>
  <c r="U218" i="3"/>
  <c r="V218" i="3"/>
  <c r="W218" i="3"/>
  <c r="X218" i="3"/>
  <c r="Y218" i="3"/>
  <c r="Z218" i="3"/>
  <c r="AA218" i="3"/>
  <c r="AB218" i="3"/>
  <c r="AC218" i="3"/>
  <c r="AD218" i="3"/>
  <c r="AE218" i="3"/>
  <c r="AF218" i="3"/>
  <c r="AG218" i="3"/>
  <c r="J219" i="3"/>
  <c r="K219" i="3"/>
  <c r="L219" i="3"/>
  <c r="M219" i="3"/>
  <c r="N219" i="3"/>
  <c r="O219" i="3"/>
  <c r="P219" i="3"/>
  <c r="Q219" i="3"/>
  <c r="R219" i="3"/>
  <c r="S219" i="3"/>
  <c r="T219" i="3"/>
  <c r="U219" i="3"/>
  <c r="V219" i="3"/>
  <c r="W219" i="3"/>
  <c r="X219" i="3"/>
  <c r="Y219" i="3"/>
  <c r="Z219" i="3"/>
  <c r="AA219" i="3"/>
  <c r="AB219" i="3"/>
  <c r="AC219" i="3"/>
  <c r="AD219" i="3"/>
  <c r="AE219" i="3"/>
  <c r="AF219" i="3"/>
  <c r="AG219" i="3"/>
  <c r="J220" i="3"/>
  <c r="K220" i="3"/>
  <c r="L220" i="3"/>
  <c r="M220" i="3"/>
  <c r="N220" i="3"/>
  <c r="O220" i="3"/>
  <c r="P220" i="3"/>
  <c r="Q220" i="3"/>
  <c r="R220" i="3"/>
  <c r="S220" i="3"/>
  <c r="T220" i="3"/>
  <c r="U220" i="3"/>
  <c r="V220" i="3"/>
  <c r="W220" i="3"/>
  <c r="X220" i="3"/>
  <c r="Y220" i="3"/>
  <c r="Z220" i="3"/>
  <c r="AA220" i="3"/>
  <c r="AB220" i="3"/>
  <c r="AC220" i="3"/>
  <c r="AD220" i="3"/>
  <c r="AE220" i="3"/>
  <c r="AF220" i="3"/>
  <c r="AG220" i="3"/>
  <c r="J221" i="3"/>
  <c r="K221" i="3"/>
  <c r="L221" i="3"/>
  <c r="M221" i="3"/>
  <c r="N221" i="3"/>
  <c r="O221" i="3"/>
  <c r="P221" i="3"/>
  <c r="Q221" i="3"/>
  <c r="R221" i="3"/>
  <c r="S221" i="3"/>
  <c r="T221" i="3"/>
  <c r="U221" i="3"/>
  <c r="V221" i="3"/>
  <c r="W221" i="3"/>
  <c r="X221" i="3"/>
  <c r="Y221" i="3"/>
  <c r="Z221" i="3"/>
  <c r="AA221" i="3"/>
  <c r="AB221" i="3"/>
  <c r="AC221" i="3"/>
  <c r="AD221" i="3"/>
  <c r="AE221" i="3"/>
  <c r="AF221" i="3"/>
  <c r="AG221" i="3"/>
  <c r="J222" i="3"/>
  <c r="K222" i="3"/>
  <c r="L222" i="3"/>
  <c r="M222" i="3"/>
  <c r="N222" i="3"/>
  <c r="O222" i="3"/>
  <c r="P222" i="3"/>
  <c r="Q222" i="3"/>
  <c r="R222" i="3"/>
  <c r="S222" i="3"/>
  <c r="T222" i="3"/>
  <c r="U222" i="3"/>
  <c r="V222" i="3"/>
  <c r="W222" i="3"/>
  <c r="X222" i="3"/>
  <c r="Y222" i="3"/>
  <c r="Z222" i="3"/>
  <c r="AA222" i="3"/>
  <c r="AB222" i="3"/>
  <c r="AC222" i="3"/>
  <c r="AD222" i="3"/>
  <c r="AE222" i="3"/>
  <c r="AF222" i="3"/>
  <c r="AG222" i="3"/>
  <c r="J223" i="3"/>
  <c r="K223" i="3"/>
  <c r="L223" i="3"/>
  <c r="M223" i="3"/>
  <c r="N223" i="3"/>
  <c r="O223" i="3"/>
  <c r="P223" i="3"/>
  <c r="Q223" i="3"/>
  <c r="R223" i="3"/>
  <c r="S223" i="3"/>
  <c r="T223" i="3"/>
  <c r="U223" i="3"/>
  <c r="V223" i="3"/>
  <c r="W223" i="3"/>
  <c r="X223" i="3"/>
  <c r="Y223" i="3"/>
  <c r="Z223" i="3"/>
  <c r="AA223" i="3"/>
  <c r="AB223" i="3"/>
  <c r="AC223" i="3"/>
  <c r="AD223" i="3"/>
  <c r="AE223" i="3"/>
  <c r="AF223" i="3"/>
  <c r="AG223" i="3"/>
  <c r="J224" i="3"/>
  <c r="K224" i="3"/>
  <c r="L224" i="3"/>
  <c r="M224" i="3"/>
  <c r="N224" i="3"/>
  <c r="O224" i="3"/>
  <c r="P224" i="3"/>
  <c r="Q224" i="3"/>
  <c r="R224" i="3"/>
  <c r="S224" i="3"/>
  <c r="T224" i="3"/>
  <c r="U224" i="3"/>
  <c r="V224" i="3"/>
  <c r="W224" i="3"/>
  <c r="X224" i="3"/>
  <c r="Y224" i="3"/>
  <c r="Z224" i="3"/>
  <c r="AA224" i="3"/>
  <c r="AB224" i="3"/>
  <c r="AC224" i="3"/>
  <c r="AD224" i="3"/>
  <c r="AE224" i="3"/>
  <c r="AF224" i="3"/>
  <c r="AG224" i="3"/>
  <c r="J225" i="3"/>
  <c r="K225" i="3"/>
  <c r="L225" i="3"/>
  <c r="M225" i="3"/>
  <c r="N225" i="3"/>
  <c r="O225" i="3"/>
  <c r="P225" i="3"/>
  <c r="Q225" i="3"/>
  <c r="R225" i="3"/>
  <c r="S225" i="3"/>
  <c r="T225" i="3"/>
  <c r="U225" i="3"/>
  <c r="V225" i="3"/>
  <c r="W225" i="3"/>
  <c r="X225" i="3"/>
  <c r="Y225" i="3"/>
  <c r="Z225" i="3"/>
  <c r="AA225" i="3"/>
  <c r="AB225" i="3"/>
  <c r="AC225" i="3"/>
  <c r="AD225" i="3"/>
  <c r="AE225" i="3"/>
  <c r="AF225" i="3"/>
  <c r="AG225" i="3"/>
  <c r="J226" i="3"/>
  <c r="K226" i="3"/>
  <c r="L226" i="3"/>
  <c r="M226" i="3"/>
  <c r="N226" i="3"/>
  <c r="O226" i="3"/>
  <c r="P226" i="3"/>
  <c r="Q226" i="3"/>
  <c r="R226" i="3"/>
  <c r="S226" i="3"/>
  <c r="T226" i="3"/>
  <c r="U226" i="3"/>
  <c r="V226" i="3"/>
  <c r="W226" i="3"/>
  <c r="X226" i="3"/>
  <c r="Y226" i="3"/>
  <c r="Z226" i="3"/>
  <c r="AA226" i="3"/>
  <c r="AB226" i="3"/>
  <c r="AC226" i="3"/>
  <c r="AD226" i="3"/>
  <c r="AE226" i="3"/>
  <c r="AF226" i="3"/>
  <c r="AG226" i="3"/>
  <c r="J227" i="3"/>
  <c r="K227" i="3"/>
  <c r="L227" i="3"/>
  <c r="M227" i="3"/>
  <c r="N227" i="3"/>
  <c r="O227" i="3"/>
  <c r="P227" i="3"/>
  <c r="Q227" i="3"/>
  <c r="R227" i="3"/>
  <c r="S227" i="3"/>
  <c r="T227" i="3"/>
  <c r="U227" i="3"/>
  <c r="V227" i="3"/>
  <c r="W227" i="3"/>
  <c r="X227" i="3"/>
  <c r="Y227" i="3"/>
  <c r="Z227" i="3"/>
  <c r="AA227" i="3"/>
  <c r="AB227" i="3"/>
  <c r="AC227" i="3"/>
  <c r="AD227" i="3"/>
  <c r="AE227" i="3"/>
  <c r="AF227" i="3"/>
  <c r="AG227" i="3"/>
  <c r="J228" i="3"/>
  <c r="K228" i="3"/>
  <c r="L228" i="3"/>
  <c r="M228" i="3"/>
  <c r="N228" i="3"/>
  <c r="O228" i="3"/>
  <c r="P228" i="3"/>
  <c r="Q228" i="3"/>
  <c r="R228" i="3"/>
  <c r="S228" i="3"/>
  <c r="T228" i="3"/>
  <c r="U228" i="3"/>
  <c r="V228" i="3"/>
  <c r="W228" i="3"/>
  <c r="X228" i="3"/>
  <c r="Y228" i="3"/>
  <c r="Z228" i="3"/>
  <c r="AA228" i="3"/>
  <c r="AB228" i="3"/>
  <c r="AC228" i="3"/>
  <c r="AD228" i="3"/>
  <c r="AE228" i="3"/>
  <c r="AF228" i="3"/>
  <c r="AG228" i="3"/>
  <c r="J229" i="3"/>
  <c r="K229" i="3"/>
  <c r="L229" i="3"/>
  <c r="M229" i="3"/>
  <c r="N229" i="3"/>
  <c r="O229" i="3"/>
  <c r="P229" i="3"/>
  <c r="Q229" i="3"/>
  <c r="R229" i="3"/>
  <c r="S229" i="3"/>
  <c r="T229" i="3"/>
  <c r="U229" i="3"/>
  <c r="V229" i="3"/>
  <c r="W229" i="3"/>
  <c r="X229" i="3"/>
  <c r="Y229" i="3"/>
  <c r="Z229" i="3"/>
  <c r="AA229" i="3"/>
  <c r="AB229" i="3"/>
  <c r="AC229" i="3"/>
  <c r="AD229" i="3"/>
  <c r="AE229" i="3"/>
  <c r="AF229" i="3"/>
  <c r="AG229" i="3"/>
  <c r="J230" i="3"/>
  <c r="K230" i="3"/>
  <c r="L230" i="3"/>
  <c r="M230" i="3"/>
  <c r="N230" i="3"/>
  <c r="O230" i="3"/>
  <c r="P230" i="3"/>
  <c r="Q230" i="3"/>
  <c r="R230" i="3"/>
  <c r="S230" i="3"/>
  <c r="T230" i="3"/>
  <c r="U230" i="3"/>
  <c r="V230" i="3"/>
  <c r="W230" i="3"/>
  <c r="X230" i="3"/>
  <c r="Y230" i="3"/>
  <c r="Z230" i="3"/>
  <c r="AA230" i="3"/>
  <c r="AB230" i="3"/>
  <c r="AC230" i="3"/>
  <c r="AD230" i="3"/>
  <c r="AE230" i="3"/>
  <c r="AF230" i="3"/>
  <c r="AG230" i="3"/>
  <c r="J231" i="3"/>
  <c r="K231" i="3"/>
  <c r="L231" i="3"/>
  <c r="M231" i="3"/>
  <c r="N231" i="3"/>
  <c r="O231" i="3"/>
  <c r="P231" i="3"/>
  <c r="Q231" i="3"/>
  <c r="R231" i="3"/>
  <c r="S231" i="3"/>
  <c r="T231" i="3"/>
  <c r="U231" i="3"/>
  <c r="V231" i="3"/>
  <c r="W231" i="3"/>
  <c r="X231" i="3"/>
  <c r="Y231" i="3"/>
  <c r="Z231" i="3"/>
  <c r="AA231" i="3"/>
  <c r="AB231" i="3"/>
  <c r="AC231" i="3"/>
  <c r="AD231" i="3"/>
  <c r="AE231" i="3"/>
  <c r="AF231" i="3"/>
  <c r="AG231" i="3"/>
  <c r="J232" i="3"/>
  <c r="K232" i="3"/>
  <c r="L232" i="3"/>
  <c r="M232" i="3"/>
  <c r="N232" i="3"/>
  <c r="O232" i="3"/>
  <c r="P232" i="3"/>
  <c r="Q232" i="3"/>
  <c r="R232" i="3"/>
  <c r="S232" i="3"/>
  <c r="T232" i="3"/>
  <c r="U232" i="3"/>
  <c r="V232" i="3"/>
  <c r="W232" i="3"/>
  <c r="X232" i="3"/>
  <c r="Y232" i="3"/>
  <c r="Z232" i="3"/>
  <c r="AA232" i="3"/>
  <c r="AB232" i="3"/>
  <c r="AC232" i="3"/>
  <c r="AD232" i="3"/>
  <c r="AE232" i="3"/>
  <c r="AF232" i="3"/>
  <c r="AG232" i="3"/>
  <c r="J233" i="3"/>
  <c r="K233" i="3"/>
  <c r="L233" i="3"/>
  <c r="M233" i="3"/>
  <c r="N233" i="3"/>
  <c r="O233" i="3"/>
  <c r="P233" i="3"/>
  <c r="Q233" i="3"/>
  <c r="R233" i="3"/>
  <c r="S233" i="3"/>
  <c r="T233" i="3"/>
  <c r="U233" i="3"/>
  <c r="V233" i="3"/>
  <c r="W233" i="3"/>
  <c r="X233" i="3"/>
  <c r="Y233" i="3"/>
  <c r="Z233" i="3"/>
  <c r="AA233" i="3"/>
  <c r="AB233" i="3"/>
  <c r="AC233" i="3"/>
  <c r="AD233" i="3"/>
  <c r="AE233" i="3"/>
  <c r="AF233" i="3"/>
  <c r="AG233" i="3"/>
  <c r="J234" i="3"/>
  <c r="K234" i="3"/>
  <c r="L234" i="3"/>
  <c r="M234" i="3"/>
  <c r="N234" i="3"/>
  <c r="O234" i="3"/>
  <c r="P234" i="3"/>
  <c r="Q234" i="3"/>
  <c r="R234" i="3"/>
  <c r="S234" i="3"/>
  <c r="T234" i="3"/>
  <c r="U234" i="3"/>
  <c r="V234" i="3"/>
  <c r="W234" i="3"/>
  <c r="X234" i="3"/>
  <c r="Y234" i="3"/>
  <c r="Z234" i="3"/>
  <c r="AA234" i="3"/>
  <c r="AB234" i="3"/>
  <c r="AC234" i="3"/>
  <c r="AD234" i="3"/>
  <c r="AE234" i="3"/>
  <c r="AF234" i="3"/>
  <c r="AG234" i="3"/>
  <c r="J235" i="3"/>
  <c r="K235" i="3"/>
  <c r="L235" i="3"/>
  <c r="M235" i="3"/>
  <c r="N235" i="3"/>
  <c r="O235" i="3"/>
  <c r="P235" i="3"/>
  <c r="Q235" i="3"/>
  <c r="R235" i="3"/>
  <c r="S235" i="3"/>
  <c r="T235" i="3"/>
  <c r="U235" i="3"/>
  <c r="V235" i="3"/>
  <c r="W235" i="3"/>
  <c r="X235" i="3"/>
  <c r="Y235" i="3"/>
  <c r="Z235" i="3"/>
  <c r="AA235" i="3"/>
  <c r="AB235" i="3"/>
  <c r="AC235" i="3"/>
  <c r="AD235" i="3"/>
  <c r="AE235" i="3"/>
  <c r="AF235" i="3"/>
  <c r="AG235" i="3"/>
  <c r="J236" i="3"/>
  <c r="K236" i="3"/>
  <c r="L236" i="3"/>
  <c r="M236" i="3"/>
  <c r="N236" i="3"/>
  <c r="O236" i="3"/>
  <c r="P236" i="3"/>
  <c r="Q236" i="3"/>
  <c r="R236" i="3"/>
  <c r="S236" i="3"/>
  <c r="T236" i="3"/>
  <c r="U236" i="3"/>
  <c r="V236" i="3"/>
  <c r="W236" i="3"/>
  <c r="X236" i="3"/>
  <c r="Y236" i="3"/>
  <c r="Z236" i="3"/>
  <c r="AA236" i="3"/>
  <c r="AB236" i="3"/>
  <c r="AC236" i="3"/>
  <c r="AD236" i="3"/>
  <c r="AE236" i="3"/>
  <c r="AF236" i="3"/>
  <c r="AG236" i="3"/>
  <c r="J237" i="3"/>
  <c r="K237" i="3"/>
  <c r="L237" i="3"/>
  <c r="M237" i="3"/>
  <c r="N237" i="3"/>
  <c r="O237" i="3"/>
  <c r="P237" i="3"/>
  <c r="Q237" i="3"/>
  <c r="R237" i="3"/>
  <c r="S237" i="3"/>
  <c r="T237" i="3"/>
  <c r="U237" i="3"/>
  <c r="V237" i="3"/>
  <c r="W237" i="3"/>
  <c r="X237" i="3"/>
  <c r="Y237" i="3"/>
  <c r="Z237" i="3"/>
  <c r="AA237" i="3"/>
  <c r="AB237" i="3"/>
  <c r="AC237" i="3"/>
  <c r="AD237" i="3"/>
  <c r="AE237" i="3"/>
  <c r="AF237" i="3"/>
  <c r="AG237" i="3"/>
  <c r="J238" i="3"/>
  <c r="K238" i="3"/>
  <c r="L238" i="3"/>
  <c r="M238" i="3"/>
  <c r="N238" i="3"/>
  <c r="O238" i="3"/>
  <c r="P238" i="3"/>
  <c r="Q238" i="3"/>
  <c r="R238" i="3"/>
  <c r="S238" i="3"/>
  <c r="T238" i="3"/>
  <c r="U238" i="3"/>
  <c r="V238" i="3"/>
  <c r="W238" i="3"/>
  <c r="X238" i="3"/>
  <c r="Y238" i="3"/>
  <c r="Z238" i="3"/>
  <c r="AA238" i="3"/>
  <c r="AB238" i="3"/>
  <c r="AC238" i="3"/>
  <c r="AD238" i="3"/>
  <c r="AE238" i="3"/>
  <c r="AF238" i="3"/>
  <c r="AG238" i="3"/>
  <c r="J239" i="3"/>
  <c r="K239" i="3"/>
  <c r="L239" i="3"/>
  <c r="M239" i="3"/>
  <c r="N239" i="3"/>
  <c r="O239" i="3"/>
  <c r="P239" i="3"/>
  <c r="Q239" i="3"/>
  <c r="R239" i="3"/>
  <c r="S239" i="3"/>
  <c r="T239" i="3"/>
  <c r="U239" i="3"/>
  <c r="V239" i="3"/>
  <c r="W239" i="3"/>
  <c r="X239" i="3"/>
  <c r="Y239" i="3"/>
  <c r="Z239" i="3"/>
  <c r="AA239" i="3"/>
  <c r="AB239" i="3"/>
  <c r="AC239" i="3"/>
  <c r="AD239" i="3"/>
  <c r="AE239" i="3"/>
  <c r="AF239" i="3"/>
  <c r="AG239" i="3"/>
  <c r="J240" i="3"/>
  <c r="K240" i="3"/>
  <c r="L240" i="3"/>
  <c r="M240" i="3"/>
  <c r="N240" i="3"/>
  <c r="O240" i="3"/>
  <c r="P240" i="3"/>
  <c r="Q240" i="3"/>
  <c r="R240" i="3"/>
  <c r="S240" i="3"/>
  <c r="T240" i="3"/>
  <c r="U240" i="3"/>
  <c r="V240" i="3"/>
  <c r="W240" i="3"/>
  <c r="X240" i="3"/>
  <c r="Y240" i="3"/>
  <c r="Z240" i="3"/>
  <c r="AA240" i="3"/>
  <c r="AB240" i="3"/>
  <c r="AC240" i="3"/>
  <c r="AD240" i="3"/>
  <c r="AE240" i="3"/>
  <c r="AF240" i="3"/>
  <c r="AG240" i="3"/>
  <c r="J241" i="3"/>
  <c r="K241" i="3"/>
  <c r="L241" i="3"/>
  <c r="M241" i="3"/>
  <c r="N241" i="3"/>
  <c r="O241" i="3"/>
  <c r="P241" i="3"/>
  <c r="Q241" i="3"/>
  <c r="R241" i="3"/>
  <c r="S241" i="3"/>
  <c r="T241" i="3"/>
  <c r="U241" i="3"/>
  <c r="V241" i="3"/>
  <c r="W241" i="3"/>
  <c r="X241" i="3"/>
  <c r="Y241" i="3"/>
  <c r="Z241" i="3"/>
  <c r="AA241" i="3"/>
  <c r="AB241" i="3"/>
  <c r="AC241" i="3"/>
  <c r="AD241" i="3"/>
  <c r="AE241" i="3"/>
  <c r="AF241" i="3"/>
  <c r="AG241" i="3"/>
  <c r="J242" i="3"/>
  <c r="K242" i="3"/>
  <c r="L242" i="3"/>
  <c r="M242" i="3"/>
  <c r="N242" i="3"/>
  <c r="O242" i="3"/>
  <c r="P242" i="3"/>
  <c r="Q242" i="3"/>
  <c r="R242" i="3"/>
  <c r="S242" i="3"/>
  <c r="T242" i="3"/>
  <c r="U242" i="3"/>
  <c r="V242" i="3"/>
  <c r="W242" i="3"/>
  <c r="X242" i="3"/>
  <c r="Y242" i="3"/>
  <c r="Z242" i="3"/>
  <c r="AA242" i="3"/>
  <c r="AB242" i="3"/>
  <c r="AC242" i="3"/>
  <c r="AD242" i="3"/>
  <c r="AE242" i="3"/>
  <c r="AF242" i="3"/>
  <c r="AG242" i="3"/>
  <c r="J243" i="3"/>
  <c r="K243" i="3"/>
  <c r="L243" i="3"/>
  <c r="M243" i="3"/>
  <c r="N243" i="3"/>
  <c r="O243" i="3"/>
  <c r="P243" i="3"/>
  <c r="Q243" i="3"/>
  <c r="R243" i="3"/>
  <c r="S243" i="3"/>
  <c r="T243" i="3"/>
  <c r="U243" i="3"/>
  <c r="V243" i="3"/>
  <c r="W243" i="3"/>
  <c r="X243" i="3"/>
  <c r="Y243" i="3"/>
  <c r="Z243" i="3"/>
  <c r="AA243" i="3"/>
  <c r="AB243" i="3"/>
  <c r="AC243" i="3"/>
  <c r="AD243" i="3"/>
  <c r="AE243" i="3"/>
  <c r="AF243" i="3"/>
  <c r="AG243" i="3"/>
  <c r="J244" i="3"/>
  <c r="K244" i="3"/>
  <c r="L244" i="3"/>
  <c r="M244" i="3"/>
  <c r="N244" i="3"/>
  <c r="O244" i="3"/>
  <c r="P244" i="3"/>
  <c r="Q244" i="3"/>
  <c r="R244" i="3"/>
  <c r="S244" i="3"/>
  <c r="T244" i="3"/>
  <c r="U244" i="3"/>
  <c r="V244" i="3"/>
  <c r="W244" i="3"/>
  <c r="X244" i="3"/>
  <c r="Y244" i="3"/>
  <c r="Z244" i="3"/>
  <c r="AA244" i="3"/>
  <c r="AB244" i="3"/>
  <c r="AC244" i="3"/>
  <c r="AD244" i="3"/>
  <c r="AE244" i="3"/>
  <c r="AF244" i="3"/>
  <c r="AG244" i="3"/>
  <c r="J245" i="3"/>
  <c r="K245" i="3"/>
  <c r="L245" i="3"/>
  <c r="M245" i="3"/>
  <c r="N245" i="3"/>
  <c r="O245" i="3"/>
  <c r="P245" i="3"/>
  <c r="Q245" i="3"/>
  <c r="R245" i="3"/>
  <c r="S245" i="3"/>
  <c r="T245" i="3"/>
  <c r="U245" i="3"/>
  <c r="V245" i="3"/>
  <c r="W245" i="3"/>
  <c r="X245" i="3"/>
  <c r="Y245" i="3"/>
  <c r="Z245" i="3"/>
  <c r="AA245" i="3"/>
  <c r="AB245" i="3"/>
  <c r="AC245" i="3"/>
  <c r="AD245" i="3"/>
  <c r="AE245" i="3"/>
  <c r="AF245" i="3"/>
  <c r="AG245" i="3"/>
  <c r="J246" i="3"/>
  <c r="K246" i="3"/>
  <c r="L246" i="3"/>
  <c r="M246" i="3"/>
  <c r="N246" i="3"/>
  <c r="O246" i="3"/>
  <c r="P246" i="3"/>
  <c r="Q246" i="3"/>
  <c r="R246" i="3"/>
  <c r="S246" i="3"/>
  <c r="T246" i="3"/>
  <c r="U246" i="3"/>
  <c r="V246" i="3"/>
  <c r="W246" i="3"/>
  <c r="X246" i="3"/>
  <c r="Y246" i="3"/>
  <c r="Z246" i="3"/>
  <c r="AA246" i="3"/>
  <c r="AB246" i="3"/>
  <c r="AC246" i="3"/>
  <c r="AD246" i="3"/>
  <c r="AE246" i="3"/>
  <c r="AF246" i="3"/>
  <c r="AG246" i="3"/>
  <c r="J247" i="3"/>
  <c r="K247" i="3"/>
  <c r="L247" i="3"/>
  <c r="M247" i="3"/>
  <c r="N247" i="3"/>
  <c r="O247" i="3"/>
  <c r="P247" i="3"/>
  <c r="Q247" i="3"/>
  <c r="R247" i="3"/>
  <c r="S247" i="3"/>
  <c r="T247" i="3"/>
  <c r="U247" i="3"/>
  <c r="V247" i="3"/>
  <c r="W247" i="3"/>
  <c r="X247" i="3"/>
  <c r="Y247" i="3"/>
  <c r="Z247" i="3"/>
  <c r="AA247" i="3"/>
  <c r="AB247" i="3"/>
  <c r="AC247" i="3"/>
  <c r="AD247" i="3"/>
  <c r="AE247" i="3"/>
  <c r="AF247" i="3"/>
  <c r="AG247" i="3"/>
  <c r="J248" i="3"/>
  <c r="K248" i="3"/>
  <c r="L248" i="3"/>
  <c r="M248" i="3"/>
  <c r="N248" i="3"/>
  <c r="O248" i="3"/>
  <c r="P248" i="3"/>
  <c r="Q248" i="3"/>
  <c r="R248" i="3"/>
  <c r="S248" i="3"/>
  <c r="T248" i="3"/>
  <c r="U248" i="3"/>
  <c r="V248" i="3"/>
  <c r="W248" i="3"/>
  <c r="X248" i="3"/>
  <c r="Y248" i="3"/>
  <c r="Z248" i="3"/>
  <c r="AA248" i="3"/>
  <c r="AB248" i="3"/>
  <c r="AC248" i="3"/>
  <c r="AD248" i="3"/>
  <c r="AE248" i="3"/>
  <c r="AF248" i="3"/>
  <c r="AG248" i="3"/>
  <c r="J249" i="3"/>
  <c r="K249" i="3"/>
  <c r="L249" i="3"/>
  <c r="M249" i="3"/>
  <c r="N249" i="3"/>
  <c r="O249" i="3"/>
  <c r="P249" i="3"/>
  <c r="Q249" i="3"/>
  <c r="R249" i="3"/>
  <c r="S249" i="3"/>
  <c r="T249" i="3"/>
  <c r="U249" i="3"/>
  <c r="V249" i="3"/>
  <c r="W249" i="3"/>
  <c r="X249" i="3"/>
  <c r="Y249" i="3"/>
  <c r="Z249" i="3"/>
  <c r="AA249" i="3"/>
  <c r="AB249" i="3"/>
  <c r="AC249" i="3"/>
  <c r="AD249" i="3"/>
  <c r="AE249" i="3"/>
  <c r="AF249" i="3"/>
  <c r="AG249" i="3"/>
  <c r="J250" i="3"/>
  <c r="K250" i="3"/>
  <c r="L250" i="3"/>
  <c r="M250" i="3"/>
  <c r="N250" i="3"/>
  <c r="O250" i="3"/>
  <c r="P250" i="3"/>
  <c r="Q250" i="3"/>
  <c r="R250" i="3"/>
  <c r="S250" i="3"/>
  <c r="T250" i="3"/>
  <c r="U250" i="3"/>
  <c r="V250" i="3"/>
  <c r="W250" i="3"/>
  <c r="X250" i="3"/>
  <c r="Y250" i="3"/>
  <c r="Z250" i="3"/>
  <c r="AA250" i="3"/>
  <c r="AB250" i="3"/>
  <c r="AC250" i="3"/>
  <c r="AD250" i="3"/>
  <c r="AE250" i="3"/>
  <c r="AF250" i="3"/>
  <c r="AG250" i="3"/>
  <c r="J251" i="3"/>
  <c r="K251" i="3"/>
  <c r="L251" i="3"/>
  <c r="M251" i="3"/>
  <c r="N251" i="3"/>
  <c r="O251" i="3"/>
  <c r="P251" i="3"/>
  <c r="Q251" i="3"/>
  <c r="R251" i="3"/>
  <c r="S251" i="3"/>
  <c r="T251" i="3"/>
  <c r="U251" i="3"/>
  <c r="V251" i="3"/>
  <c r="W251" i="3"/>
  <c r="X251" i="3"/>
  <c r="Y251" i="3"/>
  <c r="Z251" i="3"/>
  <c r="AA251" i="3"/>
  <c r="AB251" i="3"/>
  <c r="AC251" i="3"/>
  <c r="AD251" i="3"/>
  <c r="AE251" i="3"/>
  <c r="AF251" i="3"/>
  <c r="AG251" i="3"/>
  <c r="J252" i="3"/>
  <c r="K252" i="3"/>
  <c r="L252" i="3"/>
  <c r="M252" i="3"/>
  <c r="N252" i="3"/>
  <c r="O252" i="3"/>
  <c r="P252" i="3"/>
  <c r="Q252" i="3"/>
  <c r="R252" i="3"/>
  <c r="S252" i="3"/>
  <c r="T252" i="3"/>
  <c r="U252" i="3"/>
  <c r="V252" i="3"/>
  <c r="W252" i="3"/>
  <c r="X252" i="3"/>
  <c r="Y252" i="3"/>
  <c r="Z252" i="3"/>
  <c r="AA252" i="3"/>
  <c r="AB252" i="3"/>
  <c r="AC252" i="3"/>
  <c r="AD252" i="3"/>
  <c r="AE252" i="3"/>
  <c r="AF252" i="3"/>
  <c r="AG252" i="3"/>
  <c r="J253" i="3"/>
  <c r="K253" i="3"/>
  <c r="L253" i="3"/>
  <c r="M253" i="3"/>
  <c r="N253" i="3"/>
  <c r="O253" i="3"/>
  <c r="P253" i="3"/>
  <c r="Q253" i="3"/>
  <c r="R253" i="3"/>
  <c r="S253" i="3"/>
  <c r="T253" i="3"/>
  <c r="U253" i="3"/>
  <c r="V253" i="3"/>
  <c r="W253" i="3"/>
  <c r="X253" i="3"/>
  <c r="Y253" i="3"/>
  <c r="Z253" i="3"/>
  <c r="AA253" i="3"/>
  <c r="AB253" i="3"/>
  <c r="AC253" i="3"/>
  <c r="AD253" i="3"/>
  <c r="AE253" i="3"/>
  <c r="AF253" i="3"/>
  <c r="AG253" i="3"/>
  <c r="J254" i="3"/>
  <c r="K254" i="3"/>
  <c r="L254" i="3"/>
  <c r="M254" i="3"/>
  <c r="N254" i="3"/>
  <c r="O254" i="3"/>
  <c r="P254" i="3"/>
  <c r="Q254" i="3"/>
  <c r="R254" i="3"/>
  <c r="S254" i="3"/>
  <c r="T254" i="3"/>
  <c r="U254" i="3"/>
  <c r="V254" i="3"/>
  <c r="W254" i="3"/>
  <c r="X254" i="3"/>
  <c r="Y254" i="3"/>
  <c r="Z254" i="3"/>
  <c r="AA254" i="3"/>
  <c r="AB254" i="3"/>
  <c r="AC254" i="3"/>
  <c r="AD254" i="3"/>
  <c r="AE254" i="3"/>
  <c r="AF254" i="3"/>
  <c r="AG254" i="3"/>
  <c r="J255" i="3"/>
  <c r="K255" i="3"/>
  <c r="L255" i="3"/>
  <c r="M255" i="3"/>
  <c r="N255" i="3"/>
  <c r="O255" i="3"/>
  <c r="P255" i="3"/>
  <c r="Q255" i="3"/>
  <c r="R255" i="3"/>
  <c r="S255" i="3"/>
  <c r="T255" i="3"/>
  <c r="U255" i="3"/>
  <c r="V255" i="3"/>
  <c r="W255" i="3"/>
  <c r="X255" i="3"/>
  <c r="Y255" i="3"/>
  <c r="Z255" i="3"/>
  <c r="AA255" i="3"/>
  <c r="AB255" i="3"/>
  <c r="AC255" i="3"/>
  <c r="AD255" i="3"/>
  <c r="AE255" i="3"/>
  <c r="AF255" i="3"/>
  <c r="AG255" i="3"/>
  <c r="J256" i="3"/>
  <c r="K256" i="3"/>
  <c r="L256" i="3"/>
  <c r="M256" i="3"/>
  <c r="N256" i="3"/>
  <c r="O256" i="3"/>
  <c r="P256" i="3"/>
  <c r="Q256" i="3"/>
  <c r="R256" i="3"/>
  <c r="S256" i="3"/>
  <c r="T256" i="3"/>
  <c r="U256" i="3"/>
  <c r="V256" i="3"/>
  <c r="W256" i="3"/>
  <c r="X256" i="3"/>
  <c r="Y256" i="3"/>
  <c r="Z256" i="3"/>
  <c r="AA256" i="3"/>
  <c r="AB256" i="3"/>
  <c r="AC256" i="3"/>
  <c r="AD256" i="3"/>
  <c r="AE256" i="3"/>
  <c r="AF256" i="3"/>
  <c r="AG256" i="3"/>
  <c r="J257" i="3"/>
  <c r="K257" i="3"/>
  <c r="L257" i="3"/>
  <c r="M257" i="3"/>
  <c r="N257" i="3"/>
  <c r="O257" i="3"/>
  <c r="P257" i="3"/>
  <c r="Q257" i="3"/>
  <c r="R257" i="3"/>
  <c r="S257" i="3"/>
  <c r="T257" i="3"/>
  <c r="U257" i="3"/>
  <c r="V257" i="3"/>
  <c r="W257" i="3"/>
  <c r="X257" i="3"/>
  <c r="Y257" i="3"/>
  <c r="Z257" i="3"/>
  <c r="AA257" i="3"/>
  <c r="AB257" i="3"/>
  <c r="AC257" i="3"/>
  <c r="AD257" i="3"/>
  <c r="AE257" i="3"/>
  <c r="AF257" i="3"/>
  <c r="AG257" i="3"/>
  <c r="J258" i="3"/>
  <c r="K258" i="3"/>
  <c r="L258" i="3"/>
  <c r="M258" i="3"/>
  <c r="N258" i="3"/>
  <c r="O258" i="3"/>
  <c r="P258" i="3"/>
  <c r="Q258" i="3"/>
  <c r="R258" i="3"/>
  <c r="S258" i="3"/>
  <c r="T258" i="3"/>
  <c r="U258" i="3"/>
  <c r="V258" i="3"/>
  <c r="W258" i="3"/>
  <c r="X258" i="3"/>
  <c r="Y258" i="3"/>
  <c r="Z258" i="3"/>
  <c r="AA258" i="3"/>
  <c r="AB258" i="3"/>
  <c r="AC258" i="3"/>
  <c r="AD258" i="3"/>
  <c r="AE258" i="3"/>
  <c r="AF258" i="3"/>
  <c r="AG258" i="3"/>
  <c r="J259" i="3"/>
  <c r="K259" i="3"/>
  <c r="L259" i="3"/>
  <c r="M259" i="3"/>
  <c r="N259" i="3"/>
  <c r="O259" i="3"/>
  <c r="P259" i="3"/>
  <c r="Q259" i="3"/>
  <c r="R259" i="3"/>
  <c r="S259" i="3"/>
  <c r="T259" i="3"/>
  <c r="U259" i="3"/>
  <c r="V259" i="3"/>
  <c r="W259" i="3"/>
  <c r="X259" i="3"/>
  <c r="Y259" i="3"/>
  <c r="Z259" i="3"/>
  <c r="AA259" i="3"/>
  <c r="AB259" i="3"/>
  <c r="AC259" i="3"/>
  <c r="AD259" i="3"/>
  <c r="AE259" i="3"/>
  <c r="AF259" i="3"/>
  <c r="AG259" i="3"/>
  <c r="J260" i="3"/>
  <c r="K260" i="3"/>
  <c r="L260" i="3"/>
  <c r="M260" i="3"/>
  <c r="N260" i="3"/>
  <c r="O260" i="3"/>
  <c r="P260" i="3"/>
  <c r="Q260" i="3"/>
  <c r="R260" i="3"/>
  <c r="S260" i="3"/>
  <c r="T260" i="3"/>
  <c r="U260" i="3"/>
  <c r="V260" i="3"/>
  <c r="W260" i="3"/>
  <c r="X260" i="3"/>
  <c r="Y260" i="3"/>
  <c r="Z260" i="3"/>
  <c r="AA260" i="3"/>
  <c r="AB260" i="3"/>
  <c r="AC260" i="3"/>
  <c r="AD260" i="3"/>
  <c r="AE260" i="3"/>
  <c r="AF260" i="3"/>
  <c r="AG260" i="3"/>
  <c r="J261" i="3"/>
  <c r="K261" i="3"/>
  <c r="L261" i="3"/>
  <c r="M261" i="3"/>
  <c r="N261" i="3"/>
  <c r="O261" i="3"/>
  <c r="P261" i="3"/>
  <c r="Q261" i="3"/>
  <c r="R261" i="3"/>
  <c r="S261" i="3"/>
  <c r="T261" i="3"/>
  <c r="U261" i="3"/>
  <c r="V261" i="3"/>
  <c r="W261" i="3"/>
  <c r="X261" i="3"/>
  <c r="Y261" i="3"/>
  <c r="Z261" i="3"/>
  <c r="AA261" i="3"/>
  <c r="AB261" i="3"/>
  <c r="AC261" i="3"/>
  <c r="AD261" i="3"/>
  <c r="AE261" i="3"/>
  <c r="AF261" i="3"/>
  <c r="AG261" i="3"/>
  <c r="J262" i="3"/>
  <c r="K262" i="3"/>
  <c r="L262" i="3"/>
  <c r="M262" i="3"/>
  <c r="N262" i="3"/>
  <c r="O262" i="3"/>
  <c r="P262" i="3"/>
  <c r="Q262" i="3"/>
  <c r="R262" i="3"/>
  <c r="S262" i="3"/>
  <c r="T262" i="3"/>
  <c r="U262" i="3"/>
  <c r="V262" i="3"/>
  <c r="W262" i="3"/>
  <c r="X262" i="3"/>
  <c r="Y262" i="3"/>
  <c r="Z262" i="3"/>
  <c r="AA262" i="3"/>
  <c r="AB262" i="3"/>
  <c r="AC262" i="3"/>
  <c r="AD262" i="3"/>
  <c r="AE262" i="3"/>
  <c r="AF262" i="3"/>
  <c r="AG262" i="3"/>
  <c r="J263" i="3"/>
  <c r="K263" i="3"/>
  <c r="L263" i="3"/>
  <c r="M263" i="3"/>
  <c r="N263" i="3"/>
  <c r="O263" i="3"/>
  <c r="P263" i="3"/>
  <c r="Q263" i="3"/>
  <c r="R263" i="3"/>
  <c r="S263" i="3"/>
  <c r="T263" i="3"/>
  <c r="U263" i="3"/>
  <c r="V263" i="3"/>
  <c r="W263" i="3"/>
  <c r="X263" i="3"/>
  <c r="Y263" i="3"/>
  <c r="Z263" i="3"/>
  <c r="AA263" i="3"/>
  <c r="AB263" i="3"/>
  <c r="AC263" i="3"/>
  <c r="AD263" i="3"/>
  <c r="AE263" i="3"/>
  <c r="AF263" i="3"/>
  <c r="AG263" i="3"/>
  <c r="J264" i="3"/>
  <c r="K264" i="3"/>
  <c r="L264" i="3"/>
  <c r="M264" i="3"/>
  <c r="N264" i="3"/>
  <c r="O264" i="3"/>
  <c r="P264" i="3"/>
  <c r="Q264" i="3"/>
  <c r="R264" i="3"/>
  <c r="S264" i="3"/>
  <c r="T264" i="3"/>
  <c r="U264" i="3"/>
  <c r="V264" i="3"/>
  <c r="W264" i="3"/>
  <c r="X264" i="3"/>
  <c r="Y264" i="3"/>
  <c r="Z264" i="3"/>
  <c r="AA264" i="3"/>
  <c r="AB264" i="3"/>
  <c r="AC264" i="3"/>
  <c r="AD264" i="3"/>
  <c r="AE264" i="3"/>
  <c r="AF264" i="3"/>
  <c r="AG264" i="3"/>
  <c r="J265" i="3"/>
  <c r="K265" i="3"/>
  <c r="L265" i="3"/>
  <c r="M265" i="3"/>
  <c r="N265" i="3"/>
  <c r="O265" i="3"/>
  <c r="P265" i="3"/>
  <c r="Q265" i="3"/>
  <c r="R265" i="3"/>
  <c r="S265" i="3"/>
  <c r="T265" i="3"/>
  <c r="U265" i="3"/>
  <c r="V265" i="3"/>
  <c r="W265" i="3"/>
  <c r="X265" i="3"/>
  <c r="Y265" i="3"/>
  <c r="Z265" i="3"/>
  <c r="AA265" i="3"/>
  <c r="AB265" i="3"/>
  <c r="AC265" i="3"/>
  <c r="AD265" i="3"/>
  <c r="AE265" i="3"/>
  <c r="AF265" i="3"/>
  <c r="AG265" i="3"/>
  <c r="J266" i="3"/>
  <c r="K266" i="3"/>
  <c r="L266" i="3"/>
  <c r="M266" i="3"/>
  <c r="N266" i="3"/>
  <c r="O266" i="3"/>
  <c r="P266" i="3"/>
  <c r="Q266" i="3"/>
  <c r="R266" i="3"/>
  <c r="S266" i="3"/>
  <c r="T266" i="3"/>
  <c r="U266" i="3"/>
  <c r="V266" i="3"/>
  <c r="W266" i="3"/>
  <c r="X266" i="3"/>
  <c r="Y266" i="3"/>
  <c r="Z266" i="3"/>
  <c r="AA266" i="3"/>
  <c r="AB266" i="3"/>
  <c r="AC266" i="3"/>
  <c r="AD266" i="3"/>
  <c r="AE266" i="3"/>
  <c r="AF266" i="3"/>
  <c r="AG266" i="3"/>
  <c r="J267" i="3"/>
  <c r="K267" i="3"/>
  <c r="L267" i="3"/>
  <c r="M267" i="3"/>
  <c r="N267" i="3"/>
  <c r="O267" i="3"/>
  <c r="P267" i="3"/>
  <c r="Q267" i="3"/>
  <c r="R267" i="3"/>
  <c r="S267" i="3"/>
  <c r="T267" i="3"/>
  <c r="U267" i="3"/>
  <c r="V267" i="3"/>
  <c r="W267" i="3"/>
  <c r="X267" i="3"/>
  <c r="Y267" i="3"/>
  <c r="Z267" i="3"/>
  <c r="AA267" i="3"/>
  <c r="AB267" i="3"/>
  <c r="AC267" i="3"/>
  <c r="AD267" i="3"/>
  <c r="AE267" i="3"/>
  <c r="AF267" i="3"/>
  <c r="AG267" i="3"/>
  <c r="J268" i="3"/>
  <c r="K268" i="3"/>
  <c r="L268" i="3"/>
  <c r="M268" i="3"/>
  <c r="N268" i="3"/>
  <c r="O268" i="3"/>
  <c r="P268" i="3"/>
  <c r="Q268" i="3"/>
  <c r="R268" i="3"/>
  <c r="S268" i="3"/>
  <c r="T268" i="3"/>
  <c r="U268" i="3"/>
  <c r="V268" i="3"/>
  <c r="W268" i="3"/>
  <c r="X268" i="3"/>
  <c r="Y268" i="3"/>
  <c r="Z268" i="3"/>
  <c r="AA268" i="3"/>
  <c r="AB268" i="3"/>
  <c r="AC268" i="3"/>
  <c r="AD268" i="3"/>
  <c r="AE268" i="3"/>
  <c r="AF268" i="3"/>
  <c r="AG268" i="3"/>
  <c r="J269" i="3"/>
  <c r="K269" i="3"/>
  <c r="L269" i="3"/>
  <c r="M269" i="3"/>
  <c r="N269" i="3"/>
  <c r="O269" i="3"/>
  <c r="P269" i="3"/>
  <c r="Q269" i="3"/>
  <c r="R269" i="3"/>
  <c r="S269" i="3"/>
  <c r="T269" i="3"/>
  <c r="U269" i="3"/>
  <c r="V269" i="3"/>
  <c r="W269" i="3"/>
  <c r="X269" i="3"/>
  <c r="Y269" i="3"/>
  <c r="Z269" i="3"/>
  <c r="AA269" i="3"/>
  <c r="AB269" i="3"/>
  <c r="AC269" i="3"/>
  <c r="AD269" i="3"/>
  <c r="AE269" i="3"/>
  <c r="AF269" i="3"/>
  <c r="AG269" i="3"/>
  <c r="J270" i="3"/>
  <c r="K270" i="3"/>
  <c r="L270" i="3"/>
  <c r="M270" i="3"/>
  <c r="N270" i="3"/>
  <c r="O270" i="3"/>
  <c r="P270" i="3"/>
  <c r="Q270" i="3"/>
  <c r="R270" i="3"/>
  <c r="S270" i="3"/>
  <c r="T270" i="3"/>
  <c r="U270" i="3"/>
  <c r="V270" i="3"/>
  <c r="W270" i="3"/>
  <c r="X270" i="3"/>
  <c r="Y270" i="3"/>
  <c r="Z270" i="3"/>
  <c r="AA270" i="3"/>
  <c r="AB270" i="3"/>
  <c r="AC270" i="3"/>
  <c r="AD270" i="3"/>
  <c r="AE270" i="3"/>
  <c r="AF270" i="3"/>
  <c r="AG270" i="3"/>
  <c r="J271" i="3"/>
  <c r="K271" i="3"/>
  <c r="L271" i="3"/>
  <c r="M271" i="3"/>
  <c r="N271" i="3"/>
  <c r="O271" i="3"/>
  <c r="P271" i="3"/>
  <c r="Q271" i="3"/>
  <c r="R271" i="3"/>
  <c r="S271" i="3"/>
  <c r="T271" i="3"/>
  <c r="U271" i="3"/>
  <c r="V271" i="3"/>
  <c r="W271" i="3"/>
  <c r="X271" i="3"/>
  <c r="Y271" i="3"/>
  <c r="Z271" i="3"/>
  <c r="AA271" i="3"/>
  <c r="AB271" i="3"/>
  <c r="AC271" i="3"/>
  <c r="AD271" i="3"/>
  <c r="AE271" i="3"/>
  <c r="AF271" i="3"/>
  <c r="AG271" i="3"/>
  <c r="J272" i="3"/>
  <c r="K272" i="3"/>
  <c r="L272" i="3"/>
  <c r="M272" i="3"/>
  <c r="N272" i="3"/>
  <c r="O272" i="3"/>
  <c r="P272" i="3"/>
  <c r="Q272" i="3"/>
  <c r="R272" i="3"/>
  <c r="S272" i="3"/>
  <c r="T272" i="3"/>
  <c r="U272" i="3"/>
  <c r="V272" i="3"/>
  <c r="W272" i="3"/>
  <c r="X272" i="3"/>
  <c r="Y272" i="3"/>
  <c r="Z272" i="3"/>
  <c r="AA272" i="3"/>
  <c r="AB272" i="3"/>
  <c r="AC272" i="3"/>
  <c r="AD272" i="3"/>
  <c r="AE272" i="3"/>
  <c r="AF272" i="3"/>
  <c r="AG272" i="3"/>
  <c r="J273" i="3"/>
  <c r="K273" i="3"/>
  <c r="L273" i="3"/>
  <c r="M273" i="3"/>
  <c r="N273" i="3"/>
  <c r="O273" i="3"/>
  <c r="P273" i="3"/>
  <c r="Q273" i="3"/>
  <c r="R273" i="3"/>
  <c r="S273" i="3"/>
  <c r="T273" i="3"/>
  <c r="U273" i="3"/>
  <c r="V273" i="3"/>
  <c r="W273" i="3"/>
  <c r="X273" i="3"/>
  <c r="Y273" i="3"/>
  <c r="Z273" i="3"/>
  <c r="AA273" i="3"/>
  <c r="AB273" i="3"/>
  <c r="AC273" i="3"/>
  <c r="AD273" i="3"/>
  <c r="AE273" i="3"/>
  <c r="AF273" i="3"/>
  <c r="AG273" i="3"/>
  <c r="J274" i="3"/>
  <c r="K274" i="3"/>
  <c r="L274" i="3"/>
  <c r="M274" i="3"/>
  <c r="N274" i="3"/>
  <c r="O274" i="3"/>
  <c r="P274" i="3"/>
  <c r="Q274" i="3"/>
  <c r="R274" i="3"/>
  <c r="S274" i="3"/>
  <c r="T274" i="3"/>
  <c r="U274" i="3"/>
  <c r="V274" i="3"/>
  <c r="W274" i="3"/>
  <c r="X274" i="3"/>
  <c r="Y274" i="3"/>
  <c r="Z274" i="3"/>
  <c r="AA274" i="3"/>
  <c r="AB274" i="3"/>
  <c r="AC274" i="3"/>
  <c r="AD274" i="3"/>
  <c r="AE274" i="3"/>
  <c r="AF274" i="3"/>
  <c r="AG274" i="3"/>
  <c r="J275" i="3"/>
  <c r="K275" i="3"/>
  <c r="L275" i="3"/>
  <c r="M275" i="3"/>
  <c r="N275" i="3"/>
  <c r="O275" i="3"/>
  <c r="P275" i="3"/>
  <c r="Q275" i="3"/>
  <c r="R275" i="3"/>
  <c r="S275" i="3"/>
  <c r="T275" i="3"/>
  <c r="U275" i="3"/>
  <c r="V275" i="3"/>
  <c r="W275" i="3"/>
  <c r="X275" i="3"/>
  <c r="Y275" i="3"/>
  <c r="Z275" i="3"/>
  <c r="AA275" i="3"/>
  <c r="AB275" i="3"/>
  <c r="AC275" i="3"/>
  <c r="AD275" i="3"/>
  <c r="AE275" i="3"/>
  <c r="AF275" i="3"/>
  <c r="AG275" i="3"/>
  <c r="J276" i="3"/>
  <c r="K276" i="3"/>
  <c r="L276" i="3"/>
  <c r="M276" i="3"/>
  <c r="N276" i="3"/>
  <c r="O276" i="3"/>
  <c r="P276" i="3"/>
  <c r="Q276" i="3"/>
  <c r="R276" i="3"/>
  <c r="S276" i="3"/>
  <c r="T276" i="3"/>
  <c r="U276" i="3"/>
  <c r="V276" i="3"/>
  <c r="W276" i="3"/>
  <c r="X276" i="3"/>
  <c r="Y276" i="3"/>
  <c r="Z276" i="3"/>
  <c r="AA276" i="3"/>
  <c r="AB276" i="3"/>
  <c r="AC276" i="3"/>
  <c r="AD276" i="3"/>
  <c r="AE276" i="3"/>
  <c r="AF276" i="3"/>
  <c r="AG276" i="3"/>
  <c r="J277" i="3"/>
  <c r="K277" i="3"/>
  <c r="L277" i="3"/>
  <c r="M277" i="3"/>
  <c r="N277" i="3"/>
  <c r="O277" i="3"/>
  <c r="P277" i="3"/>
  <c r="Q277" i="3"/>
  <c r="R277" i="3"/>
  <c r="S277" i="3"/>
  <c r="T277" i="3"/>
  <c r="U277" i="3"/>
  <c r="V277" i="3"/>
  <c r="W277" i="3"/>
  <c r="X277" i="3"/>
  <c r="Y277" i="3"/>
  <c r="Z277" i="3"/>
  <c r="AA277" i="3"/>
  <c r="AB277" i="3"/>
  <c r="AC277" i="3"/>
  <c r="AD277" i="3"/>
  <c r="AE277" i="3"/>
  <c r="AF277" i="3"/>
  <c r="AG277" i="3"/>
  <c r="J278" i="3"/>
  <c r="K278" i="3"/>
  <c r="L278" i="3"/>
  <c r="M278" i="3"/>
  <c r="N278" i="3"/>
  <c r="O278" i="3"/>
  <c r="P278" i="3"/>
  <c r="Q278" i="3"/>
  <c r="R278" i="3"/>
  <c r="S278" i="3"/>
  <c r="T278" i="3"/>
  <c r="U278" i="3"/>
  <c r="V278" i="3"/>
  <c r="W278" i="3"/>
  <c r="X278" i="3"/>
  <c r="Y278" i="3"/>
  <c r="Z278" i="3"/>
  <c r="AA278" i="3"/>
  <c r="AB278" i="3"/>
  <c r="AC278" i="3"/>
  <c r="AD278" i="3"/>
  <c r="AE278" i="3"/>
  <c r="AF278" i="3"/>
  <c r="AG278" i="3"/>
  <c r="J279" i="3"/>
  <c r="K279" i="3"/>
  <c r="L279" i="3"/>
  <c r="M279" i="3"/>
  <c r="N279" i="3"/>
  <c r="O279" i="3"/>
  <c r="P279" i="3"/>
  <c r="Q279" i="3"/>
  <c r="R279" i="3"/>
  <c r="S279" i="3"/>
  <c r="T279" i="3"/>
  <c r="U279" i="3"/>
  <c r="V279" i="3"/>
  <c r="W279" i="3"/>
  <c r="X279" i="3"/>
  <c r="Y279" i="3"/>
  <c r="Z279" i="3"/>
  <c r="AA279" i="3"/>
  <c r="AB279" i="3"/>
  <c r="AC279" i="3"/>
  <c r="AD279" i="3"/>
  <c r="AE279" i="3"/>
  <c r="AF279" i="3"/>
  <c r="AG279" i="3"/>
  <c r="J280" i="3"/>
  <c r="K280" i="3"/>
  <c r="L280" i="3"/>
  <c r="M280" i="3"/>
  <c r="N280" i="3"/>
  <c r="O280" i="3"/>
  <c r="P280" i="3"/>
  <c r="Q280" i="3"/>
  <c r="R280" i="3"/>
  <c r="S280" i="3"/>
  <c r="T280" i="3"/>
  <c r="U280" i="3"/>
  <c r="V280" i="3"/>
  <c r="W280" i="3"/>
  <c r="X280" i="3"/>
  <c r="Y280" i="3"/>
  <c r="Z280" i="3"/>
  <c r="AA280" i="3"/>
  <c r="AB280" i="3"/>
  <c r="AC280" i="3"/>
  <c r="AD280" i="3"/>
  <c r="AE280" i="3"/>
  <c r="AF280" i="3"/>
  <c r="AG280" i="3"/>
  <c r="J281" i="3"/>
  <c r="K281" i="3"/>
  <c r="L281" i="3"/>
  <c r="M281" i="3"/>
  <c r="N281" i="3"/>
  <c r="O281" i="3"/>
  <c r="P281" i="3"/>
  <c r="Q281" i="3"/>
  <c r="R281" i="3"/>
  <c r="S281" i="3"/>
  <c r="T281" i="3"/>
  <c r="U281" i="3"/>
  <c r="V281" i="3"/>
  <c r="W281" i="3"/>
  <c r="X281" i="3"/>
  <c r="Y281" i="3"/>
  <c r="Z281" i="3"/>
  <c r="AA281" i="3"/>
  <c r="AB281" i="3"/>
  <c r="AC281" i="3"/>
  <c r="AD281" i="3"/>
  <c r="AE281" i="3"/>
  <c r="AF281" i="3"/>
  <c r="AG281" i="3"/>
  <c r="J282" i="3"/>
  <c r="K282" i="3"/>
  <c r="L282" i="3"/>
  <c r="M282" i="3"/>
  <c r="N282" i="3"/>
  <c r="O282" i="3"/>
  <c r="P282" i="3"/>
  <c r="Q282" i="3"/>
  <c r="R282" i="3"/>
  <c r="S282" i="3"/>
  <c r="T282" i="3"/>
  <c r="U282" i="3"/>
  <c r="V282" i="3"/>
  <c r="W282" i="3"/>
  <c r="X282" i="3"/>
  <c r="Y282" i="3"/>
  <c r="Z282" i="3"/>
  <c r="AA282" i="3"/>
  <c r="AB282" i="3"/>
  <c r="AC282" i="3"/>
  <c r="AD282" i="3"/>
  <c r="AE282" i="3"/>
  <c r="AF282" i="3"/>
  <c r="AG282" i="3"/>
  <c r="J283" i="3"/>
  <c r="K283" i="3"/>
  <c r="L283" i="3"/>
  <c r="M283" i="3"/>
  <c r="N283" i="3"/>
  <c r="O283" i="3"/>
  <c r="P283" i="3"/>
  <c r="Q283" i="3"/>
  <c r="R283" i="3"/>
  <c r="S283" i="3"/>
  <c r="T283" i="3"/>
  <c r="U283" i="3"/>
  <c r="V283" i="3"/>
  <c r="W283" i="3"/>
  <c r="X283" i="3"/>
  <c r="Y283" i="3"/>
  <c r="Z283" i="3"/>
  <c r="AA283" i="3"/>
  <c r="AB283" i="3"/>
  <c r="AC283" i="3"/>
  <c r="AD283" i="3"/>
  <c r="AE283" i="3"/>
  <c r="AF283" i="3"/>
  <c r="AG283" i="3"/>
  <c r="J284" i="3"/>
  <c r="K284" i="3"/>
  <c r="L284" i="3"/>
  <c r="M284" i="3"/>
  <c r="N284" i="3"/>
  <c r="O284" i="3"/>
  <c r="P284" i="3"/>
  <c r="Q284" i="3"/>
  <c r="R284" i="3"/>
  <c r="S284" i="3"/>
  <c r="T284" i="3"/>
  <c r="U284" i="3"/>
  <c r="V284" i="3"/>
  <c r="W284" i="3"/>
  <c r="X284" i="3"/>
  <c r="Y284" i="3"/>
  <c r="Z284" i="3"/>
  <c r="AA284" i="3"/>
  <c r="AB284" i="3"/>
  <c r="AC284" i="3"/>
  <c r="AD284" i="3"/>
  <c r="AE284" i="3"/>
  <c r="AF284" i="3"/>
  <c r="AG284" i="3"/>
  <c r="J285" i="3"/>
  <c r="K285" i="3"/>
  <c r="L285" i="3"/>
  <c r="M285" i="3"/>
  <c r="N285" i="3"/>
  <c r="O285" i="3"/>
  <c r="P285" i="3"/>
  <c r="Q285" i="3"/>
  <c r="R285" i="3"/>
  <c r="S285" i="3"/>
  <c r="T285" i="3"/>
  <c r="U285" i="3"/>
  <c r="V285" i="3"/>
  <c r="W285" i="3"/>
  <c r="X285" i="3"/>
  <c r="Y285" i="3"/>
  <c r="Z285" i="3"/>
  <c r="AA285" i="3"/>
  <c r="AB285" i="3"/>
  <c r="AC285" i="3"/>
  <c r="AD285" i="3"/>
  <c r="AE285" i="3"/>
  <c r="AF285" i="3"/>
  <c r="AG285" i="3"/>
  <c r="J286" i="3"/>
  <c r="K286" i="3"/>
  <c r="L286" i="3"/>
  <c r="M286" i="3"/>
  <c r="N286" i="3"/>
  <c r="O286" i="3"/>
  <c r="P286" i="3"/>
  <c r="Q286" i="3"/>
  <c r="R286" i="3"/>
  <c r="S286" i="3"/>
  <c r="T286" i="3"/>
  <c r="U286" i="3"/>
  <c r="V286" i="3"/>
  <c r="W286" i="3"/>
  <c r="X286" i="3"/>
  <c r="Y286" i="3"/>
  <c r="Z286" i="3"/>
  <c r="AA286" i="3"/>
  <c r="AB286" i="3"/>
  <c r="AC286" i="3"/>
  <c r="AD286" i="3"/>
  <c r="AE286" i="3"/>
  <c r="AF286" i="3"/>
  <c r="AG286" i="3"/>
  <c r="J287" i="3"/>
  <c r="K287" i="3"/>
  <c r="L287" i="3"/>
  <c r="M287" i="3"/>
  <c r="N287" i="3"/>
  <c r="O287" i="3"/>
  <c r="P287" i="3"/>
  <c r="Q287" i="3"/>
  <c r="R287" i="3"/>
  <c r="S287" i="3"/>
  <c r="T287" i="3"/>
  <c r="U287" i="3"/>
  <c r="V287" i="3"/>
  <c r="W287" i="3"/>
  <c r="X287" i="3"/>
  <c r="Y287" i="3"/>
  <c r="Z287" i="3"/>
  <c r="AA287" i="3"/>
  <c r="AB287" i="3"/>
  <c r="AC287" i="3"/>
  <c r="AD287" i="3"/>
  <c r="AE287" i="3"/>
  <c r="AF287" i="3"/>
  <c r="AG287" i="3"/>
  <c r="J288" i="3"/>
  <c r="K288" i="3"/>
  <c r="L288" i="3"/>
  <c r="M288" i="3"/>
  <c r="N288" i="3"/>
  <c r="O288" i="3"/>
  <c r="P288" i="3"/>
  <c r="Q288" i="3"/>
  <c r="R288" i="3"/>
  <c r="S288" i="3"/>
  <c r="T288" i="3"/>
  <c r="U288" i="3"/>
  <c r="V288" i="3"/>
  <c r="W288" i="3"/>
  <c r="X288" i="3"/>
  <c r="Y288" i="3"/>
  <c r="Z288" i="3"/>
  <c r="AA288" i="3"/>
  <c r="AB288" i="3"/>
  <c r="AC288" i="3"/>
  <c r="AD288" i="3"/>
  <c r="AE288" i="3"/>
  <c r="AF288" i="3"/>
  <c r="AG288" i="3"/>
  <c r="J289" i="3"/>
  <c r="K289" i="3"/>
  <c r="L289" i="3"/>
  <c r="M289" i="3"/>
  <c r="N289" i="3"/>
  <c r="O289" i="3"/>
  <c r="P289" i="3"/>
  <c r="Q289" i="3"/>
  <c r="R289" i="3"/>
  <c r="S289" i="3"/>
  <c r="T289" i="3"/>
  <c r="U289" i="3"/>
  <c r="V289" i="3"/>
  <c r="W289" i="3"/>
  <c r="X289" i="3"/>
  <c r="Y289" i="3"/>
  <c r="Z289" i="3"/>
  <c r="AA289" i="3"/>
  <c r="AB289" i="3"/>
  <c r="AC289" i="3"/>
  <c r="AD289" i="3"/>
  <c r="AE289" i="3"/>
  <c r="AF289" i="3"/>
  <c r="AG289" i="3"/>
  <c r="J290" i="3"/>
  <c r="K290" i="3"/>
  <c r="L290" i="3"/>
  <c r="M290" i="3"/>
  <c r="N290" i="3"/>
  <c r="O290" i="3"/>
  <c r="P290" i="3"/>
  <c r="Q290" i="3"/>
  <c r="R290" i="3"/>
  <c r="S290" i="3"/>
  <c r="T290" i="3"/>
  <c r="U290" i="3"/>
  <c r="V290" i="3"/>
  <c r="W290" i="3"/>
  <c r="X290" i="3"/>
  <c r="Y290" i="3"/>
  <c r="Z290" i="3"/>
  <c r="AA290" i="3"/>
  <c r="AB290" i="3"/>
  <c r="AC290" i="3"/>
  <c r="AD290" i="3"/>
  <c r="AE290" i="3"/>
  <c r="AF290" i="3"/>
  <c r="AG290" i="3"/>
  <c r="J291" i="3"/>
  <c r="K291" i="3"/>
  <c r="L291" i="3"/>
  <c r="M291" i="3"/>
  <c r="N291" i="3"/>
  <c r="O291" i="3"/>
  <c r="P291" i="3"/>
  <c r="Q291" i="3"/>
  <c r="R291" i="3"/>
  <c r="S291" i="3"/>
  <c r="T291" i="3"/>
  <c r="U291" i="3"/>
  <c r="V291" i="3"/>
  <c r="W291" i="3"/>
  <c r="X291" i="3"/>
  <c r="Y291" i="3"/>
  <c r="Z291" i="3"/>
  <c r="AA291" i="3"/>
  <c r="AB291" i="3"/>
  <c r="AC291" i="3"/>
  <c r="AD291" i="3"/>
  <c r="AE291" i="3"/>
  <c r="AF291" i="3"/>
  <c r="AG291" i="3"/>
  <c r="J292" i="3"/>
  <c r="K292" i="3"/>
  <c r="L292" i="3"/>
  <c r="M292" i="3"/>
  <c r="N292" i="3"/>
  <c r="O292" i="3"/>
  <c r="P292" i="3"/>
  <c r="Q292" i="3"/>
  <c r="R292" i="3"/>
  <c r="S292" i="3"/>
  <c r="T292" i="3"/>
  <c r="U292" i="3"/>
  <c r="V292" i="3"/>
  <c r="W292" i="3"/>
  <c r="X292" i="3"/>
  <c r="Y292" i="3"/>
  <c r="Z292" i="3"/>
  <c r="AA292" i="3"/>
  <c r="AB292" i="3"/>
  <c r="AC292" i="3"/>
  <c r="AD292" i="3"/>
  <c r="AE292" i="3"/>
  <c r="AF292" i="3"/>
  <c r="AG292" i="3"/>
  <c r="J293" i="3"/>
  <c r="K293" i="3"/>
  <c r="L293" i="3"/>
  <c r="M293" i="3"/>
  <c r="N293" i="3"/>
  <c r="O293" i="3"/>
  <c r="P293" i="3"/>
  <c r="Q293" i="3"/>
  <c r="R293" i="3"/>
  <c r="S293" i="3"/>
  <c r="T293" i="3"/>
  <c r="U293" i="3"/>
  <c r="V293" i="3"/>
  <c r="W293" i="3"/>
  <c r="X293" i="3"/>
  <c r="Y293" i="3"/>
  <c r="Z293" i="3"/>
  <c r="AA293" i="3"/>
  <c r="AB293" i="3"/>
  <c r="AC293" i="3"/>
  <c r="AD293" i="3"/>
  <c r="AE293" i="3"/>
  <c r="AF293" i="3"/>
  <c r="AG293" i="3"/>
  <c r="J294" i="3"/>
  <c r="K294" i="3"/>
  <c r="L294" i="3"/>
  <c r="M294" i="3"/>
  <c r="N294" i="3"/>
  <c r="O294" i="3"/>
  <c r="P294" i="3"/>
  <c r="Q294" i="3"/>
  <c r="R294" i="3"/>
  <c r="S294" i="3"/>
  <c r="T294" i="3"/>
  <c r="U294" i="3"/>
  <c r="V294" i="3"/>
  <c r="W294" i="3"/>
  <c r="X294" i="3"/>
  <c r="Y294" i="3"/>
  <c r="Z294" i="3"/>
  <c r="AA294" i="3"/>
  <c r="AB294" i="3"/>
  <c r="AC294" i="3"/>
  <c r="AD294" i="3"/>
  <c r="AE294" i="3"/>
  <c r="AF294" i="3"/>
  <c r="AG294" i="3"/>
  <c r="J295" i="3"/>
  <c r="K295" i="3"/>
  <c r="L295" i="3"/>
  <c r="M295" i="3"/>
  <c r="N295" i="3"/>
  <c r="O295" i="3"/>
  <c r="P295" i="3"/>
  <c r="Q295" i="3"/>
  <c r="R295" i="3"/>
  <c r="S295" i="3"/>
  <c r="T295" i="3"/>
  <c r="U295" i="3"/>
  <c r="V295" i="3"/>
  <c r="W295" i="3"/>
  <c r="X295" i="3"/>
  <c r="Y295" i="3"/>
  <c r="Z295" i="3"/>
  <c r="AA295" i="3"/>
  <c r="AB295" i="3"/>
  <c r="AC295" i="3"/>
  <c r="AD295" i="3"/>
  <c r="AE295" i="3"/>
  <c r="AF295" i="3"/>
  <c r="AG295" i="3"/>
  <c r="J296" i="3"/>
  <c r="K296" i="3"/>
  <c r="L296" i="3"/>
  <c r="M296" i="3"/>
  <c r="N296" i="3"/>
  <c r="O296" i="3"/>
  <c r="P296" i="3"/>
  <c r="Q296" i="3"/>
  <c r="R296" i="3"/>
  <c r="S296" i="3"/>
  <c r="T296" i="3"/>
  <c r="U296" i="3"/>
  <c r="V296" i="3"/>
  <c r="W296" i="3"/>
  <c r="X296" i="3"/>
  <c r="Y296" i="3"/>
  <c r="Z296" i="3"/>
  <c r="AA296" i="3"/>
  <c r="AB296" i="3"/>
  <c r="AC296" i="3"/>
  <c r="AD296" i="3"/>
  <c r="AE296" i="3"/>
  <c r="AF296" i="3"/>
  <c r="AG296" i="3"/>
  <c r="J297" i="3"/>
  <c r="K297" i="3"/>
  <c r="L297" i="3"/>
  <c r="M297" i="3"/>
  <c r="N297" i="3"/>
  <c r="O297" i="3"/>
  <c r="P297" i="3"/>
  <c r="Q297" i="3"/>
  <c r="R297" i="3"/>
  <c r="S297" i="3"/>
  <c r="T297" i="3"/>
  <c r="U297" i="3"/>
  <c r="V297" i="3"/>
  <c r="W297" i="3"/>
  <c r="X297" i="3"/>
  <c r="Y297" i="3"/>
  <c r="Z297" i="3"/>
  <c r="AA297" i="3"/>
  <c r="AB297" i="3"/>
  <c r="AC297" i="3"/>
  <c r="AD297" i="3"/>
  <c r="AE297" i="3"/>
  <c r="AF297" i="3"/>
  <c r="AG297" i="3"/>
  <c r="J298" i="3"/>
  <c r="K298" i="3"/>
  <c r="L298" i="3"/>
  <c r="M298" i="3"/>
  <c r="N298" i="3"/>
  <c r="O298" i="3"/>
  <c r="P298" i="3"/>
  <c r="Q298" i="3"/>
  <c r="R298" i="3"/>
  <c r="S298" i="3"/>
  <c r="T298" i="3"/>
  <c r="U298" i="3"/>
  <c r="V298" i="3"/>
  <c r="W298" i="3"/>
  <c r="X298" i="3"/>
  <c r="Y298" i="3"/>
  <c r="Z298" i="3"/>
  <c r="AA298" i="3"/>
  <c r="AB298" i="3"/>
  <c r="AC298" i="3"/>
  <c r="AD298" i="3"/>
  <c r="AE298" i="3"/>
  <c r="AF298" i="3"/>
  <c r="AG298" i="3"/>
  <c r="J299" i="3"/>
  <c r="K299" i="3"/>
  <c r="L299" i="3"/>
  <c r="M299" i="3"/>
  <c r="N299" i="3"/>
  <c r="O299" i="3"/>
  <c r="P299" i="3"/>
  <c r="Q299" i="3"/>
  <c r="R299" i="3"/>
  <c r="S299" i="3"/>
  <c r="T299" i="3"/>
  <c r="U299" i="3"/>
  <c r="V299" i="3"/>
  <c r="W299" i="3"/>
  <c r="X299" i="3"/>
  <c r="Y299" i="3"/>
  <c r="Z299" i="3"/>
  <c r="AA299" i="3"/>
  <c r="AB299" i="3"/>
  <c r="AC299" i="3"/>
  <c r="AD299" i="3"/>
  <c r="AE299" i="3"/>
  <c r="AF299" i="3"/>
  <c r="AG299" i="3"/>
  <c r="J300" i="3"/>
  <c r="K300" i="3"/>
  <c r="L300" i="3"/>
  <c r="M300" i="3"/>
  <c r="N300" i="3"/>
  <c r="O300" i="3"/>
  <c r="P300" i="3"/>
  <c r="Q300" i="3"/>
  <c r="R300" i="3"/>
  <c r="S300" i="3"/>
  <c r="T300" i="3"/>
  <c r="U300" i="3"/>
  <c r="V300" i="3"/>
  <c r="W300" i="3"/>
  <c r="X300" i="3"/>
  <c r="Y300" i="3"/>
  <c r="Z300" i="3"/>
  <c r="AA300" i="3"/>
  <c r="AB300" i="3"/>
  <c r="AC300" i="3"/>
  <c r="AD300" i="3"/>
  <c r="AE300" i="3"/>
  <c r="AF300" i="3"/>
  <c r="AG300" i="3"/>
  <c r="J301" i="3"/>
  <c r="K301" i="3"/>
  <c r="L301" i="3"/>
  <c r="M301" i="3"/>
  <c r="N301" i="3"/>
  <c r="O301" i="3"/>
  <c r="P301" i="3"/>
  <c r="Q301" i="3"/>
  <c r="R301" i="3"/>
  <c r="S301" i="3"/>
  <c r="T301" i="3"/>
  <c r="U301" i="3"/>
  <c r="V301" i="3"/>
  <c r="W301" i="3"/>
  <c r="X301" i="3"/>
  <c r="Y301" i="3"/>
  <c r="Z301" i="3"/>
  <c r="AA301" i="3"/>
  <c r="AB301" i="3"/>
  <c r="AC301" i="3"/>
  <c r="AD301" i="3"/>
  <c r="AE301" i="3"/>
  <c r="AF301" i="3"/>
  <c r="AG301" i="3"/>
  <c r="J302" i="3"/>
  <c r="K302" i="3"/>
  <c r="L302" i="3"/>
  <c r="M302" i="3"/>
  <c r="N302" i="3"/>
  <c r="O302" i="3"/>
  <c r="P302" i="3"/>
  <c r="Q302" i="3"/>
  <c r="R302" i="3"/>
  <c r="S302" i="3"/>
  <c r="T302" i="3"/>
  <c r="U302" i="3"/>
  <c r="V302" i="3"/>
  <c r="W302" i="3"/>
  <c r="X302" i="3"/>
  <c r="Y302" i="3"/>
  <c r="Z302" i="3"/>
  <c r="AA302" i="3"/>
  <c r="AB302" i="3"/>
  <c r="AC302" i="3"/>
  <c r="AD302" i="3"/>
  <c r="AE302" i="3"/>
  <c r="AF302" i="3"/>
  <c r="AG302" i="3"/>
  <c r="J303" i="3"/>
  <c r="K303" i="3"/>
  <c r="L303" i="3"/>
  <c r="M303" i="3"/>
  <c r="N303" i="3"/>
  <c r="O303" i="3"/>
  <c r="P303" i="3"/>
  <c r="Q303" i="3"/>
  <c r="R303" i="3"/>
  <c r="S303" i="3"/>
  <c r="T303" i="3"/>
  <c r="U303" i="3"/>
  <c r="V303" i="3"/>
  <c r="W303" i="3"/>
  <c r="X303" i="3"/>
  <c r="Y303" i="3"/>
  <c r="Z303" i="3"/>
  <c r="AA303" i="3"/>
  <c r="AB303" i="3"/>
  <c r="AC303" i="3"/>
  <c r="AD303" i="3"/>
  <c r="AE303" i="3"/>
  <c r="AF303" i="3"/>
  <c r="AG303" i="3"/>
  <c r="J304" i="3"/>
  <c r="K304" i="3"/>
  <c r="L304" i="3"/>
  <c r="M304" i="3"/>
  <c r="N304" i="3"/>
  <c r="O304" i="3"/>
  <c r="P304" i="3"/>
  <c r="Q304" i="3"/>
  <c r="R304" i="3"/>
  <c r="S304" i="3"/>
  <c r="T304" i="3"/>
  <c r="U304" i="3"/>
  <c r="V304" i="3"/>
  <c r="W304" i="3"/>
  <c r="X304" i="3"/>
  <c r="Y304" i="3"/>
  <c r="Z304" i="3"/>
  <c r="AA304" i="3"/>
  <c r="AB304" i="3"/>
  <c r="AC304" i="3"/>
  <c r="AD304" i="3"/>
  <c r="AE304" i="3"/>
  <c r="AF304" i="3"/>
  <c r="AG304" i="3"/>
  <c r="J305" i="3"/>
  <c r="K305" i="3"/>
  <c r="L305" i="3"/>
  <c r="M305" i="3"/>
  <c r="N305" i="3"/>
  <c r="O305" i="3"/>
  <c r="P305" i="3"/>
  <c r="Q305" i="3"/>
  <c r="R305" i="3"/>
  <c r="S305" i="3"/>
  <c r="T305" i="3"/>
  <c r="U305" i="3"/>
  <c r="V305" i="3"/>
  <c r="W305" i="3"/>
  <c r="X305" i="3"/>
  <c r="Y305" i="3"/>
  <c r="Z305" i="3"/>
  <c r="AA305" i="3"/>
  <c r="AB305" i="3"/>
  <c r="AC305" i="3"/>
  <c r="AD305" i="3"/>
  <c r="AE305" i="3"/>
  <c r="AF305" i="3"/>
  <c r="AG305" i="3"/>
  <c r="J306" i="3"/>
  <c r="K306" i="3"/>
  <c r="L306" i="3"/>
  <c r="M306" i="3"/>
  <c r="N306" i="3"/>
  <c r="O306" i="3"/>
  <c r="P306" i="3"/>
  <c r="Q306" i="3"/>
  <c r="R306" i="3"/>
  <c r="S306" i="3"/>
  <c r="T306" i="3"/>
  <c r="U306" i="3"/>
  <c r="V306" i="3"/>
  <c r="W306" i="3"/>
  <c r="X306" i="3"/>
  <c r="Y306" i="3"/>
  <c r="Z306" i="3"/>
  <c r="AA306" i="3"/>
  <c r="AB306" i="3"/>
  <c r="AC306" i="3"/>
  <c r="AD306" i="3"/>
  <c r="AE306" i="3"/>
  <c r="AF306" i="3"/>
  <c r="AG306" i="3"/>
  <c r="J307" i="3"/>
  <c r="K307" i="3"/>
  <c r="L307" i="3"/>
  <c r="M307" i="3"/>
  <c r="N307" i="3"/>
  <c r="O307" i="3"/>
  <c r="P307" i="3"/>
  <c r="Q307" i="3"/>
  <c r="R307" i="3"/>
  <c r="S307" i="3"/>
  <c r="T307" i="3"/>
  <c r="U307" i="3"/>
  <c r="V307" i="3"/>
  <c r="W307" i="3"/>
  <c r="X307" i="3"/>
  <c r="Y307" i="3"/>
  <c r="Z307" i="3"/>
  <c r="AA307" i="3"/>
  <c r="AB307" i="3"/>
  <c r="AC307" i="3"/>
  <c r="AD307" i="3"/>
  <c r="AE307" i="3"/>
  <c r="AF307" i="3"/>
  <c r="AG307" i="3"/>
  <c r="J308" i="3"/>
  <c r="K308" i="3"/>
  <c r="L308" i="3"/>
  <c r="M308" i="3"/>
  <c r="N308" i="3"/>
  <c r="O308" i="3"/>
  <c r="P308" i="3"/>
  <c r="Q308" i="3"/>
  <c r="R308" i="3"/>
  <c r="S308" i="3"/>
  <c r="T308" i="3"/>
  <c r="U308" i="3"/>
  <c r="V308" i="3"/>
  <c r="W308" i="3"/>
  <c r="X308" i="3"/>
  <c r="Y308" i="3"/>
  <c r="Z308" i="3"/>
  <c r="AA308" i="3"/>
  <c r="AB308" i="3"/>
  <c r="AC308" i="3"/>
  <c r="AD308" i="3"/>
  <c r="AE308" i="3"/>
  <c r="AF308" i="3"/>
  <c r="AG308" i="3"/>
  <c r="J309" i="3"/>
  <c r="K309" i="3"/>
  <c r="L309" i="3"/>
  <c r="M309" i="3"/>
  <c r="N309" i="3"/>
  <c r="O309" i="3"/>
  <c r="P309" i="3"/>
  <c r="Q309" i="3"/>
  <c r="R309" i="3"/>
  <c r="S309" i="3"/>
  <c r="T309" i="3"/>
  <c r="U309" i="3"/>
  <c r="V309" i="3"/>
  <c r="W309" i="3"/>
  <c r="X309" i="3"/>
  <c r="Y309" i="3"/>
  <c r="Z309" i="3"/>
  <c r="AA309" i="3"/>
  <c r="AB309" i="3"/>
  <c r="AC309" i="3"/>
  <c r="AD309" i="3"/>
  <c r="AE309" i="3"/>
  <c r="AF309" i="3"/>
  <c r="AG309" i="3"/>
  <c r="J310" i="3"/>
  <c r="K310" i="3"/>
  <c r="L310" i="3"/>
  <c r="M310" i="3"/>
  <c r="N310" i="3"/>
  <c r="O310" i="3"/>
  <c r="P310" i="3"/>
  <c r="Q310" i="3"/>
  <c r="R310" i="3"/>
  <c r="S310" i="3"/>
  <c r="T310" i="3"/>
  <c r="U310" i="3"/>
  <c r="V310" i="3"/>
  <c r="W310" i="3"/>
  <c r="X310" i="3"/>
  <c r="Y310" i="3"/>
  <c r="Z310" i="3"/>
  <c r="AA310" i="3"/>
  <c r="AB310" i="3"/>
  <c r="AC310" i="3"/>
  <c r="AD310" i="3"/>
  <c r="AE310" i="3"/>
  <c r="AF310" i="3"/>
  <c r="AG310" i="3"/>
  <c r="J311" i="3"/>
  <c r="K311" i="3"/>
  <c r="L311" i="3"/>
  <c r="M311" i="3"/>
  <c r="N311" i="3"/>
  <c r="O311" i="3"/>
  <c r="P311" i="3"/>
  <c r="Q311" i="3"/>
  <c r="R311" i="3"/>
  <c r="S311" i="3"/>
  <c r="T311" i="3"/>
  <c r="U311" i="3"/>
  <c r="V311" i="3"/>
  <c r="W311" i="3"/>
  <c r="X311" i="3"/>
  <c r="Y311" i="3"/>
  <c r="Z311" i="3"/>
  <c r="AA311" i="3"/>
  <c r="AB311" i="3"/>
  <c r="AC311" i="3"/>
  <c r="AD311" i="3"/>
  <c r="AE311" i="3"/>
  <c r="AF311" i="3"/>
  <c r="AG311" i="3"/>
  <c r="J312" i="3"/>
  <c r="K312" i="3"/>
  <c r="L312" i="3"/>
  <c r="M312" i="3"/>
  <c r="N312" i="3"/>
  <c r="O312" i="3"/>
  <c r="P312" i="3"/>
  <c r="Q312" i="3"/>
  <c r="R312" i="3"/>
  <c r="S312" i="3"/>
  <c r="T312" i="3"/>
  <c r="U312" i="3"/>
  <c r="V312" i="3"/>
  <c r="W312" i="3"/>
  <c r="X312" i="3"/>
  <c r="Y312" i="3"/>
  <c r="Z312" i="3"/>
  <c r="AA312" i="3"/>
  <c r="AB312" i="3"/>
  <c r="AC312" i="3"/>
  <c r="AD312" i="3"/>
  <c r="AE312" i="3"/>
  <c r="AF312" i="3"/>
  <c r="AG312" i="3"/>
  <c r="J313" i="3"/>
  <c r="K313" i="3"/>
  <c r="L313" i="3"/>
  <c r="M313" i="3"/>
  <c r="N313" i="3"/>
  <c r="O313" i="3"/>
  <c r="P313" i="3"/>
  <c r="Q313" i="3"/>
  <c r="R313" i="3"/>
  <c r="S313" i="3"/>
  <c r="T313" i="3"/>
  <c r="U313" i="3"/>
  <c r="V313" i="3"/>
  <c r="W313" i="3"/>
  <c r="X313" i="3"/>
  <c r="Y313" i="3"/>
  <c r="Z313" i="3"/>
  <c r="AA313" i="3"/>
  <c r="AB313" i="3"/>
  <c r="AC313" i="3"/>
  <c r="AD313" i="3"/>
  <c r="AE313" i="3"/>
  <c r="AF313" i="3"/>
  <c r="AG313" i="3"/>
  <c r="J314" i="3"/>
  <c r="K314" i="3"/>
  <c r="L314" i="3"/>
  <c r="M314" i="3"/>
  <c r="N314" i="3"/>
  <c r="O314" i="3"/>
  <c r="P314" i="3"/>
  <c r="Q314" i="3"/>
  <c r="R314" i="3"/>
  <c r="S314" i="3"/>
  <c r="T314" i="3"/>
  <c r="U314" i="3"/>
  <c r="V314" i="3"/>
  <c r="W314" i="3"/>
  <c r="X314" i="3"/>
  <c r="Y314" i="3"/>
  <c r="Z314" i="3"/>
  <c r="AA314" i="3"/>
  <c r="AB314" i="3"/>
  <c r="AC314" i="3"/>
  <c r="AD314" i="3"/>
  <c r="AE314" i="3"/>
  <c r="AF314" i="3"/>
  <c r="AG314" i="3"/>
  <c r="J315" i="3"/>
  <c r="K315" i="3"/>
  <c r="L315" i="3"/>
  <c r="M315" i="3"/>
  <c r="N315" i="3"/>
  <c r="O315" i="3"/>
  <c r="P315" i="3"/>
  <c r="Q315" i="3"/>
  <c r="R315" i="3"/>
  <c r="S315" i="3"/>
  <c r="T315" i="3"/>
  <c r="U315" i="3"/>
  <c r="V315" i="3"/>
  <c r="W315" i="3"/>
  <c r="X315" i="3"/>
  <c r="Y315" i="3"/>
  <c r="Z315" i="3"/>
  <c r="AA315" i="3"/>
  <c r="AB315" i="3"/>
  <c r="AC315" i="3"/>
  <c r="AD315" i="3"/>
  <c r="AE315" i="3"/>
  <c r="AF315" i="3"/>
  <c r="AG315" i="3"/>
  <c r="J316" i="3"/>
  <c r="K316" i="3"/>
  <c r="L316" i="3"/>
  <c r="M316" i="3"/>
  <c r="N316" i="3"/>
  <c r="O316" i="3"/>
  <c r="P316" i="3"/>
  <c r="Q316" i="3"/>
  <c r="R316" i="3"/>
  <c r="S316" i="3"/>
  <c r="T316" i="3"/>
  <c r="U316" i="3"/>
  <c r="V316" i="3"/>
  <c r="W316" i="3"/>
  <c r="X316" i="3"/>
  <c r="Y316" i="3"/>
  <c r="Z316" i="3"/>
  <c r="AA316" i="3"/>
  <c r="AB316" i="3"/>
  <c r="AC316" i="3"/>
  <c r="AD316" i="3"/>
  <c r="AE316" i="3"/>
  <c r="AF316" i="3"/>
  <c r="AG316" i="3"/>
  <c r="J317" i="3"/>
  <c r="K317" i="3"/>
  <c r="L317" i="3"/>
  <c r="M317" i="3"/>
  <c r="N317" i="3"/>
  <c r="O317" i="3"/>
  <c r="P317" i="3"/>
  <c r="Q317" i="3"/>
  <c r="R317" i="3"/>
  <c r="S317" i="3"/>
  <c r="T317" i="3"/>
  <c r="U317" i="3"/>
  <c r="V317" i="3"/>
  <c r="W317" i="3"/>
  <c r="X317" i="3"/>
  <c r="Y317" i="3"/>
  <c r="Z317" i="3"/>
  <c r="AA317" i="3"/>
  <c r="AB317" i="3"/>
  <c r="AC317" i="3"/>
  <c r="AD317" i="3"/>
  <c r="AE317" i="3"/>
  <c r="AF317" i="3"/>
  <c r="AG317" i="3"/>
  <c r="J318" i="3"/>
  <c r="K318" i="3"/>
  <c r="L318" i="3"/>
  <c r="M318" i="3"/>
  <c r="N318" i="3"/>
  <c r="O318" i="3"/>
  <c r="P318" i="3"/>
  <c r="Q318" i="3"/>
  <c r="R318" i="3"/>
  <c r="S318" i="3"/>
  <c r="T318" i="3"/>
  <c r="U318" i="3"/>
  <c r="V318" i="3"/>
  <c r="W318" i="3"/>
  <c r="X318" i="3"/>
  <c r="Y318" i="3"/>
  <c r="Z318" i="3"/>
  <c r="AA318" i="3"/>
  <c r="AB318" i="3"/>
  <c r="AC318" i="3"/>
  <c r="AD318" i="3"/>
  <c r="AE318" i="3"/>
  <c r="AF318" i="3"/>
  <c r="AG318" i="3"/>
  <c r="J319" i="3"/>
  <c r="K319" i="3"/>
  <c r="L319" i="3"/>
  <c r="M319" i="3"/>
  <c r="N319" i="3"/>
  <c r="O319" i="3"/>
  <c r="P319" i="3"/>
  <c r="Q319" i="3"/>
  <c r="R319" i="3"/>
  <c r="S319" i="3"/>
  <c r="T319" i="3"/>
  <c r="U319" i="3"/>
  <c r="V319" i="3"/>
  <c r="W319" i="3"/>
  <c r="X319" i="3"/>
  <c r="Y319" i="3"/>
  <c r="Z319" i="3"/>
  <c r="AA319" i="3"/>
  <c r="AB319" i="3"/>
  <c r="AC319" i="3"/>
  <c r="AD319" i="3"/>
  <c r="AE319" i="3"/>
  <c r="AF319" i="3"/>
  <c r="AG319" i="3"/>
  <c r="J320" i="3"/>
  <c r="K320" i="3"/>
  <c r="L320" i="3"/>
  <c r="M320" i="3"/>
  <c r="N320" i="3"/>
  <c r="O320" i="3"/>
  <c r="P320" i="3"/>
  <c r="Q320" i="3"/>
  <c r="R320" i="3"/>
  <c r="S320" i="3"/>
  <c r="T320" i="3"/>
  <c r="U320" i="3"/>
  <c r="V320" i="3"/>
  <c r="W320" i="3"/>
  <c r="X320" i="3"/>
  <c r="Y320" i="3"/>
  <c r="Z320" i="3"/>
  <c r="AA320" i="3"/>
  <c r="AB320" i="3"/>
  <c r="AC320" i="3"/>
  <c r="AD320" i="3"/>
  <c r="AE320" i="3"/>
  <c r="AF320" i="3"/>
  <c r="AG320" i="3"/>
  <c r="J321" i="3"/>
  <c r="K321" i="3"/>
  <c r="L321" i="3"/>
  <c r="M321" i="3"/>
  <c r="N321" i="3"/>
  <c r="O321" i="3"/>
  <c r="P321" i="3"/>
  <c r="Q321" i="3"/>
  <c r="R321" i="3"/>
  <c r="S321" i="3"/>
  <c r="T321" i="3"/>
  <c r="U321" i="3"/>
  <c r="V321" i="3"/>
  <c r="W321" i="3"/>
  <c r="X321" i="3"/>
  <c r="Y321" i="3"/>
  <c r="Z321" i="3"/>
  <c r="AA321" i="3"/>
  <c r="AB321" i="3"/>
  <c r="AC321" i="3"/>
  <c r="AD321" i="3"/>
  <c r="AE321" i="3"/>
  <c r="AF321" i="3"/>
  <c r="AG321" i="3"/>
  <c r="J322" i="3"/>
  <c r="K322" i="3"/>
  <c r="L322" i="3"/>
  <c r="M322" i="3"/>
  <c r="N322" i="3"/>
  <c r="O322" i="3"/>
  <c r="P322" i="3"/>
  <c r="Q322" i="3"/>
  <c r="R322" i="3"/>
  <c r="S322" i="3"/>
  <c r="T322" i="3"/>
  <c r="U322" i="3"/>
  <c r="V322" i="3"/>
  <c r="W322" i="3"/>
  <c r="X322" i="3"/>
  <c r="Y322" i="3"/>
  <c r="Z322" i="3"/>
  <c r="AA322" i="3"/>
  <c r="AB322" i="3"/>
  <c r="AC322" i="3"/>
  <c r="AD322" i="3"/>
  <c r="AE322" i="3"/>
  <c r="AF322" i="3"/>
  <c r="AG322" i="3"/>
  <c r="J323" i="3"/>
  <c r="K323" i="3"/>
  <c r="L323" i="3"/>
  <c r="M323" i="3"/>
  <c r="N323" i="3"/>
  <c r="O323" i="3"/>
  <c r="P323" i="3"/>
  <c r="Q323" i="3"/>
  <c r="R323" i="3"/>
  <c r="S323" i="3"/>
  <c r="T323" i="3"/>
  <c r="U323" i="3"/>
  <c r="V323" i="3"/>
  <c r="W323" i="3"/>
  <c r="X323" i="3"/>
  <c r="Y323" i="3"/>
  <c r="Z323" i="3"/>
  <c r="AA323" i="3"/>
  <c r="AB323" i="3"/>
  <c r="AC323" i="3"/>
  <c r="AD323" i="3"/>
  <c r="AE323" i="3"/>
  <c r="AF323" i="3"/>
  <c r="AG323" i="3"/>
  <c r="J324" i="3"/>
  <c r="K324" i="3"/>
  <c r="L324" i="3"/>
  <c r="M324" i="3"/>
  <c r="N324" i="3"/>
  <c r="O324" i="3"/>
  <c r="P324" i="3"/>
  <c r="Q324" i="3"/>
  <c r="R324" i="3"/>
  <c r="S324" i="3"/>
  <c r="T324" i="3"/>
  <c r="U324" i="3"/>
  <c r="V324" i="3"/>
  <c r="W324" i="3"/>
  <c r="X324" i="3"/>
  <c r="Y324" i="3"/>
  <c r="Z324" i="3"/>
  <c r="AA324" i="3"/>
  <c r="AB324" i="3"/>
  <c r="AC324" i="3"/>
  <c r="AD324" i="3"/>
  <c r="AE324" i="3"/>
  <c r="AF324" i="3"/>
  <c r="AG324" i="3"/>
  <c r="J325" i="3"/>
  <c r="K325" i="3"/>
  <c r="L325" i="3"/>
  <c r="M325" i="3"/>
  <c r="N325" i="3"/>
  <c r="O325" i="3"/>
  <c r="P325" i="3"/>
  <c r="Q325" i="3"/>
  <c r="R325" i="3"/>
  <c r="S325" i="3"/>
  <c r="T325" i="3"/>
  <c r="U325" i="3"/>
  <c r="V325" i="3"/>
  <c r="W325" i="3"/>
  <c r="X325" i="3"/>
  <c r="Y325" i="3"/>
  <c r="Z325" i="3"/>
  <c r="AA325" i="3"/>
  <c r="AB325" i="3"/>
  <c r="AC325" i="3"/>
  <c r="AD325" i="3"/>
  <c r="AE325" i="3"/>
  <c r="AF325" i="3"/>
  <c r="AG325" i="3"/>
  <c r="J326" i="3"/>
  <c r="K326" i="3"/>
  <c r="L326" i="3"/>
  <c r="M326" i="3"/>
  <c r="N326" i="3"/>
  <c r="O326" i="3"/>
  <c r="P326" i="3"/>
  <c r="Q326" i="3"/>
  <c r="R326" i="3"/>
  <c r="S326" i="3"/>
  <c r="T326" i="3"/>
  <c r="U326" i="3"/>
  <c r="V326" i="3"/>
  <c r="W326" i="3"/>
  <c r="X326" i="3"/>
  <c r="Y326" i="3"/>
  <c r="Z326" i="3"/>
  <c r="AA326" i="3"/>
  <c r="AB326" i="3"/>
  <c r="AC326" i="3"/>
  <c r="AD326" i="3"/>
  <c r="AE326" i="3"/>
  <c r="AF326" i="3"/>
  <c r="AG326" i="3"/>
  <c r="J327" i="3"/>
  <c r="K327" i="3"/>
  <c r="L327" i="3"/>
  <c r="M327" i="3"/>
  <c r="N327" i="3"/>
  <c r="O327" i="3"/>
  <c r="P327" i="3"/>
  <c r="Q327" i="3"/>
  <c r="R327" i="3"/>
  <c r="S327" i="3"/>
  <c r="T327" i="3"/>
  <c r="U327" i="3"/>
  <c r="V327" i="3"/>
  <c r="W327" i="3"/>
  <c r="X327" i="3"/>
  <c r="Y327" i="3"/>
  <c r="Z327" i="3"/>
  <c r="AA327" i="3"/>
  <c r="AB327" i="3"/>
  <c r="AC327" i="3"/>
  <c r="AD327" i="3"/>
  <c r="AE327" i="3"/>
  <c r="AF327" i="3"/>
  <c r="AG327" i="3"/>
  <c r="J328" i="3"/>
  <c r="K328" i="3"/>
  <c r="L328" i="3"/>
  <c r="M328" i="3"/>
  <c r="N328" i="3"/>
  <c r="O328" i="3"/>
  <c r="P328" i="3"/>
  <c r="Q328" i="3"/>
  <c r="R328" i="3"/>
  <c r="S328" i="3"/>
  <c r="T328" i="3"/>
  <c r="U328" i="3"/>
  <c r="V328" i="3"/>
  <c r="W328" i="3"/>
  <c r="X328" i="3"/>
  <c r="Y328" i="3"/>
  <c r="Z328" i="3"/>
  <c r="AA328" i="3"/>
  <c r="AB328" i="3"/>
  <c r="AC328" i="3"/>
  <c r="AD328" i="3"/>
  <c r="AE328" i="3"/>
  <c r="AF328" i="3"/>
  <c r="AG328" i="3"/>
  <c r="J329" i="3"/>
  <c r="K329" i="3"/>
  <c r="L329" i="3"/>
  <c r="M329" i="3"/>
  <c r="N329" i="3"/>
  <c r="O329" i="3"/>
  <c r="P329" i="3"/>
  <c r="Q329" i="3"/>
  <c r="R329" i="3"/>
  <c r="S329" i="3"/>
  <c r="T329" i="3"/>
  <c r="U329" i="3"/>
  <c r="V329" i="3"/>
  <c r="W329" i="3"/>
  <c r="X329" i="3"/>
  <c r="Y329" i="3"/>
  <c r="Z329" i="3"/>
  <c r="AA329" i="3"/>
  <c r="AB329" i="3"/>
  <c r="AC329" i="3"/>
  <c r="AD329" i="3"/>
  <c r="AE329" i="3"/>
  <c r="AF329" i="3"/>
  <c r="AG329" i="3"/>
  <c r="J330" i="3"/>
  <c r="K330" i="3"/>
  <c r="L330" i="3"/>
  <c r="M330" i="3"/>
  <c r="N330" i="3"/>
  <c r="O330" i="3"/>
  <c r="P330" i="3"/>
  <c r="Q330" i="3"/>
  <c r="R330" i="3"/>
  <c r="S330" i="3"/>
  <c r="T330" i="3"/>
  <c r="U330" i="3"/>
  <c r="V330" i="3"/>
  <c r="W330" i="3"/>
  <c r="X330" i="3"/>
  <c r="Y330" i="3"/>
  <c r="Z330" i="3"/>
  <c r="AA330" i="3"/>
  <c r="AB330" i="3"/>
  <c r="AC330" i="3"/>
  <c r="AD330" i="3"/>
  <c r="AE330" i="3"/>
  <c r="AF330" i="3"/>
  <c r="AG330" i="3"/>
  <c r="J331" i="3"/>
  <c r="K331" i="3"/>
  <c r="L331" i="3"/>
  <c r="M331" i="3"/>
  <c r="N331" i="3"/>
  <c r="O331" i="3"/>
  <c r="P331" i="3"/>
  <c r="Q331" i="3"/>
  <c r="R331" i="3"/>
  <c r="S331" i="3"/>
  <c r="T331" i="3"/>
  <c r="U331" i="3"/>
  <c r="V331" i="3"/>
  <c r="W331" i="3"/>
  <c r="X331" i="3"/>
  <c r="Y331" i="3"/>
  <c r="Z331" i="3"/>
  <c r="AA331" i="3"/>
  <c r="AB331" i="3"/>
  <c r="AC331" i="3"/>
  <c r="AD331" i="3"/>
  <c r="AE331" i="3"/>
  <c r="AF331" i="3"/>
  <c r="AG331" i="3"/>
  <c r="J332" i="3"/>
  <c r="K332" i="3"/>
  <c r="L332" i="3"/>
  <c r="M332" i="3"/>
  <c r="N332" i="3"/>
  <c r="O332" i="3"/>
  <c r="P332" i="3"/>
  <c r="Q332" i="3"/>
  <c r="R332" i="3"/>
  <c r="S332" i="3"/>
  <c r="T332" i="3"/>
  <c r="U332" i="3"/>
  <c r="V332" i="3"/>
  <c r="W332" i="3"/>
  <c r="X332" i="3"/>
  <c r="Y332" i="3"/>
  <c r="Z332" i="3"/>
  <c r="AA332" i="3"/>
  <c r="AB332" i="3"/>
  <c r="AC332" i="3"/>
  <c r="AD332" i="3"/>
  <c r="AE332" i="3"/>
  <c r="AF332" i="3"/>
  <c r="AG332" i="3"/>
  <c r="J333" i="3"/>
  <c r="K333" i="3"/>
  <c r="L333" i="3"/>
  <c r="M333" i="3"/>
  <c r="N333" i="3"/>
  <c r="O333" i="3"/>
  <c r="P333" i="3"/>
  <c r="Q333" i="3"/>
  <c r="R333" i="3"/>
  <c r="S333" i="3"/>
  <c r="T333" i="3"/>
  <c r="U333" i="3"/>
  <c r="V333" i="3"/>
  <c r="W333" i="3"/>
  <c r="X333" i="3"/>
  <c r="Y333" i="3"/>
  <c r="Z333" i="3"/>
  <c r="AA333" i="3"/>
  <c r="AB333" i="3"/>
  <c r="AC333" i="3"/>
  <c r="AD333" i="3"/>
  <c r="AE333" i="3"/>
  <c r="AF333" i="3"/>
  <c r="AG333" i="3"/>
  <c r="J334" i="3"/>
  <c r="K334" i="3"/>
  <c r="L334" i="3"/>
  <c r="M334" i="3"/>
  <c r="N334" i="3"/>
  <c r="O334" i="3"/>
  <c r="P334" i="3"/>
  <c r="Q334" i="3"/>
  <c r="R334" i="3"/>
  <c r="S334" i="3"/>
  <c r="T334" i="3"/>
  <c r="U334" i="3"/>
  <c r="V334" i="3"/>
  <c r="W334" i="3"/>
  <c r="X334" i="3"/>
  <c r="Y334" i="3"/>
  <c r="Z334" i="3"/>
  <c r="AA334" i="3"/>
  <c r="AB334" i="3"/>
  <c r="AC334" i="3"/>
  <c r="AD334" i="3"/>
  <c r="AE334" i="3"/>
  <c r="AF334" i="3"/>
  <c r="AG334" i="3"/>
  <c r="J335" i="3"/>
  <c r="K335" i="3"/>
  <c r="L335" i="3"/>
  <c r="M335" i="3"/>
  <c r="N335" i="3"/>
  <c r="O335" i="3"/>
  <c r="P335" i="3"/>
  <c r="Q335" i="3"/>
  <c r="R335" i="3"/>
  <c r="S335" i="3"/>
  <c r="T335" i="3"/>
  <c r="U335" i="3"/>
  <c r="V335" i="3"/>
  <c r="W335" i="3"/>
  <c r="X335" i="3"/>
  <c r="Y335" i="3"/>
  <c r="Z335" i="3"/>
  <c r="AA335" i="3"/>
  <c r="AB335" i="3"/>
  <c r="AC335" i="3"/>
  <c r="AD335" i="3"/>
  <c r="AE335" i="3"/>
  <c r="AF335" i="3"/>
  <c r="AG335" i="3"/>
  <c r="J336" i="3"/>
  <c r="K336" i="3"/>
  <c r="L336" i="3"/>
  <c r="M336" i="3"/>
  <c r="N336" i="3"/>
  <c r="O336" i="3"/>
  <c r="P336" i="3"/>
  <c r="Q336" i="3"/>
  <c r="R336" i="3"/>
  <c r="S336" i="3"/>
  <c r="T336" i="3"/>
  <c r="U336" i="3"/>
  <c r="V336" i="3"/>
  <c r="W336" i="3"/>
  <c r="X336" i="3"/>
  <c r="Y336" i="3"/>
  <c r="Z336" i="3"/>
  <c r="AA336" i="3"/>
  <c r="AB336" i="3"/>
  <c r="AC336" i="3"/>
  <c r="AD336" i="3"/>
  <c r="AE336" i="3"/>
  <c r="AF336" i="3"/>
  <c r="AG336" i="3"/>
  <c r="J337" i="3"/>
  <c r="K337" i="3"/>
  <c r="L337" i="3"/>
  <c r="M337" i="3"/>
  <c r="N337" i="3"/>
  <c r="O337" i="3"/>
  <c r="P337" i="3"/>
  <c r="Q337" i="3"/>
  <c r="R337" i="3"/>
  <c r="S337" i="3"/>
  <c r="T337" i="3"/>
  <c r="U337" i="3"/>
  <c r="V337" i="3"/>
  <c r="W337" i="3"/>
  <c r="X337" i="3"/>
  <c r="Y337" i="3"/>
  <c r="Z337" i="3"/>
  <c r="AA337" i="3"/>
  <c r="AB337" i="3"/>
  <c r="AC337" i="3"/>
  <c r="AD337" i="3"/>
  <c r="AE337" i="3"/>
  <c r="AF337" i="3"/>
  <c r="AG337" i="3"/>
  <c r="J338" i="3"/>
  <c r="K338" i="3"/>
  <c r="L338" i="3"/>
  <c r="M338" i="3"/>
  <c r="N338" i="3"/>
  <c r="O338" i="3"/>
  <c r="P338" i="3"/>
  <c r="Q338" i="3"/>
  <c r="R338" i="3"/>
  <c r="S338" i="3"/>
  <c r="T338" i="3"/>
  <c r="U338" i="3"/>
  <c r="V338" i="3"/>
  <c r="W338" i="3"/>
  <c r="X338" i="3"/>
  <c r="Y338" i="3"/>
  <c r="Z338" i="3"/>
  <c r="AA338" i="3"/>
  <c r="AB338" i="3"/>
  <c r="AC338" i="3"/>
  <c r="AD338" i="3"/>
  <c r="AE338" i="3"/>
  <c r="AF338" i="3"/>
  <c r="AG338" i="3"/>
  <c r="J339" i="3"/>
  <c r="K339" i="3"/>
  <c r="L339" i="3"/>
  <c r="M339" i="3"/>
  <c r="N339" i="3"/>
  <c r="O339" i="3"/>
  <c r="P339" i="3"/>
  <c r="Q339" i="3"/>
  <c r="R339" i="3"/>
  <c r="S339" i="3"/>
  <c r="T339" i="3"/>
  <c r="U339" i="3"/>
  <c r="V339" i="3"/>
  <c r="W339" i="3"/>
  <c r="X339" i="3"/>
  <c r="Y339" i="3"/>
  <c r="Z339" i="3"/>
  <c r="AA339" i="3"/>
  <c r="AB339" i="3"/>
  <c r="AC339" i="3"/>
  <c r="AD339" i="3"/>
  <c r="AE339" i="3"/>
  <c r="AF339" i="3"/>
  <c r="AG339" i="3"/>
  <c r="J340" i="3"/>
  <c r="K340" i="3"/>
  <c r="L340" i="3"/>
  <c r="M340" i="3"/>
  <c r="N340" i="3"/>
  <c r="O340" i="3"/>
  <c r="P340" i="3"/>
  <c r="Q340" i="3"/>
  <c r="R340" i="3"/>
  <c r="S340" i="3"/>
  <c r="T340" i="3"/>
  <c r="U340" i="3"/>
  <c r="V340" i="3"/>
  <c r="W340" i="3"/>
  <c r="X340" i="3"/>
  <c r="Y340" i="3"/>
  <c r="Z340" i="3"/>
  <c r="AA340" i="3"/>
  <c r="AB340" i="3"/>
  <c r="AC340" i="3"/>
  <c r="AD340" i="3"/>
  <c r="AE340" i="3"/>
  <c r="AF340" i="3"/>
  <c r="AG340" i="3"/>
  <c r="J341" i="3"/>
  <c r="K341" i="3"/>
  <c r="L341" i="3"/>
  <c r="M341" i="3"/>
  <c r="N341" i="3"/>
  <c r="O341" i="3"/>
  <c r="P341" i="3"/>
  <c r="Q341" i="3"/>
  <c r="R341" i="3"/>
  <c r="S341" i="3"/>
  <c r="T341" i="3"/>
  <c r="U341" i="3"/>
  <c r="V341" i="3"/>
  <c r="W341" i="3"/>
  <c r="X341" i="3"/>
  <c r="Y341" i="3"/>
  <c r="Z341" i="3"/>
  <c r="AA341" i="3"/>
  <c r="AB341" i="3"/>
  <c r="AC341" i="3"/>
  <c r="AD341" i="3"/>
  <c r="AE341" i="3"/>
  <c r="AF341" i="3"/>
  <c r="AG341" i="3"/>
  <c r="J342" i="3"/>
  <c r="K342" i="3"/>
  <c r="L342" i="3"/>
  <c r="M342" i="3"/>
  <c r="N342" i="3"/>
  <c r="O342" i="3"/>
  <c r="P342" i="3"/>
  <c r="Q342" i="3"/>
  <c r="R342" i="3"/>
  <c r="S342" i="3"/>
  <c r="T342" i="3"/>
  <c r="U342" i="3"/>
  <c r="V342" i="3"/>
  <c r="W342" i="3"/>
  <c r="X342" i="3"/>
  <c r="Y342" i="3"/>
  <c r="Z342" i="3"/>
  <c r="AA342" i="3"/>
  <c r="AB342" i="3"/>
  <c r="AC342" i="3"/>
  <c r="AD342" i="3"/>
  <c r="AE342" i="3"/>
  <c r="AF342" i="3"/>
  <c r="AG342" i="3"/>
  <c r="J343" i="3"/>
  <c r="K343" i="3"/>
  <c r="L343" i="3"/>
  <c r="M343" i="3"/>
  <c r="N343" i="3"/>
  <c r="O343" i="3"/>
  <c r="P343" i="3"/>
  <c r="Q343" i="3"/>
  <c r="R343" i="3"/>
  <c r="S343" i="3"/>
  <c r="T343" i="3"/>
  <c r="U343" i="3"/>
  <c r="V343" i="3"/>
  <c r="W343" i="3"/>
  <c r="X343" i="3"/>
  <c r="Y343" i="3"/>
  <c r="Z343" i="3"/>
  <c r="AA343" i="3"/>
  <c r="AB343" i="3"/>
  <c r="AC343" i="3"/>
  <c r="AD343" i="3"/>
  <c r="AE343" i="3"/>
  <c r="AF343" i="3"/>
  <c r="AG343" i="3"/>
  <c r="J344" i="3"/>
  <c r="K344" i="3"/>
  <c r="L344" i="3"/>
  <c r="M344" i="3"/>
  <c r="N344" i="3"/>
  <c r="O344" i="3"/>
  <c r="P344" i="3"/>
  <c r="Q344" i="3"/>
  <c r="R344" i="3"/>
  <c r="S344" i="3"/>
  <c r="T344" i="3"/>
  <c r="U344" i="3"/>
  <c r="V344" i="3"/>
  <c r="W344" i="3"/>
  <c r="X344" i="3"/>
  <c r="Y344" i="3"/>
  <c r="Z344" i="3"/>
  <c r="AA344" i="3"/>
  <c r="AB344" i="3"/>
  <c r="AC344" i="3"/>
  <c r="AD344" i="3"/>
  <c r="AE344" i="3"/>
  <c r="AF344" i="3"/>
  <c r="AG344" i="3"/>
  <c r="J345" i="3"/>
  <c r="K345" i="3"/>
  <c r="L345" i="3"/>
  <c r="M345" i="3"/>
  <c r="N345" i="3"/>
  <c r="O345" i="3"/>
  <c r="P345" i="3"/>
  <c r="Q345" i="3"/>
  <c r="R345" i="3"/>
  <c r="S345" i="3"/>
  <c r="T345" i="3"/>
  <c r="U345" i="3"/>
  <c r="V345" i="3"/>
  <c r="W345" i="3"/>
  <c r="X345" i="3"/>
  <c r="Y345" i="3"/>
  <c r="Z345" i="3"/>
  <c r="AA345" i="3"/>
  <c r="AB345" i="3"/>
  <c r="AC345" i="3"/>
  <c r="AD345" i="3"/>
  <c r="AE345" i="3"/>
  <c r="AF345" i="3"/>
  <c r="AG345" i="3"/>
  <c r="J346" i="3"/>
  <c r="K346" i="3"/>
  <c r="L346" i="3"/>
  <c r="M346" i="3"/>
  <c r="N346" i="3"/>
  <c r="O346" i="3"/>
  <c r="P346" i="3"/>
  <c r="Q346" i="3"/>
  <c r="R346" i="3"/>
  <c r="S346" i="3"/>
  <c r="T346" i="3"/>
  <c r="U346" i="3"/>
  <c r="V346" i="3"/>
  <c r="W346" i="3"/>
  <c r="X346" i="3"/>
  <c r="Y346" i="3"/>
  <c r="Z346" i="3"/>
  <c r="AA346" i="3"/>
  <c r="AB346" i="3"/>
  <c r="AC346" i="3"/>
  <c r="AD346" i="3"/>
  <c r="AE346" i="3"/>
  <c r="AF346" i="3"/>
  <c r="AG346" i="3"/>
  <c r="J347" i="3"/>
  <c r="K347" i="3"/>
  <c r="L347" i="3"/>
  <c r="M347" i="3"/>
  <c r="N347" i="3"/>
  <c r="O347" i="3"/>
  <c r="P347" i="3"/>
  <c r="Q347" i="3"/>
  <c r="R347" i="3"/>
  <c r="S347" i="3"/>
  <c r="T347" i="3"/>
  <c r="U347" i="3"/>
  <c r="V347" i="3"/>
  <c r="W347" i="3"/>
  <c r="X347" i="3"/>
  <c r="Y347" i="3"/>
  <c r="Z347" i="3"/>
  <c r="AA347" i="3"/>
  <c r="AB347" i="3"/>
  <c r="AC347" i="3"/>
  <c r="AD347" i="3"/>
  <c r="AE347" i="3"/>
  <c r="AF347" i="3"/>
  <c r="AG347" i="3"/>
  <c r="AG2" i="3"/>
  <c r="AF2" i="3"/>
  <c r="AE2" i="3"/>
  <c r="AD2" i="3"/>
  <c r="AC2" i="3"/>
  <c r="AB2" i="3"/>
  <c r="AA2" i="3"/>
  <c r="Z2" i="3"/>
  <c r="Y2" i="3"/>
  <c r="X2" i="3"/>
  <c r="W2" i="3"/>
  <c r="V2" i="3"/>
  <c r="U2" i="3"/>
  <c r="T2" i="3"/>
  <c r="S2" i="3"/>
  <c r="R2" i="3"/>
  <c r="Q2" i="3"/>
  <c r="P2" i="3"/>
  <c r="O2" i="3"/>
  <c r="N2" i="3"/>
  <c r="M2" i="3"/>
  <c r="L2" i="3"/>
  <c r="K2"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AG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I2" i="2"/>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F2"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E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R4" i="2"/>
  <c r="R3" i="2"/>
  <c r="R2"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H356" i="2"/>
  <c r="H355"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5" i="2"/>
  <c r="H294" i="2"/>
  <c r="H293" i="2"/>
  <c r="H292" i="2"/>
  <c r="H291" i="2"/>
  <c r="H290" i="2"/>
  <c r="H289" i="2"/>
  <c r="H274" i="2"/>
  <c r="H273" i="2"/>
  <c r="H272" i="2"/>
  <c r="H271" i="2"/>
  <c r="H270" i="2"/>
  <c r="H263" i="2"/>
  <c r="H249" i="2"/>
  <c r="H248" i="2"/>
  <c r="H247" i="2"/>
  <c r="H235" i="2"/>
  <c r="H233" i="2"/>
  <c r="H183" i="2"/>
  <c r="H182" i="2"/>
  <c r="H181" i="2"/>
  <c r="H179" i="2"/>
  <c r="H161" i="2"/>
  <c r="H160" i="2"/>
  <c r="H159" i="2"/>
  <c r="H158" i="2"/>
  <c r="H157" i="2"/>
  <c r="H156" i="2"/>
  <c r="H155" i="2"/>
  <c r="H154" i="2"/>
  <c r="H152" i="2"/>
  <c r="H151" i="2"/>
  <c r="H150" i="2"/>
  <c r="H147" i="2"/>
  <c r="H146" i="2"/>
  <c r="H145" i="2"/>
  <c r="H142" i="2"/>
  <c r="H140" i="2"/>
  <c r="H139" i="2"/>
  <c r="H138" i="2"/>
  <c r="H137" i="2"/>
  <c r="H136" i="2"/>
  <c r="H135" i="2"/>
  <c r="H134" i="2"/>
  <c r="H129" i="2"/>
  <c r="H128" i="2"/>
  <c r="H127" i="2"/>
  <c r="H126" i="2"/>
  <c r="H111" i="2"/>
  <c r="H87" i="2"/>
  <c r="H86" i="2"/>
  <c r="H85" i="2"/>
  <c r="H84" i="2"/>
  <c r="H83" i="2"/>
  <c r="H81" i="2"/>
  <c r="H80" i="2"/>
  <c r="H79" i="2"/>
  <c r="H78" i="2"/>
  <c r="H77" i="2"/>
  <c r="H76" i="2"/>
  <c r="H75" i="2"/>
  <c r="H74" i="2"/>
  <c r="H73" i="2"/>
  <c r="H72" i="2"/>
  <c r="H71" i="2"/>
  <c r="H70" i="2"/>
  <c r="H69" i="2"/>
  <c r="H68" i="2"/>
  <c r="H67" i="2"/>
  <c r="H62" i="2"/>
  <c r="H61" i="2"/>
  <c r="H60" i="2"/>
  <c r="H59" i="2"/>
  <c r="H58" i="2"/>
  <c r="H57" i="2"/>
  <c r="H56" i="2"/>
  <c r="H55" i="2"/>
  <c r="H54" i="2"/>
  <c r="H53" i="2"/>
  <c r="H52" i="2"/>
  <c r="H51" i="2"/>
  <c r="H50" i="2"/>
  <c r="H49" i="2"/>
  <c r="H48"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4" i="2"/>
  <c r="H3" i="2"/>
  <c r="H2" i="2"/>
  <c r="C53" i="3" l="1"/>
  <c r="C41" i="3"/>
  <c r="C29" i="3"/>
  <c r="C17" i="3"/>
  <c r="C5" i="3"/>
  <c r="C52" i="3"/>
  <c r="C40" i="3"/>
  <c r="C28" i="3"/>
  <c r="C16" i="3"/>
  <c r="C4" i="3"/>
  <c r="C51" i="3"/>
  <c r="C39" i="3"/>
  <c r="C27" i="3"/>
  <c r="C15" i="3"/>
  <c r="C3" i="3"/>
  <c r="C50" i="3"/>
  <c r="C26" i="3"/>
  <c r="C14" i="3"/>
  <c r="C2" i="3"/>
  <c r="C49" i="3"/>
  <c r="C37" i="3"/>
  <c r="C60" i="3"/>
  <c r="C48" i="3"/>
  <c r="C36" i="3"/>
  <c r="C24" i="3"/>
  <c r="C59" i="3"/>
  <c r="C47" i="3"/>
  <c r="C35" i="3"/>
  <c r="C23" i="3"/>
  <c r="C58" i="3"/>
  <c r="C46" i="3"/>
  <c r="C34" i="3"/>
  <c r="C22" i="3"/>
  <c r="C57" i="3"/>
  <c r="C45" i="3"/>
  <c r="C21" i="3"/>
  <c r="C9" i="3"/>
  <c r="C56" i="3"/>
  <c r="C44" i="3"/>
  <c r="C32" i="3"/>
  <c r="C20" i="3"/>
  <c r="C8" i="3"/>
  <c r="C55" i="3"/>
  <c r="C43" i="3"/>
  <c r="C31" i="3"/>
  <c r="C19" i="3"/>
  <c r="C7" i="3"/>
  <c r="C54" i="3"/>
  <c r="C42" i="3"/>
  <c r="C30" i="3"/>
  <c r="C18" i="3"/>
  <c r="C6" i="3"/>
  <c r="C521" i="3" l="1"/>
  <c r="C377" i="3"/>
  <c r="C233" i="3"/>
  <c r="C89" i="3"/>
  <c r="C472" i="3"/>
  <c r="C328" i="3"/>
  <c r="C184" i="3"/>
  <c r="C423" i="3"/>
  <c r="C279" i="3"/>
  <c r="C135" i="3"/>
  <c r="C518" i="3"/>
  <c r="C374" i="3"/>
  <c r="C230" i="3"/>
  <c r="C86" i="3"/>
  <c r="C469" i="3"/>
  <c r="C325" i="3"/>
  <c r="C181" i="3"/>
  <c r="C408" i="3"/>
  <c r="C264" i="3"/>
  <c r="C120" i="3"/>
  <c r="C491" i="3"/>
  <c r="C347" i="3"/>
  <c r="C203" i="3"/>
  <c r="C430" i="3"/>
  <c r="C286" i="3"/>
  <c r="C142" i="3"/>
  <c r="C525" i="3"/>
  <c r="C381" i="3"/>
  <c r="C237" i="3"/>
  <c r="C93" i="3"/>
  <c r="C476" i="3"/>
  <c r="C332" i="3"/>
  <c r="C188" i="3"/>
  <c r="C427" i="3"/>
  <c r="C283" i="3"/>
  <c r="C139" i="3"/>
  <c r="C522" i="3"/>
  <c r="C378" i="3"/>
  <c r="C234" i="3"/>
  <c r="C90" i="3"/>
  <c r="C420" i="3"/>
  <c r="C298" i="3"/>
  <c r="C200" i="3"/>
  <c r="C509" i="3"/>
  <c r="C365" i="3"/>
  <c r="C221" i="3"/>
  <c r="C77" i="3"/>
  <c r="C460" i="3"/>
  <c r="C316" i="3"/>
  <c r="C172" i="3"/>
  <c r="C411" i="3"/>
  <c r="C267" i="3"/>
  <c r="C123" i="3"/>
  <c r="C506" i="3"/>
  <c r="C362" i="3"/>
  <c r="C218" i="3"/>
  <c r="C74" i="3"/>
  <c r="C457" i="3"/>
  <c r="C313" i="3"/>
  <c r="C169" i="3"/>
  <c r="C25" i="3"/>
  <c r="C396" i="3"/>
  <c r="C252" i="3"/>
  <c r="C108" i="3"/>
  <c r="C479" i="3"/>
  <c r="C335" i="3"/>
  <c r="C191" i="3"/>
  <c r="C418" i="3"/>
  <c r="C274" i="3"/>
  <c r="C130" i="3"/>
  <c r="C513" i="3"/>
  <c r="C369" i="3"/>
  <c r="C225" i="3"/>
  <c r="C81" i="3"/>
  <c r="C464" i="3"/>
  <c r="C320" i="3"/>
  <c r="C176" i="3"/>
  <c r="C415" i="3"/>
  <c r="C271" i="3"/>
  <c r="C127" i="3"/>
  <c r="C510" i="3"/>
  <c r="C366" i="3"/>
  <c r="C222" i="3"/>
  <c r="C78" i="3"/>
  <c r="C147" i="3"/>
  <c r="C344" i="3"/>
  <c r="C497" i="3"/>
  <c r="C353" i="3"/>
  <c r="C209" i="3"/>
  <c r="C65" i="3"/>
  <c r="C448" i="3"/>
  <c r="C304" i="3"/>
  <c r="C160" i="3"/>
  <c r="C399" i="3"/>
  <c r="C255" i="3"/>
  <c r="C111" i="3"/>
  <c r="C494" i="3"/>
  <c r="C350" i="3"/>
  <c r="C206" i="3"/>
  <c r="C62" i="3"/>
  <c r="C445" i="3"/>
  <c r="C301" i="3"/>
  <c r="C157" i="3"/>
  <c r="C13" i="3"/>
  <c r="C384" i="3"/>
  <c r="C240" i="3"/>
  <c r="C96" i="3"/>
  <c r="C467" i="3"/>
  <c r="C323" i="3"/>
  <c r="C179" i="3"/>
  <c r="C406" i="3"/>
  <c r="C262" i="3"/>
  <c r="C118" i="3"/>
  <c r="C501" i="3"/>
  <c r="C357" i="3"/>
  <c r="C213" i="3"/>
  <c r="C69" i="3"/>
  <c r="C452" i="3"/>
  <c r="C308" i="3"/>
  <c r="C164" i="3"/>
  <c r="C403" i="3"/>
  <c r="C259" i="3"/>
  <c r="C115" i="3"/>
  <c r="C498" i="3"/>
  <c r="C354" i="3"/>
  <c r="C210" i="3"/>
  <c r="C66" i="3"/>
  <c r="C291" i="3"/>
  <c r="C295" i="3"/>
  <c r="C485" i="3"/>
  <c r="C341" i="3"/>
  <c r="C197" i="3"/>
  <c r="C436" i="3"/>
  <c r="C292" i="3"/>
  <c r="C148" i="3"/>
  <c r="C387" i="3"/>
  <c r="C243" i="3"/>
  <c r="C99" i="3"/>
  <c r="C482" i="3"/>
  <c r="C338" i="3"/>
  <c r="C194" i="3"/>
  <c r="C433" i="3"/>
  <c r="C289" i="3"/>
  <c r="C145" i="3"/>
  <c r="C516" i="3"/>
  <c r="C372" i="3"/>
  <c r="C228" i="3"/>
  <c r="C84" i="3"/>
  <c r="C455" i="3"/>
  <c r="C311" i="3"/>
  <c r="C167" i="3"/>
  <c r="C394" i="3"/>
  <c r="C250" i="3"/>
  <c r="C106" i="3"/>
  <c r="C489" i="3"/>
  <c r="C345" i="3"/>
  <c r="C201" i="3"/>
  <c r="C440" i="3"/>
  <c r="C296" i="3"/>
  <c r="C152" i="3"/>
  <c r="C391" i="3"/>
  <c r="C247" i="3"/>
  <c r="C103" i="3"/>
  <c r="C486" i="3"/>
  <c r="C342" i="3"/>
  <c r="C198" i="3"/>
  <c r="C386" i="3"/>
  <c r="C193" i="3"/>
  <c r="C442" i="3"/>
  <c r="C105" i="3"/>
  <c r="C390" i="3"/>
  <c r="C473" i="3"/>
  <c r="C329" i="3"/>
  <c r="C185" i="3"/>
  <c r="C424" i="3"/>
  <c r="C280" i="3"/>
  <c r="C136" i="3"/>
  <c r="C519" i="3"/>
  <c r="C375" i="3"/>
  <c r="C231" i="3"/>
  <c r="C87" i="3"/>
  <c r="C470" i="3"/>
  <c r="C326" i="3"/>
  <c r="C182" i="3"/>
  <c r="C38" i="3"/>
  <c r="C421" i="3"/>
  <c r="C277" i="3"/>
  <c r="C133" i="3"/>
  <c r="C504" i="3"/>
  <c r="C360" i="3"/>
  <c r="C216" i="3"/>
  <c r="C72" i="3"/>
  <c r="C443" i="3"/>
  <c r="C299" i="3"/>
  <c r="C155" i="3"/>
  <c r="C11" i="3"/>
  <c r="C382" i="3"/>
  <c r="C238" i="3"/>
  <c r="C94" i="3"/>
  <c r="C477" i="3"/>
  <c r="C333" i="3"/>
  <c r="C189" i="3"/>
  <c r="C428" i="3"/>
  <c r="C284" i="3"/>
  <c r="C140" i="3"/>
  <c r="C523" i="3"/>
  <c r="C379" i="3"/>
  <c r="C235" i="3"/>
  <c r="C91" i="3"/>
  <c r="C474" i="3"/>
  <c r="C330" i="3"/>
  <c r="C186" i="3"/>
  <c r="C196" i="3"/>
  <c r="C154" i="3"/>
  <c r="C439" i="3"/>
  <c r="C102" i="3"/>
  <c r="C461" i="3"/>
  <c r="C317" i="3"/>
  <c r="C173" i="3"/>
  <c r="C412" i="3"/>
  <c r="C268" i="3"/>
  <c r="C124" i="3"/>
  <c r="C507" i="3"/>
  <c r="C363" i="3"/>
  <c r="C219" i="3"/>
  <c r="C75" i="3"/>
  <c r="C458" i="3"/>
  <c r="C314" i="3"/>
  <c r="C170" i="3"/>
  <c r="C409" i="3"/>
  <c r="C265" i="3"/>
  <c r="C121" i="3"/>
  <c r="C492" i="3"/>
  <c r="C348" i="3"/>
  <c r="C204" i="3"/>
  <c r="C431" i="3"/>
  <c r="C287" i="3"/>
  <c r="C143" i="3"/>
  <c r="C514" i="3"/>
  <c r="C370" i="3"/>
  <c r="C226" i="3"/>
  <c r="C82" i="3"/>
  <c r="C465" i="3"/>
  <c r="C321" i="3"/>
  <c r="C177" i="3"/>
  <c r="C33" i="3"/>
  <c r="C416" i="3"/>
  <c r="C272" i="3"/>
  <c r="C128" i="3"/>
  <c r="C511" i="3"/>
  <c r="C367" i="3"/>
  <c r="C223" i="3"/>
  <c r="C79" i="3"/>
  <c r="C462" i="3"/>
  <c r="C318" i="3"/>
  <c r="C174" i="3"/>
  <c r="C435" i="3"/>
  <c r="C337" i="3"/>
  <c r="C71" i="3"/>
  <c r="C393" i="3"/>
  <c r="C151" i="3"/>
  <c r="C449" i="3"/>
  <c r="C305" i="3"/>
  <c r="C161" i="3"/>
  <c r="C400" i="3"/>
  <c r="C256" i="3"/>
  <c r="C112" i="3"/>
  <c r="C495" i="3"/>
  <c r="C351" i="3"/>
  <c r="C207" i="3"/>
  <c r="C63" i="3"/>
  <c r="C446" i="3"/>
  <c r="C302" i="3"/>
  <c r="C158" i="3"/>
  <c r="C397" i="3"/>
  <c r="C253" i="3"/>
  <c r="C109" i="3"/>
  <c r="C480" i="3"/>
  <c r="C336" i="3"/>
  <c r="C192" i="3"/>
  <c r="C419" i="3"/>
  <c r="C275" i="3"/>
  <c r="C131" i="3"/>
  <c r="C502" i="3"/>
  <c r="C358" i="3"/>
  <c r="C214" i="3"/>
  <c r="C70" i="3"/>
  <c r="C453" i="3"/>
  <c r="C309" i="3"/>
  <c r="C165" i="3"/>
  <c r="C404" i="3"/>
  <c r="C260" i="3"/>
  <c r="C116" i="3"/>
  <c r="C499" i="3"/>
  <c r="C355" i="3"/>
  <c r="C211" i="3"/>
  <c r="C67" i="3"/>
  <c r="C450" i="3"/>
  <c r="C306" i="3"/>
  <c r="C162" i="3"/>
  <c r="C101" i="3"/>
  <c r="C276" i="3"/>
  <c r="C249" i="3"/>
  <c r="C246" i="3"/>
  <c r="C437" i="3"/>
  <c r="C293" i="3"/>
  <c r="C149" i="3"/>
  <c r="C388" i="3"/>
  <c r="C244" i="3"/>
  <c r="C100" i="3"/>
  <c r="C483" i="3"/>
  <c r="C339" i="3"/>
  <c r="C195" i="3"/>
  <c r="C434" i="3"/>
  <c r="C290" i="3"/>
  <c r="C146" i="3"/>
  <c r="C385" i="3"/>
  <c r="C241" i="3"/>
  <c r="C97" i="3"/>
  <c r="C468" i="3"/>
  <c r="C324" i="3"/>
  <c r="C180" i="3"/>
  <c r="C407" i="3"/>
  <c r="C263" i="3"/>
  <c r="C119" i="3"/>
  <c r="C490" i="3"/>
  <c r="C346" i="3"/>
  <c r="C202" i="3"/>
  <c r="C441" i="3"/>
  <c r="C297" i="3"/>
  <c r="C153" i="3"/>
  <c r="C392" i="3"/>
  <c r="C248" i="3"/>
  <c r="C104" i="3"/>
  <c r="C487" i="3"/>
  <c r="C343" i="3"/>
  <c r="C199" i="3"/>
  <c r="C438" i="3"/>
  <c r="C294" i="3"/>
  <c r="C150" i="3"/>
  <c r="C245" i="3"/>
  <c r="C359" i="3"/>
  <c r="C425" i="3"/>
  <c r="C281" i="3"/>
  <c r="C137" i="3"/>
  <c r="C520" i="3"/>
  <c r="C376" i="3"/>
  <c r="C232" i="3"/>
  <c r="C88" i="3"/>
  <c r="C471" i="3"/>
  <c r="C327" i="3"/>
  <c r="C183" i="3"/>
  <c r="C422" i="3"/>
  <c r="C278" i="3"/>
  <c r="C134" i="3"/>
  <c r="C517" i="3"/>
  <c r="C373" i="3"/>
  <c r="C229" i="3"/>
  <c r="C85" i="3"/>
  <c r="C456" i="3"/>
  <c r="C312" i="3"/>
  <c r="C168" i="3"/>
  <c r="C395" i="3"/>
  <c r="C251" i="3"/>
  <c r="C107" i="3"/>
  <c r="C478" i="3"/>
  <c r="C334" i="3"/>
  <c r="C190" i="3"/>
  <c r="C429" i="3"/>
  <c r="C285" i="3"/>
  <c r="C141" i="3"/>
  <c r="C524" i="3"/>
  <c r="C380" i="3"/>
  <c r="C236" i="3"/>
  <c r="C92" i="3"/>
  <c r="C475" i="3"/>
  <c r="C331" i="3"/>
  <c r="C187" i="3"/>
  <c r="C426" i="3"/>
  <c r="C282" i="3"/>
  <c r="C138" i="3"/>
  <c r="C340" i="3"/>
  <c r="C481" i="3"/>
  <c r="C215" i="3"/>
  <c r="C488" i="3"/>
  <c r="C413" i="3"/>
  <c r="C269" i="3"/>
  <c r="C125" i="3"/>
  <c r="C508" i="3"/>
  <c r="C364" i="3"/>
  <c r="C220" i="3"/>
  <c r="C76" i="3"/>
  <c r="C459" i="3"/>
  <c r="C315" i="3"/>
  <c r="C171" i="3"/>
  <c r="C410" i="3"/>
  <c r="C266" i="3"/>
  <c r="C122" i="3"/>
  <c r="C505" i="3"/>
  <c r="C361" i="3"/>
  <c r="C217" i="3"/>
  <c r="C73" i="3"/>
  <c r="C444" i="3"/>
  <c r="C300" i="3"/>
  <c r="C156" i="3"/>
  <c r="C12" i="3"/>
  <c r="C383" i="3"/>
  <c r="C239" i="3"/>
  <c r="C95" i="3"/>
  <c r="C466" i="3"/>
  <c r="C322" i="3"/>
  <c r="C178" i="3"/>
  <c r="C417" i="3"/>
  <c r="C273" i="3"/>
  <c r="C129" i="3"/>
  <c r="C512" i="3"/>
  <c r="C368" i="3"/>
  <c r="C224" i="3"/>
  <c r="C80" i="3"/>
  <c r="C463" i="3"/>
  <c r="C319" i="3"/>
  <c r="C175" i="3"/>
  <c r="C414" i="3"/>
  <c r="C270" i="3"/>
  <c r="C126" i="3"/>
  <c r="C484" i="3"/>
  <c r="C242" i="3"/>
  <c r="C132" i="3"/>
  <c r="C401" i="3"/>
  <c r="C257" i="3"/>
  <c r="C113" i="3"/>
  <c r="C496" i="3"/>
  <c r="C352" i="3"/>
  <c r="C208" i="3"/>
  <c r="C64" i="3"/>
  <c r="C447" i="3"/>
  <c r="C303" i="3"/>
  <c r="C159" i="3"/>
  <c r="C398" i="3"/>
  <c r="C254" i="3"/>
  <c r="C110" i="3"/>
  <c r="C493" i="3"/>
  <c r="C349" i="3"/>
  <c r="C205" i="3"/>
  <c r="C61" i="3"/>
  <c r="C432" i="3"/>
  <c r="C288" i="3"/>
  <c r="C144" i="3"/>
  <c r="C515" i="3"/>
  <c r="C371" i="3"/>
  <c r="C227" i="3"/>
  <c r="C83" i="3"/>
  <c r="C454" i="3"/>
  <c r="C310" i="3"/>
  <c r="C166" i="3"/>
  <c r="C405" i="3"/>
  <c r="C261" i="3"/>
  <c r="C117" i="3"/>
  <c r="C500" i="3"/>
  <c r="C356" i="3"/>
  <c r="C212" i="3"/>
  <c r="C68" i="3"/>
  <c r="C451" i="3"/>
  <c r="C307" i="3"/>
  <c r="C163" i="3"/>
  <c r="C402" i="3"/>
  <c r="C258" i="3"/>
  <c r="C114" i="3"/>
  <c r="C389" i="3"/>
  <c r="C98" i="3"/>
  <c r="C503" i="3"/>
  <c r="C10" i="3"/>
</calcChain>
</file>

<file path=xl/sharedStrings.xml><?xml version="1.0" encoding="utf-8"?>
<sst xmlns="http://schemas.openxmlformats.org/spreadsheetml/2006/main" count="52193" uniqueCount="7269">
  <si>
    <t>Co</t>
  </si>
  <si>
    <t>-2.7Al</t>
  </si>
  <si>
    <t>-4.5Ti</t>
  </si>
  <si>
    <t>-2.3Si</t>
  </si>
  <si>
    <t>Co-29.5Ni-9.6Al-12.7Cr-4.5Ti-1.9Nb</t>
  </si>
  <si>
    <t>W-free</t>
  </si>
  <si>
    <t>-30Ni-10Al-13Cr-5Ti-2Nb</t>
  </si>
  <si>
    <t>Co10Al2Nb</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</si>
  <si>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t>
  </si>
  <si>
    <t>References Prafull Pandey, On the development of low mass density γˈ strengthened Co based superalloys, IISc Bangalore, 2019 and Pandey, Namrata M, Abhishek S, Dhanalakshmi P, Amit Sharma, Mahander P, Chaitali P, Nithin B, Surendar M, Banerjee D, Chattopadhyay K, Towards the development of low density γ/γʹ misfit CoNi-base superalloys with promising high temperature mechanical properties, (2019) which I can't find</t>
  </si>
  <si>
    <t>-9.6Al</t>
  </si>
  <si>
    <t/>
  </si>
  <si>
    <t>-29.5Ni</t>
  </si>
  <si>
    <t>-12.7Cr</t>
  </si>
  <si>
    <t>-1.9Nb</t>
  </si>
  <si>
    <t>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t>
  </si>
  <si>
    <t>71.3Co-29.5Ni-9.6Al-12.7Cr-4.5Ti-1.9Nb</t>
  </si>
  <si>
    <t>-9.6Al-12.7Cr-29.5Ni-1.9Nb-4.5Ti</t>
  </si>
  <si>
    <t>Co-30.Ni-10.Al-2.Ti-2.Ta-5.Mo</t>
  </si>
  <si>
    <t>-30Ni-10Al-2Ti-2Ta-5Mo</t>
  </si>
  <si>
    <t>Co–30Ni–5Mo– 10Al–2Ta–2Ti–0W</t>
  </si>
  <si>
    <t>Baler, N., Pandey, P., Palanisamy, D., Makineni, S. K., Phanikumar, G., &amp; Chattopadhyay, K. (2020). On the effect of W addition on microstructural evolution and γ′ precipitate coarsening in a Co–30Ni–10Al–5Mo–2Ta–2Ti alloy. Materialia, 10. https://doi.org/10.1016/j.mtla.2020.100632</t>
  </si>
  <si>
    <t>-10.Al</t>
  </si>
  <si>
    <t>-30.Ni</t>
  </si>
  <si>
    <t>-2.Ta</t>
  </si>
  <si>
    <t>-2.Ti</t>
  </si>
  <si>
    <t>-5.Mo</t>
  </si>
  <si>
    <t>Co–30Ni–5Mo– 10Al–2Ta–2Ti–0WBaler, N., Pandey, P., Palanisamy, D., Makineni, S. K., Phanikumar, G., &amp; Chattopadhyay, K. (2020). On the effect of W addition on microstructural evolution and γ′ precipitate coarsening in a Co–30Ni–10Al–5Mo–2Ta–2Ti alloy. Materialia, 10. https://doi.org/10.1016/j.mtla.2020.100632</t>
  </si>
  <si>
    <t>81.0Co-30.0Ni-10.0Al-2.0Ti-2.0Ta-5.0Mo</t>
  </si>
  <si>
    <t>-10.Al-2.Ta-30.Ni-5.Mo-2.Ti</t>
  </si>
  <si>
    <t>Co-30.Ni-10.Al-0.5W-2.Ti-2.Ta-4.5Mo</t>
  </si>
  <si>
    <t>Low-W</t>
  </si>
  <si>
    <t>-30Ni-10Al-1W-2Ti-2Ta-5Mo</t>
  </si>
  <si>
    <t>Co–30Ni–4.5Mo– 10Al–2Ta–2Ti–0.5W</t>
  </si>
  <si>
    <t>Baler, N., Pandey, P., Palanisamy, D., Makineni, S. K., Phanikumar, G., &amp; Chattopadhyay, K. (2020). On the effect of W addition on microstructural evolution and γ′ precipitate coarsening in a Co–30Ni–10Al–5Mo–2Ta–2Ti alloy. Materialia, 10. https://doi.org/10.1016/j.mtla.2020.100633</t>
  </si>
  <si>
    <t>-0.5W</t>
  </si>
  <si>
    <t>-4.5Mo</t>
  </si>
  <si>
    <t>Co–30Ni–4.5Mo– 10Al–2Ta–2Ti–0.5WBaler, N., Pandey, P., Palanisamy, D., Makineni, S. K., Phanikumar, G., &amp; Chattopadhyay, K. (2020). On the effect of W addition on microstructural evolution and γ′ precipitate coarsening in a Co–30Ni–10Al–5Mo–2Ta–2Ti alloy. Materialia, 10. https://doi.org/10.1016/j.mtla.2020.100633</t>
  </si>
  <si>
    <t>81.0Co-30.0Ni-10.0Al-0.5W-2.0Ti-2.0Ta-4.5Mo</t>
  </si>
  <si>
    <t>-10.Al-0.5W-2.Ta-30.Ni-4.5Mo-2.Ti</t>
  </si>
  <si>
    <t>Co-30.Ni-10.Al-1.W-2.Ti-2.Ta-4.Mo</t>
  </si>
  <si>
    <t>-30Ni-10Al-1W-2Ti-2Ta-4Mo</t>
  </si>
  <si>
    <t>Co–30Ni–4Mo– 10Al–2Ta–2Ti–1W</t>
  </si>
  <si>
    <t>Baler, N., Pandey, P., Palanisamy, D., Makineni, S. K., Phanikumar, G., &amp; Chattopadhyay, K. (2020). On the effect of W addition on microstructural evolution and γ′ precipitate coarsening in a Co–30Ni–10Al–5Mo–2Ta–2Ti alloy. Materialia, 10. https://doi.org/10.1016/j.mtla.2020.100634</t>
  </si>
  <si>
    <t>-1.W</t>
  </si>
  <si>
    <t>-4.Mo</t>
  </si>
  <si>
    <t>Co–30Ni–4Mo– 10Al–2Ta–2Ti–1WBaler, N., Pandey, P., Palanisamy, D., Makineni, S. K., Phanikumar, G., &amp; Chattopadhyay, K. (2020). On the effect of W addition on microstructural evolution and γ′ precipitate coarsening in a Co–30Ni–10Al–5Mo–2Ta–2Ti alloy. Materialia, 10. https://doi.org/10.1016/j.mtla.2020.100634</t>
  </si>
  <si>
    <t>81.0Co-30.0Ni-10.0Al-1.0W-2.0Ti-2.0Ta-4.0Mo</t>
  </si>
  <si>
    <t>-10.Al-1.W-2.Ta-30.Ni-4.Mo-2.Ti</t>
  </si>
  <si>
    <t>Co-30.Ni-10.Al-1.5W-2.Ti-2.Ta-3.5Mo</t>
  </si>
  <si>
    <t>-30Ni-10Al-2W-2Ti-2Ta-4Mo</t>
  </si>
  <si>
    <t>Co–30Ni–3.5Mo– 10Al–2Ta–2Ti–1.5W</t>
  </si>
  <si>
    <t>Baler, N., Pandey, P., Palanisamy, D., Makineni, S. K., Phanikumar, G., &amp; Chattopadhyay, K. (2020). On the effect of W addition on microstructural evolution and γ′ precipitate coarsening in a Co–30Ni–10Al–5Mo–2Ta–2Ti alloy. Materialia, 10. https://doi.org/10.1016/j.mtla.2020.100635</t>
  </si>
  <si>
    <t>-1.5W</t>
  </si>
  <si>
    <t>-3.5Mo</t>
  </si>
  <si>
    <t>Co–30Ni–3.5Mo– 10Al–2Ta–2Ti–1.5WBaler, N., Pandey, P., Palanisamy, D., Makineni, S. K., Phanikumar, G., &amp; Chattopadhyay, K. (2020). On the effect of W addition on microstructural evolution and γ′ precipitate coarsening in a Co–30Ni–10Al–5Mo–2Ta–2Ti alloy. Materialia, 10. https://doi.org/10.1016/j.mtla.2020.100635</t>
  </si>
  <si>
    <t>81.0Co-30.0Ni-10.0Al-1.5W-2.0Ti-2.0Ta-3.5Mo</t>
  </si>
  <si>
    <t>-10.Al-1.5W-2.Ta-30.Ni-3.5Mo-2.Ti</t>
  </si>
  <si>
    <t>Co-30.Ni-10.Al-2.W-2.Ti-2.Ta-3.Mo</t>
  </si>
  <si>
    <t>-30Ni-10Al-2W-2Ti-2Ta-3Mo</t>
  </si>
  <si>
    <t>Co–30Ni–3Mo– 10Al–2Ta–2Ti–2W</t>
  </si>
  <si>
    <t>Baler, N., Pandey, P., Palanisamy, D., Makineni, S. K., Phanikumar, G., &amp; Chattopadhyay, K. (2020). On the effect of W addition on microstructural evolution and γ′ precipitate coarsening in a Co–30Ni–10Al–5Mo–2Ta–2Ti alloy. Materialia, 10. https://doi.org/10.1016/j.mtla.2020.100636</t>
  </si>
  <si>
    <t>-2.W</t>
  </si>
  <si>
    <t>-3.Mo</t>
  </si>
  <si>
    <t>Co–30Ni–3Mo– 10Al–2Ta–2Ti–2WBaler, N., Pandey, P., Palanisamy, D., Makineni, S. K., Phanikumar, G., &amp; Chattopadhyay, K. (2020). On the effect of W addition on microstructural evolution and γ′ precipitate coarsening in a Co–30Ni–10Al–5Mo–2Ta–2Ti alloy. Materialia, 10. https://doi.org/10.1016/j.mtla.2020.100636</t>
  </si>
  <si>
    <t>81.0Co-30.0Ni-10.0Al-2.0W-2.0Ti-2.0Ta-3.0Mo</t>
  </si>
  <si>
    <t>-10.Al-2.W-2.Ta-30.Ni-3.Mo-2.Ti</t>
  </si>
  <si>
    <t>Co-31.1Ni-10.6Al-10.7Cr-1.9Ta-1.Nb-4.Mo-0.31C-0.04Zr-0.19B</t>
  </si>
  <si>
    <t>-31Ni-11Al-11Cr-2Ta-1Nb-4Mo-C-Zr-B</t>
  </si>
  <si>
    <t>2Ta1Nb</t>
  </si>
  <si>
    <t>Bantounas, I., Gwalani, B., Alam, T., Banerjee, R. &amp; Dye, D. Elemental partitioning, mechanical and oxidation behaviour of two high-γ ′ W-free γ/γ ′ polycrystalline Co/Ni superalloys. Scr. Mater. 163, 44–50 (2019).</t>
  </si>
  <si>
    <t>-10.6Al</t>
  </si>
  <si>
    <t>-31.1Ni</t>
  </si>
  <si>
    <t>-10.7Cr</t>
  </si>
  <si>
    <t>-1.9Ta</t>
  </si>
  <si>
    <t>-1.Nb</t>
  </si>
  <si>
    <t>-0.31C</t>
  </si>
  <si>
    <t>-0.04Zr</t>
  </si>
  <si>
    <t>-0.19B</t>
  </si>
  <si>
    <t>2Ta1NbBantounas, I., Gwalani, B., Alam, T., Banerjee, R. &amp; Dye, D. Elemental partitioning, mechanical and oxidation behaviour of two high-γ ′ W-free γ/γ ′ polycrystalline Co/Ni superalloys. Scr. Mater. 163, 44–50 (2019).</t>
  </si>
  <si>
    <t>71.3Co-31.1Ni-10.6Al-10.7Cr-1.9Ta-1.0Nb-4.0Mo-0.31C-0.04Zr-0.19B</t>
  </si>
  <si>
    <t>-10.6Al-10.7Cr-1.9Ta-31.1Ni-4.Mo-1.Nb-0.31C-0.04Zr-0.19B</t>
  </si>
  <si>
    <t>Co-31.1Ni-10.8Al-10.8Cr-2.5Ta-4.Mo-0.22C-0.05Zr-0.22B</t>
  </si>
  <si>
    <t>-31Ni-11Al-11Cr-3Ta-4Mo-C-Zr-B</t>
  </si>
  <si>
    <t>3Ta0Nb</t>
  </si>
  <si>
    <t>-10.8Al</t>
  </si>
  <si>
    <t>-10.8Cr</t>
  </si>
  <si>
    <t>-2.5Ta</t>
  </si>
  <si>
    <t>-0.22C</t>
  </si>
  <si>
    <t>-0.05Zr</t>
  </si>
  <si>
    <t>-0.22B</t>
  </si>
  <si>
    <t>3Ta0NbBantounas, I., Gwalani, B., Alam, T., Banerjee, R. &amp; Dye, D. Elemental partitioning, mechanical and oxidation behaviour of two high-γ ′ W-free γ/γ ′ polycrystalline Co/Ni superalloys. Scr. Mater. 163, 44–50 (2019).</t>
  </si>
  <si>
    <t>71.4Co-31.1Ni-10.8Al-10.8Cr-2.5Ta-4.0Mo-0.22C-0.05Zr-0.22B</t>
  </si>
  <si>
    <t>-10.8Al-10.8Cr-2.5Ta-31.1Ni-4.Mo-0.22C-0.05Zr-0.22B</t>
  </si>
  <si>
    <t>Co-8.1Al-8.4W</t>
  </si>
  <si>
    <t>CoAlW-X</t>
  </si>
  <si>
    <t>-8Al-8W</t>
  </si>
  <si>
    <t>9W</t>
  </si>
  <si>
    <t>Bauer, A., Neumeier, S., Pyczak, F., &amp; Göken, M. (2010). Microstructure and creep strength of different γ/γ′- strengthened Co-base superalloy variants. Scripta Materialia, 63(12), 1197–1200. https://doi.org/10.1016/j.scriptamat.2010.08.036</t>
  </si>
  <si>
    <t>-8.1Al</t>
  </si>
  <si>
    <t>-8.4W</t>
  </si>
  <si>
    <t>9WBauer, A., Neumeier, S., Pyczak, F., &amp; Göken, M. (2010). Microstructure and creep strength of different γ/γ′- strengthened Co-base superalloy variants. Scripta Materialia, 63(12), 1197–1200. https://doi.org/10.1016/j.scriptamat.2010.08.036</t>
  </si>
  <si>
    <t>83.5Co-8.1Al-8.4W</t>
  </si>
  <si>
    <t>-8.1Al-8.4W</t>
  </si>
  <si>
    <t>Co-9.4Al-10.2W-1.8Nb</t>
  </si>
  <si>
    <t>-9Al-10W-2Nb</t>
  </si>
  <si>
    <t>10W2Nb</t>
  </si>
  <si>
    <t>Bauer, A., Neumeier, S., Pyczak, F., &amp; Göken, M. (2010). Microstructure and creep strength of different γ/γ′- strengthened Co-base superalloy variants. Scripta Materialia, 63(12), 1197–1200. https://doi.org/10.1016/j.scriptamat.2010.08.037</t>
  </si>
  <si>
    <t>-9.4Al</t>
  </si>
  <si>
    <t>-10.2W</t>
  </si>
  <si>
    <t>-1.8Nb</t>
  </si>
  <si>
    <t>10W2NbBauer, A., Neumeier, S., Pyczak, F., &amp; Göken, M. (2010). Microstructure and creep strength of different γ/γ′- strengthened Co-base superalloy variants. Scripta Materialia, 63(12), 1197–1200. https://doi.org/10.1016/j.scriptamat.2010.08.037</t>
  </si>
  <si>
    <t>78.6Co-9.4Al-10.2W-1.8Nb</t>
  </si>
  <si>
    <t>-9.4Al-10.2W-1.8Nb</t>
  </si>
  <si>
    <t>Co-8.4Al-10.3W-2.2Ti</t>
  </si>
  <si>
    <t>-8Al-10W-2Ti</t>
  </si>
  <si>
    <t>10w2Ti</t>
  </si>
  <si>
    <t>Bauer, A., Neumeier, S., Pyczak, F., &amp; Göken, M. (2010). Microstructure and creep strength of different γ/γ′- strengthened Co-base superalloy variants. Scripta Materialia, 63(12), 1197–1200. https://doi.org/10.1016/j.scriptamat.2010.08.038</t>
  </si>
  <si>
    <t>-8.4Al</t>
  </si>
  <si>
    <t>-10.3W</t>
  </si>
  <si>
    <t>-2.2Ti</t>
  </si>
  <si>
    <t>10w2TiBauer, A., Neumeier, S., Pyczak, F., &amp; Göken, M. (2010). Microstructure and creep strength of different γ/γ′- strengthened Co-base superalloy variants. Scripta Materialia, 63(12), 1197–1200. https://doi.org/10.1016/j.scriptamat.2010.08.038</t>
  </si>
  <si>
    <t>79.1Co-8.4Al-10.3W-2.2Ti</t>
  </si>
  <si>
    <t>-8.4Al-10.3W-2.2Ti</t>
  </si>
  <si>
    <t>Co-9.Al-11.4W-2.1V</t>
  </si>
  <si>
    <t>-9Al-11W-2V</t>
  </si>
  <si>
    <t>10W2V</t>
  </si>
  <si>
    <t>Bauer, A., Neumeier, S., Pyczak, F., &amp; Göken, M. (2010). Microstructure and creep strength of different γ/γ′- strengthened Co-base superalloy variants. Scripta Materialia, 63(12), 1197–1200. https://doi.org/10.1016/j.scriptamat.2010.08.039</t>
  </si>
  <si>
    <t>-9.Al</t>
  </si>
  <si>
    <t>-11.4W</t>
  </si>
  <si>
    <t>-2.1V</t>
  </si>
  <si>
    <t>10W2VBauer, A., Neumeier, S., Pyczak, F., &amp; Göken, M. (2010). Microstructure and creep strength of different γ/γ′- strengthened Co-base superalloy variants. Scripta Materialia, 63(12), 1197–1200. https://doi.org/10.1016/j.scriptamat.2010.08.039</t>
  </si>
  <si>
    <t>77.5Co-9.0Al-11.4W-2.1V</t>
  </si>
  <si>
    <t>-9.Al-11.4W-2.1V</t>
  </si>
  <si>
    <t>Co-7.6Al-9.2W-1.9Ta</t>
  </si>
  <si>
    <t>-8Al-9W-2Ta</t>
  </si>
  <si>
    <t>10W2Ta</t>
  </si>
  <si>
    <t>Bauer, A., Neumeier, S., Pyczak, F., &amp; Göken, M. (2010). Microstructure and creep strength of different γ/γ′- strengthened Co-base superalloy variants. Scripta Materialia, 63(12), 1197–1200. https://doi.org/10.1016/j.scriptamat.2010.08.040</t>
  </si>
  <si>
    <t>-7.6Al</t>
  </si>
  <si>
    <t>-9.2W</t>
  </si>
  <si>
    <t>10W2TaBauer, A., Neumeier, S., Pyczak, F., &amp; Göken, M. (2010). Microstructure and creep strength of different γ/γ′- strengthened Co-base superalloy variants. Scripta Materialia, 63(12), 1197–1200. https://doi.org/10.1016/j.scriptamat.2010.08.040</t>
  </si>
  <si>
    <t>81.3Co-7.6Al-9.2W-1.9Ta</t>
  </si>
  <si>
    <t>-7.6Al-9.2W-1.9Ta</t>
  </si>
  <si>
    <t>Co-8.3Al-9.4W</t>
  </si>
  <si>
    <t>-8Al-9W</t>
  </si>
  <si>
    <t>9W0.1B</t>
  </si>
  <si>
    <t>Bauer, A., Neumeier, S., Pyczak, F., &amp; Göken, M. (2010). Microstructure and creep strength of different γ/γ′- strengthened Co-base superalloy variants. Scripta Materialia, 63(12), 1197–1200. https://doi.org/10.1016/j.scriptamat.2010.08.041</t>
  </si>
  <si>
    <t>-8.3Al</t>
  </si>
  <si>
    <t>-9.4W</t>
  </si>
  <si>
    <t>9W0.1BBauer, A., Neumeier, S., Pyczak, F., &amp; Göken, M. (2010). Microstructure and creep strength of different γ/γ′- strengthened Co-base superalloy variants. Scripta Materialia, 63(12), 1197–1200. https://doi.org/10.1016/j.scriptamat.2010.08.041</t>
  </si>
  <si>
    <t>82.3Co-8.3Al-9.4W</t>
  </si>
  <si>
    <t>-8.3Al-9.4W</t>
  </si>
  <si>
    <t>Co-8.1Al-8.4W-2.Ta</t>
  </si>
  <si>
    <t>-8Al-8W-2Ta</t>
  </si>
  <si>
    <t>8W2Ta</t>
  </si>
  <si>
    <t>Bauer, A., Neumeier, S., Pyczak, F., &amp; Göken, M. (2010). Microstructure and creep strength of different γ/γ′- strengthened Co-base superalloy variants. Scripta Materialia, 63(12), 1197–1200. https://doi.org/10.1016/j.scriptamat.2010.08.042</t>
  </si>
  <si>
    <t>8W2TaBauer, A., Neumeier, S., Pyczak, F., &amp; Göken, M. (2010). Microstructure and creep strength of different γ/γ′- strengthened Co-base superalloy variants. Scripta Materialia, 63(12), 1197–1200. https://doi.org/10.1016/j.scriptamat.2010.08.042</t>
  </si>
  <si>
    <t>81.5Co-8.1Al-8.4W-2.0Ta</t>
  </si>
  <si>
    <t>-8.1Al-8.4W-2.Ta</t>
  </si>
  <si>
    <t>Co-8.Al-1.9Cr-7.2W-1.6Ta</t>
  </si>
  <si>
    <t>CoAlWX+</t>
  </si>
  <si>
    <t>-8Al-2Cr-7W-2Ta</t>
  </si>
  <si>
    <t>2Ta2Cr</t>
  </si>
  <si>
    <t>Bauer, A., Neumeier, S., Pyczak, F., &amp; Göken, M. (2010). Microstructure and creep strength of different γ/γ′- strengthened Co-base superalloy variants. Scripta Materialia, 63(12), 1197–1200. https://doi.org/10.1016/j.scriptamat.2010.08.043</t>
  </si>
  <si>
    <t>-8.Al</t>
  </si>
  <si>
    <t>-7.2W</t>
  </si>
  <si>
    <t>-1.9Cr</t>
  </si>
  <si>
    <t>-1.6Ta</t>
  </si>
  <si>
    <t>2Ta2CrBauer, A., Neumeier, S., Pyczak, F., &amp; Göken, M. (2010). Microstructure and creep strength of different γ/γ′- strengthened Co-base superalloy variants. Scripta Materialia, 63(12), 1197–1200. https://doi.org/10.1016/j.scriptamat.2010.08.043</t>
  </si>
  <si>
    <t>81.3Co-8.0Al-1.9Cr-7.2W-1.6Ta</t>
  </si>
  <si>
    <t>-8.Al-1.9Cr-7.2W-1.6Ta</t>
  </si>
  <si>
    <t>Co-8.1Al-6.7W-1.4Ta-1.4Nb</t>
  </si>
  <si>
    <t>-8Al-7W-1Ta-1Nb</t>
  </si>
  <si>
    <t>2Ta2Nb</t>
  </si>
  <si>
    <t>Bauer, A., Neumeier, S., Pyczak, F., &amp; Göken, M. (2010). Microstructure and creep strength of different γ/γ′- strengthened Co-base superalloy variants. Scripta Materialia, 63(12), 1197–1200. https://doi.org/10.1016/j.scriptamat.2010.08.045</t>
  </si>
  <si>
    <t>-6.7W</t>
  </si>
  <si>
    <t>-1.4Ta</t>
  </si>
  <si>
    <t>-1.4Nb</t>
  </si>
  <si>
    <t>2Ta2NbBauer, A., Neumeier, S., Pyczak, F., &amp; Göken, M. (2010). Microstructure and creep strength of different γ/γ′- strengthened Co-base superalloy variants. Scripta Materialia, 63(12), 1197–1200. https://doi.org/10.1016/j.scriptamat.2010.08.045</t>
  </si>
  <si>
    <t>82.4Co-8.1Al-6.7W-1.4Ta-1.4Nb</t>
  </si>
  <si>
    <t>-8.1Al-6.7W-1.4Ta-1.4Nb</t>
  </si>
  <si>
    <t>Co-8.1Al-7.7W-1.6Ta-1.8Si</t>
  </si>
  <si>
    <t>-8Al-8W-2Ta-Si</t>
  </si>
  <si>
    <t>2Ta2Si</t>
  </si>
  <si>
    <t>Bauer, A., Neumeier, S., Pyczak, F., &amp; Göken, M. (2010). Microstructure and creep strength of different γ/γ′- strengthened Co-base superalloy variants. Scripta Materialia, 63(12), 1197–1200. https://doi.org/10.1016/j.scriptamat.2010.08.046</t>
  </si>
  <si>
    <t>-7.7W</t>
  </si>
  <si>
    <t>-1.8Si</t>
  </si>
  <si>
    <t>2Ta2SiBauer, A., Neumeier, S., Pyczak, F., &amp; Göken, M. (2010). Microstructure and creep strength of different γ/γ′- strengthened Co-base superalloy variants. Scripta Materialia, 63(12), 1197–1200. https://doi.org/10.1016/j.scriptamat.2010.08.046</t>
  </si>
  <si>
    <t>80.8Co-8.1Al-7.7W-1.6Ta-1.8Si</t>
  </si>
  <si>
    <t>-8.1Al-7.7W-1.6Ta-1.8Si</t>
  </si>
  <si>
    <t>Co-8.2Al-7.5W-1.9Ta-2.V</t>
  </si>
  <si>
    <t>-8Al-8W-2Ta-2V</t>
  </si>
  <si>
    <t>2Ta2V</t>
  </si>
  <si>
    <t>Bauer, A., Neumeier, S., Pyczak, F., &amp; Göken, M. (2010). Microstructure and creep strength of different γ/γ′- strengthened Co-base superalloy variants. Scripta Materialia, 63(12), 1197–1200. https://doi.org/10.1016/j.scriptamat.2010.08.047</t>
  </si>
  <si>
    <t>-8.2Al</t>
  </si>
  <si>
    <t>-7.5W</t>
  </si>
  <si>
    <t>-2.V</t>
  </si>
  <si>
    <t>2Ta2VBauer, A., Neumeier, S., Pyczak, F., &amp; Göken, M. (2010). Microstructure and creep strength of different γ/γ′- strengthened Co-base superalloy variants. Scripta Materialia, 63(12), 1197–1200. https://doi.org/10.1016/j.scriptamat.2010.08.047</t>
  </si>
  <si>
    <t>80.4Co-8.2Al-7.5W-1.9Ta-2.0V</t>
  </si>
  <si>
    <t>-8.2Al-7.5W-1.9Ta-2.V</t>
  </si>
  <si>
    <t>Co-8.2Al-9.6W-1.8Ta-1.8Mo</t>
  </si>
  <si>
    <t>-8Al-10W-2Ta-2Mo</t>
  </si>
  <si>
    <t>2T2Mo</t>
  </si>
  <si>
    <t>Bauer, A., Neumeier, S., Pyczak, F., &amp; Göken, M. (2010). Microstructure and creep strength of different γ/γ′- strengthened Co-base superalloy variants. Scripta Materialia, 63(12), 1197–1200. https://doi.org/10.1016/j.scriptamat.2010.08.048</t>
  </si>
  <si>
    <t>-9.6W</t>
  </si>
  <si>
    <t>-1.8Ta</t>
  </si>
  <si>
    <t>-1.8Mo</t>
  </si>
  <si>
    <t>2T2MoBauer, A., Neumeier, S., Pyczak, F., &amp; Göken, M. (2010). Microstructure and creep strength of different γ/γ′- strengthened Co-base superalloy variants. Scripta Materialia, 63(12), 1197–1200. https://doi.org/10.1016/j.scriptamat.2010.08.048</t>
  </si>
  <si>
    <t>78.6Co-8.2Al-9.6W-1.8Ta-1.8Mo</t>
  </si>
  <si>
    <t>-8.2Al-9.6W-1.8Ta-1.8Mo</t>
  </si>
  <si>
    <t>Co-8.Al-5.7W-2.Ta-1.5Mo</t>
  </si>
  <si>
    <t>-8Al-6W-2Ta-2Mo</t>
  </si>
  <si>
    <t>W2Ta2Mo</t>
  </si>
  <si>
    <t>Bauer, A., Neumeier, S., Pyczak, F., &amp; Göken, M. (2010). Microstructure and creep strength of different γ/γ′- strengthened Co-base superalloy variants. Scripta Materialia, 63(12), 1197–1200. https://doi.org/10.1016/j.scriptamat.2010.08.050</t>
  </si>
  <si>
    <t>-5.7W</t>
  </si>
  <si>
    <t>-1.5Mo</t>
  </si>
  <si>
    <t>W2Ta2MoBauer, A., Neumeier, S., Pyczak, F., &amp; Göken, M. (2010). Microstructure and creep strength of different γ/γ′- strengthened Co-base superalloy variants. Scripta Materialia, 63(12), 1197–1200. https://doi.org/10.1016/j.scriptamat.2010.08.050</t>
  </si>
  <si>
    <t>82.8Co-8.0Al-5.7W-2.0Ta-1.5Mo</t>
  </si>
  <si>
    <t>-8.Al-5.7W-2.Ta-1.5Mo</t>
  </si>
  <si>
    <t>Co-8.7Al-5.5W-1.3Ta-0.9Ir</t>
  </si>
  <si>
    <t>-9Al-6W-1Ta-1Ir</t>
  </si>
  <si>
    <t>W2Ta2Ir</t>
  </si>
  <si>
    <t>Bauer, A., Neumeier, S., Pyczak, F., &amp; Göken, M. (2010). Microstructure and creep strength of different γ/γ′- strengthened Co-base superalloy variants. Scripta Materialia, 63(12), 1197–1200. https://doi.org/10.1016/j.scriptamat.2010.08.051</t>
  </si>
  <si>
    <t>-8.7Al</t>
  </si>
  <si>
    <t>-5.5W</t>
  </si>
  <si>
    <t>-1.3Ta</t>
  </si>
  <si>
    <t>-0.9Ir</t>
  </si>
  <si>
    <t>W2Ta2IrBauer, A., Neumeier, S., Pyczak, F., &amp; Göken, M. (2010). Microstructure and creep strength of different γ/γ′- strengthened Co-base superalloy variants. Scripta Materialia, 63(12), 1197–1200. https://doi.org/10.1016/j.scriptamat.2010.08.051</t>
  </si>
  <si>
    <t>83.6Co-8.7Al-5.5W-1.3Ta-0.9Ir</t>
  </si>
  <si>
    <t>-8.7Al-5.5W-1.3Ta-0.9Ir</t>
  </si>
  <si>
    <t>Co-8.6Al-4.1Cr-9.5W</t>
  </si>
  <si>
    <t>-9Al-4Cr-10W</t>
  </si>
  <si>
    <t>9W-4Cr-0.04B</t>
  </si>
  <si>
    <t>Bauer, A., Neumeier, S., Pyczak, F., &amp; Göken, M. (2012). Creep Strength and Microstructure of Polycrystalline γ′ - Strengthened Cobalt-Base Superalloys. In Superalloys 2012 (pp. 695–703). https://doi.org/10.1002/9781118516430.ch77</t>
  </si>
  <si>
    <t>-8.6Al</t>
  </si>
  <si>
    <t>-9.5W</t>
  </si>
  <si>
    <t>-4.1Cr</t>
  </si>
  <si>
    <t>9W-4Cr-0.04BBauer, A., Neumeier, S., Pyczak, F., &amp; Göken, M. (2012). Creep Strength and Microstructure of Polycrystalline γ′ - Strengthened Cobalt-Base Superalloys. In Superalloys 2012 (pp. 695–703). https://doi.org/10.1002/9781118516430.ch77</t>
  </si>
  <si>
    <t>77.8Co-8.6Al-4.1Cr-9.5W</t>
  </si>
  <si>
    <t>-8.6Al-4.1Cr-9.5W</t>
  </si>
  <si>
    <t>Co-8.7Al-8.2Cr-9.6W</t>
  </si>
  <si>
    <t>-9Al-8Cr-10W</t>
  </si>
  <si>
    <t>9W-8Cr-0.04B</t>
  </si>
  <si>
    <t>Bauer, A., Neumeier, S., Pyczak, F., &amp; Göken, M. (2012). Creep Strength and Microstructure of Polycrystalline γ′ - Strengthened Cobalt-Base Superalloys. In Superalloys 2012 (pp. 695–703). https://doi.org/10.1002/9781118516430.ch78</t>
  </si>
  <si>
    <t>-8.2Cr</t>
  </si>
  <si>
    <t>9W-8Cr-0.04BBauer, A., Neumeier, S., Pyczak, F., &amp; Göken, M. (2012). Creep Strength and Microstructure of Polycrystalline γ′ - Strengthened Cobalt-Base Superalloys. In Superalloys 2012 (pp. 695–703). https://doi.org/10.1002/9781118516430.ch78</t>
  </si>
  <si>
    <t>73.5Co-8.7Al-8.2Cr-9.6W</t>
  </si>
  <si>
    <t>-8.7Al-8.2Cr-9.6W</t>
  </si>
  <si>
    <t>Co-8.4Al-16.5Cr-9.W</t>
  </si>
  <si>
    <t>-8Al-17Cr-9W</t>
  </si>
  <si>
    <t>9W-16Cr-0.04B</t>
  </si>
  <si>
    <t>Bauer, A., Neumeier, S., Pyczak, F., &amp; Göken, M. (2012). Creep Strength and Microstructure of Polycrystalline γ′ - Strengthened Cobalt-Base Superalloys. In Superalloys 2012 (pp. 695–703). https://doi.org/10.1002/9781118516430.ch79</t>
  </si>
  <si>
    <t>-9.W</t>
  </si>
  <si>
    <t>-16.5Cr</t>
  </si>
  <si>
    <t>9W-16Cr-0.04BBauer, A., Neumeier, S., Pyczak, F., &amp; Göken, M. (2012). Creep Strength and Microstructure of Polycrystalline γ′ - Strengthened Cobalt-Base Superalloys. In Superalloys 2012 (pp. 695–703). https://doi.org/10.1002/9781118516430.ch79</t>
  </si>
  <si>
    <t>66.1Co-8.4Al-16.5Cr-9.0W</t>
  </si>
  <si>
    <t>-8.4Al-16.5Cr-9.W</t>
  </si>
  <si>
    <t>Co-9.Ni-8.8Al-9.5W</t>
  </si>
  <si>
    <t>-9Ni-9Al-10W</t>
  </si>
  <si>
    <t>9W-9Ni-0.12B</t>
  </si>
  <si>
    <t>Bauer, A., Neumeier, S., Pyczak, F., &amp; Göken, M. (2012). Creep Strength and Microstructure of Polycrystalline γ′ - Strengthened Cobalt-Base Superalloys. In Superalloys 2012 (pp. 695–703). https://doi.org/10.1002/9781118516430.ch80</t>
  </si>
  <si>
    <t>-8.8Al</t>
  </si>
  <si>
    <t>-9.Ni</t>
  </si>
  <si>
    <t>9W-9Ni-0.12BBauer, A., Neumeier, S., Pyczak, F., &amp; Göken, M. (2012). Creep Strength and Microstructure of Polycrystalline γ′ - Strengthened Cobalt-Base Superalloys. In Superalloys 2012 (pp. 695–703). https://doi.org/10.1002/9781118516430.ch80</t>
  </si>
  <si>
    <t>81.7Co-9.0Ni-8.8Al-9.5W</t>
  </si>
  <si>
    <t>-8.8Al-9.5W-9.Ni</t>
  </si>
  <si>
    <t>Co-18.4Ni-8.8Al-9.6W</t>
  </si>
  <si>
    <t>-18Ni-9Al-10W</t>
  </si>
  <si>
    <t>9W-18Ni-0.12B</t>
  </si>
  <si>
    <t>Bauer, A., Neumeier, S., Pyczak, F., &amp; Göken, M. (2012). Creep Strength and Microstructure of Polycrystalline γ′ - Strengthened Cobalt-Base Superalloys. In Superalloys 2012 (pp. 695–703). https://doi.org/10.1002/9781118516430.ch81</t>
  </si>
  <si>
    <t>-18.4Ni</t>
  </si>
  <si>
    <t>9W-18Ni-0.12BBauer, A., Neumeier, S., Pyczak, F., &amp; Göken, M. (2012). Creep Strength and Microstructure of Polycrystalline γ′ - Strengthened Cobalt-Base Superalloys. In Superalloys 2012 (pp. 695–703). https://doi.org/10.1002/9781118516430.ch81</t>
  </si>
  <si>
    <t>81.6Co-18.4Ni-8.8Al-9.6W</t>
  </si>
  <si>
    <t>-8.8Al-9.6W-18.4Ni</t>
  </si>
  <si>
    <t>Co-9.2Ni-9.1Al-8.2Cr-9.6W</t>
  </si>
  <si>
    <t>-9Ni-9Al-8Cr-10W</t>
  </si>
  <si>
    <t>9W-8Cr-9Ni-0.12B</t>
  </si>
  <si>
    <t>Bauer, A., Neumeier, S., Pyczak, F., &amp; Göken, M. (2012). Creep Strength and Microstructure of Polycrystalline γ′ - Strengthened Cobalt-Base Superalloys. In Superalloys 2012 (pp. 695–703). https://doi.org/10.1002/9781118516430.ch82</t>
  </si>
  <si>
    <t>-9.1Al</t>
  </si>
  <si>
    <t>-9.2Ni</t>
  </si>
  <si>
    <t>9W-8Cr-9Ni-0.12BBauer, A., Neumeier, S., Pyczak, F., &amp; Göken, M. (2012). Creep Strength and Microstructure of Polycrystalline γ′ - Strengthened Cobalt-Base Superalloys. In Superalloys 2012 (pp. 695–703). https://doi.org/10.1002/9781118516430.ch82</t>
  </si>
  <si>
    <t>73.1Co-9.2Ni-9.1Al-8.2Cr-9.6W</t>
  </si>
  <si>
    <t>-9.1Al-8.2Cr-9.6W-9.2Ni</t>
  </si>
  <si>
    <t>Co-18.Ni-8.6Al-8.1Cr-8.8W</t>
  </si>
  <si>
    <t>-18Ni-9Al-8Cr-9W</t>
  </si>
  <si>
    <t>9w-8Cr-18Ni-0.12B</t>
  </si>
  <si>
    <t>Bauer, A., Neumeier, S., Pyczak, F., &amp; Göken, M. (2012). Creep Strength and Microstructure of Polycrystalline γ′ - Strengthened Cobalt-Base Superalloys. In Superalloys 2012 (pp. 695–703). https://doi.org/10.1002/9781118516430.ch83</t>
  </si>
  <si>
    <t>-8.8W</t>
  </si>
  <si>
    <t>-18.Ni</t>
  </si>
  <si>
    <t>-8.1Cr</t>
  </si>
  <si>
    <t>9w-8Cr-18Ni-0.12BBauer, A., Neumeier, S., Pyczak, F., &amp; Göken, M. (2012). Creep Strength and Microstructure of Polycrystalline γ′ - Strengthened Cobalt-Base Superalloys. In Superalloys 2012 (pp. 695–703). https://doi.org/10.1002/9781118516430.ch83</t>
  </si>
  <si>
    <t>74.5Co-18.0Ni-8.6Al-8.1Cr-8.8W</t>
  </si>
  <si>
    <t>-8.6Al-8.1Cr-8.8W-18.Ni</t>
  </si>
  <si>
    <t>Co-8.Fe-7.5Al-8.8W</t>
  </si>
  <si>
    <t>-8Fe-8Al-9W</t>
  </si>
  <si>
    <t>9W-8Fe-0.12B</t>
  </si>
  <si>
    <t>Bauer, A., Neumeier, S., Pyczak, F., &amp; Göken, M. (2012). Creep Strength and Microstructure of Polycrystalline γ′ - Strengthened Cobalt-Base Superalloys. In Superalloys 2012 (pp. 695–703). https://doi.org/10.1002/9781118516430.ch86</t>
  </si>
  <si>
    <t>-7.5Al</t>
  </si>
  <si>
    <t>-8.Fe</t>
  </si>
  <si>
    <t>9W-8Fe-0.12BBauer, A., Neumeier, S., Pyczak, F., &amp; Göken, M. (2012). Creep Strength and Microstructure of Polycrystalline γ′ - Strengthened Cobalt-Base Superalloys. In Superalloys 2012 (pp. 695–703). https://doi.org/10.1002/9781118516430.ch86</t>
  </si>
  <si>
    <t>75.7Co-8.0Fe-7.5Al-8.8W</t>
  </si>
  <si>
    <t>-7.5Al-8.8W-8.Fe</t>
  </si>
  <si>
    <t>Co-16.7Fe-8.6Al-8.6W</t>
  </si>
  <si>
    <t>-17Fe-9Al-9W</t>
  </si>
  <si>
    <t>9W-16Fe-0.12B</t>
  </si>
  <si>
    <t>Bauer, A., Neumeier, S., Pyczak, F., &amp; Göken, M. (2012). Creep Strength and Microstructure of Polycrystalline γ′ - Strengthened Cobalt-Base Superalloys. In Superalloys 2012 (pp. 695–703). https://doi.org/10.1002/9781118516430.ch87</t>
  </si>
  <si>
    <t>-8.6W</t>
  </si>
  <si>
    <t>-16.7Fe</t>
  </si>
  <si>
    <t>9W-16Fe-0.12BBauer, A., Neumeier, S., Pyczak, F., &amp; Göken, M. (2012). Creep Strength and Microstructure of Polycrystalline γ′ - Strengthened Cobalt-Base Superalloys. In Superalloys 2012 (pp. 695–703). https://doi.org/10.1002/9781118516430.ch87</t>
  </si>
  <si>
    <t>66.1Co-16.7Fe-8.6Al-8.6W</t>
  </si>
  <si>
    <t>-8.6Al-8.6W-16.7Fe</t>
  </si>
  <si>
    <t>Co-9.5Al-9.7W-1.3Ta-1.8Ir-0.12B</t>
  </si>
  <si>
    <t>-10Al-10W-1Ta-2Ir-B</t>
  </si>
  <si>
    <t>2Ta2Ir-B</t>
  </si>
  <si>
    <t>Bauer, A., Neumeier, S., Pyczak, F., &amp; Göken, M. (2015). Influence of iridium on the properties of γ′-strengthened co-base superalloys. Advanced Engineering Materials, 17(6), 748–754. https://doi.org/10.1002/adem.201400269</t>
  </si>
  <si>
    <t>-9.5Al</t>
  </si>
  <si>
    <t>-9.7W</t>
  </si>
  <si>
    <t>-0.12B</t>
  </si>
  <si>
    <t>-1.8Ir</t>
  </si>
  <si>
    <t>2Ta2Ir-BBauer, A., Neumeier, S., Pyczak, F., &amp; Göken, M. (2015). Influence of iridium on the properties of γ′-strengthened co-base superalloys. Advanced Engineering Materials, 17(6), 748–754. https://doi.org/10.1002/adem.201400269</t>
  </si>
  <si>
    <t>77.6Co-9.5Al-9.7W-1.3Ta-1.8Ir-0.12B</t>
  </si>
  <si>
    <t>-9.5Al-9.7W-1.3Ta-0.12B-1.8Ir</t>
  </si>
  <si>
    <t>Co-8.9Al-9.3W-2.Ta-0.12B</t>
  </si>
  <si>
    <t>-9Al-9W-2Ta-B</t>
  </si>
  <si>
    <t>2Ta-B</t>
  </si>
  <si>
    <t>Bauer, A., Neumeier, S., Pyczak, F., &amp; Göken, M. (2015). Influence of iridium on the properties of γ′-strengthened co-base superalloys. Advanced Engineering Materials, 17(6), 748–754. https://doi.org/10.1002/adem.201400270</t>
  </si>
  <si>
    <t>-8.9Al</t>
  </si>
  <si>
    <t>-9.3W</t>
  </si>
  <si>
    <t>2Ta-BBauer, A., Neumeier, S., Pyczak, F., &amp; Göken, M. (2015). Influence of iridium on the properties of γ′-strengthened co-base superalloys. Advanced Engineering Materials, 17(6), 748–754. https://doi.org/10.1002/adem.201400270</t>
  </si>
  <si>
    <t>79.7Co-8.9Al-9.3W-2.0Ta-0.12B</t>
  </si>
  <si>
    <t>-8.9Al-9.3W-2.Ta-0.12B</t>
  </si>
  <si>
    <t>Co-8.5Al-9.6W</t>
  </si>
  <si>
    <t>-9Al-10W</t>
  </si>
  <si>
    <t>9W(SX)</t>
  </si>
  <si>
    <t>Bauer, A., Neumeier, S., Pyczak, F., Singer, R. F., &amp; Göken, M. (2012). Creep properties of different γ’-strengthened Co-base superalloys. Materials Science and Engineering A, 550, 333–341. https://doi.org/10.1016/j.msea.2012.04.084</t>
  </si>
  <si>
    <t>-8.5Al</t>
  </si>
  <si>
    <t>9W(SX)Bauer, A., Neumeier, S., Pyczak, F., Singer, R. F., &amp; Göken, M. (2012). Creep properties of different γ’-strengthened Co-base superalloys. Materials Science and Engineering A, 550, 333–341. https://doi.org/10.1016/j.msea.2012.04.084</t>
  </si>
  <si>
    <t>81.9Co-8.5Al-9.6W</t>
  </si>
  <si>
    <t>-8.5Al-9.6W</t>
  </si>
  <si>
    <t>Co-8.4Al-9.7W-0.04B</t>
  </si>
  <si>
    <t>-8Al-10W-B</t>
  </si>
  <si>
    <t>9W-0.04B</t>
  </si>
  <si>
    <t>Bauer, A., Neumeier, S., Pyczak, F., Singer, R. F., &amp; Göken, M. (2012). Creep properties of different γ’-strengthened Co-base superalloys. Materials Science and Engineering A, 550, 333–341. https://doi.org/10.1016/j.msea.2012.04.085</t>
  </si>
  <si>
    <t>B not measured</t>
  </si>
  <si>
    <t>-0.04B</t>
  </si>
  <si>
    <t>9W-0.04BBauer, A., Neumeier, S., Pyczak, F., Singer, R. F., &amp; Göken, M. (2012). Creep properties of different γ’-strengthened Co-base superalloys. Materials Science and Engineering A, 550, 333–341. https://doi.org/10.1016/j.msea.2012.04.085</t>
  </si>
  <si>
    <t>81.9Co-8.4Al-9.7W-0.04B</t>
  </si>
  <si>
    <t>-8.4Al-9.7W-0.04B</t>
  </si>
  <si>
    <t>Co-8.9Al-9.5W-0.08B</t>
  </si>
  <si>
    <t>-9Al-10W-B</t>
  </si>
  <si>
    <t>9W-0.08B</t>
  </si>
  <si>
    <t>Bauer, A., Neumeier, S., Pyczak, F., Singer, R. F., &amp; Göken, M. (2012). Creep properties of different γ’-strengthened Co-base superalloys. Materials Science and Engineering A, 550, 333–341. https://doi.org/10.1016/j.msea.2012.04.086</t>
  </si>
  <si>
    <t>-0.08B</t>
  </si>
  <si>
    <t>9W-0.08BBauer, A., Neumeier, S., Pyczak, F., Singer, R. F., &amp; Göken, M. (2012). Creep properties of different γ’-strengthened Co-base superalloys. Materials Science and Engineering A, 550, 333–341. https://doi.org/10.1016/j.msea.2012.04.086</t>
  </si>
  <si>
    <t>81.5Co-8.9Al-9.5W-0.08B</t>
  </si>
  <si>
    <t>-8.9Al-9.5W-0.08B</t>
  </si>
  <si>
    <t>Co-8.3Al-9.4W-0.12B</t>
  </si>
  <si>
    <t>-8Al-9W-B</t>
  </si>
  <si>
    <t>9W-0.12B</t>
  </si>
  <si>
    <t>Bauer, A., Neumeier, S., Pyczak, F., Singer, R. F., &amp; Göken, M. (2012). Creep properties of different γ’-strengthened Co-base superalloys. Materials Science and Engineering A, 550, 333–341. https://doi.org/10.1016/j.msea.2012.04.087</t>
  </si>
  <si>
    <t>9W-0.12BBauer, A., Neumeier, S., Pyczak, F., Singer, R. F., &amp; Göken, M. (2012). Creep properties of different γ’-strengthened Co-base superalloys. Materials Science and Engineering A, 550, 333–341. https://doi.org/10.1016/j.msea.2012.04.087</t>
  </si>
  <si>
    <t>82.2Co-8.3Al-9.4W-0.12B</t>
  </si>
  <si>
    <t>-8.3Al-9.4W-0.12B</t>
  </si>
  <si>
    <t>Co-8.9Al-8.5W-2.2Ta-0.08B</t>
  </si>
  <si>
    <t>8W-2Ta-0.08B</t>
  </si>
  <si>
    <t>Bauer, A., Neumeier, S., Pyczak, F., Singer, R. F., &amp; Göken, M. (2012). Creep properties of different γ’-strengthened Co-base superalloys. Materials Science and Engineering A, 550, 333–341. https://doi.org/10.1016/j.msea.2012.04.088</t>
  </si>
  <si>
    <t>-8.5W</t>
  </si>
  <si>
    <t>-2.2Ta</t>
  </si>
  <si>
    <t>8W-2Ta-0.08BBauer, A., Neumeier, S., Pyczak, F., Singer, R. F., &amp; Göken, M. (2012). Creep properties of different γ’-strengthened Co-base superalloys. Materials Science and Engineering A, 550, 333–341. https://doi.org/10.1016/j.msea.2012.04.088</t>
  </si>
  <si>
    <t>80.3Co-8.9Al-8.5W-2.2Ta-0.08B</t>
  </si>
  <si>
    <t>-8.9Al-8.5W-2.2Ta-0.08B</t>
  </si>
  <si>
    <t>Co-8.Al-6.7W-1.4Ta-1.4Nb</t>
  </si>
  <si>
    <t>8W-2Ta-2Nb</t>
  </si>
  <si>
    <t>Bauer, A., Neumeier, S., Pyczak, F., Singer, R. F., &amp; Göken, M. (2012). Creep properties of different γ’-strengthened Co-base superalloys. Materials Science and Engineering A, 550, 333–341. https://doi.org/10.1016/j.msea.2012.04.090</t>
  </si>
  <si>
    <t>8W-2Ta-2NbBauer, A., Neumeier, S., Pyczak, F., Singer, R. F., &amp; Göken, M. (2012). Creep properties of different γ’-strengthened Co-base superalloys. Materials Science and Engineering A, 550, 333–341. https://doi.org/10.1016/j.msea.2012.04.090</t>
  </si>
  <si>
    <t>82.5Co-8.0Al-6.7W-1.4Ta-1.4Nb</t>
  </si>
  <si>
    <t>-8.Al-6.7W-1.4Ta-1.4Nb</t>
  </si>
  <si>
    <t>Co-8.2Al-9.4W-0.4Nb</t>
  </si>
  <si>
    <t>-8Al-9W-0Nb</t>
  </si>
  <si>
    <t>9W-0.5Nb</t>
  </si>
  <si>
    <t>Bauer, A., Neumeier, S., Pyczak, F., Singer, R. F., &amp; Göken, M. (2012). Creep properties of different γ’-strengthened Co-base superalloys. Materials Science and Engineering A, 550, 333–341. https://doi.org/10.1016/j.msea.2012.04.091</t>
  </si>
  <si>
    <t>-0.4Nb</t>
  </si>
  <si>
    <t>9W-0.5NbBauer, A., Neumeier, S., Pyczak, F., Singer, R. F., &amp; Göken, M. (2012). Creep properties of different γ’-strengthened Co-base superalloys. Materials Science and Engineering A, 550, 333–341. https://doi.org/10.1016/j.msea.2012.04.091</t>
  </si>
  <si>
    <t>82.0Co-8.2Al-9.4W-0.4Nb</t>
  </si>
  <si>
    <t>-8.2Al-9.4W-0.4Nb</t>
  </si>
  <si>
    <t>Co-8.2Al-9.4W-1.1Mo-0.04B</t>
  </si>
  <si>
    <t>-8Al-9W-1Mo-B</t>
  </si>
  <si>
    <t>9W-1Mo-0.04B</t>
  </si>
  <si>
    <t>Bauer, A., Neumeier, S., Pyczak, F., Singer, R. F., &amp; Göken, M. (2012). Creep properties of different γ’-strengthened Co-base superalloys. Materials Science and Engineering A, 550, 333–341. https://doi.org/10.1016/j.msea.2012.04.093</t>
  </si>
  <si>
    <t>-1.1Mo</t>
  </si>
  <si>
    <t>9W-1Mo-0.04BBauer, A., Neumeier, S., Pyczak, F., Singer, R. F., &amp; Göken, M. (2012). Creep properties of different γ’-strengthened Co-base superalloys. Materials Science and Engineering A, 550, 333–341. https://doi.org/10.1016/j.msea.2012.04.093</t>
  </si>
  <si>
    <t>81.3Co-8.2Al-9.4W-1.1Mo-0.04B</t>
  </si>
  <si>
    <t>-8.2Al-9.4W-1.1Mo-0.04B</t>
  </si>
  <si>
    <t>Co-8.2Al-9.6W-1.5Ta-1.8Mo</t>
  </si>
  <si>
    <t>8W-2Ta-2Mo</t>
  </si>
  <si>
    <t>Bauer, A., Neumeier, S., Pyczak, F., Singer, R. F., &amp; Göken, M. (2012). Creep properties of different γ’-strengthened Co-base superalloys. Materials Science and Engineering A, 550, 333–341. https://doi.org/10.1016/j.msea.2012.04.094</t>
  </si>
  <si>
    <t>-1.5Ta</t>
  </si>
  <si>
    <t>8W-2Ta-2MoBauer, A., Neumeier, S., Pyczak, F., Singer, R. F., &amp; Göken, M. (2012). Creep properties of different γ’-strengthened Co-base superalloys. Materials Science and Engineering A, 550, 333–341. https://doi.org/10.1016/j.msea.2012.04.094</t>
  </si>
  <si>
    <t>78.9Co-8.2Al-9.6W-1.5Ta-1.8Mo</t>
  </si>
  <si>
    <t>-8.2Al-9.6W-1.5Ta-1.8Mo</t>
  </si>
  <si>
    <t>Co-8.4Al-10.1W-0.5Si</t>
  </si>
  <si>
    <t>-8Al-10W-Si</t>
  </si>
  <si>
    <t>10W-0.5Si</t>
  </si>
  <si>
    <t>Bauer, A., Neumeier, S., Pyczak, F., Singer, R. F., &amp; Göken, M. (2012). Creep properties of different γ’-strengthened Co-base superalloys. Materials Science and Engineering A, 550, 333–341. https://doi.org/10.1016/j.msea.2012.04.095</t>
  </si>
  <si>
    <t>Si below EDS detection limit</t>
  </si>
  <si>
    <t>-10.1W</t>
  </si>
  <si>
    <t>-0.5Si</t>
  </si>
  <si>
    <t>10W-0.5SiBauer, A., Neumeier, S., Pyczak, F., Singer, R. F., &amp; Göken, M. (2012). Creep properties of different γ’-strengthened Co-base superalloys. Materials Science and Engineering A, 550, 333–341. https://doi.org/10.1016/j.msea.2012.04.095</t>
  </si>
  <si>
    <t>81.0Co-8.4Al-10.1W-0.5Si</t>
  </si>
  <si>
    <t>-8.4Al-10.1W-0.5Si</t>
  </si>
  <si>
    <t>Co-8.7Al-10.3W-2.Si</t>
  </si>
  <si>
    <t>-9Al-10W-Si</t>
  </si>
  <si>
    <t>10W-2Si</t>
  </si>
  <si>
    <t>Bauer, A., Neumeier, S., Pyczak, F., Singer, R. F., &amp; Göken, M. (2012). Creep properties of different γ’-strengthened Co-base superalloys. Materials Science and Engineering A, 550, 333–341. https://doi.org/10.1016/j.msea.2012.04.096</t>
  </si>
  <si>
    <t>-2.Si</t>
  </si>
  <si>
    <t>10W-2SiBauer, A., Neumeier, S., Pyczak, F., Singer, R. F., &amp; Göken, M. (2012). Creep properties of different γ’-strengthened Co-base superalloys. Materials Science and Engineering A, 550, 333–341. https://doi.org/10.1016/j.msea.2012.04.096</t>
  </si>
  <si>
    <t>79.0Co-8.7Al-10.3W-2.0Si</t>
  </si>
  <si>
    <t>-8.7Al-10.3W-2.Si</t>
  </si>
  <si>
    <t>Co-7.6Al-9.2W-2.1Ti-1.9Ta</t>
  </si>
  <si>
    <t>-8Al-9W-2Ti-2Ta</t>
  </si>
  <si>
    <t>8W-2Ta-2Ti</t>
  </si>
  <si>
    <t>Bauer, A., Neumeier, S., Pyczak, F., Singer, R. F., &amp; Göken, M. (2012). Creep properties of different γ’-strengthened Co-base superalloys. Materials Science and Engineering A, 550, 333–341. https://doi.org/10.1016/j.msea.2012.04.098</t>
  </si>
  <si>
    <t>-2.1Ti</t>
  </si>
  <si>
    <t>8W-2Ta-2TiBauer, A., Neumeier, S., Pyczak, F., Singer, R. F., &amp; Göken, M. (2012). Creep properties of different γ’-strengthened Co-base superalloys. Materials Science and Engineering A, 550, 333–341. https://doi.org/10.1016/j.msea.2012.04.098</t>
  </si>
  <si>
    <t>79.2Co-7.6Al-9.2W-2.1Ti-1.9Ta</t>
  </si>
  <si>
    <t>-7.6Al-9.2W-1.9Ta-2.1Ti</t>
  </si>
  <si>
    <t>Co-7.9Al-9.1W-2.1Ti-0.04B</t>
  </si>
  <si>
    <t>-8Al-9W-2Ti-B</t>
  </si>
  <si>
    <t>9W-2Ti-0.04B</t>
  </si>
  <si>
    <t>Bauer, A., Neumeier, S., Pyczak, F., Singer, R. F., &amp; Göken, M. (2012). Creep properties of different γ’-strengthened Co-base superalloys. Materials Science and Engineering A, 550, 333–341. https://doi.org/10.1016/j.msea.2012.04.099</t>
  </si>
  <si>
    <t>-7.9Al</t>
  </si>
  <si>
    <t>-9.1W</t>
  </si>
  <si>
    <t>9W-2Ti-0.04BBauer, A., Neumeier, S., Pyczak, F., Singer, R. F., &amp; Göken, M. (2012). Creep properties of different γ’-strengthened Co-base superalloys. Materials Science and Engineering A, 550, 333–341. https://doi.org/10.1016/j.msea.2012.04.099</t>
  </si>
  <si>
    <t>80.9Co-7.9Al-9.1W-2.1Ti-0.04B</t>
  </si>
  <si>
    <t>-7.9Al-9.1W-2.1Ti-0.04B</t>
  </si>
  <si>
    <t>Co-8.4Al-9.6W-2.2Ti-0.12B</t>
  </si>
  <si>
    <t>-8Al-10W-2Ti-B</t>
  </si>
  <si>
    <t>9W-2Ti-0.12B</t>
  </si>
  <si>
    <t>Bauer, A., Neumeier, S., Pyczak, F., Singer, R. F., &amp; Göken, M. (2012). Creep properties of different γ’-strengthened Co-base superalloys. Materials Science and Engineering A, 550, 333–341. https://doi.org/10.1016/j.msea.2012.04.100</t>
  </si>
  <si>
    <t>9W-2Ti-0.12BBauer, A., Neumeier, S., Pyczak, F., Singer, R. F., &amp; Göken, M. (2012). Creep properties of different γ’-strengthened Co-base superalloys. Materials Science and Engineering A, 550, 333–341. https://doi.org/10.1016/j.msea.2012.04.100</t>
  </si>
  <si>
    <t>79.7Co-8.4Al-9.6W-2.2Ti-0.12B</t>
  </si>
  <si>
    <t>-8.4Al-9.6W-2.2Ti-0.12B</t>
  </si>
  <si>
    <t>Co-8.Al-9.3W-2.1V-0.04B</t>
  </si>
  <si>
    <t>-8Al-9W-2V-B</t>
  </si>
  <si>
    <t>9W-2V-0.04B</t>
  </si>
  <si>
    <t>Bauer, A., Neumeier, S., Pyczak, F., Singer, R. F., &amp; Göken, M. (2012). Creep properties of different γ’-strengthened Co-base superalloys. Materials Science and Engineering A, 550, 333–341. https://doi.org/10.1016/j.msea.2012.04.101</t>
  </si>
  <si>
    <t>9W-2V-0.04BBauer, A., Neumeier, S., Pyczak, F., Singer, R. F., &amp; Göken, M. (2012). Creep properties of different γ’-strengthened Co-base superalloys. Materials Science and Engineering A, 550, 333–341. https://doi.org/10.1016/j.msea.2012.04.101</t>
  </si>
  <si>
    <t>80.6Co-8.0Al-9.3W-2.1V-0.04B</t>
  </si>
  <si>
    <t>-8.Al-9.3W-2.1V-0.04B</t>
  </si>
  <si>
    <t>Co-8.1Al-2.Cr-9.4W-0.04B</t>
  </si>
  <si>
    <t>-8Al-2Cr-9W-B</t>
  </si>
  <si>
    <t>9W-2Cr-0.04B</t>
  </si>
  <si>
    <t>Bauer, A., Neumeier, S., Pyczak, F., Singer, R. F., &amp; Göken, M. (2012). Creep properties of different γ’-strengthened Co-base superalloys. Materials Science and Engineering A, 550, 333–341. https://doi.org/10.1016/j.msea.2012.04.102</t>
  </si>
  <si>
    <t>-2.Cr</t>
  </si>
  <si>
    <t>9W-2Cr-0.04BBauer, A., Neumeier, S., Pyczak, F., Singer, R. F., &amp; Göken, M. (2012). Creep properties of different γ’-strengthened Co-base superalloys. Materials Science and Engineering A, 550, 333–341. https://doi.org/10.1016/j.msea.2012.04.102</t>
  </si>
  <si>
    <t>80.5Co-8.1Al-2.0Cr-9.4W-0.04B</t>
  </si>
  <si>
    <t>-8.1Al-2.Cr-9.4W-0.04B</t>
  </si>
  <si>
    <t>Co-8.8Al-4.W-0.5Ta</t>
  </si>
  <si>
    <t>-9Al-4W-1Ta</t>
  </si>
  <si>
    <t>Master Alloy A</t>
  </si>
  <si>
    <t>Bezold, A. et al. On the Precipitation-Strengthening Contribution of the Ta-Containing Co3(Al,W)-Phase to the Creep Properties of γ/γ′ Cobalt-Base Superalloys. Metall. Mater. Trans. A Phys. Metall. Mater. Sci. 51, 1567–1574 (2020).</t>
  </si>
  <si>
    <t>Composition estimates because paper does not explicitly say</t>
  </si>
  <si>
    <t>-4.W</t>
  </si>
  <si>
    <t>-0.5Ta</t>
  </si>
  <si>
    <t>Master Alloy ABezold, A. et al. On the Precipitation-Strengthening Contribution of the Ta-Containing Co3(Al,W)-Phase to the Creep Properties of γ/γ′ Cobalt-Base Superalloys. Metall. Mater. Trans. A Phys. Metall. Mater. Sci. 51, 1567–1574 (2020).</t>
  </si>
  <si>
    <t>86.7Co-8.8Al-4.0W-0.5Ta</t>
  </si>
  <si>
    <t>-8.8Al-4.W-0.5Ta</t>
  </si>
  <si>
    <t>Co-8.8Al-5.8W-1.Ta</t>
  </si>
  <si>
    <t>-9Al-6W-1Ta</t>
  </si>
  <si>
    <t>VF20</t>
  </si>
  <si>
    <t>-5.8W</t>
  </si>
  <si>
    <t>-1.Ta</t>
  </si>
  <si>
    <t>VF20Bezold, A. et al. On the Precipitation-Strengthening Contribution of the Ta-Containing Co3(Al,W)-Phase to the Creep Properties of γ/γ′ Cobalt-Base Superalloys. Metall. Mater. Trans. A Phys. Metall. Mater. Sci. 51, 1567–1574 (2020).</t>
  </si>
  <si>
    <t>84.5Co-8.8Al-5.8W-1.0Ta</t>
  </si>
  <si>
    <t>-8.8Al-5.8W-1.Ta</t>
  </si>
  <si>
    <t>Co-8.7Al-7.8W-1.5Ta</t>
  </si>
  <si>
    <t>-9Al-8W-1Ta</t>
  </si>
  <si>
    <t>VF40</t>
  </si>
  <si>
    <t>-7.8W</t>
  </si>
  <si>
    <t>VF40Bezold, A. et al. On the Precipitation-Strengthening Contribution of the Ta-Containing Co3(Al,W)-Phase to the Creep Properties of γ/γ′ Cobalt-Base Superalloys. Metall. Mater. Trans. A Phys. Metall. Mater. Sci. 51, 1567–1574 (2020).</t>
  </si>
  <si>
    <t>82.0Co-8.7Al-7.8W-1.5Ta</t>
  </si>
  <si>
    <t>-8.7Al-7.8W-1.5Ta</t>
  </si>
  <si>
    <t>Co-8.6Al-9.2W-1.9Ta</t>
  </si>
  <si>
    <t>-9Al-9W-2Ta</t>
  </si>
  <si>
    <t>VF60</t>
  </si>
  <si>
    <t>VF60Bezold, A. et al. On the Precipitation-Strengthening Contribution of the Ta-Containing Co3(Al,W)-Phase to the Creep Properties of γ/γ′ Cobalt-Base Superalloys. Metall. Mater. Trans. A Phys. Metall. Mater. Sci. 51, 1567–1574 (2020).</t>
  </si>
  <si>
    <t>80.3Co-8.6Al-9.2W-1.9Ta</t>
  </si>
  <si>
    <t>-8.6Al-9.2W-1.9Ta</t>
  </si>
  <si>
    <t>Co-9.Al-12.3W-3.5Ta</t>
  </si>
  <si>
    <t>-9Al-12W-4Ta</t>
  </si>
  <si>
    <t>Master Alloy B</t>
  </si>
  <si>
    <t>-12.3W</t>
  </si>
  <si>
    <t>-3.5Ta</t>
  </si>
  <si>
    <t>Master Alloy BBezold, A. et al. On the Precipitation-Strengthening Contribution of the Ta-Containing Co3(Al,W)-Phase to the Creep Properties of γ/γ′ Cobalt-Base Superalloys. Metall. Mater. Trans. A Phys. Metall. Mater. Sci. 51, 1567–1574 (2020).</t>
  </si>
  <si>
    <t>75.2Co-9.0Al-12.3W-3.5Ta</t>
  </si>
  <si>
    <t>-9.Al-12.3W-3.5Ta</t>
  </si>
  <si>
    <t>Co-10.1Ni-5.2Al-6.7W-6.4Ti</t>
  </si>
  <si>
    <t>-10Ni-5Al-7W-6Ti</t>
  </si>
  <si>
    <t>10Ni-6Al-6W-6Ti</t>
  </si>
  <si>
    <t>Bocchini, P. J. (2015). Microstructure and Mechanical Properties in Gamma(face-centered cubic) + Gamma Prime(L1 2 ) Precipitation-Strengthened Cobalt-based Superalloys.</t>
  </si>
  <si>
    <t>-5.2Al</t>
  </si>
  <si>
    <t>-10.1Ni</t>
  </si>
  <si>
    <t>-6.4Ti</t>
  </si>
  <si>
    <t>10Ni-6Al-6W-6TiBocchini, P. J. (2015). Microstructure and Mechanical Properties in Gamma(face-centered cubic) + Gamma Prime(L1 2 ) Precipitation-Strengthened Cobalt-based Superalloys.</t>
  </si>
  <si>
    <t>81.7Co-10.1Ni-5.2Al-6.7W-6.4Ti</t>
  </si>
  <si>
    <t>-5.2Al-6.7W-10.1Ni-6.4Ti</t>
  </si>
  <si>
    <t>Co-8.9Al-7.3W</t>
  </si>
  <si>
    <t>-9Al-7W</t>
  </si>
  <si>
    <t>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t>
  </si>
  <si>
    <t>-7.3W</t>
  </si>
  <si>
    <t>Co-8.9Al-7.3WBocchini,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t>
  </si>
  <si>
    <t>83.8Co-8.9Al-7.3W</t>
  </si>
  <si>
    <t>-8.9Al-7.3W</t>
  </si>
  <si>
    <t>Co-10.Ni-4.5Al-5.2W-7.8Ti</t>
  </si>
  <si>
    <t>Co3Ti</t>
  </si>
  <si>
    <t>-10Ni-5Al-5W-8Ti</t>
  </si>
  <si>
    <t>10Ni-5Al-5W-8Ti</t>
  </si>
  <si>
    <t>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</si>
  <si>
    <t>-4.5Al</t>
  </si>
  <si>
    <t>-5.2W</t>
  </si>
  <si>
    <t>-10.Ni</t>
  </si>
  <si>
    <t>-7.8Ti</t>
  </si>
  <si>
    <t>10Ni-5Al-5W-8TiBocchini,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</si>
  <si>
    <t>82.5Co-10.0Ni-4.5Al-5.2W-7.8Ti</t>
  </si>
  <si>
    <t>-4.5Al-5.2W-10.Ni-7.8Ti</t>
  </si>
  <si>
    <t>Co-10.2Ni-5.4Al-6.1W-5.9Ti</t>
  </si>
  <si>
    <t>-10Ni-5Al-6W-6Ti</t>
  </si>
  <si>
    <t>-5.4Al</t>
  </si>
  <si>
    <t>-6.1W</t>
  </si>
  <si>
    <t>-10.2Ni</t>
  </si>
  <si>
    <t>-5.9Ti</t>
  </si>
  <si>
    <t>10Ni-6Al-6W-6TiBocchini,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</si>
  <si>
    <t>82.6Co-10.2Ni-5.4Al-6.1W-5.9Ti</t>
  </si>
  <si>
    <t>-5.4Al-6.1W-10.2Ni-5.9Ti</t>
  </si>
  <si>
    <t>Co-10.3Ni-6.3Al-7.W-4.1Ti</t>
  </si>
  <si>
    <t>-10Ni-6Al-7W-4Ti</t>
  </si>
  <si>
    <t>10Ni-7Al-7W-4Ti</t>
  </si>
  <si>
    <t>-6.3Al</t>
  </si>
  <si>
    <t>-7.W</t>
  </si>
  <si>
    <t>-10.3Ni</t>
  </si>
  <si>
    <t>-4.1Ti</t>
  </si>
  <si>
    <t>10Ni-7Al-7W-4TiBocchini,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</si>
  <si>
    <t>82.6Co-10.3Ni-6.3Al-7.0W-4.1Ti</t>
  </si>
  <si>
    <t>-6.3Al-7.W-10.3Ni-4.1Ti</t>
  </si>
  <si>
    <t>Co-10.2Ni-7.3Al-8.W-2.2Ti</t>
  </si>
  <si>
    <t>-10Ni-7Al-8W-2Ti</t>
  </si>
  <si>
    <t>10Ni-8Al-8W-2Ti</t>
  </si>
  <si>
    <t>-7.3Al</t>
  </si>
  <si>
    <t>-8.W</t>
  </si>
  <si>
    <t>10Ni-8Al-8W-2TiBocchini,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t>
  </si>
  <si>
    <t>82.5Co-10.2Ni-7.3Al-8.0W-2.2Ti</t>
  </si>
  <si>
    <t>-7.3Al-8.W-10.2Ni-2.2Ti</t>
  </si>
  <si>
    <t>Co-10.2Ni-8.1Al-8.9W-0.Ti</t>
  </si>
  <si>
    <t>-10Ni-8Al-9W-0Ti</t>
  </si>
  <si>
    <t>10Ni-9Al-9W-0Ti</t>
  </si>
  <si>
    <t>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t>
  </si>
  <si>
    <t>-8.9W</t>
  </si>
  <si>
    <t>-0.Ti</t>
  </si>
  <si>
    <t>10Ni-9Al-9W-0TiBocchini,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t>
  </si>
  <si>
    <t>83.0Co-10.2Ni-8.1Al-8.9W-0.0Ti</t>
  </si>
  <si>
    <t>-8.1Al-8.9W-10.2Ni-0.Ti</t>
  </si>
  <si>
    <t>Co-9.5Al-7.5W</t>
  </si>
  <si>
    <t>-9Al-7W-B</t>
  </si>
  <si>
    <t>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</si>
  <si>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Co-9.5Al-7.5WBocchini,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</si>
  <si>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83.0Co-9.5Al-7.5W-0.04B</t>
  </si>
  <si>
    <t>-9.5Al-7.5W</t>
  </si>
  <si>
    <t>Co-9.6Al-7.5W-0.04B</t>
  </si>
  <si>
    <t>-10Al-8W-B</t>
  </si>
  <si>
    <t>Co-9.5Al-7.5W-0.05B</t>
  </si>
  <si>
    <t>Co-9.5Al-7.5W-0.05BBocchini,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</si>
  <si>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82.9Co-9.6Al-7.5W-0.04B</t>
  </si>
  <si>
    <t>-9.6Al-7.5W-0.04B</t>
  </si>
  <si>
    <t>Co-9.9Al-7.6W-0.01B</t>
  </si>
  <si>
    <t>Co-9.5Al-7.5W-0.01B</t>
  </si>
  <si>
    <t>-9.9Al</t>
  </si>
  <si>
    <t>-7.6W</t>
  </si>
  <si>
    <t>-0.01B</t>
  </si>
  <si>
    <t>Co-9.5Al-7.5W-0.01BBocchini,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</si>
  <si>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82.5Co-9.9Al-7.6W-0.0Ir-0.01B</t>
  </si>
  <si>
    <t>-9.9Al-7.6W-0.01B</t>
  </si>
  <si>
    <t>Co-9.6Al-7.4W-0.04Zr</t>
  </si>
  <si>
    <t>-10Al-7W-Zr</t>
  </si>
  <si>
    <t>Co-9.5Al-7.5W-0.05Zr</t>
  </si>
  <si>
    <t>-7.4W</t>
  </si>
  <si>
    <t>Co-9.5Al-7.5W-0.05ZrBocchini,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</si>
  <si>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83.0Co-9.6Al-7.4W-0.04Zr</t>
  </si>
  <si>
    <t>-9.6Al-7.4W-0.04Zr</t>
  </si>
  <si>
    <t>Co-9.5Al-7.7W-0.03Zr-0.01B</t>
  </si>
  <si>
    <t>-10Al-8W-Zr-B</t>
  </si>
  <si>
    <t>Co-9.5Al-7.5W-0.05B-0.05Zr</t>
  </si>
  <si>
    <t>-0.03Zr</t>
  </si>
  <si>
    <t>Co-9.5Al-7.5W-0.05B-0.05ZrBocchini,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t>
  </si>
  <si>
    <t>82.8Co-9.5Al-7.7W-0.03Zr-0.01B</t>
  </si>
  <si>
    <t>-9.5Al-7.7W-0.03Zr-0.01B</t>
  </si>
  <si>
    <t>Co-10.Ni-5.8Al-6.2Ti</t>
  </si>
  <si>
    <t>-10Ni-6Al-6Ti</t>
  </si>
  <si>
    <t>10Ni-6Al-0W-6Ti</t>
  </si>
  <si>
    <t>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t>
  </si>
  <si>
    <t>-5.8Al</t>
  </si>
  <si>
    <t>-6.2Ti</t>
  </si>
  <si>
    <t>10Ni-6Al-0W-6TiBocchini,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t>
  </si>
  <si>
    <t>88.0Co-10.0Ni-5.8Al-6.2Ti</t>
  </si>
  <si>
    <t>-5.8Al-10.Ni-6.2Ti</t>
  </si>
  <si>
    <t>Co-10.1Ni-5.7Al-3.9W-6.2Ti</t>
  </si>
  <si>
    <t>-10Ni-6Al-4W-6Ti</t>
  </si>
  <si>
    <t>10Ni-6Al-4W-6Ti</t>
  </si>
  <si>
    <t>-5.7Al</t>
  </si>
  <si>
    <t>-3.9W</t>
  </si>
  <si>
    <t>10Ni-6Al-4W-6TiBocchini,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t>
  </si>
  <si>
    <t>84.2Co-10.1Ni-5.7Al-3.9W-6.2Ti</t>
  </si>
  <si>
    <t>-5.7Al-3.9W-10.1Ni-6.2Ti</t>
  </si>
  <si>
    <t>Co-10.Ni-5.9Al-2.W-6.1Ti</t>
  </si>
  <si>
    <t>-10Ni-6Al-2W-6Ti</t>
  </si>
  <si>
    <t>10Ni-6Al-2W-6Ti</t>
  </si>
  <si>
    <t>-5.9Al</t>
  </si>
  <si>
    <t>-6.1Ti</t>
  </si>
  <si>
    <t>10Ni-6Al-2W-6TiBocchini,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t>
  </si>
  <si>
    <t>86.0Co-10.0Ni-5.9Al-2.0W-6.1Ti</t>
  </si>
  <si>
    <t>-5.9Al-2.W-10.Ni-6.1Ti</t>
  </si>
  <si>
    <t>Co-3.9Ni-31.Fe-4.9Al-7.8Cr-8.7W</t>
  </si>
  <si>
    <t>-4Ni-31Fe-5Al-8Cr-9W</t>
  </si>
  <si>
    <t>Co-8Al-12.5W-SS</t>
  </si>
  <si>
    <t>Cartón-Cordero, M., Srinivasarao, B., Campos, M., García-Junceda, A., &amp; Torralba, J. M. (2016). On the role of processing parameters in sintered new Co-based (W,Al) alloys. Journal of Alloys and Compounds, 674, 406–412. https://doi.org/10.1016/j.jallcom.2016.03.077</t>
  </si>
  <si>
    <t>mechanical alloying--Stainless steel. Carbides, no g'</t>
  </si>
  <si>
    <t>-4.9Al</t>
  </si>
  <si>
    <t>-8.7W</t>
  </si>
  <si>
    <t>-3.9Ni</t>
  </si>
  <si>
    <t>-7.8Cr</t>
  </si>
  <si>
    <t>-31.Fe</t>
  </si>
  <si>
    <t>Co-8Al-12.5W-SSCartón-Cordero, M., Srinivasarao, B., Campos, M., García-Junceda, A., &amp; Torralba, J. M. (2016). On the role of processing parameters in sintered new Co-based (W,Al) alloys. Journal of Alloys and Compounds, 674, 406–412. https://doi.org/10.1016/j.jallcom.2016.03.077</t>
  </si>
  <si>
    <t>47.6Co-3.9Ni-31.0Fe-4.9Al-7.8Cr-8.7W</t>
  </si>
  <si>
    <t>-4.9Al-7.8Cr-8.7W-3.9Ni-31.Fe</t>
  </si>
  <si>
    <t>Co-43.Al-5.8W</t>
  </si>
  <si>
    <t>-43Al-6W</t>
  </si>
  <si>
    <t>Co-8Al-12.5W-HM</t>
  </si>
  <si>
    <t>mechanical alloying--CoWC hard metal, Carbides, no g'</t>
  </si>
  <si>
    <t>-43.Al</t>
  </si>
  <si>
    <t>Co-8Al-12.5W-HMCartón-Cordero, M., Srinivasarao, B., Campos, M., García-Junceda, A., &amp; Torralba, J. M. (2016). On the role of processing parameters in sintered new Co-based (W,Al) alloys. Journal of Alloys and Compounds, 674, 406–412. https://doi.org/10.1016/j.jallcom.2016.03.077</t>
  </si>
  <si>
    <t>51.2Co-43.0Al-5.8W</t>
  </si>
  <si>
    <t>-43.Al-5.8W</t>
  </si>
  <si>
    <t>Co-9.Al-9.W</t>
  </si>
  <si>
    <t>-9Al-9W</t>
  </si>
  <si>
    <t>Co-9Al-9W:AS</t>
  </si>
  <si>
    <t>Cartón-Cordero, M. et al. Microstructure and compression strength of Co-based superalloys hardened by γ′ and carbide precipitation. Mater. Sci. Eng. A 734, 437–444 (2018).</t>
  </si>
  <si>
    <t>mechnical alloying (powder metallurgy), as sintered</t>
  </si>
  <si>
    <t>Co-9Al-9W:ASCartón-Cordero, M. et al. Microstructure and compression strength of Co-based superalloys hardened by γ′ and carbide precipitation. Mater. Sci. Eng. A 734, 437–444 (2018).</t>
  </si>
  <si>
    <t>82.0Co-9.0Al-9.0W</t>
  </si>
  <si>
    <t>-9.Al-9.W</t>
  </si>
  <si>
    <t>Co-9Al-9W:HT</t>
  </si>
  <si>
    <t>mechnical alloying (powder metallurgy), aged 900C for 24 hr</t>
  </si>
  <si>
    <t>Co-9Al-9W:HTCartón-Cordero, M. et al. Microstructure and compression strength of Co-based superalloys hardened by γ′ and carbide precipitation. Mater. Sci. Eng. A 734, 437–444 (2018).</t>
  </si>
  <si>
    <t>Co-11.7Al-14.W-0.5Ti-0.4Ta</t>
  </si>
  <si>
    <t>-12Al-14W-0Ti-0Ta</t>
  </si>
  <si>
    <t>Co-2T/Ta-quinary</t>
  </si>
  <si>
    <t>Casas, R., Gálvez, F., &amp; Campos, M. (2018). Microstructural development of powder metallurgy cobalt-based superalloys processed by field assisted sintering techniques (FAST). Materials Science and Engineering A, 724, 461–468. https://doi.org/10.1016/j.msea.2018.04.005</t>
  </si>
  <si>
    <t>mechanical alloyed powder and field-assisted sinterin</t>
  </si>
  <si>
    <t>-11.7Al</t>
  </si>
  <si>
    <t>-14.W</t>
  </si>
  <si>
    <t>-0.4Ta</t>
  </si>
  <si>
    <t>-0.5Ti</t>
  </si>
  <si>
    <t>Co-2T/Ta-quinaryCasas, R., Gálvez, F., &amp; Campos, M. (2018). Microstructural development of powder metallurgy cobalt-based superalloys processed by field assisted sintering techniques (FAST). Materials Science and Engineering A, 724, 461–468. https://doi.org/10.1016/j.msea.2018.04.005</t>
  </si>
  <si>
    <t>73.4Co-11.7Al-14.0W-0.5Ti-0.4Ta</t>
  </si>
  <si>
    <t>-11.7Al-14.W-0.4Ta-0.5Ti</t>
  </si>
  <si>
    <t>Co-8.4Al-12.1W</t>
  </si>
  <si>
    <t>-8Al-12W</t>
  </si>
  <si>
    <t>CoAlW-ternary</t>
  </si>
  <si>
    <t>Casas, R., Gálvez, F., &amp; Campos, M. (2018). Microstructural development of powder metallurgy cobalt-based superalloys processed by field assisted sintering techniques (FAST). Materials Science and Engineering A, 724, 461–468. https://doi.org/10.1016/j.msea.2018.04.004</t>
  </si>
  <si>
    <t>-12.1W</t>
  </si>
  <si>
    <t>CoAlW-ternaryCasas, R., Gálvez, F., &amp; Campos, M. (2018). Microstructural development of powder metallurgy cobalt-based superalloys processed by field assisted sintering techniques (FAST). Materials Science and Engineering A, 724, 461–468. https://doi.org/10.1016/j.msea.2018.04.004</t>
  </si>
  <si>
    <t>79.6Co-8.4Al-12.1W</t>
  </si>
  <si>
    <t>-8.4Al-12.1W</t>
  </si>
  <si>
    <t>Co-15.Ni-9.Al-10.W</t>
  </si>
  <si>
    <t>-15Ni-9Al-10W</t>
  </si>
  <si>
    <t>Co-9Al-10W-15Ni</t>
  </si>
  <si>
    <t>Che, C., Yang, S., Wei, M., Zhang, L., Li, Q., Gao, J., &amp; Du, Y. (2017). Microstructure, hardness and interfacial energy in Co-9Al-10W-Xni (X=15, 25, 35 At. %) alloys during aging. Journal of Mining and Metallurgy, Section B: Metallurgy, 53(3), 303–308. https://doi.org/10.2298/JMMB170531021C</t>
  </si>
  <si>
    <t>composition not measured</t>
  </si>
  <si>
    <t>-10.W</t>
  </si>
  <si>
    <t>-15.Ni</t>
  </si>
  <si>
    <t>Co-9Al-10W-15NiChe, C., Yang, S., Wei, M., Zhang, L., Li, Q., Gao, J., &amp; Du, Y. (2017). Microstructure, hardness and interfacial energy in Co-9Al-10W-Xni (X=15, 25, 35 At. %) alloys during aging. Journal of Mining and Metallurgy, Section B: Metallurgy, 53(3), 303–308. https://doi.org/10.2298/JMMB170531021C</t>
  </si>
  <si>
    <t>81.0Co-15.0Ni-9.0Al-10.0W</t>
  </si>
  <si>
    <t>-9.Al-10.W-15.Ni</t>
  </si>
  <si>
    <t>Co-25.Ni-9.Al-10.W</t>
  </si>
  <si>
    <t>-25Ni-9Al-10W</t>
  </si>
  <si>
    <t>Co-9Al-10W-25Ni</t>
  </si>
  <si>
    <t>-25.Ni</t>
  </si>
  <si>
    <t>Co-9Al-10W-25NiChe, C., Yang, S., Wei, M., Zhang, L., Li, Q., Gao, J., &amp; Du, Y. (2017). Microstructure, hardness and interfacial energy in Co-9Al-10W-Xni (X=15, 25, 35 At. %) alloys during aging. Journal of Mining and Metallurgy, Section B: Metallurgy, 53(3), 303–308. https://doi.org/10.2298/JMMB170531021C</t>
  </si>
  <si>
    <t>81.0Co-25.0Ni-9.0Al-10.0W</t>
  </si>
  <si>
    <t>-9.Al-10.W-25.Ni</t>
  </si>
  <si>
    <t>Co-35.Ni-9.Al-10.W</t>
  </si>
  <si>
    <t>-35Ni-9Al-10W</t>
  </si>
  <si>
    <t>Co-9Al-10W-35Ni</t>
  </si>
  <si>
    <t>-35.Ni</t>
  </si>
  <si>
    <t>Co-9Al-10W-35NiChe, C., Yang, S., Wei, M., Zhang, L., Li, Q., Gao, J., &amp; Du, Y. (2017). Microstructure, hardness and interfacial energy in Co-9Al-10W-Xni (X=15, 25, 35 At. %) alloys during aging. Journal of Mining and Metallurgy, Section B: Metallurgy, 53(3), 303–308. https://doi.org/10.2298/JMMB170531021C</t>
  </si>
  <si>
    <t>81.0Co-35.0Ni-9.0Al-10.0W</t>
  </si>
  <si>
    <t>-9.Al-10.W-35.Ni</t>
  </si>
  <si>
    <t>Co-0.Ni-9.Al-8.W</t>
  </si>
  <si>
    <t>-0Ni-9Al-8W</t>
  </si>
  <si>
    <t>CoAlW</t>
  </si>
  <si>
    <t>Chen, C. L., &amp; Suprianto. (2019). Influence of Ta and Y2O3 on synthesis, phase evolution and mechanical properties of Co-Al-W based alloys. Journal of Alloys and Compounds, 791, 567–574. https://doi.org/10.1016/j.jallcom.2019.03.262</t>
  </si>
  <si>
    <t>mechanical alloying, ODS,composition not measured, at% calculation does not agree with paper's at % calculatio</t>
  </si>
  <si>
    <t>-0.Ni</t>
  </si>
  <si>
    <t>CoAlWChen, C. L., &amp; Suprianto. (2019). Influence of Ta and Y2O3 on synthesis, phase evolution and mechanical properties of Co-Al-W based alloys. Journal of Alloys and Compounds, 791, 567–574. https://doi.org/10.1016/j.jallcom.2019.03.262</t>
  </si>
  <si>
    <t>83.0Co-0.0Ni-9.0Al-8.0W</t>
  </si>
  <si>
    <t>-9.Al-8.W-0.Ni</t>
  </si>
  <si>
    <t>Co-2.Ni-9.Al-8.W</t>
  </si>
  <si>
    <t>-2Ni-9Al-8W</t>
  </si>
  <si>
    <t>CoAlW-Ta</t>
  </si>
  <si>
    <t>Chen, C. L., &amp; Suprianto. (2019). Influence of Ta and Y2O3 on synthesis, phase evolution and mechanical properties of Co-Al-W based alloys. Journal of Alloys and Compounds, 791, 567–574. https://doi.org/10.1016/j.jallcom.2019.03.263</t>
  </si>
  <si>
    <t>-2.Ni</t>
  </si>
  <si>
    <t>CoAlW-TaChen, C. L., &amp; Suprianto. (2019). Influence of Ta and Y2O3 on synthesis, phase evolution and mechanical properties of Co-Al-W based alloys. Journal of Alloys and Compounds, 791, 567–574. https://doi.org/10.1016/j.jallcom.2019.03.263</t>
  </si>
  <si>
    <t>83.0Co-2.0Ni-9.0Al-8.0W</t>
  </si>
  <si>
    <t>-9.Al-8.W-2.Ni</t>
  </si>
  <si>
    <t>Co-9.2Al-8.1W-0.7Y</t>
  </si>
  <si>
    <t>-9Al-8W-Y</t>
  </si>
  <si>
    <t>CoAlW-YO</t>
  </si>
  <si>
    <t>Chen, C. L., &amp; Suprianto. (2019). Influence of Ta and Y2O3 on synthesis, phase evolution and mechanical properties of Co-Al-W based alloys. Journal of Alloys and Compounds, 791, 567–574. https://doi.org/10.1016/j.jallcom.2019.03.264</t>
  </si>
  <si>
    <t>-9.2Al</t>
  </si>
  <si>
    <t>-8.1W</t>
  </si>
  <si>
    <t>-0.7Y</t>
  </si>
  <si>
    <t>CoAlW-YOChen, C. L., &amp; Suprianto. (2019). Influence of Ta and Y2O3 on synthesis, phase evolution and mechanical properties of Co-Al-W based alloys. Journal of Alloys and Compounds, 791, 567–574. https://doi.org/10.1016/j.jallcom.2019.03.264</t>
  </si>
  <si>
    <t>82.0Co-9.2Al-8.1W-0.7Y</t>
  </si>
  <si>
    <t>-9.2Al-0.7Y-8.1W</t>
  </si>
  <si>
    <t>Co-9.Al-8.1W-2.Ta-0.7Y</t>
  </si>
  <si>
    <t>-9Al-8W-2Ta-Y</t>
  </si>
  <si>
    <t>CoAlW-Ta-YO</t>
  </si>
  <si>
    <t>Chen, C. L., &amp; Suprianto. (2019). Influence of Ta and Y2O3 on synthesis, phase evolution and mechanical properties of Co-Al-W based alloys. Journal of Alloys and Compounds, 791, 567–574. https://doi.org/10.1016/j.jallcom.2019.03.265</t>
  </si>
  <si>
    <t>CoAlW-Ta-YOChen, C. L., &amp; Suprianto. (2019). Influence of Ta and Y2O3 on synthesis, phase evolution and mechanical properties of Co-Al-W based alloys. Journal of Alloys and Compounds, 791, 567–574. https://doi.org/10.1016/j.jallcom.2019.03.265</t>
  </si>
  <si>
    <t>80.2Co-9.0Al-8.1W-2.0Ta-0.7Y</t>
  </si>
  <si>
    <t>-9.Al-0.7Y-8.1W-2.Ta</t>
  </si>
  <si>
    <t>Co-5.Al-2.Ti-14.V</t>
  </si>
  <si>
    <t>-5Al-2Ti-14V</t>
  </si>
  <si>
    <t>Co-5Al-14V-2Ti</t>
  </si>
  <si>
    <t>Chen, Y., Wang, C., Ruan, J., Omori, T., Kainuma, R., Ishida, K., &amp; Liu, X. (2019). High-strength Co–Al–V-base superalloys strengthened by γ′-Co 3 (Al,V) with high solvus temperature. Acta Materialia, 170, 62–74. https://doi.org/10.1016/j.actamat.2019.03.019</t>
  </si>
  <si>
    <t>Overall composition not measured, only individual phases</t>
  </si>
  <si>
    <t>-5.Al</t>
  </si>
  <si>
    <t>-14.V</t>
  </si>
  <si>
    <t>Co-5Al-14V-2TiChen, Y., Wang, C., Ruan, J., Omori, T., Kainuma, R., Ishida, K., &amp; Liu, X. (2019). High-strength Co–Al–V-base superalloys strengthened by γ′-Co 3 (Al,V) with high solvus temperature. Acta Materialia, 170, 62–74. https://doi.org/10.1016/j.actamat.2019.03.019</t>
  </si>
  <si>
    <t>79.0Co-5.0Al-2.0Ti-14.0V</t>
  </si>
  <si>
    <t>-5.Al-14.V-2.Ti</t>
  </si>
  <si>
    <t>Co-8.Al-14.V</t>
  </si>
  <si>
    <t>-8Al-14V</t>
  </si>
  <si>
    <t>Co-8Al-14V</t>
  </si>
  <si>
    <t>Chen, Y., Wang, C., Ruan, J., Omori, T., Kainuma, R., Ishida, K., &amp; Liu, X. (2019). High-strength Co–Al–V-base superalloys strengthened by γ′-Co 3 (Al,V) with high solvus temperature. Acta Materialia, 170, 62–74. https://doi.org/10.1016/j.actamat.2019.03.013</t>
  </si>
  <si>
    <t>Co-8Al-14VChen, Y., Wang, C., Ruan, J., Omori, T., Kainuma, R., Ishida, K., &amp; Liu, X. (2019). High-strength Co–Al–V-base superalloys strengthened by γ′-Co 3 (Al,V) with high solvus temperature. Acta Materialia, 170, 62–74. https://doi.org/10.1016/j.actamat.2019.03.013</t>
  </si>
  <si>
    <t>78.0Co-8.0Al-14.0V</t>
  </si>
  <si>
    <t>-8.Al-14.V</t>
  </si>
  <si>
    <t>Co-5.Al-14.V</t>
  </si>
  <si>
    <t>-5Al-14V</t>
  </si>
  <si>
    <t>Co-5Al-14V</t>
  </si>
  <si>
    <t>Chen, Y., Wang, C., Ruan, J., Omori, T., Kainuma, R., Ishida, K., &amp; Liu, X. (2019). High-strength Co–Al–V-base superalloys strengthened by γ′-Co 3 (Al,V) with high solvus temperature. Acta Materialia, 170, 62–74. https://doi.org/10.1016/j.actamat.2019.03.014</t>
  </si>
  <si>
    <t>Co-5Al-14VChen, Y., Wang, C., Ruan, J., Omori, T., Kainuma, R., Ishida, K., &amp; Liu, X. (2019). High-strength Co–Al–V-base superalloys strengthened by γ′-Co 3 (Al,V) with high solvus temperature. Acta Materialia, 170, 62–74. https://doi.org/10.1016/j.actamat.2019.03.014</t>
  </si>
  <si>
    <t>81.0Co-5.0Al-14.0V</t>
  </si>
  <si>
    <t>-5.Al-14.V</t>
  </si>
  <si>
    <t>Co-3.Al-16.V</t>
  </si>
  <si>
    <t>-3Al-16V</t>
  </si>
  <si>
    <t>Co-3Al-16V</t>
  </si>
  <si>
    <t>Chen, Y., Wang, C., Ruan, J., Omori, T., Kainuma, R., Ishida, K., &amp; Liu, X. (2019). High-strength Co–Al–V-base superalloys strengthened by γ′-Co 3 (Al,V) with high solvus temperature. Acta Materialia, 170, 62–74. https://doi.org/10.1016/j.actamat.2019.03.015</t>
  </si>
  <si>
    <t>-3.Al</t>
  </si>
  <si>
    <t>-16.V</t>
  </si>
  <si>
    <t>Co-3Al-16VChen, Y., Wang, C., Ruan, J., Omori, T., Kainuma, R., Ishida, K., &amp; Liu, X. (2019). High-strength Co–Al–V-base superalloys strengthened by γ′-Co 3 (Al,V) with high solvus temperature. Acta Materialia, 170, 62–74. https://doi.org/10.1016/j.actamat.2019.03.015</t>
  </si>
  <si>
    <t>81.0Co-3.0Al-16.0V</t>
  </si>
  <si>
    <t>-3.Al-16.V</t>
  </si>
  <si>
    <t>Co-1.5Al-17.5V</t>
  </si>
  <si>
    <t>-2Al-18V</t>
  </si>
  <si>
    <t>3-1.5Al-17.5V</t>
  </si>
  <si>
    <t>Chen, Y., Wang, C., Ruan, J., Omori, T., Kainuma, R., Ishida, K., &amp; Liu, X. (2019). High-strength Co–Al–V-base superalloys strengthened by γ′-Co 3 (Al,V) with high solvus temperature. Acta Materialia, 170, 62–74. https://doi.org/10.1016/j.actamat.2019.03.016</t>
  </si>
  <si>
    <t>-1.5Al</t>
  </si>
  <si>
    <t>-17.5V</t>
  </si>
  <si>
    <t>3-1.5Al-17.5VChen, Y., Wang, C., Ruan, J., Omori, T., Kainuma, R., Ishida, K., &amp; Liu, X. (2019). High-strength Co–Al–V-base superalloys strengthened by γ′-Co 3 (Al,V) with high solvus temperature. Acta Materialia, 170, 62–74. https://doi.org/10.1016/j.actamat.2019.03.016</t>
  </si>
  <si>
    <t>81.0Co-1.5Al-17.5V</t>
  </si>
  <si>
    <t>-1.5Al-17.5V</t>
  </si>
  <si>
    <t>Co-0.5Al-17.5V</t>
  </si>
  <si>
    <t>-1Al-18V</t>
  </si>
  <si>
    <t>Chen, Y., Wang, C., Ruan, J., Omori, T., Kainuma, R., Ishida, K., &amp; Liu, X. (2019). High-strength Co–Al–V-base superalloys strengthened by γ′-Co 3 (Al,V) with high solvus temperature. Acta Materialia, 170, 62–74. https://doi.org/10.1016/j.actamat.2019.03.017</t>
  </si>
  <si>
    <t>-0.5Al</t>
  </si>
  <si>
    <t>Co-0.5Al-17.5VChen, Y., Wang, C., Ruan, J., Omori, T., Kainuma, R., Ishida, K., &amp; Liu, X. (2019). High-strength Co–Al–V-base superalloys strengthened by γ′-Co 3 (Al,V) with high solvus temperature. Acta Materialia, 170, 62–74. https://doi.org/10.1016/j.actamat.2019.03.017</t>
  </si>
  <si>
    <t>82.0Co-0.5Al-17.5V</t>
  </si>
  <si>
    <t>-0.5Al-17.5V</t>
  </si>
  <si>
    <t>Co-5.Al-2.Cr-14.V</t>
  </si>
  <si>
    <t>-5Al-2Cr-14V</t>
  </si>
  <si>
    <t>Co-5Al-14V-2Cr</t>
  </si>
  <si>
    <t>Chen, Y., Wang, C., Ruan, J., Omori, T., Kainuma, R., Ishida, K., &amp; Liu, X. (2019). High-strength Co–Al–V-base superalloys strengthened by γ′-Co 3 (Al,V) with high solvus temperature. Acta Materialia, 170, 62–74. https://doi.org/10.1016/j.actamat.2019.03.020</t>
  </si>
  <si>
    <t>Co-5Al-14V-2CrChen, Y., Wang, C., Ruan, J., Omori, T., Kainuma, R., Ishida, K., &amp; Liu, X. (2019). High-strength Co–Al–V-base superalloys strengthened by γ′-Co 3 (Al,V) with high solvus temperature. Acta Materialia, 170, 62–74. https://doi.org/10.1016/j.actamat.2019.03.020</t>
  </si>
  <si>
    <t>79.0Co-5.0Al-2.0Cr-14.0V</t>
  </si>
  <si>
    <t>-5.Al-2.Cr-14.V</t>
  </si>
  <si>
    <t>Co-5.Al-2.Nb-14.V</t>
  </si>
  <si>
    <t>-5Al-2Nb-14V</t>
  </si>
  <si>
    <t>Co-5Al-14V-2Nb</t>
  </si>
  <si>
    <t>Chen, Y., Wang, C., Ruan, J., Omori, T., Kainuma, R., Ishida, K., &amp; Liu, X. (2019). High-strength Co–Al–V-base superalloys strengthened by γ′-Co 3 (Al,V) with high solvus temperature. Acta Materialia, 170, 62–74. https://doi.org/10.1016/j.actamat.2019.03.021</t>
  </si>
  <si>
    <t>-2.Nb</t>
  </si>
  <si>
    <t>Co-5Al-14V-2NbChen, Y., Wang, C., Ruan, J., Omori, T., Kainuma, R., Ishida, K., &amp; Liu, X. (2019). High-strength Co–Al–V-base superalloys strengthened by γ′-Co 3 (Al,V) with high solvus temperature. Acta Materialia, 170, 62–74. https://doi.org/10.1016/j.actamat.2019.03.021</t>
  </si>
  <si>
    <t>79.0Co-5.0Al-2.0Nb-14.0V</t>
  </si>
  <si>
    <t>-5.Al-2.Nb-14.V</t>
  </si>
  <si>
    <t>Co-5.Al-14.V-2.Mo</t>
  </si>
  <si>
    <t>-5Al-14V-2Mo</t>
  </si>
  <si>
    <t>Co-5Al-14V-2Mo</t>
  </si>
  <si>
    <t>Chen, Y., Wang, C., Ruan, J., Omori, T., Kainuma, R., Ishida, K., &amp; Liu, X. (2019). High-strength Co–Al–V-base superalloys strengthened by γ′-Co 3 (Al,V) with high solvus temperature. Acta Materialia, 170, 62–74. https://doi.org/10.1016/j.actamat.2019.03.022</t>
  </si>
  <si>
    <t>-2.Mo</t>
  </si>
  <si>
    <t>Co-5Al-14V-2MoChen, Y., Wang, C., Ruan, J., Omori, T., Kainuma, R., Ishida, K., &amp; Liu, X. (2019). High-strength Co–Al–V-base superalloys strengthened by γ′-Co 3 (Al,V) with high solvus temperature. Acta Materialia, 170, 62–74. https://doi.org/10.1016/j.actamat.2019.03.022</t>
  </si>
  <si>
    <t>79.0Co-5.0Al-14.0V-2.0Mo</t>
  </si>
  <si>
    <t>-5.Al-2.Mo-14.V</t>
  </si>
  <si>
    <t>Co-5.Al-2.Ta-14.V</t>
  </si>
  <si>
    <t>-5Al-2Ta-14V</t>
  </si>
  <si>
    <t>Co-5Al-14V-2Ta</t>
  </si>
  <si>
    <t>Chen, Y., Wang, C., Ruan, J., Omori, T., Kainuma, R., Ishida, K., &amp; Liu, X. (2019). High-strength Co–Al–V-base superalloys strengthened by γ′-Co 3 (Al,V) with high solvus temperature. Acta Materialia, 170, 62–74. https://doi.org/10.1016/j.actamat.2019.03.023</t>
  </si>
  <si>
    <t>Co-5Al-14V-2TaChen, Y., Wang, C., Ruan, J., Omori, T., Kainuma, R., Ishida, K., &amp; Liu, X. (2019). High-strength Co–Al–V-base superalloys strengthened by γ′-Co 3 (Al,V) with high solvus temperature. Acta Materialia, 170, 62–74. https://doi.org/10.1016/j.actamat.2019.03.023</t>
  </si>
  <si>
    <t>79.0Co-5.0Al-2.0Ta-14.0V</t>
  </si>
  <si>
    <t>-5.Al-2.Ta-14.V</t>
  </si>
  <si>
    <t>Co-5.Al-2.W-14.V</t>
  </si>
  <si>
    <t>-5Al-2W-14V</t>
  </si>
  <si>
    <t>Co-5Al-14V-2W</t>
  </si>
  <si>
    <t>Chen, Y., Wang, C., Ruan, J., Omori, T., Kainuma, R., Ishida, K., &amp; Liu, X. (2019). High-strength Co–Al–V-base superalloys strengthened by γ′-Co 3 (Al,V) with high solvus temperature. Acta Materialia, 170, 62–74. https://doi.org/10.1016/j.actamat.2019.03.024</t>
  </si>
  <si>
    <t>Co-5Al-14V-2WChen, Y., Wang, C., Ruan, J., Omori, T., Kainuma, R., Ishida, K., &amp; Liu, X. (2019). High-strength Co–Al–V-base superalloys strengthened by γ′-Co 3 (Al,V) with high solvus temperature. Acta Materialia, 170, 62–74. https://doi.org/10.1016/j.actamat.2019.03.024</t>
  </si>
  <si>
    <t>79.0Co-5.0Al-2.0W-14.0V</t>
  </si>
  <si>
    <t>-5.Al-2.W-14.V</t>
  </si>
  <si>
    <t>Co-8.Al-12.V</t>
  </si>
  <si>
    <t>-8Al-12V</t>
  </si>
  <si>
    <t>Co-8Al-12V</t>
  </si>
  <si>
    <t>Chen, Y., Wang, C., Ruan, J., Omori, T., Kainuma, R., Ishida, K., &amp; Liu, X. (2019). High-strength Co–Al–V-base superalloys strengthened by γ′-Co 3 (Al,V) with high solvus temperature. Acta Materialia, 170, 62–74. https://doi.org/10.1016/j.actamat.2019.03.025</t>
  </si>
  <si>
    <t>-12.V</t>
  </si>
  <si>
    <t>Co-8Al-12VChen, Y., Wang, C., Ruan, J., Omori, T., Kainuma, R., Ishida, K., &amp; Liu, X. (2019). High-strength Co–Al–V-base superalloys strengthened by γ′-Co 3 (Al,V) with high solvus temperature. Acta Materialia, 170, 62–74. https://doi.org/10.1016/j.actamat.2019.03.025</t>
  </si>
  <si>
    <t>80.0Co-8.0Al-12.0V</t>
  </si>
  <si>
    <t>-8.Al-12.V</t>
  </si>
  <si>
    <t>Co-10.Ni-8.Al-12.V</t>
  </si>
  <si>
    <t>-10Ni-8Al-12V</t>
  </si>
  <si>
    <t>Co-10Ni-8Al-12V</t>
  </si>
  <si>
    <t>Co-10Ni-8Al-12VChen, Y., Wang, C., Ruan, J., Omori, T., Kainuma, R., Ishida, K., &amp; Liu, X. (2019). High-strength Co–Al–V-base superalloys strengthened by γ′-Co 3 (Al,V) with high solvus temperature. Acta Materialia, 170, 62–74. https://doi.org/10.1016/j.actamat.2019.03.025</t>
  </si>
  <si>
    <t>80.0Co-10.0Ni-8.0Al-12.0V</t>
  </si>
  <si>
    <t>-8.Al-10.Ni-12.V</t>
  </si>
  <si>
    <t>Co-20.Ni-8.Al-12.V</t>
  </si>
  <si>
    <t>-20Ni-8Al-12V</t>
  </si>
  <si>
    <t>Co-20Ni-8Al-12V</t>
  </si>
  <si>
    <t>Chen, Y., Wang, C., Ruan, J., Omori, T., Kainuma, R., Ishida, K., &amp; Liu, X. (2019). High-strength Co–Al–V-base superalloys strengthened by γ′-Co 3 (Al,V) with high solvus temperature. Acta Materialia, 170, 62–74. https://doi.org/10.1016/j.actamat.2019.03.026</t>
  </si>
  <si>
    <t>-20.Ni</t>
  </si>
  <si>
    <t>Co-20Ni-8Al-12VChen, Y., Wang, C., Ruan, J., Omori, T., Kainuma, R., Ishida, K., &amp; Liu, X. (2019). High-strength Co–Al–V-base superalloys strengthened by γ′-Co 3 (Al,V) with high solvus temperature. Acta Materialia, 170, 62–74. https://doi.org/10.1016/j.actamat.2019.03.026</t>
  </si>
  <si>
    <t>80.0Co-20.0Ni-8.0Al-12.0V</t>
  </si>
  <si>
    <t>-8.Al-20.Ni-12.V</t>
  </si>
  <si>
    <t>Co-30.Ni-8.Al-12.V</t>
  </si>
  <si>
    <t>-30Ni-8Al-12V</t>
  </si>
  <si>
    <t>Co-30Ni-8Al-12V</t>
  </si>
  <si>
    <t>Chen, Y., Wang, C., Ruan, J., Omori, T., Kainuma, R., Ishida, K., &amp; Liu, X. (2019). High-strength Co–Al–V-base superalloys strengthened by γ′-Co 3 (Al,V) with high solvus temperature. Acta Materialia, 170, 62–74. https://doi.org/10.1016/j.actamat.2019.03.027</t>
  </si>
  <si>
    <t>Co-30Ni-8Al-12VChen, Y., Wang, C., Ruan, J., Omori, T., Kainuma, R., Ishida, K., &amp; Liu, X. (2019). High-strength Co–Al–V-base superalloys strengthened by γ′-Co 3 (Al,V) with high solvus temperature. Acta Materialia, 170, 62–74. https://doi.org/10.1016/j.actamat.2019.03.027</t>
  </si>
  <si>
    <t>80.0Co-30.0Ni-8.0Al-12.0V</t>
  </si>
  <si>
    <t>-8.Al-30.Ni-12.V</t>
  </si>
  <si>
    <t>Co-30.Ni-5.Al-4.Ta-10.V</t>
  </si>
  <si>
    <t>-30Ni-5Al-4Ta-10V</t>
  </si>
  <si>
    <t>Co-30Ni-5Al-10V-4Ta</t>
  </si>
  <si>
    <t>Chen, Y., Wang, C., Ruan, J., Omori, T., Kainuma, R., Ishida, K., &amp; Liu, X. (2019). High-strength Co–Al–V-base superalloys strengthened by γ′-Co 3 (Al,V) with high solvus temperature. Acta Materialia, 170, 62–74. https://doi.org/10.1016/j.actamat.2019.03.028</t>
  </si>
  <si>
    <t>-4.Ta</t>
  </si>
  <si>
    <t>-10.V</t>
  </si>
  <si>
    <t>Co-30Ni-5Al-10V-4TaChen, Y., Wang, C., Ruan, J., Omori, T., Kainuma, R., Ishida, K., &amp; Liu, X. (2019). High-strength Co–Al–V-base superalloys strengthened by γ′-Co 3 (Al,V) with high solvus temperature. Acta Materialia, 170, 62–74. https://doi.org/10.1016/j.actamat.2019.03.028</t>
  </si>
  <si>
    <t>81.0Co-30.0Ni-5.0Al-4.0Ta-10.0V</t>
  </si>
  <si>
    <t>-5.Al-4.Ta-30.Ni-10.V</t>
  </si>
  <si>
    <t>Co-30.Ni-7.5Al-4.Ta-7.5V</t>
  </si>
  <si>
    <t>-30Ni-8Al-4Ta-8V</t>
  </si>
  <si>
    <t>Co-30Ni-7.5Al-7.5V-4Ta</t>
  </si>
  <si>
    <t>Chen, Y., Wang, C., Ruan, J., Omori, T., Kainuma, R., Ishida, K., &amp; Liu, X. (2019). High-strength Co–Al–V-base superalloys strengthened by γ′-Co 3 (Al,V) with high solvus temperature. Acta Materialia, 170, 62–74. https://doi.org/10.1016/j.actamat.2019.03.029</t>
  </si>
  <si>
    <t>-7.5V</t>
  </si>
  <si>
    <t>Co-30Ni-7.5Al-7.5V-4TaChen, Y., Wang, C., Ruan, J., Omori, T., Kainuma, R., Ishida, K., &amp; Liu, X. (2019). High-strength Co–Al–V-base superalloys strengthened by γ′-Co 3 (Al,V) with high solvus temperature. Acta Materialia, 170, 62–74. https://doi.org/10.1016/j.actamat.2019.03.029</t>
  </si>
  <si>
    <t>81.0Co-30.0Ni-7.5Al-4.0Ta-7.5V</t>
  </si>
  <si>
    <t>-7.5Al-4.Ta-30.Ni-7.5V</t>
  </si>
  <si>
    <t>Co-30.Ni-10.Al-4.Ta-5.V</t>
  </si>
  <si>
    <t>-30Ni-10Al-4Ta-5V</t>
  </si>
  <si>
    <t>Co-30Ni-10Al-5V-4Ta</t>
  </si>
  <si>
    <t>Chen, Y., Wang, C., Ruan, J., Omori, T., Kainuma, R., Ishida, K., &amp; Liu, X. (2019). High-strength Co–Al–V-base superalloys strengthened by γ′-Co 3 (Al,V) with high solvus temperature. Acta Materialia, 170, 62–74. https://doi.org/10.1016/j.actamat.2019.03.030</t>
  </si>
  <si>
    <t>-5.V</t>
  </si>
  <si>
    <t>Co-30Ni-10Al-5V-4TaChen, Y., Wang, C., Ruan, J., Omori, T., Kainuma, R., Ishida, K., &amp; Liu, X. (2019). High-strength Co–Al–V-base superalloys strengthened by γ′-Co 3 (Al,V) with high solvus temperature. Acta Materialia, 170, 62–74. https://doi.org/10.1016/j.actamat.2019.03.030</t>
  </si>
  <si>
    <t>81.0Co-30.0Ni-10.0Al-4.0Ta-5.0V</t>
  </si>
  <si>
    <t>-10.Al-4.Ta-30.Ni-5.V</t>
  </si>
  <si>
    <t>Co-30.Ni-10.Al-2.Ti-4.Ta-5.V</t>
  </si>
  <si>
    <t>-30Ni-10Al-2Ti-4Ta-5V</t>
  </si>
  <si>
    <t>Co-30Ni-10Al-5V-4Ta-Ti</t>
  </si>
  <si>
    <t>Chen, Y., Wang, C., Ruan, J., Omori, T., Kainuma, R., Ishida, K., &amp; Liu, X. (2019). High-strength Co–Al–V-base superalloys strengthened by γ′-Co 3 (Al,V) with high solvus temperature. Acta Materialia, 170, 62–74. https://doi.org/10.1016/j.actamat.2019.03.031</t>
  </si>
  <si>
    <t>Co-30Ni-10Al-5V-4Ta-TiChen, Y., Wang, C., Ruan, J., Omori, T., Kainuma, R., Ishida, K., &amp; Liu, X. (2019). High-strength Co–Al–V-base superalloys strengthened by γ′-Co 3 (Al,V) with high solvus temperature. Acta Materialia, 170, 62–74. https://doi.org/10.1016/j.actamat.2019.03.031</t>
  </si>
  <si>
    <t>79.0Co-30.0Ni-10.0Al-2.0Ti-4.0Ta-5.0V</t>
  </si>
  <si>
    <t>-10.Al-4.Ta-30.Ni-5.V-2.Ti</t>
  </si>
  <si>
    <t>Co-12.Al-2.Ta</t>
  </si>
  <si>
    <t>-12Al-2Ta</t>
  </si>
  <si>
    <t>Co-12Al-2Ta</t>
  </si>
  <si>
    <t>Chen, Y., Wang, C., Ruan, J., Yang, S., Omori, T., Kainuma, R., Ishida, K., Han, J., Lu, Y., &amp; Liu, X. (2020). Development of low-density γ/γ′ Co–Al–Ta-based superalloys with high solvus temperature. Acta Materialia, 188, 652–664. https://doi.org/10.1016/j.actamat.2020.02.049</t>
  </si>
  <si>
    <t>-12.Al</t>
  </si>
  <si>
    <t>Co-12Al-2TaChen, Y., Wang, C., Ruan, J., Yang, S., Omori, T., Kainuma, R., Ishida, K., Han, J., Lu, Y., &amp; Liu, X. (2020). Development of low-density γ/γ′ Co–Al–Ta-based superalloys with high solvus temperature. Acta Materialia, 188, 652–664. https://doi.org/10.1016/j.actamat.2020.02.049</t>
  </si>
  <si>
    <t>86.0Co-12.0Al-2.0Ta</t>
  </si>
  <si>
    <t>-12.Al-2.Ta</t>
  </si>
  <si>
    <t>Co-10.Ni-12.Al-2.Ta</t>
  </si>
  <si>
    <t>-10Ni-12Al-2Ta</t>
  </si>
  <si>
    <t>Co-10Ni-12Al-2Ta</t>
  </si>
  <si>
    <t>Chen, Y., Wang, C., Ruan, J., Yang, S., Omori, T., Kainuma, R., Ishida, K., Han, J., Lu, Y., &amp; Liu, X. (2020). Development of low-density γ/γ′ Co–Al–Ta-based superalloys with high solvus temperature. Acta Materialia, 188, 652–664. https://doi.org/10.1016/j.actamat.2020.02.050</t>
  </si>
  <si>
    <t>Co-10Ni-12Al-2TaChen, Y., Wang, C., Ruan, J., Yang, S., Omori, T., Kainuma, R., Ishida, K., Han, J., Lu, Y., &amp; Liu, X. (2020). Development of low-density γ/γ′ Co–Al–Ta-based superalloys with high solvus temperature. Acta Materialia, 188, 652–664. https://doi.org/10.1016/j.actamat.2020.02.050</t>
  </si>
  <si>
    <t>86.0Co-10.0Ni-12.0Al-2.0Ta</t>
  </si>
  <si>
    <t>-12.Al-2.Ta-10.Ni</t>
  </si>
  <si>
    <t>Co-20.Ni-12.Al-2.Ta</t>
  </si>
  <si>
    <t>-20Ni-12Al-2Ta</t>
  </si>
  <si>
    <t>Co-20Ni-12Al-2Ta</t>
  </si>
  <si>
    <t>Chen, Y., Wang, C., Ruan, J., Yang, S., Omori, T., Kainuma, R., Ishida, K., Han, J., Lu, Y., &amp; Liu, X. (2020). Development of low-density γ/γ′ Co–Al–Ta-based superalloys with high solvus temperature. Acta Materialia, 188, 652–664. https://doi.org/10.1016/j.actamat.2020.02.051</t>
  </si>
  <si>
    <t>Co-20Ni-12Al-2TaChen, Y., Wang, C., Ruan, J., Yang, S., Omori, T., Kainuma, R., Ishida, K., Han, J., Lu, Y., &amp; Liu, X. (2020). Development of low-density γ/γ′ Co–Al–Ta-based superalloys with high solvus temperature. Acta Materialia, 188, 652–664. https://doi.org/10.1016/j.actamat.2020.02.051</t>
  </si>
  <si>
    <t>86.0Co-20.0Ni-12.0Al-2.0Ta</t>
  </si>
  <si>
    <t>-12.Al-2.Ta-20.Ni</t>
  </si>
  <si>
    <t>Co-30.Ni-12.Al-2.Ta</t>
  </si>
  <si>
    <t>-30Ni-12Al-2Ta</t>
  </si>
  <si>
    <t>Co-30Ni-12Al-2Ta</t>
  </si>
  <si>
    <t>Chen, Y., Wang, C., Ruan, J., Yang, S., Omori, T., Kainuma, R., Ishida, K., Han, J., Lu, Y., &amp; Liu, X. (2020). Development of low-density γ/γ′ Co–Al–Ta-based superalloys with high solvus temperature. Acta Materialia, 188, 652–664. https://doi.org/10.1016/j.actamat.2020.02.052</t>
  </si>
  <si>
    <t>Co-30Ni-12Al-2TaChen, Y., Wang, C., Ruan, J., Yang, S., Omori, T., Kainuma, R., Ishida, K., Han, J., Lu, Y., &amp; Liu, X. (2020). Development of low-density γ/γ′ Co–Al–Ta-based superalloys with high solvus temperature. Acta Materialia, 188, 652–664. https://doi.org/10.1016/j.actamat.2020.02.052</t>
  </si>
  <si>
    <t>86.0Co-30.0Ni-12.0Al-2.0Ta</t>
  </si>
  <si>
    <t>-12.Al-2.Ta-30.Ni</t>
  </si>
  <si>
    <t>Co-30.Ni-18.Al-2.Ta</t>
  </si>
  <si>
    <t>-30Ni-18Al-2Ta</t>
  </si>
  <si>
    <t>Co-30Ni-18Al-2Ta</t>
  </si>
  <si>
    <t>Chen, Y., Wang, C., Ruan, J., Yang, S., Omori, T., Kainuma, R., Ishida, K., Han, J., Lu, Y., &amp; Liu, X. (2020). Development of low-density γ/γ′ Co–Al–Ta-based superalloys with high solvus temperature. Acta Materialia, 188, 652–664. https://doi.org/10.1016/j.actamat.2020.02.053</t>
  </si>
  <si>
    <t>-18.Al</t>
  </si>
  <si>
    <t>Co-30Ni-18Al-2TaChen, Y., Wang, C., Ruan, J., Yang, S., Omori, T., Kainuma, R., Ishida, K., Han, J., Lu, Y., &amp; Liu, X. (2020). Development of low-density γ/γ′ Co–Al–Ta-based superalloys with high solvus temperature. Acta Materialia, 188, 652–664. https://doi.org/10.1016/j.actamat.2020.02.053</t>
  </si>
  <si>
    <t>80.0Co-30.0Ni-18.0Al-2.0Ta</t>
  </si>
  <si>
    <t>-18.Al-2.Ta-30.Ni</t>
  </si>
  <si>
    <t>Co-30.Ni-8.Al-6.Ta</t>
  </si>
  <si>
    <t>-30Ni-8Al-6Ta</t>
  </si>
  <si>
    <t>Co-30Ni-8Al-6Ta</t>
  </si>
  <si>
    <t>Chen, Y., Wang, C., Ruan, J., Yang, S., Omori, T., Kainuma, R., Ishida, K., Han, J., Lu, Y., &amp; Liu, X. (2020). Development of low-density γ/γ′ Co–Al–Ta-based superalloys with high solvus temperature. Acta Materialia, 188, 652–664. https://doi.org/10.1016/j.actamat.2020.02.054</t>
  </si>
  <si>
    <t>-6.Ta</t>
  </si>
  <si>
    <t>Co-30Ni-8Al-6TaChen, Y., Wang, C., Ruan, J., Yang, S., Omori, T., Kainuma, R., Ishida, K., Han, J., Lu, Y., &amp; Liu, X. (2020). Development of low-density γ/γ′ Co–Al–Ta-based superalloys with high solvus temperature. Acta Materialia, 188, 652–664. https://doi.org/10.1016/j.actamat.2020.02.054</t>
  </si>
  <si>
    <t>86.0Co-30.0Ni-8.0Al-6.0Ta</t>
  </si>
  <si>
    <t>-8.Al-6.Ta-30.Ni</t>
  </si>
  <si>
    <t>Co-30.Ni-6.Al-8.Ta</t>
  </si>
  <si>
    <t>-30Ni-6Al-8Ta</t>
  </si>
  <si>
    <t>Co-30Ni-6Al-8Ta</t>
  </si>
  <si>
    <t>Chen, Y., Wang, C., Ruan, J., Yang, S., Omori, T., Kainuma, R., Ishida, K., Han, J., Lu, Y., &amp; Liu, X. (2020). Development of low-density γ/γ′ Co–Al–Ta-based superalloys with high solvus temperature. Acta Materialia, 188, 652–664. https://doi.org/10.1016/j.actamat.2020.02.055</t>
  </si>
  <si>
    <t>-6.Al</t>
  </si>
  <si>
    <t>-8.Ta</t>
  </si>
  <si>
    <t>Co-30Ni-6Al-8TaChen, Y., Wang, C., Ruan, J., Yang, S., Omori, T., Kainuma, R., Ishida, K., Han, J., Lu, Y., &amp; Liu, X. (2020). Development of low-density γ/γ′ Co–Al–Ta-based superalloys with high solvus temperature. Acta Materialia, 188, 652–664. https://doi.org/10.1016/j.actamat.2020.02.055</t>
  </si>
  <si>
    <t>86.0Co-30.0Ni-6.0Al-8.0Ta</t>
  </si>
  <si>
    <t>-6.Al-8.Ta-30.Ni</t>
  </si>
  <si>
    <t>Co-30.Ni-12.Al-4.Ta</t>
  </si>
  <si>
    <t>-30Ni-12Al-4Ta</t>
  </si>
  <si>
    <t>Co-30Ni-12Al-4Ta</t>
  </si>
  <si>
    <t>Chen, Y., Wang, C., Ruan, J., Yang, S., Omori, T., Kainuma, R., Ishida, K., Han, J., Lu, Y., &amp; Liu, X. (2020). Development of low-density γ/γ′ Co–Al–Ta-based superalloys with high solvus temperature. Acta Materialia, 188, 652–664. https://doi.org/10.1016/j.actamat.2020.02.056</t>
  </si>
  <si>
    <t>Co-30Ni-12Al-4TaChen, Y., Wang, C., Ruan, J., Yang, S., Omori, T., Kainuma, R., Ishida, K., Han, J., Lu, Y., &amp; Liu, X. (2020). Development of low-density γ/γ′ Co–Al–Ta-based superalloys with high solvus temperature. Acta Materialia, 188, 652–664. https://doi.org/10.1016/j.actamat.2020.02.056</t>
  </si>
  <si>
    <t>84.0Co-30.0Ni-12.0Al-4.0Ta</t>
  </si>
  <si>
    <t>-12.Al-4.Ta-30.Ni</t>
  </si>
  <si>
    <t>Co-30.Ni-12.Al-6.Ta</t>
  </si>
  <si>
    <t>-30Ni-12Al-6Ta</t>
  </si>
  <si>
    <t>Co-30Ni-12Al-6Ta</t>
  </si>
  <si>
    <t>Chen, Y., Wang, C., Ruan, J., Yang, S., Omori, T., Kainuma, R., Ishida, K., Han, J., Lu, Y., &amp; Liu, X. (2020). Development of low-density γ/γ′ Co–Al–Ta-based superalloys with high solvus temperature. Acta Materialia, 188, 652–664. https://doi.org/10.1016/j.actamat.2020.02.057</t>
  </si>
  <si>
    <t>Co-30Ni-12Al-6TaChen, Y., Wang, C., Ruan, J., Yang, S., Omori, T., Kainuma, R., Ishida, K., Han, J., Lu, Y., &amp; Liu, X. (2020). Development of low-density γ/γ′ Co–Al–Ta-based superalloys with high solvus temperature. Acta Materialia, 188, 652–664. https://doi.org/10.1016/j.actamat.2020.02.057</t>
  </si>
  <si>
    <t>82.0Co-30.0Ni-12.0Al-6.0Ta</t>
  </si>
  <si>
    <t>-12.Al-6.Ta-30.Ni</t>
  </si>
  <si>
    <t>Co-30.Ni-12.Al-8.Ta</t>
  </si>
  <si>
    <t>-30Ni-12Al-8Ta</t>
  </si>
  <si>
    <t>Co-30Ni-12Al-8Ta</t>
  </si>
  <si>
    <t>Chen, Y., Wang, C., Ruan, J., Yang, S., Omori, T., Kainuma, R., Ishida, K., Han, J., Lu, Y., &amp; Liu, X. (2020). Development of low-density γ/γ′ Co–Al–Ta-based superalloys with high solvus temperature. Acta Materialia, 188, 652–664. https://doi.org/10.1016/j.actamat.2020.02.058</t>
  </si>
  <si>
    <t>Co-30Ni-12Al-8TaChen, Y., Wang, C., Ruan, J., Yang, S., Omori, T., Kainuma, R., Ishida, K., Han, J., Lu, Y., &amp; Liu, X. (2020). Development of low-density γ/γ′ Co–Al–Ta-based superalloys with high solvus temperature. Acta Materialia, 188, 652–664. https://doi.org/10.1016/j.actamat.2020.02.058</t>
  </si>
  <si>
    <t>80.0Co-30.0Ni-12.0Al-8.0Ta</t>
  </si>
  <si>
    <t>-12.Al-8.Ta-30.Ni</t>
  </si>
  <si>
    <t>Co-30.Ni-12.Al</t>
  </si>
  <si>
    <t>-30Ni-12Al</t>
  </si>
  <si>
    <t>Co-30Ni-12Al</t>
  </si>
  <si>
    <t>Chen, Y., Wang, C., Ruan, J., Yang, S., Omori, T., Kainuma, R., Ishida, K., Han, J., Lu, Y., &amp; Liu, X. (2020). Development of low-density γ/γ′ Co–Al–Ta-based superalloys with high solvus temperature. Acta Materialia, 188, 652–664. https://doi.org/10.1016/j.actamat.2020.02.059</t>
  </si>
  <si>
    <t>Co-30Ni-12AlChen, Y., Wang, C., Ruan, J., Yang, S., Omori, T., Kainuma, R., Ishida, K., Han, J., Lu, Y., &amp; Liu, X. (2020). Development of low-density γ/γ′ Co–Al–Ta-based superalloys with high solvus temperature. Acta Materialia, 188, 652–664. https://doi.org/10.1016/j.actamat.2020.02.059</t>
  </si>
  <si>
    <t>88.0Co-30.0Ni-12.0Al</t>
  </si>
  <si>
    <t>-12.Al-30.Ni</t>
  </si>
  <si>
    <t>Co-30.Ni-12.Al-4.Cr</t>
  </si>
  <si>
    <t>-30Ni-12Al-4Cr</t>
  </si>
  <si>
    <t>Co-30Ni-12Al-4Cr</t>
  </si>
  <si>
    <t>Chen, Y., Wang, C., Ruan, J., Yang, S., Omori, T., Kainuma, R., Ishida, K., Han, J., Lu, Y., &amp; Liu, X. (2020). Development of low-density γ/γ′ Co–Al–Ta-based superalloys with high solvus temperature. Acta Materialia, 188, 652–664. https://doi.org/10.1016/j.actamat.2020.02.060</t>
  </si>
  <si>
    <t>-4.Cr</t>
  </si>
  <si>
    <t>Co-30Ni-12Al-4CrChen, Y., Wang, C., Ruan, J., Yang, S., Omori, T., Kainuma, R., Ishida, K., Han, J., Lu, Y., &amp; Liu, X. (2020). Development of low-density γ/γ′ Co–Al–Ta-based superalloys with high solvus temperature. Acta Materialia, 188, 652–664. https://doi.org/10.1016/j.actamat.2020.02.060</t>
  </si>
  <si>
    <t>84.0Co-30.0Ni-12.0Al-4.0Cr</t>
  </si>
  <si>
    <t>-12.Al-4.Cr-30.Ni</t>
  </si>
  <si>
    <t>Co-30.Ni-12.Al-8.Cr</t>
  </si>
  <si>
    <t>-30Ni-12Al-8Cr</t>
  </si>
  <si>
    <t>Co-30Ni-12Al-8Cr</t>
  </si>
  <si>
    <t>Chen, Y., Wang, C., Ruan, J., Yang, S., Omori, T., Kainuma, R., Ishida, K., Han, J., Lu, Y., &amp; Liu, X. (2020). Development of low-density γ/γ′ Co–Al–Ta-based superalloys with high solvus temperature. Acta Materialia, 188, 652–664. https://doi.org/10.1016/j.actamat.2020.02.061</t>
  </si>
  <si>
    <t>-8.Cr</t>
  </si>
  <si>
    <t>Co-30Ni-12Al-8CrChen, Y., Wang, C., Ruan, J., Yang, S., Omori, T., Kainuma, R., Ishida, K., Han, J., Lu, Y., &amp; Liu, X. (2020). Development of low-density γ/γ′ Co–Al–Ta-based superalloys with high solvus temperature. Acta Materialia, 188, 652–664. https://doi.org/10.1016/j.actamat.2020.02.061</t>
  </si>
  <si>
    <t>80.0Co-30.0Ni-12.0Al-8.0Cr</t>
  </si>
  <si>
    <t>-12.Al-8.Cr-30.Ni</t>
  </si>
  <si>
    <t>Co-30.Ni-12.Al-12.Cr</t>
  </si>
  <si>
    <t>-30Ni-12Al-12Cr</t>
  </si>
  <si>
    <t>Co-30Ni-12Al-12Cr</t>
  </si>
  <si>
    <t>Chen, Y., Wang, C., Ruan, J., Yang, S., Omori, T., Kainuma, R., Ishida, K., Han, J., Lu, Y., &amp; Liu, X. (2020). Development of low-density γ/γ′ Co–Al–Ta-based superalloys with high solvus temperature. Acta Materialia, 188, 652–664. https://doi.org/10.1016/j.actamat.2020.02.062</t>
  </si>
  <si>
    <t>-12.Cr</t>
  </si>
  <si>
    <t>Co-30Ni-12Al-12CrChen, Y., Wang, C., Ruan, J., Yang, S., Omori, T., Kainuma, R., Ishida, K., Han, J., Lu, Y., &amp; Liu, X. (2020). Development of low-density γ/γ′ Co–Al–Ta-based superalloys with high solvus temperature. Acta Materialia, 188, 652–664. https://doi.org/10.1016/j.actamat.2020.02.062</t>
  </si>
  <si>
    <t>76.0Co-30.0Ni-12.0Al-12.0Cr</t>
  </si>
  <si>
    <t>-12.Al-12.Cr-30.Ni</t>
  </si>
  <si>
    <t>Co-12.Al-11.W</t>
  </si>
  <si>
    <t>-12Al-11W</t>
  </si>
  <si>
    <t>Co-12Al-11W</t>
  </si>
  <si>
    <t>Chen, Z. M. T., Okamoto, N. L., Demura, M. &amp; Inui, H. Micropillar compression deformation of single crystals of Co3(Al,W) with the L12 structure. Scr. Mater. 121, 28–31 (2016).</t>
  </si>
  <si>
    <t>850C for 168hr</t>
  </si>
  <si>
    <t>-11.W</t>
  </si>
  <si>
    <t>Co-12Al-11WChen, Z. M. T., Okamoto, N. L., Demura, M. &amp; Inui, H. Micropillar compression deformation of single crystals of Co3(Al,W) with the L12 structure. Scr. Mater. 121, 28–31 (2016).</t>
  </si>
  <si>
    <t>77.0Co-12.0Al-11.0W</t>
  </si>
  <si>
    <t>-12.Al-11.W</t>
  </si>
  <si>
    <t>Co-58.3Ni-3.2Al-10.8Cr-8.2Ti</t>
  </si>
  <si>
    <t>-58Ni-3Al-11Cr-8Ti</t>
  </si>
  <si>
    <t>103a</t>
  </si>
  <si>
    <t>Christofidou, K. A. et al. The microstructure and hardness of Ni-Co-Al-Ti-Cr quinary alloys. J. Alloys Compd. (2016) doi:10.1016/j.jallcom.2016.07.159.</t>
  </si>
  <si>
    <t>-3.2Al</t>
  </si>
  <si>
    <t>-58.3Ni</t>
  </si>
  <si>
    <t>-8.2Ti</t>
  </si>
  <si>
    <t>103aChristofidou, K. A. et al. The microstructure and hardness of Ni-Co-Al-Ti-Cr quinary alloys. J. Alloys Compd. (2016) doi:10.1016/j.jallcom.2016.07.159.</t>
  </si>
  <si>
    <t>77.8Co-58.3Ni-3.2Al-10.8Cr-8.2Ti</t>
  </si>
  <si>
    <t>-3.2Al-10.8Cr-58.3Ni-8.2Ti</t>
  </si>
  <si>
    <t>Co-27.2Ni-3.1Al-10.9Cr-8.1Ti</t>
  </si>
  <si>
    <t>-27Ni-3Al-11Cr-8Ti</t>
  </si>
  <si>
    <t>101a</t>
  </si>
  <si>
    <t>-3.1Al</t>
  </si>
  <si>
    <t>-27.2Ni</t>
  </si>
  <si>
    <t>-10.9Cr</t>
  </si>
  <si>
    <t>-8.1Ti</t>
  </si>
  <si>
    <t>101aChristofidou, K. A. et al. The microstructure and hardness of Ni-Co-Al-Ti-Cr quinary alloys. J. Alloys Compd. (2016) doi:10.1016/j.jallcom.2016.07.159.</t>
  </si>
  <si>
    <t>77.9Co-27.2Ni-3.1Al-10.9Cr-8.1Ti</t>
  </si>
  <si>
    <t>-3.1Al-10.9Cr-27.2Ni-8.1Ti</t>
  </si>
  <si>
    <t>Co-34.2Ni-3.6Al-21.5Cr-8.1Ti</t>
  </si>
  <si>
    <t>-34Ni-4Al-22Cr-8Ti</t>
  </si>
  <si>
    <t>202a</t>
  </si>
  <si>
    <t>-3.6Al</t>
  </si>
  <si>
    <t>-34.2Ni</t>
  </si>
  <si>
    <t>-21.5Cr</t>
  </si>
  <si>
    <t>202aChristofidou, K. A. et al. The microstructure and hardness of Ni-Co-Al-Ti-Cr quinary alloys. J. Alloys Compd. (2016) doi:10.1016/j.jallcom.2016.07.159.</t>
  </si>
  <si>
    <t>66.8Co-34.2Ni-3.6Al-21.5Cr-8.1Ti</t>
  </si>
  <si>
    <t>-3.6Al-21.5Cr-34.2Ni-8.1Ti</t>
  </si>
  <si>
    <t>Co-37.1Ni-3.1Al-16.3Cr-7.9Ti</t>
  </si>
  <si>
    <t>-37Ni-3Al-16Cr-8Ti</t>
  </si>
  <si>
    <t>152a</t>
  </si>
  <si>
    <t>-37.1Ni</t>
  </si>
  <si>
    <t>-16.3Cr</t>
  </si>
  <si>
    <t>-7.9Ti</t>
  </si>
  <si>
    <t>152aChristofidou, K. A. et al. The microstructure and hardness of Ni-Co-Al-Ti-Cr quinary alloys. J. Alloys Compd. (2016) doi:10.1016/j.jallcom.2016.07.159.</t>
  </si>
  <si>
    <t>72.7Co-37.1Ni-3.1Al-16.3Cr-7.9Ti</t>
  </si>
  <si>
    <t>-3.1Al-16.3Cr-37.1Ni-7.9Ti</t>
  </si>
  <si>
    <t>Co-17.3Ni-3.1Al-12.5Cr-7.9Ti</t>
  </si>
  <si>
    <t>-17Ni-3Al-13Cr-8Ti</t>
  </si>
  <si>
    <t>201a</t>
  </si>
  <si>
    <t>-17.3Ni</t>
  </si>
  <si>
    <t>-12.5Cr</t>
  </si>
  <si>
    <t>201aChristofidou, K. A. et al. The microstructure and hardness of Ni-Co-Al-Ti-Cr quinary alloys. J. Alloys Compd. (2016) doi:10.1016/j.jallcom.2016.07.159.</t>
  </si>
  <si>
    <t>76.5Co-17.3Ni-3.1Al-12.5Cr-7.9Ti</t>
  </si>
  <si>
    <t>-3.1Al-12.5Cr-17.3Ni-7.9Ti</t>
  </si>
  <si>
    <t>Co-50.7Ni-2.7Al-21.9Cr-7.9Ti</t>
  </si>
  <si>
    <t>-51Ni-3Al-22Cr-8Ti</t>
  </si>
  <si>
    <t>203a</t>
  </si>
  <si>
    <t>-50.7Ni</t>
  </si>
  <si>
    <t>-21.9Cr</t>
  </si>
  <si>
    <t>203aChristofidou, K. A. et al. The microstructure and hardness of Ni-Co-Al-Ti-Cr quinary alloys. J. Alloys Compd. (2016) doi:10.1016/j.jallcom.2016.07.159.</t>
  </si>
  <si>
    <t>67.5Co-50.7Ni-2.7Al-21.9Cr-7.9Ti</t>
  </si>
  <si>
    <t>-2.7Al-21.9Cr-50.7Ni-7.9Ti</t>
  </si>
  <si>
    <t>Co-18.3Ni-3.Al-16.2Cr-7.8Ti</t>
  </si>
  <si>
    <t>-18Ni-3Al-16Cr-8Ti</t>
  </si>
  <si>
    <t>151a</t>
  </si>
  <si>
    <t>-18.3Ni</t>
  </si>
  <si>
    <t>-16.2Cr</t>
  </si>
  <si>
    <t>151aChristofidou, K. A. et al. The microstructure and hardness of Ni-Co-Al-Ti-Cr quinary alloys. J. Alloys Compd. (2016) doi:10.1016/j.jallcom.2016.07.159.</t>
  </si>
  <si>
    <t>73.0Co-18.3Ni-3.0Al-16.2Cr-7.8Ti</t>
  </si>
  <si>
    <t>-3.Al-16.2Cr-18.3Ni-7.8Ti</t>
  </si>
  <si>
    <t>Co-54.3Ni-4.3Al-15.7Cr-7.7Ti</t>
  </si>
  <si>
    <t>-54Ni-4Al-16Cr-8Ti</t>
  </si>
  <si>
    <t>153a</t>
  </si>
  <si>
    <t>-4.3Al</t>
  </si>
  <si>
    <t>-54.3Ni</t>
  </si>
  <si>
    <t>-15.7Cr</t>
  </si>
  <si>
    <t>-7.7Ti</t>
  </si>
  <si>
    <t>153aChristofidou, K. A. et al. The microstructure and hardness of Ni-Co-Al-Ti-Cr quinary alloys. J. Alloys Compd. (2016) doi:10.1016/j.jallcom.2016.07.159.</t>
  </si>
  <si>
    <t>72.3Co-54.3Ni-4.3Al-15.7Cr-7.7Ti</t>
  </si>
  <si>
    <t>-4.3Al-15.7Cr-54.3Ni-7.7Ti</t>
  </si>
  <si>
    <t>Co-39.8Ni-2.8Al-10.8Cr-7.6Ti</t>
  </si>
  <si>
    <t>-40Ni-3Al-11Cr-8Ti</t>
  </si>
  <si>
    <t>102a</t>
  </si>
  <si>
    <t>-2.8Al</t>
  </si>
  <si>
    <t>-39.8Ni</t>
  </si>
  <si>
    <t>-7.6Ti</t>
  </si>
  <si>
    <t>102aChristofidou, K. A. et al. The microstructure and hardness of Ni-Co-Al-Ti-Cr quinary alloys. J. Alloys Compd. (2016) doi:10.1016/j.jallcom.2016.07.159.</t>
  </si>
  <si>
    <t>78.8Co-39.8Ni-2.8Al-10.8Cr-7.6Ti</t>
  </si>
  <si>
    <t>-2.8Al-10.8Cr-39.8Ni-7.6Ti</t>
  </si>
  <si>
    <t>Co-59.5Ni-4.5Al-10.9Cr-5.6Ti</t>
  </si>
  <si>
    <t>-60Ni-5Al-11Cr-6Ti</t>
  </si>
  <si>
    <t>103b</t>
  </si>
  <si>
    <t>-59.5Ni</t>
  </si>
  <si>
    <t>-5.6Ti</t>
  </si>
  <si>
    <t>103bChristofidou, K. A. et al. The microstructure and hardness of Ni-Co-Al-Ti-Cr quinary alloys. J. Alloys Compd. (2016) doi:10.1016/j.jallcom.2016.07.159.</t>
  </si>
  <si>
    <t>79.0Co-59.5Ni-4.5Al-10.9Cr-5.6Ti</t>
  </si>
  <si>
    <t>-4.5Al-10.9Cr-59.5Ni-5.6Ti</t>
  </si>
  <si>
    <t>Co-51.2Ni-6.Al-12.6Cr-5.5Ti</t>
  </si>
  <si>
    <t>-51Ni-6Al-13Cr-6Ti</t>
  </si>
  <si>
    <t>203b</t>
  </si>
  <si>
    <t>-51.2Ni</t>
  </si>
  <si>
    <t>-12.6Cr</t>
  </si>
  <si>
    <t>-5.5Ti</t>
  </si>
  <si>
    <t>203bChristofidou, K. A. et al. The microstructure and hardness of Ni-Co-Al-Ti-Cr quinary alloys. J. Alloys Compd. (2016) doi:10.1016/j.jallcom.2016.07.159.</t>
  </si>
  <si>
    <t>75.9Co-51.2Ni-6.0Al-12.6Cr-5.5Ti</t>
  </si>
  <si>
    <t>-6.Al-12.6Cr-51.2Ni-5.5Ti</t>
  </si>
  <si>
    <t>Co-19.7Ni-5.4Al-11.Cr-5.3Ti</t>
  </si>
  <si>
    <t>-20Ni-5Al-11Cr-5Ti</t>
  </si>
  <si>
    <t>101b</t>
  </si>
  <si>
    <t>-19.7Ni</t>
  </si>
  <si>
    <t>-11.Cr</t>
  </si>
  <si>
    <t>-5.3Ti</t>
  </si>
  <si>
    <t>101bChristofidou, K. A. et al. The microstructure and hardness of Ni-Co-Al-Ti-Cr quinary alloys. J. Alloys Compd. (2016) doi:10.1016/j.jallcom.2016.07.159.</t>
  </si>
  <si>
    <t>78.3Co-19.7Ni-5.4Al-11.0Cr-5.3Ti</t>
  </si>
  <si>
    <t>-5.4Al-11.Cr-19.7Ni-5.3Ti</t>
  </si>
  <si>
    <t>Co-39.2Ni-5.9Al-10.5Cr-5.3Ti</t>
  </si>
  <si>
    <t>-39Ni-6Al-11Cr-5Ti</t>
  </si>
  <si>
    <t>102b</t>
  </si>
  <si>
    <t>-39.2Ni</t>
  </si>
  <si>
    <t>-10.5Cr</t>
  </si>
  <si>
    <t>102bChristofidou, K. A. et al. The microstructure and hardness of Ni-Co-Al-Ti-Cr quinary alloys. J. Alloys Compd. (2016) doi:10.1016/j.jallcom.2016.07.159.</t>
  </si>
  <si>
    <t>78.3Co-39.2Ni-5.9Al-10.5Cr-5.3Ti</t>
  </si>
  <si>
    <t>-5.9Al-10.5Cr-39.2Ni-5.3Ti</t>
  </si>
  <si>
    <t>Co-54.9Ni-5.6Al-15.9Cr-5.3Ti</t>
  </si>
  <si>
    <t>-55Ni-6Al-16Cr-5Ti</t>
  </si>
  <si>
    <t>153b</t>
  </si>
  <si>
    <t>-5.6Al</t>
  </si>
  <si>
    <t>-54.9Ni</t>
  </si>
  <si>
    <t>-15.9Cr</t>
  </si>
  <si>
    <t>153bChristofidou, K. A. et al. The microstructure and hardness of Ni-Co-Al-Ti-Cr quinary alloys. J. Alloys Compd. (2016) doi:10.1016/j.jallcom.2016.07.159.</t>
  </si>
  <si>
    <t>73.2Co-54.9Ni-5.6Al-15.9Cr-5.3Ti</t>
  </si>
  <si>
    <t>-5.6Al-15.9Cr-54.9Ni-5.3Ti</t>
  </si>
  <si>
    <t>Co-18.3Ni-5.Al-16.1Cr-5.2Ti</t>
  </si>
  <si>
    <t>-18Ni-5Al-16Cr-5Ti</t>
  </si>
  <si>
    <t>151b</t>
  </si>
  <si>
    <t>-16.1Cr</t>
  </si>
  <si>
    <t>-5.2Ti</t>
  </si>
  <si>
    <t>151bChristofidou, K. A. et al. The microstructure and hardness of Ni-Co-Al-Ti-Cr quinary alloys. J. Alloys Compd. (2016) doi:10.1016/j.jallcom.2016.07.159.</t>
  </si>
  <si>
    <t>73.7Co-18.3Ni-5.0Al-16.1Cr-5.2Ti</t>
  </si>
  <si>
    <t>-5.Al-16.1Cr-18.3Ni-5.2Ti</t>
  </si>
  <si>
    <t>Co-36.8Ni-5.4Al-16.1Cr-5.2Ti</t>
  </si>
  <si>
    <t>-37Ni-5Al-16Cr-5Ti</t>
  </si>
  <si>
    <t>152b</t>
  </si>
  <si>
    <t>-36.8Ni</t>
  </si>
  <si>
    <t>152bChristofidou, K. A. et al. The microstructure and hardness of Ni-Co-Al-Ti-Cr quinary alloys. J. Alloys Compd. (2016) doi:10.1016/j.jallcom.2016.07.159.</t>
  </si>
  <si>
    <t>73.3Co-36.8Ni-5.4Al-16.1Cr-5.2Ti</t>
  </si>
  <si>
    <t>-5.4Al-16.1Cr-36.8Ni-5.2Ti</t>
  </si>
  <si>
    <t>Co-34.4Ni-5.7Al-21.2Cr-5.2Ti</t>
  </si>
  <si>
    <t>-34Ni-6Al-21Cr-5Ti</t>
  </si>
  <si>
    <t>202b</t>
  </si>
  <si>
    <t>-34.4Ni</t>
  </si>
  <si>
    <t>-21.2Cr</t>
  </si>
  <si>
    <t>202bChristofidou, K. A. et al. The microstructure and hardness of Ni-Co-Al-Ti-Cr quinary alloys. J. Alloys Compd. (2016) doi:10.1016/j.jallcom.2016.07.159.</t>
  </si>
  <si>
    <t>67.9Co-34.4Ni-5.7Al-21.2Cr-5.2Ti</t>
  </si>
  <si>
    <t>-5.7Al-21.2Cr-34.4Ni-5.2Ti</t>
  </si>
  <si>
    <t>Co-17.Ni-5.5Al-21.4Cr-5.Ti</t>
  </si>
  <si>
    <t>-17Ni-6Al-21Cr-5Ti</t>
  </si>
  <si>
    <t>201b</t>
  </si>
  <si>
    <t>-5.5Al</t>
  </si>
  <si>
    <t>-17.Ni</t>
  </si>
  <si>
    <t>-21.4Cr</t>
  </si>
  <si>
    <t>-5.Ti</t>
  </si>
  <si>
    <t>201bChristofidou, K. A. et al. The microstructure and hardness of Ni-Co-Al-Ti-Cr quinary alloys. J. Alloys Compd. (2016) doi:10.1016/j.jallcom.2016.07.159.</t>
  </si>
  <si>
    <t>68.1Co-17.0Ni-5.5Al-21.4Cr-5.0Ti</t>
  </si>
  <si>
    <t>-5.5Al-21.4Cr-17.Ni-5.Ti</t>
  </si>
  <si>
    <t>Co-58.4Ni-8.6Al-10.7Cr-2.7Ti</t>
  </si>
  <si>
    <t>-58Ni-9Al-11Cr-3Ti</t>
  </si>
  <si>
    <t>103c</t>
  </si>
  <si>
    <t>-58.4Ni</t>
  </si>
  <si>
    <t>-2.7Ti</t>
  </si>
  <si>
    <t>103cChristofidou, K. A. et al. The microstructure and hardness of Ni-Co-Al-Ti-Cr quinary alloys. J. Alloys Compd. (2016) doi:10.1016/j.jallcom.2016.07.159.</t>
  </si>
  <si>
    <t>78.0Co-58.4Ni-8.6Al-10.7Cr-2.7Ti</t>
  </si>
  <si>
    <t>-8.6Al-10.7Cr-58.4Ni-2.7Ti</t>
  </si>
  <si>
    <t>Co-19.Ni-7.1Al-16.5Cr-2.7Ti</t>
  </si>
  <si>
    <t>-19Ni-7Al-17Cr-3Ti</t>
  </si>
  <si>
    <t>151c</t>
  </si>
  <si>
    <t>-7.1Al</t>
  </si>
  <si>
    <t>-19.Ni</t>
  </si>
  <si>
    <t>151cChristofidou, K. A. et al. The microstructure and hardness of Ni-Co-Al-Ti-Cr quinary alloys. J. Alloys Compd. (2016) doi:10.1016/j.jallcom.2016.07.159.</t>
  </si>
  <si>
    <t>73.7Co-19.0Ni-7.1Al-16.5Cr-2.7Ti</t>
  </si>
  <si>
    <t>-7.1Al-16.5Cr-19.Ni-2.7Ti</t>
  </si>
  <si>
    <t>Co-36.1Ni-8.6Al-16.Cr-2.7Ti</t>
  </si>
  <si>
    <t>-36Ni-9Al-16Cr-3Ti</t>
  </si>
  <si>
    <t>152c</t>
  </si>
  <si>
    <t>-36.1Ni</t>
  </si>
  <si>
    <t>-16.Cr</t>
  </si>
  <si>
    <t>152cChristofidou, K. A. et al. The microstructure and hardness of Ni-Co-Al-Ti-Cr quinary alloys. J. Alloys Compd. (2016) doi:10.1016/j.jallcom.2016.07.159.</t>
  </si>
  <si>
    <t>72.7Co-36.1Ni-8.6Al-16.0Cr-2.7Ti</t>
  </si>
  <si>
    <t>-8.6Al-16.Cr-36.1Ni-2.7Ti</t>
  </si>
  <si>
    <t>Co-54.8Ni-8.Al-16.1Cr-2.7Ti</t>
  </si>
  <si>
    <t>-55Ni-8Al-16Cr-3Ti</t>
  </si>
  <si>
    <t>153c</t>
  </si>
  <si>
    <t>-54.8Ni</t>
  </si>
  <si>
    <t>153cChristofidou, K. A. et al. The microstructure and hardness of Ni-Co-Al-Ti-Cr quinary alloys. J. Alloys Compd. (2016) doi:10.1016/j.jallcom.2016.07.159.</t>
  </si>
  <si>
    <t>73.2Co-54.8Ni-8.0Al-16.1Cr-2.7Ti</t>
  </si>
  <si>
    <t>-8.Al-16.1Cr-54.8Ni-2.7Ti</t>
  </si>
  <si>
    <t>Co-34.Ni-8.2Al-21.6Cr-2.7Ti</t>
  </si>
  <si>
    <t>-34Ni-8Al-22Cr-3Ti</t>
  </si>
  <si>
    <t>202c</t>
  </si>
  <si>
    <t>-34.Ni</t>
  </si>
  <si>
    <t>-21.6Cr</t>
  </si>
  <si>
    <t>202cChristofidou, K. A. et al. The microstructure and hardness of Ni-Co-Al-Ti-Cr quinary alloys. J. Alloys Compd. (2016) doi:10.1016/j.jallcom.2016.07.159.</t>
  </si>
  <si>
    <t>67.5Co-34.0Ni-8.2Al-21.6Cr-2.7Ti</t>
  </si>
  <si>
    <t>-8.2Al-21.6Cr-34.Ni-2.7Ti</t>
  </si>
  <si>
    <t>Co-19.7Ni-7.5Al-11.1Cr-2.6Ti</t>
  </si>
  <si>
    <t>-20Ni-8Al-11Cr-3Ti</t>
  </si>
  <si>
    <t>101c</t>
  </si>
  <si>
    <t>-11.1Cr</t>
  </si>
  <si>
    <t>-2.6Ti</t>
  </si>
  <si>
    <t>101cChristofidou, K. A. et al. The microstructure and hardness of Ni-Co-Al-Ti-Cr quinary alloys. J. Alloys Compd. (2016) doi:10.1016/j.jallcom.2016.07.159.</t>
  </si>
  <si>
    <t>78.8Co-19.7Ni-7.5Al-11.1Cr-2.6Ti</t>
  </si>
  <si>
    <t>-7.5Al-11.1Cr-19.7Ni-2.6Ti</t>
  </si>
  <si>
    <t>Co-39.7Ni-7.5Al-10.8Cr-2.6Ti</t>
  </si>
  <si>
    <t>-40Ni-8Al-11Cr-3Ti</t>
  </si>
  <si>
    <t>102c</t>
  </si>
  <si>
    <t>-39.7Ni</t>
  </si>
  <si>
    <t>102cChristofidou, K. A. et al. The microstructure and hardness of Ni-Co-Al-Ti-Cr quinary alloys. J. Alloys Compd. (2016) doi:10.1016/j.jallcom.2016.07.159.</t>
  </si>
  <si>
    <t>79.1Co-39.7Ni-7.5Al-10.8Cr-2.6Ti</t>
  </si>
  <si>
    <t>-7.5Al-10.8Cr-39.7Ni-2.6Ti</t>
  </si>
  <si>
    <t>Co-17.2Ni-7.8Al-21.8Cr-2.6Ti</t>
  </si>
  <si>
    <t>-17Ni-8Al-22Cr-3Ti</t>
  </si>
  <si>
    <t>201c</t>
  </si>
  <si>
    <t>-7.8Al</t>
  </si>
  <si>
    <t>-17.2Ni</t>
  </si>
  <si>
    <t>-21.8Cr</t>
  </si>
  <si>
    <t>201cChristofidou, K. A. et al. The microstructure and hardness of Ni-Co-Al-Ti-Cr quinary alloys. J. Alloys Compd. (2016) doi:10.1016/j.jallcom.2016.07.159.</t>
  </si>
  <si>
    <t>67.8Co-17.2Ni-7.8Al-21.8Cr-2.6Ti</t>
  </si>
  <si>
    <t>-7.8Al-21.8Cr-17.2Ni-2.6Ti</t>
  </si>
  <si>
    <t>Co-50.6Ni-8.5Al-20.9Cr-2.5Ti</t>
  </si>
  <si>
    <t>-51Ni-9Al-21Cr-3Ti</t>
  </si>
  <si>
    <t>203c</t>
  </si>
  <si>
    <t>-50.6Ni</t>
  </si>
  <si>
    <t>-20.9Cr</t>
  </si>
  <si>
    <t>-2.5Ti</t>
  </si>
  <si>
    <t>203cChristofidou, K. A. et al. The microstructure and hardness of Ni-Co-Al-Ti-Cr quinary alloys. J. Alloys Compd. (2016) doi:10.1016/j.jallcom.2016.07.159.</t>
  </si>
  <si>
    <t>68.1Co-50.6Ni-8.5Al-20.9Cr-2.5Ti</t>
  </si>
  <si>
    <t>-8.5Al-20.9Cr-50.6Ni-2.5Ti</t>
  </si>
  <si>
    <t>Co-29.Ni-12.1Al-0.Cr-5.8W-2.2Ti-2.7Ta-0.1B</t>
  </si>
  <si>
    <t>-29Ni-12Al-0Cr-6W-2Ti-3Ta-B</t>
  </si>
  <si>
    <t>L24-0Cr</t>
  </si>
  <si>
    <t>Chung, D.-W. W. et al. Effects of Cr on the properties of multicomponent cobalt-based superalloys with ultra high γ′ volume fraction. J. Alloys Compd. 832, 154790 (2020).</t>
  </si>
  <si>
    <t>EDS, except B</t>
  </si>
  <si>
    <t>-12.1Al</t>
  </si>
  <si>
    <t>-29.Ni</t>
  </si>
  <si>
    <t>-0.Cr</t>
  </si>
  <si>
    <t>-2.7Ta</t>
  </si>
  <si>
    <t>-0.1B</t>
  </si>
  <si>
    <t>L24-0CrChung, D.-W. W. et al. Effects of Cr on the properties of multicomponent cobalt-based superalloys with ultra high γ′ volume fraction. J. Alloys Compd. 832, 154790 (2020).</t>
  </si>
  <si>
    <t>77.1Co-29.0Ni-12.1Al-0.0Cr-5.8W-2.2Ti-2.7Ta-0.10B</t>
  </si>
  <si>
    <t>-12.1Al-0.Cr-5.8W-2.7Ta-29.Ni-2.2Ti-0.1B</t>
  </si>
  <si>
    <t>Co-29.2Ni-11.1Al-4.1Cr-5.7W-2.Ti-2.3Ta-0.1B</t>
  </si>
  <si>
    <t>-29Ni-11Al-4Cr-6W-2Ti-2Ta-B</t>
  </si>
  <si>
    <t>L24-4Cr</t>
  </si>
  <si>
    <t>-11.1Al</t>
  </si>
  <si>
    <t>-29.2Ni</t>
  </si>
  <si>
    <t>-2.3Ta</t>
  </si>
  <si>
    <t>L24-4CrChung, D.-W. W. et al. Effects of Cr on the properties of multicomponent cobalt-based superalloys with ultra high γ′ volume fraction. J. Alloys Compd. 832, 154790 (2020).</t>
  </si>
  <si>
    <t>74.7Co-29.2Ni-11.1Al-4.1Cr-5.7W-2.0Ti-2.3Ta-0.10B</t>
  </si>
  <si>
    <t>-11.1Al-4.1Cr-5.7W-2.3Ta-29.2Ni-2.Ti-0.1B</t>
  </si>
  <si>
    <t>Co-28.9Ni-10.1Al-12.5Cr-5.1W-1.9Ti-2.3Ta-0.1B</t>
  </si>
  <si>
    <t>-29Ni-10Al-13Cr-5W-2Ti-2Ta-B</t>
  </si>
  <si>
    <t>L24-12Cr</t>
  </si>
  <si>
    <t>-10.1Al</t>
  </si>
  <si>
    <t>-5.1W</t>
  </si>
  <si>
    <t>-28.9Ni</t>
  </si>
  <si>
    <t>-1.9Ti</t>
  </si>
  <si>
    <t>L24-12CrChung, D.-W. W. et al. Effects of Cr on the properties of multicomponent cobalt-based superalloys with ultra high γ′ volume fraction. J. Alloys Compd. 832, 154790 (2020).</t>
  </si>
  <si>
    <t>68.1Co-28.9Ni-10.1Al-12.5Cr-5.1W-1.9Ti-2.3Ta-0.10B</t>
  </si>
  <si>
    <t>-10.1Al-12.5Cr-5.1W-2.3Ta-28.9Ni-1.9Ti-0.1B</t>
  </si>
  <si>
    <t>Co-29.5Ni-10.5Al-8.Cr-5.1W-1.9Ti-2.7Ta-0.1B</t>
  </si>
  <si>
    <t>-30Ni-11Al-8Cr-5W-2Ti-3Ta-B</t>
  </si>
  <si>
    <t>L24-8Cr</t>
  </si>
  <si>
    <t>-10.5Al</t>
  </si>
  <si>
    <t>L24-8CrChung, D.-W. W. et al. Effects of Cr on the properties of multicomponent cobalt-based superalloys with ultra high γ′ volume fraction. J. Alloys Compd. 832, 154790 (2020).</t>
  </si>
  <si>
    <t>71.7Co-29.5Ni-10.5Al-8.0Cr-5.1W-1.9Ti-2.7Ta-0.10B</t>
  </si>
  <si>
    <t>-10.5Al-8.Cr-5.1W-2.7Ta-29.5Ni-1.9Ti-0.1B</t>
  </si>
  <si>
    <t>Co-28.8Ni-6.2Al-2.W-1.8Ti-0.9Ta-1.8Nb-2.7Mo</t>
  </si>
  <si>
    <t>-29Ni-6Al-2W-2Ti-1Ta-2Nb-3Mo</t>
  </si>
  <si>
    <t>L19C</t>
  </si>
  <si>
    <t>Coakley, J. et al. Rafting and elastoplastic deformation of superalloys studied by neutron diffraction. Scr. Mater. 134, 110–114 (2017).</t>
  </si>
  <si>
    <t>-6.2Al</t>
  </si>
  <si>
    <t>-28.8Ni</t>
  </si>
  <si>
    <t>-0.9Ta</t>
  </si>
  <si>
    <t>-1.8Ti</t>
  </si>
  <si>
    <t>-2.7Mo</t>
  </si>
  <si>
    <t>L19CCoakley, J. et al. Rafting and elastoplastic deformation of superalloys studied by neutron diffraction. Scr. Mater. 134, 110–114 (2017).</t>
  </si>
  <si>
    <t>84.6Co-28.8Ni-6.2Al-2.0W-1.8Ti-0.9Ta-1.8Nb-2.7Mo</t>
  </si>
  <si>
    <t>-6.2Al-2.W-0.9Ta-28.8Ni-2.7Mo-1.8Nb-1.8Ti</t>
  </si>
  <si>
    <t>Co-8.Al-8.W</t>
  </si>
  <si>
    <t>Co8-8</t>
  </si>
  <si>
    <t>Cordero, C.- &amp; Marta. Mechanical Behaviour of Novel Sintered Co-Al-W Alloys at High Temperatures.</t>
  </si>
  <si>
    <t>power metallurgy, no g' formed</t>
  </si>
  <si>
    <t>Co8-8Cordero, C.- &amp; Marta. Mechanical Behaviour of Novel Sintered Co-Al-W Alloys at High Temperatures.</t>
  </si>
  <si>
    <t>84.0Co-8.0Al-8.0W</t>
  </si>
  <si>
    <t>-8.Al-8.W</t>
  </si>
  <si>
    <t>Co-40.Ni-10.Al-10.Cr-7.5W-3.Ta-0.06C-0.06B</t>
  </si>
  <si>
    <t>-40Ni-10Al-10Cr-8W-3Ta-C-B</t>
  </si>
  <si>
    <t>3Ta</t>
  </si>
  <si>
    <t>Costa, A. M. S. et al. Effect of Ta and Nb additions in arc-melted Co-Ni-based superalloys: Microstructural and mechanical properties. Mater. Sci. Eng. A 730, 66–72 (2018)</t>
  </si>
  <si>
    <t>-40.Ni</t>
  </si>
  <si>
    <t>-10.Cr</t>
  </si>
  <si>
    <t>-3.Ta</t>
  </si>
  <si>
    <t>-0.06C</t>
  </si>
  <si>
    <t>-0.06B</t>
  </si>
  <si>
    <t>3TaCosta, A. M. S. et al. Effect of Ta and Nb additions in arc-melted Co-Ni-based superalloys: Microstructural and mechanical properties. Mater. Sci. Eng. A 730, 66–72 (2018)</t>
  </si>
  <si>
    <t>69.4Co-40.0Ni-10.0Al-10.0Cr-7.5W-3.0Ta-0.06C-0.06B</t>
  </si>
  <si>
    <t>-10.Al-10.Cr-7.5W-3.Ta-40.Ni-0.06C-0.06B</t>
  </si>
  <si>
    <t>Co-40.Ni-10.Al-10.Cr-7.5W-3.Nb-0.06C-0.06B</t>
  </si>
  <si>
    <t>-40Ni-10Al-10Cr-8W-3Nb-C-B</t>
  </si>
  <si>
    <t>3Nb</t>
  </si>
  <si>
    <t>-3.Nb</t>
  </si>
  <si>
    <t>3NbCosta, A. M. S. et al. Effect of Ta and Nb additions in arc-melted Co-Ni-based superalloys: Microstructural and mechanical properties. Mater. Sci. Eng. A 730, 66–72 (2018)</t>
  </si>
  <si>
    <t>69.4Co-40.0Ni-10.0Al-10.0Cr-7.5W-3.0Nb-0.06C-0.06B</t>
  </si>
  <si>
    <t>-10.Al-10.Cr-7.5W-40.Ni-3.Nb-0.06C-0.06B</t>
  </si>
  <si>
    <t>Co-6.8Al-8.9W-4.3V</t>
  </si>
  <si>
    <t>-7Al-9W-4V</t>
  </si>
  <si>
    <t>60-6.7Al-8.9W-4.1Ti</t>
  </si>
  <si>
    <t>Ding, X. F., Mi, T., Xue, F., Zhou, H. J. &amp; Wang, M. L. Microstructure formation in γ-γ′ Co-Al-W-Ti alloys during directional solidification. J. Alloys Compd. 599, 159–163 (2014).</t>
  </si>
  <si>
    <t>-6.8Al</t>
  </si>
  <si>
    <t>-4.3V</t>
  </si>
  <si>
    <t>60-6.7Al-8.9W-4.1TiDing, X. F., Mi, T., Xue, F., Zhou, H. J. &amp; Wang, M. L. Microstructure formation in γ-γ′ Co-Al-W-Ti alloys during directional solidification. J. Alloys Compd. 599, 159–163 (2014).</t>
  </si>
  <si>
    <t>80.1Co-6.8Al-8.9W-4.3V</t>
  </si>
  <si>
    <t>-6.8Al-8.9W-4.3V</t>
  </si>
  <si>
    <t>Co-9.7Al-10.8W</t>
  </si>
  <si>
    <t>-10Al-11W</t>
  </si>
  <si>
    <t>Dunand, D. C. et al. ‘Designing Nanoscale Precipitates in Novel Cobalt-based Superalloys to Improve Creep Resistance and Operating Temperature’ Final Technical Report. (2010).</t>
  </si>
  <si>
    <t>-9.7Al</t>
  </si>
  <si>
    <t>-10.8W</t>
  </si>
  <si>
    <t>Co-9.7Al-10.8WDunand, D. C. et al. ‘Designing Nanoscale Precipitates in Novel Cobalt-based Superalloys to Improve Creep Resistance and Operating Temperature’ Final Technical Report. (2010).</t>
  </si>
  <si>
    <t>79.5Co-9.7Al-10.8W</t>
  </si>
  <si>
    <t>-9.7Al-10.8W</t>
  </si>
  <si>
    <t>Co-29.2Ni-9.8Al-6.4Cr-6.3W-2.4Ta</t>
  </si>
  <si>
    <t>-29Ni-10Al-6Cr-6W-2Ta</t>
  </si>
  <si>
    <t>CoNi-A</t>
  </si>
  <si>
    <t>Eggeler, Y. M. et al. Planar defect formation in the γ’ phase during high temperature creep in single crystal CoNi-base superalloys. Acta Mater. 113, 335–349 (2016).</t>
  </si>
  <si>
    <t>-9.8Al</t>
  </si>
  <si>
    <t>-6.3W</t>
  </si>
  <si>
    <t>-6.4Cr</t>
  </si>
  <si>
    <t>-2.4Ta</t>
  </si>
  <si>
    <t>CoNi-AEggeler, Y. M. et al. Planar defect formation in the γ’ phase during high temperature creep in single crystal CoNi-base superalloys. Acta Mater. 113, 335–349 (2016).</t>
  </si>
  <si>
    <t>75.1Co-29.2Ni-9.8Al-6.4Cr-6.3W-2.4Ta</t>
  </si>
  <si>
    <t>-9.8Al-6.4Cr-6.3W-2.4Ta-29.2Ni</t>
  </si>
  <si>
    <t>Co-8.8Al-7.6W-1.9Ta</t>
  </si>
  <si>
    <t>-9Al-8W-2Ta</t>
  </si>
  <si>
    <t>alloy2</t>
  </si>
  <si>
    <t>Epishin, A. et al. Interdiffusion in the Face-Centered Cubic Phase of the Co-Al-W-Ta System Between 1090 and 1240 °C. J. Phase Equilibria Diffus. 39, 176–185 (2018)</t>
  </si>
  <si>
    <t>20 EMPA averages</t>
  </si>
  <si>
    <t>alloy2Epishin, A. et al. Interdiffusion in the Face-Centered Cubic Phase of the Co-Al-W-Ta System Between 1090 and 1240 °C. J. Phase Equilibria Diffus. 39, 176–185 (2018)</t>
  </si>
  <si>
    <t>81.8Co-8.8Al-7.6W-1.9Ta</t>
  </si>
  <si>
    <t>-8.8Al-7.6W-1.9Ta</t>
  </si>
  <si>
    <t>Co-15.9Ni-13.6Al-19.W-0.7Ta-0.6Mo-0.3Re</t>
  </si>
  <si>
    <t>-16Ni-14Al-19W-1Ta-1Mo-0Re</t>
  </si>
  <si>
    <t>alloy1</t>
  </si>
  <si>
    <t>Epishin, A. I. et al. Thermal stability of the structure of a heat-resistant cobalt alloy hardened with intermetallic γ’-phase precipitates. Russ. Metall. 2016, 286–291 (2016).</t>
  </si>
  <si>
    <t>Nominal</t>
  </si>
  <si>
    <t>-13.6Al</t>
  </si>
  <si>
    <t>-19.W</t>
  </si>
  <si>
    <t>-15.9Ni</t>
  </si>
  <si>
    <t>-0.7Ta</t>
  </si>
  <si>
    <t>-0.6Mo</t>
  </si>
  <si>
    <t>-0.3Re</t>
  </si>
  <si>
    <t>alloy1Epishin, A. I. et al. Thermal stability of the structure of a heat-resistant cobalt alloy hardened with intermetallic γ’-phase precipitates. Russ. Metall. 2016, 286–291 (2016).</t>
  </si>
  <si>
    <t>65.8Co-15.9Ni-13.6Al-19.0W-0.7Ta-0.6Mo-0.3Re</t>
  </si>
  <si>
    <t>-13.6Al-19.W-0.7Ta-15.9Ni-0.6Mo-0.3Re</t>
  </si>
  <si>
    <t>Co-9.Al-10.W-2.Ta</t>
  </si>
  <si>
    <t>-9Al-10W-2Ta</t>
  </si>
  <si>
    <t>Q0</t>
  </si>
  <si>
    <t>Epishin, A., Petrushin, N., Nolze, G., Gerstein, G. &amp; Maier, H. J. Investigation of the γ′-Strengthened Quaternary Co-Based Alloys Co-Al-W-Ta. Metall. Mater. Trans. A Phys. Metall. Mater. Sci. 49, 4042–4057 (2018).</t>
  </si>
  <si>
    <t>Q0Epishin, A., Petrushin, N., Nolze, G., Gerstein, G. &amp; Maier, H. J. Investigation of the γ′-Strengthened Quaternary Co-Based Alloys Co-Al-W-Ta. Metall. Mater. Trans. A Phys. Metall. Mater. Sci. 49, 4042–4057 (2018).</t>
  </si>
  <si>
    <t>79.0Co-9.0Al-10.0W-2.0Ta</t>
  </si>
  <si>
    <t>-9.Al-10.W-2.Ta</t>
  </si>
  <si>
    <t>Co-7.Al-10.W-2.Ta</t>
  </si>
  <si>
    <t>-7Al-10W-2Ta</t>
  </si>
  <si>
    <t>Q1</t>
  </si>
  <si>
    <t>-7.Al</t>
  </si>
  <si>
    <t>Q1Epishin, A., Petrushin, N., Nolze, G., Gerstein, G. &amp; Maier, H. J. Investigation of the γ′-Strengthened Quaternary Co-Based Alloys Co-Al-W-Ta. Metall. Mater. Trans. A Phys. Metall. Mater. Sci. 49, 4042–4057 (2018).</t>
  </si>
  <si>
    <t>81.0Co-7.0Al-10.0W-2.0Ta</t>
  </si>
  <si>
    <t>-7.Al-10.W-2.Ta</t>
  </si>
  <si>
    <t>Co-11.Al-10.W-2.Ta</t>
  </si>
  <si>
    <t>-11Al-10W-2Ta</t>
  </si>
  <si>
    <t>Q2</t>
  </si>
  <si>
    <t>-11.Al</t>
  </si>
  <si>
    <t>Q2Epishin, A., Petrushin, N., Nolze, G., Gerstein, G. &amp; Maier, H. J. Investigation of the γ′-Strengthened Quaternary Co-Based Alloys Co-Al-W-Ta. Metall. Mater. Trans. A Phys. Metall. Mater. Sci. 49, 4042–4057 (2018).</t>
  </si>
  <si>
    <t>77.0Co-11.0Al-10.0W-2.0Ta</t>
  </si>
  <si>
    <t>-11.Al-10.W-2.Ta</t>
  </si>
  <si>
    <t>Co-9.Al-12.W-2.Ta</t>
  </si>
  <si>
    <t>-9Al-12W-2Ta</t>
  </si>
  <si>
    <t>Q3</t>
  </si>
  <si>
    <t>-12.W</t>
  </si>
  <si>
    <t>Q3Epishin, A., Petrushin, N., Nolze, G., Gerstein, G. &amp; Maier, H. J. Investigation of the γ′-Strengthened Quaternary Co-Based Alloys Co-Al-W-Ta. Metall. Mater. Trans. A Phys. Metall. Mater. Sci. 49, 4042–4057 (2018).</t>
  </si>
  <si>
    <t>77.0Co-9.0Al-12.0W-2.0Ta</t>
  </si>
  <si>
    <t>-9.Al-12.W-2.Ta</t>
  </si>
  <si>
    <t>Co-9.Al-8.W-2.Ta</t>
  </si>
  <si>
    <t>Q4</t>
  </si>
  <si>
    <t>Q4Epishin, A., Petrushin, N., Nolze, G., Gerstein, G. &amp; Maier, H. J. Investigation of the γ′-Strengthened Quaternary Co-Based Alloys Co-Al-W-Ta. Metall. Mater. Trans. A Phys. Metall. Mater. Sci. 49, 4042–4057 (2018).</t>
  </si>
  <si>
    <t>81.0Co-9.0Al-8.0W-2.0Ta</t>
  </si>
  <si>
    <t>-9.Al-8.W-2.Ta</t>
  </si>
  <si>
    <t>Co-9.Al-10.W-0.Ta</t>
  </si>
  <si>
    <t>-9Al-10W-0Ta</t>
  </si>
  <si>
    <t>Q5</t>
  </si>
  <si>
    <t>-0.Ta</t>
  </si>
  <si>
    <t>Q5Epishin, A., Petrushin, N., Nolze, G., Gerstein, G. &amp; Maier, H. J. Investigation of the γ′-Strengthened Quaternary Co-Based Alloys Co-Al-W-Ta. Metall. Mater. Trans. A Phys. Metall. Mater. Sci. 49, 4042–4057 (2018).</t>
  </si>
  <si>
    <t>81.0Co-9.0Al-10.0W-0.0Ta</t>
  </si>
  <si>
    <t>-9.Al-10.W-0.Ta</t>
  </si>
  <si>
    <t>Co-9.Al-10.W-4.Ta</t>
  </si>
  <si>
    <t>-9Al-10W-4Ta</t>
  </si>
  <si>
    <t>Q6</t>
  </si>
  <si>
    <t>Q6Epishin, A., Petrushin, N., Nolze, G., Gerstein, G. &amp; Maier, H. J. Investigation of the γ′-Strengthened Quaternary Co-Based Alloys Co-Al-W-Ta. Metall. Mater. Trans. A Phys. Metall. Mater. Sci. 49, 4042–4057 (2018).</t>
  </si>
  <si>
    <t>77.0Co-9.0Al-10.0W-4.0Ta</t>
  </si>
  <si>
    <t>-9.Al-10.W-4.Ta</t>
  </si>
  <si>
    <t>Co-11.Al-8.W-2.Ta</t>
  </si>
  <si>
    <t>-11Al-8W-2Ta</t>
  </si>
  <si>
    <t>Q7</t>
  </si>
  <si>
    <t>Q7Epishin, A., Petrushin, N., Nolze, G., Gerstein, G. &amp; Maier, H. J. Investigation of the γ′-Strengthened Quaternary Co-Based Alloys Co-Al-W-Ta. Metall. Mater. Trans. A Phys. Metall. Mater. Sci. 49, 4042–4057 (2018).</t>
  </si>
  <si>
    <t>79.0Co-11.0Al-8.0W-2.0Ta</t>
  </si>
  <si>
    <t>-11.Al-8.W-2.Ta</t>
  </si>
  <si>
    <t>Co-7.Al-12.W-2.Ta</t>
  </si>
  <si>
    <t>-7Al-12W-2Ta</t>
  </si>
  <si>
    <t>Q8</t>
  </si>
  <si>
    <t>Q8Epishin, A., Petrushin, N., Nolze, G., Gerstein, G. &amp; Maier, H. J. Investigation of the γ′-Strengthened Quaternary Co-Based Alloys Co-Al-W-Ta. Metall. Mater. Trans. A Phys. Metall. Mater. Sci. 49, 4042–4057 (2018).</t>
  </si>
  <si>
    <t>79.0Co-7.0Al-12.0W-2.0Ta</t>
  </si>
  <si>
    <t>-7.Al-12.W-2.Ta</t>
  </si>
  <si>
    <t>Co-11.Al-10.W-0.Ta</t>
  </si>
  <si>
    <t>-11Al-10W-0Ta</t>
  </si>
  <si>
    <t>Q9</t>
  </si>
  <si>
    <t>Q9Epishin, A., Petrushin, N., Nolze, G., Gerstein, G. &amp; Maier, H. J. Investigation of the γ′-Strengthened Quaternary Co-Based Alloys Co-Al-W-Ta. Metall. Mater. Trans. A Phys. Metall. Mater. Sci. 49, 4042–4057 (2018).</t>
  </si>
  <si>
    <t>79.0Co-11.0Al-10.0W-0.0Ta</t>
  </si>
  <si>
    <t>-11.Al-10.W-0.Ta</t>
  </si>
  <si>
    <t>Co-7.Al-10.W-4.Ta</t>
  </si>
  <si>
    <t>-7Al-10W-4Ta</t>
  </si>
  <si>
    <t>Q10</t>
  </si>
  <si>
    <t>Q10Epishin, A., Petrushin, N., Nolze, G., Gerstein, G. &amp; Maier, H. J. Investigation of the γ′-Strengthened Quaternary Co-Based Alloys Co-Al-W-Ta. Metall. Mater. Trans. A Phys. Metall. Mater. Sci. 49, 4042–4057 (2018).</t>
  </si>
  <si>
    <t>79.0Co-7.0Al-10.0W-4.0Ta</t>
  </si>
  <si>
    <t>-7.Al-10.W-4.Ta</t>
  </si>
  <si>
    <t>Co-9.Al-12.W-0.Ta</t>
  </si>
  <si>
    <t>-9Al-12W-0Ta</t>
  </si>
  <si>
    <t>Q11</t>
  </si>
  <si>
    <t>Q11Epishin, A., Petrushin, N., Nolze, G., Gerstein, G. &amp; Maier, H. J. Investigation of the γ′-Strengthened Quaternary Co-Based Alloys Co-Al-W-Ta. Metall. Mater. Trans. A Phys. Metall. Mater. Sci. 49, 4042–4057 (2018).</t>
  </si>
  <si>
    <t>79.0Co-9.0Al-12.0W-0.0Ta</t>
  </si>
  <si>
    <t>-9.Al-12.W-0.Ta</t>
  </si>
  <si>
    <t>Co-9.Al-8.W-4.Ta</t>
  </si>
  <si>
    <t>-9Al-8W-4Ta</t>
  </si>
  <si>
    <t>Q12</t>
  </si>
  <si>
    <t>Q12Epishin, A., Petrushin, N., Nolze, G., Gerstein, G. &amp; Maier, H. J. Investigation of the γ′-Strengthened Quaternary Co-Based Alloys Co-Al-W-Ta. Metall. Mater. Trans. A Phys. Metall. Mater. Sci. 49, 4042–4057 (2018).</t>
  </si>
  <si>
    <t>79.0Co-9.0Al-8.0W-4.0Ta</t>
  </si>
  <si>
    <t>-9.Al-8.W-4.Ta</t>
  </si>
  <si>
    <t>Co-13.3Al-3.9W-3.2Ta</t>
  </si>
  <si>
    <t>-13Al-4W-3Ta</t>
  </si>
  <si>
    <t>Q13</t>
  </si>
  <si>
    <t>-13.3Al</t>
  </si>
  <si>
    <t>-3.2Ta</t>
  </si>
  <si>
    <t>Q13Epishin, A., Petrushin, N., Nolze, G., Gerstein, G. &amp; Maier, H. J. Investigation of the γ′-Strengthened Quaternary Co-Based Alloys Co-Al-W-Ta. Metall. Mater. Trans. A Phys. Metall. Mater. Sci. 49, 4042–4057 (2018).</t>
  </si>
  <si>
    <t>79.6Co-13.3Al-3.9W-3.2Ta</t>
  </si>
  <si>
    <t>-13.3Al-3.9W-3.2Ta</t>
  </si>
  <si>
    <t>Co-11.Al-5.9W-2.6Ta</t>
  </si>
  <si>
    <t>-11Al-6W-3Ta</t>
  </si>
  <si>
    <t>Q14</t>
  </si>
  <si>
    <t>-5.9W</t>
  </si>
  <si>
    <t>-2.6Ta</t>
  </si>
  <si>
    <t>Q14Epishin, A., Petrushin, N., Nolze, G., Gerstein, G. &amp; Maier, H. J. Investigation of the γ′-Strengthened Quaternary Co-Based Alloys Co-Al-W-Ta. Metall. Mater. Trans. A Phys. Metall. Mater. Sci. 49, 4042–4057 (2018).</t>
  </si>
  <si>
    <t>80.5Co-11.0Al-5.9W-2.6Ta</t>
  </si>
  <si>
    <t>-11.Al-5.9W-2.6Ta</t>
  </si>
  <si>
    <t>Co-30.8Ni-9.5Al-4.4W-3.8Ti-2.7Ta</t>
  </si>
  <si>
    <t>-31Ni-10Al-4W-4Ti-3Ta</t>
  </si>
  <si>
    <t>CoNi-5</t>
  </si>
  <si>
    <t>Fan, Z. et al. Plastic deformation behaviors and mechanical properties of advanced single crystalline CoNi-base superalloys. Mater. Sci. Eng. A 748, 267–274 (2019).</t>
  </si>
  <si>
    <t>-4.4W</t>
  </si>
  <si>
    <t>-30.8Ni</t>
  </si>
  <si>
    <t>-3.8Ti</t>
  </si>
  <si>
    <t>CoNi-5Fan, Z. et al. Plastic deformation behaviors and mechanical properties of advanced single crystalline CoNi-base superalloys. Mater. Sci. Eng. A 748, 267–274 (2019).</t>
  </si>
  <si>
    <t>79.6Co-30.8Ni-9.5Al-4.4W-3.8Ti-2.7Ta</t>
  </si>
  <si>
    <t>-9.5Al-4.4W-2.7Ta-30.8Ni-3.8Ti</t>
  </si>
  <si>
    <t>Co-31.2Ni-9.5Al-7.2W-2.8Ti-1.8Ta</t>
  </si>
  <si>
    <t>-31Ni-10Al-7W-3Ti-2Ta</t>
  </si>
  <si>
    <t>CoNi-2</t>
  </si>
  <si>
    <t>Fan, Z. et al. The temperature dependence of high-temperature strength and deformation mechanism in a single crystal CoNi-base superalloy. Mater. Sci. Eng. A 735, 114–120 (2018).</t>
  </si>
  <si>
    <t>-31.2Ni</t>
  </si>
  <si>
    <t>-2.8Ti</t>
  </si>
  <si>
    <t>CoNi-2Fan, Z. et al. The temperature dependence of high-temperature strength and deformation mechanism in a single crystal CoNi-base superalloy. Mater. Sci. Eng. A 735, 114–120 (2018).</t>
  </si>
  <si>
    <t>78.7Co-31.2Ni-9.5Al-7.2W-2.8Ti-1.8Ta</t>
  </si>
  <si>
    <t>-9.5Al-7.2W-1.8Ta-31.2Ni-2.8Ti</t>
  </si>
  <si>
    <t>Co-30.5Ni-9.6Al-7.1W</t>
  </si>
  <si>
    <t>-31Ni-10Al-7W</t>
  </si>
  <si>
    <t>CoNi-1</t>
  </si>
  <si>
    <t>-7.1W</t>
  </si>
  <si>
    <t>-30.5Ni</t>
  </si>
  <si>
    <t>CoNi-1Fan, Z. et al. The temperature dependence of high-temperature strength and deformation mechanism in a single crystal CoNi-base superalloy. Mater. Sci. Eng. A 735, 114–120 (2018).</t>
  </si>
  <si>
    <t>83.3Co-30.5Ni-9.6Al-7.1W</t>
  </si>
  <si>
    <t>-9.6Al-7.1W-30.5Ni</t>
  </si>
  <si>
    <t>Co-9.Al-9.W-2.Ta-0.Mo-0.02B</t>
  </si>
  <si>
    <t>-9Al-9W-2Ta-0Mo-B</t>
  </si>
  <si>
    <t>0Mo</t>
  </si>
  <si>
    <t>Feng, G., Li, H., Li, S. S. &amp; Sha, J. B. Effect of Mo additions on microstructure and tensile behavior of a Co-Al-W-Ta-B alloy at room temperature. Scr. Mater. 67, 499–502 (2012).</t>
  </si>
  <si>
    <t>-0.Mo</t>
  </si>
  <si>
    <t>-0.02B</t>
  </si>
  <si>
    <t>0MoFeng, G., Li, H., Li, S. S. &amp; Sha, J. B. Effect of Mo additions on microstructure and tensile behavior of a Co-Al-W-Ta-B alloy at room temperature. Scr. Mater. 67, 499–502 (2012).</t>
  </si>
  <si>
    <t>80.0Co-9.0Al-9.0W-2.0Ta-0.0Mo-0.02B</t>
  </si>
  <si>
    <t>-9.Al-9.W-2.Ta-0.Mo-0.02B</t>
  </si>
  <si>
    <t>Co-9.Al-7.W-2.Ta-2.Mo-0.02B</t>
  </si>
  <si>
    <t>-9Al-7W-2Ta-2Mo-B</t>
  </si>
  <si>
    <t>2Mo</t>
  </si>
  <si>
    <t>2MoFeng, G., Li, H., Li, S. S. &amp; Sha, J. B. Effect of Mo additions on microstructure and tensile behavior of a Co-Al-W-Ta-B alloy at room temperature. Scr. Mater. 67, 499–502 (2012).</t>
  </si>
  <si>
    <t>80.0Co-9.0Al-7.0W-2.0Ta-2.0Mo-0.02B</t>
  </si>
  <si>
    <t>-9.Al-7.W-2.Ta-2.Mo-0.02B</t>
  </si>
  <si>
    <t>Co-9.Al-5.W-2.Ta-4.Mo-0.02B</t>
  </si>
  <si>
    <t>-9Al-5W-2Ta-4Mo-B</t>
  </si>
  <si>
    <t>4Mo</t>
  </si>
  <si>
    <t>-5.W</t>
  </si>
  <si>
    <t>4MoFeng, G., Li, H., Li, S. S. &amp; Sha, J. B. Effect of Mo additions on microstructure and tensile behavior of a Co-Al-W-Ta-B alloy at room temperature. Scr. Mater. 67, 499–502 (2012).</t>
  </si>
  <si>
    <t>80.0Co-9.0Al-5.0W-2.0Ta-4.0Mo-0.02B</t>
  </si>
  <si>
    <t>-9.Al-5.W-2.Ta-4.Mo-0.02B</t>
  </si>
  <si>
    <t>Co-9.Al-3.W-2.Ta-6.Mo-0.02B</t>
  </si>
  <si>
    <t>-9Al-3W-2Ta-6Mo-B</t>
  </si>
  <si>
    <t>6Mo</t>
  </si>
  <si>
    <t>-3.W</t>
  </si>
  <si>
    <t>-6.Mo</t>
  </si>
  <si>
    <t>6MoFeng, G., Li, H., Li, S. S. &amp; Sha, J. B. Effect of Mo additions on microstructure and tensile behavior of a Co-Al-W-Ta-B alloy at room temperature. Scr. Mater. 67, 499–502 (2012).</t>
  </si>
  <si>
    <t>80.0Co-9.0Al-3.0W-2.0Ta-6.0Mo-0.02B</t>
  </si>
  <si>
    <t>-9.Al-3.W-2.Ta-6.Mo-0.02B</t>
  </si>
  <si>
    <t>Co-9.Al-2.Ta-9.Mo-0.02B</t>
  </si>
  <si>
    <t>-9Al-2Ta-9Mo-B</t>
  </si>
  <si>
    <t>9Mo</t>
  </si>
  <si>
    <t>-9.Mo</t>
  </si>
  <si>
    <t>9MoFeng, G., Li, H., Li, S. S. &amp; Sha, J. B. Effect of Mo additions on microstructure and tensile behavior of a Co-Al-W-Ta-B alloy at room temperature. Scr. Mater. 67, 499–502 (2012).</t>
  </si>
  <si>
    <t>80.0Co-9.0Al-2.0Ta-9.0Mo-0.02B</t>
  </si>
  <si>
    <t>-9.Al-2.Ta-9.Mo-0.02B</t>
  </si>
  <si>
    <t>Co-11.7Al-9.W-2.1Ti-1.7Ta</t>
  </si>
  <si>
    <t>-12Al-9W-2Ti-2Ta</t>
  </si>
  <si>
    <t>Co-12Al-10W-2Ti-2Ta</t>
  </si>
  <si>
    <t>Ferreras, R. C., Gálvez Díaz-Rubio, F. &amp; Campos Gómez, M. TESIS DOCTORAL Design of high temperature cobalt-based alloys processed by powder metallurgy route Autor.</t>
  </si>
  <si>
    <t>powder metallurgy study, only reporting cast, verified by EDS</t>
  </si>
  <si>
    <t>-1.7Ta</t>
  </si>
  <si>
    <t>Co-12Al-10W-2Ti-2TaFerreras, R. C., Gálvez Díaz-Rubio, F. &amp; Campos Gómez, M. TESIS DOCTORAL Design of high temperature cobalt-based alloys processed by powder metallurgy route Autor.</t>
  </si>
  <si>
    <t>75.5Co-11.7Al-9.0W-2.1Ti-1.7Ta</t>
  </si>
  <si>
    <t>-11.7Al-9.W-1.7Ta-2.1Ti</t>
  </si>
  <si>
    <t>Co-13.7Al-7.7W</t>
  </si>
  <si>
    <t>-14Al-8W</t>
  </si>
  <si>
    <t>Co-12Al-10W</t>
  </si>
  <si>
    <t>-13.7Al</t>
  </si>
  <si>
    <t>Co-12Al-10WFerreras, R. C., Gálvez Díaz-Rubio, F. &amp; Campos Gómez, M. TESIS DOCTORAL Design of high temperature cobalt-based alloys processed by powder metallurgy route Autor.</t>
  </si>
  <si>
    <t>78.6Co-13.7Al-7.7W</t>
  </si>
  <si>
    <t>-13.7Al-7.7W</t>
  </si>
  <si>
    <t>Co-32.Ni-6.Al-12.Cr-3.W-2.5Ti-1.5Ta-0.4Si-0.1Hf-0.08C-0.01Zr-0.08B</t>
  </si>
  <si>
    <t>-32Ni-6Al-12Cr-3W-3Ti-2Ta-Si-Hf-C-Zr-B</t>
  </si>
  <si>
    <t>CoWAlloy1</t>
  </si>
  <si>
    <t>Freund, L. P. et al. High temperature properties and fatigue strength of novel wrought γ/γ′ Co-base superalloys. J. Mater. Res. 32, 4475–4482 (2017).</t>
  </si>
  <si>
    <t>-32.Ni</t>
  </si>
  <si>
    <t>-0.08C</t>
  </si>
  <si>
    <t>-0.01Zr</t>
  </si>
  <si>
    <t>-0.4Si</t>
  </si>
  <si>
    <t>-0.1Hf</t>
  </si>
  <si>
    <t>CoWAlloy1Freund, L. P. et al. High temperature properties and fatigue strength of novel wrought γ/γ′ Co-base superalloys. J. Mater. Res. 32, 4475–4482 (2017).</t>
  </si>
  <si>
    <t>74.3Co-32.0Ni-6.0Al-12.0Cr-3.0W-2.5Ti-1.5Ta-0.4Si-0.1Hf-0.08C-0.01Zr-0.08B</t>
  </si>
  <si>
    <t>-6.Al-12.Cr-3.W-1.5Ta-32.Ni-2.5Ti-0.08C-0.4Si-0.01Zr-0.08B-0.1Hf</t>
  </si>
  <si>
    <t>Co-31.8Ni-8.7Al-12.6Cr-4.7W-0.3Ti-0.2Ta-0.4Si-0.1Hf-0.08C-0.01Zr-0.08B</t>
  </si>
  <si>
    <t>-32Ni-9Al-13Cr-5W-0Ti-0Ta-Si-Hf-C-Zr-B</t>
  </si>
  <si>
    <t>CoWAlloy2</t>
  </si>
  <si>
    <t>Freund, L. P. et al. Segregation assisted microtwinning during creep of a polycrystalline L12-hardened Co-base superalloy. Acta Mater. 123, 295–304 (2017).</t>
  </si>
  <si>
    <t>Ta, Si, Zr, Hf, B, C not determined by EDS</t>
  </si>
  <si>
    <t>-4.7W</t>
  </si>
  <si>
    <t>-31.8Ni</t>
  </si>
  <si>
    <t>-0.2Ta</t>
  </si>
  <si>
    <t>-0.3Ti</t>
  </si>
  <si>
    <t>CoWAlloy2Freund, L. P. et al. Segregation assisted microtwinning during creep of a polycrystalline L12-hardened Co-base superalloy. Acta Mater. 123, 295–304 (2017).</t>
  </si>
  <si>
    <t>72.8Co-31.8Ni-8.7Al-12.6Cr-4.7W-0.3Ti-0.2Ta-0.4Si-0.1Hf-0.08C-0.01Zr-0.08B</t>
  </si>
  <si>
    <t>-8.7Al-12.6Cr-4.7W-0.2Ta-31.8Ni-0.3Ti-0.08C-0.4Si-0.01Zr-0.08B-0.1Hf</t>
  </si>
  <si>
    <t>Co-32.Ni-11.Al-12.Cr-3.W-0.3Ti-0.2Ta-0.4Si-0.1Hf-0.08C-0.01Zr-0.08B</t>
  </si>
  <si>
    <t>-32Ni-11Al-12Cr-3W-0Ti-0Ta-Si-Hf-C-Zr-B</t>
  </si>
  <si>
    <t>CoWAlloy6</t>
  </si>
  <si>
    <t>Freund, L. P. et al. The Effect of a Grain Boundary Pinning B2 Phase on Polycrystalline Co-Based Superalloys with Reduced Density. Metall. Mater. Trans. A Phys. Metall. Mater. Sci. 49, 4070–4078 (2018).</t>
  </si>
  <si>
    <t>CoWAlloy6Freund, L. P. et al. The Effect of a Grain Boundary Pinning B2 Phase on Polycrystalline Co-Based Superalloys with Reduced Density. Metall. Mater. Trans. A Phys. Metall. Mater. Sci. 49, 4070–4078 (2018).</t>
  </si>
  <si>
    <t>72.8Co-32.0Ni-11.0Al-12.0Cr-3.0W-0.3Ti-0.2Ta-0.4Si-0.1Hf-0.08C-0.01Zr-0.08B</t>
  </si>
  <si>
    <t>-11.Al-12.Cr-3.W-0.2Ta-32.Ni-0.3Ti-0.08C-0.4Si-0.01Zr-0.08B-0.1Hf</t>
  </si>
  <si>
    <t>Co-32.Ni-9.Al-12.Cr-5.W-0.3Ti-0.2Ta-1.Mo-0.4Si-0.1Hf-0.08C-0.01Zr-0.08B</t>
  </si>
  <si>
    <t>-32Ni-9Al-12Cr-5W-0Ti-0Ta-1Mo-Si-Hf-C-Zr-B</t>
  </si>
  <si>
    <t>CoWAlloy3</t>
  </si>
  <si>
    <t>Freund, L. P. et al. The grain boundary pinning effect of the μ phase in an advanced polycrystalline γ/γ′ Co-base superalloy. J. Alloys Compd. 753, 333–342 (2018).</t>
  </si>
  <si>
    <t>-1.Mo</t>
  </si>
  <si>
    <t>CoWAlloy3Freund, L. P. et al. The grain boundary pinning effect of the μ phase in an advanced polycrystalline γ/γ′ Co-base superalloy. J. Alloys Compd. 753, 333–342 (2018).</t>
  </si>
  <si>
    <t>71.8Co-32.0Ni-9.0Al-12.0Cr-5.0W-0.3Ti-0.2Ta-1.0Mo-0.4Si-0.1Hf-0.08C-0.01Zr-0.08B</t>
  </si>
  <si>
    <t>-9.Al-12.Cr-5.W-0.2Ta-32.Ni-1.Mo-0.3Ti-0.08C-0.4Si-0.01Zr-0.08B-0.1Hf</t>
  </si>
  <si>
    <t>Co-29.7Ni-8.9Al-12.3Cr-5.1W</t>
  </si>
  <si>
    <t>-30Ni-9Al-12Cr-5W</t>
  </si>
  <si>
    <t>5W</t>
  </si>
  <si>
    <t>Fu, H. et al. Microstructure and Properties Evolution of Co-Al-W-Ni-Cr Superalloys by Molybdenum and Niobium Substitutions for Tungsten. Metall. Mater. Trans. A Phys. Metall. Mater. Sci. 51, 299–308 (2020).</t>
  </si>
  <si>
    <t>-29.7Ni</t>
  </si>
  <si>
    <t>-12.3Cr</t>
  </si>
  <si>
    <t>5WFu, H. et al. Microstructure and Properties Evolution of Co-Al-W-Ni-Cr Superalloys by Molybdenum and Niobium Substitutions for Tungsten. Metall. Mater. Trans. A Phys. Metall. Mater. Sci. 51, 299–308 (2020).</t>
  </si>
  <si>
    <t>73.8Co-29.7Ni-8.9Al-12.3Cr-5.1W</t>
  </si>
  <si>
    <t>-8.9Al-12.3Cr-5.1W-29.7Ni</t>
  </si>
  <si>
    <t>Co-29.5Ni-8.9Al-12.6Cr-3.9W-1.Mo</t>
  </si>
  <si>
    <t>-29Ni-9Al-13Cr-4W-1Mo</t>
  </si>
  <si>
    <t>4W1Mo</t>
  </si>
  <si>
    <t>4W1MoFu, H. et al. Microstructure and Properties Evolution of Co-Al-W-Ni-Cr Superalloys by Molybdenum and Niobium Substitutions for Tungsten. Metall. Mater. Trans. A Phys. Metall. Mater. Sci. 51, 299–308 (2020).</t>
  </si>
  <si>
    <t>73.6Co-29.5Ni-8.9Al-12.6Cr-3.9W-1.0Mo</t>
  </si>
  <si>
    <t>-8.9Al-12.6Cr-3.9W-29.5Ni-1.Mo</t>
  </si>
  <si>
    <t>Co-29.9Ni-8.9Al-12.1Cr-3.1W-1.8Mo</t>
  </si>
  <si>
    <t>-30Ni-9Al-12Cr-3W-2Mo</t>
  </si>
  <si>
    <t>3W2Mo</t>
  </si>
  <si>
    <t>-3.1W</t>
  </si>
  <si>
    <t>-29.9Ni</t>
  </si>
  <si>
    <t>-12.1Cr</t>
  </si>
  <si>
    <t>3W2MoFu, H. et al. Microstructure and Properties Evolution of Co-Al-W-Ni-Cr Superalloys by Molybdenum and Niobium Substitutions for Tungsten. Metall. Mater. Trans. A Phys. Metall. Mater. Sci. 51, 299–308 (2020).</t>
  </si>
  <si>
    <t>74.1Co-29.9Ni-8.9Al-12.1Cr-3.1W-1.8Mo</t>
  </si>
  <si>
    <t>-8.9Al-12.1Cr-3.1W-29.9Ni-1.8Mo</t>
  </si>
  <si>
    <t>Co-26.7Ni-9.1Al-12.4Cr-1.3W-3.8Mo</t>
  </si>
  <si>
    <t>-27Ni-9Al-12Cr-1W-4Mo</t>
  </si>
  <si>
    <t>1W4Mo</t>
  </si>
  <si>
    <t>-1.3W</t>
  </si>
  <si>
    <t>-26.7Ni</t>
  </si>
  <si>
    <t>-12.4Cr</t>
  </si>
  <si>
    <t>-3.8Mo</t>
  </si>
  <si>
    <t>1W4MoFu, H. et al. Microstructure and Properties Evolution of Co-Al-W-Ni-Cr Superalloys by Molybdenum and Niobium Substitutions for Tungsten. Metall. Mater. Trans. A Phys. Metall. Mater. Sci. 51, 299–308 (2020).</t>
  </si>
  <si>
    <t>73.5Co-26.7Ni-9.1Al-12.4Cr-1.3W-3.8Mo</t>
  </si>
  <si>
    <t>-9.1Al-12.4Cr-1.3W-26.7Ni-3.8Mo</t>
  </si>
  <si>
    <t>Co-29.9Ni-9.Al-12.2Cr-4.1W-1.Nb</t>
  </si>
  <si>
    <t>-30Ni-9Al-12Cr-4W-1Nb</t>
  </si>
  <si>
    <t>4W1Nb</t>
  </si>
  <si>
    <t>-4.1W</t>
  </si>
  <si>
    <t>-12.2Cr</t>
  </si>
  <si>
    <t>4W1NbFu, H. et al. Microstructure and Properties Evolution of Co-Al-W-Ni-Cr Superalloys by Molybdenum and Niobium Substitutions for Tungsten. Metall. Mater. Trans. A Phys. Metall. Mater. Sci. 51, 299–308 (2020).</t>
  </si>
  <si>
    <t>73.7Co-29.9Ni-9.0Al-12.2Cr-4.1W-1.0Nb</t>
  </si>
  <si>
    <t>-9.Al-12.2Cr-4.1W-29.9Ni-1.Nb</t>
  </si>
  <si>
    <t>Co-29.9Ni-8.7Al-12.1Cr-3.1W-1.8Nb</t>
  </si>
  <si>
    <t>-30Ni-9Al-12Cr-3W-2Nb</t>
  </si>
  <si>
    <t>3W2Nb</t>
  </si>
  <si>
    <t>3W2NbFu, H. et al. Microstructure and Properties Evolution of Co-Al-W-Ni-Cr Superalloys by Molybdenum and Niobium Substitutions for Tungsten. Metall. Mater. Trans. A Phys. Metall. Mater. Sci. 51, 299–308 (2020).</t>
  </si>
  <si>
    <t>74.3Co-29.9Ni-8.7Al-12.1Cr-3.1W-1.8Nb</t>
  </si>
  <si>
    <t>-8.7Al-12.1Cr-3.1W-29.9Ni-1.8Nb</t>
  </si>
  <si>
    <t>Co-29.7Ni-9.1Al-12.4Cr-1.3W-3.7Nb</t>
  </si>
  <si>
    <t>-30Ni-9Al-12Cr-1W-4Nb</t>
  </si>
  <si>
    <t>1W4Nb</t>
  </si>
  <si>
    <t>-3.7Nb</t>
  </si>
  <si>
    <t>1W4NbFu, H. et al. Microstructure and Properties Evolution of Co-Al-W-Ni-Cr Superalloys by Molybdenum and Niobium Substitutions for Tungsten. Metall. Mater. Trans. A Phys. Metall. Mater. Sci. 51, 299–308 (2020).</t>
  </si>
  <si>
    <t>73.5Co-29.7Ni-9.1Al-12.4Cr-1.3W-3.7Nb</t>
  </si>
  <si>
    <t>-9.1Al-12.4Cr-1.3W-29.7Ni-3.7Nb</t>
  </si>
  <si>
    <t>Co-30.Ni-6.7Al-3.3Ti</t>
  </si>
  <si>
    <t>-30Ni-7Al-3Ti</t>
  </si>
  <si>
    <t>3.3Ti</t>
  </si>
  <si>
    <t>Gao, Q. et al. Effects of alloying elements on microstructure and mechanical properties of Co–Ni–Al–Ti superalloy. Mater. Sci. Eng. A 779, (2020).</t>
  </si>
  <si>
    <t>-6.7Al</t>
  </si>
  <si>
    <t>-3.3Ti</t>
  </si>
  <si>
    <t>3.3TiGao, Q. et al. Effects of alloying elements on microstructure and mechanical properties of Co–Ni–Al–Ti superalloy. Mater. Sci. Eng. A 779, (2020).</t>
  </si>
  <si>
    <t>90.0Co-30.0Ni-6.7Al-3.3Ti</t>
  </si>
  <si>
    <t>-6.7Al-30.Ni-3.3Ti</t>
  </si>
  <si>
    <t>Co-30.Ni-7.5Al-2.5Ti</t>
  </si>
  <si>
    <t>-30Ni-8Al-3Ti</t>
  </si>
  <si>
    <t>2.5Ti</t>
  </si>
  <si>
    <t>2.5TiGao, Q. et al. Effects of alloying elements on microstructure and mechanical properties of Co–Ni–Al–Ti superalloy. Mater. Sci. Eng. A 779, (2020).</t>
  </si>
  <si>
    <t>90.0Co-30.0Ni-7.5Al-2.5Ti</t>
  </si>
  <si>
    <t>-7.5Al-30.Ni-2.5Ti</t>
  </si>
  <si>
    <t>Co-30.Ni-7.5Al-2.Cr-2.5Ti</t>
  </si>
  <si>
    <t>-30Ni-8Al-2Cr-3Ti</t>
  </si>
  <si>
    <t>2Cr</t>
  </si>
  <si>
    <t>2CrGao, Q. et al. Effects of alloying elements on microstructure and mechanical properties of Co–Ni–Al–Ti superalloy. Mater. Sci. Eng. A 779, (2020).</t>
  </si>
  <si>
    <t>88.0Co-30.0Ni-7.5Al-2.0Cr-2.5Ti</t>
  </si>
  <si>
    <t>-7.5Al-2.Cr-30.Ni-2.5Ti</t>
  </si>
  <si>
    <t>Co-30.Ni-7.5Al-2.5Ti-2.Mo</t>
  </si>
  <si>
    <t>-30Ni-8Al-3Ti-2Mo</t>
  </si>
  <si>
    <t>2MoGao, Q. et al. Effects of alloying elements on microstructure and mechanical properties of Co–Ni–Al–Ti superalloy. Mater. Sci. Eng. A 779, (2020).</t>
  </si>
  <si>
    <t>88.0Co-30.0Ni-7.5Al-2.5Ti-2.0Mo</t>
  </si>
  <si>
    <t>-7.5Al-30.Ni-2.Mo-2.5Ti</t>
  </si>
  <si>
    <t>Co-30.Ni-8.3Al-1.7Ti</t>
  </si>
  <si>
    <t>-30Ni-8Al-2Ti</t>
  </si>
  <si>
    <t>1.7Ti</t>
  </si>
  <si>
    <t>-1.7Ti</t>
  </si>
  <si>
    <t>1.7TiGao, Q. et al. Effects of alloying elements on microstructure and mechanical properties of Co–Ni–Al–Ti superalloy. Mater. Sci. Eng. A 779, (2020).</t>
  </si>
  <si>
    <t>90.0Co-30.0Ni-8.3Al-1.7Ti</t>
  </si>
  <si>
    <t>-8.3Al-30.Ni-1.7Ti</t>
  </si>
  <si>
    <t>Co-30.Ni-11.Al-5.Cr-4.W-4.Ti-1.Ta</t>
  </si>
  <si>
    <t>-30Ni-11Al-5Cr-4W-4Ti-1Ta</t>
  </si>
  <si>
    <t>He alloy1</t>
  </si>
  <si>
    <t>He, J., Zou, M., Li, L., Wang, X. &amp; Feng, Q. Creep behaviour of a novel CoNi-base single-crystal superalloy at high temperature and low stress. Mater. Lett. 262, (2020).</t>
  </si>
  <si>
    <t>single crystal</t>
  </si>
  <si>
    <t>-5.Cr</t>
  </si>
  <si>
    <t>-4.Ti</t>
  </si>
  <si>
    <t>He alloy1He, J., Zou, M., Li, L., Wang, X. &amp; Feng, Q. Creep behaviour of a novel CoNi-base single-crystal superalloy at high temperature and low stress. Mater. Lett. 262, (2020).</t>
  </si>
  <si>
    <t>75.0Co-30.0Ni-11.0Al-5.0Cr-4.0W-4.0Ti-1.0Ta</t>
  </si>
  <si>
    <t>-11.Al-5.Cr-4.W-1.Ta-30.Ni-4.Ti</t>
  </si>
  <si>
    <t>Co-20.4Ni-9.8Al-7.4W-2.7Ti-0.4C-0.1B</t>
  </si>
  <si>
    <t>-20Ni-10Al-7W-3Ti-C-B</t>
  </si>
  <si>
    <t>9.8Al-7.4W-2.7Ti-20.4Ni-0.4C- 0.1B</t>
  </si>
  <si>
    <t>Homepage, J., Sani, S. A., Arabi, H., Kheirandish, S. &amp; Ebrahimi, G. R. Iranian Journal of Materials Forming Flow Stress Modeling in a γ-γ / Cobalt Base Superalloy by Using the Hyperbolic Sine Equation and ANN Method. Number 1 Iran. J. Mater. Form. 6, 44–55 (2019).</t>
  </si>
  <si>
    <t>composiiton measured</t>
  </si>
  <si>
    <t>-20.4Ni</t>
  </si>
  <si>
    <t>-0.4C</t>
  </si>
  <si>
    <t>9.8Al-7.4W-2.7Ti-20.4Ni-0.4C- 0.1BHomepage, J., Sani, S. A., Arabi, H., Kheirandish, S. &amp; Ebrahimi, G. R. Iranian Journal of Materials Forming Flow Stress Modeling in a γ-γ / Cobalt Base Superalloy by Using the Hyperbolic Sine Equation and ANN Method. Number 1 Iran. J. Mater. Form. 6, 44–55 (2019).</t>
  </si>
  <si>
    <t>79.6Co-20.4Ni-9.8Al-7.4W-2.7Ti-0.40C-0.10B</t>
  </si>
  <si>
    <t>-9.8Al-7.4W-20.4Ni-2.7Ti-0.4C-0.1B</t>
  </si>
  <si>
    <t>Co-12.Ti</t>
  </si>
  <si>
    <t>-12Ti</t>
  </si>
  <si>
    <t>Co-12Ti</t>
  </si>
  <si>
    <t>Im, H. J. et al. Elemental partitioning and site-occupancy in γ/γ′ forming Co-Ti-Mo and Co-Ti-Cr alloys. Scr. Mater. 154, 159–162 (2018).</t>
  </si>
  <si>
    <t>-12.Ti</t>
  </si>
  <si>
    <t>Co-12TiIm, H. J. et al. Elemental partitioning and site-occupancy in γ/γ′ forming Co-Ti-Mo and Co-Ti-Cr alloys. Scr. Mater. 154, 159–162 (2018).</t>
  </si>
  <si>
    <t>88.0Co-12.0Ti</t>
  </si>
  <si>
    <t>Co-12.Ti-4.Mo</t>
  </si>
  <si>
    <t>-12Ti-4Mo</t>
  </si>
  <si>
    <t>+4Mo</t>
  </si>
  <si>
    <t>+4MoIm, H. J. et al. Elemental partitioning and site-occupancy in γ/γ′ forming Co-Ti-Mo and Co-Ti-Cr alloys. Scr. Mater. 154, 159–162 (2018).</t>
  </si>
  <si>
    <t>84.0Co-12.0Ti-4.0Mo</t>
  </si>
  <si>
    <t>-4.Mo-12.Ti</t>
  </si>
  <si>
    <t>Co-4.Cr-12.Ti</t>
  </si>
  <si>
    <t>-4Cr-12Ti</t>
  </si>
  <si>
    <t>+4Cr</t>
  </si>
  <si>
    <t>+4CrIm, H. J. et al. Elemental partitioning and site-occupancy in γ/γ′ forming Co-Ti-Mo and Co-Ti-Cr alloys. Scr. Mater. 154, 159–162 (2018).</t>
  </si>
  <si>
    <t>84.0Co-4.0Cr-12.0Ti</t>
  </si>
  <si>
    <t>-4.Cr-12.Ti</t>
  </si>
  <si>
    <t>Co-10.Al-11.W</t>
  </si>
  <si>
    <t>Pure L12 phase</t>
  </si>
  <si>
    <t>Inui, H., Oohashi, T., Okamoto, N. L., Kishida, K. &amp; Tanaka, K. Mechanical properties of the ternary L12 compound Co 3(Al, W) in singleand polycrystalline forms. Adv. Mater. Res. 278, 1–6 (2011).</t>
  </si>
  <si>
    <t>Pure L12 phaseInui, H., Oohashi, T., Okamoto, N. L., Kishida, K. &amp; Tanaka, K. Mechanical properties of the ternary L12 compound Co 3(Al, W) in singleand polycrystalline forms. Adv. Mater. Res. 278, 1–6 (2011).</t>
  </si>
  <si>
    <t>79.0Co-10.0Al-11.0W</t>
  </si>
  <si>
    <t>-10.Al-11.W</t>
  </si>
  <si>
    <t>Co-33.5Ni-12.Al-17.Cr-3.W-1.Ta</t>
  </si>
  <si>
    <t>-34Ni-12Al-17Cr-3W-1Ta</t>
  </si>
  <si>
    <t>17Cr-12Al</t>
  </si>
  <si>
    <t>Ismail, F. B. et al. Alloying effects on oxidation mechanisms in polycrystalline Co–Ni base superalloys. Corros. Sci. 116, 44–52 (2017).</t>
  </si>
  <si>
    <t>HIP powder</t>
  </si>
  <si>
    <t>-33.5Ni</t>
  </si>
  <si>
    <t>-17.Cr</t>
  </si>
  <si>
    <t>17Cr-12AlIsmail, F. B. et al. Alloying effects on oxidation mechanisms in polycrystalline Co–Ni base superalloys. Corros. Sci. 116, 44–52 (2017).</t>
  </si>
  <si>
    <t>67.0Co-33.5Ni-12.0Al-17.0Cr-3.0W-1.0Ta</t>
  </si>
  <si>
    <t>-12.Al-17.Cr-3.W-1.Ta-33.5Ni</t>
  </si>
  <si>
    <t>Co-35.Ni-10.Al-15.Cr-3.W-1.Ta</t>
  </si>
  <si>
    <t>-35Ni-10Al-15Cr-3W-1Ta</t>
  </si>
  <si>
    <t>15Cr-10Al</t>
  </si>
  <si>
    <t>-15.Cr</t>
  </si>
  <si>
    <t>15Cr-10AlIsmail, F. B. et al. Alloying effects on oxidation mechanisms in polycrystalline Co–Ni base superalloys. Corros. Sci. 116, 44–52 (2017).</t>
  </si>
  <si>
    <t>71.0Co-35.0Ni-10.0Al-15.0Cr-3.0W-1.0Ta</t>
  </si>
  <si>
    <t>-10.Al-15.Cr-3.W-1.Ta-35.Ni</t>
  </si>
  <si>
    <t>Co-29.Ni-10.Al-17.Cr-3.W-1.Ta</t>
  </si>
  <si>
    <t>-29Ni-10Al-17Cr-3W-1Ta</t>
  </si>
  <si>
    <t>1.3Co-17Cr-10Al</t>
  </si>
  <si>
    <t>1.3Co-17Cr-10AlIsmail, F. B. et al. Alloying effects on oxidation mechanisms in polycrystalline Co–Ni base superalloys. Corros. Sci. 116, 44–52 (2017).</t>
  </si>
  <si>
    <t>69.0Co-29.0Ni-10.0Al-17.0Cr-3.0W-1.0Ta</t>
  </si>
  <si>
    <t>-10.Al-17.Cr-3.W-1.Ta-29.Ni</t>
  </si>
  <si>
    <t>Co-6.7Al-8.1W-6.2Ti</t>
  </si>
  <si>
    <t>-7Al-8W-6Ti</t>
  </si>
  <si>
    <t>Quat-Ti</t>
  </si>
  <si>
    <t>Jackson, R. W., Titus, M. S., Begley, M. R. &amp; Pollock, T. M. Thermal expansion behavior of new Co-based alloys and implications for coatings. Surf. Coatings Technol. 289, 61–68 (2016).</t>
  </si>
  <si>
    <t>Quat-TiJackson, R. W., Titus, M. S., Begley, M. R. &amp; Pollock, T. M. Thermal expansion behavior of new Co-based alloys and implications for coatings. Surf. Coatings Technol. 289, 61–68 (2016).</t>
  </si>
  <si>
    <t>79.0Co-6.7Al-8.1W-6.2Ti</t>
  </si>
  <si>
    <t>-6.7Al-8.1W-6.2Ti</t>
  </si>
  <si>
    <t>Co-9.4Al-10.7W</t>
  </si>
  <si>
    <t>-9Al-11W</t>
  </si>
  <si>
    <t>Ternary</t>
  </si>
  <si>
    <t>-10.7W</t>
  </si>
  <si>
    <t>TernaryJackson, R. W., Titus, M. S., Begley, M. R. &amp; Pollock, T. M. Thermal expansion behavior of new Co-based alloys and implications for coatings. Surf. Coatings Technol. 289, 61–68 (2016).</t>
  </si>
  <si>
    <t>79.9Co-9.4Al-10.7W</t>
  </si>
  <si>
    <t>-9.4Al-10.7W</t>
  </si>
  <si>
    <t>Co-8.8Al-9.8W-2.Ta</t>
  </si>
  <si>
    <t>Quat-Ta</t>
  </si>
  <si>
    <t>-9.8W</t>
  </si>
  <si>
    <t>Quat-TaJackson, R. W., Titus, M. S., Begley, M. R. &amp; Pollock, T. M. Thermal expansion behavior of new Co-based alloys and implications for coatings. Surf. Coatings Technol. 289, 61–68 (2016).</t>
  </si>
  <si>
    <t>79.4Co-8.8Al-9.8W-2.0Ta</t>
  </si>
  <si>
    <t>-8.8Al-9.8W-2.Ta</t>
  </si>
  <si>
    <t>Co-29.6Ni-11.2Al-6.5W-2.8Ta</t>
  </si>
  <si>
    <t>-30Ni-11Al-7W-3Ta</t>
  </si>
  <si>
    <t>CoNi-E</t>
  </si>
  <si>
    <t>-11.2Al</t>
  </si>
  <si>
    <t>-6.5W</t>
  </si>
  <si>
    <t>-29.6Ni</t>
  </si>
  <si>
    <t>-2.8Ta</t>
  </si>
  <si>
    <t>CoNi-EJackson, R. W., Titus, M. S., Begley, M. R. &amp; Pollock, T. M. Thermal expansion behavior of new Co-based alloys and implications for coatings. Surf. Coatings Technol. 289, 61–68 (2016).</t>
  </si>
  <si>
    <t>79.5Co-29.6Ni-11.2Al-6.5W-2.8Ta</t>
  </si>
  <si>
    <t>-11.2Al-6.5W-2.8Ta-29.6Ni</t>
  </si>
  <si>
    <t>Co-23.4Ni-9.5Al-1.9Cr-4.1W-1.8Ta</t>
  </si>
  <si>
    <t>-23Ni-9Al-2Cr-4W-2Ta</t>
  </si>
  <si>
    <t>Co-10Al-4W-25Ni-2Ta-2Ti</t>
  </si>
  <si>
    <t>Katelun Wertz, B., Mills, M., Stephen Niezgoda, A. &amp; Yunzhi Wang Kiran, A. D. Exploration of Phase Stability and Hot Workability of Polycrystalline Co-Al-W-Base Superalloys.</t>
  </si>
  <si>
    <t>-23.4Ni</t>
  </si>
  <si>
    <t>Co-10Al-4W-25Ni-2Ta-2TiKatelun Wertz, B., Mills, M., Stephen Niezgoda, A. &amp; Yunzhi Wang Kiran, A. D. Exploration of Phase Stability and Hot Workability of Polycrystalline Co-Al-W-Base Superalloys.</t>
  </si>
  <si>
    <t>82.7Co-23.4Ni-9.5Al-1.9Cr-4.1W-1.8Ta</t>
  </si>
  <si>
    <t>-9.5Al-1.9Cr-4.1W-1.8Ta-23.4Ni</t>
  </si>
  <si>
    <t>Co-9.Al-4.6W</t>
  </si>
  <si>
    <t>-9Al-5W</t>
  </si>
  <si>
    <t>Co-9Al-4.6W</t>
  </si>
  <si>
    <t>Kazantseva, N. V. et al. Mechanical and magnetic properties of alloys near the concentration range of the existence of Co3(Al,W) intermetallic compound. Phys. Met. Metallogr. 118, 432–438 (2017).</t>
  </si>
  <si>
    <t>-4.6W</t>
  </si>
  <si>
    <t>Co-9Al-4.6WKazantseva, N. V. et al. Mechanical and magnetic properties of alloys near the concentration range of the existence of Co3(Al,W) intermetallic compound. Phys. Met. Metallogr. 118, 432–438 (2017).</t>
  </si>
  <si>
    <t>86.4Co-9.0Al-4.6W</t>
  </si>
  <si>
    <t>-9.Al-4.6W</t>
  </si>
  <si>
    <t>Co-7.9Al-6.8W</t>
  </si>
  <si>
    <t>-8Al-7W</t>
  </si>
  <si>
    <t>-6.8W</t>
  </si>
  <si>
    <t>Co-7.9Al-6.8WKazantseva, N. V. et al. Mechanical and magnetic properties of alloys near the concentration range of the existence of Co3(Al,W) intermetallic compound. Phys. Met. Metallogr. 118, 432–438 (2017).</t>
  </si>
  <si>
    <t>85.3Co-7.9Al-6.8W</t>
  </si>
  <si>
    <t>-7.9Al-6.8W</t>
  </si>
  <si>
    <t>Co-8.2Al-8.5W</t>
  </si>
  <si>
    <t>Co-8.2Al-8.5WKazantseva, N. V. et al. Mechanical and magnetic properties of alloys near the concentration range of the existence of Co3(Al,W) intermetallic compound. Phys. Met. Metallogr. 118, 432–438 (2017).</t>
  </si>
  <si>
    <t>83.3Co-8.2Al-8.5W</t>
  </si>
  <si>
    <t>-8.2Al-8.5W</t>
  </si>
  <si>
    <t>Co-8.7Al-10.W</t>
  </si>
  <si>
    <t>Co-8.7Al-10W</t>
  </si>
  <si>
    <t>Co-8.7Al-10WKazantseva, N. V. et al. Mechanical and magnetic properties of alloys near the concentration range of the existence of Co3(Al,W) intermetallic compound. Phys. Met. Metallogr. 118, 432–438 (2017).</t>
  </si>
  <si>
    <t>81.3Co-8.7Al-10.0W</t>
  </si>
  <si>
    <t>-8.7Al-10.W</t>
  </si>
  <si>
    <t>Co-8.2Al-12.6W</t>
  </si>
  <si>
    <t>-8Al-13W</t>
  </si>
  <si>
    <t>-12.6W</t>
  </si>
  <si>
    <t>Co-8.2Al-12.6WKazantseva, N. V. et al. Mechanical and magnetic properties of alloys near the concentration range of the existence of Co3(Al,W) intermetallic compound. Phys. Met. Metallogr. 118, 432–438 (2017).</t>
  </si>
  <si>
    <t>79.2Co-8.2Al-12.6W</t>
  </si>
  <si>
    <t>-8.2Al-12.6W</t>
  </si>
  <si>
    <t>Co-34.2Ni-10.5Al-14.8Cr-3.W-1.Ta-0.15C-0.04Zr-0.2B</t>
  </si>
  <si>
    <t>-34Ni-11Al-15Cr-3W-1Ta-C-Zr-B</t>
  </si>
  <si>
    <t>V208C</t>
  </si>
  <si>
    <t>Knop, M. et al. A New Polycrystalline Co-Ni Superalloy. JOM 66, 2495–2501 (2014)</t>
  </si>
  <si>
    <t>HIP powder metallurgy</t>
  </si>
  <si>
    <t>-14.8Cr</t>
  </si>
  <si>
    <t>-0.15C</t>
  </si>
  <si>
    <t>-0.2B</t>
  </si>
  <si>
    <t>V208CKnop, M. et al. A New Polycrystalline Co-Ni Superalloy. JOM 66, 2495–2501 (2014)</t>
  </si>
  <si>
    <t>70.3Co-34.2Ni-10.5Al-14.8Cr-3.0W-1.0Ta-0.15C-0.04Zr-0.20B</t>
  </si>
  <si>
    <t>-10.5Al-14.8Cr-3.W-1.Ta-34.2Ni-0.15C-0.04Zr-0.2B</t>
  </si>
  <si>
    <t>mystery-10Al-12Cr</t>
  </si>
  <si>
    <t>-Ni,Al,W,Ta-9Al-10W</t>
  </si>
  <si>
    <t>mystery-12Cr-10Al</t>
  </si>
  <si>
    <t>Knop, M., Vorontsov, V. A., Hardy, M. C. &amp; Dye, D. High-temperature γ (FCC)/ γ ′ (L1 2 ) Co-Al-W based superalloys. MATEC Web Conf. 14, 18003 (2014).</t>
  </si>
  <si>
    <t>XX</t>
  </si>
  <si>
    <t>composition not given</t>
  </si>
  <si>
    <t>-XXW</t>
  </si>
  <si>
    <t>-XXNi</t>
  </si>
  <si>
    <t>-XXTi</t>
  </si>
  <si>
    <t>mystery-12Cr-10AlKnop, M., Vorontsov, V. A., Hardy, M. C. &amp; Dye, D. High-temperature γ (FCC)/ γ ′ (L1 2 ) Co-Al-W based superalloys. MATEC Web Conf. 14, 18003 (2014).</t>
  </si>
  <si>
    <t>Co-XXNi-10.Al-12.Cr-XXW-XXTi</t>
  </si>
  <si>
    <t>81.0Co-9.4Al-9.6W</t>
  </si>
  <si>
    <t>-10.Al-12.Cr-XXW-XXNi-XXTi</t>
  </si>
  <si>
    <t>Co-9.4Al-9.6W</t>
  </si>
  <si>
    <t>Base</t>
  </si>
  <si>
    <t>Kobayashi, S., Tsukamoto, Y. &amp; Takasugi, T. Phase equilibria in the Co-rich Co-Al-W-Ti quaternary system. Intermetallics 19, 1908–1912 (2011).</t>
  </si>
  <si>
    <t>BaseKobayashi, S., Tsukamoto, Y. &amp; Takasugi, T. Phase equilibria in the Co-rich Co-Al-W-Ti quaternary system. Intermetallics 19, 1908–1912 (2011).</t>
  </si>
  <si>
    <t>84.8Co-7.5Al-7.7W</t>
  </si>
  <si>
    <t>-9.4Al-9.6W</t>
  </si>
  <si>
    <t>Co-7.5Al-7.7W-3.3Ti</t>
  </si>
  <si>
    <t>-8Al-8W-3Ti</t>
  </si>
  <si>
    <t>3.3TiKobayashi, S., Tsukamoto, Y. &amp; Takasugi, T. Phase equilibria in the Co-rich Co-Al-W-Ti quaternary system. Intermetallics 19, 1908–1912 (2011).</t>
  </si>
  <si>
    <t>88.6Co-3.3Ni-5.6Al-5.8W</t>
  </si>
  <si>
    <t>-7.5Al-7.7W-3.3Ti</t>
  </si>
  <si>
    <t>Co-5.6Al-5.8W-6.6Ti</t>
  </si>
  <si>
    <t>-6Al-6W-7Ti</t>
  </si>
  <si>
    <t>6.6Ti</t>
  </si>
  <si>
    <t>-6.6Ti</t>
  </si>
  <si>
    <t>6.6TiKobayashi, S., Tsukamoto, Y. &amp; Takasugi, T. Phase equilibria in the Co-rich Co-Al-W-Ti quaternary system. Intermetallics 19, 1908–1912 (2011).</t>
  </si>
  <si>
    <t>92.4Co-6.6Ni-3.8Al-3.8W</t>
  </si>
  <si>
    <t>-5.6Al-5.8W-6.6Ti</t>
  </si>
  <si>
    <t>Co-3.8Al-3.8W-9.9Ti</t>
  </si>
  <si>
    <t>-4Al-4W-10Ti</t>
  </si>
  <si>
    <t>9.9T</t>
  </si>
  <si>
    <t>-3.8Al</t>
  </si>
  <si>
    <t>-3.8W</t>
  </si>
  <si>
    <t>-9.9Ti</t>
  </si>
  <si>
    <t>9.9TKobayashi, S., Tsukamoto, Y. &amp; Takasugi, T. Phase equilibria in the Co-rich Co-Al-W-Ti quaternary system. Intermetallics 19, 1908–1912 (2011).</t>
  </si>
  <si>
    <t>96.2Co-9.9Ni-1.9Al-1.9W</t>
  </si>
  <si>
    <t>-3.8Al-3.8W-9.9Ti</t>
  </si>
  <si>
    <t>Co-1.9Al-1.9W-13.2Ti</t>
  </si>
  <si>
    <t>-2Al-2W-13Ti</t>
  </si>
  <si>
    <t>13.2Ti</t>
  </si>
  <si>
    <t>-1.9Al</t>
  </si>
  <si>
    <t>-1.9W</t>
  </si>
  <si>
    <t>-13.2Ti</t>
  </si>
  <si>
    <t>13.2TiKobayashi, S., Tsukamoto, Y. &amp; Takasugi, T. Phase equilibria in the Co-rich Co-Al-W-Ti quaternary system. Intermetallics 19, 1908–1912 (2011).</t>
  </si>
  <si>
    <t>100.0Co-3.2Ni</t>
  </si>
  <si>
    <t>-1.9Al-1.9W-13.2Ti</t>
  </si>
  <si>
    <t>Co-16.5Ti</t>
  </si>
  <si>
    <t>-17Ti</t>
  </si>
  <si>
    <t>16.5Ti</t>
  </si>
  <si>
    <t>-16.5Ti</t>
  </si>
  <si>
    <t>16.5TiKobayashi, S., Tsukamoto, Y. &amp; Takasugi, T. Phase equilibria in the Co-rich Co-Al-W-Ti quaternary system. Intermetallics 19, 1908–1912 (2011).</t>
  </si>
  <si>
    <t>100.0Co-16.5Ni</t>
  </si>
  <si>
    <t>Co-9.4Al-7.9W-2.2Ta</t>
  </si>
  <si>
    <t>2.2Ta</t>
  </si>
  <si>
    <t>Kobayashi, S., Tsukamoto, Y. &amp; Takasugi, T. The effects of alloying elements (Ta, Hf) on the thermodynamic stability of γ′-Co 3(Al,W) phase. Intermetallics 31, 94–98 (2012).</t>
  </si>
  <si>
    <t>-7.9W</t>
  </si>
  <si>
    <t>2.2TaKobayashi, S., Tsukamoto, Y. &amp; Takasugi, T. The effects of alloying elements (Ta, Hf) on the thermodynamic stability of γ′-Co 3(Al,W) phase. Intermetallics 31, 94–98 (2012).</t>
  </si>
  <si>
    <t>80.5Co-9.4Al-7.9W-2.2Ta</t>
  </si>
  <si>
    <t>-9.4Al-7.9W-2.2Ta</t>
  </si>
  <si>
    <t>Co-9.5Al-8.7W-1.1Hf</t>
  </si>
  <si>
    <t>-10Al-9W-Hf</t>
  </si>
  <si>
    <t>1.1Hf</t>
  </si>
  <si>
    <t>-1.1Hf</t>
  </si>
  <si>
    <t>1.1HfKobayashi, S., Tsukamoto, Y. &amp; Takasugi, T. The effects of alloying elements (Ta, Hf) on the thermodynamic stability of γ′-Co 3(Al,W) phase. Intermetallics 31, 94–98 (2012).</t>
  </si>
  <si>
    <t>80.7Co-9.5Al-8.7W-1.1Hf</t>
  </si>
  <si>
    <t>-9.5Al-8.7W-1.1Hf</t>
  </si>
  <si>
    <t>Co-20.1Ni-8.7Al-7.3W-2.Ti-1.5Ta</t>
  </si>
  <si>
    <t>-20Ni-9Al-7W-2Ti-2Ta</t>
  </si>
  <si>
    <t>ERBOCo-Re1</t>
  </si>
  <si>
    <t>Kolb, M. et al. Influence of rhenium on γ′-strengthened cobalt-base superalloys. J. Mater. Res. 32, 2551–2559 (2017).</t>
  </si>
  <si>
    <t>-20.1Ni</t>
  </si>
  <si>
    <t>ERBOCo-Re1Kolb, M. et al. Influence of rhenium on γ′-strengthened cobalt-base superalloys. J. Mater. Res. 32, 2551–2559 (2017).</t>
  </si>
  <si>
    <t>80.5Co-20.1Ni-8.7Al-7.3W-2.0Ti-1.5Ta</t>
  </si>
  <si>
    <t>-8.7Al-7.3W-1.5Ta-20.1Ni-2.Ti</t>
  </si>
  <si>
    <t>Co-20.3Ni-8.5Al-7.1W-2.Ti-1.5Ta-1.4Re</t>
  </si>
  <si>
    <t>-20Ni-9Al-7W-2Ti-2Ta-1Re</t>
  </si>
  <si>
    <t>ERBOCo-Re0</t>
  </si>
  <si>
    <t>-20.3Ni</t>
  </si>
  <si>
    <t>-1.4Re</t>
  </si>
  <si>
    <t>ERBOCo-Re0Kolb, M. et al. Influence of rhenium on γ′-strengthened cobalt-base superalloys. J. Mater. Res. 32, 2551–2559 (2017).</t>
  </si>
  <si>
    <t>79.5Co-20.3Ni-8.5Al-7.1W-2.0Ti-1.5Ta-1.4Re</t>
  </si>
  <si>
    <t>-8.5Al-7.1W-1.5Ta-20.3Ni-2.Ti-1.4Re</t>
  </si>
  <si>
    <t>Co-9.1Al-9.5W</t>
  </si>
  <si>
    <t>B-free</t>
  </si>
  <si>
    <t>Kolb, M. et al. On the grain boundary strengthening effect of boron in γ/γ′ Cobalt-base superalloys. Acta Mater. 145, 247–254 (2018).</t>
  </si>
  <si>
    <t>B-freeKolb, M. et al. On the grain boundary strengthening effect of boron in γ/γ′ Cobalt-base superalloys. Acta Mater. 145, 247–254 (2018).</t>
  </si>
  <si>
    <t>81.4Co-9.1Al-9.5W</t>
  </si>
  <si>
    <t>-9.1Al-9.5W</t>
  </si>
  <si>
    <t>Co-9.8Al-9.6W-0.01B</t>
  </si>
  <si>
    <t>-10Al-10W-B</t>
  </si>
  <si>
    <t>.0005B</t>
  </si>
  <si>
    <t>.0005BKolb, M. et al. On the grain boundary strengthening effect of boron in γ/γ′ Cobalt-base superalloys. Acta Mater. 145, 247–254 (2018).</t>
  </si>
  <si>
    <t>80.6Co-9.8Al-9.6W-0.01B</t>
  </si>
  <si>
    <t>-9.8Al-9.6W-0.01B</t>
  </si>
  <si>
    <t>Co-9.1Al-9.4W-0.04B</t>
  </si>
  <si>
    <t>-9Al-9W-B</t>
  </si>
  <si>
    <t>0.04B</t>
  </si>
  <si>
    <t>0.04BKolb, M. et al. On the grain boundary strengthening effect of boron in γ/γ′ Cobalt-base superalloys. Acta Mater. 145, 247–254 (2018).</t>
  </si>
  <si>
    <t>81.5Co-9.1Al-9.4W-0.04B</t>
  </si>
  <si>
    <t>-9.1Al-9.4W-0.04B</t>
  </si>
  <si>
    <t>0.04B-noPDZ</t>
  </si>
  <si>
    <t>heat treated below boridee solvus to avoid precipitation depletion zonee</t>
  </si>
  <si>
    <t>0.04B-noPDZKolb, M. et al. On the grain boundary strengthening effect of boron in γ/γ′ Cobalt-base superalloys. Acta Mater. 145, 247–254 (2018).</t>
  </si>
  <si>
    <t>0.12B</t>
  </si>
  <si>
    <t>0.12BKolb, M. et al. On the grain boundary strengthening effect of boron in γ/γ′ Cobalt-base superalloys. Acta Mater. 145, 247–254 (2018).</t>
  </si>
  <si>
    <t>Co-8.3Al-9.4W-0.17B</t>
  </si>
  <si>
    <t>0.12B-noPDZ</t>
  </si>
  <si>
    <t>-0.17B</t>
  </si>
  <si>
    <t>0.12B-noPDZKolb, M. et al. On the grain boundary strengthening effect of boron in γ/γ′ Cobalt-base superalloys. Acta Mater. 145, 247–254 (2018).</t>
  </si>
  <si>
    <t>82.1Co-8.3Al-9.4W-0.17B</t>
  </si>
  <si>
    <t>-8.3Al-9.4W-0.17B</t>
  </si>
  <si>
    <t>Co-7.Al-5.W-4.Ti-2.Ta</t>
  </si>
  <si>
    <t>-7Al-5W-4Ti-2Ta</t>
  </si>
  <si>
    <t>Co-30Ni-7Al-4Ti-5W-2Ta</t>
  </si>
  <si>
    <t>Lass, E. A. Application of Computational Thermodynamics to the Design of a Co-Ni-Based γ′-Strengthened Superalloy. Metall. Mater. Trans. A Phys. Metall. Mater. Sci. 48, 2443–2459 (2017).</t>
  </si>
  <si>
    <t>Co-30Ni-7Al-4Ti-5W-2TaLass, E. A. Application of Computational Thermodynamics to the Design of a Co-Ni-Based γ′-Strengthened Superalloy. Metall. Mater. Trans. A Phys. Metall. Mater. Sci. 48, 2443–2459 (2017).</t>
  </si>
  <si>
    <t>82.0Co-7.0Al-5.0W-4.0Ti-2.0Ta</t>
  </si>
  <si>
    <t>-7.Al-5.W-2.Ta-4.Ti</t>
  </si>
  <si>
    <t>Co-10.5Al-7.W-4.Ti-2.5Ta</t>
  </si>
  <si>
    <t>-11Al-7W-4Ti-3Ta</t>
  </si>
  <si>
    <t>Co-30Ni-10.5Al-4Ti-7W-2.5Ta</t>
  </si>
  <si>
    <t>Co-30Ni-10.5Al-4Ti-7W-2.5TaLass, E. A. Application of Computational Thermodynamics to the Design of a Co-Ni-Based γ′-Strengthened Superalloy. Metall. Mater. Trans. A Phys. Metall. Mater. Sci. 48, 2443–2459 (2017).</t>
  </si>
  <si>
    <t>76.0Co-10.5Al-7.0W-4.0Ti-2.5Ta</t>
  </si>
  <si>
    <t>-10.5Al-7.W-2.5Ta-4.Ti</t>
  </si>
  <si>
    <t>Co-11.Al-5.5W-4.Ti-2.5Ta</t>
  </si>
  <si>
    <t>-11Al-6W-4Ti-3Ta</t>
  </si>
  <si>
    <t>Co-30Ni-11Al-4Ti-5.5W-2.5Ta</t>
  </si>
  <si>
    <t>Co-30Ni-11Al-4Ti-5.5W-2.5TaLass, E. A. Application of Computational Thermodynamics to the Design of a Co-Ni-Based γ′-Strengthened Superalloy. Metall. Mater. Trans. A Phys. Metall. Mater. Sci. 48, 2443–2459 (2017).</t>
  </si>
  <si>
    <t>77.0Co-11.0Al-5.5W-4.0Ti-2.5Ta</t>
  </si>
  <si>
    <t>-11.Al-5.5W-2.5Ta-4.Ti</t>
  </si>
  <si>
    <t>Co-11.5Al-3.5W-4.Ti-2.5Ta</t>
  </si>
  <si>
    <t>-12Al-4W-4Ti-3Ta</t>
  </si>
  <si>
    <t>Co-30Ni-11.5Al-4Ti-.55W-2.5Ta</t>
  </si>
  <si>
    <t>-11.5Al</t>
  </si>
  <si>
    <t>-3.5W</t>
  </si>
  <si>
    <t>Co-30Ni-11.5Al-4Ti-.55W-2.5TaLass, E. A. Application of Computational Thermodynamics to the Design of a Co-Ni-Based γ′-Strengthened Superalloy. Metall. Mater. Trans. A Phys. Metall. Mater. Sci. 48, 2443–2459 (2017).</t>
  </si>
  <si>
    <t>78.5Co-11.5Al-3.5W-4.0Ti-2.5Ta</t>
  </si>
  <si>
    <t>-11.5Al-3.5W-2.5Ta-4.Ti</t>
  </si>
  <si>
    <t>Co-30.Ni-9.Al-7.W-3.Ti-2.Ta-0.1B</t>
  </si>
  <si>
    <t>-30Ni-9Al-7W-3Ti-2Ta-B</t>
  </si>
  <si>
    <t>L22</t>
  </si>
  <si>
    <t>within 1% of nominal values</t>
  </si>
  <si>
    <t>-3.Ti</t>
  </si>
  <si>
    <t>L22Lass, E. A. Application of Computational Thermodynamics to the Design of a Co-Ni-Based γ′-Strengthened Superalloy. Metall. Mater. Trans. A Phys. Metall. Mater. Sci. 48, 2443–2459 (2017).</t>
  </si>
  <si>
    <t>78.9Co-30.0Ni-9.0Al-7.0W-3.0Ti-2.0Ta-0.10B</t>
  </si>
  <si>
    <t>-9.Al-7.W-2.Ta-30.Ni-3.Ti-0.1B</t>
  </si>
  <si>
    <t>Co-10.5Al-7.5W-2.Ti-25.Ta</t>
  </si>
  <si>
    <t>-11Al-8W-2Ti-25Ta</t>
  </si>
  <si>
    <t>Co-30Ni-10.5Al-2Ti-7.5W-2.5Ta</t>
  </si>
  <si>
    <t>-25.Ta</t>
  </si>
  <si>
    <t>Co-30Ni-10.5Al-2Ti-7.5W-2.5TaLass, E. A. Application of Computational Thermodynamics to the Design of a Co-Ni-Based γ′-Strengthened Superalloy. Metall. Mater. Trans. A Phys. Metall. Mater. Sci. 48, 2443–2459 (2017).</t>
  </si>
  <si>
    <t>55.0Co-10.5Al-7.5W-2.0Ti-25.0Ta</t>
  </si>
  <si>
    <t>-10.5Al-7.5W-25.Ta-2.Ti</t>
  </si>
  <si>
    <t>Co-11.Al-5.5W-2.Ti-2.5Ta</t>
  </si>
  <si>
    <t>-11Al-6W-2Ti-3Ta</t>
  </si>
  <si>
    <t>Co-30Ni-11Al-2Ti-5.5W-2.5Ta</t>
  </si>
  <si>
    <t>Co-30Ni-11Al-2Ti-5.5W-2.5TaLass, E. A. Application of Computational Thermodynamics to the Design of a Co-Ni-Based γ′-Strengthened Superalloy. Metall. Mater. Trans. A Phys. Metall. Mater. Sci. 48, 2443–2459 (2017).</t>
  </si>
  <si>
    <t>79.0Co-11.0Al-5.5W-2.0Ti-2.5Ta</t>
  </si>
  <si>
    <t>-11.Al-5.5W-2.5Ta-2.Ti</t>
  </si>
  <si>
    <t>Co-19.5Ni-10.2Al-7.1W</t>
  </si>
  <si>
    <t>-20Ni-10Al-7W</t>
  </si>
  <si>
    <t>Lass, E. A. The effects of Fe and Si on the phase equilibria in a γ′-strengthened Co–Al–W-based superalloy. J. Alloys Compd. 825, (2020).</t>
  </si>
  <si>
    <t>-10.2Al</t>
  </si>
  <si>
    <t>-19.5Ni</t>
  </si>
  <si>
    <t>BaseLass, E. A. The effects of Fe and Si on the phase equilibria in a γ′-strengthened Co–Al–W-based superalloy. J. Alloys Compd. 825, (2020).</t>
  </si>
  <si>
    <t>82.7Co-19.5Ni-10.2Al-7.1W</t>
  </si>
  <si>
    <t>-10.2Al-7.1W-19.5Ni</t>
  </si>
  <si>
    <t>Co-19.6Ni-5.2Fe-10.3Al-6.8W</t>
  </si>
  <si>
    <t>-20Ni-5Fe-10Al-7W</t>
  </si>
  <si>
    <t>Fe5</t>
  </si>
  <si>
    <t>-10.3Al</t>
  </si>
  <si>
    <t>-19.6Ni</t>
  </si>
  <si>
    <t>-5.2Fe</t>
  </si>
  <si>
    <t>Fe5Lass, E. A. The effects of Fe and Si on the phase equilibria in a γ′-strengthened Co–Al–W-based superalloy. J. Alloys Compd. 825, (2020).</t>
  </si>
  <si>
    <t>77.7Co-19.6Ni-5.2Fe-10.3Al-6.8W</t>
  </si>
  <si>
    <t>-10.3Al-6.8W-19.6Ni-5.2Fe</t>
  </si>
  <si>
    <t>Co-19.8Ni-10.3Fe-10.3Al-6.4W</t>
  </si>
  <si>
    <t>-20Ni-10Fe-10Al-6W</t>
  </si>
  <si>
    <t>Fe10</t>
  </si>
  <si>
    <t>-6.4W</t>
  </si>
  <si>
    <t>-19.8Ni</t>
  </si>
  <si>
    <t>-10.3Fe</t>
  </si>
  <si>
    <t>Fe10Lass, E. A. The effects of Fe and Si on the phase equilibria in a γ′-strengthened Co–Al–W-based superalloy. J. Alloys Compd. 825, (2020).</t>
  </si>
  <si>
    <t>73.0Co-19.8Ni-10.3Fe-10.3Al-6.4W</t>
  </si>
  <si>
    <t>-10.3Al-6.4W-19.8Ni-10.3Fe</t>
  </si>
  <si>
    <t>Co-19.7Ni-15.3Fe-10.3Al-6.5W</t>
  </si>
  <si>
    <t>-20Ni-15Fe-10Al-7W</t>
  </si>
  <si>
    <t>Fe15</t>
  </si>
  <si>
    <t>-15.3Fe</t>
  </si>
  <si>
    <t>Fe15Lass, E. A. The effects of Fe and Si on the phase equilibria in a γ′-strengthened Co–Al–W-based superalloy. J. Alloys Compd. 825, (2020).</t>
  </si>
  <si>
    <t>67.9Co-19.7Ni-15.3Fe-10.3Al-6.5W</t>
  </si>
  <si>
    <t>-10.3Al-6.5W-19.7Ni-15.3Fe</t>
  </si>
  <si>
    <t>Co-19.6Ni-10.2Al-7.W-0.3Si</t>
  </si>
  <si>
    <t>-20Ni-10Al-7W-Si</t>
  </si>
  <si>
    <t>Si05</t>
  </si>
  <si>
    <t>-0.3Si</t>
  </si>
  <si>
    <t>Si05Lass, E. A. The effects of Fe and Si on the phase equilibria in a γ′-strengthened Co–Al–W-based superalloy. J. Alloys Compd. 825, (2020).</t>
  </si>
  <si>
    <t>82.5Co-19.6Ni-10.2Al-7.0W-0.3Si</t>
  </si>
  <si>
    <t>-10.2Al-7.W-19.6Ni-0.3Si</t>
  </si>
  <si>
    <t>Co-19.6Ni-10.Al-6.9W-1.Si</t>
  </si>
  <si>
    <t>Si1</t>
  </si>
  <si>
    <t>-6.9W</t>
  </si>
  <si>
    <t>-1.Si</t>
  </si>
  <si>
    <t>Si1Lass, E. A. The effects of Fe and Si on the phase equilibria in a γ′-strengthened Co–Al–W-based superalloy. J. Alloys Compd. 825, (2020).</t>
  </si>
  <si>
    <t>82.1Co-19.6Ni-10.0Al-6.9W-1.0Si</t>
  </si>
  <si>
    <t>-10.Al-6.9W-19.6Ni-1.Si</t>
  </si>
  <si>
    <t>Co-19.8Ni-10.2Al-6.7W-1.8Si</t>
  </si>
  <si>
    <t>Si2</t>
  </si>
  <si>
    <t>Si2Lass, E. A. The effects of Fe and Si on the phase equilibria in a γ′-strengthened Co–Al–W-based superalloy. J. Alloys Compd. 825, (2020).</t>
  </si>
  <si>
    <t>81.3Co-19.8Ni-10.2Al-6.7W-1.8Si</t>
  </si>
  <si>
    <t>-10.2Al-6.7W-19.8Ni-1.8Si</t>
  </si>
  <si>
    <t>Co-10.Ni-7.Al-7.W-4.Ti-1.Ta</t>
  </si>
  <si>
    <t>-10Ni-7Al-7W-4Ti-1Ta</t>
  </si>
  <si>
    <t>L12</t>
  </si>
  <si>
    <t>Lass, E. A., Sauza, D. J., Dunand, D. C. &amp; Seidman, D. N. Multicomponent γ’-strengthened Co-based superalloys with increased solvus temperatures and reduced mass densities. Acta Mater. 147, 284–295 (2018).</t>
  </si>
  <si>
    <t>L12Lass, E. A., Sauza, D. J., Dunand, D. C. &amp; Seidman, D. N. Multicomponent γ’-strengthened Co-based superalloys with increased solvus temperatures and reduced mass densities. Acta Mater. 147, 284–295 (2018).</t>
  </si>
  <si>
    <t>81.0Co-10.0Ni-7.0Al-7.0W-4.0Ti-1.0Ta</t>
  </si>
  <si>
    <t>-7.Al-7.W-1.Ta-10.Ni-4.Ti</t>
  </si>
  <si>
    <t>Co-30.Ni-7.Al-7.W-4.Ti-1.Ta</t>
  </si>
  <si>
    <t>-30Ni-7Al-7W-4Ti-1Ta</t>
  </si>
  <si>
    <t>L13</t>
  </si>
  <si>
    <t>L13Lass, E. A., Sauza, D. J., Dunand, D. C. &amp; Seidman, D. N. Multicomponent γ’-strengthened Co-based superalloys with increased solvus temperatures and reduced mass densities. Acta Mater. 147, 284–295 (2018).</t>
  </si>
  <si>
    <t>81.0Co-30.0Ni-7.0Al-7.0W-4.0Ti-1.0Ta</t>
  </si>
  <si>
    <t>-7.Al-7.W-1.Ta-30.Ni-4.Ti</t>
  </si>
  <si>
    <t>Co-10.Ni-7.Al-4.Ti-2.Nb-5.Mo</t>
  </si>
  <si>
    <t>-10Ni-7Al-4Ti-2Nb-5Mo</t>
  </si>
  <si>
    <t>L14</t>
  </si>
  <si>
    <t>L14Lass, E. A., Sauza, D. J., Dunand, D. C. &amp; Seidman, D. N. Multicomponent γ’-strengthened Co-based superalloys with increased solvus temperatures and reduced mass densities. Acta Mater. 147, 284–295 (2018).</t>
  </si>
  <si>
    <t>82.0Co-10.0Ni-7.0Al-4.0Ti-2.0Nb-5.0Mo</t>
  </si>
  <si>
    <t>-7.Al-10.Ni-5.Mo-2.Nb-4.Ti</t>
  </si>
  <si>
    <t>Co-30.Ni-7.Al-4.Ti-2.Nb-5.Mo</t>
  </si>
  <si>
    <t>-30Ni-7Al-4Ti-2Nb-5Mo</t>
  </si>
  <si>
    <t>L15</t>
  </si>
  <si>
    <t>L15Lass, E. A., Sauza, D. J., Dunand, D. C. &amp; Seidman, D. N. Multicomponent γ’-strengthened Co-based superalloys with increased solvus temperatures and reduced mass densities. Acta Mater. 147, 284–295 (2018).</t>
  </si>
  <si>
    <t>82.0Co-30.0Ni-7.0Al-4.0Ti-2.0Nb-5.0Mo</t>
  </si>
  <si>
    <t>-7.Al-30.Ni-5.Mo-2.Nb-4.Ti</t>
  </si>
  <si>
    <t>Co-10.Ni-7.Al-4.Ti-1.Ta-1.Nb-5.Mo</t>
  </si>
  <si>
    <t>-10Ni-7Al-4Ti-1Ta-1Nb-5Mo</t>
  </si>
  <si>
    <t>L16</t>
  </si>
  <si>
    <t>L16Lass, E. A., Sauza, D. J., Dunand, D. C. &amp; Seidman, D. N. Multicomponent γ’-strengthened Co-based superalloys with increased solvus temperatures and reduced mass densities. Acta Mater. 147, 284–295 (2018).</t>
  </si>
  <si>
    <t>82.0Co-10.0Ni-7.0Al-4.0Ti-1.0Ta-1.0Nb-5.0Mo</t>
  </si>
  <si>
    <t>-7.Al-1.Ta-10.Ni-5.Mo-1.Nb-4.Ti</t>
  </si>
  <si>
    <t>Co-30.Ni-7.Al-4.Ti-1.Ta-1.Nb-5.Mo</t>
  </si>
  <si>
    <t>-30Ni-7Al-4Ti-1Ta-1Nb-5Mo</t>
  </si>
  <si>
    <t>L17</t>
  </si>
  <si>
    <t>L17Lass, E. A., Sauza, D. J., Dunand, D. C. &amp; Seidman, D. N. Multicomponent γ’-strengthened Co-based superalloys with increased solvus temperatures and reduced mass densities. Acta Mater. 147, 284–295 (2018).</t>
  </si>
  <si>
    <t>82.0Co-30.0Ni-7.0Al-4.0Ti-1.0Ta-1.0Nb-5.0Mo</t>
  </si>
  <si>
    <t>-7.Al-1.Ta-30.Ni-5.Mo-1.Nb-4.Ti</t>
  </si>
  <si>
    <t>Co-10.Ni-7.Al-2.W-4.Ti-1.Ta-1.Nb-3.Mo</t>
  </si>
  <si>
    <t>-10Ni-7Al-2W-4Ti-1Ta-1Nb-3Mo</t>
  </si>
  <si>
    <t>L18</t>
  </si>
  <si>
    <t>L18Lass, E. A., Sauza, D. J., Dunand, D. C. &amp; Seidman, D. N. Multicomponent γ’-strengthened Co-based superalloys with increased solvus temperatures and reduced mass densities. Acta Mater. 147, 284–295 (2018).</t>
  </si>
  <si>
    <t>82.0Co-10.0Ni-7.0Al-2.0W-4.0Ti-1.0Ta-1.0Nb-3.0Mo</t>
  </si>
  <si>
    <t>-7.Al-2.W-1.Ta-10.Ni-3.Mo-1.Nb-4.Ti</t>
  </si>
  <si>
    <t>Co-30.Ni-7.Al-2.W-4.Ti-1.Ta-1.Nb-3.Mo</t>
  </si>
  <si>
    <t>-30Ni-7Al-2W-4Ti-1Ta-1Nb-3Mo</t>
  </si>
  <si>
    <t>L19</t>
  </si>
  <si>
    <t>L19Lass, E. A., Sauza, D. J., Dunand, D. C. &amp; Seidman, D. N. Multicomponent γ’-strengthened Co-based superalloys with increased solvus temperatures and reduced mass densities. Acta Mater. 147, 284–295 (2018).</t>
  </si>
  <si>
    <t>82.0Co-30.0Ni-7.0Al-2.0W-4.0Ti-1.0Ta-1.0Nb-3.0Mo</t>
  </si>
  <si>
    <t>-7.Al-2.W-1.Ta-30.Ni-3.Mo-1.Nb-4.Ti</t>
  </si>
  <si>
    <t>Co-12.Ti-1.Re</t>
  </si>
  <si>
    <t>-12Ti-1Re</t>
  </si>
  <si>
    <t>Re1</t>
  </si>
  <si>
    <t>Li, L. et al. Effect of Re on microstructure and mechanical properties of γ/γʹ Co-Ti-based superalloys. Intermetallics 115, (2019).</t>
  </si>
  <si>
    <t>-1.Re</t>
  </si>
  <si>
    <t>Re1Li, L. et al. Effect of Re on microstructure and mechanical properties of γ/γʹ Co-Ti-based superalloys. Intermetallics 115, (2019).</t>
  </si>
  <si>
    <t>87.0Co-12.0Ti-1.0Re</t>
  </si>
  <si>
    <t>-12.Ti-1.Re</t>
  </si>
  <si>
    <t>Co-12.Ti-3.Re</t>
  </si>
  <si>
    <t>-12Ti-3Re</t>
  </si>
  <si>
    <t>Re3</t>
  </si>
  <si>
    <t>-3.Re</t>
  </si>
  <si>
    <t>Re3Li, L. et al. Effect of Re on microstructure and mechanical properties of γ/γʹ Co-Ti-based superalloys. Intermetallics 115, (2019).</t>
  </si>
  <si>
    <t>85.0Co-12.0Ti-3.0Re</t>
  </si>
  <si>
    <t>-12.Ti-3.Re</t>
  </si>
  <si>
    <t>Co-12.Ti-5.Re</t>
  </si>
  <si>
    <t>-12Ti-5Re</t>
  </si>
  <si>
    <t>Re5</t>
  </si>
  <si>
    <t>-5.Re</t>
  </si>
  <si>
    <t>Re5Li, L. et al. Effect of Re on microstructure and mechanical properties of γ/γʹ Co-Ti-based superalloys. Intermetallics 115, (2019).</t>
  </si>
  <si>
    <t>83.0Co-12.0Ti-5.0Re</t>
  </si>
  <si>
    <t>-12.Ti-5.Re</t>
  </si>
  <si>
    <t>Co-19.8Ni-9.4Al-5.4W-4.3Ti-0.9Ta</t>
  </si>
  <si>
    <t>-20Ni-9Al-5W-4Ti-1Ta</t>
  </si>
  <si>
    <t>20Ni-A</t>
  </si>
  <si>
    <t>Li, W., Li, L., Antonov, S. &amp; Feng, Q. Effective design of a Co-Ni-Al-W-Ta-Ti alloy with high γ′ solvus temperature and microstructural stability using combined CALPHAD and experimental approaches. Mater. Des. 180, (2019).</t>
  </si>
  <si>
    <t>-5.4W</t>
  </si>
  <si>
    <t>-4.3Ti</t>
  </si>
  <si>
    <t>20Ni-ALi, W., Li, L., Antonov, S. &amp; Feng, Q. Effective design of a Co-Ni-Al-W-Ta-Ti alloy with high γ′ solvus temperature and microstructural stability using combined CALPHAD and experimental approaches. Mater. Des. 180, (2019).</t>
  </si>
  <si>
    <t>80.1Co-19.8Ni-9.4Al-5.4W-4.3Ti-0.9Ta</t>
  </si>
  <si>
    <t>-9.4Al-5.4W-0.9Ta-19.8Ni-4.3Ti</t>
  </si>
  <si>
    <t>Co-20.2Ni-11.2Al-3.7W-4.2Ti-0.8Ta</t>
  </si>
  <si>
    <t>-20Ni-11Al-4W-4Ti-1Ta</t>
  </si>
  <si>
    <t>20Ni-B</t>
  </si>
  <si>
    <t>-3.7W</t>
  </si>
  <si>
    <t>-20.2Ni</t>
  </si>
  <si>
    <t>-0.8Ta</t>
  </si>
  <si>
    <t>-4.2Ti</t>
  </si>
  <si>
    <t>20Ni-BLi, W., Li, L., Antonov, S. &amp; Feng, Q. Effective design of a Co-Ni-Al-W-Ta-Ti alloy with high γ′ solvus temperature and microstructural stability using combined CALPHAD and experimental approaches. Mater. Des. 180, (2019).</t>
  </si>
  <si>
    <t>80.0Co-20.2Ni-11.2Al-3.7W-4.2Ti-0.8Ta</t>
  </si>
  <si>
    <t>-11.2Al-3.7W-0.8Ta-20.2Ni-4.2Ti</t>
  </si>
  <si>
    <t>Co-29.5Ni-11.2Al-3.6W-4.2Ti-0.9Ta</t>
  </si>
  <si>
    <t>-29Ni-11Al-4W-4Ti-1Ta</t>
  </si>
  <si>
    <t>30Ni-B</t>
  </si>
  <si>
    <t>-3.6W</t>
  </si>
  <si>
    <t>30Ni-BLi, W., Li, L., Antonov, S. &amp; Feng, Q. Effective design of a Co-Ni-Al-W-Ta-Ti alloy with high γ′ solvus temperature and microstructural stability using combined CALPHAD and experimental approaches. Mater. Des. 180, (2019).</t>
  </si>
  <si>
    <t>80.2Co-29.5Ni-11.2Al-3.6W-4.2Ti-0.9Ta</t>
  </si>
  <si>
    <t>-11.2Al-3.6W-0.9Ta-29.5Ni-4.2Ti</t>
  </si>
  <si>
    <t>Co-29.4Ni-9.1Al-5.3W-4.1Ti-0.9Ta</t>
  </si>
  <si>
    <t>-29Ni-9Al-5W-4Ti-1Ta</t>
  </si>
  <si>
    <t>30Ni-A</t>
  </si>
  <si>
    <t>-5.3W</t>
  </si>
  <si>
    <t>-29.4Ni</t>
  </si>
  <si>
    <t>30Ni-ALi, W., Li, L., Antonov, S. &amp; Feng, Q. Effective design of a Co-Ni-Al-W-Ta-Ti alloy with high γ′ solvus temperature and microstructural stability using combined CALPHAD and experimental approaches. Mater. Des. 180, (2019).</t>
  </si>
  <si>
    <t>80.6Co-29.4Ni-9.1Al-5.3W-4.1Ti-0.9Ta</t>
  </si>
  <si>
    <t>-9.1Al-5.3W-0.9Ta-29.4Ni-4.1Ti</t>
  </si>
  <si>
    <t>Co-7.Al-8.W-4.Ti-1.Ta</t>
  </si>
  <si>
    <t>-7Al-8W-4Ti-1Ta</t>
  </si>
  <si>
    <t>base</t>
  </si>
  <si>
    <t>baseLi, W., Li, L., Antonov, S. &amp; Feng, Q. Effective design of a Co-Ni-Al-W-Ta-Ti alloy with high γ′ solvus temperature and microstructural stability using combined CALPHAD and experimental approaches. Mater. Des. 180, (2019).</t>
  </si>
  <si>
    <t>80.0Co-7.0Al-8.0W-4.0Ti-1.0Ta</t>
  </si>
  <si>
    <t>-7.Al-8.W-1.Ta-4.Ti</t>
  </si>
  <si>
    <t>Co-30.Ni-9.Al-5.Cr-6.W-4.Ti-1.Ta</t>
  </si>
  <si>
    <t>-30Ni-9Al-5Cr-6W-4Ti-1Ta</t>
  </si>
  <si>
    <t>5Cr-A</t>
  </si>
  <si>
    <t>Li, W., Li, L., Antonov, S., Lu, F. &amp; Feng, Q. Effects of Cr and Al/W ratio on the microstructural stability, oxidation property and γ′ phase nano-hardness of multi-component Co–Ni-base superalloys. J. Alloys Compd. 826, (2020).</t>
  </si>
  <si>
    <t>-6.W</t>
  </si>
  <si>
    <t>5Cr-ALi, W., Li, L., Antonov, S., Lu, F. &amp; Feng, Q. Effects of Cr and Al/W ratio on the microstructural stability, oxidation property and γ′ phase nano-hardness of multi-component Co–Ni-base superalloys. J. Alloys Compd. 826, (2020).</t>
  </si>
  <si>
    <t>75.0Co-30.0Ni-9.0Al-5.0Cr-6.0W-4.0Ti-1.0Ta</t>
  </si>
  <si>
    <t>-9.Al-5.Cr-6.W-1.Ta-30.Ni-4.Ti</t>
  </si>
  <si>
    <t>Co-30.Ni-9.Al-9.Cr-6.W-4.Ti-1.Ta</t>
  </si>
  <si>
    <t>-30Ni-9Al-9Cr-6W-4Ti-1Ta</t>
  </si>
  <si>
    <t>9Cr-A</t>
  </si>
  <si>
    <t>-9.Cr</t>
  </si>
  <si>
    <t>9Cr-ALi, W., Li, L., Antonov, S., Lu, F. &amp; Feng, Q. Effects of Cr and Al/W ratio on the microstructural stability, oxidation property and γ′ phase nano-hardness of multi-component Co–Ni-base superalloys. J. Alloys Compd. 826, (2020).</t>
  </si>
  <si>
    <t>71.0Co-30.0Ni-9.0Al-9.0Cr-6.0W-4.0Ti-1.0Ta</t>
  </si>
  <si>
    <t>-9.Al-9.Cr-6.W-1.Ta-30.Ni-4.Ti</t>
  </si>
  <si>
    <t>5Cr-B</t>
  </si>
  <si>
    <t>5Cr-BLi, W., Li, L., Antonov, S., Lu, F. &amp; Feng, Q. Effects of Cr and Al/W ratio on the microstructural stability, oxidation property and γ′ phase nano-hardness of multi-component Co–Ni-base superalloys. J. Alloys Compd. 826, (2020).</t>
  </si>
  <si>
    <t>Co-9.Al-8.W</t>
  </si>
  <si>
    <t>-9Al-8W</t>
  </si>
  <si>
    <t>8W</t>
  </si>
  <si>
    <t>Li, Y. et al. Microstructure evolution in L12 hardened Co-base superalloys during creep. J. Mater. Res. 32, 4522–4530 (2017).</t>
  </si>
  <si>
    <t>8WLi, Y. et al. Microstructure evolution in L12 hardened Co-base superalloys during creep. J. Mater. Res. 32, 4522–4530 (2017).</t>
  </si>
  <si>
    <t>83.0Co-9.0Al-8.0W</t>
  </si>
  <si>
    <t>-9.Al-8.W</t>
  </si>
  <si>
    <t>9WLi, Y. et al. Microstructure evolution in L12 hardened Co-base superalloys during creep. J. Mater. Res. 32, 4522–4530 (2017).</t>
  </si>
  <si>
    <t>Co-9.Al-11.W</t>
  </si>
  <si>
    <t>11W</t>
  </si>
  <si>
    <t>11WLi, Y. et al. Microstructure evolution in L12 hardened Co-base superalloys during creep. J. Mater. Res. 32, 4522–4530 (2017).</t>
  </si>
  <si>
    <t>80.0Co-9.0Al-11.0W</t>
  </si>
  <si>
    <t>-9.Al-11.W</t>
  </si>
  <si>
    <t>Co-9.2Al-2.5Cr-9.W-0.5C</t>
  </si>
  <si>
    <t>-9Al-3Cr-9W-C</t>
  </si>
  <si>
    <t>2.5Cr</t>
  </si>
  <si>
    <t>Liu, C., Sun, Y., Wen, M., He, T. &amp; Yu, J. Effect of Cr addition on microstructure and welding solidification cracking susceptibility of Co-Al-W based superalloys. J. Manuf. Process. (2020) doi:10.1016/j.jmapro.2020.03.049.</t>
  </si>
  <si>
    <t>-2.5Cr</t>
  </si>
  <si>
    <t>-0.5C</t>
  </si>
  <si>
    <t>2.5CrLiu, C., Sun, Y., Wen, M., He, T. &amp; Yu, J. Effect of Cr addition on microstructure and welding solidification cracking susceptibility of Co-Al-W based superalloys. J. Manuf. Process. (2020) doi:10.1016/j.jmapro.2020.03.049.</t>
  </si>
  <si>
    <t>78.8Co-9.2Al-2.5Cr-9.0W-0.50C</t>
  </si>
  <si>
    <t>-9.2Al-2.5Cr-9.W-0.5C</t>
  </si>
  <si>
    <t>Co-9.2Al-5.Cr-9.W-0.5C</t>
  </si>
  <si>
    <t>-9Al-5Cr-9W-C</t>
  </si>
  <si>
    <t>5Cr</t>
  </si>
  <si>
    <t>5CrLiu, C., Sun, Y., Wen, M., He, T. &amp; Yu, J. Effect of Cr addition on microstructure and welding solidification cracking susceptibility of Co-Al-W based superalloys. J. Manuf. Process. (2020) doi:10.1016/j.jmapro.2020.03.049.</t>
  </si>
  <si>
    <t>76.3Co-9.2Al-5.0Cr-9.0W-0.50C</t>
  </si>
  <si>
    <t>-9.2Al-5.Cr-9.W-0.5C</t>
  </si>
  <si>
    <t>Co-9.2Al-7.5Cr-9.W-0.5C</t>
  </si>
  <si>
    <t>-9Al-8Cr-9W-C</t>
  </si>
  <si>
    <t>7.5cr</t>
  </si>
  <si>
    <t>-7.5Cr</t>
  </si>
  <si>
    <t>7.5crLiu, C., Sun, Y., Wen, M., He, T. &amp; Yu, J. Effect of Cr addition on microstructure and welding solidification cracking susceptibility of Co-Al-W based superalloys. J. Manuf. Process. (2020) doi:10.1016/j.jmapro.2020.03.049.</t>
  </si>
  <si>
    <t>73.8Co-9.2Al-7.5Cr-9.0W-0.50C</t>
  </si>
  <si>
    <t>-9.2Al-7.5Cr-9.W-0.5C</t>
  </si>
  <si>
    <t>Co-16.4Ni-9.5Al-6.2Cr-3.5W-2.7Ti-2.8Ta-3.3Mo-0.5Hf-0.27C-0.14B</t>
  </si>
  <si>
    <t>-16Ni-9Al-6Cr-3W-3Ti-3Ta-3Mo-Hf-C-B</t>
  </si>
  <si>
    <t>5Mo</t>
  </si>
  <si>
    <t>Liu, J., Yu, J. J., Yang, Y. H., Zhou, Y. Z. &amp; Sun, X. F. Effects of Mo on the evolution of microstructures and mechanical properties in Co-Al-W base superalloys. Mater. Sci. Eng. A 745, 404–410 (2019).</t>
  </si>
  <si>
    <t>wt% reported</t>
  </si>
  <si>
    <t>-16.4Ni</t>
  </si>
  <si>
    <t>-6.2Cr</t>
  </si>
  <si>
    <t>-3.3Mo</t>
  </si>
  <si>
    <t>-0.27C</t>
  </si>
  <si>
    <t>-0.14B</t>
  </si>
  <si>
    <t>-0.5Hf</t>
  </si>
  <si>
    <t>5MoLiu, J., Yu, J. J., Yang, Y. H., Zhou, Y. Z. &amp; Sun, X. F. Effects of Mo on the evolution of microstructures and mechanical properties in Co-Al-W base superalloys. Mater. Sci. Eng. A 745, 404–410 (2019).</t>
  </si>
  <si>
    <t>71.1Co-16.4Ni-9.5Al-6.2Cr-3.5W-2.7Ti-2.8Ta-3.3Mo-0.5Hf-0.27C-0.14B</t>
  </si>
  <si>
    <t>-9.5Al-6.2Cr-3.5W-2.8Ta-16.4Ni-3.3Mo-2.7Ti-0.27C-0.14B-0.5Hf</t>
  </si>
  <si>
    <t>Co-16.Ni-9.3Al-6.Cr-3.4W-2.6Ti-2.8Ta-0.Mo-0.5Hf-0.26C-0.14B</t>
  </si>
  <si>
    <t>-16Ni-9Al-6Cr-3W-3Ti-3Ta-0Mo-Hf-C-B</t>
  </si>
  <si>
    <t>-9.3Al</t>
  </si>
  <si>
    <t>-3.4W</t>
  </si>
  <si>
    <t>-16.Ni</t>
  </si>
  <si>
    <t>-6.Cr</t>
  </si>
  <si>
    <t>-0.26C</t>
  </si>
  <si>
    <t>0MoLiu, J., Yu, J. J., Yang, Y. H., Zhou, Y. Z. &amp; Sun, X. F. Effects of Mo on the evolution of microstructures and mechanical properties in Co-Al-W base superalloys. Mater. Sci. Eng. A 745, 404–410 (2019).</t>
  </si>
  <si>
    <t>75.0Co-16.0Ni-9.3Al-6.0Cr-3.4W-2.6Ti-2.8Ta-0.0Mo-0.5Hf-0.26C-0.14B</t>
  </si>
  <si>
    <t>-9.3Al-6.Cr-3.4W-2.8Ta-16.Ni-0.Mo-2.6Ti-0.26C-0.14B-0.5Hf</t>
  </si>
  <si>
    <t>Co-30.Ni-9.9Al-1.9Nb-5.1Mo</t>
  </si>
  <si>
    <t>-30Ni-10Al-2Nb-5Mo</t>
  </si>
  <si>
    <t>Co-30Ni-99Al-5.1Mo-1.9Nb</t>
  </si>
  <si>
    <t>Liu, Q., Coakley, J., Seidman, D. N. &amp; Dunand, D. C. Precipitate Evolution and Creep Behavior of a W-Free Co-based Superalloy. Metall. Mater. Trans. A Phys. Metall. Mater. Sci. 47, 6090–6096 (2016).</t>
  </si>
  <si>
    <t>-5.1Mo</t>
  </si>
  <si>
    <t>Co-30Ni-99Al-5.1Mo-1.9NbLiu, Q., Coakley, J., Seidman, D. N. &amp; Dunand, D. C. Precipitate Evolution and Creep Behavior of a W-Free Co-based Superalloy. Metall. Mater. Trans. A Phys. Metall. Mater. Sci. 47, 6090–6096 (2016).</t>
  </si>
  <si>
    <t>83.1Co-30.0Ni-9.9Al-1.9Nb-5.1Mo</t>
  </si>
  <si>
    <t>-9.9Al-30.Ni-5.1Mo-1.9Nb</t>
  </si>
  <si>
    <t>Co-4.2Ti-12.1V</t>
  </si>
  <si>
    <t>-4Ti-12V</t>
  </si>
  <si>
    <t>CVT-1</t>
  </si>
  <si>
    <t>Liu, X. et al. Effects of Nb and W additions on the microstructures and mechanical properties of novel γ/γ’ Co-V-Ti-based superalloys. Metals (Basel). 8, (2018).</t>
  </si>
  <si>
    <t>-12.1V</t>
  </si>
  <si>
    <t>CVT-1Liu, X. et al. Effects of Nb and W additions on the microstructures and mechanical properties of novel γ/γ’ Co-V-Ti-based superalloys. Metals (Basel). 8, (2018).</t>
  </si>
  <si>
    <t>83.7Co-4.2Ti-12.1V</t>
  </si>
  <si>
    <t>-12.1V-4.2Ti</t>
  </si>
  <si>
    <t>Co-4.1Ti-2.2Nb-10.1V</t>
  </si>
  <si>
    <t>-4Ti-2Nb-10V</t>
  </si>
  <si>
    <t>CVTN</t>
  </si>
  <si>
    <t>-2.2Nb</t>
  </si>
  <si>
    <t>-10.1V</t>
  </si>
  <si>
    <t>CVTNLiu, X. et al. Effects of Nb and W additions on the microstructures and mechanical properties of novel γ/γ’ Co-V-Ti-based superalloys. Metals (Basel). 8, (2018).</t>
  </si>
  <si>
    <t>83.6Co-4.1Ti-2.2Nb-10.1V</t>
  </si>
  <si>
    <t>-2.2Nb-10.1V-4.1Ti</t>
  </si>
  <si>
    <t>Co-2.1W-4.1Ti-9.9V</t>
  </si>
  <si>
    <t>-2W-4Ti-10V</t>
  </si>
  <si>
    <t>CCTW</t>
  </si>
  <si>
    <t>-2.1W</t>
  </si>
  <si>
    <t>-9.9V</t>
  </si>
  <si>
    <t>CCTWLiu, X. et al. Effects of Nb and W additions on the microstructures and mechanical properties of novel γ/γ’ Co-V-Ti-based superalloys. Metals (Basel). 8, (2018).</t>
  </si>
  <si>
    <t>83.9Co-2.1W-4.1Ti-9.9V</t>
  </si>
  <si>
    <t>-2.1W-9.9V-4.1Ti</t>
  </si>
  <si>
    <t>Co-23.Ti</t>
  </si>
  <si>
    <t>-23Ti</t>
  </si>
  <si>
    <t>unalloyed</t>
  </si>
  <si>
    <t>Liu, Y., Takasugi, T., Izumi, O. &amp; Suenaga, H. Mechanical properties of Co3Ti polycrystals alloyed with various additions. JOURNAL OF MATERIALS SCIENCE vol. 24 (1989).</t>
  </si>
  <si>
    <t>-23.Ti</t>
  </si>
  <si>
    <t>unalloyedLiu, Y., Takasugi, T., Izumi, O. &amp; Suenaga, H. Mechanical properties of Co3Ti polycrystals alloyed with various additions. JOURNAL OF MATERIALS SCIENCE vol. 24 (1989).</t>
  </si>
  <si>
    <t>77.0Co-23.0Ti</t>
  </si>
  <si>
    <t>Co-3.Ni-23.Ti</t>
  </si>
  <si>
    <t>-3Ni-23Ti</t>
  </si>
  <si>
    <t>Ni3C</t>
  </si>
  <si>
    <t>-3.Ni</t>
  </si>
  <si>
    <t>Ni3CLiu, Y., Takasugi, T., Izumi, O. &amp; Suenaga, H. Mechanical properties of Co3Ti polycrystals alloyed with various additions. JOURNAL OF MATERIALS SCIENCE vol. 24 (1989).</t>
  </si>
  <si>
    <t>77.0Co-3.0Ni-23.0Ti</t>
  </si>
  <si>
    <t>-3.Ni-23.Ti</t>
  </si>
  <si>
    <t>Co-22.Ti-1.Ta</t>
  </si>
  <si>
    <t>-22Ti-1Ta</t>
  </si>
  <si>
    <t>Ta1T</t>
  </si>
  <si>
    <t>-22.Ti</t>
  </si>
  <si>
    <t>Ta1TLiu, Y., Takasugi, T., Izumi, O. &amp; Suenaga, H. Mechanical properties of Co3Ti polycrystals alloyed with various additions. JOURNAL OF MATERIALS SCIENCE vol. 24 (1989).</t>
  </si>
  <si>
    <t>77.0Co-22.0Ti-1.0Ta</t>
  </si>
  <si>
    <t>-1.Ta-22.Ti</t>
  </si>
  <si>
    <t>Co-21.9Ti-1.Mo</t>
  </si>
  <si>
    <t>-22Ti-1Mo</t>
  </si>
  <si>
    <t>Mo1T</t>
  </si>
  <si>
    <t>-21.9Ti</t>
  </si>
  <si>
    <t>Mo1TLiu, Y., Takasugi, T., Izumi, O. &amp; Suenaga, H. Mechanical properties of Co3Ti polycrystals alloyed with various additions. JOURNAL OF MATERIALS SCIENCE vol. 24 (1989).</t>
  </si>
  <si>
    <t>77.1Co-21.9Ti-1.0Mo</t>
  </si>
  <si>
    <t>-1.Mo-21.9Ti</t>
  </si>
  <si>
    <t>Co-1.W-21.9Ti</t>
  </si>
  <si>
    <t>-1W-22Ti</t>
  </si>
  <si>
    <t>W1T</t>
  </si>
  <si>
    <t>W1TLiu, Y., Takasugi, T., Izumi, O. &amp; Suenaga, H. Mechanical properties of Co3Ti polycrystals alloyed with various additions. JOURNAL OF MATERIALS SCIENCE vol. 24 (1989).</t>
  </si>
  <si>
    <t>77.1Co-1.0W-21.9Ti</t>
  </si>
  <si>
    <t>-1.W-21.9Ti</t>
  </si>
  <si>
    <t>Co-2.9Fe-21.4Ti</t>
  </si>
  <si>
    <t>-3Fe-21Ti</t>
  </si>
  <si>
    <t>Fe3M</t>
  </si>
  <si>
    <t>-21.4Ti</t>
  </si>
  <si>
    <t>-2.9Fe</t>
  </si>
  <si>
    <t>Fe3MLiu, Y., Takasugi, T., Izumi, O. &amp; Suenaga, H. Mechanical properties of Co3Ti polycrystals alloyed with various additions. JOURNAL OF MATERIALS SCIENCE vol. 24 (1989).</t>
  </si>
  <si>
    <t>75.7Co-2.9Fe-21.4Ti</t>
  </si>
  <si>
    <t>-21.4Ti-2.9Fe</t>
  </si>
  <si>
    <t>Co-2.1Al-20.9Ti</t>
  </si>
  <si>
    <t>-2Al-21Ti</t>
  </si>
  <si>
    <t>Al2T</t>
  </si>
  <si>
    <t>-2.1Al</t>
  </si>
  <si>
    <t>-20.9Ti</t>
  </si>
  <si>
    <t>Al2TLiu, Y., Takasugi, T., Izumi, O. &amp; Suenaga, H. Mechanical properties of Co3Ti polycrystals alloyed with various additions. JOURNAL OF MATERIALS SCIENCE vol. 24 (1989).</t>
  </si>
  <si>
    <t>77.0Co-2.1Al-20.9Ti</t>
  </si>
  <si>
    <t>-2.1Al-20.9Ti</t>
  </si>
  <si>
    <t>Co-20.9Ti-2.Ge</t>
  </si>
  <si>
    <t>-21Ti-2Ge</t>
  </si>
  <si>
    <t>Ge2T</t>
  </si>
  <si>
    <t>-2.Ge</t>
  </si>
  <si>
    <t>Ge2TLiu, Y., Takasugi, T., Izumi, O. &amp; Suenaga, H. Mechanical properties of Co3Ti polycrystals alloyed with various additions. JOURNAL OF MATERIALS SCIENCE vol. 24 (1989).</t>
  </si>
  <si>
    <t>77.1Co-20.9Ti-2.0Ge</t>
  </si>
  <si>
    <t>-20.9Ti-2.Ge</t>
  </si>
  <si>
    <t>Co-2.9Cr-19.9Ti</t>
  </si>
  <si>
    <t>-3Cr-20Ti</t>
  </si>
  <si>
    <t>Cr3T</t>
  </si>
  <si>
    <t>-2.9Cr</t>
  </si>
  <si>
    <t>-19.9Ti</t>
  </si>
  <si>
    <t>Cr3TLiu, Y., Takasugi, T., Izumi, O. &amp; Suenaga, H. Mechanical properties of Co3Ti polycrystals alloyed with various additions. JOURNAL OF MATERIALS SCIENCE vol. 24 (1989).</t>
  </si>
  <si>
    <t>77.3Co-2.9Cr-19.9Ti</t>
  </si>
  <si>
    <t>-2.9Cr-19.9Ti</t>
  </si>
  <si>
    <t>Co-19.8Ti-3.V</t>
  </si>
  <si>
    <t>-20Ti-3V</t>
  </si>
  <si>
    <t>V3T</t>
  </si>
  <si>
    <t>-3.V</t>
  </si>
  <si>
    <t>-19.8Ti</t>
  </si>
  <si>
    <t>V3TLiu, Y., Takasugi, T., Izumi, O. &amp; Suenaga, H. Mechanical properties of Co3Ti polycrystals alloyed with various additions. JOURNAL OF MATERIALS SCIENCE vol. 24 (1989).</t>
  </si>
  <si>
    <t>77.3Co-19.8Ti-3.0V</t>
  </si>
  <si>
    <t>-3.V-19.8Ti</t>
  </si>
  <si>
    <t>Co-18.9Ni-4.3Al-14.7Cr-5.1Ti</t>
  </si>
  <si>
    <t>-19Ni-4Al-15Cr-5Ti</t>
  </si>
  <si>
    <t>56Co</t>
  </si>
  <si>
    <t>Llewelyn, S. C. H. et al. The effect of Ni:Co ratio on the elemental phase partitioning in γ-γ′ Ni-Co-Al-Ti-Cr alloys. Acta Mater. 131, 296–304 (2017).</t>
  </si>
  <si>
    <t>-18.9Ni</t>
  </si>
  <si>
    <t>-14.7Cr</t>
  </si>
  <si>
    <t>-5.1Ti</t>
  </si>
  <si>
    <t>56CoLlewelyn, S. C. H. et al. The effect of Ni:Co ratio on the elemental phase partitioning in γ-γ′ Ni-Co-Al-Ti-Cr alloys. Acta Mater. 131, 296–304 (2017).</t>
  </si>
  <si>
    <t>75.9Co-18.9Ni-4.3Al-14.7Cr-5.1Ti</t>
  </si>
  <si>
    <t>-4.3Al-14.7Cr-18.9Ni-5.1Ti</t>
  </si>
  <si>
    <t>Co-27.3Ni-4.9Al-14.5Cr-4.9Ti</t>
  </si>
  <si>
    <t>-27Ni-5Al-15Cr-5Ti</t>
  </si>
  <si>
    <t>47Co</t>
  </si>
  <si>
    <t>-27.3Ni</t>
  </si>
  <si>
    <t>-14.5Cr</t>
  </si>
  <si>
    <t>-4.9Ti</t>
  </si>
  <si>
    <t>47CoLlewelyn, S. C. H. et al. The effect of Ni:Co ratio on the elemental phase partitioning in γ-γ′ Ni-Co-Al-Ti-Cr alloys. Acta Mater. 131, 296–304 (2017).</t>
  </si>
  <si>
    <t>75.7Co-27.3Ni-4.9Al-14.5Cr-4.9Ti</t>
  </si>
  <si>
    <t>-4.9Al-14.5Cr-27.3Ni-4.9Ti</t>
  </si>
  <si>
    <t>Co-27.8Ni-3.7Al-19.9W-0.4Si-0.02C-0.01B</t>
  </si>
  <si>
    <t>-28Ni-4Al-20W-Si-C-B</t>
  </si>
  <si>
    <t>Co-GP-01</t>
  </si>
  <si>
    <t>Locq, D., Martin, M., Ramusat, C., Fossard, F. &amp; Perrut, M. γ′ Precipitation Study of a Co-Ni-Based Alloy. Metall. Mater. Trans. A Phys. Metall. Mater. Sci. 49, 3854–3864 (2018).</t>
  </si>
  <si>
    <t>-3.7Al</t>
  </si>
  <si>
    <t>-19.9W</t>
  </si>
  <si>
    <t>-27.8Ni</t>
  </si>
  <si>
    <t>-0.02C</t>
  </si>
  <si>
    <t>Co-GP-01Locq, D., Martin, M., Ramusat, C., Fossard, F. &amp; Perrut, M. γ′ Precipitation Study of a Co-Ni-Based Alloy. Metall. Mater. Trans. A Phys. Metall. Mater. Sci. 49, 3854–3864 (2018).</t>
  </si>
  <si>
    <t>76.0Co-27.8Ni-3.7Al-19.9W-0.4Si-0.02C-0.01B</t>
  </si>
  <si>
    <t>-3.7Al-19.9W-27.8Ni-0.02C-0.4Si-0.01B</t>
  </si>
  <si>
    <t>Co-20.Ni-8.Al-6.Cr-5.W-2.5Ti-1.5Ta-1.4Si-0.1Hf</t>
  </si>
  <si>
    <t>-20Ni-8Al-6Cr-5W-3Ti-2Ta-Si-Hf</t>
  </si>
  <si>
    <t>ERBOCo-0</t>
  </si>
  <si>
    <t>Lopez-Galilea, I. et al. The thermal stability of intermetallic compounds in an as-cast SX co-base superalloy. Adv. Eng. Mater. 17, 741–747 (2015).</t>
  </si>
  <si>
    <t>-1.4Si</t>
  </si>
  <si>
    <t>ERBOCo-0Lopez-Galilea, I. et al. The thermal stability of intermetallic compounds in an as-cast SX co-base superalloy. Adv. Eng. Mater. 17, 741–747 (2015).</t>
  </si>
  <si>
    <t>75.5Co-20.0Ni-8.0Al-6.0Cr-5.0W-2.5Ti-1.5Ta-1.4Si-0.1Hf</t>
  </si>
  <si>
    <t>-8.Al-6.Cr-5.W-1.5Ta-20.Ni-2.5Ti-1.4Si-0.1Hf</t>
  </si>
  <si>
    <t>Co-32.Ni-9.9Al-1.4Ti-1.7Ta-4.6Mo</t>
  </si>
  <si>
    <t>-32Ni-10Al-1Ti-2Ta-5Mo</t>
  </si>
  <si>
    <t>30Ni2Ta2Ti</t>
  </si>
  <si>
    <t>Makineni, S. K. et al. A new class of high strength high temperature Cobalt based γ-γ′ Co-Mo-Al alloys stabilized with Ta addition. Acta Mater. 97, 29–40 (2015).</t>
  </si>
  <si>
    <t>-1.4Ti</t>
  </si>
  <si>
    <t>-4.6Mo</t>
  </si>
  <si>
    <t>30Ni2Ta2TiMakineni, S. K. et al. A new class of high strength high temperature Cobalt based γ-γ′ Co-Mo-Al alloys stabilized with Ta addition. Acta Mater. 97, 29–40 (2015).</t>
  </si>
  <si>
    <t>82.4Co-32.0Ni-9.9Al-1.4Ti-1.7Ta-4.6Mo</t>
  </si>
  <si>
    <t>-9.9Al-1.7Ta-32.Ni-4.6Mo-1.4Ti</t>
  </si>
  <si>
    <t>Co-9.9Al-2.1Ta-5.1Mo</t>
  </si>
  <si>
    <t>-10Al-2Ta-5Mo</t>
  </si>
  <si>
    <t>2Ta</t>
  </si>
  <si>
    <t>-2.1Ta</t>
  </si>
  <si>
    <t>2TaMakineni, S. K. et al. A new class of high strength high temperature Cobalt based γ-γ′ Co-Mo-Al alloys stabilized with Ta addition. Acta Mater. 97, 29–40 (2015).</t>
  </si>
  <si>
    <t>82.9Co-9.9Al-2.1Ta-5.1Mo</t>
  </si>
  <si>
    <t>-9.9Al-2.1Ta-5.1Mo</t>
  </si>
  <si>
    <t>Co-31.Ni-10.1Al-2.1Ta-5.1Mo</t>
  </si>
  <si>
    <t>-31Ni-10Al-2Ta-5Mo</t>
  </si>
  <si>
    <t>30Ni2Ta</t>
  </si>
  <si>
    <t>-31.Ni</t>
  </si>
  <si>
    <t>30Ni2TaMakineni, S. K. et al. A new class of high strength high temperature Cobalt based γ-γ′ Co-Mo-Al alloys stabilized with Ta addition. Acta Mater. 97, 29–40 (2015).</t>
  </si>
  <si>
    <t>82.7Co-31.0Ni-10.1Al-2.1Ta-5.1Mo</t>
  </si>
  <si>
    <t>-10.1Al-2.1Ta-31.Ni-5.1Mo</t>
  </si>
  <si>
    <t>Co-9.8Al-2.1Nb-5.1Mo</t>
  </si>
  <si>
    <t>-10Al-2Nb-5Mo</t>
  </si>
  <si>
    <t>5Mo-base</t>
  </si>
  <si>
    <t>Makineni, S. K., Nithin, B. &amp; Chattopadhyay, K. A new tungsten-free γ-γ’ Co-Al-Mo-Nb-based superalloy. Scr. Mater. 98, 36–39 (2015).</t>
  </si>
  <si>
    <t>-2.1Nb</t>
  </si>
  <si>
    <t>5Mo-baseMakineni, S. K., Nithin, B. &amp; Chattopadhyay, K. A new tungsten-free γ-γ’ Co-Al-Mo-Nb-based superalloy. Scr. Mater. 98, 36–39 (2015).</t>
  </si>
  <si>
    <t>83.0Co-9.8Al-2.1Nb-5.1Mo</t>
  </si>
  <si>
    <t>-9.8Al-5.1Mo-2.1Nb</t>
  </si>
  <si>
    <t>Co-11.5Ni-9.9Al-2.1Nb-5.2Mo</t>
  </si>
  <si>
    <t>-12Ni-10Al-2Nb-5Mo</t>
  </si>
  <si>
    <t>CoNi10</t>
  </si>
  <si>
    <t>Makineni, S. K., Nithin, B. &amp; Chattopadhyay, K. Synthesis of a new tungsten-free γ-γ′ Cobalt-based superalloy by tuning alloying additions. Acta Mater. 85, 85–94 (2015).</t>
  </si>
  <si>
    <t>-11.5Ni</t>
  </si>
  <si>
    <t>-5.2Mo</t>
  </si>
  <si>
    <t>CoNi10Makineni, S. K., Nithin, B. &amp; Chattopadhyay, K. Synthesis of a new tungsten-free γ-γ′ Cobalt-based superalloy by tuning alloying additions. Acta Mater. 85, 85–94 (2015).</t>
  </si>
  <si>
    <t>82.8Co-11.5Ni-9.9Al-2.1Nb-5.2Mo</t>
  </si>
  <si>
    <t>-9.9Al-11.5Ni-5.2Mo-2.1Nb</t>
  </si>
  <si>
    <t>Co-22.Ni-9.8Al-2.1Nb-5.1Mo</t>
  </si>
  <si>
    <t>-22Ni-10Al-2Nb-5Mo</t>
  </si>
  <si>
    <t>CoNi20</t>
  </si>
  <si>
    <t>-22.Ni</t>
  </si>
  <si>
    <t>CoNi20Makineni, S. K., Nithin, B. &amp; Chattopadhyay, K. Synthesis of a new tungsten-free γ-γ′ Cobalt-based superalloy by tuning alloying additions. Acta Mater. 85, 85–94 (2015).</t>
  </si>
  <si>
    <t>83.0Co-22.0Ni-9.8Al-2.1Nb-5.1Mo</t>
  </si>
  <si>
    <t>-9.8Al-22.Ni-5.1Mo-2.1Nb</t>
  </si>
  <si>
    <t>Co-32.Ni-9.7Al-2.3Nb-5.2Mo</t>
  </si>
  <si>
    <t>-32Ni-10Al-2Nb-5Mo</t>
  </si>
  <si>
    <t>CoNi30</t>
  </si>
  <si>
    <t>-2.3Nb</t>
  </si>
  <si>
    <t>CoNi30Makineni, S. K., Nithin, B. &amp; Chattopadhyay, K. Synthesis of a new tungsten-free γ-γ′ Cobalt-based superalloy by tuning alloying additions. Acta Mater. 85, 85–94 (2015).</t>
  </si>
  <si>
    <t>82.8Co-32.0Ni-9.7Al-2.3Nb-5.2Mo</t>
  </si>
  <si>
    <t>-9.7Al-32.Ni-5.2Mo-2.3Nb</t>
  </si>
  <si>
    <t>Co-30.Ni-10.Al-2.Ti-2.Nb</t>
  </si>
  <si>
    <t>-30Ni-10Al-2Ti-2Nb</t>
  </si>
  <si>
    <t>CoNi30Ti</t>
  </si>
  <si>
    <t>Makineni, S. K., Nithin, B., Palanisamy, D. &amp; Chattopadhyay, K. Phase evolution and crystallography of precipitates during decomposition of new “tungsten-free” Co(Ni)–Mo–Al–Nb γ–γ′ superalloys at elevated temperatures. J. Mater. Sci. 51, 7843–7860 (2016).</t>
  </si>
  <si>
    <t>composition not verified</t>
  </si>
  <si>
    <t>CoNi30TiMakineni, S. K., Nithin, B., Palanisamy, D. &amp; Chattopadhyay, K. Phase evolution and crystallography of precipitates during decomposition of new “tungsten-free” Co(Ni)–Mo–Al–Nb γ–γ′ superalloys at elevated temperatures. J. Mater. Sci. 51, 7843–7860 (2016).</t>
  </si>
  <si>
    <t>86.0Co-30.0Ni-10.0Al-2.0Ti-2.0Nb</t>
  </si>
  <si>
    <t>-10.Al-30.Ni-2.Nb-2.Ti</t>
  </si>
  <si>
    <t>Co-40.Ni-10.Al-10.Cr-7.5W-3.Ta-0.6C-0.06B</t>
  </si>
  <si>
    <t>40Ni-3Ta</t>
  </si>
  <si>
    <t>Matos, A., Costa, S., Nunes, C. A. &amp; Ramirez, A. J. Development of Co-based superalloys. doi:10.13140/RG.2.2.27969.86883.</t>
  </si>
  <si>
    <t>-0.6C</t>
  </si>
  <si>
    <t>40Ni-3TaMatos, A., Costa, S., Nunes, C. A. &amp; Ramirez, A. J. Development of Co-based superalloys. doi:10.13140/RG.2.2.27969.86883.</t>
  </si>
  <si>
    <t>68.8Co-40.0Ni-10.0Al-10.0Cr-7.5W-3.0Ta-0.60C-0.06B</t>
  </si>
  <si>
    <t>-10.Al-10.Cr-7.5W-3.Ta-40.Ni-0.6C-0.06B</t>
  </si>
  <si>
    <t>Co-30.Ni-10.Al-10.Cr-7.5W-3.Nb-0.6C-0.06B</t>
  </si>
  <si>
    <t>-30Ni-10Al-10Cr-8W-3Nb-C-B</t>
  </si>
  <si>
    <t>30Ni-3Nb</t>
  </si>
  <si>
    <t>30Ni-3NbMatos, A., Costa, S., Nunes, C. A. &amp; Ramirez, A. J. Development of Co-based superalloys. doi:10.13140/RG.2.2.27969.86883.</t>
  </si>
  <si>
    <t>68.8Co-30.0Ni-10.0Al-10.0Cr-7.5W-3.0Nb-0.60C-0.06B</t>
  </si>
  <si>
    <t>-10.Al-10.Cr-7.5W-30.Ni-3.Nb-0.6C-0.06B</t>
  </si>
  <si>
    <t>Co-40.Ni-10.Al-10.Cr-7.5W-3.Nb-0.6C-0.06B</t>
  </si>
  <si>
    <t>40Ni-3Nb</t>
  </si>
  <si>
    <t>40Ni-3NbMatos, A., Costa, S., Nunes, C. A. &amp; Ramirez, A. J. Development of Co-based superalloys. doi:10.13140/RG.2.2.27969.86883.</t>
  </si>
  <si>
    <t>68.8Co-40.0Ni-10.0Al-10.0Cr-7.5W-3.0Nb-0.60C-0.06B</t>
  </si>
  <si>
    <t>-10.Al-10.Cr-7.5W-40.Ni-3.Nb-0.6C-0.06B</t>
  </si>
  <si>
    <t>Co-50.Ni-10.Al-10.Cr-7.5W-3.Nb-0.6C-0.06B</t>
  </si>
  <si>
    <t>-50Ni-10Al-10Cr-8W-3Nb-C-B</t>
  </si>
  <si>
    <t>50N-3Nb</t>
  </si>
  <si>
    <t>-50.Ni</t>
  </si>
  <si>
    <t>50N-3NbMatos, A., Costa, S., Nunes, C. A. &amp; Ramirez, A. J. Development of Co-based superalloys. doi:10.13140/RG.2.2.27969.86883.</t>
  </si>
  <si>
    <t>68.8Co-50.0Ni-10.0Al-10.0Cr-7.5W-3.0Nb-0.60C-0.06B</t>
  </si>
  <si>
    <t>-10.Al-10.Cr-7.5W-50.Ni-3.Nb-0.6C-0.06B</t>
  </si>
  <si>
    <t>Co-7.3Al-6.8W</t>
  </si>
  <si>
    <t>-7Al-7W</t>
  </si>
  <si>
    <t>Meher, S., Yan, H. Y., Nag, S., Dye, D. &amp; Banerjee, R. Solute partitioning and site preference in γ/γ’ cobalt-base alloys. Scr. Mater. 67, 850–853 (2012).</t>
  </si>
  <si>
    <t>Co-7.3Al-6.8WMeher, S., Yan, H. Y., Nag, S., Dye, D. &amp; Banerjee, R. Solute partitioning and site preference in γ/γ’ cobalt-base alloys. Scr. Mater. 67, 850–853 (2012).</t>
  </si>
  <si>
    <t>85.9Co-7.3Al-6.8W</t>
  </si>
  <si>
    <t>-7.3Al-6.8W</t>
  </si>
  <si>
    <t>Co-25.6Ni-8.5Al-8.1W</t>
  </si>
  <si>
    <t>-26Ni-9Al-8W</t>
  </si>
  <si>
    <t>Co-8.5Al-8.1W-25.6Ni</t>
  </si>
  <si>
    <t>-25.6Ni</t>
  </si>
  <si>
    <t>Co-8.5Al-8.1W-25.6NiMeher, S., Yan, H. Y., Nag, S., Dye, D. &amp; Banerjee, R. Solute partitioning and site preference in γ/γ’ cobalt-base alloys. Scr. Mater. 67, 850–853 (2012).</t>
  </si>
  <si>
    <t>83.4Co-25.6Ni-8.5Al-8.1W</t>
  </si>
  <si>
    <t>-8.5Al-8.1W-25.6Ni</t>
  </si>
  <si>
    <t>Co-9.9Al-4.8W-1.8Ta</t>
  </si>
  <si>
    <t>-10Al-5W-2Ta</t>
  </si>
  <si>
    <t>Co-9.9Al-4.8w-1.8Ta</t>
  </si>
  <si>
    <t>-4.8W</t>
  </si>
  <si>
    <t>Co-9.9Al-4.8w-1.8TaMeher, S., Yan, H. Y., Nag, S., Dye, D. &amp; Banerjee, R. Solute partitioning and site preference in γ/γ’ cobalt-base alloys. Scr. Mater. 67, 850–853 (2012).</t>
  </si>
  <si>
    <t>83.5Co-9.9Al-4.8W-1.8Ta</t>
  </si>
  <si>
    <t>-9.9Al-4.8W-1.8Ta</t>
  </si>
  <si>
    <t>Co-15.9Ni-14.9Al-8.7Cr-2.5W-2.6Ti-0.9Ta-1.1Mo-0.5Re</t>
  </si>
  <si>
    <t>-16Ni-15Al-9Cr-3W-3Ti-1Ta-1Mo-1Re</t>
  </si>
  <si>
    <t>VIAM-M2</t>
  </si>
  <si>
    <t>Midtlyng, J. et al. Creep behavior of a γ′-strengthened Co-base alloy with zero γ/γ′-lattice misfit at 800 °c, 196 MPa. J. Mater. Res. 32, 4466–4474 (2017).</t>
  </si>
  <si>
    <t>-14.9Al</t>
  </si>
  <si>
    <t>-2.5W</t>
  </si>
  <si>
    <t>-8.7Cr</t>
  </si>
  <si>
    <t>-0.5Re</t>
  </si>
  <si>
    <t>VIAM-M2Midtlyng, J. et al. Creep behavior of a γ′-strengthened Co-base alloy with zero γ/γ′-lattice misfit at 800 °c, 196 MPa. J. Mater. Res. 32, 4466–4474 (2017).</t>
  </si>
  <si>
    <t>68.8Co-15.9Ni-14.9Al-8.7Cr-2.5W-2.6Ti-0.9Ta-1.1Mo-0.5Re</t>
  </si>
  <si>
    <t>-14.9Al-8.7Cr-2.5W-0.9Ta-15.9Ni-1.1Mo-2.6Ti-0.5Re</t>
  </si>
  <si>
    <t>Co-15.9Ni-13.6Al-1.9W-0.7Ta-0.6Mo-0.3Re</t>
  </si>
  <si>
    <t>-16Ni-14Al-2W-1Ta-1Mo-0Re</t>
  </si>
  <si>
    <t>VIAM-M1</t>
  </si>
  <si>
    <t>VIAM-M1Midtlyng, J. et al. Creep behavior of a γ′-strengthened Co-base alloy with zero γ/γ′-lattice misfit at 800 °c, 196 MPa. J. Mater. Res. 32, 4466–4474 (2017).</t>
  </si>
  <si>
    <t>82.9Co-15.9Ni-13.6Al-1.9W-0.7Ta-0.6Mo-0.3Re</t>
  </si>
  <si>
    <t>-13.6Al-1.9W-0.7Ta-15.9Ni-0.6Mo-0.3Re</t>
  </si>
  <si>
    <t>Co-10.Al-2.Nb-5.Mo</t>
  </si>
  <si>
    <t>Co–10Al–5Mo–2Nb</t>
  </si>
  <si>
    <t>Migas, D., Moskal, G. &amp; Maciąg, T. Thermal analysis of W-free Co–(Ni)–Al–Mo–Nb superalloys. J. Therm. Anal. Calorim. (2020) doi:10.1007/s10973-020-09375-7.</t>
  </si>
  <si>
    <t>Co–10Al–5Mo–2NbMigas, D., Moskal, G. &amp; Maciąg, T. Thermal analysis of W-free Co–(Ni)–Al–Mo–Nb superalloys. J. Therm. Anal. Calorim. (2020) doi:10.1007/s10973-020-09375-7.</t>
  </si>
  <si>
    <t>83.0Co-10.0Al-2.0Nb-5.0Mo</t>
  </si>
  <si>
    <t>-10.Al-5.Mo-2.Nb</t>
  </si>
  <si>
    <t>Co-20.Ni-10.Al-2.Nb-5.Mo</t>
  </si>
  <si>
    <t>-20Ni-10Al-2Nb-5Mo</t>
  </si>
  <si>
    <t>Co–20Ni–10Al–5Mo–2Nb</t>
  </si>
  <si>
    <t>Co–20Ni–10Al–5Mo–2NbMigas, D., Moskal, G. &amp; Maciąg, T. Thermal analysis of W-free Co–(Ni)–Al–Mo–Nb superalloys. J. Therm. Anal. Calorim. (2020) doi:10.1007/s10973-020-09375-7.</t>
  </si>
  <si>
    <t>83.0Co-20.0Ni-10.0Al-2.0Nb-5.0Mo</t>
  </si>
  <si>
    <t>-10.Al-20.Ni-5.Mo-2.Nb</t>
  </si>
  <si>
    <t>Co-15.Ti</t>
  </si>
  <si>
    <t>-15Ti</t>
  </si>
  <si>
    <t>Alloy G</t>
  </si>
  <si>
    <t>Minshull, J. P., Neumeier, S., Tucker, M. G. &amp; Stone, H. J. A1-L12 structures in the Al-Co-Ni-Ti quaternary phase system. in Advanced Materials Research vol. 278 399–404 (2011).</t>
  </si>
  <si>
    <t>-15.Ti</t>
  </si>
  <si>
    <t>Alloy GMinshull, J. P., Neumeier, S., Tucker, M. G. &amp; Stone, H. J. A1-L12 structures in the Al-Co-Ni-Ti quaternary phase system. in Advanced Materials Research vol. 278 399–404 (2011).</t>
  </si>
  <si>
    <t>85.0Co-15.0Ti</t>
  </si>
  <si>
    <t>Co-15.Ni-2.6Al-12.4Ti</t>
  </si>
  <si>
    <t>-15Ni-3Al-12Ti</t>
  </si>
  <si>
    <t>Alloy F</t>
  </si>
  <si>
    <t>-2.6Al</t>
  </si>
  <si>
    <t>-12.4Ti</t>
  </si>
  <si>
    <t>Alloy FMinshull, J. P., Neumeier, S., Tucker, M. G. &amp; Stone, H. J. A1-L12 structures in the Al-Co-Ni-Ti quaternary phase system. in Advanced Materials Research vol. 278 399–404 (2011).</t>
  </si>
  <si>
    <t>85.0Co-15.0Ni-2.6Al-12.4Ti</t>
  </si>
  <si>
    <t>-2.6Al-15.Ni-12.4Ti</t>
  </si>
  <si>
    <t>Co-30.Ni-5.3Al-9.7Ti</t>
  </si>
  <si>
    <t>-30Ni-5Al-10Ti</t>
  </si>
  <si>
    <t>Alloy E</t>
  </si>
  <si>
    <t>-5.3Al</t>
  </si>
  <si>
    <t>-9.7Ti</t>
  </si>
  <si>
    <t>Alloy EMinshull, J. P., Neumeier, S., Tucker, M. G. &amp; Stone, H. J. A1-L12 structures in the Al-Co-Ni-Ti quaternary phase system. in Advanced Materials Research vol. 278 399–404 (2011).</t>
  </si>
  <si>
    <t>85.0Co-30.0Ni-5.3Al-9.7Ti</t>
  </si>
  <si>
    <t>-5.3Al-30.Ni-9.7Ti</t>
  </si>
  <si>
    <t>Co-42.5Ni-7.5Al-7.5Ti</t>
  </si>
  <si>
    <t>-43Ni-8Al-8Ti</t>
  </si>
  <si>
    <t>Alloy D</t>
  </si>
  <si>
    <t>-42.5Ni</t>
  </si>
  <si>
    <t>-7.5Ti</t>
  </si>
  <si>
    <t>Alloy DMinshull, J. P., Neumeier, S., Tucker, M. G. &amp; Stone, H. J. A1-L12 structures in the Al-Co-Ni-Ti quaternary phase system. in Advanced Materials Research vol. 278 399–404 (2011).</t>
  </si>
  <si>
    <t>85.0Co-42.5Ni-7.5Al-7.5Ti</t>
  </si>
  <si>
    <t>-7.5Al-42.5Ni-7.5Ti</t>
  </si>
  <si>
    <t>Co-10.Al-13.W</t>
  </si>
  <si>
    <t>-10Al-13W</t>
  </si>
  <si>
    <t>miura alloy 1</t>
  </si>
  <si>
    <t>Miura, S., Ohkubo, K. &amp; Mohri, T. Mechanical properties of co-based L12 intermetallic compound Co3(Al,W). Mater. Trans. 48, 2403–2408 (2007).</t>
  </si>
  <si>
    <t>-13.W</t>
  </si>
  <si>
    <t>miura alloy 1Miura, S., Ohkubo, K. &amp; Mohri, T. Mechanical properties of co-based L12 intermetallic compound Co3(Al,W). Mater. Trans. 48, 2403–2408 (2007).</t>
  </si>
  <si>
    <t>77.0Co-10.0Al-13.0W</t>
  </si>
  <si>
    <t>-10.Al-13.W</t>
  </si>
  <si>
    <t>Co-10.Al-12.W</t>
  </si>
  <si>
    <t>-10Al-12W</t>
  </si>
  <si>
    <t>miura alloy 2</t>
  </si>
  <si>
    <t>miura alloy 2Miura, S., Ohkubo, K. &amp; Mohri, T. Mechanical properties of co-based L12 intermetallic compound Co3(Al,W). Mater. Trans. 48, 2403–2408 (2007).</t>
  </si>
  <si>
    <t>78.0Co-10.0Al-12.0W</t>
  </si>
  <si>
    <t>-10.Al-12.W</t>
  </si>
  <si>
    <t>Co-10.Al-8.4W-1.4Ti-1.2Nb</t>
  </si>
  <si>
    <t>-10Al-8W-1Ti-1Nb</t>
  </si>
  <si>
    <t>TiNb</t>
  </si>
  <si>
    <t>Murray, S. P., Stinville, J. C., Callahan, P. G., Rhein, R. K. &amp; Pollock, T. M. Low Cycle Fatigue of Single Crystal γ′ -containing Co-based Superalloys at 750∘C. Metall. Mater. Trans. A Phys. Metall. Mater. Sci. 51, 200–213 (2020).</t>
  </si>
  <si>
    <t>-1.2Nb</t>
  </si>
  <si>
    <t>TiNbMurray, S. P., Stinville, J. C., Callahan, P. G., Rhein, R. K. &amp; Pollock, T. M. Low Cycle Fatigue of Single Crystal γ′ -containing Co-based Superalloys at 750∘C. Metall. Mater. Trans. A Phys. Metall. Mater. Sci. 51, 200–213 (2020).</t>
  </si>
  <si>
    <t>79.0Co-10.0Al-8.4W-1.4Ti-1.2Nb</t>
  </si>
  <si>
    <t>-10.Al-8.4W-1.2Nb-1.4Ti</t>
  </si>
  <si>
    <t>Co-10.3Al-7.9W-1.1Ta-0.9Nb</t>
  </si>
  <si>
    <t>-10Al-8W-1Ta-1Nb</t>
  </si>
  <si>
    <t>TaNb</t>
  </si>
  <si>
    <t>-1.1Ta</t>
  </si>
  <si>
    <t>-0.9Nb</t>
  </si>
  <si>
    <t>TaNbMurray, S. P., Stinville, J. C., Callahan, P. G., Rhein, R. K. &amp; Pollock, T. M. Low Cycle Fatigue of Single Crystal γ′ -containing Co-based Superalloys at 750∘C. Metall. Mater. Trans. A Phys. Metall. Mater. Sci. 51, 200–213 (2020).</t>
  </si>
  <si>
    <t>79.8Co-10.3Al-7.9W-1.1Ta-0.9Nb</t>
  </si>
  <si>
    <t>-10.3Al-7.9W-1.1Ta-0.9Nb</t>
  </si>
  <si>
    <t>Co-30.7Ni-7.5Al-0.Cr-2.1W-4.2Ti-1.1Ta-1.Nb-3.2Mo-0.07B</t>
  </si>
  <si>
    <t>-31Ni-7Al-0Cr-2W-4Ti-1Ta-1Nb-3Mo-B</t>
  </si>
  <si>
    <t>0Cr</t>
  </si>
  <si>
    <t>Ng, D. S. et al. Effect of Cr additions on a γ-γ’ microstructure and creep behavior of a Co-based superalloy with low W content. Mater. Sci. Eng. A 778, (2020).</t>
  </si>
  <si>
    <t>-30.7Ni</t>
  </si>
  <si>
    <t>-3.2Mo</t>
  </si>
  <si>
    <t>-0.07B</t>
  </si>
  <si>
    <t>0CrNg, D. S. et al. Effect of Cr additions on a γ-γ’ microstructure and creep behavior of a Co-based superalloy with low W content. Mater. Sci. Eng. A 778, (2020).</t>
  </si>
  <si>
    <t>80.8Co-30.7Ni-7.5Al-0.0Cr-2.1W-4.2Ti-1.1Ta-1.0Nb-3.2Mo-0.07B</t>
  </si>
  <si>
    <t>-7.5Al-0.Cr-2.1W-1.1Ta-30.7Ni-3.2Mo-1.Nb-4.2Ti-0.07B</t>
  </si>
  <si>
    <t>Co-31.3Ni-6.6Al-4.2Cr-2.1W-3.9Ti-1.Ta-1.Nb-3.2Mo-0.12B</t>
  </si>
  <si>
    <t>-31Ni-7Al-4Cr-2W-4Ti-1Ta-1Nb-3Mo-B</t>
  </si>
  <si>
    <t>4Cr</t>
  </si>
  <si>
    <t>-6.6Al</t>
  </si>
  <si>
    <t>-31.3Ni</t>
  </si>
  <si>
    <t>-4.2Cr</t>
  </si>
  <si>
    <t>-3.9Ti</t>
  </si>
  <si>
    <t>4CrNg, D. S. et al. Effect of Cr additions on a γ-γ’ microstructure and creep behavior of a Co-based superalloy with low W content. Mater. Sci. Eng. A 778, (2020).</t>
  </si>
  <si>
    <t>78.0Co-31.3Ni-6.6Al-4.2Cr-2.1W-3.9Ti-1.0Ta-1.0Nb-3.2Mo-0.12B</t>
  </si>
  <si>
    <t>-6.6Al-4.2Cr-2.1W-1.Ta-31.3Ni-3.2Mo-1.Nb-3.9Ti-0.12B</t>
  </si>
  <si>
    <t>Co-28.7Ni-7.1Al-12.2Cr-1.8W-3.5Ti-1.1Ta-0.9Nb-2.9Mo-0.1B</t>
  </si>
  <si>
    <t>-29Ni-7Al-12Cr-2W-3Ti-1Ta-1Nb-3Mo-B</t>
  </si>
  <si>
    <t>12Cr</t>
  </si>
  <si>
    <t>-1.8W</t>
  </si>
  <si>
    <t>-28.7Ni</t>
  </si>
  <si>
    <t>-3.5Ti</t>
  </si>
  <si>
    <t>-2.9Mo</t>
  </si>
  <si>
    <t>12CrNg, D. S. et al. Effect of Cr additions on a γ-γ’ microstructure and creep behavior of a Co-based superalloy with low W content. Mater. Sci. Eng. A 778, (2020).</t>
  </si>
  <si>
    <t>70.4Co-28.7Ni-7.1Al-12.2Cr-1.8W-3.5Ti-1.1Ta-0.9Nb-2.9Mo-0.10B</t>
  </si>
  <si>
    <t>-7.1Al-12.2Cr-1.8W-1.1Ta-28.7Ni-2.9Mo-0.9Nb-3.5Ti-0.1B</t>
  </si>
  <si>
    <t>Co-30.Ni-9.5Al-4.8Cr-2.1Ti-1.9Ta-5.Mo</t>
  </si>
  <si>
    <t>-30Ni-10Al-5Cr-2Ti-2Ta-5Mo</t>
  </si>
  <si>
    <t>nithin alloy 1</t>
  </si>
  <si>
    <t>Nithin, B. ., Chattopadhyay, K. &amp; Phanikumar, G. Characterization of the Hot Deformation Behavior and Microstructure Evolution of a New γ-γ′ Strengthened Cobalt-Based Superalloy. Metall. Mater. Trans. A Phys. Metall. Mater. Sci. 49, 4895–4905 (2018).</t>
  </si>
  <si>
    <t>-4.8Cr</t>
  </si>
  <si>
    <t>nithin alloy 1Nithin, B. ., Chattopadhyay, K. &amp; Phanikumar, G. Characterization of the Hot Deformation Behavior and Microstructure Evolution of a New γ-γ′ Strengthened Cobalt-Based Superalloy. Metall. Mater. Trans. A Phys. Metall. Mater. Sci. 49, 4895–4905 (2018).</t>
  </si>
  <si>
    <t>76.7Co-30.0Ni-9.5Al-4.8Cr-2.1Ti-1.9Ta-5.0Mo</t>
  </si>
  <si>
    <t>-9.5Al-4.8Cr-1.9Ta-30.Ni-5.Mo-2.1Ti</t>
  </si>
  <si>
    <t>Co-30.4Ni-9.7Al-11.5Cr-2.1Ti-2.2Ta-5.2Mo</t>
  </si>
  <si>
    <t>-30Ni-10Al-12Cr-2Ti-2Ta-5Mo</t>
  </si>
  <si>
    <t>10Cr2Ta2Ti</t>
  </si>
  <si>
    <t>Nithin, B. et al. Effect of Cr addition on γ–γ′ cobalt-based Co–Mo–Al–Ta class of superalloys: a combined experimental and computational study. J. Mater. Sci. 52, 11036–11047 (2017).</t>
  </si>
  <si>
    <t>-30.4Ni</t>
  </si>
  <si>
    <t>-11.5Cr</t>
  </si>
  <si>
    <t>10Cr2Ta2TiNithin, B. et al. Effect of Cr addition on γ–γ′ cobalt-based Co–Mo–Al–Ta class of superalloys: a combined experimental and computational study. J. Mater. Sci. 52, 11036–11047 (2017).</t>
  </si>
  <si>
    <t>69.3Co-30.4Ni-9.7Al-11.5Cr-2.1Ti-2.2Ta-5.2Mo</t>
  </si>
  <si>
    <t>-9.7Al-11.5Cr-2.2Ta-30.4Ni-5.2Mo-2.1Ti</t>
  </si>
  <si>
    <t>Co-31.2Ni-10.1Al-10.5Cr-2.1Ta-5.1Mo</t>
  </si>
  <si>
    <t>-31Ni-10Al-11Cr-2Ta-5Mo</t>
  </si>
  <si>
    <t>10Cr2Ta</t>
  </si>
  <si>
    <t>10Cr2TaNithin, B. et al. Effect of Cr addition on γ–γ′ cobalt-based Co–Mo–Al–Ta class of superalloys: a combined experimental and computational study. J. Mater. Sci. 52, 11036–11047 (2017).</t>
  </si>
  <si>
    <t>72.2Co-31.2Ni-10.1Al-10.5Cr-2.1Ta-5.1Mo</t>
  </si>
  <si>
    <t>-10.1Al-10.5Cr-2.1Ta-31.2Ni-5.1Mo</t>
  </si>
  <si>
    <t>Co-8.8Al-9.8W-2.Ti</t>
  </si>
  <si>
    <t>-9Al-10W-2Ti</t>
  </si>
  <si>
    <t>CoAlWTi</t>
  </si>
  <si>
    <t>Omori, T. et al. Partition behavior of alloying elements and phase transformation temperatures in Co-Al-W-base quaternary systems. Intermetallics 32, 274–283 (2013).</t>
  </si>
  <si>
    <t>CoAlWTiOmori, T. et al. Partition behavior of alloying elements and phase transformation temperatures in Co-Al-W-base quaternary systems. Intermetallics 32, 274–283 (2013).</t>
  </si>
  <si>
    <t>79.4Co-8.8Al-9.8W-2.0Ti</t>
  </si>
  <si>
    <t>-8.8Al-9.8W-2.Ti</t>
  </si>
  <si>
    <t>Co-9.Al-10.W</t>
  </si>
  <si>
    <t>CoAlWOmori, T. et al. Partition behavior of alloying elements and phase transformation temperatures in Co-Al-W-base quaternary systems. Intermetallics 32, 274–283 (2013).</t>
  </si>
  <si>
    <t>81.0Co-9.0Al-10.0W</t>
  </si>
  <si>
    <t>-9.Al-10.W</t>
  </si>
  <si>
    <t>Co-8.8Al-9.8W-2.V</t>
  </si>
  <si>
    <t>-9Al-10W-2V</t>
  </si>
  <si>
    <t>CoAlWV</t>
  </si>
  <si>
    <t>CoAlWVOmori, T. et al. Partition behavior of alloying elements and phase transformation temperatures in Co-Al-W-base quaternary systems. Intermetallics 32, 274–283 (2013).</t>
  </si>
  <si>
    <t>79.4Co-8.8Al-9.8W-2.0V</t>
  </si>
  <si>
    <t>-8.8Al-9.8W-2.V</t>
  </si>
  <si>
    <t>Co-8.8Al-9.8W-2.Nb</t>
  </si>
  <si>
    <t>CoAlWNb</t>
  </si>
  <si>
    <t>CoAlWNbOmori, T. et al. Partition behavior of alloying elements and phase transformation temperatures in Co-Al-W-base quaternary systems. Intermetallics 32, 274–283 (2013).</t>
  </si>
  <si>
    <t>79.4Co-8.8Al-9.8W-2.0Nb</t>
  </si>
  <si>
    <t>-8.8Al-9.8W-2.Nb</t>
  </si>
  <si>
    <t>CoAlWTa</t>
  </si>
  <si>
    <t>CoAlWTaOmori, T. et al. Partition behavior of alloying elements and phase transformation temperatures in Co-Al-W-base quaternary systems. Intermetallics 32, 274–283 (2013).</t>
  </si>
  <si>
    <t>Co-8.8Al-2.Cr-9.8W</t>
  </si>
  <si>
    <t>-9Al-2Cr-10W</t>
  </si>
  <si>
    <t>CoAlWCr</t>
  </si>
  <si>
    <t>CoAlWCrOmori, T. et al. Partition behavior of alloying elements and phase transformation temperatures in Co-Al-W-base quaternary systems. Intermetallics 32, 274–283 (2013).</t>
  </si>
  <si>
    <t>79.4Co-8.8Al-2.0Cr-9.8W</t>
  </si>
  <si>
    <t>-8.8Al-2.Cr-9.8W</t>
  </si>
  <si>
    <t>Co-8.8Al-9.8W-2.Mo</t>
  </si>
  <si>
    <t>-9Al-10W-2Mo</t>
  </si>
  <si>
    <t>CoAlWMo</t>
  </si>
  <si>
    <t>CoAlWMoOmori, T. et al. Partition behavior of alloying elements and phase transformation temperatures in Co-Al-W-base quaternary systems. Intermetallics 32, 274–283 (2013).</t>
  </si>
  <si>
    <t>79.4Co-8.8Al-9.8W-2.0Mo</t>
  </si>
  <si>
    <t>-8.8Al-9.8W-2.Mo</t>
  </si>
  <si>
    <t>Co-8.8Al-9.8W-2.Mn</t>
  </si>
  <si>
    <t>-9Al-10W-2Mn</t>
  </si>
  <si>
    <t>CoAlWMn</t>
  </si>
  <si>
    <t>-2.Mn</t>
  </si>
  <si>
    <t>CoAlWMnOmori, T. et al. Partition behavior of alloying elements and phase transformation temperatures in Co-Al-W-base quaternary systems. Intermetallics 32, 274–283 (2013).</t>
  </si>
  <si>
    <t>79.4Co-8.8Al-9.8W-2.0Mn</t>
  </si>
  <si>
    <t>-8.8Al-9.8W-2.Mn</t>
  </si>
  <si>
    <t>Co-2.Fe-8.8Al-9.8W</t>
  </si>
  <si>
    <t>-2Fe-9Al-10W</t>
  </si>
  <si>
    <t>CoAlWFe</t>
  </si>
  <si>
    <t>-2.Fe</t>
  </si>
  <si>
    <t>CoAlWFeOmori, T. et al. Partition behavior of alloying elements and phase transformation temperatures in Co-Al-W-base quaternary systems. Intermetallics 32, 274–283 (2013).</t>
  </si>
  <si>
    <t>79.4Co-2.0Fe-8.8Al-9.8W</t>
  </si>
  <si>
    <t>-8.8Al-9.8W-2.Fe</t>
  </si>
  <si>
    <t>Co-2.Ni-8.8Al-9.8W</t>
  </si>
  <si>
    <t>-2Ni-9Al-10W</t>
  </si>
  <si>
    <t>CoAlWNi</t>
  </si>
  <si>
    <t>CoAlWNiOmori, T. et al. Partition behavior of alloying elements and phase transformation temperatures in Co-Al-W-base quaternary systems. Intermetallics 32, 274–283 (2013).</t>
  </si>
  <si>
    <t>81.4Co-2.0Ni-8.8Al-9.8W</t>
  </si>
  <si>
    <t>-8.8Al-9.8W-2.Ni</t>
  </si>
  <si>
    <t>Co-8.8Al-9.8W-2.Si</t>
  </si>
  <si>
    <t>CoAlWSi</t>
  </si>
  <si>
    <t>CoAlWSiOmori, T. et al. Partition behavior of alloying elements and phase transformation temperatures in Co-Al-W-base quaternary systems. Intermetallics 32, 274–283 (2013).</t>
  </si>
  <si>
    <t>79.4Co-8.8Al-9.8W-2.0Si</t>
  </si>
  <si>
    <t>-8.8Al-9.8W-2.Si</t>
  </si>
  <si>
    <t>Co-8.8Al-9.8W-2.Zr</t>
  </si>
  <si>
    <t>-9Al-10W-Zr</t>
  </si>
  <si>
    <t>CoAlWZr</t>
  </si>
  <si>
    <t>-2.Zr</t>
  </si>
  <si>
    <t>CoAlWZrOmori, T. et al. Partition behavior of alloying elements and phase transformation temperatures in Co-Al-W-base quaternary systems. Intermetallics 32, 274–283 (2013).</t>
  </si>
  <si>
    <t>79.4Co-8.8Al-9.8W-2.00Zr</t>
  </si>
  <si>
    <t>-8.8Al-9.8W-2.Zr</t>
  </si>
  <si>
    <t>Co-8.8Al-9.8W-2.Hf</t>
  </si>
  <si>
    <t>-9Al-10W-Hf</t>
  </si>
  <si>
    <t>CoAlWHf</t>
  </si>
  <si>
    <t>-2.Hf</t>
  </si>
  <si>
    <t>CoAlWHfOmori, T. et al. Partition behavior of alloying elements and phase transformation temperatures in Co-Al-W-base quaternary systems. Intermetallics 32, 274–283 (2013).</t>
  </si>
  <si>
    <t>79.4Co-8.8Al-9.8W-2.0Hf</t>
  </si>
  <si>
    <t>-8.8Al-9.8W-2.Hf</t>
  </si>
  <si>
    <t>Co-8.8Al-9.8W-2.Ru</t>
  </si>
  <si>
    <t>-9Al-10W-2Ru</t>
  </si>
  <si>
    <t>CoAlWRu</t>
  </si>
  <si>
    <t>-2.Ru</t>
  </si>
  <si>
    <t>CoAlWRuOmori, T. et al. Partition behavior of alloying elements and phase transformation temperatures in Co-Al-W-base quaternary systems. Intermetallics 32, 274–283 (2013).</t>
  </si>
  <si>
    <t>79.4Co-8.8Al-9.8W-2.0Ru</t>
  </si>
  <si>
    <t>-8.8Al-9.8W-2.Ru</t>
  </si>
  <si>
    <t>Co-8.8Al-9.8W-2.Ir</t>
  </si>
  <si>
    <t>-9Al-10W-2Ir</t>
  </si>
  <si>
    <t>CoAlWIr</t>
  </si>
  <si>
    <t>-2.Ir</t>
  </si>
  <si>
    <t>CoAlWIrOmori, T. et al. Partition behavior of alloying elements and phase transformation temperatures in Co-Al-W-base quaternary systems. Intermetallics 32, 274–283 (2013).</t>
  </si>
  <si>
    <t>79.4Co-8.8Al-9.8W-2.0Ir</t>
  </si>
  <si>
    <t>-8.8Al-9.8W-2.Ir</t>
  </si>
  <si>
    <t>Co-9.Al-7.W-2.Ti</t>
  </si>
  <si>
    <t>-9Al-7W-2Ti</t>
  </si>
  <si>
    <t>Co-9Al-7W-2Ti</t>
  </si>
  <si>
    <t>Ooshima, M., Tanaka, K., Okamoto, N. L., Kishida, K. &amp; Inui, H. Effects of quaternary alloying elements on the γ′ solvus temperature of Co-Al-W based alloys with fcc/L12 two-phase microstructures. J. Alloys Compd. 508, 71–78 (2010).</t>
  </si>
  <si>
    <t>Co-9Al-7W-2TiOoshima, M., Tanaka, K., Okamoto, N. L., Kishida, K. &amp; Inui, H. Effects of quaternary alloying elements on the γ′ solvus temperature of Co-Al-W based alloys with fcc/L12 two-phase microstructures. J. Alloys Compd. 508, 71–78 (2010).</t>
  </si>
  <si>
    <t>82.0Co-9.0Al-7.0W-2.0Ti</t>
  </si>
  <si>
    <t>-9.Al-7.W-2.Ti</t>
  </si>
  <si>
    <t>Co-9.Al-6.W</t>
  </si>
  <si>
    <t>-9Al-6W</t>
  </si>
  <si>
    <t>Co-9Al-6W</t>
  </si>
  <si>
    <t>Co-9Al-6WOoshima, M., Tanaka, K., Okamoto, N. L., Kishida, K. &amp; Inui, H. Effects of quaternary alloying elements on the γ′ solvus temperature of Co-Al-W based alloys with fcc/L12 two-phase microstructures. J. Alloys Compd. 508, 71–78 (2010).</t>
  </si>
  <si>
    <t>85.0Co-9.0Al-6.0W</t>
  </si>
  <si>
    <t>-9.Al-6.W</t>
  </si>
  <si>
    <t>Co-9.Al-7.W</t>
  </si>
  <si>
    <t>Co-9Al-7W</t>
  </si>
  <si>
    <t>Co-9Al-7WOoshima, M., Tanaka, K., Okamoto, N. L., Kishida, K. &amp; Inui, H. Effects of quaternary alloying elements on the γ′ solvus temperature of Co-Al-W based alloys with fcc/L12 two-phase microstructures. J. Alloys Compd. 508, 71–78 (2010).</t>
  </si>
  <si>
    <t>84.0Co-9.0Al-7.0W</t>
  </si>
  <si>
    <t>-9.Al-7.W</t>
  </si>
  <si>
    <t>Co-9Al-8W</t>
  </si>
  <si>
    <t>Co-9Al-8WOoshima, M., Tanaka, K., Okamoto, N. L., Kishida, K. &amp; Inui, H. Effects of quaternary alloying elements on the γ′ solvus temperature of Co-Al-W based alloys with fcc/L12 two-phase microstructures. J. Alloys Compd. 508, 71–78 (2010).</t>
  </si>
  <si>
    <t>Co-9.Al-7.W-2.Ta</t>
  </si>
  <si>
    <t>-9Al-7W-2Ta</t>
  </si>
  <si>
    <t>Co-9Al-7W-2Ta</t>
  </si>
  <si>
    <t>Co-9Al-7W-2TaOoshima, M., Tanaka, K., Okamoto, N. L., Kishida, K. &amp; Inui, H. Effects of quaternary alloying elements on the γ′ solvus temperature of Co-Al-W based alloys with fcc/L12 two-phase microstructures. J. Alloys Compd. 508, 71–78 (2010).</t>
  </si>
  <si>
    <t>82.0Co-9.0Al-7.0W-2.0Ta</t>
  </si>
  <si>
    <t>-9.Al-7.W-2.Ta</t>
  </si>
  <si>
    <t>Co-9.Al-7.W-2.Mo</t>
  </si>
  <si>
    <t>-9Al-7W-2Mo</t>
  </si>
  <si>
    <t>Co-9Al-7W-2Mo</t>
  </si>
  <si>
    <t>Co-9Al-7W-2MoOoshima, M., Tanaka, K., Okamoto, N. L., Kishida, K. &amp; Inui, H. Effects of quaternary alloying elements on the γ′ solvus temperature of Co-Al-W based alloys with fcc/L12 two-phase microstructures. J. Alloys Compd. 508, 71–78 (2010).</t>
  </si>
  <si>
    <t>82.0Co-9.0Al-7.0W-2.0Mo</t>
  </si>
  <si>
    <t>-9.Al-7.W-2.Mo</t>
  </si>
  <si>
    <t>Co-9.Al-7.W-2.Nb</t>
  </si>
  <si>
    <t>-9Al-7W-2Nb</t>
  </si>
  <si>
    <t>Co-9Al-7W-2Nb</t>
  </si>
  <si>
    <t>Co-9Al-7W-2NbOoshima, M., Tanaka, K., Okamoto, N. L., Kishida, K. &amp; Inui, H. Effects of quaternary alloying elements on the γ′ solvus temperature of Co-Al-W based alloys with fcc/L12 two-phase microstructures. J. Alloys Compd. 508, 71–78 (2010).</t>
  </si>
  <si>
    <t>82.0Co-9.0Al-7.0W-2.0Nb</t>
  </si>
  <si>
    <t>-9.Al-7.W-2.Nb</t>
  </si>
  <si>
    <t>Co-9.Al-7.W-2.V</t>
  </si>
  <si>
    <t>-9Al-7W-2V</t>
  </si>
  <si>
    <t>Co-9Al-7W-2V</t>
  </si>
  <si>
    <t>Co-9Al-7W-2VOoshima, M., Tanaka, K., Okamoto, N. L., Kishida, K. &amp; Inui, H. Effects of quaternary alloying elements on the γ′ solvus temperature of Co-Al-W based alloys with fcc/L12 two-phase microstructures. J. Alloys Compd. 508, 71–78 (2010).</t>
  </si>
  <si>
    <t>82.0Co-9.0Al-7.0W-2.0V</t>
  </si>
  <si>
    <t>-9.Al-7.W-2.V</t>
  </si>
  <si>
    <t>Co-9.Al-7.W-2.Re</t>
  </si>
  <si>
    <t>-9Al-7W-2Re</t>
  </si>
  <si>
    <t>Co-9Al-7W-2Re</t>
  </si>
  <si>
    <t>-2.Re</t>
  </si>
  <si>
    <t>Co-9Al-7W-2ReOoshima, M., Tanaka, K., Okamoto, N. L., Kishida, K. &amp; Inui, H. Effects of quaternary alloying elements on the γ′ solvus temperature of Co-Al-W based alloys with fcc/L12 two-phase microstructures. J. Alloys Compd. 508, 71–78 (2010).</t>
  </si>
  <si>
    <t>82.0Co-9.0Al-7.0W-2.0Re</t>
  </si>
  <si>
    <t>-9.Al-7.W-2.Re</t>
  </si>
  <si>
    <t>Co-9.Al-2.Cr-7.W</t>
  </si>
  <si>
    <t>-9Al-2Cr-7W</t>
  </si>
  <si>
    <t>Co-9Al-7W-2Cr</t>
  </si>
  <si>
    <t>Co-9Al-7W-2CrOoshima, M., Tanaka, K., Okamoto, N. L., Kishida, K. &amp; Inui, H. Effects of quaternary alloying elements on the γ′ solvus temperature of Co-Al-W based alloys with fcc/L12 two-phase microstructures. J. Alloys Compd. 508, 71–78 (2010).</t>
  </si>
  <si>
    <t>82.0Co-9.0Al-2.0Cr-7.0W</t>
  </si>
  <si>
    <t>-9.Al-2.Cr-7.W</t>
  </si>
  <si>
    <t>Co-2.Fe-9.Al-7.W</t>
  </si>
  <si>
    <t>-2Fe-9Al-7W</t>
  </si>
  <si>
    <t>Co-9Al-7W-2Fe</t>
  </si>
  <si>
    <t>Co-9Al-7W-2FeOoshima, M., Tanaka, K., Okamoto, N. L., Kishida, K. &amp; Inui, H. Effects of quaternary alloying elements on the γ′ solvus temperature of Co-Al-W based alloys with fcc/L12 two-phase microstructures. J. Alloys Compd. 508, 71–78 (2010).</t>
  </si>
  <si>
    <t>82.0Co-2.0Fe-9.0Al-7.0W</t>
  </si>
  <si>
    <t>-9.Al-7.W-2.Fe</t>
  </si>
  <si>
    <t>Co-2.Ni-9.Al-7.W</t>
  </si>
  <si>
    <t>-2Ni-9Al-7W</t>
  </si>
  <si>
    <t>Co-9Al-7W-2Ni</t>
  </si>
  <si>
    <t>Co-9Al-7W-2NiOoshima, M., Tanaka, K., Okamoto, N. L., Kishida, K. &amp; Inui, H. Effects of quaternary alloying elements on the γ′ solvus temperature of Co-Al-W based alloys with fcc/L12 two-phase microstructures. J. Alloys Compd. 508, 71–78 (2010).</t>
  </si>
  <si>
    <t>84.0Co-2.0Ni-9.0Al-7.0W</t>
  </si>
  <si>
    <t>-9.Al-7.W-2.Ni</t>
  </si>
  <si>
    <t>Co-9.Al-7.W-2.Sc</t>
  </si>
  <si>
    <t>-9Al-7W-2Sc</t>
  </si>
  <si>
    <t>Co-9Al-7W-2Sc</t>
  </si>
  <si>
    <t>-2.Sc</t>
  </si>
  <si>
    <t>Co-9Al-7W-2ScOoshima, M., Tanaka, K., Okamoto, N. L., Kishida, K. &amp; Inui, H. Effects of quaternary alloying elements on the γ′ solvus temperature of Co-Al-W based alloys with fcc/L12 two-phase microstructures. J. Alloys Compd. 508, 71–78 (2010).</t>
  </si>
  <si>
    <t>82.0Co-9.0Al-7.0W-2.0Sc</t>
  </si>
  <si>
    <t>-9.Al-7.W-2.Sc</t>
  </si>
  <si>
    <t>Co-9.Al-7.W-2.Zr</t>
  </si>
  <si>
    <t>-9Al-7W-Zr</t>
  </si>
  <si>
    <t>Co-9Al-7W-2Zr</t>
  </si>
  <si>
    <t>Co-9Al-7W-2ZrOoshima, M., Tanaka, K., Okamoto, N. L., Kishida, K. &amp; Inui, H. Effects of quaternary alloying elements on the γ′ solvus temperature of Co-Al-W based alloys with fcc/L12 two-phase microstructures. J. Alloys Compd. 508, 71–78 (2010).</t>
  </si>
  <si>
    <t>82.0Co-9.0Al-7.0W-2.00Zr</t>
  </si>
  <si>
    <t>-9.Al-7.W-2.Zr</t>
  </si>
  <si>
    <t>Co-9.Al-7.W-2.Hf</t>
  </si>
  <si>
    <t>-9Al-7W-Hf</t>
  </si>
  <si>
    <t>Co-9Al-7W-2Hf</t>
  </si>
  <si>
    <t>Co-9Al-7W-2HfOoshima, M., Tanaka, K., Okamoto, N. L., Kishida, K. &amp; Inui, H. Effects of quaternary alloying elements on the γ′ solvus temperature of Co-Al-W based alloys with fcc/L12 two-phase microstructures. J. Alloys Compd. 508, 71–78 (2010).</t>
  </si>
  <si>
    <t>82.0Co-9.0Al-7.0W-2.0Hf</t>
  </si>
  <si>
    <t>-9.Al-7.W-2.Hf</t>
  </si>
  <si>
    <t>Co-19.9Ni-4.8Al-5.Cr-3.2W-0.6Ta</t>
  </si>
  <si>
    <t>-20Ni-5Al-5Cr-3W-1Ta</t>
  </si>
  <si>
    <t>A1</t>
  </si>
  <si>
    <t>Osaki, M. et al. Properties of Strengthening Co-W-Al Alloys with Various Amounts of Phase Forming Elements. (2008).</t>
  </si>
  <si>
    <t>-4.8Al</t>
  </si>
  <si>
    <t>-3.2W</t>
  </si>
  <si>
    <t>-19.9Ni</t>
  </si>
  <si>
    <t>-0.6Ta</t>
  </si>
  <si>
    <t>A1Osaki, M. et al. Properties of Strengthening Co-W-Al Alloys with Various Amounts of Phase Forming Elements. (2008).</t>
  </si>
  <si>
    <t>86.4Co-19.9Ni-4.8Al-5.0Cr-3.2W-0.6Ta</t>
  </si>
  <si>
    <t>-4.8Al-5.Cr-3.2W-0.6Ta-19.9Ni</t>
  </si>
  <si>
    <t>Co-19.9Ni-7.Al-5.Cr-4.8W-0.9Ta</t>
  </si>
  <si>
    <t>-20Ni-7Al-5Cr-5W-1Ta</t>
  </si>
  <si>
    <t>A2</t>
  </si>
  <si>
    <t>A2Osaki, M. et al. Properties of Strengthening Co-W-Al Alloys with Various Amounts of Phase Forming Elements. (2008).</t>
  </si>
  <si>
    <t>82.3Co-19.9Ni-7.0Al-5.0Cr-4.8W-0.9Ta</t>
  </si>
  <si>
    <t>-7.Al-5.Cr-4.8W-0.9Ta-19.9Ni</t>
  </si>
  <si>
    <t>Co-19.9Ni-9.1Al-5.Cr-6.4W-1.2Ta</t>
  </si>
  <si>
    <t>-20Ni-9Al-5Cr-6W-1Ta</t>
  </si>
  <si>
    <t>A3</t>
  </si>
  <si>
    <t>-1.2Ta</t>
  </si>
  <si>
    <t>A3Osaki, M. et al. Properties of Strengthening Co-W-Al Alloys with Various Amounts of Phase Forming Elements. (2008).</t>
  </si>
  <si>
    <t>78.3Co-19.9Ni-9.1Al-5.0Cr-6.4W-1.2Ta</t>
  </si>
  <si>
    <t>-9.1Al-5.Cr-6.4W-1.2Ta-19.9Ni</t>
  </si>
  <si>
    <t>Co-19.8Ni-11.4Al-4.9Cr-8.2W-1.5Ta</t>
  </si>
  <si>
    <t>-20Ni-11Al-5Cr-8W-2Ta</t>
  </si>
  <si>
    <t>A4</t>
  </si>
  <si>
    <t>-11.4Al</t>
  </si>
  <si>
    <t>-8.2W</t>
  </si>
  <si>
    <t>-4.9Cr</t>
  </si>
  <si>
    <t>A4Osaki, M. et al. Properties of Strengthening Co-W-Al Alloys with Various Amounts of Phase Forming Elements. (2008).</t>
  </si>
  <si>
    <t>74.0Co-19.8Ni-11.4Al-4.9Cr-8.2W-1.5Ta</t>
  </si>
  <si>
    <t>-11.4Al-4.9Cr-8.2W-1.5Ta-19.8Ni</t>
  </si>
  <si>
    <t>Co-25.Ti</t>
  </si>
  <si>
    <t>-25Ti</t>
  </si>
  <si>
    <t>Oya-Seimiya, Y., Shinoda, T. &amp; Suzuki, T. Low temperature strength anomaly of L12 type intermetallic compounds Co3Ti and Pt3Al. Mater. Trans. JIM 37, 1464–1470 (1996).</t>
  </si>
  <si>
    <t>-25.Ti</t>
  </si>
  <si>
    <t>Co3TiOya-Seimiya, Y., Shinoda, T. &amp; Suzuki, T. Low temperature strength anomaly of L12 type intermetallic compounds Co3Ti and Pt3Al. Mater. Trans. JIM 37, 1464–1470 (1996).</t>
  </si>
  <si>
    <t>75.0Co-25.0Ti</t>
  </si>
  <si>
    <t>Co-30.2Ni-9.8Al-2.Cr-2.Ti-1.9Ta-4.6Mo</t>
  </si>
  <si>
    <t>-30Ni-10Al-2Cr-2Ti-2Ta-5Mo</t>
  </si>
  <si>
    <t>Cr-2</t>
  </si>
  <si>
    <t>Pandey, P. et al. Elemental site occupancy in the L12 A3B ordered intermetallic phase in Co-based superalloys and its influence on the microstructure. Acta Mater. 163, 140–153 (2019).</t>
  </si>
  <si>
    <t>-30.2Ni</t>
  </si>
  <si>
    <t>Cr-2Pandey, P. et al. Elemental site occupancy in the L12 A3B ordered intermetallic phase in Co-based superalloys and its influence on the microstructure. Acta Mater. 163, 140–153 (2019).</t>
  </si>
  <si>
    <t>79.7Co-30.2Ni-9.8Al-2.0Ti-1.9Ta-4.6Mo-2.00C</t>
  </si>
  <si>
    <t>-9.8Al-2.Cr-1.9Ta-30.2Ni-4.6Mo-2.Ti</t>
  </si>
  <si>
    <t>Co-30.1Ni-9.8Al-4.9Cr-2.Ti-2.Ta-4.9Mo</t>
  </si>
  <si>
    <t>Cr-5</t>
  </si>
  <si>
    <t>-30.1Ni</t>
  </si>
  <si>
    <t>-4.9Mo</t>
  </si>
  <si>
    <t>Cr-5Pandey, P. et al. Elemental site occupancy in the L12 A3B ordered intermetallic phase in Co-based superalloys and its influence on the microstructure. Acta Mater. 163, 140–153 (2019).</t>
  </si>
  <si>
    <t>76.4Co-30.1Ni-9.8Al-2.0Ti-2.0Ta-4.9Mo-4.90C</t>
  </si>
  <si>
    <t>-9.8Al-4.9Cr-2.Ta-30.1Ni-4.9Mo-2.Ti</t>
  </si>
  <si>
    <t>Co-29.5Ni-10.4Al-8.Cr-2.Ti-2.Ta-4.9Mo</t>
  </si>
  <si>
    <t>-30Ni-10Al-8Cr-2Ti-2Ta-5Mo</t>
  </si>
  <si>
    <t>Cr-8</t>
  </si>
  <si>
    <t>-10.4Al</t>
  </si>
  <si>
    <t>Cr-8Pandey, P. et al. Elemental site occupancy in the L12 A3B ordered intermetallic phase in Co-based superalloys and its influence on the microstructure. Acta Mater. 163, 140–153 (2019).</t>
  </si>
  <si>
    <t>72.7Co-29.5Ni-10.4Al-2.0Ti-2.0Ta-4.9Mo-8.00C</t>
  </si>
  <si>
    <t>-10.4Al-8.Cr-2.Ta-29.5Ni-4.9Mo-2.Ti</t>
  </si>
  <si>
    <t>Co-30.5Ni-9.7Al-1.9Ti-2.1Ta-4.8Mo</t>
  </si>
  <si>
    <t>-31Ni-10Al-2Ti-2Ta-5Mo</t>
  </si>
  <si>
    <t>Cr-0</t>
  </si>
  <si>
    <t>same alloy as Baler?</t>
  </si>
  <si>
    <t>-4.8Mo</t>
  </si>
  <si>
    <t>Cr-0Pandey, P. et al. Elemental site occupancy in the L12 A3B ordered intermetallic phase in Co-based superalloys and its influence on the microstructure. Acta Mater. 163, 140–153 (2019).</t>
  </si>
  <si>
    <t>81.5Co-30.5Ni-9.7Al-1.9Ti-2.1Ta-4.8Mo</t>
  </si>
  <si>
    <t>-9.7Al-2.1Ta-30.5Ni-4.8Mo-1.9Ti</t>
  </si>
  <si>
    <t>Co-30.4Ni-9.5Al-2.4Nb-5.3Mo-2.Re</t>
  </si>
  <si>
    <t>-30Ni-10Al-2Nb-5Mo-2Re</t>
  </si>
  <si>
    <t>Co2Nb2r</t>
  </si>
  <si>
    <t>Pandey, P. et al. On the effect of Re addition on microstructural evolution of a CoNi-based superalloy. Acta Mater. 168, 37–51 (2019).</t>
  </si>
  <si>
    <t>-2.4Nb</t>
  </si>
  <si>
    <t>-5.3Mo</t>
  </si>
  <si>
    <t>Co2Nb2rPandey, P. et al. On the effect of Re addition on microstructural evolution of a CoNi-based superalloy. Acta Mater. 168, 37–51 (2019).</t>
  </si>
  <si>
    <t>80.8Co-30.4Ni-9.5Al-2.4Nb-5.3Mo-2.0Re</t>
  </si>
  <si>
    <t>-9.5Al-30.4Ni-5.3Mo-2.4Nb-2.Re</t>
  </si>
  <si>
    <t>Co-35.4Ni-9.7Al-6.Cr-3.4Ti-2.8Ta-4.8Mo</t>
  </si>
  <si>
    <t>-35Ni-10Al-6Cr-3Ti-3Ta-5Mo</t>
  </si>
  <si>
    <t>HEACoNi</t>
  </si>
  <si>
    <t>Pandey, P., Kashyap, S., Palanisamy, D., Sharma, A. &amp; Chattopadhyay, K. On the high temperature coarsening kinetics of γ′ precipitates in a high strength Co37.6Ni35.4Al9.9Mo4.9Cr5.9Ta2.8Ti3.5 fcc-based high entropy alloy. Acta Mater. 177, 82–95 (2019).</t>
  </si>
  <si>
    <t>-35.4Ni</t>
  </si>
  <si>
    <t>-3.4Ti</t>
  </si>
  <si>
    <t>HEACoNiPandey, P., Kashyap, S., Palanisamy, D., Sharma, A. &amp; Chattopadhyay, K. On the high temperature coarsening kinetics of γ′ precipitates in a high strength Co37.6Ni35.4Al9.9Mo4.9Cr5.9Ta2.8Ti3.5 fcc-based high entropy alloy. Acta Mater. 177, 82–95 (2019).</t>
  </si>
  <si>
    <t>73.3Co-35.4Ni-9.7Al-6.0Cr-3.4Ti-2.8Ta-4.8Mo</t>
  </si>
  <si>
    <t>-9.7Al-6.Cr-2.8Ta-35.4Ni-4.8Mo-3.4Ti</t>
  </si>
  <si>
    <t>Co-7.8Al-4.5Cr-7.8W-1.5Ta</t>
  </si>
  <si>
    <t>-8Al-5Cr-8W-2Ta</t>
  </si>
  <si>
    <t>Co-7.8Al-7.8W-4.5Cr-1.5Ta</t>
  </si>
  <si>
    <t>Pollock, T. M. M. et al. New Co-based γ-γ’ High-temperature Alloys. JOM 62, 58–63 (2010).</t>
  </si>
  <si>
    <t>-4.5Cr</t>
  </si>
  <si>
    <t>Co-7.8Al-7.8W-4.5Cr-1.5TaPollock, T. M. M. et al. New Co-based γ-γ’ High-temperature Alloys. JOM 62, 58–63 (2010).</t>
  </si>
  <si>
    <t>78.4Co-7.8Al-4.5Cr-7.8W-1.5Ta</t>
  </si>
  <si>
    <t>-7.8Al-4.5Cr-7.8W-1.5Ta</t>
  </si>
  <si>
    <t>Co-9.Al-3.W-6.V</t>
  </si>
  <si>
    <t>-9Al-3W-6V</t>
  </si>
  <si>
    <t>Co-9Al-3W-6V</t>
  </si>
  <si>
    <t>-6.V</t>
  </si>
  <si>
    <t>Co-9Al-3W-6VPollock, T. M. M. et al. New Co-based γ-γ’ High-temperature Alloys. JOM 62, 58–63 (2010).</t>
  </si>
  <si>
    <t>82.0Co-9.0Al-3.0W-6.0V</t>
  </si>
  <si>
    <t>-9.Al-3.W-6.V</t>
  </si>
  <si>
    <t>Co-9.Al-6.W-3.Mo</t>
  </si>
  <si>
    <t>-9Al-6W-3Mo</t>
  </si>
  <si>
    <t>Co-9Al-6W-3Mo</t>
  </si>
  <si>
    <t>Co-9Al-6W-3MoPollock, T. M. M. et al. New Co-based γ-γ’ High-temperature Alloys. JOM 62, 58–63 (2010).</t>
  </si>
  <si>
    <t>82.0Co-9.0Al-6.0W-3.0Mo</t>
  </si>
  <si>
    <t>-9.Al-6.W-3.Mo</t>
  </si>
  <si>
    <t>Co-9.Al-7.5W-1.5Mo</t>
  </si>
  <si>
    <t>-9Al-8W-2Mo</t>
  </si>
  <si>
    <t>Co-9Al-7.5W-1.5Mo</t>
  </si>
  <si>
    <t>Co-9Al-7.5W-1.5MoPollock, T. M. M. et al. New Co-based γ-γ’ High-temperature Alloys. JOM 62, 58–63 (2010).</t>
  </si>
  <si>
    <t>82.0Co-9.0Al-7.5W-1.5Mo</t>
  </si>
  <si>
    <t>-9.Al-7.5W-1.5Mo</t>
  </si>
  <si>
    <t>Co-10.Ni-9.Al-9.W</t>
  </si>
  <si>
    <t>-10Ni-9Al-9W</t>
  </si>
  <si>
    <t>Co-9Al-9W-10Ni</t>
  </si>
  <si>
    <t>Co-9Al-9W-10NiPollock, T. M. M. et al. New Co-based γ-γ’ High-temperature Alloys. JOM 62, 58–63 (2010).</t>
  </si>
  <si>
    <t>82.0Co-10.0Ni-9.0Al-9.0W</t>
  </si>
  <si>
    <t>-9.Al-9.W-10.Ni</t>
  </si>
  <si>
    <t>Co-20.Ni-9.Al-9.W</t>
  </si>
  <si>
    <t>-20Ni-9Al-9W</t>
  </si>
  <si>
    <t>Co-9Al-9W-20Ni</t>
  </si>
  <si>
    <t>Co-9Al-9W-20NiPollock, T. M. M. et al. New Co-based γ-γ’ High-temperature Alloys. JOM 62, 58–63 (2010).</t>
  </si>
  <si>
    <t>82.0Co-20.0Ni-9.0Al-9.0W</t>
  </si>
  <si>
    <t>-9.Al-9.W-20.Ni</t>
  </si>
  <si>
    <t>Co-9.2Al-9.2W</t>
  </si>
  <si>
    <t>Co-9.2Al-9W</t>
  </si>
  <si>
    <t>Co-9.2Al-9WPollock, T. M. M. et al. New Co-based γ-γ’ High-temperature Alloys. JOM 62, 58–63 (2010).</t>
  </si>
  <si>
    <t>81.6Co-9.2Al-9.2W</t>
  </si>
  <si>
    <t>-9.2Al-9.2W</t>
  </si>
  <si>
    <t>Co-8.8Al-9.8W-2.Re</t>
  </si>
  <si>
    <t>-9Al-10W-2Re</t>
  </si>
  <si>
    <t>Co-8.8Al-9.8W-2Re</t>
  </si>
  <si>
    <t>Co-8.8Al-9.8W-2RePollock, T. M. M. et al. New Co-based γ-γ’ High-temperature Alloys. JOM 62, 58–63 (2010).</t>
  </si>
  <si>
    <t>79.4Co-8.8Al-9.8W-2.0Re</t>
  </si>
  <si>
    <t>-8.8Al-9.8W-2.Re</t>
  </si>
  <si>
    <t>Co-9.Al-9.W-2.Ti-0.12B</t>
  </si>
  <si>
    <t>-9Al-9W-2Ti-B</t>
  </si>
  <si>
    <t>Co-9Al-9Ta-2Ti</t>
  </si>
  <si>
    <t>Povstugar, I. et al. Elemental partitioning and mechanical properties of Ti- and Ta-containing Co-Al-W-base superalloys studied by atom probe tomography and nanoindentation. Acta Mater. 78, 78–85 (2014).</t>
  </si>
  <si>
    <t>Co-9Al-9Ta-2TiPovstugar, I. et al. Elemental partitioning and mechanical properties of Ti- and Ta-containing Co-Al-W-base superalloys studied by atom probe tomography and nanoindentation. Acta Mater. 78, 78–85 (2014).</t>
  </si>
  <si>
    <t>79.9Co-9.0Al-9.0W-2.0Ti-0.12B</t>
  </si>
  <si>
    <t>-9.Al-9.W-2.Ti-0.12B</t>
  </si>
  <si>
    <t>Co-9.Al-9.W-2.Ti-2.Ta</t>
  </si>
  <si>
    <t>-9Al-9W-2Ti-2Ta</t>
  </si>
  <si>
    <t>Co-9Al-9Ta-2Ti-2Ta</t>
  </si>
  <si>
    <t>Co-9Al-9Ta-2Ti-2TaPovstugar, I. et al. Elemental partitioning and mechanical properties of Ti- and Ta-containing Co-Al-W-base superalloys studied by atom probe tomography and nanoindentation. Acta Mater. 78, 78–85 (2014).</t>
  </si>
  <si>
    <t>78.0Co-9.0Al-9.0W-2.0Ti-2.0Ta</t>
  </si>
  <si>
    <t>-9.Al-9.W-2.Ta-2.Ti</t>
  </si>
  <si>
    <t>Co-9.Al-9.W-0.12B</t>
  </si>
  <si>
    <t>Co-9Al-9Ta</t>
  </si>
  <si>
    <t>Co-9Al-9TaPovstugar, I. et al. Elemental partitioning and mechanical properties of Ti- and Ta-containing Co-Al-W-base superalloys studied by atom probe tomography and nanoindentation. Acta Mater. 78, 78–85 (2014).</t>
  </si>
  <si>
    <t>81.9Co-9.0Al-9.0W-0.12B</t>
  </si>
  <si>
    <t>-9.Al-9.W-0.12B</t>
  </si>
  <si>
    <t>Co-9.Al-9.W-2.Ta-0.12B</t>
  </si>
  <si>
    <t>Co-9Al-9Ta-2Ta</t>
  </si>
  <si>
    <t>Co-9Al-9Ta-2TaPovstugar, I. et al. Elemental partitioning and mechanical properties of Ti- and Ta-containing Co-Al-W-base superalloys studied by atom probe tomography and nanoindentation. Acta Mater. 78, 78–85 (2014).</t>
  </si>
  <si>
    <t>79.9Co-9.0Al-9.0W-2.0Ta-0.12B</t>
  </si>
  <si>
    <t>-9.Al-9.W-2.Ta-0.12B</t>
  </si>
  <si>
    <t>Bauer, A., Neumeier, S., Pyczak, F., Singer, R. F., &amp; Göken, M. (2012). Creep properties of different γ’-strengthened Co-base superalloys. Materials Science and Engineering A, 550, 333–341. https://doi.org/10.1016/j.msea.2012.04.083</t>
  </si>
  <si>
    <t>9WBauer, A., Neumeier, S., Pyczak, F., Singer, R. F., &amp; Göken, M. (2012). Creep properties of different γ’-strengthened Co-base superalloys. Materials Science and Engineering A, 550, 333–341. https://doi.org/10.1016/j.msea.2012.04.083</t>
  </si>
  <si>
    <t>Povstugar, I. et al. Elemental partitioning, lattice misfit and creep behaviour of Cr containing gammaprime strengthened Co base superalloys. Mater. Sci. Technol. (United Kingdom) 32, 220–225 (2016).</t>
  </si>
  <si>
    <t>9WPovstugar, I. et al. Elemental partitioning, lattice misfit and creep behaviour of Cr containing gammaprime strengthened Co base superalloys. Mater. Sci. Technol. (United Kingdom) 32, 220–225 (2016).</t>
  </si>
  <si>
    <t>Co-9.Al-4.Cr-9.W</t>
  </si>
  <si>
    <t>-9Al-4Cr-9W</t>
  </si>
  <si>
    <t>4CrPovstugar, I. et al. Elemental partitioning, lattice misfit and creep behaviour of Cr containing gammaprime strengthened Co base superalloys. Mater. Sci. Technol. (United Kingdom) 32, 220–225 (2016).</t>
  </si>
  <si>
    <t>78.0Co-9.0Al-4.0Cr-9.0W</t>
  </si>
  <si>
    <t>-9.Al-4.Cr-9.W</t>
  </si>
  <si>
    <t>Co-9.Al-8.Cr-9.W</t>
  </si>
  <si>
    <t>-9Al-8Cr-9W</t>
  </si>
  <si>
    <t>8Cr</t>
  </si>
  <si>
    <t>8CrPovstugar, I. et al. Elemental partitioning, lattice misfit and creep behaviour of Cr containing gammaprime strengthened Co base superalloys. Mater. Sci. Technol. (United Kingdom) 32, 220–225 (2016).</t>
  </si>
  <si>
    <t>74.0Co-9.0Al-8.0Cr-9.0W</t>
  </si>
  <si>
    <t>-9.Al-8.Cr-9.W</t>
  </si>
  <si>
    <t>Co-9.Ni-9.Al-9.W</t>
  </si>
  <si>
    <t>-9Ni-9Al-9W</t>
  </si>
  <si>
    <t>9Ni</t>
  </si>
  <si>
    <t>9NiPovstugar, I. et al. Elemental partitioning, lattice misfit and creep behaviour of Cr containing gammaprime strengthened Co base superalloys. Mater. Sci. Technol. (United Kingdom) 32, 220–225 (2016).</t>
  </si>
  <si>
    <t>82.0Co-9.0Ni-9.0Al-9.0W</t>
  </si>
  <si>
    <t>-9.Al-9.W-9.Ni</t>
  </si>
  <si>
    <t>Co-18.Ni-9.Al-9.W</t>
  </si>
  <si>
    <t>-18Ni-9Al-9W</t>
  </si>
  <si>
    <t>18Ni</t>
  </si>
  <si>
    <t>18NiPovstugar, I. et al. Elemental partitioning, lattice misfit and creep behaviour of Cr containing gammaprime strengthened Co base superalloys. Mater. Sci. Technol. (United Kingdom) 32, 220–225 (2016).</t>
  </si>
  <si>
    <t>82.0Co-18.0Ni-9.0Al-9.0W</t>
  </si>
  <si>
    <t>-9.Al-9.W-18.Ni</t>
  </si>
  <si>
    <t>Co-9.Ni-9.Al-8.Cr-9.W</t>
  </si>
  <si>
    <t>-9Ni-9Al-8Cr-9W</t>
  </si>
  <si>
    <t>9Ni8Cr</t>
  </si>
  <si>
    <t>9Ni8CrPovstugar, I. et al. Elemental partitioning, lattice misfit and creep behaviour of Cr containing gammaprime strengthened Co base superalloys. Mater. Sci. Technol. (United Kingdom) 32, 220–225 (2016).</t>
  </si>
  <si>
    <t>74.0Co-9.0Ni-9.0Al-8.0Cr-9.0W</t>
  </si>
  <si>
    <t>-9.Al-8.Cr-9.W-9.Ni</t>
  </si>
  <si>
    <t>Co-18.Ni-9.Al-8.Cr-9.W</t>
  </si>
  <si>
    <t>18Ni8Cr</t>
  </si>
  <si>
    <t>18Ni8CrPovstugar, I. et al. Elemental partitioning, lattice misfit and creep behaviour of Cr containing gammaprime strengthened Co base superalloys. Mater. Sci. Technol. (United Kingdom) 32, 220–225 (2016).</t>
  </si>
  <si>
    <t>74.0Co-18.0Ni-9.0Al-8.0Cr-9.0W</t>
  </si>
  <si>
    <t>-9.Al-8.Cr-9.W-18.Ni</t>
  </si>
  <si>
    <t>Co-8.3Al-9.4W-0.1B</t>
  </si>
  <si>
    <t>Co-9Al-9W-0.1B</t>
  </si>
  <si>
    <t>Pyczak, F. et al. Plastic deformation mechanisms in a crept L12 hardened Co-base superalloy. Mater. Sci. Eng. A 571, 13–18 (2013).</t>
  </si>
  <si>
    <t>Co-9Al-9W-0.1BPyczak, F. et al. Plastic deformation mechanisms in a crept L12 hardened Co-base superalloy. Mater. Sci. Eng. A 571, 13–18 (2013).</t>
  </si>
  <si>
    <t>82.2Co-8.3Al-9.4W-0.10B</t>
  </si>
  <si>
    <t>-8.3Al-9.4W-0.1B</t>
  </si>
  <si>
    <t>Co-8.5Al-7.4W-0.1B</t>
  </si>
  <si>
    <t>Co-9Al-8W-0.1B</t>
  </si>
  <si>
    <t>Pyczak, F. et al. The effect of tungsten content on the properties of L12-hardened Co-Al-W alloys. J. Alloys Compd. 632, 110–115 (2015).</t>
  </si>
  <si>
    <t>Co-9Al-8W-0.1BPyczak, F. et al. The effect of tungsten content on the properties of L12-hardened Co-Al-W alloys. J. Alloys Compd. 632, 110–115 (2015).</t>
  </si>
  <si>
    <t>84.0Co-8.5Al-7.4W-0.10B</t>
  </si>
  <si>
    <t>-8.5Al-7.4W-0.1B</t>
  </si>
  <si>
    <t>Co-8.5Al-8.7W-0.1B</t>
  </si>
  <si>
    <t>Co-9Al-9W-0.1BPyczak, F. et al. The effect of tungsten content on the properties of L12-hardened Co-Al-W alloys. J. Alloys Compd. 632, 110–115 (2015).</t>
  </si>
  <si>
    <t>82.7Co-8.5Al-8.7W-0.10B</t>
  </si>
  <si>
    <t>-8.5Al-8.7W-0.1B</t>
  </si>
  <si>
    <t>Co-8.9Al-10.3W-0.1B</t>
  </si>
  <si>
    <t>Co-9Al-11W-0.1B</t>
  </si>
  <si>
    <t>Co-9Al-11W-0.1BPyczak, F. et al. The effect of tungsten content on the properties of L12-hardened Co-Al-W alloys. J. Alloys Compd. 632, 110–115 (2015).</t>
  </si>
  <si>
    <t>80.7Co-8.9Al-10.3W-0.10B</t>
  </si>
  <si>
    <t>-8.9Al-10.3W-0.1B</t>
  </si>
  <si>
    <t>Co-2.Ti-2.Ta-12.V</t>
  </si>
  <si>
    <t>-2Ti-2Ta-12V</t>
  </si>
  <si>
    <t>Co-V-Ta-Ti alloy</t>
  </si>
  <si>
    <t>Qu, S. et al. Coarsening behavior of γʹ precipitates and compression deformation mechanism of a novel Co–V–Ta–Ti superalloy. Mater. Sci. Eng. A 139455 (2020) doi:10.1016/j.msea.2020.139455.</t>
  </si>
  <si>
    <t>Co-V-Ta-Ti alloyQu, S. et al. Coarsening behavior of γʹ precipitates and compression deformation mechanism of a novel Co–V–Ta–Ti superalloy. Mater. Sci. Eng. A 139455 (2020) doi:10.1016/j.msea.2020.139455.</t>
  </si>
  <si>
    <t>84.0Co-2.0Ti-2.0Ta-12.0V</t>
  </si>
  <si>
    <t>-2.Ta-12.V-2.Ti</t>
  </si>
  <si>
    <t>Co-30.8Ni-9.2Al-5.1W-4.1Ti-1.Ta</t>
  </si>
  <si>
    <t>-31Ni-9Al-5W-4Ti-1Ta</t>
  </si>
  <si>
    <t>Co-30Ni</t>
  </si>
  <si>
    <t>Qu, S. et al. Microstructural evolution and compression property of a novel γʹ-strengthened directionally solidified CoNi-base superalloy. Mater. Sci. Eng. A 761, (2019).</t>
  </si>
  <si>
    <t>Co-30NiQu, S. et al. Microstructural evolution and compression property of a novel γʹ-strengthened directionally solidified CoNi-base superalloy. Mater. Sci. Eng. A 761, (2019).</t>
  </si>
  <si>
    <t>80.7Co-30.8Ni-9.2Al-5.1W-4.1Ti-1.0Ta</t>
  </si>
  <si>
    <t>-9.2Al-5.1W-1.Ta-30.8Ni-4.1Ti</t>
  </si>
  <si>
    <t>Co-10.Ni-5.Al-6.Ti-3.Nb-3.V-0.04B</t>
  </si>
  <si>
    <t>-10Ni-5Al-6Ti-3Nb-3V-B</t>
  </si>
  <si>
    <t>Co-10Ni-6Ti-5Al-3V-3Nb-0.04B</t>
  </si>
  <si>
    <t>Reyes Tirado, F. L. Tungsten-free Cobalt-based Superalloys with Gamma Prime Precipitates. (2019).</t>
  </si>
  <si>
    <t>-6.Ti</t>
  </si>
  <si>
    <t>Co-10Ni-6Ti-5Al-3V-3Nb-0.04BReyes Tirado, F. L. Tungsten-free Cobalt-based Superalloys with Gamma Prime Precipitates. (2019).</t>
  </si>
  <si>
    <t>83.0Co-10.0Ni-5.0Al-6.0Ti-3.0Nb-3.0V-0.04B</t>
  </si>
  <si>
    <t>-5.Al-10.Ni-3.Nb-3.V-6.Ti-0.04B</t>
  </si>
  <si>
    <t>Co-10.Ni-5.Al-4.Cr-6.Ti-3.Nb-3.V-0.04B</t>
  </si>
  <si>
    <t>-10Ni-5Al-4Cr-6Ti-3Nb-3V-B</t>
  </si>
  <si>
    <t>Co-10Ni-6Ti-5Al-4Cr-3V-3Nb-0.04B</t>
  </si>
  <si>
    <t>Co-10Ni-6Ti-5Al-4Cr-3V-3Nb-0.04BReyes Tirado, F. L. Tungsten-free Cobalt-based Superalloys with Gamma Prime Precipitates. (2019).</t>
  </si>
  <si>
    <t>79.0Co-10.0Ni-5.0Al-4.0Cr-6.0Ti-3.0Nb-3.0V-0.04B</t>
  </si>
  <si>
    <t>-5.Al-4.Cr-10.Ni-3.Nb-3.V-6.Ti-0.04B</t>
  </si>
  <si>
    <t>Co-10.Ni-5.Al-8.Cr-2.Ti-3.Nb-3.V-0.04B</t>
  </si>
  <si>
    <t>-10Ni-5Al-8Cr-2Ti-3Nb-3V-B</t>
  </si>
  <si>
    <t>Co-10Ni-8Cr-5Al-3Nb-3V-2Ti-0.04B</t>
  </si>
  <si>
    <t>Co-10Ni-8Cr-5Al-3Nb-3V-2Ti-0.04BReyes Tirado, F. L. Tungsten-free Cobalt-based Superalloys with Gamma Prime Precipitates. (2019).</t>
  </si>
  <si>
    <t>79.0Co-10.0Ni-5.0Al-8.0Cr-2.0Ti-3.0Nb-3.0V-0.04B</t>
  </si>
  <si>
    <t>-5.Al-8.Cr-10.Ni-3.Nb-3.V-2.Ti-0.04B</t>
  </si>
  <si>
    <t>Co-6.Ta-6.V</t>
  </si>
  <si>
    <t>-6Ta-6V</t>
  </si>
  <si>
    <t>Co-6Ta-6V</t>
  </si>
  <si>
    <t>Reyes Tirado, F. L., Perrin Toinin, J. &amp; Dunand, D. C. γ+γ′ microstructures in the Co-Ta-V and Co-Nb-V ternary systems. Acta Mater. 151, 137–148 (2018).</t>
  </si>
  <si>
    <t>Co-6Ta-6VReyes Tirado, F. L., Perrin Toinin, J. &amp; Dunand, D. C. γ+γ′ microstructures in the Co-Ta-V and Co-Nb-V ternary systems. Acta Mater. 151, 137–148 (2018).</t>
  </si>
  <si>
    <t>88.0Co-6.0Ta-6.0V</t>
  </si>
  <si>
    <t>-6.Ta-6.V</t>
  </si>
  <si>
    <t>Co-5.4Ta-6.6V</t>
  </si>
  <si>
    <t>-5Ta-7V</t>
  </si>
  <si>
    <t>-5.4Ta</t>
  </si>
  <si>
    <t>-6.6V</t>
  </si>
  <si>
    <t>Co-5.4Ta-6.6VReyes Tirado, F. L., Perrin Toinin, J. &amp; Dunand, D. C. γ+γ′ microstructures in the Co-Ta-V and Co-Nb-V ternary systems. Acta Mater. 151, 137–148 (2018).</t>
  </si>
  <si>
    <t>88.0Co-5.4Ta-6.6V</t>
  </si>
  <si>
    <t>-5.4Ta-6.6V</t>
  </si>
  <si>
    <t>Co-10Ni-5.38Ta-6.55V</t>
  </si>
  <si>
    <t>Co-10Ni-5.38Ta-6.55VReyes Tirado, F. L., Perrin Toinin, J. &amp; Dunand, D. C. γ+γ′ microstructures in the Co-Ta-V and Co-Nb-V ternary systems. Acta Mater. 151, 137–148 (2018).</t>
  </si>
  <si>
    <t>88.1Co-5.4Ta-6.6V</t>
  </si>
  <si>
    <t>Co-6.Nb-6.V</t>
  </si>
  <si>
    <t>-6Nb-6V</t>
  </si>
  <si>
    <t>Co-6V-6Nb</t>
  </si>
  <si>
    <t>-6.Nb</t>
  </si>
  <si>
    <t>Co-6V-6NbReyes Tirado, F. L., Perrin Toinin, J. &amp; Dunand, D. C. γ+γ′ microstructures in the Co-Ta-V and Co-Nb-V ternary systems. Acta Mater. 151, 137–148 (2018).</t>
  </si>
  <si>
    <t>88.0Co-6.0Nb-6.0V</t>
  </si>
  <si>
    <t>-6.Nb-6.V</t>
  </si>
  <si>
    <t>Co-10.Ni-5.Al-2.Ti-3.Ta-3.V-0.04B</t>
  </si>
  <si>
    <t>-10Ni-5Al-2Ti-3Ta-3V-B</t>
  </si>
  <si>
    <t>Co-10Ni-5Al-3Ta-3V-2Ti-0.04B</t>
  </si>
  <si>
    <t>Reyes Tirado, F. L., Taylor, S. &amp; Dunand, D. C. Effect of Al, Ti and Cr additions on the γ-γ’ microstructure of W-free Co-Ta-V-Based superalloys. Acta Mater. 172, 44–54 (2019).</t>
  </si>
  <si>
    <t>Co-10Ni-5Al-3Ta-3V-2Ti-0.04BReyes Tirado, F. L., Taylor, S. &amp; Dunand, D. C. Effect of Al, Ti and Cr additions on the γ-γ’ microstructure of W-free Co-Ta-V-Based superalloys. Acta Mater. 172, 44–54 (2019).</t>
  </si>
  <si>
    <t>87.0Co-10.0Ni-5.0Al-2.0Ti-3.0Ta-3.0V-0.04B</t>
  </si>
  <si>
    <t>-5.Al-3.Ta-10.Ni-3.V-2.Ti-0.04B</t>
  </si>
  <si>
    <t>Co-10.Ni-5.Al-4.Cr-2.Ti-3.Ta-3.V-0.04B</t>
  </si>
  <si>
    <t>-10Ni-5Al-4Cr-2Ti-3Ta-3V-B</t>
  </si>
  <si>
    <t>Co-10Ni-5Al-4Cr-3Ta-3V-2Ti-0.04B</t>
  </si>
  <si>
    <t>Co-10Ni-5Al-4Cr-3Ta-3V-2Ti-0.04BReyes Tirado, F. L., Taylor, S. &amp; Dunand, D. C. Effect of Al, Ti and Cr additions on the γ-γ’ microstructure of W-free Co-Ta-V-Based superalloys. Acta Mater. 172, 44–54 (2019).</t>
  </si>
  <si>
    <t>83.0Co-10.0Ni-5.0Al-4.0Cr-2.0Ti-3.0Ta-3.0V-0.04B</t>
  </si>
  <si>
    <t>-5.Al-4.Cr-3.Ta-10.Ni-3.V-2.Ti-0.04B</t>
  </si>
  <si>
    <t>Co-2.Ni-5.Al-1.Ti-3.Ta-3.V</t>
  </si>
  <si>
    <t>-2Ni-5Al-1Ti-3Ta-3V</t>
  </si>
  <si>
    <t>Co-2Ni-5Al-3Ta-3V-1Ti</t>
  </si>
  <si>
    <t>-1.Ti</t>
  </si>
  <si>
    <t>Co-2Ni-5Al-3Ta-3V-1TiReyes Tirado, F. L., Taylor, S. &amp; Dunand, D. C. Effect of Al, Ti and Cr additions on the γ-γ’ microstructure of W-free Co-Ta-V-Based superalloys. Acta Mater. 172, 44–54 (2019).</t>
  </si>
  <si>
    <t>88.0Co-2.0Ni-5.0Al-1.0Ti-3.0Ta-3.0V</t>
  </si>
  <si>
    <t>-5.Al-3.Ta-2.Ni-3.V-1.Ti</t>
  </si>
  <si>
    <t>Co-5.Al-1.Ti-3.Ta-3.V</t>
  </si>
  <si>
    <t>-5Al-1Ti-3Ta-3V</t>
  </si>
  <si>
    <t>Co-5Al-3Ta-3V-1Ti</t>
  </si>
  <si>
    <t>Co-5Al-3Ta-3V-1TiReyes Tirado, F. L., Taylor, S. &amp; Dunand, D. C. Effect of Al, Ti and Cr additions on the γ-γ’ microstructure of W-free Co-Ta-V-Based superalloys. Acta Mater. 172, 44–54 (2019).</t>
  </si>
  <si>
    <t>88.0Co-5.0Al-1.0Ti-3.0Ta-3.0V</t>
  </si>
  <si>
    <t>-5.Al-3.Ta-3.V-1.Ti</t>
  </si>
  <si>
    <t>Co-2.Ni-6.Al-3.Ta-3.V</t>
  </si>
  <si>
    <t>-2Ni-6Al-3Ta-3V</t>
  </si>
  <si>
    <t>Co-2Ni-6Al-3Ta-3V</t>
  </si>
  <si>
    <t>Co-2Ni-6Al-3Ta-3VReyes Tirado, F. L., Taylor, S. &amp; Dunand, D. C. Effect of Al, Ti and Cr additions on the γ-γ’ microstructure of W-free Co-Ta-V-Based superalloys. Acta Mater. 172, 44–54 (2019).</t>
  </si>
  <si>
    <t>88.0Co-2.0Ni-6.0Al-3.0Ta-3.0V</t>
  </si>
  <si>
    <t>-6.Al-3.Ta-2.Ni-3.V</t>
  </si>
  <si>
    <t>Co-6.Al-3.Ta-3.V</t>
  </si>
  <si>
    <t>-6Al-3Ta-3V</t>
  </si>
  <si>
    <t>Co-6Al-3Ta-3V</t>
  </si>
  <si>
    <t>Co-6Al-3Ta-3VReyes Tirado, F. L., Taylor, S. &amp; Dunand, D. C. Effect of Al, Ti and Cr additions on the γ-γ’ microstructure of W-free Co-Ta-V-Based superalloys. Acta Mater. 172, 44–54 (2019).</t>
  </si>
  <si>
    <t>88.0Co-6.0Al-3.0Ta-3.0V</t>
  </si>
  <si>
    <t>-6.Al-3.Ta-3.V</t>
  </si>
  <si>
    <t>Co-10.6Al-8.3W-1.6Ti-1.2Nb</t>
  </si>
  <si>
    <t>-11Al-8W-2Ti-1Nb</t>
  </si>
  <si>
    <t>Rhein, R. K. et al. Creep Behavior of Quinary γ′-Strengthened Co-Based Superalloys. Metall. Mater. Trans. A Phys. Metall. Mater. Sci. 49, 4090–4098 (2018).</t>
  </si>
  <si>
    <t>-8.3W</t>
  </si>
  <si>
    <t>-1.6Ti</t>
  </si>
  <si>
    <t>TiNbRhein, R. K. et al. Creep Behavior of Quinary γ′-Strengthened Co-Based Superalloys. Metall. Mater. Trans. A Phys. Metall. Mater. Sci. 49, 4090–4098 (2018).</t>
  </si>
  <si>
    <t>78.3Co-10.6Al-8.3W-1.6Ti-1.2Nb</t>
  </si>
  <si>
    <t>-10.6Al-8.3W-1.2Nb-1.6Ti</t>
  </si>
  <si>
    <t>Co-11.3Al-7.9W-1.1Ta-0.9Nb</t>
  </si>
  <si>
    <t>-11Al-8W-1Ta-1Nb</t>
  </si>
  <si>
    <t>-11.3Al</t>
  </si>
  <si>
    <t>TaNbRhein, R. K. et al. Creep Behavior of Quinary γ′-Strengthened Co-Based Superalloys. Metall. Mater. Trans. A Phys. Metall. Mater. Sci. 49, 4090–4098 (2018).</t>
  </si>
  <si>
    <t>78.8Co-11.3Al-7.9W-1.1Ta-0.9Nb</t>
  </si>
  <si>
    <t>-11.3Al-7.9W-1.1Ta-0.9Nb</t>
  </si>
  <si>
    <t>Co-10.7Al-8.2W-1.6Ti-1.2Ta</t>
  </si>
  <si>
    <t>-11Al-8W-2Ti-1Ta</t>
  </si>
  <si>
    <t>TaTi</t>
  </si>
  <si>
    <t>Rhein, R. K. Thermodynamics and Creep Behavior of L1 2-containing Co-base Superalloys. (2019).</t>
  </si>
  <si>
    <t>-10.7Al</t>
  </si>
  <si>
    <t>TaTiRhein, R. K. Thermodynamics and Creep Behavior of L1 2-containing Co-base Superalloys. (2019).</t>
  </si>
  <si>
    <t>78.3Co-10.7Al-8.2W-1.6Ti-1.2Ta</t>
  </si>
  <si>
    <t>-10.7Al-8.2W-1.2Ta-1.6Ti</t>
  </si>
  <si>
    <t>Romanov alloy 1</t>
  </si>
  <si>
    <t>Romanov, E. P. et al. Heat-resistant alloys based on intermetallic Co3(Al, W). Dokl. Chem. 473, 88–91 (2017).</t>
  </si>
  <si>
    <t>Romanov alloy 1Romanov, E. P. et al. Heat-resistant alloys based on intermetallic Co3(Al, W). Dokl. Chem. 473, 88–91 (2017).</t>
  </si>
  <si>
    <t>Romanov alloy 2</t>
  </si>
  <si>
    <t>Romanov alloy 2Romanov, E. P. et al. Heat-resistant alloys based on intermetallic Co3(Al, W). Dokl. Chem. 473, 88–91 (2017).</t>
  </si>
  <si>
    <t>Romanov alloy 3</t>
  </si>
  <si>
    <t>Romanov alloy 3Romanov, E. P. et al. Heat-resistant alloys based on intermetallic Co3(Al, W). Dokl. Chem. 473, 88–91 (2017).</t>
  </si>
  <si>
    <t>Romanov alloy 4</t>
  </si>
  <si>
    <t>Romanov alloy 4Romanov, E. P. et al. Heat-resistant alloys based on intermetallic Co3(Al, W). Dokl. Chem. 473, 88–91 (2017).</t>
  </si>
  <si>
    <t>Romanov alloy 5</t>
  </si>
  <si>
    <t>Romanov alloy 5Romanov, E. P. et al. Heat-resistant alloys based on intermetallic Co3(Al, W). Dokl. Chem. 473, 88–91 (2017).</t>
  </si>
  <si>
    <t>Co-12V-2Ta-2Ti</t>
  </si>
  <si>
    <t>Ruan, J. et al. Accelerated design of novel W-free high-strength Co-base superalloys with extremely wide γ/γʹ region by machine learning and CALPHAD methods. Acta Mater. 186, 425–433 (2020).</t>
  </si>
  <si>
    <t>Co-12V-2Ta-2TiRuan, J. et al. Accelerated design of novel W-free high-strength Co-base superalloys with extremely wide γ/γʹ region by machine learning and CALPHAD methods. Acta Mater. 186, 425–433 (2020).</t>
  </si>
  <si>
    <t>Co-2.5Ta-6.V</t>
  </si>
  <si>
    <t>-3Ta-6V</t>
  </si>
  <si>
    <t>Co-6V-2.5Ta</t>
  </si>
  <si>
    <t>Co-6V-2.5TaRuan, J. et al. Accelerated design of novel W-free high-strength Co-base superalloys with extremely wide γ/γʹ region by machine learning and CALPHAD methods. Acta Mater. 186, 425–433 (2020).</t>
  </si>
  <si>
    <t>91.5Co-2.5Ta-6.0V</t>
  </si>
  <si>
    <t>-2.5Ta-6.V</t>
  </si>
  <si>
    <t>Co-12.V</t>
  </si>
  <si>
    <t>-12V</t>
  </si>
  <si>
    <t>Co-10V-2.5Ta</t>
  </si>
  <si>
    <t>Co-10V-2.5TaRuan, J. et al. Accelerated design of novel W-free high-strength Co-base superalloys with extremely wide γ/γʹ region by machine learning and CALPHAD methods. Acta Mater. 186, 425–433 (2020).</t>
  </si>
  <si>
    <t>88.0Co-12.0V</t>
  </si>
  <si>
    <t>Co-2.Ta-12.V</t>
  </si>
  <si>
    <t>-2Ta-12V</t>
  </si>
  <si>
    <t>Co-12V-2Ta</t>
  </si>
  <si>
    <t>Co-12V-2TaRuan, J. et al. Accelerated design of novel W-free high-strength Co-base superalloys with extremely wide γ/γʹ region by machine learning and CALPHAD methods. Acta Mater. 186, 425–433 (2020).</t>
  </si>
  <si>
    <t>86.0Co-2.0Ta-12.0V</t>
  </si>
  <si>
    <t>-2.Ta-12.V</t>
  </si>
  <si>
    <t>Co-2.Al-2.Ta-12.V</t>
  </si>
  <si>
    <t>-2Al-2Ta-12V</t>
  </si>
  <si>
    <t>Co-12V-2Ta-2Al</t>
  </si>
  <si>
    <t>-2.Al</t>
  </si>
  <si>
    <t>Co-12V-2Ta-2AlRuan, J. et al. Accelerated design of novel W-free high-strength Co-base superalloys with extremely wide γ/γʹ region by machine learning and CALPHAD methods. Acta Mater. 186, 425–433 (2020).</t>
  </si>
  <si>
    <t>96.0Co-2.0Al-2.0Ta</t>
  </si>
  <si>
    <t>-2.Al-2.Ta-12.V</t>
  </si>
  <si>
    <t>Co-5.8Ti-16.9V</t>
  </si>
  <si>
    <t>-6Ti-17V</t>
  </si>
  <si>
    <t>Co-5.83Ti-16.88V</t>
  </si>
  <si>
    <t>Ruan, J. J. et al. Experimental investigation of phase equilibria and microstructure in the Co-Ti-V ternary system. Intermetallics 49, 121–131 (2014).</t>
  </si>
  <si>
    <t>-16.9V</t>
  </si>
  <si>
    <t>-5.8Ti</t>
  </si>
  <si>
    <t>Co-5.83Ti-16.88VRuan, J. J. et al. Experimental investigation of phase equilibria and microstructure in the Co-Ti-V ternary system. Intermetallics 49, 121–131 (2014).</t>
  </si>
  <si>
    <t>77.3Co-5.8Ti-16.9V</t>
  </si>
  <si>
    <t>-16.9V-5.8Ti</t>
  </si>
  <si>
    <t>Co-5.Ti-15.V</t>
  </si>
  <si>
    <t>-5Ti-15V</t>
  </si>
  <si>
    <t>Co-5Ti-15V</t>
  </si>
  <si>
    <t>Ruan, J. J. et al. Novel Co-Ti-V-base superalloys reinforced by L12-ordered γ′ phase. Intermetallics 92, 126–132 (2018).</t>
  </si>
  <si>
    <t>-15.V</t>
  </si>
  <si>
    <t>Co-5Ti-15VRuan, J. J. et al. Novel Co-Ti-V-base superalloys reinforced by L12-ordered γ′ phase. Intermetallics 92, 126–132 (2018).</t>
  </si>
  <si>
    <t>80.0Co-5.0Ti-15.0V</t>
  </si>
  <si>
    <t>-15.V-5.Ti</t>
  </si>
  <si>
    <t>Co-2.Al-5.Ti-15.V</t>
  </si>
  <si>
    <t>-2Al-5Ti-15V</t>
  </si>
  <si>
    <t>Co-5Ti-15V-2Al</t>
  </si>
  <si>
    <t>Co-5Ti-15V-2AlRuan, J. J. et al. Novel Co-Ti-V-base superalloys reinforced by L12-ordered γ′ phase. Intermetallics 92, 126–132 (2018).</t>
  </si>
  <si>
    <t>78.0Co-2.0Al-5.0Ti-15.0V</t>
  </si>
  <si>
    <t>-2.Al-15.V-5.Ti</t>
  </si>
  <si>
    <t>Co-2.Ni-5.Ti-15.V</t>
  </si>
  <si>
    <t>-2Ni-5Ti-15V</t>
  </si>
  <si>
    <t>Co-5Ti-15V-2Ni</t>
  </si>
  <si>
    <t>Co-5Ti-15V-2NiRuan, J. J. et al. Novel Co-Ti-V-base superalloys reinforced by L12-ordered γ′ phase. Intermetallics 92, 126–132 (2018).</t>
  </si>
  <si>
    <t>80.0Co-2.0Ni-5.0Ti-15.0V</t>
  </si>
  <si>
    <t>-2.Ni-15.V-5.Ti</t>
  </si>
  <si>
    <t>Co-9.Al-7.5W</t>
  </si>
  <si>
    <t>The Original</t>
  </si>
  <si>
    <t>Sato, J. et al. Cobalt-base high-temperature alloys. Science (80-. ). 312, 90–91 (2006).</t>
  </si>
  <si>
    <t>The OriginalSato, J. et al. Cobalt-base high-temperature alloys. Science (80-. ). 312, 90–91 (2006).</t>
  </si>
  <si>
    <t>83.5Co-9.0Al-7.5W</t>
  </si>
  <si>
    <t>-9.Al-7.5W</t>
  </si>
  <si>
    <t>Co-8.8Al-9.8W-2Ta</t>
  </si>
  <si>
    <t>Co-8.8Al-9.8W-2TaSato, J. et al. Cobalt-base high-temperature alloys. Science (80-. ). 312, 90–91 (2006).</t>
  </si>
  <si>
    <t>Co-9.2Al-9.W</t>
  </si>
  <si>
    <t>Co-9.2Al-9WSato, J. et al. Cobalt-base high-temperature alloys. Science (80-. ). 312, 90–91 (2006).</t>
  </si>
  <si>
    <t>81.8Co-9.2Al-9.0W</t>
  </si>
  <si>
    <t>-9.2Al-9.W</t>
  </si>
  <si>
    <t>Co-20.Ni-10.Al-10.W-2.Ta</t>
  </si>
  <si>
    <t>-20Ni-10Al-10W-2Ta</t>
  </si>
  <si>
    <t>Co-20Ni-10Al-10W-2Ta</t>
  </si>
  <si>
    <t>Co-20Ni-10Al-10W-2TaSato, J. et al. Cobalt-base high-temperature alloys. Science (80-. ). 312, 90–91 (2006).</t>
  </si>
  <si>
    <t>78.0Co-20.0Ni-10.0Al-10.0W-2.0Ta</t>
  </si>
  <si>
    <t>-10.Al-10.W-2.Ta-20.Ni</t>
  </si>
  <si>
    <t>Co-8.8Al-7.3W</t>
  </si>
  <si>
    <t>Sauza, D. J., Bocchini, P. J., Dunand, D. C. &amp; Seidman, D. N. Influence of ruthenium on microstructural evolution in a model Co-Al-W superalloy. Acta Mater. 117, 135–145 (2016).</t>
  </si>
  <si>
    <t>Co-8.8Al-7.3WSauza, D. J., Bocchini, P. J., Dunand, D. C. &amp; Seidman, D. N. Influence of ruthenium on microstructural evolution in a model Co-Al-W superalloy. Acta Mater. 117, 135–145 (2016).</t>
  </si>
  <si>
    <t>83.9Co-8.8Al-7.3W</t>
  </si>
  <si>
    <t>-8.8Al-7.3W</t>
  </si>
  <si>
    <t>Co-9.7Al-7.1W-2.1Ru</t>
  </si>
  <si>
    <t>-10Al-7W-2Ru</t>
  </si>
  <si>
    <t>-2.1Ru</t>
  </si>
  <si>
    <t>Co-9.7Al-7.1W-2.1RuSauza, D. J., Bocchini, P. J., Dunand, D. C. &amp; Seidman, D. N. Influence of ruthenium on microstructural evolution in a model Co-Al-W superalloy. Acta Mater. 117, 135–145 (2016).</t>
  </si>
  <si>
    <t>81.1Co-9.7Al-7.1W-2.1Ru</t>
  </si>
  <si>
    <t>-9.7Al-7.1W-2.1Ru</t>
  </si>
  <si>
    <t>Co-9.9Ni-8.8Al-8.9W</t>
  </si>
  <si>
    <t>Co-8.8Al-8.9W-9.9Ni</t>
  </si>
  <si>
    <t>Sauza, D. J., Dunand, D. C., Noebe, R. D. &amp; Seidman, D. N. γ’-(L12) precipitate evolution during isothermal aging of a Co–Al–W–Ni superalloy. Acta Mater. 164, 654–662 (2019).</t>
  </si>
  <si>
    <t>-9.9Ni</t>
  </si>
  <si>
    <t>Co-8.8Al-8.9W-9.9NiSauza, D. J., Dunand, D. C., Noebe, R. D. &amp; Seidman, D. N. γ’-(L12) precipitate evolution during isothermal aging of a Co–Al–W–Ni superalloy. Acta Mater. 164, 654–662 (2019).</t>
  </si>
  <si>
    <t>82.3Co-9.9Ni-8.8Al-8.9W</t>
  </si>
  <si>
    <t>-8.8Al-8.9W-9.9Ni</t>
  </si>
  <si>
    <t>Co-16.Ni-9.5Al-6.Cr-5.W</t>
  </si>
  <si>
    <t>-16Ni-10Al-6Cr-5W</t>
  </si>
  <si>
    <t>0Ta</t>
  </si>
  <si>
    <t>Shi, L., Yu, J. J., Cui, C. Y. &amp; Sun, X. F. Effect of Ta additions on microstructure and mechanical properties of a single-crystal Co-Al-W-base alloy. Mater. Lett. 149, 58–61 (2015).</t>
  </si>
  <si>
    <t>0TaShi, L., Yu, J. J., Cui, C. Y. &amp; Sun, X. F. Effect of Ta additions on microstructure and mechanical properties of a single-crystal Co-Al-W-base alloy. Mater. Lett. 149, 58–61 (2015).</t>
  </si>
  <si>
    <t>79.5Co-16.0Ni-9.5Al-6.0Cr-5.0W</t>
  </si>
  <si>
    <t>-9.5Al-6.Cr-5.W-16.Ni</t>
  </si>
  <si>
    <t>Co-16.Ni-9.5Al-6.Cr-5.W-1.8Ta</t>
  </si>
  <si>
    <t>-16Ni-10Al-6Cr-5W-2Ta</t>
  </si>
  <si>
    <t>1.8Ta</t>
  </si>
  <si>
    <t>1.8TaShi, L., Yu, J. J., Cui, C. Y. &amp; Sun, X. F. Effect of Ta additions on microstructure and mechanical properties of a single-crystal Co-Al-W-base alloy. Mater. Lett. 149, 58–61 (2015).</t>
  </si>
  <si>
    <t>77.7Co-16.0Ni-9.5Al-6.0Cr-5.0W-1.8Ta</t>
  </si>
  <si>
    <t>-9.5Al-6.Cr-5.W-1.8Ta-16.Ni</t>
  </si>
  <si>
    <t>Co-16.Ni-9.5Al-6.Cr-5.W-2.8Ta</t>
  </si>
  <si>
    <t>-16Ni-10Al-6Cr-5W-3Ta</t>
  </si>
  <si>
    <t>2.8Ta</t>
  </si>
  <si>
    <t>2.8TaShi, L., Yu, J. J., Cui, C. Y. &amp; Sun, X. F. Effect of Ta additions on microstructure and mechanical properties of a single-crystal Co-Al-W-base alloy. Mater. Lett. 149, 58–61 (2015).</t>
  </si>
  <si>
    <t>76.7Co-16.0Ni-9.5Al-6.0Cr-5.0W-2.8Ta</t>
  </si>
  <si>
    <t>-9.5Al-6.Cr-5.W-2.8Ta-16.Ni</t>
  </si>
  <si>
    <t>Co-17.Ni-9.Al-5.W-3.Ti</t>
  </si>
  <si>
    <t>-17Ni-9Al-5W-3Ti</t>
  </si>
  <si>
    <t>3Ti</t>
  </si>
  <si>
    <t>Shi, L., Yu, J. J., Cui, C. Y. &amp; Sun, X. F. Microstructural stability and tensile properties of a Ti-containing single-crystal Co-Ni-Al-W-base alloy. Mater. Sci. Eng. A 646, 45–51 (2015).</t>
  </si>
  <si>
    <t>3TiShi, L., Yu, J. J., Cui, C. Y. &amp; Sun, X. F. Microstructural stability and tensile properties of a Ti-containing single-crystal Co-Ni-Al-W-base alloy. Mater. Sci. Eng. A 646, 45–51 (2015).</t>
  </si>
  <si>
    <t>83.0Co-17.0Ni-9.0Al-5.0W-3.0Ti</t>
  </si>
  <si>
    <t>-9.Al-5.W-17.Ni-3.Ti</t>
  </si>
  <si>
    <t>Co-17.Ni-10.Al-6.Cr-5.W-2.7Ta</t>
  </si>
  <si>
    <t>-17Ni-10Al-6Cr-5W-3Ta</t>
  </si>
  <si>
    <t>Shi, L., Yu, J. J., Cui, C. Y. &amp; Sun, X. F. The creep deformation behavior of a single-crystal Co-Al-W-base superalloy at 900°C. Mater. Sci. Eng. A 635, 50–58 (2015).</t>
  </si>
  <si>
    <t>5WShi, L., Yu, J. J., Cui, C. Y. &amp; Sun, X. F. The creep deformation behavior of a single-crystal Co-Al-W-base superalloy at 900°C. Mater. Sci. Eng. A 635, 50–58 (2015).</t>
  </si>
  <si>
    <t>76.3Co-17.0Ni-10.0Al-6.0Cr-5.0W-2.7Ta</t>
  </si>
  <si>
    <t>-10.Al-6.Cr-5.W-2.7Ta-17.Ni</t>
  </si>
  <si>
    <t>Co-10.Ni-10.Al-10.W</t>
  </si>
  <si>
    <t>-10Ni-10Al-10W</t>
  </si>
  <si>
    <t>10Ni-10Al-10W</t>
  </si>
  <si>
    <t>Shinagawa, K. et al. Phase equilibria and microstructure on γ′ phase in Co-Ni-Al-W system. Mater. Trans. 49, 1474–1479 (2008).</t>
  </si>
  <si>
    <t>10Ni-10Al-10WShinagawa, K. et al. Phase equilibria and microstructure on γ′ phase in Co-Ni-Al-W system. Mater. Trans. 49, 1474–1479 (2008).</t>
  </si>
  <si>
    <t>80.0Co-10.0Ni-10.0Al-10.0W</t>
  </si>
  <si>
    <t>-10.Al-10.W-10.Ni</t>
  </si>
  <si>
    <t>Co-10.Ni-10.Al-7.5W</t>
  </si>
  <si>
    <t>-10Ni-10Al-8W</t>
  </si>
  <si>
    <t>10Ni-10Al-7.5W</t>
  </si>
  <si>
    <t>10Ni-10Al-7.5WShinagawa, K. et al. Phase equilibria and microstructure on γ′ phase in Co-Ni-Al-W system. Mater. Trans. 49, 1474–1479 (2008).</t>
  </si>
  <si>
    <t>82.5Co-10.0Ni-10.0Al-7.5W</t>
  </si>
  <si>
    <t>-10.Al-7.5W-10.Ni</t>
  </si>
  <si>
    <t>Co-10.Ni-12.5Al-7.5W</t>
  </si>
  <si>
    <t>-10Ni-13Al-8W</t>
  </si>
  <si>
    <t>10Ni-12.5Al-7.5W</t>
  </si>
  <si>
    <t>-12.5Al</t>
  </si>
  <si>
    <t>10Ni-12.5Al-7.5WShinagawa, K. et al. Phase equilibria and microstructure on γ′ phase in Co-Ni-Al-W system. Mater. Trans. 49, 1474–1479 (2008).</t>
  </si>
  <si>
    <t>80.0Co-10.0Ni-12.5Al-7.5W</t>
  </si>
  <si>
    <t>-12.5Al-7.5W-10.Ni</t>
  </si>
  <si>
    <t>Co-20.Ni-10.Al-10.W</t>
  </si>
  <si>
    <t>-20Ni-10Al-10W</t>
  </si>
  <si>
    <t>20Ni-10Al-10W</t>
  </si>
  <si>
    <t>20Ni-10Al-10WShinagawa, K. et al. Phase equilibria and microstructure on γ′ phase in Co-Ni-Al-W system. Mater. Trans. 49, 1474–1479 (2008).</t>
  </si>
  <si>
    <t>80.0Co-20.0Ni-10.0Al-10.0W</t>
  </si>
  <si>
    <t>-10.Al-10.W-20.Ni</t>
  </si>
  <si>
    <t>Co-20.Ni-10.Al-7.5W</t>
  </si>
  <si>
    <t>-20Ni-10Al-8W</t>
  </si>
  <si>
    <t>20Ni-10Al-7.5W</t>
  </si>
  <si>
    <t>20Ni-10Al-7.5WShinagawa, K. et al. Phase equilibria and microstructure on γ′ phase in Co-Ni-Al-W system. Mater. Trans. 49, 1474–1479 (2008).</t>
  </si>
  <si>
    <t>82.5Co-20.0Ni-10.0Al-7.5W</t>
  </si>
  <si>
    <t>-10.Al-7.5W-20.Ni</t>
  </si>
  <si>
    <t>Co-20.Ni-12.5Al-5.W</t>
  </si>
  <si>
    <t>-20Ni-13Al-5W</t>
  </si>
  <si>
    <t>20Ni-12.5Al-5W</t>
  </si>
  <si>
    <t>20Ni-12.5Al-5WShinagawa, K. et al. Phase equilibria and microstructure on γ′ phase in Co-Ni-Al-W system. Mater. Trans. 49, 1474–1479 (2008).</t>
  </si>
  <si>
    <t>82.5Co-20.0Ni-12.5Al-5.0W</t>
  </si>
  <si>
    <t>-12.5Al-5.W-20.Ni</t>
  </si>
  <si>
    <t>Co-20.Ni-15.Al-5.W</t>
  </si>
  <si>
    <t>-20Ni-15Al-5W</t>
  </si>
  <si>
    <t>20Ni-15Al-5W</t>
  </si>
  <si>
    <t>-15.Al</t>
  </si>
  <si>
    <t>20Ni-15Al-5WShinagawa, K. et al. Phase equilibria and microstructure on γ′ phase in Co-Ni-Al-W system. Mater. Trans. 49, 1474–1479 (2008).</t>
  </si>
  <si>
    <t>80.0Co-20.0Ni-15.0Al-5.0W</t>
  </si>
  <si>
    <t>-15.Al-5.W-20.Ni</t>
  </si>
  <si>
    <t>Co-30.Ni-10.Al-10.W</t>
  </si>
  <si>
    <t>-30Ni-10Al-10W</t>
  </si>
  <si>
    <t>30Ni-10Al-10W</t>
  </si>
  <si>
    <t>30Ni-10Al-10WShinagawa, K. et al. Phase equilibria and microstructure on γ′ phase in Co-Ni-Al-W system. Mater. Trans. 49, 1474–1479 (2008).</t>
  </si>
  <si>
    <t>80.0Co-30.0Ni-10.0Al-10.0W</t>
  </si>
  <si>
    <t>-10.Al-10.W-30.Ni</t>
  </si>
  <si>
    <t>Co-30.Ni-10.Al-7.5W</t>
  </si>
  <si>
    <t>-30Ni-10Al-8W</t>
  </si>
  <si>
    <t>30Ni-10Al-7.5W</t>
  </si>
  <si>
    <t>30Ni-10Al-7.5WShinagawa, K. et al. Phase equilibria and microstructure on γ′ phase in Co-Ni-Al-W system. Mater. Trans. 49, 1474–1479 (2008).</t>
  </si>
  <si>
    <t>82.5Co-30.0Ni-10.0Al-7.5W</t>
  </si>
  <si>
    <t>-10.Al-7.5W-30.Ni</t>
  </si>
  <si>
    <t>Co-30.Ni-12.5Al-5.W</t>
  </si>
  <si>
    <t>-30Ni-13Al-5W</t>
  </si>
  <si>
    <t>30Ni-12.5Al-5W</t>
  </si>
  <si>
    <t>30Ni-12.5Al-5WShinagawa, K. et al. Phase equilibria and microstructure on γ′ phase in Co-Ni-Al-W system. Mater. Trans. 49, 1474–1479 (2008).</t>
  </si>
  <si>
    <t>82.5Co-30.0Ni-12.5Al-5.0W</t>
  </si>
  <si>
    <t>-12.5Al-5.W-30.Ni</t>
  </si>
  <si>
    <t>Co-30.Ni-12.5Al-2.5W</t>
  </si>
  <si>
    <t>-30Ni-13Al-3W</t>
  </si>
  <si>
    <t>30Ni-12.5Al-2.5W</t>
  </si>
  <si>
    <t>30Ni-12.5Al-2.5WShinagawa, K. et al. Phase equilibria and microstructure on γ′ phase in Co-Ni-Al-W system. Mater. Trans. 49, 1474–1479 (2008).</t>
  </si>
  <si>
    <t>85.0Co-30.0Ni-12.5Al-2.5W</t>
  </si>
  <si>
    <t>-12.5Al-2.5W-30.Ni</t>
  </si>
  <si>
    <t>Co-30.Ni-17.5Al-2.5W</t>
  </si>
  <si>
    <t>-30Ni-18Al-3W</t>
  </si>
  <si>
    <t>30Ni-17.5Al-2.5W</t>
  </si>
  <si>
    <t>-17.5Al</t>
  </si>
  <si>
    <t>30Ni-17.5Al-2.5WShinagawa, K. et al. Phase equilibria and microstructure on γ′ phase in Co-Ni-Al-W system. Mater. Trans. 49, 1474–1479 (2008).</t>
  </si>
  <si>
    <t>80.0Co-30.0Ni-17.5Al-2.5W</t>
  </si>
  <si>
    <t>-17.5Al-2.5W-30.Ni</t>
  </si>
  <si>
    <t>Co-40.Ni-10.Al-10.W</t>
  </si>
  <si>
    <t>-40Ni-10Al-10W</t>
  </si>
  <si>
    <t>40Ni-10Al-10W</t>
  </si>
  <si>
    <t>40Ni-10Al-10WShinagawa, K. et al. Phase equilibria and microstructure on γ′ phase in Co-Ni-Al-W system. Mater. Trans. 49, 1474–1479 (2008).</t>
  </si>
  <si>
    <t>80.0Co-40.0Ni-10.0Al-10.0W</t>
  </si>
  <si>
    <t>-10.Al-10.W-40.Ni</t>
  </si>
  <si>
    <t>Co-40.Ni-10.Al-7.5W</t>
  </si>
  <si>
    <t>-40Ni-10Al-8W</t>
  </si>
  <si>
    <t>40Ni-10Al-7.5W</t>
  </si>
  <si>
    <t>40Ni-10Al-7.5WShinagawa, K. et al. Phase equilibria and microstructure on γ′ phase in Co-Ni-Al-W system. Mater. Trans. 49, 1474–1479 (2008).</t>
  </si>
  <si>
    <t>82.5Co-40.0Ni-10.0Al-7.5W</t>
  </si>
  <si>
    <t>-10.Al-7.5W-40.Ni</t>
  </si>
  <si>
    <t>Co-40.Ni-12.5Al-5.W</t>
  </si>
  <si>
    <t>-40Ni-13Al-5W</t>
  </si>
  <si>
    <t>40Ni-12.5Al-5W</t>
  </si>
  <si>
    <t>40Ni-12.5Al-5WShinagawa, K. et al. Phase equilibria and microstructure on γ′ phase in Co-Ni-Al-W system. Mater. Trans. 49, 1474–1479 (2008).</t>
  </si>
  <si>
    <t>82.5Co-40.0Ni-12.5Al-5.0W</t>
  </si>
  <si>
    <t>-12.5Al-5.W-40.Ni</t>
  </si>
  <si>
    <t>Co-40.Ni-12.5Al-2.5W</t>
  </si>
  <si>
    <t>-40Ni-13Al-3W</t>
  </si>
  <si>
    <t>40Ni-12.5Al-2.5W</t>
  </si>
  <si>
    <t>40Ni-12.5Al-2.5WShinagawa, K. et al. Phase equilibria and microstructure on γ′ phase in Co-Ni-Al-W system. Mater. Trans. 49, 1474–1479 (2008).</t>
  </si>
  <si>
    <t>85.0Co-40.0Ni-12.5Al-2.5W</t>
  </si>
  <si>
    <t>-12.5Al-2.5W-40.Ni</t>
  </si>
  <si>
    <t>Co-40.Ni-20.Al-2.5W</t>
  </si>
  <si>
    <t>-40Ni-20Al-3W</t>
  </si>
  <si>
    <t>40Ni-20Al-2.5W</t>
  </si>
  <si>
    <t>-20.Al</t>
  </si>
  <si>
    <t>40Ni-20Al-2.5WShinagawa, K. et al. Phase equilibria and microstructure on γ′ phase in Co-Ni-Al-W system. Mater. Trans. 49, 1474–1479 (2008).</t>
  </si>
  <si>
    <t>77.5Co-40.0Ni-20.0Al-2.5W</t>
  </si>
  <si>
    <t>-20.Al-2.5W-40.Ni</t>
  </si>
  <si>
    <t>Co-2.Ta</t>
  </si>
  <si>
    <t>-2Ta</t>
  </si>
  <si>
    <t>Co-2Ta</t>
  </si>
  <si>
    <t>Shinagawa, K. et al. Phase equilibria and thermodynamic calculation of the Co-Ta binary system. Intermetallics 49, 87–97 (2014).</t>
  </si>
  <si>
    <t>Co-2TaShinagawa, K. et al. Phase equilibria and thermodynamic calculation of the Co-Ta binary system. Intermetallics 49, 87–97 (2014).</t>
  </si>
  <si>
    <t>98.0Co-2.0Ta</t>
  </si>
  <si>
    <t>Co-3.5Ta</t>
  </si>
  <si>
    <t>-4Ta</t>
  </si>
  <si>
    <t>Co-3.5TaShinagawa, K. et al. Phase equilibria and thermodynamic calculation of the Co-Ta binary system. Intermetallics 49, 87–97 (2014).</t>
  </si>
  <si>
    <t>96.5Co-3.5Ta</t>
  </si>
  <si>
    <t>Co-8.5Ta</t>
  </si>
  <si>
    <t>-9Ta</t>
  </si>
  <si>
    <t>-8.5Ta</t>
  </si>
  <si>
    <t>Co-8.5TaShinagawa, K. et al. Phase equilibria and thermodynamic calculation of the Co-Ta binary system. Intermetallics 49, 87–97 (2014).</t>
  </si>
  <si>
    <t>91.5Co-8.5Ta</t>
  </si>
  <si>
    <t>Co-12.Ta</t>
  </si>
  <si>
    <t>-12Ta</t>
  </si>
  <si>
    <t>Co-12Ta</t>
  </si>
  <si>
    <t>-12.Ta</t>
  </si>
  <si>
    <t>Co-12TaShinagawa, K. et al. Phase equilibria and thermodynamic calculation of the Co-Ta binary system. Intermetallics 49, 87–97 (2014).</t>
  </si>
  <si>
    <t>88.0Co-12.0Ta</t>
  </si>
  <si>
    <t>Co-14.Ta</t>
  </si>
  <si>
    <t>-14Ta</t>
  </si>
  <si>
    <t>Co-14Ta</t>
  </si>
  <si>
    <t>-14.Ta</t>
  </si>
  <si>
    <t>Co-14TaShinagawa, K. et al. Phase equilibria and thermodynamic calculation of the Co-Ta binary system. Intermetallics 49, 87–97 (2014).</t>
  </si>
  <si>
    <t>86.0Co-14.0Ta</t>
  </si>
  <si>
    <t>Co-16.Ta</t>
  </si>
  <si>
    <t>-16Ta</t>
  </si>
  <si>
    <t>Co-16Ta</t>
  </si>
  <si>
    <t>-16.Ta</t>
  </si>
  <si>
    <t>Co-16TaShinagawa, K. et al. Phase equilibria and thermodynamic calculation of the Co-Ta binary system. Intermetallics 49, 87–97 (2014).</t>
  </si>
  <si>
    <t>84.0Co-16.0Ta</t>
  </si>
  <si>
    <t>Co-18.Ta</t>
  </si>
  <si>
    <t>-18Ta</t>
  </si>
  <si>
    <t>Co-18Ta</t>
  </si>
  <si>
    <t>-18.Ta</t>
  </si>
  <si>
    <t>Co-18TaShinagawa, K. et al. Phase equilibria and thermodynamic calculation of the Co-Ta binary system. Intermetallics 49, 87–97 (2014).</t>
  </si>
  <si>
    <t>82.0Co-18.0Ta</t>
  </si>
  <si>
    <t>Co-21.Ta</t>
  </si>
  <si>
    <t>-21Ta</t>
  </si>
  <si>
    <t>Co-21Ta</t>
  </si>
  <si>
    <t>-21.Ta</t>
  </si>
  <si>
    <t>Co-21TaShinagawa, K. et al. Phase equilibria and thermodynamic calculation of the Co-Ta binary system. Intermetallics 49, 87–97 (2014).</t>
  </si>
  <si>
    <t>79.0Co-21.0Ta</t>
  </si>
  <si>
    <t>Co-24.Ta</t>
  </si>
  <si>
    <t>-24Ta</t>
  </si>
  <si>
    <t>Co-24Ta</t>
  </si>
  <si>
    <t>-24.Ta</t>
  </si>
  <si>
    <t>Co-24TaShinagawa, K. et al. Phase equilibria and thermodynamic calculation of the Co-Ta binary system. Intermetallics 49, 87–97 (2014).</t>
  </si>
  <si>
    <t>76.0Co-24.0Ta</t>
  </si>
  <si>
    <t>Co-8.9Al-6.9W</t>
  </si>
  <si>
    <t>Shinagawa, K., Omori, T., Oikawa, K., Kainuma, R. &amp; Ishida, K. Ductility enhancement by boron addition in Co-Al-W high-temperature alloys. Scr. Mater. 61, 612–615 (2009).</t>
  </si>
  <si>
    <t>Co-8.9Al-6.9WShinagawa, K., Omori, T., Oikawa, K., Kainuma, R. &amp; Ishida, K. Ductility enhancement by boron addition in Co-Al-W high-temperature alloys. Scr. Mater. 61, 612–615 (2009).</t>
  </si>
  <si>
    <t>84.2Co-8.9Al-6.9W</t>
  </si>
  <si>
    <t>-8.9Al-6.9W</t>
  </si>
  <si>
    <t>Co-8.9Al-6.9W-0.02B</t>
  </si>
  <si>
    <t>Co-8.9Al-6.9W-0.02BShinagawa, K., Omori, T., Oikawa, K., Kainuma, R. &amp; Ishida, K. Ductility enhancement by boron addition in Co-Al-W high-temperature alloys. Scr. Mater. 61, 612–615 (2009).</t>
  </si>
  <si>
    <t>84.2Co-8.9Al-6.9W-0.02B</t>
  </si>
  <si>
    <t>-8.9Al-6.9W-0.02B</t>
  </si>
  <si>
    <t>Co-9.Al-8.2W</t>
  </si>
  <si>
    <t>Co-9Al-8.2W</t>
  </si>
  <si>
    <t>Co-9Al-8.2WShinagawa, K., Omori, T., Oikawa, K., Kainuma, R. &amp; Ishida, K. Ductility enhancement by boron addition in Co-Al-W high-temperature alloys. Scr. Mater. 61, 612–615 (2009).</t>
  </si>
  <si>
    <t>82.8Co-9.0Al-8.2W</t>
  </si>
  <si>
    <t>-9.Al-8.2W</t>
  </si>
  <si>
    <t>Co-9.Al-8.2W-0.02B</t>
  </si>
  <si>
    <t>-9Al-8W-B</t>
  </si>
  <si>
    <t>Co-9Al-8.2W-0.02B</t>
  </si>
  <si>
    <t>Co-9Al-8.2W-0.02BShinagawa, K., Omori, T., Oikawa, K., Kainuma, R. &amp; Ishida, K. Ductility enhancement by boron addition in Co-Al-W high-temperature alloys. Scr. Mater. 61, 612–615 (2009).</t>
  </si>
  <si>
    <t>82.8Co-9.0Al-8.2W-0.02B</t>
  </si>
  <si>
    <t>-9.Al-8.2W-0.02B</t>
  </si>
  <si>
    <t>Co-9.3Al-10.4W</t>
  </si>
  <si>
    <t>-10.4W</t>
  </si>
  <si>
    <t>Co-9.3Al-10.4WShinagawa, K., Omori, T., Oikawa, K., Kainuma, R. &amp; Ishida, K. Ductility enhancement by boron addition in Co-Al-W high-temperature alloys. Scr. Mater. 61, 612–615 (2009).</t>
  </si>
  <si>
    <t>80.3Co-9.3Al-10.4W</t>
  </si>
  <si>
    <t>-9.3Al-10.4W</t>
  </si>
  <si>
    <t>Co-9.3Al-10.4W-0.02B</t>
  </si>
  <si>
    <t>Co-9.3Al-10.4W-0.02BShinagawa, K., Omori, T., Oikawa, K., Kainuma, R. &amp; Ishida, K. Ductility enhancement by boron addition in Co-Al-W high-temperature alloys. Scr. Mater. 61, 612–615 (2009).</t>
  </si>
  <si>
    <t>80.3Co-9.3Al-10.4W-0.02B</t>
  </si>
  <si>
    <t>-9.3Al-10.4W-0.02B</t>
  </si>
  <si>
    <t>Co-9.2Al-9.5W</t>
  </si>
  <si>
    <t>Co-9.2Al-9.5WShinagawa, K., Omori, T., Oikawa, K., Kainuma, R. &amp; Ishida, K. Ductility enhancement by boron addition in Co-Al-W high-temperature alloys. Scr. Mater. 61, 612–615 (2009).</t>
  </si>
  <si>
    <t>81.3Co-9.2Al-9.5W</t>
  </si>
  <si>
    <t>-9.2Al-9.5W</t>
  </si>
  <si>
    <t>Co-9.2Al-9.5W-0.02B</t>
  </si>
  <si>
    <t>Co-9.2Al-9.5W-0.02BShinagawa, K., Omori, T., Oikawa, K., Kainuma, R. &amp; Ishida, K. Ductility enhancement by boron addition in Co-Al-W high-temperature alloys. Scr. Mater. 61, 612–615 (2009).</t>
  </si>
  <si>
    <t>81.3Co-9.2Al-9.5W-0.02B</t>
  </si>
  <si>
    <t>-9.2Al-9.5W-0.02B</t>
  </si>
  <si>
    <t>Co-32.5Ni-11.7Al-3.3Cr-4.4W-1.5Ta</t>
  </si>
  <si>
    <t>-33Ni-12Al-3Cr-4W-2Ta</t>
  </si>
  <si>
    <t>2-6G</t>
  </si>
  <si>
    <t>Stewart, C. A., Murray, S. P., Suzuki, A., Pollock, T. M. &amp; Levi, C. G. Accelerated discovery of oxidation resistant CoNi-base γ/γ’ alloys with high L12 solvus and low density. Mater. Des. 189, (2020).</t>
  </si>
  <si>
    <t>-32.5Ni</t>
  </si>
  <si>
    <t>-3.3Cr</t>
  </si>
  <si>
    <t>2-6GStewart, C. A., Murray, S. P., Suzuki, A., Pollock, T. M. &amp; Levi, C. G. Accelerated discovery of oxidation resistant CoNi-base γ/γ’ alloys with high L12 solvus and low density. Mater. Des. 189, (2020).</t>
  </si>
  <si>
    <t>79.1Co-32.5Ni-11.7Al-3.3Cr-4.4W-1.5Ta</t>
  </si>
  <si>
    <t>-11.7Al-3.3Cr-4.4W-1.5Ta-32.5Ni</t>
  </si>
  <si>
    <t>Co-34.8Ni-14.Al-3.3Cr-4.4W-3.5Ta</t>
  </si>
  <si>
    <t>-35Ni-14Al-3Cr-4W-4Ta</t>
  </si>
  <si>
    <t>SB-CoNi-8</t>
  </si>
  <si>
    <t>-14.Al</t>
  </si>
  <si>
    <t>-34.8Ni</t>
  </si>
  <si>
    <t>SB-CoNi-8Stewart, C. A., Murray, S. P., Suzuki, A., Pollock, T. M. &amp; Levi, C. G. Accelerated discovery of oxidation resistant CoNi-base γ/γ’ alloys with high L12 solvus and low density. Mater. Des. 189, (2020).</t>
  </si>
  <si>
    <t>74.8Co-34.8Ni-14.0Al-3.3Cr-4.4W-3.5Ta</t>
  </si>
  <si>
    <t>-14.Al-3.3Cr-4.4W-3.5Ta-34.8Ni</t>
  </si>
  <si>
    <t>Co-35.2Ni-14.3Al-5.9Cr-1.W-3.2Ta</t>
  </si>
  <si>
    <t>-35Ni-14Al-6Cr-1W-3Ta</t>
  </si>
  <si>
    <t>SB-CoNi-9</t>
  </si>
  <si>
    <t>-14.3Al</t>
  </si>
  <si>
    <t>-35.2Ni</t>
  </si>
  <si>
    <t>-5.9Cr</t>
  </si>
  <si>
    <t>SB-CoNi-9Stewart, C. A., Murray, S. P., Suzuki, A., Pollock, T. M. &amp; Levi, C. G. Accelerated discovery of oxidation resistant CoNi-base γ/γ’ alloys with high L12 solvus and low density. Mater. Des. 189, (2020).</t>
  </si>
  <si>
    <t>75.6Co-35.2Ni-14.3Al-5.9Cr-1.0W-3.2Ta</t>
  </si>
  <si>
    <t>-14.3Al-5.9Cr-1.W-3.2Ta-35.2Ni</t>
  </si>
  <si>
    <t>Co-37.1Ni-13.1Al-5.5Cr-1.W-3.5Ta</t>
  </si>
  <si>
    <t>-37Ni-13Al-6Cr-1W-4Ta</t>
  </si>
  <si>
    <t>SB-CoNi-10</t>
  </si>
  <si>
    <t>-13.1Al</t>
  </si>
  <si>
    <t>-5.5Cr</t>
  </si>
  <si>
    <t>SB-CoNi-10Stewart, C. A., Murray, S. P., Suzuki, A., Pollock, T. M. &amp; Levi, C. G. Accelerated discovery of oxidation resistant CoNi-base γ/γ’ alloys with high L12 solvus and low density. Mater. Des. 189, (2020).</t>
  </si>
  <si>
    <t>76.9Co-37.1Ni-13.1Al-5.5Cr-1.0W-3.5Ta</t>
  </si>
  <si>
    <t>-13.1Al-5.5Cr-1.W-3.5Ta-37.1Ni</t>
  </si>
  <si>
    <t>Co-36.8Ni-13.3Al-5.8Cr-1.W-3.5Ta-0.Hf-0.06C-0.08B-0.Y</t>
  </si>
  <si>
    <t>-37Ni-13Al-6Cr-1W-4Ta-Hf-C-B-Y</t>
  </si>
  <si>
    <t>SB-CoNi-10+</t>
  </si>
  <si>
    <t>-5.8Cr</t>
  </si>
  <si>
    <t>-0.Y</t>
  </si>
  <si>
    <t>-0.Hf</t>
  </si>
  <si>
    <t>SB-CoNi-10+Stewart, C. A., Murray, S. P., Suzuki, A., Pollock, T. M. &amp; Levi, C. G. Accelerated discovery of oxidation resistant CoNi-base γ/γ’ alloys with high L12 solvus and low density. Mater. Des. 189, (2020).</t>
  </si>
  <si>
    <t>76.2Co-36.8Ni-13.3Al-5.8Cr-1.0W-3.5Ta-0.0Hf-0.06C-0.08B-0.0Y</t>
  </si>
  <si>
    <t>-13.3Al-5.8Cr-0.Y-1.W-3.5Ta-36.8Ni-0.06C-0.08B-0.Hf</t>
  </si>
  <si>
    <t>Suzuki, A. &amp; Pollock, T. M. High-temperature strength and deformation of γ/γ′ two-phase Co-Al-W-base alloys. Acta Mater. 56, 1288–1297 (2008).</t>
  </si>
  <si>
    <t>9WSuzuki, A. &amp; Pollock, T. M. High-temperature strength and deformation of γ/γ′ two-phase Co-Al-W-base alloys. Acta Mater. 56, 1288–1297 (2008).</t>
  </si>
  <si>
    <t>Co-7.8Al-4.5Cr-7.8W-2.Ta</t>
  </si>
  <si>
    <t>CrTa</t>
  </si>
  <si>
    <t>CrTaSuzuki, A. &amp; Pollock, T. M. High-temperature strength and deformation of γ/γ′ two-phase Co-Al-W-base alloys. Acta Mater. 56, 1288–1297 (2008).</t>
  </si>
  <si>
    <t>77.9Co-7.8Al-4.5Cr-7.8W-2.0Ta</t>
  </si>
  <si>
    <t>-7.8Al-4.5Cr-7.8W-2.Ta</t>
  </si>
  <si>
    <t>11W-SX</t>
  </si>
  <si>
    <t>11W-SXSuzuki, A. &amp; Pollock, T. M. High-temperature strength and deformation of γ/γ′ two-phase Co-Al-W-base alloys. Acta Mater. 56, 1288–1297 (2008).</t>
  </si>
  <si>
    <t>Co-8.8Al-9.8W</t>
  </si>
  <si>
    <t>2Ta-SX</t>
  </si>
  <si>
    <t>2Ta-SXSuzuki, A. &amp; Pollock, T. M. High-temperature strength and deformation of γ/γ′ two-phase Co-Al-W-base alloys. Acta Mater. 56, 1288–1297 (2008).</t>
  </si>
  <si>
    <t>81.4Co-8.8Al-9.8W</t>
  </si>
  <si>
    <t>-8.8Al-9.8W</t>
  </si>
  <si>
    <t>Co–9Al–9W</t>
  </si>
  <si>
    <t>Suzuki, A., DeNolf, G. C. &amp; Pollock, T. M. Flow stress anomalies in γ/γ′ two-phase Co-Al-W-base alloys. Scr. Mater. 56, 385–388 (2007).</t>
  </si>
  <si>
    <t>Co–9Al–9WSuzuki, A., DeNolf, G. C. &amp; Pollock, T. M. Flow stress anomalies in γ/γ′ two-phase Co-Al-W-base alloys. Scr. Mater. 56, 385–388 (2007).</t>
  </si>
  <si>
    <t>Co-9.Al-9.W-2.Ta</t>
  </si>
  <si>
    <t>Co–9Al–9W-2Ta</t>
  </si>
  <si>
    <t>Co–9Al–9W-2TaSuzuki, A., DeNolf, G. C. &amp; Pollock, T. M. Flow stress anomalies in γ/γ′ two-phase Co-Al-W-base alloys. Scr. Mater. 56, 385–388 (2007).</t>
  </si>
  <si>
    <t>80.0Co-9.0Al-9.0W-2.0Ta</t>
  </si>
  <si>
    <t>-9.Al-9.W-2.Ta</t>
  </si>
  <si>
    <t>Co-21.Ti</t>
  </si>
  <si>
    <t>-21Ti</t>
  </si>
  <si>
    <t>Co-21Ti</t>
  </si>
  <si>
    <t>Takasugi, T. HIGH TEMPERATURE STRENGTH AND DUCTILITY OF POLYCRYSTALLINE Co,Ti. Acro nferati vol. 33 (1985).</t>
  </si>
  <si>
    <t>-21.Ti</t>
  </si>
  <si>
    <t>Co-21TiTakasugi, T. HIGH TEMPERATURE STRENGTH AND DUCTILITY OF POLYCRYSTALLINE Co,Ti. Acro nferati vol. 33 (1985).</t>
  </si>
  <si>
    <t>79.0Co-21.0Ti</t>
  </si>
  <si>
    <t>Co-20.Ti</t>
  </si>
  <si>
    <t>-20Ti</t>
  </si>
  <si>
    <t>Co-20Ti</t>
  </si>
  <si>
    <t>-20.Ti</t>
  </si>
  <si>
    <t>Co-20TiTakasugi, T. HIGH TEMPERATURE STRENGTH AND DUCTILITY OF POLYCRYSTALLINE Co,Ti. Acro nferati vol. 33 (1985).</t>
  </si>
  <si>
    <t>80.0Co-20.0Ti</t>
  </si>
  <si>
    <t>Tanaka alloy 2</t>
  </si>
  <si>
    <t>Tanaka, K. &amp; Inui, H. Microstructural change of monocrystalline Co-Al-W-based γ/γ′ two phase alloys by high temperature creep. (2013).</t>
  </si>
  <si>
    <t>Tanaka alloy 2Tanaka, K. &amp; Inui, H. Microstructural change of monocrystalline Co-Al-W-based γ/γ′ two phase alloys by high temperature creep. (2013).</t>
  </si>
  <si>
    <t>79.0Co-9.0Al-10.0W-2.0Nb</t>
  </si>
  <si>
    <t>-9Al-8W-2Nb</t>
  </si>
  <si>
    <t>Tanaka alloy 3</t>
  </si>
  <si>
    <t>Tanaka alloy 3Tanaka, K. &amp; Inui, H. Microstructural change of monocrystalline Co-Al-W-based γ/γ′ two phase alloys by high temperature creep. (2013).</t>
  </si>
  <si>
    <t>81.0Co-9.0Al-8.0W-2.0Nb</t>
  </si>
  <si>
    <t>Co-20.Ni-9.Al-7.W-2.Ta</t>
  </si>
  <si>
    <t>-20Ni-9Al-7W-2Nb</t>
  </si>
  <si>
    <t>Tanaka alloy 4</t>
  </si>
  <si>
    <t>Tanaka alloy 4Tanaka, K. &amp; Inui, H. Microstructural change of monocrystalline Co-Al-W-based γ/γ′ two phase alloys by high temperature creep. (2013).</t>
  </si>
  <si>
    <t>82.0Co-20.0Ni-9.0Al-7.0W-2.0Nb</t>
  </si>
  <si>
    <t>-9.Al-7.W-2.Ta-20.Ni</t>
  </si>
  <si>
    <t>Tanaka alloy 1</t>
  </si>
  <si>
    <t>Tanaka, K., Ooshima, M., Tsuno, N., Sato, A. &amp; Inui, H. Creep deformation of single crystals of new Co-Al-W-based alloys with fcc/L1 2 two-phase microstructures. Philos. Mag. 92, 4011–4027 (2012).</t>
  </si>
  <si>
    <t>Tanaka alloy 1Tanaka, K., Ooshima, M., Tsuno, N., Sato, A. &amp; Inui, H. Creep deformation of single crystals of new Co-Al-W-based alloys with fcc/L1 2 two-phase microstructures. Philos. Mag. 92, 4011–4027 (2012).</t>
  </si>
  <si>
    <t>0.12B2Ti</t>
  </si>
  <si>
    <t>Technischen Fakultät der, D. &amp; Leonhard Klein, D.-I. High Temperature Oxidation and Electrochemical Studies on Novel Co-Base Superalloys (Hochtemperaturoxidation und elektrochemische Untersuchungen an neuartigen Co-Basis-Superlegierungen). (2013).</t>
  </si>
  <si>
    <t>0.12B2TiTechnischen Fakultät der, D. &amp; Leonhard Klein, D.-I. High Temperature Oxidation and Electrochemical Studies on Novel Co-Base Superalloys (Hochtemperaturoxidation und elektrochemische Untersuchungen an neuartigen Co-Basis-Superlegierungen). (2013).</t>
  </si>
  <si>
    <t>9WTechnischen Fakultät der, D. &amp; Leonhard Klein, D.-I. High Temperature Oxidation and Electrochemical Studies on Novel Co-Base Superalloys (Hochtemperaturoxidation und elektrochemische Untersuchungen an neuartigen Co-Basis-Superlegierungen). (2013).</t>
  </si>
  <si>
    <t>0.04BTechnischen Fakultät der, D. &amp; Leonhard Klein, D.-I. High Temperature Oxidation and Electrochemical Studies on Novel Co-Base Superalloys (Hochtemperaturoxidation und elektrochemische Untersuchungen an neuartigen Co-Basis-Superlegierungen). (2013).</t>
  </si>
  <si>
    <t>0.08B</t>
  </si>
  <si>
    <t>0.08BTechnischen Fakultät der, D. &amp; Leonhard Klein, D.-I. High Temperature Oxidation and Electrochemical Studies on Novel Co-Base Superalloys (Hochtemperaturoxidation und elektrochemische Untersuchungen an neuartigen Co-Basis-Superlegierungen). (2013).</t>
  </si>
  <si>
    <t>Co-8.8Al-9.3W-0.12B</t>
  </si>
  <si>
    <t>0.12BTechnischen Fakultät der, D. &amp; Leonhard Klein, D.-I. High Temperature Oxidation and Electrochemical Studies on Novel Co-Base Superalloys (Hochtemperaturoxidation und elektrochemische Untersuchungen an neuartigen Co-Basis-Superlegierungen). (2013).</t>
  </si>
  <si>
    <t>81.8Co-8.8Al-9.3W-0.12B</t>
  </si>
  <si>
    <t>-8.8Al-9.3W-0.12B</t>
  </si>
  <si>
    <t>Co-8.6Al-4.1Cr-9.5W-0.04B</t>
  </si>
  <si>
    <t>-9Al-4Cr-10W-B</t>
  </si>
  <si>
    <t>0.04B4Cr</t>
  </si>
  <si>
    <t>0.04B4CrTechnischen Fakultät der, D. &amp; Leonhard Klein, D.-I. High Temperature Oxidation and Electrochemical Studies on Novel Co-Base Superalloys (Hochtemperaturoxidation und elektrochemische Untersuchungen an neuartigen Co-Basis-Superlegierungen). (2013).</t>
  </si>
  <si>
    <t>77.8Co-8.6Al-4.1Cr-9.5W-0.04B</t>
  </si>
  <si>
    <t>-8.6Al-4.1Cr-9.5W-0.04B</t>
  </si>
  <si>
    <t>Co-8.7Al-8.2Cr-9.3W-0.04B</t>
  </si>
  <si>
    <t>-9Al-8Cr-9W-B</t>
  </si>
  <si>
    <t>0.04B8Cr</t>
  </si>
  <si>
    <t>0.04B8CrTechnischen Fakultät der, D. &amp; Leonhard Klein, D.-I. High Temperature Oxidation and Electrochemical Studies on Novel Co-Base Superalloys (Hochtemperaturoxidation und elektrochemische Untersuchungen an neuartigen Co-Basis-Superlegierungen). (2013).</t>
  </si>
  <si>
    <t>73.8Co-8.7Al-8.2Cr-9.3W-0.04B</t>
  </si>
  <si>
    <t>-8.7Al-8.2Cr-9.3W-0.04B</t>
  </si>
  <si>
    <t>Co-9.3Ni-9.6Al-9.6W-0.12B</t>
  </si>
  <si>
    <t>-9Ni-10Al-10W-B</t>
  </si>
  <si>
    <t>0.12B9Ni</t>
  </si>
  <si>
    <t>-9.3Ni</t>
  </si>
  <si>
    <t>0.12B9NiTechnischen Fakultät der, D. &amp; Leonhard Klein, D.-I. High Temperature Oxidation and Electrochemical Studies on Novel Co-Base Superalloys (Hochtemperaturoxidation und elektrochemische Untersuchungen an neuartigen Co-Basis-Superlegierungen). (2013).</t>
  </si>
  <si>
    <t>80.7Co-9.3Ni-9.6Al-9.6W-0.12B</t>
  </si>
  <si>
    <t>-9.6Al-9.6W-9.3Ni-0.12B</t>
  </si>
  <si>
    <t>Co-18.Ni-9.2Al-9.6W-0.12B</t>
  </si>
  <si>
    <t>-18Ni-9Al-10W-B</t>
  </si>
  <si>
    <t>0.12B18Ni</t>
  </si>
  <si>
    <t>0.12B18NiTechnischen Fakultät der, D. &amp; Leonhard Klein, D.-I. High Temperature Oxidation and Electrochemical Studies on Novel Co-Base Superalloys (Hochtemperaturoxidation und elektrochemische Untersuchungen an neuartigen Co-Basis-Superlegierungen). (2013).</t>
  </si>
  <si>
    <t>81.1Co-18.0Ni-9.2Al-9.6W-0.12B</t>
  </si>
  <si>
    <t>-9.2Al-9.6W-18.Ni-0.12B</t>
  </si>
  <si>
    <t>Co-8.1Al-9.4W-2.3Si-0.12B</t>
  </si>
  <si>
    <t>-8Al-9W-Si-B</t>
  </si>
  <si>
    <t>0.12B2Si</t>
  </si>
  <si>
    <t>0.12B2SiTechnischen Fakultät der, D. &amp; Leonhard Klein, D.-I. High Temperature Oxidation and Electrochemical Studies on Novel Co-Base Superalloys (Hochtemperaturoxidation und elektrochemische Untersuchungen an neuartigen Co-Basis-Superlegierungen). (2013).</t>
  </si>
  <si>
    <t>80.1Co-8.1Al-9.4W-2.3Si-0.12B</t>
  </si>
  <si>
    <t>-8.1Al-9.4W-2.3Si-0.12B</t>
  </si>
  <si>
    <t>Co-7.9Al-9.2W-0.12B-0.Y</t>
  </si>
  <si>
    <t>-8Al-9W-B-Y</t>
  </si>
  <si>
    <t>0.12B0.005Y</t>
  </si>
  <si>
    <t>0.12B0.005YTechnischen Fakultät der, D. &amp; Leonhard Klein, D.-I. High Temperature Oxidation and Electrochemical Studies on Novel Co-Base Superalloys (Hochtemperaturoxidation und elektrochemische Untersuchungen an neuartigen Co-Basis-Superlegierungen). (2013).</t>
  </si>
  <si>
    <t>82.8Co-7.9Al-9.2W-0.12B-0.0Y</t>
  </si>
  <si>
    <t>-7.9Al-0.Y-9.2W-0.12B</t>
  </si>
  <si>
    <t>Co-38.Ni-9.3Al-6.4Cr-6.9W-1.4Ta</t>
  </si>
  <si>
    <t>-38Ni-9Al-6Cr-7W-1Ta</t>
  </si>
  <si>
    <t>CoNi-C-2</t>
  </si>
  <si>
    <t>Titus, M. S. et al. High resolution energy dispersive spectroscopy mapping of planar defects in L12-containing Co-base superalloys. Acta Mater. 89, 423–437 (2015).</t>
  </si>
  <si>
    <t>-38.Ni</t>
  </si>
  <si>
    <t>CoNi-C-2Titus, M. S. et al. High resolution energy dispersive spectroscopy mapping of planar defects in L12-containing Co-base superalloys. Acta Mater. 89, 423–437 (2015).</t>
  </si>
  <si>
    <t>76.0Co-38.0Ni-9.3Al-6.4Cr-6.9W-1.4Ta</t>
  </si>
  <si>
    <t>-9.3Al-6.4Cr-6.9W-1.4Ta-38.Ni</t>
  </si>
  <si>
    <t>Co-38.Ni-11.2Al-6.5W-2.8Ta</t>
  </si>
  <si>
    <t>-38Ni-11Al-7W-3Ta</t>
  </si>
  <si>
    <t>CoNi-C</t>
  </si>
  <si>
    <t>Titus, M. S., Eggeler, Y. M., Suzuki, A. &amp; Pollock, T. M. Creep-induced planar defects in L12-containing Co- and CoNi-base single-crystal superalloys. Acta Mater. 82, 530–539 (2015)</t>
  </si>
  <si>
    <t>CoNi-CTitus, M. S., Eggeler, Y. M., Suzuki, A. &amp; Pollock, T. M. Creep-induced planar defects in L12-containing Co- and CoNi-base single-crystal superalloys. Acta Mater. 82, 530–539 (2015)</t>
  </si>
  <si>
    <t>79.5Co-38.0Ni-11.2Al-6.5W-2.8Ta</t>
  </si>
  <si>
    <t>-11.2Al-6.5W-2.8Ta-38.Ni</t>
  </si>
  <si>
    <t>Co-29.2Ni-9.8Al-6.4Cr-6.3W-2.4Ta-0.14C-0.02B</t>
  </si>
  <si>
    <t>-29Ni-10Al-6Cr-6W-2Ta-C-B</t>
  </si>
  <si>
    <t>Titus, M. S., Suzuki, A. &amp; Pollock, T. M. Creep and directional coarsening in single crystals of new γ-γ′ Cobalt-base alloys. Scr. Mater. 66, 574–577 (2012).</t>
  </si>
  <si>
    <t>-0.14C</t>
  </si>
  <si>
    <t>CoNi-ATitus, M. S., Suzuki, A. &amp; Pollock, T. M. Creep and directional coarsening in single crystals of new γ-γ′ Cobalt-base alloys. Scr. Mater. 66, 574–577 (2012).</t>
  </si>
  <si>
    <t>74.9Co-29.2Ni-9.8Al-6.4Cr-6.3W-2.4Ta-0.14C-0.02B</t>
  </si>
  <si>
    <t>-9.8Al-6.4Cr-6.3W-2.4Ta-29.2Ni-0.14C-0.02B</t>
  </si>
  <si>
    <t>Co-29.2Ni-9.8Al-6.3Cr-6.3W-2.4Ta</t>
  </si>
  <si>
    <t>CoNi-A+</t>
  </si>
  <si>
    <t>-6.3Cr</t>
  </si>
  <si>
    <t>CoNi-A+Titus, M. S., Suzuki, A. &amp; Pollock, T. M. Creep and directional coarsening in single crystals of new γ-γ′ Cobalt-base alloys. Scr. Mater. 66, 574–577 (2012).</t>
  </si>
  <si>
    <t>75.2Co-29.2Ni-9.8Al-6.3Cr-6.3W-2.4Ta</t>
  </si>
  <si>
    <t>-9.8Al-6.3Cr-6.3W-2.4Ta-29.2Ni</t>
  </si>
  <si>
    <t>Co-28.2Ni-8.8Al-10.1Cr-6.3W-2.1Ta</t>
  </si>
  <si>
    <t>-28Ni-9Al-10Cr-6W-2Ta</t>
  </si>
  <si>
    <t>CoNi-B</t>
  </si>
  <si>
    <t>-28.2Ni</t>
  </si>
  <si>
    <t>-10.1Cr</t>
  </si>
  <si>
    <t>CoNi-BTitus, M. S., Suzuki, A. &amp; Pollock, T. M. Creep and directional coarsening in single crystals of new γ-γ′ Cobalt-base alloys. Scr. Mater. 66, 574–577 (2012).</t>
  </si>
  <si>
    <t>72.7Co-28.2Ni-8.8Al-10.1Cr-6.3W-2.1Ta</t>
  </si>
  <si>
    <t>-8.8Al-10.1Cr-6.3W-2.1Ta-28.2Ni</t>
  </si>
  <si>
    <t>Co-38.Ni-9.3Al-6.3Cr-6.9W-1.4Ta</t>
  </si>
  <si>
    <t>CoNi-CTitus, M. S., Suzuki, A. &amp; Pollock, T. M. Creep and directional coarsening in single crystals of new γ-γ′ Cobalt-base alloys. Scr. Mater. 66, 574–577 (2012).</t>
  </si>
  <si>
    <t>76.1Co-38.0Ni-9.3Al-6.3Cr-6.9W-1.4Ta</t>
  </si>
  <si>
    <t>-9.3Al-6.3Cr-6.9W-1.4Ta-38.Ni</t>
  </si>
  <si>
    <t>Co-30.7Ni-9.6Al-6.2Cr-4.8W-1.9Ta-2.Mo</t>
  </si>
  <si>
    <t>-31Ni-10Al-6Cr-5W-2Ta-2Mo</t>
  </si>
  <si>
    <t>CoNi-D</t>
  </si>
  <si>
    <t>CoNi-DTitus, M. S., Suzuki, A. &amp; Pollock, T. M. Creep and directional coarsening in single crystals of new γ-γ′ Cobalt-base alloys. Scr. Mater. 66, 574–577 (2012).</t>
  </si>
  <si>
    <t>75.5Co-30.7Ni-9.6Al-6.2Cr-4.8W-1.9Ta-2.0Mo</t>
  </si>
  <si>
    <t>-9.6Al-6.2Cr-4.8W-1.9Ta-30.7Ni-2.Mo</t>
  </si>
  <si>
    <t>Co-16.9Al-3.2W-11.7Ti</t>
  </si>
  <si>
    <t>-17Al-3W-12Ti</t>
  </si>
  <si>
    <t>10Ti</t>
  </si>
  <si>
    <t>TMS. 2016_Book_TMS2014143rdAnnualMeetingExhib: THE ROLE OF Ti ON REDUCING THE MISFIT OF A Co-AI-W ALLOY. (2014).</t>
  </si>
  <si>
    <t>-16.9Al</t>
  </si>
  <si>
    <t>-11.7Ti</t>
  </si>
  <si>
    <t>10TiTMS. 2016_Book_TMS2014143rdAnnualMeetingExhib: THE ROLE OF Ti ON REDUCING THE MISFIT OF A Co-AI-W ALLOY. (2014).</t>
  </si>
  <si>
    <t>68.3Co-16.9Al-3.2W-11.7Ti</t>
  </si>
  <si>
    <t>-16.9Al-3.2W-11.7Ti</t>
  </si>
  <si>
    <t>Co-16.9Al-3.2W-9.4Ti</t>
  </si>
  <si>
    <t>-17Al-3W-9Ti</t>
  </si>
  <si>
    <t>8Ti</t>
  </si>
  <si>
    <t>-9.4Ti</t>
  </si>
  <si>
    <t>8TiTMS. 2016_Book_TMS2014143rdAnnualMeetingExhib: THE ROLE OF Ti ON REDUCING THE MISFIT OF A Co-AI-W ALLOY. (2014).</t>
  </si>
  <si>
    <t>70.5Co-16.9Al-3.2W-9.4Ti</t>
  </si>
  <si>
    <t>-16.9Al-3.2W-9.4Ti</t>
  </si>
  <si>
    <t>Co-17.Al-3.2W-7.1Ti</t>
  </si>
  <si>
    <t>-17Al-3W-7Ti</t>
  </si>
  <si>
    <t>6Tii</t>
  </si>
  <si>
    <t>-17.Al</t>
  </si>
  <si>
    <t>-7.1Ti</t>
  </si>
  <si>
    <t>6TiiTMS. 2016_Book_TMS2014143rdAnnualMeetingExhib: THE ROLE OF Ti ON REDUCING THE MISFIT OF A Co-AI-W ALLOY. (2014).</t>
  </si>
  <si>
    <t>72.7Co-17.0Al-3.2W-7.1Ti</t>
  </si>
  <si>
    <t>-17.Al-3.2W-7.1Ti</t>
  </si>
  <si>
    <t>Co-17.1Al-3.2W-3.6Ti</t>
  </si>
  <si>
    <t>-17Al-3W-4Ti</t>
  </si>
  <si>
    <t>-17.1Al</t>
  </si>
  <si>
    <t>-3.6Ti</t>
  </si>
  <si>
    <t>3TiTMS. 2016_Book_TMS2014143rdAnnualMeetingExhib: THE ROLE OF Ti ON REDUCING THE MISFIT OF A Co-AI-W ALLOY. (2014).</t>
  </si>
  <si>
    <t>76.1Co-17.1Al-3.2W-3.6Ti</t>
  </si>
  <si>
    <t>-17.1Al-3.2W-3.6Ti</t>
  </si>
  <si>
    <t>Co-17.2Al-3.2W-1.2Ti</t>
  </si>
  <si>
    <t>-17Al-3W-1Ti</t>
  </si>
  <si>
    <t>1Ti</t>
  </si>
  <si>
    <t>-17.2Al</t>
  </si>
  <si>
    <t>-1.2Ti</t>
  </si>
  <si>
    <t>1TiTMS. 2016_Book_TMS2014143rdAnnualMeetingExhib: THE ROLE OF Ti ON REDUCING THE MISFIT OF A Co-AI-W ALLOY. (2014).</t>
  </si>
  <si>
    <t>78.4Co-17.2Al-3.2W-1.2Ti</t>
  </si>
  <si>
    <t>-17.2Al-3.2W-1.2Ti</t>
  </si>
  <si>
    <t>Co-17.3Al-3.2W</t>
  </si>
  <si>
    <t>-17Al-3W</t>
  </si>
  <si>
    <t>0Ti</t>
  </si>
  <si>
    <t>-17.3Al</t>
  </si>
  <si>
    <t>0TiTMS. 2016_Book_TMS2014143rdAnnualMeetingExhib: THE ROLE OF Ti ON REDUCING THE MISFIT OF A Co-AI-W ALLOY. (2014).</t>
  </si>
  <si>
    <t>79.5Co-17.3Al-3.2W</t>
  </si>
  <si>
    <t>-17.3Al-3.2W</t>
  </si>
  <si>
    <t>Co-8.5Al-2.Nb-4.6Mo</t>
  </si>
  <si>
    <t>-9Al-2Nb-5Mo</t>
  </si>
  <si>
    <t>Co-10Al-5Mo-2Nb</t>
  </si>
  <si>
    <t>Tomaszewska, A., Mikuszewski, T., Moskal, G. &amp; Migas, D. Primary microstructure, microsegregation and precipitates characterization of an as-cast new type γ-γ′ Co-Al-Mo-Nb cobalt-based superalloy. J. Alloys Compd. 750, 741–749 (2018).</t>
  </si>
  <si>
    <t>Co-10Al-5Mo-2NbTomaszewska, A., Mikuszewski, T., Moskal, G. &amp; Migas, D. Primary microstructure, microsegregation and precipitates characterization of an as-cast new type γ-γ′ Co-Al-Mo-Nb cobalt-based superalloy. J. Alloys Compd. 750, 741–749 (2018).</t>
  </si>
  <si>
    <t>84.9Co-8.5Al-2.0Nb-4.6Mo</t>
  </si>
  <si>
    <t>-8.5Al-4.6Mo-2.Nb</t>
  </si>
  <si>
    <t>Co-9.1Al-9.2W</t>
  </si>
  <si>
    <t>Co-9Al-9W</t>
  </si>
  <si>
    <t>Tomaszewska, A., Moskal, G., Migas, D., Mikuśkiewicz, M. &amp; Maciąg, T. Thermal parameters determination of Co–Al–W as-cast alloy homogenization by DTA analysis. J. Therm. Anal. Calorim. 134, 157–164 (2018).</t>
  </si>
  <si>
    <t>Co-9Al-9WTomaszewska, A., Moskal, G., Migas, D., Mikuśkiewicz, M. &amp; Maciąg, T. Thermal parameters determination of Co–Al–W as-cast alloy homogenization by DTA analysis. J. Therm. Anal. Calorim. 134, 157–164 (2018).</t>
  </si>
  <si>
    <t>81.7Co-9.1Al-9.2W</t>
  </si>
  <si>
    <t>-9.1Al-9.2W</t>
  </si>
  <si>
    <t>Co-6.Ti</t>
  </si>
  <si>
    <t>-6Ti</t>
  </si>
  <si>
    <t>Co-6Ti</t>
  </si>
  <si>
    <t>ur Rehman, H. &amp; Rehman, H. Solid solution strengthening and diffusion in nickel- and cobalt-based superalloys. (2016).</t>
  </si>
  <si>
    <t>diffusion couple</t>
  </si>
  <si>
    <t>Co-6Tiur Rehman, H. &amp; Rehman, H. Solid solution strengthening and diffusion in nickel- and cobalt-based superalloys. (2016).</t>
  </si>
  <si>
    <t>94.0Co-6.0Ti</t>
  </si>
  <si>
    <t>Co-6.Al</t>
  </si>
  <si>
    <t>-6Al</t>
  </si>
  <si>
    <t>Co-6Al</t>
  </si>
  <si>
    <t>Co-6Alur Rehman, H. &amp; Rehman, H. Solid solution strengthening and diffusion in nickel- and cobalt-based superalloys. (2016).</t>
  </si>
  <si>
    <t>94.0Co-6.0Al</t>
  </si>
  <si>
    <t>Co-6.V</t>
  </si>
  <si>
    <t>-6V</t>
  </si>
  <si>
    <t>Co-6V</t>
  </si>
  <si>
    <t>Co-6Vur Rehman, H. &amp; Rehman, H. Solid solution strengthening and diffusion in nickel- and cobalt-based superalloys. (2016).</t>
  </si>
  <si>
    <t>94.0Co-6.0V</t>
  </si>
  <si>
    <t>Co-6.Cr</t>
  </si>
  <si>
    <t>-6Cr</t>
  </si>
  <si>
    <t>Co-6Cr</t>
  </si>
  <si>
    <t>Co-6Crur Rehman, H. &amp; Rehman, H. Solid solution strengthening and diffusion in nickel- and cobalt-based superalloys. (2016).</t>
  </si>
  <si>
    <t>94.0Co-6.0Cr</t>
  </si>
  <si>
    <t>Co-6.Mn</t>
  </si>
  <si>
    <t>-6Mn</t>
  </si>
  <si>
    <t>Co-6Mn</t>
  </si>
  <si>
    <t>-6.Mn</t>
  </si>
  <si>
    <t>Co-6Mnur Rehman, H. &amp; Rehman, H. Solid solution strengthening and diffusion in nickel- and cobalt-based superalloys. (2016).</t>
  </si>
  <si>
    <t>94.0Co-6.0Mn</t>
  </si>
  <si>
    <t>Co-6.Fe</t>
  </si>
  <si>
    <t>-6Fe</t>
  </si>
  <si>
    <t>Co-6Fe</t>
  </si>
  <si>
    <t>-6.Fe</t>
  </si>
  <si>
    <t>Co-6Feur Rehman, H. &amp; Rehman, H. Solid solution strengthening and diffusion in nickel- and cobalt-based superalloys. (2016).</t>
  </si>
  <si>
    <t>94.0Co-6.0Fe</t>
  </si>
  <si>
    <t>Co-3.Nb</t>
  </si>
  <si>
    <t>-3Nb</t>
  </si>
  <si>
    <t>Co-3Nb</t>
  </si>
  <si>
    <t>Co-3Nbur Rehman, H. &amp; Rehman, H. Solid solution strengthening and diffusion in nickel- and cobalt-based superalloys. (2016).</t>
  </si>
  <si>
    <t>97.0Co-3.0Nb</t>
  </si>
  <si>
    <t>Co-6.Mo</t>
  </si>
  <si>
    <t>-6Mo</t>
  </si>
  <si>
    <t>Co-6Mo</t>
  </si>
  <si>
    <t>Co-6Mour Rehman, H. &amp; Rehman, H. Solid solution strengthening and diffusion in nickel- and cobalt-based superalloys. (2016).</t>
  </si>
  <si>
    <t>94.0Co-6.0Mo</t>
  </si>
  <si>
    <t>Co-6.Ru</t>
  </si>
  <si>
    <t>-6Ru</t>
  </si>
  <si>
    <t>Co-6Ru</t>
  </si>
  <si>
    <t>-6.Ru</t>
  </si>
  <si>
    <t>Co-6Ruur Rehman, H. &amp; Rehman, H. Solid solution strengthening and diffusion in nickel- and cobalt-based superalloys. (2016).</t>
  </si>
  <si>
    <t>94.0Co-6.0Ru</t>
  </si>
  <si>
    <t>Co-4.Ta</t>
  </si>
  <si>
    <t>Co-4Ta</t>
  </si>
  <si>
    <t>Co-4Taur Rehman, H. &amp; Rehman, H. Solid solution strengthening and diffusion in nickel- and cobalt-based superalloys. (2016).</t>
  </si>
  <si>
    <t>96.0Co-4.0Ta</t>
  </si>
  <si>
    <t>Co-6.Re</t>
  </si>
  <si>
    <t>-6Re</t>
  </si>
  <si>
    <t>Co-6Re</t>
  </si>
  <si>
    <t>-6.Re</t>
  </si>
  <si>
    <t>Co-6Reur Rehman, H. &amp; Rehman, H. Solid solution strengthening and diffusion in nickel- and cobalt-based superalloys. (2016).</t>
  </si>
  <si>
    <t>94.0Co-6.0Re</t>
  </si>
  <si>
    <t>Co-20.Ni-8.Al-6.Cr-5.W-2.5Ti-1.5Ta-0.4Si-0.1Hf</t>
  </si>
  <si>
    <t>Volz, N. et al. Thermophysical and Mechanical Properties of Advanced Single Crystalline Co-base Superalloys. Metall. Mater. Trans. A Phys. Metall. Mater. Sci. 49, 4099–4109 (2018).</t>
  </si>
  <si>
    <t>ERBOCo-0Volz, N. et al. Thermophysical and Mechanical Properties of Advanced Single Crystalline Co-base Superalloys. Metall. Mater. Trans. A Phys. Metall. Mater. Sci. 49, 4099–4109 (2018).</t>
  </si>
  <si>
    <t>76.5Co-20.0Ni-8.0Al-6.0Cr-5.0W-2.5Ti-1.5Ta-0.4Si-0.1Hf</t>
  </si>
  <si>
    <t>-8.Al-6.Cr-5.W-1.5Ta-20.Ni-2.5Ti-0.4Si-0.1Hf</t>
  </si>
  <si>
    <t>Co-32.Ni-8.Al-6.Cr-5.W-2.5Ti-1.5Ta-0.4Si-0.1Hf</t>
  </si>
  <si>
    <t>-32Ni-8Al-6Cr-5W-3Ti-2Ta-Si-Hf</t>
  </si>
  <si>
    <t>ERBOCo-1</t>
  </si>
  <si>
    <t>ERBOCo-1Volz, N. et al. Thermophysical and Mechanical Properties of Advanced Single Crystalline Co-base Superalloys. Metall. Mater. Trans. A Phys. Metall. Mater. Sci. 49, 4099–4109 (2018).</t>
  </si>
  <si>
    <t>76.5Co-32.0Ni-8.0Al-6.0Cr-5.0W-2.5Ti-1.5Ta-0.4Si-0.1Hf</t>
  </si>
  <si>
    <t>-8.Al-6.Cr-5.W-1.5Ta-32.Ni-2.5Ti-0.4Si-0.1Hf</t>
  </si>
  <si>
    <t>Co-32.Ni-8.Al-6.Cr-5.W-2.5Ti-1.5Ta-1.Re-0.4Si-0.1Hf</t>
  </si>
  <si>
    <t>-32Ni-8Al-6Cr-5W-3Ti-2Ta-1Re-Si-Hf</t>
  </si>
  <si>
    <t>ERBOCo-3</t>
  </si>
  <si>
    <t>ERBOCo-3Volz, N. et al. Thermophysical and Mechanical Properties of Advanced Single Crystalline Co-base Superalloys. Metall. Mater. Trans. A Phys. Metall. Mater. Sci. 49, 4099–4109 (2018).</t>
  </si>
  <si>
    <t>75.5Co-32.0Ni-8.0Al-6.0Cr-5.0W-2.5Ti-1.5Ta-1.0Re-0.4Si-0.1Hf</t>
  </si>
  <si>
    <t>-8.Al-6.Cr-5.W-1.5Ta-32.Ni-2.5Ti-1.Re-0.4Si-0.1Hf</t>
  </si>
  <si>
    <t>Co-32.Ni-8.Al-6.Cr-5.7W-2.5Ti-1.8Ta-0.4Si-0.1Hf</t>
  </si>
  <si>
    <t>-32Ni-8Al-6Cr-6W-3Ti-2Ta-Si-Hf</t>
  </si>
  <si>
    <t>ERBOCo-4</t>
  </si>
  <si>
    <t>ERBOCo-4Volz, N. et al. Thermophysical and Mechanical Properties of Advanced Single Crystalline Co-base Superalloys. Metall. Mater. Trans. A Phys. Metall. Mater. Sci. 49, 4099–4109 (2018).</t>
  </si>
  <si>
    <t>75.5Co-32.0Ni-8.0Al-6.0Cr-5.7W-2.5Ti-1.8Ta-0.4Si-0.1Hf</t>
  </si>
  <si>
    <t>-8.Al-6.Cr-5.7W-1.8Ta-32.Ni-2.5Ti-0.4Si-0.1Hf</t>
  </si>
  <si>
    <t>Co-9.9Al-4.8W</t>
  </si>
  <si>
    <t>-10Al-5W</t>
  </si>
  <si>
    <t>Co-10Al-5W-2Ta</t>
  </si>
  <si>
    <t>Vorontsov, V. A. et al. Coarsening behaviour and interfacial structure of γ′ precipitates in Co-Al-W based superalloys. Acta Mater. 120, 14–23 (2016).</t>
  </si>
  <si>
    <t>Co-10Al-5W-2TaVorontsov, V. A. et al. Coarsening behaviour and interfacial structure of γ′ precipitates in Co-Al-W based superalloys. Acta Mater. 120, 14–23 (2016).</t>
  </si>
  <si>
    <t>85.3Co-9.9Al-4.8W</t>
  </si>
  <si>
    <t>-9.9Al-4.8W</t>
  </si>
  <si>
    <t>Co-20.2Ni-7.3Al-7.W</t>
  </si>
  <si>
    <t>-20Ni-7Al-7W</t>
  </si>
  <si>
    <t>Co-7Al-7W-20Ni</t>
  </si>
  <si>
    <t>Co-7Al-7W-20NiVorontsov, V. A. et al. Coarsening behaviour and interfacial structure of γ′ precipitates in Co-Al-W based superalloys. Acta Mater. 120, 14–23 (2016).</t>
  </si>
  <si>
    <t>85.7Co-20.2Ni-7.3Al-7.0W</t>
  </si>
  <si>
    <t>-7.3Al-7.W-20.2Ni</t>
  </si>
  <si>
    <t>Co-9.Al-9.W-2.Ti</t>
  </si>
  <si>
    <t>-9Al-9W-2Ti</t>
  </si>
  <si>
    <t>Co-9Al-9W-2Ti</t>
  </si>
  <si>
    <t>Wang, L. et al. Microstructure, phase stability and element partitioning of γ-γ′ Co-9Al-9W-2X alloys in different annealing conditions. J. Alloys Compd. 787, 594–605 (2019).</t>
  </si>
  <si>
    <t>Co-9Al-9W-2TiWang, L. et al. Microstructure, phase stability and element partitioning of γ-γ′ Co-9Al-9W-2X alloys in different annealing conditions. J. Alloys Compd. 787, 594–605 (2019).</t>
  </si>
  <si>
    <t>80.0Co-9.0Al-9.0W-2.0Ti</t>
  </si>
  <si>
    <t>-9.Al-9.W-2.Ti</t>
  </si>
  <si>
    <t>Co-9Al-9WWang, L. et al. Microstructure, phase stability and element partitioning of γ-γ′ Co-9Al-9W-2X alloys in different annealing conditions. J. Alloys Compd. 787, 594–605 (2019).</t>
  </si>
  <si>
    <t>Co-9.Al-2.Cr-9.W</t>
  </si>
  <si>
    <t>-9Al-2Cr-9W</t>
  </si>
  <si>
    <t>Co-9Al-9W-2Cr</t>
  </si>
  <si>
    <t>Co-9Al-9W-2CrWang, L. et al. Microstructure, phase stability and element partitioning of γ-γ′ Co-9Al-9W-2X alloys in different annealing conditions. J. Alloys Compd. 787, 594–605 (2019).</t>
  </si>
  <si>
    <t>80.0Co-9.0Al-2.0Cr-9.0W</t>
  </si>
  <si>
    <t>-9.Al-2.Cr-9.W</t>
  </si>
  <si>
    <t>Co-2.Ni-9.Al-9.W</t>
  </si>
  <si>
    <t>-2Ni-9Al-9W</t>
  </si>
  <si>
    <t>Co-9Al-9W-2Ni</t>
  </si>
  <si>
    <t>Co-9Al-9W-2NiWang, L. et al. Microstructure, phase stability and element partitioning of γ-γ′ Co-9Al-9W-2X alloys in different annealing conditions. J. Alloys Compd. 787, 594–605 (2019).</t>
  </si>
  <si>
    <t>82.0Co-2.0Ni-9.0Al-9.0W</t>
  </si>
  <si>
    <t>-9.Al-9.W-2.Ni</t>
  </si>
  <si>
    <t>Co-9.Al-9.W-2.Mo</t>
  </si>
  <si>
    <t>-9Al-9W-2Mo</t>
  </si>
  <si>
    <t>Co-9Al-9W-2Mo</t>
  </si>
  <si>
    <t>Co-9Al-9W-2MoWang, L. et al. Microstructure, phase stability and element partitioning of γ-γ′ Co-9Al-9W-2X alloys in different annealing conditions. J. Alloys Compd. 787, 594–605 (2019).</t>
  </si>
  <si>
    <t>80.0Co-9.0Al-9.0W-2.0Mo</t>
  </si>
  <si>
    <t>-9.Al-9.W-2.Mo</t>
  </si>
  <si>
    <t>Co-9.Al-9.W-2.Si</t>
  </si>
  <si>
    <t>-9Al-9W-Si</t>
  </si>
  <si>
    <t>Co-9Al-9W-2Si</t>
  </si>
  <si>
    <t>Co-9Al-9W-2SiWang, L. et al. Microstructure, phase stability and element partitioning of γ-γ′ Co-9Al-9W-2X alloys in different annealing conditions. J. Alloys Compd. 787, 594–605 (2019).</t>
  </si>
  <si>
    <t>80.0Co-9.0Al-9.0W-2.0Si</t>
  </si>
  <si>
    <t>-9.Al-9.W-2.Si</t>
  </si>
  <si>
    <t>Co-9.Al-9.W-2.V</t>
  </si>
  <si>
    <t>-9Al-9W-2V</t>
  </si>
  <si>
    <t>Co-9Al-9W-2V</t>
  </si>
  <si>
    <t>Co-9Al-9W-2VWang, L. et al. Microstructure, phase stability and element partitioning of γ-γ′ Co-9Al-9W-2X alloys in different annealing conditions. J. Alloys Compd. 787, 594–605 (2019).</t>
  </si>
  <si>
    <t>80.0Co-9.0Al-9.0W-2.0V</t>
  </si>
  <si>
    <t>-9.Al-9.W-2.V</t>
  </si>
  <si>
    <t>Co-9.Al-9.W-2.Nb</t>
  </si>
  <si>
    <t>-9Al-9W-2Nb</t>
  </si>
  <si>
    <t>Co-9Al-9W-2Nb</t>
  </si>
  <si>
    <t>Co-9Al-9W-2NbWang, L. et al. Microstructure, phase stability and element partitioning of γ-γ′ Co-9Al-9W-2X alloys in different annealing conditions. J. Alloys Compd. 787, 594–605 (2019).</t>
  </si>
  <si>
    <t>80.0Co-9.0Al-9.0W-2.0Nb</t>
  </si>
  <si>
    <t>-9.Al-9.W-2.Nb</t>
  </si>
  <si>
    <t>Co-9Al-9W-2Ta</t>
  </si>
  <si>
    <t>Co-9Al-9W-2TaWang, L. et al. Microstructure, phase stability and element partitioning of γ-γ′ Co-9Al-9W-2X alloys in different annealing conditions. J. Alloys Compd. 787, 594–605 (2019).</t>
  </si>
  <si>
    <t>Co-15.Ni-4.Al-5.Cr-15.W-8.Ta</t>
  </si>
  <si>
    <t>-15Ni-4Al-5Cr-15W-8Ta</t>
  </si>
  <si>
    <t>Wang alloy 1</t>
  </si>
  <si>
    <t>Wang, S. Y. et al. Investigation on microstructure and mechanical properties of a vacuum brazed joint of γ′-strengthened Co-based single crystal superalloy before and after the post-bond heat treatment. Vacuum 177, (2020).</t>
  </si>
  <si>
    <t>-4.Al</t>
  </si>
  <si>
    <t>-15.W</t>
  </si>
  <si>
    <t>Wang alloy 1Wang, S. Y. et al. Investigation on microstructure and mechanical properties of a vacuum brazed joint of γ′-strengthened Co-based single crystal superalloy before and after the post-bond heat treatment. Vacuum 177, (2020).</t>
  </si>
  <si>
    <t>68.0Co-15.0Ni-4.0Al-5.0Cr-15.0W-8.0Ta</t>
  </si>
  <si>
    <t>-4.Al-5.Cr-15.W-8.Ta-15.Ni</t>
  </si>
  <si>
    <t>Co-9.Al-7.W-2.Ta-2.Hf</t>
  </si>
  <si>
    <t>-9Al-7W-2Ta-2Hf</t>
  </si>
  <si>
    <t>Co-9Al-7W-2Ta-2Hf</t>
  </si>
  <si>
    <t>Wang, S., Li, S. &amp; Sha, J. Effect of Hf additions on microstructure and mechanical properties of a Co-9Al-9W-2Ta alloy at room and high-temperatures. in Procedia Engineering vol. 27 1162–1168 (Elsevier Ltd, 2012).</t>
  </si>
  <si>
    <t>Co-9Al-7W-2Ta-2HfWang, S., Li, S. &amp; Sha, J. Effect of Hf additions on microstructure and mechanical properties of a Co-9Al-9W-2Ta alloy at room and high-temperatures. in Procedia Engineering vol. 27 1162–1168 (Elsevier Ltd, 2012).</t>
  </si>
  <si>
    <t>80.0Co-9.0Al-7.0W-2.0Ta-2.0Hf</t>
  </si>
  <si>
    <t>-9.Al-7.W-2.Ta-2.Hf</t>
  </si>
  <si>
    <t>Co-9.Al-4.W-2.Ta-5.Hf</t>
  </si>
  <si>
    <t>-9Al-4W-2Ta-4Hf</t>
  </si>
  <si>
    <t>Co-9Al-4W-2Ta-5Hf</t>
  </si>
  <si>
    <t>-5.Hf</t>
  </si>
  <si>
    <t>Co-9Al-4W-2Ta-5HfWang, S., Li, S. &amp; Sha, J. Effect of Hf additions on microstructure and mechanical properties of a Co-9Al-9W-2Ta alloy at room and high-temperatures. in Procedia Engineering vol. 27 1162–1168 (Elsevier Ltd, 2012).</t>
  </si>
  <si>
    <t>81.0Co-9.0Al-4.0W-2.0Ta-4.0Hf</t>
  </si>
  <si>
    <t>-9.Al-4.W-2.Ta-5.Hf</t>
  </si>
  <si>
    <t>Co-9.Al-3.W-2.Ta-6.Hf</t>
  </si>
  <si>
    <t>-9Al-3W-2Ta-5Hf</t>
  </si>
  <si>
    <t>Co-9Al-3W-2Ta-6Hf</t>
  </si>
  <si>
    <t>-6.Hf</t>
  </si>
  <si>
    <t>Co-9Al-3W-2Ta-6HfWang, S., Li, S. &amp; Sha, J. Effect of Hf additions on microstructure and mechanical properties of a Co-9Al-9W-2Ta alloy at room and high-temperatures. in Procedia Engineering vol. 27 1162–1168 (Elsevier Ltd, 2012).</t>
  </si>
  <si>
    <t>81.0Co-9.0Al-3.0W-2.0Ta-5.0Hf</t>
  </si>
  <si>
    <t>-9.Al-3.W-2.Ta-6.Hf</t>
  </si>
  <si>
    <t>Co-9.Al-2.Ta-9.Hf</t>
  </si>
  <si>
    <t>-9Al-2Ta-9Hf</t>
  </si>
  <si>
    <t>Co-9Al-2Ta-9Hf</t>
  </si>
  <si>
    <t>-9.Hf</t>
  </si>
  <si>
    <t>Co-9Al-2Ta-9HfWang, S., Li, S. &amp; Sha, J. Effect of Hf additions on microstructure and mechanical properties of a Co-9Al-9W-2Ta alloy at room and high-temperatures. in Procedia Engineering vol. 27 1162–1168 (Elsevier Ltd, 2012).</t>
  </si>
  <si>
    <t>80.0Co-9.0Al-2.0Ta-9.0Hf</t>
  </si>
  <si>
    <t>-9.Al-2.Ta-9.Hf</t>
  </si>
  <si>
    <t>Co-8.4Al-8.9W-1.9Ta</t>
  </si>
  <si>
    <t>Weaver Alloy 1</t>
  </si>
  <si>
    <t>Weaver, D. S., Shivpuri, R., Brevick, J. &amp; Fraser, H. Thermomechanical Processing of a Gamma-Prime Strengthened Cobalt-Base Superalloy.</t>
  </si>
  <si>
    <t>Weaver Alloy 1Weaver, D. S., Shivpuri, R., Brevick, J. &amp; Fraser, H. Thermomechanical Processing of a Gamma-Prime Strengthened Cobalt-Base Superalloy.</t>
  </si>
  <si>
    <t>80.8Co-8.4Al-8.9W-1.9Ta</t>
  </si>
  <si>
    <t>-8.4Al-8.9W-1.9Ta</t>
  </si>
  <si>
    <t>Co-38.Ni-9.Al-6.Cr-2.W-5.Ti-1.Ta-1.Mo</t>
  </si>
  <si>
    <t>-38Ni-9Al-6Cr-2W-5Ti-1Ta-1Mo</t>
  </si>
  <si>
    <t>9Al</t>
  </si>
  <si>
    <t>Wen, M. et al. Effects of Al content on microstructures and high-temperature tensile properties of two newly designed CoNi-base superalloys. J. Alloys Compd. 155337 (2020) doi:10.1016/j.jallcom.2020.155337.</t>
  </si>
  <si>
    <t>9AlWen, M. et al. Effects of Al content on microstructures and high-temperature tensile properties of two newly designed CoNi-base superalloys. J. Alloys Compd. 155337 (2020) doi:10.1016/j.jallcom.2020.155337.</t>
  </si>
  <si>
    <t>76.0Co-38.0Ni-9.0Al-6.0Cr-2.0W-5.0Ti-1.0Ta-1.0Mo</t>
  </si>
  <si>
    <t>-9.Al-6.Cr-2.W-1.Ta-38.Ni-1.Mo-5.Ti</t>
  </si>
  <si>
    <t>Co-35.Ni-13.Al-6.Cr-2.W-5.Ti-1.Ta</t>
  </si>
  <si>
    <t>-35Ni-13Al-6Cr-2W-5Ti-1Ta</t>
  </si>
  <si>
    <t>13Al</t>
  </si>
  <si>
    <t>-13.Al</t>
  </si>
  <si>
    <t>13AlWen, M. et al. Effects of Al content on microstructures and high-temperature tensile properties of two newly designed CoNi-base superalloys. J. Alloys Compd. 155337 (2020) doi:10.1016/j.jallcom.2020.155337.</t>
  </si>
  <si>
    <t>73.0Co-35.0Ni-13.0Al-6.0Cr-2.0W-5.0Ti-1.0Ta</t>
  </si>
  <si>
    <t>-13.Al-6.Cr-2.W-1.Ta-35.Ni-5.Ti</t>
  </si>
  <si>
    <t>Co-2.Ni-9.Al-7.5W</t>
  </si>
  <si>
    <t>ERBOCCo-2Ta</t>
  </si>
  <si>
    <t>Xue, F. et al. Double minimum creep in the rafting regime of a single-crystal Co-base superalloy. Scr. Mater. 142, 129–132 (2018).</t>
  </si>
  <si>
    <t>single crystal [001]</t>
  </si>
  <si>
    <t>ERBOCCo-2TaXue, F. et al. Double minimum creep in the rafting regime of a single-crystal Co-base superalloy. Scr. Mater. 142, 129–132 (2018).</t>
  </si>
  <si>
    <t>83.5Co-2.0Ni-9.0Al-7.5W</t>
  </si>
  <si>
    <t>-9.Al-7.5W-2.Ni</t>
  </si>
  <si>
    <t>Co-9.Al-10.W-4.Ti</t>
  </si>
  <si>
    <t>-9Al-10W-4Ti</t>
  </si>
  <si>
    <t>4Ti</t>
  </si>
  <si>
    <t>Xue, F., Wang, M. &amp; Feng, Q. Alloying Effects on Heat-Treated Microstructure in Co-Al-W-Base Superalloys at 1300°C and 900°C. Superalloys 2012 813–821 (2012) doi:10.1002/9781118516430.ch90.</t>
  </si>
  <si>
    <t>4TiXue, F., Wang, M. &amp; Feng, Q. Alloying Effects on Heat-Treated Microstructure in Co-Al-W-Base Superalloys at 1300°C and 900°C. Superalloys 2012 813–821 (2012) doi:10.1002/9781118516430.ch90.</t>
  </si>
  <si>
    <t>77.0Co-9.0Al-10.0W-4.0Ti</t>
  </si>
  <si>
    <t>-9.Al-10.W-4.Ti</t>
  </si>
  <si>
    <t>Co-9.Al-10.W-2.Ti</t>
  </si>
  <si>
    <t>2Ti</t>
  </si>
  <si>
    <t>2TiXue, F., Wang, M. &amp; Feng, Q. Alloying Effects on Heat-Treated Microstructure in Co-Al-W-Base Superalloys at 1300°C and 900°C. Superalloys 2012 813–821 (2012) doi:10.1002/9781118516430.ch90.</t>
  </si>
  <si>
    <t>79.0Co-9.0Al-10.0W-2.0Ti</t>
  </si>
  <si>
    <t>-9.Al-10.W-2.Ti</t>
  </si>
  <si>
    <t>baseline</t>
  </si>
  <si>
    <t>baselineXue, F., Wang, M. &amp; Feng, Q. Alloying Effects on Heat-Treated Microstructure in Co-Al-W-Base Superalloys at 1300°C and 900°C. Superalloys 2012 813–821 (2012) doi:10.1002/9781118516430.ch90.</t>
  </si>
  <si>
    <t>Co-9.Al-10.W-2.V</t>
  </si>
  <si>
    <t>2V</t>
  </si>
  <si>
    <t>2VXue, F., Wang, M. &amp; Feng, Q. Alloying Effects on Heat-Treated Microstructure in Co-Al-W-Base Superalloys at 1300°C and 900°C. Superalloys 2012 813–821 (2012) doi:10.1002/9781118516430.ch90.</t>
  </si>
  <si>
    <t>79.0Co-9.0Al-10.0W-2.0V</t>
  </si>
  <si>
    <t>-9.Al-10.W-2.V</t>
  </si>
  <si>
    <t>Co-9.Al-10.W-4.V</t>
  </si>
  <si>
    <t>-9Al-10W-4V</t>
  </si>
  <si>
    <t>4V</t>
  </si>
  <si>
    <t>-4.V</t>
  </si>
  <si>
    <t>4VXue, F., Wang, M. &amp; Feng, Q. Alloying Effects on Heat-Treated Microstructure in Co-Al-W-Base Superalloys at 1300°C and 900°C. Superalloys 2012 813–821 (2012) doi:10.1002/9781118516430.ch90.</t>
  </si>
  <si>
    <t>77.0Co-9.0Al-10.0W-4.0V</t>
  </si>
  <si>
    <t>-9.Al-10.W-4.V</t>
  </si>
  <si>
    <t>Co-9.Al-10.W-2.Mo</t>
  </si>
  <si>
    <t>2MoXue, F., Wang, M. &amp; Feng, Q. Alloying Effects on Heat-Treated Microstructure in Co-Al-W-Base Superalloys at 1300°C and 900°C. Superalloys 2012 813–821 (2012) doi:10.1002/9781118516430.ch90.</t>
  </si>
  <si>
    <t>79.0Co-9.0Al-10.0W-2.0Mo</t>
  </si>
  <si>
    <t>-9.Al-10.W-2.Mo</t>
  </si>
  <si>
    <t>Co-9.Al-10.W-4.Mo</t>
  </si>
  <si>
    <t>-9Al-10W-4Mo</t>
  </si>
  <si>
    <t>4MoXue, F., Wang, M. &amp; Feng, Q. Alloying Effects on Heat-Treated Microstructure in Co-Al-W-Base Superalloys at 1300°C and 900°C. Superalloys 2012 813–821 (2012) doi:10.1002/9781118516430.ch90.</t>
  </si>
  <si>
    <t>77.0Co-9.0Al-10.0W-4.0Mo</t>
  </si>
  <si>
    <t>-9.Al-10.W-4.Mo</t>
  </si>
  <si>
    <t>Co-9.Al-10.W-2.Nb</t>
  </si>
  <si>
    <t>2Nb</t>
  </si>
  <si>
    <t>2NbXue, F., Wang, M. &amp; Feng, Q. Alloying Effects on Heat-Treated Microstructure in Co-Al-W-Base Superalloys at 1300°C and 900°C. Superalloys 2012 813–821 (2012) doi:10.1002/9781118516430.ch90.</t>
  </si>
  <si>
    <t>-9.Al-10.W-2.Nb</t>
  </si>
  <si>
    <t>Co-9.Al-10.W-4.Nb</t>
  </si>
  <si>
    <t>-9Al-10W-4Nb</t>
  </si>
  <si>
    <t>4Nb</t>
  </si>
  <si>
    <t>-4.Nb</t>
  </si>
  <si>
    <t>4NbXue, F., Wang, M. &amp; Feng, Q. Alloying Effects on Heat-Treated Microstructure in Co-Al-W-Base Superalloys at 1300°C and 900°C. Superalloys 2012 813–821 (2012) doi:10.1002/9781118516430.ch90.</t>
  </si>
  <si>
    <t>77.0Co-9.0Al-10.0W-4.0Nb</t>
  </si>
  <si>
    <t>-9.Al-10.W-4.Nb</t>
  </si>
  <si>
    <t>2TaXue, F., Wang, M. &amp; Feng, Q. Alloying Effects on Heat-Treated Microstructure in Co-Al-W-Base Superalloys at 1300°C and 900°C. Superalloys 2012 813–821 (2012) doi:10.1002/9781118516430.ch90.</t>
  </si>
  <si>
    <t>Co-6.Al-6.W-6.Ti-2.Ta</t>
  </si>
  <si>
    <t>-6Al-6W-6Ti-2Ta</t>
  </si>
  <si>
    <t>Alloy TaTi-D</t>
  </si>
  <si>
    <t>Xue, F., Zhou, H. J. &amp; Feng, Q. Improved High-Temperature Microstructural Stability and Creep Property of Novel Co-Base Single-Crystal Alloys Containing Ta and Ti. JOM 66, 2486–2494 (2014).</t>
  </si>
  <si>
    <t>Alloy TaTi-DXue, F., Zhou, H. J. &amp; Feng, Q. Improved High-Temperature Microstructural Stability and Creep Property of Novel Co-Base Single-Crystal Alloys Containing Ta and Ti. JOM 66, 2486–2494 (2014).</t>
  </si>
  <si>
    <t>80.0Co-6.0Al-6.0W-6.0Ti-2.0Ta</t>
  </si>
  <si>
    <t>-6.Al-6.W-2.Ta-6.Ti</t>
  </si>
  <si>
    <t>Co-7.Al-8.W-4.Ti</t>
  </si>
  <si>
    <t>-7Al-8W-4Ti</t>
  </si>
  <si>
    <t>Alloy Ti</t>
  </si>
  <si>
    <t>Alloy TiXue, F., Zhou, H. J. &amp; Feng, Q. Improved High-Temperature Microstructural Stability and Creep Property of Novel Co-Base Single-Crystal Alloys Containing Ta and Ti. JOM 66, 2486–2494 (2014).</t>
  </si>
  <si>
    <t>81.0Co-7.0Al-8.0W-4.0Ti</t>
  </si>
  <si>
    <t>-7.Al-8.W-4.Ti</t>
  </si>
  <si>
    <t>Co-7.Al-7.W-4.Ti-2.Ta</t>
  </si>
  <si>
    <t>-7Al-7W-4Ti-2Ta</t>
  </si>
  <si>
    <t>Alloy TaTi-C</t>
  </si>
  <si>
    <t>Alloy TaTi-CXue, F., Zhou, H. J. &amp; Feng, Q. Improved High-Temperature Microstructural Stability and Creep Property of Novel Co-Base Single-Crystal Alloys Containing Ta and Ti. JOM 66, 2486–2494 (2014).</t>
  </si>
  <si>
    <t>80.0Co-7.0Al-7.0W-4.0Ti-2.0Ta</t>
  </si>
  <si>
    <t>-7.Al-7.W-2.Ta-4.Ti</t>
  </si>
  <si>
    <t>Co-6.3Al-4.4W-4.Ti-3.Ta</t>
  </si>
  <si>
    <t>-6Al-4W-4Ti-3Ta</t>
  </si>
  <si>
    <t>Alloy TaTi-E</t>
  </si>
  <si>
    <t>Alloy TaTi-EXue, F., Zhou, H. J. &amp; Feng, Q. Improved High-Temperature Microstructural Stability and Creep Property of Novel Co-Base Single-Crystal Alloys Containing Ta and Ti. JOM 66, 2486–2494 (2014).</t>
  </si>
  <si>
    <t>82.3Co-6.3Al-4.4W-4.0Ti-3.0Ta</t>
  </si>
  <si>
    <t>-6.3Al-4.4W-3.Ta-4.Ti</t>
  </si>
  <si>
    <t>Co-8.6Al-6.6W-2.Ti-1.7Ta</t>
  </si>
  <si>
    <t>-9Al-7W-2Ti-2Ta</t>
  </si>
  <si>
    <t>Alloy TaTi-A</t>
  </si>
  <si>
    <t>-6.6W</t>
  </si>
  <si>
    <t>Alloy TaTi-AXue, F., Zhou, H. J. &amp; Feng, Q. Improved High-Temperature Microstructural Stability and Creep Property of Novel Co-Base Single-Crystal Alloys Containing Ta and Ti. JOM 66, 2486–2494 (2014).</t>
  </si>
  <si>
    <t>81.1Co-8.6Al-6.6W-2.0Ti-1.7Ta</t>
  </si>
  <si>
    <t>-8.6Al-6.6W-1.7Ta-2.Ti</t>
  </si>
  <si>
    <t>Co-7.Al-8.W</t>
  </si>
  <si>
    <t>-7Al-8W</t>
  </si>
  <si>
    <t>alloy base</t>
  </si>
  <si>
    <t>alloy baseXue, F., Zhou, H. J. &amp; Feng, Q. Improved High-Temperature Microstructural Stability and Creep Property of Novel Co-Base Single-Crystal Alloys Containing Ta and Ti. JOM 66, 2486–2494 (2014).</t>
  </si>
  <si>
    <t>85.0Co-7.0Al-8.0W</t>
  </si>
  <si>
    <t>-7.Al-8.W</t>
  </si>
  <si>
    <t>Co-7.Al-8.W-1.Ta</t>
  </si>
  <si>
    <t>-7Al-8W-1Ta</t>
  </si>
  <si>
    <t>Alloy Ta</t>
  </si>
  <si>
    <t>Alloy TaXue, F., Zhou, H. J. &amp; Feng, Q. Improved High-Temperature Microstructural Stability and Creep Property of Novel Co-Base Single-Crystal Alloys Containing Ta and Ti. JOM 66, 2486–2494 (2014).</t>
  </si>
  <si>
    <t>84.0Co-7.0Al-8.0W-1.0Ta</t>
  </si>
  <si>
    <t>-7.Al-8.W-1.Ta</t>
  </si>
  <si>
    <t>Co-6.5Al-6.W-2.3Ti</t>
  </si>
  <si>
    <t>-7Al-6W-2Ti</t>
  </si>
  <si>
    <t>2Ti-2</t>
  </si>
  <si>
    <t>Yan, H. Y. et al. Alloying and the micromechanics of Co-Al-W-X quaternary alloys. Mater. Sci. Eng. A 613, 201–208 (2014).</t>
  </si>
  <si>
    <t>-6.5Al</t>
  </si>
  <si>
    <t>-2.3Ti</t>
  </si>
  <si>
    <t>2Ti-2Yan, H. Y. et al. Alloying and the micromechanics of Co-Al-W-X quaternary alloys. Mater. Sci. Eng. A 613, 201–208 (2014).</t>
  </si>
  <si>
    <t>85.2Co-6.5Al-6.0W-2.3Ti</t>
  </si>
  <si>
    <t>-6.5Al-6.W-2.3Ti</t>
  </si>
  <si>
    <t>Co-10.1Al-4.9W-1.7Ta</t>
  </si>
  <si>
    <t>2Ta-2</t>
  </si>
  <si>
    <t>-4.9W</t>
  </si>
  <si>
    <t>2Ta-2Yan, H. Y. et al. Alloying and the micromechanics of Co-Al-W-X quaternary alloys. Mater. Sci. Eng. A 613, 201–208 (2014).</t>
  </si>
  <si>
    <t>83.3Co-10.1Al-4.9W-1.7Ta</t>
  </si>
  <si>
    <t>-10.1Al-4.9W-1.7Ta</t>
  </si>
  <si>
    <t>Co-6.4Al-6.W-2.2Ti</t>
  </si>
  <si>
    <t>-6Al-6W-2Ti</t>
  </si>
  <si>
    <t>Yan, H. Y., Vorontsov, V. A. &amp; Dye, D. Alloying effects in polycrystalline γ′ strengthened Co-Al-W base alloys. Intermetallics 48, 44–53 (2014).</t>
  </si>
  <si>
    <t>-6.4Al</t>
  </si>
  <si>
    <t>2TiYan, H. Y., Vorontsov, V. A. &amp; Dye, D. Alloying effects in polycrystalline γ′ strengthened Co-Al-W base alloys. Intermetallics 48, 44–53 (2014).</t>
  </si>
  <si>
    <t>85.4Co-6.4Al-6.0W-2.2Ti</t>
  </si>
  <si>
    <t>-6.4Al-6.W-2.2Ti</t>
  </si>
  <si>
    <t>BaseYan, H. Y., Vorontsov, V. A. &amp; Dye, D. Alloying effects in polycrystalline γ′ strengthened Co-Al-W base alloys. Intermetallics 48, 44–53 (2014).</t>
  </si>
  <si>
    <t>Co-7.2Al-4.7W-1.8Mo</t>
  </si>
  <si>
    <t>-7Al-5W-2Mo</t>
  </si>
  <si>
    <t>-7.2Al</t>
  </si>
  <si>
    <t>2MoYan, H. Y., Vorontsov, V. A. &amp; Dye, D. Alloying effects in polycrystalline γ′ strengthened Co-Al-W base alloys. Intermetallics 48, 44–53 (2014).</t>
  </si>
  <si>
    <t>86.3Co-7.2Al-4.7W-1.8Mo</t>
  </si>
  <si>
    <t>-7.2Al-4.7W-1.8Mo</t>
  </si>
  <si>
    <t>Co-7.3Al-4.8W-2.1V</t>
  </si>
  <si>
    <t>-7Al-5W-2V</t>
  </si>
  <si>
    <t>2VYan, H. Y., Vorontsov, V. A. &amp; Dye, D. Alloying effects in polycrystalline γ′ strengthened Co-Al-W base alloys. Intermetallics 48, 44–53 (2014).</t>
  </si>
  <si>
    <t>85.8Co-7.3Al-4.8W-2.1V</t>
  </si>
  <si>
    <t>-7.3Al-4.8W-2.1V</t>
  </si>
  <si>
    <t>Co-6.4Ni-7.7Al-3.W-4.2V</t>
  </si>
  <si>
    <t>-6Ni-8Al-3W-4V</t>
  </si>
  <si>
    <t>6Ni-4V</t>
  </si>
  <si>
    <t>-7.7Al</t>
  </si>
  <si>
    <t>-6.4Ni</t>
  </si>
  <si>
    <t>-4.2V</t>
  </si>
  <si>
    <t>6Ni-4VYan, H. Y., Vorontsov, V. A. &amp; Dye, D. Alloying effects in polycrystalline γ′ strengthened Co-Al-W base alloys. Intermetallics 48, 44–53 (2014).</t>
  </si>
  <si>
    <t>85.1Co-6.4Ni-7.7Al-3.0W-4.2V</t>
  </si>
  <si>
    <t>-7.7Al-3.W-6.4Ni-4.2V</t>
  </si>
  <si>
    <t>Co-7.2Al-7.2W-0.7Si</t>
  </si>
  <si>
    <t>-7Al-7W-Si</t>
  </si>
  <si>
    <t>1Si</t>
  </si>
  <si>
    <t>-0.7Si</t>
  </si>
  <si>
    <t>1SiYan, H. Y., Vorontsov, V. A. &amp; Dye, D. Alloying effects in polycrystalline γ′ strengthened Co-Al-W base alloys. Intermetallics 48, 44–53 (2014).</t>
  </si>
  <si>
    <t>84.9Co-7.2Al-7.2W-0.7Si</t>
  </si>
  <si>
    <t>-7.2Al-7.2W-0.7Si</t>
  </si>
  <si>
    <t>Co-19.5Fe-7.3Al-7.W</t>
  </si>
  <si>
    <t>20Fe</t>
  </si>
  <si>
    <t>-19.5Fe</t>
  </si>
  <si>
    <t>20FeYan, H. Y., Vorontsov, V. A. &amp; Dye, D. Alloying effects in polycrystalline γ′ strengthened Co-Al-W base alloys. Intermetallics 48, 44–53 (2014).</t>
  </si>
  <si>
    <t>66.2Co-7.3Al-7.0W-19.5Si</t>
  </si>
  <si>
    <t>-7.3Al-7.W-19.5Fe</t>
  </si>
  <si>
    <t>Co-7.2Al-9.8Cr-6.8W</t>
  </si>
  <si>
    <t>-7Al-10Cr-7W</t>
  </si>
  <si>
    <t>10Cr</t>
  </si>
  <si>
    <t>-9.8Cr</t>
  </si>
  <si>
    <t>10CrYan, H. Y., Vorontsov, V. A. &amp; Dye, D. Alloying effects in polycrystalline γ′ strengthened Co-Al-W base alloys. Intermetallics 48, 44–53 (2014).</t>
  </si>
  <si>
    <t>76.2Co-7.2Al-9.8Cr-6.8W</t>
  </si>
  <si>
    <t>-7.2Al-9.8Cr-6.8W</t>
  </si>
  <si>
    <t>Co-7.4Al-13.2Cr-7.1W</t>
  </si>
  <si>
    <t>-7Al-13Cr-7W</t>
  </si>
  <si>
    <t>13Cr</t>
  </si>
  <si>
    <t>-7.4Al</t>
  </si>
  <si>
    <t>-13.2Cr</t>
  </si>
  <si>
    <t>13CrYan, H. Y., Vorontsov, V. A. &amp; Dye, D. Alloying effects in polycrystalline γ′ strengthened Co-Al-W base alloys. Intermetallics 48, 44–53 (2014).</t>
  </si>
  <si>
    <t>72.3Co-7.4Al-13.2Cr-7.1W</t>
  </si>
  <si>
    <t>-7.4Al-13.2Cr-7.1W</t>
  </si>
  <si>
    <t>Co-7.5Al-17.3Cr-7.W</t>
  </si>
  <si>
    <t>-8Al-17Cr-7W</t>
  </si>
  <si>
    <t>17Cr</t>
  </si>
  <si>
    <t>-17.3Cr</t>
  </si>
  <si>
    <t>17CrYan, H. Y., Vorontsov, V. A. &amp; Dye, D. Alloying effects in polycrystalline γ′ strengthened Co-Al-W base alloys. Intermetallics 48, 44–53 (2014).</t>
  </si>
  <si>
    <t>68.2Co-7.5Al-17.3Cr-7.0W</t>
  </si>
  <si>
    <t>-7.5Al-17.3Cr-7.W</t>
  </si>
  <si>
    <t>Co-7.6Al-21.3Cr-7.2W</t>
  </si>
  <si>
    <t>-8Al-21Cr-7W</t>
  </si>
  <si>
    <t>21Cr</t>
  </si>
  <si>
    <t>-21.3Cr</t>
  </si>
  <si>
    <t>21CrYan, H. Y., Vorontsov, V. A. &amp; Dye, D. Alloying effects in polycrystalline γ′ strengthened Co-Al-W base alloys. Intermetallics 48, 44–53 (2014).</t>
  </si>
  <si>
    <t>63.9Co-7.6Al-21.3Cr-7.2W</t>
  </si>
  <si>
    <t>-7.6Al-21.3Cr-7.2W</t>
  </si>
  <si>
    <t>Co-4.8Al-22.9Cr-6.6W</t>
  </si>
  <si>
    <t>-5Al-23Cr-7W</t>
  </si>
  <si>
    <t>23Cr</t>
  </si>
  <si>
    <t>-22.9Cr</t>
  </si>
  <si>
    <t>23CrYan, H. Y., Vorontsov, V. A. &amp; Dye, D. Alloying effects in polycrystalline γ′ strengthened Co-Al-W base alloys. Intermetallics 48, 44–53 (2014).</t>
  </si>
  <si>
    <t>65.7Co-4.8Al-22.9Cr-6.6W</t>
  </si>
  <si>
    <t>-4.8Al-22.9Cr-6.6W</t>
  </si>
  <si>
    <t>Co-11.1Ni-7.5Al-20.8Cr-7.2W</t>
  </si>
  <si>
    <t>-11Ni-8Al-21Cr-7W</t>
  </si>
  <si>
    <t>21Cr-11Ni</t>
  </si>
  <si>
    <t>-11.1Ni</t>
  </si>
  <si>
    <t>-20.8Cr</t>
  </si>
  <si>
    <t>21Cr-11NiYan, H. Y., Vorontsov, V. A. &amp; Dye, D. Alloying effects in polycrystalline γ′ strengthened Co-Al-W base alloys. Intermetallics 48, 44–53 (2014).</t>
  </si>
  <si>
    <t>64.5Co-11.1Ni-7.5Al-20.8Cr-7.2W</t>
  </si>
  <si>
    <t>-7.5Al-20.8Cr-7.2W-11.1Ni</t>
  </si>
  <si>
    <t>Co-21.7Ni-6.9Al-21.5Cr-7.3W</t>
  </si>
  <si>
    <t>-22Ni-7Al-22Cr-7W</t>
  </si>
  <si>
    <t>21Cr-21Ni</t>
  </si>
  <si>
    <t>-6.9Al</t>
  </si>
  <si>
    <t>-21.7Ni</t>
  </si>
  <si>
    <t>21Cr-21NiYan, H. Y., Vorontsov, V. A. &amp; Dye, D. Alloying effects in polycrystalline γ′ strengthened Co-Al-W base alloys. Intermetallics 48, 44–53 (2014).</t>
  </si>
  <si>
    <t>64.3Co-21.7Ni-6.9Al-21.5Cr-7.3W</t>
  </si>
  <si>
    <t>-6.9Al-21.5Cr-7.3W-21.7Ni</t>
  </si>
  <si>
    <t>Co-33.2Ni-7.7Al-20.8Cr-6.5W</t>
  </si>
  <si>
    <t>-33Ni-8Al-21Cr-7W</t>
  </si>
  <si>
    <t>21Cr-32Ni</t>
  </si>
  <si>
    <t>-33.2Ni</t>
  </si>
  <si>
    <t>21Cr-32NiYan, H. Y., Vorontsov, V. A. &amp; Dye, D. Alloying effects in polycrystalline γ′ strengthened Co-Al-W base alloys. Intermetallics 48, 44–53 (2014).</t>
  </si>
  <si>
    <t>65.0Co-33.2Ni-7.7Al-20.8Cr-6.5W</t>
  </si>
  <si>
    <t>-7.7Al-20.8Cr-6.5W-33.2Ni</t>
  </si>
  <si>
    <t>Co-10.9Ni-8.5Al-21.Cr-5.5W</t>
  </si>
  <si>
    <t>-11Ni-9Al-21Cr-6W</t>
  </si>
  <si>
    <t>21Cr-11Ni-A</t>
  </si>
  <si>
    <t>-10.9Ni</t>
  </si>
  <si>
    <t>-21.Cr</t>
  </si>
  <si>
    <t>21Cr-11Ni-AYan, H. Y., Vorontsov, V. A. &amp; Dye, D. Alloying effects in polycrystalline γ′ strengthened Co-Al-W base alloys. Intermetallics 48, 44–53 (2014).</t>
  </si>
  <si>
    <t>65.0Co-10.9Ni-8.5Al-21.0Cr-5.5W</t>
  </si>
  <si>
    <t>-8.5Al-21.Cr-5.5W-10.9Ni</t>
  </si>
  <si>
    <t>Co-21.3Ni-9.3Al-21.1Cr-4.7W</t>
  </si>
  <si>
    <t>-21Ni-9Al-21Cr-5W</t>
  </si>
  <si>
    <t>21Cr-21Ni-A</t>
  </si>
  <si>
    <t>-21.3Ni</t>
  </si>
  <si>
    <t>-21.1Cr</t>
  </si>
  <si>
    <t>21Cr-21Ni-AYan, H. Y., Vorontsov, V. A. &amp; Dye, D. Alloying effects in polycrystalline γ′ strengthened Co-Al-W base alloys. Intermetallics 48, 44–53 (2014).</t>
  </si>
  <si>
    <t>64.9Co-21.3Ni-9.3Al-21.1Cr-4.7W</t>
  </si>
  <si>
    <t>-9.3Al-21.1Cr-4.7W-21.3Ni</t>
  </si>
  <si>
    <t>Co-32.5Ni-11.2Al-20.5Cr-3.4W</t>
  </si>
  <si>
    <t>-33Ni-11Al-21Cr-3W</t>
  </si>
  <si>
    <t>21Cr-32Ni-A</t>
  </si>
  <si>
    <t>-20.5Cr</t>
  </si>
  <si>
    <t>21Cr-32Ni-AYan, H. Y., Vorontsov, V. A. &amp; Dye, D. Alloying effects in polycrystalline γ′ strengthened Co-Al-W base alloys. Intermetallics 48, 44–53 (2014).</t>
  </si>
  <si>
    <t>64.9Co-32.5Ni-11.2Al-20.5Cr-3.4W</t>
  </si>
  <si>
    <t>-11.2Al-20.5Cr-3.4W-32.5Ni</t>
  </si>
  <si>
    <t>Co-30.Ni-10.Al-10.W-0.Si</t>
  </si>
  <si>
    <t>-30Ni-10Al-10W-Si</t>
  </si>
  <si>
    <t>FC-0.0</t>
  </si>
  <si>
    <t>Yeh, A. C., Wang, S. C., Cheng, C. F., Chang, Y. J. &amp; Chang, S. C. Oxidation Behaviour of Si-Bearing Co-Based Alloys. Oxid. Met. 86, 99–112 (2016).</t>
  </si>
  <si>
    <t>-0.Si</t>
  </si>
  <si>
    <t>FC-0.0Yeh, A. C., Wang, S. C., Cheng, C. F., Chang, Y. J. &amp; Chang, S. C. Oxidation Behaviour of Si-Bearing Co-Based Alloys. Oxid. Met. 86, 99–112 (2016).</t>
  </si>
  <si>
    <t>80.0Co-30.0Ni-10.0Al-10.0W-0.0Si</t>
  </si>
  <si>
    <t>-10.Al-10.W-30.Ni-0.Si</t>
  </si>
  <si>
    <t>Co-30.Ni-10.Al-10.W-0.5Si</t>
  </si>
  <si>
    <t>FC-0.5</t>
  </si>
  <si>
    <t>FC-0.5Yeh, A. C., Wang, S. C., Cheng, C. F., Chang, Y. J. &amp; Chang, S. C. Oxidation Behaviour of Si-Bearing Co-Based Alloys. Oxid. Met. 86, 99–112 (2016).</t>
  </si>
  <si>
    <t>79.5Co-30.0Ni-10.0Al-10.0W-0.5Si</t>
  </si>
  <si>
    <t>-10.Al-10.W-30.Ni-0.5Si</t>
  </si>
  <si>
    <t>Co-30.Ni-10.Al-10.W-1.Si</t>
  </si>
  <si>
    <t>FC-1.0</t>
  </si>
  <si>
    <t>FC-1.0Yeh, A. C., Wang, S. C., Cheng, C. F., Chang, Y. J. &amp; Chang, S. C. Oxidation Behaviour of Si-Bearing Co-Based Alloys. Oxid. Met. 86, 99–112 (2016).</t>
  </si>
  <si>
    <t>79.0Co-30.0Ni-10.0Al-10.0W-1.0Si</t>
  </si>
  <si>
    <t>-10.Al-10.W-30.Ni-1.Si</t>
  </si>
  <si>
    <t>Co-30.Ni-10.Al-10.W-1.5Si</t>
  </si>
  <si>
    <t>FC-1.5</t>
  </si>
  <si>
    <t>-1.5Si</t>
  </si>
  <si>
    <t>FC-1.5Yeh, A. C., Wang, S. C., Cheng, C. F., Chang, Y. J. &amp; Chang, S. C. Oxidation Behaviour of Si-Bearing Co-Based Alloys. Oxid. Met. 86, 99–112 (2016).</t>
  </si>
  <si>
    <t>78.5Co-30.0Ni-10.0Al-10.0W-1.5Si</t>
  </si>
  <si>
    <t>-10.Al-10.W-30.Ni-1.5Si</t>
  </si>
  <si>
    <t>Co-30.Ni-10.Al-10.W-2.Si</t>
  </si>
  <si>
    <t>FC-2.0</t>
  </si>
  <si>
    <t>FC-2.0Yeh, A. C., Wang, S. C., Cheng, C. F., Chang, Y. J. &amp; Chang, S. C. Oxidation Behaviour of Si-Bearing Co-Based Alloys. Oxid. Met. 86, 99–112 (2016).</t>
  </si>
  <si>
    <t>78.0Co-30.0Ni-10.0Al-10.0W-2.0Si</t>
  </si>
  <si>
    <t>-10.Al-10.W-30.Ni-2.Si</t>
  </si>
  <si>
    <t>Co-30.Ni-10.Al-5.W-2.Si</t>
  </si>
  <si>
    <t>-30Ni-10Al-5W-Si</t>
  </si>
  <si>
    <t>CS-4</t>
  </si>
  <si>
    <t>CS-4Yeh, A. C., Wang, S. C., Cheng, C. F., Chang, Y. J. &amp; Chang, S. C. Oxidation Behaviour of Si-Bearing Co-Based Alloys. Oxid. Met. 86, 99–112 (2016).</t>
  </si>
  <si>
    <t>83.0Co-30.0Ni-10.0Al-5.0W-2.0Si</t>
  </si>
  <si>
    <t>-10.Al-5.W-30.Ni-2.Si</t>
  </si>
  <si>
    <t>Co-3.1W-14.7Ti</t>
  </si>
  <si>
    <t>-3W-15Ti</t>
  </si>
  <si>
    <t>Co-15Ti-3W</t>
  </si>
  <si>
    <t>Yoo, B., Im, H. J., Seol, J. B. &amp; Choi, P. P. On the microstructural evolution and partitioning behavior of L12-structured γ′-based Co-Ti-W alloys upon Cr and Al alloying. Intermetallics 104, 97–102 (2019).</t>
  </si>
  <si>
    <t>-14.7Ti</t>
  </si>
  <si>
    <t>Co-15Ti-3WYoo, B., Im, H. J., Seol, J. B. &amp; Choi, P. P. On the microstructural evolution and partitioning behavior of L12-structured γ′-based Co-Ti-W alloys upon Cr and Al alloying. Intermetallics 104, 97–102 (2019).</t>
  </si>
  <si>
    <t>82.2Co-3.1W-14.7Ti</t>
  </si>
  <si>
    <t>-3.1W-14.7Ti</t>
  </si>
  <si>
    <t>Co-3.Al-2.6W-13.5Ti</t>
  </si>
  <si>
    <t>-3Al-3W-14Ti</t>
  </si>
  <si>
    <t>Co-13Ti-3W-3Al</t>
  </si>
  <si>
    <t>-2.6W</t>
  </si>
  <si>
    <t>-13.5Ti</t>
  </si>
  <si>
    <t>Co-13Ti-3W-3AlYoo, B., Im, H. J., Seol, J. B. &amp; Choi, P. P. On the microstructural evolution and partitioning behavior of L12-structured γ′-based Co-Ti-W alloys upon Cr and Al alloying. Intermetallics 104, 97–102 (2019).</t>
  </si>
  <si>
    <t>80.9Co-3.0Al-2.6W-13.5Ti</t>
  </si>
  <si>
    <t>-3.Al-2.6W-13.5Ti</t>
  </si>
  <si>
    <t>Co-5.6Al-2.6W-13.3Ti</t>
  </si>
  <si>
    <t>-6Al-3W-13Ti</t>
  </si>
  <si>
    <t>Co-13Ti-3W-6Al</t>
  </si>
  <si>
    <t>-13.3Ti</t>
  </si>
  <si>
    <t>Co-13Ti-3W-6AlYoo, B., Im, H. J., Seol, J. B. &amp; Choi, P. P. On the microstructural evolution and partitioning behavior of L12-structured γ′-based Co-Ti-W alloys upon Cr and Al alloying. Intermetallics 104, 97–102 (2019).</t>
  </si>
  <si>
    <t>78.5Co-5.6Al-2.6W-13.3Ti</t>
  </si>
  <si>
    <t>-5.6Al-2.6W-13.3Ti</t>
  </si>
  <si>
    <t>Co-2.1Ni-2.7W-13.2Ti</t>
  </si>
  <si>
    <t>-2Ni-3W-13Ti</t>
  </si>
  <si>
    <t>Co-13Ti-3W-2Cr</t>
  </si>
  <si>
    <t>-2.7W</t>
  </si>
  <si>
    <t>-2.1Ni</t>
  </si>
  <si>
    <t>Co-13Ti-3W-2CrYoo, B., Im, H. J., Seol, J. B. &amp; Choi, P. P. On the microstructural evolution and partitioning behavior of L12-structured γ′-based Co-Ti-W alloys upon Cr and Al alloying. Intermetallics 104, 97–102 (2019).</t>
  </si>
  <si>
    <t>84.1Co-2.1Ni-2.7W-13.2Ti</t>
  </si>
  <si>
    <t>-2.7W-2.1Ni-13.2Ti</t>
  </si>
  <si>
    <t>Co-4.2Ni-4.9W-12.7Ti</t>
  </si>
  <si>
    <t>-4Ni-5W-13Ti</t>
  </si>
  <si>
    <t>Co-13Ti-3W-4Cr</t>
  </si>
  <si>
    <t>-4.2Ni</t>
  </si>
  <si>
    <t>-12.7Ti</t>
  </si>
  <si>
    <t>Co-13Ti-3W-4CrYoo, B., Im, H. J., Seol, J. B. &amp; Choi, P. P. On the microstructural evolution and partitioning behavior of L12-structured γ′-based Co-Ti-W alloys upon Cr and Al alloying. Intermetallics 104, 97–102 (2019).</t>
  </si>
  <si>
    <t>82.4Co-4.2Ni-4.9W-12.7Ti</t>
  </si>
  <si>
    <t>-4.9W-4.2Ni-12.7Ti</t>
  </si>
  <si>
    <t>Co-8.Ti-8.V</t>
  </si>
  <si>
    <t>-8Ti-8V</t>
  </si>
  <si>
    <t>Co-8V-8Ti</t>
  </si>
  <si>
    <t>Yu, J. et al. A two-stage predicting model for γ′ solvus temperature of L12-strengthened Co-base superalloys based on machine learning. Intermetallics 110, 106466 (2019).</t>
  </si>
  <si>
    <t>-8.V</t>
  </si>
  <si>
    <t>-8.Ti</t>
  </si>
  <si>
    <t>Co-8V-8TiYu, J. et al. A two-stage predicting model for γ′ solvus temperature of L12-strengthened Co-base superalloys based on machine learning. Intermetallics 110, 106466 (2019).</t>
  </si>
  <si>
    <t>84.0Co-8.0Ti-8.0V</t>
  </si>
  <si>
    <t>-8.V-8.Ti</t>
  </si>
  <si>
    <t>Co-7.7Ti-8.3V-0.9Mo</t>
  </si>
  <si>
    <t>-8Ti-8V-1Mo</t>
  </si>
  <si>
    <t>Co-8V-8Ti-2W</t>
  </si>
  <si>
    <t>-8.3V</t>
  </si>
  <si>
    <t>-0.9Mo</t>
  </si>
  <si>
    <t>Co-8V-8Ti-2WYu, J. et al. A two-stage predicting model for γ′ solvus temperature of L12-strengthened Co-base superalloys based on machine learning. Intermetallics 110, 106466 (2019).</t>
  </si>
  <si>
    <t>83.1Co-7.7Ti-8.3V-0.9Mo</t>
  </si>
  <si>
    <t>-0.9Mo-8.3V-7.7Ti</t>
  </si>
  <si>
    <t>Co-7.6Ti-8.3V-2.Mo</t>
  </si>
  <si>
    <t>-8Ti-8V-2Mo</t>
  </si>
  <si>
    <t>Co-8V-8Ti-2Mo</t>
  </si>
  <si>
    <t>Co-8V-8Ti-2MoYu, J. et al. A two-stage predicting model for γ′ solvus temperature of L12-strengthened Co-base superalloys based on machine learning. Intermetallics 110, 106466 (2019).</t>
  </si>
  <si>
    <t>82.1Co-7.6Ti-8.3V-2.0Mo</t>
  </si>
  <si>
    <t>-2.Mo-8.3V-7.6Ti</t>
  </si>
  <si>
    <t>Co-7.Ti-1.Nb-9.4V</t>
  </si>
  <si>
    <t>-7Ti-1Nb-9V</t>
  </si>
  <si>
    <t>Co-8V-8Ti-2Nb</t>
  </si>
  <si>
    <t>-9.4V</t>
  </si>
  <si>
    <t>-7.Ti</t>
  </si>
  <si>
    <t>Co-8V-8Ti-2NbYu, J. et al. A two-stage predicting model for γ′ solvus temperature of L12-strengthened Co-base superalloys based on machine learning. Intermetallics 110, 106466 (2019).</t>
  </si>
  <si>
    <t>82.6Co-7.0Ti-1.0Nb-9.4V</t>
  </si>
  <si>
    <t>-1.Nb-9.4V-7.Ti</t>
  </si>
  <si>
    <t>Co-6.8Ti-8.3V-1.1Mo</t>
  </si>
  <si>
    <t>-7Ti-8V-1Mo</t>
  </si>
  <si>
    <t>Co-8V-8Ti-2Ta</t>
  </si>
  <si>
    <t>-6.8Ti</t>
  </si>
  <si>
    <t>Co-8V-8Ti-2TaYu, J. et al. A two-stage predicting model for γ′ solvus temperature of L12-strengthened Co-base superalloys based on machine learning. Intermetallics 110, 106466 (2019).</t>
  </si>
  <si>
    <t>83.8Co-6.8Ti-8.3V-1.1Mo</t>
  </si>
  <si>
    <t>-1.1Mo-8.3V-6.8Ti</t>
  </si>
  <si>
    <t>Co-15.Cr-11.Ti</t>
  </si>
  <si>
    <t>-15Cr-11Ti</t>
  </si>
  <si>
    <t>CTC-1</t>
  </si>
  <si>
    <t>Zenk, C. H. et al. A novel type of Co–Ti–Cr-base γ/γ′ superalloys with low mass density. Acta Mater. 135, 244–251 (2017).</t>
  </si>
  <si>
    <t>-11.Ti</t>
  </si>
  <si>
    <t>CTC-1Zenk, C. H. et al. A novel type of Co–Ti–Cr-base γ/γ′ superalloys with low mass density. Acta Mater. 135, 244–251 (2017).</t>
  </si>
  <si>
    <t>74.0Co-15.0Cr-11.0Ti</t>
  </si>
  <si>
    <t>-15.Cr-11.Ti</t>
  </si>
  <si>
    <t>Co-37.5Ni-9.Al-8.Cr-9.W-0.04B</t>
  </si>
  <si>
    <t>-38Ni-9Al-8Cr-9W-B</t>
  </si>
  <si>
    <t>NC50</t>
  </si>
  <si>
    <t>Zenk, C. H. et al. Intermediate Co/Ni-base model superalloys - Thermophysical properties, creep and oxidation. Scr. Mater. 112, 83–86 (2016).</t>
  </si>
  <si>
    <t>-37.5Ni</t>
  </si>
  <si>
    <t>NC50Zenk, C. H. et al. Intermediate Co/Ni-base model superalloys - Thermophysical properties, creep and oxidation. Scr. Mater. 112, 83–86 (2016).</t>
  </si>
  <si>
    <t>74.0Co-37.5Ni-9.0Al-8.0Cr-9.0W-0.04B</t>
  </si>
  <si>
    <t>-9.Al-8.Cr-9.W-37.5Ni-0.04B</t>
  </si>
  <si>
    <t>Co-18.8Ni-9.Al-8.Cr-9.W-0.04B</t>
  </si>
  <si>
    <t>-19Ni-9Al-8Cr-9W-B</t>
  </si>
  <si>
    <t>NC75</t>
  </si>
  <si>
    <t>-18.8Ni</t>
  </si>
  <si>
    <t>NC75Zenk, C. H. et al. Intermediate Co/Ni-base model superalloys - Thermophysical properties, creep and oxidation. Scr. Mater. 112, 83–86 (2016).</t>
  </si>
  <si>
    <t>74.0Co-18.8Ni-9.0Al-8.0Cr-9.0W-0.04B</t>
  </si>
  <si>
    <t>-9.Al-8.Cr-9.W-18.8Ni-0.04B</t>
  </si>
  <si>
    <t>Co-9.Al-8.Cr-9.W-0.04B</t>
  </si>
  <si>
    <t>NC100</t>
  </si>
  <si>
    <t>NC100Zenk, C. H. et al. Intermediate Co/Ni-base model superalloys - Thermophysical properties, creep and oxidation. Scr. Mater. 112, 83–86 (2016).</t>
  </si>
  <si>
    <t>74.0Co-9.0Al-8.0Cr-9.0W-0.04B</t>
  </si>
  <si>
    <t>-9.Al-8.Cr-9.W-0.04B</t>
  </si>
  <si>
    <t>Co-41.5Ni-9.6Al-7.4W-0.04B</t>
  </si>
  <si>
    <t>-42Ni-10Al-7W-B</t>
  </si>
  <si>
    <t>ERBO-NC50_0Cr</t>
  </si>
  <si>
    <t>Zenk, C. H. et al. The role of the base element in γ strengthened cobalt/nickel-base superalloys. Proc. Int. Symp. Superalloys 2016-Janua, 971–980 (2016).</t>
  </si>
  <si>
    <t>-41.5Ni</t>
  </si>
  <si>
    <t>ERBO-NC50_0CrZenk, C. H. et al. The role of the base element in γ strengthened cobalt/nickel-base superalloys. Proc. Int. Symp. Superalloys 2016-Janua, 971–980 (2016).</t>
  </si>
  <si>
    <t>83.0Co-41.5Ni-9.6Al-7.4W-0.04B</t>
  </si>
  <si>
    <t>-9.6Al-7.4W-41.5Ni-0.04B</t>
  </si>
  <si>
    <t>Co-20.8Ni-9.2Al-7.4W-0.04B</t>
  </si>
  <si>
    <t>-21Ni-9Al-7W-B</t>
  </si>
  <si>
    <t>ERBO-NC75_0Cr</t>
  </si>
  <si>
    <t>-20.8Ni</t>
  </si>
  <si>
    <t>ERBO-NC75_0CrZenk, C. H. et al. The role of the base element in γ strengthened cobalt/nickel-base superalloys. Proc. Int. Symp. Superalloys 2016-Janua, 971–980 (2016).</t>
  </si>
  <si>
    <t>83.4Co-20.8Ni-9.2Al-7.4W-0.04B</t>
  </si>
  <si>
    <t>-9.2Al-7.4W-20.8Ni-0.04B</t>
  </si>
  <si>
    <t>Co-9.4Al-7.5W-0.04B</t>
  </si>
  <si>
    <t>ERBO-NC100_0Cr</t>
  </si>
  <si>
    <t>ERBO-NC100_0CrZenk, C. H. et al. The role of the base element in γ strengthened cobalt/nickel-base superalloys. Proc. Int. Symp. Superalloys 2016-Janua, 971–980 (2016).</t>
  </si>
  <si>
    <t>83.0Co-9.4Al-7.5W-0.04B</t>
  </si>
  <si>
    <t>-9.4Al-7.5W-0.04B</t>
  </si>
  <si>
    <t>Co-37.5Ni-9.Al-8.Cr-7.3W-0.04B</t>
  </si>
  <si>
    <t>-38Ni-9Al-8Cr-7W-B</t>
  </si>
  <si>
    <t>ERBO-NC50_8Cr</t>
  </si>
  <si>
    <t>ERBO-NC50_8CrZenk, C. H. et al. The role of the base element in γ strengthened cobalt/nickel-base superalloys. Proc. Int. Symp. Superalloys 2016-Janua, 971–980 (2016).</t>
  </si>
  <si>
    <t>75.7Co-37.5Ni-9.0Al-8.0Cr-7.3W-0.04B</t>
  </si>
  <si>
    <t>-9.Al-8.Cr-7.3W-37.5Ni-0.04B</t>
  </si>
  <si>
    <t>Co-18.8Ni-9.2Al-8.Cr-7.6W-0.04B</t>
  </si>
  <si>
    <t>-19Ni-9Al-8Cr-8W-B</t>
  </si>
  <si>
    <t>ERBO-NC75_8Cr</t>
  </si>
  <si>
    <t>ERBO-NC75_8CrZenk, C. H. et al. The role of the base element in γ strengthened cobalt/nickel-base superalloys. Proc. Int. Symp. Superalloys 2016-Janua, 971–980 (2016).</t>
  </si>
  <si>
    <t>75.2Co-18.8Ni-9.2Al-8.0Cr-7.6W-0.04B</t>
  </si>
  <si>
    <t>-9.2Al-8.Cr-7.6W-18.8Ni-0.04B</t>
  </si>
  <si>
    <t>Co-8.7Al-8.Cr-7.9W-0.04B</t>
  </si>
  <si>
    <t>-9Al-8Cr-8W-B</t>
  </si>
  <si>
    <t>ERBO-NC100_8Cr</t>
  </si>
  <si>
    <t>ERBO-NC100_8CrZenk, C. H. et al. The role of the base element in γ strengthened cobalt/nickel-base superalloys. Proc. Int. Symp. Superalloys 2016-Janua, 971–980 (2016).</t>
  </si>
  <si>
    <t>75.4Co-8.7Al-8.0Cr-7.9W-0.04B</t>
  </si>
  <si>
    <t>-8.7Al-8.Cr-7.9W-0.04B</t>
  </si>
  <si>
    <t>Co-12.6Ti</t>
  </si>
  <si>
    <t>-13Ti</t>
  </si>
  <si>
    <t>WG_B</t>
  </si>
  <si>
    <t>Zenk, C. H., Neumeier, S., Stone, H. J. &amp; Göken, M. Mechanical properties and lattice misfit of γ/γ’ strengthened Co-base superalloys in the Co-W-Al-Ti quaternary system. Intermetallics 55, 28–39 (2014).</t>
  </si>
  <si>
    <t>-12.6Ti</t>
  </si>
  <si>
    <t>WG_BZenk, C. H., Neumeier, S., Stone, H. J. &amp; Göken, M. Mechanical properties and lattice misfit of γ/γ’ strengthened Co-base superalloys in the Co-W-Al-Ti quaternary system. Intermetallics 55, 28–39 (2014).</t>
  </si>
  <si>
    <t>87.4Co-12.6Ti</t>
  </si>
  <si>
    <t>Co-12.2Ti</t>
  </si>
  <si>
    <t>WG</t>
  </si>
  <si>
    <t>-12.2Ti</t>
  </si>
  <si>
    <t>WGZenk, C. H., Neumeier, S., Stone, H. J. &amp; Göken, M. Mechanical properties and lattice misfit of γ/γ’ strengthened Co-base superalloys in the Co-W-Al-Ti quaternary system. Intermetallics 55, 28–39 (2014).</t>
  </si>
  <si>
    <t>87.8Co-12.2Ti</t>
  </si>
  <si>
    <t>Co-1.2Al-1.W-11.2Ti</t>
  </si>
  <si>
    <t>-1Al-1W-11Ti</t>
  </si>
  <si>
    <t>WF_B</t>
  </si>
  <si>
    <t>-1.2Al</t>
  </si>
  <si>
    <t>-11.2Ti</t>
  </si>
  <si>
    <t>WF_BZenk, C. H., Neumeier, S., Stone, H. J. &amp; Göken, M. Mechanical properties and lattice misfit of γ/γ’ strengthened Co-base superalloys in the Co-W-Al-Ti quaternary system. Intermetallics 55, 28–39 (2014).</t>
  </si>
  <si>
    <t>86.6Co-1.2Al-1.0W-11.2Ti</t>
  </si>
  <si>
    <t>-1.2Al-1.W-11.2Ti</t>
  </si>
  <si>
    <t>Co-1.4Al-1.3W-10.3Ti</t>
  </si>
  <si>
    <t>-1Al-1W-10Ti</t>
  </si>
  <si>
    <t>WF</t>
  </si>
  <si>
    <t>-1.4Al</t>
  </si>
  <si>
    <t>-10.3Ti</t>
  </si>
  <si>
    <t>WFZenk, C. H., Neumeier, S., Stone, H. J. &amp; Göken, M. Mechanical properties and lattice misfit of γ/γ’ strengthened Co-base superalloys in the Co-W-Al-Ti quaternary system. Intermetallics 55, 28–39 (2014).</t>
  </si>
  <si>
    <t>87.0Co-1.4Al-1.3W-10.3Ti</t>
  </si>
  <si>
    <t>-1.4Al-1.3W-10.3Ti</t>
  </si>
  <si>
    <t>Co-2.7Al-2.5W-8.8Ti</t>
  </si>
  <si>
    <t>-3Al-3W-9Ti</t>
  </si>
  <si>
    <t>WE_B</t>
  </si>
  <si>
    <t>-8.8Ti</t>
  </si>
  <si>
    <t>WE_BZenk, C. H., Neumeier, S., Stone, H. J. &amp; Göken, M. Mechanical properties and lattice misfit of γ/γ’ strengthened Co-base superalloys in the Co-W-Al-Ti quaternary system. Intermetallics 55, 28–39 (2014).</t>
  </si>
  <si>
    <t>86.0Co-2.7Al-2.5W-8.8Ti</t>
  </si>
  <si>
    <t>-2.7Al-2.5W-8.8Ti</t>
  </si>
  <si>
    <t>Co-2.8Al-2.5W-8.5Ti</t>
  </si>
  <si>
    <t>WE</t>
  </si>
  <si>
    <t>-8.5Ti</t>
  </si>
  <si>
    <t>WEZenk, C. H., Neumeier, S., Stone, H. J. &amp; Göken, M. Mechanical properties and lattice misfit of γ/γ’ strengthened Co-base superalloys in the Co-W-Al-Ti quaternary system. Intermetallics 55, 28–39 (2014).</t>
  </si>
  <si>
    <t>86.2Co-2.8Al-2.5W-8.5Ti</t>
  </si>
  <si>
    <t>-2.8Al-2.5W-8.5Ti</t>
  </si>
  <si>
    <t>Co-4.2Al-3.7W-6.7Ti</t>
  </si>
  <si>
    <t>-4Al-4W-7Ti</t>
  </si>
  <si>
    <t>WD_B</t>
  </si>
  <si>
    <t>-4.2Al</t>
  </si>
  <si>
    <t>-6.7Ti</t>
  </si>
  <si>
    <t>WD_BZenk, C. H., Neumeier, S., Stone, H. J. &amp; Göken, M. Mechanical properties and lattice misfit of γ/γ’ strengthened Co-base superalloys in the Co-W-Al-Ti quaternary system. Intermetallics 55, 28–39 (2014).</t>
  </si>
  <si>
    <t>85.4Co-4.2Al-3.7W-6.7Ti</t>
  </si>
  <si>
    <t>-4.2Al-3.7W-6.7Ti</t>
  </si>
  <si>
    <t>Co-4.5Al-4.1W-6.1Ti</t>
  </si>
  <si>
    <t>-5Al-4W-6Ti</t>
  </si>
  <si>
    <t>WD</t>
  </si>
  <si>
    <t>WDZenk, C. H., Neumeier, S., Stone, H. J. &amp; Göken, M. Mechanical properties and lattice misfit of γ/γ’ strengthened Co-base superalloys in the Co-W-Al-Ti quaternary system. Intermetallics 55, 28–39 (2014).</t>
  </si>
  <si>
    <t>85.3Co-4.5Al-4.1W-6.1Ti</t>
  </si>
  <si>
    <t>-4.5Al-4.1W-6.1Ti</t>
  </si>
  <si>
    <t>Co-6.Al-5.5W-4.3Ti</t>
  </si>
  <si>
    <t>-6Al-6W-4Ti</t>
  </si>
  <si>
    <t>WC_B</t>
  </si>
  <si>
    <t>WC_BZenk, C. H., Neumeier, S., Stone, H. J. &amp; Göken, M. Mechanical properties and lattice misfit of γ/γ’ strengthened Co-base superalloys in the Co-W-Al-Ti quaternary system. Intermetallics 55, 28–39 (2014).</t>
  </si>
  <si>
    <t>84.2Co-6.0Al-5.5W-4.3Ti</t>
  </si>
  <si>
    <t>-6.Al-5.5W-4.3Ti</t>
  </si>
  <si>
    <t>Co-7.Al-6.1W-3.7Ti</t>
  </si>
  <si>
    <t>-7Al-6W-4Ti</t>
  </si>
  <si>
    <t>WC</t>
  </si>
  <si>
    <t>-3.7Ti</t>
  </si>
  <si>
    <t>WCZenk, C. H., Neumeier, S., Stone, H. J. &amp; Göken, M. Mechanical properties and lattice misfit of γ/γ’ strengthened Co-base superalloys in the Co-W-Al-Ti quaternary system. Intermetallics 55, 28–39 (2014).</t>
  </si>
  <si>
    <t>83.2Co-7.0Al-6.1W-3.7Ti</t>
  </si>
  <si>
    <t>-7.Al-6.1W-3.7Ti</t>
  </si>
  <si>
    <t>Co-7.5Al-6.8W-2.3Ti</t>
  </si>
  <si>
    <t>-8Al-7W-2Ti</t>
  </si>
  <si>
    <t>WB_B</t>
  </si>
  <si>
    <t>WB_BZenk, C. H., Neumeier, S., Stone, H. J. &amp; Göken, M. Mechanical properties and lattice misfit of γ/γ’ strengthened Co-base superalloys in the Co-W-Al-Ti quaternary system. Intermetallics 55, 28–39 (2014).</t>
  </si>
  <si>
    <t>83.4Co-7.5Al-6.8W-2.3Ti</t>
  </si>
  <si>
    <t>-7.5Al-6.8W-2.3Ti</t>
  </si>
  <si>
    <t>Co-8.4Al-7.5W-1.9Ti</t>
  </si>
  <si>
    <t>-8Al-8W-2Ti</t>
  </si>
  <si>
    <t>WB</t>
  </si>
  <si>
    <t>WBZenk, C. H., Neumeier, S., Stone, H. J. &amp; Göken, M. Mechanical properties and lattice misfit of γ/γ’ strengthened Co-base superalloys in the Co-W-Al-Ti quaternary system. Intermetallics 55, 28–39 (2014).</t>
  </si>
  <si>
    <t>82.2Co-8.4Al-7.5W-1.9Ti</t>
  </si>
  <si>
    <t>-8.4Al-7.5W-1.9Ti</t>
  </si>
  <si>
    <t>Co-9.9Al-8.8W</t>
  </si>
  <si>
    <t>-10Al-9W</t>
  </si>
  <si>
    <t>WA</t>
  </si>
  <si>
    <t>WAZenk, C. H., Neumeier, S., Stone, H. J. &amp; Göken, M. Mechanical properties and lattice misfit of γ/γ’ strengthened Co-base superalloys in the Co-W-Al-Ti quaternary system. Intermetallics 55, 28–39 (2014).</t>
  </si>
  <si>
    <t>81.3Co-9.9Al-8.8W</t>
  </si>
  <si>
    <t>-9.9Al-8.8W</t>
  </si>
  <si>
    <t>Co-8.9Al-8.2W</t>
  </si>
  <si>
    <t>WA_B</t>
  </si>
  <si>
    <t>WA_BZenk, C. H., Neumeier, S., Stone, H. J. &amp; Göken, M. Mechanical properties and lattice misfit of γ/γ’ strengthened Co-base superalloys in the Co-W-Al-Ti quaternary system. Intermetallics 55, 28–39 (2014).</t>
  </si>
  <si>
    <t>82.9Co-8.9Al-8.2W</t>
  </si>
  <si>
    <t>-8.9Al-8.2W</t>
  </si>
  <si>
    <t>Co-30.Ni-4.1Al-12.Cr-2.W-4.9Ti-1.Ta-1.6Mo-0.4Si-0.1Hf-0.07C-0.01Zr-0.09B</t>
  </si>
  <si>
    <t>-30Ni-4Al-12Cr-2W-5Ti-1Ta-2Mo-Si-Hf-C-Zr-B</t>
  </si>
  <si>
    <t>4Al-4.9Ti</t>
  </si>
  <si>
    <t>Zhang, Y. Y. et al. Microstructure Evolution of Multicomponent γ′-Strengthened Co-Based Superalloy at 750 °C and 1000 °C with Different Al and Ti Contents. Metall. Mater. Trans. A Phys. Metall. Mater. Sci. 51, 1755–1770 (2020).</t>
  </si>
  <si>
    <t>-4.1Al</t>
  </si>
  <si>
    <t>-1.6Mo</t>
  </si>
  <si>
    <t>-0.07C</t>
  </si>
  <si>
    <t>-0.09B</t>
  </si>
  <si>
    <t>4Al-4.9TiZhang, Y. Y. et al. Microstructure Evolution of Multicomponent γ′-Strengthened Co-Based Superalloy at 750 °C and 1000 °C with Different Al and Ti Contents. Metall. Mater. Trans. A Phys. Metall. Mater. Sci. 51, 1755–1770 (2020).</t>
  </si>
  <si>
    <t>73.9Co-30.0Ni-4.1Al-12.0Cr-2.0W-4.9Ti-1.0Ta-1.6Mo-0.4Si-0.1Hf-0.07C-0.01Zr-0.09B</t>
  </si>
  <si>
    <t>-4.1Al-12.Cr-2.W-1.Ta-30.Ni-1.6Mo-4.9Ti-0.07C-0.4Si-0.01Zr-0.09B-0.1Hf</t>
  </si>
  <si>
    <t>Co-30.1Ni-5.6Al-11.9Cr-2.1W-4.3Ti-1.Ta-1.6Mo-0.4Si-0.1Hf-0.07C-0.01Zr-0.09B</t>
  </si>
  <si>
    <t>-30Ni-6Al-12Cr-2W-4Ti-1Ta-2Mo-Si-Hf-C-Zr-B</t>
  </si>
  <si>
    <t>5.5Al-5.2Ti</t>
  </si>
  <si>
    <t>-11.9Cr</t>
  </si>
  <si>
    <t>5.5Al-5.2TiZhang, Y. Y. et al. Microstructure Evolution of Multicomponent γ′-Strengthened Co-Based Superalloy at 750 °C and 1000 °C with Different Al and Ti Contents. Metall. Mater. Trans. A Phys. Metall. Mater. Sci. 51, 1755–1770 (2020).</t>
  </si>
  <si>
    <t>72.9Co-30.1Ni-5.6Al-11.9Cr-2.1W-4.3Ti-1.0Ta-1.6Mo-0.4Si-0.1Hf-0.07C-0.01Zr-0.09B</t>
  </si>
  <si>
    <t>-5.6Al-11.9Cr-2.1W-1.Ta-30.1Ni-1.6Mo-4.3Ti-0.07C-0.4Si-0.01Zr-0.09B-0.1Hf</t>
  </si>
  <si>
    <t>Co-30.1Ni-7.1Al-12.1Cr-2.W-3.5Ti-1.Ta-1.3Mo-0.4Si-0.1Hf-0.08C-0.01Zr-0.09B</t>
  </si>
  <si>
    <t>-30Ni-7Al-12Cr-2W-3Ti-1Ta-1Mo-Si-Hf-C-Zr-B</t>
  </si>
  <si>
    <t>7Al-3.5Ti</t>
  </si>
  <si>
    <t>-1.3Mo</t>
  </si>
  <si>
    <t>7Al-3.5TiZhang, Y. Y. et al. Microstructure Evolution of Multicomponent γ′-Strengthened Co-Based Superalloy at 750 °C and 1000 °C with Different Al and Ti Contents. Metall. Mater. Trans. A Phys. Metall. Mater. Sci. 51, 1755–1770 (2020).</t>
  </si>
  <si>
    <t>72.3Co-30.1Ni-7.1Al-12.1Cr-2.0W-3.5Ti-1.0Ta-1.3Mo-0.4Si-0.1Hf-0.08C-0.01Zr-0.09B</t>
  </si>
  <si>
    <t>-7.1Al-12.1Cr-2.W-1.Ta-30.1Ni-1.3Mo-3.5Ti-0.08C-0.4Si-0.01Zr-0.09B-0.1Hf</t>
  </si>
  <si>
    <t>Co-30.Ni-4.Al-12.Cr-2.W-4.9Ti-1.Ta-1.5Mo-0.4Si-0.1Hf-0.07C-0.01Zr-0.09B</t>
  </si>
  <si>
    <t>Zhang, Y. Y. Y. Y., Fu, H., Zhou, X., Zhang, Y. Y. Y. Y. &amp; Xie, J. Enhanced mechanical properties of wrought γ′-strengthened Co-base superalloys by adjusting the relative content of Al and Ti. Intermetallics 112, 106543 (2019).</t>
  </si>
  <si>
    <t>4Al-4.9TiZhang, Y. Y. Y. Y., Fu, H., Zhou, X., Zhang, Y. Y. Y. Y. &amp; Xie, J. Enhanced mechanical properties of wrought γ′-strengthened Co-base superalloys by adjusting the relative content of Al and Ti. Intermetallics 112, 106543 (2019).</t>
  </si>
  <si>
    <t>73.9Co-30.0Ni-4.0Al-12.0Cr-2.0W-4.9Ti-1.0Ta-1.5Mo-0.4Si-0.1Hf-0.07C-0.01Zr-0.09B</t>
  </si>
  <si>
    <t>-4.Al-12.Cr-2.W-1.Ta-30.Ni-1.5Mo-4.9Ti-0.07C-0.4Si-0.01Zr-0.09B-0.1Hf</t>
  </si>
  <si>
    <t>Co-30.Ni-5.5Al-12.Cr-2.W-4.2Ti-1.Ta-1.5Mo-0.4Si-0.1Hf-0.07C-0.01Zr-0.09B</t>
  </si>
  <si>
    <t>5.5Al-4.2Ti</t>
  </si>
  <si>
    <t>5.5Al-4.2TiZhang, Y. Y. Y. Y., Fu, H., Zhou, X., Zhang, Y. Y. Y. Y. &amp; Xie, J. Enhanced mechanical properties of wrought γ′-strengthened Co-base superalloys by adjusting the relative content of Al and Ti. Intermetallics 112, 106543 (2019).</t>
  </si>
  <si>
    <t>73.1Co-30.0Ni-5.5Al-12.0Cr-2.0W-4.2Ti-1.0Ta-1.5Mo-0.4Si-0.1Hf-0.07C-0.01Zr-0.09B</t>
  </si>
  <si>
    <t>-5.5Al-12.Cr-2.W-1.Ta-30.Ni-1.5Mo-4.2Ti-0.07C-0.4Si-0.01Zr-0.09B-0.1Hf</t>
  </si>
  <si>
    <t>Co-30.Ni-6.Al-12.Cr-2.W-3.5Ti-1.Ta-1.5Mo-0.4Si-0.1Hf-0.09C-0.01Zr-0.08B</t>
  </si>
  <si>
    <t>6Al-3.5Ti</t>
  </si>
  <si>
    <t>-0.09C</t>
  </si>
  <si>
    <t>6Al-3.5TiZhang, Y. Y. Y. Y., Fu, H., Zhou, X., Zhang, Y. Y. Y. Y. &amp; Xie, J. Enhanced mechanical properties of wrought γ′-strengthened Co-base superalloys by adjusting the relative content of Al and Ti. Intermetallics 112, 106543 (2019).</t>
  </si>
  <si>
    <t>73.3Co-30.0Ni-6.0Al-12.0Cr-2.0W-3.5Ti-1.0Ta-1.5Mo-0.4Si-0.1Hf-0.09C-0.01Zr-0.08B</t>
  </si>
  <si>
    <t>-6.Al-12.Cr-2.W-1.Ta-30.Ni-1.5Mo-3.5Ti-0.09C-0.4Si-0.01Zr-0.08B-0.1Hf</t>
  </si>
  <si>
    <t>Co-30.Ni-7.Al-12.Cr-2.W-3.5Ti-1.Ta-1.5Mo-0.4Si-0.1Hf-0.08C-0.01Zr-0.09B</t>
  </si>
  <si>
    <t>-30Ni-7Al-12Cr-2W-4Ti-1Ta-2Mo-Si-Hf-C-Zr-B</t>
  </si>
  <si>
    <t>7Al-3.5TiZhang, Y. Y. Y. Y., Fu, H., Zhou, X., Zhang, Y. Y. Y. Y. &amp; Xie, J. Enhanced mechanical properties of wrought γ′-strengthened Co-base superalloys by adjusting the relative content of Al and Ti. Intermetallics 112, 106543 (2019).</t>
  </si>
  <si>
    <t>72.3Co-30.0Ni-7.0Al-12.0Cr-2.0W-3.5Ti-1.0Ta-1.5Mo-0.4Si-0.1Hf-0.08C-0.01Zr-0.09B</t>
  </si>
  <si>
    <t>-7.Al-12.Cr-2.W-1.Ta-30.Ni-1.5Mo-3.5Ti-0.08C-0.4Si-0.01Zr-0.09B-0.1Hf</t>
  </si>
  <si>
    <t>Co-6.Al-3.W</t>
  </si>
  <si>
    <t>-6Al-3W</t>
  </si>
  <si>
    <t>6Al3W</t>
  </si>
  <si>
    <t>Zhang, Y. Y. Y., Fu, H., Zhou, X., Zhang, Y. Y. Y. &amp; Xie, J. Effects of aluminum and molybdenum content on the microstructure and properties of multi-component γ′-strengthened cobalt-base superalloys. Mater. Sci. Eng. A 737, 265–273 (2018).</t>
  </si>
  <si>
    <t>6Al3WZhang, Y. Y. Y., Fu, H., Zhou, X., Zhang, Y. Y. Y. &amp; Xie, J. Effects of aluminum and molybdenum content on the microstructure and properties of multi-component γ′-strengthened cobalt-base superalloys. Mater. Sci. Eng. A 737, 265–273 (2018).</t>
  </si>
  <si>
    <t>91.0Co-6.0Al-3.0W</t>
  </si>
  <si>
    <t>-6.Al-3.W</t>
  </si>
  <si>
    <t>Co-6.Al-2.W-1.Mo</t>
  </si>
  <si>
    <t>-6Al-2W-1Mo</t>
  </si>
  <si>
    <t>6Al2W1Mo</t>
  </si>
  <si>
    <t>6Al2W1MoZhang, Y. Y. Y., Fu, H., Zhou, X., Zhang, Y. Y. Y. &amp; Xie, J. Effects of aluminum and molybdenum content on the microstructure and properties of multi-component γ′-strengthened cobalt-base superalloys. Mater. Sci. Eng. A 737, 265–273 (2018).</t>
  </si>
  <si>
    <t>91.0Co-6.0Al-2.0W-1.0Mo</t>
  </si>
  <si>
    <t>-6.Al-2.W-1.Mo</t>
  </si>
  <si>
    <t>Co-8.Al-3.W</t>
  </si>
  <si>
    <t>-8Al-3W</t>
  </si>
  <si>
    <t>8Al3W</t>
  </si>
  <si>
    <t>8Al3WZhang, Y. Y. Y., Fu, H., Zhou, X., Zhang, Y. Y. Y. &amp; Xie, J. Effects of aluminum and molybdenum content on the microstructure and properties of multi-component γ′-strengthened cobalt-base superalloys. Mater. Sci. Eng. A 737, 265–273 (2018).</t>
  </si>
  <si>
    <t>89.0Co-8.0Al-3.0W</t>
  </si>
  <si>
    <t>-8.Al-3.W</t>
  </si>
  <si>
    <t>Co-8.Al-2.W-1.Mo</t>
  </si>
  <si>
    <t>-8Al-2W-1Mo</t>
  </si>
  <si>
    <t>8Al2W1Mo</t>
  </si>
  <si>
    <t>8Al2W1MoZhang, Y. Y. Y., Fu, H., Zhou, X., Zhang, Y. Y. Y. &amp; Xie, J. Effects of aluminum and molybdenum content on the microstructure and properties of multi-component γ′-strengthened cobalt-base superalloys. Mater. Sci. Eng. A 737, 265–273 (2018).</t>
  </si>
  <si>
    <t>89.0Co-8.0Al-2.0W-1.0Mo</t>
  </si>
  <si>
    <t>-8.Al-2.W-1.Mo</t>
  </si>
  <si>
    <t>Co-8.Al-1.W-2.Mo</t>
  </si>
  <si>
    <t>-8Al-1W-2Mo</t>
  </si>
  <si>
    <t>8Al1W2Mo</t>
  </si>
  <si>
    <t>8Al1W2MoZhang, Y. Y. Y., Fu, H., Zhou, X., Zhang, Y. Y. Y. &amp; Xie, J. Effects of aluminum and molybdenum content on the microstructure and properties of multi-component γ′-strengthened cobalt-base superalloys. Mater. Sci. Eng. A 737, 265–273 (2018).</t>
  </si>
  <si>
    <t>89.0Co-8.0Al-1.0W-2.0Mo</t>
  </si>
  <si>
    <t>-8.Al-1.W-2.Mo</t>
  </si>
  <si>
    <t>Co-9.Al-9.W-2.Ta-0.02B</t>
  </si>
  <si>
    <t>Co–9Al–9W–2Ta–0.02B</t>
  </si>
  <si>
    <t>Zhong, F., Li, S. &amp; Sha, J. Tensile behaviour of Co-Al-W-Ta-B-Mo alloys with a coherent γ/γ’ microstructure at room and high temperatures. Mater. Sci. Eng. A 637, 175–182 (2015).</t>
  </si>
  <si>
    <t>Co–9Al–9W–2Ta–0.02BZhong, F., Li, S. &amp; Sha, J. Tensile behaviour of Co-Al-W-Ta-B-Mo alloys with a coherent γ/γ’ microstructure at room and high temperatures. Mater. Sci. Eng. A 637, 175–182 (2015).</t>
  </si>
  <si>
    <t>80.0Co-9.0Al-9.0W-2.0Ta-0.02B</t>
  </si>
  <si>
    <t>-9.Al-9.W-2.Ta-0.02B</t>
  </si>
  <si>
    <t>Co–9Al–7W–2Ta–0.02B–2Mo</t>
  </si>
  <si>
    <t>Co–9Al–7W–2Ta–0.02B–2MoZhong, F., Li, S. &amp; Sha, J. Tensile behaviour of Co-Al-W-Ta-B-Mo alloys with a coherent γ/γ’ microstructure at room and high temperatures. Mater. Sci. Eng. A 637, 175–182 (2015).</t>
  </si>
  <si>
    <t>Co–9Al–5W–2Ta–0.02B–4Mo</t>
  </si>
  <si>
    <t>Co–9Al–5W–2Ta–0.02B–4MoZhong, F., Li, S. &amp; Sha, J. Tensile behaviour of Co-Al-W-Ta-B-Mo alloys with a coherent γ/γ’ microstructure at room and high temperatures. Mater. Sci. Eng. A 637, 175–182 (2015).</t>
  </si>
  <si>
    <t>Co-9.Al-4.5W-2.Ta-4.5Mo-0.Ce-0.02B</t>
  </si>
  <si>
    <t>-9Al-5W-2Ta-5Mo-0Ce-B</t>
  </si>
  <si>
    <t>Co-9Al-4.5W-4.5Mo-2Ta-0.02B-0.01Ce</t>
  </si>
  <si>
    <t>Zhong, F., Yu, Y. X., Li, S. S. &amp; Sha, J. B. In-situ SEM and TEM tensile observations of novel Co-Al-W-Mo-Ta-B-Ce alloys with a coherent γ-CoSS/γ’-Co3(Al,W) microstructure at room temperature. Mater. Sci. Eng. A 696, 96–103 (2017).</t>
  </si>
  <si>
    <t>-4.5W</t>
  </si>
  <si>
    <t>-0.Ce</t>
  </si>
  <si>
    <t>Co-9Al-4.5W-4.5Mo-2Ta-0.02B-0.01CeZhong, F., Yu, Y. X., Li, S. S. &amp; Sha, J. B. In-situ SEM and TEM tensile observations of novel Co-Al-W-Mo-Ta-B-Ce alloys with a coherent γ-CoSS/γ’-Co3(Al,W) microstructure at room temperature. Mater. Sci. Eng. A 696, 96–103 (2017).</t>
  </si>
  <si>
    <t>80.0Co-9.0Al-4.5W-2.0Ta-4.5Mo-0.0Ce-0.02B</t>
  </si>
  <si>
    <t>-9.Al-4.5W-2.Ta-4.5Mo-0.Ce-0.02B</t>
  </si>
  <si>
    <t>Co-9.Al-4.5W-2.Ta-4.5Mo-0.1Ce-0.02B</t>
  </si>
  <si>
    <t>Co-9Al-4.5W-4.5Mo-2Ta-0.02B-0.1Ce</t>
  </si>
  <si>
    <t>-0.1Ce</t>
  </si>
  <si>
    <t>Co-9Al-4.5W-4.5Mo-2Ta-0.02B-0.1CeZhong, F., Yu, Y. X., Li, S. S. &amp; Sha, J. B. In-situ SEM and TEM tensile observations of novel Co-Al-W-Mo-Ta-B-Ce alloys with a coherent γ-CoSS/γ’-Co3(Al,W) microstructure at room temperature. Mater. Sci. Eng. A 696, 96–103 (2017).</t>
  </si>
  <si>
    <t>79.9Co-9.0Al-4.5W-2.0Ta-4.5Mo-0.1Ce-0.02B</t>
  </si>
  <si>
    <t>-9.Al-4.5W-2.Ta-4.5Mo-0.1Ce-0.02B</t>
  </si>
  <si>
    <t>Co-31.Ni-2.6Al-11.Cr-9.W-2.Ti-0.2Si-0.3Hf-0.07C-0.02B</t>
  </si>
  <si>
    <t>-31Ni-3Al-11Cr-9W-2Ti-Si-Hf-C-B</t>
  </si>
  <si>
    <t>Zhong alloy 1</t>
  </si>
  <si>
    <t>Zhong, X. &amp; Han, F. Hot deformation behavior of a new tailored cobalt-based superalloy for turbine discs. J. Mater. Res. 35, 633–643 (2020).</t>
  </si>
  <si>
    <t>-0.2Si</t>
  </si>
  <si>
    <t>-0.3Hf</t>
  </si>
  <si>
    <t>Zhong alloy 1Zhong, X. &amp; Han, F. Hot deformation behavior of a new tailored cobalt-based superalloy for turbine discs. J. Mater. Res. 35, 633–643 (2020).</t>
  </si>
  <si>
    <t>74.8Co-31.0Ni-2.6Al-11.0Cr-9.0W-2.0Ti-0.2Si-0.3Hf-0.07C-0.02B</t>
  </si>
  <si>
    <t>-2.6Al-11.Cr-9.W-31.Ni-2.Ti-0.07C-0.2Si-0.02B-0.3Hf</t>
  </si>
  <si>
    <t>Co-32.Ni-0.3Fe-6.Al-12.Cr-3.W-2.5Ti-1.5Ta-0.4Nb</t>
  </si>
  <si>
    <t>-32Ni-0Fe-6Al-12Cr-3W-3Ti-2Ta-0Nb</t>
  </si>
  <si>
    <t>Co-32Ni-12Cr-6Al-3W-2.5Ti-1.5Ta-0.3Fe-0.4Nb</t>
  </si>
  <si>
    <t>Zhong, X. K., Wang, X. F., Si, Y. L. &amp; Han, F. S. Evolution of Microstructures and Properties of a New γ/γ′ Co-Based Superalloy via Forging Process. JOM 71, 4034–4040 (2019).</t>
  </si>
  <si>
    <t>-0.3Fe</t>
  </si>
  <si>
    <t>Co-32Ni-12Cr-6Al-3W-2.5Ti-1.5Ta-0.3Fe-0.4NbZhong, X. K., Wang, X. F., Si, Y. L. &amp; Han, F. S. Evolution of Microstructures and Properties of a New γ/γ′ Co-Based Superalloy via Forging Process. JOM 71, 4034–4040 (2019).</t>
  </si>
  <si>
    <t>74.3Co-32.0Ni-0.3Fe-6.0Al-12.0Cr-3.0W-2.5Ti-1.5Ta-0.4Nb</t>
  </si>
  <si>
    <t>-6.Al-12.Cr-3.W-1.5Ta-32.Ni-0.4Nb-2.5Ti-0.3Fe</t>
  </si>
  <si>
    <t>Co-20.7Ta</t>
  </si>
  <si>
    <t>Zhou, C., Guo, C., Li, C. &amp; Du, Z. Investigation on the intermetallic compound Co 3 Ta and high-temperature phase equilibria in the Co–Ni–Ta system. Intermetallics 108, 1–18 (2019).</t>
  </si>
  <si>
    <t>-20.7Ta</t>
  </si>
  <si>
    <t>A1Zhou, C., Guo, C., Li, C. &amp; Du, Z. Investigation on the intermetallic compound Co 3 Ta and high-temperature phase equilibria in the Co–Ni–Ta system. Intermetallics 108, 1–18 (2019).</t>
  </si>
  <si>
    <t>79.3Co-20.7Ta</t>
  </si>
  <si>
    <t>Co-21.3Ta</t>
  </si>
  <si>
    <t>-21.3Ta</t>
  </si>
  <si>
    <t>A2Zhou, C., Guo, C., Li, C. &amp; Du, Z. Investigation on the intermetallic compound Co 3 Ta and high-temperature phase equilibria in the Co–Ni–Ta system. Intermetallics 108, 1–18 (2019).</t>
  </si>
  <si>
    <t>78.7Co-21.3Ta</t>
  </si>
  <si>
    <t>Co-23.7Ta</t>
  </si>
  <si>
    <t>-23.7Ta</t>
  </si>
  <si>
    <t>A3Zhou, C., Guo, C., Li, C. &amp; Du, Z. Investigation on the intermetallic compound Co 3 Ta and high-temperature phase equilibria in the Co–Ni–Ta system. Intermetallics 108, 1–18 (2019).</t>
  </si>
  <si>
    <t>76.3Co-23.7Ta</t>
  </si>
  <si>
    <t>Co-24.4Ta</t>
  </si>
  <si>
    <t>-24.4Ta</t>
  </si>
  <si>
    <t>A4Zhou, C., Guo, C., Li, C. &amp; Du, Z. Investigation on the intermetallic compound Co 3 Ta and high-temperature phase equilibria in the Co–Ni–Ta system. Intermetallics 108, 1–18 (2019).</t>
  </si>
  <si>
    <t>75.6Co-24.4Ta</t>
  </si>
  <si>
    <t>Co-25.8Ta</t>
  </si>
  <si>
    <t>-26Ta</t>
  </si>
  <si>
    <t>A5</t>
  </si>
  <si>
    <t>-25.8Ta</t>
  </si>
  <si>
    <t>A5Zhou, C., Guo, C., Li, C. &amp; Du, Z. Investigation on the intermetallic compound Co 3 Ta and high-temperature phase equilibria in the Co–Ni–Ta system. Intermetallics 108, 1–18 (2019).</t>
  </si>
  <si>
    <t>74.2Co-25.8Ta</t>
  </si>
  <si>
    <t>Co-27.4Ta</t>
  </si>
  <si>
    <t>-27Ta</t>
  </si>
  <si>
    <t>A6</t>
  </si>
  <si>
    <t>-27.4Ta</t>
  </si>
  <si>
    <t>A6Zhou, C., Guo, C., Li, C. &amp; Du, Z. Investigation on the intermetallic compound Co 3 Ta and high-temperature phase equilibria in the Co–Ni–Ta system. Intermetallics 108, 1–18 (2019).</t>
  </si>
  <si>
    <t>72.6Co-27.4Ta</t>
  </si>
  <si>
    <t>Co-12.6Ni-76.8Ta</t>
  </si>
  <si>
    <t>-13Ni-77Ta</t>
  </si>
  <si>
    <t>B1</t>
  </si>
  <si>
    <t>-12.6Ni</t>
  </si>
  <si>
    <t>-76.8Ta</t>
  </si>
  <si>
    <t>B1Zhou, C., Guo, C., Li, C. &amp; Du, Z. Investigation on the intermetallic compound Co 3 Ta and high-temperature phase equilibria in the Co–Ni–Ta system. Intermetallics 108, 1–18 (2019).</t>
  </si>
  <si>
    <t>23.2Co-12.6Ni-76.8Ta</t>
  </si>
  <si>
    <t>-76.8Ta-12.6Ni</t>
  </si>
  <si>
    <t>Co-15.1Ni-68.6Ta</t>
  </si>
  <si>
    <t>-15Ni-69Ta</t>
  </si>
  <si>
    <t>B2</t>
  </si>
  <si>
    <t>-15.1Ni</t>
  </si>
  <si>
    <t>-68.6Ta</t>
  </si>
  <si>
    <t>B2Zhou, C., Guo, C., Li, C. &amp; Du, Z. Investigation on the intermetallic compound Co 3 Ta and high-temperature phase equilibria in the Co–Ni–Ta system. Intermetallics 108, 1–18 (2019).</t>
  </si>
  <si>
    <t>31.4Co-15.1Ni-68.6Ta</t>
  </si>
  <si>
    <t>-68.6Ta-15.1Ni</t>
  </si>
  <si>
    <t>Co-11.6Ni-59.1Ta</t>
  </si>
  <si>
    <t>-12Ni-59Ta</t>
  </si>
  <si>
    <t>B3</t>
  </si>
  <si>
    <t>-11.6Ni</t>
  </si>
  <si>
    <t>-59.1Ta</t>
  </si>
  <si>
    <t>B3Zhou, C., Guo, C., Li, C. &amp; Du, Z. Investigation on the intermetallic compound Co 3 Ta and high-temperature phase equilibria in the Co–Ni–Ta system. Intermetallics 108, 1–18 (2019).</t>
  </si>
  <si>
    <t>40.9Co-11.6Ni-59.1Ta</t>
  </si>
  <si>
    <t>-59.1Ta-11.6Ni</t>
  </si>
  <si>
    <t>Co-28.6Ni-59.2Ta</t>
  </si>
  <si>
    <t>-29Ni-59Ta</t>
  </si>
  <si>
    <t>B4</t>
  </si>
  <si>
    <t>-28.6Ni</t>
  </si>
  <si>
    <t>-59.2Ta</t>
  </si>
  <si>
    <t>B4Zhou, C., Guo, C., Li, C. &amp; Du, Z. Investigation on the intermetallic compound Co 3 Ta and high-temperature phase equilibria in the Co–Ni–Ta system. Intermetallics 108, 1–18 (2019).</t>
  </si>
  <si>
    <t>40.8Co-28.6Ni-59.2Ta</t>
  </si>
  <si>
    <t>-59.2Ta-28.6Ni</t>
  </si>
  <si>
    <t>Co-11.1Ni-50.7Ta</t>
  </si>
  <si>
    <t>-11Ni-51Ta</t>
  </si>
  <si>
    <t>B5</t>
  </si>
  <si>
    <t>-50.7Ta</t>
  </si>
  <si>
    <t>B5Zhou, C., Guo, C., Li, C. &amp; Du, Z. Investigation on the intermetallic compound Co 3 Ta and high-temperature phase equilibria in the Co–Ni–Ta system. Intermetallics 108, 1–18 (2019).</t>
  </si>
  <si>
    <t>49.3Co-11.1Ni-50.7Ta</t>
  </si>
  <si>
    <t>-50.7Ta-11.1Ni</t>
  </si>
  <si>
    <t>Co-39.7Ni-48.7Ta</t>
  </si>
  <si>
    <t>-40Ni-49Ta</t>
  </si>
  <si>
    <t>B6</t>
  </si>
  <si>
    <t>-48.7Ta</t>
  </si>
  <si>
    <t>B6Zhou, C., Guo, C., Li, C. &amp; Du, Z. Investigation on the intermetallic compound Co 3 Ta and high-temperature phase equilibria in the Co–Ni–Ta system. Intermetallics 108, 1–18 (2019).</t>
  </si>
  <si>
    <t>51.3Co-39.7Ni-48.7Ta</t>
  </si>
  <si>
    <t>-48.7Ta-39.7Ni</t>
  </si>
  <si>
    <t>Co-9.Ni-41.1Ta</t>
  </si>
  <si>
    <t>-9Ni-41Ta</t>
  </si>
  <si>
    <t>B7</t>
  </si>
  <si>
    <t>-41.1Ta</t>
  </si>
  <si>
    <t>B7Zhou, C., Guo, C., Li, C. &amp; Du, Z. Investigation on the intermetallic compound Co 3 Ta and high-temperature phase equilibria in the Co–Ni–Ta system. Intermetallics 108, 1–18 (2019).</t>
  </si>
  <si>
    <t>58.9Co-9.0Ni-41.1Ta</t>
  </si>
  <si>
    <t>-41.1Ta-9.Ni</t>
  </si>
  <si>
    <t>Co-40.1Ni-40.6Ta</t>
  </si>
  <si>
    <t>-40Ni-41Ta</t>
  </si>
  <si>
    <t>B8</t>
  </si>
  <si>
    <t>-40.1Ni</t>
  </si>
  <si>
    <t>-40.6Ta</t>
  </si>
  <si>
    <t>B8Zhou, C., Guo, C., Li, C. &amp; Du, Z. Investigation on the intermetallic compound Co 3 Ta and high-temperature phase equilibria in the Co–Ni–Ta system. Intermetallics 108, 1–18 (2019).</t>
  </si>
  <si>
    <t>59.4Co-40.1Ni-40.6Ta</t>
  </si>
  <si>
    <t>-40.6Ta-40.1Ni</t>
  </si>
  <si>
    <t>Co-10.4Ni-30.3Ta</t>
  </si>
  <si>
    <t>-10Ni-30Ta</t>
  </si>
  <si>
    <t>B9</t>
  </si>
  <si>
    <t>-10.4Ni</t>
  </si>
  <si>
    <t>-30.3Ta</t>
  </si>
  <si>
    <t>B9Zhou, C., Guo, C., Li, C. &amp; Du, Z. Investigation on the intermetallic compound Co 3 Ta and high-temperature phase equilibria in the Co–Ni–Ta system. Intermetallics 108, 1–18 (2019).</t>
  </si>
  <si>
    <t>69.7Co-10.4Ni-30.3Ta</t>
  </si>
  <si>
    <t>-30.3Ta-10.4Ni</t>
  </si>
  <si>
    <t>Co-18.6Ni-30.6Ta</t>
  </si>
  <si>
    <t>-19Ni-31Ta</t>
  </si>
  <si>
    <t>B10</t>
  </si>
  <si>
    <t>-18.6Ni</t>
  </si>
  <si>
    <t>-30.6Ta</t>
  </si>
  <si>
    <t>B10Zhou, C., Guo, C., Li, C. &amp; Du, Z. Investigation on the intermetallic compound Co 3 Ta and high-temperature phase equilibria in the Co–Ni–Ta system. Intermetallics 108, 1–18 (2019).</t>
  </si>
  <si>
    <t>69.4Co-18.6Ni-30.6Ta</t>
  </si>
  <si>
    <t>-30.6Ta-18.6Ni</t>
  </si>
  <si>
    <t>Co-26.8Ni-29.2Ta</t>
  </si>
  <si>
    <t>-27Ni-29Ta</t>
  </si>
  <si>
    <t>B11</t>
  </si>
  <si>
    <t>-26.8Ni</t>
  </si>
  <si>
    <t>-29.2Ta</t>
  </si>
  <si>
    <t>B11Zhou, C., Guo, C., Li, C. &amp; Du, Z. Investigation on the intermetallic compound Co 3 Ta and high-temperature phase equilibria in the Co–Ni–Ta system. Intermetallics 108, 1–18 (2019).</t>
  </si>
  <si>
    <t>70.8Co-26.8Ni-29.2Ta</t>
  </si>
  <si>
    <t>-29.2Ta-26.8Ni</t>
  </si>
  <si>
    <t>Co-3.1Ni-29.9Ta</t>
  </si>
  <si>
    <t>-3Ni-30Ta</t>
  </si>
  <si>
    <t>B12</t>
  </si>
  <si>
    <t>-3.1Ni</t>
  </si>
  <si>
    <t>-29.9Ta</t>
  </si>
  <si>
    <t>B12Zhou, C., Guo, C., Li, C. &amp; Du, Z. Investigation on the intermetallic compound Co 3 Ta and high-temperature phase equilibria in the Co–Ni–Ta system. Intermetallics 108, 1–18 (2019).</t>
  </si>
  <si>
    <t>70.1Co-3.1Ni-29.9Ta</t>
  </si>
  <si>
    <t>-29.9Ta-3.1Ni</t>
  </si>
  <si>
    <t>Co-36.7Ni-29.8Ta</t>
  </si>
  <si>
    <t>-37Ni-30Ta</t>
  </si>
  <si>
    <t>B13</t>
  </si>
  <si>
    <t>-36.7Ni</t>
  </si>
  <si>
    <t>-29.8Ta</t>
  </si>
  <si>
    <t>B13Zhou, C., Guo, C., Li, C. &amp; Du, Z. Investigation on the intermetallic compound Co 3 Ta and high-temperature phase equilibria in the Co–Ni–Ta system. Intermetallics 108, 1–18 (2019).</t>
  </si>
  <si>
    <t>70.2Co-36.7Ni-29.8Ta</t>
  </si>
  <si>
    <t>-29.8Ta-36.7Ni</t>
  </si>
  <si>
    <t>Co-40.6Ni-30.Ta</t>
  </si>
  <si>
    <t>-41Ni-30Ta</t>
  </si>
  <si>
    <t>B14</t>
  </si>
  <si>
    <t>-40.6Ni</t>
  </si>
  <si>
    <t>-30.Ta</t>
  </si>
  <si>
    <t>B14Zhou, C., Guo, C., Li, C. &amp; Du, Z. Investigation on the intermetallic compound Co 3 Ta and high-temperature phase equilibria in the Co–Ni–Ta system. Intermetallics 108, 1–18 (2019).</t>
  </si>
  <si>
    <t>70.0Co-40.6Ni-30.0Ta</t>
  </si>
  <si>
    <t>-30.Ta-40.6Ni</t>
  </si>
  <si>
    <t>Co-46.7Ni-29.2Ta</t>
  </si>
  <si>
    <t>-47Ni-29Ta</t>
  </si>
  <si>
    <t>B15</t>
  </si>
  <si>
    <t>-46.7Ni</t>
  </si>
  <si>
    <t>B15Zhou, C., Guo, C., Li, C. &amp; Du, Z. Investigation on the intermetallic compound Co 3 Ta and high-temperature phase equilibria in the Co–Ni–Ta system. Intermetallics 108, 1–18 (2019).</t>
  </si>
  <si>
    <t>70.8Co-46.7Ni-29.2Ta</t>
  </si>
  <si>
    <t>-29.2Ta-46.7Ni</t>
  </si>
  <si>
    <t>Co-50.9Ni-30.1Ta</t>
  </si>
  <si>
    <t>-51Ni-30Ta</t>
  </si>
  <si>
    <t>B16</t>
  </si>
  <si>
    <t>-50.9Ni</t>
  </si>
  <si>
    <t>-30.1Ta</t>
  </si>
  <si>
    <t>B16Zhou, C., Guo, C., Li, C. &amp; Du, Z. Investigation on the intermetallic compound Co 3 Ta and high-temperature phase equilibria in the Co–Ni–Ta system. Intermetallics 108, 1–18 (2019).</t>
  </si>
  <si>
    <t>69.9Co-50.9Ni-30.1Ta</t>
  </si>
  <si>
    <t>-30.1Ta-50.9Ni</t>
  </si>
  <si>
    <t>Co-55.9Ni-30.Ta</t>
  </si>
  <si>
    <t>-56Ni-30Ta</t>
  </si>
  <si>
    <t>B17</t>
  </si>
  <si>
    <t>-55.9Ni</t>
  </si>
  <si>
    <t>B17Zhou, C., Guo, C., Li, C. &amp; Du, Z. Investigation on the intermetallic compound Co 3 Ta and high-temperature phase equilibria in the Co–Ni–Ta system. Intermetallics 108, 1–18 (2019).</t>
  </si>
  <si>
    <t>70.0Co-55.9Ni-30.0Ta</t>
  </si>
  <si>
    <t>-30.Ta-55.9Ni</t>
  </si>
  <si>
    <t>Co-60.6Ni-30.Ta</t>
  </si>
  <si>
    <t>-61Ni-30Ta</t>
  </si>
  <si>
    <t>B18</t>
  </si>
  <si>
    <t>-60.6Ni</t>
  </si>
  <si>
    <t>B18Zhou, C., Guo, C., Li, C. &amp; Du, Z. Investigation on the intermetallic compound Co 3 Ta and high-temperature phase equilibria in the Co–Ni–Ta system. Intermetallics 108, 1–18 (2019).</t>
  </si>
  <si>
    <t>70.0Co-60.6Ni-30.0Ta</t>
  </si>
  <si>
    <t>-30.Ta-60.6Ni</t>
  </si>
  <si>
    <t>Co-11.5Ni-19.8Ta</t>
  </si>
  <si>
    <t>-12Ni-20Ta</t>
  </si>
  <si>
    <t>B19</t>
  </si>
  <si>
    <t>-19.8Ta</t>
  </si>
  <si>
    <t>B19Zhou, C., Guo, C., Li, C. &amp; Du, Z. Investigation on the intermetallic compound Co 3 Ta and high-temperature phase equilibria in the Co–Ni–Ta system. Intermetallics 108, 1–18 (2019).</t>
  </si>
  <si>
    <t>80.2Co-11.5Ni-19.8Ta</t>
  </si>
  <si>
    <t>-19.8Ta-11.5Ni</t>
  </si>
  <si>
    <t>Co-20.5Ni-19.8Ta</t>
  </si>
  <si>
    <t>-21Ni-20Ta</t>
  </si>
  <si>
    <t>B20</t>
  </si>
  <si>
    <t>-20.5Ni</t>
  </si>
  <si>
    <t>B20Zhou, C., Guo, C., Li, C. &amp; Du, Z. Investigation on the intermetallic compound Co 3 Ta and high-temperature phase equilibria in the Co–Ni–Ta system. Intermetallics 108, 1–18 (2019).</t>
  </si>
  <si>
    <t>80.2Co-20.5Ni-19.8Ta</t>
  </si>
  <si>
    <t>-19.8Ta-20.5Ni</t>
  </si>
  <si>
    <t>Co-30.2Ni-19.8Ta</t>
  </si>
  <si>
    <t>-30Ni-20Ta</t>
  </si>
  <si>
    <t>B21</t>
  </si>
  <si>
    <t>B21Zhou, C., Guo, C., Li, C. &amp; Du, Z. Investigation on the intermetallic compound Co 3 Ta and high-temperature phase equilibria in the Co–Ni–Ta system. Intermetallics 108, 1–18 (2019).</t>
  </si>
  <si>
    <t>80.2Co-30.2Ni-19.8Ta</t>
  </si>
  <si>
    <t>-19.8Ta-30.2Ni</t>
  </si>
  <si>
    <t>Co-41.3Ni-20.2Ta</t>
  </si>
  <si>
    <t>-41Ni-20Ta</t>
  </si>
  <si>
    <t>B22</t>
  </si>
  <si>
    <t>-41.3Ni</t>
  </si>
  <si>
    <t>-20.2Ta</t>
  </si>
  <si>
    <t>B22Zhou, C., Guo, C., Li, C. &amp; Du, Z. Investigation on the intermetallic compound Co 3 Ta and high-temperature phase equilibria in the Co–Ni–Ta system. Intermetallics 108, 1–18 (2019).</t>
  </si>
  <si>
    <t>79.8Co-41.3Ni-20.2Ta</t>
  </si>
  <si>
    <t>-20.2Ta-41.3Ni</t>
  </si>
  <si>
    <t>Co-48.2Ni-20.9Ta</t>
  </si>
  <si>
    <t>-48Ni-21Ta</t>
  </si>
  <si>
    <t>B23</t>
  </si>
  <si>
    <t>-48.2Ni</t>
  </si>
  <si>
    <t>-20.9Ta</t>
  </si>
  <si>
    <t>B23Zhou, C., Guo, C., Li, C. &amp; Du, Z. Investigation on the intermetallic compound Co 3 Ta and high-temperature phase equilibria in the Co–Ni–Ta system. Intermetallics 108, 1–18 (2019).</t>
  </si>
  <si>
    <t>79.1Co-48.2Ni-20.9Ta</t>
  </si>
  <si>
    <t>-20.9Ta-48.2Ni</t>
  </si>
  <si>
    <t>Co-59.6Ni-19.9Ta</t>
  </si>
  <si>
    <t>-60Ni-20Ta</t>
  </si>
  <si>
    <t>B24</t>
  </si>
  <si>
    <t>-59.6Ni</t>
  </si>
  <si>
    <t>-19.9Ta</t>
  </si>
  <si>
    <t>B24Zhou, C., Guo, C., Li, C. &amp; Du, Z. Investigation on the intermetallic compound Co 3 Ta and high-temperature phase equilibria in the Co–Ni–Ta system. Intermetallics 108, 1–18 (2019).</t>
  </si>
  <si>
    <t>80.1Co-59.6Ni-19.9Ta</t>
  </si>
  <si>
    <t>-19.9Ta-59.6Ni</t>
  </si>
  <si>
    <t>Co-68.9Ni-20.9Ta</t>
  </si>
  <si>
    <t>-69Ni-21Ta</t>
  </si>
  <si>
    <t>B25</t>
  </si>
  <si>
    <t>-68.9Ni</t>
  </si>
  <si>
    <t>B25Zhou, C., Guo, C., Li, C. &amp; Du, Z. Investigation on the intermetallic compound Co 3 Ta and high-temperature phase equilibria in the Co–Ni–Ta system. Intermetallics 108, 1–18 (2019).</t>
  </si>
  <si>
    <t>79.1Co-68.9Ni-20.9Ta</t>
  </si>
  <si>
    <t>-20.9Ta-68.9Ni</t>
  </si>
  <si>
    <t>Co-4.8Ni-13.7Ta</t>
  </si>
  <si>
    <t>-5Ni-14Ta</t>
  </si>
  <si>
    <t>B26</t>
  </si>
  <si>
    <t>-4.8Ni</t>
  </si>
  <si>
    <t>-13.7Ta</t>
  </si>
  <si>
    <t>B26Zhou, C., Guo, C., Li, C. &amp; Du, Z. Investigation on the intermetallic compound Co 3 Ta and high-temperature phase equilibria in the Co–Ni–Ta system. Intermetallics 108, 1–18 (2019).</t>
  </si>
  <si>
    <t>86.3Co-4.8Ni-13.7Ta</t>
  </si>
  <si>
    <t>-13.7Ta-4.8Ni</t>
  </si>
  <si>
    <t>Co-9.4Ni-13.7Ta</t>
  </si>
  <si>
    <t>-9Ni-14Ta</t>
  </si>
  <si>
    <t>B27</t>
  </si>
  <si>
    <t>-9.4Ni</t>
  </si>
  <si>
    <t>B27Zhou, C., Guo, C., Li, C. &amp; Du, Z. Investigation on the intermetallic compound Co 3 Ta and high-temperature phase equilibria in the Co–Ni–Ta system. Intermetallics 108, 1–18 (2019).</t>
  </si>
  <si>
    <t>86.3Co-9.4Ni-13.7Ta</t>
  </si>
  <si>
    <t>-13.7Ta-9.4Ni</t>
  </si>
  <si>
    <t>Co-20.5Ni-13.8Ta</t>
  </si>
  <si>
    <t>-21Ni-14Ta</t>
  </si>
  <si>
    <t>B28</t>
  </si>
  <si>
    <t>-13.8Ta</t>
  </si>
  <si>
    <t>B28Zhou, C., Guo, C., Li, C. &amp; Du, Z. Investigation on the intermetallic compound Co 3 Ta and high-temperature phase equilibria in the Co–Ni–Ta system. Intermetallics 108, 1–18 (2019).</t>
  </si>
  <si>
    <t>86.2Co-20.5Ni-13.8Ta</t>
  </si>
  <si>
    <t>-13.8Ta-20.5Ni</t>
  </si>
  <si>
    <t>Co-25.8Ni-14.6Ta</t>
  </si>
  <si>
    <t>-26Ni-15Ta</t>
  </si>
  <si>
    <t>B29</t>
  </si>
  <si>
    <t>-25.8Ni</t>
  </si>
  <si>
    <t>-14.6Ta</t>
  </si>
  <si>
    <t>B29Zhou, C., Guo, C., Li, C. &amp; Du, Z. Investigation on the intermetallic compound Co 3 Ta and high-temperature phase equilibria in the Co–Ni–Ta system. Intermetallics 108, 1–18 (2019).</t>
  </si>
  <si>
    <t>85.4Co-25.8Ni-14.6Ta</t>
  </si>
  <si>
    <t>-14.6Ta-25.8Ni</t>
  </si>
  <si>
    <t>Co-30.5Ni-14.2Ta</t>
  </si>
  <si>
    <t>-31Ni-14Ta</t>
  </si>
  <si>
    <t>B30</t>
  </si>
  <si>
    <t>-14.2Ta</t>
  </si>
  <si>
    <t>B30Zhou, C., Guo, C., Li, C. &amp; Du, Z. Investigation on the intermetallic compound Co 3 Ta and high-temperature phase equilibria in the Co–Ni–Ta system. Intermetallics 108, 1–18 (2019).</t>
  </si>
  <si>
    <t>85.8Co-30.5Ni-14.2Ta</t>
  </si>
  <si>
    <t>-14.2Ta-30.5Ni</t>
  </si>
  <si>
    <t>Co-35.3Ni-14.2Ta</t>
  </si>
  <si>
    <t>-35Ni-14Ta</t>
  </si>
  <si>
    <t>B31</t>
  </si>
  <si>
    <t>-35.3Ni</t>
  </si>
  <si>
    <t>B31Zhou, C., Guo, C., Li, C. &amp; Du, Z. Investigation on the intermetallic compound Co 3 Ta and high-temperature phase equilibria in the Co–Ni–Ta system. Intermetallics 108, 1–18 (2019).</t>
  </si>
  <si>
    <t>85.8Co-35.3Ni-14.2Ta</t>
  </si>
  <si>
    <t>-14.2Ta-35.3Ni</t>
  </si>
  <si>
    <t>Co-39.1Ni-14.5Ta</t>
  </si>
  <si>
    <t>-39Ni-15Ta</t>
  </si>
  <si>
    <t>B32</t>
  </si>
  <si>
    <t>-39.1Ni</t>
  </si>
  <si>
    <t>-14.5Ta</t>
  </si>
  <si>
    <t>B32Zhou, C., Guo, C., Li, C. &amp; Du, Z. Investigation on the intermetallic compound Co 3 Ta and high-temperature phase equilibria in the Co–Ni–Ta system. Intermetallics 108, 1–18 (2019).</t>
  </si>
  <si>
    <t>85.5Co-39.1Ni-14.5Ta</t>
  </si>
  <si>
    <t>-14.5Ta-39.1Ni</t>
  </si>
  <si>
    <t>Co-45.8Ni-14.2Ta</t>
  </si>
  <si>
    <t>-46Ni-14Ta</t>
  </si>
  <si>
    <t>B33</t>
  </si>
  <si>
    <t>-45.8Ni</t>
  </si>
  <si>
    <t>B33Zhou, C., Guo, C., Li, C. &amp; Du, Z. Investigation on the intermetallic compound Co 3 Ta and high-temperature phase equilibria in the Co–Ni–Ta system. Intermetallics 108, 1–18 (2019).</t>
  </si>
  <si>
    <t>85.8Co-45.8Ni-14.2Ta</t>
  </si>
  <si>
    <t>-14.2Ta-45.8Ni</t>
  </si>
  <si>
    <t>Co-51.2Ni-14.3Ta</t>
  </si>
  <si>
    <t>-51Ni-14Ta</t>
  </si>
  <si>
    <t>B34</t>
  </si>
  <si>
    <t>-14.3Ta</t>
  </si>
  <si>
    <t>B34Zhou, C., Guo, C., Li, C. &amp; Du, Z. Investigation on the intermetallic compound Co 3 Ta and high-temperature phase equilibria in the Co–Ni–Ta system. Intermetallics 108, 1–18 (2019).</t>
  </si>
  <si>
    <t>85.7Co-51.2Ni-14.3Ta</t>
  </si>
  <si>
    <t>-14.3Ta-51.2Ni</t>
  </si>
  <si>
    <t>Co-54.8Ni-15.Ta</t>
  </si>
  <si>
    <t>-55Ni-15Ta</t>
  </si>
  <si>
    <t>B35</t>
  </si>
  <si>
    <t>-15.Ta</t>
  </si>
  <si>
    <t>B35Zhou, C., Guo, C., Li, C. &amp; Du, Z. Investigation on the intermetallic compound Co 3 Ta and high-temperature phase equilibria in the Co–Ni–Ta system. Intermetallics 108, 1–18 (2019).</t>
  </si>
  <si>
    <t>85.0Co-54.8Ni-15.0Ta</t>
  </si>
  <si>
    <t>-15.Ta-54.8Ni</t>
  </si>
  <si>
    <t>Co-61.1Ni-14.7Ta</t>
  </si>
  <si>
    <t>-61Ni-15Ta</t>
  </si>
  <si>
    <t>B36</t>
  </si>
  <si>
    <t>-61.1Ni</t>
  </si>
  <si>
    <t>-14.7Ta</t>
  </si>
  <si>
    <t>B36Zhou, C., Guo, C., Li, C. &amp; Du, Z. Investigation on the intermetallic compound Co 3 Ta and high-temperature phase equilibria in the Co–Ni–Ta system. Intermetallics 108, 1–18 (2019).</t>
  </si>
  <si>
    <t>85.3Co-61.1Ni-14.7Ta</t>
  </si>
  <si>
    <t>-14.7Ta-61.1Ni</t>
  </si>
  <si>
    <t>Co-65.6Ni-14.9Ta</t>
  </si>
  <si>
    <t>-66Ni-15Ta</t>
  </si>
  <si>
    <t>B37</t>
  </si>
  <si>
    <t>-65.6Ni</t>
  </si>
  <si>
    <t>-14.9Ta</t>
  </si>
  <si>
    <t>B37Zhou, C., Guo, C., Li, C. &amp; Du, Z. Investigation on the intermetallic compound Co 3 Ta and high-temperature phase equilibria in the Co–Ni–Ta system. Intermetallics 108, 1–18 (2019).</t>
  </si>
  <si>
    <t>85.1Co-65.6Ni-14.9Ta</t>
  </si>
  <si>
    <t>-14.9Ta-65.6Ni</t>
  </si>
  <si>
    <t>Co-74.9Ni-14.7Ta</t>
  </si>
  <si>
    <t>-75Ni-15Ta</t>
  </si>
  <si>
    <t>B38</t>
  </si>
  <si>
    <t>-74.9Ni</t>
  </si>
  <si>
    <t>B38Zhou, C., Guo, C., Li, C. &amp; Du, Z. Investigation on the intermetallic compound Co 3 Ta and high-temperature phase equilibria in the Co–Ni–Ta system. Intermetallics 108, 1–18 (2019).</t>
  </si>
  <si>
    <t>85.3Co-74.9Ni-14.7Ta</t>
  </si>
  <si>
    <t>-14.7Ta-74.9Ni</t>
  </si>
  <si>
    <t>Co-7.Al-4.Cr-7.W-4.Ti-2.Ta</t>
  </si>
  <si>
    <t>-7Al-4Cr-7W-4Ti-2Ta</t>
  </si>
  <si>
    <t>Zhou, H. J. et al. Alloying effects on microstructural stability and γ′ phase nano-hardness in Co-Al-W-Ta-Ti-base superalloys. in Proceedings of the International Symposium on Superalloys vols 2016-Janua 981–990 (Minerals, Metals and Materials Society, 2016).</t>
  </si>
  <si>
    <t>4CrZhou, H. J. et al. Alloying effects on microstructural stability and γ′ phase nano-hardness in Co-Al-W-Ta-Ti-base superalloys. in Proceedings of the International Symposium on Superalloys vols 2016-Janua 981–990 (Minerals, Metals and Materials Society, 2016).</t>
  </si>
  <si>
    <t>76.0Co-7.0Al-4.0Cr-7.0W-4.0Ti-2.0Ta</t>
  </si>
  <si>
    <t>-7.Al-4.Cr-7.W-2.Ta-4.Ti</t>
  </si>
  <si>
    <t>Co-7.Al-6.W-4.Ti-2.Ta-1.Mo</t>
  </si>
  <si>
    <t>-7Al-6W-4Ti-2Ta-1Mo</t>
  </si>
  <si>
    <t>1Mo</t>
  </si>
  <si>
    <t>1MoZhou, H. J. et al. Alloying effects on microstructural stability and γ′ phase nano-hardness in Co-Al-W-Ta-Ti-base superalloys. in Proceedings of the International Symposium on Superalloys vols 2016-Janua 981–990 (Minerals, Metals and Materials Society, 2016).</t>
  </si>
  <si>
    <t>80.0Co-7.0Al-6.0W-4.0Ti-2.0Ta-1.0Mo</t>
  </si>
  <si>
    <t>-7.Al-6.W-2.Ta-1.Mo-4.Ti</t>
  </si>
  <si>
    <t>Co-7.Al-6.W-4.Ti-2.Ta-1.Nb</t>
  </si>
  <si>
    <t>-7Al-6W-4Ti-2Ta-1Nb</t>
  </si>
  <si>
    <t>1Nb</t>
  </si>
  <si>
    <t>1NbZhou, H. J. et al. Alloying effects on microstructural stability and γ′ phase nano-hardness in Co-Al-W-Ta-Ti-base superalloys. in Proceedings of the International Symposium on Superalloys vols 2016-Janua 981–990 (Minerals, Metals and Materials Society, 2016).</t>
  </si>
  <si>
    <t>80.0Co-7.0Al-6.0W-4.0Ti-2.0Ta-1.0Nb</t>
  </si>
  <si>
    <t>-7.Al-6.W-2.Ta-1.Nb-4.Ti</t>
  </si>
  <si>
    <t>Co-7.Al-7.W-4.Ti-2.Ta-1.V</t>
  </si>
  <si>
    <t>-7Al-7W-4Ti-2Ta-1V</t>
  </si>
  <si>
    <t>1V</t>
  </si>
  <si>
    <t>-1.V</t>
  </si>
  <si>
    <t>1VZhou, H. J. et al. Alloying effects on microstructural stability and γ′ phase nano-hardness in Co-Al-W-Ta-Ti-base superalloys. in Proceedings of the International Symposium on Superalloys vols 2016-Janua 981–990 (Minerals, Metals and Materials Society, 2016).</t>
  </si>
  <si>
    <t>79.0Co-7.0Al-7.0W-4.0Ti-2.0Ta-1.0V</t>
  </si>
  <si>
    <t>-7.Al-7.W-2.Ta-1.V-4.Ti</t>
  </si>
  <si>
    <t>Co-20.Ni-7.Al-7.W-4.Ti-2.Ta</t>
  </si>
  <si>
    <t>-20Ni-7Al-7W-4Ti-2Ta</t>
  </si>
  <si>
    <t>20Ni</t>
  </si>
  <si>
    <t>20NiZhou, H. J. et al. Alloying effects on microstructural stability and γ′ phase nano-hardness in Co-Al-W-Ta-Ti-base superalloys. in Proceedings of the International Symposium on Superalloys vols 2016-Janua 981–990 (Minerals, Metals and Materials Society, 2016).</t>
  </si>
  <si>
    <t>80.0Co-20.0Ni-7.0Al-7.0W-4.0Ti-2.0Ta</t>
  </si>
  <si>
    <t>-7.Al-7.W-2.Ta-20.Ni-4.Ti</t>
  </si>
  <si>
    <t>Co-8.Al-7.1W-4.2Ti-1.1Ta</t>
  </si>
  <si>
    <t>-8Al-7W-4Ti-1Ta</t>
  </si>
  <si>
    <t>Zhou TaTi</t>
  </si>
  <si>
    <t>Zhou, H., Li, L., Antonov, S. &amp; Feng, Q. Sub/micro-structural evolution of a Co–Al–W–Ta–Ti single crystal superalloy during creep at 900 °C and 420 MPa. Mater. Sci. Eng. A (2020) doi:10.1016/j.msea.2019.138791.</t>
  </si>
  <si>
    <t>Zhou TaTiZhou, H., Li, L., Antonov, S. &amp; Feng, Q. Sub/micro-structural evolution of a Co–Al–W–Ta–Ti single crystal superalloy during creep at 900 °C and 420 MPa. Mater. Sci. Eng. A (2020) doi:10.1016/j.msea.2019.138791.</t>
  </si>
  <si>
    <t>79.6Co-8.0Al-7.1W-4.2Ti-1.1Ta</t>
  </si>
  <si>
    <t>-8.Al-7.1W-1.1Ta-4.2Ti</t>
  </si>
  <si>
    <t>Co-7.1Al-8.2W-4.Ti-1.Ta</t>
  </si>
  <si>
    <t>TaTi Alloy</t>
  </si>
  <si>
    <t>Zhou, X., Fu, H., Zhang, Y., Xu, H. &amp; Xie, J. Effect of Ta and Ti on the solidification characteristics of novel γ′-strengthened Co-base superalloys. J. Alloys Compd. 768, 464–475 (2018).</t>
  </si>
  <si>
    <t>TaTi AlloyZhou, X., Fu, H., Zhang, Y., Xu, H. &amp; Xie, J. Effect of Ta and Ti on the solidification characteristics of novel γ′-strengthened Co-base superalloys. J. Alloys Compd. 768, 464–475 (2018).</t>
  </si>
  <si>
    <t>79.7Co-7.1Al-8.2W-4.0Ti-1.0Ta</t>
  </si>
  <si>
    <t>-7.1Al-8.2W-1.Ta-4.Ti</t>
  </si>
  <si>
    <t>Co-6.7Al-8.3W-4.Ti</t>
  </si>
  <si>
    <t>4Ti alloy</t>
  </si>
  <si>
    <t>4Ti alloyZhou, X., Fu, H., Zhang, Y., Xu, H. &amp; Xie, J. Effect of Ta and Ti on the solidification characteristics of novel γ′-strengthened Co-base superalloys. J. Alloys Compd. 768, 464–475 (2018).</t>
  </si>
  <si>
    <t>81.0Co-6.7Al-8.3W-4.0Ti</t>
  </si>
  <si>
    <t>-6.7Al-8.3W-4.Ti</t>
  </si>
  <si>
    <t>Co-7.2Al-8.3W</t>
  </si>
  <si>
    <t>Base alloy</t>
  </si>
  <si>
    <t>Base alloyZhou, X., Fu, H., Zhang, Y., Xu, H. &amp; Xie, J. Effect of Ta and Ti on the solidification characteristics of novel γ′-strengthened Co-base superalloys. J. Alloys Compd. 768, 464–475 (2018).</t>
  </si>
  <si>
    <t>84.4Co-7.2Al-8.3W</t>
  </si>
  <si>
    <t>-7.2Al-8.3W</t>
  </si>
  <si>
    <t>Co-7.Al-8.2W-0.9Ta</t>
  </si>
  <si>
    <t>1Ta alloy</t>
  </si>
  <si>
    <t>1Ta alloyZhou, X., Fu, H., Zhang, Y., Xu, H. &amp; Xie, J. Effect of Ta and Ti on the solidification characteristics of novel γ′-strengthened Co-base superalloys. J. Alloys Compd. 768, 464–475 (2018).</t>
  </si>
  <si>
    <t>83.8Co-7.0Al-8.2W-0.9Ta</t>
  </si>
  <si>
    <t>-7.Al-8.2W-0.9Ta</t>
  </si>
  <si>
    <t>Co-8.Al-14.Cr-2.W</t>
  </si>
  <si>
    <t>-8Al-14Cr-2W</t>
  </si>
  <si>
    <t>8Al2W14Cr</t>
  </si>
  <si>
    <t>Zhuang, X., Lu, S., Li, L. &amp; Feng, Q. Microstructures and properties of a novel γ′-strengthened multi-component CoNi-based wrought superalloy designed by CALPHAD method. Mater. Sci. Eng. A 780, (2020).</t>
  </si>
  <si>
    <t>-14.Cr</t>
  </si>
  <si>
    <t>8Al2W14CrZhuang, X., Lu, S., Li, L. &amp; Feng, Q. Microstructures and properties of a novel γ′-strengthened multi-component CoNi-based wrought superalloy designed by CALPHAD method. Mater. Sci. Eng. A 780, (2020).</t>
  </si>
  <si>
    <t>76.0Co-8.0Al-14.0Cr-2.0W</t>
  </si>
  <si>
    <t>-8.Al-14.Cr-2.W</t>
  </si>
  <si>
    <t>Co-30.Ni-8.Al-6.W-4.Ti-2.Ta-1.Nb-1.V</t>
  </si>
  <si>
    <t>-30Ni-8Al-6W-4Ti-2Ta-1Nb-1V</t>
  </si>
  <si>
    <t>wang #1</t>
  </si>
  <si>
    <t>Yu, J., Wang, C., Chen, Y., Wang, C. &amp; Liu, X. Accelerated design of L12-strengthened co-base Superalloys based on machine learning of experimental data. Mater. Des. 108996 (2020) doi:10.1016/j.matdes.2020.108996.</t>
  </si>
  <si>
    <t>wang #1Yu, J., Wang, C., Chen, Y., Wang, C. &amp; Liu, X. Accelerated design of L12-strengthened co-base Superalloys based on machine learning of experimental data. Mater. Des. 108996 (2020) doi:10.1016/j.matdes.2020.108996.</t>
  </si>
  <si>
    <t>78.0Co-30.0Ni-8.0Al-6.0W-4.0Ti-2.0Ta-1.0Nb-1.0V</t>
  </si>
  <si>
    <t>-8.Al-6.W-2.Ta-30.Ni-1.Nb-1.V-4.Ti</t>
  </si>
  <si>
    <t>Co-30.Ni-9.Al-6.W-4.Ti-2.Ta-1.V</t>
  </si>
  <si>
    <t>-30Ni-9Al-6W-4Ti-2Ta-1V</t>
  </si>
  <si>
    <t>wang #2</t>
  </si>
  <si>
    <t>wang #2Yu, J., Wang, C., Chen, Y., Wang, C. &amp; Liu, X. Accelerated design of L12-strengthened co-base Superalloys based on machine learning of experimental data. Mater. Des. 108996 (2020) doi:10.1016/j.matdes.2020.108996.</t>
  </si>
  <si>
    <t>78.0Co-30.0Ni-9.0Al-6.0W-4.0Ti-2.0Ta-1.0V</t>
  </si>
  <si>
    <t>-9.Al-6.W-2.Ta-30.Ni-1.V-4.Ti</t>
  </si>
  <si>
    <t>Co-25.Ni-9.Al-5.Cr-6.W-4.Ti-2.Ta-1.V</t>
  </si>
  <si>
    <t>-25Ni-9Al-5Cr-6W-4Ti-2Ta-1V</t>
  </si>
  <si>
    <t>wang #4</t>
  </si>
  <si>
    <t>wang #4Yu, J., Wang, C., Chen, Y., Wang, C. &amp; Liu, X. Accelerated design of L12-strengthened co-base Superalloys based on machine learning of experimental data. Mater. Des. 108996 (2020) doi:10.1016/j.matdes.2020.108996.</t>
  </si>
  <si>
    <t>73.0Co-25.0Ni-9.0Al-5.0Cr-6.0W-4.0Ti-2.0Ta-1.0V</t>
  </si>
  <si>
    <t>-9.Al-5.Cr-6.W-2.Ta-25.Ni-1.V-4.Ti</t>
  </si>
  <si>
    <t>Co-25.Ni-9.Al-5.Cr-6.W-4.Ti-2.Ta-1.Nb</t>
  </si>
  <si>
    <t>-25Ni-9Al-5Cr-6W-4Ti-2Ta-1Nb</t>
  </si>
  <si>
    <t>wang #5</t>
  </si>
  <si>
    <t>wang #5Yu, J., Wang, C., Chen, Y., Wang, C. &amp; Liu, X. Accelerated design of L12-strengthened co-base Superalloys based on machine learning of experimental data. Mater. Des. 108996 (2020) doi:10.1016/j.matdes.2020.108996.</t>
  </si>
  <si>
    <t>73.0Co-25.0Ni-9.0Al-5.0Cr-6.0W-4.0Ti-2.0Ta-1.0Nb</t>
  </si>
  <si>
    <t>-9.Al-5.Cr-6.W-2.Ta-25.Ni-1.Nb-4.Ti</t>
  </si>
  <si>
    <t>Co-25.Ni-9.Al-5.Cr-5.W-4.Ti-2.Ta-1.Nb-1.V</t>
  </si>
  <si>
    <t>-25Ni-9Al-5Cr-5W-4Ti-2Ta-1Nb-1V</t>
  </si>
  <si>
    <t>wang #6</t>
  </si>
  <si>
    <t>wang #6Yu, J., Wang, C., Chen, Y., Wang, C. &amp; Liu, X. Accelerated design of L12-strengthened co-base Superalloys based on machine learning of experimental data. Mater. Des. 108996 (2020) doi:10.1016/j.matdes.2020.108996.</t>
  </si>
  <si>
    <t>73.0Co-25.0Ni-9.0Al-5.0Cr-5.0W-4.0Ti-2.0Ta-1.0Nb-1.0V</t>
  </si>
  <si>
    <t>-9.Al-5.Cr-5.W-2.Ta-25.Ni-1.Nb-1.V-4.Ti</t>
  </si>
  <si>
    <t>Co-30.Ni-8.Al-6.W-4.Ti-2.Ta-1.Nb</t>
  </si>
  <si>
    <t>-30Ni-8Al-6W-4Ti-2Ta-1Nb</t>
  </si>
  <si>
    <t>wang #3</t>
  </si>
  <si>
    <t>wang #3Yu, J., Wang, C., Chen, Y., Wang, C. &amp; Liu, X. Accelerated design of L12-strengthened co-base Superalloys based on machine learning of experimental data. Mater. Des. 108996 (2020) doi:10.1016/j.matdes.2020.108996.</t>
  </si>
  <si>
    <t>79.0Co-30.0Ni-8.0Al-6.0W-4.0Ti-2.0Ta-1.0Nb</t>
  </si>
  <si>
    <t>-8.Al-6.W-2.Ta-30.Ni-1.Nb-4.Ti</t>
  </si>
  <si>
    <t>Co-30.Ni-10.7Al-4.3W-4.Ti-1.Ta</t>
  </si>
  <si>
    <t>-30Ni-11Al-4W-4Ti-1Ta</t>
  </si>
  <si>
    <t>30Ni</t>
  </si>
  <si>
    <t>-4.3W</t>
  </si>
  <si>
    <t>30NiLi, W., Li, L., Antonov, S. &amp; Feng, Q. Effective design of a Co-Ni-Al-W-Ta-Ti alloy with high γ′ solvus temperature and microstructural stability using combined CALPHAD and experimental approaches. Mater. Des. 180, (2019).</t>
  </si>
  <si>
    <t>80.0Co-30.0Ni-10.7Al-4.3W-4.0Ti-1.0Ta</t>
  </si>
  <si>
    <t>-10.7Al-4.3W-1.Ta-30.Ni-4.Ti</t>
  </si>
  <si>
    <t>Co-5.6Al-5.8W-6.6Ti-0.12B</t>
  </si>
  <si>
    <t>-6Al-6W-7Ti-B</t>
  </si>
  <si>
    <t>Co-5.6Al-5.8W- 6.6Ti-0.12B</t>
  </si>
  <si>
    <t>Sauza, D. J., Dunand, D. C. &amp; Seidman, D. N. Microstructural evolution and high-temperature strength of a γ(f.c.c.)/γ’(L12) Co–Al–W–Ti–B superalloy. Acta Mater. 174, 427–438 (2019).</t>
  </si>
  <si>
    <t>Co-5.6Al-5.8W- 6.6Ti-0.12BSauza, D. J., Dunand, D. C. &amp; Seidman, D. N. Microstructural evolution and high-temperature strength of a γ(f.c.c.)/γ’(L12) Co–Al–W–Ti–B superalloy. Acta Mater. 174, 427–438 (2019).</t>
  </si>
  <si>
    <t>81.9Co-5.6Al-5.8W-6.6Ti-0.12B</t>
  </si>
  <si>
    <t>-5.6Al-5.8W-6.6Ti-0.12B</t>
  </si>
  <si>
    <t>Co-5.3Al-9.7W-4.Ti-1.Ta</t>
  </si>
  <si>
    <t>-5Al-10W-4Ti-1Ta</t>
  </si>
  <si>
    <t>0Ni</t>
  </si>
  <si>
    <t>0NiLi, W., Li, L., Antonov, S. &amp; Feng, Q. Effective design of a Co-Ni-Al-W-Ta-Ti alloy with high γ′ solvus temperature and microstructural stability using combined CALPHAD and experimental approaches. Mater. Des. 180, (2019).</t>
  </si>
  <si>
    <t>80.0Co-5.3Al-9.7W-4.0Ti-1.0Ta</t>
  </si>
  <si>
    <t>-5.3Al-9.7W-1.Ta-4.Ti</t>
  </si>
  <si>
    <t>Co-10.Ni-1.3Al-13.7W-4.Ti-1.Ta</t>
  </si>
  <si>
    <t>-10Ni-1Al-14W-4Ti-1Ta</t>
  </si>
  <si>
    <t>10Ni</t>
  </si>
  <si>
    <t>-1.3Al</t>
  </si>
  <si>
    <t>-13.7W</t>
  </si>
  <si>
    <t>10NiLi, W., Li, L., Antonov, S. &amp; Feng, Q. Effective design of a Co-Ni-Al-W-Ta-Ti alloy with high γ′ solvus temperature and microstructural stability using combined CALPHAD and experimental approaches. Mater. Des. 180, (2019).</t>
  </si>
  <si>
    <t>80.0Co-10.0Ni-1.3Al-13.7W-4.0Ti-1.0Ta</t>
  </si>
  <si>
    <t>-1.3Al-13.7W-1.Ta-10.Ni-4.Ti</t>
  </si>
  <si>
    <t>Co-20.Ni-9.6Al-5.4W-4.Ti-1.Ta</t>
  </si>
  <si>
    <t>-20Ni-10Al-5W-4Ti-1Ta</t>
  </si>
  <si>
    <t>20NiLi, W., Li, L., Antonov, S. &amp; Feng, Q. Effective design of a Co-Ni-Al-W-Ta-Ti alloy with high γ′ solvus temperature and microstructural stability using combined CALPHAD and experimental approaches. Mater. Des. 180, (2019).</t>
  </si>
  <si>
    <t>80.0Co-20.0Ni-9.6Al-5.4W-4.0Ti-1.0Ta</t>
  </si>
  <si>
    <t>-9.6Al-5.4W-1.Ta-20.Ni-4.Ti</t>
  </si>
  <si>
    <t>Im, H. J. et al. Effects of Mo on the mechanical behavior of γ/γʹ-strengthened Co-Ti-based alloys. Acta Mater. 197, 69–80 (2020).</t>
  </si>
  <si>
    <t>Co-12TiIm, H. J. et al. Effects of Mo on the mechanical behavior of γ/γʹ-strengthened Co-Ti-based alloys. Acta Mater. 197, 69–80 (2020).</t>
  </si>
  <si>
    <t>100.0Co0000000000000000000000</t>
  </si>
  <si>
    <t>Co-12Ti-4Mo</t>
  </si>
  <si>
    <t>Co-12Ti-4MoIm, H. J. et al. Effects of Mo on the mechanical behavior of γ/γʹ-strengthened Co-Ti-based alloys. Acta Mater. 197, 69–80 (2020).</t>
  </si>
  <si>
    <t>TaTi-SX</t>
  </si>
  <si>
    <t>Lu, S., Antonov, S., Li, L. &amp; Feng, Q. Two Steady-State Creep Stages in Co-Al-W-Base Single-Crystal Superalloys at 1273 K/137 MPa. Metall. Mater. Trans. A Phys. Metall. Mater. Sci. 49, 4079–4089 (2018).</t>
  </si>
  <si>
    <t>TaTi-SXLu, S., Antonov, S., Li, L. &amp; Feng, Q. Two Steady-State Creep Stages in Co-Al-W-Base Single-Crystal Superalloys at 1273 K/137 MPa. Metall. Mater. Trans. A Phys. Metall. Mater. Sci. 49, 4079–4089 (2018).</t>
  </si>
  <si>
    <t>15Ni</t>
  </si>
  <si>
    <t>Xue, F. et al. Effects of Ni on microstructural evolution and γ’ dissolution of novel Co-Al-W base alloys. Jinshu Xuebao/Acta Metall. Sin. 50, 845–853 (2014).</t>
  </si>
  <si>
    <t>15NiXue, F. et al. Effects of Ni on microstructural evolution and γ’ dissolution of novel Co-Al-W base alloys. Jinshu Xuebao/Acta Metall. Sin. 50, 845–853 (2014).</t>
  </si>
  <si>
    <t>25Ni</t>
  </si>
  <si>
    <t>25NiXue, F. et al. Effects of Ni on microstructural evolution and γ’ dissolution of novel Co-Al-W base alloys. Jinshu Xuebao/Acta Metall. Sin. 50, 845–853 (2014).</t>
  </si>
  <si>
    <t>35Ni</t>
  </si>
  <si>
    <t>35NiXue, F. et al. Effects of Ni on microstructural evolution and γ’ dissolution of novel Co-Al-W base alloys. Jinshu Xuebao/Acta Metall. Sin. 50, 845–853 (2014).</t>
  </si>
  <si>
    <t>Co-45.Ni-9.Al-10.W</t>
  </si>
  <si>
    <t>-45Ni-9Al-10W</t>
  </si>
  <si>
    <t>45Ni</t>
  </si>
  <si>
    <t>-45.Ni</t>
  </si>
  <si>
    <t>45NiXue, F. et al. Effects of Ni on microstructural evolution and γ’ dissolution of novel Co-Al-W base alloys. Jinshu Xuebao/Acta Metall. Sin. 50, 845–853 (2014).</t>
  </si>
  <si>
    <t>-9.Al-10.W-45.Ni</t>
  </si>
  <si>
    <t>Co-37.6Ni-8.9Al-15.8Cr-2.8W-1.8Ti-0.5Ta-0.14C-0.03Zr-0.05B</t>
  </si>
  <si>
    <t>-38Ni-9Al-16Cr-3W-2Ti-1Ta-C-Zr-B</t>
  </si>
  <si>
    <t>CoEXP</t>
  </si>
  <si>
    <t>Forsik, S. A. J. et al. Recent Developments in the Design of Next Generation γ′-Strengthened Cobalt–Nickel Superalloys. in 847–856 (2020). doi:10.1007/978-3-030-51834-9_83.</t>
  </si>
  <si>
    <t>-2.8W</t>
  </si>
  <si>
    <t>-37.6Ni</t>
  </si>
  <si>
    <t>-15.8Cr</t>
  </si>
  <si>
    <t>-0.05B</t>
  </si>
  <si>
    <t>CoEXPForsik, S. A. J. et al. Recent Developments in the Design of Next Generation γ′-Strengthened Cobalt–Nickel Superalloys. in 847–856 (2020). doi:10.1007/978-3-030-51834-9_83.</t>
  </si>
  <si>
    <t>-8.9Al-15.8Cr-2.8W-0.5Ta-37.6Ni-1.8Ti-0.14C-0.03Zr-0.05B</t>
  </si>
  <si>
    <t>Wertz, K. et al. Supersolvus Hot Workability and Dynamic Recrystallization in Wrought Co–Al–W-Base Alloys. in 857–869 (2020). doi:10.1007/978-3-030-51834-9_84.</t>
  </si>
  <si>
    <t>Co-9Al-9W-2TaWertz, K. et al. Supersolvus Hot Workability and Dynamic Recrystallization in Wrought Co–Al–W-Base Alloys. in 857–869 (2020). doi:10.1007/978-3-030-51834-9_84.</t>
  </si>
  <si>
    <t>Co-25.Ni-10.Al-4.W-2.Ti-2.Ta</t>
  </si>
  <si>
    <t>-25Ni-10Al-4W-2Ti-2Ta</t>
  </si>
  <si>
    <t>Co-10Al-4W-25Ni-2Ta-2TiWertz, K. et al. Supersolvus Hot Workability and Dynamic Recrystallization in Wrought Co–Al–W-Base Alloys. in 857–869 (2020). doi:10.1007/978-3-030-51834-9_84.</t>
  </si>
  <si>
    <t>-10.Al-4.W-2.Ta-25.Ni-2.Ti</t>
  </si>
  <si>
    <t>Co-30.Ni-6.Al-12.Cr-3.W-5.Ti-1.Ta</t>
  </si>
  <si>
    <t>-30Ni-6Al-12Cr-3W-5Ti-1Ta</t>
  </si>
  <si>
    <t>6Al12Cr5Ti</t>
  </si>
  <si>
    <t>Zhuang, X., Li, L. &amp; Feng, Q. Effects of Al, Cr, and Ti on the Oxidation Behaviors of Multi-component γ/γʹ CoNi-Based Superalloys. in 870–879 (2020). doi:10.1007/978-3-030-51834-9_85.</t>
  </si>
  <si>
    <t>6Al12Cr5TiZhuang, X., Li, L. &amp; Feng, Q. Effects of Al, Cr, and Ti on the Oxidation Behaviors of Multi-component γ/γʹ CoNi-Based Superalloys. in 870–879 (2020). doi:10.1007/978-3-030-51834-9_85.</t>
  </si>
  <si>
    <t>-6.Al-12.Cr-3.W-1.Ta-30.Ni-5.Ti</t>
  </si>
  <si>
    <t>Co-30.Ni-6.Al-14.Cr-3.W-5.Ti-1.Ta</t>
  </si>
  <si>
    <t>-30Ni-6Al-14Cr-3W-5Ti-1Ta</t>
  </si>
  <si>
    <t>6Al14Cr5Ti</t>
  </si>
  <si>
    <t>6Al14Cr5TiZhuang, X., Li, L. &amp; Feng, Q. Effects of Al, Cr, and Ti on the Oxidation Behaviors of Multi-component γ/γʹ CoNi-Based Superalloys. in 870–879 (2020). doi:10.1007/978-3-030-51834-9_85.</t>
  </si>
  <si>
    <t>-6.Al-14.Cr-3.W-1.Ta-30.Ni-5.Ti</t>
  </si>
  <si>
    <t>Co-30.Ni-6.Al-12.Cr-3.W-6.Ti-1.Ta</t>
  </si>
  <si>
    <t>-30Ni-6Al-12Cr-3W-6Ti-1Ta</t>
  </si>
  <si>
    <t>6Al12Cr6Ti</t>
  </si>
  <si>
    <t>6Al12Cr6TiZhuang, X., Li, L. &amp; Feng, Q. Effects of Al, Cr, and Ti on the Oxidation Behaviors of Multi-component γ/γʹ CoNi-Based Superalloys. in 870–879 (2020). doi:10.1007/978-3-030-51834-9_85.</t>
  </si>
  <si>
    <t>-6.Al-12.Cr-3.W-1.Ta-30.Ni-6.Ti</t>
  </si>
  <si>
    <t>Co-30.Ni-8.Al-12.Cr-3.W-4.Ti-1.Ta</t>
  </si>
  <si>
    <t>-30Ni-8Al-12Cr-3W-4Ti-1Ta</t>
  </si>
  <si>
    <t>8Al12Cr4Ti</t>
  </si>
  <si>
    <t>8Al12Cr4TiZhuang, X., Li, L. &amp; Feng, Q. Effects of Al, Cr, and Ti on the Oxidation Behaviors of Multi-component γ/γʹ CoNi-Based Superalloys. in 870–879 (2020). doi:10.1007/978-3-030-51834-9_85.</t>
  </si>
  <si>
    <t>-8.Al-12.Cr-3.W-1.Ta-30.Ni-4.Ti</t>
  </si>
  <si>
    <t>Co-30.Ni-8.Al-14.Cr-3.W-4.Ti-1.Ta</t>
  </si>
  <si>
    <t>-30Ni-8Al-14Cr-3W-4Ti-1Ta</t>
  </si>
  <si>
    <t>8Al14Cr4Ti</t>
  </si>
  <si>
    <t>8Al14Cr4TiZhuang, X., Li, L. &amp; Feng, Q. Effects of Al, Cr, and Ti on the Oxidation Behaviors of Multi-component γ/γʹ CoNi-Based Superalloys. in 870–879 (2020). doi:10.1007/978-3-030-51834-9_85.</t>
  </si>
  <si>
    <t>-8.Al-14.Cr-3.W-1.Ta-30.Ni-4.Ti</t>
  </si>
  <si>
    <t>Co-30.Ni-8.Al-14.Cr-3.W-3.Ti-1.Ta</t>
  </si>
  <si>
    <t>-30Ni-8Al-14Cr-3W-3Ti-1Ta</t>
  </si>
  <si>
    <t>8Al14Cr3Ti</t>
  </si>
  <si>
    <t>8Al14Cr3TiZhuang, X., Li, L. &amp; Feng, Q. Effects of Al, Cr, and Ti on the Oxidation Behaviors of Multi-component γ/γʹ CoNi-Based Superalloys. in 870–879 (2020). doi:10.1007/978-3-030-51834-9_85.</t>
  </si>
  <si>
    <t>-8.Al-14.Cr-3.W-1.Ta-30.Ni-3.Ti</t>
  </si>
  <si>
    <t>Zenk, C. H. et al. The Effect of Alloying on the Thermophysical and Mechanical Properties of Co–Ti–Cr-Based Superalloys. in 909–919 (2020). doi:10.1007/978-3-030-51834-9_89.</t>
  </si>
  <si>
    <t>CTC-1Zenk, C. H. et al. The Effect of Alloying on the Thermophysical and Mechanical Properties of Co–Ti–Cr-Based Superalloys. in 909–919 (2020). doi:10.1007/978-3-030-51834-9_89.</t>
  </si>
  <si>
    <t>Co-1.Al-15.Cr-11.Ti</t>
  </si>
  <si>
    <t>-1Al-15Cr-11Ti</t>
  </si>
  <si>
    <t>CTC-Al</t>
  </si>
  <si>
    <t>-1.Al</t>
  </si>
  <si>
    <t>CTC-AlZenk, C. H. et al. The Effect of Alloying on the Thermophysical and Mechanical Properties of Co–Ti–Cr-Based Superalloys. in 909–919 (2020). doi:10.1007/978-3-030-51834-9_89.</t>
  </si>
  <si>
    <t>-1.Al-15.Cr-11.Ti</t>
  </si>
  <si>
    <t>Co-15.Cr-11.Ti-1.Ta</t>
  </si>
  <si>
    <t>-15Cr-11Ti-1Ta</t>
  </si>
  <si>
    <t>CTC-Ta</t>
  </si>
  <si>
    <t>CTC-TaZenk, C. H. et al. The Effect of Alloying on the Thermophysical and Mechanical Properties of Co–Ti–Cr-Based Superalloys. in 909–919 (2020). doi:10.1007/978-3-030-51834-9_89.</t>
  </si>
  <si>
    <t>-15.Cr-1.Ta-11.Ti</t>
  </si>
  <si>
    <t>Co-15.Cr-1.W-11.Ti</t>
  </si>
  <si>
    <t>-15Cr-1W-11Ti</t>
  </si>
  <si>
    <t>CTC-W</t>
  </si>
  <si>
    <t>CTC-WZenk, C. H. et al. The Effect of Alloying on the Thermophysical and Mechanical Properties of Co–Ti–Cr-Based Superalloys. in 909–919 (2020). doi:10.1007/978-3-030-51834-9_89.</t>
  </si>
  <si>
    <t>-15.Cr-1.W-11.Ti</t>
  </si>
  <si>
    <t>Co-15.Cr-11.Ti-1.Re</t>
  </si>
  <si>
    <t>-15Cr-11Ti-1Re</t>
  </si>
  <si>
    <t>CTC-Re</t>
  </si>
  <si>
    <t>CTC-ReZenk, C. H. et al. The Effect of Alloying on the Thermophysical and Mechanical Properties of Co–Ti–Cr-Based Superalloys. in 909–919 (2020). doi:10.1007/978-3-030-51834-9_89.</t>
  </si>
  <si>
    <t>-15.Cr-11.Ti-1.Re</t>
  </si>
  <si>
    <t>Co-8.9Al-9.W-2.3Ta</t>
  </si>
  <si>
    <t>VF60Zenk, C. H. et al. The Effect of Alloying on the Thermophysical and Mechanical Properties of Co–Ti–Cr-Based Superalloys. in 909–919 (2020). doi:10.1007/978-3-030-51834-9_89.</t>
  </si>
  <si>
    <t>-8.9Al-9.W-2.3Ta</t>
  </si>
  <si>
    <t>Co-30.Ni-10.Al-2.Nb-5.Mo</t>
  </si>
  <si>
    <t>Baler, N., Pandey, P., Singh, M. P., Makineni, S. K. &amp; Chattopadhyay, K. Effects of Ti and Cr Additions in a Co–Ni–Al–Mo–Nb-Based Superalloy. in 929–936 (2020). doi:10.1007/978-3-030-51834-9_91.</t>
  </si>
  <si>
    <t>2NbBaler, N., Pandey, P., Singh, M. P., Makineni, S. K. &amp; Chattopadhyay, K. Effects of Ti and Cr Additions in a Co–Ni–Al–Mo–Nb-Based Superalloy. in 929–936 (2020). doi:10.1007/978-3-030-51834-9_91.</t>
  </si>
  <si>
    <t>-10.Al-30.Ni-5.Mo-2.Nb</t>
  </si>
  <si>
    <t>Co-30.Ni-10.Al-10.Cr-2.Nb-5.Mo</t>
  </si>
  <si>
    <t>-30Ni-10Al-10Cr-2Nb-5Mo</t>
  </si>
  <si>
    <t>2Nb10Cr</t>
  </si>
  <si>
    <t>2Nb10CrBaler, N., Pandey, P., Singh, M. P., Makineni, S. K. &amp; Chattopadhyay, K. Effects of Ti and Cr Additions in a Co–Ni–Al–Mo–Nb-Based Superalloy. in 929–936 (2020). doi:10.1007/978-3-030-51834-9_91.</t>
  </si>
  <si>
    <t>-10.Al-10.Cr-30.Ni-5.Mo-2.Nb</t>
  </si>
  <si>
    <t>Co-30.Ni-10.Al-2.Ti-5.Mo</t>
  </si>
  <si>
    <t>-30Ni-10Al-2Ti-5Mo</t>
  </si>
  <si>
    <t>20Nb2Ti</t>
  </si>
  <si>
    <t>20Nb2TiBaler, N., Pandey, P., Singh, M. P., Makineni, S. K. &amp; Chattopadhyay, K. Effects of Ti and Cr Additions in a Co–Ni–Al–Mo–Nb-Based Superalloy. in 929–936 (2020). doi:10.1007/978-3-030-51834-9_91.</t>
  </si>
  <si>
    <t>-10.Al-30.Ni-5.Mo-2.Ti</t>
  </si>
  <si>
    <t>Co-30.Ni-10.Al-10.Cr-2.Ta-2.Nb-5.Mo</t>
  </si>
  <si>
    <t>-30Ni-10Al-10Cr-2Ta-2Nb-5Mo</t>
  </si>
  <si>
    <t>2Nb10Cr2Ti</t>
  </si>
  <si>
    <t>2Nb10Cr2TiBaler, N., Pandey, P., Singh, M. P., Makineni, S. K. &amp; Chattopadhyay, K. Effects of Ti and Cr Additions in a Co–Ni–Al–Mo–Nb-Based Superalloy. in 929–936 (2020). doi:10.1007/978-3-030-51834-9_91.</t>
  </si>
  <si>
    <t>-10.Al-10.Cr-2.Ta-30.Ni-5.Mo-2.Nb</t>
  </si>
  <si>
    <t>Co-32.Ni-11.Al-5.Cr-2.W-2.Ti-3.Ta-0.5Nb-0.5Mo</t>
  </si>
  <si>
    <t>-32Ni-11Al-5Cr-2W-2Ti-3Ta-1Nb-1Mo</t>
  </si>
  <si>
    <t>9CoNi-1</t>
  </si>
  <si>
    <t>Zou, M., Li, W., Li, L., Zhao, J.-C. &amp; Feng, Q. Machine Learning Assisted Design Approach for Developing γ′-Strengthened Co-Ni-Base Superalloys. in 937–947 (2020). doi:10.1007/978-3-030-51834-9_92.</t>
  </si>
  <si>
    <t>-0.5Nb</t>
  </si>
  <si>
    <t>-0.5Mo</t>
  </si>
  <si>
    <t>9CoNi-1Zou, M., Li, W., Li, L., Zhao, J.-C. &amp; Feng, Q. Machine Learning Assisted Design Approach for Developing γ′-Strengthened Co-Ni-Base Superalloys. in 937–947 (2020). doi:10.1007/978-3-030-51834-9_92.</t>
  </si>
  <si>
    <t>-11.Al-5.Cr-2.W-3.Ta-32.Ni-0.5Mo-0.5Nb-2.Ti</t>
  </si>
  <si>
    <t>7CoNi-1</t>
  </si>
  <si>
    <t>7CoNi-1Zou, M., Li, W., Li, L., Zhao, J.-C. &amp; Feng, Q. Machine Learning Assisted Design Approach for Developing γ′-Strengthened Co-Ni-Base Superalloys. in 937–947 (2020). doi:10.1007/978-3-030-51834-9_92.</t>
  </si>
  <si>
    <t>Co-0.Ni-10.Al-10.W</t>
  </si>
  <si>
    <t>-0Ni-10Al-10W</t>
  </si>
  <si>
    <t>Co-0Ni-10Al-10W</t>
  </si>
  <si>
    <t>Co-0Ni-10Al-10WShinagawa, K. et al. Phase equilibria and microstructure on γ′ phase in Co-Ni-Al-W system. Mater. Trans. 49, 1474–1479 (2008).</t>
  </si>
  <si>
    <t>-10.Al-10.W-0.Ni</t>
  </si>
  <si>
    <t>Co-5.Ni-10.Al-10.W</t>
  </si>
  <si>
    <t>-5Ni-10Al-10W</t>
  </si>
  <si>
    <t>Co-5Ni-10Al-10W</t>
  </si>
  <si>
    <t>-5.Ni</t>
  </si>
  <si>
    <t>Co-5Ni-10Al-10WShinagawa, K. et al. Phase equilibria and microstructure on γ′ phase in Co-Ni-Al-W system. Mater. Trans. 49, 1474–1479 (2008).</t>
  </si>
  <si>
    <t>-10.Al-10.W-5.Ni</t>
  </si>
  <si>
    <t>Co-10Ni-10Al-10W</t>
  </si>
  <si>
    <t>Co-10Ni-10Al-10WShinagawa, K. et al. Phase equilibria and microstructure on γ′ phase in Co-Ni-Al-W system. Mater. Trans. 49, 1474–1479 (2008).</t>
  </si>
  <si>
    <t>Co-15.Ni-10.Al-10.W</t>
  </si>
  <si>
    <t>-15Ni-10Al-10W</t>
  </si>
  <si>
    <t>Co-15Ni-10Al-10W</t>
  </si>
  <si>
    <t>Co-15Ni-10Al-10WShinagawa, K. et al. Phase equilibria and microstructure on γ′ phase in Co-Ni-Al-W system. Mater. Trans. 49, 1474–1479 (2008).</t>
  </si>
  <si>
    <t>-10.Al-10.W-15.Ni</t>
  </si>
  <si>
    <t>Co-20Ni-10Al-10W</t>
  </si>
  <si>
    <t>Co-20Ni-10Al-10WShinagawa, K. et al. Phase equilibria and microstructure on γ′ phase in Co-Ni-Al-W system. Mater. Trans. 49, 1474–1479 (2008).</t>
  </si>
  <si>
    <t>Co-30Ni-10Al-10W</t>
  </si>
  <si>
    <t>Co-30Ni-10Al-10WShinagawa, K. et al. Phase equilibria and microstructure on γ′ phase in Co-Ni-Al-W system. Mater. Trans. 49, 1474–1479 (2008).</t>
  </si>
  <si>
    <t>Co-40Ni-10Al-10W</t>
  </si>
  <si>
    <t>Co-40Ni-10Al-10WShinagawa, K. et al. Phase equilibria and microstructure on γ′ phase in Co-Ni-Al-W system. Mater. Trans. 49, 1474–1479 (2008).</t>
  </si>
  <si>
    <t>Co-50.Ni-10.Al-10.W</t>
  </si>
  <si>
    <t>-50Ni-10Al-10W</t>
  </si>
  <si>
    <t>Co-50Ni-10Al-10W</t>
  </si>
  <si>
    <t>Co-50Ni-10Al-10WShinagawa, K. et al. Phase equilibria and microstructure on γ′ phase in Co-Ni-Al-W system. Mater. Trans. 49, 1474–1479 (2008).</t>
  </si>
  <si>
    <t>-10.Al-10.W-50.Ni</t>
  </si>
  <si>
    <t>Co-60.Ni-10.Al-10.W</t>
  </si>
  <si>
    <t>-60Ni-10Al-10W</t>
  </si>
  <si>
    <t>Co-60Ni-10Al-10W</t>
  </si>
  <si>
    <t>-60.Ni</t>
  </si>
  <si>
    <t>Co-60Ni-10Al-10WShinagawa, K. et al. Phase equilibria and microstructure on γ′ phase in Co-Ni-Al-W system. Mater. Trans. 49, 1474–1479 (2008).</t>
  </si>
  <si>
    <t>-10.Al-10.W-60.Ni</t>
  </si>
  <si>
    <t>Co-70.Ni-10.Al-10.W</t>
  </si>
  <si>
    <t>-70Ni-10Al-10W</t>
  </si>
  <si>
    <t>Co-70Ni-10Al-10W</t>
  </si>
  <si>
    <t>-70.Ni</t>
  </si>
  <si>
    <t>Co-70Ni-10Al-10WShinagawa, K. et al. Phase equilibria and microstructure on γ′ phase in Co-Ni-Al-W system. Mater. Trans. 49, 1474–1479 (2008).</t>
  </si>
  <si>
    <t>-10.Al-10.W-70.Ni</t>
  </si>
  <si>
    <t>Co-80.Ni-10.Al-10.W</t>
  </si>
  <si>
    <t>-80Ni-10Al-10W</t>
  </si>
  <si>
    <t>Co-80Ni-10Al-10W</t>
  </si>
  <si>
    <t>-80.Ni</t>
  </si>
  <si>
    <t>Co-80Ni-10Al-10WShinagawa, K. et al. Phase equilibria and microstructure on γ′ phase in Co-Ni-Al-W system. Mater. Trans. 49, 1474–1479 (2008).</t>
  </si>
  <si>
    <t>-10.Al-10.W-80.Ni</t>
  </si>
  <si>
    <t>Co-10Ni-10Al-7.5W</t>
  </si>
  <si>
    <t>Co-10Ni-10Al-7.5WShinagawa, K. et al. Phase equilibria and microstructure on γ′ phase in Co-Ni-Al-W system. Mater. Trans. 49, 1474–1479 (2008).</t>
  </si>
  <si>
    <t>Co-20Ni-10Al-7.5W</t>
  </si>
  <si>
    <t>Co-20Ni-10Al-7.5WShinagawa, K. et al. Phase equilibria and microstructure on γ′ phase in Co-Ni-Al-W system. Mater. Trans. 49, 1474–1479 (2008).</t>
  </si>
  <si>
    <t>Co-30Ni-10Al-7.5W</t>
  </si>
  <si>
    <t>Co-30Ni-10Al-7.5WShinagawa, K. et al. Phase equilibria and microstructure on γ′ phase in Co-Ni-Al-W system. Mater. Trans. 49, 1474–1479 (2008).</t>
  </si>
  <si>
    <t>Co-40Ni-10Al-7.5W</t>
  </si>
  <si>
    <t>Co-40Ni-10Al-7.5WShinagawa, K. et al. Phase equilibria and microstructure on γ′ phase in Co-Ni-Al-W system. Mater. Trans. 49, 1474–1479 (2008).</t>
  </si>
  <si>
    <t>Co-50.Ni-10.Al-7.5W</t>
  </si>
  <si>
    <t>-50Ni-10Al-8W</t>
  </si>
  <si>
    <t>Co-50Ni-10Al-7.5W</t>
  </si>
  <si>
    <t>Co-50Ni-10Al-7.5WShinagawa, K. et al. Phase equilibria and microstructure on γ′ phase in Co-Ni-Al-W system. Mater. Trans. 49, 1474–1479 (2008).</t>
  </si>
  <si>
    <t>-10.Al-7.5W-50.Ni</t>
  </si>
  <si>
    <t>Co-60.Ni-10.Al-7.5W</t>
  </si>
  <si>
    <t>-60Ni-10Al-8W</t>
  </si>
  <si>
    <t>Co-60Ni-10Al-7.5W</t>
  </si>
  <si>
    <t>Co-60Ni-10Al-7.5WShinagawa, K. et al. Phase equilibria and microstructure on γ′ phase in Co-Ni-Al-W system. Mater. Trans. 49, 1474–1479 (2008).</t>
  </si>
  <si>
    <t>-10.Al-7.5W-60.Ni</t>
  </si>
  <si>
    <t>Co-70.Ni-10.Al-7.5W</t>
  </si>
  <si>
    <t>-70Ni-10Al-8W</t>
  </si>
  <si>
    <t>Co-70Ni-10Al-7.5W</t>
  </si>
  <si>
    <t>Co-70Ni-10Al-7.5WShinagawa, K. et al. Phase equilibria and microstructure on γ′ phase in Co-Ni-Al-W system. Mater. Trans. 49, 1474–1479 (2008).</t>
  </si>
  <si>
    <t>-10.Al-7.5W-70.Ni</t>
  </si>
  <si>
    <t>Co-10.Ni-10.Al-4.7W</t>
  </si>
  <si>
    <t>-10Ni-10Al-5W</t>
  </si>
  <si>
    <t>Co-10Ni-10Al-4.7W</t>
  </si>
  <si>
    <t>Co-10Ni-10Al-4.7WShinagawa, K. et al. Phase equilibria and microstructure on γ′ phase in Co-Ni-Al-W system. Mater. Trans. 49, 1474–1479 (2008).</t>
  </si>
  <si>
    <t>-10.Al-4.7W-10.Ni</t>
  </si>
  <si>
    <t>Co-20.Ni-10.Al-3.9W</t>
  </si>
  <si>
    <t>-20Ni-10Al-4W</t>
  </si>
  <si>
    <t>Co-20Ni-10Al-3.9W</t>
  </si>
  <si>
    <t>Co-20Ni-10Al-3.9WShinagawa, K. et al. Phase equilibria and microstructure on γ′ phase in Co-Ni-Al-W system. Mater. Trans. 49, 1474–1479 (2008).</t>
  </si>
  <si>
    <t>-10.Al-3.9W-20.Ni</t>
  </si>
  <si>
    <t>Co-20.Ni-10.Al-5.W</t>
  </si>
  <si>
    <t>-20Ni-10Al-5W</t>
  </si>
  <si>
    <t>Co-20Ni-10Al-5W</t>
  </si>
  <si>
    <t>Co-20Ni-10Al-5WShinagawa, K. et al. Phase equilibria and microstructure on γ′ phase in Co-Ni-Al-W system. Mater. Trans. 49, 1474–1479 (2008).</t>
  </si>
  <si>
    <t>-10.Al-5.W-20.Ni</t>
  </si>
  <si>
    <t>Co-30.Ni-10.Al-3.2W</t>
  </si>
  <si>
    <t>-30Ni-10Al-3W</t>
  </si>
  <si>
    <t>Co-30Ni-10Al-3.2W</t>
  </si>
  <si>
    <t>Co-30Ni-10Al-3.2WShinagawa, K. et al. Phase equilibria and microstructure on γ′ phase in Co-Ni-Al-W system. Mater. Trans. 49, 1474–1479 (2008).</t>
  </si>
  <si>
    <t>-10.Al-3.2W-30.Ni</t>
  </si>
  <si>
    <t>Co-40.Ni-10.Al-2.6W</t>
  </si>
  <si>
    <t>-40Ni-10Al-3W</t>
  </si>
  <si>
    <t>Co-40Ni-10Al-2.6W</t>
  </si>
  <si>
    <t>Co-40Ni-10Al-2.6WShinagawa, K. et al. Phase equilibria and microstructure on γ′ phase in Co-Ni-Al-W system. Mater. Trans. 49, 1474–1479 (2008).</t>
  </si>
  <si>
    <t>-10.Al-2.6W-40.Ni</t>
  </si>
  <si>
    <t>Co-40.Ni-10.Al-5.W</t>
  </si>
  <si>
    <t>-40Ni-10Al-5W</t>
  </si>
  <si>
    <t>Co-40Ni-10Al-5W</t>
  </si>
  <si>
    <t>Co-40Ni-10Al-5WShinagawa, K. et al. Phase equilibria and microstructure on γ′ phase in Co-Ni-Al-W system. Mater. Trans. 49, 1474–1479 (2008).</t>
  </si>
  <si>
    <t>-10.Al-5.W-40.Ni</t>
  </si>
  <si>
    <t>Co-50.Ni-10.Al-1.6W</t>
  </si>
  <si>
    <t>-50Ni-10Al-2W</t>
  </si>
  <si>
    <t>Co-50Ni-10Al-1.6W</t>
  </si>
  <si>
    <t>-1.6W</t>
  </si>
  <si>
    <t>Co-50Ni-10Al-1.6WShinagawa, K. et al. Phase equilibria and microstructure on γ′ phase in Co-Ni-Al-W system. Mater. Trans. 49, 1474–1479 (2008).</t>
  </si>
  <si>
    <t>-10.Al-1.6W-50.Ni</t>
  </si>
  <si>
    <t>Co-60.Ni-10.Al-1.W</t>
  </si>
  <si>
    <t>-60Ni-10Al-1W</t>
  </si>
  <si>
    <t>Co-60Ni-10Al-1W</t>
  </si>
  <si>
    <t>Co-60Ni-10Al-1WShinagawa, K. et al. Phase equilibria and microstructure on γ′ phase in Co-Ni-Al-W system. Mater. Trans. 49, 1474–1479 (2008).</t>
  </si>
  <si>
    <t>-10.Al-1.W-60.Ni</t>
  </si>
  <si>
    <t>Co-60.Ni-10.Al-5.W</t>
  </si>
  <si>
    <t>-60Ni-10Al-5W</t>
  </si>
  <si>
    <t>Co-60Ni-10Al-5W</t>
  </si>
  <si>
    <t>Co-60Ni-10Al-5WShinagawa, K. et al. Phase equilibria and microstructure on γ′ phase in Co-Ni-Al-W system. Mater. Trans. 49, 1474–1479 (2008).</t>
  </si>
  <si>
    <t>-10.Al-5.W-60.Ni</t>
  </si>
  <si>
    <t>Co-60.Ni-10.Al-2.6W</t>
  </si>
  <si>
    <t>-60Ni-10Al-3W</t>
  </si>
  <si>
    <t>Co-60Ni-10Al-2.6W</t>
  </si>
  <si>
    <t>Co-60Ni-10Al-2.6WShinagawa, K. et al. Phase equilibria and microstructure on γ′ phase in Co-Ni-Al-W system. Mater. Trans. 49, 1474–1479 (2008).</t>
  </si>
  <si>
    <t>-10.Al-2.6W-60.Ni</t>
  </si>
  <si>
    <t>Co-70.Ni-10.Al-1.4W</t>
  </si>
  <si>
    <t>-70Ni-10Al-1W</t>
  </si>
  <si>
    <t>Co-70Ni-10Al-1.4W</t>
  </si>
  <si>
    <t>-1.4W</t>
  </si>
  <si>
    <t>Co-70Ni-10Al-1.4WShinagawa, K. et al. Phase equilibria and microstructure on γ′ phase in Co-Ni-Al-W system. Mater. Trans. 49, 1474–1479 (2008).</t>
  </si>
  <si>
    <t>-10.Al-1.4W-70.Ni</t>
  </si>
  <si>
    <t>Co-9.Al-9.0W</t>
  </si>
  <si>
    <t>Co9-9</t>
  </si>
  <si>
    <t>-9.0W</t>
  </si>
  <si>
    <t>Co9-9Cordero, C.- &amp; Marta. Mechanical Behaviour of Novel Sintered Co-Al-W Alloys at High Temperatures.</t>
  </si>
  <si>
    <t>-9.Al-9.0W</t>
  </si>
  <si>
    <t>CoNi-AJackson, R. W., Titus, M. S., Begley, M. R. &amp; Pollock, T. M. Thermal expansion behavior of new Co-based alloys and implications for coatings. Surf. Coatings Technol. 289, 61–68 (2016).</t>
  </si>
  <si>
    <t>Co-7.Al-8.0W-4.0Ti-1.0Ta</t>
  </si>
  <si>
    <t>-8.0W</t>
  </si>
  <si>
    <t>-1.0Ta</t>
  </si>
  <si>
    <t>-4.0Ti</t>
  </si>
  <si>
    <t>TaTiLu, S., Antonov, S., Li, L. &amp; Feng, Q. Two Steady-State Creep Stages in Co-Al-W-Base Single-Crystal Superalloys at 1273 K/137 MPa. Metall. Mater. Trans. A Phys. Metall. Mater. Sci. 49, 4079–4089 (2018).</t>
  </si>
  <si>
    <t>-7.Al-8.0W-1.0Ta-4.0Ti</t>
  </si>
  <si>
    <t>Co-31.0Ni-6.3Al-8.1Cr-2.0W-3.7Ti-1.0Ta-0.9Nb-3.0Mo-0.08B</t>
  </si>
  <si>
    <t>-31Ni-6Al-8Cr-2W-4Ti-1Ta-1Nb-3Mo-B</t>
  </si>
  <si>
    <t>-2.0W</t>
  </si>
  <si>
    <t>-31.0Ni</t>
  </si>
  <si>
    <t>-3.0Mo</t>
  </si>
  <si>
    <t>8CrNg, D. S. et al. Effect of Cr additions on a γ-γ’ microstructure and creep behavior of a Co-based superalloy with low W content. Mater. Sci. Eng. A 778, (2020).</t>
  </si>
  <si>
    <t>75.0Co-31.0Ni-6.3Al-8.1Cr-2.0W-3.7Ti-1.0Ta-0.9Nb-3.0Mo-0.08B</t>
  </si>
  <si>
    <t>-6.3Al-8.1Cr-2.0W-1.0Ta-31.0Ni-3.0Mo-0.9Nb-3.7Ti-0.08B</t>
  </si>
  <si>
    <t>Co-12.Al-11.0W</t>
  </si>
  <si>
    <t>Co3(Al,W)</t>
  </si>
  <si>
    <t>Okamoto, N. L. et al. Plastic deformation of polycrystals of Co3(Al,W) with the L12 structure. Philos. Mag. 91, 3667–3684 (2011).</t>
  </si>
  <si>
    <t>-11.0W</t>
  </si>
  <si>
    <t>Co3(Al,W)Okamoto, N. L. et al. Plastic deformation of polycrystals of Co3(Al,W) with the L12 structure. Philos. Mag. 91, 3667–3684 (2011).</t>
  </si>
  <si>
    <t>-12.Al-11.0W</t>
  </si>
  <si>
    <t>Co-9.Al-7.0W-2.0Re</t>
  </si>
  <si>
    <t>-7.0W</t>
  </si>
  <si>
    <t>-2.0Re</t>
  </si>
  <si>
    <t>-9.Al-7.0W-2.0Re</t>
  </si>
  <si>
    <t>Petrushin alloy 1</t>
  </si>
  <si>
    <t>Petrushin, N. et al. A single-crystal co-base superalloy strengthened by γ′ precipitates: Structure and mechanical properties. Adv. Eng. Mater. 17, 755–760 (2015).</t>
  </si>
  <si>
    <t>Petrushin alloy 1Petrushin, N. et al. A single-crystal co-base superalloy strengthened by γ′ precipitates: Structure and mechanical properties. Adv. Eng. Mater. 17, 755–760 (2015).</t>
  </si>
  <si>
    <t>Co-8.8Al-9.8W-2.0Ta</t>
  </si>
  <si>
    <t>-2.0Ta</t>
  </si>
  <si>
    <t>Co-8.8Al-9.8W-2TaPollock, T. M. M. et al. New Co-based γ-γ’ High-temperature Alloys. JOM 62, 58–63 (2010).</t>
  </si>
  <si>
    <t>-8.8Al-9.8W-2.0Ta</t>
  </si>
  <si>
    <t>Co-20.4Ni-9.8Al-7.4W-2.7Ti-0.40C-0.10B</t>
  </si>
  <si>
    <t>Sani alloy 1</t>
  </si>
  <si>
    <t>Sani, S. A., Arabi, H. &amp; Ebrahimi, G. R. Hot deformation behavior and DRX mechanism in a γ-γ/ cobalt-based superalloy. Mater. Sci. Eng. A 764, (2019).</t>
  </si>
  <si>
    <t>-0.40C</t>
  </si>
  <si>
    <t>-0.10B</t>
  </si>
  <si>
    <t>Sani alloy 1Sani, S. A., Arabi, H. &amp; Ebrahimi, G. R. Hot deformation behavior and DRX mechanism in a γ-γ/ cobalt-based superalloy. Mater. Sci. Eng. A 764, (2019).</t>
  </si>
  <si>
    <t>-9.8Al-7.4W-20.4Ni-2.7Ti-0.40C-0.10B</t>
  </si>
  <si>
    <t>11WSuzuki, A. &amp; Pollock, T. M. High-temperature strength and deformation of γ/γ′ two-phase Co-Al-W-base alloys. Acta Mater. 56, 1288–1297 (2008).</t>
  </si>
  <si>
    <t>2TaSuzuki, A. &amp; Pollock, T. M. High-temperature strength and deformation of γ/γ′ two-phase Co-Al-W-base alloys. Acta Mater. 56, 1288–1297 (2008).</t>
  </si>
  <si>
    <t>Co-8.8Al-9.8W-2.0Re</t>
  </si>
  <si>
    <t>2Re</t>
  </si>
  <si>
    <t>2ReSuzuki, A. &amp; Pollock, T. M. High-temperature strength and deformation of γ/γ′ two-phase Co-Al-W-base alloys. Acta Mater. 56, 1288–1297 (2008).</t>
  </si>
  <si>
    <t>-8.8Al-9.8W-2.0Re</t>
  </si>
  <si>
    <t>Co-23.0Ti</t>
  </si>
  <si>
    <t>Co-23Ti</t>
  </si>
  <si>
    <t>-23.0Ti</t>
  </si>
  <si>
    <t>Co-23TiTakasugi, T. HIGH TEMPERATURE STRENGTH AND DUCTILITY OF POLYCRYSTALLINE Co,Ti. Acro nferati vol. 33 (1985).</t>
  </si>
  <si>
    <t>6Ti</t>
  </si>
  <si>
    <t>6TiTitus, M. S., Eggeler, Y. M., Suzuki, A. &amp; Pollock, T. M. Creep-induced planar defects in L12-containing Co- and CoNi-base single-crystal superalloys. Acta Mater. 82, 530–539 (2015)</t>
  </si>
  <si>
    <t>TernaryTitus, M. S., Eggeler, Y. M., Suzuki, A. &amp; Pollock, T. M. Creep-induced planar defects in L12-containing Co- and CoNi-base single-crystal superalloys. Acta Mater. 82, 530–539 (2015)</t>
  </si>
  <si>
    <t>2TaTitus, M. S., Eggeler, Y. M., Suzuki, A. &amp; Pollock, T. M. Creep-induced planar defects in L12-containing Co- and CoNi-base single-crystal superalloys. Acta Mater. 82, 530–539 (2015)</t>
  </si>
  <si>
    <t>CrTaTitus, M. S., Eggeler, Y. M., Suzuki, A. &amp; Pollock, T. M. Creep-induced planar defects in L12-containing Co- and CoNi-base single-crystal superalloys. Acta Mater. 82, 530–539 (2015)</t>
  </si>
  <si>
    <t>CoNi-ATitus, M. S., Eggeler, Y. M., Suzuki, A. &amp; Pollock, T. M. Creep-induced planar defects in L12-containing Co- and CoNi-base single-crystal superalloys. Acta Mater. 82, 530–539 (2015)</t>
  </si>
  <si>
    <t>CoNi-ETitus, M. S., Suzuki, A. &amp; Pollock, T. M. Creep and directional coarsening in single crystals of new γ-γ′ Cobalt-base alloys. Scr. Mater. 66, 574–577 (2012).</t>
  </si>
  <si>
    <t>Tsunekane, M., Suzuki, A. &amp; Pollock, T. M. Single-crystal solidification of new Co-Al-W-base alloys. Intermetallics 19, 636–643 (2011).</t>
  </si>
  <si>
    <t>Co-9.4Al-10.7WTsunekane, M., Suzuki, A. &amp; Pollock, T. M. Single-crystal solidification of new Co-Al-W-base alloys. Intermetallics 19, 636–643 (2011).</t>
  </si>
  <si>
    <t>Co-8.8Al-9.8W-2TaTsunekane, M., Suzuki, A. &amp; Pollock, T. M. Single-crystal solidification of new Co-Al-W-base alloys. Intermetallics 19, 636–643 (2011).</t>
  </si>
  <si>
    <t>Co-7.8Al-4.5Cr-7.8W-2.0Ta</t>
  </si>
  <si>
    <t>Co-7.8Al-7.8W-4.5Cr-2Ta</t>
  </si>
  <si>
    <t>Co-7.8Al-7.8W-4.5Cr-2TaTsunekane, M., Suzuki, A. &amp; Pollock, T. M. Single-crystal solidification of new Co-Al-W-base alloys. Intermetallics 19, 636–643 (2011).</t>
  </si>
  <si>
    <t>-7.8Al-4.5Cr-7.8W-2.0Ta</t>
  </si>
  <si>
    <t>Co-7Al-7W</t>
  </si>
  <si>
    <t>Co-7Al-7WVorontsov, V. A. et al. Coarsening behaviour and interfacial structure of γ′ precipitates in Co-Al-W based superalloys. Acta Mater. 120, 14–23 (2016).</t>
  </si>
  <si>
    <t>Co-9.Al-9.0W-2.0Ta</t>
  </si>
  <si>
    <t>Co-9Al-9W-2TaWang, S., Li, S. &amp; Sha, J. Effect of Hf additions on microstructure and mechanical properties of a Co-9Al-9W-2Ta alloy at room and high-temperatures. in Procedia Engineering vol. 27 1162–1168 (Elsevier Ltd, 2012).</t>
  </si>
  <si>
    <t>-9.Al-9.0W-2.0Ta</t>
  </si>
  <si>
    <t>Co-9.Al-10.0W-4.0Ta</t>
  </si>
  <si>
    <t>4Ta</t>
  </si>
  <si>
    <t>-10.0W</t>
  </si>
  <si>
    <t>-4.0Ta</t>
  </si>
  <si>
    <t>4TaXue, F., Wang, M. &amp; Feng, Q. Alloying Effects on Heat-Treated Microstructure in Co-Al-W-Base Superalloys at 1300°C and 900°C. Superalloys 2012 813–821 (2012) doi:10.1002/9781118516430.ch90.</t>
  </si>
  <si>
    <t>-9.Al-10.0W-4.0Ta</t>
  </si>
  <si>
    <t>Alloy TaTi</t>
  </si>
  <si>
    <t>Alloy TaTiXue, F., Zhou, H. J. &amp; Feng, Q. Improved High-Temperature Microstructural Stability and Creep Property of Novel Co-Base Single-Crystal Alloys Containing Ta and Ti. JOM 66, 2486–2494 (2014).</t>
  </si>
  <si>
    <t>Alloy TaTi-B</t>
  </si>
  <si>
    <t>Alloy TaTi-BXue, F., Zhou, H. J. &amp; Feng, Q. Improved High-Temperature Microstructural Stability and Creep Property of Novel Co-Base Single-Crystal Alloys Containing Ta and Ti. JOM 66, 2486–2494 (2014).</t>
  </si>
  <si>
    <t>Alloy A</t>
  </si>
  <si>
    <t>Xue, F., Zhou, H. J., Ding, X. F., Wang, M. L. &amp; Feng, Q. Improved high temperature γ’ stability of Co-Al-W-base alloys containing Ti and Ta. Mater. Lett. 112, 215–218 (2013).</t>
  </si>
  <si>
    <t>Alloy AXue, F., Zhou, H. J., Ding, X. F., Wang, M. L. &amp; Feng, Q. Improved high temperature γ’ stability of Co-Al-W-base alloys containing Ti and Ta. Mater. Lett. 112, 215–218 (2013).</t>
  </si>
  <si>
    <t>Co-7.Al-7.0W-4.0Ti-2.0Ta</t>
  </si>
  <si>
    <t>Alloy B</t>
  </si>
  <si>
    <t>Alloy BXue, F., Zhou, H. J., Ding, X. F., Wang, M. L. &amp; Feng, Q. Improved high temperature γ’ stability of Co-Al-W-base alloys containing Ti and Ta. Mater. Lett. 112, 215–218 (2013).</t>
  </si>
  <si>
    <t>-7.Al-7.0W-2.0Ta-4.0Ti</t>
  </si>
  <si>
    <t>2TaYan, H. Y., Vorontsov, V. A. &amp; Dye, D. Alloying effects in polycrystalline γ′ strengthened Co-Al-W base alloys. Intermetallics 48, 44–53 (2014).</t>
  </si>
  <si>
    <t>Co-20.2Ni-7.3Al-7.0W</t>
  </si>
  <si>
    <t>20NiYan, H. Y., Vorontsov, V. A. &amp; Dye, D. Alloying effects in polycrystalline γ′ strengthened Co-Al-W base alloys. Intermetallics 48, 44–53 (2014).</t>
  </si>
  <si>
    <t>-7.3Al-7.0W-20.2Ni</t>
  </si>
  <si>
    <t>Baseline</t>
  </si>
  <si>
    <t>BaselineZhou, H. J. et al. Alloying effects on microstructural stability and γ′ phase nano-hardness in Co-Al-W-Ta-Ti-base superalloys. in Proceedings of the International Symposium on Superalloys vols 2016-Janua 981–990 (Minerals, Metals and Materials Society, 2016).</t>
  </si>
  <si>
    <t>CO-7Al-8W-1Ta-4Ti</t>
  </si>
  <si>
    <t>Zhou, H. J., Chang, H. &amp; Feng, Q. Transient minimum creep of a γ′ strengthened Co-base single-crystal superalloy at 900 °C. Scr. Mater. 135, 84–87 (2017).</t>
  </si>
  <si>
    <t>CO-7Al-8W-1Ta-4TiZhou, H. J., Chang, H. &amp; Feng, Q. Transient minimum creep of a γ′ strengthened Co-base single-crystal superalloy at 900 °C. Scr. Mater. 135, 84–87 (2017).</t>
  </si>
  <si>
    <t>Zhou, H. J., Xue, F., Chang, H. &amp; Feng, Q. Effect of Mo on microstructural characteristics and coarsening kinetics of γ’ precipitates in Co–Al–W–Ta–Ti alloys. J. Mater. Sci. Technol. 34, 799–805 (2018).</t>
  </si>
  <si>
    <t>Alloy AZhou, H. J., Xue, F., Chang, H. &amp; Feng, Q. Effect of Mo on microstructural characteristics and coarsening kinetics of γ’ precipitates in Co–Al–W–Ta–Ti alloys. J. Mater. Sci. Technol. 34, 799–805 (2018).</t>
  </si>
  <si>
    <t>Co-7.Al-6.0W-4.0Ti-2.0Ta-1.0Mo</t>
  </si>
  <si>
    <t>-6.0W</t>
  </si>
  <si>
    <t>-1.0Mo</t>
  </si>
  <si>
    <t>Alloy BZhou, H. J., Xue, F., Chang, H. &amp; Feng, Q. Effect of Mo on microstructural characteristics and coarsening kinetics of γ’ precipitates in Co–Al–W–Ta–Ti alloys. J. Mater. Sci. Technol. 34, 799–805 (2018).</t>
  </si>
  <si>
    <t>-7.Al-6.0W-2.0Ta-1.0Mo-4.0Ti</t>
  </si>
  <si>
    <t>Co-8.1Al-9.1W-1.7Ta-2.5Ir</t>
  </si>
  <si>
    <t>-8Al-9W-2Ta-3Ir</t>
  </si>
  <si>
    <t>2Ta2Ir</t>
  </si>
  <si>
    <t>Bauer, A., Neumeier, S., Pyczak, F., &amp; Göken, M. (2010). Microstructure and creep strength of different γ/γ′- strengthened Co-base superalloy variants. Scripta Materialia, 63(12), 1197–1200. https://doi.org/10.1016/j.scriptamat.2010.08.049</t>
  </si>
  <si>
    <t>-2.5Ir</t>
  </si>
  <si>
    <t>2Ta2IrBauer, A., Neumeier, S., Pyczak, F., &amp; Göken, M. (2010). Microstructure and creep strength of different γ/γ′- strengthened Co-base superalloy variants. Scripta Materialia, 63(12), 1197–1200. https://doi.org/10.1016/j.scriptamat.2010.08.049</t>
  </si>
  <si>
    <t>78.6Co-8.1Al-9.1W-1.7Ta-2.5Ir</t>
  </si>
  <si>
    <t>-8.1Al-9.1W-1.7Ta-2.5Ir</t>
  </si>
  <si>
    <t>8W-2Ta-2Ir</t>
  </si>
  <si>
    <t>Bauer, A., Neumeier, S., Pyczak, F., &amp; Göken, M. (2012). Creep Strength and Microstructure of Polycrystalline γ′ - Strengthened Cobalt-Base Superalloys. In Superalloys 2012 (pp. 695–703). https://doi.org/10.1002/9781118516430.ch84</t>
  </si>
  <si>
    <t>8W-2Ta-2IrBauer, A., Neumeier, S., Pyczak, F., &amp; Göken, M. (2012). Creep Strength and Microstructure of Polycrystalline γ′ - Strengthened Cobalt-Base Superalloys. In Superalloys 2012 (pp. 695–703). https://doi.org/10.1002/9781118516430.ch84</t>
  </si>
  <si>
    <t>5W-2Ta-2Ir</t>
  </si>
  <si>
    <t>Bauer, A., Neumeier, S., Pyczak, F., &amp; Göken, M. (2012). Creep Strength and Microstructure of Polycrystalline γ′ - Strengthened Cobalt-Base Superalloys. In Superalloys 2012 (pp. 695–703). https://doi.org/10.1002/9781118516430.ch85</t>
  </si>
  <si>
    <t>5W-2Ta-2IrBauer, A., Neumeier, S., Pyczak, F., &amp; Göken, M. (2012). Creep Strength and Microstructure of Polycrystalline γ′ - Strengthened Cobalt-Base Superalloys. In Superalloys 2012 (pp. 695–703). https://doi.org/10.1002/9781118516430.ch85</t>
  </si>
  <si>
    <t>Co-8.1Al-8.4W-2.0Ta</t>
  </si>
  <si>
    <t>Bauer, A., Neumeier, S., Pyczak, F., &amp; Göken, M. (2015). Influence of iridium on the properties of γ′-strengthened co-base superalloys. Advanced Engineering Materials, 17(6), 748–754. https://doi.org/10.1002/adem.201400266</t>
  </si>
  <si>
    <t>2TaBauer, A., Neumeier, S., Pyczak, F., &amp; Göken, M. (2015). Influence of iridium on the properties of γ′-strengthened co-base superalloys. Advanced Engineering Materials, 17(6), 748–754. https://doi.org/10.1002/adem.201400266</t>
  </si>
  <si>
    <t>-8.1Al-8.4W-2.0Ta</t>
  </si>
  <si>
    <t>Bauer, A., Neumeier, S., Pyczak, F., &amp; Göken, M. (2015). Influence of iridium on the properties of γ′-strengthened co-base superalloys. Advanced Engineering Materials, 17(6), 748–754. https://doi.org/10.1002/adem.201400267</t>
  </si>
  <si>
    <t>2Ta2IrBauer, A., Neumeier, S., Pyczak, F., &amp; Göken, M. (2015). Influence of iridium on the properties of γ′-strengthened co-base superalloys. Advanced Engineering Materials, 17(6), 748–754. https://doi.org/10.1002/adem.201400267</t>
  </si>
  <si>
    <t>5W2Ta2Ir</t>
  </si>
  <si>
    <t>Bauer, A., Neumeier, S., Pyczak, F., &amp; Göken, M. (2015). Influence of iridium on the properties of γ′-strengthened co-base superalloys. Advanced Engineering Materials, 17(6), 748–754. https://doi.org/10.1002/adem.201400268</t>
  </si>
  <si>
    <t>5W2Ta2IrBauer, A., Neumeier, S., Pyczak, F., &amp; Göken, M. (2015). Influence of iridium on the properties of γ′-strengthened co-base superalloys. Advanced Engineering Materials, 17(6), 748–754. https://doi.org/10.1002/adem.201400268</t>
  </si>
  <si>
    <t>Co-8.9Al-9.3W-2.0Ta-0.12B</t>
  </si>
  <si>
    <t>8W-2Ta-0.12B</t>
  </si>
  <si>
    <t>Bauer, A., Neumeier, S., Pyczak, F., Singer, R. F., &amp; Göken, M. (2012). Creep properties of different γ’-strengthened Co-base superalloys. Materials Science and Engineering A, 550, 333–341. https://doi.org/10.1016/j.msea.2012.04.089</t>
  </si>
  <si>
    <t>8W-2Ta-0.12BBauer, A., Neumeier, S., Pyczak, F., Singer, R. F., &amp; Göken, M. (2012). Creep properties of different γ’-strengthened Co-base superalloys. Materials Science and Engineering A, 550, 333–341. https://doi.org/10.1016/j.msea.2012.04.089</t>
  </si>
  <si>
    <t>-8.9Al-9.3W-2.0Ta-0.12B</t>
  </si>
  <si>
    <t>10W-2Nb</t>
  </si>
  <si>
    <t>Bauer, A., Neumeier, S., Pyczak, F., Singer, R. F., &amp; Göken, M. (2012). Creep properties of different γ’-strengthened Co-base superalloys. Materials Science and Engineering A, 550, 333–341. https://doi.org/10.1016/j.msea.2012.04.092</t>
  </si>
  <si>
    <t>10W-2NbBauer, A., Neumeier, S., Pyczak, F., Singer, R. F., &amp; Göken, M. (2012). Creep properties of different γ’-strengthened Co-base superalloys. Materials Science and Engineering A, 550, 333–341. https://doi.org/10.1016/j.msea.2012.04.092</t>
  </si>
  <si>
    <t>8W-2Ta-2Si</t>
  </si>
  <si>
    <t>Bauer, A., Neumeier, S., Pyczak, F., Singer, R. F., &amp; Göken, M. (2012). Creep properties of different γ’-strengthened Co-base superalloys. Materials Science and Engineering A, 550, 333–341. https://doi.org/10.1016/j.msea.2012.04.097</t>
  </si>
  <si>
    <t>Si detectable in EDS</t>
  </si>
  <si>
    <t>8W-2Ta-2SiBauer, A., Neumeier, S., Pyczak, F., Singer, R. F., &amp; Göken, M. (2012). Creep properties of different γ’-strengthened Co-base superalloys. Materials Science and Engineering A, 550, 333–341. https://doi.org/10.1016/j.msea.2012.04.097</t>
  </si>
  <si>
    <t>Co-32.0Ni-6.Al-12.0Cr-3.0W-2.5Ti-1.5Ta-0.3Si-0.08C-0.01Zr-0.08B</t>
  </si>
  <si>
    <t>CoWalloy1</t>
  </si>
  <si>
    <t>Abedi, H. R., &amp; Ojo, O. A. (2021). Numerical Modeling of Gas Tungsten Arc Welding of a Newly Developed Cobalt-Based Superalloy. Metallurgical and Materials Transactions A: Physical Metallurgy and Materials Science, 52(11), 5043–5054. https://doi.org/10.1007/s11661-021-06451-x</t>
  </si>
  <si>
    <t>-3.0W</t>
  </si>
  <si>
    <t>-32.0Ni</t>
  </si>
  <si>
    <t>-12.0Cr</t>
  </si>
  <si>
    <t>CoWalloy1Abedi, H. R., &amp; Ojo, O. A. (2021). Numerical Modeling of Gas Tungsten Arc Welding of a Newly Developed Cobalt-Based Superalloy. Metallurgical and Materials Transactions A: Physical Metallurgy and Materials Science, 52(11), 5043–5054. https://doi.org/10.1007/s11661-021-06451-x</t>
  </si>
  <si>
    <t>Co-28.8Ni-10.Al-10.2Cr-2.1Ti-2.1Ta-1.5Nb-2.2Mo</t>
  </si>
  <si>
    <t>MCoHEA</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</si>
  <si>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https://doi.org/10.1016/j.scriptamat.2021.113826</t>
  </si>
  <si>
    <t>-10.2Cr</t>
  </si>
  <si>
    <t>-1.5Nb</t>
  </si>
  <si>
    <t>-2.2Mo</t>
  </si>
  <si>
    <t>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t>
  </si>
  <si>
    <t>Co-10.5Al-2.8Nb-7.2Mo</t>
  </si>
  <si>
    <t>Davydov, D., Kazantseva, N., Ezhov, I., &amp; Popova, E. (2021). Effect of alloying on the ?-?0 microstructure of W-free Co-based superalloys. Materials Today: Proceedings, 38, 1971–1973. https://doi.org/10.1016/j.matpr.2020.09.131</t>
  </si>
  <si>
    <t>-2.8Nb</t>
  </si>
  <si>
    <t>-7.2Mo</t>
  </si>
  <si>
    <t>1Davydov, D., Kazantseva, N., Ezhov, I., &amp; Popova, E. (2021). Effect of alloying on the ?-?0 microstructure of W-free Co-based superalloys. Materials Today: Proceedings, 38, 1971–1973. https://doi.org/10.1016/j.matpr.2020.09.131</t>
  </si>
  <si>
    <t>Co-10.9Al-1.6Nb-4.2Mo</t>
  </si>
  <si>
    <t>-10.9Al</t>
  </si>
  <si>
    <t>-1.6Nb</t>
  </si>
  <si>
    <t>-4.2Mo</t>
  </si>
  <si>
    <t>2Davydov, D., Kazantseva, N., Ezhov, I., &amp; Popova, E. (2021). Effect of alloying on the ?-?0 microstructure of W-free Co-based superalloys. Materials Today: Proceedings, 38, 1971–1973. https://doi.org/10.1016/j.matpr.2020.09.131</t>
  </si>
  <si>
    <t>Co-10.1Al-1.0Nb-5.6Mo</t>
  </si>
  <si>
    <t>-1.0Nb</t>
  </si>
  <si>
    <t>-5.6Mo</t>
  </si>
  <si>
    <t>3Davydov, D., Kazantseva, N., Ezhov, I., &amp; Popova, E. (2021). Effect of alloying on the ?-?0 microstructure of W-free Co-based superalloys. Materials Today: Proceedings, 38, 1971–1973. https://doi.org/10.1016/j.matpr.2020.09.131</t>
  </si>
  <si>
    <t>Edtmaier, C., Wolf, M., de Oro Calderon, R., &amp; Schubert, W. D. (2021). Effect of nickel on the formation of γ/γ’ microstructures in WC/Co-Ni-Al-W. International Journal of Refractory Metals and Hard Materials, 100. https://doi.org/10.1016/j.ijrmhm.2021.105652</t>
  </si>
  <si>
    <t>1Edtmaier, C., Wolf, M., de Oro Calderon, R., &amp; Schubert, W. D. (2021). Effect of nickel on the formation of γ/γ’ microstructures in WC/Co-Ni-Al-W. International Journal of Refractory Metals and Hard Materials, 100. https://doi.org/10.1016/j.ijrmhm.2021.105652</t>
  </si>
  <si>
    <t>Co-15.0Ni-12.Al-11.0W</t>
  </si>
  <si>
    <t>Edtmaier, C., Wolf, M., de Oro Calderon, R., &amp; Schubert, W. D. (2021). Effect of nickel on the formation of γ/γ’ microstructures in WC/Co-Ni-Al-W. International Journal of Refractory Metals and Hard Materials, 100. https://doi.org/10.1016/j.ijrmhm.2021.105653</t>
  </si>
  <si>
    <t>-15.0Ni</t>
  </si>
  <si>
    <t>2Edtmaier, C., Wolf, M., de Oro Calderon, R., &amp; Schubert, W. D. (2021). Effect of nickel on the formation of γ/γ’ microstructures in WC/Co-Ni-Al-W. International Journal of Refractory Metals and Hard Materials, 100. https://doi.org/10.1016/j.ijrmhm.2021.105653</t>
  </si>
  <si>
    <t>Co-30.0Ni-12.Al-11.0W</t>
  </si>
  <si>
    <t>Edtmaier, C., Wolf, M., de Oro Calderon, R., &amp; Schubert, W. D. (2021). Effect of nickel on the formation of γ/γ’ microstructures in WC/Co-Ni-Al-W. International Journal of Refractory Metals and Hard Materials, 100. https://doi.org/10.1016/j.ijrmhm.2021.105654</t>
  </si>
  <si>
    <t>-30.0Ni</t>
  </si>
  <si>
    <t>3Edtmaier, C., Wolf, M., de Oro Calderon, R., &amp; Schubert, W. D. (2021). Effect of nickel on the formation of γ/γ’ microstructures in WC/Co-Ni-Al-W. International Journal of Refractory Metals and Hard Materials, 100. https://doi.org/10.1016/j.ijrmhm.2021.105654</t>
  </si>
  <si>
    <t>Co-45.0Ni-12.Al-11.0W</t>
  </si>
  <si>
    <t>Edtmaier, C., Wolf, M., de Oro Calderon, R., &amp; Schubert, W. D. (2021). Effect of nickel on the formation of γ/γ’ microstructures in WC/Co-Ni-Al-W. International Journal of Refractory Metals and Hard Materials, 100. https://doi.org/10.1016/j.ijrmhm.2021.105655</t>
  </si>
  <si>
    <t>-45.0Ni</t>
  </si>
  <si>
    <t>4Edtmaier, C., Wolf, M., de Oro Calderon, R., &amp; Schubert, W. D. (2021). Effect of nickel on the formation of γ/γ’ microstructures in WC/Co-Ni-Al-W. International Journal of Refractory Metals and Hard Materials, 100. https://doi.org/10.1016/j.ijrmhm.2021.105655</t>
  </si>
  <si>
    <t>Co-15.0Ni-11.Al-9.0W</t>
  </si>
  <si>
    <t>Edtmaier, C., Wolf, M., de Oro Calderon, R., &amp; Schubert, W. D. (2021). Effect of nickel on the formation of γ/γ’ microstructures in WC/Co-Ni-Al-W. International Journal of Refractory Metals and Hard Materials, 100. https://doi.org/10.1016/j.ijrmhm.2021.105656</t>
  </si>
  <si>
    <t>5Edtmaier, C., Wolf, M., de Oro Calderon, R., &amp; Schubert, W. D. (2021). Effect of nickel on the formation of γ/γ’ microstructures in WC/Co-Ni-Al-W. International Journal of Refractory Metals and Hard Materials, 100. https://doi.org/10.1016/j.ijrmhm.2021.105656</t>
  </si>
  <si>
    <t>Co-17.5Ni-11.Al-9.0W</t>
  </si>
  <si>
    <t>Edtmaier, C., Wolf, M., de Oro Calderon, R., &amp; Schubert, W. D. (2021). Effect of nickel on the formation of γ/γ’ microstructures in WC/Co-Ni-Al-W. International Journal of Refractory Metals and Hard Materials, 100. https://doi.org/10.1016/j.ijrmhm.2021.105657</t>
  </si>
  <si>
    <t>-17.5Ni</t>
  </si>
  <si>
    <t>6Edtmaier, C., Wolf, M., de Oro Calderon, R., &amp; Schubert, W. D. (2021). Effect of nickel on the formation of γ/γ’ microstructures in WC/Co-Ni-Al-W. International Journal of Refractory Metals and Hard Materials, 100. https://doi.org/10.1016/j.ijrmhm.2021.105657</t>
  </si>
  <si>
    <t>Co-20.0Ni-11.Al-9.0W</t>
  </si>
  <si>
    <t>Edtmaier, C., Wolf, M., de Oro Calderon, R., &amp; Schubert, W. D. (2021). Effect of nickel on the formation of γ/γ’ microstructures in WC/Co-Ni-Al-W. International Journal of Refractory Metals and Hard Materials, 100. https://doi.org/10.1016/j.ijrmhm.2021.105658</t>
  </si>
  <si>
    <t>-20.0Ni</t>
  </si>
  <si>
    <t>7Edtmaier, C., Wolf, M., de Oro Calderon, R., &amp; Schubert, W. D. (2021). Effect of nickel on the formation of γ/γ’ microstructures in WC/Co-Ni-Al-W. International Journal of Refractory Metals and Hard Materials, 100. https://doi.org/10.1016/j.ijrmhm.2021.105658</t>
  </si>
  <si>
    <t>Co-13.0Ni-10.Al-8.0W</t>
  </si>
  <si>
    <t>Edtmaier, C., Wolf, M., de Oro Calderon, R., &amp; Schubert, W. D. (2021). Effect of nickel on the formation of γ/γ’ microstructures in WC/Co-Ni-Al-W. International Journal of Refractory Metals and Hard Materials, 100. https://doi.org/10.1016/j.ijrmhm.2021.105659</t>
  </si>
  <si>
    <t>-13.0Ni</t>
  </si>
  <si>
    <t>8Edtmaier, C., Wolf, M., de Oro Calderon, R., &amp; Schubert, W. D. (2021). Effect of nickel on the formation of γ/γ’ microstructures in WC/Co-Ni-Al-W. International Journal of Refractory Metals and Hard Materials, 100. https://doi.org/10.1016/j.ijrmhm.2021.105659</t>
  </si>
  <si>
    <t>Co-9.Al-9.0W-2.0Ta-0.02B</t>
  </si>
  <si>
    <t>Co-Al-W</t>
  </si>
  <si>
    <t>Fan, L. L., Li, Y., Zhao, X. Y., Yu, Y. X., Zhou, C. G., &amp; Sha, J. B. (2021). High-throughput preparation and characterization of early hot-corrosion behaviors of compositional gradient Al–Cr complex coatings on a novel Co–Al–W-based alloy. Corrosion Science, 192. https://doi.org/10.1016/j.corsci.2021.109811</t>
  </si>
  <si>
    <t>Co-Al-WFan, L. L., Li, Y., Zhao, X. Y., Yu, Y. X., Zhou, C. G., &amp; Sha, J. B. (2021). High-throughput preparation and characterization of early hot-corrosion behaviors of compositional gradient Al–Cr complex coatings on a novel Co–Al–W-based alloy. Corrosion Science, 192. https://doi.org/10.1016/j.corsci.2021.109811</t>
  </si>
  <si>
    <t>Co-12.0Ti</t>
  </si>
  <si>
    <t>CoTi</t>
  </si>
  <si>
    <t>Im, H. J., Choi, W. S., Ryou, K. H., Seol, J. B., Kang, T. H., Ko, W. S., &amp; Choi, P. P. (2021). Enhanced microstructural stability of γ/γ′-strengthened Co-Ti-Mo-based alloys through Al additions. Acta Materialia, 214. https://doi.org/10.1016/j.actamat.2021.117011</t>
  </si>
  <si>
    <t>-12.0Ti</t>
  </si>
  <si>
    <t>CoTiIm, H. J., Choi, W. S., Ryou, K. H., Seol, J. B., Kang, T. H., Ko, W. S., &amp; Choi, P. P. (2021). Enhanced microstructural stability of γ/γ′-strengthened Co-Ti-Mo-based alloys through Al additions. Acta Materialia, 214. https://doi.org/10.1016/j.actamat.2021.117011</t>
  </si>
  <si>
    <t>Co-12.0Ti-4.0Mo</t>
  </si>
  <si>
    <t>CoTiMo</t>
  </si>
  <si>
    <t>Im, H. J., Choi, W. S., Ryou, K. H., Seol, J. B., Kang, T. H., Ko, W. S., &amp; Choi, P. P. (2021). Enhanced microstructural stability of γ/γ′-strengthened Co-Ti-Mo-based alloys through Al additions. Acta Materialia, 214. https://doi.org/10.1016/j.actamat.2021.117012</t>
  </si>
  <si>
    <t>-4.0Mo</t>
  </si>
  <si>
    <t>CoTiMoIm, H. J., Choi, W. S., Ryou, K. H., Seol, J. B., Kang, T. H., Ko, W. S., &amp; Choi, P. P. (2021). Enhanced microstructural stability of γ/γ′-strengthened Co-Ti-Mo-based alloys through Al additions. Acta Materialia, 214. https://doi.org/10.1016/j.actamat.2021.117012</t>
  </si>
  <si>
    <t>Co-2.Al-12.0Ti-4.0Mo</t>
  </si>
  <si>
    <t>"+"2Al</t>
  </si>
  <si>
    <t>Im, H. J., Choi, W. S., Ryou, K. H., Seol, J. B., Kang, T. H., Ko, W. S., &amp; Choi, P. P. (2021). Enhanced microstructural stability of γ/γ′-strengthened Co-Ti-Mo-based alloys through Al additions. Acta Materialia, 214. https://doi.org/10.1016/j.actamat.2021.117013</t>
  </si>
  <si>
    <t>"+"2AlIm, H. J., Choi, W. S., Ryou, K. H., Seol, J. B., Kang, T. H., Ko, W. S., &amp; Choi, P. P. (2021). Enhanced microstructural stability of γ/γ′-strengthened Co-Ti-Mo-based alloys through Al additions. Acta Materialia, 214. https://doi.org/10.1016/j.actamat.2021.117013</t>
  </si>
  <si>
    <t>Co-4.Al-12.0Ti-4.0Mo</t>
  </si>
  <si>
    <t>"+"4Al</t>
  </si>
  <si>
    <t>Im, H. J., Choi, W. S., Ryou, K. H., Seol, J. B., Kang, T. H., Ko, W. S., &amp; Choi, P. P. (2021). Enhanced microstructural stability of γ/γ′-strengthened Co-Ti-Mo-based alloys through Al additions. Acta Materialia, 214. https://doi.org/10.1016/j.actamat.2021.117014</t>
  </si>
  <si>
    <t>"+"4AlIm, H. J., Choi, W. S., Ryou, K. H., Seol, J. B., Kang, T. H., Ko, W. S., &amp; Choi, P. P. (2021). Enhanced microstructural stability of γ/γ′-strengthened Co-Ti-Mo-based alloys through Al additions. Acta Materialia, 214. https://doi.org/10.1016/j.actamat.2021.117014</t>
  </si>
  <si>
    <t>Co-2.Al-10.0Ti-4.0Mo</t>
  </si>
  <si>
    <t>10Ti+2Al</t>
  </si>
  <si>
    <t>Im, H. J., Choi, W. S., Ryou, K. H., Seol, J. B., Kang, T. H., Ko, W. S., &amp; Choi, P. P. (2021). Enhanced microstructural stability of γ/γ′-strengthened Co-Ti-Mo-based alloys through Al additions. Acta Materialia, 214. https://doi.org/10.1016/j.actamat.2021.117015</t>
  </si>
  <si>
    <t>-10.0Ti</t>
  </si>
  <si>
    <t>10Ti+2AlIm, H. J., Choi, W. S., Ryou, K. H., Seol, J. B., Kang, T. H., Ko, W. S., &amp; Choi, P. P. (2021). Enhanced microstructural stability of γ/γ′-strengthened Co-Ti-Mo-based alloys through Al additions. Acta Materialia, 214. https://doi.org/10.1016/j.actamat.2021.117015</t>
  </si>
  <si>
    <t>Co-4.Al-8.0Ti-4.0Mo</t>
  </si>
  <si>
    <t>8Ti+4Al</t>
  </si>
  <si>
    <t>Im, H. J., Choi, W. S., Ryou, K. H., Seol, J. B., Kang, T. H., Ko, W. S., &amp; Choi, P. P. (2021). Enhanced microstructural stability of γ/γ′-strengthened Co-Ti-Mo-based alloys through Al additions. Acta Materialia, 214. https://doi.org/10.1016/j.actamat.2021.117016</t>
  </si>
  <si>
    <t>-8.0Ti</t>
  </si>
  <si>
    <t>8Ti+4AlIm, H. J., Choi, W. S., Ryou, K. H., Seol, J. B., Kang, T. H., Ko, W. S., &amp; Choi, P. P. (2021). Enhanced microstructural stability of γ/γ′-strengthened Co-Ti-Mo-based alloys through Al additions. Acta Materialia, 214. https://doi.org/10.1016/j.actamat.2021.117016</t>
  </si>
  <si>
    <t>Co-9.Al-8.0W-0.10B</t>
  </si>
  <si>
    <t>Li, Y., Pyczak, F., Oehring, M., Wang, L., Paul, J., Lorenz, U., &amp; Yao, Z. (2017). Thermal stability of γ′ phase in long-term aged Co-Al-W alloys. Journal of Alloys and Compounds, 729, 266–276. https://doi.org/10.1016/j.jallcom.2017.09.157</t>
  </si>
  <si>
    <t>8WLi, Y., Pyczak, F., Oehring, M., Wang, L., Paul, J., Lorenz, U., &amp; Yao, Z. (2017). Thermal stability of γ′ phase in long-term aged Co-Al-W alloys. Journal of Alloys and Compounds, 729, 266–276. https://doi.org/10.1016/j.jallcom.2017.09.157</t>
  </si>
  <si>
    <t>Co-9.Al-9.0W-0.10B</t>
  </si>
  <si>
    <t>Li, Y., Pyczak, F., Oehring, M., Wang, L., Paul, J., Lorenz, U., &amp; Yao, Z. (2017). Thermal stability of γ′ phase in long-term aged Co-Al-W alloys. Journal of Alloys and Compounds, 729, 266–276. https://doi.org/10.1016/j.jallcom.2017.09.158</t>
  </si>
  <si>
    <t>9WLi, Y., Pyczak, F., Oehring, M., Wang, L., Paul, J., Lorenz, U., &amp; Yao, Z. (2017). Thermal stability of γ′ phase in long-term aged Co-Al-W alloys. Journal of Alloys and Compounds, 729, 266–276. https://doi.org/10.1016/j.jallcom.2017.09.158</t>
  </si>
  <si>
    <t>Co-9.Al-11.0W-0.10B</t>
  </si>
  <si>
    <t>Li, Y., Pyczak, F., Oehring, M., Wang, L., Paul, J., Lorenz, U., &amp; Yao, Z. (2017). Thermal stability of γ′ phase in long-term aged Co-Al-W alloys. Journal of Alloys and Compounds, 729, 266–276. https://doi.org/10.1016/j.jallcom.2017.09.159</t>
  </si>
  <si>
    <t>11WLi, Y., Pyczak, F., Oehring, M., Wang, L., Paul, J., Lorenz, U., &amp; Yao, Z. (2017). Thermal stability of γ′ phase in long-term aged Co-Al-W alloys. Journal of Alloys and Compounds, 729, 266–276. https://doi.org/10.1016/j.jallcom.2017.09.159</t>
  </si>
  <si>
    <t>Co-20.0Ni-7.Al-8.0W-4.0Ti-1.0Ta</t>
  </si>
  <si>
    <t>Li, W., Li, L., Antonov, S., Wei, C., Zhao, J. C., &amp; Feng, Q. (2021). High-throughput exploration of alloying effects on the microstructural stability and properties of multi-component CoNi-base superalloys. Journal of Alloys and Compounds, 881. https://doi.org/10.1016/j.jallcom.2021.160618</t>
  </si>
  <si>
    <t>BaseLi, W., Li, L., Antonov, S., Wei, C., Zhao, J. C., &amp; Feng, Q. (2021). High-throughput exploration of alloying effects on the microstructural stability and properties of multi-component CoNi-base superalloys. Journal of Alloys and Compounds, 881. https://doi.org/10.1016/j.jallcom.2021.160618</t>
  </si>
  <si>
    <t>Co-20.0Ni-15.Al-4.0Ti-1.0Ta</t>
  </si>
  <si>
    <t>15Al0W</t>
  </si>
  <si>
    <t>Li, W., Li, L., Antonov, S., Wei, C., Zhao, J. C., &amp; Feng, Q. (2021). High-throughput exploration of alloying effects on the microstructural stability and properties of multi-component CoNi-base superalloys. Journal of Alloys and Compounds, 881. https://doi.org/10.1016/j.jallcom.2021.160619</t>
  </si>
  <si>
    <t>15Al0WLi, W., Li, L., Antonov, S., Wei, C., Zhao, J. C., &amp; Feng, Q. (2021). High-throughput exploration of alloying effects on the microstructural stability and properties of multi-component CoNi-base superalloys. Journal of Alloys and Compounds, 881. https://doi.org/10.1016/j.jallcom.2021.160619</t>
  </si>
  <si>
    <t>Co-20.0Ni-7.Al-2.0W-10.0Ti-1.0Ta</t>
  </si>
  <si>
    <t>10Ti2W</t>
  </si>
  <si>
    <t>Li, W., Li, L., Antonov, S., Wei, C., Zhao, J. C., &amp; Feng, Q. (2021). High-throughput exploration of alloying effects on the microstructural stability and properties of multi-component CoNi-base superalloys. Journal of Alloys and Compounds, 881. https://doi.org/10.1016/j.jallcom.2021.160620</t>
  </si>
  <si>
    <t>10Ti2WLi, W., Li, L., Antonov, S., Wei, C., Zhao, J. C., &amp; Feng, Q. (2021). High-throughput exploration of alloying effects on the microstructural stability and properties of multi-component CoNi-base superalloys. Journal of Alloys and Compounds, 881. https://doi.org/10.1016/j.jallcom.2021.160620</t>
  </si>
  <si>
    <t>Co-20.0Ni-7.Al-4.0W-4.0Ti-5.0Ta</t>
  </si>
  <si>
    <t>5Ta4W</t>
  </si>
  <si>
    <t>Li, W., Li, L., Antonov, S., Wei, C., Zhao, J. C., &amp; Feng, Q. (2021). High-throughput exploration of alloying effects on the microstructural stability and properties of multi-component CoNi-base superalloys. Journal of Alloys and Compounds, 881. https://doi.org/10.1016/j.jallcom.2021.160621</t>
  </si>
  <si>
    <t>-4.0W</t>
  </si>
  <si>
    <t>-5.0Ta</t>
  </si>
  <si>
    <t>5Ta4WLi, W., Li, L., Antonov, S., Wei, C., Zhao, J. C., &amp; Feng, Q. (2021). High-throughput exploration of alloying effects on the microstructural stability and properties of multi-component CoNi-base superalloys. Journal of Alloys and Compounds, 881. https://doi.org/10.1016/j.jallcom.2021.160621</t>
  </si>
  <si>
    <t>Co-20.0Ni-7.Al-3.0W-4.0Ti-1.0Ta-5.0Mo</t>
  </si>
  <si>
    <t>5Mo3W</t>
  </si>
  <si>
    <t>Li, W., Li, L., Antonov, S., Wei, C., Zhao, J. C., &amp; Feng, Q. (2021). High-throughput exploration of alloying effects on the microstructural stability and properties of multi-component CoNi-base superalloys. Journal of Alloys and Compounds, 881. https://doi.org/10.1016/j.jallcom.2021.160622</t>
  </si>
  <si>
    <t>-5.0Mo</t>
  </si>
  <si>
    <t>5Mo3WLi, W., Li, L., Antonov, S., Wei, C., Zhao, J. C., &amp; Feng, Q. (2021). High-throughput exploration of alloying effects on the microstructural stability and properties of multi-component CoNi-base superalloys. Journal of Alloys and Compounds, 881. https://doi.org/10.1016/j.jallcom.2021.160622</t>
  </si>
  <si>
    <t>Co-20.0Ni-7.Al-3.0W-4.0Ti-1.0Ta-5.0Nb</t>
  </si>
  <si>
    <t>5Nb3W</t>
  </si>
  <si>
    <t>Li, W., Li, L., Antonov, S., Wei, C., Zhao, J. C., &amp; Feng, Q. (2021). High-throughput exploration of alloying effects on the microstructural stability and properties of multi-component CoNi-base superalloys. Journal of Alloys and Compounds, 881. https://doi.org/10.1016/j.jallcom.2021.160623</t>
  </si>
  <si>
    <t>-5.0Nb</t>
  </si>
  <si>
    <t>5Nb3WLi, W., Li, L., Antonov, S., Wei, C., Zhao, J. C., &amp; Feng, Q. (2021). High-throughput exploration of alloying effects on the microstructural stability and properties of multi-component CoNi-base superalloys. Journal of Alloys and Compounds, 881. https://doi.org/10.1016/j.jallcom.2021.160623</t>
  </si>
  <si>
    <t>Co-34.6Ni-1.7Fe-4.3Al-19.5Cr-1.0Ti-1.9Nb-4.8Mo-0.70C</t>
  </si>
  <si>
    <t>Powder Metallurgy!</t>
  </si>
  <si>
    <t>Co-Ni-based superalloy</t>
  </si>
  <si>
    <t>Li, C., Teng, J., Yang, B., Ye, X., Liu, J., &amp; Li, Y. (2021). Correlation between microstructure and mechanical properties of novel Co-Ni-based powder metallurgy superalloy. Materials Characterization, 181. https://doi.org/10.1016/j.matchar.2021.111480</t>
  </si>
  <si>
    <t>-34.6Ni</t>
  </si>
  <si>
    <t>-19.5Cr</t>
  </si>
  <si>
    <t>-1.0Ti</t>
  </si>
  <si>
    <t>-0.70C</t>
  </si>
  <si>
    <t>-1.7Fe</t>
  </si>
  <si>
    <t>Co-Ni-based superalloyLi, C., Teng, J., Yang, B., Ye, X., Liu, J., &amp; Li, Y. (2021). Correlation between microstructure and mechanical properties of novel Co-Ni-based powder metallurgy superalloy. Materials Characterization, 181. https://doi.org/10.1016/j.matchar.2021.111480</t>
  </si>
  <si>
    <t>Lu, S., Antonov, S., Xue, F., Li, L., &amp; Feng, Q. (2021). Segregation-assisted phase transformation and anti-phase boundary formation during creep of a γ′-strengthened Co-based superalloy at high temperatures. Acta Materialia, 215. https://doi.org/10.1016/j.actamat.2021.117099</t>
  </si>
  <si>
    <t>Alloy TaTiLu, S., Antonov, S., Xue, F., Li, L., &amp; Feng, Q. (2021). Segregation-assisted phase transformation and anti-phase boundary formation during creep of a γ′-strengthened Co-based superalloy at high temperatures. Acta Materialia, 215. https://doi.org/10.1016/j.actamat.2021.117099</t>
  </si>
  <si>
    <t>Co-31.0Ni-10.1Al-2.1Ta-5.1Mo</t>
  </si>
  <si>
    <t>Mukhopadhyay, S., Pandey, P., Baler, N., Biswas, K., Makineni, S. K., &amp; Chattopadhyay, K. (2021). The role of Ti addition on the evolution and stability of γ/γ′ microstructure in a Co-30Ni-10Al-5Mo-2Ta alloy. Acta Materialia, 208, 116736. https://doi.org/10.1016/j.actamat.2021.116736</t>
  </si>
  <si>
    <t>0TiMukhopadhyay, S., Pandey, P., Baler, N., Biswas, K., Makineni, S. K., &amp; Chattopadhyay, K. (2021). The role of Ti addition on the evolution and stability of γ/γ′ microstructure in a Co-30Ni-10Al-5Mo-2Ta alloy. Acta Materialia, 208, 116736. https://doi.org/10.1016/j.actamat.2021.116736</t>
  </si>
  <si>
    <t>Co-32.0Ni-9.9Al-1.4Ti-1.7Ta-4.6Mo</t>
  </si>
  <si>
    <t>Mukhopadhyay, S., Pandey, P., Baler, N., Biswas, K., Makineni, S. K., &amp; Chattopadhyay, K. (2021). The role of Ti addition on the evolution and stability of γ/γ′ microstructure in a Co-30Ni-10Al-5Mo-2Ta alloy. Acta Materialia, 208, 116736. https://doi.org/10.1016/j.actamat.2021.116737</t>
  </si>
  <si>
    <t>2TiMukhopadhyay, S., Pandey, P., Baler, N., Biswas, K., Makineni, S. K., &amp; Chattopadhyay, K. (2021). The role of Ti addition on the evolution and stability of γ/γ′ microstructure in a Co-30Ni-10Al-5Mo-2Ta alloy. Acta Materialia, 208, 116736. https://doi.org/10.1016/j.actamat.2021.116737</t>
  </si>
  <si>
    <t>Co-30.6Ni-9.2Al-3.2Ti-2.1Ta-5.1Mo</t>
  </si>
  <si>
    <t>Mukhopadhyay, S., Pandey, P., Baler, N., Biswas, K., Makineni, S. K., &amp; Chattopadhyay, K. (2021). The role of Ti addition on the evolution and stability of γ/γ′ microstructure in a Co-30Ni-10Al-5Mo-2Ta alloy. Acta Materialia, 208, 116736. https://doi.org/10.1016/j.actamat.2021.116738</t>
  </si>
  <si>
    <t>-30.6Ni</t>
  </si>
  <si>
    <t>-3.2Ti</t>
  </si>
  <si>
    <t>3TiMukhopadhyay, S., Pandey, P., Baler, N., Biswas, K., Makineni, S. K., &amp; Chattopadhyay, K. (2021). The role of Ti addition on the evolution and stability of γ/γ′ microstructure in a Co-30Ni-10Al-5Mo-2Ta alloy. Acta Materialia, 208, 116736. https://doi.org/10.1016/j.actamat.2021.116738</t>
  </si>
  <si>
    <t>Co-30.5Ni-9.3Al-3.9Ti-2.2Ta-5.0Mo</t>
  </si>
  <si>
    <t>Mukhopadhyay, S., Pandey, P., Baler, N., Biswas, K., Makineni, S. K., &amp; Chattopadhyay, K. (2021). The role of Ti addition on the evolution and stability of γ/γ′ microstructure in a Co-30Ni-10Al-5Mo-2Ta alloy. Acta Materialia, 208, 116736. https://doi.org/10.1016/j.actamat.2021.116739</t>
  </si>
  <si>
    <t>4TiMukhopadhyay, S., Pandey, P., Baler, N., Biswas, K., Makineni, S. K., &amp; Chattopadhyay, K. (2021). The role of Ti addition on the evolution and stability of γ/γ′ microstructure in a Co-30Ni-10Al-5Mo-2Ta alloy. Acta Materialia, 208, 116736. https://doi.org/10.1016/j.actamat.2021.116739</t>
  </si>
  <si>
    <t>Co-36.8Ni-13.3Al-5.8Cr-1.0W-3.5Ta-0.0Hf-0.06C-0.08B-0.0Y</t>
  </si>
  <si>
    <t>Murray, S. P., Cervellon, A., Cormier, J., &amp; Pollock, T. M. (2021). Low cycle fatigue of a single crystal CoNi-base superalloy. Materials Science and Engineering A, 827. https://doi.org/10.1016/j.msea.2021.142007</t>
  </si>
  <si>
    <t>-1.0W</t>
  </si>
  <si>
    <t>-0.0Y</t>
  </si>
  <si>
    <t>-0.0Hf</t>
  </si>
  <si>
    <t>SB-CoNi-10+Murray, S. P., Cervellon, A., Cormier, J., &amp; Pollock, T. M. (2021). Low cycle fatigue of a single crystal CoNi-base superalloy. Materials Science and Engineering A, 827. https://doi.org/10.1016/j.msea.2021.142007</t>
  </si>
  <si>
    <t>Co-1.8Al-3.1W-17.8Ti</t>
  </si>
  <si>
    <t>1AW-3T</t>
  </si>
  <si>
    <t>Oomae, M., Teramoto, T., &amp; Tanaka, K. (2021). Composition dependence of positive temperature dependence of yield stress for Co3(Al, W)–Co3Ti pseudo-binary alloy with the L12 structure. Intermetallics, 136. https://doi.org/10.1016/j.intermet.2021.107250</t>
  </si>
  <si>
    <t>-1.8Al</t>
  </si>
  <si>
    <t>-17.8Ti</t>
  </si>
  <si>
    <t>1AW-3TOomae, M., Teramoto, T., &amp; Tanaka, K. (2021). Composition dependence of positive temperature dependence of yield stress for Co3(Al, W)–Co3Ti pseudo-binary alloy with the L12 structure. Intermetallics, 136. https://doi.org/10.1016/j.intermet.2021.107250</t>
  </si>
  <si>
    <t>Co-0.9Al-1.2W-20.7Ti</t>
  </si>
  <si>
    <t>1AW-9T</t>
  </si>
  <si>
    <t>Oomae, M., Teramoto, T., &amp; Tanaka, K. (2021). Composition dependence of positive temperature dependence of yield stress for Co3(Al, W)–Co3Ti pseudo-binary alloy with the L12 structure. Intermetallics, 136. https://doi.org/10.1016/j.intermet.2021.107251</t>
  </si>
  <si>
    <t>-0.9Al</t>
  </si>
  <si>
    <t>-1.2W</t>
  </si>
  <si>
    <t>-20.7Ti</t>
  </si>
  <si>
    <t>1AW-9TOomae, M., Teramoto, T., &amp; Tanaka, K. (2021). Composition dependence of positive temperature dependence of yield stress for Co3(Al, W)–Co3Ti pseudo-binary alloy with the L12 structure. Intermetallics, 136. https://doi.org/10.1016/j.intermet.2021.107251</t>
  </si>
  <si>
    <t>Co-31.0Ni-9.7Al-2.3Nb-5.2Mo</t>
  </si>
  <si>
    <t>2Nb0Ti</t>
  </si>
  <si>
    <t>Pandey, P., Shankar Prasad, A., Baler, N., &amp; Chattopadhyay, K. (2021). On the effect of Ti addition on microstructural evolution, precipitate coarsening kinetics and mechanical properties in a Co–30Ni–10Al–5Mo–2Nb alloy. Materialia, 16. https://doi.org/10.1016/j.mtla.2021.101072</t>
  </si>
  <si>
    <t>2Nb0TiPandey, P., Shankar Prasad, A., Baler, N., &amp; Chattopadhyay, K. (2021). On the effect of Ti addition on microstructural evolution, precipitate coarsening kinetics and mechanical properties in a Co–30Ni–10Al–5Mo–2Nb alloy. Materialia, 16. https://doi.org/10.1016/j.mtla.2021.101072</t>
  </si>
  <si>
    <t>Co-30.5Ni-9.5Al-1.0Ti-2.0Nb-4.9Mo</t>
  </si>
  <si>
    <t>check Vf aging time</t>
  </si>
  <si>
    <t>2Nb1Ti</t>
  </si>
  <si>
    <t>Pandey, P., Shankar Prasad, A., Baler, N., &amp; Chattopadhyay, K. (2021). On the effect of Ti addition on microstructural evolution, precipitate coarsening kinetics and mechanical properties in a Co–30Ni–10Al–5Mo–2Nb alloy. Materialia, 16. https://doi.org/10.1016/j.mtla.2021.101073</t>
  </si>
  <si>
    <t>-2.0Nb</t>
  </si>
  <si>
    <t>2Nb1TiPandey, P., Shankar Prasad, A., Baler, N., &amp; Chattopadhyay, K. (2021). On the effect of Ti addition on microstructural evolution, precipitate coarsening kinetics and mechanical properties in a Co–30Ni–10Al–5Mo–2Nb alloy. Materialia, 16. https://doi.org/10.1016/j.mtla.2021.101073</t>
  </si>
  <si>
    <t>Co-30.6Ni-9.3Al-1.9Ti-2.1Nb-5.2Mo</t>
  </si>
  <si>
    <t>2Nb2Ti</t>
  </si>
  <si>
    <t>Pandey, P., Shankar Prasad, A., Baler, N., &amp; Chattopadhyay, K. (2021). On the effect of Ti addition on microstructural evolution, precipitate coarsening kinetics and mechanical properties in a Co–30Ni–10Al–5Mo–2Nb alloy. Materialia, 16. https://doi.org/10.1016/j.mtla.2021.101074</t>
  </si>
  <si>
    <t>2Nb2TiPandey, P., Shankar Prasad, A., Baler, N., &amp; Chattopadhyay, K. (2021). On the effect of Ti addition on microstructural evolution, precipitate coarsening kinetics and mechanical properties in a Co–30Ni–10Al–5Mo–2Nb alloy. Materialia, 16. https://doi.org/10.1016/j.mtla.2021.101074</t>
  </si>
  <si>
    <t>Co-30.7Ni-9.5Al-3.0Ti-1.9Nb-4.9Mo</t>
  </si>
  <si>
    <t>2Nb3Ti</t>
  </si>
  <si>
    <t>Pandey, P., Shankar Prasad, A., Baler, N., &amp; Chattopadhyay, K. (2021). On the effect of Ti addition on microstructural evolution, precipitate coarsening kinetics and mechanical properties in a Co–30Ni–10Al–5Mo–2Nb alloy. Materialia, 16. https://doi.org/10.1016/j.mtla.2021.101075</t>
  </si>
  <si>
    <t>-3.0Ti</t>
  </si>
  <si>
    <t>2Nb3TiPandey, P., Shankar Prasad, A., Baler, N., &amp; Chattopadhyay, K. (2021). On the effect of Ti addition on microstructural evolution, precipitate coarsening kinetics and mechanical properties in a Co–30Ni–10Al–5Mo–2Nb alloy. Materialia, 16. https://doi.org/10.1016/j.mtla.2021.101075</t>
  </si>
  <si>
    <t>Co-30.3Ni-9.4Al-3.9Ti-1.8Nb-4.7Mo</t>
  </si>
  <si>
    <t>2Nb4Ti</t>
  </si>
  <si>
    <t>Pandey, P., Shankar Prasad, A., Baler, N., &amp; Chattopadhyay, K. (2021). On the effect of Ti addition on microstructural evolution, precipitate coarsening kinetics and mechanical properties in a Co–30Ni–10Al–5Mo–2Nb alloy. Materialia, 16. https://doi.org/10.1016/j.mtla.2021.101076</t>
  </si>
  <si>
    <t>-30.3Ni</t>
  </si>
  <si>
    <t>-4.7Mo</t>
  </si>
  <si>
    <t>2Nb4TiPandey, P., Shankar Prasad, A., Baler, N., &amp; Chattopadhyay, K. (2021). On the effect of Ti addition on microstructural evolution, precipitate coarsening kinetics and mechanical properties in a Co–30Ni–10Al–5Mo–2Nb alloy. Materialia, 16. https://doi.org/10.1016/j.mtla.2021.101076</t>
  </si>
  <si>
    <t>Co-29.4Ni-9.5Al-5.2Cr-2.2Nb</t>
  </si>
  <si>
    <t>10Al5Cr</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</si>
  <si>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https://doi.org/10.1103/PhysRevMaterials.5.093601</t>
  </si>
  <si>
    <t>-5.2Cr</t>
  </si>
  <si>
    <t>10Al5CrPandey, P., Mazumder, N., Singh, M. P., Patil, C., Sharma, A., Makineni, S. K., Banerjee, D., &amp; Chattopadhyay, K. (2021). Design of low mass density γ/γ′ CoNi-based superalloys with promising high-temperature mechanical properties. Physical Review Materials, 5(9). https://doi.org/10.1103/PhysRevMaterials.5.093601</t>
  </si>
  <si>
    <t>Co-29.8Ni-9.5Al-5.5Cr-2.1Ti-1.9Nb</t>
  </si>
  <si>
    <t>10Al5Cr2Ti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</si>
  <si>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https://doi.org/10.1103/PhysRevMaterials.5.093602</t>
  </si>
  <si>
    <t>-29.8Ni</t>
  </si>
  <si>
    <t>10Al5Cr2TiPandey, P., Mazumder, N., Singh, M. P., Patil, C., Sharma, A., Makineni, S. K., Banerjee, D., &amp; Chattopadhyay, K. (2021). Design of low mass density γ/γ′ CoNi-based superalloys with promising high-temperature mechanical properties. Physical Review Materials, 5(9). https://doi.org/10.1103/PhysRevMaterials.5.093602</t>
  </si>
  <si>
    <t>Co-30.3Ni-9.5Al-8.5Cr-2.0Ti-2.0Nb</t>
  </si>
  <si>
    <t>10Al8Cr2Ti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</si>
  <si>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https://doi.org/10.1103/PhysRevMaterials.5.093603</t>
  </si>
  <si>
    <t>-8.5Cr</t>
  </si>
  <si>
    <t>-2.0Ti</t>
  </si>
  <si>
    <t>10Al8Cr2TiPandey, P., Mazumder, N., Singh, M. P., Patil, C., Sharma, A., Makineni, S. K., Banerjee, D., &amp; Chattopadhyay, K. (2021). Design of low mass density γ/γ′ CoNi-based superalloys with promising high-temperature mechanical properties. Physical Review Materials, 5(9). https://doi.org/10.1103/PhysRevMaterials.5.093603</t>
  </si>
  <si>
    <t>Co-29.9Ni-10.Al-11.9Cr-2.2Ti-1.9Nb</t>
  </si>
  <si>
    <t>10Al12Cr2Ti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</si>
  <si>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https://doi.org/10.1103/PhysRevMaterials.5.093604</t>
  </si>
  <si>
    <t>10Al12Cr2TiPandey, P., Mazumder, N., Singh, M. P., Patil, C., Sharma, A., Makineni, S. K., Banerjee, D., &amp; Chattopadhyay, K. (2021). Design of low mass density γ/γ′ CoNi-based superalloys with promising high-temperature mechanical properties. Physical Review Materials, 5(9). https://doi.org/10.1103/PhysRevMaterials.5.093604</t>
  </si>
  <si>
    <t>Co-30.0Ni-9.1Al-5.3Cr-4.2Ti-2.0Nb</t>
  </si>
  <si>
    <t>10Al5Cr4Ti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</si>
  <si>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https://doi.org/10.1103/PhysRevMaterials.5.093605</t>
  </si>
  <si>
    <t>-5.3Cr</t>
  </si>
  <si>
    <t>10Al5Cr4TiPandey, P., Mazumder, N., Singh, M. P., Patil, C., Sharma, A., Makineni, S. K., Banerjee, D., &amp; Chattopadhyay, K. (2021). Design of low mass density γ/γ′ CoNi-based superalloys with promising high-temperature mechanical properties. Physical Review Materials, 5(9). https://doi.org/10.1103/PhysRevMaterials.5.093605</t>
  </si>
  <si>
    <t>Co-30.2Ni-9.4Al-8.8Cr-4.4Ti-2.0Nb</t>
  </si>
  <si>
    <t>10Al8Cr4Ti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</si>
  <si>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https://doi.org/10.1103/PhysRevMaterials.5.093606</t>
  </si>
  <si>
    <t>-8.8Cr</t>
  </si>
  <si>
    <t>-4.4Ti</t>
  </si>
  <si>
    <t>10Al8Cr4TiPandey, P., Mazumder, N., Singh, M. P., Patil, C., Sharma, A., Makineni, S. K., Banerjee, D., &amp; Chattopadhyay, K. (2021). Design of low mass density γ/γ′ CoNi-based superalloys with promising high-temperature mechanical properties. Physical Review Materials, 5(9). https://doi.org/10.1103/PhysRevMaterials.5.093606</t>
  </si>
  <si>
    <t>Co-29.8Ni-9.4Al-12.8Cr-3.7Ti-2.0Nb</t>
  </si>
  <si>
    <t>10Al12Cr4Ti</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</si>
  <si>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https://doi.org/10.1103/PhysRevMaterials.5.093607</t>
  </si>
  <si>
    <t>-12.8Cr</t>
  </si>
  <si>
    <t>10Al12Cr4TiPandey, P., Mazumder, N., Singh, M. P., Patil, C., Sharma, A., Makineni, S. K., Banerjee, D., &amp; Chattopadhyay, K. (2021). Design of low mass density γ/γ′ CoNi-based superalloys with promising high-temperature mechanical properties. Physical Review Materials, 5(9). https://doi.org/10.1103/PhysRevMaterials.5.093607</t>
  </si>
  <si>
    <t>Co-20.0Ni-10.Al-6.0W</t>
  </si>
  <si>
    <t>Co-20Ni-6W-10Al</t>
  </si>
  <si>
    <t>Park, H., Choe, H., &amp; Dunand, D. C. (2021). Microstructure and compressive properties of 3D-extrusion-printed, aluminized cobalt-based superalloy microlattices. Materials Science and Engineering A, 815. https://doi.org/10.1016/j.msea.2021.141262</t>
  </si>
  <si>
    <t>Co-20Ni-6W-10AlPark, H., Choe, H., &amp; Dunand, D. C. (2021). Microstructure and compressive properties of 3D-extrusion-printed, aluminized cobalt-based superalloy microlattices. Materials Science and Engineering A, 815. https://doi.org/10.1016/j.msea.2021.141262</t>
  </si>
  <si>
    <t>Co-18.0Ni-13.Al-5.0W</t>
  </si>
  <si>
    <t>Co-18Ni-5W-13Al</t>
  </si>
  <si>
    <t>Park, H., Choe, H., &amp; Dunand, D. C. (2021). Microstructure and compressive properties of 3D-extrusion-printed, aluminized cobalt-based superalloy microlattices. Materials Science and Engineering A, 815. https://doi.org/10.1016/j.msea.2021.141263</t>
  </si>
  <si>
    <t>-5.0W</t>
  </si>
  <si>
    <t>-18.0Ni</t>
  </si>
  <si>
    <t>Co-18Ni-5W-13AlPark, H., Choe, H., &amp; Dunand, D. C. (2021). Microstructure and compressive properties of 3D-extrusion-printed, aluminized cobalt-based superalloy microlattices. Materials Science and Engineering A, 815. https://doi.org/10.1016/j.msea.2021.141263</t>
  </si>
  <si>
    <t>Co-30.2Ni-9.8Al-4.0W-3.9Ti-1.9Ta</t>
  </si>
  <si>
    <t>4W2Ta</t>
  </si>
  <si>
    <t>Qu, S., Li, Y., Tong, M., Wang, C., &amp; Yang, Y. (2021). Effects of 1 at.% Ta substitution for 1 at.% W on the coarsening kinetics and deformation behavior of γʹ-strengthened CoNi-base superalloys. Materials Science and Engineering A, 823. https://doi.org/10.1016/j.msea.2021.141776</t>
  </si>
  <si>
    <t>4W2TaQu, S., Li, Y., Tong, M., Wang, C., &amp; Yang, Y. (2021). Effects of 1 at.% Ta substitution for 1 at.% W on the coarsening kinetics and deformation behavior of γʹ-strengthened CoNi-base superalloys. Materials Science and Engineering A, 823. https://doi.org/10.1016/j.msea.2021.141776</t>
  </si>
  <si>
    <t>Co-10.0Ni-6.3Al-4.0Cr-2.5Ti-3.3Nb-3.8V-0.04B</t>
  </si>
  <si>
    <t>Nb-1</t>
  </si>
  <si>
    <t>Reyes Tirado, F. L., &amp; Dunand, D. C. (2021). Increasing γ’ volume fraction in Co–Nb–V- and Co–Ta–V-based superalloys. Journal of Materials Research and Technology, 11, 2305–2313. https://doi.org/10.1016/j.jmrt.2021.02.028</t>
  </si>
  <si>
    <t>-10.0Ni</t>
  </si>
  <si>
    <t>-4.0Cr</t>
  </si>
  <si>
    <t>-3.3Nb</t>
  </si>
  <si>
    <t>-3.8V</t>
  </si>
  <si>
    <t>Nb-1Reyes Tirado, F. L., &amp; Dunand, D. C. (2021). Increasing γ’ volume fraction in Co–Nb–V- and Co–Ta–V-based superalloys. Journal of Materials Research and Technology, 11, 2305–2313. https://doi.org/10.1016/j.jmrt.2021.02.028</t>
  </si>
  <si>
    <t>Co-10.0Ni-6.3Al-4.0Cr-2.5Ti-1.0Ta-3.3Nb-3.8V-0.04B</t>
  </si>
  <si>
    <t>Nb-1-Ta</t>
  </si>
  <si>
    <t>Reyes Tirado, F. L., &amp; Dunand, D. C. (2021). Increasing γ’ volume fraction in Co–Nb–V- and Co–Ta–V-based superalloys. Journal of Materials Research and Technology, 11, 2305–2313. https://doi.org/10.1016/j.jmrt.2021.02.029</t>
  </si>
  <si>
    <t>Nb-1-TaReyes Tirado, F. L., &amp; Dunand, D. C. (2021). Increasing γ’ volume fraction in Co–Nb–V- and Co–Ta–V-based superalloys. Journal of Materials Research and Technology, 11, 2305–2313. https://doi.org/10.1016/j.jmrt.2021.02.029</t>
  </si>
  <si>
    <t>Co-10.0Ni-7.5Al-4.0Cr-3.0Ti-4.5Nb-4.5V-0.04B</t>
  </si>
  <si>
    <t>Nb-2</t>
  </si>
  <si>
    <t>Reyes Tirado, F. L., &amp; Dunand, D. C. (2021). Increasing γ’ volume fraction in Co–Nb–V- and Co–Ta–V-based superalloys. Journal of Materials Research and Technology, 11, 2305–2313. https://doi.org/10.1016/j.jmrt.2021.02.030</t>
  </si>
  <si>
    <t>-4.5Nb</t>
  </si>
  <si>
    <t>-4.5V</t>
  </si>
  <si>
    <t>Nb-2Reyes Tirado, F. L., &amp; Dunand, D. C. (2021). Increasing γ’ volume fraction in Co–Nb–V- and Co–Ta–V-based superalloys. Journal of Materials Research and Technology, 11, 2305–2313. https://doi.org/10.1016/j.jmrt.2021.02.030</t>
  </si>
  <si>
    <t>Co-10.0Ni-7.Al-8.0Cr-2.5Ti-3.0Nb-4.5V-0.04B</t>
  </si>
  <si>
    <t>Nb-3</t>
  </si>
  <si>
    <t>Reyes Tirado, F. L., &amp; Dunand, D. C. (2021). Increasing γ’ volume fraction in Co–Nb–V- and Co–Ta–V-based superalloys. Journal of Materials Research and Technology, 11, 2305–2313. https://doi.org/10.1016/j.jmrt.2021.02.031</t>
  </si>
  <si>
    <t>-8.0Cr</t>
  </si>
  <si>
    <t>-3.0Nb</t>
  </si>
  <si>
    <t>Nb-3Reyes Tirado, F. L., &amp; Dunand, D. C. (2021). Increasing γ’ volume fraction in Co–Nb–V- and Co–Ta–V-based superalloys. Journal of Materials Research and Technology, 11, 2305–2313. https://doi.org/10.1016/j.jmrt.2021.02.031</t>
  </si>
  <si>
    <t>Co-10.0Ni-6.3Al-4.0Cr-2.5Ti-3.3Ta-3.8V-0.04B</t>
  </si>
  <si>
    <t>Ta-1</t>
  </si>
  <si>
    <t>Reyes Tirado, F. L., &amp; Dunand, D. C. (2021). Increasing γ’ volume fraction in Co–Nb–V- and Co–Ta–V-based superalloys. Journal of Materials Research and Technology, 11, 2305–2313. https://doi.org/10.1016/j.jmrt.2021.02.032</t>
  </si>
  <si>
    <t>-3.3Ta</t>
  </si>
  <si>
    <t>Ta-1Reyes Tirado, F. L., &amp; Dunand, D. C. (2021). Increasing γ’ volume fraction in Co–Nb–V- and Co–Ta–V-based superalloys. Journal of Materials Research and Technology, 11, 2305–2313. https://doi.org/10.1016/j.jmrt.2021.02.032</t>
  </si>
  <si>
    <t>Co-29.7Ni-9.6Al-8.2Cr-1.8Nb-4.8Mo</t>
  </si>
  <si>
    <t>Ti-0</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</si>
  <si>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https://doi.org/10.1007/s11661-021-06445-9</t>
  </si>
  <si>
    <t>Ti-0Roy,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https://doi.org/10.1007/s11661-021-06445-9</t>
  </si>
  <si>
    <t>Co-30.7Ni-9.5Al-7.8Cr-2.1Ti-1.9Nb-4.7Mo</t>
  </si>
  <si>
    <t>Ti-2</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</si>
  <si>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https://doi.org/10.1007/s11661-021-06445-10</t>
  </si>
  <si>
    <t>Ti-2Roy,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https://doi.org/10.1007/s11661-021-06445-10</t>
  </si>
  <si>
    <t>Co-30.4Ni-9.7Al-8.1Cr-3.9Ti-1.9Nb-5.1Mo</t>
  </si>
  <si>
    <t>Ti-4</t>
  </si>
  <si>
    <t>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https://doi.org/10.1007/s11661-021-06445-11</t>
  </si>
  <si>
    <t>Ti-4Roy, A., Singh, M. P., Das, S. M., Makineni, S. K., &amp; Chattopadhyay, K. (2021). Role of Ti on Phase Evolution, Oxidation and Nitridation of Co–30Ni–10Al–8Cr–5Mo–2Nb–(0, 2 &amp; 4) Ti Cobalt Base Superalloys at Elevated Temperature. Metallurgical and Materials Transactions A: Physical Metallurgy and Materials Science, 52(11), 5004–5015. https://doi.org/10.1007/s11661-021-06445-11</t>
  </si>
  <si>
    <t>Co-30.4Ni-9.7Al-2.1Ta-4.7Mo</t>
  </si>
  <si>
    <t>Singh, M. P., Olu, E. F., Pandey, P., &amp; Chattopadhyay, K. (2021). Thermophysical and magnetic properties of Co-Ni-Mo-Al-Ta class of tungsten free Co-based superalloys. Journal of Alloys and Compounds, 879. https://doi.org/10.1016/j.jallcom.2021.160379</t>
  </si>
  <si>
    <t>30Ni2TaSingh, M. P., Olu, E. F., Pandey, P., &amp; Chattopadhyay, K. (2021). Thermophysical and magnetic properties of Co-Ni-Mo-Al-Ta class of tungsten free Co-based superalloys. Journal of Alloys and Compounds, 879. https://doi.org/10.1016/j.jallcom.2021.160379</t>
  </si>
  <si>
    <t>Singh, M. P., Olu, E. F., Pandey, P., &amp; Chattopadhyay, K. (2021). Thermophysical and magnetic properties of Co-Ni-Mo-Al-Ta class of tungsten free Co-based superalloys. Journal of Alloys and Compounds, 879. https://doi.org/10.1016/j.jallcom.2021.160380</t>
  </si>
  <si>
    <t>30Ni2Ta2TiSingh, M. P., Olu, E. F., Pandey, P., &amp; Chattopadhyay, K. (2021). Thermophysical and magnetic properties of Co-Ni-Mo-Al-Ta class of tungsten free Co-based superalloys. Journal of Alloys and Compounds, 879. https://doi.org/10.1016/j.jallcom.2021.160380</t>
  </si>
  <si>
    <t>Co-30.2Ni-9.8Al-2.0Cr-2.0Ti-1.9Ta-4.6Mo</t>
  </si>
  <si>
    <t>30Ni2Ta2Ti2Cr</t>
  </si>
  <si>
    <t>Singh, M. P., Olu, E. F., Pandey, P., &amp; Chattopadhyay, K. (2021). Thermophysical and magnetic properties of Co-Ni-Mo-Al-Ta class of tungsten free Co-based superalloys. Journal of Alloys and Compounds, 879. https://doi.org/10.1016/j.jallcom.2021.160381</t>
  </si>
  <si>
    <t>-2.0Cr</t>
  </si>
  <si>
    <t>30Ni2Ta2Ti2CrSingh, M. P., Olu, E. F., Pandey, P., &amp; Chattopadhyay, K. (2021). Thermophysical and magnetic properties of Co-Ni-Mo-Al-Ta class of tungsten free Co-based superalloys. Journal of Alloys and Compounds, 879. https://doi.org/10.1016/j.jallcom.2021.160381</t>
  </si>
  <si>
    <t>Co-30.1Ni-9.8Al-4.9Cr-2.0Ti-2.0Ta-4.9Mo</t>
  </si>
  <si>
    <t>30Ni2Ta2Ti5Cr</t>
  </si>
  <si>
    <t>Singh, M. P., Olu, E. F., Pandey, P., &amp; Chattopadhyay, K. (2021). Thermophysical and magnetic properties of Co-Ni-Mo-Al-Ta class of tungsten free Co-based superalloys. Journal of Alloys and Compounds, 879. https://doi.org/10.1016/j.jallcom.2021.160382</t>
  </si>
  <si>
    <t>30Ni2Ta2Ti5CrSingh, M. P., Olu, E. F., Pandey, P., &amp; Chattopadhyay, K. (2021). Thermophysical and magnetic properties of Co-Ni-Mo-Al-Ta class of tungsten free Co-based superalloys. Journal of Alloys and Compounds, 879. https://doi.org/10.1016/j.jallcom.2021.160382</t>
  </si>
  <si>
    <t>Co-29.5Ni-10.2Al-10.2Cr-1.9Ti-2.1Ta-5.1Mo</t>
  </si>
  <si>
    <t>30Ni2Ta2Ti10Cr</t>
  </si>
  <si>
    <t>Singh, M. P., Olu, E. F., Pandey, P., &amp; Chattopadhyay, K. (2021). Thermophysical and magnetic properties of Co-Ni-Mo-Al-Ta class of tungsten free Co-based superalloys. Journal of Alloys and Compounds, 879. https://doi.org/10.1016/j.jallcom.2021.160383</t>
  </si>
  <si>
    <t>30Ni2Ta2Ti10CrSingh, M. P., Olu, E. F., Pandey, P., &amp; Chattopadhyay, K. (2021). Thermophysical and magnetic properties of Co-Ni-Mo-Al-Ta class of tungsten free Co-based superalloys. Journal of Alloys and Compounds, 879. https://doi.org/10.1016/j.jallcom.2021.160383</t>
  </si>
  <si>
    <t>Co-9.Al-7.5W-2.0Ta</t>
  </si>
  <si>
    <t>ERBOCo-2Ta</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</si>
  <si>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https://doi.org/10.1016/j.actamat.2021.117019</t>
  </si>
  <si>
    <t>ERBOCo-2TaVolz,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https://doi.org/10.1016/j.actamat.2021.117019</t>
  </si>
  <si>
    <t>Co-8.4Al-4.1W-0.2Ta</t>
  </si>
  <si>
    <t>VF0</t>
  </si>
  <si>
    <t>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</si>
  <si>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VF0Volz,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</si>
  <si>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Co-8.6Al-6.0W-0.6Ta</t>
  </si>
  <si>
    <t>VF20Volz,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</si>
  <si>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Co-8.5Al-7.7W-1.1Ta</t>
  </si>
  <si>
    <t>VF40Volz,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</si>
  <si>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Co-8.4Al-9.3W-1.6Ta</t>
  </si>
  <si>
    <t>VF60Volz,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</si>
  <si>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Co-8.2Al-11.0W-2.0Ta</t>
  </si>
  <si>
    <t>VF80</t>
  </si>
  <si>
    <t>VF80Volz,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</si>
  <si>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Co-8.1Al-12.5W-2.4Ta</t>
  </si>
  <si>
    <t>VF100</t>
  </si>
  <si>
    <t>-12.5W</t>
  </si>
  <si>
    <t>VF100Volz, N., Xue, F., Bezold, A., Zenk, C. H., Fries, S. G., Schreuer, J., Neumeier, S., &amp; Göken, M. (2021). Design of a Co–Al–W–Ta Alloy Series with Varying γ′ Volume Fraction and Their Thermophysical Properties. Metallurgical and Materials Transactions A: Physical Metallurgy and Materials Science, 52(9), 3931–3944. https://doi.org/10.1007/s11661-021-06353-y</t>
  </si>
  <si>
    <t>Co-30.1Ni-7.1Al-12.1Cr-2.0W-3.5Ti-1.0Ta-1.6Mo-0.4Si-0.1Hf-0.08C-0.01Zr-0.09B</t>
  </si>
  <si>
    <t>LAMP-Co-7Al3.5Ti</t>
  </si>
  <si>
    <t>Zhang, Y., Fu, H., He, J., &amp; Xie, J. (2022). Formation mechanism and thermal stability of C15-Laves phase in a Hf-containing Co-based superalloy. Journal of Alloys and Compounds, 891. https://doi.org/10.1016/j.jallcom.2021.162016</t>
  </si>
  <si>
    <t>LAMP-Co-7Al3.5TiZhang, Y., Fu, H., He, J., &amp; Xie, J. (2022). Formation mechanism and thermal stability of C15-Laves phase in a Hf-containing Co-based superalloy. Journal of Alloys and Compounds, 891. https://doi.org/10.1016/j.jallcom.2021.162016</t>
  </si>
  <si>
    <t>Co-9.Al-9.0W-2.0Ta-0.02Ce-0.02B</t>
  </si>
  <si>
    <t>Co-9Al-9W-2Ta-0.02B-0.02Ce (SX)</t>
  </si>
  <si>
    <t>Zhang, B. S., Yu, Y. X., Tao, Z. L., &amp; Sha, J. B. (2021). A comparative study on microstructures and tensile behaviours of a novel polycrystalline and single-crystal Co–9Al–9W–2Ta-0.02B-0.02Ce alloy at room and high temperatures. Intermetallics, 137. https://doi.org/10.1016/j.intermet.2021.107284</t>
  </si>
  <si>
    <t>-0.02Ce</t>
  </si>
  <si>
    <t>Co-9Al-9W-2Ta-0.02B-0.02Ce (SX)Zhang, B. S., Yu, Y. X., Tao, Z. L., &amp; Sha, J. B. (2021). A comparative study on microstructures and tensile behaviours of a novel polycrystalline and single-crystal Co–9Al–9W–2Ta-0.02B-0.02Ce alloy at room and high temperatures. Intermetallics, 137. https://doi.org/10.1016/j.intermet.2021.107284</t>
  </si>
  <si>
    <t>Co-9Al-9W-2Ta-0.02B-0.02Ce (PX)</t>
  </si>
  <si>
    <t>Zhang, B. S., Yu, Y. X., Tao, Z. L., &amp; Sha, J. B. (2021). A comparative study on microstructures and tensile behaviours of a novel polycrystalline and single-crystal Co–9Al–9W–2Ta-0.02B-0.02Ce alloy at room and high temperatures. Intermetallics, 137. https://doi.org/10.1016/j.intermet.2021.107285</t>
  </si>
  <si>
    <t>Co-9Al-9W-2Ta-0.02B-0.02Ce (PX)Zhang, B. S., Yu, Y. X., Tao, Z. L., &amp; Sha, J. B. (2021). A comparative study on microstructures and tensile behaviours of a novel polycrystalline and single-crystal Co–9Al–9W–2Ta-0.02B-0.02Ce alloy at room and high temperatures. Intermetallics, 137. https://doi.org/10.1016/j.intermet.2021.107285</t>
  </si>
  <si>
    <t>Co-8.0Ti-11.0V</t>
  </si>
  <si>
    <t>Co-8Ti-11V</t>
  </si>
  <si>
    <t>Zhou, P., Gao, X., Song, D., Liu, Y., &amp; Cheng, J. (2021). Effect of Ni on Microstructure and Mechanical Property of a Co-Ti-V-Based Superalloy. Scanning, 2021. https://doi.org/10.1155/2021/6678085</t>
  </si>
  <si>
    <t>-11.0V</t>
  </si>
  <si>
    <t>Co-8Ti-11VZhou, P., Gao, X., Song, D., Liu, Y., &amp; Cheng, J. (2021). Effect of Ni on Microstructure and Mechanical Property of a Co-Ti-V-Based Superalloy. Scanning, 2021. https://doi.org/10.1155/2021/6678085</t>
  </si>
  <si>
    <t>Co-5.0Ni-8.0Ti-11.0V</t>
  </si>
  <si>
    <t>Co-8Ti-11V-5Ni</t>
  </si>
  <si>
    <t>Zhou, P., Gao, X., Song, D., Liu, Y., &amp; Cheng, J. (2021). Effect of Ni on Microstructure and Mechanical Property of a Co-Ti-V-Based Superalloy. Scanning, 2021. https://doi.org/10.1155/2021/6678086</t>
  </si>
  <si>
    <t>-5.0Ni</t>
  </si>
  <si>
    <t>Co-8Ti-11V-5NiZhou, P., Gao, X., Song, D., Liu, Y., &amp; Cheng, J. (2021). Effect of Ni on Microstructure and Mechanical Property of a Co-Ti-V-Based Superalloy. Scanning, 2021. https://doi.org/10.1155/2021/6678086</t>
  </si>
  <si>
    <t>Co-10.0Ni-8.0Ti-11.0V</t>
  </si>
  <si>
    <t>Co-8Ti-11V-10Ni</t>
  </si>
  <si>
    <t>Zhou, P., Gao, X., Song, D., Liu, Y., &amp; Cheng, J. (2021). Effect of Ni on Microstructure and Mechanical Property of a Co-Ti-V-Based Superalloy. Scanning, 2021. https://doi.org/10.1155/2021/6678087</t>
  </si>
  <si>
    <t>Co-8Ti-11V-10NiZhou, P., Gao, X., Song, D., Liu, Y., &amp; Cheng, J. (2021). Effect of Ni on Microstructure and Mechanical Property of a Co-Ti-V-Based Superalloy. Scanning, 2021. https://doi.org/10.1155/2021/6678087</t>
  </si>
  <si>
    <t>Co-29.8Ni-7.8Al-14.4Cr-2.0W-4.3Ti-0.9Ta</t>
  </si>
  <si>
    <t>Zhuang, X., Antonov, S., Li, L., &amp; Feng, Q. (2021). Effect of alloying elements on the coarsening rate of γʹ precipitates in multi-component CoNi-based superalloys with high Cr content. Scripta Materialia, 202. https://doi.org/10.1016/j.scriptamat.2021.114004</t>
  </si>
  <si>
    <t>-14.4Cr</t>
  </si>
  <si>
    <t>baseZhuang, X., Antonov, S., Li, L., &amp; Feng, Q. (2021). Effect of alloying elements on the coarsening rate of γʹ precipitates in multi-component CoNi-based superalloys with high Cr content. Scripta Materialia, 202. https://doi.org/10.1016/j.scriptamat.2021.114004</t>
  </si>
  <si>
    <t>Co-29.8Ni-8.Al-14.3Cr-2.9W-4.2Ti-1.0Ta</t>
  </si>
  <si>
    <t>+1W</t>
  </si>
  <si>
    <t>Zhuang, X., Antonov, S., Li, L., &amp; Feng, Q. (2021). Effect of alloying elements on the coarsening rate of γʹ precipitates in multi-component CoNi-based superalloys with high Cr content. Scripta Materialia, 202. https://doi.org/10.1016/j.scriptamat.2021.114005</t>
  </si>
  <si>
    <t>-2.9W</t>
  </si>
  <si>
    <t>-14.3Cr</t>
  </si>
  <si>
    <t>+1WZhuang, X., Antonov, S., Li, L., &amp; Feng, Q. (2021). Effect of alloying elements on the coarsening rate of γʹ precipitates in multi-component CoNi-based superalloys with high Cr content. Scripta Materialia, 202. https://doi.org/10.1016/j.scriptamat.2021.114005</t>
  </si>
  <si>
    <t>Co-29.8Ni-7.9Al-14.2Cr-2.0W-4.2Ti-1.0Ta-1.0Mo</t>
  </si>
  <si>
    <t>+1Mo</t>
  </si>
  <si>
    <t>Zhuang, X., Antonov, S., Li, L., &amp; Feng, Q. (2021). Effect of alloying elements on the coarsening rate of γʹ precipitates in multi-component CoNi-based superalloys with high Cr content. Scripta Materialia, 202. https://doi.org/10.1016/j.scriptamat.2021.114006</t>
  </si>
  <si>
    <t>-14.2Cr</t>
  </si>
  <si>
    <t>+1MoZhuang, X., Antonov, S., Li, L., &amp; Feng, Q. (2021). Effect of alloying elements on the coarsening rate of γʹ precipitates in multi-component CoNi-based superalloys with high Cr content. Scripta Materialia, 202. https://doi.org/10.1016/j.scriptamat.2021.114006</t>
  </si>
  <si>
    <t>Co-30.0Ni-7.8Al-14.3Cr-2.0W-5.3Ti-0.9Ta</t>
  </si>
  <si>
    <t>+1Ti</t>
  </si>
  <si>
    <t>Zhuang, X., Antonov, S., Li, L., &amp; Feng, Q. (2021). Effect of alloying elements on the coarsening rate of γʹ precipitates in multi-component CoNi-based superalloys with high Cr content. Scripta Materialia, 202. https://doi.org/10.1016/j.scriptamat.2021.114007</t>
  </si>
  <si>
    <t>+1TiZhuang, X., Antonov, S., Li, L., &amp; Feng, Q. (2021). Effect of alloying elements on the coarsening rate of γʹ precipitates in multi-component CoNi-based superalloys with high Cr content. Scripta Materialia, 202. https://doi.org/10.1016/j.scriptamat.2021.114007</t>
  </si>
  <si>
    <t>Aliakbari alloy</t>
  </si>
  <si>
    <t>Aliakbari-Sani, S., Vafaeenezhad, H., Arabi, H., &amp; Ebrahimi, G. R. (2022). Quantitative kinetic analysis of γ′ precipitate evolution in a Co–Al–W superalloy during aging heat treatment. Journal of Materials Research and Technology, 21, 3425–3439. https://doi.org/10.1016/j.jmrt.2022.10.165</t>
  </si>
  <si>
    <t>Aliakbari alloyAliakbari-Sani, S., Vafaeenezhad, H., Arabi, H., &amp; Ebrahimi, G. R. (2022). Quantitative kinetic analysis of γ′ precipitate evolution in a Co–Al–W superalloy during aging heat treatment. Journal of Materials Research and Technology, 21, 3425–3439. https://doi.org/10.1016/j.jmrt.2022.10.165</t>
  </si>
  <si>
    <t>Co-30.0Ni-10.Al-2.0Ti-2.0Ta-5.0Mo</t>
  </si>
  <si>
    <t>Athira alloy</t>
  </si>
  <si>
    <t>Athira, K. S., Pandey, P., Prabhakar, K. V. P., Chattopadhyay, K., &amp; Chatterjee, S. (2022). Laser welding of a W-free precipitation strengthened Co-base superalloy. Journal of Materials Science, 57(13), 7085–7100. https://doi.org/10.1007/s10853-022-07117-8</t>
  </si>
  <si>
    <t>Athira alloyAthira, K. S., Pandey, P., Prabhakar, K. V. P., Chattopadhyay, K., &amp; Chatterjee, S. (2022). Laser welding of a W-free precipitation strengthened Co-base superalloy. Journal of Materials Science, 57(13), 7085–7100. https://doi.org/10.1007/s10853-022-07117-8</t>
  </si>
  <si>
    <t>Co-32.0Ni-8.Al-6.0Cr-5.7W-2.8Ti-1.8Ta-0.4Si-0.1Hf</t>
  </si>
  <si>
    <t>ERBOCo-4 (SX)</t>
  </si>
  <si>
    <t>Bezold, A., Amon, L., Karpstein, N., Spiecker, E., Göken, M., &amp; Neumeier, S. (2023). Recovery of superlattice stacking faults at high temperatures. Scripta Materialia, 222. https://doi.org/10.1016/j.scriptamat.2022.115005</t>
  </si>
  <si>
    <t>-6.0Cr</t>
  </si>
  <si>
    <t>ERBOCo-4 (SX)Bezold, A., Amon, L., Karpstein, N., Spiecker, E., Göken, M., &amp; Neumeier, S. (2023). Recovery of superlattice stacking faults at high temperatures. Scripta Materialia, 222. https://doi.org/10.1016/j.scriptamat.2022.115005</t>
  </si>
  <si>
    <t>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</si>
  <si>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CoWAlloy1Bezold,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</si>
  <si>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CoWAlloy2Bezold,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</si>
  <si>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Co-35.0Ni-7.5Al-15.0Cr-5.0W-1.0Ti-1.0Ta-0.4Si-0.1Hf-0.08B</t>
  </si>
  <si>
    <t>PHESA1</t>
  </si>
  <si>
    <t>-35.0Ni</t>
  </si>
  <si>
    <t>-15.0Cr</t>
  </si>
  <si>
    <t>PHESA1Bezold,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</si>
  <si>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Co-35.0Ni-9.Al-15.0Cr-5.0W-0.3Ti-0.2Ta-0.4Si-0.1Hf-0.08B</t>
  </si>
  <si>
    <t>PHESA2</t>
  </si>
  <si>
    <t>PHESA2Bezold, A., Freund, L. P., Förner, A., Völkl, J., Huber, L. K., Göken, M., &amp; Neumeier, S. (2022). Deformation Mechanisms in Compositionally Complex Polycrystalline CoNi-Base Superalloys: Influence of Temperature, Strain-Rate and Chemistry. Metallurgical and Materials Transactions A: Physical Metallurgy and Materials Science. https://doi.org/10.1007/s11661-022-06912-x</t>
  </si>
  <si>
    <t>Co-34.8Ni-1.7Fe-4.3Al-19.7Cr-1.0Ti-1.9Nb-4.9Mo</t>
  </si>
  <si>
    <t>AG</t>
  </si>
  <si>
    <t>Bian, H., Xu, X., Li, Y., Koizumi, Y., Wang, Z., Chen, M., Yamanaka, K., &amp; Chiba, A. (2015). Regulating the coarsening of the γ’ phase in superalloys. NPG Asia Materials, 7(8). https://doi.org/10.1038/am.2015.96</t>
  </si>
  <si>
    <t>-19.7Cr</t>
  </si>
  <si>
    <t>AGBian, H., Xu, X., Li, Y., Koizumi, Y., Wang, Z., Chen, M., Yamanaka, K., &amp; Chiba, A. (2015). Regulating the coarsening of the γ’ phase in superalloys. NPG Asia Materials, 7(8). https://doi.org/10.1038/am.2015.96</t>
  </si>
  <si>
    <t>Co-29.6Ni-10.5Al-3.0Nb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</si>
  <si>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t>
  </si>
  <si>
    <t>30NiCao,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https://doi.org/10.1016/j.actamat.2022.117763</t>
  </si>
  <si>
    <t>Co-28.9Ni-10.3Al-2.1Ti-3.1Nb</t>
  </si>
  <si>
    <t>30Ni2Ti</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</si>
  <si>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t>
  </si>
  <si>
    <t>-3.1Nb</t>
  </si>
  <si>
    <t>30Ni2TiCao,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https://doi.org/10.1016/j.actamat.2022.117764</t>
  </si>
  <si>
    <t>Co-29.0Ni-10.1Al-2.2Ta-3.2Nb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</si>
  <si>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t>
  </si>
  <si>
    <t>-29.0Ni</t>
  </si>
  <si>
    <t>-3.2Nb</t>
  </si>
  <si>
    <t>30Ni2TaCao,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https://doi.org/10.1016/j.actamat.2022.117765</t>
  </si>
  <si>
    <t>Co-29.2Ni-9.8Al-2.2Ti-2.0Ta-3.2Nb</t>
  </si>
  <si>
    <t>30Ni2Ti2Ta</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</si>
  <si>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t>
  </si>
  <si>
    <t>30Ni2Ti2TaCao,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https://doi.org/10.1016/j.actamat.2022.117766</t>
  </si>
  <si>
    <t>Co-10.Al-3.0Nb</t>
  </si>
  <si>
    <t>Co-10Al-3Nb</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</si>
  <si>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t>
  </si>
  <si>
    <t>Co-10Al-3NbCao,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https://doi.org/10.1016/j.actamat.2022.117767</t>
  </si>
  <si>
    <t>Ternary T1</t>
  </si>
  <si>
    <t>Casas, R., Galvez, F., &amp; Campos, M. (2022). Microstructure stability and hardening determination through heat treatment of sintered Co γ/γ′ based alloys. Powder Metallurgy, 65(3), 242–252. https://doi.org/10.1080/00325899.2021.1994116</t>
  </si>
  <si>
    <t>Ternary T1Casas, R., Galvez, F., &amp; Campos, M. (2022). Microstructure stability and hardening determination through heat treatment of sintered Co γ/γ′ based alloys. Powder Metallurgy, 65(3), 242–252. https://doi.org/10.1080/00325899.2021.1994116</t>
  </si>
  <si>
    <t>Co-11.7Al-9.0W-2.1Ti-1.7Ta</t>
  </si>
  <si>
    <t>Quinary T2</t>
  </si>
  <si>
    <t>Quinary T2Casas, R., Galvez, F., &amp; Campos, M. (2022). Microstructure stability and hardening determination through heat treatment of sintered Co γ/γ′ based alloys. Powder Metallurgy, 65(3), 242–252. https://doi.org/10.1080/00325899.2021.1994116</t>
  </si>
  <si>
    <t>Co-7.7Ni-12.Al-11.0W</t>
  </si>
  <si>
    <t>Chen, Z., Kishida, K., Inui, H., Heilmaier, M., Glatzel, U., &amp; Eggeler, G. (2022). Improving the intermediate- and high-temperature strength of L12-Co3(Al,W) by Ni and Ta additions. Acta Materialia, 238. https://doi.org/10.1016/j.actamat.2022.118224</t>
  </si>
  <si>
    <t>-7.7Ni</t>
  </si>
  <si>
    <t>10NiChen, Z., Kishida, K., Inui, H., Heilmaier, M., Glatzel, U., &amp; Eggeler, G. (2022). Improving the intermediate- and high-temperature strength of L12-Co3(Al,W) by Ni and Ta additions. Acta Materialia, 238. https://doi.org/10.1016/j.actamat.2022.118224</t>
  </si>
  <si>
    <t>Co-15.4Ni-12.Al-11.0W</t>
  </si>
  <si>
    <t>Chen, Z., Kishida, K., Inui, H., Heilmaier, M., Glatzel, U., &amp; Eggeler, G. (2022). Improving the intermediate- and high-temperature strength of L12-Co3(Al,W) by Ni and Ta additions. Acta Materialia, 238. https://doi.org/10.1016/j.actamat.2022.118225</t>
  </si>
  <si>
    <t>-15.4Ni</t>
  </si>
  <si>
    <t>20NiChen, Z., Kishida, K., Inui, H., Heilmaier, M., Glatzel, U., &amp; Eggeler, G. (2022). Improving the intermediate- and high-temperature strength of L12-Co3(Al,W) by Ni and Ta additions. Acta Materialia, 238. https://doi.org/10.1016/j.actamat.2022.118225</t>
  </si>
  <si>
    <t>Co-15.4Ni-12.Al-9.0W-2.0Ta</t>
  </si>
  <si>
    <t>20Ni-2Ta</t>
  </si>
  <si>
    <t>Chen, Z., Kishida, K., Inui, H., Heilmaier, M., Glatzel, U., &amp; Eggeler, G. (2022). Improving the intermediate- and high-temperature strength of L12-Co3(Al,W) by Ni and Ta additions. Acta Materialia, 238. https://doi.org/10.1016/j.actamat.2022.118226</t>
  </si>
  <si>
    <t>20Ni-2TaChen, Z., Kishida, K., Inui, H., Heilmaier, M., Glatzel, U., &amp; Eggeler, G. (2022). Improving the intermediate- and high-temperature strength of L12-Co3(Al,W) by Ni and Ta additions. Acta Materialia, 238. https://doi.org/10.1016/j.actamat.2022.118226</t>
  </si>
  <si>
    <t>Co-5.Al-14.0V</t>
  </si>
  <si>
    <t>-14.0V</t>
  </si>
  <si>
    <t>Co-5Al-14VChen, Y., Wang, C., Ruan, J., Omori, T., Kainuma, R., Ishida, K., &amp; Liu, X. (2019). High-strength Co–Al–V-base superalloys strengthened by γ′-Co 3 (Al,V) with high solvus temperature. Acta Materialia, 170, 62–74. https://doi.org/10.1016/j.actamat.2019.03.013</t>
  </si>
  <si>
    <t>Co-5.Al-2.0Ti-14.0V</t>
  </si>
  <si>
    <t>2TiChen, Y., Wang, C., Ruan, J., Omori, T., Kainuma, R., Ishida, K., &amp; Liu, X. (2019). High-strength Co–Al–V-base superalloys strengthened by γ′-Co 3 (Al,V) with high solvus temperature. Acta Materialia, 170, 62–74. https://doi.org/10.1016/j.actamat.2019.03.014</t>
  </si>
  <si>
    <t>Co-5.Al-2.0Cr-14.0V</t>
  </si>
  <si>
    <t>2CrChen, Y., Wang, C., Ruan, J., Omori, T., Kainuma, R., Ishida, K., &amp; Liu, X. (2019). High-strength Co–Al–V-base superalloys strengthened by γ′-Co 3 (Al,V) with high solvus temperature. Acta Materialia, 170, 62–74. https://doi.org/10.1016/j.actamat.2019.03.015</t>
  </si>
  <si>
    <t>Co-5.Al-2.0Nb-14.0V</t>
  </si>
  <si>
    <t>2NbChen, Y., Wang, C., Ruan, J., Omori, T., Kainuma, R., Ishida, K., &amp; Liu, X. (2019). High-strength Co–Al–V-base superalloys strengthened by γ′-Co 3 (Al,V) with high solvus temperature. Acta Materialia, 170, 62–74. https://doi.org/10.1016/j.actamat.2019.03.016</t>
  </si>
  <si>
    <t>Co-5.Al-14.0V-2.0Mo</t>
  </si>
  <si>
    <t>-2.0Mo</t>
  </si>
  <si>
    <t>2MoChen, Y., Wang, C., Ruan, J., Omori, T., Kainuma, R., Ishida, K., &amp; Liu, X. (2019). High-strength Co–Al–V-base superalloys strengthened by γ′-Co 3 (Al,V) with high solvus temperature. Acta Materialia, 170, 62–74. https://doi.org/10.1016/j.actamat.2019.03.017</t>
  </si>
  <si>
    <t>Co-5.Al-2.0Ta-14.0V</t>
  </si>
  <si>
    <t>Chen, Y., Wang, C., Ruan, J., Omori, T., Kainuma, R., Ishida, K., &amp; Liu, X. (2019). High-strength Co–Al–V-base superalloys strengthened by γ′-Co 3 (Al,V) with high solvus temperature. Acta Materialia, 170, 62–74. https://doi.org/10.1016/j.actamat.2019.03.018</t>
  </si>
  <si>
    <t>2TaChen, Y., Wang, C., Ruan, J., Omori, T., Kainuma, R., Ishida, K., &amp; Liu, X. (2019). High-strength Co–Al–V-base superalloys strengthened by γ′-Co 3 (Al,V) with high solvus temperature. Acta Materialia, 170, 62–74. https://doi.org/10.1016/j.actamat.2019.03.018</t>
  </si>
  <si>
    <t>Co-5.Al-2.0W-14.0V</t>
  </si>
  <si>
    <t>2W</t>
  </si>
  <si>
    <t>2WChen, Y., Wang, C., Ruan, J., Omori, T., Kainuma, R., Ishida, K., &amp; Liu, X. (2019). High-strength Co–Al–V-base superalloys strengthened by γ′-Co 3 (Al,V) with high solvus temperature. Acta Materialia, 170, 62–74. https://doi.org/10.1016/j.actamat.2019.03.019</t>
  </si>
  <si>
    <t>Co-10.0Ni-8.Al-12.0V</t>
  </si>
  <si>
    <t>-12.0V</t>
  </si>
  <si>
    <t>10NiChen, Y., Wang, C., Ruan, J., Omori, T., Kainuma, R., Ishida, K., &amp; Liu, X. (2019). High-strength Co–Al–V-base superalloys strengthened by γ′-Co 3 (Al,V) with high solvus temperature. Acta Materialia, 170, 62–74. https://doi.org/10.1016/j.actamat.2019.03.020</t>
  </si>
  <si>
    <t>Co-20.0Ni-8.Al-12.0V</t>
  </si>
  <si>
    <t>20NiChen, Y., Wang, C., Ruan, J., Omori, T., Kainuma, R., Ishida, K., &amp; Liu, X. (2019). High-strength Co–Al–V-base superalloys strengthened by γ′-Co 3 (Al,V) with high solvus temperature. Acta Materialia, 170, 62–74. https://doi.org/10.1016/j.actamat.2019.03.021</t>
  </si>
  <si>
    <t>Co-30.0Ni-8.Al-12.0V</t>
  </si>
  <si>
    <t>30NiChen, Y., Wang, C., Ruan, J., Omori, T., Kainuma, R., Ishida, K., &amp; Liu, X. (2019). High-strength Co–Al–V-base superalloys strengthened by γ′-Co 3 (Al,V) with high solvus temperature. Acta Materialia, 170, 62–74. https://doi.org/10.1016/j.actamat.2019.03.022</t>
  </si>
  <si>
    <t>Co-30.0Ni-5.Al-4.0Ta-10.0V</t>
  </si>
  <si>
    <t>-10.0V</t>
  </si>
  <si>
    <t>Co-30Ni-5Al-10V-4TaChen, Y., Wang, C., Ruan, J., Omori, T., Kainuma, R., Ishida, K., &amp; Liu, X. (2019). High-strength Co–Al–V-base superalloys strengthened by γ′-Co 3 (Al,V) with high solvus temperature. Acta Materialia, 170, 62–74. https://doi.org/10.1016/j.actamat.2019.03.023</t>
  </si>
  <si>
    <t>Co-30.0Ni-7.5Al-4.0Ta-7.5V</t>
  </si>
  <si>
    <t>Co-30Ni-7.5Al-7.5V-4TaChen, Y., Wang, C., Ruan, J., Omori, T., Kainuma, R., Ishida, K., &amp; Liu, X. (2019). High-strength Co–Al–V-base superalloys strengthened by γ′-Co 3 (Al,V) with high solvus temperature. Acta Materialia, 170, 62–74. https://doi.org/10.1016/j.actamat.2019.03.024</t>
  </si>
  <si>
    <t>Co-30.0Ni-10.Al-4.0Ta-5.0V</t>
  </si>
  <si>
    <t>-5.0V</t>
  </si>
  <si>
    <t>Co-30Ni-10Al-5V-4TaChen, Y., Wang, C., Ruan, J., Omori, T., Kainuma, R., Ishida, K., &amp; Liu, X. (2019). High-strength Co–Al–V-base superalloys strengthened by γ′-Co 3 (Al,V) with high solvus temperature. Acta Materialia, 170, 62–74. https://doi.org/10.1016/j.actamat.2019.03.025</t>
  </si>
  <si>
    <t>Co-30.0Ni-10.Al-2.0Ti-4.0Ta-5.0V</t>
  </si>
  <si>
    <t>30Ni4Ta2Ti</t>
  </si>
  <si>
    <t>30Ni4Ta2TiChen, Y., Wang, C., Ruan, J., Omori, T., Kainuma, R., Ishida, K., &amp; Liu, X. (2019). High-strength Co–Al–V-base superalloys strengthened by γ′-Co 3 (Al,V) with high solvus temperature. Acta Materialia, 170, 62–74. https://doi.org/10.1016/j.actamat.2019.03.026</t>
  </si>
  <si>
    <t>Co-30.0Ni-9.Al-6.7Cr-6.0W-1.5Ta-0.10C</t>
  </si>
  <si>
    <t xml:space="preserve"> Co–30Ni–9Al–6W-6.7Cr-1.5Ta-0.1C</t>
  </si>
  <si>
    <t>Chu, C., Li, C., Guan, Y., &amp; Liu, Y. (2022). Microstructure-dependent coarsening behavior of γ′ precipitates in CoNi-based superalloys. Intermetallics, 140. https://doi.org/10.1016/j.intermet.2021.107396</t>
  </si>
  <si>
    <t>-6.7Cr</t>
  </si>
  <si>
    <t>-0.10C</t>
  </si>
  <si>
    <t xml:space="preserve"> Co–30Ni–9Al–6W-6.7Cr-1.5Ta-0.1CChu, C., Li, C., Guan, Y., &amp; Liu, Y. (2022). Microstructure-dependent coarsening behavior of γ′ precipitates in CoNi-based superalloys. Intermetallics, 140. https://doi.org/10.1016/j.intermet.2021.107396</t>
  </si>
  <si>
    <t>Co-30.0Ni-9.5Al-6.5Cr-5.5W-4.0Ti-2.0Ta-0.10C</t>
  </si>
  <si>
    <t>CoNi</t>
  </si>
  <si>
    <t>Chu, C., Guo, Q., Guan, Y., Qiao, Z., &amp; Liu, Y. (2022). Deformation mechanisms of a γʹ phase strengthened CoNi-based superalloy at high temperatures. Materials Science and Engineering A, 833. https://doi.org/10.1016/j.msea.2021.142587</t>
  </si>
  <si>
    <t>-6.5Cr</t>
  </si>
  <si>
    <t>CoNiChu, C., Guo, Q., Guan, Y., Qiao, Z., &amp; Liu, Y. (2022). Deformation mechanisms of a γʹ phase strengthened CoNi-based superalloy at high temperatures. Materials Science and Engineering A, 833. https://doi.org/10.1016/j.msea.2021.142587</t>
  </si>
  <si>
    <t>Co-40.0Ni-10.Al-10.0Cr-7.5W-3.0Nb-0.60C-0.06B</t>
  </si>
  <si>
    <t>Costa, A. M. S., Oliveira, J. P., Escobar, J. D., Salvador, C. A. F., Monteiro, M. J., Poplawsky, J. D., Nunes, C. A., Ramirez, A. J., &amp; Tschiptschin, A. P. (2022). On the effect of elemental partitioning to secondary phases after solution and aging heat treatments in a Co-Ni-based superalloy. Materials Letters, 309. https://doi.org/10.1016/j.matlet.2021.131377</t>
  </si>
  <si>
    <t>-40.0Ni</t>
  </si>
  <si>
    <t>-10.0Cr</t>
  </si>
  <si>
    <t>-0.60C</t>
  </si>
  <si>
    <t>3NbCosta, A. M. S., Oliveira, J. P., Escobar, J. D., Salvador, C. A. F., Monteiro, M. J., Poplawsky, J. D., Nunes, C. A., Ramirez, A. J., &amp; Tschiptschin, A. P. (2022). On the effect of elemental partitioning to secondary phases after solution and aging heat treatments in a Co-Ni-based superalloy. Materials Letters, 309. https://doi.org/10.1016/j.matlet.2021.131377</t>
  </si>
  <si>
    <t>Co-9.5Al-4.0Nb-2.9Mo</t>
  </si>
  <si>
    <t>Co-10Al-2.5Mo-4.5Nb</t>
  </si>
  <si>
    <t>Davydov, D. I., Kazantseva, N. v., Ezhov, I. v., Popov, N. A., &amp; Vinogradova, N. I. (2022). Study of structural cobalt heat resistant alloys with cuboidal morphology. AIP Conference Proceedings, 2509. https://doi.org/10.1063/5.0085552</t>
  </si>
  <si>
    <t>-4.0Nb</t>
  </si>
  <si>
    <t>Co-10Al-2.5Mo-4.5NbDavydov, D. I., Kazantseva, N. v., Ezhov, I. v., Popov, N. A., &amp; Vinogradova, N. I. (2022). Study of structural cobalt heat resistant alloys with cuboidal morphology. AIP Conference Proceedings, 2509. https://doi.org/10.1063/5.0085552</t>
  </si>
  <si>
    <t>Co-9.1Al-4.7Nb-5.2Mo</t>
  </si>
  <si>
    <t>Co-10Al-5Mo-5Nb</t>
  </si>
  <si>
    <t>Davydov, D. I., Kazantseva, N. v., Ezhov, I. v., Popov, N. A., &amp; Vinogradova, N. I. (2022). Study of structural cobalt heat resistant alloys with cuboidal morphology. AIP Conference Proceedings, 2509. https://doi.org/10.1063/5.0085553</t>
  </si>
  <si>
    <t>-4.7Nb</t>
  </si>
  <si>
    <t>Co-10Al-5Mo-5NbDavydov, D. I., Kazantseva, N. v., Ezhov, I. v., Popov, N. A., &amp; Vinogradova, N. I. (2022). Study of structural cobalt heat resistant alloys with cuboidal morphology. AIP Conference Proceedings, 2509. https://doi.org/10.1063/5.0085553</t>
  </si>
  <si>
    <t>Davydov, D. I., Kazantseva, N. v., Popov, N. A., Narygina, I. v., &amp; Popova, E. N. (2020). Structure and Phase Composition of Refractory Alloys of the Co – Al – Mo – Nb System. Metal Science and Heat Treatment, 62(7–8), 475–478. https://doi.org/10.1007/s11041-020-00587-0</t>
  </si>
  <si>
    <t>1Davydov, D. I., Kazantseva, N. v., Popov, N. A., Narygina, I. v., &amp; Popova, E. N. (2020). Structure and Phase Composition of Refractory Alloys of the Co – Al – Mo – Nb System. Metal Science and Heat Treatment, 62(7–8), 475–478. https://doi.org/10.1007/s11041-020-00587-0</t>
  </si>
  <si>
    <t>Co-10.2Al-2.1Nb-5.5Mo</t>
  </si>
  <si>
    <t>Davydov, D. I., Kazantseva, N. v., Popov, N. A., Narygina, I. v., &amp; Popova, E. N. (2020). Structure and Phase Composition of Refractory Alloys of the Co – Al – Mo – Nb System. Metal Science and Heat Treatment, 62(7–8), 475–478. https://doi.org/10.1007/s11041-020-00587-1</t>
  </si>
  <si>
    <t>-5.5Mo</t>
  </si>
  <si>
    <t>2Davydov, D. I., Kazantseva, N. v., Popov, N. A., Narygina, I. v., &amp; Popova, E. N. (2020). Structure and Phase Composition of Refractory Alloys of the Co – Al – Mo – Nb System. Metal Science and Heat Treatment, 62(7–8), 475–478. https://doi.org/10.1007/s11041-020-00587-1</t>
  </si>
  <si>
    <t>Davydov, D. I., Kazantseva, N. v., Popov, N. A., Narygina, I. v., &amp; Popova, E. N. (2020). Structure and Phase Composition of Refractory Alloys of the Co – Al – Mo – Nb System. Metal Science and Heat Treatment, 62(7–8), 475–478. https://doi.org/10.1007/s11041-020-00587-2</t>
  </si>
  <si>
    <t>3Davydov, D. I., Kazantseva, N. v., Popov, N. A., Narygina, I. v., &amp; Popova, E. N. (2020). Structure and Phase Composition of Refractory Alloys of the Co – Al – Mo – Nb System. Metal Science and Heat Treatment, 62(7–8), 475–478. https://doi.org/10.1007/s11041-020-00587-2</t>
  </si>
  <si>
    <t>Davydov, D. I., Kazantseva, N. v., Popov, N. A., Narygina, I. v., &amp; Popova, E. N. (2020). Structure and Phase Composition of Refractory Alloys of the Co – Al – Mo – Nb System. Metal Science and Heat Treatment, 62(7–8), 475–478. https://doi.org/10.1007/s11041-020-00587-3</t>
  </si>
  <si>
    <t>4Davydov, D. I., Kazantseva, N. v., Popov, N. A., Narygina, I. v., &amp; Popova, E. N. (2020). Structure and Phase Composition of Refractory Alloys of the Co – Al – Mo – Nb System. Metal Science and Heat Treatment, 62(7–8), 475–478. https://doi.org/10.1007/s11041-020-00587-3</t>
  </si>
  <si>
    <t>Co-30.0Ni-9.Al-6.0W-3.0Ti-1.0Ta-0.05Zr-0.12B</t>
  </si>
  <si>
    <t>superalloy</t>
  </si>
  <si>
    <t>Fallah Sheykhlari, A., Arabi, H., &amp; Boutorabi, S. M. A. (2023). Directional coalescence of γ’ precipitates during long time aging of CoNiAlW superalloy. Materials Characterization, 196. https://doi.org/10.1016/j.matchar.2022.112597</t>
  </si>
  <si>
    <t>superalloyFallah Sheykhlari, A., Arabi, H., &amp; Boutorabi, S. M. A. (2023). Directional coalescence of γ’ precipitates during long time aging of CoNiAlW superalloy. Materials Characterization, 196. https://doi.org/10.1016/j.matchar.2022.112597</t>
  </si>
  <si>
    <t>Co-30.0Ni-9.Al-0.0Cr-6.0W-3.0Ti-1.0Ta-0.05Zr-0.12B</t>
  </si>
  <si>
    <t>B</t>
  </si>
  <si>
    <t>Fallah Sheykhlari, A., Arabi, H., Boutorabi, S. M. A., &amp; Cayron, C. (2022). Effect of chromium content on microstructural evolution of CoNiAlW superalloy. Applied Physics A: Materials Science and Processing, 128(8). https://doi.org/10.1007/s00339-022-05768-7</t>
  </si>
  <si>
    <t>-0.0Cr</t>
  </si>
  <si>
    <t>BFallah Sheykhlari, A., Arabi, H., Boutorabi, S. M. A., &amp; Cayron, C. (2022). Effect of chromium content on microstructural evolution of CoNiAlW superalloy. Applied Physics A: Materials Science and Processing, 128(8). https://doi.org/10.1007/s00339-022-05768-7</t>
  </si>
  <si>
    <t>Co-30.0Ni-9.Al-6.0Cr-6.0W-3.0Ti-1.0Ta-0.05Zr-0.12B</t>
  </si>
  <si>
    <t>B6Cr</t>
  </si>
  <si>
    <t>Fallah Sheykhlari, A., Arabi, H., Boutorabi, S. M. A., &amp; Cayron, C. (2022). Effect of chromium content on microstructural evolution of CoNiAlW superalloy. Applied Physics A: Materials Science and Processing, 128(8). https://doi.org/10.1007/s00339-022-05768-8</t>
  </si>
  <si>
    <t>B6CrFallah Sheykhlari, A., Arabi, H., Boutorabi, S. M. A., &amp; Cayron, C. (2022). Effect of chromium content on microstructural evolution of CoNiAlW superalloy. Applied Physics A: Materials Science and Processing, 128(8). https://doi.org/10.1007/s00339-022-05768-8</t>
  </si>
  <si>
    <t>Co-30.0Ni-9.Al-10.0Cr-6.0W-3.0Ti-1.0Ta-0.05Zr-0.12B</t>
  </si>
  <si>
    <t>B10Cr</t>
  </si>
  <si>
    <t>Fallah Sheykhlari, A., Arabi, H., Boutorabi, S. M. A., &amp; Cayron, C. (2022). Effect of chromium content on microstructural evolution of CoNiAlW superalloy. Applied Physics A: Materials Science and Processing, 128(8). https://doi.org/10.1007/s00339-022-05768-9</t>
  </si>
  <si>
    <t>B10CrFallah Sheykhlari, A., Arabi, H., Boutorabi, S. M. A., &amp; Cayron, C. (2022). Effect of chromium content on microstructural evolution of CoNiAlW superalloy. Applied Physics A: Materials Science and Processing, 128(8). https://doi.org/10.1007/s00339-022-05768-9</t>
  </si>
  <si>
    <t>Co-30.0Ni-9.Al-14.0Cr-6.0W-3.0Ti-1.0Ta-0.05Zr-0.12B</t>
  </si>
  <si>
    <t>B14Cr</t>
  </si>
  <si>
    <t>Fallah Sheykhlari, A., Arabi, H., Boutorabi, S. M. A., &amp; Cayron, C. (2022). Effect of chromium content on microstructural evolution of CoNiAlW superalloy. Applied Physics A: Materials Science and Processing, 128(8). https://doi.org/10.1007/s00339-022-05768-10</t>
  </si>
  <si>
    <t>-14.0Cr</t>
  </si>
  <si>
    <t>B14CrFallah Sheykhlari, A., Arabi, H., Boutorabi, S. M. A., &amp; Cayron, C. (2022). Effect of chromium content on microstructural evolution of CoNiAlW superalloy. Applied Physics A: Materials Science and Processing, 128(8). https://doi.org/10.1007/s00339-022-05768-10</t>
  </si>
  <si>
    <t>Co-29.1Ni-8.7Al-6.4Cr-5.8W-1.9Ti-0.11C</t>
  </si>
  <si>
    <t>CoNi-based superalloy (UD)</t>
  </si>
  <si>
    <t>Guan, Y., Liu, Y., Ma, Z., Li, H., &amp; Yu, H. (2022). Effect of microstructure on temperature dependence of deformation behavior in polycrystalline CoNi-based superalloy. Journal of Materials Science, 57(1), 687–699. https://doi.org/10.1007/s10853-021-06582-x</t>
  </si>
  <si>
    <t>-29.1Ni</t>
  </si>
  <si>
    <t>-0.11C</t>
  </si>
  <si>
    <t>CoNi-based superalloy (UD)Guan, Y., Liu, Y., Ma, Z., Li, H., &amp; Yu, H. (2022). Effect of microstructure on temperature dependence of deformation behavior in polycrystalline CoNi-based superalloy. Journal of Materials Science, 57(1), 687–699. https://doi.org/10.1007/s10853-021-06582-x</t>
  </si>
  <si>
    <t>Co-28.7Ni-9.Al-14.2Cr-4.6W-0.3Ti-0.2Ta-0.1Hf-0.40C-0.06B-0.1Y</t>
  </si>
  <si>
    <t>CoWAlloy2Mod</t>
  </si>
  <si>
    <t>Haußmann, L., Burbaum, B., Stöhr, B., Förner, A., Freund, L., Göken, M., &amp; Neumeier, S. (2022). Crack-Free Welding of a Co-Base Superalloy with High γ’ Precipitate Fraction. Advanced Engineering Materials. https://doi.org/10.1002/adem.202200609</t>
  </si>
  <si>
    <t>-0.1Y</t>
  </si>
  <si>
    <t>CoWAlloy2ModHaußmann, L., Burbaum, B., Stöhr, B., Förner, A., Freund, L., Göken, M., &amp; Neumeier, S. (2022). Crack-Free Welding of a Co-Base Superalloy with High γ’ Precipitate Fraction. Advanced Engineering Materials. https://doi.org/10.1002/adem.202200609</t>
  </si>
  <si>
    <t>Co-7.3Al-7.6W-4.2Ti</t>
  </si>
  <si>
    <t>Co-7.3Al-7.6 W-4.2Ti</t>
  </si>
  <si>
    <t>He, J., Wang, X., Zhou, H., &amp; Wang, X. (2022). Low cycle fatigue of a γ’-strengthened Co-based single crystal superalloy at 900 °C. Materials Characterization, 185. https://doi.org/10.1016/j.matchar.2022.111720</t>
  </si>
  <si>
    <t>Co-7.3Al-7.6 W-4.2TiHe, J., Wang, X., Zhou, H., &amp; Wang, X. (2022). Low cycle fatigue of a γ’-strengthened Co-based single crystal superalloy at 900 °C. Materials Characterization, 185. https://doi.org/10.1016/j.matchar.2022.111720</t>
  </si>
  <si>
    <t>Co-10.Al-9.0W-1.00C</t>
  </si>
  <si>
    <t>Co–10Al–9W–1C</t>
  </si>
  <si>
    <t>Kamali, H., Field, R. D., Clarke, A. J., Nedjad, S. H., &amp; Kaufman, M. J. (2021). Development of the γ′ Stability in Co–Al–W Alloys at 800 °C by Alloying with Carbon. Metallurgical and Materials Transactions A: Physical Metallurgy and Materials Science, 52(12), 5314–5328. https://doi.org/10.1007/s11661-021-06470-8</t>
  </si>
  <si>
    <t>-1.00C</t>
  </si>
  <si>
    <t>Co–10Al–9W–1CKamali, H., Field, R. D., Clarke, A. J., Nedjad, S. H., &amp; Kaufman, M. J. (2021). Development of the γ′ Stability in Co–Al–W Alloys at 800 °C by Alloying with Carbon. Metallurgical and Materials Transactions A: Physical Metallurgy and Materials Science, 52(12), 5314–5328. https://doi.org/10.1007/s11661-021-06470-8</t>
  </si>
  <si>
    <t>Co-7.Al-5.0W-1.00C</t>
  </si>
  <si>
    <t>Co–7Al–5W–1C</t>
  </si>
  <si>
    <t>Co–7Al–5W–1CKamali, H., Field, R. D., Clarke, A. J., Nedjad, S. H., &amp; Kaufman, M. J. (2021). Development of the γ′ Stability in Co–Al–W Alloys at 800 °C by Alloying with Carbon. Metallurgical and Materials Transactions A: Physical Metallurgy and Materials Science, 52(12), 5314–5328. https://doi.org/10.1007/s11661-021-06470-8</t>
  </si>
  <si>
    <t>Co-7.Al-5.0W</t>
  </si>
  <si>
    <t>Co–7Al–5W</t>
  </si>
  <si>
    <t>Co–7Al–5WKamali, H., Field, R. D., Clarke, A. J., Nedjad, S. H., &amp; Kaufman, M. J. (2021). Development of the γ′ Stability in Co–Al–W Alloys at 800 °C by Alloying with Carbon. Metallurgical and Materials Transactions A: Physical Metallurgy and Materials Science, 52(12), 5314–5328. https://doi.org/10.1007/s11661-021-06470-8</t>
  </si>
  <si>
    <t>Co-30.1Ni-7.4Al-14.1Cr-2.0W-4.1Ti-1.0Ta-1.0Mo-0.02C-0.15B</t>
  </si>
  <si>
    <t>alloy1Li</t>
  </si>
  <si>
    <t>Li, H., Zhuang, X., Lu, S., Antonov, S., Li, L., &amp; Feng, Q. (2022). Hot deformation behavior and flow stress modeling of a novel CoNi-based wrought superalloy. Journal of Alloys and Compounds, 894. https://doi.org/10.1016/j.jallcom.2021.162489</t>
  </si>
  <si>
    <t>-14.1Cr</t>
  </si>
  <si>
    <t>-0.15B</t>
  </si>
  <si>
    <t>alloy1LiLi, H., Zhuang, X., Lu, S., Antonov, S., Li, L., &amp; Feng, Q. (2022). Hot deformation behavior and flow stress modeling of a novel CoNi-based wrought superalloy. Journal of Alloys and Compounds, 894. https://doi.org/10.1016/j.jallcom.2021.162489</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</si>
  <si>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https://doi.org/10.1016/j.jmst.2020.10.080</t>
  </si>
  <si>
    <t>BaseLi, W., Li, L., Wei, C., Zhao, J. C., &amp; Feng, Q. (2021). Effects of Ni, Cr and W on the microstructural stability of multicomponent CoNi-base superalloys studied using CALPHAD and diffusion-multiple approaches. Journal of Materials Science and Technology, 80, 139–149. https://doi.org/10.1016/j.jmst.2020.10.080</t>
  </si>
  <si>
    <t>Co-40.0Ni-7.Al-8.0W-4.0Ti-1.0Ta</t>
  </si>
  <si>
    <t>40Ni</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</si>
  <si>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https://doi.org/10.1016/j.jmst.2020.10.081</t>
  </si>
  <si>
    <t>40NiLi, W., Li, L., Wei, C., Zhao, J. C., &amp; Feng, Q. (2021). Effects of Ni, Cr and W on the microstructural stability of multicomponent CoNi-base superalloys studied using CALPHAD and diffusion-multiple approaches. Journal of Materials Science and Technology, 80, 139–149. https://doi.org/10.1016/j.jmst.2020.10.081</t>
  </si>
  <si>
    <t>Co-20.0Ni-7.Al-4.0Ti-1.0Ta</t>
  </si>
  <si>
    <t>0W</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</si>
  <si>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https://doi.org/10.1016/j.jmst.2020.10.082</t>
  </si>
  <si>
    <t>0WLi, W., Li, L., Wei, C., Zhao, J. C., &amp; Feng, Q. (2021). Effects of Ni, Cr and W on the microstructural stability of multicomponent CoNi-base superalloys studied using CALPHAD and diffusion-multiple approaches. Journal of Materials Science and Technology, 80, 139–149. https://doi.org/10.1016/j.jmst.2020.10.082</t>
  </si>
  <si>
    <t>Co-20.0Ni-7.Al-15.0Cr-4.0Ti-1.0Ta</t>
  </si>
  <si>
    <t>15Cr0W</t>
  </si>
  <si>
    <t>Li, W., Li, L., Wei, C., Zhao, J. C., &amp; Feng, Q. (2021). Effects of Ni, Cr and W on the microstructural stability of multicomponent CoNi-base superalloys studied using CALPHAD and diffusion-multiple approaches. Journal of Materials Science and Technology, 80, 139–149. https://doi.org/10.1016/j.jmst.2020.10.083</t>
  </si>
  <si>
    <t>15Cr0WLi, W., Li, L., Wei, C., Zhao, J. C., &amp; Feng, Q. (2021). Effects of Ni, Cr and W on the microstructural stability of multicomponent CoNi-base superalloys studied using CALPHAD and diffusion-multiple approaches. Journal of Materials Science and Technology, 80, 139–149. https://doi.org/10.1016/j.jmst.2020.10.083</t>
  </si>
  <si>
    <t>Co-30.1Ni-11.Al-5.0Cr-4.1W-3.9Ti-1.0Ta</t>
  </si>
  <si>
    <t>CoNi-based single crystal</t>
  </si>
  <si>
    <t>Lian, Y., Gao, L., Hu, P., Yin, Q., Wang, X., Wen, Z., &amp; Wang, J. (2022). Effect of withdrawal rate on the microstructure and mechanical properties of a novel monocrystalline CoNi-based superalloy. Materials Today Communications, 30. https://doi.org/10.1016/j.mtcomm.2021.103053</t>
  </si>
  <si>
    <t>-5.0Cr</t>
  </si>
  <si>
    <t>CoNi-based single crystalLian, Y., Gao, L., Hu, P., Yin, Q., Wang, X., Wen, Z., &amp; Wang, J. (2022). Effect of withdrawal rate on the microstructure and mechanical properties of a novel monocrystalline CoNi-based superalloy. Materials Today Communications, 30. https://doi.org/10.1016/j.mtcomm.2021.103053</t>
  </si>
  <si>
    <t>Co-30.4Ni-10.5Al-5.0Cr-4.1W-3.9Ti-1.0Ta-0.09C-0.05B</t>
  </si>
  <si>
    <t>Lian alloy</t>
  </si>
  <si>
    <t>Lian, Y., Wang, X., Gao, L., Yin, Q., Hu, P., Wen, Z., &amp; Wang, J. (2022). Microstructure and Tensile Behavior of a Novel Monocrystalline Co-Based Superalloy at Different Temperatures. Advanced Engineering Materials, 24(4). https://doi.org/10.1002/adem.202101037</t>
  </si>
  <si>
    <t>Lian alloyLian, Y., Wang, X., Gao, L., Yin, Q., Hu, P., Wen, Z., &amp; Wang, J. (2022). Microstructure and Tensile Behavior of a Novel Monocrystalline Co-Based Superalloy at Different Temperatures. Advanced Engineering Materials, 24(4). https://doi.org/10.1002/adem.202101037</t>
  </si>
  <si>
    <t>Co-5.3Al-15.1Cr-5.3Ti</t>
  </si>
  <si>
    <t>Co-15Cr-5Al-5Ti</t>
  </si>
  <si>
    <t>Liang, Z., Neumeier, S., Rao, Z., Göken, M., &amp; Pyczak, F. (2022). CALPHAD informed design of multicomponent CoNiCr-based superalloys exhibiting large lattice misfit and high yield stress. Materials Science and Engineering A, 854. https://doi.org/10.1016/j.msea.2022.143798</t>
  </si>
  <si>
    <t>-15.1Cr</t>
  </si>
  <si>
    <t>Co-15Cr-5Al-5TiLiang, Z., Neumeier, S., Rao, Z., Göken, M., &amp; Pyczak, F. (2022). CALPHAD informed design of multicomponent CoNiCr-based superalloys exhibiting large lattice misfit and high yield stress. Materials Science and Engineering A, 854. https://doi.org/10.1016/j.msea.2022.143798</t>
  </si>
  <si>
    <t>Co-15.0Ni-6.2Al-15.2Cr-5.2Ti</t>
  </si>
  <si>
    <t>Co-15Ni-15Cr-5Al-5Ti</t>
  </si>
  <si>
    <t>-15.2Cr</t>
  </si>
  <si>
    <t>Co-15Ni-15Cr-5Al-5TiLiang, Z., Neumeier, S., Rao, Z., Göken, M., &amp; Pyczak, F. (2022). CALPHAD informed design of multicomponent CoNiCr-based superalloys exhibiting large lattice misfit and high yield stress. Materials Science and Engineering A, 854. https://doi.org/10.1016/j.msea.2022.143798</t>
  </si>
  <si>
    <t>Co-29.5Ni-4.7Al-30.8Cr-4.9Ti</t>
  </si>
  <si>
    <t>Co-30Ni-30Cr-5Al-5Ti</t>
  </si>
  <si>
    <t>-4.7Al</t>
  </si>
  <si>
    <t>-30.8Cr</t>
  </si>
  <si>
    <t>Co-30Ni-30Cr-5Al-5TiLiang, Z., Neumeier, S., Rao, Z., Göken, M., &amp; Pyczak, F. (2022). CALPHAD informed design of multicomponent CoNiCr-based superalloys exhibiting large lattice misfit and high yield stress. Materials Science and Engineering A, 854. https://doi.org/10.1016/j.msea.2022.143798</t>
  </si>
  <si>
    <t>Co-29.3Ni-4.7Al-15.5Cr-5.3Ti</t>
  </si>
  <si>
    <t>Co-30Ni-15Cr-5Al-5Ti</t>
  </si>
  <si>
    <t>-29.3Ni</t>
  </si>
  <si>
    <t>-15.5Cr</t>
  </si>
  <si>
    <t>Co-30Ni-15Cr-5Al-5TiLiang, Z., Neumeier, S., Rao, Z., Göken, M., &amp; Pyczak, F. (2022). CALPHAD informed design of multicomponent CoNiCr-based superalloys exhibiting large lattice misfit and high yield stress. Materials Science and Engineering A, 854. https://doi.org/10.1016/j.msea.2022.143798</t>
  </si>
  <si>
    <t>Co-29.3Ni-6.4Al-15.2Cr-5.1Ti-2.1Ta</t>
  </si>
  <si>
    <t>Co-30Ni-15Cr-5Al-5Ti-2Ta</t>
  </si>
  <si>
    <t>Co-30Ni-15Cr-5Al-5Ti-2TaLiang, Z., Neumeier, S., Rao, Z., Göken, M., &amp; Pyczak, F. (2022). CALPHAD informed design of multicomponent CoNiCr-based superalloys exhibiting large lattice misfit and high yield stress. Materials Science and Engineering A, 854. https://doi.org/10.1016/j.msea.2022.143798</t>
  </si>
  <si>
    <t>Co-34.0Ni-4.5Al-15.6Cr-5.5Ti</t>
  </si>
  <si>
    <t>CoNi-baseline</t>
  </si>
  <si>
    <t>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</si>
  <si>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-34.0Ni</t>
  </si>
  <si>
    <t>-15.6Cr</t>
  </si>
  <si>
    <t>CoNi-baselineLiang,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</si>
  <si>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Co-34.3Ni-4.7Al-15.6Cr-5.1Ti-1.9Ta</t>
  </si>
  <si>
    <t>CoNi-2Ta</t>
  </si>
  <si>
    <t>-34.3Ni</t>
  </si>
  <si>
    <t>CoNi-2TaLiang,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</si>
  <si>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Co-34.7Ni-4.5Al-15.5Cr-4.9Ti-1.8Nb</t>
  </si>
  <si>
    <t>CoNi-2Nb</t>
  </si>
  <si>
    <t>-34.7Ni</t>
  </si>
  <si>
    <t>CoNi-2NbLiang,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</si>
  <si>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Co-34.6Ni-4.4Al-15.4Cr-0.9W-5.2Ti-2.0Mo</t>
  </si>
  <si>
    <t>CoNi-3W</t>
  </si>
  <si>
    <t>-4.4Al</t>
  </si>
  <si>
    <t>-0.9W</t>
  </si>
  <si>
    <t>-15.4Cr</t>
  </si>
  <si>
    <t>CoNi-3WLiang,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</si>
  <si>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Co-34.8Ni-4.7Al-15.3Cr-3.1W-5.1Ti</t>
  </si>
  <si>
    <t>CoNi-2Mo1W</t>
  </si>
  <si>
    <t>-15.3Cr</t>
  </si>
  <si>
    <t>CoNi-2Mo1WLiang,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</si>
  <si>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Co-36.4Ni-4.7Al-15.2Cr-1.2W-5.2Ti-1.0Ta-2.1Mo</t>
  </si>
  <si>
    <t>CoNi-2Mo1W2Ti</t>
  </si>
  <si>
    <t>-36.4Ni</t>
  </si>
  <si>
    <t>-2.1Mo</t>
  </si>
  <si>
    <t>CoNi-2Mo1W2TiLiang,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</si>
  <si>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Co-34.4Ni-4.5Al-15.7Cr-1.1W-7.4Ti-1.8Mo</t>
  </si>
  <si>
    <t>CoNi-2Mo1W1Ta</t>
  </si>
  <si>
    <t>-1.1W</t>
  </si>
  <si>
    <t>-7.4Ti</t>
  </si>
  <si>
    <t>CoNi-2Mo1W1TaLiang, Z., Paul, J. D. H., Stark, A., Bezold, A., Neumeier, S., Göken, M., &amp; Pyczak, F. (2022). High-Temperature CoNi-Based Superalloys Strengthened by γ′-(Ni,Co)3(Cr,Al,Ti,X): The Effect of Refractory Elements. Metallurgical and Materials Transactions A: Physical Metallurgy and Materials Science. https://doi.org/10.1007/s11661-022-06795-y</t>
  </si>
  <si>
    <t>Co-29.5Ni-10.8Al-3.0Cr-2.2W-2.0Ti-2.1Ta-1.0Mo</t>
  </si>
  <si>
    <t>MGE-base</t>
  </si>
  <si>
    <t>Liu, P., Huang, H., Jiang, X., Zhang, Y., Omori, T., Lookman, T., &amp; Su, Y. (2022). Evolution analysis of γ’ precipitate coarsening in Co-based superalloys using kinetic theory and machine learning. Acta Materialia, 235. https://doi.org/10.1016/j.actamat.2022.118101</t>
  </si>
  <si>
    <t>-2.2W</t>
  </si>
  <si>
    <t>-3.0Cr</t>
  </si>
  <si>
    <t>MGE-baseLiu, P., Huang, H., Jiang, X., Zhang, Y., Omori, T., Lookman, T., &amp; Su, Y. (2022). Evolution analysis of γ’ precipitate coarsening in Co-based superalloys using kinetic theory and machine learning. Acta Materialia, 235. https://doi.org/10.1016/j.actamat.2022.118101</t>
  </si>
  <si>
    <t>Co-29.4Ni-10.8Al-3.0Cr-2.2W-3.6Ti-2.1Ta-1.0Mo</t>
  </si>
  <si>
    <t>MGE-Ti</t>
  </si>
  <si>
    <t>MGE-TiLiu, P., Huang, H., Jiang, X., Zhang, Y., Omori, T., Lookman, T., &amp; Su, Y. (2022). Evolution analysis of γ’ precipitate coarsening in Co-based superalloys using kinetic theory and machine learning. Acta Materialia, 235. https://doi.org/10.1016/j.actamat.2022.118101</t>
  </si>
  <si>
    <t>Co-29.4Ni-10.8Al-3.0Cr-2.2W-2.1Ti-3.6Ta-1.0Mo</t>
  </si>
  <si>
    <t>MGE-Ta</t>
  </si>
  <si>
    <t>-3.6Ta</t>
  </si>
  <si>
    <t>MGE-TaLiu, P., Huang, H., Jiang, X., Zhang, Y., Omori, T., Lookman, T., &amp; Su, Y. (2022). Evolution analysis of γ’ precipitate coarsening in Co-based superalloys using kinetic theory and machine learning. Acta Materialia, 235. https://doi.org/10.1016/j.actamat.2022.118101</t>
  </si>
  <si>
    <t>Co-29.6Ni-10.5Al-3.1Cr-1.5W-2.0Ti-2.1Ta-2.5Mo</t>
  </si>
  <si>
    <t>MGE-Mo</t>
  </si>
  <si>
    <t>-3.1Cr</t>
  </si>
  <si>
    <t>-2.5Mo</t>
  </si>
  <si>
    <t>MGE-MoLiu, P., Huang, H., Jiang, X., Zhang, Y., Omori, T., Lookman, T., &amp; Su, Y. (2022). Evolution analysis of γ’ precipitate coarsening in Co-based superalloys using kinetic theory and machine learning. Acta Materialia, 235. https://doi.org/10.1016/j.actamat.2022.118101</t>
  </si>
  <si>
    <t>Co-29.7Ni-10.5Al-4.4Cr-1.9W-2.0Ti-2.1Ta-1.0Mo</t>
  </si>
  <si>
    <t>MGE-Cr</t>
  </si>
  <si>
    <t>-4.4Cr</t>
  </si>
  <si>
    <t>MGE-CrLiu, P., Huang, H., Jiang, X., Zhang, Y., Omori, T., Lookman, T., &amp; Su, Y. (2022). Evolution analysis of γ’ precipitate coarsening in Co-based superalloys using kinetic theory and machine learning. Acta Materialia, 235. https://doi.org/10.1016/j.actamat.2022.118101</t>
  </si>
  <si>
    <t>Co-29.4Ni-10.8Al-3.0Cr-2.2W-2.0Ti-2.1Ta-1.5Nb-1.0Mo</t>
  </si>
  <si>
    <t>MGE-Nb</t>
  </si>
  <si>
    <t>MGE-NbLiu, P., Huang, H., Jiang, X., Zhang, Y., Omori, T., Lookman, T., &amp; Su, Y. (2022). Evolution analysis of γ’ precipitate coarsening in Co-based superalloys using kinetic theory and machine learning. Acta Materialia, 235. https://doi.org/10.1016/j.actamat.2022.118101</t>
  </si>
  <si>
    <t>Co-29.5Ni-11.Al-3.0Cr-1.8W-2.0Ti-2.0Ta-1.0Mo-1.1Re</t>
  </si>
  <si>
    <t>MGE-Re</t>
  </si>
  <si>
    <t>-1.1Re</t>
  </si>
  <si>
    <t>MGE-ReLiu, P., Huang, H., Jiang, X., Zhang, Y., Omori, T., Lookman, T., &amp; Su, Y. (2022). Evolution analysis of γ’ precipitate coarsening in Co-based superalloys using kinetic theory and machine learning. Acta Materialia, 235. https://doi.org/10.1016/j.actamat.2022.118101</t>
  </si>
  <si>
    <t>Co-34.7Ni-11.1Al-2.8Cr-1.1W-2.0Ti-2.2Ta-1.1Mo</t>
  </si>
  <si>
    <t>MGE-Ni</t>
  </si>
  <si>
    <t>-2.8Cr</t>
  </si>
  <si>
    <t>MGE-NiLiu, P., Huang, H., Jiang, X., Zhang, Y., Omori, T., Lookman, T., &amp; Su, Y. (2022). Evolution analysis of γ’ precipitate coarsening in Co-based superalloys using kinetic theory and machine learning. Acta Materialia, 235. https://doi.org/10.1016/j.actamat.2022.118101</t>
  </si>
  <si>
    <t>Co-29.4Ni-11.8Al-3.0Cr-1.8W-2.0Ti-2.1Ta-1.1Mo</t>
  </si>
  <si>
    <t>MGE-Al</t>
  </si>
  <si>
    <t>-11.8Al</t>
  </si>
  <si>
    <t>MGE-AlLiu, P., Huang, H., Jiang, X., Zhang, Y., Omori, T., Lookman, T., &amp; Su, Y. (2022). Evolution analysis of γ’ precipitate coarsening in Co-based superalloys using kinetic theory and machine learning. Acta Materialia, 235. https://doi.org/10.1016/j.actamat.2022.118101</t>
  </si>
  <si>
    <t>Co-29.6Ni-11.1Al-3.0Cr-2.8W-2.1Ti-2.2Ta-1.0Mo</t>
  </si>
  <si>
    <t>MGE-W</t>
  </si>
  <si>
    <t>MGE-WLiu, P., Huang, H., Jiang, X., Zhang, Y., Omori, T., Lookman, T., &amp; Su, Y. (2022). Evolution analysis of γ’ precipitate coarsening in Co-based superalloys using kinetic theory and machine learning. Acta Materialia, 235. https://doi.org/10.1016/j.actamat.2022.118101</t>
  </si>
  <si>
    <t>Co-2.0W-4.0Ti-2.0Ta-10.0V</t>
  </si>
  <si>
    <t>Co-4Ti-10V-2W-2Ta</t>
  </si>
  <si>
    <t>Liu, X., Chen, Z., Chen, Y., Yang, S., Pan, Y., Lu, Y., Qu, S., Li, Y., Yang, Y., &amp; Wang, C. (2021). Multicomponent Co-Ti-based superalloy with high solvus temperature and low lattice misfit. Materials Letters, 284. https://doi.org/10.1016/j.matlet.2020.128910</t>
  </si>
  <si>
    <t>Co-4Ti-10V-2W-2TaLiu, X., Chen, Z., Chen, Y., Yang, S., Pan, Y., Lu, Y., Qu, S., Li, Y., Yang, Y., &amp; Wang, C. (2021). Multicomponent Co-Ti-based superalloy with high solvus temperature and low lattice misfit. Materials Letters, 284. https://doi.org/10.1016/j.matlet.2020.128910</t>
  </si>
  <si>
    <t>Co-19.7Ni-10.3Al-6.9Cr-1.0W-5.1Ti-4.1Ta</t>
  </si>
  <si>
    <t>1-1</t>
  </si>
  <si>
    <t>Liu, P., Huang, H., Antonov, S., Wen, C., Xue, D., Chen, H., Li, L., Feng, Q., Omori, T., &amp; Su, Y. (2020). Machine learning assisted design of γ′-strengthened Co-base superalloys with multi-performance optimization. Npj Computational Materials, 6(1). https://doi.org/10.1038/s41524-020-0334-5</t>
  </si>
  <si>
    <t>-6.9Cr</t>
  </si>
  <si>
    <t>-4.1Ta</t>
  </si>
  <si>
    <t>1-1Liu, P., Huang, H., Antonov, S., Wen, C., Xue, D., Chen, H., Li, L., Feng, Q., Omori, T., &amp; Su, Y. (2020). Machine learning assisted design of γ′-strengthened Co-base superalloys with multi-performance optimization. Npj Computational Materials, 6(1). https://doi.org/10.1038/s41524-020-0334-5</t>
  </si>
  <si>
    <t>Co-35.6Ni-11.9Al-2.1Cr-1.3W-2.2Ti-4.3Ta</t>
  </si>
  <si>
    <t>1-2</t>
  </si>
  <si>
    <t>-11.9Al</t>
  </si>
  <si>
    <t>-35.6Ni</t>
  </si>
  <si>
    <t>-2.1Cr</t>
  </si>
  <si>
    <t>-4.3Ta</t>
  </si>
  <si>
    <t>1-2Liu, P., Huang, H., Antonov, S., Wen, C., Xue, D., Chen, H., Li, L., Feng, Q., Omori, T., &amp; Su, Y. (2020). Machine learning assisted design of γ′-strengthened Co-base superalloys with multi-performance optimization. Npj Computational Materials, 6(1). https://doi.org/10.1038/s41524-020-0334-5</t>
  </si>
  <si>
    <t>Co-20.2Ni-9.8Al-7.0Cr-1.4W-4.9Ti-4.4Ta</t>
  </si>
  <si>
    <t>1-3</t>
  </si>
  <si>
    <t>-7.0Cr</t>
  </si>
  <si>
    <t>-4.4Ta</t>
  </si>
  <si>
    <t>1-3Liu, P., Huang, H., Antonov, S., Wen, C., Xue, D., Chen, H., Li, L., Feng, Q., Omori, T., &amp; Su, Y. (2020). Machine learning assisted design of γ′-strengthened Co-base superalloys with multi-performance optimization. Npj Computational Materials, 6(1). https://doi.org/10.1038/s41524-020-0334-5</t>
  </si>
  <si>
    <t>Co-24.5Ni-12.5Al-10.0Cr-1.2W-2.0Ti-4.2Ta</t>
  </si>
  <si>
    <t>1-4</t>
  </si>
  <si>
    <t>-24.5Ni</t>
  </si>
  <si>
    <t>-4.2Ta</t>
  </si>
  <si>
    <t>1-4Liu, P., Huang, H., Antonov, S., Wen, C., Xue, D., Chen, H., Li, L., Feng, Q., Omori, T., &amp; Su, Y. (2020). Machine learning assisted design of γ′-strengthened Co-base superalloys with multi-performance optimization. Npj Computational Materials, 6(1). https://doi.org/10.1038/s41524-020-0334-5</t>
  </si>
  <si>
    <t>Co-35.6Ni-11.6Al-2.0Cr-1.2W-3.0Ti-4.2Ta</t>
  </si>
  <si>
    <t>2-2</t>
  </si>
  <si>
    <t>-11.6Al</t>
  </si>
  <si>
    <t>2-2Liu, P., Huang, H., Antonov, S., Wen, C., Xue, D., Chen, H., Li, L., Feng, Q., Omori, T., &amp; Su, Y. (2020). Machine learning assisted design of γ′-strengthened Co-base superalloys with multi-performance optimization. Npj Computational Materials, 6(1). https://doi.org/10.1038/s41524-020-0334-5</t>
  </si>
  <si>
    <t>Co-35.7Ni-11.3Al-1.8Cr-1.5W-3.0Ti-4.2Ta</t>
  </si>
  <si>
    <t>2-3</t>
  </si>
  <si>
    <t>-35.7Ni</t>
  </si>
  <si>
    <t>-1.8Cr</t>
  </si>
  <si>
    <t>2-3Liu, P., Huang, H., Antonov, S., Wen, C., Xue, D., Chen, H., Li, L., Feng, Q., Omori, T., &amp; Su, Y. (2020). Machine learning assisted design of γ′-strengthened Co-base superalloys with multi-performance optimization. Npj Computational Materials, 6(1). https://doi.org/10.1038/s41524-020-0334-5</t>
  </si>
  <si>
    <t>Co-36.0Ni-12.5Al-2.0Cr-1.3W-1.9Ti-4.1Ta</t>
  </si>
  <si>
    <t>2-4</t>
  </si>
  <si>
    <t>-36.0Ni</t>
  </si>
  <si>
    <t>2-4Liu, P., Huang, H., Antonov, S., Wen, C., Xue, D., Chen, H., Li, L., Feng, Q., Omori, T., &amp; Su, Y. (2020). Machine learning assisted design of γ′-strengthened Co-base superalloys with multi-performance optimization. Npj Computational Materials, 6(1). https://doi.org/10.1038/s41524-020-0334-5</t>
  </si>
  <si>
    <t>Co-37.3Ni-13.3Al-2.0Cr-1.1W-2.0Ti-4.1Ta</t>
  </si>
  <si>
    <t>4-1</t>
  </si>
  <si>
    <t>-37.3Ni</t>
  </si>
  <si>
    <t>4-1Liu, P., Huang, H., Antonov, S., Wen, C., Xue, D., Chen, H., Li, L., Feng, Q., Omori, T., &amp; Su, Y. (2020). Machine learning assisted design of γ′-strengthened Co-base superalloys with multi-performance optimization. Npj Computational Materials, 6(1). https://doi.org/10.1038/s41524-020-0334-5</t>
  </si>
  <si>
    <t>Co-35.6Ni-11.3Al-2.0Cr-1.8W-2.0Ti-4.1Ta</t>
  </si>
  <si>
    <t>3-3</t>
  </si>
  <si>
    <t>3-3Liu, P., Huang, H., Antonov, S., Wen, C., Xue, D., Chen, H., Li, L., Feng, Q., Omori, T., &amp; Su, Y. (2020). Machine learning assisted design of γ′-strengthened Co-base superalloys with multi-performance optimization. Npj Computational Materials, 6(1). https://doi.org/10.1038/s41524-020-0334-5</t>
  </si>
  <si>
    <t>Co-35.5Ni-13.2Al-2.2Cr-1.2W-1.0Ti-4.0Ta</t>
  </si>
  <si>
    <t>3-4</t>
  </si>
  <si>
    <t>-13.2Al</t>
  </si>
  <si>
    <t>-35.5Ni</t>
  </si>
  <si>
    <t>-2.2Cr</t>
  </si>
  <si>
    <t>3-4Liu, P., Huang, H., Antonov, S., Wen, C., Xue, D., Chen, H., Li, L., Feng, Q., Omori, T., &amp; Su, Y. (2020). Machine learning assisted design of γ′-strengthened Co-base superalloys with multi-performance optimization. Npj Computational Materials, 6(1). https://doi.org/10.1038/s41524-020-0334-5</t>
  </si>
  <si>
    <t>Co-30.0Ni-10.Al-2.0Ta-5.0V</t>
  </si>
  <si>
    <t>Liu, X., Cai, W., Chen, Z., Chen, Y., Chen, X., Yang, S., Lu, Y., Han, J., &amp; Wang, C. (2022). Effects of alloying additions on the microstructure, lattice misfit, and solvus temperature of a novel Co–Ni-based superalloy. Intermetallics, 141. https://doi.org/10.1016/j.intermet.2021.107431</t>
  </si>
  <si>
    <t>baseLiu, X., Cai, W., Chen, Z., Chen, Y., Chen, X., Yang, S., Lu, Y., Han, J., &amp; Wang, C. (2022). Effects of alloying additions on the microstructure, lattice misfit, and solvus temperature of a novel Co–Ni-based superalloy. Intermetallics, 141. https://doi.org/10.1016/j.intermet.2021.107431</t>
  </si>
  <si>
    <t>Co-30.0Ni-10.Al-2.0Ti-2.0Ta-5.0V</t>
  </si>
  <si>
    <t>2TiLiu, X., Cai, W., Chen, Z., Chen, Y., Chen, X., Yang, S., Lu, Y., Han, J., &amp; Wang, C. (2022). Effects of alloying additions on the microstructure, lattice misfit, and solvus temperature of a novel Co–Ni-based superalloy. Intermetallics, 141. https://doi.org/10.1016/j.intermet.2021.107431</t>
  </si>
  <si>
    <t>Co-30.0Ni-10.Al-2.0Ta-2.0Nb-5.0V</t>
  </si>
  <si>
    <t>2NbLiu, X., Cai, W., Chen, Z., Chen, Y., Chen, X., Yang, S., Lu, Y., Han, J., &amp; Wang, C. (2022). Effects of alloying additions on the microstructure, lattice misfit, and solvus temperature of a novel Co–Ni-based superalloy. Intermetallics, 141. https://doi.org/10.1016/j.intermet.2021.107431</t>
  </si>
  <si>
    <t>Co-30.0Ni-10.Al-2.0Ta-5.0V-2.0Mo</t>
  </si>
  <si>
    <t>2MoLiu, X., Cai, W., Chen, Z., Chen, Y., Chen, X., Yang, S., Lu, Y., Han, J., &amp; Wang, C. (2022). Effects of alloying additions on the microstructure, lattice misfit, and solvus temperature of a novel Co–Ni-based superalloy. Intermetallics, 141. https://doi.org/10.1016/j.intermet.2021.107431</t>
  </si>
  <si>
    <t>Co-30.0Ni-10.Al-2.0W-2.0Ta-5.0V</t>
  </si>
  <si>
    <t>2WLiu, X., Cai, W., Chen, Z., Chen, Y., Chen, X., Yang, S., Lu, Y., Han, J., &amp; Wang, C. (2022). Effects of alloying additions on the microstructure, lattice misfit, and solvus temperature of a novel Co–Ni-based superalloy. Intermetallics, 141. https://doi.org/10.1016/j.intermet.2021.107431</t>
  </si>
  <si>
    <t>Co-74.9Ni-4.9Al-14.9Cr-5.3Ti</t>
  </si>
  <si>
    <t>0Co</t>
  </si>
  <si>
    <t>Llewelyn, S. C. H., Owen, L. R., Playford, H. Y., Jones, N. G., Dye, D., Hardy, M. C., &amp; Stone, H. J. (2023). Influence of Ni:Co ratio and temperature on the lattice misfit of γ-γ’ Ni-Co-Al-Ti-Cr alloys. Journal of Alloys and Compounds, 937. https://doi.org/10.1016/j.jallcom.2022.168253</t>
  </si>
  <si>
    <t>-14.9Cr</t>
  </si>
  <si>
    <t>0CoLlewelyn, S. C. H., Owen, L. R., Playford, H. Y., Jones, N. G., Dye, D., Hardy, M. C., &amp; Stone, H. J. (2023). Influence of Ni:Co ratio and temperature on the lattice misfit of γ-γ’ Ni-Co-Al-Ti-Cr alloys. Journal of Alloys and Compounds, 937. https://doi.org/10.1016/j.jallcom.2022.168253</t>
  </si>
  <si>
    <t>Co-65.2Ni-5.1Al-14.9Cr-5.2Ti</t>
  </si>
  <si>
    <t>9Co</t>
  </si>
  <si>
    <t>-5.1Al</t>
  </si>
  <si>
    <t>-65.2Ni</t>
  </si>
  <si>
    <t>9CoLlewelyn, S. C. H., Owen, L. R., Playford, H. Y., Jones, N. G., Dye, D., Hardy, M. C., &amp; Stone, H. J. (2023). Influence of Ni:Co ratio and temperature on the lattice misfit of γ-γ’ Ni-Co-Al-Ti-Cr alloys. Journal of Alloys and Compounds, 937. https://doi.org/10.1016/j.jallcom.2022.168253</t>
  </si>
  <si>
    <t>Co-56.2Ni-5.1Al-14.8Cr-5.3Ti</t>
  </si>
  <si>
    <t>19Co</t>
  </si>
  <si>
    <t>-56.2Ni</t>
  </si>
  <si>
    <t>19CoLlewelyn, S. C. H., Owen, L. R., Playford, H. Y., Jones, N. G., Dye, D., Hardy, M. C., &amp; Stone, H. J. (2023). Influence of Ni:Co ratio and temperature on the lattice misfit of γ-γ’ Ni-Co-Al-Ti-Cr alloys. Journal of Alloys and Compounds, 937. https://doi.org/10.1016/j.jallcom.2022.168253</t>
  </si>
  <si>
    <t>Co-47.2Ni-5.Al-14.8Cr-5.2Ti</t>
  </si>
  <si>
    <t>28Co</t>
  </si>
  <si>
    <t>-47.2Ni</t>
  </si>
  <si>
    <t>28CoLlewelyn, S. C. H., Owen, L. R., Playford, H. Y., Jones, N. G., Dye, D., Hardy, M. C., &amp; Stone, H. J. (2023). Influence of Ni:Co ratio and temperature on the lattice misfit of γ-γ’ Ni-Co-Al-Ti-Cr alloys. Journal of Alloys and Compounds, 937. https://doi.org/10.1016/j.jallcom.2022.168253</t>
  </si>
  <si>
    <t>Co-37.7Ni-5.Al-15.0Cr-5.1Ti</t>
  </si>
  <si>
    <t>38Co</t>
  </si>
  <si>
    <t>-37.7Ni</t>
  </si>
  <si>
    <t>38CoLlewelyn, S. C. H., Owen, L. R., Playford, H. Y., Jones, N. G., Dye, D., Hardy, M. C., &amp; Stone, H. J. (2023). Influence of Ni:Co ratio and temperature on the lattice misfit of γ-γ’ Ni-Co-Al-Ti-Cr alloys. Journal of Alloys and Compounds, 937. https://doi.org/10.1016/j.jallcom.2022.168253</t>
  </si>
  <si>
    <t>Co-28.4Ni-5.Al-15.0Cr-5.2Ti</t>
  </si>
  <si>
    <t>-28.4Ni</t>
  </si>
  <si>
    <t>47CoLlewelyn, S. C. H., Owen, L. R., Playford, H. Y., Jones, N. G., Dye, D., Hardy, M. C., &amp; Stone, H. J. (2023). Influence of Ni:Co ratio and temperature on the lattice misfit of γ-γ’ Ni-Co-Al-Ti-Cr alloys. Journal of Alloys and Compounds, 937. https://doi.org/10.1016/j.jallcom.2022.168253</t>
  </si>
  <si>
    <t>Co-18.5Ni-4.9Al-15.1Cr-5.2Ti</t>
  </si>
  <si>
    <t>-18.5Ni</t>
  </si>
  <si>
    <t>56CoLlewelyn, S. C. H., Owen, L. R., Playford, H. Y., Jones, N. G., Dye, D., Hardy, M. C., &amp; Stone, H. J. (2023). Influence of Ni:Co ratio and temperature on the lattice misfit of γ-γ’ Ni-Co-Al-Ti-Cr alloys. Journal of Alloys and Compounds, 937. https://doi.org/10.1016/j.jallcom.2022.168253</t>
  </si>
  <si>
    <t>Co-30.0Ni-11.7Al-5.5W-4.1Ti-2.5Ta-0.08B</t>
  </si>
  <si>
    <t>L26</t>
  </si>
  <si>
    <t>Long, F. R., Baik, S. I., Chung, D. W., Xue, F., Lass, E. A., Seidman, D. N., &amp; Dunand, D. C. (2020). Microstructure and creep performance of a multicomponent co-based L12–ordered intermetallic alloy. Acta Materialia, 196, 396–408. https://doi.org/10.1016/j.actamat.2020.06.050</t>
  </si>
  <si>
    <t>L26Long, F. R., Baik, S. I., Chung, D. W., Xue, F., Lass, E. A., Seidman, D. N., &amp; Dunand, D. C. (2020). Microstructure and creep performance of a multicomponent co-based L12–ordered intermetallic alloy. Acta Materialia, 196, 396–408. https://doi.org/10.1016/j.actamat.2020.06.050</t>
  </si>
  <si>
    <t>5Co</t>
  </si>
  <si>
    <t>Lu, S., Luo, Z., Li, L., &amp; Feng, Q. (2022). Comparison of Creep Mechanisms Between Co-Al-W- and CoNi-Based Single Crystal Superalloys at Low Temperature and High Stresses. Metallurgical and Materials Transactions A: Physical Metallurgy and Materials Science. https://doi.org/10.1007/s11661-022-06892-y</t>
  </si>
  <si>
    <t>5CoLu, S., Luo, Z., Li, L., &amp; Feng, Q. (2022). Comparison of Creep Mechanisms Between Co-Al-W- and CoNi-Based Single Crystal Superalloys at Low Temperature and High Stresses. Metallurgical and Materials Transactions A: Physical Metallurgy and Materials Science. https://doi.org/10.1007/s11661-022-06892-y</t>
  </si>
  <si>
    <t>Co-30.0Ni-11.Al-5.0Cr-4.0W-4.0Ti-1.0Ta</t>
  </si>
  <si>
    <t>7CoNi</t>
  </si>
  <si>
    <t>7CoNiLu, S., Luo, Z., Li, L., &amp; Feng, Q. (2022). Comparison of Creep Mechanisms Between Co-Al-W- and CoNi-Based Single Crystal Superalloys at Low Temperature and High Stresses. Metallurgical and Materials Transactions A: Physical Metallurgy and Materials Science. https://doi.org/10.1007/s11661-022-06892-y</t>
  </si>
  <si>
    <t>Co-30.0Ni-7.Al-2.0Ti-2.0Nb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</si>
  <si>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https://doi.org/10.1016/j.scriptamat.2022.115105</t>
  </si>
  <si>
    <t>2TiMazumder, N., Kumar, D., Singh, M. P., Makineni, S. K., Mukhopadhyay, N. K., &amp; Chattopadhyay, K. (2023). Synergistic effect of multimodal γ’ precipitates tuned through Ti addition on phase stability and strength of Co-Ni based superalloy. Scripta Materialia, 223. https://doi.org/10.1016/j.scriptamat.2022.115105</t>
  </si>
  <si>
    <t>Co-30.0Ni-7.Al-4.0Ti-2.0Nb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</si>
  <si>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https://doi.org/10.1016/j.scriptamat.2022.115106</t>
  </si>
  <si>
    <t>4TiMazumder, N., Kumar, D., Singh, M. P., Makineni, S. K., Mukhopadhyay, N. K., &amp; Chattopadhyay, K. (2023). Synergistic effect of multimodal γ’ precipitates tuned through Ti addition on phase stability and strength of Co-Ni based superalloy. Scripta Materialia, 223. https://doi.org/10.1016/j.scriptamat.2022.115106</t>
  </si>
  <si>
    <t>Co-30.0Ni-7.Al-6.0Ti-2.0Nb</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</si>
  <si>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https://doi.org/10.1016/j.scriptamat.2022.115107</t>
  </si>
  <si>
    <t>-6.0Ti</t>
  </si>
  <si>
    <t>6TiMazumder, N., Kumar, D., Singh, M. P., Makineni, S. K., Mukhopadhyay, N. K., &amp; Chattopadhyay, K. (2023). Synergistic effect of multimodal γ’ precipitates tuned through Ti addition on phase stability and strength of Co-Ni based superalloy. Scripta Materialia, 223. https://doi.org/10.1016/j.scriptamat.2022.115107</t>
  </si>
  <si>
    <t>Co-30.2Ni-9.1Al-2.3Nb-5.5Mo-2.1Ru</t>
  </si>
  <si>
    <t>2Nb2Ru</t>
  </si>
  <si>
    <t>Pandey, P., Sawant, A., Baler, N., Makineni, S. K., &amp; Chattopadhyay, K. (2022). Effect of Ru addition on γ/γ′ microstructural stability in a low-density CoNi based superalloy. Scripta Materialia, 208. https://doi.org/10.1016/j.scriptamat.2021.114318</t>
  </si>
  <si>
    <t>2Nb2RuPandey, P., Sawant, A., Baler, N., Makineni, S. K., &amp; Chattopadhyay, K. (2022). Effect of Ru addition on γ/γ′ microstructural stability in a low-density CoNi based superalloy. Scripta Materialia, 208. https://doi.org/10.1016/j.scriptamat.2021.114318</t>
  </si>
  <si>
    <t>Co-29.9Ni-7.3Al-2.0Cr-2.5Ti</t>
  </si>
  <si>
    <t>Shang, H., Ma, Q., Gao, Q., Zhang, H., Li, H., Zhang, H., &amp; Sun, L. (2022). Yield strength anomaly evaluation of W-free Co-Ni-Al-based superalloys during high temperature tensile tests. Materials Characterization, 192. https://doi.org/10.1016/j.matchar.2022.112242</t>
  </si>
  <si>
    <t>2CrShang, H., Ma, Q., Gao, Q., Zhang, H., Li, H., Zhang, H., &amp; Sun, L. (2022). Yield strength anomaly evaluation of W-free Co-Ni-Al-based superalloys during high temperature tensile tests. Materials Characterization, 192. https://doi.org/10.1016/j.matchar.2022.112242</t>
  </si>
  <si>
    <t>Co-29.2Ni-7.5Al-2.5Ti-2.0Mo</t>
  </si>
  <si>
    <t>Shang, H., Ma, Q., Gao, Q., Zhang, H., Li, H., Zhang, H., &amp; Sun, L. (2022). Yield strength anomaly evaluation of W-free Co-Ni-Al-based superalloys during high temperature tensile tests. Materials Characterization, 192. https://doi.org/10.1016/j.matchar.2022.112243</t>
  </si>
  <si>
    <t>2MoShang, H., Ma, Q., Gao, Q., Zhang, H., Li, H., Zhang, H., &amp; Sun, L. (2022). Yield strength anomaly evaluation of W-free Co-Ni-Al-based superalloys during high temperature tensile tests. Materials Characterization, 192. https://doi.org/10.1016/j.matchar.2022.112243</t>
  </si>
  <si>
    <t>Co-30.3Ni-9.7Al-1.9Ti-2.1Ta-5.3Mo</t>
  </si>
  <si>
    <t>0B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</si>
  <si>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https://doi.org/10.1016/j.msea.2022.143899</t>
  </si>
  <si>
    <t>0BSharma,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https://doi.org/10.1016/j.msea.2022.143899</t>
  </si>
  <si>
    <t>Co-30.2Ni-10.1Al-2.1Ti-2.1Ta-5.1Mo-0.02B</t>
  </si>
  <si>
    <t>0.02B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</si>
  <si>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https://doi.org/10.1016/j.msea.2022.143900</t>
  </si>
  <si>
    <t>0.02BSharma,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https://doi.org/10.1016/j.msea.2022.143900</t>
  </si>
  <si>
    <t>Co-30.1Ni-9.1Al-2.2Ti-2.5Ta-5.2Mo-0.04B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</si>
  <si>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https://doi.org/10.1016/j.msea.2022.143901</t>
  </si>
  <si>
    <t>0.04BSharma,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https://doi.org/10.1016/j.msea.2022.143901</t>
  </si>
  <si>
    <t>Co-31.4Ni-10.2Al-2.1Ti-2.2Ta-5.4Mo-0.08B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</si>
  <si>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https://doi.org/10.1016/j.msea.2022.143902</t>
  </si>
  <si>
    <t>-31.4Ni</t>
  </si>
  <si>
    <t>-5.4Mo</t>
  </si>
  <si>
    <t>0.08BSharma,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https://doi.org/10.1016/j.msea.2022.143902</t>
  </si>
  <si>
    <t>Co-29.7Ni-9.5Al-1.8Ti-1.9Ta-5.1Mo-0.18B</t>
  </si>
  <si>
    <t>0.2B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</si>
  <si>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https://doi.org/10.1016/j.msea.2022.143903</t>
  </si>
  <si>
    <t>-0.18B</t>
  </si>
  <si>
    <t>0.2BSharma,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https://doi.org/10.1016/j.msea.2022.143903</t>
  </si>
  <si>
    <t>Co-30.4Ni-9.8Al-2.1Ti-2.1Ta-4.9Mo-0.37B</t>
  </si>
  <si>
    <t>0.4B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</si>
  <si>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https://doi.org/10.1016/j.msea.2022.143904</t>
  </si>
  <si>
    <t>-0.37B</t>
  </si>
  <si>
    <t>0.4BSharma,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https://doi.org/10.1016/j.msea.2022.143904</t>
  </si>
  <si>
    <t>Co-31.2Ni-10.4Al-2.1Ti-2.2Ta-5.3Mo-0.78B</t>
  </si>
  <si>
    <t>0.8B</t>
  </si>
  <si>
    <t>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https://doi.org/10.1016/j.msea.2022.143905</t>
  </si>
  <si>
    <t>-0.78B</t>
  </si>
  <si>
    <t>0.8BSharma, A., Dixit, S., Baler, N., Agrawal, P., Makineni, S. K., &amp; Chattopadhyay, K. (2022). Impact of boron as an alloying addition on the microstructure, thermo-physical properties and creep resistance of a tungsten-free Co-base γ/γ′ superalloy. Materials Science and Engineering A, 855. https://doi.org/10.1016/j.msea.2022.143905</t>
  </si>
  <si>
    <t>Co-30.1Ni-9.1Al-2.2Ti-2.5Ta-5.2Mo-0.40C</t>
  </si>
  <si>
    <t>DS cast alloy</t>
  </si>
  <si>
    <t>Sharma, A., Mondal, C., Makineni, S. K., Chattopadhyay, K., &amp; Banerjee, D. (2022). Exploring the correlation between microscopic mechanisms and macroscopic behaviour in creep of a directionally solidified tungsten-free γ/γ′ CoNi-base superalloy. Acta Materialia, 228. https://doi.org/10.1016/j.actamat.2022.117738</t>
  </si>
  <si>
    <t>DS cast alloySharma, A., Mondal, C., Makineni, S. K., Chattopadhyay, K., &amp; Banerjee, D. (2022). Exploring the correlation between microscopic mechanisms and macroscopic behaviour in creep of a directionally solidified tungsten-free γ/γ′ CoNi-base superalloy. Acta Materialia, 228. https://doi.org/10.1016/j.actamat.2022.117738</t>
  </si>
  <si>
    <t>Co-10.1Al-2.1Nb-1.0V-3.8Mo</t>
  </si>
  <si>
    <t>4Mo1V</t>
  </si>
  <si>
    <t>Singh, M. P., Makineni, S. K., &amp; Chattopadhyay, K. (2020). Achieving lower mass density with high strength in Nb stabilised γ/γ′ Co–Al–Mo–Nb base superalloy by the replacement of Mo with V. Materials Science and Engineering A, 794. https://doi.org/10.1016/j.msea.2020.139826</t>
  </si>
  <si>
    <t>-1.0V</t>
  </si>
  <si>
    <t>4Mo1VSingh, M. P., Makineni, S. K., &amp; Chattopadhyay, K. (2020). Achieving lower mass density with high strength in Nb stabilised γ/γ′ Co–Al–Mo–Nb base superalloy by the replacement of Mo with V. Materials Science and Engineering A, 794. https://doi.org/10.1016/j.msea.2020.139826</t>
  </si>
  <si>
    <t>Co-9.3Al-1.9Nb-2.1V-2.9Mo</t>
  </si>
  <si>
    <t>3Mo2V</t>
  </si>
  <si>
    <t>Singh, M. P., Makineni, S. K., &amp; Chattopadhyay, K. (2020). Achieving lower mass density with high strength in Nb stabilised γ/γ′ Co–Al–Mo–Nb base superalloy by the replacement of Mo with V. Materials Science and Engineering A, 794. https://doi.org/10.1016/j.msea.2020.139827</t>
  </si>
  <si>
    <t>3Mo2VSingh, M. P., Makineni, S. K., &amp; Chattopadhyay, K. (2020). Achieving lower mass density with high strength in Nb stabilised γ/γ′ Co–Al–Mo–Nb base superalloy by the replacement of Mo with V. Materials Science and Engineering A, 794. https://doi.org/10.1016/j.msea.2020.139827</t>
  </si>
  <si>
    <t>Co-9.8Al-2.0Nb-2.9V-2.0Mo</t>
  </si>
  <si>
    <t>2Mo3V</t>
  </si>
  <si>
    <t>Singh, M. P., Makineni, S. K., &amp; Chattopadhyay, K. (2020). Achieving lower mass density with high strength in Nb stabilised γ/γ′ Co–Al–Mo–Nb base superalloy by the replacement of Mo with V. Materials Science and Engineering A, 794. https://doi.org/10.1016/j.msea.2020.139828</t>
  </si>
  <si>
    <t>-2.9V</t>
  </si>
  <si>
    <t>2Mo3VSingh, M. P., Makineni, S. K., &amp; Chattopadhyay, K. (2020). Achieving lower mass density with high strength in Nb stabilised γ/γ′ Co–Al–Mo–Nb base superalloy by the replacement of Mo with V. Materials Science and Engineering A, 794. https://doi.org/10.1016/j.msea.2020.139828</t>
  </si>
  <si>
    <t>Co-9.7Al-1.9Nb-3.9V-1.1Mo</t>
  </si>
  <si>
    <t>1Mo4V</t>
  </si>
  <si>
    <t>Singh, M. P., Makineni, S. K., &amp; Chattopadhyay, K. (2020). Achieving lower mass density with high strength in Nb stabilised γ/γ′ Co–Al–Mo–Nb base superalloy by the replacement of Mo with V. Materials Science and Engineering A, 794. https://doi.org/10.1016/j.msea.2020.139829</t>
  </si>
  <si>
    <t>-3.9V</t>
  </si>
  <si>
    <t>1Mo4VSingh, M. P., Makineni, S. K., &amp; Chattopadhyay, K. (2020). Achieving lower mass density with high strength in Nb stabilised γ/γ′ Co–Al–Mo–Nb base superalloy by the replacement of Mo with V. Materials Science and Engineering A, 794. https://doi.org/10.1016/j.msea.2020.139829</t>
  </si>
  <si>
    <t>Co-9.8Al-2.0Nb-5.3V</t>
  </si>
  <si>
    <t>0Mo5V</t>
  </si>
  <si>
    <t>Singh, M. P., Makineni, S. K., &amp; Chattopadhyay, K. (2020). Achieving lower mass density with high strength in Nb stabilised γ/γ′ Co–Al–Mo–Nb base superalloy by the replacement of Mo with V. Materials Science and Engineering A, 794. https://doi.org/10.1016/j.msea.2020.139830</t>
  </si>
  <si>
    <t>-5.3V</t>
  </si>
  <si>
    <t>0Mo5VSingh, M. P., Makineni, S. K., &amp; Chattopadhyay, K. (2020). Achieving lower mass density with high strength in Nb stabilised γ/γ′ Co–Al–Mo–Nb base superalloy by the replacement of Mo with V. Materials Science and Engineering A, 794. https://doi.org/10.1016/j.msea.2020.139830</t>
  </si>
  <si>
    <t>Co-30.0Ni-9.8Al-2.0Nb-5.3V</t>
  </si>
  <si>
    <t>30Ni0Mo5V</t>
  </si>
  <si>
    <t>Singh, M. P., Makineni, S. K., &amp; Chattopadhyay, K. (2020). Achieving lower mass density with high strength in Nb stabilised γ/γ′ Co–Al–Mo–Nb base superalloy by the replacement of Mo with V. Materials Science and Engineering A, 794. https://doi.org/10.1016/j.msea.2020.139831</t>
  </si>
  <si>
    <t>30Ni0Mo5VSingh, M. P., Makineni, S. K., &amp; Chattopadhyay, K. (2020). Achieving lower mass density with high strength in Nb stabilised γ/γ′ Co–Al–Mo–Nb base superalloy by the replacement of Mo with V. Materials Science and Engineering A, 794. https://doi.org/10.1016/j.msea.2020.139831</t>
  </si>
  <si>
    <t>Co-9.8Al-7.4W-2.7Ti-0.40C-0.10B</t>
  </si>
  <si>
    <t>Co-Al-W superalloy</t>
  </si>
  <si>
    <t>Vafaeenezhad, H., Aliakbari-Sani, S., Seyedein, S. H., Ghosh, A., &amp; Eivani, A. R. (2022). Flow behavior and strain rate sensitivity assessment of γand γ’ phases in Co-Al-W-based superalloy using experimental and computational approaches. Journal of Materials Research and Technology, 18, 4617–4630. https://doi.org/10.1016/j.jmrt.2022.03.166</t>
  </si>
  <si>
    <t>Co-Al-W superalloyVafaeenezhad, H., Aliakbari-Sani, S., Seyedein, S. H., Ghosh, A., &amp; Eivani, A. R. (2022). Flow behavior and strain rate sensitivity assessment of γand γ’ phases in Co-Al-W-based superalloy using experimental and computational approaches. Journal of Materials Research and Technology, 18, 4617–4630. https://doi.org/10.1016/j.jmrt.2022.03.166</t>
  </si>
  <si>
    <t>Co-14 As Cast</t>
  </si>
  <si>
    <t>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t>
  </si>
  <si>
    <t>Co-14 As CastVerma,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t>
  </si>
  <si>
    <t>Co-10.2Ti-6.2V</t>
  </si>
  <si>
    <t>Co-10-6 homogenized</t>
  </si>
  <si>
    <t>-6.2V</t>
  </si>
  <si>
    <t>-10.2Ti</t>
  </si>
  <si>
    <t>Co-10-6 homogenizedVerma,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t>
  </si>
  <si>
    <t>Co-6.3Ti-11.4V</t>
  </si>
  <si>
    <t>Co-6-11 homogenized</t>
  </si>
  <si>
    <t>-11.4V</t>
  </si>
  <si>
    <t>-6.3Ti</t>
  </si>
  <si>
    <t>Co-6-11 homogenizedVerma, S. K., Pramanik, A., Jyothsna, K., Vamsi, K. v., &amp; Karthikeyan, S. (2022). Phase Transformation Temperatures, γ–γ′ Lattice Parameter Misfit, and γ′ Precipitate Morphology in Co–Ti–V Alloys. Metallurgical and Materials Transactions A: Physical Metallurgy and Materials Science, 53(11), 4011–4022. https://doi.org/10.1007/s11661-022-06806-y</t>
  </si>
  <si>
    <t>Co-75.0Ni-9.Al-8.0Cr-8.0W</t>
  </si>
  <si>
    <t>NC0</t>
  </si>
  <si>
    <t>Volz, N., Zenk, C. H., Karpstein, N., Lenz, M., Spiecker, E., Göken, M., &amp; Neumeier, S. (2022). Creep properties and deformation mechanisms of single-crystalline γ′-strengthened superalloys in dependence of the Co/Ni ratio. Philosophical Magazine, 102(8), 718–744. https://doi.org/10.1080/14786435.2021.2017051</t>
  </si>
  <si>
    <t>-75.0Ni</t>
  </si>
  <si>
    <t>NC0Volz, N., Zenk, C. H., Karpstein, N., Lenz, M., Spiecker, E., Göken, M., &amp; Neumeier, S. (2022). Creep properties and deformation mechanisms of single-crystalline γ′-strengthened superalloys in dependence of the Co/Ni ratio. Philosophical Magazine, 102(8), 718–744. https://doi.org/10.1080/14786435.2021.2017051</t>
  </si>
  <si>
    <t>Co-56.3Ni-9.Al-8.0Cr-8.0W</t>
  </si>
  <si>
    <t>NC25</t>
  </si>
  <si>
    <t>Volz, N., Zenk, C. H., Karpstein, N., Lenz, M., Spiecker, E., Göken, M., &amp; Neumeier, S. (2022). Creep properties and deformation mechanisms of single-crystalline γ′-strengthened superalloys in dependence of the Co/Ni ratio. Philosophical Magazine, 102(8), 718–744. https://doi.org/10.1080/14786435.2021.2017052</t>
  </si>
  <si>
    <t>-56.3Ni</t>
  </si>
  <si>
    <t>NC25Volz, N., Zenk, C. H., Karpstein, N., Lenz, M., Spiecker, E., Göken, M., &amp; Neumeier, S. (2022). Creep properties and deformation mechanisms of single-crystalline γ′-strengthened superalloys in dependence of the Co/Ni ratio. Philosophical Magazine, 102(8), 718–744. https://doi.org/10.1080/14786435.2021.2017052</t>
  </si>
  <si>
    <t>Co-37.5Ni-9.Al-8.0Cr-8.0W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</si>
  <si>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https://doi.org/10.1080/14786435.2021.2017053</t>
  </si>
  <si>
    <t>NC50Volz, N., Zenk, C. H., Karpstein, N., Lenz, M., Spiecker, E., Göken, M., &amp; Neumeier, S. (2022). Creep properties and deformation mechanisms of single-crystalline γ′-strengthened superalloys in dependence of the Co/Ni ratio. Philosophical Magazine, 102(8), 718–744. https://doi.org/10.1080/14786435.2021.2017053</t>
  </si>
  <si>
    <t>Co-18.8Ni-9.Al-8.0Cr-8.0W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</si>
  <si>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https://doi.org/10.1080/14786435.2021.2017054</t>
  </si>
  <si>
    <t>NC75Volz, N., Zenk, C. H., Karpstein, N., Lenz, M., Spiecker, E., Göken, M., &amp; Neumeier, S. (2022). Creep properties and deformation mechanisms of single-crystalline γ′-strengthened superalloys in dependence of the Co/Ni ratio. Philosophical Magazine, 102(8), 718–744. https://doi.org/10.1080/14786435.2021.2017054</t>
  </si>
  <si>
    <t>Co-9.Al-8.0Cr-8.0W</t>
  </si>
  <si>
    <t>Volz, N., Zenk, C. H., Karpstein, N., Lenz, M., Spiecker, E., Göken, M., &amp; Neumeier, S. (2022). Creep properties and deformation mechanisms of single-crystalline γ′-strengthened superalloys in dependence of the Co/Ni ratio. Philosophical Magazine, 102(8), 718–744. https://doi.org/10.1080/14786435.2021.2017055</t>
  </si>
  <si>
    <t>NC100Volz, N., Zenk, C. H., Karpstein, N., Lenz, M., Spiecker, E., Göken, M., &amp; Neumeier, S. (2022). Creep properties and deformation mechanisms of single-crystalline γ′-strengthened superalloys in dependence of the Co/Ni ratio. Philosophical Magazine, 102(8), 718–744. https://doi.org/10.1080/14786435.2021.2017055</t>
  </si>
  <si>
    <t>Co-34.0Ni-10.5Al-15.0Cr-3.0W-1.0Ta-0.15C-0.04Zr-0.20B</t>
  </si>
  <si>
    <t>Vorontsov, V. A., McAuliffe, T. P., Hardy, M. C., Dye, D., &amp; Bantounas, I. (2022). Precipitate dissolution during deformation induced twin thickening in a CoNi-base superalloy subject to creep. Acta Materialia, 232. https://doi.org/10.1016/j.actamat.2022.117936</t>
  </si>
  <si>
    <t>-0.20B</t>
  </si>
  <si>
    <t>V208CVorontsov, V. A., McAuliffe, T. P., Hardy, M. C., Dye, D., &amp; Bantounas, I. (2022). Precipitate dissolution during deformation induced twin thickening in a CoNi-base superalloy subject to creep. Acta Materialia, 232. https://doi.org/10.1016/j.actamat.2022.117936</t>
  </si>
  <si>
    <t>Co-36.1Ni-13.1Al-7.6Cr-3.0W-3.9Ti-0.1Mo</t>
  </si>
  <si>
    <t>ERBOCo-5</t>
  </si>
  <si>
    <t>Wahlmann, B., Bandorf, J., Volz, N., Förner, A., Pröbstle, J., Multerer, K., Göken, M., Markl, M., Neumeier, S., &amp; Körner, C. (2022). Numerical Design of CoNi-Base Superalloys With Improved Casting Structure. Metallurgical and Materials Transactions A. https://doi.org/10.1007/s11661-022-06870-4</t>
  </si>
  <si>
    <t>-7.6Cr</t>
  </si>
  <si>
    <t>-0.1Mo</t>
  </si>
  <si>
    <t>ERBOCo-5Wahlmann, B., Bandorf, J., Volz, N., Förner, A., Pröbstle, J., Multerer, K., Göken, M., Markl, M., Neumeier, S., &amp; Körner, C. (2022). Numerical Design of CoNi-Base Superalloys With Improved Casting Structure. Metallurgical and Materials Transactions A. https://doi.org/10.1007/s11661-022-06870-4</t>
  </si>
  <si>
    <t>Co-37.3Ni-9.6Al-7.6Cr-2.1W-0.8Ti-5.9Mo</t>
  </si>
  <si>
    <t>ERBOCo-6</t>
  </si>
  <si>
    <t>Wahlmann, B., Bandorf, J., Volz, N., Förner, A., Pröbstle, J., Multerer, K., Göken, M., Markl, M., Neumeier, S., &amp; Körner, C. (2022). Numerical Design of CoNi-Base Superalloys With Improved Casting Structure. Metallurgical and Materials Transactions A. https://doi.org/10.1007/s11661-022-06870-5</t>
  </si>
  <si>
    <t>-0.8Ti</t>
  </si>
  <si>
    <t>-5.9Mo</t>
  </si>
  <si>
    <t>ERBOCo-6Wahlmann, B., Bandorf, J., Volz, N., Förner, A., Pröbstle, J., Multerer, K., Göken, M., Markl, M., Neumeier, S., &amp; Körner, C. (2022). Numerical Design of CoNi-Base Superalloys With Improved Casting Structure. Metallurgical and Materials Transactions A. https://doi.org/10.1007/s11661-022-06870-5</t>
  </si>
  <si>
    <t>Co-38.3Ni-8.1Al-7.6Cr-2.6W-6.9Mo</t>
  </si>
  <si>
    <t>ERBOCo-7</t>
  </si>
  <si>
    <t>Wahlmann, B., Bandorf, J., Volz, N., Förner, A., Pröbstle, J., Multerer, K., Göken, M., Markl, M., Neumeier, S., &amp; Körner, C. (2022). Numerical Design of CoNi-Base Superalloys With Improved Casting Structure. Metallurgical and Materials Transactions A. https://doi.org/10.1007/s11661-022-06870-6</t>
  </si>
  <si>
    <t>-38.3Ni</t>
  </si>
  <si>
    <t>-6.9Mo</t>
  </si>
  <si>
    <t>ERBOCo-7Wahlmann, B., Bandorf, J., Volz, N., Förner, A., Pröbstle, J., Multerer, K., Göken, M., Markl, M., Neumeier, S., &amp; Körner, C. (2022). Numerical Design of CoNi-Base Superalloys With Improved Casting Structure. Metallurgical and Materials Transactions A. https://doi.org/10.1007/s11661-022-06870-6</t>
  </si>
  <si>
    <t>Co-16.8Ni-9.7Al-6.3Cr-5.3W-2.9Ta</t>
  </si>
  <si>
    <t>Base metal</t>
  </si>
  <si>
    <t>Wang, S. Y., Hou, X. Y., Cheng, Y., Sun, Y., Yang, Y. H., Li, J. G., Zhang, H. W., &amp; Zhou, Y. Z. (2022). Effect of temperature on the tensile deformation behavior and fracture mechanism of a transient liquid-phase bonding joint of γ′-strengthened Co-based single-crystal superalloy. Journal of Materials Science, 57(25), 12012–12033. https://doi.org/10.1007/s10853-022-07351-0</t>
  </si>
  <si>
    <t>-16.8Ni</t>
  </si>
  <si>
    <t>-2.9Ta</t>
  </si>
  <si>
    <t>Base metalWang, S. Y., Hou, X. Y., Cheng, Y., Sun, Y., Yang, Y. H., Li, J. G., Zhang, H. W., &amp; Zhou, Y. Z. (2022). Effect of temperature on the tensile deformation behavior and fracture mechanism of a transient liquid-phase bonding joint of γ′-strengthened Co-based single-crystal superalloy. Journal of Materials Science, 57(25), 12012–12033. https://doi.org/10.1007/s10853-022-07351-0</t>
  </si>
  <si>
    <t>Co-51.0Ni-6.3Al-11.1Cr-0.6W-5.0Ti-0.5Nb-1.5Mo</t>
  </si>
  <si>
    <t>Xiao alloy</t>
  </si>
  <si>
    <t>Xiao, Z., He, J., Gu, J., Gan, B., Yu, H., Bi, Z., Du, J., &amp; Song, M. (2022). Tensile properties and deformation mechanisms of a new Ni–Co base superalloy from room temperature up to 750 °C. Intermetallics, 150. https://doi.org/10.1016/j.intermet.2022.107697</t>
  </si>
  <si>
    <t>-0.6W</t>
  </si>
  <si>
    <t>-51.0Ni</t>
  </si>
  <si>
    <t>-5.0Ti</t>
  </si>
  <si>
    <t>Xiao alloyXiao, Z., He, J., Gu, J., Gan, B., Yu, H., Bi, Z., Du, J., &amp; Song, M. (2022). Tensile properties and deformation mechanisms of a new Ni–Co base superalloy from room temperature up to 750 °C. Intermetallics, 150. https://doi.org/10.1016/j.intermet.2022.107697</t>
  </si>
  <si>
    <t>Co-8.7Al-10.1W</t>
  </si>
  <si>
    <t>Xu, Y., Lv, X., Ma, T., Li, H., &amp; Wang, T. (2022). Effect of Ta and Ni on γ′ phase morphology and compression behavior of Co-8.8Al-9.8W superalloys. Materials Science and Engineering A, 839. https://doi.org/10.1016/j.msea.2022.142739</t>
  </si>
  <si>
    <t>Co-8.8Al-9.8WXu, Y., Lv, X., Ma, T., Li, H., &amp; Wang, T. (2022). Effect of Ta and Ni on γ′ phase morphology and compression behavior of Co-8.8Al-9.8W superalloys. Materials Science and Engineering A, 839. https://doi.org/10.1016/j.msea.2022.142739</t>
  </si>
  <si>
    <t>Co-8.6Al-10.1W-2.1Ta</t>
  </si>
  <si>
    <t>2TaXu, Y., Lv, X., Ma, T., Li, H., &amp; Wang, T. (2022). Effect of Ta and Ni on γ′ phase morphology and compression behavior of Co-8.8Al-9.8W superalloys. Materials Science and Engineering A, 839. https://doi.org/10.1016/j.msea.2022.142739</t>
  </si>
  <si>
    <t>Co-2.3Ni-8.8Al-10.5W</t>
  </si>
  <si>
    <t>2Ni</t>
  </si>
  <si>
    <t>-10.5W</t>
  </si>
  <si>
    <t>-2.3Ni</t>
  </si>
  <si>
    <t>2NiXu, Y., Lv, X., Ma, T., Li, H., &amp; Wang, T. (2022). Effect of Ta and Ni on γ′ phase morphology and compression behavior of Co-8.8Al-9.8W superalloys. Materials Science and Engineering A, 839. https://doi.org/10.1016/j.msea.2022.142739</t>
  </si>
  <si>
    <t>Co-35.3Ni-10.6Al-5.3Cr-2.0W-1.0Ti-3.4Ta-1.0V-1.9Mo</t>
  </si>
  <si>
    <t>Xu, H., Zhang, Y., Fu, H., Xue, F., Zhou, X., &amp; Xie, J. (2022). Effects of boron or carbon on solidification behavior of Co-Ni-Al-W-based superalloys. Journal of Alloys and Compounds, 891. https://doi.org/10.1016/j.jallcom.2021.161965</t>
  </si>
  <si>
    <t>-3.4Ta</t>
  </si>
  <si>
    <t>-1.9Mo</t>
  </si>
  <si>
    <t>BaseXu, H., Zhang, Y., Fu, H., Xue, F., Zhou, X., &amp; Xie, J. (2022). Effects of boron or carbon on solidification behavior of Co-Ni-Al-W-based superalloys. Journal of Alloys and Compounds, 891. https://doi.org/10.1016/j.jallcom.2021.161965</t>
  </si>
  <si>
    <t>Co-36.0Ni-10.1Al-5.2Cr-2.0W-1.0Ti-3.5Ta-0.9V-1.9Mo-0.05B</t>
  </si>
  <si>
    <t>Xu, H., Zhang, Y., Fu, H., Xue, F., Zhou, X., &amp; Xie, J. (2022). Effects of boron or carbon on solidification behavior of Co-Ni-Al-W-based superalloys. Journal of Alloys and Compounds, 891. https://doi.org/10.1016/j.jallcom.2021.161966</t>
  </si>
  <si>
    <t>-0.9V</t>
  </si>
  <si>
    <t>B1Xu, H., Zhang, Y., Fu, H., Xue, F., Zhou, X., &amp; Xie, J. (2022). Effects of boron or carbon on solidification behavior of Co-Ni-Al-W-based superalloys. Journal of Alloys and Compounds, 891. https://doi.org/10.1016/j.jallcom.2021.161966</t>
  </si>
  <si>
    <t>Co-35.9Ni-10.1Al-5.2Cr-1.9W-1.1Ti-3.4Ta-0.9V-1.9Mo-0.08B</t>
  </si>
  <si>
    <t>Xu, H., Zhang, Y., Fu, H., Xue, F., Zhou, X., &amp; Xie, J. (2022). Effects of boron or carbon on solidification behavior of Co-Ni-Al-W-based superalloys. Journal of Alloys and Compounds, 891. https://doi.org/10.1016/j.jallcom.2021.161967</t>
  </si>
  <si>
    <t>-35.9Ni</t>
  </si>
  <si>
    <t>-1.1Ti</t>
  </si>
  <si>
    <t>B2Xu, H., Zhang, Y., Fu, H., Xue, F., Zhou, X., &amp; Xie, J. (2022). Effects of boron or carbon on solidification behavior of Co-Ni-Al-W-based superalloys. Journal of Alloys and Compounds, 891. https://doi.org/10.1016/j.jallcom.2021.161967</t>
  </si>
  <si>
    <t>Co-35.0Ni-10.5Al-5.3Cr-1.9W-1.0Ti-3.6Ta-0.9V-1.9Mo-0.27B</t>
  </si>
  <si>
    <t>Xu, H., Zhang, Y., Fu, H., Xue, F., Zhou, X., &amp; Xie, J. (2022). Effects of boron or carbon on solidification behavior of Co-Ni-Al-W-based superalloys. Journal of Alloys and Compounds, 891. https://doi.org/10.1016/j.jallcom.2021.161968</t>
  </si>
  <si>
    <t>-0.27B</t>
  </si>
  <si>
    <t>B3Xu, H., Zhang, Y., Fu, H., Xue, F., Zhou, X., &amp; Xie, J. (2022). Effects of boron or carbon on solidification behavior of Co-Ni-Al-W-based superalloys. Journal of Alloys and Compounds, 891. https://doi.org/10.1016/j.jallcom.2021.161968</t>
  </si>
  <si>
    <t>Co-35.6Ni-10.2Al-5.4Cr-2.0W-0.9Ti-3.5Ta-1.0V-1.9Mo-0.54B</t>
  </si>
  <si>
    <t>Xu, H., Zhang, Y., Fu, H., Xue, F., Zhou, X., &amp; Xie, J. (2022). Effects of boron or carbon on solidification behavior of Co-Ni-Al-W-based superalloys. Journal of Alloys and Compounds, 891. https://doi.org/10.1016/j.jallcom.2021.161969</t>
  </si>
  <si>
    <t>-5.4Cr</t>
  </si>
  <si>
    <t>-0.9Ti</t>
  </si>
  <si>
    <t>-0.54B</t>
  </si>
  <si>
    <t>B4Xu, H., Zhang, Y., Fu, H., Xue, F., Zhou, X., &amp; Xie, J. (2022). Effects of boron or carbon on solidification behavior of Co-Ni-Al-W-based superalloys. Journal of Alloys and Compounds, 891. https://doi.org/10.1016/j.jallcom.2021.161969</t>
  </si>
  <si>
    <t>Co-37.0Ni-10.2Al-4.9Cr-1.8W-1.0Ti-3.4Ta-0.9V-1.8Mo-0.05Zr</t>
  </si>
  <si>
    <t>C1</t>
  </si>
  <si>
    <t>Xu, H., Zhang, Y., Fu, H., Xue, F., Zhou, X., &amp; Xie, J. (2022). Effects of boron or carbon on solidification behavior of Co-Ni-Al-W-based superalloys. Journal of Alloys and Compounds, 891. https://doi.org/10.1016/j.jallcom.2021.161970</t>
  </si>
  <si>
    <t>-37.0Ni</t>
  </si>
  <si>
    <t>C1Xu, H., Zhang, Y., Fu, H., Xue, F., Zhou, X., &amp; Xie, J. (2022). Effects of boron or carbon on solidification behavior of Co-Ni-Al-W-based superalloys. Journal of Alloys and Compounds, 891. https://doi.org/10.1016/j.jallcom.2021.161970</t>
  </si>
  <si>
    <t>Co-36.5Ni-10.4Al-4.8Cr-1.8W-1.0Ti-3.4Ta-1.0V-1.7Mo-0.09Zr</t>
  </si>
  <si>
    <t>C2</t>
  </si>
  <si>
    <t>Xu, H., Zhang, Y., Fu, H., Xue, F., Zhou, X., &amp; Xie, J. (2022). Effects of boron or carbon on solidification behavior of Co-Ni-Al-W-based superalloys. Journal of Alloys and Compounds, 891. https://doi.org/10.1016/j.jallcom.2021.161971</t>
  </si>
  <si>
    <t>-36.5Ni</t>
  </si>
  <si>
    <t>-1.7Mo</t>
  </si>
  <si>
    <t>-0.09Zr</t>
  </si>
  <si>
    <t>C2Xu, H., Zhang, Y., Fu, H., Xue, F., Zhou, X., &amp; Xie, J. (2022). Effects of boron or carbon on solidification behavior of Co-Ni-Al-W-based superalloys. Journal of Alloys and Compounds, 891. https://doi.org/10.1016/j.jallcom.2021.161971</t>
  </si>
  <si>
    <t>Co-36.7Ni-10.1Al-5.1Cr-1.9W-1.0Ti-3.2Ta-0.9V-1.9Mo-0.21Zr</t>
  </si>
  <si>
    <t>C3</t>
  </si>
  <si>
    <t>Xu, H., Zhang, Y., Fu, H., Xue, F., Zhou, X., &amp; Xie, J. (2022). Effects of boron or carbon on solidification behavior of Co-Ni-Al-W-based superalloys. Journal of Alloys and Compounds, 891. https://doi.org/10.1016/j.jallcom.2021.161972</t>
  </si>
  <si>
    <t>-5.1Cr</t>
  </si>
  <si>
    <t>-0.21Zr</t>
  </si>
  <si>
    <t>C3Xu, H., Zhang, Y., Fu, H., Xue, F., Zhou, X., &amp; Xie, J. (2022). Effects of boron or carbon on solidification behavior of Co-Ni-Al-W-based superalloys. Journal of Alloys and Compounds, 891. https://doi.org/10.1016/j.jallcom.2021.161972</t>
  </si>
  <si>
    <t>Co-37.0Ni-10.2Al-4.9Cr-1.8W-1.0Ti-3.4Ta-0.9V-1.8Mo-0.48Zr</t>
  </si>
  <si>
    <t>C4</t>
  </si>
  <si>
    <t>Xu, H., Zhang, Y., Fu, H., Xue, F., Zhou, X., &amp; Xie, J. (2022). Effects of boron or carbon on solidification behavior of Co-Ni-Al-W-based superalloys. Journal of Alloys and Compounds, 891. https://doi.org/10.1016/j.jallcom.2021.161973</t>
  </si>
  <si>
    <t>-0.48Zr</t>
  </si>
  <si>
    <t>C4Xu, H., Zhang, Y., Fu, H., Xue, F., Zhou, X., &amp; Xie, J. (2022). Effects of boron or carbon on solidification behavior of Co-Ni-Al-W-based superalloys. Journal of Alloys and Compounds, 891. https://doi.org/10.1016/j.jallcom.2021.161973</t>
  </si>
  <si>
    <t>ERBOCo-2Ta (SX)</t>
  </si>
  <si>
    <t>Xue, F., Zenk, C. H., Freund, L. P., Neumeier, S., &amp; Göken, M. (2021). Understanding raft formation and precipitate shearing during double minimum creep in a γ′-strengthened single crystalline Co-base superalloy. Philosophical Magazine, 101(3), 326–353. https://doi.org/10.1080/14786435.2020.1836415</t>
  </si>
  <si>
    <t>ERBOCo-2Ta (SX)Xue, F., Zenk, C. H., Freund, L. P., Neumeier, S., &amp; Göken, M. (2021). Understanding raft formation and precipitate shearing during double minimum creep in a γ′-strengthened single crystalline Co-base superalloy. Philosophical Magazine, 101(3), 326–353. https://doi.org/10.1080/14786435.2020.1836415</t>
  </si>
  <si>
    <t>0Nd</t>
  </si>
  <si>
    <t>Xu, Y., Ma, T., Lv, X., Li, H., &amp; Yang, Y. (2022). Effect of Rare Earth Nd on the Microstructure and Compression Behavior of Co-8.8Al-9.8 W Alloy. Journal of Materials Engineering and Performance. https://doi.org/10.1007/s11665-022-07317-y</t>
  </si>
  <si>
    <t>0NdXu, Y., Ma, T., Lv, X., Li, H., &amp; Yang, Y. (2022). Effect of Rare Earth Nd on the Microstructure and Compression Behavior of Co-8.8Al-9.8 W Alloy. Journal of Materials Engineering and Performance. https://doi.org/10.1007/s11665-022-07317-y</t>
  </si>
  <si>
    <t>Co-8.8Al-9.8W-0.5Nd</t>
  </si>
  <si>
    <t>0.5Nd</t>
  </si>
  <si>
    <t>-0.5Nd</t>
  </si>
  <si>
    <t>0.5NdXu, Y., Ma, T., Lv, X., Li, H., &amp; Yang, Y. (2022). Effect of Rare Earth Nd on the Microstructure and Compression Behavior of Co-8.8Al-9.8 W Alloy. Journal of Materials Engineering and Performance. https://doi.org/10.1007/s11665-022-07317-y</t>
  </si>
  <si>
    <t>Co-8.6Al-9.5W-2.9Nd</t>
  </si>
  <si>
    <t>3Nd</t>
  </si>
  <si>
    <t>-2.9Nd</t>
  </si>
  <si>
    <t>3NdXu, Y., Ma, T., Lv, X., Li, H., &amp; Yang, Y. (2022). Effect of Rare Earth Nd on the Microstructure and Compression Behavior of Co-8.8Al-9.8 W Alloy. Journal of Materials Engineering and Performance. https://doi.org/10.1007/s11665-022-07317-y</t>
  </si>
  <si>
    <t>Co-12.Al-7.6W</t>
  </si>
  <si>
    <t>Co-12Al-8W</t>
  </si>
  <si>
    <t>Yoo, B., Jung, C., Ryou, K., Choi, W. S., Haußmann, L., Yang, S., Boll, T., Neumeier, S., &amp; Choi, P.-P. (2022). Directed energy deposition of γ/γ’ Co-Al-W superalloys. Additive Manufacturing, 60, 103287. https://doi.org/10.1016/j.addma.2022.103287</t>
  </si>
  <si>
    <t>Co-12Al-8WYoo, B., Jung, C., Ryou, K., Choi, W. S., Haußmann, L., Yang, S., Boll, T., Neumeier, S., &amp; Choi, P.-P. (2022). Directed energy deposition of γ/γ’ Co-Al-W superalloys. Additive Manufacturing, 60, 103287. https://doi.org/10.1016/j.addma.2022.103287</t>
  </si>
  <si>
    <t>Co-6.7Al-9.5W</t>
  </si>
  <si>
    <t>Co-7Al-8W</t>
  </si>
  <si>
    <t>Co-7Al-8WYoo, B., Jung, C., Ryou, K., Choi, W. S., Haußmann, L., Yang, S., Boll, T., Neumeier, S., &amp; Choi, P.-P. (2022). Directed energy deposition of γ/γ’ Co-Al-W superalloys. Additive Manufacturing, 60, 103287. https://doi.org/10.1016/j.addma.2022.103287</t>
  </si>
  <si>
    <t>Co-32.0Ni-8.Al-8.0Cr-5.0W-2.5Ti-1.5Ta-0.4Si-0.1Hf</t>
  </si>
  <si>
    <t>ERBOCo-1 (SX)</t>
  </si>
  <si>
    <t>Zenk, C. C. H., Volz, N., Zenk, C. C. H., Felfer, P. J., &amp; Neumeier, S. (2020). Impact of the Co/Ni-ratio on microstructure, thermophysical properties and creep performance of multi-component γ′-strengthened superalloys. Crystals, 10(11), 1–12. https://doi.org/10.3390/cryst10111058</t>
  </si>
  <si>
    <t>ERBOCo-1 (SX)Zenk, C. C. H., Volz, N., Zenk, C. C. H., Felfer, P. J., &amp; Neumeier, S. (2020). Impact of the Co/Ni-ratio on microstructure, thermophysical properties and creep performance of multi-component γ′-strengthened superalloys. Crystals, 10(11), 1–12. https://doi.org/10.3390/cryst10111058</t>
  </si>
  <si>
    <t>Co-44.5Ni-8.Al-8.0Cr-5.0W-2.5Ti-1.5Ta-0.4Si-0.1Hf</t>
  </si>
  <si>
    <t>ERBOCo-1X (SX)</t>
  </si>
  <si>
    <t>Zenk, C. C. H., Volz, N., Zenk, C. C. H., Felfer, P. J., &amp; Neumeier, S. (2020). Impact of the Co/Ni-ratio on microstructure, thermophysical properties and creep performance of multi-component γ′-strengthened superalloys. Crystals, 10(11), 1–12. https://doi.org/10.3390/cryst10111059</t>
  </si>
  <si>
    <t>-44.5Ni</t>
  </si>
  <si>
    <t>ERBOCo-1X (SX)Zenk, C. C. H., Volz, N., Zenk, C. C. H., Felfer, P. J., &amp; Neumeier, S. (2020). Impact of the Co/Ni-ratio on microstructure, thermophysical properties and creep performance of multi-component γ′-strengthened superalloys. Crystals, 10(11), 1–12. https://doi.org/10.3390/cryst10111059</t>
  </si>
  <si>
    <t>Co-30.0Ni-8.Al-12.0Cr-3.0W-3.0Ti-1.0Ta</t>
  </si>
  <si>
    <t>Zhuang, X., Antonov, S., Li, W., Lu, S., Li, L., &amp; Feng, Q. (2022). Alloying effects and effective alloy design of high-Cr CoNi-based superalloys via a high-throughput experiments and machine learning framework. Acta Materialia, 118525. https://doi.org/10.1016/j.actamat.2022.118525</t>
  </si>
  <si>
    <t>BaseZhuang, X., Antonov, S., Li, W., Lu, S., Li, L., &amp; Feng, Q. (2022). Alloying effects and effective alloy design of high-Cr CoNi-based superalloys via a high-throughput experiments and machine learning framework. Acta Materialia, 118525. https://doi.org/10.1016/j.actamat.2022.118525</t>
  </si>
  <si>
    <t>Co-40.0Ni-8.Al-12.0Cr-3.0W-3.0Ti-1.0Ta</t>
  </si>
  <si>
    <t>+10Ni</t>
  </si>
  <si>
    <t>Zhuang, X., Antonov, S., Li, W., Lu, S., Li, L., &amp; Feng, Q. (2022). Alloying effects and effective alloy design of high-Cr CoNi-based superalloys via a high-throughput experiments and machine learning framework. Acta Materialia, 118525. https://doi.org/10.1016/j.actamat.2022.118526</t>
  </si>
  <si>
    <t>+10NiZhuang, X., Antonov, S., Li, W., Lu, S., Li, L., &amp; Feng, Q. (2022). Alloying effects and effective alloy design of high-Cr CoNi-based superalloys via a high-throughput experiments and machine learning framework. Acta Materialia, 118525. https://doi.org/10.1016/j.actamat.2022.118526</t>
  </si>
  <si>
    <t>Co-20.0Ni-8.Al-12.0Cr-3.0W-3.0Ti-1.0Ta</t>
  </si>
  <si>
    <t>-10Ni</t>
  </si>
  <si>
    <t>Zhuang, X., Antonov, S., Li, W., Lu, S., Li, L., &amp; Feng, Q. (2022). Alloying effects and effective alloy design of high-Cr CoNi-based superalloys via a high-throughput experiments and machine learning framework. Acta Materialia, 118525. https://doi.org/10.1016/j.actamat.2022.118527</t>
  </si>
  <si>
    <t>-10NiZhuang, X., Antonov, S., Li, W., Lu, S., Li, L., &amp; Feng, Q. (2022). Alloying effects and effective alloy design of high-Cr CoNi-based superalloys via a high-throughput experiments and machine learning framework. Acta Materialia, 118525. https://doi.org/10.1016/j.actamat.2022.118527</t>
  </si>
  <si>
    <t>Co-30.0Ni-10.Al-12.0Cr-3.0W-3.0Ti-1.0Ta</t>
  </si>
  <si>
    <t>+2Al</t>
  </si>
  <si>
    <t>Zhuang, X., Antonov, S., Li, W., Lu, S., Li, L., &amp; Feng, Q. (2022). Alloying effects and effective alloy design of high-Cr CoNi-based superalloys via a high-throughput experiments and machine learning framework. Acta Materialia, 118525. https://doi.org/10.1016/j.actamat.2022.118528</t>
  </si>
  <si>
    <t>+2AlZhuang, X., Antonov, S., Li, W., Lu, S., Li, L., &amp; Feng, Q. (2022). Alloying effects and effective alloy design of high-Cr CoNi-based superalloys via a high-throughput experiments and machine learning framework. Acta Materialia, 118525. https://doi.org/10.1016/j.actamat.2022.118528</t>
  </si>
  <si>
    <t>Co-30.0Ni-8.Al-16.0Cr-3.0W-3.0Ti-1.0Ta</t>
  </si>
  <si>
    <t>Zhuang, X., Antonov, S., Li, W., Lu, S., Li, L., &amp; Feng, Q. (2022). Alloying effects and effective alloy design of high-Cr CoNi-based superalloys via a high-throughput experiments and machine learning framework. Acta Materialia, 118525. https://doi.org/10.1016/j.actamat.2022.118529</t>
  </si>
  <si>
    <t>-16.0Cr</t>
  </si>
  <si>
    <t>+4CrZhuang, X., Antonov, S., Li, W., Lu, S., Li, L., &amp; Feng, Q. (2022). Alloying effects and effective alloy design of high-Cr CoNi-based superalloys via a high-throughput experiments and machine learning framework. Acta Materialia, 118525. https://doi.org/10.1016/j.actamat.2022.118529</t>
  </si>
  <si>
    <t>Co-30.0Ni-8.Al-12.0Cr-3.0W-6.0Ti-1.0Ta</t>
  </si>
  <si>
    <t>+3Ti</t>
  </si>
  <si>
    <t>Zhuang, X., Antonov, S., Li, W., Lu, S., Li, L., &amp; Feng, Q. (2022). Alloying effects and effective alloy design of high-Cr CoNi-based superalloys via a high-throughput experiments and machine learning framework. Acta Materialia, 118525. https://doi.org/10.1016/j.actamat.2022.118530</t>
  </si>
  <si>
    <t>+3TiZhuang, X., Antonov, S., Li, W., Lu, S., Li, L., &amp; Feng, Q. (2022). Alloying effects and effective alloy design of high-Cr CoNi-based superalloys via a high-throughput experiments and machine learning framework. Acta Materialia, 118525. https://doi.org/10.1016/j.actamat.2022.118530</t>
  </si>
  <si>
    <t>Co-30.0Ni-8.Al-12.0Cr-3.0W-3.0Ti-3.0Ta</t>
  </si>
  <si>
    <t>+2Ta</t>
  </si>
  <si>
    <t>Zhuang, X., Antonov, S., Li, W., Lu, S., Li, L., &amp; Feng, Q. (2022). Alloying effects and effective alloy design of high-Cr CoNi-based superalloys via a high-throughput experiments and machine learning framework. Acta Materialia, 118525. https://doi.org/10.1016/j.actamat.2022.118531</t>
  </si>
  <si>
    <t>-3.0Ta</t>
  </si>
  <si>
    <t>+2TaZhuang, X., Antonov, S., Li, W., Lu, S., Li, L., &amp; Feng, Q. (2022). Alloying effects and effective alloy design of high-Cr CoNi-based superalloys via a high-throughput experiments and machine learning framework. Acta Materialia, 118525. https://doi.org/10.1016/j.actamat.2022.118531</t>
  </si>
  <si>
    <t>Co-30.0Ni-8.Al-12.0Cr-3.0W-3.0Ti-1.0Ta-2.0Nb</t>
  </si>
  <si>
    <t>+2Nb</t>
  </si>
  <si>
    <t>Zhuang, X., Antonov, S., Li, W., Lu, S., Li, L., &amp; Feng, Q. (2022). Alloying effects and effective alloy design of high-Cr CoNi-based superalloys via a high-throughput experiments and machine learning framework. Acta Materialia, 118525. https://doi.org/10.1016/j.actamat.2022.118532</t>
  </si>
  <si>
    <t>+2NbZhuang, X., Antonov, S., Li, W., Lu, S., Li, L., &amp; Feng, Q. (2022). Alloying effects and effective alloy design of high-Cr CoNi-based superalloys via a high-throughput experiments and machine learning framework. Acta Materialia, 118525. https://doi.org/10.1016/j.actamat.2022.118532</t>
  </si>
  <si>
    <t>Co-30.0Ni-8.Al-12.0Cr-3.0W-1.0Ti-1.0Ta-2.0Nb</t>
  </si>
  <si>
    <t>+2Nb-2Ti</t>
  </si>
  <si>
    <t>Zhuang, X., Antonov, S., Li, W., Lu, S., Li, L., &amp; Feng, Q. (2022). Alloying effects and effective alloy design of high-Cr CoNi-based superalloys via a high-throughput experiments and machine learning framework. Acta Materialia, 118525. https://doi.org/10.1016/j.actamat.2022.118533</t>
  </si>
  <si>
    <t>+2Nb-2TiZhuang, X., Antonov, S., Li, W., Lu, S., Li, L., &amp; Feng, Q. (2022). Alloying effects and effective alloy design of high-Cr CoNi-based superalloys via a high-throughput experiments and machine learning framework. Acta Materialia, 118525. https://doi.org/10.1016/j.actamat.2022.118533</t>
  </si>
  <si>
    <t>Co-30.0Ni-8.Al-12.0Cr-3.0W-3.0Ti-1.0Ta-3.0Mo</t>
  </si>
  <si>
    <t>+3Mo</t>
  </si>
  <si>
    <t>Zhuang, X., Antonov, S., Li, W., Lu, S., Li, L., &amp; Feng, Q. (2022). Alloying effects and effective alloy design of high-Cr CoNi-based superalloys via a high-throughput experiments and machine learning framework. Acta Materialia, 118525. https://doi.org/10.1016/j.actamat.2022.118534</t>
  </si>
  <si>
    <t>+3MoZhuang, X., Antonov, S., Li, W., Lu, S., Li, L., &amp; Feng, Q. (2022). Alloying effects and effective alloy design of high-Cr CoNi-based superalloys via a high-throughput experiments and machine learning framework. Acta Materialia, 118525. https://doi.org/10.1016/j.actamat.2022.118534</t>
  </si>
  <si>
    <t>Co-30.0Ni-8.Al-12.0Cr-3.0Ti-1.0Ta-3.0Mo</t>
  </si>
  <si>
    <t>+3Mo-3W</t>
  </si>
  <si>
    <t>Zhuang, X., Antonov, S., Li, W., Lu, S., Li, L., &amp; Feng, Q. (2022). Alloying effects and effective alloy design of high-Cr CoNi-based superalloys via a high-throughput experiments and machine learning framework. Acta Materialia, 118525. https://doi.org/10.1016/j.actamat.2022.118535</t>
  </si>
  <si>
    <t>+3Mo-3WZhuang, X., Antonov, S., Li, W., Lu, S., Li, L., &amp; Feng, Q. (2022). Alloying effects and effective alloy design of high-Cr CoNi-based superalloys via a high-throughput experiments and machine learning framework. Acta Materialia, 118525. https://doi.org/10.1016/j.actamat.2022.118535</t>
  </si>
  <si>
    <t>Co-33.8Ni-8.7Al-13.5Cr-2.1W-1.0Ti-0.9Ta-0.3Nb-2.1Mo</t>
  </si>
  <si>
    <t>Zhuang, X., Antonov, S., Li, W., Lu, S., Li, L., &amp; Feng, Q. (2022). Alloying effects and effective alloy design of high-Cr CoNi-based superalloys via a high-throughput experiments and machine learning framework. Acta Materialia, 118525. https://doi.org/10.1016/j.actamat.2022.118536</t>
  </si>
  <si>
    <t>-33.8Ni</t>
  </si>
  <si>
    <t>-13.5Cr</t>
  </si>
  <si>
    <t>-0.3Nb</t>
  </si>
  <si>
    <t>A1Zhuang, X., Antonov, S., Li, W., Lu, S., Li, L., &amp; Feng, Q. (2022). Alloying effects and effective alloy design of high-Cr CoNi-based superalloys via a high-throughput experiments and machine learning framework. Acta Materialia, 118525. https://doi.org/10.1016/j.actamat.2022.118536</t>
  </si>
  <si>
    <t>Co-30.0Ni-8.2Al-14.2Cr-2.0W-2.7Ti-1.3Ta-0.9Nb</t>
  </si>
  <si>
    <t>Zhuang, X., Antonov, S., Li, W., Lu, S., Li, L., &amp; Feng, Q. (2022). Alloying effects and effective alloy design of high-Cr CoNi-based superalloys via a high-throughput experiments and machine learning framework. Acta Materialia, 118525. https://doi.org/10.1016/j.actamat.2022.118537</t>
  </si>
  <si>
    <t>A2Zhuang, X., Antonov, S., Li, W., Lu, S., Li, L., &amp; Feng, Q. (2022). Alloying effects and effective alloy design of high-Cr CoNi-based superalloys via a high-throughput experiments and machine learning framework. Acta Materialia, 118525. https://doi.org/10.1016/j.actamat.2022.118537</t>
  </si>
  <si>
    <t>Co-17.5Ni-12.4Fe-5.4Al-4.2Cr-2.0Ti-1.5Ta-1.4Nb-3.1V-0.08B</t>
  </si>
  <si>
    <t>12Fe4Cr</t>
  </si>
  <si>
    <t>Ohl, Fe</t>
  </si>
  <si>
    <t>-3.1V</t>
  </si>
  <si>
    <t>-12.4Fe</t>
  </si>
  <si>
    <t>12Fe4CrOhl, Fe</t>
  </si>
  <si>
    <t>Co-15.5Ni-14.3Fe-5.6Al-4.2Cr-2.1Ti-1.5Ta-1.5Nb-3.1V-0.08B</t>
  </si>
  <si>
    <t>14Fe4Cr</t>
  </si>
  <si>
    <t>-15.5Ni</t>
  </si>
  <si>
    <t>-14.3Fe</t>
  </si>
  <si>
    <t>14Fe4CrOhl, Fe</t>
  </si>
  <si>
    <t>Co-11.8Ni-18.3Fe-5.5Al-4.1Cr-2.1Ti-1.5Ta-1.5Nb-3.1V-0.08B</t>
  </si>
  <si>
    <t>18Fe4Cr</t>
  </si>
  <si>
    <t>-11.8Ni</t>
  </si>
  <si>
    <t>-18.3Fe</t>
  </si>
  <si>
    <t>18Fe4CrOhl, Fe</t>
  </si>
  <si>
    <t>Co-17.4Ni-12.2Fe-5.4Al-8.3Cr-2.1Ti-1.6Ta-1.5Nb-3.1V-0.08B</t>
  </si>
  <si>
    <t>12Fe8Cr</t>
  </si>
  <si>
    <t>-17.4Ni</t>
  </si>
  <si>
    <t>-8.3Cr</t>
  </si>
  <si>
    <t>-12.2Fe</t>
  </si>
  <si>
    <t>12Fe8CrOhl, Fe</t>
  </si>
  <si>
    <t>Co-15.6Ni-14.2Fe-5.4Al-8.3Cr-2.1Ti-1.5Ta-1.5Nb-3.1V-0.08B</t>
  </si>
  <si>
    <t>14Fe8Cr</t>
  </si>
  <si>
    <t>-15.6Ni</t>
  </si>
  <si>
    <t>-14.2Fe</t>
  </si>
  <si>
    <t>14Fe8CrOhl, Fe</t>
  </si>
  <si>
    <t>Co-11.8Ni-18.3Fe-5.5Al-8.3Cr-2.0Ti-1.4Ta-1.4Nb-3.1V-0.08B</t>
  </si>
  <si>
    <t>18Fe8Cr</t>
  </si>
  <si>
    <t>18Fe8CrOhl, Fe</t>
  </si>
  <si>
    <t>Co-10.0Ni-5.Al-6.0Ti-3.0Nb-3.0V-0.04B</t>
  </si>
  <si>
    <t>3 (6Ti-0Cr)</t>
  </si>
  <si>
    <t>Reyes Tirado, F. L., Taylor, S. v., &amp; Dunand, D. C. (2020). Low-density, W-free Co–Nb–V–Al-based superalloys with γ/γ’ microstructure. Materials Science and Engineering A, 796. https://doi.org/10.1016/j.msea.2020.139977</t>
  </si>
  <si>
    <t>-3.0V</t>
  </si>
  <si>
    <t>3 (6Ti-0Cr)Reyes Tirado, F. L., Taylor, S. v., &amp; Dunand, D. C. (2020). Low-density, W-free Co–Nb–V–Al-based superalloys with γ/γ’ microstructure. Materials Science and Engineering A, 796. https://doi.org/10.1016/j.msea.2020.139977</t>
  </si>
  <si>
    <t>Co-10.0Ni-5.Al-4.0Cr-6.0Ti-3.0Nb-3.0V-0.04B</t>
  </si>
  <si>
    <t>4 (6Ti-4Cr)</t>
  </si>
  <si>
    <t>Reyes Tirado, F. L., Taylor, S. v., &amp; Dunand, D. C. (2020). Low-density, W-free Co–Nb–V–Al-based superalloys with γ/γ’ microstructure. Materials Science and Engineering A, 796. https://doi.org/10.1016/j.msea.2020.139978</t>
  </si>
  <si>
    <t>4 (6Ti-4Cr)Reyes Tirado, F. L., Taylor, S. v., &amp; Dunand, D. C. (2020). Low-density, W-free Co–Nb–V–Al-based superalloys with γ/γ’ microstructure. Materials Science and Engineering A, 796. https://doi.org/10.1016/j.msea.2020.139978</t>
  </si>
  <si>
    <t>Co-10.0Ni-5.Al-4.0Cr-2.0Ti-3.0Nb-3.0V-0.04B</t>
  </si>
  <si>
    <t>5 (2Ti-4Cr)</t>
  </si>
  <si>
    <t>Reyes Tirado, F. L., Taylor, S. v., &amp; Dunand, D. C. (2020). Low-density, W-free Co–Nb–V–Al-based superalloys with γ/γ’ microstructure. Materials Science and Engineering A, 796. https://doi.org/10.1016/j.msea.2020.139979</t>
  </si>
  <si>
    <t>5 (2Ti-4Cr)Reyes Tirado, F. L., Taylor, S. v., &amp; Dunand, D. C. (2020). Low-density, W-free Co–Nb–V–Al-based superalloys with γ/γ’ microstructure. Materials Science and Engineering A, 796. https://doi.org/10.1016/j.msea.2020.139979</t>
  </si>
  <si>
    <t>Co-10.0Ni-5.Al-8.0Cr-2.0Ti-3.0Nb-3.0V-0.04B</t>
  </si>
  <si>
    <t>6 (2Ti-8Cr)</t>
  </si>
  <si>
    <t>Reyes Tirado, F. L., Taylor, S. v., &amp; Dunand, D. C. (2020). Low-density, W-free Co–Nb–V–Al-based superalloys with γ/γ’ microstructure. Materials Science and Engineering A, 796. https://doi.org/10.1016/j.msea.2020.139980</t>
  </si>
  <si>
    <t>6 (2Ti-8Cr)Reyes Tirado, F. L., Taylor, S. v., &amp; Dunand, D. C. (2020). Low-density, W-free Co–Nb–V–Al-based superalloys with γ/γ’ microstructure. Materials Science and Engineering A, 796. https://doi.org/10.1016/j.msea.2020.139980</t>
  </si>
  <si>
    <t>Co-9.7Ni-5.Al-4.2Cr-2.0Ti-1.6Ta-1.4Nb-3.0V-0.08B</t>
  </si>
  <si>
    <t>10Ni-4Cr</t>
  </si>
  <si>
    <t>Ohl B Dunand D, Effects of Ni and Cr additions on γ + γ’ Microstructure and Mechanical Properties of W-free Co-Al-V-Nb-Ta-based Superalloys, Materials Science &amp; Engineering A, (2022), 849</t>
  </si>
  <si>
    <t>-9.7Ni</t>
  </si>
  <si>
    <t>10Ni-4CrOhl B Dunand D, Effects of Ni and Cr additions on γ + γ’ Microstructure and Mechanical Properties of W-free Co-Al-V-Nb-Ta-based Superalloys, Materials Science &amp; Engineering A, (2022), 849</t>
  </si>
  <si>
    <t>Co-19.4Ni-5.1Al-4.1Cr-2.1Ti-1.6Ta-1.4Nb-3.1V-0.08B</t>
  </si>
  <si>
    <t>20Ni-4Cr</t>
  </si>
  <si>
    <t>Ohl B Dunand D, Effects of Ni and Cr additions on γ + γ’ Microstructure and Mechanical Properties of W-free Co-Al-V-Nb-Ta-based Superalloys, Materials Science &amp; Engineering A, (2022), 850</t>
  </si>
  <si>
    <t>-19.4Ni</t>
  </si>
  <si>
    <t>20Ni-4CrOhl B Dunand D, Effects of Ni and Cr additions on γ + γ’ Microstructure and Mechanical Properties of W-free Co-Al-V-Nb-Ta-based Superalloys, Materials Science &amp; Engineering A, (2022), 850</t>
  </si>
  <si>
    <t>Co-29.4Ni-5.4Al-4.1Cr-2.3Ti-1.7Ta-1.4Nb-3.1V-0.08B</t>
  </si>
  <si>
    <t>30Ni-4Cr</t>
  </si>
  <si>
    <t>Ohl B Dunand D, Effects of Ni and Cr additions on γ + γ’ Microstructure and Mechanical Properties of W-free Co-Al-V-Nb-Ta-based Superalloys, Materials Science &amp; Engineering A, (2022), 851</t>
  </si>
  <si>
    <t>30Ni-4CrOhl B Dunand D, Effects of Ni and Cr additions on γ + γ’ Microstructure and Mechanical Properties of W-free Co-Al-V-Nb-Ta-based Superalloys, Materials Science &amp; Engineering A, (2022), 851</t>
  </si>
  <si>
    <t>Co-9.7Ni-5.Al-8.2Cr-2.1Ti-1.6Ta-1.4Nb-3.0V-0.08B</t>
  </si>
  <si>
    <t>10Ni-8Cr</t>
  </si>
  <si>
    <t>Ohl B Dunand D, Effects of Ni and Cr additions on γ + γ’ Microstructure and Mechanical Properties of W-free Co-Al-V-Nb-Ta-based Superalloys, Materials Science &amp; Engineering A, (2022), 852</t>
  </si>
  <si>
    <t>10Ni-8CrOhl B Dunand D, Effects of Ni and Cr additions on γ + γ’ Microstructure and Mechanical Properties of W-free Co-Al-V-Nb-Ta-based Superalloys, Materials Science &amp; Engineering A, (2022), 852</t>
  </si>
  <si>
    <t>Co-19.5Ni-5.Al-8.3Cr-2.1Ti-1.6Ta-1.4Nb-3.0V-0.08B</t>
  </si>
  <si>
    <t>20Ni-8Cr</t>
  </si>
  <si>
    <t>Ohl B Dunand D, Effects of Ni and Cr additions on γ + γ’ Microstructure and Mechanical Properties of W-free Co-Al-V-Nb-Ta-based Superalloys, Materials Science &amp; Engineering A, (2022), 853</t>
  </si>
  <si>
    <t>20Ni-8CrOhl B Dunand D, Effects of Ni and Cr additions on γ + γ’ Microstructure and Mechanical Properties of W-free Co-Al-V-Nb-Ta-based Superalloys, Materials Science &amp; Engineering A, (2022), 853</t>
  </si>
  <si>
    <t>Co-29.7Ni-5.Al-8.2Cr-2.1Ti-1.7Ta-1.6Nb-3.1V-0.08B</t>
  </si>
  <si>
    <t>30Ni-8Cr</t>
  </si>
  <si>
    <t>Ohl B Dunand D, Effects of Ni and Cr additions on γ + γ’ Microstructure and Mechanical Properties of W-free Co-Al-V-Nb-Ta-based Superalloys, Materials Science &amp; Engineering A, (2022), 854</t>
  </si>
  <si>
    <t>30Ni-8CrOhl B Dunand D, Effects of Ni and Cr additions on γ + γ’ Microstructure and Mechanical Properties of W-free Co-Al-V-Nb-Ta-based Superalloys, Materials Science &amp; Engineering A, (2022), 854</t>
  </si>
  <si>
    <t>Co-29.2Ni-11.1Al-4.2Cr-5.8W</t>
  </si>
  <si>
    <t>0Fe</t>
  </si>
  <si>
    <t>Xue et al., Effects of Fe additions on phase stability, creep properties and oxidation resistance of a CoNi-base superalloy</t>
  </si>
  <si>
    <t>0FeXue et al., Effects of Fe additions on phase stability, creep properties and oxidation resistance of a CoNi-base superalloy</t>
  </si>
  <si>
    <t>Co-29.2Ni-4.1Fe-10.9Al-4.1Cr-5.8W</t>
  </si>
  <si>
    <t>4Fe</t>
  </si>
  <si>
    <t>-4.1Fe</t>
  </si>
  <si>
    <t>4FeXue et al., Effects of Fe additions on phase stability, creep properties and oxidation resistance of a CoNi-base superalloy</t>
  </si>
  <si>
    <t>Co-29.3Ni-8.2Fe-10.8Al-4.1Cr-5.7W</t>
  </si>
  <si>
    <t>8Fe</t>
  </si>
  <si>
    <t>-8.2Fe</t>
  </si>
  <si>
    <t>8FeXue et al., Effects of Fe additions on phase stability, creep properties and oxidation resistance of a CoNi-base superalloy</t>
  </si>
  <si>
    <t>Co-29.3Ni-12.3Fe-10.4Al-4.1Cr-5.7W</t>
  </si>
  <si>
    <t>12Fe</t>
  </si>
  <si>
    <t>-12.3Fe</t>
  </si>
  <si>
    <t>12FeXue et al., Effects of Fe additions on phase stability, creep properties and oxidation resistance of a CoNi-base superalloy</t>
  </si>
  <si>
    <t>Column1</t>
  </si>
  <si>
    <t>Column2</t>
  </si>
  <si>
    <t>Column3</t>
  </si>
  <si>
    <t>Column4</t>
  </si>
  <si>
    <t>Column6</t>
  </si>
  <si>
    <t>Column7</t>
  </si>
  <si>
    <t>Column8</t>
  </si>
  <si>
    <t>Column9</t>
  </si>
  <si>
    <t>Column10</t>
  </si>
  <si>
    <t>Shortname</t>
  </si>
  <si>
    <t>Category</t>
  </si>
  <si>
    <t>AbbName</t>
  </si>
  <si>
    <t>Name</t>
  </si>
  <si>
    <t>Paper</t>
  </si>
  <si>
    <t>Index</t>
  </si>
  <si>
    <t>Ni</t>
  </si>
  <si>
    <t>Al</t>
  </si>
  <si>
    <t>Cr</t>
  </si>
  <si>
    <t>W</t>
  </si>
  <si>
    <t>Ti</t>
  </si>
  <si>
    <t>Ta</t>
  </si>
  <si>
    <t>Nb</t>
  </si>
  <si>
    <t>V</t>
  </si>
  <si>
    <t>Mo</t>
  </si>
  <si>
    <t>C</t>
  </si>
  <si>
    <t>Zr</t>
  </si>
  <si>
    <t>Ir</t>
  </si>
  <si>
    <t>Re</t>
  </si>
  <si>
    <t>Si</t>
  </si>
  <si>
    <t>Fe</t>
  </si>
  <si>
    <t>Y</t>
  </si>
  <si>
    <t>Hf</t>
  </si>
  <si>
    <t>Ge</t>
  </si>
  <si>
    <t>Mn</t>
  </si>
  <si>
    <t>Sc</t>
  </si>
  <si>
    <t>Ru</t>
  </si>
  <si>
    <t>Ce</t>
  </si>
  <si>
    <t>Nd</t>
  </si>
  <si>
    <t>Density (calc) g/cm^3</t>
  </si>
  <si>
    <t>Density (exp)</t>
  </si>
  <si>
    <t>Notes</t>
  </si>
  <si>
    <t>Column5</t>
  </si>
  <si>
    <t>Column11</t>
  </si>
  <si>
    <t>Column12</t>
  </si>
  <si>
    <t>Column13</t>
  </si>
  <si>
    <t>Column14</t>
  </si>
  <si>
    <t>Column15</t>
  </si>
  <si>
    <t>Column16</t>
  </si>
  <si>
    <t>Column17</t>
  </si>
  <si>
    <t>Column18</t>
  </si>
  <si>
    <t>Column19</t>
  </si>
  <si>
    <t>Column20</t>
  </si>
  <si>
    <t>Column21</t>
  </si>
  <si>
    <t>Column22</t>
  </si>
  <si>
    <t>Column23</t>
  </si>
  <si>
    <t>Column24</t>
  </si>
  <si>
    <t>Column242</t>
  </si>
  <si>
    <t>Unique</t>
  </si>
  <si>
    <t>Rename</t>
  </si>
  <si>
    <t>Vlookup Rename</t>
  </si>
  <si>
    <t>Column25</t>
  </si>
  <si>
    <t>Column26</t>
  </si>
  <si>
    <t>Column27</t>
  </si>
  <si>
    <t>Column28</t>
  </si>
  <si>
    <t>Column29</t>
  </si>
  <si>
    <t>Temperature C</t>
  </si>
  <si>
    <t>g' lattice parameter (nm)</t>
  </si>
  <si>
    <t>g lattice parameter</t>
  </si>
  <si>
    <t>misfit</t>
  </si>
  <si>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https://doi.org/10.1002/9781118516430.ch78</t>
    </r>
  </si>
  <si>
    <t>(020) peak</t>
  </si>
  <si>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https://doi.org/10.1002/9781118516430.ch78</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</si>
  <si>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https://doi.org/10.1002/adem.201400267</t>
    </r>
  </si>
  <si>
    <t>(202) peak, aged 200 hrs at 900 C</t>
  </si>
  <si>
    <t>Cartón-Cordero, M. et al. Microstructure and compression strength of Co-based superalloys hardened by γ′ and carbide precipitation. Mater. Sci. Eng. A 734, 437–444 (2018)</t>
  </si>
  <si>
    <t>(111) peak</t>
  </si>
  <si>
    <t>solutionized</t>
  </si>
  <si>
    <t>24hr aged 900C</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</si>
  <si>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https://doi.org/10.1016/j.actamat.2020.02.059</t>
    </r>
  </si>
  <si>
    <t>aged 800C for 48 hr, (111) peak</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</si>
  <si>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https://doi.org/10.1016/j.actamat.2020.02.062</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</si>
  <si>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https://doi.org/10.1016/j.actamat.2020.02.060</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</si>
  <si>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https://doi.org/10.1016/j.actamat.2020.02.061</t>
    </r>
    <r>
      <rPr>
        <sz val="11"/>
        <color theme="1"/>
        <rFont val="Calibri"/>
        <family val="2"/>
        <scheme val="minor"/>
      </rPr>
      <t/>
    </r>
  </si>
  <si>
    <r>
      <t xml:space="preserve">Christofidou, K. A. </t>
    </r>
    <r>
      <rPr>
        <i/>
        <sz val="11"/>
        <color theme="1"/>
        <rFont val="Calibri"/>
        <family val="2"/>
        <scheme val="minor"/>
      </rPr>
      <t>et al.</t>
    </r>
    <r>
      <rPr>
        <sz val="11"/>
        <color theme="1"/>
        <rFont val="Calibri"/>
        <family val="2"/>
        <scheme val="minor"/>
      </rPr>
      <t xml:space="preserve"> The microstructure and hardness of Ni-Co-Al-Ti-Cr quinary alloys. </t>
    </r>
    <r>
      <rPr>
        <i/>
        <sz val="11"/>
        <color theme="1"/>
        <rFont val="Calibri"/>
        <family val="2"/>
        <scheme val="minor"/>
      </rPr>
      <t>J. Alloys Compd.</t>
    </r>
    <r>
      <rPr>
        <sz val="11"/>
        <color theme="1"/>
        <rFont val="Calibri"/>
        <family val="2"/>
        <scheme val="minor"/>
      </rPr>
      <t xml:space="preserve"> (2016) doi:10.1016/j.jallcom.2016.07.159.</t>
    </r>
  </si>
  <si>
    <t>air cooled, just report 50C as "equilibrium aging temp"</t>
  </si>
  <si>
    <t>cuboidal (default) microstructure in (h00)</t>
  </si>
  <si>
    <t>(111), aged 24hr at 1250C</t>
  </si>
  <si>
    <t>(111), aged 48hr at 1300C</t>
  </si>
  <si>
    <t>Aged 650C for 200hr</t>
  </si>
  <si>
    <t>Aged 650C for 100hr</t>
  </si>
  <si>
    <t>Aged 650C for 20hr</t>
  </si>
  <si>
    <t xml:space="preserve"> (004) peak, self-reported misfit</t>
  </si>
  <si>
    <r>
      <t xml:space="preserve">Li, L. </t>
    </r>
    <r>
      <rPr>
        <i/>
        <sz val="11"/>
        <color theme="1"/>
        <rFont val="Calibri"/>
        <family val="2"/>
        <scheme val="minor"/>
      </rPr>
      <t>et al.</t>
    </r>
    <r>
      <rPr>
        <sz val="11"/>
        <color theme="1"/>
        <rFont val="Calibri"/>
        <family val="2"/>
        <scheme val="minor"/>
      </rPr>
      <t xml:space="preserve"> Effect of Re on microstructure and mechanical properties of γ/γʹ Co-Ti-based superalloys.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115</t>
    </r>
    <r>
      <rPr>
        <sz val="11"/>
        <color theme="1"/>
        <rFont val="Calibri"/>
        <family val="2"/>
        <scheme val="minor"/>
      </rPr>
      <t>, (2019).</t>
    </r>
  </si>
  <si>
    <r>
      <t xml:space="preserve">Li, W., Li, L., Antonov, S., Lu, F. &amp; Feng, Q. Effects of Cr and Al/W ratio on the microstructural stability, oxidation property and γ′ phase nano-hardness of multi-component Co–Ni-base superalloys.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826</t>
    </r>
    <r>
      <rPr>
        <sz val="11"/>
        <color theme="1"/>
        <rFont val="Calibri"/>
        <family val="2"/>
        <scheme val="minor"/>
      </rPr>
      <t>, (2020).</t>
    </r>
  </si>
  <si>
    <r>
      <t xml:space="preserve">Li, Y. </t>
    </r>
    <r>
      <rPr>
        <i/>
        <sz val="11"/>
        <color theme="1"/>
        <rFont val="Calibri"/>
        <family val="2"/>
        <scheme val="minor"/>
      </rPr>
      <t>et al.</t>
    </r>
    <r>
      <rPr>
        <sz val="11"/>
        <color theme="1"/>
        <rFont val="Calibri"/>
        <family val="2"/>
        <scheme val="minor"/>
      </rPr>
      <t xml:space="preserve"> Temperature dependence of misfit in different Co–Al–W ternary alloys measured by synchrotron X-ray diffraction.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819</t>
    </r>
    <r>
      <rPr>
        <sz val="11"/>
        <color theme="1"/>
        <rFont val="Calibri"/>
        <family val="2"/>
        <scheme val="minor"/>
      </rPr>
      <t>, (2020).</t>
    </r>
  </si>
  <si>
    <r>
      <t xml:space="preserve">Liu, Q., Coakley, J., Seidman, D. N. &amp; Dunand, D. C. Precipitate Evolution and Creep Behavior of a W-Free Co-based Superalloy.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47</t>
    </r>
    <r>
      <rPr>
        <sz val="11"/>
        <color theme="1"/>
        <rFont val="Calibri"/>
        <family val="2"/>
        <scheme val="minor"/>
      </rPr>
      <t>, 6090–6096 (2016).</t>
    </r>
  </si>
  <si>
    <t>{110} measured</t>
  </si>
  <si>
    <r>
      <t xml:space="preserve">Midtlyng, J. </t>
    </r>
    <r>
      <rPr>
        <i/>
        <sz val="11"/>
        <color theme="1"/>
        <rFont val="Calibri"/>
        <family val="2"/>
        <scheme val="minor"/>
      </rPr>
      <t>et al.</t>
    </r>
    <r>
      <rPr>
        <sz val="11"/>
        <color theme="1"/>
        <rFont val="Calibri"/>
        <family val="2"/>
        <scheme val="minor"/>
      </rPr>
      <t xml:space="preserve"> Creep behavior of a γ′-strengthened Co-base alloy with zero γ/γ′-lattice misfit at 800 °c, 196 MPa.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32</t>
    </r>
    <r>
      <rPr>
        <sz val="11"/>
        <color theme="1"/>
        <rFont val="Calibri"/>
        <family val="2"/>
        <scheme val="minor"/>
      </rPr>
      <t>, 4466–4474 (2017).</t>
    </r>
  </si>
  <si>
    <r>
      <t xml:space="preserve">Minshull, J. P., Neumeier, S., Tucker, M. G. &amp; Stone, H. J. A1-L12 structures in the Al-Co-Ni-Ti quaternary phase system. in </t>
    </r>
    <r>
      <rPr>
        <i/>
        <sz val="11"/>
        <color theme="1"/>
        <rFont val="Calibri"/>
        <family val="2"/>
        <scheme val="minor"/>
      </rPr>
      <t>Advanced Materials Research</t>
    </r>
    <r>
      <rPr>
        <sz val="11"/>
        <color theme="1"/>
        <rFont val="Calibri"/>
        <family val="2"/>
        <scheme val="minor"/>
      </rPr>
      <t xml:space="preserve"> vol. 278 399–404 (2011).</t>
    </r>
  </si>
  <si>
    <t>avg of {200} and {111}</t>
  </si>
  <si>
    <r>
      <t xml:space="preserve">Pandey, P. </t>
    </r>
    <r>
      <rPr>
        <i/>
        <sz val="11"/>
        <color theme="1"/>
        <rFont val="Calibri"/>
        <family val="2"/>
        <scheme val="minor"/>
      </rPr>
      <t>et al.</t>
    </r>
    <r>
      <rPr>
        <sz val="11"/>
        <color theme="1"/>
        <rFont val="Calibri"/>
        <family val="2"/>
        <scheme val="minor"/>
      </rPr>
      <t xml:space="preserve"> Elemental site occupancy in the L12 A3B ordered intermetallic phase in Co-based superalloys and its influence on the microstructure.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163</t>
    </r>
    <r>
      <rPr>
        <sz val="11"/>
        <color theme="1"/>
        <rFont val="Calibri"/>
        <family val="2"/>
        <scheme val="minor"/>
      </rPr>
      <t>, 140–153 (2019).</t>
    </r>
  </si>
  <si>
    <r>
      <t xml:space="preserve">Pandey, P. </t>
    </r>
    <r>
      <rPr>
        <i/>
        <sz val="11"/>
        <color theme="1"/>
        <rFont val="Calibri"/>
        <family val="2"/>
        <scheme val="minor"/>
      </rPr>
      <t>et al.</t>
    </r>
    <r>
      <rPr>
        <sz val="11"/>
        <color theme="1"/>
        <rFont val="Calibri"/>
        <family val="2"/>
        <scheme val="minor"/>
      </rPr>
      <t xml:space="preserve"> On the effect of Re addition on microstructural evolution of a CoNi-based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168</t>
    </r>
    <r>
      <rPr>
        <sz val="11"/>
        <color theme="1"/>
        <rFont val="Calibri"/>
        <family val="2"/>
        <scheme val="minor"/>
      </rPr>
      <t>, 37–51 (2019).</t>
    </r>
  </si>
  <si>
    <r>
      <t xml:space="preserve">Pyczak, F. </t>
    </r>
    <r>
      <rPr>
        <i/>
        <sz val="11"/>
        <color theme="1"/>
        <rFont val="Calibri"/>
        <family val="2"/>
        <scheme val="minor"/>
      </rPr>
      <t>et al.</t>
    </r>
    <r>
      <rPr>
        <sz val="11"/>
        <color theme="1"/>
        <rFont val="Calibri"/>
        <family val="2"/>
        <scheme val="minor"/>
      </rPr>
      <t xml:space="preserve"> Plastic deformation mechanisms in a crept L12 hardened Co-base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571</t>
    </r>
    <r>
      <rPr>
        <sz val="11"/>
        <color theme="1"/>
        <rFont val="Calibri"/>
        <family val="2"/>
        <scheme val="minor"/>
      </rPr>
      <t>, 13–18 (2013).</t>
    </r>
  </si>
  <si>
    <r>
      <t xml:space="preserve">Pyczak, F. </t>
    </r>
    <r>
      <rPr>
        <i/>
        <sz val="11"/>
        <color theme="1"/>
        <rFont val="Calibri"/>
        <family val="2"/>
        <scheme val="minor"/>
      </rPr>
      <t>et al.</t>
    </r>
    <r>
      <rPr>
        <sz val="11"/>
        <color theme="1"/>
        <rFont val="Calibri"/>
        <family val="2"/>
        <scheme val="minor"/>
      </rPr>
      <t xml:space="preserve"> The effect of tungsten content on the properties of L12-hardened Co-Al-W alloys.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632</t>
    </r>
    <r>
      <rPr>
        <sz val="11"/>
        <color theme="1"/>
        <rFont val="Calibri"/>
        <family val="2"/>
        <scheme val="minor"/>
      </rPr>
      <t>, 110–115 (2015).</t>
    </r>
  </si>
  <si>
    <r>
      <t xml:space="preserve">Qu, S. </t>
    </r>
    <r>
      <rPr>
        <i/>
        <sz val="11"/>
        <color theme="1"/>
        <rFont val="Calibri"/>
        <family val="2"/>
        <scheme val="minor"/>
      </rPr>
      <t>et al.</t>
    </r>
    <r>
      <rPr>
        <sz val="11"/>
        <color theme="1"/>
        <rFont val="Calibri"/>
        <family val="2"/>
        <scheme val="minor"/>
      </rPr>
      <t xml:space="preserve"> Microstructural evolution and compression property of a novel γʹ-strengthened directionally solidified CoNi-base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761</t>
    </r>
    <r>
      <rPr>
        <sz val="11"/>
        <color theme="1"/>
        <rFont val="Calibri"/>
        <family val="2"/>
        <scheme val="minor"/>
      </rPr>
      <t>, (2019).</t>
    </r>
  </si>
  <si>
    <t>(004) peak</t>
  </si>
  <si>
    <r>
      <t xml:space="preserve">Sato, J. </t>
    </r>
    <r>
      <rPr>
        <i/>
        <sz val="11"/>
        <color theme="1"/>
        <rFont val="Calibri"/>
        <family val="2"/>
        <scheme val="minor"/>
      </rPr>
      <t>et al.</t>
    </r>
    <r>
      <rPr>
        <sz val="11"/>
        <color theme="1"/>
        <rFont val="Calibri"/>
        <family val="2"/>
        <scheme val="minor"/>
      </rPr>
      <t xml:space="preserve"> Cobalt-base high-temperature alloys. </t>
    </r>
    <r>
      <rPr>
        <i/>
        <sz val="11"/>
        <color theme="1"/>
        <rFont val="Calibri"/>
        <family val="2"/>
        <scheme val="minor"/>
      </rPr>
      <t>Science (80-. ).</t>
    </r>
    <r>
      <rPr>
        <sz val="11"/>
        <color theme="1"/>
        <rFont val="Calibri"/>
        <family val="2"/>
        <scheme val="minor"/>
      </rPr>
      <t xml:space="preserve"> </t>
    </r>
    <r>
      <rPr>
        <b/>
        <sz val="11"/>
        <color theme="1"/>
        <rFont val="Calibri"/>
        <family val="2"/>
        <scheme val="minor"/>
      </rPr>
      <t>312</t>
    </r>
    <r>
      <rPr>
        <sz val="11"/>
        <color theme="1"/>
        <rFont val="Calibri"/>
        <family val="2"/>
        <scheme val="minor"/>
      </rPr>
      <t>, 90–91 (2006).</t>
    </r>
  </si>
  <si>
    <r>
      <t xml:space="preserve">Shi, L., Yu, J. J., Cui, C. Y. &amp; Sun, X. F. The creep deformation behavior of a single-crystal Co-Al-W-base superalloy at 900°C.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635</t>
    </r>
    <r>
      <rPr>
        <sz val="11"/>
        <color theme="1"/>
        <rFont val="Calibri"/>
        <family val="2"/>
        <scheme val="minor"/>
      </rPr>
      <t>, 50–58 (2015).</t>
    </r>
  </si>
  <si>
    <r>
      <t xml:space="preserve">Shinagawa, K. </t>
    </r>
    <r>
      <rPr>
        <i/>
        <sz val="11"/>
        <color theme="1"/>
        <rFont val="Calibri"/>
        <family val="2"/>
        <scheme val="minor"/>
      </rPr>
      <t>et al.</t>
    </r>
    <r>
      <rPr>
        <sz val="11"/>
        <color theme="1"/>
        <rFont val="Calibri"/>
        <family val="2"/>
        <scheme val="minor"/>
      </rPr>
      <t xml:space="preserve"> Phase equilibria and microstructure on γ′ phase in Co-Ni-Al-W system. </t>
    </r>
    <r>
      <rPr>
        <i/>
        <sz val="11"/>
        <color theme="1"/>
        <rFont val="Calibri"/>
        <family val="2"/>
        <scheme val="minor"/>
      </rPr>
      <t>Mater. Trans.</t>
    </r>
    <r>
      <rPr>
        <sz val="11"/>
        <color theme="1"/>
        <rFont val="Calibri"/>
        <family val="2"/>
        <scheme val="minor"/>
      </rPr>
      <t xml:space="preserve"> </t>
    </r>
    <r>
      <rPr>
        <b/>
        <sz val="11"/>
        <color theme="1"/>
        <rFont val="Calibri"/>
        <family val="2"/>
        <scheme val="minor"/>
      </rPr>
      <t>49</t>
    </r>
    <r>
      <rPr>
        <sz val="11"/>
        <color theme="1"/>
        <rFont val="Calibri"/>
        <family val="2"/>
        <scheme val="minor"/>
      </rPr>
      <t>, 1474–1479 (2008).</t>
    </r>
  </si>
  <si>
    <r>
      <t xml:space="preserve">Tanaka, K., Ooshima, M., Tsuno, N., Sato, A. &amp; Inui, H. Creep deformation of single crystals of new Co-Al-W-based alloys with fcc/L1 2 two-phase microstructures. </t>
    </r>
    <r>
      <rPr>
        <i/>
        <sz val="11"/>
        <color theme="1"/>
        <rFont val="Calibri"/>
        <family val="2"/>
        <scheme val="minor"/>
      </rPr>
      <t>Philos. Mag.</t>
    </r>
    <r>
      <rPr>
        <sz val="11"/>
        <color theme="1"/>
        <rFont val="Calibri"/>
        <family val="2"/>
        <scheme val="minor"/>
      </rPr>
      <t xml:space="preserve"> </t>
    </r>
    <r>
      <rPr>
        <b/>
        <sz val="11"/>
        <color theme="1"/>
        <rFont val="Calibri"/>
        <family val="2"/>
        <scheme val="minor"/>
      </rPr>
      <t>92</t>
    </r>
    <r>
      <rPr>
        <sz val="11"/>
        <color theme="1"/>
        <rFont val="Calibri"/>
        <family val="2"/>
        <scheme val="minor"/>
      </rPr>
      <t>, 4011–4027 (2012).</t>
    </r>
  </si>
  <si>
    <r>
      <t xml:space="preserve">Vorontsov, V. A. </t>
    </r>
    <r>
      <rPr>
        <i/>
        <sz val="11"/>
        <color theme="1"/>
        <rFont val="Calibri"/>
        <family val="2"/>
        <scheme val="minor"/>
      </rPr>
      <t>et al.</t>
    </r>
    <r>
      <rPr>
        <sz val="11"/>
        <color theme="1"/>
        <rFont val="Calibri"/>
        <family val="2"/>
        <scheme val="minor"/>
      </rPr>
      <t xml:space="preserve"> Coarsening behaviour and interfacial structure of γ′ precipitates in Co-Al-W based superalloys.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120</t>
    </r>
    <r>
      <rPr>
        <sz val="11"/>
        <color theme="1"/>
        <rFont val="Calibri"/>
        <family val="2"/>
        <scheme val="minor"/>
      </rPr>
      <t>, 14–23 (2016).</t>
    </r>
  </si>
  <si>
    <r>
      <t xml:space="preserve">Xue, F. </t>
    </r>
    <r>
      <rPr>
        <i/>
        <sz val="11"/>
        <color theme="1"/>
        <rFont val="Calibri"/>
        <family val="2"/>
        <scheme val="minor"/>
      </rPr>
      <t>et al.</t>
    </r>
    <r>
      <rPr>
        <sz val="11"/>
        <color theme="1"/>
        <rFont val="Calibri"/>
        <family val="2"/>
        <scheme val="minor"/>
      </rPr>
      <t xml:space="preserve"> Creep behavior in a γ′ strengthened Co-Al-W-Ta-Ti single-crystal alloy at 1000 °c. </t>
    </r>
    <r>
      <rPr>
        <i/>
        <sz val="11"/>
        <color theme="1"/>
        <rFont val="Calibri"/>
        <family val="2"/>
        <scheme val="minor"/>
      </rPr>
      <t>Scr. Mater.</t>
    </r>
    <r>
      <rPr>
        <sz val="11"/>
        <color theme="1"/>
        <rFont val="Calibri"/>
        <family val="2"/>
        <scheme val="minor"/>
      </rPr>
      <t xml:space="preserve"> </t>
    </r>
    <r>
      <rPr>
        <b/>
        <sz val="11"/>
        <color theme="1"/>
        <rFont val="Calibri"/>
        <family val="2"/>
        <scheme val="minor"/>
      </rPr>
      <t>97</t>
    </r>
    <r>
      <rPr>
        <sz val="11"/>
        <color theme="1"/>
        <rFont val="Calibri"/>
        <family val="2"/>
        <scheme val="minor"/>
      </rPr>
      <t>, 37–40 (2015).</t>
    </r>
  </si>
  <si>
    <r>
      <t xml:space="preserve">Xue, F. </t>
    </r>
    <r>
      <rPr>
        <i/>
        <sz val="11"/>
        <color theme="1"/>
        <rFont val="Calibri"/>
        <family val="2"/>
        <scheme val="minor"/>
      </rPr>
      <t>et al.</t>
    </r>
    <r>
      <rPr>
        <sz val="11"/>
        <color theme="1"/>
        <rFont val="Calibri"/>
        <family val="2"/>
        <scheme val="minor"/>
      </rPr>
      <t xml:space="preserve"> Double minimum creep in the rafting regime of a single-crystal Co-base superalloy. </t>
    </r>
    <r>
      <rPr>
        <i/>
        <sz val="11"/>
        <color theme="1"/>
        <rFont val="Calibri"/>
        <family val="2"/>
        <scheme val="minor"/>
      </rPr>
      <t>Scr. Mater.</t>
    </r>
    <r>
      <rPr>
        <sz val="11"/>
        <color theme="1"/>
        <rFont val="Calibri"/>
        <family val="2"/>
        <scheme val="minor"/>
      </rPr>
      <t xml:space="preserve"> </t>
    </r>
    <r>
      <rPr>
        <b/>
        <sz val="11"/>
        <color theme="1"/>
        <rFont val="Calibri"/>
        <family val="2"/>
        <scheme val="minor"/>
      </rPr>
      <t>142</t>
    </r>
    <r>
      <rPr>
        <sz val="11"/>
        <color theme="1"/>
        <rFont val="Calibri"/>
        <family val="2"/>
        <scheme val="minor"/>
      </rPr>
      <t>, 129–132 (2018).</t>
    </r>
  </si>
  <si>
    <t>HRPD</t>
  </si>
  <si>
    <t>I12</t>
  </si>
  <si>
    <r>
      <t xml:space="preserve">Zenk, C. H. </t>
    </r>
    <r>
      <rPr>
        <i/>
        <sz val="11"/>
        <color theme="1"/>
        <rFont val="Calibri"/>
        <family val="2"/>
        <scheme val="minor"/>
      </rPr>
      <t>et al.</t>
    </r>
    <r>
      <rPr>
        <sz val="11"/>
        <color theme="1"/>
        <rFont val="Calibri"/>
        <family val="2"/>
        <scheme val="minor"/>
      </rPr>
      <t xml:space="preserve"> A novel type of Co–Ti–Cr-base γ/γ′ superalloys with low mass density.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135</t>
    </r>
    <r>
      <rPr>
        <sz val="11"/>
        <color theme="1"/>
        <rFont val="Calibri"/>
        <family val="2"/>
        <scheme val="minor"/>
      </rPr>
      <t>, 244–251 (2017).</t>
    </r>
  </si>
  <si>
    <r>
      <t xml:space="preserve">Zenk, C. H. </t>
    </r>
    <r>
      <rPr>
        <i/>
        <sz val="11"/>
        <color theme="1"/>
        <rFont val="Calibri"/>
        <family val="2"/>
        <scheme val="minor"/>
      </rPr>
      <t>et al.</t>
    </r>
    <r>
      <rPr>
        <sz val="11"/>
        <color theme="1"/>
        <rFont val="Calibri"/>
        <family val="2"/>
        <scheme val="minor"/>
      </rPr>
      <t xml:space="preserve"> The role of the base element in γ strengthened cobalt/nickel-base superalloys. </t>
    </r>
    <r>
      <rPr>
        <i/>
        <sz val="11"/>
        <color theme="1"/>
        <rFont val="Calibri"/>
        <family val="2"/>
        <scheme val="minor"/>
      </rPr>
      <t>Proc. Int. Symp. Superalloys</t>
    </r>
    <r>
      <rPr>
        <sz val="11"/>
        <color theme="1"/>
        <rFont val="Calibri"/>
        <family val="2"/>
        <scheme val="minor"/>
      </rPr>
      <t xml:space="preserve"> </t>
    </r>
    <r>
      <rPr>
        <b/>
        <sz val="11"/>
        <color theme="1"/>
        <rFont val="Calibri"/>
        <family val="2"/>
        <scheme val="minor"/>
      </rPr>
      <t>2016</t>
    </r>
    <r>
      <rPr>
        <sz val="11"/>
        <color theme="1"/>
        <rFont val="Calibri"/>
        <family val="2"/>
        <scheme val="minor"/>
      </rPr>
      <t>-</t>
    </r>
    <r>
      <rPr>
        <b/>
        <sz val="11"/>
        <color theme="1"/>
        <rFont val="Calibri"/>
        <family val="2"/>
        <scheme val="minor"/>
      </rPr>
      <t>Janua</t>
    </r>
    <r>
      <rPr>
        <sz val="11"/>
        <color theme="1"/>
        <rFont val="Calibri"/>
        <family val="2"/>
        <scheme val="minor"/>
      </rPr>
      <t>, 971–980 (2016).</t>
    </r>
  </si>
  <si>
    <r>
      <t xml:space="preserve">Zenk, C. H., Neumeier, S., Stone, H. J. &amp; Göken, M. Mechanical properties and lattice misfit of γ/γ’ strengthened Co-base superalloys in the Co-W-Al-Ti quaternary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55</t>
    </r>
    <r>
      <rPr>
        <sz val="11"/>
        <color theme="1"/>
        <rFont val="Calibri"/>
        <family val="2"/>
        <scheme val="minor"/>
      </rPr>
      <t>, 28–39 (2014).</t>
    </r>
  </si>
  <si>
    <r>
      <t xml:space="preserve">Zhang, Y. Y. </t>
    </r>
    <r>
      <rPr>
        <i/>
        <sz val="11"/>
        <color theme="1"/>
        <rFont val="Calibri"/>
        <family val="2"/>
        <scheme val="minor"/>
      </rPr>
      <t>et al.</t>
    </r>
    <r>
      <rPr>
        <sz val="11"/>
        <color theme="1"/>
        <rFont val="Calibri"/>
        <family val="2"/>
        <scheme val="minor"/>
      </rPr>
      <t xml:space="preserve"> Microstructure Evolution of Multicomponent γ′-Strengthened Co-Based Superalloy at 750 °C and 1000 °C with Different Al and Ti Contents.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51</t>
    </r>
    <r>
      <rPr>
        <sz val="11"/>
        <color theme="1"/>
        <rFont val="Calibri"/>
        <family val="2"/>
        <scheme val="minor"/>
      </rPr>
      <t>, 1755–1770 (2020).</t>
    </r>
  </si>
  <si>
    <r>
      <t xml:space="preserve">Zhou, H., Li, L., Antonov, S. &amp; Feng, Q. Sub/micro-structural evolution of a Co–Al–W–Ta–Ti single crystal superalloy during creep at 900 °C and 420 MPa. </t>
    </r>
    <r>
      <rPr>
        <i/>
        <sz val="11"/>
        <color theme="1"/>
        <rFont val="Calibri"/>
        <family val="2"/>
        <scheme val="minor"/>
      </rPr>
      <t>Mater. Sci. Eng. A</t>
    </r>
    <r>
      <rPr>
        <sz val="11"/>
        <color theme="1"/>
        <rFont val="Calibri"/>
        <family val="2"/>
        <scheme val="minor"/>
      </rPr>
      <t xml:space="preserve"> (2020) doi:10.1016/j.msea.2019.138791.</t>
    </r>
  </si>
  <si>
    <t>Aged at 800C for 3h, Powder Metallurgy</t>
  </si>
  <si>
    <t>misfit calculated by the paper is wrong</t>
  </si>
  <si>
    <t>Aged at 870C for 72h</t>
  </si>
  <si>
    <t>Aged at 840C for 48h</t>
  </si>
  <si>
    <t>3h</t>
  </si>
  <si>
    <t>900C for 24h</t>
  </si>
  <si>
    <t>calc misfit is .31%, but they report .33%</t>
  </si>
  <si>
    <t>Baler, N., Pandey, P., Palanisamy, D., Makineni, S. K., Phanikumar, G., &amp; Chattopadhyay, K. (2020). On the effect of W addition on microstructural evolution and γ′ precipitate coarsening in a Co–30Ni–10Al–5Mo–2Ta–2Ti alloy. Materialia, 10. https://doi.org/10.1016/j.mtla.2020.100637</t>
  </si>
  <si>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https://doi.org/10.1016/j.scriptamat.2010.08.036</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</si>
  <si>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https://doi.org/10.1016/j.scriptamat.2010.08.037</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</si>
  <si>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https://doi.org/10.1016/j.scriptamat.2010.08.038</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</si>
  <si>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https://doi.org/10.1016/j.scriptamat.2010.08.039</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</si>
  <si>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https://doi.org/10.1016/j.scriptamat.2010.08.040</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</si>
  <si>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https://doi.org/10.1016/j.scriptamat.2010.08.042</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</si>
  <si>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https://doi.org/10.1016/j.scriptamat.2010.08.043</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</si>
  <si>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https://doi.org/10.1016/j.scriptamat.2010.08.045</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</si>
  <si>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https://doi.org/10.1016/j.scriptamat.2010.08.046</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</si>
  <si>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https://doi.org/10.1016/j.scriptamat.2010.08.047</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</si>
  <si>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https://doi.org/10.1016/j.scriptamat.2010.08.048</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</si>
  <si>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https://doi.org/10.1016/j.scriptamat.2010.08.049</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</si>
  <si>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https://doi.org/10.1016/j.scriptamat.2010.08.050</t>
    </r>
    <r>
      <rPr>
        <sz val="11"/>
        <color theme="1"/>
        <rFont val="Calibri"/>
        <family val="2"/>
        <scheme val="minor"/>
      </rPr>
      <t/>
    </r>
  </si>
  <si>
    <r>
      <t xml:space="preserve">Bauer, A., Neumeier, S., Pyczak, F., &amp; Göken, M. (2010). Microstructure and creep strength of different γ/γ′- strengthened Co-base superalloy variants. </t>
    </r>
    <r>
      <rPr>
        <i/>
        <sz val="11"/>
        <color theme="1"/>
        <rFont val="Calibri"/>
        <family val="2"/>
        <scheme val="minor"/>
      </rPr>
      <t>Scripta Materialia</t>
    </r>
    <r>
      <rPr>
        <sz val="11"/>
        <color theme="1"/>
        <rFont val="Calibri"/>
        <family val="2"/>
        <scheme val="minor"/>
      </rPr>
      <t xml:space="preserve">, </t>
    </r>
    <r>
      <rPr>
        <i/>
        <sz val="11"/>
        <color theme="1"/>
        <rFont val="Calibri"/>
        <family val="2"/>
        <scheme val="minor"/>
      </rPr>
      <t>63</t>
    </r>
    <r>
      <rPr>
        <sz val="11"/>
        <color theme="1"/>
        <rFont val="Calibri"/>
        <family val="2"/>
        <scheme val="minor"/>
      </rPr>
      <t>(12), 1197–1200. https://doi.org/10.1016/j.scriptamat.2010.08.051</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</si>
  <si>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https://doi.org/10.1002/9781118516430.ch77</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</si>
  <si>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https://doi.org/10.1002/9781118516430.ch79</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</si>
  <si>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https://doi.org/10.1002/9781118516430.ch82</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</si>
  <si>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https://doi.org/10.1002/9781118516430.ch83</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</si>
  <si>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https://doi.org/10.1002/9781118516430.ch84</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</si>
  <si>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https://doi.org/10.1002/9781118516430.ch85</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</si>
  <si>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https://doi.org/10.1002/9781118516430.ch86</t>
    </r>
    <r>
      <rPr>
        <sz val="11"/>
        <color theme="1"/>
        <rFont val="Calibri"/>
        <family val="2"/>
        <scheme val="minor"/>
      </rPr>
      <t/>
    </r>
  </si>
  <si>
    <r>
      <t xml:space="preserve">Bauer, A., Neumeier, S., Pyczak, F., &amp; Göken, M. (2012). Creep Strength and Microstructure of Polycrystalline γ′ - Strengthened Cobalt-Base Superalloys. In </t>
    </r>
    <r>
      <rPr>
        <i/>
        <sz val="11"/>
        <color theme="1"/>
        <rFont val="Calibri"/>
        <family val="2"/>
        <scheme val="minor"/>
      </rPr>
      <t>Superalloys 2012</t>
    </r>
    <r>
      <rPr>
        <sz val="11"/>
        <color theme="1"/>
        <rFont val="Calibri"/>
        <family val="2"/>
        <scheme val="minor"/>
      </rPr>
      <t xml:space="preserve"> (pp. 695–703). https://doi.org/10.1002/9781118516430.ch87</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</si>
  <si>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https://doi.org/10.1002/adem.201400266</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</si>
  <si>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https://doi.org/10.1002/adem.201400267</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</si>
  <si>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https://doi.org/10.1002/adem.201400268</t>
    </r>
    <r>
      <rPr>
        <sz val="11"/>
        <color theme="1"/>
        <rFont val="Calibri"/>
        <family val="2"/>
        <scheme val="minor"/>
      </rPr>
      <t/>
    </r>
  </si>
  <si>
    <r>
      <t xml:space="preserve">Bauer, A., Neumeier, S., Pyczak, F., &amp; Göken, M. (2015). Influence of iridium on the properties of γ′-strengthened co-base superalloys. </t>
    </r>
    <r>
      <rPr>
        <i/>
        <sz val="11"/>
        <color theme="1"/>
        <rFont val="Calibri"/>
        <family val="2"/>
        <scheme val="minor"/>
      </rPr>
      <t>Advanced Engineering Materials</t>
    </r>
    <r>
      <rPr>
        <sz val="11"/>
        <color theme="1"/>
        <rFont val="Calibri"/>
        <family val="2"/>
        <scheme val="minor"/>
      </rPr>
      <t xml:space="preserve">, </t>
    </r>
    <r>
      <rPr>
        <i/>
        <sz val="11"/>
        <color theme="1"/>
        <rFont val="Calibri"/>
        <family val="2"/>
        <scheme val="minor"/>
      </rPr>
      <t>17</t>
    </r>
    <r>
      <rPr>
        <sz val="11"/>
        <color theme="1"/>
        <rFont val="Calibri"/>
        <family val="2"/>
        <scheme val="minor"/>
      </rPr>
      <t>(6), 748–754. https://doi.org/10.1002/adem.201400270</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</si>
  <si>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https://doi.org/10.1016/j.msea.2012.04.083</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</si>
  <si>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https://doi.org/10.1016/j.msea.2012.04.084</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</si>
  <si>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https://doi.org/10.1016/j.msea.2012.04.085</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</si>
  <si>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https://doi.org/10.1016/j.msea.2012.04.086</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</si>
  <si>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https://doi.org/10.1016/j.msea.2012.04.087</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</si>
  <si>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https://doi.org/10.1016/j.msea.2012.04.088</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</si>
  <si>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https://doi.org/10.1016/j.msea.2012.04.089</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</si>
  <si>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https://doi.org/10.1016/j.msea.2012.04.090</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</si>
  <si>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https://doi.org/10.1016/j.msea.2012.04.091</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</si>
  <si>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https://doi.org/10.1016/j.msea.2012.04.092</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</si>
  <si>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https://doi.org/10.1016/j.msea.2012.04.093</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</si>
  <si>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https://doi.org/10.1016/j.msea.2012.04.094</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</si>
  <si>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https://doi.org/10.1016/j.msea.2012.04.095</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</si>
  <si>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https://doi.org/10.1016/j.msea.2012.04.096</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</si>
  <si>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https://doi.org/10.1016/j.msea.2012.04.097</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</si>
  <si>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https://doi.org/10.1016/j.msea.2012.04.098</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</si>
  <si>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https://doi.org/10.1016/j.msea.2012.04.099</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</si>
  <si>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https://doi.org/10.1016/j.msea.2012.04.100</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</si>
  <si>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https://doi.org/10.1016/j.msea.2012.04.101</t>
    </r>
    <r>
      <rPr>
        <sz val="11"/>
        <color theme="1"/>
        <rFont val="Calibri"/>
        <family val="2"/>
        <scheme val="minor"/>
      </rPr>
      <t/>
    </r>
  </si>
  <si>
    <r>
      <t xml:space="preserve">Bauer, A., Neumeier, S., Pyczak, F., Singer, R. F., &amp; Göken, M. (2012). Creep properties of different γ’-strengthened Co-base superalloys.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550</t>
    </r>
    <r>
      <rPr>
        <sz val="11"/>
        <color theme="1"/>
        <rFont val="Calibri"/>
        <family val="2"/>
        <scheme val="minor"/>
      </rPr>
      <t>, 333–341. https://doi.org/10.1016/j.msea.2012.04.102</t>
    </r>
    <r>
      <rPr>
        <sz val="11"/>
        <color theme="1"/>
        <rFont val="Calibri"/>
        <family val="2"/>
        <scheme val="minor"/>
      </rPr>
      <t/>
    </r>
  </si>
  <si>
    <t>10Ni-5A-5W-8Ti</t>
  </si>
  <si>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t>
    </r>
  </si>
  <si>
    <t>10Ni-6A-6W-6Ti</t>
  </si>
  <si>
    <t>10Ni-7A-7W-4Ti</t>
  </si>
  <si>
    <t>10Ni-8A-8W-2Ti</t>
  </si>
  <si>
    <t>10Ni-9A-9W-0Ti</t>
  </si>
  <si>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https://doi.org/10.1016/j.msea.2018.04.005</t>
    </r>
    <r>
      <rPr>
        <sz val="11"/>
        <color theme="1"/>
        <rFont val="Calibri"/>
        <family val="2"/>
        <scheme val="minor"/>
      </rPr>
      <t/>
    </r>
  </si>
  <si>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https://doi.org/10.1016/j.msea.2018.04.004</t>
    </r>
  </si>
  <si>
    <t>Cal-30Ni-12Al-8Ta</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</si>
  <si>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https://doi.org/10.1016/j.actamat.2020.02.058</t>
    </r>
  </si>
  <si>
    <t>Cal-30Ni-12Al-6Ta</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</si>
  <si>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https://doi.org/10.1016/j.actamat.2020.02.057</t>
    </r>
    <r>
      <rPr>
        <sz val="11"/>
        <color theme="1"/>
        <rFont val="Calibri"/>
        <family val="2"/>
        <scheme val="minor"/>
      </rPr>
      <t/>
    </r>
  </si>
  <si>
    <t>Cal-30Ni-12Al-4Ta</t>
  </si>
  <si>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https://doi.org/10.1016/j.actamat.2020.02.056</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</si>
  <si>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https://doi.org/10.1016/j.actamat.2020.02.052</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</si>
  <si>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https://doi.org/10.1016/j.actamat.2020.02.051</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</si>
  <si>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https://doi.org/10.1016/j.actamat.2020.02.050</t>
    </r>
    <r>
      <rPr>
        <sz val="11"/>
        <color theme="1"/>
        <rFont val="Calibri"/>
        <family val="2"/>
        <scheme val="minor"/>
      </rPr>
      <t/>
    </r>
  </si>
  <si>
    <r>
      <t xml:space="preserve">Chen, Y., Wang, C., Ruan, J., Yang, S., Omori, T., Kainuma, R., Ishida, K., Han, J., Lu, Y., &amp; Liu, X. (2020). Development of low-density γ/γ′ Co–Al–Ta-based superalloys with high solvus temperature. </t>
    </r>
    <r>
      <rPr>
        <i/>
        <sz val="11"/>
        <color theme="1"/>
        <rFont val="Calibri"/>
        <family val="2"/>
        <scheme val="minor"/>
      </rPr>
      <t>Acta Materialia</t>
    </r>
    <r>
      <rPr>
        <sz val="11"/>
        <color theme="1"/>
        <rFont val="Calibri"/>
        <family val="2"/>
        <scheme val="minor"/>
      </rPr>
      <t xml:space="preserve">, </t>
    </r>
    <r>
      <rPr>
        <i/>
        <sz val="11"/>
        <color theme="1"/>
        <rFont val="Calibri"/>
        <family val="2"/>
        <scheme val="minor"/>
      </rPr>
      <t>188</t>
    </r>
    <r>
      <rPr>
        <sz val="11"/>
        <color theme="1"/>
        <rFont val="Calibri"/>
        <family val="2"/>
        <scheme val="minor"/>
      </rPr>
      <t>, 652–664. https://doi.org/10.1016/j.actamat.2020.02.049</t>
    </r>
  </si>
  <si>
    <t>&gt;1450</t>
  </si>
  <si>
    <r>
      <t xml:space="preserve">Ismail, F. B. </t>
    </r>
    <r>
      <rPr>
        <i/>
        <sz val="11"/>
        <color theme="1"/>
        <rFont val="Calibri"/>
        <family val="2"/>
        <scheme val="minor"/>
      </rPr>
      <t>et al.</t>
    </r>
    <r>
      <rPr>
        <sz val="11"/>
        <color theme="1"/>
        <rFont val="Calibri"/>
        <family val="2"/>
        <scheme val="minor"/>
      </rPr>
      <t xml:space="preserve"> Alloying effects on oxidation mechanisms in polycrystalline Co–Ni base superalloys. </t>
    </r>
    <r>
      <rPr>
        <i/>
        <sz val="11"/>
        <color theme="1"/>
        <rFont val="Calibri"/>
        <family val="2"/>
        <scheme val="minor"/>
      </rPr>
      <t>Corros. Sci.</t>
    </r>
    <r>
      <rPr>
        <sz val="11"/>
        <color theme="1"/>
        <rFont val="Calibri"/>
        <family val="2"/>
        <scheme val="minor"/>
      </rPr>
      <t xml:space="preserve"> </t>
    </r>
    <r>
      <rPr>
        <b/>
        <sz val="11"/>
        <color theme="1"/>
        <rFont val="Calibri"/>
        <family val="2"/>
        <scheme val="minor"/>
      </rPr>
      <t>116</t>
    </r>
    <r>
      <rPr>
        <sz val="11"/>
        <color theme="1"/>
        <rFont val="Calibri"/>
        <family val="2"/>
        <scheme val="minor"/>
      </rPr>
      <t>, 44–52 (2017).</t>
    </r>
  </si>
  <si>
    <t>reported T_m, assuming that means liquidus</t>
  </si>
  <si>
    <r>
      <t xml:space="preserve">Kazantseva, N. V. </t>
    </r>
    <r>
      <rPr>
        <i/>
        <sz val="11"/>
        <color theme="1"/>
        <rFont val="Calibri"/>
        <family val="2"/>
        <scheme val="minor"/>
      </rPr>
      <t>et al.</t>
    </r>
    <r>
      <rPr>
        <sz val="11"/>
        <color theme="1"/>
        <rFont val="Calibri"/>
        <family val="2"/>
        <scheme val="minor"/>
      </rPr>
      <t xml:space="preserve"> Mechanical and magnetic properties of alloys near the concentration range of the existence of Co3(Al,W) intermetallic compound. </t>
    </r>
    <r>
      <rPr>
        <i/>
        <sz val="11"/>
        <color theme="1"/>
        <rFont val="Calibri"/>
        <family val="2"/>
        <scheme val="minor"/>
      </rPr>
      <t>Phys. Met. Metallogr.</t>
    </r>
    <r>
      <rPr>
        <sz val="11"/>
        <color theme="1"/>
        <rFont val="Calibri"/>
        <family val="2"/>
        <scheme val="minor"/>
      </rPr>
      <t xml:space="preserve"> </t>
    </r>
    <r>
      <rPr>
        <b/>
        <sz val="11"/>
        <color theme="1"/>
        <rFont val="Calibri"/>
        <family val="2"/>
        <scheme val="minor"/>
      </rPr>
      <t>118</t>
    </r>
    <r>
      <rPr>
        <sz val="11"/>
        <color theme="1"/>
        <rFont val="Calibri"/>
        <family val="2"/>
        <scheme val="minor"/>
      </rPr>
      <t>, 432–438 (2017).</t>
    </r>
  </si>
  <si>
    <r>
      <t xml:space="preserve">Kobayashi, S., Tsukamoto, Y. &amp; Takasugi, T. Phase equilibria in the Co-rich Co-Al-W-Ti quaternary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19</t>
    </r>
    <r>
      <rPr>
        <sz val="11"/>
        <color theme="1"/>
        <rFont val="Calibri"/>
        <family val="2"/>
        <scheme val="minor"/>
      </rPr>
      <t>, 1908–1912 (2011).</t>
    </r>
  </si>
  <si>
    <r>
      <t xml:space="preserve">Kolb, M. </t>
    </r>
    <r>
      <rPr>
        <i/>
        <sz val="11"/>
        <color theme="1"/>
        <rFont val="Calibri"/>
        <family val="2"/>
        <scheme val="minor"/>
      </rPr>
      <t>et al.</t>
    </r>
    <r>
      <rPr>
        <sz val="11"/>
        <color theme="1"/>
        <rFont val="Calibri"/>
        <family val="2"/>
        <scheme val="minor"/>
      </rPr>
      <t xml:space="preserve"> Influence of rhenium on γ′-strengthened cobalt-base superalloys. </t>
    </r>
    <r>
      <rPr>
        <i/>
        <sz val="11"/>
        <color theme="1"/>
        <rFont val="Calibri"/>
        <family val="2"/>
        <scheme val="minor"/>
      </rPr>
      <t>J. Mater. Res.</t>
    </r>
    <r>
      <rPr>
        <sz val="11"/>
        <color theme="1"/>
        <rFont val="Calibri"/>
        <family val="2"/>
        <scheme val="minor"/>
      </rPr>
      <t xml:space="preserve"> </t>
    </r>
    <r>
      <rPr>
        <b/>
        <sz val="11"/>
        <color theme="1"/>
        <rFont val="Calibri"/>
        <family val="2"/>
        <scheme val="minor"/>
      </rPr>
      <t>32</t>
    </r>
    <r>
      <rPr>
        <sz val="11"/>
        <color theme="1"/>
        <rFont val="Calibri"/>
        <family val="2"/>
        <scheme val="minor"/>
      </rPr>
      <t>, 2551–2559 (2017).</t>
    </r>
  </si>
  <si>
    <r>
      <t xml:space="preserve">Lass, E. A. Application of Computational Thermodynamics to the Design of a Co-Ni-Based γ′-Strengthened Superalloy.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48</t>
    </r>
    <r>
      <rPr>
        <sz val="11"/>
        <color theme="1"/>
        <rFont val="Calibri"/>
        <family val="2"/>
        <scheme val="minor"/>
      </rPr>
      <t>, 2443–2459 (2017).</t>
    </r>
  </si>
  <si>
    <r>
      <t xml:space="preserve">Lass, E. A. The effects of Fe and Si on the phase equilibria in a γ′-strengthened Co–Al–W-based superalloy.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825</t>
    </r>
    <r>
      <rPr>
        <sz val="11"/>
        <color theme="1"/>
        <rFont val="Calibri"/>
        <family val="2"/>
        <scheme val="minor"/>
      </rPr>
      <t>, (2020).</t>
    </r>
  </si>
  <si>
    <r>
      <t xml:space="preserve">Lass, E. A., Sauza, D. J., Dunand, D. C. &amp; Seidman, D. N. Multicomponent γ’-strengthened Co-based superalloys with increased solvus temperatures and reduced mass densities.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147</t>
    </r>
    <r>
      <rPr>
        <sz val="11"/>
        <color theme="1"/>
        <rFont val="Calibri"/>
        <family val="2"/>
        <scheme val="minor"/>
      </rPr>
      <t>, 284–295 (2018).</t>
    </r>
  </si>
  <si>
    <r>
      <t xml:space="preserve">Li, W., Li, L., Antonov, S. &amp; Feng, Q. Effective design of a Co-Ni-Al-W-Ta-Ti alloy with high γ′ solvus temperature and microstructural stability using combined CALPHAD and experimental approaches. </t>
    </r>
    <r>
      <rPr>
        <i/>
        <sz val="11"/>
        <color theme="1"/>
        <rFont val="Calibri"/>
        <family val="2"/>
        <scheme val="minor"/>
      </rPr>
      <t>Mater. Des.</t>
    </r>
    <r>
      <rPr>
        <sz val="11"/>
        <color theme="1"/>
        <rFont val="Calibri"/>
        <family val="2"/>
        <scheme val="minor"/>
      </rPr>
      <t xml:space="preserve"> </t>
    </r>
    <r>
      <rPr>
        <b/>
        <sz val="11"/>
        <color theme="1"/>
        <rFont val="Calibri"/>
        <family val="2"/>
        <scheme val="minor"/>
      </rPr>
      <t>180</t>
    </r>
    <r>
      <rPr>
        <sz val="11"/>
        <color theme="1"/>
        <rFont val="Calibri"/>
        <family val="2"/>
        <scheme val="minor"/>
      </rPr>
      <t>, (2019).</t>
    </r>
  </si>
  <si>
    <r>
      <t xml:space="preserve">Liu, C., Sun, Y., Wen, M., He, T. &amp; Yu, J. Effect of Cr addition on microstructure and welding solidification cracking susceptibility of Co-Al-W based superalloys. </t>
    </r>
    <r>
      <rPr>
        <i/>
        <sz val="11"/>
        <color theme="1"/>
        <rFont val="Calibri"/>
        <family val="2"/>
        <scheme val="minor"/>
      </rPr>
      <t>J. Manuf. Process.</t>
    </r>
    <r>
      <rPr>
        <sz val="11"/>
        <color theme="1"/>
        <rFont val="Calibri"/>
        <family val="2"/>
        <scheme val="minor"/>
      </rPr>
      <t xml:space="preserve"> (2020) doi:10.1016/j.jmapro.2020.03.049.</t>
    </r>
  </si>
  <si>
    <r>
      <t xml:space="preserve">Liu, J., Yu, J. J., Yang, Y. H., Zhou, Y. Z. &amp; Sun, X. F. Effects of Mo on the evolution of microstructures and mechanical properties in Co-Al-W base superalloys.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745</t>
    </r>
    <r>
      <rPr>
        <sz val="11"/>
        <color theme="1"/>
        <rFont val="Calibri"/>
        <family val="2"/>
        <scheme val="minor"/>
      </rPr>
      <t>, 404–410 (2019).</t>
    </r>
  </si>
  <si>
    <r>
      <t xml:space="preserve">Liu, X. </t>
    </r>
    <r>
      <rPr>
        <i/>
        <sz val="11"/>
        <color theme="1"/>
        <rFont val="Calibri"/>
        <family val="2"/>
        <scheme val="minor"/>
      </rPr>
      <t>et al.</t>
    </r>
    <r>
      <rPr>
        <sz val="11"/>
        <color theme="1"/>
        <rFont val="Calibri"/>
        <family val="2"/>
        <scheme val="minor"/>
      </rPr>
      <t xml:space="preserve"> Effects of Nb and W additions on the microstructures and mechanical properties of novel γ/γ’ Co-V-Ti-based superalloys. </t>
    </r>
    <r>
      <rPr>
        <i/>
        <sz val="11"/>
        <color theme="1"/>
        <rFont val="Calibri"/>
        <family val="2"/>
        <scheme val="minor"/>
      </rPr>
      <t>Metals (Basel).</t>
    </r>
    <r>
      <rPr>
        <sz val="11"/>
        <color theme="1"/>
        <rFont val="Calibri"/>
        <family val="2"/>
        <scheme val="minor"/>
      </rPr>
      <t xml:space="preserve"> </t>
    </r>
    <r>
      <rPr>
        <b/>
        <sz val="11"/>
        <color theme="1"/>
        <rFont val="Calibri"/>
        <family val="2"/>
        <scheme val="minor"/>
      </rPr>
      <t>8</t>
    </r>
    <r>
      <rPr>
        <sz val="11"/>
        <color theme="1"/>
        <rFont val="Calibri"/>
        <family val="2"/>
        <scheme val="minor"/>
      </rPr>
      <t>, (2018).</t>
    </r>
  </si>
  <si>
    <r>
      <t xml:space="preserve">Llewelyn, S. C. H. </t>
    </r>
    <r>
      <rPr>
        <i/>
        <sz val="11"/>
        <color theme="1"/>
        <rFont val="Calibri"/>
        <family val="2"/>
        <scheme val="minor"/>
      </rPr>
      <t>et al.</t>
    </r>
    <r>
      <rPr>
        <sz val="11"/>
        <color theme="1"/>
        <rFont val="Calibri"/>
        <family val="2"/>
        <scheme val="minor"/>
      </rPr>
      <t xml:space="preserve"> The effect of Ni:Co ratio on the elemental phase partitioning in γ-γ′ Ni-Co-Al-Ti-Cr 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131</t>
    </r>
    <r>
      <rPr>
        <sz val="11"/>
        <color theme="1"/>
        <rFont val="Calibri"/>
        <family val="2"/>
        <scheme val="minor"/>
      </rPr>
      <t>, 296–304 (2017).</t>
    </r>
  </si>
  <si>
    <r>
      <t xml:space="preserve">Lopez-Galilea, I. </t>
    </r>
    <r>
      <rPr>
        <i/>
        <sz val="11"/>
        <color theme="1"/>
        <rFont val="Calibri"/>
        <family val="2"/>
        <scheme val="minor"/>
      </rPr>
      <t>et al.</t>
    </r>
    <r>
      <rPr>
        <sz val="11"/>
        <color theme="1"/>
        <rFont val="Calibri"/>
        <family val="2"/>
        <scheme val="minor"/>
      </rPr>
      <t xml:space="preserve"> The thermal stability of intermetallic compounds in an as-cast SX co-base superalloy. </t>
    </r>
    <r>
      <rPr>
        <i/>
        <sz val="11"/>
        <color theme="1"/>
        <rFont val="Calibri"/>
        <family val="2"/>
        <scheme val="minor"/>
      </rPr>
      <t>Adv. Eng. Mater.</t>
    </r>
    <r>
      <rPr>
        <sz val="11"/>
        <color theme="1"/>
        <rFont val="Calibri"/>
        <family val="2"/>
        <scheme val="minor"/>
      </rPr>
      <t xml:space="preserve"> </t>
    </r>
    <r>
      <rPr>
        <b/>
        <sz val="11"/>
        <color theme="1"/>
        <rFont val="Calibri"/>
        <family val="2"/>
        <scheme val="minor"/>
      </rPr>
      <t>17</t>
    </r>
    <r>
      <rPr>
        <sz val="11"/>
        <color theme="1"/>
        <rFont val="Calibri"/>
        <family val="2"/>
        <scheme val="minor"/>
      </rPr>
      <t>, 741–747 (2015).</t>
    </r>
  </si>
  <si>
    <t>reported T_m, assuming that means solidus because liquidus is also given</t>
  </si>
  <si>
    <r>
      <t xml:space="preserve">Makineni, S. K. </t>
    </r>
    <r>
      <rPr>
        <i/>
        <sz val="11"/>
        <color theme="1"/>
        <rFont val="Calibri"/>
        <family val="2"/>
        <scheme val="minor"/>
      </rPr>
      <t>et al.</t>
    </r>
    <r>
      <rPr>
        <sz val="11"/>
        <color theme="1"/>
        <rFont val="Calibri"/>
        <family val="2"/>
        <scheme val="minor"/>
      </rPr>
      <t xml:space="preserve"> A new class of high strength high temperature Cobalt based γ-γ′ Co-Mo-Al alloys stabilized with Ta addition. </t>
    </r>
    <r>
      <rPr>
        <i/>
        <sz val="11"/>
        <color theme="1"/>
        <rFont val="Calibri"/>
        <family val="2"/>
        <scheme val="minor"/>
      </rPr>
      <t>Acta Mater.</t>
    </r>
    <r>
      <rPr>
        <sz val="11"/>
        <color theme="1"/>
        <rFont val="Calibri"/>
        <family val="2"/>
        <scheme val="minor"/>
      </rPr>
      <t xml:space="preserve"> </t>
    </r>
    <r>
      <rPr>
        <b/>
        <sz val="11"/>
        <color theme="1"/>
        <rFont val="Calibri"/>
        <family val="2"/>
        <scheme val="minor"/>
      </rPr>
      <t>97</t>
    </r>
    <r>
      <rPr>
        <sz val="11"/>
        <color theme="1"/>
        <rFont val="Calibri"/>
        <family val="2"/>
        <scheme val="minor"/>
      </rPr>
      <t>, 29–40 (2015).</t>
    </r>
  </si>
  <si>
    <r>
      <t xml:space="preserve">Makineni, S. K., Nithin, B. &amp; Chattopadhyay, K. A new tungsten-free γ-γ’ Co-Al-Mo-Nb-based superalloy. </t>
    </r>
    <r>
      <rPr>
        <i/>
        <sz val="11"/>
        <color theme="1"/>
        <rFont val="Calibri"/>
        <family val="2"/>
        <scheme val="minor"/>
      </rPr>
      <t>Scr. Mater.</t>
    </r>
    <r>
      <rPr>
        <sz val="11"/>
        <color theme="1"/>
        <rFont val="Calibri"/>
        <family val="2"/>
        <scheme val="minor"/>
      </rPr>
      <t xml:space="preserve"> </t>
    </r>
    <r>
      <rPr>
        <b/>
        <sz val="11"/>
        <color theme="1"/>
        <rFont val="Calibri"/>
        <family val="2"/>
        <scheme val="minor"/>
      </rPr>
      <t>98</t>
    </r>
    <r>
      <rPr>
        <sz val="11"/>
        <color theme="1"/>
        <rFont val="Calibri"/>
        <family val="2"/>
        <scheme val="minor"/>
      </rPr>
      <t>, 36–39 (2015).</t>
    </r>
  </si>
  <si>
    <r>
      <t xml:space="preserve">Meher, S., Yan, H. Y., Nag, S., Dye, D. &amp; Banerjee, R. Solute partitioning and site preference in γ/γ’ cobalt-base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67</t>
    </r>
    <r>
      <rPr>
        <sz val="11"/>
        <color theme="1"/>
        <rFont val="Calibri"/>
        <family val="2"/>
        <scheme val="minor"/>
      </rPr>
      <t>, 850–853 (2012).</t>
    </r>
  </si>
  <si>
    <r>
      <t xml:space="preserve">Murray, S. P., Stinville, J. C., Callahan, P. G., Rhein, R. K. &amp; Pollock, T. M. Low Cycle Fatigue of Single Crystal γ′ -containing Co-based Superalloys at 750∘C.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51</t>
    </r>
    <r>
      <rPr>
        <sz val="11"/>
        <color theme="1"/>
        <rFont val="Calibri"/>
        <family val="2"/>
        <scheme val="minor"/>
      </rPr>
      <t>, 200–213 (2020).</t>
    </r>
  </si>
  <si>
    <r>
      <t xml:space="preserve">Nithin, B. </t>
    </r>
    <r>
      <rPr>
        <i/>
        <sz val="11"/>
        <color theme="1"/>
        <rFont val="Calibri"/>
        <family val="2"/>
        <scheme val="minor"/>
      </rPr>
      <t>et al.</t>
    </r>
    <r>
      <rPr>
        <sz val="11"/>
        <color theme="1"/>
        <rFont val="Calibri"/>
        <family val="2"/>
        <scheme val="minor"/>
      </rPr>
      <t xml:space="preserve"> Effect of Cr addition on γ–γ′ cobalt-based Co–Mo–Al–Ta class of superalloys: a combined experimental and computational study. </t>
    </r>
    <r>
      <rPr>
        <i/>
        <sz val="11"/>
        <color theme="1"/>
        <rFont val="Calibri"/>
        <family val="2"/>
        <scheme val="minor"/>
      </rPr>
      <t>J. Mater. Sci.</t>
    </r>
    <r>
      <rPr>
        <sz val="11"/>
        <color theme="1"/>
        <rFont val="Calibri"/>
        <family val="2"/>
        <scheme val="minor"/>
      </rPr>
      <t xml:space="preserve"> </t>
    </r>
    <r>
      <rPr>
        <b/>
        <sz val="11"/>
        <color theme="1"/>
        <rFont val="Calibri"/>
        <family val="2"/>
        <scheme val="minor"/>
      </rPr>
      <t>52</t>
    </r>
    <r>
      <rPr>
        <sz val="11"/>
        <color theme="1"/>
        <rFont val="Calibri"/>
        <family val="2"/>
        <scheme val="minor"/>
      </rPr>
      <t>, 11036–11047 (2017).</t>
    </r>
  </si>
  <si>
    <r>
      <t xml:space="preserve">Omori, T. </t>
    </r>
    <r>
      <rPr>
        <i/>
        <sz val="11"/>
        <color theme="1"/>
        <rFont val="Calibri"/>
        <family val="2"/>
        <scheme val="minor"/>
      </rPr>
      <t>et al.</t>
    </r>
    <r>
      <rPr>
        <sz val="11"/>
        <color theme="1"/>
        <rFont val="Calibri"/>
        <family val="2"/>
        <scheme val="minor"/>
      </rPr>
      <t xml:space="preserve"> Partition behavior of alloying elements and phase transformation temperatures in Co-Al-W-base quaternary systems.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32</t>
    </r>
    <r>
      <rPr>
        <sz val="11"/>
        <color theme="1"/>
        <rFont val="Calibri"/>
        <family val="2"/>
        <scheme val="minor"/>
      </rPr>
      <t>, 274–283 (2013).</t>
    </r>
  </si>
  <si>
    <r>
      <t xml:space="preserve">Ooshima, M., Tanaka, K., Okamoto, N. L., Kishida, K. &amp; Inui, H. Effects of quaternary alloying elements on the γ′ solvus temperature of Co-Al-W based alloys with fcc/L12 two-phase microstructures. </t>
    </r>
    <r>
      <rPr>
        <i/>
        <sz val="11"/>
        <color theme="1"/>
        <rFont val="Calibri"/>
        <family val="2"/>
        <scheme val="minor"/>
      </rPr>
      <t>J. Alloys Compd.</t>
    </r>
    <r>
      <rPr>
        <sz val="11"/>
        <color theme="1"/>
        <rFont val="Calibri"/>
        <family val="2"/>
        <scheme val="minor"/>
      </rPr>
      <t xml:space="preserve"> </t>
    </r>
    <r>
      <rPr>
        <b/>
        <sz val="11"/>
        <color theme="1"/>
        <rFont val="Calibri"/>
        <family val="2"/>
        <scheme val="minor"/>
      </rPr>
      <t>508</t>
    </r>
    <r>
      <rPr>
        <sz val="11"/>
        <color theme="1"/>
        <rFont val="Calibri"/>
        <family val="2"/>
        <scheme val="minor"/>
      </rPr>
      <t>, 71–78 (2010).</t>
    </r>
  </si>
  <si>
    <r>
      <t xml:space="preserve">Osaki, M. </t>
    </r>
    <r>
      <rPr>
        <i/>
        <sz val="11"/>
        <color theme="1"/>
        <rFont val="Calibri"/>
        <family val="2"/>
        <scheme val="minor"/>
      </rPr>
      <t>et al.</t>
    </r>
    <r>
      <rPr>
        <sz val="11"/>
        <color theme="1"/>
        <rFont val="Calibri"/>
        <family val="2"/>
        <scheme val="minor"/>
      </rPr>
      <t xml:space="preserve"> </t>
    </r>
    <r>
      <rPr>
        <i/>
        <sz val="11"/>
        <color theme="1"/>
        <rFont val="Calibri"/>
        <family val="2"/>
        <scheme val="minor"/>
      </rPr>
      <t>Properties of Strengthening Co-W-Al Alloys with Various Amounts of Phase Forming Elements</t>
    </r>
    <r>
      <rPr>
        <sz val="11"/>
        <color theme="1"/>
        <rFont val="Calibri"/>
        <family val="2"/>
        <scheme val="minor"/>
      </rPr>
      <t>. (2008).</t>
    </r>
  </si>
  <si>
    <r>
      <t xml:space="preserve">Petrushin, N. </t>
    </r>
    <r>
      <rPr>
        <i/>
        <sz val="11"/>
        <color theme="1"/>
        <rFont val="Calibri"/>
        <family val="2"/>
        <scheme val="minor"/>
      </rPr>
      <t>et al.</t>
    </r>
    <r>
      <rPr>
        <sz val="11"/>
        <color theme="1"/>
        <rFont val="Calibri"/>
        <family val="2"/>
        <scheme val="minor"/>
      </rPr>
      <t xml:space="preserve"> A single-crystal co-base superalloy strengthened by γ′ precipitates: Structure and mechanical properties. </t>
    </r>
    <r>
      <rPr>
        <i/>
        <sz val="11"/>
        <color theme="1"/>
        <rFont val="Calibri"/>
        <family val="2"/>
        <scheme val="minor"/>
      </rPr>
      <t>Adv. Eng. Mater.</t>
    </r>
    <r>
      <rPr>
        <sz val="11"/>
        <color theme="1"/>
        <rFont val="Calibri"/>
        <family val="2"/>
        <scheme val="minor"/>
      </rPr>
      <t xml:space="preserve"> </t>
    </r>
    <r>
      <rPr>
        <b/>
        <sz val="11"/>
        <color theme="1"/>
        <rFont val="Calibri"/>
        <family val="2"/>
        <scheme val="minor"/>
      </rPr>
      <t>17</t>
    </r>
    <r>
      <rPr>
        <sz val="11"/>
        <color theme="1"/>
        <rFont val="Calibri"/>
        <family val="2"/>
        <scheme val="minor"/>
      </rPr>
      <t>, 755–760 (2015).</t>
    </r>
  </si>
  <si>
    <r>
      <t xml:space="preserve">Reyes Tirado, F. L. </t>
    </r>
    <r>
      <rPr>
        <i/>
        <sz val="11"/>
        <color theme="1"/>
        <rFont val="Calibri"/>
        <family val="2"/>
        <scheme val="minor"/>
      </rPr>
      <t>Tungsten-free Cobalt-based Superalloys with Gamma Prime Precipitates</t>
    </r>
    <r>
      <rPr>
        <sz val="11"/>
        <color theme="1"/>
        <rFont val="Calibri"/>
        <family val="2"/>
        <scheme val="minor"/>
      </rPr>
      <t>. (2019).</t>
    </r>
  </si>
  <si>
    <r>
      <t xml:space="preserve">Reyes Tirado, F. L., Taylor, S. &amp; Dunand, D. C. Effect of Al, Ti and Cr additions on the γ-γ’ microstructure of W-free Co-Ta-V-Based superalloys.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172</t>
    </r>
    <r>
      <rPr>
        <sz val="11"/>
        <color theme="1"/>
        <rFont val="Calibri"/>
        <family val="2"/>
        <scheme val="minor"/>
      </rPr>
      <t>, 44–54 (2019).</t>
    </r>
  </si>
  <si>
    <r>
      <t xml:space="preserve">Rhein, R. K. </t>
    </r>
    <r>
      <rPr>
        <i/>
        <sz val="11"/>
        <color theme="1"/>
        <rFont val="Calibri"/>
        <family val="2"/>
        <scheme val="minor"/>
      </rPr>
      <t>et al.</t>
    </r>
    <r>
      <rPr>
        <sz val="11"/>
        <color theme="1"/>
        <rFont val="Calibri"/>
        <family val="2"/>
        <scheme val="minor"/>
      </rPr>
      <t xml:space="preserve"> Creep Behavior of Quinary γ′-Strengthened Co-Based Superalloys.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4090–4098 (2018).</t>
    </r>
  </si>
  <si>
    <r>
      <t xml:space="preserve">Ruan, J. </t>
    </r>
    <r>
      <rPr>
        <i/>
        <sz val="11"/>
        <color theme="1"/>
        <rFont val="Calibri"/>
        <family val="2"/>
        <scheme val="minor"/>
      </rPr>
      <t>et al.</t>
    </r>
    <r>
      <rPr>
        <sz val="11"/>
        <color theme="1"/>
        <rFont val="Calibri"/>
        <family val="2"/>
        <scheme val="minor"/>
      </rPr>
      <t xml:space="preserve"> Accelerated design of novel W-free high-strength Co-base superalloys with extremely wide γ/γʹ region by machine learning and CALPHAD methods.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186</t>
    </r>
    <r>
      <rPr>
        <sz val="11"/>
        <color theme="1"/>
        <rFont val="Calibri"/>
        <family val="2"/>
        <scheme val="minor"/>
      </rPr>
      <t>, 425–433 (2020).</t>
    </r>
  </si>
  <si>
    <t>after homogenizing 16 hr</t>
  </si>
  <si>
    <r>
      <t xml:space="preserve">Ruan, J. J. </t>
    </r>
    <r>
      <rPr>
        <i/>
        <sz val="11"/>
        <color theme="1"/>
        <rFont val="Calibri"/>
        <family val="2"/>
        <scheme val="minor"/>
      </rPr>
      <t>et al.</t>
    </r>
    <r>
      <rPr>
        <sz val="11"/>
        <color theme="1"/>
        <rFont val="Calibri"/>
        <family val="2"/>
        <scheme val="minor"/>
      </rPr>
      <t xml:space="preserve"> Novel Co-Ti-V-base superalloys reinforced by L12-ordered γ′ phase.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92</t>
    </r>
    <r>
      <rPr>
        <sz val="11"/>
        <color theme="1"/>
        <rFont val="Calibri"/>
        <family val="2"/>
        <scheme val="minor"/>
      </rPr>
      <t>, 126–132 (2018).</t>
    </r>
  </si>
  <si>
    <r>
      <t xml:space="preserve">Sani, S. A., Arabi, H., Kheirandish, S. &amp; Ebrahimi, G. Investigation on the homogenization treatment and element segregation on the microstructure of a γ/γ′-cobalt-based superalloy. </t>
    </r>
    <r>
      <rPr>
        <i/>
        <sz val="11"/>
        <color theme="1"/>
        <rFont val="Calibri"/>
        <family val="2"/>
        <scheme val="minor"/>
      </rPr>
      <t>Int. J. Miner. Metall. Mater.</t>
    </r>
    <r>
      <rPr>
        <sz val="11"/>
        <color theme="1"/>
        <rFont val="Calibri"/>
        <family val="2"/>
        <scheme val="minor"/>
      </rPr>
      <t xml:space="preserve"> </t>
    </r>
    <r>
      <rPr>
        <b/>
        <sz val="11"/>
        <color theme="1"/>
        <rFont val="Calibri"/>
        <family val="2"/>
        <scheme val="minor"/>
      </rPr>
      <t>26</t>
    </r>
    <r>
      <rPr>
        <sz val="11"/>
        <color theme="1"/>
        <rFont val="Calibri"/>
        <family val="2"/>
        <scheme val="minor"/>
      </rPr>
      <t>, 222–233 (2019).</t>
    </r>
  </si>
  <si>
    <r>
      <t xml:space="preserve">Sauza, D. J., Dunand, D. C. &amp; Seidman, D. N. Microstructural evolution and high-temperature strength of a γ(f.c.c.)/γ’(L12) Co–Al–W–Ti–B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174</t>
    </r>
    <r>
      <rPr>
        <sz val="11"/>
        <color theme="1"/>
        <rFont val="Calibri"/>
        <family val="2"/>
        <scheme val="minor"/>
      </rPr>
      <t>, 427–438 (2019).</t>
    </r>
  </si>
  <si>
    <r>
      <t xml:space="preserve">Shi, L., Yu, J. J., Cui, C. Y. &amp; Sun, X. F. Effect of Ta additions on microstructure and mechanical properties of a single-crystal Co-Al-W-base alloy. </t>
    </r>
    <r>
      <rPr>
        <i/>
        <sz val="11"/>
        <color theme="1"/>
        <rFont val="Calibri"/>
        <family val="2"/>
        <scheme val="minor"/>
      </rPr>
      <t>Mater. Lett.</t>
    </r>
    <r>
      <rPr>
        <sz val="11"/>
        <color theme="1"/>
        <rFont val="Calibri"/>
        <family val="2"/>
        <scheme val="minor"/>
      </rPr>
      <t xml:space="preserve"> </t>
    </r>
    <r>
      <rPr>
        <b/>
        <sz val="11"/>
        <color theme="1"/>
        <rFont val="Calibri"/>
        <family val="2"/>
        <scheme val="minor"/>
      </rPr>
      <t>149</t>
    </r>
    <r>
      <rPr>
        <sz val="11"/>
        <color theme="1"/>
        <rFont val="Calibri"/>
        <family val="2"/>
        <scheme val="minor"/>
      </rPr>
      <t>, 58–61 (2015).</t>
    </r>
  </si>
  <si>
    <r>
      <t xml:space="preserve">Shi, L., Yu, J. J., Cui, C. Y. &amp; Sun, X. F. Temperature dependence of deformation behavior in a Co-Al-W-base single crystal superalloy.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620</t>
    </r>
    <r>
      <rPr>
        <sz val="11"/>
        <color theme="1"/>
        <rFont val="Calibri"/>
        <family val="2"/>
        <scheme val="minor"/>
      </rPr>
      <t>, 36–43 (2015).</t>
    </r>
  </si>
  <si>
    <r>
      <t xml:space="preserve">Shinagawa, K. </t>
    </r>
    <r>
      <rPr>
        <i/>
        <sz val="11"/>
        <color theme="1"/>
        <rFont val="Calibri"/>
        <family val="2"/>
        <scheme val="minor"/>
      </rPr>
      <t>et al.</t>
    </r>
    <r>
      <rPr>
        <sz val="11"/>
        <color theme="1"/>
        <rFont val="Calibri"/>
        <family val="2"/>
        <scheme val="minor"/>
      </rPr>
      <t xml:space="preserve"> Phase equilibria and thermodynamic calculation of the Co-Ta binary system.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49</t>
    </r>
    <r>
      <rPr>
        <sz val="11"/>
        <color theme="1"/>
        <rFont val="Calibri"/>
        <family val="2"/>
        <scheme val="minor"/>
      </rPr>
      <t>, 87–97 (2014).</t>
    </r>
  </si>
  <si>
    <r>
      <t xml:space="preserve">Shinagawa, K., Omori, T., Oikawa, K., Kainuma, R. &amp; Ishida, K. Ductility enhancement by boron addition in Co-Al-W high-temperature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61</t>
    </r>
    <r>
      <rPr>
        <sz val="11"/>
        <color theme="1"/>
        <rFont val="Calibri"/>
        <family val="2"/>
        <scheme val="minor"/>
      </rPr>
      <t>, 612–615 (2009).</t>
    </r>
  </si>
  <si>
    <r>
      <t xml:space="preserve">Stewart, C. A., Murray, S. P., Suzuki, A., Pollock, T. M. &amp; Levi, C. G. Accelerated discovery of oxidation resistant CoNi-base γ/γ’ alloys with high L12 solvus and low density. </t>
    </r>
    <r>
      <rPr>
        <i/>
        <sz val="11"/>
        <color theme="1"/>
        <rFont val="Calibri"/>
        <family val="2"/>
        <scheme val="minor"/>
      </rPr>
      <t>Mater. Des.</t>
    </r>
    <r>
      <rPr>
        <sz val="11"/>
        <color theme="1"/>
        <rFont val="Calibri"/>
        <family val="2"/>
        <scheme val="minor"/>
      </rPr>
      <t xml:space="preserve"> </t>
    </r>
    <r>
      <rPr>
        <b/>
        <sz val="11"/>
        <color theme="1"/>
        <rFont val="Calibri"/>
        <family val="2"/>
        <scheme val="minor"/>
      </rPr>
      <t>189</t>
    </r>
    <r>
      <rPr>
        <sz val="11"/>
        <color theme="1"/>
        <rFont val="Calibri"/>
        <family val="2"/>
        <scheme val="minor"/>
      </rPr>
      <t>, (2020).</t>
    </r>
  </si>
  <si>
    <r>
      <t xml:space="preserve">Suzuki, A. &amp; Pollock, T. M. High-temperature strength and deformation of γ/γ′ two-phase Co-Al-W-base alloys. </t>
    </r>
    <r>
      <rPr>
        <i/>
        <sz val="11"/>
        <color theme="1"/>
        <rFont val="Calibri"/>
        <family val="2"/>
        <scheme val="minor"/>
      </rPr>
      <t>Acta Mater.</t>
    </r>
    <r>
      <rPr>
        <sz val="11"/>
        <color theme="1"/>
        <rFont val="Calibri"/>
        <family val="2"/>
        <scheme val="minor"/>
      </rPr>
      <t xml:space="preserve"> </t>
    </r>
    <r>
      <rPr>
        <b/>
        <sz val="11"/>
        <color theme="1"/>
        <rFont val="Calibri"/>
        <family val="2"/>
        <scheme val="minor"/>
      </rPr>
      <t>56</t>
    </r>
    <r>
      <rPr>
        <sz val="11"/>
        <color theme="1"/>
        <rFont val="Calibri"/>
        <family val="2"/>
        <scheme val="minor"/>
      </rPr>
      <t>, 1288–1297 (2008).</t>
    </r>
  </si>
  <si>
    <r>
      <t xml:space="preserve">Suzuki, A., DeNolf, G. C. &amp; Pollock, T. M. Flow stress anomalies in γ/γ′ two-phase Co-Al-W-base alloys. </t>
    </r>
    <r>
      <rPr>
        <i/>
        <sz val="11"/>
        <color theme="1"/>
        <rFont val="Calibri"/>
        <family val="2"/>
        <scheme val="minor"/>
      </rPr>
      <t>Scr. Mater.</t>
    </r>
    <r>
      <rPr>
        <sz val="11"/>
        <color theme="1"/>
        <rFont val="Calibri"/>
        <family val="2"/>
        <scheme val="minor"/>
      </rPr>
      <t xml:space="preserve"> </t>
    </r>
    <r>
      <rPr>
        <b/>
        <sz val="11"/>
        <color theme="1"/>
        <rFont val="Calibri"/>
        <family val="2"/>
        <scheme val="minor"/>
      </rPr>
      <t>56</t>
    </r>
    <r>
      <rPr>
        <sz val="11"/>
        <color theme="1"/>
        <rFont val="Calibri"/>
        <family val="2"/>
        <scheme val="minor"/>
      </rPr>
      <t>, 385–388 (2007).</t>
    </r>
  </si>
  <si>
    <r>
      <t xml:space="preserve">Tanaka, K. &amp; Inui, H. </t>
    </r>
    <r>
      <rPr>
        <i/>
        <sz val="11"/>
        <color theme="1"/>
        <rFont val="Calibri"/>
        <family val="2"/>
        <scheme val="minor"/>
      </rPr>
      <t>Microstructural change of monocrystalline Co-Al-W-based γ/γ′ two phase alloys by high temperature creep</t>
    </r>
    <r>
      <rPr>
        <sz val="11"/>
        <color theme="1"/>
        <rFont val="Calibri"/>
        <family val="2"/>
        <scheme val="minor"/>
      </rPr>
      <t>. (2013).</t>
    </r>
  </si>
  <si>
    <r>
      <t xml:space="preserve">Titus, M. S., Suzuki, A. &amp; Pollock, T. M. </t>
    </r>
    <r>
      <rPr>
        <i/>
        <sz val="11"/>
        <color theme="1"/>
        <rFont val="Calibri"/>
        <family val="2"/>
        <scheme val="minor"/>
      </rPr>
      <t>High Temperature Creep of New L1 2-containing Cobalt-base Superalloys</t>
    </r>
    <r>
      <rPr>
        <sz val="11"/>
        <color theme="1"/>
        <rFont val="Calibri"/>
        <family val="2"/>
        <scheme val="minor"/>
      </rPr>
      <t>. (2012).</t>
    </r>
  </si>
  <si>
    <r>
      <t xml:space="preserve">Tomaszewska, A., Moskal, G., Migas, D., Mikuśkiewicz, M. &amp; Maciąg, T. Thermal parameters determination of Co–Al–W as-cast alloy homogenization by DTA analysis. </t>
    </r>
    <r>
      <rPr>
        <i/>
        <sz val="11"/>
        <color theme="1"/>
        <rFont val="Calibri"/>
        <family val="2"/>
        <scheme val="minor"/>
      </rPr>
      <t>J. Therm. Anal. Calorim.</t>
    </r>
    <r>
      <rPr>
        <sz val="11"/>
        <color theme="1"/>
        <rFont val="Calibri"/>
        <family val="2"/>
        <scheme val="minor"/>
      </rPr>
      <t xml:space="preserve"> </t>
    </r>
    <r>
      <rPr>
        <b/>
        <sz val="11"/>
        <color theme="1"/>
        <rFont val="Calibri"/>
        <family val="2"/>
        <scheme val="minor"/>
      </rPr>
      <t>134</t>
    </r>
    <r>
      <rPr>
        <sz val="11"/>
        <color theme="1"/>
        <rFont val="Calibri"/>
        <family val="2"/>
        <scheme val="minor"/>
      </rPr>
      <t>, 157–164 (2018).</t>
    </r>
  </si>
  <si>
    <r>
      <t xml:space="preserve">Tsunekane, M., Suzuki, A. &amp; Pollock, T. M. Single-crystal solidification of new Co-Al-W-base 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19</t>
    </r>
    <r>
      <rPr>
        <sz val="11"/>
        <color theme="1"/>
        <rFont val="Calibri"/>
        <family val="2"/>
        <scheme val="minor"/>
      </rPr>
      <t>, 636–643 (2011).</t>
    </r>
  </si>
  <si>
    <r>
      <t xml:space="preserve">Weaver, D. S., Shivpuri, R., Brevick, J. &amp; Fraser, H. </t>
    </r>
    <r>
      <rPr>
        <i/>
        <sz val="11"/>
        <color theme="1"/>
        <rFont val="Calibri"/>
        <family val="2"/>
        <scheme val="minor"/>
      </rPr>
      <t>Thermomechanical Processing of a Gamma-Prime Strengthened Cobalt-Base Superalloy</t>
    </r>
    <r>
      <rPr>
        <sz val="11"/>
        <color theme="1"/>
        <rFont val="Calibri"/>
        <family val="2"/>
        <scheme val="minor"/>
      </rPr>
      <t>.</t>
    </r>
  </si>
  <si>
    <r>
      <t xml:space="preserve">Wen, M. </t>
    </r>
    <r>
      <rPr>
        <i/>
        <sz val="11"/>
        <color theme="1"/>
        <rFont val="Calibri"/>
        <family val="2"/>
        <scheme val="minor"/>
      </rPr>
      <t>et al.</t>
    </r>
    <r>
      <rPr>
        <sz val="11"/>
        <color theme="1"/>
        <rFont val="Calibri"/>
        <family val="2"/>
        <scheme val="minor"/>
      </rPr>
      <t xml:space="preserve"> Effects of Al content on microstructures and high-temperature tensile properties of two newly designed CoNi-base superalloys. </t>
    </r>
    <r>
      <rPr>
        <i/>
        <sz val="11"/>
        <color theme="1"/>
        <rFont val="Calibri"/>
        <family val="2"/>
        <scheme val="minor"/>
      </rPr>
      <t>J. Alloys Compd.</t>
    </r>
    <r>
      <rPr>
        <sz val="11"/>
        <color theme="1"/>
        <rFont val="Calibri"/>
        <family val="2"/>
        <scheme val="minor"/>
      </rPr>
      <t xml:space="preserve"> 155337 (2020) doi:10.1016/j.jallcom.2020.155337.</t>
    </r>
  </si>
  <si>
    <r>
      <t xml:space="preserve">Xue, F., Wang, M. &amp; Feng, Q. Alloying Effects on Heat-Treated Microstructure in Co-Al-W-Base Superalloys at 1300°C and 900°C. </t>
    </r>
    <r>
      <rPr>
        <i/>
        <sz val="11"/>
        <color theme="1"/>
        <rFont val="Calibri"/>
        <family val="2"/>
        <scheme val="minor"/>
      </rPr>
      <t>Superalloys 2012</t>
    </r>
    <r>
      <rPr>
        <sz val="11"/>
        <color theme="1"/>
        <rFont val="Calibri"/>
        <family val="2"/>
        <scheme val="minor"/>
      </rPr>
      <t xml:space="preserve"> 813–821 (2012) doi:10.1002/9781118516430.ch90.</t>
    </r>
  </si>
  <si>
    <r>
      <t xml:space="preserve">Xue, F., Zhou, H. J. &amp; Feng, Q. Improved High-Temperature Microstructural Stability and Creep Property of Novel Co-Base Single-Crystal Alloys Containing Ta and Ti. </t>
    </r>
    <r>
      <rPr>
        <i/>
        <sz val="11"/>
        <color theme="1"/>
        <rFont val="Calibri"/>
        <family val="2"/>
        <scheme val="minor"/>
      </rPr>
      <t>JOM</t>
    </r>
    <r>
      <rPr>
        <sz val="11"/>
        <color theme="1"/>
        <rFont val="Calibri"/>
        <family val="2"/>
        <scheme val="minor"/>
      </rPr>
      <t xml:space="preserve"> </t>
    </r>
    <r>
      <rPr>
        <b/>
        <sz val="11"/>
        <color theme="1"/>
        <rFont val="Calibri"/>
        <family val="2"/>
        <scheme val="minor"/>
      </rPr>
      <t>66</t>
    </r>
    <r>
      <rPr>
        <sz val="11"/>
        <color theme="1"/>
        <rFont val="Calibri"/>
        <family val="2"/>
        <scheme val="minor"/>
      </rPr>
      <t>, 2486–2494 (2014).</t>
    </r>
  </si>
  <si>
    <r>
      <t xml:space="preserve">Yan, H. Y., Vorontsov, V. A. &amp; Dye, D. Alloying effects in polycrystalline γ′ strengthened Co-Al-W base alloys.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48</t>
    </r>
    <r>
      <rPr>
        <sz val="11"/>
        <color theme="1"/>
        <rFont val="Calibri"/>
        <family val="2"/>
        <scheme val="minor"/>
      </rPr>
      <t>, 44–53 (2014).</t>
    </r>
  </si>
  <si>
    <r>
      <t xml:space="preserve">Yeh, A. C., Wang, S. C., Cheng, C. F., Chang, Y. J. &amp; Chang, S. C. Oxidation Behaviour of Si-Bearing Co-Based Alloys. </t>
    </r>
    <r>
      <rPr>
        <i/>
        <sz val="11"/>
        <color theme="1"/>
        <rFont val="Calibri"/>
        <family val="2"/>
        <scheme val="minor"/>
      </rPr>
      <t>Oxid. Met.</t>
    </r>
    <r>
      <rPr>
        <sz val="11"/>
        <color theme="1"/>
        <rFont val="Calibri"/>
        <family val="2"/>
        <scheme val="minor"/>
      </rPr>
      <t xml:space="preserve"> </t>
    </r>
    <r>
      <rPr>
        <b/>
        <sz val="11"/>
        <color theme="1"/>
        <rFont val="Calibri"/>
        <family val="2"/>
        <scheme val="minor"/>
      </rPr>
      <t>86</t>
    </r>
    <r>
      <rPr>
        <sz val="11"/>
        <color theme="1"/>
        <rFont val="Calibri"/>
        <family val="2"/>
        <scheme val="minor"/>
      </rPr>
      <t>, 99–112 (2016).</t>
    </r>
  </si>
  <si>
    <r>
      <t xml:space="preserve">Yu, J. </t>
    </r>
    <r>
      <rPr>
        <i/>
        <sz val="11"/>
        <color theme="1"/>
        <rFont val="Calibri"/>
        <family val="2"/>
        <scheme val="minor"/>
      </rPr>
      <t>et al.</t>
    </r>
    <r>
      <rPr>
        <sz val="11"/>
        <color theme="1"/>
        <rFont val="Calibri"/>
        <family val="2"/>
        <scheme val="minor"/>
      </rPr>
      <t xml:space="preserve"> A two-stage predicting model for γ′ solvus temperature of L12-strengthened Co-base superalloys based on machine learning.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110</t>
    </r>
    <r>
      <rPr>
        <sz val="11"/>
        <color theme="1"/>
        <rFont val="Calibri"/>
        <family val="2"/>
        <scheme val="minor"/>
      </rPr>
      <t>, 106466 (2019).</t>
    </r>
  </si>
  <si>
    <t>--</t>
  </si>
  <si>
    <r>
      <t xml:space="preserve">Zhang, Y. Y. Y. Y., Fu, H., Zhou, X., Zhang, Y. Y. Y. Y. &amp; Xie, J. Enhanced mechanical properties of wrought γ′-strengthened Co-base superalloys by adjusting the relative content of Al and Ti. </t>
    </r>
    <r>
      <rPr>
        <i/>
        <sz val="11"/>
        <color theme="1"/>
        <rFont val="Calibri"/>
        <family val="2"/>
        <scheme val="minor"/>
      </rPr>
      <t>Intermetallics</t>
    </r>
    <r>
      <rPr>
        <sz val="11"/>
        <color theme="1"/>
        <rFont val="Calibri"/>
        <family val="2"/>
        <scheme val="minor"/>
      </rPr>
      <t xml:space="preserve"> </t>
    </r>
    <r>
      <rPr>
        <b/>
        <sz val="11"/>
        <color theme="1"/>
        <rFont val="Calibri"/>
        <family val="2"/>
        <scheme val="minor"/>
      </rPr>
      <t>112</t>
    </r>
    <r>
      <rPr>
        <sz val="11"/>
        <color theme="1"/>
        <rFont val="Calibri"/>
        <family val="2"/>
        <scheme val="minor"/>
      </rPr>
      <t>, 106543 (2019).</t>
    </r>
  </si>
  <si>
    <r>
      <t xml:space="preserve">Zhang, Y. Y. Y., Fu, H., Zhou, X., Zhang, Y. Y. Y. &amp; Xie, J. Effects of aluminum and molybdenum content on the microstructure and properties of multi-component γ′-strengthened cobalt-base superalloys.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737</t>
    </r>
    <r>
      <rPr>
        <sz val="11"/>
        <color theme="1"/>
        <rFont val="Calibri"/>
        <family val="2"/>
        <scheme val="minor"/>
      </rPr>
      <t>, 265–273 (2018).</t>
    </r>
  </si>
  <si>
    <r>
      <t xml:space="preserve">Zhong, F., Li, S. &amp; Sha, J. Tensile behaviour of Co-Al-W-Ta-B-Mo alloys with a coherent γ/γ’ microstructure at room and high temperatures.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637</t>
    </r>
    <r>
      <rPr>
        <sz val="11"/>
        <color theme="1"/>
        <rFont val="Calibri"/>
        <family val="2"/>
        <scheme val="minor"/>
      </rPr>
      <t>, 175–182 (2015).</t>
    </r>
  </si>
  <si>
    <r>
      <t xml:space="preserve">Zhou, H. J. </t>
    </r>
    <r>
      <rPr>
        <i/>
        <sz val="11"/>
        <color theme="1"/>
        <rFont val="Calibri"/>
        <family val="2"/>
        <scheme val="minor"/>
      </rPr>
      <t>et al.</t>
    </r>
    <r>
      <rPr>
        <sz val="11"/>
        <color theme="1"/>
        <rFont val="Calibri"/>
        <family val="2"/>
        <scheme val="minor"/>
      </rPr>
      <t xml:space="preserve"> Alloying effects on microstructural stability and γ′ phase nano-hardness in Co-Al-W-Ta-Ti-base superalloys. in </t>
    </r>
    <r>
      <rPr>
        <i/>
        <sz val="11"/>
        <color theme="1"/>
        <rFont val="Calibri"/>
        <family val="2"/>
        <scheme val="minor"/>
      </rPr>
      <t>Proceedings of the International Symposium on Superalloys</t>
    </r>
    <r>
      <rPr>
        <sz val="11"/>
        <color theme="1"/>
        <rFont val="Calibri"/>
        <family val="2"/>
        <scheme val="minor"/>
      </rPr>
      <t xml:space="preserve"> vols 2016-Janua 981–990 (Minerals, Metals and Materials Society, 2016).</t>
    </r>
  </si>
  <si>
    <t>&gt;1270</t>
  </si>
  <si>
    <r>
      <t xml:space="preserve">Zhou, H. J., Xue, F., Chang, H. &amp; Feng, Q. Effect of Mo on microstructural characteristics and coarsening kinetics of γ’ precipitates in Co–Al–W–Ta–Ti alloys. </t>
    </r>
    <r>
      <rPr>
        <i/>
        <sz val="11"/>
        <color theme="1"/>
        <rFont val="Calibri"/>
        <family val="2"/>
        <scheme val="minor"/>
      </rPr>
      <t>J. Mater. Sci. Technol.</t>
    </r>
    <r>
      <rPr>
        <sz val="11"/>
        <color theme="1"/>
        <rFont val="Calibri"/>
        <family val="2"/>
        <scheme val="minor"/>
      </rPr>
      <t xml:space="preserve"> </t>
    </r>
    <r>
      <rPr>
        <b/>
        <sz val="11"/>
        <color theme="1"/>
        <rFont val="Calibri"/>
        <family val="2"/>
        <scheme val="minor"/>
      </rPr>
      <t>34</t>
    </r>
    <r>
      <rPr>
        <sz val="11"/>
        <color theme="1"/>
        <rFont val="Calibri"/>
        <family val="2"/>
        <scheme val="minor"/>
      </rPr>
      <t>, 799–805 (2018).</t>
    </r>
  </si>
  <si>
    <r>
      <t xml:space="preserve">Zhuang, X., Lu, S., Li, L. &amp; Feng, Q. Microstructures and properties of a novel γ′-strengthened multi-component CoNi-based wrought superalloy designed by CALPHAD method. </t>
    </r>
    <r>
      <rPr>
        <i/>
        <sz val="11"/>
        <color theme="1"/>
        <rFont val="Calibri"/>
        <family val="2"/>
        <scheme val="minor"/>
      </rPr>
      <t>Mater. Sci. Eng. A</t>
    </r>
    <r>
      <rPr>
        <sz val="11"/>
        <color theme="1"/>
        <rFont val="Calibri"/>
        <family val="2"/>
        <scheme val="minor"/>
      </rPr>
      <t xml:space="preserve"> </t>
    </r>
    <r>
      <rPr>
        <b/>
        <sz val="11"/>
        <color theme="1"/>
        <rFont val="Calibri"/>
        <family val="2"/>
        <scheme val="minor"/>
      </rPr>
      <t>780</t>
    </r>
    <r>
      <rPr>
        <sz val="11"/>
        <color theme="1"/>
        <rFont val="Calibri"/>
        <family val="2"/>
        <scheme val="minor"/>
      </rPr>
      <t>, (2020).</t>
    </r>
  </si>
  <si>
    <t>PX</t>
  </si>
  <si>
    <t>-</t>
  </si>
  <si>
    <t>Co-30Ni-10Al-5V-4Ta-2Ti</t>
  </si>
  <si>
    <t>composition table is full of typos</t>
  </si>
  <si>
    <t>Order</t>
  </si>
  <si>
    <t>solvus</t>
  </si>
  <si>
    <t>solidus</t>
  </si>
  <si>
    <t>liquidus</t>
  </si>
  <si>
    <t>Hardness convert HV</t>
  </si>
  <si>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https://doi.org/10.1016/j.mtla.2020.100633</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</si>
  <si>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https://doi.org/10.1016/j.mtla.2020.100632</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</si>
  <si>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https://doi.org/10.1016/j.mtla.2020.100636</t>
    </r>
    <r>
      <rPr>
        <sz val="11"/>
        <color theme="1"/>
        <rFont val="Calibri"/>
        <family val="2"/>
        <scheme val="minor"/>
      </rPr>
      <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</si>
  <si>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https://doi.org/10.1016/j.mtla.2020.100635</t>
    </r>
    <r>
      <rPr>
        <sz val="11"/>
        <color theme="1"/>
        <rFont val="Calibri"/>
        <family val="2"/>
        <scheme val="minor"/>
      </rPr>
      <t/>
    </r>
  </si>
  <si>
    <r>
      <t xml:space="preserve">Baler, N., Pandey, P., Palanisamy, D., Makineni, S. K., Phanikumar, G., &amp; Chattopadhyay, K. (2020). On the effect of W addition on microstructural evolution and γ′ precipitate coarsening in a Co–30Ni–10Al–5Mo–2Ta–2Ti alloy. </t>
    </r>
    <r>
      <rPr>
        <i/>
        <sz val="11"/>
        <color theme="1"/>
        <rFont val="Calibri"/>
        <family val="2"/>
        <scheme val="minor"/>
      </rPr>
      <t>Materialia</t>
    </r>
    <r>
      <rPr>
        <sz val="11"/>
        <color theme="1"/>
        <rFont val="Calibri"/>
        <family val="2"/>
        <scheme val="minor"/>
      </rPr>
      <t xml:space="preserve">, </t>
    </r>
    <r>
      <rPr>
        <i/>
        <sz val="11"/>
        <color theme="1"/>
        <rFont val="Calibri"/>
        <family val="2"/>
        <scheme val="minor"/>
      </rPr>
      <t>10</t>
    </r>
    <r>
      <rPr>
        <sz val="11"/>
        <color theme="1"/>
        <rFont val="Calibri"/>
        <family val="2"/>
        <scheme val="minor"/>
      </rPr>
      <t>. https://doi.org/10.1016/j.mtla.2020.100634</t>
    </r>
    <r>
      <rPr>
        <sz val="11"/>
        <color theme="1"/>
        <rFont val="Calibri"/>
        <family val="2"/>
        <scheme val="minor"/>
      </rPr>
      <t/>
    </r>
  </si>
  <si>
    <r>
      <t xml:space="preserve">Bocchini, P. J. (2015). </t>
    </r>
    <r>
      <rPr>
        <i/>
        <sz val="11"/>
        <color theme="1"/>
        <rFont val="Calibri"/>
        <family val="2"/>
        <scheme val="minor"/>
      </rPr>
      <t>Microstructure and Mechanical Properties in Gamma(face-centered cubic) + Gamma Prime(L1 2 ) Precipitation-Strengthened Cobalt-based Superalloys</t>
    </r>
    <r>
      <rPr>
        <sz val="11"/>
        <color theme="1"/>
        <rFont val="Calibri"/>
        <family val="2"/>
        <scheme val="minor"/>
      </rPr>
      <t>. AND Dunand, D. C. et al. ‘Designing Nanoscale Precipitates in Novel Cobalt-based Superalloys to Improve Creep Resistance and Operating Temperature’ Final Technical Report. (2010).</t>
    </r>
  </si>
  <si>
    <r>
      <t xml:space="preserve">Casas, R., Gálvez, F., &amp; Campos, M. (2018). Microstructural development of powder metallurgy cobalt-based superalloys processed by field assisted sintering techniques (FAST). </t>
    </r>
    <r>
      <rPr>
        <i/>
        <sz val="11"/>
        <color theme="1"/>
        <rFont val="Calibri"/>
        <family val="2"/>
        <scheme val="minor"/>
      </rPr>
      <t>Materials Science and Engineering A</t>
    </r>
    <r>
      <rPr>
        <sz val="11"/>
        <color theme="1"/>
        <rFont val="Calibri"/>
        <family val="2"/>
        <scheme val="minor"/>
      </rPr>
      <t xml:space="preserve">, </t>
    </r>
    <r>
      <rPr>
        <i/>
        <sz val="11"/>
        <color theme="1"/>
        <rFont val="Calibri"/>
        <family val="2"/>
        <scheme val="minor"/>
      </rPr>
      <t>724</t>
    </r>
    <r>
      <rPr>
        <sz val="11"/>
        <color theme="1"/>
        <rFont val="Calibri"/>
        <family val="2"/>
        <scheme val="minor"/>
      </rPr>
      <t>, 461–468. https://doi.org/10.1016/j.msea.2018.04.005</t>
    </r>
  </si>
  <si>
    <r>
      <t xml:space="preserve">Che, C., Yang, S., Wei, M., Zhang, L., Li, Q., Gao, J., &amp; Du, Y. (2017). Microstructure, hardness and interfacial energy in Co-9Al-10W-Xni (X=15, 25, 35 At. %) alloys during aging. </t>
    </r>
    <r>
      <rPr>
        <i/>
        <sz val="11"/>
        <color theme="1"/>
        <rFont val="Calibri"/>
        <family val="2"/>
        <scheme val="minor"/>
      </rPr>
      <t>Journal of Mining and Metallurgy, Section B: Metallurgy</t>
    </r>
    <r>
      <rPr>
        <sz val="11"/>
        <color theme="1"/>
        <rFont val="Calibri"/>
        <family val="2"/>
        <scheme val="minor"/>
      </rPr>
      <t xml:space="preserve">, </t>
    </r>
    <r>
      <rPr>
        <i/>
        <sz val="11"/>
        <color theme="1"/>
        <rFont val="Calibri"/>
        <family val="2"/>
        <scheme val="minor"/>
      </rPr>
      <t>53</t>
    </r>
    <r>
      <rPr>
        <sz val="11"/>
        <color theme="1"/>
        <rFont val="Calibri"/>
        <family val="2"/>
        <scheme val="minor"/>
      </rPr>
      <t>(3), 303–308. https://doi.org/10.2298/JMMB170531021C</t>
    </r>
  </si>
  <si>
    <t>Hausmann, D. et al. Enhancing the high-temperature strength of a Co-base superalloy by optimizing the γ/γ’ microstructure. Metals (Basel). 10, (2020).</t>
  </si>
  <si>
    <r>
      <t xml:space="preserve">Locq, D., Martin, M., Ramusat, C., Fossard, F. &amp; Perrut, M. γ′ Precipitation Study of a Co-Ni-Based Alloy. </t>
    </r>
    <r>
      <rPr>
        <i/>
        <sz val="11"/>
        <color theme="1"/>
        <rFont val="Calibri"/>
        <family val="2"/>
        <scheme val="minor"/>
      </rPr>
      <t>Metall. Mater. Trans. A Phys. Metall. Mater. Sci.</t>
    </r>
    <r>
      <rPr>
        <sz val="11"/>
        <color theme="1"/>
        <rFont val="Calibri"/>
        <family val="2"/>
        <scheme val="minor"/>
      </rPr>
      <t xml:space="preserve"> </t>
    </r>
    <r>
      <rPr>
        <b/>
        <sz val="11"/>
        <color theme="1"/>
        <rFont val="Calibri"/>
        <family val="2"/>
        <scheme val="minor"/>
      </rPr>
      <t>49</t>
    </r>
    <r>
      <rPr>
        <sz val="11"/>
        <color theme="1"/>
        <rFont val="Calibri"/>
        <family val="2"/>
        <scheme val="minor"/>
      </rPr>
      <t>, 3854–3864 (2018).</t>
    </r>
  </si>
  <si>
    <r>
      <t xml:space="preserve">Sauza, D. J., Dunand, D. C., Noebe, R. D. &amp; Seidman, D. N. γ’-(L12) precipitate evolution during isothermal aging of a Co–Al–W–Ni superalloy. </t>
    </r>
    <r>
      <rPr>
        <i/>
        <sz val="11"/>
        <color theme="1"/>
        <rFont val="Calibri"/>
        <family val="2"/>
        <scheme val="minor"/>
      </rPr>
      <t>Acta Mater.</t>
    </r>
    <r>
      <rPr>
        <sz val="11"/>
        <color theme="1"/>
        <rFont val="Calibri"/>
        <family val="2"/>
        <scheme val="minor"/>
      </rPr>
      <t xml:space="preserve"> </t>
    </r>
    <r>
      <rPr>
        <b/>
        <sz val="11"/>
        <color theme="1"/>
        <rFont val="Calibri"/>
        <family val="2"/>
        <scheme val="minor"/>
      </rPr>
      <t>164</t>
    </r>
    <r>
      <rPr>
        <sz val="11"/>
        <color theme="1"/>
        <rFont val="Calibri"/>
        <family val="2"/>
        <scheme val="minor"/>
      </rPr>
      <t>, 654–662 (2019).</t>
    </r>
  </si>
  <si>
    <t>Pandey, P., Mazumder, N., Singh, M. P., Patil, C., Sharma, A., Makineni, S. K., Banerjee, D., &amp; Chattopadhyay, K. (2021). Design of low mass density γ/γ′ CoNi-based superalloys with promising high-temperature mechanical properties. Physical Review Materials, 5(9). https://doi.org/10.1103/PhysRevMaterials.5.093608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</si>
  <si>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https://doi.org/10.1103/PhysRevMaterials.5.093609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</si>
  <si>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https://doi.org/10.1103/PhysRevMaterials.5.093610</t>
  </si>
  <si>
    <t>Aliakbari-Sani, S., Vafaeenezhad, H., Arabi, H., &amp; Ebrahimi, G. R. (2022). Quantitative kinetic analysis of γ′ precipitate evolution in a Co–Al–W superalloy during aging heat treatment. Journal of Materials Research and Technology, 21, 3425–3439. https://doi.org/10.1016/j.jmrt.2022.10.166</t>
  </si>
  <si>
    <t>Aliakbari-Sani, S., Vafaeenezhad, H., Arabi, H., &amp; Ebrahimi, G. R. (2022). Quantitative kinetic analysis of γ′ precipitate evolution in a Co–Al–W superalloy during aging heat treatment. Journal of Materials Research and Technology, 21, 3425–3439. https://doi.org/10.1016/j.jmrt.2022.10.167</t>
  </si>
  <si>
    <t>Aliakbari-Sani, S., Vafaeenezhad, H., Arabi, H., &amp; Ebrahimi, G. R. (2022). Quantitative kinetic analysis of γ′ precipitate evolution in a Co–Al–W superalloy during aging heat treatment. Journal of Materials Research and Technology, 21, 3425–3439. https://doi.org/10.1016/j.jmrt.2022.10.168</t>
  </si>
  <si>
    <t>Cartón-Cordero, M., Srinivasarao, B., Campos, M., García-Junceda, A., &amp; Torralba, J. M. (2016). On the role of processing parameters in sintered new Co-based (W,Al) alloys. Journal of Alloys and Compounds, 674, 406–412. https://doi.org/10.1016/j.jallcom.2016.03.083</t>
  </si>
  <si>
    <t>Cartón-Cordero, M., Srinivasarao, B., Campos, M., García-Junceda, A., &amp; Torralba, J. M. (2016). On the role of processing parameters in sintered new Co-based (W,Al) alloys. Journal of Alloys and Compounds, 674, 406–412. https://doi.org/10.1016/j.jallcom.2016.03.078</t>
  </si>
  <si>
    <t>Sani, S. A., Arabi, H., Kheirandish, S. &amp; Ebrahimi, G. Investigation on the homogenization treatment and element segregation on the microstructure of a γ/γ′-cobalt-based superalloy. Int. J. Miner. Metall. Mater. 26, 222–233 (2019).</t>
  </si>
  <si>
    <t>Test Temperature C</t>
  </si>
  <si>
    <t>Aging Temperature C</t>
  </si>
  <si>
    <t>Compression/Tension</t>
  </si>
  <si>
    <t>Neumeier, S., Freund, L. P. &amp; Göken, M. Novel wrought γ/γ′ cobalt base superalloys with high strength and improved oxidation resistance. Scr. Mater. 109, 104–107 (2015).</t>
  </si>
  <si>
    <t>unreported</t>
  </si>
  <si>
    <t>compression</t>
  </si>
  <si>
    <t>Co-9.2Al-9.5W-0.02</t>
  </si>
  <si>
    <t>Chen, Y., Wang, C., Ruan, J., Omori, T., Kainuma, R., Ishida, K., &amp; Liu, X. (2019). High-strength Co–Al–V-base superalloys strengthened by γ′-Co 3 (Al,V) with high solvus temperature. Acta Materialia, 170, 62–74. https://doi.org/10.1016/j.actamat.2019.03.032</t>
  </si>
  <si>
    <t>Chen, Y., Wang, C., Ruan, J., Omori, T., Kainuma, R., Ishida, K., &amp; Liu, X. (2019). High-strength Co–Al–V-base superalloys strengthened by γ′-Co 3 (Al,V) with high solvus temperature. Acta Materialia, 170, 62–74. https://doi.org/10.1016/j.actamat.2019.03.033</t>
  </si>
  <si>
    <t>compression, from arc melting</t>
  </si>
  <si>
    <t>Baler, N., Pandey, P., Palanisamy, D., Makineni, S. K., Phanikumar, G., &amp; Chattopadhyay, K. (2020). On the effect of W addition on microstructural evolution and γ′ precipitate coarsening in a Co–30Ni–10Al–5Mo–2Ta–2Ti alloy. Materialia, 10. https://doi.org/10.1016/j.mtla.2020.100640</t>
  </si>
  <si>
    <t>Baler, N., Pandey, P., Palanisamy, D., Makineni, S. K., Phanikumar, G., &amp; Chattopadhyay, K. (2020). On the effect of W addition on microstructural evolution and γ′ precipitate coarsening in a Co–30Ni–10Al–5Mo–2Ta–2Ti alloy. Materialia, 10. https://doi.org/10.1016/j.mtla.2020.100641</t>
  </si>
  <si>
    <t>Baler, N., Pandey, P., Palanisamy, D., Makineni, S. K., Phanikumar, G., &amp; Chattopadhyay, K. (2020). On the effect of W addition on microstructural evolution and γ′ precipitate coarsening in a Co–30Ni–10Al–5Mo–2Ta–2Ti alloy. Materialia, 10. https://doi.org/10.1016/j.mtla.2020.100639</t>
  </si>
  <si>
    <t>aged 700-900C for 48-4000hr</t>
  </si>
  <si>
    <t>Chen, Y., Wang, C., Ruan, J., Omori, T., Kainuma, R., Ishida, K., &amp; Liu, X. (2019). High-strength Co–Al–V-base superalloys strengthened by γ′-Co 3 (Al,V) with high solvus temperature. Acta Materialia, 170, 62–74. https://doi.org/10.1016/j.actamat.2019.03.034</t>
  </si>
  <si>
    <t>compression, [001]</t>
  </si>
  <si>
    <t>Baler, N., Pandey, P., Palanisamy, D., Makineni, S. K., Phanikumar, G., &amp; Chattopadhyay, K. (2020). On the effect of W addition on microstructural evolution and γ′ precipitate coarsening in a Co–30Ni–10Al–5Mo–2Ta–2Ti alloy. Materialia, 10. https://doi.org/10.1016/j.mtla.2020.100642</t>
  </si>
  <si>
    <t>Aged 900C 168hr</t>
  </si>
  <si>
    <t>Baler, N., Pandey, P., Palanisamy, D., Makineni, S. K., Phanikumar, G., &amp; Chattopadhyay, K. (2020). On the effect of W addition on microstructural evolution and γ′ precipitate coarsening in a Co–30Ni–10Al–5Mo–2Ta–2Ti alloy. Materialia, 10. https://doi.org/10.1016/j.mtla.2020.100643</t>
  </si>
  <si>
    <t>Chen, Y., Wang, C., Ruan, J., Omori, T., Kainuma, R., Ishida, K., &amp; Liu, X. (2019). High-strength Co–Al–V-base superalloys strengthened by γ′-Co 3 (Al,V) with high solvus temperature. Acta Materialia, 170, 62–74. https://doi.org/10.1016/j.actamat.2019.03.035</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</si>
  <si>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https://doi.org/10.1016/j.msea.2020.139514</t>
  </si>
  <si>
    <t>Baler, N., Pandey, P., Palanisamy, D., Makineni, S. K., Phanikumar, G., &amp; Chattopadhyay, K. (2020). On the effect of W addition on microstructural evolution and γ′ precipitate coarsening in a Co–30Ni–10Al–5Mo–2Ta–2Ti alloy. Materialia, 10. https://doi.org/10.1016/j.mtla.2020.100644</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</si>
  <si>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https://doi.org/10.1016/j.msea.2020.139510</t>
  </si>
  <si>
    <t>Baler, N., Pandey, P., Palanisamy, D., Makineni, S. K., Phanikumar, G., &amp; Chattopadhyay, K. (2020). On the effect of W addition on microstructural evolution and γ′ precipitate coarsening in a Co–30Ni–10Al–5Mo–2Ta–2Ti alloy. Materialia, 10. https://doi.org/10.1016/j.mtla.2020.100638</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</si>
  <si>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https://doi.org/10.1016/j.msea.2020.139515</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</si>
  <si>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https://doi.org/10.1016/j.msea.2020.139511</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</si>
  <si>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https://doi.org/10.1016/j.msea.2020.139516</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</si>
  <si>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https://doi.org/10.1016/j.msea.2020.139512</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</si>
  <si>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https://doi.org/10.1016/j.msea.2020.139506</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</si>
  <si>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https://doi.org/10.1016/j.msea.2020.139517</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</si>
  <si>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https://doi.org/10.1016/j.msea.2020.139513</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</si>
  <si>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https://doi.org/10.1016/j.msea.2020.139502</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</si>
  <si>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https://doi.org/10.1016/j.msea.2020.139507</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</si>
  <si>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https://doi.org/10.1016/j.msea.2020.139508</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</si>
  <si>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https://doi.org/10.1016/j.msea.2020.139503</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</si>
  <si>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https://doi.org/10.1016/j.msea.2020.139509</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</si>
  <si>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https://doi.org/10.1016/j.msea.2020.139504</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</si>
  <si>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https://doi.org/10.1016/j.msea.2020.139499</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</si>
  <si>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https://doi.org/10.1016/j.msea.2020.139500</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</si>
  <si>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https://doi.org/10.1016/j.msea.2020.139505</t>
  </si>
  <si>
    <t>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https://doi.org/10.1016/j.msea.2020.139501</t>
  </si>
  <si>
    <t>Q=540 kJ/mol</t>
  </si>
  <si>
    <t>compressio, strain rate E-3, (prob not max, 1025 lowest T recorded)</t>
  </si>
  <si>
    <t>tensile, vacuum, strain rate E-3</t>
  </si>
  <si>
    <t>CoEXP(FG)</t>
  </si>
  <si>
    <t>fine grain, don't report strain rate so assume 1E-4</t>
  </si>
  <si>
    <t>CoEXP(CG)</t>
  </si>
  <si>
    <t>coarse grain, assume 1E-4</t>
  </si>
  <si>
    <t>CoEXP (PM)</t>
  </si>
  <si>
    <t>powder metallurgy, assume 1E-4</t>
  </si>
  <si>
    <t>fine grain, assume 1E-4</t>
  </si>
  <si>
    <t>sr not reported, assume 1E-4</t>
  </si>
  <si>
    <t>SX</t>
  </si>
  <si>
    <t>aged 950 10h</t>
  </si>
  <si>
    <t>aged 850C 24h</t>
  </si>
  <si>
    <t>aged 900C, 20h</t>
  </si>
  <si>
    <t>hot forged (30% reduction) before aged 900C, 20h</t>
  </si>
  <si>
    <t>tensile</t>
  </si>
  <si>
    <t>Cartón-Cordero, M., Srinivasarao, B., Campos, M., García-Junceda, A., &amp; Torralba, J. M. (2016). On the role of processing parameters in sintered new Co-based (W,Al) alloys. Journal of Alloys and Compounds, 674, 406–412. https://doi.org/10.1016/j.jallcom.2016.03.084</t>
  </si>
  <si>
    <t>Cartón-Cordero, M., Srinivasarao, B., Campos, M., García-Junceda, A., &amp; Torralba, J. M. (2016). On the role of processing parameters in sintered new Co-based (W,Al) alloys. Journal of Alloys and Compounds, 674, 406–412. https://doi.org/10.1016/j.jallcom.2016.03.079</t>
  </si>
  <si>
    <t>Cartón-Cordero, M., Srinivasarao, B., Campos, M., García-Junceda, A., &amp; Torralba, J. M. (2016). On the role of processing parameters in sintered new Co-based (W,Al) alloys. Journal of Alloys and Compounds, 674, 406–412. https://doi.org/10.1016/j.jallcom.2016.03.080</t>
  </si>
  <si>
    <t>Cartón-Cordero, M., Srinivasarao, B., Campos, M., García-Junceda, A., &amp; Torralba, J. M. (2016). On the role of processing parameters in sintered new Co-based (W,Al) alloys. Journal of Alloys and Compounds, 674, 406–412. https://doi.org/10.1016/j.jallcom.2016.03.081</t>
  </si>
  <si>
    <t>Cartón-Cordero, M., Srinivasarao, B., Campos, M., García-Junceda, A., &amp; Torralba, J. M. (2016). On the role of processing parameters in sintered new Co-based (W,Al) alloys. Journal of Alloys and Compounds, 674, 406–412. https://doi.org/10.1016/j.jallcom.2016.03.085</t>
  </si>
  <si>
    <t>Cartón-Cordero, M., Srinivasarao, B., Campos, M., García-Junceda, A., &amp; Torralba, J. M. (2016). On the role of processing parameters in sintered new Co-based (W,Al) alloys. Journal of Alloys and Compounds, 674, 406–412. https://doi.org/10.1016/j.jallcom.2016.03.086</t>
  </si>
  <si>
    <t>Cartón-Cordero, M., Srinivasarao, B., Campos, M., García-Junceda, A., &amp; Torralba, J. M. (2016). On the role of processing parameters in sintered new Co-based (W,Al) alloys. Journal of Alloys and Compounds, 674, 406–412. https://doi.org/10.1016/j.jallcom.2016.03.082</t>
  </si>
  <si>
    <t>Cartón-Cordero, M., Srinivasarao, B., Campos, M., García-Junceda, A., &amp; Torralba, J. M. (2016). On the role of processing parameters in sintered new Co-based (W,Al) alloys. Journal of Alloys and Compounds, 674, 406–412. https://doi.org/10.1016/j.jallcom.2016.03.087</t>
  </si>
  <si>
    <t>Chen, Y., Wang, C., Ruan, J., Yang, S., Omori, T., Kainuma, R., Ishida, K., Han, J., Lu, Y., &amp; Liu, X. (2020). Development of low-density γ/γ′ Co–Al–Ta-based superalloys with high solvus temperature. Acta Materialia, 188, 652–664. https://doi.org/10.1016/j.actamat.2020.02.064</t>
  </si>
  <si>
    <t>Chen, Y., Wang, C., Ruan, J., Yang, S., Omori, T., Kainuma, R., Ishida, K., Han, J., Lu, Y., &amp; Liu, X. (2020). Development of low-density γ/γ′ Co–Al–Ta-based superalloys with high solvus temperature. Acta Materialia, 188, 652–664. https://doi.org/10.1016/j.actamat.2020.02.065</t>
  </si>
  <si>
    <t>Chen, Y., Wang, C., Ruan, J., Yang, S., Omori, T., Kainuma, R., Ishida, K., Han, J., Lu, Y., &amp; Liu, X. (2020). Development of low-density γ/γ′ Co–Al–Ta-based superalloys with high solvus temperature. Acta Materialia, 188, 652–664. https://doi.org/10.1016/j.actamat.2020.02.063</t>
  </si>
  <si>
    <t>Chen, Y., Wang, C., Ruan, J., Yang, S., Omori, T., Kainuma, R., Ishida, K., Han, J., Lu, Y., &amp; Liu, X. (2020). Development of low-density γ/γ′ Co–Al–Ta-based superalloys with high solvus temperature. Acta Materialia, 188, 652–664. https://doi.org/10.1016/j.actamat.2020.02.066</t>
  </si>
  <si>
    <t>SX [001]</t>
  </si>
  <si>
    <t>fine grain, strain rate not reported</t>
  </si>
  <si>
    <t>compression, heat treat 800C-4hr +725C-16hr</t>
  </si>
  <si>
    <t>compression, heat treat 900C-4hr +750C-16hr</t>
  </si>
  <si>
    <t>Fe3m</t>
  </si>
  <si>
    <t>compression,peak aged 800C, listed as proof stress</t>
  </si>
  <si>
    <t>tensile, peak aged 800C, listed as proof stress</t>
  </si>
  <si>
    <t>compression, listed as proof stress</t>
  </si>
  <si>
    <t>SX[001]</t>
  </si>
  <si>
    <t>Shi, L., Yu, J. J., Cui, C. Y. &amp; Sun, X. F. Temperature dependence of deformation behavior in a Co-Al-W-base single crystal superalloy. Mater. Sci. Eng. A 620, 36–43 (2015).</t>
  </si>
  <si>
    <t>compresssion</t>
  </si>
  <si>
    <t>Co-9Al-3W-2Ta-5Hf</t>
  </si>
  <si>
    <t>Co-9Al-4W-2Ta-6Hf</t>
  </si>
  <si>
    <t>tension</t>
  </si>
  <si>
    <t>tensile, PX</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</si>
  <si>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https://doi.org/10.1016/j.scriptamat.2021.113827</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</si>
  <si>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https://doi.org/10.1016/j.scriptamat.2021.113828</t>
  </si>
  <si>
    <t>Cao, B. X., Kong, H. J., Ding, Z. Y., Wu, S. W., Luan, J. H., Jiao, Z. B., Lu, J., Liu, C. T., &amp; Yang, T. (2021). A novel L12-strengthened multicomponent Co-rich high-entropy alloy with both high γ′-solvus temperature and superior high-temperature strength. Scripta Materialia, 199. https://doi.org/10.1016/j.scriptamat.2021.113829</t>
  </si>
  <si>
    <t>Im, H. J., Choi, W. S., Ryou, K. H., Seol, J. B., Kang, T. H., Ko, W. S., &amp; Choi, P. P. (2021). Enhanced microstructural stability of γ/γ′-strengthened Co-Ti-Mo-based alloys through Al additions. Acta Materialia, 214. https://doi.org/10.1016/j.actamat.2021.117017</t>
  </si>
  <si>
    <t>Im, H. J., Choi, W. S., Ryou, K. H., Seol, J. B., Kang, T. H., Ko, W. S., &amp; Choi, P. P. (2021). Enhanced microstructural stability of γ/γ′-strengthened Co-Ti-Mo-based alloys through Al additions. Acta Materialia, 214. https://doi.org/10.1016/j.actamat.2021.117010</t>
  </si>
  <si>
    <t>Powder Metallurgy</t>
  </si>
  <si>
    <t>Li, C., Teng, J., Yang, B., Ye, X., Liu, J., &amp; Li, Y. (2021). Correlation between microstructure and mechanical properties of novel Co-Ni-based powder metallurgy superalloy. Materials Characterization, 181. https://doi.org/10.1016/j.matchar.2021.111481</t>
  </si>
  <si>
    <t>Li, C., Teng, J., Yang, B., Ye, X., Liu, J., &amp; Li, Y. (2021). Correlation between microstructure and mechanical properties of novel Co-Ni-based powder metallurgy superalloy. Materials Characterization, 181. https://doi.org/10.1016/j.matchar.2021.111482</t>
  </si>
  <si>
    <t>Li, C., Teng, J., Yang, B., Ye, X., Liu, J., &amp; Li, Y. (2021). Correlation between microstructure and mechanical properties of novel Co-Ni-based powder metallurgy superalloy. Materials Characterization, 181. https://doi.org/10.1016/j.matchar.2021.111483</t>
  </si>
  <si>
    <t>Li, C., Teng, J., Yang, B., Ye, X., Liu, J., &amp; Li, Y. (2021). Correlation between microstructure and mechanical properties of novel Co-Ni-based powder metallurgy superalloy. Materials Characterization, 181. https://doi.org/10.1016/j.matchar.2021.111484</t>
  </si>
  <si>
    <t>PX, compression</t>
  </si>
  <si>
    <t>Mukhopadhyay, S., Pandey, P., Baler, N., Biswas, K., Makineni, S. K., &amp; Chattopadhyay, K. (2021). The role of Ti addition on the evolution and stability of γ/γ′ microstructure in a Co-30Ni-10Al-5Mo-2Ta alloy. Acta Materialia, 208, 116736. https://doi.org/10.1016/j.actamat.2021.116740</t>
  </si>
  <si>
    <t>Mukhopadhyay, S., Pandey, P., Baler, N., Biswas, K., Makineni, S. K., &amp; Chattopadhyay, K. (2021). The role of Ti addition on the evolution and stability of γ/γ′ microstructure in a Co-30Ni-10Al-5Mo-2Ta alloy. Acta Materialia, 208, 116736. https://doi.org/10.1016/j.actamat.2021.116741</t>
  </si>
  <si>
    <t>Mukhopadhyay, S., Pandey, P., Baler, N., Biswas, K., Makineni, S. K., &amp; Chattopadhyay, K. (2021). The role of Ti addition on the evolution and stability of γ/γ′ microstructure in a Co-30Ni-10Al-5Mo-2Ta alloy. Acta Materialia, 208, 116736. https://doi.org/10.1016/j.actamat.2021.116742</t>
  </si>
  <si>
    <t>Mukhopadhyay, S., Pandey, P., Baler, N., Biswas, K., Makineni, S. K., &amp; Chattopadhyay, K. (2021). The role of Ti addition on the evolution and stability of γ/γ′ microstructure in a Co-30Ni-10Al-5Mo-2Ta alloy. Acta Materialia, 208, 116736. https://doi.org/10.1016/j.actamat.2021.116743</t>
  </si>
  <si>
    <t>Mukhopadhyay, S., Pandey, P., Baler, N., Biswas, K., Makineni, S. K., &amp; Chattopadhyay, K. (2021). The role of Ti addition on the evolution and stability of γ/γ′ microstructure in a Co-30Ni-10Al-5Mo-2Ta alloy. Acta Materialia, 208, 116736. https://doi.org/10.1016/j.actamat.2021.116744</t>
  </si>
  <si>
    <t>Mukhopadhyay, S., Pandey, P., Baler, N., Biswas, K., Makineni, S. K., &amp; Chattopadhyay, K. (2021). The role of Ti addition on the evolution and stability of γ/γ′ microstructure in a Co-30Ni-10Al-5Mo-2Ta alloy. Acta Materialia, 208, 116736. https://doi.org/10.1016/j.actamat.2021.116745</t>
  </si>
  <si>
    <t>Mukhopadhyay, S., Pandey, P., Baler, N., Biswas, K., Makineni, S. K., &amp; Chattopadhyay, K. (2021). The role of Ti addition on the evolution and stability of γ/γ′ microstructure in a Co-30Ni-10Al-5Mo-2Ta alloy. Acta Materialia, 208, 116736. https://doi.org/10.1016/j.actamat.2021.116746</t>
  </si>
  <si>
    <t>Mukhopadhyay, S., Pandey, P., Baler, N., Biswas, K., Makineni, S. K., &amp; Chattopadhyay, K. (2021). The role of Ti addition on the evolution and stability of γ/γ′ microstructure in a Co-30Ni-10Al-5Mo-2Ta alloy. Acta Materialia, 208, 116736. https://doi.org/10.1016/j.actamat.2021.116747</t>
  </si>
  <si>
    <t>Mukhopadhyay, S., Pandey, P., Baler, N., Biswas, K., Makineni, S. K., &amp; Chattopadhyay, K. (2021). The role of Ti addition on the evolution and stability of γ/γ′ microstructure in a Co-30Ni-10Al-5Mo-2Ta alloy. Acta Materialia, 208, 116736. https://doi.org/10.1016/j.actamat.2021.116748</t>
  </si>
  <si>
    <t>Oomae, M., Teramoto, T., &amp; Tanaka, K. (2021). Composition dependence of positive temperature dependence of yield stress for Co3(Al, W)–Co3Ti pseudo-binary alloy with the L12 structure. Intermetallics, 136. https://doi.org/10.1016/j.intermet.2021.107252</t>
  </si>
  <si>
    <t>Oomae, M., Teramoto, T., &amp; Tanaka, K. (2021). Composition dependence of positive temperature dependence of yield stress for Co3(Al, W)–Co3Ti pseudo-binary alloy with the L12 structure. Intermetallics, 136. https://doi.org/10.1016/j.intermet.2021.107253</t>
  </si>
  <si>
    <t>Oomae, M., Teramoto, T., &amp; Tanaka, K. (2021). Composition dependence of positive temperature dependence of yield stress for Co3(Al, W)–Co3Ti pseudo-binary alloy with the L12 structure. Intermetallics, 136. https://doi.org/10.1016/j.intermet.2021.107254</t>
  </si>
  <si>
    <t>Oomae, M., Teramoto, T., &amp; Tanaka, K. (2021). Composition dependence of positive temperature dependence of yield stress for Co3(Al, W)–Co3Ti pseudo-binary alloy with the L12 structure. Intermetallics, 136. https://doi.org/10.1016/j.intermet.2021.107255</t>
  </si>
  <si>
    <t>Oomae, M., Teramoto, T., &amp; Tanaka, K. (2021). Composition dependence of positive temperature dependence of yield stress for Co3(Al, W)–Co3Ti pseudo-binary alloy with the L12 structure. Intermetallics, 136. https://doi.org/10.1016/j.intermet.2021.107256</t>
  </si>
  <si>
    <t>Oomae, M., Teramoto, T., &amp; Tanaka, K. (2021). Composition dependence of positive temperature dependence of yield stress for Co3(Al, W)–Co3Ti pseudo-binary alloy with the L12 structure. Intermetallics, 136. https://doi.org/10.1016/j.intermet.2021.107257</t>
  </si>
  <si>
    <t>Oomae, M., Teramoto, T., &amp; Tanaka, K. (2021). Composition dependence of positive temperature dependence of yield stress for Co3(Al, W)–Co3Ti pseudo-binary alloy with the L12 structure. Intermetallics, 136. https://doi.org/10.1016/j.intermet.2021.107258</t>
  </si>
  <si>
    <t>Oomae, M., Teramoto, T., &amp; Tanaka, K. (2021). Composition dependence of positive temperature dependence of yield stress for Co3(Al, W)–Co3Ti pseudo-binary alloy with the L12 structure. Intermetallics, 136. https://doi.org/10.1016/j.intermet.2021.107259</t>
  </si>
  <si>
    <t>Pandey, P., Shankar Prasad, A., Baler, N., &amp; Chattopadhyay, K. (2021). On the effect of Ti addition on microstructural evolution, precipitate coarsening kinetics and mechanical properties in a Co–30Ni–10Al–5Mo–2Nb alloy. Materialia, 16. https://doi.org/10.1016/j.mtla.2021.101077</t>
  </si>
  <si>
    <t>Pandey, P., Shankar Prasad, A., Baler, N., &amp; Chattopadhyay, K. (2021). On the effect of Ti addition on microstructural evolution, precipitate coarsening kinetics and mechanical properties in a Co–30Ni–10Al–5Mo–2Nb alloy. Materialia, 16. https://doi.org/10.1016/j.mtla.2021.101078</t>
  </si>
  <si>
    <t>Pandey, P., Shankar Prasad, A., Baler, N., &amp; Chattopadhyay, K. (2021). On the effect of Ti addition on microstructural evolution, precipitate coarsening kinetics and mechanical properties in a Co–30Ni–10Al–5Mo–2Nb alloy. Materialia, 16. https://doi.org/10.1016/j.mtla.2021.101079</t>
  </si>
  <si>
    <t>Pandey, P., Shankar Prasad, A., Baler, N., &amp; Chattopadhyay, K. (2021). On the effect of Ti addition on microstructural evolution, precipitate coarsening kinetics and mechanical properties in a Co–30Ni–10Al–5Mo–2Nb alloy. Materialia, 16. https://doi.org/10.1016/j.mtla.2021.101080</t>
  </si>
  <si>
    <t>Pandey, P., Shankar Prasad, A., Baler, N., &amp; Chattopadhyay, K. (2021). On the effect of Ti addition on microstructural evolution, precipitate coarsening kinetics and mechanical properties in a Co–30Ni–10Al–5Mo–2Nb alloy. Materialia, 16. https://doi.org/10.1016/j.mtla.2021.101081</t>
  </si>
  <si>
    <t>Pandey, P., Shankar Prasad, A., Baler, N., &amp; Chattopadhyay, K. (2021). On the effect of Ti addition on microstructural evolution, precipitate coarsening kinetics and mechanical properties in a Co–30Ni–10Al–5Mo–2Nb alloy. Materialia, 16. https://doi.org/10.1016/j.mtla.2021.101082</t>
  </si>
  <si>
    <t>Pandey, P., Shankar Prasad, A., Baler, N., &amp; Chattopadhyay, K. (2021). On the effect of Ti addition on microstructural evolution, precipitate coarsening kinetics and mechanical properties in a Co–30Ni–10Al–5Mo–2Nb alloy. Materialia, 16. https://doi.org/10.1016/j.mtla.2021.101083</t>
  </si>
  <si>
    <t>Pandey, P., Shankar Prasad, A., Baler, N., &amp; Chattopadhyay, K. (2021). On the effect of Ti addition on microstructural evolution, precipitate coarsening kinetics and mechanical properties in a Co–30Ni–10Al–5Mo–2Nb alloy. Materialia, 16. https://doi.org/10.1016/j.mtla.2021.101084</t>
  </si>
  <si>
    <t>Pandey, P., Shankar Prasad, A., Baler, N., &amp; Chattopadhyay, K. (2021). On the effect of Ti addition on microstructural evolution, precipitate coarsening kinetics and mechanical properties in a Co–30Ni–10Al–5Mo–2Nb alloy. Materialia, 16. https://doi.org/10.1016/j.mtla.2021.101085</t>
  </si>
  <si>
    <t>Pandey, P., Shankar Prasad, A., Baler, N., &amp; Chattopadhyay, K. (2021). On the effect of Ti addition on microstructural evolution, precipitate coarsening kinetics and mechanical properties in a Co–30Ni–10Al–5Mo–2Nb alloy. Materialia, 16. https://doi.org/10.1016/j.mtla.2021.101086</t>
  </si>
  <si>
    <t>Pandey, P., Shankar Prasad, A., Baler, N., &amp; Chattopadhyay, K. (2021). On the effect of Ti addition on microstructural evolution, precipitate coarsening kinetics and mechanical properties in a Co–30Ni–10Al–5Mo–2Nb alloy. Materialia, 16. https://doi.org/10.1016/j.mtla.2021.101087</t>
  </si>
  <si>
    <t>Pandey, P., Shankar Prasad, A., Baler, N., &amp; Chattopadhyay, K. (2021). On the effect of Ti addition on microstructural evolution, precipitate coarsening kinetics and mechanical properties in a Co–30Ni–10Al–5Mo–2Nb alloy. Materialia, 16. https://doi.org/10.1016/j.mtla.2021.101088</t>
  </si>
  <si>
    <t>Pandey, P., Shankar Prasad, A., Baler, N., &amp; Chattopadhyay, K. (2021). On the effect of Ti addition on microstructural evolution, precipitate coarsening kinetics and mechanical properties in a Co–30Ni–10Al–5Mo–2Nb alloy. Materialia, 16. https://doi.org/10.1016/j.mtla.2021.101089</t>
  </si>
  <si>
    <t>Pandey, P., Shankar Prasad, A., Baler, N., &amp; Chattopadhyay, K. (2021). On the effect of Ti addition on microstructural evolution, precipitate coarsening kinetics and mechanical properties in a Co–30Ni–10Al–5Mo–2Nb alloy. Materialia, 16. https://doi.org/10.1016/j.mtla.2021.101090</t>
  </si>
  <si>
    <t>Pandey, P., Shankar Prasad, A., Baler, N., &amp; Chattopadhyay, K. (2021). On the effect of Ti addition on microstructural evolution, precipitate coarsening kinetics and mechanical properties in a Co–30Ni–10Al–5Mo–2Nb alloy. Materialia, 16. https://doi.org/10.1016/j.mtla.2021.101091</t>
  </si>
  <si>
    <t>Pandey, P., Shankar Prasad, A., Baler, N., &amp; Chattopadhyay, K. (2021). On the effect of Ti addition on microstructural evolution, precipitate coarsening kinetics and mechanical properties in a Co–30Ni–10Al–5Mo–2Nb alloy. Materialia, 16. https://doi.org/10.1016/j.mtla.2021.101092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</si>
  <si>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https://doi.org/10.1103/PhysRevMaterials.5.093611</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</si>
  <si>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</si>
  <si>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https://doi.org/10.1103/PhysRevMaterials.5.093613</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</si>
  <si>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https://doi.org/10.1103/PhysRevMaterials.5.093614</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</si>
  <si>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https://doi.org/10.1103/PhysRevMaterials.5.093615</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</si>
  <si>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https://doi.org/10.1103/PhysRevMaterials.5.093616</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</si>
  <si>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https://doi.org/10.1103/PhysRevMaterials.5.093617</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</si>
  <si>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</si>
  <si>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https://doi.org/10.1103/PhysRevMaterials.5.093619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</si>
  <si>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https://doi.org/10.1103/PhysRevMaterials.5.093620</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</si>
  <si>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https://doi.org/10.1103/PhysRevMaterials.5.093621</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</si>
  <si>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https://doi.org/10.1103/PhysRevMaterials.5.093622</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</si>
  <si>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https://doi.org/10.1103/PhysRevMaterials.5.093623</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</si>
  <si>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https://doi.org/10.1103/PhysRevMaterials.5.093624</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</si>
  <si>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https://doi.org/10.1103/PhysRevMaterials.5.093625</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</si>
  <si>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https://doi.org/10.1103/PhysRevMaterials.5.093626</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</si>
  <si>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https://doi.org/10.1103/PhysRevMaterials.5.093627</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</si>
  <si>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https://doi.org/10.1103/PhysRevMaterials.5.093628</t>
  </si>
  <si>
    <t>Pandey, P., Mazumder, N., Singh, M. P., Patil, C., Sharma, A., Makineni, S. K., Banerjee, D., &amp; Chattopadhyay, K. (2021). Design of low mass density γ/γ′ CoNi-based superalloys with promising high-temperature mechanical properties. Physical Review Materials, 5(9). https://doi.org/10.1103/PhysRevMaterials.5.093629</t>
  </si>
  <si>
    <t>Pandey, P., Mazumder, N., Singh, M. P., Patil, C., Sharma, A., Makineni, S. K., Banerjee, D., &amp; Chattopadhyay, K. (2021). Design of low mass density γ/γ′ CoNi-based superalloys with promising high-temperature mechanical properties. Physical Review Materials, 5(9). https://doi.org/10.1103/PhysRevMaterials.5.093630</t>
  </si>
  <si>
    <t>Qu, S., Li, Y., Tong, M., Wang, C., &amp; Yang, Y. (2021). Effects of 1 at.% Ta substitution for 1 at.% W on the coarsening kinetics and deformation behavior of γʹ-strengthened CoNi-base superalloys. Materials Science and Engineering A, 823. https://doi.org/10.1016/j.msea.2021.141777</t>
  </si>
  <si>
    <t>Qu, S., Li, Y., Tong, M., Wang, C., &amp; Yang, Y. (2021). Effects of 1 at.% Ta substitution for 1 at.% W on the coarsening kinetics and deformation behavior of γʹ-strengthened CoNi-base superalloys. Materials Science and Engineering A, 823. https://doi.org/10.1016/j.msea.2021.141778</t>
  </si>
  <si>
    <t>Qu, S., Li, Y., Tong, M., Wang, C., &amp; Yang, Y. (2021). Effects of 1 at.% Ta substitution for 1 at.% W on the coarsening kinetics and deformation behavior of γʹ-strengthened CoNi-base superalloys. Materials Science and Engineering A, 823. https://doi.org/10.1016/j.msea.2021.141779</t>
  </si>
  <si>
    <t>Qu, S., Li, Y., Tong, M., Wang, C., &amp; Yang, Y. (2021). Effects of 1 at.% Ta substitution for 1 at.% W on the coarsening kinetics and deformation behavior of γʹ-strengthened CoNi-base superalloys. Materials Science and Engineering A, 823. https://doi.org/10.1016/j.msea.2021.141780</t>
  </si>
  <si>
    <t>Qu, S., Li, Y., Tong, M., Wang, C., &amp; Yang, Y. (2021). Effects of 1 at.% Ta substitution for 1 at.% W on the coarsening kinetics and deformation behavior of γʹ-strengthened CoNi-base superalloys. Materials Science and Engineering A, 823. https://doi.org/10.1016/j.msea.2021.141781</t>
  </si>
  <si>
    <t>Qu, S., Li, Y., Tong, M., Wang, C., &amp; Yang, Y. (2021). Effects of 1 at.% Ta substitution for 1 at.% W on the coarsening kinetics and deformation behavior of γʹ-strengthened CoNi-base superalloys. Materials Science and Engineering A, 823. https://doi.org/10.1016/j.msea.2021.141782</t>
  </si>
  <si>
    <t>Zhang, B. S., Yu, Y. X., Tao, Z. L., &amp; Sha, J. B. (2021). A comparative study on microstructures and tensile behaviours of a novel polycrystalline and single-crystal Co–9Al–9W–2Ta-0.02B-0.02Ce alloy at room and high temperatures. Intermetallics, 137. https://doi.org/10.1016/j.intermet.2021.107286</t>
  </si>
  <si>
    <t>Zhang, B. S., Yu, Y. X., Tao, Z. L., &amp; Sha, J. B. (2021). A comparative study on microstructures and tensile behaviours of a novel polycrystalline and single-crystal Co–9Al–9W–2Ta-0.02B-0.02Ce alloy at room and high temperatures. Intermetallics, 137. https://doi.org/10.1016/j.intermet.2021.107287</t>
  </si>
  <si>
    <t>Zhang, B. S., Yu, Y. X., Tao, Z. L., &amp; Sha, J. B. (2021). A comparative study on microstructures and tensile behaviours of a novel polycrystalline and single-crystal Co–9Al–9W–2Ta-0.02B-0.02Ce alloy at room and high temperatures. Intermetallics, 137. https://doi.org/10.1016/j.intermet.2021.107288</t>
  </si>
  <si>
    <t>Zhang, B. S., Yu, Y. X., Tao, Z. L., &amp; Sha, J. B. (2021). A comparative study on microstructures and tensile behaviours of a novel polycrystalline and single-crystal Co–9Al–9W–2Ta-0.02B-0.02Ce alloy at room and high temperatures. Intermetallics, 137. https://doi.org/10.1016/j.intermet.2021.107289</t>
  </si>
  <si>
    <t>Zhang, B. S., Yu, Y. X., Tao, Z. L., &amp; Sha, J. B. (2021). A comparative study on microstructures and tensile behaviours of a novel polycrystalline and single-crystal Co–9Al–9W–2Ta-0.02B-0.02Ce alloy at room and high temperatures. Intermetallics, 137. https://doi.org/10.1016/j.intermet.2021.107290</t>
  </si>
  <si>
    <t>Zhang, B. S., Yu, Y. X., Tao, Z. L., &amp; Sha, J. B. (2021). A comparative study on microstructures and tensile behaviours of a novel polycrystalline and single-crystal Co–9Al–9W–2Ta-0.02B-0.02Ce alloy at room and high temperatures. Intermetallics, 137. https://doi.org/10.1016/j.intermet.2021.107291</t>
  </si>
  <si>
    <t>Zhang, B. S., Yu, Y. X., Tao, Z. L., &amp; Sha, J. B. (2021). A comparative study on microstructures and tensile behaviours of a novel polycrystalline and single-crystal Co–9Al–9W–2Ta-0.02B-0.02Ce alloy at room and high temperatures. Intermetallics, 137. https://doi.org/10.1016/j.intermet.2021.107292</t>
  </si>
  <si>
    <t>Zhang, B. S., Yu, Y. X., Tao, Z. L., &amp; Sha, J. B. (2021). A comparative study on microstructures and tensile behaviours of a novel polycrystalline and single-crystal Co–9Al–9W–2Ta-0.02B-0.02Ce alloy at room and high temperatures. Intermetallics, 137. https://doi.org/10.1016/j.intermet.2021.107293</t>
  </si>
  <si>
    <t>Bezold, A., Volz, N., Lenz, M., Zenk, C. H., Spiecker, E., Mills, M., Göken, M., &amp; Neumeier, S. (2021). Yielding behavior of a single-crystalline γ’-strengthened Co-Ti-Cr superalloy. Scripta Materialia, 200. https://doi.org/10.1016/j.scriptamat.2021.113928</t>
  </si>
  <si>
    <t>Bezold, A., Volz, N., Lenz, M., Zenk, C. H., Spiecker, E., Mills, M., Göken, M., &amp; Neumeier, S. (2021). Yielding behavior of a single-crystalline γ’-strengthened Co-Ti-Cr superalloy. Scripta Materialia, 200. https://doi.org/10.1016/j.scriptamat.2021.113929</t>
  </si>
  <si>
    <t>Bezold, A., Volz, N., Lenz, M., Zenk, C. H., Spiecker, E., Mills, M., Göken, M., &amp; Neumeier, S. (2021). Yielding behavior of a single-crystalline γ’-strengthened Co-Ti-Cr superalloy. Scripta Materialia, 200. https://doi.org/10.1016/j.scriptamat.2021.113930</t>
  </si>
  <si>
    <t>Bezold, A., Volz, N., Lenz, M., Zenk, C. H., Spiecker, E., Mills, M., Göken, M., &amp; Neumeier, S. (2021). Yielding behavior of a single-crystalline γ’-strengthened Co-Ti-Cr superalloy. Scripta Materialia, 200. https://doi.org/10.1016/j.scriptamat.2021.113931</t>
  </si>
  <si>
    <t>Bezold, A., Volz, N., Lenz, M., Zenk, C. H., Spiecker, E., Mills, M., Göken, M., &amp; Neumeier, S. (2021). Yielding behavior of a single-crystalline γ’-strengthened Co-Ti-Cr superalloy. Scripta Materialia, 200. https://doi.org/10.1016/j.scriptamat.2021.113932</t>
  </si>
  <si>
    <t>Bezold, A., Volz, N., Lenz, M., Zenk, C. H., Spiecker, E., Mills, M., Göken, M., &amp; Neumeier, S. (2021). Yielding behavior of a single-crystalline γ’-strengthened Co-Ti-Cr superalloy. Scripta Materialia, 200. https://doi.org/10.1016/j.scriptamat.2021.113933</t>
  </si>
  <si>
    <t>Bezold, A., Volz, N., Lenz, M., Karpstein, N., Zenk, C. H., Spiecker, E., Göken, M., &amp; Neumeier, S. (2022). Quantification of the temperature-dependent evolution of defect structures in a CoNi-base superalloy. Acta Materialia, 227. https://doi.org/10.1016/j.actamat.2022.117702</t>
  </si>
  <si>
    <t>Bezold, A., Volz, N., Lenz, M., Karpstein, N., Zenk, C. H., Spiecker, E., Göken, M., &amp; Neumeier, S. (2022). Quantification of the temperature-dependent evolution of defect structures in a CoNi-base superalloy. Acta Materialia, 227. https://doi.org/10.1016/j.actamat.2022.117703</t>
  </si>
  <si>
    <t>Bezold, A., Volz, N., Lenz, M., Karpstein, N., Zenk, C. H., Spiecker, E., Göken, M., &amp; Neumeier, S. (2022). Quantification of the temperature-dependent evolution of defect structures in a CoNi-base superalloy. Acta Materialia, 227. https://doi.org/10.1016/j.actamat.2022.117704</t>
  </si>
  <si>
    <t>Bezold, A., Volz, N., Lenz, M., Karpstein, N., Zenk, C. H., Spiecker, E., Göken, M., &amp; Neumeier, S. (2022). Quantification of the temperature-dependent evolution of defect structures in a CoNi-base superalloy. Acta Materialia, 227. https://doi.org/10.1016/j.actamat.2022.117705</t>
  </si>
  <si>
    <t>Bezold, A., Volz, N., Lenz, M., Karpstein, N., Zenk, C. H., Spiecker, E., Göken, M., &amp; Neumeier, S. (2022). Quantification of the temperature-dependent evolution of defect structures in a CoNi-base superalloy. Acta Materialia, 227. https://doi.org/10.1016/j.actamat.2022.117706</t>
  </si>
  <si>
    <t>Bezold, A., Volz, N., Lenz, M., Karpstein, N., Zenk, C. H., Spiecker, E., Göken, M., &amp; Neumeier, S. (2022). Quantification of the temperature-dependent evolution of defect structures in a CoNi-base superalloy. Acta Materialia, 227. https://doi.org/10.1016/j.actamat.2022.117707</t>
  </si>
  <si>
    <t>Bian, H., Xu, X., Li, Y., Koizumi, Y., Wang, Z., Chen, M., Yamanaka, K., &amp; Chiba, A. (2015). Regulating the coarsening of the γ’ phase in superalloys. NPG Asia Materials, 7(8). https://doi.org/10.1038/am.2015.97</t>
  </si>
  <si>
    <t>Bian, H., Xu, X., Li, Y., Koizumi, Y., Wang, Z., Chen, M., Yamanaka, K., &amp; Chiba, A. (2015). Regulating the coarsening of the γ’ phase in superalloys. NPG Asia Materials, 7(8). https://doi.org/10.1038/am.2015.98</t>
  </si>
  <si>
    <t>Bian, H., Xu, X., Li, Y., Koizumi, Y., Wang, Z., Chen, M., Yamanaka, K., &amp; Chiba, A. (2015). Regulating the coarsening of the γ’ phase in superalloys. NPG Asia Materials, 7(8). https://doi.org/10.1038/am.2015.99</t>
  </si>
  <si>
    <t>Bian, H., Xu, X., Li, Y., Koizumi, Y., Wang, Z., Chen, M., Yamanaka, K., &amp; Chiba, A. (2015). Regulating the coarsening of the γ’ phase in superalloys. NPG Asia Materials, 7(8). https://doi.org/10.1038/am.2015.100</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</si>
  <si>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https://doi.org/10.1016/j.actamat.2022.117768</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</si>
  <si>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https://doi.org/10.1016/j.actamat.2022.117769</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</si>
  <si>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https://doi.org/10.1016/j.actamat.2022.117770</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</si>
  <si>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https://doi.org/10.1016/j.actamat.2022.117771</t>
  </si>
  <si>
    <t>Cao, B. X., Xu, W. W., Yu, C. Y., Wu, S. W., Kong, H. J., Ding, Z. Y., Zhang, T. L., Luan, J. H., Xiao, B., Jiao, Z. B., Liu, Y., Yang, T., &amp; Liu, C. T. (2022). L12-strengthened multicomponent Co-Al-Nb-based alloys with high strength and matrix-confined stacking-fault-mediated plasticity. Acta Materialia, 229. https://doi.org/10.1016/j.actamat.2022.117772</t>
  </si>
  <si>
    <t>CoNi-based superalloy</t>
  </si>
  <si>
    <t>tensile, sr not reported in this paper, so using value of 3mm/min with 25mm gauge taken from experimental methods of another paper from this group</t>
  </si>
  <si>
    <t>tensile, sr reported as 3mm/min</t>
  </si>
  <si>
    <t>not mentioned</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</si>
  <si>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https://doi.org/10.1016/j.scriptamat.2022.115108</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</si>
  <si>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https://doi.org/10.1016/j.scriptamat.2022.115109</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</si>
  <si>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https://doi.org/10.1016/j.scriptamat.2022.115110</t>
  </si>
  <si>
    <t>Mazumder, N., Kumar, D., Singh, M. P., Makineni, S. K., Mukhopadhyay, N. K., &amp; Chattopadhyay, K. (2023). Synergistic effect of multimodal γ’ precipitates tuned through Ti addition on phase stability and strength of Co-Ni based superalloy. Scripta Materialia, 223. https://doi.org/10.1016/j.scriptamat.2022.115111</t>
  </si>
  <si>
    <t>Pandey, P., Sawant, A., Baler, N., Makineni, S. K., &amp; Chattopadhyay, K. (2022). Effect of Ru addition on γ/γ′ microstructural stability in a low-density CoNi based superalloy. Scripta Materialia, 208. https://doi.org/10.1016/j.scriptamat.2021.114319</t>
  </si>
  <si>
    <t>Pandey, P., Sawant, A., Baler, N., Makineni, S. K., &amp; Chattopadhyay, K. (2022). Effect of Ru addition on γ/γ′ microstructural stability in a low-density CoNi based superalloy. Scripta Materialia, 208. https://doi.org/10.1016/j.scriptamat.2021.114320</t>
  </si>
  <si>
    <t>Pandey, P., Sawant, A., Baler, N., Makineni, S. K., &amp; Chattopadhyay, K. (2022). Effect of Ru addition on γ/γ′ microstructural stability in a low-density CoNi based superalloy. Scripta Materialia, 208. https://doi.org/10.1016/j.scriptamat.2021.114321</t>
  </si>
  <si>
    <t>Pandey, P., Sawant, A., Baler, N., Makineni, S. K., &amp; Chattopadhyay, K. (2022). Effect of Ru addition on γ/γ′ microstructural stability in a low-density CoNi based superalloy. Scripta Materialia, 208. https://doi.org/10.1016/j.scriptamat.2021.114322</t>
  </si>
  <si>
    <t>Pandey, P., Sawant, A., Baler, N., Makineni, S. K., &amp; Chattopadhyay, K. (2022). Effect of Ru addition on γ/γ′ microstructural stability in a low-density CoNi based superalloy. Scripta Materialia, 208. https://doi.org/10.1016/j.scriptamat.2021.114323</t>
  </si>
  <si>
    <t>Qu, S., Li, Y., Wang, C., Liu, X., Qian, K., Ruan, J., Chen, Y., &amp; Yang, Y. (2020). Coarsening behavior of γʹ precipitates and compression deformation mechanism of a novel Co–V–Ta–Ti superalloy. Materials Science and Engineering: A, 787, 139455. https://doi.org/10.1016/j.msea.2020.139455</t>
  </si>
  <si>
    <t>Qu, S., Li, Y., Wang, C., Liu, X., Qian, K., Ruan, J., Chen, Y., &amp; Yang, Y. (2020). Coarsening behavior of γʹ precipitates and compression deformation mechanism of a novel Co–V–Ta–Ti superalloy. Materials Science and Engineering: A, 787, 139455. https://doi.org/10.1016/j.msea.2020.139456</t>
  </si>
  <si>
    <t>Qu, S., Li, Y., Wang, C., Liu, X., Qian, K., Ruan, J., Chen, Y., &amp; Yang, Y. (2020). Coarsening behavior of γʹ precipitates and compression deformation mechanism of a novel Co–V–Ta–Ti superalloy. Materials Science and Engineering: A, 787, 139455. https://doi.org/10.1016/j.msea.2020.139457</t>
  </si>
  <si>
    <t>Qu, S., Li, Y., Wang, C., Liu, X., Qian, K., Ruan, J., Chen, Y., &amp; Yang, Y. (2020). Coarsening behavior of γʹ precipitates and compression deformation mechanism of a novel Co–V–Ta–Ti superalloy. Materials Science and Engineering: A, 787, 139455. https://doi.org/10.1016/j.msea.2020.139458</t>
  </si>
  <si>
    <t>Qu, S., Li, Y., Wang, C., Liu, X., Qian, K., Ruan, J., Chen, Y., &amp; Yang, Y. (2020). Coarsening behavior of γʹ precipitates and compression deformation mechanism of a novel Co–V–Ta–Ti superalloy. Materials Science and Engineering: A, 787, 139455. https://doi.org/10.1016/j.msea.2020.139459</t>
  </si>
  <si>
    <t>Qu, S., Li, Y., Wang, C., Liu, X., Qian, K., Ruan, J., Chen, Y., &amp; Yang, Y. (2020). Coarsening behavior of γʹ precipitates and compression deformation mechanism of a novel Co–V–Ta–Ti superalloy. Materials Science and Engineering: A, 787, 139455. https://doi.org/10.1016/j.msea.2020.139460</t>
  </si>
  <si>
    <t>Qu, S., Li, Y., Wang, C., Liu, X., Qian, K., Ruan, J., Chen, Y., &amp; Yang, Y. (2020). Coarsening behavior of γʹ precipitates and compression deformation mechanism of a novel Co–V–Ta–Ti superalloy. Materials Science and Engineering: A, 787, 139455. https://doi.org/10.1016/j.msea.2020.139461</t>
  </si>
  <si>
    <t>Qu, S., Li, Y., Wang, C., Liu, X., Qian, K., Ruan, J., Chen, Y., &amp; Yang, Y. (2020). Coarsening behavior of γʹ precipitates and compression deformation mechanism of a novel Co–V–Ta–Ti superalloy. Materials Science and Engineering: A, 787, 139455. https://doi.org/10.1016/j.msea.2020.139462</t>
  </si>
  <si>
    <t>Qu, S., Li, Y., Wang, C., Liu, X., Qian, K., Ruan, J., Chen, Y., &amp; Yang, Y. (2020). Coarsening behavior of γʹ precipitates and compression deformation mechanism of a novel Co–V–Ta–Ti superalloy. Materials Science and Engineering: A, 787, 139455. https://doi.org/10.1016/j.msea.2020.139463</t>
  </si>
  <si>
    <t>Shang, H., Ma, Q., Gao, Q., Zhang, H., Li, H., Zhang, H., &amp; Sun, L. (2022). Yield strength anomaly evaluation of W-free Co-Ni-Al-based superalloys during high temperature tensile tests. Materials Characterization, 192. https://doi.org/10.1016/j.matchar.2022.112244</t>
  </si>
  <si>
    <t>Shang, H., Ma, Q., Gao, Q., Zhang, H., Li, H., Zhang, H., &amp; Sun, L. (2022). Yield strength anomaly evaluation of W-free Co-Ni-Al-based superalloys during high temperature tensile tests. Materials Characterization, 192. https://doi.org/10.1016/j.matchar.2022.112245</t>
  </si>
  <si>
    <t>Shang, H., Ma, Q., Gao, Q., Zhang, H., Li, H., Zhang, H., &amp; Sun, L. (2022). Yield strength anomaly evaluation of W-free Co-Ni-Al-based superalloys during high temperature tensile tests. Materials Characterization, 192. https://doi.org/10.1016/j.matchar.2022.112246</t>
  </si>
  <si>
    <t>Shang, H., Ma, Q., Gao, Q., Zhang, H., Li, H., Zhang, H., &amp; Sun, L. (2022). Yield strength anomaly evaluation of W-free Co-Ni-Al-based superalloys during high temperature tensile tests. Materials Characterization, 192. https://doi.org/10.1016/j.matchar.2022.112247</t>
  </si>
  <si>
    <t>Shang, H., Ma, Q., Gao, Q., Zhang, H., Li, H., Zhang, H., &amp; Sun, L. (2022). Yield strength anomaly evaluation of W-free Co-Ni-Al-based superalloys during high temperature tensile tests. Materials Characterization, 192. https://doi.org/10.1016/j.matchar.2022.112248</t>
  </si>
  <si>
    <t>Singh, M. P., Makineni, S. K., &amp; Chattopadhyay, K. (2020). Achieving lower mass density with high strength in Nb stabilised γ/γ′ Co–Al–Mo–Nb base superalloy by the replacement of Mo with V. Materials Science and Engineering A, 794. https://doi.org/10.1016/j.msea.2020.139832</t>
  </si>
  <si>
    <t>Singh, M. P., Makineni, S. K., &amp; Chattopadhyay, K. (2020). Achieving lower mass density with high strength in Nb stabilised γ/γ′ Co–Al–Mo–Nb base superalloy by the replacement of Mo with V. Materials Science and Engineering A, 794. https://doi.org/10.1016/j.msea.2020.139833</t>
  </si>
  <si>
    <t>Singh, M. P., Makineni, S. K., &amp; Chattopadhyay, K. (2020). Achieving lower mass density with high strength in Nb stabilised γ/γ′ Co–Al–Mo–Nb base superalloy by the replacement of Mo with V. Materials Science and Engineering A, 794. https://doi.org/10.1016/j.msea.2020.139834</t>
  </si>
  <si>
    <t>Wahlmann, B., Bandorf, J., Volz, N., Förner, A., Pröbstle, J., Multerer, K., Göken, M., Markl, M., Neumeier, S., &amp; Körner, C. (2022). Numerical Design of CoNi-Base Superalloys With Improved Casting Structure. Metallurgical and Materials Transactions A. https://doi.org/10.1007/s11661-022-06870-7</t>
  </si>
  <si>
    <t>Wahlmann, B., Bandorf, J., Volz, N., Förner, A., Pröbstle, J., Multerer, K., Göken, M., Markl, M., Neumeier, S., &amp; Körner, C. (2022). Numerical Design of CoNi-Base Superalloys With Improved Casting Structure. Metallurgical and Materials Transactions A. https://doi.org/10.1007/s11661-022-06870-8</t>
  </si>
  <si>
    <t>Wahlmann, B., Bandorf, J., Volz, N., Förner, A., Pröbstle, J., Multerer, K., Göken, M., Markl, M., Neumeier, S., &amp; Körner, C. (2022). Numerical Design of CoNi-Base Superalloys With Improved Casting Structure. Metallurgical and Materials Transactions A. https://doi.org/10.1007/s11661-022-06870-9</t>
  </si>
  <si>
    <t>Wahlmann, B., Bandorf, J., Volz, N., Förner, A., Pröbstle, J., Multerer, K., Göken, M., Markl, M., Neumeier, S., &amp; Körner, C. (2022). Numerical Design of CoNi-Base Superalloys With Improved Casting Structure. Metallurgical and Materials Transactions A. https://doi.org/10.1007/s11661-022-06870-10</t>
  </si>
  <si>
    <t>tensile, deformation rate 14mm gauge lenth in  0.1mm/min</t>
  </si>
  <si>
    <t>name</t>
  </si>
  <si>
    <t>Stress (MPa)</t>
  </si>
  <si>
    <t>ID-curve</t>
  </si>
  <si>
    <t>Sol. Temp (ºC)</t>
  </si>
  <si>
    <t>Sol. Time (h)</t>
  </si>
  <si>
    <t>1 age temp (ºC)</t>
  </si>
  <si>
    <t>1 age time (h)</t>
  </si>
  <si>
    <t>2 age temp (ºC)</t>
  </si>
  <si>
    <t>2 age time (hr)</t>
  </si>
  <si>
    <t>C/T</t>
  </si>
  <si>
    <t>Orientation</t>
  </si>
  <si>
    <t>9-1</t>
  </si>
  <si>
    <t>Povstugar reports g' volume fraction as 30, but Bauer reports as 58. Going with 58 and assuming 38 is a typo</t>
  </si>
  <si>
    <t>10-1</t>
  </si>
  <si>
    <t>log strain rate vs 1/T, to calculate Q=740 kJ/mol (for all alloys?) similar to IN100, compression in air</t>
  </si>
  <si>
    <t>compression in air (and for all others in paper)</t>
  </si>
  <si>
    <t>10-2</t>
  </si>
  <si>
    <t>18-1</t>
  </si>
  <si>
    <t>24-1</t>
  </si>
  <si>
    <t>25-1</t>
  </si>
  <si>
    <t>38-1</t>
  </si>
  <si>
    <t xml:space="preserve">compression, Aged 50hr 900C, 4% discontinous transformation </t>
  </si>
  <si>
    <t>38-2</t>
  </si>
  <si>
    <t>compression, Aged 200hr, 31% discontinuos transformation</t>
  </si>
  <si>
    <t>38-3</t>
  </si>
  <si>
    <t>compression, Aged 400hr,91% discontinuous transformation</t>
  </si>
  <si>
    <t>9W-2Ta-0.12B</t>
  </si>
  <si>
    <t>39-1</t>
  </si>
  <si>
    <t>compression, aged 50hr, no discontinuous precipitation</t>
  </si>
  <si>
    <t>39-2</t>
  </si>
  <si>
    <t>compression, aged 200hr, no DP</t>
  </si>
  <si>
    <t>41-1</t>
  </si>
  <si>
    <t>42-1</t>
  </si>
  <si>
    <t>42-2</t>
  </si>
  <si>
    <t>42-3</t>
  </si>
  <si>
    <t>Boron improvement not present in SX, its just a grain boundary effect</t>
  </si>
  <si>
    <t>42-4</t>
  </si>
  <si>
    <t>43-1</t>
  </si>
  <si>
    <t>44-1</t>
  </si>
  <si>
    <t>47-1</t>
  </si>
  <si>
    <t>50-1</t>
  </si>
  <si>
    <t>50-2</t>
  </si>
  <si>
    <t>51-1</t>
  </si>
  <si>
    <t>91 without TCPs</t>
  </si>
  <si>
    <t>53-1</t>
  </si>
  <si>
    <t>53-2</t>
  </si>
  <si>
    <t>57-1</t>
  </si>
  <si>
    <t>57-2</t>
  </si>
  <si>
    <t>60-1</t>
  </si>
  <si>
    <t>SX, unspecified orientation but probably [001] based on "5% misorientation from [001]" in another of the group's papers</t>
  </si>
  <si>
    <t>SX, compresssion in air, aged 100 hr at 900C</t>
  </si>
  <si>
    <t>61-1</t>
  </si>
  <si>
    <t>62-1</t>
  </si>
  <si>
    <t>63-1</t>
  </si>
  <si>
    <t>72-1</t>
  </si>
  <si>
    <t>also in Dunand, D. C. et al. ‘Designing Nanoscale Precipitates in Novel Cobalt-based Superalloys to Improve Creep Resistance and Operating Temperature’ Final Technical Report. (2010)., so that reference is removed</t>
  </si>
  <si>
    <t>72-2</t>
  </si>
  <si>
    <t>72-3</t>
  </si>
  <si>
    <t>73-1</t>
  </si>
  <si>
    <t>74-1</t>
  </si>
  <si>
    <t>best properties because of borides on gb</t>
  </si>
  <si>
    <t>75-1</t>
  </si>
  <si>
    <t>76-1</t>
  </si>
  <si>
    <t>510-1</t>
  </si>
  <si>
    <t>tensile, single crystal, Vf =0 at 1000C, very fast strain rate (30s to fracture)</t>
  </si>
  <si>
    <t>155-1</t>
  </si>
  <si>
    <t>156-1</t>
  </si>
  <si>
    <t>158-1</t>
  </si>
  <si>
    <t>Coakley, J. et al. Lattice parameter misfit evolution during creep of a cobalt-based superalloy single crystal with cuboidal and rafted gamma-prime microstructures. Acta Mater. 136, 118–125 (2017).</t>
  </si>
  <si>
    <t>160-1</t>
  </si>
  <si>
    <t>tension,misfit increases with creep, high coherency loss</t>
  </si>
  <si>
    <t>530-1</t>
  </si>
  <si>
    <t>tensile, single crystal</t>
  </si>
  <si>
    <t>196-1</t>
  </si>
  <si>
    <t>deformation through microtwinning, also rolled and recrystallized</t>
  </si>
  <si>
    <t>196-2</t>
  </si>
  <si>
    <t>also rolled and recrystallized</t>
  </si>
  <si>
    <t>197-1</t>
  </si>
  <si>
    <t>198-1</t>
  </si>
  <si>
    <t>455-1</t>
  </si>
  <si>
    <t>Vf comes from [1] L. Shi, J.J. Yu, C.Y. Cui, X.F. Sun, Temperature dependence of deformation behavior in a Co-Al-W-base single crystal superalloy, Mater. Sci. Eng. A. 620 (2015) 36–43. https://doi.org/10.1016/j.msea.2014.09.074.</t>
  </si>
  <si>
    <t>220-1</t>
  </si>
  <si>
    <t>221-1</t>
  </si>
  <si>
    <t>224-1</t>
  </si>
  <si>
    <t>242-1</t>
  </si>
  <si>
    <t>241-1</t>
  </si>
  <si>
    <t>278-1</t>
  </si>
  <si>
    <t>290-1</t>
  </si>
  <si>
    <t>2 samples</t>
  </si>
  <si>
    <t>290-2</t>
  </si>
  <si>
    <t>222-1</t>
  </si>
  <si>
    <t>334-1</t>
  </si>
  <si>
    <t>335-1</t>
  </si>
  <si>
    <t>336-1</t>
  </si>
  <si>
    <t>337-1</t>
  </si>
  <si>
    <t>401-1</t>
  </si>
  <si>
    <t>338-1</t>
  </si>
  <si>
    <t>402-1</t>
  </si>
  <si>
    <t>404-1</t>
  </si>
  <si>
    <t>405-1</t>
  </si>
  <si>
    <t>406-1</t>
  </si>
  <si>
    <t>413-1</t>
  </si>
  <si>
    <t>414-1</t>
  </si>
  <si>
    <t>415-1</t>
  </si>
  <si>
    <t>420-1</t>
  </si>
  <si>
    <t>421-1</t>
  </si>
  <si>
    <t>499-1</t>
  </si>
  <si>
    <t>507-1</t>
  </si>
  <si>
    <t>508-1</t>
  </si>
  <si>
    <t>509-1</t>
  </si>
  <si>
    <t>522-1</t>
  </si>
  <si>
    <t>528-1</t>
  </si>
  <si>
    <t>532-1</t>
  </si>
  <si>
    <t>2 papers from same author use same name for different alloys, did not specify aging time</t>
  </si>
  <si>
    <t>531-1</t>
  </si>
  <si>
    <t>533-1</t>
  </si>
  <si>
    <t>644-1</t>
  </si>
  <si>
    <t>645-1</t>
  </si>
  <si>
    <t>646-1</t>
  </si>
  <si>
    <t>647-1</t>
  </si>
  <si>
    <t>also beta and mu</t>
  </si>
  <si>
    <t>648-1</t>
  </si>
  <si>
    <t>649-1</t>
  </si>
  <si>
    <t>650-1</t>
  </si>
  <si>
    <t>651-1</t>
  </si>
  <si>
    <t>652-1</t>
  </si>
  <si>
    <t>653-1</t>
  </si>
  <si>
    <t>654-1</t>
  </si>
  <si>
    <t>656-1</t>
  </si>
  <si>
    <t>658-1</t>
  </si>
  <si>
    <t>660-1</t>
  </si>
  <si>
    <t>662-1</t>
  </si>
  <si>
    <t>664-1</t>
  </si>
  <si>
    <t>667-1</t>
  </si>
  <si>
    <t>753-1</t>
  </si>
  <si>
    <t>2 samples, compression</t>
  </si>
  <si>
    <t>774-1</t>
  </si>
  <si>
    <t>775-1</t>
  </si>
  <si>
    <t>776-1</t>
  </si>
  <si>
    <t>777-1</t>
  </si>
  <si>
    <t>Xue, F. et al. Creep behavior of a novel Co-Al-W-base single crystal alloy containing Ta and Ti at 982°C. MATEC Web Conf. 14, (2014).</t>
  </si>
  <si>
    <t>604-1</t>
  </si>
  <si>
    <t>211-1</t>
  </si>
  <si>
    <t>Vf=62% after creep excluding secondary g'</t>
  </si>
  <si>
    <t>284-1</t>
  </si>
  <si>
    <t>282-1</t>
  </si>
  <si>
    <t>282-2</t>
  </si>
  <si>
    <t>283-1</t>
  </si>
  <si>
    <t>324-1</t>
  </si>
  <si>
    <t>324-2</t>
  </si>
  <si>
    <t>Time to 1% strain (s)</t>
  </si>
  <si>
    <t>log(time)</t>
  </si>
  <si>
    <t>VolFrac (%)</t>
  </si>
  <si>
    <t>IndexRef</t>
  </si>
  <si>
    <t>Yield Stress</t>
  </si>
  <si>
    <t>Strain rate /s</t>
  </si>
  <si>
    <t>Aging Temp C</t>
  </si>
  <si>
    <t>input order</t>
  </si>
  <si>
    <t>Label</t>
  </si>
  <si>
    <t>Strain Rate (min) /s</t>
  </si>
  <si>
    <t>n</t>
  </si>
  <si>
    <t>Q (kJ/mol)</t>
  </si>
  <si>
    <t>Elongation(%)</t>
  </si>
  <si>
    <t>740 kJ/mol</t>
  </si>
  <si>
    <t>428-2</t>
  </si>
  <si>
    <t>844-1</t>
  </si>
  <si>
    <t>880-1</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</si>
  <si>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https://doi.org/10.1016/j.actamat.2021.117020</t>
  </si>
  <si>
    <t>Volz, N., Xue, F., Zenk, C. H., Bezold, A., Gabel, S., Subramanyam, A. P. A., Drautz, R., 10.1016/j.jallcom.2021.160379Hammerschmidt, T., Makineni, S. K., Gault, B., Göken, M., &amp; Neumeier, S. (2021). Understanding creep of a single-crystalline Co-Al-W-Ta superalloy by studying the deformation mechanism, segregation tendency and stacking fault energy. Acta Materialia, 214. https://doi.org/10.1016/j.actamat.2021.117021</t>
  </si>
  <si>
    <t>899-1</t>
  </si>
  <si>
    <t>900-1</t>
  </si>
  <si>
    <t>901-1</t>
  </si>
  <si>
    <t>902-1</t>
  </si>
  <si>
    <t>903-1</t>
  </si>
  <si>
    <t>900-2</t>
  </si>
  <si>
    <t>901-2</t>
  </si>
  <si>
    <t>902-2</t>
  </si>
  <si>
    <t>903-2</t>
  </si>
  <si>
    <t>900-3</t>
  </si>
  <si>
    <t>901-3</t>
  </si>
  <si>
    <t>902-3</t>
  </si>
  <si>
    <t>903-3</t>
  </si>
  <si>
    <t>944-1</t>
  </si>
  <si>
    <t>1001-1</t>
  </si>
  <si>
    <t>1001-2</t>
  </si>
  <si>
    <t>1002-1</t>
  </si>
  <si>
    <t>1003-1</t>
  </si>
  <si>
    <t>1010-1</t>
  </si>
  <si>
    <t>1011-1</t>
  </si>
  <si>
    <t>1012-1</t>
  </si>
  <si>
    <t>1013-1</t>
  </si>
  <si>
    <t>1014-1</t>
  </si>
  <si>
    <t>1015-1</t>
  </si>
  <si>
    <t>1016-1</t>
  </si>
  <si>
    <t>1017-1</t>
  </si>
  <si>
    <t>1017-2</t>
  </si>
  <si>
    <t>1017-3</t>
  </si>
  <si>
    <t>1028-1</t>
  </si>
  <si>
    <t>1029-1</t>
  </si>
  <si>
    <t>1030-1</t>
  </si>
  <si>
    <t>1031-1</t>
  </si>
  <si>
    <t>1032-1</t>
  </si>
  <si>
    <t>1033-1</t>
  </si>
  <si>
    <t>1034-1</t>
  </si>
  <si>
    <t>1035-1</t>
  </si>
  <si>
    <t>1036-1</t>
  </si>
  <si>
    <t>1058-1</t>
  </si>
  <si>
    <t>1059-1</t>
  </si>
  <si>
    <t>1055-1</t>
  </si>
  <si>
    <t>1051-1</t>
  </si>
  <si>
    <t>1051-2</t>
  </si>
  <si>
    <t>1051-3</t>
  </si>
  <si>
    <t>1051-4</t>
  </si>
  <si>
    <t>1051-5</t>
  </si>
  <si>
    <t>1078-1</t>
  </si>
  <si>
    <t>1080-1</t>
  </si>
  <si>
    <t>1081-1</t>
  </si>
  <si>
    <t>1082-1</t>
  </si>
  <si>
    <t>1083-1</t>
  </si>
  <si>
    <t>1084-1</t>
  </si>
  <si>
    <t>1085-1</t>
  </si>
  <si>
    <t>1086-1</t>
  </si>
  <si>
    <t>1087-1</t>
  </si>
  <si>
    <t>1072-1</t>
  </si>
  <si>
    <t>1075-1</t>
  </si>
  <si>
    <t>1073-1</t>
  </si>
  <si>
    <t>1076-1</t>
  </si>
  <si>
    <t>1074-1</t>
  </si>
  <si>
    <t>1077-1</t>
  </si>
  <si>
    <t>1088-1</t>
  </si>
  <si>
    <t>1089-1</t>
  </si>
  <si>
    <t>1090-1</t>
  </si>
  <si>
    <t>1091-1</t>
  </si>
  <si>
    <t>Bauer, A., Neumeier, S., Pyczak, F., &amp; Göken, M. (2015). Influence of iridium on the properties of γ′-strengthened co-base superalloys. Advanced Engineering Materials, 17(6), 748–754. https://doi.org/10.1002/adem.201400271</t>
  </si>
  <si>
    <t>Bauer, A., Neumeier, S., Pyczak, F., &amp; Göken, M. (2015). Influence of iridium on the properties of γ′-strengthened co-base superalloys. Advanced Engineering Materials, 17(6), 748–754. https://doi.org/10.1002/adem.201400272</t>
  </si>
  <si>
    <t>Bauer, A., Neumeier, S., Pyczak, F., &amp; Göken, M. (2015). Influence of iridium on the properties of γ′-strengthened co-base superalloys. Advanced Engineering Materials, 17(6), 748–754. https://doi.org/10.1002/adem.201400273</t>
  </si>
  <si>
    <t>Bauer, A., Neumeier, S., Pyczak, F., &amp; Göken, M. (2015). Influence of iridium on the properties of γ′-strengthened co-base superalloys. Advanced Engineering Materials, 17(6), 748–754. https://doi.org/10.1002/adem.201400274</t>
  </si>
  <si>
    <t>Bauer, A., Neumeier, S., Pyczak, F., &amp; Göken, M. (2015). Influence of iridium on the properties of γ′-strengthened co-base superalloys. Advanced Engineering Materials, 17(6), 748–754. https://doi.org/10.1002/adem.201400275</t>
  </si>
  <si>
    <t>Bauer, A., Neumeier, S., Pyczak, F., &amp; Göken, M. (2015). Influence of iridium on the properties of γ′-strengthened co-base superalloys. Advanced Engineering Materials, 17(6), 748–754. https://doi.org/10.1002/adem.201400276</t>
  </si>
  <si>
    <t>Bauer, A., Neumeier, S., Pyczak, F., &amp; Göken, M. (2015). Influence of iridium on the properties of γ′-strengthened co-base superalloys. Advanced Engineering Materials, 17(6), 748–754. https://doi.org/10.1002/adem.201400277</t>
  </si>
  <si>
    <t>Bauer, A., Neumeier, S., Pyczak, F., &amp; Göken, M. (2015). Influence of iridium on the properties of γ′-strengthened co-base superalloys. Advanced Engineering Materials, 17(6), 748–754. https://doi.org/10.1002/adem.201400278</t>
  </si>
  <si>
    <t>Bauer, A., Neumeier, S., Pyczak, F., &amp; Göken, M. (2015). Influence of iridium on the properties of γ′-strengthened co-base superalloys. Advanced Engineering Materials, 17(6), 748–754. https://doi.org/10.1002/adem.201400279</t>
  </si>
  <si>
    <t>Bauer, A., Neumeier, S., Pyczak, F., &amp; Göken, M. (2015). Influence of iridium on the properties of γ′-strengthened co-base superalloys. Advanced Engineering Materials, 17(6), 748–754. https://doi.org/10.1002/adem.201400280</t>
  </si>
  <si>
    <t>Bauer, A., Neumeier, S., Pyczak, F., &amp; Göken, M. (2015). Influence of iridium on the properties of γ′-strengthened co-base superalloys. Advanced Engineering Materials, 17(6), 748–754. https://doi.org/10.1002/adem.201400281</t>
  </si>
  <si>
    <t>Titus, M. S., Suzuki, A. &amp; Pollock, T. M. High Temperature Creep of New L1 2-containing Cobalt-base Superalloys. (2012).</t>
  </si>
  <si>
    <t>Lu, S. et al. Atomic structure and elemental segregation behavior of creep defects in a Co-Al-W-based single crystal superalloys under high temperature and low stress. Acta Mater. 190, 16–28 (2020).</t>
  </si>
  <si>
    <t>Li, Y., Pyczak, F., Paul, J., Oehring, M., Lorenz, U., &amp; Yao, Z. (2017). Microstructure evolution in L12 hardened Co-base superalloys during creep. Journal of Materials Research, 32(24), 4522–4530. https://doi.org/10.1557/jmr.2017.362</t>
  </si>
  <si>
    <t>reported 1E7 on page 78, but I put 1E-7, assuming typo, Vf= maaaaybe = 70</t>
  </si>
  <si>
    <t>tensile, single crystal, Vf might = 70</t>
  </si>
  <si>
    <t>don't directly report Vf, but say comparable to lit alloys with Vf=70</t>
  </si>
  <si>
    <t>10% eutectic, creep rate is my estimation from their plot, they estimate Vf=80</t>
  </si>
  <si>
    <t>negative misfit, don't report aging time so guessing 120h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</si>
</sst>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
  </numFmts>
  <fonts count="10"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color rgb="FF000000"/>
      <name val="Arial"/>
      <family val="2"/>
    </font>
    <font>
      <sz val="11"/>
      <color theme="1"/>
      <name val="Calibri"/>
      <family val="2"/>
    </font>
    <font>
      <sz val="11"/>
      <name val="Calibri"/>
      <family val="2"/>
      <scheme val="minor"/>
    </font>
    <font>
      <sz val="11"/>
      <color theme="1"/>
      <name val="Arial"/>
      <family val="2"/>
    </font>
    <font>
      <sz val="11"/>
      <color rgb="FF000000"/>
      <name val="Roboto"/>
    </font>
    <font>
      <sz val="8"/>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FFF"/>
        <bgColor rgb="FFFFFFFF"/>
      </patternFill>
    </fill>
    <fill>
      <patternFill patternType="solid">
        <fgColor theme="0"/>
        <bgColor theme="0"/>
      </patternFill>
    </fill>
    <fill>
      <patternFill patternType="solid">
        <fgColor rgb="FFBDD6EE"/>
        <bgColor rgb="FFBDD6EE"/>
      </patternFill>
    </fill>
  </fills>
  <borders count="2">
    <border>
      <left/>
      <right/>
      <top/>
      <bottom/>
      <diagonal/>
    </border>
    <border>
      <left/>
      <right/>
      <top style="thin">
        <color theme="4"/>
      </top>
      <bottom/>
      <diagonal/>
    </border>
  </borders>
  <cellStyleXfs count="1">
    <xf numFmtId="0" fontId="0" fillId="0" borderId="0"/>
  </cellStyleXfs>
  <cellXfs count="44">
    <xf numFmtId="0" fontId="0" fillId="0" borderId="0" xfId="0"/>
    <xf numFmtId="0" fontId="0" fillId="2" borderId="0" xfId="0" applyFill="1" applyAlignment="1">
      <alignment horizontal="left" vertical="center" indent="3"/>
    </xf>
    <xf numFmtId="0" fontId="0" fillId="3" borderId="0" xfId="0" applyFill="1" applyAlignment="1">
      <alignment horizontal="left" vertical="center" indent="3"/>
    </xf>
    <xf numFmtId="0" fontId="4" fillId="0" borderId="0" xfId="0" applyFont="1"/>
    <xf numFmtId="0" fontId="4" fillId="4" borderId="0" xfId="0" applyFont="1" applyFill="1"/>
    <xf numFmtId="0" fontId="4" fillId="2" borderId="0" xfId="0" applyFont="1" applyFill="1"/>
    <xf numFmtId="0" fontId="4" fillId="0" borderId="0" xfId="0" applyFont="1" applyAlignment="1">
      <alignment vertical="center"/>
    </xf>
    <xf numFmtId="0" fontId="0" fillId="0" borderId="0" xfId="0" applyAlignment="1">
      <alignment vertical="center"/>
    </xf>
    <xf numFmtId="0" fontId="0" fillId="0" borderId="0" xfId="0" applyAlignment="1">
      <alignment horizontal="left" vertical="center"/>
    </xf>
    <xf numFmtId="0" fontId="0" fillId="5" borderId="0" xfId="0" applyFill="1"/>
    <xf numFmtId="0" fontId="4" fillId="5" borderId="0" xfId="0" applyFont="1" applyFill="1"/>
    <xf numFmtId="0" fontId="0" fillId="2" borderId="0" xfId="0" applyFill="1"/>
    <xf numFmtId="0" fontId="1" fillId="0" borderId="0" xfId="0" applyFont="1"/>
    <xf numFmtId="0" fontId="1" fillId="0" borderId="0" xfId="0" quotePrefix="1" applyFont="1"/>
    <xf numFmtId="0" fontId="0" fillId="0" borderId="0" xfId="0" applyAlignment="1">
      <alignment horizontal="left"/>
    </xf>
    <xf numFmtId="0" fontId="0" fillId="0" borderId="0" xfId="0" applyAlignment="1">
      <alignment horizontal="left" vertical="center" indent="3"/>
    </xf>
    <xf numFmtId="0" fontId="0" fillId="5" borderId="0" xfId="0" applyFill="1" applyAlignment="1">
      <alignment horizontal="left" vertical="center" indent="3"/>
    </xf>
    <xf numFmtId="0" fontId="4" fillId="3" borderId="0" xfId="0" applyFont="1" applyFill="1"/>
    <xf numFmtId="0" fontId="0" fillId="0" borderId="0" xfId="0" quotePrefix="1"/>
    <xf numFmtId="0" fontId="0" fillId="0" borderId="0" xfId="0" applyAlignment="1">
      <alignment horizontal="left" vertical="center" indent="4"/>
    </xf>
    <xf numFmtId="0" fontId="0" fillId="0" borderId="0" xfId="0" applyAlignment="1">
      <alignment vertical="top"/>
    </xf>
    <xf numFmtId="0" fontId="0" fillId="4" borderId="0" xfId="0" applyFill="1"/>
    <xf numFmtId="0" fontId="6" fillId="0" borderId="0" xfId="0" applyFont="1"/>
    <xf numFmtId="0" fontId="0" fillId="6" borderId="0" xfId="0" applyFill="1"/>
    <xf numFmtId="0" fontId="0" fillId="0" borderId="1" xfId="0" applyBorder="1"/>
    <xf numFmtId="11" fontId="0" fillId="0" borderId="0" xfId="0" applyNumberFormat="1"/>
    <xf numFmtId="0" fontId="0" fillId="0" borderId="1" xfId="0" applyBorder="1" applyAlignment="1">
      <alignment vertical="center"/>
    </xf>
    <xf numFmtId="0" fontId="0" fillId="2" borderId="1" xfId="0" applyFill="1" applyBorder="1"/>
    <xf numFmtId="0" fontId="0" fillId="0" borderId="0" xfId="0" applyAlignment="1">
      <alignment horizontal="right"/>
    </xf>
    <xf numFmtId="0" fontId="5" fillId="0" borderId="0" xfId="0" applyFont="1"/>
    <xf numFmtId="0" fontId="7" fillId="0" borderId="0" xfId="0" applyFont="1"/>
    <xf numFmtId="0" fontId="5" fillId="0" borderId="0" xfId="0" applyFont="1" applyAlignment="1">
      <alignment horizontal="right"/>
    </xf>
    <xf numFmtId="0" fontId="5" fillId="0" borderId="0" xfId="0" applyFont="1" applyAlignment="1">
      <alignment vertical="center"/>
    </xf>
    <xf numFmtId="0" fontId="8" fillId="7" borderId="0" xfId="0" applyFont="1" applyFill="1"/>
    <xf numFmtId="0" fontId="5" fillId="8" borderId="0" xfId="0" applyFont="1" applyFill="1"/>
    <xf numFmtId="0" fontId="5" fillId="9" borderId="0" xfId="0" applyFont="1" applyFill="1" applyAlignment="1">
      <alignment vertical="center"/>
    </xf>
    <xf numFmtId="0" fontId="7" fillId="2" borderId="0" xfId="0" applyFont="1" applyFill="1"/>
    <xf numFmtId="0" fontId="5" fillId="9" borderId="0" xfId="0" applyFont="1" applyFill="1"/>
    <xf numFmtId="0" fontId="1" fillId="0" borderId="0" xfId="0" applyFont="1" applyAlignment="1">
      <alignment vertical="center"/>
    </xf>
    <xf numFmtId="0" fontId="1" fillId="2" borderId="0" xfId="0" applyFont="1" applyFill="1"/>
    <xf numFmtId="164" fontId="0" fillId="0" borderId="0" xfId="0" applyNumberFormat="1"/>
    <xf numFmtId="164" fontId="5" fillId="0" borderId="0" xfId="0" applyNumberFormat="1" applyFont="1"/>
    <xf numFmtId="164" fontId="1" fillId="0" borderId="0" xfId="0" applyNumberFormat="1" applyFont="1"/>
    <xf numFmtId="0" fontId="0" fillId="0" borderId="0" xfId="0" applyNumberFormat="1"/>
  </cellXfs>
  <cellStyles count="1">
    <cellStyle name="Normal" xfId="0" builtinId="0"/>
  </cellStyles>
  <dxfs count="2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0" tint="-0.14999847407452621"/>
        </patternFill>
      </fill>
    </dxf>
    <dxf>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000"/>
    </dxf>
    <dxf>
      <fill>
        <patternFill patternType="solid">
          <fgColor rgb="FFBDD6EE"/>
          <bgColor rgb="FFBDD6EE"/>
        </patternFill>
      </fill>
    </dxf>
    <dxf>
      <fill>
        <patternFill patternType="solid">
          <fgColor rgb="FFDEEAF6"/>
          <bgColor rgb="FFDEEAF6"/>
        </patternFill>
      </fill>
    </dxf>
    <dxf>
      <fill>
        <patternFill patternType="solid">
          <fgColor rgb="FFBDD6EE"/>
          <bgColor rgb="FFBDD6EE"/>
        </patternFill>
      </fill>
    </dxf>
    <dxf>
      <fill>
        <patternFill patternType="solid">
          <fgColor rgb="FFDEEAF6"/>
          <bgColor rgb="FFDEEAF6"/>
        </patternFill>
      </fill>
    </dxf>
    <dxf>
      <fill>
        <patternFill patternType="solid">
          <fgColor rgb="FFBDD6EE"/>
          <bgColor rgb="FFBDD6EE"/>
        </patternFill>
      </fill>
    </dxf>
    <dxf>
      <fill>
        <patternFill patternType="solid">
          <fgColor rgb="FFDEEAF6"/>
          <bgColor rgb="FFDEEAF6"/>
        </patternFill>
      </fill>
    </dxf>
    <dxf>
      <fill>
        <patternFill patternType="solid">
          <fgColor rgb="FFDEEAF6"/>
          <bgColor rgb="FFDEEAF6"/>
        </patternFill>
      </fill>
    </dxf>
    <dxf>
      <fill>
        <patternFill patternType="solid">
          <fgColor rgb="FFBDD6EE"/>
          <bgColor rgb="FFBDD6EE"/>
        </patternFill>
      </fill>
    </dxf>
  </dxfs>
  <tableStyles count="4" defaultTableStyle="TableStyleMedium2" defaultPivotStyle="PivotStyleLight16">
    <tableStyle name="Creep-style 2" pivot="0" count="2" xr9:uid="{18CFF414-EC99-4218-A607-A3B46FAB794D}">
      <tableStyleElement type="firstRowStripe" dxfId="227"/>
      <tableStyleElement type="secondRowStripe" dxfId="226"/>
    </tableStyle>
    <tableStyle name="Creep-style 3" pivot="0" count="2" xr9:uid="{453C7595-E996-45B4-B5C6-FEF295C28C52}">
      <tableStyleElement type="firstRowStripe" dxfId="225"/>
      <tableStyleElement type="secondRowStripe" dxfId="224"/>
    </tableStyle>
    <tableStyle name="Creep-style 4" pivot="0" count="2" xr9:uid="{B611B83A-33B6-4830-B1DE-9BE90571BF83}">
      <tableStyleElement type="firstRowStripe" dxfId="223"/>
      <tableStyleElement type="secondRowStripe" dxfId="222"/>
    </tableStyle>
    <tableStyle name="Creep-style 5" pivot="0" count="2" xr9:uid="{8835873F-202D-4DB0-8914-38D85E9BA07B}">
      <tableStyleElement type="firstRowStripe" dxfId="221"/>
      <tableStyleElement type="secondRowStripe" dxfId="2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nuwildcat-my.sharepoint.com/personal/bco5763_ads_northwestern_edu/Documents/_FromNUBox/Dunand%20Research/Machine%20Learning/Final%20ML%20program/alloy%20data%20compilation_UpdateMar2023.xlsx" TargetMode="External"/><Relationship Id="rId1" Type="http://schemas.openxmlformats.org/officeDocument/2006/relationships/externalLinkPath" Target="alloy%20data%20compilation_UpdateMar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nuwildcat-my.sharepoint.com/personal/bco5763_ads_northwestern_edu/Documents/_FromNUBox/Dunand%20Research/Machine%20Learning/Final%20ML%20program/Files%20Archived%20Mar2023/alloy%20data%20compilation_newDataFromDocs.xlsx" TargetMode="External"/><Relationship Id="rId1" Type="http://schemas.openxmlformats.org/officeDocument/2006/relationships/externalLinkPath" Target="Files%20Archived%20Mar2023/alloy%20data%20compilation_newDataFromDo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
      <sheetName val="Lattice misfit"/>
      <sheetName val="DSC"/>
      <sheetName val="Vf"/>
      <sheetName val="old mech prop"/>
      <sheetName val="hardness"/>
      <sheetName val="flow stress"/>
      <sheetName val="Yield stress"/>
      <sheetName val="Creep"/>
      <sheetName val="count data"/>
      <sheetName val="old"/>
      <sheetName val="alloy data compilation_UpdateM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
      <sheetName val="Lattice misfit"/>
      <sheetName val="DSC"/>
      <sheetName val="Vf"/>
      <sheetName val="flow stress"/>
      <sheetName val="mech prop"/>
      <sheetName val="Yield stress"/>
      <sheetName val="Creep"/>
      <sheetName val="does data exist"/>
    </sheetNames>
    <sheetDataSet>
      <sheetData sheetId="0">
        <row r="2">
          <cell r="A2" t="str">
            <v>Co-8.9Ni-7.9Fe-2.7Al-7.2Cr-19.3W-4.5Ti-16.7Ta-8.6Nb-6.1V-10.3Mo-22.6Ir-21.Re-2.3Si-13.3Hf-5.3Ge-7.5Mn-3.Sc-12.4Ru-6.7Ce-2.26C-6.51Zr-2.46B-4.5Y</v>
          </cell>
          <cell r="B2"/>
          <cell r="C2" t="str">
            <v>-9Ni-8Fe-3Al-7Cr-19W-5Ti-17Ta-9Nb-6V-10Mo-23Ir-21Re-Si-Hf-5Ge-7Mn-3Sc-12Ru-7Ce-C-Zr-B-Y</v>
          </cell>
          <cell r="D2" t="str">
            <v>Densities</v>
          </cell>
          <cell r="E2"/>
          <cell r="F2">
            <v>0</v>
          </cell>
          <cell r="G2">
            <v>8.9</v>
          </cell>
          <cell r="H2">
            <v>8.9079999999999995</v>
          </cell>
          <cell r="I2">
            <v>2.7</v>
          </cell>
          <cell r="J2">
            <v>7.19</v>
          </cell>
          <cell r="K2">
            <v>19.25</v>
          </cell>
          <cell r="L2">
            <v>4.5069999999999997</v>
          </cell>
          <cell r="M2">
            <v>16.649999999999999</v>
          </cell>
          <cell r="N2">
            <v>8.57</v>
          </cell>
          <cell r="O2">
            <v>6.11</v>
          </cell>
          <cell r="P2">
            <v>10.28</v>
          </cell>
          <cell r="Q2">
            <v>2.2599999999999998</v>
          </cell>
          <cell r="R2">
            <v>6.5110000000000001</v>
          </cell>
          <cell r="S2">
            <v>2.46</v>
          </cell>
          <cell r="T2">
            <v>22.56</v>
          </cell>
          <cell r="U2">
            <v>21.02</v>
          </cell>
          <cell r="V2">
            <v>2.33</v>
          </cell>
          <cell r="W2">
            <v>7.8739999999999997</v>
          </cell>
          <cell r="X2">
            <v>4.4720000000000004</v>
          </cell>
          <cell r="Y2">
            <v>13.31</v>
          </cell>
          <cell r="Z2">
            <v>5.3230000000000004</v>
          </cell>
          <cell r="AA2">
            <v>7.47</v>
          </cell>
          <cell r="AB2">
            <v>2.9849999999999999</v>
          </cell>
          <cell r="AC2">
            <v>12.37</v>
          </cell>
          <cell r="AD2">
            <v>6.6890000000000001</v>
          </cell>
          <cell r="AE2">
            <v>7.01</v>
          </cell>
          <cell r="AF2"/>
          <cell r="AG2"/>
          <cell r="AH2" t="str">
            <v>values from https://periodictable.com/Properties/A/Density.al.html</v>
          </cell>
          <cell r="AI2" t="str">
            <v>Co</v>
          </cell>
          <cell r="AJ2" t="str">
            <v>-2.7Al</v>
          </cell>
          <cell r="AK2" t="str">
            <v>-19.3W</v>
          </cell>
          <cell r="AL2" t="str">
            <v>-8.9Ni</v>
          </cell>
          <cell r="AM2" t="str">
            <v>-7.2Cr</v>
          </cell>
          <cell r="AN2" t="str">
            <v>-16.7Ta</v>
          </cell>
          <cell r="AO2" t="str">
            <v>-8.6Nb</v>
          </cell>
          <cell r="AP2" t="str">
            <v>-6.1V</v>
          </cell>
          <cell r="AQ2" t="str">
            <v>-4.5Ti</v>
          </cell>
          <cell r="AR2" t="str">
            <v>-10.3Mo</v>
          </cell>
          <cell r="AS2" t="str">
            <v>-2.26C</v>
          </cell>
          <cell r="AT2" t="str">
            <v>-6.51Zr</v>
          </cell>
          <cell r="AU2" t="str">
            <v>-2.46B</v>
          </cell>
          <cell r="AV2" t="str">
            <v>-22.6Ir</v>
          </cell>
          <cell r="AW2" t="str">
            <v>-21.Re</v>
          </cell>
          <cell r="AX2" t="str">
            <v>-2.3Si</v>
          </cell>
          <cell r="AY2" t="str">
            <v>-7.9Fe</v>
          </cell>
          <cell r="AZ2" t="str">
            <v>-4.5Y</v>
          </cell>
          <cell r="BA2" t="str">
            <v>-13.3Hf</v>
          </cell>
          <cell r="BB2" t="str">
            <v>-5.3Ge</v>
          </cell>
          <cell r="BC2" t="str">
            <v>-7.5Mn</v>
          </cell>
          <cell r="BD2" t="str">
            <v>-3.Sc</v>
          </cell>
          <cell r="BE2" t="str">
            <v>-12.4Ru</v>
          </cell>
          <cell r="BF2" t="str">
            <v>-6.7Ce</v>
          </cell>
          <cell r="BG2" t="str">
            <v>-7.Nd</v>
          </cell>
          <cell r="BH2" t="str">
            <v>Densities</v>
          </cell>
          <cell r="BI2" t="str">
            <v>Co-8.9Ni-7.9Fe-2.7Al-7.2Cr-19.3W-4.5Ti-16.7Ta-8.6Nb-6.1V-10.3Mo-22.6Ir-21.Re-2.3Si-13.3Hf-5.3Ge-7.5Mn-3.Sc-12.4Ru-6.7Ce-2.26C-6.51Zr-2.46B-4.5Y-7.Nd</v>
          </cell>
          <cell r="BJ2"/>
        </row>
        <row r="3">
          <cell r="A3" t="str">
            <v>Co-29.5Ni-9.6Al-12.7Cr-4.5Ti-1.9Nb</v>
          </cell>
          <cell r="B3" t="str">
            <v>W-free</v>
          </cell>
          <cell r="C3" t="str">
            <v>-30Ni-10Al-13Cr-5Ti-2Nb</v>
          </cell>
          <cell r="D3" t="str">
            <v>Co10Al2Nb</v>
          </cell>
          <cell r="E3" t="str">
            <v>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ell>
          <cell r="F3">
            <v>1</v>
          </cell>
          <cell r="G3">
            <v>41.800000000000004</v>
          </cell>
          <cell r="H3">
            <v>29.5</v>
          </cell>
          <cell r="I3">
            <v>9.6</v>
          </cell>
          <cell r="J3">
            <v>12.7</v>
          </cell>
          <cell r="K3"/>
          <cell r="L3">
            <v>4.5</v>
          </cell>
          <cell r="M3"/>
          <cell r="N3">
            <v>1.9</v>
          </cell>
          <cell r="O3"/>
          <cell r="P3"/>
          <cell r="Q3"/>
          <cell r="R3"/>
          <cell r="S3"/>
          <cell r="T3"/>
          <cell r="U3"/>
          <cell r="V3"/>
          <cell r="W3"/>
          <cell r="X3"/>
          <cell r="Y3"/>
          <cell r="Z3"/>
          <cell r="AA3"/>
          <cell r="AB3"/>
          <cell r="AC3"/>
          <cell r="AD3"/>
          <cell r="AE3"/>
          <cell r="AF3">
            <v>7.8860350000000015</v>
          </cell>
          <cell r="AG3">
            <v>7.84</v>
          </cell>
          <cell r="AH3" t="str">
            <v>References Prafull Pandey, On the development of low mass density γˈ strengthened Co based superalloys, IISc Bangalore, 2019 and Pandey, Namrata M, Abhishek S, Dhanalakshmi P, Amit Sharma, Mahander P, Chaitali P, Nithin B, Surendar M, Banerjee D, Chattopadhyay K, Towards the development of low density γ/γʹ misfit CoNi-base superalloys with promising high temperature mechanical properties, (2019) which I can't find</v>
          </cell>
          <cell r="AI3" t="str">
            <v>Co</v>
          </cell>
          <cell r="AJ3" t="str">
            <v>-9.6Al</v>
          </cell>
          <cell r="AK3" t="str">
            <v/>
          </cell>
          <cell r="AL3" t="str">
            <v>-29.5Ni</v>
          </cell>
          <cell r="AM3" t="str">
            <v>-12.7Cr</v>
          </cell>
          <cell r="AN3" t="str">
            <v/>
          </cell>
          <cell r="AO3" t="str">
            <v>-1.9Nb</v>
          </cell>
          <cell r="AP3" t="str">
            <v/>
          </cell>
          <cell r="AQ3" t="str">
            <v>-4.5Ti</v>
          </cell>
          <cell r="AR3" t="str">
            <v/>
          </cell>
          <cell r="AS3" t="str">
            <v/>
          </cell>
          <cell r="AT3" t="str">
            <v/>
          </cell>
          <cell r="AU3" t="str">
            <v/>
          </cell>
          <cell r="AV3" t="str">
            <v/>
          </cell>
          <cell r="AW3" t="str">
            <v/>
          </cell>
          <cell r="AX3" t="str">
            <v/>
          </cell>
          <cell r="AY3" t="str">
            <v/>
          </cell>
          <cell r="AZ3" t="str">
            <v/>
          </cell>
          <cell r="BA3" t="str">
            <v/>
          </cell>
          <cell r="BB3" t="str">
            <v/>
          </cell>
          <cell r="BC3" t="str">
            <v/>
          </cell>
          <cell r="BD3" t="str">
            <v/>
          </cell>
          <cell r="BE3" t="str">
            <v/>
          </cell>
          <cell r="BF3" t="str">
            <v/>
          </cell>
          <cell r="BG3" t="str">
            <v/>
          </cell>
          <cell r="BH3" t="str">
            <v>Co10Al2NbBaler, N., Pandey, P., Chattopadhyay, K., &amp; Phanikumar, G. (2020). Influence of Thermomechanical Processing Parameters on Microstructural Evolution of a Gamma-Prime Strengthened Cobalt Based Superalloy During High Temperature Deformation. Materials Science and Engineering: A, 139498. https://doi.org/10.1016/j.msea.2020.139498</v>
          </cell>
          <cell r="BI3" t="str">
            <v>Co-29.5Ni-9.6Al-12.7Cr-4.5Ti-1.9Nb</v>
          </cell>
          <cell r="BJ3" t="str">
            <v>71.3Co-29.5Ni-9.6Al-12.7Cr-4.5Ti-1.9Nb</v>
          </cell>
        </row>
        <row r="4">
          <cell r="A4" t="str">
            <v>Co-30.Ni-10.Al-2.Ti-2.Ta-5.Mo</v>
          </cell>
          <cell r="B4" t="str">
            <v>W-free</v>
          </cell>
          <cell r="C4" t="str">
            <v>-30Ni-10Al-2Ti-2Ta-5Mo</v>
          </cell>
          <cell r="D4" t="str">
            <v>Co–30Ni–5Mo– 10Al–2Ta–2Ti–0W</v>
          </cell>
          <cell r="E4" t="str">
            <v>Baler, N., Pandey, P., Palanisamy, D., Makineni, S. K., Phanikumar, G., &amp; Chattopadhyay, K. (2020). On the effect of W addition on microstructural evolution and γ′ precipitate coarsening in a Co–30Ni–10Al–5Mo–2Ta–2Ti alloy. Materialia, 10. https://doi.org/10.1016/j.mtla.2020.100632</v>
          </cell>
          <cell r="F4">
            <v>2</v>
          </cell>
          <cell r="G4">
            <v>51</v>
          </cell>
          <cell r="H4">
            <v>30</v>
          </cell>
          <cell r="I4">
            <v>10</v>
          </cell>
          <cell r="J4"/>
          <cell r="K4"/>
          <cell r="L4">
            <v>2</v>
          </cell>
          <cell r="M4">
            <v>2</v>
          </cell>
          <cell r="N4"/>
          <cell r="O4"/>
          <cell r="P4">
            <v>5</v>
          </cell>
          <cell r="Q4"/>
          <cell r="R4"/>
          <cell r="S4"/>
          <cell r="T4"/>
          <cell r="U4"/>
          <cell r="V4"/>
          <cell r="W4"/>
          <cell r="X4"/>
          <cell r="Y4"/>
          <cell r="Z4"/>
          <cell r="AA4"/>
          <cell r="AB4"/>
          <cell r="AC4"/>
          <cell r="AD4"/>
          <cell r="AE4"/>
          <cell r="AF4">
            <v>8.4185400000000001</v>
          </cell>
          <cell r="AG4">
            <v>8.5500000000000007</v>
          </cell>
          <cell r="AH4"/>
          <cell r="AI4" t="str">
            <v>Co</v>
          </cell>
          <cell r="AJ4" t="str">
            <v>-10.Al</v>
          </cell>
          <cell r="AK4" t="str">
            <v/>
          </cell>
          <cell r="AL4" t="str">
            <v>-30.Ni</v>
          </cell>
          <cell r="AM4" t="str">
            <v/>
          </cell>
          <cell r="AN4" t="str">
            <v>-2.Ta</v>
          </cell>
          <cell r="AO4" t="str">
            <v/>
          </cell>
          <cell r="AP4" t="str">
            <v/>
          </cell>
          <cell r="AQ4" t="str">
            <v>-2.Ti</v>
          </cell>
          <cell r="AR4" t="str">
            <v>-5.Mo</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Co–30Ni–5Mo– 10Al–2Ta–2Ti–0WBaler, N., Pandey, P., Palanisamy, D., Makineni, S. K., Phanikumar, G., &amp; Chattopadhyay, K. (2020). On the effect of W addition on microstructural evolution and γ′ precipitate coarsening in a Co–30Ni–10Al–5Mo–2Ta–2Ti alloy. Materialia, 10. https://doi.org/10.1016/j.mtla.2020.100632</v>
          </cell>
          <cell r="BI4" t="str">
            <v>Co-30.Ni-10.Al-2.Ti-2.Ta-5.Mo</v>
          </cell>
          <cell r="BJ4" t="str">
            <v>81.0Co-30.0Ni-10.0Al-2.0Ti-2.0Ta-5.0Mo</v>
          </cell>
        </row>
        <row r="5">
          <cell r="A5" t="str">
            <v>Co-30.Ni-10.Al-0.5W-2.Ti-2.Ta-4.5Mo</v>
          </cell>
          <cell r="B5" t="str">
            <v>Low-W</v>
          </cell>
          <cell r="C5" t="str">
            <v>-30Ni-10Al-1W-2Ti-2Ta-5Mo</v>
          </cell>
          <cell r="D5" t="str">
            <v>Co–30Ni–4.5Mo– 10Al–2Ta–2Ti–0.5W</v>
          </cell>
          <cell r="E5" t="str">
            <v>Baler, N., Pandey, P., Palanisamy, D., Makineni, S. K., Phanikumar, G., &amp; Chattopadhyay, K. (2020). On the effect of W addition on microstructural evolution and γ′ precipitate coarsening in a Co–30Ni–10Al–5Mo–2Ta–2Ti alloy. Materialia, 10. https://doi.org/10.1016/j.mtla.2020.100633</v>
          </cell>
          <cell r="F5">
            <v>3</v>
          </cell>
          <cell r="G5">
            <v>51</v>
          </cell>
          <cell r="H5">
            <v>30</v>
          </cell>
          <cell r="I5">
            <v>10</v>
          </cell>
          <cell r="J5"/>
          <cell r="K5">
            <v>0.5</v>
          </cell>
          <cell r="L5">
            <v>2</v>
          </cell>
          <cell r="M5">
            <v>2</v>
          </cell>
          <cell r="N5"/>
          <cell r="O5"/>
          <cell r="P5">
            <v>4.5</v>
          </cell>
          <cell r="Q5"/>
          <cell r="R5"/>
          <cell r="S5"/>
          <cell r="T5"/>
          <cell r="U5"/>
          <cell r="V5"/>
          <cell r="W5"/>
          <cell r="X5"/>
          <cell r="Y5"/>
          <cell r="Z5"/>
          <cell r="AA5"/>
          <cell r="AB5"/>
          <cell r="AC5"/>
          <cell r="AD5"/>
          <cell r="AE5"/>
          <cell r="AF5">
            <v>8.4633900000000004</v>
          </cell>
          <cell r="AG5">
            <v>8.67</v>
          </cell>
          <cell r="AH5"/>
          <cell r="AI5" t="str">
            <v>Co</v>
          </cell>
          <cell r="AJ5" t="str">
            <v>-10.Al</v>
          </cell>
          <cell r="AK5" t="str">
            <v>-0.5W</v>
          </cell>
          <cell r="AL5" t="str">
            <v>-30.Ni</v>
          </cell>
          <cell r="AM5" t="str">
            <v/>
          </cell>
          <cell r="AN5" t="str">
            <v>-2.Ta</v>
          </cell>
          <cell r="AO5" t="str">
            <v/>
          </cell>
          <cell r="AP5" t="str">
            <v/>
          </cell>
          <cell r="AQ5" t="str">
            <v>-2.Ti</v>
          </cell>
          <cell r="AR5" t="str">
            <v>-4.5Mo</v>
          </cell>
          <cell r="AS5" t="str">
            <v/>
          </cell>
          <cell r="AT5" t="str">
            <v/>
          </cell>
          <cell r="AU5" t="str">
            <v/>
          </cell>
          <cell r="AV5" t="str">
            <v/>
          </cell>
          <cell r="AW5" t="str">
            <v/>
          </cell>
          <cell r="AX5" t="str">
            <v/>
          </cell>
          <cell r="AY5" t="str">
            <v/>
          </cell>
          <cell r="AZ5" t="str">
            <v/>
          </cell>
          <cell r="BA5" t="str">
            <v/>
          </cell>
          <cell r="BB5" t="str">
            <v/>
          </cell>
          <cell r="BC5" t="str">
            <v/>
          </cell>
          <cell r="BD5" t="str">
            <v/>
          </cell>
          <cell r="BE5" t="str">
            <v/>
          </cell>
          <cell r="BF5" t="str">
            <v/>
          </cell>
          <cell r="BG5" t="str">
            <v/>
          </cell>
          <cell r="BH5" t="str">
            <v>Co–30Ni–4.5Mo– 10Al–2Ta–2Ti–0.5WBaler, N., Pandey, P., Palanisamy, D., Makineni, S. K., Phanikumar, G., &amp; Chattopadhyay, K. (2020). On the effect of W addition on microstructural evolution and γ′ precipitate coarsening in a Co–30Ni–10Al–5Mo–2Ta–2Ti alloy. Materialia, 10. https://doi.org/10.1016/j.mtla.2020.100633</v>
          </cell>
          <cell r="BI5" t="str">
            <v>Co-30.Ni-10.Al-0.5W-2.Ti-2.Ta-4.5Mo</v>
          </cell>
          <cell r="BJ5" t="str">
            <v>81.0Co-30.0Ni-10.0Al-0.5W-2.0Ti-2.0Ta-4.5Mo</v>
          </cell>
        </row>
        <row r="6">
          <cell r="A6" t="str">
            <v>Co-30.Ni-10.Al-1.W-2.Ti-2.Ta-4.Mo</v>
          </cell>
          <cell r="B6" t="str">
            <v>Low-W</v>
          </cell>
          <cell r="C6" t="str">
            <v>-30Ni-10Al-1W-2Ti-2Ta-4Mo</v>
          </cell>
          <cell r="D6" t="str">
            <v>Co–30Ni–4Mo– 10Al–2Ta–2Ti–1W</v>
          </cell>
          <cell r="E6" t="str">
            <v>Baler, N., Pandey, P., Palanisamy, D., Makineni, S. K., Phanikumar, G., &amp; Chattopadhyay, K. (2020). On the effect of W addition on microstructural evolution and γ′ precipitate coarsening in a Co–30Ni–10Al–5Mo–2Ta–2Ti alloy. Materialia, 10. https://doi.org/10.1016/j.mtla.2020.100634</v>
          </cell>
          <cell r="F6">
            <v>4</v>
          </cell>
          <cell r="G6">
            <v>51</v>
          </cell>
          <cell r="H6">
            <v>30</v>
          </cell>
          <cell r="I6">
            <v>10</v>
          </cell>
          <cell r="J6"/>
          <cell r="K6">
            <v>1</v>
          </cell>
          <cell r="L6">
            <v>2</v>
          </cell>
          <cell r="M6">
            <v>2</v>
          </cell>
          <cell r="N6"/>
          <cell r="O6"/>
          <cell r="P6">
            <v>4</v>
          </cell>
          <cell r="Q6"/>
          <cell r="R6"/>
          <cell r="S6"/>
          <cell r="T6"/>
          <cell r="U6"/>
          <cell r="V6"/>
          <cell r="W6"/>
          <cell r="X6"/>
          <cell r="Y6"/>
          <cell r="Z6"/>
          <cell r="AA6"/>
          <cell r="AB6"/>
          <cell r="AC6"/>
          <cell r="AD6"/>
          <cell r="AE6"/>
          <cell r="AF6">
            <v>8.5082400000000007</v>
          </cell>
          <cell r="AG6">
            <v>8.6999999999999993</v>
          </cell>
          <cell r="AH6"/>
          <cell r="AI6" t="str">
            <v>Co</v>
          </cell>
          <cell r="AJ6" t="str">
            <v>-10.Al</v>
          </cell>
          <cell r="AK6" t="str">
            <v>-1.W</v>
          </cell>
          <cell r="AL6" t="str">
            <v>-30.Ni</v>
          </cell>
          <cell r="AM6" t="str">
            <v/>
          </cell>
          <cell r="AN6" t="str">
            <v>-2.Ta</v>
          </cell>
          <cell r="AO6" t="str">
            <v/>
          </cell>
          <cell r="AP6" t="str">
            <v/>
          </cell>
          <cell r="AQ6" t="str">
            <v>-2.Ti</v>
          </cell>
          <cell r="AR6" t="str">
            <v>-4.Mo</v>
          </cell>
          <cell r="AS6" t="str">
            <v/>
          </cell>
          <cell r="AT6" t="str">
            <v/>
          </cell>
          <cell r="AU6" t="str">
            <v/>
          </cell>
          <cell r="AV6" t="str">
            <v/>
          </cell>
          <cell r="AW6" t="str">
            <v/>
          </cell>
          <cell r="AX6" t="str">
            <v/>
          </cell>
          <cell r="AY6" t="str">
            <v/>
          </cell>
          <cell r="AZ6" t="str">
            <v/>
          </cell>
          <cell r="BA6" t="str">
            <v/>
          </cell>
          <cell r="BB6" t="str">
            <v/>
          </cell>
          <cell r="BC6" t="str">
            <v/>
          </cell>
          <cell r="BD6" t="str">
            <v/>
          </cell>
          <cell r="BE6" t="str">
            <v/>
          </cell>
          <cell r="BF6" t="str">
            <v/>
          </cell>
          <cell r="BG6" t="str">
            <v/>
          </cell>
          <cell r="BH6" t="str">
            <v>Co–30Ni–4Mo– 10Al–2Ta–2Ti–1WBaler, N., Pandey, P., Palanisamy, D., Makineni, S. K., Phanikumar, G., &amp; Chattopadhyay, K. (2020). On the effect of W addition on microstructural evolution and γ′ precipitate coarsening in a Co–30Ni–10Al–5Mo–2Ta–2Ti alloy. Materialia, 10. https://doi.org/10.1016/j.mtla.2020.100634</v>
          </cell>
          <cell r="BI6" t="str">
            <v>Co-30.Ni-10.Al-1.W-2.Ti-2.Ta-4.Mo</v>
          </cell>
          <cell r="BJ6" t="str">
            <v>81.0Co-30.0Ni-10.0Al-1.0W-2.0Ti-2.0Ta-4.0Mo</v>
          </cell>
        </row>
        <row r="7">
          <cell r="A7" t="str">
            <v>Co-30.Ni-10.Al-1.5W-2.Ti-2.Ta-3.5Mo</v>
          </cell>
          <cell r="B7" t="str">
            <v>Low-W</v>
          </cell>
          <cell r="C7" t="str">
            <v>-30Ni-10Al-2W-2Ti-2Ta-4Mo</v>
          </cell>
          <cell r="D7" t="str">
            <v>Co–30Ni–3.5Mo– 10Al–2Ta–2Ti–1.5W</v>
          </cell>
          <cell r="E7" t="str">
            <v>Baler, N., Pandey, P., Palanisamy, D., Makineni, S. K., Phanikumar, G., &amp; Chattopadhyay, K. (2020). On the effect of W addition on microstructural evolution and γ′ precipitate coarsening in a Co–30Ni–10Al–5Mo–2Ta–2Ti alloy. Materialia, 10. https://doi.org/10.1016/j.mtla.2020.100635</v>
          </cell>
          <cell r="F7">
            <v>5</v>
          </cell>
          <cell r="G7">
            <v>51</v>
          </cell>
          <cell r="H7">
            <v>30</v>
          </cell>
          <cell r="I7">
            <v>10</v>
          </cell>
          <cell r="J7"/>
          <cell r="K7">
            <v>1.5</v>
          </cell>
          <cell r="L7">
            <v>2</v>
          </cell>
          <cell r="M7">
            <v>2</v>
          </cell>
          <cell r="N7"/>
          <cell r="O7"/>
          <cell r="P7">
            <v>3.5</v>
          </cell>
          <cell r="Q7"/>
          <cell r="R7"/>
          <cell r="S7"/>
          <cell r="T7"/>
          <cell r="U7"/>
          <cell r="V7"/>
          <cell r="W7"/>
          <cell r="X7"/>
          <cell r="Y7"/>
          <cell r="Z7"/>
          <cell r="AA7"/>
          <cell r="AB7"/>
          <cell r="AC7"/>
          <cell r="AD7"/>
          <cell r="AE7"/>
          <cell r="AF7">
            <v>8.553090000000001</v>
          </cell>
          <cell r="AG7">
            <v>8.76</v>
          </cell>
          <cell r="AH7"/>
          <cell r="AI7" t="str">
            <v>Co</v>
          </cell>
          <cell r="AJ7" t="str">
            <v>-10.Al</v>
          </cell>
          <cell r="AK7" t="str">
            <v>-1.5W</v>
          </cell>
          <cell r="AL7" t="str">
            <v>-30.Ni</v>
          </cell>
          <cell r="AM7" t="str">
            <v/>
          </cell>
          <cell r="AN7" t="str">
            <v>-2.Ta</v>
          </cell>
          <cell r="AO7" t="str">
            <v/>
          </cell>
          <cell r="AP7" t="str">
            <v/>
          </cell>
          <cell r="AQ7" t="str">
            <v>-2.Ti</v>
          </cell>
          <cell r="AR7" t="str">
            <v>-3.5Mo</v>
          </cell>
          <cell r="AS7" t="str">
            <v/>
          </cell>
          <cell r="AT7" t="str">
            <v/>
          </cell>
          <cell r="AU7" t="str">
            <v/>
          </cell>
          <cell r="AV7" t="str">
            <v/>
          </cell>
          <cell r="AW7" t="str">
            <v/>
          </cell>
          <cell r="AX7" t="str">
            <v/>
          </cell>
          <cell r="AY7" t="str">
            <v/>
          </cell>
          <cell r="AZ7" t="str">
            <v/>
          </cell>
          <cell r="BA7" t="str">
            <v/>
          </cell>
          <cell r="BB7" t="str">
            <v/>
          </cell>
          <cell r="BC7" t="str">
            <v/>
          </cell>
          <cell r="BD7" t="str">
            <v/>
          </cell>
          <cell r="BE7" t="str">
            <v/>
          </cell>
          <cell r="BF7" t="str">
            <v/>
          </cell>
          <cell r="BG7" t="str">
            <v/>
          </cell>
          <cell r="BH7" t="str">
            <v>Co–30Ni–3.5Mo– 10Al–2Ta–2Ti–1.5WBaler, N., Pandey, P., Palanisamy, D., Makineni, S. K., Phanikumar, G., &amp; Chattopadhyay, K. (2020). On the effect of W addition on microstructural evolution and γ′ precipitate coarsening in a Co–30Ni–10Al–5Mo–2Ta–2Ti alloy. Materialia, 10. https://doi.org/10.1016/j.mtla.2020.100635</v>
          </cell>
          <cell r="BI7" t="str">
            <v>Co-30.Ni-10.Al-1.5W-2.Ti-2.Ta-3.5Mo</v>
          </cell>
          <cell r="BJ7" t="str">
            <v>81.0Co-30.0Ni-10.0Al-1.5W-2.0Ti-2.0Ta-3.5Mo</v>
          </cell>
        </row>
        <row r="8">
          <cell r="A8" t="str">
            <v>Co-30.Ni-10.Al-2.W-2.Ti-2.Ta-3.Mo</v>
          </cell>
          <cell r="B8" t="str">
            <v>Low-W</v>
          </cell>
          <cell r="C8" t="str">
            <v>-30Ni-10Al-2W-2Ti-2Ta-3Mo</v>
          </cell>
          <cell r="D8" t="str">
            <v>Co–30Ni–3Mo– 10Al–2Ta–2Ti–2W</v>
          </cell>
          <cell r="E8" t="str">
            <v>Baler, N., Pandey, P., Palanisamy, D., Makineni, S. K., Phanikumar, G., &amp; Chattopadhyay, K. (2020). On the effect of W addition on microstructural evolution and γ′ precipitate coarsening in a Co–30Ni–10Al–5Mo–2Ta–2Ti alloy. Materialia, 10. https://doi.org/10.1016/j.mtla.2020.100636</v>
          </cell>
          <cell r="F8">
            <v>6</v>
          </cell>
          <cell r="G8">
            <v>51</v>
          </cell>
          <cell r="H8">
            <v>30</v>
          </cell>
          <cell r="I8">
            <v>10</v>
          </cell>
          <cell r="J8"/>
          <cell r="K8">
            <v>2</v>
          </cell>
          <cell r="L8">
            <v>2</v>
          </cell>
          <cell r="M8">
            <v>2</v>
          </cell>
          <cell r="N8"/>
          <cell r="O8"/>
          <cell r="P8">
            <v>3</v>
          </cell>
          <cell r="Q8"/>
          <cell r="R8"/>
          <cell r="S8"/>
          <cell r="T8"/>
          <cell r="U8"/>
          <cell r="V8"/>
          <cell r="W8"/>
          <cell r="X8"/>
          <cell r="Y8"/>
          <cell r="Z8"/>
          <cell r="AA8"/>
          <cell r="AB8"/>
          <cell r="AC8"/>
          <cell r="AD8"/>
          <cell r="AE8"/>
          <cell r="AF8">
            <v>8.5979400000000012</v>
          </cell>
          <cell r="AG8">
            <v>8.7899999999999991</v>
          </cell>
          <cell r="AH8"/>
          <cell r="AI8" t="str">
            <v>Co</v>
          </cell>
          <cell r="AJ8" t="str">
            <v>-10.Al</v>
          </cell>
          <cell r="AK8" t="str">
            <v>-2.W</v>
          </cell>
          <cell r="AL8" t="str">
            <v>-30.Ni</v>
          </cell>
          <cell r="AM8" t="str">
            <v/>
          </cell>
          <cell r="AN8" t="str">
            <v>-2.Ta</v>
          </cell>
          <cell r="AO8" t="str">
            <v/>
          </cell>
          <cell r="AP8" t="str">
            <v/>
          </cell>
          <cell r="AQ8" t="str">
            <v>-2.Ti</v>
          </cell>
          <cell r="AR8" t="str">
            <v>-3.Mo</v>
          </cell>
          <cell r="AS8" t="str">
            <v/>
          </cell>
          <cell r="AT8" t="str">
            <v/>
          </cell>
          <cell r="AU8" t="str">
            <v/>
          </cell>
          <cell r="AV8" t="str">
            <v/>
          </cell>
          <cell r="AW8" t="str">
            <v/>
          </cell>
          <cell r="AX8" t="str">
            <v/>
          </cell>
          <cell r="AY8" t="str">
            <v/>
          </cell>
          <cell r="AZ8" t="str">
            <v/>
          </cell>
          <cell r="BA8" t="str">
            <v/>
          </cell>
          <cell r="BB8" t="str">
            <v/>
          </cell>
          <cell r="BC8" t="str">
            <v/>
          </cell>
          <cell r="BD8" t="str">
            <v/>
          </cell>
          <cell r="BE8" t="str">
            <v/>
          </cell>
          <cell r="BF8" t="str">
            <v/>
          </cell>
          <cell r="BG8" t="str">
            <v/>
          </cell>
          <cell r="BH8" t="str">
            <v>Co–30Ni–3Mo– 10Al–2Ta–2Ti–2WBaler, N., Pandey, P., Palanisamy, D., Makineni, S. K., Phanikumar, G., &amp; Chattopadhyay, K. (2020). On the effect of W addition on microstructural evolution and γ′ precipitate coarsening in a Co–30Ni–10Al–5Mo–2Ta–2Ti alloy. Materialia, 10. https://doi.org/10.1016/j.mtla.2020.100636</v>
          </cell>
          <cell r="BI8" t="str">
            <v>Co-30.Ni-10.Al-2.W-2.Ti-2.Ta-3.Mo</v>
          </cell>
          <cell r="BJ8" t="str">
            <v>81.0Co-30.0Ni-10.0Al-2.0W-2.0Ti-2.0Ta-3.0Mo</v>
          </cell>
        </row>
        <row r="9">
          <cell r="A9" t="str">
            <v>Co-31.1Ni-10.6Al-10.7Cr-1.9Ta-1.Nb-4.Mo-0.31C-0.04Zr-0.19B</v>
          </cell>
          <cell r="B9" t="str">
            <v>W-free</v>
          </cell>
          <cell r="C9" t="str">
            <v>-31Ni-11Al-11Cr-2Ta-1Nb-4Mo-C-Zr-B</v>
          </cell>
          <cell r="D9" t="str">
            <v>2Ta1Nb</v>
          </cell>
          <cell r="E9" t="str">
            <v>Bantounas, I., Gwalani, B., Alam, T., Banerjee, R. &amp; Dye, D. Elemental partitioning, mechanical and oxidation behaviour of two high-γ ′ W-free γ/γ ′ polycrystalline Co/Ni superalloys. Scr. Mater. 163, 44–50 (2019).</v>
          </cell>
          <cell r="F9">
            <v>7</v>
          </cell>
          <cell r="G9">
            <v>40.259999999999991</v>
          </cell>
          <cell r="H9">
            <v>31.07</v>
          </cell>
          <cell r="I9">
            <v>10.6</v>
          </cell>
          <cell r="J9">
            <v>10.67</v>
          </cell>
          <cell r="K9"/>
          <cell r="L9"/>
          <cell r="M9">
            <v>1.88</v>
          </cell>
          <cell r="N9">
            <v>0.99</v>
          </cell>
          <cell r="O9"/>
          <cell r="P9">
            <v>3.99</v>
          </cell>
          <cell r="Q9">
            <v>0.31</v>
          </cell>
          <cell r="R9">
            <v>0.04</v>
          </cell>
          <cell r="S9">
            <v>0.19</v>
          </cell>
          <cell r="T9"/>
          <cell r="U9"/>
          <cell r="V9"/>
          <cell r="W9"/>
          <cell r="X9"/>
          <cell r="Y9"/>
          <cell r="Z9"/>
          <cell r="AA9"/>
          <cell r="AB9"/>
          <cell r="AC9"/>
          <cell r="AD9"/>
          <cell r="AE9"/>
          <cell r="AF9">
            <v>8.2265479999999993</v>
          </cell>
          <cell r="AG9">
            <v>8.23</v>
          </cell>
          <cell r="AH9"/>
          <cell r="AI9" t="str">
            <v>Co</v>
          </cell>
          <cell r="AJ9" t="str">
            <v>-10.6Al</v>
          </cell>
          <cell r="AK9" t="str">
            <v/>
          </cell>
          <cell r="AL9" t="str">
            <v>-31.1Ni</v>
          </cell>
          <cell r="AM9" t="str">
            <v>-10.7Cr</v>
          </cell>
          <cell r="AN9" t="str">
            <v>-1.9Ta</v>
          </cell>
          <cell r="AO9" t="str">
            <v>-1.Nb</v>
          </cell>
          <cell r="AP9" t="str">
            <v/>
          </cell>
          <cell r="AQ9" t="str">
            <v/>
          </cell>
          <cell r="AR9" t="str">
            <v>-4.Mo</v>
          </cell>
          <cell r="AS9" t="str">
            <v>-0.31C</v>
          </cell>
          <cell r="AT9" t="str">
            <v>-0.04Zr</v>
          </cell>
          <cell r="AU9" t="str">
            <v>-0.19B</v>
          </cell>
          <cell r="AV9" t="str">
            <v/>
          </cell>
          <cell r="AW9" t="str">
            <v/>
          </cell>
          <cell r="AX9" t="str">
            <v/>
          </cell>
          <cell r="AY9" t="str">
            <v/>
          </cell>
          <cell r="AZ9" t="str">
            <v/>
          </cell>
          <cell r="BA9" t="str">
            <v/>
          </cell>
          <cell r="BB9" t="str">
            <v/>
          </cell>
          <cell r="BC9" t="str">
            <v/>
          </cell>
          <cell r="BD9" t="str">
            <v/>
          </cell>
          <cell r="BE9" t="str">
            <v/>
          </cell>
          <cell r="BF9" t="str">
            <v/>
          </cell>
          <cell r="BG9" t="str">
            <v/>
          </cell>
          <cell r="BH9" t="str">
            <v>2Ta1NbBantounas, I., Gwalani, B., Alam, T., Banerjee, R. &amp; Dye, D. Elemental partitioning, mechanical and oxidation behaviour of two high-γ ′ W-free γ/γ ′ polycrystalline Co/Ni superalloys. Scr. Mater. 163, 44–50 (2019).</v>
          </cell>
          <cell r="BI9" t="str">
            <v>Co-31.1Ni-10.6Al-10.7Cr-1.9Ta-1.Nb-4.Mo-0.31C-0.04Zr-0.19B</v>
          </cell>
          <cell r="BJ9" t="str">
            <v>71.3Co-31.1Ni-10.6Al-10.7Cr-1.9Ta-1.0Nb-4.0Mo-0.31C-0.04Zr-0.19B</v>
          </cell>
        </row>
        <row r="10">
          <cell r="A10" t="str">
            <v>Co-31.1Ni-10.8Al-10.8Cr-2.5Ta-4.Mo-0.22C-0.05Zr-0.22B</v>
          </cell>
          <cell r="B10" t="str">
            <v>W-free</v>
          </cell>
          <cell r="C10" t="str">
            <v>-31Ni-11Al-11Cr-3Ta-4Mo-C-Zr-B</v>
          </cell>
          <cell r="D10" t="str">
            <v>3Ta0Nb</v>
          </cell>
          <cell r="E10" t="str">
            <v>Bantounas, I., Gwalani, B., Alam, T., Banerjee, R. &amp; Dye, D. Elemental partitioning, mechanical and oxidation behaviour of two high-γ ′ W-free γ/γ ′ polycrystalline Co/Ni superalloys. Scr. Mater. 163, 44–50 (2019).</v>
          </cell>
          <cell r="F10">
            <v>8</v>
          </cell>
          <cell r="G10">
            <v>40.210000000000008</v>
          </cell>
          <cell r="H10">
            <v>31.14</v>
          </cell>
          <cell r="I10">
            <v>10.76</v>
          </cell>
          <cell r="J10">
            <v>10.83</v>
          </cell>
          <cell r="K10"/>
          <cell r="L10"/>
          <cell r="M10">
            <v>2.54</v>
          </cell>
          <cell r="N10"/>
          <cell r="O10"/>
          <cell r="P10">
            <v>4.03</v>
          </cell>
          <cell r="Q10">
            <v>0.22</v>
          </cell>
          <cell r="R10">
            <v>0.05</v>
          </cell>
          <cell r="S10">
            <v>0.22</v>
          </cell>
          <cell r="T10"/>
          <cell r="U10"/>
          <cell r="V10"/>
          <cell r="W10"/>
          <cell r="X10"/>
          <cell r="Y10"/>
          <cell r="Z10"/>
          <cell r="AA10"/>
          <cell r="AB10"/>
          <cell r="AC10"/>
          <cell r="AD10"/>
          <cell r="AE10"/>
          <cell r="AF10">
            <v>8.2726717000000018</v>
          </cell>
          <cell r="AG10">
            <v>8.4700000000000006</v>
          </cell>
          <cell r="AH10"/>
          <cell r="AI10" t="str">
            <v>Co</v>
          </cell>
          <cell r="AJ10" t="str">
            <v>-10.8Al</v>
          </cell>
          <cell r="AK10" t="str">
            <v/>
          </cell>
          <cell r="AL10" t="str">
            <v>-31.1Ni</v>
          </cell>
          <cell r="AM10" t="str">
            <v>-10.8Cr</v>
          </cell>
          <cell r="AN10" t="str">
            <v>-2.5Ta</v>
          </cell>
          <cell r="AO10" t="str">
            <v/>
          </cell>
          <cell r="AP10" t="str">
            <v/>
          </cell>
          <cell r="AQ10" t="str">
            <v/>
          </cell>
          <cell r="AR10" t="str">
            <v>-4.Mo</v>
          </cell>
          <cell r="AS10" t="str">
            <v>-0.22C</v>
          </cell>
          <cell r="AT10" t="str">
            <v>-0.05Zr</v>
          </cell>
          <cell r="AU10" t="str">
            <v>-0.22B</v>
          </cell>
          <cell r="AV10" t="str">
            <v/>
          </cell>
          <cell r="AW10" t="str">
            <v/>
          </cell>
          <cell r="AX10" t="str">
            <v/>
          </cell>
          <cell r="AY10" t="str">
            <v/>
          </cell>
          <cell r="AZ10" t="str">
            <v/>
          </cell>
          <cell r="BA10" t="str">
            <v/>
          </cell>
          <cell r="BB10" t="str">
            <v/>
          </cell>
          <cell r="BC10" t="str">
            <v/>
          </cell>
          <cell r="BD10" t="str">
            <v/>
          </cell>
          <cell r="BE10" t="str">
            <v/>
          </cell>
          <cell r="BF10" t="str">
            <v/>
          </cell>
          <cell r="BG10" t="str">
            <v/>
          </cell>
          <cell r="BH10" t="str">
            <v>3Ta0NbBantounas, I., Gwalani, B., Alam, T., Banerjee, R. &amp; Dye, D. Elemental partitioning, mechanical and oxidation behaviour of two high-γ ′ W-free γ/γ ′ polycrystalline Co/Ni superalloys. Scr. Mater. 163, 44–50 (2019).</v>
          </cell>
          <cell r="BI10" t="str">
            <v>Co-31.1Ni-10.8Al-10.8Cr-2.5Ta-4.Mo-0.22C-0.05Zr-0.22B</v>
          </cell>
          <cell r="BJ10" t="str">
            <v>71.4Co-31.1Ni-10.8Al-10.8Cr-2.5Ta-4.0Mo-0.22C-0.05Zr-0.22B</v>
          </cell>
        </row>
        <row r="11">
          <cell r="A11" t="str">
            <v>Co-8.1Al-8.4W</v>
          </cell>
          <cell r="B11" t="str">
            <v>CoAlW-X</v>
          </cell>
          <cell r="C11" t="str">
            <v>-8Al-8W</v>
          </cell>
          <cell r="D11" t="str">
            <v>9W</v>
          </cell>
          <cell r="E11" t="str">
            <v>Bauer, A., Neumeier, S., Pyczak, F., &amp; Göken, M. (2010). Microstructure and creep strength of different γ/γ′- strengthened Co-base superalloy variants. Scripta Materialia, 63(12), 1197–1200. https://doi.org/10.1016/j.scriptamat.2010.08.036</v>
          </cell>
          <cell r="F11">
            <v>9</v>
          </cell>
          <cell r="G11">
            <v>83.5</v>
          </cell>
          <cell r="H11"/>
          <cell r="I11">
            <v>8.1</v>
          </cell>
          <cell r="J11"/>
          <cell r="K11">
            <v>8.4</v>
          </cell>
          <cell r="L11"/>
          <cell r="M11"/>
          <cell r="N11"/>
          <cell r="O11"/>
          <cell r="P11"/>
          <cell r="Q11"/>
          <cell r="R11"/>
          <cell r="S11"/>
          <cell r="T11"/>
          <cell r="U11"/>
          <cell r="V11"/>
          <cell r="W11"/>
          <cell r="X11"/>
          <cell r="Y11"/>
          <cell r="Z11"/>
          <cell r="AA11"/>
          <cell r="AB11"/>
          <cell r="AC11"/>
          <cell r="AD11"/>
          <cell r="AE11"/>
          <cell r="AF11">
            <v>9.2672000000000008</v>
          </cell>
          <cell r="AG11"/>
          <cell r="AH11"/>
          <cell r="AI11" t="str">
            <v>Co</v>
          </cell>
          <cell r="AJ11" t="str">
            <v>-8.1Al</v>
          </cell>
          <cell r="AK11" t="str">
            <v>-8.4W</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cell r="BD11" t="str">
            <v/>
          </cell>
          <cell r="BE11" t="str">
            <v/>
          </cell>
          <cell r="BF11" t="str">
            <v/>
          </cell>
          <cell r="BG11" t="str">
            <v/>
          </cell>
          <cell r="BH11" t="str">
            <v>9WBauer, A., Neumeier, S., Pyczak, F., &amp; Göken, M. (2010). Microstructure and creep strength of different γ/γ′- strengthened Co-base superalloy variants. Scripta Materialia, 63(12), 1197–1200. https://doi.org/10.1016/j.scriptamat.2010.08.036</v>
          </cell>
          <cell r="BI11" t="str">
            <v>Co-8.1Al-8.4W</v>
          </cell>
          <cell r="BJ11" t="str">
            <v>83.5Co-8.1Al-8.4W</v>
          </cell>
        </row>
        <row r="12">
          <cell r="A12" t="str">
            <v>Co-9.4Al-10.2W-1.8Nb</v>
          </cell>
          <cell r="B12" t="str">
            <v>CoAlW-X</v>
          </cell>
          <cell r="C12" t="str">
            <v>-9Al-10W-2Nb</v>
          </cell>
          <cell r="D12" t="str">
            <v>10W2Nb</v>
          </cell>
          <cell r="E12" t="str">
            <v>Bauer, A., Neumeier, S., Pyczak, F., &amp; Göken, M. (2010). Microstructure and creep strength of different γ/γ′- strengthened Co-base superalloy variants. Scripta Materialia, 63(12), 1197–1200. https://doi.org/10.1016/j.scriptamat.2010.08.037</v>
          </cell>
          <cell r="F12">
            <v>10</v>
          </cell>
          <cell r="G12">
            <v>78.599999999999994</v>
          </cell>
          <cell r="H12"/>
          <cell r="I12">
            <v>9.4</v>
          </cell>
          <cell r="J12"/>
          <cell r="K12">
            <v>10.199999999999999</v>
          </cell>
          <cell r="L12"/>
          <cell r="M12"/>
          <cell r="N12">
            <v>1.8</v>
          </cell>
          <cell r="O12"/>
          <cell r="P12"/>
          <cell r="Q12"/>
          <cell r="R12"/>
          <cell r="S12"/>
          <cell r="T12"/>
          <cell r="U12"/>
          <cell r="V12"/>
          <cell r="W12"/>
          <cell r="X12"/>
          <cell r="Y12"/>
          <cell r="Z12"/>
          <cell r="AA12"/>
          <cell r="AB12"/>
          <cell r="AC12"/>
          <cell r="AD12"/>
          <cell r="AE12"/>
          <cell r="AF12">
            <v>9.3669600000000006</v>
          </cell>
          <cell r="AG12"/>
          <cell r="AH12"/>
          <cell r="AI12" t="str">
            <v>Co</v>
          </cell>
          <cell r="AJ12" t="str">
            <v>-9.4Al</v>
          </cell>
          <cell r="AK12" t="str">
            <v>-10.2W</v>
          </cell>
          <cell r="AL12" t="str">
            <v/>
          </cell>
          <cell r="AM12" t="str">
            <v/>
          </cell>
          <cell r="AN12" t="str">
            <v/>
          </cell>
          <cell r="AO12" t="str">
            <v>-1.8Nb</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cell r="BD12" t="str">
            <v/>
          </cell>
          <cell r="BE12" t="str">
            <v/>
          </cell>
          <cell r="BF12" t="str">
            <v/>
          </cell>
          <cell r="BG12" t="str">
            <v/>
          </cell>
          <cell r="BH12" t="str">
            <v>10W2NbBauer, A., Neumeier, S., Pyczak, F., &amp; Göken, M. (2010). Microstructure and creep strength of different γ/γ′- strengthened Co-base superalloy variants. Scripta Materialia, 63(12), 1197–1200. https://doi.org/10.1016/j.scriptamat.2010.08.037</v>
          </cell>
          <cell r="BI12" t="str">
            <v>Co-9.4Al-10.2W-1.8Nb</v>
          </cell>
          <cell r="BJ12" t="str">
            <v>78.6Co-9.4Al-10.2W-1.8Nb</v>
          </cell>
        </row>
        <row r="13">
          <cell r="A13" t="str">
            <v>Co-8.4Al-10.3W-2.2Ti</v>
          </cell>
          <cell r="B13" t="str">
            <v>CoAlW-X</v>
          </cell>
          <cell r="C13" t="str">
            <v>-8Al-10W-2Ti</v>
          </cell>
          <cell r="D13" t="str">
            <v>10w2Ti</v>
          </cell>
          <cell r="E13" t="str">
            <v>Bauer, A., Neumeier, S., Pyczak, F., &amp; Göken, M. (2010). Microstructure and creep strength of different γ/γ′- strengthened Co-base superalloy variants. Scripta Materialia, 63(12), 1197–1200. https://doi.org/10.1016/j.scriptamat.2010.08.038</v>
          </cell>
          <cell r="F13">
            <v>11</v>
          </cell>
          <cell r="G13">
            <v>79.099999999999994</v>
          </cell>
          <cell r="H13"/>
          <cell r="I13">
            <v>8.4</v>
          </cell>
          <cell r="J13"/>
          <cell r="K13">
            <v>10.3</v>
          </cell>
          <cell r="L13">
            <v>2.2000000000000002</v>
          </cell>
          <cell r="M13"/>
          <cell r="N13"/>
          <cell r="O13"/>
          <cell r="P13"/>
          <cell r="Q13"/>
          <cell r="R13"/>
          <cell r="S13"/>
          <cell r="T13"/>
          <cell r="U13"/>
          <cell r="V13"/>
          <cell r="W13"/>
          <cell r="X13"/>
          <cell r="Y13"/>
          <cell r="Z13"/>
          <cell r="AA13"/>
          <cell r="AB13"/>
          <cell r="AC13"/>
          <cell r="AD13"/>
          <cell r="AE13"/>
          <cell r="AF13">
            <v>9.3486039999999999</v>
          </cell>
          <cell r="AG13"/>
          <cell r="AH13"/>
          <cell r="AI13" t="str">
            <v>Co</v>
          </cell>
          <cell r="AJ13" t="str">
            <v>-8.4Al</v>
          </cell>
          <cell r="AK13" t="str">
            <v>-10.3W</v>
          </cell>
          <cell r="AL13" t="str">
            <v/>
          </cell>
          <cell r="AM13" t="str">
            <v/>
          </cell>
          <cell r="AN13" t="str">
            <v/>
          </cell>
          <cell r="AO13" t="str">
            <v/>
          </cell>
          <cell r="AP13" t="str">
            <v/>
          </cell>
          <cell r="AQ13" t="str">
            <v>-2.2Ti</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cell r="BD13" t="str">
            <v/>
          </cell>
          <cell r="BE13" t="str">
            <v/>
          </cell>
          <cell r="BF13" t="str">
            <v/>
          </cell>
          <cell r="BG13" t="str">
            <v/>
          </cell>
          <cell r="BH13" t="str">
            <v>10w2TiBauer, A., Neumeier, S., Pyczak, F., &amp; Göken, M. (2010). Microstructure and creep strength of different γ/γ′- strengthened Co-base superalloy variants. Scripta Materialia, 63(12), 1197–1200. https://doi.org/10.1016/j.scriptamat.2010.08.038</v>
          </cell>
          <cell r="BI13" t="str">
            <v>Co-8.4Al-10.3W-2.2Ti</v>
          </cell>
          <cell r="BJ13" t="str">
            <v>79.1Co-8.4Al-10.3W-2.2Ti</v>
          </cell>
        </row>
        <row r="14">
          <cell r="A14" t="str">
            <v>Co-9.Al-11.4W-2.1V</v>
          </cell>
          <cell r="B14" t="str">
            <v>CoAlW-X</v>
          </cell>
          <cell r="C14" t="str">
            <v>-9Al-11W-2V</v>
          </cell>
          <cell r="D14" t="str">
            <v>10W2V</v>
          </cell>
          <cell r="E14" t="str">
            <v>Bauer, A., Neumeier, S., Pyczak, F., &amp; Göken, M. (2010). Microstructure and creep strength of different γ/γ′- strengthened Co-base superalloy variants. Scripta Materialia, 63(12), 1197–1200. https://doi.org/10.1016/j.scriptamat.2010.08.039</v>
          </cell>
          <cell r="F14">
            <v>12</v>
          </cell>
          <cell r="G14">
            <v>77.5</v>
          </cell>
          <cell r="H14"/>
          <cell r="I14">
            <v>9</v>
          </cell>
          <cell r="J14"/>
          <cell r="K14">
            <v>11.4</v>
          </cell>
          <cell r="L14"/>
          <cell r="M14"/>
          <cell r="N14"/>
          <cell r="O14">
            <v>2.1</v>
          </cell>
          <cell r="P14"/>
          <cell r="Q14"/>
          <cell r="R14"/>
          <cell r="S14"/>
          <cell r="T14"/>
          <cell r="U14"/>
          <cell r="V14"/>
          <cell r="W14"/>
          <cell r="X14"/>
          <cell r="Y14"/>
          <cell r="Z14"/>
          <cell r="AA14"/>
          <cell r="AB14"/>
          <cell r="AC14"/>
          <cell r="AD14"/>
          <cell r="AE14"/>
          <cell r="AF14">
            <v>9.4633099999999999</v>
          </cell>
          <cell r="AG14"/>
          <cell r="AH14"/>
          <cell r="AI14" t="str">
            <v>Co</v>
          </cell>
          <cell r="AJ14" t="str">
            <v>-9.Al</v>
          </cell>
          <cell r="AK14" t="str">
            <v>-11.4W</v>
          </cell>
          <cell r="AL14" t="str">
            <v/>
          </cell>
          <cell r="AM14" t="str">
            <v/>
          </cell>
          <cell r="AN14" t="str">
            <v/>
          </cell>
          <cell r="AO14" t="str">
            <v/>
          </cell>
          <cell r="AP14" t="str">
            <v>-2.1V</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cell r="BD14" t="str">
            <v/>
          </cell>
          <cell r="BE14" t="str">
            <v/>
          </cell>
          <cell r="BF14" t="str">
            <v/>
          </cell>
          <cell r="BG14" t="str">
            <v/>
          </cell>
          <cell r="BH14" t="str">
            <v>10W2VBauer, A., Neumeier, S., Pyczak, F., &amp; Göken, M. (2010). Microstructure and creep strength of different γ/γ′- strengthened Co-base superalloy variants. Scripta Materialia, 63(12), 1197–1200. https://doi.org/10.1016/j.scriptamat.2010.08.039</v>
          </cell>
          <cell r="BI14" t="str">
            <v>Co-9.Al-11.4W-2.1V</v>
          </cell>
          <cell r="BJ14" t="str">
            <v>77.5Co-9.0Al-11.4W-2.1V</v>
          </cell>
        </row>
        <row r="15">
          <cell r="A15" t="str">
            <v>Co-7.6Al-9.2W-1.9Ta</v>
          </cell>
          <cell r="B15" t="str">
            <v>CoAlW-X</v>
          </cell>
          <cell r="C15" t="str">
            <v>-8Al-9W-2Ta</v>
          </cell>
          <cell r="D15" t="str">
            <v>10W2Ta</v>
          </cell>
          <cell r="E15" t="str">
            <v>Bauer, A., Neumeier, S., Pyczak, F., &amp; Göken, M. (2010). Microstructure and creep strength of different γ/γ′- strengthened Co-base superalloy variants. Scripta Materialia, 63(12), 1197–1200. https://doi.org/10.1016/j.scriptamat.2010.08.040</v>
          </cell>
          <cell r="F15">
            <v>13</v>
          </cell>
          <cell r="G15">
            <v>81.300000000000011</v>
          </cell>
          <cell r="H15"/>
          <cell r="I15">
            <v>7.6</v>
          </cell>
          <cell r="J15"/>
          <cell r="K15">
            <v>9.1999999999999993</v>
          </cell>
          <cell r="L15"/>
          <cell r="M15">
            <v>1.9</v>
          </cell>
          <cell r="N15"/>
          <cell r="O15"/>
          <cell r="P15"/>
          <cell r="Q15"/>
          <cell r="R15"/>
          <cell r="S15"/>
          <cell r="T15"/>
          <cell r="U15"/>
          <cell r="V15"/>
          <cell r="W15"/>
          <cell r="X15"/>
          <cell r="Y15"/>
          <cell r="Z15"/>
          <cell r="AA15"/>
          <cell r="AB15"/>
          <cell r="AC15"/>
          <cell r="AD15"/>
          <cell r="AE15"/>
          <cell r="AF15">
            <v>9.5282500000000017</v>
          </cell>
          <cell r="AG15"/>
          <cell r="AH15"/>
          <cell r="AI15" t="str">
            <v>Co</v>
          </cell>
          <cell r="AJ15" t="str">
            <v>-7.6Al</v>
          </cell>
          <cell r="AK15" t="str">
            <v>-9.2W</v>
          </cell>
          <cell r="AL15" t="str">
            <v/>
          </cell>
          <cell r="AM15" t="str">
            <v/>
          </cell>
          <cell r="AN15" t="str">
            <v>-1.9Ta</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cell r="BD15" t="str">
            <v/>
          </cell>
          <cell r="BE15" t="str">
            <v/>
          </cell>
          <cell r="BF15" t="str">
            <v/>
          </cell>
          <cell r="BG15" t="str">
            <v/>
          </cell>
          <cell r="BH15" t="str">
            <v>10W2TaBauer, A., Neumeier, S., Pyczak, F., &amp; Göken, M. (2010). Microstructure and creep strength of different γ/γ′- strengthened Co-base superalloy variants. Scripta Materialia, 63(12), 1197–1200. https://doi.org/10.1016/j.scriptamat.2010.08.040</v>
          </cell>
          <cell r="BI15" t="str">
            <v>Co-7.6Al-9.2W-1.9Ta</v>
          </cell>
          <cell r="BJ15" t="str">
            <v>81.3Co-7.6Al-9.2W-1.9Ta</v>
          </cell>
        </row>
        <row r="16">
          <cell r="A16" t="str">
            <v>Co-8.3Al-9.4W</v>
          </cell>
          <cell r="B16" t="str">
            <v>CoAlW-X</v>
          </cell>
          <cell r="C16" t="str">
            <v>-8Al-9W</v>
          </cell>
          <cell r="D16" t="str">
            <v>9W0.1B</v>
          </cell>
          <cell r="E16" t="str">
            <v>Bauer, A., Neumeier, S., Pyczak, F., &amp; Göken, M. (2010). Microstructure and creep strength of different γ/γ′- strengthened Co-base superalloy variants. Scripta Materialia, 63(12), 1197–1200. https://doi.org/10.1016/j.scriptamat.2010.08.041</v>
          </cell>
          <cell r="F16">
            <v>14</v>
          </cell>
          <cell r="G16">
            <v>82.3</v>
          </cell>
          <cell r="H16"/>
          <cell r="I16">
            <v>8.3000000000000007</v>
          </cell>
          <cell r="J16"/>
          <cell r="K16">
            <v>9.4</v>
          </cell>
          <cell r="L16"/>
          <cell r="M16"/>
          <cell r="N16"/>
          <cell r="O16"/>
          <cell r="P16"/>
          <cell r="Q16"/>
          <cell r="R16"/>
          <cell r="S16"/>
          <cell r="T16"/>
          <cell r="U16"/>
          <cell r="V16"/>
          <cell r="W16"/>
          <cell r="X16"/>
          <cell r="Y16"/>
          <cell r="Z16"/>
          <cell r="AA16"/>
          <cell r="AB16"/>
          <cell r="AC16"/>
          <cell r="AD16"/>
          <cell r="AE16"/>
          <cell r="AF16">
            <v>9.3582999999999998</v>
          </cell>
          <cell r="AG16"/>
          <cell r="AH16"/>
          <cell r="AI16" t="str">
            <v>Co</v>
          </cell>
          <cell r="AJ16" t="str">
            <v>-8.3Al</v>
          </cell>
          <cell r="AK16" t="str">
            <v>-9.4W</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cell r="BD16" t="str">
            <v/>
          </cell>
          <cell r="BE16" t="str">
            <v/>
          </cell>
          <cell r="BF16" t="str">
            <v/>
          </cell>
          <cell r="BG16" t="str">
            <v/>
          </cell>
          <cell r="BH16" t="str">
            <v>9W0.1BBauer, A., Neumeier, S., Pyczak, F., &amp; Göken, M. (2010). Microstructure and creep strength of different γ/γ′- strengthened Co-base superalloy variants. Scripta Materialia, 63(12), 1197–1200. https://doi.org/10.1016/j.scriptamat.2010.08.041</v>
          </cell>
          <cell r="BI16" t="str">
            <v>Co-8.3Al-9.4W</v>
          </cell>
          <cell r="BJ16" t="str">
            <v>82.3Co-8.3Al-9.4W</v>
          </cell>
        </row>
        <row r="17">
          <cell r="A17" t="str">
            <v>Co-8.1Al-8.4W-2.Ta</v>
          </cell>
          <cell r="B17" t="str">
            <v>CoAlW-X</v>
          </cell>
          <cell r="C17" t="str">
            <v>-8Al-8W-2Ta</v>
          </cell>
          <cell r="D17" t="str">
            <v>8W2Ta</v>
          </cell>
          <cell r="E17" t="str">
            <v>Bauer, A., Neumeier, S., Pyczak, F., &amp; Göken, M. (2010). Microstructure and creep strength of different γ/γ′- strengthened Co-base superalloy variants. Scripta Materialia, 63(12), 1197–1200. https://doi.org/10.1016/j.scriptamat.2010.08.042</v>
          </cell>
          <cell r="F17">
            <v>15</v>
          </cell>
          <cell r="G17">
            <v>81.5</v>
          </cell>
          <cell r="H17"/>
          <cell r="I17">
            <v>8.1</v>
          </cell>
          <cell r="J17"/>
          <cell r="K17">
            <v>8.4</v>
          </cell>
          <cell r="L17"/>
          <cell r="M17">
            <v>2</v>
          </cell>
          <cell r="N17"/>
          <cell r="O17"/>
          <cell r="P17"/>
          <cell r="Q17"/>
          <cell r="R17"/>
          <cell r="S17"/>
          <cell r="T17"/>
          <cell r="U17"/>
          <cell r="V17"/>
          <cell r="W17"/>
          <cell r="X17"/>
          <cell r="Y17"/>
          <cell r="Z17"/>
          <cell r="AA17"/>
          <cell r="AB17"/>
          <cell r="AC17"/>
          <cell r="AD17"/>
          <cell r="AE17"/>
          <cell r="AF17">
            <v>9.4222000000000001</v>
          </cell>
          <cell r="AG17"/>
          <cell r="AH17"/>
          <cell r="AI17" t="str">
            <v>Co</v>
          </cell>
          <cell r="AJ17" t="str">
            <v>-8.1Al</v>
          </cell>
          <cell r="AK17" t="str">
            <v>-8.4W</v>
          </cell>
          <cell r="AL17" t="str">
            <v/>
          </cell>
          <cell r="AM17" t="str">
            <v/>
          </cell>
          <cell r="AN17" t="str">
            <v>-2.Ta</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cell r="BD17" t="str">
            <v/>
          </cell>
          <cell r="BE17" t="str">
            <v/>
          </cell>
          <cell r="BF17" t="str">
            <v/>
          </cell>
          <cell r="BG17" t="str">
            <v/>
          </cell>
          <cell r="BH17" t="str">
            <v>8W2TaBauer, A., Neumeier, S., Pyczak, F., &amp; Göken, M. (2010). Microstructure and creep strength of different γ/γ′- strengthened Co-base superalloy variants. Scripta Materialia, 63(12), 1197–1200. https://doi.org/10.1016/j.scriptamat.2010.08.042</v>
          </cell>
          <cell r="BI17" t="str">
            <v>Co-8.1Al-8.4W-2.Ta</v>
          </cell>
          <cell r="BJ17" t="str">
            <v>81.5Co-8.1Al-8.4W-2.0Ta</v>
          </cell>
        </row>
        <row r="18">
          <cell r="A18" t="str">
            <v>Co-8.Al-1.9Cr-7.2W-1.6Ta</v>
          </cell>
          <cell r="B18" t="str">
            <v>CoAlWX+</v>
          </cell>
          <cell r="C18" t="str">
            <v>-8Al-2Cr-7W-2Ta</v>
          </cell>
          <cell r="D18" t="str">
            <v>2Ta2Cr</v>
          </cell>
          <cell r="E18" t="str">
            <v>Bauer, A., Neumeier, S., Pyczak, F., &amp; Göken, M. (2010). Microstructure and creep strength of different γ/γ′- strengthened Co-base superalloy variants. Scripta Materialia, 63(12), 1197–1200. https://doi.org/10.1016/j.scriptamat.2010.08.043</v>
          </cell>
          <cell r="F18">
            <v>16</v>
          </cell>
          <cell r="G18">
            <v>81.3</v>
          </cell>
          <cell r="H18"/>
          <cell r="I18">
            <v>8</v>
          </cell>
          <cell r="J18">
            <v>1.9</v>
          </cell>
          <cell r="K18">
            <v>7.2</v>
          </cell>
          <cell r="L18"/>
          <cell r="M18">
            <v>1.6</v>
          </cell>
          <cell r="N18"/>
          <cell r="O18"/>
          <cell r="P18"/>
          <cell r="Q18"/>
          <cell r="R18"/>
          <cell r="S18"/>
          <cell r="T18"/>
          <cell r="U18"/>
          <cell r="V18"/>
          <cell r="W18"/>
          <cell r="X18"/>
          <cell r="Y18"/>
          <cell r="Z18"/>
          <cell r="AA18"/>
          <cell r="AB18"/>
          <cell r="AC18"/>
          <cell r="AD18"/>
          <cell r="AE18"/>
          <cell r="AF18">
            <v>9.24071</v>
          </cell>
          <cell r="AG18"/>
          <cell r="AH18"/>
          <cell r="AI18" t="str">
            <v>Co</v>
          </cell>
          <cell r="AJ18" t="str">
            <v>-8.Al</v>
          </cell>
          <cell r="AK18" t="str">
            <v>-7.2W</v>
          </cell>
          <cell r="AL18" t="str">
            <v/>
          </cell>
          <cell r="AM18" t="str">
            <v>-1.9Cr</v>
          </cell>
          <cell r="AN18" t="str">
            <v>-1.6Ta</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2Ta2CrBauer, A., Neumeier, S., Pyczak, F., &amp; Göken, M. (2010). Microstructure and creep strength of different γ/γ′- strengthened Co-base superalloy variants. Scripta Materialia, 63(12), 1197–1200. https://doi.org/10.1016/j.scriptamat.2010.08.043</v>
          </cell>
          <cell r="BI18" t="str">
            <v>Co-8.Al-1.9Cr-7.2W-1.6Ta</v>
          </cell>
          <cell r="BJ18" t="str">
            <v>81.3Co-8.0Al-1.9Cr-7.2W-1.6Ta</v>
          </cell>
        </row>
        <row r="19">
          <cell r="A19" t="str">
            <v>Co-8.1Al-6.7W-1.4Ta-1.4Nb</v>
          </cell>
          <cell r="B19" t="str">
            <v>CoAlWX+</v>
          </cell>
          <cell r="C19" t="str">
            <v>-8Al-7W-1Ta-1Nb</v>
          </cell>
          <cell r="D19" t="str">
            <v>2Ta2Nb</v>
          </cell>
          <cell r="E19" t="str">
            <v>Bauer, A., Neumeier, S., Pyczak, F., &amp; Göken, M. (2010). Microstructure and creep strength of different γ/γ′- strengthened Co-base superalloy variants. Scripta Materialia, 63(12), 1197–1200. https://doi.org/10.1016/j.scriptamat.2010.08.045</v>
          </cell>
          <cell r="F19">
            <v>17</v>
          </cell>
          <cell r="G19">
            <v>82.4</v>
          </cell>
          <cell r="H19"/>
          <cell r="I19">
            <v>8.1</v>
          </cell>
          <cell r="J19"/>
          <cell r="K19">
            <v>6.7</v>
          </cell>
          <cell r="L19"/>
          <cell r="M19">
            <v>1.4</v>
          </cell>
          <cell r="N19">
            <v>1.4</v>
          </cell>
          <cell r="O19"/>
          <cell r="P19"/>
          <cell r="Q19"/>
          <cell r="R19"/>
          <cell r="S19"/>
          <cell r="T19"/>
          <cell r="U19"/>
          <cell r="V19"/>
          <cell r="W19"/>
          <cell r="X19"/>
          <cell r="Y19"/>
          <cell r="Z19"/>
          <cell r="AA19"/>
          <cell r="AB19"/>
          <cell r="AC19"/>
          <cell r="AD19"/>
          <cell r="AE19"/>
          <cell r="AF19">
            <v>9.1951300000000007</v>
          </cell>
          <cell r="AG19"/>
          <cell r="AH19"/>
          <cell r="AI19" t="str">
            <v>Co</v>
          </cell>
          <cell r="AJ19" t="str">
            <v>-8.1Al</v>
          </cell>
          <cell r="AK19" t="str">
            <v>-6.7W</v>
          </cell>
          <cell r="AL19" t="str">
            <v/>
          </cell>
          <cell r="AM19" t="str">
            <v/>
          </cell>
          <cell r="AN19" t="str">
            <v>-1.4Ta</v>
          </cell>
          <cell r="AO19" t="str">
            <v>-1.4Nb</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cell r="BD19" t="str">
            <v/>
          </cell>
          <cell r="BE19" t="str">
            <v/>
          </cell>
          <cell r="BF19" t="str">
            <v/>
          </cell>
          <cell r="BG19" t="str">
            <v/>
          </cell>
          <cell r="BH19" t="str">
            <v>2Ta2NbBauer, A., Neumeier, S., Pyczak, F., &amp; Göken, M. (2010). Microstructure and creep strength of different γ/γ′- strengthened Co-base superalloy variants. Scripta Materialia, 63(12), 1197–1200. https://doi.org/10.1016/j.scriptamat.2010.08.045</v>
          </cell>
          <cell r="BI19" t="str">
            <v>Co-8.1Al-6.7W-1.4Ta-1.4Nb</v>
          </cell>
          <cell r="BJ19" t="str">
            <v>82.4Co-8.1Al-6.7W-1.4Ta-1.4Nb</v>
          </cell>
        </row>
        <row r="20">
          <cell r="A20" t="str">
            <v>Co-8.1Al-7.7W-1.6Ta-1.8Si</v>
          </cell>
          <cell r="B20" t="str">
            <v>CoAlWX+</v>
          </cell>
          <cell r="C20" t="str">
            <v>-8Al-8W-2Ta-Si</v>
          </cell>
          <cell r="D20" t="str">
            <v>2Ta2Si</v>
          </cell>
          <cell r="E20" t="str">
            <v>Bauer, A., Neumeier, S., Pyczak, F., &amp; Göken, M. (2010). Microstructure and creep strength of different γ/γ′- strengthened Co-base superalloy variants. Scripta Materialia, 63(12), 1197–1200. https://doi.org/10.1016/j.scriptamat.2010.08.046</v>
          </cell>
          <cell r="F20">
            <v>18</v>
          </cell>
          <cell r="G20">
            <v>80.8</v>
          </cell>
          <cell r="H20"/>
          <cell r="I20">
            <v>8.1</v>
          </cell>
          <cell r="J20"/>
          <cell r="K20">
            <v>7.7</v>
          </cell>
          <cell r="L20"/>
          <cell r="M20">
            <v>1.6</v>
          </cell>
          <cell r="N20"/>
          <cell r="O20"/>
          <cell r="P20"/>
          <cell r="Q20"/>
          <cell r="R20"/>
          <cell r="S20"/>
          <cell r="T20"/>
          <cell r="U20"/>
          <cell r="V20">
            <v>1.8</v>
          </cell>
          <cell r="W20"/>
          <cell r="X20"/>
          <cell r="Y20"/>
          <cell r="Z20"/>
          <cell r="AA20"/>
          <cell r="AB20"/>
          <cell r="AC20"/>
          <cell r="AD20"/>
          <cell r="AE20"/>
          <cell r="AF20">
            <v>9.2004900000000003</v>
          </cell>
          <cell r="AG20"/>
          <cell r="AH20"/>
          <cell r="AI20" t="str">
            <v>Co</v>
          </cell>
          <cell r="AJ20" t="str">
            <v>-8.1Al</v>
          </cell>
          <cell r="AK20" t="str">
            <v>-7.7W</v>
          </cell>
          <cell r="AL20" t="str">
            <v/>
          </cell>
          <cell r="AM20" t="str">
            <v/>
          </cell>
          <cell r="AN20" t="str">
            <v>-1.6Ta</v>
          </cell>
          <cell r="AO20" t="str">
            <v/>
          </cell>
          <cell r="AP20" t="str">
            <v/>
          </cell>
          <cell r="AQ20" t="str">
            <v/>
          </cell>
          <cell r="AR20" t="str">
            <v/>
          </cell>
          <cell r="AS20" t="str">
            <v/>
          </cell>
          <cell r="AT20" t="str">
            <v/>
          </cell>
          <cell r="AU20" t="str">
            <v/>
          </cell>
          <cell r="AV20" t="str">
            <v/>
          </cell>
          <cell r="AW20" t="str">
            <v/>
          </cell>
          <cell r="AX20" t="str">
            <v>-1.8Si</v>
          </cell>
          <cell r="AY20" t="str">
            <v/>
          </cell>
          <cell r="AZ20" t="str">
            <v/>
          </cell>
          <cell r="BA20" t="str">
            <v/>
          </cell>
          <cell r="BB20" t="str">
            <v/>
          </cell>
          <cell r="BC20" t="str">
            <v/>
          </cell>
          <cell r="BD20" t="str">
            <v/>
          </cell>
          <cell r="BE20" t="str">
            <v/>
          </cell>
          <cell r="BF20" t="str">
            <v/>
          </cell>
          <cell r="BG20" t="str">
            <v/>
          </cell>
          <cell r="BH20" t="str">
            <v>2Ta2SiBauer, A., Neumeier, S., Pyczak, F., &amp; Göken, M. (2010). Microstructure and creep strength of different γ/γ′- strengthened Co-base superalloy variants. Scripta Materialia, 63(12), 1197–1200. https://doi.org/10.1016/j.scriptamat.2010.08.046</v>
          </cell>
          <cell r="BI20" t="str">
            <v>Co-8.1Al-7.7W-1.6Ta-1.8Si</v>
          </cell>
          <cell r="BJ20" t="str">
            <v>80.8Co-8.1Al-7.7W-1.6Ta-1.8Si</v>
          </cell>
        </row>
        <row r="21">
          <cell r="A21" t="str">
            <v>Co-8.2Al-7.5W-1.9Ta-2.V</v>
          </cell>
          <cell r="B21" t="str">
            <v>CoAlWX+</v>
          </cell>
          <cell r="C21" t="str">
            <v>-8Al-8W-2Ta-2V</v>
          </cell>
          <cell r="D21" t="str">
            <v>2Ta2V</v>
          </cell>
          <cell r="E21" t="str">
            <v>Bauer, A., Neumeier, S., Pyczak, F., &amp; Göken, M. (2010). Microstructure and creep strength of different γ/γ′- strengthened Co-base superalloy variants. Scripta Materialia, 63(12), 1197–1200. https://doi.org/10.1016/j.scriptamat.2010.08.047</v>
          </cell>
          <cell r="F21">
            <v>19</v>
          </cell>
          <cell r="G21">
            <v>80.400000000000006</v>
          </cell>
          <cell r="H21"/>
          <cell r="I21">
            <v>8.1999999999999993</v>
          </cell>
          <cell r="J21"/>
          <cell r="K21">
            <v>7.5</v>
          </cell>
          <cell r="L21"/>
          <cell r="M21">
            <v>1.9</v>
          </cell>
          <cell r="N21"/>
          <cell r="O21">
            <v>2</v>
          </cell>
          <cell r="P21"/>
          <cell r="Q21"/>
          <cell r="R21"/>
          <cell r="S21"/>
          <cell r="T21"/>
          <cell r="U21"/>
          <cell r="V21"/>
          <cell r="W21"/>
          <cell r="X21"/>
          <cell r="Y21"/>
          <cell r="Z21"/>
          <cell r="AA21"/>
          <cell r="AB21"/>
          <cell r="AC21"/>
          <cell r="AD21"/>
          <cell r="AE21"/>
          <cell r="AF21">
            <v>9.2593000000000014</v>
          </cell>
          <cell r="AG21"/>
          <cell r="AH21"/>
          <cell r="AI21" t="str">
            <v>Co</v>
          </cell>
          <cell r="AJ21" t="str">
            <v>-8.2Al</v>
          </cell>
          <cell r="AK21" t="str">
            <v>-7.5W</v>
          </cell>
          <cell r="AL21" t="str">
            <v/>
          </cell>
          <cell r="AM21" t="str">
            <v/>
          </cell>
          <cell r="AN21" t="str">
            <v>-1.9Ta</v>
          </cell>
          <cell r="AO21" t="str">
            <v/>
          </cell>
          <cell r="AP21" t="str">
            <v>-2.V</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cell r="BD21" t="str">
            <v/>
          </cell>
          <cell r="BE21" t="str">
            <v/>
          </cell>
          <cell r="BF21" t="str">
            <v/>
          </cell>
          <cell r="BG21" t="str">
            <v/>
          </cell>
          <cell r="BH21" t="str">
            <v>2Ta2VBauer, A., Neumeier, S., Pyczak, F., &amp; Göken, M. (2010). Microstructure and creep strength of different γ/γ′- strengthened Co-base superalloy variants. Scripta Materialia, 63(12), 1197–1200. https://doi.org/10.1016/j.scriptamat.2010.08.047</v>
          </cell>
          <cell r="BI21" t="str">
            <v>Co-8.2Al-7.5W-1.9Ta-2.V</v>
          </cell>
          <cell r="BJ21" t="str">
            <v>80.4Co-8.2Al-7.5W-1.9Ta-2.0V</v>
          </cell>
        </row>
        <row r="22">
          <cell r="A22" t="str">
            <v>Co-8.2Al-9.6W-1.8Ta-1.8Mo</v>
          </cell>
          <cell r="B22" t="str">
            <v>CoAlWX+</v>
          </cell>
          <cell r="C22" t="str">
            <v>-8Al-10W-2Ta-2Mo</v>
          </cell>
          <cell r="D22" t="str">
            <v>2T2Mo</v>
          </cell>
          <cell r="E22" t="str">
            <v>Bauer, A., Neumeier, S., Pyczak, F., &amp; Göken, M. (2010). Microstructure and creep strength of different γ/γ′- strengthened Co-base superalloy variants. Scripta Materialia, 63(12), 1197–1200. https://doi.org/10.1016/j.scriptamat.2010.08.048</v>
          </cell>
          <cell r="F22">
            <v>20</v>
          </cell>
          <cell r="G22">
            <v>78.599999999999994</v>
          </cell>
          <cell r="H22"/>
          <cell r="I22">
            <v>8.1999999999999993</v>
          </cell>
          <cell r="J22"/>
          <cell r="K22">
            <v>9.6</v>
          </cell>
          <cell r="L22"/>
          <cell r="M22">
            <v>1.8</v>
          </cell>
          <cell r="N22"/>
          <cell r="O22"/>
          <cell r="P22">
            <v>1.8</v>
          </cell>
          <cell r="Q22"/>
          <cell r="R22"/>
          <cell r="S22"/>
          <cell r="T22"/>
          <cell r="U22"/>
          <cell r="V22"/>
          <cell r="W22"/>
          <cell r="X22"/>
          <cell r="Y22"/>
          <cell r="Z22"/>
          <cell r="AA22"/>
          <cell r="AB22"/>
          <cell r="AC22"/>
          <cell r="AD22"/>
          <cell r="AE22"/>
          <cell r="AF22">
            <v>9.5495400000000004</v>
          </cell>
          <cell r="AG22"/>
          <cell r="AH22"/>
          <cell r="AI22" t="str">
            <v>Co</v>
          </cell>
          <cell r="AJ22" t="str">
            <v>-8.2Al</v>
          </cell>
          <cell r="AK22" t="str">
            <v>-9.6W</v>
          </cell>
          <cell r="AL22" t="str">
            <v/>
          </cell>
          <cell r="AM22" t="str">
            <v/>
          </cell>
          <cell r="AN22" t="str">
            <v>-1.8Ta</v>
          </cell>
          <cell r="AO22" t="str">
            <v/>
          </cell>
          <cell r="AP22" t="str">
            <v/>
          </cell>
          <cell r="AQ22" t="str">
            <v/>
          </cell>
          <cell r="AR22" t="str">
            <v>-1.8Mo</v>
          </cell>
          <cell r="AS22" t="str">
            <v/>
          </cell>
          <cell r="AT22" t="str">
            <v/>
          </cell>
          <cell r="AU22" t="str">
            <v/>
          </cell>
          <cell r="AV22" t="str">
            <v/>
          </cell>
          <cell r="AW22" t="str">
            <v/>
          </cell>
          <cell r="AX22" t="str">
            <v/>
          </cell>
          <cell r="AY22" t="str">
            <v/>
          </cell>
          <cell r="AZ22" t="str">
            <v/>
          </cell>
          <cell r="BA22" t="str">
            <v/>
          </cell>
          <cell r="BB22" t="str">
            <v/>
          </cell>
          <cell r="BC22" t="str">
            <v/>
          </cell>
          <cell r="BD22" t="str">
            <v/>
          </cell>
          <cell r="BE22" t="str">
            <v/>
          </cell>
          <cell r="BF22" t="str">
            <v/>
          </cell>
          <cell r="BG22" t="str">
            <v/>
          </cell>
          <cell r="BH22" t="str">
            <v>2T2MoBauer, A., Neumeier, S., Pyczak, F., &amp; Göken, M. (2010). Microstructure and creep strength of different γ/γ′- strengthened Co-base superalloy variants. Scripta Materialia, 63(12), 1197–1200. https://doi.org/10.1016/j.scriptamat.2010.08.048</v>
          </cell>
          <cell r="BI22" t="str">
            <v>Co-8.2Al-9.6W-1.8Ta-1.8Mo</v>
          </cell>
          <cell r="BJ22" t="str">
            <v>78.6Co-8.2Al-9.6W-1.8Ta-1.8Mo</v>
          </cell>
        </row>
        <row r="23">
          <cell r="A23" t="str">
            <v>Co-8.Al-5.7W-2.Ta-1.5Mo</v>
          </cell>
          <cell r="B23" t="str">
            <v>CoAlWX+</v>
          </cell>
          <cell r="C23" t="str">
            <v>-8Al-6W-2Ta-2Mo</v>
          </cell>
          <cell r="D23" t="str">
            <v>W2Ta2Mo</v>
          </cell>
          <cell r="E23" t="str">
            <v>Bauer, A., Neumeier, S., Pyczak, F., &amp; Göken, M. (2010). Microstructure and creep strength of different γ/γ′- strengthened Co-base superalloy variants. Scripta Materialia, 63(12), 1197–1200. https://doi.org/10.1016/j.scriptamat.2010.08.050</v>
          </cell>
          <cell r="F23">
            <v>22</v>
          </cell>
          <cell r="G23">
            <v>82.8</v>
          </cell>
          <cell r="H23"/>
          <cell r="I23">
            <v>8</v>
          </cell>
          <cell r="J23"/>
          <cell r="K23">
            <v>5.7</v>
          </cell>
          <cell r="L23"/>
          <cell r="M23">
            <v>2</v>
          </cell>
          <cell r="N23"/>
          <cell r="O23"/>
          <cell r="P23">
            <v>1.5</v>
          </cell>
          <cell r="Q23"/>
          <cell r="R23"/>
          <cell r="S23"/>
          <cell r="T23"/>
          <cell r="U23"/>
          <cell r="V23"/>
          <cell r="W23"/>
          <cell r="X23"/>
          <cell r="Y23"/>
          <cell r="Z23"/>
          <cell r="AA23"/>
          <cell r="AB23"/>
          <cell r="AC23"/>
          <cell r="AD23"/>
          <cell r="AE23"/>
          <cell r="AF23">
            <v>9.169649999999999</v>
          </cell>
          <cell r="AG23"/>
          <cell r="AH23"/>
          <cell r="AI23" t="str">
            <v>Co</v>
          </cell>
          <cell r="AJ23" t="str">
            <v>-8.Al</v>
          </cell>
          <cell r="AK23" t="str">
            <v>-5.7W</v>
          </cell>
          <cell r="AL23" t="str">
            <v/>
          </cell>
          <cell r="AM23" t="str">
            <v/>
          </cell>
          <cell r="AN23" t="str">
            <v>-2.Ta</v>
          </cell>
          <cell r="AO23" t="str">
            <v/>
          </cell>
          <cell r="AP23" t="str">
            <v/>
          </cell>
          <cell r="AQ23" t="str">
            <v/>
          </cell>
          <cell r="AR23" t="str">
            <v>-1.5Mo</v>
          </cell>
          <cell r="AS23" t="str">
            <v/>
          </cell>
          <cell r="AT23" t="str">
            <v/>
          </cell>
          <cell r="AU23" t="str">
            <v/>
          </cell>
          <cell r="AV23" t="str">
            <v/>
          </cell>
          <cell r="AW23" t="str">
            <v/>
          </cell>
          <cell r="AX23" t="str">
            <v/>
          </cell>
          <cell r="AY23" t="str">
            <v/>
          </cell>
          <cell r="AZ23" t="str">
            <v/>
          </cell>
          <cell r="BA23" t="str">
            <v/>
          </cell>
          <cell r="BB23" t="str">
            <v/>
          </cell>
          <cell r="BC23" t="str">
            <v/>
          </cell>
          <cell r="BD23" t="str">
            <v/>
          </cell>
          <cell r="BE23" t="str">
            <v/>
          </cell>
          <cell r="BF23" t="str">
            <v/>
          </cell>
          <cell r="BG23" t="str">
            <v/>
          </cell>
          <cell r="BH23" t="str">
            <v>W2Ta2MoBauer, A., Neumeier, S., Pyczak, F., &amp; Göken, M. (2010). Microstructure and creep strength of different γ/γ′- strengthened Co-base superalloy variants. Scripta Materialia, 63(12), 1197–1200. https://doi.org/10.1016/j.scriptamat.2010.08.050</v>
          </cell>
          <cell r="BI23" t="str">
            <v>Co-8.Al-5.7W-2.Ta-1.5Mo</v>
          </cell>
          <cell r="BJ23" t="str">
            <v>82.8Co-8.0Al-5.7W-2.0Ta-1.5Mo</v>
          </cell>
        </row>
        <row r="24">
          <cell r="A24" t="str">
            <v>Co-8.7Al-5.5W-1.3Ta-0.9Ir</v>
          </cell>
          <cell r="B24" t="str">
            <v>CoAlWX+</v>
          </cell>
          <cell r="C24" t="str">
            <v>-9Al-6W-1Ta-1Ir</v>
          </cell>
          <cell r="D24" t="str">
            <v>W2Ta2Ir</v>
          </cell>
          <cell r="E24" t="str">
            <v>Bauer, A., Neumeier, S., Pyczak, F., &amp; Göken, M. (2010). Microstructure and creep strength of different γ/γ′- strengthened Co-base superalloy variants. Scripta Materialia, 63(12), 1197–1200. https://doi.org/10.1016/j.scriptamat.2010.08.051</v>
          </cell>
          <cell r="F24">
            <v>23</v>
          </cell>
          <cell r="G24">
            <v>83.6</v>
          </cell>
          <cell r="H24"/>
          <cell r="I24">
            <v>8.6999999999999993</v>
          </cell>
          <cell r="J24"/>
          <cell r="K24">
            <v>5.5</v>
          </cell>
          <cell r="L24"/>
          <cell r="M24">
            <v>1.3</v>
          </cell>
          <cell r="N24"/>
          <cell r="O24"/>
          <cell r="P24"/>
          <cell r="Q24"/>
          <cell r="R24"/>
          <cell r="S24"/>
          <cell r="T24">
            <v>0.9</v>
          </cell>
          <cell r="U24"/>
          <cell r="V24"/>
          <cell r="W24"/>
          <cell r="X24"/>
          <cell r="Y24"/>
          <cell r="Z24"/>
          <cell r="AA24"/>
          <cell r="AB24"/>
          <cell r="AC24"/>
          <cell r="AD24"/>
          <cell r="AE24"/>
          <cell r="AF24">
            <v>9.1535399999999996</v>
          </cell>
          <cell r="AG24"/>
          <cell r="AH24"/>
          <cell r="AI24" t="str">
            <v>Co</v>
          </cell>
          <cell r="AJ24" t="str">
            <v>-8.7Al</v>
          </cell>
          <cell r="AK24" t="str">
            <v>-5.5W</v>
          </cell>
          <cell r="AL24" t="str">
            <v/>
          </cell>
          <cell r="AM24" t="str">
            <v/>
          </cell>
          <cell r="AN24" t="str">
            <v>-1.3Ta</v>
          </cell>
          <cell r="AO24" t="str">
            <v/>
          </cell>
          <cell r="AP24" t="str">
            <v/>
          </cell>
          <cell r="AQ24" t="str">
            <v/>
          </cell>
          <cell r="AR24" t="str">
            <v/>
          </cell>
          <cell r="AS24" t="str">
            <v/>
          </cell>
          <cell r="AT24" t="str">
            <v/>
          </cell>
          <cell r="AU24" t="str">
            <v/>
          </cell>
          <cell r="AV24" t="str">
            <v>-0.9Ir</v>
          </cell>
          <cell r="AW24" t="str">
            <v/>
          </cell>
          <cell r="AX24" t="str">
            <v/>
          </cell>
          <cell r="AY24" t="str">
            <v/>
          </cell>
          <cell r="AZ24" t="str">
            <v/>
          </cell>
          <cell r="BA24" t="str">
            <v/>
          </cell>
          <cell r="BB24" t="str">
            <v/>
          </cell>
          <cell r="BC24" t="str">
            <v/>
          </cell>
          <cell r="BD24" t="str">
            <v/>
          </cell>
          <cell r="BE24" t="str">
            <v/>
          </cell>
          <cell r="BF24" t="str">
            <v/>
          </cell>
          <cell r="BG24" t="str">
            <v/>
          </cell>
          <cell r="BH24" t="str">
            <v>W2Ta2IrBauer, A., Neumeier, S., Pyczak, F., &amp; Göken, M. (2010). Microstructure and creep strength of different γ/γ′- strengthened Co-base superalloy variants. Scripta Materialia, 63(12), 1197–1200. https://doi.org/10.1016/j.scriptamat.2010.08.051</v>
          </cell>
          <cell r="BI24" t="str">
            <v>Co-8.7Al-5.5W-1.3Ta-0.9Ir</v>
          </cell>
          <cell r="BJ24" t="str">
            <v>83.6Co-8.7Al-5.5W-1.3Ta-0.9Ir</v>
          </cell>
        </row>
        <row r="25">
          <cell r="A25" t="str">
            <v>Co-8.6Al-4.1Cr-9.5W</v>
          </cell>
          <cell r="B25" t="str">
            <v>CoAlW-X</v>
          </cell>
          <cell r="C25" t="str">
            <v>-9Al-4Cr-10W</v>
          </cell>
          <cell r="D25" t="str">
            <v>9W-4Cr-0.04B</v>
          </cell>
          <cell r="E25" t="str">
            <v>Bauer, A., Neumeier, S., Pyczak, F., &amp; Göken, M. (2012). Creep Strength and Microstructure of Polycrystalline γ′ - Strengthened Cobalt-Base Superalloys. In Superalloys 2012 (pp. 695–703). https://doi.org/10.1002/9781118516430.ch77</v>
          </cell>
          <cell r="F25">
            <v>24</v>
          </cell>
          <cell r="G25">
            <v>77.8</v>
          </cell>
          <cell r="H25"/>
          <cell r="I25">
            <v>8.6</v>
          </cell>
          <cell r="J25">
            <v>4.0999999999999996</v>
          </cell>
          <cell r="K25">
            <v>9.5</v>
          </cell>
          <cell r="L25"/>
          <cell r="M25"/>
          <cell r="N25"/>
          <cell r="O25"/>
          <cell r="P25"/>
          <cell r="Q25"/>
          <cell r="R25"/>
          <cell r="S25"/>
          <cell r="T25"/>
          <cell r="U25"/>
          <cell r="V25"/>
          <cell r="W25"/>
          <cell r="X25"/>
          <cell r="Y25"/>
          <cell r="Z25"/>
          <cell r="AA25"/>
          <cell r="AB25"/>
          <cell r="AC25"/>
          <cell r="AD25"/>
          <cell r="AE25"/>
          <cell r="AF25">
            <v>9.2799399999999999</v>
          </cell>
          <cell r="AG25"/>
          <cell r="AH25"/>
          <cell r="AI25" t="str">
            <v>Co</v>
          </cell>
          <cell r="AJ25" t="str">
            <v>-8.6Al</v>
          </cell>
          <cell r="AK25" t="str">
            <v>-9.5W</v>
          </cell>
          <cell r="AL25" t="str">
            <v/>
          </cell>
          <cell r="AM25" t="str">
            <v>-4.1Cr</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cell r="BD25" t="str">
            <v/>
          </cell>
          <cell r="BE25" t="str">
            <v/>
          </cell>
          <cell r="BF25" t="str">
            <v/>
          </cell>
          <cell r="BG25" t="str">
            <v/>
          </cell>
          <cell r="BH25" t="str">
            <v>9W-4Cr-0.04BBauer, A., Neumeier, S., Pyczak, F., &amp; Göken, M. (2012). Creep Strength and Microstructure of Polycrystalline γ′ - Strengthened Cobalt-Base Superalloys. In Superalloys 2012 (pp. 695–703). https://doi.org/10.1002/9781118516430.ch77</v>
          </cell>
          <cell r="BI25" t="str">
            <v>Co-8.6Al-4.1Cr-9.5W</v>
          </cell>
          <cell r="BJ25" t="str">
            <v>77.8Co-8.6Al-4.1Cr-9.5W</v>
          </cell>
        </row>
        <row r="26">
          <cell r="A26" t="str">
            <v>Co-8.7Al-8.2Cr-9.6W</v>
          </cell>
          <cell r="B26" t="str">
            <v>CoAlW-X</v>
          </cell>
          <cell r="C26" t="str">
            <v>-9Al-8Cr-10W</v>
          </cell>
          <cell r="D26" t="str">
            <v>9W-8Cr-0.04B</v>
          </cell>
          <cell r="E26" t="str">
            <v>Bauer, A., Neumeier, S., Pyczak, F., &amp; Göken, M. (2012). Creep Strength and Microstructure of Polycrystalline γ′ - Strengthened Cobalt-Base Superalloys. In Superalloys 2012 (pp. 695–703). https://doi.org/10.1002/9781118516430.ch78</v>
          </cell>
          <cell r="F26">
            <v>25</v>
          </cell>
          <cell r="G26">
            <v>73.5</v>
          </cell>
          <cell r="H26"/>
          <cell r="I26">
            <v>8.6999999999999993</v>
          </cell>
          <cell r="J26">
            <v>8.1999999999999993</v>
          </cell>
          <cell r="K26">
            <v>9.6</v>
          </cell>
          <cell r="L26"/>
          <cell r="M26"/>
          <cell r="N26"/>
          <cell r="O26"/>
          <cell r="P26"/>
          <cell r="Q26"/>
          <cell r="R26"/>
          <cell r="S26"/>
          <cell r="T26"/>
          <cell r="U26"/>
          <cell r="V26"/>
          <cell r="W26"/>
          <cell r="X26"/>
          <cell r="Y26"/>
          <cell r="Z26"/>
          <cell r="AA26"/>
          <cell r="AB26"/>
          <cell r="AC26"/>
          <cell r="AD26"/>
          <cell r="AE26"/>
          <cell r="AF26">
            <v>9.2139799999999994</v>
          </cell>
          <cell r="AG26"/>
          <cell r="AH26"/>
          <cell r="AI26" t="str">
            <v>Co</v>
          </cell>
          <cell r="AJ26" t="str">
            <v>-8.7Al</v>
          </cell>
          <cell r="AK26" t="str">
            <v>-9.6W</v>
          </cell>
          <cell r="AL26" t="str">
            <v/>
          </cell>
          <cell r="AM26" t="str">
            <v>-8.2Cr</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cell r="BD26" t="str">
            <v/>
          </cell>
          <cell r="BE26" t="str">
            <v/>
          </cell>
          <cell r="BF26" t="str">
            <v/>
          </cell>
          <cell r="BG26" t="str">
            <v/>
          </cell>
          <cell r="BH26" t="str">
            <v>9W-8Cr-0.04BBauer, A., Neumeier, S., Pyczak, F., &amp; Göken, M. (2012). Creep Strength and Microstructure of Polycrystalline γ′ - Strengthened Cobalt-Base Superalloys. In Superalloys 2012 (pp. 695–703). https://doi.org/10.1002/9781118516430.ch78</v>
          </cell>
          <cell r="BI26" t="str">
            <v>Co-8.7Al-8.2Cr-9.6W</v>
          </cell>
          <cell r="BJ26" t="str">
            <v>73.5Co-8.7Al-8.2Cr-9.6W</v>
          </cell>
        </row>
        <row r="27">
          <cell r="A27" t="str">
            <v>Co-8.4Al-16.5Cr-9.W</v>
          </cell>
          <cell r="B27" t="str">
            <v>CoAlW-X</v>
          </cell>
          <cell r="C27" t="str">
            <v>-8Al-17Cr-9W</v>
          </cell>
          <cell r="D27" t="str">
            <v>9W-16Cr-0.04B</v>
          </cell>
          <cell r="E27" t="str">
            <v>Bauer, A., Neumeier, S., Pyczak, F., &amp; Göken, M. (2012). Creep Strength and Microstructure of Polycrystalline γ′ - Strengthened Cobalt-Base Superalloys. In Superalloys 2012 (pp. 695–703). https://doi.org/10.1002/9781118516430.ch79</v>
          </cell>
          <cell r="F27">
            <v>26</v>
          </cell>
          <cell r="G27">
            <v>66.099999999999994</v>
          </cell>
          <cell r="H27"/>
          <cell r="I27">
            <v>8.4</v>
          </cell>
          <cell r="J27">
            <v>16.5</v>
          </cell>
          <cell r="K27">
            <v>9</v>
          </cell>
          <cell r="L27"/>
          <cell r="M27"/>
          <cell r="N27"/>
          <cell r="O27"/>
          <cell r="P27"/>
          <cell r="Q27"/>
          <cell r="R27"/>
          <cell r="S27"/>
          <cell r="T27"/>
          <cell r="U27"/>
          <cell r="V27"/>
          <cell r="W27"/>
          <cell r="X27"/>
          <cell r="Y27"/>
          <cell r="Z27"/>
          <cell r="AA27"/>
          <cell r="AB27"/>
          <cell r="AC27"/>
          <cell r="AD27"/>
          <cell r="AE27"/>
          <cell r="AF27">
            <v>9.0285499999999992</v>
          </cell>
          <cell r="AG27"/>
          <cell r="AH27"/>
          <cell r="AI27" t="str">
            <v>Co</v>
          </cell>
          <cell r="AJ27" t="str">
            <v>-8.4Al</v>
          </cell>
          <cell r="AK27" t="str">
            <v>-9.W</v>
          </cell>
          <cell r="AL27" t="str">
            <v/>
          </cell>
          <cell r="AM27" t="str">
            <v>-16.5Cr</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cell r="BD27" t="str">
            <v/>
          </cell>
          <cell r="BE27" t="str">
            <v/>
          </cell>
          <cell r="BF27" t="str">
            <v/>
          </cell>
          <cell r="BG27" t="str">
            <v/>
          </cell>
          <cell r="BH27" t="str">
            <v>9W-16Cr-0.04BBauer, A., Neumeier, S., Pyczak, F., &amp; Göken, M. (2012). Creep Strength and Microstructure of Polycrystalline γ′ - Strengthened Cobalt-Base Superalloys. In Superalloys 2012 (pp. 695–703). https://doi.org/10.1002/9781118516430.ch79</v>
          </cell>
          <cell r="BI27" t="str">
            <v>Co-8.4Al-16.5Cr-9.W</v>
          </cell>
          <cell r="BJ27" t="str">
            <v>66.1Co-8.4Al-16.5Cr-9.0W</v>
          </cell>
        </row>
        <row r="28">
          <cell r="A28" t="str">
            <v>Co-9.Ni-8.8Al-9.5W</v>
          </cell>
          <cell r="B28" t="str">
            <v>CoAlW-X</v>
          </cell>
          <cell r="C28" t="str">
            <v>-9Ni-9Al-10W</v>
          </cell>
          <cell r="D28" t="str">
            <v>9W-9Ni-0.12B</v>
          </cell>
          <cell r="E28" t="str">
            <v>Bauer, A., Neumeier, S., Pyczak, F., &amp; Göken, M. (2012). Creep Strength and Microstructure of Polycrystalline γ′ - Strengthened Cobalt-Base Superalloys. In Superalloys 2012 (pp. 695–703). https://doi.org/10.1002/9781118516430.ch80</v>
          </cell>
          <cell r="F28">
            <v>27</v>
          </cell>
          <cell r="G28">
            <v>72.7</v>
          </cell>
          <cell r="H28">
            <v>9</v>
          </cell>
          <cell r="I28">
            <v>8.8000000000000007</v>
          </cell>
          <cell r="J28"/>
          <cell r="K28">
            <v>9.5</v>
          </cell>
          <cell r="L28"/>
          <cell r="M28"/>
          <cell r="N28"/>
          <cell r="O28"/>
          <cell r="P28"/>
          <cell r="Q28"/>
          <cell r="R28"/>
          <cell r="S28"/>
          <cell r="T28"/>
          <cell r="U28"/>
          <cell r="V28"/>
          <cell r="W28"/>
          <cell r="X28"/>
          <cell r="Y28"/>
          <cell r="Z28"/>
          <cell r="AA28"/>
          <cell r="AB28"/>
          <cell r="AC28"/>
          <cell r="AD28"/>
          <cell r="AE28"/>
          <cell r="AF28">
            <v>9.3383700000000012</v>
          </cell>
          <cell r="AG28"/>
          <cell r="AH28"/>
          <cell r="AI28" t="str">
            <v>Co</v>
          </cell>
          <cell r="AJ28" t="str">
            <v>-8.8Al</v>
          </cell>
          <cell r="AK28" t="str">
            <v>-9.5W</v>
          </cell>
          <cell r="AL28" t="str">
            <v>-9.Ni</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cell r="BD28" t="str">
            <v/>
          </cell>
          <cell r="BE28" t="str">
            <v/>
          </cell>
          <cell r="BF28" t="str">
            <v/>
          </cell>
          <cell r="BG28" t="str">
            <v/>
          </cell>
          <cell r="BH28" t="str">
            <v>9W-9Ni-0.12BBauer, A., Neumeier, S., Pyczak, F., &amp; Göken, M. (2012). Creep Strength and Microstructure of Polycrystalline γ′ - Strengthened Cobalt-Base Superalloys. In Superalloys 2012 (pp. 695–703). https://doi.org/10.1002/9781118516430.ch80</v>
          </cell>
          <cell r="BI28" t="str">
            <v>Co-9.Ni-8.8Al-9.5W</v>
          </cell>
          <cell r="BJ28" t="str">
            <v>81.7Co-9.0Ni-8.8Al-9.5W</v>
          </cell>
        </row>
        <row r="29">
          <cell r="A29" t="str">
            <v>Co-18.4Ni-8.8Al-9.6W</v>
          </cell>
          <cell r="B29" t="str">
            <v>CoAlW-X</v>
          </cell>
          <cell r="C29" t="str">
            <v>-18Ni-9Al-10W</v>
          </cell>
          <cell r="D29" t="str">
            <v>9W-18Ni-0.12B</v>
          </cell>
          <cell r="E29" t="str">
            <v>Bauer, A., Neumeier, S., Pyczak, F., &amp; Göken, M. (2012). Creep Strength and Microstructure of Polycrystalline γ′ - Strengthened Cobalt-Base Superalloys. In Superalloys 2012 (pp. 695–703). https://doi.org/10.1002/9781118516430.ch81</v>
          </cell>
          <cell r="F29">
            <v>28</v>
          </cell>
          <cell r="G29">
            <v>63.2</v>
          </cell>
          <cell r="H29">
            <v>18.399999999999999</v>
          </cell>
          <cell r="I29">
            <v>8.8000000000000007</v>
          </cell>
          <cell r="J29"/>
          <cell r="K29">
            <v>9.6</v>
          </cell>
          <cell r="L29"/>
          <cell r="M29"/>
          <cell r="N29"/>
          <cell r="O29"/>
          <cell r="P29"/>
          <cell r="Q29"/>
          <cell r="R29"/>
          <cell r="S29"/>
          <cell r="T29"/>
          <cell r="U29"/>
          <cell r="V29"/>
          <cell r="W29"/>
          <cell r="X29"/>
          <cell r="Y29"/>
          <cell r="Z29"/>
          <cell r="AA29"/>
          <cell r="AB29"/>
          <cell r="AC29"/>
          <cell r="AD29"/>
          <cell r="AE29"/>
          <cell r="AF29">
            <v>9.3494719999999987</v>
          </cell>
          <cell r="AG29"/>
          <cell r="AH29"/>
          <cell r="AI29" t="str">
            <v>Co</v>
          </cell>
          <cell r="AJ29" t="str">
            <v>-8.8Al</v>
          </cell>
          <cell r="AK29" t="str">
            <v>-9.6W</v>
          </cell>
          <cell r="AL29" t="str">
            <v>-18.4Ni</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cell r="BD29" t="str">
            <v/>
          </cell>
          <cell r="BE29" t="str">
            <v/>
          </cell>
          <cell r="BF29" t="str">
            <v/>
          </cell>
          <cell r="BG29" t="str">
            <v/>
          </cell>
          <cell r="BH29" t="str">
            <v>9W-18Ni-0.12BBauer, A., Neumeier, S., Pyczak, F., &amp; Göken, M. (2012). Creep Strength and Microstructure of Polycrystalline γ′ - Strengthened Cobalt-Base Superalloys. In Superalloys 2012 (pp. 695–703). https://doi.org/10.1002/9781118516430.ch81</v>
          </cell>
          <cell r="BI29" t="str">
            <v>Co-18.4Ni-8.8Al-9.6W</v>
          </cell>
          <cell r="BJ29" t="str">
            <v>81.6Co-18.4Ni-8.8Al-9.6W</v>
          </cell>
        </row>
        <row r="30">
          <cell r="A30" t="str">
            <v>Co-9.2Ni-9.1Al-8.2Cr-9.6W</v>
          </cell>
          <cell r="B30" t="str">
            <v>CoAlWX+</v>
          </cell>
          <cell r="C30" t="str">
            <v>-9Ni-9Al-8Cr-10W</v>
          </cell>
          <cell r="D30" t="str">
            <v>9W-8Cr-9Ni-0.12B</v>
          </cell>
          <cell r="E30" t="str">
            <v>Bauer, A., Neumeier, S., Pyczak, F., &amp; Göken, M. (2012). Creep Strength and Microstructure of Polycrystalline γ′ - Strengthened Cobalt-Base Superalloys. In Superalloys 2012 (pp. 695–703). https://doi.org/10.1002/9781118516430.ch82</v>
          </cell>
          <cell r="F30">
            <v>29</v>
          </cell>
          <cell r="G30">
            <v>63.870000000000005</v>
          </cell>
          <cell r="H30">
            <v>9.1999999999999993</v>
          </cell>
          <cell r="I30">
            <v>9.1</v>
          </cell>
          <cell r="J30">
            <v>8.1999999999999993</v>
          </cell>
          <cell r="K30">
            <v>9.6300000000000008</v>
          </cell>
          <cell r="L30"/>
          <cell r="M30"/>
          <cell r="N30"/>
          <cell r="O30"/>
          <cell r="P30"/>
          <cell r="Q30"/>
          <cell r="R30"/>
          <cell r="S30"/>
          <cell r="T30"/>
          <cell r="U30"/>
          <cell r="V30"/>
          <cell r="W30"/>
          <cell r="X30"/>
          <cell r="Y30"/>
          <cell r="Z30"/>
          <cell r="AA30"/>
          <cell r="AB30"/>
          <cell r="AC30"/>
          <cell r="AD30"/>
          <cell r="AE30"/>
          <cell r="AF30">
            <v>9.1930210000000017</v>
          </cell>
          <cell r="AG30"/>
          <cell r="AH30"/>
          <cell r="AI30" t="str">
            <v>Co</v>
          </cell>
          <cell r="AJ30" t="str">
            <v>-9.1Al</v>
          </cell>
          <cell r="AK30" t="str">
            <v>-9.6W</v>
          </cell>
          <cell r="AL30" t="str">
            <v>-9.2Ni</v>
          </cell>
          <cell r="AM30" t="str">
            <v>-8.2Cr</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cell r="BD30" t="str">
            <v/>
          </cell>
          <cell r="BE30" t="str">
            <v/>
          </cell>
          <cell r="BF30" t="str">
            <v/>
          </cell>
          <cell r="BG30" t="str">
            <v/>
          </cell>
          <cell r="BH30" t="str">
            <v>9W-8Cr-9Ni-0.12BBauer, A., Neumeier, S., Pyczak, F., &amp; Göken, M. (2012). Creep Strength and Microstructure of Polycrystalline γ′ - Strengthened Cobalt-Base Superalloys. In Superalloys 2012 (pp. 695–703). https://doi.org/10.1002/9781118516430.ch82</v>
          </cell>
          <cell r="BI30" t="str">
            <v>Co-9.2Ni-9.1Al-8.2Cr-9.6W</v>
          </cell>
          <cell r="BJ30" t="str">
            <v>73.1Co-9.2Ni-9.1Al-8.2Cr-9.6W</v>
          </cell>
        </row>
        <row r="31">
          <cell r="A31" t="str">
            <v>Co-18.Ni-8.6Al-8.1Cr-8.8W</v>
          </cell>
          <cell r="B31" t="str">
            <v>CoAlWX+</v>
          </cell>
          <cell r="C31" t="str">
            <v>-18Ni-9Al-8Cr-9W</v>
          </cell>
          <cell r="D31" t="str">
            <v>9w-8Cr-18Ni-0.12B</v>
          </cell>
          <cell r="E31" t="str">
            <v>Bauer, A., Neumeier, S., Pyczak, F., &amp; Göken, M. (2012). Creep Strength and Microstructure of Polycrystalline γ′ - Strengthened Cobalt-Base Superalloys. In Superalloys 2012 (pp. 695–703). https://doi.org/10.1002/9781118516430.ch83</v>
          </cell>
          <cell r="F31">
            <v>30</v>
          </cell>
          <cell r="G31">
            <v>56.5</v>
          </cell>
          <cell r="H31">
            <v>18</v>
          </cell>
          <cell r="I31">
            <v>8.6</v>
          </cell>
          <cell r="J31">
            <v>8.1</v>
          </cell>
          <cell r="K31">
            <v>8.8000000000000007</v>
          </cell>
          <cell r="L31"/>
          <cell r="M31"/>
          <cell r="N31"/>
          <cell r="O31"/>
          <cell r="P31"/>
          <cell r="Q31"/>
          <cell r="R31"/>
          <cell r="S31"/>
          <cell r="T31"/>
          <cell r="U31"/>
          <cell r="V31"/>
          <cell r="W31"/>
          <cell r="X31"/>
          <cell r="Y31"/>
          <cell r="Z31"/>
          <cell r="AA31"/>
          <cell r="AB31"/>
          <cell r="AC31"/>
          <cell r="AD31"/>
          <cell r="AE31"/>
          <cell r="AF31">
            <v>9.1405300000000018</v>
          </cell>
          <cell r="AG31"/>
          <cell r="AH31"/>
          <cell r="AI31" t="str">
            <v>Co</v>
          </cell>
          <cell r="AJ31" t="str">
            <v>-8.6Al</v>
          </cell>
          <cell r="AK31" t="str">
            <v>-8.8W</v>
          </cell>
          <cell r="AL31" t="str">
            <v>-18.Ni</v>
          </cell>
          <cell r="AM31" t="str">
            <v>-8.1Cr</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cell r="BD31" t="str">
            <v/>
          </cell>
          <cell r="BE31" t="str">
            <v/>
          </cell>
          <cell r="BF31" t="str">
            <v/>
          </cell>
          <cell r="BG31" t="str">
            <v/>
          </cell>
          <cell r="BH31" t="str">
            <v>9w-8Cr-18Ni-0.12BBauer, A., Neumeier, S., Pyczak, F., &amp; Göken, M. (2012). Creep Strength and Microstructure of Polycrystalline γ′ - Strengthened Cobalt-Base Superalloys. In Superalloys 2012 (pp. 695–703). https://doi.org/10.1002/9781118516430.ch83</v>
          </cell>
          <cell r="BI31" t="str">
            <v>Co-18.Ni-8.6Al-8.1Cr-8.8W</v>
          </cell>
          <cell r="BJ31" t="str">
            <v>74.5Co-18.0Ni-8.6Al-8.1Cr-8.8W</v>
          </cell>
        </row>
        <row r="32">
          <cell r="A32" t="str">
            <v>Co-8.Fe-7.5Al-8.8W</v>
          </cell>
          <cell r="B32" t="str">
            <v>CoAlW-X</v>
          </cell>
          <cell r="C32" t="str">
            <v>-8Fe-8Al-9W</v>
          </cell>
          <cell r="D32" t="str">
            <v>9W-8Fe-0.12B</v>
          </cell>
          <cell r="E32" t="str">
            <v>Bauer, A., Neumeier, S., Pyczak, F., &amp; Göken, M. (2012). Creep Strength and Microstructure of Polycrystalline γ′ - Strengthened Cobalt-Base Superalloys. In Superalloys 2012 (pp. 695–703). https://doi.org/10.1002/9781118516430.ch86</v>
          </cell>
          <cell r="F32">
            <v>33</v>
          </cell>
          <cell r="G32">
            <v>75.7</v>
          </cell>
          <cell r="H32"/>
          <cell r="I32">
            <v>7.5</v>
          </cell>
          <cell r="J32"/>
          <cell r="K32">
            <v>8.8000000000000007</v>
          </cell>
          <cell r="L32"/>
          <cell r="M32"/>
          <cell r="N32"/>
          <cell r="O32"/>
          <cell r="P32"/>
          <cell r="Q32"/>
          <cell r="R32"/>
          <cell r="S32"/>
          <cell r="T32"/>
          <cell r="U32"/>
          <cell r="V32"/>
          <cell r="W32">
            <v>8</v>
          </cell>
          <cell r="X32"/>
          <cell r="Y32"/>
          <cell r="Z32"/>
          <cell r="AA32"/>
          <cell r="AB32"/>
          <cell r="AC32"/>
          <cell r="AD32"/>
          <cell r="AE32"/>
          <cell r="AF32">
            <v>9.2637199999999993</v>
          </cell>
          <cell r="AG32"/>
          <cell r="AH32"/>
          <cell r="AI32" t="str">
            <v>Co</v>
          </cell>
          <cell r="AJ32" t="str">
            <v>-7.5Al</v>
          </cell>
          <cell r="AK32" t="str">
            <v>-8.8W</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-8.Fe</v>
          </cell>
          <cell r="AZ32" t="str">
            <v/>
          </cell>
          <cell r="BA32" t="str">
            <v/>
          </cell>
          <cell r="BB32" t="str">
            <v/>
          </cell>
          <cell r="BC32" t="str">
            <v/>
          </cell>
          <cell r="BD32" t="str">
            <v/>
          </cell>
          <cell r="BE32" t="str">
            <v/>
          </cell>
          <cell r="BF32" t="str">
            <v/>
          </cell>
          <cell r="BG32" t="str">
            <v/>
          </cell>
          <cell r="BH32" t="str">
            <v>9W-8Fe-0.12BBauer, A., Neumeier, S., Pyczak, F., &amp; Göken, M. (2012). Creep Strength and Microstructure of Polycrystalline γ′ - Strengthened Cobalt-Base Superalloys. In Superalloys 2012 (pp. 695–703). https://doi.org/10.1002/9781118516430.ch86</v>
          </cell>
          <cell r="BI32" t="str">
            <v>Co-8.Fe-7.5Al-8.8W</v>
          </cell>
          <cell r="BJ32" t="str">
            <v>75.7Co-8.0Fe-7.5Al-8.8W</v>
          </cell>
        </row>
        <row r="33">
          <cell r="A33" t="str">
            <v>Co-16.7Fe-8.6Al-8.6W</v>
          </cell>
          <cell r="B33" t="str">
            <v>CoAlW-X</v>
          </cell>
          <cell r="C33" t="str">
            <v>-17Fe-9Al-9W</v>
          </cell>
          <cell r="D33" t="str">
            <v>9W-16Fe-0.12B</v>
          </cell>
          <cell r="E33" t="str">
            <v>Bauer, A., Neumeier, S., Pyczak, F., &amp; Göken, M. (2012). Creep Strength and Microstructure of Polycrystalline γ′ - Strengthened Cobalt-Base Superalloys. In Superalloys 2012 (pp. 695–703). https://doi.org/10.1002/9781118516430.ch87</v>
          </cell>
          <cell r="F33">
            <v>34</v>
          </cell>
          <cell r="G33">
            <v>66.099999999999994</v>
          </cell>
          <cell r="H33"/>
          <cell r="I33">
            <v>8.6</v>
          </cell>
          <cell r="J33"/>
          <cell r="K33">
            <v>8.6</v>
          </cell>
          <cell r="L33"/>
          <cell r="M33"/>
          <cell r="N33"/>
          <cell r="O33"/>
          <cell r="P33"/>
          <cell r="Q33"/>
          <cell r="R33"/>
          <cell r="S33"/>
          <cell r="T33"/>
          <cell r="U33"/>
          <cell r="V33"/>
          <cell r="W33">
            <v>16.7</v>
          </cell>
          <cell r="X33"/>
          <cell r="Y33"/>
          <cell r="Z33"/>
          <cell r="AA33"/>
          <cell r="AB33"/>
          <cell r="AC33"/>
          <cell r="AD33"/>
          <cell r="AE33"/>
          <cell r="AF33">
            <v>9.0855579999999989</v>
          </cell>
          <cell r="AG33"/>
          <cell r="AH33"/>
          <cell r="AI33" t="str">
            <v>Co</v>
          </cell>
          <cell r="AJ33" t="str">
            <v>-8.6Al</v>
          </cell>
          <cell r="AK33" t="str">
            <v>-8.6W</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-16.7Fe</v>
          </cell>
          <cell r="AZ33" t="str">
            <v/>
          </cell>
          <cell r="BA33" t="str">
            <v/>
          </cell>
          <cell r="BB33" t="str">
            <v/>
          </cell>
          <cell r="BC33" t="str">
            <v/>
          </cell>
          <cell r="BD33" t="str">
            <v/>
          </cell>
          <cell r="BE33" t="str">
            <v/>
          </cell>
          <cell r="BF33" t="str">
            <v/>
          </cell>
          <cell r="BG33" t="str">
            <v/>
          </cell>
          <cell r="BH33" t="str">
            <v>9W-16Fe-0.12BBauer, A., Neumeier, S., Pyczak, F., &amp; Göken, M. (2012). Creep Strength and Microstructure of Polycrystalline γ′ - Strengthened Cobalt-Base Superalloys. In Superalloys 2012 (pp. 695–703). https://doi.org/10.1002/9781118516430.ch87</v>
          </cell>
          <cell r="BI33" t="str">
            <v>Co-16.7Fe-8.6Al-8.6W</v>
          </cell>
          <cell r="BJ33" t="str">
            <v>66.1Co-16.7Fe-8.6Al-8.6W</v>
          </cell>
        </row>
        <row r="34">
          <cell r="A34" t="str">
            <v>Co-9.5Al-9.7W-1.3Ta-1.8Ir-0.12B</v>
          </cell>
          <cell r="B34" t="str">
            <v>CoAlWX+</v>
          </cell>
          <cell r="C34" t="str">
            <v>-10Al-10W-1Ta-2Ir-B</v>
          </cell>
          <cell r="D34" t="str">
            <v>2Ta2Ir-B</v>
          </cell>
          <cell r="E34" t="str">
            <v>Bauer, A., Neumeier, S., Pyczak, F., &amp; Göken, M. (2015). Influence of iridium on the properties of γ′-strengthened co-base superalloys. Advanced Engineering Materials, 17(6), 748–754. https://doi.org/10.1002/adem.201400269</v>
          </cell>
          <cell r="F34">
            <v>38</v>
          </cell>
          <cell r="G34">
            <v>77.58</v>
          </cell>
          <cell r="H34"/>
          <cell r="I34">
            <v>9.5</v>
          </cell>
          <cell r="J34"/>
          <cell r="K34">
            <v>9.6999999999999993</v>
          </cell>
          <cell r="L34"/>
          <cell r="M34">
            <v>1.3</v>
          </cell>
          <cell r="N34"/>
          <cell r="O34"/>
          <cell r="P34"/>
          <cell r="Q34"/>
          <cell r="R34"/>
          <cell r="S34">
            <v>0.12</v>
          </cell>
          <cell r="T34">
            <v>1.8</v>
          </cell>
          <cell r="U34"/>
          <cell r="V34"/>
          <cell r="W34"/>
          <cell r="X34"/>
          <cell r="Y34"/>
          <cell r="Z34"/>
          <cell r="AA34"/>
          <cell r="AB34"/>
          <cell r="AC34"/>
          <cell r="AD34"/>
          <cell r="AE34"/>
          <cell r="AF34">
            <v>9.6538519999999988</v>
          </cell>
          <cell r="AG34"/>
          <cell r="AH34"/>
          <cell r="AI34" t="str">
            <v>Co</v>
          </cell>
          <cell r="AJ34" t="str">
            <v>-9.5Al</v>
          </cell>
          <cell r="AK34" t="str">
            <v>-9.7W</v>
          </cell>
          <cell r="AL34" t="str">
            <v/>
          </cell>
          <cell r="AM34" t="str">
            <v/>
          </cell>
          <cell r="AN34" t="str">
            <v>-1.3Ta</v>
          </cell>
          <cell r="AO34" t="str">
            <v/>
          </cell>
          <cell r="AP34" t="str">
            <v/>
          </cell>
          <cell r="AQ34" t="str">
            <v/>
          </cell>
          <cell r="AR34" t="str">
            <v/>
          </cell>
          <cell r="AS34" t="str">
            <v/>
          </cell>
          <cell r="AT34" t="str">
            <v/>
          </cell>
          <cell r="AU34" t="str">
            <v>-0.12B</v>
          </cell>
          <cell r="AV34" t="str">
            <v>-1.8Ir</v>
          </cell>
          <cell r="AW34" t="str">
            <v/>
          </cell>
          <cell r="AX34" t="str">
            <v/>
          </cell>
          <cell r="AY34" t="str">
            <v/>
          </cell>
          <cell r="AZ34" t="str">
            <v/>
          </cell>
          <cell r="BA34" t="str">
            <v/>
          </cell>
          <cell r="BB34" t="str">
            <v/>
          </cell>
          <cell r="BC34" t="str">
            <v/>
          </cell>
          <cell r="BD34" t="str">
            <v/>
          </cell>
          <cell r="BE34" t="str">
            <v/>
          </cell>
          <cell r="BF34" t="str">
            <v/>
          </cell>
          <cell r="BG34" t="str">
            <v/>
          </cell>
          <cell r="BH34" t="str">
            <v>2Ta2Ir-BBauer, A., Neumeier, S., Pyczak, F., &amp; Göken, M. (2015). Influence of iridium on the properties of γ′-strengthened co-base superalloys. Advanced Engineering Materials, 17(6), 748–754. https://doi.org/10.1002/adem.201400269</v>
          </cell>
          <cell r="BI34" t="str">
            <v>Co-9.5Al-9.7W-1.3Ta-1.8Ir-0.12B</v>
          </cell>
          <cell r="BJ34" t="str">
            <v>77.6Co-9.5Al-9.7W-1.3Ta-1.8Ir-0.12B</v>
          </cell>
        </row>
        <row r="35">
          <cell r="A35" t="str">
            <v>Co-8.9Al-9.3W-2.Ta-0.12B</v>
          </cell>
          <cell r="B35" t="str">
            <v>CoAlW-X</v>
          </cell>
          <cell r="C35" t="str">
            <v>-9Al-9W-2Ta-B</v>
          </cell>
          <cell r="D35" t="str">
            <v>2Ta-B</v>
          </cell>
          <cell r="E35" t="str">
            <v>Bauer, A., Neumeier, S., Pyczak, F., &amp; Göken, M. (2015). Influence of iridium on the properties of γ′-strengthened co-base superalloys. Advanced Engineering Materials, 17(6), 748–754. https://doi.org/10.1002/adem.201400270</v>
          </cell>
          <cell r="F35">
            <v>39</v>
          </cell>
          <cell r="G35">
            <v>79.679999999999993</v>
          </cell>
          <cell r="H35"/>
          <cell r="I35">
            <v>8.9</v>
          </cell>
          <cell r="J35"/>
          <cell r="K35">
            <v>9.3000000000000007</v>
          </cell>
          <cell r="L35"/>
          <cell r="M35">
            <v>2</v>
          </cell>
          <cell r="N35"/>
          <cell r="O35"/>
          <cell r="P35"/>
          <cell r="Q35"/>
          <cell r="R35"/>
          <cell r="S35">
            <v>0.12</v>
          </cell>
          <cell r="T35"/>
          <cell r="U35"/>
          <cell r="V35"/>
          <cell r="W35"/>
          <cell r="X35"/>
          <cell r="Y35"/>
          <cell r="Z35"/>
          <cell r="AA35"/>
          <cell r="AB35"/>
          <cell r="AC35"/>
          <cell r="AD35"/>
          <cell r="AE35"/>
          <cell r="AF35">
            <v>9.4580219999999979</v>
          </cell>
          <cell r="AG35"/>
          <cell r="AH35"/>
          <cell r="AI35" t="str">
            <v>Co</v>
          </cell>
          <cell r="AJ35" t="str">
            <v>-8.9Al</v>
          </cell>
          <cell r="AK35" t="str">
            <v>-9.3W</v>
          </cell>
          <cell r="AL35" t="str">
            <v/>
          </cell>
          <cell r="AM35" t="str">
            <v/>
          </cell>
          <cell r="AN35" t="str">
            <v>-2.Ta</v>
          </cell>
          <cell r="AO35" t="str">
            <v/>
          </cell>
          <cell r="AP35" t="str">
            <v/>
          </cell>
          <cell r="AQ35" t="str">
            <v/>
          </cell>
          <cell r="AR35" t="str">
            <v/>
          </cell>
          <cell r="AS35" t="str">
            <v/>
          </cell>
          <cell r="AT35" t="str">
            <v/>
          </cell>
          <cell r="AU35" t="str">
            <v>-0.12B</v>
          </cell>
          <cell r="AV35" t="str">
            <v/>
          </cell>
          <cell r="AW35" t="str">
            <v/>
          </cell>
          <cell r="AX35" t="str">
            <v/>
          </cell>
          <cell r="AY35" t="str">
            <v/>
          </cell>
          <cell r="AZ35" t="str">
            <v/>
          </cell>
          <cell r="BA35" t="str">
            <v/>
          </cell>
          <cell r="BB35" t="str">
            <v/>
          </cell>
          <cell r="BC35" t="str">
            <v/>
          </cell>
          <cell r="BD35" t="str">
            <v/>
          </cell>
          <cell r="BE35" t="str">
            <v/>
          </cell>
          <cell r="BF35" t="str">
            <v/>
          </cell>
          <cell r="BG35" t="str">
            <v/>
          </cell>
          <cell r="BH35" t="str">
            <v>2Ta-BBauer, A., Neumeier, S., Pyczak, F., &amp; Göken, M. (2015). Influence of iridium on the properties of γ′-strengthened co-base superalloys. Advanced Engineering Materials, 17(6), 748–754. https://doi.org/10.1002/adem.201400270</v>
          </cell>
          <cell r="BI35" t="str">
            <v>Co-8.9Al-9.3W-2.Ta-0.12B</v>
          </cell>
          <cell r="BJ35" t="str">
            <v>79.7Co-8.9Al-9.3W-2.0Ta-0.12B</v>
          </cell>
        </row>
        <row r="36">
          <cell r="A36" t="str">
            <v>Co-8.5Al-9.6W</v>
          </cell>
          <cell r="B36" t="str">
            <v>CoAlW-X</v>
          </cell>
          <cell r="C36" t="str">
            <v>-9Al-10W</v>
          </cell>
          <cell r="D36" t="str">
            <v>9W(SX)</v>
          </cell>
          <cell r="E36" t="str">
            <v>Bauer, A., Neumeier, S., Pyczak, F., Singer, R. F., &amp; Göken, M. (2012). Creep properties of different γ’-strengthened Co-base superalloys. Materials Science and Engineering A, 550, 333–341. https://doi.org/10.1016/j.msea.2012.04.084</v>
          </cell>
          <cell r="F36">
            <v>41</v>
          </cell>
          <cell r="G36">
            <v>81.900000000000006</v>
          </cell>
          <cell r="H36"/>
          <cell r="I36">
            <v>8.5</v>
          </cell>
          <cell r="J36"/>
          <cell r="K36">
            <v>9.6</v>
          </cell>
          <cell r="L36"/>
          <cell r="M36"/>
          <cell r="N36"/>
          <cell r="O36"/>
          <cell r="P36"/>
          <cell r="Q36"/>
          <cell r="R36"/>
          <cell r="S36"/>
          <cell r="T36"/>
          <cell r="U36"/>
          <cell r="V36"/>
          <cell r="W36"/>
          <cell r="X36"/>
          <cell r="Y36"/>
          <cell r="Z36"/>
          <cell r="AA36"/>
          <cell r="AB36"/>
          <cell r="AC36"/>
          <cell r="AD36"/>
          <cell r="AE36"/>
          <cell r="AF36">
            <v>9.3666</v>
          </cell>
          <cell r="AG36"/>
          <cell r="AH36"/>
          <cell r="AI36" t="str">
            <v>Co</v>
          </cell>
          <cell r="AJ36" t="str">
            <v>-8.5Al</v>
          </cell>
          <cell r="AK36" t="str">
            <v>-9.6W</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cell r="BD36" t="str">
            <v/>
          </cell>
          <cell r="BE36" t="str">
            <v/>
          </cell>
          <cell r="BF36" t="str">
            <v/>
          </cell>
          <cell r="BG36" t="str">
            <v/>
          </cell>
          <cell r="BH36" t="str">
            <v>9W(SX)Bauer, A., Neumeier, S., Pyczak, F., Singer, R. F., &amp; Göken, M. (2012). Creep properties of different γ’-strengthened Co-base superalloys. Materials Science and Engineering A, 550, 333–341. https://doi.org/10.1016/j.msea.2012.04.084</v>
          </cell>
          <cell r="BI36" t="str">
            <v>Co-8.5Al-9.6W</v>
          </cell>
          <cell r="BJ36" t="str">
            <v>81.9Co-8.5Al-9.6W</v>
          </cell>
        </row>
        <row r="37">
          <cell r="A37" t="str">
            <v>Co-8.4Al-9.7W-0.04B</v>
          </cell>
          <cell r="B37" t="str">
            <v>CoAlW-X</v>
          </cell>
          <cell r="C37" t="str">
            <v>-8Al-10W-B</v>
          </cell>
          <cell r="D37" t="str">
            <v>9W-0.04B</v>
          </cell>
          <cell r="E37" t="str">
            <v>Bauer, A., Neumeier, S., Pyczak, F., Singer, R. F., &amp; Göken, M. (2012). Creep properties of different γ’-strengthened Co-base superalloys. Materials Science and Engineering A, 550, 333–341. https://doi.org/10.1016/j.msea.2012.04.085</v>
          </cell>
          <cell r="F37">
            <v>42</v>
          </cell>
          <cell r="G37">
            <v>81.86</v>
          </cell>
          <cell r="H37"/>
          <cell r="I37">
            <v>8.4</v>
          </cell>
          <cell r="J37"/>
          <cell r="K37">
            <v>9.6999999999999993</v>
          </cell>
          <cell r="L37"/>
          <cell r="M37"/>
          <cell r="N37"/>
          <cell r="O37"/>
          <cell r="P37"/>
          <cell r="Q37"/>
          <cell r="R37"/>
          <cell r="S37">
            <v>0.04</v>
          </cell>
          <cell r="T37"/>
          <cell r="U37"/>
          <cell r="V37"/>
          <cell r="W37"/>
          <cell r="X37"/>
          <cell r="Y37"/>
          <cell r="Z37"/>
          <cell r="AA37"/>
          <cell r="AB37"/>
          <cell r="AC37"/>
          <cell r="AD37"/>
          <cell r="AE37"/>
          <cell r="AF37">
            <v>9.3805739999999993</v>
          </cell>
          <cell r="AG37"/>
          <cell r="AH37" t="str">
            <v>B not measured</v>
          </cell>
          <cell r="AI37" t="str">
            <v>Co</v>
          </cell>
          <cell r="AJ37" t="str">
            <v>-8.4Al</v>
          </cell>
          <cell r="AK37" t="str">
            <v>-9.7W</v>
          </cell>
          <cell r="AL37" t="str">
            <v/>
          </cell>
          <cell r="AM37" t="str">
            <v/>
          </cell>
          <cell r="AN37" t="str">
            <v/>
          </cell>
          <cell r="AO37" t="str">
            <v/>
          </cell>
          <cell r="AP37" t="str">
            <v/>
          </cell>
          <cell r="AQ37" t="str">
            <v/>
          </cell>
          <cell r="AR37" t="str">
            <v/>
          </cell>
          <cell r="AS37" t="str">
            <v/>
          </cell>
          <cell r="AT37" t="str">
            <v/>
          </cell>
          <cell r="AU37" t="str">
            <v>-0.04B</v>
          </cell>
          <cell r="AV37" t="str">
            <v/>
          </cell>
          <cell r="AW37" t="str">
            <v/>
          </cell>
          <cell r="AX37" t="str">
            <v/>
          </cell>
          <cell r="AY37" t="str">
            <v/>
          </cell>
          <cell r="AZ37" t="str">
            <v/>
          </cell>
          <cell r="BA37" t="str">
            <v/>
          </cell>
          <cell r="BB37" t="str">
            <v/>
          </cell>
          <cell r="BC37" t="str">
            <v/>
          </cell>
          <cell r="BD37" t="str">
            <v/>
          </cell>
          <cell r="BE37" t="str">
            <v/>
          </cell>
          <cell r="BF37" t="str">
            <v/>
          </cell>
          <cell r="BG37" t="str">
            <v/>
          </cell>
          <cell r="BH37" t="str">
            <v>9W-0.04BBauer, A., Neumeier, S., Pyczak, F., Singer, R. F., &amp; Göken, M. (2012). Creep properties of different γ’-strengthened Co-base superalloys. Materials Science and Engineering A, 550, 333–341. https://doi.org/10.1016/j.msea.2012.04.085</v>
          </cell>
          <cell r="BI37" t="str">
            <v>Co-8.4Al-9.7W-0.04B</v>
          </cell>
          <cell r="BJ37" t="str">
            <v>81.9Co-8.4Al-9.7W-0.04B</v>
          </cell>
        </row>
        <row r="38">
          <cell r="A38" t="str">
            <v>Co-8.9Al-9.5W-0.08B</v>
          </cell>
          <cell r="B38" t="str">
            <v>CoAlW-X</v>
          </cell>
          <cell r="C38" t="str">
            <v>-9Al-10W-B</v>
          </cell>
          <cell r="D38" t="str">
            <v>9W-0.08B</v>
          </cell>
          <cell r="E38" t="str">
            <v>Bauer, A., Neumeier, S., Pyczak, F., Singer, R. F., &amp; Göken, M. (2012). Creep properties of different γ’-strengthened Co-base superalloys. Materials Science and Engineering A, 550, 333–341. https://doi.org/10.1016/j.msea.2012.04.086</v>
          </cell>
          <cell r="F38">
            <v>43</v>
          </cell>
          <cell r="G38">
            <v>81.52000000000001</v>
          </cell>
          <cell r="H38"/>
          <cell r="I38">
            <v>8.9</v>
          </cell>
          <cell r="J38"/>
          <cell r="K38">
            <v>9.5</v>
          </cell>
          <cell r="L38"/>
          <cell r="M38"/>
          <cell r="N38"/>
          <cell r="O38"/>
          <cell r="P38"/>
          <cell r="Q38"/>
          <cell r="R38"/>
          <cell r="S38">
            <v>0.08</v>
          </cell>
          <cell r="T38"/>
          <cell r="U38"/>
          <cell r="V38"/>
          <cell r="W38"/>
          <cell r="X38"/>
          <cell r="Y38"/>
          <cell r="Z38"/>
          <cell r="AA38"/>
          <cell r="AB38"/>
          <cell r="AC38"/>
          <cell r="AD38"/>
          <cell r="AE38"/>
          <cell r="AF38">
            <v>9.3262980000000013</v>
          </cell>
          <cell r="AG38"/>
          <cell r="AH38" t="str">
            <v>B not measured</v>
          </cell>
          <cell r="AI38" t="str">
            <v>Co</v>
          </cell>
          <cell r="AJ38" t="str">
            <v>-8.9Al</v>
          </cell>
          <cell r="AK38" t="str">
            <v>-9.5W</v>
          </cell>
          <cell r="AL38" t="str">
            <v/>
          </cell>
          <cell r="AM38" t="str">
            <v/>
          </cell>
          <cell r="AN38" t="str">
            <v/>
          </cell>
          <cell r="AO38" t="str">
            <v/>
          </cell>
          <cell r="AP38" t="str">
            <v/>
          </cell>
          <cell r="AQ38" t="str">
            <v/>
          </cell>
          <cell r="AR38" t="str">
            <v/>
          </cell>
          <cell r="AS38" t="str">
            <v/>
          </cell>
          <cell r="AT38" t="str">
            <v/>
          </cell>
          <cell r="AU38" t="str">
            <v>-0.08B</v>
          </cell>
          <cell r="AV38" t="str">
            <v/>
          </cell>
          <cell r="AW38" t="str">
            <v/>
          </cell>
          <cell r="AX38" t="str">
            <v/>
          </cell>
          <cell r="AY38" t="str">
            <v/>
          </cell>
          <cell r="AZ38" t="str">
            <v/>
          </cell>
          <cell r="BA38" t="str">
            <v/>
          </cell>
          <cell r="BB38" t="str">
            <v/>
          </cell>
          <cell r="BC38" t="str">
            <v/>
          </cell>
          <cell r="BD38" t="str">
            <v/>
          </cell>
          <cell r="BE38" t="str">
            <v/>
          </cell>
          <cell r="BF38" t="str">
            <v/>
          </cell>
          <cell r="BG38" t="str">
            <v/>
          </cell>
          <cell r="BH38" t="str">
            <v>9W-0.08BBauer, A., Neumeier, S., Pyczak, F., Singer, R. F., &amp; Göken, M. (2012). Creep properties of different γ’-strengthened Co-base superalloys. Materials Science and Engineering A, 550, 333–341. https://doi.org/10.1016/j.msea.2012.04.086</v>
          </cell>
          <cell r="BI38" t="str">
            <v>Co-8.9Al-9.5W-0.08B</v>
          </cell>
          <cell r="BJ38" t="str">
            <v>81.5Co-8.9Al-9.5W-0.08B</v>
          </cell>
        </row>
        <row r="39">
          <cell r="A39" t="str">
            <v>Co-8.3Al-9.4W-0.12B</v>
          </cell>
          <cell r="B39" t="str">
            <v>CoAlW-X</v>
          </cell>
          <cell r="C39" t="str">
            <v>-8Al-9W-B</v>
          </cell>
          <cell r="D39" t="str">
            <v>9W-0.12B</v>
          </cell>
          <cell r="E39" t="str">
            <v>Bauer, A., Neumeier, S., Pyczak, F., Singer, R. F., &amp; Göken, M. (2012). Creep properties of different γ’-strengthened Co-base superalloys. Materials Science and Engineering A, 550, 333–341. https://doi.org/10.1016/j.msea.2012.04.087</v>
          </cell>
          <cell r="F39">
            <v>44</v>
          </cell>
          <cell r="G39">
            <v>82.179999999999993</v>
          </cell>
          <cell r="H39"/>
          <cell r="I39">
            <v>8.3000000000000007</v>
          </cell>
          <cell r="J39"/>
          <cell r="K39">
            <v>9.4</v>
          </cell>
          <cell r="L39"/>
          <cell r="M39"/>
          <cell r="N39"/>
          <cell r="O39"/>
          <cell r="P39"/>
          <cell r="Q39"/>
          <cell r="R39"/>
          <cell r="S39">
            <v>0.12</v>
          </cell>
          <cell r="T39"/>
          <cell r="U39"/>
          <cell r="V39"/>
          <cell r="W39"/>
          <cell r="X39"/>
          <cell r="Y39"/>
          <cell r="Z39"/>
          <cell r="AA39"/>
          <cell r="AB39"/>
          <cell r="AC39"/>
          <cell r="AD39"/>
          <cell r="AE39"/>
          <cell r="AF39">
            <v>9.3505719999999997</v>
          </cell>
          <cell r="AG39"/>
          <cell r="AH39" t="str">
            <v>B not measured</v>
          </cell>
          <cell r="AI39" t="str">
            <v>Co</v>
          </cell>
          <cell r="AJ39" t="str">
            <v>-8.3Al</v>
          </cell>
          <cell r="AK39" t="str">
            <v>-9.4W</v>
          </cell>
          <cell r="AL39" t="str">
            <v/>
          </cell>
          <cell r="AM39" t="str">
            <v/>
          </cell>
          <cell r="AN39" t="str">
            <v/>
          </cell>
          <cell r="AO39" t="str">
            <v/>
          </cell>
          <cell r="AP39" t="str">
            <v/>
          </cell>
          <cell r="AQ39" t="str">
            <v/>
          </cell>
          <cell r="AR39" t="str">
            <v/>
          </cell>
          <cell r="AS39" t="str">
            <v/>
          </cell>
          <cell r="AT39" t="str">
            <v/>
          </cell>
          <cell r="AU39" t="str">
            <v>-0.12B</v>
          </cell>
          <cell r="AV39" t="str">
            <v/>
          </cell>
          <cell r="AW39" t="str">
            <v/>
          </cell>
          <cell r="AX39" t="str">
            <v/>
          </cell>
          <cell r="AY39" t="str">
            <v/>
          </cell>
          <cell r="AZ39" t="str">
            <v/>
          </cell>
          <cell r="BA39" t="str">
            <v/>
          </cell>
          <cell r="BB39" t="str">
            <v/>
          </cell>
          <cell r="BC39" t="str">
            <v/>
          </cell>
          <cell r="BD39" t="str">
            <v/>
          </cell>
          <cell r="BE39" t="str">
            <v/>
          </cell>
          <cell r="BF39" t="str">
            <v/>
          </cell>
          <cell r="BG39" t="str">
            <v/>
          </cell>
          <cell r="BH39" t="str">
            <v>9W-0.12BBauer, A., Neumeier, S., Pyczak, F., Singer, R. F., &amp; Göken, M. (2012). Creep properties of different γ’-strengthened Co-base superalloys. Materials Science and Engineering A, 550, 333–341. https://doi.org/10.1016/j.msea.2012.04.087</v>
          </cell>
          <cell r="BI39" t="str">
            <v>Co-8.3Al-9.4W-0.12B</v>
          </cell>
          <cell r="BJ39" t="str">
            <v>82.2Co-8.3Al-9.4W-0.12B</v>
          </cell>
        </row>
        <row r="40">
          <cell r="A40" t="str">
            <v>Co-8.9Al-8.5W-2.2Ta-0.08B</v>
          </cell>
          <cell r="B40" t="str">
            <v>CoAlWX+</v>
          </cell>
          <cell r="C40" t="str">
            <v>-9Al-9W-2Ta-B</v>
          </cell>
          <cell r="D40" t="str">
            <v>8W-2Ta-0.08B</v>
          </cell>
          <cell r="E40" t="str">
            <v>Bauer, A., Neumeier, S., Pyczak, F., Singer, R. F., &amp; Göken, M. (2012). Creep properties of different γ’-strengthened Co-base superalloys. Materials Science and Engineering A, 550, 333–341. https://doi.org/10.1016/j.msea.2012.04.088</v>
          </cell>
          <cell r="F40">
            <v>45</v>
          </cell>
          <cell r="G40">
            <v>80.320000000000007</v>
          </cell>
          <cell r="H40"/>
          <cell r="I40">
            <v>8.9</v>
          </cell>
          <cell r="J40"/>
          <cell r="K40">
            <v>8.5</v>
          </cell>
          <cell r="L40"/>
          <cell r="M40">
            <v>2.2000000000000002</v>
          </cell>
          <cell r="N40"/>
          <cell r="O40"/>
          <cell r="P40"/>
          <cell r="Q40"/>
          <cell r="R40"/>
          <cell r="S40">
            <v>0.08</v>
          </cell>
          <cell r="T40"/>
          <cell r="U40"/>
          <cell r="V40"/>
          <cell r="W40"/>
          <cell r="X40"/>
          <cell r="Y40"/>
          <cell r="Z40"/>
          <cell r="AA40"/>
          <cell r="AB40"/>
          <cell r="AC40"/>
          <cell r="AD40"/>
          <cell r="AE40"/>
          <cell r="AF40">
            <v>9.3932980000000015</v>
          </cell>
          <cell r="AG40"/>
          <cell r="AH40"/>
          <cell r="AI40" t="str">
            <v>Co</v>
          </cell>
          <cell r="AJ40" t="str">
            <v>-8.9Al</v>
          </cell>
          <cell r="AK40" t="str">
            <v>-8.5W</v>
          </cell>
          <cell r="AL40" t="str">
            <v/>
          </cell>
          <cell r="AM40" t="str">
            <v/>
          </cell>
          <cell r="AN40" t="str">
            <v>-2.2Ta</v>
          </cell>
          <cell r="AO40" t="str">
            <v/>
          </cell>
          <cell r="AP40" t="str">
            <v/>
          </cell>
          <cell r="AQ40" t="str">
            <v/>
          </cell>
          <cell r="AR40" t="str">
            <v/>
          </cell>
          <cell r="AS40" t="str">
            <v/>
          </cell>
          <cell r="AT40" t="str">
            <v/>
          </cell>
          <cell r="AU40" t="str">
            <v>-0.08B</v>
          </cell>
          <cell r="AV40" t="str">
            <v/>
          </cell>
          <cell r="AW40" t="str">
            <v/>
          </cell>
          <cell r="AX40" t="str">
            <v/>
          </cell>
          <cell r="AY40" t="str">
            <v/>
          </cell>
          <cell r="AZ40" t="str">
            <v/>
          </cell>
          <cell r="BA40" t="str">
            <v/>
          </cell>
          <cell r="BB40" t="str">
            <v/>
          </cell>
          <cell r="BC40" t="str">
            <v/>
          </cell>
          <cell r="BD40" t="str">
            <v/>
          </cell>
          <cell r="BE40" t="str">
            <v/>
          </cell>
          <cell r="BF40" t="str">
            <v/>
          </cell>
          <cell r="BG40" t="str">
            <v/>
          </cell>
          <cell r="BH40" t="str">
            <v>8W-2Ta-0.08BBauer, A., Neumeier, S., Pyczak, F., Singer, R. F., &amp; Göken, M. (2012). Creep properties of different γ’-strengthened Co-base superalloys. Materials Science and Engineering A, 550, 333–341. https://doi.org/10.1016/j.msea.2012.04.088</v>
          </cell>
          <cell r="BI40" t="str">
            <v>Co-8.9Al-8.5W-2.2Ta-0.08B</v>
          </cell>
          <cell r="BJ40" t="str">
            <v>80.3Co-8.9Al-8.5W-2.2Ta-0.08B</v>
          </cell>
        </row>
        <row r="41">
          <cell r="A41" t="str">
            <v>Co-8.Al-6.7W-1.4Ta-1.4Nb</v>
          </cell>
          <cell r="B41" t="str">
            <v>CoAlWX+</v>
          </cell>
          <cell r="C41" t="str">
            <v>-8Al-7W-1Ta-1Nb</v>
          </cell>
          <cell r="D41" t="str">
            <v>8W-2Ta-2Nb</v>
          </cell>
          <cell r="E41" t="str">
            <v>Bauer, A., Neumeier, S., Pyczak, F., Singer, R. F., &amp; Göken, M. (2012). Creep properties of different γ’-strengthened Co-base superalloys. Materials Science and Engineering A, 550, 333–341. https://doi.org/10.1016/j.msea.2012.04.090</v>
          </cell>
          <cell r="F41">
            <v>47</v>
          </cell>
          <cell r="G41">
            <v>82.5</v>
          </cell>
          <cell r="H41"/>
          <cell r="I41">
            <v>8</v>
          </cell>
          <cell r="J41"/>
          <cell r="K41">
            <v>6.7</v>
          </cell>
          <cell r="L41"/>
          <cell r="M41">
            <v>1.4</v>
          </cell>
          <cell r="N41">
            <v>1.4</v>
          </cell>
          <cell r="O41"/>
          <cell r="P41"/>
          <cell r="Q41"/>
          <cell r="R41"/>
          <cell r="S41"/>
          <cell r="T41"/>
          <cell r="U41"/>
          <cell r="V41"/>
          <cell r="W41"/>
          <cell r="X41"/>
          <cell r="Y41"/>
          <cell r="Z41"/>
          <cell r="AA41"/>
          <cell r="AB41"/>
          <cell r="AC41"/>
          <cell r="AD41"/>
          <cell r="AE41"/>
          <cell r="AF41">
            <v>9.2013300000000005</v>
          </cell>
          <cell r="AG41"/>
          <cell r="AH41"/>
          <cell r="AI41" t="str">
            <v>Co</v>
          </cell>
          <cell r="AJ41" t="str">
            <v>-8.Al</v>
          </cell>
          <cell r="AK41" t="str">
            <v>-6.7W</v>
          </cell>
          <cell r="AL41" t="str">
            <v/>
          </cell>
          <cell r="AM41" t="str">
            <v/>
          </cell>
          <cell r="AN41" t="str">
            <v>-1.4Ta</v>
          </cell>
          <cell r="AO41" t="str">
            <v>-1.4Nb</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cell r="BD41" t="str">
            <v/>
          </cell>
          <cell r="BE41" t="str">
            <v/>
          </cell>
          <cell r="BF41" t="str">
            <v/>
          </cell>
          <cell r="BG41" t="str">
            <v/>
          </cell>
          <cell r="BH41" t="str">
            <v>8W-2Ta-2NbBauer, A., Neumeier, S., Pyczak, F., Singer, R. F., &amp; Göken, M. (2012). Creep properties of different γ’-strengthened Co-base superalloys. Materials Science and Engineering A, 550, 333–341. https://doi.org/10.1016/j.msea.2012.04.090</v>
          </cell>
          <cell r="BI41" t="str">
            <v>Co-8.Al-6.7W-1.4Ta-1.4Nb</v>
          </cell>
          <cell r="BJ41" t="str">
            <v>82.5Co-8.0Al-6.7W-1.4Ta-1.4Nb</v>
          </cell>
        </row>
        <row r="42">
          <cell r="A42" t="str">
            <v>Co-8.2Al-9.4W-0.4Nb</v>
          </cell>
          <cell r="B42" t="str">
            <v>CoAlW-X</v>
          </cell>
          <cell r="C42" t="str">
            <v>-8Al-9W-0Nb</v>
          </cell>
          <cell r="D42" t="str">
            <v>9W-0.5Nb</v>
          </cell>
          <cell r="E42" t="str">
            <v>Bauer, A., Neumeier, S., Pyczak, F., Singer, R. F., &amp; Göken, M. (2012). Creep properties of different γ’-strengthened Co-base superalloys. Materials Science and Engineering A, 550, 333–341. https://doi.org/10.1016/j.msea.2012.04.091</v>
          </cell>
          <cell r="F42">
            <v>48</v>
          </cell>
          <cell r="G42">
            <v>82</v>
          </cell>
          <cell r="H42"/>
          <cell r="I42">
            <v>8.1999999999999993</v>
          </cell>
          <cell r="J42"/>
          <cell r="K42">
            <v>9.4</v>
          </cell>
          <cell r="L42"/>
          <cell r="M42"/>
          <cell r="N42">
            <v>0.4</v>
          </cell>
          <cell r="O42"/>
          <cell r="P42"/>
          <cell r="Q42"/>
          <cell r="R42"/>
          <cell r="S42"/>
          <cell r="T42"/>
          <cell r="U42"/>
          <cell r="V42"/>
          <cell r="W42"/>
          <cell r="X42"/>
          <cell r="Y42"/>
          <cell r="Z42"/>
          <cell r="AA42"/>
          <cell r="AB42"/>
          <cell r="AC42"/>
          <cell r="AD42"/>
          <cell r="AE42"/>
          <cell r="AF42">
            <v>9.3631800000000016</v>
          </cell>
          <cell r="AG42"/>
          <cell r="AH42"/>
          <cell r="AI42" t="str">
            <v>Co</v>
          </cell>
          <cell r="AJ42" t="str">
            <v>-8.2Al</v>
          </cell>
          <cell r="AK42" t="str">
            <v>-9.4W</v>
          </cell>
          <cell r="AL42" t="str">
            <v/>
          </cell>
          <cell r="AM42" t="str">
            <v/>
          </cell>
          <cell r="AN42" t="str">
            <v/>
          </cell>
          <cell r="AO42" t="str">
            <v>-0.4Nb</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cell r="BD42" t="str">
            <v/>
          </cell>
          <cell r="BE42" t="str">
            <v/>
          </cell>
          <cell r="BF42" t="str">
            <v/>
          </cell>
          <cell r="BG42" t="str">
            <v/>
          </cell>
          <cell r="BH42" t="str">
            <v>9W-0.5NbBauer, A., Neumeier, S., Pyczak, F., Singer, R. F., &amp; Göken, M. (2012). Creep properties of different γ’-strengthened Co-base superalloys. Materials Science and Engineering A, 550, 333–341. https://doi.org/10.1016/j.msea.2012.04.091</v>
          </cell>
          <cell r="BI42" t="str">
            <v>Co-8.2Al-9.4W-0.4Nb</v>
          </cell>
          <cell r="BJ42" t="str">
            <v>82.0Co-8.2Al-9.4W-0.4Nb</v>
          </cell>
        </row>
        <row r="43">
          <cell r="A43" t="str">
            <v>Co-8.2Al-9.4W-1.1Mo-0.04B</v>
          </cell>
          <cell r="B43" t="str">
            <v>CoAlW-X</v>
          </cell>
          <cell r="C43" t="str">
            <v>-8Al-9W-1Mo-B</v>
          </cell>
          <cell r="D43" t="str">
            <v>9W-1Mo-0.04B</v>
          </cell>
          <cell r="E43" t="str">
            <v>Bauer, A., Neumeier, S., Pyczak, F., Singer, R. F., &amp; Göken, M. (2012). Creep properties of different γ’-strengthened Co-base superalloys. Materials Science and Engineering A, 550, 333–341. https://doi.org/10.1016/j.msea.2012.04.093</v>
          </cell>
          <cell r="F43">
            <v>50</v>
          </cell>
          <cell r="G43">
            <v>81.259999999999991</v>
          </cell>
          <cell r="H43"/>
          <cell r="I43">
            <v>8.1999999999999993</v>
          </cell>
          <cell r="J43"/>
          <cell r="K43">
            <v>9.4</v>
          </cell>
          <cell r="L43"/>
          <cell r="M43"/>
          <cell r="N43"/>
          <cell r="O43"/>
          <cell r="P43">
            <v>1.1000000000000001</v>
          </cell>
          <cell r="Q43"/>
          <cell r="R43"/>
          <cell r="S43">
            <v>0.04</v>
          </cell>
          <cell r="T43"/>
          <cell r="U43"/>
          <cell r="V43"/>
          <cell r="W43"/>
          <cell r="X43"/>
          <cell r="Y43"/>
          <cell r="Z43"/>
          <cell r="AA43"/>
          <cell r="AB43"/>
          <cell r="AC43"/>
          <cell r="AD43"/>
          <cell r="AE43"/>
          <cell r="AF43">
            <v>9.3771039999999992</v>
          </cell>
          <cell r="AG43"/>
          <cell r="AH43"/>
          <cell r="AI43" t="str">
            <v>Co</v>
          </cell>
          <cell r="AJ43" t="str">
            <v>-8.2Al</v>
          </cell>
          <cell r="AK43" t="str">
            <v>-9.4W</v>
          </cell>
          <cell r="AL43" t="str">
            <v/>
          </cell>
          <cell r="AM43" t="str">
            <v/>
          </cell>
          <cell r="AN43" t="str">
            <v/>
          </cell>
          <cell r="AO43" t="str">
            <v/>
          </cell>
          <cell r="AP43" t="str">
            <v/>
          </cell>
          <cell r="AQ43" t="str">
            <v/>
          </cell>
          <cell r="AR43" t="str">
            <v>-1.1Mo</v>
          </cell>
          <cell r="AS43" t="str">
            <v/>
          </cell>
          <cell r="AT43" t="str">
            <v/>
          </cell>
          <cell r="AU43" t="str">
            <v>-0.04B</v>
          </cell>
          <cell r="AV43" t="str">
            <v/>
          </cell>
          <cell r="AW43" t="str">
            <v/>
          </cell>
          <cell r="AX43" t="str">
            <v/>
          </cell>
          <cell r="AY43" t="str">
            <v/>
          </cell>
          <cell r="AZ43" t="str">
            <v/>
          </cell>
          <cell r="BA43" t="str">
            <v/>
          </cell>
          <cell r="BB43" t="str">
            <v/>
          </cell>
          <cell r="BC43" t="str">
            <v/>
          </cell>
          <cell r="BD43" t="str">
            <v/>
          </cell>
          <cell r="BE43" t="str">
            <v/>
          </cell>
          <cell r="BF43" t="str">
            <v/>
          </cell>
          <cell r="BG43" t="str">
            <v/>
          </cell>
          <cell r="BH43" t="str">
            <v>9W-1Mo-0.04BBauer, A., Neumeier, S., Pyczak, F., Singer, R. F., &amp; Göken, M. (2012). Creep properties of different γ’-strengthened Co-base superalloys. Materials Science and Engineering A, 550, 333–341. https://doi.org/10.1016/j.msea.2012.04.093</v>
          </cell>
          <cell r="BI43" t="str">
            <v>Co-8.2Al-9.4W-1.1Mo-0.04B</v>
          </cell>
          <cell r="BJ43" t="str">
            <v>81.3Co-8.2Al-9.4W-1.1Mo-0.04B</v>
          </cell>
        </row>
        <row r="44">
          <cell r="A44" t="str">
            <v>Co-8.2Al-9.6W-1.5Ta-1.8Mo</v>
          </cell>
          <cell r="B44" t="str">
            <v>CoAlWX+</v>
          </cell>
          <cell r="C44" t="str">
            <v>-8Al-10W-2Ta-2Mo</v>
          </cell>
          <cell r="D44" t="str">
            <v>8W-2Ta-2Mo</v>
          </cell>
          <cell r="E44" t="str">
            <v>Bauer, A., Neumeier, S., Pyczak, F., Singer, R. F., &amp; Göken, M. (2012). Creep properties of different γ’-strengthened Co-base superalloys. Materials Science and Engineering A, 550, 333–341. https://doi.org/10.1016/j.msea.2012.04.094</v>
          </cell>
          <cell r="F44">
            <v>51</v>
          </cell>
          <cell r="G44">
            <v>78.900000000000006</v>
          </cell>
          <cell r="H44"/>
          <cell r="I44">
            <v>8.1999999999999993</v>
          </cell>
          <cell r="J44"/>
          <cell r="K44">
            <v>9.6</v>
          </cell>
          <cell r="L44"/>
          <cell r="M44">
            <v>1.5</v>
          </cell>
          <cell r="N44"/>
          <cell r="O44"/>
          <cell r="P44">
            <v>1.8</v>
          </cell>
          <cell r="Q44"/>
          <cell r="R44"/>
          <cell r="S44"/>
          <cell r="T44"/>
          <cell r="U44"/>
          <cell r="V44"/>
          <cell r="W44"/>
          <cell r="X44"/>
          <cell r="Y44"/>
          <cell r="Z44"/>
          <cell r="AA44"/>
          <cell r="AB44"/>
          <cell r="AC44"/>
          <cell r="AD44"/>
          <cell r="AE44"/>
          <cell r="AF44">
            <v>9.5262899999999995</v>
          </cell>
          <cell r="AG44"/>
          <cell r="AH44"/>
          <cell r="AI44" t="str">
            <v>Co</v>
          </cell>
          <cell r="AJ44" t="str">
            <v>-8.2Al</v>
          </cell>
          <cell r="AK44" t="str">
            <v>-9.6W</v>
          </cell>
          <cell r="AL44" t="str">
            <v/>
          </cell>
          <cell r="AM44" t="str">
            <v/>
          </cell>
          <cell r="AN44" t="str">
            <v>-1.5Ta</v>
          </cell>
          <cell r="AO44" t="str">
            <v/>
          </cell>
          <cell r="AP44" t="str">
            <v/>
          </cell>
          <cell r="AQ44" t="str">
            <v/>
          </cell>
          <cell r="AR44" t="str">
            <v>-1.8Mo</v>
          </cell>
          <cell r="AS44" t="str">
            <v/>
          </cell>
          <cell r="AT44" t="str">
            <v/>
          </cell>
          <cell r="AU44" t="str">
            <v/>
          </cell>
          <cell r="AV44" t="str">
            <v/>
          </cell>
          <cell r="AW44" t="str">
            <v/>
          </cell>
          <cell r="AX44" t="str">
            <v/>
          </cell>
          <cell r="AY44" t="str">
            <v/>
          </cell>
          <cell r="AZ44" t="str">
            <v/>
          </cell>
          <cell r="BA44" t="str">
            <v/>
          </cell>
          <cell r="BB44" t="str">
            <v/>
          </cell>
          <cell r="BC44" t="str">
            <v/>
          </cell>
          <cell r="BD44" t="str">
            <v/>
          </cell>
          <cell r="BE44" t="str">
            <v/>
          </cell>
          <cell r="BF44" t="str">
            <v/>
          </cell>
          <cell r="BG44" t="str">
            <v/>
          </cell>
          <cell r="BH44" t="str">
            <v>8W-2Ta-2MoBauer, A., Neumeier, S., Pyczak, F., Singer, R. F., &amp; Göken, M. (2012). Creep properties of different γ’-strengthened Co-base superalloys. Materials Science and Engineering A, 550, 333–341. https://doi.org/10.1016/j.msea.2012.04.094</v>
          </cell>
          <cell r="BI44" t="str">
            <v>Co-8.2Al-9.6W-1.5Ta-1.8Mo</v>
          </cell>
          <cell r="BJ44" t="str">
            <v>78.9Co-8.2Al-9.6W-1.5Ta-1.8Mo</v>
          </cell>
        </row>
        <row r="45">
          <cell r="A45" t="str">
            <v>Co-8.4Al-10.1W-0.5Si</v>
          </cell>
          <cell r="B45" t="str">
            <v>CoAlW-X</v>
          </cell>
          <cell r="C45" t="str">
            <v>-8Al-10W-Si</v>
          </cell>
          <cell r="D45" t="str">
            <v>10W-0.5Si</v>
          </cell>
          <cell r="E45" t="str">
            <v>Bauer, A., Neumeier, S., Pyczak, F., Singer, R. F., &amp; Göken, M. (2012). Creep properties of different γ’-strengthened Co-base superalloys. Materials Science and Engineering A, 550, 333–341. https://doi.org/10.1016/j.msea.2012.04.095</v>
          </cell>
          <cell r="F45">
            <v>52</v>
          </cell>
          <cell r="G45">
            <v>81</v>
          </cell>
          <cell r="H45"/>
          <cell r="I45">
            <v>8.4</v>
          </cell>
          <cell r="J45"/>
          <cell r="K45">
            <v>10.1</v>
          </cell>
          <cell r="L45"/>
          <cell r="M45"/>
          <cell r="N45"/>
          <cell r="O45"/>
          <cell r="P45"/>
          <cell r="Q45"/>
          <cell r="R45"/>
          <cell r="S45"/>
          <cell r="T45"/>
          <cell r="U45"/>
          <cell r="V45">
            <v>0.5</v>
          </cell>
          <cell r="W45"/>
          <cell r="X45"/>
          <cell r="Y45"/>
          <cell r="Z45"/>
          <cell r="AA45"/>
          <cell r="AB45"/>
          <cell r="AC45"/>
          <cell r="AD45"/>
          <cell r="AE45"/>
          <cell r="AF45">
            <v>9.3916999999999984</v>
          </cell>
          <cell r="AG45"/>
          <cell r="AH45" t="str">
            <v>Si below EDS detection limit</v>
          </cell>
          <cell r="AI45" t="str">
            <v>Co</v>
          </cell>
          <cell r="AJ45" t="str">
            <v>-8.4Al</v>
          </cell>
          <cell r="AK45" t="str">
            <v>-10.1W</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-0.5Si</v>
          </cell>
          <cell r="AY45" t="str">
            <v/>
          </cell>
          <cell r="AZ45" t="str">
            <v/>
          </cell>
          <cell r="BA45" t="str">
            <v/>
          </cell>
          <cell r="BB45" t="str">
            <v/>
          </cell>
          <cell r="BC45" t="str">
            <v/>
          </cell>
          <cell r="BD45" t="str">
            <v/>
          </cell>
          <cell r="BE45" t="str">
            <v/>
          </cell>
          <cell r="BF45" t="str">
            <v/>
          </cell>
          <cell r="BG45" t="str">
            <v/>
          </cell>
          <cell r="BH45" t="str">
            <v>10W-0.5SiBauer, A., Neumeier, S., Pyczak, F., Singer, R. F., &amp; Göken, M. (2012). Creep properties of different γ’-strengthened Co-base superalloys. Materials Science and Engineering A, 550, 333–341. https://doi.org/10.1016/j.msea.2012.04.095</v>
          </cell>
          <cell r="BI45" t="str">
            <v>Co-8.4Al-10.1W-0.5Si</v>
          </cell>
          <cell r="BJ45" t="str">
            <v>81.0Co-8.4Al-10.1W-0.5Si</v>
          </cell>
        </row>
        <row r="46">
          <cell r="A46" t="str">
            <v>Co-8.7Al-10.3W-2.Si</v>
          </cell>
          <cell r="B46" t="str">
            <v>CoAlW-X</v>
          </cell>
          <cell r="C46" t="str">
            <v>-9Al-10W-Si</v>
          </cell>
          <cell r="D46" t="str">
            <v>10W-2Si</v>
          </cell>
          <cell r="E46" t="str">
            <v>Bauer, A., Neumeier, S., Pyczak, F., Singer, R. F., &amp; Göken, M. (2012). Creep properties of different γ’-strengthened Co-base superalloys. Materials Science and Engineering A, 550, 333–341. https://doi.org/10.1016/j.msea.2012.04.096</v>
          </cell>
          <cell r="F46">
            <v>53</v>
          </cell>
          <cell r="G46">
            <v>79</v>
          </cell>
          <cell r="H46"/>
          <cell r="I46">
            <v>8.6999999999999993</v>
          </cell>
          <cell r="J46"/>
          <cell r="K46">
            <v>10.3</v>
          </cell>
          <cell r="L46"/>
          <cell r="M46"/>
          <cell r="N46"/>
          <cell r="O46"/>
          <cell r="P46"/>
          <cell r="Q46"/>
          <cell r="R46"/>
          <cell r="S46"/>
          <cell r="T46"/>
          <cell r="U46"/>
          <cell r="V46">
            <v>2</v>
          </cell>
          <cell r="W46"/>
          <cell r="X46"/>
          <cell r="Y46"/>
          <cell r="Z46"/>
          <cell r="AA46"/>
          <cell r="AB46"/>
          <cell r="AC46"/>
          <cell r="AD46"/>
          <cell r="AE46"/>
          <cell r="AF46">
            <v>9.2952499999999993</v>
          </cell>
          <cell r="AG46"/>
          <cell r="AH46" t="str">
            <v>Si below EDS detection limit</v>
          </cell>
          <cell r="AI46" t="str">
            <v>Co</v>
          </cell>
          <cell r="AJ46" t="str">
            <v>-8.7Al</v>
          </cell>
          <cell r="AK46" t="str">
            <v>-10.3W</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-2.Si</v>
          </cell>
          <cell r="AY46" t="str">
            <v/>
          </cell>
          <cell r="AZ46" t="str">
            <v/>
          </cell>
          <cell r="BA46" t="str">
            <v/>
          </cell>
          <cell r="BB46" t="str">
            <v/>
          </cell>
          <cell r="BC46" t="str">
            <v/>
          </cell>
          <cell r="BD46" t="str">
            <v/>
          </cell>
          <cell r="BE46" t="str">
            <v/>
          </cell>
          <cell r="BF46" t="str">
            <v/>
          </cell>
          <cell r="BG46" t="str">
            <v/>
          </cell>
          <cell r="BH46" t="str">
            <v>10W-2SiBauer, A., Neumeier, S., Pyczak, F., Singer, R. F., &amp; Göken, M. (2012). Creep properties of different γ’-strengthened Co-base superalloys. Materials Science and Engineering A, 550, 333–341. https://doi.org/10.1016/j.msea.2012.04.096</v>
          </cell>
          <cell r="BI46" t="str">
            <v>Co-8.7Al-10.3W-2.Si</v>
          </cell>
          <cell r="BJ46" t="str">
            <v>79.0Co-8.7Al-10.3W-2.0Si</v>
          </cell>
        </row>
        <row r="47">
          <cell r="A47" t="str">
            <v>Co-7.6Al-9.2W-2.1Ti-1.9Ta</v>
          </cell>
          <cell r="B47" t="str">
            <v>CoAlWX+</v>
          </cell>
          <cell r="C47" t="str">
            <v>-8Al-9W-2Ti-2Ta</v>
          </cell>
          <cell r="D47" t="str">
            <v>8W-2Ta-2Ti</v>
          </cell>
          <cell r="E47" t="str">
            <v>Bauer, A., Neumeier, S., Pyczak, F., Singer, R. F., &amp; Göken, M. (2012). Creep properties of different γ’-strengthened Co-base superalloys. Materials Science and Engineering A, 550, 333–341. https://doi.org/10.1016/j.msea.2012.04.098</v>
          </cell>
          <cell r="F47">
            <v>55</v>
          </cell>
          <cell r="G47">
            <v>79.2</v>
          </cell>
          <cell r="H47"/>
          <cell r="I47">
            <v>7.6</v>
          </cell>
          <cell r="J47"/>
          <cell r="K47">
            <v>9.1999999999999993</v>
          </cell>
          <cell r="L47">
            <v>2.1</v>
          </cell>
          <cell r="M47">
            <v>1.9</v>
          </cell>
          <cell r="N47"/>
          <cell r="O47"/>
          <cell r="P47"/>
          <cell r="Q47"/>
          <cell r="R47"/>
          <cell r="S47"/>
          <cell r="T47"/>
          <cell r="U47"/>
          <cell r="V47"/>
          <cell r="W47"/>
          <cell r="X47"/>
          <cell r="Y47"/>
          <cell r="Z47"/>
          <cell r="AA47"/>
          <cell r="AB47"/>
          <cell r="AC47"/>
          <cell r="AD47"/>
          <cell r="AE47"/>
          <cell r="AF47">
            <v>9.4359970000000004</v>
          </cell>
          <cell r="AG47"/>
          <cell r="AH47"/>
          <cell r="AI47" t="str">
            <v>Co</v>
          </cell>
          <cell r="AJ47" t="str">
            <v>-7.6Al</v>
          </cell>
          <cell r="AK47" t="str">
            <v>-9.2W</v>
          </cell>
          <cell r="AL47" t="str">
            <v/>
          </cell>
          <cell r="AM47" t="str">
            <v/>
          </cell>
          <cell r="AN47" t="str">
            <v>-1.9Ta</v>
          </cell>
          <cell r="AO47" t="str">
            <v/>
          </cell>
          <cell r="AP47" t="str">
            <v/>
          </cell>
          <cell r="AQ47" t="str">
            <v>-2.1Ti</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cell r="BD47" t="str">
            <v/>
          </cell>
          <cell r="BE47" t="str">
            <v/>
          </cell>
          <cell r="BF47" t="str">
            <v/>
          </cell>
          <cell r="BG47" t="str">
            <v/>
          </cell>
          <cell r="BH47" t="str">
            <v>8W-2Ta-2TiBauer, A., Neumeier, S., Pyczak, F., Singer, R. F., &amp; Göken, M. (2012). Creep properties of different γ’-strengthened Co-base superalloys. Materials Science and Engineering A, 550, 333–341. https://doi.org/10.1016/j.msea.2012.04.098</v>
          </cell>
          <cell r="BI47" t="str">
            <v>Co-7.6Al-9.2W-2.1Ti-1.9Ta</v>
          </cell>
          <cell r="BJ47" t="str">
            <v>79.2Co-7.6Al-9.2W-2.1Ti-1.9Ta</v>
          </cell>
        </row>
        <row r="48">
          <cell r="A48" t="str">
            <v>Co-7.9Al-9.1W-2.1Ti-0.04B</v>
          </cell>
          <cell r="B48" t="str">
            <v>CoAlW-X</v>
          </cell>
          <cell r="C48" t="str">
            <v>-8Al-9W-2Ti-B</v>
          </cell>
          <cell r="D48" t="str">
            <v>9W-2Ti-0.04B</v>
          </cell>
          <cell r="E48" t="str">
            <v>Bauer, A., Neumeier, S., Pyczak, F., Singer, R. F., &amp; Göken, M. (2012). Creep properties of different γ’-strengthened Co-base superalloys. Materials Science and Engineering A, 550, 333–341. https://doi.org/10.1016/j.msea.2012.04.099</v>
          </cell>
          <cell r="F48">
            <v>56</v>
          </cell>
          <cell r="G48">
            <v>80.86</v>
          </cell>
          <cell r="H48"/>
          <cell r="I48">
            <v>7.9</v>
          </cell>
          <cell r="J48"/>
          <cell r="K48">
            <v>9.1</v>
          </cell>
          <cell r="L48">
            <v>2.1</v>
          </cell>
          <cell r="M48"/>
          <cell r="N48"/>
          <cell r="O48"/>
          <cell r="P48"/>
          <cell r="Q48"/>
          <cell r="R48"/>
          <cell r="S48">
            <v>0.04</v>
          </cell>
          <cell r="T48"/>
          <cell r="U48"/>
          <cell r="V48"/>
          <cell r="W48"/>
          <cell r="X48"/>
          <cell r="Y48"/>
          <cell r="Z48"/>
          <cell r="AA48"/>
          <cell r="AB48"/>
          <cell r="AC48"/>
          <cell r="AD48"/>
          <cell r="AE48"/>
          <cell r="AF48">
            <v>9.2572209999999995</v>
          </cell>
          <cell r="AG48"/>
          <cell r="AH48"/>
          <cell r="AI48" t="str">
            <v>Co</v>
          </cell>
          <cell r="AJ48" t="str">
            <v>-7.9Al</v>
          </cell>
          <cell r="AK48" t="str">
            <v>-9.1W</v>
          </cell>
          <cell r="AL48" t="str">
            <v/>
          </cell>
          <cell r="AM48" t="str">
            <v/>
          </cell>
          <cell r="AN48" t="str">
            <v/>
          </cell>
          <cell r="AO48" t="str">
            <v/>
          </cell>
          <cell r="AP48" t="str">
            <v/>
          </cell>
          <cell r="AQ48" t="str">
            <v>-2.1Ti</v>
          </cell>
          <cell r="AR48" t="str">
            <v/>
          </cell>
          <cell r="AS48" t="str">
            <v/>
          </cell>
          <cell r="AT48" t="str">
            <v/>
          </cell>
          <cell r="AU48" t="str">
            <v>-0.04B</v>
          </cell>
          <cell r="AV48" t="str">
            <v/>
          </cell>
          <cell r="AW48" t="str">
            <v/>
          </cell>
          <cell r="AX48" t="str">
            <v/>
          </cell>
          <cell r="AY48" t="str">
            <v/>
          </cell>
          <cell r="AZ48" t="str">
            <v/>
          </cell>
          <cell r="BA48" t="str">
            <v/>
          </cell>
          <cell r="BB48" t="str">
            <v/>
          </cell>
          <cell r="BC48" t="str">
            <v/>
          </cell>
          <cell r="BD48" t="str">
            <v/>
          </cell>
          <cell r="BE48" t="str">
            <v/>
          </cell>
          <cell r="BF48" t="str">
            <v/>
          </cell>
          <cell r="BG48" t="str">
            <v/>
          </cell>
          <cell r="BH48" t="str">
            <v>9W-2Ti-0.04BBauer, A., Neumeier, S., Pyczak, F., Singer, R. F., &amp; Göken, M. (2012). Creep properties of different γ’-strengthened Co-base superalloys. Materials Science and Engineering A, 550, 333–341. https://doi.org/10.1016/j.msea.2012.04.099</v>
          </cell>
          <cell r="BI48" t="str">
            <v>Co-7.9Al-9.1W-2.1Ti-0.04B</v>
          </cell>
          <cell r="BJ48" t="str">
            <v>80.9Co-7.9Al-9.1W-2.1Ti-0.04B</v>
          </cell>
        </row>
        <row r="49">
          <cell r="A49" t="str">
            <v>Co-8.4Al-9.6W-2.2Ti-0.12B</v>
          </cell>
          <cell r="B49" t="str">
            <v>CoAlW-X</v>
          </cell>
          <cell r="C49" t="str">
            <v>-8Al-10W-2Ti-B</v>
          </cell>
          <cell r="D49" t="str">
            <v>9W-2Ti-0.12B</v>
          </cell>
          <cell r="E49" t="str">
            <v>Bauer, A., Neumeier, S., Pyczak, F., Singer, R. F., &amp; Göken, M. (2012). Creep properties of different γ’-strengthened Co-base superalloys. Materials Science and Engineering A, 550, 333–341. https://doi.org/10.1016/j.msea.2012.04.100</v>
          </cell>
          <cell r="F49">
            <v>57</v>
          </cell>
          <cell r="G49">
            <v>79.680000000000007</v>
          </cell>
          <cell r="H49"/>
          <cell r="I49">
            <v>8.4</v>
          </cell>
          <cell r="J49"/>
          <cell r="K49">
            <v>9.6</v>
          </cell>
          <cell r="L49">
            <v>2.2000000000000002</v>
          </cell>
          <cell r="M49"/>
          <cell r="N49"/>
          <cell r="O49"/>
          <cell r="P49"/>
          <cell r="Q49"/>
          <cell r="R49"/>
          <cell r="S49">
            <v>0.12</v>
          </cell>
          <cell r="T49"/>
          <cell r="U49"/>
          <cell r="V49"/>
          <cell r="W49"/>
          <cell r="X49"/>
          <cell r="Y49"/>
          <cell r="Z49"/>
          <cell r="AA49"/>
          <cell r="AB49"/>
          <cell r="AC49"/>
          <cell r="AD49"/>
          <cell r="AE49"/>
          <cell r="AF49">
            <v>9.2684259999999998</v>
          </cell>
          <cell r="AG49"/>
          <cell r="AH49"/>
          <cell r="AI49" t="str">
            <v>Co</v>
          </cell>
          <cell r="AJ49" t="str">
            <v>-8.4Al</v>
          </cell>
          <cell r="AK49" t="str">
            <v>-9.6W</v>
          </cell>
          <cell r="AL49" t="str">
            <v/>
          </cell>
          <cell r="AM49" t="str">
            <v/>
          </cell>
          <cell r="AN49" t="str">
            <v/>
          </cell>
          <cell r="AO49" t="str">
            <v/>
          </cell>
          <cell r="AP49" t="str">
            <v/>
          </cell>
          <cell r="AQ49" t="str">
            <v>-2.2Ti</v>
          </cell>
          <cell r="AR49" t="str">
            <v/>
          </cell>
          <cell r="AS49" t="str">
            <v/>
          </cell>
          <cell r="AT49" t="str">
            <v/>
          </cell>
          <cell r="AU49" t="str">
            <v>-0.12B</v>
          </cell>
          <cell r="AV49" t="str">
            <v/>
          </cell>
          <cell r="AW49" t="str">
            <v/>
          </cell>
          <cell r="AX49" t="str">
            <v/>
          </cell>
          <cell r="AY49" t="str">
            <v/>
          </cell>
          <cell r="AZ49" t="str">
            <v/>
          </cell>
          <cell r="BA49" t="str">
            <v/>
          </cell>
          <cell r="BB49" t="str">
            <v/>
          </cell>
          <cell r="BC49" t="str">
            <v/>
          </cell>
          <cell r="BD49" t="str">
            <v/>
          </cell>
          <cell r="BE49" t="str">
            <v/>
          </cell>
          <cell r="BF49" t="str">
            <v/>
          </cell>
          <cell r="BG49" t="str">
            <v/>
          </cell>
          <cell r="BH49" t="str">
            <v>9W-2Ti-0.12BBauer, A., Neumeier, S., Pyczak, F., Singer, R. F., &amp; Göken, M. (2012). Creep properties of different γ’-strengthened Co-base superalloys. Materials Science and Engineering A, 550, 333–341. https://doi.org/10.1016/j.msea.2012.04.100</v>
          </cell>
          <cell r="BI49" t="str">
            <v>Co-8.4Al-9.6W-2.2Ti-0.12B</v>
          </cell>
          <cell r="BJ49" t="str">
            <v>79.7Co-8.4Al-9.6W-2.2Ti-0.12B</v>
          </cell>
        </row>
        <row r="50">
          <cell r="A50" t="str">
            <v>Co-8.Al-9.3W-2.1V-0.04B</v>
          </cell>
          <cell r="B50" t="str">
            <v>CoAlW-X</v>
          </cell>
          <cell r="C50" t="str">
            <v>-8Al-9W-2V-B</v>
          </cell>
          <cell r="D50" t="str">
            <v>9W-2V-0.04B</v>
          </cell>
          <cell r="E50" t="str">
            <v>Bauer, A., Neumeier, S., Pyczak, F., Singer, R. F., &amp; Göken, M. (2012). Creep properties of different γ’-strengthened Co-base superalloys. Materials Science and Engineering A, 550, 333–341. https://doi.org/10.1016/j.msea.2012.04.101</v>
          </cell>
          <cell r="F50">
            <v>58</v>
          </cell>
          <cell r="G50">
            <v>80.56</v>
          </cell>
          <cell r="H50"/>
          <cell r="I50">
            <v>8</v>
          </cell>
          <cell r="J50"/>
          <cell r="K50">
            <v>9.3000000000000007</v>
          </cell>
          <cell r="L50"/>
          <cell r="M50"/>
          <cell r="N50"/>
          <cell r="O50">
            <v>2.1</v>
          </cell>
          <cell r="P50"/>
          <cell r="Q50"/>
          <cell r="R50"/>
          <cell r="S50">
            <v>0.04</v>
          </cell>
          <cell r="T50"/>
          <cell r="U50"/>
          <cell r="V50"/>
          <cell r="W50"/>
          <cell r="X50"/>
          <cell r="Y50"/>
          <cell r="Z50"/>
          <cell r="AA50"/>
          <cell r="AB50"/>
          <cell r="AC50"/>
          <cell r="AD50"/>
          <cell r="AE50"/>
          <cell r="AF50">
            <v>9.3053840000000001</v>
          </cell>
          <cell r="AG50"/>
          <cell r="AH50"/>
          <cell r="AI50" t="str">
            <v>Co</v>
          </cell>
          <cell r="AJ50" t="str">
            <v>-8.Al</v>
          </cell>
          <cell r="AK50" t="str">
            <v>-9.3W</v>
          </cell>
          <cell r="AL50" t="str">
            <v/>
          </cell>
          <cell r="AM50" t="str">
            <v/>
          </cell>
          <cell r="AN50" t="str">
            <v/>
          </cell>
          <cell r="AO50" t="str">
            <v/>
          </cell>
          <cell r="AP50" t="str">
            <v>-2.1V</v>
          </cell>
          <cell r="AQ50" t="str">
            <v/>
          </cell>
          <cell r="AR50" t="str">
            <v/>
          </cell>
          <cell r="AS50" t="str">
            <v/>
          </cell>
          <cell r="AT50" t="str">
            <v/>
          </cell>
          <cell r="AU50" t="str">
            <v>-0.04B</v>
          </cell>
          <cell r="AV50" t="str">
            <v/>
          </cell>
          <cell r="AW50" t="str">
            <v/>
          </cell>
          <cell r="AX50" t="str">
            <v/>
          </cell>
          <cell r="AY50" t="str">
            <v/>
          </cell>
          <cell r="AZ50" t="str">
            <v/>
          </cell>
          <cell r="BA50" t="str">
            <v/>
          </cell>
          <cell r="BB50" t="str">
            <v/>
          </cell>
          <cell r="BC50" t="str">
            <v/>
          </cell>
          <cell r="BD50" t="str">
            <v/>
          </cell>
          <cell r="BE50" t="str">
            <v/>
          </cell>
          <cell r="BF50" t="str">
            <v/>
          </cell>
          <cell r="BG50" t="str">
            <v/>
          </cell>
          <cell r="BH50" t="str">
            <v>9W-2V-0.04BBauer, A., Neumeier, S., Pyczak, F., Singer, R. F., &amp; Göken, M. (2012). Creep properties of different γ’-strengthened Co-base superalloys. Materials Science and Engineering A, 550, 333–341. https://doi.org/10.1016/j.msea.2012.04.101</v>
          </cell>
          <cell r="BI50" t="str">
            <v>Co-8.Al-9.3W-2.1V-0.04B</v>
          </cell>
          <cell r="BJ50" t="str">
            <v>80.6Co-8.0Al-9.3W-2.1V-0.04B</v>
          </cell>
        </row>
        <row r="51">
          <cell r="A51" t="str">
            <v>Co-8.1Al-2.Cr-9.4W-0.04B</v>
          </cell>
          <cell r="B51" t="str">
            <v>CoAlW-X</v>
          </cell>
          <cell r="C51" t="str">
            <v>-8Al-2Cr-9W-B</v>
          </cell>
          <cell r="D51" t="str">
            <v>9W-2Cr-0.04B</v>
          </cell>
          <cell r="E51" t="str">
            <v>Bauer, A., Neumeier, S., Pyczak, F., Singer, R. F., &amp; Göken, M. (2012). Creep properties of different γ’-strengthened Co-base superalloys. Materials Science and Engineering A, 550, 333–341. https://doi.org/10.1016/j.msea.2012.04.102</v>
          </cell>
          <cell r="F51">
            <v>59</v>
          </cell>
          <cell r="G51">
            <v>80.460000000000008</v>
          </cell>
          <cell r="H51"/>
          <cell r="I51">
            <v>8.1</v>
          </cell>
          <cell r="J51">
            <v>2</v>
          </cell>
          <cell r="K51">
            <v>9.4</v>
          </cell>
          <cell r="L51"/>
          <cell r="M51"/>
          <cell r="N51"/>
          <cell r="O51"/>
          <cell r="P51"/>
          <cell r="Q51"/>
          <cell r="R51"/>
          <cell r="S51">
            <v>0.04</v>
          </cell>
          <cell r="T51"/>
          <cell r="U51"/>
          <cell r="V51"/>
          <cell r="W51"/>
          <cell r="X51"/>
          <cell r="Y51"/>
          <cell r="Z51"/>
          <cell r="AA51"/>
          <cell r="AB51"/>
          <cell r="AC51"/>
          <cell r="AD51"/>
          <cell r="AE51"/>
          <cell r="AF51">
            <v>9.3339240000000014</v>
          </cell>
          <cell r="AG51"/>
          <cell r="AH51"/>
          <cell r="AI51" t="str">
            <v>Co</v>
          </cell>
          <cell r="AJ51" t="str">
            <v>-8.1Al</v>
          </cell>
          <cell r="AK51" t="str">
            <v>-9.4W</v>
          </cell>
          <cell r="AL51" t="str">
            <v/>
          </cell>
          <cell r="AM51" t="str">
            <v>-2.Cr</v>
          </cell>
          <cell r="AN51" t="str">
            <v/>
          </cell>
          <cell r="AO51" t="str">
            <v/>
          </cell>
          <cell r="AP51" t="str">
            <v/>
          </cell>
          <cell r="AQ51" t="str">
            <v/>
          </cell>
          <cell r="AR51" t="str">
            <v/>
          </cell>
          <cell r="AS51" t="str">
            <v/>
          </cell>
          <cell r="AT51" t="str">
            <v/>
          </cell>
          <cell r="AU51" t="str">
            <v>-0.04B</v>
          </cell>
          <cell r="AV51" t="str">
            <v/>
          </cell>
          <cell r="AW51" t="str">
            <v/>
          </cell>
          <cell r="AX51" t="str">
            <v/>
          </cell>
          <cell r="AY51" t="str">
            <v/>
          </cell>
          <cell r="AZ51" t="str">
            <v/>
          </cell>
          <cell r="BA51" t="str">
            <v/>
          </cell>
          <cell r="BB51" t="str">
            <v/>
          </cell>
          <cell r="BC51" t="str">
            <v/>
          </cell>
          <cell r="BD51" t="str">
            <v/>
          </cell>
          <cell r="BE51" t="str">
            <v/>
          </cell>
          <cell r="BF51" t="str">
            <v/>
          </cell>
          <cell r="BG51" t="str">
            <v/>
          </cell>
          <cell r="BH51" t="str">
            <v>9W-2Cr-0.04BBauer, A., Neumeier, S., Pyczak, F., Singer, R. F., &amp; Göken, M. (2012). Creep properties of different γ’-strengthened Co-base superalloys. Materials Science and Engineering A, 550, 333–341. https://doi.org/10.1016/j.msea.2012.04.102</v>
          </cell>
          <cell r="BI51" t="str">
            <v>Co-8.1Al-2.Cr-9.4W-0.04B</v>
          </cell>
          <cell r="BJ51" t="str">
            <v>80.5Co-8.1Al-2.0Cr-9.4W-0.04B</v>
          </cell>
        </row>
        <row r="52">
          <cell r="A52" t="str">
            <v>Co-8.8Al-4.W-0.5Ta</v>
          </cell>
          <cell r="B52" t="str">
            <v>CoAlW-X</v>
          </cell>
          <cell r="C52" t="str">
            <v>-9Al-4W-1Ta</v>
          </cell>
          <cell r="D52" t="str">
            <v>Master Alloy A</v>
          </cell>
          <cell r="E52" t="str">
            <v>Bezold, A. et al. On the Precipitation-Strengthening Contribution of the Ta-Containing Co3(Al,W)-Phase to the Creep Properties of γ/γ′ Cobalt-Base Superalloys. Metall. Mater. Trans. A Phys. Metall. Mater. Sci. 51, 1567–1574 (2020).</v>
          </cell>
          <cell r="F52">
            <v>60</v>
          </cell>
          <cell r="G52">
            <v>86.7</v>
          </cell>
          <cell r="H52"/>
          <cell r="I52">
            <v>8.8000000000000007</v>
          </cell>
          <cell r="J52"/>
          <cell r="K52">
            <v>4</v>
          </cell>
          <cell r="L52"/>
          <cell r="M52">
            <v>0.5</v>
          </cell>
          <cell r="N52"/>
          <cell r="O52"/>
          <cell r="P52"/>
          <cell r="Q52"/>
          <cell r="R52"/>
          <cell r="S52"/>
          <cell r="T52"/>
          <cell r="U52"/>
          <cell r="V52"/>
          <cell r="W52"/>
          <cell r="X52"/>
          <cell r="Y52"/>
          <cell r="Z52"/>
          <cell r="AA52"/>
          <cell r="AB52"/>
          <cell r="AC52"/>
          <cell r="AD52"/>
          <cell r="AE52"/>
          <cell r="AF52">
            <v>8.8071500000000018</v>
          </cell>
          <cell r="AG52"/>
          <cell r="AH52" t="str">
            <v>Composition estimates because paper does not explicitly say</v>
          </cell>
          <cell r="AI52" t="str">
            <v>Co</v>
          </cell>
          <cell r="AJ52" t="str">
            <v>-8.8Al</v>
          </cell>
          <cell r="AK52" t="str">
            <v>-4.W</v>
          </cell>
          <cell r="AL52" t="str">
            <v/>
          </cell>
          <cell r="AM52" t="str">
            <v/>
          </cell>
          <cell r="AN52" t="str">
            <v>-0.5Ta</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cell r="BD52" t="str">
            <v/>
          </cell>
          <cell r="BE52" t="str">
            <v/>
          </cell>
          <cell r="BF52" t="str">
            <v/>
          </cell>
          <cell r="BG52" t="str">
            <v/>
          </cell>
          <cell r="BH52" t="str">
            <v>Master Alloy ABezold, A. et al. On the Precipitation-Strengthening Contribution of the Ta-Containing Co3(Al,W)-Phase to the Creep Properties of γ/γ′ Cobalt-Base Superalloys. Metall. Mater. Trans. A Phys. Metall. Mater. Sci. 51, 1567–1574 (2020).</v>
          </cell>
          <cell r="BI52" t="str">
            <v>Co-8.8Al-4.W-0.5Ta</v>
          </cell>
          <cell r="BJ52" t="str">
            <v>86.7Co-8.8Al-4.0W-0.5Ta</v>
          </cell>
        </row>
        <row r="53">
          <cell r="A53" t="str">
            <v>Co-8.8Al-5.8W-1.Ta</v>
          </cell>
          <cell r="B53" t="str">
            <v>CoAlW-X</v>
          </cell>
          <cell r="C53" t="str">
            <v>-9Al-6W-1Ta</v>
          </cell>
          <cell r="D53" t="str">
            <v>VF20</v>
          </cell>
          <cell r="E53" t="str">
            <v>Bezold, A. et al. On the Precipitation-Strengthening Contribution of the Ta-Containing Co3(Al,W)-Phase to the Creep Properties of γ/γ′ Cobalt-Base Superalloys. Metall. Mater. Trans. A Phys. Metall. Mater. Sci. 51, 1567–1574 (2020).</v>
          </cell>
          <cell r="F53">
            <v>61</v>
          </cell>
          <cell r="G53">
            <v>84.47999999999999</v>
          </cell>
          <cell r="H53"/>
          <cell r="I53">
            <v>8.7600000000000016</v>
          </cell>
          <cell r="J53"/>
          <cell r="K53">
            <v>5.7600000000000007</v>
          </cell>
          <cell r="L53"/>
          <cell r="M53">
            <v>1</v>
          </cell>
          <cell r="N53"/>
          <cell r="O53"/>
          <cell r="P53"/>
          <cell r="Q53"/>
          <cell r="R53"/>
          <cell r="S53"/>
          <cell r="T53"/>
          <cell r="U53"/>
          <cell r="V53"/>
          <cell r="W53"/>
          <cell r="X53"/>
          <cell r="Y53"/>
          <cell r="Z53"/>
          <cell r="AA53"/>
          <cell r="AB53"/>
          <cell r="AC53"/>
          <cell r="AD53"/>
          <cell r="AE53"/>
          <cell r="AF53">
            <v>9.0305400000000002</v>
          </cell>
          <cell r="AG53"/>
          <cell r="AH53" t="str">
            <v>Composition estimates because paper does not explicitly say</v>
          </cell>
          <cell r="AI53" t="str">
            <v>Co</v>
          </cell>
          <cell r="AJ53" t="str">
            <v>-8.8Al</v>
          </cell>
          <cell r="AK53" t="str">
            <v>-5.8W</v>
          </cell>
          <cell r="AL53" t="str">
            <v/>
          </cell>
          <cell r="AM53" t="str">
            <v/>
          </cell>
          <cell r="AN53" t="str">
            <v>-1.Ta</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cell r="BD53" t="str">
            <v/>
          </cell>
          <cell r="BE53" t="str">
            <v/>
          </cell>
          <cell r="BF53" t="str">
            <v/>
          </cell>
          <cell r="BG53" t="str">
            <v/>
          </cell>
          <cell r="BH53" t="str">
            <v>VF20Bezold, A. et al. On the Precipitation-Strengthening Contribution of the Ta-Containing Co3(Al,W)-Phase to the Creep Properties of γ/γ′ Cobalt-Base Superalloys. Metall. Mater. Trans. A Phys. Metall. Mater. Sci. 51, 1567–1574 (2020).</v>
          </cell>
          <cell r="BI53" t="str">
            <v>Co-8.8Al-5.8W-1.Ta</v>
          </cell>
          <cell r="BJ53" t="str">
            <v>84.5Co-8.8Al-5.8W-1.0Ta</v>
          </cell>
        </row>
        <row r="54">
          <cell r="A54" t="str">
            <v>Co-8.7Al-7.8W-1.5Ta</v>
          </cell>
          <cell r="B54" t="str">
            <v>CoAlW-X</v>
          </cell>
          <cell r="C54" t="str">
            <v>-9Al-8W-1Ta</v>
          </cell>
          <cell r="D54" t="str">
            <v>VF40</v>
          </cell>
          <cell r="E54" t="str">
            <v>Bezold, A. et al. On the Precipitation-Strengthening Contribution of the Ta-Containing Co3(Al,W)-Phase to the Creep Properties of γ/γ′ Cobalt-Base Superalloys. Metall. Mater. Trans. A Phys. Metall. Mater. Sci. 51, 1567–1574 (2020).</v>
          </cell>
          <cell r="F54">
            <v>62</v>
          </cell>
          <cell r="G54">
            <v>81.97999999999999</v>
          </cell>
          <cell r="H54"/>
          <cell r="I54">
            <v>8.74</v>
          </cell>
          <cell r="J54"/>
          <cell r="K54">
            <v>7.82</v>
          </cell>
          <cell r="L54"/>
          <cell r="M54">
            <v>1.46</v>
          </cell>
          <cell r="N54"/>
          <cell r="O54"/>
          <cell r="P54"/>
          <cell r="Q54"/>
          <cell r="R54"/>
          <cell r="S54"/>
          <cell r="T54"/>
          <cell r="U54"/>
          <cell r="V54"/>
          <cell r="W54"/>
          <cell r="X54"/>
          <cell r="Y54"/>
          <cell r="Z54"/>
          <cell r="AA54"/>
          <cell r="AB54"/>
          <cell r="AC54"/>
          <cell r="AD54"/>
          <cell r="AE54"/>
          <cell r="AF54">
            <v>9.2806399999999982</v>
          </cell>
          <cell r="AG54"/>
          <cell r="AH54" t="str">
            <v>Composition estimates because paper does not explicitly say</v>
          </cell>
          <cell r="AI54" t="str">
            <v>Co</v>
          </cell>
          <cell r="AJ54" t="str">
            <v>-8.7Al</v>
          </cell>
          <cell r="AK54" t="str">
            <v>-7.8W</v>
          </cell>
          <cell r="AL54" t="str">
            <v/>
          </cell>
          <cell r="AM54" t="str">
            <v/>
          </cell>
          <cell r="AN54" t="str">
            <v>-1.5Ta</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cell r="BD54" t="str">
            <v/>
          </cell>
          <cell r="BE54" t="str">
            <v/>
          </cell>
          <cell r="BF54" t="str">
            <v/>
          </cell>
          <cell r="BG54" t="str">
            <v/>
          </cell>
          <cell r="BH54" t="str">
            <v>VF40Bezold, A. et al. On the Precipitation-Strengthening Contribution of the Ta-Containing Co3(Al,W)-Phase to the Creep Properties of γ/γ′ Cobalt-Base Superalloys. Metall. Mater. Trans. A Phys. Metall. Mater. Sci. 51, 1567–1574 (2020).</v>
          </cell>
          <cell r="BI54" t="str">
            <v>Co-8.7Al-7.8W-1.5Ta</v>
          </cell>
          <cell r="BJ54" t="str">
            <v>82.0Co-8.7Al-7.8W-1.5Ta</v>
          </cell>
        </row>
        <row r="55">
          <cell r="A55" t="str">
            <v>Co-8.6Al-9.2W-1.9Ta</v>
          </cell>
          <cell r="B55" t="str">
            <v>CoAlW-X</v>
          </cell>
          <cell r="C55" t="str">
            <v>-9Al-9W-2Ta</v>
          </cell>
          <cell r="D55" t="str">
            <v>VF60</v>
          </cell>
          <cell r="E55" t="str">
            <v>Bezold, A. et al. On the Precipitation-Strengthening Contribution of the Ta-Containing Co3(Al,W)-Phase to the Creep Properties of γ/γ′ Cobalt-Base Superalloys. Metall. Mater. Trans. A Phys. Metall. Mater. Sci. 51, 1567–1574 (2020).</v>
          </cell>
          <cell r="F55">
            <v>63</v>
          </cell>
          <cell r="G55">
            <v>80.34</v>
          </cell>
          <cell r="H55"/>
          <cell r="I55">
            <v>8.6000000000000014</v>
          </cell>
          <cell r="J55"/>
          <cell r="K55">
            <v>9.18</v>
          </cell>
          <cell r="L55"/>
          <cell r="M55">
            <v>1.88</v>
          </cell>
          <cell r="N55"/>
          <cell r="O55"/>
          <cell r="P55"/>
          <cell r="Q55"/>
          <cell r="R55"/>
          <cell r="S55"/>
          <cell r="T55"/>
          <cell r="U55"/>
          <cell r="V55"/>
          <cell r="W55"/>
          <cell r="X55"/>
          <cell r="Y55"/>
          <cell r="Z55"/>
          <cell r="AA55"/>
          <cell r="AB55"/>
          <cell r="AC55"/>
          <cell r="AD55"/>
          <cell r="AE55"/>
          <cell r="AF55">
            <v>9.4626300000000008</v>
          </cell>
          <cell r="AG55"/>
          <cell r="AH55" t="str">
            <v>Composition estimates because paper does not explicitly say</v>
          </cell>
          <cell r="AI55" t="str">
            <v>Co</v>
          </cell>
          <cell r="AJ55" t="str">
            <v>-8.6Al</v>
          </cell>
          <cell r="AK55" t="str">
            <v>-9.2W</v>
          </cell>
          <cell r="AL55" t="str">
            <v/>
          </cell>
          <cell r="AM55" t="str">
            <v/>
          </cell>
          <cell r="AN55" t="str">
            <v>-1.9Ta</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cell r="BD55" t="str">
            <v/>
          </cell>
          <cell r="BE55" t="str">
            <v/>
          </cell>
          <cell r="BF55" t="str">
            <v/>
          </cell>
          <cell r="BG55" t="str">
            <v/>
          </cell>
          <cell r="BH55" t="str">
            <v>VF60Bezold, A. et al. On the Precipitation-Strengthening Contribution of the Ta-Containing Co3(Al,W)-Phase to the Creep Properties of γ/γ′ Cobalt-Base Superalloys. Metall. Mater. Trans. A Phys. Metall. Mater. Sci. 51, 1567–1574 (2020).</v>
          </cell>
          <cell r="BI55" t="str">
            <v>Co-8.6Al-9.2W-1.9Ta</v>
          </cell>
          <cell r="BJ55" t="str">
            <v>80.3Co-8.6Al-9.2W-1.9Ta</v>
          </cell>
        </row>
        <row r="56">
          <cell r="A56" t="str">
            <v>Co-9.Al-12.3W-3.5Ta</v>
          </cell>
          <cell r="B56" t="str">
            <v>CoAlW-X</v>
          </cell>
          <cell r="C56" t="str">
            <v>-9Al-12W-4Ta</v>
          </cell>
          <cell r="D56" t="str">
            <v>Master Alloy B</v>
          </cell>
          <cell r="E56" t="str">
            <v>Bezold, A. et al. On the Precipitation-Strengthening Contribution of the Ta-Containing Co3(Al,W)-Phase to the Creep Properties of γ/γ′ Cobalt-Base Superalloys. Metall. Mater. Trans. A Phys. Metall. Mater. Sci. 51, 1567–1574 (2020).</v>
          </cell>
          <cell r="F56">
            <v>64</v>
          </cell>
          <cell r="G56">
            <v>75.2</v>
          </cell>
          <cell r="H56"/>
          <cell r="I56">
            <v>9</v>
          </cell>
          <cell r="J56"/>
          <cell r="K56">
            <v>12.3</v>
          </cell>
          <cell r="L56"/>
          <cell r="M56">
            <v>3.5</v>
          </cell>
          <cell r="N56"/>
          <cell r="O56"/>
          <cell r="P56"/>
          <cell r="Q56"/>
          <cell r="R56"/>
          <cell r="S56"/>
          <cell r="T56"/>
          <cell r="U56"/>
          <cell r="V56"/>
          <cell r="W56"/>
          <cell r="X56"/>
          <cell r="Y56"/>
          <cell r="Z56"/>
          <cell r="AA56"/>
          <cell r="AB56"/>
          <cell r="AC56"/>
          <cell r="AD56"/>
          <cell r="AE56"/>
          <cell r="AF56">
            <v>9.8863000000000003</v>
          </cell>
          <cell r="AG56"/>
          <cell r="AH56" t="str">
            <v>Composition estimates because paper does not explicitly say</v>
          </cell>
          <cell r="AI56" t="str">
            <v>Co</v>
          </cell>
          <cell r="AJ56" t="str">
            <v>-9.Al</v>
          </cell>
          <cell r="AK56" t="str">
            <v>-12.3W</v>
          </cell>
          <cell r="AL56" t="str">
            <v/>
          </cell>
          <cell r="AM56" t="str">
            <v/>
          </cell>
          <cell r="AN56" t="str">
            <v>-3.5Ta</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
          </cell>
          <cell r="BB56" t="str">
            <v/>
          </cell>
          <cell r="BC56" t="str">
            <v/>
          </cell>
          <cell r="BD56" t="str">
            <v/>
          </cell>
          <cell r="BE56" t="str">
            <v/>
          </cell>
          <cell r="BF56" t="str">
            <v/>
          </cell>
          <cell r="BG56" t="str">
            <v/>
          </cell>
          <cell r="BH56" t="str">
            <v>Master Alloy BBezold, A. et al. On the Precipitation-Strengthening Contribution of the Ta-Containing Co3(Al,W)-Phase to the Creep Properties of γ/γ′ Cobalt-Base Superalloys. Metall. Mater. Trans. A Phys. Metall. Mater. Sci. 51, 1567–1574 (2020).</v>
          </cell>
          <cell r="BI56" t="str">
            <v>Co-9.Al-12.3W-3.5Ta</v>
          </cell>
          <cell r="BJ56" t="str">
            <v>75.2Co-9.0Al-12.3W-3.5Ta</v>
          </cell>
        </row>
        <row r="57">
          <cell r="A57" t="str">
            <v>Co-10.1Ni-5.2Al-6.7W-6.4Ti</v>
          </cell>
          <cell r="B57" t="str">
            <v>CoAlWX+</v>
          </cell>
          <cell r="C57" t="str">
            <v>-10Ni-5Al-7W-6Ti</v>
          </cell>
          <cell r="D57" t="str">
            <v>10Ni-6Al-6W-6Ti</v>
          </cell>
          <cell r="E57" t="str">
            <v>Bocchini, P. J. (2015). Microstructure and Mechanical Properties in Gamma(face-centered cubic) + Gamma Prime(L1 2 ) Precipitation-Strengthened Cobalt-based Superalloys.</v>
          </cell>
          <cell r="F57">
            <v>65</v>
          </cell>
          <cell r="G57">
            <v>71.599999999999994</v>
          </cell>
          <cell r="H57">
            <v>10.1</v>
          </cell>
          <cell r="I57">
            <v>5.2</v>
          </cell>
          <cell r="J57"/>
          <cell r="K57">
            <v>6.7</v>
          </cell>
          <cell r="L57">
            <v>6.4</v>
          </cell>
          <cell r="M57"/>
          <cell r="N57"/>
          <cell r="O57"/>
          <cell r="P57"/>
          <cell r="Q57"/>
          <cell r="R57"/>
          <cell r="S57"/>
          <cell r="T57"/>
          <cell r="U57"/>
          <cell r="V57"/>
          <cell r="W57"/>
          <cell r="X57"/>
          <cell r="Y57"/>
          <cell r="Z57"/>
          <cell r="AA57"/>
          <cell r="AB57"/>
          <cell r="AC57"/>
          <cell r="AD57"/>
          <cell r="AE57"/>
          <cell r="AF57">
            <v>8.9907059999999994</v>
          </cell>
          <cell r="AG57">
            <v>9.17</v>
          </cell>
          <cell r="AH57"/>
          <cell r="AI57" t="str">
            <v>Co</v>
          </cell>
          <cell r="AJ57" t="str">
            <v>-5.2Al</v>
          </cell>
          <cell r="AK57" t="str">
            <v>-6.7W</v>
          </cell>
          <cell r="AL57" t="str">
            <v>-10.1Ni</v>
          </cell>
          <cell r="AM57" t="str">
            <v/>
          </cell>
          <cell r="AN57" t="str">
            <v/>
          </cell>
          <cell r="AO57" t="str">
            <v/>
          </cell>
          <cell r="AP57" t="str">
            <v/>
          </cell>
          <cell r="AQ57" t="str">
            <v>-6.4Ti</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cell r="BD57" t="str">
            <v/>
          </cell>
          <cell r="BE57" t="str">
            <v/>
          </cell>
          <cell r="BF57" t="str">
            <v/>
          </cell>
          <cell r="BG57" t="str">
            <v/>
          </cell>
          <cell r="BH57" t="str">
            <v>10Ni-6Al-6W-6TiBocchini, P. J. (2015). Microstructure and Mechanical Properties in Gamma(face-centered cubic) + Gamma Prime(L1 2 ) Precipitation-Strengthened Cobalt-based Superalloys.</v>
          </cell>
          <cell r="BI57" t="str">
            <v>Co-10.1Ni-5.2Al-6.7W-6.4Ti</v>
          </cell>
          <cell r="BJ57" t="str">
            <v>81.7Co-10.1Ni-5.2Al-6.7W-6.4Ti</v>
          </cell>
        </row>
        <row r="58">
          <cell r="A58" t="str">
            <v>Co-8.9Al-7.3W</v>
          </cell>
          <cell r="B58" t="str">
            <v>CoAlW-X</v>
          </cell>
          <cell r="C58" t="str">
            <v>-9Al-7W</v>
          </cell>
          <cell r="D58" t="str">
            <v>Co-8.9Al-7.3W</v>
          </cell>
          <cell r="E58" t="str">
            <v>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v>
          </cell>
          <cell r="F58">
            <v>66</v>
          </cell>
          <cell r="G58">
            <v>83.8</v>
          </cell>
          <cell r="H58"/>
          <cell r="I58">
            <v>8.9</v>
          </cell>
          <cell r="J58"/>
          <cell r="K58">
            <v>7.3</v>
          </cell>
          <cell r="L58"/>
          <cell r="M58"/>
          <cell r="N58"/>
          <cell r="O58"/>
          <cell r="P58"/>
          <cell r="Q58"/>
          <cell r="R58"/>
          <cell r="S58"/>
          <cell r="T58"/>
          <cell r="U58"/>
          <cell r="V58"/>
          <cell r="W58"/>
          <cell r="X58"/>
          <cell r="Y58"/>
          <cell r="Z58"/>
          <cell r="AA58"/>
          <cell r="AB58"/>
          <cell r="AC58"/>
          <cell r="AD58"/>
          <cell r="AE58"/>
          <cell r="AF58">
            <v>9.1037499999999998</v>
          </cell>
          <cell r="AG58"/>
          <cell r="AH58"/>
          <cell r="AI58" t="str">
            <v>Co</v>
          </cell>
          <cell r="AJ58" t="str">
            <v>-8.9Al</v>
          </cell>
          <cell r="AK58" t="str">
            <v>-7.3W</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cell r="BD58" t="str">
            <v/>
          </cell>
          <cell r="BE58" t="str">
            <v/>
          </cell>
          <cell r="BF58" t="str">
            <v/>
          </cell>
          <cell r="BG58" t="str">
            <v/>
          </cell>
          <cell r="BH58" t="str">
            <v>Co-8.9Al-7.3WBocchini, P. J. (2015). Microstructure and Mechanical Properties in Gamma(face-centered cubic) + Gamma Prime(L1 2 ) Precipitation-Strengthened Cobalt-based Superalloys. AND Bocchini, P. J., Sudbrack, C. K., Noebe, R. D., &amp; Seidman, D. N. (2018). Temporal evolution of a model Co-Al-W superalloy aged at 650 °C and 750 °C. Acta Materialia, 159, 197–208. https://doi.org/10.1016/j.actamat.2018.08.014</v>
          </cell>
          <cell r="BI58" t="str">
            <v>Co-8.9Al-7.3W</v>
          </cell>
          <cell r="BJ58" t="str">
            <v>83.8Co-8.9Al-7.3W</v>
          </cell>
        </row>
        <row r="59">
          <cell r="A59" t="str">
            <v>Co-10.Ni-4.5Al-5.2W-7.8Ti</v>
          </cell>
          <cell r="B59" t="str">
            <v>Co3Ti</v>
          </cell>
          <cell r="C59" t="str">
            <v>-10Ni-5Al-5W-8Ti</v>
          </cell>
          <cell r="D59" t="str">
            <v>10Ni-5Al-5W-8Ti</v>
          </cell>
          <cell r="E59"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59">
            <v>67</v>
          </cell>
          <cell r="G59">
            <v>72.5</v>
          </cell>
          <cell r="H59">
            <v>10</v>
          </cell>
          <cell r="I59">
            <v>4.5</v>
          </cell>
          <cell r="J59"/>
          <cell r="K59">
            <v>5.2</v>
          </cell>
          <cell r="L59">
            <v>7.8</v>
          </cell>
          <cell r="M59"/>
          <cell r="N59"/>
          <cell r="O59"/>
          <cell r="P59"/>
          <cell r="Q59"/>
          <cell r="R59"/>
          <cell r="S59"/>
          <cell r="T59"/>
          <cell r="U59"/>
          <cell r="V59"/>
          <cell r="W59"/>
          <cell r="X59"/>
          <cell r="Y59"/>
          <cell r="Z59"/>
          <cell r="AA59"/>
          <cell r="AB59"/>
          <cell r="AC59"/>
          <cell r="AD59"/>
          <cell r="AE59"/>
          <cell r="AF59">
            <v>8.8173460000000006</v>
          </cell>
          <cell r="AG59">
            <v>8.84</v>
          </cell>
          <cell r="AH59"/>
          <cell r="AI59" t="str">
            <v>Co</v>
          </cell>
          <cell r="AJ59" t="str">
            <v>-4.5Al</v>
          </cell>
          <cell r="AK59" t="str">
            <v>-5.2W</v>
          </cell>
          <cell r="AL59" t="str">
            <v>-10.Ni</v>
          </cell>
          <cell r="AM59" t="str">
            <v/>
          </cell>
          <cell r="AN59" t="str">
            <v/>
          </cell>
          <cell r="AO59" t="str">
            <v/>
          </cell>
          <cell r="AP59" t="str">
            <v/>
          </cell>
          <cell r="AQ59" t="str">
            <v>-7.8Ti</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cell r="BD59" t="str">
            <v/>
          </cell>
          <cell r="BE59" t="str">
            <v/>
          </cell>
          <cell r="BF59" t="str">
            <v/>
          </cell>
          <cell r="BG59" t="str">
            <v/>
          </cell>
          <cell r="BH59" t="str">
            <v>10Ni-5Al-5W-8TiBocchini,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59" t="str">
            <v>Co-10.Ni-4.5Al-5.2W-7.8Ti</v>
          </cell>
          <cell r="BJ59" t="str">
            <v>82.5Co-10.0Ni-4.5Al-5.2W-7.8Ti</v>
          </cell>
        </row>
        <row r="60">
          <cell r="A60" t="str">
            <v>Co-10.2Ni-5.4Al-6.1W-5.9Ti</v>
          </cell>
          <cell r="B60" t="str">
            <v>CoAlWX+</v>
          </cell>
          <cell r="C60" t="str">
            <v>-10Ni-5Al-6W-6Ti</v>
          </cell>
          <cell r="D60" t="str">
            <v>10Ni-6Al-6W-6Ti</v>
          </cell>
          <cell r="E60"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0">
            <v>68</v>
          </cell>
          <cell r="G60">
            <v>72.400000000000006</v>
          </cell>
          <cell r="H60">
            <v>10.199999999999999</v>
          </cell>
          <cell r="I60">
            <v>5.4</v>
          </cell>
          <cell r="J60"/>
          <cell r="K60">
            <v>6.1</v>
          </cell>
          <cell r="L60">
            <v>5.9</v>
          </cell>
          <cell r="M60"/>
          <cell r="N60"/>
          <cell r="O60"/>
          <cell r="P60"/>
          <cell r="Q60"/>
          <cell r="R60"/>
          <cell r="S60"/>
          <cell r="T60"/>
          <cell r="U60"/>
          <cell r="V60"/>
          <cell r="W60"/>
          <cell r="X60"/>
          <cell r="Y60"/>
          <cell r="Z60"/>
          <cell r="AA60"/>
          <cell r="AB60"/>
          <cell r="AC60"/>
          <cell r="AD60"/>
          <cell r="AE60"/>
          <cell r="AF60">
            <v>8.9381790000000017</v>
          </cell>
          <cell r="AG60">
            <v>9.17</v>
          </cell>
          <cell r="AH60"/>
          <cell r="AI60" t="str">
            <v>Co</v>
          </cell>
          <cell r="AJ60" t="str">
            <v>-5.4Al</v>
          </cell>
          <cell r="AK60" t="str">
            <v>-6.1W</v>
          </cell>
          <cell r="AL60" t="str">
            <v>-10.2Ni</v>
          </cell>
          <cell r="AM60" t="str">
            <v/>
          </cell>
          <cell r="AN60" t="str">
            <v/>
          </cell>
          <cell r="AO60" t="str">
            <v/>
          </cell>
          <cell r="AP60" t="str">
            <v/>
          </cell>
          <cell r="AQ60" t="str">
            <v>-5.9Ti</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cell r="BD60" t="str">
            <v/>
          </cell>
          <cell r="BE60" t="str">
            <v/>
          </cell>
          <cell r="BF60" t="str">
            <v/>
          </cell>
          <cell r="BG60" t="str">
            <v/>
          </cell>
          <cell r="BH60" t="str">
            <v>10Ni-6Al-6W-6TiBocchini,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0" t="str">
            <v>Co-10.2Ni-5.4Al-6.1W-5.9Ti</v>
          </cell>
          <cell r="BJ60" t="str">
            <v>82.6Co-10.2Ni-5.4Al-6.1W-5.9Ti</v>
          </cell>
        </row>
        <row r="61">
          <cell r="A61" t="str">
            <v>Co-10.3Ni-6.3Al-7.W-4.1Ti</v>
          </cell>
          <cell r="B61" t="str">
            <v>CoAlWX+</v>
          </cell>
          <cell r="C61" t="str">
            <v>-10Ni-6Al-7W-4Ti</v>
          </cell>
          <cell r="D61" t="str">
            <v>10Ni-7Al-7W-4Ti</v>
          </cell>
          <cell r="E61"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1">
            <v>69</v>
          </cell>
          <cell r="G61">
            <v>72.3</v>
          </cell>
          <cell r="H61">
            <v>10.3</v>
          </cell>
          <cell r="I61">
            <v>6.3</v>
          </cell>
          <cell r="J61"/>
          <cell r="K61">
            <v>7</v>
          </cell>
          <cell r="L61">
            <v>4.0999999999999996</v>
          </cell>
          <cell r="M61"/>
          <cell r="N61"/>
          <cell r="O61"/>
          <cell r="P61"/>
          <cell r="Q61"/>
          <cell r="R61"/>
          <cell r="S61"/>
          <cell r="T61"/>
          <cell r="U61"/>
          <cell r="V61"/>
          <cell r="W61"/>
          <cell r="X61"/>
          <cell r="Y61"/>
          <cell r="Z61"/>
          <cell r="AA61"/>
          <cell r="AB61"/>
          <cell r="AC61"/>
          <cell r="AD61"/>
          <cell r="AE61"/>
          <cell r="AF61">
            <v>9.0546109999999995</v>
          </cell>
          <cell r="AG61">
            <v>9.3699999999999992</v>
          </cell>
          <cell r="AH61"/>
          <cell r="AI61" t="str">
            <v>Co</v>
          </cell>
          <cell r="AJ61" t="str">
            <v>-6.3Al</v>
          </cell>
          <cell r="AK61" t="str">
            <v>-7.W</v>
          </cell>
          <cell r="AL61" t="str">
            <v>-10.3Ni</v>
          </cell>
          <cell r="AM61" t="str">
            <v/>
          </cell>
          <cell r="AN61" t="str">
            <v/>
          </cell>
          <cell r="AO61" t="str">
            <v/>
          </cell>
          <cell r="AP61" t="str">
            <v/>
          </cell>
          <cell r="AQ61" t="str">
            <v>-4.1Ti</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cell r="BD61" t="str">
            <v/>
          </cell>
          <cell r="BE61" t="str">
            <v/>
          </cell>
          <cell r="BF61" t="str">
            <v/>
          </cell>
          <cell r="BG61" t="str">
            <v/>
          </cell>
          <cell r="BH61" t="str">
            <v>10Ni-7Al-7W-4TiBocchini,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1" t="str">
            <v>Co-10.3Ni-6.3Al-7.W-4.1Ti</v>
          </cell>
          <cell r="BJ61" t="str">
            <v>82.6Co-10.3Ni-6.3Al-7.0W-4.1Ti</v>
          </cell>
        </row>
        <row r="62">
          <cell r="A62" t="str">
            <v>Co-10.2Ni-7.3Al-8.W-2.2Ti</v>
          </cell>
          <cell r="B62" t="str">
            <v>CoAlWX+</v>
          </cell>
          <cell r="C62" t="str">
            <v>-10Ni-7Al-8W-2Ti</v>
          </cell>
          <cell r="D62" t="str">
            <v>10Ni-8Al-8W-2Ti</v>
          </cell>
          <cell r="E62"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F62">
            <v>70</v>
          </cell>
          <cell r="G62">
            <v>72.3</v>
          </cell>
          <cell r="H62">
            <v>10.199999999999999</v>
          </cell>
          <cell r="I62">
            <v>7.3</v>
          </cell>
          <cell r="J62"/>
          <cell r="K62">
            <v>8</v>
          </cell>
          <cell r="L62">
            <v>2.2000000000000002</v>
          </cell>
          <cell r="M62"/>
          <cell r="N62"/>
          <cell r="O62"/>
          <cell r="P62"/>
          <cell r="Q62"/>
          <cell r="R62"/>
          <cell r="S62"/>
          <cell r="T62"/>
          <cell r="U62"/>
          <cell r="V62"/>
          <cell r="W62"/>
          <cell r="X62"/>
          <cell r="Y62"/>
          <cell r="Z62"/>
          <cell r="AA62"/>
          <cell r="AB62"/>
          <cell r="AC62"/>
          <cell r="AD62"/>
          <cell r="AE62"/>
          <cell r="AF62">
            <v>9.17957</v>
          </cell>
          <cell r="AG62">
            <v>9.51</v>
          </cell>
          <cell r="AH62"/>
          <cell r="AI62" t="str">
            <v>Co</v>
          </cell>
          <cell r="AJ62" t="str">
            <v>-7.3Al</v>
          </cell>
          <cell r="AK62" t="str">
            <v>-8.W</v>
          </cell>
          <cell r="AL62" t="str">
            <v>-10.2Ni</v>
          </cell>
          <cell r="AM62" t="str">
            <v/>
          </cell>
          <cell r="AN62" t="str">
            <v/>
          </cell>
          <cell r="AO62" t="str">
            <v/>
          </cell>
          <cell r="AP62" t="str">
            <v/>
          </cell>
          <cell r="AQ62" t="str">
            <v>-2.2Ti</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cell r="BD62" t="str">
            <v/>
          </cell>
          <cell r="BE62" t="str">
            <v/>
          </cell>
          <cell r="BF62" t="str">
            <v/>
          </cell>
          <cell r="BG62" t="str">
            <v/>
          </cell>
          <cell r="BH62" t="str">
            <v>10Ni-8Al-8W-2TiBocchini,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v>
          </cell>
          <cell r="BI62" t="str">
            <v>Co-10.2Ni-7.3Al-8.W-2.2Ti</v>
          </cell>
          <cell r="BJ62" t="str">
            <v>82.5Co-10.2Ni-7.3Al-8.0W-2.2Ti</v>
          </cell>
        </row>
        <row r="63">
          <cell r="A63" t="str">
            <v>Co-10.2Ni-8.1Al-8.9W-0.Ti</v>
          </cell>
          <cell r="B63" t="str">
            <v>CoAlWX+</v>
          </cell>
          <cell r="C63" t="str">
            <v>-10Ni-8Al-9W-0Ti</v>
          </cell>
          <cell r="D63" t="str">
            <v>10Ni-9Al-9W-0Ti</v>
          </cell>
          <cell r="E63" t="str">
            <v>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v>
          </cell>
          <cell r="F63">
            <v>71</v>
          </cell>
          <cell r="G63">
            <v>72.800000000000011</v>
          </cell>
          <cell r="H63">
            <v>10.199999999999999</v>
          </cell>
          <cell r="I63">
            <v>8.1</v>
          </cell>
          <cell r="J63"/>
          <cell r="K63">
            <v>8.9</v>
          </cell>
          <cell r="L63">
            <v>0</v>
          </cell>
          <cell r="M63"/>
          <cell r="N63"/>
          <cell r="O63"/>
          <cell r="P63"/>
          <cell r="Q63"/>
          <cell r="R63"/>
          <cell r="S63"/>
          <cell r="T63"/>
          <cell r="U63"/>
          <cell r="V63"/>
          <cell r="W63"/>
          <cell r="X63"/>
          <cell r="Y63"/>
          <cell r="Z63"/>
          <cell r="AA63"/>
          <cell r="AB63"/>
          <cell r="AC63"/>
          <cell r="AD63"/>
          <cell r="AE63"/>
          <cell r="AF63">
            <v>9.3197660000000013</v>
          </cell>
          <cell r="AG63">
            <v>9.6999999999999993</v>
          </cell>
          <cell r="AH63"/>
          <cell r="AI63" t="str">
            <v>Co</v>
          </cell>
          <cell r="AJ63" t="str">
            <v>-8.1Al</v>
          </cell>
          <cell r="AK63" t="str">
            <v>-8.9W</v>
          </cell>
          <cell r="AL63" t="str">
            <v>-10.2Ni</v>
          </cell>
          <cell r="AM63" t="str">
            <v/>
          </cell>
          <cell r="AN63" t="str">
            <v/>
          </cell>
          <cell r="AO63" t="str">
            <v/>
          </cell>
          <cell r="AP63" t="str">
            <v/>
          </cell>
          <cell r="AQ63" t="str">
            <v>-0.Ti</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cell r="BD63" t="str">
            <v/>
          </cell>
          <cell r="BE63" t="str">
            <v/>
          </cell>
          <cell r="BF63" t="str">
            <v/>
          </cell>
          <cell r="BG63" t="str">
            <v/>
          </cell>
          <cell r="BH63" t="str">
            <v>10Ni-9Al-9W-0TiBocchini, P. J. (2015). Microstructure and Mechanical Properties in Gamma(face-centered cubic) + Gamma Prime(L1 2 ) Precipitation-Strengthened Cobalt-based Superalloys. AND Bocchini, P. J., Sudbrack, C. K., Noebe, R. D., Dunand, D. C., &amp; Seidman, D. N.  AND Bocchini, P. J., Sudbrack, C. K., Noebe, R. D., Dunand, D. C., &amp; Seidman, D. N. (2017). Microstructural and creep properties of boron- and zirconium-containing cobalt-based superalloys. Materials Science and Engineering A, 682, 260–269. https://doi.org/10.1016/j.msea.2016.10.124 AND Dunand, D. C. et al. ‘Designing Nanoscale Precipitates in Novel Cobalt-based Superalloys to Improve Creep Resistance and Operating Temperature’ Final Technical Report. (2010).</v>
          </cell>
          <cell r="BI63" t="str">
            <v>Co-10.2Ni-8.1Al-8.9W-0.Ti</v>
          </cell>
          <cell r="BJ63" t="str">
            <v>83.0Co-10.2Ni-8.1Al-8.9W-0.0Ti</v>
          </cell>
        </row>
        <row r="64">
          <cell r="A64" t="str">
            <v>Co-9.5Al-7.5W</v>
          </cell>
          <cell r="B64" t="str">
            <v>CoAlW-X</v>
          </cell>
          <cell r="C64" t="str">
            <v>-9Al-7W-B</v>
          </cell>
          <cell r="D64" t="str">
            <v>Co-9.5Al-7.5W</v>
          </cell>
          <cell r="E64"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4">
            <v>72</v>
          </cell>
          <cell r="G64">
            <v>83.06</v>
          </cell>
          <cell r="H64"/>
          <cell r="I64">
            <v>9.49</v>
          </cell>
          <cell r="J64"/>
          <cell r="K64">
            <v>7.45</v>
          </cell>
          <cell r="L64"/>
          <cell r="M64"/>
          <cell r="N64"/>
          <cell r="O64"/>
          <cell r="P64"/>
          <cell r="Q64"/>
          <cell r="R64"/>
          <cell r="S64"/>
          <cell r="T64"/>
          <cell r="U64"/>
          <cell r="V64"/>
          <cell r="W64"/>
          <cell r="X64"/>
          <cell r="Y64"/>
          <cell r="Z64"/>
          <cell r="AA64"/>
          <cell r="AB64"/>
          <cell r="AC64"/>
          <cell r="AD64"/>
          <cell r="AE64"/>
          <cell r="AF64">
            <v>9.0826950000000011</v>
          </cell>
          <cell r="AG64"/>
          <cell r="AH64"/>
          <cell r="AI64" t="str">
            <v>Co</v>
          </cell>
          <cell r="AJ64" t="str">
            <v>-9.5Al</v>
          </cell>
          <cell r="AK64" t="str">
            <v>-7.5W</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cell r="BD64" t="str">
            <v/>
          </cell>
          <cell r="BE64" t="str">
            <v/>
          </cell>
          <cell r="BF64" t="str">
            <v/>
          </cell>
          <cell r="BG64" t="str">
            <v/>
          </cell>
          <cell r="BH64" t="str">
            <v>Co-9.5Al-7.5WBocchini,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4" t="str">
            <v>Co-9.5Al-7.5W</v>
          </cell>
          <cell r="BJ64" t="str">
            <v>83.0Co-9.5Al-7.5W-0.04B</v>
          </cell>
        </row>
        <row r="65">
          <cell r="A65" t="str">
            <v>Co-9.6Al-7.5W-0.04B</v>
          </cell>
          <cell r="B65" t="str">
            <v>CoAlW-X</v>
          </cell>
          <cell r="C65" t="str">
            <v>-10Al-8W-B</v>
          </cell>
          <cell r="D65" t="str">
            <v>Co-9.5Al-7.5W-0.05B</v>
          </cell>
          <cell r="E65"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5">
            <v>73</v>
          </cell>
          <cell r="G65">
            <v>82.901499999999999</v>
          </cell>
          <cell r="H65"/>
          <cell r="I65">
            <v>9.56</v>
          </cell>
          <cell r="J65"/>
          <cell r="K65">
            <v>7.5</v>
          </cell>
          <cell r="L65"/>
          <cell r="M65"/>
          <cell r="N65"/>
          <cell r="O65"/>
          <cell r="P65"/>
          <cell r="Q65"/>
          <cell r="R65"/>
          <cell r="S65">
            <v>3.85E-2</v>
          </cell>
          <cell r="T65"/>
          <cell r="U65"/>
          <cell r="V65"/>
          <cell r="W65"/>
          <cell r="X65"/>
          <cell r="Y65"/>
          <cell r="Z65"/>
          <cell r="AA65"/>
          <cell r="AB65"/>
          <cell r="AC65"/>
          <cell r="AD65"/>
          <cell r="AE65"/>
          <cell r="AF65">
            <v>9.0810505999999993</v>
          </cell>
          <cell r="AG65"/>
          <cell r="AH65"/>
          <cell r="AI65" t="str">
            <v>Co</v>
          </cell>
          <cell r="AJ65" t="str">
            <v>-9.6Al</v>
          </cell>
          <cell r="AK65" t="str">
            <v>-7.5W</v>
          </cell>
          <cell r="AL65" t="str">
            <v/>
          </cell>
          <cell r="AM65" t="str">
            <v/>
          </cell>
          <cell r="AN65" t="str">
            <v/>
          </cell>
          <cell r="AO65" t="str">
            <v/>
          </cell>
          <cell r="AP65" t="str">
            <v/>
          </cell>
          <cell r="AQ65" t="str">
            <v/>
          </cell>
          <cell r="AR65" t="str">
            <v/>
          </cell>
          <cell r="AS65" t="str">
            <v/>
          </cell>
          <cell r="AT65" t="str">
            <v/>
          </cell>
          <cell r="AU65" t="str">
            <v>-0.04B</v>
          </cell>
          <cell r="AV65" t="str">
            <v/>
          </cell>
          <cell r="AW65" t="str">
            <v/>
          </cell>
          <cell r="AX65" t="str">
            <v/>
          </cell>
          <cell r="AY65" t="str">
            <v/>
          </cell>
          <cell r="AZ65" t="str">
            <v/>
          </cell>
          <cell r="BA65" t="str">
            <v/>
          </cell>
          <cell r="BB65" t="str">
            <v/>
          </cell>
          <cell r="BC65" t="str">
            <v/>
          </cell>
          <cell r="BD65" t="str">
            <v/>
          </cell>
          <cell r="BE65" t="str">
            <v/>
          </cell>
          <cell r="BF65" t="str">
            <v/>
          </cell>
          <cell r="BG65" t="str">
            <v/>
          </cell>
          <cell r="BH65" t="str">
            <v>Co-9.5Al-7.5W-0.05BBocchini,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5" t="str">
            <v>Co-9.6Al-7.5W-0.04B</v>
          </cell>
          <cell r="BJ65" t="str">
            <v>82.9Co-9.6Al-7.5W-0.04B</v>
          </cell>
        </row>
        <row r="66">
          <cell r="A66" t="str">
            <v>Co-9.9Al-7.6W-0.01B</v>
          </cell>
          <cell r="B66" t="str">
            <v>CoAlW-X</v>
          </cell>
          <cell r="C66" t="str">
            <v>-10Al-8W-B</v>
          </cell>
          <cell r="D66" t="str">
            <v>Co-9.5Al-7.5W-0.01B</v>
          </cell>
          <cell r="E66"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6">
            <v>74</v>
          </cell>
          <cell r="G66">
            <v>82.500799999999998</v>
          </cell>
          <cell r="H66"/>
          <cell r="I66">
            <v>9.85</v>
          </cell>
          <cell r="J66"/>
          <cell r="K66">
            <v>7.64</v>
          </cell>
          <cell r="L66"/>
          <cell r="M66"/>
          <cell r="N66"/>
          <cell r="O66"/>
          <cell r="P66"/>
          <cell r="Q66"/>
          <cell r="R66"/>
          <cell r="S66">
            <v>9.1999999999999998E-3</v>
          </cell>
          <cell r="T66"/>
          <cell r="U66"/>
          <cell r="V66"/>
          <cell r="W66"/>
          <cell r="X66"/>
          <cell r="Y66"/>
          <cell r="Z66"/>
          <cell r="AA66"/>
          <cell r="AB66"/>
          <cell r="AC66"/>
          <cell r="AD66"/>
          <cell r="AE66"/>
          <cell r="AF66">
            <v>9.0794475200000004</v>
          </cell>
          <cell r="AG66"/>
          <cell r="AH66"/>
          <cell r="AI66" t="str">
            <v>Co</v>
          </cell>
          <cell r="AJ66" t="str">
            <v>-9.9Al</v>
          </cell>
          <cell r="AK66" t="str">
            <v>-7.6W</v>
          </cell>
          <cell r="AL66" t="str">
            <v/>
          </cell>
          <cell r="AM66" t="str">
            <v/>
          </cell>
          <cell r="AN66" t="str">
            <v/>
          </cell>
          <cell r="AO66" t="str">
            <v/>
          </cell>
          <cell r="AP66" t="str">
            <v/>
          </cell>
          <cell r="AQ66" t="str">
            <v/>
          </cell>
          <cell r="AR66" t="str">
            <v/>
          </cell>
          <cell r="AS66" t="str">
            <v/>
          </cell>
          <cell r="AT66" t="str">
            <v/>
          </cell>
          <cell r="AU66" t="str">
            <v>-0.01B</v>
          </cell>
          <cell r="AV66" t="str">
            <v/>
          </cell>
          <cell r="AW66" t="str">
            <v/>
          </cell>
          <cell r="AX66" t="str">
            <v/>
          </cell>
          <cell r="AY66" t="str">
            <v/>
          </cell>
          <cell r="AZ66" t="str">
            <v/>
          </cell>
          <cell r="BA66" t="str">
            <v/>
          </cell>
          <cell r="BB66" t="str">
            <v/>
          </cell>
          <cell r="BC66" t="str">
            <v/>
          </cell>
          <cell r="BD66" t="str">
            <v/>
          </cell>
          <cell r="BE66" t="str">
            <v/>
          </cell>
          <cell r="BF66" t="str">
            <v/>
          </cell>
          <cell r="BG66" t="str">
            <v/>
          </cell>
          <cell r="BH66" t="str">
            <v>Co-9.5Al-7.5W-0.01BBocchini,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6" t="str">
            <v>Co-9.9Al-7.6W-0.01B</v>
          </cell>
          <cell r="BJ66" t="str">
            <v>82.5Co-9.9Al-7.6W-0.0Ir-0.01B</v>
          </cell>
        </row>
        <row r="67">
          <cell r="A67" t="str">
            <v>Co-9.6Al-7.4W-0.04Zr</v>
          </cell>
          <cell r="B67" t="str">
            <v>CoAlW-X</v>
          </cell>
          <cell r="C67" t="str">
            <v>-10Al-7W-Zr</v>
          </cell>
          <cell r="D67" t="str">
            <v>Co-9.5Al-7.5W-0.05Zr</v>
          </cell>
          <cell r="E67"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7">
            <v>75</v>
          </cell>
          <cell r="G67">
            <v>82.984999999999999</v>
          </cell>
          <cell r="H67"/>
          <cell r="I67">
            <v>9.58</v>
          </cell>
          <cell r="J67"/>
          <cell r="K67">
            <v>7.4</v>
          </cell>
          <cell r="L67"/>
          <cell r="M67"/>
          <cell r="N67"/>
          <cell r="O67"/>
          <cell r="P67"/>
          <cell r="Q67"/>
          <cell r="R67">
            <v>3.5000000000000003E-2</v>
          </cell>
          <cell r="S67"/>
          <cell r="T67"/>
          <cell r="U67"/>
          <cell r="V67"/>
          <cell r="W67"/>
          <cell r="X67"/>
          <cell r="Y67"/>
          <cell r="Z67"/>
          <cell r="AA67"/>
          <cell r="AB67"/>
          <cell r="AC67"/>
          <cell r="AD67"/>
          <cell r="AE67"/>
          <cell r="AF67">
            <v>9.0711038500000001</v>
          </cell>
          <cell r="AG67"/>
          <cell r="AH67"/>
          <cell r="AI67" t="str">
            <v>Co</v>
          </cell>
          <cell r="AJ67" t="str">
            <v>-9.6Al</v>
          </cell>
          <cell r="AK67" t="str">
            <v>-7.4W</v>
          </cell>
          <cell r="AL67" t="str">
            <v/>
          </cell>
          <cell r="AM67" t="str">
            <v/>
          </cell>
          <cell r="AN67" t="str">
            <v/>
          </cell>
          <cell r="AO67" t="str">
            <v/>
          </cell>
          <cell r="AP67" t="str">
            <v/>
          </cell>
          <cell r="AQ67" t="str">
            <v/>
          </cell>
          <cell r="AR67" t="str">
            <v/>
          </cell>
          <cell r="AS67" t="str">
            <v/>
          </cell>
          <cell r="AT67" t="str">
            <v>-0.04Zr</v>
          </cell>
          <cell r="AU67" t="str">
            <v/>
          </cell>
          <cell r="AV67" t="str">
            <v/>
          </cell>
          <cell r="AW67" t="str">
            <v/>
          </cell>
          <cell r="AX67" t="str">
            <v/>
          </cell>
          <cell r="AY67" t="str">
            <v/>
          </cell>
          <cell r="AZ67" t="str">
            <v/>
          </cell>
          <cell r="BA67" t="str">
            <v/>
          </cell>
          <cell r="BB67" t="str">
            <v/>
          </cell>
          <cell r="BC67" t="str">
            <v/>
          </cell>
          <cell r="BD67" t="str">
            <v/>
          </cell>
          <cell r="BE67" t="str">
            <v/>
          </cell>
          <cell r="BF67" t="str">
            <v/>
          </cell>
          <cell r="BG67" t="str">
            <v/>
          </cell>
          <cell r="BH67" t="str">
            <v>Co-9.5Al-7.5W-0.05ZrBocchini,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7" t="str">
            <v>Co-9.6Al-7.4W-0.04Zr</v>
          </cell>
          <cell r="BJ67" t="str">
            <v>83.0Co-9.6Al-7.4W-0.04Zr</v>
          </cell>
        </row>
        <row r="68">
          <cell r="A68" t="str">
            <v>Co-9.5Al-7.7W-0.03Zr-0.01B</v>
          </cell>
          <cell r="B68" t="str">
            <v>CoAlW-X</v>
          </cell>
          <cell r="C68" t="str">
            <v>-10Al-8W-Zr-B</v>
          </cell>
          <cell r="D68" t="str">
            <v>Co-9.5Al-7.5W-0.05B-0.05Zr</v>
          </cell>
          <cell r="E68" t="str">
            <v>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F68">
            <v>76</v>
          </cell>
          <cell r="G68">
            <v>82.777100000000004</v>
          </cell>
          <cell r="H68"/>
          <cell r="I68">
            <v>9.5299999999999994</v>
          </cell>
          <cell r="J68"/>
          <cell r="K68">
            <v>7.66</v>
          </cell>
          <cell r="L68"/>
          <cell r="M68"/>
          <cell r="N68"/>
          <cell r="O68"/>
          <cell r="P68"/>
          <cell r="Q68"/>
          <cell r="R68">
            <v>2.75E-2</v>
          </cell>
          <cell r="S68">
            <v>5.4000000000000003E-3</v>
          </cell>
          <cell r="T68"/>
          <cell r="U68"/>
          <cell r="V68"/>
          <cell r="W68"/>
          <cell r="X68"/>
          <cell r="Y68"/>
          <cell r="Z68"/>
          <cell r="AA68"/>
          <cell r="AB68"/>
          <cell r="AC68"/>
          <cell r="AD68"/>
          <cell r="AE68"/>
          <cell r="AF68">
            <v>9.1009452650000018</v>
          </cell>
          <cell r="AG68"/>
          <cell r="AH68"/>
          <cell r="AI68" t="str">
            <v>Co</v>
          </cell>
          <cell r="AJ68" t="str">
            <v>-9.5Al</v>
          </cell>
          <cell r="AK68" t="str">
            <v>-7.7W</v>
          </cell>
          <cell r="AL68" t="str">
            <v/>
          </cell>
          <cell r="AM68" t="str">
            <v/>
          </cell>
          <cell r="AN68" t="str">
            <v/>
          </cell>
          <cell r="AO68" t="str">
            <v/>
          </cell>
          <cell r="AP68" t="str">
            <v/>
          </cell>
          <cell r="AQ68" t="str">
            <v/>
          </cell>
          <cell r="AR68" t="str">
            <v/>
          </cell>
          <cell r="AS68" t="str">
            <v/>
          </cell>
          <cell r="AT68" t="str">
            <v>-0.03Zr</v>
          </cell>
          <cell r="AU68" t="str">
            <v>-0.01B</v>
          </cell>
          <cell r="AV68" t="str">
            <v/>
          </cell>
          <cell r="AW68" t="str">
            <v/>
          </cell>
          <cell r="AX68" t="str">
            <v/>
          </cell>
          <cell r="AY68" t="str">
            <v/>
          </cell>
          <cell r="AZ68" t="str">
            <v/>
          </cell>
          <cell r="BA68" t="str">
            <v/>
          </cell>
          <cell r="BB68" t="str">
            <v/>
          </cell>
          <cell r="BC68" t="str">
            <v/>
          </cell>
          <cell r="BD68" t="str">
            <v/>
          </cell>
          <cell r="BE68" t="str">
            <v/>
          </cell>
          <cell r="BF68" t="str">
            <v/>
          </cell>
          <cell r="BG68" t="str">
            <v/>
          </cell>
          <cell r="BH68" t="str">
            <v>Co-9.5Al-7.5W-0.05B-0.05ZrBocchini, P. J. (2015). Microstructure and Mechanical Properties in Gamma(face-centered cubic) + Gamma Prime(L1 2 ) Precipitation-Strengthened Cobalt-based Superalloys. AND Bocchini, P. J., Sudbrack, C. K., Noebe, R. D., Dunand, D. C., &amp; Seidman, D. N. (2017). Microstructural and creep properties of boron- and zirconium-containing cobalt-based superalloys. Materials Science and Engineering A, 682, 260–269. https://doi.org/10.1016/j.msea.2016.10.124</v>
          </cell>
          <cell r="BI68" t="str">
            <v>Co-9.5Al-7.7W-0.03Zr-0.01B</v>
          </cell>
          <cell r="BJ68" t="str">
            <v>82.8Co-9.5Al-7.7W-0.03Zr-0.01B</v>
          </cell>
        </row>
        <row r="69">
          <cell r="A69" t="str">
            <v>Co-10.Ni-5.8Al-6.2Ti</v>
          </cell>
          <cell r="B69" t="str">
            <v>Co3Ti</v>
          </cell>
          <cell r="C69" t="str">
            <v>-10Ni-6Al-6Ti</v>
          </cell>
          <cell r="D69" t="str">
            <v>10Ni-6Al-0W-6Ti</v>
          </cell>
          <cell r="E69"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69">
            <v>77</v>
          </cell>
          <cell r="G69">
            <v>78</v>
          </cell>
          <cell r="H69">
            <v>10</v>
          </cell>
          <cell r="I69">
            <v>5.8</v>
          </cell>
          <cell r="J69"/>
          <cell r="K69"/>
          <cell r="L69">
            <v>6.2</v>
          </cell>
          <cell r="M69"/>
          <cell r="N69"/>
          <cell r="O69"/>
          <cell r="P69"/>
          <cell r="Q69"/>
          <cell r="R69"/>
          <cell r="S69"/>
          <cell r="T69"/>
          <cell r="U69"/>
          <cell r="V69"/>
          <cell r="W69"/>
          <cell r="X69"/>
          <cell r="Y69"/>
          <cell r="Z69"/>
          <cell r="AA69"/>
          <cell r="AB69"/>
          <cell r="AC69"/>
          <cell r="AD69"/>
          <cell r="AE69"/>
          <cell r="AF69">
            <v>8.268834</v>
          </cell>
          <cell r="AG69">
            <v>8.1999999999999993</v>
          </cell>
          <cell r="AH69"/>
          <cell r="AI69" t="str">
            <v>Co</v>
          </cell>
          <cell r="AJ69" t="str">
            <v>-5.8Al</v>
          </cell>
          <cell r="AK69" t="str">
            <v/>
          </cell>
          <cell r="AL69" t="str">
            <v>-10.Ni</v>
          </cell>
          <cell r="AM69" t="str">
            <v/>
          </cell>
          <cell r="AN69" t="str">
            <v/>
          </cell>
          <cell r="AO69" t="str">
            <v/>
          </cell>
          <cell r="AP69" t="str">
            <v/>
          </cell>
          <cell r="AQ69" t="str">
            <v>-6.2Ti</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cell r="BD69" t="str">
            <v/>
          </cell>
          <cell r="BE69" t="str">
            <v/>
          </cell>
          <cell r="BF69" t="str">
            <v/>
          </cell>
          <cell r="BG69" t="str">
            <v/>
          </cell>
          <cell r="BH69" t="str">
            <v>10Ni-6Al-0W-6TiBocchini,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69" t="str">
            <v>Co-10.Ni-5.8Al-6.2Ti</v>
          </cell>
          <cell r="BJ69" t="str">
            <v>88.0Co-10.0Ni-5.8Al-6.2Ti</v>
          </cell>
        </row>
        <row r="70">
          <cell r="A70" t="str">
            <v>Co-10.1Ni-5.7Al-3.9W-6.2Ti</v>
          </cell>
          <cell r="B70" t="str">
            <v>Co3Ti</v>
          </cell>
          <cell r="C70" t="str">
            <v>-10Ni-6Al-4W-6Ti</v>
          </cell>
          <cell r="D70" t="str">
            <v>10Ni-6Al-4W-6Ti</v>
          </cell>
          <cell r="E70"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70">
            <v>78</v>
          </cell>
          <cell r="G70">
            <v>74.099999999999994</v>
          </cell>
          <cell r="H70">
            <v>10.1</v>
          </cell>
          <cell r="I70">
            <v>5.7</v>
          </cell>
          <cell r="J70"/>
          <cell r="K70">
            <v>3.9</v>
          </cell>
          <cell r="L70">
            <v>6.2</v>
          </cell>
          <cell r="M70"/>
          <cell r="N70"/>
          <cell r="O70"/>
          <cell r="P70"/>
          <cell r="Q70"/>
          <cell r="R70"/>
          <cell r="S70"/>
          <cell r="T70"/>
          <cell r="U70"/>
          <cell r="V70"/>
          <cell r="W70"/>
          <cell r="X70"/>
          <cell r="Y70"/>
          <cell r="Z70"/>
          <cell r="AA70"/>
          <cell r="AB70"/>
          <cell r="AC70"/>
          <cell r="AD70"/>
          <cell r="AE70"/>
          <cell r="AF70">
            <v>8.6786919999999999</v>
          </cell>
          <cell r="AG70">
            <v>8.86</v>
          </cell>
          <cell r="AH70"/>
          <cell r="AI70" t="str">
            <v>Co</v>
          </cell>
          <cell r="AJ70" t="str">
            <v>-5.7Al</v>
          </cell>
          <cell r="AK70" t="str">
            <v>-3.9W</v>
          </cell>
          <cell r="AL70" t="str">
            <v>-10.1Ni</v>
          </cell>
          <cell r="AM70" t="str">
            <v/>
          </cell>
          <cell r="AN70" t="str">
            <v/>
          </cell>
          <cell r="AO70" t="str">
            <v/>
          </cell>
          <cell r="AP70" t="str">
            <v/>
          </cell>
          <cell r="AQ70" t="str">
            <v>-6.2Ti</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cell r="BD70" t="str">
            <v/>
          </cell>
          <cell r="BE70" t="str">
            <v/>
          </cell>
          <cell r="BF70" t="str">
            <v/>
          </cell>
          <cell r="BG70" t="str">
            <v/>
          </cell>
          <cell r="BH70" t="str">
            <v>10Ni-6Al-4W-6TiBocchini,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70" t="str">
            <v>Co-10.1Ni-5.7Al-3.9W-6.2Ti</v>
          </cell>
          <cell r="BJ70" t="str">
            <v>84.2Co-10.1Ni-5.7Al-3.9W-6.2Ti</v>
          </cell>
        </row>
        <row r="71">
          <cell r="A71" t="str">
            <v>Co-10.Ni-5.9Al-2.W-6.1Ti</v>
          </cell>
          <cell r="B71" t="str">
            <v>Co3Ti</v>
          </cell>
          <cell r="C71" t="str">
            <v>-10Ni-6Al-2W-6Ti</v>
          </cell>
          <cell r="D71" t="str">
            <v>10Ni-6Al-2W-6Ti</v>
          </cell>
          <cell r="E71" t="str">
            <v>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F71">
            <v>79</v>
          </cell>
          <cell r="G71">
            <v>76</v>
          </cell>
          <cell r="H71">
            <v>10</v>
          </cell>
          <cell r="I71">
            <v>5.9</v>
          </cell>
          <cell r="J71"/>
          <cell r="K71">
            <v>2</v>
          </cell>
          <cell r="L71">
            <v>6.1</v>
          </cell>
          <cell r="M71"/>
          <cell r="N71"/>
          <cell r="O71"/>
          <cell r="P71"/>
          <cell r="Q71"/>
          <cell r="R71"/>
          <cell r="S71"/>
          <cell r="T71"/>
          <cell r="U71"/>
          <cell r="V71"/>
          <cell r="W71"/>
          <cell r="X71"/>
          <cell r="Y71"/>
          <cell r="Z71"/>
          <cell r="AA71"/>
          <cell r="AB71"/>
          <cell r="AC71"/>
          <cell r="AD71"/>
          <cell r="AE71"/>
          <cell r="AF71">
            <v>8.4740269999999995</v>
          </cell>
          <cell r="AG71">
            <v>8.5399999999999991</v>
          </cell>
          <cell r="AH71"/>
          <cell r="AI71" t="str">
            <v>Co</v>
          </cell>
          <cell r="AJ71" t="str">
            <v>-5.9Al</v>
          </cell>
          <cell r="AK71" t="str">
            <v>-2.W</v>
          </cell>
          <cell r="AL71" t="str">
            <v>-10.Ni</v>
          </cell>
          <cell r="AM71" t="str">
            <v/>
          </cell>
          <cell r="AN71" t="str">
            <v/>
          </cell>
          <cell r="AO71" t="str">
            <v/>
          </cell>
          <cell r="AP71" t="str">
            <v/>
          </cell>
          <cell r="AQ71" t="str">
            <v>-6.1Ti</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cell r="BD71" t="str">
            <v/>
          </cell>
          <cell r="BE71" t="str">
            <v/>
          </cell>
          <cell r="BF71" t="str">
            <v/>
          </cell>
          <cell r="BG71" t="str">
            <v/>
          </cell>
          <cell r="BH71" t="str">
            <v>10Ni-6Al-2W-6TiBocchini, P. J. (2015). Microstructure and Mechanical Properties in Gamma(face-centered cubic) + Gamma Prime(L1 2 ) Precipitation-Strengthened Cobalt-based Superalloys. AND Bocchini, P. J., Sudbrack, C. K., Sauza, D. J., Noebe, R. D., Seidman, D. N., &amp; Dunand, D. C. (2017). Effect of tungsten concentration on microstructures of Co-10Ni-6Al-(0,2,4,6)W-6Ti (at%) cobalt-based superalloys. Materials Science and Engineering A, 700, 481–486. https://doi.org/10.1016/j.msea.2017.06.018</v>
          </cell>
          <cell r="BI71" t="str">
            <v>Co-10.Ni-5.9Al-2.W-6.1Ti</v>
          </cell>
          <cell r="BJ71" t="str">
            <v>86.0Co-10.0Ni-5.9Al-2.0W-6.1Ti</v>
          </cell>
        </row>
        <row r="72">
          <cell r="A72" t="str">
            <v>Co-3.9Ni-31.Fe-4.9Al-7.8Cr-8.7W</v>
          </cell>
          <cell r="B72" t="str">
            <v>CoAlWX+</v>
          </cell>
          <cell r="C72" t="str">
            <v>-4Ni-31Fe-5Al-8Cr-9W</v>
          </cell>
          <cell r="D72" t="str">
            <v>Co-8Al-12.5W-SS</v>
          </cell>
          <cell r="E72" t="str">
            <v>Cartón-Cordero, M., Srinivasarao, B., Campos, M., García-Junceda, A., &amp; Torralba, J. M. (2016). On the role of processing parameters in sintered new Co-based (W,Al) alloys. Journal of Alloys and Compounds, 674, 406–412. https://doi.org/10.1016/j.jallcom.2016.03.077</v>
          </cell>
          <cell r="F72">
            <v>80</v>
          </cell>
          <cell r="G72">
            <v>43.7</v>
          </cell>
          <cell r="H72">
            <v>3.9</v>
          </cell>
          <cell r="I72">
            <v>4.9000000000000004</v>
          </cell>
          <cell r="J72">
            <v>7.8</v>
          </cell>
          <cell r="K72">
            <v>8.6999999999999993</v>
          </cell>
          <cell r="L72"/>
          <cell r="M72"/>
          <cell r="N72"/>
          <cell r="O72"/>
          <cell r="P72"/>
          <cell r="Q72"/>
          <cell r="R72"/>
          <cell r="S72"/>
          <cell r="T72"/>
          <cell r="U72"/>
          <cell r="V72"/>
          <cell r="W72">
            <v>31</v>
          </cell>
          <cell r="X72"/>
          <cell r="Y72"/>
          <cell r="Z72"/>
          <cell r="AA72"/>
          <cell r="AB72"/>
          <cell r="AC72"/>
          <cell r="AD72"/>
          <cell r="AE72"/>
          <cell r="AF72">
            <v>9.0455220000000001</v>
          </cell>
          <cell r="AG72"/>
          <cell r="AH72" t="str">
            <v>mechanical alloying--Stainless steel. Carbides, no g'</v>
          </cell>
          <cell r="AI72" t="str">
            <v>Co</v>
          </cell>
          <cell r="AJ72" t="str">
            <v>-4.9Al</v>
          </cell>
          <cell r="AK72" t="str">
            <v>-8.7W</v>
          </cell>
          <cell r="AL72" t="str">
            <v>-3.9Ni</v>
          </cell>
          <cell r="AM72" t="str">
            <v>-7.8Cr</v>
          </cell>
          <cell r="AN72" t="str">
            <v/>
          </cell>
          <cell r="AO72" t="str">
            <v/>
          </cell>
          <cell r="AP72" t="str">
            <v/>
          </cell>
          <cell r="AQ72" t="str">
            <v/>
          </cell>
          <cell r="AR72" t="str">
            <v/>
          </cell>
          <cell r="AS72" t="str">
            <v/>
          </cell>
          <cell r="AT72" t="str">
            <v/>
          </cell>
          <cell r="AU72" t="str">
            <v/>
          </cell>
          <cell r="AV72" t="str">
            <v/>
          </cell>
          <cell r="AW72" t="str">
            <v/>
          </cell>
          <cell r="AX72" t="str">
            <v/>
          </cell>
          <cell r="AY72" t="str">
            <v>-31.Fe</v>
          </cell>
          <cell r="AZ72" t="str">
            <v/>
          </cell>
          <cell r="BA72" t="str">
            <v/>
          </cell>
          <cell r="BB72" t="str">
            <v/>
          </cell>
          <cell r="BC72" t="str">
            <v/>
          </cell>
          <cell r="BD72" t="str">
            <v/>
          </cell>
          <cell r="BE72" t="str">
            <v/>
          </cell>
          <cell r="BF72" t="str">
            <v/>
          </cell>
          <cell r="BG72" t="str">
            <v/>
          </cell>
          <cell r="BH72" t="str">
            <v>Co-8Al-12.5W-SSCartón-Cordero, M., Srinivasarao, B., Campos, M., García-Junceda, A., &amp; Torralba, J. M. (2016). On the role of processing parameters in sintered new Co-based (W,Al) alloys. Journal of Alloys and Compounds, 674, 406–412. https://doi.org/10.1016/j.jallcom.2016.03.077</v>
          </cell>
          <cell r="BI72" t="str">
            <v>Co-3.9Ni-31.Fe-4.9Al-7.8Cr-8.7W</v>
          </cell>
          <cell r="BJ72" t="str">
            <v>47.6Co-3.9Ni-31.0Fe-4.9Al-7.8Cr-8.7W</v>
          </cell>
        </row>
        <row r="73">
          <cell r="A73" t="str">
            <v>Co-43.Al-5.8W</v>
          </cell>
          <cell r="B73" t="str">
            <v>CoAlW-X</v>
          </cell>
          <cell r="C73" t="str">
            <v>-43Al-6W</v>
          </cell>
          <cell r="D73" t="str">
            <v>Co-8Al-12.5W-HM</v>
          </cell>
          <cell r="E73" t="str">
            <v>Cartón-Cordero, M., Srinivasarao, B., Campos, M., García-Junceda, A., &amp; Torralba, J. M. (2016). On the role of processing parameters in sintered new Co-based (W,Al) alloys. Journal of Alloys and Compounds, 674, 406–412. https://doi.org/10.1016/j.jallcom.2016.03.077</v>
          </cell>
          <cell r="F73">
            <v>81</v>
          </cell>
          <cell r="G73">
            <v>51.2</v>
          </cell>
          <cell r="H73"/>
          <cell r="I73">
            <v>43</v>
          </cell>
          <cell r="J73"/>
          <cell r="K73">
            <v>5.8</v>
          </cell>
          <cell r="L73"/>
          <cell r="M73"/>
          <cell r="N73"/>
          <cell r="O73"/>
          <cell r="P73"/>
          <cell r="Q73"/>
          <cell r="R73"/>
          <cell r="S73"/>
          <cell r="T73"/>
          <cell r="U73"/>
          <cell r="V73"/>
          <cell r="W73"/>
          <cell r="X73"/>
          <cell r="Y73"/>
          <cell r="Z73"/>
          <cell r="AA73"/>
          <cell r="AB73"/>
          <cell r="AC73"/>
          <cell r="AD73"/>
          <cell r="AE73"/>
          <cell r="AF73">
            <v>6.8343000000000007</v>
          </cell>
          <cell r="AG73"/>
          <cell r="AH73" t="str">
            <v>mechanical alloying--CoWC hard metal, Carbides, no g'</v>
          </cell>
          <cell r="AI73" t="str">
            <v>Co</v>
          </cell>
          <cell r="AJ73" t="str">
            <v>-43.Al</v>
          </cell>
          <cell r="AK73" t="str">
            <v>-5.8W</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cell r="BD73" t="str">
            <v/>
          </cell>
          <cell r="BE73" t="str">
            <v/>
          </cell>
          <cell r="BF73" t="str">
            <v/>
          </cell>
          <cell r="BG73" t="str">
            <v/>
          </cell>
          <cell r="BH73" t="str">
            <v>Co-8Al-12.5W-HMCartón-Cordero, M., Srinivasarao, B., Campos, M., García-Junceda, A., &amp; Torralba, J. M. (2016). On the role of processing parameters in sintered new Co-based (W,Al) alloys. Journal of Alloys and Compounds, 674, 406–412. https://doi.org/10.1016/j.jallcom.2016.03.077</v>
          </cell>
          <cell r="BI73" t="str">
            <v>Co-43.Al-5.8W</v>
          </cell>
          <cell r="BJ73" t="str">
            <v>51.2Co-43.0Al-5.8W</v>
          </cell>
        </row>
        <row r="74">
          <cell r="A74" t="str">
            <v>Co-9.Al-9.W</v>
          </cell>
          <cell r="B74" t="str">
            <v>CoAlW-X</v>
          </cell>
          <cell r="C74" t="str">
            <v>-9Al-9W</v>
          </cell>
          <cell r="D74" t="str">
            <v>Co-9Al-9W:AS</v>
          </cell>
          <cell r="E74" t="str">
            <v>Cartón-Cordero, M. et al. Microstructure and compression strength of Co-based superalloys hardened by γ′ and carbide precipitation. Mater. Sci. Eng. A 734, 437–444 (2018).</v>
          </cell>
          <cell r="F74">
            <v>82</v>
          </cell>
          <cell r="G74">
            <v>82</v>
          </cell>
          <cell r="H74"/>
          <cell r="I74">
            <v>9</v>
          </cell>
          <cell r="J74"/>
          <cell r="K74">
            <v>9</v>
          </cell>
          <cell r="L74"/>
          <cell r="M74"/>
          <cell r="N74"/>
          <cell r="O74"/>
          <cell r="P74"/>
          <cell r="Q74"/>
          <cell r="R74"/>
          <cell r="S74"/>
          <cell r="T74"/>
          <cell r="U74"/>
          <cell r="V74"/>
          <cell r="W74"/>
          <cell r="X74"/>
          <cell r="Y74"/>
          <cell r="Z74"/>
          <cell r="AA74"/>
          <cell r="AB74"/>
          <cell r="AC74"/>
          <cell r="AD74"/>
          <cell r="AE74"/>
          <cell r="AF74">
            <v>9.2735000000000003</v>
          </cell>
          <cell r="AG74"/>
          <cell r="AH74" t="str">
            <v>mechnical alloying (powder metallurgy), as sintered</v>
          </cell>
          <cell r="AI74" t="str">
            <v>Co</v>
          </cell>
          <cell r="AJ74" t="str">
            <v>-9.Al</v>
          </cell>
          <cell r="AK74" t="str">
            <v>-9.W</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cell r="BD74" t="str">
            <v/>
          </cell>
          <cell r="BE74" t="str">
            <v/>
          </cell>
          <cell r="BF74" t="str">
            <v/>
          </cell>
          <cell r="BG74" t="str">
            <v/>
          </cell>
          <cell r="BH74" t="str">
            <v>Co-9Al-9W:ASCartón-Cordero, M. et al. Microstructure and compression strength of Co-based superalloys hardened by γ′ and carbide precipitation. Mater. Sci. Eng. A 734, 437–444 (2018).</v>
          </cell>
          <cell r="BI74" t="str">
            <v>Co-9.Al-9.W</v>
          </cell>
          <cell r="BJ74" t="str">
            <v>82.0Co-9.0Al-9.0W</v>
          </cell>
        </row>
        <row r="75">
          <cell r="A75" t="str">
            <v>Co-9.Al-9.W</v>
          </cell>
          <cell r="B75" t="str">
            <v>CoAlW-X</v>
          </cell>
          <cell r="C75" t="str">
            <v>-9Al-9W</v>
          </cell>
          <cell r="D75" t="str">
            <v>Co-9Al-9W:HT</v>
          </cell>
          <cell r="E75" t="str">
            <v>Cartón-Cordero, M. et al. Microstructure and compression strength of Co-based superalloys hardened by γ′ and carbide precipitation. Mater. Sci. Eng. A 734, 437–444 (2018).</v>
          </cell>
          <cell r="F75">
            <v>83</v>
          </cell>
          <cell r="G75">
            <v>82</v>
          </cell>
          <cell r="H75"/>
          <cell r="I75">
            <v>9</v>
          </cell>
          <cell r="J75"/>
          <cell r="K75">
            <v>9</v>
          </cell>
          <cell r="L75"/>
          <cell r="M75"/>
          <cell r="N75"/>
          <cell r="O75"/>
          <cell r="P75"/>
          <cell r="Q75"/>
          <cell r="R75"/>
          <cell r="S75"/>
          <cell r="T75"/>
          <cell r="U75"/>
          <cell r="V75"/>
          <cell r="W75"/>
          <cell r="X75"/>
          <cell r="Y75"/>
          <cell r="Z75"/>
          <cell r="AA75"/>
          <cell r="AB75"/>
          <cell r="AC75"/>
          <cell r="AD75"/>
          <cell r="AE75"/>
          <cell r="AF75">
            <v>9.2735000000000003</v>
          </cell>
          <cell r="AG75"/>
          <cell r="AH75" t="str">
            <v>mechnical alloying (powder metallurgy), aged 900C for 24 hr</v>
          </cell>
          <cell r="AI75" t="str">
            <v>Co</v>
          </cell>
          <cell r="AJ75" t="str">
            <v>-9.Al</v>
          </cell>
          <cell r="AK75" t="str">
            <v>-9.W</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cell r="BD75" t="str">
            <v/>
          </cell>
          <cell r="BE75" t="str">
            <v/>
          </cell>
          <cell r="BF75" t="str">
            <v/>
          </cell>
          <cell r="BG75" t="str">
            <v/>
          </cell>
          <cell r="BH75" t="str">
            <v>Co-9Al-9W:HTCartón-Cordero, M. et al. Microstructure and compression strength of Co-based superalloys hardened by γ′ and carbide precipitation. Mater. Sci. Eng. A 734, 437–444 (2018).</v>
          </cell>
          <cell r="BI75" t="str">
            <v>Co-9.Al-9.W</v>
          </cell>
          <cell r="BJ75" t="str">
            <v>82.0Co-9.0Al-9.0W</v>
          </cell>
        </row>
        <row r="76">
          <cell r="A76" t="str">
            <v>Co-11.7Al-14.W-0.5Ti-0.4Ta</v>
          </cell>
          <cell r="B76" t="str">
            <v>CoAlWX+</v>
          </cell>
          <cell r="C76" t="str">
            <v>-12Al-14W-0Ti-0Ta</v>
          </cell>
          <cell r="D76" t="str">
            <v>Co-2T/Ta-quinary</v>
          </cell>
          <cell r="E76" t="str">
            <v>Casas, R., Gálvez, F., &amp; Campos, M. (2018). Microstructural development of powder metallurgy cobalt-based superalloys processed by field assisted sintering techniques (FAST). Materials Science and Engineering A, 724, 461–468. https://doi.org/10.1016/j.msea.2018.04.005</v>
          </cell>
          <cell r="F76">
            <v>84</v>
          </cell>
          <cell r="G76">
            <v>73.400000000000006</v>
          </cell>
          <cell r="H76"/>
          <cell r="I76">
            <v>11.7</v>
          </cell>
          <cell r="J76"/>
          <cell r="K76">
            <v>14.01</v>
          </cell>
          <cell r="L76">
            <v>0.48</v>
          </cell>
          <cell r="M76">
            <v>0.41</v>
          </cell>
          <cell r="N76"/>
          <cell r="O76"/>
          <cell r="P76"/>
          <cell r="Q76"/>
          <cell r="R76"/>
          <cell r="S76"/>
          <cell r="T76"/>
          <cell r="U76"/>
          <cell r="V76"/>
          <cell r="W76"/>
          <cell r="X76"/>
          <cell r="Y76"/>
          <cell r="Z76"/>
          <cell r="AA76"/>
          <cell r="AB76"/>
          <cell r="AC76"/>
          <cell r="AD76"/>
          <cell r="AE76"/>
          <cell r="AF76">
            <v>9.6353236000000013</v>
          </cell>
          <cell r="AG76">
            <v>9.94</v>
          </cell>
          <cell r="AH76" t="str">
            <v>mechanical alloyed powder and field-assisted sinterin</v>
          </cell>
          <cell r="AI76" t="str">
            <v>Co</v>
          </cell>
          <cell r="AJ76" t="str">
            <v>-11.7Al</v>
          </cell>
          <cell r="AK76" t="str">
            <v>-14.W</v>
          </cell>
          <cell r="AL76" t="str">
            <v/>
          </cell>
          <cell r="AM76" t="str">
            <v/>
          </cell>
          <cell r="AN76" t="str">
            <v>-0.4Ta</v>
          </cell>
          <cell r="AO76" t="str">
            <v/>
          </cell>
          <cell r="AP76" t="str">
            <v/>
          </cell>
          <cell r="AQ76" t="str">
            <v>-0.5Ti</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cell r="BD76" t="str">
            <v/>
          </cell>
          <cell r="BE76" t="str">
            <v/>
          </cell>
          <cell r="BF76" t="str">
            <v/>
          </cell>
          <cell r="BG76" t="str">
            <v/>
          </cell>
          <cell r="BH76" t="str">
            <v>Co-2T/Ta-quinaryCasas, R., Gálvez, F., &amp; Campos, M. (2018). Microstructural development of powder metallurgy cobalt-based superalloys processed by field assisted sintering techniques (FAST). Materials Science and Engineering A, 724, 461–468. https://doi.org/10.1016/j.msea.2018.04.005</v>
          </cell>
          <cell r="BI76" t="str">
            <v>Co-11.7Al-14.W-0.5Ti-0.4Ta</v>
          </cell>
          <cell r="BJ76" t="str">
            <v>73.4Co-11.7Al-14.0W-0.5Ti-0.4Ta</v>
          </cell>
        </row>
        <row r="77">
          <cell r="A77" t="str">
            <v>Co-8.4Al-12.1W</v>
          </cell>
          <cell r="B77" t="str">
            <v>CoAlW-X</v>
          </cell>
          <cell r="C77" t="str">
            <v>-8Al-12W</v>
          </cell>
          <cell r="D77" t="str">
            <v>CoAlW-ternary</v>
          </cell>
          <cell r="E77" t="str">
            <v>Casas, R., Gálvez, F., &amp; Campos, M. (2018). Microstructural development of powder metallurgy cobalt-based superalloys processed by field assisted sintering techniques (FAST). Materials Science and Engineering A, 724, 461–468. https://doi.org/10.1016/j.msea.2018.04.004</v>
          </cell>
          <cell r="F77">
            <v>85</v>
          </cell>
          <cell r="G77">
            <v>79.569999999999993</v>
          </cell>
          <cell r="H77"/>
          <cell r="I77">
            <v>8.35</v>
          </cell>
          <cell r="J77"/>
          <cell r="K77">
            <v>12.08</v>
          </cell>
          <cell r="L77"/>
          <cell r="M77"/>
          <cell r="N77"/>
          <cell r="O77"/>
          <cell r="P77"/>
          <cell r="Q77"/>
          <cell r="R77"/>
          <cell r="S77"/>
          <cell r="T77"/>
          <cell r="U77"/>
          <cell r="V77"/>
          <cell r="W77"/>
          <cell r="X77"/>
          <cell r="Y77"/>
          <cell r="Z77"/>
          <cell r="AA77"/>
          <cell r="AB77"/>
          <cell r="AC77"/>
          <cell r="AD77"/>
          <cell r="AE77"/>
          <cell r="AF77">
            <v>9.632579999999999</v>
          </cell>
          <cell r="AG77">
            <v>9.4700000000000006</v>
          </cell>
          <cell r="AH77" t="str">
            <v>mechanical alloyed powder and field-assisted sinterin</v>
          </cell>
          <cell r="AI77" t="str">
            <v>Co</v>
          </cell>
          <cell r="AJ77" t="str">
            <v>-8.4Al</v>
          </cell>
          <cell r="AK77" t="str">
            <v>-12.1W</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cell r="BD77" t="str">
            <v/>
          </cell>
          <cell r="BE77" t="str">
            <v/>
          </cell>
          <cell r="BF77" t="str">
            <v/>
          </cell>
          <cell r="BG77" t="str">
            <v/>
          </cell>
          <cell r="BH77" t="str">
            <v>CoAlW-ternaryCasas, R., Gálvez, F., &amp; Campos, M. (2018). Microstructural development of powder metallurgy cobalt-based superalloys processed by field assisted sintering techniques (FAST). Materials Science and Engineering A, 724, 461–468. https://doi.org/10.1016/j.msea.2018.04.004</v>
          </cell>
          <cell r="BI77" t="str">
            <v>Co-8.4Al-12.1W</v>
          </cell>
          <cell r="BJ77" t="str">
            <v>79.6Co-8.4Al-12.1W</v>
          </cell>
        </row>
        <row r="78">
          <cell r="A78" t="str">
            <v>Co-15.Ni-9.Al-10.W</v>
          </cell>
          <cell r="B78" t="str">
            <v>CoAlW-X</v>
          </cell>
          <cell r="C78" t="str">
            <v>-15Ni-9Al-10W</v>
          </cell>
          <cell r="D78" t="str">
            <v>Co-9Al-10W-15Ni</v>
          </cell>
          <cell r="E78" t="str">
            <v>Che, C., Yang, S., Wei, M., Zhang, L., Li, Q., Gao, J., &amp; Du, Y. (2017). Microstructure, hardness and interfacial energy in Co-9Al-10W-Xni (X=15, 25, 35 At. %) alloys during aging. Journal of Mining and Metallurgy, Section B: Metallurgy, 53(3), 303–308. https://doi.org/10.2298/JMMB170531021C</v>
          </cell>
          <cell r="F78">
            <v>86</v>
          </cell>
          <cell r="G78">
            <v>66</v>
          </cell>
          <cell r="H78">
            <v>15</v>
          </cell>
          <cell r="I78">
            <v>9</v>
          </cell>
          <cell r="J78"/>
          <cell r="K78">
            <v>10</v>
          </cell>
          <cell r="L78"/>
          <cell r="M78"/>
          <cell r="N78"/>
          <cell r="O78"/>
          <cell r="P78"/>
          <cell r="Q78"/>
          <cell r="R78"/>
          <cell r="S78"/>
          <cell r="T78"/>
          <cell r="U78"/>
          <cell r="V78"/>
          <cell r="W78"/>
          <cell r="X78"/>
          <cell r="Y78"/>
          <cell r="Z78"/>
          <cell r="AA78"/>
          <cell r="AB78"/>
          <cell r="AC78"/>
          <cell r="AD78"/>
          <cell r="AE78"/>
          <cell r="AF78">
            <v>9.3781999999999996</v>
          </cell>
          <cell r="AG78"/>
          <cell r="AH78" t="str">
            <v>composition not measured</v>
          </cell>
          <cell r="AI78" t="str">
            <v>Co</v>
          </cell>
          <cell r="AJ78" t="str">
            <v>-9.Al</v>
          </cell>
          <cell r="AK78" t="str">
            <v>-10.W</v>
          </cell>
          <cell r="AL78" t="str">
            <v>-15.Ni</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cell r="BD78" t="str">
            <v/>
          </cell>
          <cell r="BE78" t="str">
            <v/>
          </cell>
          <cell r="BF78" t="str">
            <v/>
          </cell>
          <cell r="BG78" t="str">
            <v/>
          </cell>
          <cell r="BH78" t="str">
            <v>Co-9Al-10W-15NiChe, C., Yang, S., Wei, M., Zhang, L., Li, Q., Gao, J., &amp; Du, Y. (2017). Microstructure, hardness and interfacial energy in Co-9Al-10W-Xni (X=15, 25, 35 At. %) alloys during aging. Journal of Mining and Metallurgy, Section B: Metallurgy, 53(3), 303–308. https://doi.org/10.2298/JMMB170531021C</v>
          </cell>
          <cell r="BI78" t="str">
            <v>Co-15.Ni-9.Al-10.W</v>
          </cell>
          <cell r="BJ78" t="str">
            <v>81.0Co-15.0Ni-9.0Al-10.0W</v>
          </cell>
        </row>
        <row r="79">
          <cell r="A79" t="str">
            <v>Co-25.Ni-9.Al-10.W</v>
          </cell>
          <cell r="B79" t="str">
            <v>CoAlW-X</v>
          </cell>
          <cell r="C79" t="str">
            <v>-25Ni-9Al-10W</v>
          </cell>
          <cell r="D79" t="str">
            <v>Co-9Al-10W-25Ni</v>
          </cell>
          <cell r="E79" t="str">
            <v>Che, C., Yang, S., Wei, M., Zhang, L., Li, Q., Gao, J., &amp; Du, Y. (2017). Microstructure, hardness and interfacial energy in Co-9Al-10W-Xni (X=15, 25, 35 At. %) alloys during aging. Journal of Mining and Metallurgy, Section B: Metallurgy, 53(3), 303–308. https://doi.org/10.2298/JMMB170531021C</v>
          </cell>
          <cell r="F79">
            <v>87</v>
          </cell>
          <cell r="G79">
            <v>56</v>
          </cell>
          <cell r="H79">
            <v>25</v>
          </cell>
          <cell r="I79">
            <v>9</v>
          </cell>
          <cell r="J79"/>
          <cell r="K79">
            <v>10</v>
          </cell>
          <cell r="L79"/>
          <cell r="M79"/>
          <cell r="N79"/>
          <cell r="O79"/>
          <cell r="P79"/>
          <cell r="Q79"/>
          <cell r="R79"/>
          <cell r="S79"/>
          <cell r="T79"/>
          <cell r="U79"/>
          <cell r="V79"/>
          <cell r="W79"/>
          <cell r="X79"/>
          <cell r="Y79"/>
          <cell r="Z79"/>
          <cell r="AA79"/>
          <cell r="AB79"/>
          <cell r="AC79"/>
          <cell r="AD79"/>
          <cell r="AE79"/>
          <cell r="AF79">
            <v>9.3790000000000013</v>
          </cell>
          <cell r="AG79"/>
          <cell r="AH79" t="str">
            <v>composition not measured</v>
          </cell>
          <cell r="AI79" t="str">
            <v>Co</v>
          </cell>
          <cell r="AJ79" t="str">
            <v>-9.Al</v>
          </cell>
          <cell r="AK79" t="str">
            <v>-10.W</v>
          </cell>
          <cell r="AL79" t="str">
            <v>-25.Ni</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cell r="BD79" t="str">
            <v/>
          </cell>
          <cell r="BE79" t="str">
            <v/>
          </cell>
          <cell r="BF79" t="str">
            <v/>
          </cell>
          <cell r="BG79" t="str">
            <v/>
          </cell>
          <cell r="BH79" t="str">
            <v>Co-9Al-10W-25NiChe, C., Yang, S., Wei, M., Zhang, L., Li, Q., Gao, J., &amp; Du, Y. (2017). Microstructure, hardness and interfacial energy in Co-9Al-10W-Xni (X=15, 25, 35 At. %) alloys during aging. Journal of Mining and Metallurgy, Section B: Metallurgy, 53(3), 303–308. https://doi.org/10.2298/JMMB170531021C</v>
          </cell>
          <cell r="BI79" t="str">
            <v>Co-25.Ni-9.Al-10.W</v>
          </cell>
          <cell r="BJ79" t="str">
            <v>81.0Co-25.0Ni-9.0Al-10.0W</v>
          </cell>
        </row>
        <row r="80">
          <cell r="A80" t="str">
            <v>Co-35.Ni-9.Al-10.W</v>
          </cell>
          <cell r="B80" t="str">
            <v>CoAlW-X</v>
          </cell>
          <cell r="C80" t="str">
            <v>-35Ni-9Al-10W</v>
          </cell>
          <cell r="D80" t="str">
            <v>Co-9Al-10W-35Ni</v>
          </cell>
          <cell r="E80" t="str">
            <v>Che, C., Yang, S., Wei, M., Zhang, L., Li, Q., Gao, J., &amp; Du, Y. (2017). Microstructure, hardness and interfacial energy in Co-9Al-10W-Xni (X=15, 25, 35 At. %) alloys during aging. Journal of Mining and Metallurgy, Section B: Metallurgy, 53(3), 303–308. https://doi.org/10.2298/JMMB170531021C</v>
          </cell>
          <cell r="F80">
            <v>88</v>
          </cell>
          <cell r="G80">
            <v>46</v>
          </cell>
          <cell r="H80">
            <v>35</v>
          </cell>
          <cell r="I80">
            <v>9</v>
          </cell>
          <cell r="J80"/>
          <cell r="K80">
            <v>10</v>
          </cell>
          <cell r="L80"/>
          <cell r="M80"/>
          <cell r="N80"/>
          <cell r="O80"/>
          <cell r="P80"/>
          <cell r="Q80"/>
          <cell r="R80"/>
          <cell r="S80"/>
          <cell r="T80"/>
          <cell r="U80"/>
          <cell r="V80"/>
          <cell r="W80"/>
          <cell r="X80"/>
          <cell r="Y80"/>
          <cell r="Z80"/>
          <cell r="AA80"/>
          <cell r="AB80"/>
          <cell r="AC80"/>
          <cell r="AD80"/>
          <cell r="AE80"/>
          <cell r="AF80">
            <v>9.3797999999999995</v>
          </cell>
          <cell r="AG80"/>
          <cell r="AH80" t="str">
            <v>composition not measured</v>
          </cell>
          <cell r="AI80" t="str">
            <v>Co</v>
          </cell>
          <cell r="AJ80" t="str">
            <v>-9.Al</v>
          </cell>
          <cell r="AK80" t="str">
            <v>-10.W</v>
          </cell>
          <cell r="AL80" t="str">
            <v>-35.Ni</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cell r="BD80" t="str">
            <v/>
          </cell>
          <cell r="BE80" t="str">
            <v/>
          </cell>
          <cell r="BF80" t="str">
            <v/>
          </cell>
          <cell r="BG80" t="str">
            <v/>
          </cell>
          <cell r="BH80" t="str">
            <v>Co-9Al-10W-35NiChe, C., Yang, S., Wei, M., Zhang, L., Li, Q., Gao, J., &amp; Du, Y. (2017). Microstructure, hardness and interfacial energy in Co-9Al-10W-Xni (X=15, 25, 35 At. %) alloys during aging. Journal of Mining and Metallurgy, Section B: Metallurgy, 53(3), 303–308. https://doi.org/10.2298/JMMB170531021C</v>
          </cell>
          <cell r="BI80" t="str">
            <v>Co-35.Ni-9.Al-10.W</v>
          </cell>
          <cell r="BJ80" t="str">
            <v>81.0Co-35.0Ni-9.0Al-10.0W</v>
          </cell>
        </row>
        <row r="81">
          <cell r="A81" t="str">
            <v>Co-0.Ni-9.Al-8.W</v>
          </cell>
          <cell r="B81" t="str">
            <v>CoAlW-X</v>
          </cell>
          <cell r="C81" t="str">
            <v>-0Ni-9Al-8W</v>
          </cell>
          <cell r="D81" t="str">
            <v>CoAlW</v>
          </cell>
          <cell r="E81" t="str">
            <v>Chen, C. L., &amp; Suprianto. (2019). Influence of Ta and Y2O3 on synthesis, phase evolution and mechanical properties of Co-Al-W based alloys. Journal of Alloys and Compounds, 791, 567–574. https://doi.org/10.1016/j.jallcom.2019.03.262</v>
          </cell>
          <cell r="F81">
            <v>89</v>
          </cell>
          <cell r="G81">
            <v>83</v>
          </cell>
          <cell r="H81">
            <v>0</v>
          </cell>
          <cell r="I81">
            <v>9</v>
          </cell>
          <cell r="J81"/>
          <cell r="K81">
            <v>8</v>
          </cell>
          <cell r="L81"/>
          <cell r="M81"/>
          <cell r="N81"/>
          <cell r="O81"/>
          <cell r="P81"/>
          <cell r="Q81"/>
          <cell r="R81"/>
          <cell r="S81"/>
          <cell r="T81"/>
          <cell r="U81"/>
          <cell r="V81"/>
          <cell r="W81"/>
          <cell r="X81"/>
          <cell r="Y81"/>
          <cell r="Z81"/>
          <cell r="AA81"/>
          <cell r="AB81"/>
          <cell r="AC81"/>
          <cell r="AD81"/>
          <cell r="AE81"/>
          <cell r="AF81">
            <v>9.17</v>
          </cell>
          <cell r="AG81"/>
          <cell r="AH81" t="str">
            <v>mechanical alloying, ODS,composition not measured, at% calculation does not agree with paper's at % calculatio</v>
          </cell>
          <cell r="AI81" t="str">
            <v>Co</v>
          </cell>
          <cell r="AJ81" t="str">
            <v>-9.Al</v>
          </cell>
          <cell r="AK81" t="str">
            <v>-8.W</v>
          </cell>
          <cell r="AL81" t="str">
            <v>-0.Ni</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CoAlWChen, C. L., &amp; Suprianto. (2019). Influence of Ta and Y2O3 on synthesis, phase evolution and mechanical properties of Co-Al-W based alloys. Journal of Alloys and Compounds, 791, 567–574. https://doi.org/10.1016/j.jallcom.2019.03.262</v>
          </cell>
          <cell r="BI81" t="str">
            <v>Co-0.Ni-9.Al-8.W</v>
          </cell>
          <cell r="BJ81" t="str">
            <v>83.0Co-0.0Ni-9.0Al-8.0W</v>
          </cell>
        </row>
        <row r="82">
          <cell r="A82" t="str">
            <v>Co-2.Ni-9.Al-8.W</v>
          </cell>
          <cell r="B82" t="str">
            <v>CoAlW-X</v>
          </cell>
          <cell r="C82" t="str">
            <v>-2Ni-9Al-8W</v>
          </cell>
          <cell r="D82" t="str">
            <v>CoAlW-Ta</v>
          </cell>
          <cell r="E82" t="str">
            <v>Chen, C. L., &amp; Suprianto. (2019). Influence of Ta and Y2O3 on synthesis, phase evolution and mechanical properties of Co-Al-W based alloys. Journal of Alloys and Compounds, 791, 567–574. https://doi.org/10.1016/j.jallcom.2019.03.263</v>
          </cell>
          <cell r="F82">
            <v>90</v>
          </cell>
          <cell r="G82">
            <v>81</v>
          </cell>
          <cell r="H82">
            <v>2</v>
          </cell>
          <cell r="I82">
            <v>9</v>
          </cell>
          <cell r="J82"/>
          <cell r="K82">
            <v>8</v>
          </cell>
          <cell r="L82"/>
          <cell r="M82"/>
          <cell r="N82"/>
          <cell r="O82"/>
          <cell r="P82"/>
          <cell r="Q82"/>
          <cell r="R82"/>
          <cell r="S82"/>
          <cell r="T82"/>
          <cell r="U82"/>
          <cell r="V82"/>
          <cell r="W82"/>
          <cell r="X82"/>
          <cell r="Y82"/>
          <cell r="Z82"/>
          <cell r="AA82"/>
          <cell r="AB82"/>
          <cell r="AC82"/>
          <cell r="AD82"/>
          <cell r="AE82"/>
          <cell r="AF82">
            <v>9.1701599999999992</v>
          </cell>
          <cell r="AG82"/>
          <cell r="AH82" t="str">
            <v>mechanical alloying, ODS,composition not measured, at% calculation does not agree with paper's at % calculatio</v>
          </cell>
          <cell r="AI82" t="str">
            <v>Co</v>
          </cell>
          <cell r="AJ82" t="str">
            <v>-9.Al</v>
          </cell>
          <cell r="AK82" t="str">
            <v>-8.W</v>
          </cell>
          <cell r="AL82" t="str">
            <v>-2.Ni</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CoAlW-TaChen, C. L., &amp; Suprianto. (2019). Influence of Ta and Y2O3 on synthesis, phase evolution and mechanical properties of Co-Al-W based alloys. Journal of Alloys and Compounds, 791, 567–574. https://doi.org/10.1016/j.jallcom.2019.03.263</v>
          </cell>
          <cell r="BI82" t="str">
            <v>Co-2.Ni-9.Al-8.W</v>
          </cell>
          <cell r="BJ82" t="str">
            <v>83.0Co-2.0Ni-9.0Al-8.0W</v>
          </cell>
        </row>
        <row r="83">
          <cell r="A83" t="str">
            <v>Co-9.2Al-8.1W-0.7Y</v>
          </cell>
          <cell r="B83" t="str">
            <v>CoAlW-X</v>
          </cell>
          <cell r="C83" t="str">
            <v>-9Al-8W-Y</v>
          </cell>
          <cell r="D83" t="str">
            <v>CoAlW-YO</v>
          </cell>
          <cell r="E83" t="str">
            <v>Chen, C. L., &amp; Suprianto. (2019). Influence of Ta and Y2O3 on synthesis, phase evolution and mechanical properties of Co-Al-W based alloys. Journal of Alloys and Compounds, 791, 567–574. https://doi.org/10.1016/j.jallcom.2019.03.264</v>
          </cell>
          <cell r="F83">
            <v>91</v>
          </cell>
          <cell r="G83">
            <v>82</v>
          </cell>
          <cell r="H83"/>
          <cell r="I83">
            <v>9.1999999999999993</v>
          </cell>
          <cell r="J83"/>
          <cell r="K83">
            <v>8.1</v>
          </cell>
          <cell r="L83"/>
          <cell r="M83"/>
          <cell r="N83"/>
          <cell r="O83"/>
          <cell r="P83"/>
          <cell r="Q83"/>
          <cell r="R83"/>
          <cell r="S83"/>
          <cell r="T83"/>
          <cell r="U83"/>
          <cell r="V83"/>
          <cell r="W83"/>
          <cell r="X83">
            <v>0.7</v>
          </cell>
          <cell r="Y83"/>
          <cell r="Z83"/>
          <cell r="AA83"/>
          <cell r="AB83"/>
          <cell r="AC83"/>
          <cell r="AD83"/>
          <cell r="AE83"/>
          <cell r="AF83">
            <v>9.1369540000000011</v>
          </cell>
          <cell r="AG83"/>
          <cell r="AH83" t="str">
            <v>mechanical alloying, ODS,composition not measured, at% calculation does not agree with paper's at % calculatio</v>
          </cell>
          <cell r="AI83" t="str">
            <v>Co</v>
          </cell>
          <cell r="AJ83" t="str">
            <v>-9.2Al</v>
          </cell>
          <cell r="AK83" t="str">
            <v>-8.1W</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-0.7Y</v>
          </cell>
          <cell r="BA83" t="str">
            <v/>
          </cell>
          <cell r="BB83" t="str">
            <v/>
          </cell>
          <cell r="BC83" t="str">
            <v/>
          </cell>
          <cell r="BD83" t="str">
            <v/>
          </cell>
          <cell r="BE83" t="str">
            <v/>
          </cell>
          <cell r="BF83" t="str">
            <v/>
          </cell>
          <cell r="BG83" t="str">
            <v/>
          </cell>
          <cell r="BH83" t="str">
            <v>CoAlW-YOChen, C. L., &amp; Suprianto. (2019). Influence of Ta and Y2O3 on synthesis, phase evolution and mechanical properties of Co-Al-W based alloys. Journal of Alloys and Compounds, 791, 567–574. https://doi.org/10.1016/j.jallcom.2019.03.264</v>
          </cell>
          <cell r="BI83" t="str">
            <v>Co-9.2Al-8.1W-0.7Y</v>
          </cell>
          <cell r="BJ83" t="str">
            <v>82.0Co-9.2Al-8.1W-0.7Y</v>
          </cell>
        </row>
        <row r="84">
          <cell r="A84" t="str">
            <v>Co-9.Al-8.1W-2.Ta-0.7Y</v>
          </cell>
          <cell r="B84" t="str">
            <v>CoAlWX+</v>
          </cell>
          <cell r="C84" t="str">
            <v>-9Al-8W-2Ta-Y</v>
          </cell>
          <cell r="D84" t="str">
            <v>CoAlW-Ta-YO</v>
          </cell>
          <cell r="E84" t="str">
            <v>Chen, C. L., &amp; Suprianto. (2019). Influence of Ta and Y2O3 on synthesis, phase evolution and mechanical properties of Co-Al-W based alloys. Journal of Alloys and Compounds, 791, 567–574. https://doi.org/10.1016/j.jallcom.2019.03.265</v>
          </cell>
          <cell r="F84">
            <v>92</v>
          </cell>
          <cell r="G84">
            <v>80.2</v>
          </cell>
          <cell r="H84"/>
          <cell r="I84">
            <v>9</v>
          </cell>
          <cell r="J84"/>
          <cell r="K84">
            <v>8.1</v>
          </cell>
          <cell r="L84"/>
          <cell r="M84">
            <v>2</v>
          </cell>
          <cell r="N84"/>
          <cell r="O84"/>
          <cell r="P84"/>
          <cell r="Q84"/>
          <cell r="R84"/>
          <cell r="S84"/>
          <cell r="T84"/>
          <cell r="U84"/>
          <cell r="V84"/>
          <cell r="W84"/>
          <cell r="X84">
            <v>0.7</v>
          </cell>
          <cell r="Y84"/>
          <cell r="Z84"/>
          <cell r="AA84"/>
          <cell r="AB84"/>
          <cell r="AC84"/>
          <cell r="AD84"/>
          <cell r="AE84"/>
          <cell r="AF84">
            <v>9.304354</v>
          </cell>
          <cell r="AG84"/>
          <cell r="AH84" t="str">
            <v>mechanical alloying, ODS,composition not measured, at% calculation does not agree with paper's at % calculatio</v>
          </cell>
          <cell r="AI84" t="str">
            <v>Co</v>
          </cell>
          <cell r="AJ84" t="str">
            <v>-9.Al</v>
          </cell>
          <cell r="AK84" t="str">
            <v>-8.1W</v>
          </cell>
          <cell r="AL84" t="str">
            <v/>
          </cell>
          <cell r="AM84" t="str">
            <v/>
          </cell>
          <cell r="AN84" t="str">
            <v>-2.Ta</v>
          </cell>
          <cell r="AO84" t="str">
            <v/>
          </cell>
          <cell r="AP84" t="str">
            <v/>
          </cell>
          <cell r="AQ84" t="str">
            <v/>
          </cell>
          <cell r="AR84" t="str">
            <v/>
          </cell>
          <cell r="AS84" t="str">
            <v/>
          </cell>
          <cell r="AT84" t="str">
            <v/>
          </cell>
          <cell r="AU84" t="str">
            <v/>
          </cell>
          <cell r="AV84" t="str">
            <v/>
          </cell>
          <cell r="AW84" t="str">
            <v/>
          </cell>
          <cell r="AX84" t="str">
            <v/>
          </cell>
          <cell r="AY84" t="str">
            <v/>
          </cell>
          <cell r="AZ84" t="str">
            <v>-0.7Y</v>
          </cell>
          <cell r="BA84" t="str">
            <v/>
          </cell>
          <cell r="BB84" t="str">
            <v/>
          </cell>
          <cell r="BC84" t="str">
            <v/>
          </cell>
          <cell r="BD84" t="str">
            <v/>
          </cell>
          <cell r="BE84" t="str">
            <v/>
          </cell>
          <cell r="BF84" t="str">
            <v/>
          </cell>
          <cell r="BG84" t="str">
            <v/>
          </cell>
          <cell r="BH84" t="str">
            <v>CoAlW-Ta-YOChen, C. L., &amp; Suprianto. (2019). Influence of Ta and Y2O3 on synthesis, phase evolution and mechanical properties of Co-Al-W based alloys. Journal of Alloys and Compounds, 791, 567–574. https://doi.org/10.1016/j.jallcom.2019.03.265</v>
          </cell>
          <cell r="BI84" t="str">
            <v>Co-9.Al-8.1W-2.Ta-0.7Y</v>
          </cell>
          <cell r="BJ84" t="str">
            <v>80.2Co-9.0Al-8.1W-2.0Ta-0.7Y</v>
          </cell>
        </row>
        <row r="85">
          <cell r="A85" t="str">
            <v>Co-5.Al-2.Ti-14.V</v>
          </cell>
          <cell r="B85" t="str">
            <v>W-free</v>
          </cell>
          <cell r="C85" t="str">
            <v>-5Al-2Ti-14V</v>
          </cell>
          <cell r="D85" t="str">
            <v>Co-5Al-14V-2Ti</v>
          </cell>
          <cell r="E85" t="str">
            <v>Chen, Y., Wang, C., Ruan, J., Omori, T., Kainuma, R., Ishida, K., &amp; Liu, X. (2019). High-strength Co–Al–V-base superalloys strengthened by γ′-Co 3 (Al,V) with high solvus temperature. Acta Materialia, 170, 62–74. https://doi.org/10.1016/j.actamat.2019.03.019</v>
          </cell>
          <cell r="F85">
            <v>93</v>
          </cell>
          <cell r="G85">
            <v>79</v>
          </cell>
          <cell r="H85"/>
          <cell r="I85">
            <v>5</v>
          </cell>
          <cell r="J85"/>
          <cell r="K85"/>
          <cell r="L85">
            <v>2</v>
          </cell>
          <cell r="M85"/>
          <cell r="N85"/>
          <cell r="O85">
            <v>14</v>
          </cell>
          <cell r="P85"/>
          <cell r="Q85"/>
          <cell r="R85"/>
          <cell r="S85"/>
          <cell r="T85"/>
          <cell r="U85"/>
          <cell r="V85"/>
          <cell r="W85"/>
          <cell r="X85"/>
          <cell r="Y85"/>
          <cell r="Z85"/>
          <cell r="AA85"/>
          <cell r="AB85"/>
          <cell r="AC85"/>
          <cell r="AD85"/>
          <cell r="AE85"/>
          <cell r="AF85">
            <v>8.1115399999999998</v>
          </cell>
          <cell r="AG85"/>
          <cell r="AH85" t="str">
            <v>Overall composition not measured, only individual phases</v>
          </cell>
          <cell r="AI85" t="str">
            <v>Co</v>
          </cell>
          <cell r="AJ85" t="str">
            <v>-5.Al</v>
          </cell>
          <cell r="AK85" t="str">
            <v/>
          </cell>
          <cell r="AL85" t="str">
            <v/>
          </cell>
          <cell r="AM85" t="str">
            <v/>
          </cell>
          <cell r="AN85" t="str">
            <v/>
          </cell>
          <cell r="AO85" t="str">
            <v/>
          </cell>
          <cell r="AP85" t="str">
            <v>-14.V</v>
          </cell>
          <cell r="AQ85" t="str">
            <v>-2.Ti</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Co-5Al-14V-2TiChen, Y., Wang, C., Ruan, J., Omori, T., Kainuma, R., Ishida, K., &amp; Liu, X. (2019). High-strength Co–Al–V-base superalloys strengthened by γ′-Co 3 (Al,V) with high solvus temperature. Acta Materialia, 170, 62–74. https://doi.org/10.1016/j.actamat.2019.03.019</v>
          </cell>
          <cell r="BI85" t="str">
            <v>Co-5.Al-2.Ti-14.V</v>
          </cell>
          <cell r="BJ85" t="str">
            <v>79.0Co-5.0Al-2.0Ti-14.0V</v>
          </cell>
        </row>
        <row r="86">
          <cell r="A86" t="str">
            <v>Co-8.Al-14.V</v>
          </cell>
          <cell r="B86" t="str">
            <v>W-free</v>
          </cell>
          <cell r="C86" t="str">
            <v>-8Al-14V</v>
          </cell>
          <cell r="D86" t="str">
            <v>Co-8Al-14V</v>
          </cell>
          <cell r="E86" t="str">
            <v>Chen, Y., Wang, C., Ruan, J., Omori, T., Kainuma, R., Ishida, K., &amp; Liu, X. (2019). High-strength Co–Al–V-base superalloys strengthened by γ′-Co 3 (Al,V) with high solvus temperature. Acta Materialia, 170, 62–74. https://doi.org/10.1016/j.actamat.2019.03.013</v>
          </cell>
          <cell r="F86">
            <v>94</v>
          </cell>
          <cell r="G86">
            <v>78</v>
          </cell>
          <cell r="H86"/>
          <cell r="I86">
            <v>8</v>
          </cell>
          <cell r="J86"/>
          <cell r="K86"/>
          <cell r="L86"/>
          <cell r="M86"/>
          <cell r="N86"/>
          <cell r="O86">
            <v>14</v>
          </cell>
          <cell r="P86"/>
          <cell r="Q86"/>
          <cell r="R86"/>
          <cell r="S86"/>
          <cell r="T86"/>
          <cell r="U86"/>
          <cell r="V86"/>
          <cell r="W86"/>
          <cell r="X86"/>
          <cell r="Y86"/>
          <cell r="Z86"/>
          <cell r="AA86"/>
          <cell r="AB86"/>
          <cell r="AC86"/>
          <cell r="AD86"/>
          <cell r="AE86"/>
          <cell r="AF86">
            <v>8.0134000000000007</v>
          </cell>
          <cell r="AG86"/>
          <cell r="AH86" t="str">
            <v>Overall composition not measured, only individual phases</v>
          </cell>
          <cell r="AI86" t="str">
            <v>Co</v>
          </cell>
          <cell r="AJ86" t="str">
            <v>-8.Al</v>
          </cell>
          <cell r="AK86" t="str">
            <v/>
          </cell>
          <cell r="AL86" t="str">
            <v/>
          </cell>
          <cell r="AM86" t="str">
            <v/>
          </cell>
          <cell r="AN86" t="str">
            <v/>
          </cell>
          <cell r="AO86" t="str">
            <v/>
          </cell>
          <cell r="AP86" t="str">
            <v>-14.V</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Co-8Al-14VChen, Y., Wang, C., Ruan, J., Omori, T., Kainuma, R., Ishida, K., &amp; Liu, X. (2019). High-strength Co–Al–V-base superalloys strengthened by γ′-Co 3 (Al,V) with high solvus temperature. Acta Materialia, 170, 62–74. https://doi.org/10.1016/j.actamat.2019.03.013</v>
          </cell>
          <cell r="BI86" t="str">
            <v>Co-8.Al-14.V</v>
          </cell>
          <cell r="BJ86" t="str">
            <v>78.0Co-8.0Al-14.0V</v>
          </cell>
        </row>
        <row r="87">
          <cell r="A87" t="str">
            <v>Co-5.Al-14.V</v>
          </cell>
          <cell r="B87" t="str">
            <v>W-free</v>
          </cell>
          <cell r="C87" t="str">
            <v>-5Al-14V</v>
          </cell>
          <cell r="D87" t="str">
            <v>Co-5Al-14V</v>
          </cell>
          <cell r="E87" t="str">
            <v>Chen, Y., Wang, C., Ruan, J., Omori, T., Kainuma, R., Ishida, K., &amp; Liu, X. (2019). High-strength Co–Al–V-base superalloys strengthened by γ′-Co 3 (Al,V) with high solvus temperature. Acta Materialia, 170, 62–74. https://doi.org/10.1016/j.actamat.2019.03.014</v>
          </cell>
          <cell r="F87">
            <v>95</v>
          </cell>
          <cell r="G87">
            <v>81</v>
          </cell>
          <cell r="H87"/>
          <cell r="I87">
            <v>5</v>
          </cell>
          <cell r="J87"/>
          <cell r="K87"/>
          <cell r="L87"/>
          <cell r="M87"/>
          <cell r="N87"/>
          <cell r="O87">
            <v>14</v>
          </cell>
          <cell r="P87"/>
          <cell r="Q87"/>
          <cell r="R87"/>
          <cell r="S87"/>
          <cell r="T87"/>
          <cell r="U87"/>
          <cell r="V87"/>
          <cell r="W87"/>
          <cell r="X87"/>
          <cell r="Y87"/>
          <cell r="Z87"/>
          <cell r="AA87"/>
          <cell r="AB87"/>
          <cell r="AC87"/>
          <cell r="AD87"/>
          <cell r="AE87"/>
          <cell r="AF87">
            <v>8.1993999999999989</v>
          </cell>
          <cell r="AG87">
            <v>8.11</v>
          </cell>
          <cell r="AH87" t="str">
            <v>Overall composition not measured, only individual phases</v>
          </cell>
          <cell r="AI87" t="str">
            <v>Co</v>
          </cell>
          <cell r="AJ87" t="str">
            <v>-5.Al</v>
          </cell>
          <cell r="AK87" t="str">
            <v/>
          </cell>
          <cell r="AL87" t="str">
            <v/>
          </cell>
          <cell r="AM87" t="str">
            <v/>
          </cell>
          <cell r="AN87" t="str">
            <v/>
          </cell>
          <cell r="AO87" t="str">
            <v/>
          </cell>
          <cell r="AP87" t="str">
            <v>-14.V</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cell r="BD87" t="str">
            <v/>
          </cell>
          <cell r="BE87" t="str">
            <v/>
          </cell>
          <cell r="BF87" t="str">
            <v/>
          </cell>
          <cell r="BG87" t="str">
            <v/>
          </cell>
          <cell r="BH87" t="str">
            <v>Co-5Al-14VChen, Y., Wang, C., Ruan, J., Omori, T., Kainuma, R., Ishida, K., &amp; Liu, X. (2019). High-strength Co–Al–V-base superalloys strengthened by γ′-Co 3 (Al,V) with high solvus temperature. Acta Materialia, 170, 62–74. https://doi.org/10.1016/j.actamat.2019.03.014</v>
          </cell>
          <cell r="BI87" t="str">
            <v>Co-5.Al-14.V</v>
          </cell>
          <cell r="BJ87" t="str">
            <v>81.0Co-5.0Al-14.0V</v>
          </cell>
        </row>
        <row r="88">
          <cell r="A88" t="str">
            <v>Co-3.Al-16.V</v>
          </cell>
          <cell r="B88" t="str">
            <v>W-free</v>
          </cell>
          <cell r="C88" t="str">
            <v>-3Al-16V</v>
          </cell>
          <cell r="D88" t="str">
            <v>Co-3Al-16V</v>
          </cell>
          <cell r="E88" t="str">
            <v>Chen, Y., Wang, C., Ruan, J., Omori, T., Kainuma, R., Ishida, K., &amp; Liu, X. (2019). High-strength Co–Al–V-base superalloys strengthened by γ′-Co 3 (Al,V) with high solvus temperature. Acta Materialia, 170, 62–74. https://doi.org/10.1016/j.actamat.2019.03.015</v>
          </cell>
          <cell r="F88">
            <v>96</v>
          </cell>
          <cell r="G88">
            <v>81</v>
          </cell>
          <cell r="H88"/>
          <cell r="I88">
            <v>3</v>
          </cell>
          <cell r="J88"/>
          <cell r="K88"/>
          <cell r="L88"/>
          <cell r="M88"/>
          <cell r="N88"/>
          <cell r="O88">
            <v>16</v>
          </cell>
          <cell r="P88"/>
          <cell r="Q88"/>
          <cell r="R88"/>
          <cell r="S88"/>
          <cell r="T88"/>
          <cell r="U88"/>
          <cell r="V88"/>
          <cell r="W88"/>
          <cell r="X88"/>
          <cell r="Y88"/>
          <cell r="Z88"/>
          <cell r="AA88"/>
          <cell r="AB88"/>
          <cell r="AC88"/>
          <cell r="AD88"/>
          <cell r="AE88"/>
          <cell r="AF88">
            <v>8.2675999999999998</v>
          </cell>
          <cell r="AG88"/>
          <cell r="AH88" t="str">
            <v>Overall composition not measured, only individual phases</v>
          </cell>
          <cell r="AI88" t="str">
            <v>Co</v>
          </cell>
          <cell r="AJ88" t="str">
            <v>-3.Al</v>
          </cell>
          <cell r="AK88" t="str">
            <v/>
          </cell>
          <cell r="AL88" t="str">
            <v/>
          </cell>
          <cell r="AM88" t="str">
            <v/>
          </cell>
          <cell r="AN88" t="str">
            <v/>
          </cell>
          <cell r="AO88" t="str">
            <v/>
          </cell>
          <cell r="AP88" t="str">
            <v>-16.V</v>
          </cell>
          <cell r="AQ88" t="str">
            <v/>
          </cell>
          <cell r="AR88" t="str">
            <v/>
          </cell>
          <cell r="AS88" t="str">
            <v/>
          </cell>
          <cell r="AT88" t="str">
            <v/>
          </cell>
          <cell r="AU88" t="str">
            <v/>
          </cell>
          <cell r="AV88" t="str">
            <v/>
          </cell>
          <cell r="AW88" t="str">
            <v/>
          </cell>
          <cell r="AX88" t="str">
            <v/>
          </cell>
          <cell r="AY88" t="str">
            <v/>
          </cell>
          <cell r="AZ88" t="str">
            <v/>
          </cell>
          <cell r="BA88" t="str">
            <v/>
          </cell>
          <cell r="BB88" t="str">
            <v/>
          </cell>
          <cell r="BC88" t="str">
            <v/>
          </cell>
          <cell r="BD88" t="str">
            <v/>
          </cell>
          <cell r="BE88" t="str">
            <v/>
          </cell>
          <cell r="BF88" t="str">
            <v/>
          </cell>
          <cell r="BG88" t="str">
            <v/>
          </cell>
          <cell r="BH88" t="str">
            <v>Co-3Al-16VChen, Y., Wang, C., Ruan, J., Omori, T., Kainuma, R., Ishida, K., &amp; Liu, X. (2019). High-strength Co–Al–V-base superalloys strengthened by γ′-Co 3 (Al,V) with high solvus temperature. Acta Materialia, 170, 62–74. https://doi.org/10.1016/j.actamat.2019.03.015</v>
          </cell>
          <cell r="BI88" t="str">
            <v>Co-3.Al-16.V</v>
          </cell>
          <cell r="BJ88" t="str">
            <v>81.0Co-3.0Al-16.0V</v>
          </cell>
        </row>
        <row r="89">
          <cell r="A89" t="str">
            <v>Co-1.5Al-17.5V</v>
          </cell>
          <cell r="B89" t="str">
            <v>W-free</v>
          </cell>
          <cell r="C89" t="str">
            <v>-2Al-18V</v>
          </cell>
          <cell r="D89" t="str">
            <v>3-1.5Al-17.5V</v>
          </cell>
          <cell r="E89" t="str">
            <v>Chen, Y., Wang, C., Ruan, J., Omori, T., Kainuma, R., Ishida, K., &amp; Liu, X. (2019). High-strength Co–Al–V-base superalloys strengthened by γ′-Co 3 (Al,V) with high solvus temperature. Acta Materialia, 170, 62–74. https://doi.org/10.1016/j.actamat.2019.03.016</v>
          </cell>
          <cell r="F89">
            <v>97</v>
          </cell>
          <cell r="G89">
            <v>81</v>
          </cell>
          <cell r="H89"/>
          <cell r="I89">
            <v>1.5</v>
          </cell>
          <cell r="J89"/>
          <cell r="K89"/>
          <cell r="L89"/>
          <cell r="M89"/>
          <cell r="N89"/>
          <cell r="O89">
            <v>17.5</v>
          </cell>
          <cell r="P89"/>
          <cell r="Q89"/>
          <cell r="R89"/>
          <cell r="S89"/>
          <cell r="T89"/>
          <cell r="U89"/>
          <cell r="V89"/>
          <cell r="W89"/>
          <cell r="X89"/>
          <cell r="Y89"/>
          <cell r="Z89"/>
          <cell r="AA89"/>
          <cell r="AB89"/>
          <cell r="AC89"/>
          <cell r="AD89"/>
          <cell r="AE89"/>
          <cell r="AF89">
            <v>8.3187499999999996</v>
          </cell>
          <cell r="AG89"/>
          <cell r="AH89" t="str">
            <v>Overall composition not measured, only individual phases</v>
          </cell>
          <cell r="AI89" t="str">
            <v>Co</v>
          </cell>
          <cell r="AJ89" t="str">
            <v>-1.5Al</v>
          </cell>
          <cell r="AK89" t="str">
            <v/>
          </cell>
          <cell r="AL89" t="str">
            <v/>
          </cell>
          <cell r="AM89" t="str">
            <v/>
          </cell>
          <cell r="AN89" t="str">
            <v/>
          </cell>
          <cell r="AO89" t="str">
            <v/>
          </cell>
          <cell r="AP89" t="str">
            <v>-17.5V</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cell r="BD89" t="str">
            <v/>
          </cell>
          <cell r="BE89" t="str">
            <v/>
          </cell>
          <cell r="BF89" t="str">
            <v/>
          </cell>
          <cell r="BG89" t="str">
            <v/>
          </cell>
          <cell r="BH89" t="str">
            <v>3-1.5Al-17.5VChen, Y., Wang, C., Ruan, J., Omori, T., Kainuma, R., Ishida, K., &amp; Liu, X. (2019). High-strength Co–Al–V-base superalloys strengthened by γ′-Co 3 (Al,V) with high solvus temperature. Acta Materialia, 170, 62–74. https://doi.org/10.1016/j.actamat.2019.03.016</v>
          </cell>
          <cell r="BI89" t="str">
            <v>Co-1.5Al-17.5V</v>
          </cell>
          <cell r="BJ89" t="str">
            <v>81.0Co-1.5Al-17.5V</v>
          </cell>
        </row>
        <row r="90">
          <cell r="A90" t="str">
            <v>Co-0.5Al-17.5V</v>
          </cell>
          <cell r="B90" t="str">
            <v>W-free</v>
          </cell>
          <cell r="C90" t="str">
            <v>-1Al-18V</v>
          </cell>
          <cell r="D90" t="str">
            <v>Co-0.5Al-17.5V</v>
          </cell>
          <cell r="E90" t="str">
            <v>Chen, Y., Wang, C., Ruan, J., Omori, T., Kainuma, R., Ishida, K., &amp; Liu, X. (2019). High-strength Co–Al–V-base superalloys strengthened by γ′-Co 3 (Al,V) with high solvus temperature. Acta Materialia, 170, 62–74. https://doi.org/10.1016/j.actamat.2019.03.017</v>
          </cell>
          <cell r="F90">
            <v>98</v>
          </cell>
          <cell r="G90">
            <v>82</v>
          </cell>
          <cell r="H90"/>
          <cell r="I90">
            <v>0.5</v>
          </cell>
          <cell r="J90"/>
          <cell r="K90"/>
          <cell r="L90"/>
          <cell r="M90"/>
          <cell r="N90"/>
          <cell r="O90">
            <v>17.5</v>
          </cell>
          <cell r="P90"/>
          <cell r="Q90"/>
          <cell r="R90"/>
          <cell r="S90"/>
          <cell r="T90"/>
          <cell r="U90"/>
          <cell r="V90"/>
          <cell r="W90"/>
          <cell r="X90"/>
          <cell r="Y90"/>
          <cell r="Z90"/>
          <cell r="AA90"/>
          <cell r="AB90"/>
          <cell r="AC90"/>
          <cell r="AD90"/>
          <cell r="AE90"/>
          <cell r="AF90">
            <v>8.3807500000000008</v>
          </cell>
          <cell r="AG90"/>
          <cell r="AH90" t="str">
            <v>Overall composition not measured, only individual phases</v>
          </cell>
          <cell r="AI90" t="str">
            <v>Co</v>
          </cell>
          <cell r="AJ90" t="str">
            <v>-0.5Al</v>
          </cell>
          <cell r="AK90" t="str">
            <v/>
          </cell>
          <cell r="AL90" t="str">
            <v/>
          </cell>
          <cell r="AM90" t="str">
            <v/>
          </cell>
          <cell r="AN90" t="str">
            <v/>
          </cell>
          <cell r="AO90" t="str">
            <v/>
          </cell>
          <cell r="AP90" t="str">
            <v>-17.5V</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cell r="BD90" t="str">
            <v/>
          </cell>
          <cell r="BE90" t="str">
            <v/>
          </cell>
          <cell r="BF90" t="str">
            <v/>
          </cell>
          <cell r="BG90" t="str">
            <v/>
          </cell>
          <cell r="BH90" t="str">
            <v>Co-0.5Al-17.5VChen, Y., Wang, C., Ruan, J., Omori, T., Kainuma, R., Ishida, K., &amp; Liu, X. (2019). High-strength Co–Al–V-base superalloys strengthened by γ′-Co 3 (Al,V) with high solvus temperature. Acta Materialia, 170, 62–74. https://doi.org/10.1016/j.actamat.2019.03.017</v>
          </cell>
          <cell r="BI90" t="str">
            <v>Co-0.5Al-17.5V</v>
          </cell>
          <cell r="BJ90" t="str">
            <v>82.0Co-0.5Al-17.5V</v>
          </cell>
        </row>
        <row r="91">
          <cell r="A91" t="str">
            <v>Co-5.Al-2.Cr-14.V</v>
          </cell>
          <cell r="B91" t="str">
            <v>W-free</v>
          </cell>
          <cell r="C91" t="str">
            <v>-5Al-2Cr-14V</v>
          </cell>
          <cell r="D91" t="str">
            <v>Co-5Al-14V-2Cr</v>
          </cell>
          <cell r="E91" t="str">
            <v>Chen, Y., Wang, C., Ruan, J., Omori, T., Kainuma, R., Ishida, K., &amp; Liu, X. (2019). High-strength Co–Al–V-base superalloys strengthened by γ′-Co 3 (Al,V) with high solvus temperature. Acta Materialia, 170, 62–74. https://doi.org/10.1016/j.actamat.2019.03.020</v>
          </cell>
          <cell r="F91">
            <v>100</v>
          </cell>
          <cell r="G91">
            <v>79</v>
          </cell>
          <cell r="H91"/>
          <cell r="I91">
            <v>5</v>
          </cell>
          <cell r="J91">
            <v>2</v>
          </cell>
          <cell r="K91"/>
          <cell r="L91"/>
          <cell r="M91"/>
          <cell r="N91"/>
          <cell r="O91">
            <v>14</v>
          </cell>
          <cell r="P91"/>
          <cell r="Q91"/>
          <cell r="R91"/>
          <cell r="S91"/>
          <cell r="T91"/>
          <cell r="U91"/>
          <cell r="V91"/>
          <cell r="W91"/>
          <cell r="X91"/>
          <cell r="Y91"/>
          <cell r="Z91"/>
          <cell r="AA91"/>
          <cell r="AB91"/>
          <cell r="AC91"/>
          <cell r="AD91"/>
          <cell r="AE91"/>
          <cell r="AF91">
            <v>8.1652000000000005</v>
          </cell>
          <cell r="AG91"/>
          <cell r="AH91" t="str">
            <v>Overall composition not measured, only individual phases</v>
          </cell>
          <cell r="AI91" t="str">
            <v>Co</v>
          </cell>
          <cell r="AJ91" t="str">
            <v>-5.Al</v>
          </cell>
          <cell r="AK91" t="str">
            <v/>
          </cell>
          <cell r="AL91" t="str">
            <v/>
          </cell>
          <cell r="AM91" t="str">
            <v>-2.Cr</v>
          </cell>
          <cell r="AN91" t="str">
            <v/>
          </cell>
          <cell r="AO91" t="str">
            <v/>
          </cell>
          <cell r="AP91" t="str">
            <v>-14.V</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cell r="BD91" t="str">
            <v/>
          </cell>
          <cell r="BE91" t="str">
            <v/>
          </cell>
          <cell r="BF91" t="str">
            <v/>
          </cell>
          <cell r="BG91" t="str">
            <v/>
          </cell>
          <cell r="BH91" t="str">
            <v>Co-5Al-14V-2CrChen, Y., Wang, C., Ruan, J., Omori, T., Kainuma, R., Ishida, K., &amp; Liu, X. (2019). High-strength Co–Al–V-base superalloys strengthened by γ′-Co 3 (Al,V) with high solvus temperature. Acta Materialia, 170, 62–74. https://doi.org/10.1016/j.actamat.2019.03.020</v>
          </cell>
          <cell r="BI91" t="str">
            <v>Co-5.Al-2.Cr-14.V</v>
          </cell>
          <cell r="BJ91" t="str">
            <v>79.0Co-5.0Al-2.0Cr-14.0V</v>
          </cell>
        </row>
        <row r="92">
          <cell r="A92" t="str">
            <v>Co-5.Al-2.Nb-14.V</v>
          </cell>
          <cell r="B92" t="str">
            <v>W-free</v>
          </cell>
          <cell r="C92" t="str">
            <v>-5Al-2Nb-14V</v>
          </cell>
          <cell r="D92" t="str">
            <v>Co-5Al-14V-2Nb</v>
          </cell>
          <cell r="E92" t="str">
            <v>Chen, Y., Wang, C., Ruan, J., Omori, T., Kainuma, R., Ishida, K., &amp; Liu, X. (2019). High-strength Co–Al–V-base superalloys strengthened by γ′-Co 3 (Al,V) with high solvus temperature. Acta Materialia, 170, 62–74. https://doi.org/10.1016/j.actamat.2019.03.021</v>
          </cell>
          <cell r="F92">
            <v>101</v>
          </cell>
          <cell r="G92">
            <v>79</v>
          </cell>
          <cell r="H92"/>
          <cell r="I92">
            <v>5</v>
          </cell>
          <cell r="J92"/>
          <cell r="K92"/>
          <cell r="L92"/>
          <cell r="M92"/>
          <cell r="N92">
            <v>2</v>
          </cell>
          <cell r="O92">
            <v>14</v>
          </cell>
          <cell r="P92"/>
          <cell r="Q92"/>
          <cell r="R92"/>
          <cell r="S92"/>
          <cell r="T92"/>
          <cell r="U92"/>
          <cell r="V92"/>
          <cell r="W92"/>
          <cell r="X92"/>
          <cell r="Y92"/>
          <cell r="Z92"/>
          <cell r="AA92"/>
          <cell r="AB92"/>
          <cell r="AC92"/>
          <cell r="AD92"/>
          <cell r="AE92"/>
          <cell r="AF92">
            <v>8.1928000000000001</v>
          </cell>
          <cell r="AG92"/>
          <cell r="AH92" t="str">
            <v>Overall composition not measured, only individual phases</v>
          </cell>
          <cell r="AI92" t="str">
            <v>Co</v>
          </cell>
          <cell r="AJ92" t="str">
            <v>-5.Al</v>
          </cell>
          <cell r="AK92" t="str">
            <v/>
          </cell>
          <cell r="AL92" t="str">
            <v/>
          </cell>
          <cell r="AM92" t="str">
            <v/>
          </cell>
          <cell r="AN92" t="str">
            <v/>
          </cell>
          <cell r="AO92" t="str">
            <v>-2.Nb</v>
          </cell>
          <cell r="AP92" t="str">
            <v>-14.V</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cell r="BD92" t="str">
            <v/>
          </cell>
          <cell r="BE92" t="str">
            <v/>
          </cell>
          <cell r="BF92" t="str">
            <v/>
          </cell>
          <cell r="BG92" t="str">
            <v/>
          </cell>
          <cell r="BH92" t="str">
            <v>Co-5Al-14V-2NbChen, Y., Wang, C., Ruan, J., Omori, T., Kainuma, R., Ishida, K., &amp; Liu, X. (2019). High-strength Co–Al–V-base superalloys strengthened by γ′-Co 3 (Al,V) with high solvus temperature. Acta Materialia, 170, 62–74. https://doi.org/10.1016/j.actamat.2019.03.021</v>
          </cell>
          <cell r="BI92" t="str">
            <v>Co-5.Al-2.Nb-14.V</v>
          </cell>
          <cell r="BJ92" t="str">
            <v>79.0Co-5.0Al-2.0Nb-14.0V</v>
          </cell>
        </row>
        <row r="93">
          <cell r="A93" t="str">
            <v>Co-5.Al-14.V-2.Mo</v>
          </cell>
          <cell r="B93" t="str">
            <v>W-free</v>
          </cell>
          <cell r="C93" t="str">
            <v>-5Al-14V-2Mo</v>
          </cell>
          <cell r="D93" t="str">
            <v>Co-5Al-14V-2Mo</v>
          </cell>
          <cell r="E93" t="str">
            <v>Chen, Y., Wang, C., Ruan, J., Omori, T., Kainuma, R., Ishida, K., &amp; Liu, X. (2019). High-strength Co–Al–V-base superalloys strengthened by γ′-Co 3 (Al,V) with high solvus temperature. Acta Materialia, 170, 62–74. https://doi.org/10.1016/j.actamat.2019.03.022</v>
          </cell>
          <cell r="F93">
            <v>102</v>
          </cell>
          <cell r="G93">
            <v>79</v>
          </cell>
          <cell r="H93"/>
          <cell r="I93">
            <v>5</v>
          </cell>
          <cell r="J93"/>
          <cell r="K93"/>
          <cell r="L93"/>
          <cell r="M93"/>
          <cell r="N93"/>
          <cell r="O93">
            <v>14</v>
          </cell>
          <cell r="P93">
            <v>2</v>
          </cell>
          <cell r="Q93"/>
          <cell r="R93"/>
          <cell r="S93"/>
          <cell r="T93"/>
          <cell r="U93"/>
          <cell r="V93"/>
          <cell r="W93"/>
          <cell r="X93"/>
          <cell r="Y93"/>
          <cell r="Z93"/>
          <cell r="AA93"/>
          <cell r="AB93"/>
          <cell r="AC93"/>
          <cell r="AD93"/>
          <cell r="AE93"/>
          <cell r="AF93">
            <v>8.2269999999999985</v>
          </cell>
          <cell r="AG93"/>
          <cell r="AH93" t="str">
            <v>Overall composition not measured, only individual phases</v>
          </cell>
          <cell r="AI93" t="str">
            <v>Co</v>
          </cell>
          <cell r="AJ93" t="str">
            <v>-5.Al</v>
          </cell>
          <cell r="AK93" t="str">
            <v/>
          </cell>
          <cell r="AL93" t="str">
            <v/>
          </cell>
          <cell r="AM93" t="str">
            <v/>
          </cell>
          <cell r="AN93" t="str">
            <v/>
          </cell>
          <cell r="AO93" t="str">
            <v/>
          </cell>
          <cell r="AP93" t="str">
            <v>-14.V</v>
          </cell>
          <cell r="AQ93" t="str">
            <v/>
          </cell>
          <cell r="AR93" t="str">
            <v>-2.Mo</v>
          </cell>
          <cell r="AS93" t="str">
            <v/>
          </cell>
          <cell r="AT93" t="str">
            <v/>
          </cell>
          <cell r="AU93" t="str">
            <v/>
          </cell>
          <cell r="AV93" t="str">
            <v/>
          </cell>
          <cell r="AW93" t="str">
            <v/>
          </cell>
          <cell r="AX93" t="str">
            <v/>
          </cell>
          <cell r="AY93" t="str">
            <v/>
          </cell>
          <cell r="AZ93" t="str">
            <v/>
          </cell>
          <cell r="BA93" t="str">
            <v/>
          </cell>
          <cell r="BB93" t="str">
            <v/>
          </cell>
          <cell r="BC93" t="str">
            <v/>
          </cell>
          <cell r="BD93" t="str">
            <v/>
          </cell>
          <cell r="BE93" t="str">
            <v/>
          </cell>
          <cell r="BF93" t="str">
            <v/>
          </cell>
          <cell r="BG93" t="str">
            <v/>
          </cell>
          <cell r="BH93" t="str">
            <v>Co-5Al-14V-2MoChen, Y., Wang, C., Ruan, J., Omori, T., Kainuma, R., Ishida, K., &amp; Liu, X. (2019). High-strength Co–Al–V-base superalloys strengthened by γ′-Co 3 (Al,V) with high solvus temperature. Acta Materialia, 170, 62–74. https://doi.org/10.1016/j.actamat.2019.03.022</v>
          </cell>
          <cell r="BI93" t="str">
            <v>Co-5.Al-14.V-2.Mo</v>
          </cell>
          <cell r="BJ93" t="str">
            <v>79.0Co-5.0Al-14.0V-2.0Mo</v>
          </cell>
        </row>
        <row r="94">
          <cell r="A94" t="str">
            <v>Co-5.Al-2.Ta-14.V</v>
          </cell>
          <cell r="B94" t="str">
            <v>W-free</v>
          </cell>
          <cell r="C94" t="str">
            <v>-5Al-2Ta-14V</v>
          </cell>
          <cell r="D94" t="str">
            <v>Co-5Al-14V-2Ta</v>
          </cell>
          <cell r="E94" t="str">
            <v>Chen, Y., Wang, C., Ruan, J., Omori, T., Kainuma, R., Ishida, K., &amp; Liu, X. (2019). High-strength Co–Al–V-base superalloys strengthened by γ′-Co 3 (Al,V) with high solvus temperature. Acta Materialia, 170, 62–74. https://doi.org/10.1016/j.actamat.2019.03.023</v>
          </cell>
          <cell r="F94">
            <v>103</v>
          </cell>
          <cell r="G94">
            <v>79</v>
          </cell>
          <cell r="H94"/>
          <cell r="I94">
            <v>5</v>
          </cell>
          <cell r="J94"/>
          <cell r="K94"/>
          <cell r="L94"/>
          <cell r="M94">
            <v>2</v>
          </cell>
          <cell r="N94"/>
          <cell r="O94">
            <v>14</v>
          </cell>
          <cell r="P94"/>
          <cell r="Q94"/>
          <cell r="R94"/>
          <cell r="S94"/>
          <cell r="T94"/>
          <cell r="U94"/>
          <cell r="V94"/>
          <cell r="W94"/>
          <cell r="X94"/>
          <cell r="Y94"/>
          <cell r="Z94"/>
          <cell r="AA94"/>
          <cell r="AB94"/>
          <cell r="AC94"/>
          <cell r="AD94"/>
          <cell r="AE94"/>
          <cell r="AF94">
            <v>8.3544</v>
          </cell>
          <cell r="AG94"/>
          <cell r="AH94" t="str">
            <v>Overall composition not measured, only individual phases</v>
          </cell>
          <cell r="AI94" t="str">
            <v>Co</v>
          </cell>
          <cell r="AJ94" t="str">
            <v>-5.Al</v>
          </cell>
          <cell r="AK94" t="str">
            <v/>
          </cell>
          <cell r="AL94" t="str">
            <v/>
          </cell>
          <cell r="AM94" t="str">
            <v/>
          </cell>
          <cell r="AN94" t="str">
            <v>-2.Ta</v>
          </cell>
          <cell r="AO94" t="str">
            <v/>
          </cell>
          <cell r="AP94" t="str">
            <v>-14.V</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cell r="BD94" t="str">
            <v/>
          </cell>
          <cell r="BE94" t="str">
            <v/>
          </cell>
          <cell r="BF94" t="str">
            <v/>
          </cell>
          <cell r="BG94" t="str">
            <v/>
          </cell>
          <cell r="BH94" t="str">
            <v>Co-5Al-14V-2TaChen, Y., Wang, C., Ruan, J., Omori, T., Kainuma, R., Ishida, K., &amp; Liu, X. (2019). High-strength Co–Al–V-base superalloys strengthened by γ′-Co 3 (Al,V) with high solvus temperature. Acta Materialia, 170, 62–74. https://doi.org/10.1016/j.actamat.2019.03.023</v>
          </cell>
          <cell r="BI94" t="str">
            <v>Co-5.Al-2.Ta-14.V</v>
          </cell>
          <cell r="BJ94" t="str">
            <v>79.0Co-5.0Al-2.0Ta-14.0V</v>
          </cell>
        </row>
        <row r="95">
          <cell r="A95" t="str">
            <v>Co-5.Al-2.W-14.V</v>
          </cell>
          <cell r="B95" t="str">
            <v>Low-W</v>
          </cell>
          <cell r="C95" t="str">
            <v>-5Al-2W-14V</v>
          </cell>
          <cell r="D95" t="str">
            <v>Co-5Al-14V-2W</v>
          </cell>
          <cell r="E95" t="str">
            <v>Chen, Y., Wang, C., Ruan, J., Omori, T., Kainuma, R., Ishida, K., &amp; Liu, X. (2019). High-strength Co–Al–V-base superalloys strengthened by γ′-Co 3 (Al,V) with high solvus temperature. Acta Materialia, 170, 62–74. https://doi.org/10.1016/j.actamat.2019.03.024</v>
          </cell>
          <cell r="F95">
            <v>104</v>
          </cell>
          <cell r="G95">
            <v>79</v>
          </cell>
          <cell r="H95"/>
          <cell r="I95">
            <v>5</v>
          </cell>
          <cell r="J95"/>
          <cell r="K95">
            <v>2</v>
          </cell>
          <cell r="L95"/>
          <cell r="M95"/>
          <cell r="N95"/>
          <cell r="O95">
            <v>14</v>
          </cell>
          <cell r="P95"/>
          <cell r="Q95"/>
          <cell r="R95"/>
          <cell r="S95"/>
          <cell r="T95"/>
          <cell r="U95"/>
          <cell r="V95"/>
          <cell r="W95"/>
          <cell r="X95"/>
          <cell r="Y95"/>
          <cell r="Z95"/>
          <cell r="AA95"/>
          <cell r="AB95"/>
          <cell r="AC95"/>
          <cell r="AD95"/>
          <cell r="AE95"/>
          <cell r="AF95">
            <v>8.4063999999999997</v>
          </cell>
          <cell r="AG95"/>
          <cell r="AH95" t="str">
            <v>Overall composition not measured, only individual phases</v>
          </cell>
          <cell r="AI95" t="str">
            <v>Co</v>
          </cell>
          <cell r="AJ95" t="str">
            <v>-5.Al</v>
          </cell>
          <cell r="AK95" t="str">
            <v>-2.W</v>
          </cell>
          <cell r="AL95" t="str">
            <v/>
          </cell>
          <cell r="AM95" t="str">
            <v/>
          </cell>
          <cell r="AN95" t="str">
            <v/>
          </cell>
          <cell r="AO95" t="str">
            <v/>
          </cell>
          <cell r="AP95" t="str">
            <v>-14.V</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cell r="BD95" t="str">
            <v/>
          </cell>
          <cell r="BE95" t="str">
            <v/>
          </cell>
          <cell r="BF95" t="str">
            <v/>
          </cell>
          <cell r="BG95" t="str">
            <v/>
          </cell>
          <cell r="BH95" t="str">
            <v>Co-5Al-14V-2WChen, Y., Wang, C., Ruan, J., Omori, T., Kainuma, R., Ishida, K., &amp; Liu, X. (2019). High-strength Co–Al–V-base superalloys strengthened by γ′-Co 3 (Al,V) with high solvus temperature. Acta Materialia, 170, 62–74. https://doi.org/10.1016/j.actamat.2019.03.024</v>
          </cell>
          <cell r="BI95" t="str">
            <v>Co-5.Al-2.W-14.V</v>
          </cell>
          <cell r="BJ95" t="str">
            <v>79.0Co-5.0Al-2.0W-14.0V</v>
          </cell>
        </row>
        <row r="96">
          <cell r="A96" t="str">
            <v>Co-8.Al-12.V</v>
          </cell>
          <cell r="B96" t="str">
            <v>W-free</v>
          </cell>
          <cell r="C96" t="str">
            <v>-8Al-12V</v>
          </cell>
          <cell r="D96" t="str">
            <v>Co-8Al-12V</v>
          </cell>
          <cell r="E96" t="str">
            <v>Chen, Y., Wang, C., Ruan, J., Omori, T., Kainuma, R., Ishida, K., &amp; Liu, X. (2019). High-strength Co–Al–V-base superalloys strengthened by γ′-Co 3 (Al,V) with high solvus temperature. Acta Materialia, 170, 62–74. https://doi.org/10.1016/j.actamat.2019.03.025</v>
          </cell>
          <cell r="F96">
            <v>105</v>
          </cell>
          <cell r="G96">
            <v>80</v>
          </cell>
          <cell r="H96"/>
          <cell r="I96">
            <v>8</v>
          </cell>
          <cell r="J96"/>
          <cell r="K96"/>
          <cell r="L96"/>
          <cell r="M96"/>
          <cell r="N96"/>
          <cell r="O96">
            <v>12</v>
          </cell>
          <cell r="P96"/>
          <cell r="Q96"/>
          <cell r="R96"/>
          <cell r="S96"/>
          <cell r="T96"/>
          <cell r="U96"/>
          <cell r="V96"/>
          <cell r="W96"/>
          <cell r="X96"/>
          <cell r="Y96"/>
          <cell r="Z96"/>
          <cell r="AA96"/>
          <cell r="AB96"/>
          <cell r="AC96"/>
          <cell r="AD96"/>
          <cell r="AE96"/>
          <cell r="AF96">
            <v>8.0692000000000004</v>
          </cell>
          <cell r="AG96"/>
          <cell r="AH96" t="str">
            <v>Overall composition not measured, only individual phases</v>
          </cell>
          <cell r="AI96" t="str">
            <v>Co</v>
          </cell>
          <cell r="AJ96" t="str">
            <v>-8.Al</v>
          </cell>
          <cell r="AK96" t="str">
            <v/>
          </cell>
          <cell r="AL96" t="str">
            <v/>
          </cell>
          <cell r="AM96" t="str">
            <v/>
          </cell>
          <cell r="AN96" t="str">
            <v/>
          </cell>
          <cell r="AO96" t="str">
            <v/>
          </cell>
          <cell r="AP96" t="str">
            <v>-12.V</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cell r="BD96" t="str">
            <v/>
          </cell>
          <cell r="BE96" t="str">
            <v/>
          </cell>
          <cell r="BF96" t="str">
            <v/>
          </cell>
          <cell r="BG96" t="str">
            <v/>
          </cell>
          <cell r="BH96" t="str">
            <v>Co-8Al-12VChen, Y., Wang, C., Ruan, J., Omori, T., Kainuma, R., Ishida, K., &amp; Liu, X. (2019). High-strength Co–Al–V-base superalloys strengthened by γ′-Co 3 (Al,V) with high solvus temperature. Acta Materialia, 170, 62–74. https://doi.org/10.1016/j.actamat.2019.03.025</v>
          </cell>
          <cell r="BI96" t="str">
            <v>Co-8.Al-12.V</v>
          </cell>
          <cell r="BJ96" t="str">
            <v>80.0Co-8.0Al-12.0V</v>
          </cell>
        </row>
        <row r="97">
          <cell r="A97" t="str">
            <v>Co-10.Ni-8.Al-12.V</v>
          </cell>
          <cell r="B97" t="str">
            <v>W-free</v>
          </cell>
          <cell r="C97" t="str">
            <v>-10Ni-8Al-12V</v>
          </cell>
          <cell r="D97" t="str">
            <v>Co-10Ni-8Al-12V</v>
          </cell>
          <cell r="E97" t="str">
            <v>Chen, Y., Wang, C., Ruan, J., Omori, T., Kainuma, R., Ishida, K., &amp; Liu, X. (2019). High-strength Co–Al–V-base superalloys strengthened by γ′-Co 3 (Al,V) with high solvus temperature. Acta Materialia, 170, 62–74. https://doi.org/10.1016/j.actamat.2019.03.025</v>
          </cell>
          <cell r="F97">
            <v>106</v>
          </cell>
          <cell r="G97">
            <v>70</v>
          </cell>
          <cell r="H97">
            <v>10</v>
          </cell>
          <cell r="I97">
            <v>8</v>
          </cell>
          <cell r="J97"/>
          <cell r="K97"/>
          <cell r="L97"/>
          <cell r="M97"/>
          <cell r="N97"/>
          <cell r="O97">
            <v>12</v>
          </cell>
          <cell r="P97"/>
          <cell r="Q97"/>
          <cell r="R97"/>
          <cell r="S97"/>
          <cell r="T97"/>
          <cell r="U97"/>
          <cell r="V97"/>
          <cell r="W97"/>
          <cell r="X97"/>
          <cell r="Y97"/>
          <cell r="Z97"/>
          <cell r="AA97"/>
          <cell r="AB97"/>
          <cell r="AC97"/>
          <cell r="AD97"/>
          <cell r="AE97"/>
          <cell r="AF97">
            <v>8.07</v>
          </cell>
          <cell r="AG97"/>
          <cell r="AH97" t="str">
            <v>Overall composition not measured, only individual phases</v>
          </cell>
          <cell r="AI97" t="str">
            <v>Co</v>
          </cell>
          <cell r="AJ97" t="str">
            <v>-8.Al</v>
          </cell>
          <cell r="AK97" t="str">
            <v/>
          </cell>
          <cell r="AL97" t="str">
            <v>-10.Ni</v>
          </cell>
          <cell r="AM97" t="str">
            <v/>
          </cell>
          <cell r="AN97" t="str">
            <v/>
          </cell>
          <cell r="AO97" t="str">
            <v/>
          </cell>
          <cell r="AP97" t="str">
            <v>-12.V</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cell r="BD97" t="str">
            <v/>
          </cell>
          <cell r="BE97" t="str">
            <v/>
          </cell>
          <cell r="BF97" t="str">
            <v/>
          </cell>
          <cell r="BG97" t="str">
            <v/>
          </cell>
          <cell r="BH97" t="str">
            <v>Co-10Ni-8Al-12VChen, Y., Wang, C., Ruan, J., Omori, T., Kainuma, R., Ishida, K., &amp; Liu, X. (2019). High-strength Co–Al–V-base superalloys strengthened by γ′-Co 3 (Al,V) with high solvus temperature. Acta Materialia, 170, 62–74. https://doi.org/10.1016/j.actamat.2019.03.025</v>
          </cell>
          <cell r="BI97" t="str">
            <v>Co-10.Ni-8.Al-12.V</v>
          </cell>
          <cell r="BJ97" t="str">
            <v>80.0Co-10.0Ni-8.0Al-12.0V</v>
          </cell>
        </row>
        <row r="98">
          <cell r="A98" t="str">
            <v>Co-20.Ni-8.Al-12.V</v>
          </cell>
          <cell r="B98" t="str">
            <v>W-free</v>
          </cell>
          <cell r="C98" t="str">
            <v>-20Ni-8Al-12V</v>
          </cell>
          <cell r="D98" t="str">
            <v>Co-20Ni-8Al-12V</v>
          </cell>
          <cell r="E98" t="str">
            <v>Chen, Y., Wang, C., Ruan, J., Omori, T., Kainuma, R., Ishida, K., &amp; Liu, X. (2019). High-strength Co–Al–V-base superalloys strengthened by γ′-Co 3 (Al,V) with high solvus temperature. Acta Materialia, 170, 62–74. https://doi.org/10.1016/j.actamat.2019.03.026</v>
          </cell>
          <cell r="F98">
            <v>107</v>
          </cell>
          <cell r="G98">
            <v>60</v>
          </cell>
          <cell r="H98">
            <v>20</v>
          </cell>
          <cell r="I98">
            <v>8</v>
          </cell>
          <cell r="J98"/>
          <cell r="K98"/>
          <cell r="L98"/>
          <cell r="M98"/>
          <cell r="N98"/>
          <cell r="O98">
            <v>12</v>
          </cell>
          <cell r="P98"/>
          <cell r="Q98"/>
          <cell r="R98"/>
          <cell r="S98"/>
          <cell r="T98"/>
          <cell r="U98"/>
          <cell r="V98"/>
          <cell r="W98"/>
          <cell r="X98"/>
          <cell r="Y98"/>
          <cell r="Z98"/>
          <cell r="AA98"/>
          <cell r="AB98"/>
          <cell r="AC98"/>
          <cell r="AD98"/>
          <cell r="AE98"/>
          <cell r="AF98">
            <v>8.0708000000000002</v>
          </cell>
          <cell r="AG98"/>
          <cell r="AH98" t="str">
            <v>Overall composition not measured, only individual phases</v>
          </cell>
          <cell r="AI98" t="str">
            <v>Co</v>
          </cell>
          <cell r="AJ98" t="str">
            <v>-8.Al</v>
          </cell>
          <cell r="AK98" t="str">
            <v/>
          </cell>
          <cell r="AL98" t="str">
            <v>-20.Ni</v>
          </cell>
          <cell r="AM98" t="str">
            <v/>
          </cell>
          <cell r="AN98" t="str">
            <v/>
          </cell>
          <cell r="AO98" t="str">
            <v/>
          </cell>
          <cell r="AP98" t="str">
            <v>-12.V</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cell r="BD98" t="str">
            <v/>
          </cell>
          <cell r="BE98" t="str">
            <v/>
          </cell>
          <cell r="BF98" t="str">
            <v/>
          </cell>
          <cell r="BG98" t="str">
            <v/>
          </cell>
          <cell r="BH98" t="str">
            <v>Co-20Ni-8Al-12VChen, Y., Wang, C., Ruan, J., Omori, T., Kainuma, R., Ishida, K., &amp; Liu, X. (2019). High-strength Co–Al–V-base superalloys strengthened by γ′-Co 3 (Al,V) with high solvus temperature. Acta Materialia, 170, 62–74. https://doi.org/10.1016/j.actamat.2019.03.026</v>
          </cell>
          <cell r="BI98" t="str">
            <v>Co-20.Ni-8.Al-12.V</v>
          </cell>
          <cell r="BJ98" t="str">
            <v>80.0Co-20.0Ni-8.0Al-12.0V</v>
          </cell>
        </row>
        <row r="99">
          <cell r="A99" t="str">
            <v>Co-30.Ni-8.Al-12.V</v>
          </cell>
          <cell r="B99" t="str">
            <v>W-free</v>
          </cell>
          <cell r="C99" t="str">
            <v>-30Ni-8Al-12V</v>
          </cell>
          <cell r="D99" t="str">
            <v>Co-30Ni-8Al-12V</v>
          </cell>
          <cell r="E99" t="str">
            <v>Chen, Y., Wang, C., Ruan, J., Omori, T., Kainuma, R., Ishida, K., &amp; Liu, X. (2019). High-strength Co–Al–V-base superalloys strengthened by γ′-Co 3 (Al,V) with high solvus temperature. Acta Materialia, 170, 62–74. https://doi.org/10.1016/j.actamat.2019.03.027</v>
          </cell>
          <cell r="F99">
            <v>108</v>
          </cell>
          <cell r="G99">
            <v>50</v>
          </cell>
          <cell r="H99">
            <v>30</v>
          </cell>
          <cell r="I99">
            <v>8</v>
          </cell>
          <cell r="J99"/>
          <cell r="K99"/>
          <cell r="L99"/>
          <cell r="M99"/>
          <cell r="N99"/>
          <cell r="O99">
            <v>12</v>
          </cell>
          <cell r="P99"/>
          <cell r="Q99"/>
          <cell r="R99"/>
          <cell r="S99"/>
          <cell r="T99"/>
          <cell r="U99"/>
          <cell r="V99"/>
          <cell r="W99"/>
          <cell r="X99"/>
          <cell r="Y99"/>
          <cell r="Z99"/>
          <cell r="AA99"/>
          <cell r="AB99"/>
          <cell r="AC99"/>
          <cell r="AD99"/>
          <cell r="AE99"/>
          <cell r="AF99">
            <v>8.0716000000000001</v>
          </cell>
          <cell r="AG99">
            <v>8.07</v>
          </cell>
          <cell r="AH99" t="str">
            <v>Overall composition not measured, only individual phases</v>
          </cell>
          <cell r="AI99" t="str">
            <v>Co</v>
          </cell>
          <cell r="AJ99" t="str">
            <v>-8.Al</v>
          </cell>
          <cell r="AK99" t="str">
            <v/>
          </cell>
          <cell r="AL99" t="str">
            <v>-30.Ni</v>
          </cell>
          <cell r="AM99" t="str">
            <v/>
          </cell>
          <cell r="AN99" t="str">
            <v/>
          </cell>
          <cell r="AO99" t="str">
            <v/>
          </cell>
          <cell r="AP99" t="str">
            <v>-12.V</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cell r="BD99" t="str">
            <v/>
          </cell>
          <cell r="BE99" t="str">
            <v/>
          </cell>
          <cell r="BF99" t="str">
            <v/>
          </cell>
          <cell r="BG99" t="str">
            <v/>
          </cell>
          <cell r="BH99" t="str">
            <v>Co-30Ni-8Al-12VChen, Y., Wang, C., Ruan, J., Omori, T., Kainuma, R., Ishida, K., &amp; Liu, X. (2019). High-strength Co–Al–V-base superalloys strengthened by γ′-Co 3 (Al,V) with high solvus temperature. Acta Materialia, 170, 62–74. https://doi.org/10.1016/j.actamat.2019.03.027</v>
          </cell>
          <cell r="BI99" t="str">
            <v>Co-30.Ni-8.Al-12.V</v>
          </cell>
          <cell r="BJ99" t="str">
            <v>80.0Co-30.0Ni-8.0Al-12.0V</v>
          </cell>
        </row>
        <row r="100">
          <cell r="A100" t="str">
            <v>Co-30.Ni-5.Al-4.Ta-10.V</v>
          </cell>
          <cell r="B100" t="str">
            <v>W-free</v>
          </cell>
          <cell r="C100" t="str">
            <v>-30Ni-5Al-4Ta-10V</v>
          </cell>
          <cell r="D100" t="str">
            <v>Co-30Ni-5Al-10V-4Ta</v>
          </cell>
          <cell r="E100" t="str">
            <v>Chen, Y., Wang, C., Ruan, J., Omori, T., Kainuma, R., Ishida, K., &amp; Liu, X. (2019). High-strength Co–Al–V-base superalloys strengthened by γ′-Co 3 (Al,V) with high solvus temperature. Acta Materialia, 170, 62–74. https://doi.org/10.1016/j.actamat.2019.03.028</v>
          </cell>
          <cell r="F100">
            <v>109</v>
          </cell>
          <cell r="G100">
            <v>51</v>
          </cell>
          <cell r="H100">
            <v>30</v>
          </cell>
          <cell r="I100">
            <v>5</v>
          </cell>
          <cell r="J100"/>
          <cell r="K100"/>
          <cell r="L100"/>
          <cell r="M100">
            <v>4</v>
          </cell>
          <cell r="N100"/>
          <cell r="O100">
            <v>10</v>
          </cell>
          <cell r="P100"/>
          <cell r="Q100"/>
          <cell r="R100"/>
          <cell r="S100"/>
          <cell r="T100"/>
          <cell r="U100"/>
          <cell r="V100"/>
          <cell r="W100"/>
          <cell r="X100"/>
          <cell r="Y100"/>
          <cell r="Z100"/>
          <cell r="AA100"/>
          <cell r="AB100"/>
          <cell r="AC100"/>
          <cell r="AD100"/>
          <cell r="AE100"/>
          <cell r="AF100">
            <v>8.623400000000002</v>
          </cell>
          <cell r="AG100">
            <v>8.94</v>
          </cell>
          <cell r="AH100" t="str">
            <v>Overall composition not measured, only individual phases</v>
          </cell>
          <cell r="AI100" t="str">
            <v>Co</v>
          </cell>
          <cell r="AJ100" t="str">
            <v>-5.Al</v>
          </cell>
          <cell r="AK100" t="str">
            <v/>
          </cell>
          <cell r="AL100" t="str">
            <v>-30.Ni</v>
          </cell>
          <cell r="AM100" t="str">
            <v/>
          </cell>
          <cell r="AN100" t="str">
            <v>-4.Ta</v>
          </cell>
          <cell r="AO100" t="str">
            <v/>
          </cell>
          <cell r="AP100" t="str">
            <v>-10.V</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cell r="BD100" t="str">
            <v/>
          </cell>
          <cell r="BE100" t="str">
            <v/>
          </cell>
          <cell r="BF100" t="str">
            <v/>
          </cell>
          <cell r="BG100" t="str">
            <v/>
          </cell>
          <cell r="BH100" t="str">
            <v>Co-30Ni-5Al-10V-4TaChen, Y., Wang, C., Ruan, J., Omori, T., Kainuma, R., Ishida, K., &amp; Liu, X. (2019). High-strength Co–Al–V-base superalloys strengthened by γ′-Co 3 (Al,V) with high solvus temperature. Acta Materialia, 170, 62–74. https://doi.org/10.1016/j.actamat.2019.03.028</v>
          </cell>
          <cell r="BI100" t="str">
            <v>Co-30.Ni-5.Al-4.Ta-10.V</v>
          </cell>
          <cell r="BJ100" t="str">
            <v>81.0Co-30.0Ni-5.0Al-4.0Ta-10.0V</v>
          </cell>
        </row>
        <row r="101">
          <cell r="A101" t="str">
            <v>Co-30.Ni-7.5Al-4.Ta-7.5V</v>
          </cell>
          <cell r="B101" t="str">
            <v>W-free</v>
          </cell>
          <cell r="C101" t="str">
            <v>-30Ni-8Al-4Ta-8V</v>
          </cell>
          <cell r="D101" t="str">
            <v>Co-30Ni-7.5Al-7.5V-4Ta</v>
          </cell>
          <cell r="E101" t="str">
            <v>Chen, Y., Wang, C., Ruan, J., Omori, T., Kainuma, R., Ishida, K., &amp; Liu, X. (2019). High-strength Co–Al–V-base superalloys strengthened by γ′-Co 3 (Al,V) with high solvus temperature. Acta Materialia, 170, 62–74. https://doi.org/10.1016/j.actamat.2019.03.029</v>
          </cell>
          <cell r="F101">
            <v>110</v>
          </cell>
          <cell r="G101">
            <v>51</v>
          </cell>
          <cell r="H101">
            <v>30</v>
          </cell>
          <cell r="I101">
            <v>7.5</v>
          </cell>
          <cell r="J101"/>
          <cell r="K101"/>
          <cell r="L101"/>
          <cell r="M101">
            <v>4</v>
          </cell>
          <cell r="N101"/>
          <cell r="O101">
            <v>7.5</v>
          </cell>
          <cell r="P101"/>
          <cell r="Q101"/>
          <cell r="R101"/>
          <cell r="S101"/>
          <cell r="T101"/>
          <cell r="U101"/>
          <cell r="V101"/>
          <cell r="W101"/>
          <cell r="X101"/>
          <cell r="Y101"/>
          <cell r="Z101"/>
          <cell r="AA101"/>
          <cell r="AB101"/>
          <cell r="AC101"/>
          <cell r="AD101"/>
          <cell r="AE101"/>
          <cell r="AF101">
            <v>8.5381500000000017</v>
          </cell>
          <cell r="AG101">
            <v>8.8000000000000007</v>
          </cell>
          <cell r="AH101" t="str">
            <v>Overall composition not measured, only individual phases</v>
          </cell>
          <cell r="AI101" t="str">
            <v>Co</v>
          </cell>
          <cell r="AJ101" t="str">
            <v>-7.5Al</v>
          </cell>
          <cell r="AK101" t="str">
            <v/>
          </cell>
          <cell r="AL101" t="str">
            <v>-30.Ni</v>
          </cell>
          <cell r="AM101" t="str">
            <v/>
          </cell>
          <cell r="AN101" t="str">
            <v>-4.Ta</v>
          </cell>
          <cell r="AO101" t="str">
            <v/>
          </cell>
          <cell r="AP101" t="str">
            <v>-7.5V</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cell r="BD101" t="str">
            <v/>
          </cell>
          <cell r="BE101" t="str">
            <v/>
          </cell>
          <cell r="BF101" t="str">
            <v/>
          </cell>
          <cell r="BG101" t="str">
            <v/>
          </cell>
          <cell r="BH101" t="str">
            <v>Co-30Ni-7.5Al-7.5V-4TaChen, Y., Wang, C., Ruan, J., Omori, T., Kainuma, R., Ishida, K., &amp; Liu, X. (2019). High-strength Co–Al–V-base superalloys strengthened by γ′-Co 3 (Al,V) with high solvus temperature. Acta Materialia, 170, 62–74. https://doi.org/10.1016/j.actamat.2019.03.029</v>
          </cell>
          <cell r="BI101" t="str">
            <v>Co-30.Ni-7.5Al-4.Ta-7.5V</v>
          </cell>
          <cell r="BJ101" t="str">
            <v>81.0Co-30.0Ni-7.5Al-4.0Ta-7.5V</v>
          </cell>
        </row>
        <row r="102">
          <cell r="A102" t="str">
            <v>Co-30.Ni-10.Al-4.Ta-5.V</v>
          </cell>
          <cell r="B102" t="str">
            <v>W-free</v>
          </cell>
          <cell r="C102" t="str">
            <v>-30Ni-10Al-4Ta-5V</v>
          </cell>
          <cell r="D102" t="str">
            <v>Co-30Ni-10Al-5V-4Ta</v>
          </cell>
          <cell r="E102" t="str">
            <v>Chen, Y., Wang, C., Ruan, J., Omori, T., Kainuma, R., Ishida, K., &amp; Liu, X. (2019). High-strength Co–Al–V-base superalloys strengthened by γ′-Co 3 (Al,V) with high solvus temperature. Acta Materialia, 170, 62–74. https://doi.org/10.1016/j.actamat.2019.03.030</v>
          </cell>
          <cell r="F102">
            <v>111</v>
          </cell>
          <cell r="G102">
            <v>51</v>
          </cell>
          <cell r="H102">
            <v>30</v>
          </cell>
          <cell r="I102">
            <v>10</v>
          </cell>
          <cell r="J102"/>
          <cell r="K102"/>
          <cell r="L102"/>
          <cell r="M102">
            <v>4</v>
          </cell>
          <cell r="N102"/>
          <cell r="O102">
            <v>5</v>
          </cell>
          <cell r="P102"/>
          <cell r="Q102"/>
          <cell r="R102"/>
          <cell r="S102"/>
          <cell r="T102"/>
          <cell r="U102"/>
          <cell r="V102"/>
          <cell r="W102"/>
          <cell r="X102"/>
          <cell r="Y102"/>
          <cell r="Z102"/>
          <cell r="AA102"/>
          <cell r="AB102"/>
          <cell r="AC102"/>
          <cell r="AD102"/>
          <cell r="AE102"/>
          <cell r="AF102">
            <v>8.4529000000000014</v>
          </cell>
          <cell r="AG102">
            <v>8.6999999999999993</v>
          </cell>
          <cell r="AH102" t="str">
            <v>Overall composition not measured, only individual phases</v>
          </cell>
          <cell r="AI102" t="str">
            <v>Co</v>
          </cell>
          <cell r="AJ102" t="str">
            <v>-10.Al</v>
          </cell>
          <cell r="AK102" t="str">
            <v/>
          </cell>
          <cell r="AL102" t="str">
            <v>-30.Ni</v>
          </cell>
          <cell r="AM102" t="str">
            <v/>
          </cell>
          <cell r="AN102" t="str">
            <v>-4.Ta</v>
          </cell>
          <cell r="AO102" t="str">
            <v/>
          </cell>
          <cell r="AP102" t="str">
            <v>-5.V</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cell r="BD102" t="str">
            <v/>
          </cell>
          <cell r="BE102" t="str">
            <v/>
          </cell>
          <cell r="BF102" t="str">
            <v/>
          </cell>
          <cell r="BG102" t="str">
            <v/>
          </cell>
          <cell r="BH102" t="str">
            <v>Co-30Ni-10Al-5V-4TaChen, Y., Wang, C., Ruan, J., Omori, T., Kainuma, R., Ishida, K., &amp; Liu, X. (2019). High-strength Co–Al–V-base superalloys strengthened by γ′-Co 3 (Al,V) with high solvus temperature. Acta Materialia, 170, 62–74. https://doi.org/10.1016/j.actamat.2019.03.030</v>
          </cell>
          <cell r="BI102" t="str">
            <v>Co-30.Ni-10.Al-4.Ta-5.V</v>
          </cell>
          <cell r="BJ102" t="str">
            <v>81.0Co-30.0Ni-10.0Al-4.0Ta-5.0V</v>
          </cell>
        </row>
        <row r="103">
          <cell r="A103" t="str">
            <v>Co-30.Ni-10.Al-2.Ti-4.Ta-5.V</v>
          </cell>
          <cell r="B103" t="str">
            <v>W-free</v>
          </cell>
          <cell r="C103" t="str">
            <v>-30Ni-10Al-2Ti-4Ta-5V</v>
          </cell>
          <cell r="D103" t="str">
            <v>Co-30Ni-10Al-5V-4Ta-Ti</v>
          </cell>
          <cell r="E103" t="str">
            <v>Chen, Y., Wang, C., Ruan, J., Omori, T., Kainuma, R., Ishida, K., &amp; Liu, X. (2019). High-strength Co–Al–V-base superalloys strengthened by γ′-Co 3 (Al,V) with high solvus temperature. Acta Materialia, 170, 62–74. https://doi.org/10.1016/j.actamat.2019.03.031</v>
          </cell>
          <cell r="F103">
            <v>112</v>
          </cell>
          <cell r="G103">
            <v>49</v>
          </cell>
          <cell r="H103">
            <v>30</v>
          </cell>
          <cell r="I103">
            <v>10</v>
          </cell>
          <cell r="J103"/>
          <cell r="K103"/>
          <cell r="L103">
            <v>2</v>
          </cell>
          <cell r="M103">
            <v>4</v>
          </cell>
          <cell r="N103"/>
          <cell r="O103">
            <v>5</v>
          </cell>
          <cell r="P103"/>
          <cell r="Q103"/>
          <cell r="R103"/>
          <cell r="S103"/>
          <cell r="T103"/>
          <cell r="U103"/>
          <cell r="V103"/>
          <cell r="W103"/>
          <cell r="X103"/>
          <cell r="Y103"/>
          <cell r="Z103"/>
          <cell r="AA103"/>
          <cell r="AB103"/>
          <cell r="AC103"/>
          <cell r="AD103"/>
          <cell r="AE103"/>
          <cell r="AF103">
            <v>8.3650400000000005</v>
          </cell>
          <cell r="AG103">
            <v>8.4600000000000009</v>
          </cell>
          <cell r="AH103" t="str">
            <v>Overall composition not measured, only individual phases</v>
          </cell>
          <cell r="AI103" t="str">
            <v>Co</v>
          </cell>
          <cell r="AJ103" t="str">
            <v>-10.Al</v>
          </cell>
          <cell r="AK103" t="str">
            <v/>
          </cell>
          <cell r="AL103" t="str">
            <v>-30.Ni</v>
          </cell>
          <cell r="AM103" t="str">
            <v/>
          </cell>
          <cell r="AN103" t="str">
            <v>-4.Ta</v>
          </cell>
          <cell r="AO103" t="str">
            <v/>
          </cell>
          <cell r="AP103" t="str">
            <v>-5.V</v>
          </cell>
          <cell r="AQ103" t="str">
            <v>-2.Ti</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cell r="BD103" t="str">
            <v/>
          </cell>
          <cell r="BE103" t="str">
            <v/>
          </cell>
          <cell r="BF103" t="str">
            <v/>
          </cell>
          <cell r="BG103" t="str">
            <v/>
          </cell>
          <cell r="BH103" t="str">
            <v>Co-30Ni-10Al-5V-4Ta-TiChen, Y., Wang, C., Ruan, J., Omori, T., Kainuma, R., Ishida, K., &amp; Liu, X. (2019). High-strength Co–Al–V-base superalloys strengthened by γ′-Co 3 (Al,V) with high solvus temperature. Acta Materialia, 170, 62–74. https://doi.org/10.1016/j.actamat.2019.03.031</v>
          </cell>
          <cell r="BI103" t="str">
            <v>Co-30.Ni-10.Al-2.Ti-4.Ta-5.V</v>
          </cell>
          <cell r="BJ103" t="str">
            <v>79.0Co-30.0Ni-10.0Al-2.0Ti-4.0Ta-5.0V</v>
          </cell>
        </row>
        <row r="104">
          <cell r="A104" t="str">
            <v>Co-12.Al-2.Ta</v>
          </cell>
          <cell r="B104" t="str">
            <v>W-free</v>
          </cell>
          <cell r="C104" t="str">
            <v>-12Al-2Ta</v>
          </cell>
          <cell r="D104" t="str">
            <v>Co-12Al-2Ta</v>
          </cell>
          <cell r="E104" t="str">
            <v>Chen, Y., Wang, C., Ruan, J., Yang, S., Omori, T., Kainuma, R., Ishida, K., Han, J., Lu, Y., &amp; Liu, X. (2020). Development of low-density γ/γ′ Co–Al–Ta-based superalloys with high solvus temperature. Acta Materialia, 188, 652–664. https://doi.org/10.1016/j.actamat.2020.02.049</v>
          </cell>
          <cell r="F104">
            <v>113</v>
          </cell>
          <cell r="G104">
            <v>86</v>
          </cell>
          <cell r="H104"/>
          <cell r="I104">
            <v>12</v>
          </cell>
          <cell r="J104"/>
          <cell r="K104"/>
          <cell r="L104"/>
          <cell r="M104">
            <v>2</v>
          </cell>
          <cell r="N104"/>
          <cell r="O104"/>
          <cell r="P104"/>
          <cell r="Q104"/>
          <cell r="R104"/>
          <cell r="S104"/>
          <cell r="T104"/>
          <cell r="U104"/>
          <cell r="V104"/>
          <cell r="W104"/>
          <cell r="X104"/>
          <cell r="Y104"/>
          <cell r="Z104"/>
          <cell r="AA104"/>
          <cell r="AB104"/>
          <cell r="AC104"/>
          <cell r="AD104"/>
          <cell r="AE104"/>
          <cell r="AF104">
            <v>8.3109999999999999</v>
          </cell>
          <cell r="AG104"/>
          <cell r="AH104" t="str">
            <v>Overall composition not measured, only individual phases</v>
          </cell>
          <cell r="AI104" t="str">
            <v>Co</v>
          </cell>
          <cell r="AJ104" t="str">
            <v>-12.Al</v>
          </cell>
          <cell r="AK104" t="str">
            <v/>
          </cell>
          <cell r="AL104" t="str">
            <v/>
          </cell>
          <cell r="AM104" t="str">
            <v/>
          </cell>
          <cell r="AN104" t="str">
            <v>-2.Ta</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
          </cell>
          <cell r="BB104" t="str">
            <v/>
          </cell>
          <cell r="BC104" t="str">
            <v/>
          </cell>
          <cell r="BD104" t="str">
            <v/>
          </cell>
          <cell r="BE104" t="str">
            <v/>
          </cell>
          <cell r="BF104" t="str">
            <v/>
          </cell>
          <cell r="BG104" t="str">
            <v/>
          </cell>
          <cell r="BH104" t="str">
            <v>Co-12Al-2TaChen, Y., Wang, C., Ruan, J., Yang, S., Omori, T., Kainuma, R., Ishida, K., Han, J., Lu, Y., &amp; Liu, X. (2020). Development of low-density γ/γ′ Co–Al–Ta-based superalloys with high solvus temperature. Acta Materialia, 188, 652–664. https://doi.org/10.1016/j.actamat.2020.02.049</v>
          </cell>
          <cell r="BI104" t="str">
            <v>Co-12.Al-2.Ta</v>
          </cell>
          <cell r="BJ104" t="str">
            <v>86.0Co-12.0Al-2.0Ta</v>
          </cell>
        </row>
        <row r="105">
          <cell r="A105" t="str">
            <v>Co-10.Ni-12.Al-2.Ta</v>
          </cell>
          <cell r="B105" t="str">
            <v>W-free</v>
          </cell>
          <cell r="C105" t="str">
            <v>-10Ni-12Al-2Ta</v>
          </cell>
          <cell r="D105" t="str">
            <v>Co-10Ni-12Al-2Ta</v>
          </cell>
          <cell r="E105" t="str">
            <v>Chen, Y., Wang, C., Ruan, J., Yang, S., Omori, T., Kainuma, R., Ishida, K., Han, J., Lu, Y., &amp; Liu, X. (2020). Development of low-density γ/γ′ Co–Al–Ta-based superalloys with high solvus temperature. Acta Materialia, 188, 652–664. https://doi.org/10.1016/j.actamat.2020.02.050</v>
          </cell>
          <cell r="F105">
            <v>114</v>
          </cell>
          <cell r="G105">
            <v>76</v>
          </cell>
          <cell r="H105">
            <v>10</v>
          </cell>
          <cell r="I105">
            <v>12</v>
          </cell>
          <cell r="J105"/>
          <cell r="K105"/>
          <cell r="L105"/>
          <cell r="M105">
            <v>2</v>
          </cell>
          <cell r="N105"/>
          <cell r="O105"/>
          <cell r="P105"/>
          <cell r="Q105"/>
          <cell r="R105"/>
          <cell r="S105"/>
          <cell r="T105"/>
          <cell r="U105"/>
          <cell r="V105"/>
          <cell r="W105"/>
          <cell r="X105"/>
          <cell r="Y105"/>
          <cell r="Z105"/>
          <cell r="AA105"/>
          <cell r="AB105"/>
          <cell r="AC105"/>
          <cell r="AD105"/>
          <cell r="AE105"/>
          <cell r="AF105">
            <v>8.3117999999999999</v>
          </cell>
          <cell r="AG105"/>
          <cell r="AH105" t="str">
            <v>Overall composition not measured, only individual phases</v>
          </cell>
          <cell r="AI105" t="str">
            <v>Co</v>
          </cell>
          <cell r="AJ105" t="str">
            <v>-12.Al</v>
          </cell>
          <cell r="AK105" t="str">
            <v/>
          </cell>
          <cell r="AL105" t="str">
            <v>-10.Ni</v>
          </cell>
          <cell r="AM105" t="str">
            <v/>
          </cell>
          <cell r="AN105" t="str">
            <v>-2.Ta</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cell r="BD105" t="str">
            <v/>
          </cell>
          <cell r="BE105" t="str">
            <v/>
          </cell>
          <cell r="BF105" t="str">
            <v/>
          </cell>
          <cell r="BG105" t="str">
            <v/>
          </cell>
          <cell r="BH105" t="str">
            <v>Co-10Ni-12Al-2TaChen, Y., Wang, C., Ruan, J., Yang, S., Omori, T., Kainuma, R., Ishida, K., Han, J., Lu, Y., &amp; Liu, X. (2020). Development of low-density γ/γ′ Co–Al–Ta-based superalloys with high solvus temperature. Acta Materialia, 188, 652–664. https://doi.org/10.1016/j.actamat.2020.02.050</v>
          </cell>
          <cell r="BI105" t="str">
            <v>Co-10.Ni-12.Al-2.Ta</v>
          </cell>
          <cell r="BJ105" t="str">
            <v>86.0Co-10.0Ni-12.0Al-2.0Ta</v>
          </cell>
        </row>
        <row r="106">
          <cell r="A106" t="str">
            <v>Co-20.Ni-12.Al-2.Ta</v>
          </cell>
          <cell r="B106" t="str">
            <v>W-free</v>
          </cell>
          <cell r="C106" t="str">
            <v>-20Ni-12Al-2Ta</v>
          </cell>
          <cell r="D106" t="str">
            <v>Co-20Ni-12Al-2Ta</v>
          </cell>
          <cell r="E106" t="str">
            <v>Chen, Y., Wang, C., Ruan, J., Yang, S., Omori, T., Kainuma, R., Ishida, K., Han, J., Lu, Y., &amp; Liu, X. (2020). Development of low-density γ/γ′ Co–Al–Ta-based superalloys with high solvus temperature. Acta Materialia, 188, 652–664. https://doi.org/10.1016/j.actamat.2020.02.051</v>
          </cell>
          <cell r="F106">
            <v>115</v>
          </cell>
          <cell r="G106">
            <v>66</v>
          </cell>
          <cell r="H106">
            <v>20</v>
          </cell>
          <cell r="I106">
            <v>12</v>
          </cell>
          <cell r="J106"/>
          <cell r="K106"/>
          <cell r="L106"/>
          <cell r="M106">
            <v>2</v>
          </cell>
          <cell r="N106"/>
          <cell r="O106"/>
          <cell r="P106"/>
          <cell r="Q106"/>
          <cell r="R106"/>
          <cell r="S106"/>
          <cell r="T106"/>
          <cell r="U106"/>
          <cell r="V106"/>
          <cell r="W106"/>
          <cell r="X106"/>
          <cell r="Y106"/>
          <cell r="Z106"/>
          <cell r="AA106"/>
          <cell r="AB106"/>
          <cell r="AC106"/>
          <cell r="AD106"/>
          <cell r="AE106"/>
          <cell r="AF106">
            <v>8.312599999999998</v>
          </cell>
          <cell r="AG106"/>
          <cell r="AH106" t="str">
            <v>Overall composition not measured, only individual phases</v>
          </cell>
          <cell r="AI106" t="str">
            <v>Co</v>
          </cell>
          <cell r="AJ106" t="str">
            <v>-12.Al</v>
          </cell>
          <cell r="AK106" t="str">
            <v/>
          </cell>
          <cell r="AL106" t="str">
            <v>-20.Ni</v>
          </cell>
          <cell r="AM106" t="str">
            <v/>
          </cell>
          <cell r="AN106" t="str">
            <v>-2.Ta</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cell r="BD106" t="str">
            <v/>
          </cell>
          <cell r="BE106" t="str">
            <v/>
          </cell>
          <cell r="BF106" t="str">
            <v/>
          </cell>
          <cell r="BG106" t="str">
            <v/>
          </cell>
          <cell r="BH106" t="str">
            <v>Co-20Ni-12Al-2TaChen, Y., Wang, C., Ruan, J., Yang, S., Omori, T., Kainuma, R., Ishida, K., Han, J., Lu, Y., &amp; Liu, X. (2020). Development of low-density γ/γ′ Co–Al–Ta-based superalloys with high solvus temperature. Acta Materialia, 188, 652–664. https://doi.org/10.1016/j.actamat.2020.02.051</v>
          </cell>
          <cell r="BI106" t="str">
            <v>Co-20.Ni-12.Al-2.Ta</v>
          </cell>
          <cell r="BJ106" t="str">
            <v>86.0Co-20.0Ni-12.0Al-2.0Ta</v>
          </cell>
        </row>
        <row r="107">
          <cell r="A107" t="str">
            <v>Co-30.Ni-12.Al-2.Ta</v>
          </cell>
          <cell r="B107" t="str">
            <v>W-free</v>
          </cell>
          <cell r="C107" t="str">
            <v>-30Ni-12Al-2Ta</v>
          </cell>
          <cell r="D107" t="str">
            <v>Co-30Ni-12Al-2Ta</v>
          </cell>
          <cell r="E107" t="str">
            <v>Chen, Y., Wang, C., Ruan, J., Yang, S., Omori, T., Kainuma, R., Ishida, K., Han, J., Lu, Y., &amp; Liu, X. (2020). Development of low-density γ/γ′ Co–Al–Ta-based superalloys with high solvus temperature. Acta Materialia, 188, 652–664. https://doi.org/10.1016/j.actamat.2020.02.052</v>
          </cell>
          <cell r="F107">
            <v>116</v>
          </cell>
          <cell r="G107">
            <v>56</v>
          </cell>
          <cell r="H107">
            <v>30</v>
          </cell>
          <cell r="I107">
            <v>12</v>
          </cell>
          <cell r="J107"/>
          <cell r="K107"/>
          <cell r="L107"/>
          <cell r="M107">
            <v>2</v>
          </cell>
          <cell r="N107"/>
          <cell r="O107"/>
          <cell r="P107"/>
          <cell r="Q107"/>
          <cell r="R107"/>
          <cell r="S107"/>
          <cell r="T107"/>
          <cell r="U107"/>
          <cell r="V107"/>
          <cell r="W107"/>
          <cell r="X107"/>
          <cell r="Y107"/>
          <cell r="Z107"/>
          <cell r="AA107"/>
          <cell r="AB107"/>
          <cell r="AC107"/>
          <cell r="AD107"/>
          <cell r="AE107"/>
          <cell r="AF107">
            <v>8.3133999999999997</v>
          </cell>
          <cell r="AG107">
            <v>8.33</v>
          </cell>
          <cell r="AH107" t="str">
            <v>Overall composition not measured, only individual phases</v>
          </cell>
          <cell r="AI107" t="str">
            <v>Co</v>
          </cell>
          <cell r="AJ107" t="str">
            <v>-12.Al</v>
          </cell>
          <cell r="AK107" t="str">
            <v/>
          </cell>
          <cell r="AL107" t="str">
            <v>-30.Ni</v>
          </cell>
          <cell r="AM107" t="str">
            <v/>
          </cell>
          <cell r="AN107" t="str">
            <v>-2.Ta</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cell r="BD107" t="str">
            <v/>
          </cell>
          <cell r="BE107" t="str">
            <v/>
          </cell>
          <cell r="BF107" t="str">
            <v/>
          </cell>
          <cell r="BG107" t="str">
            <v/>
          </cell>
          <cell r="BH107" t="str">
            <v>Co-30Ni-12Al-2TaChen, Y., Wang, C., Ruan, J., Yang, S., Omori, T., Kainuma, R., Ishida, K., Han, J., Lu, Y., &amp; Liu, X. (2020). Development of low-density γ/γ′ Co–Al–Ta-based superalloys with high solvus temperature. Acta Materialia, 188, 652–664. https://doi.org/10.1016/j.actamat.2020.02.052</v>
          </cell>
          <cell r="BI107" t="str">
            <v>Co-30.Ni-12.Al-2.Ta</v>
          </cell>
          <cell r="BJ107" t="str">
            <v>86.0Co-30.0Ni-12.0Al-2.0Ta</v>
          </cell>
        </row>
        <row r="108">
          <cell r="A108" t="str">
            <v>Co-30.Ni-18.Al-2.Ta</v>
          </cell>
          <cell r="B108" t="str">
            <v>W-free</v>
          </cell>
          <cell r="C108" t="str">
            <v>-30Ni-18Al-2Ta</v>
          </cell>
          <cell r="D108" t="str">
            <v>Co-30Ni-18Al-2Ta</v>
          </cell>
          <cell r="E108" t="str">
            <v>Chen, Y., Wang, C., Ruan, J., Yang, S., Omori, T., Kainuma, R., Ishida, K., Han, J., Lu, Y., &amp; Liu, X. (2020). Development of low-density γ/γ′ Co–Al–Ta-based superalloys with high solvus temperature. Acta Materialia, 188, 652–664. https://doi.org/10.1016/j.actamat.2020.02.053</v>
          </cell>
          <cell r="F108">
            <v>117</v>
          </cell>
          <cell r="G108">
            <v>50</v>
          </cell>
          <cell r="H108">
            <v>30</v>
          </cell>
          <cell r="I108">
            <v>18</v>
          </cell>
          <cell r="J108"/>
          <cell r="K108"/>
          <cell r="L108"/>
          <cell r="M108">
            <v>2</v>
          </cell>
          <cell r="N108"/>
          <cell r="O108"/>
          <cell r="P108"/>
          <cell r="Q108"/>
          <cell r="R108"/>
          <cell r="S108"/>
          <cell r="T108"/>
          <cell r="U108"/>
          <cell r="V108"/>
          <cell r="W108"/>
          <cell r="X108"/>
          <cell r="Y108"/>
          <cell r="Z108"/>
          <cell r="AA108"/>
          <cell r="AB108"/>
          <cell r="AC108"/>
          <cell r="AD108"/>
          <cell r="AE108"/>
          <cell r="AF108">
            <v>7.9413999999999998</v>
          </cell>
          <cell r="AG108"/>
          <cell r="AH108" t="str">
            <v>Overall composition not measured, only individual phases</v>
          </cell>
          <cell r="AI108" t="str">
            <v>Co</v>
          </cell>
          <cell r="AJ108" t="str">
            <v>-18.Al</v>
          </cell>
          <cell r="AK108" t="str">
            <v/>
          </cell>
          <cell r="AL108" t="str">
            <v>-30.Ni</v>
          </cell>
          <cell r="AM108" t="str">
            <v/>
          </cell>
          <cell r="AN108" t="str">
            <v>-2.Ta</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cell r="BD108" t="str">
            <v/>
          </cell>
          <cell r="BE108" t="str">
            <v/>
          </cell>
          <cell r="BF108" t="str">
            <v/>
          </cell>
          <cell r="BG108" t="str">
            <v/>
          </cell>
          <cell r="BH108" t="str">
            <v>Co-30Ni-18Al-2TaChen, Y., Wang, C., Ruan, J., Yang, S., Omori, T., Kainuma, R., Ishida, K., Han, J., Lu, Y., &amp; Liu, X. (2020). Development of low-density γ/γ′ Co–Al–Ta-based superalloys with high solvus temperature. Acta Materialia, 188, 652–664. https://doi.org/10.1016/j.actamat.2020.02.053</v>
          </cell>
          <cell r="BI108" t="str">
            <v>Co-30.Ni-18.Al-2.Ta</v>
          </cell>
          <cell r="BJ108" t="str">
            <v>80.0Co-30.0Ni-18.0Al-2.0Ta</v>
          </cell>
        </row>
        <row r="109">
          <cell r="A109" t="str">
            <v>Co-30.Ni-8.Al-6.Ta</v>
          </cell>
          <cell r="B109" t="str">
            <v>W-free</v>
          </cell>
          <cell r="C109" t="str">
            <v>-30Ni-8Al-6Ta</v>
          </cell>
          <cell r="D109" t="str">
            <v>Co-30Ni-8Al-6Ta</v>
          </cell>
          <cell r="E109" t="str">
            <v>Chen, Y., Wang, C., Ruan, J., Yang, S., Omori, T., Kainuma, R., Ishida, K., Han, J., Lu, Y., &amp; Liu, X. (2020). Development of low-density γ/γ′ Co–Al–Ta-based superalloys with high solvus temperature. Acta Materialia, 188, 652–664. https://doi.org/10.1016/j.actamat.2020.02.054</v>
          </cell>
          <cell r="F109">
            <v>118</v>
          </cell>
          <cell r="G109">
            <v>56</v>
          </cell>
          <cell r="H109">
            <v>30</v>
          </cell>
          <cell r="I109">
            <v>8</v>
          </cell>
          <cell r="J109"/>
          <cell r="K109"/>
          <cell r="L109"/>
          <cell r="M109">
            <v>6</v>
          </cell>
          <cell r="N109"/>
          <cell r="O109"/>
          <cell r="P109"/>
          <cell r="Q109"/>
          <cell r="R109"/>
          <cell r="S109"/>
          <cell r="T109"/>
          <cell r="U109"/>
          <cell r="V109"/>
          <cell r="W109"/>
          <cell r="X109"/>
          <cell r="Y109"/>
          <cell r="Z109"/>
          <cell r="AA109"/>
          <cell r="AB109"/>
          <cell r="AC109"/>
          <cell r="AD109"/>
          <cell r="AE109"/>
          <cell r="AF109">
            <v>8.8713999999999995</v>
          </cell>
          <cell r="AG109"/>
          <cell r="AH109" t="str">
            <v>Overall composition not measured, only individual phases</v>
          </cell>
          <cell r="AI109" t="str">
            <v>Co</v>
          </cell>
          <cell r="AJ109" t="str">
            <v>-8.Al</v>
          </cell>
          <cell r="AK109" t="str">
            <v/>
          </cell>
          <cell r="AL109" t="str">
            <v>-30.Ni</v>
          </cell>
          <cell r="AM109" t="str">
            <v/>
          </cell>
          <cell r="AN109" t="str">
            <v>-6.Ta</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cell r="BD109" t="str">
            <v/>
          </cell>
          <cell r="BE109" t="str">
            <v/>
          </cell>
          <cell r="BF109" t="str">
            <v/>
          </cell>
          <cell r="BG109" t="str">
            <v/>
          </cell>
          <cell r="BH109" t="str">
            <v>Co-30Ni-8Al-6TaChen, Y., Wang, C., Ruan, J., Yang, S., Omori, T., Kainuma, R., Ishida, K., Han, J., Lu, Y., &amp; Liu, X. (2020). Development of low-density γ/γ′ Co–Al–Ta-based superalloys with high solvus temperature. Acta Materialia, 188, 652–664. https://doi.org/10.1016/j.actamat.2020.02.054</v>
          </cell>
          <cell r="BI109" t="str">
            <v>Co-30.Ni-8.Al-6.Ta</v>
          </cell>
          <cell r="BJ109" t="str">
            <v>86.0Co-30.0Ni-8.0Al-6.0Ta</v>
          </cell>
        </row>
        <row r="110">
          <cell r="A110" t="str">
            <v>Co-30.Ni-6.Al-8.Ta</v>
          </cell>
          <cell r="B110" t="str">
            <v>W-free</v>
          </cell>
          <cell r="C110" t="str">
            <v>-30Ni-6Al-8Ta</v>
          </cell>
          <cell r="D110" t="str">
            <v>Co-30Ni-6Al-8Ta</v>
          </cell>
          <cell r="E110" t="str">
            <v>Chen, Y., Wang, C., Ruan, J., Yang, S., Omori, T., Kainuma, R., Ishida, K., Han, J., Lu, Y., &amp; Liu, X. (2020). Development of low-density γ/γ′ Co–Al–Ta-based superalloys with high solvus temperature. Acta Materialia, 188, 652–664. https://doi.org/10.1016/j.actamat.2020.02.055</v>
          </cell>
          <cell r="F110">
            <v>119</v>
          </cell>
          <cell r="G110">
            <v>56</v>
          </cell>
          <cell r="H110">
            <v>30</v>
          </cell>
          <cell r="I110">
            <v>6</v>
          </cell>
          <cell r="J110"/>
          <cell r="K110"/>
          <cell r="L110"/>
          <cell r="M110">
            <v>8</v>
          </cell>
          <cell r="N110"/>
          <cell r="O110"/>
          <cell r="P110"/>
          <cell r="Q110"/>
          <cell r="R110"/>
          <cell r="S110"/>
          <cell r="T110"/>
          <cell r="U110"/>
          <cell r="V110"/>
          <cell r="W110"/>
          <cell r="X110"/>
          <cell r="Y110"/>
          <cell r="Z110"/>
          <cell r="AA110"/>
          <cell r="AB110"/>
          <cell r="AC110"/>
          <cell r="AD110"/>
          <cell r="AE110"/>
          <cell r="AF110">
            <v>9.1503999999999994</v>
          </cell>
          <cell r="AG110"/>
          <cell r="AH110" t="str">
            <v>Overall composition not measured, only individual phases</v>
          </cell>
          <cell r="AI110" t="str">
            <v>Co</v>
          </cell>
          <cell r="AJ110" t="str">
            <v>-6.Al</v>
          </cell>
          <cell r="AK110" t="str">
            <v/>
          </cell>
          <cell r="AL110" t="str">
            <v>-30.Ni</v>
          </cell>
          <cell r="AM110" t="str">
            <v/>
          </cell>
          <cell r="AN110" t="str">
            <v>-8.Ta</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cell r="BD110" t="str">
            <v/>
          </cell>
          <cell r="BE110" t="str">
            <v/>
          </cell>
          <cell r="BF110" t="str">
            <v/>
          </cell>
          <cell r="BG110" t="str">
            <v/>
          </cell>
          <cell r="BH110" t="str">
            <v>Co-30Ni-6Al-8TaChen, Y., Wang, C., Ruan, J., Yang, S., Omori, T., Kainuma, R., Ishida, K., Han, J., Lu, Y., &amp; Liu, X. (2020). Development of low-density γ/γ′ Co–Al–Ta-based superalloys with high solvus temperature. Acta Materialia, 188, 652–664. https://doi.org/10.1016/j.actamat.2020.02.055</v>
          </cell>
          <cell r="BI110" t="str">
            <v>Co-30.Ni-6.Al-8.Ta</v>
          </cell>
          <cell r="BJ110" t="str">
            <v>86.0Co-30.0Ni-6.0Al-8.0Ta</v>
          </cell>
        </row>
        <row r="111">
          <cell r="A111" t="str">
            <v>Co-30.Ni-12.Al-4.Ta</v>
          </cell>
          <cell r="B111" t="str">
            <v>W-free</v>
          </cell>
          <cell r="C111" t="str">
            <v>-30Ni-12Al-4Ta</v>
          </cell>
          <cell r="D111" t="str">
            <v>Co-30Ni-12Al-4Ta</v>
          </cell>
          <cell r="E111" t="str">
            <v>Chen, Y., Wang, C., Ruan, J., Yang, S., Omori, T., Kainuma, R., Ishida, K., Han, J., Lu, Y., &amp; Liu, X. (2020). Development of low-density γ/γ′ Co–Al–Ta-based superalloys with high solvus temperature. Acta Materialia, 188, 652–664. https://doi.org/10.1016/j.actamat.2020.02.056</v>
          </cell>
          <cell r="F111">
            <v>120</v>
          </cell>
          <cell r="G111">
            <v>54</v>
          </cell>
          <cell r="H111">
            <v>30</v>
          </cell>
          <cell r="I111">
            <v>12</v>
          </cell>
          <cell r="J111"/>
          <cell r="K111"/>
          <cell r="L111"/>
          <cell r="M111">
            <v>4</v>
          </cell>
          <cell r="N111"/>
          <cell r="O111"/>
          <cell r="P111"/>
          <cell r="Q111"/>
          <cell r="R111"/>
          <cell r="S111"/>
          <cell r="T111"/>
          <cell r="U111"/>
          <cell r="V111"/>
          <cell r="W111"/>
          <cell r="X111"/>
          <cell r="Y111"/>
          <cell r="Z111"/>
          <cell r="AA111"/>
          <cell r="AB111"/>
          <cell r="AC111"/>
          <cell r="AD111"/>
          <cell r="AE111"/>
          <cell r="AF111">
            <v>8.4684000000000008</v>
          </cell>
          <cell r="AG111">
            <v>8.64</v>
          </cell>
          <cell r="AH111" t="str">
            <v>Overall composition not measured, only individual phases</v>
          </cell>
          <cell r="AI111" t="str">
            <v>Co</v>
          </cell>
          <cell r="AJ111" t="str">
            <v>-12.Al</v>
          </cell>
          <cell r="AK111" t="str">
            <v/>
          </cell>
          <cell r="AL111" t="str">
            <v>-30.Ni</v>
          </cell>
          <cell r="AM111" t="str">
            <v/>
          </cell>
          <cell r="AN111" t="str">
            <v>-4.Ta</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cell r="BD111" t="str">
            <v/>
          </cell>
          <cell r="BE111" t="str">
            <v/>
          </cell>
          <cell r="BF111" t="str">
            <v/>
          </cell>
          <cell r="BG111" t="str">
            <v/>
          </cell>
          <cell r="BH111" t="str">
            <v>Co-30Ni-12Al-4TaChen, Y., Wang, C., Ruan, J., Yang, S., Omori, T., Kainuma, R., Ishida, K., Han, J., Lu, Y., &amp; Liu, X. (2020). Development of low-density γ/γ′ Co–Al–Ta-based superalloys with high solvus temperature. Acta Materialia, 188, 652–664. https://doi.org/10.1016/j.actamat.2020.02.056</v>
          </cell>
          <cell r="BI111" t="str">
            <v>Co-30.Ni-12.Al-4.Ta</v>
          </cell>
          <cell r="BJ111" t="str">
            <v>84.0Co-30.0Ni-12.0Al-4.0Ta</v>
          </cell>
        </row>
        <row r="112">
          <cell r="A112" t="str">
            <v>Co-30.Ni-12.Al-6.Ta</v>
          </cell>
          <cell r="B112" t="str">
            <v>W-free</v>
          </cell>
          <cell r="C112" t="str">
            <v>-30Ni-12Al-6Ta</v>
          </cell>
          <cell r="D112" t="str">
            <v>Co-30Ni-12Al-6Ta</v>
          </cell>
          <cell r="E112" t="str">
            <v>Chen, Y., Wang, C., Ruan, J., Yang, S., Omori, T., Kainuma, R., Ishida, K., Han, J., Lu, Y., &amp; Liu, X. (2020). Development of low-density γ/γ′ Co–Al–Ta-based superalloys with high solvus temperature. Acta Materialia, 188, 652–664. https://doi.org/10.1016/j.actamat.2020.02.057</v>
          </cell>
          <cell r="F112">
            <v>121</v>
          </cell>
          <cell r="G112">
            <v>52</v>
          </cell>
          <cell r="H112">
            <v>30</v>
          </cell>
          <cell r="I112">
            <v>12</v>
          </cell>
          <cell r="J112"/>
          <cell r="K112"/>
          <cell r="L112"/>
          <cell r="M112">
            <v>6</v>
          </cell>
          <cell r="N112"/>
          <cell r="O112"/>
          <cell r="P112"/>
          <cell r="Q112"/>
          <cell r="R112"/>
          <cell r="S112"/>
          <cell r="T112"/>
          <cell r="U112"/>
          <cell r="V112"/>
          <cell r="W112"/>
          <cell r="X112"/>
          <cell r="Y112"/>
          <cell r="Z112"/>
          <cell r="AA112"/>
          <cell r="AB112"/>
          <cell r="AC112"/>
          <cell r="AD112"/>
          <cell r="AE112"/>
          <cell r="AF112">
            <v>8.6234000000000002</v>
          </cell>
          <cell r="AG112">
            <v>8.93</v>
          </cell>
          <cell r="AH112" t="str">
            <v>Overall composition not measured, only individual phases</v>
          </cell>
          <cell r="AI112" t="str">
            <v>Co</v>
          </cell>
          <cell r="AJ112" t="str">
            <v>-12.Al</v>
          </cell>
          <cell r="AK112" t="str">
            <v/>
          </cell>
          <cell r="AL112" t="str">
            <v>-30.Ni</v>
          </cell>
          <cell r="AM112" t="str">
            <v/>
          </cell>
          <cell r="AN112" t="str">
            <v>-6.Ta</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cell r="BD112" t="str">
            <v/>
          </cell>
          <cell r="BE112" t="str">
            <v/>
          </cell>
          <cell r="BF112" t="str">
            <v/>
          </cell>
          <cell r="BG112" t="str">
            <v/>
          </cell>
          <cell r="BH112" t="str">
            <v>Co-30Ni-12Al-6TaChen, Y., Wang, C., Ruan, J., Yang, S., Omori, T., Kainuma, R., Ishida, K., Han, J., Lu, Y., &amp; Liu, X. (2020). Development of low-density γ/γ′ Co–Al–Ta-based superalloys with high solvus temperature. Acta Materialia, 188, 652–664. https://doi.org/10.1016/j.actamat.2020.02.057</v>
          </cell>
          <cell r="BI112" t="str">
            <v>Co-30.Ni-12.Al-6.Ta</v>
          </cell>
          <cell r="BJ112" t="str">
            <v>82.0Co-30.0Ni-12.0Al-6.0Ta</v>
          </cell>
        </row>
        <row r="113">
          <cell r="A113" t="str">
            <v>Co-30.Ni-12.Al-8.Ta</v>
          </cell>
          <cell r="B113" t="str">
            <v>W-free</v>
          </cell>
          <cell r="C113" t="str">
            <v>-30Ni-12Al-8Ta</v>
          </cell>
          <cell r="D113" t="str">
            <v>Co-30Ni-12Al-8Ta</v>
          </cell>
          <cell r="E113" t="str">
            <v>Chen, Y., Wang, C., Ruan, J., Yang, S., Omori, T., Kainuma, R., Ishida, K., Han, J., Lu, Y., &amp; Liu, X. (2020). Development of low-density γ/γ′ Co–Al–Ta-based superalloys with high solvus temperature. Acta Materialia, 188, 652–664. https://doi.org/10.1016/j.actamat.2020.02.058</v>
          </cell>
          <cell r="F113">
            <v>122</v>
          </cell>
          <cell r="G113">
            <v>50</v>
          </cell>
          <cell r="H113">
            <v>30</v>
          </cell>
          <cell r="I113">
            <v>12</v>
          </cell>
          <cell r="J113"/>
          <cell r="K113"/>
          <cell r="L113"/>
          <cell r="M113">
            <v>8</v>
          </cell>
          <cell r="N113"/>
          <cell r="O113"/>
          <cell r="P113"/>
          <cell r="Q113"/>
          <cell r="R113"/>
          <cell r="S113"/>
          <cell r="T113"/>
          <cell r="U113"/>
          <cell r="V113"/>
          <cell r="W113"/>
          <cell r="X113"/>
          <cell r="Y113"/>
          <cell r="Z113"/>
          <cell r="AA113"/>
          <cell r="AB113"/>
          <cell r="AC113"/>
          <cell r="AD113"/>
          <cell r="AE113"/>
          <cell r="AF113">
            <v>8.7783999999999995</v>
          </cell>
          <cell r="AG113">
            <v>9.2100000000000009</v>
          </cell>
          <cell r="AH113" t="str">
            <v>Overall composition not measured, only individual phases</v>
          </cell>
          <cell r="AI113" t="str">
            <v>Co</v>
          </cell>
          <cell r="AJ113" t="str">
            <v>-12.Al</v>
          </cell>
          <cell r="AK113" t="str">
            <v/>
          </cell>
          <cell r="AL113" t="str">
            <v>-30.Ni</v>
          </cell>
          <cell r="AM113" t="str">
            <v/>
          </cell>
          <cell r="AN113" t="str">
            <v>-8.Ta</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cell r="BD113" t="str">
            <v/>
          </cell>
          <cell r="BE113" t="str">
            <v/>
          </cell>
          <cell r="BF113" t="str">
            <v/>
          </cell>
          <cell r="BG113" t="str">
            <v/>
          </cell>
          <cell r="BH113" t="str">
            <v>Co-30Ni-12Al-8TaChen, Y., Wang, C., Ruan, J., Yang, S., Omori, T., Kainuma, R., Ishida, K., Han, J., Lu, Y., &amp; Liu, X. (2020). Development of low-density γ/γ′ Co–Al–Ta-based superalloys with high solvus temperature. Acta Materialia, 188, 652–664. https://doi.org/10.1016/j.actamat.2020.02.058</v>
          </cell>
          <cell r="BI113" t="str">
            <v>Co-30.Ni-12.Al-8.Ta</v>
          </cell>
          <cell r="BJ113" t="str">
            <v>80.0Co-30.0Ni-12.0Al-8.0Ta</v>
          </cell>
        </row>
        <row r="114">
          <cell r="A114" t="str">
            <v>Co-30.Ni-12.Al</v>
          </cell>
          <cell r="B114" t="str">
            <v>W-free</v>
          </cell>
          <cell r="C114" t="str">
            <v>-30Ni-12Al</v>
          </cell>
          <cell r="D114" t="str">
            <v>Co-30Ni-12Al</v>
          </cell>
          <cell r="E114" t="str">
            <v>Chen, Y., Wang, C., Ruan, J., Yang, S., Omori, T., Kainuma, R., Ishida, K., Han, J., Lu, Y., &amp; Liu, X. (2020). Development of low-density γ/γ′ Co–Al–Ta-based superalloys with high solvus temperature. Acta Materialia, 188, 652–664. https://doi.org/10.1016/j.actamat.2020.02.059</v>
          </cell>
          <cell r="F114">
            <v>123</v>
          </cell>
          <cell r="G114">
            <v>58</v>
          </cell>
          <cell r="H114">
            <v>30</v>
          </cell>
          <cell r="I114">
            <v>12</v>
          </cell>
          <cell r="J114"/>
          <cell r="K114"/>
          <cell r="L114"/>
          <cell r="M114"/>
          <cell r="N114"/>
          <cell r="O114"/>
          <cell r="P114"/>
          <cell r="Q114"/>
          <cell r="R114"/>
          <cell r="S114"/>
          <cell r="T114"/>
          <cell r="U114"/>
          <cell r="V114"/>
          <cell r="W114"/>
          <cell r="X114"/>
          <cell r="Y114"/>
          <cell r="Z114"/>
          <cell r="AA114"/>
          <cell r="AB114"/>
          <cell r="AC114"/>
          <cell r="AD114"/>
          <cell r="AE114"/>
          <cell r="AF114">
            <v>8.1584000000000003</v>
          </cell>
          <cell r="AG114"/>
          <cell r="AH114"/>
          <cell r="AI114" t="str">
            <v>Co</v>
          </cell>
          <cell r="AJ114" t="str">
            <v>-12.Al</v>
          </cell>
          <cell r="AK114" t="str">
            <v/>
          </cell>
          <cell r="AL114" t="str">
            <v>-30.Ni</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cell r="BD114" t="str">
            <v/>
          </cell>
          <cell r="BE114" t="str">
            <v/>
          </cell>
          <cell r="BF114" t="str">
            <v/>
          </cell>
          <cell r="BG114" t="str">
            <v/>
          </cell>
          <cell r="BH114" t="str">
            <v>Co-30Ni-12AlChen, Y., Wang, C., Ruan, J., Yang, S., Omori, T., Kainuma, R., Ishida, K., Han, J., Lu, Y., &amp; Liu, X. (2020). Development of low-density γ/γ′ Co–Al–Ta-based superalloys with high solvus temperature. Acta Materialia, 188, 652–664. https://doi.org/10.1016/j.actamat.2020.02.059</v>
          </cell>
          <cell r="BI114" t="str">
            <v>Co-30.Ni-12.Al</v>
          </cell>
          <cell r="BJ114" t="str">
            <v>88.0Co-30.0Ni-12.0Al</v>
          </cell>
        </row>
        <row r="115">
          <cell r="A115" t="str">
            <v>Co-30.Ni-12.Al-4.Cr</v>
          </cell>
          <cell r="B115" t="str">
            <v>W-free</v>
          </cell>
          <cell r="C115" t="str">
            <v>-30Ni-12Al-4Cr</v>
          </cell>
          <cell r="D115" t="str">
            <v>Co-30Ni-12Al-4Cr</v>
          </cell>
          <cell r="E115" t="str">
            <v>Chen, Y., Wang, C., Ruan, J., Yang, S., Omori, T., Kainuma, R., Ishida, K., Han, J., Lu, Y., &amp; Liu, X. (2020). Development of low-density γ/γ′ Co–Al–Ta-based superalloys with high solvus temperature. Acta Materialia, 188, 652–664. https://doi.org/10.1016/j.actamat.2020.02.060</v>
          </cell>
          <cell r="F115">
            <v>124</v>
          </cell>
          <cell r="G115">
            <v>54</v>
          </cell>
          <cell r="H115">
            <v>30</v>
          </cell>
          <cell r="I115">
            <v>12</v>
          </cell>
          <cell r="J115">
            <v>4</v>
          </cell>
          <cell r="K115"/>
          <cell r="L115"/>
          <cell r="M115"/>
          <cell r="N115"/>
          <cell r="O115"/>
          <cell r="P115"/>
          <cell r="Q115"/>
          <cell r="R115"/>
          <cell r="S115"/>
          <cell r="T115"/>
          <cell r="U115"/>
          <cell r="V115"/>
          <cell r="W115"/>
          <cell r="X115"/>
          <cell r="Y115"/>
          <cell r="Z115"/>
          <cell r="AA115"/>
          <cell r="AB115"/>
          <cell r="AC115"/>
          <cell r="AD115"/>
          <cell r="AE115"/>
          <cell r="AF115">
            <v>8.09</v>
          </cell>
          <cell r="AG115"/>
          <cell r="AH115"/>
          <cell r="AI115" t="str">
            <v>Co</v>
          </cell>
          <cell r="AJ115" t="str">
            <v>-12.Al</v>
          </cell>
          <cell r="AK115" t="str">
            <v/>
          </cell>
          <cell r="AL115" t="str">
            <v>-30.Ni</v>
          </cell>
          <cell r="AM115" t="str">
            <v>-4.Cr</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cell r="BD115" t="str">
            <v/>
          </cell>
          <cell r="BE115" t="str">
            <v/>
          </cell>
          <cell r="BF115" t="str">
            <v/>
          </cell>
          <cell r="BG115" t="str">
            <v/>
          </cell>
          <cell r="BH115" t="str">
            <v>Co-30Ni-12Al-4CrChen, Y., Wang, C., Ruan, J., Yang, S., Omori, T., Kainuma, R., Ishida, K., Han, J., Lu, Y., &amp; Liu, X. (2020). Development of low-density γ/γ′ Co–Al–Ta-based superalloys with high solvus temperature. Acta Materialia, 188, 652–664. https://doi.org/10.1016/j.actamat.2020.02.060</v>
          </cell>
          <cell r="BI115" t="str">
            <v>Co-30.Ni-12.Al-4.Cr</v>
          </cell>
          <cell r="BJ115" t="str">
            <v>84.0Co-30.0Ni-12.0Al-4.0Cr</v>
          </cell>
        </row>
        <row r="116">
          <cell r="A116" t="str">
            <v>Co-30.Ni-12.Al-8.Cr</v>
          </cell>
          <cell r="B116" t="str">
            <v>W-free</v>
          </cell>
          <cell r="C116" t="str">
            <v>-30Ni-12Al-8Cr</v>
          </cell>
          <cell r="D116" t="str">
            <v>Co-30Ni-12Al-8Cr</v>
          </cell>
          <cell r="E116" t="str">
            <v>Chen, Y., Wang, C., Ruan, J., Yang, S., Omori, T., Kainuma, R., Ishida, K., Han, J., Lu, Y., &amp; Liu, X. (2020). Development of low-density γ/γ′ Co–Al–Ta-based superalloys with high solvus temperature. Acta Materialia, 188, 652–664. https://doi.org/10.1016/j.actamat.2020.02.061</v>
          </cell>
          <cell r="F116">
            <v>125</v>
          </cell>
          <cell r="G116">
            <v>50</v>
          </cell>
          <cell r="H116">
            <v>30</v>
          </cell>
          <cell r="I116">
            <v>12</v>
          </cell>
          <cell r="J116">
            <v>8</v>
          </cell>
          <cell r="K116"/>
          <cell r="L116"/>
          <cell r="M116"/>
          <cell r="N116"/>
          <cell r="O116"/>
          <cell r="P116"/>
          <cell r="Q116"/>
          <cell r="R116"/>
          <cell r="S116"/>
          <cell r="T116"/>
          <cell r="U116"/>
          <cell r="V116"/>
          <cell r="W116"/>
          <cell r="X116"/>
          <cell r="Y116"/>
          <cell r="Z116"/>
          <cell r="AA116"/>
          <cell r="AB116"/>
          <cell r="AC116"/>
          <cell r="AD116"/>
          <cell r="AE116"/>
          <cell r="AF116">
            <v>8.0215999999999994</v>
          </cell>
          <cell r="AG116"/>
          <cell r="AH116"/>
          <cell r="AI116" t="str">
            <v>Co</v>
          </cell>
          <cell r="AJ116" t="str">
            <v>-12.Al</v>
          </cell>
          <cell r="AK116" t="str">
            <v/>
          </cell>
          <cell r="AL116" t="str">
            <v>-30.Ni</v>
          </cell>
          <cell r="AM116" t="str">
            <v>-8.Cr</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cell r="BD116" t="str">
            <v/>
          </cell>
          <cell r="BE116" t="str">
            <v/>
          </cell>
          <cell r="BF116" t="str">
            <v/>
          </cell>
          <cell r="BG116" t="str">
            <v/>
          </cell>
          <cell r="BH116" t="str">
            <v>Co-30Ni-12Al-8CrChen, Y., Wang, C., Ruan, J., Yang, S., Omori, T., Kainuma, R., Ishida, K., Han, J., Lu, Y., &amp; Liu, X. (2020). Development of low-density γ/γ′ Co–Al–Ta-based superalloys with high solvus temperature. Acta Materialia, 188, 652–664. https://doi.org/10.1016/j.actamat.2020.02.061</v>
          </cell>
          <cell r="BI116" t="str">
            <v>Co-30.Ni-12.Al-8.Cr</v>
          </cell>
          <cell r="BJ116" t="str">
            <v>80.0Co-30.0Ni-12.0Al-8.0Cr</v>
          </cell>
        </row>
        <row r="117">
          <cell r="A117" t="str">
            <v>Co-30.Ni-12.Al-12.Cr</v>
          </cell>
          <cell r="B117" t="str">
            <v>W-free</v>
          </cell>
          <cell r="C117" t="str">
            <v>-30Ni-12Al-12Cr</v>
          </cell>
          <cell r="D117" t="str">
            <v>Co-30Ni-12Al-12Cr</v>
          </cell>
          <cell r="E117" t="str">
            <v>Chen, Y., Wang, C., Ruan, J., Yang, S., Omori, T., Kainuma, R., Ishida, K., Han, J., Lu, Y., &amp; Liu, X. (2020). Development of low-density γ/γ′ Co–Al–Ta-based superalloys with high solvus temperature. Acta Materialia, 188, 652–664. https://doi.org/10.1016/j.actamat.2020.02.062</v>
          </cell>
          <cell r="F117">
            <v>126</v>
          </cell>
          <cell r="G117">
            <v>46</v>
          </cell>
          <cell r="H117">
            <v>30</v>
          </cell>
          <cell r="I117">
            <v>12</v>
          </cell>
          <cell r="J117">
            <v>12</v>
          </cell>
          <cell r="K117"/>
          <cell r="L117"/>
          <cell r="M117"/>
          <cell r="N117"/>
          <cell r="O117"/>
          <cell r="P117"/>
          <cell r="Q117"/>
          <cell r="R117"/>
          <cell r="S117"/>
          <cell r="T117"/>
          <cell r="U117"/>
          <cell r="V117"/>
          <cell r="W117"/>
          <cell r="X117"/>
          <cell r="Y117"/>
          <cell r="Z117"/>
          <cell r="AA117"/>
          <cell r="AB117"/>
          <cell r="AC117"/>
          <cell r="AD117"/>
          <cell r="AE117"/>
          <cell r="AF117">
            <v>7.9532000000000007</v>
          </cell>
          <cell r="AG117">
            <v>8.3800000000000008</v>
          </cell>
          <cell r="AH117"/>
          <cell r="AI117" t="str">
            <v>Co</v>
          </cell>
          <cell r="AJ117" t="str">
            <v>-12.Al</v>
          </cell>
          <cell r="AK117" t="str">
            <v/>
          </cell>
          <cell r="AL117" t="str">
            <v>-30.Ni</v>
          </cell>
          <cell r="AM117" t="str">
            <v>-12.Cr</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cell r="BD117" t="str">
            <v/>
          </cell>
          <cell r="BE117" t="str">
            <v/>
          </cell>
          <cell r="BF117" t="str">
            <v/>
          </cell>
          <cell r="BG117" t="str">
            <v/>
          </cell>
          <cell r="BH117" t="str">
            <v>Co-30Ni-12Al-12CrChen, Y., Wang, C., Ruan, J., Yang, S., Omori, T., Kainuma, R., Ishida, K., Han, J., Lu, Y., &amp; Liu, X. (2020). Development of low-density γ/γ′ Co–Al–Ta-based superalloys with high solvus temperature. Acta Materialia, 188, 652–664. https://doi.org/10.1016/j.actamat.2020.02.062</v>
          </cell>
          <cell r="BI117" t="str">
            <v>Co-30.Ni-12.Al-12.Cr</v>
          </cell>
          <cell r="BJ117" t="str">
            <v>76.0Co-30.0Ni-12.0Al-12.0Cr</v>
          </cell>
        </row>
        <row r="118">
          <cell r="A118" t="str">
            <v>Co-12.Al-11.W</v>
          </cell>
          <cell r="B118" t="str">
            <v>CoAlW-X</v>
          </cell>
          <cell r="C118" t="str">
            <v>-12Al-11W</v>
          </cell>
          <cell r="D118" t="str">
            <v>Co-12Al-11W</v>
          </cell>
          <cell r="E118" t="str">
            <v>Chen, Z. M. T., Okamoto, N. L., Demura, M. &amp; Inui, H. Micropillar compression deformation of single crystals of Co3(Al,W) with the L12 structure. Scr. Mater. 121, 28–31 (2016).</v>
          </cell>
          <cell r="F118">
            <v>127</v>
          </cell>
          <cell r="G118">
            <v>77</v>
          </cell>
          <cell r="H118"/>
          <cell r="I118">
            <v>12</v>
          </cell>
          <cell r="J118"/>
          <cell r="K118">
            <v>11</v>
          </cell>
          <cell r="L118"/>
          <cell r="M118"/>
          <cell r="N118"/>
          <cell r="O118"/>
          <cell r="P118"/>
          <cell r="Q118"/>
          <cell r="R118"/>
          <cell r="S118"/>
          <cell r="T118"/>
          <cell r="U118"/>
          <cell r="V118"/>
          <cell r="W118"/>
          <cell r="X118"/>
          <cell r="Y118"/>
          <cell r="Z118"/>
          <cell r="AA118"/>
          <cell r="AB118"/>
          <cell r="AC118"/>
          <cell r="AD118"/>
          <cell r="AE118"/>
          <cell r="AF118">
            <v>9.2945000000000011</v>
          </cell>
          <cell r="AG118"/>
          <cell r="AH118" t="str">
            <v>850C for 168hr</v>
          </cell>
          <cell r="AI118" t="str">
            <v>Co</v>
          </cell>
          <cell r="AJ118" t="str">
            <v>-12.Al</v>
          </cell>
          <cell r="AK118" t="str">
            <v>-11.W</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cell r="BD118" t="str">
            <v/>
          </cell>
          <cell r="BE118" t="str">
            <v/>
          </cell>
          <cell r="BF118" t="str">
            <v/>
          </cell>
          <cell r="BG118" t="str">
            <v/>
          </cell>
          <cell r="BH118" t="str">
            <v>Co-12Al-11WChen, Z. M. T., Okamoto, N. L., Demura, M. &amp; Inui, H. Micropillar compression deformation of single crystals of Co3(Al,W) with the L12 structure. Scr. Mater. 121, 28–31 (2016).</v>
          </cell>
          <cell r="BI118" t="str">
            <v>Co-12.Al-11.W</v>
          </cell>
          <cell r="BJ118" t="str">
            <v>77.0Co-12.0Al-11.0W</v>
          </cell>
        </row>
        <row r="119">
          <cell r="A119" t="str">
            <v>Co-58.3Ni-3.2Al-10.8Cr-8.2Ti</v>
          </cell>
          <cell r="B119" t="str">
            <v>Co3Ti</v>
          </cell>
          <cell r="C119" t="str">
            <v>-58Ni-3Al-11Cr-8Ti</v>
          </cell>
          <cell r="D119" t="str">
            <v>103a</v>
          </cell>
          <cell r="E119" t="str">
            <v>Christofidou, K. A. et al. The microstructure and hardness of Ni-Co-Al-Ti-Cr quinary alloys. J. Alloys Compd. (2016) doi:10.1016/j.jallcom.2016.07.159.</v>
          </cell>
          <cell r="F119">
            <v>128</v>
          </cell>
          <cell r="G119">
            <v>19.5</v>
          </cell>
          <cell r="H119">
            <v>58.3</v>
          </cell>
          <cell r="I119">
            <v>3.2</v>
          </cell>
          <cell r="J119">
            <v>10.8</v>
          </cell>
          <cell r="K119"/>
          <cell r="L119">
            <v>8.1999999999999993</v>
          </cell>
          <cell r="M119"/>
          <cell r="N119"/>
          <cell r="O119"/>
          <cell r="P119"/>
          <cell r="Q119"/>
          <cell r="R119"/>
          <cell r="S119"/>
          <cell r="T119"/>
          <cell r="U119"/>
          <cell r="V119"/>
          <cell r="W119"/>
          <cell r="X119"/>
          <cell r="Y119"/>
          <cell r="Z119"/>
          <cell r="AA119"/>
          <cell r="AB119"/>
          <cell r="AC119"/>
          <cell r="AD119"/>
          <cell r="AE119"/>
          <cell r="AF119">
            <v>8.1613579999999999</v>
          </cell>
          <cell r="AG119"/>
          <cell r="AH119"/>
          <cell r="AI119" t="str">
            <v>Co</v>
          </cell>
          <cell r="AJ119" t="str">
            <v>-3.2Al</v>
          </cell>
          <cell r="AK119" t="str">
            <v/>
          </cell>
          <cell r="AL119" t="str">
            <v>-58.3Ni</v>
          </cell>
          <cell r="AM119" t="str">
            <v>-10.8Cr</v>
          </cell>
          <cell r="AN119" t="str">
            <v/>
          </cell>
          <cell r="AO119" t="str">
            <v/>
          </cell>
          <cell r="AP119" t="str">
            <v/>
          </cell>
          <cell r="AQ119" t="str">
            <v>-8.2Ti</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cell r="BD119" t="str">
            <v/>
          </cell>
          <cell r="BE119" t="str">
            <v/>
          </cell>
          <cell r="BF119" t="str">
            <v/>
          </cell>
          <cell r="BG119" t="str">
            <v/>
          </cell>
          <cell r="BH119" t="str">
            <v>103aChristofidou, K. A. et al. The microstructure and hardness of Ni-Co-Al-Ti-Cr quinary alloys. J. Alloys Compd. (2016) doi:10.1016/j.jallcom.2016.07.159.</v>
          </cell>
          <cell r="BI119" t="str">
            <v>Co-58.3Ni-3.2Al-10.8Cr-8.2Ti</v>
          </cell>
          <cell r="BJ119" t="str">
            <v>77.8Co-58.3Ni-3.2Al-10.8Cr-8.2Ti</v>
          </cell>
        </row>
        <row r="120">
          <cell r="A120" t="str">
            <v>Co-27.2Ni-3.1Al-10.9Cr-8.1Ti</v>
          </cell>
          <cell r="B120" t="str">
            <v>Co3Ti</v>
          </cell>
          <cell r="C120" t="str">
            <v>-27Ni-3Al-11Cr-8Ti</v>
          </cell>
          <cell r="D120" t="str">
            <v>101a</v>
          </cell>
          <cell r="E120" t="str">
            <v>Christofidou, K. A. et al. The microstructure and hardness of Ni-Co-Al-Ti-Cr quinary alloys. J. Alloys Compd. (2016) doi:10.1016/j.jallcom.2016.07.159.</v>
          </cell>
          <cell r="F120">
            <v>129</v>
          </cell>
          <cell r="G120">
            <v>50.699999999999996</v>
          </cell>
          <cell r="H120">
            <v>27.2</v>
          </cell>
          <cell r="I120">
            <v>3.1</v>
          </cell>
          <cell r="J120">
            <v>10.9</v>
          </cell>
          <cell r="K120"/>
          <cell r="L120">
            <v>8.1</v>
          </cell>
          <cell r="M120"/>
          <cell r="N120"/>
          <cell r="O120"/>
          <cell r="P120"/>
          <cell r="Q120"/>
          <cell r="R120"/>
          <cell r="S120"/>
          <cell r="T120"/>
          <cell r="U120"/>
          <cell r="V120"/>
          <cell r="W120"/>
          <cell r="X120"/>
          <cell r="Y120"/>
          <cell r="Z120"/>
          <cell r="AA120"/>
          <cell r="AB120"/>
          <cell r="AC120"/>
          <cell r="AD120"/>
          <cell r="AE120"/>
          <cell r="AF120">
            <v>8.1677529999999994</v>
          </cell>
          <cell r="AG120"/>
          <cell r="AH120"/>
          <cell r="AI120" t="str">
            <v>Co</v>
          </cell>
          <cell r="AJ120" t="str">
            <v>-3.1Al</v>
          </cell>
          <cell r="AK120" t="str">
            <v/>
          </cell>
          <cell r="AL120" t="str">
            <v>-27.2Ni</v>
          </cell>
          <cell r="AM120" t="str">
            <v>-10.9Cr</v>
          </cell>
          <cell r="AN120" t="str">
            <v/>
          </cell>
          <cell r="AO120" t="str">
            <v/>
          </cell>
          <cell r="AP120" t="str">
            <v/>
          </cell>
          <cell r="AQ120" t="str">
            <v>-8.1Ti</v>
          </cell>
          <cell r="AR120" t="str">
            <v/>
          </cell>
          <cell r="AS120" t="str">
            <v/>
          </cell>
          <cell r="AT120" t="str">
            <v/>
          </cell>
          <cell r="AU120" t="str">
            <v/>
          </cell>
          <cell r="AV120" t="str">
            <v/>
          </cell>
          <cell r="AW120" t="str">
            <v/>
          </cell>
          <cell r="AX120" t="str">
            <v/>
          </cell>
          <cell r="AY120" t="str">
            <v/>
          </cell>
          <cell r="AZ120" t="str">
            <v/>
          </cell>
          <cell r="BA120" t="str">
            <v/>
          </cell>
          <cell r="BB120" t="str">
            <v/>
          </cell>
          <cell r="BC120" t="str">
            <v/>
          </cell>
          <cell r="BD120" t="str">
            <v/>
          </cell>
          <cell r="BE120" t="str">
            <v/>
          </cell>
          <cell r="BF120" t="str">
            <v/>
          </cell>
          <cell r="BG120" t="str">
            <v/>
          </cell>
          <cell r="BH120" t="str">
            <v>101aChristofidou, K. A. et al. The microstructure and hardness of Ni-Co-Al-Ti-Cr quinary alloys. J. Alloys Compd. (2016) doi:10.1016/j.jallcom.2016.07.159.</v>
          </cell>
          <cell r="BI120" t="str">
            <v>Co-27.2Ni-3.1Al-10.9Cr-8.1Ti</v>
          </cell>
          <cell r="BJ120" t="str">
            <v>77.9Co-27.2Ni-3.1Al-10.9Cr-8.1Ti</v>
          </cell>
        </row>
        <row r="121">
          <cell r="A121" t="str">
            <v>Co-34.2Ni-3.6Al-21.5Cr-8.1Ti</v>
          </cell>
          <cell r="B121" t="str">
            <v>Co3Ti</v>
          </cell>
          <cell r="C121" t="str">
            <v>-34Ni-4Al-22Cr-8Ti</v>
          </cell>
          <cell r="D121" t="str">
            <v>202a</v>
          </cell>
          <cell r="E121" t="str">
            <v>Christofidou, K. A. et al. The microstructure and hardness of Ni-Co-Al-Ti-Cr quinary alloys. J. Alloys Compd. (2016) doi:10.1016/j.jallcom.2016.07.159.</v>
          </cell>
          <cell r="F121">
            <v>130</v>
          </cell>
          <cell r="G121">
            <v>32.599999999999994</v>
          </cell>
          <cell r="H121">
            <v>34.200000000000003</v>
          </cell>
          <cell r="I121">
            <v>3.6</v>
          </cell>
          <cell r="J121">
            <v>21.5</v>
          </cell>
          <cell r="K121"/>
          <cell r="L121">
            <v>8.1</v>
          </cell>
          <cell r="M121"/>
          <cell r="N121"/>
          <cell r="O121"/>
          <cell r="P121"/>
          <cell r="Q121"/>
          <cell r="R121"/>
          <cell r="S121"/>
          <cell r="T121"/>
          <cell r="U121"/>
          <cell r="V121"/>
          <cell r="W121"/>
          <cell r="X121"/>
          <cell r="Y121"/>
          <cell r="Z121"/>
          <cell r="AA121"/>
          <cell r="AB121"/>
          <cell r="AC121"/>
          <cell r="AD121"/>
          <cell r="AE121"/>
          <cell r="AF121">
            <v>7.9560530000000007</v>
          </cell>
          <cell r="AG121"/>
          <cell r="AH121"/>
          <cell r="AI121" t="str">
            <v>Co</v>
          </cell>
          <cell r="AJ121" t="str">
            <v>-3.6Al</v>
          </cell>
          <cell r="AK121" t="str">
            <v/>
          </cell>
          <cell r="AL121" t="str">
            <v>-34.2Ni</v>
          </cell>
          <cell r="AM121" t="str">
            <v>-21.5Cr</v>
          </cell>
          <cell r="AN121" t="str">
            <v/>
          </cell>
          <cell r="AO121" t="str">
            <v/>
          </cell>
          <cell r="AP121" t="str">
            <v/>
          </cell>
          <cell r="AQ121" t="str">
            <v>-8.1Ti</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cell r="BD121" t="str">
            <v/>
          </cell>
          <cell r="BE121" t="str">
            <v/>
          </cell>
          <cell r="BF121" t="str">
            <v/>
          </cell>
          <cell r="BG121" t="str">
            <v/>
          </cell>
          <cell r="BH121" t="str">
            <v>202aChristofidou, K. A. et al. The microstructure and hardness of Ni-Co-Al-Ti-Cr quinary alloys. J. Alloys Compd. (2016) doi:10.1016/j.jallcom.2016.07.159.</v>
          </cell>
          <cell r="BI121" t="str">
            <v>Co-34.2Ni-3.6Al-21.5Cr-8.1Ti</v>
          </cell>
          <cell r="BJ121" t="str">
            <v>66.8Co-34.2Ni-3.6Al-21.5Cr-8.1Ti</v>
          </cell>
        </row>
        <row r="122">
          <cell r="A122" t="str">
            <v>Co-37.1Ni-3.1Al-16.3Cr-7.9Ti</v>
          </cell>
          <cell r="B122" t="str">
            <v>Co3Ti</v>
          </cell>
          <cell r="C122" t="str">
            <v>-37Ni-3Al-16Cr-8Ti</v>
          </cell>
          <cell r="D122" t="str">
            <v>152a</v>
          </cell>
          <cell r="E122" t="str">
            <v>Christofidou, K. A. et al. The microstructure and hardness of Ni-Co-Al-Ti-Cr quinary alloys. J. Alloys Compd. (2016) doi:10.1016/j.jallcom.2016.07.159.</v>
          </cell>
          <cell r="F122">
            <v>131</v>
          </cell>
          <cell r="G122">
            <v>35.599999999999994</v>
          </cell>
          <cell r="H122">
            <v>37.1</v>
          </cell>
          <cell r="I122">
            <v>3.1</v>
          </cell>
          <cell r="J122">
            <v>16.3</v>
          </cell>
          <cell r="K122"/>
          <cell r="L122">
            <v>7.9</v>
          </cell>
          <cell r="M122"/>
          <cell r="N122"/>
          <cell r="O122"/>
          <cell r="P122"/>
          <cell r="Q122"/>
          <cell r="R122"/>
          <cell r="S122"/>
          <cell r="T122"/>
          <cell r="U122"/>
          <cell r="V122"/>
          <cell r="W122"/>
          <cell r="X122"/>
          <cell r="Y122"/>
          <cell r="Z122"/>
          <cell r="AA122"/>
          <cell r="AB122"/>
          <cell r="AC122"/>
          <cell r="AD122"/>
          <cell r="AE122"/>
          <cell r="AF122">
            <v>8.0849910000000005</v>
          </cell>
          <cell r="AG122"/>
          <cell r="AH122"/>
          <cell r="AI122" t="str">
            <v>Co</v>
          </cell>
          <cell r="AJ122" t="str">
            <v>-3.1Al</v>
          </cell>
          <cell r="AK122" t="str">
            <v/>
          </cell>
          <cell r="AL122" t="str">
            <v>-37.1Ni</v>
          </cell>
          <cell r="AM122" t="str">
            <v>-16.3Cr</v>
          </cell>
          <cell r="AN122" t="str">
            <v/>
          </cell>
          <cell r="AO122" t="str">
            <v/>
          </cell>
          <cell r="AP122" t="str">
            <v/>
          </cell>
          <cell r="AQ122" t="str">
            <v>-7.9Ti</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cell r="BD122" t="str">
            <v/>
          </cell>
          <cell r="BE122" t="str">
            <v/>
          </cell>
          <cell r="BF122" t="str">
            <v/>
          </cell>
          <cell r="BG122" t="str">
            <v/>
          </cell>
          <cell r="BH122" t="str">
            <v>152aChristofidou, K. A. et al. The microstructure and hardness of Ni-Co-Al-Ti-Cr quinary alloys. J. Alloys Compd. (2016) doi:10.1016/j.jallcom.2016.07.159.</v>
          </cell>
          <cell r="BI122" t="str">
            <v>Co-37.1Ni-3.1Al-16.3Cr-7.9Ti</v>
          </cell>
          <cell r="BJ122" t="str">
            <v>72.7Co-37.1Ni-3.1Al-16.3Cr-7.9Ti</v>
          </cell>
        </row>
        <row r="123">
          <cell r="A123" t="str">
            <v>Co-17.3Ni-3.1Al-12.5Cr-7.9Ti</v>
          </cell>
          <cell r="B123" t="str">
            <v>Co3Ti</v>
          </cell>
          <cell r="C123" t="str">
            <v>-17Ni-3Al-13Cr-8Ti</v>
          </cell>
          <cell r="D123" t="str">
            <v>201a</v>
          </cell>
          <cell r="E123" t="str">
            <v>Christofidou, K. A. et al. The microstructure and hardness of Ni-Co-Al-Ti-Cr quinary alloys. J. Alloys Compd. (2016) doi:10.1016/j.jallcom.2016.07.159.</v>
          </cell>
          <cell r="F123">
            <v>132</v>
          </cell>
          <cell r="G123">
            <v>59.199999999999996</v>
          </cell>
          <cell r="H123">
            <v>17.3</v>
          </cell>
          <cell r="I123">
            <v>3.1</v>
          </cell>
          <cell r="J123">
            <v>12.5</v>
          </cell>
          <cell r="K123"/>
          <cell r="L123">
            <v>7.9</v>
          </cell>
          <cell r="M123"/>
          <cell r="N123"/>
          <cell r="O123"/>
          <cell r="P123"/>
          <cell r="Q123"/>
          <cell r="R123"/>
          <cell r="S123"/>
          <cell r="T123"/>
          <cell r="U123"/>
          <cell r="V123"/>
          <cell r="W123"/>
          <cell r="X123"/>
          <cell r="Y123"/>
          <cell r="Z123"/>
          <cell r="AA123"/>
          <cell r="AB123"/>
          <cell r="AC123"/>
          <cell r="AD123"/>
          <cell r="AE123"/>
          <cell r="AF123">
            <v>8.1483869999999996</v>
          </cell>
          <cell r="AG123"/>
          <cell r="AH123"/>
          <cell r="AI123" t="str">
            <v>Co</v>
          </cell>
          <cell r="AJ123" t="str">
            <v>-3.1Al</v>
          </cell>
          <cell r="AK123" t="str">
            <v/>
          </cell>
          <cell r="AL123" t="str">
            <v>-17.3Ni</v>
          </cell>
          <cell r="AM123" t="str">
            <v>-12.5Cr</v>
          </cell>
          <cell r="AN123" t="str">
            <v/>
          </cell>
          <cell r="AO123" t="str">
            <v/>
          </cell>
          <cell r="AP123" t="str">
            <v/>
          </cell>
          <cell r="AQ123" t="str">
            <v>-7.9Ti</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cell r="BD123" t="str">
            <v/>
          </cell>
          <cell r="BE123" t="str">
            <v/>
          </cell>
          <cell r="BF123" t="str">
            <v/>
          </cell>
          <cell r="BG123" t="str">
            <v/>
          </cell>
          <cell r="BH123" t="str">
            <v>201aChristofidou, K. A. et al. The microstructure and hardness of Ni-Co-Al-Ti-Cr quinary alloys. J. Alloys Compd. (2016) doi:10.1016/j.jallcom.2016.07.159.</v>
          </cell>
          <cell r="BI123" t="str">
            <v>Co-17.3Ni-3.1Al-12.5Cr-7.9Ti</v>
          </cell>
          <cell r="BJ123" t="str">
            <v>76.5Co-17.3Ni-3.1Al-12.5Cr-7.9Ti</v>
          </cell>
        </row>
        <row r="124">
          <cell r="A124" t="str">
            <v>Co-50.7Ni-2.7Al-21.9Cr-7.9Ti</v>
          </cell>
          <cell r="B124" t="str">
            <v>Co3Ti</v>
          </cell>
          <cell r="C124" t="str">
            <v>-51Ni-3Al-22Cr-8Ti</v>
          </cell>
          <cell r="D124" t="str">
            <v>203a</v>
          </cell>
          <cell r="E124" t="str">
            <v>Christofidou, K. A. et al. The microstructure and hardness of Ni-Co-Al-Ti-Cr quinary alloys. J. Alloys Compd. (2016) doi:10.1016/j.jallcom.2016.07.159.</v>
          </cell>
          <cell r="F124">
            <v>133</v>
          </cell>
          <cell r="G124">
            <v>16.799999999999983</v>
          </cell>
          <cell r="H124">
            <v>50.7</v>
          </cell>
          <cell r="I124">
            <v>2.7</v>
          </cell>
          <cell r="J124">
            <v>21.9</v>
          </cell>
          <cell r="K124"/>
          <cell r="L124">
            <v>7.9</v>
          </cell>
          <cell r="M124"/>
          <cell r="N124"/>
          <cell r="O124"/>
          <cell r="P124"/>
          <cell r="Q124"/>
          <cell r="R124"/>
          <cell r="S124"/>
          <cell r="T124"/>
          <cell r="U124"/>
          <cell r="V124"/>
          <cell r="W124"/>
          <cell r="X124"/>
          <cell r="Y124"/>
          <cell r="Z124"/>
          <cell r="AA124"/>
          <cell r="AB124"/>
          <cell r="AC124"/>
          <cell r="AD124"/>
          <cell r="AE124"/>
          <cell r="AF124">
            <v>8.0151190000000003</v>
          </cell>
          <cell r="AG124"/>
          <cell r="AH124"/>
          <cell r="AI124" t="str">
            <v>Co</v>
          </cell>
          <cell r="AJ124" t="str">
            <v>-2.7Al</v>
          </cell>
          <cell r="AK124" t="str">
            <v/>
          </cell>
          <cell r="AL124" t="str">
            <v>-50.7Ni</v>
          </cell>
          <cell r="AM124" t="str">
            <v>-21.9Cr</v>
          </cell>
          <cell r="AN124" t="str">
            <v/>
          </cell>
          <cell r="AO124" t="str">
            <v/>
          </cell>
          <cell r="AP124" t="str">
            <v/>
          </cell>
          <cell r="AQ124" t="str">
            <v>-7.9Ti</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cell r="BD124" t="str">
            <v/>
          </cell>
          <cell r="BE124" t="str">
            <v/>
          </cell>
          <cell r="BF124" t="str">
            <v/>
          </cell>
          <cell r="BG124" t="str">
            <v/>
          </cell>
          <cell r="BH124" t="str">
            <v>203aChristofidou, K. A. et al. The microstructure and hardness of Ni-Co-Al-Ti-Cr quinary alloys. J. Alloys Compd. (2016) doi:10.1016/j.jallcom.2016.07.159.</v>
          </cell>
          <cell r="BI124" t="str">
            <v>Co-50.7Ni-2.7Al-21.9Cr-7.9Ti</v>
          </cell>
          <cell r="BJ124" t="str">
            <v>67.5Co-50.7Ni-2.7Al-21.9Cr-7.9Ti</v>
          </cell>
        </row>
        <row r="125">
          <cell r="A125" t="str">
            <v>Co-18.3Ni-3.Al-16.2Cr-7.8Ti</v>
          </cell>
          <cell r="B125" t="str">
            <v>Co3Ti</v>
          </cell>
          <cell r="C125" t="str">
            <v>-18Ni-3Al-16Cr-8Ti</v>
          </cell>
          <cell r="D125" t="str">
            <v>151a</v>
          </cell>
          <cell r="E125" t="str">
            <v>Christofidou, K. A. et al. The microstructure and hardness of Ni-Co-Al-Ti-Cr quinary alloys. J. Alloys Compd. (2016) doi:10.1016/j.jallcom.2016.07.159.</v>
          </cell>
          <cell r="F125">
            <v>134</v>
          </cell>
          <cell r="G125">
            <v>54.7</v>
          </cell>
          <cell r="H125">
            <v>18.3</v>
          </cell>
          <cell r="I125">
            <v>3</v>
          </cell>
          <cell r="J125">
            <v>16.2</v>
          </cell>
          <cell r="K125"/>
          <cell r="L125">
            <v>7.8</v>
          </cell>
          <cell r="M125"/>
          <cell r="N125"/>
          <cell r="O125"/>
          <cell r="P125"/>
          <cell r="Q125"/>
          <cell r="R125"/>
          <cell r="S125"/>
          <cell r="T125"/>
          <cell r="U125"/>
          <cell r="V125"/>
          <cell r="W125"/>
          <cell r="X125"/>
          <cell r="Y125"/>
          <cell r="Z125"/>
          <cell r="AA125"/>
          <cell r="AB125"/>
          <cell r="AC125"/>
          <cell r="AD125"/>
          <cell r="AE125"/>
          <cell r="AF125">
            <v>8.0957899999999992</v>
          </cell>
          <cell r="AG125"/>
          <cell r="AH125"/>
          <cell r="AI125" t="str">
            <v>Co</v>
          </cell>
          <cell r="AJ125" t="str">
            <v>-3.Al</v>
          </cell>
          <cell r="AK125" t="str">
            <v/>
          </cell>
          <cell r="AL125" t="str">
            <v>-18.3Ni</v>
          </cell>
          <cell r="AM125" t="str">
            <v>-16.2Cr</v>
          </cell>
          <cell r="AN125" t="str">
            <v/>
          </cell>
          <cell r="AO125" t="str">
            <v/>
          </cell>
          <cell r="AP125" t="str">
            <v/>
          </cell>
          <cell r="AQ125" t="str">
            <v>-7.8Ti</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cell r="BD125" t="str">
            <v/>
          </cell>
          <cell r="BE125" t="str">
            <v/>
          </cell>
          <cell r="BF125" t="str">
            <v/>
          </cell>
          <cell r="BG125" t="str">
            <v/>
          </cell>
          <cell r="BH125" t="str">
            <v>151aChristofidou, K. A. et al. The microstructure and hardness of Ni-Co-Al-Ti-Cr quinary alloys. J. Alloys Compd. (2016) doi:10.1016/j.jallcom.2016.07.159.</v>
          </cell>
          <cell r="BI125" t="str">
            <v>Co-18.3Ni-3.Al-16.2Cr-7.8Ti</v>
          </cell>
          <cell r="BJ125" t="str">
            <v>73.0Co-18.3Ni-3.0Al-16.2Cr-7.8Ti</v>
          </cell>
        </row>
        <row r="126">
          <cell r="A126" t="str">
            <v>Co-54.3Ni-4.3Al-15.7Cr-7.7Ti</v>
          </cell>
          <cell r="B126" t="str">
            <v>Co3Ti</v>
          </cell>
          <cell r="C126" t="str">
            <v>-54Ni-4Al-16Cr-8Ti</v>
          </cell>
          <cell r="D126" t="str">
            <v>153a</v>
          </cell>
          <cell r="E126" t="str">
            <v>Christofidou, K. A. et al. The microstructure and hardness of Ni-Co-Al-Ti-Cr quinary alloys. J. Alloys Compd. (2016) doi:10.1016/j.jallcom.2016.07.159.</v>
          </cell>
          <cell r="F126">
            <v>135</v>
          </cell>
          <cell r="G126">
            <v>18</v>
          </cell>
          <cell r="H126">
            <v>54.3</v>
          </cell>
          <cell r="I126">
            <v>4.3</v>
          </cell>
          <cell r="J126">
            <v>15.7</v>
          </cell>
          <cell r="K126"/>
          <cell r="L126">
            <v>7.7</v>
          </cell>
          <cell r="M126"/>
          <cell r="N126"/>
          <cell r="O126"/>
          <cell r="P126"/>
          <cell r="Q126"/>
          <cell r="R126"/>
          <cell r="S126"/>
          <cell r="T126"/>
          <cell r="U126"/>
          <cell r="V126"/>
          <cell r="W126"/>
          <cell r="X126"/>
          <cell r="Y126"/>
          <cell r="Z126"/>
          <cell r="AA126"/>
          <cell r="AB126"/>
          <cell r="AC126"/>
          <cell r="AD126"/>
          <cell r="AE126"/>
          <cell r="AF126">
            <v>8.0310129999999997</v>
          </cell>
          <cell r="AG126"/>
          <cell r="AH126"/>
          <cell r="AI126" t="str">
            <v>Co</v>
          </cell>
          <cell r="AJ126" t="str">
            <v>-4.3Al</v>
          </cell>
          <cell r="AK126" t="str">
            <v/>
          </cell>
          <cell r="AL126" t="str">
            <v>-54.3Ni</v>
          </cell>
          <cell r="AM126" t="str">
            <v>-15.7Cr</v>
          </cell>
          <cell r="AN126" t="str">
            <v/>
          </cell>
          <cell r="AO126" t="str">
            <v/>
          </cell>
          <cell r="AP126" t="str">
            <v/>
          </cell>
          <cell r="AQ126" t="str">
            <v>-7.7Ti</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cell r="BD126" t="str">
            <v/>
          </cell>
          <cell r="BE126" t="str">
            <v/>
          </cell>
          <cell r="BF126" t="str">
            <v/>
          </cell>
          <cell r="BG126" t="str">
            <v/>
          </cell>
          <cell r="BH126" t="str">
            <v>153aChristofidou, K. A. et al. The microstructure and hardness of Ni-Co-Al-Ti-Cr quinary alloys. J. Alloys Compd. (2016) doi:10.1016/j.jallcom.2016.07.159.</v>
          </cell>
          <cell r="BI126" t="str">
            <v>Co-54.3Ni-4.3Al-15.7Cr-7.7Ti</v>
          </cell>
          <cell r="BJ126" t="str">
            <v>72.3Co-54.3Ni-4.3Al-15.7Cr-7.7Ti</v>
          </cell>
        </row>
        <row r="127">
          <cell r="A127" t="str">
            <v>Co-39.8Ni-2.8Al-10.8Cr-7.6Ti</v>
          </cell>
          <cell r="B127" t="str">
            <v>Co3Ti</v>
          </cell>
          <cell r="C127" t="str">
            <v>-40Ni-3Al-11Cr-8Ti</v>
          </cell>
          <cell r="D127" t="str">
            <v>102a</v>
          </cell>
          <cell r="E127" t="str">
            <v>Christofidou, K. A. et al. The microstructure and hardness of Ni-Co-Al-Ti-Cr quinary alloys. J. Alloys Compd. (2016) doi:10.1016/j.jallcom.2016.07.159.</v>
          </cell>
          <cell r="F127">
            <v>136</v>
          </cell>
          <cell r="G127">
            <v>39.000000000000007</v>
          </cell>
          <cell r="H127">
            <v>39.799999999999997</v>
          </cell>
          <cell r="I127">
            <v>2.8</v>
          </cell>
          <cell r="J127">
            <v>10.8</v>
          </cell>
          <cell r="K127"/>
          <cell r="L127">
            <v>7.6</v>
          </cell>
          <cell r="M127"/>
          <cell r="N127"/>
          <cell r="O127"/>
          <cell r="P127"/>
          <cell r="Q127"/>
          <cell r="R127"/>
          <cell r="S127"/>
          <cell r="T127"/>
          <cell r="U127"/>
          <cell r="V127"/>
          <cell r="W127"/>
          <cell r="X127"/>
          <cell r="Y127"/>
          <cell r="Z127"/>
          <cell r="AA127"/>
          <cell r="AB127"/>
          <cell r="AC127"/>
          <cell r="AD127"/>
          <cell r="AE127"/>
          <cell r="AF127">
            <v>8.211036</v>
          </cell>
          <cell r="AG127"/>
          <cell r="AH127"/>
          <cell r="AI127" t="str">
            <v>Co</v>
          </cell>
          <cell r="AJ127" t="str">
            <v>-2.8Al</v>
          </cell>
          <cell r="AK127" t="str">
            <v/>
          </cell>
          <cell r="AL127" t="str">
            <v>-39.8Ni</v>
          </cell>
          <cell r="AM127" t="str">
            <v>-10.8Cr</v>
          </cell>
          <cell r="AN127" t="str">
            <v/>
          </cell>
          <cell r="AO127" t="str">
            <v/>
          </cell>
          <cell r="AP127" t="str">
            <v/>
          </cell>
          <cell r="AQ127" t="str">
            <v>-7.6Ti</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cell r="BD127" t="str">
            <v/>
          </cell>
          <cell r="BE127" t="str">
            <v/>
          </cell>
          <cell r="BF127" t="str">
            <v/>
          </cell>
          <cell r="BG127" t="str">
            <v/>
          </cell>
          <cell r="BH127" t="str">
            <v>102aChristofidou, K. A. et al. The microstructure and hardness of Ni-Co-Al-Ti-Cr quinary alloys. J. Alloys Compd. (2016) doi:10.1016/j.jallcom.2016.07.159.</v>
          </cell>
          <cell r="BI127" t="str">
            <v>Co-39.8Ni-2.8Al-10.8Cr-7.6Ti</v>
          </cell>
          <cell r="BJ127" t="str">
            <v>78.8Co-39.8Ni-2.8Al-10.8Cr-7.6Ti</v>
          </cell>
        </row>
        <row r="128">
          <cell r="A128" t="str">
            <v>Co-59.5Ni-4.5Al-10.9Cr-5.6Ti</v>
          </cell>
          <cell r="B128" t="str">
            <v>Co3Ti</v>
          </cell>
          <cell r="C128" t="str">
            <v>-60Ni-5Al-11Cr-6Ti</v>
          </cell>
          <cell r="D128" t="str">
            <v>103b</v>
          </cell>
          <cell r="E128" t="str">
            <v>Christofidou, K. A. et al. The microstructure and hardness of Ni-Co-Al-Ti-Cr quinary alloys. J. Alloys Compd. (2016) doi:10.1016/j.jallcom.2016.07.159.</v>
          </cell>
          <cell r="F128">
            <v>137</v>
          </cell>
          <cell r="G128">
            <v>19.5</v>
          </cell>
          <cell r="H128">
            <v>59.5</v>
          </cell>
          <cell r="I128">
            <v>4.5</v>
          </cell>
          <cell r="J128">
            <v>10.9</v>
          </cell>
          <cell r="K128"/>
          <cell r="L128">
            <v>5.6</v>
          </cell>
          <cell r="M128"/>
          <cell r="N128"/>
          <cell r="O128"/>
          <cell r="P128"/>
          <cell r="Q128"/>
          <cell r="R128"/>
          <cell r="S128"/>
          <cell r="T128"/>
          <cell r="U128"/>
          <cell r="V128"/>
          <cell r="W128"/>
          <cell r="X128"/>
          <cell r="Y128"/>
          <cell r="Z128"/>
          <cell r="AA128"/>
          <cell r="AB128"/>
          <cell r="AC128"/>
          <cell r="AD128"/>
          <cell r="AE128"/>
          <cell r="AF128">
            <v>8.1933620000000005</v>
          </cell>
          <cell r="AG128"/>
          <cell r="AH128"/>
          <cell r="AI128" t="str">
            <v>Co</v>
          </cell>
          <cell r="AJ128" t="str">
            <v>-4.5Al</v>
          </cell>
          <cell r="AK128" t="str">
            <v/>
          </cell>
          <cell r="AL128" t="str">
            <v>-59.5Ni</v>
          </cell>
          <cell r="AM128" t="str">
            <v>-10.9Cr</v>
          </cell>
          <cell r="AN128" t="str">
            <v/>
          </cell>
          <cell r="AO128" t="str">
            <v/>
          </cell>
          <cell r="AP128" t="str">
            <v/>
          </cell>
          <cell r="AQ128" t="str">
            <v>-5.6Ti</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cell r="BD128" t="str">
            <v/>
          </cell>
          <cell r="BE128" t="str">
            <v/>
          </cell>
          <cell r="BF128" t="str">
            <v/>
          </cell>
          <cell r="BG128" t="str">
            <v/>
          </cell>
          <cell r="BH128" t="str">
            <v>103bChristofidou, K. A. et al. The microstructure and hardness of Ni-Co-Al-Ti-Cr quinary alloys. J. Alloys Compd. (2016) doi:10.1016/j.jallcom.2016.07.159.</v>
          </cell>
          <cell r="BI128" t="str">
            <v>Co-59.5Ni-4.5Al-10.9Cr-5.6Ti</v>
          </cell>
          <cell r="BJ128" t="str">
            <v>79.0Co-59.5Ni-4.5Al-10.9Cr-5.6Ti</v>
          </cell>
        </row>
        <row r="129">
          <cell r="A129" t="str">
            <v>Co-51.2Ni-6.Al-12.6Cr-5.5Ti</v>
          </cell>
          <cell r="B129" t="str">
            <v>Co3Ti</v>
          </cell>
          <cell r="C129" t="str">
            <v>-51Ni-6Al-13Cr-6Ti</v>
          </cell>
          <cell r="D129" t="str">
            <v>203b</v>
          </cell>
          <cell r="E129" t="str">
            <v>Christofidou, K. A. et al. The microstructure and hardness of Ni-Co-Al-Ti-Cr quinary alloys. J. Alloys Compd. (2016) doi:10.1016/j.jallcom.2016.07.159.</v>
          </cell>
          <cell r="F129">
            <v>138</v>
          </cell>
          <cell r="G129">
            <v>24.700000000000003</v>
          </cell>
          <cell r="H129">
            <v>51.2</v>
          </cell>
          <cell r="I129">
            <v>6</v>
          </cell>
          <cell r="J129">
            <v>12.6</v>
          </cell>
          <cell r="K129"/>
          <cell r="L129">
            <v>5.5</v>
          </cell>
          <cell r="M129"/>
          <cell r="N129"/>
          <cell r="O129"/>
          <cell r="P129"/>
          <cell r="Q129"/>
          <cell r="R129"/>
          <cell r="S129"/>
          <cell r="T129"/>
          <cell r="U129"/>
          <cell r="V129"/>
          <cell r="W129"/>
          <cell r="X129"/>
          <cell r="Y129"/>
          <cell r="Z129"/>
          <cell r="AA129"/>
          <cell r="AB129"/>
          <cell r="AC129"/>
          <cell r="AD129"/>
          <cell r="AE129"/>
          <cell r="AF129">
            <v>8.0750209999999996</v>
          </cell>
          <cell r="AG129"/>
          <cell r="AH129"/>
          <cell r="AI129" t="str">
            <v>Co</v>
          </cell>
          <cell r="AJ129" t="str">
            <v>-6.Al</v>
          </cell>
          <cell r="AK129" t="str">
            <v/>
          </cell>
          <cell r="AL129" t="str">
            <v>-51.2Ni</v>
          </cell>
          <cell r="AM129" t="str">
            <v>-12.6Cr</v>
          </cell>
          <cell r="AN129" t="str">
            <v/>
          </cell>
          <cell r="AO129" t="str">
            <v/>
          </cell>
          <cell r="AP129" t="str">
            <v/>
          </cell>
          <cell r="AQ129" t="str">
            <v>-5.5Ti</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cell r="BD129" t="str">
            <v/>
          </cell>
          <cell r="BE129" t="str">
            <v/>
          </cell>
          <cell r="BF129" t="str">
            <v/>
          </cell>
          <cell r="BG129" t="str">
            <v/>
          </cell>
          <cell r="BH129" t="str">
            <v>203bChristofidou, K. A. et al. The microstructure and hardness of Ni-Co-Al-Ti-Cr quinary alloys. J. Alloys Compd. (2016) doi:10.1016/j.jallcom.2016.07.159.</v>
          </cell>
          <cell r="BI129" t="str">
            <v>Co-51.2Ni-6.Al-12.6Cr-5.5Ti</v>
          </cell>
          <cell r="BJ129" t="str">
            <v>75.9Co-51.2Ni-6.0Al-12.6Cr-5.5Ti</v>
          </cell>
        </row>
        <row r="130">
          <cell r="A130" t="str">
            <v>Co-19.7Ni-5.4Al-11.Cr-5.3Ti</v>
          </cell>
          <cell r="B130" t="str">
            <v>Co3Ti</v>
          </cell>
          <cell r="C130" t="str">
            <v>-20Ni-5Al-11Cr-5Ti</v>
          </cell>
          <cell r="D130" t="str">
            <v>101b</v>
          </cell>
          <cell r="E130" t="str">
            <v>Christofidou, K. A. et al. The microstructure and hardness of Ni-Co-Al-Ti-Cr quinary alloys. J. Alloys Compd. (2016) doi:10.1016/j.jallcom.2016.07.159.</v>
          </cell>
          <cell r="F130">
            <v>139</v>
          </cell>
          <cell r="G130">
            <v>58.6</v>
          </cell>
          <cell r="H130">
            <v>19.7</v>
          </cell>
          <cell r="I130">
            <v>5.4</v>
          </cell>
          <cell r="J130">
            <v>11</v>
          </cell>
          <cell r="K130"/>
          <cell r="L130">
            <v>5.3</v>
          </cell>
          <cell r="M130"/>
          <cell r="N130"/>
          <cell r="O130"/>
          <cell r="P130"/>
          <cell r="Q130"/>
          <cell r="R130"/>
          <cell r="S130"/>
          <cell r="T130"/>
          <cell r="U130"/>
          <cell r="V130"/>
          <cell r="W130"/>
          <cell r="X130"/>
          <cell r="Y130"/>
          <cell r="Z130"/>
          <cell r="AA130"/>
          <cell r="AB130"/>
          <cell r="AC130"/>
          <cell r="AD130"/>
          <cell r="AE130"/>
          <cell r="AF130">
            <v>8.1458470000000016</v>
          </cell>
          <cell r="AG130"/>
          <cell r="AH130"/>
          <cell r="AI130" t="str">
            <v>Co</v>
          </cell>
          <cell r="AJ130" t="str">
            <v>-5.4Al</v>
          </cell>
          <cell r="AK130" t="str">
            <v/>
          </cell>
          <cell r="AL130" t="str">
            <v>-19.7Ni</v>
          </cell>
          <cell r="AM130" t="str">
            <v>-11.Cr</v>
          </cell>
          <cell r="AN130" t="str">
            <v/>
          </cell>
          <cell r="AO130" t="str">
            <v/>
          </cell>
          <cell r="AP130" t="str">
            <v/>
          </cell>
          <cell r="AQ130" t="str">
            <v>-5.3Ti</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cell r="BD130" t="str">
            <v/>
          </cell>
          <cell r="BE130" t="str">
            <v/>
          </cell>
          <cell r="BF130" t="str">
            <v/>
          </cell>
          <cell r="BG130" t="str">
            <v/>
          </cell>
          <cell r="BH130" t="str">
            <v>101bChristofidou, K. A. et al. The microstructure and hardness of Ni-Co-Al-Ti-Cr quinary alloys. J. Alloys Compd. (2016) doi:10.1016/j.jallcom.2016.07.159.</v>
          </cell>
          <cell r="BI130" t="str">
            <v>Co-19.7Ni-5.4Al-11.Cr-5.3Ti</v>
          </cell>
          <cell r="BJ130" t="str">
            <v>78.3Co-19.7Ni-5.4Al-11.0Cr-5.3Ti</v>
          </cell>
        </row>
        <row r="131">
          <cell r="A131" t="str">
            <v>Co-39.2Ni-5.9Al-10.5Cr-5.3Ti</v>
          </cell>
          <cell r="B131" t="str">
            <v>Co3Ti</v>
          </cell>
          <cell r="C131" t="str">
            <v>-39Ni-6Al-11Cr-5Ti</v>
          </cell>
          <cell r="D131" t="str">
            <v>102b</v>
          </cell>
          <cell r="E131" t="str">
            <v>Christofidou, K. A. et al. The microstructure and hardness of Ni-Co-Al-Ti-Cr quinary alloys. J. Alloys Compd. (2016) doi:10.1016/j.jallcom.2016.07.159.</v>
          </cell>
          <cell r="F131">
            <v>140</v>
          </cell>
          <cell r="G131">
            <v>39.1</v>
          </cell>
          <cell r="H131">
            <v>39.200000000000003</v>
          </cell>
          <cell r="I131">
            <v>5.9</v>
          </cell>
          <cell r="J131">
            <v>10.5</v>
          </cell>
          <cell r="K131"/>
          <cell r="L131">
            <v>5.3</v>
          </cell>
          <cell r="M131"/>
          <cell r="N131"/>
          <cell r="O131"/>
          <cell r="P131"/>
          <cell r="Q131"/>
          <cell r="R131"/>
          <cell r="S131"/>
          <cell r="T131"/>
          <cell r="U131"/>
          <cell r="V131"/>
          <cell r="W131"/>
          <cell r="X131"/>
          <cell r="Y131"/>
          <cell r="Z131"/>
          <cell r="AA131"/>
          <cell r="AB131"/>
          <cell r="AC131"/>
          <cell r="AD131"/>
          <cell r="AE131"/>
          <cell r="AF131">
            <v>8.1249570000000002</v>
          </cell>
          <cell r="AG131"/>
          <cell r="AH131"/>
          <cell r="AI131" t="str">
            <v>Co</v>
          </cell>
          <cell r="AJ131" t="str">
            <v>-5.9Al</v>
          </cell>
          <cell r="AK131" t="str">
            <v/>
          </cell>
          <cell r="AL131" t="str">
            <v>-39.2Ni</v>
          </cell>
          <cell r="AM131" t="str">
            <v>-10.5Cr</v>
          </cell>
          <cell r="AN131" t="str">
            <v/>
          </cell>
          <cell r="AO131" t="str">
            <v/>
          </cell>
          <cell r="AP131" t="str">
            <v/>
          </cell>
          <cell r="AQ131" t="str">
            <v>-5.3Ti</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cell r="BD131" t="str">
            <v/>
          </cell>
          <cell r="BE131" t="str">
            <v/>
          </cell>
          <cell r="BF131" t="str">
            <v/>
          </cell>
          <cell r="BG131" t="str">
            <v/>
          </cell>
          <cell r="BH131" t="str">
            <v>102bChristofidou, K. A. et al. The microstructure and hardness of Ni-Co-Al-Ti-Cr quinary alloys. J. Alloys Compd. (2016) doi:10.1016/j.jallcom.2016.07.159.</v>
          </cell>
          <cell r="BI131" t="str">
            <v>Co-39.2Ni-5.9Al-10.5Cr-5.3Ti</v>
          </cell>
          <cell r="BJ131" t="str">
            <v>78.3Co-39.2Ni-5.9Al-10.5Cr-5.3Ti</v>
          </cell>
        </row>
        <row r="132">
          <cell r="A132" t="str">
            <v>Co-54.9Ni-5.6Al-15.9Cr-5.3Ti</v>
          </cell>
          <cell r="B132" t="str">
            <v>Co3Ti</v>
          </cell>
          <cell r="C132" t="str">
            <v>-55Ni-6Al-16Cr-5Ti</v>
          </cell>
          <cell r="D132" t="str">
            <v>153b</v>
          </cell>
          <cell r="E132" t="str">
            <v>Christofidou, K. A. et al. The microstructure and hardness of Ni-Co-Al-Ti-Cr quinary alloys. J. Alloys Compd. (2016) doi:10.1016/j.jallcom.2016.07.159.</v>
          </cell>
          <cell r="F132">
            <v>141</v>
          </cell>
          <cell r="G132">
            <v>18.299999999999997</v>
          </cell>
          <cell r="H132">
            <v>54.9</v>
          </cell>
          <cell r="I132">
            <v>5.6</v>
          </cell>
          <cell r="J132">
            <v>15.9</v>
          </cell>
          <cell r="K132"/>
          <cell r="L132">
            <v>5.3</v>
          </cell>
          <cell r="M132"/>
          <cell r="N132"/>
          <cell r="O132"/>
          <cell r="P132"/>
          <cell r="Q132"/>
          <cell r="R132"/>
          <cell r="S132"/>
          <cell r="T132"/>
          <cell r="U132"/>
          <cell r="V132"/>
          <cell r="W132"/>
          <cell r="X132"/>
          <cell r="Y132"/>
          <cell r="Z132"/>
          <cell r="AA132"/>
          <cell r="AB132"/>
          <cell r="AC132"/>
          <cell r="AD132"/>
          <cell r="AE132"/>
          <cell r="AF132">
            <v>8.0524729999999991</v>
          </cell>
          <cell r="AG132"/>
          <cell r="AH132"/>
          <cell r="AI132" t="str">
            <v>Co</v>
          </cell>
          <cell r="AJ132" t="str">
            <v>-5.6Al</v>
          </cell>
          <cell r="AK132" t="str">
            <v/>
          </cell>
          <cell r="AL132" t="str">
            <v>-54.9Ni</v>
          </cell>
          <cell r="AM132" t="str">
            <v>-15.9Cr</v>
          </cell>
          <cell r="AN132" t="str">
            <v/>
          </cell>
          <cell r="AO132" t="str">
            <v/>
          </cell>
          <cell r="AP132" t="str">
            <v/>
          </cell>
          <cell r="AQ132" t="str">
            <v>-5.3Ti</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cell r="BD132" t="str">
            <v/>
          </cell>
          <cell r="BE132" t="str">
            <v/>
          </cell>
          <cell r="BF132" t="str">
            <v/>
          </cell>
          <cell r="BG132" t="str">
            <v/>
          </cell>
          <cell r="BH132" t="str">
            <v>153bChristofidou, K. A. et al. The microstructure and hardness of Ni-Co-Al-Ti-Cr quinary alloys. J. Alloys Compd. (2016) doi:10.1016/j.jallcom.2016.07.159.</v>
          </cell>
          <cell r="BI132" t="str">
            <v>Co-54.9Ni-5.6Al-15.9Cr-5.3Ti</v>
          </cell>
          <cell r="BJ132" t="str">
            <v>73.2Co-54.9Ni-5.6Al-15.9Cr-5.3Ti</v>
          </cell>
        </row>
        <row r="133">
          <cell r="A133" t="str">
            <v>Co-18.3Ni-5.Al-16.1Cr-5.2Ti</v>
          </cell>
          <cell r="B133" t="str">
            <v>Co3Ti</v>
          </cell>
          <cell r="C133" t="str">
            <v>-18Ni-5Al-16Cr-5Ti</v>
          </cell>
          <cell r="D133" t="str">
            <v>151b</v>
          </cell>
          <cell r="E133" t="str">
            <v>Christofidou, K. A. et al. The microstructure and hardness of Ni-Co-Al-Ti-Cr quinary alloys. J. Alloys Compd. (2016) doi:10.1016/j.jallcom.2016.07.159.</v>
          </cell>
          <cell r="F133">
            <v>142</v>
          </cell>
          <cell r="G133">
            <v>55.399999999999991</v>
          </cell>
          <cell r="H133">
            <v>18.3</v>
          </cell>
          <cell r="I133">
            <v>5</v>
          </cell>
          <cell r="J133">
            <v>16.100000000000001</v>
          </cell>
          <cell r="K133"/>
          <cell r="L133">
            <v>5.2</v>
          </cell>
          <cell r="M133"/>
          <cell r="N133"/>
          <cell r="O133"/>
          <cell r="P133"/>
          <cell r="Q133"/>
          <cell r="R133"/>
          <cell r="S133"/>
          <cell r="T133"/>
          <cell r="U133"/>
          <cell r="V133"/>
          <cell r="W133"/>
          <cell r="X133"/>
          <cell r="Y133"/>
          <cell r="Z133"/>
          <cell r="AA133"/>
          <cell r="AB133"/>
          <cell r="AC133"/>
          <cell r="AD133"/>
          <cell r="AE133"/>
          <cell r="AF133">
            <v>8.0877180000000006</v>
          </cell>
          <cell r="AG133"/>
          <cell r="AH133"/>
          <cell r="AI133" t="str">
            <v>Co</v>
          </cell>
          <cell r="AJ133" t="str">
            <v>-5.Al</v>
          </cell>
          <cell r="AK133" t="str">
            <v/>
          </cell>
          <cell r="AL133" t="str">
            <v>-18.3Ni</v>
          </cell>
          <cell r="AM133" t="str">
            <v>-16.1Cr</v>
          </cell>
          <cell r="AN133" t="str">
            <v/>
          </cell>
          <cell r="AO133" t="str">
            <v/>
          </cell>
          <cell r="AP133" t="str">
            <v/>
          </cell>
          <cell r="AQ133" t="str">
            <v>-5.2Ti</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cell r="BD133" t="str">
            <v/>
          </cell>
          <cell r="BE133" t="str">
            <v/>
          </cell>
          <cell r="BF133" t="str">
            <v/>
          </cell>
          <cell r="BG133" t="str">
            <v/>
          </cell>
          <cell r="BH133" t="str">
            <v>151bChristofidou, K. A. et al. The microstructure and hardness of Ni-Co-Al-Ti-Cr quinary alloys. J. Alloys Compd. (2016) doi:10.1016/j.jallcom.2016.07.159.</v>
          </cell>
          <cell r="BI133" t="str">
            <v>Co-18.3Ni-5.Al-16.1Cr-5.2Ti</v>
          </cell>
          <cell r="BJ133" t="str">
            <v>73.7Co-18.3Ni-5.0Al-16.1Cr-5.2Ti</v>
          </cell>
        </row>
        <row r="134">
          <cell r="A134" t="str">
            <v>Co-36.8Ni-5.4Al-16.1Cr-5.2Ti</v>
          </cell>
          <cell r="B134" t="str">
            <v>Co3Ti</v>
          </cell>
          <cell r="C134" t="str">
            <v>-37Ni-5Al-16Cr-5Ti</v>
          </cell>
          <cell r="D134" t="str">
            <v>152b</v>
          </cell>
          <cell r="E134" t="str">
            <v>Christofidou, K. A. et al. The microstructure and hardness of Ni-Co-Al-Ti-Cr quinary alloys. J. Alloys Compd. (2016) doi:10.1016/j.jallcom.2016.07.159.</v>
          </cell>
          <cell r="F134">
            <v>143</v>
          </cell>
          <cell r="G134">
            <v>36.5</v>
          </cell>
          <cell r="H134">
            <v>36.799999999999997</v>
          </cell>
          <cell r="I134">
            <v>5.4</v>
          </cell>
          <cell r="J134">
            <v>16.100000000000001</v>
          </cell>
          <cell r="K134"/>
          <cell r="L134">
            <v>5.2</v>
          </cell>
          <cell r="M134"/>
          <cell r="N134"/>
          <cell r="O134"/>
          <cell r="P134"/>
          <cell r="Q134"/>
          <cell r="R134"/>
          <cell r="S134"/>
          <cell r="T134"/>
          <cell r="U134"/>
          <cell r="V134"/>
          <cell r="W134"/>
          <cell r="X134"/>
          <cell r="Y134"/>
          <cell r="Z134"/>
          <cell r="AA134"/>
          <cell r="AB134"/>
          <cell r="AC134"/>
          <cell r="AD134"/>
          <cell r="AE134"/>
          <cell r="AF134">
            <v>8.0643980000000006</v>
          </cell>
          <cell r="AG134"/>
          <cell r="AH134"/>
          <cell r="AI134" t="str">
            <v>Co</v>
          </cell>
          <cell r="AJ134" t="str">
            <v>-5.4Al</v>
          </cell>
          <cell r="AK134" t="str">
            <v/>
          </cell>
          <cell r="AL134" t="str">
            <v>-36.8Ni</v>
          </cell>
          <cell r="AM134" t="str">
            <v>-16.1Cr</v>
          </cell>
          <cell r="AN134" t="str">
            <v/>
          </cell>
          <cell r="AO134" t="str">
            <v/>
          </cell>
          <cell r="AP134" t="str">
            <v/>
          </cell>
          <cell r="AQ134" t="str">
            <v>-5.2Ti</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cell r="BD134" t="str">
            <v/>
          </cell>
          <cell r="BE134" t="str">
            <v/>
          </cell>
          <cell r="BF134" t="str">
            <v/>
          </cell>
          <cell r="BG134" t="str">
            <v/>
          </cell>
          <cell r="BH134" t="str">
            <v>152bChristofidou, K. A. et al. The microstructure and hardness of Ni-Co-Al-Ti-Cr quinary alloys. J. Alloys Compd. (2016) doi:10.1016/j.jallcom.2016.07.159.</v>
          </cell>
          <cell r="BI134" t="str">
            <v>Co-36.8Ni-5.4Al-16.1Cr-5.2Ti</v>
          </cell>
          <cell r="BJ134" t="str">
            <v>73.3Co-36.8Ni-5.4Al-16.1Cr-5.2Ti</v>
          </cell>
        </row>
        <row r="135">
          <cell r="A135" t="str">
            <v>Co-34.4Ni-5.7Al-21.2Cr-5.2Ti</v>
          </cell>
          <cell r="B135" t="str">
            <v>Co3Ti</v>
          </cell>
          <cell r="C135" t="str">
            <v>-34Ni-6Al-21Cr-5Ti</v>
          </cell>
          <cell r="D135" t="str">
            <v>202b</v>
          </cell>
          <cell r="E135" t="str">
            <v>Christofidou, K. A. et al. The microstructure and hardness of Ni-Co-Al-Ti-Cr quinary alloys. J. Alloys Compd. (2016) doi:10.1016/j.jallcom.2016.07.159.</v>
          </cell>
          <cell r="F135">
            <v>144</v>
          </cell>
          <cell r="G135">
            <v>33.5</v>
          </cell>
          <cell r="H135">
            <v>34.4</v>
          </cell>
          <cell r="I135">
            <v>5.7</v>
          </cell>
          <cell r="J135">
            <v>21.2</v>
          </cell>
          <cell r="K135"/>
          <cell r="L135">
            <v>5.2</v>
          </cell>
          <cell r="M135"/>
          <cell r="N135"/>
          <cell r="O135"/>
          <cell r="P135"/>
          <cell r="Q135"/>
          <cell r="R135"/>
          <cell r="S135"/>
          <cell r="T135"/>
          <cell r="U135"/>
          <cell r="V135"/>
          <cell r="W135"/>
          <cell r="X135"/>
          <cell r="Y135"/>
          <cell r="Z135"/>
          <cell r="AA135"/>
          <cell r="AB135"/>
          <cell r="AC135"/>
          <cell r="AD135"/>
          <cell r="AE135"/>
          <cell r="AF135">
            <v>7.9583960000000005</v>
          </cell>
          <cell r="AG135"/>
          <cell r="AH135"/>
          <cell r="AI135" t="str">
            <v>Co</v>
          </cell>
          <cell r="AJ135" t="str">
            <v>-5.7Al</v>
          </cell>
          <cell r="AK135" t="str">
            <v/>
          </cell>
          <cell r="AL135" t="str">
            <v>-34.4Ni</v>
          </cell>
          <cell r="AM135" t="str">
            <v>-21.2Cr</v>
          </cell>
          <cell r="AN135" t="str">
            <v/>
          </cell>
          <cell r="AO135" t="str">
            <v/>
          </cell>
          <cell r="AP135" t="str">
            <v/>
          </cell>
          <cell r="AQ135" t="str">
            <v>-5.2Ti</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cell r="BD135" t="str">
            <v/>
          </cell>
          <cell r="BE135" t="str">
            <v/>
          </cell>
          <cell r="BF135" t="str">
            <v/>
          </cell>
          <cell r="BG135" t="str">
            <v/>
          </cell>
          <cell r="BH135" t="str">
            <v>202bChristofidou, K. A. et al. The microstructure and hardness of Ni-Co-Al-Ti-Cr quinary alloys. J. Alloys Compd. (2016) doi:10.1016/j.jallcom.2016.07.159.</v>
          </cell>
          <cell r="BI135" t="str">
            <v>Co-34.4Ni-5.7Al-21.2Cr-5.2Ti</v>
          </cell>
          <cell r="BJ135" t="str">
            <v>67.9Co-34.4Ni-5.7Al-21.2Cr-5.2Ti</v>
          </cell>
        </row>
        <row r="136">
          <cell r="A136" t="str">
            <v>Co-17.Ni-5.5Al-21.4Cr-5.Ti</v>
          </cell>
          <cell r="B136" t="str">
            <v>W-free</v>
          </cell>
          <cell r="C136" t="str">
            <v>-17Ni-6Al-21Cr-5Ti</v>
          </cell>
          <cell r="D136" t="str">
            <v>201b</v>
          </cell>
          <cell r="E136" t="str">
            <v>Christofidou, K. A. et al. The microstructure and hardness of Ni-Co-Al-Ti-Cr quinary alloys. J. Alloys Compd. (2016) doi:10.1016/j.jallcom.2016.07.159.</v>
          </cell>
          <cell r="F136">
            <v>145</v>
          </cell>
          <cell r="G136">
            <v>51.1</v>
          </cell>
          <cell r="H136">
            <v>17</v>
          </cell>
          <cell r="I136">
            <v>5.5</v>
          </cell>
          <cell r="J136">
            <v>21.4</v>
          </cell>
          <cell r="K136"/>
          <cell r="L136">
            <v>5</v>
          </cell>
          <cell r="M136"/>
          <cell r="N136"/>
          <cell r="O136"/>
          <cell r="P136"/>
          <cell r="Q136"/>
          <cell r="R136"/>
          <cell r="S136"/>
          <cell r="T136"/>
          <cell r="U136"/>
          <cell r="V136"/>
          <cell r="W136"/>
          <cell r="X136"/>
          <cell r="Y136"/>
          <cell r="Z136"/>
          <cell r="AA136"/>
          <cell r="AB136"/>
          <cell r="AC136"/>
          <cell r="AD136"/>
          <cell r="AE136"/>
          <cell r="AF136">
            <v>7.9747699999999995</v>
          </cell>
          <cell r="AG136"/>
          <cell r="AH136"/>
          <cell r="AI136" t="str">
            <v>Co</v>
          </cell>
          <cell r="AJ136" t="str">
            <v>-5.5Al</v>
          </cell>
          <cell r="AK136" t="str">
            <v/>
          </cell>
          <cell r="AL136" t="str">
            <v>-17.Ni</v>
          </cell>
          <cell r="AM136" t="str">
            <v>-21.4Cr</v>
          </cell>
          <cell r="AN136" t="str">
            <v/>
          </cell>
          <cell r="AO136" t="str">
            <v/>
          </cell>
          <cell r="AP136" t="str">
            <v/>
          </cell>
          <cell r="AQ136" t="str">
            <v>-5.Ti</v>
          </cell>
          <cell r="AR136" t="str">
            <v/>
          </cell>
          <cell r="AS136" t="str">
            <v/>
          </cell>
          <cell r="AT136" t="str">
            <v/>
          </cell>
          <cell r="AU136" t="str">
            <v/>
          </cell>
          <cell r="AV136" t="str">
            <v/>
          </cell>
          <cell r="AW136" t="str">
            <v/>
          </cell>
          <cell r="AX136" t="str">
            <v/>
          </cell>
          <cell r="AY136" t="str">
            <v/>
          </cell>
          <cell r="AZ136" t="str">
            <v/>
          </cell>
          <cell r="BA136" t="str">
            <v/>
          </cell>
          <cell r="BB136" t="str">
            <v/>
          </cell>
          <cell r="BC136" t="str">
            <v/>
          </cell>
          <cell r="BD136" t="str">
            <v/>
          </cell>
          <cell r="BE136" t="str">
            <v/>
          </cell>
          <cell r="BF136" t="str">
            <v/>
          </cell>
          <cell r="BG136" t="str">
            <v/>
          </cell>
          <cell r="BH136" t="str">
            <v>201bChristofidou, K. A. et al. The microstructure and hardness of Ni-Co-Al-Ti-Cr quinary alloys. J. Alloys Compd. (2016) doi:10.1016/j.jallcom.2016.07.159.</v>
          </cell>
          <cell r="BI136" t="str">
            <v>Co-17.Ni-5.5Al-21.4Cr-5.Ti</v>
          </cell>
          <cell r="BJ136" t="str">
            <v>68.1Co-17.0Ni-5.5Al-21.4Cr-5.0Ti</v>
          </cell>
        </row>
        <row r="137">
          <cell r="A137" t="str">
            <v>Co-58.4Ni-8.6Al-10.7Cr-2.7Ti</v>
          </cell>
          <cell r="B137" t="str">
            <v>W-free</v>
          </cell>
          <cell r="C137" t="str">
            <v>-58Ni-9Al-11Cr-3Ti</v>
          </cell>
          <cell r="D137" t="str">
            <v>103c</v>
          </cell>
          <cell r="E137" t="str">
            <v>Christofidou, K. A. et al. The microstructure and hardness of Ni-Co-Al-Ti-Cr quinary alloys. J. Alloys Compd. (2016) doi:10.1016/j.jallcom.2016.07.159.</v>
          </cell>
          <cell r="F137">
            <v>146</v>
          </cell>
          <cell r="G137">
            <v>19.599999999999994</v>
          </cell>
          <cell r="H137">
            <v>58.4</v>
          </cell>
          <cell r="I137">
            <v>8.6</v>
          </cell>
          <cell r="J137">
            <v>10.7</v>
          </cell>
          <cell r="K137"/>
          <cell r="L137">
            <v>2.7</v>
          </cell>
          <cell r="M137"/>
          <cell r="N137"/>
          <cell r="O137"/>
          <cell r="P137"/>
          <cell r="Q137"/>
          <cell r="R137"/>
          <cell r="S137"/>
          <cell r="T137"/>
          <cell r="U137"/>
          <cell r="V137"/>
          <cell r="W137"/>
          <cell r="X137"/>
          <cell r="Y137"/>
          <cell r="Z137"/>
          <cell r="AA137"/>
          <cell r="AB137"/>
          <cell r="AC137"/>
          <cell r="AD137"/>
          <cell r="AE137"/>
          <cell r="AF137">
            <v>8.0698909999999984</v>
          </cell>
          <cell r="AG137"/>
          <cell r="AH137"/>
          <cell r="AI137" t="str">
            <v>Co</v>
          </cell>
          <cell r="AJ137" t="str">
            <v>-8.6Al</v>
          </cell>
          <cell r="AK137" t="str">
            <v/>
          </cell>
          <cell r="AL137" t="str">
            <v>-58.4Ni</v>
          </cell>
          <cell r="AM137" t="str">
            <v>-10.7Cr</v>
          </cell>
          <cell r="AN137" t="str">
            <v/>
          </cell>
          <cell r="AO137" t="str">
            <v/>
          </cell>
          <cell r="AP137" t="str">
            <v/>
          </cell>
          <cell r="AQ137" t="str">
            <v>-2.7Ti</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cell r="BD137" t="str">
            <v/>
          </cell>
          <cell r="BE137" t="str">
            <v/>
          </cell>
          <cell r="BF137" t="str">
            <v/>
          </cell>
          <cell r="BG137" t="str">
            <v/>
          </cell>
          <cell r="BH137" t="str">
            <v>103cChristofidou, K. A. et al. The microstructure and hardness of Ni-Co-Al-Ti-Cr quinary alloys. J. Alloys Compd. (2016) doi:10.1016/j.jallcom.2016.07.159.</v>
          </cell>
          <cell r="BI137" t="str">
            <v>Co-58.4Ni-8.6Al-10.7Cr-2.7Ti</v>
          </cell>
          <cell r="BJ137" t="str">
            <v>78.0Co-58.4Ni-8.6Al-10.7Cr-2.7Ti</v>
          </cell>
        </row>
        <row r="138">
          <cell r="A138" t="str">
            <v>Co-19.Ni-7.1Al-16.5Cr-2.7Ti</v>
          </cell>
          <cell r="B138" t="str">
            <v>W-free</v>
          </cell>
          <cell r="C138" t="str">
            <v>-19Ni-7Al-17Cr-3Ti</v>
          </cell>
          <cell r="D138" t="str">
            <v>151c</v>
          </cell>
          <cell r="E138" t="str">
            <v>Christofidou, K. A. et al. The microstructure and hardness of Ni-Co-Al-Ti-Cr quinary alloys. J. Alloys Compd. (2016) doi:10.1016/j.jallcom.2016.07.159.</v>
          </cell>
          <cell r="F138">
            <v>147</v>
          </cell>
          <cell r="G138">
            <v>54.699999999999996</v>
          </cell>
          <cell r="H138">
            <v>19</v>
          </cell>
          <cell r="I138">
            <v>7.1</v>
          </cell>
          <cell r="J138">
            <v>16.5</v>
          </cell>
          <cell r="K138"/>
          <cell r="L138">
            <v>2.7</v>
          </cell>
          <cell r="M138"/>
          <cell r="N138"/>
          <cell r="O138"/>
          <cell r="P138"/>
          <cell r="Q138"/>
          <cell r="R138"/>
          <cell r="S138"/>
          <cell r="T138"/>
          <cell r="U138"/>
          <cell r="V138"/>
          <cell r="W138"/>
          <cell r="X138"/>
          <cell r="Y138"/>
          <cell r="Z138"/>
          <cell r="AA138"/>
          <cell r="AB138"/>
          <cell r="AC138"/>
          <cell r="AD138"/>
          <cell r="AE138"/>
          <cell r="AF138">
            <v>8.0605589999999996</v>
          </cell>
          <cell r="AG138"/>
          <cell r="AH138"/>
          <cell r="AI138" t="str">
            <v>Co</v>
          </cell>
          <cell r="AJ138" t="str">
            <v>-7.1Al</v>
          </cell>
          <cell r="AK138" t="str">
            <v/>
          </cell>
          <cell r="AL138" t="str">
            <v>-19.Ni</v>
          </cell>
          <cell r="AM138" t="str">
            <v>-16.5Cr</v>
          </cell>
          <cell r="AN138" t="str">
            <v/>
          </cell>
          <cell r="AO138" t="str">
            <v/>
          </cell>
          <cell r="AP138" t="str">
            <v/>
          </cell>
          <cell r="AQ138" t="str">
            <v>-2.7Ti</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cell r="BD138" t="str">
            <v/>
          </cell>
          <cell r="BE138" t="str">
            <v/>
          </cell>
          <cell r="BF138" t="str">
            <v/>
          </cell>
          <cell r="BG138" t="str">
            <v/>
          </cell>
          <cell r="BH138" t="str">
            <v>151cChristofidou, K. A. et al. The microstructure and hardness of Ni-Co-Al-Ti-Cr quinary alloys. J. Alloys Compd. (2016) doi:10.1016/j.jallcom.2016.07.159.</v>
          </cell>
          <cell r="BI138" t="str">
            <v>Co-19.Ni-7.1Al-16.5Cr-2.7Ti</v>
          </cell>
          <cell r="BJ138" t="str">
            <v>73.7Co-19.0Ni-7.1Al-16.5Cr-2.7Ti</v>
          </cell>
        </row>
        <row r="139">
          <cell r="A139" t="str">
            <v>Co-36.1Ni-8.6Al-16.Cr-2.7Ti</v>
          </cell>
          <cell r="B139" t="str">
            <v>W-free</v>
          </cell>
          <cell r="C139" t="str">
            <v>-36Ni-9Al-16Cr-3Ti</v>
          </cell>
          <cell r="D139" t="str">
            <v>152c</v>
          </cell>
          <cell r="E139" t="str">
            <v>Christofidou, K. A. et al. The microstructure and hardness of Ni-Co-Al-Ti-Cr quinary alloys. J. Alloys Compd. (2016) doi:10.1016/j.jallcom.2016.07.159.</v>
          </cell>
          <cell r="F139">
            <v>148</v>
          </cell>
          <cell r="G139">
            <v>36.599999999999994</v>
          </cell>
          <cell r="H139">
            <v>36.1</v>
          </cell>
          <cell r="I139">
            <v>8.6</v>
          </cell>
          <cell r="J139">
            <v>16</v>
          </cell>
          <cell r="K139"/>
          <cell r="L139">
            <v>2.7</v>
          </cell>
          <cell r="M139"/>
          <cell r="N139"/>
          <cell r="O139"/>
          <cell r="P139"/>
          <cell r="Q139"/>
          <cell r="R139"/>
          <cell r="S139"/>
          <cell r="T139"/>
          <cell r="U139"/>
          <cell r="V139"/>
          <cell r="W139"/>
          <cell r="X139"/>
          <cell r="Y139"/>
          <cell r="Z139"/>
          <cell r="AA139"/>
          <cell r="AB139"/>
          <cell r="AC139"/>
          <cell r="AD139"/>
          <cell r="AE139"/>
          <cell r="AF139">
            <v>7.9774769999999986</v>
          </cell>
          <cell r="AG139"/>
          <cell r="AH139"/>
          <cell r="AI139" t="str">
            <v>Co</v>
          </cell>
          <cell r="AJ139" t="str">
            <v>-8.6Al</v>
          </cell>
          <cell r="AK139" t="str">
            <v/>
          </cell>
          <cell r="AL139" t="str">
            <v>-36.1Ni</v>
          </cell>
          <cell r="AM139" t="str">
            <v>-16.Cr</v>
          </cell>
          <cell r="AN139" t="str">
            <v/>
          </cell>
          <cell r="AO139" t="str">
            <v/>
          </cell>
          <cell r="AP139" t="str">
            <v/>
          </cell>
          <cell r="AQ139" t="str">
            <v>-2.7Ti</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cell r="BD139" t="str">
            <v/>
          </cell>
          <cell r="BE139" t="str">
            <v/>
          </cell>
          <cell r="BF139" t="str">
            <v/>
          </cell>
          <cell r="BG139" t="str">
            <v/>
          </cell>
          <cell r="BH139" t="str">
            <v>152cChristofidou, K. A. et al. The microstructure and hardness of Ni-Co-Al-Ti-Cr quinary alloys. J. Alloys Compd. (2016) doi:10.1016/j.jallcom.2016.07.159.</v>
          </cell>
          <cell r="BI139" t="str">
            <v>Co-36.1Ni-8.6Al-16.Cr-2.7Ti</v>
          </cell>
          <cell r="BJ139" t="str">
            <v>72.7Co-36.1Ni-8.6Al-16.0Cr-2.7Ti</v>
          </cell>
        </row>
        <row r="140">
          <cell r="A140" t="str">
            <v>Co-54.8Ni-8.Al-16.1Cr-2.7Ti</v>
          </cell>
          <cell r="B140" t="str">
            <v>W-free</v>
          </cell>
          <cell r="C140" t="str">
            <v>-55Ni-8Al-16Cr-3Ti</v>
          </cell>
          <cell r="D140" t="str">
            <v>153c</v>
          </cell>
          <cell r="E140" t="str">
            <v>Christofidou, K. A. et al. The microstructure and hardness of Ni-Co-Al-Ti-Cr quinary alloys. J. Alloys Compd. (2016) doi:10.1016/j.jallcom.2016.07.159.</v>
          </cell>
          <cell r="F140">
            <v>149</v>
          </cell>
          <cell r="G140">
            <v>18.399999999999991</v>
          </cell>
          <cell r="H140">
            <v>54.8</v>
          </cell>
          <cell r="I140">
            <v>8</v>
          </cell>
          <cell r="J140">
            <v>16.100000000000001</v>
          </cell>
          <cell r="K140"/>
          <cell r="L140">
            <v>2.7</v>
          </cell>
          <cell r="M140"/>
          <cell r="N140"/>
          <cell r="O140"/>
          <cell r="P140"/>
          <cell r="Q140"/>
          <cell r="R140"/>
          <cell r="S140"/>
          <cell r="T140"/>
          <cell r="U140"/>
          <cell r="V140"/>
          <cell r="W140"/>
          <cell r="X140"/>
          <cell r="Y140"/>
          <cell r="Z140"/>
          <cell r="AA140"/>
          <cell r="AB140"/>
          <cell r="AC140"/>
          <cell r="AD140"/>
          <cell r="AE140"/>
          <cell r="AF140">
            <v>8.0144629999999992</v>
          </cell>
          <cell r="AG140"/>
          <cell r="AH140"/>
          <cell r="AI140" t="str">
            <v>Co</v>
          </cell>
          <cell r="AJ140" t="str">
            <v>-8.Al</v>
          </cell>
          <cell r="AK140" t="str">
            <v/>
          </cell>
          <cell r="AL140" t="str">
            <v>-54.8Ni</v>
          </cell>
          <cell r="AM140" t="str">
            <v>-16.1Cr</v>
          </cell>
          <cell r="AN140" t="str">
            <v/>
          </cell>
          <cell r="AO140" t="str">
            <v/>
          </cell>
          <cell r="AP140" t="str">
            <v/>
          </cell>
          <cell r="AQ140" t="str">
            <v>-2.7Ti</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cell r="BD140" t="str">
            <v/>
          </cell>
          <cell r="BE140" t="str">
            <v/>
          </cell>
          <cell r="BF140" t="str">
            <v/>
          </cell>
          <cell r="BG140" t="str">
            <v/>
          </cell>
          <cell r="BH140" t="str">
            <v>153cChristofidou, K. A. et al. The microstructure and hardness of Ni-Co-Al-Ti-Cr quinary alloys. J. Alloys Compd. (2016) doi:10.1016/j.jallcom.2016.07.159.</v>
          </cell>
          <cell r="BI140" t="str">
            <v>Co-54.8Ni-8.Al-16.1Cr-2.7Ti</v>
          </cell>
          <cell r="BJ140" t="str">
            <v>73.2Co-54.8Ni-8.0Al-16.1Cr-2.7Ti</v>
          </cell>
        </row>
        <row r="141">
          <cell r="A141" t="str">
            <v>Co-34.Ni-8.2Al-21.6Cr-2.7Ti</v>
          </cell>
          <cell r="B141" t="str">
            <v>W-free</v>
          </cell>
          <cell r="C141" t="str">
            <v>-34Ni-8Al-22Cr-3Ti</v>
          </cell>
          <cell r="D141" t="str">
            <v>202c</v>
          </cell>
          <cell r="E141" t="str">
            <v>Christofidou, K. A. et al. The microstructure and hardness of Ni-Co-Al-Ti-Cr quinary alloys. J. Alloys Compd. (2016) doi:10.1016/j.jallcom.2016.07.159.</v>
          </cell>
          <cell r="F141">
            <v>150</v>
          </cell>
          <cell r="G141">
            <v>33.5</v>
          </cell>
          <cell r="H141">
            <v>34</v>
          </cell>
          <cell r="I141">
            <v>8.1999999999999993</v>
          </cell>
          <cell r="J141">
            <v>21.6</v>
          </cell>
          <cell r="K141"/>
          <cell r="L141">
            <v>2.7</v>
          </cell>
          <cell r="M141"/>
          <cell r="N141"/>
          <cell r="O141"/>
          <cell r="P141"/>
          <cell r="Q141"/>
          <cell r="R141"/>
          <cell r="S141"/>
          <cell r="T141"/>
          <cell r="U141"/>
          <cell r="V141"/>
          <cell r="W141"/>
          <cell r="X141"/>
          <cell r="Y141"/>
          <cell r="Z141"/>
          <cell r="AA141"/>
          <cell r="AB141"/>
          <cell r="AC141"/>
          <cell r="AD141"/>
          <cell r="AE141"/>
          <cell r="AF141">
            <v>7.9063490000000014</v>
          </cell>
          <cell r="AG141"/>
          <cell r="AH141"/>
          <cell r="AI141" t="str">
            <v>Co</v>
          </cell>
          <cell r="AJ141" t="str">
            <v>-8.2Al</v>
          </cell>
          <cell r="AK141" t="str">
            <v/>
          </cell>
          <cell r="AL141" t="str">
            <v>-34.Ni</v>
          </cell>
          <cell r="AM141" t="str">
            <v>-21.6Cr</v>
          </cell>
          <cell r="AN141" t="str">
            <v/>
          </cell>
          <cell r="AO141" t="str">
            <v/>
          </cell>
          <cell r="AP141" t="str">
            <v/>
          </cell>
          <cell r="AQ141" t="str">
            <v>-2.7Ti</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cell r="BD141" t="str">
            <v/>
          </cell>
          <cell r="BE141" t="str">
            <v/>
          </cell>
          <cell r="BF141" t="str">
            <v/>
          </cell>
          <cell r="BG141" t="str">
            <v/>
          </cell>
          <cell r="BH141" t="str">
            <v>202cChristofidou, K. A. et al. The microstructure and hardness of Ni-Co-Al-Ti-Cr quinary alloys. J. Alloys Compd. (2016) doi:10.1016/j.jallcom.2016.07.159.</v>
          </cell>
          <cell r="BI141" t="str">
            <v>Co-34.Ni-8.2Al-21.6Cr-2.7Ti</v>
          </cell>
          <cell r="BJ141" t="str">
            <v>67.5Co-34.0Ni-8.2Al-21.6Cr-2.7Ti</v>
          </cell>
        </row>
        <row r="142">
          <cell r="A142" t="str">
            <v>Co-19.7Ni-7.5Al-11.1Cr-2.6Ti</v>
          </cell>
          <cell r="B142" t="str">
            <v>W-free</v>
          </cell>
          <cell r="C142" t="str">
            <v>-20Ni-8Al-11Cr-3Ti</v>
          </cell>
          <cell r="D142" t="str">
            <v>101c</v>
          </cell>
          <cell r="E142" t="str">
            <v>Christofidou, K. A. et al. The microstructure and hardness of Ni-Co-Al-Ti-Cr quinary alloys. J. Alloys Compd. (2016) doi:10.1016/j.jallcom.2016.07.159.</v>
          </cell>
          <cell r="F142">
            <v>151</v>
          </cell>
          <cell r="G142">
            <v>59.1</v>
          </cell>
          <cell r="H142">
            <v>19.7</v>
          </cell>
          <cell r="I142">
            <v>7.5</v>
          </cell>
          <cell r="J142">
            <v>11.1</v>
          </cell>
          <cell r="K142"/>
          <cell r="L142">
            <v>2.6</v>
          </cell>
          <cell r="M142"/>
          <cell r="N142"/>
          <cell r="O142"/>
          <cell r="P142"/>
          <cell r="Q142"/>
          <cell r="R142"/>
          <cell r="S142"/>
          <cell r="T142"/>
          <cell r="U142"/>
          <cell r="V142"/>
          <cell r="W142"/>
          <cell r="X142"/>
          <cell r="Y142"/>
          <cell r="Z142"/>
          <cell r="AA142"/>
          <cell r="AB142"/>
          <cell r="AC142"/>
          <cell r="AD142"/>
          <cell r="AE142"/>
          <cell r="AF142">
            <v>8.1325479999999999</v>
          </cell>
          <cell r="AG142"/>
          <cell r="AH142"/>
          <cell r="AI142" t="str">
            <v>Co</v>
          </cell>
          <cell r="AJ142" t="str">
            <v>-7.5Al</v>
          </cell>
          <cell r="AK142" t="str">
            <v/>
          </cell>
          <cell r="AL142" t="str">
            <v>-19.7Ni</v>
          </cell>
          <cell r="AM142" t="str">
            <v>-11.1Cr</v>
          </cell>
          <cell r="AN142" t="str">
            <v/>
          </cell>
          <cell r="AO142" t="str">
            <v/>
          </cell>
          <cell r="AP142" t="str">
            <v/>
          </cell>
          <cell r="AQ142" t="str">
            <v>-2.6Ti</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cell r="BD142" t="str">
            <v/>
          </cell>
          <cell r="BE142" t="str">
            <v/>
          </cell>
          <cell r="BF142" t="str">
            <v/>
          </cell>
          <cell r="BG142" t="str">
            <v/>
          </cell>
          <cell r="BH142" t="str">
            <v>101cChristofidou, K. A. et al. The microstructure and hardness of Ni-Co-Al-Ti-Cr quinary alloys. J. Alloys Compd. (2016) doi:10.1016/j.jallcom.2016.07.159.</v>
          </cell>
          <cell r="BI142" t="str">
            <v>Co-19.7Ni-7.5Al-11.1Cr-2.6Ti</v>
          </cell>
          <cell r="BJ142" t="str">
            <v>78.8Co-19.7Ni-7.5Al-11.1Cr-2.6Ti</v>
          </cell>
        </row>
        <row r="143">
          <cell r="A143" t="str">
            <v>Co-39.7Ni-7.5Al-10.8Cr-2.6Ti</v>
          </cell>
          <cell r="B143" t="str">
            <v>W-free</v>
          </cell>
          <cell r="C143" t="str">
            <v>-40Ni-8Al-11Cr-3Ti</v>
          </cell>
          <cell r="D143" t="str">
            <v>102c</v>
          </cell>
          <cell r="E143" t="str">
            <v>Christofidou, K. A. et al. The microstructure and hardness of Ni-Co-Al-Ti-Cr quinary alloys. J. Alloys Compd. (2016) doi:10.1016/j.jallcom.2016.07.159.</v>
          </cell>
          <cell r="F143">
            <v>152</v>
          </cell>
          <cell r="G143">
            <v>39.4</v>
          </cell>
          <cell r="H143">
            <v>39.700000000000003</v>
          </cell>
          <cell r="I143">
            <v>7.5</v>
          </cell>
          <cell r="J143">
            <v>10.8</v>
          </cell>
          <cell r="K143"/>
          <cell r="L143">
            <v>2.6</v>
          </cell>
          <cell r="M143"/>
          <cell r="N143"/>
          <cell r="O143"/>
          <cell r="P143"/>
          <cell r="Q143"/>
          <cell r="R143"/>
          <cell r="S143"/>
          <cell r="T143"/>
          <cell r="U143"/>
          <cell r="V143"/>
          <cell r="W143"/>
          <cell r="X143"/>
          <cell r="Y143"/>
          <cell r="Z143"/>
          <cell r="AA143"/>
          <cell r="AB143"/>
          <cell r="AC143"/>
          <cell r="AD143"/>
          <cell r="AE143"/>
          <cell r="AF143">
            <v>8.1392780000000009</v>
          </cell>
          <cell r="AG143"/>
          <cell r="AH143"/>
          <cell r="AI143" t="str">
            <v>Co</v>
          </cell>
          <cell r="AJ143" t="str">
            <v>-7.5Al</v>
          </cell>
          <cell r="AK143" t="str">
            <v/>
          </cell>
          <cell r="AL143" t="str">
            <v>-39.7Ni</v>
          </cell>
          <cell r="AM143" t="str">
            <v>-10.8Cr</v>
          </cell>
          <cell r="AN143" t="str">
            <v/>
          </cell>
          <cell r="AO143" t="str">
            <v/>
          </cell>
          <cell r="AP143" t="str">
            <v/>
          </cell>
          <cell r="AQ143" t="str">
            <v>-2.6Ti</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cell r="BD143" t="str">
            <v/>
          </cell>
          <cell r="BE143" t="str">
            <v/>
          </cell>
          <cell r="BF143" t="str">
            <v/>
          </cell>
          <cell r="BG143" t="str">
            <v/>
          </cell>
          <cell r="BH143" t="str">
            <v>102cChristofidou, K. A. et al. The microstructure and hardness of Ni-Co-Al-Ti-Cr quinary alloys. J. Alloys Compd. (2016) doi:10.1016/j.jallcom.2016.07.159.</v>
          </cell>
          <cell r="BI143" t="str">
            <v>Co-39.7Ni-7.5Al-10.8Cr-2.6Ti</v>
          </cell>
          <cell r="BJ143" t="str">
            <v>79.1Co-39.7Ni-7.5Al-10.8Cr-2.6Ti</v>
          </cell>
        </row>
        <row r="144">
          <cell r="A144" t="str">
            <v>Co-17.2Ni-7.8Al-21.8Cr-2.6Ti</v>
          </cell>
          <cell r="B144" t="str">
            <v>W-free</v>
          </cell>
          <cell r="C144" t="str">
            <v>-17Ni-8Al-22Cr-3Ti</v>
          </cell>
          <cell r="D144" t="str">
            <v>201c</v>
          </cell>
          <cell r="E144" t="str">
            <v>Christofidou, K. A. et al. The microstructure and hardness of Ni-Co-Al-Ti-Cr quinary alloys. J. Alloys Compd. (2016) doi:10.1016/j.jallcom.2016.07.159.</v>
          </cell>
          <cell r="F144">
            <v>153</v>
          </cell>
          <cell r="G144">
            <v>50.6</v>
          </cell>
          <cell r="H144">
            <v>17.2</v>
          </cell>
          <cell r="I144">
            <v>7.8</v>
          </cell>
          <cell r="J144">
            <v>21.8</v>
          </cell>
          <cell r="K144"/>
          <cell r="L144">
            <v>2.6</v>
          </cell>
          <cell r="M144"/>
          <cell r="N144"/>
          <cell r="O144"/>
          <cell r="P144"/>
          <cell r="Q144"/>
          <cell r="R144"/>
          <cell r="S144"/>
          <cell r="T144"/>
          <cell r="U144"/>
          <cell r="V144"/>
          <cell r="W144"/>
          <cell r="X144"/>
          <cell r="Y144"/>
          <cell r="Z144"/>
          <cell r="AA144"/>
          <cell r="AB144"/>
          <cell r="AC144"/>
          <cell r="AD144"/>
          <cell r="AE144"/>
          <cell r="AF144">
            <v>7.9307780000000001</v>
          </cell>
          <cell r="AG144"/>
          <cell r="AH144"/>
          <cell r="AI144" t="str">
            <v>Co</v>
          </cell>
          <cell r="AJ144" t="str">
            <v>-7.8Al</v>
          </cell>
          <cell r="AK144" t="str">
            <v/>
          </cell>
          <cell r="AL144" t="str">
            <v>-17.2Ni</v>
          </cell>
          <cell r="AM144" t="str">
            <v>-21.8Cr</v>
          </cell>
          <cell r="AN144" t="str">
            <v/>
          </cell>
          <cell r="AO144" t="str">
            <v/>
          </cell>
          <cell r="AP144" t="str">
            <v/>
          </cell>
          <cell r="AQ144" t="str">
            <v>-2.6Ti</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cell r="BD144" t="str">
            <v/>
          </cell>
          <cell r="BE144" t="str">
            <v/>
          </cell>
          <cell r="BF144" t="str">
            <v/>
          </cell>
          <cell r="BG144" t="str">
            <v/>
          </cell>
          <cell r="BH144" t="str">
            <v>201cChristofidou, K. A. et al. The microstructure and hardness of Ni-Co-Al-Ti-Cr quinary alloys. J. Alloys Compd. (2016) doi:10.1016/j.jallcom.2016.07.159.</v>
          </cell>
          <cell r="BI144" t="str">
            <v>Co-17.2Ni-7.8Al-21.8Cr-2.6Ti</v>
          </cell>
          <cell r="BJ144" t="str">
            <v>67.8Co-17.2Ni-7.8Al-21.8Cr-2.6Ti</v>
          </cell>
        </row>
        <row r="145">
          <cell r="A145" t="str">
            <v>Co-50.6Ni-8.5Al-20.9Cr-2.5Ti</v>
          </cell>
          <cell r="B145" t="str">
            <v>W-free</v>
          </cell>
          <cell r="C145" t="str">
            <v>-51Ni-9Al-21Cr-3Ti</v>
          </cell>
          <cell r="D145" t="str">
            <v>203c</v>
          </cell>
          <cell r="E145" t="str">
            <v>Christofidou, K. A. et al. The microstructure and hardness of Ni-Co-Al-Ti-Cr quinary alloys. J. Alloys Compd. (2016) doi:10.1016/j.jallcom.2016.07.159.</v>
          </cell>
          <cell r="F145">
            <v>154</v>
          </cell>
          <cell r="G145">
            <v>17.5</v>
          </cell>
          <cell r="H145">
            <v>50.6</v>
          </cell>
          <cell r="I145">
            <v>8.5</v>
          </cell>
          <cell r="J145">
            <v>20.9</v>
          </cell>
          <cell r="K145"/>
          <cell r="L145">
            <v>2.5</v>
          </cell>
          <cell r="M145"/>
          <cell r="N145"/>
          <cell r="O145"/>
          <cell r="P145"/>
          <cell r="Q145"/>
          <cell r="R145"/>
          <cell r="S145"/>
          <cell r="T145"/>
          <cell r="U145"/>
          <cell r="V145"/>
          <cell r="W145"/>
          <cell r="X145"/>
          <cell r="Y145"/>
          <cell r="Z145"/>
          <cell r="AA145"/>
          <cell r="AB145"/>
          <cell r="AC145"/>
          <cell r="AD145"/>
          <cell r="AE145"/>
          <cell r="AF145">
            <v>7.9098329999999999</v>
          </cell>
          <cell r="AG145"/>
          <cell r="AH145"/>
          <cell r="AI145" t="str">
            <v>Co</v>
          </cell>
          <cell r="AJ145" t="str">
            <v>-8.5Al</v>
          </cell>
          <cell r="AK145" t="str">
            <v/>
          </cell>
          <cell r="AL145" t="str">
            <v>-50.6Ni</v>
          </cell>
          <cell r="AM145" t="str">
            <v>-20.9Cr</v>
          </cell>
          <cell r="AN145" t="str">
            <v/>
          </cell>
          <cell r="AO145" t="str">
            <v/>
          </cell>
          <cell r="AP145" t="str">
            <v/>
          </cell>
          <cell r="AQ145" t="str">
            <v>-2.5Ti</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cell r="BD145" t="str">
            <v/>
          </cell>
          <cell r="BE145" t="str">
            <v/>
          </cell>
          <cell r="BF145" t="str">
            <v/>
          </cell>
          <cell r="BG145" t="str">
            <v/>
          </cell>
          <cell r="BH145" t="str">
            <v>203cChristofidou, K. A. et al. The microstructure and hardness of Ni-Co-Al-Ti-Cr quinary alloys. J. Alloys Compd. (2016) doi:10.1016/j.jallcom.2016.07.159.</v>
          </cell>
          <cell r="BI145" t="str">
            <v>Co-50.6Ni-8.5Al-20.9Cr-2.5Ti</v>
          </cell>
          <cell r="BJ145" t="str">
            <v>68.1Co-50.6Ni-8.5Al-20.9Cr-2.5Ti</v>
          </cell>
        </row>
        <row r="146">
          <cell r="A146" t="str">
            <v>Co-29.Ni-12.1Al-0.Cr-5.8W-2.2Ti-2.7Ta-0.1B</v>
          </cell>
          <cell r="B146" t="str">
            <v>CoAlWX+</v>
          </cell>
          <cell r="C146" t="str">
            <v>-29Ni-12Al-0Cr-6W-2Ti-3Ta-B</v>
          </cell>
          <cell r="D146" t="str">
            <v>L24-0Cr</v>
          </cell>
          <cell r="E146" t="str">
            <v>Chung, D.-W. W. et al. Effects of Cr on the properties of multicomponent cobalt-based superalloys with ultra high γ′ volume fraction. J. Alloys Compd. 832, 154790 (2020).</v>
          </cell>
          <cell r="F146">
            <v>155</v>
          </cell>
          <cell r="G146">
            <v>48.1</v>
          </cell>
          <cell r="H146">
            <v>29</v>
          </cell>
          <cell r="I146">
            <v>12.1</v>
          </cell>
          <cell r="J146">
            <v>0</v>
          </cell>
          <cell r="K146">
            <v>5.8</v>
          </cell>
          <cell r="L146">
            <v>2.2400000000000002</v>
          </cell>
          <cell r="M146">
            <v>2.66</v>
          </cell>
          <cell r="N146"/>
          <cell r="O146"/>
          <cell r="P146"/>
          <cell r="Q146"/>
          <cell r="R146"/>
          <cell r="S146">
            <v>0.1</v>
          </cell>
          <cell r="T146"/>
          <cell r="U146"/>
          <cell r="V146"/>
          <cell r="W146"/>
          <cell r="X146"/>
          <cell r="Y146"/>
          <cell r="Z146"/>
          <cell r="AA146"/>
          <cell r="AB146"/>
          <cell r="AC146"/>
          <cell r="AD146"/>
          <cell r="AE146"/>
          <cell r="AF146">
            <v>8.8537268000000005</v>
          </cell>
          <cell r="AG146"/>
          <cell r="AH146" t="str">
            <v>EDS, except B</v>
          </cell>
          <cell r="AI146" t="str">
            <v>Co</v>
          </cell>
          <cell r="AJ146" t="str">
            <v>-12.1Al</v>
          </cell>
          <cell r="AK146" t="str">
            <v>-5.8W</v>
          </cell>
          <cell r="AL146" t="str">
            <v>-29.Ni</v>
          </cell>
          <cell r="AM146" t="str">
            <v>-0.Cr</v>
          </cell>
          <cell r="AN146" t="str">
            <v>-2.7Ta</v>
          </cell>
          <cell r="AO146" t="str">
            <v/>
          </cell>
          <cell r="AP146" t="str">
            <v/>
          </cell>
          <cell r="AQ146" t="str">
            <v>-2.2Ti</v>
          </cell>
          <cell r="AR146" t="str">
            <v/>
          </cell>
          <cell r="AS146" t="str">
            <v/>
          </cell>
          <cell r="AT146" t="str">
            <v/>
          </cell>
          <cell r="AU146" t="str">
            <v>-0.1B</v>
          </cell>
          <cell r="AV146" t="str">
            <v/>
          </cell>
          <cell r="AW146" t="str">
            <v/>
          </cell>
          <cell r="AX146" t="str">
            <v/>
          </cell>
          <cell r="AY146" t="str">
            <v/>
          </cell>
          <cell r="AZ146" t="str">
            <v/>
          </cell>
          <cell r="BA146" t="str">
            <v/>
          </cell>
          <cell r="BB146" t="str">
            <v/>
          </cell>
          <cell r="BC146" t="str">
            <v/>
          </cell>
          <cell r="BD146" t="str">
            <v/>
          </cell>
          <cell r="BE146" t="str">
            <v/>
          </cell>
          <cell r="BF146" t="str">
            <v/>
          </cell>
          <cell r="BG146" t="str">
            <v/>
          </cell>
          <cell r="BH146" t="str">
            <v>L24-0CrChung, D.-W. W. et al. Effects of Cr on the properties of multicomponent cobalt-based superalloys with ultra high γ′ volume fraction. J. Alloys Compd. 832, 154790 (2020).</v>
          </cell>
          <cell r="BI146" t="str">
            <v>Co-29.Ni-12.1Al-0.Cr-5.8W-2.2Ti-2.7Ta-0.1B</v>
          </cell>
          <cell r="BJ146" t="str">
            <v>77.1Co-29.0Ni-12.1Al-0.0Cr-5.8W-2.2Ti-2.7Ta-0.10B</v>
          </cell>
        </row>
        <row r="147">
          <cell r="A147" t="str">
            <v>Co-29.2Ni-11.1Al-4.1Cr-5.7W-2.Ti-2.3Ta-0.1B</v>
          </cell>
          <cell r="B147" t="str">
            <v>CoAlWX+</v>
          </cell>
          <cell r="C147" t="str">
            <v>-29Ni-11Al-4Cr-6W-2Ti-2Ta-B</v>
          </cell>
          <cell r="D147" t="str">
            <v>L24-4Cr</v>
          </cell>
          <cell r="E147" t="str">
            <v>Chung, D.-W. W. et al. Effects of Cr on the properties of multicomponent cobalt-based superalloys with ultra high γ′ volume fraction. J. Alloys Compd. 832, 154790 (2020).</v>
          </cell>
          <cell r="F147">
            <v>156</v>
          </cell>
          <cell r="G147">
            <v>45.5</v>
          </cell>
          <cell r="H147">
            <v>29.2</v>
          </cell>
          <cell r="I147">
            <v>11.1</v>
          </cell>
          <cell r="J147">
            <v>4.0999999999999996</v>
          </cell>
          <cell r="K147">
            <v>5.68</v>
          </cell>
          <cell r="L147">
            <v>2.04</v>
          </cell>
          <cell r="M147">
            <v>2.2799999999999998</v>
          </cell>
          <cell r="N147"/>
          <cell r="O147"/>
          <cell r="P147"/>
          <cell r="Q147"/>
          <cell r="R147"/>
          <cell r="S147">
            <v>0.1</v>
          </cell>
          <cell r="T147"/>
          <cell r="U147"/>
          <cell r="V147"/>
          <cell r="W147"/>
          <cell r="X147"/>
          <cell r="Y147"/>
          <cell r="Z147"/>
          <cell r="AA147"/>
          <cell r="AB147"/>
          <cell r="AC147"/>
          <cell r="AD147"/>
          <cell r="AE147"/>
          <cell r="AF147">
            <v>8.8125488000000001</v>
          </cell>
          <cell r="AG147"/>
          <cell r="AH147" t="str">
            <v>EDS, except B</v>
          </cell>
          <cell r="AI147" t="str">
            <v>Co</v>
          </cell>
          <cell r="AJ147" t="str">
            <v>-11.1Al</v>
          </cell>
          <cell r="AK147" t="str">
            <v>-5.7W</v>
          </cell>
          <cell r="AL147" t="str">
            <v>-29.2Ni</v>
          </cell>
          <cell r="AM147" t="str">
            <v>-4.1Cr</v>
          </cell>
          <cell r="AN147" t="str">
            <v>-2.3Ta</v>
          </cell>
          <cell r="AO147" t="str">
            <v/>
          </cell>
          <cell r="AP147" t="str">
            <v/>
          </cell>
          <cell r="AQ147" t="str">
            <v>-2.Ti</v>
          </cell>
          <cell r="AR147" t="str">
            <v/>
          </cell>
          <cell r="AS147" t="str">
            <v/>
          </cell>
          <cell r="AT147" t="str">
            <v/>
          </cell>
          <cell r="AU147" t="str">
            <v>-0.1B</v>
          </cell>
          <cell r="AV147" t="str">
            <v/>
          </cell>
          <cell r="AW147" t="str">
            <v/>
          </cell>
          <cell r="AX147" t="str">
            <v/>
          </cell>
          <cell r="AY147" t="str">
            <v/>
          </cell>
          <cell r="AZ147" t="str">
            <v/>
          </cell>
          <cell r="BA147" t="str">
            <v/>
          </cell>
          <cell r="BB147" t="str">
            <v/>
          </cell>
          <cell r="BC147" t="str">
            <v/>
          </cell>
          <cell r="BD147" t="str">
            <v/>
          </cell>
          <cell r="BE147" t="str">
            <v/>
          </cell>
          <cell r="BF147" t="str">
            <v/>
          </cell>
          <cell r="BG147" t="str">
            <v/>
          </cell>
          <cell r="BH147" t="str">
            <v>L24-4CrChung, D.-W. W. et al. Effects of Cr on the properties of multicomponent cobalt-based superalloys with ultra high γ′ volume fraction. J. Alloys Compd. 832, 154790 (2020).</v>
          </cell>
          <cell r="BI147" t="str">
            <v>Co-29.2Ni-11.1Al-4.1Cr-5.7W-2.Ti-2.3Ta-0.1B</v>
          </cell>
          <cell r="BJ147" t="str">
            <v>74.7Co-29.2Ni-11.1Al-4.1Cr-5.7W-2.0Ti-2.3Ta-0.10B</v>
          </cell>
        </row>
        <row r="148">
          <cell r="A148" t="str">
            <v>Co-28.9Ni-10.1Al-12.5Cr-5.1W-1.9Ti-2.3Ta-0.1B</v>
          </cell>
          <cell r="B148" t="str">
            <v>Co3Ti</v>
          </cell>
          <cell r="C148" t="str">
            <v>-29Ni-10Al-13Cr-5W-2Ti-2Ta-B</v>
          </cell>
          <cell r="D148" t="str">
            <v>L24-12Cr</v>
          </cell>
          <cell r="E148" t="str">
            <v>Chung, D.-W. W. et al. Effects of Cr on the properties of multicomponent cobalt-based superalloys with ultra high γ′ volume fraction. J. Alloys Compd. 832, 154790 (2020).</v>
          </cell>
          <cell r="F148">
            <v>157</v>
          </cell>
          <cell r="G148">
            <v>39.15</v>
          </cell>
          <cell r="H148">
            <v>28.9</v>
          </cell>
          <cell r="I148">
            <v>10.1</v>
          </cell>
          <cell r="J148">
            <v>12.5</v>
          </cell>
          <cell r="K148">
            <v>5.09</v>
          </cell>
          <cell r="L148">
            <v>1.86</v>
          </cell>
          <cell r="M148">
            <v>2.2999999999999998</v>
          </cell>
          <cell r="N148"/>
          <cell r="O148"/>
          <cell r="P148"/>
          <cell r="Q148"/>
          <cell r="R148"/>
          <cell r="S148">
            <v>0.1</v>
          </cell>
          <cell r="T148"/>
          <cell r="U148"/>
          <cell r="V148"/>
          <cell r="W148"/>
          <cell r="X148"/>
          <cell r="Y148"/>
          <cell r="Z148"/>
          <cell r="AA148"/>
          <cell r="AB148"/>
          <cell r="AC148"/>
          <cell r="AD148"/>
          <cell r="AE148"/>
          <cell r="AF148">
            <v>8.6792771999999996</v>
          </cell>
          <cell r="AG148"/>
          <cell r="AH148" t="str">
            <v>EDS, except B</v>
          </cell>
          <cell r="AI148" t="str">
            <v>Co</v>
          </cell>
          <cell r="AJ148" t="str">
            <v>-10.1Al</v>
          </cell>
          <cell r="AK148" t="str">
            <v>-5.1W</v>
          </cell>
          <cell r="AL148" t="str">
            <v>-28.9Ni</v>
          </cell>
          <cell r="AM148" t="str">
            <v>-12.5Cr</v>
          </cell>
          <cell r="AN148" t="str">
            <v>-2.3Ta</v>
          </cell>
          <cell r="AO148" t="str">
            <v/>
          </cell>
          <cell r="AP148" t="str">
            <v/>
          </cell>
          <cell r="AQ148" t="str">
            <v>-1.9Ti</v>
          </cell>
          <cell r="AR148" t="str">
            <v/>
          </cell>
          <cell r="AS148" t="str">
            <v/>
          </cell>
          <cell r="AT148" t="str">
            <v/>
          </cell>
          <cell r="AU148" t="str">
            <v>-0.1B</v>
          </cell>
          <cell r="AV148" t="str">
            <v/>
          </cell>
          <cell r="AW148" t="str">
            <v/>
          </cell>
          <cell r="AX148" t="str">
            <v/>
          </cell>
          <cell r="AY148" t="str">
            <v/>
          </cell>
          <cell r="AZ148" t="str">
            <v/>
          </cell>
          <cell r="BA148" t="str">
            <v/>
          </cell>
          <cell r="BB148" t="str">
            <v/>
          </cell>
          <cell r="BC148" t="str">
            <v/>
          </cell>
          <cell r="BD148" t="str">
            <v/>
          </cell>
          <cell r="BE148" t="str">
            <v/>
          </cell>
          <cell r="BF148" t="str">
            <v/>
          </cell>
          <cell r="BG148" t="str">
            <v/>
          </cell>
          <cell r="BH148" t="str">
            <v>L24-12CrChung, D.-W. W. et al. Effects of Cr on the properties of multicomponent cobalt-based superalloys with ultra high γ′ volume fraction. J. Alloys Compd. 832, 154790 (2020).</v>
          </cell>
          <cell r="BI148" t="str">
            <v>Co-28.9Ni-10.1Al-12.5Cr-5.1W-1.9Ti-2.3Ta-0.1B</v>
          </cell>
          <cell r="BJ148" t="str">
            <v>68.1Co-28.9Ni-10.1Al-12.5Cr-5.1W-1.9Ti-2.3Ta-0.10B</v>
          </cell>
        </row>
        <row r="149">
          <cell r="A149" t="str">
            <v>Co-29.5Ni-10.5Al-8.Cr-5.1W-1.9Ti-2.7Ta-0.1B</v>
          </cell>
          <cell r="B149" t="str">
            <v>Co3Ti</v>
          </cell>
          <cell r="C149" t="str">
            <v>-30Ni-11Al-8Cr-5W-2Ti-3Ta-B</v>
          </cell>
          <cell r="D149" t="str">
            <v>L24-8Cr</v>
          </cell>
          <cell r="E149" t="str">
            <v>Chung, D.-W. W. et al. Effects of Cr on the properties of multicomponent cobalt-based superalloys with ultra high γ′ volume fraction. J. Alloys Compd. 832, 154790 (2020).</v>
          </cell>
          <cell r="F149">
            <v>158</v>
          </cell>
          <cell r="G149">
            <v>42.2</v>
          </cell>
          <cell r="H149">
            <v>29.5</v>
          </cell>
          <cell r="I149">
            <v>10.5</v>
          </cell>
          <cell r="J149">
            <v>8.02</v>
          </cell>
          <cell r="K149">
            <v>5.14</v>
          </cell>
          <cell r="L149">
            <v>1.85</v>
          </cell>
          <cell r="M149">
            <v>2.69</v>
          </cell>
          <cell r="N149"/>
          <cell r="O149"/>
          <cell r="P149"/>
          <cell r="Q149"/>
          <cell r="R149"/>
          <cell r="S149">
            <v>0.1</v>
          </cell>
          <cell r="T149"/>
          <cell r="U149"/>
          <cell r="V149"/>
          <cell r="W149"/>
          <cell r="X149"/>
          <cell r="Y149"/>
          <cell r="Z149"/>
          <cell r="AA149"/>
          <cell r="AB149"/>
          <cell r="AC149"/>
          <cell r="AD149"/>
          <cell r="AE149"/>
          <cell r="AF149">
            <v>8.7669725000000014</v>
          </cell>
          <cell r="AG149"/>
          <cell r="AH149" t="str">
            <v>EDS, except B</v>
          </cell>
          <cell r="AI149" t="str">
            <v>Co</v>
          </cell>
          <cell r="AJ149" t="str">
            <v>-10.5Al</v>
          </cell>
          <cell r="AK149" t="str">
            <v>-5.1W</v>
          </cell>
          <cell r="AL149" t="str">
            <v>-29.5Ni</v>
          </cell>
          <cell r="AM149" t="str">
            <v>-8.Cr</v>
          </cell>
          <cell r="AN149" t="str">
            <v>-2.7Ta</v>
          </cell>
          <cell r="AO149" t="str">
            <v/>
          </cell>
          <cell r="AP149" t="str">
            <v/>
          </cell>
          <cell r="AQ149" t="str">
            <v>-1.9Ti</v>
          </cell>
          <cell r="AR149" t="str">
            <v/>
          </cell>
          <cell r="AS149" t="str">
            <v/>
          </cell>
          <cell r="AT149" t="str">
            <v/>
          </cell>
          <cell r="AU149" t="str">
            <v>-0.1B</v>
          </cell>
          <cell r="AV149" t="str">
            <v/>
          </cell>
          <cell r="AW149" t="str">
            <v/>
          </cell>
          <cell r="AX149" t="str">
            <v/>
          </cell>
          <cell r="AY149" t="str">
            <v/>
          </cell>
          <cell r="AZ149" t="str">
            <v/>
          </cell>
          <cell r="BA149" t="str">
            <v/>
          </cell>
          <cell r="BB149" t="str">
            <v/>
          </cell>
          <cell r="BC149" t="str">
            <v/>
          </cell>
          <cell r="BD149" t="str">
            <v/>
          </cell>
          <cell r="BE149" t="str">
            <v/>
          </cell>
          <cell r="BF149" t="str">
            <v/>
          </cell>
          <cell r="BG149" t="str">
            <v/>
          </cell>
          <cell r="BH149" t="str">
            <v>L24-8CrChung, D.-W. W. et al. Effects of Cr on the properties of multicomponent cobalt-based superalloys with ultra high γ′ volume fraction. J. Alloys Compd. 832, 154790 (2020).</v>
          </cell>
          <cell r="BI149" t="str">
            <v>Co-29.5Ni-10.5Al-8.Cr-5.1W-1.9Ti-2.7Ta-0.1B</v>
          </cell>
          <cell r="BJ149" t="str">
            <v>71.7Co-29.5Ni-10.5Al-8.0Cr-5.1W-1.9Ti-2.7Ta-0.10B</v>
          </cell>
        </row>
        <row r="150">
          <cell r="A150" t="str">
            <v>Co-28.8Ni-6.2Al-2.W-1.8Ti-0.9Ta-1.8Nb-2.7Mo</v>
          </cell>
          <cell r="B150" t="str">
            <v>Low-W</v>
          </cell>
          <cell r="C150" t="str">
            <v>-29Ni-6Al-2W-2Ti-1Ta-2Nb-3Mo</v>
          </cell>
          <cell r="D150" t="str">
            <v>L19C</v>
          </cell>
          <cell r="E150" t="str">
            <v>Coakley, J. et al. Rafting and elastoplastic deformation of superalloys studied by neutron diffraction. Scr. Mater. 134, 110–114 (2017).</v>
          </cell>
          <cell r="F150">
            <v>160</v>
          </cell>
          <cell r="G150">
            <v>55.800000000000004</v>
          </cell>
          <cell r="H150">
            <v>28.8</v>
          </cell>
          <cell r="I150">
            <v>6.2</v>
          </cell>
          <cell r="J150"/>
          <cell r="K150">
            <v>2</v>
          </cell>
          <cell r="L150">
            <v>1.8</v>
          </cell>
          <cell r="M150">
            <v>0.9</v>
          </cell>
          <cell r="N150">
            <v>1.8</v>
          </cell>
          <cell r="O150"/>
          <cell r="P150">
            <v>2.7</v>
          </cell>
          <cell r="Q150"/>
          <cell r="R150"/>
          <cell r="S150"/>
          <cell r="T150"/>
          <cell r="U150"/>
          <cell r="V150"/>
          <cell r="W150"/>
          <cell r="X150"/>
          <cell r="Y150"/>
          <cell r="Z150"/>
          <cell r="AA150"/>
          <cell r="AB150"/>
          <cell r="AC150"/>
          <cell r="AD150"/>
          <cell r="AE150"/>
          <cell r="AF150">
            <v>8.7469000000000001</v>
          </cell>
          <cell r="AG150"/>
          <cell r="AH150"/>
          <cell r="AI150" t="str">
            <v>Co</v>
          </cell>
          <cell r="AJ150" t="str">
            <v>-6.2Al</v>
          </cell>
          <cell r="AK150" t="str">
            <v>-2.W</v>
          </cell>
          <cell r="AL150" t="str">
            <v>-28.8Ni</v>
          </cell>
          <cell r="AM150" t="str">
            <v/>
          </cell>
          <cell r="AN150" t="str">
            <v>-0.9Ta</v>
          </cell>
          <cell r="AO150" t="str">
            <v>-1.8Nb</v>
          </cell>
          <cell r="AP150" t="str">
            <v/>
          </cell>
          <cell r="AQ150" t="str">
            <v>-1.8Ti</v>
          </cell>
          <cell r="AR150" t="str">
            <v>-2.7Mo</v>
          </cell>
          <cell r="AS150" t="str">
            <v/>
          </cell>
          <cell r="AT150" t="str">
            <v/>
          </cell>
          <cell r="AU150" t="str">
            <v/>
          </cell>
          <cell r="AV150" t="str">
            <v/>
          </cell>
          <cell r="AW150" t="str">
            <v/>
          </cell>
          <cell r="AX150" t="str">
            <v/>
          </cell>
          <cell r="AY150" t="str">
            <v/>
          </cell>
          <cell r="AZ150" t="str">
            <v/>
          </cell>
          <cell r="BA150" t="str">
            <v/>
          </cell>
          <cell r="BB150" t="str">
            <v/>
          </cell>
          <cell r="BC150" t="str">
            <v/>
          </cell>
          <cell r="BD150" t="str">
            <v/>
          </cell>
          <cell r="BE150" t="str">
            <v/>
          </cell>
          <cell r="BF150" t="str">
            <v/>
          </cell>
          <cell r="BG150" t="str">
            <v/>
          </cell>
          <cell r="BH150" t="str">
            <v>L19CCoakley, J. et al. Rafting and elastoplastic deformation of superalloys studied by neutron diffraction. Scr. Mater. 134, 110–114 (2017).</v>
          </cell>
          <cell r="BI150" t="str">
            <v>Co-28.8Ni-6.2Al-2.W-1.8Ti-0.9Ta-1.8Nb-2.7Mo</v>
          </cell>
          <cell r="BJ150" t="str">
            <v>84.6Co-28.8Ni-6.2Al-2.0W-1.8Ti-0.9Ta-1.8Nb-2.7Mo</v>
          </cell>
        </row>
        <row r="151">
          <cell r="A151" t="str">
            <v>Co-8.Al-8.W</v>
          </cell>
          <cell r="B151" t="str">
            <v>CoAlW-X</v>
          </cell>
          <cell r="C151" t="str">
            <v>-8Al-8W</v>
          </cell>
          <cell r="D151" t="str">
            <v>Co8-8</v>
          </cell>
          <cell r="E151" t="str">
            <v>Cordero, C.- &amp; Marta. Mechanical Behaviour of Novel Sintered Co-Al-W Alloys at High Temperatures.</v>
          </cell>
          <cell r="F151">
            <v>161</v>
          </cell>
          <cell r="G151">
            <v>84</v>
          </cell>
          <cell r="H151"/>
          <cell r="I151">
            <v>8</v>
          </cell>
          <cell r="J151"/>
          <cell r="K151">
            <v>8</v>
          </cell>
          <cell r="L151"/>
          <cell r="M151"/>
          <cell r="N151"/>
          <cell r="O151"/>
          <cell r="P151"/>
          <cell r="Q151"/>
          <cell r="R151"/>
          <cell r="S151"/>
          <cell r="T151"/>
          <cell r="U151"/>
          <cell r="V151"/>
          <cell r="W151"/>
          <cell r="X151"/>
          <cell r="Y151"/>
          <cell r="Z151"/>
          <cell r="AA151"/>
          <cell r="AB151"/>
          <cell r="AC151"/>
          <cell r="AD151"/>
          <cell r="AE151"/>
          <cell r="AF151">
            <v>9.2320000000000011</v>
          </cell>
          <cell r="AG151"/>
          <cell r="AH151" t="str">
            <v>power metallurgy, no g' formed</v>
          </cell>
          <cell r="AI151" t="str">
            <v>Co</v>
          </cell>
          <cell r="AJ151" t="str">
            <v>-8.Al</v>
          </cell>
          <cell r="AK151" t="str">
            <v>-8.W</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cell r="BD151" t="str">
            <v/>
          </cell>
          <cell r="BE151" t="str">
            <v/>
          </cell>
          <cell r="BF151" t="str">
            <v/>
          </cell>
          <cell r="BG151" t="str">
            <v/>
          </cell>
          <cell r="BH151" t="str">
            <v>Co8-8Cordero, C.- &amp; Marta. Mechanical Behaviour of Novel Sintered Co-Al-W Alloys at High Temperatures.</v>
          </cell>
          <cell r="BI151" t="str">
            <v>Co-8.Al-8.W</v>
          </cell>
          <cell r="BJ151" t="str">
            <v>84.0Co-8.0Al-8.0W</v>
          </cell>
        </row>
        <row r="152">
          <cell r="A152" t="str">
            <v>Co-40.Ni-10.Al-10.Cr-7.5W-3.Ta-0.06C-0.06B</v>
          </cell>
          <cell r="B152" t="str">
            <v>CoAlWX+</v>
          </cell>
          <cell r="C152" t="str">
            <v>-40Ni-10Al-10Cr-8W-3Ta-C-B</v>
          </cell>
          <cell r="D152" t="str">
            <v>3Ta</v>
          </cell>
          <cell r="E152" t="str">
            <v>Costa, A. M. S. et al. Effect of Ta and Nb additions in arc-melted Co-Ni-based superalloys: Microstructural and mechanical properties. Mater. Sci. Eng. A 730, 66–72 (2018)</v>
          </cell>
          <cell r="F152">
            <v>163</v>
          </cell>
          <cell r="G152">
            <v>29.379999999999995</v>
          </cell>
          <cell r="H152">
            <v>40</v>
          </cell>
          <cell r="I152">
            <v>10</v>
          </cell>
          <cell r="J152">
            <v>10</v>
          </cell>
          <cell r="K152">
            <v>7.5</v>
          </cell>
          <cell r="L152"/>
          <cell r="M152">
            <v>3</v>
          </cell>
          <cell r="N152"/>
          <cell r="O152"/>
          <cell r="P152"/>
          <cell r="Q152">
            <v>0.06</v>
          </cell>
          <cell r="R152"/>
          <cell r="S152">
            <v>0.06</v>
          </cell>
          <cell r="T152"/>
          <cell r="U152"/>
          <cell r="V152"/>
          <cell r="W152"/>
          <cell r="X152"/>
          <cell r="Y152"/>
          <cell r="Z152"/>
          <cell r="AA152"/>
          <cell r="AB152"/>
          <cell r="AC152"/>
          <cell r="AD152"/>
          <cell r="AE152"/>
          <cell r="AF152">
            <v>9.1131019999999996</v>
          </cell>
          <cell r="AG152"/>
          <cell r="AH152"/>
          <cell r="AI152" t="str">
            <v>Co</v>
          </cell>
          <cell r="AJ152" t="str">
            <v>-10.Al</v>
          </cell>
          <cell r="AK152" t="str">
            <v>-7.5W</v>
          </cell>
          <cell r="AL152" t="str">
            <v>-40.Ni</v>
          </cell>
          <cell r="AM152" t="str">
            <v>-10.Cr</v>
          </cell>
          <cell r="AN152" t="str">
            <v>-3.Ta</v>
          </cell>
          <cell r="AO152" t="str">
            <v/>
          </cell>
          <cell r="AP152" t="str">
            <v/>
          </cell>
          <cell r="AQ152" t="str">
            <v/>
          </cell>
          <cell r="AR152" t="str">
            <v/>
          </cell>
          <cell r="AS152" t="str">
            <v>-0.06C</v>
          </cell>
          <cell r="AT152" t="str">
            <v/>
          </cell>
          <cell r="AU152" t="str">
            <v>-0.06B</v>
          </cell>
          <cell r="AV152" t="str">
            <v/>
          </cell>
          <cell r="AW152" t="str">
            <v/>
          </cell>
          <cell r="AX152" t="str">
            <v/>
          </cell>
          <cell r="AY152" t="str">
            <v/>
          </cell>
          <cell r="AZ152" t="str">
            <v/>
          </cell>
          <cell r="BA152" t="str">
            <v/>
          </cell>
          <cell r="BB152" t="str">
            <v/>
          </cell>
          <cell r="BC152" t="str">
            <v/>
          </cell>
          <cell r="BD152" t="str">
            <v/>
          </cell>
          <cell r="BE152" t="str">
            <v/>
          </cell>
          <cell r="BF152" t="str">
            <v/>
          </cell>
          <cell r="BG152" t="str">
            <v/>
          </cell>
          <cell r="BH152" t="str">
            <v>3TaCosta, A. M. S. et al. Effect of Ta and Nb additions in arc-melted Co-Ni-based superalloys: Microstructural and mechanical properties. Mater. Sci. Eng. A 730, 66–72 (2018)</v>
          </cell>
          <cell r="BI152" t="str">
            <v>Co-40.Ni-10.Al-10.Cr-7.5W-3.Ta-0.06C-0.06B</v>
          </cell>
          <cell r="BJ152" t="str">
            <v>69.4Co-40.0Ni-10.0Al-10.0Cr-7.5W-3.0Ta-0.06C-0.06B</v>
          </cell>
        </row>
        <row r="153">
          <cell r="A153" t="str">
            <v>Co-40.Ni-10.Al-10.Cr-7.5W-3.Nb-0.06C-0.06B</v>
          </cell>
          <cell r="B153" t="str">
            <v>CoAlWX+</v>
          </cell>
          <cell r="C153" t="str">
            <v>-40Ni-10Al-10Cr-8W-3Nb-C-B</v>
          </cell>
          <cell r="D153" t="str">
            <v>3Nb</v>
          </cell>
          <cell r="E153" t="str">
            <v>Costa, A. M. S. et al. Effect of Ta and Nb additions in arc-melted Co-Ni-based superalloys: Microstructural and mechanical properties. Mater. Sci. Eng. A 730, 66–72 (2018)</v>
          </cell>
          <cell r="F153">
            <v>164</v>
          </cell>
          <cell r="G153">
            <v>29.379999999999995</v>
          </cell>
          <cell r="H153">
            <v>40</v>
          </cell>
          <cell r="I153">
            <v>10</v>
          </cell>
          <cell r="J153">
            <v>10</v>
          </cell>
          <cell r="K153">
            <v>7.5</v>
          </cell>
          <cell r="L153"/>
          <cell r="M153"/>
          <cell r="N153">
            <v>3</v>
          </cell>
          <cell r="O153"/>
          <cell r="P153"/>
          <cell r="Q153">
            <v>0.06</v>
          </cell>
          <cell r="R153"/>
          <cell r="S153">
            <v>0.06</v>
          </cell>
          <cell r="T153"/>
          <cell r="U153"/>
          <cell r="V153"/>
          <cell r="W153"/>
          <cell r="X153"/>
          <cell r="Y153"/>
          <cell r="Z153"/>
          <cell r="AA153"/>
          <cell r="AB153"/>
          <cell r="AC153"/>
          <cell r="AD153"/>
          <cell r="AE153"/>
          <cell r="AF153">
            <v>8.8707019999999996</v>
          </cell>
          <cell r="AG153"/>
          <cell r="AH153"/>
          <cell r="AI153" t="str">
            <v>Co</v>
          </cell>
          <cell r="AJ153" t="str">
            <v>-10.Al</v>
          </cell>
          <cell r="AK153" t="str">
            <v>-7.5W</v>
          </cell>
          <cell r="AL153" t="str">
            <v>-40.Ni</v>
          </cell>
          <cell r="AM153" t="str">
            <v>-10.Cr</v>
          </cell>
          <cell r="AN153" t="str">
            <v/>
          </cell>
          <cell r="AO153" t="str">
            <v>-3.Nb</v>
          </cell>
          <cell r="AP153" t="str">
            <v/>
          </cell>
          <cell r="AQ153" t="str">
            <v/>
          </cell>
          <cell r="AR153" t="str">
            <v/>
          </cell>
          <cell r="AS153" t="str">
            <v>-0.06C</v>
          </cell>
          <cell r="AT153" t="str">
            <v/>
          </cell>
          <cell r="AU153" t="str">
            <v>-0.06B</v>
          </cell>
          <cell r="AV153" t="str">
            <v/>
          </cell>
          <cell r="AW153" t="str">
            <v/>
          </cell>
          <cell r="AX153" t="str">
            <v/>
          </cell>
          <cell r="AY153" t="str">
            <v/>
          </cell>
          <cell r="AZ153" t="str">
            <v/>
          </cell>
          <cell r="BA153" t="str">
            <v/>
          </cell>
          <cell r="BB153" t="str">
            <v/>
          </cell>
          <cell r="BC153" t="str">
            <v/>
          </cell>
          <cell r="BD153" t="str">
            <v/>
          </cell>
          <cell r="BE153" t="str">
            <v/>
          </cell>
          <cell r="BF153" t="str">
            <v/>
          </cell>
          <cell r="BG153" t="str">
            <v/>
          </cell>
          <cell r="BH153" t="str">
            <v>3NbCosta, A. M. S. et al. Effect of Ta and Nb additions in arc-melted Co-Ni-based superalloys: Microstructural and mechanical properties. Mater. Sci. Eng. A 730, 66–72 (2018)</v>
          </cell>
          <cell r="BI153" t="str">
            <v>Co-40.Ni-10.Al-10.Cr-7.5W-3.Nb-0.06C-0.06B</v>
          </cell>
          <cell r="BJ153" t="str">
            <v>69.4Co-40.0Ni-10.0Al-10.0Cr-7.5W-3.0Nb-0.06C-0.06B</v>
          </cell>
        </row>
        <row r="154">
          <cell r="A154" t="str">
            <v>Co-6.8Al-8.9W-4.3V</v>
          </cell>
          <cell r="B154" t="str">
            <v>CoAlW-X</v>
          </cell>
          <cell r="C154" t="str">
            <v>-7Al-9W-4V</v>
          </cell>
          <cell r="D154" t="str">
            <v>60-6.7Al-8.9W-4.1Ti</v>
          </cell>
          <cell r="E154" t="str">
            <v>Ding, X. F., Mi, T., Xue, F., Zhou, H. J. &amp; Wang, M. L. Microstructure formation in γ-γ′ Co-Al-W-Ti alloys during directional solidification. J. Alloys Compd. 599, 159–163 (2014).</v>
          </cell>
          <cell r="F154">
            <v>165</v>
          </cell>
          <cell r="G154">
            <v>80.06</v>
          </cell>
          <cell r="H154"/>
          <cell r="I154">
            <v>6.76</v>
          </cell>
          <cell r="J154"/>
          <cell r="K154">
            <v>8.89</v>
          </cell>
          <cell r="L154"/>
          <cell r="M154"/>
          <cell r="N154"/>
          <cell r="O154">
            <v>4.29</v>
          </cell>
          <cell r="P154"/>
          <cell r="Q154"/>
          <cell r="R154"/>
          <cell r="S154"/>
          <cell r="T154"/>
          <cell r="U154"/>
          <cell r="V154"/>
          <cell r="W154"/>
          <cell r="X154"/>
          <cell r="Y154"/>
          <cell r="Z154"/>
          <cell r="AA154"/>
          <cell r="AB154"/>
          <cell r="AC154"/>
          <cell r="AD154"/>
          <cell r="AE154"/>
          <cell r="AF154">
            <v>9.2813040000000004</v>
          </cell>
          <cell r="AG154"/>
          <cell r="AH154"/>
          <cell r="AI154" t="str">
            <v>Co</v>
          </cell>
          <cell r="AJ154" t="str">
            <v>-6.8Al</v>
          </cell>
          <cell r="AK154" t="str">
            <v>-8.9W</v>
          </cell>
          <cell r="AL154" t="str">
            <v/>
          </cell>
          <cell r="AM154" t="str">
            <v/>
          </cell>
          <cell r="AN154" t="str">
            <v/>
          </cell>
          <cell r="AO154" t="str">
            <v/>
          </cell>
          <cell r="AP154" t="str">
            <v>-4.3V</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cell r="BD154" t="str">
            <v/>
          </cell>
          <cell r="BE154" t="str">
            <v/>
          </cell>
          <cell r="BF154" t="str">
            <v/>
          </cell>
          <cell r="BG154" t="str">
            <v/>
          </cell>
          <cell r="BH154" t="str">
            <v>60-6.7Al-8.9W-4.1TiDing, X. F., Mi, T., Xue, F., Zhou, H. J. &amp; Wang, M. L. Microstructure formation in γ-γ′ Co-Al-W-Ti alloys during directional solidification. J. Alloys Compd. 599, 159–163 (2014).</v>
          </cell>
          <cell r="BI154" t="str">
            <v>Co-6.8Al-8.9W-4.3V</v>
          </cell>
          <cell r="BJ154" t="str">
            <v>80.1Co-6.8Al-8.9W-4.3V</v>
          </cell>
        </row>
        <row r="155">
          <cell r="A155" t="str">
            <v>Co-9.7Al-10.8W</v>
          </cell>
          <cell r="B155" t="str">
            <v>CoAlW-X</v>
          </cell>
          <cell r="C155" t="str">
            <v>-10Al-11W</v>
          </cell>
          <cell r="D155" t="str">
            <v>Co-9.7Al-10.8W</v>
          </cell>
          <cell r="E155" t="str">
            <v>Dunand, D. C. et al. ‘Designing Nanoscale Precipitates in Novel Cobalt-based Superalloys to Improve Creep Resistance and Operating Temperature’ Final Technical Report. (2010).</v>
          </cell>
          <cell r="F155">
            <v>166</v>
          </cell>
          <cell r="G155">
            <v>79.5</v>
          </cell>
          <cell r="H155"/>
          <cell r="I155">
            <v>9.6999999999999993</v>
          </cell>
          <cell r="J155"/>
          <cell r="K155">
            <v>10.8</v>
          </cell>
          <cell r="L155"/>
          <cell r="M155"/>
          <cell r="N155"/>
          <cell r="O155"/>
          <cell r="P155"/>
          <cell r="Q155"/>
          <cell r="R155"/>
          <cell r="S155"/>
          <cell r="T155"/>
          <cell r="U155"/>
          <cell r="V155"/>
          <cell r="W155"/>
          <cell r="X155"/>
          <cell r="Y155"/>
          <cell r="Z155"/>
          <cell r="AA155"/>
          <cell r="AB155"/>
          <cell r="AC155"/>
          <cell r="AD155"/>
          <cell r="AE155"/>
          <cell r="AF155">
            <v>9.4164000000000012</v>
          </cell>
          <cell r="AG155"/>
          <cell r="AH155"/>
          <cell r="AI155" t="str">
            <v>Co</v>
          </cell>
          <cell r="AJ155" t="str">
            <v>-9.7Al</v>
          </cell>
          <cell r="AK155" t="str">
            <v>-10.8W</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cell r="BD155" t="str">
            <v/>
          </cell>
          <cell r="BE155" t="str">
            <v/>
          </cell>
          <cell r="BF155" t="str">
            <v/>
          </cell>
          <cell r="BG155" t="str">
            <v/>
          </cell>
          <cell r="BH155" t="str">
            <v>Co-9.7Al-10.8WDunand, D. C. et al. ‘Designing Nanoscale Precipitates in Novel Cobalt-based Superalloys to Improve Creep Resistance and Operating Temperature’ Final Technical Report. (2010).</v>
          </cell>
          <cell r="BI155" t="str">
            <v>Co-9.7Al-10.8W</v>
          </cell>
          <cell r="BJ155" t="str">
            <v>79.5Co-9.7Al-10.8W</v>
          </cell>
        </row>
        <row r="156">
          <cell r="A156" t="str">
            <v>Co-29.2Ni-9.8Al-6.4Cr-6.3W-2.4Ta</v>
          </cell>
          <cell r="B156" t="str">
            <v>CoAlWX+</v>
          </cell>
          <cell r="C156" t="str">
            <v>-29Ni-10Al-6Cr-6W-2Ta</v>
          </cell>
          <cell r="D156" t="str">
            <v>CoNi-A</v>
          </cell>
          <cell r="E156" t="str">
            <v>Eggeler, Y. M. et al. Planar defect formation in the γ’ phase during high temperature creep in single crystal CoNi-base superalloys. Acta Mater. 113, 335–349 (2016).</v>
          </cell>
          <cell r="F156">
            <v>167</v>
          </cell>
          <cell r="G156">
            <v>45.900000000000006</v>
          </cell>
          <cell r="H156">
            <v>29.2</v>
          </cell>
          <cell r="I156">
            <v>9.8000000000000007</v>
          </cell>
          <cell r="J156">
            <v>6.4</v>
          </cell>
          <cell r="K156">
            <v>6.3</v>
          </cell>
          <cell r="L156"/>
          <cell r="M156">
            <v>2.4</v>
          </cell>
          <cell r="N156"/>
          <cell r="O156"/>
          <cell r="P156"/>
          <cell r="Q156"/>
          <cell r="R156"/>
          <cell r="S156"/>
          <cell r="T156"/>
          <cell r="U156"/>
          <cell r="V156"/>
          <cell r="W156"/>
          <cell r="X156"/>
          <cell r="Y156"/>
          <cell r="Z156"/>
          <cell r="AA156"/>
          <cell r="AB156"/>
          <cell r="AC156"/>
          <cell r="AD156"/>
          <cell r="AE156"/>
          <cell r="AF156">
            <v>9.0233460000000001</v>
          </cell>
          <cell r="AG156"/>
          <cell r="AH156"/>
          <cell r="AI156" t="str">
            <v>Co</v>
          </cell>
          <cell r="AJ156" t="str">
            <v>-9.8Al</v>
          </cell>
          <cell r="AK156" t="str">
            <v>-6.3W</v>
          </cell>
          <cell r="AL156" t="str">
            <v>-29.2Ni</v>
          </cell>
          <cell r="AM156" t="str">
            <v>-6.4Cr</v>
          </cell>
          <cell r="AN156" t="str">
            <v>-2.4Ta</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cell r="BD156" t="str">
            <v/>
          </cell>
          <cell r="BE156" t="str">
            <v/>
          </cell>
          <cell r="BF156" t="str">
            <v/>
          </cell>
          <cell r="BG156" t="str">
            <v/>
          </cell>
          <cell r="BH156" t="str">
            <v>CoNi-AEggeler, Y. M. et al. Planar defect formation in the γ’ phase during high temperature creep in single crystal CoNi-base superalloys. Acta Mater. 113, 335–349 (2016).</v>
          </cell>
          <cell r="BI156" t="str">
            <v>Co-29.2Ni-9.8Al-6.4Cr-6.3W-2.4Ta</v>
          </cell>
          <cell r="BJ156" t="str">
            <v>75.1Co-29.2Ni-9.8Al-6.4Cr-6.3W-2.4Ta</v>
          </cell>
        </row>
        <row r="157">
          <cell r="A157" t="str">
            <v>Co-8.8Al-7.6W-1.9Ta</v>
          </cell>
          <cell r="B157" t="str">
            <v>CoAlW-X</v>
          </cell>
          <cell r="C157" t="str">
            <v>-9Al-8W-2Ta</v>
          </cell>
          <cell r="D157" t="str">
            <v>alloy2</v>
          </cell>
          <cell r="E157" t="str">
            <v>Epishin, A. et al. Interdiffusion in the Face-Centered Cubic Phase of the Co-Al-W-Ta System Between 1090 and 1240 °C. J. Phase Equilibria Diffus. 39, 176–185 (2018)</v>
          </cell>
          <cell r="F157">
            <v>168</v>
          </cell>
          <cell r="G157">
            <v>81.8</v>
          </cell>
          <cell r="H157"/>
          <cell r="I157">
            <v>8.75</v>
          </cell>
          <cell r="J157"/>
          <cell r="K157">
            <v>7.56</v>
          </cell>
          <cell r="L157"/>
          <cell r="M157">
            <v>1.89</v>
          </cell>
          <cell r="N157"/>
          <cell r="O157"/>
          <cell r="P157"/>
          <cell r="Q157"/>
          <cell r="R157"/>
          <cell r="S157"/>
          <cell r="T157"/>
          <cell r="U157"/>
          <cell r="V157"/>
          <cell r="W157"/>
          <cell r="X157"/>
          <cell r="Y157"/>
          <cell r="Z157"/>
          <cell r="AA157"/>
          <cell r="AB157"/>
          <cell r="AC157"/>
          <cell r="AD157"/>
          <cell r="AE157"/>
          <cell r="AF157">
            <v>9.2864349999999991</v>
          </cell>
          <cell r="AG157"/>
          <cell r="AH157" t="str">
            <v>20 EMPA averages</v>
          </cell>
          <cell r="AI157" t="str">
            <v>Co</v>
          </cell>
          <cell r="AJ157" t="str">
            <v>-8.8Al</v>
          </cell>
          <cell r="AK157" t="str">
            <v>-7.6W</v>
          </cell>
          <cell r="AL157" t="str">
            <v/>
          </cell>
          <cell r="AM157" t="str">
            <v/>
          </cell>
          <cell r="AN157" t="str">
            <v>-1.9Ta</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cell r="BD157" t="str">
            <v/>
          </cell>
          <cell r="BE157" t="str">
            <v/>
          </cell>
          <cell r="BF157" t="str">
            <v/>
          </cell>
          <cell r="BG157" t="str">
            <v/>
          </cell>
          <cell r="BH157" t="str">
            <v>alloy2Epishin, A. et al. Interdiffusion in the Face-Centered Cubic Phase of the Co-Al-W-Ta System Between 1090 and 1240 °C. J. Phase Equilibria Diffus. 39, 176–185 (2018)</v>
          </cell>
          <cell r="BI157" t="str">
            <v>Co-8.8Al-7.6W-1.9Ta</v>
          </cell>
          <cell r="BJ157" t="str">
            <v>81.8Co-8.8Al-7.6W-1.9Ta</v>
          </cell>
        </row>
        <row r="158">
          <cell r="A158" t="str">
            <v>Co-15.9Ni-13.6Al-19.W-0.7Ta-0.6Mo-0.3Re</v>
          </cell>
          <cell r="B158" t="str">
            <v>CoAlWX+</v>
          </cell>
          <cell r="C158" t="str">
            <v>-16Ni-14Al-19W-1Ta-1Mo-0Re</v>
          </cell>
          <cell r="D158" t="str">
            <v>alloy1</v>
          </cell>
          <cell r="E158" t="str">
            <v>Epishin, A. I. et al. Thermal stability of the structure of a heat-resistant cobalt alloy hardened with intermetallic γ’-phase precipitates. Russ. Metall. 2016, 286–291 (2016).</v>
          </cell>
          <cell r="F158">
            <v>169</v>
          </cell>
          <cell r="G158">
            <v>49.9</v>
          </cell>
          <cell r="H158">
            <v>15.9</v>
          </cell>
          <cell r="I158">
            <v>13.6</v>
          </cell>
          <cell r="J158"/>
          <cell r="K158">
            <v>19</v>
          </cell>
          <cell r="L158"/>
          <cell r="M158">
            <v>0.7</v>
          </cell>
          <cell r="N158"/>
          <cell r="O158"/>
          <cell r="P158">
            <v>0.6</v>
          </cell>
          <cell r="Q158"/>
          <cell r="R158"/>
          <cell r="S158"/>
          <cell r="T158"/>
          <cell r="U158">
            <v>0.3</v>
          </cell>
          <cell r="V158"/>
          <cell r="W158"/>
          <cell r="X158"/>
          <cell r="Y158"/>
          <cell r="Z158"/>
          <cell r="AA158"/>
          <cell r="AB158"/>
          <cell r="AC158"/>
          <cell r="AD158"/>
          <cell r="AE158"/>
          <cell r="AF158">
            <v>10.123462</v>
          </cell>
          <cell r="AG158"/>
          <cell r="AH158" t="str">
            <v>Nominal</v>
          </cell>
          <cell r="AI158" t="str">
            <v>Co</v>
          </cell>
          <cell r="AJ158" t="str">
            <v>-13.6Al</v>
          </cell>
          <cell r="AK158" t="str">
            <v>-19.W</v>
          </cell>
          <cell r="AL158" t="str">
            <v>-15.9Ni</v>
          </cell>
          <cell r="AM158" t="str">
            <v/>
          </cell>
          <cell r="AN158" t="str">
            <v>-0.7Ta</v>
          </cell>
          <cell r="AO158" t="str">
            <v/>
          </cell>
          <cell r="AP158" t="str">
            <v/>
          </cell>
          <cell r="AQ158" t="str">
            <v/>
          </cell>
          <cell r="AR158" t="str">
            <v>-0.6Mo</v>
          </cell>
          <cell r="AS158" t="str">
            <v/>
          </cell>
          <cell r="AT158" t="str">
            <v/>
          </cell>
          <cell r="AU158" t="str">
            <v/>
          </cell>
          <cell r="AV158" t="str">
            <v/>
          </cell>
          <cell r="AW158" t="str">
            <v>-0.3Re</v>
          </cell>
          <cell r="AX158" t="str">
            <v/>
          </cell>
          <cell r="AY158" t="str">
            <v/>
          </cell>
          <cell r="AZ158" t="str">
            <v/>
          </cell>
          <cell r="BA158" t="str">
            <v/>
          </cell>
          <cell r="BB158" t="str">
            <v/>
          </cell>
          <cell r="BC158" t="str">
            <v/>
          </cell>
          <cell r="BD158" t="str">
            <v/>
          </cell>
          <cell r="BE158" t="str">
            <v/>
          </cell>
          <cell r="BF158" t="str">
            <v/>
          </cell>
          <cell r="BG158" t="str">
            <v/>
          </cell>
          <cell r="BH158" t="str">
            <v>alloy1Epishin, A. I. et al. Thermal stability of the structure of a heat-resistant cobalt alloy hardened with intermetallic γ’-phase precipitates. Russ. Metall. 2016, 286–291 (2016).</v>
          </cell>
          <cell r="BI158" t="str">
            <v>Co-15.9Ni-13.6Al-19.W-0.7Ta-0.6Mo-0.3Re</v>
          </cell>
          <cell r="BJ158" t="str">
            <v>65.8Co-15.9Ni-13.6Al-19.0W-0.7Ta-0.6Mo-0.3Re</v>
          </cell>
        </row>
        <row r="159">
          <cell r="A159" t="str">
            <v>Co-9.Al-10.W-2.Ta</v>
          </cell>
          <cell r="B159" t="str">
            <v>CoAlW-X</v>
          </cell>
          <cell r="C159" t="str">
            <v>-9Al-10W-2Ta</v>
          </cell>
          <cell r="D159" t="str">
            <v>Q0</v>
          </cell>
          <cell r="E159" t="str">
            <v>Epishin, A., Petrushin, N., Nolze, G., Gerstein, G. &amp; Maier, H. J. Investigation of the γ′-Strengthened Quaternary Co-Based Alloys Co-Al-W-Ta. Metall. Mater. Trans. A Phys. Metall. Mater. Sci. 49, 4042–4057 (2018).</v>
          </cell>
          <cell r="F159">
            <v>170</v>
          </cell>
          <cell r="G159">
            <v>79</v>
          </cell>
          <cell r="H159"/>
          <cell r="I159">
            <v>9</v>
          </cell>
          <cell r="J159"/>
          <cell r="K159">
            <v>10</v>
          </cell>
          <cell r="L159"/>
          <cell r="M159">
            <v>2</v>
          </cell>
          <cell r="N159"/>
          <cell r="O159"/>
          <cell r="P159"/>
          <cell r="Q159"/>
          <cell r="R159"/>
          <cell r="S159"/>
          <cell r="T159"/>
          <cell r="U159"/>
          <cell r="V159"/>
          <cell r="W159"/>
          <cell r="X159"/>
          <cell r="Y159"/>
          <cell r="Z159"/>
          <cell r="AA159"/>
          <cell r="AB159"/>
          <cell r="AC159"/>
          <cell r="AD159"/>
          <cell r="AE159"/>
          <cell r="AF159">
            <v>9.532</v>
          </cell>
          <cell r="AG159"/>
          <cell r="AH159"/>
          <cell r="AI159" t="str">
            <v>Co</v>
          </cell>
          <cell r="AJ159" t="str">
            <v>-9.Al</v>
          </cell>
          <cell r="AK159" t="str">
            <v>-10.W</v>
          </cell>
          <cell r="AL159" t="str">
            <v/>
          </cell>
          <cell r="AM159" t="str">
            <v/>
          </cell>
          <cell r="AN159" t="str">
            <v>-2.Ta</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cell r="BD159" t="str">
            <v/>
          </cell>
          <cell r="BE159" t="str">
            <v/>
          </cell>
          <cell r="BF159" t="str">
            <v/>
          </cell>
          <cell r="BG159" t="str">
            <v/>
          </cell>
          <cell r="BH159" t="str">
            <v>Q0Epishin, A., Petrushin, N., Nolze, G., Gerstein, G. &amp; Maier, H. J. Investigation of the γ′-Strengthened Quaternary Co-Based Alloys Co-Al-W-Ta. Metall. Mater. Trans. A Phys. Metall. Mater. Sci. 49, 4042–4057 (2018).</v>
          </cell>
          <cell r="BI159" t="str">
            <v>Co-9.Al-10.W-2.Ta</v>
          </cell>
          <cell r="BJ159" t="str">
            <v>79.0Co-9.0Al-10.0W-2.0Ta</v>
          </cell>
        </row>
        <row r="160">
          <cell r="A160" t="str">
            <v>Co-7.Al-10.W-2.Ta</v>
          </cell>
          <cell r="B160" t="str">
            <v>CoAlW-X</v>
          </cell>
          <cell r="C160" t="str">
            <v>-7Al-10W-2Ta</v>
          </cell>
          <cell r="D160" t="str">
            <v>Q1</v>
          </cell>
          <cell r="E160" t="str">
            <v>Epishin, A., Petrushin, N., Nolze, G., Gerstein, G. &amp; Maier, H. J. Investigation of the γ′-Strengthened Quaternary Co-Based Alloys Co-Al-W-Ta. Metall. Mater. Trans. A Phys. Metall. Mater. Sci. 49, 4042–4057 (2018).</v>
          </cell>
          <cell r="F160">
            <v>171</v>
          </cell>
          <cell r="G160">
            <v>81</v>
          </cell>
          <cell r="H160"/>
          <cell r="I160">
            <v>7</v>
          </cell>
          <cell r="J160"/>
          <cell r="K160">
            <v>10</v>
          </cell>
          <cell r="L160"/>
          <cell r="M160">
            <v>2</v>
          </cell>
          <cell r="N160"/>
          <cell r="O160"/>
          <cell r="P160"/>
          <cell r="Q160"/>
          <cell r="R160"/>
          <cell r="S160"/>
          <cell r="T160"/>
          <cell r="U160"/>
          <cell r="V160"/>
          <cell r="W160"/>
          <cell r="X160"/>
          <cell r="Y160"/>
          <cell r="Z160"/>
          <cell r="AA160"/>
          <cell r="AB160"/>
          <cell r="AC160"/>
          <cell r="AD160"/>
          <cell r="AE160"/>
          <cell r="AF160">
            <v>9.6559999999999988</v>
          </cell>
          <cell r="AG160"/>
          <cell r="AH160"/>
          <cell r="AI160" t="str">
            <v>Co</v>
          </cell>
          <cell r="AJ160" t="str">
            <v>-7.Al</v>
          </cell>
          <cell r="AK160" t="str">
            <v>-10.W</v>
          </cell>
          <cell r="AL160" t="str">
            <v/>
          </cell>
          <cell r="AM160" t="str">
            <v/>
          </cell>
          <cell r="AN160" t="str">
            <v>-2.Ta</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cell r="BD160" t="str">
            <v/>
          </cell>
          <cell r="BE160" t="str">
            <v/>
          </cell>
          <cell r="BF160" t="str">
            <v/>
          </cell>
          <cell r="BG160" t="str">
            <v/>
          </cell>
          <cell r="BH160" t="str">
            <v>Q1Epishin, A., Petrushin, N., Nolze, G., Gerstein, G. &amp; Maier, H. J. Investigation of the γ′-Strengthened Quaternary Co-Based Alloys Co-Al-W-Ta. Metall. Mater. Trans. A Phys. Metall. Mater. Sci. 49, 4042–4057 (2018).</v>
          </cell>
          <cell r="BI160" t="str">
            <v>Co-7.Al-10.W-2.Ta</v>
          </cell>
          <cell r="BJ160" t="str">
            <v>81.0Co-7.0Al-10.0W-2.0Ta</v>
          </cell>
        </row>
        <row r="161">
          <cell r="A161" t="str">
            <v>Co-11.Al-10.W-2.Ta</v>
          </cell>
          <cell r="B161" t="str">
            <v>CoAlW-X</v>
          </cell>
          <cell r="C161" t="str">
            <v>-11Al-10W-2Ta</v>
          </cell>
          <cell r="D161" t="str">
            <v>Q2</v>
          </cell>
          <cell r="E161" t="str">
            <v>Epishin, A., Petrushin, N., Nolze, G., Gerstein, G. &amp; Maier, H. J. Investigation of the γ′-Strengthened Quaternary Co-Based Alloys Co-Al-W-Ta. Metall. Mater. Trans. A Phys. Metall. Mater. Sci. 49, 4042–4057 (2018).</v>
          </cell>
          <cell r="F161">
            <v>172</v>
          </cell>
          <cell r="G161">
            <v>77</v>
          </cell>
          <cell r="H161"/>
          <cell r="I161">
            <v>11</v>
          </cell>
          <cell r="J161"/>
          <cell r="K161">
            <v>10</v>
          </cell>
          <cell r="L161"/>
          <cell r="M161">
            <v>2</v>
          </cell>
          <cell r="N161"/>
          <cell r="O161"/>
          <cell r="P161"/>
          <cell r="Q161"/>
          <cell r="R161"/>
          <cell r="S161"/>
          <cell r="T161"/>
          <cell r="U161"/>
          <cell r="V161"/>
          <cell r="W161"/>
          <cell r="X161"/>
          <cell r="Y161"/>
          <cell r="Z161"/>
          <cell r="AA161"/>
          <cell r="AB161"/>
          <cell r="AC161"/>
          <cell r="AD161"/>
          <cell r="AE161"/>
          <cell r="AF161">
            <v>9.4080000000000013</v>
          </cell>
          <cell r="AG161"/>
          <cell r="AH161"/>
          <cell r="AI161" t="str">
            <v>Co</v>
          </cell>
          <cell r="AJ161" t="str">
            <v>-11.Al</v>
          </cell>
          <cell r="AK161" t="str">
            <v>-10.W</v>
          </cell>
          <cell r="AL161" t="str">
            <v/>
          </cell>
          <cell r="AM161" t="str">
            <v/>
          </cell>
          <cell r="AN161" t="str">
            <v>-2.Ta</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cell r="BD161" t="str">
            <v/>
          </cell>
          <cell r="BE161" t="str">
            <v/>
          </cell>
          <cell r="BF161" t="str">
            <v/>
          </cell>
          <cell r="BG161" t="str">
            <v/>
          </cell>
          <cell r="BH161" t="str">
            <v>Q2Epishin, A., Petrushin, N., Nolze, G., Gerstein, G. &amp; Maier, H. J. Investigation of the γ′-Strengthened Quaternary Co-Based Alloys Co-Al-W-Ta. Metall. Mater. Trans. A Phys. Metall. Mater. Sci. 49, 4042–4057 (2018).</v>
          </cell>
          <cell r="BI161" t="str">
            <v>Co-11.Al-10.W-2.Ta</v>
          </cell>
          <cell r="BJ161" t="str">
            <v>77.0Co-11.0Al-10.0W-2.0Ta</v>
          </cell>
        </row>
        <row r="162">
          <cell r="A162" t="str">
            <v>Co-9.Al-12.W-2.Ta</v>
          </cell>
          <cell r="B162" t="str">
            <v>CoAlW-X</v>
          </cell>
          <cell r="C162" t="str">
            <v>-9Al-12W-2Ta</v>
          </cell>
          <cell r="D162" t="str">
            <v>Q3</v>
          </cell>
          <cell r="E162" t="str">
            <v>Epishin, A., Petrushin, N., Nolze, G., Gerstein, G. &amp; Maier, H. J. Investigation of the γ′-Strengthened Quaternary Co-Based Alloys Co-Al-W-Ta. Metall. Mater. Trans. A Phys. Metall. Mater. Sci. 49, 4042–4057 (2018).</v>
          </cell>
          <cell r="F162">
            <v>173</v>
          </cell>
          <cell r="G162">
            <v>77</v>
          </cell>
          <cell r="H162"/>
          <cell r="I162">
            <v>9</v>
          </cell>
          <cell r="J162"/>
          <cell r="K162">
            <v>12</v>
          </cell>
          <cell r="L162"/>
          <cell r="M162">
            <v>2</v>
          </cell>
          <cell r="N162"/>
          <cell r="O162"/>
          <cell r="P162"/>
          <cell r="Q162"/>
          <cell r="R162"/>
          <cell r="S162"/>
          <cell r="T162"/>
          <cell r="U162"/>
          <cell r="V162"/>
          <cell r="W162"/>
          <cell r="X162"/>
          <cell r="Y162"/>
          <cell r="Z162"/>
          <cell r="AA162"/>
          <cell r="AB162"/>
          <cell r="AC162"/>
          <cell r="AD162"/>
          <cell r="AE162"/>
          <cell r="AF162">
            <v>9.738999999999999</v>
          </cell>
          <cell r="AG162"/>
          <cell r="AH162"/>
          <cell r="AI162" t="str">
            <v>Co</v>
          </cell>
          <cell r="AJ162" t="str">
            <v>-9.Al</v>
          </cell>
          <cell r="AK162" t="str">
            <v>-12.W</v>
          </cell>
          <cell r="AL162" t="str">
            <v/>
          </cell>
          <cell r="AM162" t="str">
            <v/>
          </cell>
          <cell r="AN162" t="str">
            <v>-2.Ta</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cell r="BD162" t="str">
            <v/>
          </cell>
          <cell r="BE162" t="str">
            <v/>
          </cell>
          <cell r="BF162" t="str">
            <v/>
          </cell>
          <cell r="BG162" t="str">
            <v/>
          </cell>
          <cell r="BH162" t="str">
            <v>Q3Epishin, A., Petrushin, N., Nolze, G., Gerstein, G. &amp; Maier, H. J. Investigation of the γ′-Strengthened Quaternary Co-Based Alloys Co-Al-W-Ta. Metall. Mater. Trans. A Phys. Metall. Mater. Sci. 49, 4042–4057 (2018).</v>
          </cell>
          <cell r="BI162" t="str">
            <v>Co-9.Al-12.W-2.Ta</v>
          </cell>
          <cell r="BJ162" t="str">
            <v>77.0Co-9.0Al-12.0W-2.0Ta</v>
          </cell>
        </row>
        <row r="163">
          <cell r="A163" t="str">
            <v>Co-9.Al-8.W-2.Ta</v>
          </cell>
          <cell r="B163" t="str">
            <v>CoAlW-X</v>
          </cell>
          <cell r="C163" t="str">
            <v>-9Al-8W-2Ta</v>
          </cell>
          <cell r="D163" t="str">
            <v>Q4</v>
          </cell>
          <cell r="E163" t="str">
            <v>Epishin, A., Petrushin, N., Nolze, G., Gerstein, G. &amp; Maier, H. J. Investigation of the γ′-Strengthened Quaternary Co-Based Alloys Co-Al-W-Ta. Metall. Mater. Trans. A Phys. Metall. Mater. Sci. 49, 4042–4057 (2018).</v>
          </cell>
          <cell r="F163">
            <v>174</v>
          </cell>
          <cell r="G163">
            <v>81</v>
          </cell>
          <cell r="H163"/>
          <cell r="I163">
            <v>9</v>
          </cell>
          <cell r="J163"/>
          <cell r="K163">
            <v>8</v>
          </cell>
          <cell r="L163"/>
          <cell r="M163">
            <v>2</v>
          </cell>
          <cell r="N163"/>
          <cell r="O163"/>
          <cell r="P163"/>
          <cell r="Q163"/>
          <cell r="R163"/>
          <cell r="S163"/>
          <cell r="T163"/>
          <cell r="U163"/>
          <cell r="V163"/>
          <cell r="W163"/>
          <cell r="X163"/>
          <cell r="Y163"/>
          <cell r="Z163"/>
          <cell r="AA163"/>
          <cell r="AB163"/>
          <cell r="AC163"/>
          <cell r="AD163"/>
          <cell r="AE163"/>
          <cell r="AF163">
            <v>9.3249999999999993</v>
          </cell>
          <cell r="AG163"/>
          <cell r="AH163"/>
          <cell r="AI163" t="str">
            <v>Co</v>
          </cell>
          <cell r="AJ163" t="str">
            <v>-9.Al</v>
          </cell>
          <cell r="AK163" t="str">
            <v>-8.W</v>
          </cell>
          <cell r="AL163" t="str">
            <v/>
          </cell>
          <cell r="AM163" t="str">
            <v/>
          </cell>
          <cell r="AN163" t="str">
            <v>-2.Ta</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cell r="BD163" t="str">
            <v/>
          </cell>
          <cell r="BE163" t="str">
            <v/>
          </cell>
          <cell r="BF163" t="str">
            <v/>
          </cell>
          <cell r="BG163" t="str">
            <v/>
          </cell>
          <cell r="BH163" t="str">
            <v>Q4Epishin, A., Petrushin, N., Nolze, G., Gerstein, G. &amp; Maier, H. J. Investigation of the γ′-Strengthened Quaternary Co-Based Alloys Co-Al-W-Ta. Metall. Mater. Trans. A Phys. Metall. Mater. Sci. 49, 4042–4057 (2018).</v>
          </cell>
          <cell r="BI163" t="str">
            <v>Co-9.Al-8.W-2.Ta</v>
          </cell>
          <cell r="BJ163" t="str">
            <v>81.0Co-9.0Al-8.0W-2.0Ta</v>
          </cell>
        </row>
        <row r="164">
          <cell r="A164" t="str">
            <v>Co-9.Al-10.W-0.Ta</v>
          </cell>
          <cell r="B164" t="str">
            <v>CoAlW-X</v>
          </cell>
          <cell r="C164" t="str">
            <v>-9Al-10W-0Ta</v>
          </cell>
          <cell r="D164" t="str">
            <v>Q5</v>
          </cell>
          <cell r="E164" t="str">
            <v>Epishin, A., Petrushin, N., Nolze, G., Gerstein, G. &amp; Maier, H. J. Investigation of the γ′-Strengthened Quaternary Co-Based Alloys Co-Al-W-Ta. Metall. Mater. Trans. A Phys. Metall. Mater. Sci. 49, 4042–4057 (2018).</v>
          </cell>
          <cell r="F164">
            <v>175</v>
          </cell>
          <cell r="G164">
            <v>81</v>
          </cell>
          <cell r="H164"/>
          <cell r="I164">
            <v>9</v>
          </cell>
          <cell r="J164"/>
          <cell r="K164">
            <v>10</v>
          </cell>
          <cell r="L164"/>
          <cell r="M164">
            <v>0</v>
          </cell>
          <cell r="N164"/>
          <cell r="O164"/>
          <cell r="P164"/>
          <cell r="Q164"/>
          <cell r="R164"/>
          <cell r="S164"/>
          <cell r="T164"/>
          <cell r="U164"/>
          <cell r="V164"/>
          <cell r="W164"/>
          <cell r="X164"/>
          <cell r="Y164"/>
          <cell r="Z164"/>
          <cell r="AA164"/>
          <cell r="AB164"/>
          <cell r="AC164"/>
          <cell r="AD164"/>
          <cell r="AE164"/>
          <cell r="AF164">
            <v>9.3769999999999989</v>
          </cell>
          <cell r="AG164"/>
          <cell r="AH164"/>
          <cell r="AI164" t="str">
            <v>Co</v>
          </cell>
          <cell r="AJ164" t="str">
            <v>-9.Al</v>
          </cell>
          <cell r="AK164" t="str">
            <v>-10.W</v>
          </cell>
          <cell r="AL164" t="str">
            <v/>
          </cell>
          <cell r="AM164" t="str">
            <v/>
          </cell>
          <cell r="AN164" t="str">
            <v>-0.Ta</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cell r="BD164" t="str">
            <v/>
          </cell>
          <cell r="BE164" t="str">
            <v/>
          </cell>
          <cell r="BF164" t="str">
            <v/>
          </cell>
          <cell r="BG164" t="str">
            <v/>
          </cell>
          <cell r="BH164" t="str">
            <v>Q5Epishin, A., Petrushin, N., Nolze, G., Gerstein, G. &amp; Maier, H. J. Investigation of the γ′-Strengthened Quaternary Co-Based Alloys Co-Al-W-Ta. Metall. Mater. Trans. A Phys. Metall. Mater. Sci. 49, 4042–4057 (2018).</v>
          </cell>
          <cell r="BI164" t="str">
            <v>Co-9.Al-10.W-0.Ta</v>
          </cell>
          <cell r="BJ164" t="str">
            <v>81.0Co-9.0Al-10.0W-0.0Ta</v>
          </cell>
        </row>
        <row r="165">
          <cell r="A165" t="str">
            <v>Co-9.Al-10.W-4.Ta</v>
          </cell>
          <cell r="B165" t="str">
            <v>CoAlW-X</v>
          </cell>
          <cell r="C165" t="str">
            <v>-9Al-10W-4Ta</v>
          </cell>
          <cell r="D165" t="str">
            <v>Q6</v>
          </cell>
          <cell r="E165" t="str">
            <v>Epishin, A., Petrushin, N., Nolze, G., Gerstein, G. &amp; Maier, H. J. Investigation of the γ′-Strengthened Quaternary Co-Based Alloys Co-Al-W-Ta. Metall. Mater. Trans. A Phys. Metall. Mater. Sci. 49, 4042–4057 (2018).</v>
          </cell>
          <cell r="F165">
            <v>176</v>
          </cell>
          <cell r="G165">
            <v>77</v>
          </cell>
          <cell r="H165"/>
          <cell r="I165">
            <v>9</v>
          </cell>
          <cell r="J165"/>
          <cell r="K165">
            <v>10</v>
          </cell>
          <cell r="L165"/>
          <cell r="M165">
            <v>4</v>
          </cell>
          <cell r="N165"/>
          <cell r="O165"/>
          <cell r="P165"/>
          <cell r="Q165"/>
          <cell r="R165"/>
          <cell r="S165"/>
          <cell r="T165"/>
          <cell r="U165"/>
          <cell r="V165"/>
          <cell r="W165"/>
          <cell r="X165"/>
          <cell r="Y165"/>
          <cell r="Z165"/>
          <cell r="AA165"/>
          <cell r="AB165"/>
          <cell r="AC165"/>
          <cell r="AD165"/>
          <cell r="AE165"/>
          <cell r="AF165">
            <v>9.6870000000000012</v>
          </cell>
          <cell r="AG165"/>
          <cell r="AH165"/>
          <cell r="AI165" t="str">
            <v>Co</v>
          </cell>
          <cell r="AJ165" t="str">
            <v>-9.Al</v>
          </cell>
          <cell r="AK165" t="str">
            <v>-10.W</v>
          </cell>
          <cell r="AL165" t="str">
            <v/>
          </cell>
          <cell r="AM165" t="str">
            <v/>
          </cell>
          <cell r="AN165" t="str">
            <v>-4.Ta</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cell r="BD165" t="str">
            <v/>
          </cell>
          <cell r="BE165" t="str">
            <v/>
          </cell>
          <cell r="BF165" t="str">
            <v/>
          </cell>
          <cell r="BG165" t="str">
            <v/>
          </cell>
          <cell r="BH165" t="str">
            <v>Q6Epishin, A., Petrushin, N., Nolze, G., Gerstein, G. &amp; Maier, H. J. Investigation of the γ′-Strengthened Quaternary Co-Based Alloys Co-Al-W-Ta. Metall. Mater. Trans. A Phys. Metall. Mater. Sci. 49, 4042–4057 (2018).</v>
          </cell>
          <cell r="BI165" t="str">
            <v>Co-9.Al-10.W-4.Ta</v>
          </cell>
          <cell r="BJ165" t="str">
            <v>77.0Co-9.0Al-10.0W-4.0Ta</v>
          </cell>
        </row>
        <row r="166">
          <cell r="A166" t="str">
            <v>Co-11.Al-8.W-2.Ta</v>
          </cell>
          <cell r="B166" t="str">
            <v>CoAlW-X</v>
          </cell>
          <cell r="C166" t="str">
            <v>-11Al-8W-2Ta</v>
          </cell>
          <cell r="D166" t="str">
            <v>Q7</v>
          </cell>
          <cell r="E166" t="str">
            <v>Epishin, A., Petrushin, N., Nolze, G., Gerstein, G. &amp; Maier, H. J. Investigation of the γ′-Strengthened Quaternary Co-Based Alloys Co-Al-W-Ta. Metall. Mater. Trans. A Phys. Metall. Mater. Sci. 49, 4042–4057 (2018).</v>
          </cell>
          <cell r="F166">
            <v>177</v>
          </cell>
          <cell r="G166">
            <v>79</v>
          </cell>
          <cell r="H166"/>
          <cell r="I166">
            <v>11</v>
          </cell>
          <cell r="J166"/>
          <cell r="K166">
            <v>8</v>
          </cell>
          <cell r="L166"/>
          <cell r="M166">
            <v>2</v>
          </cell>
          <cell r="N166"/>
          <cell r="O166"/>
          <cell r="P166"/>
          <cell r="Q166"/>
          <cell r="R166"/>
          <cell r="S166"/>
          <cell r="T166"/>
          <cell r="U166"/>
          <cell r="V166"/>
          <cell r="W166"/>
          <cell r="X166"/>
          <cell r="Y166"/>
          <cell r="Z166"/>
          <cell r="AA166"/>
          <cell r="AB166"/>
          <cell r="AC166"/>
          <cell r="AD166"/>
          <cell r="AE166"/>
          <cell r="AF166">
            <v>9.2010000000000005</v>
          </cell>
          <cell r="AG166"/>
          <cell r="AH166"/>
          <cell r="AI166" t="str">
            <v>Co</v>
          </cell>
          <cell r="AJ166" t="str">
            <v>-11.Al</v>
          </cell>
          <cell r="AK166" t="str">
            <v>-8.W</v>
          </cell>
          <cell r="AL166" t="str">
            <v/>
          </cell>
          <cell r="AM166" t="str">
            <v/>
          </cell>
          <cell r="AN166" t="str">
            <v>-2.Ta</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cell r="BD166" t="str">
            <v/>
          </cell>
          <cell r="BE166" t="str">
            <v/>
          </cell>
          <cell r="BF166" t="str">
            <v/>
          </cell>
          <cell r="BG166" t="str">
            <v/>
          </cell>
          <cell r="BH166" t="str">
            <v>Q7Epishin, A., Petrushin, N., Nolze, G., Gerstein, G. &amp; Maier, H. J. Investigation of the γ′-Strengthened Quaternary Co-Based Alloys Co-Al-W-Ta. Metall. Mater. Trans. A Phys. Metall. Mater. Sci. 49, 4042–4057 (2018).</v>
          </cell>
          <cell r="BI166" t="str">
            <v>Co-11.Al-8.W-2.Ta</v>
          </cell>
          <cell r="BJ166" t="str">
            <v>79.0Co-11.0Al-8.0W-2.0Ta</v>
          </cell>
        </row>
        <row r="167">
          <cell r="A167" t="str">
            <v>Co-7.Al-12.W-2.Ta</v>
          </cell>
          <cell r="B167" t="str">
            <v>CoAlW-X</v>
          </cell>
          <cell r="C167" t="str">
            <v>-7Al-12W-2Ta</v>
          </cell>
          <cell r="D167" t="str">
            <v>Q8</v>
          </cell>
          <cell r="E167" t="str">
            <v>Epishin, A., Petrushin, N., Nolze, G., Gerstein, G. &amp; Maier, H. J. Investigation of the γ′-Strengthened Quaternary Co-Based Alloys Co-Al-W-Ta. Metall. Mater. Trans. A Phys. Metall. Mater. Sci. 49, 4042–4057 (2018).</v>
          </cell>
          <cell r="F167">
            <v>178</v>
          </cell>
          <cell r="G167">
            <v>79</v>
          </cell>
          <cell r="H167"/>
          <cell r="I167">
            <v>7</v>
          </cell>
          <cell r="J167"/>
          <cell r="K167">
            <v>12</v>
          </cell>
          <cell r="L167"/>
          <cell r="M167">
            <v>2</v>
          </cell>
          <cell r="N167"/>
          <cell r="O167"/>
          <cell r="P167"/>
          <cell r="Q167"/>
          <cell r="R167"/>
          <cell r="S167"/>
          <cell r="T167"/>
          <cell r="U167"/>
          <cell r="V167"/>
          <cell r="W167"/>
          <cell r="X167"/>
          <cell r="Y167"/>
          <cell r="Z167"/>
          <cell r="AA167"/>
          <cell r="AB167"/>
          <cell r="AC167"/>
          <cell r="AD167"/>
          <cell r="AE167"/>
          <cell r="AF167">
            <v>9.8629999999999995</v>
          </cell>
          <cell r="AG167"/>
          <cell r="AH167"/>
          <cell r="AI167" t="str">
            <v>Co</v>
          </cell>
          <cell r="AJ167" t="str">
            <v>-7.Al</v>
          </cell>
          <cell r="AK167" t="str">
            <v>-12.W</v>
          </cell>
          <cell r="AL167" t="str">
            <v/>
          </cell>
          <cell r="AM167" t="str">
            <v/>
          </cell>
          <cell r="AN167" t="str">
            <v>-2.Ta</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cell r="BD167" t="str">
            <v/>
          </cell>
          <cell r="BE167" t="str">
            <v/>
          </cell>
          <cell r="BF167" t="str">
            <v/>
          </cell>
          <cell r="BG167" t="str">
            <v/>
          </cell>
          <cell r="BH167" t="str">
            <v>Q8Epishin, A., Petrushin, N., Nolze, G., Gerstein, G. &amp; Maier, H. J. Investigation of the γ′-Strengthened Quaternary Co-Based Alloys Co-Al-W-Ta. Metall. Mater. Trans. A Phys. Metall. Mater. Sci. 49, 4042–4057 (2018).</v>
          </cell>
          <cell r="BI167" t="str">
            <v>Co-7.Al-12.W-2.Ta</v>
          </cell>
          <cell r="BJ167" t="str">
            <v>79.0Co-7.0Al-12.0W-2.0Ta</v>
          </cell>
        </row>
        <row r="168">
          <cell r="A168" t="str">
            <v>Co-11.Al-10.W-0.Ta</v>
          </cell>
          <cell r="B168" t="str">
            <v>CoAlW-X</v>
          </cell>
          <cell r="C168" t="str">
            <v>-11Al-10W-0Ta</v>
          </cell>
          <cell r="D168" t="str">
            <v>Q9</v>
          </cell>
          <cell r="E168" t="str">
            <v>Epishin, A., Petrushin, N., Nolze, G., Gerstein, G. &amp; Maier, H. J. Investigation of the γ′-Strengthened Quaternary Co-Based Alloys Co-Al-W-Ta. Metall. Mater. Trans. A Phys. Metall. Mater. Sci. 49, 4042–4057 (2018).</v>
          </cell>
          <cell r="F168">
            <v>179</v>
          </cell>
          <cell r="G168">
            <v>79</v>
          </cell>
          <cell r="H168"/>
          <cell r="I168">
            <v>11</v>
          </cell>
          <cell r="J168"/>
          <cell r="K168">
            <v>10</v>
          </cell>
          <cell r="L168"/>
          <cell r="M168">
            <v>0</v>
          </cell>
          <cell r="N168"/>
          <cell r="O168"/>
          <cell r="P168"/>
          <cell r="Q168"/>
          <cell r="R168"/>
          <cell r="S168"/>
          <cell r="T168"/>
          <cell r="U168"/>
          <cell r="V168"/>
          <cell r="W168"/>
          <cell r="X168"/>
          <cell r="Y168"/>
          <cell r="Z168"/>
          <cell r="AA168"/>
          <cell r="AB168"/>
          <cell r="AC168"/>
          <cell r="AD168"/>
          <cell r="AE168"/>
          <cell r="AF168">
            <v>9.2530000000000001</v>
          </cell>
          <cell r="AG168"/>
          <cell r="AH168"/>
          <cell r="AI168" t="str">
            <v>Co</v>
          </cell>
          <cell r="AJ168" t="str">
            <v>-11.Al</v>
          </cell>
          <cell r="AK168" t="str">
            <v>-10.W</v>
          </cell>
          <cell r="AL168" t="str">
            <v/>
          </cell>
          <cell r="AM168" t="str">
            <v/>
          </cell>
          <cell r="AN168" t="str">
            <v>-0.Ta</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cell>
          <cell r="BA168" t="str">
            <v/>
          </cell>
          <cell r="BB168" t="str">
            <v/>
          </cell>
          <cell r="BC168" t="str">
            <v/>
          </cell>
          <cell r="BD168" t="str">
            <v/>
          </cell>
          <cell r="BE168" t="str">
            <v/>
          </cell>
          <cell r="BF168" t="str">
            <v/>
          </cell>
          <cell r="BG168" t="str">
            <v/>
          </cell>
          <cell r="BH168" t="str">
            <v>Q9Epishin, A., Petrushin, N., Nolze, G., Gerstein, G. &amp; Maier, H. J. Investigation of the γ′-Strengthened Quaternary Co-Based Alloys Co-Al-W-Ta. Metall. Mater. Trans. A Phys. Metall. Mater. Sci. 49, 4042–4057 (2018).</v>
          </cell>
          <cell r="BI168" t="str">
            <v>Co-11.Al-10.W-0.Ta</v>
          </cell>
          <cell r="BJ168" t="str">
            <v>79.0Co-11.0Al-10.0W-0.0Ta</v>
          </cell>
        </row>
        <row r="169">
          <cell r="A169" t="str">
            <v>Co-7.Al-10.W-4.Ta</v>
          </cell>
          <cell r="B169" t="str">
            <v>CoAlW-X</v>
          </cell>
          <cell r="C169" t="str">
            <v>-7Al-10W-4Ta</v>
          </cell>
          <cell r="D169" t="str">
            <v>Q10</v>
          </cell>
          <cell r="E169" t="str">
            <v>Epishin, A., Petrushin, N., Nolze, G., Gerstein, G. &amp; Maier, H. J. Investigation of the γ′-Strengthened Quaternary Co-Based Alloys Co-Al-W-Ta. Metall. Mater. Trans. A Phys. Metall. Mater. Sci. 49, 4042–4057 (2018).</v>
          </cell>
          <cell r="F169">
            <v>180</v>
          </cell>
          <cell r="G169">
            <v>79</v>
          </cell>
          <cell r="H169"/>
          <cell r="I169">
            <v>7</v>
          </cell>
          <cell r="J169"/>
          <cell r="K169">
            <v>10</v>
          </cell>
          <cell r="L169"/>
          <cell r="M169">
            <v>4</v>
          </cell>
          <cell r="N169"/>
          <cell r="O169"/>
          <cell r="P169"/>
          <cell r="Q169"/>
          <cell r="R169"/>
          <cell r="S169"/>
          <cell r="T169"/>
          <cell r="U169"/>
          <cell r="V169"/>
          <cell r="W169"/>
          <cell r="X169"/>
          <cell r="Y169"/>
          <cell r="Z169"/>
          <cell r="AA169"/>
          <cell r="AB169"/>
          <cell r="AC169"/>
          <cell r="AD169"/>
          <cell r="AE169"/>
          <cell r="AF169">
            <v>9.8109999999999999</v>
          </cell>
          <cell r="AG169"/>
          <cell r="AH169"/>
          <cell r="AI169" t="str">
            <v>Co</v>
          </cell>
          <cell r="AJ169" t="str">
            <v>-7.Al</v>
          </cell>
          <cell r="AK169" t="str">
            <v>-10.W</v>
          </cell>
          <cell r="AL169" t="str">
            <v/>
          </cell>
          <cell r="AM169" t="str">
            <v/>
          </cell>
          <cell r="AN169" t="str">
            <v>-4.Ta</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cell r="BD169" t="str">
            <v/>
          </cell>
          <cell r="BE169" t="str">
            <v/>
          </cell>
          <cell r="BF169" t="str">
            <v/>
          </cell>
          <cell r="BG169" t="str">
            <v/>
          </cell>
          <cell r="BH169" t="str">
            <v>Q10Epishin, A., Petrushin, N., Nolze, G., Gerstein, G. &amp; Maier, H. J. Investigation of the γ′-Strengthened Quaternary Co-Based Alloys Co-Al-W-Ta. Metall. Mater. Trans. A Phys. Metall. Mater. Sci. 49, 4042–4057 (2018).</v>
          </cell>
          <cell r="BI169" t="str">
            <v>Co-7.Al-10.W-4.Ta</v>
          </cell>
          <cell r="BJ169" t="str">
            <v>79.0Co-7.0Al-10.0W-4.0Ta</v>
          </cell>
        </row>
        <row r="170">
          <cell r="A170" t="str">
            <v>Co-9.Al-12.W-0.Ta</v>
          </cell>
          <cell r="B170" t="str">
            <v>CoAlW-X</v>
          </cell>
          <cell r="C170" t="str">
            <v>-9Al-12W-0Ta</v>
          </cell>
          <cell r="D170" t="str">
            <v>Q11</v>
          </cell>
          <cell r="E170" t="str">
            <v>Epishin, A., Petrushin, N., Nolze, G., Gerstein, G. &amp; Maier, H. J. Investigation of the γ′-Strengthened Quaternary Co-Based Alloys Co-Al-W-Ta. Metall. Mater. Trans. A Phys. Metall. Mater. Sci. 49, 4042–4057 (2018).</v>
          </cell>
          <cell r="F170">
            <v>181</v>
          </cell>
          <cell r="G170">
            <v>79</v>
          </cell>
          <cell r="H170"/>
          <cell r="I170">
            <v>9</v>
          </cell>
          <cell r="J170"/>
          <cell r="K170">
            <v>12</v>
          </cell>
          <cell r="L170"/>
          <cell r="M170">
            <v>0</v>
          </cell>
          <cell r="N170"/>
          <cell r="O170"/>
          <cell r="P170"/>
          <cell r="Q170"/>
          <cell r="R170"/>
          <cell r="S170"/>
          <cell r="T170"/>
          <cell r="U170"/>
          <cell r="V170"/>
          <cell r="W170"/>
          <cell r="X170"/>
          <cell r="Y170"/>
          <cell r="Z170"/>
          <cell r="AA170"/>
          <cell r="AB170"/>
          <cell r="AC170"/>
          <cell r="AD170"/>
          <cell r="AE170"/>
          <cell r="AF170">
            <v>9.5839999999999996</v>
          </cell>
          <cell r="AG170"/>
          <cell r="AH170"/>
          <cell r="AI170" t="str">
            <v>Co</v>
          </cell>
          <cell r="AJ170" t="str">
            <v>-9.Al</v>
          </cell>
          <cell r="AK170" t="str">
            <v>-12.W</v>
          </cell>
          <cell r="AL170" t="str">
            <v/>
          </cell>
          <cell r="AM170" t="str">
            <v/>
          </cell>
          <cell r="AN170" t="str">
            <v>-0.Ta</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cell r="BD170" t="str">
            <v/>
          </cell>
          <cell r="BE170" t="str">
            <v/>
          </cell>
          <cell r="BF170" t="str">
            <v/>
          </cell>
          <cell r="BG170" t="str">
            <v/>
          </cell>
          <cell r="BH170" t="str">
            <v>Q11Epishin, A., Petrushin, N., Nolze, G., Gerstein, G. &amp; Maier, H. J. Investigation of the γ′-Strengthened Quaternary Co-Based Alloys Co-Al-W-Ta. Metall. Mater. Trans. A Phys. Metall. Mater. Sci. 49, 4042–4057 (2018).</v>
          </cell>
          <cell r="BI170" t="str">
            <v>Co-9.Al-12.W-0.Ta</v>
          </cell>
          <cell r="BJ170" t="str">
            <v>79.0Co-9.0Al-12.0W-0.0Ta</v>
          </cell>
        </row>
        <row r="171">
          <cell r="A171" t="str">
            <v>Co-9.Al-8.W-4.Ta</v>
          </cell>
          <cell r="B171" t="str">
            <v>CoAlW-X</v>
          </cell>
          <cell r="C171" t="str">
            <v>-9Al-8W-4Ta</v>
          </cell>
          <cell r="D171" t="str">
            <v>Q12</v>
          </cell>
          <cell r="E171" t="str">
            <v>Epishin, A., Petrushin, N., Nolze, G., Gerstein, G. &amp; Maier, H. J. Investigation of the γ′-Strengthened Quaternary Co-Based Alloys Co-Al-W-Ta. Metall. Mater. Trans. A Phys. Metall. Mater. Sci. 49, 4042–4057 (2018).</v>
          </cell>
          <cell r="F171">
            <v>182</v>
          </cell>
          <cell r="G171">
            <v>79</v>
          </cell>
          <cell r="H171"/>
          <cell r="I171">
            <v>9</v>
          </cell>
          <cell r="J171"/>
          <cell r="K171">
            <v>8</v>
          </cell>
          <cell r="L171"/>
          <cell r="M171">
            <v>4</v>
          </cell>
          <cell r="N171"/>
          <cell r="O171"/>
          <cell r="P171"/>
          <cell r="Q171"/>
          <cell r="R171"/>
          <cell r="S171"/>
          <cell r="T171"/>
          <cell r="U171"/>
          <cell r="V171"/>
          <cell r="W171"/>
          <cell r="X171"/>
          <cell r="Y171"/>
          <cell r="Z171"/>
          <cell r="AA171"/>
          <cell r="AB171"/>
          <cell r="AC171"/>
          <cell r="AD171"/>
          <cell r="AE171"/>
          <cell r="AF171">
            <v>9.48</v>
          </cell>
          <cell r="AG171"/>
          <cell r="AH171"/>
          <cell r="AI171" t="str">
            <v>Co</v>
          </cell>
          <cell r="AJ171" t="str">
            <v>-9.Al</v>
          </cell>
          <cell r="AK171" t="str">
            <v>-8.W</v>
          </cell>
          <cell r="AL171" t="str">
            <v/>
          </cell>
          <cell r="AM171" t="str">
            <v/>
          </cell>
          <cell r="AN171" t="str">
            <v>-4.Ta</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cell r="BD171" t="str">
            <v/>
          </cell>
          <cell r="BE171" t="str">
            <v/>
          </cell>
          <cell r="BF171" t="str">
            <v/>
          </cell>
          <cell r="BG171" t="str">
            <v/>
          </cell>
          <cell r="BH171" t="str">
            <v>Q12Epishin, A., Petrushin, N., Nolze, G., Gerstein, G. &amp; Maier, H. J. Investigation of the γ′-Strengthened Quaternary Co-Based Alloys Co-Al-W-Ta. Metall. Mater. Trans. A Phys. Metall. Mater. Sci. 49, 4042–4057 (2018).</v>
          </cell>
          <cell r="BI171" t="str">
            <v>Co-9.Al-8.W-4.Ta</v>
          </cell>
          <cell r="BJ171" t="str">
            <v>79.0Co-9.0Al-8.0W-4.0Ta</v>
          </cell>
        </row>
        <row r="172">
          <cell r="A172" t="str">
            <v>Co-13.3Al-3.9W-3.2Ta</v>
          </cell>
          <cell r="B172" t="str">
            <v>CoAlW-X</v>
          </cell>
          <cell r="C172" t="str">
            <v>-13Al-4W-3Ta</v>
          </cell>
          <cell r="D172" t="str">
            <v>Q13</v>
          </cell>
          <cell r="E172" t="str">
            <v>Epishin, A., Petrushin, N., Nolze, G., Gerstein, G. &amp; Maier, H. J. Investigation of the γ′-Strengthened Quaternary Co-Based Alloys Co-Al-W-Ta. Metall. Mater. Trans. A Phys. Metall. Mater. Sci. 49, 4042–4057 (2018).</v>
          </cell>
          <cell r="F172">
            <v>183</v>
          </cell>
          <cell r="G172">
            <v>79.599999999999994</v>
          </cell>
          <cell r="H172"/>
          <cell r="I172">
            <v>13.3</v>
          </cell>
          <cell r="J172"/>
          <cell r="K172">
            <v>3.9</v>
          </cell>
          <cell r="L172"/>
          <cell r="M172">
            <v>3.2</v>
          </cell>
          <cell r="N172"/>
          <cell r="O172"/>
          <cell r="P172"/>
          <cell r="Q172"/>
          <cell r="R172"/>
          <cell r="S172"/>
          <cell r="T172"/>
          <cell r="U172"/>
          <cell r="V172"/>
          <cell r="W172"/>
          <cell r="X172"/>
          <cell r="Y172"/>
          <cell r="Z172"/>
          <cell r="AA172"/>
          <cell r="AB172"/>
          <cell r="AC172"/>
          <cell r="AD172"/>
          <cell r="AE172"/>
          <cell r="AF172">
            <v>8.7270499999999984</v>
          </cell>
          <cell r="AG172"/>
          <cell r="AH172"/>
          <cell r="AI172" t="str">
            <v>Co</v>
          </cell>
          <cell r="AJ172" t="str">
            <v>-13.3Al</v>
          </cell>
          <cell r="AK172" t="str">
            <v>-3.9W</v>
          </cell>
          <cell r="AL172" t="str">
            <v/>
          </cell>
          <cell r="AM172" t="str">
            <v/>
          </cell>
          <cell r="AN172" t="str">
            <v>-3.2Ta</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cell r="BD172" t="str">
            <v/>
          </cell>
          <cell r="BE172" t="str">
            <v/>
          </cell>
          <cell r="BF172" t="str">
            <v/>
          </cell>
          <cell r="BG172" t="str">
            <v/>
          </cell>
          <cell r="BH172" t="str">
            <v>Q13Epishin, A., Petrushin, N., Nolze, G., Gerstein, G. &amp; Maier, H. J. Investigation of the γ′-Strengthened Quaternary Co-Based Alloys Co-Al-W-Ta. Metall. Mater. Trans. A Phys. Metall. Mater. Sci. 49, 4042–4057 (2018).</v>
          </cell>
          <cell r="BI172" t="str">
            <v>Co-13.3Al-3.9W-3.2Ta</v>
          </cell>
          <cell r="BJ172" t="str">
            <v>79.6Co-13.3Al-3.9W-3.2Ta</v>
          </cell>
        </row>
        <row r="173">
          <cell r="A173" t="str">
            <v>Co-11.Al-5.9W-2.6Ta</v>
          </cell>
          <cell r="B173" t="str">
            <v>CoAlW-X</v>
          </cell>
          <cell r="C173" t="str">
            <v>-11Al-6W-3Ta</v>
          </cell>
          <cell r="D173" t="str">
            <v>Q14</v>
          </cell>
          <cell r="E173" t="str">
            <v>Epishin, A., Petrushin, N., Nolze, G., Gerstein, G. &amp; Maier, H. J. Investigation of the γ′-Strengthened Quaternary Co-Based Alloys Co-Al-W-Ta. Metall. Mater. Trans. A Phys. Metall. Mater. Sci. 49, 4042–4057 (2018).</v>
          </cell>
          <cell r="F173">
            <v>184</v>
          </cell>
          <cell r="G173">
            <v>80.5</v>
          </cell>
          <cell r="H173"/>
          <cell r="I173">
            <v>11</v>
          </cell>
          <cell r="J173"/>
          <cell r="K173">
            <v>5.9</v>
          </cell>
          <cell r="L173"/>
          <cell r="M173">
            <v>2.6</v>
          </cell>
          <cell r="N173"/>
          <cell r="O173"/>
          <cell r="P173"/>
          <cell r="Q173"/>
          <cell r="R173"/>
          <cell r="S173"/>
          <cell r="T173"/>
          <cell r="U173"/>
          <cell r="V173"/>
          <cell r="W173"/>
          <cell r="X173"/>
          <cell r="Y173"/>
          <cell r="Z173"/>
          <cell r="AA173"/>
          <cell r="AB173"/>
          <cell r="AC173"/>
          <cell r="AD173"/>
          <cell r="AE173"/>
          <cell r="AF173">
            <v>9.0301500000000008</v>
          </cell>
          <cell r="AG173"/>
          <cell r="AH173"/>
          <cell r="AI173" t="str">
            <v>Co</v>
          </cell>
          <cell r="AJ173" t="str">
            <v>-11.Al</v>
          </cell>
          <cell r="AK173" t="str">
            <v>-5.9W</v>
          </cell>
          <cell r="AL173" t="str">
            <v/>
          </cell>
          <cell r="AM173" t="str">
            <v/>
          </cell>
          <cell r="AN173" t="str">
            <v>-2.6Ta</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cell r="BD173" t="str">
            <v/>
          </cell>
          <cell r="BE173" t="str">
            <v/>
          </cell>
          <cell r="BF173" t="str">
            <v/>
          </cell>
          <cell r="BG173" t="str">
            <v/>
          </cell>
          <cell r="BH173" t="str">
            <v>Q14Epishin, A., Petrushin, N., Nolze, G., Gerstein, G. &amp; Maier, H. J. Investigation of the γ′-Strengthened Quaternary Co-Based Alloys Co-Al-W-Ta. Metall. Mater. Trans. A Phys. Metall. Mater. Sci. 49, 4042–4057 (2018).</v>
          </cell>
          <cell r="BI173" t="str">
            <v>Co-11.Al-5.9W-2.6Ta</v>
          </cell>
          <cell r="BJ173" t="str">
            <v>80.5Co-11.0Al-5.9W-2.6Ta</v>
          </cell>
        </row>
        <row r="174">
          <cell r="A174" t="str">
            <v>Co-30.8Ni-9.5Al-4.4W-3.8Ti-2.7Ta</v>
          </cell>
          <cell r="B174" t="str">
            <v>CoAlWX+</v>
          </cell>
          <cell r="C174" t="str">
            <v>-31Ni-10Al-4W-4Ti-3Ta</v>
          </cell>
          <cell r="D174" t="str">
            <v>CoNi-5</v>
          </cell>
          <cell r="E174" t="str">
            <v>Fan, Z. et al. Plastic deformation behaviors and mechanical properties of advanced single crystalline CoNi-base superalloys. Mater. Sci. Eng. A 748, 267–274 (2019).</v>
          </cell>
          <cell r="F174">
            <v>185</v>
          </cell>
          <cell r="G174">
            <v>48.800000000000004</v>
          </cell>
          <cell r="H174">
            <v>30.8</v>
          </cell>
          <cell r="I174">
            <v>9.5</v>
          </cell>
          <cell r="J174"/>
          <cell r="K174">
            <v>4.4000000000000004</v>
          </cell>
          <cell r="L174">
            <v>3.8</v>
          </cell>
          <cell r="M174">
            <v>2.7</v>
          </cell>
          <cell r="N174"/>
          <cell r="O174"/>
          <cell r="P174"/>
          <cell r="Q174"/>
          <cell r="R174"/>
          <cell r="S174"/>
          <cell r="T174"/>
          <cell r="U174"/>
          <cell r="V174"/>
          <cell r="W174"/>
          <cell r="X174"/>
          <cell r="Y174"/>
          <cell r="Z174"/>
          <cell r="AA174"/>
          <cell r="AB174"/>
          <cell r="AC174"/>
          <cell r="AD174"/>
          <cell r="AE174"/>
          <cell r="AF174">
            <v>8.811180000000002</v>
          </cell>
          <cell r="AG174"/>
          <cell r="AH174"/>
          <cell r="AI174" t="str">
            <v>Co</v>
          </cell>
          <cell r="AJ174" t="str">
            <v>-9.5Al</v>
          </cell>
          <cell r="AK174" t="str">
            <v>-4.4W</v>
          </cell>
          <cell r="AL174" t="str">
            <v>-30.8Ni</v>
          </cell>
          <cell r="AM174" t="str">
            <v/>
          </cell>
          <cell r="AN174" t="str">
            <v>-2.7Ta</v>
          </cell>
          <cell r="AO174" t="str">
            <v/>
          </cell>
          <cell r="AP174" t="str">
            <v/>
          </cell>
          <cell r="AQ174" t="str">
            <v>-3.8Ti</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cell r="BD174" t="str">
            <v/>
          </cell>
          <cell r="BE174" t="str">
            <v/>
          </cell>
          <cell r="BF174" t="str">
            <v/>
          </cell>
          <cell r="BG174" t="str">
            <v/>
          </cell>
          <cell r="BH174" t="str">
            <v>CoNi-5Fan, Z. et al. Plastic deformation behaviors and mechanical properties of advanced single crystalline CoNi-base superalloys. Mater. Sci. Eng. A 748, 267–274 (2019).</v>
          </cell>
          <cell r="BI174" t="str">
            <v>Co-30.8Ni-9.5Al-4.4W-3.8Ti-2.7Ta</v>
          </cell>
          <cell r="BJ174" t="str">
            <v>79.6Co-30.8Ni-9.5Al-4.4W-3.8Ti-2.7Ta</v>
          </cell>
        </row>
        <row r="175">
          <cell r="A175" t="str">
            <v>Co-31.2Ni-9.5Al-7.2W-2.8Ti-1.8Ta</v>
          </cell>
          <cell r="B175" t="str">
            <v>CoAlWX+</v>
          </cell>
          <cell r="C175" t="str">
            <v>-31Ni-10Al-7W-3Ti-2Ta</v>
          </cell>
          <cell r="D175" t="str">
            <v>CoNi-2</v>
          </cell>
          <cell r="E175" t="str">
            <v>Fan, Z. et al. The temperature dependence of high-temperature strength and deformation mechanism in a single crystal CoNi-base superalloy. Mater. Sci. Eng. A 735, 114–120 (2018).</v>
          </cell>
          <cell r="F175">
            <v>186</v>
          </cell>
          <cell r="G175">
            <v>47.5</v>
          </cell>
          <cell r="H175">
            <v>31.2</v>
          </cell>
          <cell r="I175">
            <v>9.5</v>
          </cell>
          <cell r="J175"/>
          <cell r="K175">
            <v>7.2</v>
          </cell>
          <cell r="L175">
            <v>2.8</v>
          </cell>
          <cell r="M175">
            <v>1.8</v>
          </cell>
          <cell r="N175"/>
          <cell r="O175"/>
          <cell r="P175"/>
          <cell r="Q175"/>
          <cell r="R175"/>
          <cell r="S175"/>
          <cell r="T175"/>
          <cell r="U175"/>
          <cell r="V175"/>
          <cell r="W175"/>
          <cell r="X175"/>
          <cell r="Y175"/>
          <cell r="Z175"/>
          <cell r="AA175"/>
          <cell r="AB175"/>
          <cell r="AC175"/>
          <cell r="AD175"/>
          <cell r="AE175"/>
          <cell r="AF175">
            <v>9.0751919999999995</v>
          </cell>
          <cell r="AG175"/>
          <cell r="AH175"/>
          <cell r="AI175" t="str">
            <v>Co</v>
          </cell>
          <cell r="AJ175" t="str">
            <v>-9.5Al</v>
          </cell>
          <cell r="AK175" t="str">
            <v>-7.2W</v>
          </cell>
          <cell r="AL175" t="str">
            <v>-31.2Ni</v>
          </cell>
          <cell r="AM175" t="str">
            <v/>
          </cell>
          <cell r="AN175" t="str">
            <v>-1.8Ta</v>
          </cell>
          <cell r="AO175" t="str">
            <v/>
          </cell>
          <cell r="AP175" t="str">
            <v/>
          </cell>
          <cell r="AQ175" t="str">
            <v>-2.8Ti</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cell r="BD175" t="str">
            <v/>
          </cell>
          <cell r="BE175" t="str">
            <v/>
          </cell>
          <cell r="BF175" t="str">
            <v/>
          </cell>
          <cell r="BG175" t="str">
            <v/>
          </cell>
          <cell r="BH175" t="str">
            <v>CoNi-2Fan, Z. et al. The temperature dependence of high-temperature strength and deformation mechanism in a single crystal CoNi-base superalloy. Mater. Sci. Eng. A 735, 114–120 (2018).</v>
          </cell>
          <cell r="BI175" t="str">
            <v>Co-31.2Ni-9.5Al-7.2W-2.8Ti-1.8Ta</v>
          </cell>
          <cell r="BJ175" t="str">
            <v>78.7Co-31.2Ni-9.5Al-7.2W-2.8Ti-1.8Ta</v>
          </cell>
        </row>
        <row r="176">
          <cell r="A176" t="str">
            <v>Co-30.5Ni-9.6Al-7.1W</v>
          </cell>
          <cell r="B176" t="str">
            <v>CoAlW-X</v>
          </cell>
          <cell r="C176" t="str">
            <v>-31Ni-10Al-7W</v>
          </cell>
          <cell r="D176" t="str">
            <v>CoNi-1</v>
          </cell>
          <cell r="E176" t="str">
            <v>Fan, Z. et al. The temperature dependence of high-temperature strength and deformation mechanism in a single crystal CoNi-base superalloy. Mater. Sci. Eng. A 735, 114–120 (2018).</v>
          </cell>
          <cell r="F176">
            <v>187</v>
          </cell>
          <cell r="G176">
            <v>52.8</v>
          </cell>
          <cell r="H176">
            <v>30.5</v>
          </cell>
          <cell r="I176">
            <v>9.6</v>
          </cell>
          <cell r="J176"/>
          <cell r="K176">
            <v>7.1</v>
          </cell>
          <cell r="L176"/>
          <cell r="M176"/>
          <cell r="N176"/>
          <cell r="O176"/>
          <cell r="P176"/>
          <cell r="Q176"/>
          <cell r="R176"/>
          <cell r="S176"/>
          <cell r="T176"/>
          <cell r="U176"/>
          <cell r="V176"/>
          <cell r="W176"/>
          <cell r="X176"/>
          <cell r="Y176"/>
          <cell r="Z176"/>
          <cell r="AA176"/>
          <cell r="AB176"/>
          <cell r="AC176"/>
          <cell r="AD176"/>
          <cell r="AE176"/>
          <cell r="AF176">
            <v>9.04209</v>
          </cell>
          <cell r="AG176"/>
          <cell r="AH176"/>
          <cell r="AI176" t="str">
            <v>Co</v>
          </cell>
          <cell r="AJ176" t="str">
            <v>-9.6Al</v>
          </cell>
          <cell r="AK176" t="str">
            <v>-7.1W</v>
          </cell>
          <cell r="AL176" t="str">
            <v>-30.5Ni</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cell r="BD176" t="str">
            <v/>
          </cell>
          <cell r="BE176" t="str">
            <v/>
          </cell>
          <cell r="BF176" t="str">
            <v/>
          </cell>
          <cell r="BG176" t="str">
            <v/>
          </cell>
          <cell r="BH176" t="str">
            <v>CoNi-1Fan, Z. et al. The temperature dependence of high-temperature strength and deformation mechanism in a single crystal CoNi-base superalloy. Mater. Sci. Eng. A 735, 114–120 (2018).</v>
          </cell>
          <cell r="BI176" t="str">
            <v>Co-30.5Ni-9.6Al-7.1W</v>
          </cell>
          <cell r="BJ176" t="str">
            <v>83.3Co-30.5Ni-9.6Al-7.1W</v>
          </cell>
        </row>
        <row r="177">
          <cell r="A177" t="str">
            <v>Co-9.Al-9.W-2.Ta-0.Mo-0.02B</v>
          </cell>
          <cell r="B177" t="str">
            <v>CoAlWX+</v>
          </cell>
          <cell r="C177" t="str">
            <v>-9Al-9W-2Ta-0Mo-B</v>
          </cell>
          <cell r="D177" t="str">
            <v>0Mo</v>
          </cell>
          <cell r="E177" t="str">
            <v>Feng, G., Li, H., Li, S. S. &amp; Sha, J. B. Effect of Mo additions on microstructure and tensile behavior of a Co-Al-W-Ta-B alloy at room temperature. Scr. Mater. 67, 499–502 (2012).</v>
          </cell>
          <cell r="F177">
            <v>188</v>
          </cell>
          <cell r="G177">
            <v>79.98</v>
          </cell>
          <cell r="H177"/>
          <cell r="I177">
            <v>9</v>
          </cell>
          <cell r="J177"/>
          <cell r="K177">
            <v>9</v>
          </cell>
          <cell r="L177"/>
          <cell r="M177">
            <v>2</v>
          </cell>
          <cell r="N177"/>
          <cell r="O177"/>
          <cell r="P177">
            <v>0</v>
          </cell>
          <cell r="Q177"/>
          <cell r="R177"/>
          <cell r="S177">
            <v>0.02</v>
          </cell>
          <cell r="T177"/>
          <cell r="U177"/>
          <cell r="V177"/>
          <cell r="W177"/>
          <cell r="X177"/>
          <cell r="Y177"/>
          <cell r="Z177"/>
          <cell r="AA177"/>
          <cell r="AB177"/>
          <cell r="AC177"/>
          <cell r="AD177"/>
          <cell r="AE177"/>
          <cell r="AF177">
            <v>9.4272120000000008</v>
          </cell>
          <cell r="AG177"/>
          <cell r="AH177"/>
          <cell r="AI177" t="str">
            <v>Co</v>
          </cell>
          <cell r="AJ177" t="str">
            <v>-9.Al</v>
          </cell>
          <cell r="AK177" t="str">
            <v>-9.W</v>
          </cell>
          <cell r="AL177" t="str">
            <v/>
          </cell>
          <cell r="AM177" t="str">
            <v/>
          </cell>
          <cell r="AN177" t="str">
            <v>-2.Ta</v>
          </cell>
          <cell r="AO177" t="str">
            <v/>
          </cell>
          <cell r="AP177" t="str">
            <v/>
          </cell>
          <cell r="AQ177" t="str">
            <v/>
          </cell>
          <cell r="AR177" t="str">
            <v>-0.Mo</v>
          </cell>
          <cell r="AS177" t="str">
            <v/>
          </cell>
          <cell r="AT177" t="str">
            <v/>
          </cell>
          <cell r="AU177" t="str">
            <v>-0.02B</v>
          </cell>
          <cell r="AV177" t="str">
            <v/>
          </cell>
          <cell r="AW177" t="str">
            <v/>
          </cell>
          <cell r="AX177" t="str">
            <v/>
          </cell>
          <cell r="AY177" t="str">
            <v/>
          </cell>
          <cell r="AZ177" t="str">
            <v/>
          </cell>
          <cell r="BA177" t="str">
            <v/>
          </cell>
          <cell r="BB177" t="str">
            <v/>
          </cell>
          <cell r="BC177" t="str">
            <v/>
          </cell>
          <cell r="BD177" t="str">
            <v/>
          </cell>
          <cell r="BE177" t="str">
            <v/>
          </cell>
          <cell r="BF177" t="str">
            <v/>
          </cell>
          <cell r="BG177" t="str">
            <v/>
          </cell>
          <cell r="BH177" t="str">
            <v>0MoFeng, G., Li, H., Li, S. S. &amp; Sha, J. B. Effect of Mo additions on microstructure and tensile behavior of a Co-Al-W-Ta-B alloy at room temperature. Scr. Mater. 67, 499–502 (2012).</v>
          </cell>
          <cell r="BI177" t="str">
            <v>Co-9.Al-9.W-2.Ta-0.Mo-0.02B</v>
          </cell>
          <cell r="BJ177" t="str">
            <v>80.0Co-9.0Al-9.0W-2.0Ta-0.0Mo-0.02B</v>
          </cell>
        </row>
        <row r="178">
          <cell r="A178" t="str">
            <v>Co-9.Al-7.W-2.Ta-2.Mo-0.02B</v>
          </cell>
          <cell r="B178" t="str">
            <v>CoAlWX+</v>
          </cell>
          <cell r="C178" t="str">
            <v>-9Al-7W-2Ta-2Mo-B</v>
          </cell>
          <cell r="D178" t="str">
            <v>2Mo</v>
          </cell>
          <cell r="E178" t="str">
            <v>Feng, G., Li, H., Li, S. S. &amp; Sha, J. B. Effect of Mo additions on microstructure and tensile behavior of a Co-Al-W-Ta-B alloy at room temperature. Scr. Mater. 67, 499–502 (2012).</v>
          </cell>
          <cell r="F178">
            <v>189</v>
          </cell>
          <cell r="G178">
            <v>79.98</v>
          </cell>
          <cell r="H178"/>
          <cell r="I178">
            <v>9</v>
          </cell>
          <cell r="J178"/>
          <cell r="K178">
            <v>7</v>
          </cell>
          <cell r="L178"/>
          <cell r="M178">
            <v>2</v>
          </cell>
          <cell r="N178"/>
          <cell r="O178"/>
          <cell r="P178">
            <v>2</v>
          </cell>
          <cell r="Q178"/>
          <cell r="R178"/>
          <cell r="S178">
            <v>0.02</v>
          </cell>
          <cell r="T178"/>
          <cell r="U178"/>
          <cell r="V178"/>
          <cell r="W178"/>
          <cell r="X178"/>
          <cell r="Y178"/>
          <cell r="Z178"/>
          <cell r="AA178"/>
          <cell r="AB178"/>
          <cell r="AC178"/>
          <cell r="AD178"/>
          <cell r="AE178"/>
          <cell r="AF178">
            <v>9.2478119999999997</v>
          </cell>
          <cell r="AG178"/>
          <cell r="AH178"/>
          <cell r="AI178" t="str">
            <v>Co</v>
          </cell>
          <cell r="AJ178" t="str">
            <v>-9.Al</v>
          </cell>
          <cell r="AK178" t="str">
            <v>-7.W</v>
          </cell>
          <cell r="AL178" t="str">
            <v/>
          </cell>
          <cell r="AM178" t="str">
            <v/>
          </cell>
          <cell r="AN178" t="str">
            <v>-2.Ta</v>
          </cell>
          <cell r="AO178" t="str">
            <v/>
          </cell>
          <cell r="AP178" t="str">
            <v/>
          </cell>
          <cell r="AQ178" t="str">
            <v/>
          </cell>
          <cell r="AR178" t="str">
            <v>-2.Mo</v>
          </cell>
          <cell r="AS178" t="str">
            <v/>
          </cell>
          <cell r="AT178" t="str">
            <v/>
          </cell>
          <cell r="AU178" t="str">
            <v>-0.02B</v>
          </cell>
          <cell r="AV178" t="str">
            <v/>
          </cell>
          <cell r="AW178" t="str">
            <v/>
          </cell>
          <cell r="AX178" t="str">
            <v/>
          </cell>
          <cell r="AY178" t="str">
            <v/>
          </cell>
          <cell r="AZ178" t="str">
            <v/>
          </cell>
          <cell r="BA178" t="str">
            <v/>
          </cell>
          <cell r="BB178" t="str">
            <v/>
          </cell>
          <cell r="BC178" t="str">
            <v/>
          </cell>
          <cell r="BD178" t="str">
            <v/>
          </cell>
          <cell r="BE178" t="str">
            <v/>
          </cell>
          <cell r="BF178" t="str">
            <v/>
          </cell>
          <cell r="BG178" t="str">
            <v/>
          </cell>
          <cell r="BH178" t="str">
            <v>2MoFeng, G., Li, H., Li, S. S. &amp; Sha, J. B. Effect of Mo additions on microstructure and tensile behavior of a Co-Al-W-Ta-B alloy at room temperature. Scr. Mater. 67, 499–502 (2012).</v>
          </cell>
          <cell r="BI178" t="str">
            <v>Co-9.Al-7.W-2.Ta-2.Mo-0.02B</v>
          </cell>
          <cell r="BJ178" t="str">
            <v>80.0Co-9.0Al-7.0W-2.0Ta-2.0Mo-0.02B</v>
          </cell>
        </row>
        <row r="179">
          <cell r="A179" t="str">
            <v>Co-9.Al-5.W-2.Ta-4.Mo-0.02B</v>
          </cell>
          <cell r="B179" t="str">
            <v>CoAlWX+</v>
          </cell>
          <cell r="C179" t="str">
            <v>-9Al-5W-2Ta-4Mo-B</v>
          </cell>
          <cell r="D179" t="str">
            <v>4Mo</v>
          </cell>
          <cell r="E179" t="str">
            <v>Feng, G., Li, H., Li, S. S. &amp; Sha, J. B. Effect of Mo additions on microstructure and tensile behavior of a Co-Al-W-Ta-B alloy at room temperature. Scr. Mater. 67, 499–502 (2012).</v>
          </cell>
          <cell r="F179">
            <v>190</v>
          </cell>
          <cell r="G179">
            <v>79.98</v>
          </cell>
          <cell r="H179"/>
          <cell r="I179">
            <v>9</v>
          </cell>
          <cell r="J179"/>
          <cell r="K179">
            <v>5</v>
          </cell>
          <cell r="L179"/>
          <cell r="M179">
            <v>2</v>
          </cell>
          <cell r="N179"/>
          <cell r="O179"/>
          <cell r="P179">
            <v>4</v>
          </cell>
          <cell r="Q179"/>
          <cell r="R179"/>
          <cell r="S179">
            <v>0.02</v>
          </cell>
          <cell r="T179"/>
          <cell r="U179"/>
          <cell r="V179"/>
          <cell r="W179"/>
          <cell r="X179"/>
          <cell r="Y179"/>
          <cell r="Z179"/>
          <cell r="AA179"/>
          <cell r="AB179"/>
          <cell r="AC179"/>
          <cell r="AD179"/>
          <cell r="AE179"/>
          <cell r="AF179">
            <v>9.0684120000000004</v>
          </cell>
          <cell r="AG179"/>
          <cell r="AH179"/>
          <cell r="AI179" t="str">
            <v>Co</v>
          </cell>
          <cell r="AJ179" t="str">
            <v>-9.Al</v>
          </cell>
          <cell r="AK179" t="str">
            <v>-5.W</v>
          </cell>
          <cell r="AL179" t="str">
            <v/>
          </cell>
          <cell r="AM179" t="str">
            <v/>
          </cell>
          <cell r="AN179" t="str">
            <v>-2.Ta</v>
          </cell>
          <cell r="AO179" t="str">
            <v/>
          </cell>
          <cell r="AP179" t="str">
            <v/>
          </cell>
          <cell r="AQ179" t="str">
            <v/>
          </cell>
          <cell r="AR179" t="str">
            <v>-4.Mo</v>
          </cell>
          <cell r="AS179" t="str">
            <v/>
          </cell>
          <cell r="AT179" t="str">
            <v/>
          </cell>
          <cell r="AU179" t="str">
            <v>-0.02B</v>
          </cell>
          <cell r="AV179" t="str">
            <v/>
          </cell>
          <cell r="AW179" t="str">
            <v/>
          </cell>
          <cell r="AX179" t="str">
            <v/>
          </cell>
          <cell r="AY179" t="str">
            <v/>
          </cell>
          <cell r="AZ179" t="str">
            <v/>
          </cell>
          <cell r="BA179" t="str">
            <v/>
          </cell>
          <cell r="BB179" t="str">
            <v/>
          </cell>
          <cell r="BC179" t="str">
            <v/>
          </cell>
          <cell r="BD179" t="str">
            <v/>
          </cell>
          <cell r="BE179" t="str">
            <v/>
          </cell>
          <cell r="BF179" t="str">
            <v/>
          </cell>
          <cell r="BG179" t="str">
            <v/>
          </cell>
          <cell r="BH179" t="str">
            <v>4MoFeng, G., Li, H., Li, S. S. &amp; Sha, J. B. Effect of Mo additions on microstructure and tensile behavior of a Co-Al-W-Ta-B alloy at room temperature. Scr. Mater. 67, 499–502 (2012).</v>
          </cell>
          <cell r="BI179" t="str">
            <v>Co-9.Al-5.W-2.Ta-4.Mo-0.02B</v>
          </cell>
          <cell r="BJ179" t="str">
            <v>80.0Co-9.0Al-5.0W-2.0Ta-4.0Mo-0.02B</v>
          </cell>
        </row>
        <row r="180">
          <cell r="A180" t="str">
            <v>Co-9.Al-3.W-2.Ta-6.Mo-0.02B</v>
          </cell>
          <cell r="B180" t="str">
            <v>CoAlWX+</v>
          </cell>
          <cell r="C180" t="str">
            <v>-9Al-3W-2Ta-6Mo-B</v>
          </cell>
          <cell r="D180" t="str">
            <v>6Mo</v>
          </cell>
          <cell r="E180" t="str">
            <v>Feng, G., Li, H., Li, S. S. &amp; Sha, J. B. Effect of Mo additions on microstructure and tensile behavior of a Co-Al-W-Ta-B alloy at room temperature. Scr. Mater. 67, 499–502 (2012).</v>
          </cell>
          <cell r="F180">
            <v>191</v>
          </cell>
          <cell r="G180">
            <v>79.98</v>
          </cell>
          <cell r="H180"/>
          <cell r="I180">
            <v>9</v>
          </cell>
          <cell r="J180"/>
          <cell r="K180">
            <v>3</v>
          </cell>
          <cell r="L180"/>
          <cell r="M180">
            <v>2</v>
          </cell>
          <cell r="N180"/>
          <cell r="O180"/>
          <cell r="P180">
            <v>6</v>
          </cell>
          <cell r="Q180"/>
          <cell r="R180"/>
          <cell r="S180">
            <v>0.02</v>
          </cell>
          <cell r="T180"/>
          <cell r="U180"/>
          <cell r="V180"/>
          <cell r="W180"/>
          <cell r="X180"/>
          <cell r="Y180"/>
          <cell r="Z180"/>
          <cell r="AA180"/>
          <cell r="AB180"/>
          <cell r="AC180"/>
          <cell r="AD180"/>
          <cell r="AE180"/>
          <cell r="AF180">
            <v>8.889012000000001</v>
          </cell>
          <cell r="AG180"/>
          <cell r="AH180"/>
          <cell r="AI180" t="str">
            <v>Co</v>
          </cell>
          <cell r="AJ180" t="str">
            <v>-9.Al</v>
          </cell>
          <cell r="AK180" t="str">
            <v>-3.W</v>
          </cell>
          <cell r="AL180" t="str">
            <v/>
          </cell>
          <cell r="AM180" t="str">
            <v/>
          </cell>
          <cell r="AN180" t="str">
            <v>-2.Ta</v>
          </cell>
          <cell r="AO180" t="str">
            <v/>
          </cell>
          <cell r="AP180" t="str">
            <v/>
          </cell>
          <cell r="AQ180" t="str">
            <v/>
          </cell>
          <cell r="AR180" t="str">
            <v>-6.Mo</v>
          </cell>
          <cell r="AS180" t="str">
            <v/>
          </cell>
          <cell r="AT180" t="str">
            <v/>
          </cell>
          <cell r="AU180" t="str">
            <v>-0.02B</v>
          </cell>
          <cell r="AV180" t="str">
            <v/>
          </cell>
          <cell r="AW180" t="str">
            <v/>
          </cell>
          <cell r="AX180" t="str">
            <v/>
          </cell>
          <cell r="AY180" t="str">
            <v/>
          </cell>
          <cell r="AZ180" t="str">
            <v/>
          </cell>
          <cell r="BA180" t="str">
            <v/>
          </cell>
          <cell r="BB180" t="str">
            <v/>
          </cell>
          <cell r="BC180" t="str">
            <v/>
          </cell>
          <cell r="BD180" t="str">
            <v/>
          </cell>
          <cell r="BE180" t="str">
            <v/>
          </cell>
          <cell r="BF180" t="str">
            <v/>
          </cell>
          <cell r="BG180" t="str">
            <v/>
          </cell>
          <cell r="BH180" t="str">
            <v>6MoFeng, G., Li, H., Li, S. S. &amp; Sha, J. B. Effect of Mo additions on microstructure and tensile behavior of a Co-Al-W-Ta-B alloy at room temperature. Scr. Mater. 67, 499–502 (2012).</v>
          </cell>
          <cell r="BI180" t="str">
            <v>Co-9.Al-3.W-2.Ta-6.Mo-0.02B</v>
          </cell>
          <cell r="BJ180" t="str">
            <v>80.0Co-9.0Al-3.0W-2.0Ta-6.0Mo-0.02B</v>
          </cell>
        </row>
        <row r="181">
          <cell r="A181" t="str">
            <v>Co-9.Al-2.Ta-9.Mo-0.02B</v>
          </cell>
          <cell r="B181" t="str">
            <v>W-free</v>
          </cell>
          <cell r="C181" t="str">
            <v>-9Al-2Ta-9Mo-B</v>
          </cell>
          <cell r="D181" t="str">
            <v>9Mo</v>
          </cell>
          <cell r="E181" t="str">
            <v>Feng, G., Li, H., Li, S. S. &amp; Sha, J. B. Effect of Mo additions on microstructure and tensile behavior of a Co-Al-W-Ta-B alloy at room temperature. Scr. Mater. 67, 499–502 (2012).</v>
          </cell>
          <cell r="F181">
            <v>192</v>
          </cell>
          <cell r="G181">
            <v>79.98</v>
          </cell>
          <cell r="H181"/>
          <cell r="I181">
            <v>9</v>
          </cell>
          <cell r="J181"/>
          <cell r="K181"/>
          <cell r="L181"/>
          <cell r="M181">
            <v>2</v>
          </cell>
          <cell r="N181"/>
          <cell r="O181"/>
          <cell r="P181">
            <v>9</v>
          </cell>
          <cell r="Q181"/>
          <cell r="R181"/>
          <cell r="S181">
            <v>0.02</v>
          </cell>
          <cell r="T181"/>
          <cell r="U181"/>
          <cell r="V181"/>
          <cell r="W181"/>
          <cell r="X181"/>
          <cell r="Y181"/>
          <cell r="Z181"/>
          <cell r="AA181"/>
          <cell r="AB181"/>
          <cell r="AC181"/>
          <cell r="AD181"/>
          <cell r="AE181"/>
          <cell r="AF181">
            <v>8.6199120000000011</v>
          </cell>
          <cell r="AG181"/>
          <cell r="AH181"/>
          <cell r="AI181" t="str">
            <v>Co</v>
          </cell>
          <cell r="AJ181" t="str">
            <v>-9.Al</v>
          </cell>
          <cell r="AK181" t="str">
            <v/>
          </cell>
          <cell r="AL181" t="str">
            <v/>
          </cell>
          <cell r="AM181" t="str">
            <v/>
          </cell>
          <cell r="AN181" t="str">
            <v>-2.Ta</v>
          </cell>
          <cell r="AO181" t="str">
            <v/>
          </cell>
          <cell r="AP181" t="str">
            <v/>
          </cell>
          <cell r="AQ181" t="str">
            <v/>
          </cell>
          <cell r="AR181" t="str">
            <v>-9.Mo</v>
          </cell>
          <cell r="AS181" t="str">
            <v/>
          </cell>
          <cell r="AT181" t="str">
            <v/>
          </cell>
          <cell r="AU181" t="str">
            <v>-0.02B</v>
          </cell>
          <cell r="AV181" t="str">
            <v/>
          </cell>
          <cell r="AW181" t="str">
            <v/>
          </cell>
          <cell r="AX181" t="str">
            <v/>
          </cell>
          <cell r="AY181" t="str">
            <v/>
          </cell>
          <cell r="AZ181" t="str">
            <v/>
          </cell>
          <cell r="BA181" t="str">
            <v/>
          </cell>
          <cell r="BB181" t="str">
            <v/>
          </cell>
          <cell r="BC181" t="str">
            <v/>
          </cell>
          <cell r="BD181" t="str">
            <v/>
          </cell>
          <cell r="BE181" t="str">
            <v/>
          </cell>
          <cell r="BF181" t="str">
            <v/>
          </cell>
          <cell r="BG181" t="str">
            <v/>
          </cell>
          <cell r="BH181" t="str">
            <v>9MoFeng, G., Li, H., Li, S. S. &amp; Sha, J. B. Effect of Mo additions on microstructure and tensile behavior of a Co-Al-W-Ta-B alloy at room temperature. Scr. Mater. 67, 499–502 (2012).</v>
          </cell>
          <cell r="BI181" t="str">
            <v>Co-9.Al-2.Ta-9.Mo-0.02B</v>
          </cell>
          <cell r="BJ181" t="str">
            <v>80.0Co-9.0Al-2.0Ta-9.0Mo-0.02B</v>
          </cell>
        </row>
        <row r="182">
          <cell r="A182" t="str">
            <v>Co-11.7Al-9.W-2.1Ti-1.7Ta</v>
          </cell>
          <cell r="B182" t="str">
            <v>CoAlWX+</v>
          </cell>
          <cell r="C182" t="str">
            <v>-12Al-9W-2Ti-2Ta</v>
          </cell>
          <cell r="D182" t="str">
            <v>Co-12Al-10W-2Ti-2Ta</v>
          </cell>
          <cell r="E182" t="str">
            <v>Ferreras, R. C., Gálvez Díaz-Rubio, F. &amp; Campos Gómez, M. TESIS DOCTORAL Design of high temperature cobalt-based alloys processed by powder metallurgy route Autor.</v>
          </cell>
          <cell r="F182">
            <v>193</v>
          </cell>
          <cell r="G182">
            <v>75.489999999999995</v>
          </cell>
          <cell r="H182"/>
          <cell r="I182">
            <v>11.65</v>
          </cell>
          <cell r="J182"/>
          <cell r="K182">
            <v>9.0299999999999994</v>
          </cell>
          <cell r="L182">
            <v>2.14</v>
          </cell>
          <cell r="M182">
            <v>1.69</v>
          </cell>
          <cell r="N182"/>
          <cell r="O182"/>
          <cell r="P182"/>
          <cell r="Q182"/>
          <cell r="R182"/>
          <cell r="S182"/>
          <cell r="T182"/>
          <cell r="U182"/>
          <cell r="V182"/>
          <cell r="W182"/>
          <cell r="X182"/>
          <cell r="Y182"/>
          <cell r="Z182"/>
          <cell r="AA182"/>
          <cell r="AB182"/>
          <cell r="AC182"/>
          <cell r="AD182"/>
          <cell r="AE182"/>
          <cell r="AF182">
            <v>9.1492698000000008</v>
          </cell>
          <cell r="AG182">
            <v>9.11</v>
          </cell>
          <cell r="AH182" t="str">
            <v>powder metallurgy study, only reporting cast, verified by EDS</v>
          </cell>
          <cell r="AI182" t="str">
            <v>Co</v>
          </cell>
          <cell r="AJ182" t="str">
            <v>-11.7Al</v>
          </cell>
          <cell r="AK182" t="str">
            <v>-9.W</v>
          </cell>
          <cell r="AL182" t="str">
            <v/>
          </cell>
          <cell r="AM182" t="str">
            <v/>
          </cell>
          <cell r="AN182" t="str">
            <v>-1.7Ta</v>
          </cell>
          <cell r="AO182" t="str">
            <v/>
          </cell>
          <cell r="AP182" t="str">
            <v/>
          </cell>
          <cell r="AQ182" t="str">
            <v>-2.1Ti</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cell r="BD182" t="str">
            <v/>
          </cell>
          <cell r="BE182" t="str">
            <v/>
          </cell>
          <cell r="BF182" t="str">
            <v/>
          </cell>
          <cell r="BG182" t="str">
            <v/>
          </cell>
          <cell r="BH182" t="str">
            <v>Co-12Al-10W-2Ti-2TaFerreras, R. C., Gálvez Díaz-Rubio, F. &amp; Campos Gómez, M. TESIS DOCTORAL Design of high temperature cobalt-based alloys processed by powder metallurgy route Autor.</v>
          </cell>
          <cell r="BI182" t="str">
            <v>Co-11.7Al-9.W-2.1Ti-1.7Ta</v>
          </cell>
          <cell r="BJ182" t="str">
            <v>75.5Co-11.7Al-9.0W-2.1Ti-1.7Ta</v>
          </cell>
        </row>
        <row r="183">
          <cell r="A183" t="str">
            <v>Co-13.7Al-7.7W</v>
          </cell>
          <cell r="B183" t="str">
            <v>CoAlW-X</v>
          </cell>
          <cell r="C183" t="str">
            <v>-14Al-8W</v>
          </cell>
          <cell r="D183" t="str">
            <v>Co-12Al-10W</v>
          </cell>
          <cell r="E183" t="str">
            <v>Ferreras, R. C., Gálvez Díaz-Rubio, F. &amp; Campos Gómez, M. TESIS DOCTORAL Design of high temperature cobalt-based alloys processed by powder metallurgy route Autor.</v>
          </cell>
          <cell r="F183">
            <v>194</v>
          </cell>
          <cell r="G183">
            <v>78.63</v>
          </cell>
          <cell r="H183"/>
          <cell r="I183">
            <v>13.66</v>
          </cell>
          <cell r="J183"/>
          <cell r="K183">
            <v>7.71</v>
          </cell>
          <cell r="L183"/>
          <cell r="M183"/>
          <cell r="N183"/>
          <cell r="O183"/>
          <cell r="P183"/>
          <cell r="Q183"/>
          <cell r="R183"/>
          <cell r="S183"/>
          <cell r="T183"/>
          <cell r="U183"/>
          <cell r="V183"/>
          <cell r="W183"/>
          <cell r="X183"/>
          <cell r="Y183"/>
          <cell r="Z183"/>
          <cell r="AA183"/>
          <cell r="AB183"/>
          <cell r="AC183"/>
          <cell r="AD183"/>
          <cell r="AE183"/>
          <cell r="AF183">
            <v>8.8510650000000002</v>
          </cell>
          <cell r="AG183">
            <v>9.11</v>
          </cell>
          <cell r="AH183" t="str">
            <v>powder metallurgy study, only reporting cast, verified by EDS</v>
          </cell>
          <cell r="AI183" t="str">
            <v>Co</v>
          </cell>
          <cell r="AJ183" t="str">
            <v>-13.7Al</v>
          </cell>
          <cell r="AK183" t="str">
            <v>-7.7W</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cell r="BD183" t="str">
            <v/>
          </cell>
          <cell r="BE183" t="str">
            <v/>
          </cell>
          <cell r="BF183" t="str">
            <v/>
          </cell>
          <cell r="BG183" t="str">
            <v/>
          </cell>
          <cell r="BH183" t="str">
            <v>Co-12Al-10WFerreras, R. C., Gálvez Díaz-Rubio, F. &amp; Campos Gómez, M. TESIS DOCTORAL Design of high temperature cobalt-based alloys processed by powder metallurgy route Autor.</v>
          </cell>
          <cell r="BI183" t="str">
            <v>Co-13.7Al-7.7W</v>
          </cell>
          <cell r="BJ183" t="str">
            <v>78.6Co-13.7Al-7.7W</v>
          </cell>
        </row>
        <row r="184">
          <cell r="A184" t="str">
            <v>Co-32.Ni-6.Al-12.Cr-3.W-2.5Ti-1.5Ta-0.4Si-0.1Hf-0.08C-0.01Zr-0.08B</v>
          </cell>
          <cell r="B184" t="str">
            <v>CoAlWX+</v>
          </cell>
          <cell r="C184" t="str">
            <v>-32Ni-6Al-12Cr-3W-3Ti-2Ta-Si-Hf-C-Zr-B</v>
          </cell>
          <cell r="D184" t="str">
            <v>CoWAlloy1</v>
          </cell>
          <cell r="E184" t="str">
            <v>Freund, L. P. et al. High temperature properties and fatigue strength of novel wrought γ/γ′ Co-base superalloys. J. Mater. Res. 32, 4475–4482 (2017).</v>
          </cell>
          <cell r="F184">
            <v>195</v>
          </cell>
          <cell r="G184">
            <v>42.330000000000005</v>
          </cell>
          <cell r="H184">
            <v>32</v>
          </cell>
          <cell r="I184">
            <v>6</v>
          </cell>
          <cell r="J184">
            <v>12</v>
          </cell>
          <cell r="K184">
            <v>3</v>
          </cell>
          <cell r="L184">
            <v>2.5</v>
          </cell>
          <cell r="M184">
            <v>1.5</v>
          </cell>
          <cell r="N184"/>
          <cell r="O184"/>
          <cell r="P184"/>
          <cell r="Q184">
            <v>0.08</v>
          </cell>
          <cell r="R184">
            <v>0.01</v>
          </cell>
          <cell r="S184">
            <v>0.08</v>
          </cell>
          <cell r="T184"/>
          <cell r="U184"/>
          <cell r="V184">
            <v>0.4</v>
          </cell>
          <cell r="W184"/>
          <cell r="X184"/>
          <cell r="Y184">
            <v>0.1</v>
          </cell>
          <cell r="Z184"/>
          <cell r="AA184"/>
          <cell r="AB184"/>
          <cell r="AC184"/>
          <cell r="AD184"/>
          <cell r="AE184"/>
          <cell r="AF184">
            <v>8.6097121000000012</v>
          </cell>
          <cell r="AG184">
            <v>8.83</v>
          </cell>
          <cell r="AH184"/>
          <cell r="AI184" t="str">
            <v>Co</v>
          </cell>
          <cell r="AJ184" t="str">
            <v>-6.Al</v>
          </cell>
          <cell r="AK184" t="str">
            <v>-3.W</v>
          </cell>
          <cell r="AL184" t="str">
            <v>-32.Ni</v>
          </cell>
          <cell r="AM184" t="str">
            <v>-12.Cr</v>
          </cell>
          <cell r="AN184" t="str">
            <v>-1.5Ta</v>
          </cell>
          <cell r="AO184" t="str">
            <v/>
          </cell>
          <cell r="AP184" t="str">
            <v/>
          </cell>
          <cell r="AQ184" t="str">
            <v>-2.5Ti</v>
          </cell>
          <cell r="AR184" t="str">
            <v/>
          </cell>
          <cell r="AS184" t="str">
            <v>-0.08C</v>
          </cell>
          <cell r="AT184" t="str">
            <v>-0.01Zr</v>
          </cell>
          <cell r="AU184" t="str">
            <v>-0.08B</v>
          </cell>
          <cell r="AV184" t="str">
            <v/>
          </cell>
          <cell r="AW184" t="str">
            <v/>
          </cell>
          <cell r="AX184" t="str">
            <v>-0.4Si</v>
          </cell>
          <cell r="AY184" t="str">
            <v/>
          </cell>
          <cell r="AZ184" t="str">
            <v/>
          </cell>
          <cell r="BA184" t="str">
            <v>-0.1Hf</v>
          </cell>
          <cell r="BB184" t="str">
            <v/>
          </cell>
          <cell r="BC184" t="str">
            <v/>
          </cell>
          <cell r="BD184" t="str">
            <v/>
          </cell>
          <cell r="BE184" t="str">
            <v/>
          </cell>
          <cell r="BF184" t="str">
            <v/>
          </cell>
          <cell r="BG184" t="str">
            <v/>
          </cell>
          <cell r="BH184" t="str">
            <v>CoWAlloy1Freund, L. P. et al. High temperature properties and fatigue strength of novel wrought γ/γ′ Co-base superalloys. J. Mater. Res. 32, 4475–4482 (2017).</v>
          </cell>
          <cell r="BI184" t="str">
            <v>Co-32.Ni-6.Al-12.Cr-3.W-2.5Ti-1.5Ta-0.4Si-0.1Hf-0.08C-0.01Zr-0.08B</v>
          </cell>
          <cell r="BJ184" t="str">
            <v>74.3Co-32.0Ni-6.0Al-12.0Cr-3.0W-2.5Ti-1.5Ta-0.4Si-0.1Hf-0.08C-0.01Zr-0.08B</v>
          </cell>
        </row>
        <row r="185">
          <cell r="A185" t="str">
            <v>Co-31.8Ni-8.7Al-12.6Cr-4.7W-0.3Ti-0.2Ta-0.4Si-0.1Hf-0.08C-0.01Zr-0.08B</v>
          </cell>
          <cell r="B185" t="str">
            <v>CoAlWX+</v>
          </cell>
          <cell r="C185" t="str">
            <v>-32Ni-9Al-13Cr-5W-0Ti-0Ta-Si-Hf-C-Zr-B</v>
          </cell>
          <cell r="D185" t="str">
            <v>CoWAlloy2</v>
          </cell>
          <cell r="E185" t="str">
            <v>Freund, L. P. et al. Segregation assisted microtwinning during creep of a polycrystalline L12-hardened Co-base superalloy. Acta Mater. 123, 295–304 (2017).</v>
          </cell>
          <cell r="F185">
            <v>196</v>
          </cell>
          <cell r="G185">
            <v>41.03</v>
          </cell>
          <cell r="H185">
            <v>31.8</v>
          </cell>
          <cell r="I185">
            <v>8.6999999999999993</v>
          </cell>
          <cell r="J185">
            <v>12.6</v>
          </cell>
          <cell r="K185">
            <v>4.7</v>
          </cell>
          <cell r="L185">
            <v>0.3</v>
          </cell>
          <cell r="M185">
            <v>0.2</v>
          </cell>
          <cell r="N185"/>
          <cell r="O185"/>
          <cell r="P185"/>
          <cell r="Q185">
            <v>0.08</v>
          </cell>
          <cell r="R185">
            <v>0.01</v>
          </cell>
          <cell r="S185">
            <v>0.08</v>
          </cell>
          <cell r="T185"/>
          <cell r="U185"/>
          <cell r="V185">
            <v>0.4</v>
          </cell>
          <cell r="W185"/>
          <cell r="X185"/>
          <cell r="Y185">
            <v>0.1</v>
          </cell>
          <cell r="Z185"/>
          <cell r="AA185"/>
          <cell r="AB185"/>
          <cell r="AC185"/>
          <cell r="AD185"/>
          <cell r="AE185"/>
          <cell r="AF185">
            <v>8.6038821000000016</v>
          </cell>
          <cell r="AG185">
            <v>8.92</v>
          </cell>
          <cell r="AH185" t="str">
            <v>Ta, Si, Zr, Hf, B, C not determined by EDS</v>
          </cell>
          <cell r="AI185" t="str">
            <v>Co</v>
          </cell>
          <cell r="AJ185" t="str">
            <v>-8.7Al</v>
          </cell>
          <cell r="AK185" t="str">
            <v>-4.7W</v>
          </cell>
          <cell r="AL185" t="str">
            <v>-31.8Ni</v>
          </cell>
          <cell r="AM185" t="str">
            <v>-12.6Cr</v>
          </cell>
          <cell r="AN185" t="str">
            <v>-0.2Ta</v>
          </cell>
          <cell r="AO185" t="str">
            <v/>
          </cell>
          <cell r="AP185" t="str">
            <v/>
          </cell>
          <cell r="AQ185" t="str">
            <v>-0.3Ti</v>
          </cell>
          <cell r="AR185" t="str">
            <v/>
          </cell>
          <cell r="AS185" t="str">
            <v>-0.08C</v>
          </cell>
          <cell r="AT185" t="str">
            <v>-0.01Zr</v>
          </cell>
          <cell r="AU185" t="str">
            <v>-0.08B</v>
          </cell>
          <cell r="AV185" t="str">
            <v/>
          </cell>
          <cell r="AW185" t="str">
            <v/>
          </cell>
          <cell r="AX185" t="str">
            <v>-0.4Si</v>
          </cell>
          <cell r="AY185" t="str">
            <v/>
          </cell>
          <cell r="AZ185" t="str">
            <v/>
          </cell>
          <cell r="BA185" t="str">
            <v>-0.1Hf</v>
          </cell>
          <cell r="BB185" t="str">
            <v/>
          </cell>
          <cell r="BC185" t="str">
            <v/>
          </cell>
          <cell r="BD185" t="str">
            <v/>
          </cell>
          <cell r="BE185" t="str">
            <v/>
          </cell>
          <cell r="BF185" t="str">
            <v/>
          </cell>
          <cell r="BG185" t="str">
            <v/>
          </cell>
          <cell r="BH185" t="str">
            <v>CoWAlloy2Freund, L. P. et al. Segregation assisted microtwinning during creep of a polycrystalline L12-hardened Co-base superalloy. Acta Mater. 123, 295–304 (2017).</v>
          </cell>
          <cell r="BI185" t="str">
            <v>Co-31.8Ni-8.7Al-12.6Cr-4.7W-0.3Ti-0.2Ta-0.4Si-0.1Hf-0.08C-0.01Zr-0.08B</v>
          </cell>
          <cell r="BJ185" t="str">
            <v>72.8Co-31.8Ni-8.7Al-12.6Cr-4.7W-0.3Ti-0.2Ta-0.4Si-0.1Hf-0.08C-0.01Zr-0.08B</v>
          </cell>
        </row>
        <row r="186">
          <cell r="A186" t="str">
            <v>Co-32.Ni-11.Al-12.Cr-3.W-0.3Ti-0.2Ta-0.4Si-0.1Hf-0.08C-0.01Zr-0.08B</v>
          </cell>
          <cell r="B186" t="str">
            <v>CoAlWX+</v>
          </cell>
          <cell r="C186" t="str">
            <v>-32Ni-11Al-12Cr-3W-0Ti-0Ta-Si-Hf-C-Zr-B</v>
          </cell>
          <cell r="D186" t="str">
            <v>CoWAlloy6</v>
          </cell>
          <cell r="E186" t="str">
            <v>Freund, L. P. et al. The Effect of a Grain Boundary Pinning B2 Phase on Polycrystalline Co-Based Superalloys with Reduced Density. Metall. Mater. Trans. A Phys. Metall. Mater. Sci. 49, 4070–4078 (2018).</v>
          </cell>
          <cell r="F186">
            <v>197</v>
          </cell>
          <cell r="G186">
            <v>40.830000000000005</v>
          </cell>
          <cell r="H186">
            <v>32</v>
          </cell>
          <cell r="I186">
            <v>11</v>
          </cell>
          <cell r="J186">
            <v>12</v>
          </cell>
          <cell r="K186">
            <v>3</v>
          </cell>
          <cell r="L186">
            <v>0.3</v>
          </cell>
          <cell r="M186">
            <v>0.2</v>
          </cell>
          <cell r="N186"/>
          <cell r="O186"/>
          <cell r="P186"/>
          <cell r="Q186">
            <v>0.08</v>
          </cell>
          <cell r="R186">
            <v>0.01</v>
          </cell>
          <cell r="S186">
            <v>0.08</v>
          </cell>
          <cell r="T186"/>
          <cell r="U186"/>
          <cell r="V186">
            <v>0.4</v>
          </cell>
          <cell r="W186"/>
          <cell r="X186"/>
          <cell r="Y186">
            <v>0.1</v>
          </cell>
          <cell r="Z186"/>
          <cell r="AA186"/>
          <cell r="AB186"/>
          <cell r="AC186"/>
          <cell r="AD186"/>
          <cell r="AE186"/>
          <cell r="AF186">
            <v>8.2956081000000008</v>
          </cell>
          <cell r="AG186">
            <v>8.52</v>
          </cell>
          <cell r="AH186"/>
          <cell r="AI186" t="str">
            <v>Co</v>
          </cell>
          <cell r="AJ186" t="str">
            <v>-11.Al</v>
          </cell>
          <cell r="AK186" t="str">
            <v>-3.W</v>
          </cell>
          <cell r="AL186" t="str">
            <v>-32.Ni</v>
          </cell>
          <cell r="AM186" t="str">
            <v>-12.Cr</v>
          </cell>
          <cell r="AN186" t="str">
            <v>-0.2Ta</v>
          </cell>
          <cell r="AO186" t="str">
            <v/>
          </cell>
          <cell r="AP186" t="str">
            <v/>
          </cell>
          <cell r="AQ186" t="str">
            <v>-0.3Ti</v>
          </cell>
          <cell r="AR186" t="str">
            <v/>
          </cell>
          <cell r="AS186" t="str">
            <v>-0.08C</v>
          </cell>
          <cell r="AT186" t="str">
            <v>-0.01Zr</v>
          </cell>
          <cell r="AU186" t="str">
            <v>-0.08B</v>
          </cell>
          <cell r="AV186" t="str">
            <v/>
          </cell>
          <cell r="AW186" t="str">
            <v/>
          </cell>
          <cell r="AX186" t="str">
            <v>-0.4Si</v>
          </cell>
          <cell r="AY186" t="str">
            <v/>
          </cell>
          <cell r="AZ186" t="str">
            <v/>
          </cell>
          <cell r="BA186" t="str">
            <v>-0.1Hf</v>
          </cell>
          <cell r="BB186" t="str">
            <v/>
          </cell>
          <cell r="BC186" t="str">
            <v/>
          </cell>
          <cell r="BD186" t="str">
            <v/>
          </cell>
          <cell r="BE186" t="str">
            <v/>
          </cell>
          <cell r="BF186" t="str">
            <v/>
          </cell>
          <cell r="BG186" t="str">
            <v/>
          </cell>
          <cell r="BH186" t="str">
            <v>CoWAlloy6Freund, L. P. et al. The Effect of a Grain Boundary Pinning B2 Phase on Polycrystalline Co-Based Superalloys with Reduced Density. Metall. Mater. Trans. A Phys. Metall. Mater. Sci. 49, 4070–4078 (2018).</v>
          </cell>
          <cell r="BI186" t="str">
            <v>Co-32.Ni-11.Al-12.Cr-3.W-0.3Ti-0.2Ta-0.4Si-0.1Hf-0.08C-0.01Zr-0.08B</v>
          </cell>
          <cell r="BJ186" t="str">
            <v>72.8Co-32.0Ni-11.0Al-12.0Cr-3.0W-0.3Ti-0.2Ta-0.4Si-0.1Hf-0.08C-0.01Zr-0.08B</v>
          </cell>
        </row>
        <row r="187">
          <cell r="A187" t="str">
            <v>Co-32.Ni-9.Al-12.Cr-5.W-0.3Ti-0.2Ta-1.Mo-0.4Si-0.1Hf-0.08C-0.01Zr-0.08B</v>
          </cell>
          <cell r="B187" t="str">
            <v>CoAlWX+</v>
          </cell>
          <cell r="C187" t="str">
            <v>-32Ni-9Al-12Cr-5W-0Ti-0Ta-1Mo-Si-Hf-C-Zr-B</v>
          </cell>
          <cell r="D187" t="str">
            <v>CoWAlloy3</v>
          </cell>
          <cell r="E187" t="str">
            <v>Freund, L. P. et al. The grain boundary pinning effect of the μ phase in an advanced polycrystalline γ/γ′ Co-base superalloy. J. Alloys Compd. 753, 333–342 (2018).</v>
          </cell>
          <cell r="F187">
            <v>198</v>
          </cell>
          <cell r="G187">
            <v>39.830000000000005</v>
          </cell>
          <cell r="H187">
            <v>32</v>
          </cell>
          <cell r="I187">
            <v>9</v>
          </cell>
          <cell r="J187">
            <v>12</v>
          </cell>
          <cell r="K187">
            <v>5</v>
          </cell>
          <cell r="L187">
            <v>0.3</v>
          </cell>
          <cell r="M187">
            <v>0.2</v>
          </cell>
          <cell r="N187"/>
          <cell r="O187"/>
          <cell r="P187">
            <v>1</v>
          </cell>
          <cell r="Q187">
            <v>0.08</v>
          </cell>
          <cell r="R187">
            <v>0.01</v>
          </cell>
          <cell r="S187">
            <v>0.08</v>
          </cell>
          <cell r="T187"/>
          <cell r="U187"/>
          <cell r="V187">
            <v>0.4</v>
          </cell>
          <cell r="W187"/>
          <cell r="X187"/>
          <cell r="Y187">
            <v>0.1</v>
          </cell>
          <cell r="Z187"/>
          <cell r="AA187"/>
          <cell r="AB187"/>
          <cell r="AC187"/>
          <cell r="AD187"/>
          <cell r="AE187"/>
          <cell r="AF187">
            <v>8.6404081000000001</v>
          </cell>
          <cell r="AG187"/>
          <cell r="AH187"/>
          <cell r="AI187" t="str">
            <v>Co</v>
          </cell>
          <cell r="AJ187" t="str">
            <v>-9.Al</v>
          </cell>
          <cell r="AK187" t="str">
            <v>-5.W</v>
          </cell>
          <cell r="AL187" t="str">
            <v>-32.Ni</v>
          </cell>
          <cell r="AM187" t="str">
            <v>-12.Cr</v>
          </cell>
          <cell r="AN187" t="str">
            <v>-0.2Ta</v>
          </cell>
          <cell r="AO187" t="str">
            <v/>
          </cell>
          <cell r="AP187" t="str">
            <v/>
          </cell>
          <cell r="AQ187" t="str">
            <v>-0.3Ti</v>
          </cell>
          <cell r="AR187" t="str">
            <v>-1.Mo</v>
          </cell>
          <cell r="AS187" t="str">
            <v>-0.08C</v>
          </cell>
          <cell r="AT187" t="str">
            <v>-0.01Zr</v>
          </cell>
          <cell r="AU187" t="str">
            <v>-0.08B</v>
          </cell>
          <cell r="AV187" t="str">
            <v/>
          </cell>
          <cell r="AW187" t="str">
            <v/>
          </cell>
          <cell r="AX187" t="str">
            <v>-0.4Si</v>
          </cell>
          <cell r="AY187" t="str">
            <v/>
          </cell>
          <cell r="AZ187" t="str">
            <v/>
          </cell>
          <cell r="BA187" t="str">
            <v>-0.1Hf</v>
          </cell>
          <cell r="BB187" t="str">
            <v/>
          </cell>
          <cell r="BC187" t="str">
            <v/>
          </cell>
          <cell r="BD187" t="str">
            <v/>
          </cell>
          <cell r="BE187" t="str">
            <v/>
          </cell>
          <cell r="BF187" t="str">
            <v/>
          </cell>
          <cell r="BG187" t="str">
            <v/>
          </cell>
          <cell r="BH187" t="str">
            <v>CoWAlloy3Freund, L. P. et al. The grain boundary pinning effect of the μ phase in an advanced polycrystalline γ/γ′ Co-base superalloy. J. Alloys Compd. 753, 333–342 (2018).</v>
          </cell>
          <cell r="BI187" t="str">
            <v>Co-32.Ni-9.Al-12.Cr-5.W-0.3Ti-0.2Ta-1.Mo-0.4Si-0.1Hf-0.08C-0.01Zr-0.08B</v>
          </cell>
          <cell r="BJ187" t="str">
            <v>71.8Co-32.0Ni-9.0Al-12.0Cr-5.0W-0.3Ti-0.2Ta-1.0Mo-0.4Si-0.1Hf-0.08C-0.01Zr-0.08B</v>
          </cell>
        </row>
        <row r="188">
          <cell r="A188" t="str">
            <v>Co-29.7Ni-8.9Al-12.3Cr-5.1W</v>
          </cell>
          <cell r="B188" t="str">
            <v>CoAlWX+</v>
          </cell>
          <cell r="C188" t="str">
            <v>-30Ni-9Al-12Cr-5W</v>
          </cell>
          <cell r="D188" t="str">
            <v>5W</v>
          </cell>
          <cell r="E188" t="str">
            <v>Fu, H. et al. Microstructure and Properties Evolution of Co-Al-W-Ni-Cr Superalloys by Molybdenum and Niobium Substitutions for Tungsten. Metall. Mater. Trans. A Phys. Metall. Mater. Sci. 51, 299–308 (2020).</v>
          </cell>
          <cell r="F188">
            <v>199</v>
          </cell>
          <cell r="G188">
            <v>44.04</v>
          </cell>
          <cell r="H188">
            <v>29.71</v>
          </cell>
          <cell r="I188">
            <v>8.86</v>
          </cell>
          <cell r="J188">
            <v>12.32</v>
          </cell>
          <cell r="K188">
            <v>5.07</v>
          </cell>
          <cell r="L188"/>
          <cell r="M188"/>
          <cell r="N188"/>
          <cell r="O188"/>
          <cell r="P188"/>
          <cell r="Q188"/>
          <cell r="R188"/>
          <cell r="S188"/>
          <cell r="T188"/>
          <cell r="U188"/>
          <cell r="V188"/>
          <cell r="W188"/>
          <cell r="X188"/>
          <cell r="Y188"/>
          <cell r="Z188"/>
          <cell r="AA188"/>
          <cell r="AB188"/>
          <cell r="AC188"/>
          <cell r="AD188"/>
          <cell r="AE188"/>
          <cell r="AF188">
            <v>8.6671297999999997</v>
          </cell>
          <cell r="AG188">
            <v>8.91</v>
          </cell>
          <cell r="AH188"/>
          <cell r="AI188" t="str">
            <v>Co</v>
          </cell>
          <cell r="AJ188" t="str">
            <v>-8.9Al</v>
          </cell>
          <cell r="AK188" t="str">
            <v>-5.1W</v>
          </cell>
          <cell r="AL188" t="str">
            <v>-29.7Ni</v>
          </cell>
          <cell r="AM188" t="str">
            <v>-12.3Cr</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cell r="BD188" t="str">
            <v/>
          </cell>
          <cell r="BE188" t="str">
            <v/>
          </cell>
          <cell r="BF188" t="str">
            <v/>
          </cell>
          <cell r="BG188" t="str">
            <v/>
          </cell>
          <cell r="BH188" t="str">
            <v>5WFu, H. et al. Microstructure and Properties Evolution of Co-Al-W-Ni-Cr Superalloys by Molybdenum and Niobium Substitutions for Tungsten. Metall. Mater. Trans. A Phys. Metall. Mater. Sci. 51, 299–308 (2020).</v>
          </cell>
          <cell r="BI188" t="str">
            <v>Co-29.7Ni-8.9Al-12.3Cr-5.1W</v>
          </cell>
          <cell r="BJ188" t="str">
            <v>73.8Co-29.7Ni-8.9Al-12.3Cr-5.1W</v>
          </cell>
        </row>
        <row r="189">
          <cell r="A189" t="str">
            <v>Co-29.5Ni-8.9Al-12.6Cr-3.9W-1.Mo</v>
          </cell>
          <cell r="B189" t="str">
            <v>CoAlWX+</v>
          </cell>
          <cell r="C189" t="str">
            <v>-29Ni-9Al-13Cr-4W-1Mo</v>
          </cell>
          <cell r="D189" t="str">
            <v>4W1Mo</v>
          </cell>
          <cell r="E189" t="str">
            <v>Fu, H. et al. Microstructure and Properties Evolution of Co-Al-W-Ni-Cr Superalloys by Molybdenum and Niobium Substitutions for Tungsten. Metall. Mater. Trans. A Phys. Metall. Mater. Sci. 51, 299–308 (2020).</v>
          </cell>
          <cell r="F189">
            <v>200</v>
          </cell>
          <cell r="G189">
            <v>44.07</v>
          </cell>
          <cell r="H189">
            <v>29.49</v>
          </cell>
          <cell r="I189">
            <v>8.9</v>
          </cell>
          <cell r="J189">
            <v>12.58</v>
          </cell>
          <cell r="K189">
            <v>3.92</v>
          </cell>
          <cell r="L189"/>
          <cell r="M189"/>
          <cell r="N189"/>
          <cell r="O189"/>
          <cell r="P189">
            <v>1.04</v>
          </cell>
          <cell r="Q189"/>
          <cell r="R189"/>
          <cell r="S189"/>
          <cell r="T189"/>
          <cell r="U189"/>
          <cell r="V189"/>
          <cell r="W189"/>
          <cell r="X189"/>
          <cell r="Y189"/>
          <cell r="Z189"/>
          <cell r="AA189"/>
          <cell r="AB189"/>
          <cell r="AC189"/>
          <cell r="AD189"/>
          <cell r="AE189"/>
          <cell r="AF189">
            <v>8.5555132</v>
          </cell>
          <cell r="AG189">
            <v>8.82</v>
          </cell>
          <cell r="AH189"/>
          <cell r="AI189" t="str">
            <v>Co</v>
          </cell>
          <cell r="AJ189" t="str">
            <v>-8.9Al</v>
          </cell>
          <cell r="AK189" t="str">
            <v>-3.9W</v>
          </cell>
          <cell r="AL189" t="str">
            <v>-29.5Ni</v>
          </cell>
          <cell r="AM189" t="str">
            <v>-12.6Cr</v>
          </cell>
          <cell r="AN189" t="str">
            <v/>
          </cell>
          <cell r="AO189" t="str">
            <v/>
          </cell>
          <cell r="AP189" t="str">
            <v/>
          </cell>
          <cell r="AQ189" t="str">
            <v/>
          </cell>
          <cell r="AR189" t="str">
            <v>-1.Mo</v>
          </cell>
          <cell r="AS189" t="str">
            <v/>
          </cell>
          <cell r="AT189" t="str">
            <v/>
          </cell>
          <cell r="AU189" t="str">
            <v/>
          </cell>
          <cell r="AV189" t="str">
            <v/>
          </cell>
          <cell r="AW189" t="str">
            <v/>
          </cell>
          <cell r="AX189" t="str">
            <v/>
          </cell>
          <cell r="AY189" t="str">
            <v/>
          </cell>
          <cell r="AZ189" t="str">
            <v/>
          </cell>
          <cell r="BA189" t="str">
            <v/>
          </cell>
          <cell r="BB189" t="str">
            <v/>
          </cell>
          <cell r="BC189" t="str">
            <v/>
          </cell>
          <cell r="BD189" t="str">
            <v/>
          </cell>
          <cell r="BE189" t="str">
            <v/>
          </cell>
          <cell r="BF189" t="str">
            <v/>
          </cell>
          <cell r="BG189" t="str">
            <v/>
          </cell>
          <cell r="BH189" t="str">
            <v>4W1MoFu, H. et al. Microstructure and Properties Evolution of Co-Al-W-Ni-Cr Superalloys by Molybdenum and Niobium Substitutions for Tungsten. Metall. Mater. Trans. A Phys. Metall. Mater. Sci. 51, 299–308 (2020).</v>
          </cell>
          <cell r="BI189" t="str">
            <v>Co-29.5Ni-8.9Al-12.6Cr-3.9W-1.Mo</v>
          </cell>
          <cell r="BJ189" t="str">
            <v>73.6Co-29.5Ni-8.9Al-12.6Cr-3.9W-1.0Mo</v>
          </cell>
        </row>
        <row r="190">
          <cell r="A190" t="str">
            <v>Co-29.9Ni-8.9Al-12.1Cr-3.1W-1.8Mo</v>
          </cell>
          <cell r="B190" t="str">
            <v>Low-W</v>
          </cell>
          <cell r="C190" t="str">
            <v>-30Ni-9Al-12Cr-3W-2Mo</v>
          </cell>
          <cell r="D190" t="str">
            <v>3W2Mo</v>
          </cell>
          <cell r="E190" t="str">
            <v>Fu, H. et al. Microstructure and Properties Evolution of Co-Al-W-Ni-Cr Superalloys by Molybdenum and Niobium Substitutions for Tungsten. Metall. Mater. Trans. A Phys. Metall. Mater. Sci. 51, 299–308 (2020).</v>
          </cell>
          <cell r="F190">
            <v>201</v>
          </cell>
          <cell r="G190">
            <v>44.220000000000006</v>
          </cell>
          <cell r="H190">
            <v>29.89</v>
          </cell>
          <cell r="I190">
            <v>8.91</v>
          </cell>
          <cell r="J190">
            <v>12.1</v>
          </cell>
          <cell r="K190">
            <v>3.09</v>
          </cell>
          <cell r="L190"/>
          <cell r="M190"/>
          <cell r="N190"/>
          <cell r="O190"/>
          <cell r="P190">
            <v>1.79</v>
          </cell>
          <cell r="Q190"/>
          <cell r="R190"/>
          <cell r="S190"/>
          <cell r="T190"/>
          <cell r="U190"/>
          <cell r="V190"/>
          <cell r="W190"/>
          <cell r="X190"/>
          <cell r="Y190"/>
          <cell r="Z190"/>
          <cell r="AA190"/>
          <cell r="AB190"/>
          <cell r="AC190"/>
          <cell r="AD190"/>
          <cell r="AE190"/>
          <cell r="AF190">
            <v>8.4875781999999997</v>
          </cell>
          <cell r="AG190">
            <v>8.68</v>
          </cell>
          <cell r="AH190"/>
          <cell r="AI190" t="str">
            <v>Co</v>
          </cell>
          <cell r="AJ190" t="str">
            <v>-8.9Al</v>
          </cell>
          <cell r="AK190" t="str">
            <v>-3.1W</v>
          </cell>
          <cell r="AL190" t="str">
            <v>-29.9Ni</v>
          </cell>
          <cell r="AM190" t="str">
            <v>-12.1Cr</v>
          </cell>
          <cell r="AN190" t="str">
            <v/>
          </cell>
          <cell r="AO190" t="str">
            <v/>
          </cell>
          <cell r="AP190" t="str">
            <v/>
          </cell>
          <cell r="AQ190" t="str">
            <v/>
          </cell>
          <cell r="AR190" t="str">
            <v>-1.8Mo</v>
          </cell>
          <cell r="AS190" t="str">
            <v/>
          </cell>
          <cell r="AT190" t="str">
            <v/>
          </cell>
          <cell r="AU190" t="str">
            <v/>
          </cell>
          <cell r="AV190" t="str">
            <v/>
          </cell>
          <cell r="AW190" t="str">
            <v/>
          </cell>
          <cell r="AX190" t="str">
            <v/>
          </cell>
          <cell r="AY190" t="str">
            <v/>
          </cell>
          <cell r="AZ190" t="str">
            <v/>
          </cell>
          <cell r="BA190" t="str">
            <v/>
          </cell>
          <cell r="BB190" t="str">
            <v/>
          </cell>
          <cell r="BC190" t="str">
            <v/>
          </cell>
          <cell r="BD190" t="str">
            <v/>
          </cell>
          <cell r="BE190" t="str">
            <v/>
          </cell>
          <cell r="BF190" t="str">
            <v/>
          </cell>
          <cell r="BG190" t="str">
            <v/>
          </cell>
          <cell r="BH190" t="str">
            <v>3W2MoFu, H. et al. Microstructure and Properties Evolution of Co-Al-W-Ni-Cr Superalloys by Molybdenum and Niobium Substitutions for Tungsten. Metall. Mater. Trans. A Phys. Metall. Mater. Sci. 51, 299–308 (2020).</v>
          </cell>
          <cell r="BI190" t="str">
            <v>Co-29.9Ni-8.9Al-12.1Cr-3.1W-1.8Mo</v>
          </cell>
          <cell r="BJ190" t="str">
            <v>74.1Co-29.9Ni-8.9Al-12.1Cr-3.1W-1.8Mo</v>
          </cell>
        </row>
        <row r="191">
          <cell r="A191" t="str">
            <v>Co-26.7Ni-9.1Al-12.4Cr-1.3W-3.8Mo</v>
          </cell>
          <cell r="B191" t="str">
            <v>Low-W</v>
          </cell>
          <cell r="C191" t="str">
            <v>-27Ni-9Al-12Cr-1W-4Mo</v>
          </cell>
          <cell r="D191" t="str">
            <v>1W4Mo</v>
          </cell>
          <cell r="E191" t="str">
            <v>Fu, H. et al. Microstructure and Properties Evolution of Co-Al-W-Ni-Cr Superalloys by Molybdenum and Niobium Substitutions for Tungsten. Metall. Mater. Trans. A Phys. Metall. Mater. Sci. 51, 299–308 (2020).</v>
          </cell>
          <cell r="F191">
            <v>202</v>
          </cell>
          <cell r="G191">
            <v>46.809999999999995</v>
          </cell>
          <cell r="H191">
            <v>26.69</v>
          </cell>
          <cell r="I191">
            <v>9.0500000000000007</v>
          </cell>
          <cell r="J191">
            <v>12.42</v>
          </cell>
          <cell r="K191">
            <v>1.25</v>
          </cell>
          <cell r="L191"/>
          <cell r="M191"/>
          <cell r="N191"/>
          <cell r="O191"/>
          <cell r="P191">
            <v>3.78</v>
          </cell>
          <cell r="Q191"/>
          <cell r="R191"/>
          <cell r="S191"/>
          <cell r="T191"/>
          <cell r="U191"/>
          <cell r="V191"/>
          <cell r="W191"/>
          <cell r="X191"/>
          <cell r="Y191"/>
          <cell r="Z191"/>
          <cell r="AA191"/>
          <cell r="AB191"/>
          <cell r="AC191"/>
          <cell r="AD191"/>
          <cell r="AE191"/>
          <cell r="AF191">
            <v>8.3101921999999995</v>
          </cell>
          <cell r="AG191">
            <v>8.39</v>
          </cell>
          <cell r="AH191"/>
          <cell r="AI191" t="str">
            <v>Co</v>
          </cell>
          <cell r="AJ191" t="str">
            <v>-9.1Al</v>
          </cell>
          <cell r="AK191" t="str">
            <v>-1.3W</v>
          </cell>
          <cell r="AL191" t="str">
            <v>-26.7Ni</v>
          </cell>
          <cell r="AM191" t="str">
            <v>-12.4Cr</v>
          </cell>
          <cell r="AN191" t="str">
            <v/>
          </cell>
          <cell r="AO191" t="str">
            <v/>
          </cell>
          <cell r="AP191" t="str">
            <v/>
          </cell>
          <cell r="AQ191" t="str">
            <v/>
          </cell>
          <cell r="AR191" t="str">
            <v>-3.8Mo</v>
          </cell>
          <cell r="AS191" t="str">
            <v/>
          </cell>
          <cell r="AT191" t="str">
            <v/>
          </cell>
          <cell r="AU191" t="str">
            <v/>
          </cell>
          <cell r="AV191" t="str">
            <v/>
          </cell>
          <cell r="AW191" t="str">
            <v/>
          </cell>
          <cell r="AX191" t="str">
            <v/>
          </cell>
          <cell r="AY191" t="str">
            <v/>
          </cell>
          <cell r="AZ191" t="str">
            <v/>
          </cell>
          <cell r="BA191" t="str">
            <v/>
          </cell>
          <cell r="BB191" t="str">
            <v/>
          </cell>
          <cell r="BC191" t="str">
            <v/>
          </cell>
          <cell r="BD191" t="str">
            <v/>
          </cell>
          <cell r="BE191" t="str">
            <v/>
          </cell>
          <cell r="BF191" t="str">
            <v/>
          </cell>
          <cell r="BG191" t="str">
            <v/>
          </cell>
          <cell r="BH191" t="str">
            <v>1W4MoFu, H. et al. Microstructure and Properties Evolution of Co-Al-W-Ni-Cr Superalloys by Molybdenum and Niobium Substitutions for Tungsten. Metall. Mater. Trans. A Phys. Metall. Mater. Sci. 51, 299–308 (2020).</v>
          </cell>
          <cell r="BI191" t="str">
            <v>Co-26.7Ni-9.1Al-12.4Cr-1.3W-3.8Mo</v>
          </cell>
          <cell r="BJ191" t="str">
            <v>73.5Co-26.7Ni-9.1Al-12.4Cr-1.3W-3.8Mo</v>
          </cell>
        </row>
        <row r="192">
          <cell r="A192" t="str">
            <v>Co-29.9Ni-9.Al-12.2Cr-4.1W-1.Nb</v>
          </cell>
          <cell r="B192" t="str">
            <v>CoAlWX+</v>
          </cell>
          <cell r="C192" t="str">
            <v>-30Ni-9Al-12Cr-4W-1Nb</v>
          </cell>
          <cell r="D192" t="str">
            <v>4W1Nb</v>
          </cell>
          <cell r="E192" t="str">
            <v>Fu, H. et al. Microstructure and Properties Evolution of Co-Al-W-Ni-Cr Superalloys by Molybdenum and Niobium Substitutions for Tungsten. Metall. Mater. Trans. A Phys. Metall. Mater. Sci. 51, 299–308 (2020).</v>
          </cell>
          <cell r="F192">
            <v>203</v>
          </cell>
          <cell r="G192">
            <v>43.760000000000005</v>
          </cell>
          <cell r="H192">
            <v>29.91</v>
          </cell>
          <cell r="I192">
            <v>9.0299999999999994</v>
          </cell>
          <cell r="J192">
            <v>12.19</v>
          </cell>
          <cell r="K192">
            <v>4.07</v>
          </cell>
          <cell r="L192"/>
          <cell r="M192"/>
          <cell r="N192">
            <v>1.04</v>
          </cell>
          <cell r="O192"/>
          <cell r="P192"/>
          <cell r="Q192"/>
          <cell r="R192"/>
          <cell r="S192"/>
          <cell r="T192"/>
          <cell r="U192"/>
          <cell r="V192"/>
          <cell r="W192"/>
          <cell r="X192"/>
          <cell r="Y192"/>
          <cell r="Z192"/>
          <cell r="AA192"/>
          <cell r="AB192"/>
          <cell r="AC192"/>
          <cell r="AD192"/>
          <cell r="AE192"/>
          <cell r="AF192">
            <v>8.5518967999999997</v>
          </cell>
          <cell r="AG192">
            <v>8.8000000000000007</v>
          </cell>
          <cell r="AH192"/>
          <cell r="AI192" t="str">
            <v>Co</v>
          </cell>
          <cell r="AJ192" t="str">
            <v>-9.Al</v>
          </cell>
          <cell r="AK192" t="str">
            <v>-4.1W</v>
          </cell>
          <cell r="AL192" t="str">
            <v>-29.9Ni</v>
          </cell>
          <cell r="AM192" t="str">
            <v>-12.2Cr</v>
          </cell>
          <cell r="AN192" t="str">
            <v/>
          </cell>
          <cell r="AO192" t="str">
            <v>-1.Nb</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cell r="BD192" t="str">
            <v/>
          </cell>
          <cell r="BE192" t="str">
            <v/>
          </cell>
          <cell r="BF192" t="str">
            <v/>
          </cell>
          <cell r="BG192" t="str">
            <v/>
          </cell>
          <cell r="BH192" t="str">
            <v>4W1NbFu, H. et al. Microstructure and Properties Evolution of Co-Al-W-Ni-Cr Superalloys by Molybdenum and Niobium Substitutions for Tungsten. Metall. Mater. Trans. A Phys. Metall. Mater. Sci. 51, 299–308 (2020).</v>
          </cell>
          <cell r="BI192" t="str">
            <v>Co-29.9Ni-9.Al-12.2Cr-4.1W-1.Nb</v>
          </cell>
          <cell r="BJ192" t="str">
            <v>73.7Co-29.9Ni-9.0Al-12.2Cr-4.1W-1.0Nb</v>
          </cell>
        </row>
        <row r="193">
          <cell r="A193" t="str">
            <v>Co-29.9Ni-8.7Al-12.1Cr-3.1W-1.8Nb</v>
          </cell>
          <cell r="B193" t="str">
            <v>Low-W</v>
          </cell>
          <cell r="C193" t="str">
            <v>-30Ni-9Al-12Cr-3W-2Nb</v>
          </cell>
          <cell r="D193" t="str">
            <v>3W2Nb</v>
          </cell>
          <cell r="E193" t="str">
            <v>Fu, H. et al. Microstructure and Properties Evolution of Co-Al-W-Ni-Cr Superalloys by Molybdenum and Niobium Substitutions for Tungsten. Metall. Mater. Trans. A Phys. Metall. Mater. Sci. 51, 299–308 (2020).</v>
          </cell>
          <cell r="F193">
            <v>204</v>
          </cell>
          <cell r="G193">
            <v>44.41</v>
          </cell>
          <cell r="H193">
            <v>29.89</v>
          </cell>
          <cell r="I193">
            <v>8.69</v>
          </cell>
          <cell r="J193">
            <v>12.11</v>
          </cell>
          <cell r="K193">
            <v>3.09</v>
          </cell>
          <cell r="L193"/>
          <cell r="M193"/>
          <cell r="N193">
            <v>1.81</v>
          </cell>
          <cell r="O193"/>
          <cell r="P193"/>
          <cell r="Q193"/>
          <cell r="R193"/>
          <cell r="S193"/>
          <cell r="T193"/>
          <cell r="U193"/>
          <cell r="V193"/>
          <cell r="W193"/>
          <cell r="X193"/>
          <cell r="Y193"/>
          <cell r="Z193"/>
          <cell r="AA193"/>
          <cell r="AB193"/>
          <cell r="AC193"/>
          <cell r="AD193"/>
          <cell r="AE193"/>
          <cell r="AF193">
            <v>8.4703721999999999</v>
          </cell>
          <cell r="AG193">
            <v>8.61</v>
          </cell>
          <cell r="AH193"/>
          <cell r="AI193" t="str">
            <v>Co</v>
          </cell>
          <cell r="AJ193" t="str">
            <v>-8.7Al</v>
          </cell>
          <cell r="AK193" t="str">
            <v>-3.1W</v>
          </cell>
          <cell r="AL193" t="str">
            <v>-29.9Ni</v>
          </cell>
          <cell r="AM193" t="str">
            <v>-12.1Cr</v>
          </cell>
          <cell r="AN193" t="str">
            <v/>
          </cell>
          <cell r="AO193" t="str">
            <v>-1.8Nb</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cell r="BD193" t="str">
            <v/>
          </cell>
          <cell r="BE193" t="str">
            <v/>
          </cell>
          <cell r="BF193" t="str">
            <v/>
          </cell>
          <cell r="BG193" t="str">
            <v/>
          </cell>
          <cell r="BH193" t="str">
            <v>3W2NbFu, H. et al. Microstructure and Properties Evolution of Co-Al-W-Ni-Cr Superalloys by Molybdenum and Niobium Substitutions for Tungsten. Metall. Mater. Trans. A Phys. Metall. Mater. Sci. 51, 299–308 (2020).</v>
          </cell>
          <cell r="BI193" t="str">
            <v>Co-29.9Ni-8.7Al-12.1Cr-3.1W-1.8Nb</v>
          </cell>
          <cell r="BJ193" t="str">
            <v>74.3Co-29.9Ni-8.7Al-12.1Cr-3.1W-1.8Nb</v>
          </cell>
        </row>
        <row r="194">
          <cell r="A194" t="str">
            <v>Co-29.7Ni-9.1Al-12.4Cr-1.3W-3.7Nb</v>
          </cell>
          <cell r="B194" t="str">
            <v>Low-W</v>
          </cell>
          <cell r="C194" t="str">
            <v>-30Ni-9Al-12Cr-1W-4Nb</v>
          </cell>
          <cell r="D194" t="str">
            <v>1W4Nb</v>
          </cell>
          <cell r="E194" t="str">
            <v>Fu, H. et al. Microstructure and Properties Evolution of Co-Al-W-Ni-Cr Superalloys by Molybdenum and Niobium Substitutions for Tungsten. Metall. Mater. Trans. A Phys. Metall. Mater. Sci. 51, 299–308 (2020).</v>
          </cell>
          <cell r="F194">
            <v>205</v>
          </cell>
          <cell r="G194">
            <v>43.83</v>
          </cell>
          <cell r="H194">
            <v>29.69</v>
          </cell>
          <cell r="I194">
            <v>9.0500000000000007</v>
          </cell>
          <cell r="J194">
            <v>12.43</v>
          </cell>
          <cell r="K194">
            <v>1.26</v>
          </cell>
          <cell r="L194"/>
          <cell r="M194"/>
          <cell r="N194">
            <v>3.74</v>
          </cell>
          <cell r="O194"/>
          <cell r="P194"/>
          <cell r="Q194"/>
          <cell r="R194"/>
          <cell r="S194"/>
          <cell r="T194"/>
          <cell r="U194"/>
          <cell r="V194"/>
          <cell r="W194"/>
          <cell r="X194"/>
          <cell r="Y194"/>
          <cell r="Z194"/>
          <cell r="AA194"/>
          <cell r="AB194"/>
          <cell r="AC194"/>
          <cell r="AD194"/>
          <cell r="AE194"/>
          <cell r="AF194">
            <v>8.2467901999999995</v>
          </cell>
          <cell r="AG194">
            <v>8.2899999999999991</v>
          </cell>
          <cell r="AH194"/>
          <cell r="AI194" t="str">
            <v>Co</v>
          </cell>
          <cell r="AJ194" t="str">
            <v>-9.1Al</v>
          </cell>
          <cell r="AK194" t="str">
            <v>-1.3W</v>
          </cell>
          <cell r="AL194" t="str">
            <v>-29.7Ni</v>
          </cell>
          <cell r="AM194" t="str">
            <v>-12.4Cr</v>
          </cell>
          <cell r="AN194" t="str">
            <v/>
          </cell>
          <cell r="AO194" t="str">
            <v>-3.7Nb</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cell r="BD194" t="str">
            <v/>
          </cell>
          <cell r="BE194" t="str">
            <v/>
          </cell>
          <cell r="BF194" t="str">
            <v/>
          </cell>
          <cell r="BG194" t="str">
            <v/>
          </cell>
          <cell r="BH194" t="str">
            <v>1W4NbFu, H. et al. Microstructure and Properties Evolution of Co-Al-W-Ni-Cr Superalloys by Molybdenum and Niobium Substitutions for Tungsten. Metall. Mater. Trans. A Phys. Metall. Mater. Sci. 51, 299–308 (2020).</v>
          </cell>
          <cell r="BI194" t="str">
            <v>Co-29.7Ni-9.1Al-12.4Cr-1.3W-3.7Nb</v>
          </cell>
          <cell r="BJ194" t="str">
            <v>73.5Co-29.7Ni-9.1Al-12.4Cr-1.3W-3.7Nb</v>
          </cell>
        </row>
        <row r="195">
          <cell r="A195" t="str">
            <v>Co-30.Ni-6.7Al-3.3Ti</v>
          </cell>
          <cell r="B195" t="str">
            <v>Co3Ti</v>
          </cell>
          <cell r="C195" t="str">
            <v>-30Ni-7Al-3Ti</v>
          </cell>
          <cell r="D195" t="str">
            <v>3.3Ti</v>
          </cell>
          <cell r="E195" t="str">
            <v>Gao, Q. et al. Effects of alloying elements on microstructure and mechanical properties of Co–Ni–Al–Ti superalloy. Mater. Sci. Eng. A 779, (2020).</v>
          </cell>
          <cell r="F195">
            <v>206</v>
          </cell>
          <cell r="G195">
            <v>60</v>
          </cell>
          <cell r="H195">
            <v>30</v>
          </cell>
          <cell r="I195">
            <v>6.7</v>
          </cell>
          <cell r="J195"/>
          <cell r="K195"/>
          <cell r="L195">
            <v>3.3</v>
          </cell>
          <cell r="M195"/>
          <cell r="N195"/>
          <cell r="O195"/>
          <cell r="P195"/>
          <cell r="Q195"/>
          <cell r="R195"/>
          <cell r="S195"/>
          <cell r="T195"/>
          <cell r="U195"/>
          <cell r="V195"/>
          <cell r="W195"/>
          <cell r="X195"/>
          <cell r="Y195"/>
          <cell r="Z195"/>
          <cell r="AA195"/>
          <cell r="AB195"/>
          <cell r="AC195"/>
          <cell r="AD195"/>
          <cell r="AE195"/>
          <cell r="AF195">
            <v>8.3420310000000004</v>
          </cell>
          <cell r="AG195"/>
          <cell r="AH195"/>
          <cell r="AI195" t="str">
            <v>Co</v>
          </cell>
          <cell r="AJ195" t="str">
            <v>-6.7Al</v>
          </cell>
          <cell r="AK195" t="str">
            <v/>
          </cell>
          <cell r="AL195" t="str">
            <v>-30.Ni</v>
          </cell>
          <cell r="AM195" t="str">
            <v/>
          </cell>
          <cell r="AN195" t="str">
            <v/>
          </cell>
          <cell r="AO195" t="str">
            <v/>
          </cell>
          <cell r="AP195" t="str">
            <v/>
          </cell>
          <cell r="AQ195" t="str">
            <v>-3.3Ti</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cell r="BD195" t="str">
            <v/>
          </cell>
          <cell r="BE195" t="str">
            <v/>
          </cell>
          <cell r="BF195" t="str">
            <v/>
          </cell>
          <cell r="BG195" t="str">
            <v/>
          </cell>
          <cell r="BH195" t="str">
            <v>3.3TiGao, Q. et al. Effects of alloying elements on microstructure and mechanical properties of Co–Ni–Al–Ti superalloy. Mater. Sci. Eng. A 779, (2020).</v>
          </cell>
          <cell r="BI195" t="str">
            <v>Co-30.Ni-6.7Al-3.3Ti</v>
          </cell>
          <cell r="BJ195" t="str">
            <v>90.0Co-30.0Ni-6.7Al-3.3Ti</v>
          </cell>
        </row>
        <row r="196">
          <cell r="A196" t="str">
            <v>Co-30.Ni-7.5Al-2.5Ti</v>
          </cell>
          <cell r="B196" t="str">
            <v>W-free</v>
          </cell>
          <cell r="C196" t="str">
            <v>-30Ni-8Al-3Ti</v>
          </cell>
          <cell r="D196" t="str">
            <v>2.5Ti</v>
          </cell>
          <cell r="E196" t="str">
            <v>Gao, Q. et al. Effects of alloying elements on microstructure and mechanical properties of Co–Ni–Al–Ti superalloy. Mater. Sci. Eng. A 779, (2020).</v>
          </cell>
          <cell r="F196">
            <v>207</v>
          </cell>
          <cell r="G196">
            <v>60</v>
          </cell>
          <cell r="H196">
            <v>30</v>
          </cell>
          <cell r="I196">
            <v>7.5</v>
          </cell>
          <cell r="J196"/>
          <cell r="K196"/>
          <cell r="L196">
            <v>2.5</v>
          </cell>
          <cell r="M196"/>
          <cell r="N196"/>
          <cell r="O196"/>
          <cell r="P196"/>
          <cell r="Q196"/>
          <cell r="R196"/>
          <cell r="S196"/>
          <cell r="T196"/>
          <cell r="U196"/>
          <cell r="V196"/>
          <cell r="W196"/>
          <cell r="X196"/>
          <cell r="Y196"/>
          <cell r="Z196"/>
          <cell r="AA196"/>
          <cell r="AB196"/>
          <cell r="AC196"/>
          <cell r="AD196"/>
          <cell r="AE196"/>
          <cell r="AF196">
            <v>8.3275750000000013</v>
          </cell>
          <cell r="AG196"/>
          <cell r="AH196"/>
          <cell r="AI196" t="str">
            <v>Co</v>
          </cell>
          <cell r="AJ196" t="str">
            <v>-7.5Al</v>
          </cell>
          <cell r="AK196" t="str">
            <v/>
          </cell>
          <cell r="AL196" t="str">
            <v>-30.Ni</v>
          </cell>
          <cell r="AM196" t="str">
            <v/>
          </cell>
          <cell r="AN196" t="str">
            <v/>
          </cell>
          <cell r="AO196" t="str">
            <v/>
          </cell>
          <cell r="AP196" t="str">
            <v/>
          </cell>
          <cell r="AQ196" t="str">
            <v>-2.5Ti</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cell r="BD196" t="str">
            <v/>
          </cell>
          <cell r="BE196" t="str">
            <v/>
          </cell>
          <cell r="BF196" t="str">
            <v/>
          </cell>
          <cell r="BG196" t="str">
            <v/>
          </cell>
          <cell r="BH196" t="str">
            <v>2.5TiGao, Q. et al. Effects of alloying elements on microstructure and mechanical properties of Co–Ni–Al–Ti superalloy. Mater. Sci. Eng. A 779, (2020).</v>
          </cell>
          <cell r="BI196" t="str">
            <v>Co-30.Ni-7.5Al-2.5Ti</v>
          </cell>
          <cell r="BJ196" t="str">
            <v>90.0Co-30.0Ni-7.5Al-2.5Ti</v>
          </cell>
        </row>
        <row r="197">
          <cell r="A197" t="str">
            <v>Co-30.Ni-7.5Al-2.Cr-2.5Ti</v>
          </cell>
          <cell r="B197" t="str">
            <v>W-free</v>
          </cell>
          <cell r="C197" t="str">
            <v>-30Ni-8Al-2Cr-3Ti</v>
          </cell>
          <cell r="D197" t="str">
            <v>2Cr</v>
          </cell>
          <cell r="E197" t="str">
            <v>Gao, Q. et al. Effects of alloying elements on microstructure and mechanical properties of Co–Ni–Al–Ti superalloy. Mater. Sci. Eng. A 779, (2020).</v>
          </cell>
          <cell r="F197">
            <v>208</v>
          </cell>
          <cell r="G197">
            <v>58</v>
          </cell>
          <cell r="H197">
            <v>30</v>
          </cell>
          <cell r="I197">
            <v>7.5</v>
          </cell>
          <cell r="J197">
            <v>2</v>
          </cell>
          <cell r="K197"/>
          <cell r="L197">
            <v>2.5</v>
          </cell>
          <cell r="M197"/>
          <cell r="N197"/>
          <cell r="O197"/>
          <cell r="P197"/>
          <cell r="Q197"/>
          <cell r="R197"/>
          <cell r="S197"/>
          <cell r="T197"/>
          <cell r="U197"/>
          <cell r="V197"/>
          <cell r="W197"/>
          <cell r="X197"/>
          <cell r="Y197"/>
          <cell r="Z197"/>
          <cell r="AA197"/>
          <cell r="AB197"/>
          <cell r="AC197"/>
          <cell r="AD197"/>
          <cell r="AE197"/>
          <cell r="AF197">
            <v>8.2933750000000011</v>
          </cell>
          <cell r="AG197"/>
          <cell r="AH197"/>
          <cell r="AI197" t="str">
            <v>Co</v>
          </cell>
          <cell r="AJ197" t="str">
            <v>-7.5Al</v>
          </cell>
          <cell r="AK197" t="str">
            <v/>
          </cell>
          <cell r="AL197" t="str">
            <v>-30.Ni</v>
          </cell>
          <cell r="AM197" t="str">
            <v>-2.Cr</v>
          </cell>
          <cell r="AN197" t="str">
            <v/>
          </cell>
          <cell r="AO197" t="str">
            <v/>
          </cell>
          <cell r="AP197" t="str">
            <v/>
          </cell>
          <cell r="AQ197" t="str">
            <v>-2.5Ti</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cell r="BD197" t="str">
            <v/>
          </cell>
          <cell r="BE197" t="str">
            <v/>
          </cell>
          <cell r="BF197" t="str">
            <v/>
          </cell>
          <cell r="BG197" t="str">
            <v/>
          </cell>
          <cell r="BH197" t="str">
            <v>2CrGao, Q. et al. Effects of alloying elements on microstructure and mechanical properties of Co–Ni–Al–Ti superalloy. Mater. Sci. Eng. A 779, (2020).</v>
          </cell>
          <cell r="BI197" t="str">
            <v>Co-30.Ni-7.5Al-2.Cr-2.5Ti</v>
          </cell>
          <cell r="BJ197" t="str">
            <v>88.0Co-30.0Ni-7.5Al-2.0Cr-2.5Ti</v>
          </cell>
        </row>
        <row r="198">
          <cell r="A198" t="str">
            <v>Co-30.Ni-7.5Al-2.5Ti-2.Mo</v>
          </cell>
          <cell r="B198" t="str">
            <v>W-free</v>
          </cell>
          <cell r="C198" t="str">
            <v>-30Ni-8Al-3Ti-2Mo</v>
          </cell>
          <cell r="D198" t="str">
            <v>2Mo</v>
          </cell>
          <cell r="E198" t="str">
            <v>Gao, Q. et al. Effects of alloying elements on microstructure and mechanical properties of Co–Ni–Al–Ti superalloy. Mater. Sci. Eng. A 779, (2020).</v>
          </cell>
          <cell r="F198">
            <v>209</v>
          </cell>
          <cell r="G198">
            <v>58</v>
          </cell>
          <cell r="H198">
            <v>30</v>
          </cell>
          <cell r="I198">
            <v>7.5</v>
          </cell>
          <cell r="J198"/>
          <cell r="K198"/>
          <cell r="L198">
            <v>2.5</v>
          </cell>
          <cell r="M198"/>
          <cell r="N198"/>
          <cell r="O198"/>
          <cell r="P198">
            <v>2</v>
          </cell>
          <cell r="Q198"/>
          <cell r="R198"/>
          <cell r="S198"/>
          <cell r="T198"/>
          <cell r="U198"/>
          <cell r="V198"/>
          <cell r="W198"/>
          <cell r="X198"/>
          <cell r="Y198"/>
          <cell r="Z198"/>
          <cell r="AA198"/>
          <cell r="AB198"/>
          <cell r="AC198"/>
          <cell r="AD198"/>
          <cell r="AE198"/>
          <cell r="AF198">
            <v>8.3551750000000009</v>
          </cell>
          <cell r="AG198"/>
          <cell r="AH198"/>
          <cell r="AI198" t="str">
            <v>Co</v>
          </cell>
          <cell r="AJ198" t="str">
            <v>-7.5Al</v>
          </cell>
          <cell r="AK198" t="str">
            <v/>
          </cell>
          <cell r="AL198" t="str">
            <v>-30.Ni</v>
          </cell>
          <cell r="AM198" t="str">
            <v/>
          </cell>
          <cell r="AN198" t="str">
            <v/>
          </cell>
          <cell r="AO198" t="str">
            <v/>
          </cell>
          <cell r="AP198" t="str">
            <v/>
          </cell>
          <cell r="AQ198" t="str">
            <v>-2.5Ti</v>
          </cell>
          <cell r="AR198" t="str">
            <v>-2.Mo</v>
          </cell>
          <cell r="AS198" t="str">
            <v/>
          </cell>
          <cell r="AT198" t="str">
            <v/>
          </cell>
          <cell r="AU198" t="str">
            <v/>
          </cell>
          <cell r="AV198" t="str">
            <v/>
          </cell>
          <cell r="AW198" t="str">
            <v/>
          </cell>
          <cell r="AX198" t="str">
            <v/>
          </cell>
          <cell r="AY198" t="str">
            <v/>
          </cell>
          <cell r="AZ198" t="str">
            <v/>
          </cell>
          <cell r="BA198" t="str">
            <v/>
          </cell>
          <cell r="BB198" t="str">
            <v/>
          </cell>
          <cell r="BC198" t="str">
            <v/>
          </cell>
          <cell r="BD198" t="str">
            <v/>
          </cell>
          <cell r="BE198" t="str">
            <v/>
          </cell>
          <cell r="BF198" t="str">
            <v/>
          </cell>
          <cell r="BG198" t="str">
            <v/>
          </cell>
          <cell r="BH198" t="str">
            <v>2MoGao, Q. et al. Effects of alloying elements on microstructure and mechanical properties of Co–Ni–Al–Ti superalloy. Mater. Sci. Eng. A 779, (2020).</v>
          </cell>
          <cell r="BI198" t="str">
            <v>Co-30.Ni-7.5Al-2.5Ti-2.Mo</v>
          </cell>
          <cell r="BJ198" t="str">
            <v>88.0Co-30.0Ni-7.5Al-2.5Ti-2.0Mo</v>
          </cell>
        </row>
        <row r="199">
          <cell r="A199" t="str">
            <v>Co-30.Ni-8.3Al-1.7Ti</v>
          </cell>
          <cell r="B199" t="str">
            <v>Co3Ti</v>
          </cell>
          <cell r="C199" t="str">
            <v>-30Ni-8Al-2Ti</v>
          </cell>
          <cell r="D199" t="str">
            <v>1.7Ti</v>
          </cell>
          <cell r="E199" t="str">
            <v>Gao, Q. et al. Effects of alloying elements on microstructure and mechanical properties of Co–Ni–Al–Ti superalloy. Mater. Sci. Eng. A 779, (2020).</v>
          </cell>
          <cell r="F199">
            <v>210</v>
          </cell>
          <cell r="G199">
            <v>60</v>
          </cell>
          <cell r="H199">
            <v>30</v>
          </cell>
          <cell r="I199">
            <v>8.3000000000000007</v>
          </cell>
          <cell r="J199"/>
          <cell r="K199"/>
          <cell r="L199">
            <v>1.7</v>
          </cell>
          <cell r="M199"/>
          <cell r="N199"/>
          <cell r="O199"/>
          <cell r="P199"/>
          <cell r="Q199"/>
          <cell r="R199"/>
          <cell r="S199"/>
          <cell r="T199"/>
          <cell r="U199"/>
          <cell r="V199"/>
          <cell r="W199"/>
          <cell r="X199"/>
          <cell r="Y199"/>
          <cell r="Z199"/>
          <cell r="AA199"/>
          <cell r="AB199"/>
          <cell r="AC199"/>
          <cell r="AD199"/>
          <cell r="AE199"/>
          <cell r="AF199">
            <v>8.3131189999999986</v>
          </cell>
          <cell r="AG199"/>
          <cell r="AH199"/>
          <cell r="AI199" t="str">
            <v>Co</v>
          </cell>
          <cell r="AJ199" t="str">
            <v>-8.3Al</v>
          </cell>
          <cell r="AK199" t="str">
            <v/>
          </cell>
          <cell r="AL199" t="str">
            <v>-30.Ni</v>
          </cell>
          <cell r="AM199" t="str">
            <v/>
          </cell>
          <cell r="AN199" t="str">
            <v/>
          </cell>
          <cell r="AO199" t="str">
            <v/>
          </cell>
          <cell r="AP199" t="str">
            <v/>
          </cell>
          <cell r="AQ199" t="str">
            <v>-1.7Ti</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cell r="BD199" t="str">
            <v/>
          </cell>
          <cell r="BE199" t="str">
            <v/>
          </cell>
          <cell r="BF199" t="str">
            <v/>
          </cell>
          <cell r="BG199" t="str">
            <v/>
          </cell>
          <cell r="BH199" t="str">
            <v>1.7TiGao, Q. et al. Effects of alloying elements on microstructure and mechanical properties of Co–Ni–Al–Ti superalloy. Mater. Sci. Eng. A 779, (2020).</v>
          </cell>
          <cell r="BI199" t="str">
            <v>Co-30.Ni-8.3Al-1.7Ti</v>
          </cell>
          <cell r="BJ199" t="str">
            <v>90.0Co-30.0Ni-8.3Al-1.7Ti</v>
          </cell>
        </row>
        <row r="200">
          <cell r="A200" t="str">
            <v>Co-30.Ni-11.Al-5.Cr-4.W-4.Ti-1.Ta</v>
          </cell>
          <cell r="B200" t="str">
            <v>CoAlWX+</v>
          </cell>
          <cell r="C200" t="str">
            <v>-30Ni-11Al-5Cr-4W-4Ti-1Ta</v>
          </cell>
          <cell r="D200" t="str">
            <v>He alloy1</v>
          </cell>
          <cell r="E200" t="str">
            <v>He, J., Zou, M., Li, L., Wang, X. &amp; Feng, Q. Creep behaviour of a novel CoNi-base single-crystal superalloy at high temperature and low stress. Mater. Lett. 262, (2020).</v>
          </cell>
          <cell r="F200">
            <v>211</v>
          </cell>
          <cell r="G200">
            <v>45</v>
          </cell>
          <cell r="H200">
            <v>30</v>
          </cell>
          <cell r="I200">
            <v>11</v>
          </cell>
          <cell r="J200">
            <v>5</v>
          </cell>
          <cell r="K200">
            <v>4</v>
          </cell>
          <cell r="L200">
            <v>4</v>
          </cell>
          <cell r="M200">
            <v>1</v>
          </cell>
          <cell r="N200"/>
          <cell r="O200"/>
          <cell r="P200"/>
          <cell r="Q200"/>
          <cell r="R200"/>
          <cell r="S200"/>
          <cell r="T200"/>
          <cell r="U200"/>
          <cell r="V200"/>
          <cell r="W200"/>
          <cell r="X200"/>
          <cell r="Y200"/>
          <cell r="Z200"/>
          <cell r="AA200"/>
          <cell r="AB200"/>
          <cell r="AC200"/>
          <cell r="AD200"/>
          <cell r="AE200"/>
          <cell r="AF200">
            <v>8.4506800000000002</v>
          </cell>
          <cell r="AG200">
            <v>8.77</v>
          </cell>
          <cell r="AH200" t="str">
            <v>single crystal</v>
          </cell>
          <cell r="AI200" t="str">
            <v>Co</v>
          </cell>
          <cell r="AJ200" t="str">
            <v>-11.Al</v>
          </cell>
          <cell r="AK200" t="str">
            <v>-4.W</v>
          </cell>
          <cell r="AL200" t="str">
            <v>-30.Ni</v>
          </cell>
          <cell r="AM200" t="str">
            <v>-5.Cr</v>
          </cell>
          <cell r="AN200" t="str">
            <v>-1.Ta</v>
          </cell>
          <cell r="AO200" t="str">
            <v/>
          </cell>
          <cell r="AP200" t="str">
            <v/>
          </cell>
          <cell r="AQ200" t="str">
            <v>-4.Ti</v>
          </cell>
          <cell r="AR200" t="str">
            <v/>
          </cell>
          <cell r="AS200" t="str">
            <v/>
          </cell>
          <cell r="AT200" t="str">
            <v/>
          </cell>
          <cell r="AU200" t="str">
            <v/>
          </cell>
          <cell r="AV200" t="str">
            <v/>
          </cell>
          <cell r="AW200" t="str">
            <v/>
          </cell>
          <cell r="AX200" t="str">
            <v/>
          </cell>
          <cell r="AY200" t="str">
            <v/>
          </cell>
          <cell r="AZ200" t="str">
            <v/>
          </cell>
          <cell r="BA200" t="str">
            <v/>
          </cell>
          <cell r="BB200" t="str">
            <v/>
          </cell>
          <cell r="BC200" t="str">
            <v/>
          </cell>
          <cell r="BD200" t="str">
            <v/>
          </cell>
          <cell r="BE200" t="str">
            <v/>
          </cell>
          <cell r="BF200" t="str">
            <v/>
          </cell>
          <cell r="BG200" t="str">
            <v/>
          </cell>
          <cell r="BH200" t="str">
            <v>He alloy1He, J., Zou, M., Li, L., Wang, X. &amp; Feng, Q. Creep behaviour of a novel CoNi-base single-crystal superalloy at high temperature and low stress. Mater. Lett. 262, (2020).</v>
          </cell>
          <cell r="BI200" t="str">
            <v>Co-30.Ni-11.Al-5.Cr-4.W-4.Ti-1.Ta</v>
          </cell>
          <cell r="BJ200" t="str">
            <v>75.0Co-30.0Ni-11.0Al-5.0Cr-4.0W-4.0Ti-1.0Ta</v>
          </cell>
        </row>
        <row r="201">
          <cell r="A201" t="str">
            <v>Co-20.4Ni-9.8Al-7.4W-2.7Ti-0.4C-0.1B</v>
          </cell>
          <cell r="B201" t="str">
            <v>CoAlWX+</v>
          </cell>
          <cell r="C201" t="str">
            <v>-20Ni-10Al-7W-3Ti-C-B</v>
          </cell>
          <cell r="D201" t="str">
            <v>9.8Al-7.4W-2.7Ti-20.4Ni-0.4C- 0.1B</v>
          </cell>
          <cell r="E201" t="str">
            <v>Homepage, J., Sani, S. A., Arabi, H., Kheirandish, S. &amp; Ebrahimi, G. R. Iranian Journal of Materials Forming Flow Stress Modeling in a γ-γ / Cobalt Base Superalloy by Using the Hyperbolic Sine Equation and ANN Method. Number 1 Iran. J. Mater. Form. 6, 44–55 (2019).</v>
          </cell>
          <cell r="F201">
            <v>212</v>
          </cell>
          <cell r="G201">
            <v>59.199999999999996</v>
          </cell>
          <cell r="H201">
            <v>20.399999999999999</v>
          </cell>
          <cell r="I201">
            <v>9.8000000000000007</v>
          </cell>
          <cell r="J201"/>
          <cell r="K201">
            <v>7.4</v>
          </cell>
          <cell r="L201">
            <v>2.7</v>
          </cell>
          <cell r="M201"/>
          <cell r="N201"/>
          <cell r="O201"/>
          <cell r="P201"/>
          <cell r="Q201">
            <v>0.4</v>
          </cell>
          <cell r="R201"/>
          <cell r="S201">
            <v>0.1</v>
          </cell>
          <cell r="T201"/>
          <cell r="U201"/>
          <cell r="V201"/>
          <cell r="W201"/>
          <cell r="X201"/>
          <cell r="Y201"/>
          <cell r="Z201"/>
          <cell r="AA201"/>
          <cell r="AB201"/>
          <cell r="AC201"/>
          <cell r="AD201"/>
          <cell r="AE201"/>
          <cell r="AF201">
            <v>8.9083210000000008</v>
          </cell>
          <cell r="AG201"/>
          <cell r="AH201" t="str">
            <v>composiiton measured</v>
          </cell>
          <cell r="AI201" t="str">
            <v>Co</v>
          </cell>
          <cell r="AJ201" t="str">
            <v>-9.8Al</v>
          </cell>
          <cell r="AK201" t="str">
            <v>-7.4W</v>
          </cell>
          <cell r="AL201" t="str">
            <v>-20.4Ni</v>
          </cell>
          <cell r="AM201" t="str">
            <v/>
          </cell>
          <cell r="AN201" t="str">
            <v/>
          </cell>
          <cell r="AO201" t="str">
            <v/>
          </cell>
          <cell r="AP201" t="str">
            <v/>
          </cell>
          <cell r="AQ201" t="str">
            <v>-2.7Ti</v>
          </cell>
          <cell r="AR201" t="str">
            <v/>
          </cell>
          <cell r="AS201" t="str">
            <v>-0.4C</v>
          </cell>
          <cell r="AT201" t="str">
            <v/>
          </cell>
          <cell r="AU201" t="str">
            <v>-0.1B</v>
          </cell>
          <cell r="AV201" t="str">
            <v/>
          </cell>
          <cell r="AW201" t="str">
            <v/>
          </cell>
          <cell r="AX201" t="str">
            <v/>
          </cell>
          <cell r="AY201" t="str">
            <v/>
          </cell>
          <cell r="AZ201" t="str">
            <v/>
          </cell>
          <cell r="BA201" t="str">
            <v/>
          </cell>
          <cell r="BB201" t="str">
            <v/>
          </cell>
          <cell r="BC201" t="str">
            <v/>
          </cell>
          <cell r="BD201" t="str">
            <v/>
          </cell>
          <cell r="BE201" t="str">
            <v/>
          </cell>
          <cell r="BF201" t="str">
            <v/>
          </cell>
          <cell r="BG201" t="str">
            <v/>
          </cell>
          <cell r="BH201" t="str">
            <v>9.8Al-7.4W-2.7Ti-20.4Ni-0.4C- 0.1BHomepage, J., Sani, S. A., Arabi, H., Kheirandish, S. &amp; Ebrahimi, G. R. Iranian Journal of Materials Forming Flow Stress Modeling in a γ-γ / Cobalt Base Superalloy by Using the Hyperbolic Sine Equation and ANN Method. Number 1 Iran. J. Mater. Form. 6, 44–55 (2019).</v>
          </cell>
          <cell r="BI201" t="str">
            <v>Co-20.4Ni-9.8Al-7.4W-2.7Ti-0.4C-0.1B</v>
          </cell>
          <cell r="BJ201" t="str">
            <v>79.6Co-20.4Ni-9.8Al-7.4W-2.7Ti-0.40C-0.10B</v>
          </cell>
        </row>
        <row r="202">
          <cell r="A202" t="str">
            <v>Co-12.Ti</v>
          </cell>
          <cell r="B202" t="str">
            <v>Co3Ti</v>
          </cell>
          <cell r="C202" t="str">
            <v>-12Ti</v>
          </cell>
          <cell r="D202" t="str">
            <v>Co-12Ti</v>
          </cell>
          <cell r="E202" t="str">
            <v>Im, H. J. et al. Elemental partitioning and site-occupancy in γ/γ′ forming Co-Ti-Mo and Co-Ti-Cr alloys. Scr. Mater. 154, 159–162 (2018).</v>
          </cell>
          <cell r="F202">
            <v>213</v>
          </cell>
          <cell r="G202">
            <v>88</v>
          </cell>
          <cell r="H202"/>
          <cell r="I202"/>
          <cell r="J202"/>
          <cell r="K202"/>
          <cell r="L202">
            <v>12</v>
          </cell>
          <cell r="M202"/>
          <cell r="N202"/>
          <cell r="O202"/>
          <cell r="P202"/>
          <cell r="Q202"/>
          <cell r="R202"/>
          <cell r="S202"/>
          <cell r="T202"/>
          <cell r="U202"/>
          <cell r="V202"/>
          <cell r="W202"/>
          <cell r="X202"/>
          <cell r="Y202"/>
          <cell r="Z202"/>
          <cell r="AA202"/>
          <cell r="AB202"/>
          <cell r="AC202"/>
          <cell r="AD202"/>
          <cell r="AE202"/>
          <cell r="AF202">
            <v>8.3728400000000001</v>
          </cell>
          <cell r="AG202"/>
          <cell r="AH202"/>
          <cell r="AI202" t="str">
            <v>Co</v>
          </cell>
          <cell r="AJ202" t="str">
            <v/>
          </cell>
          <cell r="AK202" t="str">
            <v/>
          </cell>
          <cell r="AL202" t="str">
            <v/>
          </cell>
          <cell r="AM202" t="str">
            <v/>
          </cell>
          <cell r="AN202" t="str">
            <v/>
          </cell>
          <cell r="AO202" t="str">
            <v/>
          </cell>
          <cell r="AP202" t="str">
            <v/>
          </cell>
          <cell r="AQ202" t="str">
            <v>-12.Ti</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cell r="BD202" t="str">
            <v/>
          </cell>
          <cell r="BE202" t="str">
            <v/>
          </cell>
          <cell r="BF202" t="str">
            <v/>
          </cell>
          <cell r="BG202" t="str">
            <v/>
          </cell>
          <cell r="BH202" t="str">
            <v>Co-12TiIm, H. J. et al. Elemental partitioning and site-occupancy in γ/γ′ forming Co-Ti-Mo and Co-Ti-Cr alloys. Scr. Mater. 154, 159–162 (2018).</v>
          </cell>
          <cell r="BI202" t="str">
            <v>Co-12.Ti</v>
          </cell>
          <cell r="BJ202" t="str">
            <v>88.0Co-12.0Ti</v>
          </cell>
        </row>
        <row r="203">
          <cell r="A203" t="str">
            <v>Co-12.Ti-4.Mo</v>
          </cell>
          <cell r="B203" t="str">
            <v>Co3Ti</v>
          </cell>
          <cell r="C203" t="str">
            <v>-12Ti-4Mo</v>
          </cell>
          <cell r="D203" t="str">
            <v>+4Mo</v>
          </cell>
          <cell r="E203" t="str">
            <v>Im, H. J. et al. Elemental partitioning and site-occupancy in γ/γ′ forming Co-Ti-Mo and Co-Ti-Cr alloys. Scr. Mater. 154, 159–162 (2018).</v>
          </cell>
          <cell r="F203">
            <v>214</v>
          </cell>
          <cell r="G203">
            <v>84</v>
          </cell>
          <cell r="H203"/>
          <cell r="I203"/>
          <cell r="J203"/>
          <cell r="K203"/>
          <cell r="L203">
            <v>12</v>
          </cell>
          <cell r="M203"/>
          <cell r="N203"/>
          <cell r="O203"/>
          <cell r="P203">
            <v>4</v>
          </cell>
          <cell r="Q203"/>
          <cell r="R203"/>
          <cell r="S203"/>
          <cell r="T203"/>
          <cell r="U203"/>
          <cell r="V203"/>
          <cell r="W203"/>
          <cell r="X203"/>
          <cell r="Y203"/>
          <cell r="Z203"/>
          <cell r="AA203"/>
          <cell r="AB203"/>
          <cell r="AC203"/>
          <cell r="AD203"/>
          <cell r="AE203"/>
          <cell r="AF203">
            <v>8.4280399999999993</v>
          </cell>
          <cell r="AG203"/>
          <cell r="AH203"/>
          <cell r="AI203" t="str">
            <v>Co</v>
          </cell>
          <cell r="AJ203" t="str">
            <v/>
          </cell>
          <cell r="AK203" t="str">
            <v/>
          </cell>
          <cell r="AL203" t="str">
            <v/>
          </cell>
          <cell r="AM203" t="str">
            <v/>
          </cell>
          <cell r="AN203" t="str">
            <v/>
          </cell>
          <cell r="AO203" t="str">
            <v/>
          </cell>
          <cell r="AP203" t="str">
            <v/>
          </cell>
          <cell r="AQ203" t="str">
            <v>-12.Ti</v>
          </cell>
          <cell r="AR203" t="str">
            <v>-4.Mo</v>
          </cell>
          <cell r="AS203" t="str">
            <v/>
          </cell>
          <cell r="AT203" t="str">
            <v/>
          </cell>
          <cell r="AU203" t="str">
            <v/>
          </cell>
          <cell r="AV203" t="str">
            <v/>
          </cell>
          <cell r="AW203" t="str">
            <v/>
          </cell>
          <cell r="AX203" t="str">
            <v/>
          </cell>
          <cell r="AY203" t="str">
            <v/>
          </cell>
          <cell r="AZ203" t="str">
            <v/>
          </cell>
          <cell r="BA203" t="str">
            <v/>
          </cell>
          <cell r="BB203" t="str">
            <v/>
          </cell>
          <cell r="BC203" t="str">
            <v/>
          </cell>
          <cell r="BD203" t="str">
            <v/>
          </cell>
          <cell r="BE203" t="str">
            <v/>
          </cell>
          <cell r="BF203" t="str">
            <v/>
          </cell>
          <cell r="BG203" t="str">
            <v/>
          </cell>
          <cell r="BH203" t="str">
            <v>+4MoIm, H. J. et al. Elemental partitioning and site-occupancy in γ/γ′ forming Co-Ti-Mo and Co-Ti-Cr alloys. Scr. Mater. 154, 159–162 (2018).</v>
          </cell>
          <cell r="BI203" t="str">
            <v>Co-12.Ti-4.Mo</v>
          </cell>
          <cell r="BJ203" t="str">
            <v>84.0Co-12.0Ti-4.0Mo</v>
          </cell>
        </row>
        <row r="204">
          <cell r="A204" t="str">
            <v>Co-4.Cr-12.Ti</v>
          </cell>
          <cell r="B204" t="str">
            <v>Co3Ti</v>
          </cell>
          <cell r="C204" t="str">
            <v>-4Cr-12Ti</v>
          </cell>
          <cell r="D204" t="str">
            <v>+4Cr</v>
          </cell>
          <cell r="E204" t="str">
            <v>Im, H. J. et al. Elemental partitioning and site-occupancy in γ/γ′ forming Co-Ti-Mo and Co-Ti-Cr alloys. Scr. Mater. 154, 159–162 (2018).</v>
          </cell>
          <cell r="F204">
            <v>215</v>
          </cell>
          <cell r="G204">
            <v>84</v>
          </cell>
          <cell r="H204"/>
          <cell r="I204"/>
          <cell r="J204">
            <v>4</v>
          </cell>
          <cell r="K204"/>
          <cell r="L204">
            <v>12</v>
          </cell>
          <cell r="M204"/>
          <cell r="N204"/>
          <cell r="O204"/>
          <cell r="P204"/>
          <cell r="Q204"/>
          <cell r="R204"/>
          <cell r="S204"/>
          <cell r="T204"/>
          <cell r="U204"/>
          <cell r="V204"/>
          <cell r="W204"/>
          <cell r="X204"/>
          <cell r="Y204"/>
          <cell r="Z204"/>
          <cell r="AA204"/>
          <cell r="AB204"/>
          <cell r="AC204"/>
          <cell r="AD204"/>
          <cell r="AE204"/>
          <cell r="AF204">
            <v>8.3044399999999996</v>
          </cell>
          <cell r="AG204"/>
          <cell r="AH204"/>
          <cell r="AI204" t="str">
            <v>Co</v>
          </cell>
          <cell r="AJ204" t="str">
            <v/>
          </cell>
          <cell r="AK204" t="str">
            <v/>
          </cell>
          <cell r="AL204" t="str">
            <v/>
          </cell>
          <cell r="AM204" t="str">
            <v>-4.Cr</v>
          </cell>
          <cell r="AN204" t="str">
            <v/>
          </cell>
          <cell r="AO204" t="str">
            <v/>
          </cell>
          <cell r="AP204" t="str">
            <v/>
          </cell>
          <cell r="AQ204" t="str">
            <v>-12.Ti</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cell r="BD204" t="str">
            <v/>
          </cell>
          <cell r="BE204" t="str">
            <v/>
          </cell>
          <cell r="BF204" t="str">
            <v/>
          </cell>
          <cell r="BG204" t="str">
            <v/>
          </cell>
          <cell r="BH204" t="str">
            <v>+4CrIm, H. J. et al. Elemental partitioning and site-occupancy in γ/γ′ forming Co-Ti-Mo and Co-Ti-Cr alloys. Scr. Mater. 154, 159–162 (2018).</v>
          </cell>
          <cell r="BI204" t="str">
            <v>Co-4.Cr-12.Ti</v>
          </cell>
          <cell r="BJ204" t="str">
            <v>84.0Co-4.0Cr-12.0Ti</v>
          </cell>
        </row>
        <row r="205">
          <cell r="A205" t="str">
            <v>Co-10.Al-11.W</v>
          </cell>
          <cell r="B205" t="str">
            <v>CoAlW-X</v>
          </cell>
          <cell r="C205" t="str">
            <v>-10Al-11W</v>
          </cell>
          <cell r="D205" t="str">
            <v>Pure L12 phase</v>
          </cell>
          <cell r="E205" t="str">
            <v>Inui, H., Oohashi, T., Okamoto, N. L., Kishida, K. &amp; Tanaka, K. Mechanical properties of the ternary L12 compound Co 3(Al, W) in singleand polycrystalline forms. Adv. Mater. Res. 278, 1–6 (2011).</v>
          </cell>
          <cell r="F205">
            <v>216</v>
          </cell>
          <cell r="G205">
            <v>79</v>
          </cell>
          <cell r="H205"/>
          <cell r="I205">
            <v>10</v>
          </cell>
          <cell r="J205"/>
          <cell r="K205">
            <v>11</v>
          </cell>
          <cell r="L205"/>
          <cell r="M205"/>
          <cell r="N205"/>
          <cell r="O205"/>
          <cell r="P205"/>
          <cell r="Q205"/>
          <cell r="R205"/>
          <cell r="S205"/>
          <cell r="T205"/>
          <cell r="U205"/>
          <cell r="V205"/>
          <cell r="W205"/>
          <cell r="X205"/>
          <cell r="Y205"/>
          <cell r="Z205"/>
          <cell r="AA205"/>
          <cell r="AB205"/>
          <cell r="AC205"/>
          <cell r="AD205"/>
          <cell r="AE205"/>
          <cell r="AF205">
            <v>9.4184999999999999</v>
          </cell>
          <cell r="AG205"/>
          <cell r="AH205"/>
          <cell r="AI205" t="str">
            <v>Co</v>
          </cell>
          <cell r="AJ205" t="str">
            <v>-10.Al</v>
          </cell>
          <cell r="AK205" t="str">
            <v>-11.W</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cell r="BD205" t="str">
            <v/>
          </cell>
          <cell r="BE205" t="str">
            <v/>
          </cell>
          <cell r="BF205" t="str">
            <v/>
          </cell>
          <cell r="BG205" t="str">
            <v/>
          </cell>
          <cell r="BH205" t="str">
            <v>Pure L12 phaseInui, H., Oohashi, T., Okamoto, N. L., Kishida, K. &amp; Tanaka, K. Mechanical properties of the ternary L12 compound Co 3(Al, W) in singleand polycrystalline forms. Adv. Mater. Res. 278, 1–6 (2011).</v>
          </cell>
          <cell r="BI205" t="str">
            <v>Co-10.Al-11.W</v>
          </cell>
          <cell r="BJ205" t="str">
            <v>79.0Co-10.0Al-11.0W</v>
          </cell>
        </row>
        <row r="206">
          <cell r="A206" t="str">
            <v>Co-33.5Ni-12.Al-17.Cr-3.W-1.Ta</v>
          </cell>
          <cell r="B206" t="str">
            <v>CoAlWX+</v>
          </cell>
          <cell r="C206" t="str">
            <v>-34Ni-12Al-17Cr-3W-1Ta</v>
          </cell>
          <cell r="D206" t="str">
            <v>17Cr-12Al</v>
          </cell>
          <cell r="E206" t="str">
            <v>Ismail, F. B. et al. Alloying effects on oxidation mechanisms in polycrystalline Co–Ni base superalloys. Corros. Sci. 116, 44–52 (2017).</v>
          </cell>
          <cell r="F206">
            <v>217</v>
          </cell>
          <cell r="G206">
            <v>33.5</v>
          </cell>
          <cell r="H206">
            <v>33.5</v>
          </cell>
          <cell r="I206">
            <v>12</v>
          </cell>
          <cell r="J206">
            <v>17</v>
          </cell>
          <cell r="K206">
            <v>3</v>
          </cell>
          <cell r="L206"/>
          <cell r="M206">
            <v>1</v>
          </cell>
          <cell r="N206"/>
          <cell r="O206"/>
          <cell r="P206"/>
          <cell r="Q206"/>
          <cell r="R206"/>
          <cell r="S206"/>
          <cell r="T206"/>
          <cell r="U206"/>
          <cell r="V206"/>
          <cell r="W206"/>
          <cell r="X206"/>
          <cell r="Y206"/>
          <cell r="Z206"/>
          <cell r="AA206"/>
          <cell r="AB206"/>
          <cell r="AC206"/>
          <cell r="AD206"/>
          <cell r="AE206"/>
          <cell r="AF206">
            <v>8.255980000000001</v>
          </cell>
          <cell r="AG206"/>
          <cell r="AH206" t="str">
            <v>HIP powder</v>
          </cell>
          <cell r="AI206" t="str">
            <v>Co</v>
          </cell>
          <cell r="AJ206" t="str">
            <v>-12.Al</v>
          </cell>
          <cell r="AK206" t="str">
            <v>-3.W</v>
          </cell>
          <cell r="AL206" t="str">
            <v>-33.5Ni</v>
          </cell>
          <cell r="AM206" t="str">
            <v>-17.Cr</v>
          </cell>
          <cell r="AN206" t="str">
            <v>-1.Ta</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cell r="BD206" t="str">
            <v/>
          </cell>
          <cell r="BE206" t="str">
            <v/>
          </cell>
          <cell r="BF206" t="str">
            <v/>
          </cell>
          <cell r="BG206" t="str">
            <v/>
          </cell>
          <cell r="BH206" t="str">
            <v>17Cr-12AlIsmail, F. B. et al. Alloying effects on oxidation mechanisms in polycrystalline Co–Ni base superalloys. Corros. Sci. 116, 44–52 (2017).</v>
          </cell>
          <cell r="BI206" t="str">
            <v>Co-33.5Ni-12.Al-17.Cr-3.W-1.Ta</v>
          </cell>
          <cell r="BJ206" t="str">
            <v>67.0Co-33.5Ni-12.0Al-17.0Cr-3.0W-1.0Ta</v>
          </cell>
        </row>
        <row r="207">
          <cell r="A207" t="str">
            <v>Co-35.Ni-10.Al-15.Cr-3.W-1.Ta</v>
          </cell>
          <cell r="B207" t="str">
            <v>CoAlWX+</v>
          </cell>
          <cell r="C207" t="str">
            <v>-35Ni-10Al-15Cr-3W-1Ta</v>
          </cell>
          <cell r="D207" t="str">
            <v>15Cr-10Al</v>
          </cell>
          <cell r="E207" t="str">
            <v>Ismail, F. B. et al. Alloying effects on oxidation mechanisms in polycrystalline Co–Ni base superalloys. Corros. Sci. 116, 44–52 (2017).</v>
          </cell>
          <cell r="F207">
            <v>218</v>
          </cell>
          <cell r="G207">
            <v>36</v>
          </cell>
          <cell r="H207">
            <v>35</v>
          </cell>
          <cell r="I207">
            <v>10</v>
          </cell>
          <cell r="J207">
            <v>15</v>
          </cell>
          <cell r="K207">
            <v>3</v>
          </cell>
          <cell r="L207"/>
          <cell r="M207">
            <v>1</v>
          </cell>
          <cell r="N207"/>
          <cell r="O207"/>
          <cell r="P207"/>
          <cell r="Q207"/>
          <cell r="R207"/>
          <cell r="S207"/>
          <cell r="T207"/>
          <cell r="U207"/>
          <cell r="V207"/>
          <cell r="W207"/>
          <cell r="X207"/>
          <cell r="Y207"/>
          <cell r="Z207"/>
          <cell r="AA207"/>
          <cell r="AB207"/>
          <cell r="AC207"/>
          <cell r="AD207"/>
          <cell r="AE207"/>
          <cell r="AF207">
            <v>8.4143000000000008</v>
          </cell>
          <cell r="AG207"/>
          <cell r="AH207"/>
          <cell r="AI207" t="str">
            <v>Co</v>
          </cell>
          <cell r="AJ207" t="str">
            <v>-10.Al</v>
          </cell>
          <cell r="AK207" t="str">
            <v>-3.W</v>
          </cell>
          <cell r="AL207" t="str">
            <v>-35.Ni</v>
          </cell>
          <cell r="AM207" t="str">
            <v>-15.Cr</v>
          </cell>
          <cell r="AN207" t="str">
            <v>-1.Ta</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cell r="BD207" t="str">
            <v/>
          </cell>
          <cell r="BE207" t="str">
            <v/>
          </cell>
          <cell r="BF207" t="str">
            <v/>
          </cell>
          <cell r="BG207" t="str">
            <v/>
          </cell>
          <cell r="BH207" t="str">
            <v>15Cr-10AlIsmail, F. B. et al. Alloying effects on oxidation mechanisms in polycrystalline Co–Ni base superalloys. Corros. Sci. 116, 44–52 (2017).</v>
          </cell>
          <cell r="BI207" t="str">
            <v>Co-35.Ni-10.Al-15.Cr-3.W-1.Ta</v>
          </cell>
          <cell r="BJ207" t="str">
            <v>71.0Co-35.0Ni-10.0Al-15.0Cr-3.0W-1.0Ta</v>
          </cell>
        </row>
        <row r="208">
          <cell r="A208" t="str">
            <v>Co-29.Ni-10.Al-17.Cr-3.W-1.Ta</v>
          </cell>
          <cell r="B208" t="str">
            <v>CoAlWX+</v>
          </cell>
          <cell r="C208" t="str">
            <v>-29Ni-10Al-17Cr-3W-1Ta</v>
          </cell>
          <cell r="D208" t="str">
            <v>1.3Co-17Cr-10Al</v>
          </cell>
          <cell r="E208" t="str">
            <v>Ismail, F. B. et al. Alloying effects on oxidation mechanisms in polycrystalline Co–Ni base superalloys. Corros. Sci. 116, 44–52 (2017).</v>
          </cell>
          <cell r="F208">
            <v>219</v>
          </cell>
          <cell r="G208">
            <v>40</v>
          </cell>
          <cell r="H208">
            <v>29</v>
          </cell>
          <cell r="I208">
            <v>10</v>
          </cell>
          <cell r="J208">
            <v>17</v>
          </cell>
          <cell r="K208">
            <v>3</v>
          </cell>
          <cell r="L208"/>
          <cell r="M208">
            <v>1</v>
          </cell>
          <cell r="N208"/>
          <cell r="O208"/>
          <cell r="P208"/>
          <cell r="Q208"/>
          <cell r="R208"/>
          <cell r="S208"/>
          <cell r="T208"/>
          <cell r="U208"/>
          <cell r="V208"/>
          <cell r="W208"/>
          <cell r="X208"/>
          <cell r="Y208"/>
          <cell r="Z208"/>
          <cell r="AA208"/>
          <cell r="AB208"/>
          <cell r="AC208"/>
          <cell r="AD208"/>
          <cell r="AE208"/>
          <cell r="AF208">
            <v>8.3796199999999992</v>
          </cell>
          <cell r="AG208"/>
          <cell r="AH208"/>
          <cell r="AI208" t="str">
            <v>Co</v>
          </cell>
          <cell r="AJ208" t="str">
            <v>-10.Al</v>
          </cell>
          <cell r="AK208" t="str">
            <v>-3.W</v>
          </cell>
          <cell r="AL208" t="str">
            <v>-29.Ni</v>
          </cell>
          <cell r="AM208" t="str">
            <v>-17.Cr</v>
          </cell>
          <cell r="AN208" t="str">
            <v>-1.Ta</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cell r="BD208" t="str">
            <v/>
          </cell>
          <cell r="BE208" t="str">
            <v/>
          </cell>
          <cell r="BF208" t="str">
            <v/>
          </cell>
          <cell r="BG208" t="str">
            <v/>
          </cell>
          <cell r="BH208" t="str">
            <v>1.3Co-17Cr-10AlIsmail, F. B. et al. Alloying effects on oxidation mechanisms in polycrystalline Co–Ni base superalloys. Corros. Sci. 116, 44–52 (2017).</v>
          </cell>
          <cell r="BI208" t="str">
            <v>Co-29.Ni-10.Al-17.Cr-3.W-1.Ta</v>
          </cell>
          <cell r="BJ208" t="str">
            <v>69.0Co-29.0Ni-10.0Al-17.0Cr-3.0W-1.0Ta</v>
          </cell>
        </row>
        <row r="209">
          <cell r="A209" t="str">
            <v>Co-6.7Al-8.1W-6.2Ti</v>
          </cell>
          <cell r="B209" t="str">
            <v>CoAlW-X</v>
          </cell>
          <cell r="C209" t="str">
            <v>-7Al-8W-6Ti</v>
          </cell>
          <cell r="D209" t="str">
            <v>Quat-Ti</v>
          </cell>
          <cell r="E209" t="str">
            <v>Jackson, R. W., Titus, M. S., Begley, M. R. &amp; Pollock, T. M. Thermal expansion behavior of new Co-based alloys and implications for coatings. Surf. Coatings Technol. 289, 61–68 (2016).</v>
          </cell>
          <cell r="F209">
            <v>220</v>
          </cell>
          <cell r="G209">
            <v>79</v>
          </cell>
          <cell r="H209"/>
          <cell r="I209">
            <v>6.7</v>
          </cell>
          <cell r="J209"/>
          <cell r="K209">
            <v>8.1</v>
          </cell>
          <cell r="L209">
            <v>6.2</v>
          </cell>
          <cell r="M209"/>
          <cell r="N209"/>
          <cell r="O209"/>
          <cell r="P209"/>
          <cell r="Q209"/>
          <cell r="R209"/>
          <cell r="S209"/>
          <cell r="T209"/>
          <cell r="U209"/>
          <cell r="V209"/>
          <cell r="W209"/>
          <cell r="X209"/>
          <cell r="Y209"/>
          <cell r="Z209"/>
          <cell r="AA209"/>
          <cell r="AB209"/>
          <cell r="AC209"/>
          <cell r="AD209"/>
          <cell r="AE209"/>
          <cell r="AF209">
            <v>9.0505840000000006</v>
          </cell>
          <cell r="AG209"/>
          <cell r="AH209"/>
          <cell r="AI209" t="str">
            <v>Co</v>
          </cell>
          <cell r="AJ209" t="str">
            <v>-6.7Al</v>
          </cell>
          <cell r="AK209" t="str">
            <v>-8.1W</v>
          </cell>
          <cell r="AL209" t="str">
            <v/>
          </cell>
          <cell r="AM209" t="str">
            <v/>
          </cell>
          <cell r="AN209" t="str">
            <v/>
          </cell>
          <cell r="AO209" t="str">
            <v/>
          </cell>
          <cell r="AP209" t="str">
            <v/>
          </cell>
          <cell r="AQ209" t="str">
            <v>-6.2Ti</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cell r="BD209" t="str">
            <v/>
          </cell>
          <cell r="BE209" t="str">
            <v/>
          </cell>
          <cell r="BF209" t="str">
            <v/>
          </cell>
          <cell r="BG209" t="str">
            <v/>
          </cell>
          <cell r="BH209" t="str">
            <v>Quat-TiJackson, R. W., Titus, M. S., Begley, M. R. &amp; Pollock, T. M. Thermal expansion behavior of new Co-based alloys and implications for coatings. Surf. Coatings Technol. 289, 61–68 (2016).</v>
          </cell>
          <cell r="BI209" t="str">
            <v>Co-6.7Al-8.1W-6.2Ti</v>
          </cell>
          <cell r="BJ209" t="str">
            <v>79.0Co-6.7Al-8.1W-6.2Ti</v>
          </cell>
        </row>
        <row r="210">
          <cell r="A210" t="str">
            <v>Co-9.4Al-10.7W</v>
          </cell>
          <cell r="B210" t="str">
            <v>CoAlW-X</v>
          </cell>
          <cell r="C210" t="str">
            <v>-9Al-11W</v>
          </cell>
          <cell r="D210" t="str">
            <v>Ternary</v>
          </cell>
          <cell r="E210" t="str">
            <v>Jackson, R. W., Titus, M. S., Begley, M. R. &amp; Pollock, T. M. Thermal expansion behavior of new Co-based alloys and implications for coatings. Surf. Coatings Technol. 289, 61–68 (2016).</v>
          </cell>
          <cell r="F210">
            <v>221</v>
          </cell>
          <cell r="G210">
            <v>79.900000000000006</v>
          </cell>
          <cell r="H210"/>
          <cell r="I210">
            <v>9.4</v>
          </cell>
          <cell r="J210"/>
          <cell r="K210">
            <v>10.7</v>
          </cell>
          <cell r="L210"/>
          <cell r="M210"/>
          <cell r="N210"/>
          <cell r="O210"/>
          <cell r="P210"/>
          <cell r="Q210"/>
          <cell r="R210"/>
          <cell r="S210"/>
          <cell r="T210"/>
          <cell r="U210"/>
          <cell r="V210"/>
          <cell r="W210"/>
          <cell r="X210"/>
          <cell r="Y210"/>
          <cell r="Z210"/>
          <cell r="AA210"/>
          <cell r="AB210"/>
          <cell r="AC210"/>
          <cell r="AD210"/>
          <cell r="AE210"/>
          <cell r="AF210">
            <v>9.4246500000000015</v>
          </cell>
          <cell r="AG210"/>
          <cell r="AH210"/>
          <cell r="AI210" t="str">
            <v>Co</v>
          </cell>
          <cell r="AJ210" t="str">
            <v>-9.4Al</v>
          </cell>
          <cell r="AK210" t="str">
            <v>-10.7W</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cell r="BD210" t="str">
            <v/>
          </cell>
          <cell r="BE210" t="str">
            <v/>
          </cell>
          <cell r="BF210" t="str">
            <v/>
          </cell>
          <cell r="BG210" t="str">
            <v/>
          </cell>
          <cell r="BH210" t="str">
            <v>TernaryJackson, R. W., Titus, M. S., Begley, M. R. &amp; Pollock, T. M. Thermal expansion behavior of new Co-based alloys and implications for coatings. Surf. Coatings Technol. 289, 61–68 (2016).</v>
          </cell>
          <cell r="BI210" t="str">
            <v>Co-9.4Al-10.7W</v>
          </cell>
          <cell r="BJ210" t="str">
            <v>79.9Co-9.4Al-10.7W</v>
          </cell>
        </row>
        <row r="211">
          <cell r="A211" t="str">
            <v>Co-8.8Al-9.8W-2.Ta</v>
          </cell>
          <cell r="B211" t="str">
            <v>CoAlW-X</v>
          </cell>
          <cell r="C211" t="str">
            <v>-9Al-10W-2Ta</v>
          </cell>
          <cell r="D211" t="str">
            <v>Quat-Ta</v>
          </cell>
          <cell r="E211" t="str">
            <v>Jackson, R. W., Titus, M. S., Begley, M. R. &amp; Pollock, T. M. Thermal expansion behavior of new Co-based alloys and implications for coatings. Surf. Coatings Technol. 289, 61–68 (2016).</v>
          </cell>
          <cell r="F211">
            <v>222</v>
          </cell>
          <cell r="G211">
            <v>79.400000000000006</v>
          </cell>
          <cell r="H211"/>
          <cell r="I211">
            <v>8.8000000000000007</v>
          </cell>
          <cell r="J211"/>
          <cell r="K211">
            <v>9.8000000000000007</v>
          </cell>
          <cell r="L211"/>
          <cell r="M211">
            <v>2</v>
          </cell>
          <cell r="N211"/>
          <cell r="O211"/>
          <cell r="P211"/>
          <cell r="Q211"/>
          <cell r="R211"/>
          <cell r="S211"/>
          <cell r="T211"/>
          <cell r="U211"/>
          <cell r="V211"/>
          <cell r="W211"/>
          <cell r="X211"/>
          <cell r="Y211"/>
          <cell r="Z211"/>
          <cell r="AA211"/>
          <cell r="AB211"/>
          <cell r="AC211"/>
          <cell r="AD211"/>
          <cell r="AE211"/>
          <cell r="AF211">
            <v>9.5236999999999998</v>
          </cell>
          <cell r="AG211"/>
          <cell r="AH211"/>
          <cell r="AI211" t="str">
            <v>Co</v>
          </cell>
          <cell r="AJ211" t="str">
            <v>-8.8Al</v>
          </cell>
          <cell r="AK211" t="str">
            <v>-9.8W</v>
          </cell>
          <cell r="AL211" t="str">
            <v/>
          </cell>
          <cell r="AM211" t="str">
            <v/>
          </cell>
          <cell r="AN211" t="str">
            <v>-2.Ta</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cell r="BD211" t="str">
            <v/>
          </cell>
          <cell r="BE211" t="str">
            <v/>
          </cell>
          <cell r="BF211" t="str">
            <v/>
          </cell>
          <cell r="BG211" t="str">
            <v/>
          </cell>
          <cell r="BH211" t="str">
            <v>Quat-TaJackson, R. W., Titus, M. S., Begley, M. R. &amp; Pollock, T. M. Thermal expansion behavior of new Co-based alloys and implications for coatings. Surf. Coatings Technol. 289, 61–68 (2016).</v>
          </cell>
          <cell r="BI211" t="str">
            <v>Co-8.8Al-9.8W-2.Ta</v>
          </cell>
          <cell r="BJ211" t="str">
            <v>79.4Co-8.8Al-9.8W-2.0Ta</v>
          </cell>
        </row>
        <row r="212">
          <cell r="A212" t="str">
            <v>Co-29.6Ni-11.2Al-6.5W-2.8Ta</v>
          </cell>
          <cell r="B212" t="str">
            <v>CoAlWX+</v>
          </cell>
          <cell r="C212" t="str">
            <v>-30Ni-11Al-7W-3Ta</v>
          </cell>
          <cell r="D212" t="str">
            <v>CoNi-E</v>
          </cell>
          <cell r="E212" t="str">
            <v>Jackson, R. W., Titus, M. S., Begley, M. R. &amp; Pollock, T. M. Thermal expansion behavior of new Co-based alloys and implications for coatings. Surf. Coatings Technol. 289, 61–68 (2016).</v>
          </cell>
          <cell r="F212">
            <v>224</v>
          </cell>
          <cell r="G212">
            <v>49.900000000000006</v>
          </cell>
          <cell r="H212">
            <v>29.6</v>
          </cell>
          <cell r="I212">
            <v>11.2</v>
          </cell>
          <cell r="J212"/>
          <cell r="K212">
            <v>6.5</v>
          </cell>
          <cell r="L212"/>
          <cell r="M212">
            <v>2.8</v>
          </cell>
          <cell r="N212"/>
          <cell r="O212"/>
          <cell r="P212"/>
          <cell r="Q212"/>
          <cell r="R212"/>
          <cell r="S212"/>
          <cell r="T212"/>
          <cell r="U212"/>
          <cell r="V212"/>
          <cell r="W212"/>
          <cell r="X212"/>
          <cell r="Y212"/>
          <cell r="Z212"/>
          <cell r="AA212"/>
          <cell r="AB212"/>
          <cell r="AC212"/>
          <cell r="AD212"/>
          <cell r="AE212"/>
          <cell r="AF212">
            <v>9.0977180000000004</v>
          </cell>
          <cell r="AG212"/>
          <cell r="AH212"/>
          <cell r="AI212" t="str">
            <v>Co</v>
          </cell>
          <cell r="AJ212" t="str">
            <v>-11.2Al</v>
          </cell>
          <cell r="AK212" t="str">
            <v>-6.5W</v>
          </cell>
          <cell r="AL212" t="str">
            <v>-29.6Ni</v>
          </cell>
          <cell r="AM212" t="str">
            <v/>
          </cell>
          <cell r="AN212" t="str">
            <v>-2.8Ta</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cell r="BD212" t="str">
            <v/>
          </cell>
          <cell r="BE212" t="str">
            <v/>
          </cell>
          <cell r="BF212" t="str">
            <v/>
          </cell>
          <cell r="BG212" t="str">
            <v/>
          </cell>
          <cell r="BH212" t="str">
            <v>CoNi-EJackson, R. W., Titus, M. S., Begley, M. R. &amp; Pollock, T. M. Thermal expansion behavior of new Co-based alloys and implications for coatings. Surf. Coatings Technol. 289, 61–68 (2016).</v>
          </cell>
          <cell r="BI212" t="str">
            <v>Co-29.6Ni-11.2Al-6.5W-2.8Ta</v>
          </cell>
          <cell r="BJ212" t="str">
            <v>79.5Co-29.6Ni-11.2Al-6.5W-2.8Ta</v>
          </cell>
        </row>
        <row r="213">
          <cell r="A213" t="str">
            <v>Co-23.4Ni-9.5Al-1.9Cr-4.1W-1.8Ta</v>
          </cell>
          <cell r="B213" t="str">
            <v>CoAlWX+</v>
          </cell>
          <cell r="C213" t="str">
            <v>-23Ni-9Al-2Cr-4W-2Ta</v>
          </cell>
          <cell r="D213" t="str">
            <v>Co-10Al-4W-25Ni-2Ta-2Ti</v>
          </cell>
          <cell r="E213" t="str">
            <v>Katelun Wertz, B., Mills, M., Stephen Niezgoda, A. &amp; Yunzhi Wang Kiran, A. D. Exploration of Phase Stability and Hot Workability of Polycrystalline Co-Al-W-Base Superalloys.</v>
          </cell>
          <cell r="F213">
            <v>225</v>
          </cell>
          <cell r="G213">
            <v>59.289999999999992</v>
          </cell>
          <cell r="H213">
            <v>23.42</v>
          </cell>
          <cell r="I213">
            <v>9.49</v>
          </cell>
          <cell r="J213">
            <v>1.89</v>
          </cell>
          <cell r="K213">
            <v>4.0999999999999996</v>
          </cell>
          <cell r="L213"/>
          <cell r="M213">
            <v>1.81</v>
          </cell>
          <cell r="N213"/>
          <cell r="O213"/>
          <cell r="P213"/>
          <cell r="Q213"/>
          <cell r="R213"/>
          <cell r="S213"/>
          <cell r="T213"/>
          <cell r="U213"/>
          <cell r="V213"/>
          <cell r="W213"/>
          <cell r="X213"/>
          <cell r="Y213"/>
          <cell r="Z213"/>
          <cell r="AA213"/>
          <cell r="AB213"/>
          <cell r="AC213"/>
          <cell r="AD213"/>
          <cell r="AE213"/>
          <cell r="AF213">
            <v>8.8457995999999994</v>
          </cell>
          <cell r="AG213"/>
          <cell r="AH213"/>
          <cell r="AI213" t="str">
            <v>Co</v>
          </cell>
          <cell r="AJ213" t="str">
            <v>-9.5Al</v>
          </cell>
          <cell r="AK213" t="str">
            <v>-4.1W</v>
          </cell>
          <cell r="AL213" t="str">
            <v>-23.4Ni</v>
          </cell>
          <cell r="AM213" t="str">
            <v>-1.9Cr</v>
          </cell>
          <cell r="AN213" t="str">
            <v>-1.8Ta</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cell r="BD213" t="str">
            <v/>
          </cell>
          <cell r="BE213" t="str">
            <v/>
          </cell>
          <cell r="BF213" t="str">
            <v/>
          </cell>
          <cell r="BG213" t="str">
            <v/>
          </cell>
          <cell r="BH213" t="str">
            <v>Co-10Al-4W-25Ni-2Ta-2TiKatelun Wertz, B., Mills, M., Stephen Niezgoda, A. &amp; Yunzhi Wang Kiran, A. D. Exploration of Phase Stability and Hot Workability of Polycrystalline Co-Al-W-Base Superalloys.</v>
          </cell>
          <cell r="BI213" t="str">
            <v>Co-23.4Ni-9.5Al-1.9Cr-4.1W-1.8Ta</v>
          </cell>
          <cell r="BJ213" t="str">
            <v>82.7Co-23.4Ni-9.5Al-1.9Cr-4.1W-1.8Ta</v>
          </cell>
        </row>
        <row r="214">
          <cell r="A214" t="str">
            <v>Co-9.Al-4.6W</v>
          </cell>
          <cell r="B214" t="str">
            <v>CoAlW-X</v>
          </cell>
          <cell r="C214" t="str">
            <v>-9Al-5W</v>
          </cell>
          <cell r="D214" t="str">
            <v>Co-9Al-4.6W</v>
          </cell>
          <cell r="E214" t="str">
            <v>Kazantseva, N. V. et al. Mechanical and magnetic properties of alloys near the concentration range of the existence of Co3(Al,W) intermetallic compound. Phys. Met. Metallogr. 118, 432–438 (2017).</v>
          </cell>
          <cell r="F214">
            <v>226</v>
          </cell>
          <cell r="G214">
            <v>86.4</v>
          </cell>
          <cell r="H214"/>
          <cell r="I214">
            <v>9</v>
          </cell>
          <cell r="J214"/>
          <cell r="K214">
            <v>4.5999999999999996</v>
          </cell>
          <cell r="L214"/>
          <cell r="M214"/>
          <cell r="N214"/>
          <cell r="O214"/>
          <cell r="P214"/>
          <cell r="Q214"/>
          <cell r="R214"/>
          <cell r="S214"/>
          <cell r="T214"/>
          <cell r="U214"/>
          <cell r="V214"/>
          <cell r="W214"/>
          <cell r="X214"/>
          <cell r="Y214"/>
          <cell r="Z214"/>
          <cell r="AA214"/>
          <cell r="AB214"/>
          <cell r="AC214"/>
          <cell r="AD214"/>
          <cell r="AE214"/>
          <cell r="AF214">
            <v>8.8180999999999994</v>
          </cell>
          <cell r="AG214"/>
          <cell r="AH214"/>
          <cell r="AI214" t="str">
            <v>Co</v>
          </cell>
          <cell r="AJ214" t="str">
            <v>-9.Al</v>
          </cell>
          <cell r="AK214" t="str">
            <v>-4.6W</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cell r="BD214" t="str">
            <v/>
          </cell>
          <cell r="BE214" t="str">
            <v/>
          </cell>
          <cell r="BF214" t="str">
            <v/>
          </cell>
          <cell r="BG214" t="str">
            <v/>
          </cell>
          <cell r="BH214" t="str">
            <v>Co-9Al-4.6WKazantseva, N. V. et al. Mechanical and magnetic properties of alloys near the concentration range of the existence of Co3(Al,W) intermetallic compound. Phys. Met. Metallogr. 118, 432–438 (2017).</v>
          </cell>
          <cell r="BI214" t="str">
            <v>Co-9.Al-4.6W</v>
          </cell>
          <cell r="BJ214" t="str">
            <v>86.4Co-9.0Al-4.6W</v>
          </cell>
        </row>
        <row r="215">
          <cell r="A215" t="str">
            <v>Co-7.9Al-6.8W</v>
          </cell>
          <cell r="B215" t="str">
            <v>CoAlW-X</v>
          </cell>
          <cell r="C215" t="str">
            <v>-8Al-7W</v>
          </cell>
          <cell r="D215" t="str">
            <v>Co-7.9Al-6.8W</v>
          </cell>
          <cell r="E215" t="str">
            <v>Kazantseva, N. V. et al. Mechanical and magnetic properties of alloys near the concentration range of the existence of Co3(Al,W) intermetallic compound. Phys. Met. Metallogr. 118, 432–438 (2017).</v>
          </cell>
          <cell r="F215">
            <v>227</v>
          </cell>
          <cell r="G215">
            <v>85.3</v>
          </cell>
          <cell r="H215"/>
          <cell r="I215">
            <v>7.9</v>
          </cell>
          <cell r="J215"/>
          <cell r="K215">
            <v>6.8</v>
          </cell>
          <cell r="L215"/>
          <cell r="M215"/>
          <cell r="N215"/>
          <cell r="O215"/>
          <cell r="P215"/>
          <cell r="Q215"/>
          <cell r="R215"/>
          <cell r="S215"/>
          <cell r="T215"/>
          <cell r="U215"/>
          <cell r="V215"/>
          <cell r="W215"/>
          <cell r="X215"/>
          <cell r="Y215"/>
          <cell r="Z215"/>
          <cell r="AA215"/>
          <cell r="AB215"/>
          <cell r="AC215"/>
          <cell r="AD215"/>
          <cell r="AE215"/>
          <cell r="AF215">
            <v>9.113999999999999</v>
          </cell>
          <cell r="AG215"/>
          <cell r="AH215"/>
          <cell r="AI215" t="str">
            <v>Co</v>
          </cell>
          <cell r="AJ215" t="str">
            <v>-7.9Al</v>
          </cell>
          <cell r="AK215" t="str">
            <v>-6.8W</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cell r="BD215" t="str">
            <v/>
          </cell>
          <cell r="BE215" t="str">
            <v/>
          </cell>
          <cell r="BF215" t="str">
            <v/>
          </cell>
          <cell r="BG215" t="str">
            <v/>
          </cell>
          <cell r="BH215" t="str">
            <v>Co-7.9Al-6.8WKazantseva, N. V. et al. Mechanical and magnetic properties of alloys near the concentration range of the existence of Co3(Al,W) intermetallic compound. Phys. Met. Metallogr. 118, 432–438 (2017).</v>
          </cell>
          <cell r="BI215" t="str">
            <v>Co-7.9Al-6.8W</v>
          </cell>
          <cell r="BJ215" t="str">
            <v>85.3Co-7.9Al-6.8W</v>
          </cell>
        </row>
        <row r="216">
          <cell r="A216" t="str">
            <v>Co-8.2Al-8.5W</v>
          </cell>
          <cell r="B216" t="str">
            <v>CoAlW-X</v>
          </cell>
          <cell r="C216" t="str">
            <v>-8Al-9W</v>
          </cell>
          <cell r="D216" t="str">
            <v>Co-8.2Al-8.5W</v>
          </cell>
          <cell r="E216" t="str">
            <v>Kazantseva, N. V. et al. Mechanical and magnetic properties of alloys near the concentration range of the existence of Co3(Al,W) intermetallic compound. Phys. Met. Metallogr. 118, 432–438 (2017).</v>
          </cell>
          <cell r="F216">
            <v>228</v>
          </cell>
          <cell r="G216">
            <v>83.3</v>
          </cell>
          <cell r="H216"/>
          <cell r="I216">
            <v>8.1999999999999993</v>
          </cell>
          <cell r="J216"/>
          <cell r="K216">
            <v>8.5</v>
          </cell>
          <cell r="L216"/>
          <cell r="M216"/>
          <cell r="N216"/>
          <cell r="O216"/>
          <cell r="P216"/>
          <cell r="Q216"/>
          <cell r="R216"/>
          <cell r="S216"/>
          <cell r="T216"/>
          <cell r="U216"/>
          <cell r="V216"/>
          <cell r="W216"/>
          <cell r="X216"/>
          <cell r="Y216"/>
          <cell r="Z216"/>
          <cell r="AA216"/>
          <cell r="AB216"/>
          <cell r="AC216"/>
          <cell r="AD216"/>
          <cell r="AE216"/>
          <cell r="AF216">
            <v>9.27135</v>
          </cell>
          <cell r="AG216"/>
          <cell r="AH216"/>
          <cell r="AI216" t="str">
            <v>Co</v>
          </cell>
          <cell r="AJ216" t="str">
            <v>-8.2Al</v>
          </cell>
          <cell r="AK216" t="str">
            <v>-8.5W</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
          </cell>
          <cell r="BB216" t="str">
            <v/>
          </cell>
          <cell r="BC216" t="str">
            <v/>
          </cell>
          <cell r="BD216" t="str">
            <v/>
          </cell>
          <cell r="BE216" t="str">
            <v/>
          </cell>
          <cell r="BF216" t="str">
            <v/>
          </cell>
          <cell r="BG216" t="str">
            <v/>
          </cell>
          <cell r="BH216" t="str">
            <v>Co-8.2Al-8.5WKazantseva, N. V. et al. Mechanical and magnetic properties of alloys near the concentration range of the existence of Co3(Al,W) intermetallic compound. Phys. Met. Metallogr. 118, 432–438 (2017).</v>
          </cell>
          <cell r="BI216" t="str">
            <v>Co-8.2Al-8.5W</v>
          </cell>
          <cell r="BJ216" t="str">
            <v>83.3Co-8.2Al-8.5W</v>
          </cell>
        </row>
        <row r="217">
          <cell r="A217" t="str">
            <v>Co-8.7Al-10.W</v>
          </cell>
          <cell r="B217" t="str">
            <v>CoAlW-X</v>
          </cell>
          <cell r="C217" t="str">
            <v>-9Al-10W</v>
          </cell>
          <cell r="D217" t="str">
            <v>Co-8.7Al-10W</v>
          </cell>
          <cell r="E217" t="str">
            <v>Kazantseva, N. V. et al. Mechanical and magnetic properties of alloys near the concentration range of the existence of Co3(Al,W) intermetallic compound. Phys. Met. Metallogr. 118, 432–438 (2017).</v>
          </cell>
          <cell r="F217">
            <v>229</v>
          </cell>
          <cell r="G217">
            <v>81.3</v>
          </cell>
          <cell r="H217"/>
          <cell r="I217">
            <v>8.6999999999999993</v>
          </cell>
          <cell r="J217"/>
          <cell r="K217">
            <v>10</v>
          </cell>
          <cell r="L217"/>
          <cell r="M217"/>
          <cell r="N217"/>
          <cell r="O217"/>
          <cell r="P217"/>
          <cell r="Q217"/>
          <cell r="R217"/>
          <cell r="S217"/>
          <cell r="T217"/>
          <cell r="U217"/>
          <cell r="V217"/>
          <cell r="W217"/>
          <cell r="X217"/>
          <cell r="Y217"/>
          <cell r="Z217"/>
          <cell r="AA217"/>
          <cell r="AB217"/>
          <cell r="AC217"/>
          <cell r="AD217"/>
          <cell r="AE217"/>
          <cell r="AF217">
            <v>9.3956</v>
          </cell>
          <cell r="AG217"/>
          <cell r="AH217"/>
          <cell r="AI217" t="str">
            <v>Co</v>
          </cell>
          <cell r="AJ217" t="str">
            <v>-8.7Al</v>
          </cell>
          <cell r="AK217" t="str">
            <v>-10.W</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cell r="BD217" t="str">
            <v/>
          </cell>
          <cell r="BE217" t="str">
            <v/>
          </cell>
          <cell r="BF217" t="str">
            <v/>
          </cell>
          <cell r="BG217" t="str">
            <v/>
          </cell>
          <cell r="BH217" t="str">
            <v>Co-8.7Al-10WKazantseva, N. V. et al. Mechanical and magnetic properties of alloys near the concentration range of the existence of Co3(Al,W) intermetallic compound. Phys. Met. Metallogr. 118, 432–438 (2017).</v>
          </cell>
          <cell r="BI217" t="str">
            <v>Co-8.7Al-10.W</v>
          </cell>
          <cell r="BJ217" t="str">
            <v>81.3Co-8.7Al-10.0W</v>
          </cell>
        </row>
        <row r="218">
          <cell r="A218" t="str">
            <v>Co-8.2Al-12.6W</v>
          </cell>
          <cell r="B218" t="str">
            <v>CoAlW-X</v>
          </cell>
          <cell r="C218" t="str">
            <v>-8Al-13W</v>
          </cell>
          <cell r="D218" t="str">
            <v>Co-8.2Al-12.6W</v>
          </cell>
          <cell r="E218" t="str">
            <v>Kazantseva, N. V. et al. Mechanical and magnetic properties of alloys near the concentration range of the existence of Co3(Al,W) intermetallic compound. Phys. Met. Metallogr. 118, 432–438 (2017).</v>
          </cell>
          <cell r="F218">
            <v>230</v>
          </cell>
          <cell r="G218">
            <v>79.2</v>
          </cell>
          <cell r="H218"/>
          <cell r="I218">
            <v>8.1999999999999993</v>
          </cell>
          <cell r="J218"/>
          <cell r="K218">
            <v>12.6</v>
          </cell>
          <cell r="L218"/>
          <cell r="M218"/>
          <cell r="N218"/>
          <cell r="O218"/>
          <cell r="P218"/>
          <cell r="Q218"/>
          <cell r="R218"/>
          <cell r="S218"/>
          <cell r="T218"/>
          <cell r="U218"/>
          <cell r="V218"/>
          <cell r="W218"/>
          <cell r="X218"/>
          <cell r="Y218"/>
          <cell r="Z218"/>
          <cell r="AA218"/>
          <cell r="AB218"/>
          <cell r="AC218"/>
          <cell r="AD218"/>
          <cell r="AE218"/>
          <cell r="AF218">
            <v>9.6957000000000004</v>
          </cell>
          <cell r="AG218"/>
          <cell r="AH218"/>
          <cell r="AI218" t="str">
            <v>Co</v>
          </cell>
          <cell r="AJ218" t="str">
            <v>-8.2Al</v>
          </cell>
          <cell r="AK218" t="str">
            <v>-12.6W</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cell r="BD218" t="str">
            <v/>
          </cell>
          <cell r="BE218" t="str">
            <v/>
          </cell>
          <cell r="BF218" t="str">
            <v/>
          </cell>
          <cell r="BG218" t="str">
            <v/>
          </cell>
          <cell r="BH218" t="str">
            <v>Co-8.2Al-12.6WKazantseva, N. V. et al. Mechanical and magnetic properties of alloys near the concentration range of the existence of Co3(Al,W) intermetallic compound. Phys. Met. Metallogr. 118, 432–438 (2017).</v>
          </cell>
          <cell r="BI218" t="str">
            <v>Co-8.2Al-12.6W</v>
          </cell>
          <cell r="BJ218" t="str">
            <v>79.2Co-8.2Al-12.6W</v>
          </cell>
        </row>
        <row r="219">
          <cell r="A219" t="str">
            <v>Co-34.2Ni-10.5Al-14.8Cr-3.W-1.Ta-0.15C-0.04Zr-0.2B</v>
          </cell>
          <cell r="B219" t="str">
            <v>CoAlWX+</v>
          </cell>
          <cell r="C219" t="str">
            <v>-34Ni-11Al-15Cr-3W-1Ta-C-Zr-B</v>
          </cell>
          <cell r="D219" t="str">
            <v>V208C</v>
          </cell>
          <cell r="E219" t="str">
            <v>Knop, M. et al. A New Polycrystalline Co-Ni Superalloy. JOM 66, 2495–2501 (2014)</v>
          </cell>
          <cell r="F219">
            <v>231</v>
          </cell>
          <cell r="G219">
            <v>36.11</v>
          </cell>
          <cell r="H219">
            <v>34.200000000000003</v>
          </cell>
          <cell r="I219">
            <v>10.5</v>
          </cell>
          <cell r="J219">
            <v>14.8</v>
          </cell>
          <cell r="K219">
            <v>3</v>
          </cell>
          <cell r="L219"/>
          <cell r="M219">
            <v>1</v>
          </cell>
          <cell r="N219"/>
          <cell r="O219"/>
          <cell r="P219"/>
          <cell r="Q219">
            <v>0.15</v>
          </cell>
          <cell r="R219">
            <v>0.04</v>
          </cell>
          <cell r="S219">
            <v>0.2</v>
          </cell>
          <cell r="T219"/>
          <cell r="U219"/>
          <cell r="V219"/>
          <cell r="W219"/>
          <cell r="X219"/>
          <cell r="Y219"/>
          <cell r="Z219"/>
          <cell r="AA219"/>
          <cell r="AB219"/>
          <cell r="AC219"/>
          <cell r="AD219"/>
          <cell r="AE219"/>
          <cell r="AF219">
            <v>8.3628604000000006</v>
          </cell>
          <cell r="AG219">
            <v>8.52</v>
          </cell>
          <cell r="AH219" t="str">
            <v>HIP powder metallurgy</v>
          </cell>
          <cell r="AI219" t="str">
            <v>Co</v>
          </cell>
          <cell r="AJ219" t="str">
            <v>-10.5Al</v>
          </cell>
          <cell r="AK219" t="str">
            <v>-3.W</v>
          </cell>
          <cell r="AL219" t="str">
            <v>-34.2Ni</v>
          </cell>
          <cell r="AM219" t="str">
            <v>-14.8Cr</v>
          </cell>
          <cell r="AN219" t="str">
            <v>-1.Ta</v>
          </cell>
          <cell r="AO219" t="str">
            <v/>
          </cell>
          <cell r="AP219" t="str">
            <v/>
          </cell>
          <cell r="AQ219" t="str">
            <v/>
          </cell>
          <cell r="AR219" t="str">
            <v/>
          </cell>
          <cell r="AS219" t="str">
            <v>-0.15C</v>
          </cell>
          <cell r="AT219" t="str">
            <v>-0.04Zr</v>
          </cell>
          <cell r="AU219" t="str">
            <v>-0.2B</v>
          </cell>
          <cell r="AV219" t="str">
            <v/>
          </cell>
          <cell r="AW219" t="str">
            <v/>
          </cell>
          <cell r="AX219" t="str">
            <v/>
          </cell>
          <cell r="AY219" t="str">
            <v/>
          </cell>
          <cell r="AZ219" t="str">
            <v/>
          </cell>
          <cell r="BA219" t="str">
            <v/>
          </cell>
          <cell r="BB219" t="str">
            <v/>
          </cell>
          <cell r="BC219" t="str">
            <v/>
          </cell>
          <cell r="BD219" t="str">
            <v/>
          </cell>
          <cell r="BE219" t="str">
            <v/>
          </cell>
          <cell r="BF219" t="str">
            <v/>
          </cell>
          <cell r="BG219" t="str">
            <v/>
          </cell>
          <cell r="BH219" t="str">
            <v>V208CKnop, M. et al. A New Polycrystalline Co-Ni Superalloy. JOM 66, 2495–2501 (2014)</v>
          </cell>
          <cell r="BI219" t="str">
            <v>Co-34.2Ni-10.5Al-14.8Cr-3.W-1.Ta-0.15C-0.04Zr-0.2B</v>
          </cell>
          <cell r="BJ219" t="str">
            <v>70.3Co-34.2Ni-10.5Al-14.8Cr-3.0W-1.0Ta-0.15C-0.04Zr-0.20B</v>
          </cell>
        </row>
        <row r="220">
          <cell r="A220" t="str">
            <v>mystery-10Al-12Cr</v>
          </cell>
          <cell r="B220" t="str">
            <v>CoAlW-X</v>
          </cell>
          <cell r="C220" t="str">
            <v>-Ni,Al,W,Ta-9Al-10W</v>
          </cell>
          <cell r="D220" t="str">
            <v>mystery-12Cr-10Al</v>
          </cell>
          <cell r="E220" t="str">
            <v>Knop, M., Vorontsov, V. A., Hardy, M. C. &amp; Dye, D. High-temperature γ (FCC)/ γ ′ (L1 2 ) Co-Al-W based superalloys. MATEC Web Conf. 14, 18003 (2014).</v>
          </cell>
          <cell r="F220">
            <v>232</v>
          </cell>
          <cell r="G220" t="str">
            <v>XX</v>
          </cell>
          <cell r="H220" t="str">
            <v>XX</v>
          </cell>
          <cell r="I220">
            <v>10</v>
          </cell>
          <cell r="J220">
            <v>12</v>
          </cell>
          <cell r="K220" t="str">
            <v>XX</v>
          </cell>
          <cell r="L220" t="str">
            <v>XX</v>
          </cell>
          <cell r="M220"/>
          <cell r="N220"/>
          <cell r="O220"/>
          <cell r="P220"/>
          <cell r="Q220"/>
          <cell r="R220"/>
          <cell r="S220"/>
          <cell r="T220"/>
          <cell r="U220"/>
          <cell r="V220"/>
          <cell r="W220"/>
          <cell r="X220"/>
          <cell r="Y220"/>
          <cell r="Z220"/>
          <cell r="AA220"/>
          <cell r="AB220"/>
          <cell r="AC220"/>
          <cell r="AD220"/>
          <cell r="AE220"/>
          <cell r="AF220" t="e">
            <v>#VALUE!</v>
          </cell>
          <cell r="AG220">
            <v>8.6999999999999993</v>
          </cell>
          <cell r="AH220" t="str">
            <v>composition not given</v>
          </cell>
          <cell r="AI220" t="str">
            <v>Co</v>
          </cell>
          <cell r="AJ220" t="str">
            <v>-10.Al</v>
          </cell>
          <cell r="AK220" t="str">
            <v>-XXW</v>
          </cell>
          <cell r="AL220" t="str">
            <v>-XXNi</v>
          </cell>
          <cell r="AM220" t="str">
            <v>-12.Cr</v>
          </cell>
          <cell r="AN220" t="str">
            <v/>
          </cell>
          <cell r="AO220" t="str">
            <v/>
          </cell>
          <cell r="AP220" t="str">
            <v/>
          </cell>
          <cell r="AQ220" t="str">
            <v>-XXTi</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cell r="BD220" t="str">
            <v/>
          </cell>
          <cell r="BE220" t="str">
            <v/>
          </cell>
          <cell r="BF220" t="str">
            <v/>
          </cell>
          <cell r="BG220" t="str">
            <v/>
          </cell>
          <cell r="BH220" t="str">
            <v>mystery-12Cr-10AlKnop, M., Vorontsov, V. A., Hardy, M. C. &amp; Dye, D. High-temperature γ (FCC)/ γ ′ (L1 2 ) Co-Al-W based superalloys. MATEC Web Conf. 14, 18003 (2014).</v>
          </cell>
          <cell r="BI220" t="str">
            <v>Co-XXNi-10.Al-12.Cr-XXW-XXTi</v>
          </cell>
          <cell r="BJ220" t="str">
            <v>81.0Co-9.4Al-9.6W</v>
          </cell>
        </row>
        <row r="221">
          <cell r="A221" t="str">
            <v>Co-9.4Al-9.6W</v>
          </cell>
          <cell r="B221" t="str">
            <v>CoAlW-X</v>
          </cell>
          <cell r="C221" t="str">
            <v>-9Al-10W</v>
          </cell>
          <cell r="D221" t="str">
            <v>Base</v>
          </cell>
          <cell r="E221" t="str">
            <v>Kobayashi, S., Tsukamoto, Y. &amp; Takasugi, T. Phase equilibria in the Co-rich Co-Al-W-Ti quaternary system. Intermetallics 19, 1908–1912 (2011).</v>
          </cell>
          <cell r="F221">
            <v>233</v>
          </cell>
          <cell r="G221">
            <v>81</v>
          </cell>
          <cell r="H221"/>
          <cell r="I221">
            <v>9.4</v>
          </cell>
          <cell r="J221"/>
          <cell r="K221">
            <v>9.6</v>
          </cell>
          <cell r="L221"/>
          <cell r="M221"/>
          <cell r="N221"/>
          <cell r="O221"/>
          <cell r="P221"/>
          <cell r="Q221"/>
          <cell r="R221"/>
          <cell r="S221"/>
          <cell r="T221"/>
          <cell r="U221"/>
          <cell r="V221"/>
          <cell r="W221"/>
          <cell r="X221"/>
          <cell r="Y221"/>
          <cell r="Z221"/>
          <cell r="AA221"/>
          <cell r="AB221"/>
          <cell r="AC221"/>
          <cell r="AD221"/>
          <cell r="AE221"/>
          <cell r="AF221">
            <v>9.3107999999999986</v>
          </cell>
          <cell r="AG221"/>
          <cell r="AH221"/>
          <cell r="AI221" t="str">
            <v>Co</v>
          </cell>
          <cell r="AJ221" t="str">
            <v>-9.4Al</v>
          </cell>
          <cell r="AK221" t="str">
            <v>-9.6W</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cell r="BD221" t="str">
            <v/>
          </cell>
          <cell r="BE221" t="str">
            <v/>
          </cell>
          <cell r="BF221" t="str">
            <v/>
          </cell>
          <cell r="BG221" t="str">
            <v/>
          </cell>
          <cell r="BH221" t="str">
            <v>BaseKobayashi, S., Tsukamoto, Y. &amp; Takasugi, T. Phase equilibria in the Co-rich Co-Al-W-Ti quaternary system. Intermetallics 19, 1908–1912 (2011).</v>
          </cell>
          <cell r="BI221" t="str">
            <v>Co-9.4Al-9.6W</v>
          </cell>
          <cell r="BJ221" t="str">
            <v>84.8Co-7.5Al-7.7W</v>
          </cell>
        </row>
        <row r="222">
          <cell r="A222" t="str">
            <v>Co-7.5Al-7.7W-3.3Ti</v>
          </cell>
          <cell r="B222" t="str">
            <v>CoAlW-X</v>
          </cell>
          <cell r="C222" t="str">
            <v>-8Al-8W-3Ti</v>
          </cell>
          <cell r="D222" t="str">
            <v>3.3Ti</v>
          </cell>
          <cell r="E222" t="str">
            <v>Kobayashi, S., Tsukamoto, Y. &amp; Takasugi, T. Phase equilibria in the Co-rich Co-Al-W-Ti quaternary system. Intermetallics 19, 1908–1912 (2011).</v>
          </cell>
          <cell r="F222">
            <v>234</v>
          </cell>
          <cell r="G222">
            <v>81.5</v>
          </cell>
          <cell r="H222"/>
          <cell r="I222">
            <v>7.5</v>
          </cell>
          <cell r="J222"/>
          <cell r="K222">
            <v>7.7</v>
          </cell>
          <cell r="L222">
            <v>3.3</v>
          </cell>
          <cell r="M222"/>
          <cell r="N222"/>
          <cell r="O222"/>
          <cell r="P222"/>
          <cell r="Q222"/>
          <cell r="R222"/>
          <cell r="S222"/>
          <cell r="T222"/>
          <cell r="U222"/>
          <cell r="V222"/>
          <cell r="W222"/>
          <cell r="X222"/>
          <cell r="Y222"/>
          <cell r="Z222"/>
          <cell r="AA222"/>
          <cell r="AB222"/>
          <cell r="AC222"/>
          <cell r="AD222"/>
          <cell r="AE222"/>
          <cell r="AF222">
            <v>9.0869810000000015</v>
          </cell>
          <cell r="AG222"/>
          <cell r="AH222"/>
          <cell r="AI222" t="str">
            <v>Co</v>
          </cell>
          <cell r="AJ222" t="str">
            <v>-7.5Al</v>
          </cell>
          <cell r="AK222" t="str">
            <v>-7.7W</v>
          </cell>
          <cell r="AL222" t="str">
            <v/>
          </cell>
          <cell r="AM222" t="str">
            <v/>
          </cell>
          <cell r="AN222" t="str">
            <v/>
          </cell>
          <cell r="AO222" t="str">
            <v/>
          </cell>
          <cell r="AP222" t="str">
            <v/>
          </cell>
          <cell r="AQ222" t="str">
            <v>-3.3Ti</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cell r="BD222" t="str">
            <v/>
          </cell>
          <cell r="BE222" t="str">
            <v/>
          </cell>
          <cell r="BF222" t="str">
            <v/>
          </cell>
          <cell r="BG222" t="str">
            <v/>
          </cell>
          <cell r="BH222" t="str">
            <v>3.3TiKobayashi, S., Tsukamoto, Y. &amp; Takasugi, T. Phase equilibria in the Co-rich Co-Al-W-Ti quaternary system. Intermetallics 19, 1908–1912 (2011).</v>
          </cell>
          <cell r="BI222" t="str">
            <v>Co-7.5Al-7.7W-3.3Ti</v>
          </cell>
          <cell r="BJ222" t="str">
            <v>88.6Co-3.3Ni-5.6Al-5.8W</v>
          </cell>
        </row>
        <row r="223">
          <cell r="A223" t="str">
            <v>Co-5.6Al-5.8W-6.6Ti</v>
          </cell>
          <cell r="B223" t="str">
            <v>CoAlW-X</v>
          </cell>
          <cell r="C223" t="str">
            <v>-6Al-6W-7Ti</v>
          </cell>
          <cell r="D223" t="str">
            <v>6.6Ti</v>
          </cell>
          <cell r="E223" t="str">
            <v>Kobayashi, S., Tsukamoto, Y. &amp; Takasugi, T. Phase equilibria in the Co-rich Co-Al-W-Ti quaternary system. Intermetallics 19, 1908–1912 (2011).</v>
          </cell>
          <cell r="F223">
            <v>235</v>
          </cell>
          <cell r="G223">
            <v>82</v>
          </cell>
          <cell r="H223"/>
          <cell r="I223">
            <v>5.6</v>
          </cell>
          <cell r="J223"/>
          <cell r="K223">
            <v>5.8</v>
          </cell>
          <cell r="L223">
            <v>6.6</v>
          </cell>
          <cell r="M223"/>
          <cell r="N223"/>
          <cell r="O223"/>
          <cell r="P223"/>
          <cell r="Q223"/>
          <cell r="R223"/>
          <cell r="S223"/>
          <cell r="T223"/>
          <cell r="U223"/>
          <cell r="V223"/>
          <cell r="W223"/>
          <cell r="X223"/>
          <cell r="Y223"/>
          <cell r="Z223"/>
          <cell r="AA223"/>
          <cell r="AB223"/>
          <cell r="AC223"/>
          <cell r="AD223"/>
          <cell r="AE223"/>
          <cell r="AF223">
            <v>8.8631620000000009</v>
          </cell>
          <cell r="AG223"/>
          <cell r="AH223"/>
          <cell r="AI223" t="str">
            <v>Co</v>
          </cell>
          <cell r="AJ223" t="str">
            <v>-5.6Al</v>
          </cell>
          <cell r="AK223" t="str">
            <v>-5.8W</v>
          </cell>
          <cell r="AL223" t="str">
            <v/>
          </cell>
          <cell r="AM223" t="str">
            <v/>
          </cell>
          <cell r="AN223" t="str">
            <v/>
          </cell>
          <cell r="AO223" t="str">
            <v/>
          </cell>
          <cell r="AP223" t="str">
            <v/>
          </cell>
          <cell r="AQ223" t="str">
            <v>-6.6Ti</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cell r="BD223" t="str">
            <v/>
          </cell>
          <cell r="BE223" t="str">
            <v/>
          </cell>
          <cell r="BF223" t="str">
            <v/>
          </cell>
          <cell r="BG223" t="str">
            <v/>
          </cell>
          <cell r="BH223" t="str">
            <v>6.6TiKobayashi, S., Tsukamoto, Y. &amp; Takasugi, T. Phase equilibria in the Co-rich Co-Al-W-Ti quaternary system. Intermetallics 19, 1908–1912 (2011).</v>
          </cell>
          <cell r="BI223" t="str">
            <v>Co-5.6Al-5.8W-6.6Ti</v>
          </cell>
          <cell r="BJ223" t="str">
            <v>92.4Co-6.6Ni-3.8Al-3.8W</v>
          </cell>
        </row>
        <row r="224">
          <cell r="A224" t="str">
            <v>Co-3.8Al-3.8W-9.9Ti</v>
          </cell>
          <cell r="B224" t="str">
            <v>Co3Ti</v>
          </cell>
          <cell r="C224" t="str">
            <v>-4Al-4W-10Ti</v>
          </cell>
          <cell r="D224" t="str">
            <v>9.9T</v>
          </cell>
          <cell r="E224" t="str">
            <v>Kobayashi, S., Tsukamoto, Y. &amp; Takasugi, T. Phase equilibria in the Co-rich Co-Al-W-Ti quaternary system. Intermetallics 19, 1908–1912 (2011).</v>
          </cell>
          <cell r="F224">
            <v>236</v>
          </cell>
          <cell r="G224">
            <v>82.5</v>
          </cell>
          <cell r="H224"/>
          <cell r="I224">
            <v>3.8</v>
          </cell>
          <cell r="J224"/>
          <cell r="K224">
            <v>3.8</v>
          </cell>
          <cell r="L224">
            <v>9.9</v>
          </cell>
          <cell r="M224"/>
          <cell r="N224"/>
          <cell r="O224"/>
          <cell r="P224"/>
          <cell r="Q224"/>
          <cell r="R224"/>
          <cell r="S224"/>
          <cell r="T224"/>
          <cell r="U224"/>
          <cell r="V224"/>
          <cell r="W224"/>
          <cell r="X224"/>
          <cell r="Y224"/>
          <cell r="Z224"/>
          <cell r="AA224"/>
          <cell r="AB224"/>
          <cell r="AC224"/>
          <cell r="AD224"/>
          <cell r="AE224"/>
          <cell r="AF224">
            <v>8.6227929999999997</v>
          </cell>
          <cell r="AG224"/>
          <cell r="AH224"/>
          <cell r="AI224" t="str">
            <v>Co</v>
          </cell>
          <cell r="AJ224" t="str">
            <v>-3.8Al</v>
          </cell>
          <cell r="AK224" t="str">
            <v>-3.8W</v>
          </cell>
          <cell r="AL224" t="str">
            <v/>
          </cell>
          <cell r="AM224" t="str">
            <v/>
          </cell>
          <cell r="AN224" t="str">
            <v/>
          </cell>
          <cell r="AO224" t="str">
            <v/>
          </cell>
          <cell r="AP224" t="str">
            <v/>
          </cell>
          <cell r="AQ224" t="str">
            <v>-9.9Ti</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cell r="BD224" t="str">
            <v/>
          </cell>
          <cell r="BE224" t="str">
            <v/>
          </cell>
          <cell r="BF224" t="str">
            <v/>
          </cell>
          <cell r="BG224" t="str">
            <v/>
          </cell>
          <cell r="BH224" t="str">
            <v>9.9TKobayashi, S., Tsukamoto, Y. &amp; Takasugi, T. Phase equilibria in the Co-rich Co-Al-W-Ti quaternary system. Intermetallics 19, 1908–1912 (2011).</v>
          </cell>
          <cell r="BI224" t="str">
            <v>Co-3.8Al-3.8W-9.9Ti</v>
          </cell>
          <cell r="BJ224" t="str">
            <v>96.2Co-9.9Ni-1.9Al-1.9W</v>
          </cell>
        </row>
        <row r="225">
          <cell r="A225" t="str">
            <v>Co-1.9Al-1.9W-13.2Ti</v>
          </cell>
          <cell r="B225" t="str">
            <v>Co3Ti</v>
          </cell>
          <cell r="C225" t="str">
            <v>-2Al-2W-13Ti</v>
          </cell>
          <cell r="D225" t="str">
            <v>13.2Ti</v>
          </cell>
          <cell r="E225" t="str">
            <v>Kobayashi, S., Tsukamoto, Y. &amp; Takasugi, T. Phase equilibria in the Co-rich Co-Al-W-Ti quaternary system. Intermetallics 19, 1908–1912 (2011).</v>
          </cell>
          <cell r="F225">
            <v>237</v>
          </cell>
          <cell r="G225">
            <v>83</v>
          </cell>
          <cell r="H225"/>
          <cell r="I225">
            <v>1.9</v>
          </cell>
          <cell r="J225"/>
          <cell r="K225">
            <v>1.9</v>
          </cell>
          <cell r="L225">
            <v>13.2</v>
          </cell>
          <cell r="M225"/>
          <cell r="N225"/>
          <cell r="O225"/>
          <cell r="P225"/>
          <cell r="Q225"/>
          <cell r="R225"/>
          <cell r="S225"/>
          <cell r="T225"/>
          <cell r="U225"/>
          <cell r="V225"/>
          <cell r="W225"/>
          <cell r="X225"/>
          <cell r="Y225"/>
          <cell r="Z225"/>
          <cell r="AA225"/>
          <cell r="AB225"/>
          <cell r="AC225"/>
          <cell r="AD225"/>
          <cell r="AE225"/>
          <cell r="AF225">
            <v>8.3989740000000008</v>
          </cell>
          <cell r="AG225"/>
          <cell r="AH225"/>
          <cell r="AI225" t="str">
            <v>Co</v>
          </cell>
          <cell r="AJ225" t="str">
            <v>-1.9Al</v>
          </cell>
          <cell r="AK225" t="str">
            <v>-1.9W</v>
          </cell>
          <cell r="AL225" t="str">
            <v/>
          </cell>
          <cell r="AM225" t="str">
            <v/>
          </cell>
          <cell r="AN225" t="str">
            <v/>
          </cell>
          <cell r="AO225" t="str">
            <v/>
          </cell>
          <cell r="AP225" t="str">
            <v/>
          </cell>
          <cell r="AQ225" t="str">
            <v>-13.2Ti</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cell r="BD225" t="str">
            <v/>
          </cell>
          <cell r="BE225" t="str">
            <v/>
          </cell>
          <cell r="BF225" t="str">
            <v/>
          </cell>
          <cell r="BG225" t="str">
            <v/>
          </cell>
          <cell r="BH225" t="str">
            <v>13.2TiKobayashi, S., Tsukamoto, Y. &amp; Takasugi, T. Phase equilibria in the Co-rich Co-Al-W-Ti quaternary system. Intermetallics 19, 1908–1912 (2011).</v>
          </cell>
          <cell r="BI225" t="str">
            <v>Co-1.9Al-1.9W-13.2Ti</v>
          </cell>
          <cell r="BJ225" t="str">
            <v>100.0Co-3.2Ni</v>
          </cell>
        </row>
        <row r="226">
          <cell r="A226" t="str">
            <v>Co-16.5Ti</v>
          </cell>
          <cell r="B226" t="str">
            <v>Co3Ti</v>
          </cell>
          <cell r="C226" t="str">
            <v>-17Ti</v>
          </cell>
          <cell r="D226" t="str">
            <v>16.5Ti</v>
          </cell>
          <cell r="E226" t="str">
            <v>Kobayashi, S., Tsukamoto, Y. &amp; Takasugi, T. Phase equilibria in the Co-rich Co-Al-W-Ti quaternary system. Intermetallics 19, 1908–1912 (2011).</v>
          </cell>
          <cell r="F226">
            <v>238</v>
          </cell>
          <cell r="G226">
            <v>83.5</v>
          </cell>
          <cell r="H226"/>
          <cell r="I226"/>
          <cell r="J226"/>
          <cell r="K226"/>
          <cell r="L226">
            <v>16.5</v>
          </cell>
          <cell r="M226"/>
          <cell r="N226"/>
          <cell r="O226"/>
          <cell r="P226"/>
          <cell r="Q226"/>
          <cell r="R226"/>
          <cell r="S226"/>
          <cell r="T226"/>
          <cell r="U226"/>
          <cell r="V226"/>
          <cell r="W226"/>
          <cell r="X226"/>
          <cell r="Y226"/>
          <cell r="Z226"/>
          <cell r="AA226"/>
          <cell r="AB226"/>
          <cell r="AC226"/>
          <cell r="AD226"/>
          <cell r="AE226"/>
          <cell r="AF226">
            <v>8.1751550000000002</v>
          </cell>
          <cell r="AG226"/>
          <cell r="AH226"/>
          <cell r="AI226" t="str">
            <v>Co</v>
          </cell>
          <cell r="AJ226" t="str">
            <v/>
          </cell>
          <cell r="AK226" t="str">
            <v/>
          </cell>
          <cell r="AL226" t="str">
            <v/>
          </cell>
          <cell r="AM226" t="str">
            <v/>
          </cell>
          <cell r="AN226" t="str">
            <v/>
          </cell>
          <cell r="AO226" t="str">
            <v/>
          </cell>
          <cell r="AP226" t="str">
            <v/>
          </cell>
          <cell r="AQ226" t="str">
            <v>-16.5Ti</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cell r="BD226" t="str">
            <v/>
          </cell>
          <cell r="BE226" t="str">
            <v/>
          </cell>
          <cell r="BF226" t="str">
            <v/>
          </cell>
          <cell r="BG226" t="str">
            <v/>
          </cell>
          <cell r="BH226" t="str">
            <v>16.5TiKobayashi, S., Tsukamoto, Y. &amp; Takasugi, T. Phase equilibria in the Co-rich Co-Al-W-Ti quaternary system. Intermetallics 19, 1908–1912 (2011).</v>
          </cell>
          <cell r="BI226" t="str">
            <v>Co-16.5Ti</v>
          </cell>
          <cell r="BJ226" t="str">
            <v>100.0Co-16.5Ni</v>
          </cell>
        </row>
        <row r="227">
          <cell r="A227" t="str">
            <v>Co-9.4Al-7.9W-2.2Ta</v>
          </cell>
          <cell r="B227" t="str">
            <v>CoAlW-X</v>
          </cell>
          <cell r="C227" t="str">
            <v>-9Al-8W-2Ta</v>
          </cell>
          <cell r="D227" t="str">
            <v>2.2Ta</v>
          </cell>
          <cell r="E227" t="str">
            <v>Kobayashi, S., Tsukamoto, Y. &amp; Takasugi, T. The effects of alloying elements (Ta, Hf) on the thermodynamic stability of γ′-Co 3(Al,W) phase. Intermetallics 31, 94–98 (2012).</v>
          </cell>
          <cell r="F227">
            <v>239</v>
          </cell>
          <cell r="G227">
            <v>80.5</v>
          </cell>
          <cell r="H227"/>
          <cell r="I227">
            <v>9.4</v>
          </cell>
          <cell r="J227"/>
          <cell r="K227">
            <v>7.9</v>
          </cell>
          <cell r="L227"/>
          <cell r="M227">
            <v>2.2000000000000002</v>
          </cell>
          <cell r="N227"/>
          <cell r="O227"/>
          <cell r="P227"/>
          <cell r="Q227"/>
          <cell r="R227"/>
          <cell r="S227"/>
          <cell r="T227"/>
          <cell r="U227"/>
          <cell r="V227"/>
          <cell r="W227"/>
          <cell r="X227"/>
          <cell r="Y227"/>
          <cell r="Z227"/>
          <cell r="AA227"/>
          <cell r="AB227"/>
          <cell r="AC227"/>
          <cell r="AD227"/>
          <cell r="AE227"/>
          <cell r="AF227">
            <v>9.3053500000000007</v>
          </cell>
          <cell r="AG227"/>
          <cell r="AH227"/>
          <cell r="AI227" t="str">
            <v>Co</v>
          </cell>
          <cell r="AJ227" t="str">
            <v>-9.4Al</v>
          </cell>
          <cell r="AK227" t="str">
            <v>-7.9W</v>
          </cell>
          <cell r="AL227" t="str">
            <v/>
          </cell>
          <cell r="AM227" t="str">
            <v/>
          </cell>
          <cell r="AN227" t="str">
            <v>-2.2Ta</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cell r="BD227" t="str">
            <v/>
          </cell>
          <cell r="BE227" t="str">
            <v/>
          </cell>
          <cell r="BF227" t="str">
            <v/>
          </cell>
          <cell r="BG227" t="str">
            <v/>
          </cell>
          <cell r="BH227" t="str">
            <v>2.2TaKobayashi, S., Tsukamoto, Y. &amp; Takasugi, T. The effects of alloying elements (Ta, Hf) on the thermodynamic stability of γ′-Co 3(Al,W) phase. Intermetallics 31, 94–98 (2012).</v>
          </cell>
          <cell r="BI227" t="str">
            <v>Co-9.4Al-7.9W-2.2Ta</v>
          </cell>
          <cell r="BJ227" t="str">
            <v>80.5Co-9.4Al-7.9W-2.2Ta</v>
          </cell>
        </row>
        <row r="228">
          <cell r="A228" t="str">
            <v>Co-9.5Al-8.7W-1.1Hf</v>
          </cell>
          <cell r="B228" t="str">
            <v>CoAlW-X</v>
          </cell>
          <cell r="C228" t="str">
            <v>-10Al-9W-Hf</v>
          </cell>
          <cell r="D228" t="str">
            <v>1.1Hf</v>
          </cell>
          <cell r="E228" t="str">
            <v>Kobayashi, S., Tsukamoto, Y. &amp; Takasugi, T. The effects of alloying elements (Ta, Hf) on the thermodynamic stability of γ′-Co 3(Al,W) phase. Intermetallics 31, 94–98 (2012).</v>
          </cell>
          <cell r="F228">
            <v>240</v>
          </cell>
          <cell r="G228">
            <v>80.7</v>
          </cell>
          <cell r="H228"/>
          <cell r="I228">
            <v>9.5</v>
          </cell>
          <cell r="J228"/>
          <cell r="K228">
            <v>8.6999999999999993</v>
          </cell>
          <cell r="L228"/>
          <cell r="M228"/>
          <cell r="N228"/>
          <cell r="O228"/>
          <cell r="P228"/>
          <cell r="Q228"/>
          <cell r="R228"/>
          <cell r="S228"/>
          <cell r="T228"/>
          <cell r="U228"/>
          <cell r="V228"/>
          <cell r="W228"/>
          <cell r="X228"/>
          <cell r="Y228">
            <v>1.1000000000000001</v>
          </cell>
          <cell r="Z228"/>
          <cell r="AA228"/>
          <cell r="AB228"/>
          <cell r="AC228"/>
          <cell r="AD228"/>
          <cell r="AE228"/>
          <cell r="AF228">
            <v>9.2599599999999995</v>
          </cell>
          <cell r="AG228"/>
          <cell r="AH228"/>
          <cell r="AI228" t="str">
            <v>Co</v>
          </cell>
          <cell r="AJ228" t="str">
            <v>-9.5Al</v>
          </cell>
          <cell r="AK228" t="str">
            <v>-8.7W</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-1.1Hf</v>
          </cell>
          <cell r="BB228" t="str">
            <v/>
          </cell>
          <cell r="BC228" t="str">
            <v/>
          </cell>
          <cell r="BD228" t="str">
            <v/>
          </cell>
          <cell r="BE228" t="str">
            <v/>
          </cell>
          <cell r="BF228" t="str">
            <v/>
          </cell>
          <cell r="BG228" t="str">
            <v/>
          </cell>
          <cell r="BH228" t="str">
            <v>1.1HfKobayashi, S., Tsukamoto, Y. &amp; Takasugi, T. The effects of alloying elements (Ta, Hf) on the thermodynamic stability of γ′-Co 3(Al,W) phase. Intermetallics 31, 94–98 (2012).</v>
          </cell>
          <cell r="BI228" t="str">
            <v>Co-9.5Al-8.7W-1.1Hf</v>
          </cell>
          <cell r="BJ228" t="str">
            <v>80.7Co-9.5Al-8.7W-1.1Hf</v>
          </cell>
        </row>
        <row r="229">
          <cell r="A229" t="str">
            <v>Co-20.1Ni-8.7Al-7.3W-2.Ti-1.5Ta</v>
          </cell>
          <cell r="B229" t="str">
            <v>CoAlWX+</v>
          </cell>
          <cell r="C229" t="str">
            <v>-20Ni-9Al-7W-2Ti-2Ta</v>
          </cell>
          <cell r="D229" t="str">
            <v>ERBOCo-Re1</v>
          </cell>
          <cell r="E229" t="str">
            <v>Kolb, M. et al. Influence of rhenium on γ′-strengthened cobalt-base superalloys. J. Mater. Res. 32, 2551–2559 (2017).</v>
          </cell>
          <cell r="F229">
            <v>241</v>
          </cell>
          <cell r="G229">
            <v>60.4</v>
          </cell>
          <cell r="H229">
            <v>20.100000000000001</v>
          </cell>
          <cell r="I229">
            <v>8.6999999999999993</v>
          </cell>
          <cell r="J229"/>
          <cell r="K229">
            <v>7.3</v>
          </cell>
          <cell r="L229">
            <v>2</v>
          </cell>
          <cell r="M229">
            <v>1.5</v>
          </cell>
          <cell r="N229"/>
          <cell r="O229"/>
          <cell r="P229"/>
          <cell r="Q229"/>
          <cell r="R229"/>
          <cell r="S229"/>
          <cell r="T229"/>
          <cell r="U229"/>
          <cell r="V229"/>
          <cell r="W229"/>
          <cell r="X229"/>
          <cell r="Y229"/>
          <cell r="Z229"/>
          <cell r="AA229"/>
          <cell r="AB229"/>
          <cell r="AC229"/>
          <cell r="AD229"/>
          <cell r="AE229"/>
          <cell r="AF229">
            <v>9.1461480000000002</v>
          </cell>
          <cell r="AG229"/>
          <cell r="AH229"/>
          <cell r="AI229" t="str">
            <v>Co</v>
          </cell>
          <cell r="AJ229" t="str">
            <v>-8.7Al</v>
          </cell>
          <cell r="AK229" t="str">
            <v>-7.3W</v>
          </cell>
          <cell r="AL229" t="str">
            <v>-20.1Ni</v>
          </cell>
          <cell r="AM229" t="str">
            <v/>
          </cell>
          <cell r="AN229" t="str">
            <v>-1.5Ta</v>
          </cell>
          <cell r="AO229" t="str">
            <v/>
          </cell>
          <cell r="AP229" t="str">
            <v/>
          </cell>
          <cell r="AQ229" t="str">
            <v>-2.Ti</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cell r="BD229" t="str">
            <v/>
          </cell>
          <cell r="BE229" t="str">
            <v/>
          </cell>
          <cell r="BF229" t="str">
            <v/>
          </cell>
          <cell r="BG229" t="str">
            <v/>
          </cell>
          <cell r="BH229" t="str">
            <v>ERBOCo-Re1Kolb, M. et al. Influence of rhenium on γ′-strengthened cobalt-base superalloys. J. Mater. Res. 32, 2551–2559 (2017).</v>
          </cell>
          <cell r="BI229" t="str">
            <v>Co-20.1Ni-8.7Al-7.3W-2.Ti-1.5Ta</v>
          </cell>
          <cell r="BJ229" t="str">
            <v>80.5Co-20.1Ni-8.7Al-7.3W-2.0Ti-1.5Ta</v>
          </cell>
        </row>
        <row r="230">
          <cell r="A230" t="str">
            <v>Co-20.3Ni-8.5Al-7.1W-2.Ti-1.5Ta-1.4Re</v>
          </cell>
          <cell r="B230" t="str">
            <v>CoAlWX+</v>
          </cell>
          <cell r="C230" t="str">
            <v>-20Ni-9Al-7W-2Ti-2Ta-1Re</v>
          </cell>
          <cell r="D230" t="str">
            <v>ERBOCo-Re0</v>
          </cell>
          <cell r="E230" t="str">
            <v>Kolb, M. et al. Influence of rhenium on γ′-strengthened cobalt-base superalloys. J. Mater. Res. 32, 2551–2559 (2017).</v>
          </cell>
          <cell r="F230">
            <v>242</v>
          </cell>
          <cell r="G230">
            <v>59.2</v>
          </cell>
          <cell r="H230">
            <v>20.3</v>
          </cell>
          <cell r="I230">
            <v>8.5</v>
          </cell>
          <cell r="J230"/>
          <cell r="K230">
            <v>7.1</v>
          </cell>
          <cell r="L230">
            <v>2</v>
          </cell>
          <cell r="M230">
            <v>1.5</v>
          </cell>
          <cell r="N230"/>
          <cell r="O230"/>
          <cell r="P230"/>
          <cell r="Q230"/>
          <cell r="R230"/>
          <cell r="S230"/>
          <cell r="T230"/>
          <cell r="U230">
            <v>1.4</v>
          </cell>
          <cell r="V230"/>
          <cell r="W230"/>
          <cell r="X230"/>
          <cell r="Y230"/>
          <cell r="Z230"/>
          <cell r="AA230"/>
          <cell r="AB230"/>
          <cell r="AC230"/>
          <cell r="AD230"/>
          <cell r="AE230"/>
          <cell r="AF230">
            <v>9.307544</v>
          </cell>
          <cell r="AG230"/>
          <cell r="AH230"/>
          <cell r="AI230" t="str">
            <v>Co</v>
          </cell>
          <cell r="AJ230" t="str">
            <v>-8.5Al</v>
          </cell>
          <cell r="AK230" t="str">
            <v>-7.1W</v>
          </cell>
          <cell r="AL230" t="str">
            <v>-20.3Ni</v>
          </cell>
          <cell r="AM230" t="str">
            <v/>
          </cell>
          <cell r="AN230" t="str">
            <v>-1.5Ta</v>
          </cell>
          <cell r="AO230" t="str">
            <v/>
          </cell>
          <cell r="AP230" t="str">
            <v/>
          </cell>
          <cell r="AQ230" t="str">
            <v>-2.Ti</v>
          </cell>
          <cell r="AR230" t="str">
            <v/>
          </cell>
          <cell r="AS230" t="str">
            <v/>
          </cell>
          <cell r="AT230" t="str">
            <v/>
          </cell>
          <cell r="AU230" t="str">
            <v/>
          </cell>
          <cell r="AV230" t="str">
            <v/>
          </cell>
          <cell r="AW230" t="str">
            <v>-1.4Re</v>
          </cell>
          <cell r="AX230" t="str">
            <v/>
          </cell>
          <cell r="AY230" t="str">
            <v/>
          </cell>
          <cell r="AZ230" t="str">
            <v/>
          </cell>
          <cell r="BA230" t="str">
            <v/>
          </cell>
          <cell r="BB230" t="str">
            <v/>
          </cell>
          <cell r="BC230" t="str">
            <v/>
          </cell>
          <cell r="BD230" t="str">
            <v/>
          </cell>
          <cell r="BE230" t="str">
            <v/>
          </cell>
          <cell r="BF230" t="str">
            <v/>
          </cell>
          <cell r="BG230" t="str">
            <v/>
          </cell>
          <cell r="BH230" t="str">
            <v>ERBOCo-Re0Kolb, M. et al. Influence of rhenium on γ′-strengthened cobalt-base superalloys. J. Mater. Res. 32, 2551–2559 (2017).</v>
          </cell>
          <cell r="BI230" t="str">
            <v>Co-20.3Ni-8.5Al-7.1W-2.Ti-1.5Ta-1.4Re</v>
          </cell>
          <cell r="BJ230" t="str">
            <v>79.5Co-20.3Ni-8.5Al-7.1W-2.0Ti-1.5Ta-1.4Re</v>
          </cell>
        </row>
        <row r="231">
          <cell r="A231" t="str">
            <v>Co-9.1Al-9.5W</v>
          </cell>
          <cell r="B231" t="str">
            <v>CoAlW-X</v>
          </cell>
          <cell r="C231" t="str">
            <v>-9Al-10W</v>
          </cell>
          <cell r="D231" t="str">
            <v>B-free</v>
          </cell>
          <cell r="E231" t="str">
            <v>Kolb, M. et al. On the grain boundary strengthening effect of boron in γ/γ′ Cobalt-base superalloys. Acta Mater. 145, 247–254 (2018).</v>
          </cell>
          <cell r="F231">
            <v>243</v>
          </cell>
          <cell r="G231">
            <v>81.400000000000006</v>
          </cell>
          <cell r="H231"/>
          <cell r="I231">
            <v>9.1</v>
          </cell>
          <cell r="J231"/>
          <cell r="K231">
            <v>9.5</v>
          </cell>
          <cell r="L231"/>
          <cell r="M231"/>
          <cell r="N231"/>
          <cell r="O231"/>
          <cell r="P231"/>
          <cell r="Q231"/>
          <cell r="R231"/>
          <cell r="S231"/>
          <cell r="T231"/>
          <cell r="U231"/>
          <cell r="V231"/>
          <cell r="W231"/>
          <cell r="X231"/>
          <cell r="Y231"/>
          <cell r="Z231"/>
          <cell r="AA231"/>
          <cell r="AB231"/>
          <cell r="AC231"/>
          <cell r="AD231"/>
          <cell r="AE231"/>
          <cell r="AF231">
            <v>9.3190500000000007</v>
          </cell>
          <cell r="AG231"/>
          <cell r="AH231"/>
          <cell r="AI231" t="str">
            <v>Co</v>
          </cell>
          <cell r="AJ231" t="str">
            <v>-9.1Al</v>
          </cell>
          <cell r="AK231" t="str">
            <v>-9.5W</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cell r="BD231" t="str">
            <v/>
          </cell>
          <cell r="BE231" t="str">
            <v/>
          </cell>
          <cell r="BF231" t="str">
            <v/>
          </cell>
          <cell r="BG231" t="str">
            <v/>
          </cell>
          <cell r="BH231" t="str">
            <v>B-freeKolb, M. et al. On the grain boundary strengthening effect of boron in γ/γ′ Cobalt-base superalloys. Acta Mater. 145, 247–254 (2018).</v>
          </cell>
          <cell r="BI231" t="str">
            <v>Co-9.1Al-9.5W</v>
          </cell>
          <cell r="BJ231" t="str">
            <v>81.4Co-9.1Al-9.5W</v>
          </cell>
        </row>
        <row r="232">
          <cell r="A232" t="str">
            <v>Co-9.8Al-9.6W-0.01B</v>
          </cell>
          <cell r="B232" t="str">
            <v>CoAlW-X</v>
          </cell>
          <cell r="C232" t="str">
            <v>-10Al-10W-B</v>
          </cell>
          <cell r="D232" t="str">
            <v>.0005B</v>
          </cell>
          <cell r="E232" t="str">
            <v>Kolb, M. et al. On the grain boundary strengthening effect of boron in γ/γ′ Cobalt-base superalloys. Acta Mater. 145, 247–254 (2018).</v>
          </cell>
          <cell r="F232">
            <v>244</v>
          </cell>
          <cell r="G232">
            <v>80.593999999999994</v>
          </cell>
          <cell r="H232"/>
          <cell r="I232">
            <v>9.8000000000000007</v>
          </cell>
          <cell r="J232"/>
          <cell r="K232">
            <v>9.6</v>
          </cell>
          <cell r="L232"/>
          <cell r="M232"/>
          <cell r="N232"/>
          <cell r="O232"/>
          <cell r="P232"/>
          <cell r="Q232"/>
          <cell r="R232"/>
          <cell r="S232">
            <v>6.0000000000000001E-3</v>
          </cell>
          <cell r="T232"/>
          <cell r="U232"/>
          <cell r="V232"/>
          <cell r="W232"/>
          <cell r="X232"/>
          <cell r="Y232"/>
          <cell r="Z232"/>
          <cell r="AA232"/>
          <cell r="AB232"/>
          <cell r="AC232"/>
          <cell r="AD232"/>
          <cell r="AE232"/>
          <cell r="AF232">
            <v>9.2856135999999996</v>
          </cell>
          <cell r="AG232"/>
          <cell r="AH232"/>
          <cell r="AI232" t="str">
            <v>Co</v>
          </cell>
          <cell r="AJ232" t="str">
            <v>-9.8Al</v>
          </cell>
          <cell r="AK232" t="str">
            <v>-9.6W</v>
          </cell>
          <cell r="AL232" t="str">
            <v/>
          </cell>
          <cell r="AM232" t="str">
            <v/>
          </cell>
          <cell r="AN232" t="str">
            <v/>
          </cell>
          <cell r="AO232" t="str">
            <v/>
          </cell>
          <cell r="AP232" t="str">
            <v/>
          </cell>
          <cell r="AQ232" t="str">
            <v/>
          </cell>
          <cell r="AR232" t="str">
            <v/>
          </cell>
          <cell r="AS232" t="str">
            <v/>
          </cell>
          <cell r="AT232" t="str">
            <v/>
          </cell>
          <cell r="AU232" t="str">
            <v>-0.01B</v>
          </cell>
          <cell r="AV232" t="str">
            <v/>
          </cell>
          <cell r="AW232" t="str">
            <v/>
          </cell>
          <cell r="AX232" t="str">
            <v/>
          </cell>
          <cell r="AY232" t="str">
            <v/>
          </cell>
          <cell r="AZ232" t="str">
            <v/>
          </cell>
          <cell r="BA232" t="str">
            <v/>
          </cell>
          <cell r="BB232" t="str">
            <v/>
          </cell>
          <cell r="BC232" t="str">
            <v/>
          </cell>
          <cell r="BD232" t="str">
            <v/>
          </cell>
          <cell r="BE232" t="str">
            <v/>
          </cell>
          <cell r="BF232" t="str">
            <v/>
          </cell>
          <cell r="BG232" t="str">
            <v/>
          </cell>
          <cell r="BH232" t="str">
            <v>.0005BKolb, M. et al. On the grain boundary strengthening effect of boron in γ/γ′ Cobalt-base superalloys. Acta Mater. 145, 247–254 (2018).</v>
          </cell>
          <cell r="BI232" t="str">
            <v>Co-9.8Al-9.6W-0.01B</v>
          </cell>
          <cell r="BJ232" t="str">
            <v>80.6Co-9.8Al-9.6W-0.01B</v>
          </cell>
        </row>
        <row r="233">
          <cell r="A233" t="str">
            <v>Co-9.1Al-9.4W-0.04B</v>
          </cell>
          <cell r="B233" t="str">
            <v>CoAlW-X</v>
          </cell>
          <cell r="C233" t="str">
            <v>-9Al-9W-B</v>
          </cell>
          <cell r="D233" t="str">
            <v>0.04B</v>
          </cell>
          <cell r="E233" t="str">
            <v>Kolb, M. et al. On the grain boundary strengthening effect of boron in γ/γ′ Cobalt-base superalloys. Acta Mater. 145, 247–254 (2018).</v>
          </cell>
          <cell r="F233">
            <v>245</v>
          </cell>
          <cell r="G233">
            <v>81.462999999999994</v>
          </cell>
          <cell r="H233"/>
          <cell r="I233">
            <v>9.1</v>
          </cell>
          <cell r="J233"/>
          <cell r="K233">
            <v>9.4</v>
          </cell>
          <cell r="L233"/>
          <cell r="M233"/>
          <cell r="N233"/>
          <cell r="O233"/>
          <cell r="P233"/>
          <cell r="Q233"/>
          <cell r="R233"/>
          <cell r="S233">
            <v>3.6999999999999998E-2</v>
          </cell>
          <cell r="T233"/>
          <cell r="U233"/>
          <cell r="V233"/>
          <cell r="W233"/>
          <cell r="X233"/>
          <cell r="Y233"/>
          <cell r="Z233"/>
          <cell r="AA233"/>
          <cell r="AB233"/>
          <cell r="AC233"/>
          <cell r="AD233"/>
          <cell r="AE233"/>
          <cell r="AF233">
            <v>9.3063172000000005</v>
          </cell>
          <cell r="AG233"/>
          <cell r="AH233"/>
          <cell r="AI233" t="str">
            <v>Co</v>
          </cell>
          <cell r="AJ233" t="str">
            <v>-9.1Al</v>
          </cell>
          <cell r="AK233" t="str">
            <v>-9.4W</v>
          </cell>
          <cell r="AL233" t="str">
            <v/>
          </cell>
          <cell r="AM233" t="str">
            <v/>
          </cell>
          <cell r="AN233" t="str">
            <v/>
          </cell>
          <cell r="AO233" t="str">
            <v/>
          </cell>
          <cell r="AP233" t="str">
            <v/>
          </cell>
          <cell r="AQ233" t="str">
            <v/>
          </cell>
          <cell r="AR233" t="str">
            <v/>
          </cell>
          <cell r="AS233" t="str">
            <v/>
          </cell>
          <cell r="AT233" t="str">
            <v/>
          </cell>
          <cell r="AU233" t="str">
            <v>-0.04B</v>
          </cell>
          <cell r="AV233" t="str">
            <v/>
          </cell>
          <cell r="AW233" t="str">
            <v/>
          </cell>
          <cell r="AX233" t="str">
            <v/>
          </cell>
          <cell r="AY233" t="str">
            <v/>
          </cell>
          <cell r="AZ233" t="str">
            <v/>
          </cell>
          <cell r="BA233" t="str">
            <v/>
          </cell>
          <cell r="BB233" t="str">
            <v/>
          </cell>
          <cell r="BC233" t="str">
            <v/>
          </cell>
          <cell r="BD233" t="str">
            <v/>
          </cell>
          <cell r="BE233" t="str">
            <v/>
          </cell>
          <cell r="BF233" t="str">
            <v/>
          </cell>
          <cell r="BG233" t="str">
            <v/>
          </cell>
          <cell r="BH233" t="str">
            <v>0.04BKolb, M. et al. On the grain boundary strengthening effect of boron in γ/γ′ Cobalt-base superalloys. Acta Mater. 145, 247–254 (2018).</v>
          </cell>
          <cell r="BI233" t="str">
            <v>Co-9.1Al-9.4W-0.04B</v>
          </cell>
          <cell r="BJ233" t="str">
            <v>81.5Co-9.1Al-9.4W-0.04B</v>
          </cell>
        </row>
        <row r="234">
          <cell r="A234" t="str">
            <v>Co-9.1Al-9.4W-0.04B</v>
          </cell>
          <cell r="B234" t="str">
            <v>CoAlW-X</v>
          </cell>
          <cell r="C234" t="str">
            <v>-9Al-9W-B</v>
          </cell>
          <cell r="D234" t="str">
            <v>0.04B-noPDZ</v>
          </cell>
          <cell r="E234" t="str">
            <v>Kolb, M. et al. On the grain boundary strengthening effect of boron in γ/γ′ Cobalt-base superalloys. Acta Mater. 145, 247–254 (2018).</v>
          </cell>
          <cell r="F234">
            <v>246</v>
          </cell>
          <cell r="G234">
            <v>81.462999999999994</v>
          </cell>
          <cell r="H234"/>
          <cell r="I234">
            <v>9.1</v>
          </cell>
          <cell r="J234"/>
          <cell r="K234">
            <v>9.4</v>
          </cell>
          <cell r="L234"/>
          <cell r="M234"/>
          <cell r="N234"/>
          <cell r="O234"/>
          <cell r="P234"/>
          <cell r="Q234"/>
          <cell r="R234"/>
          <cell r="S234">
            <v>3.6999999999999998E-2</v>
          </cell>
          <cell r="T234"/>
          <cell r="U234"/>
          <cell r="V234"/>
          <cell r="W234"/>
          <cell r="X234"/>
          <cell r="Y234"/>
          <cell r="Z234"/>
          <cell r="AA234"/>
          <cell r="AB234"/>
          <cell r="AC234"/>
          <cell r="AD234"/>
          <cell r="AE234"/>
          <cell r="AF234">
            <v>9.3063172000000005</v>
          </cell>
          <cell r="AG234"/>
          <cell r="AH234" t="str">
            <v>heat treated below boridee solvus to avoid precipitation depletion zonee</v>
          </cell>
          <cell r="AI234" t="str">
            <v>Co</v>
          </cell>
          <cell r="AJ234" t="str">
            <v>-9.1Al</v>
          </cell>
          <cell r="AK234" t="str">
            <v>-9.4W</v>
          </cell>
          <cell r="AL234" t="str">
            <v/>
          </cell>
          <cell r="AM234" t="str">
            <v/>
          </cell>
          <cell r="AN234" t="str">
            <v/>
          </cell>
          <cell r="AO234" t="str">
            <v/>
          </cell>
          <cell r="AP234" t="str">
            <v/>
          </cell>
          <cell r="AQ234" t="str">
            <v/>
          </cell>
          <cell r="AR234" t="str">
            <v/>
          </cell>
          <cell r="AS234" t="str">
            <v/>
          </cell>
          <cell r="AT234" t="str">
            <v/>
          </cell>
          <cell r="AU234" t="str">
            <v>-0.04B</v>
          </cell>
          <cell r="AV234" t="str">
            <v/>
          </cell>
          <cell r="AW234" t="str">
            <v/>
          </cell>
          <cell r="AX234" t="str">
            <v/>
          </cell>
          <cell r="AY234" t="str">
            <v/>
          </cell>
          <cell r="AZ234" t="str">
            <v/>
          </cell>
          <cell r="BA234" t="str">
            <v/>
          </cell>
          <cell r="BB234" t="str">
            <v/>
          </cell>
          <cell r="BC234" t="str">
            <v/>
          </cell>
          <cell r="BD234" t="str">
            <v/>
          </cell>
          <cell r="BE234" t="str">
            <v/>
          </cell>
          <cell r="BF234" t="str">
            <v/>
          </cell>
          <cell r="BG234" t="str">
            <v/>
          </cell>
          <cell r="BH234" t="str">
            <v>0.04B-noPDZKolb, M. et al. On the grain boundary strengthening effect of boron in γ/γ′ Cobalt-base superalloys. Acta Mater. 145, 247–254 (2018).</v>
          </cell>
          <cell r="BI234" t="str">
            <v>Co-9.1Al-9.4W-0.04B</v>
          </cell>
          <cell r="BJ234" t="str">
            <v>81.5Co-9.1Al-9.4W-0.04B</v>
          </cell>
        </row>
        <row r="235">
          <cell r="A235" t="str">
            <v>Co-8.3Al-9.4W</v>
          </cell>
          <cell r="B235" t="str">
            <v>CoAlW-X</v>
          </cell>
          <cell r="C235" t="str">
            <v>-8Al-9W</v>
          </cell>
          <cell r="D235" t="str">
            <v>0.12B</v>
          </cell>
          <cell r="E235" t="str">
            <v>Kolb, M. et al. On the grain boundary strengthening effect of boron in γ/γ′ Cobalt-base superalloys. Acta Mater. 145, 247–254 (2018).</v>
          </cell>
          <cell r="F235">
            <v>247</v>
          </cell>
          <cell r="G235">
            <v>82.3</v>
          </cell>
          <cell r="H235"/>
          <cell r="I235">
            <v>8.3000000000000007</v>
          </cell>
          <cell r="J235"/>
          <cell r="K235">
            <v>9.4</v>
          </cell>
          <cell r="L235"/>
          <cell r="M235"/>
          <cell r="N235"/>
          <cell r="O235"/>
          <cell r="P235"/>
          <cell r="Q235"/>
          <cell r="R235"/>
          <cell r="S235"/>
          <cell r="T235"/>
          <cell r="U235"/>
          <cell r="V235"/>
          <cell r="W235"/>
          <cell r="X235"/>
          <cell r="Y235"/>
          <cell r="Z235"/>
          <cell r="AA235"/>
          <cell r="AB235"/>
          <cell r="AC235"/>
          <cell r="AD235"/>
          <cell r="AE235"/>
          <cell r="AF235">
            <v>9.3582999999999998</v>
          </cell>
          <cell r="AG235"/>
          <cell r="AH235"/>
          <cell r="AI235" t="str">
            <v>Co</v>
          </cell>
          <cell r="AJ235" t="str">
            <v>-8.3Al</v>
          </cell>
          <cell r="AK235" t="str">
            <v>-9.4W</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cell r="BD235" t="str">
            <v/>
          </cell>
          <cell r="BE235" t="str">
            <v/>
          </cell>
          <cell r="BF235" t="str">
            <v/>
          </cell>
          <cell r="BG235" t="str">
            <v/>
          </cell>
          <cell r="BH235" t="str">
            <v>0.12BKolb, M. et al. On the grain boundary strengthening effect of boron in γ/γ′ Cobalt-base superalloys. Acta Mater. 145, 247–254 (2018).</v>
          </cell>
          <cell r="BI235" t="str">
            <v>Co-8.3Al-9.4W</v>
          </cell>
          <cell r="BJ235" t="str">
            <v>82.3Co-8.3Al-9.4W</v>
          </cell>
        </row>
        <row r="236">
          <cell r="A236" t="str">
            <v>Co-8.3Al-9.4W-0.17B</v>
          </cell>
          <cell r="B236" t="str">
            <v>CoAlW-X</v>
          </cell>
          <cell r="C236" t="str">
            <v>-8Al-9W-B</v>
          </cell>
          <cell r="D236" t="str">
            <v>0.12B-noPDZ</v>
          </cell>
          <cell r="E236" t="str">
            <v>Kolb, M. et al. On the grain boundary strengthening effect of boron in γ/γ′ Cobalt-base superalloys. Acta Mater. 145, 247–254 (2018).</v>
          </cell>
          <cell r="F236">
            <v>248</v>
          </cell>
          <cell r="G236">
            <v>82.13</v>
          </cell>
          <cell r="H236"/>
          <cell r="I236">
            <v>8.3000000000000007</v>
          </cell>
          <cell r="J236"/>
          <cell r="K236">
            <v>9.4</v>
          </cell>
          <cell r="L236"/>
          <cell r="M236"/>
          <cell r="N236"/>
          <cell r="O236"/>
          <cell r="P236"/>
          <cell r="Q236"/>
          <cell r="R236"/>
          <cell r="S236">
            <v>0.17</v>
          </cell>
          <cell r="T236"/>
          <cell r="U236"/>
          <cell r="V236"/>
          <cell r="W236"/>
          <cell r="X236"/>
          <cell r="Y236"/>
          <cell r="Z236"/>
          <cell r="AA236"/>
          <cell r="AB236"/>
          <cell r="AC236"/>
          <cell r="AD236"/>
          <cell r="AE236"/>
          <cell r="AF236">
            <v>9.347351999999999</v>
          </cell>
          <cell r="AG236"/>
          <cell r="AH236" t="str">
            <v>heat treated below boridee solvus to avoid precipitation depletion zonee</v>
          </cell>
          <cell r="AI236" t="str">
            <v>Co</v>
          </cell>
          <cell r="AJ236" t="str">
            <v>-8.3Al</v>
          </cell>
          <cell r="AK236" t="str">
            <v>-9.4W</v>
          </cell>
          <cell r="AL236" t="str">
            <v/>
          </cell>
          <cell r="AM236" t="str">
            <v/>
          </cell>
          <cell r="AN236" t="str">
            <v/>
          </cell>
          <cell r="AO236" t="str">
            <v/>
          </cell>
          <cell r="AP236" t="str">
            <v/>
          </cell>
          <cell r="AQ236" t="str">
            <v/>
          </cell>
          <cell r="AR236" t="str">
            <v/>
          </cell>
          <cell r="AS236" t="str">
            <v/>
          </cell>
          <cell r="AT236" t="str">
            <v/>
          </cell>
          <cell r="AU236" t="str">
            <v>-0.17B</v>
          </cell>
          <cell r="AV236" t="str">
            <v/>
          </cell>
          <cell r="AW236" t="str">
            <v/>
          </cell>
          <cell r="AX236" t="str">
            <v/>
          </cell>
          <cell r="AY236" t="str">
            <v/>
          </cell>
          <cell r="AZ236" t="str">
            <v/>
          </cell>
          <cell r="BA236" t="str">
            <v/>
          </cell>
          <cell r="BB236" t="str">
            <v/>
          </cell>
          <cell r="BC236" t="str">
            <v/>
          </cell>
          <cell r="BD236" t="str">
            <v/>
          </cell>
          <cell r="BE236" t="str">
            <v/>
          </cell>
          <cell r="BF236" t="str">
            <v/>
          </cell>
          <cell r="BG236" t="str">
            <v/>
          </cell>
          <cell r="BH236" t="str">
            <v>0.12B-noPDZKolb, M. et al. On the grain boundary strengthening effect of boron in γ/γ′ Cobalt-base superalloys. Acta Mater. 145, 247–254 (2018).</v>
          </cell>
          <cell r="BI236" t="str">
            <v>Co-8.3Al-9.4W-0.17B</v>
          </cell>
          <cell r="BJ236" t="str">
            <v>82.1Co-8.3Al-9.4W-0.17B</v>
          </cell>
        </row>
        <row r="237">
          <cell r="A237" t="str">
            <v>Co-7.Al-5.W-4.Ti-2.Ta</v>
          </cell>
          <cell r="B237" t="str">
            <v>Co3Ti</v>
          </cell>
          <cell r="C237" t="str">
            <v>-7Al-5W-4Ti-2Ta</v>
          </cell>
          <cell r="D237" t="str">
            <v>Co-30Ni-7Al-4Ti-5W-2Ta</v>
          </cell>
          <cell r="E237" t="str">
            <v>Lass, E. A. Application of Computational Thermodynamics to the Design of a Co-Ni-Based γ′-Strengthened Superalloy. Metall. Mater. Trans. A Phys. Metall. Mater. Sci. 48, 2443–2459 (2017).</v>
          </cell>
          <cell r="F237">
            <v>249</v>
          </cell>
          <cell r="G237">
            <v>82</v>
          </cell>
          <cell r="H237"/>
          <cell r="I237">
            <v>7</v>
          </cell>
          <cell r="J237"/>
          <cell r="K237">
            <v>5</v>
          </cell>
          <cell r="L237">
            <v>4</v>
          </cell>
          <cell r="M237">
            <v>2</v>
          </cell>
          <cell r="N237"/>
          <cell r="O237"/>
          <cell r="P237"/>
          <cell r="Q237"/>
          <cell r="R237"/>
          <cell r="S237"/>
          <cell r="T237"/>
          <cell r="U237"/>
          <cell r="V237"/>
          <cell r="W237"/>
          <cell r="X237"/>
          <cell r="Y237"/>
          <cell r="Z237"/>
          <cell r="AA237"/>
          <cell r="AB237"/>
          <cell r="AC237"/>
          <cell r="AD237"/>
          <cell r="AE237"/>
          <cell r="AF237">
            <v>8.9627800000000004</v>
          </cell>
          <cell r="AG237"/>
          <cell r="AH237"/>
          <cell r="AI237" t="str">
            <v>Co</v>
          </cell>
          <cell r="AJ237" t="str">
            <v>-7.Al</v>
          </cell>
          <cell r="AK237" t="str">
            <v>-5.W</v>
          </cell>
          <cell r="AL237" t="str">
            <v/>
          </cell>
          <cell r="AM237" t="str">
            <v/>
          </cell>
          <cell r="AN237" t="str">
            <v>-2.Ta</v>
          </cell>
          <cell r="AO237" t="str">
            <v/>
          </cell>
          <cell r="AP237" t="str">
            <v/>
          </cell>
          <cell r="AQ237" t="str">
            <v>-4.Ti</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cell r="BD237" t="str">
            <v/>
          </cell>
          <cell r="BE237" t="str">
            <v/>
          </cell>
          <cell r="BF237" t="str">
            <v/>
          </cell>
          <cell r="BG237" t="str">
            <v/>
          </cell>
          <cell r="BH237" t="str">
            <v>Co-30Ni-7Al-4Ti-5W-2TaLass, E. A. Application of Computational Thermodynamics to the Design of a Co-Ni-Based γ′-Strengthened Superalloy. Metall. Mater. Trans. A Phys. Metall. Mater. Sci. 48, 2443–2459 (2017).</v>
          </cell>
          <cell r="BI237" t="str">
            <v>Co-7.Al-5.W-4.Ti-2.Ta</v>
          </cell>
          <cell r="BJ237" t="str">
            <v>82.0Co-7.0Al-5.0W-4.0Ti-2.0Ta</v>
          </cell>
        </row>
        <row r="238">
          <cell r="A238" t="str">
            <v>Co-10.5Al-7.W-4.Ti-2.5Ta</v>
          </cell>
          <cell r="B238" t="str">
            <v>CoAlWX+</v>
          </cell>
          <cell r="C238" t="str">
            <v>-11Al-7W-4Ti-3Ta</v>
          </cell>
          <cell r="D238" t="str">
            <v>Co-30Ni-10.5Al-4Ti-7W-2.5Ta</v>
          </cell>
          <cell r="E238" t="str">
            <v>Lass, E. A. Application of Computational Thermodynamics to the Design of a Co-Ni-Based γ′-Strengthened Superalloy. Metall. Mater. Trans. A Phys. Metall. Mater. Sci. 48, 2443–2459 (2017).</v>
          </cell>
          <cell r="F238">
            <v>250</v>
          </cell>
          <cell r="G238">
            <v>76</v>
          </cell>
          <cell r="H238"/>
          <cell r="I238">
            <v>10.5</v>
          </cell>
          <cell r="J238"/>
          <cell r="K238">
            <v>7</v>
          </cell>
          <cell r="L238">
            <v>4</v>
          </cell>
          <cell r="M238">
            <v>2.5</v>
          </cell>
          <cell r="N238"/>
          <cell r="O238"/>
          <cell r="P238"/>
          <cell r="Q238"/>
          <cell r="R238"/>
          <cell r="S238"/>
          <cell r="T238"/>
          <cell r="U238"/>
          <cell r="V238"/>
          <cell r="W238"/>
          <cell r="X238"/>
          <cell r="Y238"/>
          <cell r="Z238"/>
          <cell r="AA238"/>
          <cell r="AB238"/>
          <cell r="AC238"/>
          <cell r="AD238"/>
          <cell r="AE238"/>
          <cell r="AF238">
            <v>8.9915300000000009</v>
          </cell>
          <cell r="AG238"/>
          <cell r="AH238"/>
          <cell r="AI238" t="str">
            <v>Co</v>
          </cell>
          <cell r="AJ238" t="str">
            <v>-10.5Al</v>
          </cell>
          <cell r="AK238" t="str">
            <v>-7.W</v>
          </cell>
          <cell r="AL238" t="str">
            <v/>
          </cell>
          <cell r="AM238" t="str">
            <v/>
          </cell>
          <cell r="AN238" t="str">
            <v>-2.5Ta</v>
          </cell>
          <cell r="AO238" t="str">
            <v/>
          </cell>
          <cell r="AP238" t="str">
            <v/>
          </cell>
          <cell r="AQ238" t="str">
            <v>-4.Ti</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cell r="BD238" t="str">
            <v/>
          </cell>
          <cell r="BE238" t="str">
            <v/>
          </cell>
          <cell r="BF238" t="str">
            <v/>
          </cell>
          <cell r="BG238" t="str">
            <v/>
          </cell>
          <cell r="BH238" t="str">
            <v>Co-30Ni-10.5Al-4Ti-7W-2.5TaLass, E. A. Application of Computational Thermodynamics to the Design of a Co-Ni-Based γ′-Strengthened Superalloy. Metall. Mater. Trans. A Phys. Metall. Mater. Sci. 48, 2443–2459 (2017).</v>
          </cell>
          <cell r="BI238" t="str">
            <v>Co-10.5Al-7.W-4.Ti-2.5Ta</v>
          </cell>
          <cell r="BJ238" t="str">
            <v>76.0Co-10.5Al-7.0W-4.0Ti-2.5Ta</v>
          </cell>
        </row>
        <row r="239">
          <cell r="A239" t="str">
            <v>Co-11.Al-5.5W-4.Ti-2.5Ta</v>
          </cell>
          <cell r="B239" t="str">
            <v>CoAlWX+</v>
          </cell>
          <cell r="C239" t="str">
            <v>-11Al-6W-4Ti-3Ta</v>
          </cell>
          <cell r="D239" t="str">
            <v>Co-30Ni-11Al-4Ti-5.5W-2.5Ta</v>
          </cell>
          <cell r="E239" t="str">
            <v>Lass, E. A. Application of Computational Thermodynamics to the Design of a Co-Ni-Based γ′-Strengthened Superalloy. Metall. Mater. Trans. A Phys. Metall. Mater. Sci. 48, 2443–2459 (2017).</v>
          </cell>
          <cell r="F239">
            <v>251</v>
          </cell>
          <cell r="G239">
            <v>77</v>
          </cell>
          <cell r="H239"/>
          <cell r="I239">
            <v>11</v>
          </cell>
          <cell r="J239"/>
          <cell r="K239">
            <v>5.5</v>
          </cell>
          <cell r="L239">
            <v>4</v>
          </cell>
          <cell r="M239">
            <v>2.5</v>
          </cell>
          <cell r="N239"/>
          <cell r="O239"/>
          <cell r="P239"/>
          <cell r="Q239"/>
          <cell r="R239"/>
          <cell r="S239"/>
          <cell r="T239"/>
          <cell r="U239"/>
          <cell r="V239"/>
          <cell r="W239"/>
          <cell r="X239"/>
          <cell r="Y239"/>
          <cell r="Z239"/>
          <cell r="AA239"/>
          <cell r="AB239"/>
          <cell r="AC239"/>
          <cell r="AD239"/>
          <cell r="AE239"/>
          <cell r="AF239">
            <v>8.8052800000000016</v>
          </cell>
          <cell r="AG239"/>
          <cell r="AH239"/>
          <cell r="AI239" t="str">
            <v>Co</v>
          </cell>
          <cell r="AJ239" t="str">
            <v>-11.Al</v>
          </cell>
          <cell r="AK239" t="str">
            <v>-5.5W</v>
          </cell>
          <cell r="AL239" t="str">
            <v/>
          </cell>
          <cell r="AM239" t="str">
            <v/>
          </cell>
          <cell r="AN239" t="str">
            <v>-2.5Ta</v>
          </cell>
          <cell r="AO239" t="str">
            <v/>
          </cell>
          <cell r="AP239" t="str">
            <v/>
          </cell>
          <cell r="AQ239" t="str">
            <v>-4.Ti</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cell r="BD239" t="str">
            <v/>
          </cell>
          <cell r="BE239" t="str">
            <v/>
          </cell>
          <cell r="BF239" t="str">
            <v/>
          </cell>
          <cell r="BG239" t="str">
            <v/>
          </cell>
          <cell r="BH239" t="str">
            <v>Co-30Ni-11Al-4Ti-5.5W-2.5TaLass, E. A. Application of Computational Thermodynamics to the Design of a Co-Ni-Based γ′-Strengthened Superalloy. Metall. Mater. Trans. A Phys. Metall. Mater. Sci. 48, 2443–2459 (2017).</v>
          </cell>
          <cell r="BI239" t="str">
            <v>Co-11.Al-5.5W-4.Ti-2.5Ta</v>
          </cell>
          <cell r="BJ239" t="str">
            <v>77.0Co-11.0Al-5.5W-4.0Ti-2.5Ta</v>
          </cell>
        </row>
        <row r="240">
          <cell r="A240" t="str">
            <v>Co-11.5Al-3.5W-4.Ti-2.5Ta</v>
          </cell>
          <cell r="B240" t="str">
            <v>CoAlWX+</v>
          </cell>
          <cell r="C240" t="str">
            <v>-12Al-4W-4Ti-3Ta</v>
          </cell>
          <cell r="D240" t="str">
            <v>Co-30Ni-11.5Al-4Ti-.55W-2.5Ta</v>
          </cell>
          <cell r="E240" t="str">
            <v>Lass, E. A. Application of Computational Thermodynamics to the Design of a Co-Ni-Based γ′-Strengthened Superalloy. Metall. Mater. Trans. A Phys. Metall. Mater. Sci. 48, 2443–2459 (2017).</v>
          </cell>
          <cell r="F240">
            <v>252</v>
          </cell>
          <cell r="G240">
            <v>78.5</v>
          </cell>
          <cell r="H240"/>
          <cell r="I240">
            <v>11.5</v>
          </cell>
          <cell r="J240"/>
          <cell r="K240">
            <v>3.5</v>
          </cell>
          <cell r="L240">
            <v>4</v>
          </cell>
          <cell r="M240">
            <v>2.5</v>
          </cell>
          <cell r="N240"/>
          <cell r="O240"/>
          <cell r="P240"/>
          <cell r="Q240"/>
          <cell r="R240"/>
          <cell r="S240"/>
          <cell r="T240"/>
          <cell r="U240"/>
          <cell r="V240"/>
          <cell r="W240"/>
          <cell r="X240"/>
          <cell r="Y240"/>
          <cell r="Z240"/>
          <cell r="AA240"/>
          <cell r="AB240"/>
          <cell r="AC240"/>
          <cell r="AD240"/>
          <cell r="AE240"/>
          <cell r="AF240">
            <v>8.5672800000000002</v>
          </cell>
          <cell r="AG240"/>
          <cell r="AH240"/>
          <cell r="AI240" t="str">
            <v>Co</v>
          </cell>
          <cell r="AJ240" t="str">
            <v>-11.5Al</v>
          </cell>
          <cell r="AK240" t="str">
            <v>-3.5W</v>
          </cell>
          <cell r="AL240" t="str">
            <v/>
          </cell>
          <cell r="AM240" t="str">
            <v/>
          </cell>
          <cell r="AN240" t="str">
            <v>-2.5Ta</v>
          </cell>
          <cell r="AO240" t="str">
            <v/>
          </cell>
          <cell r="AP240" t="str">
            <v/>
          </cell>
          <cell r="AQ240" t="str">
            <v>-4.Ti</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cell r="BD240" t="str">
            <v/>
          </cell>
          <cell r="BE240" t="str">
            <v/>
          </cell>
          <cell r="BF240" t="str">
            <v/>
          </cell>
          <cell r="BG240" t="str">
            <v/>
          </cell>
          <cell r="BH240" t="str">
            <v>Co-30Ni-11.5Al-4Ti-.55W-2.5TaLass, E. A. Application of Computational Thermodynamics to the Design of a Co-Ni-Based γ′-Strengthened Superalloy. Metall. Mater. Trans. A Phys. Metall. Mater. Sci. 48, 2443–2459 (2017).</v>
          </cell>
          <cell r="BI240" t="str">
            <v>Co-11.5Al-3.5W-4.Ti-2.5Ta</v>
          </cell>
          <cell r="BJ240" t="str">
            <v>78.5Co-11.5Al-3.5W-4.0Ti-2.5Ta</v>
          </cell>
        </row>
        <row r="241">
          <cell r="A241" t="str">
            <v>Co-30.Ni-9.Al-7.W-3.Ti-2.Ta-0.1B</v>
          </cell>
          <cell r="B241" t="str">
            <v>CoAlWX+</v>
          </cell>
          <cell r="C241" t="str">
            <v>-30Ni-9Al-7W-3Ti-2Ta-B</v>
          </cell>
          <cell r="D241" t="str">
            <v>L22</v>
          </cell>
          <cell r="E241" t="str">
            <v>Lass, E. A. Application of Computational Thermodynamics to the Design of a Co-Ni-Based γ′-Strengthened Superalloy. Metall. Mater. Trans. A Phys. Metall. Mater. Sci. 48, 2443–2459 (2017).</v>
          </cell>
          <cell r="F241">
            <v>253</v>
          </cell>
          <cell r="G241">
            <v>48.9</v>
          </cell>
          <cell r="H241">
            <v>30</v>
          </cell>
          <cell r="I241">
            <v>9</v>
          </cell>
          <cell r="J241"/>
          <cell r="K241">
            <v>7</v>
          </cell>
          <cell r="L241">
            <v>3</v>
          </cell>
          <cell r="M241">
            <v>2</v>
          </cell>
          <cell r="N241"/>
          <cell r="O241"/>
          <cell r="P241"/>
          <cell r="Q241"/>
          <cell r="R241"/>
          <cell r="S241">
            <v>0.1</v>
          </cell>
          <cell r="T241"/>
          <cell r="U241"/>
          <cell r="V241"/>
          <cell r="W241"/>
          <cell r="X241"/>
          <cell r="Y241"/>
          <cell r="Z241"/>
          <cell r="AA241"/>
          <cell r="AB241"/>
          <cell r="AC241"/>
          <cell r="AD241"/>
          <cell r="AE241"/>
          <cell r="AF241">
            <v>9.0856699999999986</v>
          </cell>
          <cell r="AG241"/>
          <cell r="AH241" t="str">
            <v>within 1% of nominal values</v>
          </cell>
          <cell r="AI241" t="str">
            <v>Co</v>
          </cell>
          <cell r="AJ241" t="str">
            <v>-9.Al</v>
          </cell>
          <cell r="AK241" t="str">
            <v>-7.W</v>
          </cell>
          <cell r="AL241" t="str">
            <v>-30.Ni</v>
          </cell>
          <cell r="AM241" t="str">
            <v/>
          </cell>
          <cell r="AN241" t="str">
            <v>-2.Ta</v>
          </cell>
          <cell r="AO241" t="str">
            <v/>
          </cell>
          <cell r="AP241" t="str">
            <v/>
          </cell>
          <cell r="AQ241" t="str">
            <v>-3.Ti</v>
          </cell>
          <cell r="AR241" t="str">
            <v/>
          </cell>
          <cell r="AS241" t="str">
            <v/>
          </cell>
          <cell r="AT241" t="str">
            <v/>
          </cell>
          <cell r="AU241" t="str">
            <v>-0.1B</v>
          </cell>
          <cell r="AV241" t="str">
            <v/>
          </cell>
          <cell r="AW241" t="str">
            <v/>
          </cell>
          <cell r="AX241" t="str">
            <v/>
          </cell>
          <cell r="AY241" t="str">
            <v/>
          </cell>
          <cell r="AZ241" t="str">
            <v/>
          </cell>
          <cell r="BA241" t="str">
            <v/>
          </cell>
          <cell r="BB241" t="str">
            <v/>
          </cell>
          <cell r="BC241" t="str">
            <v/>
          </cell>
          <cell r="BD241" t="str">
            <v/>
          </cell>
          <cell r="BE241" t="str">
            <v/>
          </cell>
          <cell r="BF241" t="str">
            <v/>
          </cell>
          <cell r="BG241" t="str">
            <v/>
          </cell>
          <cell r="BH241" t="str">
            <v>L22Lass, E. A. Application of Computational Thermodynamics to the Design of a Co-Ni-Based γ′-Strengthened Superalloy. Metall. Mater. Trans. A Phys. Metall. Mater. Sci. 48, 2443–2459 (2017).</v>
          </cell>
          <cell r="BI241" t="str">
            <v>Co-30.Ni-9.Al-7.W-3.Ti-2.Ta-0.1B</v>
          </cell>
          <cell r="BJ241" t="str">
            <v>78.9Co-30.0Ni-9.0Al-7.0W-3.0Ti-2.0Ta-0.10B</v>
          </cell>
        </row>
        <row r="242">
          <cell r="A242" t="str">
            <v>Co-10.5Al-7.5W-2.Ti-25.Ta</v>
          </cell>
          <cell r="B242" t="str">
            <v>CoAlWX+</v>
          </cell>
          <cell r="C242" t="str">
            <v>-11Al-8W-2Ti-25Ta</v>
          </cell>
          <cell r="D242" t="str">
            <v>Co-30Ni-10.5Al-2Ti-7.5W-2.5Ta</v>
          </cell>
          <cell r="E242" t="str">
            <v>Lass, E. A. Application of Computational Thermodynamics to the Design of a Co-Ni-Based γ′-Strengthened Superalloy. Metall. Mater. Trans. A Phys. Metall. Mater. Sci. 48, 2443–2459 (2017).</v>
          </cell>
          <cell r="F242">
            <v>254</v>
          </cell>
          <cell r="G242">
            <v>55</v>
          </cell>
          <cell r="H242"/>
          <cell r="I242">
            <v>10.5</v>
          </cell>
          <cell r="J242"/>
          <cell r="K242">
            <v>7.5</v>
          </cell>
          <cell r="L242">
            <v>2</v>
          </cell>
          <cell r="M242">
            <v>25</v>
          </cell>
          <cell r="N242"/>
          <cell r="O242"/>
          <cell r="P242"/>
          <cell r="Q242"/>
          <cell r="R242"/>
          <cell r="S242"/>
          <cell r="T242"/>
          <cell r="U242"/>
          <cell r="V242"/>
          <cell r="W242"/>
          <cell r="X242"/>
          <cell r="Y242"/>
          <cell r="Z242"/>
          <cell r="AA242"/>
          <cell r="AB242"/>
          <cell r="AC242"/>
          <cell r="AD242"/>
          <cell r="AE242"/>
          <cell r="AF242">
            <v>10.874889999999999</v>
          </cell>
          <cell r="AG242"/>
          <cell r="AH242"/>
          <cell r="AI242" t="str">
            <v>Co</v>
          </cell>
          <cell r="AJ242" t="str">
            <v>-10.5Al</v>
          </cell>
          <cell r="AK242" t="str">
            <v>-7.5W</v>
          </cell>
          <cell r="AL242" t="str">
            <v/>
          </cell>
          <cell r="AM242" t="str">
            <v/>
          </cell>
          <cell r="AN242" t="str">
            <v>-25.Ta</v>
          </cell>
          <cell r="AO242" t="str">
            <v/>
          </cell>
          <cell r="AP242" t="str">
            <v/>
          </cell>
          <cell r="AQ242" t="str">
            <v>-2.Ti</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cell r="BD242" t="str">
            <v/>
          </cell>
          <cell r="BE242" t="str">
            <v/>
          </cell>
          <cell r="BF242" t="str">
            <v/>
          </cell>
          <cell r="BG242" t="str">
            <v/>
          </cell>
          <cell r="BH242" t="str">
            <v>Co-30Ni-10.5Al-2Ti-7.5W-2.5TaLass, E. A. Application of Computational Thermodynamics to the Design of a Co-Ni-Based γ′-Strengthened Superalloy. Metall. Mater. Trans. A Phys. Metall. Mater. Sci. 48, 2443–2459 (2017).</v>
          </cell>
          <cell r="BI242" t="str">
            <v>Co-10.5Al-7.5W-2.Ti-25.Ta</v>
          </cell>
          <cell r="BJ242" t="str">
            <v>55.0Co-10.5Al-7.5W-2.0Ti-25.0Ta</v>
          </cell>
        </row>
        <row r="243">
          <cell r="A243" t="str">
            <v>Co-11.Al-5.5W-2.Ti-2.5Ta</v>
          </cell>
          <cell r="B243" t="str">
            <v>CoAlWX+</v>
          </cell>
          <cell r="C243" t="str">
            <v>-11Al-6W-2Ti-3Ta</v>
          </cell>
          <cell r="D243" t="str">
            <v>Co-30Ni-11Al-2Ti-5.5W-2.5Ta</v>
          </cell>
          <cell r="E243" t="str">
            <v>Lass, E. A. Application of Computational Thermodynamics to the Design of a Co-Ni-Based γ′-Strengthened Superalloy. Metall. Mater. Trans. A Phys. Metall. Mater. Sci. 48, 2443–2459 (2017).</v>
          </cell>
          <cell r="F243">
            <v>255</v>
          </cell>
          <cell r="G243">
            <v>79</v>
          </cell>
          <cell r="H243"/>
          <cell r="I243">
            <v>11</v>
          </cell>
          <cell r="J243"/>
          <cell r="K243">
            <v>5.5</v>
          </cell>
          <cell r="L243">
            <v>2</v>
          </cell>
          <cell r="M243">
            <v>2.5</v>
          </cell>
          <cell r="N243"/>
          <cell r="O243"/>
          <cell r="P243"/>
          <cell r="Q243"/>
          <cell r="R243"/>
          <cell r="S243"/>
          <cell r="T243"/>
          <cell r="U243"/>
          <cell r="V243"/>
          <cell r="W243"/>
          <cell r="X243"/>
          <cell r="Y243"/>
          <cell r="Z243"/>
          <cell r="AA243"/>
          <cell r="AB243"/>
          <cell r="AC243"/>
          <cell r="AD243"/>
          <cell r="AE243"/>
          <cell r="AF243">
            <v>8.8931400000000007</v>
          </cell>
          <cell r="AG243"/>
          <cell r="AH243"/>
          <cell r="AI243" t="str">
            <v>Co</v>
          </cell>
          <cell r="AJ243" t="str">
            <v>-11.Al</v>
          </cell>
          <cell r="AK243" t="str">
            <v>-5.5W</v>
          </cell>
          <cell r="AL243" t="str">
            <v/>
          </cell>
          <cell r="AM243" t="str">
            <v/>
          </cell>
          <cell r="AN243" t="str">
            <v>-2.5Ta</v>
          </cell>
          <cell r="AO243" t="str">
            <v/>
          </cell>
          <cell r="AP243" t="str">
            <v/>
          </cell>
          <cell r="AQ243" t="str">
            <v>-2.Ti</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cell r="BD243" t="str">
            <v/>
          </cell>
          <cell r="BE243" t="str">
            <v/>
          </cell>
          <cell r="BF243" t="str">
            <v/>
          </cell>
          <cell r="BG243" t="str">
            <v/>
          </cell>
          <cell r="BH243" t="str">
            <v>Co-30Ni-11Al-2Ti-5.5W-2.5TaLass, E. A. Application of Computational Thermodynamics to the Design of a Co-Ni-Based γ′-Strengthened Superalloy. Metall. Mater. Trans. A Phys. Metall. Mater. Sci. 48, 2443–2459 (2017).</v>
          </cell>
          <cell r="BI243" t="str">
            <v>Co-11.Al-5.5W-2.Ti-2.5Ta</v>
          </cell>
          <cell r="BJ243" t="str">
            <v>79.0Co-11.0Al-5.5W-2.0Ti-2.5Ta</v>
          </cell>
        </row>
        <row r="244">
          <cell r="A244" t="str">
            <v>Co-19.5Ni-10.2Al-7.1W</v>
          </cell>
          <cell r="B244" t="str">
            <v>CoAlW-X</v>
          </cell>
          <cell r="C244" t="str">
            <v>-20Ni-10Al-7W</v>
          </cell>
          <cell r="D244" t="str">
            <v>Base</v>
          </cell>
          <cell r="E244" t="str">
            <v>Lass, E. A. The effects of Fe and Si on the phase equilibria in a γ′-strengthened Co–Al–W-based superalloy. J. Alloys Compd. 825, (2020).</v>
          </cell>
          <cell r="F244">
            <v>256</v>
          </cell>
          <cell r="G244">
            <v>63.2</v>
          </cell>
          <cell r="H244">
            <v>19.5</v>
          </cell>
          <cell r="I244">
            <v>10.199999999999999</v>
          </cell>
          <cell r="J244"/>
          <cell r="K244">
            <v>7.1</v>
          </cell>
          <cell r="L244"/>
          <cell r="M244"/>
          <cell r="N244"/>
          <cell r="O244"/>
          <cell r="P244"/>
          <cell r="Q244"/>
          <cell r="R244"/>
          <cell r="S244"/>
          <cell r="T244"/>
          <cell r="U244"/>
          <cell r="V244"/>
          <cell r="W244"/>
          <cell r="X244"/>
          <cell r="Y244"/>
          <cell r="Z244"/>
          <cell r="AA244"/>
          <cell r="AB244"/>
          <cell r="AC244"/>
          <cell r="AD244"/>
          <cell r="AE244"/>
          <cell r="AF244">
            <v>9.0040099999999992</v>
          </cell>
          <cell r="AG244"/>
          <cell r="AH244"/>
          <cell r="AI244" t="str">
            <v>Co</v>
          </cell>
          <cell r="AJ244" t="str">
            <v>-10.2Al</v>
          </cell>
          <cell r="AK244" t="str">
            <v>-7.1W</v>
          </cell>
          <cell r="AL244" t="str">
            <v>-19.5Ni</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cell r="BD244" t="str">
            <v/>
          </cell>
          <cell r="BE244" t="str">
            <v/>
          </cell>
          <cell r="BF244" t="str">
            <v/>
          </cell>
          <cell r="BG244" t="str">
            <v/>
          </cell>
          <cell r="BH244" t="str">
            <v>BaseLass, E. A. The effects of Fe and Si on the phase equilibria in a γ′-strengthened Co–Al–W-based superalloy. J. Alloys Compd. 825, (2020).</v>
          </cell>
          <cell r="BI244" t="str">
            <v>Co-19.5Ni-10.2Al-7.1W</v>
          </cell>
          <cell r="BJ244" t="str">
            <v>82.7Co-19.5Ni-10.2Al-7.1W</v>
          </cell>
        </row>
        <row r="245">
          <cell r="A245" t="str">
            <v>Co-19.6Ni-5.2Fe-10.3Al-6.8W</v>
          </cell>
          <cell r="B245" t="str">
            <v>CoAlWX+</v>
          </cell>
          <cell r="C245" t="str">
            <v>-20Ni-5Fe-10Al-7W</v>
          </cell>
          <cell r="D245" t="str">
            <v>Fe5</v>
          </cell>
          <cell r="E245" t="str">
            <v>Lass, E. A. The effects of Fe and Si on the phase equilibria in a γ′-strengthened Co–Al–W-based superalloy. J. Alloys Compd. 825, (2020).</v>
          </cell>
          <cell r="F245">
            <v>257</v>
          </cell>
          <cell r="G245">
            <v>58.099999999999994</v>
          </cell>
          <cell r="H245">
            <v>19.600000000000001</v>
          </cell>
          <cell r="I245">
            <v>10.3</v>
          </cell>
          <cell r="J245"/>
          <cell r="K245">
            <v>6.8</v>
          </cell>
          <cell r="L245"/>
          <cell r="M245"/>
          <cell r="N245"/>
          <cell r="O245"/>
          <cell r="P245"/>
          <cell r="Q245"/>
          <cell r="R245"/>
          <cell r="S245"/>
          <cell r="T245"/>
          <cell r="U245"/>
          <cell r="V245"/>
          <cell r="W245">
            <v>5.2</v>
          </cell>
          <cell r="X245"/>
          <cell r="Y245"/>
          <cell r="Z245"/>
          <cell r="AA245"/>
          <cell r="AB245"/>
          <cell r="AC245"/>
          <cell r="AD245"/>
          <cell r="AE245"/>
          <cell r="AF245">
            <v>8.913415999999998</v>
          </cell>
          <cell r="AG245"/>
          <cell r="AH245"/>
          <cell r="AI245" t="str">
            <v>Co</v>
          </cell>
          <cell r="AJ245" t="str">
            <v>-10.3Al</v>
          </cell>
          <cell r="AK245" t="str">
            <v>-6.8W</v>
          </cell>
          <cell r="AL245" t="str">
            <v>-19.6Ni</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-5.2Fe</v>
          </cell>
          <cell r="AZ245" t="str">
            <v/>
          </cell>
          <cell r="BA245" t="str">
            <v/>
          </cell>
          <cell r="BB245" t="str">
            <v/>
          </cell>
          <cell r="BC245" t="str">
            <v/>
          </cell>
          <cell r="BD245" t="str">
            <v/>
          </cell>
          <cell r="BE245" t="str">
            <v/>
          </cell>
          <cell r="BF245" t="str">
            <v/>
          </cell>
          <cell r="BG245" t="str">
            <v/>
          </cell>
          <cell r="BH245" t="str">
            <v>Fe5Lass, E. A. The effects of Fe and Si on the phase equilibria in a γ′-strengthened Co–Al–W-based superalloy. J. Alloys Compd. 825, (2020).</v>
          </cell>
          <cell r="BI245" t="str">
            <v>Co-19.6Ni-5.2Fe-10.3Al-6.8W</v>
          </cell>
          <cell r="BJ245" t="str">
            <v>77.7Co-19.6Ni-5.2Fe-10.3Al-6.8W</v>
          </cell>
        </row>
        <row r="246">
          <cell r="A246" t="str">
            <v>Co-19.8Ni-10.3Fe-10.3Al-6.4W</v>
          </cell>
          <cell r="B246" t="str">
            <v>CoAlWX+</v>
          </cell>
          <cell r="C246" t="str">
            <v>-20Ni-10Fe-10Al-6W</v>
          </cell>
          <cell r="D246" t="str">
            <v>Fe10</v>
          </cell>
          <cell r="E246" t="str">
            <v>Lass, E. A. The effects of Fe and Si on the phase equilibria in a γ′-strengthened Co–Al–W-based superalloy. J. Alloys Compd. 825, (2020).</v>
          </cell>
          <cell r="F246">
            <v>258</v>
          </cell>
          <cell r="G246">
            <v>53.2</v>
          </cell>
          <cell r="H246">
            <v>19.8</v>
          </cell>
          <cell r="I246">
            <v>10.3</v>
          </cell>
          <cell r="J246"/>
          <cell r="K246">
            <v>6.4</v>
          </cell>
          <cell r="L246"/>
          <cell r="M246"/>
          <cell r="N246"/>
          <cell r="O246"/>
          <cell r="P246"/>
          <cell r="Q246"/>
          <cell r="R246"/>
          <cell r="S246"/>
          <cell r="T246"/>
          <cell r="U246"/>
          <cell r="V246"/>
          <cell r="W246">
            <v>10.3</v>
          </cell>
          <cell r="X246"/>
          <cell r="Y246"/>
          <cell r="Z246"/>
          <cell r="AA246"/>
          <cell r="AB246"/>
          <cell r="AC246"/>
          <cell r="AD246"/>
          <cell r="AE246"/>
          <cell r="AF246">
            <v>8.8197060000000018</v>
          </cell>
          <cell r="AG246"/>
          <cell r="AH246"/>
          <cell r="AI246" t="str">
            <v>Co</v>
          </cell>
          <cell r="AJ246" t="str">
            <v>-10.3Al</v>
          </cell>
          <cell r="AK246" t="str">
            <v>-6.4W</v>
          </cell>
          <cell r="AL246" t="str">
            <v>-19.8Ni</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-10.3Fe</v>
          </cell>
          <cell r="AZ246" t="str">
            <v/>
          </cell>
          <cell r="BA246" t="str">
            <v/>
          </cell>
          <cell r="BB246" t="str">
            <v/>
          </cell>
          <cell r="BC246" t="str">
            <v/>
          </cell>
          <cell r="BD246" t="str">
            <v/>
          </cell>
          <cell r="BE246" t="str">
            <v/>
          </cell>
          <cell r="BF246" t="str">
            <v/>
          </cell>
          <cell r="BG246" t="str">
            <v/>
          </cell>
          <cell r="BH246" t="str">
            <v>Fe10Lass, E. A. The effects of Fe and Si on the phase equilibria in a γ′-strengthened Co–Al–W-based superalloy. J. Alloys Compd. 825, (2020).</v>
          </cell>
          <cell r="BI246" t="str">
            <v>Co-19.8Ni-10.3Fe-10.3Al-6.4W</v>
          </cell>
          <cell r="BJ246" t="str">
            <v>73.0Co-19.8Ni-10.3Fe-10.3Al-6.4W</v>
          </cell>
        </row>
        <row r="247">
          <cell r="A247" t="str">
            <v>Co-19.7Ni-15.3Fe-10.3Al-6.5W</v>
          </cell>
          <cell r="B247" t="str">
            <v>CoAlWX+</v>
          </cell>
          <cell r="C247" t="str">
            <v>-20Ni-15Fe-10Al-7W</v>
          </cell>
          <cell r="D247" t="str">
            <v>Fe15</v>
          </cell>
          <cell r="E247" t="str">
            <v>Lass, E. A. The effects of Fe and Si on the phase equilibria in a γ′-strengthened Co–Al–W-based superalloy. J. Alloys Compd. 825, (2020).</v>
          </cell>
          <cell r="F247">
            <v>259</v>
          </cell>
          <cell r="G247">
            <v>48.2</v>
          </cell>
          <cell r="H247">
            <v>19.7</v>
          </cell>
          <cell r="I247">
            <v>10.3</v>
          </cell>
          <cell r="J247"/>
          <cell r="K247">
            <v>6.5</v>
          </cell>
          <cell r="L247"/>
          <cell r="M247"/>
          <cell r="N247"/>
          <cell r="O247"/>
          <cell r="P247"/>
          <cell r="Q247"/>
          <cell r="R247"/>
          <cell r="S247"/>
          <cell r="T247"/>
          <cell r="U247"/>
          <cell r="V247"/>
          <cell r="W247">
            <v>15.3</v>
          </cell>
          <cell r="X247"/>
          <cell r="Y247"/>
          <cell r="Z247"/>
          <cell r="AA247"/>
          <cell r="AB247"/>
          <cell r="AC247"/>
          <cell r="AD247"/>
          <cell r="AE247"/>
          <cell r="AF247">
            <v>8.7787480000000002</v>
          </cell>
          <cell r="AG247"/>
          <cell r="AH247"/>
          <cell r="AI247" t="str">
            <v>Co</v>
          </cell>
          <cell r="AJ247" t="str">
            <v>-10.3Al</v>
          </cell>
          <cell r="AK247" t="str">
            <v>-6.5W</v>
          </cell>
          <cell r="AL247" t="str">
            <v>-19.7Ni</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-15.3Fe</v>
          </cell>
          <cell r="AZ247" t="str">
            <v/>
          </cell>
          <cell r="BA247" t="str">
            <v/>
          </cell>
          <cell r="BB247" t="str">
            <v/>
          </cell>
          <cell r="BC247" t="str">
            <v/>
          </cell>
          <cell r="BD247" t="str">
            <v/>
          </cell>
          <cell r="BE247" t="str">
            <v/>
          </cell>
          <cell r="BF247" t="str">
            <v/>
          </cell>
          <cell r="BG247" t="str">
            <v/>
          </cell>
          <cell r="BH247" t="str">
            <v>Fe15Lass, E. A. The effects of Fe and Si on the phase equilibria in a γ′-strengthened Co–Al–W-based superalloy. J. Alloys Compd. 825, (2020).</v>
          </cell>
          <cell r="BI247" t="str">
            <v>Co-19.7Ni-15.3Fe-10.3Al-6.5W</v>
          </cell>
          <cell r="BJ247" t="str">
            <v>67.9Co-19.7Ni-15.3Fe-10.3Al-6.5W</v>
          </cell>
        </row>
        <row r="248">
          <cell r="A248" t="str">
            <v>Co-19.6Ni-10.2Al-7.W-0.3Si</v>
          </cell>
          <cell r="B248" t="str">
            <v>CoAlWX+</v>
          </cell>
          <cell r="C248" t="str">
            <v>-20Ni-10Al-7W-Si</v>
          </cell>
          <cell r="D248" t="str">
            <v>Si05</v>
          </cell>
          <cell r="E248" t="str">
            <v>Lass, E. A. The effects of Fe and Si on the phase equilibria in a γ′-strengthened Co–Al–W-based superalloy. J. Alloys Compd. 825, (2020).</v>
          </cell>
          <cell r="F248">
            <v>260</v>
          </cell>
          <cell r="G248">
            <v>62.900000000000006</v>
          </cell>
          <cell r="H248">
            <v>19.600000000000001</v>
          </cell>
          <cell r="I248">
            <v>10.199999999999999</v>
          </cell>
          <cell r="J248"/>
          <cell r="K248">
            <v>7</v>
          </cell>
          <cell r="L248"/>
          <cell r="M248"/>
          <cell r="N248"/>
          <cell r="O248"/>
          <cell r="P248"/>
          <cell r="Q248"/>
          <cell r="R248"/>
          <cell r="S248"/>
          <cell r="T248"/>
          <cell r="U248"/>
          <cell r="V248">
            <v>0.3</v>
          </cell>
          <cell r="W248"/>
          <cell r="X248"/>
          <cell r="Y248"/>
          <cell r="Z248"/>
          <cell r="AA248"/>
          <cell r="AB248"/>
          <cell r="AC248"/>
          <cell r="AD248"/>
          <cell r="AE248"/>
          <cell r="AF248">
            <v>8.9739579999999997</v>
          </cell>
          <cell r="AG248"/>
          <cell r="AH248"/>
          <cell r="AI248" t="str">
            <v>Co</v>
          </cell>
          <cell r="AJ248" t="str">
            <v>-10.2Al</v>
          </cell>
          <cell r="AK248" t="str">
            <v>-7.W</v>
          </cell>
          <cell r="AL248" t="str">
            <v>-19.6Ni</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-0.3Si</v>
          </cell>
          <cell r="AY248" t="str">
            <v/>
          </cell>
          <cell r="AZ248" t="str">
            <v/>
          </cell>
          <cell r="BA248" t="str">
            <v/>
          </cell>
          <cell r="BB248" t="str">
            <v/>
          </cell>
          <cell r="BC248" t="str">
            <v/>
          </cell>
          <cell r="BD248" t="str">
            <v/>
          </cell>
          <cell r="BE248" t="str">
            <v/>
          </cell>
          <cell r="BF248" t="str">
            <v/>
          </cell>
          <cell r="BG248" t="str">
            <v/>
          </cell>
          <cell r="BH248" t="str">
            <v>Si05Lass, E. A. The effects of Fe and Si on the phase equilibria in a γ′-strengthened Co–Al–W-based superalloy. J. Alloys Compd. 825, (2020).</v>
          </cell>
          <cell r="BI248" t="str">
            <v>Co-19.6Ni-10.2Al-7.W-0.3Si</v>
          </cell>
          <cell r="BJ248" t="str">
            <v>82.5Co-19.6Ni-10.2Al-7.0W-0.3Si</v>
          </cell>
        </row>
        <row r="249">
          <cell r="A249" t="str">
            <v>Co-19.6Ni-10.Al-6.9W-1.Si</v>
          </cell>
          <cell r="B249" t="str">
            <v>CoAlWX+</v>
          </cell>
          <cell r="C249" t="str">
            <v>-20Ni-10Al-7W-Si</v>
          </cell>
          <cell r="D249" t="str">
            <v>Si1</v>
          </cell>
          <cell r="E249" t="str">
            <v>Lass, E. A. The effects of Fe and Si on the phase equilibria in a γ′-strengthened Co–Al–W-based superalloy. J. Alloys Compd. 825, (2020).</v>
          </cell>
          <cell r="F249">
            <v>261</v>
          </cell>
          <cell r="G249">
            <v>62.5</v>
          </cell>
          <cell r="H249">
            <v>19.600000000000001</v>
          </cell>
          <cell r="I249">
            <v>10</v>
          </cell>
          <cell r="J249"/>
          <cell r="K249">
            <v>6.9</v>
          </cell>
          <cell r="L249"/>
          <cell r="M249"/>
          <cell r="N249"/>
          <cell r="O249"/>
          <cell r="P249"/>
          <cell r="Q249"/>
          <cell r="R249"/>
          <cell r="S249"/>
          <cell r="T249"/>
          <cell r="U249"/>
          <cell r="V249">
            <v>1</v>
          </cell>
          <cell r="W249"/>
          <cell r="X249"/>
          <cell r="Y249"/>
          <cell r="Z249"/>
          <cell r="AA249"/>
          <cell r="AB249"/>
          <cell r="AC249"/>
          <cell r="AD249"/>
          <cell r="AE249"/>
          <cell r="AF249">
            <v>8.9300180000000005</v>
          </cell>
          <cell r="AG249"/>
          <cell r="AH249"/>
          <cell r="AI249" t="str">
            <v>Co</v>
          </cell>
          <cell r="AJ249" t="str">
            <v>-10.Al</v>
          </cell>
          <cell r="AK249" t="str">
            <v>-6.9W</v>
          </cell>
          <cell r="AL249" t="str">
            <v>-19.6Ni</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-1.Si</v>
          </cell>
          <cell r="AY249" t="str">
            <v/>
          </cell>
          <cell r="AZ249" t="str">
            <v/>
          </cell>
          <cell r="BA249" t="str">
            <v/>
          </cell>
          <cell r="BB249" t="str">
            <v/>
          </cell>
          <cell r="BC249" t="str">
            <v/>
          </cell>
          <cell r="BD249" t="str">
            <v/>
          </cell>
          <cell r="BE249" t="str">
            <v/>
          </cell>
          <cell r="BF249" t="str">
            <v/>
          </cell>
          <cell r="BG249" t="str">
            <v/>
          </cell>
          <cell r="BH249" t="str">
            <v>Si1Lass, E. A. The effects of Fe and Si on the phase equilibria in a γ′-strengthened Co–Al–W-based superalloy. J. Alloys Compd. 825, (2020).</v>
          </cell>
          <cell r="BI249" t="str">
            <v>Co-19.6Ni-10.Al-6.9W-1.Si</v>
          </cell>
          <cell r="BJ249" t="str">
            <v>82.1Co-19.6Ni-10.0Al-6.9W-1.0Si</v>
          </cell>
        </row>
        <row r="250">
          <cell r="A250" t="str">
            <v>Co-19.8Ni-10.2Al-6.7W-1.8Si</v>
          </cell>
          <cell r="B250" t="str">
            <v>CoAlWX+</v>
          </cell>
          <cell r="C250" t="str">
            <v>-20Ni-10Al-7W-Si</v>
          </cell>
          <cell r="D250" t="str">
            <v>Si2</v>
          </cell>
          <cell r="E250" t="str">
            <v>Lass, E. A. The effects of Fe and Si on the phase equilibria in a γ′-strengthened Co–Al–W-based superalloy. J. Alloys Compd. 825, (2020).</v>
          </cell>
          <cell r="F250">
            <v>262</v>
          </cell>
          <cell r="G250">
            <v>61.5</v>
          </cell>
          <cell r="H250">
            <v>19.8</v>
          </cell>
          <cell r="I250">
            <v>10.199999999999999</v>
          </cell>
          <cell r="J250"/>
          <cell r="K250">
            <v>6.7</v>
          </cell>
          <cell r="L250"/>
          <cell r="M250"/>
          <cell r="N250"/>
          <cell r="O250"/>
          <cell r="P250"/>
          <cell r="Q250"/>
          <cell r="R250"/>
          <cell r="S250"/>
          <cell r="T250"/>
          <cell r="U250"/>
          <cell r="V250">
            <v>1.8</v>
          </cell>
          <cell r="W250"/>
          <cell r="X250"/>
          <cell r="Y250"/>
          <cell r="Z250"/>
          <cell r="AA250"/>
          <cell r="AB250"/>
          <cell r="AC250"/>
          <cell r="AD250"/>
          <cell r="AE250"/>
          <cell r="AF250">
            <v>8.8443740000000002</v>
          </cell>
          <cell r="AG250"/>
          <cell r="AH250"/>
          <cell r="AI250" t="str">
            <v>Co</v>
          </cell>
          <cell r="AJ250" t="str">
            <v>-10.2Al</v>
          </cell>
          <cell r="AK250" t="str">
            <v>-6.7W</v>
          </cell>
          <cell r="AL250" t="str">
            <v>-19.8Ni</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-1.8Si</v>
          </cell>
          <cell r="AY250" t="str">
            <v/>
          </cell>
          <cell r="AZ250" t="str">
            <v/>
          </cell>
          <cell r="BA250" t="str">
            <v/>
          </cell>
          <cell r="BB250" t="str">
            <v/>
          </cell>
          <cell r="BC250" t="str">
            <v/>
          </cell>
          <cell r="BD250" t="str">
            <v/>
          </cell>
          <cell r="BE250" t="str">
            <v/>
          </cell>
          <cell r="BF250" t="str">
            <v/>
          </cell>
          <cell r="BG250" t="str">
            <v/>
          </cell>
          <cell r="BH250" t="str">
            <v>Si2Lass, E. A. The effects of Fe and Si on the phase equilibria in a γ′-strengthened Co–Al–W-based superalloy. J. Alloys Compd. 825, (2020).</v>
          </cell>
          <cell r="BI250" t="str">
            <v>Co-19.8Ni-10.2Al-6.7W-1.8Si</v>
          </cell>
          <cell r="BJ250" t="str">
            <v>81.3Co-19.8Ni-10.2Al-6.7W-1.8Si</v>
          </cell>
        </row>
        <row r="251">
          <cell r="A251" t="str">
            <v>Co-10.Ni-7.Al-7.W-4.Ti-1.Ta</v>
          </cell>
          <cell r="B251" t="str">
            <v>CoAlWX+</v>
          </cell>
          <cell r="C251" t="str">
            <v>-10Ni-7Al-7W-4Ti-1Ta</v>
          </cell>
          <cell r="D251" t="str">
            <v>L12</v>
          </cell>
          <cell r="E251" t="str">
            <v>Lass, E. A., Sauza, D. J., Dunand, D. C. &amp; Seidman, D. N. Multicomponent γ’-strengthened Co-based superalloys with increased solvus temperatures and reduced mass densities. Acta Mater. 147, 284–295 (2018).</v>
          </cell>
          <cell r="F251">
            <v>263</v>
          </cell>
          <cell r="G251">
            <v>71</v>
          </cell>
          <cell r="H251">
            <v>10</v>
          </cell>
          <cell r="I251">
            <v>7</v>
          </cell>
          <cell r="J251"/>
          <cell r="K251">
            <v>7</v>
          </cell>
          <cell r="L251">
            <v>4</v>
          </cell>
          <cell r="M251">
            <v>1</v>
          </cell>
          <cell r="N251"/>
          <cell r="O251"/>
          <cell r="P251"/>
          <cell r="Q251"/>
          <cell r="R251"/>
          <cell r="S251"/>
          <cell r="T251"/>
          <cell r="U251"/>
          <cell r="V251"/>
          <cell r="W251"/>
          <cell r="X251"/>
          <cell r="Y251"/>
          <cell r="Z251"/>
          <cell r="AA251"/>
          <cell r="AB251"/>
          <cell r="AC251"/>
          <cell r="AD251"/>
          <cell r="AE251"/>
          <cell r="AF251">
            <v>9.0930800000000005</v>
          </cell>
          <cell r="AG251">
            <v>9.4499999999999993</v>
          </cell>
          <cell r="AH251"/>
          <cell r="AI251" t="str">
            <v>Co</v>
          </cell>
          <cell r="AJ251" t="str">
            <v>-7.Al</v>
          </cell>
          <cell r="AK251" t="str">
            <v>-7.W</v>
          </cell>
          <cell r="AL251" t="str">
            <v>-10.Ni</v>
          </cell>
          <cell r="AM251" t="str">
            <v/>
          </cell>
          <cell r="AN251" t="str">
            <v>-1.Ta</v>
          </cell>
          <cell r="AO251" t="str">
            <v/>
          </cell>
          <cell r="AP251" t="str">
            <v/>
          </cell>
          <cell r="AQ251" t="str">
            <v>-4.Ti</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cell r="BD251" t="str">
            <v/>
          </cell>
          <cell r="BE251" t="str">
            <v/>
          </cell>
          <cell r="BF251" t="str">
            <v/>
          </cell>
          <cell r="BG251" t="str">
            <v/>
          </cell>
          <cell r="BH251" t="str">
            <v>L12Lass, E. A., Sauza, D. J., Dunand, D. C. &amp; Seidman, D. N. Multicomponent γ’-strengthened Co-based superalloys with increased solvus temperatures and reduced mass densities. Acta Mater. 147, 284–295 (2018).</v>
          </cell>
          <cell r="BI251" t="str">
            <v>Co-10.Ni-7.Al-7.W-4.Ti-1.Ta</v>
          </cell>
          <cell r="BJ251" t="str">
            <v>81.0Co-10.0Ni-7.0Al-7.0W-4.0Ti-1.0Ta</v>
          </cell>
        </row>
        <row r="252">
          <cell r="A252" t="str">
            <v>Co-30.Ni-7.Al-7.W-4.Ti-1.Ta</v>
          </cell>
          <cell r="B252" t="str">
            <v>CoAlWX+</v>
          </cell>
          <cell r="C252" t="str">
            <v>-30Ni-7Al-7W-4Ti-1Ta</v>
          </cell>
          <cell r="D252" t="str">
            <v>L13</v>
          </cell>
          <cell r="E252" t="str">
            <v>Lass, E. A., Sauza, D. J., Dunand, D. C. &amp; Seidman, D. N. Multicomponent γ’-strengthened Co-based superalloys with increased solvus temperatures and reduced mass densities. Acta Mater. 147, 284–295 (2018).</v>
          </cell>
          <cell r="F252">
            <v>264</v>
          </cell>
          <cell r="G252">
            <v>51</v>
          </cell>
          <cell r="H252">
            <v>30</v>
          </cell>
          <cell r="I252">
            <v>7</v>
          </cell>
          <cell r="J252"/>
          <cell r="K252">
            <v>7</v>
          </cell>
          <cell r="L252">
            <v>4</v>
          </cell>
          <cell r="M252">
            <v>1</v>
          </cell>
          <cell r="N252"/>
          <cell r="O252"/>
          <cell r="P252"/>
          <cell r="Q252"/>
          <cell r="R252"/>
          <cell r="S252"/>
          <cell r="T252"/>
          <cell r="U252"/>
          <cell r="V252"/>
          <cell r="W252"/>
          <cell r="X252"/>
          <cell r="Y252"/>
          <cell r="Z252"/>
          <cell r="AA252"/>
          <cell r="AB252"/>
          <cell r="AC252"/>
          <cell r="AD252"/>
          <cell r="AE252"/>
          <cell r="AF252">
            <v>9.0946800000000003</v>
          </cell>
          <cell r="AG252">
            <v>9.49</v>
          </cell>
          <cell r="AH252"/>
          <cell r="AI252" t="str">
            <v>Co</v>
          </cell>
          <cell r="AJ252" t="str">
            <v>-7.Al</v>
          </cell>
          <cell r="AK252" t="str">
            <v>-7.W</v>
          </cell>
          <cell r="AL252" t="str">
            <v>-30.Ni</v>
          </cell>
          <cell r="AM252" t="str">
            <v/>
          </cell>
          <cell r="AN252" t="str">
            <v>-1.Ta</v>
          </cell>
          <cell r="AO252" t="str">
            <v/>
          </cell>
          <cell r="AP252" t="str">
            <v/>
          </cell>
          <cell r="AQ252" t="str">
            <v>-4.Ti</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cell r="BD252" t="str">
            <v/>
          </cell>
          <cell r="BE252" t="str">
            <v/>
          </cell>
          <cell r="BF252" t="str">
            <v/>
          </cell>
          <cell r="BG252" t="str">
            <v/>
          </cell>
          <cell r="BH252" t="str">
            <v>L13Lass, E. A., Sauza, D. J., Dunand, D. C. &amp; Seidman, D. N. Multicomponent γ’-strengthened Co-based superalloys with increased solvus temperatures and reduced mass densities. Acta Mater. 147, 284–295 (2018).</v>
          </cell>
          <cell r="BI252" t="str">
            <v>Co-30.Ni-7.Al-7.W-4.Ti-1.Ta</v>
          </cell>
          <cell r="BJ252" t="str">
            <v>81.0Co-30.0Ni-7.0Al-7.0W-4.0Ti-1.0Ta</v>
          </cell>
        </row>
        <row r="253">
          <cell r="A253" t="str">
            <v>Co-10.Ni-7.Al-4.Ti-2.Nb-5.Mo</v>
          </cell>
          <cell r="B253" t="str">
            <v>W-free</v>
          </cell>
          <cell r="C253" t="str">
            <v>-10Ni-7Al-4Ti-2Nb-5Mo</v>
          </cell>
          <cell r="D253" t="str">
            <v>L14</v>
          </cell>
          <cell r="E253" t="str">
            <v>Lass, E. A., Sauza, D. J., Dunand, D. C. &amp; Seidman, D. N. Multicomponent γ’-strengthened Co-based superalloys with increased solvus temperatures and reduced mass densities. Acta Mater. 147, 284–295 (2018).</v>
          </cell>
          <cell r="F253">
            <v>265</v>
          </cell>
          <cell r="G253">
            <v>72</v>
          </cell>
          <cell r="H253">
            <v>10</v>
          </cell>
          <cell r="I253">
            <v>7</v>
          </cell>
          <cell r="J253"/>
          <cell r="K253"/>
          <cell r="L253">
            <v>4</v>
          </cell>
          <cell r="M253"/>
          <cell r="N253">
            <v>2</v>
          </cell>
          <cell r="O253"/>
          <cell r="P253">
            <v>5</v>
          </cell>
          <cell r="Q253"/>
          <cell r="R253"/>
          <cell r="S253"/>
          <cell r="T253"/>
          <cell r="U253"/>
          <cell r="V253"/>
          <cell r="W253"/>
          <cell r="X253"/>
          <cell r="Y253"/>
          <cell r="Z253"/>
          <cell r="AA253"/>
          <cell r="AB253"/>
          <cell r="AC253"/>
          <cell r="AD253"/>
          <cell r="AE253"/>
          <cell r="AF253">
            <v>8.3534800000000011</v>
          </cell>
          <cell r="AG253">
            <v>8.4499999999999993</v>
          </cell>
          <cell r="AH253"/>
          <cell r="AI253" t="str">
            <v>Co</v>
          </cell>
          <cell r="AJ253" t="str">
            <v>-7.Al</v>
          </cell>
          <cell r="AK253" t="str">
            <v/>
          </cell>
          <cell r="AL253" t="str">
            <v>-10.Ni</v>
          </cell>
          <cell r="AM253" t="str">
            <v/>
          </cell>
          <cell r="AN253" t="str">
            <v/>
          </cell>
          <cell r="AO253" t="str">
            <v>-2.Nb</v>
          </cell>
          <cell r="AP253" t="str">
            <v/>
          </cell>
          <cell r="AQ253" t="str">
            <v>-4.Ti</v>
          </cell>
          <cell r="AR253" t="str">
            <v>-5.Mo</v>
          </cell>
          <cell r="AS253" t="str">
            <v/>
          </cell>
          <cell r="AT253" t="str">
            <v/>
          </cell>
          <cell r="AU253" t="str">
            <v/>
          </cell>
          <cell r="AV253" t="str">
            <v/>
          </cell>
          <cell r="AW253" t="str">
            <v/>
          </cell>
          <cell r="AX253" t="str">
            <v/>
          </cell>
          <cell r="AY253" t="str">
            <v/>
          </cell>
          <cell r="AZ253" t="str">
            <v/>
          </cell>
          <cell r="BA253" t="str">
            <v/>
          </cell>
          <cell r="BB253" t="str">
            <v/>
          </cell>
          <cell r="BC253" t="str">
            <v/>
          </cell>
          <cell r="BD253" t="str">
            <v/>
          </cell>
          <cell r="BE253" t="str">
            <v/>
          </cell>
          <cell r="BF253" t="str">
            <v/>
          </cell>
          <cell r="BG253" t="str">
            <v/>
          </cell>
          <cell r="BH253" t="str">
            <v>L14Lass, E. A., Sauza, D. J., Dunand, D. C. &amp; Seidman, D. N. Multicomponent γ’-strengthened Co-based superalloys with increased solvus temperatures and reduced mass densities. Acta Mater. 147, 284–295 (2018).</v>
          </cell>
          <cell r="BI253" t="str">
            <v>Co-10.Ni-7.Al-4.Ti-2.Nb-5.Mo</v>
          </cell>
          <cell r="BJ253" t="str">
            <v>82.0Co-10.0Ni-7.0Al-4.0Ti-2.0Nb-5.0Mo</v>
          </cell>
        </row>
        <row r="254">
          <cell r="A254" t="str">
            <v>Co-30.Ni-7.Al-4.Ti-2.Nb-5.Mo</v>
          </cell>
          <cell r="B254" t="str">
            <v>W-free</v>
          </cell>
          <cell r="C254" t="str">
            <v>-30Ni-7Al-4Ti-2Nb-5Mo</v>
          </cell>
          <cell r="D254" t="str">
            <v>L15</v>
          </cell>
          <cell r="E254" t="str">
            <v>Lass, E. A., Sauza, D. J., Dunand, D. C. &amp; Seidman, D. N. Multicomponent γ’-strengthened Co-based superalloys with increased solvus temperatures and reduced mass densities. Acta Mater. 147, 284–295 (2018).</v>
          </cell>
          <cell r="F254">
            <v>266</v>
          </cell>
          <cell r="G254">
            <v>52</v>
          </cell>
          <cell r="H254">
            <v>30</v>
          </cell>
          <cell r="I254">
            <v>7</v>
          </cell>
          <cell r="J254"/>
          <cell r="K254"/>
          <cell r="L254">
            <v>4</v>
          </cell>
          <cell r="M254"/>
          <cell r="N254">
            <v>2</v>
          </cell>
          <cell r="O254"/>
          <cell r="P254">
            <v>5</v>
          </cell>
          <cell r="Q254"/>
          <cell r="R254"/>
          <cell r="S254"/>
          <cell r="T254"/>
          <cell r="U254"/>
          <cell r="V254"/>
          <cell r="W254"/>
          <cell r="X254"/>
          <cell r="Y254"/>
          <cell r="Z254"/>
          <cell r="AA254"/>
          <cell r="AB254"/>
          <cell r="AC254"/>
          <cell r="AD254"/>
          <cell r="AE254"/>
          <cell r="AF254">
            <v>8.355080000000001</v>
          </cell>
          <cell r="AG254">
            <v>8.42</v>
          </cell>
          <cell r="AH254"/>
          <cell r="AI254" t="str">
            <v>Co</v>
          </cell>
          <cell r="AJ254" t="str">
            <v>-7.Al</v>
          </cell>
          <cell r="AK254" t="str">
            <v/>
          </cell>
          <cell r="AL254" t="str">
            <v>-30.Ni</v>
          </cell>
          <cell r="AM254" t="str">
            <v/>
          </cell>
          <cell r="AN254" t="str">
            <v/>
          </cell>
          <cell r="AO254" t="str">
            <v>-2.Nb</v>
          </cell>
          <cell r="AP254" t="str">
            <v/>
          </cell>
          <cell r="AQ254" t="str">
            <v>-4.Ti</v>
          </cell>
          <cell r="AR254" t="str">
            <v>-5.Mo</v>
          </cell>
          <cell r="AS254" t="str">
            <v/>
          </cell>
          <cell r="AT254" t="str">
            <v/>
          </cell>
          <cell r="AU254" t="str">
            <v/>
          </cell>
          <cell r="AV254" t="str">
            <v/>
          </cell>
          <cell r="AW254" t="str">
            <v/>
          </cell>
          <cell r="AX254" t="str">
            <v/>
          </cell>
          <cell r="AY254" t="str">
            <v/>
          </cell>
          <cell r="AZ254" t="str">
            <v/>
          </cell>
          <cell r="BA254" t="str">
            <v/>
          </cell>
          <cell r="BB254" t="str">
            <v/>
          </cell>
          <cell r="BC254" t="str">
            <v/>
          </cell>
          <cell r="BD254" t="str">
            <v/>
          </cell>
          <cell r="BE254" t="str">
            <v/>
          </cell>
          <cell r="BF254" t="str">
            <v/>
          </cell>
          <cell r="BG254" t="str">
            <v/>
          </cell>
          <cell r="BH254" t="str">
            <v>L15Lass, E. A., Sauza, D. J., Dunand, D. C. &amp; Seidman, D. N. Multicomponent γ’-strengthened Co-based superalloys with increased solvus temperatures and reduced mass densities. Acta Mater. 147, 284–295 (2018).</v>
          </cell>
          <cell r="BI254" t="str">
            <v>Co-30.Ni-7.Al-4.Ti-2.Nb-5.Mo</v>
          </cell>
          <cell r="BJ254" t="str">
            <v>82.0Co-30.0Ni-7.0Al-4.0Ti-2.0Nb-5.0Mo</v>
          </cell>
        </row>
        <row r="255">
          <cell r="A255" t="str">
            <v>Co-10.Ni-7.Al-4.Ti-1.Ta-1.Nb-5.Mo</v>
          </cell>
          <cell r="B255" t="str">
            <v>W-free</v>
          </cell>
          <cell r="C255" t="str">
            <v>-10Ni-7Al-4Ti-1Ta-1Nb-5Mo</v>
          </cell>
          <cell r="D255" t="str">
            <v>L16</v>
          </cell>
          <cell r="E255" t="str">
            <v>Lass, E. A., Sauza, D. J., Dunand, D. C. &amp; Seidman, D. N. Multicomponent γ’-strengthened Co-based superalloys with increased solvus temperatures and reduced mass densities. Acta Mater. 147, 284–295 (2018).</v>
          </cell>
          <cell r="F255">
            <v>267</v>
          </cell>
          <cell r="G255">
            <v>72</v>
          </cell>
          <cell r="H255">
            <v>10</v>
          </cell>
          <cell r="I255">
            <v>7</v>
          </cell>
          <cell r="J255"/>
          <cell r="K255"/>
          <cell r="L255">
            <v>4</v>
          </cell>
          <cell r="M255">
            <v>1</v>
          </cell>
          <cell r="N255">
            <v>1</v>
          </cell>
          <cell r="O255"/>
          <cell r="P255">
            <v>5</v>
          </cell>
          <cell r="Q255"/>
          <cell r="R255"/>
          <cell r="S255"/>
          <cell r="T255"/>
          <cell r="U255"/>
          <cell r="V255"/>
          <cell r="W255"/>
          <cell r="X255"/>
          <cell r="Y255"/>
          <cell r="Z255"/>
          <cell r="AA255"/>
          <cell r="AB255"/>
          <cell r="AC255"/>
          <cell r="AD255"/>
          <cell r="AE255"/>
          <cell r="AF255">
            <v>8.4342800000000011</v>
          </cell>
          <cell r="AG255">
            <v>8.6199999999999992</v>
          </cell>
          <cell r="AH255"/>
          <cell r="AI255" t="str">
            <v>Co</v>
          </cell>
          <cell r="AJ255" t="str">
            <v>-7.Al</v>
          </cell>
          <cell r="AK255" t="str">
            <v/>
          </cell>
          <cell r="AL255" t="str">
            <v>-10.Ni</v>
          </cell>
          <cell r="AM255" t="str">
            <v/>
          </cell>
          <cell r="AN255" t="str">
            <v>-1.Ta</v>
          </cell>
          <cell r="AO255" t="str">
            <v>-1.Nb</v>
          </cell>
          <cell r="AP255" t="str">
            <v/>
          </cell>
          <cell r="AQ255" t="str">
            <v>-4.Ti</v>
          </cell>
          <cell r="AR255" t="str">
            <v>-5.Mo</v>
          </cell>
          <cell r="AS255" t="str">
            <v/>
          </cell>
          <cell r="AT255" t="str">
            <v/>
          </cell>
          <cell r="AU255" t="str">
            <v/>
          </cell>
          <cell r="AV255" t="str">
            <v/>
          </cell>
          <cell r="AW255" t="str">
            <v/>
          </cell>
          <cell r="AX255" t="str">
            <v/>
          </cell>
          <cell r="AY255" t="str">
            <v/>
          </cell>
          <cell r="AZ255" t="str">
            <v/>
          </cell>
          <cell r="BA255" t="str">
            <v/>
          </cell>
          <cell r="BB255" t="str">
            <v/>
          </cell>
          <cell r="BC255" t="str">
            <v/>
          </cell>
          <cell r="BD255" t="str">
            <v/>
          </cell>
          <cell r="BE255" t="str">
            <v/>
          </cell>
          <cell r="BF255" t="str">
            <v/>
          </cell>
          <cell r="BG255" t="str">
            <v/>
          </cell>
          <cell r="BH255" t="str">
            <v>L16Lass, E. A., Sauza, D. J., Dunand, D. C. &amp; Seidman, D. N. Multicomponent γ’-strengthened Co-based superalloys with increased solvus temperatures and reduced mass densities. Acta Mater. 147, 284–295 (2018).</v>
          </cell>
          <cell r="BI255" t="str">
            <v>Co-10.Ni-7.Al-4.Ti-1.Ta-1.Nb-5.Mo</v>
          </cell>
          <cell r="BJ255" t="str">
            <v>82.0Co-10.0Ni-7.0Al-4.0Ti-1.0Ta-1.0Nb-5.0Mo</v>
          </cell>
        </row>
        <row r="256">
          <cell r="A256" t="str">
            <v>Co-30.Ni-7.Al-4.Ti-1.Ta-1.Nb-5.Mo</v>
          </cell>
          <cell r="B256" t="str">
            <v>W-free</v>
          </cell>
          <cell r="C256" t="str">
            <v>-30Ni-7Al-4Ti-1Ta-1Nb-5Mo</v>
          </cell>
          <cell r="D256" t="str">
            <v>L17</v>
          </cell>
          <cell r="E256" t="str">
            <v>Lass, E. A., Sauza, D. J., Dunand, D. C. &amp; Seidman, D. N. Multicomponent γ’-strengthened Co-based superalloys with increased solvus temperatures and reduced mass densities. Acta Mater. 147, 284–295 (2018).</v>
          </cell>
          <cell r="F256">
            <v>268</v>
          </cell>
          <cell r="G256">
            <v>52</v>
          </cell>
          <cell r="H256">
            <v>30</v>
          </cell>
          <cell r="I256">
            <v>7</v>
          </cell>
          <cell r="J256"/>
          <cell r="K256"/>
          <cell r="L256">
            <v>4</v>
          </cell>
          <cell r="M256">
            <v>1</v>
          </cell>
          <cell r="N256">
            <v>1</v>
          </cell>
          <cell r="O256"/>
          <cell r="P256">
            <v>5</v>
          </cell>
          <cell r="Q256"/>
          <cell r="R256"/>
          <cell r="S256"/>
          <cell r="T256"/>
          <cell r="U256"/>
          <cell r="V256"/>
          <cell r="W256"/>
          <cell r="X256"/>
          <cell r="Y256"/>
          <cell r="Z256"/>
          <cell r="AA256"/>
          <cell r="AB256"/>
          <cell r="AC256"/>
          <cell r="AD256"/>
          <cell r="AE256"/>
          <cell r="AF256">
            <v>8.4358800000000009</v>
          </cell>
          <cell r="AG256">
            <v>8.57</v>
          </cell>
          <cell r="AH256"/>
          <cell r="AI256" t="str">
            <v>Co</v>
          </cell>
          <cell r="AJ256" t="str">
            <v>-7.Al</v>
          </cell>
          <cell r="AK256" t="str">
            <v/>
          </cell>
          <cell r="AL256" t="str">
            <v>-30.Ni</v>
          </cell>
          <cell r="AM256" t="str">
            <v/>
          </cell>
          <cell r="AN256" t="str">
            <v>-1.Ta</v>
          </cell>
          <cell r="AO256" t="str">
            <v>-1.Nb</v>
          </cell>
          <cell r="AP256" t="str">
            <v/>
          </cell>
          <cell r="AQ256" t="str">
            <v>-4.Ti</v>
          </cell>
          <cell r="AR256" t="str">
            <v>-5.Mo</v>
          </cell>
          <cell r="AS256" t="str">
            <v/>
          </cell>
          <cell r="AT256" t="str">
            <v/>
          </cell>
          <cell r="AU256" t="str">
            <v/>
          </cell>
          <cell r="AV256" t="str">
            <v/>
          </cell>
          <cell r="AW256" t="str">
            <v/>
          </cell>
          <cell r="AX256" t="str">
            <v/>
          </cell>
          <cell r="AY256" t="str">
            <v/>
          </cell>
          <cell r="AZ256" t="str">
            <v/>
          </cell>
          <cell r="BA256" t="str">
            <v/>
          </cell>
          <cell r="BB256" t="str">
            <v/>
          </cell>
          <cell r="BC256" t="str">
            <v/>
          </cell>
          <cell r="BD256" t="str">
            <v/>
          </cell>
          <cell r="BE256" t="str">
            <v/>
          </cell>
          <cell r="BF256" t="str">
            <v/>
          </cell>
          <cell r="BG256" t="str">
            <v/>
          </cell>
          <cell r="BH256" t="str">
            <v>L17Lass, E. A., Sauza, D. J., Dunand, D. C. &amp; Seidman, D. N. Multicomponent γ’-strengthened Co-based superalloys with increased solvus temperatures and reduced mass densities. Acta Mater. 147, 284–295 (2018).</v>
          </cell>
          <cell r="BI256" t="str">
            <v>Co-30.Ni-7.Al-4.Ti-1.Ta-1.Nb-5.Mo</v>
          </cell>
          <cell r="BJ256" t="str">
            <v>82.0Co-30.0Ni-7.0Al-4.0Ti-1.0Ta-1.0Nb-5.0Mo</v>
          </cell>
        </row>
        <row r="257">
          <cell r="A257" t="str">
            <v>Co-10.Ni-7.Al-2.W-4.Ti-1.Ta-1.Nb-3.Mo</v>
          </cell>
          <cell r="B257" t="str">
            <v>Low-W</v>
          </cell>
          <cell r="C257" t="str">
            <v>-10Ni-7Al-2W-4Ti-1Ta-1Nb-3Mo</v>
          </cell>
          <cell r="D257" t="str">
            <v>L18</v>
          </cell>
          <cell r="E257" t="str">
            <v>Lass, E. A., Sauza, D. J., Dunand, D. C. &amp; Seidman, D. N. Multicomponent γ’-strengthened Co-based superalloys with increased solvus temperatures and reduced mass densities. Acta Mater. 147, 284–295 (2018).</v>
          </cell>
          <cell r="F257">
            <v>269</v>
          </cell>
          <cell r="G257">
            <v>72</v>
          </cell>
          <cell r="H257">
            <v>10</v>
          </cell>
          <cell r="I257">
            <v>7</v>
          </cell>
          <cell r="J257"/>
          <cell r="K257">
            <v>2</v>
          </cell>
          <cell r="L257">
            <v>4</v>
          </cell>
          <cell r="M257">
            <v>1</v>
          </cell>
          <cell r="N257">
            <v>1</v>
          </cell>
          <cell r="O257"/>
          <cell r="P257">
            <v>3</v>
          </cell>
          <cell r="Q257"/>
          <cell r="R257"/>
          <cell r="S257"/>
          <cell r="T257"/>
          <cell r="U257"/>
          <cell r="V257"/>
          <cell r="W257"/>
          <cell r="X257"/>
          <cell r="Y257"/>
          <cell r="Z257"/>
          <cell r="AA257"/>
          <cell r="AB257"/>
          <cell r="AC257"/>
          <cell r="AD257"/>
          <cell r="AE257"/>
          <cell r="AF257">
            <v>8.6136800000000022</v>
          </cell>
          <cell r="AG257">
            <v>8.85</v>
          </cell>
          <cell r="AH257"/>
          <cell r="AI257" t="str">
            <v>Co</v>
          </cell>
          <cell r="AJ257" t="str">
            <v>-7.Al</v>
          </cell>
          <cell r="AK257" t="str">
            <v>-2.W</v>
          </cell>
          <cell r="AL257" t="str">
            <v>-10.Ni</v>
          </cell>
          <cell r="AM257" t="str">
            <v/>
          </cell>
          <cell r="AN257" t="str">
            <v>-1.Ta</v>
          </cell>
          <cell r="AO257" t="str">
            <v>-1.Nb</v>
          </cell>
          <cell r="AP257" t="str">
            <v/>
          </cell>
          <cell r="AQ257" t="str">
            <v>-4.Ti</v>
          </cell>
          <cell r="AR257" t="str">
            <v>-3.Mo</v>
          </cell>
          <cell r="AS257" t="str">
            <v/>
          </cell>
          <cell r="AT257" t="str">
            <v/>
          </cell>
          <cell r="AU257" t="str">
            <v/>
          </cell>
          <cell r="AV257" t="str">
            <v/>
          </cell>
          <cell r="AW257" t="str">
            <v/>
          </cell>
          <cell r="AX257" t="str">
            <v/>
          </cell>
          <cell r="AY257" t="str">
            <v/>
          </cell>
          <cell r="AZ257" t="str">
            <v/>
          </cell>
          <cell r="BA257" t="str">
            <v/>
          </cell>
          <cell r="BB257" t="str">
            <v/>
          </cell>
          <cell r="BC257" t="str">
            <v/>
          </cell>
          <cell r="BD257" t="str">
            <v/>
          </cell>
          <cell r="BE257" t="str">
            <v/>
          </cell>
          <cell r="BF257" t="str">
            <v/>
          </cell>
          <cell r="BG257" t="str">
            <v/>
          </cell>
          <cell r="BH257" t="str">
            <v>L18Lass, E. A., Sauza, D. J., Dunand, D. C. &amp; Seidman, D. N. Multicomponent γ’-strengthened Co-based superalloys with increased solvus temperatures and reduced mass densities. Acta Mater. 147, 284–295 (2018).</v>
          </cell>
          <cell r="BI257" t="str">
            <v>Co-10.Ni-7.Al-2.W-4.Ti-1.Ta-1.Nb-3.Mo</v>
          </cell>
          <cell r="BJ257" t="str">
            <v>82.0Co-10.0Ni-7.0Al-2.0W-4.0Ti-1.0Ta-1.0Nb-3.0Mo</v>
          </cell>
        </row>
        <row r="258">
          <cell r="A258" t="str">
            <v>Co-30.Ni-7.Al-2.W-4.Ti-1.Ta-1.Nb-3.Mo</v>
          </cell>
          <cell r="B258" t="str">
            <v>Low-W</v>
          </cell>
          <cell r="C258" t="str">
            <v>-30Ni-7Al-2W-4Ti-1Ta-1Nb-3Mo</v>
          </cell>
          <cell r="D258" t="str">
            <v>L19</v>
          </cell>
          <cell r="E258" t="str">
            <v>Lass, E. A., Sauza, D. J., Dunand, D. C. &amp; Seidman, D. N. Multicomponent γ’-strengthened Co-based superalloys with increased solvus temperatures and reduced mass densities. Acta Mater. 147, 284–295 (2018).</v>
          </cell>
          <cell r="F258">
            <v>270</v>
          </cell>
          <cell r="G258">
            <v>52</v>
          </cell>
          <cell r="H258">
            <v>30</v>
          </cell>
          <cell r="I258">
            <v>7</v>
          </cell>
          <cell r="J258"/>
          <cell r="K258">
            <v>2</v>
          </cell>
          <cell r="L258">
            <v>4</v>
          </cell>
          <cell r="M258">
            <v>1</v>
          </cell>
          <cell r="N258">
            <v>1</v>
          </cell>
          <cell r="O258"/>
          <cell r="P258">
            <v>3</v>
          </cell>
          <cell r="Q258"/>
          <cell r="R258"/>
          <cell r="S258"/>
          <cell r="T258"/>
          <cell r="U258"/>
          <cell r="V258"/>
          <cell r="W258"/>
          <cell r="X258"/>
          <cell r="Y258"/>
          <cell r="Z258"/>
          <cell r="AA258"/>
          <cell r="AB258"/>
          <cell r="AC258"/>
          <cell r="AD258"/>
          <cell r="AE258"/>
          <cell r="AF258">
            <v>8.615280000000002</v>
          </cell>
          <cell r="AG258">
            <v>8.89</v>
          </cell>
          <cell r="AH258"/>
          <cell r="AI258" t="str">
            <v>Co</v>
          </cell>
          <cell r="AJ258" t="str">
            <v>-7.Al</v>
          </cell>
          <cell r="AK258" t="str">
            <v>-2.W</v>
          </cell>
          <cell r="AL258" t="str">
            <v>-30.Ni</v>
          </cell>
          <cell r="AM258" t="str">
            <v/>
          </cell>
          <cell r="AN258" t="str">
            <v>-1.Ta</v>
          </cell>
          <cell r="AO258" t="str">
            <v>-1.Nb</v>
          </cell>
          <cell r="AP258" t="str">
            <v/>
          </cell>
          <cell r="AQ258" t="str">
            <v>-4.Ti</v>
          </cell>
          <cell r="AR258" t="str">
            <v>-3.Mo</v>
          </cell>
          <cell r="AS258" t="str">
            <v/>
          </cell>
          <cell r="AT258" t="str">
            <v/>
          </cell>
          <cell r="AU258" t="str">
            <v/>
          </cell>
          <cell r="AV258" t="str">
            <v/>
          </cell>
          <cell r="AW258" t="str">
            <v/>
          </cell>
          <cell r="AX258" t="str">
            <v/>
          </cell>
          <cell r="AY258" t="str">
            <v/>
          </cell>
          <cell r="AZ258" t="str">
            <v/>
          </cell>
          <cell r="BA258" t="str">
            <v/>
          </cell>
          <cell r="BB258" t="str">
            <v/>
          </cell>
          <cell r="BC258" t="str">
            <v/>
          </cell>
          <cell r="BD258" t="str">
            <v/>
          </cell>
          <cell r="BE258" t="str">
            <v/>
          </cell>
          <cell r="BF258" t="str">
            <v/>
          </cell>
          <cell r="BG258" t="str">
            <v/>
          </cell>
          <cell r="BH258" t="str">
            <v>L19Lass, E. A., Sauza, D. J., Dunand, D. C. &amp; Seidman, D. N. Multicomponent γ’-strengthened Co-based superalloys with increased solvus temperatures and reduced mass densities. Acta Mater. 147, 284–295 (2018).</v>
          </cell>
          <cell r="BI258" t="str">
            <v>Co-30.Ni-7.Al-2.W-4.Ti-1.Ta-1.Nb-3.Mo</v>
          </cell>
          <cell r="BJ258" t="str">
            <v>82.0Co-30.0Ni-7.0Al-2.0W-4.0Ti-1.0Ta-1.0Nb-3.0Mo</v>
          </cell>
        </row>
        <row r="259">
          <cell r="A259" t="str">
            <v>Co-12.Ti-1.Re</v>
          </cell>
          <cell r="B259" t="str">
            <v>Co3Ti</v>
          </cell>
          <cell r="C259" t="str">
            <v>-12Ti-1Re</v>
          </cell>
          <cell r="D259" t="str">
            <v>Re1</v>
          </cell>
          <cell r="E259" t="str">
            <v>Li, L. et al. Effect of Re on microstructure and mechanical properties of γ/γʹ Co-Ti-based superalloys. Intermetallics 115, (2019).</v>
          </cell>
          <cell r="F259">
            <v>271</v>
          </cell>
          <cell r="G259">
            <v>87</v>
          </cell>
          <cell r="H259"/>
          <cell r="I259"/>
          <cell r="J259"/>
          <cell r="K259"/>
          <cell r="L259">
            <v>12</v>
          </cell>
          <cell r="M259"/>
          <cell r="N259"/>
          <cell r="O259"/>
          <cell r="P259"/>
          <cell r="Q259"/>
          <cell r="R259"/>
          <cell r="S259"/>
          <cell r="T259"/>
          <cell r="U259">
            <v>1</v>
          </cell>
          <cell r="V259"/>
          <cell r="W259"/>
          <cell r="X259"/>
          <cell r="Y259"/>
          <cell r="Z259"/>
          <cell r="AA259"/>
          <cell r="AB259"/>
          <cell r="AC259"/>
          <cell r="AD259"/>
          <cell r="AE259"/>
          <cell r="AF259">
            <v>8.49404</v>
          </cell>
          <cell r="AG259">
            <v>8.41</v>
          </cell>
          <cell r="AH259"/>
          <cell r="AI259" t="str">
            <v>Co</v>
          </cell>
          <cell r="AJ259" t="str">
            <v/>
          </cell>
          <cell r="AK259" t="str">
            <v/>
          </cell>
          <cell r="AL259" t="str">
            <v/>
          </cell>
          <cell r="AM259" t="str">
            <v/>
          </cell>
          <cell r="AN259" t="str">
            <v/>
          </cell>
          <cell r="AO259" t="str">
            <v/>
          </cell>
          <cell r="AP259" t="str">
            <v/>
          </cell>
          <cell r="AQ259" t="str">
            <v>-12.Ti</v>
          </cell>
          <cell r="AR259" t="str">
            <v/>
          </cell>
          <cell r="AS259" t="str">
            <v/>
          </cell>
          <cell r="AT259" t="str">
            <v/>
          </cell>
          <cell r="AU259" t="str">
            <v/>
          </cell>
          <cell r="AV259" t="str">
            <v/>
          </cell>
          <cell r="AW259" t="str">
            <v>-1.Re</v>
          </cell>
          <cell r="AX259" t="str">
            <v/>
          </cell>
          <cell r="AY259" t="str">
            <v/>
          </cell>
          <cell r="AZ259" t="str">
            <v/>
          </cell>
          <cell r="BA259" t="str">
            <v/>
          </cell>
          <cell r="BB259" t="str">
            <v/>
          </cell>
          <cell r="BC259" t="str">
            <v/>
          </cell>
          <cell r="BD259" t="str">
            <v/>
          </cell>
          <cell r="BE259" t="str">
            <v/>
          </cell>
          <cell r="BF259" t="str">
            <v/>
          </cell>
          <cell r="BG259" t="str">
            <v/>
          </cell>
          <cell r="BH259" t="str">
            <v>Re1Li, L. et al. Effect of Re on microstructure and mechanical properties of γ/γʹ Co-Ti-based superalloys. Intermetallics 115, (2019).</v>
          </cell>
          <cell r="BI259" t="str">
            <v>Co-12.Ti-1.Re</v>
          </cell>
          <cell r="BJ259" t="str">
            <v>87.0Co-12.0Ti-1.0Re</v>
          </cell>
        </row>
        <row r="260">
          <cell r="A260" t="str">
            <v>Co-12.Ti-3.Re</v>
          </cell>
          <cell r="B260" t="str">
            <v>Co3Ti</v>
          </cell>
          <cell r="C260" t="str">
            <v>-12Ti-3Re</v>
          </cell>
          <cell r="D260" t="str">
            <v>Re3</v>
          </cell>
          <cell r="E260" t="str">
            <v>Li, L. et al. Effect of Re on microstructure and mechanical properties of γ/γʹ Co-Ti-based superalloys. Intermetallics 115, (2019).</v>
          </cell>
          <cell r="F260">
            <v>272</v>
          </cell>
          <cell r="G260">
            <v>85</v>
          </cell>
          <cell r="H260"/>
          <cell r="I260"/>
          <cell r="J260"/>
          <cell r="K260"/>
          <cell r="L260">
            <v>12</v>
          </cell>
          <cell r="M260"/>
          <cell r="N260"/>
          <cell r="O260"/>
          <cell r="P260"/>
          <cell r="Q260"/>
          <cell r="R260"/>
          <cell r="S260"/>
          <cell r="T260"/>
          <cell r="U260">
            <v>3</v>
          </cell>
          <cell r="V260"/>
          <cell r="W260"/>
          <cell r="X260"/>
          <cell r="Y260"/>
          <cell r="Z260"/>
          <cell r="AA260"/>
          <cell r="AB260"/>
          <cell r="AC260"/>
          <cell r="AD260"/>
          <cell r="AE260"/>
          <cell r="AF260">
            <v>8.73644</v>
          </cell>
          <cell r="AG260">
            <v>8.59</v>
          </cell>
          <cell r="AH260"/>
          <cell r="AI260" t="str">
            <v>Co</v>
          </cell>
          <cell r="AJ260" t="str">
            <v/>
          </cell>
          <cell r="AK260" t="str">
            <v/>
          </cell>
          <cell r="AL260" t="str">
            <v/>
          </cell>
          <cell r="AM260" t="str">
            <v/>
          </cell>
          <cell r="AN260" t="str">
            <v/>
          </cell>
          <cell r="AO260" t="str">
            <v/>
          </cell>
          <cell r="AP260" t="str">
            <v/>
          </cell>
          <cell r="AQ260" t="str">
            <v>-12.Ti</v>
          </cell>
          <cell r="AR260" t="str">
            <v/>
          </cell>
          <cell r="AS260" t="str">
            <v/>
          </cell>
          <cell r="AT260" t="str">
            <v/>
          </cell>
          <cell r="AU260" t="str">
            <v/>
          </cell>
          <cell r="AV260" t="str">
            <v/>
          </cell>
          <cell r="AW260" t="str">
            <v>-3.Re</v>
          </cell>
          <cell r="AX260" t="str">
            <v/>
          </cell>
          <cell r="AY260" t="str">
            <v/>
          </cell>
          <cell r="AZ260" t="str">
            <v/>
          </cell>
          <cell r="BA260" t="str">
            <v/>
          </cell>
          <cell r="BB260" t="str">
            <v/>
          </cell>
          <cell r="BC260" t="str">
            <v/>
          </cell>
          <cell r="BD260" t="str">
            <v/>
          </cell>
          <cell r="BE260" t="str">
            <v/>
          </cell>
          <cell r="BF260" t="str">
            <v/>
          </cell>
          <cell r="BG260" t="str">
            <v/>
          </cell>
          <cell r="BH260" t="str">
            <v>Re3Li, L. et al. Effect of Re on microstructure and mechanical properties of γ/γʹ Co-Ti-based superalloys. Intermetallics 115, (2019).</v>
          </cell>
          <cell r="BI260" t="str">
            <v>Co-12.Ti-3.Re</v>
          </cell>
          <cell r="BJ260" t="str">
            <v>85.0Co-12.0Ti-3.0Re</v>
          </cell>
        </row>
        <row r="261">
          <cell r="A261" t="str">
            <v>Co-12.Ti-5.Re</v>
          </cell>
          <cell r="B261" t="str">
            <v>Co3Ti</v>
          </cell>
          <cell r="C261" t="str">
            <v>-12Ti-5Re</v>
          </cell>
          <cell r="D261" t="str">
            <v>Re5</v>
          </cell>
          <cell r="E261" t="str">
            <v>Li, L. et al. Effect of Re on microstructure and mechanical properties of γ/γʹ Co-Ti-based superalloys. Intermetallics 115, (2019).</v>
          </cell>
          <cell r="F261">
            <v>273</v>
          </cell>
          <cell r="G261">
            <v>83</v>
          </cell>
          <cell r="H261"/>
          <cell r="I261"/>
          <cell r="J261"/>
          <cell r="K261"/>
          <cell r="L261">
            <v>12</v>
          </cell>
          <cell r="M261"/>
          <cell r="N261"/>
          <cell r="O261"/>
          <cell r="P261"/>
          <cell r="Q261"/>
          <cell r="R261"/>
          <cell r="S261"/>
          <cell r="T261"/>
          <cell r="U261">
            <v>5</v>
          </cell>
          <cell r="V261"/>
          <cell r="W261"/>
          <cell r="X261"/>
          <cell r="Y261"/>
          <cell r="Z261"/>
          <cell r="AA261"/>
          <cell r="AB261"/>
          <cell r="AC261"/>
          <cell r="AD261"/>
          <cell r="AE261"/>
          <cell r="AF261">
            <v>8.9788399999999999</v>
          </cell>
          <cell r="AG261">
            <v>8.92</v>
          </cell>
          <cell r="AH261"/>
          <cell r="AI261" t="str">
            <v>Co</v>
          </cell>
          <cell r="AJ261" t="str">
            <v/>
          </cell>
          <cell r="AK261" t="str">
            <v/>
          </cell>
          <cell r="AL261" t="str">
            <v/>
          </cell>
          <cell r="AM261" t="str">
            <v/>
          </cell>
          <cell r="AN261" t="str">
            <v/>
          </cell>
          <cell r="AO261" t="str">
            <v/>
          </cell>
          <cell r="AP261" t="str">
            <v/>
          </cell>
          <cell r="AQ261" t="str">
            <v>-12.Ti</v>
          </cell>
          <cell r="AR261" t="str">
            <v/>
          </cell>
          <cell r="AS261" t="str">
            <v/>
          </cell>
          <cell r="AT261" t="str">
            <v/>
          </cell>
          <cell r="AU261" t="str">
            <v/>
          </cell>
          <cell r="AV261" t="str">
            <v/>
          </cell>
          <cell r="AW261" t="str">
            <v>-5.Re</v>
          </cell>
          <cell r="AX261" t="str">
            <v/>
          </cell>
          <cell r="AY261" t="str">
            <v/>
          </cell>
          <cell r="AZ261" t="str">
            <v/>
          </cell>
          <cell r="BA261" t="str">
            <v/>
          </cell>
          <cell r="BB261" t="str">
            <v/>
          </cell>
          <cell r="BC261" t="str">
            <v/>
          </cell>
          <cell r="BD261" t="str">
            <v/>
          </cell>
          <cell r="BE261" t="str">
            <v/>
          </cell>
          <cell r="BF261" t="str">
            <v/>
          </cell>
          <cell r="BG261" t="str">
            <v/>
          </cell>
          <cell r="BH261" t="str">
            <v>Re5Li, L. et al. Effect of Re on microstructure and mechanical properties of γ/γʹ Co-Ti-based superalloys. Intermetallics 115, (2019).</v>
          </cell>
          <cell r="BI261" t="str">
            <v>Co-12.Ti-5.Re</v>
          </cell>
          <cell r="BJ261" t="str">
            <v>83.0Co-12.0Ti-5.0Re</v>
          </cell>
        </row>
        <row r="262">
          <cell r="A262" t="str">
            <v>Co-19.8Ni-9.4Al-5.4W-4.3Ti-0.9Ta</v>
          </cell>
          <cell r="B262" t="str">
            <v>CoAlWX+</v>
          </cell>
          <cell r="C262" t="str">
            <v>-20Ni-9Al-5W-4Ti-1Ta</v>
          </cell>
          <cell r="D262" t="str">
            <v>20Ni-A</v>
          </cell>
          <cell r="E262" t="str">
            <v>Li, W., Li, L., Antonov, S. &amp; Feng, Q. Effective design of a Co-Ni-Al-W-Ta-Ti alloy with high γ′ solvus temperature and microstructural stability using combined CALPHAD and experimental approaches. Mater. Des. 180, (2019).</v>
          </cell>
          <cell r="F262">
            <v>274</v>
          </cell>
          <cell r="G262">
            <v>60.34</v>
          </cell>
          <cell r="H262">
            <v>19.8</v>
          </cell>
          <cell r="I262">
            <v>9.35</v>
          </cell>
          <cell r="J262"/>
          <cell r="K262">
            <v>5.39</v>
          </cell>
          <cell r="L262">
            <v>4.26</v>
          </cell>
          <cell r="M262">
            <v>0.86</v>
          </cell>
          <cell r="N262"/>
          <cell r="O262"/>
          <cell r="P262"/>
          <cell r="Q262"/>
          <cell r="R262"/>
          <cell r="S262"/>
          <cell r="T262"/>
          <cell r="U262"/>
          <cell r="V262"/>
          <cell r="W262"/>
          <cell r="X262"/>
          <cell r="Y262"/>
          <cell r="Z262"/>
          <cell r="AA262"/>
          <cell r="AB262"/>
          <cell r="AC262"/>
          <cell r="AD262"/>
          <cell r="AE262"/>
          <cell r="AF262">
            <v>8.7592572000000022</v>
          </cell>
          <cell r="AG262">
            <v>9.2100000000000009</v>
          </cell>
          <cell r="AH262"/>
          <cell r="AI262" t="str">
            <v>Co</v>
          </cell>
          <cell r="AJ262" t="str">
            <v>-9.4Al</v>
          </cell>
          <cell r="AK262" t="str">
            <v>-5.4W</v>
          </cell>
          <cell r="AL262" t="str">
            <v>-19.8Ni</v>
          </cell>
          <cell r="AM262" t="str">
            <v/>
          </cell>
          <cell r="AN262" t="str">
            <v>-0.9Ta</v>
          </cell>
          <cell r="AO262" t="str">
            <v/>
          </cell>
          <cell r="AP262" t="str">
            <v/>
          </cell>
          <cell r="AQ262" t="str">
            <v>-4.3Ti</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cell r="BD262" t="str">
            <v/>
          </cell>
          <cell r="BE262" t="str">
            <v/>
          </cell>
          <cell r="BF262" t="str">
            <v/>
          </cell>
          <cell r="BG262" t="str">
            <v/>
          </cell>
          <cell r="BH262" t="str">
            <v>20Ni-ALi, W., Li, L., Antonov, S. &amp; Feng, Q. Effective design of a Co-Ni-Al-W-Ta-Ti alloy with high γ′ solvus temperature and microstructural stability using combined CALPHAD and experimental approaches. Mater. Des. 180, (2019).</v>
          </cell>
          <cell r="BI262" t="str">
            <v>Co-19.8Ni-9.4Al-5.4W-4.3Ti-0.9Ta</v>
          </cell>
          <cell r="BJ262" t="str">
            <v>80.1Co-19.8Ni-9.4Al-5.4W-4.3Ti-0.9Ta</v>
          </cell>
        </row>
        <row r="263">
          <cell r="A263" t="str">
            <v>Co-20.2Ni-11.2Al-3.7W-4.2Ti-0.8Ta</v>
          </cell>
          <cell r="B263" t="str">
            <v>CoAlWX+</v>
          </cell>
          <cell r="C263" t="str">
            <v>-20Ni-11Al-4W-4Ti-1Ta</v>
          </cell>
          <cell r="D263" t="str">
            <v>20Ni-B</v>
          </cell>
          <cell r="E263" t="str">
            <v>Li, W., Li, L., Antonov, S. &amp; Feng, Q. Effective design of a Co-Ni-Al-W-Ta-Ti alloy with high γ′ solvus temperature and microstructural stability using combined CALPHAD and experimental approaches. Mater. Des. 180, (2019).</v>
          </cell>
          <cell r="F263">
            <v>275</v>
          </cell>
          <cell r="G263">
            <v>59.87</v>
          </cell>
          <cell r="H263">
            <v>20.16</v>
          </cell>
          <cell r="I263">
            <v>11.18</v>
          </cell>
          <cell r="J263"/>
          <cell r="K263">
            <v>3.73</v>
          </cell>
          <cell r="L263">
            <v>4.22</v>
          </cell>
          <cell r="M263">
            <v>0.84</v>
          </cell>
          <cell r="N263"/>
          <cell r="O263"/>
          <cell r="P263"/>
          <cell r="Q263"/>
          <cell r="R263"/>
          <cell r="S263"/>
          <cell r="T263"/>
          <cell r="U263"/>
          <cell r="V263"/>
          <cell r="W263"/>
          <cell r="X263"/>
          <cell r="Y263"/>
          <cell r="Z263"/>
          <cell r="AA263"/>
          <cell r="AB263"/>
          <cell r="AC263"/>
          <cell r="AD263"/>
          <cell r="AE263"/>
          <cell r="AF263">
            <v>8.4742232000000008</v>
          </cell>
          <cell r="AG263">
            <v>8.7899999999999991</v>
          </cell>
          <cell r="AH263"/>
          <cell r="AI263" t="str">
            <v>Co</v>
          </cell>
          <cell r="AJ263" t="str">
            <v>-11.2Al</v>
          </cell>
          <cell r="AK263" t="str">
            <v>-3.7W</v>
          </cell>
          <cell r="AL263" t="str">
            <v>-20.2Ni</v>
          </cell>
          <cell r="AM263" t="str">
            <v/>
          </cell>
          <cell r="AN263" t="str">
            <v>-0.8Ta</v>
          </cell>
          <cell r="AO263" t="str">
            <v/>
          </cell>
          <cell r="AP263" t="str">
            <v/>
          </cell>
          <cell r="AQ263" t="str">
            <v>-4.2Ti</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cell r="BD263" t="str">
            <v/>
          </cell>
          <cell r="BE263" t="str">
            <v/>
          </cell>
          <cell r="BF263" t="str">
            <v/>
          </cell>
          <cell r="BG263" t="str">
            <v/>
          </cell>
          <cell r="BH263" t="str">
            <v>20Ni-BLi, W., Li, L., Antonov, S. &amp; Feng, Q. Effective design of a Co-Ni-Al-W-Ta-Ti alloy with high γ′ solvus temperature and microstructural stability using combined CALPHAD and experimental approaches. Mater. Des. 180, (2019).</v>
          </cell>
          <cell r="BI263" t="str">
            <v>Co-20.2Ni-11.2Al-3.7W-4.2Ti-0.8Ta</v>
          </cell>
          <cell r="BJ263" t="str">
            <v>80.0Co-20.2Ni-11.2Al-3.7W-4.2Ti-0.8Ta</v>
          </cell>
        </row>
        <row r="264">
          <cell r="A264" t="str">
            <v>Co-29.5Ni-11.2Al-3.6W-4.2Ti-0.9Ta</v>
          </cell>
          <cell r="B264" t="str">
            <v>CoAlWX+</v>
          </cell>
          <cell r="C264" t="str">
            <v>-29Ni-11Al-4W-4Ti-1Ta</v>
          </cell>
          <cell r="D264" t="str">
            <v>30Ni-B</v>
          </cell>
          <cell r="E264" t="str">
            <v>Li, W., Li, L., Antonov, S. &amp; Feng, Q. Effective design of a Co-Ni-Al-W-Ta-Ti alloy with high γ′ solvus temperature and microstructural stability using combined CALPHAD and experimental approaches. Mater. Des. 180, (2019).</v>
          </cell>
          <cell r="F264">
            <v>276</v>
          </cell>
          <cell r="G264">
            <v>50.75</v>
          </cell>
          <cell r="H264">
            <v>29.46</v>
          </cell>
          <cell r="I264">
            <v>11.15</v>
          </cell>
          <cell r="J264"/>
          <cell r="K264">
            <v>3.61</v>
          </cell>
          <cell r="L264">
            <v>4.18</v>
          </cell>
          <cell r="M264">
            <v>0.85</v>
          </cell>
          <cell r="N264"/>
          <cell r="O264"/>
          <cell r="P264"/>
          <cell r="Q264"/>
          <cell r="R264"/>
          <cell r="S264"/>
          <cell r="T264"/>
          <cell r="U264"/>
          <cell r="V264"/>
          <cell r="W264"/>
          <cell r="X264"/>
          <cell r="Y264"/>
          <cell r="Z264"/>
          <cell r="AA264"/>
          <cell r="AB264"/>
          <cell r="AC264"/>
          <cell r="AD264"/>
          <cell r="AE264"/>
          <cell r="AF264">
            <v>8.4669393999999993</v>
          </cell>
          <cell r="AG264">
            <v>8.76</v>
          </cell>
          <cell r="AH264"/>
          <cell r="AI264" t="str">
            <v>Co</v>
          </cell>
          <cell r="AJ264" t="str">
            <v>-11.2Al</v>
          </cell>
          <cell r="AK264" t="str">
            <v>-3.6W</v>
          </cell>
          <cell r="AL264" t="str">
            <v>-29.5Ni</v>
          </cell>
          <cell r="AM264" t="str">
            <v/>
          </cell>
          <cell r="AN264" t="str">
            <v>-0.9Ta</v>
          </cell>
          <cell r="AO264" t="str">
            <v/>
          </cell>
          <cell r="AP264" t="str">
            <v/>
          </cell>
          <cell r="AQ264" t="str">
            <v>-4.2Ti</v>
          </cell>
          <cell r="AR264" t="str">
            <v/>
          </cell>
          <cell r="AS264" t="str">
            <v/>
          </cell>
          <cell r="AT264" t="str">
            <v/>
          </cell>
          <cell r="AU264" t="str">
            <v/>
          </cell>
          <cell r="AV264" t="str">
            <v/>
          </cell>
          <cell r="AW264" t="str">
            <v/>
          </cell>
          <cell r="AX264" t="str">
            <v/>
          </cell>
          <cell r="AY264" t="str">
            <v/>
          </cell>
          <cell r="AZ264" t="str">
            <v/>
          </cell>
          <cell r="BA264" t="str">
            <v/>
          </cell>
          <cell r="BB264" t="str">
            <v/>
          </cell>
          <cell r="BC264" t="str">
            <v/>
          </cell>
          <cell r="BD264" t="str">
            <v/>
          </cell>
          <cell r="BE264" t="str">
            <v/>
          </cell>
          <cell r="BF264" t="str">
            <v/>
          </cell>
          <cell r="BG264" t="str">
            <v/>
          </cell>
          <cell r="BH264" t="str">
            <v>30Ni-BLi, W., Li, L., Antonov, S. &amp; Feng, Q. Effective design of a Co-Ni-Al-W-Ta-Ti alloy with high γ′ solvus temperature and microstructural stability using combined CALPHAD and experimental approaches. Mater. Des. 180, (2019).</v>
          </cell>
          <cell r="BI264" t="str">
            <v>Co-29.5Ni-11.2Al-3.6W-4.2Ti-0.9Ta</v>
          </cell>
          <cell r="BJ264" t="str">
            <v>80.2Co-29.5Ni-11.2Al-3.6W-4.2Ti-0.9Ta</v>
          </cell>
        </row>
        <row r="265">
          <cell r="A265" t="str">
            <v>Co-29.4Ni-9.1Al-5.3W-4.1Ti-0.9Ta</v>
          </cell>
          <cell r="B265" t="str">
            <v>CoAlWX+</v>
          </cell>
          <cell r="C265" t="str">
            <v>-29Ni-9Al-5W-4Ti-1Ta</v>
          </cell>
          <cell r="D265" t="str">
            <v>30Ni-A</v>
          </cell>
          <cell r="E265" t="str">
            <v>Li, W., Li, L., Antonov, S. &amp; Feng, Q. Effective design of a Co-Ni-Al-W-Ta-Ti alloy with high γ′ solvus temperature and microstructural stability using combined CALPHAD and experimental approaches. Mater. Des. 180, (2019).</v>
          </cell>
          <cell r="F265">
            <v>277</v>
          </cell>
          <cell r="G265">
            <v>51.17</v>
          </cell>
          <cell r="H265">
            <v>29.38</v>
          </cell>
          <cell r="I265">
            <v>9.1300000000000008</v>
          </cell>
          <cell r="J265"/>
          <cell r="K265">
            <v>5.32</v>
          </cell>
          <cell r="L265">
            <v>4.13</v>
          </cell>
          <cell r="M265">
            <v>0.87</v>
          </cell>
          <cell r="N265"/>
          <cell r="O265"/>
          <cell r="P265"/>
          <cell r="Q265"/>
          <cell r="R265"/>
          <cell r="S265"/>
          <cell r="T265"/>
          <cell r="U265"/>
          <cell r="V265"/>
          <cell r="W265"/>
          <cell r="X265"/>
          <cell r="Y265"/>
          <cell r="Z265"/>
          <cell r="AA265"/>
          <cell r="AB265"/>
          <cell r="AC265"/>
          <cell r="AD265"/>
          <cell r="AE265"/>
          <cell r="AF265">
            <v>8.772904500000001</v>
          </cell>
          <cell r="AG265">
            <v>9.19</v>
          </cell>
          <cell r="AH265"/>
          <cell r="AI265" t="str">
            <v>Co</v>
          </cell>
          <cell r="AJ265" t="str">
            <v>-9.1Al</v>
          </cell>
          <cell r="AK265" t="str">
            <v>-5.3W</v>
          </cell>
          <cell r="AL265" t="str">
            <v>-29.4Ni</v>
          </cell>
          <cell r="AM265" t="str">
            <v/>
          </cell>
          <cell r="AN265" t="str">
            <v>-0.9Ta</v>
          </cell>
          <cell r="AO265" t="str">
            <v/>
          </cell>
          <cell r="AP265" t="str">
            <v/>
          </cell>
          <cell r="AQ265" t="str">
            <v>-4.1Ti</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cell r="BD265" t="str">
            <v/>
          </cell>
          <cell r="BE265" t="str">
            <v/>
          </cell>
          <cell r="BF265" t="str">
            <v/>
          </cell>
          <cell r="BG265" t="str">
            <v/>
          </cell>
          <cell r="BH265" t="str">
            <v>30Ni-ALi, W., Li, L., Antonov, S. &amp; Feng, Q. Effective design of a Co-Ni-Al-W-Ta-Ti alloy with high γ′ solvus temperature and microstructural stability using combined CALPHAD and experimental approaches. Mater. Des. 180, (2019).</v>
          </cell>
          <cell r="BI265" t="str">
            <v>Co-29.4Ni-9.1Al-5.3W-4.1Ti-0.9Ta</v>
          </cell>
          <cell r="BJ265" t="str">
            <v>80.6Co-29.4Ni-9.1Al-5.3W-4.1Ti-0.9Ta</v>
          </cell>
        </row>
        <row r="266">
          <cell r="A266" t="str">
            <v>Co-7.Al-8.W-4.Ti-1.Ta</v>
          </cell>
          <cell r="B266" t="str">
            <v>CoAlWX+</v>
          </cell>
          <cell r="C266" t="str">
            <v>-7Al-8W-4Ti-1Ta</v>
          </cell>
          <cell r="D266" t="str">
            <v>base</v>
          </cell>
          <cell r="E266" t="str">
            <v>Li, W., Li, L., Antonov, S. &amp; Feng, Q. Effective design of a Co-Ni-Al-W-Ta-Ti alloy with high γ′ solvus temperature and microstructural stability using combined CALPHAD and experimental approaches. Mater. Des. 180, (2019).</v>
          </cell>
          <cell r="F266">
            <v>278</v>
          </cell>
          <cell r="G266">
            <v>80</v>
          </cell>
          <cell r="H266"/>
          <cell r="I266">
            <v>7</v>
          </cell>
          <cell r="J266"/>
          <cell r="K266">
            <v>8</v>
          </cell>
          <cell r="L266">
            <v>4</v>
          </cell>
          <cell r="M266">
            <v>1</v>
          </cell>
          <cell r="N266"/>
          <cell r="O266"/>
          <cell r="P266"/>
          <cell r="Q266"/>
          <cell r="R266"/>
          <cell r="S266"/>
          <cell r="T266"/>
          <cell r="U266"/>
          <cell r="V266"/>
          <cell r="W266"/>
          <cell r="X266"/>
          <cell r="Y266"/>
          <cell r="Z266"/>
          <cell r="AA266"/>
          <cell r="AB266"/>
          <cell r="AC266"/>
          <cell r="AD266"/>
          <cell r="AE266"/>
          <cell r="AF266">
            <v>9.1957799999999992</v>
          </cell>
          <cell r="AG266">
            <v>9.83</v>
          </cell>
          <cell r="AH266"/>
          <cell r="AI266" t="str">
            <v>Co</v>
          </cell>
          <cell r="AJ266" t="str">
            <v>-7.Al</v>
          </cell>
          <cell r="AK266" t="str">
            <v>-8.W</v>
          </cell>
          <cell r="AL266" t="str">
            <v/>
          </cell>
          <cell r="AM266" t="str">
            <v/>
          </cell>
          <cell r="AN266" t="str">
            <v>-1.Ta</v>
          </cell>
          <cell r="AO266" t="str">
            <v/>
          </cell>
          <cell r="AP266" t="str">
            <v/>
          </cell>
          <cell r="AQ266" t="str">
            <v>-4.Ti</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cell r="BD266" t="str">
            <v/>
          </cell>
          <cell r="BE266" t="str">
            <v/>
          </cell>
          <cell r="BF266" t="str">
            <v/>
          </cell>
          <cell r="BG266" t="str">
            <v/>
          </cell>
          <cell r="BH266" t="str">
            <v>baseLi, W., Li, L., Antonov, S. &amp; Feng, Q. Effective design of a Co-Ni-Al-W-Ta-Ti alloy with high γ′ solvus temperature and microstructural stability using combined CALPHAD and experimental approaches. Mater. Des. 180, (2019).</v>
          </cell>
          <cell r="BI266" t="str">
            <v>Co-7.Al-8.W-4.Ti-1.Ta</v>
          </cell>
          <cell r="BJ266" t="str">
            <v>80.0Co-7.0Al-8.0W-4.0Ti-1.0Ta</v>
          </cell>
        </row>
        <row r="267">
          <cell r="A267" t="str">
            <v>Co-30.Ni-9.Al-5.Cr-6.W-4.Ti-1.Ta</v>
          </cell>
          <cell r="B267" t="str">
            <v>CoAlWX+</v>
          </cell>
          <cell r="C267" t="str">
            <v>-30Ni-9Al-5Cr-6W-4Ti-1Ta</v>
          </cell>
          <cell r="D267" t="str">
            <v>5Cr-A</v>
          </cell>
          <cell r="E267" t="str">
            <v>Li, W., Li, L., Antonov, S., Lu, F. &amp; Feng, Q. Effects of Cr and Al/W ratio on the microstructural stability, oxidation property and γ′ phase nano-hardness of multi-component Co–Ni-base superalloys. J. Alloys Compd. 826, (2020).</v>
          </cell>
          <cell r="F267">
            <v>279</v>
          </cell>
          <cell r="G267">
            <v>45</v>
          </cell>
          <cell r="H267">
            <v>30</v>
          </cell>
          <cell r="I267">
            <v>9</v>
          </cell>
          <cell r="J267">
            <v>5</v>
          </cell>
          <cell r="K267">
            <v>6</v>
          </cell>
          <cell r="L267">
            <v>4</v>
          </cell>
          <cell r="M267">
            <v>1</v>
          </cell>
          <cell r="N267"/>
          <cell r="O267"/>
          <cell r="P267"/>
          <cell r="Q267"/>
          <cell r="R267"/>
          <cell r="S267"/>
          <cell r="T267"/>
          <cell r="U267"/>
          <cell r="V267"/>
          <cell r="W267"/>
          <cell r="X267"/>
          <cell r="Y267"/>
          <cell r="Z267"/>
          <cell r="AA267"/>
          <cell r="AB267"/>
          <cell r="AC267"/>
          <cell r="AD267"/>
          <cell r="AE267"/>
          <cell r="AF267">
            <v>8.7816799999999997</v>
          </cell>
          <cell r="AG267">
            <v>9.2799999999999994</v>
          </cell>
          <cell r="AH267"/>
          <cell r="AI267" t="str">
            <v>Co</v>
          </cell>
          <cell r="AJ267" t="str">
            <v>-9.Al</v>
          </cell>
          <cell r="AK267" t="str">
            <v>-6.W</v>
          </cell>
          <cell r="AL267" t="str">
            <v>-30.Ni</v>
          </cell>
          <cell r="AM267" t="str">
            <v>-5.Cr</v>
          </cell>
          <cell r="AN267" t="str">
            <v>-1.Ta</v>
          </cell>
          <cell r="AO267" t="str">
            <v/>
          </cell>
          <cell r="AP267" t="str">
            <v/>
          </cell>
          <cell r="AQ267" t="str">
            <v>-4.Ti</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cell r="BD267" t="str">
            <v/>
          </cell>
          <cell r="BE267" t="str">
            <v/>
          </cell>
          <cell r="BF267" t="str">
            <v/>
          </cell>
          <cell r="BG267" t="str">
            <v/>
          </cell>
          <cell r="BH267" t="str">
            <v>5Cr-ALi, W., Li, L., Antonov, S., Lu, F. &amp; Feng, Q. Effects of Cr and Al/W ratio on the microstructural stability, oxidation property and γ′ phase nano-hardness of multi-component Co–Ni-base superalloys. J. Alloys Compd. 826, (2020).</v>
          </cell>
          <cell r="BI267" t="str">
            <v>Co-30.Ni-9.Al-5.Cr-6.W-4.Ti-1.Ta</v>
          </cell>
          <cell r="BJ267" t="str">
            <v>75.0Co-30.0Ni-9.0Al-5.0Cr-6.0W-4.0Ti-1.0Ta</v>
          </cell>
        </row>
        <row r="268">
          <cell r="A268" t="str">
            <v>Co-30.Ni-9.Al-9.Cr-6.W-4.Ti-1.Ta</v>
          </cell>
          <cell r="B268" t="str">
            <v>CoAlWX+</v>
          </cell>
          <cell r="C268" t="str">
            <v>-30Ni-9Al-9Cr-6W-4Ti-1Ta</v>
          </cell>
          <cell r="D268" t="str">
            <v>9Cr-A</v>
          </cell>
          <cell r="E268" t="str">
            <v>Li, W., Li, L., Antonov, S., Lu, F. &amp; Feng, Q. Effects of Cr and Al/W ratio on the microstructural stability, oxidation property and γ′ phase nano-hardness of multi-component Co–Ni-base superalloys. J. Alloys Compd. 826, (2020).</v>
          </cell>
          <cell r="F268">
            <v>280</v>
          </cell>
          <cell r="G268">
            <v>41</v>
          </cell>
          <cell r="H268">
            <v>30</v>
          </cell>
          <cell r="I268">
            <v>9</v>
          </cell>
          <cell r="J268">
            <v>9</v>
          </cell>
          <cell r="K268">
            <v>6</v>
          </cell>
          <cell r="L268">
            <v>4</v>
          </cell>
          <cell r="M268">
            <v>1</v>
          </cell>
          <cell r="N268"/>
          <cell r="O268"/>
          <cell r="P268"/>
          <cell r="Q268"/>
          <cell r="R268"/>
          <cell r="S268"/>
          <cell r="T268"/>
          <cell r="U268"/>
          <cell r="V268"/>
          <cell r="W268"/>
          <cell r="X268"/>
          <cell r="Y268"/>
          <cell r="Z268"/>
          <cell r="AA268"/>
          <cell r="AB268"/>
          <cell r="AC268"/>
          <cell r="AD268"/>
          <cell r="AE268"/>
          <cell r="AF268">
            <v>8.713280000000001</v>
          </cell>
          <cell r="AG268">
            <v>9.17</v>
          </cell>
          <cell r="AH268"/>
          <cell r="AI268" t="str">
            <v>Co</v>
          </cell>
          <cell r="AJ268" t="str">
            <v>-9.Al</v>
          </cell>
          <cell r="AK268" t="str">
            <v>-6.W</v>
          </cell>
          <cell r="AL268" t="str">
            <v>-30.Ni</v>
          </cell>
          <cell r="AM268" t="str">
            <v>-9.Cr</v>
          </cell>
          <cell r="AN268" t="str">
            <v>-1.Ta</v>
          </cell>
          <cell r="AO268" t="str">
            <v/>
          </cell>
          <cell r="AP268" t="str">
            <v/>
          </cell>
          <cell r="AQ268" t="str">
            <v>-4.Ti</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cell r="BD268" t="str">
            <v/>
          </cell>
          <cell r="BE268" t="str">
            <v/>
          </cell>
          <cell r="BF268" t="str">
            <v/>
          </cell>
          <cell r="BG268" t="str">
            <v/>
          </cell>
          <cell r="BH268" t="str">
            <v>9Cr-ALi, W., Li, L., Antonov, S., Lu, F. &amp; Feng, Q. Effects of Cr and Al/W ratio on the microstructural stability, oxidation property and γ′ phase nano-hardness of multi-component Co–Ni-base superalloys. J. Alloys Compd. 826, (2020).</v>
          </cell>
          <cell r="BI268" t="str">
            <v>Co-30.Ni-9.Al-9.Cr-6.W-4.Ti-1.Ta</v>
          </cell>
          <cell r="BJ268" t="str">
            <v>71.0Co-30.0Ni-9.0Al-9.0Cr-6.0W-4.0Ti-1.0Ta</v>
          </cell>
        </row>
        <row r="269">
          <cell r="A269" t="str">
            <v>Co-30.Ni-11.Al-5.Cr-4.W-4.Ti-1.Ta</v>
          </cell>
          <cell r="B269" t="str">
            <v>CoAlWX+</v>
          </cell>
          <cell r="C269" t="str">
            <v>-30Ni-11Al-5Cr-4W-4Ti-1Ta</v>
          </cell>
          <cell r="D269" t="str">
            <v>5Cr-B</v>
          </cell>
          <cell r="E269" t="str">
            <v>Li, W., Li, L., Antonov, S., Lu, F. &amp; Feng, Q. Effects of Cr and Al/W ratio on the microstructural stability, oxidation property and γ′ phase nano-hardness of multi-component Co–Ni-base superalloys. J. Alloys Compd. 826, (2020).</v>
          </cell>
          <cell r="F269">
            <v>281</v>
          </cell>
          <cell r="G269">
            <v>45</v>
          </cell>
          <cell r="H269">
            <v>30</v>
          </cell>
          <cell r="I269">
            <v>11</v>
          </cell>
          <cell r="J269">
            <v>5</v>
          </cell>
          <cell r="K269">
            <v>4</v>
          </cell>
          <cell r="L269">
            <v>4</v>
          </cell>
          <cell r="M269">
            <v>1</v>
          </cell>
          <cell r="N269"/>
          <cell r="O269"/>
          <cell r="P269"/>
          <cell r="Q269"/>
          <cell r="R269"/>
          <cell r="S269"/>
          <cell r="T269"/>
          <cell r="U269"/>
          <cell r="V269"/>
          <cell r="W269"/>
          <cell r="X269"/>
          <cell r="Y269"/>
          <cell r="Z269"/>
          <cell r="AA269"/>
          <cell r="AB269"/>
          <cell r="AC269"/>
          <cell r="AD269"/>
          <cell r="AE269"/>
          <cell r="AF269">
            <v>8.4506800000000002</v>
          </cell>
          <cell r="AG269">
            <v>8.77</v>
          </cell>
          <cell r="AH269"/>
          <cell r="AI269" t="str">
            <v>Co</v>
          </cell>
          <cell r="AJ269" t="str">
            <v>-11.Al</v>
          </cell>
          <cell r="AK269" t="str">
            <v>-4.W</v>
          </cell>
          <cell r="AL269" t="str">
            <v>-30.Ni</v>
          </cell>
          <cell r="AM269" t="str">
            <v>-5.Cr</v>
          </cell>
          <cell r="AN269" t="str">
            <v>-1.Ta</v>
          </cell>
          <cell r="AO269" t="str">
            <v/>
          </cell>
          <cell r="AP269" t="str">
            <v/>
          </cell>
          <cell r="AQ269" t="str">
            <v>-4.Ti</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cell r="BD269" t="str">
            <v/>
          </cell>
          <cell r="BE269" t="str">
            <v/>
          </cell>
          <cell r="BF269" t="str">
            <v/>
          </cell>
          <cell r="BG269" t="str">
            <v/>
          </cell>
          <cell r="BH269" t="str">
            <v>5Cr-BLi, W., Li, L., Antonov, S., Lu, F. &amp; Feng, Q. Effects of Cr and Al/W ratio on the microstructural stability, oxidation property and γ′ phase nano-hardness of multi-component Co–Ni-base superalloys. J. Alloys Compd. 826, (2020).</v>
          </cell>
          <cell r="BI269" t="str">
            <v>Co-30.Ni-11.Al-5.Cr-4.W-4.Ti-1.Ta</v>
          </cell>
          <cell r="BJ269" t="str">
            <v>75.0Co-30.0Ni-11.0Al-5.0Cr-4.0W-4.0Ti-1.0Ta</v>
          </cell>
        </row>
        <row r="270">
          <cell r="A270" t="str">
            <v>Co-9.Al-8.W</v>
          </cell>
          <cell r="B270" t="str">
            <v>CoAlW-X</v>
          </cell>
          <cell r="C270" t="str">
            <v>-9Al-8W</v>
          </cell>
          <cell r="D270" t="str">
            <v>8W</v>
          </cell>
          <cell r="E270" t="str">
            <v>Li, Y. et al. Microstructure evolution in L12 hardened Co-base superalloys during creep. J. Mater. Res. 32, 4522–4530 (2017).</v>
          </cell>
          <cell r="F270">
            <v>282</v>
          </cell>
          <cell r="G270">
            <v>83</v>
          </cell>
          <cell r="H270"/>
          <cell r="I270">
            <v>9</v>
          </cell>
          <cell r="J270"/>
          <cell r="K270">
            <v>8</v>
          </cell>
          <cell r="L270"/>
          <cell r="M270"/>
          <cell r="N270"/>
          <cell r="O270"/>
          <cell r="P270"/>
          <cell r="Q270"/>
          <cell r="R270"/>
          <cell r="S270"/>
          <cell r="T270"/>
          <cell r="U270"/>
          <cell r="V270"/>
          <cell r="W270"/>
          <cell r="X270"/>
          <cell r="Y270"/>
          <cell r="Z270"/>
          <cell r="AA270"/>
          <cell r="AB270"/>
          <cell r="AC270"/>
          <cell r="AD270"/>
          <cell r="AE270"/>
          <cell r="AF270">
            <v>9.17</v>
          </cell>
          <cell r="AG270"/>
          <cell r="AH270"/>
          <cell r="AI270" t="str">
            <v>Co</v>
          </cell>
          <cell r="AJ270" t="str">
            <v>-9.Al</v>
          </cell>
          <cell r="AK270" t="str">
            <v>-8.W</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cell r="BD270" t="str">
            <v/>
          </cell>
          <cell r="BE270" t="str">
            <v/>
          </cell>
          <cell r="BF270" t="str">
            <v/>
          </cell>
          <cell r="BG270" t="str">
            <v/>
          </cell>
          <cell r="BH270" t="str">
            <v>8WLi, Y. et al. Microstructure evolution in L12 hardened Co-base superalloys during creep. J. Mater. Res. 32, 4522–4530 (2017).</v>
          </cell>
          <cell r="BI270" t="str">
            <v>Co-9.Al-8.W</v>
          </cell>
          <cell r="BJ270" t="str">
            <v>83.0Co-9.0Al-8.0W</v>
          </cell>
        </row>
        <row r="271">
          <cell r="A271" t="str">
            <v>Co-9.Al-9.W</v>
          </cell>
          <cell r="B271" t="str">
            <v>CoAlW-X</v>
          </cell>
          <cell r="C271" t="str">
            <v>-9Al-9W</v>
          </cell>
          <cell r="D271" t="str">
            <v>9W</v>
          </cell>
          <cell r="E271" t="str">
            <v>Li, Y. et al. Microstructure evolution in L12 hardened Co-base superalloys during creep. J. Mater. Res. 32, 4522–4530 (2017).</v>
          </cell>
          <cell r="F271">
            <v>283</v>
          </cell>
          <cell r="G271">
            <v>82</v>
          </cell>
          <cell r="H271"/>
          <cell r="I271">
            <v>9</v>
          </cell>
          <cell r="J271"/>
          <cell r="K271">
            <v>9</v>
          </cell>
          <cell r="L271"/>
          <cell r="M271"/>
          <cell r="N271"/>
          <cell r="O271"/>
          <cell r="P271"/>
          <cell r="Q271"/>
          <cell r="R271"/>
          <cell r="S271"/>
          <cell r="T271"/>
          <cell r="U271"/>
          <cell r="V271"/>
          <cell r="W271"/>
          <cell r="X271"/>
          <cell r="Y271"/>
          <cell r="Z271"/>
          <cell r="AA271"/>
          <cell r="AB271"/>
          <cell r="AC271"/>
          <cell r="AD271"/>
          <cell r="AE271"/>
          <cell r="AF271">
            <v>9.2735000000000003</v>
          </cell>
          <cell r="AG271"/>
          <cell r="AH271"/>
          <cell r="AI271" t="str">
            <v>Co</v>
          </cell>
          <cell r="AJ271" t="str">
            <v>-9.Al</v>
          </cell>
          <cell r="AK271" t="str">
            <v>-9.W</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cell r="BD271" t="str">
            <v/>
          </cell>
          <cell r="BE271" t="str">
            <v/>
          </cell>
          <cell r="BF271" t="str">
            <v/>
          </cell>
          <cell r="BG271" t="str">
            <v/>
          </cell>
          <cell r="BH271" t="str">
            <v>9WLi, Y. et al. Microstructure evolution in L12 hardened Co-base superalloys during creep. J. Mater. Res. 32, 4522–4530 (2017).</v>
          </cell>
          <cell r="BI271" t="str">
            <v>Co-9.Al-9.W</v>
          </cell>
          <cell r="BJ271" t="str">
            <v>82.0Co-9.0Al-9.0W</v>
          </cell>
        </row>
        <row r="272">
          <cell r="A272" t="str">
            <v>Co-9.Al-11.W</v>
          </cell>
          <cell r="B272" t="str">
            <v>CoAlW-X</v>
          </cell>
          <cell r="C272" t="str">
            <v>-9Al-11W</v>
          </cell>
          <cell r="D272" t="str">
            <v>11W</v>
          </cell>
          <cell r="E272" t="str">
            <v>Li, Y. et al. Microstructure evolution in L12 hardened Co-base superalloys during creep. J. Mater. Res. 32, 4522–4530 (2017).</v>
          </cell>
          <cell r="F272">
            <v>284</v>
          </cell>
          <cell r="G272">
            <v>80</v>
          </cell>
          <cell r="H272"/>
          <cell r="I272">
            <v>9</v>
          </cell>
          <cell r="J272"/>
          <cell r="K272">
            <v>11</v>
          </cell>
          <cell r="L272"/>
          <cell r="M272"/>
          <cell r="N272"/>
          <cell r="O272"/>
          <cell r="P272"/>
          <cell r="Q272"/>
          <cell r="R272"/>
          <cell r="S272"/>
          <cell r="T272"/>
          <cell r="U272"/>
          <cell r="V272"/>
          <cell r="W272"/>
          <cell r="X272"/>
          <cell r="Y272"/>
          <cell r="Z272"/>
          <cell r="AA272"/>
          <cell r="AB272"/>
          <cell r="AC272"/>
          <cell r="AD272"/>
          <cell r="AE272"/>
          <cell r="AF272">
            <v>9.4804999999999993</v>
          </cell>
          <cell r="AG272"/>
          <cell r="AH272"/>
          <cell r="AI272" t="str">
            <v>Co</v>
          </cell>
          <cell r="AJ272" t="str">
            <v>-9.Al</v>
          </cell>
          <cell r="AK272" t="str">
            <v>-11.W</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cell r="BD272" t="str">
            <v/>
          </cell>
          <cell r="BE272" t="str">
            <v/>
          </cell>
          <cell r="BF272" t="str">
            <v/>
          </cell>
          <cell r="BG272" t="str">
            <v/>
          </cell>
          <cell r="BH272" t="str">
            <v>11WLi, Y. et al. Microstructure evolution in L12 hardened Co-base superalloys during creep. J. Mater. Res. 32, 4522–4530 (2017).</v>
          </cell>
          <cell r="BI272" t="str">
            <v>Co-9.Al-11.W</v>
          </cell>
          <cell r="BJ272" t="str">
            <v>80.0Co-9.0Al-11.0W</v>
          </cell>
        </row>
        <row r="273">
          <cell r="A273" t="str">
            <v>Co-9.2Al-2.5Cr-9.W-0.5C</v>
          </cell>
          <cell r="B273" t="str">
            <v>CoAlWX+</v>
          </cell>
          <cell r="C273" t="str">
            <v>-9Al-3Cr-9W-C</v>
          </cell>
          <cell r="D273" t="str">
            <v>2.5Cr</v>
          </cell>
          <cell r="E273" t="str">
            <v>Liu, C., Sun, Y., Wen, M., He, T. &amp; Yu, J. Effect of Cr addition on microstructure and welding solidification cracking susceptibility of Co-Al-W based superalloys. J. Manuf. Process. (2020) doi:10.1016/j.jmapro.2020.03.049.</v>
          </cell>
          <cell r="F273">
            <v>285</v>
          </cell>
          <cell r="G273">
            <v>78.8</v>
          </cell>
          <cell r="H273"/>
          <cell r="I273">
            <v>9.1999999999999993</v>
          </cell>
          <cell r="J273">
            <v>2.5</v>
          </cell>
          <cell r="K273">
            <v>9</v>
          </cell>
          <cell r="L273"/>
          <cell r="M273"/>
          <cell r="N273"/>
          <cell r="O273"/>
          <cell r="P273"/>
          <cell r="Q273">
            <v>0.5</v>
          </cell>
          <cell r="R273"/>
          <cell r="S273"/>
          <cell r="T273"/>
          <cell r="U273"/>
          <cell r="V273"/>
          <cell r="W273"/>
          <cell r="X273"/>
          <cell r="Y273"/>
          <cell r="Z273"/>
          <cell r="AA273"/>
          <cell r="AB273"/>
          <cell r="AC273"/>
          <cell r="AD273"/>
          <cell r="AE273"/>
          <cell r="AF273">
            <v>9.1851500000000001</v>
          </cell>
          <cell r="AG273"/>
          <cell r="AH273"/>
          <cell r="AI273" t="str">
            <v>Co</v>
          </cell>
          <cell r="AJ273" t="str">
            <v>-9.2Al</v>
          </cell>
          <cell r="AK273" t="str">
            <v>-9.W</v>
          </cell>
          <cell r="AL273" t="str">
            <v/>
          </cell>
          <cell r="AM273" t="str">
            <v>-2.5Cr</v>
          </cell>
          <cell r="AN273" t="str">
            <v/>
          </cell>
          <cell r="AO273" t="str">
            <v/>
          </cell>
          <cell r="AP273" t="str">
            <v/>
          </cell>
          <cell r="AQ273" t="str">
            <v/>
          </cell>
          <cell r="AR273" t="str">
            <v/>
          </cell>
          <cell r="AS273" t="str">
            <v>-0.5C</v>
          </cell>
          <cell r="AT273" t="str">
            <v/>
          </cell>
          <cell r="AU273" t="str">
            <v/>
          </cell>
          <cell r="AV273" t="str">
            <v/>
          </cell>
          <cell r="AW273" t="str">
            <v/>
          </cell>
          <cell r="AX273" t="str">
            <v/>
          </cell>
          <cell r="AY273" t="str">
            <v/>
          </cell>
          <cell r="AZ273" t="str">
            <v/>
          </cell>
          <cell r="BA273" t="str">
            <v/>
          </cell>
          <cell r="BB273" t="str">
            <v/>
          </cell>
          <cell r="BC273" t="str">
            <v/>
          </cell>
          <cell r="BD273" t="str">
            <v/>
          </cell>
          <cell r="BE273" t="str">
            <v/>
          </cell>
          <cell r="BF273" t="str">
            <v/>
          </cell>
          <cell r="BG273" t="str">
            <v/>
          </cell>
          <cell r="BH273" t="str">
            <v>2.5CrLiu, C., Sun, Y., Wen, M., He, T. &amp; Yu, J. Effect of Cr addition on microstructure and welding solidification cracking susceptibility of Co-Al-W based superalloys. J. Manuf. Process. (2020) doi:10.1016/j.jmapro.2020.03.049.</v>
          </cell>
          <cell r="BI273" t="str">
            <v>Co-9.2Al-2.5Cr-9.W-0.5C</v>
          </cell>
          <cell r="BJ273" t="str">
            <v>78.8Co-9.2Al-2.5Cr-9.0W-0.50C</v>
          </cell>
        </row>
        <row r="274">
          <cell r="A274" t="str">
            <v>Co-9.2Al-5.Cr-9.W-0.5C</v>
          </cell>
          <cell r="B274" t="str">
            <v>CoAlWX+</v>
          </cell>
          <cell r="C274" t="str">
            <v>-9Al-5Cr-9W-C</v>
          </cell>
          <cell r="D274" t="str">
            <v>5Cr</v>
          </cell>
          <cell r="E274" t="str">
            <v>Liu, C., Sun, Y., Wen, M., He, T. &amp; Yu, J. Effect of Cr addition on microstructure and welding solidification cracking susceptibility of Co-Al-W based superalloys. J. Manuf. Process. (2020) doi:10.1016/j.jmapro.2020.03.049.</v>
          </cell>
          <cell r="F274">
            <v>286</v>
          </cell>
          <cell r="G274">
            <v>76.3</v>
          </cell>
          <cell r="H274"/>
          <cell r="I274">
            <v>9.1999999999999993</v>
          </cell>
          <cell r="J274">
            <v>5</v>
          </cell>
          <cell r="K274">
            <v>9</v>
          </cell>
          <cell r="L274"/>
          <cell r="M274"/>
          <cell r="N274"/>
          <cell r="O274"/>
          <cell r="P274"/>
          <cell r="Q274">
            <v>0.5</v>
          </cell>
          <cell r="R274"/>
          <cell r="S274"/>
          <cell r="T274"/>
          <cell r="U274"/>
          <cell r="V274"/>
          <cell r="W274"/>
          <cell r="X274"/>
          <cell r="Y274"/>
          <cell r="Z274"/>
          <cell r="AA274"/>
          <cell r="AB274"/>
          <cell r="AC274"/>
          <cell r="AD274"/>
          <cell r="AE274"/>
          <cell r="AF274">
            <v>9.1424000000000021</v>
          </cell>
          <cell r="AG274"/>
          <cell r="AH274"/>
          <cell r="AI274" t="str">
            <v>Co</v>
          </cell>
          <cell r="AJ274" t="str">
            <v>-9.2Al</v>
          </cell>
          <cell r="AK274" t="str">
            <v>-9.W</v>
          </cell>
          <cell r="AL274" t="str">
            <v/>
          </cell>
          <cell r="AM274" t="str">
            <v>-5.Cr</v>
          </cell>
          <cell r="AN274" t="str">
            <v/>
          </cell>
          <cell r="AO274" t="str">
            <v/>
          </cell>
          <cell r="AP274" t="str">
            <v/>
          </cell>
          <cell r="AQ274" t="str">
            <v/>
          </cell>
          <cell r="AR274" t="str">
            <v/>
          </cell>
          <cell r="AS274" t="str">
            <v>-0.5C</v>
          </cell>
          <cell r="AT274" t="str">
            <v/>
          </cell>
          <cell r="AU274" t="str">
            <v/>
          </cell>
          <cell r="AV274" t="str">
            <v/>
          </cell>
          <cell r="AW274" t="str">
            <v/>
          </cell>
          <cell r="AX274" t="str">
            <v/>
          </cell>
          <cell r="AY274" t="str">
            <v/>
          </cell>
          <cell r="AZ274" t="str">
            <v/>
          </cell>
          <cell r="BA274" t="str">
            <v/>
          </cell>
          <cell r="BB274" t="str">
            <v/>
          </cell>
          <cell r="BC274" t="str">
            <v/>
          </cell>
          <cell r="BD274" t="str">
            <v/>
          </cell>
          <cell r="BE274" t="str">
            <v/>
          </cell>
          <cell r="BF274" t="str">
            <v/>
          </cell>
          <cell r="BG274" t="str">
            <v/>
          </cell>
          <cell r="BH274" t="str">
            <v>5CrLiu, C., Sun, Y., Wen, M., He, T. &amp; Yu, J. Effect of Cr addition on microstructure and welding solidification cracking susceptibility of Co-Al-W based superalloys. J. Manuf. Process. (2020) doi:10.1016/j.jmapro.2020.03.049.</v>
          </cell>
          <cell r="BI274" t="str">
            <v>Co-9.2Al-5.Cr-9.W-0.5C</v>
          </cell>
          <cell r="BJ274" t="str">
            <v>76.3Co-9.2Al-5.0Cr-9.0W-0.50C</v>
          </cell>
        </row>
        <row r="275">
          <cell r="A275" t="str">
            <v>Co-9.2Al-7.5Cr-9.W-0.5C</v>
          </cell>
          <cell r="B275" t="str">
            <v>CoAlWX+</v>
          </cell>
          <cell r="C275" t="str">
            <v>-9Al-8Cr-9W-C</v>
          </cell>
          <cell r="D275" t="str">
            <v>7.5cr</v>
          </cell>
          <cell r="E275" t="str">
            <v>Liu, C., Sun, Y., Wen, M., He, T. &amp; Yu, J. Effect of Cr addition on microstructure and welding solidification cracking susceptibility of Co-Al-W based superalloys. J. Manuf. Process. (2020) doi:10.1016/j.jmapro.2020.03.049.</v>
          </cell>
          <cell r="F275">
            <v>287</v>
          </cell>
          <cell r="G275">
            <v>73.8</v>
          </cell>
          <cell r="H275"/>
          <cell r="I275">
            <v>9.1999999999999993</v>
          </cell>
          <cell r="J275">
            <v>7.5</v>
          </cell>
          <cell r="K275">
            <v>9</v>
          </cell>
          <cell r="L275"/>
          <cell r="M275"/>
          <cell r="N275"/>
          <cell r="O275"/>
          <cell r="P275"/>
          <cell r="Q275">
            <v>0.5</v>
          </cell>
          <cell r="R275"/>
          <cell r="S275"/>
          <cell r="T275"/>
          <cell r="U275"/>
          <cell r="V275"/>
          <cell r="W275"/>
          <cell r="X275"/>
          <cell r="Y275"/>
          <cell r="Z275"/>
          <cell r="AA275"/>
          <cell r="AB275"/>
          <cell r="AC275"/>
          <cell r="AD275"/>
          <cell r="AE275"/>
          <cell r="AF275">
            <v>9.0996500000000005</v>
          </cell>
          <cell r="AG275"/>
          <cell r="AH275"/>
          <cell r="AI275" t="str">
            <v>Co</v>
          </cell>
          <cell r="AJ275" t="str">
            <v>-9.2Al</v>
          </cell>
          <cell r="AK275" t="str">
            <v>-9.W</v>
          </cell>
          <cell r="AL275" t="str">
            <v/>
          </cell>
          <cell r="AM275" t="str">
            <v>-7.5Cr</v>
          </cell>
          <cell r="AN275" t="str">
            <v/>
          </cell>
          <cell r="AO275" t="str">
            <v/>
          </cell>
          <cell r="AP275" t="str">
            <v/>
          </cell>
          <cell r="AQ275" t="str">
            <v/>
          </cell>
          <cell r="AR275" t="str">
            <v/>
          </cell>
          <cell r="AS275" t="str">
            <v>-0.5C</v>
          </cell>
          <cell r="AT275" t="str">
            <v/>
          </cell>
          <cell r="AU275" t="str">
            <v/>
          </cell>
          <cell r="AV275" t="str">
            <v/>
          </cell>
          <cell r="AW275" t="str">
            <v/>
          </cell>
          <cell r="AX275" t="str">
            <v/>
          </cell>
          <cell r="AY275" t="str">
            <v/>
          </cell>
          <cell r="AZ275" t="str">
            <v/>
          </cell>
          <cell r="BA275" t="str">
            <v/>
          </cell>
          <cell r="BB275" t="str">
            <v/>
          </cell>
          <cell r="BC275" t="str">
            <v/>
          </cell>
          <cell r="BD275" t="str">
            <v/>
          </cell>
          <cell r="BE275" t="str">
            <v/>
          </cell>
          <cell r="BF275" t="str">
            <v/>
          </cell>
          <cell r="BG275" t="str">
            <v/>
          </cell>
          <cell r="BH275" t="str">
            <v>7.5crLiu, C., Sun, Y., Wen, M., He, T. &amp; Yu, J. Effect of Cr addition on microstructure and welding solidification cracking susceptibility of Co-Al-W based superalloys. J. Manuf. Process. (2020) doi:10.1016/j.jmapro.2020.03.049.</v>
          </cell>
          <cell r="BI275" t="str">
            <v>Co-9.2Al-7.5Cr-9.W-0.5C</v>
          </cell>
          <cell r="BJ275" t="str">
            <v>73.8Co-9.2Al-7.5Cr-9.0W-0.50C</v>
          </cell>
        </row>
        <row r="276">
          <cell r="A276" t="str">
            <v>Co-16.4Ni-9.5Al-6.2Cr-3.5W-2.7Ti-2.8Ta-3.3Mo-0.5Hf-0.27C-0.14B</v>
          </cell>
          <cell r="B276" t="str">
            <v>CoAlWX+</v>
          </cell>
          <cell r="C276" t="str">
            <v>-16Ni-9Al-6Cr-3W-3Ti-3Ta-3Mo-Hf-C-B</v>
          </cell>
          <cell r="D276" t="str">
            <v>5Mo</v>
          </cell>
          <cell r="E276" t="str">
            <v>Liu, J., Yu, J. J., Yang, Y. H., Zhou, Y. Z. &amp; Sun, X. F. Effects of Mo on the evolution of microstructures and mechanical properties in Co-Al-W base superalloys. Mater. Sci. Eng. A 745, 404–410 (2019).</v>
          </cell>
          <cell r="F276">
            <v>288</v>
          </cell>
          <cell r="G276">
            <v>54.751794346763752</v>
          </cell>
          <cell r="H276">
            <v>16.351836731071355</v>
          </cell>
          <cell r="I276">
            <v>9.4852207966473578</v>
          </cell>
          <cell r="J276">
            <v>6.152642211303248</v>
          </cell>
          <cell r="K276">
            <v>3.4803392560805455</v>
          </cell>
          <cell r="L276">
            <v>2.6691651113338928</v>
          </cell>
          <cell r="M276">
            <v>2.8287397351217352</v>
          </cell>
          <cell r="N276"/>
          <cell r="O276"/>
          <cell r="P276">
            <v>3.3341613800825822</v>
          </cell>
          <cell r="Q276">
            <v>0.26634983300218446</v>
          </cell>
          <cell r="R276"/>
          <cell r="S276">
            <v>0.1420519301767654</v>
          </cell>
          <cell r="T276"/>
          <cell r="U276"/>
          <cell r="V276"/>
          <cell r="W276"/>
          <cell r="X276"/>
          <cell r="Y276">
            <v>0.53769866841658975</v>
          </cell>
          <cell r="Z276"/>
          <cell r="AA276"/>
          <cell r="AB276"/>
          <cell r="AC276"/>
          <cell r="AD276"/>
          <cell r="AE276"/>
          <cell r="AF276">
            <v>8.7130904599760193</v>
          </cell>
          <cell r="AG276">
            <v>8.73</v>
          </cell>
          <cell r="AH276" t="str">
            <v>wt% reported</v>
          </cell>
          <cell r="AI276" t="str">
            <v>Co</v>
          </cell>
          <cell r="AJ276" t="str">
            <v>-9.5Al</v>
          </cell>
          <cell r="AK276" t="str">
            <v>-3.5W</v>
          </cell>
          <cell r="AL276" t="str">
            <v>-16.4Ni</v>
          </cell>
          <cell r="AM276" t="str">
            <v>-6.2Cr</v>
          </cell>
          <cell r="AN276" t="str">
            <v>-2.8Ta</v>
          </cell>
          <cell r="AO276" t="str">
            <v/>
          </cell>
          <cell r="AP276" t="str">
            <v/>
          </cell>
          <cell r="AQ276" t="str">
            <v>-2.7Ti</v>
          </cell>
          <cell r="AR276" t="str">
            <v>-3.3Mo</v>
          </cell>
          <cell r="AS276" t="str">
            <v>-0.27C</v>
          </cell>
          <cell r="AT276" t="str">
            <v/>
          </cell>
          <cell r="AU276" t="str">
            <v>-0.14B</v>
          </cell>
          <cell r="AV276" t="str">
            <v/>
          </cell>
          <cell r="AW276" t="str">
            <v/>
          </cell>
          <cell r="AX276" t="str">
            <v/>
          </cell>
          <cell r="AY276" t="str">
            <v/>
          </cell>
          <cell r="AZ276" t="str">
            <v/>
          </cell>
          <cell r="BA276" t="str">
            <v>-0.5Hf</v>
          </cell>
          <cell r="BB276" t="str">
            <v/>
          </cell>
          <cell r="BC276" t="str">
            <v/>
          </cell>
          <cell r="BD276" t="str">
            <v/>
          </cell>
          <cell r="BE276" t="str">
            <v/>
          </cell>
          <cell r="BF276" t="str">
            <v/>
          </cell>
          <cell r="BG276" t="str">
            <v/>
          </cell>
          <cell r="BH276" t="str">
            <v>5MoLiu, J., Yu, J. J., Yang, Y. H., Zhou, Y. Z. &amp; Sun, X. F. Effects of Mo on the evolution of microstructures and mechanical properties in Co-Al-W base superalloys. Mater. Sci. Eng. A 745, 404–410 (2019).</v>
          </cell>
          <cell r="BI276" t="str">
            <v>Co-16.4Ni-9.5Al-6.2Cr-3.5W-2.7Ti-2.8Ta-3.3Mo-0.5Hf-0.27C-0.14B</v>
          </cell>
          <cell r="BJ276" t="str">
            <v>71.1Co-16.4Ni-9.5Al-6.2Cr-3.5W-2.7Ti-2.8Ta-3.3Mo-0.5Hf-0.27C-0.14B</v>
          </cell>
        </row>
        <row r="277">
          <cell r="A277" t="str">
            <v>Co-16.Ni-9.3Al-6.Cr-3.4W-2.6Ti-2.8Ta-0.Mo-0.5Hf-0.26C-0.14B</v>
          </cell>
          <cell r="B277" t="str">
            <v>CoAlWX+</v>
          </cell>
          <cell r="C277" t="str">
            <v>-16Ni-9Al-6Cr-3W-3Ti-3Ta-0Mo-Hf-C-B</v>
          </cell>
          <cell r="D277" t="str">
            <v>0Mo</v>
          </cell>
          <cell r="E277" t="str">
            <v>Liu, J., Yu, J. J., Yang, Y. H., Zhou, Y. Z. &amp; Sun, X. F. Effects of Mo on the evolution of microstructures and mechanical properties in Co-Al-W base superalloys. Mater. Sci. Eng. A 745, 404–410 (2019).</v>
          </cell>
          <cell r="F277">
            <v>289</v>
          </cell>
          <cell r="G277">
            <v>58.945736155988662</v>
          </cell>
          <cell r="H277">
            <v>16.016412425311604</v>
          </cell>
          <cell r="I277">
            <v>9.2906509967515536</v>
          </cell>
          <cell r="J277">
            <v>6.0264334082032844</v>
          </cell>
          <cell r="K277">
            <v>3.4089472529692992</v>
          </cell>
          <cell r="L277">
            <v>2.61441267776011</v>
          </cell>
          <cell r="M277">
            <v>2.7707139562790877</v>
          </cell>
          <cell r="N277"/>
          <cell r="O277"/>
          <cell r="P277">
            <v>0</v>
          </cell>
          <cell r="Q277">
            <v>0.26088621388139049</v>
          </cell>
          <cell r="R277"/>
          <cell r="S277">
            <v>0.13913802693488458</v>
          </cell>
          <cell r="T277"/>
          <cell r="U277"/>
          <cell r="V277"/>
          <cell r="W277"/>
          <cell r="X277"/>
          <cell r="Y277">
            <v>0.5266688859201154</v>
          </cell>
          <cell r="Z277"/>
          <cell r="AA277"/>
          <cell r="AB277"/>
          <cell r="AC277"/>
          <cell r="AD277"/>
          <cell r="AE277"/>
          <cell r="AF277">
            <v>8.6718569276078465</v>
          </cell>
          <cell r="AG277">
            <v>8.94</v>
          </cell>
          <cell r="AH277" t="str">
            <v>wt% reported</v>
          </cell>
          <cell r="AI277" t="str">
            <v>Co</v>
          </cell>
          <cell r="AJ277" t="str">
            <v>-9.3Al</v>
          </cell>
          <cell r="AK277" t="str">
            <v>-3.4W</v>
          </cell>
          <cell r="AL277" t="str">
            <v>-16.Ni</v>
          </cell>
          <cell r="AM277" t="str">
            <v>-6.Cr</v>
          </cell>
          <cell r="AN277" t="str">
            <v>-2.8Ta</v>
          </cell>
          <cell r="AO277" t="str">
            <v/>
          </cell>
          <cell r="AP277" t="str">
            <v/>
          </cell>
          <cell r="AQ277" t="str">
            <v>-2.6Ti</v>
          </cell>
          <cell r="AR277" t="str">
            <v>-0.Mo</v>
          </cell>
          <cell r="AS277" t="str">
            <v>-0.26C</v>
          </cell>
          <cell r="AT277" t="str">
            <v/>
          </cell>
          <cell r="AU277" t="str">
            <v>-0.14B</v>
          </cell>
          <cell r="AV277" t="str">
            <v/>
          </cell>
          <cell r="AW277" t="str">
            <v/>
          </cell>
          <cell r="AX277" t="str">
            <v/>
          </cell>
          <cell r="AY277" t="str">
            <v/>
          </cell>
          <cell r="AZ277" t="str">
            <v/>
          </cell>
          <cell r="BA277" t="str">
            <v>-0.5Hf</v>
          </cell>
          <cell r="BB277" t="str">
            <v/>
          </cell>
          <cell r="BC277" t="str">
            <v/>
          </cell>
          <cell r="BD277" t="str">
            <v/>
          </cell>
          <cell r="BE277" t="str">
            <v/>
          </cell>
          <cell r="BF277" t="str">
            <v/>
          </cell>
          <cell r="BG277" t="str">
            <v/>
          </cell>
          <cell r="BH277" t="str">
            <v>0MoLiu, J., Yu, J. J., Yang, Y. H., Zhou, Y. Z. &amp; Sun, X. F. Effects of Mo on the evolution of microstructures and mechanical properties in Co-Al-W base superalloys. Mater. Sci. Eng. A 745, 404–410 (2019).</v>
          </cell>
          <cell r="BI277" t="str">
            <v>Co-16.Ni-9.3Al-6.Cr-3.4W-2.6Ti-2.8Ta-0.Mo-0.5Hf-0.26C-0.14B</v>
          </cell>
          <cell r="BJ277" t="str">
            <v>75.0Co-16.0Ni-9.3Al-6.0Cr-3.4W-2.6Ti-2.8Ta-0.0Mo-0.5Hf-0.26C-0.14B</v>
          </cell>
        </row>
        <row r="278">
          <cell r="A278" t="str">
            <v>Co-30.Ni-9.9Al-1.9Nb-5.1Mo</v>
          </cell>
          <cell r="B278" t="str">
            <v>W-free</v>
          </cell>
          <cell r="C278" t="str">
            <v>-30Ni-10Al-2Nb-5Mo</v>
          </cell>
          <cell r="D278" t="str">
            <v>Co-30Ni-99Al-5.1Mo-1.9Nb</v>
          </cell>
          <cell r="E278" t="str">
            <v>Liu, Q., Coakley, J., Seidman, D. N. &amp; Dunand, D. C. Precipitate Evolution and Creep Behavior of a W-Free Co-based Superalloy. Metall. Mater. Trans. A Phys. Metall. Mater. Sci. 47, 6090–6096 (2016).</v>
          </cell>
          <cell r="F278">
            <v>290</v>
          </cell>
          <cell r="G278">
            <v>53.1</v>
          </cell>
          <cell r="H278">
            <v>30</v>
          </cell>
          <cell r="I278">
            <v>9.9</v>
          </cell>
          <cell r="J278"/>
          <cell r="K278"/>
          <cell r="L278"/>
          <cell r="M278"/>
          <cell r="N278">
            <v>1.9</v>
          </cell>
          <cell r="O278"/>
          <cell r="P278">
            <v>5.0999999999999996</v>
          </cell>
          <cell r="Q278"/>
          <cell r="R278"/>
          <cell r="S278"/>
          <cell r="T278"/>
          <cell r="U278"/>
          <cell r="V278"/>
          <cell r="W278"/>
          <cell r="X278"/>
          <cell r="Y278"/>
          <cell r="Z278"/>
          <cell r="AA278"/>
          <cell r="AB278"/>
          <cell r="AC278"/>
          <cell r="AD278"/>
          <cell r="AE278"/>
          <cell r="AF278">
            <v>8.3527100000000001</v>
          </cell>
          <cell r="AG278"/>
          <cell r="AH278"/>
          <cell r="AI278" t="str">
            <v>Co</v>
          </cell>
          <cell r="AJ278" t="str">
            <v>-9.9Al</v>
          </cell>
          <cell r="AK278" t="str">
            <v/>
          </cell>
          <cell r="AL278" t="str">
            <v>-30.Ni</v>
          </cell>
          <cell r="AM278" t="str">
            <v/>
          </cell>
          <cell r="AN278" t="str">
            <v/>
          </cell>
          <cell r="AO278" t="str">
            <v>-1.9Nb</v>
          </cell>
          <cell r="AP278" t="str">
            <v/>
          </cell>
          <cell r="AQ278" t="str">
            <v/>
          </cell>
          <cell r="AR278" t="str">
            <v>-5.1Mo</v>
          </cell>
          <cell r="AS278" t="str">
            <v/>
          </cell>
          <cell r="AT278" t="str">
            <v/>
          </cell>
          <cell r="AU278" t="str">
            <v/>
          </cell>
          <cell r="AV278" t="str">
            <v/>
          </cell>
          <cell r="AW278" t="str">
            <v/>
          </cell>
          <cell r="AX278" t="str">
            <v/>
          </cell>
          <cell r="AY278" t="str">
            <v/>
          </cell>
          <cell r="AZ278" t="str">
            <v/>
          </cell>
          <cell r="BA278" t="str">
            <v/>
          </cell>
          <cell r="BB278" t="str">
            <v/>
          </cell>
          <cell r="BC278" t="str">
            <v/>
          </cell>
          <cell r="BD278" t="str">
            <v/>
          </cell>
          <cell r="BE278" t="str">
            <v/>
          </cell>
          <cell r="BF278" t="str">
            <v/>
          </cell>
          <cell r="BG278" t="str">
            <v/>
          </cell>
          <cell r="BH278" t="str">
            <v>Co-30Ni-99Al-5.1Mo-1.9NbLiu, Q., Coakley, J., Seidman, D. N. &amp; Dunand, D. C. Precipitate Evolution and Creep Behavior of a W-Free Co-based Superalloy. Metall. Mater. Trans. A Phys. Metall. Mater. Sci. 47, 6090–6096 (2016).</v>
          </cell>
          <cell r="BI278" t="str">
            <v>Co-30.Ni-9.9Al-1.9Nb-5.1Mo</v>
          </cell>
          <cell r="BJ278" t="str">
            <v>83.1Co-30.0Ni-9.9Al-1.9Nb-5.1Mo</v>
          </cell>
        </row>
        <row r="279">
          <cell r="A279" t="str">
            <v>Co-4.2Ti-12.1V</v>
          </cell>
          <cell r="B279" t="str">
            <v>W-free</v>
          </cell>
          <cell r="C279" t="str">
            <v>-4Ti-12V</v>
          </cell>
          <cell r="D279" t="str">
            <v>CVT-1</v>
          </cell>
          <cell r="E279" t="str">
            <v>Liu, X. et al. Effects of Nb and W additions on the microstructures and mechanical properties of novel γ/γ’ Co-V-Ti-based superalloys. Metals (Basel). 8, (2018).</v>
          </cell>
          <cell r="F279">
            <v>291</v>
          </cell>
          <cell r="G279">
            <v>83.7</v>
          </cell>
          <cell r="H279"/>
          <cell r="I279"/>
          <cell r="J279"/>
          <cell r="K279"/>
          <cell r="L279">
            <v>4.2</v>
          </cell>
          <cell r="M279"/>
          <cell r="N279"/>
          <cell r="O279">
            <v>12.1</v>
          </cell>
          <cell r="P279"/>
          <cell r="Q279"/>
          <cell r="R279"/>
          <cell r="S279"/>
          <cell r="T279"/>
          <cell r="U279"/>
          <cell r="V279"/>
          <cell r="W279"/>
          <cell r="X279"/>
          <cell r="Y279"/>
          <cell r="Z279"/>
          <cell r="AA279"/>
          <cell r="AB279"/>
          <cell r="AC279"/>
          <cell r="AD279"/>
          <cell r="AE279"/>
          <cell r="AF279">
            <v>8.3779040000000009</v>
          </cell>
          <cell r="AG279">
            <v>8.23</v>
          </cell>
          <cell r="AH279"/>
          <cell r="AI279" t="str">
            <v>Co</v>
          </cell>
          <cell r="AJ279" t="str">
            <v/>
          </cell>
          <cell r="AK279" t="str">
            <v/>
          </cell>
          <cell r="AL279" t="str">
            <v/>
          </cell>
          <cell r="AM279" t="str">
            <v/>
          </cell>
          <cell r="AN279" t="str">
            <v/>
          </cell>
          <cell r="AO279" t="str">
            <v/>
          </cell>
          <cell r="AP279" t="str">
            <v>-12.1V</v>
          </cell>
          <cell r="AQ279" t="str">
            <v>-4.2Ti</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cell r="BD279" t="str">
            <v/>
          </cell>
          <cell r="BE279" t="str">
            <v/>
          </cell>
          <cell r="BF279" t="str">
            <v/>
          </cell>
          <cell r="BG279" t="str">
            <v/>
          </cell>
          <cell r="BH279" t="str">
            <v>CVT-1Liu, X. et al. Effects of Nb and W additions on the microstructures and mechanical properties of novel γ/γ’ Co-V-Ti-based superalloys. Metals (Basel). 8, (2018).</v>
          </cell>
          <cell r="BI279" t="str">
            <v>Co-4.2Ti-12.1V</v>
          </cell>
          <cell r="BJ279" t="str">
            <v>83.7Co-4.2Ti-12.1V</v>
          </cell>
        </row>
        <row r="280">
          <cell r="A280" t="str">
            <v>Co-4.1Ti-2.2Nb-10.1V</v>
          </cell>
          <cell r="B280" t="str">
            <v>W-free</v>
          </cell>
          <cell r="C280" t="str">
            <v>-4Ti-2Nb-10V</v>
          </cell>
          <cell r="D280" t="str">
            <v>CVTN</v>
          </cell>
          <cell r="E280" t="str">
            <v>Liu, X. et al. Effects of Nb and W additions on the microstructures and mechanical properties of novel γ/γ’ Co-V-Ti-based superalloys. Metals (Basel). 8, (2018).</v>
          </cell>
          <cell r="F280">
            <v>292</v>
          </cell>
          <cell r="G280">
            <v>83.6</v>
          </cell>
          <cell r="H280"/>
          <cell r="I280"/>
          <cell r="J280"/>
          <cell r="K280"/>
          <cell r="L280">
            <v>4.0999999999999996</v>
          </cell>
          <cell r="M280"/>
          <cell r="N280">
            <v>2.2000000000000002</v>
          </cell>
          <cell r="O280">
            <v>10.1</v>
          </cell>
          <cell r="P280"/>
          <cell r="Q280"/>
          <cell r="R280"/>
          <cell r="S280"/>
          <cell r="T280"/>
          <cell r="U280"/>
          <cell r="V280"/>
          <cell r="W280"/>
          <cell r="X280"/>
          <cell r="Y280"/>
          <cell r="Z280"/>
          <cell r="AA280"/>
          <cell r="AB280"/>
          <cell r="AC280"/>
          <cell r="AD280"/>
          <cell r="AE280"/>
          <cell r="AF280">
            <v>8.4308370000000004</v>
          </cell>
          <cell r="AG280">
            <v>8.31</v>
          </cell>
          <cell r="AH280"/>
          <cell r="AI280" t="str">
            <v>Co</v>
          </cell>
          <cell r="AJ280" t="str">
            <v/>
          </cell>
          <cell r="AK280" t="str">
            <v/>
          </cell>
          <cell r="AL280" t="str">
            <v/>
          </cell>
          <cell r="AM280" t="str">
            <v/>
          </cell>
          <cell r="AN280" t="str">
            <v/>
          </cell>
          <cell r="AO280" t="str">
            <v>-2.2Nb</v>
          </cell>
          <cell r="AP280" t="str">
            <v>-10.1V</v>
          </cell>
          <cell r="AQ280" t="str">
            <v>-4.1Ti</v>
          </cell>
          <cell r="AR280" t="str">
            <v/>
          </cell>
          <cell r="AS280" t="str">
            <v/>
          </cell>
          <cell r="AT280" t="str">
            <v/>
          </cell>
          <cell r="AU280" t="str">
            <v/>
          </cell>
          <cell r="AV280" t="str">
            <v/>
          </cell>
          <cell r="AW280" t="str">
            <v/>
          </cell>
          <cell r="AX280" t="str">
            <v/>
          </cell>
          <cell r="AY280" t="str">
            <v/>
          </cell>
          <cell r="AZ280" t="str">
            <v/>
          </cell>
          <cell r="BA280" t="str">
            <v/>
          </cell>
          <cell r="BB280" t="str">
            <v/>
          </cell>
          <cell r="BC280" t="str">
            <v/>
          </cell>
          <cell r="BD280" t="str">
            <v/>
          </cell>
          <cell r="BE280" t="str">
            <v/>
          </cell>
          <cell r="BF280" t="str">
            <v/>
          </cell>
          <cell r="BG280" t="str">
            <v/>
          </cell>
          <cell r="BH280" t="str">
            <v>CVTNLiu, X. et al. Effects of Nb and W additions on the microstructures and mechanical properties of novel γ/γ’ Co-V-Ti-based superalloys. Metals (Basel). 8, (2018).</v>
          </cell>
          <cell r="BI280" t="str">
            <v>Co-4.1Ti-2.2Nb-10.1V</v>
          </cell>
          <cell r="BJ280" t="str">
            <v>83.6Co-4.1Ti-2.2Nb-10.1V</v>
          </cell>
        </row>
        <row r="281">
          <cell r="A281" t="str">
            <v>Co-2.1W-4.1Ti-9.9V</v>
          </cell>
          <cell r="B281" t="str">
            <v>Low-W</v>
          </cell>
          <cell r="C281" t="str">
            <v>-2W-4Ti-10V</v>
          </cell>
          <cell r="D281" t="str">
            <v>CCTW</v>
          </cell>
          <cell r="E281" t="str">
            <v>Liu, X. et al. Effects of Nb and W additions on the microstructures and mechanical properties of novel γ/γ’ Co-V-Ti-based superalloys. Metals (Basel). 8, (2018).</v>
          </cell>
          <cell r="F281">
            <v>293</v>
          </cell>
          <cell r="G281">
            <v>83.9</v>
          </cell>
          <cell r="H281"/>
          <cell r="I281"/>
          <cell r="J281"/>
          <cell r="K281">
            <v>2.1</v>
          </cell>
          <cell r="L281">
            <v>4.0999999999999996</v>
          </cell>
          <cell r="M281"/>
          <cell r="N281"/>
          <cell r="O281">
            <v>9.9</v>
          </cell>
          <cell r="P281"/>
          <cell r="Q281"/>
          <cell r="R281"/>
          <cell r="S281"/>
          <cell r="T281"/>
          <cell r="U281"/>
          <cell r="V281"/>
          <cell r="W281"/>
          <cell r="X281"/>
          <cell r="Y281"/>
          <cell r="Z281"/>
          <cell r="AA281"/>
          <cell r="AB281"/>
          <cell r="AC281"/>
          <cell r="AD281"/>
          <cell r="AE281"/>
          <cell r="AF281">
            <v>8.6610270000000007</v>
          </cell>
          <cell r="AG281">
            <v>8.5</v>
          </cell>
          <cell r="AH281"/>
          <cell r="AI281" t="str">
            <v>Co</v>
          </cell>
          <cell r="AJ281" t="str">
            <v/>
          </cell>
          <cell r="AK281" t="str">
            <v>-2.1W</v>
          </cell>
          <cell r="AL281" t="str">
            <v/>
          </cell>
          <cell r="AM281" t="str">
            <v/>
          </cell>
          <cell r="AN281" t="str">
            <v/>
          </cell>
          <cell r="AO281" t="str">
            <v/>
          </cell>
          <cell r="AP281" t="str">
            <v>-9.9V</v>
          </cell>
          <cell r="AQ281" t="str">
            <v>-4.1Ti</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cell r="BD281" t="str">
            <v/>
          </cell>
          <cell r="BE281" t="str">
            <v/>
          </cell>
          <cell r="BF281" t="str">
            <v/>
          </cell>
          <cell r="BG281" t="str">
            <v/>
          </cell>
          <cell r="BH281" t="str">
            <v>CCTWLiu, X. et al. Effects of Nb and W additions on the microstructures and mechanical properties of novel γ/γ’ Co-V-Ti-based superalloys. Metals (Basel). 8, (2018).</v>
          </cell>
          <cell r="BI281" t="str">
            <v>Co-2.1W-4.1Ti-9.9V</v>
          </cell>
          <cell r="BJ281" t="str">
            <v>83.9Co-2.1W-4.1Ti-9.9V</v>
          </cell>
        </row>
        <row r="282">
          <cell r="A282" t="str">
            <v>Co-23.Ti</v>
          </cell>
          <cell r="B282" t="str">
            <v>Co3Ti</v>
          </cell>
          <cell r="C282" t="str">
            <v>-23Ti</v>
          </cell>
          <cell r="D282" t="str">
            <v>unalloyed</v>
          </cell>
          <cell r="E282" t="str">
            <v>Liu, Y., Takasugi, T., Izumi, O. &amp; Suenaga, H. Mechanical properties of Co3Ti polycrystals alloyed with various additions. JOURNAL OF MATERIALS SCIENCE vol. 24 (1989).</v>
          </cell>
          <cell r="F282">
            <v>294</v>
          </cell>
          <cell r="G282">
            <v>77</v>
          </cell>
          <cell r="H282"/>
          <cell r="I282"/>
          <cell r="J282"/>
          <cell r="K282"/>
          <cell r="L282">
            <v>23</v>
          </cell>
          <cell r="M282"/>
          <cell r="N282"/>
          <cell r="O282"/>
          <cell r="P282"/>
          <cell r="Q282"/>
          <cell r="R282"/>
          <cell r="S282"/>
          <cell r="T282"/>
          <cell r="U282"/>
          <cell r="V282"/>
          <cell r="W282"/>
          <cell r="X282"/>
          <cell r="Y282"/>
          <cell r="Z282"/>
          <cell r="AA282"/>
          <cell r="AB282"/>
          <cell r="AC282"/>
          <cell r="AD282"/>
          <cell r="AE282"/>
          <cell r="AF282">
            <v>7.8896100000000002</v>
          </cell>
          <cell r="AG282"/>
          <cell r="AH282"/>
          <cell r="AI282" t="str">
            <v>Co</v>
          </cell>
          <cell r="AJ282" t="str">
            <v/>
          </cell>
          <cell r="AK282" t="str">
            <v/>
          </cell>
          <cell r="AL282" t="str">
            <v/>
          </cell>
          <cell r="AM282" t="str">
            <v/>
          </cell>
          <cell r="AN282" t="str">
            <v/>
          </cell>
          <cell r="AO282" t="str">
            <v/>
          </cell>
          <cell r="AP282" t="str">
            <v/>
          </cell>
          <cell r="AQ282" t="str">
            <v>-23.Ti</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cell r="BD282" t="str">
            <v/>
          </cell>
          <cell r="BE282" t="str">
            <v/>
          </cell>
          <cell r="BF282" t="str">
            <v/>
          </cell>
          <cell r="BG282" t="str">
            <v/>
          </cell>
          <cell r="BH282" t="str">
            <v>unalloyedLiu, Y., Takasugi, T., Izumi, O. &amp; Suenaga, H. Mechanical properties of Co3Ti polycrystals alloyed with various additions. JOURNAL OF MATERIALS SCIENCE vol. 24 (1989).</v>
          </cell>
          <cell r="BI282" t="str">
            <v>Co-23.Ti</v>
          </cell>
          <cell r="BJ282" t="str">
            <v>77.0Co-23.0Ti</v>
          </cell>
        </row>
        <row r="283">
          <cell r="A283" t="str">
            <v>Co-3.Ni-23.Ti</v>
          </cell>
          <cell r="B283" t="str">
            <v>Co3Ti</v>
          </cell>
          <cell r="C283" t="str">
            <v>-3Ni-23Ti</v>
          </cell>
          <cell r="D283" t="str">
            <v>Ni3C</v>
          </cell>
          <cell r="E283" t="str">
            <v>Liu, Y., Takasugi, T., Izumi, O. &amp; Suenaga, H. Mechanical properties of Co3Ti polycrystals alloyed with various additions. JOURNAL OF MATERIALS SCIENCE vol. 24 (1989).</v>
          </cell>
          <cell r="F283">
            <v>295</v>
          </cell>
          <cell r="G283">
            <v>74</v>
          </cell>
          <cell r="H283">
            <v>3</v>
          </cell>
          <cell r="I283"/>
          <cell r="J283"/>
          <cell r="K283"/>
          <cell r="L283">
            <v>23</v>
          </cell>
          <cell r="M283"/>
          <cell r="N283"/>
          <cell r="O283"/>
          <cell r="P283"/>
          <cell r="Q283"/>
          <cell r="R283"/>
          <cell r="S283"/>
          <cell r="T283"/>
          <cell r="U283"/>
          <cell r="V283"/>
          <cell r="W283"/>
          <cell r="X283"/>
          <cell r="Y283"/>
          <cell r="Z283"/>
          <cell r="AA283"/>
          <cell r="AB283"/>
          <cell r="AC283"/>
          <cell r="AD283"/>
          <cell r="AE283"/>
          <cell r="AF283">
            <v>7.88985</v>
          </cell>
          <cell r="AG283"/>
          <cell r="AH283"/>
          <cell r="AI283" t="str">
            <v>Co</v>
          </cell>
          <cell r="AJ283" t="str">
            <v/>
          </cell>
          <cell r="AK283" t="str">
            <v/>
          </cell>
          <cell r="AL283" t="str">
            <v>-3.Ni</v>
          </cell>
          <cell r="AM283" t="str">
            <v/>
          </cell>
          <cell r="AN283" t="str">
            <v/>
          </cell>
          <cell r="AO283" t="str">
            <v/>
          </cell>
          <cell r="AP283" t="str">
            <v/>
          </cell>
          <cell r="AQ283" t="str">
            <v>-23.Ti</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cell r="BD283" t="str">
            <v/>
          </cell>
          <cell r="BE283" t="str">
            <v/>
          </cell>
          <cell r="BF283" t="str">
            <v/>
          </cell>
          <cell r="BG283" t="str">
            <v/>
          </cell>
          <cell r="BH283" t="str">
            <v>Ni3CLiu, Y., Takasugi, T., Izumi, O. &amp; Suenaga, H. Mechanical properties of Co3Ti polycrystals alloyed with various additions. JOURNAL OF MATERIALS SCIENCE vol. 24 (1989).</v>
          </cell>
          <cell r="BI283" t="str">
            <v>Co-3.Ni-23.Ti</v>
          </cell>
          <cell r="BJ283" t="str">
            <v>77.0Co-3.0Ni-23.0Ti</v>
          </cell>
        </row>
        <row r="284">
          <cell r="A284" t="str">
            <v>Co-22.Ti-1.Ta</v>
          </cell>
          <cell r="B284" t="str">
            <v>Co3Ti</v>
          </cell>
          <cell r="C284" t="str">
            <v>-22Ti-1Ta</v>
          </cell>
          <cell r="D284" t="str">
            <v>Ta1T</v>
          </cell>
          <cell r="E284" t="str">
            <v>Liu, Y., Takasugi, T., Izumi, O. &amp; Suenaga, H. Mechanical properties of Co3Ti polycrystals alloyed with various additions. JOURNAL OF MATERIALS SCIENCE vol. 24 (1989).</v>
          </cell>
          <cell r="F284">
            <v>296</v>
          </cell>
          <cell r="G284">
            <v>77</v>
          </cell>
          <cell r="H284"/>
          <cell r="I284"/>
          <cell r="J284"/>
          <cell r="K284"/>
          <cell r="L284">
            <v>22</v>
          </cell>
          <cell r="M284">
            <v>1</v>
          </cell>
          <cell r="N284"/>
          <cell r="O284"/>
          <cell r="P284"/>
          <cell r="Q284"/>
          <cell r="R284"/>
          <cell r="S284"/>
          <cell r="T284"/>
          <cell r="U284"/>
          <cell r="V284"/>
          <cell r="W284"/>
          <cell r="X284"/>
          <cell r="Y284"/>
          <cell r="Z284"/>
          <cell r="AA284"/>
          <cell r="AB284"/>
          <cell r="AC284"/>
          <cell r="AD284"/>
          <cell r="AE284"/>
          <cell r="AF284">
            <v>8.0110400000000013</v>
          </cell>
          <cell r="AG284"/>
          <cell r="AH284"/>
          <cell r="AI284" t="str">
            <v>Co</v>
          </cell>
          <cell r="AJ284" t="str">
            <v/>
          </cell>
          <cell r="AK284" t="str">
            <v/>
          </cell>
          <cell r="AL284" t="str">
            <v/>
          </cell>
          <cell r="AM284" t="str">
            <v/>
          </cell>
          <cell r="AN284" t="str">
            <v>-1.Ta</v>
          </cell>
          <cell r="AO284" t="str">
            <v/>
          </cell>
          <cell r="AP284" t="str">
            <v/>
          </cell>
          <cell r="AQ284" t="str">
            <v>-22.Ti</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cell r="BD284" t="str">
            <v/>
          </cell>
          <cell r="BE284" t="str">
            <v/>
          </cell>
          <cell r="BF284" t="str">
            <v/>
          </cell>
          <cell r="BG284" t="str">
            <v/>
          </cell>
          <cell r="BH284" t="str">
            <v>Ta1TLiu, Y., Takasugi, T., Izumi, O. &amp; Suenaga, H. Mechanical properties of Co3Ti polycrystals alloyed with various additions. JOURNAL OF MATERIALS SCIENCE vol. 24 (1989).</v>
          </cell>
          <cell r="BI284" t="str">
            <v>Co-22.Ti-1.Ta</v>
          </cell>
          <cell r="BJ284" t="str">
            <v>77.0Co-22.0Ti-1.0Ta</v>
          </cell>
        </row>
        <row r="285">
          <cell r="A285" t="str">
            <v>Co-21.9Ti-1.Mo</v>
          </cell>
          <cell r="B285" t="str">
            <v>Co3Ti</v>
          </cell>
          <cell r="C285" t="str">
            <v>-22Ti-1Mo</v>
          </cell>
          <cell r="D285" t="str">
            <v>Mo1T</v>
          </cell>
          <cell r="E285" t="str">
            <v>Liu, Y., Takasugi, T., Izumi, O. &amp; Suenaga, H. Mechanical properties of Co3Ti polycrystals alloyed with various additions. JOURNAL OF MATERIALS SCIENCE vol. 24 (1989).</v>
          </cell>
          <cell r="F285">
            <v>297</v>
          </cell>
          <cell r="G285">
            <v>77.099999999999994</v>
          </cell>
          <cell r="H285"/>
          <cell r="I285"/>
          <cell r="J285"/>
          <cell r="K285"/>
          <cell r="L285">
            <v>21.9</v>
          </cell>
          <cell r="M285"/>
          <cell r="N285"/>
          <cell r="O285"/>
          <cell r="P285">
            <v>1</v>
          </cell>
          <cell r="Q285"/>
          <cell r="R285"/>
          <cell r="S285"/>
          <cell r="T285"/>
          <cell r="U285"/>
          <cell r="V285"/>
          <cell r="W285"/>
          <cell r="X285"/>
          <cell r="Y285"/>
          <cell r="Z285"/>
          <cell r="AA285"/>
          <cell r="AB285"/>
          <cell r="AC285"/>
          <cell r="AD285"/>
          <cell r="AE285"/>
          <cell r="AF285">
            <v>7.9517329999999991</v>
          </cell>
          <cell r="AG285"/>
          <cell r="AH285"/>
          <cell r="AI285" t="str">
            <v>Co</v>
          </cell>
          <cell r="AJ285" t="str">
            <v/>
          </cell>
          <cell r="AK285" t="str">
            <v/>
          </cell>
          <cell r="AL285" t="str">
            <v/>
          </cell>
          <cell r="AM285" t="str">
            <v/>
          </cell>
          <cell r="AN285" t="str">
            <v/>
          </cell>
          <cell r="AO285" t="str">
            <v/>
          </cell>
          <cell r="AP285" t="str">
            <v/>
          </cell>
          <cell r="AQ285" t="str">
            <v>-21.9Ti</v>
          </cell>
          <cell r="AR285" t="str">
            <v>-1.Mo</v>
          </cell>
          <cell r="AS285" t="str">
            <v/>
          </cell>
          <cell r="AT285" t="str">
            <v/>
          </cell>
          <cell r="AU285" t="str">
            <v/>
          </cell>
          <cell r="AV285" t="str">
            <v/>
          </cell>
          <cell r="AW285" t="str">
            <v/>
          </cell>
          <cell r="AX285" t="str">
            <v/>
          </cell>
          <cell r="AY285" t="str">
            <v/>
          </cell>
          <cell r="AZ285" t="str">
            <v/>
          </cell>
          <cell r="BA285" t="str">
            <v/>
          </cell>
          <cell r="BB285" t="str">
            <v/>
          </cell>
          <cell r="BC285" t="str">
            <v/>
          </cell>
          <cell r="BD285" t="str">
            <v/>
          </cell>
          <cell r="BE285" t="str">
            <v/>
          </cell>
          <cell r="BF285" t="str">
            <v/>
          </cell>
          <cell r="BG285" t="str">
            <v/>
          </cell>
          <cell r="BH285" t="str">
            <v>Mo1TLiu, Y., Takasugi, T., Izumi, O. &amp; Suenaga, H. Mechanical properties of Co3Ti polycrystals alloyed with various additions. JOURNAL OF MATERIALS SCIENCE vol. 24 (1989).</v>
          </cell>
          <cell r="BI285" t="str">
            <v>Co-21.9Ti-1.Mo</v>
          </cell>
          <cell r="BJ285" t="str">
            <v>77.1Co-21.9Ti-1.0Mo</v>
          </cell>
        </row>
        <row r="286">
          <cell r="A286" t="str">
            <v>Co-1.W-21.9Ti</v>
          </cell>
          <cell r="B286" t="str">
            <v>Co3Ti</v>
          </cell>
          <cell r="C286" t="str">
            <v>-1W-22Ti</v>
          </cell>
          <cell r="D286" t="str">
            <v>W1T</v>
          </cell>
          <cell r="E286" t="str">
            <v>Liu, Y., Takasugi, T., Izumi, O. &amp; Suenaga, H. Mechanical properties of Co3Ti polycrystals alloyed with various additions. JOURNAL OF MATERIALS SCIENCE vol. 24 (1989).</v>
          </cell>
          <cell r="F286">
            <v>298</v>
          </cell>
          <cell r="G286">
            <v>77.099999999999994</v>
          </cell>
          <cell r="H286"/>
          <cell r="I286"/>
          <cell r="J286"/>
          <cell r="K286">
            <v>1</v>
          </cell>
          <cell r="L286">
            <v>21.9</v>
          </cell>
          <cell r="M286"/>
          <cell r="N286"/>
          <cell r="O286"/>
          <cell r="P286"/>
          <cell r="Q286"/>
          <cell r="R286"/>
          <cell r="S286"/>
          <cell r="T286"/>
          <cell r="U286"/>
          <cell r="V286"/>
          <cell r="W286"/>
          <cell r="X286"/>
          <cell r="Y286"/>
          <cell r="Z286"/>
          <cell r="AA286"/>
          <cell r="AB286"/>
          <cell r="AC286"/>
          <cell r="AD286"/>
          <cell r="AE286"/>
          <cell r="AF286">
            <v>8.0414329999999996</v>
          </cell>
          <cell r="AG286"/>
          <cell r="AH286"/>
          <cell r="AI286" t="str">
            <v>Co</v>
          </cell>
          <cell r="AJ286" t="str">
            <v/>
          </cell>
          <cell r="AK286" t="str">
            <v>-1.W</v>
          </cell>
          <cell r="AL286" t="str">
            <v/>
          </cell>
          <cell r="AM286" t="str">
            <v/>
          </cell>
          <cell r="AN286" t="str">
            <v/>
          </cell>
          <cell r="AO286" t="str">
            <v/>
          </cell>
          <cell r="AP286" t="str">
            <v/>
          </cell>
          <cell r="AQ286" t="str">
            <v>-21.9Ti</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cell r="BD286" t="str">
            <v/>
          </cell>
          <cell r="BE286" t="str">
            <v/>
          </cell>
          <cell r="BF286" t="str">
            <v/>
          </cell>
          <cell r="BG286" t="str">
            <v/>
          </cell>
          <cell r="BH286" t="str">
            <v>W1TLiu, Y., Takasugi, T., Izumi, O. &amp; Suenaga, H. Mechanical properties of Co3Ti polycrystals alloyed with various additions. JOURNAL OF MATERIALS SCIENCE vol. 24 (1989).</v>
          </cell>
          <cell r="BI286" t="str">
            <v>Co-1.W-21.9Ti</v>
          </cell>
          <cell r="BJ286" t="str">
            <v>77.1Co-1.0W-21.9Ti</v>
          </cell>
        </row>
        <row r="287">
          <cell r="A287" t="str">
            <v>Co-2.9Fe-21.4Ti</v>
          </cell>
          <cell r="B287" t="str">
            <v>Co3Ti</v>
          </cell>
          <cell r="C287" t="str">
            <v>-3Fe-21Ti</v>
          </cell>
          <cell r="D287" t="str">
            <v>Fe3M</v>
          </cell>
          <cell r="E287" t="str">
            <v>Liu, Y., Takasugi, T., Izumi, O. &amp; Suenaga, H. Mechanical properties of Co3Ti polycrystals alloyed with various additions. JOURNAL OF MATERIALS SCIENCE vol. 24 (1989).</v>
          </cell>
          <cell r="F287">
            <v>299</v>
          </cell>
          <cell r="G287">
            <v>75.73</v>
          </cell>
          <cell r="H287"/>
          <cell r="I287"/>
          <cell r="J287"/>
          <cell r="K287"/>
          <cell r="L287">
            <v>21.4</v>
          </cell>
          <cell r="M287"/>
          <cell r="N287"/>
          <cell r="O287"/>
          <cell r="P287"/>
          <cell r="Q287"/>
          <cell r="R287"/>
          <cell r="S287"/>
          <cell r="T287"/>
          <cell r="U287"/>
          <cell r="V287"/>
          <cell r="W287">
            <v>2.87</v>
          </cell>
          <cell r="X287"/>
          <cell r="Y287"/>
          <cell r="Z287"/>
          <cell r="AA287"/>
          <cell r="AB287"/>
          <cell r="AC287"/>
          <cell r="AD287"/>
          <cell r="AE287"/>
          <cell r="AF287">
            <v>7.9304518000000011</v>
          </cell>
          <cell r="AG287"/>
          <cell r="AH287"/>
          <cell r="AI287" t="str">
            <v>Co</v>
          </cell>
          <cell r="AJ287" t="str">
            <v/>
          </cell>
          <cell r="AK287" t="str">
            <v/>
          </cell>
          <cell r="AL287" t="str">
            <v/>
          </cell>
          <cell r="AM287" t="str">
            <v/>
          </cell>
          <cell r="AN287" t="str">
            <v/>
          </cell>
          <cell r="AO287" t="str">
            <v/>
          </cell>
          <cell r="AP287" t="str">
            <v/>
          </cell>
          <cell r="AQ287" t="str">
            <v>-21.4Ti</v>
          </cell>
          <cell r="AR287" t="str">
            <v/>
          </cell>
          <cell r="AS287" t="str">
            <v/>
          </cell>
          <cell r="AT287" t="str">
            <v/>
          </cell>
          <cell r="AU287" t="str">
            <v/>
          </cell>
          <cell r="AV287" t="str">
            <v/>
          </cell>
          <cell r="AW287" t="str">
            <v/>
          </cell>
          <cell r="AX287" t="str">
            <v/>
          </cell>
          <cell r="AY287" t="str">
            <v>-2.9Fe</v>
          </cell>
          <cell r="AZ287" t="str">
            <v/>
          </cell>
          <cell r="BA287" t="str">
            <v/>
          </cell>
          <cell r="BB287" t="str">
            <v/>
          </cell>
          <cell r="BC287" t="str">
            <v/>
          </cell>
          <cell r="BD287" t="str">
            <v/>
          </cell>
          <cell r="BE287" t="str">
            <v/>
          </cell>
          <cell r="BF287" t="str">
            <v/>
          </cell>
          <cell r="BG287" t="str">
            <v/>
          </cell>
          <cell r="BH287" t="str">
            <v>Fe3MLiu, Y., Takasugi, T., Izumi, O. &amp; Suenaga, H. Mechanical properties of Co3Ti polycrystals alloyed with various additions. JOURNAL OF MATERIALS SCIENCE vol. 24 (1989).</v>
          </cell>
          <cell r="BI287" t="str">
            <v>Co-2.9Fe-21.4Ti</v>
          </cell>
          <cell r="BJ287" t="str">
            <v>75.7Co-2.9Fe-21.4Ti</v>
          </cell>
        </row>
        <row r="288">
          <cell r="A288" t="str">
            <v>Co-2.1Al-20.9Ti</v>
          </cell>
          <cell r="B288" t="str">
            <v>Co3Ti</v>
          </cell>
          <cell r="C288" t="str">
            <v>-2Al-21Ti</v>
          </cell>
          <cell r="D288" t="str">
            <v>Al2T</v>
          </cell>
          <cell r="E288" t="str">
            <v>Liu, Y., Takasugi, T., Izumi, O. &amp; Suenaga, H. Mechanical properties of Co3Ti polycrystals alloyed with various additions. JOURNAL OF MATERIALS SCIENCE vol. 24 (1989).</v>
          </cell>
          <cell r="F288">
            <v>300</v>
          </cell>
          <cell r="G288">
            <v>77.03</v>
          </cell>
          <cell r="H288"/>
          <cell r="I288">
            <v>2.0699999999999998</v>
          </cell>
          <cell r="J288"/>
          <cell r="K288"/>
          <cell r="L288">
            <v>20.9</v>
          </cell>
          <cell r="M288"/>
          <cell r="N288"/>
          <cell r="O288"/>
          <cell r="P288"/>
          <cell r="Q288"/>
          <cell r="R288"/>
          <cell r="S288"/>
          <cell r="T288"/>
          <cell r="U288"/>
          <cell r="V288"/>
          <cell r="W288"/>
          <cell r="X288"/>
          <cell r="Y288"/>
          <cell r="Z288"/>
          <cell r="AA288"/>
          <cell r="AB288"/>
          <cell r="AC288"/>
          <cell r="AD288"/>
          <cell r="AE288"/>
          <cell r="AF288">
            <v>7.853523</v>
          </cell>
          <cell r="AG288"/>
          <cell r="AH288"/>
          <cell r="AI288" t="str">
            <v>Co</v>
          </cell>
          <cell r="AJ288" t="str">
            <v>-2.1Al</v>
          </cell>
          <cell r="AK288" t="str">
            <v/>
          </cell>
          <cell r="AL288" t="str">
            <v/>
          </cell>
          <cell r="AM288" t="str">
            <v/>
          </cell>
          <cell r="AN288" t="str">
            <v/>
          </cell>
          <cell r="AO288" t="str">
            <v/>
          </cell>
          <cell r="AP288" t="str">
            <v/>
          </cell>
          <cell r="AQ288" t="str">
            <v>-20.9Ti</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cell r="BD288" t="str">
            <v/>
          </cell>
          <cell r="BE288" t="str">
            <v/>
          </cell>
          <cell r="BF288" t="str">
            <v/>
          </cell>
          <cell r="BG288" t="str">
            <v/>
          </cell>
          <cell r="BH288" t="str">
            <v>Al2TLiu, Y., Takasugi, T., Izumi, O. &amp; Suenaga, H. Mechanical properties of Co3Ti polycrystals alloyed with various additions. JOURNAL OF MATERIALS SCIENCE vol. 24 (1989).</v>
          </cell>
          <cell r="BI288" t="str">
            <v>Co-2.1Al-20.9Ti</v>
          </cell>
          <cell r="BJ288" t="str">
            <v>77.0Co-2.1Al-20.9Ti</v>
          </cell>
        </row>
        <row r="289">
          <cell r="A289" t="str">
            <v>Co-20.9Ti-2.Ge</v>
          </cell>
          <cell r="B289" t="str">
            <v>Co3Ti</v>
          </cell>
          <cell r="C289" t="str">
            <v>-21Ti-2Ge</v>
          </cell>
          <cell r="D289" t="str">
            <v>Ge2T</v>
          </cell>
          <cell r="E289" t="str">
            <v>Liu, Y., Takasugi, T., Izumi, O. &amp; Suenaga, H. Mechanical properties of Co3Ti polycrystals alloyed with various additions. JOURNAL OF MATERIALS SCIENCE vol. 24 (1989).</v>
          </cell>
          <cell r="F289">
            <v>301</v>
          </cell>
          <cell r="G289">
            <v>77.069999999999993</v>
          </cell>
          <cell r="H289"/>
          <cell r="I289"/>
          <cell r="J289"/>
          <cell r="K289"/>
          <cell r="L289">
            <v>20.9</v>
          </cell>
          <cell r="M289"/>
          <cell r="N289"/>
          <cell r="O289"/>
          <cell r="P289"/>
          <cell r="Q289"/>
          <cell r="R289"/>
          <cell r="S289"/>
          <cell r="T289"/>
          <cell r="U289"/>
          <cell r="V289"/>
          <cell r="W289"/>
          <cell r="X289"/>
          <cell r="Y289"/>
          <cell r="Z289">
            <v>2.0299999999999998</v>
          </cell>
          <cell r="AA289"/>
          <cell r="AB289"/>
          <cell r="AC289"/>
          <cell r="AD289"/>
          <cell r="AE289"/>
          <cell r="AF289">
            <v>7.9092498999999998</v>
          </cell>
          <cell r="AG289"/>
          <cell r="AH289"/>
          <cell r="AI289" t="str">
            <v>Co</v>
          </cell>
          <cell r="AJ289" t="str">
            <v/>
          </cell>
          <cell r="AK289" t="str">
            <v/>
          </cell>
          <cell r="AL289" t="str">
            <v/>
          </cell>
          <cell r="AM289" t="str">
            <v/>
          </cell>
          <cell r="AN289" t="str">
            <v/>
          </cell>
          <cell r="AO289" t="str">
            <v/>
          </cell>
          <cell r="AP289" t="str">
            <v/>
          </cell>
          <cell r="AQ289" t="str">
            <v>-20.9Ti</v>
          </cell>
          <cell r="AR289" t="str">
            <v/>
          </cell>
          <cell r="AS289" t="str">
            <v/>
          </cell>
          <cell r="AT289" t="str">
            <v/>
          </cell>
          <cell r="AU289" t="str">
            <v/>
          </cell>
          <cell r="AV289" t="str">
            <v/>
          </cell>
          <cell r="AW289" t="str">
            <v/>
          </cell>
          <cell r="AX289" t="str">
            <v/>
          </cell>
          <cell r="AY289" t="str">
            <v/>
          </cell>
          <cell r="AZ289" t="str">
            <v/>
          </cell>
          <cell r="BA289" t="str">
            <v/>
          </cell>
          <cell r="BB289" t="str">
            <v>-2.Ge</v>
          </cell>
          <cell r="BC289" t="str">
            <v/>
          </cell>
          <cell r="BD289" t="str">
            <v/>
          </cell>
          <cell r="BE289" t="str">
            <v/>
          </cell>
          <cell r="BF289" t="str">
            <v/>
          </cell>
          <cell r="BG289" t="str">
            <v/>
          </cell>
          <cell r="BH289" t="str">
            <v>Ge2TLiu, Y., Takasugi, T., Izumi, O. &amp; Suenaga, H. Mechanical properties of Co3Ti polycrystals alloyed with various additions. JOURNAL OF MATERIALS SCIENCE vol. 24 (1989).</v>
          </cell>
          <cell r="BI289" t="str">
            <v>Co-20.9Ti-2.Ge</v>
          </cell>
          <cell r="BJ289" t="str">
            <v>77.1Co-20.9Ti-2.0Ge</v>
          </cell>
        </row>
        <row r="290">
          <cell r="A290" t="str">
            <v>Co-2.9Cr-19.9Ti</v>
          </cell>
          <cell r="B290" t="str">
            <v>Co3Ti</v>
          </cell>
          <cell r="C290" t="str">
            <v>-3Cr-20Ti</v>
          </cell>
          <cell r="D290" t="str">
            <v>Cr3T</v>
          </cell>
          <cell r="E290" t="str">
            <v>Liu, Y., Takasugi, T., Izumi, O. &amp; Suenaga, H. Mechanical properties of Co3Ti polycrystals alloyed with various additions. JOURNAL OF MATERIALS SCIENCE vol. 24 (1989).</v>
          </cell>
          <cell r="F290">
            <v>302</v>
          </cell>
          <cell r="G290">
            <v>77.25</v>
          </cell>
          <cell r="H290"/>
          <cell r="I290"/>
          <cell r="J290">
            <v>2.85</v>
          </cell>
          <cell r="K290"/>
          <cell r="L290">
            <v>19.899999999999999</v>
          </cell>
          <cell r="M290"/>
          <cell r="N290"/>
          <cell r="O290"/>
          <cell r="P290"/>
          <cell r="Q290"/>
          <cell r="R290"/>
          <cell r="S290"/>
          <cell r="T290"/>
          <cell r="U290"/>
          <cell r="V290"/>
          <cell r="W290"/>
          <cell r="X290"/>
          <cell r="Y290"/>
          <cell r="Z290"/>
          <cell r="AA290"/>
          <cell r="AB290"/>
          <cell r="AC290"/>
          <cell r="AD290"/>
          <cell r="AE290"/>
          <cell r="AF290">
            <v>7.9770579999999995</v>
          </cell>
          <cell r="AG290"/>
          <cell r="AH290"/>
          <cell r="AI290" t="str">
            <v>Co</v>
          </cell>
          <cell r="AJ290" t="str">
            <v/>
          </cell>
          <cell r="AK290" t="str">
            <v/>
          </cell>
          <cell r="AL290" t="str">
            <v/>
          </cell>
          <cell r="AM290" t="str">
            <v>-2.9Cr</v>
          </cell>
          <cell r="AN290" t="str">
            <v/>
          </cell>
          <cell r="AO290" t="str">
            <v/>
          </cell>
          <cell r="AP290" t="str">
            <v/>
          </cell>
          <cell r="AQ290" t="str">
            <v>-19.9Ti</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cell r="BD290" t="str">
            <v/>
          </cell>
          <cell r="BE290" t="str">
            <v/>
          </cell>
          <cell r="BF290" t="str">
            <v/>
          </cell>
          <cell r="BG290" t="str">
            <v/>
          </cell>
          <cell r="BH290" t="str">
            <v>Cr3TLiu, Y., Takasugi, T., Izumi, O. &amp; Suenaga, H. Mechanical properties of Co3Ti polycrystals alloyed with various additions. JOURNAL OF MATERIALS SCIENCE vol. 24 (1989).</v>
          </cell>
          <cell r="BI290" t="str">
            <v>Co-2.9Cr-19.9Ti</v>
          </cell>
          <cell r="BJ290" t="str">
            <v>77.3Co-2.9Cr-19.9Ti</v>
          </cell>
        </row>
        <row r="291">
          <cell r="A291" t="str">
            <v>Co-19.8Ti-3.V</v>
          </cell>
          <cell r="B291" t="str">
            <v>Co3Ti</v>
          </cell>
          <cell r="C291" t="str">
            <v>-20Ti-3V</v>
          </cell>
          <cell r="D291" t="str">
            <v>V3T</v>
          </cell>
          <cell r="E291" t="str">
            <v>Liu, Y., Takasugi, T., Izumi, O. &amp; Suenaga, H. Mechanical properties of Co3Ti polycrystals alloyed with various additions. JOURNAL OF MATERIALS SCIENCE vol. 24 (1989).</v>
          </cell>
          <cell r="F291">
            <v>303</v>
          </cell>
          <cell r="G291">
            <v>77.25</v>
          </cell>
          <cell r="H291"/>
          <cell r="I291"/>
          <cell r="J291"/>
          <cell r="K291"/>
          <cell r="L291">
            <v>19.8</v>
          </cell>
          <cell r="M291"/>
          <cell r="N291"/>
          <cell r="O291">
            <v>2.95</v>
          </cell>
          <cell r="P291"/>
          <cell r="Q291"/>
          <cell r="R291"/>
          <cell r="S291"/>
          <cell r="T291"/>
          <cell r="U291"/>
          <cell r="V291"/>
          <cell r="W291"/>
          <cell r="X291"/>
          <cell r="Y291"/>
          <cell r="Z291"/>
          <cell r="AA291"/>
          <cell r="AB291"/>
          <cell r="AC291"/>
          <cell r="AD291"/>
          <cell r="AE291"/>
          <cell r="AF291">
            <v>7.9478809999999998</v>
          </cell>
          <cell r="AG291"/>
          <cell r="AH291"/>
          <cell r="AI291" t="str">
            <v>Co</v>
          </cell>
          <cell r="AJ291" t="str">
            <v/>
          </cell>
          <cell r="AK291" t="str">
            <v/>
          </cell>
          <cell r="AL291" t="str">
            <v/>
          </cell>
          <cell r="AM291" t="str">
            <v/>
          </cell>
          <cell r="AN291" t="str">
            <v/>
          </cell>
          <cell r="AO291" t="str">
            <v/>
          </cell>
          <cell r="AP291" t="str">
            <v>-3.V</v>
          </cell>
          <cell r="AQ291" t="str">
            <v>-19.8Ti</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cell r="BD291" t="str">
            <v/>
          </cell>
          <cell r="BE291" t="str">
            <v/>
          </cell>
          <cell r="BF291" t="str">
            <v/>
          </cell>
          <cell r="BG291" t="str">
            <v/>
          </cell>
          <cell r="BH291" t="str">
            <v>V3TLiu, Y., Takasugi, T., Izumi, O. &amp; Suenaga, H. Mechanical properties of Co3Ti polycrystals alloyed with various additions. JOURNAL OF MATERIALS SCIENCE vol. 24 (1989).</v>
          </cell>
          <cell r="BI291" t="str">
            <v>Co-19.8Ti-3.V</v>
          </cell>
          <cell r="BJ291" t="str">
            <v>77.3Co-19.8Ti-3.0V</v>
          </cell>
        </row>
        <row r="292">
          <cell r="A292" t="str">
            <v>Co-18.9Ni-4.3Al-14.7Cr-5.1Ti</v>
          </cell>
          <cell r="B292" t="str">
            <v>Co3Ti</v>
          </cell>
          <cell r="C292" t="str">
            <v>-19Ni-4Al-15Cr-5Ti</v>
          </cell>
          <cell r="D292" t="str">
            <v>56Co</v>
          </cell>
          <cell r="E292" t="str">
            <v>Llewelyn, S. C. H. et al. The effect of Ni:Co ratio on the elemental phase partitioning in γ-γ′ Ni-Co-Al-Ti-Cr alloys. Acta Mater. 131, 296–304 (2017).</v>
          </cell>
          <cell r="F292">
            <v>304</v>
          </cell>
          <cell r="G292">
            <v>57.03</v>
          </cell>
          <cell r="H292">
            <v>18.89</v>
          </cell>
          <cell r="I292">
            <v>4.3099999999999996</v>
          </cell>
          <cell r="J292">
            <v>14.71</v>
          </cell>
          <cell r="K292"/>
          <cell r="L292">
            <v>5.0599999999999996</v>
          </cell>
          <cell r="M292"/>
          <cell r="N292"/>
          <cell r="O292"/>
          <cell r="P292"/>
          <cell r="Q292"/>
          <cell r="R292"/>
          <cell r="S292"/>
          <cell r="T292"/>
          <cell r="U292"/>
          <cell r="V292"/>
          <cell r="W292"/>
          <cell r="X292"/>
          <cell r="Y292"/>
          <cell r="Z292"/>
          <cell r="AA292"/>
          <cell r="AB292"/>
          <cell r="AC292"/>
          <cell r="AD292"/>
          <cell r="AE292"/>
          <cell r="AF292">
            <v>8.1604644000000004</v>
          </cell>
          <cell r="AG292"/>
          <cell r="AH292"/>
          <cell r="AI292" t="str">
            <v>Co</v>
          </cell>
          <cell r="AJ292" t="str">
            <v>-4.3Al</v>
          </cell>
          <cell r="AK292" t="str">
            <v/>
          </cell>
          <cell r="AL292" t="str">
            <v>-18.9Ni</v>
          </cell>
          <cell r="AM292" t="str">
            <v>-14.7Cr</v>
          </cell>
          <cell r="AN292" t="str">
            <v/>
          </cell>
          <cell r="AO292" t="str">
            <v/>
          </cell>
          <cell r="AP292" t="str">
            <v/>
          </cell>
          <cell r="AQ292" t="str">
            <v>-5.1Ti</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cell r="BD292" t="str">
            <v/>
          </cell>
          <cell r="BE292" t="str">
            <v/>
          </cell>
          <cell r="BF292" t="str">
            <v/>
          </cell>
          <cell r="BG292" t="str">
            <v/>
          </cell>
          <cell r="BH292" t="str">
            <v>56CoLlewelyn, S. C. H. et al. The effect of Ni:Co ratio on the elemental phase partitioning in γ-γ′ Ni-Co-Al-Ti-Cr alloys. Acta Mater. 131, 296–304 (2017).</v>
          </cell>
          <cell r="BI292" t="str">
            <v>Co-18.9Ni-4.3Al-14.7Cr-5.1Ti</v>
          </cell>
          <cell r="BJ292" t="str">
            <v>75.9Co-18.9Ni-4.3Al-14.7Cr-5.1Ti</v>
          </cell>
        </row>
        <row r="293">
          <cell r="A293" t="str">
            <v>Co-27.3Ni-4.9Al-14.5Cr-4.9Ti</v>
          </cell>
          <cell r="B293" t="str">
            <v>W-free</v>
          </cell>
          <cell r="C293" t="str">
            <v>-27Ni-5Al-15Cr-5Ti</v>
          </cell>
          <cell r="D293" t="str">
            <v>47Co</v>
          </cell>
          <cell r="E293" t="str">
            <v>Llewelyn, S. C. H. et al. The effect of Ni:Co ratio on the elemental phase partitioning in γ-γ′ Ni-Co-Al-Ti-Cr alloys. Acta Mater. 131, 296–304 (2017).</v>
          </cell>
          <cell r="F293">
            <v>305</v>
          </cell>
          <cell r="G293">
            <v>48.379999999999995</v>
          </cell>
          <cell r="H293">
            <v>27.27</v>
          </cell>
          <cell r="I293">
            <v>4.91</v>
          </cell>
          <cell r="J293">
            <v>14.52</v>
          </cell>
          <cell r="K293"/>
          <cell r="L293">
            <v>4.92</v>
          </cell>
          <cell r="M293"/>
          <cell r="N293"/>
          <cell r="O293"/>
          <cell r="P293"/>
          <cell r="Q293"/>
          <cell r="R293"/>
          <cell r="S293"/>
          <cell r="T293"/>
          <cell r="U293"/>
          <cell r="V293"/>
          <cell r="W293"/>
          <cell r="X293"/>
          <cell r="Y293"/>
          <cell r="Z293"/>
          <cell r="AA293"/>
          <cell r="AB293"/>
          <cell r="AC293"/>
          <cell r="AD293"/>
          <cell r="AE293"/>
          <cell r="AF293">
            <v>8.1333340000000014</v>
          </cell>
          <cell r="AG293"/>
          <cell r="AH293"/>
          <cell r="AI293" t="str">
            <v>Co</v>
          </cell>
          <cell r="AJ293" t="str">
            <v>-4.9Al</v>
          </cell>
          <cell r="AK293" t="str">
            <v/>
          </cell>
          <cell r="AL293" t="str">
            <v>-27.3Ni</v>
          </cell>
          <cell r="AM293" t="str">
            <v>-14.5Cr</v>
          </cell>
          <cell r="AN293" t="str">
            <v/>
          </cell>
          <cell r="AO293" t="str">
            <v/>
          </cell>
          <cell r="AP293" t="str">
            <v/>
          </cell>
          <cell r="AQ293" t="str">
            <v>-4.9Ti</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cell r="BD293" t="str">
            <v/>
          </cell>
          <cell r="BE293" t="str">
            <v/>
          </cell>
          <cell r="BF293" t="str">
            <v/>
          </cell>
          <cell r="BG293" t="str">
            <v/>
          </cell>
          <cell r="BH293" t="str">
            <v>47CoLlewelyn, S. C. H. et al. The effect of Ni:Co ratio on the elemental phase partitioning in γ-γ′ Ni-Co-Al-Ti-Cr alloys. Acta Mater. 131, 296–304 (2017).</v>
          </cell>
          <cell r="BI293" t="str">
            <v>Co-27.3Ni-4.9Al-14.5Cr-4.9Ti</v>
          </cell>
          <cell r="BJ293" t="str">
            <v>75.7Co-27.3Ni-4.9Al-14.5Cr-4.9Ti</v>
          </cell>
        </row>
        <row r="294">
          <cell r="A294" t="str">
            <v>Co-27.8Ni-3.7Al-19.9W-0.4Si-0.02C-0.01B</v>
          </cell>
          <cell r="B294" t="str">
            <v>CoAlWX+</v>
          </cell>
          <cell r="C294" t="str">
            <v>-28Ni-4Al-20W-Si-C-B</v>
          </cell>
          <cell r="D294" t="str">
            <v>Co-GP-01</v>
          </cell>
          <cell r="E294" t="str">
            <v>Locq, D., Martin, M., Ramusat, C., Fossard, F. &amp; Perrut, M. γ′ Precipitation Study of a Co-Ni-Based Alloy. Metall. Mater. Trans. A Phys. Metall. Mater. Sci. 49, 3854–3864 (2018).</v>
          </cell>
          <cell r="F294">
            <v>306</v>
          </cell>
          <cell r="G294">
            <v>48.22</v>
          </cell>
          <cell r="H294">
            <v>27.8</v>
          </cell>
          <cell r="I294">
            <v>3.7</v>
          </cell>
          <cell r="J294"/>
          <cell r="K294">
            <v>19.899999999999999</v>
          </cell>
          <cell r="L294"/>
          <cell r="M294"/>
          <cell r="N294"/>
          <cell r="O294"/>
          <cell r="P294"/>
          <cell r="Q294">
            <v>0.02</v>
          </cell>
          <cell r="R294"/>
          <cell r="S294">
            <v>0.01</v>
          </cell>
          <cell r="T294"/>
          <cell r="U294"/>
          <cell r="V294">
            <v>0.35</v>
          </cell>
          <cell r="W294"/>
          <cell r="X294"/>
          <cell r="Y294"/>
          <cell r="Z294"/>
          <cell r="AA294"/>
          <cell r="AB294"/>
          <cell r="AC294"/>
          <cell r="AD294"/>
          <cell r="AE294"/>
          <cell r="AF294">
            <v>10.707506999999998</v>
          </cell>
          <cell r="AG294"/>
          <cell r="AH294"/>
          <cell r="AI294" t="str">
            <v>Co</v>
          </cell>
          <cell r="AJ294" t="str">
            <v>-3.7Al</v>
          </cell>
          <cell r="AK294" t="str">
            <v>-19.9W</v>
          </cell>
          <cell r="AL294" t="str">
            <v>-27.8Ni</v>
          </cell>
          <cell r="AM294" t="str">
            <v/>
          </cell>
          <cell r="AN294" t="str">
            <v/>
          </cell>
          <cell r="AO294" t="str">
            <v/>
          </cell>
          <cell r="AP294" t="str">
            <v/>
          </cell>
          <cell r="AQ294" t="str">
            <v/>
          </cell>
          <cell r="AR294" t="str">
            <v/>
          </cell>
          <cell r="AS294" t="str">
            <v>-0.02C</v>
          </cell>
          <cell r="AT294" t="str">
            <v/>
          </cell>
          <cell r="AU294" t="str">
            <v>-0.01B</v>
          </cell>
          <cell r="AV294" t="str">
            <v/>
          </cell>
          <cell r="AW294" t="str">
            <v/>
          </cell>
          <cell r="AX294" t="str">
            <v>-0.4Si</v>
          </cell>
          <cell r="AY294" t="str">
            <v/>
          </cell>
          <cell r="AZ294" t="str">
            <v/>
          </cell>
          <cell r="BA294" t="str">
            <v/>
          </cell>
          <cell r="BB294" t="str">
            <v/>
          </cell>
          <cell r="BC294" t="str">
            <v/>
          </cell>
          <cell r="BD294" t="str">
            <v/>
          </cell>
          <cell r="BE294" t="str">
            <v/>
          </cell>
          <cell r="BF294" t="str">
            <v/>
          </cell>
          <cell r="BG294" t="str">
            <v/>
          </cell>
          <cell r="BH294" t="str">
            <v>Co-GP-01Locq, D., Martin, M., Ramusat, C., Fossard, F. &amp; Perrut, M. γ′ Precipitation Study of a Co-Ni-Based Alloy. Metall. Mater. Trans. A Phys. Metall. Mater. Sci. 49, 3854–3864 (2018).</v>
          </cell>
          <cell r="BI294" t="str">
            <v>Co-27.8Ni-3.7Al-19.9W-0.4Si-0.02C-0.01B</v>
          </cell>
          <cell r="BJ294" t="str">
            <v>76.0Co-27.8Ni-3.7Al-19.9W-0.4Si-0.02C-0.01B</v>
          </cell>
        </row>
        <row r="295">
          <cell r="A295" t="str">
            <v>Co-20.Ni-8.Al-6.Cr-5.W-2.5Ti-1.5Ta-1.4Si-0.1Hf</v>
          </cell>
          <cell r="B295" t="str">
            <v>Co3Ti</v>
          </cell>
          <cell r="C295" t="str">
            <v>-20Ni-8Al-6Cr-5W-3Ti-2Ta-Si-Hf</v>
          </cell>
          <cell r="D295" t="str">
            <v>ERBOCo-0</v>
          </cell>
          <cell r="E295" t="str">
            <v>Lopez-Galilea, I. et al. The thermal stability of intermetallic compounds in an as-cast SX co-base superalloy. Adv. Eng. Mater. 17, 741–747 (2015).</v>
          </cell>
          <cell r="F295">
            <v>307</v>
          </cell>
          <cell r="G295">
            <v>55.5</v>
          </cell>
          <cell r="H295">
            <v>20</v>
          </cell>
          <cell r="I295">
            <v>8</v>
          </cell>
          <cell r="J295">
            <v>6</v>
          </cell>
          <cell r="K295">
            <v>5</v>
          </cell>
          <cell r="L295">
            <v>2.5</v>
          </cell>
          <cell r="M295">
            <v>1.5</v>
          </cell>
          <cell r="N295"/>
          <cell r="O295"/>
          <cell r="P295"/>
          <cell r="Q295"/>
          <cell r="R295"/>
          <cell r="S295"/>
          <cell r="T295"/>
          <cell r="U295"/>
          <cell r="V295">
            <v>1.4</v>
          </cell>
          <cell r="W295"/>
          <cell r="X295"/>
          <cell r="Y295">
            <v>0.1</v>
          </cell>
          <cell r="Z295"/>
          <cell r="AA295"/>
          <cell r="AB295"/>
          <cell r="AC295"/>
          <cell r="AD295"/>
          <cell r="AE295"/>
          <cell r="AF295">
            <v>8.7393549999999998</v>
          </cell>
          <cell r="AG295"/>
          <cell r="AH295"/>
          <cell r="AI295" t="str">
            <v>Co</v>
          </cell>
          <cell r="AJ295" t="str">
            <v>-8.Al</v>
          </cell>
          <cell r="AK295" t="str">
            <v>-5.W</v>
          </cell>
          <cell r="AL295" t="str">
            <v>-20.Ni</v>
          </cell>
          <cell r="AM295" t="str">
            <v>-6.Cr</v>
          </cell>
          <cell r="AN295" t="str">
            <v>-1.5Ta</v>
          </cell>
          <cell r="AO295" t="str">
            <v/>
          </cell>
          <cell r="AP295" t="str">
            <v/>
          </cell>
          <cell r="AQ295" t="str">
            <v>-2.5Ti</v>
          </cell>
          <cell r="AR295" t="str">
            <v/>
          </cell>
          <cell r="AS295" t="str">
            <v/>
          </cell>
          <cell r="AT295" t="str">
            <v/>
          </cell>
          <cell r="AU295" t="str">
            <v/>
          </cell>
          <cell r="AV295" t="str">
            <v/>
          </cell>
          <cell r="AW295" t="str">
            <v/>
          </cell>
          <cell r="AX295" t="str">
            <v>-1.4Si</v>
          </cell>
          <cell r="AY295" t="str">
            <v/>
          </cell>
          <cell r="AZ295" t="str">
            <v/>
          </cell>
          <cell r="BA295" t="str">
            <v>-0.1Hf</v>
          </cell>
          <cell r="BB295" t="str">
            <v/>
          </cell>
          <cell r="BC295" t="str">
            <v/>
          </cell>
          <cell r="BD295" t="str">
            <v/>
          </cell>
          <cell r="BE295" t="str">
            <v/>
          </cell>
          <cell r="BF295" t="str">
            <v/>
          </cell>
          <cell r="BG295" t="str">
            <v/>
          </cell>
          <cell r="BH295" t="str">
            <v>ERBOCo-0Lopez-Galilea, I. et al. The thermal stability of intermetallic compounds in an as-cast SX co-base superalloy. Adv. Eng. Mater. 17, 741–747 (2015).</v>
          </cell>
          <cell r="BI295" t="str">
            <v>Co-20.Ni-8.Al-6.Cr-5.W-2.5Ti-1.5Ta-1.4Si-0.1Hf</v>
          </cell>
          <cell r="BJ295" t="str">
            <v>75.5Co-20.0Ni-8.0Al-6.0Cr-5.0W-2.5Ti-1.5Ta-1.4Si-0.1Hf</v>
          </cell>
        </row>
        <row r="296">
          <cell r="A296" t="str">
            <v>Co-32.Ni-9.9Al-1.4Ti-1.7Ta-4.6Mo</v>
          </cell>
          <cell r="B296" t="str">
            <v>W-free</v>
          </cell>
          <cell r="C296" t="str">
            <v>-32Ni-10Al-1Ti-2Ta-5Mo</v>
          </cell>
          <cell r="D296" t="str">
            <v>30Ni2Ta2Ti</v>
          </cell>
          <cell r="E296" t="str">
            <v>Makineni, S. K. et al. A new class of high strength high temperature Cobalt based γ-γ′ Co-Mo-Al alloys stabilized with Ta addition. Acta Mater. 97, 29–40 (2015).</v>
          </cell>
          <cell r="F296">
            <v>309</v>
          </cell>
          <cell r="G296">
            <v>50.4</v>
          </cell>
          <cell r="H296">
            <v>32</v>
          </cell>
          <cell r="I296">
            <v>9.9</v>
          </cell>
          <cell r="J296"/>
          <cell r="K296"/>
          <cell r="L296">
            <v>1.4</v>
          </cell>
          <cell r="M296">
            <v>1.7</v>
          </cell>
          <cell r="N296"/>
          <cell r="O296"/>
          <cell r="P296">
            <v>4.5999999999999996</v>
          </cell>
          <cell r="Q296"/>
          <cell r="R296"/>
          <cell r="S296"/>
          <cell r="T296"/>
          <cell r="U296"/>
          <cell r="V296"/>
          <cell r="W296"/>
          <cell r="X296"/>
          <cell r="Y296"/>
          <cell r="Z296"/>
          <cell r="AA296"/>
          <cell r="AB296"/>
          <cell r="AC296"/>
          <cell r="AD296"/>
          <cell r="AE296"/>
          <cell r="AF296">
            <v>8.4224879999999995</v>
          </cell>
          <cell r="AG296">
            <v>8.5500000000000007</v>
          </cell>
          <cell r="AH296"/>
          <cell r="AI296" t="str">
            <v>Co</v>
          </cell>
          <cell r="AJ296" t="str">
            <v>-9.9Al</v>
          </cell>
          <cell r="AK296" t="str">
            <v/>
          </cell>
          <cell r="AL296" t="str">
            <v>-32.Ni</v>
          </cell>
          <cell r="AM296" t="str">
            <v/>
          </cell>
          <cell r="AN296" t="str">
            <v>-1.7Ta</v>
          </cell>
          <cell r="AO296" t="str">
            <v/>
          </cell>
          <cell r="AP296" t="str">
            <v/>
          </cell>
          <cell r="AQ296" t="str">
            <v>-1.4Ti</v>
          </cell>
          <cell r="AR296" t="str">
            <v>-4.6Mo</v>
          </cell>
          <cell r="AS296" t="str">
            <v/>
          </cell>
          <cell r="AT296" t="str">
            <v/>
          </cell>
          <cell r="AU296" t="str">
            <v/>
          </cell>
          <cell r="AV296" t="str">
            <v/>
          </cell>
          <cell r="AW296" t="str">
            <v/>
          </cell>
          <cell r="AX296" t="str">
            <v/>
          </cell>
          <cell r="AY296" t="str">
            <v/>
          </cell>
          <cell r="AZ296" t="str">
            <v/>
          </cell>
          <cell r="BA296" t="str">
            <v/>
          </cell>
          <cell r="BB296" t="str">
            <v/>
          </cell>
          <cell r="BC296" t="str">
            <v/>
          </cell>
          <cell r="BD296" t="str">
            <v/>
          </cell>
          <cell r="BE296" t="str">
            <v/>
          </cell>
          <cell r="BF296" t="str">
            <v/>
          </cell>
          <cell r="BG296" t="str">
            <v/>
          </cell>
          <cell r="BH296" t="str">
            <v>30Ni2Ta2TiMakineni, S. K. et al. A new class of high strength high temperature Cobalt based γ-γ′ Co-Mo-Al alloys stabilized with Ta addition. Acta Mater. 97, 29–40 (2015).</v>
          </cell>
          <cell r="BI296" t="str">
            <v>Co-32.Ni-9.9Al-1.4Ti-1.7Ta-4.6Mo</v>
          </cell>
          <cell r="BJ296" t="str">
            <v>82.4Co-32.0Ni-9.9Al-1.4Ti-1.7Ta-4.6Mo</v>
          </cell>
        </row>
        <row r="297">
          <cell r="A297" t="str">
            <v>Co-9.9Al-2.1Ta-5.1Mo</v>
          </cell>
          <cell r="B297" t="str">
            <v>W-free</v>
          </cell>
          <cell r="C297" t="str">
            <v>-10Al-2Ta-5Mo</v>
          </cell>
          <cell r="D297" t="str">
            <v>2Ta</v>
          </cell>
          <cell r="E297" t="str">
            <v>Makineni, S. K. et al. A new class of high strength high temperature Cobalt based γ-γ′ Co-Mo-Al alloys stabilized with Ta addition. Acta Mater. 97, 29–40 (2015).</v>
          </cell>
          <cell r="F297">
            <v>310</v>
          </cell>
          <cell r="G297">
            <v>82.9</v>
          </cell>
          <cell r="H297"/>
          <cell r="I297">
            <v>9.9</v>
          </cell>
          <cell r="J297"/>
          <cell r="K297"/>
          <cell r="L297"/>
          <cell r="M297">
            <v>2.1</v>
          </cell>
          <cell r="N297"/>
          <cell r="O297"/>
          <cell r="P297">
            <v>5.0999999999999996</v>
          </cell>
          <cell r="Q297"/>
          <cell r="R297"/>
          <cell r="S297"/>
          <cell r="T297"/>
          <cell r="U297"/>
          <cell r="V297"/>
          <cell r="W297"/>
          <cell r="X297"/>
          <cell r="Y297"/>
          <cell r="Z297"/>
          <cell r="AA297"/>
          <cell r="AB297"/>
          <cell r="AC297"/>
          <cell r="AD297"/>
          <cell r="AE297"/>
          <cell r="AF297">
            <v>8.5193300000000018</v>
          </cell>
          <cell r="AG297">
            <v>8.61</v>
          </cell>
          <cell r="AH297"/>
          <cell r="AI297" t="str">
            <v>Co</v>
          </cell>
          <cell r="AJ297" t="str">
            <v>-9.9Al</v>
          </cell>
          <cell r="AK297" t="str">
            <v/>
          </cell>
          <cell r="AL297" t="str">
            <v/>
          </cell>
          <cell r="AM297" t="str">
            <v/>
          </cell>
          <cell r="AN297" t="str">
            <v>-2.1Ta</v>
          </cell>
          <cell r="AO297" t="str">
            <v/>
          </cell>
          <cell r="AP297" t="str">
            <v/>
          </cell>
          <cell r="AQ297" t="str">
            <v/>
          </cell>
          <cell r="AR297" t="str">
            <v>-5.1Mo</v>
          </cell>
          <cell r="AS297" t="str">
            <v/>
          </cell>
          <cell r="AT297" t="str">
            <v/>
          </cell>
          <cell r="AU297" t="str">
            <v/>
          </cell>
          <cell r="AV297" t="str">
            <v/>
          </cell>
          <cell r="AW297" t="str">
            <v/>
          </cell>
          <cell r="AX297" t="str">
            <v/>
          </cell>
          <cell r="AY297" t="str">
            <v/>
          </cell>
          <cell r="AZ297" t="str">
            <v/>
          </cell>
          <cell r="BA297" t="str">
            <v/>
          </cell>
          <cell r="BB297" t="str">
            <v/>
          </cell>
          <cell r="BC297" t="str">
            <v/>
          </cell>
          <cell r="BD297" t="str">
            <v/>
          </cell>
          <cell r="BE297" t="str">
            <v/>
          </cell>
          <cell r="BF297" t="str">
            <v/>
          </cell>
          <cell r="BG297" t="str">
            <v/>
          </cell>
          <cell r="BH297" t="str">
            <v>2TaMakineni, S. K. et al. A new class of high strength high temperature Cobalt based γ-γ′ Co-Mo-Al alloys stabilized with Ta addition. Acta Mater. 97, 29–40 (2015).</v>
          </cell>
          <cell r="BI297" t="str">
            <v>Co-9.9Al-2.1Ta-5.1Mo</v>
          </cell>
          <cell r="BJ297" t="str">
            <v>82.9Co-9.9Al-2.1Ta-5.1Mo</v>
          </cell>
        </row>
        <row r="298">
          <cell r="A298" t="str">
            <v>Co-31.Ni-10.1Al-2.1Ta-5.1Mo</v>
          </cell>
          <cell r="B298" t="str">
            <v>W-free</v>
          </cell>
          <cell r="C298" t="str">
            <v>-31Ni-10Al-2Ta-5Mo</v>
          </cell>
          <cell r="D298" t="str">
            <v>30Ni2Ta</v>
          </cell>
          <cell r="E298" t="str">
            <v>Makineni, S. K. et al. A new class of high strength high temperature Cobalt based γ-γ′ Co-Mo-Al alloys stabilized with Ta addition. Acta Mater. 97, 29–40 (2015).</v>
          </cell>
          <cell r="F298">
            <v>311</v>
          </cell>
          <cell r="G298">
            <v>51.699999999999996</v>
          </cell>
          <cell r="H298">
            <v>31</v>
          </cell>
          <cell r="I298">
            <v>10.1</v>
          </cell>
          <cell r="J298"/>
          <cell r="K298"/>
          <cell r="L298"/>
          <cell r="M298">
            <v>2.1</v>
          </cell>
          <cell r="N298"/>
          <cell r="O298"/>
          <cell r="P298">
            <v>5.0999999999999996</v>
          </cell>
          <cell r="Q298"/>
          <cell r="R298"/>
          <cell r="S298"/>
          <cell r="T298"/>
          <cell r="U298"/>
          <cell r="V298"/>
          <cell r="W298"/>
          <cell r="X298"/>
          <cell r="Y298"/>
          <cell r="Z298"/>
          <cell r="AA298"/>
          <cell r="AB298"/>
          <cell r="AC298"/>
          <cell r="AD298"/>
          <cell r="AE298"/>
          <cell r="AF298">
            <v>8.5094100000000008</v>
          </cell>
          <cell r="AG298">
            <v>8.65</v>
          </cell>
          <cell r="AH298"/>
          <cell r="AI298" t="str">
            <v>Co</v>
          </cell>
          <cell r="AJ298" t="str">
            <v>-10.1Al</v>
          </cell>
          <cell r="AK298" t="str">
            <v/>
          </cell>
          <cell r="AL298" t="str">
            <v>-31.Ni</v>
          </cell>
          <cell r="AM298" t="str">
            <v/>
          </cell>
          <cell r="AN298" t="str">
            <v>-2.1Ta</v>
          </cell>
          <cell r="AO298" t="str">
            <v/>
          </cell>
          <cell r="AP298" t="str">
            <v/>
          </cell>
          <cell r="AQ298" t="str">
            <v/>
          </cell>
          <cell r="AR298" t="str">
            <v>-5.1Mo</v>
          </cell>
          <cell r="AS298" t="str">
            <v/>
          </cell>
          <cell r="AT298" t="str">
            <v/>
          </cell>
          <cell r="AU298" t="str">
            <v/>
          </cell>
          <cell r="AV298" t="str">
            <v/>
          </cell>
          <cell r="AW298" t="str">
            <v/>
          </cell>
          <cell r="AX298" t="str">
            <v/>
          </cell>
          <cell r="AY298" t="str">
            <v/>
          </cell>
          <cell r="AZ298" t="str">
            <v/>
          </cell>
          <cell r="BA298" t="str">
            <v/>
          </cell>
          <cell r="BB298" t="str">
            <v/>
          </cell>
          <cell r="BC298" t="str">
            <v/>
          </cell>
          <cell r="BD298" t="str">
            <v/>
          </cell>
          <cell r="BE298" t="str">
            <v/>
          </cell>
          <cell r="BF298" t="str">
            <v/>
          </cell>
          <cell r="BG298" t="str">
            <v/>
          </cell>
          <cell r="BH298" t="str">
            <v>30Ni2TaMakineni, S. K. et al. A new class of high strength high temperature Cobalt based γ-γ′ Co-Mo-Al alloys stabilized with Ta addition. Acta Mater. 97, 29–40 (2015).</v>
          </cell>
          <cell r="BI298" t="str">
            <v>Co-31.Ni-10.1Al-2.1Ta-5.1Mo</v>
          </cell>
          <cell r="BJ298" t="str">
            <v>82.7Co-31.0Ni-10.1Al-2.1Ta-5.1Mo</v>
          </cell>
        </row>
        <row r="299">
          <cell r="A299" t="str">
            <v>Co-9.8Al-2.1Nb-5.1Mo</v>
          </cell>
          <cell r="B299" t="str">
            <v>W-free</v>
          </cell>
          <cell r="C299" t="str">
            <v>-10Al-2Nb-5Mo</v>
          </cell>
          <cell r="D299" t="str">
            <v>5Mo-base</v>
          </cell>
          <cell r="E299" t="str">
            <v>Makineni, S. K., Nithin, B. &amp; Chattopadhyay, K. A new tungsten-free γ-γ’ Co-Al-Mo-Nb-based superalloy. Scr. Mater. 98, 36–39 (2015).</v>
          </cell>
          <cell r="F299">
            <v>312</v>
          </cell>
          <cell r="G299">
            <v>83</v>
          </cell>
          <cell r="H299"/>
          <cell r="I299">
            <v>9.8000000000000007</v>
          </cell>
          <cell r="J299"/>
          <cell r="K299"/>
          <cell r="L299"/>
          <cell r="M299"/>
          <cell r="N299">
            <v>2.1</v>
          </cell>
          <cell r="O299"/>
          <cell r="P299">
            <v>5.0999999999999996</v>
          </cell>
          <cell r="Q299"/>
          <cell r="R299"/>
          <cell r="S299"/>
          <cell r="T299"/>
          <cell r="U299"/>
          <cell r="V299"/>
          <cell r="W299"/>
          <cell r="X299"/>
          <cell r="Y299"/>
          <cell r="Z299"/>
          <cell r="AA299"/>
          <cell r="AB299"/>
          <cell r="AC299"/>
          <cell r="AD299"/>
          <cell r="AE299"/>
          <cell r="AF299">
            <v>8.3558500000000002</v>
          </cell>
          <cell r="AG299">
            <v>8.36</v>
          </cell>
          <cell r="AH299"/>
          <cell r="AI299" t="str">
            <v>Co</v>
          </cell>
          <cell r="AJ299" t="str">
            <v>-9.8Al</v>
          </cell>
          <cell r="AK299" t="str">
            <v/>
          </cell>
          <cell r="AL299" t="str">
            <v/>
          </cell>
          <cell r="AM299" t="str">
            <v/>
          </cell>
          <cell r="AN299" t="str">
            <v/>
          </cell>
          <cell r="AO299" t="str">
            <v>-2.1Nb</v>
          </cell>
          <cell r="AP299" t="str">
            <v/>
          </cell>
          <cell r="AQ299" t="str">
            <v/>
          </cell>
          <cell r="AR299" t="str">
            <v>-5.1Mo</v>
          </cell>
          <cell r="AS299" t="str">
            <v/>
          </cell>
          <cell r="AT299" t="str">
            <v/>
          </cell>
          <cell r="AU299" t="str">
            <v/>
          </cell>
          <cell r="AV299" t="str">
            <v/>
          </cell>
          <cell r="AW299" t="str">
            <v/>
          </cell>
          <cell r="AX299" t="str">
            <v/>
          </cell>
          <cell r="AY299" t="str">
            <v/>
          </cell>
          <cell r="AZ299" t="str">
            <v/>
          </cell>
          <cell r="BA299" t="str">
            <v/>
          </cell>
          <cell r="BB299" t="str">
            <v/>
          </cell>
          <cell r="BC299" t="str">
            <v/>
          </cell>
          <cell r="BD299" t="str">
            <v/>
          </cell>
          <cell r="BE299" t="str">
            <v/>
          </cell>
          <cell r="BF299" t="str">
            <v/>
          </cell>
          <cell r="BG299" t="str">
            <v/>
          </cell>
          <cell r="BH299" t="str">
            <v>5Mo-baseMakineni, S. K., Nithin, B. &amp; Chattopadhyay, K. A new tungsten-free γ-γ’ Co-Al-Mo-Nb-based superalloy. Scr. Mater. 98, 36–39 (2015).</v>
          </cell>
          <cell r="BI299" t="str">
            <v>Co-9.8Al-2.1Nb-5.1Mo</v>
          </cell>
          <cell r="BJ299" t="str">
            <v>83.0Co-9.8Al-2.1Nb-5.1Mo</v>
          </cell>
        </row>
        <row r="300">
          <cell r="A300" t="str">
            <v>Co-11.5Ni-9.9Al-2.1Nb-5.2Mo</v>
          </cell>
          <cell r="B300" t="str">
            <v>W-free</v>
          </cell>
          <cell r="C300" t="str">
            <v>-12Ni-10Al-2Nb-5Mo</v>
          </cell>
          <cell r="D300" t="str">
            <v>CoNi10</v>
          </cell>
          <cell r="E300" t="str">
            <v>Makineni, S. K., Nithin, B. &amp; Chattopadhyay, K. Synthesis of a new tungsten-free γ-γ′ Cobalt-based superalloy by tuning alloying additions. Acta Mater. 85, 85–94 (2015).</v>
          </cell>
          <cell r="F300">
            <v>313</v>
          </cell>
          <cell r="G300">
            <v>71.3</v>
          </cell>
          <cell r="H300">
            <v>11.5</v>
          </cell>
          <cell r="I300">
            <v>9.9</v>
          </cell>
          <cell r="J300"/>
          <cell r="K300"/>
          <cell r="L300"/>
          <cell r="M300"/>
          <cell r="N300">
            <v>2.1</v>
          </cell>
          <cell r="O300"/>
          <cell r="P300">
            <v>5.2</v>
          </cell>
          <cell r="Q300"/>
          <cell r="R300"/>
          <cell r="S300"/>
          <cell r="T300"/>
          <cell r="U300"/>
          <cell r="V300"/>
          <cell r="W300"/>
          <cell r="X300"/>
          <cell r="Y300"/>
          <cell r="Z300"/>
          <cell r="AA300"/>
          <cell r="AB300"/>
          <cell r="AC300"/>
          <cell r="AD300"/>
          <cell r="AE300"/>
          <cell r="AF300">
            <v>8.3519500000000004</v>
          </cell>
          <cell r="AG300">
            <v>8.3699999999999992</v>
          </cell>
          <cell r="AH300"/>
          <cell r="AI300" t="str">
            <v>Co</v>
          </cell>
          <cell r="AJ300" t="str">
            <v>-9.9Al</v>
          </cell>
          <cell r="AK300" t="str">
            <v/>
          </cell>
          <cell r="AL300" t="str">
            <v>-11.5Ni</v>
          </cell>
          <cell r="AM300" t="str">
            <v/>
          </cell>
          <cell r="AN300" t="str">
            <v/>
          </cell>
          <cell r="AO300" t="str">
            <v>-2.1Nb</v>
          </cell>
          <cell r="AP300" t="str">
            <v/>
          </cell>
          <cell r="AQ300" t="str">
            <v/>
          </cell>
          <cell r="AR300" t="str">
            <v>-5.2Mo</v>
          </cell>
          <cell r="AS300" t="str">
            <v/>
          </cell>
          <cell r="AT300" t="str">
            <v/>
          </cell>
          <cell r="AU300" t="str">
            <v/>
          </cell>
          <cell r="AV300" t="str">
            <v/>
          </cell>
          <cell r="AW300" t="str">
            <v/>
          </cell>
          <cell r="AX300" t="str">
            <v/>
          </cell>
          <cell r="AY300" t="str">
            <v/>
          </cell>
          <cell r="AZ300" t="str">
            <v/>
          </cell>
          <cell r="BA300" t="str">
            <v/>
          </cell>
          <cell r="BB300" t="str">
            <v/>
          </cell>
          <cell r="BC300" t="str">
            <v/>
          </cell>
          <cell r="BD300" t="str">
            <v/>
          </cell>
          <cell r="BE300" t="str">
            <v/>
          </cell>
          <cell r="BF300" t="str">
            <v/>
          </cell>
          <cell r="BG300" t="str">
            <v/>
          </cell>
          <cell r="BH300" t="str">
            <v>CoNi10Makineni, S. K., Nithin, B. &amp; Chattopadhyay, K. Synthesis of a new tungsten-free γ-γ′ Cobalt-based superalloy by tuning alloying additions. Acta Mater. 85, 85–94 (2015).</v>
          </cell>
          <cell r="BI300" t="str">
            <v>Co-11.5Ni-9.9Al-2.1Nb-5.2Mo</v>
          </cell>
          <cell r="BJ300" t="str">
            <v>82.8Co-11.5Ni-9.9Al-2.1Nb-5.2Mo</v>
          </cell>
        </row>
        <row r="301">
          <cell r="A301" t="str">
            <v>Co-22.Ni-9.8Al-2.1Nb-5.1Mo</v>
          </cell>
          <cell r="B301" t="str">
            <v>W-free</v>
          </cell>
          <cell r="C301" t="str">
            <v>-22Ni-10Al-2Nb-5Mo</v>
          </cell>
          <cell r="D301" t="str">
            <v>CoNi20</v>
          </cell>
          <cell r="E301" t="str">
            <v>Makineni, S. K., Nithin, B. &amp; Chattopadhyay, K. Synthesis of a new tungsten-free γ-γ′ Cobalt-based superalloy by tuning alloying additions. Acta Mater. 85, 85–94 (2015).</v>
          </cell>
          <cell r="F301">
            <v>314</v>
          </cell>
          <cell r="G301">
            <v>61</v>
          </cell>
          <cell r="H301">
            <v>22</v>
          </cell>
          <cell r="I301">
            <v>9.8000000000000007</v>
          </cell>
          <cell r="J301"/>
          <cell r="K301"/>
          <cell r="L301"/>
          <cell r="M301"/>
          <cell r="N301">
            <v>2.1</v>
          </cell>
          <cell r="O301"/>
          <cell r="P301">
            <v>5.0999999999999996</v>
          </cell>
          <cell r="Q301"/>
          <cell r="R301"/>
          <cell r="S301"/>
          <cell r="T301"/>
          <cell r="U301"/>
          <cell r="V301"/>
          <cell r="W301"/>
          <cell r="X301"/>
          <cell r="Y301"/>
          <cell r="Z301"/>
          <cell r="AA301"/>
          <cell r="AB301"/>
          <cell r="AC301"/>
          <cell r="AD301"/>
          <cell r="AE301"/>
          <cell r="AF301">
            <v>8.3576099999999993</v>
          </cell>
          <cell r="AG301">
            <v>8.3699999999999992</v>
          </cell>
          <cell r="AH301"/>
          <cell r="AI301" t="str">
            <v>Co</v>
          </cell>
          <cell r="AJ301" t="str">
            <v>-9.8Al</v>
          </cell>
          <cell r="AK301" t="str">
            <v/>
          </cell>
          <cell r="AL301" t="str">
            <v>-22.Ni</v>
          </cell>
          <cell r="AM301" t="str">
            <v/>
          </cell>
          <cell r="AN301" t="str">
            <v/>
          </cell>
          <cell r="AO301" t="str">
            <v>-2.1Nb</v>
          </cell>
          <cell r="AP301" t="str">
            <v/>
          </cell>
          <cell r="AQ301" t="str">
            <v/>
          </cell>
          <cell r="AR301" t="str">
            <v>-5.1Mo</v>
          </cell>
          <cell r="AS301" t="str">
            <v/>
          </cell>
          <cell r="AT301" t="str">
            <v/>
          </cell>
          <cell r="AU301" t="str">
            <v/>
          </cell>
          <cell r="AV301" t="str">
            <v/>
          </cell>
          <cell r="AW301" t="str">
            <v/>
          </cell>
          <cell r="AX301" t="str">
            <v/>
          </cell>
          <cell r="AY301" t="str">
            <v/>
          </cell>
          <cell r="AZ301" t="str">
            <v/>
          </cell>
          <cell r="BA301" t="str">
            <v/>
          </cell>
          <cell r="BB301" t="str">
            <v/>
          </cell>
          <cell r="BC301" t="str">
            <v/>
          </cell>
          <cell r="BD301" t="str">
            <v/>
          </cell>
          <cell r="BE301" t="str">
            <v/>
          </cell>
          <cell r="BF301" t="str">
            <v/>
          </cell>
          <cell r="BG301" t="str">
            <v/>
          </cell>
          <cell r="BH301" t="str">
            <v>CoNi20Makineni, S. K., Nithin, B. &amp; Chattopadhyay, K. Synthesis of a new tungsten-free γ-γ′ Cobalt-based superalloy by tuning alloying additions. Acta Mater. 85, 85–94 (2015).</v>
          </cell>
          <cell r="BI301" t="str">
            <v>Co-22.Ni-9.8Al-2.1Nb-5.1Mo</v>
          </cell>
          <cell r="BJ301" t="str">
            <v>83.0Co-22.0Ni-9.8Al-2.1Nb-5.1Mo</v>
          </cell>
        </row>
        <row r="302">
          <cell r="A302" t="str">
            <v>Co-32.Ni-9.7Al-2.3Nb-5.2Mo</v>
          </cell>
          <cell r="B302" t="str">
            <v>W-free</v>
          </cell>
          <cell r="C302" t="str">
            <v>-32Ni-10Al-2Nb-5Mo</v>
          </cell>
          <cell r="D302" t="str">
            <v>CoNi30</v>
          </cell>
          <cell r="E302" t="str">
            <v>Makineni, S. K., Nithin, B. &amp; Chattopadhyay, K. Synthesis of a new tungsten-free γ-γ′ Cobalt-based superalloy by tuning alloying additions. Acta Mater. 85, 85–94 (2015).</v>
          </cell>
          <cell r="F302">
            <v>315</v>
          </cell>
          <cell r="G302">
            <v>50.8</v>
          </cell>
          <cell r="H302">
            <v>32</v>
          </cell>
          <cell r="I302">
            <v>9.6999999999999993</v>
          </cell>
          <cell r="J302"/>
          <cell r="K302"/>
          <cell r="L302"/>
          <cell r="M302"/>
          <cell r="N302">
            <v>2.2999999999999998</v>
          </cell>
          <cell r="O302"/>
          <cell r="P302">
            <v>5.2</v>
          </cell>
          <cell r="Q302"/>
          <cell r="R302"/>
          <cell r="S302"/>
          <cell r="T302"/>
          <cell r="U302"/>
          <cell r="V302"/>
          <cell r="W302"/>
          <cell r="X302"/>
          <cell r="Y302"/>
          <cell r="Z302"/>
          <cell r="AA302"/>
          <cell r="AB302"/>
          <cell r="AC302"/>
          <cell r="AD302"/>
          <cell r="AE302"/>
          <cell r="AF302">
            <v>8.3653300000000002</v>
          </cell>
          <cell r="AG302">
            <v>8.3800000000000008</v>
          </cell>
          <cell r="AH302"/>
          <cell r="AI302" t="str">
            <v>Co</v>
          </cell>
          <cell r="AJ302" t="str">
            <v>-9.7Al</v>
          </cell>
          <cell r="AK302" t="str">
            <v/>
          </cell>
          <cell r="AL302" t="str">
            <v>-32.Ni</v>
          </cell>
          <cell r="AM302" t="str">
            <v/>
          </cell>
          <cell r="AN302" t="str">
            <v/>
          </cell>
          <cell r="AO302" t="str">
            <v>-2.3Nb</v>
          </cell>
          <cell r="AP302" t="str">
            <v/>
          </cell>
          <cell r="AQ302" t="str">
            <v/>
          </cell>
          <cell r="AR302" t="str">
            <v>-5.2Mo</v>
          </cell>
          <cell r="AS302" t="str">
            <v/>
          </cell>
          <cell r="AT302" t="str">
            <v/>
          </cell>
          <cell r="AU302" t="str">
            <v/>
          </cell>
          <cell r="AV302" t="str">
            <v/>
          </cell>
          <cell r="AW302" t="str">
            <v/>
          </cell>
          <cell r="AX302" t="str">
            <v/>
          </cell>
          <cell r="AY302" t="str">
            <v/>
          </cell>
          <cell r="AZ302" t="str">
            <v/>
          </cell>
          <cell r="BA302" t="str">
            <v/>
          </cell>
          <cell r="BB302" t="str">
            <v/>
          </cell>
          <cell r="BC302" t="str">
            <v/>
          </cell>
          <cell r="BD302" t="str">
            <v/>
          </cell>
          <cell r="BE302" t="str">
            <v/>
          </cell>
          <cell r="BF302" t="str">
            <v/>
          </cell>
          <cell r="BG302" t="str">
            <v/>
          </cell>
          <cell r="BH302" t="str">
            <v>CoNi30Makineni, S. K., Nithin, B. &amp; Chattopadhyay, K. Synthesis of a new tungsten-free γ-γ′ Cobalt-based superalloy by tuning alloying additions. Acta Mater. 85, 85–94 (2015).</v>
          </cell>
          <cell r="BI302" t="str">
            <v>Co-32.Ni-9.7Al-2.3Nb-5.2Mo</v>
          </cell>
          <cell r="BJ302" t="str">
            <v>82.8Co-32.0Ni-9.7Al-2.3Nb-5.2Mo</v>
          </cell>
        </row>
        <row r="303">
          <cell r="A303" t="str">
            <v>Co-30.Ni-10.Al-2.Ti-2.Nb</v>
          </cell>
          <cell r="B303" t="str">
            <v>W-free</v>
          </cell>
          <cell r="C303" t="str">
            <v>-30Ni-10Al-2Ti-2Nb</v>
          </cell>
          <cell r="D303" t="str">
            <v>CoNi30Ti</v>
          </cell>
          <cell r="E303" t="str">
            <v>Makineni, S. K., Nithin, B., Palanisamy, D. &amp; Chattopadhyay, K. Phase evolution and crystallography of precipitates during decomposition of new “tungsten-free” Co(Ni)–Mo–Al–Nb γ–γ′ superalloys at elevated temperatures. J. Mater. Sci. 51, 7843–7860 (2016).</v>
          </cell>
          <cell r="F303">
            <v>316</v>
          </cell>
          <cell r="G303">
            <v>56</v>
          </cell>
          <cell r="H303">
            <v>30</v>
          </cell>
          <cell r="I303">
            <v>10</v>
          </cell>
          <cell r="J303"/>
          <cell r="K303"/>
          <cell r="L303">
            <v>2</v>
          </cell>
          <cell r="M303"/>
          <cell r="N303">
            <v>2</v>
          </cell>
          <cell r="O303"/>
          <cell r="P303"/>
          <cell r="Q303"/>
          <cell r="R303"/>
          <cell r="S303"/>
          <cell r="T303"/>
          <cell r="U303"/>
          <cell r="V303"/>
          <cell r="W303"/>
          <cell r="X303"/>
          <cell r="Y303"/>
          <cell r="Z303"/>
          <cell r="AA303"/>
          <cell r="AB303"/>
          <cell r="AC303"/>
          <cell r="AD303"/>
          <cell r="AE303"/>
          <cell r="AF303">
            <v>8.1879400000000011</v>
          </cell>
          <cell r="AG303">
            <v>8.3800000000000008</v>
          </cell>
          <cell r="AH303" t="str">
            <v>composition not verified</v>
          </cell>
          <cell r="AI303" t="str">
            <v>Co</v>
          </cell>
          <cell r="AJ303" t="str">
            <v>-10.Al</v>
          </cell>
          <cell r="AK303" t="str">
            <v/>
          </cell>
          <cell r="AL303" t="str">
            <v>-30.Ni</v>
          </cell>
          <cell r="AM303" t="str">
            <v/>
          </cell>
          <cell r="AN303" t="str">
            <v/>
          </cell>
          <cell r="AO303" t="str">
            <v>-2.Nb</v>
          </cell>
          <cell r="AP303" t="str">
            <v/>
          </cell>
          <cell r="AQ303" t="str">
            <v>-2.Ti</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cell r="BD303" t="str">
            <v/>
          </cell>
          <cell r="BE303" t="str">
            <v/>
          </cell>
          <cell r="BF303" t="str">
            <v/>
          </cell>
          <cell r="BG303" t="str">
            <v/>
          </cell>
          <cell r="BH303" t="str">
            <v>CoNi30TiMakineni, S. K., Nithin, B., Palanisamy, D. &amp; Chattopadhyay, K. Phase evolution and crystallography of precipitates during decomposition of new “tungsten-free” Co(Ni)–Mo–Al–Nb γ–γ′ superalloys at elevated temperatures. J. Mater. Sci. 51, 7843–7860 (2016).</v>
          </cell>
          <cell r="BI303" t="str">
            <v>Co-30.Ni-10.Al-2.Ti-2.Nb</v>
          </cell>
          <cell r="BJ303" t="str">
            <v>86.0Co-30.0Ni-10.0Al-2.0Ti-2.0Nb</v>
          </cell>
        </row>
        <row r="304">
          <cell r="A304" t="str">
            <v>Co-40.Ni-10.Al-10.Cr-7.5W-3.Ta-0.6C-0.06B</v>
          </cell>
          <cell r="B304" t="str">
            <v>CoAlWX+</v>
          </cell>
          <cell r="C304" t="str">
            <v>-40Ni-10Al-10Cr-8W-3Ta-C-B</v>
          </cell>
          <cell r="D304" t="str">
            <v>40Ni-3Ta</v>
          </cell>
          <cell r="E304" t="str">
            <v>Matos, A., Costa, S., Nunes, C. A. &amp; Ramirez, A. J. Development of Co-based superalloys. doi:10.13140/RG.2.2.27969.86883.</v>
          </cell>
          <cell r="F304">
            <v>317</v>
          </cell>
          <cell r="G304">
            <v>28.840000000000003</v>
          </cell>
          <cell r="H304">
            <v>40</v>
          </cell>
          <cell r="I304">
            <v>10</v>
          </cell>
          <cell r="J304">
            <v>10</v>
          </cell>
          <cell r="K304">
            <v>7.5</v>
          </cell>
          <cell r="L304"/>
          <cell r="M304">
            <v>3</v>
          </cell>
          <cell r="N304"/>
          <cell r="O304"/>
          <cell r="P304"/>
          <cell r="Q304">
            <v>0.6</v>
          </cell>
          <cell r="R304"/>
          <cell r="S304">
            <v>0.06</v>
          </cell>
          <cell r="T304"/>
          <cell r="U304"/>
          <cell r="V304"/>
          <cell r="W304"/>
          <cell r="X304"/>
          <cell r="Y304"/>
          <cell r="Z304"/>
          <cell r="AA304"/>
          <cell r="AB304"/>
          <cell r="AC304"/>
          <cell r="AD304"/>
          <cell r="AE304"/>
          <cell r="AF304">
            <v>9.0772460000000006</v>
          </cell>
          <cell r="AG304"/>
          <cell r="AH304"/>
          <cell r="AI304" t="str">
            <v>Co</v>
          </cell>
          <cell r="AJ304" t="str">
            <v>-10.Al</v>
          </cell>
          <cell r="AK304" t="str">
            <v>-7.5W</v>
          </cell>
          <cell r="AL304" t="str">
            <v>-40.Ni</v>
          </cell>
          <cell r="AM304" t="str">
            <v>-10.Cr</v>
          </cell>
          <cell r="AN304" t="str">
            <v>-3.Ta</v>
          </cell>
          <cell r="AO304" t="str">
            <v/>
          </cell>
          <cell r="AP304" t="str">
            <v/>
          </cell>
          <cell r="AQ304" t="str">
            <v/>
          </cell>
          <cell r="AR304" t="str">
            <v/>
          </cell>
          <cell r="AS304" t="str">
            <v>-0.6C</v>
          </cell>
          <cell r="AT304" t="str">
            <v/>
          </cell>
          <cell r="AU304" t="str">
            <v>-0.06B</v>
          </cell>
          <cell r="AV304" t="str">
            <v/>
          </cell>
          <cell r="AW304" t="str">
            <v/>
          </cell>
          <cell r="AX304" t="str">
            <v/>
          </cell>
          <cell r="AY304" t="str">
            <v/>
          </cell>
          <cell r="AZ304" t="str">
            <v/>
          </cell>
          <cell r="BA304" t="str">
            <v/>
          </cell>
          <cell r="BB304" t="str">
            <v/>
          </cell>
          <cell r="BC304" t="str">
            <v/>
          </cell>
          <cell r="BD304" t="str">
            <v/>
          </cell>
          <cell r="BE304" t="str">
            <v/>
          </cell>
          <cell r="BF304" t="str">
            <v/>
          </cell>
          <cell r="BG304" t="str">
            <v/>
          </cell>
          <cell r="BH304" t="str">
            <v>40Ni-3TaMatos, A., Costa, S., Nunes, C. A. &amp; Ramirez, A. J. Development of Co-based superalloys. doi:10.13140/RG.2.2.27969.86883.</v>
          </cell>
          <cell r="BI304" t="str">
            <v>Co-40.Ni-10.Al-10.Cr-7.5W-3.Ta-0.6C-0.06B</v>
          </cell>
          <cell r="BJ304" t="str">
            <v>68.8Co-40.0Ni-10.0Al-10.0Cr-7.5W-3.0Ta-0.60C-0.06B</v>
          </cell>
        </row>
        <row r="305">
          <cell r="A305" t="str">
            <v>Co-30.Ni-10.Al-10.Cr-7.5W-3.Nb-0.6C-0.06B</v>
          </cell>
          <cell r="B305" t="str">
            <v>CoAlWX+</v>
          </cell>
          <cell r="C305" t="str">
            <v>-30Ni-10Al-10Cr-8W-3Nb-C-B</v>
          </cell>
          <cell r="D305" t="str">
            <v>30Ni-3Nb</v>
          </cell>
          <cell r="E305" t="str">
            <v>Matos, A., Costa, S., Nunes, C. A. &amp; Ramirez, A. J. Development of Co-based superalloys. doi:10.13140/RG.2.2.27969.86883.</v>
          </cell>
          <cell r="F305">
            <v>318</v>
          </cell>
          <cell r="G305">
            <v>38.839999999999996</v>
          </cell>
          <cell r="H305">
            <v>30</v>
          </cell>
          <cell r="I305">
            <v>10</v>
          </cell>
          <cell r="J305">
            <v>10</v>
          </cell>
          <cell r="K305">
            <v>7.5</v>
          </cell>
          <cell r="L305"/>
          <cell r="M305"/>
          <cell r="N305">
            <v>3</v>
          </cell>
          <cell r="O305"/>
          <cell r="P305"/>
          <cell r="Q305">
            <v>0.6</v>
          </cell>
          <cell r="R305"/>
          <cell r="S305">
            <v>0.06</v>
          </cell>
          <cell r="T305"/>
          <cell r="U305"/>
          <cell r="V305"/>
          <cell r="W305"/>
          <cell r="X305"/>
          <cell r="Y305"/>
          <cell r="Z305"/>
          <cell r="AA305"/>
          <cell r="AB305"/>
          <cell r="AC305"/>
          <cell r="AD305"/>
          <cell r="AE305"/>
          <cell r="AF305">
            <v>8.834045999999999</v>
          </cell>
          <cell r="AG305"/>
          <cell r="AH305"/>
          <cell r="AI305" t="str">
            <v>Co</v>
          </cell>
          <cell r="AJ305" t="str">
            <v>-10.Al</v>
          </cell>
          <cell r="AK305" t="str">
            <v>-7.5W</v>
          </cell>
          <cell r="AL305" t="str">
            <v>-30.Ni</v>
          </cell>
          <cell r="AM305" t="str">
            <v>-10.Cr</v>
          </cell>
          <cell r="AN305" t="str">
            <v/>
          </cell>
          <cell r="AO305" t="str">
            <v>-3.Nb</v>
          </cell>
          <cell r="AP305" t="str">
            <v/>
          </cell>
          <cell r="AQ305" t="str">
            <v/>
          </cell>
          <cell r="AR305" t="str">
            <v/>
          </cell>
          <cell r="AS305" t="str">
            <v>-0.6C</v>
          </cell>
          <cell r="AT305" t="str">
            <v/>
          </cell>
          <cell r="AU305" t="str">
            <v>-0.06B</v>
          </cell>
          <cell r="AV305" t="str">
            <v/>
          </cell>
          <cell r="AW305" t="str">
            <v/>
          </cell>
          <cell r="AX305" t="str">
            <v/>
          </cell>
          <cell r="AY305" t="str">
            <v/>
          </cell>
          <cell r="AZ305" t="str">
            <v/>
          </cell>
          <cell r="BA305" t="str">
            <v/>
          </cell>
          <cell r="BB305" t="str">
            <v/>
          </cell>
          <cell r="BC305" t="str">
            <v/>
          </cell>
          <cell r="BD305" t="str">
            <v/>
          </cell>
          <cell r="BE305" t="str">
            <v/>
          </cell>
          <cell r="BF305" t="str">
            <v/>
          </cell>
          <cell r="BG305" t="str">
            <v/>
          </cell>
          <cell r="BH305" t="str">
            <v>30Ni-3NbMatos, A., Costa, S., Nunes, C. A. &amp; Ramirez, A. J. Development of Co-based superalloys. doi:10.13140/RG.2.2.27969.86883.</v>
          </cell>
          <cell r="BI305" t="str">
            <v>Co-30.Ni-10.Al-10.Cr-7.5W-3.Nb-0.6C-0.06B</v>
          </cell>
          <cell r="BJ305" t="str">
            <v>68.8Co-30.0Ni-10.0Al-10.0Cr-7.5W-3.0Nb-0.60C-0.06B</v>
          </cell>
        </row>
        <row r="306">
          <cell r="A306" t="str">
            <v>Co-40.Ni-10.Al-10.Cr-7.5W-3.Nb-0.6C-0.06B</v>
          </cell>
          <cell r="B306" t="str">
            <v>CoAlWX+</v>
          </cell>
          <cell r="C306" t="str">
            <v>-40Ni-10Al-10Cr-8W-3Nb-C-B</v>
          </cell>
          <cell r="D306" t="str">
            <v>40Ni-3Nb</v>
          </cell>
          <cell r="E306" t="str">
            <v>Matos, A., Costa, S., Nunes, C. A. &amp; Ramirez, A. J. Development of Co-based superalloys. doi:10.13140/RG.2.2.27969.86883.</v>
          </cell>
          <cell r="F306">
            <v>319</v>
          </cell>
          <cell r="G306">
            <v>28.840000000000003</v>
          </cell>
          <cell r="H306">
            <v>40</v>
          </cell>
          <cell r="I306">
            <v>10</v>
          </cell>
          <cell r="J306">
            <v>10</v>
          </cell>
          <cell r="K306">
            <v>7.5</v>
          </cell>
          <cell r="L306"/>
          <cell r="M306"/>
          <cell r="N306">
            <v>3</v>
          </cell>
          <cell r="O306"/>
          <cell r="P306"/>
          <cell r="Q306">
            <v>0.6</v>
          </cell>
          <cell r="R306"/>
          <cell r="S306">
            <v>0.06</v>
          </cell>
          <cell r="T306"/>
          <cell r="U306"/>
          <cell r="V306"/>
          <cell r="W306"/>
          <cell r="X306"/>
          <cell r="Y306"/>
          <cell r="Z306"/>
          <cell r="AA306"/>
          <cell r="AB306"/>
          <cell r="AC306"/>
          <cell r="AD306"/>
          <cell r="AE306"/>
          <cell r="AF306">
            <v>8.8348460000000006</v>
          </cell>
          <cell r="AG306"/>
          <cell r="AH306"/>
          <cell r="AI306" t="str">
            <v>Co</v>
          </cell>
          <cell r="AJ306" t="str">
            <v>-10.Al</v>
          </cell>
          <cell r="AK306" t="str">
            <v>-7.5W</v>
          </cell>
          <cell r="AL306" t="str">
            <v>-40.Ni</v>
          </cell>
          <cell r="AM306" t="str">
            <v>-10.Cr</v>
          </cell>
          <cell r="AN306" t="str">
            <v/>
          </cell>
          <cell r="AO306" t="str">
            <v>-3.Nb</v>
          </cell>
          <cell r="AP306" t="str">
            <v/>
          </cell>
          <cell r="AQ306" t="str">
            <v/>
          </cell>
          <cell r="AR306" t="str">
            <v/>
          </cell>
          <cell r="AS306" t="str">
            <v>-0.6C</v>
          </cell>
          <cell r="AT306" t="str">
            <v/>
          </cell>
          <cell r="AU306" t="str">
            <v>-0.06B</v>
          </cell>
          <cell r="AV306" t="str">
            <v/>
          </cell>
          <cell r="AW306" t="str">
            <v/>
          </cell>
          <cell r="AX306" t="str">
            <v/>
          </cell>
          <cell r="AY306" t="str">
            <v/>
          </cell>
          <cell r="AZ306" t="str">
            <v/>
          </cell>
          <cell r="BA306" t="str">
            <v/>
          </cell>
          <cell r="BB306" t="str">
            <v/>
          </cell>
          <cell r="BC306" t="str">
            <v/>
          </cell>
          <cell r="BD306" t="str">
            <v/>
          </cell>
          <cell r="BE306" t="str">
            <v/>
          </cell>
          <cell r="BF306" t="str">
            <v/>
          </cell>
          <cell r="BG306" t="str">
            <v/>
          </cell>
          <cell r="BH306" t="str">
            <v>40Ni-3NbMatos, A., Costa, S., Nunes, C. A. &amp; Ramirez, A. J. Development of Co-based superalloys. doi:10.13140/RG.2.2.27969.86883.</v>
          </cell>
          <cell r="BI306" t="str">
            <v>Co-40.Ni-10.Al-10.Cr-7.5W-3.Nb-0.6C-0.06B</v>
          </cell>
          <cell r="BJ306" t="str">
            <v>68.8Co-40.0Ni-10.0Al-10.0Cr-7.5W-3.0Nb-0.60C-0.06B</v>
          </cell>
        </row>
        <row r="307">
          <cell r="A307" t="str">
            <v>Co-50.Ni-10.Al-10.Cr-7.5W-3.Nb-0.6C-0.06B</v>
          </cell>
          <cell r="B307" t="str">
            <v>CoAlWX+</v>
          </cell>
          <cell r="C307" t="str">
            <v>-50Ni-10Al-10Cr-8W-3Nb-C-B</v>
          </cell>
          <cell r="D307" t="str">
            <v>50N-3Nb</v>
          </cell>
          <cell r="E307" t="str">
            <v>Matos, A., Costa, S., Nunes, C. A. &amp; Ramirez, A. J. Development of Co-based superalloys. doi:10.13140/RG.2.2.27969.86883.</v>
          </cell>
          <cell r="F307">
            <v>320</v>
          </cell>
          <cell r="G307">
            <v>18.840000000000003</v>
          </cell>
          <cell r="H307">
            <v>50</v>
          </cell>
          <cell r="I307">
            <v>10</v>
          </cell>
          <cell r="J307">
            <v>10</v>
          </cell>
          <cell r="K307">
            <v>7.5</v>
          </cell>
          <cell r="L307"/>
          <cell r="M307"/>
          <cell r="N307">
            <v>3</v>
          </cell>
          <cell r="O307"/>
          <cell r="P307"/>
          <cell r="Q307">
            <v>0.6</v>
          </cell>
          <cell r="R307"/>
          <cell r="S307">
            <v>0.06</v>
          </cell>
          <cell r="T307"/>
          <cell r="U307"/>
          <cell r="V307"/>
          <cell r="W307"/>
          <cell r="X307"/>
          <cell r="Y307"/>
          <cell r="Z307"/>
          <cell r="AA307"/>
          <cell r="AB307"/>
          <cell r="AC307"/>
          <cell r="AD307"/>
          <cell r="AE307"/>
          <cell r="AF307">
            <v>8.8356460000000006</v>
          </cell>
          <cell r="AG307"/>
          <cell r="AH307"/>
          <cell r="AI307" t="str">
            <v>Co</v>
          </cell>
          <cell r="AJ307" t="str">
            <v>-10.Al</v>
          </cell>
          <cell r="AK307" t="str">
            <v>-7.5W</v>
          </cell>
          <cell r="AL307" t="str">
            <v>-50.Ni</v>
          </cell>
          <cell r="AM307" t="str">
            <v>-10.Cr</v>
          </cell>
          <cell r="AN307" t="str">
            <v/>
          </cell>
          <cell r="AO307" t="str">
            <v>-3.Nb</v>
          </cell>
          <cell r="AP307" t="str">
            <v/>
          </cell>
          <cell r="AQ307" t="str">
            <v/>
          </cell>
          <cell r="AR307" t="str">
            <v/>
          </cell>
          <cell r="AS307" t="str">
            <v>-0.6C</v>
          </cell>
          <cell r="AT307" t="str">
            <v/>
          </cell>
          <cell r="AU307" t="str">
            <v>-0.06B</v>
          </cell>
          <cell r="AV307" t="str">
            <v/>
          </cell>
          <cell r="AW307" t="str">
            <v/>
          </cell>
          <cell r="AX307" t="str">
            <v/>
          </cell>
          <cell r="AY307" t="str">
            <v/>
          </cell>
          <cell r="AZ307" t="str">
            <v/>
          </cell>
          <cell r="BA307" t="str">
            <v/>
          </cell>
          <cell r="BB307" t="str">
            <v/>
          </cell>
          <cell r="BC307" t="str">
            <v/>
          </cell>
          <cell r="BD307" t="str">
            <v/>
          </cell>
          <cell r="BE307" t="str">
            <v/>
          </cell>
          <cell r="BF307" t="str">
            <v/>
          </cell>
          <cell r="BG307" t="str">
            <v/>
          </cell>
          <cell r="BH307" t="str">
            <v>50N-3NbMatos, A., Costa, S., Nunes, C. A. &amp; Ramirez, A. J. Development of Co-based superalloys. doi:10.13140/RG.2.2.27969.86883.</v>
          </cell>
          <cell r="BI307" t="str">
            <v>Co-50.Ni-10.Al-10.Cr-7.5W-3.Nb-0.6C-0.06B</v>
          </cell>
          <cell r="BJ307" t="str">
            <v>68.8Co-50.0Ni-10.0Al-10.0Cr-7.5W-3.0Nb-0.60C-0.06B</v>
          </cell>
        </row>
        <row r="308">
          <cell r="A308" t="str">
            <v>Co-7.3Al-6.8W</v>
          </cell>
          <cell r="B308" t="str">
            <v>CoAlW-X</v>
          </cell>
          <cell r="C308" t="str">
            <v>-7Al-7W</v>
          </cell>
          <cell r="D308" t="str">
            <v>Co-7.3Al-6.8W</v>
          </cell>
          <cell r="E308" t="str">
            <v>Meher, S., Yan, H. Y., Nag, S., Dye, D. &amp; Banerjee, R. Solute partitioning and site preference in γ/γ’ cobalt-base alloys. Scr. Mater. 67, 850–853 (2012).</v>
          </cell>
          <cell r="F308">
            <v>321</v>
          </cell>
          <cell r="G308">
            <v>85.9</v>
          </cell>
          <cell r="H308"/>
          <cell r="I308">
            <v>7.3</v>
          </cell>
          <cell r="J308"/>
          <cell r="K308">
            <v>6.8</v>
          </cell>
          <cell r="L308"/>
          <cell r="M308"/>
          <cell r="N308"/>
          <cell r="O308"/>
          <cell r="P308"/>
          <cell r="Q308"/>
          <cell r="R308"/>
          <cell r="S308"/>
          <cell r="T308"/>
          <cell r="U308"/>
          <cell r="V308"/>
          <cell r="W308"/>
          <cell r="X308"/>
          <cell r="Y308"/>
          <cell r="Z308"/>
          <cell r="AA308"/>
          <cell r="AB308"/>
          <cell r="AC308"/>
          <cell r="AD308"/>
          <cell r="AE308"/>
          <cell r="AF308">
            <v>9.1512000000000011</v>
          </cell>
          <cell r="AG308"/>
          <cell r="AH308"/>
          <cell r="AI308" t="str">
            <v>Co</v>
          </cell>
          <cell r="AJ308" t="str">
            <v>-7.3Al</v>
          </cell>
          <cell r="AK308" t="str">
            <v>-6.8W</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cell r="BD308" t="str">
            <v/>
          </cell>
          <cell r="BE308" t="str">
            <v/>
          </cell>
          <cell r="BF308" t="str">
            <v/>
          </cell>
          <cell r="BG308" t="str">
            <v/>
          </cell>
          <cell r="BH308" t="str">
            <v>Co-7.3Al-6.8WMeher, S., Yan, H. Y., Nag, S., Dye, D. &amp; Banerjee, R. Solute partitioning and site preference in γ/γ’ cobalt-base alloys. Scr. Mater. 67, 850–853 (2012).</v>
          </cell>
          <cell r="BI308" t="str">
            <v>Co-7.3Al-6.8W</v>
          </cell>
          <cell r="BJ308" t="str">
            <v>85.9Co-7.3Al-6.8W</v>
          </cell>
        </row>
        <row r="309">
          <cell r="A309" t="str">
            <v>Co-25.6Ni-8.5Al-8.1W</v>
          </cell>
          <cell r="B309" t="str">
            <v>CoAlW-X</v>
          </cell>
          <cell r="C309" t="str">
            <v>-26Ni-9Al-8W</v>
          </cell>
          <cell r="D309" t="str">
            <v>Co-8.5Al-8.1W-25.6Ni</v>
          </cell>
          <cell r="E309" t="str">
            <v>Meher, S., Yan, H. Y., Nag, S., Dye, D. &amp; Banerjee, R. Solute partitioning and site preference in γ/γ’ cobalt-base alloys. Scr. Mater. 67, 850–853 (2012).</v>
          </cell>
          <cell r="F309">
            <v>322</v>
          </cell>
          <cell r="G309">
            <v>57.8</v>
          </cell>
          <cell r="H309">
            <v>25.6</v>
          </cell>
          <cell r="I309">
            <v>8.5</v>
          </cell>
          <cell r="J309"/>
          <cell r="K309">
            <v>8.1</v>
          </cell>
          <cell r="L309"/>
          <cell r="M309"/>
          <cell r="N309"/>
          <cell r="O309"/>
          <cell r="P309"/>
          <cell r="Q309"/>
          <cell r="R309"/>
          <cell r="S309"/>
          <cell r="T309"/>
          <cell r="U309"/>
          <cell r="V309"/>
          <cell r="W309"/>
          <cell r="X309"/>
          <cell r="Y309"/>
          <cell r="Z309"/>
          <cell r="AA309"/>
          <cell r="AB309"/>
          <cell r="AC309"/>
          <cell r="AD309"/>
          <cell r="AE309"/>
          <cell r="AF309">
            <v>9.2133979999999998</v>
          </cell>
          <cell r="AG309"/>
          <cell r="AH309"/>
          <cell r="AI309" t="str">
            <v>Co</v>
          </cell>
          <cell r="AJ309" t="str">
            <v>-8.5Al</v>
          </cell>
          <cell r="AK309" t="str">
            <v>-8.1W</v>
          </cell>
          <cell r="AL309" t="str">
            <v>-25.6Ni</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cell r="BD309" t="str">
            <v/>
          </cell>
          <cell r="BE309" t="str">
            <v/>
          </cell>
          <cell r="BF309" t="str">
            <v/>
          </cell>
          <cell r="BG309" t="str">
            <v/>
          </cell>
          <cell r="BH309" t="str">
            <v>Co-8.5Al-8.1W-25.6NiMeher, S., Yan, H. Y., Nag, S., Dye, D. &amp; Banerjee, R. Solute partitioning and site preference in γ/γ’ cobalt-base alloys. Scr. Mater. 67, 850–853 (2012).</v>
          </cell>
          <cell r="BI309" t="str">
            <v>Co-25.6Ni-8.5Al-8.1W</v>
          </cell>
          <cell r="BJ309" t="str">
            <v>83.4Co-25.6Ni-8.5Al-8.1W</v>
          </cell>
        </row>
        <row r="310">
          <cell r="A310" t="str">
            <v>Co-9.9Al-4.8W-1.8Ta</v>
          </cell>
          <cell r="B310" t="str">
            <v>CoAlW-X</v>
          </cell>
          <cell r="C310" t="str">
            <v>-10Al-5W-2Ta</v>
          </cell>
          <cell r="D310" t="str">
            <v>Co-9.9Al-4.8w-1.8Ta</v>
          </cell>
          <cell r="E310" t="str">
            <v>Meher, S., Yan, H. Y., Nag, S., Dye, D. &amp; Banerjee, R. Solute partitioning and site preference in γ/γ’ cobalt-base alloys. Scr. Mater. 67, 850–853 (2012).</v>
          </cell>
          <cell r="F310">
            <v>323</v>
          </cell>
          <cell r="G310">
            <v>83.5</v>
          </cell>
          <cell r="H310"/>
          <cell r="I310">
            <v>9.9</v>
          </cell>
          <cell r="J310"/>
          <cell r="K310">
            <v>4.8</v>
          </cell>
          <cell r="L310"/>
          <cell r="M310">
            <v>1.8</v>
          </cell>
          <cell r="N310"/>
          <cell r="O310"/>
          <cell r="P310"/>
          <cell r="Q310"/>
          <cell r="R310"/>
          <cell r="S310"/>
          <cell r="T310"/>
          <cell r="U310"/>
          <cell r="V310"/>
          <cell r="W310"/>
          <cell r="X310"/>
          <cell r="Y310"/>
          <cell r="Z310"/>
          <cell r="AA310"/>
          <cell r="AB310"/>
          <cell r="AC310"/>
          <cell r="AD310"/>
          <cell r="AE310"/>
          <cell r="AF310">
            <v>8.9224999999999994</v>
          </cell>
          <cell r="AG310"/>
          <cell r="AH310"/>
          <cell r="AI310" t="str">
            <v>Co</v>
          </cell>
          <cell r="AJ310" t="str">
            <v>-9.9Al</v>
          </cell>
          <cell r="AK310" t="str">
            <v>-4.8W</v>
          </cell>
          <cell r="AL310" t="str">
            <v/>
          </cell>
          <cell r="AM310" t="str">
            <v/>
          </cell>
          <cell r="AN310" t="str">
            <v>-1.8Ta</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cell r="BD310" t="str">
            <v/>
          </cell>
          <cell r="BE310" t="str">
            <v/>
          </cell>
          <cell r="BF310" t="str">
            <v/>
          </cell>
          <cell r="BG310" t="str">
            <v/>
          </cell>
          <cell r="BH310" t="str">
            <v>Co-9.9Al-4.8w-1.8TaMeher, S., Yan, H. Y., Nag, S., Dye, D. &amp; Banerjee, R. Solute partitioning and site preference in γ/γ’ cobalt-base alloys. Scr. Mater. 67, 850–853 (2012).</v>
          </cell>
          <cell r="BI310" t="str">
            <v>Co-9.9Al-4.8W-1.8Ta</v>
          </cell>
          <cell r="BJ310" t="str">
            <v>83.5Co-9.9Al-4.8W-1.8Ta</v>
          </cell>
        </row>
        <row r="311">
          <cell r="A311" t="str">
            <v>Co-15.9Ni-14.9Al-8.7Cr-2.5W-2.6Ti-0.9Ta-1.1Mo-0.5Re</v>
          </cell>
          <cell r="B311" t="str">
            <v>Low-W</v>
          </cell>
          <cell r="C311" t="str">
            <v>-16Ni-15Al-9Cr-3W-3Ti-1Ta-1Mo-1Re</v>
          </cell>
          <cell r="D311" t="str">
            <v>VIAM-M2</v>
          </cell>
          <cell r="E311" t="str">
            <v>Midtlyng, J. et al. Creep behavior of a γ′-strengthened Co-base alloy with zero γ/γ′-lattice misfit at 800 °c, 196 MPa. J. Mater. Res. 32, 4466–4474 (2017).</v>
          </cell>
          <cell r="F311">
            <v>324</v>
          </cell>
          <cell r="G311">
            <v>52.9</v>
          </cell>
          <cell r="H311">
            <v>15.9</v>
          </cell>
          <cell r="I311">
            <v>14.9</v>
          </cell>
          <cell r="J311">
            <v>8.6999999999999993</v>
          </cell>
          <cell r="K311">
            <v>2.5</v>
          </cell>
          <cell r="L311">
            <v>2.6</v>
          </cell>
          <cell r="M311">
            <v>0.9</v>
          </cell>
          <cell r="N311"/>
          <cell r="O311"/>
          <cell r="P311">
            <v>1.1000000000000001</v>
          </cell>
          <cell r="Q311"/>
          <cell r="R311"/>
          <cell r="S311"/>
          <cell r="T311"/>
          <cell r="U311">
            <v>0.5</v>
          </cell>
          <cell r="V311"/>
          <cell r="W311"/>
          <cell r="X311"/>
          <cell r="Y311"/>
          <cell r="Z311"/>
          <cell r="AA311"/>
          <cell r="AB311"/>
          <cell r="AC311"/>
          <cell r="AD311"/>
          <cell r="AE311"/>
          <cell r="AF311">
            <v>8.1187640000000005</v>
          </cell>
          <cell r="AG311"/>
          <cell r="AH311"/>
          <cell r="AI311" t="str">
            <v>Co</v>
          </cell>
          <cell r="AJ311" t="str">
            <v>-14.9Al</v>
          </cell>
          <cell r="AK311" t="str">
            <v>-2.5W</v>
          </cell>
          <cell r="AL311" t="str">
            <v>-15.9Ni</v>
          </cell>
          <cell r="AM311" t="str">
            <v>-8.7Cr</v>
          </cell>
          <cell r="AN311" t="str">
            <v>-0.9Ta</v>
          </cell>
          <cell r="AO311" t="str">
            <v/>
          </cell>
          <cell r="AP311" t="str">
            <v/>
          </cell>
          <cell r="AQ311" t="str">
            <v>-2.6Ti</v>
          </cell>
          <cell r="AR311" t="str">
            <v>-1.1Mo</v>
          </cell>
          <cell r="AS311" t="str">
            <v/>
          </cell>
          <cell r="AT311" t="str">
            <v/>
          </cell>
          <cell r="AU311" t="str">
            <v/>
          </cell>
          <cell r="AV311" t="str">
            <v/>
          </cell>
          <cell r="AW311" t="str">
            <v>-0.5Re</v>
          </cell>
          <cell r="AX311" t="str">
            <v/>
          </cell>
          <cell r="AY311" t="str">
            <v/>
          </cell>
          <cell r="AZ311" t="str">
            <v/>
          </cell>
          <cell r="BA311" t="str">
            <v/>
          </cell>
          <cell r="BB311" t="str">
            <v/>
          </cell>
          <cell r="BC311" t="str">
            <v/>
          </cell>
          <cell r="BD311" t="str">
            <v/>
          </cell>
          <cell r="BE311" t="str">
            <v/>
          </cell>
          <cell r="BF311" t="str">
            <v/>
          </cell>
          <cell r="BG311" t="str">
            <v/>
          </cell>
          <cell r="BH311" t="str">
            <v>VIAM-M2Midtlyng, J. et al. Creep behavior of a γ′-strengthened Co-base alloy with zero γ/γ′-lattice misfit at 800 °c, 196 MPa. J. Mater. Res. 32, 4466–4474 (2017).</v>
          </cell>
          <cell r="BI311" t="str">
            <v>Co-15.9Ni-14.9Al-8.7Cr-2.5W-2.6Ti-0.9Ta-1.1Mo-0.5Re</v>
          </cell>
          <cell r="BJ311" t="str">
            <v>68.8Co-15.9Ni-14.9Al-8.7Cr-2.5W-2.6Ti-0.9Ta-1.1Mo-0.5Re</v>
          </cell>
        </row>
        <row r="312">
          <cell r="A312" t="str">
            <v>Co-15.9Ni-13.6Al-1.9W-0.7Ta-0.6Mo-0.3Re</v>
          </cell>
          <cell r="B312" t="str">
            <v>Low-W</v>
          </cell>
          <cell r="C312" t="str">
            <v>-16Ni-14Al-2W-1Ta-1Mo-0Re</v>
          </cell>
          <cell r="D312" t="str">
            <v>VIAM-M1</v>
          </cell>
          <cell r="E312" t="str">
            <v>Midtlyng, J. et al. Creep behavior of a γ′-strengthened Co-base alloy with zero γ/γ′-lattice misfit at 800 °c, 196 MPa. J. Mater. Res. 32, 4466–4474 (2017).</v>
          </cell>
          <cell r="F312">
            <v>325</v>
          </cell>
          <cell r="G312">
            <v>67</v>
          </cell>
          <cell r="H312">
            <v>15.9</v>
          </cell>
          <cell r="I312">
            <v>13.6</v>
          </cell>
          <cell r="J312"/>
          <cell r="K312">
            <v>1.9</v>
          </cell>
          <cell r="L312"/>
          <cell r="M312">
            <v>0.7</v>
          </cell>
          <cell r="N312"/>
          <cell r="O312"/>
          <cell r="P312">
            <v>0.6</v>
          </cell>
          <cell r="Q312"/>
          <cell r="R312"/>
          <cell r="S312"/>
          <cell r="T312"/>
          <cell r="U312">
            <v>0.3</v>
          </cell>
          <cell r="V312"/>
          <cell r="W312"/>
          <cell r="X312"/>
          <cell r="Y312"/>
          <cell r="Z312"/>
          <cell r="AA312"/>
          <cell r="AB312"/>
          <cell r="AC312"/>
          <cell r="AD312"/>
          <cell r="AE312"/>
          <cell r="AF312">
            <v>8.3536120000000018</v>
          </cell>
          <cell r="AG312"/>
          <cell r="AH312"/>
          <cell r="AI312" t="str">
            <v>Co</v>
          </cell>
          <cell r="AJ312" t="str">
            <v>-13.6Al</v>
          </cell>
          <cell r="AK312" t="str">
            <v>-1.9W</v>
          </cell>
          <cell r="AL312" t="str">
            <v>-15.9Ni</v>
          </cell>
          <cell r="AM312" t="str">
            <v/>
          </cell>
          <cell r="AN312" t="str">
            <v>-0.7Ta</v>
          </cell>
          <cell r="AO312" t="str">
            <v/>
          </cell>
          <cell r="AP312" t="str">
            <v/>
          </cell>
          <cell r="AQ312" t="str">
            <v/>
          </cell>
          <cell r="AR312" t="str">
            <v>-0.6Mo</v>
          </cell>
          <cell r="AS312" t="str">
            <v/>
          </cell>
          <cell r="AT312" t="str">
            <v/>
          </cell>
          <cell r="AU312" t="str">
            <v/>
          </cell>
          <cell r="AV312" t="str">
            <v/>
          </cell>
          <cell r="AW312" t="str">
            <v>-0.3Re</v>
          </cell>
          <cell r="AX312" t="str">
            <v/>
          </cell>
          <cell r="AY312" t="str">
            <v/>
          </cell>
          <cell r="AZ312" t="str">
            <v/>
          </cell>
          <cell r="BA312" t="str">
            <v/>
          </cell>
          <cell r="BB312" t="str">
            <v/>
          </cell>
          <cell r="BC312" t="str">
            <v/>
          </cell>
          <cell r="BD312" t="str">
            <v/>
          </cell>
          <cell r="BE312" t="str">
            <v/>
          </cell>
          <cell r="BF312" t="str">
            <v/>
          </cell>
          <cell r="BG312" t="str">
            <v/>
          </cell>
          <cell r="BH312" t="str">
            <v>VIAM-M1Midtlyng, J. et al. Creep behavior of a γ′-strengthened Co-base alloy with zero γ/γ′-lattice misfit at 800 °c, 196 MPa. J. Mater. Res. 32, 4466–4474 (2017).</v>
          </cell>
          <cell r="BI312" t="str">
            <v>Co-15.9Ni-13.6Al-1.9W-0.7Ta-0.6Mo-0.3Re</v>
          </cell>
          <cell r="BJ312" t="str">
            <v>82.9Co-15.9Ni-13.6Al-1.9W-0.7Ta-0.6Mo-0.3Re</v>
          </cell>
        </row>
        <row r="313">
          <cell r="A313" t="str">
            <v>Co-10.Al-2.Nb-5.Mo</v>
          </cell>
          <cell r="B313" t="str">
            <v>W-free</v>
          </cell>
          <cell r="C313" t="str">
            <v>-10Al-2Nb-5Mo</v>
          </cell>
          <cell r="D313" t="str">
            <v>Co–10Al–5Mo–2Nb</v>
          </cell>
          <cell r="E313" t="str">
            <v>Migas, D., Moskal, G. &amp; Maciąg, T. Thermal analysis of W-free Co–(Ni)–Al–Mo–Nb superalloys. J. Therm. Anal. Calorim. (2020) doi:10.1007/s10973-020-09375-7.</v>
          </cell>
          <cell r="F313">
            <v>326</v>
          </cell>
          <cell r="G313">
            <v>83</v>
          </cell>
          <cell r="H313"/>
          <cell r="I313">
            <v>10</v>
          </cell>
          <cell r="J313"/>
          <cell r="K313"/>
          <cell r="L313"/>
          <cell r="M313"/>
          <cell r="N313">
            <v>2</v>
          </cell>
          <cell r="O313"/>
          <cell r="P313">
            <v>5</v>
          </cell>
          <cell r="Q313"/>
          <cell r="R313"/>
          <cell r="S313"/>
          <cell r="T313"/>
          <cell r="U313"/>
          <cell r="V313"/>
          <cell r="W313"/>
          <cell r="X313"/>
          <cell r="Y313"/>
          <cell r="Z313"/>
          <cell r="AA313"/>
          <cell r="AB313"/>
          <cell r="AC313"/>
          <cell r="AD313"/>
          <cell r="AE313"/>
          <cell r="AF313">
            <v>8.3423999999999996</v>
          </cell>
          <cell r="AG313"/>
          <cell r="AH313"/>
          <cell r="AI313" t="str">
            <v>Co</v>
          </cell>
          <cell r="AJ313" t="str">
            <v>-10.Al</v>
          </cell>
          <cell r="AK313" t="str">
            <v/>
          </cell>
          <cell r="AL313" t="str">
            <v/>
          </cell>
          <cell r="AM313" t="str">
            <v/>
          </cell>
          <cell r="AN313" t="str">
            <v/>
          </cell>
          <cell r="AO313" t="str">
            <v>-2.Nb</v>
          </cell>
          <cell r="AP313" t="str">
            <v/>
          </cell>
          <cell r="AQ313" t="str">
            <v/>
          </cell>
          <cell r="AR313" t="str">
            <v>-5.Mo</v>
          </cell>
          <cell r="AS313" t="str">
            <v/>
          </cell>
          <cell r="AT313" t="str">
            <v/>
          </cell>
          <cell r="AU313" t="str">
            <v/>
          </cell>
          <cell r="AV313" t="str">
            <v/>
          </cell>
          <cell r="AW313" t="str">
            <v/>
          </cell>
          <cell r="AX313" t="str">
            <v/>
          </cell>
          <cell r="AY313" t="str">
            <v/>
          </cell>
          <cell r="AZ313" t="str">
            <v/>
          </cell>
          <cell r="BA313" t="str">
            <v/>
          </cell>
          <cell r="BB313" t="str">
            <v/>
          </cell>
          <cell r="BC313" t="str">
            <v/>
          </cell>
          <cell r="BD313" t="str">
            <v/>
          </cell>
          <cell r="BE313" t="str">
            <v/>
          </cell>
          <cell r="BF313" t="str">
            <v/>
          </cell>
          <cell r="BG313" t="str">
            <v/>
          </cell>
          <cell r="BH313" t="str">
            <v>Co–10Al–5Mo–2NbMigas, D., Moskal, G. &amp; Maciąg, T. Thermal analysis of W-free Co–(Ni)–Al–Mo–Nb superalloys. J. Therm. Anal. Calorim. (2020) doi:10.1007/s10973-020-09375-7.</v>
          </cell>
          <cell r="BI313" t="str">
            <v>Co-10.Al-2.Nb-5.Mo</v>
          </cell>
          <cell r="BJ313" t="str">
            <v>83.0Co-10.0Al-2.0Nb-5.0Mo</v>
          </cell>
        </row>
        <row r="314">
          <cell r="A314" t="str">
            <v>Co-20.Ni-10.Al-2.Nb-5.Mo</v>
          </cell>
          <cell r="B314" t="str">
            <v>W-free</v>
          </cell>
          <cell r="C314" t="str">
            <v>-20Ni-10Al-2Nb-5Mo</v>
          </cell>
          <cell r="D314" t="str">
            <v>Co–20Ni–10Al–5Mo–2Nb</v>
          </cell>
          <cell r="E314" t="str">
            <v>Migas, D., Moskal, G. &amp; Maciąg, T. Thermal analysis of W-free Co–(Ni)–Al–Mo–Nb superalloys. J. Therm. Anal. Calorim. (2020) doi:10.1007/s10973-020-09375-7.</v>
          </cell>
          <cell r="F314">
            <v>327</v>
          </cell>
          <cell r="G314">
            <v>63</v>
          </cell>
          <cell r="H314">
            <v>20</v>
          </cell>
          <cell r="I314">
            <v>10</v>
          </cell>
          <cell r="J314"/>
          <cell r="K314"/>
          <cell r="L314"/>
          <cell r="M314"/>
          <cell r="N314">
            <v>2</v>
          </cell>
          <cell r="O314"/>
          <cell r="P314">
            <v>5</v>
          </cell>
          <cell r="Q314"/>
          <cell r="R314"/>
          <cell r="S314"/>
          <cell r="T314"/>
          <cell r="U314"/>
          <cell r="V314"/>
          <cell r="W314"/>
          <cell r="X314"/>
          <cell r="Y314"/>
          <cell r="Z314"/>
          <cell r="AA314"/>
          <cell r="AB314"/>
          <cell r="AC314"/>
          <cell r="AD314"/>
          <cell r="AE314"/>
          <cell r="AF314">
            <v>8.3439999999999994</v>
          </cell>
          <cell r="AG314"/>
          <cell r="AH314"/>
          <cell r="AI314" t="str">
            <v>Co</v>
          </cell>
          <cell r="AJ314" t="str">
            <v>-10.Al</v>
          </cell>
          <cell r="AK314" t="str">
            <v/>
          </cell>
          <cell r="AL314" t="str">
            <v>-20.Ni</v>
          </cell>
          <cell r="AM314" t="str">
            <v/>
          </cell>
          <cell r="AN314" t="str">
            <v/>
          </cell>
          <cell r="AO314" t="str">
            <v>-2.Nb</v>
          </cell>
          <cell r="AP314" t="str">
            <v/>
          </cell>
          <cell r="AQ314" t="str">
            <v/>
          </cell>
          <cell r="AR314" t="str">
            <v>-5.Mo</v>
          </cell>
          <cell r="AS314" t="str">
            <v/>
          </cell>
          <cell r="AT314" t="str">
            <v/>
          </cell>
          <cell r="AU314" t="str">
            <v/>
          </cell>
          <cell r="AV314" t="str">
            <v/>
          </cell>
          <cell r="AW314" t="str">
            <v/>
          </cell>
          <cell r="AX314" t="str">
            <v/>
          </cell>
          <cell r="AY314" t="str">
            <v/>
          </cell>
          <cell r="AZ314" t="str">
            <v/>
          </cell>
          <cell r="BA314" t="str">
            <v/>
          </cell>
          <cell r="BB314" t="str">
            <v/>
          </cell>
          <cell r="BC314" t="str">
            <v/>
          </cell>
          <cell r="BD314" t="str">
            <v/>
          </cell>
          <cell r="BE314" t="str">
            <v/>
          </cell>
          <cell r="BF314" t="str">
            <v/>
          </cell>
          <cell r="BG314" t="str">
            <v/>
          </cell>
          <cell r="BH314" t="str">
            <v>Co–20Ni–10Al–5Mo–2NbMigas, D., Moskal, G. &amp; Maciąg, T. Thermal analysis of W-free Co–(Ni)–Al–Mo–Nb superalloys. J. Therm. Anal. Calorim. (2020) doi:10.1007/s10973-020-09375-7.</v>
          </cell>
          <cell r="BI314" t="str">
            <v>Co-20.Ni-10.Al-2.Nb-5.Mo</v>
          </cell>
          <cell r="BJ314" t="str">
            <v>83.0Co-20.0Ni-10.0Al-2.0Nb-5.0Mo</v>
          </cell>
        </row>
        <row r="315">
          <cell r="A315" t="str">
            <v>Co-15.Ti</v>
          </cell>
          <cell r="B315" t="str">
            <v>Co3Ti</v>
          </cell>
          <cell r="C315" t="str">
            <v>-15Ti</v>
          </cell>
          <cell r="D315" t="str">
            <v>Alloy G</v>
          </cell>
          <cell r="E315" t="str">
            <v>Minshull, J. P., Neumeier, S., Tucker, M. G. &amp; Stone, H. J. A1-L12 structures in the Al-Co-Ni-Ti quaternary phase system. in Advanced Materials Research vol. 278 399–404 (2011).</v>
          </cell>
          <cell r="F315">
            <v>328</v>
          </cell>
          <cell r="G315">
            <v>85</v>
          </cell>
          <cell r="H315"/>
          <cell r="I315"/>
          <cell r="J315"/>
          <cell r="K315"/>
          <cell r="L315">
            <v>15</v>
          </cell>
          <cell r="M315"/>
          <cell r="N315"/>
          <cell r="O315"/>
          <cell r="P315"/>
          <cell r="Q315"/>
          <cell r="R315"/>
          <cell r="S315"/>
          <cell r="T315"/>
          <cell r="U315"/>
          <cell r="V315"/>
          <cell r="W315"/>
          <cell r="X315"/>
          <cell r="Y315"/>
          <cell r="Z315"/>
          <cell r="AA315"/>
          <cell r="AB315"/>
          <cell r="AC315"/>
          <cell r="AD315"/>
          <cell r="AE315"/>
          <cell r="AF315">
            <v>8.2410499999999995</v>
          </cell>
          <cell r="AG315"/>
          <cell r="AH315"/>
          <cell r="AI315" t="str">
            <v>Co</v>
          </cell>
          <cell r="AJ315" t="str">
            <v/>
          </cell>
          <cell r="AK315" t="str">
            <v/>
          </cell>
          <cell r="AL315" t="str">
            <v/>
          </cell>
          <cell r="AM315" t="str">
            <v/>
          </cell>
          <cell r="AN315" t="str">
            <v/>
          </cell>
          <cell r="AO315" t="str">
            <v/>
          </cell>
          <cell r="AP315" t="str">
            <v/>
          </cell>
          <cell r="AQ315" t="str">
            <v>-15.Ti</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cell r="BD315" t="str">
            <v/>
          </cell>
          <cell r="BE315" t="str">
            <v/>
          </cell>
          <cell r="BF315" t="str">
            <v/>
          </cell>
          <cell r="BG315" t="str">
            <v/>
          </cell>
          <cell r="BH315" t="str">
            <v>Alloy GMinshull, J. P., Neumeier, S., Tucker, M. G. &amp; Stone, H. J. A1-L12 structures in the Al-Co-Ni-Ti quaternary phase system. in Advanced Materials Research vol. 278 399–404 (2011).</v>
          </cell>
          <cell r="BI315" t="str">
            <v>Co-15.Ti</v>
          </cell>
          <cell r="BJ315" t="str">
            <v>85.0Co-15.0Ti</v>
          </cell>
        </row>
        <row r="316">
          <cell r="A316" t="str">
            <v>Co-15.Ni-2.6Al-12.4Ti</v>
          </cell>
          <cell r="B316" t="str">
            <v>Co3Ti</v>
          </cell>
          <cell r="C316" t="str">
            <v>-15Ni-3Al-12Ti</v>
          </cell>
          <cell r="D316" t="str">
            <v>Alloy F</v>
          </cell>
          <cell r="E316" t="str">
            <v>Minshull, J. P., Neumeier, S., Tucker, M. G. &amp; Stone, H. J. A1-L12 structures in the Al-Co-Ni-Ti quaternary phase system. in Advanced Materials Research vol. 278 399–404 (2011).</v>
          </cell>
          <cell r="F316">
            <v>329</v>
          </cell>
          <cell r="G316">
            <v>70.009999999999991</v>
          </cell>
          <cell r="H316">
            <v>15</v>
          </cell>
          <cell r="I316">
            <v>2.64</v>
          </cell>
          <cell r="J316"/>
          <cell r="K316"/>
          <cell r="L316">
            <v>12.35</v>
          </cell>
          <cell r="M316"/>
          <cell r="N316"/>
          <cell r="O316"/>
          <cell r="P316"/>
          <cell r="Q316"/>
          <cell r="R316"/>
          <cell r="S316"/>
          <cell r="T316"/>
          <cell r="U316"/>
          <cell r="V316"/>
          <cell r="W316"/>
          <cell r="X316"/>
          <cell r="Y316"/>
          <cell r="Z316"/>
          <cell r="AA316"/>
          <cell r="AB316"/>
          <cell r="AC316"/>
          <cell r="AD316"/>
          <cell r="AE316"/>
          <cell r="AF316">
            <v>8.1949844999999986</v>
          </cell>
          <cell r="AG316"/>
          <cell r="AH316"/>
          <cell r="AI316" t="str">
            <v>Co</v>
          </cell>
          <cell r="AJ316" t="str">
            <v>-2.6Al</v>
          </cell>
          <cell r="AK316" t="str">
            <v/>
          </cell>
          <cell r="AL316" t="str">
            <v>-15.Ni</v>
          </cell>
          <cell r="AM316" t="str">
            <v/>
          </cell>
          <cell r="AN316" t="str">
            <v/>
          </cell>
          <cell r="AO316" t="str">
            <v/>
          </cell>
          <cell r="AP316" t="str">
            <v/>
          </cell>
          <cell r="AQ316" t="str">
            <v>-12.4Ti</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cell r="BD316" t="str">
            <v/>
          </cell>
          <cell r="BE316" t="str">
            <v/>
          </cell>
          <cell r="BF316" t="str">
            <v/>
          </cell>
          <cell r="BG316" t="str">
            <v/>
          </cell>
          <cell r="BH316" t="str">
            <v>Alloy FMinshull, J. P., Neumeier, S., Tucker, M. G. &amp; Stone, H. J. A1-L12 structures in the Al-Co-Ni-Ti quaternary phase system. in Advanced Materials Research vol. 278 399–404 (2011).</v>
          </cell>
          <cell r="BI316" t="str">
            <v>Co-15.Ni-2.6Al-12.4Ti</v>
          </cell>
          <cell r="BJ316" t="str">
            <v>85.0Co-15.0Ni-2.6Al-12.4Ti</v>
          </cell>
        </row>
        <row r="317">
          <cell r="A317" t="str">
            <v>Co-30.Ni-5.3Al-9.7Ti</v>
          </cell>
          <cell r="B317" t="str">
            <v>Co3Ti</v>
          </cell>
          <cell r="C317" t="str">
            <v>-30Ni-5Al-10Ti</v>
          </cell>
          <cell r="D317" t="str">
            <v>Alloy E</v>
          </cell>
          <cell r="E317" t="str">
            <v>Minshull, J. P., Neumeier, S., Tucker, M. G. &amp; Stone, H. J. A1-L12 structures in the Al-Co-Ni-Ti quaternary phase system. in Advanced Materials Research vol. 278 399–404 (2011).</v>
          </cell>
          <cell r="F317">
            <v>330</v>
          </cell>
          <cell r="G317">
            <v>55</v>
          </cell>
          <cell r="H317">
            <v>30</v>
          </cell>
          <cell r="I317">
            <v>5.29</v>
          </cell>
          <cell r="J317"/>
          <cell r="K317"/>
          <cell r="L317">
            <v>9.7100000000000009</v>
          </cell>
          <cell r="M317"/>
          <cell r="N317"/>
          <cell r="O317"/>
          <cell r="P317"/>
          <cell r="Q317"/>
          <cell r="R317"/>
          <cell r="S317"/>
          <cell r="T317"/>
          <cell r="U317"/>
          <cell r="V317"/>
          <cell r="W317"/>
          <cell r="X317"/>
          <cell r="Y317"/>
          <cell r="Z317"/>
          <cell r="AA317"/>
          <cell r="AB317"/>
          <cell r="AC317"/>
          <cell r="AD317"/>
          <cell r="AE317"/>
          <cell r="AF317">
            <v>8.1478596999999997</v>
          </cell>
          <cell r="AG317"/>
          <cell r="AH317"/>
          <cell r="AI317" t="str">
            <v>Co</v>
          </cell>
          <cell r="AJ317" t="str">
            <v>-5.3Al</v>
          </cell>
          <cell r="AK317" t="str">
            <v/>
          </cell>
          <cell r="AL317" t="str">
            <v>-30.Ni</v>
          </cell>
          <cell r="AM317" t="str">
            <v/>
          </cell>
          <cell r="AN317" t="str">
            <v/>
          </cell>
          <cell r="AO317" t="str">
            <v/>
          </cell>
          <cell r="AP317" t="str">
            <v/>
          </cell>
          <cell r="AQ317" t="str">
            <v>-9.7Ti</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cell r="BD317" t="str">
            <v/>
          </cell>
          <cell r="BE317" t="str">
            <v/>
          </cell>
          <cell r="BF317" t="str">
            <v/>
          </cell>
          <cell r="BG317" t="str">
            <v/>
          </cell>
          <cell r="BH317" t="str">
            <v>Alloy EMinshull, J. P., Neumeier, S., Tucker, M. G. &amp; Stone, H. J. A1-L12 structures in the Al-Co-Ni-Ti quaternary phase system. in Advanced Materials Research vol. 278 399–404 (2011).</v>
          </cell>
          <cell r="BI317" t="str">
            <v>Co-30.Ni-5.3Al-9.7Ti</v>
          </cell>
          <cell r="BJ317" t="str">
            <v>85.0Co-30.0Ni-5.3Al-9.7Ti</v>
          </cell>
        </row>
        <row r="318">
          <cell r="A318" t="str">
            <v>Co-42.5Ni-7.5Al-7.5Ti</v>
          </cell>
          <cell r="B318" t="str">
            <v>Co3Ti</v>
          </cell>
          <cell r="C318" t="str">
            <v>-43Ni-8Al-8Ti</v>
          </cell>
          <cell r="D318" t="str">
            <v>Alloy D</v>
          </cell>
          <cell r="E318" t="str">
            <v>Minshull, J. P., Neumeier, S., Tucker, M. G. &amp; Stone, H. J. A1-L12 structures in the Al-Co-Ni-Ti quaternary phase system. in Advanced Materials Research vol. 278 399–404 (2011).</v>
          </cell>
          <cell r="F318">
            <v>331</v>
          </cell>
          <cell r="G318">
            <v>42.5</v>
          </cell>
          <cell r="H318">
            <v>42.5</v>
          </cell>
          <cell r="I318">
            <v>7.5</v>
          </cell>
          <cell r="J318"/>
          <cell r="K318"/>
          <cell r="L318">
            <v>7.5</v>
          </cell>
          <cell r="M318"/>
          <cell r="N318"/>
          <cell r="O318"/>
          <cell r="P318"/>
          <cell r="Q318"/>
          <cell r="R318"/>
          <cell r="S318"/>
          <cell r="T318"/>
          <cell r="U318"/>
          <cell r="V318"/>
          <cell r="W318"/>
          <cell r="X318"/>
          <cell r="Y318"/>
          <cell r="Z318"/>
          <cell r="AA318"/>
          <cell r="AB318"/>
          <cell r="AC318"/>
          <cell r="AD318"/>
          <cell r="AE318"/>
          <cell r="AF318">
            <v>8.1089249999999993</v>
          </cell>
          <cell r="AG318"/>
          <cell r="AH318"/>
          <cell r="AI318" t="str">
            <v>Co</v>
          </cell>
          <cell r="AJ318" t="str">
            <v>-7.5Al</v>
          </cell>
          <cell r="AK318" t="str">
            <v/>
          </cell>
          <cell r="AL318" t="str">
            <v>-42.5Ni</v>
          </cell>
          <cell r="AM318" t="str">
            <v/>
          </cell>
          <cell r="AN318" t="str">
            <v/>
          </cell>
          <cell r="AO318" t="str">
            <v/>
          </cell>
          <cell r="AP318" t="str">
            <v/>
          </cell>
          <cell r="AQ318" t="str">
            <v>-7.5Ti</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cell r="BD318" t="str">
            <v/>
          </cell>
          <cell r="BE318" t="str">
            <v/>
          </cell>
          <cell r="BF318" t="str">
            <v/>
          </cell>
          <cell r="BG318" t="str">
            <v/>
          </cell>
          <cell r="BH318" t="str">
            <v>Alloy DMinshull, J. P., Neumeier, S., Tucker, M. G. &amp; Stone, H. J. A1-L12 structures in the Al-Co-Ni-Ti quaternary phase system. in Advanced Materials Research vol. 278 399–404 (2011).</v>
          </cell>
          <cell r="BI318" t="str">
            <v>Co-42.5Ni-7.5Al-7.5Ti</v>
          </cell>
          <cell r="BJ318" t="str">
            <v>85.0Co-42.5Ni-7.5Al-7.5Ti</v>
          </cell>
        </row>
        <row r="319">
          <cell r="A319" t="str">
            <v>Co-10.Al-13.W</v>
          </cell>
          <cell r="B319" t="str">
            <v>CoAlW-X</v>
          </cell>
          <cell r="C319" t="str">
            <v>-10Al-13W</v>
          </cell>
          <cell r="D319" t="str">
            <v>miura alloy 1</v>
          </cell>
          <cell r="E319" t="str">
            <v>Miura, S., Ohkubo, K. &amp; Mohri, T. Mechanical properties of co-based L12 intermetallic compound Co3(Al,W). Mater. Trans. 48, 2403–2408 (2007).</v>
          </cell>
          <cell r="F319">
            <v>332</v>
          </cell>
          <cell r="G319">
            <v>77</v>
          </cell>
          <cell r="H319"/>
          <cell r="I319">
            <v>10</v>
          </cell>
          <cell r="J319"/>
          <cell r="K319">
            <v>13</v>
          </cell>
          <cell r="L319"/>
          <cell r="M319"/>
          <cell r="N319"/>
          <cell r="O319"/>
          <cell r="P319"/>
          <cell r="Q319"/>
          <cell r="R319"/>
          <cell r="S319"/>
          <cell r="T319"/>
          <cell r="U319"/>
          <cell r="V319"/>
          <cell r="W319"/>
          <cell r="X319"/>
          <cell r="Y319"/>
          <cell r="Z319"/>
          <cell r="AA319"/>
          <cell r="AB319"/>
          <cell r="AC319"/>
          <cell r="AD319"/>
          <cell r="AE319"/>
          <cell r="AF319">
            <v>9.6255000000000006</v>
          </cell>
          <cell r="AG319"/>
          <cell r="AH319"/>
          <cell r="AI319" t="str">
            <v>Co</v>
          </cell>
          <cell r="AJ319" t="str">
            <v>-10.Al</v>
          </cell>
          <cell r="AK319" t="str">
            <v>-13.W</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cell r="BD319" t="str">
            <v/>
          </cell>
          <cell r="BE319" t="str">
            <v/>
          </cell>
          <cell r="BF319" t="str">
            <v/>
          </cell>
          <cell r="BG319" t="str">
            <v/>
          </cell>
          <cell r="BH319" t="str">
            <v>miura alloy 1Miura, S., Ohkubo, K. &amp; Mohri, T. Mechanical properties of co-based L12 intermetallic compound Co3(Al,W). Mater. Trans. 48, 2403–2408 (2007).</v>
          </cell>
          <cell r="BI319" t="str">
            <v>Co-10.Al-13.W</v>
          </cell>
          <cell r="BJ319" t="str">
            <v>77.0Co-10.0Al-13.0W</v>
          </cell>
        </row>
        <row r="320">
          <cell r="A320" t="str">
            <v>Co-10.Al-12.W</v>
          </cell>
          <cell r="B320" t="str">
            <v>CoAlW-X</v>
          </cell>
          <cell r="C320" t="str">
            <v>-10Al-12W</v>
          </cell>
          <cell r="D320" t="str">
            <v>miura alloy 2</v>
          </cell>
          <cell r="E320" t="str">
            <v>Miura, S., Ohkubo, K. &amp; Mohri, T. Mechanical properties of co-based L12 intermetallic compound Co3(Al,W). Mater. Trans. 48, 2403–2408 (2007).</v>
          </cell>
          <cell r="F320">
            <v>333</v>
          </cell>
          <cell r="G320">
            <v>78</v>
          </cell>
          <cell r="H320"/>
          <cell r="I320">
            <v>10</v>
          </cell>
          <cell r="J320"/>
          <cell r="K320">
            <v>12</v>
          </cell>
          <cell r="L320"/>
          <cell r="M320"/>
          <cell r="N320"/>
          <cell r="O320"/>
          <cell r="P320"/>
          <cell r="Q320"/>
          <cell r="R320"/>
          <cell r="S320"/>
          <cell r="T320"/>
          <cell r="U320"/>
          <cell r="V320"/>
          <cell r="W320"/>
          <cell r="X320"/>
          <cell r="Y320"/>
          <cell r="Z320"/>
          <cell r="AA320"/>
          <cell r="AB320"/>
          <cell r="AC320"/>
          <cell r="AD320"/>
          <cell r="AE320"/>
          <cell r="AF320">
            <v>9.5220000000000002</v>
          </cell>
          <cell r="AG320"/>
          <cell r="AH320"/>
          <cell r="AI320" t="str">
            <v>Co</v>
          </cell>
          <cell r="AJ320" t="str">
            <v>-10.Al</v>
          </cell>
          <cell r="AK320" t="str">
            <v>-12.W</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cell r="BD320" t="str">
            <v/>
          </cell>
          <cell r="BE320" t="str">
            <v/>
          </cell>
          <cell r="BF320" t="str">
            <v/>
          </cell>
          <cell r="BG320" t="str">
            <v/>
          </cell>
          <cell r="BH320" t="str">
            <v>miura alloy 2Miura, S., Ohkubo, K. &amp; Mohri, T. Mechanical properties of co-based L12 intermetallic compound Co3(Al,W). Mater. Trans. 48, 2403–2408 (2007).</v>
          </cell>
          <cell r="BI320" t="str">
            <v>Co-10.Al-12.W</v>
          </cell>
          <cell r="BJ320" t="str">
            <v>78.0Co-10.0Al-12.0W</v>
          </cell>
        </row>
        <row r="321">
          <cell r="A321" t="str">
            <v>Co-10.Al-8.4W-1.4Ti-1.2Nb</v>
          </cell>
          <cell r="B321" t="str">
            <v>CoAlWX+</v>
          </cell>
          <cell r="C321" t="str">
            <v>-10Al-8W-1Ti-1Nb</v>
          </cell>
          <cell r="D321" t="str">
            <v>TiNb</v>
          </cell>
          <cell r="E321" t="str">
            <v>Murray, S. P., Stinville, J. C., Callahan, P. G., Rhein, R. K. &amp; Pollock, T. M. Low Cycle Fatigue of Single Crystal γ′ -containing Co-based Superalloys at 750∘C. Metall. Mater. Trans. A Phys. Metall. Mater. Sci. 51, 200–213 (2020).</v>
          </cell>
          <cell r="F321">
            <v>334</v>
          </cell>
          <cell r="G321">
            <v>79</v>
          </cell>
          <cell r="H321"/>
          <cell r="I321">
            <v>10</v>
          </cell>
          <cell r="J321"/>
          <cell r="K321">
            <v>8.4</v>
          </cell>
          <cell r="L321">
            <v>1.4</v>
          </cell>
          <cell r="M321"/>
          <cell r="N321">
            <v>1.2</v>
          </cell>
          <cell r="O321"/>
          <cell r="P321"/>
          <cell r="Q321"/>
          <cell r="R321"/>
          <cell r="S321"/>
          <cell r="T321"/>
          <cell r="U321"/>
          <cell r="V321"/>
          <cell r="W321"/>
          <cell r="X321"/>
          <cell r="Y321"/>
          <cell r="Z321"/>
          <cell r="AA321"/>
          <cell r="AB321"/>
          <cell r="AC321"/>
          <cell r="AD321"/>
          <cell r="AE321"/>
          <cell r="AF321">
            <v>9.0839379999999998</v>
          </cell>
          <cell r="AG321"/>
          <cell r="AH321"/>
          <cell r="AI321" t="str">
            <v>Co</v>
          </cell>
          <cell r="AJ321" t="str">
            <v>-10.Al</v>
          </cell>
          <cell r="AK321" t="str">
            <v>-8.4W</v>
          </cell>
          <cell r="AL321" t="str">
            <v/>
          </cell>
          <cell r="AM321" t="str">
            <v/>
          </cell>
          <cell r="AN321" t="str">
            <v/>
          </cell>
          <cell r="AO321" t="str">
            <v>-1.2Nb</v>
          </cell>
          <cell r="AP321" t="str">
            <v/>
          </cell>
          <cell r="AQ321" t="str">
            <v>-1.4Ti</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cell r="BD321" t="str">
            <v/>
          </cell>
          <cell r="BE321" t="str">
            <v/>
          </cell>
          <cell r="BF321" t="str">
            <v/>
          </cell>
          <cell r="BG321" t="str">
            <v/>
          </cell>
          <cell r="BH321" t="str">
            <v>TiNbMurray, S. P., Stinville, J. C., Callahan, P. G., Rhein, R. K. &amp; Pollock, T. M. Low Cycle Fatigue of Single Crystal γ′ -containing Co-based Superalloys at 750∘C. Metall. Mater. Trans. A Phys. Metall. Mater. Sci. 51, 200–213 (2020).</v>
          </cell>
          <cell r="BI321" t="str">
            <v>Co-10.Al-8.4W-1.4Ti-1.2Nb</v>
          </cell>
          <cell r="BJ321" t="str">
            <v>79.0Co-10.0Al-8.4W-1.4Ti-1.2Nb</v>
          </cell>
        </row>
        <row r="322">
          <cell r="A322" t="str">
            <v>Co-10.3Al-7.9W-1.1Ta-0.9Nb</v>
          </cell>
          <cell r="B322" t="str">
            <v>CoAlWX+</v>
          </cell>
          <cell r="C322" t="str">
            <v>-10Al-8W-1Ta-1Nb</v>
          </cell>
          <cell r="D322" t="str">
            <v>TaNb</v>
          </cell>
          <cell r="E322" t="str">
            <v>Murray, S. P., Stinville, J. C., Callahan, P. G., Rhein, R. K. &amp; Pollock, T. M. Low Cycle Fatigue of Single Crystal γ′ -containing Co-based Superalloys at 750∘C. Metall. Mater. Trans. A Phys. Metall. Mater. Sci. 51, 200–213 (2020).</v>
          </cell>
          <cell r="F322">
            <v>335</v>
          </cell>
          <cell r="G322">
            <v>79.8</v>
          </cell>
          <cell r="H322"/>
          <cell r="I322">
            <v>10.3</v>
          </cell>
          <cell r="J322"/>
          <cell r="K322">
            <v>7.9</v>
          </cell>
          <cell r="L322"/>
          <cell r="M322">
            <v>1.1000000000000001</v>
          </cell>
          <cell r="N322">
            <v>0.9</v>
          </cell>
          <cell r="O322"/>
          <cell r="P322"/>
          <cell r="Q322"/>
          <cell r="R322"/>
          <cell r="S322"/>
          <cell r="T322"/>
          <cell r="U322"/>
          <cell r="V322"/>
          <cell r="W322"/>
          <cell r="X322"/>
          <cell r="Y322"/>
          <cell r="Z322"/>
          <cell r="AA322"/>
          <cell r="AB322"/>
          <cell r="AC322"/>
          <cell r="AD322"/>
          <cell r="AE322"/>
          <cell r="AF322">
            <v>9.1613299999999995</v>
          </cell>
          <cell r="AG322"/>
          <cell r="AH322"/>
          <cell r="AI322" t="str">
            <v>Co</v>
          </cell>
          <cell r="AJ322" t="str">
            <v>-10.3Al</v>
          </cell>
          <cell r="AK322" t="str">
            <v>-7.9W</v>
          </cell>
          <cell r="AL322" t="str">
            <v/>
          </cell>
          <cell r="AM322" t="str">
            <v/>
          </cell>
          <cell r="AN322" t="str">
            <v>-1.1Ta</v>
          </cell>
          <cell r="AO322" t="str">
            <v>-0.9Nb</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cell r="BD322" t="str">
            <v/>
          </cell>
          <cell r="BE322" t="str">
            <v/>
          </cell>
          <cell r="BF322" t="str">
            <v/>
          </cell>
          <cell r="BG322" t="str">
            <v/>
          </cell>
          <cell r="BH322" t="str">
            <v>TaNbMurray, S. P., Stinville, J. C., Callahan, P. G., Rhein, R. K. &amp; Pollock, T. M. Low Cycle Fatigue of Single Crystal γ′ -containing Co-based Superalloys at 750∘C. Metall. Mater. Trans. A Phys. Metall. Mater. Sci. 51, 200–213 (2020).</v>
          </cell>
          <cell r="BI322" t="str">
            <v>Co-10.3Al-7.9W-1.1Ta-0.9Nb</v>
          </cell>
          <cell r="BJ322" t="str">
            <v>79.8Co-10.3Al-7.9W-1.1Ta-0.9Nb</v>
          </cell>
        </row>
        <row r="323">
          <cell r="A323" t="str">
            <v>Co-30.7Ni-7.5Al-0.Cr-2.1W-4.2Ti-1.1Ta-1.Nb-3.2Mo-0.07B</v>
          </cell>
          <cell r="B323" t="str">
            <v>Low-W</v>
          </cell>
          <cell r="C323" t="str">
            <v>-31Ni-7Al-0Cr-2W-4Ti-1Ta-1Nb-3Mo-B</v>
          </cell>
          <cell r="D323" t="str">
            <v>0Cr</v>
          </cell>
          <cell r="E323" t="str">
            <v>Ng, D. S. et al. Effect of Cr additions on a γ-γ’ microstructure and creep behavior of a Co-based superalloy with low W content. Mater. Sci. Eng. A 778, (2020).</v>
          </cell>
          <cell r="F323">
            <v>336</v>
          </cell>
          <cell r="G323">
            <v>50.122000000000007</v>
          </cell>
          <cell r="H323">
            <v>30.7</v>
          </cell>
          <cell r="I323">
            <v>7.48</v>
          </cell>
          <cell r="J323">
            <v>0</v>
          </cell>
          <cell r="K323">
            <v>2.14</v>
          </cell>
          <cell r="L323">
            <v>4.1500000000000004</v>
          </cell>
          <cell r="M323">
            <v>1.1100000000000001</v>
          </cell>
          <cell r="N323">
            <v>1.04</v>
          </cell>
          <cell r="O323"/>
          <cell r="P323">
            <v>3.19</v>
          </cell>
          <cell r="Q323"/>
          <cell r="R323"/>
          <cell r="S323">
            <v>6.8000000000000005E-2</v>
          </cell>
          <cell r="T323"/>
          <cell r="U323"/>
          <cell r="V323"/>
          <cell r="W323"/>
          <cell r="X323"/>
          <cell r="Y323"/>
          <cell r="Z323"/>
          <cell r="AA323"/>
          <cell r="AB323"/>
          <cell r="AC323"/>
          <cell r="AD323"/>
          <cell r="AE323"/>
          <cell r="AF323">
            <v>8.600112300000001</v>
          </cell>
          <cell r="AG323"/>
          <cell r="AH323"/>
          <cell r="AI323" t="str">
            <v>Co</v>
          </cell>
          <cell r="AJ323" t="str">
            <v>-7.5Al</v>
          </cell>
          <cell r="AK323" t="str">
            <v>-2.1W</v>
          </cell>
          <cell r="AL323" t="str">
            <v>-30.7Ni</v>
          </cell>
          <cell r="AM323" t="str">
            <v>-0.Cr</v>
          </cell>
          <cell r="AN323" t="str">
            <v>-1.1Ta</v>
          </cell>
          <cell r="AO323" t="str">
            <v>-1.Nb</v>
          </cell>
          <cell r="AP323" t="str">
            <v/>
          </cell>
          <cell r="AQ323" t="str">
            <v>-4.2Ti</v>
          </cell>
          <cell r="AR323" t="str">
            <v>-3.2Mo</v>
          </cell>
          <cell r="AS323" t="str">
            <v/>
          </cell>
          <cell r="AT323" t="str">
            <v/>
          </cell>
          <cell r="AU323" t="str">
            <v>-0.07B</v>
          </cell>
          <cell r="AV323" t="str">
            <v/>
          </cell>
          <cell r="AW323" t="str">
            <v/>
          </cell>
          <cell r="AX323" t="str">
            <v/>
          </cell>
          <cell r="AY323" t="str">
            <v/>
          </cell>
          <cell r="AZ323" t="str">
            <v/>
          </cell>
          <cell r="BA323" t="str">
            <v/>
          </cell>
          <cell r="BB323" t="str">
            <v/>
          </cell>
          <cell r="BC323" t="str">
            <v/>
          </cell>
          <cell r="BD323" t="str">
            <v/>
          </cell>
          <cell r="BE323" t="str">
            <v/>
          </cell>
          <cell r="BF323" t="str">
            <v/>
          </cell>
          <cell r="BG323" t="str">
            <v/>
          </cell>
          <cell r="BH323" t="str">
            <v>0CrNg, D. S. et al. Effect of Cr additions on a γ-γ’ microstructure and creep behavior of a Co-based superalloy with low W content. Mater. Sci. Eng. A 778, (2020).</v>
          </cell>
          <cell r="BI323" t="str">
            <v>Co-30.7Ni-7.5Al-0.Cr-2.1W-4.2Ti-1.1Ta-1.Nb-3.2Mo-0.07B</v>
          </cell>
          <cell r="BJ323" t="str">
            <v>80.8Co-30.7Ni-7.5Al-0.0Cr-2.1W-4.2Ti-1.1Ta-1.0Nb-3.2Mo-0.07B</v>
          </cell>
        </row>
        <row r="324">
          <cell r="A324" t="str">
            <v>Co-31.3Ni-6.6Al-4.2Cr-2.1W-3.9Ti-1.Ta-1.Nb-3.2Mo-0.12B</v>
          </cell>
          <cell r="B324" t="str">
            <v>Low-W</v>
          </cell>
          <cell r="C324" t="str">
            <v>-31Ni-7Al-4Cr-2W-4Ti-1Ta-1Nb-3Mo-B</v>
          </cell>
          <cell r="D324" t="str">
            <v>4Cr</v>
          </cell>
          <cell r="E324" t="str">
            <v>Ng, D. S. et al. Effect of Cr additions on a γ-γ’ microstructure and creep behavior of a Co-based superalloy with low W content. Mater. Sci. Eng. A 778, (2020).</v>
          </cell>
          <cell r="F324">
            <v>337</v>
          </cell>
          <cell r="G324">
            <v>46.700999999999993</v>
          </cell>
          <cell r="H324">
            <v>31.3</v>
          </cell>
          <cell r="I324">
            <v>6.56</v>
          </cell>
          <cell r="J324">
            <v>4.18</v>
          </cell>
          <cell r="K324">
            <v>2.1</v>
          </cell>
          <cell r="L324">
            <v>3.92</v>
          </cell>
          <cell r="M324">
            <v>1.02</v>
          </cell>
          <cell r="N324">
            <v>0.95</v>
          </cell>
          <cell r="O324"/>
          <cell r="P324">
            <v>3.15</v>
          </cell>
          <cell r="Q324"/>
          <cell r="R324"/>
          <cell r="S324">
            <v>0.11899999999999999</v>
          </cell>
          <cell r="T324"/>
          <cell r="U324"/>
          <cell r="V324"/>
          <cell r="W324"/>
          <cell r="X324"/>
          <cell r="Y324"/>
          <cell r="Z324"/>
          <cell r="AA324"/>
          <cell r="AB324"/>
          <cell r="AC324"/>
          <cell r="AD324"/>
          <cell r="AE324"/>
          <cell r="AF324">
            <v>8.5811717999999981</v>
          </cell>
          <cell r="AG324"/>
          <cell r="AH324"/>
          <cell r="AI324" t="str">
            <v>Co</v>
          </cell>
          <cell r="AJ324" t="str">
            <v>-6.6Al</v>
          </cell>
          <cell r="AK324" t="str">
            <v>-2.1W</v>
          </cell>
          <cell r="AL324" t="str">
            <v>-31.3Ni</v>
          </cell>
          <cell r="AM324" t="str">
            <v>-4.2Cr</v>
          </cell>
          <cell r="AN324" t="str">
            <v>-1.Ta</v>
          </cell>
          <cell r="AO324" t="str">
            <v>-1.Nb</v>
          </cell>
          <cell r="AP324" t="str">
            <v/>
          </cell>
          <cell r="AQ324" t="str">
            <v>-3.9Ti</v>
          </cell>
          <cell r="AR324" t="str">
            <v>-3.2Mo</v>
          </cell>
          <cell r="AS324" t="str">
            <v/>
          </cell>
          <cell r="AT324" t="str">
            <v/>
          </cell>
          <cell r="AU324" t="str">
            <v>-0.12B</v>
          </cell>
          <cell r="AV324" t="str">
            <v/>
          </cell>
          <cell r="AW324" t="str">
            <v/>
          </cell>
          <cell r="AX324" t="str">
            <v/>
          </cell>
          <cell r="AY324" t="str">
            <v/>
          </cell>
          <cell r="AZ324" t="str">
            <v/>
          </cell>
          <cell r="BA324" t="str">
            <v/>
          </cell>
          <cell r="BB324" t="str">
            <v/>
          </cell>
          <cell r="BC324" t="str">
            <v/>
          </cell>
          <cell r="BD324" t="str">
            <v/>
          </cell>
          <cell r="BE324" t="str">
            <v/>
          </cell>
          <cell r="BF324" t="str">
            <v/>
          </cell>
          <cell r="BG324" t="str">
            <v/>
          </cell>
          <cell r="BH324" t="str">
            <v>4CrNg, D. S. et al. Effect of Cr additions on a γ-γ’ microstructure and creep behavior of a Co-based superalloy with low W content. Mater. Sci. Eng. A 778, (2020).</v>
          </cell>
          <cell r="BI324" t="str">
            <v>Co-31.3Ni-6.6Al-4.2Cr-2.1W-3.9Ti-1.Ta-1.Nb-3.2Mo-0.12B</v>
          </cell>
          <cell r="BJ324" t="str">
            <v>78.0Co-31.3Ni-6.6Al-4.2Cr-2.1W-3.9Ti-1.0Ta-1.0Nb-3.2Mo-0.12B</v>
          </cell>
        </row>
        <row r="325">
          <cell r="A325" t="str">
            <v>Co-28.7Ni-7.1Al-12.2Cr-1.8W-3.5Ti-1.1Ta-0.9Nb-2.9Mo-0.1B</v>
          </cell>
          <cell r="B325" t="str">
            <v>Low-W</v>
          </cell>
          <cell r="C325" t="str">
            <v>-29Ni-7Al-12Cr-2W-3Ti-1Ta-1Nb-3Mo-B</v>
          </cell>
          <cell r="D325" t="str">
            <v>12Cr</v>
          </cell>
          <cell r="E325" t="str">
            <v>Ng, D. S. et al. Effect of Cr additions on a γ-γ’ microstructure and creep behavior of a Co-based superalloy with low W content. Mater. Sci. Eng. A 778, (2020).</v>
          </cell>
          <cell r="F325">
            <v>339</v>
          </cell>
          <cell r="G325">
            <v>41.660000000000004</v>
          </cell>
          <cell r="H325">
            <v>28.74</v>
          </cell>
          <cell r="I325">
            <v>7.12</v>
          </cell>
          <cell r="J325">
            <v>12.2</v>
          </cell>
          <cell r="K325">
            <v>1.76</v>
          </cell>
          <cell r="L325">
            <v>3.49</v>
          </cell>
          <cell r="M325">
            <v>1.05</v>
          </cell>
          <cell r="N325">
            <v>0.94</v>
          </cell>
          <cell r="O325"/>
          <cell r="P325">
            <v>2.94</v>
          </cell>
          <cell r="Q325"/>
          <cell r="R325"/>
          <cell r="S325">
            <v>0.1</v>
          </cell>
          <cell r="T325"/>
          <cell r="U325"/>
          <cell r="V325"/>
          <cell r="W325"/>
          <cell r="X325"/>
          <cell r="Y325"/>
          <cell r="Z325"/>
          <cell r="AA325"/>
          <cell r="AB325"/>
          <cell r="AC325"/>
          <cell r="AD325"/>
          <cell r="AE325"/>
          <cell r="AF325">
            <v>8.3934884999999984</v>
          </cell>
          <cell r="AG325"/>
          <cell r="AH325" t="str">
            <v>B not measured</v>
          </cell>
          <cell r="AI325" t="str">
            <v>Co</v>
          </cell>
          <cell r="AJ325" t="str">
            <v>-7.1Al</v>
          </cell>
          <cell r="AK325" t="str">
            <v>-1.8W</v>
          </cell>
          <cell r="AL325" t="str">
            <v>-28.7Ni</v>
          </cell>
          <cell r="AM325" t="str">
            <v>-12.2Cr</v>
          </cell>
          <cell r="AN325" t="str">
            <v>-1.1Ta</v>
          </cell>
          <cell r="AO325" t="str">
            <v>-0.9Nb</v>
          </cell>
          <cell r="AP325" t="str">
            <v/>
          </cell>
          <cell r="AQ325" t="str">
            <v>-3.5Ti</v>
          </cell>
          <cell r="AR325" t="str">
            <v>-2.9Mo</v>
          </cell>
          <cell r="AS325" t="str">
            <v/>
          </cell>
          <cell r="AT325" t="str">
            <v/>
          </cell>
          <cell r="AU325" t="str">
            <v>-0.1B</v>
          </cell>
          <cell r="AV325" t="str">
            <v/>
          </cell>
          <cell r="AW325" t="str">
            <v/>
          </cell>
          <cell r="AX325" t="str">
            <v/>
          </cell>
          <cell r="AY325" t="str">
            <v/>
          </cell>
          <cell r="AZ325" t="str">
            <v/>
          </cell>
          <cell r="BA325" t="str">
            <v/>
          </cell>
          <cell r="BB325" t="str">
            <v/>
          </cell>
          <cell r="BC325" t="str">
            <v/>
          </cell>
          <cell r="BD325" t="str">
            <v/>
          </cell>
          <cell r="BE325" t="str">
            <v/>
          </cell>
          <cell r="BF325" t="str">
            <v/>
          </cell>
          <cell r="BG325" t="str">
            <v/>
          </cell>
          <cell r="BH325" t="str">
            <v>12CrNg, D. S. et al. Effect of Cr additions on a γ-γ’ microstructure and creep behavior of a Co-based superalloy with low W content. Mater. Sci. Eng. A 778, (2020).</v>
          </cell>
          <cell r="BI325" t="str">
            <v>Co-28.7Ni-7.1Al-12.2Cr-1.8W-3.5Ti-1.1Ta-0.9Nb-2.9Mo-0.1B</v>
          </cell>
          <cell r="BJ325" t="str">
            <v>70.4Co-28.7Ni-7.1Al-12.2Cr-1.8W-3.5Ti-1.1Ta-0.9Nb-2.9Mo-0.10B</v>
          </cell>
        </row>
        <row r="326">
          <cell r="A326" t="str">
            <v>Co-30.Ni-9.5Al-4.8Cr-2.1Ti-1.9Ta-5.Mo</v>
          </cell>
          <cell r="B326" t="str">
            <v>W-free</v>
          </cell>
          <cell r="C326" t="str">
            <v>-30Ni-10Al-5Cr-2Ti-2Ta-5Mo</v>
          </cell>
          <cell r="D326" t="str">
            <v>nithin alloy 1</v>
          </cell>
          <cell r="E326" t="str">
            <v>Nithin, B. ., Chattopadhyay, K. &amp; Phanikumar, G. Characterization of the Hot Deformation Behavior and Microstructure Evolution of a New γ-γ′ Strengthened Cobalt-Based Superalloy. Metall. Mater. Trans. A Phys. Metall. Mater. Sci. 49, 4895–4905 (2018).</v>
          </cell>
          <cell r="F326">
            <v>340</v>
          </cell>
          <cell r="G326">
            <v>46.73</v>
          </cell>
          <cell r="H326">
            <v>29.96</v>
          </cell>
          <cell r="I326">
            <v>9.5399999999999991</v>
          </cell>
          <cell r="J326">
            <v>4.78</v>
          </cell>
          <cell r="K326"/>
          <cell r="L326">
            <v>2.13</v>
          </cell>
          <cell r="M326">
            <v>1.91</v>
          </cell>
          <cell r="N326"/>
          <cell r="O326"/>
          <cell r="P326">
            <v>4.95</v>
          </cell>
          <cell r="Q326"/>
          <cell r="R326"/>
          <cell r="S326"/>
          <cell r="T326"/>
          <cell r="U326"/>
          <cell r="V326"/>
          <cell r="W326"/>
          <cell r="X326"/>
          <cell r="Y326"/>
          <cell r="Z326"/>
          <cell r="AA326"/>
          <cell r="AB326"/>
          <cell r="AC326"/>
          <cell r="AD326"/>
          <cell r="AE326"/>
          <cell r="AF326">
            <v>8.3519428999999992</v>
          </cell>
          <cell r="AG326"/>
          <cell r="AH326"/>
          <cell r="AI326" t="str">
            <v>Co</v>
          </cell>
          <cell r="AJ326" t="str">
            <v>-9.5Al</v>
          </cell>
          <cell r="AK326" t="str">
            <v/>
          </cell>
          <cell r="AL326" t="str">
            <v>-30.Ni</v>
          </cell>
          <cell r="AM326" t="str">
            <v>-4.8Cr</v>
          </cell>
          <cell r="AN326" t="str">
            <v>-1.9Ta</v>
          </cell>
          <cell r="AO326" t="str">
            <v/>
          </cell>
          <cell r="AP326" t="str">
            <v/>
          </cell>
          <cell r="AQ326" t="str">
            <v>-2.1Ti</v>
          </cell>
          <cell r="AR326" t="str">
            <v>-5.Mo</v>
          </cell>
          <cell r="AS326" t="str">
            <v/>
          </cell>
          <cell r="AT326" t="str">
            <v/>
          </cell>
          <cell r="AU326" t="str">
            <v/>
          </cell>
          <cell r="AV326" t="str">
            <v/>
          </cell>
          <cell r="AW326" t="str">
            <v/>
          </cell>
          <cell r="AX326" t="str">
            <v/>
          </cell>
          <cell r="AY326" t="str">
            <v/>
          </cell>
          <cell r="AZ326" t="str">
            <v/>
          </cell>
          <cell r="BA326" t="str">
            <v/>
          </cell>
          <cell r="BB326" t="str">
            <v/>
          </cell>
          <cell r="BC326" t="str">
            <v/>
          </cell>
          <cell r="BD326" t="str">
            <v/>
          </cell>
          <cell r="BE326" t="str">
            <v/>
          </cell>
          <cell r="BF326" t="str">
            <v/>
          </cell>
          <cell r="BG326" t="str">
            <v/>
          </cell>
          <cell r="BH326" t="str">
            <v>nithin alloy 1Nithin, B. ., Chattopadhyay, K. &amp; Phanikumar, G. Characterization of the Hot Deformation Behavior and Microstructure Evolution of a New γ-γ′ Strengthened Cobalt-Based Superalloy. Metall. Mater. Trans. A Phys. Metall. Mater. Sci. 49, 4895–4905 (2018).</v>
          </cell>
          <cell r="BI326" t="str">
            <v>Co-30.Ni-9.5Al-4.8Cr-2.1Ti-1.9Ta-5.Mo</v>
          </cell>
          <cell r="BJ326" t="str">
            <v>76.7Co-30.0Ni-9.5Al-4.8Cr-2.1Ti-1.9Ta-5.0Mo</v>
          </cell>
        </row>
        <row r="327">
          <cell r="A327" t="str">
            <v>Co-30.4Ni-9.7Al-11.5Cr-2.1Ti-2.2Ta-5.2Mo</v>
          </cell>
          <cell r="B327" t="str">
            <v>W-free</v>
          </cell>
          <cell r="C327" t="str">
            <v>-30Ni-10Al-12Cr-2Ti-2Ta-5Mo</v>
          </cell>
          <cell r="D327" t="str">
            <v>10Cr2Ta2Ti</v>
          </cell>
          <cell r="E327" t="str">
            <v>Nithin, B. et al. Effect of Cr addition on γ–γ′ cobalt-based Co–Mo–Al–Ta class of superalloys: a combined experimental and computational study. J. Mater. Sci. 52, 11036–11047 (2017).</v>
          </cell>
          <cell r="F327">
            <v>341</v>
          </cell>
          <cell r="G327">
            <v>38.9</v>
          </cell>
          <cell r="H327">
            <v>30.4</v>
          </cell>
          <cell r="I327">
            <v>9.6999999999999993</v>
          </cell>
          <cell r="J327">
            <v>11.5</v>
          </cell>
          <cell r="K327"/>
          <cell r="L327">
            <v>2.1</v>
          </cell>
          <cell r="M327">
            <v>2.2000000000000002</v>
          </cell>
          <cell r="N327"/>
          <cell r="O327"/>
          <cell r="P327">
            <v>5.2</v>
          </cell>
          <cell r="Q327"/>
          <cell r="R327"/>
          <cell r="S327"/>
          <cell r="T327"/>
          <cell r="U327"/>
          <cell r="V327"/>
          <cell r="W327"/>
          <cell r="X327"/>
          <cell r="Y327"/>
          <cell r="Z327"/>
          <cell r="AA327"/>
          <cell r="AB327"/>
          <cell r="AC327"/>
          <cell r="AD327"/>
          <cell r="AE327"/>
          <cell r="AF327">
            <v>8.254388999999998</v>
          </cell>
          <cell r="AG327">
            <v>8.41</v>
          </cell>
          <cell r="AH327"/>
          <cell r="AI327" t="str">
            <v>Co</v>
          </cell>
          <cell r="AJ327" t="str">
            <v>-9.7Al</v>
          </cell>
          <cell r="AK327" t="str">
            <v/>
          </cell>
          <cell r="AL327" t="str">
            <v>-30.4Ni</v>
          </cell>
          <cell r="AM327" t="str">
            <v>-11.5Cr</v>
          </cell>
          <cell r="AN327" t="str">
            <v>-2.2Ta</v>
          </cell>
          <cell r="AO327" t="str">
            <v/>
          </cell>
          <cell r="AP327" t="str">
            <v/>
          </cell>
          <cell r="AQ327" t="str">
            <v>-2.1Ti</v>
          </cell>
          <cell r="AR327" t="str">
            <v>-5.2Mo</v>
          </cell>
          <cell r="AS327" t="str">
            <v/>
          </cell>
          <cell r="AT327" t="str">
            <v/>
          </cell>
          <cell r="AU327" t="str">
            <v/>
          </cell>
          <cell r="AV327" t="str">
            <v/>
          </cell>
          <cell r="AW327" t="str">
            <v/>
          </cell>
          <cell r="AX327" t="str">
            <v/>
          </cell>
          <cell r="AY327" t="str">
            <v/>
          </cell>
          <cell r="AZ327" t="str">
            <v/>
          </cell>
          <cell r="BA327" t="str">
            <v/>
          </cell>
          <cell r="BB327" t="str">
            <v/>
          </cell>
          <cell r="BC327" t="str">
            <v/>
          </cell>
          <cell r="BD327" t="str">
            <v/>
          </cell>
          <cell r="BE327" t="str">
            <v/>
          </cell>
          <cell r="BF327" t="str">
            <v/>
          </cell>
          <cell r="BG327" t="str">
            <v/>
          </cell>
          <cell r="BH327" t="str">
            <v>10Cr2Ta2TiNithin, B. et al. Effect of Cr addition on γ–γ′ cobalt-based Co–Mo–Al–Ta class of superalloys: a combined experimental and computational study. J. Mater. Sci. 52, 11036–11047 (2017).</v>
          </cell>
          <cell r="BI327" t="str">
            <v>Co-30.4Ni-9.7Al-11.5Cr-2.1Ti-2.2Ta-5.2Mo</v>
          </cell>
          <cell r="BJ327" t="str">
            <v>69.3Co-30.4Ni-9.7Al-11.5Cr-2.1Ti-2.2Ta-5.2Mo</v>
          </cell>
        </row>
        <row r="328">
          <cell r="A328" t="str">
            <v>Co-31.2Ni-10.1Al-10.5Cr-2.1Ta-5.1Mo</v>
          </cell>
          <cell r="B328" t="str">
            <v>W-free</v>
          </cell>
          <cell r="C328" t="str">
            <v>-31Ni-10Al-11Cr-2Ta-5Mo</v>
          </cell>
          <cell r="D328" t="str">
            <v>10Cr2Ta</v>
          </cell>
          <cell r="E328" t="str">
            <v>Nithin, B. et al. Effect of Cr addition on γ–γ′ cobalt-based Co–Mo–Al–Ta class of superalloys: a combined experimental and computational study. J. Mater. Sci. 52, 11036–11047 (2017).</v>
          </cell>
          <cell r="F328">
            <v>342</v>
          </cell>
          <cell r="G328">
            <v>41</v>
          </cell>
          <cell r="H328">
            <v>31.2</v>
          </cell>
          <cell r="I328">
            <v>10.1</v>
          </cell>
          <cell r="J328">
            <v>10.5</v>
          </cell>
          <cell r="K328"/>
          <cell r="L328"/>
          <cell r="M328">
            <v>2.1</v>
          </cell>
          <cell r="N328"/>
          <cell r="O328"/>
          <cell r="P328">
            <v>5.0999999999999996</v>
          </cell>
          <cell r="Q328"/>
          <cell r="R328"/>
          <cell r="S328"/>
          <cell r="T328"/>
          <cell r="U328"/>
          <cell r="V328"/>
          <cell r="W328"/>
          <cell r="X328"/>
          <cell r="Y328"/>
          <cell r="Z328"/>
          <cell r="AA328"/>
          <cell r="AB328"/>
          <cell r="AC328"/>
          <cell r="AD328"/>
          <cell r="AE328"/>
          <cell r="AF328">
            <v>8.3298760000000005</v>
          </cell>
          <cell r="AG328">
            <v>8.51</v>
          </cell>
          <cell r="AH328"/>
          <cell r="AI328" t="str">
            <v>Co</v>
          </cell>
          <cell r="AJ328" t="str">
            <v>-10.1Al</v>
          </cell>
          <cell r="AK328" t="str">
            <v/>
          </cell>
          <cell r="AL328" t="str">
            <v>-31.2Ni</v>
          </cell>
          <cell r="AM328" t="str">
            <v>-10.5Cr</v>
          </cell>
          <cell r="AN328" t="str">
            <v>-2.1Ta</v>
          </cell>
          <cell r="AO328" t="str">
            <v/>
          </cell>
          <cell r="AP328" t="str">
            <v/>
          </cell>
          <cell r="AQ328" t="str">
            <v/>
          </cell>
          <cell r="AR328" t="str">
            <v>-5.1Mo</v>
          </cell>
          <cell r="AS328" t="str">
            <v/>
          </cell>
          <cell r="AT328" t="str">
            <v/>
          </cell>
          <cell r="AU328" t="str">
            <v/>
          </cell>
          <cell r="AV328" t="str">
            <v/>
          </cell>
          <cell r="AW328" t="str">
            <v/>
          </cell>
          <cell r="AX328" t="str">
            <v/>
          </cell>
          <cell r="AY328" t="str">
            <v/>
          </cell>
          <cell r="AZ328" t="str">
            <v/>
          </cell>
          <cell r="BA328" t="str">
            <v/>
          </cell>
          <cell r="BB328" t="str">
            <v/>
          </cell>
          <cell r="BC328" t="str">
            <v/>
          </cell>
          <cell r="BD328" t="str">
            <v/>
          </cell>
          <cell r="BE328" t="str">
            <v/>
          </cell>
          <cell r="BF328" t="str">
            <v/>
          </cell>
          <cell r="BG328" t="str">
            <v/>
          </cell>
          <cell r="BH328" t="str">
            <v>10Cr2TaNithin, B. et al. Effect of Cr addition on γ–γ′ cobalt-based Co–Mo–Al–Ta class of superalloys: a combined experimental and computational study. J. Mater. Sci. 52, 11036–11047 (2017).</v>
          </cell>
          <cell r="BI328" t="str">
            <v>Co-31.2Ni-10.1Al-10.5Cr-2.1Ta-5.1Mo</v>
          </cell>
          <cell r="BJ328" t="str">
            <v>72.2Co-31.2Ni-10.1Al-10.5Cr-2.1Ta-5.1Mo</v>
          </cell>
        </row>
        <row r="329">
          <cell r="A329" t="str">
            <v>Co-8.8Al-9.8W-2.Ti</v>
          </cell>
          <cell r="B329" t="str">
            <v>CoAlW-X</v>
          </cell>
          <cell r="C329" t="str">
            <v>-9Al-10W-2Ti</v>
          </cell>
          <cell r="D329" t="str">
            <v>CoAlWTi</v>
          </cell>
          <cell r="E329" t="str">
            <v>Omori, T. et al. Partition behavior of alloying elements and phase transformation temperatures in Co-Al-W-base quaternary systems. Intermetallics 32, 274–283 (2013).</v>
          </cell>
          <cell r="F329">
            <v>344</v>
          </cell>
          <cell r="G329">
            <v>79.400000000000006</v>
          </cell>
          <cell r="H329"/>
          <cell r="I329">
            <v>8.8000000000000007</v>
          </cell>
          <cell r="J329"/>
          <cell r="K329">
            <v>9.8000000000000007</v>
          </cell>
          <cell r="L329">
            <v>2</v>
          </cell>
          <cell r="M329"/>
          <cell r="N329"/>
          <cell r="O329"/>
          <cell r="P329"/>
          <cell r="Q329"/>
          <cell r="R329"/>
          <cell r="S329"/>
          <cell r="T329"/>
          <cell r="U329"/>
          <cell r="V329"/>
          <cell r="W329"/>
          <cell r="X329"/>
          <cell r="Y329"/>
          <cell r="Z329"/>
          <cell r="AA329"/>
          <cell r="AB329"/>
          <cell r="AC329"/>
          <cell r="AD329"/>
          <cell r="AE329"/>
          <cell r="AF329">
            <v>9.2808400000000013</v>
          </cell>
          <cell r="AG329"/>
          <cell r="AH329"/>
          <cell r="AI329" t="str">
            <v>Co</v>
          </cell>
          <cell r="AJ329" t="str">
            <v>-8.8Al</v>
          </cell>
          <cell r="AK329" t="str">
            <v>-9.8W</v>
          </cell>
          <cell r="AL329" t="str">
            <v/>
          </cell>
          <cell r="AM329" t="str">
            <v/>
          </cell>
          <cell r="AN329" t="str">
            <v/>
          </cell>
          <cell r="AO329" t="str">
            <v/>
          </cell>
          <cell r="AP329" t="str">
            <v/>
          </cell>
          <cell r="AQ329" t="str">
            <v>-2.Ti</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cell r="BD329" t="str">
            <v/>
          </cell>
          <cell r="BE329" t="str">
            <v/>
          </cell>
          <cell r="BF329" t="str">
            <v/>
          </cell>
          <cell r="BG329" t="str">
            <v/>
          </cell>
          <cell r="BH329" t="str">
            <v>CoAlWTiOmori, T. et al. Partition behavior of alloying elements and phase transformation temperatures in Co-Al-W-base quaternary systems. Intermetallics 32, 274–283 (2013).</v>
          </cell>
          <cell r="BI329" t="str">
            <v>Co-8.8Al-9.8W-2.Ti</v>
          </cell>
          <cell r="BJ329" t="str">
            <v>79.4Co-8.8Al-9.8W-2.0Ti</v>
          </cell>
        </row>
        <row r="330">
          <cell r="A330" t="str">
            <v>Co-9.Al-10.W</v>
          </cell>
          <cell r="B330" t="str">
            <v>CoAlW-X</v>
          </cell>
          <cell r="C330" t="str">
            <v>-9Al-10W</v>
          </cell>
          <cell r="D330" t="str">
            <v>CoAlW</v>
          </cell>
          <cell r="E330" t="str">
            <v>Omori, T. et al. Partition behavior of alloying elements and phase transformation temperatures in Co-Al-W-base quaternary systems. Intermetallics 32, 274–283 (2013).</v>
          </cell>
          <cell r="F330">
            <v>345</v>
          </cell>
          <cell r="G330">
            <v>81</v>
          </cell>
          <cell r="H330"/>
          <cell r="I330">
            <v>9</v>
          </cell>
          <cell r="J330"/>
          <cell r="K330">
            <v>10</v>
          </cell>
          <cell r="L330"/>
          <cell r="M330"/>
          <cell r="N330"/>
          <cell r="O330"/>
          <cell r="P330"/>
          <cell r="Q330"/>
          <cell r="R330"/>
          <cell r="S330"/>
          <cell r="T330"/>
          <cell r="U330"/>
          <cell r="V330"/>
          <cell r="W330"/>
          <cell r="X330"/>
          <cell r="Y330"/>
          <cell r="Z330"/>
          <cell r="AA330"/>
          <cell r="AB330"/>
          <cell r="AC330"/>
          <cell r="AD330"/>
          <cell r="AE330"/>
          <cell r="AF330">
            <v>9.3769999999999989</v>
          </cell>
          <cell r="AG330"/>
          <cell r="AH330"/>
          <cell r="AI330" t="str">
            <v>Co</v>
          </cell>
          <cell r="AJ330" t="str">
            <v>-9.Al</v>
          </cell>
          <cell r="AK330" t="str">
            <v>-10.W</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cell r="BD330" t="str">
            <v/>
          </cell>
          <cell r="BE330" t="str">
            <v/>
          </cell>
          <cell r="BF330" t="str">
            <v/>
          </cell>
          <cell r="BG330" t="str">
            <v/>
          </cell>
          <cell r="BH330" t="str">
            <v>CoAlWOmori, T. et al. Partition behavior of alloying elements and phase transformation temperatures in Co-Al-W-base quaternary systems. Intermetallics 32, 274–283 (2013).</v>
          </cell>
          <cell r="BI330" t="str">
            <v>Co-9.Al-10.W</v>
          </cell>
          <cell r="BJ330" t="str">
            <v>81.0Co-9.0Al-10.0W</v>
          </cell>
        </row>
        <row r="331">
          <cell r="A331" t="str">
            <v>Co-8.8Al-9.8W-2.V</v>
          </cell>
          <cell r="B331" t="str">
            <v>CoAlW-X</v>
          </cell>
          <cell r="C331" t="str">
            <v>-9Al-10W-2V</v>
          </cell>
          <cell r="D331" t="str">
            <v>CoAlWV</v>
          </cell>
          <cell r="E331" t="str">
            <v>Omori, T. et al. Partition behavior of alloying elements and phase transformation temperatures in Co-Al-W-base quaternary systems. Intermetallics 32, 274–283 (2013).</v>
          </cell>
          <cell r="F331">
            <v>346</v>
          </cell>
          <cell r="G331">
            <v>79.400000000000006</v>
          </cell>
          <cell r="H331"/>
          <cell r="I331">
            <v>8.8000000000000007</v>
          </cell>
          <cell r="J331"/>
          <cell r="K331">
            <v>9.8000000000000007</v>
          </cell>
          <cell r="L331"/>
          <cell r="M331"/>
          <cell r="N331"/>
          <cell r="O331">
            <v>2</v>
          </cell>
          <cell r="P331"/>
          <cell r="Q331"/>
          <cell r="R331"/>
          <cell r="S331"/>
          <cell r="T331"/>
          <cell r="U331"/>
          <cell r="V331"/>
          <cell r="W331"/>
          <cell r="X331"/>
          <cell r="Y331"/>
          <cell r="Z331"/>
          <cell r="AA331"/>
          <cell r="AB331"/>
          <cell r="AC331"/>
          <cell r="AD331"/>
          <cell r="AE331"/>
          <cell r="AF331">
            <v>9.3129000000000008</v>
          </cell>
          <cell r="AG331"/>
          <cell r="AH331"/>
          <cell r="AI331" t="str">
            <v>Co</v>
          </cell>
          <cell r="AJ331" t="str">
            <v>-8.8Al</v>
          </cell>
          <cell r="AK331" t="str">
            <v>-9.8W</v>
          </cell>
          <cell r="AL331" t="str">
            <v/>
          </cell>
          <cell r="AM331" t="str">
            <v/>
          </cell>
          <cell r="AN331" t="str">
            <v/>
          </cell>
          <cell r="AO331" t="str">
            <v/>
          </cell>
          <cell r="AP331" t="str">
            <v>-2.V</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cell r="BD331" t="str">
            <v/>
          </cell>
          <cell r="BE331" t="str">
            <v/>
          </cell>
          <cell r="BF331" t="str">
            <v/>
          </cell>
          <cell r="BG331" t="str">
            <v/>
          </cell>
          <cell r="BH331" t="str">
            <v>CoAlWVOmori, T. et al. Partition behavior of alloying elements and phase transformation temperatures in Co-Al-W-base quaternary systems. Intermetallics 32, 274–283 (2013).</v>
          </cell>
          <cell r="BI331" t="str">
            <v>Co-8.8Al-9.8W-2.V</v>
          </cell>
          <cell r="BJ331" t="str">
            <v>79.4Co-8.8Al-9.8W-2.0V</v>
          </cell>
        </row>
        <row r="332">
          <cell r="A332" t="str">
            <v>Co-8.8Al-9.8W-2.Nb</v>
          </cell>
          <cell r="B332" t="str">
            <v>CoAlW-X</v>
          </cell>
          <cell r="C332" t="str">
            <v>-9Al-10W-2Nb</v>
          </cell>
          <cell r="D332" t="str">
            <v>CoAlWNb</v>
          </cell>
          <cell r="E332" t="str">
            <v>Omori, T. et al. Partition behavior of alloying elements and phase transformation temperatures in Co-Al-W-base quaternary systems. Intermetallics 32, 274–283 (2013).</v>
          </cell>
          <cell r="F332">
            <v>347</v>
          </cell>
          <cell r="G332">
            <v>79.400000000000006</v>
          </cell>
          <cell r="H332"/>
          <cell r="I332">
            <v>8.8000000000000007</v>
          </cell>
          <cell r="J332"/>
          <cell r="K332">
            <v>9.8000000000000007</v>
          </cell>
          <cell r="L332"/>
          <cell r="M332"/>
          <cell r="N332">
            <v>2</v>
          </cell>
          <cell r="O332"/>
          <cell r="P332"/>
          <cell r="Q332"/>
          <cell r="R332"/>
          <cell r="S332"/>
          <cell r="T332"/>
          <cell r="U332"/>
          <cell r="V332"/>
          <cell r="W332"/>
          <cell r="X332"/>
          <cell r="Y332"/>
          <cell r="Z332"/>
          <cell r="AA332"/>
          <cell r="AB332"/>
          <cell r="AC332"/>
          <cell r="AD332"/>
          <cell r="AE332"/>
          <cell r="AF332">
            <v>9.3620999999999999</v>
          </cell>
          <cell r="AG332"/>
          <cell r="AH332"/>
          <cell r="AI332" t="str">
            <v>Co</v>
          </cell>
          <cell r="AJ332" t="str">
            <v>-8.8Al</v>
          </cell>
          <cell r="AK332" t="str">
            <v>-9.8W</v>
          </cell>
          <cell r="AL332" t="str">
            <v/>
          </cell>
          <cell r="AM332" t="str">
            <v/>
          </cell>
          <cell r="AN332" t="str">
            <v/>
          </cell>
          <cell r="AO332" t="str">
            <v>-2.Nb</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cell r="BD332" t="str">
            <v/>
          </cell>
          <cell r="BE332" t="str">
            <v/>
          </cell>
          <cell r="BF332" t="str">
            <v/>
          </cell>
          <cell r="BG332" t="str">
            <v/>
          </cell>
          <cell r="BH332" t="str">
            <v>CoAlWNbOmori, T. et al. Partition behavior of alloying elements and phase transformation temperatures in Co-Al-W-base quaternary systems. Intermetallics 32, 274–283 (2013).</v>
          </cell>
          <cell r="BI332" t="str">
            <v>Co-8.8Al-9.8W-2.Nb</v>
          </cell>
          <cell r="BJ332" t="str">
            <v>79.4Co-8.8Al-9.8W-2.0Nb</v>
          </cell>
        </row>
        <row r="333">
          <cell r="A333" t="str">
            <v>Co-8.8Al-9.8W-2.Ta</v>
          </cell>
          <cell r="B333" t="str">
            <v>CoAlW-X</v>
          </cell>
          <cell r="C333" t="str">
            <v>-9Al-10W-2Ta</v>
          </cell>
          <cell r="D333" t="str">
            <v>CoAlWTa</v>
          </cell>
          <cell r="E333" t="str">
            <v>Omori, T. et al. Partition behavior of alloying elements and phase transformation temperatures in Co-Al-W-base quaternary systems. Intermetallics 32, 274–283 (2013).</v>
          </cell>
          <cell r="F333">
            <v>348</v>
          </cell>
          <cell r="G333">
            <v>79.400000000000006</v>
          </cell>
          <cell r="H333"/>
          <cell r="I333">
            <v>8.8000000000000007</v>
          </cell>
          <cell r="J333"/>
          <cell r="K333">
            <v>9.8000000000000007</v>
          </cell>
          <cell r="L333"/>
          <cell r="M333">
            <v>2</v>
          </cell>
          <cell r="N333"/>
          <cell r="O333"/>
          <cell r="P333"/>
          <cell r="Q333"/>
          <cell r="R333"/>
          <cell r="S333"/>
          <cell r="T333"/>
          <cell r="U333"/>
          <cell r="V333"/>
          <cell r="W333"/>
          <cell r="X333"/>
          <cell r="Y333"/>
          <cell r="Z333"/>
          <cell r="AA333"/>
          <cell r="AB333"/>
          <cell r="AC333"/>
          <cell r="AD333"/>
          <cell r="AE333"/>
          <cell r="AF333">
            <v>9.5236999999999998</v>
          </cell>
          <cell r="AG333"/>
          <cell r="AH333"/>
          <cell r="AI333" t="str">
            <v>Co</v>
          </cell>
          <cell r="AJ333" t="str">
            <v>-8.8Al</v>
          </cell>
          <cell r="AK333" t="str">
            <v>-9.8W</v>
          </cell>
          <cell r="AL333" t="str">
            <v/>
          </cell>
          <cell r="AM333" t="str">
            <v/>
          </cell>
          <cell r="AN333" t="str">
            <v>-2.Ta</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cell r="BD333" t="str">
            <v/>
          </cell>
          <cell r="BE333" t="str">
            <v/>
          </cell>
          <cell r="BF333" t="str">
            <v/>
          </cell>
          <cell r="BG333" t="str">
            <v/>
          </cell>
          <cell r="BH333" t="str">
            <v>CoAlWTaOmori, T. et al. Partition behavior of alloying elements and phase transformation temperatures in Co-Al-W-base quaternary systems. Intermetallics 32, 274–283 (2013).</v>
          </cell>
          <cell r="BI333" t="str">
            <v>Co-8.8Al-9.8W-2.Ta</v>
          </cell>
          <cell r="BJ333" t="str">
            <v>79.4Co-8.8Al-9.8W-2.0Ta</v>
          </cell>
        </row>
        <row r="334">
          <cell r="A334" t="str">
            <v>Co-8.8Al-2.Cr-9.8W</v>
          </cell>
          <cell r="B334" t="str">
            <v>CoAlW-X</v>
          </cell>
          <cell r="C334" t="str">
            <v>-9Al-2Cr-10W</v>
          </cell>
          <cell r="D334" t="str">
            <v>CoAlWCr</v>
          </cell>
          <cell r="E334" t="str">
            <v>Omori, T. et al. Partition behavior of alloying elements and phase transformation temperatures in Co-Al-W-base quaternary systems. Intermetallics 32, 274–283 (2013).</v>
          </cell>
          <cell r="F334">
            <v>349</v>
          </cell>
          <cell r="G334">
            <v>79.400000000000006</v>
          </cell>
          <cell r="H334"/>
          <cell r="I334">
            <v>8.8000000000000007</v>
          </cell>
          <cell r="J334">
            <v>2</v>
          </cell>
          <cell r="K334">
            <v>9.8000000000000007</v>
          </cell>
          <cell r="L334"/>
          <cell r="M334"/>
          <cell r="N334"/>
          <cell r="O334"/>
          <cell r="P334"/>
          <cell r="Q334"/>
          <cell r="R334"/>
          <cell r="S334"/>
          <cell r="T334"/>
          <cell r="U334"/>
          <cell r="V334"/>
          <cell r="W334"/>
          <cell r="X334"/>
          <cell r="Y334"/>
          <cell r="Z334"/>
          <cell r="AA334"/>
          <cell r="AB334"/>
          <cell r="AC334"/>
          <cell r="AD334"/>
          <cell r="AE334"/>
          <cell r="AF334">
            <v>9.3345000000000002</v>
          </cell>
          <cell r="AG334"/>
          <cell r="AH334"/>
          <cell r="AI334" t="str">
            <v>Co</v>
          </cell>
          <cell r="AJ334" t="str">
            <v>-8.8Al</v>
          </cell>
          <cell r="AK334" t="str">
            <v>-9.8W</v>
          </cell>
          <cell r="AL334" t="str">
            <v/>
          </cell>
          <cell r="AM334" t="str">
            <v>-2.Cr</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cell r="BD334" t="str">
            <v/>
          </cell>
          <cell r="BE334" t="str">
            <v/>
          </cell>
          <cell r="BF334" t="str">
            <v/>
          </cell>
          <cell r="BG334" t="str">
            <v/>
          </cell>
          <cell r="BH334" t="str">
            <v>CoAlWCrOmori, T. et al. Partition behavior of alloying elements and phase transformation temperatures in Co-Al-W-base quaternary systems. Intermetallics 32, 274–283 (2013).</v>
          </cell>
          <cell r="BI334" t="str">
            <v>Co-8.8Al-2.Cr-9.8W</v>
          </cell>
          <cell r="BJ334" t="str">
            <v>79.4Co-8.8Al-2.0Cr-9.8W</v>
          </cell>
        </row>
        <row r="335">
          <cell r="A335" t="str">
            <v>Co-8.8Al-9.8W-2.Mo</v>
          </cell>
          <cell r="B335" t="str">
            <v>CoAlW-X</v>
          </cell>
          <cell r="C335" t="str">
            <v>-9Al-10W-2Mo</v>
          </cell>
          <cell r="D335" t="str">
            <v>CoAlWMo</v>
          </cell>
          <cell r="E335" t="str">
            <v>Omori, T. et al. Partition behavior of alloying elements and phase transformation temperatures in Co-Al-W-base quaternary systems. Intermetallics 32, 274–283 (2013).</v>
          </cell>
          <cell r="F335">
            <v>350</v>
          </cell>
          <cell r="G335">
            <v>79.400000000000006</v>
          </cell>
          <cell r="H335"/>
          <cell r="I335">
            <v>8.8000000000000007</v>
          </cell>
          <cell r="J335"/>
          <cell r="K335">
            <v>9.8000000000000007</v>
          </cell>
          <cell r="L335"/>
          <cell r="M335"/>
          <cell r="N335"/>
          <cell r="O335"/>
          <cell r="P335">
            <v>2</v>
          </cell>
          <cell r="Q335"/>
          <cell r="R335"/>
          <cell r="S335"/>
          <cell r="T335"/>
          <cell r="U335"/>
          <cell r="V335"/>
          <cell r="W335"/>
          <cell r="X335"/>
          <cell r="Y335"/>
          <cell r="Z335"/>
          <cell r="AA335"/>
          <cell r="AB335"/>
          <cell r="AC335"/>
          <cell r="AD335"/>
          <cell r="AE335"/>
          <cell r="AF335">
            <v>9.3963000000000001</v>
          </cell>
          <cell r="AG335"/>
          <cell r="AH335"/>
          <cell r="AI335" t="str">
            <v>Co</v>
          </cell>
          <cell r="AJ335" t="str">
            <v>-8.8Al</v>
          </cell>
          <cell r="AK335" t="str">
            <v>-9.8W</v>
          </cell>
          <cell r="AL335" t="str">
            <v/>
          </cell>
          <cell r="AM335" t="str">
            <v/>
          </cell>
          <cell r="AN335" t="str">
            <v/>
          </cell>
          <cell r="AO335" t="str">
            <v/>
          </cell>
          <cell r="AP335" t="str">
            <v/>
          </cell>
          <cell r="AQ335" t="str">
            <v/>
          </cell>
          <cell r="AR335" t="str">
            <v>-2.Mo</v>
          </cell>
          <cell r="AS335" t="str">
            <v/>
          </cell>
          <cell r="AT335" t="str">
            <v/>
          </cell>
          <cell r="AU335" t="str">
            <v/>
          </cell>
          <cell r="AV335" t="str">
            <v/>
          </cell>
          <cell r="AW335" t="str">
            <v/>
          </cell>
          <cell r="AX335" t="str">
            <v/>
          </cell>
          <cell r="AY335" t="str">
            <v/>
          </cell>
          <cell r="AZ335" t="str">
            <v/>
          </cell>
          <cell r="BA335" t="str">
            <v/>
          </cell>
          <cell r="BB335" t="str">
            <v/>
          </cell>
          <cell r="BC335" t="str">
            <v/>
          </cell>
          <cell r="BD335" t="str">
            <v/>
          </cell>
          <cell r="BE335" t="str">
            <v/>
          </cell>
          <cell r="BF335" t="str">
            <v/>
          </cell>
          <cell r="BG335" t="str">
            <v/>
          </cell>
          <cell r="BH335" t="str">
            <v>CoAlWMoOmori, T. et al. Partition behavior of alloying elements and phase transformation temperatures in Co-Al-W-base quaternary systems. Intermetallics 32, 274–283 (2013).</v>
          </cell>
          <cell r="BI335" t="str">
            <v>Co-8.8Al-9.8W-2.Mo</v>
          </cell>
          <cell r="BJ335" t="str">
            <v>79.4Co-8.8Al-9.8W-2.0Mo</v>
          </cell>
        </row>
        <row r="336">
          <cell r="A336" t="str">
            <v>Co-8.8Al-9.8W-2.Mn</v>
          </cell>
          <cell r="B336" t="str">
            <v>CoAlW-X</v>
          </cell>
          <cell r="C336" t="str">
            <v>-9Al-10W-2Mn</v>
          </cell>
          <cell r="D336" t="str">
            <v>CoAlWMn</v>
          </cell>
          <cell r="E336" t="str">
            <v>Omori, T. et al. Partition behavior of alloying elements and phase transformation temperatures in Co-Al-W-base quaternary systems. Intermetallics 32, 274–283 (2013).</v>
          </cell>
          <cell r="F336">
            <v>351</v>
          </cell>
          <cell r="G336">
            <v>79.400000000000006</v>
          </cell>
          <cell r="H336"/>
          <cell r="I336">
            <v>8.8000000000000007</v>
          </cell>
          <cell r="J336"/>
          <cell r="K336">
            <v>9.8000000000000007</v>
          </cell>
          <cell r="L336"/>
          <cell r="M336"/>
          <cell r="N336"/>
          <cell r="O336"/>
          <cell r="P336"/>
          <cell r="Q336"/>
          <cell r="R336"/>
          <cell r="S336"/>
          <cell r="T336"/>
          <cell r="U336"/>
          <cell r="V336"/>
          <cell r="W336"/>
          <cell r="X336"/>
          <cell r="Y336"/>
          <cell r="Z336"/>
          <cell r="AA336">
            <v>2</v>
          </cell>
          <cell r="AB336"/>
          <cell r="AC336"/>
          <cell r="AD336"/>
          <cell r="AE336"/>
          <cell r="AF336">
            <v>9.3401000000000014</v>
          </cell>
          <cell r="AG336"/>
          <cell r="AH336"/>
          <cell r="AI336" t="str">
            <v>Co</v>
          </cell>
          <cell r="AJ336" t="str">
            <v>-8.8Al</v>
          </cell>
          <cell r="AK336" t="str">
            <v>-9.8W</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-2.Mn</v>
          </cell>
          <cell r="BD336" t="str">
            <v/>
          </cell>
          <cell r="BE336" t="str">
            <v/>
          </cell>
          <cell r="BF336" t="str">
            <v/>
          </cell>
          <cell r="BG336" t="str">
            <v/>
          </cell>
          <cell r="BH336" t="str">
            <v>CoAlWMnOmori, T. et al. Partition behavior of alloying elements and phase transformation temperatures in Co-Al-W-base quaternary systems. Intermetallics 32, 274–283 (2013).</v>
          </cell>
          <cell r="BI336" t="str">
            <v>Co-8.8Al-9.8W-2.Mn</v>
          </cell>
          <cell r="BJ336" t="str">
            <v>79.4Co-8.8Al-9.8W-2.0Mn</v>
          </cell>
        </row>
        <row r="337">
          <cell r="A337" t="str">
            <v>Co-2.Fe-8.8Al-9.8W</v>
          </cell>
          <cell r="B337" t="str">
            <v>CoAlW-X</v>
          </cell>
          <cell r="C337" t="str">
            <v>-2Fe-9Al-10W</v>
          </cell>
          <cell r="D337" t="str">
            <v>CoAlWFe</v>
          </cell>
          <cell r="E337" t="str">
            <v>Omori, T. et al. Partition behavior of alloying elements and phase transformation temperatures in Co-Al-W-base quaternary systems. Intermetallics 32, 274–283 (2013).</v>
          </cell>
          <cell r="F337">
            <v>352</v>
          </cell>
          <cell r="G337">
            <v>79.400000000000006</v>
          </cell>
          <cell r="H337"/>
          <cell r="I337">
            <v>8.8000000000000007</v>
          </cell>
          <cell r="J337"/>
          <cell r="K337">
            <v>9.8000000000000007</v>
          </cell>
          <cell r="L337"/>
          <cell r="M337"/>
          <cell r="N337"/>
          <cell r="O337"/>
          <cell r="P337"/>
          <cell r="Q337"/>
          <cell r="R337"/>
          <cell r="S337"/>
          <cell r="T337"/>
          <cell r="U337"/>
          <cell r="V337"/>
          <cell r="W337">
            <v>2</v>
          </cell>
          <cell r="X337"/>
          <cell r="Y337"/>
          <cell r="Z337"/>
          <cell r="AA337"/>
          <cell r="AB337"/>
          <cell r="AC337"/>
          <cell r="AD337"/>
          <cell r="AE337"/>
          <cell r="AF337">
            <v>9.348180000000001</v>
          </cell>
          <cell r="AG337"/>
          <cell r="AH337"/>
          <cell r="AI337" t="str">
            <v>Co</v>
          </cell>
          <cell r="AJ337" t="str">
            <v>-8.8Al</v>
          </cell>
          <cell r="AK337" t="str">
            <v>-9.8W</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-2.Fe</v>
          </cell>
          <cell r="AZ337" t="str">
            <v/>
          </cell>
          <cell r="BA337" t="str">
            <v/>
          </cell>
          <cell r="BB337" t="str">
            <v/>
          </cell>
          <cell r="BC337" t="str">
            <v/>
          </cell>
          <cell r="BD337" t="str">
            <v/>
          </cell>
          <cell r="BE337" t="str">
            <v/>
          </cell>
          <cell r="BF337" t="str">
            <v/>
          </cell>
          <cell r="BG337" t="str">
            <v/>
          </cell>
          <cell r="BH337" t="str">
            <v>CoAlWFeOmori, T. et al. Partition behavior of alloying elements and phase transformation temperatures in Co-Al-W-base quaternary systems. Intermetallics 32, 274–283 (2013).</v>
          </cell>
          <cell r="BI337" t="str">
            <v>Co-2.Fe-8.8Al-9.8W</v>
          </cell>
          <cell r="BJ337" t="str">
            <v>79.4Co-2.0Fe-8.8Al-9.8W</v>
          </cell>
        </row>
        <row r="338">
          <cell r="A338" t="str">
            <v>Co-2.Ni-8.8Al-9.8W</v>
          </cell>
          <cell r="B338" t="str">
            <v>CoAlW-X</v>
          </cell>
          <cell r="C338" t="str">
            <v>-2Ni-9Al-10W</v>
          </cell>
          <cell r="D338" t="str">
            <v>CoAlWNi</v>
          </cell>
          <cell r="E338" t="str">
            <v>Omori, T. et al. Partition behavior of alloying elements and phase transformation temperatures in Co-Al-W-base quaternary systems. Intermetallics 32, 274–283 (2013).</v>
          </cell>
          <cell r="F338">
            <v>353</v>
          </cell>
          <cell r="G338">
            <v>79.400000000000006</v>
          </cell>
          <cell r="H338">
            <v>2</v>
          </cell>
          <cell r="I338">
            <v>8.8000000000000007</v>
          </cell>
          <cell r="J338"/>
          <cell r="K338">
            <v>9.8000000000000007</v>
          </cell>
          <cell r="L338"/>
          <cell r="M338"/>
          <cell r="N338"/>
          <cell r="O338"/>
          <cell r="P338"/>
          <cell r="Q338"/>
          <cell r="R338"/>
          <cell r="S338"/>
          <cell r="T338"/>
          <cell r="U338"/>
          <cell r="V338"/>
          <cell r="W338"/>
          <cell r="X338"/>
          <cell r="Y338"/>
          <cell r="Z338"/>
          <cell r="AA338"/>
          <cell r="AB338"/>
          <cell r="AC338"/>
          <cell r="AD338"/>
          <cell r="AE338"/>
          <cell r="AF338">
            <v>9.3688600000000015</v>
          </cell>
          <cell r="AG338"/>
          <cell r="AH338"/>
          <cell r="AI338" t="str">
            <v>Co</v>
          </cell>
          <cell r="AJ338" t="str">
            <v>-8.8Al</v>
          </cell>
          <cell r="AK338" t="str">
            <v>-9.8W</v>
          </cell>
          <cell r="AL338" t="str">
            <v>-2.Ni</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cell r="BD338" t="str">
            <v/>
          </cell>
          <cell r="BE338" t="str">
            <v/>
          </cell>
          <cell r="BF338" t="str">
            <v/>
          </cell>
          <cell r="BG338" t="str">
            <v/>
          </cell>
          <cell r="BH338" t="str">
            <v>CoAlWNiOmori, T. et al. Partition behavior of alloying elements and phase transformation temperatures in Co-Al-W-base quaternary systems. Intermetallics 32, 274–283 (2013).</v>
          </cell>
          <cell r="BI338" t="str">
            <v>Co-2.Ni-8.8Al-9.8W</v>
          </cell>
          <cell r="BJ338" t="str">
            <v>81.4Co-2.0Ni-8.8Al-9.8W</v>
          </cell>
        </row>
        <row r="339">
          <cell r="A339" t="str">
            <v>Co-8.8Al-9.8W-2.Si</v>
          </cell>
          <cell r="B339" t="str">
            <v>CoAlW-X</v>
          </cell>
          <cell r="C339" t="str">
            <v>-9Al-10W-Si</v>
          </cell>
          <cell r="D339" t="str">
            <v>CoAlWSi</v>
          </cell>
          <cell r="E339" t="str">
            <v>Omori, T. et al. Partition behavior of alloying elements and phase transformation temperatures in Co-Al-W-base quaternary systems. Intermetallics 32, 274–283 (2013).</v>
          </cell>
          <cell r="F339">
            <v>354</v>
          </cell>
          <cell r="G339">
            <v>79.400000000000006</v>
          </cell>
          <cell r="H339"/>
          <cell r="I339">
            <v>8.8000000000000007</v>
          </cell>
          <cell r="J339"/>
          <cell r="K339">
            <v>9.8000000000000007</v>
          </cell>
          <cell r="L339"/>
          <cell r="M339"/>
          <cell r="N339"/>
          <cell r="O339"/>
          <cell r="P339"/>
          <cell r="Q339"/>
          <cell r="R339"/>
          <cell r="S339"/>
          <cell r="T339"/>
          <cell r="U339"/>
          <cell r="V339">
            <v>2</v>
          </cell>
          <cell r="W339"/>
          <cell r="X339"/>
          <cell r="Y339"/>
          <cell r="Z339"/>
          <cell r="AA339"/>
          <cell r="AB339"/>
          <cell r="AC339"/>
          <cell r="AD339"/>
          <cell r="AE339"/>
          <cell r="AF339">
            <v>9.2372999999999994</v>
          </cell>
          <cell r="AG339"/>
          <cell r="AH339"/>
          <cell r="AI339" t="str">
            <v>Co</v>
          </cell>
          <cell r="AJ339" t="str">
            <v>-8.8Al</v>
          </cell>
          <cell r="AK339" t="str">
            <v>-9.8W</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-2.Si</v>
          </cell>
          <cell r="AY339" t="str">
            <v/>
          </cell>
          <cell r="AZ339" t="str">
            <v/>
          </cell>
          <cell r="BA339" t="str">
            <v/>
          </cell>
          <cell r="BB339" t="str">
            <v/>
          </cell>
          <cell r="BC339" t="str">
            <v/>
          </cell>
          <cell r="BD339" t="str">
            <v/>
          </cell>
          <cell r="BE339" t="str">
            <v/>
          </cell>
          <cell r="BF339" t="str">
            <v/>
          </cell>
          <cell r="BG339" t="str">
            <v/>
          </cell>
          <cell r="BH339" t="str">
            <v>CoAlWSiOmori, T. et al. Partition behavior of alloying elements and phase transformation temperatures in Co-Al-W-base quaternary systems. Intermetallics 32, 274–283 (2013).</v>
          </cell>
          <cell r="BI339" t="str">
            <v>Co-8.8Al-9.8W-2.Si</v>
          </cell>
          <cell r="BJ339" t="str">
            <v>79.4Co-8.8Al-9.8W-2.0Si</v>
          </cell>
        </row>
        <row r="340">
          <cell r="A340" t="str">
            <v>Co-8.8Al-9.8W-2.Zr</v>
          </cell>
          <cell r="B340" t="str">
            <v>CoAlW-X</v>
          </cell>
          <cell r="C340" t="str">
            <v>-9Al-10W-Zr</v>
          </cell>
          <cell r="D340" t="str">
            <v>CoAlWZr</v>
          </cell>
          <cell r="E340" t="str">
            <v>Omori, T. et al. Partition behavior of alloying elements and phase transformation temperatures in Co-Al-W-base quaternary systems. Intermetallics 32, 274–283 (2013).</v>
          </cell>
          <cell r="F340">
            <v>355</v>
          </cell>
          <cell r="G340">
            <v>79.400000000000006</v>
          </cell>
          <cell r="H340"/>
          <cell r="I340">
            <v>8.8000000000000007</v>
          </cell>
          <cell r="J340"/>
          <cell r="K340">
            <v>9.8000000000000007</v>
          </cell>
          <cell r="L340"/>
          <cell r="M340"/>
          <cell r="N340"/>
          <cell r="O340"/>
          <cell r="P340"/>
          <cell r="Q340"/>
          <cell r="R340">
            <v>2</v>
          </cell>
          <cell r="S340"/>
          <cell r="T340"/>
          <cell r="U340"/>
          <cell r="V340"/>
          <cell r="W340"/>
          <cell r="X340"/>
          <cell r="Y340"/>
          <cell r="Z340"/>
          <cell r="AA340"/>
          <cell r="AB340"/>
          <cell r="AC340"/>
          <cell r="AD340"/>
          <cell r="AE340"/>
          <cell r="AF340">
            <v>9.320920000000001</v>
          </cell>
          <cell r="AG340"/>
          <cell r="AH340"/>
          <cell r="AI340" t="str">
            <v>Co</v>
          </cell>
          <cell r="AJ340" t="str">
            <v>-8.8Al</v>
          </cell>
          <cell r="AK340" t="str">
            <v>-9.8W</v>
          </cell>
          <cell r="AL340" t="str">
            <v/>
          </cell>
          <cell r="AM340" t="str">
            <v/>
          </cell>
          <cell r="AN340" t="str">
            <v/>
          </cell>
          <cell r="AO340" t="str">
            <v/>
          </cell>
          <cell r="AP340" t="str">
            <v/>
          </cell>
          <cell r="AQ340" t="str">
            <v/>
          </cell>
          <cell r="AR340" t="str">
            <v/>
          </cell>
          <cell r="AS340" t="str">
            <v/>
          </cell>
          <cell r="AT340" t="str">
            <v>-2.Zr</v>
          </cell>
          <cell r="AU340" t="str">
            <v/>
          </cell>
          <cell r="AV340" t="str">
            <v/>
          </cell>
          <cell r="AW340" t="str">
            <v/>
          </cell>
          <cell r="AX340" t="str">
            <v/>
          </cell>
          <cell r="AY340" t="str">
            <v/>
          </cell>
          <cell r="AZ340" t="str">
            <v/>
          </cell>
          <cell r="BA340" t="str">
            <v/>
          </cell>
          <cell r="BB340" t="str">
            <v/>
          </cell>
          <cell r="BC340" t="str">
            <v/>
          </cell>
          <cell r="BD340" t="str">
            <v/>
          </cell>
          <cell r="BE340" t="str">
            <v/>
          </cell>
          <cell r="BF340" t="str">
            <v/>
          </cell>
          <cell r="BG340" t="str">
            <v/>
          </cell>
          <cell r="BH340" t="str">
            <v>CoAlWZrOmori, T. et al. Partition behavior of alloying elements and phase transformation temperatures in Co-Al-W-base quaternary systems. Intermetallics 32, 274–283 (2013).</v>
          </cell>
          <cell r="BI340" t="str">
            <v>Co-8.8Al-9.8W-2.Zr</v>
          </cell>
          <cell r="BJ340" t="str">
            <v>79.4Co-8.8Al-9.8W-2.00Zr</v>
          </cell>
        </row>
        <row r="341">
          <cell r="A341" t="str">
            <v>Co-8.8Al-9.8W-2.Hf</v>
          </cell>
          <cell r="B341" t="str">
            <v>CoAlW-X</v>
          </cell>
          <cell r="C341" t="str">
            <v>-9Al-10W-Hf</v>
          </cell>
          <cell r="D341" t="str">
            <v>CoAlWHf</v>
          </cell>
          <cell r="E341" t="str">
            <v>Omori, T. et al. Partition behavior of alloying elements and phase transformation temperatures in Co-Al-W-base quaternary systems. Intermetallics 32, 274–283 (2013).</v>
          </cell>
          <cell r="F341">
            <v>356</v>
          </cell>
          <cell r="G341">
            <v>79.400000000000006</v>
          </cell>
          <cell r="H341"/>
          <cell r="I341">
            <v>8.8000000000000007</v>
          </cell>
          <cell r="J341"/>
          <cell r="K341">
            <v>9.8000000000000007</v>
          </cell>
          <cell r="L341"/>
          <cell r="M341"/>
          <cell r="N341"/>
          <cell r="O341"/>
          <cell r="P341"/>
          <cell r="Q341"/>
          <cell r="R341"/>
          <cell r="S341"/>
          <cell r="T341"/>
          <cell r="U341"/>
          <cell r="V341"/>
          <cell r="W341"/>
          <cell r="X341"/>
          <cell r="Y341">
            <v>2</v>
          </cell>
          <cell r="Z341"/>
          <cell r="AA341"/>
          <cell r="AB341"/>
          <cell r="AC341"/>
          <cell r="AD341"/>
          <cell r="AE341"/>
          <cell r="AF341">
            <v>9.456900000000001</v>
          </cell>
          <cell r="AG341"/>
          <cell r="AH341"/>
          <cell r="AI341" t="str">
            <v>Co</v>
          </cell>
          <cell r="AJ341" t="str">
            <v>-8.8Al</v>
          </cell>
          <cell r="AK341" t="str">
            <v>-9.8W</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-2.Hf</v>
          </cell>
          <cell r="BB341" t="str">
            <v/>
          </cell>
          <cell r="BC341" t="str">
            <v/>
          </cell>
          <cell r="BD341" t="str">
            <v/>
          </cell>
          <cell r="BE341" t="str">
            <v/>
          </cell>
          <cell r="BF341" t="str">
            <v/>
          </cell>
          <cell r="BG341" t="str">
            <v/>
          </cell>
          <cell r="BH341" t="str">
            <v>CoAlWHfOmori, T. et al. Partition behavior of alloying elements and phase transformation temperatures in Co-Al-W-base quaternary systems. Intermetallics 32, 274–283 (2013).</v>
          </cell>
          <cell r="BI341" t="str">
            <v>Co-8.8Al-9.8W-2.Hf</v>
          </cell>
          <cell r="BJ341" t="str">
            <v>79.4Co-8.8Al-9.8W-2.0Hf</v>
          </cell>
        </row>
        <row r="342">
          <cell r="A342" t="str">
            <v>Co-8.8Al-9.8W-2.Ru</v>
          </cell>
          <cell r="B342" t="str">
            <v>CoAlW-X</v>
          </cell>
          <cell r="C342" t="str">
            <v>-9Al-10W-2Ru</v>
          </cell>
          <cell r="D342" t="str">
            <v>CoAlWRu</v>
          </cell>
          <cell r="E342" t="str">
            <v>Omori, T. et al. Partition behavior of alloying elements and phase transformation temperatures in Co-Al-W-base quaternary systems. Intermetallics 32, 274–283 (2013).</v>
          </cell>
          <cell r="F342">
            <v>357</v>
          </cell>
          <cell r="G342">
            <v>79.400000000000006</v>
          </cell>
          <cell r="H342"/>
          <cell r="I342">
            <v>8.8000000000000007</v>
          </cell>
          <cell r="J342"/>
          <cell r="K342">
            <v>9.8000000000000007</v>
          </cell>
          <cell r="L342"/>
          <cell r="M342"/>
          <cell r="N342"/>
          <cell r="O342"/>
          <cell r="P342"/>
          <cell r="Q342"/>
          <cell r="R342"/>
          <cell r="S342"/>
          <cell r="T342"/>
          <cell r="U342"/>
          <cell r="V342"/>
          <cell r="W342"/>
          <cell r="X342"/>
          <cell r="Y342"/>
          <cell r="Z342"/>
          <cell r="AA342"/>
          <cell r="AB342"/>
          <cell r="AC342">
            <v>2</v>
          </cell>
          <cell r="AD342"/>
          <cell r="AE342"/>
          <cell r="AF342">
            <v>9.4381000000000004</v>
          </cell>
          <cell r="AG342"/>
          <cell r="AH342"/>
          <cell r="AI342" t="str">
            <v>Co</v>
          </cell>
          <cell r="AJ342" t="str">
            <v>-8.8Al</v>
          </cell>
          <cell r="AK342" t="str">
            <v>-9.8W</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cell r="BD342" t="str">
            <v/>
          </cell>
          <cell r="BE342" t="str">
            <v>-2.Ru</v>
          </cell>
          <cell r="BF342" t="str">
            <v/>
          </cell>
          <cell r="BG342" t="str">
            <v/>
          </cell>
          <cell r="BH342" t="str">
            <v>CoAlWRuOmori, T. et al. Partition behavior of alloying elements and phase transformation temperatures in Co-Al-W-base quaternary systems. Intermetallics 32, 274–283 (2013).</v>
          </cell>
          <cell r="BI342" t="str">
            <v>Co-8.8Al-9.8W-2.Ru</v>
          </cell>
          <cell r="BJ342" t="str">
            <v>79.4Co-8.8Al-9.8W-2.0Ru</v>
          </cell>
        </row>
        <row r="343">
          <cell r="A343" t="str">
            <v>Co-8.8Al-9.8W-2.Ir</v>
          </cell>
          <cell r="B343" t="str">
            <v>CoAlW-X</v>
          </cell>
          <cell r="C343" t="str">
            <v>-9Al-10W-2Ir</v>
          </cell>
          <cell r="D343" t="str">
            <v>CoAlWIr</v>
          </cell>
          <cell r="E343" t="str">
            <v>Omori, T. et al. Partition behavior of alloying elements and phase transformation temperatures in Co-Al-W-base quaternary systems. Intermetallics 32, 274–283 (2013).</v>
          </cell>
          <cell r="F343">
            <v>358</v>
          </cell>
          <cell r="G343">
            <v>79.400000000000006</v>
          </cell>
          <cell r="H343"/>
          <cell r="I343">
            <v>8.8000000000000007</v>
          </cell>
          <cell r="J343"/>
          <cell r="K343">
            <v>9.8000000000000007</v>
          </cell>
          <cell r="L343"/>
          <cell r="M343"/>
          <cell r="N343"/>
          <cell r="O343"/>
          <cell r="P343"/>
          <cell r="Q343"/>
          <cell r="R343"/>
          <cell r="S343"/>
          <cell r="T343">
            <v>2</v>
          </cell>
          <cell r="U343"/>
          <cell r="V343"/>
          <cell r="W343"/>
          <cell r="X343"/>
          <cell r="Y343"/>
          <cell r="Z343"/>
          <cell r="AA343"/>
          <cell r="AB343"/>
          <cell r="AC343"/>
          <cell r="AD343"/>
          <cell r="AE343"/>
          <cell r="AF343">
            <v>9.6418999999999997</v>
          </cell>
          <cell r="AG343"/>
          <cell r="AH343"/>
          <cell r="AI343" t="str">
            <v>Co</v>
          </cell>
          <cell r="AJ343" t="str">
            <v>-8.8Al</v>
          </cell>
          <cell r="AK343" t="str">
            <v>-9.8W</v>
          </cell>
          <cell r="AL343" t="str">
            <v/>
          </cell>
          <cell r="AM343" t="str">
            <v/>
          </cell>
          <cell r="AN343" t="str">
            <v/>
          </cell>
          <cell r="AO343" t="str">
            <v/>
          </cell>
          <cell r="AP343" t="str">
            <v/>
          </cell>
          <cell r="AQ343" t="str">
            <v/>
          </cell>
          <cell r="AR343" t="str">
            <v/>
          </cell>
          <cell r="AS343" t="str">
            <v/>
          </cell>
          <cell r="AT343" t="str">
            <v/>
          </cell>
          <cell r="AU343" t="str">
            <v/>
          </cell>
          <cell r="AV343" t="str">
            <v>-2.Ir</v>
          </cell>
          <cell r="AW343" t="str">
            <v/>
          </cell>
          <cell r="AX343" t="str">
            <v/>
          </cell>
          <cell r="AY343" t="str">
            <v/>
          </cell>
          <cell r="AZ343" t="str">
            <v/>
          </cell>
          <cell r="BA343" t="str">
            <v/>
          </cell>
          <cell r="BB343" t="str">
            <v/>
          </cell>
          <cell r="BC343" t="str">
            <v/>
          </cell>
          <cell r="BD343" t="str">
            <v/>
          </cell>
          <cell r="BE343" t="str">
            <v/>
          </cell>
          <cell r="BF343" t="str">
            <v/>
          </cell>
          <cell r="BG343" t="str">
            <v/>
          </cell>
          <cell r="BH343" t="str">
            <v>CoAlWIrOmori, T. et al. Partition behavior of alloying elements and phase transformation temperatures in Co-Al-W-base quaternary systems. Intermetallics 32, 274–283 (2013).</v>
          </cell>
          <cell r="BI343" t="str">
            <v>Co-8.8Al-9.8W-2.Ir</v>
          </cell>
          <cell r="BJ343" t="str">
            <v>79.4Co-8.8Al-9.8W-2.0Ir</v>
          </cell>
        </row>
        <row r="344">
          <cell r="A344" t="str">
            <v>Co-9.Al-7.W-2.Ti</v>
          </cell>
          <cell r="B344" t="str">
            <v>CoAlW-X</v>
          </cell>
          <cell r="C344" t="str">
            <v>-9Al-7W-2Ti</v>
          </cell>
          <cell r="D344" t="str">
            <v>Co-9Al-7W-2Ti</v>
          </cell>
          <cell r="E344" t="str">
            <v>Ooshima, M., Tanaka, K., Okamoto, N. L., Kishida, K. &amp; Inui, H. Effects of quaternary alloying elements on the γ′ solvus temperature of Co-Al-W based alloys with fcc/L12 two-phase microstructures. J. Alloys Compd. 508, 71–78 (2010).</v>
          </cell>
          <cell r="F344">
            <v>359</v>
          </cell>
          <cell r="G344">
            <v>82</v>
          </cell>
          <cell r="H344"/>
          <cell r="I344">
            <v>9</v>
          </cell>
          <cell r="J344"/>
          <cell r="K344">
            <v>7</v>
          </cell>
          <cell r="L344">
            <v>2</v>
          </cell>
          <cell r="M344"/>
          <cell r="N344"/>
          <cell r="O344"/>
          <cell r="P344"/>
          <cell r="Q344"/>
          <cell r="R344"/>
          <cell r="S344"/>
          <cell r="T344"/>
          <cell r="U344"/>
          <cell r="V344"/>
          <cell r="W344"/>
          <cell r="X344"/>
          <cell r="Y344"/>
          <cell r="Z344"/>
          <cell r="AA344"/>
          <cell r="AB344"/>
          <cell r="AC344"/>
          <cell r="AD344"/>
          <cell r="AE344"/>
          <cell r="AF344">
            <v>8.9786400000000004</v>
          </cell>
          <cell r="AG344"/>
          <cell r="AH344"/>
          <cell r="AI344" t="str">
            <v>Co</v>
          </cell>
          <cell r="AJ344" t="str">
            <v>-9.Al</v>
          </cell>
          <cell r="AK344" t="str">
            <v>-7.W</v>
          </cell>
          <cell r="AL344" t="str">
            <v/>
          </cell>
          <cell r="AM344" t="str">
            <v/>
          </cell>
          <cell r="AN344" t="str">
            <v/>
          </cell>
          <cell r="AO344" t="str">
            <v/>
          </cell>
          <cell r="AP344" t="str">
            <v/>
          </cell>
          <cell r="AQ344" t="str">
            <v>-2.Ti</v>
          </cell>
          <cell r="AR344" t="str">
            <v/>
          </cell>
          <cell r="AS344" t="str">
            <v/>
          </cell>
          <cell r="AT344" t="str">
            <v/>
          </cell>
          <cell r="AU344" t="str">
            <v/>
          </cell>
          <cell r="AV344" t="str">
            <v/>
          </cell>
          <cell r="AW344" t="str">
            <v/>
          </cell>
          <cell r="AX344" t="str">
            <v/>
          </cell>
          <cell r="AY344" t="str">
            <v/>
          </cell>
          <cell r="AZ344" t="str">
            <v/>
          </cell>
          <cell r="BA344" t="str">
            <v/>
          </cell>
          <cell r="BB344" t="str">
            <v/>
          </cell>
          <cell r="BC344" t="str">
            <v/>
          </cell>
          <cell r="BD344" t="str">
            <v/>
          </cell>
          <cell r="BE344" t="str">
            <v/>
          </cell>
          <cell r="BF344" t="str">
            <v/>
          </cell>
          <cell r="BG344" t="str">
            <v/>
          </cell>
          <cell r="BH344" t="str">
            <v>Co-9Al-7W-2TiOoshima, M., Tanaka, K., Okamoto, N. L., Kishida, K. &amp; Inui, H. Effects of quaternary alloying elements on the γ′ solvus temperature of Co-Al-W based alloys with fcc/L12 two-phase microstructures. J. Alloys Compd. 508, 71–78 (2010).</v>
          </cell>
          <cell r="BI344" t="str">
            <v>Co-9.Al-7.W-2.Ti</v>
          </cell>
          <cell r="BJ344" t="str">
            <v>82.0Co-9.0Al-7.0W-2.0Ti</v>
          </cell>
        </row>
        <row r="345">
          <cell r="A345" t="str">
            <v>Co-9.Al-6.W</v>
          </cell>
          <cell r="B345" t="str">
            <v>CoAlW-X</v>
          </cell>
          <cell r="C345" t="str">
            <v>-9Al-6W</v>
          </cell>
          <cell r="D345" t="str">
            <v>Co-9Al-6W</v>
          </cell>
          <cell r="E345" t="str">
            <v>Ooshima, M., Tanaka, K., Okamoto, N. L., Kishida, K. &amp; Inui, H. Effects of quaternary alloying elements on the γ′ solvus temperature of Co-Al-W based alloys with fcc/L12 two-phase microstructures. J. Alloys Compd. 508, 71–78 (2010).</v>
          </cell>
          <cell r="F345">
            <v>360</v>
          </cell>
          <cell r="G345">
            <v>85</v>
          </cell>
          <cell r="H345"/>
          <cell r="I345">
            <v>9</v>
          </cell>
          <cell r="J345"/>
          <cell r="K345">
            <v>6</v>
          </cell>
          <cell r="L345"/>
          <cell r="M345"/>
          <cell r="N345"/>
          <cell r="O345"/>
          <cell r="P345"/>
          <cell r="Q345"/>
          <cell r="R345"/>
          <cell r="S345"/>
          <cell r="T345"/>
          <cell r="U345"/>
          <cell r="V345"/>
          <cell r="W345"/>
          <cell r="X345"/>
          <cell r="Y345"/>
          <cell r="Z345"/>
          <cell r="AA345"/>
          <cell r="AB345"/>
          <cell r="AC345"/>
          <cell r="AD345"/>
          <cell r="AE345"/>
          <cell r="AF345">
            <v>8.9629999999999992</v>
          </cell>
          <cell r="AG345"/>
          <cell r="AH345"/>
          <cell r="AI345" t="str">
            <v>Co</v>
          </cell>
          <cell r="AJ345" t="str">
            <v>-9.Al</v>
          </cell>
          <cell r="AK345" t="str">
            <v>-6.W</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cell r="BD345" t="str">
            <v/>
          </cell>
          <cell r="BE345" t="str">
            <v/>
          </cell>
          <cell r="BF345" t="str">
            <v/>
          </cell>
          <cell r="BG345" t="str">
            <v/>
          </cell>
          <cell r="BH345" t="str">
            <v>Co-9Al-6WOoshima, M., Tanaka, K., Okamoto, N. L., Kishida, K. &amp; Inui, H. Effects of quaternary alloying elements on the γ′ solvus temperature of Co-Al-W based alloys with fcc/L12 two-phase microstructures. J. Alloys Compd. 508, 71–78 (2010).</v>
          </cell>
          <cell r="BI345" t="str">
            <v>Co-9.Al-6.W</v>
          </cell>
          <cell r="BJ345" t="str">
            <v>85.0Co-9.0Al-6.0W</v>
          </cell>
        </row>
        <row r="346">
          <cell r="A346" t="str">
            <v>Co-9.Al-7.W</v>
          </cell>
          <cell r="B346" t="str">
            <v>CoAlW-X</v>
          </cell>
          <cell r="C346" t="str">
            <v>-9Al-7W</v>
          </cell>
          <cell r="D346" t="str">
            <v>Co-9Al-7W</v>
          </cell>
          <cell r="E346" t="str">
            <v>Ooshima, M., Tanaka, K., Okamoto, N. L., Kishida, K. &amp; Inui, H. Effects of quaternary alloying elements on the γ′ solvus temperature of Co-Al-W based alloys with fcc/L12 two-phase microstructures. J. Alloys Compd. 508, 71–78 (2010).</v>
          </cell>
          <cell r="F346">
            <v>361</v>
          </cell>
          <cell r="G346">
            <v>84</v>
          </cell>
          <cell r="H346"/>
          <cell r="I346">
            <v>9</v>
          </cell>
          <cell r="J346"/>
          <cell r="K346">
            <v>7</v>
          </cell>
          <cell r="L346"/>
          <cell r="M346"/>
          <cell r="N346"/>
          <cell r="O346"/>
          <cell r="P346"/>
          <cell r="Q346"/>
          <cell r="R346"/>
          <cell r="S346"/>
          <cell r="T346"/>
          <cell r="U346"/>
          <cell r="V346"/>
          <cell r="W346"/>
          <cell r="X346"/>
          <cell r="Y346"/>
          <cell r="Z346"/>
          <cell r="AA346"/>
          <cell r="AB346"/>
          <cell r="AC346"/>
          <cell r="AD346"/>
          <cell r="AE346"/>
          <cell r="AF346">
            <v>9.0664999999999996</v>
          </cell>
          <cell r="AG346"/>
          <cell r="AH346"/>
          <cell r="AI346" t="str">
            <v>Co</v>
          </cell>
          <cell r="AJ346" t="str">
            <v>-9.Al</v>
          </cell>
          <cell r="AK346" t="str">
            <v>-7.W</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cell r="BD346" t="str">
            <v/>
          </cell>
          <cell r="BE346" t="str">
            <v/>
          </cell>
          <cell r="BF346" t="str">
            <v/>
          </cell>
          <cell r="BG346" t="str">
            <v/>
          </cell>
          <cell r="BH346" t="str">
            <v>Co-9Al-7WOoshima, M., Tanaka, K., Okamoto, N. L., Kishida, K. &amp; Inui, H. Effects of quaternary alloying elements on the γ′ solvus temperature of Co-Al-W based alloys with fcc/L12 two-phase microstructures. J. Alloys Compd. 508, 71–78 (2010).</v>
          </cell>
          <cell r="BI346" t="str">
            <v>Co-9.Al-7.W</v>
          </cell>
          <cell r="BJ346" t="str">
            <v>84.0Co-9.0Al-7.0W</v>
          </cell>
        </row>
        <row r="347">
          <cell r="A347" t="str">
            <v>Co-9.Al-8.W</v>
          </cell>
          <cell r="B347" t="str">
            <v>CoAlW-X</v>
          </cell>
          <cell r="C347" t="str">
            <v>-9Al-8W</v>
          </cell>
          <cell r="D347" t="str">
            <v>Co-9Al-8W</v>
          </cell>
          <cell r="E347" t="str">
            <v>Ooshima, M., Tanaka, K., Okamoto, N. L., Kishida, K. &amp; Inui, H. Effects of quaternary alloying elements on the γ′ solvus temperature of Co-Al-W based alloys with fcc/L12 two-phase microstructures. J. Alloys Compd. 508, 71–78 (2010).</v>
          </cell>
          <cell r="F347">
            <v>362</v>
          </cell>
          <cell r="G347">
            <v>83</v>
          </cell>
          <cell r="H347"/>
          <cell r="I347">
            <v>9</v>
          </cell>
          <cell r="J347"/>
          <cell r="K347">
            <v>8</v>
          </cell>
          <cell r="L347"/>
          <cell r="M347"/>
          <cell r="N347"/>
          <cell r="O347"/>
          <cell r="P347"/>
          <cell r="Q347"/>
          <cell r="R347"/>
          <cell r="S347"/>
          <cell r="T347"/>
          <cell r="U347"/>
          <cell r="V347"/>
          <cell r="W347"/>
          <cell r="X347"/>
          <cell r="Y347"/>
          <cell r="Z347"/>
          <cell r="AA347"/>
          <cell r="AB347"/>
          <cell r="AC347"/>
          <cell r="AD347"/>
          <cell r="AE347"/>
          <cell r="AF347">
            <v>9.17</v>
          </cell>
          <cell r="AG347"/>
          <cell r="AH347"/>
          <cell r="AI347" t="str">
            <v>Co</v>
          </cell>
          <cell r="AJ347" t="str">
            <v>-9.Al</v>
          </cell>
          <cell r="AK347" t="str">
            <v>-8.W</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cell r="BD347" t="str">
            <v/>
          </cell>
          <cell r="BE347" t="str">
            <v/>
          </cell>
          <cell r="BF347" t="str">
            <v/>
          </cell>
          <cell r="BG347" t="str">
            <v/>
          </cell>
          <cell r="BH347" t="str">
            <v>Co-9Al-8WOoshima, M., Tanaka, K., Okamoto, N. L., Kishida, K. &amp; Inui, H. Effects of quaternary alloying elements on the γ′ solvus temperature of Co-Al-W based alloys with fcc/L12 two-phase microstructures. J. Alloys Compd. 508, 71–78 (2010).</v>
          </cell>
          <cell r="BI347" t="str">
            <v>Co-9.Al-8.W</v>
          </cell>
          <cell r="BJ347" t="str">
            <v>83.0Co-9.0Al-8.0W</v>
          </cell>
        </row>
        <row r="348">
          <cell r="A348" t="str">
            <v>Co-9.Al-7.W-2.Ta</v>
          </cell>
          <cell r="B348" t="str">
            <v>CoAlW-X</v>
          </cell>
          <cell r="C348" t="str">
            <v>-9Al-7W-2Ta</v>
          </cell>
          <cell r="D348" t="str">
            <v>Co-9Al-7W-2Ta</v>
          </cell>
          <cell r="E348" t="str">
            <v>Ooshima, M., Tanaka, K., Okamoto, N. L., Kishida, K. &amp; Inui, H. Effects of quaternary alloying elements on the γ′ solvus temperature of Co-Al-W based alloys with fcc/L12 two-phase microstructures. J. Alloys Compd. 508, 71–78 (2010).</v>
          </cell>
          <cell r="F348">
            <v>363</v>
          </cell>
          <cell r="G348">
            <v>82</v>
          </cell>
          <cell r="H348"/>
          <cell r="I348">
            <v>9</v>
          </cell>
          <cell r="J348"/>
          <cell r="K348">
            <v>7</v>
          </cell>
          <cell r="L348"/>
          <cell r="M348">
            <v>2</v>
          </cell>
          <cell r="N348"/>
          <cell r="O348"/>
          <cell r="P348"/>
          <cell r="Q348"/>
          <cell r="R348"/>
          <cell r="S348"/>
          <cell r="T348"/>
          <cell r="U348"/>
          <cell r="V348"/>
          <cell r="W348"/>
          <cell r="X348"/>
          <cell r="Y348"/>
          <cell r="Z348"/>
          <cell r="AA348"/>
          <cell r="AB348"/>
          <cell r="AC348"/>
          <cell r="AD348"/>
          <cell r="AE348"/>
          <cell r="AF348">
            <v>9.2214999999999989</v>
          </cell>
          <cell r="AG348"/>
          <cell r="AH348"/>
          <cell r="AI348" t="str">
            <v>Co</v>
          </cell>
          <cell r="AJ348" t="str">
            <v>-9.Al</v>
          </cell>
          <cell r="AK348" t="str">
            <v>-7.W</v>
          </cell>
          <cell r="AL348" t="str">
            <v/>
          </cell>
          <cell r="AM348" t="str">
            <v/>
          </cell>
          <cell r="AN348" t="str">
            <v>-2.Ta</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cell r="BD348" t="str">
            <v/>
          </cell>
          <cell r="BE348" t="str">
            <v/>
          </cell>
          <cell r="BF348" t="str">
            <v/>
          </cell>
          <cell r="BG348" t="str">
            <v/>
          </cell>
          <cell r="BH348" t="str">
            <v>Co-9Al-7W-2TaOoshima, M., Tanaka, K., Okamoto, N. L., Kishida, K. &amp; Inui, H. Effects of quaternary alloying elements on the γ′ solvus temperature of Co-Al-W based alloys with fcc/L12 two-phase microstructures. J. Alloys Compd. 508, 71–78 (2010).</v>
          </cell>
          <cell r="BI348" t="str">
            <v>Co-9.Al-7.W-2.Ta</v>
          </cell>
          <cell r="BJ348" t="str">
            <v>82.0Co-9.0Al-7.0W-2.0Ta</v>
          </cell>
        </row>
        <row r="349">
          <cell r="A349" t="str">
            <v>Co-9.Al-7.W-2.Mo</v>
          </cell>
          <cell r="B349" t="str">
            <v>CoAlW-X</v>
          </cell>
          <cell r="C349" t="str">
            <v>-9Al-7W-2Mo</v>
          </cell>
          <cell r="D349" t="str">
            <v>Co-9Al-7W-2Mo</v>
          </cell>
          <cell r="E349" t="str">
            <v>Ooshima, M., Tanaka, K., Okamoto, N. L., Kishida, K. &amp; Inui, H. Effects of quaternary alloying elements on the γ′ solvus temperature of Co-Al-W based alloys with fcc/L12 two-phase microstructures. J. Alloys Compd. 508, 71–78 (2010).</v>
          </cell>
          <cell r="F349">
            <v>364</v>
          </cell>
          <cell r="G349">
            <v>82</v>
          </cell>
          <cell r="H349"/>
          <cell r="I349">
            <v>9</v>
          </cell>
          <cell r="J349"/>
          <cell r="K349">
            <v>7</v>
          </cell>
          <cell r="L349"/>
          <cell r="M349"/>
          <cell r="N349"/>
          <cell r="O349"/>
          <cell r="P349">
            <v>2</v>
          </cell>
          <cell r="Q349"/>
          <cell r="R349"/>
          <cell r="S349"/>
          <cell r="T349"/>
          <cell r="U349"/>
          <cell r="V349"/>
          <cell r="W349"/>
          <cell r="X349"/>
          <cell r="Y349"/>
          <cell r="Z349"/>
          <cell r="AA349"/>
          <cell r="AB349"/>
          <cell r="AC349"/>
          <cell r="AD349"/>
          <cell r="AE349"/>
          <cell r="AF349">
            <v>9.0940999999999992</v>
          </cell>
          <cell r="AG349"/>
          <cell r="AH349"/>
          <cell r="AI349" t="str">
            <v>Co</v>
          </cell>
          <cell r="AJ349" t="str">
            <v>-9.Al</v>
          </cell>
          <cell r="AK349" t="str">
            <v>-7.W</v>
          </cell>
          <cell r="AL349" t="str">
            <v/>
          </cell>
          <cell r="AM349" t="str">
            <v/>
          </cell>
          <cell r="AN349" t="str">
            <v/>
          </cell>
          <cell r="AO349" t="str">
            <v/>
          </cell>
          <cell r="AP349" t="str">
            <v/>
          </cell>
          <cell r="AQ349" t="str">
            <v/>
          </cell>
          <cell r="AR349" t="str">
            <v>-2.Mo</v>
          </cell>
          <cell r="AS349" t="str">
            <v/>
          </cell>
          <cell r="AT349" t="str">
            <v/>
          </cell>
          <cell r="AU349" t="str">
            <v/>
          </cell>
          <cell r="AV349" t="str">
            <v/>
          </cell>
          <cell r="AW349" t="str">
            <v/>
          </cell>
          <cell r="AX349" t="str">
            <v/>
          </cell>
          <cell r="AY349" t="str">
            <v/>
          </cell>
          <cell r="AZ349" t="str">
            <v/>
          </cell>
          <cell r="BA349" t="str">
            <v/>
          </cell>
          <cell r="BB349" t="str">
            <v/>
          </cell>
          <cell r="BC349" t="str">
            <v/>
          </cell>
          <cell r="BD349" t="str">
            <v/>
          </cell>
          <cell r="BE349" t="str">
            <v/>
          </cell>
          <cell r="BF349" t="str">
            <v/>
          </cell>
          <cell r="BG349" t="str">
            <v/>
          </cell>
          <cell r="BH349" t="str">
            <v>Co-9Al-7W-2MoOoshima, M., Tanaka, K., Okamoto, N. L., Kishida, K. &amp; Inui, H. Effects of quaternary alloying elements on the γ′ solvus temperature of Co-Al-W based alloys with fcc/L12 two-phase microstructures. J. Alloys Compd. 508, 71–78 (2010).</v>
          </cell>
          <cell r="BI349" t="str">
            <v>Co-9.Al-7.W-2.Mo</v>
          </cell>
          <cell r="BJ349" t="str">
            <v>82.0Co-9.0Al-7.0W-2.0Mo</v>
          </cell>
        </row>
        <row r="350">
          <cell r="A350" t="str">
            <v>Co-9.Al-7.W-2.Nb</v>
          </cell>
          <cell r="B350" t="str">
            <v>CoAlW-X</v>
          </cell>
          <cell r="C350" t="str">
            <v>-9Al-7W-2Nb</v>
          </cell>
          <cell r="D350" t="str">
            <v>Co-9Al-7W-2Nb</v>
          </cell>
          <cell r="E350" t="str">
            <v>Ooshima, M., Tanaka, K., Okamoto, N. L., Kishida, K. &amp; Inui, H. Effects of quaternary alloying elements on the γ′ solvus temperature of Co-Al-W based alloys with fcc/L12 two-phase microstructures. J. Alloys Compd. 508, 71–78 (2010).</v>
          </cell>
          <cell r="F350">
            <v>365</v>
          </cell>
          <cell r="G350">
            <v>82</v>
          </cell>
          <cell r="H350"/>
          <cell r="I350">
            <v>9</v>
          </cell>
          <cell r="J350"/>
          <cell r="K350">
            <v>7</v>
          </cell>
          <cell r="L350"/>
          <cell r="M350"/>
          <cell r="N350">
            <v>2</v>
          </cell>
          <cell r="O350"/>
          <cell r="P350"/>
          <cell r="Q350"/>
          <cell r="R350"/>
          <cell r="S350"/>
          <cell r="T350"/>
          <cell r="U350"/>
          <cell r="V350"/>
          <cell r="W350"/>
          <cell r="X350"/>
          <cell r="Y350"/>
          <cell r="Z350"/>
          <cell r="AA350"/>
          <cell r="AB350"/>
          <cell r="AC350"/>
          <cell r="AD350"/>
          <cell r="AE350"/>
          <cell r="AF350">
            <v>9.0599000000000007</v>
          </cell>
          <cell r="AG350"/>
          <cell r="AH350"/>
          <cell r="AI350" t="str">
            <v>Co</v>
          </cell>
          <cell r="AJ350" t="str">
            <v>-9.Al</v>
          </cell>
          <cell r="AK350" t="str">
            <v>-7.W</v>
          </cell>
          <cell r="AL350" t="str">
            <v/>
          </cell>
          <cell r="AM350" t="str">
            <v/>
          </cell>
          <cell r="AN350" t="str">
            <v/>
          </cell>
          <cell r="AO350" t="str">
            <v>-2.Nb</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cell r="BD350" t="str">
            <v/>
          </cell>
          <cell r="BE350" t="str">
            <v/>
          </cell>
          <cell r="BF350" t="str">
            <v/>
          </cell>
          <cell r="BG350" t="str">
            <v/>
          </cell>
          <cell r="BH350" t="str">
            <v>Co-9Al-7W-2NbOoshima, M., Tanaka, K., Okamoto, N. L., Kishida, K. &amp; Inui, H. Effects of quaternary alloying elements on the γ′ solvus temperature of Co-Al-W based alloys with fcc/L12 two-phase microstructures. J. Alloys Compd. 508, 71–78 (2010).</v>
          </cell>
          <cell r="BI350" t="str">
            <v>Co-9.Al-7.W-2.Nb</v>
          </cell>
          <cell r="BJ350" t="str">
            <v>82.0Co-9.0Al-7.0W-2.0Nb</v>
          </cell>
        </row>
        <row r="351">
          <cell r="A351" t="str">
            <v>Co-9.Al-7.W-2.V</v>
          </cell>
          <cell r="B351" t="str">
            <v>CoAlW-X</v>
          </cell>
          <cell r="C351" t="str">
            <v>-9Al-7W-2V</v>
          </cell>
          <cell r="D351" t="str">
            <v>Co-9Al-7W-2V</v>
          </cell>
          <cell r="E351" t="str">
            <v>Ooshima, M., Tanaka, K., Okamoto, N. L., Kishida, K. &amp; Inui, H. Effects of quaternary alloying elements on the γ′ solvus temperature of Co-Al-W based alloys with fcc/L12 two-phase microstructures. J. Alloys Compd. 508, 71–78 (2010).</v>
          </cell>
          <cell r="F351">
            <v>366</v>
          </cell>
          <cell r="G351">
            <v>82</v>
          </cell>
          <cell r="H351"/>
          <cell r="I351">
            <v>9</v>
          </cell>
          <cell r="J351"/>
          <cell r="K351">
            <v>7</v>
          </cell>
          <cell r="L351"/>
          <cell r="M351"/>
          <cell r="N351"/>
          <cell r="O351">
            <v>2</v>
          </cell>
          <cell r="P351"/>
          <cell r="Q351"/>
          <cell r="R351"/>
          <cell r="S351"/>
          <cell r="T351"/>
          <cell r="U351"/>
          <cell r="V351"/>
          <cell r="W351"/>
          <cell r="X351"/>
          <cell r="Y351"/>
          <cell r="Z351"/>
          <cell r="AA351"/>
          <cell r="AB351"/>
          <cell r="AC351"/>
          <cell r="AD351"/>
          <cell r="AE351"/>
          <cell r="AF351">
            <v>9.0106999999999999</v>
          </cell>
          <cell r="AG351"/>
          <cell r="AH351"/>
          <cell r="AI351" t="str">
            <v>Co</v>
          </cell>
          <cell r="AJ351" t="str">
            <v>-9.Al</v>
          </cell>
          <cell r="AK351" t="str">
            <v>-7.W</v>
          </cell>
          <cell r="AL351" t="str">
            <v/>
          </cell>
          <cell r="AM351" t="str">
            <v/>
          </cell>
          <cell r="AN351" t="str">
            <v/>
          </cell>
          <cell r="AO351" t="str">
            <v/>
          </cell>
          <cell r="AP351" t="str">
            <v>-2.V</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cell r="BD351" t="str">
            <v/>
          </cell>
          <cell r="BE351" t="str">
            <v/>
          </cell>
          <cell r="BF351" t="str">
            <v/>
          </cell>
          <cell r="BG351" t="str">
            <v/>
          </cell>
          <cell r="BH351" t="str">
            <v>Co-9Al-7W-2VOoshima, M., Tanaka, K., Okamoto, N. L., Kishida, K. &amp; Inui, H. Effects of quaternary alloying elements on the γ′ solvus temperature of Co-Al-W based alloys with fcc/L12 two-phase microstructures. J. Alloys Compd. 508, 71–78 (2010).</v>
          </cell>
          <cell r="BI351" t="str">
            <v>Co-9.Al-7.W-2.V</v>
          </cell>
          <cell r="BJ351" t="str">
            <v>82.0Co-9.0Al-7.0W-2.0V</v>
          </cell>
        </row>
        <row r="352">
          <cell r="A352" t="str">
            <v>Co-9.Al-7.W-2.Re</v>
          </cell>
          <cell r="B352" t="str">
            <v>CoAlW-X</v>
          </cell>
          <cell r="C352" t="str">
            <v>-9Al-7W-2Re</v>
          </cell>
          <cell r="D352" t="str">
            <v>Co-9Al-7W-2Re</v>
          </cell>
          <cell r="E352" t="str">
            <v>Ooshima, M., Tanaka, K., Okamoto, N. L., Kishida, K. &amp; Inui, H. Effects of quaternary alloying elements on the γ′ solvus temperature of Co-Al-W based alloys with fcc/L12 two-phase microstructures. J. Alloys Compd. 508, 71–78 (2010).</v>
          </cell>
          <cell r="F352">
            <v>367</v>
          </cell>
          <cell r="G352">
            <v>82</v>
          </cell>
          <cell r="H352"/>
          <cell r="I352">
            <v>9</v>
          </cell>
          <cell r="J352"/>
          <cell r="K352">
            <v>7</v>
          </cell>
          <cell r="L352"/>
          <cell r="M352"/>
          <cell r="N352"/>
          <cell r="O352"/>
          <cell r="P352"/>
          <cell r="Q352"/>
          <cell r="R352"/>
          <cell r="S352"/>
          <cell r="T352"/>
          <cell r="U352">
            <v>2</v>
          </cell>
          <cell r="V352"/>
          <cell r="W352"/>
          <cell r="X352"/>
          <cell r="Y352"/>
          <cell r="Z352"/>
          <cell r="AA352"/>
          <cell r="AB352"/>
          <cell r="AC352"/>
          <cell r="AD352"/>
          <cell r="AE352"/>
          <cell r="AF352">
            <v>9.3088999999999995</v>
          </cell>
          <cell r="AG352"/>
          <cell r="AH352"/>
          <cell r="AI352" t="str">
            <v>Co</v>
          </cell>
          <cell r="AJ352" t="str">
            <v>-9.Al</v>
          </cell>
          <cell r="AK352" t="str">
            <v>-7.W</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-2.Re</v>
          </cell>
          <cell r="AX352" t="str">
            <v/>
          </cell>
          <cell r="AY352" t="str">
            <v/>
          </cell>
          <cell r="AZ352" t="str">
            <v/>
          </cell>
          <cell r="BA352" t="str">
            <v/>
          </cell>
          <cell r="BB352" t="str">
            <v/>
          </cell>
          <cell r="BC352" t="str">
            <v/>
          </cell>
          <cell r="BD352" t="str">
            <v/>
          </cell>
          <cell r="BE352" t="str">
            <v/>
          </cell>
          <cell r="BF352" t="str">
            <v/>
          </cell>
          <cell r="BG352" t="str">
            <v/>
          </cell>
          <cell r="BH352" t="str">
            <v>Co-9Al-7W-2ReOoshima, M., Tanaka, K., Okamoto, N. L., Kishida, K. &amp; Inui, H. Effects of quaternary alloying elements on the γ′ solvus temperature of Co-Al-W based alloys with fcc/L12 two-phase microstructures. J. Alloys Compd. 508, 71–78 (2010).</v>
          </cell>
          <cell r="BI352" t="str">
            <v>Co-9.Al-7.W-2.Re</v>
          </cell>
          <cell r="BJ352" t="str">
            <v>82.0Co-9.0Al-7.0W-2.0Re</v>
          </cell>
        </row>
        <row r="353">
          <cell r="A353" t="str">
            <v>Co-9.Al-2.Cr-7.W</v>
          </cell>
          <cell r="B353" t="str">
            <v>CoAlW-X</v>
          </cell>
          <cell r="C353" t="str">
            <v>-9Al-2Cr-7W</v>
          </cell>
          <cell r="D353" t="str">
            <v>Co-9Al-7W-2Cr</v>
          </cell>
          <cell r="E353" t="str">
            <v>Ooshima, M., Tanaka, K., Okamoto, N. L., Kishida, K. &amp; Inui, H. Effects of quaternary alloying elements on the γ′ solvus temperature of Co-Al-W based alloys with fcc/L12 two-phase microstructures. J. Alloys Compd. 508, 71–78 (2010).</v>
          </cell>
          <cell r="F353">
            <v>368</v>
          </cell>
          <cell r="G353">
            <v>82</v>
          </cell>
          <cell r="H353"/>
          <cell r="I353">
            <v>9</v>
          </cell>
          <cell r="J353">
            <v>2</v>
          </cell>
          <cell r="K353">
            <v>7</v>
          </cell>
          <cell r="L353"/>
          <cell r="M353"/>
          <cell r="N353"/>
          <cell r="O353"/>
          <cell r="P353"/>
          <cell r="Q353"/>
          <cell r="R353"/>
          <cell r="S353"/>
          <cell r="T353"/>
          <cell r="U353"/>
          <cell r="V353"/>
          <cell r="W353"/>
          <cell r="X353"/>
          <cell r="Y353"/>
          <cell r="Z353"/>
          <cell r="AA353"/>
          <cell r="AB353"/>
          <cell r="AC353"/>
          <cell r="AD353"/>
          <cell r="AE353"/>
          <cell r="AF353">
            <v>9.0322999999999993</v>
          </cell>
          <cell r="AG353"/>
          <cell r="AH353"/>
          <cell r="AI353" t="str">
            <v>Co</v>
          </cell>
          <cell r="AJ353" t="str">
            <v>-9.Al</v>
          </cell>
          <cell r="AK353" t="str">
            <v>-7.W</v>
          </cell>
          <cell r="AL353" t="str">
            <v/>
          </cell>
          <cell r="AM353" t="str">
            <v>-2.Cr</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cell r="BD353" t="str">
            <v/>
          </cell>
          <cell r="BE353" t="str">
            <v/>
          </cell>
          <cell r="BF353" t="str">
            <v/>
          </cell>
          <cell r="BG353" t="str">
            <v/>
          </cell>
          <cell r="BH353" t="str">
            <v>Co-9Al-7W-2CrOoshima, M., Tanaka, K., Okamoto, N. L., Kishida, K. &amp; Inui, H. Effects of quaternary alloying elements on the γ′ solvus temperature of Co-Al-W based alloys with fcc/L12 two-phase microstructures. J. Alloys Compd. 508, 71–78 (2010).</v>
          </cell>
          <cell r="BI353" t="str">
            <v>Co-9.Al-2.Cr-7.W</v>
          </cell>
          <cell r="BJ353" t="str">
            <v>82.0Co-9.0Al-2.0Cr-7.0W</v>
          </cell>
        </row>
        <row r="354">
          <cell r="A354" t="str">
            <v>Co-2.Fe-9.Al-7.W</v>
          </cell>
          <cell r="B354" t="str">
            <v>CoAlW-X</v>
          </cell>
          <cell r="C354" t="str">
            <v>-2Fe-9Al-7W</v>
          </cell>
          <cell r="D354" t="str">
            <v>Co-9Al-7W-2Fe</v>
          </cell>
          <cell r="E354" t="str">
            <v>Ooshima, M., Tanaka, K., Okamoto, N. L., Kishida, K. &amp; Inui, H. Effects of quaternary alloying elements on the γ′ solvus temperature of Co-Al-W based alloys with fcc/L12 two-phase microstructures. J. Alloys Compd. 508, 71–78 (2010).</v>
          </cell>
          <cell r="F354">
            <v>369</v>
          </cell>
          <cell r="G354">
            <v>82</v>
          </cell>
          <cell r="H354"/>
          <cell r="I354">
            <v>9</v>
          </cell>
          <cell r="J354"/>
          <cell r="K354">
            <v>7</v>
          </cell>
          <cell r="L354"/>
          <cell r="M354"/>
          <cell r="N354"/>
          <cell r="O354"/>
          <cell r="P354"/>
          <cell r="Q354"/>
          <cell r="R354"/>
          <cell r="S354"/>
          <cell r="T354"/>
          <cell r="U354"/>
          <cell r="V354"/>
          <cell r="W354">
            <v>2</v>
          </cell>
          <cell r="X354"/>
          <cell r="Y354"/>
          <cell r="Z354"/>
          <cell r="AA354"/>
          <cell r="AB354"/>
          <cell r="AC354"/>
          <cell r="AD354"/>
          <cell r="AE354"/>
          <cell r="AF354">
            <v>9.0459800000000001</v>
          </cell>
          <cell r="AG354"/>
          <cell r="AH354"/>
          <cell r="AI354" t="str">
            <v>Co</v>
          </cell>
          <cell r="AJ354" t="str">
            <v>-9.Al</v>
          </cell>
          <cell r="AK354" t="str">
            <v>-7.W</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-2.Fe</v>
          </cell>
          <cell r="AZ354" t="str">
            <v/>
          </cell>
          <cell r="BA354" t="str">
            <v/>
          </cell>
          <cell r="BB354" t="str">
            <v/>
          </cell>
          <cell r="BC354" t="str">
            <v/>
          </cell>
          <cell r="BD354" t="str">
            <v/>
          </cell>
          <cell r="BE354" t="str">
            <v/>
          </cell>
          <cell r="BF354" t="str">
            <v/>
          </cell>
          <cell r="BG354" t="str">
            <v/>
          </cell>
          <cell r="BH354" t="str">
            <v>Co-9Al-7W-2FeOoshima, M., Tanaka, K., Okamoto, N. L., Kishida, K. &amp; Inui, H. Effects of quaternary alloying elements on the γ′ solvus temperature of Co-Al-W based alloys with fcc/L12 two-phase microstructures. J. Alloys Compd. 508, 71–78 (2010).</v>
          </cell>
          <cell r="BI354" t="str">
            <v>Co-2.Fe-9.Al-7.W</v>
          </cell>
          <cell r="BJ354" t="str">
            <v>82.0Co-2.0Fe-9.0Al-7.0W</v>
          </cell>
        </row>
        <row r="355">
          <cell r="A355" t="str">
            <v>Co-2.Ni-9.Al-7.W</v>
          </cell>
          <cell r="B355" t="str">
            <v>CoAlW-X</v>
          </cell>
          <cell r="C355" t="str">
            <v>-2Ni-9Al-7W</v>
          </cell>
          <cell r="D355" t="str">
            <v>Co-9Al-7W-2Ni</v>
          </cell>
          <cell r="E355" t="str">
            <v>Ooshima, M., Tanaka, K., Okamoto, N. L., Kishida, K. &amp; Inui, H. Effects of quaternary alloying elements on the γ′ solvus temperature of Co-Al-W based alloys with fcc/L12 two-phase microstructures. J. Alloys Compd. 508, 71–78 (2010).</v>
          </cell>
          <cell r="F355">
            <v>370</v>
          </cell>
          <cell r="G355">
            <v>82</v>
          </cell>
          <cell r="H355">
            <v>2</v>
          </cell>
          <cell r="I355">
            <v>9</v>
          </cell>
          <cell r="J355"/>
          <cell r="K355">
            <v>7</v>
          </cell>
          <cell r="L355"/>
          <cell r="M355"/>
          <cell r="N355"/>
          <cell r="O355"/>
          <cell r="P355"/>
          <cell r="Q355"/>
          <cell r="R355"/>
          <cell r="S355"/>
          <cell r="T355"/>
          <cell r="U355"/>
          <cell r="V355"/>
          <cell r="W355"/>
          <cell r="X355"/>
          <cell r="Y355"/>
          <cell r="Z355"/>
          <cell r="AA355"/>
          <cell r="AB355"/>
          <cell r="AC355"/>
          <cell r="AD355"/>
          <cell r="AE355"/>
          <cell r="AF355">
            <v>9.0666600000000006</v>
          </cell>
          <cell r="AG355"/>
          <cell r="AH355"/>
          <cell r="AI355" t="str">
            <v>Co</v>
          </cell>
          <cell r="AJ355" t="str">
            <v>-9.Al</v>
          </cell>
          <cell r="AK355" t="str">
            <v>-7.W</v>
          </cell>
          <cell r="AL355" t="str">
            <v>-2.Ni</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cell r="BD355" t="str">
            <v/>
          </cell>
          <cell r="BE355" t="str">
            <v/>
          </cell>
          <cell r="BF355" t="str">
            <v/>
          </cell>
          <cell r="BG355" t="str">
            <v/>
          </cell>
          <cell r="BH355" t="str">
            <v>Co-9Al-7W-2NiOoshima, M., Tanaka, K., Okamoto, N. L., Kishida, K. &amp; Inui, H. Effects of quaternary alloying elements on the γ′ solvus temperature of Co-Al-W based alloys with fcc/L12 two-phase microstructures. J. Alloys Compd. 508, 71–78 (2010).</v>
          </cell>
          <cell r="BI355" t="str">
            <v>Co-2.Ni-9.Al-7.W</v>
          </cell>
          <cell r="BJ355" t="str">
            <v>84.0Co-2.0Ni-9.0Al-7.0W</v>
          </cell>
        </row>
        <row r="356">
          <cell r="A356" t="str">
            <v>Co-9.Al-7.W-2.Sc</v>
          </cell>
          <cell r="B356" t="str">
            <v>CoAlW-X</v>
          </cell>
          <cell r="C356" t="str">
            <v>-9Al-7W-2Sc</v>
          </cell>
          <cell r="D356" t="str">
            <v>Co-9Al-7W-2Sc</v>
          </cell>
          <cell r="E356" t="str">
            <v>Ooshima, M., Tanaka, K., Okamoto, N. L., Kishida, K. &amp; Inui, H. Effects of quaternary alloying elements on the γ′ solvus temperature of Co-Al-W based alloys with fcc/L12 two-phase microstructures. J. Alloys Compd. 508, 71–78 (2010).</v>
          </cell>
          <cell r="F356">
            <v>371</v>
          </cell>
          <cell r="G356">
            <v>82</v>
          </cell>
          <cell r="H356"/>
          <cell r="I356">
            <v>9</v>
          </cell>
          <cell r="J356"/>
          <cell r="K356">
            <v>7</v>
          </cell>
          <cell r="L356"/>
          <cell r="M356"/>
          <cell r="N356"/>
          <cell r="O356"/>
          <cell r="P356"/>
          <cell r="Q356"/>
          <cell r="R356"/>
          <cell r="S356"/>
          <cell r="T356"/>
          <cell r="U356"/>
          <cell r="V356"/>
          <cell r="W356"/>
          <cell r="X356"/>
          <cell r="Y356"/>
          <cell r="Z356"/>
          <cell r="AA356"/>
          <cell r="AB356">
            <v>2</v>
          </cell>
          <cell r="AC356"/>
          <cell r="AD356"/>
          <cell r="AE356"/>
          <cell r="AF356">
            <v>8.9481999999999999</v>
          </cell>
          <cell r="AG356"/>
          <cell r="AH356"/>
          <cell r="AI356" t="str">
            <v>Co</v>
          </cell>
          <cell r="AJ356" t="str">
            <v>-9.Al</v>
          </cell>
          <cell r="AK356" t="str">
            <v>-7.W</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cell r="BD356" t="str">
            <v>-2.Sc</v>
          </cell>
          <cell r="BE356" t="str">
            <v/>
          </cell>
          <cell r="BF356" t="str">
            <v/>
          </cell>
          <cell r="BG356" t="str">
            <v/>
          </cell>
          <cell r="BH356" t="str">
            <v>Co-9Al-7W-2ScOoshima, M., Tanaka, K., Okamoto, N. L., Kishida, K. &amp; Inui, H. Effects of quaternary alloying elements on the γ′ solvus temperature of Co-Al-W based alloys with fcc/L12 two-phase microstructures. J. Alloys Compd. 508, 71–78 (2010).</v>
          </cell>
          <cell r="BI356" t="str">
            <v>Co-9.Al-7.W-2.Sc</v>
          </cell>
          <cell r="BJ356" t="str">
            <v>82.0Co-9.0Al-7.0W-2.0Sc</v>
          </cell>
        </row>
        <row r="357">
          <cell r="A357" t="str">
            <v>Co-9.Al-7.W-2.Zr</v>
          </cell>
          <cell r="B357" t="str">
            <v>CoAlW-X</v>
          </cell>
          <cell r="C357" t="str">
            <v>-9Al-7W-Zr</v>
          </cell>
          <cell r="D357" t="str">
            <v>Co-9Al-7W-2Zr</v>
          </cell>
          <cell r="E357" t="str">
            <v>Ooshima, M., Tanaka, K., Okamoto, N. L., Kishida, K. &amp; Inui, H. Effects of quaternary alloying elements on the γ′ solvus temperature of Co-Al-W based alloys with fcc/L12 two-phase microstructures. J. Alloys Compd. 508, 71–78 (2010).</v>
          </cell>
          <cell r="F357">
            <v>372</v>
          </cell>
          <cell r="G357">
            <v>82</v>
          </cell>
          <cell r="H357"/>
          <cell r="I357">
            <v>9</v>
          </cell>
          <cell r="J357"/>
          <cell r="K357">
            <v>7</v>
          </cell>
          <cell r="L357"/>
          <cell r="M357"/>
          <cell r="N357"/>
          <cell r="O357"/>
          <cell r="P357"/>
          <cell r="Q357"/>
          <cell r="R357">
            <v>2</v>
          </cell>
          <cell r="S357"/>
          <cell r="T357"/>
          <cell r="U357"/>
          <cell r="V357"/>
          <cell r="W357"/>
          <cell r="X357"/>
          <cell r="Y357"/>
          <cell r="Z357"/>
          <cell r="AA357"/>
          <cell r="AB357"/>
          <cell r="AC357"/>
          <cell r="AD357"/>
          <cell r="AE357"/>
          <cell r="AF357">
            <v>9.0187200000000001</v>
          </cell>
          <cell r="AG357"/>
          <cell r="AH357"/>
          <cell r="AI357" t="str">
            <v>Co</v>
          </cell>
          <cell r="AJ357" t="str">
            <v>-9.Al</v>
          </cell>
          <cell r="AK357" t="str">
            <v>-7.W</v>
          </cell>
          <cell r="AL357" t="str">
            <v/>
          </cell>
          <cell r="AM357" t="str">
            <v/>
          </cell>
          <cell r="AN357" t="str">
            <v/>
          </cell>
          <cell r="AO357" t="str">
            <v/>
          </cell>
          <cell r="AP357" t="str">
            <v/>
          </cell>
          <cell r="AQ357" t="str">
            <v/>
          </cell>
          <cell r="AR357" t="str">
            <v/>
          </cell>
          <cell r="AS357" t="str">
            <v/>
          </cell>
          <cell r="AT357" t="str">
            <v>-2.Zr</v>
          </cell>
          <cell r="AU357" t="str">
            <v/>
          </cell>
          <cell r="AV357" t="str">
            <v/>
          </cell>
          <cell r="AW357" t="str">
            <v/>
          </cell>
          <cell r="AX357" t="str">
            <v/>
          </cell>
          <cell r="AY357" t="str">
            <v/>
          </cell>
          <cell r="AZ357" t="str">
            <v/>
          </cell>
          <cell r="BA357" t="str">
            <v/>
          </cell>
          <cell r="BB357" t="str">
            <v/>
          </cell>
          <cell r="BC357" t="str">
            <v/>
          </cell>
          <cell r="BD357" t="str">
            <v/>
          </cell>
          <cell r="BE357" t="str">
            <v/>
          </cell>
          <cell r="BF357" t="str">
            <v/>
          </cell>
          <cell r="BG357" t="str">
            <v/>
          </cell>
          <cell r="BH357" t="str">
            <v>Co-9Al-7W-2ZrOoshima, M., Tanaka, K., Okamoto, N. L., Kishida, K. &amp; Inui, H. Effects of quaternary alloying elements on the γ′ solvus temperature of Co-Al-W based alloys with fcc/L12 two-phase microstructures. J. Alloys Compd. 508, 71–78 (2010).</v>
          </cell>
          <cell r="BI357" t="str">
            <v>Co-9.Al-7.W-2.Zr</v>
          </cell>
          <cell r="BJ357" t="str">
            <v>82.0Co-9.0Al-7.0W-2.00Zr</v>
          </cell>
        </row>
        <row r="358">
          <cell r="A358" t="str">
            <v>Co-9.Al-7.W-2.Hf</v>
          </cell>
          <cell r="B358" t="str">
            <v>CoAlW-X</v>
          </cell>
          <cell r="C358" t="str">
            <v>-9Al-7W-Hf</v>
          </cell>
          <cell r="D358" t="str">
            <v>Co-9Al-7W-2Hf</v>
          </cell>
          <cell r="E358" t="str">
            <v>Ooshima, M., Tanaka, K., Okamoto, N. L., Kishida, K. &amp; Inui, H. Effects of quaternary alloying elements on the γ′ solvus temperature of Co-Al-W based alloys with fcc/L12 two-phase microstructures. J. Alloys Compd. 508, 71–78 (2010).</v>
          </cell>
          <cell r="F358">
            <v>373</v>
          </cell>
          <cell r="G358">
            <v>82</v>
          </cell>
          <cell r="H358"/>
          <cell r="I358">
            <v>9</v>
          </cell>
          <cell r="J358"/>
          <cell r="K358">
            <v>7</v>
          </cell>
          <cell r="L358"/>
          <cell r="M358"/>
          <cell r="N358"/>
          <cell r="O358"/>
          <cell r="P358"/>
          <cell r="Q358"/>
          <cell r="R358"/>
          <cell r="S358"/>
          <cell r="T358"/>
          <cell r="U358"/>
          <cell r="V358"/>
          <cell r="W358"/>
          <cell r="X358"/>
          <cell r="Y358">
            <v>2</v>
          </cell>
          <cell r="Z358"/>
          <cell r="AA358"/>
          <cell r="AB358"/>
          <cell r="AC358"/>
          <cell r="AD358"/>
          <cell r="AE358"/>
          <cell r="AF358">
            <v>9.1547000000000001</v>
          </cell>
          <cell r="AG358"/>
          <cell r="AH358"/>
          <cell r="AI358" t="str">
            <v>Co</v>
          </cell>
          <cell r="AJ358" t="str">
            <v>-9.Al</v>
          </cell>
          <cell r="AK358" t="str">
            <v>-7.W</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-2.Hf</v>
          </cell>
          <cell r="BB358" t="str">
            <v/>
          </cell>
          <cell r="BC358" t="str">
            <v/>
          </cell>
          <cell r="BD358" t="str">
            <v/>
          </cell>
          <cell r="BE358" t="str">
            <v/>
          </cell>
          <cell r="BF358" t="str">
            <v/>
          </cell>
          <cell r="BG358" t="str">
            <v/>
          </cell>
          <cell r="BH358" t="str">
            <v>Co-9Al-7W-2HfOoshima, M., Tanaka, K., Okamoto, N. L., Kishida, K. &amp; Inui, H. Effects of quaternary alloying elements on the γ′ solvus temperature of Co-Al-W based alloys with fcc/L12 two-phase microstructures. J. Alloys Compd. 508, 71–78 (2010).</v>
          </cell>
          <cell r="BI358" t="str">
            <v>Co-9.Al-7.W-2.Hf</v>
          </cell>
          <cell r="BJ358" t="str">
            <v>82.0Co-9.0Al-7.0W-2.0Hf</v>
          </cell>
        </row>
        <row r="359">
          <cell r="A359" t="str">
            <v>Co-19.9Ni-4.8Al-5.Cr-3.2W-0.6Ta</v>
          </cell>
          <cell r="B359" t="str">
            <v>CoAlWX+</v>
          </cell>
          <cell r="C359" t="str">
            <v>-20Ni-5Al-5Cr-3W-1Ta</v>
          </cell>
          <cell r="D359" t="str">
            <v>A1</v>
          </cell>
          <cell r="E359" t="str">
            <v>Osaki, M. et al. Properties of Strengthening Co-W-Al Alloys with Various Amounts of Phase Forming Elements. (2008).</v>
          </cell>
          <cell r="F359">
            <v>375</v>
          </cell>
          <cell r="G359">
            <v>66.5</v>
          </cell>
          <cell r="H359">
            <v>19.899999999999999</v>
          </cell>
          <cell r="I359">
            <v>4.8</v>
          </cell>
          <cell r="J359">
            <v>5</v>
          </cell>
          <cell r="K359">
            <v>3.2</v>
          </cell>
          <cell r="L359"/>
          <cell r="M359">
            <v>0.6</v>
          </cell>
          <cell r="N359"/>
          <cell r="O359"/>
          <cell r="P359"/>
          <cell r="Q359"/>
          <cell r="R359"/>
          <cell r="S359"/>
          <cell r="T359"/>
          <cell r="U359"/>
          <cell r="V359"/>
          <cell r="W359"/>
          <cell r="X359"/>
          <cell r="Y359"/>
          <cell r="Z359"/>
          <cell r="AA359"/>
          <cell r="AB359"/>
          <cell r="AC359"/>
          <cell r="AD359"/>
          <cell r="AE359"/>
          <cell r="AF359">
            <v>8.896192000000001</v>
          </cell>
          <cell r="AG359"/>
          <cell r="AH359"/>
          <cell r="AI359" t="str">
            <v>Co</v>
          </cell>
          <cell r="AJ359" t="str">
            <v>-4.8Al</v>
          </cell>
          <cell r="AK359" t="str">
            <v>-3.2W</v>
          </cell>
          <cell r="AL359" t="str">
            <v>-19.9Ni</v>
          </cell>
          <cell r="AM359" t="str">
            <v>-5.Cr</v>
          </cell>
          <cell r="AN359" t="str">
            <v>-0.6Ta</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cell r="BD359" t="str">
            <v/>
          </cell>
          <cell r="BE359" t="str">
            <v/>
          </cell>
          <cell r="BF359" t="str">
            <v/>
          </cell>
          <cell r="BG359" t="str">
            <v/>
          </cell>
          <cell r="BH359" t="str">
            <v>A1Osaki, M. et al. Properties of Strengthening Co-W-Al Alloys with Various Amounts of Phase Forming Elements. (2008).</v>
          </cell>
          <cell r="BI359" t="str">
            <v>Co-19.9Ni-4.8Al-5.Cr-3.2W-0.6Ta</v>
          </cell>
          <cell r="BJ359" t="str">
            <v>86.4Co-19.9Ni-4.8Al-5.0Cr-3.2W-0.6Ta</v>
          </cell>
        </row>
        <row r="360">
          <cell r="A360" t="str">
            <v>Co-19.9Ni-7.Al-5.Cr-4.8W-0.9Ta</v>
          </cell>
          <cell r="B360" t="str">
            <v>CoAlWX+</v>
          </cell>
          <cell r="C360" t="str">
            <v>-20Ni-7Al-5Cr-5W-1Ta</v>
          </cell>
          <cell r="D360" t="str">
            <v>A2</v>
          </cell>
          <cell r="E360" t="str">
            <v>Osaki, M. et al. Properties of Strengthening Co-W-Al Alloys with Various Amounts of Phase Forming Elements. (2008).</v>
          </cell>
          <cell r="F360">
            <v>376</v>
          </cell>
          <cell r="G360">
            <v>62.400000000000006</v>
          </cell>
          <cell r="H360">
            <v>19.899999999999999</v>
          </cell>
          <cell r="I360">
            <v>7</v>
          </cell>
          <cell r="J360">
            <v>5</v>
          </cell>
          <cell r="K360">
            <v>4.8</v>
          </cell>
          <cell r="L360"/>
          <cell r="M360">
            <v>0.9</v>
          </cell>
          <cell r="N360"/>
          <cell r="O360"/>
          <cell r="P360"/>
          <cell r="Q360"/>
          <cell r="R360"/>
          <cell r="S360"/>
          <cell r="T360"/>
          <cell r="U360"/>
          <cell r="V360"/>
          <cell r="W360"/>
          <cell r="X360"/>
          <cell r="Y360"/>
          <cell r="Z360"/>
          <cell r="AA360"/>
          <cell r="AB360"/>
          <cell r="AC360"/>
          <cell r="AD360"/>
          <cell r="AE360"/>
          <cell r="AF360">
            <v>8.9486420000000013</v>
          </cell>
          <cell r="AG360"/>
          <cell r="AH360"/>
          <cell r="AI360" t="str">
            <v>Co</v>
          </cell>
          <cell r="AJ360" t="str">
            <v>-7.Al</v>
          </cell>
          <cell r="AK360" t="str">
            <v>-4.8W</v>
          </cell>
          <cell r="AL360" t="str">
            <v>-19.9Ni</v>
          </cell>
          <cell r="AM360" t="str">
            <v>-5.Cr</v>
          </cell>
          <cell r="AN360" t="str">
            <v>-0.9Ta</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
          </cell>
          <cell r="BB360" t="str">
            <v/>
          </cell>
          <cell r="BC360" t="str">
            <v/>
          </cell>
          <cell r="BD360" t="str">
            <v/>
          </cell>
          <cell r="BE360" t="str">
            <v/>
          </cell>
          <cell r="BF360" t="str">
            <v/>
          </cell>
          <cell r="BG360" t="str">
            <v/>
          </cell>
          <cell r="BH360" t="str">
            <v>A2Osaki, M. et al. Properties of Strengthening Co-W-Al Alloys with Various Amounts of Phase Forming Elements. (2008).</v>
          </cell>
          <cell r="BI360" t="str">
            <v>Co-19.9Ni-7.Al-5.Cr-4.8W-0.9Ta</v>
          </cell>
          <cell r="BJ360" t="str">
            <v>82.3Co-19.9Ni-7.0Al-5.0Cr-4.8W-0.9Ta</v>
          </cell>
        </row>
        <row r="361">
          <cell r="A361" t="str">
            <v>Co-19.9Ni-9.1Al-5.Cr-6.4W-1.2Ta</v>
          </cell>
          <cell r="B361" t="str">
            <v>CoAlWX+</v>
          </cell>
          <cell r="C361" t="str">
            <v>-20Ni-9Al-5Cr-6W-1Ta</v>
          </cell>
          <cell r="D361" t="str">
            <v>A3</v>
          </cell>
          <cell r="E361" t="str">
            <v>Osaki, M. et al. Properties of Strengthening Co-W-Al Alloys with Various Amounts of Phase Forming Elements. (2008).</v>
          </cell>
          <cell r="F361">
            <v>377</v>
          </cell>
          <cell r="G361">
            <v>58.4</v>
          </cell>
          <cell r="H361">
            <v>19.899999999999999</v>
          </cell>
          <cell r="I361">
            <v>9.1</v>
          </cell>
          <cell r="J361">
            <v>5</v>
          </cell>
          <cell r="K361">
            <v>6.4</v>
          </cell>
          <cell r="L361"/>
          <cell r="M361">
            <v>1.2</v>
          </cell>
          <cell r="N361"/>
          <cell r="O361"/>
          <cell r="P361"/>
          <cell r="Q361"/>
          <cell r="R361"/>
          <cell r="S361"/>
          <cell r="T361"/>
          <cell r="U361"/>
          <cell r="V361"/>
          <cell r="W361"/>
          <cell r="X361"/>
          <cell r="Y361"/>
          <cell r="Z361"/>
          <cell r="AA361"/>
          <cell r="AB361"/>
          <cell r="AC361"/>
          <cell r="AD361"/>
          <cell r="AE361"/>
          <cell r="AF361">
            <v>9.0072920000000014</v>
          </cell>
          <cell r="AG361"/>
          <cell r="AH361"/>
          <cell r="AI361" t="str">
            <v>Co</v>
          </cell>
          <cell r="AJ361" t="str">
            <v>-9.1Al</v>
          </cell>
          <cell r="AK361" t="str">
            <v>-6.4W</v>
          </cell>
          <cell r="AL361" t="str">
            <v>-19.9Ni</v>
          </cell>
          <cell r="AM361" t="str">
            <v>-5.Cr</v>
          </cell>
          <cell r="AN361" t="str">
            <v>-1.2Ta</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cell r="BD361" t="str">
            <v/>
          </cell>
          <cell r="BE361" t="str">
            <v/>
          </cell>
          <cell r="BF361" t="str">
            <v/>
          </cell>
          <cell r="BG361" t="str">
            <v/>
          </cell>
          <cell r="BH361" t="str">
            <v>A3Osaki, M. et al. Properties of Strengthening Co-W-Al Alloys with Various Amounts of Phase Forming Elements. (2008).</v>
          </cell>
          <cell r="BI361" t="str">
            <v>Co-19.9Ni-9.1Al-5.Cr-6.4W-1.2Ta</v>
          </cell>
          <cell r="BJ361" t="str">
            <v>78.3Co-19.9Ni-9.1Al-5.0Cr-6.4W-1.2Ta</v>
          </cell>
        </row>
        <row r="362">
          <cell r="A362" t="str">
            <v>Co-19.8Ni-11.4Al-4.9Cr-8.2W-1.5Ta</v>
          </cell>
          <cell r="B362" t="str">
            <v>CoAlWX+</v>
          </cell>
          <cell r="C362" t="str">
            <v>-20Ni-11Al-5Cr-8W-2Ta</v>
          </cell>
          <cell r="D362" t="str">
            <v>A4</v>
          </cell>
          <cell r="E362" t="str">
            <v>Osaki, M. et al. Properties of Strengthening Co-W-Al Alloys with Various Amounts of Phase Forming Elements. (2008).</v>
          </cell>
          <cell r="F362">
            <v>378</v>
          </cell>
          <cell r="G362">
            <v>54.2</v>
          </cell>
          <cell r="H362">
            <v>19.8</v>
          </cell>
          <cell r="I362">
            <v>11.4</v>
          </cell>
          <cell r="J362">
            <v>4.9000000000000004</v>
          </cell>
          <cell r="K362">
            <v>8.1999999999999993</v>
          </cell>
          <cell r="L362"/>
          <cell r="M362">
            <v>1.5</v>
          </cell>
          <cell r="N362"/>
          <cell r="O362"/>
          <cell r="P362"/>
          <cell r="Q362"/>
          <cell r="R362"/>
          <cell r="S362"/>
          <cell r="T362"/>
          <cell r="U362"/>
          <cell r="V362"/>
          <cell r="W362"/>
          <cell r="X362"/>
          <cell r="Y362"/>
          <cell r="Z362"/>
          <cell r="AA362"/>
          <cell r="AB362"/>
          <cell r="AC362"/>
          <cell r="AD362"/>
          <cell r="AE362"/>
          <cell r="AF362">
            <v>9.0759439999999998</v>
          </cell>
          <cell r="AG362"/>
          <cell r="AH362"/>
          <cell r="AI362" t="str">
            <v>Co</v>
          </cell>
          <cell r="AJ362" t="str">
            <v>-11.4Al</v>
          </cell>
          <cell r="AK362" t="str">
            <v>-8.2W</v>
          </cell>
          <cell r="AL362" t="str">
            <v>-19.8Ni</v>
          </cell>
          <cell r="AM362" t="str">
            <v>-4.9Cr</v>
          </cell>
          <cell r="AN362" t="str">
            <v>-1.5Ta</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cell r="BD362" t="str">
            <v/>
          </cell>
          <cell r="BE362" t="str">
            <v/>
          </cell>
          <cell r="BF362" t="str">
            <v/>
          </cell>
          <cell r="BG362" t="str">
            <v/>
          </cell>
          <cell r="BH362" t="str">
            <v>A4Osaki, M. et al. Properties of Strengthening Co-W-Al Alloys with Various Amounts of Phase Forming Elements. (2008).</v>
          </cell>
          <cell r="BI362" t="str">
            <v>Co-19.8Ni-11.4Al-4.9Cr-8.2W-1.5Ta</v>
          </cell>
          <cell r="BJ362" t="str">
            <v>74.0Co-19.8Ni-11.4Al-4.9Cr-8.2W-1.5Ta</v>
          </cell>
        </row>
        <row r="363">
          <cell r="A363" t="str">
            <v>Co-25.Ti</v>
          </cell>
          <cell r="B363" t="str">
            <v>Co3Ti</v>
          </cell>
          <cell r="C363" t="str">
            <v>-25Ti</v>
          </cell>
          <cell r="D363" t="str">
            <v>Co3Ti</v>
          </cell>
          <cell r="E363" t="str">
            <v>Oya-Seimiya, Y., Shinoda, T. &amp; Suzuki, T. Low temperature strength anomaly of L12 type intermetallic compounds Co3Ti and Pt3Al. Mater. Trans. JIM 37, 1464–1470 (1996).</v>
          </cell>
          <cell r="F363">
            <v>379</v>
          </cell>
          <cell r="G363">
            <v>75</v>
          </cell>
          <cell r="H363"/>
          <cell r="I363"/>
          <cell r="J363"/>
          <cell r="K363"/>
          <cell r="L363">
            <v>25</v>
          </cell>
          <cell r="M363"/>
          <cell r="N363"/>
          <cell r="O363"/>
          <cell r="P363"/>
          <cell r="Q363"/>
          <cell r="R363"/>
          <cell r="S363"/>
          <cell r="T363"/>
          <cell r="U363"/>
          <cell r="V363"/>
          <cell r="W363"/>
          <cell r="X363"/>
          <cell r="Y363"/>
          <cell r="Z363"/>
          <cell r="AA363"/>
          <cell r="AB363"/>
          <cell r="AC363"/>
          <cell r="AD363"/>
          <cell r="AE363"/>
          <cell r="AF363">
            <v>7.8017499999999993</v>
          </cell>
          <cell r="AG363"/>
          <cell r="AH363"/>
          <cell r="AI363" t="str">
            <v>Co</v>
          </cell>
          <cell r="AJ363" t="str">
            <v/>
          </cell>
          <cell r="AK363" t="str">
            <v/>
          </cell>
          <cell r="AL363" t="str">
            <v/>
          </cell>
          <cell r="AM363" t="str">
            <v/>
          </cell>
          <cell r="AN363" t="str">
            <v/>
          </cell>
          <cell r="AO363" t="str">
            <v/>
          </cell>
          <cell r="AP363" t="str">
            <v/>
          </cell>
          <cell r="AQ363" t="str">
            <v>-25.Ti</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cell r="BD363" t="str">
            <v/>
          </cell>
          <cell r="BE363" t="str">
            <v/>
          </cell>
          <cell r="BF363" t="str">
            <v/>
          </cell>
          <cell r="BG363" t="str">
            <v/>
          </cell>
          <cell r="BH363" t="str">
            <v>Co3TiOya-Seimiya, Y., Shinoda, T. &amp; Suzuki, T. Low temperature strength anomaly of L12 type intermetallic compounds Co3Ti and Pt3Al. Mater. Trans. JIM 37, 1464–1470 (1996).</v>
          </cell>
          <cell r="BI363" t="str">
            <v>Co-25.Ti</v>
          </cell>
          <cell r="BJ363" t="str">
            <v>75.0Co-25.0Ti</v>
          </cell>
        </row>
        <row r="364">
          <cell r="A364" t="str">
            <v>Co-30.2Ni-9.8Al-2.Cr-2.Ti-1.9Ta-4.6Mo</v>
          </cell>
          <cell r="B364" t="str">
            <v>W-free</v>
          </cell>
          <cell r="C364" t="str">
            <v>-30Ni-10Al-2Cr-2Ti-2Ta-5Mo</v>
          </cell>
          <cell r="D364" t="str">
            <v>Cr-2</v>
          </cell>
          <cell r="E364" t="str">
            <v>Pandey, P. et al. Elemental site occupancy in the L12 A3B ordered intermetallic phase in Co-based superalloys and its influence on the microstructure. Acta Mater. 163, 140–153 (2019).</v>
          </cell>
          <cell r="F364">
            <v>380</v>
          </cell>
          <cell r="G364">
            <v>49.5</v>
          </cell>
          <cell r="H364">
            <v>30.2</v>
          </cell>
          <cell r="I364">
            <v>9.8000000000000007</v>
          </cell>
          <cell r="J364">
            <v>2</v>
          </cell>
          <cell r="K364"/>
          <cell r="L364">
            <v>2</v>
          </cell>
          <cell r="M364">
            <v>1.9</v>
          </cell>
          <cell r="N364"/>
          <cell r="O364"/>
          <cell r="P364">
            <v>4.5999999999999996</v>
          </cell>
          <cell r="Q364"/>
          <cell r="R364"/>
          <cell r="S364"/>
          <cell r="T364"/>
          <cell r="U364"/>
          <cell r="V364"/>
          <cell r="W364"/>
          <cell r="X364"/>
          <cell r="Y364"/>
          <cell r="Z364"/>
          <cell r="AA364"/>
          <cell r="AB364"/>
          <cell r="AC364"/>
          <cell r="AD364"/>
          <cell r="AE364"/>
          <cell r="AF364">
            <v>8.3834859999999995</v>
          </cell>
          <cell r="AG364">
            <v>8.5299999999999994</v>
          </cell>
          <cell r="AH364"/>
          <cell r="AI364" t="str">
            <v>Co</v>
          </cell>
          <cell r="AJ364" t="str">
            <v>-9.8Al</v>
          </cell>
          <cell r="AK364" t="str">
            <v/>
          </cell>
          <cell r="AL364" t="str">
            <v>-30.2Ni</v>
          </cell>
          <cell r="AM364" t="str">
            <v>-2.Cr</v>
          </cell>
          <cell r="AN364" t="str">
            <v>-1.9Ta</v>
          </cell>
          <cell r="AO364" t="str">
            <v/>
          </cell>
          <cell r="AP364" t="str">
            <v/>
          </cell>
          <cell r="AQ364" t="str">
            <v>-2.Ti</v>
          </cell>
          <cell r="AR364" t="str">
            <v>-4.6Mo</v>
          </cell>
          <cell r="AS364" t="str">
            <v/>
          </cell>
          <cell r="AT364" t="str">
            <v/>
          </cell>
          <cell r="AU364" t="str">
            <v/>
          </cell>
          <cell r="AV364" t="str">
            <v/>
          </cell>
          <cell r="AW364" t="str">
            <v/>
          </cell>
          <cell r="AX364" t="str">
            <v/>
          </cell>
          <cell r="AY364" t="str">
            <v/>
          </cell>
          <cell r="AZ364" t="str">
            <v/>
          </cell>
          <cell r="BA364" t="str">
            <v/>
          </cell>
          <cell r="BB364" t="str">
            <v/>
          </cell>
          <cell r="BC364" t="str">
            <v/>
          </cell>
          <cell r="BD364" t="str">
            <v/>
          </cell>
          <cell r="BE364" t="str">
            <v/>
          </cell>
          <cell r="BF364" t="str">
            <v/>
          </cell>
          <cell r="BG364" t="str">
            <v/>
          </cell>
          <cell r="BH364" t="str">
            <v>Cr-2Pandey, P. et al. Elemental site occupancy in the L12 A3B ordered intermetallic phase in Co-based superalloys and its influence on the microstructure. Acta Mater. 163, 140–153 (2019).</v>
          </cell>
          <cell r="BI364" t="str">
            <v>Co-30.2Ni-9.8Al-2.Cr-2.Ti-1.9Ta-4.6Mo</v>
          </cell>
          <cell r="BJ364" t="str">
            <v>79.7Co-30.2Ni-9.8Al-2.0Ti-1.9Ta-4.6Mo-2.00C</v>
          </cell>
        </row>
        <row r="365">
          <cell r="A365" t="str">
            <v>Co-30.1Ni-9.8Al-4.9Cr-2.Ti-2.Ta-4.9Mo</v>
          </cell>
          <cell r="B365" t="str">
            <v>W-free</v>
          </cell>
          <cell r="C365" t="str">
            <v>-30Ni-10Al-5Cr-2Ti-2Ta-5Mo</v>
          </cell>
          <cell r="D365" t="str">
            <v>Cr-5</v>
          </cell>
          <cell r="E365" t="str">
            <v>Pandey, P. et al. Elemental site occupancy in the L12 A3B ordered intermetallic phase in Co-based superalloys and its influence on the microstructure. Acta Mater. 163, 140–153 (2019).</v>
          </cell>
          <cell r="F365">
            <v>381</v>
          </cell>
          <cell r="G365">
            <v>46.3</v>
          </cell>
          <cell r="H365">
            <v>30.1</v>
          </cell>
          <cell r="I365">
            <v>9.8000000000000007</v>
          </cell>
          <cell r="J365">
            <v>4.9000000000000004</v>
          </cell>
          <cell r="K365"/>
          <cell r="L365">
            <v>2</v>
          </cell>
          <cell r="M365">
            <v>2</v>
          </cell>
          <cell r="N365"/>
          <cell r="O365"/>
          <cell r="P365">
            <v>4.9000000000000004</v>
          </cell>
          <cell r="Q365"/>
          <cell r="R365"/>
          <cell r="S365"/>
          <cell r="T365"/>
          <cell r="U365"/>
          <cell r="V365"/>
          <cell r="W365"/>
          <cell r="X365"/>
          <cell r="Y365"/>
          <cell r="Z365"/>
          <cell r="AA365"/>
          <cell r="AB365"/>
          <cell r="AC365"/>
          <cell r="AD365"/>
          <cell r="AE365"/>
          <cell r="AF365">
            <v>8.3457779999999993</v>
          </cell>
          <cell r="AG365">
            <v>8.4600000000000009</v>
          </cell>
          <cell r="AH365"/>
          <cell r="AI365" t="str">
            <v>Co</v>
          </cell>
          <cell r="AJ365" t="str">
            <v>-9.8Al</v>
          </cell>
          <cell r="AK365" t="str">
            <v/>
          </cell>
          <cell r="AL365" t="str">
            <v>-30.1Ni</v>
          </cell>
          <cell r="AM365" t="str">
            <v>-4.9Cr</v>
          </cell>
          <cell r="AN365" t="str">
            <v>-2.Ta</v>
          </cell>
          <cell r="AO365" t="str">
            <v/>
          </cell>
          <cell r="AP365" t="str">
            <v/>
          </cell>
          <cell r="AQ365" t="str">
            <v>-2.Ti</v>
          </cell>
          <cell r="AR365" t="str">
            <v>-4.9Mo</v>
          </cell>
          <cell r="AS365" t="str">
            <v/>
          </cell>
          <cell r="AT365" t="str">
            <v/>
          </cell>
          <cell r="AU365" t="str">
            <v/>
          </cell>
          <cell r="AV365" t="str">
            <v/>
          </cell>
          <cell r="AW365" t="str">
            <v/>
          </cell>
          <cell r="AX365" t="str">
            <v/>
          </cell>
          <cell r="AY365" t="str">
            <v/>
          </cell>
          <cell r="AZ365" t="str">
            <v/>
          </cell>
          <cell r="BA365" t="str">
            <v/>
          </cell>
          <cell r="BB365" t="str">
            <v/>
          </cell>
          <cell r="BC365" t="str">
            <v/>
          </cell>
          <cell r="BD365" t="str">
            <v/>
          </cell>
          <cell r="BE365" t="str">
            <v/>
          </cell>
          <cell r="BF365" t="str">
            <v/>
          </cell>
          <cell r="BG365" t="str">
            <v/>
          </cell>
          <cell r="BH365" t="str">
            <v>Cr-5Pandey, P. et al. Elemental site occupancy in the L12 A3B ordered intermetallic phase in Co-based superalloys and its influence on the microstructure. Acta Mater. 163, 140–153 (2019).</v>
          </cell>
          <cell r="BI365" t="str">
            <v>Co-30.1Ni-9.8Al-4.9Cr-2.Ti-2.Ta-4.9Mo</v>
          </cell>
          <cell r="BJ365" t="str">
            <v>76.4Co-30.1Ni-9.8Al-2.0Ti-2.0Ta-4.9Mo-4.90C</v>
          </cell>
        </row>
        <row r="366">
          <cell r="A366" t="str">
            <v>Co-29.5Ni-10.4Al-8.Cr-2.Ti-2.Ta-4.9Mo</v>
          </cell>
          <cell r="B366" t="str">
            <v>W-free</v>
          </cell>
          <cell r="C366" t="str">
            <v>-30Ni-10Al-8Cr-2Ti-2Ta-5Mo</v>
          </cell>
          <cell r="D366" t="str">
            <v>Cr-8</v>
          </cell>
          <cell r="E366" t="str">
            <v>Pandey, P. et al. Elemental site occupancy in the L12 A3B ordered intermetallic phase in Co-based superalloys and its influence on the microstructure. Acta Mater. 163, 140–153 (2019).</v>
          </cell>
          <cell r="F366">
            <v>382</v>
          </cell>
          <cell r="G366">
            <v>43.2</v>
          </cell>
          <cell r="H366">
            <v>29.5</v>
          </cell>
          <cell r="I366">
            <v>10.4</v>
          </cell>
          <cell r="J366">
            <v>8</v>
          </cell>
          <cell r="K366"/>
          <cell r="L366">
            <v>2</v>
          </cell>
          <cell r="M366">
            <v>2</v>
          </cell>
          <cell r="N366"/>
          <cell r="O366"/>
          <cell r="P366">
            <v>4.9000000000000004</v>
          </cell>
          <cell r="Q366"/>
          <cell r="R366"/>
          <cell r="S366"/>
          <cell r="T366"/>
          <cell r="U366"/>
          <cell r="V366"/>
          <cell r="W366"/>
          <cell r="X366"/>
          <cell r="Y366"/>
          <cell r="Z366"/>
          <cell r="AA366"/>
          <cell r="AB366"/>
          <cell r="AC366"/>
          <cell r="AD366"/>
          <cell r="AE366"/>
          <cell r="AF366">
            <v>8.2555199999999989</v>
          </cell>
          <cell r="AG366">
            <v>8.44</v>
          </cell>
          <cell r="AH366"/>
          <cell r="AI366" t="str">
            <v>Co</v>
          </cell>
          <cell r="AJ366" t="str">
            <v>-10.4Al</v>
          </cell>
          <cell r="AK366" t="str">
            <v/>
          </cell>
          <cell r="AL366" t="str">
            <v>-29.5Ni</v>
          </cell>
          <cell r="AM366" t="str">
            <v>-8.Cr</v>
          </cell>
          <cell r="AN366" t="str">
            <v>-2.Ta</v>
          </cell>
          <cell r="AO366" t="str">
            <v/>
          </cell>
          <cell r="AP366" t="str">
            <v/>
          </cell>
          <cell r="AQ366" t="str">
            <v>-2.Ti</v>
          </cell>
          <cell r="AR366" t="str">
            <v>-4.9Mo</v>
          </cell>
          <cell r="AS366" t="str">
            <v/>
          </cell>
          <cell r="AT366" t="str">
            <v/>
          </cell>
          <cell r="AU366" t="str">
            <v/>
          </cell>
          <cell r="AV366" t="str">
            <v/>
          </cell>
          <cell r="AW366" t="str">
            <v/>
          </cell>
          <cell r="AX366" t="str">
            <v/>
          </cell>
          <cell r="AY366" t="str">
            <v/>
          </cell>
          <cell r="AZ366" t="str">
            <v/>
          </cell>
          <cell r="BA366" t="str">
            <v/>
          </cell>
          <cell r="BB366" t="str">
            <v/>
          </cell>
          <cell r="BC366" t="str">
            <v/>
          </cell>
          <cell r="BD366" t="str">
            <v/>
          </cell>
          <cell r="BE366" t="str">
            <v/>
          </cell>
          <cell r="BF366" t="str">
            <v/>
          </cell>
          <cell r="BG366" t="str">
            <v/>
          </cell>
          <cell r="BH366" t="str">
            <v>Cr-8Pandey, P. et al. Elemental site occupancy in the L12 A3B ordered intermetallic phase in Co-based superalloys and its influence on the microstructure. Acta Mater. 163, 140–153 (2019).</v>
          </cell>
          <cell r="BI366" t="str">
            <v>Co-29.5Ni-10.4Al-8.Cr-2.Ti-2.Ta-4.9Mo</v>
          </cell>
          <cell r="BJ366" t="str">
            <v>72.7Co-29.5Ni-10.4Al-2.0Ti-2.0Ta-4.9Mo-8.00C</v>
          </cell>
        </row>
        <row r="367">
          <cell r="A367" t="str">
            <v>Co-30.5Ni-9.7Al-1.9Ti-2.1Ta-4.8Mo</v>
          </cell>
          <cell r="B367" t="str">
            <v>W-free</v>
          </cell>
          <cell r="C367" t="str">
            <v>-31Ni-10Al-2Ti-2Ta-5Mo</v>
          </cell>
          <cell r="D367" t="str">
            <v>Cr-0</v>
          </cell>
          <cell r="E367" t="str">
            <v>Pandey, P. et al. Elemental site occupancy in the L12 A3B ordered intermetallic phase in Co-based superalloys and its influence on the microstructure. Acta Mater. 163, 140–153 (2019).</v>
          </cell>
          <cell r="F367">
            <v>383</v>
          </cell>
          <cell r="G367">
            <v>51</v>
          </cell>
          <cell r="H367">
            <v>30.5</v>
          </cell>
          <cell r="I367">
            <v>9.6999999999999993</v>
          </cell>
          <cell r="J367"/>
          <cell r="K367"/>
          <cell r="L367">
            <v>1.9</v>
          </cell>
          <cell r="M367">
            <v>2.1</v>
          </cell>
          <cell r="N367"/>
          <cell r="O367"/>
          <cell r="P367">
            <v>4.8</v>
          </cell>
          <cell r="Q367"/>
          <cell r="R367"/>
          <cell r="S367"/>
          <cell r="T367"/>
          <cell r="U367"/>
          <cell r="V367"/>
          <cell r="W367"/>
          <cell r="X367"/>
          <cell r="Y367"/>
          <cell r="Z367"/>
          <cell r="AA367"/>
          <cell r="AB367"/>
          <cell r="AC367"/>
          <cell r="AD367"/>
          <cell r="AE367"/>
          <cell r="AF367">
            <v>8.4465630000000012</v>
          </cell>
          <cell r="AG367">
            <v>8.5500000000000007</v>
          </cell>
          <cell r="AH367" t="str">
            <v>same alloy as Baler?</v>
          </cell>
          <cell r="AI367" t="str">
            <v>Co</v>
          </cell>
          <cell r="AJ367" t="str">
            <v>-9.7Al</v>
          </cell>
          <cell r="AK367" t="str">
            <v/>
          </cell>
          <cell r="AL367" t="str">
            <v>-30.5Ni</v>
          </cell>
          <cell r="AM367" t="str">
            <v/>
          </cell>
          <cell r="AN367" t="str">
            <v>-2.1Ta</v>
          </cell>
          <cell r="AO367" t="str">
            <v/>
          </cell>
          <cell r="AP367" t="str">
            <v/>
          </cell>
          <cell r="AQ367" t="str">
            <v>-1.9Ti</v>
          </cell>
          <cell r="AR367" t="str">
            <v>-4.8Mo</v>
          </cell>
          <cell r="AS367" t="str">
            <v/>
          </cell>
          <cell r="AT367" t="str">
            <v/>
          </cell>
          <cell r="AU367" t="str">
            <v/>
          </cell>
          <cell r="AV367" t="str">
            <v/>
          </cell>
          <cell r="AW367" t="str">
            <v/>
          </cell>
          <cell r="AX367" t="str">
            <v/>
          </cell>
          <cell r="AY367" t="str">
            <v/>
          </cell>
          <cell r="AZ367" t="str">
            <v/>
          </cell>
          <cell r="BA367" t="str">
            <v/>
          </cell>
          <cell r="BB367" t="str">
            <v/>
          </cell>
          <cell r="BC367" t="str">
            <v/>
          </cell>
          <cell r="BD367" t="str">
            <v/>
          </cell>
          <cell r="BE367" t="str">
            <v/>
          </cell>
          <cell r="BF367" t="str">
            <v/>
          </cell>
          <cell r="BG367" t="str">
            <v/>
          </cell>
          <cell r="BH367" t="str">
            <v>Cr-0Pandey, P. et al. Elemental site occupancy in the L12 A3B ordered intermetallic phase in Co-based superalloys and its influence on the microstructure. Acta Mater. 163, 140–153 (2019).</v>
          </cell>
          <cell r="BI367" t="str">
            <v>Co-30.5Ni-9.7Al-1.9Ti-2.1Ta-4.8Mo</v>
          </cell>
          <cell r="BJ367" t="str">
            <v>81.5Co-30.5Ni-9.7Al-1.9Ti-2.1Ta-4.8Mo</v>
          </cell>
        </row>
        <row r="368">
          <cell r="A368" t="str">
            <v>Co-30.4Ni-9.5Al-2.4Nb-5.3Mo-2.Re</v>
          </cell>
          <cell r="B368" t="str">
            <v>W-free</v>
          </cell>
          <cell r="C368" t="str">
            <v>-30Ni-10Al-2Nb-5Mo-2Re</v>
          </cell>
          <cell r="D368" t="str">
            <v>Co2Nb2r</v>
          </cell>
          <cell r="E368" t="str">
            <v>Pandey, P. et al. On the effect of Re addition on microstructural evolution of a CoNi-based superalloy. Acta Mater. 168, 37–51 (2019).</v>
          </cell>
          <cell r="F368">
            <v>384</v>
          </cell>
          <cell r="G368">
            <v>50.400000000000006</v>
          </cell>
          <cell r="H368">
            <v>30.4</v>
          </cell>
          <cell r="I368">
            <v>9.5</v>
          </cell>
          <cell r="J368"/>
          <cell r="K368"/>
          <cell r="L368"/>
          <cell r="M368"/>
          <cell r="N368">
            <v>2.4</v>
          </cell>
          <cell r="O368"/>
          <cell r="P368">
            <v>5.3</v>
          </cell>
          <cell r="Q368"/>
          <cell r="R368"/>
          <cell r="S368"/>
          <cell r="T368"/>
          <cell r="U368">
            <v>2</v>
          </cell>
          <cell r="V368"/>
          <cell r="W368"/>
          <cell r="X368"/>
          <cell r="Y368"/>
          <cell r="Z368"/>
          <cell r="AA368"/>
          <cell r="AB368"/>
          <cell r="AC368"/>
          <cell r="AD368"/>
          <cell r="AE368"/>
          <cell r="AF368">
            <v>8.6210519999999988</v>
          </cell>
          <cell r="AG368">
            <v>8.7799999999999994</v>
          </cell>
          <cell r="AH368"/>
          <cell r="AI368" t="str">
            <v>Co</v>
          </cell>
          <cell r="AJ368" t="str">
            <v>-9.5Al</v>
          </cell>
          <cell r="AK368" t="str">
            <v/>
          </cell>
          <cell r="AL368" t="str">
            <v>-30.4Ni</v>
          </cell>
          <cell r="AM368" t="str">
            <v/>
          </cell>
          <cell r="AN368" t="str">
            <v/>
          </cell>
          <cell r="AO368" t="str">
            <v>-2.4Nb</v>
          </cell>
          <cell r="AP368" t="str">
            <v/>
          </cell>
          <cell r="AQ368" t="str">
            <v/>
          </cell>
          <cell r="AR368" t="str">
            <v>-5.3Mo</v>
          </cell>
          <cell r="AS368" t="str">
            <v/>
          </cell>
          <cell r="AT368" t="str">
            <v/>
          </cell>
          <cell r="AU368" t="str">
            <v/>
          </cell>
          <cell r="AV368" t="str">
            <v/>
          </cell>
          <cell r="AW368" t="str">
            <v>-2.Re</v>
          </cell>
          <cell r="AX368" t="str">
            <v/>
          </cell>
          <cell r="AY368" t="str">
            <v/>
          </cell>
          <cell r="AZ368" t="str">
            <v/>
          </cell>
          <cell r="BA368" t="str">
            <v/>
          </cell>
          <cell r="BB368" t="str">
            <v/>
          </cell>
          <cell r="BC368" t="str">
            <v/>
          </cell>
          <cell r="BD368" t="str">
            <v/>
          </cell>
          <cell r="BE368" t="str">
            <v/>
          </cell>
          <cell r="BF368" t="str">
            <v/>
          </cell>
          <cell r="BG368" t="str">
            <v/>
          </cell>
          <cell r="BH368" t="str">
            <v>Co2Nb2rPandey, P. et al. On the effect of Re addition on microstructural evolution of a CoNi-based superalloy. Acta Mater. 168, 37–51 (2019).</v>
          </cell>
          <cell r="BI368" t="str">
            <v>Co-30.4Ni-9.5Al-2.4Nb-5.3Mo-2.Re</v>
          </cell>
          <cell r="BJ368" t="str">
            <v>80.8Co-30.4Ni-9.5Al-2.4Nb-5.3Mo-2.0Re</v>
          </cell>
        </row>
        <row r="369">
          <cell r="A369" t="str">
            <v>Co-35.4Ni-9.7Al-6.Cr-3.4Ti-2.8Ta-4.8Mo</v>
          </cell>
          <cell r="B369" t="str">
            <v>W-free</v>
          </cell>
          <cell r="C369" t="str">
            <v>-35Ni-10Al-6Cr-3Ti-3Ta-5Mo</v>
          </cell>
          <cell r="D369" t="str">
            <v>HEACoNi</v>
          </cell>
          <cell r="E369" t="str">
            <v>Pandey, P., Kashyap, S., Palanisamy, D., Sharma, A. &amp; Chattopadhyay, K. On the high temperature coarsening kinetics of γ′ precipitates in a high strength Co37.6Ni35.4Al9.9Mo4.9Cr5.9Ta2.8Ti3.5 fcc-based high entropy alloy. Acta Mater. 177, 82–95 (2019).</v>
          </cell>
          <cell r="F369">
            <v>385</v>
          </cell>
          <cell r="G369">
            <v>37.900000000000013</v>
          </cell>
          <cell r="H369">
            <v>35.4</v>
          </cell>
          <cell r="I369">
            <v>9.6999999999999993</v>
          </cell>
          <cell r="J369">
            <v>6</v>
          </cell>
          <cell r="K369"/>
          <cell r="L369">
            <v>3.4</v>
          </cell>
          <cell r="M369">
            <v>2.8</v>
          </cell>
          <cell r="N369"/>
          <cell r="O369"/>
          <cell r="P369">
            <v>4.8</v>
          </cell>
          <cell r="Q369"/>
          <cell r="R369"/>
          <cell r="S369"/>
          <cell r="T369"/>
          <cell r="U369"/>
          <cell r="V369"/>
          <cell r="W369"/>
          <cell r="X369"/>
          <cell r="Y369"/>
          <cell r="Z369"/>
          <cell r="AA369"/>
          <cell r="AB369"/>
          <cell r="AC369"/>
          <cell r="AD369"/>
          <cell r="AE369"/>
          <cell r="AF369">
            <v>8.3327099999999987</v>
          </cell>
          <cell r="AG369"/>
          <cell r="AH369"/>
          <cell r="AI369" t="str">
            <v>Co</v>
          </cell>
          <cell r="AJ369" t="str">
            <v>-9.7Al</v>
          </cell>
          <cell r="AK369" t="str">
            <v/>
          </cell>
          <cell r="AL369" t="str">
            <v>-35.4Ni</v>
          </cell>
          <cell r="AM369" t="str">
            <v>-6.Cr</v>
          </cell>
          <cell r="AN369" t="str">
            <v>-2.8Ta</v>
          </cell>
          <cell r="AO369" t="str">
            <v/>
          </cell>
          <cell r="AP369" t="str">
            <v/>
          </cell>
          <cell r="AQ369" t="str">
            <v>-3.4Ti</v>
          </cell>
          <cell r="AR369" t="str">
            <v>-4.8Mo</v>
          </cell>
          <cell r="AS369" t="str">
            <v/>
          </cell>
          <cell r="AT369" t="str">
            <v/>
          </cell>
          <cell r="AU369" t="str">
            <v/>
          </cell>
          <cell r="AV369" t="str">
            <v/>
          </cell>
          <cell r="AW369" t="str">
            <v/>
          </cell>
          <cell r="AX369" t="str">
            <v/>
          </cell>
          <cell r="AY369" t="str">
            <v/>
          </cell>
          <cell r="AZ369" t="str">
            <v/>
          </cell>
          <cell r="BA369" t="str">
            <v/>
          </cell>
          <cell r="BB369" t="str">
            <v/>
          </cell>
          <cell r="BC369" t="str">
            <v/>
          </cell>
          <cell r="BD369" t="str">
            <v/>
          </cell>
          <cell r="BE369" t="str">
            <v/>
          </cell>
          <cell r="BF369" t="str">
            <v/>
          </cell>
          <cell r="BG369" t="str">
            <v/>
          </cell>
          <cell r="BH369" t="str">
            <v>HEACoNiPandey, P., Kashyap, S., Palanisamy, D., Sharma, A. &amp; Chattopadhyay, K. On the high temperature coarsening kinetics of γ′ precipitates in a high strength Co37.6Ni35.4Al9.9Mo4.9Cr5.9Ta2.8Ti3.5 fcc-based high entropy alloy. Acta Mater. 177, 82–95 (2019).</v>
          </cell>
          <cell r="BI369" t="str">
            <v>Co-35.4Ni-9.7Al-6.Cr-3.4Ti-2.8Ta-4.8Mo</v>
          </cell>
          <cell r="BJ369" t="str">
            <v>73.3Co-35.4Ni-9.7Al-6.0Cr-3.4Ti-2.8Ta-4.8Mo</v>
          </cell>
        </row>
        <row r="370">
          <cell r="A370" t="str">
            <v>Co-7.8Al-4.5Cr-7.8W-1.5Ta</v>
          </cell>
          <cell r="B370" t="str">
            <v>CoAlWX+</v>
          </cell>
          <cell r="C370" t="str">
            <v>-8Al-5Cr-8W-2Ta</v>
          </cell>
          <cell r="D370" t="str">
            <v>Co-7.8Al-7.8W-4.5Cr-1.5Ta</v>
          </cell>
          <cell r="E370" t="str">
            <v>Pollock, T. M. M. et al. New Co-based γ-γ’ High-temperature Alloys. JOM 62, 58–63 (2010).</v>
          </cell>
          <cell r="F370">
            <v>388</v>
          </cell>
          <cell r="G370">
            <v>78.400000000000006</v>
          </cell>
          <cell r="H370"/>
          <cell r="I370">
            <v>7.8</v>
          </cell>
          <cell r="J370">
            <v>4.5</v>
          </cell>
          <cell r="K370">
            <v>7.8</v>
          </cell>
          <cell r="L370"/>
          <cell r="M370">
            <v>1.5</v>
          </cell>
          <cell r="N370"/>
          <cell r="O370"/>
          <cell r="P370"/>
          <cell r="Q370"/>
          <cell r="R370"/>
          <cell r="S370"/>
          <cell r="T370"/>
          <cell r="U370"/>
          <cell r="V370"/>
          <cell r="W370"/>
          <cell r="X370"/>
          <cell r="Y370"/>
          <cell r="Z370"/>
          <cell r="AA370"/>
          <cell r="AB370"/>
          <cell r="AC370"/>
          <cell r="AD370"/>
          <cell r="AE370"/>
          <cell r="AF370">
            <v>9.2630000000000017</v>
          </cell>
          <cell r="AG370"/>
          <cell r="AH370"/>
          <cell r="AI370" t="str">
            <v>Co</v>
          </cell>
          <cell r="AJ370" t="str">
            <v>-7.8Al</v>
          </cell>
          <cell r="AK370" t="str">
            <v>-7.8W</v>
          </cell>
          <cell r="AL370" t="str">
            <v/>
          </cell>
          <cell r="AM370" t="str">
            <v>-4.5Cr</v>
          </cell>
          <cell r="AN370" t="str">
            <v>-1.5Ta</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cell r="BD370" t="str">
            <v/>
          </cell>
          <cell r="BE370" t="str">
            <v/>
          </cell>
          <cell r="BF370" t="str">
            <v/>
          </cell>
          <cell r="BG370" t="str">
            <v/>
          </cell>
          <cell r="BH370" t="str">
            <v>Co-7.8Al-7.8W-4.5Cr-1.5TaPollock, T. M. M. et al. New Co-based γ-γ’ High-temperature Alloys. JOM 62, 58–63 (2010).</v>
          </cell>
          <cell r="BI370" t="str">
            <v>Co-7.8Al-4.5Cr-7.8W-1.5Ta</v>
          </cell>
          <cell r="BJ370" t="str">
            <v>78.4Co-7.8Al-4.5Cr-7.8W-1.5Ta</v>
          </cell>
        </row>
        <row r="371">
          <cell r="A371" t="str">
            <v>Co-9.Al-3.W-6.V</v>
          </cell>
          <cell r="B371" t="str">
            <v>Low-W</v>
          </cell>
          <cell r="C371" t="str">
            <v>-9Al-3W-6V</v>
          </cell>
          <cell r="D371" t="str">
            <v>Co-9Al-3W-6V</v>
          </cell>
          <cell r="E371" t="str">
            <v>Pollock, T. M. M. et al. New Co-based γ-γ’ High-temperature Alloys. JOM 62, 58–63 (2010).</v>
          </cell>
          <cell r="F371">
            <v>389</v>
          </cell>
          <cell r="G371">
            <v>82</v>
          </cell>
          <cell r="H371"/>
          <cell r="I371">
            <v>9</v>
          </cell>
          <cell r="J371"/>
          <cell r="K371">
            <v>3</v>
          </cell>
          <cell r="L371"/>
          <cell r="M371"/>
          <cell r="N371"/>
          <cell r="O371">
            <v>6</v>
          </cell>
          <cell r="P371"/>
          <cell r="Q371"/>
          <cell r="R371"/>
          <cell r="S371"/>
          <cell r="T371"/>
          <cell r="U371"/>
          <cell r="V371"/>
          <cell r="W371"/>
          <cell r="X371"/>
          <cell r="Y371"/>
          <cell r="Z371"/>
          <cell r="AA371"/>
          <cell r="AB371"/>
          <cell r="AC371"/>
          <cell r="AD371"/>
          <cell r="AE371"/>
          <cell r="AF371">
            <v>8.4850999999999992</v>
          </cell>
          <cell r="AG371"/>
          <cell r="AH371"/>
          <cell r="AI371" t="str">
            <v>Co</v>
          </cell>
          <cell r="AJ371" t="str">
            <v>-9.Al</v>
          </cell>
          <cell r="AK371" t="str">
            <v>-3.W</v>
          </cell>
          <cell r="AL371" t="str">
            <v/>
          </cell>
          <cell r="AM371" t="str">
            <v/>
          </cell>
          <cell r="AN371" t="str">
            <v/>
          </cell>
          <cell r="AO371" t="str">
            <v/>
          </cell>
          <cell r="AP371" t="str">
            <v>-6.V</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cell r="BD371" t="str">
            <v/>
          </cell>
          <cell r="BE371" t="str">
            <v/>
          </cell>
          <cell r="BF371" t="str">
            <v/>
          </cell>
          <cell r="BG371" t="str">
            <v/>
          </cell>
          <cell r="BH371" t="str">
            <v>Co-9Al-3W-6VPollock, T. M. M. et al. New Co-based γ-γ’ High-temperature Alloys. JOM 62, 58–63 (2010).</v>
          </cell>
          <cell r="BI371" t="str">
            <v>Co-9.Al-3.W-6.V</v>
          </cell>
          <cell r="BJ371" t="str">
            <v>82.0Co-9.0Al-3.0W-6.0V</v>
          </cell>
        </row>
        <row r="372">
          <cell r="A372" t="str">
            <v>Co-9.Al-6.W-3.Mo</v>
          </cell>
          <cell r="B372" t="str">
            <v>CoAlW-X</v>
          </cell>
          <cell r="C372" t="str">
            <v>-9Al-6W-3Mo</v>
          </cell>
          <cell r="D372" t="str">
            <v>Co-9Al-6W-3Mo</v>
          </cell>
          <cell r="E372" t="str">
            <v>Pollock, T. M. M. et al. New Co-based γ-γ’ High-temperature Alloys. JOM 62, 58–63 (2010).</v>
          </cell>
          <cell r="F372">
            <v>390</v>
          </cell>
          <cell r="G372">
            <v>82</v>
          </cell>
          <cell r="H372"/>
          <cell r="I372">
            <v>9</v>
          </cell>
          <cell r="J372"/>
          <cell r="K372">
            <v>6</v>
          </cell>
          <cell r="L372"/>
          <cell r="M372"/>
          <cell r="N372"/>
          <cell r="O372"/>
          <cell r="P372">
            <v>3</v>
          </cell>
          <cell r="Q372"/>
          <cell r="R372"/>
          <cell r="S372"/>
          <cell r="T372"/>
          <cell r="U372"/>
          <cell r="V372"/>
          <cell r="W372"/>
          <cell r="X372"/>
          <cell r="Y372"/>
          <cell r="Z372"/>
          <cell r="AA372"/>
          <cell r="AB372"/>
          <cell r="AC372"/>
          <cell r="AD372"/>
          <cell r="AE372"/>
          <cell r="AF372">
            <v>9.0044000000000004</v>
          </cell>
          <cell r="AG372"/>
          <cell r="AH372"/>
          <cell r="AI372" t="str">
            <v>Co</v>
          </cell>
          <cell r="AJ372" t="str">
            <v>-9.Al</v>
          </cell>
          <cell r="AK372" t="str">
            <v>-6.W</v>
          </cell>
          <cell r="AL372" t="str">
            <v/>
          </cell>
          <cell r="AM372" t="str">
            <v/>
          </cell>
          <cell r="AN372" t="str">
            <v/>
          </cell>
          <cell r="AO372" t="str">
            <v/>
          </cell>
          <cell r="AP372" t="str">
            <v/>
          </cell>
          <cell r="AQ372" t="str">
            <v/>
          </cell>
          <cell r="AR372" t="str">
            <v>-3.Mo</v>
          </cell>
          <cell r="AS372" t="str">
            <v/>
          </cell>
          <cell r="AT372" t="str">
            <v/>
          </cell>
          <cell r="AU372" t="str">
            <v/>
          </cell>
          <cell r="AV372" t="str">
            <v/>
          </cell>
          <cell r="AW372" t="str">
            <v/>
          </cell>
          <cell r="AX372" t="str">
            <v/>
          </cell>
          <cell r="AY372" t="str">
            <v/>
          </cell>
          <cell r="AZ372" t="str">
            <v/>
          </cell>
          <cell r="BA372" t="str">
            <v/>
          </cell>
          <cell r="BB372" t="str">
            <v/>
          </cell>
          <cell r="BC372" t="str">
            <v/>
          </cell>
          <cell r="BD372" t="str">
            <v/>
          </cell>
          <cell r="BE372" t="str">
            <v/>
          </cell>
          <cell r="BF372" t="str">
            <v/>
          </cell>
          <cell r="BG372" t="str">
            <v/>
          </cell>
          <cell r="BH372" t="str">
            <v>Co-9Al-6W-3MoPollock, T. M. M. et al. New Co-based γ-γ’ High-temperature Alloys. JOM 62, 58–63 (2010).</v>
          </cell>
          <cell r="BI372" t="str">
            <v>Co-9.Al-6.W-3.Mo</v>
          </cell>
          <cell r="BJ372" t="str">
            <v>82.0Co-9.0Al-6.0W-3.0Mo</v>
          </cell>
        </row>
        <row r="373">
          <cell r="A373" t="str">
            <v>Co-9.Al-7.5W-1.5Mo</v>
          </cell>
          <cell r="B373" t="str">
            <v>CoAlW-X</v>
          </cell>
          <cell r="C373" t="str">
            <v>-9Al-8W-2Mo</v>
          </cell>
          <cell r="D373" t="str">
            <v>Co-9Al-7.5W-1.5Mo</v>
          </cell>
          <cell r="E373" t="str">
            <v>Pollock, T. M. M. et al. New Co-based γ-γ’ High-temperature Alloys. JOM 62, 58–63 (2010).</v>
          </cell>
          <cell r="F373">
            <v>391</v>
          </cell>
          <cell r="G373">
            <v>82</v>
          </cell>
          <cell r="H373"/>
          <cell r="I373">
            <v>9</v>
          </cell>
          <cell r="J373"/>
          <cell r="K373">
            <v>7.5</v>
          </cell>
          <cell r="L373"/>
          <cell r="M373"/>
          <cell r="N373"/>
          <cell r="O373"/>
          <cell r="P373">
            <v>1.5</v>
          </cell>
          <cell r="Q373"/>
          <cell r="R373"/>
          <cell r="S373"/>
          <cell r="T373"/>
          <cell r="U373"/>
          <cell r="V373"/>
          <cell r="W373"/>
          <cell r="X373"/>
          <cell r="Y373"/>
          <cell r="Z373"/>
          <cell r="AA373"/>
          <cell r="AB373"/>
          <cell r="AC373"/>
          <cell r="AD373"/>
          <cell r="AE373"/>
          <cell r="AF373">
            <v>9.1389499999999995</v>
          </cell>
          <cell r="AG373"/>
          <cell r="AH373"/>
          <cell r="AI373" t="str">
            <v>Co</v>
          </cell>
          <cell r="AJ373" t="str">
            <v>-9.Al</v>
          </cell>
          <cell r="AK373" t="str">
            <v>-7.5W</v>
          </cell>
          <cell r="AL373" t="str">
            <v/>
          </cell>
          <cell r="AM373" t="str">
            <v/>
          </cell>
          <cell r="AN373" t="str">
            <v/>
          </cell>
          <cell r="AO373" t="str">
            <v/>
          </cell>
          <cell r="AP373" t="str">
            <v/>
          </cell>
          <cell r="AQ373" t="str">
            <v/>
          </cell>
          <cell r="AR373" t="str">
            <v>-1.5Mo</v>
          </cell>
          <cell r="AS373" t="str">
            <v/>
          </cell>
          <cell r="AT373" t="str">
            <v/>
          </cell>
          <cell r="AU373" t="str">
            <v/>
          </cell>
          <cell r="AV373" t="str">
            <v/>
          </cell>
          <cell r="AW373" t="str">
            <v/>
          </cell>
          <cell r="AX373" t="str">
            <v/>
          </cell>
          <cell r="AY373" t="str">
            <v/>
          </cell>
          <cell r="AZ373" t="str">
            <v/>
          </cell>
          <cell r="BA373" t="str">
            <v/>
          </cell>
          <cell r="BB373" t="str">
            <v/>
          </cell>
          <cell r="BC373" t="str">
            <v/>
          </cell>
          <cell r="BD373" t="str">
            <v/>
          </cell>
          <cell r="BE373" t="str">
            <v/>
          </cell>
          <cell r="BF373" t="str">
            <v/>
          </cell>
          <cell r="BG373" t="str">
            <v/>
          </cell>
          <cell r="BH373" t="str">
            <v>Co-9Al-7.5W-1.5MoPollock, T. M. M. et al. New Co-based γ-γ’ High-temperature Alloys. JOM 62, 58–63 (2010).</v>
          </cell>
          <cell r="BI373" t="str">
            <v>Co-9.Al-7.5W-1.5Mo</v>
          </cell>
          <cell r="BJ373" t="str">
            <v>82.0Co-9.0Al-7.5W-1.5Mo</v>
          </cell>
        </row>
        <row r="374">
          <cell r="A374" t="str">
            <v>Co-10.Ni-9.Al-9.W</v>
          </cell>
          <cell r="B374" t="str">
            <v>CoAlW-X</v>
          </cell>
          <cell r="C374" t="str">
            <v>-10Ni-9Al-9W</v>
          </cell>
          <cell r="D374" t="str">
            <v>Co-9Al-9W-10Ni</v>
          </cell>
          <cell r="E374" t="str">
            <v>Pollock, T. M. M. et al. New Co-based γ-γ’ High-temperature Alloys. JOM 62, 58–63 (2010).</v>
          </cell>
          <cell r="F374">
            <v>392</v>
          </cell>
          <cell r="G374">
            <v>72</v>
          </cell>
          <cell r="H374">
            <v>10</v>
          </cell>
          <cell r="I374">
            <v>9</v>
          </cell>
          <cell r="J374"/>
          <cell r="K374">
            <v>9</v>
          </cell>
          <cell r="L374"/>
          <cell r="M374"/>
          <cell r="N374"/>
          <cell r="O374"/>
          <cell r="P374"/>
          <cell r="Q374"/>
          <cell r="R374"/>
          <cell r="S374"/>
          <cell r="T374"/>
          <cell r="U374"/>
          <cell r="V374"/>
          <cell r="W374"/>
          <cell r="X374"/>
          <cell r="Y374"/>
          <cell r="Z374"/>
          <cell r="AA374"/>
          <cell r="AB374"/>
          <cell r="AC374"/>
          <cell r="AD374"/>
          <cell r="AE374"/>
          <cell r="AF374">
            <v>9.2743000000000002</v>
          </cell>
          <cell r="AG374"/>
          <cell r="AH374"/>
          <cell r="AI374" t="str">
            <v>Co</v>
          </cell>
          <cell r="AJ374" t="str">
            <v>-9.Al</v>
          </cell>
          <cell r="AK374" t="str">
            <v>-9.W</v>
          </cell>
          <cell r="AL374" t="str">
            <v>-10.Ni</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cell r="BD374" t="str">
            <v/>
          </cell>
          <cell r="BE374" t="str">
            <v/>
          </cell>
          <cell r="BF374" t="str">
            <v/>
          </cell>
          <cell r="BG374" t="str">
            <v/>
          </cell>
          <cell r="BH374" t="str">
            <v>Co-9Al-9W-10NiPollock, T. M. M. et al. New Co-based γ-γ’ High-temperature Alloys. JOM 62, 58–63 (2010).</v>
          </cell>
          <cell r="BI374" t="str">
            <v>Co-10.Ni-9.Al-9.W</v>
          </cell>
          <cell r="BJ374" t="str">
            <v>82.0Co-10.0Ni-9.0Al-9.0W</v>
          </cell>
        </row>
        <row r="375">
          <cell r="A375" t="str">
            <v>Co-20.Ni-9.Al-9.W</v>
          </cell>
          <cell r="B375" t="str">
            <v>CoAlW-X</v>
          </cell>
          <cell r="C375" t="str">
            <v>-20Ni-9Al-9W</v>
          </cell>
          <cell r="D375" t="str">
            <v>Co-9Al-9W-20Ni</v>
          </cell>
          <cell r="E375" t="str">
            <v>Pollock, T. M. M. et al. New Co-based γ-γ’ High-temperature Alloys. JOM 62, 58–63 (2010).</v>
          </cell>
          <cell r="F375">
            <v>393</v>
          </cell>
          <cell r="G375">
            <v>62</v>
          </cell>
          <cell r="H375">
            <v>20</v>
          </cell>
          <cell r="I375">
            <v>9</v>
          </cell>
          <cell r="J375"/>
          <cell r="K375">
            <v>9</v>
          </cell>
          <cell r="L375"/>
          <cell r="M375"/>
          <cell r="N375"/>
          <cell r="O375"/>
          <cell r="P375"/>
          <cell r="Q375"/>
          <cell r="R375"/>
          <cell r="S375"/>
          <cell r="T375"/>
          <cell r="U375"/>
          <cell r="V375"/>
          <cell r="W375"/>
          <cell r="X375"/>
          <cell r="Y375"/>
          <cell r="Z375"/>
          <cell r="AA375"/>
          <cell r="AB375"/>
          <cell r="AC375"/>
          <cell r="AD375"/>
          <cell r="AE375"/>
          <cell r="AF375">
            <v>9.2751000000000001</v>
          </cell>
          <cell r="AG375"/>
          <cell r="AH375"/>
          <cell r="AI375" t="str">
            <v>Co</v>
          </cell>
          <cell r="AJ375" t="str">
            <v>-9.Al</v>
          </cell>
          <cell r="AK375" t="str">
            <v>-9.W</v>
          </cell>
          <cell r="AL375" t="str">
            <v>-20.Ni</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cell r="BD375" t="str">
            <v/>
          </cell>
          <cell r="BE375" t="str">
            <v/>
          </cell>
          <cell r="BF375" t="str">
            <v/>
          </cell>
          <cell r="BG375" t="str">
            <v/>
          </cell>
          <cell r="BH375" t="str">
            <v>Co-9Al-9W-20NiPollock, T. M. M. et al. New Co-based γ-γ’ High-temperature Alloys. JOM 62, 58–63 (2010).</v>
          </cell>
          <cell r="BI375" t="str">
            <v>Co-20.Ni-9.Al-9.W</v>
          </cell>
          <cell r="BJ375" t="str">
            <v>82.0Co-20.0Ni-9.0Al-9.0W</v>
          </cell>
        </row>
        <row r="376">
          <cell r="A376" t="str">
            <v>Co-9.2Al-9.2W</v>
          </cell>
          <cell r="B376" t="str">
            <v>CoAlW-X</v>
          </cell>
          <cell r="C376" t="str">
            <v>-9Al-9W</v>
          </cell>
          <cell r="D376" t="str">
            <v>Co-9.2Al-9W</v>
          </cell>
          <cell r="E376" t="str">
            <v>Pollock, T. M. M. et al. New Co-based γ-γ’ High-temperature Alloys. JOM 62, 58–63 (2010).</v>
          </cell>
          <cell r="F376">
            <v>394</v>
          </cell>
          <cell r="G376">
            <v>81.599999999999994</v>
          </cell>
          <cell r="H376"/>
          <cell r="I376">
            <v>9.1999999999999993</v>
          </cell>
          <cell r="J376"/>
          <cell r="K376">
            <v>9.1999999999999993</v>
          </cell>
          <cell r="L376"/>
          <cell r="M376"/>
          <cell r="N376"/>
          <cell r="O376"/>
          <cell r="P376"/>
          <cell r="Q376"/>
          <cell r="R376"/>
          <cell r="S376"/>
          <cell r="T376"/>
          <cell r="U376"/>
          <cell r="V376"/>
          <cell r="W376"/>
          <cell r="X376"/>
          <cell r="Y376"/>
          <cell r="Z376"/>
          <cell r="AA376"/>
          <cell r="AB376"/>
          <cell r="AC376"/>
          <cell r="AD376"/>
          <cell r="AE376"/>
          <cell r="AF376">
            <v>9.2818000000000005</v>
          </cell>
          <cell r="AG376"/>
          <cell r="AH376"/>
          <cell r="AI376" t="str">
            <v>Co</v>
          </cell>
          <cell r="AJ376" t="str">
            <v>-9.2Al</v>
          </cell>
          <cell r="AK376" t="str">
            <v>-9.2W</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
          </cell>
          <cell r="BB376" t="str">
            <v/>
          </cell>
          <cell r="BC376" t="str">
            <v/>
          </cell>
          <cell r="BD376" t="str">
            <v/>
          </cell>
          <cell r="BE376" t="str">
            <v/>
          </cell>
          <cell r="BF376" t="str">
            <v/>
          </cell>
          <cell r="BG376" t="str">
            <v/>
          </cell>
          <cell r="BH376" t="str">
            <v>Co-9.2Al-9WPollock, T. M. M. et al. New Co-based γ-γ’ High-temperature Alloys. JOM 62, 58–63 (2010).</v>
          </cell>
          <cell r="BI376" t="str">
            <v>Co-9.2Al-9.2W</v>
          </cell>
          <cell r="BJ376" t="str">
            <v>81.6Co-9.2Al-9.2W</v>
          </cell>
        </row>
        <row r="377">
          <cell r="A377" t="str">
            <v>Co-8.8Al-9.8W-2.Re</v>
          </cell>
          <cell r="B377" t="str">
            <v>CoAlW-X</v>
          </cell>
          <cell r="C377" t="str">
            <v>-9Al-10W-2Re</v>
          </cell>
          <cell r="D377" t="str">
            <v>Co-8.8Al-9.8W-2Re</v>
          </cell>
          <cell r="E377" t="str">
            <v>Pollock, T. M. M. et al. New Co-based γ-γ’ High-temperature Alloys. JOM 62, 58–63 (2010).</v>
          </cell>
          <cell r="F377">
            <v>395</v>
          </cell>
          <cell r="G377">
            <v>79.400000000000006</v>
          </cell>
          <cell r="H377"/>
          <cell r="I377">
            <v>8.8000000000000007</v>
          </cell>
          <cell r="J377"/>
          <cell r="K377">
            <v>9.8000000000000007</v>
          </cell>
          <cell r="L377"/>
          <cell r="M377"/>
          <cell r="N377"/>
          <cell r="O377"/>
          <cell r="P377"/>
          <cell r="Q377"/>
          <cell r="R377"/>
          <cell r="S377"/>
          <cell r="T377"/>
          <cell r="U377">
            <v>2</v>
          </cell>
          <cell r="V377"/>
          <cell r="W377"/>
          <cell r="X377"/>
          <cell r="Y377"/>
          <cell r="Z377"/>
          <cell r="AA377"/>
          <cell r="AB377"/>
          <cell r="AC377"/>
          <cell r="AD377"/>
          <cell r="AE377"/>
          <cell r="AF377">
            <v>9.6111000000000004</v>
          </cell>
          <cell r="AG377"/>
          <cell r="AH377"/>
          <cell r="AI377" t="str">
            <v>Co</v>
          </cell>
          <cell r="AJ377" t="str">
            <v>-8.8Al</v>
          </cell>
          <cell r="AK377" t="str">
            <v>-9.8W</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-2.Re</v>
          </cell>
          <cell r="AX377" t="str">
            <v/>
          </cell>
          <cell r="AY377" t="str">
            <v/>
          </cell>
          <cell r="AZ377" t="str">
            <v/>
          </cell>
          <cell r="BA377" t="str">
            <v/>
          </cell>
          <cell r="BB377" t="str">
            <v/>
          </cell>
          <cell r="BC377" t="str">
            <v/>
          </cell>
          <cell r="BD377" t="str">
            <v/>
          </cell>
          <cell r="BE377" t="str">
            <v/>
          </cell>
          <cell r="BF377" t="str">
            <v/>
          </cell>
          <cell r="BG377" t="str">
            <v/>
          </cell>
          <cell r="BH377" t="str">
            <v>Co-8.8Al-9.8W-2RePollock, T. M. M. et al. New Co-based γ-γ’ High-temperature Alloys. JOM 62, 58–63 (2010).</v>
          </cell>
          <cell r="BI377" t="str">
            <v>Co-8.8Al-9.8W-2.Re</v>
          </cell>
          <cell r="BJ377" t="str">
            <v>79.4Co-8.8Al-9.8W-2.0Re</v>
          </cell>
        </row>
        <row r="378">
          <cell r="A378" t="str">
            <v>Co-9.Al-9.W-2.Ti-0.12B</v>
          </cell>
          <cell r="B378" t="str">
            <v>CoAlW-X</v>
          </cell>
          <cell r="C378" t="str">
            <v>-9Al-9W-2Ti-B</v>
          </cell>
          <cell r="D378" t="str">
            <v>Co-9Al-9Ta-2Ti</v>
          </cell>
          <cell r="E378" t="str">
            <v>Povstugar, I. et al. Elemental partitioning and mechanical properties of Ti- and Ta-containing Co-Al-W-base superalloys studied by atom probe tomography and nanoindentation. Acta Mater. 78, 78–85 (2014).</v>
          </cell>
          <cell r="F378">
            <v>396</v>
          </cell>
          <cell r="G378">
            <v>79.88</v>
          </cell>
          <cell r="H378"/>
          <cell r="I378">
            <v>9</v>
          </cell>
          <cell r="J378"/>
          <cell r="K378">
            <v>9</v>
          </cell>
          <cell r="L378">
            <v>2</v>
          </cell>
          <cell r="M378"/>
          <cell r="N378"/>
          <cell r="O378"/>
          <cell r="P378"/>
          <cell r="Q378"/>
          <cell r="R378"/>
          <cell r="S378">
            <v>0.12</v>
          </cell>
          <cell r="T378"/>
          <cell r="U378"/>
          <cell r="V378"/>
          <cell r="W378"/>
          <cell r="X378"/>
          <cell r="Y378"/>
          <cell r="Z378"/>
          <cell r="AA378"/>
          <cell r="AB378"/>
          <cell r="AC378"/>
          <cell r="AD378"/>
          <cell r="AE378"/>
          <cell r="AF378">
            <v>9.1779119999999992</v>
          </cell>
          <cell r="AG378"/>
          <cell r="AH378"/>
          <cell r="AI378" t="str">
            <v>Co</v>
          </cell>
          <cell r="AJ378" t="str">
            <v>-9.Al</v>
          </cell>
          <cell r="AK378" t="str">
            <v>-9.W</v>
          </cell>
          <cell r="AL378" t="str">
            <v/>
          </cell>
          <cell r="AM378" t="str">
            <v/>
          </cell>
          <cell r="AN378" t="str">
            <v/>
          </cell>
          <cell r="AO378" t="str">
            <v/>
          </cell>
          <cell r="AP378" t="str">
            <v/>
          </cell>
          <cell r="AQ378" t="str">
            <v>-2.Ti</v>
          </cell>
          <cell r="AR378" t="str">
            <v/>
          </cell>
          <cell r="AS378" t="str">
            <v/>
          </cell>
          <cell r="AT378" t="str">
            <v/>
          </cell>
          <cell r="AU378" t="str">
            <v>-0.12B</v>
          </cell>
          <cell r="AV378" t="str">
            <v/>
          </cell>
          <cell r="AW378" t="str">
            <v/>
          </cell>
          <cell r="AX378" t="str">
            <v/>
          </cell>
          <cell r="AY378" t="str">
            <v/>
          </cell>
          <cell r="AZ378" t="str">
            <v/>
          </cell>
          <cell r="BA378" t="str">
            <v/>
          </cell>
          <cell r="BB378" t="str">
            <v/>
          </cell>
          <cell r="BC378" t="str">
            <v/>
          </cell>
          <cell r="BD378" t="str">
            <v/>
          </cell>
          <cell r="BE378" t="str">
            <v/>
          </cell>
          <cell r="BF378" t="str">
            <v/>
          </cell>
          <cell r="BG378" t="str">
            <v/>
          </cell>
          <cell r="BH378" t="str">
            <v>Co-9Al-9Ta-2TiPovstugar, I. et al. Elemental partitioning and mechanical properties of Ti- and Ta-containing Co-Al-W-base superalloys studied by atom probe tomography and nanoindentation. Acta Mater. 78, 78–85 (2014).</v>
          </cell>
          <cell r="BI378" t="str">
            <v>Co-9.Al-9.W-2.Ti-0.12B</v>
          </cell>
          <cell r="BJ378" t="str">
            <v>79.9Co-9.0Al-9.0W-2.0Ti-0.12B</v>
          </cell>
        </row>
        <row r="379">
          <cell r="A379" t="str">
            <v>Co-9.Al-9.W-2.Ti-2.Ta</v>
          </cell>
          <cell r="B379" t="str">
            <v>CoAlWX+</v>
          </cell>
          <cell r="C379" t="str">
            <v>-9Al-9W-2Ti-2Ta</v>
          </cell>
          <cell r="D379" t="str">
            <v>Co-9Al-9Ta-2Ti-2Ta</v>
          </cell>
          <cell r="E379" t="str">
            <v>Povstugar, I. et al. Elemental partitioning and mechanical properties of Ti- and Ta-containing Co-Al-W-base superalloys studied by atom probe tomography and nanoindentation. Acta Mater. 78, 78–85 (2014).</v>
          </cell>
          <cell r="F379">
            <v>397</v>
          </cell>
          <cell r="G379">
            <v>78</v>
          </cell>
          <cell r="H379"/>
          <cell r="I379">
            <v>9</v>
          </cell>
          <cell r="J379"/>
          <cell r="K379">
            <v>9</v>
          </cell>
          <cell r="L379">
            <v>2</v>
          </cell>
          <cell r="M379">
            <v>2</v>
          </cell>
          <cell r="N379"/>
          <cell r="O379"/>
          <cell r="P379"/>
          <cell r="Q379"/>
          <cell r="R379"/>
          <cell r="S379"/>
          <cell r="T379"/>
          <cell r="U379"/>
          <cell r="V379"/>
          <cell r="W379"/>
          <cell r="X379"/>
          <cell r="Y379"/>
          <cell r="Z379"/>
          <cell r="AA379"/>
          <cell r="AB379"/>
          <cell r="AC379"/>
          <cell r="AD379"/>
          <cell r="AE379"/>
          <cell r="AF379">
            <v>9.3406400000000005</v>
          </cell>
          <cell r="AG379"/>
          <cell r="AH379"/>
          <cell r="AI379" t="str">
            <v>Co</v>
          </cell>
          <cell r="AJ379" t="str">
            <v>-9.Al</v>
          </cell>
          <cell r="AK379" t="str">
            <v>-9.W</v>
          </cell>
          <cell r="AL379" t="str">
            <v/>
          </cell>
          <cell r="AM379" t="str">
            <v/>
          </cell>
          <cell r="AN379" t="str">
            <v>-2.Ta</v>
          </cell>
          <cell r="AO379" t="str">
            <v/>
          </cell>
          <cell r="AP379" t="str">
            <v/>
          </cell>
          <cell r="AQ379" t="str">
            <v>-2.Ti</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cell r="BD379" t="str">
            <v/>
          </cell>
          <cell r="BE379" t="str">
            <v/>
          </cell>
          <cell r="BF379" t="str">
            <v/>
          </cell>
          <cell r="BG379" t="str">
            <v/>
          </cell>
          <cell r="BH379" t="str">
            <v>Co-9Al-9Ta-2Ti-2TaPovstugar, I. et al. Elemental partitioning and mechanical properties of Ti- and Ta-containing Co-Al-W-base superalloys studied by atom probe tomography and nanoindentation. Acta Mater. 78, 78–85 (2014).</v>
          </cell>
          <cell r="BI379" t="str">
            <v>Co-9.Al-9.W-2.Ti-2.Ta</v>
          </cell>
          <cell r="BJ379" t="str">
            <v>78.0Co-9.0Al-9.0W-2.0Ti-2.0Ta</v>
          </cell>
        </row>
        <row r="380">
          <cell r="A380" t="str">
            <v>Co-9.Al-9.W-0.12B</v>
          </cell>
          <cell r="B380" t="str">
            <v>CoAlW-X</v>
          </cell>
          <cell r="C380" t="str">
            <v>-9Al-9W-B</v>
          </cell>
          <cell r="D380" t="str">
            <v>Co-9Al-9Ta</v>
          </cell>
          <cell r="E380" t="str">
            <v>Povstugar, I. et al. Elemental partitioning and mechanical properties of Ti- and Ta-containing Co-Al-W-base superalloys studied by atom probe tomography and nanoindentation. Acta Mater. 78, 78–85 (2014).</v>
          </cell>
          <cell r="F380">
            <v>398</v>
          </cell>
          <cell r="G380">
            <v>81.88</v>
          </cell>
          <cell r="H380"/>
          <cell r="I380">
            <v>9</v>
          </cell>
          <cell r="J380"/>
          <cell r="K380">
            <v>9</v>
          </cell>
          <cell r="L380"/>
          <cell r="M380"/>
          <cell r="N380"/>
          <cell r="O380"/>
          <cell r="P380"/>
          <cell r="Q380"/>
          <cell r="R380"/>
          <cell r="S380">
            <v>0.12</v>
          </cell>
          <cell r="T380"/>
          <cell r="U380"/>
          <cell r="V380"/>
          <cell r="W380"/>
          <cell r="X380"/>
          <cell r="Y380"/>
          <cell r="Z380"/>
          <cell r="AA380"/>
          <cell r="AB380"/>
          <cell r="AC380"/>
          <cell r="AD380"/>
          <cell r="AE380"/>
          <cell r="AF380">
            <v>9.2657720000000001</v>
          </cell>
          <cell r="AG380"/>
          <cell r="AH380"/>
          <cell r="AI380" t="str">
            <v>Co</v>
          </cell>
          <cell r="AJ380" t="str">
            <v>-9.Al</v>
          </cell>
          <cell r="AK380" t="str">
            <v>-9.W</v>
          </cell>
          <cell r="AL380" t="str">
            <v/>
          </cell>
          <cell r="AM380" t="str">
            <v/>
          </cell>
          <cell r="AN380" t="str">
            <v/>
          </cell>
          <cell r="AO380" t="str">
            <v/>
          </cell>
          <cell r="AP380" t="str">
            <v/>
          </cell>
          <cell r="AQ380" t="str">
            <v/>
          </cell>
          <cell r="AR380" t="str">
            <v/>
          </cell>
          <cell r="AS380" t="str">
            <v/>
          </cell>
          <cell r="AT380" t="str">
            <v/>
          </cell>
          <cell r="AU380" t="str">
            <v>-0.12B</v>
          </cell>
          <cell r="AV380" t="str">
            <v/>
          </cell>
          <cell r="AW380" t="str">
            <v/>
          </cell>
          <cell r="AX380" t="str">
            <v/>
          </cell>
          <cell r="AY380" t="str">
            <v/>
          </cell>
          <cell r="AZ380" t="str">
            <v/>
          </cell>
          <cell r="BA380" t="str">
            <v/>
          </cell>
          <cell r="BB380" t="str">
            <v/>
          </cell>
          <cell r="BC380" t="str">
            <v/>
          </cell>
          <cell r="BD380" t="str">
            <v/>
          </cell>
          <cell r="BE380" t="str">
            <v/>
          </cell>
          <cell r="BF380" t="str">
            <v/>
          </cell>
          <cell r="BG380" t="str">
            <v/>
          </cell>
          <cell r="BH380" t="str">
            <v>Co-9Al-9TaPovstugar, I. et al. Elemental partitioning and mechanical properties of Ti- and Ta-containing Co-Al-W-base superalloys studied by atom probe tomography and nanoindentation. Acta Mater. 78, 78–85 (2014).</v>
          </cell>
          <cell r="BI380" t="str">
            <v>Co-9.Al-9.W-0.12B</v>
          </cell>
          <cell r="BJ380" t="str">
            <v>81.9Co-9.0Al-9.0W-0.12B</v>
          </cell>
        </row>
        <row r="381">
          <cell r="A381" t="str">
            <v>Co-9.Al-9.W-2.Ta-0.12B</v>
          </cell>
          <cell r="B381" t="str">
            <v>CoAlW-X</v>
          </cell>
          <cell r="C381" t="str">
            <v>-9Al-9W-2Ta-B</v>
          </cell>
          <cell r="D381" t="str">
            <v>Co-9Al-9Ta-2Ta</v>
          </cell>
          <cell r="E381" t="str">
            <v>Povstugar, I. et al. Elemental partitioning and mechanical properties of Ti- and Ta-containing Co-Al-W-base superalloys studied by atom probe tomography and nanoindentation. Acta Mater. 78, 78–85 (2014).</v>
          </cell>
          <cell r="F381">
            <v>399</v>
          </cell>
          <cell r="G381">
            <v>79.88</v>
          </cell>
          <cell r="H381"/>
          <cell r="I381">
            <v>9</v>
          </cell>
          <cell r="J381"/>
          <cell r="K381">
            <v>9</v>
          </cell>
          <cell r="L381"/>
          <cell r="M381">
            <v>2</v>
          </cell>
          <cell r="N381"/>
          <cell r="O381"/>
          <cell r="P381"/>
          <cell r="Q381"/>
          <cell r="R381"/>
          <cell r="S381">
            <v>0.12</v>
          </cell>
          <cell r="T381"/>
          <cell r="U381"/>
          <cell r="V381"/>
          <cell r="W381"/>
          <cell r="X381"/>
          <cell r="Y381"/>
          <cell r="Z381"/>
          <cell r="AA381"/>
          <cell r="AB381"/>
          <cell r="AC381"/>
          <cell r="AD381"/>
          <cell r="AE381"/>
          <cell r="AF381">
            <v>9.4207719999999995</v>
          </cell>
          <cell r="AG381"/>
          <cell r="AH381"/>
          <cell r="AI381" t="str">
            <v>Co</v>
          </cell>
          <cell r="AJ381" t="str">
            <v>-9.Al</v>
          </cell>
          <cell r="AK381" t="str">
            <v>-9.W</v>
          </cell>
          <cell r="AL381" t="str">
            <v/>
          </cell>
          <cell r="AM381" t="str">
            <v/>
          </cell>
          <cell r="AN381" t="str">
            <v>-2.Ta</v>
          </cell>
          <cell r="AO381" t="str">
            <v/>
          </cell>
          <cell r="AP381" t="str">
            <v/>
          </cell>
          <cell r="AQ381" t="str">
            <v/>
          </cell>
          <cell r="AR381" t="str">
            <v/>
          </cell>
          <cell r="AS381" t="str">
            <v/>
          </cell>
          <cell r="AT381" t="str">
            <v/>
          </cell>
          <cell r="AU381" t="str">
            <v>-0.12B</v>
          </cell>
          <cell r="AV381" t="str">
            <v/>
          </cell>
          <cell r="AW381" t="str">
            <v/>
          </cell>
          <cell r="AX381" t="str">
            <v/>
          </cell>
          <cell r="AY381" t="str">
            <v/>
          </cell>
          <cell r="AZ381" t="str">
            <v/>
          </cell>
          <cell r="BA381" t="str">
            <v/>
          </cell>
          <cell r="BB381" t="str">
            <v/>
          </cell>
          <cell r="BC381" t="str">
            <v/>
          </cell>
          <cell r="BD381" t="str">
            <v/>
          </cell>
          <cell r="BE381" t="str">
            <v/>
          </cell>
          <cell r="BF381" t="str">
            <v/>
          </cell>
          <cell r="BG381" t="str">
            <v/>
          </cell>
          <cell r="BH381" t="str">
            <v>Co-9Al-9Ta-2TaPovstugar, I. et al. Elemental partitioning and mechanical properties of Ti- and Ta-containing Co-Al-W-base superalloys studied by atom probe tomography and nanoindentation. Acta Mater. 78, 78–85 (2014).</v>
          </cell>
          <cell r="BI381" t="str">
            <v>Co-9.Al-9.W-2.Ta-0.12B</v>
          </cell>
          <cell r="BJ381" t="str">
            <v>79.9Co-9.0Al-9.0W-2.0Ta-0.12B</v>
          </cell>
        </row>
        <row r="382">
          <cell r="A382" t="str">
            <v>Co-8.1Al-8.4W</v>
          </cell>
          <cell r="B382" t="str">
            <v>CoAlW-X</v>
          </cell>
          <cell r="C382" t="str">
            <v>-8Al-8W</v>
          </cell>
          <cell r="D382" t="str">
            <v>9W</v>
          </cell>
          <cell r="E382" t="str">
            <v>Bauer, A., Neumeier, S., Pyczak, F., Singer, R. F., &amp; Göken, M. (2012). Creep properties of different γ’-strengthened Co-base superalloys. Materials Science and Engineering A, 550, 333–341. https://doi.org/10.1016/j.msea.2012.04.083</v>
          </cell>
          <cell r="F382">
            <v>400</v>
          </cell>
          <cell r="G382">
            <v>83.5</v>
          </cell>
          <cell r="H382"/>
          <cell r="I382">
            <v>8.1</v>
          </cell>
          <cell r="J382"/>
          <cell r="K382">
            <v>8.4</v>
          </cell>
          <cell r="L382"/>
          <cell r="M382"/>
          <cell r="N382"/>
          <cell r="O382"/>
          <cell r="P382"/>
          <cell r="Q382"/>
          <cell r="R382"/>
          <cell r="S382"/>
          <cell r="T382"/>
          <cell r="U382"/>
          <cell r="V382"/>
          <cell r="W382"/>
          <cell r="X382"/>
          <cell r="Y382"/>
          <cell r="Z382"/>
          <cell r="AA382"/>
          <cell r="AB382"/>
          <cell r="AC382"/>
          <cell r="AD382"/>
          <cell r="AE382"/>
          <cell r="AF382">
            <v>9.2672000000000008</v>
          </cell>
          <cell r="AG382"/>
          <cell r="AH382"/>
          <cell r="AI382" t="str">
            <v>Co</v>
          </cell>
          <cell r="AJ382" t="str">
            <v>-8.1Al</v>
          </cell>
          <cell r="AK382" t="str">
            <v>-8.4W</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cell r="BD382" t="str">
            <v/>
          </cell>
          <cell r="BE382" t="str">
            <v/>
          </cell>
          <cell r="BF382" t="str">
            <v/>
          </cell>
          <cell r="BG382" t="str">
            <v/>
          </cell>
          <cell r="BH382" t="str">
            <v>9WBauer, A., Neumeier, S., Pyczak, F., Singer, R. F., &amp; Göken, M. (2012). Creep properties of different γ’-strengthened Co-base superalloys. Materials Science and Engineering A, 550, 333–341. https://doi.org/10.1016/j.msea.2012.04.083</v>
          </cell>
          <cell r="BI382" t="str">
            <v>Co-8.1Al-8.4W</v>
          </cell>
          <cell r="BJ382" t="str">
            <v>83.5Co-8.1Al-8.4W</v>
          </cell>
        </row>
        <row r="383">
          <cell r="A383" t="str">
            <v>Co-9.Al-9.W</v>
          </cell>
          <cell r="B383" t="str">
            <v>CoAlW-X</v>
          </cell>
          <cell r="C383" t="str">
            <v>-9Al-9W</v>
          </cell>
          <cell r="D383" t="str">
            <v>9W</v>
          </cell>
          <cell r="E383" t="str">
            <v>Povstugar, I. et al. Elemental partitioning, lattice misfit and creep behaviour of Cr containing gammaprime strengthened Co base superalloys. Mater. Sci. Technol. (United Kingdom) 32, 220–225 (2016).</v>
          </cell>
          <cell r="F383">
            <v>400</v>
          </cell>
          <cell r="G383">
            <v>82</v>
          </cell>
          <cell r="H383"/>
          <cell r="I383">
            <v>9</v>
          </cell>
          <cell r="J383"/>
          <cell r="K383">
            <v>9</v>
          </cell>
          <cell r="L383"/>
          <cell r="M383"/>
          <cell r="N383"/>
          <cell r="O383"/>
          <cell r="P383"/>
          <cell r="Q383"/>
          <cell r="R383"/>
          <cell r="S383"/>
          <cell r="T383"/>
          <cell r="U383"/>
          <cell r="V383"/>
          <cell r="W383"/>
          <cell r="X383"/>
          <cell r="Y383"/>
          <cell r="Z383"/>
          <cell r="AA383"/>
          <cell r="AB383"/>
          <cell r="AC383"/>
          <cell r="AD383"/>
          <cell r="AE383"/>
          <cell r="AF383">
            <v>9.2735000000000003</v>
          </cell>
          <cell r="AG383"/>
          <cell r="AH383"/>
          <cell r="AI383" t="str">
            <v>Co</v>
          </cell>
          <cell r="AJ383" t="str">
            <v>-9.Al</v>
          </cell>
          <cell r="AK383" t="str">
            <v>-9.W</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cell r="BD383" t="str">
            <v/>
          </cell>
          <cell r="BE383" t="str">
            <v/>
          </cell>
          <cell r="BF383" t="str">
            <v/>
          </cell>
          <cell r="BG383" t="str">
            <v/>
          </cell>
          <cell r="BH383" t="str">
            <v>9WPovstugar, I. et al. Elemental partitioning, lattice misfit and creep behaviour of Cr containing gammaprime strengthened Co base superalloys. Mater. Sci. Technol. (United Kingdom) 32, 220–225 (2016).</v>
          </cell>
          <cell r="BI383" t="str">
            <v>Co-9.Al-9.W</v>
          </cell>
          <cell r="BJ383" t="str">
            <v>82.0Co-9.0Al-9.0W</v>
          </cell>
        </row>
        <row r="384">
          <cell r="A384" t="str">
            <v>Co-9.Al-4.Cr-9.W</v>
          </cell>
          <cell r="B384" t="str">
            <v>CoAlW-X</v>
          </cell>
          <cell r="C384" t="str">
            <v>-9Al-4Cr-9W</v>
          </cell>
          <cell r="D384" t="str">
            <v>4Cr</v>
          </cell>
          <cell r="E384" t="str">
            <v>Povstugar, I. et al. Elemental partitioning, lattice misfit and creep behaviour of Cr containing gammaprime strengthened Co base superalloys. Mater. Sci. Technol. (United Kingdom) 32, 220–225 (2016).</v>
          </cell>
          <cell r="F384">
            <v>401</v>
          </cell>
          <cell r="G384">
            <v>78</v>
          </cell>
          <cell r="H384"/>
          <cell r="I384">
            <v>9</v>
          </cell>
          <cell r="J384">
            <v>4</v>
          </cell>
          <cell r="K384">
            <v>9</v>
          </cell>
          <cell r="L384"/>
          <cell r="M384"/>
          <cell r="N384"/>
          <cell r="O384"/>
          <cell r="P384"/>
          <cell r="Q384"/>
          <cell r="R384"/>
          <cell r="S384"/>
          <cell r="T384"/>
          <cell r="U384"/>
          <cell r="V384"/>
          <cell r="W384"/>
          <cell r="X384"/>
          <cell r="Y384"/>
          <cell r="Z384"/>
          <cell r="AA384"/>
          <cell r="AB384"/>
          <cell r="AC384"/>
          <cell r="AD384"/>
          <cell r="AE384"/>
          <cell r="AF384">
            <v>9.2050999999999998</v>
          </cell>
          <cell r="AG384"/>
          <cell r="AH384"/>
          <cell r="AI384" t="str">
            <v>Co</v>
          </cell>
          <cell r="AJ384" t="str">
            <v>-9.Al</v>
          </cell>
          <cell r="AK384" t="str">
            <v>-9.W</v>
          </cell>
          <cell r="AL384" t="str">
            <v/>
          </cell>
          <cell r="AM384" t="str">
            <v>-4.Cr</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cell r="BD384" t="str">
            <v/>
          </cell>
          <cell r="BE384" t="str">
            <v/>
          </cell>
          <cell r="BF384" t="str">
            <v/>
          </cell>
          <cell r="BG384" t="str">
            <v/>
          </cell>
          <cell r="BH384" t="str">
            <v>4CrPovstugar, I. et al. Elemental partitioning, lattice misfit and creep behaviour of Cr containing gammaprime strengthened Co base superalloys. Mater. Sci. Technol. (United Kingdom) 32, 220–225 (2016).</v>
          </cell>
          <cell r="BI384" t="str">
            <v>Co-9.Al-4.Cr-9.W</v>
          </cell>
          <cell r="BJ384" t="str">
            <v>78.0Co-9.0Al-4.0Cr-9.0W</v>
          </cell>
        </row>
        <row r="385">
          <cell r="A385" t="str">
            <v>Co-9.Al-8.Cr-9.W</v>
          </cell>
          <cell r="B385" t="str">
            <v>CoAlW-X</v>
          </cell>
          <cell r="C385" t="str">
            <v>-9Al-8Cr-9W</v>
          </cell>
          <cell r="D385" t="str">
            <v>8Cr</v>
          </cell>
          <cell r="E385" t="str">
            <v>Povstugar, I. et al. Elemental partitioning, lattice misfit and creep behaviour of Cr containing gammaprime strengthened Co base superalloys. Mater. Sci. Technol. (United Kingdom) 32, 220–225 (2016).</v>
          </cell>
          <cell r="F385">
            <v>402</v>
          </cell>
          <cell r="G385">
            <v>74</v>
          </cell>
          <cell r="H385"/>
          <cell r="I385">
            <v>9</v>
          </cell>
          <cell r="J385">
            <v>8</v>
          </cell>
          <cell r="K385">
            <v>9</v>
          </cell>
          <cell r="L385"/>
          <cell r="M385"/>
          <cell r="N385"/>
          <cell r="O385"/>
          <cell r="P385"/>
          <cell r="Q385"/>
          <cell r="R385"/>
          <cell r="S385"/>
          <cell r="T385"/>
          <cell r="U385"/>
          <cell r="V385"/>
          <cell r="W385"/>
          <cell r="X385"/>
          <cell r="Y385"/>
          <cell r="Z385"/>
          <cell r="AA385"/>
          <cell r="AB385"/>
          <cell r="AC385"/>
          <cell r="AD385"/>
          <cell r="AE385"/>
          <cell r="AF385">
            <v>9.1366999999999994</v>
          </cell>
          <cell r="AG385"/>
          <cell r="AH385"/>
          <cell r="AI385" t="str">
            <v>Co</v>
          </cell>
          <cell r="AJ385" t="str">
            <v>-9.Al</v>
          </cell>
          <cell r="AK385" t="str">
            <v>-9.W</v>
          </cell>
          <cell r="AL385" t="str">
            <v/>
          </cell>
          <cell r="AM385" t="str">
            <v>-8.Cr</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cell r="BD385" t="str">
            <v/>
          </cell>
          <cell r="BE385" t="str">
            <v/>
          </cell>
          <cell r="BF385" t="str">
            <v/>
          </cell>
          <cell r="BG385" t="str">
            <v/>
          </cell>
          <cell r="BH385" t="str">
            <v>8CrPovstugar, I. et al. Elemental partitioning, lattice misfit and creep behaviour of Cr containing gammaprime strengthened Co base superalloys. Mater. Sci. Technol. (United Kingdom) 32, 220–225 (2016).</v>
          </cell>
          <cell r="BI385" t="str">
            <v>Co-9.Al-8.Cr-9.W</v>
          </cell>
          <cell r="BJ385" t="str">
            <v>74.0Co-9.0Al-8.0Cr-9.0W</v>
          </cell>
        </row>
        <row r="386">
          <cell r="A386" t="str">
            <v>Co-9.Ni-9.Al-9.W</v>
          </cell>
          <cell r="B386" t="str">
            <v>CoAlW-X</v>
          </cell>
          <cell r="C386" t="str">
            <v>-9Ni-9Al-9W</v>
          </cell>
          <cell r="D386" t="str">
            <v>9Ni</v>
          </cell>
          <cell r="E386" t="str">
            <v>Povstugar, I. et al. Elemental partitioning, lattice misfit and creep behaviour of Cr containing gammaprime strengthened Co base superalloys. Mater. Sci. Technol. (United Kingdom) 32, 220–225 (2016).</v>
          </cell>
          <cell r="F386">
            <v>403</v>
          </cell>
          <cell r="G386">
            <v>73</v>
          </cell>
          <cell r="H386">
            <v>9</v>
          </cell>
          <cell r="I386">
            <v>9</v>
          </cell>
          <cell r="J386"/>
          <cell r="K386">
            <v>9</v>
          </cell>
          <cell r="L386"/>
          <cell r="M386"/>
          <cell r="N386"/>
          <cell r="O386"/>
          <cell r="P386"/>
          <cell r="Q386"/>
          <cell r="R386"/>
          <cell r="S386"/>
          <cell r="T386"/>
          <cell r="U386"/>
          <cell r="V386"/>
          <cell r="W386"/>
          <cell r="X386"/>
          <cell r="Y386"/>
          <cell r="Z386"/>
          <cell r="AA386"/>
          <cell r="AB386"/>
          <cell r="AC386"/>
          <cell r="AD386"/>
          <cell r="AE386"/>
          <cell r="AF386">
            <v>9.2742199999999997</v>
          </cell>
          <cell r="AG386"/>
          <cell r="AH386"/>
          <cell r="AI386" t="str">
            <v>Co</v>
          </cell>
          <cell r="AJ386" t="str">
            <v>-9.Al</v>
          </cell>
          <cell r="AK386" t="str">
            <v>-9.W</v>
          </cell>
          <cell r="AL386" t="str">
            <v>-9.Ni</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cell r="BD386" t="str">
            <v/>
          </cell>
          <cell r="BE386" t="str">
            <v/>
          </cell>
          <cell r="BF386" t="str">
            <v/>
          </cell>
          <cell r="BG386" t="str">
            <v/>
          </cell>
          <cell r="BH386" t="str">
            <v>9NiPovstugar, I. et al. Elemental partitioning, lattice misfit and creep behaviour of Cr containing gammaprime strengthened Co base superalloys. Mater. Sci. Technol. (United Kingdom) 32, 220–225 (2016).</v>
          </cell>
          <cell r="BI386" t="str">
            <v>Co-9.Ni-9.Al-9.W</v>
          </cell>
          <cell r="BJ386" t="str">
            <v>82.0Co-9.0Ni-9.0Al-9.0W</v>
          </cell>
        </row>
        <row r="387">
          <cell r="A387" t="str">
            <v>Co-18.Ni-9.Al-9.W</v>
          </cell>
          <cell r="B387" t="str">
            <v>CoAlW-X</v>
          </cell>
          <cell r="C387" t="str">
            <v>-18Ni-9Al-9W</v>
          </cell>
          <cell r="D387" t="str">
            <v>18Ni</v>
          </cell>
          <cell r="E387" t="str">
            <v>Povstugar, I. et al. Elemental partitioning, lattice misfit and creep behaviour of Cr containing gammaprime strengthened Co base superalloys. Mater. Sci. Technol. (United Kingdom) 32, 220–225 (2016).</v>
          </cell>
          <cell r="F387">
            <v>404</v>
          </cell>
          <cell r="G387">
            <v>64</v>
          </cell>
          <cell r="H387">
            <v>18</v>
          </cell>
          <cell r="I387">
            <v>9</v>
          </cell>
          <cell r="J387"/>
          <cell r="K387">
            <v>9</v>
          </cell>
          <cell r="L387"/>
          <cell r="M387"/>
          <cell r="N387"/>
          <cell r="O387"/>
          <cell r="P387"/>
          <cell r="Q387"/>
          <cell r="R387"/>
          <cell r="S387"/>
          <cell r="T387"/>
          <cell r="U387"/>
          <cell r="V387"/>
          <cell r="W387"/>
          <cell r="X387"/>
          <cell r="Y387"/>
          <cell r="Z387"/>
          <cell r="AA387"/>
          <cell r="AB387"/>
          <cell r="AC387"/>
          <cell r="AD387"/>
          <cell r="AE387"/>
          <cell r="AF387">
            <v>9.2749399999999991</v>
          </cell>
          <cell r="AG387"/>
          <cell r="AH387"/>
          <cell r="AI387" t="str">
            <v>Co</v>
          </cell>
          <cell r="AJ387" t="str">
            <v>-9.Al</v>
          </cell>
          <cell r="AK387" t="str">
            <v>-9.W</v>
          </cell>
          <cell r="AL387" t="str">
            <v>-18.Ni</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cell r="BD387" t="str">
            <v/>
          </cell>
          <cell r="BE387" t="str">
            <v/>
          </cell>
          <cell r="BF387" t="str">
            <v/>
          </cell>
          <cell r="BG387" t="str">
            <v/>
          </cell>
          <cell r="BH387" t="str">
            <v>18NiPovstugar, I. et al. Elemental partitioning, lattice misfit and creep behaviour of Cr containing gammaprime strengthened Co base superalloys. Mater. Sci. Technol. (United Kingdom) 32, 220–225 (2016).</v>
          </cell>
          <cell r="BI387" t="str">
            <v>Co-18.Ni-9.Al-9.W</v>
          </cell>
          <cell r="BJ387" t="str">
            <v>82.0Co-18.0Ni-9.0Al-9.0W</v>
          </cell>
        </row>
        <row r="388">
          <cell r="A388" t="str">
            <v>Co-9.Ni-9.Al-8.Cr-9.W</v>
          </cell>
          <cell r="B388" t="str">
            <v>CoAlWX+</v>
          </cell>
          <cell r="C388" t="str">
            <v>-9Ni-9Al-8Cr-9W</v>
          </cell>
          <cell r="D388" t="str">
            <v>9Ni8Cr</v>
          </cell>
          <cell r="E388" t="str">
            <v>Povstugar, I. et al. Elemental partitioning, lattice misfit and creep behaviour of Cr containing gammaprime strengthened Co base superalloys. Mater. Sci. Technol. (United Kingdom) 32, 220–225 (2016).</v>
          </cell>
          <cell r="F388">
            <v>405</v>
          </cell>
          <cell r="G388">
            <v>65</v>
          </cell>
          <cell r="H388">
            <v>9</v>
          </cell>
          <cell r="I388">
            <v>9</v>
          </cell>
          <cell r="J388">
            <v>8</v>
          </cell>
          <cell r="K388">
            <v>9</v>
          </cell>
          <cell r="L388"/>
          <cell r="M388"/>
          <cell r="N388"/>
          <cell r="O388"/>
          <cell r="P388"/>
          <cell r="Q388"/>
          <cell r="R388"/>
          <cell r="S388"/>
          <cell r="T388"/>
          <cell r="U388"/>
          <cell r="V388"/>
          <cell r="W388"/>
          <cell r="X388"/>
          <cell r="Y388"/>
          <cell r="Z388"/>
          <cell r="AA388"/>
          <cell r="AB388"/>
          <cell r="AC388"/>
          <cell r="AD388"/>
          <cell r="AE388"/>
          <cell r="AF388">
            <v>9.1374199999999988</v>
          </cell>
          <cell r="AG388"/>
          <cell r="AH388"/>
          <cell r="AI388" t="str">
            <v>Co</v>
          </cell>
          <cell r="AJ388" t="str">
            <v>-9.Al</v>
          </cell>
          <cell r="AK388" t="str">
            <v>-9.W</v>
          </cell>
          <cell r="AL388" t="str">
            <v>-9.Ni</v>
          </cell>
          <cell r="AM388" t="str">
            <v>-8.Cr</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cell r="BD388" t="str">
            <v/>
          </cell>
          <cell r="BE388" t="str">
            <v/>
          </cell>
          <cell r="BF388" t="str">
            <v/>
          </cell>
          <cell r="BG388" t="str">
            <v/>
          </cell>
          <cell r="BH388" t="str">
            <v>9Ni8CrPovstugar, I. et al. Elemental partitioning, lattice misfit and creep behaviour of Cr containing gammaprime strengthened Co base superalloys. Mater. Sci. Technol. (United Kingdom) 32, 220–225 (2016).</v>
          </cell>
          <cell r="BI388" t="str">
            <v>Co-9.Ni-9.Al-8.Cr-9.W</v>
          </cell>
          <cell r="BJ388" t="str">
            <v>74.0Co-9.0Ni-9.0Al-8.0Cr-9.0W</v>
          </cell>
        </row>
        <row r="389">
          <cell r="A389" t="str">
            <v>Co-18.Ni-9.Al-8.Cr-9.W</v>
          </cell>
          <cell r="B389" t="str">
            <v>CoAlWX+</v>
          </cell>
          <cell r="C389" t="str">
            <v>-18Ni-9Al-8Cr-9W</v>
          </cell>
          <cell r="D389" t="str">
            <v>18Ni8Cr</v>
          </cell>
          <cell r="E389" t="str">
            <v>Povstugar, I. et al. Elemental partitioning, lattice misfit and creep behaviour of Cr containing gammaprime strengthened Co base superalloys. Mater. Sci. Technol. (United Kingdom) 32, 220–225 (2016).</v>
          </cell>
          <cell r="F389">
            <v>406</v>
          </cell>
          <cell r="G389">
            <v>56</v>
          </cell>
          <cell r="H389">
            <v>18</v>
          </cell>
          <cell r="I389">
            <v>9</v>
          </cell>
          <cell r="J389">
            <v>8</v>
          </cell>
          <cell r="K389">
            <v>9</v>
          </cell>
          <cell r="L389"/>
          <cell r="M389"/>
          <cell r="N389"/>
          <cell r="O389"/>
          <cell r="P389"/>
          <cell r="Q389"/>
          <cell r="R389"/>
          <cell r="S389"/>
          <cell r="T389"/>
          <cell r="U389"/>
          <cell r="V389"/>
          <cell r="W389"/>
          <cell r="X389"/>
          <cell r="Y389"/>
          <cell r="Z389"/>
          <cell r="AA389"/>
          <cell r="AB389"/>
          <cell r="AC389"/>
          <cell r="AD389"/>
          <cell r="AE389"/>
          <cell r="AF389">
            <v>9.1381399999999999</v>
          </cell>
          <cell r="AG389"/>
          <cell r="AH389"/>
          <cell r="AI389" t="str">
            <v>Co</v>
          </cell>
          <cell r="AJ389" t="str">
            <v>-9.Al</v>
          </cell>
          <cell r="AK389" t="str">
            <v>-9.W</v>
          </cell>
          <cell r="AL389" t="str">
            <v>-18.Ni</v>
          </cell>
          <cell r="AM389" t="str">
            <v>-8.Cr</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cell r="BD389" t="str">
            <v/>
          </cell>
          <cell r="BE389" t="str">
            <v/>
          </cell>
          <cell r="BF389" t="str">
            <v/>
          </cell>
          <cell r="BG389" t="str">
            <v/>
          </cell>
          <cell r="BH389" t="str">
            <v>18Ni8CrPovstugar, I. et al. Elemental partitioning, lattice misfit and creep behaviour of Cr containing gammaprime strengthened Co base superalloys. Mater. Sci. Technol. (United Kingdom) 32, 220–225 (2016).</v>
          </cell>
          <cell r="BI389" t="str">
            <v>Co-18.Ni-9.Al-8.Cr-9.W</v>
          </cell>
          <cell r="BJ389" t="str">
            <v>74.0Co-18.0Ni-9.0Al-8.0Cr-9.0W</v>
          </cell>
        </row>
        <row r="390">
          <cell r="A390" t="str">
            <v>Co-8.3Al-9.4W-0.1B</v>
          </cell>
          <cell r="B390" t="str">
            <v>CoAlW-X</v>
          </cell>
          <cell r="C390" t="str">
            <v>-8Al-9W-B</v>
          </cell>
          <cell r="D390" t="str">
            <v>Co-9Al-9W-0.1B</v>
          </cell>
          <cell r="E390" t="str">
            <v>Pyczak, F. et al. Plastic deformation mechanisms in a crept L12 hardened Co-base superalloy. Mater. Sci. Eng. A 571, 13–18 (2013).</v>
          </cell>
          <cell r="F390">
            <v>407</v>
          </cell>
          <cell r="G390">
            <v>82.199999999999989</v>
          </cell>
          <cell r="H390"/>
          <cell r="I390">
            <v>8.3000000000000007</v>
          </cell>
          <cell r="J390"/>
          <cell r="K390">
            <v>9.4</v>
          </cell>
          <cell r="L390"/>
          <cell r="M390"/>
          <cell r="N390"/>
          <cell r="O390"/>
          <cell r="P390"/>
          <cell r="Q390"/>
          <cell r="R390"/>
          <cell r="S390">
            <v>0.1</v>
          </cell>
          <cell r="T390"/>
          <cell r="U390"/>
          <cell r="V390"/>
          <cell r="W390"/>
          <cell r="X390"/>
          <cell r="Y390"/>
          <cell r="Z390"/>
          <cell r="AA390"/>
          <cell r="AB390"/>
          <cell r="AC390"/>
          <cell r="AD390"/>
          <cell r="AE390"/>
          <cell r="AF390">
            <v>9.3518599999999985</v>
          </cell>
          <cell r="AG390"/>
          <cell r="AH390"/>
          <cell r="AI390" t="str">
            <v>Co</v>
          </cell>
          <cell r="AJ390" t="str">
            <v>-8.3Al</v>
          </cell>
          <cell r="AK390" t="str">
            <v>-9.4W</v>
          </cell>
          <cell r="AL390" t="str">
            <v/>
          </cell>
          <cell r="AM390" t="str">
            <v/>
          </cell>
          <cell r="AN390" t="str">
            <v/>
          </cell>
          <cell r="AO390" t="str">
            <v/>
          </cell>
          <cell r="AP390" t="str">
            <v/>
          </cell>
          <cell r="AQ390" t="str">
            <v/>
          </cell>
          <cell r="AR390" t="str">
            <v/>
          </cell>
          <cell r="AS390" t="str">
            <v/>
          </cell>
          <cell r="AT390" t="str">
            <v/>
          </cell>
          <cell r="AU390" t="str">
            <v>-0.1B</v>
          </cell>
          <cell r="AV390" t="str">
            <v/>
          </cell>
          <cell r="AW390" t="str">
            <v/>
          </cell>
          <cell r="AX390" t="str">
            <v/>
          </cell>
          <cell r="AY390" t="str">
            <v/>
          </cell>
          <cell r="AZ390" t="str">
            <v/>
          </cell>
          <cell r="BA390" t="str">
            <v/>
          </cell>
          <cell r="BB390" t="str">
            <v/>
          </cell>
          <cell r="BC390" t="str">
            <v/>
          </cell>
          <cell r="BD390" t="str">
            <v/>
          </cell>
          <cell r="BE390" t="str">
            <v/>
          </cell>
          <cell r="BF390" t="str">
            <v/>
          </cell>
          <cell r="BG390" t="str">
            <v/>
          </cell>
          <cell r="BH390" t="str">
            <v>Co-9Al-9W-0.1BPyczak, F. et al. Plastic deformation mechanisms in a crept L12 hardened Co-base superalloy. Mater. Sci. Eng. A 571, 13–18 (2013).</v>
          </cell>
          <cell r="BI390" t="str">
            <v>Co-8.3Al-9.4W-0.1B</v>
          </cell>
          <cell r="BJ390" t="str">
            <v>82.2Co-8.3Al-9.4W-0.10B</v>
          </cell>
        </row>
        <row r="391">
          <cell r="A391" t="str">
            <v>Co-8.5Al-7.4W-0.1B</v>
          </cell>
          <cell r="B391" t="str">
            <v>CoAlW-X</v>
          </cell>
          <cell r="C391" t="str">
            <v>-9Al-7W-B</v>
          </cell>
          <cell r="D391" t="str">
            <v>Co-9Al-8W-0.1B</v>
          </cell>
          <cell r="E391" t="str">
            <v>Pyczak, F. et al. The effect of tungsten content on the properties of L12-hardened Co-Al-W alloys. J. Alloys Compd. 632, 110–115 (2015).</v>
          </cell>
          <cell r="F391">
            <v>408</v>
          </cell>
          <cell r="G391">
            <v>84</v>
          </cell>
          <cell r="H391"/>
          <cell r="I391">
            <v>8.5</v>
          </cell>
          <cell r="J391"/>
          <cell r="K391">
            <v>7.4</v>
          </cell>
          <cell r="L391"/>
          <cell r="M391"/>
          <cell r="N391"/>
          <cell r="O391"/>
          <cell r="P391"/>
          <cell r="Q391"/>
          <cell r="R391"/>
          <cell r="S391">
            <v>0.1</v>
          </cell>
          <cell r="T391"/>
          <cell r="U391"/>
          <cell r="V391"/>
          <cell r="W391"/>
          <cell r="X391"/>
          <cell r="Y391"/>
          <cell r="Z391"/>
          <cell r="AA391"/>
          <cell r="AB391"/>
          <cell r="AC391"/>
          <cell r="AD391"/>
          <cell r="AE391"/>
          <cell r="AF391">
            <v>9.1324600000000018</v>
          </cell>
          <cell r="AG391"/>
          <cell r="AH391"/>
          <cell r="AI391" t="str">
            <v>Co</v>
          </cell>
          <cell r="AJ391" t="str">
            <v>-8.5Al</v>
          </cell>
          <cell r="AK391" t="str">
            <v>-7.4W</v>
          </cell>
          <cell r="AL391" t="str">
            <v/>
          </cell>
          <cell r="AM391" t="str">
            <v/>
          </cell>
          <cell r="AN391" t="str">
            <v/>
          </cell>
          <cell r="AO391" t="str">
            <v/>
          </cell>
          <cell r="AP391" t="str">
            <v/>
          </cell>
          <cell r="AQ391" t="str">
            <v/>
          </cell>
          <cell r="AR391" t="str">
            <v/>
          </cell>
          <cell r="AS391" t="str">
            <v/>
          </cell>
          <cell r="AT391" t="str">
            <v/>
          </cell>
          <cell r="AU391" t="str">
            <v>-0.1B</v>
          </cell>
          <cell r="AV391" t="str">
            <v/>
          </cell>
          <cell r="AW391" t="str">
            <v/>
          </cell>
          <cell r="AX391" t="str">
            <v/>
          </cell>
          <cell r="AY391" t="str">
            <v/>
          </cell>
          <cell r="AZ391" t="str">
            <v/>
          </cell>
          <cell r="BA391" t="str">
            <v/>
          </cell>
          <cell r="BB391" t="str">
            <v/>
          </cell>
          <cell r="BC391" t="str">
            <v/>
          </cell>
          <cell r="BD391" t="str">
            <v/>
          </cell>
          <cell r="BE391" t="str">
            <v/>
          </cell>
          <cell r="BF391" t="str">
            <v/>
          </cell>
          <cell r="BG391" t="str">
            <v/>
          </cell>
          <cell r="BH391" t="str">
            <v>Co-9Al-8W-0.1BPyczak, F. et al. The effect of tungsten content on the properties of L12-hardened Co-Al-W alloys. J. Alloys Compd. 632, 110–115 (2015).</v>
          </cell>
          <cell r="BI391" t="str">
            <v>Co-8.5Al-7.4W-0.1B</v>
          </cell>
          <cell r="BJ391" t="str">
            <v>84.0Co-8.5Al-7.4W-0.10B</v>
          </cell>
        </row>
        <row r="392">
          <cell r="A392" t="str">
            <v>Co-8.5Al-8.7W-0.1B</v>
          </cell>
          <cell r="B392" t="str">
            <v>CoAlW-X</v>
          </cell>
          <cell r="C392" t="str">
            <v>-9Al-9W-B</v>
          </cell>
          <cell r="D392" t="str">
            <v>Co-9Al-9W-0.1B</v>
          </cell>
          <cell r="E392" t="str">
            <v>Pyczak, F. et al. The effect of tungsten content on the properties of L12-hardened Co-Al-W alloys. J. Alloys Compd. 632, 110–115 (2015).</v>
          </cell>
          <cell r="F392">
            <v>409</v>
          </cell>
          <cell r="G392">
            <v>82.7</v>
          </cell>
          <cell r="H392"/>
          <cell r="I392">
            <v>8.5</v>
          </cell>
          <cell r="J392"/>
          <cell r="K392">
            <v>8.6999999999999993</v>
          </cell>
          <cell r="L392"/>
          <cell r="M392"/>
          <cell r="N392"/>
          <cell r="O392"/>
          <cell r="P392"/>
          <cell r="Q392"/>
          <cell r="R392"/>
          <cell r="S392">
            <v>0.1</v>
          </cell>
          <cell r="T392"/>
          <cell r="U392"/>
          <cell r="V392"/>
          <cell r="W392"/>
          <cell r="X392"/>
          <cell r="Y392"/>
          <cell r="Z392"/>
          <cell r="AA392"/>
          <cell r="AB392"/>
          <cell r="AC392"/>
          <cell r="AD392"/>
          <cell r="AE392"/>
          <cell r="AF392">
            <v>9.2670100000000009</v>
          </cell>
          <cell r="AG392"/>
          <cell r="AH392"/>
          <cell r="AI392" t="str">
            <v>Co</v>
          </cell>
          <cell r="AJ392" t="str">
            <v>-8.5Al</v>
          </cell>
          <cell r="AK392" t="str">
            <v>-8.7W</v>
          </cell>
          <cell r="AL392" t="str">
            <v/>
          </cell>
          <cell r="AM392" t="str">
            <v/>
          </cell>
          <cell r="AN392" t="str">
            <v/>
          </cell>
          <cell r="AO392" t="str">
            <v/>
          </cell>
          <cell r="AP392" t="str">
            <v/>
          </cell>
          <cell r="AQ392" t="str">
            <v/>
          </cell>
          <cell r="AR392" t="str">
            <v/>
          </cell>
          <cell r="AS392" t="str">
            <v/>
          </cell>
          <cell r="AT392" t="str">
            <v/>
          </cell>
          <cell r="AU392" t="str">
            <v>-0.1B</v>
          </cell>
          <cell r="AV392" t="str">
            <v/>
          </cell>
          <cell r="AW392" t="str">
            <v/>
          </cell>
          <cell r="AX392" t="str">
            <v/>
          </cell>
          <cell r="AY392" t="str">
            <v/>
          </cell>
          <cell r="AZ392" t="str">
            <v/>
          </cell>
          <cell r="BA392" t="str">
            <v/>
          </cell>
          <cell r="BB392" t="str">
            <v/>
          </cell>
          <cell r="BC392" t="str">
            <v/>
          </cell>
          <cell r="BD392" t="str">
            <v/>
          </cell>
          <cell r="BE392" t="str">
            <v/>
          </cell>
          <cell r="BF392" t="str">
            <v/>
          </cell>
          <cell r="BG392" t="str">
            <v/>
          </cell>
          <cell r="BH392" t="str">
            <v>Co-9Al-9W-0.1BPyczak, F. et al. The effect of tungsten content on the properties of L12-hardened Co-Al-W alloys. J. Alloys Compd. 632, 110–115 (2015).</v>
          </cell>
          <cell r="BI392" t="str">
            <v>Co-8.5Al-8.7W-0.1B</v>
          </cell>
          <cell r="BJ392" t="str">
            <v>82.7Co-8.5Al-8.7W-0.10B</v>
          </cell>
        </row>
        <row r="393">
          <cell r="A393" t="str">
            <v>Co-8.9Al-10.3W-0.1B</v>
          </cell>
          <cell r="B393" t="str">
            <v>CoAlW-X</v>
          </cell>
          <cell r="C393" t="str">
            <v>-9Al-10W-B</v>
          </cell>
          <cell r="D393" t="str">
            <v>Co-9Al-11W-0.1B</v>
          </cell>
          <cell r="E393" t="str">
            <v>Pyczak, F. et al. The effect of tungsten content on the properties of L12-hardened Co-Al-W alloys. J. Alloys Compd. 632, 110–115 (2015).</v>
          </cell>
          <cell r="F393">
            <v>410</v>
          </cell>
          <cell r="G393">
            <v>80.699999999999989</v>
          </cell>
          <cell r="H393"/>
          <cell r="I393">
            <v>8.9</v>
          </cell>
          <cell r="J393"/>
          <cell r="K393">
            <v>10.3</v>
          </cell>
          <cell r="L393"/>
          <cell r="M393"/>
          <cell r="N393"/>
          <cell r="O393"/>
          <cell r="P393"/>
          <cell r="Q393"/>
          <cell r="R393"/>
          <cell r="S393">
            <v>0.1</v>
          </cell>
          <cell r="T393"/>
          <cell r="U393"/>
          <cell r="V393"/>
          <cell r="W393"/>
          <cell r="X393"/>
          <cell r="Y393"/>
          <cell r="Z393"/>
          <cell r="AA393"/>
          <cell r="AB393"/>
          <cell r="AC393"/>
          <cell r="AD393"/>
          <cell r="AE393"/>
          <cell r="AF393">
            <v>9.4078099999999978</v>
          </cell>
          <cell r="AG393"/>
          <cell r="AH393"/>
          <cell r="AI393" t="str">
            <v>Co</v>
          </cell>
          <cell r="AJ393" t="str">
            <v>-8.9Al</v>
          </cell>
          <cell r="AK393" t="str">
            <v>-10.3W</v>
          </cell>
          <cell r="AL393" t="str">
            <v/>
          </cell>
          <cell r="AM393" t="str">
            <v/>
          </cell>
          <cell r="AN393" t="str">
            <v/>
          </cell>
          <cell r="AO393" t="str">
            <v/>
          </cell>
          <cell r="AP393" t="str">
            <v/>
          </cell>
          <cell r="AQ393" t="str">
            <v/>
          </cell>
          <cell r="AR393" t="str">
            <v/>
          </cell>
          <cell r="AS393" t="str">
            <v/>
          </cell>
          <cell r="AT393" t="str">
            <v/>
          </cell>
          <cell r="AU393" t="str">
            <v>-0.1B</v>
          </cell>
          <cell r="AV393" t="str">
            <v/>
          </cell>
          <cell r="AW393" t="str">
            <v/>
          </cell>
          <cell r="AX393" t="str">
            <v/>
          </cell>
          <cell r="AY393" t="str">
            <v/>
          </cell>
          <cell r="AZ393" t="str">
            <v/>
          </cell>
          <cell r="BA393" t="str">
            <v/>
          </cell>
          <cell r="BB393" t="str">
            <v/>
          </cell>
          <cell r="BC393" t="str">
            <v/>
          </cell>
          <cell r="BD393" t="str">
            <v/>
          </cell>
          <cell r="BE393" t="str">
            <v/>
          </cell>
          <cell r="BF393" t="str">
            <v/>
          </cell>
          <cell r="BG393" t="str">
            <v/>
          </cell>
          <cell r="BH393" t="str">
            <v>Co-9Al-11W-0.1BPyczak, F. et al. The effect of tungsten content on the properties of L12-hardened Co-Al-W alloys. J. Alloys Compd. 632, 110–115 (2015).</v>
          </cell>
          <cell r="BI393" t="str">
            <v>Co-8.9Al-10.3W-0.1B</v>
          </cell>
          <cell r="BJ393" t="str">
            <v>80.7Co-8.9Al-10.3W-0.10B</v>
          </cell>
        </row>
        <row r="394">
          <cell r="A394" t="str">
            <v>Co-2.Ti-2.Ta-12.V</v>
          </cell>
          <cell r="B394" t="str">
            <v>W-free</v>
          </cell>
          <cell r="C394" t="str">
            <v>-2Ti-2Ta-12V</v>
          </cell>
          <cell r="D394" t="str">
            <v>Co-V-Ta-Ti alloy</v>
          </cell>
          <cell r="E394" t="str">
            <v>Qu, S. et al. Coarsening behavior of γʹ precipitates and compression deformation mechanism of a novel Co–V–Ta–Ti superalloy. Mater. Sci. Eng. A 139455 (2020) doi:10.1016/j.msea.2020.139455.</v>
          </cell>
          <cell r="F394">
            <v>411</v>
          </cell>
          <cell r="G394">
            <v>84</v>
          </cell>
          <cell r="H394"/>
          <cell r="I394"/>
          <cell r="J394"/>
          <cell r="K394"/>
          <cell r="L394">
            <v>2</v>
          </cell>
          <cell r="M394">
            <v>2</v>
          </cell>
          <cell r="N394"/>
          <cell r="O394">
            <v>12</v>
          </cell>
          <cell r="P394"/>
          <cell r="Q394"/>
          <cell r="R394"/>
          <cell r="S394"/>
          <cell r="T394"/>
          <cell r="U394"/>
          <cell r="V394"/>
          <cell r="W394"/>
          <cell r="X394"/>
          <cell r="Y394"/>
          <cell r="Z394"/>
          <cell r="AA394"/>
          <cell r="AB394"/>
          <cell r="AC394"/>
          <cell r="AD394"/>
          <cell r="AE394"/>
          <cell r="AF394">
            <v>8.632340000000001</v>
          </cell>
          <cell r="AG394"/>
          <cell r="AH394"/>
          <cell r="AI394" t="str">
            <v>Co</v>
          </cell>
          <cell r="AJ394" t="str">
            <v/>
          </cell>
          <cell r="AK394" t="str">
            <v/>
          </cell>
          <cell r="AL394" t="str">
            <v/>
          </cell>
          <cell r="AM394" t="str">
            <v/>
          </cell>
          <cell r="AN394" t="str">
            <v>-2.Ta</v>
          </cell>
          <cell r="AO394" t="str">
            <v/>
          </cell>
          <cell r="AP394" t="str">
            <v>-12.V</v>
          </cell>
          <cell r="AQ394" t="str">
            <v>-2.Ti</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cell r="BD394" t="str">
            <v/>
          </cell>
          <cell r="BE394" t="str">
            <v/>
          </cell>
          <cell r="BF394" t="str">
            <v/>
          </cell>
          <cell r="BG394" t="str">
            <v/>
          </cell>
          <cell r="BH394" t="str">
            <v>Co-V-Ta-Ti alloyQu, S. et al. Coarsening behavior of γʹ precipitates and compression deformation mechanism of a novel Co–V–Ta–Ti superalloy. Mater. Sci. Eng. A 139455 (2020) doi:10.1016/j.msea.2020.139455.</v>
          </cell>
          <cell r="BI394" t="str">
            <v>Co-2.Ti-2.Ta-12.V</v>
          </cell>
          <cell r="BJ394" t="str">
            <v>84.0Co-2.0Ti-2.0Ta-12.0V</v>
          </cell>
        </row>
        <row r="395">
          <cell r="A395" t="str">
            <v>Co-30.8Ni-9.2Al-5.1W-4.1Ti-1.Ta</v>
          </cell>
          <cell r="B395" t="str">
            <v>Co3Ti</v>
          </cell>
          <cell r="C395" t="str">
            <v>-31Ni-9Al-5W-4Ti-1Ta</v>
          </cell>
          <cell r="D395" t="str">
            <v>Co-30Ni</v>
          </cell>
          <cell r="E395" t="str">
            <v>Qu, S. et al. Microstructural evolution and compression property of a novel γʹ-strengthened directionally solidified CoNi-base superalloy. Mater. Sci. Eng. A 761, (2019).</v>
          </cell>
          <cell r="F395">
            <v>412</v>
          </cell>
          <cell r="G395">
            <v>49.82</v>
          </cell>
          <cell r="H395">
            <v>30.83</v>
          </cell>
          <cell r="I395">
            <v>9.16</v>
          </cell>
          <cell r="J395"/>
          <cell r="K395">
            <v>5.09</v>
          </cell>
          <cell r="L395">
            <v>4.0999999999999996</v>
          </cell>
          <cell r="M395">
            <v>1</v>
          </cell>
          <cell r="N395"/>
          <cell r="O395"/>
          <cell r="P395"/>
          <cell r="Q395"/>
          <cell r="R395"/>
          <cell r="S395"/>
          <cell r="T395"/>
          <cell r="U395"/>
          <cell r="V395"/>
          <cell r="W395"/>
          <cell r="X395"/>
          <cell r="Y395"/>
          <cell r="Z395"/>
          <cell r="AA395"/>
          <cell r="AB395"/>
          <cell r="AC395"/>
          <cell r="AD395"/>
          <cell r="AE395"/>
          <cell r="AF395">
            <v>8.7587484</v>
          </cell>
          <cell r="AG395">
            <v>9.0299999999999994</v>
          </cell>
          <cell r="AH395" t="str">
            <v>single crystal</v>
          </cell>
          <cell r="AI395" t="str">
            <v>Co</v>
          </cell>
          <cell r="AJ395" t="str">
            <v>-9.2Al</v>
          </cell>
          <cell r="AK395" t="str">
            <v>-5.1W</v>
          </cell>
          <cell r="AL395" t="str">
            <v>-30.8Ni</v>
          </cell>
          <cell r="AM395" t="str">
            <v/>
          </cell>
          <cell r="AN395" t="str">
            <v>-1.Ta</v>
          </cell>
          <cell r="AO395" t="str">
            <v/>
          </cell>
          <cell r="AP395" t="str">
            <v/>
          </cell>
          <cell r="AQ395" t="str">
            <v>-4.1Ti</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cell r="BD395" t="str">
            <v/>
          </cell>
          <cell r="BE395" t="str">
            <v/>
          </cell>
          <cell r="BF395" t="str">
            <v/>
          </cell>
          <cell r="BG395" t="str">
            <v/>
          </cell>
          <cell r="BH395" t="str">
            <v>Co-30NiQu, S. et al. Microstructural evolution and compression property of a novel γʹ-strengthened directionally solidified CoNi-base superalloy. Mater. Sci. Eng. A 761, (2019).</v>
          </cell>
          <cell r="BI395" t="str">
            <v>Co-30.8Ni-9.2Al-5.1W-4.1Ti-1.Ta</v>
          </cell>
          <cell r="BJ395" t="str">
            <v>80.7Co-30.8Ni-9.2Al-5.1W-4.1Ti-1.0Ta</v>
          </cell>
        </row>
        <row r="396">
          <cell r="A396" t="str">
            <v>Co-10.Ni-5.Al-6.Ti-3.Nb-3.V-0.04B</v>
          </cell>
          <cell r="B396" t="str">
            <v>Co3Ti</v>
          </cell>
          <cell r="C396" t="str">
            <v>-10Ni-5Al-6Ti-3Nb-3V-B</v>
          </cell>
          <cell r="D396" t="str">
            <v>Co-10Ni-6Ti-5Al-3V-3Nb-0.04B</v>
          </cell>
          <cell r="E396" t="str">
            <v>Reyes Tirado, F. L. Tungsten-free Cobalt-based Superalloys with Gamma Prime Precipitates. (2019).</v>
          </cell>
          <cell r="F396">
            <v>413</v>
          </cell>
          <cell r="G396">
            <v>72.960000000000008</v>
          </cell>
          <cell r="H396">
            <v>10</v>
          </cell>
          <cell r="I396">
            <v>5</v>
          </cell>
          <cell r="J396"/>
          <cell r="K396"/>
          <cell r="L396">
            <v>6</v>
          </cell>
          <cell r="M396"/>
          <cell r="N396">
            <v>3</v>
          </cell>
          <cell r="O396">
            <v>3</v>
          </cell>
          <cell r="P396"/>
          <cell r="Q396"/>
          <cell r="R396"/>
          <cell r="S396">
            <v>0.04</v>
          </cell>
          <cell r="T396"/>
          <cell r="U396"/>
          <cell r="V396"/>
          <cell r="W396"/>
          <cell r="X396"/>
          <cell r="Y396"/>
          <cell r="Z396"/>
          <cell r="AA396"/>
          <cell r="AB396"/>
          <cell r="AC396"/>
          <cell r="AD396"/>
          <cell r="AE396"/>
          <cell r="AF396">
            <v>8.2310440000000025</v>
          </cell>
          <cell r="AG396"/>
          <cell r="AH396"/>
          <cell r="AI396" t="str">
            <v>Co</v>
          </cell>
          <cell r="AJ396" t="str">
            <v>-5.Al</v>
          </cell>
          <cell r="AK396" t="str">
            <v/>
          </cell>
          <cell r="AL396" t="str">
            <v>-10.Ni</v>
          </cell>
          <cell r="AM396" t="str">
            <v/>
          </cell>
          <cell r="AN396" t="str">
            <v/>
          </cell>
          <cell r="AO396" t="str">
            <v>-3.Nb</v>
          </cell>
          <cell r="AP396" t="str">
            <v>-3.V</v>
          </cell>
          <cell r="AQ396" t="str">
            <v>-6.Ti</v>
          </cell>
          <cell r="AR396" t="str">
            <v/>
          </cell>
          <cell r="AS396" t="str">
            <v/>
          </cell>
          <cell r="AT396" t="str">
            <v/>
          </cell>
          <cell r="AU396" t="str">
            <v>-0.04B</v>
          </cell>
          <cell r="AV396" t="str">
            <v/>
          </cell>
          <cell r="AW396" t="str">
            <v/>
          </cell>
          <cell r="AX396" t="str">
            <v/>
          </cell>
          <cell r="AY396" t="str">
            <v/>
          </cell>
          <cell r="AZ396" t="str">
            <v/>
          </cell>
          <cell r="BA396" t="str">
            <v/>
          </cell>
          <cell r="BB396" t="str">
            <v/>
          </cell>
          <cell r="BC396" t="str">
            <v/>
          </cell>
          <cell r="BD396" t="str">
            <v/>
          </cell>
          <cell r="BE396" t="str">
            <v/>
          </cell>
          <cell r="BF396" t="str">
            <v/>
          </cell>
          <cell r="BG396" t="str">
            <v/>
          </cell>
          <cell r="BH396" t="str">
            <v>Co-10Ni-6Ti-5Al-3V-3Nb-0.04BReyes Tirado, F. L. Tungsten-free Cobalt-based Superalloys with Gamma Prime Precipitates. (2019).</v>
          </cell>
          <cell r="BI396" t="str">
            <v>Co-10.Ni-5.Al-6.Ti-3.Nb-3.V-0.04B</v>
          </cell>
          <cell r="BJ396" t="str">
            <v>83.0Co-10.0Ni-5.0Al-6.0Ti-3.0Nb-3.0V-0.04B</v>
          </cell>
        </row>
        <row r="397">
          <cell r="A397" t="str">
            <v>Co-10.Ni-5.Al-4.Cr-6.Ti-3.Nb-3.V-0.04B</v>
          </cell>
          <cell r="B397" t="str">
            <v>Co3Ti</v>
          </cell>
          <cell r="C397" t="str">
            <v>-10Ni-5Al-4Cr-6Ti-3Nb-3V-B</v>
          </cell>
          <cell r="D397" t="str">
            <v>Co-10Ni-6Ti-5Al-4Cr-3V-3Nb-0.04B</v>
          </cell>
          <cell r="E397" t="str">
            <v>Reyes Tirado, F. L. Tungsten-free Cobalt-based Superalloys with Gamma Prime Precipitates. (2019).</v>
          </cell>
          <cell r="F397">
            <v>414</v>
          </cell>
          <cell r="G397">
            <v>68.960000000000008</v>
          </cell>
          <cell r="H397">
            <v>10</v>
          </cell>
          <cell r="I397">
            <v>5</v>
          </cell>
          <cell r="J397">
            <v>4</v>
          </cell>
          <cell r="K397"/>
          <cell r="L397">
            <v>6</v>
          </cell>
          <cell r="M397"/>
          <cell r="N397">
            <v>3</v>
          </cell>
          <cell r="O397">
            <v>3</v>
          </cell>
          <cell r="P397"/>
          <cell r="Q397"/>
          <cell r="R397"/>
          <cell r="S397">
            <v>0.04</v>
          </cell>
          <cell r="T397"/>
          <cell r="U397"/>
          <cell r="V397"/>
          <cell r="W397"/>
          <cell r="X397"/>
          <cell r="Y397"/>
          <cell r="Z397"/>
          <cell r="AA397"/>
          <cell r="AB397"/>
          <cell r="AC397"/>
          <cell r="AD397"/>
          <cell r="AE397"/>
          <cell r="AF397">
            <v>8.162644000000002</v>
          </cell>
          <cell r="AG397"/>
          <cell r="AH397"/>
          <cell r="AI397" t="str">
            <v>Co</v>
          </cell>
          <cell r="AJ397" t="str">
            <v>-5.Al</v>
          </cell>
          <cell r="AK397" t="str">
            <v/>
          </cell>
          <cell r="AL397" t="str">
            <v>-10.Ni</v>
          </cell>
          <cell r="AM397" t="str">
            <v>-4.Cr</v>
          </cell>
          <cell r="AN397" t="str">
            <v/>
          </cell>
          <cell r="AO397" t="str">
            <v>-3.Nb</v>
          </cell>
          <cell r="AP397" t="str">
            <v>-3.V</v>
          </cell>
          <cell r="AQ397" t="str">
            <v>-6.Ti</v>
          </cell>
          <cell r="AR397" t="str">
            <v/>
          </cell>
          <cell r="AS397" t="str">
            <v/>
          </cell>
          <cell r="AT397" t="str">
            <v/>
          </cell>
          <cell r="AU397" t="str">
            <v>-0.04B</v>
          </cell>
          <cell r="AV397" t="str">
            <v/>
          </cell>
          <cell r="AW397" t="str">
            <v/>
          </cell>
          <cell r="AX397" t="str">
            <v/>
          </cell>
          <cell r="AY397" t="str">
            <v/>
          </cell>
          <cell r="AZ397" t="str">
            <v/>
          </cell>
          <cell r="BA397" t="str">
            <v/>
          </cell>
          <cell r="BB397" t="str">
            <v/>
          </cell>
          <cell r="BC397" t="str">
            <v/>
          </cell>
          <cell r="BD397" t="str">
            <v/>
          </cell>
          <cell r="BE397" t="str">
            <v/>
          </cell>
          <cell r="BF397" t="str">
            <v/>
          </cell>
          <cell r="BG397" t="str">
            <v/>
          </cell>
          <cell r="BH397" t="str">
            <v>Co-10Ni-6Ti-5Al-4Cr-3V-3Nb-0.04BReyes Tirado, F. L. Tungsten-free Cobalt-based Superalloys with Gamma Prime Precipitates. (2019).</v>
          </cell>
          <cell r="BI397" t="str">
            <v>Co-10.Ni-5.Al-4.Cr-6.Ti-3.Nb-3.V-0.04B</v>
          </cell>
          <cell r="BJ397" t="str">
            <v>79.0Co-10.0Ni-5.0Al-4.0Cr-6.0Ti-3.0Nb-3.0V-0.04B</v>
          </cell>
        </row>
        <row r="398">
          <cell r="A398" t="str">
            <v>Co-10.Ni-5.Al-8.Cr-2.Ti-3.Nb-3.V-0.04B</v>
          </cell>
          <cell r="B398" t="str">
            <v>W-free</v>
          </cell>
          <cell r="C398" t="str">
            <v>-10Ni-5Al-8Cr-2Ti-3Nb-3V-B</v>
          </cell>
          <cell r="D398" t="str">
            <v>Co-10Ni-8Cr-5Al-3Nb-3V-2Ti-0.04B</v>
          </cell>
          <cell r="E398" t="str">
            <v>Reyes Tirado, F. L. Tungsten-free Cobalt-based Superalloys with Gamma Prime Precipitates. (2019).</v>
          </cell>
          <cell r="F398">
            <v>415</v>
          </cell>
          <cell r="G398">
            <v>68.960000000000008</v>
          </cell>
          <cell r="H398">
            <v>10</v>
          </cell>
          <cell r="I398">
            <v>5</v>
          </cell>
          <cell r="J398">
            <v>8</v>
          </cell>
          <cell r="K398"/>
          <cell r="L398">
            <v>2</v>
          </cell>
          <cell r="M398"/>
          <cell r="N398">
            <v>3</v>
          </cell>
          <cell r="O398">
            <v>3</v>
          </cell>
          <cell r="P398"/>
          <cell r="Q398"/>
          <cell r="R398"/>
          <cell r="S398">
            <v>0.04</v>
          </cell>
          <cell r="T398"/>
          <cell r="U398"/>
          <cell r="V398"/>
          <cell r="W398"/>
          <cell r="X398"/>
          <cell r="Y398"/>
          <cell r="Z398"/>
          <cell r="AA398"/>
          <cell r="AB398"/>
          <cell r="AC398"/>
          <cell r="AD398"/>
          <cell r="AE398"/>
          <cell r="AF398">
            <v>8.2699640000000016</v>
          </cell>
          <cell r="AG398"/>
          <cell r="AH398"/>
          <cell r="AI398" t="str">
            <v>Co</v>
          </cell>
          <cell r="AJ398" t="str">
            <v>-5.Al</v>
          </cell>
          <cell r="AK398" t="str">
            <v/>
          </cell>
          <cell r="AL398" t="str">
            <v>-10.Ni</v>
          </cell>
          <cell r="AM398" t="str">
            <v>-8.Cr</v>
          </cell>
          <cell r="AN398" t="str">
            <v/>
          </cell>
          <cell r="AO398" t="str">
            <v>-3.Nb</v>
          </cell>
          <cell r="AP398" t="str">
            <v>-3.V</v>
          </cell>
          <cell r="AQ398" t="str">
            <v>-2.Ti</v>
          </cell>
          <cell r="AR398" t="str">
            <v/>
          </cell>
          <cell r="AS398" t="str">
            <v/>
          </cell>
          <cell r="AT398" t="str">
            <v/>
          </cell>
          <cell r="AU398" t="str">
            <v>-0.04B</v>
          </cell>
          <cell r="AV398" t="str">
            <v/>
          </cell>
          <cell r="AW398" t="str">
            <v/>
          </cell>
          <cell r="AX398" t="str">
            <v/>
          </cell>
          <cell r="AY398" t="str">
            <v/>
          </cell>
          <cell r="AZ398" t="str">
            <v/>
          </cell>
          <cell r="BA398" t="str">
            <v/>
          </cell>
          <cell r="BB398" t="str">
            <v/>
          </cell>
          <cell r="BC398" t="str">
            <v/>
          </cell>
          <cell r="BD398" t="str">
            <v/>
          </cell>
          <cell r="BE398" t="str">
            <v/>
          </cell>
          <cell r="BF398" t="str">
            <v/>
          </cell>
          <cell r="BG398" t="str">
            <v/>
          </cell>
          <cell r="BH398" t="str">
            <v>Co-10Ni-8Cr-5Al-3Nb-3V-2Ti-0.04BReyes Tirado, F. L. Tungsten-free Cobalt-based Superalloys with Gamma Prime Precipitates. (2019).</v>
          </cell>
          <cell r="BI398" t="str">
            <v>Co-10.Ni-5.Al-8.Cr-2.Ti-3.Nb-3.V-0.04B</v>
          </cell>
          <cell r="BJ398" t="str">
            <v>79.0Co-10.0Ni-5.0Al-8.0Cr-2.0Ti-3.0Nb-3.0V-0.04B</v>
          </cell>
        </row>
        <row r="399">
          <cell r="A399" t="str">
            <v>Co-6.Ta-6.V</v>
          </cell>
          <cell r="B399" t="str">
            <v>W-free</v>
          </cell>
          <cell r="C399" t="str">
            <v>-6Ta-6V</v>
          </cell>
          <cell r="D399" t="str">
            <v>Co-6Ta-6V</v>
          </cell>
          <cell r="E399" t="str">
            <v>Reyes Tirado, F. L., Perrin Toinin, J. &amp; Dunand, D. C. γ+γ′ microstructures in the Co-Ta-V and Co-Nb-V ternary systems. Acta Mater. 151, 137–148 (2018).</v>
          </cell>
          <cell r="F399">
            <v>416</v>
          </cell>
          <cell r="G399">
            <v>88</v>
          </cell>
          <cell r="H399"/>
          <cell r="I399"/>
          <cell r="J399"/>
          <cell r="K399"/>
          <cell r="L399"/>
          <cell r="M399">
            <v>6</v>
          </cell>
          <cell r="N399"/>
          <cell r="O399">
            <v>6</v>
          </cell>
          <cell r="P399"/>
          <cell r="Q399"/>
          <cell r="R399"/>
          <cell r="S399"/>
          <cell r="T399"/>
          <cell r="U399"/>
          <cell r="V399"/>
          <cell r="W399"/>
          <cell r="X399"/>
          <cell r="Y399"/>
          <cell r="Z399"/>
          <cell r="AA399"/>
          <cell r="AB399"/>
          <cell r="AC399"/>
          <cell r="AD399"/>
          <cell r="AE399"/>
          <cell r="AF399">
            <v>9.1975999999999996</v>
          </cell>
          <cell r="AG399"/>
          <cell r="AH399"/>
          <cell r="AI399" t="str">
            <v>Co</v>
          </cell>
          <cell r="AJ399" t="str">
            <v/>
          </cell>
          <cell r="AK399" t="str">
            <v/>
          </cell>
          <cell r="AL399" t="str">
            <v/>
          </cell>
          <cell r="AM399" t="str">
            <v/>
          </cell>
          <cell r="AN399" t="str">
            <v>-6.Ta</v>
          </cell>
          <cell r="AO399" t="str">
            <v/>
          </cell>
          <cell r="AP399" t="str">
            <v>-6.V</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cell r="BD399" t="str">
            <v/>
          </cell>
          <cell r="BE399" t="str">
            <v/>
          </cell>
          <cell r="BF399" t="str">
            <v/>
          </cell>
          <cell r="BG399" t="str">
            <v/>
          </cell>
          <cell r="BH399" t="str">
            <v>Co-6Ta-6VReyes Tirado, F. L., Perrin Toinin, J. &amp; Dunand, D. C. γ+γ′ microstructures in the Co-Ta-V and Co-Nb-V ternary systems. Acta Mater. 151, 137–148 (2018).</v>
          </cell>
          <cell r="BI399" t="str">
            <v>Co-6.Ta-6.V</v>
          </cell>
          <cell r="BJ399" t="str">
            <v>88.0Co-6.0Ta-6.0V</v>
          </cell>
        </row>
        <row r="400">
          <cell r="A400" t="str">
            <v>Co-5.4Ta-6.6V</v>
          </cell>
          <cell r="B400" t="str">
            <v>W-free</v>
          </cell>
          <cell r="C400" t="str">
            <v>-5Ta-7V</v>
          </cell>
          <cell r="D400" t="str">
            <v>Co-5.4Ta-6.6V</v>
          </cell>
          <cell r="E400" t="str">
            <v>Reyes Tirado, F. L., Perrin Toinin, J. &amp; Dunand, D. C. γ+γ′ microstructures in the Co-Ta-V and Co-Nb-V ternary systems. Acta Mater. 151, 137–148 (2018).</v>
          </cell>
          <cell r="F400">
            <v>417</v>
          </cell>
          <cell r="G400">
            <v>88</v>
          </cell>
          <cell r="H400"/>
          <cell r="I400"/>
          <cell r="J400"/>
          <cell r="K400"/>
          <cell r="L400"/>
          <cell r="M400">
            <v>5.4</v>
          </cell>
          <cell r="N400"/>
          <cell r="O400">
            <v>6.6</v>
          </cell>
          <cell r="P400"/>
          <cell r="Q400"/>
          <cell r="R400"/>
          <cell r="S400"/>
          <cell r="T400"/>
          <cell r="U400"/>
          <cell r="V400"/>
          <cell r="W400"/>
          <cell r="X400"/>
          <cell r="Y400"/>
          <cell r="Z400"/>
          <cell r="AA400"/>
          <cell r="AB400"/>
          <cell r="AC400"/>
          <cell r="AD400"/>
          <cell r="AE400"/>
          <cell r="AF400">
            <v>9.1343600000000009</v>
          </cell>
          <cell r="AG400"/>
          <cell r="AH400"/>
          <cell r="AI400" t="str">
            <v>Co</v>
          </cell>
          <cell r="AJ400" t="str">
            <v/>
          </cell>
          <cell r="AK400" t="str">
            <v/>
          </cell>
          <cell r="AL400" t="str">
            <v/>
          </cell>
          <cell r="AM400" t="str">
            <v/>
          </cell>
          <cell r="AN400" t="str">
            <v>-5.4Ta</v>
          </cell>
          <cell r="AO400" t="str">
            <v/>
          </cell>
          <cell r="AP400" t="str">
            <v>-6.6V</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cell r="BD400" t="str">
            <v/>
          </cell>
          <cell r="BE400" t="str">
            <v/>
          </cell>
          <cell r="BF400" t="str">
            <v/>
          </cell>
          <cell r="BG400" t="str">
            <v/>
          </cell>
          <cell r="BH400" t="str">
            <v>Co-5.4Ta-6.6VReyes Tirado, F. L., Perrin Toinin, J. &amp; Dunand, D. C. γ+γ′ microstructures in the Co-Ta-V and Co-Nb-V ternary systems. Acta Mater. 151, 137–148 (2018).</v>
          </cell>
          <cell r="BI400" t="str">
            <v>Co-5.4Ta-6.6V</v>
          </cell>
          <cell r="BJ400" t="str">
            <v>88.0Co-5.4Ta-6.6V</v>
          </cell>
        </row>
        <row r="401">
          <cell r="A401" t="str">
            <v>Co-5.4Ta-6.6V</v>
          </cell>
          <cell r="B401" t="str">
            <v>W-free</v>
          </cell>
          <cell r="C401" t="str">
            <v>-5Ta-7V</v>
          </cell>
          <cell r="D401" t="str">
            <v>Co-10Ni-5.38Ta-6.55V</v>
          </cell>
          <cell r="E401" t="str">
            <v>Reyes Tirado, F. L., Perrin Toinin, J. &amp; Dunand, D. C. γ+γ′ microstructures in the Co-Ta-V and Co-Nb-V ternary systems. Acta Mater. 151, 137–148 (2018).</v>
          </cell>
          <cell r="F401">
            <v>418</v>
          </cell>
          <cell r="G401">
            <v>88.07</v>
          </cell>
          <cell r="H401"/>
          <cell r="I401"/>
          <cell r="J401"/>
          <cell r="K401"/>
          <cell r="L401"/>
          <cell r="M401">
            <v>5.38</v>
          </cell>
          <cell r="N401"/>
          <cell r="O401">
            <v>6.55</v>
          </cell>
          <cell r="P401"/>
          <cell r="Q401"/>
          <cell r="R401"/>
          <cell r="S401"/>
          <cell r="T401"/>
          <cell r="U401"/>
          <cell r="V401"/>
          <cell r="W401"/>
          <cell r="X401"/>
          <cell r="Y401"/>
          <cell r="Z401"/>
          <cell r="AA401"/>
          <cell r="AB401"/>
          <cell r="AC401"/>
          <cell r="AD401"/>
          <cell r="AE401"/>
          <cell r="AF401">
            <v>9.1342049999999997</v>
          </cell>
          <cell r="AG401"/>
          <cell r="AH401"/>
          <cell r="AI401" t="str">
            <v>Co</v>
          </cell>
          <cell r="AJ401" t="str">
            <v/>
          </cell>
          <cell r="AK401" t="str">
            <v/>
          </cell>
          <cell r="AL401" t="str">
            <v/>
          </cell>
          <cell r="AM401" t="str">
            <v/>
          </cell>
          <cell r="AN401" t="str">
            <v>-5.4Ta</v>
          </cell>
          <cell r="AO401" t="str">
            <v/>
          </cell>
          <cell r="AP401" t="str">
            <v>-6.6V</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cell r="BD401" t="str">
            <v/>
          </cell>
          <cell r="BE401" t="str">
            <v/>
          </cell>
          <cell r="BF401" t="str">
            <v/>
          </cell>
          <cell r="BG401" t="str">
            <v/>
          </cell>
          <cell r="BH401" t="str">
            <v>Co-10Ni-5.38Ta-6.55VReyes Tirado, F. L., Perrin Toinin, J. &amp; Dunand, D. C. γ+γ′ microstructures in the Co-Ta-V and Co-Nb-V ternary systems. Acta Mater. 151, 137–148 (2018).</v>
          </cell>
          <cell r="BI401" t="str">
            <v>Co-5.4Ta-6.6V</v>
          </cell>
          <cell r="BJ401" t="str">
            <v>88.1Co-5.4Ta-6.6V</v>
          </cell>
        </row>
        <row r="402">
          <cell r="A402" t="str">
            <v>Co-6.Nb-6.V</v>
          </cell>
          <cell r="B402" t="str">
            <v>W-free</v>
          </cell>
          <cell r="C402" t="str">
            <v>-6Nb-6V</v>
          </cell>
          <cell r="D402" t="str">
            <v>Co-6V-6Nb</v>
          </cell>
          <cell r="E402" t="str">
            <v>Reyes Tirado, F. L., Perrin Toinin, J. &amp; Dunand, D. C. γ+γ′ microstructures in the Co-Ta-V and Co-Nb-V ternary systems. Acta Mater. 151, 137–148 (2018).</v>
          </cell>
          <cell r="F402">
            <v>419</v>
          </cell>
          <cell r="G402">
            <v>88</v>
          </cell>
          <cell r="H402"/>
          <cell r="I402"/>
          <cell r="J402"/>
          <cell r="K402"/>
          <cell r="L402"/>
          <cell r="M402"/>
          <cell r="N402">
            <v>6</v>
          </cell>
          <cell r="O402">
            <v>6</v>
          </cell>
          <cell r="P402"/>
          <cell r="Q402"/>
          <cell r="R402"/>
          <cell r="S402"/>
          <cell r="T402"/>
          <cell r="U402"/>
          <cell r="V402"/>
          <cell r="W402"/>
          <cell r="X402"/>
          <cell r="Y402"/>
          <cell r="Z402"/>
          <cell r="AA402"/>
          <cell r="AB402"/>
          <cell r="AC402"/>
          <cell r="AD402"/>
          <cell r="AE402"/>
          <cell r="AF402">
            <v>8.7127999999999997</v>
          </cell>
          <cell r="AG402"/>
          <cell r="AH402"/>
          <cell r="AI402" t="str">
            <v>Co</v>
          </cell>
          <cell r="AJ402" t="str">
            <v/>
          </cell>
          <cell r="AK402" t="str">
            <v/>
          </cell>
          <cell r="AL402" t="str">
            <v/>
          </cell>
          <cell r="AM402" t="str">
            <v/>
          </cell>
          <cell r="AN402" t="str">
            <v/>
          </cell>
          <cell r="AO402" t="str">
            <v>-6.Nb</v>
          </cell>
          <cell r="AP402" t="str">
            <v>-6.V</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cell r="BD402" t="str">
            <v/>
          </cell>
          <cell r="BE402" t="str">
            <v/>
          </cell>
          <cell r="BF402" t="str">
            <v/>
          </cell>
          <cell r="BG402" t="str">
            <v/>
          </cell>
          <cell r="BH402" t="str">
            <v>Co-6V-6NbReyes Tirado, F. L., Perrin Toinin, J. &amp; Dunand, D. C. γ+γ′ microstructures in the Co-Ta-V and Co-Nb-V ternary systems. Acta Mater. 151, 137–148 (2018).</v>
          </cell>
          <cell r="BI402" t="str">
            <v>Co-6.Nb-6.V</v>
          </cell>
          <cell r="BJ402" t="str">
            <v>88.0Co-6.0Nb-6.0V</v>
          </cell>
        </row>
        <row r="403">
          <cell r="A403" t="str">
            <v>Co-10.Ni-5.Al-2.Ti-3.Ta-3.V-0.04B</v>
          </cell>
          <cell r="B403" t="str">
            <v>W-free</v>
          </cell>
          <cell r="C403" t="str">
            <v>-10Ni-5Al-2Ti-3Ta-3V-B</v>
          </cell>
          <cell r="D403" t="str">
            <v>Co-10Ni-5Al-3Ta-3V-2Ti-0.04B</v>
          </cell>
          <cell r="E403" t="str">
            <v>Reyes Tirado, F. L., Taylor, S. &amp; Dunand, D. C. Effect of Al, Ti and Cr additions on the γ-γ’ microstructure of W-free Co-Ta-V-Based superalloys. Acta Mater. 172, 44–54 (2019).</v>
          </cell>
          <cell r="F403">
            <v>420</v>
          </cell>
          <cell r="G403">
            <v>76.960000000000008</v>
          </cell>
          <cell r="H403">
            <v>10</v>
          </cell>
          <cell r="I403">
            <v>5</v>
          </cell>
          <cell r="J403"/>
          <cell r="K403"/>
          <cell r="L403">
            <v>2</v>
          </cell>
          <cell r="M403">
            <v>3</v>
          </cell>
          <cell r="N403"/>
          <cell r="O403">
            <v>3</v>
          </cell>
          <cell r="P403"/>
          <cell r="Q403"/>
          <cell r="R403"/>
          <cell r="S403">
            <v>0.04</v>
          </cell>
          <cell r="T403"/>
          <cell r="U403"/>
          <cell r="V403"/>
          <cell r="W403"/>
          <cell r="X403"/>
          <cell r="Y403"/>
          <cell r="Z403"/>
          <cell r="AA403"/>
          <cell r="AB403"/>
          <cell r="AC403"/>
          <cell r="AD403"/>
          <cell r="AE403"/>
          <cell r="AF403">
            <v>8.6491640000000025</v>
          </cell>
          <cell r="AG403"/>
          <cell r="AH403"/>
          <cell r="AI403" t="str">
            <v>Co</v>
          </cell>
          <cell r="AJ403" t="str">
            <v>-5.Al</v>
          </cell>
          <cell r="AK403" t="str">
            <v/>
          </cell>
          <cell r="AL403" t="str">
            <v>-10.Ni</v>
          </cell>
          <cell r="AM403" t="str">
            <v/>
          </cell>
          <cell r="AN403" t="str">
            <v>-3.Ta</v>
          </cell>
          <cell r="AO403" t="str">
            <v/>
          </cell>
          <cell r="AP403" t="str">
            <v>-3.V</v>
          </cell>
          <cell r="AQ403" t="str">
            <v>-2.Ti</v>
          </cell>
          <cell r="AR403" t="str">
            <v/>
          </cell>
          <cell r="AS403" t="str">
            <v/>
          </cell>
          <cell r="AT403" t="str">
            <v/>
          </cell>
          <cell r="AU403" t="str">
            <v>-0.04B</v>
          </cell>
          <cell r="AV403" t="str">
            <v/>
          </cell>
          <cell r="AW403" t="str">
            <v/>
          </cell>
          <cell r="AX403" t="str">
            <v/>
          </cell>
          <cell r="AY403" t="str">
            <v/>
          </cell>
          <cell r="AZ403" t="str">
            <v/>
          </cell>
          <cell r="BA403" t="str">
            <v/>
          </cell>
          <cell r="BB403" t="str">
            <v/>
          </cell>
          <cell r="BC403" t="str">
            <v/>
          </cell>
          <cell r="BD403" t="str">
            <v/>
          </cell>
          <cell r="BE403" t="str">
            <v/>
          </cell>
          <cell r="BF403" t="str">
            <v/>
          </cell>
          <cell r="BG403" t="str">
            <v/>
          </cell>
          <cell r="BH403" t="str">
            <v>Co-10Ni-5Al-3Ta-3V-2Ti-0.04BReyes Tirado, F. L., Taylor, S. &amp; Dunand, D. C. Effect of Al, Ti and Cr additions on the γ-γ’ microstructure of W-free Co-Ta-V-Based superalloys. Acta Mater. 172, 44–54 (2019).</v>
          </cell>
          <cell r="BI403" t="str">
            <v>Co-10.Ni-5.Al-2.Ti-3.Ta-3.V-0.04B</v>
          </cell>
          <cell r="BJ403" t="str">
            <v>87.0Co-10.0Ni-5.0Al-2.0Ti-3.0Ta-3.0V-0.04B</v>
          </cell>
        </row>
        <row r="404">
          <cell r="A404" t="str">
            <v>Co-10.Ni-5.Al-4.Cr-2.Ti-3.Ta-3.V-0.04B</v>
          </cell>
          <cell r="B404" t="str">
            <v>W-free</v>
          </cell>
          <cell r="C404" t="str">
            <v>-10Ni-5Al-4Cr-2Ti-3Ta-3V-B</v>
          </cell>
          <cell r="D404" t="str">
            <v>Co-10Ni-5Al-4Cr-3Ta-3V-2Ti-0.04B</v>
          </cell>
          <cell r="E404" t="str">
            <v>Reyes Tirado, F. L., Taylor, S. &amp; Dunand, D. C. Effect of Al, Ti and Cr additions on the γ-γ’ microstructure of W-free Co-Ta-V-Based superalloys. Acta Mater. 172, 44–54 (2019).</v>
          </cell>
          <cell r="F404">
            <v>421</v>
          </cell>
          <cell r="G404">
            <v>72.960000000000008</v>
          </cell>
          <cell r="H404">
            <v>10</v>
          </cell>
          <cell r="I404">
            <v>5</v>
          </cell>
          <cell r="J404">
            <v>4</v>
          </cell>
          <cell r="K404"/>
          <cell r="L404">
            <v>2</v>
          </cell>
          <cell r="M404">
            <v>3</v>
          </cell>
          <cell r="N404"/>
          <cell r="O404">
            <v>3</v>
          </cell>
          <cell r="P404"/>
          <cell r="Q404"/>
          <cell r="R404"/>
          <cell r="S404">
            <v>0.04</v>
          </cell>
          <cell r="T404"/>
          <cell r="U404"/>
          <cell r="V404"/>
          <cell r="W404"/>
          <cell r="X404"/>
          <cell r="Y404"/>
          <cell r="Z404"/>
          <cell r="AA404"/>
          <cell r="AB404"/>
          <cell r="AC404"/>
          <cell r="AD404"/>
          <cell r="AE404"/>
          <cell r="AF404">
            <v>8.5807640000000021</v>
          </cell>
          <cell r="AG404"/>
          <cell r="AH404"/>
          <cell r="AI404" t="str">
            <v>Co</v>
          </cell>
          <cell r="AJ404" t="str">
            <v>-5.Al</v>
          </cell>
          <cell r="AK404" t="str">
            <v/>
          </cell>
          <cell r="AL404" t="str">
            <v>-10.Ni</v>
          </cell>
          <cell r="AM404" t="str">
            <v>-4.Cr</v>
          </cell>
          <cell r="AN404" t="str">
            <v>-3.Ta</v>
          </cell>
          <cell r="AO404" t="str">
            <v/>
          </cell>
          <cell r="AP404" t="str">
            <v>-3.V</v>
          </cell>
          <cell r="AQ404" t="str">
            <v>-2.Ti</v>
          </cell>
          <cell r="AR404" t="str">
            <v/>
          </cell>
          <cell r="AS404" t="str">
            <v/>
          </cell>
          <cell r="AT404" t="str">
            <v/>
          </cell>
          <cell r="AU404" t="str">
            <v>-0.04B</v>
          </cell>
          <cell r="AV404" t="str">
            <v/>
          </cell>
          <cell r="AW404" t="str">
            <v/>
          </cell>
          <cell r="AX404" t="str">
            <v/>
          </cell>
          <cell r="AY404" t="str">
            <v/>
          </cell>
          <cell r="AZ404" t="str">
            <v/>
          </cell>
          <cell r="BA404" t="str">
            <v/>
          </cell>
          <cell r="BB404" t="str">
            <v/>
          </cell>
          <cell r="BC404" t="str">
            <v/>
          </cell>
          <cell r="BD404" t="str">
            <v/>
          </cell>
          <cell r="BE404" t="str">
            <v/>
          </cell>
          <cell r="BF404" t="str">
            <v/>
          </cell>
          <cell r="BG404" t="str">
            <v/>
          </cell>
          <cell r="BH404" t="str">
            <v>Co-10Ni-5Al-4Cr-3Ta-3V-2Ti-0.04BReyes Tirado, F. L., Taylor, S. &amp; Dunand, D. C. Effect of Al, Ti and Cr additions on the γ-γ’ microstructure of W-free Co-Ta-V-Based superalloys. Acta Mater. 172, 44–54 (2019).</v>
          </cell>
          <cell r="BI404" t="str">
            <v>Co-10.Ni-5.Al-4.Cr-2.Ti-3.Ta-3.V-0.04B</v>
          </cell>
          <cell r="BJ404" t="str">
            <v>83.0Co-10.0Ni-5.0Al-4.0Cr-2.0Ti-3.0Ta-3.0V-0.04B</v>
          </cell>
        </row>
        <row r="405">
          <cell r="A405" t="str">
            <v>Co-2.Ni-5.Al-1.Ti-3.Ta-3.V</v>
          </cell>
          <cell r="B405" t="str">
            <v>W-free</v>
          </cell>
          <cell r="C405" t="str">
            <v>-2Ni-5Al-1Ti-3Ta-3V</v>
          </cell>
          <cell r="D405" t="str">
            <v>Co-2Ni-5Al-3Ta-3V-1Ti</v>
          </cell>
          <cell r="E405" t="str">
            <v>Reyes Tirado, F. L., Taylor, S. &amp; Dunand, D. C. Effect of Al, Ti and Cr additions on the γ-γ’ microstructure of W-free Co-Ta-V-Based superalloys. Acta Mater. 172, 44–54 (2019).</v>
          </cell>
          <cell r="F405">
            <v>422</v>
          </cell>
          <cell r="G405">
            <v>86</v>
          </cell>
          <cell r="H405">
            <v>2</v>
          </cell>
          <cell r="I405">
            <v>5</v>
          </cell>
          <cell r="J405"/>
          <cell r="K405"/>
          <cell r="L405">
            <v>1</v>
          </cell>
          <cell r="M405">
            <v>3</v>
          </cell>
          <cell r="N405"/>
          <cell r="O405">
            <v>3</v>
          </cell>
          <cell r="P405"/>
          <cell r="Q405"/>
          <cell r="R405"/>
          <cell r="S405"/>
          <cell r="T405"/>
          <cell r="U405"/>
          <cell r="V405"/>
          <cell r="W405"/>
          <cell r="X405"/>
          <cell r="Y405"/>
          <cell r="Z405"/>
          <cell r="AA405"/>
          <cell r="AB405"/>
          <cell r="AC405"/>
          <cell r="AD405"/>
          <cell r="AE405"/>
          <cell r="AF405">
            <v>8.6950300000000009</v>
          </cell>
          <cell r="AG405"/>
          <cell r="AH405"/>
          <cell r="AI405" t="str">
            <v>Co</v>
          </cell>
          <cell r="AJ405" t="str">
            <v>-5.Al</v>
          </cell>
          <cell r="AK405" t="str">
            <v/>
          </cell>
          <cell r="AL405" t="str">
            <v>-2.Ni</v>
          </cell>
          <cell r="AM405" t="str">
            <v/>
          </cell>
          <cell r="AN405" t="str">
            <v>-3.Ta</v>
          </cell>
          <cell r="AO405" t="str">
            <v/>
          </cell>
          <cell r="AP405" t="str">
            <v>-3.V</v>
          </cell>
          <cell r="AQ405" t="str">
            <v>-1.Ti</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cell r="BD405" t="str">
            <v/>
          </cell>
          <cell r="BE405" t="str">
            <v/>
          </cell>
          <cell r="BF405" t="str">
            <v/>
          </cell>
          <cell r="BG405" t="str">
            <v/>
          </cell>
          <cell r="BH405" t="str">
            <v>Co-2Ni-5Al-3Ta-3V-1TiReyes Tirado, F. L., Taylor, S. &amp; Dunand, D. C. Effect of Al, Ti and Cr additions on the γ-γ’ microstructure of W-free Co-Ta-V-Based superalloys. Acta Mater. 172, 44–54 (2019).</v>
          </cell>
          <cell r="BI405" t="str">
            <v>Co-2.Ni-5.Al-1.Ti-3.Ta-3.V</v>
          </cell>
          <cell r="BJ405" t="str">
            <v>88.0Co-2.0Ni-5.0Al-1.0Ti-3.0Ta-3.0V</v>
          </cell>
        </row>
        <row r="406">
          <cell r="A406" t="str">
            <v>Co-5.Al-1.Ti-3.Ta-3.V</v>
          </cell>
          <cell r="B406" t="str">
            <v>W-free</v>
          </cell>
          <cell r="C406" t="str">
            <v>-5Al-1Ti-3Ta-3V</v>
          </cell>
          <cell r="D406" t="str">
            <v>Co-5Al-3Ta-3V-1Ti</v>
          </cell>
          <cell r="E406" t="str">
            <v>Reyes Tirado, F. L., Taylor, S. &amp; Dunand, D. C. Effect of Al, Ti and Cr additions on the γ-γ’ microstructure of W-free Co-Ta-V-Based superalloys. Acta Mater. 172, 44–54 (2019).</v>
          </cell>
          <cell r="F406">
            <v>423</v>
          </cell>
          <cell r="G406">
            <v>88</v>
          </cell>
          <cell r="H406"/>
          <cell r="I406">
            <v>5</v>
          </cell>
          <cell r="J406"/>
          <cell r="K406"/>
          <cell r="L406">
            <v>1</v>
          </cell>
          <cell r="M406">
            <v>3</v>
          </cell>
          <cell r="N406"/>
          <cell r="O406">
            <v>3</v>
          </cell>
          <cell r="P406"/>
          <cell r="Q406"/>
          <cell r="R406"/>
          <cell r="S406"/>
          <cell r="T406"/>
          <cell r="U406"/>
          <cell r="V406"/>
          <cell r="W406"/>
          <cell r="X406"/>
          <cell r="Y406"/>
          <cell r="Z406"/>
          <cell r="AA406"/>
          <cell r="AB406"/>
          <cell r="AC406"/>
          <cell r="AD406"/>
          <cell r="AE406"/>
          <cell r="AF406">
            <v>8.6948700000000017</v>
          </cell>
          <cell r="AG406"/>
          <cell r="AH406"/>
          <cell r="AI406" t="str">
            <v>Co</v>
          </cell>
          <cell r="AJ406" t="str">
            <v>-5.Al</v>
          </cell>
          <cell r="AK406" t="str">
            <v/>
          </cell>
          <cell r="AL406" t="str">
            <v/>
          </cell>
          <cell r="AM406" t="str">
            <v/>
          </cell>
          <cell r="AN406" t="str">
            <v>-3.Ta</v>
          </cell>
          <cell r="AO406" t="str">
            <v/>
          </cell>
          <cell r="AP406" t="str">
            <v>-3.V</v>
          </cell>
          <cell r="AQ406" t="str">
            <v>-1.Ti</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cell r="BD406" t="str">
            <v/>
          </cell>
          <cell r="BE406" t="str">
            <v/>
          </cell>
          <cell r="BF406" t="str">
            <v/>
          </cell>
          <cell r="BG406" t="str">
            <v/>
          </cell>
          <cell r="BH406" t="str">
            <v>Co-5Al-3Ta-3V-1TiReyes Tirado, F. L., Taylor, S. &amp; Dunand, D. C. Effect of Al, Ti and Cr additions on the γ-γ’ microstructure of W-free Co-Ta-V-Based superalloys. Acta Mater. 172, 44–54 (2019).</v>
          </cell>
          <cell r="BI406" t="str">
            <v>Co-5.Al-1.Ti-3.Ta-3.V</v>
          </cell>
          <cell r="BJ406" t="str">
            <v>88.0Co-5.0Al-1.0Ti-3.0Ta-3.0V</v>
          </cell>
        </row>
        <row r="407">
          <cell r="A407" t="str">
            <v>Co-2.Ni-6.Al-3.Ta-3.V</v>
          </cell>
          <cell r="B407" t="str">
            <v>W-free</v>
          </cell>
          <cell r="C407" t="str">
            <v>-2Ni-6Al-3Ta-3V</v>
          </cell>
          <cell r="D407" t="str">
            <v>Co-2Ni-6Al-3Ta-3V</v>
          </cell>
          <cell r="E407" t="str">
            <v>Reyes Tirado, F. L., Taylor, S. &amp; Dunand, D. C. Effect of Al, Ti and Cr additions on the γ-γ’ microstructure of W-free Co-Ta-V-Based superalloys. Acta Mater. 172, 44–54 (2019).</v>
          </cell>
          <cell r="F407">
            <v>424</v>
          </cell>
          <cell r="G407">
            <v>86</v>
          </cell>
          <cell r="H407">
            <v>2</v>
          </cell>
          <cell r="I407">
            <v>6</v>
          </cell>
          <cell r="J407"/>
          <cell r="K407"/>
          <cell r="L407"/>
          <cell r="M407">
            <v>3</v>
          </cell>
          <cell r="N407"/>
          <cell r="O407">
            <v>3</v>
          </cell>
          <cell r="P407"/>
          <cell r="Q407"/>
          <cell r="R407"/>
          <cell r="S407"/>
          <cell r="T407"/>
          <cell r="U407"/>
          <cell r="V407"/>
          <cell r="W407"/>
          <cell r="X407"/>
          <cell r="Y407"/>
          <cell r="Z407"/>
          <cell r="AA407"/>
          <cell r="AB407"/>
          <cell r="AC407"/>
          <cell r="AD407"/>
          <cell r="AE407"/>
          <cell r="AF407">
            <v>8.6769600000000011</v>
          </cell>
          <cell r="AG407"/>
          <cell r="AH407"/>
          <cell r="AI407" t="str">
            <v>Co</v>
          </cell>
          <cell r="AJ407" t="str">
            <v>-6.Al</v>
          </cell>
          <cell r="AK407" t="str">
            <v/>
          </cell>
          <cell r="AL407" t="str">
            <v>-2.Ni</v>
          </cell>
          <cell r="AM407" t="str">
            <v/>
          </cell>
          <cell r="AN407" t="str">
            <v>-3.Ta</v>
          </cell>
          <cell r="AO407" t="str">
            <v/>
          </cell>
          <cell r="AP407" t="str">
            <v>-3.V</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cell r="BD407" t="str">
            <v/>
          </cell>
          <cell r="BE407" t="str">
            <v/>
          </cell>
          <cell r="BF407" t="str">
            <v/>
          </cell>
          <cell r="BG407" t="str">
            <v/>
          </cell>
          <cell r="BH407" t="str">
            <v>Co-2Ni-6Al-3Ta-3VReyes Tirado, F. L., Taylor, S. &amp; Dunand, D. C. Effect of Al, Ti and Cr additions on the γ-γ’ microstructure of W-free Co-Ta-V-Based superalloys. Acta Mater. 172, 44–54 (2019).</v>
          </cell>
          <cell r="BI407" t="str">
            <v>Co-2.Ni-6.Al-3.Ta-3.V</v>
          </cell>
          <cell r="BJ407" t="str">
            <v>88.0Co-2.0Ni-6.0Al-3.0Ta-3.0V</v>
          </cell>
        </row>
        <row r="408">
          <cell r="A408" t="str">
            <v>Co-6.Al-3.Ta-3.V</v>
          </cell>
          <cell r="B408" t="str">
            <v>W-free</v>
          </cell>
          <cell r="C408" t="str">
            <v>-6Al-3Ta-3V</v>
          </cell>
          <cell r="D408" t="str">
            <v>Co-6Al-3Ta-3V</v>
          </cell>
          <cell r="E408" t="str">
            <v>Reyes Tirado, F. L., Taylor, S. &amp; Dunand, D. C. Effect of Al, Ti and Cr additions on the γ-γ’ microstructure of W-free Co-Ta-V-Based superalloys. Acta Mater. 172, 44–54 (2019).</v>
          </cell>
          <cell r="F408">
            <v>425</v>
          </cell>
          <cell r="G408">
            <v>88</v>
          </cell>
          <cell r="H408"/>
          <cell r="I408">
            <v>6</v>
          </cell>
          <cell r="J408"/>
          <cell r="K408"/>
          <cell r="L408"/>
          <cell r="M408">
            <v>3</v>
          </cell>
          <cell r="N408"/>
          <cell r="O408">
            <v>3</v>
          </cell>
          <cell r="P408"/>
          <cell r="Q408"/>
          <cell r="R408"/>
          <cell r="S408"/>
          <cell r="T408"/>
          <cell r="U408"/>
          <cell r="V408"/>
          <cell r="W408"/>
          <cell r="X408"/>
          <cell r="Y408"/>
          <cell r="Z408"/>
          <cell r="AA408"/>
          <cell r="AB408"/>
          <cell r="AC408"/>
          <cell r="AD408"/>
          <cell r="AE408"/>
          <cell r="AF408">
            <v>8.6768000000000018</v>
          </cell>
          <cell r="AG408"/>
          <cell r="AH408"/>
          <cell r="AI408" t="str">
            <v>Co</v>
          </cell>
          <cell r="AJ408" t="str">
            <v>-6.Al</v>
          </cell>
          <cell r="AK408" t="str">
            <v/>
          </cell>
          <cell r="AL408" t="str">
            <v/>
          </cell>
          <cell r="AM408" t="str">
            <v/>
          </cell>
          <cell r="AN408" t="str">
            <v>-3.Ta</v>
          </cell>
          <cell r="AO408" t="str">
            <v/>
          </cell>
          <cell r="AP408" t="str">
            <v>-3.V</v>
          </cell>
          <cell r="AQ408" t="str">
            <v/>
          </cell>
          <cell r="AR408" t="str">
            <v/>
          </cell>
          <cell r="AS408" t="str">
            <v/>
          </cell>
          <cell r="AT408" t="str">
            <v/>
          </cell>
          <cell r="AU408" t="str">
            <v/>
          </cell>
          <cell r="AV408" t="str">
            <v/>
          </cell>
          <cell r="AW408" t="str">
            <v/>
          </cell>
          <cell r="AX408" t="str">
            <v/>
          </cell>
          <cell r="AY408" t="str">
            <v/>
          </cell>
          <cell r="AZ408" t="str">
            <v/>
          </cell>
          <cell r="BA408" t="str">
            <v/>
          </cell>
          <cell r="BB408" t="str">
            <v/>
          </cell>
          <cell r="BC408" t="str">
            <v/>
          </cell>
          <cell r="BD408" t="str">
            <v/>
          </cell>
          <cell r="BE408" t="str">
            <v/>
          </cell>
          <cell r="BF408" t="str">
            <v/>
          </cell>
          <cell r="BG408" t="str">
            <v/>
          </cell>
          <cell r="BH408" t="str">
            <v>Co-6Al-3Ta-3VReyes Tirado, F. L., Taylor, S. &amp; Dunand, D. C. Effect of Al, Ti and Cr additions on the γ-γ’ microstructure of W-free Co-Ta-V-Based superalloys. Acta Mater. 172, 44–54 (2019).</v>
          </cell>
          <cell r="BI408" t="str">
            <v>Co-6.Al-3.Ta-3.V</v>
          </cell>
          <cell r="BJ408" t="str">
            <v>88.0Co-6.0Al-3.0Ta-3.0V</v>
          </cell>
        </row>
        <row r="409">
          <cell r="A409" t="str">
            <v>Co-10.6Al-8.3W-1.6Ti-1.2Nb</v>
          </cell>
          <cell r="B409" t="str">
            <v>CoAlWX+</v>
          </cell>
          <cell r="C409" t="str">
            <v>-11Al-8W-2Ti-1Nb</v>
          </cell>
          <cell r="D409" t="str">
            <v>TiNb</v>
          </cell>
          <cell r="E409" t="str">
            <v>Rhein, R. K. et al. Creep Behavior of Quinary γ′-Strengthened Co-Based Superalloys. Metall. Mater. Trans. A Phys. Metall. Mater. Sci. 49, 4090–4098 (2018).</v>
          </cell>
          <cell r="F409">
            <v>426</v>
          </cell>
          <cell r="G409">
            <v>78.3</v>
          </cell>
          <cell r="H409"/>
          <cell r="I409">
            <v>10.6</v>
          </cell>
          <cell r="J409"/>
          <cell r="K409">
            <v>8.3000000000000007</v>
          </cell>
          <cell r="L409">
            <v>1.6</v>
          </cell>
          <cell r="M409"/>
          <cell r="N409">
            <v>1.2</v>
          </cell>
          <cell r="O409"/>
          <cell r="P409"/>
          <cell r="Q409"/>
          <cell r="R409"/>
          <cell r="S409"/>
          <cell r="T409"/>
          <cell r="U409"/>
          <cell r="V409"/>
          <cell r="W409"/>
          <cell r="X409"/>
          <cell r="Y409"/>
          <cell r="Z409"/>
          <cell r="AA409"/>
          <cell r="AB409"/>
          <cell r="AC409"/>
          <cell r="AD409"/>
          <cell r="AE409"/>
          <cell r="AF409">
            <v>9.0276019999999999</v>
          </cell>
          <cell r="AG409"/>
          <cell r="AH409" t="str">
            <v>single crystal</v>
          </cell>
          <cell r="AI409" t="str">
            <v>Co</v>
          </cell>
          <cell r="AJ409" t="str">
            <v>-10.6Al</v>
          </cell>
          <cell r="AK409" t="str">
            <v>-8.3W</v>
          </cell>
          <cell r="AL409" t="str">
            <v/>
          </cell>
          <cell r="AM409" t="str">
            <v/>
          </cell>
          <cell r="AN409" t="str">
            <v/>
          </cell>
          <cell r="AO409" t="str">
            <v>-1.2Nb</v>
          </cell>
          <cell r="AP409" t="str">
            <v/>
          </cell>
          <cell r="AQ409" t="str">
            <v>-1.6Ti</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cell r="BD409" t="str">
            <v/>
          </cell>
          <cell r="BE409" t="str">
            <v/>
          </cell>
          <cell r="BF409" t="str">
            <v/>
          </cell>
          <cell r="BG409" t="str">
            <v/>
          </cell>
          <cell r="BH409" t="str">
            <v>TiNbRhein, R. K. et al. Creep Behavior of Quinary γ′-Strengthened Co-Based Superalloys. Metall. Mater. Trans. A Phys. Metall. Mater. Sci. 49, 4090–4098 (2018).</v>
          </cell>
          <cell r="BI409" t="str">
            <v>Co-10.6Al-8.3W-1.6Ti-1.2Nb</v>
          </cell>
          <cell r="BJ409" t="str">
            <v>78.3Co-10.6Al-8.3W-1.6Ti-1.2Nb</v>
          </cell>
        </row>
        <row r="410">
          <cell r="A410" t="str">
            <v>Co-11.3Al-7.9W-1.1Ta-0.9Nb</v>
          </cell>
          <cell r="B410" t="str">
            <v>CoAlWX+</v>
          </cell>
          <cell r="C410" t="str">
            <v>-11Al-8W-1Ta-1Nb</v>
          </cell>
          <cell r="D410" t="str">
            <v>TaNb</v>
          </cell>
          <cell r="E410" t="str">
            <v>Rhein, R. K. et al. Creep Behavior of Quinary γ′-Strengthened Co-Based Superalloys. Metall. Mater. Trans. A Phys. Metall. Mater. Sci. 49, 4090–4098 (2018).</v>
          </cell>
          <cell r="F410">
            <v>427</v>
          </cell>
          <cell r="G410">
            <v>78.8</v>
          </cell>
          <cell r="H410"/>
          <cell r="I410">
            <v>11.3</v>
          </cell>
          <cell r="J410"/>
          <cell r="K410">
            <v>7.9</v>
          </cell>
          <cell r="L410"/>
          <cell r="M410">
            <v>1.1000000000000001</v>
          </cell>
          <cell r="N410">
            <v>0.9</v>
          </cell>
          <cell r="O410"/>
          <cell r="P410"/>
          <cell r="Q410"/>
          <cell r="R410"/>
          <cell r="S410"/>
          <cell r="T410"/>
          <cell r="U410"/>
          <cell r="V410"/>
          <cell r="W410"/>
          <cell r="X410"/>
          <cell r="Y410"/>
          <cell r="Z410"/>
          <cell r="AA410"/>
          <cell r="AB410"/>
          <cell r="AC410"/>
          <cell r="AD410"/>
          <cell r="AE410"/>
          <cell r="AF410">
            <v>9.0993300000000019</v>
          </cell>
          <cell r="AG410"/>
          <cell r="AH410" t="str">
            <v>single crystal</v>
          </cell>
          <cell r="AI410" t="str">
            <v>Co</v>
          </cell>
          <cell r="AJ410" t="str">
            <v>-11.3Al</v>
          </cell>
          <cell r="AK410" t="str">
            <v>-7.9W</v>
          </cell>
          <cell r="AL410" t="str">
            <v/>
          </cell>
          <cell r="AM410" t="str">
            <v/>
          </cell>
          <cell r="AN410" t="str">
            <v>-1.1Ta</v>
          </cell>
          <cell r="AO410" t="str">
            <v>-0.9Nb</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cell r="BD410" t="str">
            <v/>
          </cell>
          <cell r="BE410" t="str">
            <v/>
          </cell>
          <cell r="BF410" t="str">
            <v/>
          </cell>
          <cell r="BG410" t="str">
            <v/>
          </cell>
          <cell r="BH410" t="str">
            <v>TaNbRhein, R. K. et al. Creep Behavior of Quinary γ′-Strengthened Co-Based Superalloys. Metall. Mater. Trans. A Phys. Metall. Mater. Sci. 49, 4090–4098 (2018).</v>
          </cell>
          <cell r="BI410" t="str">
            <v>Co-11.3Al-7.9W-1.1Ta-0.9Nb</v>
          </cell>
          <cell r="BJ410" t="str">
            <v>78.8Co-11.3Al-7.9W-1.1Ta-0.9Nb</v>
          </cell>
        </row>
        <row r="411">
          <cell r="A411" t="str">
            <v>Co-10.7Al-8.2W-1.6Ti-1.2Ta</v>
          </cell>
          <cell r="B411" t="str">
            <v>CoAlWX+</v>
          </cell>
          <cell r="C411" t="str">
            <v>-11Al-8W-2Ti-1Ta</v>
          </cell>
          <cell r="D411" t="str">
            <v>TaTi</v>
          </cell>
          <cell r="E411" t="str">
            <v>Rhein, R. K. Thermodynamics and Creep Behavior of L1 2-containing Co-base Superalloys. (2019).</v>
          </cell>
          <cell r="F411">
            <v>428</v>
          </cell>
          <cell r="G411">
            <v>78.3</v>
          </cell>
          <cell r="H411"/>
          <cell r="I411">
            <v>10.7</v>
          </cell>
          <cell r="J411"/>
          <cell r="K411">
            <v>8.1999999999999993</v>
          </cell>
          <cell r="L411">
            <v>1.6</v>
          </cell>
          <cell r="M411">
            <v>1.2</v>
          </cell>
          <cell r="N411"/>
          <cell r="O411"/>
          <cell r="P411"/>
          <cell r="Q411"/>
          <cell r="R411"/>
          <cell r="S411"/>
          <cell r="T411"/>
          <cell r="U411"/>
          <cell r="V411"/>
          <cell r="W411"/>
          <cell r="X411"/>
          <cell r="Y411"/>
          <cell r="Z411"/>
          <cell r="AA411"/>
          <cell r="AB411"/>
          <cell r="AC411"/>
          <cell r="AD411"/>
          <cell r="AE411"/>
          <cell r="AF411">
            <v>9.1080120000000004</v>
          </cell>
          <cell r="AG411"/>
          <cell r="AH411" t="str">
            <v>single crystal</v>
          </cell>
          <cell r="AI411" t="str">
            <v>Co</v>
          </cell>
          <cell r="AJ411" t="str">
            <v>-10.7Al</v>
          </cell>
          <cell r="AK411" t="str">
            <v>-8.2W</v>
          </cell>
          <cell r="AL411" t="str">
            <v/>
          </cell>
          <cell r="AM411" t="str">
            <v/>
          </cell>
          <cell r="AN411" t="str">
            <v>-1.2Ta</v>
          </cell>
          <cell r="AO411" t="str">
            <v/>
          </cell>
          <cell r="AP411" t="str">
            <v/>
          </cell>
          <cell r="AQ411" t="str">
            <v>-1.6Ti</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cell r="BD411" t="str">
            <v/>
          </cell>
          <cell r="BE411" t="str">
            <v/>
          </cell>
          <cell r="BF411" t="str">
            <v/>
          </cell>
          <cell r="BG411" t="str">
            <v/>
          </cell>
          <cell r="BH411" t="str">
            <v>TaTiRhein, R. K. Thermodynamics and Creep Behavior of L1 2-containing Co-base Superalloys. (2019).</v>
          </cell>
          <cell r="BI411" t="str">
            <v>Co-10.7Al-8.2W-1.6Ti-1.2Ta</v>
          </cell>
          <cell r="BJ411" t="str">
            <v>78.3Co-10.7Al-8.2W-1.6Ti-1.2Ta</v>
          </cell>
        </row>
        <row r="412">
          <cell r="A412" t="str">
            <v>Co-9.Al-4.6W</v>
          </cell>
          <cell r="B412" t="str">
            <v>CoAlW-X</v>
          </cell>
          <cell r="C412" t="str">
            <v>-9Al-5W</v>
          </cell>
          <cell r="D412" t="str">
            <v>Romanov alloy 1</v>
          </cell>
          <cell r="E412" t="str">
            <v>Romanov, E. P. et al. Heat-resistant alloys based on intermetallic Co3(Al, W). Dokl. Chem. 473, 88–91 (2017).</v>
          </cell>
          <cell r="F412">
            <v>429</v>
          </cell>
          <cell r="G412">
            <v>86.4</v>
          </cell>
          <cell r="H412"/>
          <cell r="I412">
            <v>9</v>
          </cell>
          <cell r="J412"/>
          <cell r="K412">
            <v>4.5999999999999996</v>
          </cell>
          <cell r="L412"/>
          <cell r="M412"/>
          <cell r="N412"/>
          <cell r="O412"/>
          <cell r="P412"/>
          <cell r="Q412"/>
          <cell r="R412"/>
          <cell r="S412"/>
          <cell r="T412"/>
          <cell r="U412"/>
          <cell r="V412"/>
          <cell r="W412"/>
          <cell r="X412"/>
          <cell r="Y412"/>
          <cell r="Z412"/>
          <cell r="AA412"/>
          <cell r="AB412"/>
          <cell r="AC412"/>
          <cell r="AD412"/>
          <cell r="AE412"/>
          <cell r="AF412">
            <v>8.8180999999999994</v>
          </cell>
          <cell r="AG412"/>
          <cell r="AH412"/>
          <cell r="AI412" t="str">
            <v>Co</v>
          </cell>
          <cell r="AJ412" t="str">
            <v>-9.Al</v>
          </cell>
          <cell r="AK412" t="str">
            <v>-4.6W</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cell r="BD412" t="str">
            <v/>
          </cell>
          <cell r="BE412" t="str">
            <v/>
          </cell>
          <cell r="BF412" t="str">
            <v/>
          </cell>
          <cell r="BG412" t="str">
            <v/>
          </cell>
          <cell r="BH412" t="str">
            <v>Romanov alloy 1Romanov, E. P. et al. Heat-resistant alloys based on intermetallic Co3(Al, W). Dokl. Chem. 473, 88–91 (2017).</v>
          </cell>
          <cell r="BI412" t="str">
            <v>Co-9.Al-4.6W</v>
          </cell>
          <cell r="BJ412" t="str">
            <v>86.4Co-9.0Al-4.6W</v>
          </cell>
        </row>
        <row r="413">
          <cell r="A413" t="str">
            <v>Co-7.9Al-6.8W</v>
          </cell>
          <cell r="B413" t="str">
            <v>CoAlW-X</v>
          </cell>
          <cell r="C413" t="str">
            <v>-8Al-7W</v>
          </cell>
          <cell r="D413" t="str">
            <v>Romanov alloy 2</v>
          </cell>
          <cell r="E413" t="str">
            <v>Romanov, E. P. et al. Heat-resistant alloys based on intermetallic Co3(Al, W). Dokl. Chem. 473, 88–91 (2017).</v>
          </cell>
          <cell r="F413">
            <v>430</v>
          </cell>
          <cell r="G413">
            <v>85.3</v>
          </cell>
          <cell r="H413"/>
          <cell r="I413">
            <v>7.9</v>
          </cell>
          <cell r="J413"/>
          <cell r="K413">
            <v>6.8</v>
          </cell>
          <cell r="L413"/>
          <cell r="M413"/>
          <cell r="N413"/>
          <cell r="O413"/>
          <cell r="P413"/>
          <cell r="Q413"/>
          <cell r="R413"/>
          <cell r="S413"/>
          <cell r="T413"/>
          <cell r="U413"/>
          <cell r="V413"/>
          <cell r="W413"/>
          <cell r="X413"/>
          <cell r="Y413"/>
          <cell r="Z413"/>
          <cell r="AA413"/>
          <cell r="AB413"/>
          <cell r="AC413"/>
          <cell r="AD413"/>
          <cell r="AE413"/>
          <cell r="AF413">
            <v>9.113999999999999</v>
          </cell>
          <cell r="AG413"/>
          <cell r="AH413"/>
          <cell r="AI413" t="str">
            <v>Co</v>
          </cell>
          <cell r="AJ413" t="str">
            <v>-7.9Al</v>
          </cell>
          <cell r="AK413" t="str">
            <v>-6.8W</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cell r="BD413" t="str">
            <v/>
          </cell>
          <cell r="BE413" t="str">
            <v/>
          </cell>
          <cell r="BF413" t="str">
            <v/>
          </cell>
          <cell r="BG413" t="str">
            <v/>
          </cell>
          <cell r="BH413" t="str">
            <v>Romanov alloy 2Romanov, E. P. et al. Heat-resistant alloys based on intermetallic Co3(Al, W). Dokl. Chem. 473, 88–91 (2017).</v>
          </cell>
          <cell r="BI413" t="str">
            <v>Co-7.9Al-6.8W</v>
          </cell>
          <cell r="BJ413" t="str">
            <v>85.3Co-7.9Al-6.8W</v>
          </cell>
        </row>
        <row r="414">
          <cell r="A414" t="str">
            <v>Co-8.2Al-8.5W</v>
          </cell>
          <cell r="B414" t="str">
            <v>CoAlW-X</v>
          </cell>
          <cell r="C414" t="str">
            <v>-8Al-9W</v>
          </cell>
          <cell r="D414" t="str">
            <v>Romanov alloy 3</v>
          </cell>
          <cell r="E414" t="str">
            <v>Romanov, E. P. et al. Heat-resistant alloys based on intermetallic Co3(Al, W). Dokl. Chem. 473, 88–91 (2017).</v>
          </cell>
          <cell r="F414">
            <v>431</v>
          </cell>
          <cell r="G414">
            <v>83.3</v>
          </cell>
          <cell r="H414"/>
          <cell r="I414">
            <v>8.1999999999999993</v>
          </cell>
          <cell r="J414"/>
          <cell r="K414">
            <v>8.5</v>
          </cell>
          <cell r="L414"/>
          <cell r="M414"/>
          <cell r="N414"/>
          <cell r="O414"/>
          <cell r="P414"/>
          <cell r="Q414"/>
          <cell r="R414"/>
          <cell r="S414"/>
          <cell r="T414"/>
          <cell r="U414"/>
          <cell r="V414"/>
          <cell r="W414"/>
          <cell r="X414"/>
          <cell r="Y414"/>
          <cell r="Z414"/>
          <cell r="AA414"/>
          <cell r="AB414"/>
          <cell r="AC414"/>
          <cell r="AD414"/>
          <cell r="AE414"/>
          <cell r="AF414">
            <v>9.27135</v>
          </cell>
          <cell r="AG414"/>
          <cell r="AH414"/>
          <cell r="AI414" t="str">
            <v>Co</v>
          </cell>
          <cell r="AJ414" t="str">
            <v>-8.2Al</v>
          </cell>
          <cell r="AK414" t="str">
            <v>-8.5W</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cell r="BD414" t="str">
            <v/>
          </cell>
          <cell r="BE414" t="str">
            <v/>
          </cell>
          <cell r="BF414" t="str">
            <v/>
          </cell>
          <cell r="BG414" t="str">
            <v/>
          </cell>
          <cell r="BH414" t="str">
            <v>Romanov alloy 3Romanov, E. P. et al. Heat-resistant alloys based on intermetallic Co3(Al, W). Dokl. Chem. 473, 88–91 (2017).</v>
          </cell>
          <cell r="BI414" t="str">
            <v>Co-8.2Al-8.5W</v>
          </cell>
          <cell r="BJ414" t="str">
            <v>83.3Co-8.2Al-8.5W</v>
          </cell>
        </row>
        <row r="415">
          <cell r="A415" t="str">
            <v>Co-8.7Al-10.W</v>
          </cell>
          <cell r="B415" t="str">
            <v>CoAlW-X</v>
          </cell>
          <cell r="C415" t="str">
            <v>-9Al-10W</v>
          </cell>
          <cell r="D415" t="str">
            <v>Romanov alloy 4</v>
          </cell>
          <cell r="E415" t="str">
            <v>Romanov, E. P. et al. Heat-resistant alloys based on intermetallic Co3(Al, W). Dokl. Chem. 473, 88–91 (2017).</v>
          </cell>
          <cell r="F415">
            <v>432</v>
          </cell>
          <cell r="G415">
            <v>81.3</v>
          </cell>
          <cell r="H415"/>
          <cell r="I415">
            <v>8.6999999999999993</v>
          </cell>
          <cell r="J415"/>
          <cell r="K415">
            <v>10</v>
          </cell>
          <cell r="L415"/>
          <cell r="M415"/>
          <cell r="N415"/>
          <cell r="O415"/>
          <cell r="P415"/>
          <cell r="Q415"/>
          <cell r="R415"/>
          <cell r="S415"/>
          <cell r="T415"/>
          <cell r="U415"/>
          <cell r="V415"/>
          <cell r="W415"/>
          <cell r="X415"/>
          <cell r="Y415"/>
          <cell r="Z415"/>
          <cell r="AA415"/>
          <cell r="AB415"/>
          <cell r="AC415"/>
          <cell r="AD415"/>
          <cell r="AE415"/>
          <cell r="AF415">
            <v>9.3956</v>
          </cell>
          <cell r="AG415"/>
          <cell r="AH415"/>
          <cell r="AI415" t="str">
            <v>Co</v>
          </cell>
          <cell r="AJ415" t="str">
            <v>-8.7Al</v>
          </cell>
          <cell r="AK415" t="str">
            <v>-10.W</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cell r="BD415" t="str">
            <v/>
          </cell>
          <cell r="BE415" t="str">
            <v/>
          </cell>
          <cell r="BF415" t="str">
            <v/>
          </cell>
          <cell r="BG415" t="str">
            <v/>
          </cell>
          <cell r="BH415" t="str">
            <v>Romanov alloy 4Romanov, E. P. et al. Heat-resistant alloys based on intermetallic Co3(Al, W). Dokl. Chem. 473, 88–91 (2017).</v>
          </cell>
          <cell r="BI415" t="str">
            <v>Co-8.7Al-10.W</v>
          </cell>
          <cell r="BJ415" t="str">
            <v>81.3Co-8.7Al-10.0W</v>
          </cell>
        </row>
        <row r="416">
          <cell r="A416" t="str">
            <v>Co-8.2Al-12.6W</v>
          </cell>
          <cell r="B416" t="str">
            <v>CoAlW-X</v>
          </cell>
          <cell r="C416" t="str">
            <v>-8Al-13W</v>
          </cell>
          <cell r="D416" t="str">
            <v>Romanov alloy 5</v>
          </cell>
          <cell r="E416" t="str">
            <v>Romanov, E. P. et al. Heat-resistant alloys based on intermetallic Co3(Al, W). Dokl. Chem. 473, 88–91 (2017).</v>
          </cell>
          <cell r="F416">
            <v>433</v>
          </cell>
          <cell r="G416">
            <v>79.2</v>
          </cell>
          <cell r="H416"/>
          <cell r="I416">
            <v>8.1999999999999993</v>
          </cell>
          <cell r="J416"/>
          <cell r="K416">
            <v>12.6</v>
          </cell>
          <cell r="L416"/>
          <cell r="M416"/>
          <cell r="N416"/>
          <cell r="O416"/>
          <cell r="P416"/>
          <cell r="Q416"/>
          <cell r="R416"/>
          <cell r="S416"/>
          <cell r="T416"/>
          <cell r="U416"/>
          <cell r="V416"/>
          <cell r="W416"/>
          <cell r="X416"/>
          <cell r="Y416"/>
          <cell r="Z416"/>
          <cell r="AA416"/>
          <cell r="AB416"/>
          <cell r="AC416"/>
          <cell r="AD416"/>
          <cell r="AE416"/>
          <cell r="AF416">
            <v>9.6957000000000004</v>
          </cell>
          <cell r="AG416"/>
          <cell r="AH416"/>
          <cell r="AI416" t="str">
            <v>Co</v>
          </cell>
          <cell r="AJ416" t="str">
            <v>-8.2Al</v>
          </cell>
          <cell r="AK416" t="str">
            <v>-12.6W</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cell r="BD416" t="str">
            <v/>
          </cell>
          <cell r="BE416" t="str">
            <v/>
          </cell>
          <cell r="BF416" t="str">
            <v/>
          </cell>
          <cell r="BG416" t="str">
            <v/>
          </cell>
          <cell r="BH416" t="str">
            <v>Romanov alloy 5Romanov, E. P. et al. Heat-resistant alloys based on intermetallic Co3(Al, W). Dokl. Chem. 473, 88–91 (2017).</v>
          </cell>
          <cell r="BI416" t="str">
            <v>Co-8.2Al-12.6W</v>
          </cell>
          <cell r="BJ416" t="str">
            <v>79.2Co-8.2Al-12.6W</v>
          </cell>
        </row>
        <row r="417">
          <cell r="A417" t="str">
            <v>Co-2.Ti-2.Ta-12.V</v>
          </cell>
          <cell r="B417" t="str">
            <v>W-free</v>
          </cell>
          <cell r="C417" t="str">
            <v>-2Ti-2Ta-12V</v>
          </cell>
          <cell r="D417" t="str">
            <v>Co-12V-2Ta-2Ti</v>
          </cell>
          <cell r="E417" t="str">
            <v>Ruan, J. et al. Accelerated design of novel W-free high-strength Co-base superalloys with extremely wide γ/γʹ region by machine learning and CALPHAD methods. Acta Mater. 186, 425–433 (2020).</v>
          </cell>
          <cell r="F417">
            <v>434</v>
          </cell>
          <cell r="G417">
            <v>84</v>
          </cell>
          <cell r="H417"/>
          <cell r="I417"/>
          <cell r="J417"/>
          <cell r="K417"/>
          <cell r="L417">
            <v>2</v>
          </cell>
          <cell r="M417">
            <v>2</v>
          </cell>
          <cell r="N417"/>
          <cell r="O417">
            <v>12</v>
          </cell>
          <cell r="P417"/>
          <cell r="Q417"/>
          <cell r="R417"/>
          <cell r="S417"/>
          <cell r="T417"/>
          <cell r="U417"/>
          <cell r="V417"/>
          <cell r="W417"/>
          <cell r="X417"/>
          <cell r="Y417"/>
          <cell r="Z417"/>
          <cell r="AA417"/>
          <cell r="AB417"/>
          <cell r="AC417"/>
          <cell r="AD417"/>
          <cell r="AE417"/>
          <cell r="AF417">
            <v>8.632340000000001</v>
          </cell>
          <cell r="AG417"/>
          <cell r="AH417"/>
          <cell r="AI417" t="str">
            <v>Co</v>
          </cell>
          <cell r="AJ417" t="str">
            <v/>
          </cell>
          <cell r="AK417" t="str">
            <v/>
          </cell>
          <cell r="AL417" t="str">
            <v/>
          </cell>
          <cell r="AM417" t="str">
            <v/>
          </cell>
          <cell r="AN417" t="str">
            <v>-2.Ta</v>
          </cell>
          <cell r="AO417" t="str">
            <v/>
          </cell>
          <cell r="AP417" t="str">
            <v>-12.V</v>
          </cell>
          <cell r="AQ417" t="str">
            <v>-2.Ti</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cell r="BD417" t="str">
            <v/>
          </cell>
          <cell r="BE417" t="str">
            <v/>
          </cell>
          <cell r="BF417" t="str">
            <v/>
          </cell>
          <cell r="BG417" t="str">
            <v/>
          </cell>
          <cell r="BH417" t="str">
            <v>Co-12V-2Ta-2TiRuan, J. et al. Accelerated design of novel W-free high-strength Co-base superalloys with extremely wide γ/γʹ region by machine learning and CALPHAD methods. Acta Mater. 186, 425–433 (2020).</v>
          </cell>
          <cell r="BI417" t="str">
            <v>Co-2.Ti-2.Ta-12.V</v>
          </cell>
          <cell r="BJ417" t="str">
            <v>84.0Co-2.0Ti-2.0Ta-12.0V</v>
          </cell>
        </row>
        <row r="418">
          <cell r="A418" t="str">
            <v>Co-2.5Ta-6.V</v>
          </cell>
          <cell r="B418" t="str">
            <v>W-free</v>
          </cell>
          <cell r="C418" t="str">
            <v>-3Ta-6V</v>
          </cell>
          <cell r="D418" t="str">
            <v>Co-6V-2.5Ta</v>
          </cell>
          <cell r="E418" t="str">
            <v>Ruan, J. et al. Accelerated design of novel W-free high-strength Co-base superalloys with extremely wide γ/γʹ region by machine learning and CALPHAD methods. Acta Mater. 186, 425–433 (2020).</v>
          </cell>
          <cell r="F418">
            <v>435</v>
          </cell>
          <cell r="G418">
            <v>91.5</v>
          </cell>
          <cell r="H418"/>
          <cell r="I418"/>
          <cell r="J418"/>
          <cell r="K418"/>
          <cell r="L418"/>
          <cell r="M418">
            <v>2.5</v>
          </cell>
          <cell r="N418"/>
          <cell r="O418">
            <v>6</v>
          </cell>
          <cell r="P418"/>
          <cell r="Q418"/>
          <cell r="R418"/>
          <cell r="S418"/>
          <cell r="T418"/>
          <cell r="U418"/>
          <cell r="V418"/>
          <cell r="W418"/>
          <cell r="X418"/>
          <cell r="Y418"/>
          <cell r="Z418"/>
          <cell r="AA418"/>
          <cell r="AB418"/>
          <cell r="AC418"/>
          <cell r="AD418"/>
          <cell r="AE418"/>
          <cell r="AF418">
            <v>8.9263499999999993</v>
          </cell>
          <cell r="AG418"/>
          <cell r="AH418"/>
          <cell r="AI418" t="str">
            <v>Co</v>
          </cell>
          <cell r="AJ418" t="str">
            <v/>
          </cell>
          <cell r="AK418" t="str">
            <v/>
          </cell>
          <cell r="AL418" t="str">
            <v/>
          </cell>
          <cell r="AM418" t="str">
            <v/>
          </cell>
          <cell r="AN418" t="str">
            <v>-2.5Ta</v>
          </cell>
          <cell r="AO418" t="str">
            <v/>
          </cell>
          <cell r="AP418" t="str">
            <v>-6.V</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cell r="BD418" t="str">
            <v/>
          </cell>
          <cell r="BE418" t="str">
            <v/>
          </cell>
          <cell r="BF418" t="str">
            <v/>
          </cell>
          <cell r="BG418" t="str">
            <v/>
          </cell>
          <cell r="BH418" t="str">
            <v>Co-6V-2.5TaRuan, J. et al. Accelerated design of novel W-free high-strength Co-base superalloys with extremely wide γ/γʹ region by machine learning and CALPHAD methods. Acta Mater. 186, 425–433 (2020).</v>
          </cell>
          <cell r="BI418" t="str">
            <v>Co-2.5Ta-6.V</v>
          </cell>
          <cell r="BJ418" t="str">
            <v>91.5Co-2.5Ta-6.0V</v>
          </cell>
        </row>
        <row r="419">
          <cell r="A419" t="str">
            <v>Co-12.V</v>
          </cell>
          <cell r="B419" t="str">
            <v>W-free</v>
          </cell>
          <cell r="C419" t="str">
            <v>-12V</v>
          </cell>
          <cell r="D419" t="str">
            <v>Co-10V-2.5Ta</v>
          </cell>
          <cell r="E419" t="str">
            <v>Ruan, J. et al. Accelerated design of novel W-free high-strength Co-base superalloys with extremely wide γ/γʹ region by machine learning and CALPHAD methods. Acta Mater. 186, 425–433 (2020).</v>
          </cell>
          <cell r="F419">
            <v>436</v>
          </cell>
          <cell r="G419">
            <v>88</v>
          </cell>
          <cell r="H419"/>
          <cell r="I419"/>
          <cell r="J419"/>
          <cell r="K419"/>
          <cell r="L419"/>
          <cell r="M419"/>
          <cell r="N419"/>
          <cell r="O419">
            <v>12</v>
          </cell>
          <cell r="P419"/>
          <cell r="Q419"/>
          <cell r="R419"/>
          <cell r="S419"/>
          <cell r="T419"/>
          <cell r="U419"/>
          <cell r="V419"/>
          <cell r="W419"/>
          <cell r="X419"/>
          <cell r="Y419"/>
          <cell r="Z419"/>
          <cell r="AA419"/>
          <cell r="AB419"/>
          <cell r="AC419"/>
          <cell r="AD419"/>
          <cell r="AE419"/>
          <cell r="AF419">
            <v>8.5652000000000008</v>
          </cell>
          <cell r="AG419"/>
          <cell r="AH419"/>
          <cell r="AI419" t="str">
            <v>Co</v>
          </cell>
          <cell r="AJ419" t="str">
            <v/>
          </cell>
          <cell r="AK419" t="str">
            <v/>
          </cell>
          <cell r="AL419" t="str">
            <v/>
          </cell>
          <cell r="AM419" t="str">
            <v/>
          </cell>
          <cell r="AN419" t="str">
            <v/>
          </cell>
          <cell r="AO419" t="str">
            <v/>
          </cell>
          <cell r="AP419" t="str">
            <v>-12.V</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cell r="BD419" t="str">
            <v/>
          </cell>
          <cell r="BE419" t="str">
            <v/>
          </cell>
          <cell r="BF419" t="str">
            <v/>
          </cell>
          <cell r="BG419" t="str">
            <v/>
          </cell>
          <cell r="BH419" t="str">
            <v>Co-10V-2.5TaRuan, J. et al. Accelerated design of novel W-free high-strength Co-base superalloys with extremely wide γ/γʹ region by machine learning and CALPHAD methods. Acta Mater. 186, 425–433 (2020).</v>
          </cell>
          <cell r="BI419" t="str">
            <v>Co-12.V</v>
          </cell>
          <cell r="BJ419" t="str">
            <v>88.0Co-12.0V</v>
          </cell>
        </row>
        <row r="420">
          <cell r="A420" t="str">
            <v>Co-2.Ta-12.V</v>
          </cell>
          <cell r="B420" t="str">
            <v>W-free</v>
          </cell>
          <cell r="C420" t="str">
            <v>-2Ta-12V</v>
          </cell>
          <cell r="D420" t="str">
            <v>Co-12V-2Ta</v>
          </cell>
          <cell r="E420" t="str">
            <v>Ruan, J. et al. Accelerated design of novel W-free high-strength Co-base superalloys with extremely wide γ/γʹ region by machine learning and CALPHAD methods. Acta Mater. 186, 425–433 (2020).</v>
          </cell>
          <cell r="F420">
            <v>437</v>
          </cell>
          <cell r="G420">
            <v>86</v>
          </cell>
          <cell r="H420"/>
          <cell r="I420"/>
          <cell r="J420"/>
          <cell r="K420"/>
          <cell r="L420"/>
          <cell r="M420">
            <v>2</v>
          </cell>
          <cell r="N420"/>
          <cell r="O420">
            <v>12</v>
          </cell>
          <cell r="P420"/>
          <cell r="Q420"/>
          <cell r="R420"/>
          <cell r="S420"/>
          <cell r="T420"/>
          <cell r="U420"/>
          <cell r="V420"/>
          <cell r="W420"/>
          <cell r="X420"/>
          <cell r="Y420"/>
          <cell r="Z420"/>
          <cell r="AA420"/>
          <cell r="AB420"/>
          <cell r="AC420"/>
          <cell r="AD420"/>
          <cell r="AE420"/>
          <cell r="AF420">
            <v>8.7202000000000002</v>
          </cell>
          <cell r="AG420"/>
          <cell r="AH420"/>
          <cell r="AI420" t="str">
            <v>Co</v>
          </cell>
          <cell r="AJ420" t="str">
            <v/>
          </cell>
          <cell r="AK420" t="str">
            <v/>
          </cell>
          <cell r="AL420" t="str">
            <v/>
          </cell>
          <cell r="AM420" t="str">
            <v/>
          </cell>
          <cell r="AN420" t="str">
            <v>-2.Ta</v>
          </cell>
          <cell r="AO420" t="str">
            <v/>
          </cell>
          <cell r="AP420" t="str">
            <v>-12.V</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cell r="BD420" t="str">
            <v/>
          </cell>
          <cell r="BE420" t="str">
            <v/>
          </cell>
          <cell r="BF420" t="str">
            <v/>
          </cell>
          <cell r="BG420" t="str">
            <v/>
          </cell>
          <cell r="BH420" t="str">
            <v>Co-12V-2TaRuan, J. et al. Accelerated design of novel W-free high-strength Co-base superalloys with extremely wide γ/γʹ region by machine learning and CALPHAD methods. Acta Mater. 186, 425–433 (2020).</v>
          </cell>
          <cell r="BI420" t="str">
            <v>Co-2.Ta-12.V</v>
          </cell>
          <cell r="BJ420" t="str">
            <v>86.0Co-2.0Ta-12.0V</v>
          </cell>
        </row>
        <row r="421">
          <cell r="A421" t="str">
            <v>Co-2.Al-2.Ta-12.V</v>
          </cell>
          <cell r="B421" t="str">
            <v>W-free</v>
          </cell>
          <cell r="C421" t="str">
            <v>-2Al-2Ta-12V</v>
          </cell>
          <cell r="D421" t="str">
            <v>Co-12V-2Ta-2Al</v>
          </cell>
          <cell r="E421" t="str">
            <v>Ruan, J. et al. Accelerated design of novel W-free high-strength Co-base superalloys with extremely wide γ/γʹ region by machine learning and CALPHAD methods. Acta Mater. 186, 425–433 (2020).</v>
          </cell>
          <cell r="F421">
            <v>438</v>
          </cell>
          <cell r="G421">
            <v>84</v>
          </cell>
          <cell r="H421"/>
          <cell r="I421">
            <v>2</v>
          </cell>
          <cell r="J421"/>
          <cell r="K421"/>
          <cell r="L421"/>
          <cell r="M421">
            <v>2</v>
          </cell>
          <cell r="N421"/>
          <cell r="O421">
            <v>12</v>
          </cell>
          <cell r="P421"/>
          <cell r="Q421"/>
          <cell r="R421"/>
          <cell r="S421"/>
          <cell r="T421"/>
          <cell r="U421"/>
          <cell r="V421"/>
          <cell r="W421"/>
          <cell r="X421"/>
          <cell r="Y421"/>
          <cell r="Z421"/>
          <cell r="AA421"/>
          <cell r="AB421"/>
          <cell r="AC421"/>
          <cell r="AD421"/>
          <cell r="AE421"/>
          <cell r="AF421">
            <v>8.5961999999999996</v>
          </cell>
          <cell r="AG421"/>
          <cell r="AH421"/>
          <cell r="AI421" t="str">
            <v>Co</v>
          </cell>
          <cell r="AJ421" t="str">
            <v>-2.Al</v>
          </cell>
          <cell r="AK421" t="str">
            <v/>
          </cell>
          <cell r="AL421" t="str">
            <v/>
          </cell>
          <cell r="AM421" t="str">
            <v/>
          </cell>
          <cell r="AN421" t="str">
            <v>-2.Ta</v>
          </cell>
          <cell r="AO421" t="str">
            <v/>
          </cell>
          <cell r="AP421" t="str">
            <v>-12.V</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cell r="BD421" t="str">
            <v/>
          </cell>
          <cell r="BE421" t="str">
            <v/>
          </cell>
          <cell r="BF421" t="str">
            <v/>
          </cell>
          <cell r="BG421" t="str">
            <v/>
          </cell>
          <cell r="BH421" t="str">
            <v>Co-12V-2Ta-2AlRuan, J. et al. Accelerated design of novel W-free high-strength Co-base superalloys with extremely wide γ/γʹ region by machine learning and CALPHAD methods. Acta Mater. 186, 425–433 (2020).</v>
          </cell>
          <cell r="BI421" t="str">
            <v>Co-2.Al-2.Ta-12.V</v>
          </cell>
          <cell r="BJ421" t="str">
            <v>96.0Co-2.0Al-2.0Ta</v>
          </cell>
        </row>
        <row r="422">
          <cell r="A422" t="str">
            <v>Co-5.8Ti-16.9V</v>
          </cell>
          <cell r="B422" t="str">
            <v>W-free</v>
          </cell>
          <cell r="C422" t="str">
            <v>-6Ti-17V</v>
          </cell>
          <cell r="D422" t="str">
            <v>Co-5.83Ti-16.88V</v>
          </cell>
          <cell r="E422" t="str">
            <v>Ruan, J. J. et al. Experimental investigation of phase equilibria and microstructure in the Co-Ti-V ternary system. Intermetallics 49, 121–131 (2014).</v>
          </cell>
          <cell r="F422">
            <v>439</v>
          </cell>
          <cell r="G422">
            <v>77.289999999999992</v>
          </cell>
          <cell r="H422"/>
          <cell r="I422"/>
          <cell r="J422"/>
          <cell r="K422"/>
          <cell r="L422">
            <v>5.83</v>
          </cell>
          <cell r="M422"/>
          <cell r="N422"/>
          <cell r="O422">
            <v>16.88</v>
          </cell>
          <cell r="P422"/>
          <cell r="Q422"/>
          <cell r="R422"/>
          <cell r="S422"/>
          <cell r="T422"/>
          <cell r="U422"/>
          <cell r="V422"/>
          <cell r="W422"/>
          <cell r="X422"/>
          <cell r="Y422"/>
          <cell r="Z422"/>
          <cell r="AA422"/>
          <cell r="AB422"/>
          <cell r="AC422"/>
          <cell r="AD422"/>
          <cell r="AE422"/>
          <cell r="AF422">
            <v>8.1729360999999994</v>
          </cell>
          <cell r="AG422"/>
          <cell r="AH422"/>
          <cell r="AI422" t="str">
            <v>Co</v>
          </cell>
          <cell r="AJ422" t="str">
            <v/>
          </cell>
          <cell r="AK422" t="str">
            <v/>
          </cell>
          <cell r="AL422" t="str">
            <v/>
          </cell>
          <cell r="AM422" t="str">
            <v/>
          </cell>
          <cell r="AN422" t="str">
            <v/>
          </cell>
          <cell r="AO422" t="str">
            <v/>
          </cell>
          <cell r="AP422" t="str">
            <v>-16.9V</v>
          </cell>
          <cell r="AQ422" t="str">
            <v>-5.8Ti</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cell r="BD422" t="str">
            <v/>
          </cell>
          <cell r="BE422" t="str">
            <v/>
          </cell>
          <cell r="BF422" t="str">
            <v/>
          </cell>
          <cell r="BG422" t="str">
            <v/>
          </cell>
          <cell r="BH422" t="str">
            <v>Co-5.83Ti-16.88VRuan, J. J. et al. Experimental investigation of phase equilibria and microstructure in the Co-Ti-V ternary system. Intermetallics 49, 121–131 (2014).</v>
          </cell>
          <cell r="BI422" t="str">
            <v>Co-5.8Ti-16.9V</v>
          </cell>
          <cell r="BJ422" t="str">
            <v>77.3Co-5.8Ti-16.9V</v>
          </cell>
        </row>
        <row r="423">
          <cell r="A423" t="str">
            <v>Co-5.Ti-15.V</v>
          </cell>
          <cell r="B423" t="str">
            <v>W-free</v>
          </cell>
          <cell r="C423" t="str">
            <v>-5Ti-15V</v>
          </cell>
          <cell r="D423" t="str">
            <v>Co-5Ti-15V</v>
          </cell>
          <cell r="E423" t="str">
            <v>Ruan, J. J. et al. Novel Co-Ti-V-base superalloys reinforced by L12-ordered γ′ phase. Intermetallics 92, 126–132 (2018).</v>
          </cell>
          <cell r="F423">
            <v>440</v>
          </cell>
          <cell r="G423">
            <v>80</v>
          </cell>
          <cell r="H423"/>
          <cell r="I423"/>
          <cell r="J423"/>
          <cell r="K423"/>
          <cell r="L423">
            <v>5</v>
          </cell>
          <cell r="M423"/>
          <cell r="N423"/>
          <cell r="O423">
            <v>15</v>
          </cell>
          <cell r="P423"/>
          <cell r="Q423"/>
          <cell r="R423"/>
          <cell r="S423"/>
          <cell r="T423"/>
          <cell r="U423"/>
          <cell r="V423"/>
          <cell r="W423"/>
          <cell r="X423"/>
          <cell r="Y423"/>
          <cell r="Z423"/>
          <cell r="AA423"/>
          <cell r="AB423"/>
          <cell r="AC423"/>
          <cell r="AD423"/>
          <cell r="AE423"/>
          <cell r="AF423">
            <v>8.261849999999999</v>
          </cell>
          <cell r="AG423"/>
          <cell r="AH423"/>
          <cell r="AI423" t="str">
            <v>Co</v>
          </cell>
          <cell r="AJ423" t="str">
            <v/>
          </cell>
          <cell r="AK423" t="str">
            <v/>
          </cell>
          <cell r="AL423" t="str">
            <v/>
          </cell>
          <cell r="AM423" t="str">
            <v/>
          </cell>
          <cell r="AN423" t="str">
            <v/>
          </cell>
          <cell r="AO423" t="str">
            <v/>
          </cell>
          <cell r="AP423" t="str">
            <v>-15.V</v>
          </cell>
          <cell r="AQ423" t="str">
            <v>-5.Ti</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cell r="BD423" t="str">
            <v/>
          </cell>
          <cell r="BE423" t="str">
            <v/>
          </cell>
          <cell r="BF423" t="str">
            <v/>
          </cell>
          <cell r="BG423" t="str">
            <v/>
          </cell>
          <cell r="BH423" t="str">
            <v>Co-5Ti-15VRuan, J. J. et al. Novel Co-Ti-V-base superalloys reinforced by L12-ordered γ′ phase. Intermetallics 92, 126–132 (2018).</v>
          </cell>
          <cell r="BI423" t="str">
            <v>Co-5.Ti-15.V</v>
          </cell>
          <cell r="BJ423" t="str">
            <v>80.0Co-5.0Ti-15.0V</v>
          </cell>
        </row>
        <row r="424">
          <cell r="A424" t="str">
            <v>Co-2.Al-5.Ti-15.V</v>
          </cell>
          <cell r="B424" t="str">
            <v>W-free</v>
          </cell>
          <cell r="C424" t="str">
            <v>-2Al-5Ti-15V</v>
          </cell>
          <cell r="D424" t="str">
            <v>Co-5Ti-15V-2Al</v>
          </cell>
          <cell r="E424" t="str">
            <v>Ruan, J. J. et al. Novel Co-Ti-V-base superalloys reinforced by L12-ordered γ′ phase. Intermetallics 92, 126–132 (2018).</v>
          </cell>
          <cell r="F424">
            <v>441</v>
          </cell>
          <cell r="G424">
            <v>78</v>
          </cell>
          <cell r="H424"/>
          <cell r="I424">
            <v>2</v>
          </cell>
          <cell r="J424"/>
          <cell r="K424"/>
          <cell r="L424">
            <v>5</v>
          </cell>
          <cell r="M424"/>
          <cell r="N424"/>
          <cell r="O424">
            <v>15</v>
          </cell>
          <cell r="P424"/>
          <cell r="Q424"/>
          <cell r="R424"/>
          <cell r="S424"/>
          <cell r="T424"/>
          <cell r="U424"/>
          <cell r="V424"/>
          <cell r="W424"/>
          <cell r="X424"/>
          <cell r="Y424"/>
          <cell r="Z424"/>
          <cell r="AA424"/>
          <cell r="AB424"/>
          <cell r="AC424"/>
          <cell r="AD424"/>
          <cell r="AE424"/>
          <cell r="AF424">
            <v>8.1378500000000003</v>
          </cell>
          <cell r="AG424"/>
          <cell r="AH424"/>
          <cell r="AI424" t="str">
            <v>Co</v>
          </cell>
          <cell r="AJ424" t="str">
            <v>-2.Al</v>
          </cell>
          <cell r="AK424" t="str">
            <v/>
          </cell>
          <cell r="AL424" t="str">
            <v/>
          </cell>
          <cell r="AM424" t="str">
            <v/>
          </cell>
          <cell r="AN424" t="str">
            <v/>
          </cell>
          <cell r="AO424" t="str">
            <v/>
          </cell>
          <cell r="AP424" t="str">
            <v>-15.V</v>
          </cell>
          <cell r="AQ424" t="str">
            <v>-5.Ti</v>
          </cell>
          <cell r="AR424" t="str">
            <v/>
          </cell>
          <cell r="AS424" t="str">
            <v/>
          </cell>
          <cell r="AT424" t="str">
            <v/>
          </cell>
          <cell r="AU424" t="str">
            <v/>
          </cell>
          <cell r="AV424" t="str">
            <v/>
          </cell>
          <cell r="AW424" t="str">
            <v/>
          </cell>
          <cell r="AX424" t="str">
            <v/>
          </cell>
          <cell r="AY424" t="str">
            <v/>
          </cell>
          <cell r="AZ424" t="str">
            <v/>
          </cell>
          <cell r="BA424" t="str">
            <v/>
          </cell>
          <cell r="BB424" t="str">
            <v/>
          </cell>
          <cell r="BC424" t="str">
            <v/>
          </cell>
          <cell r="BD424" t="str">
            <v/>
          </cell>
          <cell r="BE424" t="str">
            <v/>
          </cell>
          <cell r="BF424" t="str">
            <v/>
          </cell>
          <cell r="BG424" t="str">
            <v/>
          </cell>
          <cell r="BH424" t="str">
            <v>Co-5Ti-15V-2AlRuan, J. J. et al. Novel Co-Ti-V-base superalloys reinforced by L12-ordered γ′ phase. Intermetallics 92, 126–132 (2018).</v>
          </cell>
          <cell r="BI424" t="str">
            <v>Co-2.Al-5.Ti-15.V</v>
          </cell>
          <cell r="BJ424" t="str">
            <v>78.0Co-2.0Al-5.0Ti-15.0V</v>
          </cell>
        </row>
        <row r="425">
          <cell r="A425" t="str">
            <v>Co-2.Ni-5.Ti-15.V</v>
          </cell>
          <cell r="B425" t="str">
            <v>W-free</v>
          </cell>
          <cell r="C425" t="str">
            <v>-2Ni-5Ti-15V</v>
          </cell>
          <cell r="D425" t="str">
            <v>Co-5Ti-15V-2Ni</v>
          </cell>
          <cell r="E425" t="str">
            <v>Ruan, J. J. et al. Novel Co-Ti-V-base superalloys reinforced by L12-ordered γ′ phase. Intermetallics 92, 126–132 (2018).</v>
          </cell>
          <cell r="F425">
            <v>442</v>
          </cell>
          <cell r="G425">
            <v>78</v>
          </cell>
          <cell r="H425">
            <v>2</v>
          </cell>
          <cell r="I425"/>
          <cell r="J425"/>
          <cell r="K425"/>
          <cell r="L425">
            <v>5</v>
          </cell>
          <cell r="M425"/>
          <cell r="N425"/>
          <cell r="O425">
            <v>15</v>
          </cell>
          <cell r="P425"/>
          <cell r="Q425"/>
          <cell r="R425"/>
          <cell r="S425"/>
          <cell r="T425"/>
          <cell r="U425"/>
          <cell r="V425"/>
          <cell r="W425"/>
          <cell r="X425"/>
          <cell r="Y425"/>
          <cell r="Z425"/>
          <cell r="AA425"/>
          <cell r="AB425"/>
          <cell r="AC425"/>
          <cell r="AD425"/>
          <cell r="AE425"/>
          <cell r="AF425">
            <v>8.2620100000000001</v>
          </cell>
          <cell r="AG425"/>
          <cell r="AH425"/>
          <cell r="AI425" t="str">
            <v>Co</v>
          </cell>
          <cell r="AJ425" t="str">
            <v/>
          </cell>
          <cell r="AK425" t="str">
            <v/>
          </cell>
          <cell r="AL425" t="str">
            <v>-2.Ni</v>
          </cell>
          <cell r="AM425" t="str">
            <v/>
          </cell>
          <cell r="AN425" t="str">
            <v/>
          </cell>
          <cell r="AO425" t="str">
            <v/>
          </cell>
          <cell r="AP425" t="str">
            <v>-15.V</v>
          </cell>
          <cell r="AQ425" t="str">
            <v>-5.Ti</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cell r="BD425" t="str">
            <v/>
          </cell>
          <cell r="BE425" t="str">
            <v/>
          </cell>
          <cell r="BF425" t="str">
            <v/>
          </cell>
          <cell r="BG425" t="str">
            <v/>
          </cell>
          <cell r="BH425" t="str">
            <v>Co-5Ti-15V-2NiRuan, J. J. et al. Novel Co-Ti-V-base superalloys reinforced by L12-ordered γ′ phase. Intermetallics 92, 126–132 (2018).</v>
          </cell>
          <cell r="BI425" t="str">
            <v>Co-2.Ni-5.Ti-15.V</v>
          </cell>
          <cell r="BJ425" t="str">
            <v>80.0Co-2.0Ni-5.0Ti-15.0V</v>
          </cell>
        </row>
        <row r="426">
          <cell r="A426" t="str">
            <v>Co-9.Al-7.5W</v>
          </cell>
          <cell r="B426" t="str">
            <v>CoAlW-X</v>
          </cell>
          <cell r="C426" t="str">
            <v>-9Al-8W</v>
          </cell>
          <cell r="D426" t="str">
            <v>The Original</v>
          </cell>
          <cell r="E426" t="str">
            <v>Sato, J. et al. Cobalt-base high-temperature alloys. Science (80-. ). 312, 90–91 (2006).</v>
          </cell>
          <cell r="F426">
            <v>444</v>
          </cell>
          <cell r="G426">
            <v>83.5</v>
          </cell>
          <cell r="H426"/>
          <cell r="I426">
            <v>9</v>
          </cell>
          <cell r="J426"/>
          <cell r="K426">
            <v>7.5</v>
          </cell>
          <cell r="L426"/>
          <cell r="M426"/>
          <cell r="N426"/>
          <cell r="O426"/>
          <cell r="P426"/>
          <cell r="Q426"/>
          <cell r="R426"/>
          <cell r="S426"/>
          <cell r="T426"/>
          <cell r="U426"/>
          <cell r="V426"/>
          <cell r="W426"/>
          <cell r="X426"/>
          <cell r="Y426"/>
          <cell r="Z426"/>
          <cell r="AA426"/>
          <cell r="AB426"/>
          <cell r="AC426"/>
          <cell r="AD426"/>
          <cell r="AE426"/>
          <cell r="AF426">
            <v>9.1182499999999997</v>
          </cell>
          <cell r="AG426"/>
          <cell r="AH426"/>
          <cell r="AI426" t="str">
            <v>Co</v>
          </cell>
          <cell r="AJ426" t="str">
            <v>-9.Al</v>
          </cell>
          <cell r="AK426" t="str">
            <v>-7.5W</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cell r="BD426" t="str">
            <v/>
          </cell>
          <cell r="BE426" t="str">
            <v/>
          </cell>
          <cell r="BF426" t="str">
            <v/>
          </cell>
          <cell r="BG426" t="str">
            <v/>
          </cell>
          <cell r="BH426" t="str">
            <v>The OriginalSato, J. et al. Cobalt-base high-temperature alloys. Science (80-. ). 312, 90–91 (2006).</v>
          </cell>
          <cell r="BI426" t="str">
            <v>Co-9.Al-7.5W</v>
          </cell>
          <cell r="BJ426" t="str">
            <v>83.5Co-9.0Al-7.5W</v>
          </cell>
        </row>
        <row r="427">
          <cell r="A427" t="str">
            <v>Co-8.8Al-9.8W-2.Ta</v>
          </cell>
          <cell r="B427" t="str">
            <v>CoAlW-X</v>
          </cell>
          <cell r="C427" t="str">
            <v>-9Al-10W-2Ta</v>
          </cell>
          <cell r="D427" t="str">
            <v>Co-8.8Al-9.8W-2Ta</v>
          </cell>
          <cell r="E427" t="str">
            <v>Sato, J. et al. Cobalt-base high-temperature alloys. Science (80-. ). 312, 90–91 (2006).</v>
          </cell>
          <cell r="F427">
            <v>445</v>
          </cell>
          <cell r="G427">
            <v>79.400000000000006</v>
          </cell>
          <cell r="H427"/>
          <cell r="I427">
            <v>8.8000000000000007</v>
          </cell>
          <cell r="J427"/>
          <cell r="K427">
            <v>9.8000000000000007</v>
          </cell>
          <cell r="L427"/>
          <cell r="M427">
            <v>2</v>
          </cell>
          <cell r="N427"/>
          <cell r="O427"/>
          <cell r="P427"/>
          <cell r="Q427"/>
          <cell r="R427"/>
          <cell r="S427"/>
          <cell r="T427"/>
          <cell r="U427"/>
          <cell r="V427"/>
          <cell r="W427"/>
          <cell r="X427"/>
          <cell r="Y427"/>
          <cell r="Z427"/>
          <cell r="AA427"/>
          <cell r="AB427"/>
          <cell r="AC427"/>
          <cell r="AD427"/>
          <cell r="AE427"/>
          <cell r="AF427">
            <v>9.5236999999999998</v>
          </cell>
          <cell r="AG427"/>
          <cell r="AH427"/>
          <cell r="AI427" t="str">
            <v>Co</v>
          </cell>
          <cell r="AJ427" t="str">
            <v>-8.8Al</v>
          </cell>
          <cell r="AK427" t="str">
            <v>-9.8W</v>
          </cell>
          <cell r="AL427" t="str">
            <v/>
          </cell>
          <cell r="AM427" t="str">
            <v/>
          </cell>
          <cell r="AN427" t="str">
            <v>-2.Ta</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cell r="BD427" t="str">
            <v/>
          </cell>
          <cell r="BE427" t="str">
            <v/>
          </cell>
          <cell r="BF427" t="str">
            <v/>
          </cell>
          <cell r="BG427" t="str">
            <v/>
          </cell>
          <cell r="BH427" t="str">
            <v>Co-8.8Al-9.8W-2TaSato, J. et al. Cobalt-base high-temperature alloys. Science (80-. ). 312, 90–91 (2006).</v>
          </cell>
          <cell r="BI427" t="str">
            <v>Co-8.8Al-9.8W-2.Ta</v>
          </cell>
          <cell r="BJ427" t="str">
            <v>79.4Co-8.8Al-9.8W-2.0Ta</v>
          </cell>
        </row>
        <row r="428">
          <cell r="A428" t="str">
            <v>Co-9.2Al-9.W</v>
          </cell>
          <cell r="B428" t="str">
            <v>CoAlW-X</v>
          </cell>
          <cell r="C428" t="str">
            <v>-9Al-9W</v>
          </cell>
          <cell r="D428" t="str">
            <v>Co-9.2Al-9W</v>
          </cell>
          <cell r="E428" t="str">
            <v>Sato, J. et al. Cobalt-base high-temperature alloys. Science (80-. ). 312, 90–91 (2006).</v>
          </cell>
          <cell r="F428">
            <v>446</v>
          </cell>
          <cell r="G428">
            <v>81.8</v>
          </cell>
          <cell r="H428"/>
          <cell r="I428">
            <v>9.1999999999999993</v>
          </cell>
          <cell r="J428"/>
          <cell r="K428">
            <v>9</v>
          </cell>
          <cell r="L428"/>
          <cell r="M428"/>
          <cell r="N428"/>
          <cell r="O428"/>
          <cell r="P428"/>
          <cell r="Q428"/>
          <cell r="R428"/>
          <cell r="S428"/>
          <cell r="T428"/>
          <cell r="U428"/>
          <cell r="V428"/>
          <cell r="W428"/>
          <cell r="X428"/>
          <cell r="Y428"/>
          <cell r="Z428"/>
          <cell r="AA428"/>
          <cell r="AB428"/>
          <cell r="AC428"/>
          <cell r="AD428"/>
          <cell r="AE428"/>
          <cell r="AF428">
            <v>9.2611000000000008</v>
          </cell>
          <cell r="AG428"/>
          <cell r="AH428"/>
          <cell r="AI428" t="str">
            <v>Co</v>
          </cell>
          <cell r="AJ428" t="str">
            <v>-9.2Al</v>
          </cell>
          <cell r="AK428" t="str">
            <v>-9.W</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cell r="BD428" t="str">
            <v/>
          </cell>
          <cell r="BE428" t="str">
            <v/>
          </cell>
          <cell r="BF428" t="str">
            <v/>
          </cell>
          <cell r="BG428" t="str">
            <v/>
          </cell>
          <cell r="BH428" t="str">
            <v>Co-9.2Al-9WSato, J. et al. Cobalt-base high-temperature alloys. Science (80-. ). 312, 90–91 (2006).</v>
          </cell>
          <cell r="BI428" t="str">
            <v>Co-9.2Al-9.W</v>
          </cell>
          <cell r="BJ428" t="str">
            <v>81.8Co-9.2Al-9.0W</v>
          </cell>
        </row>
        <row r="429">
          <cell r="A429" t="str">
            <v>Co-20.Ni-10.Al-10.W-2.Ta</v>
          </cell>
          <cell r="B429" t="str">
            <v>CoAlWX+</v>
          </cell>
          <cell r="C429" t="str">
            <v>-20Ni-10Al-10W-2Ta</v>
          </cell>
          <cell r="D429" t="str">
            <v>Co-20Ni-10Al-10W-2Ta</v>
          </cell>
          <cell r="E429" t="str">
            <v>Sato, J. et al. Cobalt-base high-temperature alloys. Science (80-. ). 312, 90–91 (2006).</v>
          </cell>
          <cell r="F429">
            <v>447</v>
          </cell>
          <cell r="G429">
            <v>58</v>
          </cell>
          <cell r="H429">
            <v>20</v>
          </cell>
          <cell r="I429">
            <v>10</v>
          </cell>
          <cell r="J429"/>
          <cell r="K429">
            <v>10</v>
          </cell>
          <cell r="L429"/>
          <cell r="M429">
            <v>2</v>
          </cell>
          <cell r="N429"/>
          <cell r="O429"/>
          <cell r="P429"/>
          <cell r="Q429"/>
          <cell r="R429"/>
          <cell r="S429"/>
          <cell r="T429"/>
          <cell r="U429"/>
          <cell r="V429"/>
          <cell r="W429"/>
          <cell r="X429"/>
          <cell r="Y429"/>
          <cell r="Z429"/>
          <cell r="AA429"/>
          <cell r="AB429"/>
          <cell r="AC429"/>
          <cell r="AD429"/>
          <cell r="AE429"/>
          <cell r="AF429">
            <v>9.4716000000000005</v>
          </cell>
          <cell r="AG429"/>
          <cell r="AH429"/>
          <cell r="AI429" t="str">
            <v>Co</v>
          </cell>
          <cell r="AJ429" t="str">
            <v>-10.Al</v>
          </cell>
          <cell r="AK429" t="str">
            <v>-10.W</v>
          </cell>
          <cell r="AL429" t="str">
            <v>-20.Ni</v>
          </cell>
          <cell r="AM429" t="str">
            <v/>
          </cell>
          <cell r="AN429" t="str">
            <v>-2.Ta</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cell r="BD429" t="str">
            <v/>
          </cell>
          <cell r="BE429" t="str">
            <v/>
          </cell>
          <cell r="BF429" t="str">
            <v/>
          </cell>
          <cell r="BG429" t="str">
            <v/>
          </cell>
          <cell r="BH429" t="str">
            <v>Co-20Ni-10Al-10W-2TaSato, J. et al. Cobalt-base high-temperature alloys. Science (80-. ). 312, 90–91 (2006).</v>
          </cell>
          <cell r="BI429" t="str">
            <v>Co-20.Ni-10.Al-10.W-2.Ta</v>
          </cell>
          <cell r="BJ429" t="str">
            <v>78.0Co-20.0Ni-10.0Al-10.0W-2.0Ta</v>
          </cell>
        </row>
        <row r="430">
          <cell r="A430" t="str">
            <v>Co-8.8Al-7.3W</v>
          </cell>
          <cell r="B430" t="str">
            <v>CoAlW-X</v>
          </cell>
          <cell r="C430" t="str">
            <v>-9Al-7W</v>
          </cell>
          <cell r="D430" t="str">
            <v>Co-8.8Al-7.3W</v>
          </cell>
          <cell r="E430" t="str">
            <v>Sauza, D. J., Bocchini, P. J., Dunand, D. C. &amp; Seidman, D. N. Influence of ruthenium on microstructural evolution in a model Co-Al-W superalloy. Acta Mater. 117, 135–145 (2016).</v>
          </cell>
          <cell r="F430">
            <v>448</v>
          </cell>
          <cell r="G430">
            <v>83.9</v>
          </cell>
          <cell r="H430"/>
          <cell r="I430">
            <v>8.8000000000000007</v>
          </cell>
          <cell r="J430"/>
          <cell r="K430">
            <v>7.3</v>
          </cell>
          <cell r="L430"/>
          <cell r="M430"/>
          <cell r="N430"/>
          <cell r="O430"/>
          <cell r="P430"/>
          <cell r="Q430"/>
          <cell r="R430"/>
          <cell r="S430"/>
          <cell r="T430"/>
          <cell r="U430"/>
          <cell r="V430"/>
          <cell r="W430"/>
          <cell r="X430"/>
          <cell r="Y430"/>
          <cell r="Z430"/>
          <cell r="AA430"/>
          <cell r="AB430"/>
          <cell r="AC430"/>
          <cell r="AD430"/>
          <cell r="AE430"/>
          <cell r="AF430">
            <v>9.1099499999999995</v>
          </cell>
          <cell r="AG430"/>
          <cell r="AH430"/>
          <cell r="AI430" t="str">
            <v>Co</v>
          </cell>
          <cell r="AJ430" t="str">
            <v>-8.8Al</v>
          </cell>
          <cell r="AK430" t="str">
            <v>-7.3W</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cell r="BD430" t="str">
            <v/>
          </cell>
          <cell r="BE430" t="str">
            <v/>
          </cell>
          <cell r="BF430" t="str">
            <v/>
          </cell>
          <cell r="BG430" t="str">
            <v/>
          </cell>
          <cell r="BH430" t="str">
            <v>Co-8.8Al-7.3WSauza, D. J., Bocchini, P. J., Dunand, D. C. &amp; Seidman, D. N. Influence of ruthenium on microstructural evolution in a model Co-Al-W superalloy. Acta Mater. 117, 135–145 (2016).</v>
          </cell>
          <cell r="BI430" t="str">
            <v>Co-8.8Al-7.3W</v>
          </cell>
          <cell r="BJ430" t="str">
            <v>83.9Co-8.8Al-7.3W</v>
          </cell>
        </row>
        <row r="431">
          <cell r="A431" t="str">
            <v>Co-9.7Al-7.1W-2.1Ru</v>
          </cell>
          <cell r="B431" t="str">
            <v>CoAlW-X</v>
          </cell>
          <cell r="C431" t="str">
            <v>-10Al-7W-2Ru</v>
          </cell>
          <cell r="D431" t="str">
            <v>Co-9.7Al-7.1W-2.1Ru</v>
          </cell>
          <cell r="E431" t="str">
            <v>Sauza, D. J., Bocchini, P. J., Dunand, D. C. &amp; Seidman, D. N. Influence of ruthenium on microstructural evolution in a model Co-Al-W superalloy. Acta Mater. 117, 135–145 (2016).</v>
          </cell>
          <cell r="F431">
            <v>449</v>
          </cell>
          <cell r="G431">
            <v>81.099999999999994</v>
          </cell>
          <cell r="H431"/>
          <cell r="I431">
            <v>9.6999999999999993</v>
          </cell>
          <cell r="J431"/>
          <cell r="K431">
            <v>7.1</v>
          </cell>
          <cell r="L431"/>
          <cell r="M431"/>
          <cell r="N431"/>
          <cell r="O431"/>
          <cell r="P431"/>
          <cell r="Q431"/>
          <cell r="R431"/>
          <cell r="S431"/>
          <cell r="T431"/>
          <cell r="U431"/>
          <cell r="V431"/>
          <cell r="W431"/>
          <cell r="X431"/>
          <cell r="Y431"/>
          <cell r="Z431"/>
          <cell r="AA431"/>
          <cell r="AB431"/>
          <cell r="AC431">
            <v>2.1</v>
          </cell>
          <cell r="AD431"/>
          <cell r="AE431"/>
          <cell r="AF431">
            <v>9.1063200000000002</v>
          </cell>
          <cell r="AG431"/>
          <cell r="AH431"/>
          <cell r="AI431" t="str">
            <v>Co</v>
          </cell>
          <cell r="AJ431" t="str">
            <v>-9.7Al</v>
          </cell>
          <cell r="AK431" t="str">
            <v>-7.1W</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cell r="BD431" t="str">
            <v/>
          </cell>
          <cell r="BE431" t="str">
            <v>-2.1Ru</v>
          </cell>
          <cell r="BF431" t="str">
            <v/>
          </cell>
          <cell r="BG431" t="str">
            <v/>
          </cell>
          <cell r="BH431" t="str">
            <v>Co-9.7Al-7.1W-2.1RuSauza, D. J., Bocchini, P. J., Dunand, D. C. &amp; Seidman, D. N. Influence of ruthenium on microstructural evolution in a model Co-Al-W superalloy. Acta Mater. 117, 135–145 (2016).</v>
          </cell>
          <cell r="BI431" t="str">
            <v>Co-9.7Al-7.1W-2.1Ru</v>
          </cell>
          <cell r="BJ431" t="str">
            <v>81.1Co-9.7Al-7.1W-2.1Ru</v>
          </cell>
        </row>
        <row r="432">
          <cell r="A432" t="str">
            <v>Co-9.9Ni-8.8Al-8.9W</v>
          </cell>
          <cell r="B432" t="str">
            <v>CoAlW-X</v>
          </cell>
          <cell r="C432" t="str">
            <v>-10Ni-9Al-9W</v>
          </cell>
          <cell r="D432" t="str">
            <v>Co-8.8Al-8.9W-9.9Ni</v>
          </cell>
          <cell r="E432" t="str">
            <v>Sauza, D. J., Dunand, D. C., Noebe, R. D. &amp; Seidman, D. N. γ’-(L12) precipitate evolution during isothermal aging of a Co–Al–W–Ni superalloy. Acta Mater. 164, 654–662 (2019).</v>
          </cell>
          <cell r="F432">
            <v>450</v>
          </cell>
          <cell r="G432">
            <v>72.400000000000006</v>
          </cell>
          <cell r="H432">
            <v>9.9</v>
          </cell>
          <cell r="I432">
            <v>8.8000000000000007</v>
          </cell>
          <cell r="J432"/>
          <cell r="K432">
            <v>8.9</v>
          </cell>
          <cell r="L432"/>
          <cell r="M432"/>
          <cell r="N432"/>
          <cell r="O432"/>
          <cell r="P432"/>
          <cell r="Q432"/>
          <cell r="R432"/>
          <cell r="S432"/>
          <cell r="T432"/>
          <cell r="U432"/>
          <cell r="V432"/>
          <cell r="W432"/>
          <cell r="X432"/>
          <cell r="Y432"/>
          <cell r="Z432"/>
          <cell r="AA432"/>
          <cell r="AB432"/>
          <cell r="AC432"/>
          <cell r="AD432"/>
          <cell r="AE432"/>
          <cell r="AF432">
            <v>9.2763420000000014</v>
          </cell>
          <cell r="AG432"/>
          <cell r="AH432"/>
          <cell r="AI432" t="str">
            <v>Co</v>
          </cell>
          <cell r="AJ432" t="str">
            <v>-8.8Al</v>
          </cell>
          <cell r="AK432" t="str">
            <v>-8.9W</v>
          </cell>
          <cell r="AL432" t="str">
            <v>-9.9Ni</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
          </cell>
          <cell r="BE432" t="str">
            <v/>
          </cell>
          <cell r="BF432" t="str">
            <v/>
          </cell>
          <cell r="BG432" t="str">
            <v/>
          </cell>
          <cell r="BH432" t="str">
            <v>Co-8.8Al-8.9W-9.9NiSauza, D. J., Dunand, D. C., Noebe, R. D. &amp; Seidman, D. N. γ’-(L12) precipitate evolution during isothermal aging of a Co–Al–W–Ni superalloy. Acta Mater. 164, 654–662 (2019).</v>
          </cell>
          <cell r="BI432" t="str">
            <v>Co-9.9Ni-8.8Al-8.9W</v>
          </cell>
          <cell r="BJ432" t="str">
            <v>82.3Co-9.9Ni-8.8Al-8.9W</v>
          </cell>
        </row>
        <row r="433">
          <cell r="A433" t="str">
            <v>Co-16.Ni-9.5Al-6.Cr-5.W</v>
          </cell>
          <cell r="B433" t="str">
            <v>CoAlWX+</v>
          </cell>
          <cell r="C433" t="str">
            <v>-16Ni-10Al-6Cr-5W</v>
          </cell>
          <cell r="D433" t="str">
            <v>0Ta</v>
          </cell>
          <cell r="E433" t="str">
            <v>Shi, L., Yu, J. J., Cui, C. Y. &amp; Sun, X. F. Effect of Ta additions on microstructure and mechanical properties of a single-crystal Co-Al-W-base alloy. Mater. Lett. 149, 58–61 (2015).</v>
          </cell>
          <cell r="F433">
            <v>451</v>
          </cell>
          <cell r="G433">
            <v>63.5</v>
          </cell>
          <cell r="H433">
            <v>16</v>
          </cell>
          <cell r="I433">
            <v>9.5</v>
          </cell>
          <cell r="J433">
            <v>6</v>
          </cell>
          <cell r="K433">
            <v>5</v>
          </cell>
          <cell r="L433"/>
          <cell r="M433"/>
          <cell r="N433"/>
          <cell r="O433"/>
          <cell r="P433"/>
          <cell r="Q433"/>
          <cell r="R433"/>
          <cell r="S433"/>
          <cell r="T433"/>
          <cell r="U433"/>
          <cell r="V433"/>
          <cell r="W433"/>
          <cell r="X433"/>
          <cell r="Y433"/>
          <cell r="Z433"/>
          <cell r="AA433"/>
          <cell r="AB433"/>
          <cell r="AC433"/>
          <cell r="AD433"/>
          <cell r="AE433"/>
          <cell r="AF433">
            <v>8.7271799999999988</v>
          </cell>
          <cell r="AG433">
            <v>8.86</v>
          </cell>
          <cell r="AH433" t="str">
            <v>single crystal</v>
          </cell>
          <cell r="AI433" t="str">
            <v>Co</v>
          </cell>
          <cell r="AJ433" t="str">
            <v>-9.5Al</v>
          </cell>
          <cell r="AK433" t="str">
            <v>-5.W</v>
          </cell>
          <cell r="AL433" t="str">
            <v>-16.Ni</v>
          </cell>
          <cell r="AM433" t="str">
            <v>-6.Cr</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cell r="BD433" t="str">
            <v/>
          </cell>
          <cell r="BE433" t="str">
            <v/>
          </cell>
          <cell r="BF433" t="str">
            <v/>
          </cell>
          <cell r="BG433" t="str">
            <v/>
          </cell>
          <cell r="BH433" t="str">
            <v>0TaShi, L., Yu, J. J., Cui, C. Y. &amp; Sun, X. F. Effect of Ta additions on microstructure and mechanical properties of a single-crystal Co-Al-W-base alloy. Mater. Lett. 149, 58–61 (2015).</v>
          </cell>
          <cell r="BI433" t="str">
            <v>Co-16.Ni-9.5Al-6.Cr-5.W</v>
          </cell>
          <cell r="BJ433" t="str">
            <v>79.5Co-16.0Ni-9.5Al-6.0Cr-5.0W</v>
          </cell>
        </row>
        <row r="434">
          <cell r="A434" t="str">
            <v>Co-16.Ni-9.5Al-6.Cr-5.W-1.8Ta</v>
          </cell>
          <cell r="B434" t="str">
            <v>CoAlWX+</v>
          </cell>
          <cell r="C434" t="str">
            <v>-16Ni-10Al-6Cr-5W-2Ta</v>
          </cell>
          <cell r="D434" t="str">
            <v>1.8Ta</v>
          </cell>
          <cell r="E434" t="str">
            <v>Shi, L., Yu, J. J., Cui, C. Y. &amp; Sun, X. F. Effect of Ta additions on microstructure and mechanical properties of a single-crystal Co-Al-W-base alloy. Mater. Lett. 149, 58–61 (2015).</v>
          </cell>
          <cell r="F434">
            <v>452</v>
          </cell>
          <cell r="G434">
            <v>61.7</v>
          </cell>
          <cell r="H434">
            <v>16</v>
          </cell>
          <cell r="I434">
            <v>9.5</v>
          </cell>
          <cell r="J434">
            <v>6</v>
          </cell>
          <cell r="K434">
            <v>5</v>
          </cell>
          <cell r="L434"/>
          <cell r="M434">
            <v>1.8</v>
          </cell>
          <cell r="N434"/>
          <cell r="O434"/>
          <cell r="P434"/>
          <cell r="Q434"/>
          <cell r="R434"/>
          <cell r="S434"/>
          <cell r="T434"/>
          <cell r="U434"/>
          <cell r="V434"/>
          <cell r="W434"/>
          <cell r="X434"/>
          <cell r="Y434"/>
          <cell r="Z434"/>
          <cell r="AA434"/>
          <cell r="AB434"/>
          <cell r="AC434"/>
          <cell r="AD434"/>
          <cell r="AE434"/>
          <cell r="AF434">
            <v>8.8666800000000006</v>
          </cell>
          <cell r="AG434">
            <v>9.09</v>
          </cell>
          <cell r="AH434" t="str">
            <v>single crystal</v>
          </cell>
          <cell r="AI434" t="str">
            <v>Co</v>
          </cell>
          <cell r="AJ434" t="str">
            <v>-9.5Al</v>
          </cell>
          <cell r="AK434" t="str">
            <v>-5.W</v>
          </cell>
          <cell r="AL434" t="str">
            <v>-16.Ni</v>
          </cell>
          <cell r="AM434" t="str">
            <v>-6.Cr</v>
          </cell>
          <cell r="AN434" t="str">
            <v>-1.8Ta</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cell r="BD434" t="str">
            <v/>
          </cell>
          <cell r="BE434" t="str">
            <v/>
          </cell>
          <cell r="BF434" t="str">
            <v/>
          </cell>
          <cell r="BG434" t="str">
            <v/>
          </cell>
          <cell r="BH434" t="str">
            <v>1.8TaShi, L., Yu, J. J., Cui, C. Y. &amp; Sun, X. F. Effect of Ta additions on microstructure and mechanical properties of a single-crystal Co-Al-W-base alloy. Mater. Lett. 149, 58–61 (2015).</v>
          </cell>
          <cell r="BI434" t="str">
            <v>Co-16.Ni-9.5Al-6.Cr-5.W-1.8Ta</v>
          </cell>
          <cell r="BJ434" t="str">
            <v>77.7Co-16.0Ni-9.5Al-6.0Cr-5.0W-1.8Ta</v>
          </cell>
        </row>
        <row r="435">
          <cell r="A435" t="str">
            <v>Co-16.Ni-9.5Al-6.Cr-5.W-2.8Ta</v>
          </cell>
          <cell r="B435" t="str">
            <v>CoAlWX+</v>
          </cell>
          <cell r="C435" t="str">
            <v>-16Ni-10Al-6Cr-5W-3Ta</v>
          </cell>
          <cell r="D435" t="str">
            <v>2.8Ta</v>
          </cell>
          <cell r="E435" t="str">
            <v>Shi, L., Yu, J. J., Cui, C. Y. &amp; Sun, X. F. Effect of Ta additions on microstructure and mechanical properties of a single-crystal Co-Al-W-base alloy. Mater. Lett. 149, 58–61 (2015).</v>
          </cell>
          <cell r="F435">
            <v>453</v>
          </cell>
          <cell r="G435">
            <v>60.7</v>
          </cell>
          <cell r="H435">
            <v>16</v>
          </cell>
          <cell r="I435">
            <v>9.5</v>
          </cell>
          <cell r="J435">
            <v>6</v>
          </cell>
          <cell r="K435">
            <v>5</v>
          </cell>
          <cell r="L435"/>
          <cell r="M435">
            <v>2.8</v>
          </cell>
          <cell r="N435"/>
          <cell r="O435"/>
          <cell r="P435"/>
          <cell r="Q435"/>
          <cell r="R435"/>
          <cell r="S435"/>
          <cell r="T435"/>
          <cell r="U435"/>
          <cell r="V435"/>
          <cell r="W435"/>
          <cell r="X435"/>
          <cell r="Y435"/>
          <cell r="Z435"/>
          <cell r="AA435"/>
          <cell r="AB435"/>
          <cell r="AC435"/>
          <cell r="AD435"/>
          <cell r="AE435"/>
          <cell r="AF435">
            <v>8.9441799999999994</v>
          </cell>
          <cell r="AG435">
            <v>9.32</v>
          </cell>
          <cell r="AH435" t="str">
            <v>single crystal</v>
          </cell>
          <cell r="AI435" t="str">
            <v>Co</v>
          </cell>
          <cell r="AJ435" t="str">
            <v>-9.5Al</v>
          </cell>
          <cell r="AK435" t="str">
            <v>-5.W</v>
          </cell>
          <cell r="AL435" t="str">
            <v>-16.Ni</v>
          </cell>
          <cell r="AM435" t="str">
            <v>-6.Cr</v>
          </cell>
          <cell r="AN435" t="str">
            <v>-2.8Ta</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cell r="BD435" t="str">
            <v/>
          </cell>
          <cell r="BE435" t="str">
            <v/>
          </cell>
          <cell r="BF435" t="str">
            <v/>
          </cell>
          <cell r="BG435" t="str">
            <v/>
          </cell>
          <cell r="BH435" t="str">
            <v>2.8TaShi, L., Yu, J. J., Cui, C. Y. &amp; Sun, X. F. Effect of Ta additions on microstructure and mechanical properties of a single-crystal Co-Al-W-base alloy. Mater. Lett. 149, 58–61 (2015).</v>
          </cell>
          <cell r="BI435" t="str">
            <v>Co-16.Ni-9.5Al-6.Cr-5.W-2.8Ta</v>
          </cell>
          <cell r="BJ435" t="str">
            <v>76.7Co-16.0Ni-9.5Al-6.0Cr-5.0W-2.8Ta</v>
          </cell>
        </row>
        <row r="436">
          <cell r="A436" t="str">
            <v>Co-17.Ni-9.Al-5.W-3.Ti</v>
          </cell>
          <cell r="B436" t="str">
            <v>Co3Ti</v>
          </cell>
          <cell r="C436" t="str">
            <v>-17Ni-9Al-5W-3Ti</v>
          </cell>
          <cell r="D436" t="str">
            <v>3Ti</v>
          </cell>
          <cell r="E436" t="str">
            <v>Shi, L., Yu, J. J., Cui, C. Y. &amp; Sun, X. F. Microstructural stability and tensile properties of a Ti-containing single-crystal Co-Ni-Al-W-base alloy. Mater. Sci. Eng. A 646, 45–51 (2015).</v>
          </cell>
          <cell r="F436">
            <v>454</v>
          </cell>
          <cell r="G436">
            <v>66</v>
          </cell>
          <cell r="H436">
            <v>17</v>
          </cell>
          <cell r="I436">
            <v>9</v>
          </cell>
          <cell r="J436"/>
          <cell r="K436">
            <v>5</v>
          </cell>
          <cell r="L436">
            <v>3</v>
          </cell>
          <cell r="M436"/>
          <cell r="N436"/>
          <cell r="O436"/>
          <cell r="P436"/>
          <cell r="Q436"/>
          <cell r="R436"/>
          <cell r="S436"/>
          <cell r="T436"/>
          <cell r="U436"/>
          <cell r="V436"/>
          <cell r="W436"/>
          <cell r="X436"/>
          <cell r="Y436"/>
          <cell r="Z436"/>
          <cell r="AA436"/>
          <cell r="AB436"/>
          <cell r="AC436"/>
          <cell r="AD436"/>
          <cell r="AE436"/>
          <cell r="AF436">
            <v>8.7290700000000001</v>
          </cell>
          <cell r="AG436">
            <v>8.8699999999999992</v>
          </cell>
          <cell r="AH436" t="str">
            <v>single crystal</v>
          </cell>
          <cell r="AI436" t="str">
            <v>Co</v>
          </cell>
          <cell r="AJ436" t="str">
            <v>-9.Al</v>
          </cell>
          <cell r="AK436" t="str">
            <v>-5.W</v>
          </cell>
          <cell r="AL436" t="str">
            <v>-17.Ni</v>
          </cell>
          <cell r="AM436" t="str">
            <v/>
          </cell>
          <cell r="AN436" t="str">
            <v/>
          </cell>
          <cell r="AO436" t="str">
            <v/>
          </cell>
          <cell r="AP436" t="str">
            <v/>
          </cell>
          <cell r="AQ436" t="str">
            <v>-3.Ti</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cell r="BD436" t="str">
            <v/>
          </cell>
          <cell r="BE436" t="str">
            <v/>
          </cell>
          <cell r="BF436" t="str">
            <v/>
          </cell>
          <cell r="BG436" t="str">
            <v/>
          </cell>
          <cell r="BH436" t="str">
            <v>3TiShi, L., Yu, J. J., Cui, C. Y. &amp; Sun, X. F. Microstructural stability and tensile properties of a Ti-containing single-crystal Co-Ni-Al-W-base alloy. Mater. Sci. Eng. A 646, 45–51 (2015).</v>
          </cell>
          <cell r="BI436" t="str">
            <v>Co-17.Ni-9.Al-5.W-3.Ti</v>
          </cell>
          <cell r="BJ436" t="str">
            <v>83.0Co-17.0Ni-9.0Al-5.0W-3.0Ti</v>
          </cell>
        </row>
        <row r="437">
          <cell r="A437" t="str">
            <v>Co-17.Ni-10.Al-6.Cr-5.W-2.7Ta</v>
          </cell>
          <cell r="B437" t="str">
            <v>CoAlWX+</v>
          </cell>
          <cell r="C437" t="str">
            <v>-17Ni-10Al-6Cr-5W-3Ta</v>
          </cell>
          <cell r="D437" t="str">
            <v>5W</v>
          </cell>
          <cell r="E437" t="str">
            <v>Shi, L., Yu, J. J., Cui, C. Y. &amp; Sun, X. F. The creep deformation behavior of a single-crystal Co-Al-W-base superalloy at 900°C. Mater. Sci. Eng. A 635, 50–58 (2015).</v>
          </cell>
          <cell r="F437">
            <v>455</v>
          </cell>
          <cell r="G437">
            <v>59.3</v>
          </cell>
          <cell r="H437">
            <v>17</v>
          </cell>
          <cell r="I437">
            <v>10</v>
          </cell>
          <cell r="J437">
            <v>6</v>
          </cell>
          <cell r="K437">
            <v>5</v>
          </cell>
          <cell r="L437"/>
          <cell r="M437">
            <v>2.7</v>
          </cell>
          <cell r="N437"/>
          <cell r="O437"/>
          <cell r="P437"/>
          <cell r="Q437"/>
          <cell r="R437"/>
          <cell r="S437"/>
          <cell r="T437"/>
          <cell r="U437"/>
          <cell r="V437"/>
          <cell r="W437"/>
          <cell r="X437"/>
          <cell r="Y437"/>
          <cell r="Z437"/>
          <cell r="AA437"/>
          <cell r="AB437"/>
          <cell r="AC437"/>
          <cell r="AD437"/>
          <cell r="AE437"/>
          <cell r="AF437">
            <v>8.9055099999999996</v>
          </cell>
          <cell r="AG437">
            <v>9.32</v>
          </cell>
          <cell r="AH437" t="str">
            <v>single crystal</v>
          </cell>
          <cell r="AI437" t="str">
            <v>Co</v>
          </cell>
          <cell r="AJ437" t="str">
            <v>-10.Al</v>
          </cell>
          <cell r="AK437" t="str">
            <v>-5.W</v>
          </cell>
          <cell r="AL437" t="str">
            <v>-17.Ni</v>
          </cell>
          <cell r="AM437" t="str">
            <v>-6.Cr</v>
          </cell>
          <cell r="AN437" t="str">
            <v>-2.7Ta</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cell r="BD437" t="str">
            <v/>
          </cell>
          <cell r="BE437" t="str">
            <v/>
          </cell>
          <cell r="BF437" t="str">
            <v/>
          </cell>
          <cell r="BG437" t="str">
            <v/>
          </cell>
          <cell r="BH437" t="str">
            <v>5WShi, L., Yu, J. J., Cui, C. Y. &amp; Sun, X. F. The creep deformation behavior of a single-crystal Co-Al-W-base superalloy at 900°C. Mater. Sci. Eng. A 635, 50–58 (2015).</v>
          </cell>
          <cell r="BI437" t="str">
            <v>Co-17.Ni-10.Al-6.Cr-5.W-2.7Ta</v>
          </cell>
          <cell r="BJ437" t="str">
            <v>76.3Co-17.0Ni-10.0Al-6.0Cr-5.0W-2.7Ta</v>
          </cell>
        </row>
        <row r="438">
          <cell r="A438" t="str">
            <v>Co-10.Ni-10.Al-10.W</v>
          </cell>
          <cell r="B438" t="str">
            <v>CoAlW-X</v>
          </cell>
          <cell r="C438" t="str">
            <v>-10Ni-10Al-10W</v>
          </cell>
          <cell r="D438" t="str">
            <v>10Ni-10Al-10W</v>
          </cell>
          <cell r="E438" t="str">
            <v>Shinagawa, K. et al. Phase equilibria and microstructure on γ′ phase in Co-Ni-Al-W system. Mater. Trans. 49, 1474–1479 (2008).</v>
          </cell>
          <cell r="F438">
            <v>456</v>
          </cell>
          <cell r="G438">
            <v>70</v>
          </cell>
          <cell r="H438">
            <v>10</v>
          </cell>
          <cell r="I438">
            <v>10</v>
          </cell>
          <cell r="J438"/>
          <cell r="K438">
            <v>10</v>
          </cell>
          <cell r="L438"/>
          <cell r="M438"/>
          <cell r="N438"/>
          <cell r="O438"/>
          <cell r="P438"/>
          <cell r="Q438"/>
          <cell r="R438"/>
          <cell r="S438"/>
          <cell r="T438"/>
          <cell r="U438"/>
          <cell r="V438"/>
          <cell r="W438"/>
          <cell r="X438"/>
          <cell r="Y438"/>
          <cell r="Z438"/>
          <cell r="AA438"/>
          <cell r="AB438"/>
          <cell r="AC438"/>
          <cell r="AD438"/>
          <cell r="AE438"/>
          <cell r="AF438">
            <v>9.3158000000000012</v>
          </cell>
          <cell r="AG438"/>
          <cell r="AH438"/>
          <cell r="AI438" t="str">
            <v>Co</v>
          </cell>
          <cell r="AJ438" t="str">
            <v>-10.Al</v>
          </cell>
          <cell r="AK438" t="str">
            <v>-10.W</v>
          </cell>
          <cell r="AL438" t="str">
            <v>-10.Ni</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cell r="BD438" t="str">
            <v/>
          </cell>
          <cell r="BE438" t="str">
            <v/>
          </cell>
          <cell r="BF438" t="str">
            <v/>
          </cell>
          <cell r="BG438" t="str">
            <v/>
          </cell>
          <cell r="BH438" t="str">
            <v>10Ni-10Al-10WShinagawa, K. et al. Phase equilibria and microstructure on γ′ phase in Co-Ni-Al-W system. Mater. Trans. 49, 1474–1479 (2008).</v>
          </cell>
          <cell r="BI438" t="str">
            <v>Co-10.Ni-10.Al-10.W</v>
          </cell>
          <cell r="BJ438" t="str">
            <v>80.0Co-10.0Ni-10.0Al-10.0W</v>
          </cell>
        </row>
        <row r="439">
          <cell r="A439" t="str">
            <v>Co-10.Ni-10.Al-7.5W</v>
          </cell>
          <cell r="B439" t="str">
            <v>CoAlW-X</v>
          </cell>
          <cell r="C439" t="str">
            <v>-10Ni-10Al-8W</v>
          </cell>
          <cell r="D439" t="str">
            <v>10Ni-10Al-7.5W</v>
          </cell>
          <cell r="E439" t="str">
            <v>Shinagawa, K. et al. Phase equilibria and microstructure on γ′ phase in Co-Ni-Al-W system. Mater. Trans. 49, 1474–1479 (2008).</v>
          </cell>
          <cell r="F439">
            <v>457</v>
          </cell>
          <cell r="G439">
            <v>72.5</v>
          </cell>
          <cell r="H439">
            <v>10</v>
          </cell>
          <cell r="I439">
            <v>10</v>
          </cell>
          <cell r="J439"/>
          <cell r="K439">
            <v>7.5</v>
          </cell>
          <cell r="L439"/>
          <cell r="M439"/>
          <cell r="N439"/>
          <cell r="O439"/>
          <cell r="P439"/>
          <cell r="Q439"/>
          <cell r="R439"/>
          <cell r="S439"/>
          <cell r="T439"/>
          <cell r="U439"/>
          <cell r="V439"/>
          <cell r="W439"/>
          <cell r="X439"/>
          <cell r="Y439"/>
          <cell r="Z439"/>
          <cell r="AA439"/>
          <cell r="AB439"/>
          <cell r="AC439"/>
          <cell r="AD439"/>
          <cell r="AE439"/>
          <cell r="AF439">
            <v>9.0570500000000003</v>
          </cell>
          <cell r="AG439"/>
          <cell r="AH439"/>
          <cell r="AI439" t="str">
            <v>Co</v>
          </cell>
          <cell r="AJ439" t="str">
            <v>-10.Al</v>
          </cell>
          <cell r="AK439" t="str">
            <v>-7.5W</v>
          </cell>
          <cell r="AL439" t="str">
            <v>-10.Ni</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cell r="BD439" t="str">
            <v/>
          </cell>
          <cell r="BE439" t="str">
            <v/>
          </cell>
          <cell r="BF439" t="str">
            <v/>
          </cell>
          <cell r="BG439" t="str">
            <v/>
          </cell>
          <cell r="BH439" t="str">
            <v>10Ni-10Al-7.5WShinagawa, K. et al. Phase equilibria and microstructure on γ′ phase in Co-Ni-Al-W system. Mater. Trans. 49, 1474–1479 (2008).</v>
          </cell>
          <cell r="BI439" t="str">
            <v>Co-10.Ni-10.Al-7.5W</v>
          </cell>
          <cell r="BJ439" t="str">
            <v>82.5Co-10.0Ni-10.0Al-7.5W</v>
          </cell>
        </row>
        <row r="440">
          <cell r="A440" t="str">
            <v>Co-10.Ni-12.5Al-7.5W</v>
          </cell>
          <cell r="B440" t="str">
            <v>CoAlW-X</v>
          </cell>
          <cell r="C440" t="str">
            <v>-10Ni-13Al-8W</v>
          </cell>
          <cell r="D440" t="str">
            <v>10Ni-12.5Al-7.5W</v>
          </cell>
          <cell r="E440" t="str">
            <v>Shinagawa, K. et al. Phase equilibria and microstructure on γ′ phase in Co-Ni-Al-W system. Mater. Trans. 49, 1474–1479 (2008).</v>
          </cell>
          <cell r="F440">
            <v>458</v>
          </cell>
          <cell r="G440">
            <v>70</v>
          </cell>
          <cell r="H440">
            <v>10</v>
          </cell>
          <cell r="I440">
            <v>12.5</v>
          </cell>
          <cell r="J440"/>
          <cell r="K440">
            <v>7.5</v>
          </cell>
          <cell r="L440"/>
          <cell r="M440"/>
          <cell r="N440"/>
          <cell r="O440"/>
          <cell r="P440"/>
          <cell r="Q440"/>
          <cell r="R440"/>
          <cell r="S440"/>
          <cell r="T440"/>
          <cell r="U440"/>
          <cell r="V440"/>
          <cell r="W440"/>
          <cell r="X440"/>
          <cell r="Y440"/>
          <cell r="Z440"/>
          <cell r="AA440"/>
          <cell r="AB440"/>
          <cell r="AC440"/>
          <cell r="AD440"/>
          <cell r="AE440"/>
          <cell r="AF440">
            <v>8.9020500000000009</v>
          </cell>
          <cell r="AG440"/>
          <cell r="AH440"/>
          <cell r="AI440" t="str">
            <v>Co</v>
          </cell>
          <cell r="AJ440" t="str">
            <v>-12.5Al</v>
          </cell>
          <cell r="AK440" t="str">
            <v>-7.5W</v>
          </cell>
          <cell r="AL440" t="str">
            <v>-10.Ni</v>
          </cell>
          <cell r="AM440" t="str">
            <v/>
          </cell>
          <cell r="AN440" t="str">
            <v/>
          </cell>
          <cell r="AO440" t="str">
            <v/>
          </cell>
          <cell r="AP440" t="str">
            <v/>
          </cell>
          <cell r="AQ440" t="str">
            <v/>
          </cell>
          <cell r="AR440" t="str">
            <v/>
          </cell>
          <cell r="AS440" t="str">
            <v/>
          </cell>
          <cell r="AT440" t="str">
            <v/>
          </cell>
          <cell r="AU440" t="str">
            <v/>
          </cell>
          <cell r="AV440" t="str">
            <v/>
          </cell>
          <cell r="AW440" t="str">
            <v/>
          </cell>
          <cell r="AX440" t="str">
            <v/>
          </cell>
          <cell r="AY440" t="str">
            <v/>
          </cell>
          <cell r="AZ440" t="str">
            <v/>
          </cell>
          <cell r="BA440" t="str">
            <v/>
          </cell>
          <cell r="BB440" t="str">
            <v/>
          </cell>
          <cell r="BC440" t="str">
            <v/>
          </cell>
          <cell r="BD440" t="str">
            <v/>
          </cell>
          <cell r="BE440" t="str">
            <v/>
          </cell>
          <cell r="BF440" t="str">
            <v/>
          </cell>
          <cell r="BG440" t="str">
            <v/>
          </cell>
          <cell r="BH440" t="str">
            <v>10Ni-12.5Al-7.5WShinagawa, K. et al. Phase equilibria and microstructure on γ′ phase in Co-Ni-Al-W system. Mater. Trans. 49, 1474–1479 (2008).</v>
          </cell>
          <cell r="BI440" t="str">
            <v>Co-10.Ni-12.5Al-7.5W</v>
          </cell>
          <cell r="BJ440" t="str">
            <v>80.0Co-10.0Ni-12.5Al-7.5W</v>
          </cell>
        </row>
        <row r="441">
          <cell r="A441" t="str">
            <v>Co-20.Ni-10.Al-10.W</v>
          </cell>
          <cell r="B441" t="str">
            <v>CoAlW-X</v>
          </cell>
          <cell r="C441" t="str">
            <v>-20Ni-10Al-10W</v>
          </cell>
          <cell r="D441" t="str">
            <v>20Ni-10Al-10W</v>
          </cell>
          <cell r="E441" t="str">
            <v>Shinagawa, K. et al. Phase equilibria and microstructure on γ′ phase in Co-Ni-Al-W system. Mater. Trans. 49, 1474–1479 (2008).</v>
          </cell>
          <cell r="F441">
            <v>459</v>
          </cell>
          <cell r="G441">
            <v>60</v>
          </cell>
          <cell r="H441">
            <v>20</v>
          </cell>
          <cell r="I441">
            <v>10</v>
          </cell>
          <cell r="J441"/>
          <cell r="K441">
            <v>10</v>
          </cell>
          <cell r="L441"/>
          <cell r="M441"/>
          <cell r="N441"/>
          <cell r="O441"/>
          <cell r="P441"/>
          <cell r="Q441"/>
          <cell r="R441"/>
          <cell r="S441"/>
          <cell r="T441"/>
          <cell r="U441"/>
          <cell r="V441"/>
          <cell r="W441"/>
          <cell r="X441"/>
          <cell r="Y441"/>
          <cell r="Z441"/>
          <cell r="AA441"/>
          <cell r="AB441"/>
          <cell r="AC441"/>
          <cell r="AD441"/>
          <cell r="AE441"/>
          <cell r="AF441">
            <v>9.3165999999999993</v>
          </cell>
          <cell r="AG441"/>
          <cell r="AH441"/>
          <cell r="AI441" t="str">
            <v>Co</v>
          </cell>
          <cell r="AJ441" t="str">
            <v>-10.Al</v>
          </cell>
          <cell r="AK441" t="str">
            <v>-10.W</v>
          </cell>
          <cell r="AL441" t="str">
            <v>-20.Ni</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cell r="BD441" t="str">
            <v/>
          </cell>
          <cell r="BE441" t="str">
            <v/>
          </cell>
          <cell r="BF441" t="str">
            <v/>
          </cell>
          <cell r="BG441" t="str">
            <v/>
          </cell>
          <cell r="BH441" t="str">
            <v>20Ni-10Al-10WShinagawa, K. et al. Phase equilibria and microstructure on γ′ phase in Co-Ni-Al-W system. Mater. Trans. 49, 1474–1479 (2008).</v>
          </cell>
          <cell r="BI441" t="str">
            <v>Co-20.Ni-10.Al-10.W</v>
          </cell>
          <cell r="BJ441" t="str">
            <v>80.0Co-20.0Ni-10.0Al-10.0W</v>
          </cell>
        </row>
        <row r="442">
          <cell r="A442" t="str">
            <v>Co-20.Ni-10.Al-7.5W</v>
          </cell>
          <cell r="B442" t="str">
            <v>CoAlW-X</v>
          </cell>
          <cell r="C442" t="str">
            <v>-20Ni-10Al-8W</v>
          </cell>
          <cell r="D442" t="str">
            <v>20Ni-10Al-7.5W</v>
          </cell>
          <cell r="E442" t="str">
            <v>Shinagawa, K. et al. Phase equilibria and microstructure on γ′ phase in Co-Ni-Al-W system. Mater. Trans. 49, 1474–1479 (2008).</v>
          </cell>
          <cell r="F442">
            <v>460</v>
          </cell>
          <cell r="G442">
            <v>62.5</v>
          </cell>
          <cell r="H442">
            <v>20</v>
          </cell>
          <cell r="I442">
            <v>10</v>
          </cell>
          <cell r="J442"/>
          <cell r="K442">
            <v>7.5</v>
          </cell>
          <cell r="L442"/>
          <cell r="M442"/>
          <cell r="N442"/>
          <cell r="O442"/>
          <cell r="P442"/>
          <cell r="Q442"/>
          <cell r="R442"/>
          <cell r="S442"/>
          <cell r="T442"/>
          <cell r="U442"/>
          <cell r="V442"/>
          <cell r="W442"/>
          <cell r="X442"/>
          <cell r="Y442"/>
          <cell r="Z442"/>
          <cell r="AA442"/>
          <cell r="AB442"/>
          <cell r="AC442"/>
          <cell r="AD442"/>
          <cell r="AE442"/>
          <cell r="AF442">
            <v>9.0578500000000002</v>
          </cell>
          <cell r="AG442"/>
          <cell r="AH442"/>
          <cell r="AI442" t="str">
            <v>Co</v>
          </cell>
          <cell r="AJ442" t="str">
            <v>-10.Al</v>
          </cell>
          <cell r="AK442" t="str">
            <v>-7.5W</v>
          </cell>
          <cell r="AL442" t="str">
            <v>-20.Ni</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cell r="BD442" t="str">
            <v/>
          </cell>
          <cell r="BE442" t="str">
            <v/>
          </cell>
          <cell r="BF442" t="str">
            <v/>
          </cell>
          <cell r="BG442" t="str">
            <v/>
          </cell>
          <cell r="BH442" t="str">
            <v>20Ni-10Al-7.5WShinagawa, K. et al. Phase equilibria and microstructure on γ′ phase in Co-Ni-Al-W system. Mater. Trans. 49, 1474–1479 (2008).</v>
          </cell>
          <cell r="BI442" t="str">
            <v>Co-20.Ni-10.Al-7.5W</v>
          </cell>
          <cell r="BJ442" t="str">
            <v>82.5Co-20.0Ni-10.0Al-7.5W</v>
          </cell>
        </row>
        <row r="443">
          <cell r="A443" t="str">
            <v>Co-20.Ni-12.5Al-5.W</v>
          </cell>
          <cell r="B443" t="str">
            <v>CoAlWX+</v>
          </cell>
          <cell r="C443" t="str">
            <v>-20Ni-13Al-5W</v>
          </cell>
          <cell r="D443" t="str">
            <v>20Ni-12.5Al-5W</v>
          </cell>
          <cell r="E443" t="str">
            <v>Shinagawa, K. et al. Phase equilibria and microstructure on γ′ phase in Co-Ni-Al-W system. Mater. Trans. 49, 1474–1479 (2008).</v>
          </cell>
          <cell r="F443">
            <v>461</v>
          </cell>
          <cell r="G443">
            <v>62.5</v>
          </cell>
          <cell r="H443">
            <v>20</v>
          </cell>
          <cell r="I443">
            <v>12.5</v>
          </cell>
          <cell r="J443"/>
          <cell r="K443">
            <v>5</v>
          </cell>
          <cell r="L443"/>
          <cell r="M443"/>
          <cell r="N443"/>
          <cell r="O443"/>
          <cell r="P443"/>
          <cell r="Q443"/>
          <cell r="R443"/>
          <cell r="S443"/>
          <cell r="T443"/>
          <cell r="U443"/>
          <cell r="V443"/>
          <cell r="W443"/>
          <cell r="X443"/>
          <cell r="Y443"/>
          <cell r="Z443"/>
          <cell r="AA443"/>
          <cell r="AB443"/>
          <cell r="AC443"/>
          <cell r="AD443"/>
          <cell r="AE443"/>
          <cell r="AF443">
            <v>8.6440999999999999</v>
          </cell>
          <cell r="AG443"/>
          <cell r="AH443"/>
          <cell r="AI443" t="str">
            <v>Co</v>
          </cell>
          <cell r="AJ443" t="str">
            <v>-12.5Al</v>
          </cell>
          <cell r="AK443" t="str">
            <v>-5.W</v>
          </cell>
          <cell r="AL443" t="str">
            <v>-20.Ni</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cell r="BD443" t="str">
            <v/>
          </cell>
          <cell r="BE443" t="str">
            <v/>
          </cell>
          <cell r="BF443" t="str">
            <v/>
          </cell>
          <cell r="BG443" t="str">
            <v/>
          </cell>
          <cell r="BH443" t="str">
            <v>20Ni-12.5Al-5WShinagawa, K. et al. Phase equilibria and microstructure on γ′ phase in Co-Ni-Al-W system. Mater. Trans. 49, 1474–1479 (2008).</v>
          </cell>
          <cell r="BI443" t="str">
            <v>Co-20.Ni-12.5Al-5.W</v>
          </cell>
          <cell r="BJ443" t="str">
            <v>82.5Co-20.0Ni-12.5Al-5.0W</v>
          </cell>
        </row>
        <row r="444">
          <cell r="A444" t="str">
            <v>Co-20.Ni-15.Al-5.W</v>
          </cell>
          <cell r="B444" t="str">
            <v>CoAlWX+</v>
          </cell>
          <cell r="C444" t="str">
            <v>-20Ni-15Al-5W</v>
          </cell>
          <cell r="D444" t="str">
            <v>20Ni-15Al-5W</v>
          </cell>
          <cell r="E444" t="str">
            <v>Shinagawa, K. et al. Phase equilibria and microstructure on γ′ phase in Co-Ni-Al-W system. Mater. Trans. 49, 1474–1479 (2008).</v>
          </cell>
          <cell r="F444">
            <v>462</v>
          </cell>
          <cell r="G444">
            <v>60</v>
          </cell>
          <cell r="H444">
            <v>20</v>
          </cell>
          <cell r="I444">
            <v>15</v>
          </cell>
          <cell r="J444"/>
          <cell r="K444">
            <v>5</v>
          </cell>
          <cell r="L444"/>
          <cell r="M444"/>
          <cell r="N444"/>
          <cell r="O444"/>
          <cell r="P444"/>
          <cell r="Q444"/>
          <cell r="R444"/>
          <cell r="S444"/>
          <cell r="T444"/>
          <cell r="U444"/>
          <cell r="V444"/>
          <cell r="W444"/>
          <cell r="X444"/>
          <cell r="Y444"/>
          <cell r="Z444"/>
          <cell r="AA444"/>
          <cell r="AB444"/>
          <cell r="AC444"/>
          <cell r="AD444"/>
          <cell r="AE444"/>
          <cell r="AF444">
            <v>8.4891000000000005</v>
          </cell>
          <cell r="AG444"/>
          <cell r="AH444"/>
          <cell r="AI444" t="str">
            <v>Co</v>
          </cell>
          <cell r="AJ444" t="str">
            <v>-15.Al</v>
          </cell>
          <cell r="AK444" t="str">
            <v>-5.W</v>
          </cell>
          <cell r="AL444" t="str">
            <v>-20.Ni</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cell r="BD444" t="str">
            <v/>
          </cell>
          <cell r="BE444" t="str">
            <v/>
          </cell>
          <cell r="BF444" t="str">
            <v/>
          </cell>
          <cell r="BG444" t="str">
            <v/>
          </cell>
          <cell r="BH444" t="str">
            <v>20Ni-15Al-5WShinagawa, K. et al. Phase equilibria and microstructure on γ′ phase in Co-Ni-Al-W system. Mater. Trans. 49, 1474–1479 (2008).</v>
          </cell>
          <cell r="BI444" t="str">
            <v>Co-20.Ni-15.Al-5.W</v>
          </cell>
          <cell r="BJ444" t="str">
            <v>80.0Co-20.0Ni-15.0Al-5.0W</v>
          </cell>
        </row>
        <row r="445">
          <cell r="A445" t="str">
            <v>Co-30.Ni-10.Al-10.W</v>
          </cell>
          <cell r="B445" t="str">
            <v>CoAlW-X</v>
          </cell>
          <cell r="C445" t="str">
            <v>-30Ni-10Al-10W</v>
          </cell>
          <cell r="D445" t="str">
            <v>30Ni-10Al-10W</v>
          </cell>
          <cell r="E445" t="str">
            <v>Shinagawa, K. et al. Phase equilibria and microstructure on γ′ phase in Co-Ni-Al-W system. Mater. Trans. 49, 1474–1479 (2008).</v>
          </cell>
          <cell r="F445">
            <v>463</v>
          </cell>
          <cell r="G445">
            <v>50</v>
          </cell>
          <cell r="H445">
            <v>30</v>
          </cell>
          <cell r="I445">
            <v>10</v>
          </cell>
          <cell r="J445"/>
          <cell r="K445">
            <v>10</v>
          </cell>
          <cell r="L445"/>
          <cell r="M445"/>
          <cell r="N445"/>
          <cell r="O445"/>
          <cell r="P445"/>
          <cell r="Q445"/>
          <cell r="R445"/>
          <cell r="S445"/>
          <cell r="T445"/>
          <cell r="U445"/>
          <cell r="V445"/>
          <cell r="W445"/>
          <cell r="X445"/>
          <cell r="Y445"/>
          <cell r="Z445"/>
          <cell r="AA445"/>
          <cell r="AB445"/>
          <cell r="AC445"/>
          <cell r="AD445"/>
          <cell r="AE445"/>
          <cell r="AF445">
            <v>9.3173999999999992</v>
          </cell>
          <cell r="AG445"/>
          <cell r="AH445"/>
          <cell r="AI445" t="str">
            <v>Co</v>
          </cell>
          <cell r="AJ445" t="str">
            <v>-10.Al</v>
          </cell>
          <cell r="AK445" t="str">
            <v>-10.W</v>
          </cell>
          <cell r="AL445" t="str">
            <v>-30.Ni</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cell r="BD445" t="str">
            <v/>
          </cell>
          <cell r="BE445" t="str">
            <v/>
          </cell>
          <cell r="BF445" t="str">
            <v/>
          </cell>
          <cell r="BG445" t="str">
            <v/>
          </cell>
          <cell r="BH445" t="str">
            <v>30Ni-10Al-10WShinagawa, K. et al. Phase equilibria and microstructure on γ′ phase in Co-Ni-Al-W system. Mater. Trans. 49, 1474–1479 (2008).</v>
          </cell>
          <cell r="BI445" t="str">
            <v>Co-30.Ni-10.Al-10.W</v>
          </cell>
          <cell r="BJ445" t="str">
            <v>80.0Co-30.0Ni-10.0Al-10.0W</v>
          </cell>
        </row>
        <row r="446">
          <cell r="A446" t="str">
            <v>Co-30.Ni-10.Al-7.5W</v>
          </cell>
          <cell r="B446" t="str">
            <v>CoAlW-X</v>
          </cell>
          <cell r="C446" t="str">
            <v>-30Ni-10Al-8W</v>
          </cell>
          <cell r="D446" t="str">
            <v>30Ni-10Al-7.5W</v>
          </cell>
          <cell r="E446" t="str">
            <v>Shinagawa, K. et al. Phase equilibria and microstructure on γ′ phase in Co-Ni-Al-W system. Mater. Trans. 49, 1474–1479 (2008).</v>
          </cell>
          <cell r="F446">
            <v>464</v>
          </cell>
          <cell r="G446">
            <v>52.5</v>
          </cell>
          <cell r="H446">
            <v>30</v>
          </cell>
          <cell r="I446">
            <v>10</v>
          </cell>
          <cell r="J446"/>
          <cell r="K446">
            <v>7.5</v>
          </cell>
          <cell r="L446"/>
          <cell r="M446"/>
          <cell r="N446"/>
          <cell r="O446"/>
          <cell r="P446"/>
          <cell r="Q446"/>
          <cell r="R446"/>
          <cell r="S446"/>
          <cell r="T446"/>
          <cell r="U446"/>
          <cell r="V446"/>
          <cell r="W446"/>
          <cell r="X446"/>
          <cell r="Y446"/>
          <cell r="Z446"/>
          <cell r="AA446"/>
          <cell r="AB446"/>
          <cell r="AC446"/>
          <cell r="AD446"/>
          <cell r="AE446"/>
          <cell r="AF446">
            <v>9.0586500000000001</v>
          </cell>
          <cell r="AG446"/>
          <cell r="AH446"/>
          <cell r="AI446" t="str">
            <v>Co</v>
          </cell>
          <cell r="AJ446" t="str">
            <v>-10.Al</v>
          </cell>
          <cell r="AK446" t="str">
            <v>-7.5W</v>
          </cell>
          <cell r="AL446" t="str">
            <v>-30.Ni</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cell r="BD446" t="str">
            <v/>
          </cell>
          <cell r="BE446" t="str">
            <v/>
          </cell>
          <cell r="BF446" t="str">
            <v/>
          </cell>
          <cell r="BG446" t="str">
            <v/>
          </cell>
          <cell r="BH446" t="str">
            <v>30Ni-10Al-7.5WShinagawa, K. et al. Phase equilibria and microstructure on γ′ phase in Co-Ni-Al-W system. Mater. Trans. 49, 1474–1479 (2008).</v>
          </cell>
          <cell r="BI446" t="str">
            <v>Co-30.Ni-10.Al-7.5W</v>
          </cell>
          <cell r="BJ446" t="str">
            <v>82.5Co-30.0Ni-10.0Al-7.5W</v>
          </cell>
        </row>
        <row r="447">
          <cell r="A447" t="str">
            <v>Co-30.Ni-12.5Al-5.W</v>
          </cell>
          <cell r="B447" t="str">
            <v>CoAlWX+</v>
          </cell>
          <cell r="C447" t="str">
            <v>-30Ni-13Al-5W</v>
          </cell>
          <cell r="D447" t="str">
            <v>30Ni-12.5Al-5W</v>
          </cell>
          <cell r="E447" t="str">
            <v>Shinagawa, K. et al. Phase equilibria and microstructure on γ′ phase in Co-Ni-Al-W system. Mater. Trans. 49, 1474–1479 (2008).</v>
          </cell>
          <cell r="F447">
            <v>465</v>
          </cell>
          <cell r="G447">
            <v>52.5</v>
          </cell>
          <cell r="H447">
            <v>30</v>
          </cell>
          <cell r="I447">
            <v>12.5</v>
          </cell>
          <cell r="J447"/>
          <cell r="K447">
            <v>5</v>
          </cell>
          <cell r="L447"/>
          <cell r="M447"/>
          <cell r="N447"/>
          <cell r="O447"/>
          <cell r="P447"/>
          <cell r="Q447"/>
          <cell r="R447"/>
          <cell r="S447"/>
          <cell r="T447"/>
          <cell r="U447"/>
          <cell r="V447"/>
          <cell r="W447"/>
          <cell r="X447"/>
          <cell r="Y447"/>
          <cell r="Z447"/>
          <cell r="AA447"/>
          <cell r="AB447"/>
          <cell r="AC447"/>
          <cell r="AD447"/>
          <cell r="AE447"/>
          <cell r="AF447">
            <v>8.6448999999999998</v>
          </cell>
          <cell r="AG447"/>
          <cell r="AH447"/>
          <cell r="AI447" t="str">
            <v>Co</v>
          </cell>
          <cell r="AJ447" t="str">
            <v>-12.5Al</v>
          </cell>
          <cell r="AK447" t="str">
            <v>-5.W</v>
          </cell>
          <cell r="AL447" t="str">
            <v>-30.Ni</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cell r="BD447" t="str">
            <v/>
          </cell>
          <cell r="BE447" t="str">
            <v/>
          </cell>
          <cell r="BF447" t="str">
            <v/>
          </cell>
          <cell r="BG447" t="str">
            <v/>
          </cell>
          <cell r="BH447" t="str">
            <v>30Ni-12.5Al-5WShinagawa, K. et al. Phase equilibria and microstructure on γ′ phase in Co-Ni-Al-W system. Mater. Trans. 49, 1474–1479 (2008).</v>
          </cell>
          <cell r="BI447" t="str">
            <v>Co-30.Ni-12.5Al-5.W</v>
          </cell>
          <cell r="BJ447" t="str">
            <v>82.5Co-30.0Ni-12.5Al-5.0W</v>
          </cell>
        </row>
        <row r="448">
          <cell r="A448" t="str">
            <v>Co-30.Ni-12.5Al-2.5W</v>
          </cell>
          <cell r="B448" t="str">
            <v>CoAlW-X</v>
          </cell>
          <cell r="C448" t="str">
            <v>-30Ni-13Al-3W</v>
          </cell>
          <cell r="D448" t="str">
            <v>30Ni-12.5Al-2.5W</v>
          </cell>
          <cell r="E448" t="str">
            <v>Shinagawa, K. et al. Phase equilibria and microstructure on γ′ phase in Co-Ni-Al-W system. Mater. Trans. 49, 1474–1479 (2008).</v>
          </cell>
          <cell r="F448">
            <v>466</v>
          </cell>
          <cell r="G448">
            <v>55</v>
          </cell>
          <cell r="H448">
            <v>30</v>
          </cell>
          <cell r="I448">
            <v>12.5</v>
          </cell>
          <cell r="J448"/>
          <cell r="K448">
            <v>2.5</v>
          </cell>
          <cell r="L448"/>
          <cell r="M448"/>
          <cell r="N448"/>
          <cell r="O448"/>
          <cell r="P448"/>
          <cell r="Q448"/>
          <cell r="R448"/>
          <cell r="S448"/>
          <cell r="T448"/>
          <cell r="U448"/>
          <cell r="V448"/>
          <cell r="W448"/>
          <cell r="X448"/>
          <cell r="Y448"/>
          <cell r="Z448"/>
          <cell r="AA448"/>
          <cell r="AB448"/>
          <cell r="AC448"/>
          <cell r="AD448"/>
          <cell r="AE448"/>
          <cell r="AF448">
            <v>8.3861500000000007</v>
          </cell>
          <cell r="AG448"/>
          <cell r="AH448"/>
          <cell r="AI448" t="str">
            <v>Co</v>
          </cell>
          <cell r="AJ448" t="str">
            <v>-12.5Al</v>
          </cell>
          <cell r="AK448" t="str">
            <v>-2.5W</v>
          </cell>
          <cell r="AL448" t="str">
            <v>-30.Ni</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cell r="BD448" t="str">
            <v/>
          </cell>
          <cell r="BE448" t="str">
            <v/>
          </cell>
          <cell r="BF448" t="str">
            <v/>
          </cell>
          <cell r="BG448" t="str">
            <v/>
          </cell>
          <cell r="BH448" t="str">
            <v>30Ni-12.5Al-2.5WShinagawa, K. et al. Phase equilibria and microstructure on γ′ phase in Co-Ni-Al-W system. Mater. Trans. 49, 1474–1479 (2008).</v>
          </cell>
          <cell r="BI448" t="str">
            <v>Co-30.Ni-12.5Al-2.5W</v>
          </cell>
          <cell r="BJ448" t="str">
            <v>85.0Co-30.0Ni-12.5Al-2.5W</v>
          </cell>
        </row>
        <row r="449">
          <cell r="A449" t="str">
            <v>Co-30.Ni-17.5Al-2.5W</v>
          </cell>
          <cell r="B449" t="str">
            <v>CoAlW-X</v>
          </cell>
          <cell r="C449" t="str">
            <v>-30Ni-18Al-3W</v>
          </cell>
          <cell r="D449" t="str">
            <v>30Ni-17.5Al-2.5W</v>
          </cell>
          <cell r="E449" t="str">
            <v>Shinagawa, K. et al. Phase equilibria and microstructure on γ′ phase in Co-Ni-Al-W system. Mater. Trans. 49, 1474–1479 (2008).</v>
          </cell>
          <cell r="F449">
            <v>467</v>
          </cell>
          <cell r="G449">
            <v>50</v>
          </cell>
          <cell r="H449">
            <v>30</v>
          </cell>
          <cell r="I449">
            <v>17.5</v>
          </cell>
          <cell r="J449"/>
          <cell r="K449">
            <v>2.5</v>
          </cell>
          <cell r="L449"/>
          <cell r="M449"/>
          <cell r="N449"/>
          <cell r="O449"/>
          <cell r="P449"/>
          <cell r="Q449"/>
          <cell r="R449"/>
          <cell r="S449"/>
          <cell r="T449"/>
          <cell r="U449"/>
          <cell r="V449"/>
          <cell r="W449"/>
          <cell r="X449"/>
          <cell r="Y449"/>
          <cell r="Z449"/>
          <cell r="AA449"/>
          <cell r="AB449"/>
          <cell r="AC449"/>
          <cell r="AD449"/>
          <cell r="AE449"/>
          <cell r="AF449">
            <v>8.0761500000000002</v>
          </cell>
          <cell r="AG449"/>
          <cell r="AH449"/>
          <cell r="AI449" t="str">
            <v>Co</v>
          </cell>
          <cell r="AJ449" t="str">
            <v>-17.5Al</v>
          </cell>
          <cell r="AK449" t="str">
            <v>-2.5W</v>
          </cell>
          <cell r="AL449" t="str">
            <v>-30.Ni</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cell r="BD449" t="str">
            <v/>
          </cell>
          <cell r="BE449" t="str">
            <v/>
          </cell>
          <cell r="BF449" t="str">
            <v/>
          </cell>
          <cell r="BG449" t="str">
            <v/>
          </cell>
          <cell r="BH449" t="str">
            <v>30Ni-17.5Al-2.5WShinagawa, K. et al. Phase equilibria and microstructure on γ′ phase in Co-Ni-Al-W system. Mater. Trans. 49, 1474–1479 (2008).</v>
          </cell>
          <cell r="BI449" t="str">
            <v>Co-30.Ni-17.5Al-2.5W</v>
          </cell>
          <cell r="BJ449" t="str">
            <v>80.0Co-30.0Ni-17.5Al-2.5W</v>
          </cell>
        </row>
        <row r="450">
          <cell r="A450" t="str">
            <v>Co-40.Ni-10.Al-10.W</v>
          </cell>
          <cell r="B450" t="str">
            <v>CoAlW-X</v>
          </cell>
          <cell r="C450" t="str">
            <v>-40Ni-10Al-10W</v>
          </cell>
          <cell r="D450" t="str">
            <v>40Ni-10Al-10W</v>
          </cell>
          <cell r="E450" t="str">
            <v>Shinagawa, K. et al. Phase equilibria and microstructure on γ′ phase in Co-Ni-Al-W system. Mater. Trans. 49, 1474–1479 (2008).</v>
          </cell>
          <cell r="F450">
            <v>468</v>
          </cell>
          <cell r="G450">
            <v>40</v>
          </cell>
          <cell r="H450">
            <v>40</v>
          </cell>
          <cell r="I450">
            <v>10</v>
          </cell>
          <cell r="J450"/>
          <cell r="K450">
            <v>10</v>
          </cell>
          <cell r="L450"/>
          <cell r="M450"/>
          <cell r="N450"/>
          <cell r="O450"/>
          <cell r="P450"/>
          <cell r="Q450"/>
          <cell r="R450"/>
          <cell r="S450"/>
          <cell r="T450"/>
          <cell r="U450"/>
          <cell r="V450"/>
          <cell r="W450"/>
          <cell r="X450"/>
          <cell r="Y450"/>
          <cell r="Z450"/>
          <cell r="AA450"/>
          <cell r="AB450"/>
          <cell r="AC450"/>
          <cell r="AD450"/>
          <cell r="AE450"/>
          <cell r="AF450">
            <v>9.3181999999999992</v>
          </cell>
          <cell r="AG450"/>
          <cell r="AH450"/>
          <cell r="AI450" t="str">
            <v>Co</v>
          </cell>
          <cell r="AJ450" t="str">
            <v>-10.Al</v>
          </cell>
          <cell r="AK450" t="str">
            <v>-10.W</v>
          </cell>
          <cell r="AL450" t="str">
            <v>-40.Ni</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cell r="BD450" t="str">
            <v/>
          </cell>
          <cell r="BE450" t="str">
            <v/>
          </cell>
          <cell r="BF450" t="str">
            <v/>
          </cell>
          <cell r="BG450" t="str">
            <v/>
          </cell>
          <cell r="BH450" t="str">
            <v>40Ni-10Al-10WShinagawa, K. et al. Phase equilibria and microstructure on γ′ phase in Co-Ni-Al-W system. Mater. Trans. 49, 1474–1479 (2008).</v>
          </cell>
          <cell r="BI450" t="str">
            <v>Co-40.Ni-10.Al-10.W</v>
          </cell>
          <cell r="BJ450" t="str">
            <v>80.0Co-40.0Ni-10.0Al-10.0W</v>
          </cell>
        </row>
        <row r="451">
          <cell r="A451" t="str">
            <v>Co-40.Ni-10.Al-7.5W</v>
          </cell>
          <cell r="B451" t="str">
            <v>CoAlW-X</v>
          </cell>
          <cell r="C451" t="str">
            <v>-40Ni-10Al-8W</v>
          </cell>
          <cell r="D451" t="str">
            <v>40Ni-10Al-7.5W</v>
          </cell>
          <cell r="E451" t="str">
            <v>Shinagawa, K. et al. Phase equilibria and microstructure on γ′ phase in Co-Ni-Al-W system. Mater. Trans. 49, 1474–1479 (2008).</v>
          </cell>
          <cell r="F451">
            <v>469</v>
          </cell>
          <cell r="G451">
            <v>42.5</v>
          </cell>
          <cell r="H451">
            <v>40</v>
          </cell>
          <cell r="I451">
            <v>10</v>
          </cell>
          <cell r="J451"/>
          <cell r="K451">
            <v>7.5</v>
          </cell>
          <cell r="L451"/>
          <cell r="M451"/>
          <cell r="N451"/>
          <cell r="O451"/>
          <cell r="P451"/>
          <cell r="Q451"/>
          <cell r="R451"/>
          <cell r="S451"/>
          <cell r="T451"/>
          <cell r="U451"/>
          <cell r="V451"/>
          <cell r="W451"/>
          <cell r="X451"/>
          <cell r="Y451"/>
          <cell r="Z451"/>
          <cell r="AA451"/>
          <cell r="AB451"/>
          <cell r="AC451"/>
          <cell r="AD451"/>
          <cell r="AE451"/>
          <cell r="AF451">
            <v>9.05945</v>
          </cell>
          <cell r="AG451"/>
          <cell r="AH451"/>
          <cell r="AI451" t="str">
            <v>Co</v>
          </cell>
          <cell r="AJ451" t="str">
            <v>-10.Al</v>
          </cell>
          <cell r="AK451" t="str">
            <v>-7.5W</v>
          </cell>
          <cell r="AL451" t="str">
            <v>-40.Ni</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cell r="BD451" t="str">
            <v/>
          </cell>
          <cell r="BE451" t="str">
            <v/>
          </cell>
          <cell r="BF451" t="str">
            <v/>
          </cell>
          <cell r="BG451" t="str">
            <v/>
          </cell>
          <cell r="BH451" t="str">
            <v>40Ni-10Al-7.5WShinagawa, K. et al. Phase equilibria and microstructure on γ′ phase in Co-Ni-Al-W system. Mater. Trans. 49, 1474–1479 (2008).</v>
          </cell>
          <cell r="BI451" t="str">
            <v>Co-40.Ni-10.Al-7.5W</v>
          </cell>
          <cell r="BJ451" t="str">
            <v>82.5Co-40.0Ni-10.0Al-7.5W</v>
          </cell>
        </row>
        <row r="452">
          <cell r="A452" t="str">
            <v>Co-40.Ni-12.5Al-5.W</v>
          </cell>
          <cell r="B452" t="str">
            <v>CoAlWX+</v>
          </cell>
          <cell r="C452" t="str">
            <v>-40Ni-13Al-5W</v>
          </cell>
          <cell r="D452" t="str">
            <v>40Ni-12.5Al-5W</v>
          </cell>
          <cell r="E452" t="str">
            <v>Shinagawa, K. et al. Phase equilibria and microstructure on γ′ phase in Co-Ni-Al-W system. Mater. Trans. 49, 1474–1479 (2008).</v>
          </cell>
          <cell r="F452">
            <v>470</v>
          </cell>
          <cell r="G452">
            <v>42.5</v>
          </cell>
          <cell r="H452">
            <v>40</v>
          </cell>
          <cell r="I452">
            <v>12.5</v>
          </cell>
          <cell r="J452"/>
          <cell r="K452">
            <v>5</v>
          </cell>
          <cell r="L452"/>
          <cell r="M452"/>
          <cell r="N452"/>
          <cell r="O452"/>
          <cell r="P452"/>
          <cell r="Q452"/>
          <cell r="R452"/>
          <cell r="S452"/>
          <cell r="T452"/>
          <cell r="U452"/>
          <cell r="V452"/>
          <cell r="W452"/>
          <cell r="X452"/>
          <cell r="Y452"/>
          <cell r="Z452"/>
          <cell r="AA452"/>
          <cell r="AB452"/>
          <cell r="AC452"/>
          <cell r="AD452"/>
          <cell r="AE452"/>
          <cell r="AF452">
            <v>8.6456999999999997</v>
          </cell>
          <cell r="AG452"/>
          <cell r="AH452"/>
          <cell r="AI452" t="str">
            <v>Co</v>
          </cell>
          <cell r="AJ452" t="str">
            <v>-12.5Al</v>
          </cell>
          <cell r="AK452" t="str">
            <v>-5.W</v>
          </cell>
          <cell r="AL452" t="str">
            <v>-40.Ni</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cell r="BD452" t="str">
            <v/>
          </cell>
          <cell r="BE452" t="str">
            <v/>
          </cell>
          <cell r="BF452" t="str">
            <v/>
          </cell>
          <cell r="BG452" t="str">
            <v/>
          </cell>
          <cell r="BH452" t="str">
            <v>40Ni-12.5Al-5WShinagawa, K. et al. Phase equilibria and microstructure on γ′ phase in Co-Ni-Al-W system. Mater. Trans. 49, 1474–1479 (2008).</v>
          </cell>
          <cell r="BI452" t="str">
            <v>Co-40.Ni-12.5Al-5.W</v>
          </cell>
          <cell r="BJ452" t="str">
            <v>82.5Co-40.0Ni-12.5Al-5.0W</v>
          </cell>
        </row>
        <row r="453">
          <cell r="A453" t="str">
            <v>Co-40.Ni-12.5Al-2.5W</v>
          </cell>
          <cell r="B453" t="str">
            <v>CoAlW-X</v>
          </cell>
          <cell r="C453" t="str">
            <v>-40Ni-13Al-3W</v>
          </cell>
          <cell r="D453" t="str">
            <v>40Ni-12.5Al-2.5W</v>
          </cell>
          <cell r="E453" t="str">
            <v>Shinagawa, K. et al. Phase equilibria and microstructure on γ′ phase in Co-Ni-Al-W system. Mater. Trans. 49, 1474–1479 (2008).</v>
          </cell>
          <cell r="F453">
            <v>471</v>
          </cell>
          <cell r="G453">
            <v>45</v>
          </cell>
          <cell r="H453">
            <v>40</v>
          </cell>
          <cell r="I453">
            <v>12.5</v>
          </cell>
          <cell r="J453"/>
          <cell r="K453">
            <v>2.5</v>
          </cell>
          <cell r="L453"/>
          <cell r="M453"/>
          <cell r="N453"/>
          <cell r="O453"/>
          <cell r="P453"/>
          <cell r="Q453"/>
          <cell r="R453"/>
          <cell r="S453"/>
          <cell r="T453"/>
          <cell r="U453"/>
          <cell r="V453"/>
          <cell r="W453"/>
          <cell r="X453"/>
          <cell r="Y453"/>
          <cell r="Z453"/>
          <cell r="AA453"/>
          <cell r="AB453"/>
          <cell r="AC453"/>
          <cell r="AD453"/>
          <cell r="AE453"/>
          <cell r="AF453">
            <v>8.3869499999999988</v>
          </cell>
          <cell r="AG453"/>
          <cell r="AH453"/>
          <cell r="AI453" t="str">
            <v>Co</v>
          </cell>
          <cell r="AJ453" t="str">
            <v>-12.5Al</v>
          </cell>
          <cell r="AK453" t="str">
            <v>-2.5W</v>
          </cell>
          <cell r="AL453" t="str">
            <v>-40.Ni</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cell r="BD453" t="str">
            <v/>
          </cell>
          <cell r="BE453" t="str">
            <v/>
          </cell>
          <cell r="BF453" t="str">
            <v/>
          </cell>
          <cell r="BG453" t="str">
            <v/>
          </cell>
          <cell r="BH453" t="str">
            <v>40Ni-12.5Al-2.5WShinagawa, K. et al. Phase equilibria and microstructure on γ′ phase in Co-Ni-Al-W system. Mater. Trans. 49, 1474–1479 (2008).</v>
          </cell>
          <cell r="BI453" t="str">
            <v>Co-40.Ni-12.5Al-2.5W</v>
          </cell>
          <cell r="BJ453" t="str">
            <v>85.0Co-40.0Ni-12.5Al-2.5W</v>
          </cell>
        </row>
        <row r="454">
          <cell r="A454" t="str">
            <v>Co-40.Ni-20.Al-2.5W</v>
          </cell>
          <cell r="B454" t="str">
            <v>CoAlW-X</v>
          </cell>
          <cell r="C454" t="str">
            <v>-40Ni-20Al-3W</v>
          </cell>
          <cell r="D454" t="str">
            <v>40Ni-20Al-2.5W</v>
          </cell>
          <cell r="E454" t="str">
            <v>Shinagawa, K. et al. Phase equilibria and microstructure on γ′ phase in Co-Ni-Al-W system. Mater. Trans. 49, 1474–1479 (2008).</v>
          </cell>
          <cell r="F454">
            <v>472</v>
          </cell>
          <cell r="G454">
            <v>37.5</v>
          </cell>
          <cell r="H454">
            <v>40</v>
          </cell>
          <cell r="I454">
            <v>20</v>
          </cell>
          <cell r="J454"/>
          <cell r="K454">
            <v>2.5</v>
          </cell>
          <cell r="L454"/>
          <cell r="M454"/>
          <cell r="N454"/>
          <cell r="O454"/>
          <cell r="P454"/>
          <cell r="Q454"/>
          <cell r="R454"/>
          <cell r="S454"/>
          <cell r="T454"/>
          <cell r="U454"/>
          <cell r="V454"/>
          <cell r="W454"/>
          <cell r="X454"/>
          <cell r="Y454"/>
          <cell r="Z454"/>
          <cell r="AA454"/>
          <cell r="AB454"/>
          <cell r="AC454"/>
          <cell r="AD454"/>
          <cell r="AE454"/>
          <cell r="AF454">
            <v>7.9219499999999989</v>
          </cell>
          <cell r="AG454"/>
          <cell r="AH454"/>
          <cell r="AI454" t="str">
            <v>Co</v>
          </cell>
          <cell r="AJ454" t="str">
            <v>-20.Al</v>
          </cell>
          <cell r="AK454" t="str">
            <v>-2.5W</v>
          </cell>
          <cell r="AL454" t="str">
            <v>-40.Ni</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cell r="BD454" t="str">
            <v/>
          </cell>
          <cell r="BE454" t="str">
            <v/>
          </cell>
          <cell r="BF454" t="str">
            <v/>
          </cell>
          <cell r="BG454" t="str">
            <v/>
          </cell>
          <cell r="BH454" t="str">
            <v>40Ni-20Al-2.5WShinagawa, K. et al. Phase equilibria and microstructure on γ′ phase in Co-Ni-Al-W system. Mater. Trans. 49, 1474–1479 (2008).</v>
          </cell>
          <cell r="BI454" t="str">
            <v>Co-40.Ni-20.Al-2.5W</v>
          </cell>
          <cell r="BJ454" t="str">
            <v>77.5Co-40.0Ni-20.0Al-2.5W</v>
          </cell>
        </row>
        <row r="455">
          <cell r="A455" t="str">
            <v>Co-2.Ta</v>
          </cell>
          <cell r="B455" t="str">
            <v>W-free</v>
          </cell>
          <cell r="C455" t="str">
            <v>-2Ta</v>
          </cell>
          <cell r="D455" t="str">
            <v>Co-2Ta</v>
          </cell>
          <cell r="E455" t="str">
            <v>Shinagawa, K. et al. Phase equilibria and thermodynamic calculation of the Co-Ta binary system. Intermetallics 49, 87–97 (2014).</v>
          </cell>
          <cell r="F455">
            <v>473</v>
          </cell>
          <cell r="G455">
            <v>98</v>
          </cell>
          <cell r="H455"/>
          <cell r="I455"/>
          <cell r="J455"/>
          <cell r="K455"/>
          <cell r="L455"/>
          <cell r="M455">
            <v>2</v>
          </cell>
          <cell r="N455"/>
          <cell r="O455"/>
          <cell r="P455"/>
          <cell r="Q455"/>
          <cell r="R455"/>
          <cell r="S455"/>
          <cell r="T455"/>
          <cell r="U455"/>
          <cell r="V455"/>
          <cell r="W455"/>
          <cell r="X455"/>
          <cell r="Y455"/>
          <cell r="Z455"/>
          <cell r="AA455"/>
          <cell r="AB455"/>
          <cell r="AC455"/>
          <cell r="AD455"/>
          <cell r="AE455"/>
          <cell r="AF455">
            <v>9.0549999999999997</v>
          </cell>
          <cell r="AG455"/>
          <cell r="AH455"/>
          <cell r="AI455" t="str">
            <v>Co</v>
          </cell>
          <cell r="AJ455" t="str">
            <v/>
          </cell>
          <cell r="AK455" t="str">
            <v/>
          </cell>
          <cell r="AL455" t="str">
            <v/>
          </cell>
          <cell r="AM455" t="str">
            <v/>
          </cell>
          <cell r="AN455" t="str">
            <v>-2.Ta</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cell r="BD455" t="str">
            <v/>
          </cell>
          <cell r="BE455" t="str">
            <v/>
          </cell>
          <cell r="BF455" t="str">
            <v/>
          </cell>
          <cell r="BG455" t="str">
            <v/>
          </cell>
          <cell r="BH455" t="str">
            <v>Co-2TaShinagawa, K. et al. Phase equilibria and thermodynamic calculation of the Co-Ta binary system. Intermetallics 49, 87–97 (2014).</v>
          </cell>
          <cell r="BI455" t="str">
            <v>Co-2.Ta</v>
          </cell>
          <cell r="BJ455" t="str">
            <v>98.0Co-2.0Ta</v>
          </cell>
        </row>
        <row r="456">
          <cell r="A456" t="str">
            <v>Co-3.5Ta</v>
          </cell>
          <cell r="B456" t="str">
            <v>W-free</v>
          </cell>
          <cell r="C456" t="str">
            <v>-4Ta</v>
          </cell>
          <cell r="D456" t="str">
            <v>Co-3.5Ta</v>
          </cell>
          <cell r="E456" t="str">
            <v>Shinagawa, K. et al. Phase equilibria and thermodynamic calculation of the Co-Ta binary system. Intermetallics 49, 87–97 (2014).</v>
          </cell>
          <cell r="F456">
            <v>474</v>
          </cell>
          <cell r="G456">
            <v>96.5</v>
          </cell>
          <cell r="H456"/>
          <cell r="I456"/>
          <cell r="J456"/>
          <cell r="K456"/>
          <cell r="L456"/>
          <cell r="M456">
            <v>3.5</v>
          </cell>
          <cell r="N456"/>
          <cell r="O456"/>
          <cell r="P456"/>
          <cell r="Q456"/>
          <cell r="R456"/>
          <cell r="S456"/>
          <cell r="T456"/>
          <cell r="U456"/>
          <cell r="V456"/>
          <cell r="W456"/>
          <cell r="X456"/>
          <cell r="Y456"/>
          <cell r="Z456"/>
          <cell r="AA456"/>
          <cell r="AB456"/>
          <cell r="AC456"/>
          <cell r="AD456"/>
          <cell r="AE456"/>
          <cell r="AF456">
            <v>9.1712500000000006</v>
          </cell>
          <cell r="AG456"/>
          <cell r="AH456"/>
          <cell r="AI456" t="str">
            <v>Co</v>
          </cell>
          <cell r="AJ456" t="str">
            <v/>
          </cell>
          <cell r="AK456" t="str">
            <v/>
          </cell>
          <cell r="AL456" t="str">
            <v/>
          </cell>
          <cell r="AM456" t="str">
            <v/>
          </cell>
          <cell r="AN456" t="str">
            <v>-3.5Ta</v>
          </cell>
          <cell r="AO456" t="str">
            <v/>
          </cell>
          <cell r="AP456" t="str">
            <v/>
          </cell>
          <cell r="AQ456" t="str">
            <v/>
          </cell>
          <cell r="AR456" t="str">
            <v/>
          </cell>
          <cell r="AS456" t="str">
            <v/>
          </cell>
          <cell r="AT456" t="str">
            <v/>
          </cell>
          <cell r="AU456" t="str">
            <v/>
          </cell>
          <cell r="AV456" t="str">
            <v/>
          </cell>
          <cell r="AW456" t="str">
            <v/>
          </cell>
          <cell r="AX456" t="str">
            <v/>
          </cell>
          <cell r="AY456" t="str">
            <v/>
          </cell>
          <cell r="AZ456" t="str">
            <v/>
          </cell>
          <cell r="BA456" t="str">
            <v/>
          </cell>
          <cell r="BB456" t="str">
            <v/>
          </cell>
          <cell r="BC456" t="str">
            <v/>
          </cell>
          <cell r="BD456" t="str">
            <v/>
          </cell>
          <cell r="BE456" t="str">
            <v/>
          </cell>
          <cell r="BF456" t="str">
            <v/>
          </cell>
          <cell r="BG456" t="str">
            <v/>
          </cell>
          <cell r="BH456" t="str">
            <v>Co-3.5TaShinagawa, K. et al. Phase equilibria and thermodynamic calculation of the Co-Ta binary system. Intermetallics 49, 87–97 (2014).</v>
          </cell>
          <cell r="BI456" t="str">
            <v>Co-3.5Ta</v>
          </cell>
          <cell r="BJ456" t="str">
            <v>96.5Co-3.5Ta</v>
          </cell>
        </row>
        <row r="457">
          <cell r="A457" t="str">
            <v>Co-8.5Ta</v>
          </cell>
          <cell r="B457" t="str">
            <v>W-free</v>
          </cell>
          <cell r="C457" t="str">
            <v>-9Ta</v>
          </cell>
          <cell r="D457" t="str">
            <v>Co-8.5Ta</v>
          </cell>
          <cell r="E457" t="str">
            <v>Shinagawa, K. et al. Phase equilibria and thermodynamic calculation of the Co-Ta binary system. Intermetallics 49, 87–97 (2014).</v>
          </cell>
          <cell r="F457">
            <v>475</v>
          </cell>
          <cell r="G457">
            <v>91.5</v>
          </cell>
          <cell r="H457"/>
          <cell r="I457"/>
          <cell r="J457"/>
          <cell r="K457"/>
          <cell r="L457"/>
          <cell r="M457">
            <v>8.5</v>
          </cell>
          <cell r="N457"/>
          <cell r="O457"/>
          <cell r="P457"/>
          <cell r="Q457"/>
          <cell r="R457"/>
          <cell r="S457"/>
          <cell r="T457"/>
          <cell r="U457"/>
          <cell r="V457"/>
          <cell r="W457"/>
          <cell r="X457"/>
          <cell r="Y457"/>
          <cell r="Z457"/>
          <cell r="AA457"/>
          <cell r="AB457"/>
          <cell r="AC457"/>
          <cell r="AD457"/>
          <cell r="AE457"/>
          <cell r="AF457">
            <v>9.5587499999999999</v>
          </cell>
          <cell r="AG457"/>
          <cell r="AH457"/>
          <cell r="AI457" t="str">
            <v>Co</v>
          </cell>
          <cell r="AJ457" t="str">
            <v/>
          </cell>
          <cell r="AK457" t="str">
            <v/>
          </cell>
          <cell r="AL457" t="str">
            <v/>
          </cell>
          <cell r="AM457" t="str">
            <v/>
          </cell>
          <cell r="AN457" t="str">
            <v>-8.5Ta</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cell r="BD457" t="str">
            <v/>
          </cell>
          <cell r="BE457" t="str">
            <v/>
          </cell>
          <cell r="BF457" t="str">
            <v/>
          </cell>
          <cell r="BG457" t="str">
            <v/>
          </cell>
          <cell r="BH457" t="str">
            <v>Co-8.5TaShinagawa, K. et al. Phase equilibria and thermodynamic calculation of the Co-Ta binary system. Intermetallics 49, 87–97 (2014).</v>
          </cell>
          <cell r="BI457" t="str">
            <v>Co-8.5Ta</v>
          </cell>
          <cell r="BJ457" t="str">
            <v>91.5Co-8.5Ta</v>
          </cell>
        </row>
        <row r="458">
          <cell r="A458" t="str">
            <v>Co-12.Ta</v>
          </cell>
          <cell r="B458" t="str">
            <v>W-free</v>
          </cell>
          <cell r="C458" t="str">
            <v>-12Ta</v>
          </cell>
          <cell r="D458" t="str">
            <v>Co-12Ta</v>
          </cell>
          <cell r="E458" t="str">
            <v>Shinagawa, K. et al. Phase equilibria and thermodynamic calculation of the Co-Ta binary system. Intermetallics 49, 87–97 (2014).</v>
          </cell>
          <cell r="F458">
            <v>476</v>
          </cell>
          <cell r="G458">
            <v>88</v>
          </cell>
          <cell r="H458"/>
          <cell r="I458"/>
          <cell r="J458"/>
          <cell r="K458"/>
          <cell r="L458"/>
          <cell r="M458">
            <v>12</v>
          </cell>
          <cell r="N458"/>
          <cell r="O458"/>
          <cell r="P458"/>
          <cell r="Q458"/>
          <cell r="R458"/>
          <cell r="S458"/>
          <cell r="T458"/>
          <cell r="U458"/>
          <cell r="V458"/>
          <cell r="W458"/>
          <cell r="X458"/>
          <cell r="Y458"/>
          <cell r="Z458"/>
          <cell r="AA458"/>
          <cell r="AB458"/>
          <cell r="AC458"/>
          <cell r="AD458"/>
          <cell r="AE458"/>
          <cell r="AF458">
            <v>9.83</v>
          </cell>
          <cell r="AG458"/>
          <cell r="AH458"/>
          <cell r="AI458" t="str">
            <v>Co</v>
          </cell>
          <cell r="AJ458" t="str">
            <v/>
          </cell>
          <cell r="AK458" t="str">
            <v/>
          </cell>
          <cell r="AL458" t="str">
            <v/>
          </cell>
          <cell r="AM458" t="str">
            <v/>
          </cell>
          <cell r="AN458" t="str">
            <v>-12.Ta</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cell r="BD458" t="str">
            <v/>
          </cell>
          <cell r="BE458" t="str">
            <v/>
          </cell>
          <cell r="BF458" t="str">
            <v/>
          </cell>
          <cell r="BG458" t="str">
            <v/>
          </cell>
          <cell r="BH458" t="str">
            <v>Co-12TaShinagawa, K. et al. Phase equilibria and thermodynamic calculation of the Co-Ta binary system. Intermetallics 49, 87–97 (2014).</v>
          </cell>
          <cell r="BI458" t="str">
            <v>Co-12.Ta</v>
          </cell>
          <cell r="BJ458" t="str">
            <v>88.0Co-12.0Ta</v>
          </cell>
        </row>
        <row r="459">
          <cell r="A459" t="str">
            <v>Co-14.Ta</v>
          </cell>
          <cell r="B459" t="str">
            <v>W-free</v>
          </cell>
          <cell r="C459" t="str">
            <v>-14Ta</v>
          </cell>
          <cell r="D459" t="str">
            <v>Co-14Ta</v>
          </cell>
          <cell r="E459" t="str">
            <v>Shinagawa, K. et al. Phase equilibria and thermodynamic calculation of the Co-Ta binary system. Intermetallics 49, 87–97 (2014).</v>
          </cell>
          <cell r="F459">
            <v>477</v>
          </cell>
          <cell r="G459">
            <v>86</v>
          </cell>
          <cell r="H459"/>
          <cell r="I459"/>
          <cell r="J459"/>
          <cell r="K459"/>
          <cell r="L459"/>
          <cell r="M459">
            <v>14</v>
          </cell>
          <cell r="N459"/>
          <cell r="O459"/>
          <cell r="P459"/>
          <cell r="Q459"/>
          <cell r="R459"/>
          <cell r="S459"/>
          <cell r="T459"/>
          <cell r="U459"/>
          <cell r="V459"/>
          <cell r="W459"/>
          <cell r="X459"/>
          <cell r="Y459"/>
          <cell r="Z459"/>
          <cell r="AA459"/>
          <cell r="AB459"/>
          <cell r="AC459"/>
          <cell r="AD459"/>
          <cell r="AE459"/>
          <cell r="AF459">
            <v>9.9849999999999994</v>
          </cell>
          <cell r="AG459"/>
          <cell r="AH459"/>
          <cell r="AI459" t="str">
            <v>Co</v>
          </cell>
          <cell r="AJ459" t="str">
            <v/>
          </cell>
          <cell r="AK459" t="str">
            <v/>
          </cell>
          <cell r="AL459" t="str">
            <v/>
          </cell>
          <cell r="AM459" t="str">
            <v/>
          </cell>
          <cell r="AN459" t="str">
            <v>-14.Ta</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cell r="BD459" t="str">
            <v/>
          </cell>
          <cell r="BE459" t="str">
            <v/>
          </cell>
          <cell r="BF459" t="str">
            <v/>
          </cell>
          <cell r="BG459" t="str">
            <v/>
          </cell>
          <cell r="BH459" t="str">
            <v>Co-14TaShinagawa, K. et al. Phase equilibria and thermodynamic calculation of the Co-Ta binary system. Intermetallics 49, 87–97 (2014).</v>
          </cell>
          <cell r="BI459" t="str">
            <v>Co-14.Ta</v>
          </cell>
          <cell r="BJ459" t="str">
            <v>86.0Co-14.0Ta</v>
          </cell>
        </row>
        <row r="460">
          <cell r="A460" t="str">
            <v>Co-16.Ta</v>
          </cell>
          <cell r="B460" t="str">
            <v>W-free</v>
          </cell>
          <cell r="C460" t="str">
            <v>-16Ta</v>
          </cell>
          <cell r="D460" t="str">
            <v>Co-16Ta</v>
          </cell>
          <cell r="E460" t="str">
            <v>Shinagawa, K. et al. Phase equilibria and thermodynamic calculation of the Co-Ta binary system. Intermetallics 49, 87–97 (2014).</v>
          </cell>
          <cell r="F460">
            <v>478</v>
          </cell>
          <cell r="G460">
            <v>84</v>
          </cell>
          <cell r="H460"/>
          <cell r="I460"/>
          <cell r="J460"/>
          <cell r="K460"/>
          <cell r="L460"/>
          <cell r="M460">
            <v>16</v>
          </cell>
          <cell r="N460"/>
          <cell r="O460"/>
          <cell r="P460"/>
          <cell r="Q460"/>
          <cell r="R460"/>
          <cell r="S460"/>
          <cell r="T460"/>
          <cell r="U460"/>
          <cell r="V460"/>
          <cell r="W460"/>
          <cell r="X460"/>
          <cell r="Y460"/>
          <cell r="Z460"/>
          <cell r="AA460"/>
          <cell r="AB460"/>
          <cell r="AC460"/>
          <cell r="AD460"/>
          <cell r="AE460"/>
          <cell r="AF460">
            <v>10.14</v>
          </cell>
          <cell r="AG460"/>
          <cell r="AH460"/>
          <cell r="AI460" t="str">
            <v>Co</v>
          </cell>
          <cell r="AJ460" t="str">
            <v/>
          </cell>
          <cell r="AK460" t="str">
            <v/>
          </cell>
          <cell r="AL460" t="str">
            <v/>
          </cell>
          <cell r="AM460" t="str">
            <v/>
          </cell>
          <cell r="AN460" t="str">
            <v>-16.Ta</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cell r="BD460" t="str">
            <v/>
          </cell>
          <cell r="BE460" t="str">
            <v/>
          </cell>
          <cell r="BF460" t="str">
            <v/>
          </cell>
          <cell r="BG460" t="str">
            <v/>
          </cell>
          <cell r="BH460" t="str">
            <v>Co-16TaShinagawa, K. et al. Phase equilibria and thermodynamic calculation of the Co-Ta binary system. Intermetallics 49, 87–97 (2014).</v>
          </cell>
          <cell r="BI460" t="str">
            <v>Co-16.Ta</v>
          </cell>
          <cell r="BJ460" t="str">
            <v>84.0Co-16.0Ta</v>
          </cell>
        </row>
        <row r="461">
          <cell r="A461" t="str">
            <v>Co-18.Ta</v>
          </cell>
          <cell r="B461" t="str">
            <v>W-free</v>
          </cell>
          <cell r="C461" t="str">
            <v>-18Ta</v>
          </cell>
          <cell r="D461" t="str">
            <v>Co-18Ta</v>
          </cell>
          <cell r="E461" t="str">
            <v>Shinagawa, K. et al. Phase equilibria and thermodynamic calculation of the Co-Ta binary system. Intermetallics 49, 87–97 (2014).</v>
          </cell>
          <cell r="F461">
            <v>479</v>
          </cell>
          <cell r="G461">
            <v>82</v>
          </cell>
          <cell r="H461"/>
          <cell r="I461"/>
          <cell r="J461"/>
          <cell r="K461"/>
          <cell r="L461"/>
          <cell r="M461">
            <v>18</v>
          </cell>
          <cell r="N461"/>
          <cell r="O461"/>
          <cell r="P461"/>
          <cell r="Q461"/>
          <cell r="R461"/>
          <cell r="S461"/>
          <cell r="T461"/>
          <cell r="U461"/>
          <cell r="V461"/>
          <cell r="W461"/>
          <cell r="X461"/>
          <cell r="Y461"/>
          <cell r="Z461"/>
          <cell r="AA461"/>
          <cell r="AB461"/>
          <cell r="AC461"/>
          <cell r="AD461"/>
          <cell r="AE461"/>
          <cell r="AF461">
            <v>10.295</v>
          </cell>
          <cell r="AG461"/>
          <cell r="AH461"/>
          <cell r="AI461" t="str">
            <v>Co</v>
          </cell>
          <cell r="AJ461" t="str">
            <v/>
          </cell>
          <cell r="AK461" t="str">
            <v/>
          </cell>
          <cell r="AL461" t="str">
            <v/>
          </cell>
          <cell r="AM461" t="str">
            <v/>
          </cell>
          <cell r="AN461" t="str">
            <v>-18.Ta</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cell r="BD461" t="str">
            <v/>
          </cell>
          <cell r="BE461" t="str">
            <v/>
          </cell>
          <cell r="BF461" t="str">
            <v/>
          </cell>
          <cell r="BG461" t="str">
            <v/>
          </cell>
          <cell r="BH461" t="str">
            <v>Co-18TaShinagawa, K. et al. Phase equilibria and thermodynamic calculation of the Co-Ta binary system. Intermetallics 49, 87–97 (2014).</v>
          </cell>
          <cell r="BI461" t="str">
            <v>Co-18.Ta</v>
          </cell>
          <cell r="BJ461" t="str">
            <v>82.0Co-18.0Ta</v>
          </cell>
        </row>
        <row r="462">
          <cell r="A462" t="str">
            <v>Co-21.Ta</v>
          </cell>
          <cell r="B462" t="str">
            <v>W-free</v>
          </cell>
          <cell r="C462" t="str">
            <v>-21Ta</v>
          </cell>
          <cell r="D462" t="str">
            <v>Co-21Ta</v>
          </cell>
          <cell r="E462" t="str">
            <v>Shinagawa, K. et al. Phase equilibria and thermodynamic calculation of the Co-Ta binary system. Intermetallics 49, 87–97 (2014).</v>
          </cell>
          <cell r="F462">
            <v>480</v>
          </cell>
          <cell r="G462">
            <v>79</v>
          </cell>
          <cell r="H462"/>
          <cell r="I462"/>
          <cell r="J462"/>
          <cell r="K462"/>
          <cell r="L462"/>
          <cell r="M462">
            <v>21</v>
          </cell>
          <cell r="N462"/>
          <cell r="O462"/>
          <cell r="P462"/>
          <cell r="Q462"/>
          <cell r="R462"/>
          <cell r="S462"/>
          <cell r="T462"/>
          <cell r="U462"/>
          <cell r="V462"/>
          <cell r="W462"/>
          <cell r="X462"/>
          <cell r="Y462"/>
          <cell r="Z462"/>
          <cell r="AA462"/>
          <cell r="AB462"/>
          <cell r="AC462"/>
          <cell r="AD462"/>
          <cell r="AE462"/>
          <cell r="AF462">
            <v>10.5275</v>
          </cell>
          <cell r="AG462"/>
          <cell r="AH462"/>
          <cell r="AI462" t="str">
            <v>Co</v>
          </cell>
          <cell r="AJ462" t="str">
            <v/>
          </cell>
          <cell r="AK462" t="str">
            <v/>
          </cell>
          <cell r="AL462" t="str">
            <v/>
          </cell>
          <cell r="AM462" t="str">
            <v/>
          </cell>
          <cell r="AN462" t="str">
            <v>-21.Ta</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cell r="BD462" t="str">
            <v/>
          </cell>
          <cell r="BE462" t="str">
            <v/>
          </cell>
          <cell r="BF462" t="str">
            <v/>
          </cell>
          <cell r="BG462" t="str">
            <v/>
          </cell>
          <cell r="BH462" t="str">
            <v>Co-21TaShinagawa, K. et al. Phase equilibria and thermodynamic calculation of the Co-Ta binary system. Intermetallics 49, 87–97 (2014).</v>
          </cell>
          <cell r="BI462" t="str">
            <v>Co-21.Ta</v>
          </cell>
          <cell r="BJ462" t="str">
            <v>79.0Co-21.0Ta</v>
          </cell>
        </row>
        <row r="463">
          <cell r="A463" t="str">
            <v>Co-24.Ta</v>
          </cell>
          <cell r="B463" t="str">
            <v>W-free</v>
          </cell>
          <cell r="C463" t="str">
            <v>-24Ta</v>
          </cell>
          <cell r="D463" t="str">
            <v>Co-24Ta</v>
          </cell>
          <cell r="E463" t="str">
            <v>Shinagawa, K. et al. Phase equilibria and thermodynamic calculation of the Co-Ta binary system. Intermetallics 49, 87–97 (2014).</v>
          </cell>
          <cell r="F463">
            <v>481</v>
          </cell>
          <cell r="G463">
            <v>76</v>
          </cell>
          <cell r="H463"/>
          <cell r="I463"/>
          <cell r="J463"/>
          <cell r="K463"/>
          <cell r="L463"/>
          <cell r="M463">
            <v>24</v>
          </cell>
          <cell r="N463"/>
          <cell r="O463"/>
          <cell r="P463"/>
          <cell r="Q463"/>
          <cell r="R463"/>
          <cell r="S463"/>
          <cell r="T463"/>
          <cell r="U463"/>
          <cell r="V463"/>
          <cell r="W463"/>
          <cell r="X463"/>
          <cell r="Y463"/>
          <cell r="Z463"/>
          <cell r="AA463"/>
          <cell r="AB463"/>
          <cell r="AC463"/>
          <cell r="AD463"/>
          <cell r="AE463"/>
          <cell r="AF463">
            <v>10.76</v>
          </cell>
          <cell r="AG463"/>
          <cell r="AH463"/>
          <cell r="AI463" t="str">
            <v>Co</v>
          </cell>
          <cell r="AJ463" t="str">
            <v/>
          </cell>
          <cell r="AK463" t="str">
            <v/>
          </cell>
          <cell r="AL463" t="str">
            <v/>
          </cell>
          <cell r="AM463" t="str">
            <v/>
          </cell>
          <cell r="AN463" t="str">
            <v>-24.Ta</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cell r="BD463" t="str">
            <v/>
          </cell>
          <cell r="BE463" t="str">
            <v/>
          </cell>
          <cell r="BF463" t="str">
            <v/>
          </cell>
          <cell r="BG463" t="str">
            <v/>
          </cell>
          <cell r="BH463" t="str">
            <v>Co-24TaShinagawa, K. et al. Phase equilibria and thermodynamic calculation of the Co-Ta binary system. Intermetallics 49, 87–97 (2014).</v>
          </cell>
          <cell r="BI463" t="str">
            <v>Co-24.Ta</v>
          </cell>
          <cell r="BJ463" t="str">
            <v>76.0Co-24.0Ta</v>
          </cell>
        </row>
        <row r="464">
          <cell r="A464" t="str">
            <v>Co-8.9Al-6.9W</v>
          </cell>
          <cell r="B464" t="str">
            <v>CoAlW-X</v>
          </cell>
          <cell r="C464" t="str">
            <v>-9Al-7W</v>
          </cell>
          <cell r="D464" t="str">
            <v>Co-8.9Al-6.9W</v>
          </cell>
          <cell r="E464" t="str">
            <v>Shinagawa, K., Omori, T., Oikawa, K., Kainuma, R. &amp; Ishida, K. Ductility enhancement by boron addition in Co-Al-W high-temperature alloys. Scr. Mater. 61, 612–615 (2009).</v>
          </cell>
          <cell r="F464">
            <v>482</v>
          </cell>
          <cell r="G464">
            <v>84.2</v>
          </cell>
          <cell r="H464"/>
          <cell r="I464">
            <v>8.9</v>
          </cell>
          <cell r="J464"/>
          <cell r="K464">
            <v>6.9</v>
          </cell>
          <cell r="L464"/>
          <cell r="M464"/>
          <cell r="N464"/>
          <cell r="O464"/>
          <cell r="P464"/>
          <cell r="Q464"/>
          <cell r="R464"/>
          <cell r="S464"/>
          <cell r="T464"/>
          <cell r="U464"/>
          <cell r="V464"/>
          <cell r="W464"/>
          <cell r="X464"/>
          <cell r="Y464"/>
          <cell r="Z464"/>
          <cell r="AA464"/>
          <cell r="AB464"/>
          <cell r="AC464"/>
          <cell r="AD464"/>
          <cell r="AE464"/>
          <cell r="AF464">
            <v>9.0623500000000021</v>
          </cell>
          <cell r="AG464"/>
          <cell r="AH464"/>
          <cell r="AI464" t="str">
            <v>Co</v>
          </cell>
          <cell r="AJ464" t="str">
            <v>-8.9Al</v>
          </cell>
          <cell r="AK464" t="str">
            <v>-6.9W</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cell r="BD464" t="str">
            <v/>
          </cell>
          <cell r="BE464" t="str">
            <v/>
          </cell>
          <cell r="BF464" t="str">
            <v/>
          </cell>
          <cell r="BG464" t="str">
            <v/>
          </cell>
          <cell r="BH464" t="str">
            <v>Co-8.9Al-6.9WShinagawa, K., Omori, T., Oikawa, K., Kainuma, R. &amp; Ishida, K. Ductility enhancement by boron addition in Co-Al-W high-temperature alloys. Scr. Mater. 61, 612–615 (2009).</v>
          </cell>
          <cell r="BI464" t="str">
            <v>Co-8.9Al-6.9W</v>
          </cell>
          <cell r="BJ464" t="str">
            <v>84.2Co-8.9Al-6.9W</v>
          </cell>
        </row>
        <row r="465">
          <cell r="A465" t="str">
            <v>Co-8.9Al-6.9W-0.02B</v>
          </cell>
          <cell r="B465" t="str">
            <v>CoAlW-X</v>
          </cell>
          <cell r="C465" t="str">
            <v>-9Al-7W-B</v>
          </cell>
          <cell r="D465" t="str">
            <v>Co-8.9Al-6.9W-0.02B</v>
          </cell>
          <cell r="E465" t="str">
            <v>Shinagawa, K., Omori, T., Oikawa, K., Kainuma, R. &amp; Ishida, K. Ductility enhancement by boron addition in Co-Al-W high-temperature alloys. Scr. Mater. 61, 612–615 (2009).</v>
          </cell>
          <cell r="F465">
            <v>483</v>
          </cell>
          <cell r="G465">
            <v>84.18</v>
          </cell>
          <cell r="H465"/>
          <cell r="I465">
            <v>8.9</v>
          </cell>
          <cell r="J465"/>
          <cell r="K465">
            <v>6.9</v>
          </cell>
          <cell r="L465"/>
          <cell r="M465"/>
          <cell r="N465"/>
          <cell r="O465"/>
          <cell r="P465"/>
          <cell r="Q465"/>
          <cell r="R465"/>
          <cell r="S465">
            <v>0.02</v>
          </cell>
          <cell r="T465"/>
          <cell r="U465"/>
          <cell r="V465"/>
          <cell r="W465"/>
          <cell r="X465"/>
          <cell r="Y465"/>
          <cell r="Z465"/>
          <cell r="AA465"/>
          <cell r="AB465"/>
          <cell r="AC465"/>
          <cell r="AD465"/>
          <cell r="AE465"/>
          <cell r="AF465">
            <v>9.0610620000000015</v>
          </cell>
          <cell r="AG465"/>
          <cell r="AH465"/>
          <cell r="AI465" t="str">
            <v>Co</v>
          </cell>
          <cell r="AJ465" t="str">
            <v>-8.9Al</v>
          </cell>
          <cell r="AK465" t="str">
            <v>-6.9W</v>
          </cell>
          <cell r="AL465" t="str">
            <v/>
          </cell>
          <cell r="AM465" t="str">
            <v/>
          </cell>
          <cell r="AN465" t="str">
            <v/>
          </cell>
          <cell r="AO465" t="str">
            <v/>
          </cell>
          <cell r="AP465" t="str">
            <v/>
          </cell>
          <cell r="AQ465" t="str">
            <v/>
          </cell>
          <cell r="AR465" t="str">
            <v/>
          </cell>
          <cell r="AS465" t="str">
            <v/>
          </cell>
          <cell r="AT465" t="str">
            <v/>
          </cell>
          <cell r="AU465" t="str">
            <v>-0.02B</v>
          </cell>
          <cell r="AV465" t="str">
            <v/>
          </cell>
          <cell r="AW465" t="str">
            <v/>
          </cell>
          <cell r="AX465" t="str">
            <v/>
          </cell>
          <cell r="AY465" t="str">
            <v/>
          </cell>
          <cell r="AZ465" t="str">
            <v/>
          </cell>
          <cell r="BA465" t="str">
            <v/>
          </cell>
          <cell r="BB465" t="str">
            <v/>
          </cell>
          <cell r="BC465" t="str">
            <v/>
          </cell>
          <cell r="BD465" t="str">
            <v/>
          </cell>
          <cell r="BE465" t="str">
            <v/>
          </cell>
          <cell r="BF465" t="str">
            <v/>
          </cell>
          <cell r="BG465" t="str">
            <v/>
          </cell>
          <cell r="BH465" t="str">
            <v>Co-8.9Al-6.9W-0.02BShinagawa, K., Omori, T., Oikawa, K., Kainuma, R. &amp; Ishida, K. Ductility enhancement by boron addition in Co-Al-W high-temperature alloys. Scr. Mater. 61, 612–615 (2009).</v>
          </cell>
          <cell r="BI465" t="str">
            <v>Co-8.9Al-6.9W-0.02B</v>
          </cell>
          <cell r="BJ465" t="str">
            <v>84.2Co-8.9Al-6.9W-0.02B</v>
          </cell>
        </row>
        <row r="466">
          <cell r="A466" t="str">
            <v>Co-9.Al-8.2W</v>
          </cell>
          <cell r="B466" t="str">
            <v>CoAlW-X</v>
          </cell>
          <cell r="C466" t="str">
            <v>-9Al-8W</v>
          </cell>
          <cell r="D466" t="str">
            <v>Co-9Al-8.2W</v>
          </cell>
          <cell r="E466" t="str">
            <v>Shinagawa, K., Omori, T., Oikawa, K., Kainuma, R. &amp; Ishida, K. Ductility enhancement by boron addition in Co-Al-W high-temperature alloys. Scr. Mater. 61, 612–615 (2009).</v>
          </cell>
          <cell r="F466">
            <v>484</v>
          </cell>
          <cell r="G466">
            <v>82.8</v>
          </cell>
          <cell r="H466"/>
          <cell r="I466">
            <v>9</v>
          </cell>
          <cell r="J466"/>
          <cell r="K466">
            <v>8.1999999999999993</v>
          </cell>
          <cell r="L466"/>
          <cell r="M466"/>
          <cell r="N466"/>
          <cell r="O466"/>
          <cell r="P466"/>
          <cell r="Q466"/>
          <cell r="R466"/>
          <cell r="S466"/>
          <cell r="T466"/>
          <cell r="U466"/>
          <cell r="V466"/>
          <cell r="W466"/>
          <cell r="X466"/>
          <cell r="Y466"/>
          <cell r="Z466"/>
          <cell r="AA466"/>
          <cell r="AB466"/>
          <cell r="AC466"/>
          <cell r="AD466"/>
          <cell r="AE466"/>
          <cell r="AF466">
            <v>9.1906999999999996</v>
          </cell>
          <cell r="AG466"/>
          <cell r="AH466"/>
          <cell r="AI466" t="str">
            <v>Co</v>
          </cell>
          <cell r="AJ466" t="str">
            <v>-9.Al</v>
          </cell>
          <cell r="AK466" t="str">
            <v>-8.2W</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cell r="BD466" t="str">
            <v/>
          </cell>
          <cell r="BE466" t="str">
            <v/>
          </cell>
          <cell r="BF466" t="str">
            <v/>
          </cell>
          <cell r="BG466" t="str">
            <v/>
          </cell>
          <cell r="BH466" t="str">
            <v>Co-9Al-8.2WShinagawa, K., Omori, T., Oikawa, K., Kainuma, R. &amp; Ishida, K. Ductility enhancement by boron addition in Co-Al-W high-temperature alloys. Scr. Mater. 61, 612–615 (2009).</v>
          </cell>
          <cell r="BI466" t="str">
            <v>Co-9.Al-8.2W</v>
          </cell>
          <cell r="BJ466" t="str">
            <v>82.8Co-9.0Al-8.2W</v>
          </cell>
        </row>
        <row r="467">
          <cell r="A467" t="str">
            <v>Co-9.Al-8.2W-0.02B</v>
          </cell>
          <cell r="B467" t="str">
            <v>CoAlW-X</v>
          </cell>
          <cell r="C467" t="str">
            <v>-9Al-8W-B</v>
          </cell>
          <cell r="D467" t="str">
            <v>Co-9Al-8.2W-0.02B</v>
          </cell>
          <cell r="E467" t="str">
            <v>Shinagawa, K., Omori, T., Oikawa, K., Kainuma, R. &amp; Ishida, K. Ductility enhancement by boron addition in Co-Al-W high-temperature alloys. Scr. Mater. 61, 612–615 (2009).</v>
          </cell>
          <cell r="F467">
            <v>485</v>
          </cell>
          <cell r="G467">
            <v>82.78</v>
          </cell>
          <cell r="H467"/>
          <cell r="I467">
            <v>9</v>
          </cell>
          <cell r="J467"/>
          <cell r="K467">
            <v>8.1999999999999993</v>
          </cell>
          <cell r="L467"/>
          <cell r="M467"/>
          <cell r="N467"/>
          <cell r="O467"/>
          <cell r="P467"/>
          <cell r="Q467"/>
          <cell r="R467"/>
          <cell r="S467">
            <v>0.02</v>
          </cell>
          <cell r="T467"/>
          <cell r="U467"/>
          <cell r="V467"/>
          <cell r="W467"/>
          <cell r="X467"/>
          <cell r="Y467"/>
          <cell r="Z467"/>
          <cell r="AA467"/>
          <cell r="AB467"/>
          <cell r="AC467"/>
          <cell r="AD467"/>
          <cell r="AE467"/>
          <cell r="AF467">
            <v>9.1894120000000008</v>
          </cell>
          <cell r="AG467"/>
          <cell r="AH467"/>
          <cell r="AI467" t="str">
            <v>Co</v>
          </cell>
          <cell r="AJ467" t="str">
            <v>-9.Al</v>
          </cell>
          <cell r="AK467" t="str">
            <v>-8.2W</v>
          </cell>
          <cell r="AL467" t="str">
            <v/>
          </cell>
          <cell r="AM467" t="str">
            <v/>
          </cell>
          <cell r="AN467" t="str">
            <v/>
          </cell>
          <cell r="AO467" t="str">
            <v/>
          </cell>
          <cell r="AP467" t="str">
            <v/>
          </cell>
          <cell r="AQ467" t="str">
            <v/>
          </cell>
          <cell r="AR467" t="str">
            <v/>
          </cell>
          <cell r="AS467" t="str">
            <v/>
          </cell>
          <cell r="AT467" t="str">
            <v/>
          </cell>
          <cell r="AU467" t="str">
            <v>-0.02B</v>
          </cell>
          <cell r="AV467" t="str">
            <v/>
          </cell>
          <cell r="AW467" t="str">
            <v/>
          </cell>
          <cell r="AX467" t="str">
            <v/>
          </cell>
          <cell r="AY467" t="str">
            <v/>
          </cell>
          <cell r="AZ467" t="str">
            <v/>
          </cell>
          <cell r="BA467" t="str">
            <v/>
          </cell>
          <cell r="BB467" t="str">
            <v/>
          </cell>
          <cell r="BC467" t="str">
            <v/>
          </cell>
          <cell r="BD467" t="str">
            <v/>
          </cell>
          <cell r="BE467" t="str">
            <v/>
          </cell>
          <cell r="BF467" t="str">
            <v/>
          </cell>
          <cell r="BG467" t="str">
            <v/>
          </cell>
          <cell r="BH467" t="str">
            <v>Co-9Al-8.2W-0.02BShinagawa, K., Omori, T., Oikawa, K., Kainuma, R. &amp; Ishida, K. Ductility enhancement by boron addition in Co-Al-W high-temperature alloys. Scr. Mater. 61, 612–615 (2009).</v>
          </cell>
          <cell r="BI467" t="str">
            <v>Co-9.Al-8.2W-0.02B</v>
          </cell>
          <cell r="BJ467" t="str">
            <v>82.8Co-9.0Al-8.2W-0.02B</v>
          </cell>
        </row>
        <row r="468">
          <cell r="A468" t="str">
            <v>Co-9.3Al-10.4W</v>
          </cell>
          <cell r="B468" t="str">
            <v>CoAlW-X</v>
          </cell>
          <cell r="C468" t="str">
            <v>-9Al-10W</v>
          </cell>
          <cell r="D468" t="str">
            <v>Co-9.3Al-10.4W</v>
          </cell>
          <cell r="E468" t="str">
            <v>Shinagawa, K., Omori, T., Oikawa, K., Kainuma, R. &amp; Ishida, K. Ductility enhancement by boron addition in Co-Al-W high-temperature alloys. Scr. Mater. 61, 612–615 (2009).</v>
          </cell>
          <cell r="F468">
            <v>486</v>
          </cell>
          <cell r="G468">
            <v>80.3</v>
          </cell>
          <cell r="H468"/>
          <cell r="I468">
            <v>9.3000000000000007</v>
          </cell>
          <cell r="J468"/>
          <cell r="K468">
            <v>10.4</v>
          </cell>
          <cell r="L468"/>
          <cell r="M468"/>
          <cell r="N468"/>
          <cell r="O468"/>
          <cell r="P468"/>
          <cell r="Q468"/>
          <cell r="R468"/>
          <cell r="S468"/>
          <cell r="T468"/>
          <cell r="U468"/>
          <cell r="V468"/>
          <cell r="W468"/>
          <cell r="X468"/>
          <cell r="Y468"/>
          <cell r="Z468"/>
          <cell r="AA468"/>
          <cell r="AB468"/>
          <cell r="AC468"/>
          <cell r="AD468"/>
          <cell r="AE468"/>
          <cell r="AF468">
            <v>9.3998000000000008</v>
          </cell>
          <cell r="AG468"/>
          <cell r="AH468"/>
          <cell r="AI468" t="str">
            <v>Co</v>
          </cell>
          <cell r="AJ468" t="str">
            <v>-9.3Al</v>
          </cell>
          <cell r="AK468" t="str">
            <v>-10.4W</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cell r="BD468" t="str">
            <v/>
          </cell>
          <cell r="BE468" t="str">
            <v/>
          </cell>
          <cell r="BF468" t="str">
            <v/>
          </cell>
          <cell r="BG468" t="str">
            <v/>
          </cell>
          <cell r="BH468" t="str">
            <v>Co-9.3Al-10.4WShinagawa, K., Omori, T., Oikawa, K., Kainuma, R. &amp; Ishida, K. Ductility enhancement by boron addition in Co-Al-W high-temperature alloys. Scr. Mater. 61, 612–615 (2009).</v>
          </cell>
          <cell r="BI468" t="str">
            <v>Co-9.3Al-10.4W</v>
          </cell>
          <cell r="BJ468" t="str">
            <v>80.3Co-9.3Al-10.4W</v>
          </cell>
        </row>
        <row r="469">
          <cell r="A469" t="str">
            <v>Co-9.3Al-10.4W-0.02B</v>
          </cell>
          <cell r="B469" t="str">
            <v>CoAlW-X</v>
          </cell>
          <cell r="C469" t="str">
            <v>-9Al-10W-B</v>
          </cell>
          <cell r="D469" t="str">
            <v>Co-9.3Al-10.4W-0.02B</v>
          </cell>
          <cell r="E469" t="str">
            <v>Shinagawa, K., Omori, T., Oikawa, K., Kainuma, R. &amp; Ishida, K. Ductility enhancement by boron addition in Co-Al-W high-temperature alloys. Scr. Mater. 61, 612–615 (2009).</v>
          </cell>
          <cell r="F469">
            <v>487</v>
          </cell>
          <cell r="G469">
            <v>80.28</v>
          </cell>
          <cell r="H469"/>
          <cell r="I469">
            <v>9.3000000000000007</v>
          </cell>
          <cell r="J469"/>
          <cell r="K469">
            <v>10.4</v>
          </cell>
          <cell r="L469"/>
          <cell r="M469"/>
          <cell r="N469"/>
          <cell r="O469"/>
          <cell r="P469"/>
          <cell r="Q469"/>
          <cell r="R469"/>
          <cell r="S469">
            <v>0.02</v>
          </cell>
          <cell r="T469"/>
          <cell r="U469"/>
          <cell r="V469"/>
          <cell r="W469"/>
          <cell r="X469"/>
          <cell r="Y469"/>
          <cell r="Z469"/>
          <cell r="AA469"/>
          <cell r="AB469"/>
          <cell r="AC469"/>
          <cell r="AD469"/>
          <cell r="AE469"/>
          <cell r="AF469">
            <v>9.398512000000002</v>
          </cell>
          <cell r="AG469"/>
          <cell r="AH469"/>
          <cell r="AI469" t="str">
            <v>Co</v>
          </cell>
          <cell r="AJ469" t="str">
            <v>-9.3Al</v>
          </cell>
          <cell r="AK469" t="str">
            <v>-10.4W</v>
          </cell>
          <cell r="AL469" t="str">
            <v/>
          </cell>
          <cell r="AM469" t="str">
            <v/>
          </cell>
          <cell r="AN469" t="str">
            <v/>
          </cell>
          <cell r="AO469" t="str">
            <v/>
          </cell>
          <cell r="AP469" t="str">
            <v/>
          </cell>
          <cell r="AQ469" t="str">
            <v/>
          </cell>
          <cell r="AR469" t="str">
            <v/>
          </cell>
          <cell r="AS469" t="str">
            <v/>
          </cell>
          <cell r="AT469" t="str">
            <v/>
          </cell>
          <cell r="AU469" t="str">
            <v>-0.02B</v>
          </cell>
          <cell r="AV469" t="str">
            <v/>
          </cell>
          <cell r="AW469" t="str">
            <v/>
          </cell>
          <cell r="AX469" t="str">
            <v/>
          </cell>
          <cell r="AY469" t="str">
            <v/>
          </cell>
          <cell r="AZ469" t="str">
            <v/>
          </cell>
          <cell r="BA469" t="str">
            <v/>
          </cell>
          <cell r="BB469" t="str">
            <v/>
          </cell>
          <cell r="BC469" t="str">
            <v/>
          </cell>
          <cell r="BD469" t="str">
            <v/>
          </cell>
          <cell r="BE469" t="str">
            <v/>
          </cell>
          <cell r="BF469" t="str">
            <v/>
          </cell>
          <cell r="BG469" t="str">
            <v/>
          </cell>
          <cell r="BH469" t="str">
            <v>Co-9.3Al-10.4W-0.02BShinagawa, K., Omori, T., Oikawa, K., Kainuma, R. &amp; Ishida, K. Ductility enhancement by boron addition in Co-Al-W high-temperature alloys. Scr. Mater. 61, 612–615 (2009).</v>
          </cell>
          <cell r="BI469" t="str">
            <v>Co-9.3Al-10.4W-0.02B</v>
          </cell>
          <cell r="BJ469" t="str">
            <v>80.3Co-9.3Al-10.4W-0.02B</v>
          </cell>
        </row>
        <row r="470">
          <cell r="A470" t="str">
            <v>Co-9.2Al-9.5W</v>
          </cell>
          <cell r="B470" t="str">
            <v>CoAlW-X</v>
          </cell>
          <cell r="C470" t="str">
            <v>-9Al-10W</v>
          </cell>
          <cell r="D470" t="str">
            <v>Co-9.2Al-9.5W</v>
          </cell>
          <cell r="E470" t="str">
            <v>Shinagawa, K., Omori, T., Oikawa, K., Kainuma, R. &amp; Ishida, K. Ductility enhancement by boron addition in Co-Al-W high-temperature alloys. Scr. Mater. 61, 612–615 (2009).</v>
          </cell>
          <cell r="F470">
            <v>488</v>
          </cell>
          <cell r="G470">
            <v>81.3</v>
          </cell>
          <cell r="H470"/>
          <cell r="I470">
            <v>9.1999999999999993</v>
          </cell>
          <cell r="J470"/>
          <cell r="K470">
            <v>9.5</v>
          </cell>
          <cell r="L470"/>
          <cell r="M470"/>
          <cell r="N470"/>
          <cell r="O470"/>
          <cell r="P470"/>
          <cell r="Q470"/>
          <cell r="R470"/>
          <cell r="S470"/>
          <cell r="T470"/>
          <cell r="U470"/>
          <cell r="V470"/>
          <cell r="W470"/>
          <cell r="X470"/>
          <cell r="Y470"/>
          <cell r="Z470"/>
          <cell r="AA470"/>
          <cell r="AB470"/>
          <cell r="AC470"/>
          <cell r="AD470"/>
          <cell r="AE470"/>
          <cell r="AF470">
            <v>9.312850000000001</v>
          </cell>
          <cell r="AG470"/>
          <cell r="AH470"/>
          <cell r="AI470" t="str">
            <v>Co</v>
          </cell>
          <cell r="AJ470" t="str">
            <v>-9.2Al</v>
          </cell>
          <cell r="AK470" t="str">
            <v>-9.5W</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cell r="BD470" t="str">
            <v/>
          </cell>
          <cell r="BE470" t="str">
            <v/>
          </cell>
          <cell r="BF470" t="str">
            <v/>
          </cell>
          <cell r="BG470" t="str">
            <v/>
          </cell>
          <cell r="BH470" t="str">
            <v>Co-9.2Al-9.5WShinagawa, K., Omori, T., Oikawa, K., Kainuma, R. &amp; Ishida, K. Ductility enhancement by boron addition in Co-Al-W high-temperature alloys. Scr. Mater. 61, 612–615 (2009).</v>
          </cell>
          <cell r="BI470" t="str">
            <v>Co-9.2Al-9.5W</v>
          </cell>
          <cell r="BJ470" t="str">
            <v>81.3Co-9.2Al-9.5W</v>
          </cell>
        </row>
        <row r="471">
          <cell r="A471" t="str">
            <v>Co-9.2Al-9.5W-0.02B</v>
          </cell>
          <cell r="B471" t="str">
            <v>CoAlW-X</v>
          </cell>
          <cell r="C471" t="str">
            <v>-9Al-10W-B</v>
          </cell>
          <cell r="D471" t="str">
            <v>Co-9.2Al-9.5W-0.02B</v>
          </cell>
          <cell r="E471" t="str">
            <v>Shinagawa, K., Omori, T., Oikawa, K., Kainuma, R. &amp; Ishida, K. Ductility enhancement by boron addition in Co-Al-W high-temperature alloys. Scr. Mater. 61, 612–615 (2009).</v>
          </cell>
          <cell r="F471">
            <v>489</v>
          </cell>
          <cell r="G471">
            <v>81.28</v>
          </cell>
          <cell r="H471"/>
          <cell r="I471">
            <v>9.1999999999999993</v>
          </cell>
          <cell r="J471"/>
          <cell r="K471">
            <v>9.5</v>
          </cell>
          <cell r="L471"/>
          <cell r="M471"/>
          <cell r="N471"/>
          <cell r="O471"/>
          <cell r="P471"/>
          <cell r="Q471"/>
          <cell r="R471"/>
          <cell r="S471">
            <v>0.02</v>
          </cell>
          <cell r="T471"/>
          <cell r="U471"/>
          <cell r="V471"/>
          <cell r="W471"/>
          <cell r="X471"/>
          <cell r="Y471"/>
          <cell r="Z471"/>
          <cell r="AA471"/>
          <cell r="AB471"/>
          <cell r="AC471"/>
          <cell r="AD471"/>
          <cell r="AE471"/>
          <cell r="AF471">
            <v>9.3115620000000021</v>
          </cell>
          <cell r="AG471"/>
          <cell r="AH471"/>
          <cell r="AI471" t="str">
            <v>Co</v>
          </cell>
          <cell r="AJ471" t="str">
            <v>-9.2Al</v>
          </cell>
          <cell r="AK471" t="str">
            <v>-9.5W</v>
          </cell>
          <cell r="AL471" t="str">
            <v/>
          </cell>
          <cell r="AM471" t="str">
            <v/>
          </cell>
          <cell r="AN471" t="str">
            <v/>
          </cell>
          <cell r="AO471" t="str">
            <v/>
          </cell>
          <cell r="AP471" t="str">
            <v/>
          </cell>
          <cell r="AQ471" t="str">
            <v/>
          </cell>
          <cell r="AR471" t="str">
            <v/>
          </cell>
          <cell r="AS471" t="str">
            <v/>
          </cell>
          <cell r="AT471" t="str">
            <v/>
          </cell>
          <cell r="AU471" t="str">
            <v>-0.02B</v>
          </cell>
          <cell r="AV471" t="str">
            <v/>
          </cell>
          <cell r="AW471" t="str">
            <v/>
          </cell>
          <cell r="AX471" t="str">
            <v/>
          </cell>
          <cell r="AY471" t="str">
            <v/>
          </cell>
          <cell r="AZ471" t="str">
            <v/>
          </cell>
          <cell r="BA471" t="str">
            <v/>
          </cell>
          <cell r="BB471" t="str">
            <v/>
          </cell>
          <cell r="BC471" t="str">
            <v/>
          </cell>
          <cell r="BD471" t="str">
            <v/>
          </cell>
          <cell r="BE471" t="str">
            <v/>
          </cell>
          <cell r="BF471" t="str">
            <v/>
          </cell>
          <cell r="BG471" t="str">
            <v/>
          </cell>
          <cell r="BH471" t="str">
            <v>Co-9.2Al-9.5W-0.02BShinagawa, K., Omori, T., Oikawa, K., Kainuma, R. &amp; Ishida, K. Ductility enhancement by boron addition in Co-Al-W high-temperature alloys. Scr. Mater. 61, 612–615 (2009).</v>
          </cell>
          <cell r="BI471" t="str">
            <v>Co-9.2Al-9.5W-0.02B</v>
          </cell>
          <cell r="BJ471" t="str">
            <v>81.3Co-9.2Al-9.5W-0.02B</v>
          </cell>
        </row>
        <row r="472">
          <cell r="A472" t="str">
            <v>Co-32.5Ni-11.7Al-3.3Cr-4.4W-1.5Ta</v>
          </cell>
          <cell r="B472" t="str">
            <v>CoAlWX+</v>
          </cell>
          <cell r="C472" t="str">
            <v>-33Ni-12Al-3Cr-4W-2Ta</v>
          </cell>
          <cell r="D472" t="str">
            <v>2-6G</v>
          </cell>
          <cell r="E472" t="str">
            <v>Stewart, C. A., Murray, S. P., Suzuki, A., Pollock, T. M. &amp; Levi, C. G. Accelerated discovery of oxidation resistant CoNi-base γ/γ’ alloys with high L12 solvus and low density. Mater. Des. 189, (2020).</v>
          </cell>
          <cell r="F472">
            <v>490</v>
          </cell>
          <cell r="G472">
            <v>46.6</v>
          </cell>
          <cell r="H472">
            <v>32.5</v>
          </cell>
          <cell r="I472">
            <v>11.7</v>
          </cell>
          <cell r="J472">
            <v>3.3</v>
          </cell>
          <cell r="K472">
            <v>4.4000000000000004</v>
          </cell>
          <cell r="L472"/>
          <cell r="M472">
            <v>1.5</v>
          </cell>
          <cell r="N472"/>
          <cell r="O472"/>
          <cell r="P472"/>
          <cell r="Q472"/>
          <cell r="R472"/>
          <cell r="S472"/>
          <cell r="T472"/>
          <cell r="U472"/>
          <cell r="V472"/>
          <cell r="W472"/>
          <cell r="X472"/>
          <cell r="Y472"/>
          <cell r="Z472"/>
          <cell r="AA472"/>
          <cell r="AB472"/>
          <cell r="AC472"/>
          <cell r="AD472"/>
          <cell r="AE472"/>
          <cell r="AF472">
            <v>8.6924200000000003</v>
          </cell>
          <cell r="AG472"/>
          <cell r="AH472"/>
          <cell r="AI472" t="str">
            <v>Co</v>
          </cell>
          <cell r="AJ472" t="str">
            <v>-11.7Al</v>
          </cell>
          <cell r="AK472" t="str">
            <v>-4.4W</v>
          </cell>
          <cell r="AL472" t="str">
            <v>-32.5Ni</v>
          </cell>
          <cell r="AM472" t="str">
            <v>-3.3Cr</v>
          </cell>
          <cell r="AN472" t="str">
            <v>-1.5Ta</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
          </cell>
          <cell r="BB472" t="str">
            <v/>
          </cell>
          <cell r="BC472" t="str">
            <v/>
          </cell>
          <cell r="BD472" t="str">
            <v/>
          </cell>
          <cell r="BE472" t="str">
            <v/>
          </cell>
          <cell r="BF472" t="str">
            <v/>
          </cell>
          <cell r="BG472" t="str">
            <v/>
          </cell>
          <cell r="BH472" t="str">
            <v>2-6GStewart, C. A., Murray, S. P., Suzuki, A., Pollock, T. M. &amp; Levi, C. G. Accelerated discovery of oxidation resistant CoNi-base γ/γ’ alloys with high L12 solvus and low density. Mater. Des. 189, (2020).</v>
          </cell>
          <cell r="BI472" t="str">
            <v>Co-32.5Ni-11.7Al-3.3Cr-4.4W-1.5Ta</v>
          </cell>
          <cell r="BJ472" t="str">
            <v>79.1Co-32.5Ni-11.7Al-3.3Cr-4.4W-1.5Ta</v>
          </cell>
        </row>
        <row r="473">
          <cell r="A473" t="str">
            <v>Co-34.8Ni-14.Al-3.3Cr-4.4W-3.5Ta</v>
          </cell>
          <cell r="B473" t="str">
            <v>CoAlWX+</v>
          </cell>
          <cell r="C473" t="str">
            <v>-35Ni-14Al-3Cr-4W-4Ta</v>
          </cell>
          <cell r="D473" t="str">
            <v>SB-CoNi-8</v>
          </cell>
          <cell r="E473" t="str">
            <v>Stewart, C. A., Murray, S. P., Suzuki, A., Pollock, T. M. &amp; Levi, C. G. Accelerated discovery of oxidation resistant CoNi-base γ/γ’ alloys with high L12 solvus and low density. Mater. Des. 189, (2020).</v>
          </cell>
          <cell r="F473">
            <v>491</v>
          </cell>
          <cell r="G473">
            <v>40.000000000000007</v>
          </cell>
          <cell r="H473">
            <v>34.799999999999997</v>
          </cell>
          <cell r="I473">
            <v>14</v>
          </cell>
          <cell r="J473">
            <v>3.3</v>
          </cell>
          <cell r="K473">
            <v>4.4000000000000004</v>
          </cell>
          <cell r="L473"/>
          <cell r="M473">
            <v>3.5</v>
          </cell>
          <cell r="N473"/>
          <cell r="O473"/>
          <cell r="P473"/>
          <cell r="Q473"/>
          <cell r="R473"/>
          <cell r="S473"/>
          <cell r="T473"/>
          <cell r="U473"/>
          <cell r="V473"/>
          <cell r="W473"/>
          <cell r="X473"/>
          <cell r="Y473"/>
          <cell r="Z473"/>
          <cell r="AA473"/>
          <cell r="AB473"/>
          <cell r="AC473"/>
          <cell r="AD473"/>
          <cell r="AE473"/>
          <cell r="AF473">
            <v>8.7050039999999989</v>
          </cell>
          <cell r="AG473"/>
          <cell r="AH473"/>
          <cell r="AI473" t="str">
            <v>Co</v>
          </cell>
          <cell r="AJ473" t="str">
            <v>-14.Al</v>
          </cell>
          <cell r="AK473" t="str">
            <v>-4.4W</v>
          </cell>
          <cell r="AL473" t="str">
            <v>-34.8Ni</v>
          </cell>
          <cell r="AM473" t="str">
            <v>-3.3Cr</v>
          </cell>
          <cell r="AN473" t="str">
            <v>-3.5Ta</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cell r="BD473" t="str">
            <v/>
          </cell>
          <cell r="BE473" t="str">
            <v/>
          </cell>
          <cell r="BF473" t="str">
            <v/>
          </cell>
          <cell r="BG473" t="str">
            <v/>
          </cell>
          <cell r="BH473" t="str">
            <v>SB-CoNi-8Stewart, C. A., Murray, S. P., Suzuki, A., Pollock, T. M. &amp; Levi, C. G. Accelerated discovery of oxidation resistant CoNi-base γ/γ’ alloys with high L12 solvus and low density. Mater. Des. 189, (2020).</v>
          </cell>
          <cell r="BI473" t="str">
            <v>Co-34.8Ni-14.Al-3.3Cr-4.4W-3.5Ta</v>
          </cell>
          <cell r="BJ473" t="str">
            <v>74.8Co-34.8Ni-14.0Al-3.3Cr-4.4W-3.5Ta</v>
          </cell>
        </row>
        <row r="474">
          <cell r="A474" t="str">
            <v>Co-35.2Ni-14.3Al-5.9Cr-1.W-3.2Ta</v>
          </cell>
          <cell r="B474" t="str">
            <v>Low-W</v>
          </cell>
          <cell r="C474" t="str">
            <v>-35Ni-14Al-6Cr-1W-3Ta</v>
          </cell>
          <cell r="D474" t="str">
            <v>SB-CoNi-9</v>
          </cell>
          <cell r="E474" t="str">
            <v>Stewart, C. A., Murray, S. P., Suzuki, A., Pollock, T. M. &amp; Levi, C. G. Accelerated discovery of oxidation resistant CoNi-base γ/γ’ alloys with high L12 solvus and low density. Mater. Des. 189, (2020).</v>
          </cell>
          <cell r="F474">
            <v>492</v>
          </cell>
          <cell r="G474">
            <v>40.4</v>
          </cell>
          <cell r="H474">
            <v>35.200000000000003</v>
          </cell>
          <cell r="I474">
            <v>14.3</v>
          </cell>
          <cell r="J474">
            <v>5.9</v>
          </cell>
          <cell r="K474">
            <v>1</v>
          </cell>
          <cell r="L474"/>
          <cell r="M474">
            <v>3.2</v>
          </cell>
          <cell r="N474"/>
          <cell r="O474"/>
          <cell r="P474"/>
          <cell r="Q474"/>
          <cell r="R474"/>
          <cell r="S474"/>
          <cell r="T474"/>
          <cell r="U474"/>
          <cell r="V474"/>
          <cell r="W474"/>
          <cell r="X474"/>
          <cell r="Y474"/>
          <cell r="Z474"/>
          <cell r="AA474"/>
          <cell r="AB474"/>
          <cell r="AC474"/>
          <cell r="AD474"/>
          <cell r="AE474"/>
          <cell r="AF474">
            <v>8.2668260000000018</v>
          </cell>
          <cell r="AG474"/>
          <cell r="AH474"/>
          <cell r="AI474" t="str">
            <v>Co</v>
          </cell>
          <cell r="AJ474" t="str">
            <v>-14.3Al</v>
          </cell>
          <cell r="AK474" t="str">
            <v>-1.W</v>
          </cell>
          <cell r="AL474" t="str">
            <v>-35.2Ni</v>
          </cell>
          <cell r="AM474" t="str">
            <v>-5.9Cr</v>
          </cell>
          <cell r="AN474" t="str">
            <v>-3.2Ta</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cell r="BD474" t="str">
            <v/>
          </cell>
          <cell r="BE474" t="str">
            <v/>
          </cell>
          <cell r="BF474" t="str">
            <v/>
          </cell>
          <cell r="BG474" t="str">
            <v/>
          </cell>
          <cell r="BH474" t="str">
            <v>SB-CoNi-9Stewart, C. A., Murray, S. P., Suzuki, A., Pollock, T. M. &amp; Levi, C. G. Accelerated discovery of oxidation resistant CoNi-base γ/γ’ alloys with high L12 solvus and low density. Mater. Des. 189, (2020).</v>
          </cell>
          <cell r="BI474" t="str">
            <v>Co-35.2Ni-14.3Al-5.9Cr-1.W-3.2Ta</v>
          </cell>
          <cell r="BJ474" t="str">
            <v>75.6Co-35.2Ni-14.3Al-5.9Cr-1.0W-3.2Ta</v>
          </cell>
        </row>
        <row r="475">
          <cell r="A475" t="str">
            <v>Co-37.1Ni-13.1Al-5.5Cr-1.W-3.5Ta</v>
          </cell>
          <cell r="B475" t="str">
            <v>Low-W</v>
          </cell>
          <cell r="C475" t="str">
            <v>-37Ni-13Al-6Cr-1W-4Ta</v>
          </cell>
          <cell r="D475" t="str">
            <v>SB-CoNi-10</v>
          </cell>
          <cell r="E475" t="str">
            <v>Stewart, C. A., Murray, S. P., Suzuki, A., Pollock, T. M. &amp; Levi, C. G. Accelerated discovery of oxidation resistant CoNi-base γ/γ’ alloys with high L12 solvus and low density. Mater. Des. 189, (2020).</v>
          </cell>
          <cell r="F475">
            <v>493</v>
          </cell>
          <cell r="G475">
            <v>39.799999999999997</v>
          </cell>
          <cell r="H475">
            <v>37.1</v>
          </cell>
          <cell r="I475">
            <v>13.1</v>
          </cell>
          <cell r="J475">
            <v>5.5</v>
          </cell>
          <cell r="K475">
            <v>1</v>
          </cell>
          <cell r="L475"/>
          <cell r="M475">
            <v>3.5</v>
          </cell>
          <cell r="N475"/>
          <cell r="O475"/>
          <cell r="P475"/>
          <cell r="Q475"/>
          <cell r="R475"/>
          <cell r="S475"/>
          <cell r="T475"/>
          <cell r="U475"/>
          <cell r="V475"/>
          <cell r="W475"/>
          <cell r="X475"/>
          <cell r="Y475"/>
          <cell r="Z475"/>
          <cell r="AA475"/>
          <cell r="AB475"/>
          <cell r="AC475"/>
          <cell r="AD475"/>
          <cell r="AE475"/>
          <cell r="AF475">
            <v>8.3714680000000001</v>
          </cell>
          <cell r="AG475">
            <v>8.65</v>
          </cell>
          <cell r="AH475"/>
          <cell r="AI475" t="str">
            <v>Co</v>
          </cell>
          <cell r="AJ475" t="str">
            <v>-13.1Al</v>
          </cell>
          <cell r="AK475" t="str">
            <v>-1.W</v>
          </cell>
          <cell r="AL475" t="str">
            <v>-37.1Ni</v>
          </cell>
          <cell r="AM475" t="str">
            <v>-5.5Cr</v>
          </cell>
          <cell r="AN475" t="str">
            <v>-3.5Ta</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cell r="BD475" t="str">
            <v/>
          </cell>
          <cell r="BE475" t="str">
            <v/>
          </cell>
          <cell r="BF475" t="str">
            <v/>
          </cell>
          <cell r="BG475" t="str">
            <v/>
          </cell>
          <cell r="BH475" t="str">
            <v>SB-CoNi-10Stewart, C. A., Murray, S. P., Suzuki, A., Pollock, T. M. &amp; Levi, C. G. Accelerated discovery of oxidation resistant CoNi-base γ/γ’ alloys with high L12 solvus and low density. Mater. Des. 189, (2020).</v>
          </cell>
          <cell r="BI475" t="str">
            <v>Co-37.1Ni-13.1Al-5.5Cr-1.W-3.5Ta</v>
          </cell>
          <cell r="BJ475" t="str">
            <v>76.9Co-37.1Ni-13.1Al-5.5Cr-1.0W-3.5Ta</v>
          </cell>
        </row>
        <row r="476">
          <cell r="A476" t="str">
            <v>Co-36.8Ni-13.3Al-5.8Cr-1.W-3.5Ta-0.Hf-0.06C-0.08B-0.Y</v>
          </cell>
          <cell r="B476" t="str">
            <v>Low-W</v>
          </cell>
          <cell r="C476" t="str">
            <v>-37Ni-13Al-6Cr-1W-4Ta-Hf-C-B-Y</v>
          </cell>
          <cell r="D476" t="str">
            <v>SB-CoNi-10+</v>
          </cell>
          <cell r="E476" t="str">
            <v>Stewart, C. A., Murray, S. P., Suzuki, A., Pollock, T. M. &amp; Levi, C. G. Accelerated discovery of oxidation resistant CoNi-base γ/γ’ alloys with high L12 solvus and low density. Mater. Des. 189, (2020).</v>
          </cell>
          <cell r="F476">
            <v>494</v>
          </cell>
          <cell r="G476">
            <v>39.430000000000007</v>
          </cell>
          <cell r="H476">
            <v>36.799999999999997</v>
          </cell>
          <cell r="I476">
            <v>13.3</v>
          </cell>
          <cell r="J476">
            <v>5.8</v>
          </cell>
          <cell r="K476">
            <v>1</v>
          </cell>
          <cell r="L476"/>
          <cell r="M476">
            <v>3.5</v>
          </cell>
          <cell r="N476"/>
          <cell r="O476"/>
          <cell r="P476"/>
          <cell r="Q476">
            <v>0.06</v>
          </cell>
          <cell r="R476"/>
          <cell r="S476">
            <v>0.08</v>
          </cell>
          <cell r="T476"/>
          <cell r="U476"/>
          <cell r="V476"/>
          <cell r="W476"/>
          <cell r="X476">
            <v>4.0000000000000001E-3</v>
          </cell>
          <cell r="Y476">
            <v>2.5999999999999999E-2</v>
          </cell>
          <cell r="Z476"/>
          <cell r="AA476"/>
          <cell r="AB476"/>
          <cell r="AC476"/>
          <cell r="AD476"/>
          <cell r="AE476"/>
          <cell r="AF476">
            <v>8.34574748</v>
          </cell>
          <cell r="AG476"/>
          <cell r="AH476"/>
          <cell r="AI476" t="str">
            <v>Co</v>
          </cell>
          <cell r="AJ476" t="str">
            <v>-13.3Al</v>
          </cell>
          <cell r="AK476" t="str">
            <v>-1.W</v>
          </cell>
          <cell r="AL476" t="str">
            <v>-36.8Ni</v>
          </cell>
          <cell r="AM476" t="str">
            <v>-5.8Cr</v>
          </cell>
          <cell r="AN476" t="str">
            <v>-3.5Ta</v>
          </cell>
          <cell r="AO476" t="str">
            <v/>
          </cell>
          <cell r="AP476" t="str">
            <v/>
          </cell>
          <cell r="AQ476" t="str">
            <v/>
          </cell>
          <cell r="AR476" t="str">
            <v/>
          </cell>
          <cell r="AS476" t="str">
            <v>-0.06C</v>
          </cell>
          <cell r="AT476" t="str">
            <v/>
          </cell>
          <cell r="AU476" t="str">
            <v>-0.08B</v>
          </cell>
          <cell r="AV476" t="str">
            <v/>
          </cell>
          <cell r="AW476" t="str">
            <v/>
          </cell>
          <cell r="AX476" t="str">
            <v/>
          </cell>
          <cell r="AY476" t="str">
            <v/>
          </cell>
          <cell r="AZ476" t="str">
            <v>-0.Y</v>
          </cell>
          <cell r="BA476" t="str">
            <v>-0.Hf</v>
          </cell>
          <cell r="BB476" t="str">
            <v/>
          </cell>
          <cell r="BC476" t="str">
            <v/>
          </cell>
          <cell r="BD476" t="str">
            <v/>
          </cell>
          <cell r="BE476" t="str">
            <v/>
          </cell>
          <cell r="BF476" t="str">
            <v/>
          </cell>
          <cell r="BG476" t="str">
            <v/>
          </cell>
          <cell r="BH476" t="str">
            <v>SB-CoNi-10+Stewart, C. A., Murray, S. P., Suzuki, A., Pollock, T. M. &amp; Levi, C. G. Accelerated discovery of oxidation resistant CoNi-base γ/γ’ alloys with high L12 solvus and low density. Mater. Des. 189, (2020).</v>
          </cell>
          <cell r="BI476" t="str">
            <v>Co-36.8Ni-13.3Al-5.8Cr-1.W-3.5Ta-0.Hf-0.06C-0.08B-0.Y</v>
          </cell>
          <cell r="BJ476" t="str">
            <v>76.2Co-36.8Ni-13.3Al-5.8Cr-1.0W-3.5Ta-0.0Hf-0.06C-0.08B-0.0Y</v>
          </cell>
        </row>
        <row r="477">
          <cell r="A477" t="str">
            <v>Co-9.2Al-9.W</v>
          </cell>
          <cell r="B477" t="str">
            <v>CoAlW-X</v>
          </cell>
          <cell r="C477" t="str">
            <v>-9Al-9W</v>
          </cell>
          <cell r="D477" t="str">
            <v>9W</v>
          </cell>
          <cell r="E477" t="str">
            <v>Suzuki, A. &amp; Pollock, T. M. High-temperature strength and deformation of γ/γ′ two-phase Co-Al-W-base alloys. Acta Mater. 56, 1288–1297 (2008).</v>
          </cell>
          <cell r="F477">
            <v>495</v>
          </cell>
          <cell r="G477">
            <v>81.8</v>
          </cell>
          <cell r="H477"/>
          <cell r="I477">
            <v>9.1999999999999993</v>
          </cell>
          <cell r="J477"/>
          <cell r="K477">
            <v>9</v>
          </cell>
          <cell r="L477"/>
          <cell r="M477"/>
          <cell r="N477"/>
          <cell r="O477"/>
          <cell r="P477"/>
          <cell r="Q477"/>
          <cell r="R477"/>
          <cell r="S477"/>
          <cell r="T477"/>
          <cell r="U477"/>
          <cell r="V477"/>
          <cell r="W477"/>
          <cell r="X477"/>
          <cell r="Y477"/>
          <cell r="Z477"/>
          <cell r="AA477"/>
          <cell r="AB477"/>
          <cell r="AC477"/>
          <cell r="AD477"/>
          <cell r="AE477"/>
          <cell r="AF477">
            <v>9.2611000000000008</v>
          </cell>
          <cell r="AG477"/>
          <cell r="AH477"/>
          <cell r="AI477" t="str">
            <v>Co</v>
          </cell>
          <cell r="AJ477" t="str">
            <v>-9.2Al</v>
          </cell>
          <cell r="AK477" t="str">
            <v>-9.W</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cell r="BD477" t="str">
            <v/>
          </cell>
          <cell r="BE477" t="str">
            <v/>
          </cell>
          <cell r="BF477" t="str">
            <v/>
          </cell>
          <cell r="BG477" t="str">
            <v/>
          </cell>
          <cell r="BH477" t="str">
            <v>9WSuzuki, A. &amp; Pollock, T. M. High-temperature strength and deformation of γ/γ′ two-phase Co-Al-W-base alloys. Acta Mater. 56, 1288–1297 (2008).</v>
          </cell>
          <cell r="BI477" t="str">
            <v>Co-9.2Al-9.W</v>
          </cell>
          <cell r="BJ477" t="str">
            <v>81.8Co-9.2Al-9.0W</v>
          </cell>
        </row>
        <row r="478">
          <cell r="A478" t="str">
            <v>Co-7.8Al-4.5Cr-7.8W-2.Ta</v>
          </cell>
          <cell r="B478" t="str">
            <v>CoAlWX+</v>
          </cell>
          <cell r="C478" t="str">
            <v>-8Al-5Cr-8W-2Ta</v>
          </cell>
          <cell r="D478" t="str">
            <v>CrTa</v>
          </cell>
          <cell r="E478" t="str">
            <v>Suzuki, A. &amp; Pollock, T. M. High-temperature strength and deformation of γ/γ′ two-phase Co-Al-W-base alloys. Acta Mater. 56, 1288–1297 (2008).</v>
          </cell>
          <cell r="F478">
            <v>499</v>
          </cell>
          <cell r="G478">
            <v>77.900000000000006</v>
          </cell>
          <cell r="H478"/>
          <cell r="I478">
            <v>7.8</v>
          </cell>
          <cell r="J478">
            <v>4.5</v>
          </cell>
          <cell r="K478">
            <v>7.8</v>
          </cell>
          <cell r="L478"/>
          <cell r="M478">
            <v>2</v>
          </cell>
          <cell r="N478"/>
          <cell r="O478"/>
          <cell r="P478"/>
          <cell r="Q478"/>
          <cell r="R478"/>
          <cell r="S478"/>
          <cell r="T478"/>
          <cell r="U478"/>
          <cell r="V478"/>
          <cell r="W478"/>
          <cell r="X478"/>
          <cell r="Y478"/>
          <cell r="Z478"/>
          <cell r="AA478"/>
          <cell r="AB478"/>
          <cell r="AC478"/>
          <cell r="AD478"/>
          <cell r="AE478"/>
          <cell r="AF478">
            <v>9.3017500000000002</v>
          </cell>
          <cell r="AG478"/>
          <cell r="AH478" t="str">
            <v>single crystal</v>
          </cell>
          <cell r="AI478" t="str">
            <v>Co</v>
          </cell>
          <cell r="AJ478" t="str">
            <v>-7.8Al</v>
          </cell>
          <cell r="AK478" t="str">
            <v>-7.8W</v>
          </cell>
          <cell r="AL478" t="str">
            <v/>
          </cell>
          <cell r="AM478" t="str">
            <v>-4.5Cr</v>
          </cell>
          <cell r="AN478" t="str">
            <v>-2.Ta</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cell r="BD478" t="str">
            <v/>
          </cell>
          <cell r="BE478" t="str">
            <v/>
          </cell>
          <cell r="BF478" t="str">
            <v/>
          </cell>
          <cell r="BG478" t="str">
            <v/>
          </cell>
          <cell r="BH478" t="str">
            <v>CrTaSuzuki, A. &amp; Pollock, T. M. High-temperature strength and deformation of γ/γ′ two-phase Co-Al-W-base alloys. Acta Mater. 56, 1288–1297 (2008).</v>
          </cell>
          <cell r="BI478" t="str">
            <v>Co-7.8Al-4.5Cr-7.8W-2.Ta</v>
          </cell>
          <cell r="BJ478" t="str">
            <v>77.9Co-7.8Al-4.5Cr-7.8W-2.0Ta</v>
          </cell>
        </row>
        <row r="479">
          <cell r="A479" t="str">
            <v>Co-9.4Al-10.7W</v>
          </cell>
          <cell r="B479" t="str">
            <v>CoAlW-X</v>
          </cell>
          <cell r="C479" t="str">
            <v>-9Al-11W</v>
          </cell>
          <cell r="D479" t="str">
            <v>11W-SX</v>
          </cell>
          <cell r="E479" t="str">
            <v>Suzuki, A. &amp; Pollock, T. M. High-temperature strength and deformation of γ/γ′ two-phase Co-Al-W-base alloys. Acta Mater. 56, 1288–1297 (2008).</v>
          </cell>
          <cell r="F479">
            <v>500</v>
          </cell>
          <cell r="G479">
            <v>79.900000000000006</v>
          </cell>
          <cell r="H479"/>
          <cell r="I479">
            <v>9.4</v>
          </cell>
          <cell r="J479"/>
          <cell r="K479">
            <v>10.7</v>
          </cell>
          <cell r="L479"/>
          <cell r="M479"/>
          <cell r="N479"/>
          <cell r="O479"/>
          <cell r="P479"/>
          <cell r="Q479"/>
          <cell r="R479"/>
          <cell r="S479"/>
          <cell r="T479"/>
          <cell r="U479"/>
          <cell r="V479"/>
          <cell r="W479"/>
          <cell r="X479"/>
          <cell r="Y479"/>
          <cell r="Z479"/>
          <cell r="AA479"/>
          <cell r="AB479"/>
          <cell r="AC479"/>
          <cell r="AD479"/>
          <cell r="AE479"/>
          <cell r="AF479">
            <v>9.4246500000000015</v>
          </cell>
          <cell r="AG479"/>
          <cell r="AH479" t="str">
            <v>single crystal</v>
          </cell>
          <cell r="AI479" t="str">
            <v>Co</v>
          </cell>
          <cell r="AJ479" t="str">
            <v>-9.4Al</v>
          </cell>
          <cell r="AK479" t="str">
            <v>-10.7W</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cell r="BD479" t="str">
            <v/>
          </cell>
          <cell r="BE479" t="str">
            <v/>
          </cell>
          <cell r="BF479" t="str">
            <v/>
          </cell>
          <cell r="BG479" t="str">
            <v/>
          </cell>
          <cell r="BH479" t="str">
            <v>11W-SXSuzuki, A. &amp; Pollock, T. M. High-temperature strength and deformation of γ/γ′ two-phase Co-Al-W-base alloys. Acta Mater. 56, 1288–1297 (2008).</v>
          </cell>
          <cell r="BI479" t="str">
            <v>Co-9.4Al-10.7W</v>
          </cell>
          <cell r="BJ479" t="str">
            <v>79.9Co-9.4Al-10.7W</v>
          </cell>
        </row>
        <row r="480">
          <cell r="A480" t="str">
            <v>Co-8.8Al-9.8W</v>
          </cell>
          <cell r="B480" t="str">
            <v>CoAlW-X</v>
          </cell>
          <cell r="C480" t="str">
            <v>-9Al-10W</v>
          </cell>
          <cell r="D480" t="str">
            <v>2Ta-SX</v>
          </cell>
          <cell r="E480" t="str">
            <v>Suzuki, A. &amp; Pollock, T. M. High-temperature strength and deformation of γ/γ′ two-phase Co-Al-W-base alloys. Acta Mater. 56, 1288–1297 (2008).</v>
          </cell>
          <cell r="F480">
            <v>501</v>
          </cell>
          <cell r="G480">
            <v>81.400000000000006</v>
          </cell>
          <cell r="H480"/>
          <cell r="I480">
            <v>8.8000000000000007</v>
          </cell>
          <cell r="J480"/>
          <cell r="K480">
            <v>9.8000000000000007</v>
          </cell>
          <cell r="L480"/>
          <cell r="M480"/>
          <cell r="N480"/>
          <cell r="O480"/>
          <cell r="P480"/>
          <cell r="Q480"/>
          <cell r="R480"/>
          <cell r="S480"/>
          <cell r="T480"/>
          <cell r="U480"/>
          <cell r="V480"/>
          <cell r="W480"/>
          <cell r="X480"/>
          <cell r="Y480"/>
          <cell r="Z480"/>
          <cell r="AA480"/>
          <cell r="AB480"/>
          <cell r="AC480"/>
          <cell r="AD480"/>
          <cell r="AE480"/>
          <cell r="AF480">
            <v>9.3687000000000005</v>
          </cell>
          <cell r="AG480"/>
          <cell r="AH480"/>
          <cell r="AI480" t="str">
            <v>Co</v>
          </cell>
          <cell r="AJ480" t="str">
            <v>-8.8Al</v>
          </cell>
          <cell r="AK480" t="str">
            <v>-9.8W</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cell r="BD480" t="str">
            <v/>
          </cell>
          <cell r="BE480" t="str">
            <v/>
          </cell>
          <cell r="BF480" t="str">
            <v/>
          </cell>
          <cell r="BG480" t="str">
            <v/>
          </cell>
          <cell r="BH480" t="str">
            <v>2Ta-SXSuzuki, A. &amp; Pollock, T. M. High-temperature strength and deformation of γ/γ′ two-phase Co-Al-W-base alloys. Acta Mater. 56, 1288–1297 (2008).</v>
          </cell>
          <cell r="BI480" t="str">
            <v>Co-8.8Al-9.8W</v>
          </cell>
          <cell r="BJ480" t="str">
            <v>81.4Co-8.8Al-9.8W</v>
          </cell>
        </row>
        <row r="481">
          <cell r="A481" t="str">
            <v>Co-9.Al-9.W</v>
          </cell>
          <cell r="B481" t="str">
            <v>CoAlW-X</v>
          </cell>
          <cell r="C481" t="str">
            <v>-9Al-9W</v>
          </cell>
          <cell r="D481" t="str">
            <v>Co–9Al–9W</v>
          </cell>
          <cell r="E481" t="str">
            <v>Suzuki, A., DeNolf, G. C. &amp; Pollock, T. M. Flow stress anomalies in γ/γ′ two-phase Co-Al-W-base alloys. Scr. Mater. 56, 385–388 (2007).</v>
          </cell>
          <cell r="F481">
            <v>502</v>
          </cell>
          <cell r="G481">
            <v>82</v>
          </cell>
          <cell r="H481"/>
          <cell r="I481">
            <v>9</v>
          </cell>
          <cell r="J481"/>
          <cell r="K481">
            <v>9</v>
          </cell>
          <cell r="L481"/>
          <cell r="M481"/>
          <cell r="N481"/>
          <cell r="O481"/>
          <cell r="P481"/>
          <cell r="Q481"/>
          <cell r="R481"/>
          <cell r="S481"/>
          <cell r="T481"/>
          <cell r="U481"/>
          <cell r="V481"/>
          <cell r="W481"/>
          <cell r="X481"/>
          <cell r="Y481"/>
          <cell r="Z481"/>
          <cell r="AA481"/>
          <cell r="AB481"/>
          <cell r="AC481"/>
          <cell r="AD481"/>
          <cell r="AE481"/>
          <cell r="AF481">
            <v>9.2735000000000003</v>
          </cell>
          <cell r="AG481"/>
          <cell r="AH481"/>
          <cell r="AI481" t="str">
            <v>Co</v>
          </cell>
          <cell r="AJ481" t="str">
            <v>-9.Al</v>
          </cell>
          <cell r="AK481" t="str">
            <v>-9.W</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cell r="BD481" t="str">
            <v/>
          </cell>
          <cell r="BE481" t="str">
            <v/>
          </cell>
          <cell r="BF481" t="str">
            <v/>
          </cell>
          <cell r="BG481" t="str">
            <v/>
          </cell>
          <cell r="BH481" t="str">
            <v>Co–9Al–9WSuzuki, A., DeNolf, G. C. &amp; Pollock, T. M. Flow stress anomalies in γ/γ′ two-phase Co-Al-W-base alloys. Scr. Mater. 56, 385–388 (2007).</v>
          </cell>
          <cell r="BI481" t="str">
            <v>Co-9.Al-9.W</v>
          </cell>
          <cell r="BJ481" t="str">
            <v>82.0Co-9.0Al-9.0W</v>
          </cell>
        </row>
        <row r="482">
          <cell r="A482" t="str">
            <v>Co-9.Al-9.W-2.Ta</v>
          </cell>
          <cell r="B482" t="str">
            <v>CoAlW-X</v>
          </cell>
          <cell r="C482" t="str">
            <v>-9Al-9W-2Ta</v>
          </cell>
          <cell r="D482" t="str">
            <v>Co–9Al–9W-2Ta</v>
          </cell>
          <cell r="E482" t="str">
            <v>Suzuki, A., DeNolf, G. C. &amp; Pollock, T. M. Flow stress anomalies in γ/γ′ two-phase Co-Al-W-base alloys. Scr. Mater. 56, 385–388 (2007).</v>
          </cell>
          <cell r="F482">
            <v>503</v>
          </cell>
          <cell r="G482">
            <v>80</v>
          </cell>
          <cell r="H482"/>
          <cell r="I482">
            <v>9</v>
          </cell>
          <cell r="J482"/>
          <cell r="K482">
            <v>9</v>
          </cell>
          <cell r="L482"/>
          <cell r="M482">
            <v>2</v>
          </cell>
          <cell r="N482"/>
          <cell r="O482"/>
          <cell r="P482"/>
          <cell r="Q482"/>
          <cell r="R482"/>
          <cell r="S482"/>
          <cell r="T482"/>
          <cell r="U482"/>
          <cell r="V482"/>
          <cell r="W482"/>
          <cell r="X482"/>
          <cell r="Y482"/>
          <cell r="Z482"/>
          <cell r="AA482"/>
          <cell r="AB482"/>
          <cell r="AC482"/>
          <cell r="AD482"/>
          <cell r="AE482"/>
          <cell r="AF482">
            <v>9.4284999999999997</v>
          </cell>
          <cell r="AG482"/>
          <cell r="AH482"/>
          <cell r="AI482" t="str">
            <v>Co</v>
          </cell>
          <cell r="AJ482" t="str">
            <v>-9.Al</v>
          </cell>
          <cell r="AK482" t="str">
            <v>-9.W</v>
          </cell>
          <cell r="AL482" t="str">
            <v/>
          </cell>
          <cell r="AM482" t="str">
            <v/>
          </cell>
          <cell r="AN482" t="str">
            <v>-2.Ta</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cell r="BD482" t="str">
            <v/>
          </cell>
          <cell r="BE482" t="str">
            <v/>
          </cell>
          <cell r="BF482" t="str">
            <v/>
          </cell>
          <cell r="BG482" t="str">
            <v/>
          </cell>
          <cell r="BH482" t="str">
            <v>Co–9Al–9W-2TaSuzuki, A., DeNolf, G. C. &amp; Pollock, T. M. Flow stress anomalies in γ/γ′ two-phase Co-Al-W-base alloys. Scr. Mater. 56, 385–388 (2007).</v>
          </cell>
          <cell r="BI482" t="str">
            <v>Co-9.Al-9.W-2.Ta</v>
          </cell>
          <cell r="BJ482" t="str">
            <v>80.0Co-9.0Al-9.0W-2.0Ta</v>
          </cell>
        </row>
        <row r="483">
          <cell r="A483" t="str">
            <v>Co-21.Ti</v>
          </cell>
          <cell r="B483" t="str">
            <v>Co3Ti</v>
          </cell>
          <cell r="C483" t="str">
            <v>-21Ti</v>
          </cell>
          <cell r="D483" t="str">
            <v>Co-21Ti</v>
          </cell>
          <cell r="E483" t="str">
            <v>Takasugi, T. HIGH TEMPERATURE STRENGTH AND DUCTILITY OF POLYCRYSTALLINE Co,Ti. Acro nferati vol. 33 (1985).</v>
          </cell>
          <cell r="F483">
            <v>505</v>
          </cell>
          <cell r="G483">
            <v>79</v>
          </cell>
          <cell r="H483"/>
          <cell r="I483"/>
          <cell r="J483"/>
          <cell r="K483"/>
          <cell r="L483">
            <v>21</v>
          </cell>
          <cell r="M483"/>
          <cell r="N483"/>
          <cell r="O483"/>
          <cell r="P483"/>
          <cell r="Q483"/>
          <cell r="R483"/>
          <cell r="S483"/>
          <cell r="T483"/>
          <cell r="U483"/>
          <cell r="V483"/>
          <cell r="W483"/>
          <cell r="X483"/>
          <cell r="Y483"/>
          <cell r="Z483"/>
          <cell r="AA483"/>
          <cell r="AB483"/>
          <cell r="AC483"/>
          <cell r="AD483"/>
          <cell r="AE483"/>
          <cell r="AF483">
            <v>7.9774700000000003</v>
          </cell>
          <cell r="AG483"/>
          <cell r="AH483"/>
          <cell r="AI483" t="str">
            <v>Co</v>
          </cell>
          <cell r="AJ483" t="str">
            <v/>
          </cell>
          <cell r="AK483" t="str">
            <v/>
          </cell>
          <cell r="AL483" t="str">
            <v/>
          </cell>
          <cell r="AM483" t="str">
            <v/>
          </cell>
          <cell r="AN483" t="str">
            <v/>
          </cell>
          <cell r="AO483" t="str">
            <v/>
          </cell>
          <cell r="AP483" t="str">
            <v/>
          </cell>
          <cell r="AQ483" t="str">
            <v>-21.Ti</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cell r="BD483" t="str">
            <v/>
          </cell>
          <cell r="BE483" t="str">
            <v/>
          </cell>
          <cell r="BF483" t="str">
            <v/>
          </cell>
          <cell r="BG483" t="str">
            <v/>
          </cell>
          <cell r="BH483" t="str">
            <v>Co-21TiTakasugi, T. HIGH TEMPERATURE STRENGTH AND DUCTILITY OF POLYCRYSTALLINE Co,Ti. Acro nferati vol. 33 (1985).</v>
          </cell>
          <cell r="BI483" t="str">
            <v>Co-21.Ti</v>
          </cell>
          <cell r="BJ483" t="str">
            <v>79.0Co-21.0Ti</v>
          </cell>
        </row>
        <row r="484">
          <cell r="A484" t="str">
            <v>Co-20.Ti</v>
          </cell>
          <cell r="B484" t="str">
            <v>Co3Ti</v>
          </cell>
          <cell r="C484" t="str">
            <v>-20Ti</v>
          </cell>
          <cell r="D484" t="str">
            <v>Co-20Ti</v>
          </cell>
          <cell r="E484" t="str">
            <v>Takasugi, T. HIGH TEMPERATURE STRENGTH AND DUCTILITY OF POLYCRYSTALLINE Co,Ti. Acro nferati vol. 33 (1985).</v>
          </cell>
          <cell r="F484">
            <v>506</v>
          </cell>
          <cell r="G484">
            <v>80</v>
          </cell>
          <cell r="H484"/>
          <cell r="I484"/>
          <cell r="J484"/>
          <cell r="K484"/>
          <cell r="L484">
            <v>20</v>
          </cell>
          <cell r="M484"/>
          <cell r="N484"/>
          <cell r="O484"/>
          <cell r="P484"/>
          <cell r="Q484"/>
          <cell r="R484"/>
          <cell r="S484"/>
          <cell r="T484"/>
          <cell r="U484"/>
          <cell r="V484"/>
          <cell r="W484"/>
          <cell r="X484"/>
          <cell r="Y484"/>
          <cell r="Z484"/>
          <cell r="AA484"/>
          <cell r="AB484"/>
          <cell r="AC484"/>
          <cell r="AD484"/>
          <cell r="AE484"/>
          <cell r="AF484">
            <v>8.0213999999999999</v>
          </cell>
          <cell r="AG484"/>
          <cell r="AH484"/>
          <cell r="AI484" t="str">
            <v>Co</v>
          </cell>
          <cell r="AJ484" t="str">
            <v/>
          </cell>
          <cell r="AK484" t="str">
            <v/>
          </cell>
          <cell r="AL484" t="str">
            <v/>
          </cell>
          <cell r="AM484" t="str">
            <v/>
          </cell>
          <cell r="AN484" t="str">
            <v/>
          </cell>
          <cell r="AO484" t="str">
            <v/>
          </cell>
          <cell r="AP484" t="str">
            <v/>
          </cell>
          <cell r="AQ484" t="str">
            <v>-20.Ti</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cell r="BD484" t="str">
            <v/>
          </cell>
          <cell r="BE484" t="str">
            <v/>
          </cell>
          <cell r="BF484" t="str">
            <v/>
          </cell>
          <cell r="BG484" t="str">
            <v/>
          </cell>
          <cell r="BH484" t="str">
            <v>Co-20TiTakasugi, T. HIGH TEMPERATURE STRENGTH AND DUCTILITY OF POLYCRYSTALLINE Co,Ti. Acro nferati vol. 33 (1985).</v>
          </cell>
          <cell r="BI484" t="str">
            <v>Co-20.Ti</v>
          </cell>
          <cell r="BJ484" t="str">
            <v>80.0Co-20.0Ti</v>
          </cell>
        </row>
        <row r="485">
          <cell r="A485" t="str">
            <v>Co-9.Al-10.W-2.Ta</v>
          </cell>
          <cell r="B485" t="str">
            <v>CoAlW-X</v>
          </cell>
          <cell r="C485" t="str">
            <v>-9Al-10W-2Nb</v>
          </cell>
          <cell r="D485" t="str">
            <v>Tanaka alloy 2</v>
          </cell>
          <cell r="E485" t="str">
            <v>Tanaka, K. &amp; Inui, H. Microstructural change of monocrystalline Co-Al-W-based γ/γ′ two phase alloys by high temperature creep. (2013).</v>
          </cell>
          <cell r="F485">
            <v>507</v>
          </cell>
          <cell r="G485">
            <v>79</v>
          </cell>
          <cell r="H485"/>
          <cell r="I485">
            <v>9</v>
          </cell>
          <cell r="J485"/>
          <cell r="K485">
            <v>10</v>
          </cell>
          <cell r="L485"/>
          <cell r="M485">
            <v>2</v>
          </cell>
          <cell r="N485"/>
          <cell r="O485"/>
          <cell r="P485"/>
          <cell r="Q485"/>
          <cell r="R485"/>
          <cell r="S485"/>
          <cell r="T485"/>
          <cell r="U485"/>
          <cell r="V485"/>
          <cell r="W485"/>
          <cell r="X485"/>
          <cell r="Y485"/>
          <cell r="Z485"/>
          <cell r="AA485"/>
          <cell r="AB485"/>
          <cell r="AC485"/>
          <cell r="AD485"/>
          <cell r="AE485"/>
          <cell r="AF485">
            <v>9.532</v>
          </cell>
          <cell r="AG485"/>
          <cell r="AH485" t="str">
            <v>single crystal</v>
          </cell>
          <cell r="AI485" t="str">
            <v>Co</v>
          </cell>
          <cell r="AJ485" t="str">
            <v>-9.Al</v>
          </cell>
          <cell r="AK485" t="str">
            <v>-10.W</v>
          </cell>
          <cell r="AL485" t="str">
            <v/>
          </cell>
          <cell r="AM485" t="str">
            <v/>
          </cell>
          <cell r="AN485" t="str">
            <v>-2.Ta</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cell r="BD485" t="str">
            <v/>
          </cell>
          <cell r="BE485" t="str">
            <v/>
          </cell>
          <cell r="BF485" t="str">
            <v/>
          </cell>
          <cell r="BG485" t="str">
            <v/>
          </cell>
          <cell r="BH485" t="str">
            <v>Tanaka alloy 2Tanaka, K. &amp; Inui, H. Microstructural change of monocrystalline Co-Al-W-based γ/γ′ two phase alloys by high temperature creep. (2013).</v>
          </cell>
          <cell r="BI485" t="str">
            <v>Co-9.Al-10.W-2.Ta</v>
          </cell>
          <cell r="BJ485" t="str">
            <v>79.0Co-9.0Al-10.0W-2.0Nb</v>
          </cell>
        </row>
        <row r="486">
          <cell r="A486" t="str">
            <v>Co-9.Al-8.W-2.Ta</v>
          </cell>
          <cell r="B486" t="str">
            <v>CoAlW-X</v>
          </cell>
          <cell r="C486" t="str">
            <v>-9Al-8W-2Nb</v>
          </cell>
          <cell r="D486" t="str">
            <v>Tanaka alloy 3</v>
          </cell>
          <cell r="E486" t="str">
            <v>Tanaka, K. &amp; Inui, H. Microstructural change of monocrystalline Co-Al-W-based γ/γ′ two phase alloys by high temperature creep. (2013).</v>
          </cell>
          <cell r="F486">
            <v>508</v>
          </cell>
          <cell r="G486">
            <v>81</v>
          </cell>
          <cell r="H486"/>
          <cell r="I486">
            <v>9</v>
          </cell>
          <cell r="J486"/>
          <cell r="K486">
            <v>8</v>
          </cell>
          <cell r="L486"/>
          <cell r="M486">
            <v>2</v>
          </cell>
          <cell r="N486"/>
          <cell r="O486"/>
          <cell r="P486"/>
          <cell r="Q486"/>
          <cell r="R486"/>
          <cell r="S486"/>
          <cell r="T486"/>
          <cell r="U486"/>
          <cell r="V486"/>
          <cell r="W486"/>
          <cell r="X486"/>
          <cell r="Y486"/>
          <cell r="Z486"/>
          <cell r="AA486"/>
          <cell r="AB486"/>
          <cell r="AC486"/>
          <cell r="AD486"/>
          <cell r="AE486"/>
          <cell r="AF486">
            <v>9.3249999999999993</v>
          </cell>
          <cell r="AG486"/>
          <cell r="AH486" t="str">
            <v>single crystal</v>
          </cell>
          <cell r="AI486" t="str">
            <v>Co</v>
          </cell>
          <cell r="AJ486" t="str">
            <v>-9.Al</v>
          </cell>
          <cell r="AK486" t="str">
            <v>-8.W</v>
          </cell>
          <cell r="AL486" t="str">
            <v/>
          </cell>
          <cell r="AM486" t="str">
            <v/>
          </cell>
          <cell r="AN486" t="str">
            <v>-2.Ta</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cell r="BD486" t="str">
            <v/>
          </cell>
          <cell r="BE486" t="str">
            <v/>
          </cell>
          <cell r="BF486" t="str">
            <v/>
          </cell>
          <cell r="BG486" t="str">
            <v/>
          </cell>
          <cell r="BH486" t="str">
            <v>Tanaka alloy 3Tanaka, K. &amp; Inui, H. Microstructural change of monocrystalline Co-Al-W-based γ/γ′ two phase alloys by high temperature creep. (2013).</v>
          </cell>
          <cell r="BI486" t="str">
            <v>Co-9.Al-8.W-2.Ta</v>
          </cell>
          <cell r="BJ486" t="str">
            <v>81.0Co-9.0Al-8.0W-2.0Nb</v>
          </cell>
        </row>
        <row r="487">
          <cell r="A487" t="str">
            <v>Co-20.Ni-9.Al-7.W-2.Ta</v>
          </cell>
          <cell r="B487" t="str">
            <v>CoAlWX+</v>
          </cell>
          <cell r="C487" t="str">
            <v>-20Ni-9Al-7W-2Nb</v>
          </cell>
          <cell r="D487" t="str">
            <v>Tanaka alloy 4</v>
          </cell>
          <cell r="E487" t="str">
            <v>Tanaka, K. &amp; Inui, H. Microstructural change of monocrystalline Co-Al-W-based γ/γ′ two phase alloys by high temperature creep. (2013).</v>
          </cell>
          <cell r="F487">
            <v>509</v>
          </cell>
          <cell r="G487">
            <v>62</v>
          </cell>
          <cell r="H487">
            <v>20</v>
          </cell>
          <cell r="I487">
            <v>9</v>
          </cell>
          <cell r="J487"/>
          <cell r="K487">
            <v>7</v>
          </cell>
          <cell r="L487"/>
          <cell r="M487">
            <v>2</v>
          </cell>
          <cell r="N487"/>
          <cell r="O487"/>
          <cell r="P487"/>
          <cell r="Q487"/>
          <cell r="R487"/>
          <cell r="S487"/>
          <cell r="T487"/>
          <cell r="U487"/>
          <cell r="V487"/>
          <cell r="W487"/>
          <cell r="X487"/>
          <cell r="Y487"/>
          <cell r="Z487"/>
          <cell r="AA487"/>
          <cell r="AB487"/>
          <cell r="AC487"/>
          <cell r="AD487"/>
          <cell r="AE487"/>
          <cell r="AF487">
            <v>9.2230999999999987</v>
          </cell>
          <cell r="AG487"/>
          <cell r="AH487" t="str">
            <v>single crystal</v>
          </cell>
          <cell r="AI487" t="str">
            <v>Co</v>
          </cell>
          <cell r="AJ487" t="str">
            <v>-9.Al</v>
          </cell>
          <cell r="AK487" t="str">
            <v>-7.W</v>
          </cell>
          <cell r="AL487" t="str">
            <v>-20.Ni</v>
          </cell>
          <cell r="AM487" t="str">
            <v/>
          </cell>
          <cell r="AN487" t="str">
            <v>-2.Ta</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cell r="BD487" t="str">
            <v/>
          </cell>
          <cell r="BE487" t="str">
            <v/>
          </cell>
          <cell r="BF487" t="str">
            <v/>
          </cell>
          <cell r="BG487" t="str">
            <v/>
          </cell>
          <cell r="BH487" t="str">
            <v>Tanaka alloy 4Tanaka, K. &amp; Inui, H. Microstructural change of monocrystalline Co-Al-W-based γ/γ′ two phase alloys by high temperature creep. (2013).</v>
          </cell>
          <cell r="BI487" t="str">
            <v>Co-20.Ni-9.Al-7.W-2.Ta</v>
          </cell>
          <cell r="BJ487" t="str">
            <v>82.0Co-20.0Ni-9.0Al-7.0W-2.0Nb</v>
          </cell>
        </row>
        <row r="488">
          <cell r="A488" t="str">
            <v>Co-9.Al-9.W</v>
          </cell>
          <cell r="B488" t="str">
            <v>CoAlW-X</v>
          </cell>
          <cell r="C488" t="str">
            <v>-9Al-9W</v>
          </cell>
          <cell r="D488" t="str">
            <v>Tanaka alloy 1</v>
          </cell>
          <cell r="E488" t="str">
            <v>Tanaka, K., Ooshima, M., Tsuno, N., Sato, A. &amp; Inui, H. Creep deformation of single crystals of new Co-Al-W-based alloys with fcc/L1 2 two-phase microstructures. Philos. Mag. 92, 4011–4027 (2012).</v>
          </cell>
          <cell r="F488">
            <v>510</v>
          </cell>
          <cell r="G488">
            <v>82</v>
          </cell>
          <cell r="H488"/>
          <cell r="I488">
            <v>9</v>
          </cell>
          <cell r="J488"/>
          <cell r="K488">
            <v>9</v>
          </cell>
          <cell r="L488"/>
          <cell r="M488"/>
          <cell r="N488"/>
          <cell r="O488"/>
          <cell r="P488"/>
          <cell r="Q488"/>
          <cell r="R488"/>
          <cell r="S488"/>
          <cell r="T488"/>
          <cell r="U488"/>
          <cell r="V488"/>
          <cell r="W488"/>
          <cell r="X488"/>
          <cell r="Y488"/>
          <cell r="Z488"/>
          <cell r="AA488"/>
          <cell r="AB488"/>
          <cell r="AC488"/>
          <cell r="AD488"/>
          <cell r="AE488"/>
          <cell r="AF488">
            <v>9.2735000000000003</v>
          </cell>
          <cell r="AG488"/>
          <cell r="AH488"/>
          <cell r="AI488" t="str">
            <v>Co</v>
          </cell>
          <cell r="AJ488" t="str">
            <v>-9.Al</v>
          </cell>
          <cell r="AK488" t="str">
            <v>-9.W</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
          </cell>
          <cell r="BB488" t="str">
            <v/>
          </cell>
          <cell r="BC488" t="str">
            <v/>
          </cell>
          <cell r="BD488" t="str">
            <v/>
          </cell>
          <cell r="BE488" t="str">
            <v/>
          </cell>
          <cell r="BF488" t="str">
            <v/>
          </cell>
          <cell r="BG488" t="str">
            <v/>
          </cell>
          <cell r="BH488" t="str">
            <v>Tanaka alloy 1Tanaka, K., Ooshima, M., Tsuno, N., Sato, A. &amp; Inui, H. Creep deformation of single crystals of new Co-Al-W-based alloys with fcc/L1 2 two-phase microstructures. Philos. Mag. 92, 4011–4027 (2012).</v>
          </cell>
          <cell r="BI488" t="str">
            <v>Co-9.Al-9.W</v>
          </cell>
          <cell r="BJ488" t="str">
            <v>82.0Co-9.0Al-9.0W</v>
          </cell>
        </row>
        <row r="489">
          <cell r="A489" t="str">
            <v>Co-8.4Al-9.6W-2.2Ti-0.12B</v>
          </cell>
          <cell r="B489" t="str">
            <v>CoAlW-X</v>
          </cell>
          <cell r="C489" t="str">
            <v>-8Al-10W-2Ti-B</v>
          </cell>
          <cell r="D489" t="str">
            <v>0.12B2Ti</v>
          </cell>
          <cell r="E489" t="str">
            <v>Technischen Fakultät der, D. &amp; Leonhard Klein, D.-I. High Temperature Oxidation and Electrochemical Studies on Novel Co-Base Superalloys (Hochtemperaturoxidation und elektrochemische Untersuchungen an neuartigen Co-Basis-Superlegierungen). (2013).</v>
          </cell>
          <cell r="F489">
            <v>511</v>
          </cell>
          <cell r="G489">
            <v>79.680000000000007</v>
          </cell>
          <cell r="H489"/>
          <cell r="I489">
            <v>8.4</v>
          </cell>
          <cell r="J489"/>
          <cell r="K489">
            <v>9.6</v>
          </cell>
          <cell r="L489">
            <v>2.2000000000000002</v>
          </cell>
          <cell r="M489"/>
          <cell r="N489"/>
          <cell r="O489"/>
          <cell r="P489"/>
          <cell r="Q489"/>
          <cell r="R489"/>
          <cell r="S489">
            <v>0.12</v>
          </cell>
          <cell r="T489"/>
          <cell r="U489"/>
          <cell r="V489"/>
          <cell r="W489"/>
          <cell r="X489"/>
          <cell r="Y489"/>
          <cell r="Z489"/>
          <cell r="AA489"/>
          <cell r="AB489"/>
          <cell r="AC489"/>
          <cell r="AD489"/>
          <cell r="AE489"/>
          <cell r="AF489">
            <v>9.2684259999999998</v>
          </cell>
          <cell r="AG489"/>
          <cell r="AH489"/>
          <cell r="AI489" t="str">
            <v>Co</v>
          </cell>
          <cell r="AJ489" t="str">
            <v>-8.4Al</v>
          </cell>
          <cell r="AK489" t="str">
            <v>-9.6W</v>
          </cell>
          <cell r="AL489" t="str">
            <v/>
          </cell>
          <cell r="AM489" t="str">
            <v/>
          </cell>
          <cell r="AN489" t="str">
            <v/>
          </cell>
          <cell r="AO489" t="str">
            <v/>
          </cell>
          <cell r="AP489" t="str">
            <v/>
          </cell>
          <cell r="AQ489" t="str">
            <v>-2.2Ti</v>
          </cell>
          <cell r="AR489" t="str">
            <v/>
          </cell>
          <cell r="AS489" t="str">
            <v/>
          </cell>
          <cell r="AT489" t="str">
            <v/>
          </cell>
          <cell r="AU489" t="str">
            <v>-0.12B</v>
          </cell>
          <cell r="AV489" t="str">
            <v/>
          </cell>
          <cell r="AW489" t="str">
            <v/>
          </cell>
          <cell r="AX489" t="str">
            <v/>
          </cell>
          <cell r="AY489" t="str">
            <v/>
          </cell>
          <cell r="AZ489" t="str">
            <v/>
          </cell>
          <cell r="BA489" t="str">
            <v/>
          </cell>
          <cell r="BB489" t="str">
            <v/>
          </cell>
          <cell r="BC489" t="str">
            <v/>
          </cell>
          <cell r="BD489" t="str">
            <v/>
          </cell>
          <cell r="BE489" t="str">
            <v/>
          </cell>
          <cell r="BF489" t="str">
            <v/>
          </cell>
          <cell r="BG489" t="str">
            <v/>
          </cell>
          <cell r="BH489" t="str">
            <v>0.12B2TiTechnischen Fakultät der, D. &amp; Leonhard Klein, D.-I. High Temperature Oxidation and Electrochemical Studies on Novel Co-Base Superalloys (Hochtemperaturoxidation und elektrochemische Untersuchungen an neuartigen Co-Basis-Superlegierungen). (2013).</v>
          </cell>
          <cell r="BI489" t="str">
            <v>Co-8.4Al-9.6W-2.2Ti-0.12B</v>
          </cell>
          <cell r="BJ489" t="str">
            <v>79.7Co-8.4Al-9.6W-2.2Ti-0.12B</v>
          </cell>
        </row>
        <row r="490">
          <cell r="A490" t="str">
            <v>Co-8.1Al-8.4W</v>
          </cell>
          <cell r="B490" t="str">
            <v>CoAlW-X</v>
          </cell>
          <cell r="C490" t="str">
            <v>-8Al-8W</v>
          </cell>
          <cell r="D490" t="str">
            <v>9W</v>
          </cell>
          <cell r="E490" t="str">
            <v>Technischen Fakultät der, D. &amp; Leonhard Klein, D.-I. High Temperature Oxidation and Electrochemical Studies on Novel Co-Base Superalloys (Hochtemperaturoxidation und elektrochemische Untersuchungen an neuartigen Co-Basis-Superlegierungen). (2013).</v>
          </cell>
          <cell r="F490">
            <v>512</v>
          </cell>
          <cell r="G490">
            <v>83.5</v>
          </cell>
          <cell r="H490"/>
          <cell r="I490">
            <v>8.1</v>
          </cell>
          <cell r="J490"/>
          <cell r="K490">
            <v>8.4</v>
          </cell>
          <cell r="L490"/>
          <cell r="M490"/>
          <cell r="N490"/>
          <cell r="O490"/>
          <cell r="P490"/>
          <cell r="Q490"/>
          <cell r="R490"/>
          <cell r="S490"/>
          <cell r="T490"/>
          <cell r="U490"/>
          <cell r="V490"/>
          <cell r="W490"/>
          <cell r="X490"/>
          <cell r="Y490"/>
          <cell r="Z490"/>
          <cell r="AA490"/>
          <cell r="AB490"/>
          <cell r="AC490"/>
          <cell r="AD490"/>
          <cell r="AE490"/>
          <cell r="AF490">
            <v>9.2672000000000008</v>
          </cell>
          <cell r="AG490"/>
          <cell r="AH490"/>
          <cell r="AI490" t="str">
            <v>Co</v>
          </cell>
          <cell r="AJ490" t="str">
            <v>-8.1Al</v>
          </cell>
          <cell r="AK490" t="str">
            <v>-8.4W</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cell r="BD490" t="str">
            <v/>
          </cell>
          <cell r="BE490" t="str">
            <v/>
          </cell>
          <cell r="BF490" t="str">
            <v/>
          </cell>
          <cell r="BG490" t="str">
            <v/>
          </cell>
          <cell r="BH490" t="str">
            <v>9WTechnischen Fakultät der, D. &amp; Leonhard Klein, D.-I. High Temperature Oxidation and Electrochemical Studies on Novel Co-Base Superalloys (Hochtemperaturoxidation und elektrochemische Untersuchungen an neuartigen Co-Basis-Superlegierungen). (2013).</v>
          </cell>
          <cell r="BI490" t="str">
            <v>Co-8.1Al-8.4W</v>
          </cell>
          <cell r="BJ490" t="str">
            <v>83.5Co-8.1Al-8.4W</v>
          </cell>
        </row>
        <row r="491">
          <cell r="A491" t="str">
            <v>Co-8.4Al-9.7W-0.04B</v>
          </cell>
          <cell r="B491" t="str">
            <v>CoAlW-X</v>
          </cell>
          <cell r="C491" t="str">
            <v>-8Al-10W-B</v>
          </cell>
          <cell r="D491" t="str">
            <v>0.04B</v>
          </cell>
          <cell r="E491" t="str">
            <v>Technischen Fakultät der, D. &amp; Leonhard Klein, D.-I. High Temperature Oxidation and Electrochemical Studies on Novel Co-Base Superalloys (Hochtemperaturoxidation und elektrochemische Untersuchungen an neuartigen Co-Basis-Superlegierungen). (2013).</v>
          </cell>
          <cell r="F491">
            <v>513</v>
          </cell>
          <cell r="G491">
            <v>81.86</v>
          </cell>
          <cell r="H491"/>
          <cell r="I491">
            <v>8.4</v>
          </cell>
          <cell r="J491"/>
          <cell r="K491">
            <v>9.6999999999999993</v>
          </cell>
          <cell r="L491"/>
          <cell r="M491"/>
          <cell r="N491"/>
          <cell r="O491"/>
          <cell r="P491"/>
          <cell r="Q491"/>
          <cell r="R491"/>
          <cell r="S491">
            <v>0.04</v>
          </cell>
          <cell r="T491"/>
          <cell r="U491"/>
          <cell r="V491"/>
          <cell r="W491"/>
          <cell r="X491"/>
          <cell r="Y491"/>
          <cell r="Z491"/>
          <cell r="AA491"/>
          <cell r="AB491"/>
          <cell r="AC491"/>
          <cell r="AD491"/>
          <cell r="AE491"/>
          <cell r="AF491">
            <v>9.3805739999999993</v>
          </cell>
          <cell r="AG491"/>
          <cell r="AH491"/>
          <cell r="AI491" t="str">
            <v>Co</v>
          </cell>
          <cell r="AJ491" t="str">
            <v>-8.4Al</v>
          </cell>
          <cell r="AK491" t="str">
            <v>-9.7W</v>
          </cell>
          <cell r="AL491" t="str">
            <v/>
          </cell>
          <cell r="AM491" t="str">
            <v/>
          </cell>
          <cell r="AN491" t="str">
            <v/>
          </cell>
          <cell r="AO491" t="str">
            <v/>
          </cell>
          <cell r="AP491" t="str">
            <v/>
          </cell>
          <cell r="AQ491" t="str">
            <v/>
          </cell>
          <cell r="AR491" t="str">
            <v/>
          </cell>
          <cell r="AS491" t="str">
            <v/>
          </cell>
          <cell r="AT491" t="str">
            <v/>
          </cell>
          <cell r="AU491" t="str">
            <v>-0.04B</v>
          </cell>
          <cell r="AV491" t="str">
            <v/>
          </cell>
          <cell r="AW491" t="str">
            <v/>
          </cell>
          <cell r="AX491" t="str">
            <v/>
          </cell>
          <cell r="AY491" t="str">
            <v/>
          </cell>
          <cell r="AZ491" t="str">
            <v/>
          </cell>
          <cell r="BA491" t="str">
            <v/>
          </cell>
          <cell r="BB491" t="str">
            <v/>
          </cell>
          <cell r="BC491" t="str">
            <v/>
          </cell>
          <cell r="BD491" t="str">
            <v/>
          </cell>
          <cell r="BE491" t="str">
            <v/>
          </cell>
          <cell r="BF491" t="str">
            <v/>
          </cell>
          <cell r="BG491" t="str">
            <v/>
          </cell>
          <cell r="BH491" t="str">
            <v>0.04BTechnischen Fakultät der, D. &amp; Leonhard Klein, D.-I. High Temperature Oxidation and Electrochemical Studies on Novel Co-Base Superalloys (Hochtemperaturoxidation und elektrochemische Untersuchungen an neuartigen Co-Basis-Superlegierungen). (2013).</v>
          </cell>
          <cell r="BI491" t="str">
            <v>Co-8.4Al-9.7W-0.04B</v>
          </cell>
          <cell r="BJ491" t="str">
            <v>81.9Co-8.4Al-9.7W-0.04B</v>
          </cell>
        </row>
        <row r="492">
          <cell r="A492" t="str">
            <v>Co-8.9Al-9.5W-0.08B</v>
          </cell>
          <cell r="B492" t="str">
            <v>CoAlW-X</v>
          </cell>
          <cell r="C492" t="str">
            <v>-9Al-10W-B</v>
          </cell>
          <cell r="D492" t="str">
            <v>0.08B</v>
          </cell>
          <cell r="E492" t="str">
            <v>Technischen Fakultät der, D. &amp; Leonhard Klein, D.-I. High Temperature Oxidation and Electrochemical Studies on Novel Co-Base Superalloys (Hochtemperaturoxidation und elektrochemische Untersuchungen an neuartigen Co-Basis-Superlegierungen). (2013).</v>
          </cell>
          <cell r="F492">
            <v>514</v>
          </cell>
          <cell r="G492">
            <v>81.52000000000001</v>
          </cell>
          <cell r="H492"/>
          <cell r="I492">
            <v>8.9</v>
          </cell>
          <cell r="J492"/>
          <cell r="K492">
            <v>9.5</v>
          </cell>
          <cell r="L492"/>
          <cell r="M492"/>
          <cell r="N492"/>
          <cell r="O492"/>
          <cell r="P492"/>
          <cell r="Q492"/>
          <cell r="R492"/>
          <cell r="S492">
            <v>0.08</v>
          </cell>
          <cell r="T492"/>
          <cell r="U492"/>
          <cell r="V492"/>
          <cell r="W492"/>
          <cell r="X492"/>
          <cell r="Y492"/>
          <cell r="Z492"/>
          <cell r="AA492"/>
          <cell r="AB492"/>
          <cell r="AC492"/>
          <cell r="AD492"/>
          <cell r="AE492"/>
          <cell r="AF492">
            <v>9.3262980000000013</v>
          </cell>
          <cell r="AG492"/>
          <cell r="AH492"/>
          <cell r="AI492" t="str">
            <v>Co</v>
          </cell>
          <cell r="AJ492" t="str">
            <v>-8.9Al</v>
          </cell>
          <cell r="AK492" t="str">
            <v>-9.5W</v>
          </cell>
          <cell r="AL492" t="str">
            <v/>
          </cell>
          <cell r="AM492" t="str">
            <v/>
          </cell>
          <cell r="AN492" t="str">
            <v/>
          </cell>
          <cell r="AO492" t="str">
            <v/>
          </cell>
          <cell r="AP492" t="str">
            <v/>
          </cell>
          <cell r="AQ492" t="str">
            <v/>
          </cell>
          <cell r="AR492" t="str">
            <v/>
          </cell>
          <cell r="AS492" t="str">
            <v/>
          </cell>
          <cell r="AT492" t="str">
            <v/>
          </cell>
          <cell r="AU492" t="str">
            <v>-0.08B</v>
          </cell>
          <cell r="AV492" t="str">
            <v/>
          </cell>
          <cell r="AW492" t="str">
            <v/>
          </cell>
          <cell r="AX492" t="str">
            <v/>
          </cell>
          <cell r="AY492" t="str">
            <v/>
          </cell>
          <cell r="AZ492" t="str">
            <v/>
          </cell>
          <cell r="BA492" t="str">
            <v/>
          </cell>
          <cell r="BB492" t="str">
            <v/>
          </cell>
          <cell r="BC492" t="str">
            <v/>
          </cell>
          <cell r="BD492" t="str">
            <v/>
          </cell>
          <cell r="BE492" t="str">
            <v/>
          </cell>
          <cell r="BF492" t="str">
            <v/>
          </cell>
          <cell r="BG492" t="str">
            <v/>
          </cell>
          <cell r="BH492" t="str">
            <v>0.08BTechnischen Fakultät der, D. &amp; Leonhard Klein, D.-I. High Temperature Oxidation and Electrochemical Studies on Novel Co-Base Superalloys (Hochtemperaturoxidation und elektrochemische Untersuchungen an neuartigen Co-Basis-Superlegierungen). (2013).</v>
          </cell>
          <cell r="BI492" t="str">
            <v>Co-8.9Al-9.5W-0.08B</v>
          </cell>
          <cell r="BJ492" t="str">
            <v>81.5Co-8.9Al-9.5W-0.08B</v>
          </cell>
        </row>
        <row r="493">
          <cell r="A493" t="str">
            <v>Co-8.8Al-9.3W-0.12B</v>
          </cell>
          <cell r="B493" t="str">
            <v>CoAlW-X</v>
          </cell>
          <cell r="C493" t="str">
            <v>-9Al-9W-B</v>
          </cell>
          <cell r="D493" t="str">
            <v>0.12B</v>
          </cell>
          <cell r="E493" t="str">
            <v>Technischen Fakultät der, D. &amp; Leonhard Klein, D.-I. High Temperature Oxidation and Electrochemical Studies on Novel Co-Base Superalloys (Hochtemperaturoxidation und elektrochemische Untersuchungen an neuartigen Co-Basis-Superlegierungen). (2013).</v>
          </cell>
          <cell r="F493">
            <v>515</v>
          </cell>
          <cell r="G493">
            <v>81.78</v>
          </cell>
          <cell r="H493"/>
          <cell r="I493">
            <v>8.8000000000000007</v>
          </cell>
          <cell r="J493"/>
          <cell r="K493">
            <v>9.3000000000000007</v>
          </cell>
          <cell r="L493"/>
          <cell r="M493"/>
          <cell r="N493"/>
          <cell r="O493"/>
          <cell r="P493"/>
          <cell r="Q493"/>
          <cell r="R493"/>
          <cell r="S493">
            <v>0.12</v>
          </cell>
          <cell r="T493"/>
          <cell r="U493"/>
          <cell r="V493"/>
          <cell r="W493"/>
          <cell r="X493"/>
          <cell r="Y493"/>
          <cell r="Z493"/>
          <cell r="AA493"/>
          <cell r="AB493"/>
          <cell r="AC493"/>
          <cell r="AD493"/>
          <cell r="AE493"/>
          <cell r="AF493">
            <v>9.3092220000000001</v>
          </cell>
          <cell r="AG493"/>
          <cell r="AH493"/>
          <cell r="AI493" t="str">
            <v>Co</v>
          </cell>
          <cell r="AJ493" t="str">
            <v>-8.8Al</v>
          </cell>
          <cell r="AK493" t="str">
            <v>-9.3W</v>
          </cell>
          <cell r="AL493" t="str">
            <v/>
          </cell>
          <cell r="AM493" t="str">
            <v/>
          </cell>
          <cell r="AN493" t="str">
            <v/>
          </cell>
          <cell r="AO493" t="str">
            <v/>
          </cell>
          <cell r="AP493" t="str">
            <v/>
          </cell>
          <cell r="AQ493" t="str">
            <v/>
          </cell>
          <cell r="AR493" t="str">
            <v/>
          </cell>
          <cell r="AS493" t="str">
            <v/>
          </cell>
          <cell r="AT493" t="str">
            <v/>
          </cell>
          <cell r="AU493" t="str">
            <v>-0.12B</v>
          </cell>
          <cell r="AV493" t="str">
            <v/>
          </cell>
          <cell r="AW493" t="str">
            <v/>
          </cell>
          <cell r="AX493" t="str">
            <v/>
          </cell>
          <cell r="AY493" t="str">
            <v/>
          </cell>
          <cell r="AZ493" t="str">
            <v/>
          </cell>
          <cell r="BA493" t="str">
            <v/>
          </cell>
          <cell r="BB493" t="str">
            <v/>
          </cell>
          <cell r="BC493" t="str">
            <v/>
          </cell>
          <cell r="BD493" t="str">
            <v/>
          </cell>
          <cell r="BE493" t="str">
            <v/>
          </cell>
          <cell r="BF493" t="str">
            <v/>
          </cell>
          <cell r="BG493" t="str">
            <v/>
          </cell>
          <cell r="BH493" t="str">
            <v>0.12BTechnischen Fakultät der, D. &amp; Leonhard Klein, D.-I. High Temperature Oxidation and Electrochemical Studies on Novel Co-Base Superalloys (Hochtemperaturoxidation und elektrochemische Untersuchungen an neuartigen Co-Basis-Superlegierungen). (2013).</v>
          </cell>
          <cell r="BI493" t="str">
            <v>Co-8.8Al-9.3W-0.12B</v>
          </cell>
          <cell r="BJ493" t="str">
            <v>81.8Co-8.8Al-9.3W-0.12B</v>
          </cell>
        </row>
        <row r="494">
          <cell r="A494" t="str">
            <v>Co-8.6Al-4.1Cr-9.5W-0.04B</v>
          </cell>
          <cell r="B494" t="str">
            <v>CoAlW-X</v>
          </cell>
          <cell r="C494" t="str">
            <v>-9Al-4Cr-10W-B</v>
          </cell>
          <cell r="D494" t="str">
            <v>0.04B4Cr</v>
          </cell>
          <cell r="E494" t="str">
            <v>Technischen Fakultät der, D. &amp; Leonhard Klein, D.-I. High Temperature Oxidation and Electrochemical Studies on Novel Co-Base Superalloys (Hochtemperaturoxidation und elektrochemische Untersuchungen an neuartigen Co-Basis-Superlegierungen). (2013).</v>
          </cell>
          <cell r="F494">
            <v>516</v>
          </cell>
          <cell r="G494">
            <v>77.760000000000005</v>
          </cell>
          <cell r="H494"/>
          <cell r="I494">
            <v>8.6</v>
          </cell>
          <cell r="J494">
            <v>4.0999999999999996</v>
          </cell>
          <cell r="K494">
            <v>9.5</v>
          </cell>
          <cell r="L494"/>
          <cell r="M494"/>
          <cell r="N494"/>
          <cell r="O494"/>
          <cell r="P494"/>
          <cell r="Q494"/>
          <cell r="R494"/>
          <cell r="S494">
            <v>0.04</v>
          </cell>
          <cell r="T494"/>
          <cell r="U494"/>
          <cell r="V494"/>
          <cell r="W494"/>
          <cell r="X494"/>
          <cell r="Y494"/>
          <cell r="Z494"/>
          <cell r="AA494"/>
          <cell r="AB494"/>
          <cell r="AC494"/>
          <cell r="AD494"/>
          <cell r="AE494"/>
          <cell r="AF494">
            <v>9.2773640000000004</v>
          </cell>
          <cell r="AG494"/>
          <cell r="AH494"/>
          <cell r="AI494" t="str">
            <v>Co</v>
          </cell>
          <cell r="AJ494" t="str">
            <v>-8.6Al</v>
          </cell>
          <cell r="AK494" t="str">
            <v>-9.5W</v>
          </cell>
          <cell r="AL494" t="str">
            <v/>
          </cell>
          <cell r="AM494" t="str">
            <v>-4.1Cr</v>
          </cell>
          <cell r="AN494" t="str">
            <v/>
          </cell>
          <cell r="AO494" t="str">
            <v/>
          </cell>
          <cell r="AP494" t="str">
            <v/>
          </cell>
          <cell r="AQ494" t="str">
            <v/>
          </cell>
          <cell r="AR494" t="str">
            <v/>
          </cell>
          <cell r="AS494" t="str">
            <v/>
          </cell>
          <cell r="AT494" t="str">
            <v/>
          </cell>
          <cell r="AU494" t="str">
            <v>-0.04B</v>
          </cell>
          <cell r="AV494" t="str">
            <v/>
          </cell>
          <cell r="AW494" t="str">
            <v/>
          </cell>
          <cell r="AX494" t="str">
            <v/>
          </cell>
          <cell r="AY494" t="str">
            <v/>
          </cell>
          <cell r="AZ494" t="str">
            <v/>
          </cell>
          <cell r="BA494" t="str">
            <v/>
          </cell>
          <cell r="BB494" t="str">
            <v/>
          </cell>
          <cell r="BC494" t="str">
            <v/>
          </cell>
          <cell r="BD494" t="str">
            <v/>
          </cell>
          <cell r="BE494" t="str">
            <v/>
          </cell>
          <cell r="BF494" t="str">
            <v/>
          </cell>
          <cell r="BG494" t="str">
            <v/>
          </cell>
          <cell r="BH494" t="str">
            <v>0.04B4CrTechnischen Fakultät der, D. &amp; Leonhard Klein, D.-I. High Temperature Oxidation and Electrochemical Studies on Novel Co-Base Superalloys (Hochtemperaturoxidation und elektrochemische Untersuchungen an neuartigen Co-Basis-Superlegierungen). (2013).</v>
          </cell>
          <cell r="BI494" t="str">
            <v>Co-8.6Al-4.1Cr-9.5W-0.04B</v>
          </cell>
          <cell r="BJ494" t="str">
            <v>77.8Co-8.6Al-4.1Cr-9.5W-0.04B</v>
          </cell>
        </row>
        <row r="495">
          <cell r="A495" t="str">
            <v>Co-8.7Al-8.2Cr-9.3W-0.04B</v>
          </cell>
          <cell r="B495" t="str">
            <v>CoAlW-X</v>
          </cell>
          <cell r="C495" t="str">
            <v>-9Al-8Cr-9W-B</v>
          </cell>
          <cell r="D495" t="str">
            <v>0.04B8Cr</v>
          </cell>
          <cell r="E495" t="str">
            <v>Technischen Fakultät der, D. &amp; Leonhard Klein, D.-I. High Temperature Oxidation and Electrochemical Studies on Novel Co-Base Superalloys (Hochtemperaturoxidation und elektrochemische Untersuchungen an neuartigen Co-Basis-Superlegierungen). (2013).</v>
          </cell>
          <cell r="F495">
            <v>517</v>
          </cell>
          <cell r="G495">
            <v>73.760000000000005</v>
          </cell>
          <cell r="H495"/>
          <cell r="I495">
            <v>8.6999999999999993</v>
          </cell>
          <cell r="J495">
            <v>8.1999999999999993</v>
          </cell>
          <cell r="K495">
            <v>9.3000000000000007</v>
          </cell>
          <cell r="L495"/>
          <cell r="M495"/>
          <cell r="N495"/>
          <cell r="O495"/>
          <cell r="P495"/>
          <cell r="Q495"/>
          <cell r="R495"/>
          <cell r="S495">
            <v>0.04</v>
          </cell>
          <cell r="T495"/>
          <cell r="U495"/>
          <cell r="V495"/>
          <cell r="W495"/>
          <cell r="X495"/>
          <cell r="Y495"/>
          <cell r="Z495"/>
          <cell r="AA495"/>
          <cell r="AB495"/>
          <cell r="AC495"/>
          <cell r="AD495"/>
          <cell r="AE495"/>
          <cell r="AF495">
            <v>9.1803539999999995</v>
          </cell>
          <cell r="AG495"/>
          <cell r="AH495"/>
          <cell r="AI495" t="str">
            <v>Co</v>
          </cell>
          <cell r="AJ495" t="str">
            <v>-8.7Al</v>
          </cell>
          <cell r="AK495" t="str">
            <v>-9.3W</v>
          </cell>
          <cell r="AL495" t="str">
            <v/>
          </cell>
          <cell r="AM495" t="str">
            <v>-8.2Cr</v>
          </cell>
          <cell r="AN495" t="str">
            <v/>
          </cell>
          <cell r="AO495" t="str">
            <v/>
          </cell>
          <cell r="AP495" t="str">
            <v/>
          </cell>
          <cell r="AQ495" t="str">
            <v/>
          </cell>
          <cell r="AR495" t="str">
            <v/>
          </cell>
          <cell r="AS495" t="str">
            <v/>
          </cell>
          <cell r="AT495" t="str">
            <v/>
          </cell>
          <cell r="AU495" t="str">
            <v>-0.04B</v>
          </cell>
          <cell r="AV495" t="str">
            <v/>
          </cell>
          <cell r="AW495" t="str">
            <v/>
          </cell>
          <cell r="AX495" t="str">
            <v/>
          </cell>
          <cell r="AY495" t="str">
            <v/>
          </cell>
          <cell r="AZ495" t="str">
            <v/>
          </cell>
          <cell r="BA495" t="str">
            <v/>
          </cell>
          <cell r="BB495" t="str">
            <v/>
          </cell>
          <cell r="BC495" t="str">
            <v/>
          </cell>
          <cell r="BD495" t="str">
            <v/>
          </cell>
          <cell r="BE495" t="str">
            <v/>
          </cell>
          <cell r="BF495" t="str">
            <v/>
          </cell>
          <cell r="BG495" t="str">
            <v/>
          </cell>
          <cell r="BH495" t="str">
            <v>0.04B8CrTechnischen Fakultät der, D. &amp; Leonhard Klein, D.-I. High Temperature Oxidation and Electrochemical Studies on Novel Co-Base Superalloys (Hochtemperaturoxidation und elektrochemische Untersuchungen an neuartigen Co-Basis-Superlegierungen). (2013).</v>
          </cell>
          <cell r="BI495" t="str">
            <v>Co-8.7Al-8.2Cr-9.3W-0.04B</v>
          </cell>
          <cell r="BJ495" t="str">
            <v>73.8Co-8.7Al-8.2Cr-9.3W-0.04B</v>
          </cell>
        </row>
        <row r="496">
          <cell r="A496" t="str">
            <v>Co-9.3Ni-9.6Al-9.6W-0.12B</v>
          </cell>
          <cell r="B496" t="str">
            <v>CoAlW-X</v>
          </cell>
          <cell r="C496" t="str">
            <v>-9Ni-10Al-10W-B</v>
          </cell>
          <cell r="D496" t="str">
            <v>0.12B9Ni</v>
          </cell>
          <cell r="E496" t="str">
            <v>Technischen Fakultät der, D. &amp; Leonhard Klein, D.-I. High Temperature Oxidation and Electrochemical Studies on Novel Co-Base Superalloys (Hochtemperaturoxidation und elektrochemische Untersuchungen an neuartigen Co-Basis-Superlegierungen). (2013).</v>
          </cell>
          <cell r="F496">
            <v>518</v>
          </cell>
          <cell r="G496">
            <v>71.38</v>
          </cell>
          <cell r="H496">
            <v>9.3000000000000007</v>
          </cell>
          <cell r="I496">
            <v>9.6</v>
          </cell>
          <cell r="J496"/>
          <cell r="K496">
            <v>9.6</v>
          </cell>
          <cell r="L496"/>
          <cell r="M496"/>
          <cell r="N496"/>
          <cell r="O496"/>
          <cell r="P496"/>
          <cell r="Q496"/>
          <cell r="R496"/>
          <cell r="S496">
            <v>0.12</v>
          </cell>
          <cell r="T496"/>
          <cell r="U496"/>
          <cell r="V496"/>
          <cell r="W496"/>
          <cell r="X496"/>
          <cell r="Y496"/>
          <cell r="Z496"/>
          <cell r="AA496"/>
          <cell r="AB496"/>
          <cell r="AC496"/>
          <cell r="AD496"/>
          <cell r="AE496"/>
          <cell r="AF496">
            <v>9.2914159999999999</v>
          </cell>
          <cell r="AG496"/>
          <cell r="AH496"/>
          <cell r="AI496" t="str">
            <v>Co</v>
          </cell>
          <cell r="AJ496" t="str">
            <v>-9.6Al</v>
          </cell>
          <cell r="AK496" t="str">
            <v>-9.6W</v>
          </cell>
          <cell r="AL496" t="str">
            <v>-9.3Ni</v>
          </cell>
          <cell r="AM496" t="str">
            <v/>
          </cell>
          <cell r="AN496" t="str">
            <v/>
          </cell>
          <cell r="AO496" t="str">
            <v/>
          </cell>
          <cell r="AP496" t="str">
            <v/>
          </cell>
          <cell r="AQ496" t="str">
            <v/>
          </cell>
          <cell r="AR496" t="str">
            <v/>
          </cell>
          <cell r="AS496" t="str">
            <v/>
          </cell>
          <cell r="AT496" t="str">
            <v/>
          </cell>
          <cell r="AU496" t="str">
            <v>-0.12B</v>
          </cell>
          <cell r="AV496" t="str">
            <v/>
          </cell>
          <cell r="AW496" t="str">
            <v/>
          </cell>
          <cell r="AX496" t="str">
            <v/>
          </cell>
          <cell r="AY496" t="str">
            <v/>
          </cell>
          <cell r="AZ496" t="str">
            <v/>
          </cell>
          <cell r="BA496" t="str">
            <v/>
          </cell>
          <cell r="BB496" t="str">
            <v/>
          </cell>
          <cell r="BC496" t="str">
            <v/>
          </cell>
          <cell r="BD496" t="str">
            <v/>
          </cell>
          <cell r="BE496" t="str">
            <v/>
          </cell>
          <cell r="BF496" t="str">
            <v/>
          </cell>
          <cell r="BG496" t="str">
            <v/>
          </cell>
          <cell r="BH496" t="str">
            <v>0.12B9NiTechnischen Fakultät der, D. &amp; Leonhard Klein, D.-I. High Temperature Oxidation and Electrochemical Studies on Novel Co-Base Superalloys (Hochtemperaturoxidation und elektrochemische Untersuchungen an neuartigen Co-Basis-Superlegierungen). (2013).</v>
          </cell>
          <cell r="BI496" t="str">
            <v>Co-9.3Ni-9.6Al-9.6W-0.12B</v>
          </cell>
          <cell r="BJ496" t="str">
            <v>80.7Co-9.3Ni-9.6Al-9.6W-0.12B</v>
          </cell>
        </row>
        <row r="497">
          <cell r="A497" t="str">
            <v>Co-18.Ni-9.2Al-9.6W-0.12B</v>
          </cell>
          <cell r="B497" t="str">
            <v>CoAlW-X</v>
          </cell>
          <cell r="C497" t="str">
            <v>-18Ni-9Al-10W-B</v>
          </cell>
          <cell r="D497" t="str">
            <v>0.12B18Ni</v>
          </cell>
          <cell r="E497" t="str">
            <v>Technischen Fakultät der, D. &amp; Leonhard Klein, D.-I. High Temperature Oxidation and Electrochemical Studies on Novel Co-Base Superalloys (Hochtemperaturoxidation und elektrochemische Untersuchungen an neuartigen Co-Basis-Superlegierungen). (2013).</v>
          </cell>
          <cell r="F497">
            <v>519</v>
          </cell>
          <cell r="G497">
            <v>63.080000000000005</v>
          </cell>
          <cell r="H497">
            <v>18</v>
          </cell>
          <cell r="I497">
            <v>9.1999999999999993</v>
          </cell>
          <cell r="J497"/>
          <cell r="K497">
            <v>9.6</v>
          </cell>
          <cell r="L497"/>
          <cell r="M497"/>
          <cell r="N497"/>
          <cell r="O497"/>
          <cell r="P497"/>
          <cell r="Q497"/>
          <cell r="R497"/>
          <cell r="S497">
            <v>0.12</v>
          </cell>
          <cell r="T497"/>
          <cell r="U497"/>
          <cell r="V497"/>
          <cell r="W497"/>
          <cell r="X497"/>
          <cell r="Y497"/>
          <cell r="Z497"/>
          <cell r="AA497"/>
          <cell r="AB497"/>
          <cell r="AC497"/>
          <cell r="AD497"/>
          <cell r="AE497"/>
          <cell r="AF497">
            <v>9.3169120000000003</v>
          </cell>
          <cell r="AG497"/>
          <cell r="AH497"/>
          <cell r="AI497" t="str">
            <v>Co</v>
          </cell>
          <cell r="AJ497" t="str">
            <v>-9.2Al</v>
          </cell>
          <cell r="AK497" t="str">
            <v>-9.6W</v>
          </cell>
          <cell r="AL497" t="str">
            <v>-18.Ni</v>
          </cell>
          <cell r="AM497" t="str">
            <v/>
          </cell>
          <cell r="AN497" t="str">
            <v/>
          </cell>
          <cell r="AO497" t="str">
            <v/>
          </cell>
          <cell r="AP497" t="str">
            <v/>
          </cell>
          <cell r="AQ497" t="str">
            <v/>
          </cell>
          <cell r="AR497" t="str">
            <v/>
          </cell>
          <cell r="AS497" t="str">
            <v/>
          </cell>
          <cell r="AT497" t="str">
            <v/>
          </cell>
          <cell r="AU497" t="str">
            <v>-0.12B</v>
          </cell>
          <cell r="AV497" t="str">
            <v/>
          </cell>
          <cell r="AW497" t="str">
            <v/>
          </cell>
          <cell r="AX497" t="str">
            <v/>
          </cell>
          <cell r="AY497" t="str">
            <v/>
          </cell>
          <cell r="AZ497" t="str">
            <v/>
          </cell>
          <cell r="BA497" t="str">
            <v/>
          </cell>
          <cell r="BB497" t="str">
            <v/>
          </cell>
          <cell r="BC497" t="str">
            <v/>
          </cell>
          <cell r="BD497" t="str">
            <v/>
          </cell>
          <cell r="BE497" t="str">
            <v/>
          </cell>
          <cell r="BF497" t="str">
            <v/>
          </cell>
          <cell r="BG497" t="str">
            <v/>
          </cell>
          <cell r="BH497" t="str">
            <v>0.12B18NiTechnischen Fakultät der, D. &amp; Leonhard Klein, D.-I. High Temperature Oxidation and Electrochemical Studies on Novel Co-Base Superalloys (Hochtemperaturoxidation und elektrochemische Untersuchungen an neuartigen Co-Basis-Superlegierungen). (2013).</v>
          </cell>
          <cell r="BI497" t="str">
            <v>Co-18.Ni-9.2Al-9.6W-0.12B</v>
          </cell>
          <cell r="BJ497" t="str">
            <v>81.1Co-18.0Ni-9.2Al-9.6W-0.12B</v>
          </cell>
        </row>
        <row r="498">
          <cell r="A498" t="str">
            <v>Co-8.1Al-9.4W-2.3Si-0.12B</v>
          </cell>
          <cell r="B498" t="str">
            <v>CoAlW-X</v>
          </cell>
          <cell r="C498" t="str">
            <v>-8Al-9W-Si-B</v>
          </cell>
          <cell r="D498" t="str">
            <v>0.12B2Si</v>
          </cell>
          <cell r="E498" t="str">
            <v>Technischen Fakultät der, D. &amp; Leonhard Klein, D.-I. High Temperature Oxidation and Electrochemical Studies on Novel Co-Base Superalloys (Hochtemperaturoxidation und elektrochemische Untersuchungen an neuartigen Co-Basis-Superlegierungen). (2013).</v>
          </cell>
          <cell r="F498">
            <v>520</v>
          </cell>
          <cell r="G498">
            <v>80.08</v>
          </cell>
          <cell r="H498"/>
          <cell r="I498">
            <v>8.1</v>
          </cell>
          <cell r="J498"/>
          <cell r="K498">
            <v>9.4</v>
          </cell>
          <cell r="L498"/>
          <cell r="M498"/>
          <cell r="N498"/>
          <cell r="O498"/>
          <cell r="P498"/>
          <cell r="Q498"/>
          <cell r="R498"/>
          <cell r="S498">
            <v>0.12</v>
          </cell>
          <cell r="T498"/>
          <cell r="U498"/>
          <cell r="V498">
            <v>2.2999999999999998</v>
          </cell>
          <cell r="W498"/>
          <cell r="X498"/>
          <cell r="Y498"/>
          <cell r="Z498"/>
          <cell r="AA498"/>
          <cell r="AB498"/>
          <cell r="AC498"/>
          <cell r="AD498"/>
          <cell r="AE498"/>
          <cell r="AF498">
            <v>9.2118620000000018</v>
          </cell>
          <cell r="AG498"/>
          <cell r="AH498"/>
          <cell r="AI498" t="str">
            <v>Co</v>
          </cell>
          <cell r="AJ498" t="str">
            <v>-8.1Al</v>
          </cell>
          <cell r="AK498" t="str">
            <v>-9.4W</v>
          </cell>
          <cell r="AL498" t="str">
            <v/>
          </cell>
          <cell r="AM498" t="str">
            <v/>
          </cell>
          <cell r="AN498" t="str">
            <v/>
          </cell>
          <cell r="AO498" t="str">
            <v/>
          </cell>
          <cell r="AP498" t="str">
            <v/>
          </cell>
          <cell r="AQ498" t="str">
            <v/>
          </cell>
          <cell r="AR498" t="str">
            <v/>
          </cell>
          <cell r="AS498" t="str">
            <v/>
          </cell>
          <cell r="AT498" t="str">
            <v/>
          </cell>
          <cell r="AU498" t="str">
            <v>-0.12B</v>
          </cell>
          <cell r="AV498" t="str">
            <v/>
          </cell>
          <cell r="AW498" t="str">
            <v/>
          </cell>
          <cell r="AX498" t="str">
            <v>-2.3Si</v>
          </cell>
          <cell r="AY498" t="str">
            <v/>
          </cell>
          <cell r="AZ498" t="str">
            <v/>
          </cell>
          <cell r="BA498" t="str">
            <v/>
          </cell>
          <cell r="BB498" t="str">
            <v/>
          </cell>
          <cell r="BC498" t="str">
            <v/>
          </cell>
          <cell r="BD498" t="str">
            <v/>
          </cell>
          <cell r="BE498" t="str">
            <v/>
          </cell>
          <cell r="BF498" t="str">
            <v/>
          </cell>
          <cell r="BG498" t="str">
            <v/>
          </cell>
          <cell r="BH498" t="str">
            <v>0.12B2SiTechnischen Fakultät der, D. &amp; Leonhard Klein, D.-I. High Temperature Oxidation and Electrochemical Studies on Novel Co-Base Superalloys (Hochtemperaturoxidation und elektrochemische Untersuchungen an neuartigen Co-Basis-Superlegierungen). (2013).</v>
          </cell>
          <cell r="BI498" t="str">
            <v>Co-8.1Al-9.4W-2.3Si-0.12B</v>
          </cell>
          <cell r="BJ498" t="str">
            <v>80.1Co-8.1Al-9.4W-2.3Si-0.12B</v>
          </cell>
        </row>
        <row r="499">
          <cell r="A499" t="str">
            <v>Co-7.9Al-9.2W-0.12B-0.Y</v>
          </cell>
          <cell r="B499" t="str">
            <v>CoAlW-X</v>
          </cell>
          <cell r="C499" t="str">
            <v>-8Al-9W-B-Y</v>
          </cell>
          <cell r="D499" t="str">
            <v>0.12B0.005Y</v>
          </cell>
          <cell r="E499" t="str">
            <v>Technischen Fakultät der, D. &amp; Leonhard Klein, D.-I. High Temperature Oxidation and Electrochemical Studies on Novel Co-Base Superalloys (Hochtemperaturoxidation und elektrochemische Untersuchungen an neuartigen Co-Basis-Superlegierungen). (2013).</v>
          </cell>
          <cell r="F499">
            <v>521</v>
          </cell>
          <cell r="G499">
            <v>82.775000000000006</v>
          </cell>
          <cell r="H499"/>
          <cell r="I499">
            <v>7.9</v>
          </cell>
          <cell r="J499"/>
          <cell r="K499">
            <v>9.1999999999999993</v>
          </cell>
          <cell r="L499"/>
          <cell r="M499"/>
          <cell r="N499"/>
          <cell r="O499"/>
          <cell r="P499"/>
          <cell r="Q499"/>
          <cell r="R499"/>
          <cell r="S499">
            <v>0.12</v>
          </cell>
          <cell r="T499"/>
          <cell r="U499"/>
          <cell r="V499"/>
          <cell r="W499"/>
          <cell r="X499">
            <v>5.0000000000000001E-3</v>
          </cell>
          <cell r="Y499"/>
          <cell r="Z499"/>
          <cell r="AA499"/>
          <cell r="AB499"/>
          <cell r="AC499"/>
          <cell r="AD499"/>
          <cell r="AE499"/>
          <cell r="AF499">
            <v>9.3544506000000016</v>
          </cell>
          <cell r="AG499"/>
          <cell r="AH499"/>
          <cell r="AI499" t="str">
            <v>Co</v>
          </cell>
          <cell r="AJ499" t="str">
            <v>-7.9Al</v>
          </cell>
          <cell r="AK499" t="str">
            <v>-9.2W</v>
          </cell>
          <cell r="AL499" t="str">
            <v/>
          </cell>
          <cell r="AM499" t="str">
            <v/>
          </cell>
          <cell r="AN499" t="str">
            <v/>
          </cell>
          <cell r="AO499" t="str">
            <v/>
          </cell>
          <cell r="AP499" t="str">
            <v/>
          </cell>
          <cell r="AQ499" t="str">
            <v/>
          </cell>
          <cell r="AR499" t="str">
            <v/>
          </cell>
          <cell r="AS499" t="str">
            <v/>
          </cell>
          <cell r="AT499" t="str">
            <v/>
          </cell>
          <cell r="AU499" t="str">
            <v>-0.12B</v>
          </cell>
          <cell r="AV499" t="str">
            <v/>
          </cell>
          <cell r="AW499" t="str">
            <v/>
          </cell>
          <cell r="AX499" t="str">
            <v/>
          </cell>
          <cell r="AY499" t="str">
            <v/>
          </cell>
          <cell r="AZ499" t="str">
            <v>-0.Y</v>
          </cell>
          <cell r="BA499" t="str">
            <v/>
          </cell>
          <cell r="BB499" t="str">
            <v/>
          </cell>
          <cell r="BC499" t="str">
            <v/>
          </cell>
          <cell r="BD499" t="str">
            <v/>
          </cell>
          <cell r="BE499" t="str">
            <v/>
          </cell>
          <cell r="BF499" t="str">
            <v/>
          </cell>
          <cell r="BG499" t="str">
            <v/>
          </cell>
          <cell r="BH499" t="str">
            <v>0.12B0.005YTechnischen Fakultät der, D. &amp; Leonhard Klein, D.-I. High Temperature Oxidation and Electrochemical Studies on Novel Co-Base Superalloys (Hochtemperaturoxidation und elektrochemische Untersuchungen an neuartigen Co-Basis-Superlegierungen). (2013).</v>
          </cell>
          <cell r="BI499" t="str">
            <v>Co-7.9Al-9.2W-0.12B-0.Y</v>
          </cell>
          <cell r="BJ499" t="str">
            <v>82.8Co-7.9Al-9.2W-0.12B-0.0Y</v>
          </cell>
        </row>
        <row r="500">
          <cell r="A500" t="str">
            <v>Co-38.Ni-9.3Al-6.4Cr-6.9W-1.4Ta</v>
          </cell>
          <cell r="B500" t="str">
            <v>CoAlWX+</v>
          </cell>
          <cell r="C500" t="str">
            <v>-38Ni-9Al-6Cr-7W-1Ta</v>
          </cell>
          <cell r="D500" t="str">
            <v>CoNi-C-2</v>
          </cell>
          <cell r="E500" t="str">
            <v>Titus, M. S. et al. High resolution energy dispersive spectroscopy mapping of planar defects in L12-containing Co-base superalloys. Acta Mater. 89, 423–437 (2015).</v>
          </cell>
          <cell r="F500">
            <v>522</v>
          </cell>
          <cell r="G500">
            <v>38.000000000000007</v>
          </cell>
          <cell r="H500">
            <v>38</v>
          </cell>
          <cell r="I500">
            <v>9.3000000000000007</v>
          </cell>
          <cell r="J500">
            <v>6.4</v>
          </cell>
          <cell r="K500">
            <v>6.9</v>
          </cell>
          <cell r="L500"/>
          <cell r="M500">
            <v>1.4</v>
          </cell>
          <cell r="N500"/>
          <cell r="O500"/>
          <cell r="P500"/>
          <cell r="Q500"/>
          <cell r="R500"/>
          <cell r="S500"/>
          <cell r="T500"/>
          <cell r="U500"/>
          <cell r="V500"/>
          <cell r="W500"/>
          <cell r="X500"/>
          <cell r="Y500"/>
          <cell r="Z500"/>
          <cell r="AA500"/>
          <cell r="AB500"/>
          <cell r="AC500"/>
          <cell r="AD500"/>
          <cell r="AE500"/>
          <cell r="AF500">
            <v>9.03965</v>
          </cell>
          <cell r="AG500"/>
          <cell r="AH500" t="str">
            <v>single crystal</v>
          </cell>
          <cell r="AI500" t="str">
            <v>Co</v>
          </cell>
          <cell r="AJ500" t="str">
            <v>-9.3Al</v>
          </cell>
          <cell r="AK500" t="str">
            <v>-6.9W</v>
          </cell>
          <cell r="AL500" t="str">
            <v>-38.Ni</v>
          </cell>
          <cell r="AM500" t="str">
            <v>-6.4Cr</v>
          </cell>
          <cell r="AN500" t="str">
            <v>-1.4Ta</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cell r="BD500" t="str">
            <v/>
          </cell>
          <cell r="BE500" t="str">
            <v/>
          </cell>
          <cell r="BF500" t="str">
            <v/>
          </cell>
          <cell r="BG500" t="str">
            <v/>
          </cell>
          <cell r="BH500" t="str">
            <v>CoNi-C-2Titus, M. S. et al. High resolution energy dispersive spectroscopy mapping of planar defects in L12-containing Co-base superalloys. Acta Mater. 89, 423–437 (2015).</v>
          </cell>
          <cell r="BI500" t="str">
            <v>Co-38.Ni-9.3Al-6.4Cr-6.9W-1.4Ta</v>
          </cell>
          <cell r="BJ500" t="str">
            <v>76.0Co-38.0Ni-9.3Al-6.4Cr-6.9W-1.4Ta</v>
          </cell>
        </row>
        <row r="501">
          <cell r="A501" t="str">
            <v>Co-38.Ni-11.2Al-6.5W-2.8Ta</v>
          </cell>
          <cell r="B501" t="str">
            <v>CoAlWX+</v>
          </cell>
          <cell r="C501" t="str">
            <v>-38Ni-11Al-7W-3Ta</v>
          </cell>
          <cell r="D501" t="str">
            <v>CoNi-C</v>
          </cell>
          <cell r="E501" t="str">
            <v>Titus, M. S., Eggeler, Y. M., Suzuki, A. &amp; Pollock, T. M. Creep-induced planar defects in L12-containing Co- and CoNi-base single-crystal superalloys. Acta Mater. 82, 530–539 (2015)</v>
          </cell>
          <cell r="F501">
            <v>528</v>
          </cell>
          <cell r="G501">
            <v>41.5</v>
          </cell>
          <cell r="H501">
            <v>38</v>
          </cell>
          <cell r="I501">
            <v>11.2</v>
          </cell>
          <cell r="J501"/>
          <cell r="K501">
            <v>6.5</v>
          </cell>
          <cell r="L501"/>
          <cell r="M501">
            <v>2.8</v>
          </cell>
          <cell r="N501"/>
          <cell r="O501"/>
          <cell r="P501"/>
          <cell r="Q501"/>
          <cell r="R501"/>
          <cell r="S501"/>
          <cell r="T501"/>
          <cell r="U501"/>
          <cell r="V501"/>
          <cell r="W501"/>
          <cell r="X501"/>
          <cell r="Y501"/>
          <cell r="Z501"/>
          <cell r="AA501"/>
          <cell r="AB501"/>
          <cell r="AC501"/>
          <cell r="AD501"/>
          <cell r="AE501"/>
          <cell r="AF501">
            <v>9.0983900000000002</v>
          </cell>
          <cell r="AG501"/>
          <cell r="AH501" t="str">
            <v>single crystal</v>
          </cell>
          <cell r="AI501" t="str">
            <v>Co</v>
          </cell>
          <cell r="AJ501" t="str">
            <v>-11.2Al</v>
          </cell>
          <cell r="AK501" t="str">
            <v>-6.5W</v>
          </cell>
          <cell r="AL501" t="str">
            <v>-38.Ni</v>
          </cell>
          <cell r="AM501" t="str">
            <v/>
          </cell>
          <cell r="AN501" t="str">
            <v>-2.8Ta</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cell r="BD501" t="str">
            <v/>
          </cell>
          <cell r="BE501" t="str">
            <v/>
          </cell>
          <cell r="BF501" t="str">
            <v/>
          </cell>
          <cell r="BG501" t="str">
            <v/>
          </cell>
          <cell r="BH501" t="str">
            <v>CoNi-CTitus, M. S., Eggeler, Y. M., Suzuki, A. &amp; Pollock, T. M. Creep-induced planar defects in L12-containing Co- and CoNi-base single-crystal superalloys. Acta Mater. 82, 530–539 (2015)</v>
          </cell>
          <cell r="BI501" t="str">
            <v>Co-38.Ni-11.2Al-6.5W-2.8Ta</v>
          </cell>
          <cell r="BJ501" t="str">
            <v>79.5Co-38.0Ni-11.2Al-6.5W-2.8Ta</v>
          </cell>
        </row>
        <row r="502">
          <cell r="A502" t="str">
            <v>Co-29.2Ni-9.8Al-6.4Cr-6.3W-2.4Ta-0.14C-0.02B</v>
          </cell>
          <cell r="B502" t="str">
            <v>CoAlWX+</v>
          </cell>
          <cell r="C502" t="str">
            <v>-29Ni-10Al-6Cr-6W-2Ta-C-B</v>
          </cell>
          <cell r="D502" t="str">
            <v>CoNi-A</v>
          </cell>
          <cell r="E502" t="str">
            <v>Titus, M. S., Suzuki, A. &amp; Pollock, T. M. Creep and directional coarsening in single crystals of new γ-γ′ Cobalt-base alloys. Scr. Mater. 66, 574–577 (2012).</v>
          </cell>
          <cell r="F502">
            <v>529</v>
          </cell>
          <cell r="G502">
            <v>45.74</v>
          </cell>
          <cell r="H502">
            <v>29.2</v>
          </cell>
          <cell r="I502">
            <v>9.8000000000000007</v>
          </cell>
          <cell r="J502">
            <v>6.4</v>
          </cell>
          <cell r="K502">
            <v>6.3</v>
          </cell>
          <cell r="L502"/>
          <cell r="M502">
            <v>2.4</v>
          </cell>
          <cell r="N502"/>
          <cell r="O502"/>
          <cell r="P502"/>
          <cell r="Q502">
            <v>0.14000000000000001</v>
          </cell>
          <cell r="R502"/>
          <cell r="S502">
            <v>0.02</v>
          </cell>
          <cell r="T502"/>
          <cell r="U502"/>
          <cell r="V502"/>
          <cell r="W502"/>
          <cell r="X502"/>
          <cell r="Y502"/>
          <cell r="Z502"/>
          <cell r="AA502"/>
          <cell r="AB502"/>
          <cell r="AC502"/>
          <cell r="AD502"/>
          <cell r="AE502"/>
          <cell r="AF502">
            <v>9.0127620000000022</v>
          </cell>
          <cell r="AG502"/>
          <cell r="AH502"/>
          <cell r="AI502" t="str">
            <v>Co</v>
          </cell>
          <cell r="AJ502" t="str">
            <v>-9.8Al</v>
          </cell>
          <cell r="AK502" t="str">
            <v>-6.3W</v>
          </cell>
          <cell r="AL502" t="str">
            <v>-29.2Ni</v>
          </cell>
          <cell r="AM502" t="str">
            <v>-6.4Cr</v>
          </cell>
          <cell r="AN502" t="str">
            <v>-2.4Ta</v>
          </cell>
          <cell r="AO502" t="str">
            <v/>
          </cell>
          <cell r="AP502" t="str">
            <v/>
          </cell>
          <cell r="AQ502" t="str">
            <v/>
          </cell>
          <cell r="AR502" t="str">
            <v/>
          </cell>
          <cell r="AS502" t="str">
            <v>-0.14C</v>
          </cell>
          <cell r="AT502" t="str">
            <v/>
          </cell>
          <cell r="AU502" t="str">
            <v>-0.02B</v>
          </cell>
          <cell r="AV502" t="str">
            <v/>
          </cell>
          <cell r="AW502" t="str">
            <v/>
          </cell>
          <cell r="AX502" t="str">
            <v/>
          </cell>
          <cell r="AY502" t="str">
            <v/>
          </cell>
          <cell r="AZ502" t="str">
            <v/>
          </cell>
          <cell r="BA502" t="str">
            <v/>
          </cell>
          <cell r="BB502" t="str">
            <v/>
          </cell>
          <cell r="BC502" t="str">
            <v/>
          </cell>
          <cell r="BD502" t="str">
            <v/>
          </cell>
          <cell r="BE502" t="str">
            <v/>
          </cell>
          <cell r="BF502" t="str">
            <v/>
          </cell>
          <cell r="BG502" t="str">
            <v/>
          </cell>
          <cell r="BH502" t="str">
            <v>CoNi-ATitus, M. S., Suzuki, A. &amp; Pollock, T. M. Creep and directional coarsening in single crystals of new γ-γ′ Cobalt-base alloys. Scr. Mater. 66, 574–577 (2012).</v>
          </cell>
          <cell r="BI502" t="str">
            <v>Co-29.2Ni-9.8Al-6.4Cr-6.3W-2.4Ta-0.14C-0.02B</v>
          </cell>
          <cell r="BJ502" t="str">
            <v>74.9Co-29.2Ni-9.8Al-6.4Cr-6.3W-2.4Ta-0.14C-0.02B</v>
          </cell>
        </row>
        <row r="503">
          <cell r="A503" t="str">
            <v>Co-29.2Ni-9.8Al-6.3Cr-6.3W-2.4Ta</v>
          </cell>
          <cell r="B503" t="str">
            <v>CoAlWX+</v>
          </cell>
          <cell r="C503" t="str">
            <v>-29Ni-10Al-6Cr-6W-2Ta</v>
          </cell>
          <cell r="D503" t="str">
            <v>CoNi-A+</v>
          </cell>
          <cell r="E503" t="str">
            <v>Titus, M. S., Suzuki, A. &amp; Pollock, T. M. Creep and directional coarsening in single crystals of new γ-γ′ Cobalt-base alloys. Scr. Mater. 66, 574–577 (2012).</v>
          </cell>
          <cell r="F503">
            <v>530</v>
          </cell>
          <cell r="G503">
            <v>46.000000000000007</v>
          </cell>
          <cell r="H503">
            <v>29.2</v>
          </cell>
          <cell r="I503">
            <v>9.8000000000000007</v>
          </cell>
          <cell r="J503">
            <v>6.3</v>
          </cell>
          <cell r="K503">
            <v>6.3</v>
          </cell>
          <cell r="L503"/>
          <cell r="M503">
            <v>2.4</v>
          </cell>
          <cell r="N503"/>
          <cell r="O503"/>
          <cell r="P503"/>
          <cell r="Q503"/>
          <cell r="R503"/>
          <cell r="S503"/>
          <cell r="T503"/>
          <cell r="U503"/>
          <cell r="V503"/>
          <cell r="W503"/>
          <cell r="X503"/>
          <cell r="Y503"/>
          <cell r="Z503"/>
          <cell r="AA503"/>
          <cell r="AB503"/>
          <cell r="AC503"/>
          <cell r="AD503"/>
          <cell r="AE503"/>
          <cell r="AF503">
            <v>9.0250560000000011</v>
          </cell>
          <cell r="AG503"/>
          <cell r="AH503"/>
          <cell r="AI503" t="str">
            <v>Co</v>
          </cell>
          <cell r="AJ503" t="str">
            <v>-9.8Al</v>
          </cell>
          <cell r="AK503" t="str">
            <v>-6.3W</v>
          </cell>
          <cell r="AL503" t="str">
            <v>-29.2Ni</v>
          </cell>
          <cell r="AM503" t="str">
            <v>-6.3Cr</v>
          </cell>
          <cell r="AN503" t="str">
            <v>-2.4Ta</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cell r="BD503" t="str">
            <v/>
          </cell>
          <cell r="BE503" t="str">
            <v/>
          </cell>
          <cell r="BF503" t="str">
            <v/>
          </cell>
          <cell r="BG503" t="str">
            <v/>
          </cell>
          <cell r="BH503" t="str">
            <v>CoNi-A+Titus, M. S., Suzuki, A. &amp; Pollock, T. M. Creep and directional coarsening in single crystals of new γ-γ′ Cobalt-base alloys. Scr. Mater. 66, 574–577 (2012).</v>
          </cell>
          <cell r="BI503" t="str">
            <v>Co-29.2Ni-9.8Al-6.3Cr-6.3W-2.4Ta</v>
          </cell>
          <cell r="BJ503" t="str">
            <v>75.2Co-29.2Ni-9.8Al-6.3Cr-6.3W-2.4Ta</v>
          </cell>
        </row>
        <row r="504">
          <cell r="A504" t="str">
            <v>Co-28.2Ni-8.8Al-10.1Cr-6.3W-2.1Ta</v>
          </cell>
          <cell r="B504" t="str">
            <v>CoAlWX+</v>
          </cell>
          <cell r="C504" t="str">
            <v>-28Ni-9Al-10Cr-6W-2Ta</v>
          </cell>
          <cell r="D504" t="str">
            <v>CoNi-B</v>
          </cell>
          <cell r="E504" t="str">
            <v>Titus, M. S., Suzuki, A. &amp; Pollock, T. M. Creep and directional coarsening in single crystals of new γ-γ′ Cobalt-base alloys. Scr. Mater. 66, 574–577 (2012).</v>
          </cell>
          <cell r="F504">
            <v>531</v>
          </cell>
          <cell r="G504">
            <v>44.5</v>
          </cell>
          <cell r="H504">
            <v>28.2</v>
          </cell>
          <cell r="I504">
            <v>8.8000000000000007</v>
          </cell>
          <cell r="J504">
            <v>10.1</v>
          </cell>
          <cell r="K504">
            <v>6.3</v>
          </cell>
          <cell r="L504"/>
          <cell r="M504">
            <v>2.1</v>
          </cell>
          <cell r="N504"/>
          <cell r="O504"/>
          <cell r="P504"/>
          <cell r="Q504"/>
          <cell r="R504"/>
          <cell r="S504"/>
          <cell r="T504"/>
          <cell r="U504"/>
          <cell r="V504"/>
          <cell r="W504"/>
          <cell r="X504"/>
          <cell r="Y504"/>
          <cell r="Z504"/>
          <cell r="AA504"/>
          <cell r="AB504"/>
          <cell r="AC504"/>
          <cell r="AD504"/>
          <cell r="AE504"/>
          <cell r="AF504">
            <v>8.9987460000000006</v>
          </cell>
          <cell r="AG504"/>
          <cell r="AH504"/>
          <cell r="AI504" t="str">
            <v>Co</v>
          </cell>
          <cell r="AJ504" t="str">
            <v>-8.8Al</v>
          </cell>
          <cell r="AK504" t="str">
            <v>-6.3W</v>
          </cell>
          <cell r="AL504" t="str">
            <v>-28.2Ni</v>
          </cell>
          <cell r="AM504" t="str">
            <v>-10.1Cr</v>
          </cell>
          <cell r="AN504" t="str">
            <v>-2.1Ta</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
          </cell>
          <cell r="BB504" t="str">
            <v/>
          </cell>
          <cell r="BC504" t="str">
            <v/>
          </cell>
          <cell r="BD504" t="str">
            <v/>
          </cell>
          <cell r="BE504" t="str">
            <v/>
          </cell>
          <cell r="BF504" t="str">
            <v/>
          </cell>
          <cell r="BG504" t="str">
            <v/>
          </cell>
          <cell r="BH504" t="str">
            <v>CoNi-BTitus, M. S., Suzuki, A. &amp; Pollock, T. M. Creep and directional coarsening in single crystals of new γ-γ′ Cobalt-base alloys. Scr. Mater. 66, 574–577 (2012).</v>
          </cell>
          <cell r="BI504" t="str">
            <v>Co-28.2Ni-8.8Al-10.1Cr-6.3W-2.1Ta</v>
          </cell>
          <cell r="BJ504" t="str">
            <v>72.7Co-28.2Ni-8.8Al-10.1Cr-6.3W-2.1Ta</v>
          </cell>
        </row>
        <row r="505">
          <cell r="A505" t="str">
            <v>Co-38.Ni-9.3Al-6.3Cr-6.9W-1.4Ta</v>
          </cell>
          <cell r="B505" t="str">
            <v>CoAlWX+</v>
          </cell>
          <cell r="C505" t="str">
            <v>-38Ni-9Al-6Cr-7W-1Ta</v>
          </cell>
          <cell r="D505" t="str">
            <v>CoNi-C</v>
          </cell>
          <cell r="E505" t="str">
            <v>Titus, M. S., Suzuki, A. &amp; Pollock, T. M. Creep and directional coarsening in single crystals of new γ-γ′ Cobalt-base alloys. Scr. Mater. 66, 574–577 (2012).</v>
          </cell>
          <cell r="F505">
            <v>532</v>
          </cell>
          <cell r="G505">
            <v>38.100000000000009</v>
          </cell>
          <cell r="H505">
            <v>38</v>
          </cell>
          <cell r="I505">
            <v>9.3000000000000007</v>
          </cell>
          <cell r="J505">
            <v>6.3</v>
          </cell>
          <cell r="K505">
            <v>6.9</v>
          </cell>
          <cell r="L505"/>
          <cell r="M505">
            <v>1.4</v>
          </cell>
          <cell r="N505"/>
          <cell r="O505"/>
          <cell r="P505"/>
          <cell r="Q505"/>
          <cell r="R505"/>
          <cell r="S505"/>
          <cell r="T505"/>
          <cell r="U505"/>
          <cell r="V505"/>
          <cell r="W505"/>
          <cell r="X505"/>
          <cell r="Y505"/>
          <cell r="Z505"/>
          <cell r="AA505"/>
          <cell r="AB505"/>
          <cell r="AC505"/>
          <cell r="AD505"/>
          <cell r="AE505"/>
          <cell r="AF505">
            <v>9.0413599999999992</v>
          </cell>
          <cell r="AG505"/>
          <cell r="AH505"/>
          <cell r="AI505" t="str">
            <v>Co</v>
          </cell>
          <cell r="AJ505" t="str">
            <v>-9.3Al</v>
          </cell>
          <cell r="AK505" t="str">
            <v>-6.9W</v>
          </cell>
          <cell r="AL505" t="str">
            <v>-38.Ni</v>
          </cell>
          <cell r="AM505" t="str">
            <v>-6.3Cr</v>
          </cell>
          <cell r="AN505" t="str">
            <v>-1.4Ta</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cell r="BD505" t="str">
            <v/>
          </cell>
          <cell r="BE505" t="str">
            <v/>
          </cell>
          <cell r="BF505" t="str">
            <v/>
          </cell>
          <cell r="BG505" t="str">
            <v/>
          </cell>
          <cell r="BH505" t="str">
            <v>CoNi-CTitus, M. S., Suzuki, A. &amp; Pollock, T. M. Creep and directional coarsening in single crystals of new γ-γ′ Cobalt-base alloys. Scr. Mater. 66, 574–577 (2012).</v>
          </cell>
          <cell r="BI505" t="str">
            <v>Co-38.Ni-9.3Al-6.3Cr-6.9W-1.4Ta</v>
          </cell>
          <cell r="BJ505" t="str">
            <v>76.1Co-38.0Ni-9.3Al-6.3Cr-6.9W-1.4Ta</v>
          </cell>
        </row>
        <row r="506">
          <cell r="A506" t="str">
            <v>Co-30.7Ni-9.6Al-6.2Cr-4.8W-1.9Ta-2.Mo</v>
          </cell>
          <cell r="B506" t="str">
            <v>CoAlWX+</v>
          </cell>
          <cell r="C506" t="str">
            <v>-31Ni-10Al-6Cr-5W-2Ta-2Mo</v>
          </cell>
          <cell r="D506" t="str">
            <v>CoNi-D</v>
          </cell>
          <cell r="E506" t="str">
            <v>Titus, M. S., Suzuki, A. &amp; Pollock, T. M. Creep and directional coarsening in single crystals of new γ-γ′ Cobalt-base alloys. Scr. Mater. 66, 574–577 (2012).</v>
          </cell>
          <cell r="F506">
            <v>533</v>
          </cell>
          <cell r="G506">
            <v>44.800000000000004</v>
          </cell>
          <cell r="H506">
            <v>30.7</v>
          </cell>
          <cell r="I506">
            <v>9.6</v>
          </cell>
          <cell r="J506">
            <v>6.2</v>
          </cell>
          <cell r="K506">
            <v>4.8</v>
          </cell>
          <cell r="L506"/>
          <cell r="M506">
            <v>1.9</v>
          </cell>
          <cell r="N506"/>
          <cell r="O506"/>
          <cell r="P506">
            <v>2</v>
          </cell>
          <cell r="Q506"/>
          <cell r="R506"/>
          <cell r="S506"/>
          <cell r="T506"/>
          <cell r="U506"/>
          <cell r="V506"/>
          <cell r="W506"/>
          <cell r="X506"/>
          <cell r="Y506"/>
          <cell r="Z506"/>
          <cell r="AA506"/>
          <cell r="AB506"/>
          <cell r="AC506"/>
          <cell r="AD506"/>
          <cell r="AE506"/>
          <cell r="AF506">
            <v>8.8728859999999994</v>
          </cell>
          <cell r="AG506"/>
          <cell r="AH506"/>
          <cell r="AI506" t="str">
            <v>Co</v>
          </cell>
          <cell r="AJ506" t="str">
            <v>-9.6Al</v>
          </cell>
          <cell r="AK506" t="str">
            <v>-4.8W</v>
          </cell>
          <cell r="AL506" t="str">
            <v>-30.7Ni</v>
          </cell>
          <cell r="AM506" t="str">
            <v>-6.2Cr</v>
          </cell>
          <cell r="AN506" t="str">
            <v>-1.9Ta</v>
          </cell>
          <cell r="AO506" t="str">
            <v/>
          </cell>
          <cell r="AP506" t="str">
            <v/>
          </cell>
          <cell r="AQ506" t="str">
            <v/>
          </cell>
          <cell r="AR506" t="str">
            <v>-2.Mo</v>
          </cell>
          <cell r="AS506" t="str">
            <v/>
          </cell>
          <cell r="AT506" t="str">
            <v/>
          </cell>
          <cell r="AU506" t="str">
            <v/>
          </cell>
          <cell r="AV506" t="str">
            <v/>
          </cell>
          <cell r="AW506" t="str">
            <v/>
          </cell>
          <cell r="AX506" t="str">
            <v/>
          </cell>
          <cell r="AY506" t="str">
            <v/>
          </cell>
          <cell r="AZ506" t="str">
            <v/>
          </cell>
          <cell r="BA506" t="str">
            <v/>
          </cell>
          <cell r="BB506" t="str">
            <v/>
          </cell>
          <cell r="BC506" t="str">
            <v/>
          </cell>
          <cell r="BD506" t="str">
            <v/>
          </cell>
          <cell r="BE506" t="str">
            <v/>
          </cell>
          <cell r="BF506" t="str">
            <v/>
          </cell>
          <cell r="BG506" t="str">
            <v/>
          </cell>
          <cell r="BH506" t="str">
            <v>CoNi-DTitus, M. S., Suzuki, A. &amp; Pollock, T. M. Creep and directional coarsening in single crystals of new γ-γ′ Cobalt-base alloys. Scr. Mater. 66, 574–577 (2012).</v>
          </cell>
          <cell r="BI506" t="str">
            <v>Co-30.7Ni-9.6Al-6.2Cr-4.8W-1.9Ta-2.Mo</v>
          </cell>
          <cell r="BJ506" t="str">
            <v>75.5Co-30.7Ni-9.6Al-6.2Cr-4.8W-1.9Ta-2.0Mo</v>
          </cell>
        </row>
        <row r="507">
          <cell r="A507" t="str">
            <v>Co-16.9Al-3.2W-11.7Ti</v>
          </cell>
          <cell r="B507" t="str">
            <v>Co3Ti</v>
          </cell>
          <cell r="C507" t="str">
            <v>-17Al-3W-12Ti</v>
          </cell>
          <cell r="D507" t="str">
            <v>10Ti</v>
          </cell>
          <cell r="E507" t="str">
            <v>TMS. 2016_Book_TMS2014143rdAnnualMeetingExhib: THE ROLE OF Ti ON REDUCING THE MISFIT OF A Co-AI-W ALLOY. (2014).</v>
          </cell>
          <cell r="F507">
            <v>535</v>
          </cell>
          <cell r="G507">
            <v>68.259999999999991</v>
          </cell>
          <cell r="H507"/>
          <cell r="I507">
            <v>16.87</v>
          </cell>
          <cell r="J507"/>
          <cell r="K507">
            <v>3.15</v>
          </cell>
          <cell r="L507">
            <v>11.72</v>
          </cell>
          <cell r="M507"/>
          <cell r="N507"/>
          <cell r="O507"/>
          <cell r="P507"/>
          <cell r="Q507"/>
          <cell r="R507"/>
          <cell r="S507"/>
          <cell r="T507"/>
          <cell r="U507"/>
          <cell r="V507"/>
          <cell r="W507"/>
          <cell r="X507"/>
          <cell r="Y507"/>
          <cell r="Z507"/>
          <cell r="AA507"/>
          <cell r="AB507"/>
          <cell r="AC507"/>
          <cell r="AD507"/>
          <cell r="AE507"/>
          <cell r="AF507">
            <v>7.6652253999999997</v>
          </cell>
          <cell r="AG507"/>
          <cell r="AH507"/>
          <cell r="AI507" t="str">
            <v>Co</v>
          </cell>
          <cell r="AJ507" t="str">
            <v>-16.9Al</v>
          </cell>
          <cell r="AK507" t="str">
            <v>-3.2W</v>
          </cell>
          <cell r="AL507" t="str">
            <v/>
          </cell>
          <cell r="AM507" t="str">
            <v/>
          </cell>
          <cell r="AN507" t="str">
            <v/>
          </cell>
          <cell r="AO507" t="str">
            <v/>
          </cell>
          <cell r="AP507" t="str">
            <v/>
          </cell>
          <cell r="AQ507" t="str">
            <v>-11.7Ti</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cell r="BD507" t="str">
            <v/>
          </cell>
          <cell r="BE507" t="str">
            <v/>
          </cell>
          <cell r="BF507" t="str">
            <v/>
          </cell>
          <cell r="BG507" t="str">
            <v/>
          </cell>
          <cell r="BH507" t="str">
            <v>10TiTMS. 2016_Book_TMS2014143rdAnnualMeetingExhib: THE ROLE OF Ti ON REDUCING THE MISFIT OF A Co-AI-W ALLOY. (2014).</v>
          </cell>
          <cell r="BI507" t="str">
            <v>Co-16.9Al-3.2W-11.7Ti</v>
          </cell>
          <cell r="BJ507" t="str">
            <v>68.3Co-16.9Al-3.2W-11.7Ti</v>
          </cell>
        </row>
        <row r="508">
          <cell r="A508" t="str">
            <v>Co-16.9Al-3.2W-9.4Ti</v>
          </cell>
          <cell r="B508" t="str">
            <v>Co3Ti</v>
          </cell>
          <cell r="C508" t="str">
            <v>-17Al-3W-9Ti</v>
          </cell>
          <cell r="D508" t="str">
            <v>8Ti</v>
          </cell>
          <cell r="E508" t="str">
            <v>TMS. 2016_Book_TMS2014143rdAnnualMeetingExhib: THE ROLE OF Ti ON REDUCING THE MISFIT OF A Co-AI-W ALLOY. (2014).</v>
          </cell>
          <cell r="F508">
            <v>536</v>
          </cell>
          <cell r="G508">
            <v>70.47999999999999</v>
          </cell>
          <cell r="H508"/>
          <cell r="I508">
            <v>16.940000000000001</v>
          </cell>
          <cell r="J508"/>
          <cell r="K508">
            <v>3.16</v>
          </cell>
          <cell r="L508">
            <v>9.42</v>
          </cell>
          <cell r="M508"/>
          <cell r="N508"/>
          <cell r="O508"/>
          <cell r="P508"/>
          <cell r="Q508"/>
          <cell r="R508"/>
          <cell r="S508"/>
          <cell r="T508"/>
          <cell r="U508"/>
          <cell r="V508"/>
          <cell r="W508"/>
          <cell r="X508"/>
          <cell r="Y508"/>
          <cell r="Z508"/>
          <cell r="AA508"/>
          <cell r="AB508"/>
          <cell r="AC508"/>
          <cell r="AD508"/>
          <cell r="AE508"/>
          <cell r="AF508">
            <v>7.7629593999999997</v>
          </cell>
          <cell r="AG508"/>
          <cell r="AH508"/>
          <cell r="AI508" t="str">
            <v>Co</v>
          </cell>
          <cell r="AJ508" t="str">
            <v>-16.9Al</v>
          </cell>
          <cell r="AK508" t="str">
            <v>-3.2W</v>
          </cell>
          <cell r="AL508" t="str">
            <v/>
          </cell>
          <cell r="AM508" t="str">
            <v/>
          </cell>
          <cell r="AN508" t="str">
            <v/>
          </cell>
          <cell r="AO508" t="str">
            <v/>
          </cell>
          <cell r="AP508" t="str">
            <v/>
          </cell>
          <cell r="AQ508" t="str">
            <v>-9.4Ti</v>
          </cell>
          <cell r="AR508" t="str">
            <v/>
          </cell>
          <cell r="AS508" t="str">
            <v/>
          </cell>
          <cell r="AT508" t="str">
            <v/>
          </cell>
          <cell r="AU508" t="str">
            <v/>
          </cell>
          <cell r="AV508" t="str">
            <v/>
          </cell>
          <cell r="AW508" t="str">
            <v/>
          </cell>
          <cell r="AX508" t="str">
            <v/>
          </cell>
          <cell r="AY508" t="str">
            <v/>
          </cell>
          <cell r="AZ508" t="str">
            <v/>
          </cell>
          <cell r="BA508" t="str">
            <v/>
          </cell>
          <cell r="BB508" t="str">
            <v/>
          </cell>
          <cell r="BC508" t="str">
            <v/>
          </cell>
          <cell r="BD508" t="str">
            <v/>
          </cell>
          <cell r="BE508" t="str">
            <v/>
          </cell>
          <cell r="BF508" t="str">
            <v/>
          </cell>
          <cell r="BG508" t="str">
            <v/>
          </cell>
          <cell r="BH508" t="str">
            <v>8TiTMS. 2016_Book_TMS2014143rdAnnualMeetingExhib: THE ROLE OF Ti ON REDUCING THE MISFIT OF A Co-AI-W ALLOY. (2014).</v>
          </cell>
          <cell r="BI508" t="str">
            <v>Co-16.9Al-3.2W-9.4Ti</v>
          </cell>
          <cell r="BJ508" t="str">
            <v>70.5Co-16.9Al-3.2W-9.4Ti</v>
          </cell>
        </row>
        <row r="509">
          <cell r="A509" t="str">
            <v>Co-17.Al-3.2W-7.1Ti</v>
          </cell>
          <cell r="B509" t="str">
            <v>Co3Ti</v>
          </cell>
          <cell r="C509" t="str">
            <v>-17Al-3W-7Ti</v>
          </cell>
          <cell r="D509" t="str">
            <v>6Tii</v>
          </cell>
          <cell r="E509" t="str">
            <v>TMS. 2016_Book_TMS2014143rdAnnualMeetingExhib: THE ROLE OF Ti ON REDUCING THE MISFIT OF A Co-AI-W ALLOY. (2014).</v>
          </cell>
          <cell r="F509">
            <v>537</v>
          </cell>
          <cell r="G509">
            <v>72.710000000000008</v>
          </cell>
          <cell r="H509"/>
          <cell r="I509">
            <v>17.02</v>
          </cell>
          <cell r="J509"/>
          <cell r="K509">
            <v>3.18</v>
          </cell>
          <cell r="L509">
            <v>7.09</v>
          </cell>
          <cell r="M509"/>
          <cell r="N509"/>
          <cell r="O509"/>
          <cell r="P509"/>
          <cell r="Q509"/>
          <cell r="R509"/>
          <cell r="S509"/>
          <cell r="T509"/>
          <cell r="U509"/>
          <cell r="V509"/>
          <cell r="W509"/>
          <cell r="X509"/>
          <cell r="Y509"/>
          <cell r="Z509"/>
          <cell r="AA509"/>
          <cell r="AB509"/>
          <cell r="AC509"/>
          <cell r="AD509"/>
          <cell r="AE509"/>
          <cell r="AF509">
            <v>7.862426300000001</v>
          </cell>
          <cell r="AG509"/>
          <cell r="AH509"/>
          <cell r="AI509" t="str">
            <v>Co</v>
          </cell>
          <cell r="AJ509" t="str">
            <v>-17.Al</v>
          </cell>
          <cell r="AK509" t="str">
            <v>-3.2W</v>
          </cell>
          <cell r="AL509" t="str">
            <v/>
          </cell>
          <cell r="AM509" t="str">
            <v/>
          </cell>
          <cell r="AN509" t="str">
            <v/>
          </cell>
          <cell r="AO509" t="str">
            <v/>
          </cell>
          <cell r="AP509" t="str">
            <v/>
          </cell>
          <cell r="AQ509" t="str">
            <v>-7.1Ti</v>
          </cell>
          <cell r="AR509" t="str">
            <v/>
          </cell>
          <cell r="AS509" t="str">
            <v/>
          </cell>
          <cell r="AT509" t="str">
            <v/>
          </cell>
          <cell r="AU509" t="str">
            <v/>
          </cell>
          <cell r="AV509" t="str">
            <v/>
          </cell>
          <cell r="AW509" t="str">
            <v/>
          </cell>
          <cell r="AX509" t="str">
            <v/>
          </cell>
          <cell r="AY509" t="str">
            <v/>
          </cell>
          <cell r="AZ509" t="str">
            <v/>
          </cell>
          <cell r="BA509" t="str">
            <v/>
          </cell>
          <cell r="BB509" t="str">
            <v/>
          </cell>
          <cell r="BC509" t="str">
            <v/>
          </cell>
          <cell r="BD509" t="str">
            <v/>
          </cell>
          <cell r="BE509" t="str">
            <v/>
          </cell>
          <cell r="BF509" t="str">
            <v/>
          </cell>
          <cell r="BG509" t="str">
            <v/>
          </cell>
          <cell r="BH509" t="str">
            <v>6TiiTMS. 2016_Book_TMS2014143rdAnnualMeetingExhib: THE ROLE OF Ti ON REDUCING THE MISFIT OF A Co-AI-W ALLOY. (2014).</v>
          </cell>
          <cell r="BI509" t="str">
            <v>Co-17.Al-3.2W-7.1Ti</v>
          </cell>
          <cell r="BJ509" t="str">
            <v>72.7Co-17.0Al-3.2W-7.1Ti</v>
          </cell>
        </row>
        <row r="510">
          <cell r="A510" t="str">
            <v>Co-17.1Al-3.2W-3.6Ti</v>
          </cell>
          <cell r="B510" t="str">
            <v>Co3Ti</v>
          </cell>
          <cell r="C510" t="str">
            <v>-17Al-3W-4Ti</v>
          </cell>
          <cell r="D510" t="str">
            <v>3Ti</v>
          </cell>
          <cell r="E510" t="str">
            <v>TMS. 2016_Book_TMS2014143rdAnnualMeetingExhib: THE ROLE OF Ti ON REDUCING THE MISFIT OF A Co-AI-W ALLOY. (2014).</v>
          </cell>
          <cell r="F510">
            <v>538</v>
          </cell>
          <cell r="G510">
            <v>76.099999999999994</v>
          </cell>
          <cell r="H510"/>
          <cell r="I510">
            <v>17.13</v>
          </cell>
          <cell r="J510"/>
          <cell r="K510">
            <v>3.2</v>
          </cell>
          <cell r="L510">
            <v>3.57</v>
          </cell>
          <cell r="M510"/>
          <cell r="N510"/>
          <cell r="O510"/>
          <cell r="P510"/>
          <cell r="Q510"/>
          <cell r="R510"/>
          <cell r="S510"/>
          <cell r="T510"/>
          <cell r="U510"/>
          <cell r="V510"/>
          <cell r="W510"/>
          <cell r="X510"/>
          <cell r="Y510"/>
          <cell r="Z510"/>
          <cell r="AA510"/>
          <cell r="AB510"/>
          <cell r="AC510"/>
          <cell r="AD510"/>
          <cell r="AE510"/>
          <cell r="AF510">
            <v>8.0123098999999982</v>
          </cell>
          <cell r="AG510"/>
          <cell r="AH510"/>
          <cell r="AI510" t="str">
            <v>Co</v>
          </cell>
          <cell r="AJ510" t="str">
            <v>-17.1Al</v>
          </cell>
          <cell r="AK510" t="str">
            <v>-3.2W</v>
          </cell>
          <cell r="AL510" t="str">
            <v/>
          </cell>
          <cell r="AM510" t="str">
            <v/>
          </cell>
          <cell r="AN510" t="str">
            <v/>
          </cell>
          <cell r="AO510" t="str">
            <v/>
          </cell>
          <cell r="AP510" t="str">
            <v/>
          </cell>
          <cell r="AQ510" t="str">
            <v>-3.6Ti</v>
          </cell>
          <cell r="AR510" t="str">
            <v/>
          </cell>
          <cell r="AS510" t="str">
            <v/>
          </cell>
          <cell r="AT510" t="str">
            <v/>
          </cell>
          <cell r="AU510" t="str">
            <v/>
          </cell>
          <cell r="AV510" t="str">
            <v/>
          </cell>
          <cell r="AW510" t="str">
            <v/>
          </cell>
          <cell r="AX510" t="str">
            <v/>
          </cell>
          <cell r="AY510" t="str">
            <v/>
          </cell>
          <cell r="AZ510" t="str">
            <v/>
          </cell>
          <cell r="BA510" t="str">
            <v/>
          </cell>
          <cell r="BB510" t="str">
            <v/>
          </cell>
          <cell r="BC510" t="str">
            <v/>
          </cell>
          <cell r="BD510" t="str">
            <v/>
          </cell>
          <cell r="BE510" t="str">
            <v/>
          </cell>
          <cell r="BF510" t="str">
            <v/>
          </cell>
          <cell r="BG510" t="str">
            <v/>
          </cell>
          <cell r="BH510" t="str">
            <v>3TiTMS. 2016_Book_TMS2014143rdAnnualMeetingExhib: THE ROLE OF Ti ON REDUCING THE MISFIT OF A Co-AI-W ALLOY. (2014).</v>
          </cell>
          <cell r="BI510" t="str">
            <v>Co-17.1Al-3.2W-3.6Ti</v>
          </cell>
          <cell r="BJ510" t="str">
            <v>76.1Co-17.1Al-3.2W-3.6Ti</v>
          </cell>
        </row>
        <row r="511">
          <cell r="A511" t="str">
            <v>Co-17.2Al-3.2W-1.2Ti</v>
          </cell>
          <cell r="B511" t="str">
            <v>CoAlW-X</v>
          </cell>
          <cell r="C511" t="str">
            <v>-17Al-3W-1Ti</v>
          </cell>
          <cell r="D511" t="str">
            <v>1Ti</v>
          </cell>
          <cell r="E511" t="str">
            <v>TMS. 2016_Book_TMS2014143rdAnnualMeetingExhib: THE ROLE OF Ti ON REDUCING THE MISFIT OF A Co-AI-W ALLOY. (2014).</v>
          </cell>
          <cell r="F511">
            <v>539</v>
          </cell>
          <cell r="G511">
            <v>78.39</v>
          </cell>
          <cell r="H511"/>
          <cell r="I511">
            <v>17.2</v>
          </cell>
          <cell r="J511"/>
          <cell r="K511">
            <v>3.21</v>
          </cell>
          <cell r="L511">
            <v>1.2</v>
          </cell>
          <cell r="M511"/>
          <cell r="N511"/>
          <cell r="O511"/>
          <cell r="P511"/>
          <cell r="Q511"/>
          <cell r="R511"/>
          <cell r="S511"/>
          <cell r="T511"/>
          <cell r="U511"/>
          <cell r="V511"/>
          <cell r="W511"/>
          <cell r="X511"/>
          <cell r="Y511"/>
          <cell r="Z511"/>
          <cell r="AA511"/>
          <cell r="AB511"/>
          <cell r="AC511"/>
          <cell r="AD511"/>
          <cell r="AE511"/>
          <cell r="AF511">
            <v>8.1131190000000011</v>
          </cell>
          <cell r="AG511"/>
          <cell r="AH511"/>
          <cell r="AI511" t="str">
            <v>Co</v>
          </cell>
          <cell r="AJ511" t="str">
            <v>-17.2Al</v>
          </cell>
          <cell r="AK511" t="str">
            <v>-3.2W</v>
          </cell>
          <cell r="AL511" t="str">
            <v/>
          </cell>
          <cell r="AM511" t="str">
            <v/>
          </cell>
          <cell r="AN511" t="str">
            <v/>
          </cell>
          <cell r="AO511" t="str">
            <v/>
          </cell>
          <cell r="AP511" t="str">
            <v/>
          </cell>
          <cell r="AQ511" t="str">
            <v>-1.2Ti</v>
          </cell>
          <cell r="AR511" t="str">
            <v/>
          </cell>
          <cell r="AS511" t="str">
            <v/>
          </cell>
          <cell r="AT511" t="str">
            <v/>
          </cell>
          <cell r="AU511" t="str">
            <v/>
          </cell>
          <cell r="AV511" t="str">
            <v/>
          </cell>
          <cell r="AW511" t="str">
            <v/>
          </cell>
          <cell r="AX511" t="str">
            <v/>
          </cell>
          <cell r="AY511" t="str">
            <v/>
          </cell>
          <cell r="AZ511" t="str">
            <v/>
          </cell>
          <cell r="BA511" t="str">
            <v/>
          </cell>
          <cell r="BB511" t="str">
            <v/>
          </cell>
          <cell r="BC511" t="str">
            <v/>
          </cell>
          <cell r="BD511" t="str">
            <v/>
          </cell>
          <cell r="BE511" t="str">
            <v/>
          </cell>
          <cell r="BF511" t="str">
            <v/>
          </cell>
          <cell r="BG511" t="str">
            <v/>
          </cell>
          <cell r="BH511" t="str">
            <v>1TiTMS. 2016_Book_TMS2014143rdAnnualMeetingExhib: THE ROLE OF Ti ON REDUCING THE MISFIT OF A Co-AI-W ALLOY. (2014).</v>
          </cell>
          <cell r="BI511" t="str">
            <v>Co-17.2Al-3.2W-1.2Ti</v>
          </cell>
          <cell r="BJ511" t="str">
            <v>78.4Co-17.2Al-3.2W-1.2Ti</v>
          </cell>
        </row>
        <row r="512">
          <cell r="A512" t="str">
            <v>Co-17.3Al-3.2W</v>
          </cell>
          <cell r="B512" t="str">
            <v>CoAlW-X</v>
          </cell>
          <cell r="C512" t="str">
            <v>-17Al-3W</v>
          </cell>
          <cell r="D512" t="str">
            <v>0Ti</v>
          </cell>
          <cell r="E512" t="str">
            <v>TMS. 2016_Book_TMS2014143rdAnnualMeetingExhib: THE ROLE OF Ti ON REDUCING THE MISFIT OF A Co-AI-W ALLOY. (2014).</v>
          </cell>
          <cell r="F512">
            <v>540</v>
          </cell>
          <cell r="G512">
            <v>79.53</v>
          </cell>
          <cell r="H512"/>
          <cell r="I512">
            <v>17.25</v>
          </cell>
          <cell r="J512"/>
          <cell r="K512">
            <v>3.22</v>
          </cell>
          <cell r="L512"/>
          <cell r="M512"/>
          <cell r="N512"/>
          <cell r="O512"/>
          <cell r="P512"/>
          <cell r="Q512"/>
          <cell r="R512"/>
          <cell r="S512"/>
          <cell r="T512"/>
          <cell r="U512"/>
          <cell r="V512"/>
          <cell r="W512"/>
          <cell r="X512"/>
          <cell r="Y512"/>
          <cell r="Z512"/>
          <cell r="AA512"/>
          <cell r="AB512"/>
          <cell r="AC512"/>
          <cell r="AD512"/>
          <cell r="AE512"/>
          <cell r="AF512">
            <v>8.1637700000000013</v>
          </cell>
          <cell r="AG512"/>
          <cell r="AH512"/>
          <cell r="AI512" t="str">
            <v>Co</v>
          </cell>
          <cell r="AJ512" t="str">
            <v>-17.3Al</v>
          </cell>
          <cell r="AK512" t="str">
            <v>-3.2W</v>
          </cell>
          <cell r="AL512" t="str">
            <v/>
          </cell>
          <cell r="AM512" t="str">
            <v/>
          </cell>
          <cell r="AN512" t="str">
            <v/>
          </cell>
          <cell r="AO512" t="str">
            <v/>
          </cell>
          <cell r="AP512" t="str">
            <v/>
          </cell>
          <cell r="AQ512" t="str">
            <v/>
          </cell>
          <cell r="AR512" t="str">
            <v/>
          </cell>
          <cell r="AS512" t="str">
            <v/>
          </cell>
          <cell r="AT512" t="str">
            <v/>
          </cell>
          <cell r="AU512" t="str">
            <v/>
          </cell>
          <cell r="AV512" t="str">
            <v/>
          </cell>
          <cell r="AW512" t="str">
            <v/>
          </cell>
          <cell r="AX512" t="str">
            <v/>
          </cell>
          <cell r="AY512" t="str">
            <v/>
          </cell>
          <cell r="AZ512" t="str">
            <v/>
          </cell>
          <cell r="BA512" t="str">
            <v/>
          </cell>
          <cell r="BB512" t="str">
            <v/>
          </cell>
          <cell r="BC512" t="str">
            <v/>
          </cell>
          <cell r="BD512" t="str">
            <v/>
          </cell>
          <cell r="BE512" t="str">
            <v/>
          </cell>
          <cell r="BF512" t="str">
            <v/>
          </cell>
          <cell r="BG512" t="str">
            <v/>
          </cell>
          <cell r="BH512" t="str">
            <v>0TiTMS. 2016_Book_TMS2014143rdAnnualMeetingExhib: THE ROLE OF Ti ON REDUCING THE MISFIT OF A Co-AI-W ALLOY. (2014).</v>
          </cell>
          <cell r="BI512" t="str">
            <v>Co-17.3Al-3.2W</v>
          </cell>
          <cell r="BJ512" t="str">
            <v>79.5Co-17.3Al-3.2W</v>
          </cell>
        </row>
        <row r="513">
          <cell r="A513" t="str">
            <v>Co-8.5Al-2.Nb-4.6Mo</v>
          </cell>
          <cell r="B513" t="str">
            <v>W-free</v>
          </cell>
          <cell r="C513" t="str">
            <v>-9Al-2Nb-5Mo</v>
          </cell>
          <cell r="D513" t="str">
            <v>Co-10Al-5Mo-2Nb</v>
          </cell>
          <cell r="E513" t="str">
            <v>Tomaszewska, A., Mikuszewski, T., Moskal, G. &amp; Migas, D. Primary microstructure, microsegregation and precipitates characterization of an as-cast new type γ-γ′ Co-Al-Mo-Nb cobalt-based superalloy. J. Alloys Compd. 750, 741–749 (2018).</v>
          </cell>
          <cell r="F513">
            <v>541</v>
          </cell>
          <cell r="G513">
            <v>84.9</v>
          </cell>
          <cell r="H513"/>
          <cell r="I513">
            <v>8.5</v>
          </cell>
          <cell r="J513"/>
          <cell r="K513"/>
          <cell r="L513"/>
          <cell r="M513"/>
          <cell r="N513">
            <v>2</v>
          </cell>
          <cell r="O513"/>
          <cell r="P513">
            <v>4.5999999999999996</v>
          </cell>
          <cell r="Q513"/>
          <cell r="R513"/>
          <cell r="S513"/>
          <cell r="T513"/>
          <cell r="U513"/>
          <cell r="V513"/>
          <cell r="W513"/>
          <cell r="X513"/>
          <cell r="Y513"/>
          <cell r="Z513"/>
          <cell r="AA513"/>
          <cell r="AB513"/>
          <cell r="AC513"/>
          <cell r="AD513"/>
          <cell r="AE513"/>
          <cell r="AF513">
            <v>8.4298800000000025</v>
          </cell>
          <cell r="AG513"/>
          <cell r="AH513"/>
          <cell r="AI513" t="str">
            <v>Co</v>
          </cell>
          <cell r="AJ513" t="str">
            <v>-8.5Al</v>
          </cell>
          <cell r="AK513" t="str">
            <v/>
          </cell>
          <cell r="AL513" t="str">
            <v/>
          </cell>
          <cell r="AM513" t="str">
            <v/>
          </cell>
          <cell r="AN513" t="str">
            <v/>
          </cell>
          <cell r="AO513" t="str">
            <v>-2.Nb</v>
          </cell>
          <cell r="AP513" t="str">
            <v/>
          </cell>
          <cell r="AQ513" t="str">
            <v/>
          </cell>
          <cell r="AR513" t="str">
            <v>-4.6Mo</v>
          </cell>
          <cell r="AS513" t="str">
            <v/>
          </cell>
          <cell r="AT513" t="str">
            <v/>
          </cell>
          <cell r="AU513" t="str">
            <v/>
          </cell>
          <cell r="AV513" t="str">
            <v/>
          </cell>
          <cell r="AW513" t="str">
            <v/>
          </cell>
          <cell r="AX513" t="str">
            <v/>
          </cell>
          <cell r="AY513" t="str">
            <v/>
          </cell>
          <cell r="AZ513" t="str">
            <v/>
          </cell>
          <cell r="BA513" t="str">
            <v/>
          </cell>
          <cell r="BB513" t="str">
            <v/>
          </cell>
          <cell r="BC513" t="str">
            <v/>
          </cell>
          <cell r="BD513" t="str">
            <v/>
          </cell>
          <cell r="BE513" t="str">
            <v/>
          </cell>
          <cell r="BF513" t="str">
            <v/>
          </cell>
          <cell r="BG513" t="str">
            <v/>
          </cell>
          <cell r="BH513" t="str">
            <v>Co-10Al-5Mo-2NbTomaszewska, A., Mikuszewski, T., Moskal, G. &amp; Migas, D. Primary microstructure, microsegregation and precipitates characterization of an as-cast new type γ-γ′ Co-Al-Mo-Nb cobalt-based superalloy. J. Alloys Compd. 750, 741–749 (2018).</v>
          </cell>
          <cell r="BI513" t="str">
            <v>Co-8.5Al-2.Nb-4.6Mo</v>
          </cell>
          <cell r="BJ513" t="str">
            <v>84.9Co-8.5Al-2.0Nb-4.6Mo</v>
          </cell>
        </row>
        <row r="514">
          <cell r="A514" t="str">
            <v>Co-9.1Al-9.2W</v>
          </cell>
          <cell r="B514" t="str">
            <v>CoAlWX+</v>
          </cell>
          <cell r="C514" t="str">
            <v>-9Al-9W</v>
          </cell>
          <cell r="D514" t="str">
            <v>Co-9Al-9W</v>
          </cell>
          <cell r="E514" t="str">
            <v>Tomaszewska, A., Moskal, G., Migas, D., Mikuśkiewicz, M. &amp; Maciąg, T. Thermal parameters determination of Co–Al–W as-cast alloy homogenization by DTA analysis. J. Therm. Anal. Calorim. 134, 157–164 (2018).</v>
          </cell>
          <cell r="F514">
            <v>542</v>
          </cell>
          <cell r="G514">
            <v>81.7</v>
          </cell>
          <cell r="H514"/>
          <cell r="I514">
            <v>9.1</v>
          </cell>
          <cell r="J514"/>
          <cell r="K514">
            <v>9.1999999999999993</v>
          </cell>
          <cell r="L514"/>
          <cell r="M514"/>
          <cell r="N514"/>
          <cell r="O514"/>
          <cell r="P514"/>
          <cell r="Q514"/>
          <cell r="R514"/>
          <cell r="S514"/>
          <cell r="T514"/>
          <cell r="U514"/>
          <cell r="V514"/>
          <cell r="W514"/>
          <cell r="X514"/>
          <cell r="Y514"/>
          <cell r="Z514"/>
          <cell r="AA514"/>
          <cell r="AB514"/>
          <cell r="AC514"/>
          <cell r="AD514"/>
          <cell r="AE514"/>
          <cell r="AF514">
            <v>9.288000000000002</v>
          </cell>
          <cell r="AG514"/>
          <cell r="AH514"/>
          <cell r="AI514" t="str">
            <v>Co</v>
          </cell>
          <cell r="AJ514" t="str">
            <v>-9.1Al</v>
          </cell>
          <cell r="AK514" t="str">
            <v>-9.2W</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
          </cell>
          <cell r="BB514" t="str">
            <v/>
          </cell>
          <cell r="BC514" t="str">
            <v/>
          </cell>
          <cell r="BD514" t="str">
            <v/>
          </cell>
          <cell r="BE514" t="str">
            <v/>
          </cell>
          <cell r="BF514" t="str">
            <v/>
          </cell>
          <cell r="BG514" t="str">
            <v/>
          </cell>
          <cell r="BH514" t="str">
            <v>Co-9Al-9WTomaszewska, A., Moskal, G., Migas, D., Mikuśkiewicz, M. &amp; Maciąg, T. Thermal parameters determination of Co–Al–W as-cast alloy homogenization by DTA analysis. J. Therm. Anal. Calorim. 134, 157–164 (2018).</v>
          </cell>
          <cell r="BI514" t="str">
            <v>Co-9.1Al-9.2W</v>
          </cell>
          <cell r="BJ514" t="str">
            <v>81.7Co-9.1Al-9.2W</v>
          </cell>
        </row>
        <row r="515">
          <cell r="A515" t="str">
            <v>Co-6.Ti</v>
          </cell>
          <cell r="B515" t="str">
            <v>Co3Ti</v>
          </cell>
          <cell r="C515" t="str">
            <v>-6Ti</v>
          </cell>
          <cell r="D515" t="str">
            <v>Co-6Ti</v>
          </cell>
          <cell r="E515" t="str">
            <v>ur Rehman, H. &amp; Rehman, H. Solid solution strengthening and diffusion in nickel- and cobalt-based superalloys. (2016).</v>
          </cell>
          <cell r="F515">
            <v>546</v>
          </cell>
          <cell r="G515">
            <v>94</v>
          </cell>
          <cell r="H515"/>
          <cell r="I515"/>
          <cell r="J515"/>
          <cell r="K515"/>
          <cell r="L515">
            <v>6</v>
          </cell>
          <cell r="M515"/>
          <cell r="N515"/>
          <cell r="O515"/>
          <cell r="P515"/>
          <cell r="Q515"/>
          <cell r="R515"/>
          <cell r="S515"/>
          <cell r="T515"/>
          <cell r="U515"/>
          <cell r="V515"/>
          <cell r="W515"/>
          <cell r="X515"/>
          <cell r="Y515"/>
          <cell r="Z515"/>
          <cell r="AA515"/>
          <cell r="AB515"/>
          <cell r="AC515"/>
          <cell r="AD515"/>
          <cell r="AE515"/>
          <cell r="AF515">
            <v>8.6364200000000011</v>
          </cell>
          <cell r="AG515"/>
          <cell r="AH515" t="str">
            <v>diffusion couple</v>
          </cell>
          <cell r="AI515" t="str">
            <v>Co</v>
          </cell>
          <cell r="AJ515" t="str">
            <v/>
          </cell>
          <cell r="AK515" t="str">
            <v/>
          </cell>
          <cell r="AL515" t="str">
            <v/>
          </cell>
          <cell r="AM515" t="str">
            <v/>
          </cell>
          <cell r="AN515" t="str">
            <v/>
          </cell>
          <cell r="AO515" t="str">
            <v/>
          </cell>
          <cell r="AP515" t="str">
            <v/>
          </cell>
          <cell r="AQ515" t="str">
            <v>-6.Ti</v>
          </cell>
          <cell r="AR515" t="str">
            <v/>
          </cell>
          <cell r="AS515" t="str">
            <v/>
          </cell>
          <cell r="AT515" t="str">
            <v/>
          </cell>
          <cell r="AU515" t="str">
            <v/>
          </cell>
          <cell r="AV515" t="str">
            <v/>
          </cell>
          <cell r="AW515" t="str">
            <v/>
          </cell>
          <cell r="AX515" t="str">
            <v/>
          </cell>
          <cell r="AY515" t="str">
            <v/>
          </cell>
          <cell r="AZ515" t="str">
            <v/>
          </cell>
          <cell r="BA515" t="str">
            <v/>
          </cell>
          <cell r="BB515" t="str">
            <v/>
          </cell>
          <cell r="BC515" t="str">
            <v/>
          </cell>
          <cell r="BD515" t="str">
            <v/>
          </cell>
          <cell r="BE515" t="str">
            <v/>
          </cell>
          <cell r="BF515" t="str">
            <v/>
          </cell>
          <cell r="BG515" t="str">
            <v/>
          </cell>
          <cell r="BH515" t="str">
            <v>Co-6Tiur Rehman, H. &amp; Rehman, H. Solid solution strengthening and diffusion in nickel- and cobalt-based superalloys. (2016).</v>
          </cell>
          <cell r="BI515" t="str">
            <v>Co-6.Ti</v>
          </cell>
          <cell r="BJ515" t="str">
            <v>94.0Co-6.0Ti</v>
          </cell>
        </row>
        <row r="516">
          <cell r="A516" t="str">
            <v>Co-6.Al</v>
          </cell>
          <cell r="B516" t="str">
            <v>W-free</v>
          </cell>
          <cell r="C516" t="str">
            <v>-6Al</v>
          </cell>
          <cell r="D516" t="str">
            <v>Co-6Al</v>
          </cell>
          <cell r="E516" t="str">
            <v>ur Rehman, H. &amp; Rehman, H. Solid solution strengthening and diffusion in nickel- and cobalt-based superalloys. (2016).</v>
          </cell>
          <cell r="F516">
            <v>547</v>
          </cell>
          <cell r="G516">
            <v>94</v>
          </cell>
          <cell r="H516"/>
          <cell r="I516">
            <v>6</v>
          </cell>
          <cell r="J516"/>
          <cell r="K516"/>
          <cell r="L516"/>
          <cell r="M516"/>
          <cell r="N516"/>
          <cell r="O516"/>
          <cell r="P516"/>
          <cell r="Q516"/>
          <cell r="R516"/>
          <cell r="S516"/>
          <cell r="T516"/>
          <cell r="U516"/>
          <cell r="V516"/>
          <cell r="W516"/>
          <cell r="X516"/>
          <cell r="Y516"/>
          <cell r="Z516"/>
          <cell r="AA516"/>
          <cell r="AB516"/>
          <cell r="AC516"/>
          <cell r="AD516"/>
          <cell r="AE516"/>
          <cell r="AF516">
            <v>8.5280000000000005</v>
          </cell>
          <cell r="AG516"/>
          <cell r="AH516" t="str">
            <v>diffusion couple</v>
          </cell>
          <cell r="AI516" t="str">
            <v>Co</v>
          </cell>
          <cell r="AJ516" t="str">
            <v>-6.Al</v>
          </cell>
          <cell r="AK516" t="str">
            <v/>
          </cell>
          <cell r="AL516" t="str">
            <v/>
          </cell>
          <cell r="AM516" t="str">
            <v/>
          </cell>
          <cell r="AN516" t="str">
            <v/>
          </cell>
          <cell r="AO516" t="str">
            <v/>
          </cell>
          <cell r="AP516" t="str">
            <v/>
          </cell>
          <cell r="AQ516" t="str">
            <v/>
          </cell>
          <cell r="AR516" t="str">
            <v/>
          </cell>
          <cell r="AS516" t="str">
            <v/>
          </cell>
          <cell r="AT516" t="str">
            <v/>
          </cell>
          <cell r="AU516" t="str">
            <v/>
          </cell>
          <cell r="AV516" t="str">
            <v/>
          </cell>
          <cell r="AW516" t="str">
            <v/>
          </cell>
          <cell r="AX516" t="str">
            <v/>
          </cell>
          <cell r="AY516" t="str">
            <v/>
          </cell>
          <cell r="AZ516" t="str">
            <v/>
          </cell>
          <cell r="BA516" t="str">
            <v/>
          </cell>
          <cell r="BB516" t="str">
            <v/>
          </cell>
          <cell r="BC516" t="str">
            <v/>
          </cell>
          <cell r="BD516" t="str">
            <v/>
          </cell>
          <cell r="BE516" t="str">
            <v/>
          </cell>
          <cell r="BF516" t="str">
            <v/>
          </cell>
          <cell r="BG516" t="str">
            <v/>
          </cell>
          <cell r="BH516" t="str">
            <v>Co-6Alur Rehman, H. &amp; Rehman, H. Solid solution strengthening and diffusion in nickel- and cobalt-based superalloys. (2016).</v>
          </cell>
          <cell r="BI516" t="str">
            <v>Co-6.Al</v>
          </cell>
          <cell r="BJ516" t="str">
            <v>94.0Co-6.0Al</v>
          </cell>
        </row>
        <row r="517">
          <cell r="A517" t="str">
            <v>Co-6.V</v>
          </cell>
          <cell r="B517" t="str">
            <v>W-free</v>
          </cell>
          <cell r="C517" t="str">
            <v>-6V</v>
          </cell>
          <cell r="D517" t="str">
            <v>Co-6V</v>
          </cell>
          <cell r="E517" t="str">
            <v>ur Rehman, H. &amp; Rehman, H. Solid solution strengthening and diffusion in nickel- and cobalt-based superalloys. (2016).</v>
          </cell>
          <cell r="F517">
            <v>548</v>
          </cell>
          <cell r="G517">
            <v>94</v>
          </cell>
          <cell r="H517"/>
          <cell r="I517"/>
          <cell r="J517"/>
          <cell r="K517"/>
          <cell r="L517"/>
          <cell r="M517"/>
          <cell r="N517"/>
          <cell r="O517">
            <v>6</v>
          </cell>
          <cell r="P517"/>
          <cell r="Q517"/>
          <cell r="R517"/>
          <cell r="S517"/>
          <cell r="T517"/>
          <cell r="U517"/>
          <cell r="V517"/>
          <cell r="W517"/>
          <cell r="X517"/>
          <cell r="Y517"/>
          <cell r="Z517"/>
          <cell r="AA517"/>
          <cell r="AB517"/>
          <cell r="AC517"/>
          <cell r="AD517"/>
          <cell r="AE517"/>
          <cell r="AF517">
            <v>8.7325999999999997</v>
          </cell>
          <cell r="AG517"/>
          <cell r="AH517" t="str">
            <v>diffusion couple</v>
          </cell>
          <cell r="AI517" t="str">
            <v>Co</v>
          </cell>
          <cell r="AJ517" t="str">
            <v/>
          </cell>
          <cell r="AK517" t="str">
            <v/>
          </cell>
          <cell r="AL517" t="str">
            <v/>
          </cell>
          <cell r="AM517" t="str">
            <v/>
          </cell>
          <cell r="AN517" t="str">
            <v/>
          </cell>
          <cell r="AO517" t="str">
            <v/>
          </cell>
          <cell r="AP517" t="str">
            <v>-6.V</v>
          </cell>
          <cell r="AQ517" t="str">
            <v/>
          </cell>
          <cell r="AR517" t="str">
            <v/>
          </cell>
          <cell r="AS517" t="str">
            <v/>
          </cell>
          <cell r="AT517" t="str">
            <v/>
          </cell>
          <cell r="AU517" t="str">
            <v/>
          </cell>
          <cell r="AV517" t="str">
            <v/>
          </cell>
          <cell r="AW517" t="str">
            <v/>
          </cell>
          <cell r="AX517" t="str">
            <v/>
          </cell>
          <cell r="AY517" t="str">
            <v/>
          </cell>
          <cell r="AZ517" t="str">
            <v/>
          </cell>
          <cell r="BA517" t="str">
            <v/>
          </cell>
          <cell r="BB517" t="str">
            <v/>
          </cell>
          <cell r="BC517" t="str">
            <v/>
          </cell>
          <cell r="BD517" t="str">
            <v/>
          </cell>
          <cell r="BE517" t="str">
            <v/>
          </cell>
          <cell r="BF517" t="str">
            <v/>
          </cell>
          <cell r="BG517" t="str">
            <v/>
          </cell>
          <cell r="BH517" t="str">
            <v>Co-6Vur Rehman, H. &amp; Rehman, H. Solid solution strengthening and diffusion in nickel- and cobalt-based superalloys. (2016).</v>
          </cell>
          <cell r="BI517" t="str">
            <v>Co-6.V</v>
          </cell>
          <cell r="BJ517" t="str">
            <v>94.0Co-6.0V</v>
          </cell>
        </row>
        <row r="518">
          <cell r="A518" t="str">
            <v>Co-6.Cr</v>
          </cell>
          <cell r="B518" t="str">
            <v>W-free</v>
          </cell>
          <cell r="C518" t="str">
            <v>-6Cr</v>
          </cell>
          <cell r="D518" t="str">
            <v>Co-6Cr</v>
          </cell>
          <cell r="E518" t="str">
            <v>ur Rehman, H. &amp; Rehman, H. Solid solution strengthening and diffusion in nickel- and cobalt-based superalloys. (2016).</v>
          </cell>
          <cell r="F518">
            <v>549</v>
          </cell>
          <cell r="G518">
            <v>94</v>
          </cell>
          <cell r="H518"/>
          <cell r="I518"/>
          <cell r="J518">
            <v>6</v>
          </cell>
          <cell r="K518"/>
          <cell r="L518"/>
          <cell r="M518"/>
          <cell r="N518"/>
          <cell r="O518"/>
          <cell r="P518"/>
          <cell r="Q518"/>
          <cell r="R518"/>
          <cell r="S518"/>
          <cell r="T518"/>
          <cell r="U518"/>
          <cell r="V518"/>
          <cell r="W518"/>
          <cell r="X518"/>
          <cell r="Y518"/>
          <cell r="Z518"/>
          <cell r="AA518"/>
          <cell r="AB518"/>
          <cell r="AC518"/>
          <cell r="AD518"/>
          <cell r="AE518"/>
          <cell r="AF518">
            <v>8.7973999999999997</v>
          </cell>
          <cell r="AG518"/>
          <cell r="AH518" t="str">
            <v>diffusion couple</v>
          </cell>
          <cell r="AI518" t="str">
            <v>Co</v>
          </cell>
          <cell r="AJ518" t="str">
            <v/>
          </cell>
          <cell r="AK518" t="str">
            <v/>
          </cell>
          <cell r="AL518" t="str">
            <v/>
          </cell>
          <cell r="AM518" t="str">
            <v>-6.Cr</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
          </cell>
          <cell r="BB518" t="str">
            <v/>
          </cell>
          <cell r="BC518" t="str">
            <v/>
          </cell>
          <cell r="BD518" t="str">
            <v/>
          </cell>
          <cell r="BE518" t="str">
            <v/>
          </cell>
          <cell r="BF518" t="str">
            <v/>
          </cell>
          <cell r="BG518" t="str">
            <v/>
          </cell>
          <cell r="BH518" t="str">
            <v>Co-6Crur Rehman, H. &amp; Rehman, H. Solid solution strengthening and diffusion in nickel- and cobalt-based superalloys. (2016).</v>
          </cell>
          <cell r="BI518" t="str">
            <v>Co-6.Cr</v>
          </cell>
          <cell r="BJ518" t="str">
            <v>94.0Co-6.0Cr</v>
          </cell>
        </row>
        <row r="519">
          <cell r="A519" t="str">
            <v>Co-6.Mn</v>
          </cell>
          <cell r="B519" t="str">
            <v>W-free</v>
          </cell>
          <cell r="C519" t="str">
            <v>-6Mn</v>
          </cell>
          <cell r="D519" t="str">
            <v>Co-6Mn</v>
          </cell>
          <cell r="E519" t="str">
            <v>ur Rehman, H. &amp; Rehman, H. Solid solution strengthening and diffusion in nickel- and cobalt-based superalloys. (2016).</v>
          </cell>
          <cell r="F519">
            <v>550</v>
          </cell>
          <cell r="G519">
            <v>94</v>
          </cell>
          <cell r="H519"/>
          <cell r="I519"/>
          <cell r="J519"/>
          <cell r="K519"/>
          <cell r="L519"/>
          <cell r="M519"/>
          <cell r="N519"/>
          <cell r="O519"/>
          <cell r="P519"/>
          <cell r="Q519"/>
          <cell r="R519"/>
          <cell r="S519"/>
          <cell r="T519"/>
          <cell r="U519"/>
          <cell r="V519"/>
          <cell r="W519"/>
          <cell r="X519"/>
          <cell r="Y519"/>
          <cell r="Z519"/>
          <cell r="AA519">
            <v>6</v>
          </cell>
          <cell r="AB519"/>
          <cell r="AC519"/>
          <cell r="AD519"/>
          <cell r="AE519"/>
          <cell r="AF519">
            <v>8.8142000000000014</v>
          </cell>
          <cell r="AG519"/>
          <cell r="AH519" t="str">
            <v>diffusion couple</v>
          </cell>
          <cell r="AI519" t="str">
            <v>Co</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V519" t="str">
            <v/>
          </cell>
          <cell r="AW519" t="str">
            <v/>
          </cell>
          <cell r="AX519" t="str">
            <v/>
          </cell>
          <cell r="AY519" t="str">
            <v/>
          </cell>
          <cell r="AZ519" t="str">
            <v/>
          </cell>
          <cell r="BA519" t="str">
            <v/>
          </cell>
          <cell r="BB519" t="str">
            <v/>
          </cell>
          <cell r="BC519" t="str">
            <v>-6.Mn</v>
          </cell>
          <cell r="BD519" t="str">
            <v/>
          </cell>
          <cell r="BE519" t="str">
            <v/>
          </cell>
          <cell r="BF519" t="str">
            <v/>
          </cell>
          <cell r="BG519" t="str">
            <v/>
          </cell>
          <cell r="BH519" t="str">
            <v>Co-6Mnur Rehman, H. &amp; Rehman, H. Solid solution strengthening and diffusion in nickel- and cobalt-based superalloys. (2016).</v>
          </cell>
          <cell r="BI519" t="str">
            <v>Co-6.Mn</v>
          </cell>
          <cell r="BJ519" t="str">
            <v>94.0Co-6.0Mn</v>
          </cell>
        </row>
        <row r="520">
          <cell r="A520" t="str">
            <v>Co-6.Fe</v>
          </cell>
          <cell r="B520" t="str">
            <v>W-free</v>
          </cell>
          <cell r="C520" t="str">
            <v>-6Fe</v>
          </cell>
          <cell r="D520" t="str">
            <v>Co-6Fe</v>
          </cell>
          <cell r="E520" t="str">
            <v>ur Rehman, H. &amp; Rehman, H. Solid solution strengthening and diffusion in nickel- and cobalt-based superalloys. (2016).</v>
          </cell>
          <cell r="F520">
            <v>551</v>
          </cell>
          <cell r="G520">
            <v>94</v>
          </cell>
          <cell r="H520"/>
          <cell r="I520"/>
          <cell r="J520"/>
          <cell r="K520"/>
          <cell r="L520"/>
          <cell r="M520"/>
          <cell r="N520"/>
          <cell r="O520"/>
          <cell r="P520"/>
          <cell r="Q520"/>
          <cell r="R520"/>
          <cell r="S520"/>
          <cell r="T520"/>
          <cell r="U520"/>
          <cell r="V520"/>
          <cell r="W520">
            <v>6</v>
          </cell>
          <cell r="X520"/>
          <cell r="Y520"/>
          <cell r="Z520"/>
          <cell r="AA520"/>
          <cell r="AB520"/>
          <cell r="AC520"/>
          <cell r="AD520"/>
          <cell r="AE520"/>
          <cell r="AF520">
            <v>8.8384400000000003</v>
          </cell>
          <cell r="AG520"/>
          <cell r="AH520" t="str">
            <v>diffusion couple</v>
          </cell>
          <cell r="AI520" t="str">
            <v>Co</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V520" t="str">
            <v/>
          </cell>
          <cell r="AW520" t="str">
            <v/>
          </cell>
          <cell r="AX520" t="str">
            <v/>
          </cell>
          <cell r="AY520" t="str">
            <v>-6.Fe</v>
          </cell>
          <cell r="AZ520" t="str">
            <v/>
          </cell>
          <cell r="BA520" t="str">
            <v/>
          </cell>
          <cell r="BB520" t="str">
            <v/>
          </cell>
          <cell r="BC520" t="str">
            <v/>
          </cell>
          <cell r="BD520" t="str">
            <v/>
          </cell>
          <cell r="BE520" t="str">
            <v/>
          </cell>
          <cell r="BF520" t="str">
            <v/>
          </cell>
          <cell r="BG520" t="str">
            <v/>
          </cell>
          <cell r="BH520" t="str">
            <v>Co-6Feur Rehman, H. &amp; Rehman, H. Solid solution strengthening and diffusion in nickel- and cobalt-based superalloys. (2016).</v>
          </cell>
          <cell r="BI520" t="str">
            <v>Co-6.Fe</v>
          </cell>
          <cell r="BJ520" t="str">
            <v>94.0Co-6.0Fe</v>
          </cell>
        </row>
        <row r="521">
          <cell r="A521" t="str">
            <v>Co-3.Nb</v>
          </cell>
          <cell r="B521" t="str">
            <v>W-free</v>
          </cell>
          <cell r="C521" t="str">
            <v>-3Nb</v>
          </cell>
          <cell r="D521" t="str">
            <v>Co-3Nb</v>
          </cell>
          <cell r="E521" t="str">
            <v>ur Rehman, H. &amp; Rehman, H. Solid solution strengthening and diffusion in nickel- and cobalt-based superalloys. (2016).</v>
          </cell>
          <cell r="F521">
            <v>552</v>
          </cell>
          <cell r="G521">
            <v>97</v>
          </cell>
          <cell r="H521"/>
          <cell r="I521"/>
          <cell r="J521"/>
          <cell r="K521"/>
          <cell r="L521"/>
          <cell r="M521"/>
          <cell r="N521">
            <v>3</v>
          </cell>
          <cell r="O521"/>
          <cell r="P521"/>
          <cell r="Q521"/>
          <cell r="R521"/>
          <cell r="S521"/>
          <cell r="T521"/>
          <cell r="U521"/>
          <cell r="V521"/>
          <cell r="W521"/>
          <cell r="X521"/>
          <cell r="Y521"/>
          <cell r="Z521"/>
          <cell r="AA521"/>
          <cell r="AB521"/>
          <cell r="AC521"/>
          <cell r="AD521"/>
          <cell r="AE521"/>
          <cell r="AF521">
            <v>8.8901000000000003</v>
          </cell>
          <cell r="AG521"/>
          <cell r="AH521" t="str">
            <v>diffusion couple</v>
          </cell>
          <cell r="AI521" t="str">
            <v>Co</v>
          </cell>
          <cell r="AJ521" t="str">
            <v/>
          </cell>
          <cell r="AK521" t="str">
            <v/>
          </cell>
          <cell r="AL521" t="str">
            <v/>
          </cell>
          <cell r="AM521" t="str">
            <v/>
          </cell>
          <cell r="AN521" t="str">
            <v/>
          </cell>
          <cell r="AO521" t="str">
            <v>-3.Nb</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
          </cell>
          <cell r="BB521" t="str">
            <v/>
          </cell>
          <cell r="BC521" t="str">
            <v/>
          </cell>
          <cell r="BD521" t="str">
            <v/>
          </cell>
          <cell r="BE521" t="str">
            <v/>
          </cell>
          <cell r="BF521" t="str">
            <v/>
          </cell>
          <cell r="BG521" t="str">
            <v/>
          </cell>
          <cell r="BH521" t="str">
            <v>Co-3Nbur Rehman, H. &amp; Rehman, H. Solid solution strengthening and diffusion in nickel- and cobalt-based superalloys. (2016).</v>
          </cell>
          <cell r="BI521" t="str">
            <v>Co-3.Nb</v>
          </cell>
          <cell r="BJ521" t="str">
            <v>97.0Co-3.0Nb</v>
          </cell>
        </row>
        <row r="522">
          <cell r="A522" t="str">
            <v>Co-6.Mo</v>
          </cell>
          <cell r="B522" t="str">
            <v>W-free</v>
          </cell>
          <cell r="C522" t="str">
            <v>-6Mo</v>
          </cell>
          <cell r="D522" t="str">
            <v>Co-6Mo</v>
          </cell>
          <cell r="E522" t="str">
            <v>ur Rehman, H. &amp; Rehman, H. Solid solution strengthening and diffusion in nickel- and cobalt-based superalloys. (2016).</v>
          </cell>
          <cell r="F522">
            <v>553</v>
          </cell>
          <cell r="G522">
            <v>94</v>
          </cell>
          <cell r="H522"/>
          <cell r="I522"/>
          <cell r="J522"/>
          <cell r="K522"/>
          <cell r="L522"/>
          <cell r="M522"/>
          <cell r="N522"/>
          <cell r="O522"/>
          <cell r="P522">
            <v>6</v>
          </cell>
          <cell r="Q522"/>
          <cell r="R522"/>
          <cell r="S522"/>
          <cell r="T522"/>
          <cell r="U522"/>
          <cell r="V522"/>
          <cell r="W522"/>
          <cell r="X522"/>
          <cell r="Y522"/>
          <cell r="Z522"/>
          <cell r="AA522"/>
          <cell r="AB522"/>
          <cell r="AC522"/>
          <cell r="AD522"/>
          <cell r="AE522"/>
          <cell r="AF522">
            <v>8.9827999999999992</v>
          </cell>
          <cell r="AG522"/>
          <cell r="AH522" t="str">
            <v>diffusion couple</v>
          </cell>
          <cell r="AI522" t="str">
            <v>Co</v>
          </cell>
          <cell r="AJ522" t="str">
            <v/>
          </cell>
          <cell r="AK522" t="str">
            <v/>
          </cell>
          <cell r="AL522" t="str">
            <v/>
          </cell>
          <cell r="AM522" t="str">
            <v/>
          </cell>
          <cell r="AN522" t="str">
            <v/>
          </cell>
          <cell r="AO522" t="str">
            <v/>
          </cell>
          <cell r="AP522" t="str">
            <v/>
          </cell>
          <cell r="AQ522" t="str">
            <v/>
          </cell>
          <cell r="AR522" t="str">
            <v>-6.Mo</v>
          </cell>
          <cell r="AS522" t="str">
            <v/>
          </cell>
          <cell r="AT522" t="str">
            <v/>
          </cell>
          <cell r="AU522" t="str">
            <v/>
          </cell>
          <cell r="AV522" t="str">
            <v/>
          </cell>
          <cell r="AW522" t="str">
            <v/>
          </cell>
          <cell r="AX522" t="str">
            <v/>
          </cell>
          <cell r="AY522" t="str">
            <v/>
          </cell>
          <cell r="AZ522" t="str">
            <v/>
          </cell>
          <cell r="BA522" t="str">
            <v/>
          </cell>
          <cell r="BB522" t="str">
            <v/>
          </cell>
          <cell r="BC522" t="str">
            <v/>
          </cell>
          <cell r="BD522" t="str">
            <v/>
          </cell>
          <cell r="BE522" t="str">
            <v/>
          </cell>
          <cell r="BF522" t="str">
            <v/>
          </cell>
          <cell r="BG522" t="str">
            <v/>
          </cell>
          <cell r="BH522" t="str">
            <v>Co-6Mour Rehman, H. &amp; Rehman, H. Solid solution strengthening and diffusion in nickel- and cobalt-based superalloys. (2016).</v>
          </cell>
          <cell r="BI522" t="str">
            <v>Co-6.Mo</v>
          </cell>
          <cell r="BJ522" t="str">
            <v>94.0Co-6.0Mo</v>
          </cell>
        </row>
        <row r="523">
          <cell r="A523" t="str">
            <v>Co-6.Ru</v>
          </cell>
          <cell r="B523" t="str">
            <v>W-free</v>
          </cell>
          <cell r="C523" t="str">
            <v>-6Ru</v>
          </cell>
          <cell r="D523" t="str">
            <v>Co-6Ru</v>
          </cell>
          <cell r="E523" t="str">
            <v>ur Rehman, H. &amp; Rehman, H. Solid solution strengthening and diffusion in nickel- and cobalt-based superalloys. (2016).</v>
          </cell>
          <cell r="F523">
            <v>554</v>
          </cell>
          <cell r="G523">
            <v>94</v>
          </cell>
          <cell r="H523"/>
          <cell r="I523"/>
          <cell r="J523"/>
          <cell r="K523"/>
          <cell r="L523"/>
          <cell r="M523"/>
          <cell r="N523"/>
          <cell r="O523"/>
          <cell r="P523"/>
          <cell r="Q523"/>
          <cell r="R523"/>
          <cell r="S523"/>
          <cell r="T523"/>
          <cell r="U523"/>
          <cell r="V523"/>
          <cell r="W523"/>
          <cell r="X523"/>
          <cell r="Y523"/>
          <cell r="Z523"/>
          <cell r="AA523"/>
          <cell r="AB523"/>
          <cell r="AC523">
            <v>6</v>
          </cell>
          <cell r="AD523"/>
          <cell r="AE523"/>
          <cell r="AF523">
            <v>9.1082000000000001</v>
          </cell>
          <cell r="AG523"/>
          <cell r="AH523" t="str">
            <v>diffusion couple</v>
          </cell>
          <cell r="AI523" t="str">
            <v>Co</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V523" t="str">
            <v/>
          </cell>
          <cell r="AW523" t="str">
            <v/>
          </cell>
          <cell r="AX523" t="str">
            <v/>
          </cell>
          <cell r="AY523" t="str">
            <v/>
          </cell>
          <cell r="AZ523" t="str">
            <v/>
          </cell>
          <cell r="BA523" t="str">
            <v/>
          </cell>
          <cell r="BB523" t="str">
            <v/>
          </cell>
          <cell r="BC523" t="str">
            <v/>
          </cell>
          <cell r="BD523" t="str">
            <v/>
          </cell>
          <cell r="BE523" t="str">
            <v>-6.Ru</v>
          </cell>
          <cell r="BF523" t="str">
            <v/>
          </cell>
          <cell r="BG523" t="str">
            <v/>
          </cell>
          <cell r="BH523" t="str">
            <v>Co-6Ruur Rehman, H. &amp; Rehman, H. Solid solution strengthening and diffusion in nickel- and cobalt-based superalloys. (2016).</v>
          </cell>
          <cell r="BI523" t="str">
            <v>Co-6.Ru</v>
          </cell>
          <cell r="BJ523" t="str">
            <v>94.0Co-6.0Ru</v>
          </cell>
        </row>
        <row r="524">
          <cell r="A524" t="str">
            <v>Co-4.Ta</v>
          </cell>
          <cell r="B524" t="str">
            <v>W-free</v>
          </cell>
          <cell r="C524" t="str">
            <v>-4Ta</v>
          </cell>
          <cell r="D524" t="str">
            <v>Co-4Ta</v>
          </cell>
          <cell r="E524" t="str">
            <v>ur Rehman, H. &amp; Rehman, H. Solid solution strengthening and diffusion in nickel- and cobalt-based superalloys. (2016).</v>
          </cell>
          <cell r="F524">
            <v>555</v>
          </cell>
          <cell r="G524">
            <v>96</v>
          </cell>
          <cell r="H524"/>
          <cell r="I524"/>
          <cell r="J524"/>
          <cell r="K524"/>
          <cell r="L524"/>
          <cell r="M524">
            <v>4</v>
          </cell>
          <cell r="N524"/>
          <cell r="O524"/>
          <cell r="P524"/>
          <cell r="Q524"/>
          <cell r="R524"/>
          <cell r="S524"/>
          <cell r="T524"/>
          <cell r="U524"/>
          <cell r="V524"/>
          <cell r="W524"/>
          <cell r="X524"/>
          <cell r="Y524"/>
          <cell r="Z524"/>
          <cell r="AA524"/>
          <cell r="AB524"/>
          <cell r="AC524"/>
          <cell r="AD524"/>
          <cell r="AE524"/>
          <cell r="AF524">
            <v>9.2100000000000009</v>
          </cell>
          <cell r="AG524"/>
          <cell r="AH524" t="str">
            <v>diffusion couple</v>
          </cell>
          <cell r="AI524" t="str">
            <v>Co</v>
          </cell>
          <cell r="AJ524" t="str">
            <v/>
          </cell>
          <cell r="AK524" t="str">
            <v/>
          </cell>
          <cell r="AL524" t="str">
            <v/>
          </cell>
          <cell r="AM524" t="str">
            <v/>
          </cell>
          <cell r="AN524" t="str">
            <v>-4.Ta</v>
          </cell>
          <cell r="AO524" t="str">
            <v/>
          </cell>
          <cell r="AP524" t="str">
            <v/>
          </cell>
          <cell r="AQ524" t="str">
            <v/>
          </cell>
          <cell r="AR524" t="str">
            <v/>
          </cell>
          <cell r="AS524" t="str">
            <v/>
          </cell>
          <cell r="AT524" t="str">
            <v/>
          </cell>
          <cell r="AU524" t="str">
            <v/>
          </cell>
          <cell r="AV524" t="str">
            <v/>
          </cell>
          <cell r="AW524" t="str">
            <v/>
          </cell>
          <cell r="AX524" t="str">
            <v/>
          </cell>
          <cell r="AY524" t="str">
            <v/>
          </cell>
          <cell r="AZ524" t="str">
            <v/>
          </cell>
          <cell r="BA524" t="str">
            <v/>
          </cell>
          <cell r="BB524" t="str">
            <v/>
          </cell>
          <cell r="BC524" t="str">
            <v/>
          </cell>
          <cell r="BD524" t="str">
            <v/>
          </cell>
          <cell r="BE524" t="str">
            <v/>
          </cell>
          <cell r="BF524" t="str">
            <v/>
          </cell>
          <cell r="BG524" t="str">
            <v/>
          </cell>
          <cell r="BH524" t="str">
            <v>Co-4Taur Rehman, H. &amp; Rehman, H. Solid solution strengthening and diffusion in nickel- and cobalt-based superalloys. (2016).</v>
          </cell>
          <cell r="BI524" t="str">
            <v>Co-4.Ta</v>
          </cell>
          <cell r="BJ524" t="str">
            <v>96.0Co-4.0Ta</v>
          </cell>
        </row>
        <row r="525">
          <cell r="A525" t="str">
            <v>Co-6.Re</v>
          </cell>
          <cell r="B525" t="str">
            <v>W-free</v>
          </cell>
          <cell r="C525" t="str">
            <v>-6Re</v>
          </cell>
          <cell r="D525" t="str">
            <v>Co-6Re</v>
          </cell>
          <cell r="E525" t="str">
            <v>ur Rehman, H. &amp; Rehman, H. Solid solution strengthening and diffusion in nickel- and cobalt-based superalloys. (2016).</v>
          </cell>
          <cell r="F525">
            <v>557</v>
          </cell>
          <cell r="G525">
            <v>94</v>
          </cell>
          <cell r="H525"/>
          <cell r="I525"/>
          <cell r="J525"/>
          <cell r="K525"/>
          <cell r="L525"/>
          <cell r="M525"/>
          <cell r="N525"/>
          <cell r="O525"/>
          <cell r="P525"/>
          <cell r="Q525"/>
          <cell r="R525"/>
          <cell r="S525"/>
          <cell r="T525"/>
          <cell r="U525">
            <v>6</v>
          </cell>
          <cell r="V525"/>
          <cell r="W525"/>
          <cell r="X525"/>
          <cell r="Y525"/>
          <cell r="Z525"/>
          <cell r="AA525"/>
          <cell r="AB525"/>
          <cell r="AC525"/>
          <cell r="AD525"/>
          <cell r="AE525"/>
          <cell r="AF525">
            <v>9.6272000000000002</v>
          </cell>
          <cell r="AG525"/>
          <cell r="AH525" t="str">
            <v>diffusion couple</v>
          </cell>
          <cell r="AI525" t="str">
            <v>Co</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-6.Re</v>
          </cell>
          <cell r="AX525" t="str">
            <v/>
          </cell>
          <cell r="AY525" t="str">
            <v/>
          </cell>
          <cell r="AZ525" t="str">
            <v/>
          </cell>
          <cell r="BA525" t="str">
            <v/>
          </cell>
          <cell r="BB525" t="str">
            <v/>
          </cell>
          <cell r="BC525" t="str">
            <v/>
          </cell>
          <cell r="BD525" t="str">
            <v/>
          </cell>
          <cell r="BE525" t="str">
            <v/>
          </cell>
          <cell r="BF525" t="str">
            <v/>
          </cell>
          <cell r="BG525" t="str">
            <v/>
          </cell>
          <cell r="BH525" t="str">
            <v>Co-6Reur Rehman, H. &amp; Rehman, H. Solid solution strengthening and diffusion in nickel- and cobalt-based superalloys. (2016).</v>
          </cell>
          <cell r="BI525" t="str">
            <v>Co-6.Re</v>
          </cell>
          <cell r="BJ525" t="str">
            <v>94.0Co-6.0Re</v>
          </cell>
        </row>
        <row r="526">
          <cell r="A526" t="str">
            <v>Co-20.Ni-8.Al-6.Cr-5.W-2.5Ti-1.5Ta-0.4Si-0.1Hf</v>
          </cell>
          <cell r="B526" t="str">
            <v>Co3Ti</v>
          </cell>
          <cell r="C526" t="str">
            <v>-20Ni-8Al-6Cr-5W-3Ti-2Ta-Si-Hf</v>
          </cell>
          <cell r="D526" t="str">
            <v>ERBOCo-0</v>
          </cell>
          <cell r="E526" t="str">
            <v>Volz, N. et al. Thermophysical and Mechanical Properties of Advanced Single Crystalline Co-base Superalloys. Metall. Mater. Trans. A Phys. Metall. Mater. Sci. 49, 4099–4109 (2018).</v>
          </cell>
          <cell r="F526">
            <v>558</v>
          </cell>
          <cell r="G526">
            <v>56.5</v>
          </cell>
          <cell r="H526">
            <v>20</v>
          </cell>
          <cell r="I526">
            <v>8</v>
          </cell>
          <cell r="J526">
            <v>6</v>
          </cell>
          <cell r="K526">
            <v>5</v>
          </cell>
          <cell r="L526">
            <v>2.5</v>
          </cell>
          <cell r="M526">
            <v>1.5</v>
          </cell>
          <cell r="N526"/>
          <cell r="O526"/>
          <cell r="P526"/>
          <cell r="Q526"/>
          <cell r="R526"/>
          <cell r="S526"/>
          <cell r="T526"/>
          <cell r="U526"/>
          <cell r="V526">
            <v>0.4</v>
          </cell>
          <cell r="W526"/>
          <cell r="X526"/>
          <cell r="Y526">
            <v>0.1</v>
          </cell>
          <cell r="Z526"/>
          <cell r="AA526"/>
          <cell r="AB526"/>
          <cell r="AC526"/>
          <cell r="AD526"/>
          <cell r="AE526"/>
          <cell r="AF526">
            <v>8.8050550000000012</v>
          </cell>
          <cell r="AG526"/>
          <cell r="AH526" t="str">
            <v>single crystal</v>
          </cell>
          <cell r="AI526" t="str">
            <v>Co</v>
          </cell>
          <cell r="AJ526" t="str">
            <v>-8.Al</v>
          </cell>
          <cell r="AK526" t="str">
            <v>-5.W</v>
          </cell>
          <cell r="AL526" t="str">
            <v>-20.Ni</v>
          </cell>
          <cell r="AM526" t="str">
            <v>-6.Cr</v>
          </cell>
          <cell r="AN526" t="str">
            <v>-1.5Ta</v>
          </cell>
          <cell r="AO526" t="str">
            <v/>
          </cell>
          <cell r="AP526" t="str">
            <v/>
          </cell>
          <cell r="AQ526" t="str">
            <v>-2.5Ti</v>
          </cell>
          <cell r="AR526" t="str">
            <v/>
          </cell>
          <cell r="AS526" t="str">
            <v/>
          </cell>
          <cell r="AT526" t="str">
            <v/>
          </cell>
          <cell r="AU526" t="str">
            <v/>
          </cell>
          <cell r="AV526" t="str">
            <v/>
          </cell>
          <cell r="AW526" t="str">
            <v/>
          </cell>
          <cell r="AX526" t="str">
            <v>-0.4Si</v>
          </cell>
          <cell r="AY526" t="str">
            <v/>
          </cell>
          <cell r="AZ526" t="str">
            <v/>
          </cell>
          <cell r="BA526" t="str">
            <v>-0.1Hf</v>
          </cell>
          <cell r="BB526" t="str">
            <v/>
          </cell>
          <cell r="BC526" t="str">
            <v/>
          </cell>
          <cell r="BD526" t="str">
            <v/>
          </cell>
          <cell r="BE526" t="str">
            <v/>
          </cell>
          <cell r="BF526" t="str">
            <v/>
          </cell>
          <cell r="BG526" t="str">
            <v/>
          </cell>
          <cell r="BH526" t="str">
            <v>ERBOCo-0Volz, N. et al. Thermophysical and Mechanical Properties of Advanced Single Crystalline Co-base Superalloys. Metall. Mater. Trans. A Phys. Metall. Mater. Sci. 49, 4099–4109 (2018).</v>
          </cell>
          <cell r="BI526" t="str">
            <v>Co-20.Ni-8.Al-6.Cr-5.W-2.5Ti-1.5Ta-0.4Si-0.1Hf</v>
          </cell>
          <cell r="BJ526" t="str">
            <v>76.5Co-20.0Ni-8.0Al-6.0Cr-5.0W-2.5Ti-1.5Ta-0.4Si-0.1Hf</v>
          </cell>
        </row>
        <row r="527">
          <cell r="A527" t="str">
            <v>Co-32.Ni-8.Al-6.Cr-5.W-2.5Ti-1.5Ta-0.4Si-0.1Hf</v>
          </cell>
          <cell r="B527" t="str">
            <v>Co3Ti</v>
          </cell>
          <cell r="C527" t="str">
            <v>-32Ni-8Al-6Cr-5W-3Ti-2Ta-Si-Hf</v>
          </cell>
          <cell r="D527" t="str">
            <v>ERBOCo-1</v>
          </cell>
          <cell r="E527" t="str">
            <v>Volz, N. et al. Thermophysical and Mechanical Properties of Advanced Single Crystalline Co-base Superalloys. Metall. Mater. Trans. A Phys. Metall. Mater. Sci. 49, 4099–4109 (2018).</v>
          </cell>
          <cell r="F527">
            <v>559</v>
          </cell>
          <cell r="G527">
            <v>44.5</v>
          </cell>
          <cell r="H527">
            <v>32</v>
          </cell>
          <cell r="I527">
            <v>8</v>
          </cell>
          <cell r="J527">
            <v>6</v>
          </cell>
          <cell r="K527">
            <v>5</v>
          </cell>
          <cell r="L527">
            <v>2.5</v>
          </cell>
          <cell r="M527">
            <v>1.5</v>
          </cell>
          <cell r="N527"/>
          <cell r="O527"/>
          <cell r="P527"/>
          <cell r="Q527"/>
          <cell r="R527"/>
          <cell r="S527"/>
          <cell r="T527"/>
          <cell r="U527"/>
          <cell r="V527">
            <v>0.4</v>
          </cell>
          <cell r="W527"/>
          <cell r="X527"/>
          <cell r="Y527">
            <v>0.1</v>
          </cell>
          <cell r="Z527"/>
          <cell r="AA527"/>
          <cell r="AB527"/>
          <cell r="AC527"/>
          <cell r="AD527"/>
          <cell r="AE527"/>
          <cell r="AF527">
            <v>8.8060150000000021</v>
          </cell>
          <cell r="AG527"/>
          <cell r="AH527" t="str">
            <v>single crystal</v>
          </cell>
          <cell r="AI527" t="str">
            <v>Co</v>
          </cell>
          <cell r="AJ527" t="str">
            <v>-8.Al</v>
          </cell>
          <cell r="AK527" t="str">
            <v>-5.W</v>
          </cell>
          <cell r="AL527" t="str">
            <v>-32.Ni</v>
          </cell>
          <cell r="AM527" t="str">
            <v>-6.Cr</v>
          </cell>
          <cell r="AN527" t="str">
            <v>-1.5Ta</v>
          </cell>
          <cell r="AO527" t="str">
            <v/>
          </cell>
          <cell r="AP527" t="str">
            <v/>
          </cell>
          <cell r="AQ527" t="str">
            <v>-2.5Ti</v>
          </cell>
          <cell r="AR527" t="str">
            <v/>
          </cell>
          <cell r="AS527" t="str">
            <v/>
          </cell>
          <cell r="AT527" t="str">
            <v/>
          </cell>
          <cell r="AU527" t="str">
            <v/>
          </cell>
          <cell r="AV527" t="str">
            <v/>
          </cell>
          <cell r="AW527" t="str">
            <v/>
          </cell>
          <cell r="AX527" t="str">
            <v>-0.4Si</v>
          </cell>
          <cell r="AY527" t="str">
            <v/>
          </cell>
          <cell r="AZ527" t="str">
            <v/>
          </cell>
          <cell r="BA527" t="str">
            <v>-0.1Hf</v>
          </cell>
          <cell r="BB527" t="str">
            <v/>
          </cell>
          <cell r="BC527" t="str">
            <v/>
          </cell>
          <cell r="BD527" t="str">
            <v/>
          </cell>
          <cell r="BE527" t="str">
            <v/>
          </cell>
          <cell r="BF527" t="str">
            <v/>
          </cell>
          <cell r="BG527" t="str">
            <v/>
          </cell>
          <cell r="BH527" t="str">
            <v>ERBOCo-1Volz, N. et al. Thermophysical and Mechanical Properties of Advanced Single Crystalline Co-base Superalloys. Metall. Mater. Trans. A Phys. Metall. Mater. Sci. 49, 4099–4109 (2018).</v>
          </cell>
          <cell r="BI527" t="str">
            <v>Co-32.Ni-8.Al-6.Cr-5.W-2.5Ti-1.5Ta-0.4Si-0.1Hf</v>
          </cell>
          <cell r="BJ527" t="str">
            <v>76.5Co-32.0Ni-8.0Al-6.0Cr-5.0W-2.5Ti-1.5Ta-0.4Si-0.1Hf</v>
          </cell>
        </row>
        <row r="528">
          <cell r="A528" t="str">
            <v>Co-32.Ni-8.Al-6.Cr-5.W-2.5Ti-1.5Ta-1.Re-0.4Si-0.1Hf</v>
          </cell>
          <cell r="B528" t="str">
            <v>Co3Ti</v>
          </cell>
          <cell r="C528" t="str">
            <v>-32Ni-8Al-6Cr-5W-3Ti-2Ta-1Re-Si-Hf</v>
          </cell>
          <cell r="D528" t="str">
            <v>ERBOCo-3</v>
          </cell>
          <cell r="E528" t="str">
            <v>Volz, N. et al. Thermophysical and Mechanical Properties of Advanced Single Crystalline Co-base Superalloys. Metall. Mater. Trans. A Phys. Metall. Mater. Sci. 49, 4099–4109 (2018).</v>
          </cell>
          <cell r="F528">
            <v>560</v>
          </cell>
          <cell r="G528">
            <v>43.5</v>
          </cell>
          <cell r="H528">
            <v>32</v>
          </cell>
          <cell r="I528">
            <v>8</v>
          </cell>
          <cell r="J528">
            <v>6</v>
          </cell>
          <cell r="K528">
            <v>5</v>
          </cell>
          <cell r="L528">
            <v>2.5</v>
          </cell>
          <cell r="M528">
            <v>1.5</v>
          </cell>
          <cell r="N528"/>
          <cell r="O528"/>
          <cell r="P528"/>
          <cell r="Q528"/>
          <cell r="R528"/>
          <cell r="S528"/>
          <cell r="T528"/>
          <cell r="U528">
            <v>1</v>
          </cell>
          <cell r="V528">
            <v>0.4</v>
          </cell>
          <cell r="W528"/>
          <cell r="X528"/>
          <cell r="Y528">
            <v>0.1</v>
          </cell>
          <cell r="Z528"/>
          <cell r="AA528"/>
          <cell r="AB528"/>
          <cell r="AC528"/>
          <cell r="AD528"/>
          <cell r="AE528"/>
          <cell r="AF528">
            <v>8.9272150000000003</v>
          </cell>
          <cell r="AG528"/>
          <cell r="AH528" t="str">
            <v>single crystal</v>
          </cell>
          <cell r="AI528" t="str">
            <v>Co</v>
          </cell>
          <cell r="AJ528" t="str">
            <v>-8.Al</v>
          </cell>
          <cell r="AK528" t="str">
            <v>-5.W</v>
          </cell>
          <cell r="AL528" t="str">
            <v>-32.Ni</v>
          </cell>
          <cell r="AM528" t="str">
            <v>-6.Cr</v>
          </cell>
          <cell r="AN528" t="str">
            <v>-1.5Ta</v>
          </cell>
          <cell r="AO528" t="str">
            <v/>
          </cell>
          <cell r="AP528" t="str">
            <v/>
          </cell>
          <cell r="AQ528" t="str">
            <v>-2.5Ti</v>
          </cell>
          <cell r="AR528" t="str">
            <v/>
          </cell>
          <cell r="AS528" t="str">
            <v/>
          </cell>
          <cell r="AT528" t="str">
            <v/>
          </cell>
          <cell r="AU528" t="str">
            <v/>
          </cell>
          <cell r="AV528" t="str">
            <v/>
          </cell>
          <cell r="AW528" t="str">
            <v>-1.Re</v>
          </cell>
          <cell r="AX528" t="str">
            <v>-0.4Si</v>
          </cell>
          <cell r="AY528" t="str">
            <v/>
          </cell>
          <cell r="AZ528" t="str">
            <v/>
          </cell>
          <cell r="BA528" t="str">
            <v>-0.1Hf</v>
          </cell>
          <cell r="BB528" t="str">
            <v/>
          </cell>
          <cell r="BC528" t="str">
            <v/>
          </cell>
          <cell r="BD528" t="str">
            <v/>
          </cell>
          <cell r="BE528" t="str">
            <v/>
          </cell>
          <cell r="BF528" t="str">
            <v/>
          </cell>
          <cell r="BG528" t="str">
            <v/>
          </cell>
          <cell r="BH528" t="str">
            <v>ERBOCo-3Volz, N. et al. Thermophysical and Mechanical Properties of Advanced Single Crystalline Co-base Superalloys. Metall. Mater. Trans. A Phys. Metall. Mater. Sci. 49, 4099–4109 (2018).</v>
          </cell>
          <cell r="BI528" t="str">
            <v>Co-32.Ni-8.Al-6.Cr-5.W-2.5Ti-1.5Ta-1.Re-0.4Si-0.1Hf</v>
          </cell>
          <cell r="BJ528" t="str">
            <v>75.5Co-32.0Ni-8.0Al-6.0Cr-5.0W-2.5Ti-1.5Ta-1.0Re-0.4Si-0.1Hf</v>
          </cell>
        </row>
        <row r="529">
          <cell r="A529" t="str">
            <v>Co-32.Ni-8.Al-6.Cr-5.7W-2.5Ti-1.8Ta-0.4Si-0.1Hf</v>
          </cell>
          <cell r="B529" t="str">
            <v>CoAlWX+</v>
          </cell>
          <cell r="C529" t="str">
            <v>-32Ni-8Al-6Cr-6W-3Ti-2Ta-Si-Hf</v>
          </cell>
          <cell r="D529" t="str">
            <v>ERBOCo-4</v>
          </cell>
          <cell r="E529" t="str">
            <v>Volz, N. et al. Thermophysical and Mechanical Properties of Advanced Single Crystalline Co-base Superalloys. Metall. Mater. Trans. A Phys. Metall. Mater. Sci. 49, 4099–4109 (2018).</v>
          </cell>
          <cell r="F529">
            <v>561</v>
          </cell>
          <cell r="G529">
            <v>43.5</v>
          </cell>
          <cell r="H529">
            <v>32</v>
          </cell>
          <cell r="I529">
            <v>8</v>
          </cell>
          <cell r="J529">
            <v>6</v>
          </cell>
          <cell r="K529">
            <v>5.7</v>
          </cell>
          <cell r="L529">
            <v>2.5</v>
          </cell>
          <cell r="M529">
            <v>1.8</v>
          </cell>
          <cell r="N529"/>
          <cell r="O529"/>
          <cell r="P529"/>
          <cell r="Q529"/>
          <cell r="R529"/>
          <cell r="S529"/>
          <cell r="T529"/>
          <cell r="U529"/>
          <cell r="V529">
            <v>0.4</v>
          </cell>
          <cell r="W529"/>
          <cell r="X529"/>
          <cell r="Y529">
            <v>0.1</v>
          </cell>
          <cell r="Z529"/>
          <cell r="AA529"/>
          <cell r="AB529"/>
          <cell r="AC529"/>
          <cell r="AD529"/>
          <cell r="AE529"/>
          <cell r="AF529">
            <v>8.9017150000000012</v>
          </cell>
          <cell r="AG529"/>
          <cell r="AH529" t="str">
            <v>single crystal</v>
          </cell>
          <cell r="AI529" t="str">
            <v>Co</v>
          </cell>
          <cell r="AJ529" t="str">
            <v>-8.Al</v>
          </cell>
          <cell r="AK529" t="str">
            <v>-5.7W</v>
          </cell>
          <cell r="AL529" t="str">
            <v>-32.Ni</v>
          </cell>
          <cell r="AM529" t="str">
            <v>-6.Cr</v>
          </cell>
          <cell r="AN529" t="str">
            <v>-1.8Ta</v>
          </cell>
          <cell r="AO529" t="str">
            <v/>
          </cell>
          <cell r="AP529" t="str">
            <v/>
          </cell>
          <cell r="AQ529" t="str">
            <v>-2.5Ti</v>
          </cell>
          <cell r="AR529" t="str">
            <v/>
          </cell>
          <cell r="AS529" t="str">
            <v/>
          </cell>
          <cell r="AT529" t="str">
            <v/>
          </cell>
          <cell r="AU529" t="str">
            <v/>
          </cell>
          <cell r="AV529" t="str">
            <v/>
          </cell>
          <cell r="AW529" t="str">
            <v/>
          </cell>
          <cell r="AX529" t="str">
            <v>-0.4Si</v>
          </cell>
          <cell r="AY529" t="str">
            <v/>
          </cell>
          <cell r="AZ529" t="str">
            <v/>
          </cell>
          <cell r="BA529" t="str">
            <v>-0.1Hf</v>
          </cell>
          <cell r="BB529" t="str">
            <v/>
          </cell>
          <cell r="BC529" t="str">
            <v/>
          </cell>
          <cell r="BD529" t="str">
            <v/>
          </cell>
          <cell r="BE529" t="str">
            <v/>
          </cell>
          <cell r="BF529" t="str">
            <v/>
          </cell>
          <cell r="BG529" t="str">
            <v/>
          </cell>
          <cell r="BH529" t="str">
            <v>ERBOCo-4Volz, N. et al. Thermophysical and Mechanical Properties of Advanced Single Crystalline Co-base Superalloys. Metall. Mater. Trans. A Phys. Metall. Mater. Sci. 49, 4099–4109 (2018).</v>
          </cell>
          <cell r="BI529" t="str">
            <v>Co-32.Ni-8.Al-6.Cr-5.7W-2.5Ti-1.8Ta-0.4Si-0.1Hf</v>
          </cell>
          <cell r="BJ529" t="str">
            <v>75.5Co-32.0Ni-8.0Al-6.0Cr-5.7W-2.5Ti-1.8Ta-0.4Si-0.1Hf</v>
          </cell>
        </row>
        <row r="530">
          <cell r="A530" t="str">
            <v>Co-9.9Al-4.8W</v>
          </cell>
          <cell r="B530" t="str">
            <v>CoAlW-X</v>
          </cell>
          <cell r="C530" t="str">
            <v>-10Al-5W</v>
          </cell>
          <cell r="D530" t="str">
            <v>Co-10Al-5W-2Ta</v>
          </cell>
          <cell r="E530" t="str">
            <v>Vorontsov, V. A. et al. Coarsening behaviour and interfacial structure of γ′ precipitates in Co-Al-W based superalloys. Acta Mater. 120, 14–23 (2016).</v>
          </cell>
          <cell r="F530">
            <v>563</v>
          </cell>
          <cell r="G530">
            <v>85.3</v>
          </cell>
          <cell r="H530"/>
          <cell r="I530">
            <v>9.9</v>
          </cell>
          <cell r="J530"/>
          <cell r="K530">
            <v>4.8</v>
          </cell>
          <cell r="L530"/>
          <cell r="M530"/>
          <cell r="N530"/>
          <cell r="O530"/>
          <cell r="P530"/>
          <cell r="Q530"/>
          <cell r="R530"/>
          <cell r="S530"/>
          <cell r="T530"/>
          <cell r="U530"/>
          <cell r="V530"/>
          <cell r="W530"/>
          <cell r="X530"/>
          <cell r="Y530"/>
          <cell r="Z530"/>
          <cell r="AA530"/>
          <cell r="AB530"/>
          <cell r="AC530"/>
          <cell r="AD530"/>
          <cell r="AE530"/>
          <cell r="AF530">
            <v>8.7829999999999995</v>
          </cell>
          <cell r="AG530"/>
          <cell r="AH530"/>
          <cell r="AI530" t="str">
            <v>Co</v>
          </cell>
          <cell r="AJ530" t="str">
            <v>-9.9Al</v>
          </cell>
          <cell r="AK530" t="str">
            <v>-4.8W</v>
          </cell>
          <cell r="AL530" t="str">
            <v/>
          </cell>
          <cell r="AM530" t="str">
            <v/>
          </cell>
          <cell r="AN530" t="str">
            <v/>
          </cell>
          <cell r="AO530" t="str">
            <v/>
          </cell>
          <cell r="AP530" t="str">
            <v/>
          </cell>
          <cell r="AQ530" t="str">
            <v/>
          </cell>
          <cell r="AR530" t="str">
            <v/>
          </cell>
          <cell r="AS530" t="str">
            <v/>
          </cell>
          <cell r="AT530" t="str">
            <v/>
          </cell>
          <cell r="AU530" t="str">
            <v/>
          </cell>
          <cell r="AV530" t="str">
            <v/>
          </cell>
          <cell r="AW530" t="str">
            <v/>
          </cell>
          <cell r="AX530" t="str">
            <v/>
          </cell>
          <cell r="AY530" t="str">
            <v/>
          </cell>
          <cell r="AZ530" t="str">
            <v/>
          </cell>
          <cell r="BA530" t="str">
            <v/>
          </cell>
          <cell r="BB530" t="str">
            <v/>
          </cell>
          <cell r="BC530" t="str">
            <v/>
          </cell>
          <cell r="BD530" t="str">
            <v/>
          </cell>
          <cell r="BE530" t="str">
            <v/>
          </cell>
          <cell r="BF530" t="str">
            <v/>
          </cell>
          <cell r="BG530" t="str">
            <v/>
          </cell>
          <cell r="BH530" t="str">
            <v>Co-10Al-5W-2TaVorontsov, V. A. et al. Coarsening behaviour and interfacial structure of γ′ precipitates in Co-Al-W based superalloys. Acta Mater. 120, 14–23 (2016).</v>
          </cell>
          <cell r="BI530" t="str">
            <v>Co-9.9Al-4.8W</v>
          </cell>
          <cell r="BJ530" t="str">
            <v>85.3Co-9.9Al-4.8W</v>
          </cell>
        </row>
        <row r="531">
          <cell r="A531" t="str">
            <v>Co-20.2Ni-7.3Al-7.W</v>
          </cell>
          <cell r="B531" t="str">
            <v>CoAlW-X</v>
          </cell>
          <cell r="C531" t="str">
            <v>-20Ni-7Al-7W</v>
          </cell>
          <cell r="D531" t="str">
            <v>Co-7Al-7W-20Ni</v>
          </cell>
          <cell r="E531" t="str">
            <v>Vorontsov, V. A. et al. Coarsening behaviour and interfacial structure of γ′ precipitates in Co-Al-W based superalloys. Acta Mater. 120, 14–23 (2016).</v>
          </cell>
          <cell r="F531">
            <v>564</v>
          </cell>
          <cell r="G531">
            <v>65.5</v>
          </cell>
          <cell r="H531">
            <v>20.2</v>
          </cell>
          <cell r="I531">
            <v>7.3</v>
          </cell>
          <cell r="J531"/>
          <cell r="K531">
            <v>7</v>
          </cell>
          <cell r="L531"/>
          <cell r="M531"/>
          <cell r="N531"/>
          <cell r="O531"/>
          <cell r="P531"/>
          <cell r="Q531"/>
          <cell r="R531"/>
          <cell r="S531"/>
          <cell r="T531"/>
          <cell r="U531"/>
          <cell r="V531"/>
          <cell r="W531"/>
          <cell r="X531"/>
          <cell r="Y531"/>
          <cell r="Z531"/>
          <cell r="AA531"/>
          <cell r="AB531"/>
          <cell r="AC531"/>
          <cell r="AD531"/>
          <cell r="AE531"/>
          <cell r="AF531">
            <v>9.1735160000000011</v>
          </cell>
          <cell r="AG531"/>
          <cell r="AH531"/>
          <cell r="AI531" t="str">
            <v>Co</v>
          </cell>
          <cell r="AJ531" t="str">
            <v>-7.3Al</v>
          </cell>
          <cell r="AK531" t="str">
            <v>-7.W</v>
          </cell>
          <cell r="AL531" t="str">
            <v>-20.2Ni</v>
          </cell>
          <cell r="AM531" t="str">
            <v/>
          </cell>
          <cell r="AN531" t="str">
            <v/>
          </cell>
          <cell r="AO531" t="str">
            <v/>
          </cell>
          <cell r="AP531" t="str">
            <v/>
          </cell>
          <cell r="AQ531" t="str">
            <v/>
          </cell>
          <cell r="AR531" t="str">
            <v/>
          </cell>
          <cell r="AS531" t="str">
            <v/>
          </cell>
          <cell r="AT531" t="str">
            <v/>
          </cell>
          <cell r="AU531" t="str">
            <v/>
          </cell>
          <cell r="AV531" t="str">
            <v/>
          </cell>
          <cell r="AW531" t="str">
            <v/>
          </cell>
          <cell r="AX531" t="str">
            <v/>
          </cell>
          <cell r="AY531" t="str">
            <v/>
          </cell>
          <cell r="AZ531" t="str">
            <v/>
          </cell>
          <cell r="BA531" t="str">
            <v/>
          </cell>
          <cell r="BB531" t="str">
            <v/>
          </cell>
          <cell r="BC531" t="str">
            <v/>
          </cell>
          <cell r="BD531" t="str">
            <v/>
          </cell>
          <cell r="BE531" t="str">
            <v/>
          </cell>
          <cell r="BF531" t="str">
            <v/>
          </cell>
          <cell r="BG531" t="str">
            <v/>
          </cell>
          <cell r="BH531" t="str">
            <v>Co-7Al-7W-20NiVorontsov, V. A. et al. Coarsening behaviour and interfacial structure of γ′ precipitates in Co-Al-W based superalloys. Acta Mater. 120, 14–23 (2016).</v>
          </cell>
          <cell r="BI531" t="str">
            <v>Co-20.2Ni-7.3Al-7.W</v>
          </cell>
          <cell r="BJ531" t="str">
            <v>85.7Co-20.2Ni-7.3Al-7.0W</v>
          </cell>
        </row>
        <row r="532">
          <cell r="A532" t="str">
            <v>Co-9.Al-9.W-2.Ti</v>
          </cell>
          <cell r="B532" t="str">
            <v>CoAlW-X</v>
          </cell>
          <cell r="C532" t="str">
            <v>-9Al-9W-2Ti</v>
          </cell>
          <cell r="D532" t="str">
            <v>Co-9Al-9W-2Ti</v>
          </cell>
          <cell r="E532" t="str">
            <v>Wang, L. et al. Microstructure, phase stability and element partitioning of γ-γ′ Co-9Al-9W-2X alloys in different annealing conditions. J. Alloys Compd. 787, 594–605 (2019).</v>
          </cell>
          <cell r="F532">
            <v>565</v>
          </cell>
          <cell r="G532">
            <v>80</v>
          </cell>
          <cell r="H532"/>
          <cell r="I532">
            <v>9</v>
          </cell>
          <cell r="J532"/>
          <cell r="K532">
            <v>9</v>
          </cell>
          <cell r="L532">
            <v>2</v>
          </cell>
          <cell r="M532"/>
          <cell r="N532"/>
          <cell r="O532"/>
          <cell r="P532"/>
          <cell r="Q532"/>
          <cell r="R532"/>
          <cell r="S532"/>
          <cell r="T532"/>
          <cell r="U532"/>
          <cell r="V532"/>
          <cell r="W532"/>
          <cell r="X532"/>
          <cell r="Y532"/>
          <cell r="Z532"/>
          <cell r="AA532"/>
          <cell r="AB532"/>
          <cell r="AC532"/>
          <cell r="AD532"/>
          <cell r="AE532"/>
          <cell r="AF532">
            <v>9.1856399999999994</v>
          </cell>
          <cell r="AG532"/>
          <cell r="AH532"/>
          <cell r="AI532" t="str">
            <v>Co</v>
          </cell>
          <cell r="AJ532" t="str">
            <v>-9.Al</v>
          </cell>
          <cell r="AK532" t="str">
            <v>-9.W</v>
          </cell>
          <cell r="AL532" t="str">
            <v/>
          </cell>
          <cell r="AM532" t="str">
            <v/>
          </cell>
          <cell r="AN532" t="str">
            <v/>
          </cell>
          <cell r="AO532" t="str">
            <v/>
          </cell>
          <cell r="AP532" t="str">
            <v/>
          </cell>
          <cell r="AQ532" t="str">
            <v>-2.Ti</v>
          </cell>
          <cell r="AR532" t="str">
            <v/>
          </cell>
          <cell r="AS532" t="str">
            <v/>
          </cell>
          <cell r="AT532" t="str">
            <v/>
          </cell>
          <cell r="AU532" t="str">
            <v/>
          </cell>
          <cell r="AV532" t="str">
            <v/>
          </cell>
          <cell r="AW532" t="str">
            <v/>
          </cell>
          <cell r="AX532" t="str">
            <v/>
          </cell>
          <cell r="AY532" t="str">
            <v/>
          </cell>
          <cell r="AZ532" t="str">
            <v/>
          </cell>
          <cell r="BA532" t="str">
            <v/>
          </cell>
          <cell r="BB532" t="str">
            <v/>
          </cell>
          <cell r="BC532" t="str">
            <v/>
          </cell>
          <cell r="BD532" t="str">
            <v/>
          </cell>
          <cell r="BE532" t="str">
            <v/>
          </cell>
          <cell r="BF532" t="str">
            <v/>
          </cell>
          <cell r="BG532" t="str">
            <v/>
          </cell>
          <cell r="BH532" t="str">
            <v>Co-9Al-9W-2TiWang, L. et al. Microstructure, phase stability and element partitioning of γ-γ′ Co-9Al-9W-2X alloys in different annealing conditions. J. Alloys Compd. 787, 594–605 (2019).</v>
          </cell>
          <cell r="BI532" t="str">
            <v>Co-9.Al-9.W-2.Ti</v>
          </cell>
          <cell r="BJ532" t="str">
            <v>80.0Co-9.0Al-9.0W-2.0Ti</v>
          </cell>
        </row>
        <row r="533">
          <cell r="A533" t="str">
            <v>Co-9.Al-9.W</v>
          </cell>
          <cell r="B533" t="str">
            <v>CoAlW-X</v>
          </cell>
          <cell r="C533" t="str">
            <v>-9Al-9W</v>
          </cell>
          <cell r="D533" t="str">
            <v>Co-9Al-9W</v>
          </cell>
          <cell r="E533" t="str">
            <v>Wang, L. et al. Microstructure, phase stability and element partitioning of γ-γ′ Co-9Al-9W-2X alloys in different annealing conditions. J. Alloys Compd. 787, 594–605 (2019).</v>
          </cell>
          <cell r="F533">
            <v>566</v>
          </cell>
          <cell r="G533">
            <v>82</v>
          </cell>
          <cell r="H533"/>
          <cell r="I533">
            <v>9</v>
          </cell>
          <cell r="J533"/>
          <cell r="K533">
            <v>9</v>
          </cell>
          <cell r="L533"/>
          <cell r="M533"/>
          <cell r="N533"/>
          <cell r="O533"/>
          <cell r="P533"/>
          <cell r="Q533"/>
          <cell r="R533"/>
          <cell r="S533"/>
          <cell r="T533"/>
          <cell r="U533"/>
          <cell r="V533"/>
          <cell r="W533"/>
          <cell r="X533"/>
          <cell r="Y533"/>
          <cell r="Z533"/>
          <cell r="AA533"/>
          <cell r="AB533"/>
          <cell r="AC533"/>
          <cell r="AD533"/>
          <cell r="AE533"/>
          <cell r="AF533">
            <v>9.2735000000000003</v>
          </cell>
          <cell r="AG533"/>
          <cell r="AH533"/>
          <cell r="AI533" t="str">
            <v>Co</v>
          </cell>
          <cell r="AJ533" t="str">
            <v>-9.Al</v>
          </cell>
          <cell r="AK533" t="str">
            <v>-9.W</v>
          </cell>
          <cell r="AL533" t="str">
            <v/>
          </cell>
          <cell r="AM533" t="str">
            <v/>
          </cell>
          <cell r="AN533" t="str">
            <v/>
          </cell>
          <cell r="AO533" t="str">
            <v/>
          </cell>
          <cell r="AP533" t="str">
            <v/>
          </cell>
          <cell r="AQ533" t="str">
            <v/>
          </cell>
          <cell r="AR533" t="str">
            <v/>
          </cell>
          <cell r="AS533" t="str">
            <v/>
          </cell>
          <cell r="AT533" t="str">
            <v/>
          </cell>
          <cell r="AU533" t="str">
            <v/>
          </cell>
          <cell r="AV533" t="str">
            <v/>
          </cell>
          <cell r="AW533" t="str">
            <v/>
          </cell>
          <cell r="AX533" t="str">
            <v/>
          </cell>
          <cell r="AY533" t="str">
            <v/>
          </cell>
          <cell r="AZ533" t="str">
            <v/>
          </cell>
          <cell r="BA533" t="str">
            <v/>
          </cell>
          <cell r="BB533" t="str">
            <v/>
          </cell>
          <cell r="BC533" t="str">
            <v/>
          </cell>
          <cell r="BD533" t="str">
            <v/>
          </cell>
          <cell r="BE533" t="str">
            <v/>
          </cell>
          <cell r="BF533" t="str">
            <v/>
          </cell>
          <cell r="BG533" t="str">
            <v/>
          </cell>
          <cell r="BH533" t="str">
            <v>Co-9Al-9WWang, L. et al. Microstructure, phase stability and element partitioning of γ-γ′ Co-9Al-9W-2X alloys in different annealing conditions. J. Alloys Compd. 787, 594–605 (2019).</v>
          </cell>
          <cell r="BI533" t="str">
            <v>Co-9.Al-9.W</v>
          </cell>
          <cell r="BJ533" t="str">
            <v>82.0Co-9.0Al-9.0W</v>
          </cell>
        </row>
        <row r="534">
          <cell r="A534" t="str">
            <v>Co-9.Al-2.Cr-9.W</v>
          </cell>
          <cell r="B534" t="str">
            <v>CoAlW-X</v>
          </cell>
          <cell r="C534" t="str">
            <v>-9Al-2Cr-9W</v>
          </cell>
          <cell r="D534" t="str">
            <v>Co-9Al-9W-2Cr</v>
          </cell>
          <cell r="E534" t="str">
            <v>Wang, L. et al. Microstructure, phase stability and element partitioning of γ-γ′ Co-9Al-9W-2X alloys in different annealing conditions. J. Alloys Compd. 787, 594–605 (2019).</v>
          </cell>
          <cell r="F534">
            <v>567</v>
          </cell>
          <cell r="G534">
            <v>80</v>
          </cell>
          <cell r="H534"/>
          <cell r="I534">
            <v>9</v>
          </cell>
          <cell r="J534">
            <v>2</v>
          </cell>
          <cell r="K534">
            <v>9</v>
          </cell>
          <cell r="L534"/>
          <cell r="M534"/>
          <cell r="N534"/>
          <cell r="O534"/>
          <cell r="P534"/>
          <cell r="Q534"/>
          <cell r="R534"/>
          <cell r="S534"/>
          <cell r="T534"/>
          <cell r="U534"/>
          <cell r="V534"/>
          <cell r="W534"/>
          <cell r="X534"/>
          <cell r="Y534"/>
          <cell r="Z534"/>
          <cell r="AA534"/>
          <cell r="AB534"/>
          <cell r="AC534"/>
          <cell r="AD534"/>
          <cell r="AE534"/>
          <cell r="AF534">
            <v>9.2393000000000001</v>
          </cell>
          <cell r="AG534"/>
          <cell r="AH534"/>
          <cell r="AI534" t="str">
            <v>Co</v>
          </cell>
          <cell r="AJ534" t="str">
            <v>-9.Al</v>
          </cell>
          <cell r="AK534" t="str">
            <v>-9.W</v>
          </cell>
          <cell r="AL534" t="str">
            <v/>
          </cell>
          <cell r="AM534" t="str">
            <v>-2.Cr</v>
          </cell>
          <cell r="AN534" t="str">
            <v/>
          </cell>
          <cell r="AO534" t="str">
            <v/>
          </cell>
          <cell r="AP534" t="str">
            <v/>
          </cell>
          <cell r="AQ534" t="str">
            <v/>
          </cell>
          <cell r="AR534" t="str">
            <v/>
          </cell>
          <cell r="AS534" t="str">
            <v/>
          </cell>
          <cell r="AT534" t="str">
            <v/>
          </cell>
          <cell r="AU534" t="str">
            <v/>
          </cell>
          <cell r="AV534" t="str">
            <v/>
          </cell>
          <cell r="AW534" t="str">
            <v/>
          </cell>
          <cell r="AX534" t="str">
            <v/>
          </cell>
          <cell r="AY534" t="str">
            <v/>
          </cell>
          <cell r="AZ534" t="str">
            <v/>
          </cell>
          <cell r="BA534" t="str">
            <v/>
          </cell>
          <cell r="BB534" t="str">
            <v/>
          </cell>
          <cell r="BC534" t="str">
            <v/>
          </cell>
          <cell r="BD534" t="str">
            <v/>
          </cell>
          <cell r="BE534" t="str">
            <v/>
          </cell>
          <cell r="BF534" t="str">
            <v/>
          </cell>
          <cell r="BG534" t="str">
            <v/>
          </cell>
          <cell r="BH534" t="str">
            <v>Co-9Al-9W-2CrWang, L. et al. Microstructure, phase stability and element partitioning of γ-γ′ Co-9Al-9W-2X alloys in different annealing conditions. J. Alloys Compd. 787, 594–605 (2019).</v>
          </cell>
          <cell r="BI534" t="str">
            <v>Co-9.Al-2.Cr-9.W</v>
          </cell>
          <cell r="BJ534" t="str">
            <v>80.0Co-9.0Al-2.0Cr-9.0W</v>
          </cell>
        </row>
        <row r="535">
          <cell r="A535" t="str">
            <v>Co-2.Ni-9.Al-9.W</v>
          </cell>
          <cell r="B535" t="str">
            <v>CoAlW-X</v>
          </cell>
          <cell r="C535" t="str">
            <v>-2Ni-9Al-9W</v>
          </cell>
          <cell r="D535" t="str">
            <v>Co-9Al-9W-2Ni</v>
          </cell>
          <cell r="E535" t="str">
            <v>Wang, L. et al. Microstructure, phase stability and element partitioning of γ-γ′ Co-9Al-9W-2X alloys in different annealing conditions. J. Alloys Compd. 787, 594–605 (2019).</v>
          </cell>
          <cell r="F535">
            <v>568</v>
          </cell>
          <cell r="G535">
            <v>80</v>
          </cell>
          <cell r="H535">
            <v>2</v>
          </cell>
          <cell r="I535">
            <v>9</v>
          </cell>
          <cell r="J535"/>
          <cell r="K535">
            <v>9</v>
          </cell>
          <cell r="L535"/>
          <cell r="M535"/>
          <cell r="N535"/>
          <cell r="O535"/>
          <cell r="P535"/>
          <cell r="Q535"/>
          <cell r="R535"/>
          <cell r="S535"/>
          <cell r="T535"/>
          <cell r="U535"/>
          <cell r="V535"/>
          <cell r="W535"/>
          <cell r="X535"/>
          <cell r="Y535"/>
          <cell r="Z535"/>
          <cell r="AA535"/>
          <cell r="AB535"/>
          <cell r="AC535"/>
          <cell r="AD535"/>
          <cell r="AE535"/>
          <cell r="AF535">
            <v>9.2736599999999996</v>
          </cell>
          <cell r="AG535"/>
          <cell r="AH535"/>
          <cell r="AI535" t="str">
            <v>Co</v>
          </cell>
          <cell r="AJ535" t="str">
            <v>-9.Al</v>
          </cell>
          <cell r="AK535" t="str">
            <v>-9.W</v>
          </cell>
          <cell r="AL535" t="str">
            <v>-2.Ni</v>
          </cell>
          <cell r="AM535" t="str">
            <v/>
          </cell>
          <cell r="AN535" t="str">
            <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
          </cell>
          <cell r="BB535" t="str">
            <v/>
          </cell>
          <cell r="BC535" t="str">
            <v/>
          </cell>
          <cell r="BD535" t="str">
            <v/>
          </cell>
          <cell r="BE535" t="str">
            <v/>
          </cell>
          <cell r="BF535" t="str">
            <v/>
          </cell>
          <cell r="BG535" t="str">
            <v/>
          </cell>
          <cell r="BH535" t="str">
            <v>Co-9Al-9W-2NiWang, L. et al. Microstructure, phase stability and element partitioning of γ-γ′ Co-9Al-9W-2X alloys in different annealing conditions. J. Alloys Compd. 787, 594–605 (2019).</v>
          </cell>
          <cell r="BI535" t="str">
            <v>Co-2.Ni-9.Al-9.W</v>
          </cell>
          <cell r="BJ535" t="str">
            <v>82.0Co-2.0Ni-9.0Al-9.0W</v>
          </cell>
        </row>
        <row r="536">
          <cell r="A536" t="str">
            <v>Co-9.Al-9.W-2.Mo</v>
          </cell>
          <cell r="B536" t="str">
            <v>CoAlW-X</v>
          </cell>
          <cell r="C536" t="str">
            <v>-9Al-9W-2Mo</v>
          </cell>
          <cell r="D536" t="str">
            <v>Co-9Al-9W-2Mo</v>
          </cell>
          <cell r="E536" t="str">
            <v>Wang, L. et al. Microstructure, phase stability and element partitioning of γ-γ′ Co-9Al-9W-2X alloys in different annealing conditions. J. Alloys Compd. 787, 594–605 (2019).</v>
          </cell>
          <cell r="F536">
            <v>569</v>
          </cell>
          <cell r="G536">
            <v>80</v>
          </cell>
          <cell r="H536"/>
          <cell r="I536">
            <v>9</v>
          </cell>
          <cell r="J536"/>
          <cell r="K536">
            <v>9</v>
          </cell>
          <cell r="L536"/>
          <cell r="M536"/>
          <cell r="N536"/>
          <cell r="O536"/>
          <cell r="P536">
            <v>2</v>
          </cell>
          <cell r="Q536"/>
          <cell r="R536"/>
          <cell r="S536"/>
          <cell r="T536"/>
          <cell r="U536"/>
          <cell r="V536"/>
          <cell r="W536"/>
          <cell r="X536"/>
          <cell r="Y536"/>
          <cell r="Z536"/>
          <cell r="AA536"/>
          <cell r="AB536"/>
          <cell r="AC536"/>
          <cell r="AD536"/>
          <cell r="AE536"/>
          <cell r="AF536">
            <v>9.3010999999999981</v>
          </cell>
          <cell r="AG536"/>
          <cell r="AH536"/>
          <cell r="AI536" t="str">
            <v>Co</v>
          </cell>
          <cell r="AJ536" t="str">
            <v>-9.Al</v>
          </cell>
          <cell r="AK536" t="str">
            <v>-9.W</v>
          </cell>
          <cell r="AL536" t="str">
            <v/>
          </cell>
          <cell r="AM536" t="str">
            <v/>
          </cell>
          <cell r="AN536" t="str">
            <v/>
          </cell>
          <cell r="AO536" t="str">
            <v/>
          </cell>
          <cell r="AP536" t="str">
            <v/>
          </cell>
          <cell r="AQ536" t="str">
            <v/>
          </cell>
          <cell r="AR536" t="str">
            <v>-2.Mo</v>
          </cell>
          <cell r="AS536" t="str">
            <v/>
          </cell>
          <cell r="AT536" t="str">
            <v/>
          </cell>
          <cell r="AU536" t="str">
            <v/>
          </cell>
          <cell r="AV536" t="str">
            <v/>
          </cell>
          <cell r="AW536" t="str">
            <v/>
          </cell>
          <cell r="AX536" t="str">
            <v/>
          </cell>
          <cell r="AY536" t="str">
            <v/>
          </cell>
          <cell r="AZ536" t="str">
            <v/>
          </cell>
          <cell r="BA536" t="str">
            <v/>
          </cell>
          <cell r="BB536" t="str">
            <v/>
          </cell>
          <cell r="BC536" t="str">
            <v/>
          </cell>
          <cell r="BD536" t="str">
            <v/>
          </cell>
          <cell r="BE536" t="str">
            <v/>
          </cell>
          <cell r="BF536" t="str">
            <v/>
          </cell>
          <cell r="BG536" t="str">
            <v/>
          </cell>
          <cell r="BH536" t="str">
            <v>Co-9Al-9W-2MoWang, L. et al. Microstructure, phase stability and element partitioning of γ-γ′ Co-9Al-9W-2X alloys in different annealing conditions. J. Alloys Compd. 787, 594–605 (2019).</v>
          </cell>
          <cell r="BI536" t="str">
            <v>Co-9.Al-9.W-2.Mo</v>
          </cell>
          <cell r="BJ536" t="str">
            <v>80.0Co-9.0Al-9.0W-2.0Mo</v>
          </cell>
        </row>
        <row r="537">
          <cell r="A537" t="str">
            <v>Co-9.Al-9.W-2.Si</v>
          </cell>
          <cell r="B537" t="str">
            <v>CoAlW-X</v>
          </cell>
          <cell r="C537" t="str">
            <v>-9Al-9W-Si</v>
          </cell>
          <cell r="D537" t="str">
            <v>Co-9Al-9W-2Si</v>
          </cell>
          <cell r="E537" t="str">
            <v>Wang, L. et al. Microstructure, phase stability and element partitioning of γ-γ′ Co-9Al-9W-2X alloys in different annealing conditions. J. Alloys Compd. 787, 594–605 (2019).</v>
          </cell>
          <cell r="F537">
            <v>570</v>
          </cell>
          <cell r="G537">
            <v>80</v>
          </cell>
          <cell r="H537"/>
          <cell r="I537">
            <v>9</v>
          </cell>
          <cell r="J537"/>
          <cell r="K537">
            <v>9</v>
          </cell>
          <cell r="L537"/>
          <cell r="M537"/>
          <cell r="N537"/>
          <cell r="O537"/>
          <cell r="P537"/>
          <cell r="Q537"/>
          <cell r="R537"/>
          <cell r="S537"/>
          <cell r="T537"/>
          <cell r="U537"/>
          <cell r="V537">
            <v>2</v>
          </cell>
          <cell r="W537"/>
          <cell r="X537"/>
          <cell r="Y537"/>
          <cell r="Z537"/>
          <cell r="AA537"/>
          <cell r="AB537"/>
          <cell r="AC537"/>
          <cell r="AD537"/>
          <cell r="AE537"/>
          <cell r="AF537">
            <v>9.1420999999999992</v>
          </cell>
          <cell r="AG537"/>
          <cell r="AH537"/>
          <cell r="AI537" t="str">
            <v>Co</v>
          </cell>
          <cell r="AJ537" t="str">
            <v>-9.Al</v>
          </cell>
          <cell r="AK537" t="str">
            <v>-9.W</v>
          </cell>
          <cell r="AL537" t="str">
            <v/>
          </cell>
          <cell r="AM537" t="str">
            <v/>
          </cell>
          <cell r="AN537" t="str">
            <v/>
          </cell>
          <cell r="AO537" t="str">
            <v/>
          </cell>
          <cell r="AP537" t="str">
            <v/>
          </cell>
          <cell r="AQ537" t="str">
            <v/>
          </cell>
          <cell r="AR537" t="str">
            <v/>
          </cell>
          <cell r="AS537" t="str">
            <v/>
          </cell>
          <cell r="AT537" t="str">
            <v/>
          </cell>
          <cell r="AU537" t="str">
            <v/>
          </cell>
          <cell r="AV537" t="str">
            <v/>
          </cell>
          <cell r="AW537" t="str">
            <v/>
          </cell>
          <cell r="AX537" t="str">
            <v>-2.Si</v>
          </cell>
          <cell r="AY537" t="str">
            <v/>
          </cell>
          <cell r="AZ537" t="str">
            <v/>
          </cell>
          <cell r="BA537" t="str">
            <v/>
          </cell>
          <cell r="BB537" t="str">
            <v/>
          </cell>
          <cell r="BC537" t="str">
            <v/>
          </cell>
          <cell r="BD537" t="str">
            <v/>
          </cell>
          <cell r="BE537" t="str">
            <v/>
          </cell>
          <cell r="BF537" t="str">
            <v/>
          </cell>
          <cell r="BG537" t="str">
            <v/>
          </cell>
          <cell r="BH537" t="str">
            <v>Co-9Al-9W-2SiWang, L. et al. Microstructure, phase stability and element partitioning of γ-γ′ Co-9Al-9W-2X alloys in different annealing conditions. J. Alloys Compd. 787, 594–605 (2019).</v>
          </cell>
          <cell r="BI537" t="str">
            <v>Co-9.Al-9.W-2.Si</v>
          </cell>
          <cell r="BJ537" t="str">
            <v>80.0Co-9.0Al-9.0W-2.0Si</v>
          </cell>
        </row>
        <row r="538">
          <cell r="A538" t="str">
            <v>Co-9.Al-9.W-2.V</v>
          </cell>
          <cell r="B538" t="str">
            <v>CoAlW-X</v>
          </cell>
          <cell r="C538" t="str">
            <v>-9Al-9W-2V</v>
          </cell>
          <cell r="D538" t="str">
            <v>Co-9Al-9W-2V</v>
          </cell>
          <cell r="E538" t="str">
            <v>Wang, L. et al. Microstructure, phase stability and element partitioning of γ-γ′ Co-9Al-9W-2X alloys in different annealing conditions. J. Alloys Compd. 787, 594–605 (2019).</v>
          </cell>
          <cell r="F538">
            <v>571</v>
          </cell>
          <cell r="G538">
            <v>80</v>
          </cell>
          <cell r="H538"/>
          <cell r="I538">
            <v>9</v>
          </cell>
          <cell r="J538"/>
          <cell r="K538">
            <v>9</v>
          </cell>
          <cell r="L538"/>
          <cell r="M538"/>
          <cell r="N538"/>
          <cell r="O538">
            <v>2</v>
          </cell>
          <cell r="P538"/>
          <cell r="Q538"/>
          <cell r="R538"/>
          <cell r="S538"/>
          <cell r="T538"/>
          <cell r="U538"/>
          <cell r="V538"/>
          <cell r="W538"/>
          <cell r="X538"/>
          <cell r="Y538"/>
          <cell r="Z538"/>
          <cell r="AA538"/>
          <cell r="AB538"/>
          <cell r="AC538"/>
          <cell r="AD538"/>
          <cell r="AE538"/>
          <cell r="AF538">
            <v>9.2177000000000007</v>
          </cell>
          <cell r="AG538"/>
          <cell r="AH538"/>
          <cell r="AI538" t="str">
            <v>Co</v>
          </cell>
          <cell r="AJ538" t="str">
            <v>-9.Al</v>
          </cell>
          <cell r="AK538" t="str">
            <v>-9.W</v>
          </cell>
          <cell r="AL538" t="str">
            <v/>
          </cell>
          <cell r="AM538" t="str">
            <v/>
          </cell>
          <cell r="AN538" t="str">
            <v/>
          </cell>
          <cell r="AO538" t="str">
            <v/>
          </cell>
          <cell r="AP538" t="str">
            <v>-2.V</v>
          </cell>
          <cell r="AQ538" t="str">
            <v/>
          </cell>
          <cell r="AR538" t="str">
            <v/>
          </cell>
          <cell r="AS538" t="str">
            <v/>
          </cell>
          <cell r="AT538" t="str">
            <v/>
          </cell>
          <cell r="AU538" t="str">
            <v/>
          </cell>
          <cell r="AV538" t="str">
            <v/>
          </cell>
          <cell r="AW538" t="str">
            <v/>
          </cell>
          <cell r="AX538" t="str">
            <v/>
          </cell>
          <cell r="AY538" t="str">
            <v/>
          </cell>
          <cell r="AZ538" t="str">
            <v/>
          </cell>
          <cell r="BA538" t="str">
            <v/>
          </cell>
          <cell r="BB538" t="str">
            <v/>
          </cell>
          <cell r="BC538" t="str">
            <v/>
          </cell>
          <cell r="BD538" t="str">
            <v/>
          </cell>
          <cell r="BE538" t="str">
            <v/>
          </cell>
          <cell r="BF538" t="str">
            <v/>
          </cell>
          <cell r="BG538" t="str">
            <v/>
          </cell>
          <cell r="BH538" t="str">
            <v>Co-9Al-9W-2VWang, L. et al. Microstructure, phase stability and element partitioning of γ-γ′ Co-9Al-9W-2X alloys in different annealing conditions. J. Alloys Compd. 787, 594–605 (2019).</v>
          </cell>
          <cell r="BI538" t="str">
            <v>Co-9.Al-9.W-2.V</v>
          </cell>
          <cell r="BJ538" t="str">
            <v>80.0Co-9.0Al-9.0W-2.0V</v>
          </cell>
        </row>
        <row r="539">
          <cell r="A539" t="str">
            <v>Co-9.Al-9.W-2.Nb</v>
          </cell>
          <cell r="B539" t="str">
            <v>CoAlW-X</v>
          </cell>
          <cell r="C539" t="str">
            <v>-9Al-9W-2Nb</v>
          </cell>
          <cell r="D539" t="str">
            <v>Co-9Al-9W-2Nb</v>
          </cell>
          <cell r="E539" t="str">
            <v>Wang, L. et al. Microstructure, phase stability and element partitioning of γ-γ′ Co-9Al-9W-2X alloys in different annealing conditions. J. Alloys Compd. 787, 594–605 (2019).</v>
          </cell>
          <cell r="F539">
            <v>572</v>
          </cell>
          <cell r="G539">
            <v>80</v>
          </cell>
          <cell r="H539"/>
          <cell r="I539">
            <v>9</v>
          </cell>
          <cell r="J539"/>
          <cell r="K539">
            <v>9</v>
          </cell>
          <cell r="L539"/>
          <cell r="M539"/>
          <cell r="N539">
            <v>2</v>
          </cell>
          <cell r="O539"/>
          <cell r="P539"/>
          <cell r="Q539"/>
          <cell r="R539"/>
          <cell r="S539"/>
          <cell r="T539"/>
          <cell r="U539"/>
          <cell r="V539"/>
          <cell r="W539"/>
          <cell r="X539"/>
          <cell r="Y539"/>
          <cell r="Z539"/>
          <cell r="AA539"/>
          <cell r="AB539"/>
          <cell r="AC539"/>
          <cell r="AD539"/>
          <cell r="AE539"/>
          <cell r="AF539">
            <v>9.2668999999999997</v>
          </cell>
          <cell r="AG539"/>
          <cell r="AH539"/>
          <cell r="AI539" t="str">
            <v>Co</v>
          </cell>
          <cell r="AJ539" t="str">
            <v>-9.Al</v>
          </cell>
          <cell r="AK539" t="str">
            <v>-9.W</v>
          </cell>
          <cell r="AL539" t="str">
            <v/>
          </cell>
          <cell r="AM539" t="str">
            <v/>
          </cell>
          <cell r="AN539" t="str">
            <v/>
          </cell>
          <cell r="AO539" t="str">
            <v>-2.Nb</v>
          </cell>
          <cell r="AP539" t="str">
            <v/>
          </cell>
          <cell r="AQ539" t="str">
            <v/>
          </cell>
          <cell r="AR539" t="str">
            <v/>
          </cell>
          <cell r="AS539" t="str">
            <v/>
          </cell>
          <cell r="AT539" t="str">
            <v/>
          </cell>
          <cell r="AU539" t="str">
            <v/>
          </cell>
          <cell r="AV539" t="str">
            <v/>
          </cell>
          <cell r="AW539" t="str">
            <v/>
          </cell>
          <cell r="AX539" t="str">
            <v/>
          </cell>
          <cell r="AY539" t="str">
            <v/>
          </cell>
          <cell r="AZ539" t="str">
            <v/>
          </cell>
          <cell r="BA539" t="str">
            <v/>
          </cell>
          <cell r="BB539" t="str">
            <v/>
          </cell>
          <cell r="BC539" t="str">
            <v/>
          </cell>
          <cell r="BD539" t="str">
            <v/>
          </cell>
          <cell r="BE539" t="str">
            <v/>
          </cell>
          <cell r="BF539" t="str">
            <v/>
          </cell>
          <cell r="BG539" t="str">
            <v/>
          </cell>
          <cell r="BH539" t="str">
            <v>Co-9Al-9W-2NbWang, L. et al. Microstructure, phase stability and element partitioning of γ-γ′ Co-9Al-9W-2X alloys in different annealing conditions. J. Alloys Compd. 787, 594–605 (2019).</v>
          </cell>
          <cell r="BI539" t="str">
            <v>Co-9.Al-9.W-2.Nb</v>
          </cell>
          <cell r="BJ539" t="str">
            <v>80.0Co-9.0Al-9.0W-2.0Nb</v>
          </cell>
        </row>
        <row r="540">
          <cell r="A540" t="str">
            <v>Co-9.Al-9.W-2.Ta</v>
          </cell>
          <cell r="B540" t="str">
            <v>CoAlW-X</v>
          </cell>
          <cell r="C540" t="str">
            <v>-9Al-9W-2Ta</v>
          </cell>
          <cell r="D540" t="str">
            <v>Co-9Al-9W-2Ta</v>
          </cell>
          <cell r="E540" t="str">
            <v>Wang, L. et al. Microstructure, phase stability and element partitioning of γ-γ′ Co-9Al-9W-2X alloys in different annealing conditions. J. Alloys Compd. 787, 594–605 (2019).</v>
          </cell>
          <cell r="F540">
            <v>573</v>
          </cell>
          <cell r="G540">
            <v>80</v>
          </cell>
          <cell r="H540"/>
          <cell r="I540">
            <v>9</v>
          </cell>
          <cell r="J540"/>
          <cell r="K540">
            <v>9</v>
          </cell>
          <cell r="L540"/>
          <cell r="M540">
            <v>2</v>
          </cell>
          <cell r="N540"/>
          <cell r="O540"/>
          <cell r="P540"/>
          <cell r="Q540"/>
          <cell r="R540"/>
          <cell r="S540"/>
          <cell r="T540"/>
          <cell r="U540"/>
          <cell r="V540"/>
          <cell r="W540"/>
          <cell r="X540"/>
          <cell r="Y540"/>
          <cell r="Z540"/>
          <cell r="AA540"/>
          <cell r="AB540"/>
          <cell r="AC540"/>
          <cell r="AD540"/>
          <cell r="AE540"/>
          <cell r="AF540">
            <v>9.4284999999999997</v>
          </cell>
          <cell r="AG540"/>
          <cell r="AH540"/>
          <cell r="AI540" t="str">
            <v>Co</v>
          </cell>
          <cell r="AJ540" t="str">
            <v>-9.Al</v>
          </cell>
          <cell r="AK540" t="str">
            <v>-9.W</v>
          </cell>
          <cell r="AL540" t="str">
            <v/>
          </cell>
          <cell r="AM540" t="str">
            <v/>
          </cell>
          <cell r="AN540" t="str">
            <v>-2.Ta</v>
          </cell>
          <cell r="AO540" t="str">
            <v/>
          </cell>
          <cell r="AP540" t="str">
            <v/>
          </cell>
          <cell r="AQ540" t="str">
            <v/>
          </cell>
          <cell r="AR540" t="str">
            <v/>
          </cell>
          <cell r="AS540" t="str">
            <v/>
          </cell>
          <cell r="AT540" t="str">
            <v/>
          </cell>
          <cell r="AU540" t="str">
            <v/>
          </cell>
          <cell r="AV540" t="str">
            <v/>
          </cell>
          <cell r="AW540" t="str">
            <v/>
          </cell>
          <cell r="AX540" t="str">
            <v/>
          </cell>
          <cell r="AY540" t="str">
            <v/>
          </cell>
          <cell r="AZ540" t="str">
            <v/>
          </cell>
          <cell r="BA540" t="str">
            <v/>
          </cell>
          <cell r="BB540" t="str">
            <v/>
          </cell>
          <cell r="BC540" t="str">
            <v/>
          </cell>
          <cell r="BD540" t="str">
            <v/>
          </cell>
          <cell r="BE540" t="str">
            <v/>
          </cell>
          <cell r="BF540" t="str">
            <v/>
          </cell>
          <cell r="BG540" t="str">
            <v/>
          </cell>
          <cell r="BH540" t="str">
            <v>Co-9Al-9W-2TaWang, L. et al. Microstructure, phase stability and element partitioning of γ-γ′ Co-9Al-9W-2X alloys in different annealing conditions. J. Alloys Compd. 787, 594–605 (2019).</v>
          </cell>
          <cell r="BI540" t="str">
            <v>Co-9.Al-9.W-2.Ta</v>
          </cell>
          <cell r="BJ540" t="str">
            <v>80.0Co-9.0Al-9.0W-2.0Ta</v>
          </cell>
        </row>
        <row r="541">
          <cell r="A541" t="str">
            <v>Co-15.Ni-4.Al-5.Cr-15.W-8.Ta</v>
          </cell>
          <cell r="B541" t="str">
            <v>CoAlWX+</v>
          </cell>
          <cell r="C541" t="str">
            <v>-15Ni-4Al-5Cr-15W-8Ta</v>
          </cell>
          <cell r="D541" t="str">
            <v>Wang alloy 1</v>
          </cell>
          <cell r="E541" t="str">
            <v>Wang, S. Y. et al. Investigation on microstructure and mechanical properties of a vacuum brazed joint of γ′-strengthened Co-based single crystal superalloy before and after the post-bond heat treatment. Vacuum 177, (2020).</v>
          </cell>
          <cell r="F541">
            <v>574</v>
          </cell>
          <cell r="G541">
            <v>53</v>
          </cell>
          <cell r="H541">
            <v>15</v>
          </cell>
          <cell r="I541">
            <v>4</v>
          </cell>
          <cell r="J541">
            <v>5</v>
          </cell>
          <cell r="K541">
            <v>15</v>
          </cell>
          <cell r="L541"/>
          <cell r="M541">
            <v>8</v>
          </cell>
          <cell r="N541"/>
          <cell r="O541"/>
          <cell r="P541"/>
          <cell r="Q541"/>
          <cell r="R541"/>
          <cell r="S541"/>
          <cell r="T541"/>
          <cell r="U541"/>
          <cell r="V541"/>
          <cell r="W541"/>
          <cell r="X541"/>
          <cell r="Y541"/>
          <cell r="Z541"/>
          <cell r="AA541"/>
          <cell r="AB541"/>
          <cell r="AC541"/>
          <cell r="AD541"/>
          <cell r="AE541"/>
          <cell r="AF541">
            <v>10.7402</v>
          </cell>
          <cell r="AG541"/>
          <cell r="AH541"/>
          <cell r="AI541" t="str">
            <v>Co</v>
          </cell>
          <cell r="AJ541" t="str">
            <v>-4.Al</v>
          </cell>
          <cell r="AK541" t="str">
            <v>-15.W</v>
          </cell>
          <cell r="AL541" t="str">
            <v>-15.Ni</v>
          </cell>
          <cell r="AM541" t="str">
            <v>-5.Cr</v>
          </cell>
          <cell r="AN541" t="str">
            <v>-8.Ta</v>
          </cell>
          <cell r="AO541" t="str">
            <v/>
          </cell>
          <cell r="AP541" t="str">
            <v/>
          </cell>
          <cell r="AQ541" t="str">
            <v/>
          </cell>
          <cell r="AR541" t="str">
            <v/>
          </cell>
          <cell r="AS541" t="str">
            <v/>
          </cell>
          <cell r="AT541" t="str">
            <v/>
          </cell>
          <cell r="AU541" t="str">
            <v/>
          </cell>
          <cell r="AV541" t="str">
            <v/>
          </cell>
          <cell r="AW541" t="str">
            <v/>
          </cell>
          <cell r="AX541" t="str">
            <v/>
          </cell>
          <cell r="AY541" t="str">
            <v/>
          </cell>
          <cell r="AZ541" t="str">
            <v/>
          </cell>
          <cell r="BA541" t="str">
            <v/>
          </cell>
          <cell r="BB541" t="str">
            <v/>
          </cell>
          <cell r="BC541" t="str">
            <v/>
          </cell>
          <cell r="BD541" t="str">
            <v/>
          </cell>
          <cell r="BE541" t="str">
            <v/>
          </cell>
          <cell r="BF541" t="str">
            <v/>
          </cell>
          <cell r="BG541" t="str">
            <v/>
          </cell>
          <cell r="BH541" t="str">
            <v>Wang alloy 1Wang, S. Y. et al. Investigation on microstructure and mechanical properties of a vacuum brazed joint of γ′-strengthened Co-based single crystal superalloy before and after the post-bond heat treatment. Vacuum 177, (2020).</v>
          </cell>
          <cell r="BI541" t="str">
            <v>Co-15.Ni-4.Al-5.Cr-15.W-8.Ta</v>
          </cell>
          <cell r="BJ541" t="str">
            <v>68.0Co-15.0Ni-4.0Al-5.0Cr-15.0W-8.0Ta</v>
          </cell>
        </row>
        <row r="542">
          <cell r="A542" t="str">
            <v>Co-9.Al-7.W-2.Ta-2.Hf</v>
          </cell>
          <cell r="B542" t="str">
            <v>CoAlWX+</v>
          </cell>
          <cell r="C542" t="str">
            <v>-9Al-7W-2Ta-2Hf</v>
          </cell>
          <cell r="D542" t="str">
            <v>Co-9Al-7W-2Ta-2Hf</v>
          </cell>
          <cell r="E542" t="str">
            <v>Wang, S., Li, S. &amp; Sha, J. Effect of Hf additions on microstructure and mechanical properties of a Co-9Al-9W-2Ta alloy at room and high-temperatures. in Procedia Engineering vol. 27 1162–1168 (Elsevier Ltd, 2012).</v>
          </cell>
          <cell r="F542">
            <v>576</v>
          </cell>
          <cell r="G542">
            <v>80</v>
          </cell>
          <cell r="H542"/>
          <cell r="I542">
            <v>9</v>
          </cell>
          <cell r="J542"/>
          <cell r="K542">
            <v>7</v>
          </cell>
          <cell r="L542"/>
          <cell r="M542">
            <v>2</v>
          </cell>
          <cell r="N542"/>
          <cell r="O542"/>
          <cell r="P542"/>
          <cell r="Q542"/>
          <cell r="R542"/>
          <cell r="S542"/>
          <cell r="T542"/>
          <cell r="U542"/>
          <cell r="V542"/>
          <cell r="W542"/>
          <cell r="X542"/>
          <cell r="Y542">
            <v>2</v>
          </cell>
          <cell r="Z542"/>
          <cell r="AA542"/>
          <cell r="AB542"/>
          <cell r="AC542"/>
          <cell r="AD542"/>
          <cell r="AE542"/>
          <cell r="AF542">
            <v>9.3096999999999994</v>
          </cell>
          <cell r="AG542"/>
          <cell r="AH542"/>
          <cell r="AI542" t="str">
            <v>Co</v>
          </cell>
          <cell r="AJ542" t="str">
            <v>-9.Al</v>
          </cell>
          <cell r="AK542" t="str">
            <v>-7.W</v>
          </cell>
          <cell r="AL542" t="str">
            <v/>
          </cell>
          <cell r="AM542" t="str">
            <v/>
          </cell>
          <cell r="AN542" t="str">
            <v>-2.Ta</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-2.Hf</v>
          </cell>
          <cell r="BB542" t="str">
            <v/>
          </cell>
          <cell r="BC542" t="str">
            <v/>
          </cell>
          <cell r="BD542" t="str">
            <v/>
          </cell>
          <cell r="BE542" t="str">
            <v/>
          </cell>
          <cell r="BF542" t="str">
            <v/>
          </cell>
          <cell r="BG542" t="str">
            <v/>
          </cell>
          <cell r="BH542" t="str">
            <v>Co-9Al-7W-2Ta-2HfWang, S., Li, S. &amp; Sha, J. Effect of Hf additions on microstructure and mechanical properties of a Co-9Al-9W-2Ta alloy at room and high-temperatures. in Procedia Engineering vol. 27 1162–1168 (Elsevier Ltd, 2012).</v>
          </cell>
          <cell r="BI542" t="str">
            <v>Co-9.Al-7.W-2.Ta-2.Hf</v>
          </cell>
          <cell r="BJ542" t="str">
            <v>80.0Co-9.0Al-7.0W-2.0Ta-2.0Hf</v>
          </cell>
        </row>
        <row r="543">
          <cell r="A543" t="str">
            <v>Co-9.Al-4.W-2.Ta-5.Hf</v>
          </cell>
          <cell r="B543" t="str">
            <v>CoAlWX+</v>
          </cell>
          <cell r="C543" t="str">
            <v>-9Al-4W-2Ta-4Hf</v>
          </cell>
          <cell r="D543" t="str">
            <v>Co-9Al-4W-2Ta-5Hf</v>
          </cell>
          <cell r="E543" t="str">
            <v>Wang, S., Li, S. &amp; Sha, J. Effect of Hf additions on microstructure and mechanical properties of a Co-9Al-9W-2Ta alloy at room and high-temperatures. in Procedia Engineering vol. 27 1162–1168 (Elsevier Ltd, 2012).</v>
          </cell>
          <cell r="F543">
            <v>577</v>
          </cell>
          <cell r="G543">
            <v>80</v>
          </cell>
          <cell r="H543"/>
          <cell r="I543">
            <v>9</v>
          </cell>
          <cell r="J543"/>
          <cell r="K543">
            <v>4</v>
          </cell>
          <cell r="L543"/>
          <cell r="M543">
            <v>2</v>
          </cell>
          <cell r="N543"/>
          <cell r="O543"/>
          <cell r="P543"/>
          <cell r="Q543"/>
          <cell r="R543"/>
          <cell r="S543"/>
          <cell r="T543"/>
          <cell r="U543"/>
          <cell r="V543"/>
          <cell r="W543"/>
          <cell r="X543"/>
          <cell r="Y543">
            <v>5</v>
          </cell>
          <cell r="Z543"/>
          <cell r="AA543"/>
          <cell r="AB543"/>
          <cell r="AC543"/>
          <cell r="AD543"/>
          <cell r="AE543"/>
          <cell r="AF543">
            <v>9.1314999999999991</v>
          </cell>
          <cell r="AG543"/>
          <cell r="AH543"/>
          <cell r="AI543" t="str">
            <v>Co</v>
          </cell>
          <cell r="AJ543" t="str">
            <v>-9.Al</v>
          </cell>
          <cell r="AK543" t="str">
            <v>-4.W</v>
          </cell>
          <cell r="AL543" t="str">
            <v/>
          </cell>
          <cell r="AM543" t="str">
            <v/>
          </cell>
          <cell r="AN543" t="str">
            <v>-2.Ta</v>
          </cell>
          <cell r="AO543" t="str">
            <v/>
          </cell>
          <cell r="AP543" t="str">
            <v/>
          </cell>
          <cell r="AQ543" t="str">
            <v/>
          </cell>
          <cell r="AR543" t="str">
            <v/>
          </cell>
          <cell r="AS543" t="str">
            <v/>
          </cell>
          <cell r="AT543" t="str">
            <v/>
          </cell>
          <cell r="AU543" t="str">
            <v/>
          </cell>
          <cell r="AV543" t="str">
            <v/>
          </cell>
          <cell r="AW543" t="str">
            <v/>
          </cell>
          <cell r="AX543" t="str">
            <v/>
          </cell>
          <cell r="AY543" t="str">
            <v/>
          </cell>
          <cell r="AZ543" t="str">
            <v/>
          </cell>
          <cell r="BA543" t="str">
            <v>-5.Hf</v>
          </cell>
          <cell r="BB543" t="str">
            <v/>
          </cell>
          <cell r="BC543" t="str">
            <v/>
          </cell>
          <cell r="BD543" t="str">
            <v/>
          </cell>
          <cell r="BE543" t="str">
            <v/>
          </cell>
          <cell r="BF543" t="str">
            <v/>
          </cell>
          <cell r="BG543" t="str">
            <v/>
          </cell>
          <cell r="BH543" t="str">
            <v>Co-9Al-4W-2Ta-5HfWang, S., Li, S. &amp; Sha, J. Effect of Hf additions on microstructure and mechanical properties of a Co-9Al-9W-2Ta alloy at room and high-temperatures. in Procedia Engineering vol. 27 1162–1168 (Elsevier Ltd, 2012).</v>
          </cell>
          <cell r="BI543" t="str">
            <v>Co-9.Al-4.W-2.Ta-5.Hf</v>
          </cell>
          <cell r="BJ543" t="str">
            <v>81.0Co-9.0Al-4.0W-2.0Ta-4.0Hf</v>
          </cell>
        </row>
        <row r="544">
          <cell r="A544" t="str">
            <v>Co-9.Al-3.W-2.Ta-6.Hf</v>
          </cell>
          <cell r="B544" t="str">
            <v>CoAlWX+</v>
          </cell>
          <cell r="C544" t="str">
            <v>-9Al-3W-2Ta-5Hf</v>
          </cell>
          <cell r="D544" t="str">
            <v>Co-9Al-3W-2Ta-6Hf</v>
          </cell>
          <cell r="E544" t="str">
            <v>Wang, S., Li, S. &amp; Sha, J. Effect of Hf additions on microstructure and mechanical properties of a Co-9Al-9W-2Ta alloy at room and high-temperatures. in Procedia Engineering vol. 27 1162–1168 (Elsevier Ltd, 2012).</v>
          </cell>
          <cell r="F544">
            <v>578</v>
          </cell>
          <cell r="G544">
            <v>80</v>
          </cell>
          <cell r="H544"/>
          <cell r="I544">
            <v>9</v>
          </cell>
          <cell r="J544"/>
          <cell r="K544">
            <v>3</v>
          </cell>
          <cell r="L544"/>
          <cell r="M544">
            <v>2</v>
          </cell>
          <cell r="N544"/>
          <cell r="O544"/>
          <cell r="P544"/>
          <cell r="Q544"/>
          <cell r="R544"/>
          <cell r="S544"/>
          <cell r="T544"/>
          <cell r="U544"/>
          <cell r="V544"/>
          <cell r="W544"/>
          <cell r="X544"/>
          <cell r="Y544">
            <v>6</v>
          </cell>
          <cell r="Z544"/>
          <cell r="AA544"/>
          <cell r="AB544"/>
          <cell r="AC544"/>
          <cell r="AD544"/>
          <cell r="AE544"/>
          <cell r="AF544">
            <v>9.0720999999999989</v>
          </cell>
          <cell r="AG544"/>
          <cell r="AH544"/>
          <cell r="AI544" t="str">
            <v>Co</v>
          </cell>
          <cell r="AJ544" t="str">
            <v>-9.Al</v>
          </cell>
          <cell r="AK544" t="str">
            <v>-3.W</v>
          </cell>
          <cell r="AL544" t="str">
            <v/>
          </cell>
          <cell r="AM544" t="str">
            <v/>
          </cell>
          <cell r="AN544" t="str">
            <v>-2.Ta</v>
          </cell>
          <cell r="AO544" t="str">
            <v/>
          </cell>
          <cell r="AP544" t="str">
            <v/>
          </cell>
          <cell r="AQ544" t="str">
            <v/>
          </cell>
          <cell r="AR544" t="str">
            <v/>
          </cell>
          <cell r="AS544" t="str">
            <v/>
          </cell>
          <cell r="AT544" t="str">
            <v/>
          </cell>
          <cell r="AU544" t="str">
            <v/>
          </cell>
          <cell r="AV544" t="str">
            <v/>
          </cell>
          <cell r="AW544" t="str">
            <v/>
          </cell>
          <cell r="AX544" t="str">
            <v/>
          </cell>
          <cell r="AY544" t="str">
            <v/>
          </cell>
          <cell r="AZ544" t="str">
            <v/>
          </cell>
          <cell r="BA544" t="str">
            <v>-6.Hf</v>
          </cell>
          <cell r="BB544" t="str">
            <v/>
          </cell>
          <cell r="BC544" t="str">
            <v/>
          </cell>
          <cell r="BD544" t="str">
            <v/>
          </cell>
          <cell r="BE544" t="str">
            <v/>
          </cell>
          <cell r="BF544" t="str">
            <v/>
          </cell>
          <cell r="BG544" t="str">
            <v/>
          </cell>
          <cell r="BH544" t="str">
            <v>Co-9Al-3W-2Ta-6HfWang, S., Li, S. &amp; Sha, J. Effect of Hf additions on microstructure and mechanical properties of a Co-9Al-9W-2Ta alloy at room and high-temperatures. in Procedia Engineering vol. 27 1162–1168 (Elsevier Ltd, 2012).</v>
          </cell>
          <cell r="BI544" t="str">
            <v>Co-9.Al-3.W-2.Ta-6.Hf</v>
          </cell>
          <cell r="BJ544" t="str">
            <v>81.0Co-9.0Al-3.0W-2.0Ta-5.0Hf</v>
          </cell>
        </row>
        <row r="545">
          <cell r="A545" t="str">
            <v>Co-9.Al-2.Ta-9.Hf</v>
          </cell>
          <cell r="B545" t="str">
            <v>W-free</v>
          </cell>
          <cell r="C545" t="str">
            <v>-9Al-2Ta-9Hf</v>
          </cell>
          <cell r="D545" t="str">
            <v>Co-9Al-2Ta-9Hf</v>
          </cell>
          <cell r="E545" t="str">
            <v>Wang, S., Li, S. &amp; Sha, J. Effect of Hf additions on microstructure and mechanical properties of a Co-9Al-9W-2Ta alloy at room and high-temperatures. in Procedia Engineering vol. 27 1162–1168 (Elsevier Ltd, 2012).</v>
          </cell>
          <cell r="F545">
            <v>579</v>
          </cell>
          <cell r="G545">
            <v>80</v>
          </cell>
          <cell r="H545"/>
          <cell r="I545">
            <v>9</v>
          </cell>
          <cell r="J545"/>
          <cell r="K545"/>
          <cell r="L545"/>
          <cell r="M545">
            <v>2</v>
          </cell>
          <cell r="N545"/>
          <cell r="O545"/>
          <cell r="P545"/>
          <cell r="Q545"/>
          <cell r="R545"/>
          <cell r="S545"/>
          <cell r="T545"/>
          <cell r="U545"/>
          <cell r="V545"/>
          <cell r="W545"/>
          <cell r="X545"/>
          <cell r="Y545">
            <v>9</v>
          </cell>
          <cell r="Z545"/>
          <cell r="AA545"/>
          <cell r="AB545"/>
          <cell r="AC545"/>
          <cell r="AD545"/>
          <cell r="AE545"/>
          <cell r="AF545">
            <v>8.8938999999999986</v>
          </cell>
          <cell r="AG545"/>
          <cell r="AH545"/>
          <cell r="AI545" t="str">
            <v>Co</v>
          </cell>
          <cell r="AJ545" t="str">
            <v>-9.Al</v>
          </cell>
          <cell r="AK545" t="str">
            <v/>
          </cell>
          <cell r="AL545" t="str">
            <v/>
          </cell>
          <cell r="AM545" t="str">
            <v/>
          </cell>
          <cell r="AN545" t="str">
            <v>-2.Ta</v>
          </cell>
          <cell r="AO545" t="str">
            <v/>
          </cell>
          <cell r="AP545" t="str">
            <v/>
          </cell>
          <cell r="AQ545" t="str">
            <v/>
          </cell>
          <cell r="AR545" t="str">
            <v/>
          </cell>
          <cell r="AS545" t="str">
            <v/>
          </cell>
          <cell r="AT545" t="str">
            <v/>
          </cell>
          <cell r="AU545" t="str">
            <v/>
          </cell>
          <cell r="AV545" t="str">
            <v/>
          </cell>
          <cell r="AW545" t="str">
            <v/>
          </cell>
          <cell r="AX545" t="str">
            <v/>
          </cell>
          <cell r="AY545" t="str">
            <v/>
          </cell>
          <cell r="AZ545" t="str">
            <v/>
          </cell>
          <cell r="BA545" t="str">
            <v>-9.Hf</v>
          </cell>
          <cell r="BB545" t="str">
            <v/>
          </cell>
          <cell r="BC545" t="str">
            <v/>
          </cell>
          <cell r="BD545" t="str">
            <v/>
          </cell>
          <cell r="BE545" t="str">
            <v/>
          </cell>
          <cell r="BF545" t="str">
            <v/>
          </cell>
          <cell r="BG545" t="str">
            <v/>
          </cell>
          <cell r="BH545" t="str">
            <v>Co-9Al-2Ta-9HfWang, S., Li, S. &amp; Sha, J. Effect of Hf additions on microstructure and mechanical properties of a Co-9Al-9W-2Ta alloy at room and high-temperatures. in Procedia Engineering vol. 27 1162–1168 (Elsevier Ltd, 2012).</v>
          </cell>
          <cell r="BI545" t="str">
            <v>Co-9.Al-2.Ta-9.Hf</v>
          </cell>
          <cell r="BJ545" t="str">
            <v>80.0Co-9.0Al-2.0Ta-9.0Hf</v>
          </cell>
        </row>
        <row r="546">
          <cell r="A546" t="str">
            <v>Co-8.4Al-8.9W-1.9Ta</v>
          </cell>
          <cell r="B546" t="str">
            <v>CoAlW-X</v>
          </cell>
          <cell r="C546" t="str">
            <v>-8Al-9W-2Ta</v>
          </cell>
          <cell r="D546" t="str">
            <v>Weaver Alloy 1</v>
          </cell>
          <cell r="E546" t="str">
            <v>Weaver, D. S., Shivpuri, R., Brevick, J. &amp; Fraser, H. Thermomechanical Processing of a Gamma-Prime Strengthened Cobalt-Base Superalloy.</v>
          </cell>
          <cell r="F546">
            <v>580</v>
          </cell>
          <cell r="G546">
            <v>80.8</v>
          </cell>
          <cell r="H546"/>
          <cell r="I546">
            <v>8.4</v>
          </cell>
          <cell r="J546"/>
          <cell r="K546">
            <v>8.9</v>
          </cell>
          <cell r="L546"/>
          <cell r="M546">
            <v>1.9</v>
          </cell>
          <cell r="N546"/>
          <cell r="O546"/>
          <cell r="P546"/>
          <cell r="Q546"/>
          <cell r="R546"/>
          <cell r="S546"/>
          <cell r="T546"/>
          <cell r="U546"/>
          <cell r="V546"/>
          <cell r="W546"/>
          <cell r="X546"/>
          <cell r="Y546"/>
          <cell r="Z546"/>
          <cell r="AA546"/>
          <cell r="AB546"/>
          <cell r="AC546"/>
          <cell r="AD546"/>
          <cell r="AE546"/>
          <cell r="AF546">
            <v>9.4475999999999996</v>
          </cell>
          <cell r="AG546">
            <v>10.2416</v>
          </cell>
          <cell r="AH546"/>
          <cell r="AI546" t="str">
            <v>Co</v>
          </cell>
          <cell r="AJ546" t="str">
            <v>-8.4Al</v>
          </cell>
          <cell r="AK546" t="str">
            <v>-8.9W</v>
          </cell>
          <cell r="AL546" t="str">
            <v/>
          </cell>
          <cell r="AM546" t="str">
            <v/>
          </cell>
          <cell r="AN546" t="str">
            <v>-1.9Ta</v>
          </cell>
          <cell r="AO546" t="str">
            <v/>
          </cell>
          <cell r="AP546" t="str">
            <v/>
          </cell>
          <cell r="AQ546" t="str">
            <v/>
          </cell>
          <cell r="AR546" t="str">
            <v/>
          </cell>
          <cell r="AS546" t="str">
            <v/>
          </cell>
          <cell r="AT546" t="str">
            <v/>
          </cell>
          <cell r="AU546" t="str">
            <v/>
          </cell>
          <cell r="AV546" t="str">
            <v/>
          </cell>
          <cell r="AW546" t="str">
            <v/>
          </cell>
          <cell r="AX546" t="str">
            <v/>
          </cell>
          <cell r="AY546" t="str">
            <v/>
          </cell>
          <cell r="AZ546" t="str">
            <v/>
          </cell>
          <cell r="BA546" t="str">
            <v/>
          </cell>
          <cell r="BB546" t="str">
            <v/>
          </cell>
          <cell r="BC546" t="str">
            <v/>
          </cell>
          <cell r="BD546" t="str">
            <v/>
          </cell>
          <cell r="BE546" t="str">
            <v/>
          </cell>
          <cell r="BF546" t="str">
            <v/>
          </cell>
          <cell r="BG546" t="str">
            <v/>
          </cell>
          <cell r="BH546" t="str">
            <v>Weaver Alloy 1Weaver, D. S., Shivpuri, R., Brevick, J. &amp; Fraser, H. Thermomechanical Processing of a Gamma-Prime Strengthened Cobalt-Base Superalloy.</v>
          </cell>
          <cell r="BI546" t="str">
            <v>Co-8.4Al-8.9W-1.9Ta</v>
          </cell>
          <cell r="BJ546" t="str">
            <v>80.8Co-8.4Al-8.9W-1.9Ta</v>
          </cell>
        </row>
        <row r="547">
          <cell r="A547" t="str">
            <v>Co-38.Ni-9.Al-6.Cr-2.W-5.Ti-1.Ta-1.Mo</v>
          </cell>
          <cell r="B547" t="str">
            <v>Co3Ti</v>
          </cell>
          <cell r="C547" t="str">
            <v>-38Ni-9Al-6Cr-2W-5Ti-1Ta-1Mo</v>
          </cell>
          <cell r="D547" t="str">
            <v>9Al</v>
          </cell>
          <cell r="E547" t="str">
            <v>Wen, M. et al. Effects of Al content on microstructures and high-temperature tensile properties of two newly designed CoNi-base superalloys. J. Alloys Compd. 155337 (2020) doi:10.1016/j.jallcom.2020.155337.</v>
          </cell>
          <cell r="F547">
            <v>581</v>
          </cell>
          <cell r="G547">
            <v>38</v>
          </cell>
          <cell r="H547">
            <v>38</v>
          </cell>
          <cell r="I547">
            <v>9</v>
          </cell>
          <cell r="J547">
            <v>6</v>
          </cell>
          <cell r="K547">
            <v>2</v>
          </cell>
          <cell r="L547">
            <v>5</v>
          </cell>
          <cell r="M547">
            <v>1</v>
          </cell>
          <cell r="N547"/>
          <cell r="O547"/>
          <cell r="P547">
            <v>1</v>
          </cell>
          <cell r="Q547"/>
          <cell r="R547"/>
          <cell r="S547"/>
          <cell r="T547"/>
          <cell r="U547"/>
          <cell r="V547"/>
          <cell r="W547"/>
          <cell r="X547"/>
          <cell r="Y547"/>
          <cell r="Z547"/>
          <cell r="AA547"/>
          <cell r="AB547"/>
          <cell r="AC547"/>
          <cell r="AD547"/>
          <cell r="AE547"/>
          <cell r="AF547">
            <v>8.3210899999999981</v>
          </cell>
          <cell r="AG547"/>
          <cell r="AH547"/>
          <cell r="AI547" t="str">
            <v>Co</v>
          </cell>
          <cell r="AJ547" t="str">
            <v>-9.Al</v>
          </cell>
          <cell r="AK547" t="str">
            <v>-2.W</v>
          </cell>
          <cell r="AL547" t="str">
            <v>-38.Ni</v>
          </cell>
          <cell r="AM547" t="str">
            <v>-6.Cr</v>
          </cell>
          <cell r="AN547" t="str">
            <v>-1.Ta</v>
          </cell>
          <cell r="AO547" t="str">
            <v/>
          </cell>
          <cell r="AP547" t="str">
            <v/>
          </cell>
          <cell r="AQ547" t="str">
            <v>-5.Ti</v>
          </cell>
          <cell r="AR547" t="str">
            <v>-1.Mo</v>
          </cell>
          <cell r="AS547" t="str">
            <v/>
          </cell>
          <cell r="AT547" t="str">
            <v/>
          </cell>
          <cell r="AU547" t="str">
            <v/>
          </cell>
          <cell r="AV547" t="str">
            <v/>
          </cell>
          <cell r="AW547" t="str">
            <v/>
          </cell>
          <cell r="AX547" t="str">
            <v/>
          </cell>
          <cell r="AY547" t="str">
            <v/>
          </cell>
          <cell r="AZ547" t="str">
            <v/>
          </cell>
          <cell r="BA547" t="str">
            <v/>
          </cell>
          <cell r="BB547" t="str">
            <v/>
          </cell>
          <cell r="BC547" t="str">
            <v/>
          </cell>
          <cell r="BD547" t="str">
            <v/>
          </cell>
          <cell r="BE547" t="str">
            <v/>
          </cell>
          <cell r="BF547" t="str">
            <v/>
          </cell>
          <cell r="BG547" t="str">
            <v/>
          </cell>
          <cell r="BH547" t="str">
            <v>9AlWen, M. et al. Effects of Al content on microstructures and high-temperature tensile properties of two newly designed CoNi-base superalloys. J. Alloys Compd. 155337 (2020) doi:10.1016/j.jallcom.2020.155337.</v>
          </cell>
          <cell r="BI547" t="str">
            <v>Co-38.Ni-9.Al-6.Cr-2.W-5.Ti-1.Ta-1.Mo</v>
          </cell>
          <cell r="BJ547" t="str">
            <v>76.0Co-38.0Ni-9.0Al-6.0Cr-2.0W-5.0Ti-1.0Ta-1.0Mo</v>
          </cell>
        </row>
        <row r="548">
          <cell r="A548" t="str">
            <v>Co-35.Ni-13.Al-6.Cr-2.W-5.Ti-1.Ta</v>
          </cell>
          <cell r="B548" t="str">
            <v>Co3Ti</v>
          </cell>
          <cell r="C548" t="str">
            <v>-35Ni-13Al-6Cr-2W-5Ti-1Ta</v>
          </cell>
          <cell r="D548" t="str">
            <v>13Al</v>
          </cell>
          <cell r="E548" t="str">
            <v>Wen, M. et al. Effects of Al content on microstructures and high-temperature tensile properties of two newly designed CoNi-base superalloys. J. Alloys Compd. 155337 (2020) doi:10.1016/j.jallcom.2020.155337.</v>
          </cell>
          <cell r="F548">
            <v>582</v>
          </cell>
          <cell r="G548">
            <v>38</v>
          </cell>
          <cell r="H548">
            <v>35</v>
          </cell>
          <cell r="I548">
            <v>13</v>
          </cell>
          <cell r="J548">
            <v>6</v>
          </cell>
          <cell r="K548">
            <v>2</v>
          </cell>
          <cell r="L548">
            <v>5</v>
          </cell>
          <cell r="M548">
            <v>1</v>
          </cell>
          <cell r="N548"/>
          <cell r="O548"/>
          <cell r="P548"/>
          <cell r="Q548"/>
          <cell r="R548"/>
          <cell r="S548"/>
          <cell r="T548"/>
          <cell r="U548"/>
          <cell r="V548"/>
          <cell r="W548"/>
          <cell r="X548"/>
          <cell r="Y548"/>
          <cell r="Z548"/>
          <cell r="AA548"/>
          <cell r="AB548"/>
          <cell r="AC548"/>
          <cell r="AD548"/>
          <cell r="AE548"/>
          <cell r="AF548">
            <v>8.0590499999999992</v>
          </cell>
          <cell r="AG548"/>
          <cell r="AH548"/>
          <cell r="AI548" t="str">
            <v>Co</v>
          </cell>
          <cell r="AJ548" t="str">
            <v>-13.Al</v>
          </cell>
          <cell r="AK548" t="str">
            <v>-2.W</v>
          </cell>
          <cell r="AL548" t="str">
            <v>-35.Ni</v>
          </cell>
          <cell r="AM548" t="str">
            <v>-6.Cr</v>
          </cell>
          <cell r="AN548" t="str">
            <v>-1.Ta</v>
          </cell>
          <cell r="AO548" t="str">
            <v/>
          </cell>
          <cell r="AP548" t="str">
            <v/>
          </cell>
          <cell r="AQ548" t="str">
            <v>-5.Ti</v>
          </cell>
          <cell r="AR548" t="str">
            <v/>
          </cell>
          <cell r="AS548" t="str">
            <v/>
          </cell>
          <cell r="AT548" t="str">
            <v/>
          </cell>
          <cell r="AU548" t="str">
            <v/>
          </cell>
          <cell r="AV548" t="str">
            <v/>
          </cell>
          <cell r="AW548" t="str">
            <v/>
          </cell>
          <cell r="AX548" t="str">
            <v/>
          </cell>
          <cell r="AY548" t="str">
            <v/>
          </cell>
          <cell r="AZ548" t="str">
            <v/>
          </cell>
          <cell r="BA548" t="str">
            <v/>
          </cell>
          <cell r="BB548" t="str">
            <v/>
          </cell>
          <cell r="BC548" t="str">
            <v/>
          </cell>
          <cell r="BD548" t="str">
            <v/>
          </cell>
          <cell r="BE548" t="str">
            <v/>
          </cell>
          <cell r="BF548" t="str">
            <v/>
          </cell>
          <cell r="BG548" t="str">
            <v/>
          </cell>
          <cell r="BH548" t="str">
            <v>13AlWen, M. et al. Effects of Al content on microstructures and high-temperature tensile properties of two newly designed CoNi-base superalloys. J. Alloys Compd. 155337 (2020) doi:10.1016/j.jallcom.2020.155337.</v>
          </cell>
          <cell r="BI548" t="str">
            <v>Co-35.Ni-13.Al-6.Cr-2.W-5.Ti-1.Ta</v>
          </cell>
          <cell r="BJ548" t="str">
            <v>73.0Co-35.0Ni-13.0Al-6.0Cr-2.0W-5.0Ti-1.0Ta</v>
          </cell>
        </row>
        <row r="549">
          <cell r="A549" t="str">
            <v>Co-2.Ni-9.Al-7.5W</v>
          </cell>
          <cell r="B549" t="str">
            <v>CoAlW-X</v>
          </cell>
          <cell r="C549" t="str">
            <v>-2Ni-9Al-8W</v>
          </cell>
          <cell r="D549" t="str">
            <v>ERBOCCo-2Ta</v>
          </cell>
          <cell r="E549" t="str">
            <v>Xue, F. et al. Double minimum creep in the rafting regime of a single-crystal Co-base superalloy. Scr. Mater. 142, 129–132 (2018).</v>
          </cell>
          <cell r="F549">
            <v>583</v>
          </cell>
          <cell r="G549">
            <v>81.5</v>
          </cell>
          <cell r="H549">
            <v>2</v>
          </cell>
          <cell r="I549">
            <v>9</v>
          </cell>
          <cell r="J549"/>
          <cell r="K549">
            <v>7.5</v>
          </cell>
          <cell r="L549"/>
          <cell r="M549"/>
          <cell r="N549"/>
          <cell r="O549"/>
          <cell r="P549"/>
          <cell r="Q549"/>
          <cell r="R549"/>
          <cell r="S549"/>
          <cell r="T549"/>
          <cell r="U549"/>
          <cell r="V549"/>
          <cell r="W549"/>
          <cell r="X549"/>
          <cell r="Y549"/>
          <cell r="Z549"/>
          <cell r="AA549"/>
          <cell r="AB549"/>
          <cell r="AC549"/>
          <cell r="AD549"/>
          <cell r="AE549"/>
          <cell r="AF549">
            <v>9.1184100000000008</v>
          </cell>
          <cell r="AG549"/>
          <cell r="AH549" t="str">
            <v>single crystal [001]</v>
          </cell>
          <cell r="AI549" t="str">
            <v>Co</v>
          </cell>
          <cell r="AJ549" t="str">
            <v>-9.Al</v>
          </cell>
          <cell r="AK549" t="str">
            <v>-7.5W</v>
          </cell>
          <cell r="AL549" t="str">
            <v>-2.Ni</v>
          </cell>
          <cell r="AM549" t="str">
            <v/>
          </cell>
          <cell r="AN549" t="str">
            <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
          </cell>
          <cell r="BB549" t="str">
            <v/>
          </cell>
          <cell r="BC549" t="str">
            <v/>
          </cell>
          <cell r="BD549" t="str">
            <v/>
          </cell>
          <cell r="BE549" t="str">
            <v/>
          </cell>
          <cell r="BF549" t="str">
            <v/>
          </cell>
          <cell r="BG549" t="str">
            <v/>
          </cell>
          <cell r="BH549" t="str">
            <v>ERBOCCo-2TaXue, F. et al. Double minimum creep in the rafting regime of a single-crystal Co-base superalloy. Scr. Mater. 142, 129–132 (2018).</v>
          </cell>
          <cell r="BI549" t="str">
            <v>Co-2.Ni-9.Al-7.5W</v>
          </cell>
          <cell r="BJ549" t="str">
            <v>83.5Co-2.0Ni-9.0Al-7.5W</v>
          </cell>
        </row>
        <row r="550">
          <cell r="A550" t="str">
            <v>Co-9.Al-10.W-4.Ti</v>
          </cell>
          <cell r="B550" t="str">
            <v>CoAlW-X</v>
          </cell>
          <cell r="C550" t="str">
            <v>-9Al-10W-4Ti</v>
          </cell>
          <cell r="D550" t="str">
            <v>4Ti</v>
          </cell>
          <cell r="E550" t="str">
            <v>Xue, F., Wang, M. &amp; Feng, Q. Alloying Effects on Heat-Treated Microstructure in Co-Al-W-Base Superalloys at 1300°C and 900°C. Superalloys 2012 813–821 (2012) doi:10.1002/9781118516430.ch90.</v>
          </cell>
          <cell r="F550">
            <v>584</v>
          </cell>
          <cell r="G550">
            <v>77</v>
          </cell>
          <cell r="H550"/>
          <cell r="I550">
            <v>9</v>
          </cell>
          <cell r="J550"/>
          <cell r="K550">
            <v>10</v>
          </cell>
          <cell r="L550">
            <v>4</v>
          </cell>
          <cell r="M550"/>
          <cell r="N550"/>
          <cell r="O550"/>
          <cell r="P550"/>
          <cell r="Q550"/>
          <cell r="R550"/>
          <cell r="S550"/>
          <cell r="T550"/>
          <cell r="U550"/>
          <cell r="V550"/>
          <cell r="W550"/>
          <cell r="X550"/>
          <cell r="Y550"/>
          <cell r="Z550"/>
          <cell r="AA550"/>
          <cell r="AB550"/>
          <cell r="AC550"/>
          <cell r="AD550"/>
          <cell r="AE550"/>
          <cell r="AF550">
            <v>9.2012800000000006</v>
          </cell>
          <cell r="AG550"/>
          <cell r="AH550"/>
          <cell r="AI550" t="str">
            <v>Co</v>
          </cell>
          <cell r="AJ550" t="str">
            <v>-9.Al</v>
          </cell>
          <cell r="AK550" t="str">
            <v>-10.W</v>
          </cell>
          <cell r="AL550" t="str">
            <v/>
          </cell>
          <cell r="AM550" t="str">
            <v/>
          </cell>
          <cell r="AN550" t="str">
            <v/>
          </cell>
          <cell r="AO550" t="str">
            <v/>
          </cell>
          <cell r="AP550" t="str">
            <v/>
          </cell>
          <cell r="AQ550" t="str">
            <v>-4.Ti</v>
          </cell>
          <cell r="AR550" t="str">
            <v/>
          </cell>
          <cell r="AS550" t="str">
            <v/>
          </cell>
          <cell r="AT550" t="str">
            <v/>
          </cell>
          <cell r="AU550" t="str">
            <v/>
          </cell>
          <cell r="AV550" t="str">
            <v/>
          </cell>
          <cell r="AW550" t="str">
            <v/>
          </cell>
          <cell r="AX550" t="str">
            <v/>
          </cell>
          <cell r="AY550" t="str">
            <v/>
          </cell>
          <cell r="AZ550" t="str">
            <v/>
          </cell>
          <cell r="BA550" t="str">
            <v/>
          </cell>
          <cell r="BB550" t="str">
            <v/>
          </cell>
          <cell r="BC550" t="str">
            <v/>
          </cell>
          <cell r="BD550" t="str">
            <v/>
          </cell>
          <cell r="BE550" t="str">
            <v/>
          </cell>
          <cell r="BF550" t="str">
            <v/>
          </cell>
          <cell r="BG550" t="str">
            <v/>
          </cell>
          <cell r="BH550" t="str">
            <v>4TiXue, F., Wang, M. &amp; Feng, Q. Alloying Effects on Heat-Treated Microstructure in Co-Al-W-Base Superalloys at 1300°C and 900°C. Superalloys 2012 813–821 (2012) doi:10.1002/9781118516430.ch90.</v>
          </cell>
          <cell r="BI550" t="str">
            <v>Co-9.Al-10.W-4.Ti</v>
          </cell>
          <cell r="BJ550" t="str">
            <v>77.0Co-9.0Al-10.0W-4.0Ti</v>
          </cell>
        </row>
        <row r="551">
          <cell r="A551" t="str">
            <v>Co-9.Al-10.W-2.Ti</v>
          </cell>
          <cell r="B551" t="str">
            <v>CoAlW-X</v>
          </cell>
          <cell r="C551" t="str">
            <v>-9Al-10W-2Ti</v>
          </cell>
          <cell r="D551" t="str">
            <v>2Ti</v>
          </cell>
          <cell r="E551" t="str">
            <v>Xue, F., Wang, M. &amp; Feng, Q. Alloying Effects on Heat-Treated Microstructure in Co-Al-W-Base Superalloys at 1300°C and 900°C. Superalloys 2012 813–821 (2012) doi:10.1002/9781118516430.ch90.</v>
          </cell>
          <cell r="F551">
            <v>585</v>
          </cell>
          <cell r="G551">
            <v>79</v>
          </cell>
          <cell r="H551"/>
          <cell r="I551">
            <v>9</v>
          </cell>
          <cell r="J551"/>
          <cell r="K551">
            <v>10</v>
          </cell>
          <cell r="L551">
            <v>2</v>
          </cell>
          <cell r="M551"/>
          <cell r="N551"/>
          <cell r="O551"/>
          <cell r="P551"/>
          <cell r="Q551"/>
          <cell r="R551"/>
          <cell r="S551"/>
          <cell r="T551"/>
          <cell r="U551"/>
          <cell r="V551"/>
          <cell r="W551"/>
          <cell r="X551"/>
          <cell r="Y551"/>
          <cell r="Z551"/>
          <cell r="AA551"/>
          <cell r="AB551"/>
          <cell r="AC551"/>
          <cell r="AD551"/>
          <cell r="AE551"/>
          <cell r="AF551">
            <v>9.2891399999999997</v>
          </cell>
          <cell r="AG551"/>
          <cell r="AH551"/>
          <cell r="AI551" t="str">
            <v>Co</v>
          </cell>
          <cell r="AJ551" t="str">
            <v>-9.Al</v>
          </cell>
          <cell r="AK551" t="str">
            <v>-10.W</v>
          </cell>
          <cell r="AL551" t="str">
            <v/>
          </cell>
          <cell r="AM551" t="str">
            <v/>
          </cell>
          <cell r="AN551" t="str">
            <v/>
          </cell>
          <cell r="AO551" t="str">
            <v/>
          </cell>
          <cell r="AP551" t="str">
            <v/>
          </cell>
          <cell r="AQ551" t="str">
            <v>-2.Ti</v>
          </cell>
          <cell r="AR551" t="str">
            <v/>
          </cell>
          <cell r="AS551" t="str">
            <v/>
          </cell>
          <cell r="AT551" t="str">
            <v/>
          </cell>
          <cell r="AU551" t="str">
            <v/>
          </cell>
          <cell r="AV551" t="str">
            <v/>
          </cell>
          <cell r="AW551" t="str">
            <v/>
          </cell>
          <cell r="AX551" t="str">
            <v/>
          </cell>
          <cell r="AY551" t="str">
            <v/>
          </cell>
          <cell r="AZ551" t="str">
            <v/>
          </cell>
          <cell r="BA551" t="str">
            <v/>
          </cell>
          <cell r="BB551" t="str">
            <v/>
          </cell>
          <cell r="BC551" t="str">
            <v/>
          </cell>
          <cell r="BD551" t="str">
            <v/>
          </cell>
          <cell r="BE551" t="str">
            <v/>
          </cell>
          <cell r="BF551" t="str">
            <v/>
          </cell>
          <cell r="BG551" t="str">
            <v/>
          </cell>
          <cell r="BH551" t="str">
            <v>2TiXue, F., Wang, M. &amp; Feng, Q. Alloying Effects on Heat-Treated Microstructure in Co-Al-W-Base Superalloys at 1300°C and 900°C. Superalloys 2012 813–821 (2012) doi:10.1002/9781118516430.ch90.</v>
          </cell>
          <cell r="BI551" t="str">
            <v>Co-9.Al-10.W-2.Ti</v>
          </cell>
          <cell r="BJ551" t="str">
            <v>79.0Co-9.0Al-10.0W-2.0Ti</v>
          </cell>
        </row>
        <row r="552">
          <cell r="A552" t="str">
            <v>Co-9.Al-10.W</v>
          </cell>
          <cell r="B552" t="str">
            <v>CoAlW-X</v>
          </cell>
          <cell r="C552" t="str">
            <v>-9Al-10W</v>
          </cell>
          <cell r="D552" t="str">
            <v>baseline</v>
          </cell>
          <cell r="E552" t="str">
            <v>Xue, F., Wang, M. &amp; Feng, Q. Alloying Effects on Heat-Treated Microstructure in Co-Al-W-Base Superalloys at 1300°C and 900°C. Superalloys 2012 813–821 (2012) doi:10.1002/9781118516430.ch90.</v>
          </cell>
          <cell r="F552">
            <v>586</v>
          </cell>
          <cell r="G552">
            <v>81</v>
          </cell>
          <cell r="H552"/>
          <cell r="I552">
            <v>9</v>
          </cell>
          <cell r="J552"/>
          <cell r="K552">
            <v>10</v>
          </cell>
          <cell r="L552"/>
          <cell r="M552"/>
          <cell r="N552"/>
          <cell r="O552"/>
          <cell r="P552"/>
          <cell r="Q552"/>
          <cell r="R552"/>
          <cell r="S552"/>
          <cell r="T552"/>
          <cell r="U552"/>
          <cell r="V552"/>
          <cell r="W552"/>
          <cell r="X552"/>
          <cell r="Y552"/>
          <cell r="Z552"/>
          <cell r="AA552"/>
          <cell r="AB552"/>
          <cell r="AC552"/>
          <cell r="AD552"/>
          <cell r="AE552"/>
          <cell r="AF552">
            <v>9.3769999999999989</v>
          </cell>
          <cell r="AG552"/>
          <cell r="AH552"/>
          <cell r="AI552" t="str">
            <v>Co</v>
          </cell>
          <cell r="AJ552" t="str">
            <v>-9.Al</v>
          </cell>
          <cell r="AK552" t="str">
            <v>-10.W</v>
          </cell>
          <cell r="AL552" t="str">
            <v/>
          </cell>
          <cell r="AM552" t="str">
            <v/>
          </cell>
          <cell r="AN552" t="str">
            <v/>
          </cell>
          <cell r="AO552" t="str">
            <v/>
          </cell>
          <cell r="AP552" t="str">
            <v/>
          </cell>
          <cell r="AQ552" t="str">
            <v/>
          </cell>
          <cell r="AR552" t="str">
            <v/>
          </cell>
          <cell r="AS552" t="str">
            <v/>
          </cell>
          <cell r="AT552" t="str">
            <v/>
          </cell>
          <cell r="AU552" t="str">
            <v/>
          </cell>
          <cell r="AV552" t="str">
            <v/>
          </cell>
          <cell r="AW552" t="str">
            <v/>
          </cell>
          <cell r="AX552" t="str">
            <v/>
          </cell>
          <cell r="AY552" t="str">
            <v/>
          </cell>
          <cell r="AZ552" t="str">
            <v/>
          </cell>
          <cell r="BA552" t="str">
            <v/>
          </cell>
          <cell r="BB552" t="str">
            <v/>
          </cell>
          <cell r="BC552" t="str">
            <v/>
          </cell>
          <cell r="BD552" t="str">
            <v/>
          </cell>
          <cell r="BE552" t="str">
            <v/>
          </cell>
          <cell r="BF552" t="str">
            <v/>
          </cell>
          <cell r="BG552" t="str">
            <v/>
          </cell>
          <cell r="BH552" t="str">
            <v>baselineXue, F., Wang, M. &amp; Feng, Q. Alloying Effects on Heat-Treated Microstructure in Co-Al-W-Base Superalloys at 1300°C and 900°C. Superalloys 2012 813–821 (2012) doi:10.1002/9781118516430.ch90.</v>
          </cell>
          <cell r="BI552" t="str">
            <v>Co-9.Al-10.W</v>
          </cell>
          <cell r="BJ552" t="str">
            <v>81.0Co-9.0Al-10.0W</v>
          </cell>
        </row>
        <row r="553">
          <cell r="A553" t="str">
            <v>Co-9.Al-10.W-2.V</v>
          </cell>
          <cell r="B553" t="str">
            <v>CoAlW-X</v>
          </cell>
          <cell r="C553" t="str">
            <v>-9Al-10W-2V</v>
          </cell>
          <cell r="D553" t="str">
            <v>2V</v>
          </cell>
          <cell r="E553" t="str">
            <v>Xue, F., Wang, M. &amp; Feng, Q. Alloying Effects on Heat-Treated Microstructure in Co-Al-W-Base Superalloys at 1300°C and 900°C. Superalloys 2012 813–821 (2012) doi:10.1002/9781118516430.ch90.</v>
          </cell>
          <cell r="F553">
            <v>587</v>
          </cell>
          <cell r="G553">
            <v>79</v>
          </cell>
          <cell r="H553"/>
          <cell r="I553">
            <v>9</v>
          </cell>
          <cell r="J553"/>
          <cell r="K553">
            <v>10</v>
          </cell>
          <cell r="L553"/>
          <cell r="M553"/>
          <cell r="N553"/>
          <cell r="O553">
            <v>2</v>
          </cell>
          <cell r="P553"/>
          <cell r="Q553"/>
          <cell r="R553"/>
          <cell r="S553"/>
          <cell r="T553"/>
          <cell r="U553"/>
          <cell r="V553"/>
          <cell r="W553"/>
          <cell r="X553"/>
          <cell r="Y553"/>
          <cell r="Z553"/>
          <cell r="AA553"/>
          <cell r="AB553"/>
          <cell r="AC553"/>
          <cell r="AD553"/>
          <cell r="AE553"/>
          <cell r="AF553">
            <v>9.3211999999999993</v>
          </cell>
          <cell r="AG553"/>
          <cell r="AH553"/>
          <cell r="AI553" t="str">
            <v>Co</v>
          </cell>
          <cell r="AJ553" t="str">
            <v>-9.Al</v>
          </cell>
          <cell r="AK553" t="str">
            <v>-10.W</v>
          </cell>
          <cell r="AL553" t="str">
            <v/>
          </cell>
          <cell r="AM553" t="str">
            <v/>
          </cell>
          <cell r="AN553" t="str">
            <v/>
          </cell>
          <cell r="AO553" t="str">
            <v/>
          </cell>
          <cell r="AP553" t="str">
            <v>-2.V</v>
          </cell>
          <cell r="AQ553" t="str">
            <v/>
          </cell>
          <cell r="AR553" t="str">
            <v/>
          </cell>
          <cell r="AS553" t="str">
            <v/>
          </cell>
          <cell r="AT553" t="str">
            <v/>
          </cell>
          <cell r="AU553" t="str">
            <v/>
          </cell>
          <cell r="AV553" t="str">
            <v/>
          </cell>
          <cell r="AW553" t="str">
            <v/>
          </cell>
          <cell r="AX553" t="str">
            <v/>
          </cell>
          <cell r="AY553" t="str">
            <v/>
          </cell>
          <cell r="AZ553" t="str">
            <v/>
          </cell>
          <cell r="BA553" t="str">
            <v/>
          </cell>
          <cell r="BB553" t="str">
            <v/>
          </cell>
          <cell r="BC553" t="str">
            <v/>
          </cell>
          <cell r="BD553" t="str">
            <v/>
          </cell>
          <cell r="BE553" t="str">
            <v/>
          </cell>
          <cell r="BF553" t="str">
            <v/>
          </cell>
          <cell r="BG553" t="str">
            <v/>
          </cell>
          <cell r="BH553" t="str">
            <v>2VXue, F., Wang, M. &amp; Feng, Q. Alloying Effects on Heat-Treated Microstructure in Co-Al-W-Base Superalloys at 1300°C and 900°C. Superalloys 2012 813–821 (2012) doi:10.1002/9781118516430.ch90.</v>
          </cell>
          <cell r="BI553" t="str">
            <v>Co-9.Al-10.W-2.V</v>
          </cell>
          <cell r="BJ553" t="str">
            <v>79.0Co-9.0Al-10.0W-2.0V</v>
          </cell>
        </row>
        <row r="554">
          <cell r="A554" t="str">
            <v>Co-9.Al-10.W-4.V</v>
          </cell>
          <cell r="B554" t="str">
            <v>CoAlW-X</v>
          </cell>
          <cell r="C554" t="str">
            <v>-9Al-10W-4V</v>
          </cell>
          <cell r="D554" t="str">
            <v>4V</v>
          </cell>
          <cell r="E554" t="str">
            <v>Xue, F., Wang, M. &amp; Feng, Q. Alloying Effects on Heat-Treated Microstructure in Co-Al-W-Base Superalloys at 1300°C and 900°C. Superalloys 2012 813–821 (2012) doi:10.1002/9781118516430.ch90.</v>
          </cell>
          <cell r="F554">
            <v>588</v>
          </cell>
          <cell r="G554">
            <v>77</v>
          </cell>
          <cell r="H554"/>
          <cell r="I554">
            <v>9</v>
          </cell>
          <cell r="J554"/>
          <cell r="K554">
            <v>10</v>
          </cell>
          <cell r="L554"/>
          <cell r="M554"/>
          <cell r="N554"/>
          <cell r="O554">
            <v>4</v>
          </cell>
          <cell r="P554"/>
          <cell r="Q554"/>
          <cell r="R554"/>
          <cell r="S554"/>
          <cell r="T554"/>
          <cell r="U554"/>
          <cell r="V554"/>
          <cell r="W554"/>
          <cell r="X554"/>
          <cell r="Y554"/>
          <cell r="Z554"/>
          <cell r="AA554"/>
          <cell r="AB554"/>
          <cell r="AC554"/>
          <cell r="AD554"/>
          <cell r="AE554"/>
          <cell r="AF554">
            <v>9.2654000000000014</v>
          </cell>
          <cell r="AG554"/>
          <cell r="AH554"/>
          <cell r="AI554" t="str">
            <v>Co</v>
          </cell>
          <cell r="AJ554" t="str">
            <v>-9.Al</v>
          </cell>
          <cell r="AK554" t="str">
            <v>-10.W</v>
          </cell>
          <cell r="AL554" t="str">
            <v/>
          </cell>
          <cell r="AM554" t="str">
            <v/>
          </cell>
          <cell r="AN554" t="str">
            <v/>
          </cell>
          <cell r="AO554" t="str">
            <v/>
          </cell>
          <cell r="AP554" t="str">
            <v>-4.V</v>
          </cell>
          <cell r="AQ554" t="str">
            <v/>
          </cell>
          <cell r="AR554" t="str">
            <v/>
          </cell>
          <cell r="AS554" t="str">
            <v/>
          </cell>
          <cell r="AT554" t="str">
            <v/>
          </cell>
          <cell r="AU554" t="str">
            <v/>
          </cell>
          <cell r="AV554" t="str">
            <v/>
          </cell>
          <cell r="AW554" t="str">
            <v/>
          </cell>
          <cell r="AX554" t="str">
            <v/>
          </cell>
          <cell r="AY554" t="str">
            <v/>
          </cell>
          <cell r="AZ554" t="str">
            <v/>
          </cell>
          <cell r="BA554" t="str">
            <v/>
          </cell>
          <cell r="BB554" t="str">
            <v/>
          </cell>
          <cell r="BC554" t="str">
            <v/>
          </cell>
          <cell r="BD554" t="str">
            <v/>
          </cell>
          <cell r="BE554" t="str">
            <v/>
          </cell>
          <cell r="BF554" t="str">
            <v/>
          </cell>
          <cell r="BG554" t="str">
            <v/>
          </cell>
          <cell r="BH554" t="str">
            <v>4VXue, F., Wang, M. &amp; Feng, Q. Alloying Effects on Heat-Treated Microstructure in Co-Al-W-Base Superalloys at 1300°C and 900°C. Superalloys 2012 813–821 (2012) doi:10.1002/9781118516430.ch90.</v>
          </cell>
          <cell r="BI554" t="str">
            <v>Co-9.Al-10.W-4.V</v>
          </cell>
          <cell r="BJ554" t="str">
            <v>77.0Co-9.0Al-10.0W-4.0V</v>
          </cell>
        </row>
        <row r="555">
          <cell r="A555" t="str">
            <v>Co-9.Al-10.W-2.Mo</v>
          </cell>
          <cell r="B555" t="str">
            <v>CoAlW-X</v>
          </cell>
          <cell r="C555" t="str">
            <v>-9Al-10W-2Mo</v>
          </cell>
          <cell r="D555" t="str">
            <v>2Mo</v>
          </cell>
          <cell r="E555" t="str">
            <v>Xue, F., Wang, M. &amp; Feng, Q. Alloying Effects on Heat-Treated Microstructure in Co-Al-W-Base Superalloys at 1300°C and 900°C. Superalloys 2012 813–821 (2012) doi:10.1002/9781118516430.ch90.</v>
          </cell>
          <cell r="F555">
            <v>589</v>
          </cell>
          <cell r="G555">
            <v>79</v>
          </cell>
          <cell r="H555"/>
          <cell r="I555">
            <v>9</v>
          </cell>
          <cell r="J555"/>
          <cell r="K555">
            <v>10</v>
          </cell>
          <cell r="L555"/>
          <cell r="M555"/>
          <cell r="N555"/>
          <cell r="O555"/>
          <cell r="P555">
            <v>2</v>
          </cell>
          <cell r="Q555"/>
          <cell r="R555"/>
          <cell r="S555"/>
          <cell r="T555"/>
          <cell r="U555"/>
          <cell r="V555"/>
          <cell r="W555"/>
          <cell r="X555"/>
          <cell r="Y555"/>
          <cell r="Z555"/>
          <cell r="AA555"/>
          <cell r="AB555"/>
          <cell r="AC555"/>
          <cell r="AD555"/>
          <cell r="AE555"/>
          <cell r="AF555">
            <v>9.4045999999999985</v>
          </cell>
          <cell r="AG555"/>
          <cell r="AH555"/>
          <cell r="AI555" t="str">
            <v>Co</v>
          </cell>
          <cell r="AJ555" t="str">
            <v>-9.Al</v>
          </cell>
          <cell r="AK555" t="str">
            <v>-10.W</v>
          </cell>
          <cell r="AL555" t="str">
            <v/>
          </cell>
          <cell r="AM555" t="str">
            <v/>
          </cell>
          <cell r="AN555" t="str">
            <v/>
          </cell>
          <cell r="AO555" t="str">
            <v/>
          </cell>
          <cell r="AP555" t="str">
            <v/>
          </cell>
          <cell r="AQ555" t="str">
            <v/>
          </cell>
          <cell r="AR555" t="str">
            <v>-2.Mo</v>
          </cell>
          <cell r="AS555" t="str">
            <v/>
          </cell>
          <cell r="AT555" t="str">
            <v/>
          </cell>
          <cell r="AU555" t="str">
            <v/>
          </cell>
          <cell r="AV555" t="str">
            <v/>
          </cell>
          <cell r="AW555" t="str">
            <v/>
          </cell>
          <cell r="AX555" t="str">
            <v/>
          </cell>
          <cell r="AY555" t="str">
            <v/>
          </cell>
          <cell r="AZ555" t="str">
            <v/>
          </cell>
          <cell r="BA555" t="str">
            <v/>
          </cell>
          <cell r="BB555" t="str">
            <v/>
          </cell>
          <cell r="BC555" t="str">
            <v/>
          </cell>
          <cell r="BD555" t="str">
            <v/>
          </cell>
          <cell r="BE555" t="str">
            <v/>
          </cell>
          <cell r="BF555" t="str">
            <v/>
          </cell>
          <cell r="BG555" t="str">
            <v/>
          </cell>
          <cell r="BH555" t="str">
            <v>2MoXue, F., Wang, M. &amp; Feng, Q. Alloying Effects on Heat-Treated Microstructure in Co-Al-W-Base Superalloys at 1300°C and 900°C. Superalloys 2012 813–821 (2012) doi:10.1002/9781118516430.ch90.</v>
          </cell>
          <cell r="BI555" t="str">
            <v>Co-9.Al-10.W-2.Mo</v>
          </cell>
          <cell r="BJ555" t="str">
            <v>79.0Co-9.0Al-10.0W-2.0Mo</v>
          </cell>
        </row>
        <row r="556">
          <cell r="A556" t="str">
            <v>Co-9.Al-10.W-4.Mo</v>
          </cell>
          <cell r="B556" t="str">
            <v>CoAlW-X</v>
          </cell>
          <cell r="C556" t="str">
            <v>-9Al-10W-4Mo</v>
          </cell>
          <cell r="D556" t="str">
            <v>4Mo</v>
          </cell>
          <cell r="E556" t="str">
            <v>Xue, F., Wang, M. &amp; Feng, Q. Alloying Effects on Heat-Treated Microstructure in Co-Al-W-Base Superalloys at 1300°C and 900°C. Superalloys 2012 813–821 (2012) doi:10.1002/9781118516430.ch90.</v>
          </cell>
          <cell r="F556">
            <v>590</v>
          </cell>
          <cell r="G556">
            <v>77</v>
          </cell>
          <cell r="H556"/>
          <cell r="I556">
            <v>9</v>
          </cell>
          <cell r="J556"/>
          <cell r="K556">
            <v>10</v>
          </cell>
          <cell r="L556"/>
          <cell r="M556"/>
          <cell r="N556"/>
          <cell r="O556"/>
          <cell r="P556">
            <v>4</v>
          </cell>
          <cell r="Q556"/>
          <cell r="R556"/>
          <cell r="S556"/>
          <cell r="T556"/>
          <cell r="U556"/>
          <cell r="V556"/>
          <cell r="W556"/>
          <cell r="X556"/>
          <cell r="Y556"/>
          <cell r="Z556"/>
          <cell r="AA556"/>
          <cell r="AB556"/>
          <cell r="AC556"/>
          <cell r="AD556"/>
          <cell r="AE556"/>
          <cell r="AF556">
            <v>9.4321999999999999</v>
          </cell>
          <cell r="AG556"/>
          <cell r="AH556"/>
          <cell r="AI556" t="str">
            <v>Co</v>
          </cell>
          <cell r="AJ556" t="str">
            <v>-9.Al</v>
          </cell>
          <cell r="AK556" t="str">
            <v>-10.W</v>
          </cell>
          <cell r="AL556" t="str">
            <v/>
          </cell>
          <cell r="AM556" t="str">
            <v/>
          </cell>
          <cell r="AN556" t="str">
            <v/>
          </cell>
          <cell r="AO556" t="str">
            <v/>
          </cell>
          <cell r="AP556" t="str">
            <v/>
          </cell>
          <cell r="AQ556" t="str">
            <v/>
          </cell>
          <cell r="AR556" t="str">
            <v>-4.Mo</v>
          </cell>
          <cell r="AS556" t="str">
            <v/>
          </cell>
          <cell r="AT556" t="str">
            <v/>
          </cell>
          <cell r="AU556" t="str">
            <v/>
          </cell>
          <cell r="AV556" t="str">
            <v/>
          </cell>
          <cell r="AW556" t="str">
            <v/>
          </cell>
          <cell r="AX556" t="str">
            <v/>
          </cell>
          <cell r="AY556" t="str">
            <v/>
          </cell>
          <cell r="AZ556" t="str">
            <v/>
          </cell>
          <cell r="BA556" t="str">
            <v/>
          </cell>
          <cell r="BB556" t="str">
            <v/>
          </cell>
          <cell r="BC556" t="str">
            <v/>
          </cell>
          <cell r="BD556" t="str">
            <v/>
          </cell>
          <cell r="BE556" t="str">
            <v/>
          </cell>
          <cell r="BF556" t="str">
            <v/>
          </cell>
          <cell r="BG556" t="str">
            <v/>
          </cell>
          <cell r="BH556" t="str">
            <v>4MoXue, F., Wang, M. &amp; Feng, Q. Alloying Effects on Heat-Treated Microstructure in Co-Al-W-Base Superalloys at 1300°C and 900°C. Superalloys 2012 813–821 (2012) doi:10.1002/9781118516430.ch90.</v>
          </cell>
          <cell r="BI556" t="str">
            <v>Co-9.Al-10.W-4.Mo</v>
          </cell>
          <cell r="BJ556" t="str">
            <v>77.0Co-9.0Al-10.0W-4.0Mo</v>
          </cell>
        </row>
        <row r="557">
          <cell r="A557" t="str">
            <v>Co-9.Al-10.W-2.Nb</v>
          </cell>
          <cell r="B557" t="str">
            <v>CoAlW-X</v>
          </cell>
          <cell r="C557" t="str">
            <v>-9Al-10W-2Nb</v>
          </cell>
          <cell r="D557" t="str">
            <v>2Nb</v>
          </cell>
          <cell r="E557" t="str">
            <v>Xue, F., Wang, M. &amp; Feng, Q. Alloying Effects on Heat-Treated Microstructure in Co-Al-W-Base Superalloys at 1300°C and 900°C. Superalloys 2012 813–821 (2012) doi:10.1002/9781118516430.ch90.</v>
          </cell>
          <cell r="F557">
            <v>591</v>
          </cell>
          <cell r="G557">
            <v>79</v>
          </cell>
          <cell r="H557"/>
          <cell r="I557">
            <v>9</v>
          </cell>
          <cell r="J557"/>
          <cell r="K557">
            <v>10</v>
          </cell>
          <cell r="L557"/>
          <cell r="M557"/>
          <cell r="N557">
            <v>2</v>
          </cell>
          <cell r="O557"/>
          <cell r="P557"/>
          <cell r="Q557"/>
          <cell r="R557"/>
          <cell r="S557"/>
          <cell r="T557"/>
          <cell r="U557"/>
          <cell r="V557"/>
          <cell r="W557"/>
          <cell r="X557"/>
          <cell r="Y557"/>
          <cell r="Z557"/>
          <cell r="AA557"/>
          <cell r="AB557"/>
          <cell r="AC557"/>
          <cell r="AD557"/>
          <cell r="AE557"/>
          <cell r="AF557">
            <v>9.3704000000000001</v>
          </cell>
          <cell r="AG557"/>
          <cell r="AH557"/>
          <cell r="AI557" t="str">
            <v>Co</v>
          </cell>
          <cell r="AJ557" t="str">
            <v>-9.Al</v>
          </cell>
          <cell r="AK557" t="str">
            <v>-10.W</v>
          </cell>
          <cell r="AL557" t="str">
            <v/>
          </cell>
          <cell r="AM557" t="str">
            <v/>
          </cell>
          <cell r="AN557" t="str">
            <v/>
          </cell>
          <cell r="AO557" t="str">
            <v>-2.Nb</v>
          </cell>
          <cell r="AP557" t="str">
            <v/>
          </cell>
          <cell r="AQ557" t="str">
            <v/>
          </cell>
          <cell r="AR557" t="str">
            <v/>
          </cell>
          <cell r="AS557" t="str">
            <v/>
          </cell>
          <cell r="AT557" t="str">
            <v/>
          </cell>
          <cell r="AU557" t="str">
            <v/>
          </cell>
          <cell r="AV557" t="str">
            <v/>
          </cell>
          <cell r="AW557" t="str">
            <v/>
          </cell>
          <cell r="AX557" t="str">
            <v/>
          </cell>
          <cell r="AY557" t="str">
            <v/>
          </cell>
          <cell r="AZ557" t="str">
            <v/>
          </cell>
          <cell r="BA557" t="str">
            <v/>
          </cell>
          <cell r="BB557" t="str">
            <v/>
          </cell>
          <cell r="BC557" t="str">
            <v/>
          </cell>
          <cell r="BD557" t="str">
            <v/>
          </cell>
          <cell r="BE557" t="str">
            <v/>
          </cell>
          <cell r="BF557" t="str">
            <v/>
          </cell>
          <cell r="BG557" t="str">
            <v/>
          </cell>
          <cell r="BH557" t="str">
            <v>2NbXue, F., Wang, M. &amp; Feng, Q. Alloying Effects on Heat-Treated Microstructure in Co-Al-W-Base Superalloys at 1300°C and 900°C. Superalloys 2012 813–821 (2012) doi:10.1002/9781118516430.ch90.</v>
          </cell>
          <cell r="BI557" t="str">
            <v>Co-9.Al-10.W-2.Nb</v>
          </cell>
          <cell r="BJ557" t="str">
            <v>79.0Co-9.0Al-10.0W-2.0Nb</v>
          </cell>
        </row>
        <row r="558">
          <cell r="A558" t="str">
            <v>Co-9.Al-10.W-4.Nb</v>
          </cell>
          <cell r="B558" t="str">
            <v>CoAlW-X</v>
          </cell>
          <cell r="C558" t="str">
            <v>-9Al-10W-4Nb</v>
          </cell>
          <cell r="D558" t="str">
            <v>4Nb</v>
          </cell>
          <cell r="E558" t="str">
            <v>Xue, F., Wang, M. &amp; Feng, Q. Alloying Effects on Heat-Treated Microstructure in Co-Al-W-Base Superalloys at 1300°C and 900°C. Superalloys 2012 813–821 (2012) doi:10.1002/9781118516430.ch90.</v>
          </cell>
          <cell r="F558">
            <v>592</v>
          </cell>
          <cell r="G558">
            <v>77</v>
          </cell>
          <cell r="H558"/>
          <cell r="I558">
            <v>9</v>
          </cell>
          <cell r="J558"/>
          <cell r="K558">
            <v>10</v>
          </cell>
          <cell r="L558"/>
          <cell r="M558"/>
          <cell r="N558">
            <v>4</v>
          </cell>
          <cell r="O558"/>
          <cell r="P558"/>
          <cell r="Q558"/>
          <cell r="R558"/>
          <cell r="S558"/>
          <cell r="T558"/>
          <cell r="U558"/>
          <cell r="V558"/>
          <cell r="W558"/>
          <cell r="X558"/>
          <cell r="Y558"/>
          <cell r="Z558"/>
          <cell r="AA558"/>
          <cell r="AB558"/>
          <cell r="AC558"/>
          <cell r="AD558"/>
          <cell r="AE558"/>
          <cell r="AF558">
            <v>9.3637999999999995</v>
          </cell>
          <cell r="AG558"/>
          <cell r="AH558"/>
          <cell r="AI558" t="str">
            <v>Co</v>
          </cell>
          <cell r="AJ558" t="str">
            <v>-9.Al</v>
          </cell>
          <cell r="AK558" t="str">
            <v>-10.W</v>
          </cell>
          <cell r="AL558" t="str">
            <v/>
          </cell>
          <cell r="AM558" t="str">
            <v/>
          </cell>
          <cell r="AN558" t="str">
            <v/>
          </cell>
          <cell r="AO558" t="str">
            <v>-4.Nb</v>
          </cell>
          <cell r="AP558" t="str">
            <v/>
          </cell>
          <cell r="AQ558" t="str">
            <v/>
          </cell>
          <cell r="AR558" t="str">
            <v/>
          </cell>
          <cell r="AS558" t="str">
            <v/>
          </cell>
          <cell r="AT558" t="str">
            <v/>
          </cell>
          <cell r="AU558" t="str">
            <v/>
          </cell>
          <cell r="AV558" t="str">
            <v/>
          </cell>
          <cell r="AW558" t="str">
            <v/>
          </cell>
          <cell r="AX558" t="str">
            <v/>
          </cell>
          <cell r="AY558" t="str">
            <v/>
          </cell>
          <cell r="AZ558" t="str">
            <v/>
          </cell>
          <cell r="BA558" t="str">
            <v/>
          </cell>
          <cell r="BB558" t="str">
            <v/>
          </cell>
          <cell r="BC558" t="str">
            <v/>
          </cell>
          <cell r="BD558" t="str">
            <v/>
          </cell>
          <cell r="BE558" t="str">
            <v/>
          </cell>
          <cell r="BF558" t="str">
            <v/>
          </cell>
          <cell r="BG558" t="str">
            <v/>
          </cell>
          <cell r="BH558" t="str">
            <v>4NbXue, F., Wang, M. &amp; Feng, Q. Alloying Effects on Heat-Treated Microstructure in Co-Al-W-Base Superalloys at 1300°C and 900°C. Superalloys 2012 813–821 (2012) doi:10.1002/9781118516430.ch90.</v>
          </cell>
          <cell r="BI558" t="str">
            <v>Co-9.Al-10.W-4.Nb</v>
          </cell>
          <cell r="BJ558" t="str">
            <v>77.0Co-9.0Al-10.0W-4.0Nb</v>
          </cell>
        </row>
        <row r="559">
          <cell r="A559" t="str">
            <v>Co-9.Al-10.W-2.Ta</v>
          </cell>
          <cell r="B559" t="str">
            <v>CoAlW-X</v>
          </cell>
          <cell r="C559" t="str">
            <v>-9Al-10W-2Ta</v>
          </cell>
          <cell r="D559" t="str">
            <v>2Ta</v>
          </cell>
          <cell r="E559" t="str">
            <v>Xue, F., Wang, M. &amp; Feng, Q. Alloying Effects on Heat-Treated Microstructure in Co-Al-W-Base Superalloys at 1300°C and 900°C. Superalloys 2012 813–821 (2012) doi:10.1002/9781118516430.ch90.</v>
          </cell>
          <cell r="F559">
            <v>593</v>
          </cell>
          <cell r="G559">
            <v>79</v>
          </cell>
          <cell r="H559"/>
          <cell r="I559">
            <v>9</v>
          </cell>
          <cell r="J559"/>
          <cell r="K559">
            <v>10</v>
          </cell>
          <cell r="L559"/>
          <cell r="M559">
            <v>2</v>
          </cell>
          <cell r="N559"/>
          <cell r="O559"/>
          <cell r="P559"/>
          <cell r="Q559"/>
          <cell r="R559"/>
          <cell r="S559"/>
          <cell r="T559"/>
          <cell r="U559"/>
          <cell r="V559"/>
          <cell r="W559"/>
          <cell r="X559"/>
          <cell r="Y559"/>
          <cell r="Z559"/>
          <cell r="AA559"/>
          <cell r="AB559"/>
          <cell r="AC559"/>
          <cell r="AD559"/>
          <cell r="AE559"/>
          <cell r="AF559">
            <v>9.532</v>
          </cell>
          <cell r="AG559"/>
          <cell r="AH559"/>
          <cell r="AI559" t="str">
            <v>Co</v>
          </cell>
          <cell r="AJ559" t="str">
            <v>-9.Al</v>
          </cell>
          <cell r="AK559" t="str">
            <v>-10.W</v>
          </cell>
          <cell r="AL559" t="str">
            <v/>
          </cell>
          <cell r="AM559" t="str">
            <v/>
          </cell>
          <cell r="AN559" t="str">
            <v>-2.Ta</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
          </cell>
          <cell r="BB559" t="str">
            <v/>
          </cell>
          <cell r="BC559" t="str">
            <v/>
          </cell>
          <cell r="BD559" t="str">
            <v/>
          </cell>
          <cell r="BE559" t="str">
            <v/>
          </cell>
          <cell r="BF559" t="str">
            <v/>
          </cell>
          <cell r="BG559" t="str">
            <v/>
          </cell>
          <cell r="BH559" t="str">
            <v>2TaXue, F., Wang, M. &amp; Feng, Q. Alloying Effects on Heat-Treated Microstructure in Co-Al-W-Base Superalloys at 1300°C and 900°C. Superalloys 2012 813–821 (2012) doi:10.1002/9781118516430.ch90.</v>
          </cell>
          <cell r="BI559" t="str">
            <v>Co-9.Al-10.W-2.Ta</v>
          </cell>
          <cell r="BJ559" t="str">
            <v>79.0Co-9.0Al-10.0W-2.0Ta</v>
          </cell>
        </row>
        <row r="560">
          <cell r="A560" t="str">
            <v>Co-6.Al-6.W-6.Ti-2.Ta</v>
          </cell>
          <cell r="B560" t="str">
            <v>CoAlW-X</v>
          </cell>
          <cell r="C560" t="str">
            <v>-6Al-6W-6Ti-2Ta</v>
          </cell>
          <cell r="D560" t="str">
            <v>Alloy TaTi-D</v>
          </cell>
          <cell r="E560" t="str">
            <v>Xue, F., Zhou, H. J. &amp; Feng, Q. Improved High-Temperature Microstructural Stability and Creep Property of Novel Co-Base Single-Crystal Alloys Containing Ta and Ti. JOM 66, 2486–2494 (2014).</v>
          </cell>
          <cell r="F560">
            <v>595</v>
          </cell>
          <cell r="G560">
            <v>80</v>
          </cell>
          <cell r="H560"/>
          <cell r="I560">
            <v>6</v>
          </cell>
          <cell r="J560"/>
          <cell r="K560">
            <v>6</v>
          </cell>
          <cell r="L560">
            <v>6</v>
          </cell>
          <cell r="M560">
            <v>2</v>
          </cell>
          <cell r="N560"/>
          <cell r="O560"/>
          <cell r="P560"/>
          <cell r="Q560"/>
          <cell r="R560"/>
          <cell r="S560"/>
          <cell r="T560"/>
          <cell r="U560"/>
          <cell r="V560"/>
          <cell r="W560"/>
          <cell r="X560"/>
          <cell r="Y560"/>
          <cell r="Z560"/>
          <cell r="AA560"/>
          <cell r="AB560"/>
          <cell r="AC560"/>
          <cell r="AD560"/>
          <cell r="AE560"/>
          <cell r="AF560">
            <v>9.040420000000001</v>
          </cell>
          <cell r="AG560"/>
          <cell r="AH560"/>
          <cell r="AI560" t="str">
            <v>Co</v>
          </cell>
          <cell r="AJ560" t="str">
            <v>-6.Al</v>
          </cell>
          <cell r="AK560" t="str">
            <v>-6.W</v>
          </cell>
          <cell r="AL560" t="str">
            <v/>
          </cell>
          <cell r="AM560" t="str">
            <v/>
          </cell>
          <cell r="AN560" t="str">
            <v>-2.Ta</v>
          </cell>
          <cell r="AO560" t="str">
            <v/>
          </cell>
          <cell r="AP560" t="str">
            <v/>
          </cell>
          <cell r="AQ560" t="str">
            <v>-6.Ti</v>
          </cell>
          <cell r="AR560" t="str">
            <v/>
          </cell>
          <cell r="AS560" t="str">
            <v/>
          </cell>
          <cell r="AT560" t="str">
            <v/>
          </cell>
          <cell r="AU560" t="str">
            <v/>
          </cell>
          <cell r="AV560" t="str">
            <v/>
          </cell>
          <cell r="AW560" t="str">
            <v/>
          </cell>
          <cell r="AX560" t="str">
            <v/>
          </cell>
          <cell r="AY560" t="str">
            <v/>
          </cell>
          <cell r="AZ560" t="str">
            <v/>
          </cell>
          <cell r="BA560" t="str">
            <v/>
          </cell>
          <cell r="BB560" t="str">
            <v/>
          </cell>
          <cell r="BC560" t="str">
            <v/>
          </cell>
          <cell r="BD560" t="str">
            <v/>
          </cell>
          <cell r="BE560" t="str">
            <v/>
          </cell>
          <cell r="BF560" t="str">
            <v/>
          </cell>
          <cell r="BG560" t="str">
            <v/>
          </cell>
          <cell r="BH560" t="str">
            <v>Alloy TaTi-DXue, F., Zhou, H. J. &amp; Feng, Q. Improved High-Temperature Microstructural Stability and Creep Property of Novel Co-Base Single-Crystal Alloys Containing Ta and Ti. JOM 66, 2486–2494 (2014).</v>
          </cell>
          <cell r="BI560" t="str">
            <v>Co-6.Al-6.W-6.Ti-2.Ta</v>
          </cell>
          <cell r="BJ560" t="str">
            <v>80.0Co-6.0Al-6.0W-6.0Ti-2.0Ta</v>
          </cell>
        </row>
        <row r="561">
          <cell r="A561" t="str">
            <v>Co-7.Al-8.W-4.Ti</v>
          </cell>
          <cell r="B561" t="str">
            <v>CoAlW-X</v>
          </cell>
          <cell r="C561" t="str">
            <v>-7Al-8W-4Ti</v>
          </cell>
          <cell r="D561" t="str">
            <v>Alloy Ti</v>
          </cell>
          <cell r="E561" t="str">
            <v>Xue, F., Zhou, H. J. &amp; Feng, Q. Improved High-Temperature Microstructural Stability and Creep Property of Novel Co-Base Single-Crystal Alloys Containing Ta and Ti. JOM 66, 2486–2494 (2014).</v>
          </cell>
          <cell r="F561">
            <v>596</v>
          </cell>
          <cell r="G561">
            <v>81</v>
          </cell>
          <cell r="H561"/>
          <cell r="I561">
            <v>7</v>
          </cell>
          <cell r="J561"/>
          <cell r="K561">
            <v>8</v>
          </cell>
          <cell r="L561">
            <v>4</v>
          </cell>
          <cell r="M561"/>
          <cell r="N561"/>
          <cell r="O561"/>
          <cell r="P561"/>
          <cell r="Q561"/>
          <cell r="R561"/>
          <cell r="S561"/>
          <cell r="T561"/>
          <cell r="U561"/>
          <cell r="V561"/>
          <cell r="W561"/>
          <cell r="X561"/>
          <cell r="Y561"/>
          <cell r="Z561"/>
          <cell r="AA561"/>
          <cell r="AB561"/>
          <cell r="AC561"/>
          <cell r="AD561"/>
          <cell r="AE561"/>
          <cell r="AF561">
            <v>9.1182800000000004</v>
          </cell>
          <cell r="AG561"/>
          <cell r="AH561" t="str">
            <v>single crystal</v>
          </cell>
          <cell r="AI561" t="str">
            <v>Co</v>
          </cell>
          <cell r="AJ561" t="str">
            <v>-7.Al</v>
          </cell>
          <cell r="AK561" t="str">
            <v>-8.W</v>
          </cell>
          <cell r="AL561" t="str">
            <v/>
          </cell>
          <cell r="AM561" t="str">
            <v/>
          </cell>
          <cell r="AN561" t="str">
            <v/>
          </cell>
          <cell r="AO561" t="str">
            <v/>
          </cell>
          <cell r="AP561" t="str">
            <v/>
          </cell>
          <cell r="AQ561" t="str">
            <v>-4.Ti</v>
          </cell>
          <cell r="AR561" t="str">
            <v/>
          </cell>
          <cell r="AS561" t="str">
            <v/>
          </cell>
          <cell r="AT561" t="str">
            <v/>
          </cell>
          <cell r="AU561" t="str">
            <v/>
          </cell>
          <cell r="AV561" t="str">
            <v/>
          </cell>
          <cell r="AW561" t="str">
            <v/>
          </cell>
          <cell r="AX561" t="str">
            <v/>
          </cell>
          <cell r="AY561" t="str">
            <v/>
          </cell>
          <cell r="AZ561" t="str">
            <v/>
          </cell>
          <cell r="BA561" t="str">
            <v/>
          </cell>
          <cell r="BB561" t="str">
            <v/>
          </cell>
          <cell r="BC561" t="str">
            <v/>
          </cell>
          <cell r="BD561" t="str">
            <v/>
          </cell>
          <cell r="BE561" t="str">
            <v/>
          </cell>
          <cell r="BF561" t="str">
            <v/>
          </cell>
          <cell r="BG561" t="str">
            <v/>
          </cell>
          <cell r="BH561" t="str">
            <v>Alloy TiXue, F., Zhou, H. J. &amp; Feng, Q. Improved High-Temperature Microstructural Stability and Creep Property of Novel Co-Base Single-Crystal Alloys Containing Ta and Ti. JOM 66, 2486–2494 (2014).</v>
          </cell>
          <cell r="BI561" t="str">
            <v>Co-7.Al-8.W-4.Ti</v>
          </cell>
          <cell r="BJ561" t="str">
            <v>81.0Co-7.0Al-8.0W-4.0Ti</v>
          </cell>
        </row>
        <row r="562">
          <cell r="A562" t="str">
            <v>Co-7.Al-7.W-4.Ti-2.Ta</v>
          </cell>
          <cell r="B562" t="str">
            <v>CoAlWX+</v>
          </cell>
          <cell r="C562" t="str">
            <v>-7Al-7W-4Ti-2Ta</v>
          </cell>
          <cell r="D562" t="str">
            <v>Alloy TaTi-C</v>
          </cell>
          <cell r="E562" t="str">
            <v>Xue, F., Zhou, H. J. &amp; Feng, Q. Improved High-Temperature Microstructural Stability and Creep Property of Novel Co-Base Single-Crystal Alloys Containing Ta and Ti. JOM 66, 2486–2494 (2014).</v>
          </cell>
          <cell r="F562">
            <v>599</v>
          </cell>
          <cell r="G562">
            <v>80</v>
          </cell>
          <cell r="H562"/>
          <cell r="I562">
            <v>7</v>
          </cell>
          <cell r="J562"/>
          <cell r="K562">
            <v>7</v>
          </cell>
          <cell r="L562">
            <v>4</v>
          </cell>
          <cell r="M562">
            <v>2</v>
          </cell>
          <cell r="N562"/>
          <cell r="O562"/>
          <cell r="P562"/>
          <cell r="Q562"/>
          <cell r="R562"/>
          <cell r="S562"/>
          <cell r="T562"/>
          <cell r="U562"/>
          <cell r="V562"/>
          <cell r="W562"/>
          <cell r="X562"/>
          <cell r="Y562"/>
          <cell r="Z562"/>
          <cell r="AA562"/>
          <cell r="AB562"/>
          <cell r="AC562"/>
          <cell r="AD562"/>
          <cell r="AE562"/>
          <cell r="AF562">
            <v>9.1697799999999994</v>
          </cell>
          <cell r="AG562"/>
          <cell r="AH562"/>
          <cell r="AI562" t="str">
            <v>Co</v>
          </cell>
          <cell r="AJ562" t="str">
            <v>-7.Al</v>
          </cell>
          <cell r="AK562" t="str">
            <v>-7.W</v>
          </cell>
          <cell r="AL562" t="str">
            <v/>
          </cell>
          <cell r="AM562" t="str">
            <v/>
          </cell>
          <cell r="AN562" t="str">
            <v>-2.Ta</v>
          </cell>
          <cell r="AO562" t="str">
            <v/>
          </cell>
          <cell r="AP562" t="str">
            <v/>
          </cell>
          <cell r="AQ562" t="str">
            <v>-4.Ti</v>
          </cell>
          <cell r="AR562" t="str">
            <v/>
          </cell>
          <cell r="AS562" t="str">
            <v/>
          </cell>
          <cell r="AT562" t="str">
            <v/>
          </cell>
          <cell r="AU562" t="str">
            <v/>
          </cell>
          <cell r="AV562" t="str">
            <v/>
          </cell>
          <cell r="AW562" t="str">
            <v/>
          </cell>
          <cell r="AX562" t="str">
            <v/>
          </cell>
          <cell r="AY562" t="str">
            <v/>
          </cell>
          <cell r="AZ562" t="str">
            <v/>
          </cell>
          <cell r="BA562" t="str">
            <v/>
          </cell>
          <cell r="BB562" t="str">
            <v/>
          </cell>
          <cell r="BC562" t="str">
            <v/>
          </cell>
          <cell r="BD562" t="str">
            <v/>
          </cell>
          <cell r="BE562" t="str">
            <v/>
          </cell>
          <cell r="BF562" t="str">
            <v/>
          </cell>
          <cell r="BG562" t="str">
            <v/>
          </cell>
          <cell r="BH562" t="str">
            <v>Alloy TaTi-CXue, F., Zhou, H. J. &amp; Feng, Q. Improved High-Temperature Microstructural Stability and Creep Property of Novel Co-Base Single-Crystal Alloys Containing Ta and Ti. JOM 66, 2486–2494 (2014).</v>
          </cell>
          <cell r="BI562" t="str">
            <v>Co-7.Al-7.W-4.Ti-2.Ta</v>
          </cell>
          <cell r="BJ562" t="str">
            <v>80.0Co-7.0Al-7.0W-4.0Ti-2.0Ta</v>
          </cell>
        </row>
        <row r="563">
          <cell r="A563" t="str">
            <v>Co-6.3Al-4.4W-4.Ti-3.Ta</v>
          </cell>
          <cell r="B563" t="str">
            <v>CoAlWX+</v>
          </cell>
          <cell r="C563" t="str">
            <v>-6Al-4W-4Ti-3Ta</v>
          </cell>
          <cell r="D563" t="str">
            <v>Alloy TaTi-E</v>
          </cell>
          <cell r="E563" t="str">
            <v>Xue, F., Zhou, H. J. &amp; Feng, Q. Improved High-Temperature Microstructural Stability and Creep Property of Novel Co-Base Single-Crystal Alloys Containing Ta and Ti. JOM 66, 2486–2494 (2014).</v>
          </cell>
          <cell r="F563">
            <v>600</v>
          </cell>
          <cell r="G563">
            <v>82.3</v>
          </cell>
          <cell r="H563"/>
          <cell r="I563">
            <v>6.3</v>
          </cell>
          <cell r="J563"/>
          <cell r="K563">
            <v>4.4000000000000004</v>
          </cell>
          <cell r="L563">
            <v>4</v>
          </cell>
          <cell r="M563">
            <v>3</v>
          </cell>
          <cell r="N563"/>
          <cell r="O563"/>
          <cell r="P563"/>
          <cell r="Q563"/>
          <cell r="R563"/>
          <cell r="S563"/>
          <cell r="T563"/>
          <cell r="U563"/>
          <cell r="V563"/>
          <cell r="W563"/>
          <cell r="X563"/>
          <cell r="Y563"/>
          <cell r="Z563"/>
          <cell r="AA563"/>
          <cell r="AB563"/>
          <cell r="AC563"/>
          <cell r="AD563"/>
          <cell r="AE563"/>
          <cell r="AF563">
            <v>9.0215800000000019</v>
          </cell>
          <cell r="AG563"/>
          <cell r="AH563"/>
          <cell r="AI563" t="str">
            <v>Co</v>
          </cell>
          <cell r="AJ563" t="str">
            <v>-6.3Al</v>
          </cell>
          <cell r="AK563" t="str">
            <v>-4.4W</v>
          </cell>
          <cell r="AL563" t="str">
            <v/>
          </cell>
          <cell r="AM563" t="str">
            <v/>
          </cell>
          <cell r="AN563" t="str">
            <v>-3.Ta</v>
          </cell>
          <cell r="AO563" t="str">
            <v/>
          </cell>
          <cell r="AP563" t="str">
            <v/>
          </cell>
          <cell r="AQ563" t="str">
            <v>-4.Ti</v>
          </cell>
          <cell r="AR563" t="str">
            <v/>
          </cell>
          <cell r="AS563" t="str">
            <v/>
          </cell>
          <cell r="AT563" t="str">
            <v/>
          </cell>
          <cell r="AU563" t="str">
            <v/>
          </cell>
          <cell r="AV563" t="str">
            <v/>
          </cell>
          <cell r="AW563" t="str">
            <v/>
          </cell>
          <cell r="AX563" t="str">
            <v/>
          </cell>
          <cell r="AY563" t="str">
            <v/>
          </cell>
          <cell r="AZ563" t="str">
            <v/>
          </cell>
          <cell r="BA563" t="str">
            <v/>
          </cell>
          <cell r="BB563" t="str">
            <v/>
          </cell>
          <cell r="BC563" t="str">
            <v/>
          </cell>
          <cell r="BD563" t="str">
            <v/>
          </cell>
          <cell r="BE563" t="str">
            <v/>
          </cell>
          <cell r="BF563" t="str">
            <v/>
          </cell>
          <cell r="BG563" t="str">
            <v/>
          </cell>
          <cell r="BH563" t="str">
            <v>Alloy TaTi-EXue, F., Zhou, H. J. &amp; Feng, Q. Improved High-Temperature Microstructural Stability and Creep Property of Novel Co-Base Single-Crystal Alloys Containing Ta and Ti. JOM 66, 2486–2494 (2014).</v>
          </cell>
          <cell r="BI563" t="str">
            <v>Co-6.3Al-4.4W-4.Ti-3.Ta</v>
          </cell>
          <cell r="BJ563" t="str">
            <v>82.3Co-6.3Al-4.4W-4.0Ti-3.0Ta</v>
          </cell>
        </row>
        <row r="564">
          <cell r="A564" t="str">
            <v>Co-8.6Al-6.6W-2.Ti-1.7Ta</v>
          </cell>
          <cell r="B564" t="str">
            <v>CoAlWX+</v>
          </cell>
          <cell r="C564" t="str">
            <v>-9Al-7W-2Ti-2Ta</v>
          </cell>
          <cell r="D564" t="str">
            <v>Alloy TaTi-A</v>
          </cell>
          <cell r="E564" t="str">
            <v>Xue, F., Zhou, H. J. &amp; Feng, Q. Improved High-Temperature Microstructural Stability and Creep Property of Novel Co-Base Single-Crystal Alloys Containing Ta and Ti. JOM 66, 2486–2494 (2014).</v>
          </cell>
          <cell r="F564">
            <v>601</v>
          </cell>
          <cell r="G564">
            <v>81.099999999999994</v>
          </cell>
          <cell r="H564"/>
          <cell r="I564">
            <v>8.6</v>
          </cell>
          <cell r="J564"/>
          <cell r="K564">
            <v>6.6</v>
          </cell>
          <cell r="L564">
            <v>2</v>
          </cell>
          <cell r="M564">
            <v>1.7</v>
          </cell>
          <cell r="N564"/>
          <cell r="O564"/>
          <cell r="P564"/>
          <cell r="Q564"/>
          <cell r="R564"/>
          <cell r="S564"/>
          <cell r="T564"/>
          <cell r="U564"/>
          <cell r="V564"/>
          <cell r="W564"/>
          <cell r="X564"/>
          <cell r="Y564"/>
          <cell r="Z564"/>
          <cell r="AA564"/>
          <cell r="AB564"/>
          <cell r="AC564"/>
          <cell r="AD564"/>
          <cell r="AE564"/>
          <cell r="AF564">
            <v>9.0937899999999985</v>
          </cell>
          <cell r="AG564"/>
          <cell r="AH564"/>
          <cell r="AI564" t="str">
            <v>Co</v>
          </cell>
          <cell r="AJ564" t="str">
            <v>-8.6Al</v>
          </cell>
          <cell r="AK564" t="str">
            <v>-6.6W</v>
          </cell>
          <cell r="AL564" t="str">
            <v/>
          </cell>
          <cell r="AM564" t="str">
            <v/>
          </cell>
          <cell r="AN564" t="str">
            <v>-1.7Ta</v>
          </cell>
          <cell r="AO564" t="str">
            <v/>
          </cell>
          <cell r="AP564" t="str">
            <v/>
          </cell>
          <cell r="AQ564" t="str">
            <v>-2.Ti</v>
          </cell>
          <cell r="AR564" t="str">
            <v/>
          </cell>
          <cell r="AS564" t="str">
            <v/>
          </cell>
          <cell r="AT564" t="str">
            <v/>
          </cell>
          <cell r="AU564" t="str">
            <v/>
          </cell>
          <cell r="AV564" t="str">
            <v/>
          </cell>
          <cell r="AW564" t="str">
            <v/>
          </cell>
          <cell r="AX564" t="str">
            <v/>
          </cell>
          <cell r="AY564" t="str">
            <v/>
          </cell>
          <cell r="AZ564" t="str">
            <v/>
          </cell>
          <cell r="BA564" t="str">
            <v/>
          </cell>
          <cell r="BB564" t="str">
            <v/>
          </cell>
          <cell r="BC564" t="str">
            <v/>
          </cell>
          <cell r="BD564" t="str">
            <v/>
          </cell>
          <cell r="BE564" t="str">
            <v/>
          </cell>
          <cell r="BF564" t="str">
            <v/>
          </cell>
          <cell r="BG564" t="str">
            <v/>
          </cell>
          <cell r="BH564" t="str">
            <v>Alloy TaTi-AXue, F., Zhou, H. J. &amp; Feng, Q. Improved High-Temperature Microstructural Stability and Creep Property of Novel Co-Base Single-Crystal Alloys Containing Ta and Ti. JOM 66, 2486–2494 (2014).</v>
          </cell>
          <cell r="BI564" t="str">
            <v>Co-8.6Al-6.6W-2.Ti-1.7Ta</v>
          </cell>
          <cell r="BJ564" t="str">
            <v>81.1Co-8.6Al-6.6W-2.0Ti-1.7Ta</v>
          </cell>
        </row>
        <row r="565">
          <cell r="A565" t="str">
            <v>Co-7.Al-8.W</v>
          </cell>
          <cell r="B565" t="str">
            <v>CoAlW-X</v>
          </cell>
          <cell r="C565" t="str">
            <v>-7Al-8W</v>
          </cell>
          <cell r="D565" t="str">
            <v>alloy base</v>
          </cell>
          <cell r="E565" t="str">
            <v>Xue, F., Zhou, H. J. &amp; Feng, Q. Improved High-Temperature Microstructural Stability and Creep Property of Novel Co-Base Single-Crystal Alloys Containing Ta and Ti. JOM 66, 2486–2494 (2014).</v>
          </cell>
          <cell r="F565">
            <v>602</v>
          </cell>
          <cell r="G565">
            <v>85</v>
          </cell>
          <cell r="H565"/>
          <cell r="I565">
            <v>7</v>
          </cell>
          <cell r="J565"/>
          <cell r="K565">
            <v>8</v>
          </cell>
          <cell r="L565"/>
          <cell r="M565"/>
          <cell r="N565"/>
          <cell r="O565"/>
          <cell r="P565"/>
          <cell r="Q565"/>
          <cell r="R565"/>
          <cell r="S565"/>
          <cell r="T565"/>
          <cell r="U565"/>
          <cell r="V565"/>
          <cell r="W565"/>
          <cell r="X565"/>
          <cell r="Y565"/>
          <cell r="Z565"/>
          <cell r="AA565"/>
          <cell r="AB565"/>
          <cell r="AC565"/>
          <cell r="AD565"/>
          <cell r="AE565"/>
          <cell r="AF565">
            <v>9.2940000000000005</v>
          </cell>
          <cell r="AG565"/>
          <cell r="AH565" t="str">
            <v>single crystal</v>
          </cell>
          <cell r="AI565" t="str">
            <v>Co</v>
          </cell>
          <cell r="AJ565" t="str">
            <v>-7.Al</v>
          </cell>
          <cell r="AK565" t="str">
            <v>-8.W</v>
          </cell>
          <cell r="AL565" t="str">
            <v/>
          </cell>
          <cell r="AM565" t="str">
            <v/>
          </cell>
          <cell r="AN565" t="str">
            <v/>
          </cell>
          <cell r="AO565" t="str">
            <v/>
          </cell>
          <cell r="AP565" t="str">
            <v/>
          </cell>
          <cell r="AQ565" t="str">
            <v/>
          </cell>
          <cell r="AR565" t="str">
            <v/>
          </cell>
          <cell r="AS565" t="str">
            <v/>
          </cell>
          <cell r="AT565" t="str">
            <v/>
          </cell>
          <cell r="AU565" t="str">
            <v/>
          </cell>
          <cell r="AV565" t="str">
            <v/>
          </cell>
          <cell r="AW565" t="str">
            <v/>
          </cell>
          <cell r="AX565" t="str">
            <v/>
          </cell>
          <cell r="AY565" t="str">
            <v/>
          </cell>
          <cell r="AZ565" t="str">
            <v/>
          </cell>
          <cell r="BA565" t="str">
            <v/>
          </cell>
          <cell r="BB565" t="str">
            <v/>
          </cell>
          <cell r="BC565" t="str">
            <v/>
          </cell>
          <cell r="BD565" t="str">
            <v/>
          </cell>
          <cell r="BE565" t="str">
            <v/>
          </cell>
          <cell r="BF565" t="str">
            <v/>
          </cell>
          <cell r="BG565" t="str">
            <v/>
          </cell>
          <cell r="BH565" t="str">
            <v>alloy baseXue, F., Zhou, H. J. &amp; Feng, Q. Improved High-Temperature Microstructural Stability and Creep Property of Novel Co-Base Single-Crystal Alloys Containing Ta and Ti. JOM 66, 2486–2494 (2014).</v>
          </cell>
          <cell r="BI565" t="str">
            <v>Co-7.Al-8.W</v>
          </cell>
          <cell r="BJ565" t="str">
            <v>85.0Co-7.0Al-8.0W</v>
          </cell>
        </row>
        <row r="566">
          <cell r="A566" t="str">
            <v>Co-7.Al-8.W-1.Ta</v>
          </cell>
          <cell r="B566" t="str">
            <v>CoAlW-X</v>
          </cell>
          <cell r="C566" t="str">
            <v>-7Al-8W-1Ta</v>
          </cell>
          <cell r="D566" t="str">
            <v>Alloy Ta</v>
          </cell>
          <cell r="E566" t="str">
            <v>Xue, F., Zhou, H. J. &amp; Feng, Q. Improved High-Temperature Microstructural Stability and Creep Property of Novel Co-Base Single-Crystal Alloys Containing Ta and Ti. JOM 66, 2486–2494 (2014).</v>
          </cell>
          <cell r="F566">
            <v>603</v>
          </cell>
          <cell r="G566">
            <v>84</v>
          </cell>
          <cell r="H566"/>
          <cell r="I566">
            <v>7</v>
          </cell>
          <cell r="J566"/>
          <cell r="K566">
            <v>8</v>
          </cell>
          <cell r="L566"/>
          <cell r="M566">
            <v>1</v>
          </cell>
          <cell r="N566"/>
          <cell r="O566"/>
          <cell r="P566"/>
          <cell r="Q566"/>
          <cell r="R566"/>
          <cell r="S566"/>
          <cell r="T566"/>
          <cell r="U566"/>
          <cell r="V566"/>
          <cell r="W566"/>
          <cell r="X566"/>
          <cell r="Y566"/>
          <cell r="Z566"/>
          <cell r="AA566"/>
          <cell r="AB566"/>
          <cell r="AC566"/>
          <cell r="AD566"/>
          <cell r="AE566"/>
          <cell r="AF566">
            <v>9.3714999999999993</v>
          </cell>
          <cell r="AG566"/>
          <cell r="AH566" t="str">
            <v>single crystal</v>
          </cell>
          <cell r="AI566" t="str">
            <v>Co</v>
          </cell>
          <cell r="AJ566" t="str">
            <v>-7.Al</v>
          </cell>
          <cell r="AK566" t="str">
            <v>-8.W</v>
          </cell>
          <cell r="AL566" t="str">
            <v/>
          </cell>
          <cell r="AM566" t="str">
            <v/>
          </cell>
          <cell r="AN566" t="str">
            <v>-1.Ta</v>
          </cell>
          <cell r="AO566" t="str">
            <v/>
          </cell>
          <cell r="AP566" t="str">
            <v/>
          </cell>
          <cell r="AQ566" t="str">
            <v/>
          </cell>
          <cell r="AR566" t="str">
            <v/>
          </cell>
          <cell r="AS566" t="str">
            <v/>
          </cell>
          <cell r="AT566" t="str">
            <v/>
          </cell>
          <cell r="AU566" t="str">
            <v/>
          </cell>
          <cell r="AV566" t="str">
            <v/>
          </cell>
          <cell r="AW566" t="str">
            <v/>
          </cell>
          <cell r="AX566" t="str">
            <v/>
          </cell>
          <cell r="AY566" t="str">
            <v/>
          </cell>
          <cell r="AZ566" t="str">
            <v/>
          </cell>
          <cell r="BA566" t="str">
            <v/>
          </cell>
          <cell r="BB566" t="str">
            <v/>
          </cell>
          <cell r="BC566" t="str">
            <v/>
          </cell>
          <cell r="BD566" t="str">
            <v/>
          </cell>
          <cell r="BE566" t="str">
            <v/>
          </cell>
          <cell r="BF566" t="str">
            <v/>
          </cell>
          <cell r="BG566" t="str">
            <v/>
          </cell>
          <cell r="BH566" t="str">
            <v>Alloy TaXue, F., Zhou, H. J. &amp; Feng, Q. Improved High-Temperature Microstructural Stability and Creep Property of Novel Co-Base Single-Crystal Alloys Containing Ta and Ti. JOM 66, 2486–2494 (2014).</v>
          </cell>
          <cell r="BI566" t="str">
            <v>Co-7.Al-8.W-1.Ta</v>
          </cell>
          <cell r="BJ566" t="str">
            <v>84.0Co-7.0Al-8.0W-1.0Ta</v>
          </cell>
        </row>
        <row r="567">
          <cell r="A567" t="str">
            <v>Co-6.5Al-6.W-2.3Ti</v>
          </cell>
          <cell r="B567" t="str">
            <v>CoAlWX+</v>
          </cell>
          <cell r="C567" t="str">
            <v>-7Al-6W-2Ti</v>
          </cell>
          <cell r="D567" t="str">
            <v>2Ti-2</v>
          </cell>
          <cell r="E567" t="str">
            <v>Yan, H. Y. et al. Alloying and the micromechanics of Co-Al-W-X quaternary alloys. Mater. Sci. Eng. A 613, 201–208 (2014).</v>
          </cell>
          <cell r="F567">
            <v>606</v>
          </cell>
          <cell r="G567">
            <v>85.2</v>
          </cell>
          <cell r="H567"/>
          <cell r="I567">
            <v>6.5</v>
          </cell>
          <cell r="J567"/>
          <cell r="K567">
            <v>6</v>
          </cell>
          <cell r="L567">
            <v>2.2999999999999998</v>
          </cell>
          <cell r="M567"/>
          <cell r="N567"/>
          <cell r="O567"/>
          <cell r="P567"/>
          <cell r="Q567"/>
          <cell r="R567"/>
          <cell r="S567"/>
          <cell r="T567"/>
          <cell r="U567"/>
          <cell r="V567"/>
          <cell r="W567"/>
          <cell r="X567"/>
          <cell r="Y567"/>
          <cell r="Z567"/>
          <cell r="AA567"/>
          <cell r="AB567"/>
          <cell r="AC567"/>
          <cell r="AD567"/>
          <cell r="AE567"/>
          <cell r="AF567">
            <v>9.0169610000000002</v>
          </cell>
          <cell r="AG567"/>
          <cell r="AH567"/>
          <cell r="AI567" t="str">
            <v>Co</v>
          </cell>
          <cell r="AJ567" t="str">
            <v>-6.5Al</v>
          </cell>
          <cell r="AK567" t="str">
            <v>-6.W</v>
          </cell>
          <cell r="AL567" t="str">
            <v/>
          </cell>
          <cell r="AM567" t="str">
            <v/>
          </cell>
          <cell r="AN567" t="str">
            <v/>
          </cell>
          <cell r="AO567" t="str">
            <v/>
          </cell>
          <cell r="AP567" t="str">
            <v/>
          </cell>
          <cell r="AQ567" t="str">
            <v>-2.3Ti</v>
          </cell>
          <cell r="AR567" t="str">
            <v/>
          </cell>
          <cell r="AS567" t="str">
            <v/>
          </cell>
          <cell r="AT567" t="str">
            <v/>
          </cell>
          <cell r="AU567" t="str">
            <v/>
          </cell>
          <cell r="AV567" t="str">
            <v/>
          </cell>
          <cell r="AW567" t="str">
            <v/>
          </cell>
          <cell r="AX567" t="str">
            <v/>
          </cell>
          <cell r="AY567" t="str">
            <v/>
          </cell>
          <cell r="AZ567" t="str">
            <v/>
          </cell>
          <cell r="BA567" t="str">
            <v/>
          </cell>
          <cell r="BB567" t="str">
            <v/>
          </cell>
          <cell r="BC567" t="str">
            <v/>
          </cell>
          <cell r="BD567" t="str">
            <v/>
          </cell>
          <cell r="BE567" t="str">
            <v/>
          </cell>
          <cell r="BF567" t="str">
            <v/>
          </cell>
          <cell r="BG567" t="str">
            <v/>
          </cell>
          <cell r="BH567" t="str">
            <v>2Ti-2Yan, H. Y. et al. Alloying and the micromechanics of Co-Al-W-X quaternary alloys. Mater. Sci. Eng. A 613, 201–208 (2014).</v>
          </cell>
          <cell r="BI567" t="str">
            <v>Co-6.5Al-6.W-2.3Ti</v>
          </cell>
          <cell r="BJ567" t="str">
            <v>85.2Co-6.5Al-6.0W-2.3Ti</v>
          </cell>
        </row>
        <row r="568">
          <cell r="A568" t="str">
            <v>Co-10.1Al-4.9W-1.7Ta</v>
          </cell>
          <cell r="B568" t="str">
            <v>CoAlWX+</v>
          </cell>
          <cell r="C568" t="str">
            <v>-10Al-5W-2Ta</v>
          </cell>
          <cell r="D568" t="str">
            <v>2Ta-2</v>
          </cell>
          <cell r="E568" t="str">
            <v>Yan, H. Y. et al. Alloying and the micromechanics of Co-Al-W-X quaternary alloys. Mater. Sci. Eng. A 613, 201–208 (2014).</v>
          </cell>
          <cell r="F568">
            <v>607</v>
          </cell>
          <cell r="G568">
            <v>83.3</v>
          </cell>
          <cell r="H568"/>
          <cell r="I568">
            <v>10.1</v>
          </cell>
          <cell r="J568"/>
          <cell r="K568">
            <v>4.9000000000000004</v>
          </cell>
          <cell r="L568"/>
          <cell r="M568">
            <v>1.7</v>
          </cell>
          <cell r="N568"/>
          <cell r="O568"/>
          <cell r="P568"/>
          <cell r="Q568"/>
          <cell r="R568"/>
          <cell r="S568"/>
          <cell r="T568"/>
          <cell r="U568"/>
          <cell r="V568"/>
          <cell r="W568"/>
          <cell r="X568"/>
          <cell r="Y568"/>
          <cell r="Z568"/>
          <cell r="AA568"/>
          <cell r="AB568"/>
          <cell r="AC568"/>
          <cell r="AD568"/>
          <cell r="AE568"/>
          <cell r="AF568">
            <v>8.9126999999999992</v>
          </cell>
          <cell r="AG568"/>
          <cell r="AH568"/>
          <cell r="AI568" t="str">
            <v>Co</v>
          </cell>
          <cell r="AJ568" t="str">
            <v>-10.1Al</v>
          </cell>
          <cell r="AK568" t="str">
            <v>-4.9W</v>
          </cell>
          <cell r="AL568" t="str">
            <v/>
          </cell>
          <cell r="AM568" t="str">
            <v/>
          </cell>
          <cell r="AN568" t="str">
            <v>-1.7Ta</v>
          </cell>
          <cell r="AO568" t="str">
            <v/>
          </cell>
          <cell r="AP568" t="str">
            <v/>
          </cell>
          <cell r="AQ568" t="str">
            <v/>
          </cell>
          <cell r="AR568" t="str">
            <v/>
          </cell>
          <cell r="AS568" t="str">
            <v/>
          </cell>
          <cell r="AT568" t="str">
            <v/>
          </cell>
          <cell r="AU568" t="str">
            <v/>
          </cell>
          <cell r="AV568" t="str">
            <v/>
          </cell>
          <cell r="AW568" t="str">
            <v/>
          </cell>
          <cell r="AX568" t="str">
            <v/>
          </cell>
          <cell r="AY568" t="str">
            <v/>
          </cell>
          <cell r="AZ568" t="str">
            <v/>
          </cell>
          <cell r="BA568" t="str">
            <v/>
          </cell>
          <cell r="BB568" t="str">
            <v/>
          </cell>
          <cell r="BC568" t="str">
            <v/>
          </cell>
          <cell r="BD568" t="str">
            <v/>
          </cell>
          <cell r="BE568" t="str">
            <v/>
          </cell>
          <cell r="BF568" t="str">
            <v/>
          </cell>
          <cell r="BG568" t="str">
            <v/>
          </cell>
          <cell r="BH568" t="str">
            <v>2Ta-2Yan, H. Y. et al. Alloying and the micromechanics of Co-Al-W-X quaternary alloys. Mater. Sci. Eng. A 613, 201–208 (2014).</v>
          </cell>
          <cell r="BI568" t="str">
            <v>Co-10.1Al-4.9W-1.7Ta</v>
          </cell>
          <cell r="BJ568" t="str">
            <v>83.3Co-10.1Al-4.9W-1.7Ta</v>
          </cell>
        </row>
        <row r="569">
          <cell r="A569" t="str">
            <v>Co-6.4Al-6.W-2.2Ti</v>
          </cell>
          <cell r="B569" t="str">
            <v>CoAlW-X</v>
          </cell>
          <cell r="C569" t="str">
            <v>-6Al-6W-2Ti</v>
          </cell>
          <cell r="D569" t="str">
            <v>2Ti</v>
          </cell>
          <cell r="E569" t="str">
            <v>Yan, H. Y., Vorontsov, V. A. &amp; Dye, D. Alloying effects in polycrystalline γ′ strengthened Co-Al-W base alloys. Intermetallics 48, 44–53 (2014).</v>
          </cell>
          <cell r="F569">
            <v>608</v>
          </cell>
          <cell r="G569">
            <v>85.4</v>
          </cell>
          <cell r="H569"/>
          <cell r="I569">
            <v>6.4</v>
          </cell>
          <cell r="J569"/>
          <cell r="K569">
            <v>6</v>
          </cell>
          <cell r="L569">
            <v>2.2000000000000002</v>
          </cell>
          <cell r="M569"/>
          <cell r="N569"/>
          <cell r="O569"/>
          <cell r="P569"/>
          <cell r="Q569"/>
          <cell r="R569"/>
          <cell r="S569"/>
          <cell r="T569"/>
          <cell r="U569"/>
          <cell r="V569"/>
          <cell r="W569"/>
          <cell r="X569"/>
          <cell r="Y569"/>
          <cell r="Z569"/>
          <cell r="AA569"/>
          <cell r="AB569"/>
          <cell r="AC569"/>
          <cell r="AD569"/>
          <cell r="AE569"/>
          <cell r="AF569">
            <v>9.0275540000000003</v>
          </cell>
          <cell r="AG569">
            <v>9.16</v>
          </cell>
          <cell r="AH569"/>
          <cell r="AI569" t="str">
            <v>Co</v>
          </cell>
          <cell r="AJ569" t="str">
            <v>-6.4Al</v>
          </cell>
          <cell r="AK569" t="str">
            <v>-6.W</v>
          </cell>
          <cell r="AL569" t="str">
            <v/>
          </cell>
          <cell r="AM569" t="str">
            <v/>
          </cell>
          <cell r="AN569" t="str">
            <v/>
          </cell>
          <cell r="AO569" t="str">
            <v/>
          </cell>
          <cell r="AP569" t="str">
            <v/>
          </cell>
          <cell r="AQ569" t="str">
            <v>-2.2Ti</v>
          </cell>
          <cell r="AR569" t="str">
            <v/>
          </cell>
          <cell r="AS569" t="str">
            <v/>
          </cell>
          <cell r="AT569" t="str">
            <v/>
          </cell>
          <cell r="AU569" t="str">
            <v/>
          </cell>
          <cell r="AV569" t="str">
            <v/>
          </cell>
          <cell r="AW569" t="str">
            <v/>
          </cell>
          <cell r="AX569" t="str">
            <v/>
          </cell>
          <cell r="AY569" t="str">
            <v/>
          </cell>
          <cell r="AZ569" t="str">
            <v/>
          </cell>
          <cell r="BA569" t="str">
            <v/>
          </cell>
          <cell r="BB569" t="str">
            <v/>
          </cell>
          <cell r="BC569" t="str">
            <v/>
          </cell>
          <cell r="BD569" t="str">
            <v/>
          </cell>
          <cell r="BE569" t="str">
            <v/>
          </cell>
          <cell r="BF569" t="str">
            <v/>
          </cell>
          <cell r="BG569" t="str">
            <v/>
          </cell>
          <cell r="BH569" t="str">
            <v>2TiYan, H. Y., Vorontsov, V. A. &amp; Dye, D. Alloying effects in polycrystalline γ′ strengthened Co-Al-W base alloys. Intermetallics 48, 44–53 (2014).</v>
          </cell>
          <cell r="BI569" t="str">
            <v>Co-6.4Al-6.W-2.2Ti</v>
          </cell>
          <cell r="BJ569" t="str">
            <v>85.4Co-6.4Al-6.0W-2.2Ti</v>
          </cell>
        </row>
        <row r="570">
          <cell r="A570" t="str">
            <v>Co-7.3Al-6.8W</v>
          </cell>
          <cell r="B570" t="str">
            <v>CoAlW-X</v>
          </cell>
          <cell r="C570" t="str">
            <v>-7Al-7W</v>
          </cell>
          <cell r="D570" t="str">
            <v>Base</v>
          </cell>
          <cell r="E570" t="str">
            <v>Yan, H. Y., Vorontsov, V. A. &amp; Dye, D. Alloying effects in polycrystalline γ′ strengthened Co-Al-W base alloys. Intermetallics 48, 44–53 (2014).</v>
          </cell>
          <cell r="F570">
            <v>609</v>
          </cell>
          <cell r="G570">
            <v>85.9</v>
          </cell>
          <cell r="H570"/>
          <cell r="I570">
            <v>7.3</v>
          </cell>
          <cell r="J570"/>
          <cell r="K570">
            <v>6.8</v>
          </cell>
          <cell r="L570"/>
          <cell r="M570"/>
          <cell r="N570"/>
          <cell r="O570"/>
          <cell r="P570"/>
          <cell r="Q570"/>
          <cell r="R570"/>
          <cell r="S570"/>
          <cell r="T570"/>
          <cell r="U570"/>
          <cell r="V570"/>
          <cell r="W570"/>
          <cell r="X570"/>
          <cell r="Y570"/>
          <cell r="Z570"/>
          <cell r="AA570"/>
          <cell r="AB570"/>
          <cell r="AC570"/>
          <cell r="AD570"/>
          <cell r="AE570"/>
          <cell r="AF570">
            <v>9.1512000000000011</v>
          </cell>
          <cell r="AG570">
            <v>9.18</v>
          </cell>
          <cell r="AH570"/>
          <cell r="AI570" t="str">
            <v>Co</v>
          </cell>
          <cell r="AJ570" t="str">
            <v>-7.3Al</v>
          </cell>
          <cell r="AK570" t="str">
            <v>-6.8W</v>
          </cell>
          <cell r="AL570" t="str">
            <v/>
          </cell>
          <cell r="AM570" t="str">
            <v/>
          </cell>
          <cell r="AN570" t="str">
            <v/>
          </cell>
          <cell r="AO570" t="str">
            <v/>
          </cell>
          <cell r="AP570" t="str">
            <v/>
          </cell>
          <cell r="AQ570" t="str">
            <v/>
          </cell>
          <cell r="AR570" t="str">
            <v/>
          </cell>
          <cell r="AS570" t="str">
            <v/>
          </cell>
          <cell r="AT570" t="str">
            <v/>
          </cell>
          <cell r="AU570" t="str">
            <v/>
          </cell>
          <cell r="AV570" t="str">
            <v/>
          </cell>
          <cell r="AW570" t="str">
            <v/>
          </cell>
          <cell r="AX570" t="str">
            <v/>
          </cell>
          <cell r="AY570" t="str">
            <v/>
          </cell>
          <cell r="AZ570" t="str">
            <v/>
          </cell>
          <cell r="BA570" t="str">
            <v/>
          </cell>
          <cell r="BB570" t="str">
            <v/>
          </cell>
          <cell r="BC570" t="str">
            <v/>
          </cell>
          <cell r="BD570" t="str">
            <v/>
          </cell>
          <cell r="BE570" t="str">
            <v/>
          </cell>
          <cell r="BF570" t="str">
            <v/>
          </cell>
          <cell r="BG570" t="str">
            <v/>
          </cell>
          <cell r="BH570" t="str">
            <v>BaseYan, H. Y., Vorontsov, V. A. &amp; Dye, D. Alloying effects in polycrystalline γ′ strengthened Co-Al-W base alloys. Intermetallics 48, 44–53 (2014).</v>
          </cell>
          <cell r="BI570" t="str">
            <v>Co-7.3Al-6.8W</v>
          </cell>
          <cell r="BJ570" t="str">
            <v>85.9Co-7.3Al-6.8W</v>
          </cell>
        </row>
        <row r="571">
          <cell r="A571" t="str">
            <v>Co-7.2Al-4.7W-1.8Mo</v>
          </cell>
          <cell r="B571" t="str">
            <v>CoAlW-X</v>
          </cell>
          <cell r="C571" t="str">
            <v>-7Al-5W-2Mo</v>
          </cell>
          <cell r="D571" t="str">
            <v>2Mo</v>
          </cell>
          <cell r="E571" t="str">
            <v>Yan, H. Y., Vorontsov, V. A. &amp; Dye, D. Alloying effects in polycrystalline γ′ strengthened Co-Al-W base alloys. Intermetallics 48, 44–53 (2014).</v>
          </cell>
          <cell r="F571">
            <v>610</v>
          </cell>
          <cell r="G571">
            <v>86.3</v>
          </cell>
          <cell r="H571"/>
          <cell r="I571">
            <v>7.2</v>
          </cell>
          <cell r="J571"/>
          <cell r="K571">
            <v>4.7</v>
          </cell>
          <cell r="L571"/>
          <cell r="M571"/>
          <cell r="N571"/>
          <cell r="O571"/>
          <cell r="P571">
            <v>1.8</v>
          </cell>
          <cell r="Q571"/>
          <cell r="R571"/>
          <cell r="S571"/>
          <cell r="T571"/>
          <cell r="U571"/>
          <cell r="V571"/>
          <cell r="W571"/>
          <cell r="X571"/>
          <cell r="Y571"/>
          <cell r="Z571"/>
          <cell r="AA571"/>
          <cell r="AB571"/>
          <cell r="AC571"/>
          <cell r="AD571"/>
          <cell r="AE571"/>
          <cell r="AF571">
            <v>8.9648900000000022</v>
          </cell>
          <cell r="AG571">
            <v>8.92</v>
          </cell>
          <cell r="AH571"/>
          <cell r="AI571" t="str">
            <v>Co</v>
          </cell>
          <cell r="AJ571" t="str">
            <v>-7.2Al</v>
          </cell>
          <cell r="AK571" t="str">
            <v>-4.7W</v>
          </cell>
          <cell r="AL571" t="str">
            <v/>
          </cell>
          <cell r="AM571" t="str">
            <v/>
          </cell>
          <cell r="AN571" t="str">
            <v/>
          </cell>
          <cell r="AO571" t="str">
            <v/>
          </cell>
          <cell r="AP571" t="str">
            <v/>
          </cell>
          <cell r="AQ571" t="str">
            <v/>
          </cell>
          <cell r="AR571" t="str">
            <v>-1.8Mo</v>
          </cell>
          <cell r="AS571" t="str">
            <v/>
          </cell>
          <cell r="AT571" t="str">
            <v/>
          </cell>
          <cell r="AU571" t="str">
            <v/>
          </cell>
          <cell r="AV571" t="str">
            <v/>
          </cell>
          <cell r="AW571" t="str">
            <v/>
          </cell>
          <cell r="AX571" t="str">
            <v/>
          </cell>
          <cell r="AY571" t="str">
            <v/>
          </cell>
          <cell r="AZ571" t="str">
            <v/>
          </cell>
          <cell r="BA571" t="str">
            <v/>
          </cell>
          <cell r="BB571" t="str">
            <v/>
          </cell>
          <cell r="BC571" t="str">
            <v/>
          </cell>
          <cell r="BD571" t="str">
            <v/>
          </cell>
          <cell r="BE571" t="str">
            <v/>
          </cell>
          <cell r="BF571" t="str">
            <v/>
          </cell>
          <cell r="BG571" t="str">
            <v/>
          </cell>
          <cell r="BH571" t="str">
            <v>2MoYan, H. Y., Vorontsov, V. A. &amp; Dye, D. Alloying effects in polycrystalline γ′ strengthened Co-Al-W base alloys. Intermetallics 48, 44–53 (2014).</v>
          </cell>
          <cell r="BI571" t="str">
            <v>Co-7.2Al-4.7W-1.8Mo</v>
          </cell>
          <cell r="BJ571" t="str">
            <v>86.3Co-7.2Al-4.7W-1.8Mo</v>
          </cell>
        </row>
        <row r="572">
          <cell r="A572" t="str">
            <v>Co-7.3Al-4.8W-2.1V</v>
          </cell>
          <cell r="B572" t="str">
            <v>CoAlW-X</v>
          </cell>
          <cell r="C572" t="str">
            <v>-7Al-5W-2V</v>
          </cell>
          <cell r="D572" t="str">
            <v>2V</v>
          </cell>
          <cell r="E572" t="str">
            <v>Yan, H. Y., Vorontsov, V. A. &amp; Dye, D. Alloying effects in polycrystalline γ′ strengthened Co-Al-W base alloys. Intermetallics 48, 44–53 (2014).</v>
          </cell>
          <cell r="F572">
            <v>611</v>
          </cell>
          <cell r="G572">
            <v>85.8</v>
          </cell>
          <cell r="H572"/>
          <cell r="I572">
            <v>7.3</v>
          </cell>
          <cell r="J572"/>
          <cell r="K572">
            <v>4.8</v>
          </cell>
          <cell r="L572"/>
          <cell r="M572"/>
          <cell r="N572"/>
          <cell r="O572">
            <v>2.1</v>
          </cell>
          <cell r="P572"/>
          <cell r="Q572"/>
          <cell r="R572"/>
          <cell r="S572"/>
          <cell r="T572"/>
          <cell r="U572"/>
          <cell r="V572"/>
          <cell r="W572"/>
          <cell r="X572"/>
          <cell r="Y572"/>
          <cell r="Z572"/>
          <cell r="AA572"/>
          <cell r="AB572"/>
          <cell r="AC572"/>
          <cell r="AD572"/>
          <cell r="AE572"/>
          <cell r="AF572">
            <v>8.8856099999999998</v>
          </cell>
          <cell r="AG572">
            <v>8.5</v>
          </cell>
          <cell r="AH572"/>
          <cell r="AI572" t="str">
            <v>Co</v>
          </cell>
          <cell r="AJ572" t="str">
            <v>-7.3Al</v>
          </cell>
          <cell r="AK572" t="str">
            <v>-4.8W</v>
          </cell>
          <cell r="AL572" t="str">
            <v/>
          </cell>
          <cell r="AM572" t="str">
            <v/>
          </cell>
          <cell r="AN572" t="str">
            <v/>
          </cell>
          <cell r="AO572" t="str">
            <v/>
          </cell>
          <cell r="AP572" t="str">
            <v>-2.1V</v>
          </cell>
          <cell r="AQ572" t="str">
            <v/>
          </cell>
          <cell r="AR572" t="str">
            <v/>
          </cell>
          <cell r="AS572" t="str">
            <v/>
          </cell>
          <cell r="AT572" t="str">
            <v/>
          </cell>
          <cell r="AU572" t="str">
            <v/>
          </cell>
          <cell r="AV572" t="str">
            <v/>
          </cell>
          <cell r="AW572" t="str">
            <v/>
          </cell>
          <cell r="AX572" t="str">
            <v/>
          </cell>
          <cell r="AY572" t="str">
            <v/>
          </cell>
          <cell r="AZ572" t="str">
            <v/>
          </cell>
          <cell r="BA572" t="str">
            <v/>
          </cell>
          <cell r="BB572" t="str">
            <v/>
          </cell>
          <cell r="BC572" t="str">
            <v/>
          </cell>
          <cell r="BD572" t="str">
            <v/>
          </cell>
          <cell r="BE572" t="str">
            <v/>
          </cell>
          <cell r="BF572" t="str">
            <v/>
          </cell>
          <cell r="BG572" t="str">
            <v/>
          </cell>
          <cell r="BH572" t="str">
            <v>2VYan, H. Y., Vorontsov, V. A. &amp; Dye, D. Alloying effects in polycrystalline γ′ strengthened Co-Al-W base alloys. Intermetallics 48, 44–53 (2014).</v>
          </cell>
          <cell r="BI572" t="str">
            <v>Co-7.3Al-4.8W-2.1V</v>
          </cell>
          <cell r="BJ572" t="str">
            <v>85.8Co-7.3Al-4.8W-2.1V</v>
          </cell>
        </row>
        <row r="573">
          <cell r="A573" t="str">
            <v>Co-6.4Ni-7.7Al-3.W-4.2V</v>
          </cell>
          <cell r="B573" t="str">
            <v>Low-W</v>
          </cell>
          <cell r="C573" t="str">
            <v>-6Ni-8Al-3W-4V</v>
          </cell>
          <cell r="D573" t="str">
            <v>6Ni-4V</v>
          </cell>
          <cell r="E573" t="str">
            <v>Yan, H. Y., Vorontsov, V. A. &amp; Dye, D. Alloying effects in polycrystalline γ′ strengthened Co-Al-W base alloys. Intermetallics 48, 44–53 (2014).</v>
          </cell>
          <cell r="F573">
            <v>614</v>
          </cell>
          <cell r="G573">
            <v>78.7</v>
          </cell>
          <cell r="H573">
            <v>6.4</v>
          </cell>
          <cell r="I573">
            <v>7.7</v>
          </cell>
          <cell r="J573"/>
          <cell r="K573">
            <v>3</v>
          </cell>
          <cell r="L573"/>
          <cell r="M573"/>
          <cell r="N573"/>
          <cell r="O573">
            <v>4.2</v>
          </cell>
          <cell r="P573"/>
          <cell r="Q573"/>
          <cell r="R573"/>
          <cell r="S573"/>
          <cell r="T573"/>
          <cell r="U573"/>
          <cell r="V573"/>
          <cell r="W573"/>
          <cell r="X573"/>
          <cell r="Y573"/>
          <cell r="Z573"/>
          <cell r="AA573"/>
          <cell r="AB573"/>
          <cell r="AC573"/>
          <cell r="AD573"/>
          <cell r="AE573"/>
          <cell r="AF573">
            <v>8.6164320000000014</v>
          </cell>
          <cell r="AG573">
            <v>8.58</v>
          </cell>
          <cell r="AH573"/>
          <cell r="AI573" t="str">
            <v>Co</v>
          </cell>
          <cell r="AJ573" t="str">
            <v>-7.7Al</v>
          </cell>
          <cell r="AK573" t="str">
            <v>-3.W</v>
          </cell>
          <cell r="AL573" t="str">
            <v>-6.4Ni</v>
          </cell>
          <cell r="AM573" t="str">
            <v/>
          </cell>
          <cell r="AN573" t="str">
            <v/>
          </cell>
          <cell r="AO573" t="str">
            <v/>
          </cell>
          <cell r="AP573" t="str">
            <v>-4.2V</v>
          </cell>
          <cell r="AQ573" t="str">
            <v/>
          </cell>
          <cell r="AR573" t="str">
            <v/>
          </cell>
          <cell r="AS573" t="str">
            <v/>
          </cell>
          <cell r="AT573" t="str">
            <v/>
          </cell>
          <cell r="AU573" t="str">
            <v/>
          </cell>
          <cell r="AV573" t="str">
            <v/>
          </cell>
          <cell r="AW573" t="str">
            <v/>
          </cell>
          <cell r="AX573" t="str">
            <v/>
          </cell>
          <cell r="AY573" t="str">
            <v/>
          </cell>
          <cell r="AZ573" t="str">
            <v/>
          </cell>
          <cell r="BA573" t="str">
            <v/>
          </cell>
          <cell r="BB573" t="str">
            <v/>
          </cell>
          <cell r="BC573" t="str">
            <v/>
          </cell>
          <cell r="BD573" t="str">
            <v/>
          </cell>
          <cell r="BE573" t="str">
            <v/>
          </cell>
          <cell r="BF573" t="str">
            <v/>
          </cell>
          <cell r="BG573" t="str">
            <v/>
          </cell>
          <cell r="BH573" t="str">
            <v>6Ni-4VYan, H. Y., Vorontsov, V. A. &amp; Dye, D. Alloying effects in polycrystalline γ′ strengthened Co-Al-W base alloys. Intermetallics 48, 44–53 (2014).</v>
          </cell>
          <cell r="BI573" t="str">
            <v>Co-6.4Ni-7.7Al-3.W-4.2V</v>
          </cell>
          <cell r="BJ573" t="str">
            <v>85.1Co-6.4Ni-7.7Al-3.0W-4.2V</v>
          </cell>
        </row>
        <row r="574">
          <cell r="A574" t="str">
            <v>Co-7.2Al-7.2W-0.7Si</v>
          </cell>
          <cell r="B574" t="str">
            <v>CoAlW-X</v>
          </cell>
          <cell r="C574" t="str">
            <v>-7Al-7W-Si</v>
          </cell>
          <cell r="D574" t="str">
            <v>1Si</v>
          </cell>
          <cell r="E574" t="str">
            <v>Yan, H. Y., Vorontsov, V. A. &amp; Dye, D. Alloying effects in polycrystalline γ′ strengthened Co-Al-W base alloys. Intermetallics 48, 44–53 (2014).</v>
          </cell>
          <cell r="F574">
            <v>615</v>
          </cell>
          <cell r="G574">
            <v>84.9</v>
          </cell>
          <cell r="H574"/>
          <cell r="I574">
            <v>7.2</v>
          </cell>
          <cell r="J574"/>
          <cell r="K574">
            <v>7.2</v>
          </cell>
          <cell r="L574"/>
          <cell r="M574"/>
          <cell r="N574"/>
          <cell r="O574"/>
          <cell r="P574"/>
          <cell r="Q574"/>
          <cell r="R574"/>
          <cell r="S574"/>
          <cell r="T574"/>
          <cell r="U574"/>
          <cell r="V574">
            <v>0.7</v>
          </cell>
          <cell r="W574"/>
          <cell r="X574"/>
          <cell r="Y574"/>
          <cell r="Z574"/>
          <cell r="AA574"/>
          <cell r="AB574"/>
          <cell r="AC574"/>
          <cell r="AD574"/>
          <cell r="AE574"/>
          <cell r="AF574">
            <v>9.1528100000000023</v>
          </cell>
          <cell r="AG574">
            <v>9.25</v>
          </cell>
          <cell r="AH574"/>
          <cell r="AI574" t="str">
            <v>Co</v>
          </cell>
          <cell r="AJ574" t="str">
            <v>-7.2Al</v>
          </cell>
          <cell r="AK574" t="str">
            <v>-7.2W</v>
          </cell>
          <cell r="AL574" t="str">
            <v/>
          </cell>
          <cell r="AM574" t="str">
            <v/>
          </cell>
          <cell r="AN574" t="str">
            <v/>
          </cell>
          <cell r="AO574" t="str">
            <v/>
          </cell>
          <cell r="AP574" t="str">
            <v/>
          </cell>
          <cell r="AQ574" t="str">
            <v/>
          </cell>
          <cell r="AR574" t="str">
            <v/>
          </cell>
          <cell r="AS574" t="str">
            <v/>
          </cell>
          <cell r="AT574" t="str">
            <v/>
          </cell>
          <cell r="AU574" t="str">
            <v/>
          </cell>
          <cell r="AV574" t="str">
            <v/>
          </cell>
          <cell r="AW574" t="str">
            <v/>
          </cell>
          <cell r="AX574" t="str">
            <v>-0.7Si</v>
          </cell>
          <cell r="AY574" t="str">
            <v/>
          </cell>
          <cell r="AZ574" t="str">
            <v/>
          </cell>
          <cell r="BA574" t="str">
            <v/>
          </cell>
          <cell r="BB574" t="str">
            <v/>
          </cell>
          <cell r="BC574" t="str">
            <v/>
          </cell>
          <cell r="BD574" t="str">
            <v/>
          </cell>
          <cell r="BE574" t="str">
            <v/>
          </cell>
          <cell r="BF574" t="str">
            <v/>
          </cell>
          <cell r="BG574" t="str">
            <v/>
          </cell>
          <cell r="BH574" t="str">
            <v>1SiYan, H. Y., Vorontsov, V. A. &amp; Dye, D. Alloying effects in polycrystalline γ′ strengthened Co-Al-W base alloys. Intermetallics 48, 44–53 (2014).</v>
          </cell>
          <cell r="BI574" t="str">
            <v>Co-7.2Al-7.2W-0.7Si</v>
          </cell>
          <cell r="BJ574" t="str">
            <v>84.9Co-7.2Al-7.2W-0.7Si</v>
          </cell>
        </row>
        <row r="575">
          <cell r="A575" t="str">
            <v>Co-7.3Al-7.W-19.5Si</v>
          </cell>
          <cell r="B575" t="str">
            <v>CoAlW-X</v>
          </cell>
          <cell r="C575" t="str">
            <v>-7Al-7W-Si</v>
          </cell>
          <cell r="D575" t="str">
            <v>20Fe</v>
          </cell>
          <cell r="E575" t="str">
            <v>Yan, H. Y., Vorontsov, V. A. &amp; Dye, D. Alloying effects in polycrystalline γ′ strengthened Co-Al-W base alloys. Intermetallics 48, 44–53 (2014).</v>
          </cell>
          <cell r="F575">
            <v>616</v>
          </cell>
          <cell r="G575">
            <v>66.2</v>
          </cell>
          <cell r="H575"/>
          <cell r="I575">
            <v>7.3</v>
          </cell>
          <cell r="J575"/>
          <cell r="K575">
            <v>7</v>
          </cell>
          <cell r="L575"/>
          <cell r="M575"/>
          <cell r="N575"/>
          <cell r="O575"/>
          <cell r="P575"/>
          <cell r="Q575"/>
          <cell r="R575"/>
          <cell r="S575"/>
          <cell r="T575"/>
          <cell r="U575"/>
          <cell r="V575">
            <v>19.5</v>
          </cell>
          <cell r="W575"/>
          <cell r="X575"/>
          <cell r="Y575"/>
          <cell r="Z575"/>
          <cell r="AA575"/>
          <cell r="AB575"/>
          <cell r="AC575"/>
          <cell r="AD575"/>
          <cell r="AE575"/>
          <cell r="AF575">
            <v>7.8907500000000006</v>
          </cell>
          <cell r="AG575">
            <v>9.0399999999999991</v>
          </cell>
          <cell r="AH575"/>
          <cell r="AI575" t="str">
            <v>Co</v>
          </cell>
          <cell r="AJ575" t="str">
            <v>-7.3Al</v>
          </cell>
          <cell r="AK575" t="str">
            <v>-7.W</v>
          </cell>
          <cell r="AL575" t="str">
            <v/>
          </cell>
          <cell r="AM575" t="str">
            <v/>
          </cell>
          <cell r="AN575" t="str">
            <v/>
          </cell>
          <cell r="AO575" t="str">
            <v/>
          </cell>
          <cell r="AP575" t="str">
            <v/>
          </cell>
          <cell r="AQ575" t="str">
            <v/>
          </cell>
          <cell r="AR575" t="str">
            <v/>
          </cell>
          <cell r="AS575" t="str">
            <v/>
          </cell>
          <cell r="AT575" t="str">
            <v/>
          </cell>
          <cell r="AU575" t="str">
            <v/>
          </cell>
          <cell r="AV575" t="str">
            <v/>
          </cell>
          <cell r="AW575" t="str">
            <v/>
          </cell>
          <cell r="AX575" t="str">
            <v>-19.5Si</v>
          </cell>
          <cell r="AY575" t="str">
            <v/>
          </cell>
          <cell r="AZ575" t="str">
            <v/>
          </cell>
          <cell r="BA575" t="str">
            <v/>
          </cell>
          <cell r="BB575" t="str">
            <v/>
          </cell>
          <cell r="BC575" t="str">
            <v/>
          </cell>
          <cell r="BD575" t="str">
            <v/>
          </cell>
          <cell r="BE575" t="str">
            <v/>
          </cell>
          <cell r="BF575" t="str">
            <v/>
          </cell>
          <cell r="BG575" t="str">
            <v/>
          </cell>
          <cell r="BH575" t="str">
            <v>20FeYan, H. Y., Vorontsov, V. A. &amp; Dye, D. Alloying effects in polycrystalline γ′ strengthened Co-Al-W base alloys. Intermetallics 48, 44–53 (2014).</v>
          </cell>
          <cell r="BI575" t="str">
            <v>Co-7.3Al-7.W-19.5Si</v>
          </cell>
          <cell r="BJ575" t="str">
            <v>66.2Co-7.3Al-7.0W-19.5Si</v>
          </cell>
        </row>
        <row r="576">
          <cell r="A576" t="str">
            <v>Co-7.2Al-9.8Cr-6.8W</v>
          </cell>
          <cell r="B576" t="str">
            <v>CoAlW-X</v>
          </cell>
          <cell r="C576" t="str">
            <v>-7Al-10Cr-7W</v>
          </cell>
          <cell r="D576" t="str">
            <v>10Cr</v>
          </cell>
          <cell r="E576" t="str">
            <v>Yan, H. Y., Vorontsov, V. A. &amp; Dye, D. Alloying effects in polycrystalline γ′ strengthened Co-Al-W base alloys. Intermetallics 48, 44–53 (2014).</v>
          </cell>
          <cell r="F576">
            <v>617</v>
          </cell>
          <cell r="G576">
            <v>76.2</v>
          </cell>
          <cell r="H576"/>
          <cell r="I576">
            <v>7.2</v>
          </cell>
          <cell r="J576">
            <v>9.8000000000000007</v>
          </cell>
          <cell r="K576">
            <v>6.8</v>
          </cell>
          <cell r="L576"/>
          <cell r="M576"/>
          <cell r="N576"/>
          <cell r="O576"/>
          <cell r="P576"/>
          <cell r="Q576"/>
          <cell r="R576"/>
          <cell r="S576"/>
          <cell r="T576"/>
          <cell r="U576"/>
          <cell r="V576"/>
          <cell r="W576"/>
          <cell r="X576"/>
          <cell r="Y576"/>
          <cell r="Z576"/>
          <cell r="AA576"/>
          <cell r="AB576"/>
          <cell r="AC576"/>
          <cell r="AD576"/>
          <cell r="AE576"/>
          <cell r="AF576">
            <v>8.9898200000000017</v>
          </cell>
          <cell r="AG576">
            <v>9.2899999999999991</v>
          </cell>
          <cell r="AH576"/>
          <cell r="AI576" t="str">
            <v>Co</v>
          </cell>
          <cell r="AJ576" t="str">
            <v>-7.2Al</v>
          </cell>
          <cell r="AK576" t="str">
            <v>-6.8W</v>
          </cell>
          <cell r="AL576" t="str">
            <v/>
          </cell>
          <cell r="AM576" t="str">
            <v>-9.8Cr</v>
          </cell>
          <cell r="AN576" t="str">
            <v/>
          </cell>
          <cell r="AO576" t="str">
            <v/>
          </cell>
          <cell r="AP576" t="str">
            <v/>
          </cell>
          <cell r="AQ576" t="str">
            <v/>
          </cell>
          <cell r="AR576" t="str">
            <v/>
          </cell>
          <cell r="AS576" t="str">
            <v/>
          </cell>
          <cell r="AT576" t="str">
            <v/>
          </cell>
          <cell r="AU576" t="str">
            <v/>
          </cell>
          <cell r="AV576" t="str">
            <v/>
          </cell>
          <cell r="AW576" t="str">
            <v/>
          </cell>
          <cell r="AX576" t="str">
            <v/>
          </cell>
          <cell r="AY576" t="str">
            <v/>
          </cell>
          <cell r="AZ576" t="str">
            <v/>
          </cell>
          <cell r="BA576" t="str">
            <v/>
          </cell>
          <cell r="BB576" t="str">
            <v/>
          </cell>
          <cell r="BC576" t="str">
            <v/>
          </cell>
          <cell r="BD576" t="str">
            <v/>
          </cell>
          <cell r="BE576" t="str">
            <v/>
          </cell>
          <cell r="BF576" t="str">
            <v/>
          </cell>
          <cell r="BG576" t="str">
            <v/>
          </cell>
          <cell r="BH576" t="str">
            <v>10CrYan, H. Y., Vorontsov, V. A. &amp; Dye, D. Alloying effects in polycrystalline γ′ strengthened Co-Al-W base alloys. Intermetallics 48, 44–53 (2014).</v>
          </cell>
          <cell r="BI576" t="str">
            <v>Co-7.2Al-9.8Cr-6.8W</v>
          </cell>
          <cell r="BJ576" t="str">
            <v>76.2Co-7.2Al-9.8Cr-6.8W</v>
          </cell>
        </row>
        <row r="577">
          <cell r="A577" t="str">
            <v>Co-7.4Al-13.2Cr-7.1W</v>
          </cell>
          <cell r="B577" t="str">
            <v>CoAlW-X</v>
          </cell>
          <cell r="C577" t="str">
            <v>-7Al-13Cr-7W</v>
          </cell>
          <cell r="D577" t="str">
            <v>13Cr</v>
          </cell>
          <cell r="E577" t="str">
            <v>Yan, H. Y., Vorontsov, V. A. &amp; Dye, D. Alloying effects in polycrystalline γ′ strengthened Co-Al-W base alloys. Intermetallics 48, 44–53 (2014).</v>
          </cell>
          <cell r="F577">
            <v>618</v>
          </cell>
          <cell r="G577">
            <v>72.3</v>
          </cell>
          <cell r="H577"/>
          <cell r="I577">
            <v>7.4</v>
          </cell>
          <cell r="J577">
            <v>13.2</v>
          </cell>
          <cell r="K577">
            <v>7.1</v>
          </cell>
          <cell r="L577"/>
          <cell r="M577"/>
          <cell r="N577"/>
          <cell r="O577"/>
          <cell r="P577"/>
          <cell r="Q577"/>
          <cell r="R577"/>
          <cell r="S577"/>
          <cell r="T577"/>
          <cell r="U577"/>
          <cell r="V577"/>
          <cell r="W577"/>
          <cell r="X577"/>
          <cell r="Y577"/>
          <cell r="Z577"/>
          <cell r="AA577"/>
          <cell r="AB577"/>
          <cell r="AC577"/>
          <cell r="AD577"/>
          <cell r="AE577"/>
          <cell r="AF577">
            <v>8.950330000000001</v>
          </cell>
          <cell r="AG577">
            <v>9.39</v>
          </cell>
          <cell r="AH577"/>
          <cell r="AI577" t="str">
            <v>Co</v>
          </cell>
          <cell r="AJ577" t="str">
            <v>-7.4Al</v>
          </cell>
          <cell r="AK577" t="str">
            <v>-7.1W</v>
          </cell>
          <cell r="AL577" t="str">
            <v/>
          </cell>
          <cell r="AM577" t="str">
            <v>-13.2Cr</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
          </cell>
          <cell r="BB577" t="str">
            <v/>
          </cell>
          <cell r="BC577" t="str">
            <v/>
          </cell>
          <cell r="BD577" t="str">
            <v/>
          </cell>
          <cell r="BE577" t="str">
            <v/>
          </cell>
          <cell r="BF577" t="str">
            <v/>
          </cell>
          <cell r="BG577" t="str">
            <v/>
          </cell>
          <cell r="BH577" t="str">
            <v>13CrYan, H. Y., Vorontsov, V. A. &amp; Dye, D. Alloying effects in polycrystalline γ′ strengthened Co-Al-W base alloys. Intermetallics 48, 44–53 (2014).</v>
          </cell>
          <cell r="BI577" t="str">
            <v>Co-7.4Al-13.2Cr-7.1W</v>
          </cell>
          <cell r="BJ577" t="str">
            <v>72.3Co-7.4Al-13.2Cr-7.1W</v>
          </cell>
        </row>
        <row r="578">
          <cell r="A578" t="str">
            <v>Co-7.5Al-17.3Cr-7.W</v>
          </cell>
          <cell r="B578" t="str">
            <v>CoAlW-X</v>
          </cell>
          <cell r="C578" t="str">
            <v>-8Al-17Cr-7W</v>
          </cell>
          <cell r="D578" t="str">
            <v>17Cr</v>
          </cell>
          <cell r="E578" t="str">
            <v>Yan, H. Y., Vorontsov, V. A. &amp; Dye, D. Alloying effects in polycrystalline γ′ strengthened Co-Al-W base alloys. Intermetallics 48, 44–53 (2014).</v>
          </cell>
          <cell r="F578">
            <v>619</v>
          </cell>
          <cell r="G578">
            <v>68.2</v>
          </cell>
          <cell r="H578"/>
          <cell r="I578">
            <v>7.5</v>
          </cell>
          <cell r="J578">
            <v>17.3</v>
          </cell>
          <cell r="K578">
            <v>7</v>
          </cell>
          <cell r="L578"/>
          <cell r="M578"/>
          <cell r="N578"/>
          <cell r="O578"/>
          <cell r="P578"/>
          <cell r="Q578"/>
          <cell r="R578"/>
          <cell r="S578"/>
          <cell r="T578"/>
          <cell r="U578"/>
          <cell r="V578"/>
          <cell r="W578"/>
          <cell r="X578"/>
          <cell r="Y578"/>
          <cell r="Z578"/>
          <cell r="AA578"/>
          <cell r="AB578"/>
          <cell r="AC578"/>
          <cell r="AD578"/>
          <cell r="AE578"/>
          <cell r="AF578">
            <v>8.8636700000000008</v>
          </cell>
          <cell r="AG578">
            <v>9.1300000000000008</v>
          </cell>
          <cell r="AH578"/>
          <cell r="AI578" t="str">
            <v>Co</v>
          </cell>
          <cell r="AJ578" t="str">
            <v>-7.5Al</v>
          </cell>
          <cell r="AK578" t="str">
            <v>-7.W</v>
          </cell>
          <cell r="AL578" t="str">
            <v/>
          </cell>
          <cell r="AM578" t="str">
            <v>-17.3Cr</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
          </cell>
          <cell r="BB578" t="str">
            <v/>
          </cell>
          <cell r="BC578" t="str">
            <v/>
          </cell>
          <cell r="BD578" t="str">
            <v/>
          </cell>
          <cell r="BE578" t="str">
            <v/>
          </cell>
          <cell r="BF578" t="str">
            <v/>
          </cell>
          <cell r="BG578" t="str">
            <v/>
          </cell>
          <cell r="BH578" t="str">
            <v>17CrYan, H. Y., Vorontsov, V. A. &amp; Dye, D. Alloying effects in polycrystalline γ′ strengthened Co-Al-W base alloys. Intermetallics 48, 44–53 (2014).</v>
          </cell>
          <cell r="BI578" t="str">
            <v>Co-7.5Al-17.3Cr-7.W</v>
          </cell>
          <cell r="BJ578" t="str">
            <v>68.2Co-7.5Al-17.3Cr-7.0W</v>
          </cell>
        </row>
        <row r="579">
          <cell r="A579" t="str">
            <v>Co-7.6Al-21.3Cr-7.2W</v>
          </cell>
          <cell r="B579" t="str">
            <v>CoAlW-X</v>
          </cell>
          <cell r="C579" t="str">
            <v>-8Al-21Cr-7W</v>
          </cell>
          <cell r="D579" t="str">
            <v>21Cr</v>
          </cell>
          <cell r="E579" t="str">
            <v>Yan, H. Y., Vorontsov, V. A. &amp; Dye, D. Alloying effects in polycrystalline γ′ strengthened Co-Al-W base alloys. Intermetallics 48, 44–53 (2014).</v>
          </cell>
          <cell r="F579">
            <v>620</v>
          </cell>
          <cell r="G579">
            <v>63.9</v>
          </cell>
          <cell r="H579"/>
          <cell r="I579">
            <v>7.6</v>
          </cell>
          <cell r="J579">
            <v>21.3</v>
          </cell>
          <cell r="K579">
            <v>7.2</v>
          </cell>
          <cell r="L579"/>
          <cell r="M579"/>
          <cell r="N579"/>
          <cell r="O579"/>
          <cell r="P579"/>
          <cell r="Q579"/>
          <cell r="R579"/>
          <cell r="S579"/>
          <cell r="T579"/>
          <cell r="U579"/>
          <cell r="V579"/>
          <cell r="W579"/>
          <cell r="X579"/>
          <cell r="Y579"/>
          <cell r="Z579"/>
          <cell r="AA579"/>
          <cell r="AB579"/>
          <cell r="AC579"/>
          <cell r="AD579"/>
          <cell r="AE579"/>
          <cell r="AF579">
            <v>8.8097700000000003</v>
          </cell>
          <cell r="AG579">
            <v>9.16</v>
          </cell>
          <cell r="AH579"/>
          <cell r="AI579" t="str">
            <v>Co</v>
          </cell>
          <cell r="AJ579" t="str">
            <v>-7.6Al</v>
          </cell>
          <cell r="AK579" t="str">
            <v>-7.2W</v>
          </cell>
          <cell r="AL579" t="str">
            <v/>
          </cell>
          <cell r="AM579" t="str">
            <v>-21.3Cr</v>
          </cell>
          <cell r="AN579" t="str">
            <v/>
          </cell>
          <cell r="AO579" t="str">
            <v/>
          </cell>
          <cell r="AP579" t="str">
            <v/>
          </cell>
          <cell r="AQ579" t="str">
            <v/>
          </cell>
          <cell r="AR579" t="str">
            <v/>
          </cell>
          <cell r="AS579" t="str">
            <v/>
          </cell>
          <cell r="AT579" t="str">
            <v/>
          </cell>
          <cell r="AU579" t="str">
            <v/>
          </cell>
          <cell r="AV579" t="str">
            <v/>
          </cell>
          <cell r="AW579" t="str">
            <v/>
          </cell>
          <cell r="AX579" t="str">
            <v/>
          </cell>
          <cell r="AY579" t="str">
            <v/>
          </cell>
          <cell r="AZ579" t="str">
            <v/>
          </cell>
          <cell r="BA579" t="str">
            <v/>
          </cell>
          <cell r="BB579" t="str">
            <v/>
          </cell>
          <cell r="BC579" t="str">
            <v/>
          </cell>
          <cell r="BD579" t="str">
            <v/>
          </cell>
          <cell r="BE579" t="str">
            <v/>
          </cell>
          <cell r="BF579" t="str">
            <v/>
          </cell>
          <cell r="BG579" t="str">
            <v/>
          </cell>
          <cell r="BH579" t="str">
            <v>21CrYan, H. Y., Vorontsov, V. A. &amp; Dye, D. Alloying effects in polycrystalline γ′ strengthened Co-Al-W base alloys. Intermetallics 48, 44–53 (2014).</v>
          </cell>
          <cell r="BI579" t="str">
            <v>Co-7.6Al-21.3Cr-7.2W</v>
          </cell>
          <cell r="BJ579" t="str">
            <v>63.9Co-7.6Al-21.3Cr-7.2W</v>
          </cell>
        </row>
        <row r="580">
          <cell r="A580" t="str">
            <v>Co-4.8Al-22.9Cr-6.6W</v>
          </cell>
          <cell r="B580" t="str">
            <v>CoAlW-X</v>
          </cell>
          <cell r="C580" t="str">
            <v>-5Al-23Cr-7W</v>
          </cell>
          <cell r="D580" t="str">
            <v>23Cr</v>
          </cell>
          <cell r="E580" t="str">
            <v>Yan, H. Y., Vorontsov, V. A. &amp; Dye, D. Alloying effects in polycrystalline γ′ strengthened Co-Al-W base alloys. Intermetallics 48, 44–53 (2014).</v>
          </cell>
          <cell r="F580">
            <v>621</v>
          </cell>
          <cell r="G580">
            <v>65.7</v>
          </cell>
          <cell r="H580"/>
          <cell r="I580">
            <v>4.8</v>
          </cell>
          <cell r="J580">
            <v>22.9</v>
          </cell>
          <cell r="K580">
            <v>6.6</v>
          </cell>
          <cell r="L580"/>
          <cell r="M580"/>
          <cell r="N580"/>
          <cell r="O580"/>
          <cell r="P580"/>
          <cell r="Q580"/>
          <cell r="R580"/>
          <cell r="S580"/>
          <cell r="T580"/>
          <cell r="U580"/>
          <cell r="V580"/>
          <cell r="W580"/>
          <cell r="X580"/>
          <cell r="Y580"/>
          <cell r="Z580"/>
          <cell r="AA580"/>
          <cell r="AB580"/>
          <cell r="AC580"/>
          <cell r="AD580"/>
          <cell r="AE580"/>
          <cell r="AF580">
            <v>8.89391</v>
          </cell>
          <cell r="AG580">
            <v>8.7799999999999994</v>
          </cell>
          <cell r="AH580"/>
          <cell r="AI580" t="str">
            <v>Co</v>
          </cell>
          <cell r="AJ580" t="str">
            <v>-4.8Al</v>
          </cell>
          <cell r="AK580" t="str">
            <v>-6.6W</v>
          </cell>
          <cell r="AL580" t="str">
            <v/>
          </cell>
          <cell r="AM580" t="str">
            <v>-22.9Cr</v>
          </cell>
          <cell r="AN580" t="str">
            <v/>
          </cell>
          <cell r="AO580" t="str">
            <v/>
          </cell>
          <cell r="AP580" t="str">
            <v/>
          </cell>
          <cell r="AQ580" t="str">
            <v/>
          </cell>
          <cell r="AR580" t="str">
            <v/>
          </cell>
          <cell r="AS580" t="str">
            <v/>
          </cell>
          <cell r="AT580" t="str">
            <v/>
          </cell>
          <cell r="AU580" t="str">
            <v/>
          </cell>
          <cell r="AV580" t="str">
            <v/>
          </cell>
          <cell r="AW580" t="str">
            <v/>
          </cell>
          <cell r="AX580" t="str">
            <v/>
          </cell>
          <cell r="AY580" t="str">
            <v/>
          </cell>
          <cell r="AZ580" t="str">
            <v/>
          </cell>
          <cell r="BA580" t="str">
            <v/>
          </cell>
          <cell r="BB580" t="str">
            <v/>
          </cell>
          <cell r="BC580" t="str">
            <v/>
          </cell>
          <cell r="BD580" t="str">
            <v/>
          </cell>
          <cell r="BE580" t="str">
            <v/>
          </cell>
          <cell r="BF580" t="str">
            <v/>
          </cell>
          <cell r="BG580" t="str">
            <v/>
          </cell>
          <cell r="BH580" t="str">
            <v>23CrYan, H. Y., Vorontsov, V. A. &amp; Dye, D. Alloying effects in polycrystalline γ′ strengthened Co-Al-W base alloys. Intermetallics 48, 44–53 (2014).</v>
          </cell>
          <cell r="BI580" t="str">
            <v>Co-4.8Al-22.9Cr-6.6W</v>
          </cell>
          <cell r="BJ580" t="str">
            <v>65.7Co-4.8Al-22.9Cr-6.6W</v>
          </cell>
        </row>
        <row r="581">
          <cell r="A581" t="str">
            <v>Co-11.1Ni-7.5Al-20.8Cr-7.2W</v>
          </cell>
          <cell r="B581" t="str">
            <v>CoAlWX+</v>
          </cell>
          <cell r="C581" t="str">
            <v>-11Ni-8Al-21Cr-7W</v>
          </cell>
          <cell r="D581" t="str">
            <v>21Cr-11Ni</v>
          </cell>
          <cell r="E581" t="str">
            <v>Yan, H. Y., Vorontsov, V. A. &amp; Dye, D. Alloying effects in polycrystalline γ′ strengthened Co-Al-W base alloys. Intermetallics 48, 44–53 (2014).</v>
          </cell>
          <cell r="F581">
            <v>622</v>
          </cell>
          <cell r="G581">
            <v>53.399999999999991</v>
          </cell>
          <cell r="H581">
            <v>11.1</v>
          </cell>
          <cell r="I581">
            <v>7.5</v>
          </cell>
          <cell r="J581">
            <v>20.8</v>
          </cell>
          <cell r="K581">
            <v>7.2</v>
          </cell>
          <cell r="L581"/>
          <cell r="M581"/>
          <cell r="N581"/>
          <cell r="O581"/>
          <cell r="P581"/>
          <cell r="Q581"/>
          <cell r="R581"/>
          <cell r="S581"/>
          <cell r="T581"/>
          <cell r="U581"/>
          <cell r="V581"/>
          <cell r="W581"/>
          <cell r="X581"/>
          <cell r="Y581"/>
          <cell r="Z581"/>
          <cell r="AA581"/>
          <cell r="AB581"/>
          <cell r="AC581"/>
          <cell r="AD581"/>
          <cell r="AE581"/>
          <cell r="AF581">
            <v>8.8254079999999995</v>
          </cell>
          <cell r="AG581">
            <v>9.1300000000000008</v>
          </cell>
          <cell r="AH581"/>
          <cell r="AI581" t="str">
            <v>Co</v>
          </cell>
          <cell r="AJ581" t="str">
            <v>-7.5Al</v>
          </cell>
          <cell r="AK581" t="str">
            <v>-7.2W</v>
          </cell>
          <cell r="AL581" t="str">
            <v>-11.1Ni</v>
          </cell>
          <cell r="AM581" t="str">
            <v>-20.8Cr</v>
          </cell>
          <cell r="AN581" t="str">
            <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
          </cell>
          <cell r="BB581" t="str">
            <v/>
          </cell>
          <cell r="BC581" t="str">
            <v/>
          </cell>
          <cell r="BD581" t="str">
            <v/>
          </cell>
          <cell r="BE581" t="str">
            <v/>
          </cell>
          <cell r="BF581" t="str">
            <v/>
          </cell>
          <cell r="BG581" t="str">
            <v/>
          </cell>
          <cell r="BH581" t="str">
            <v>21Cr-11NiYan, H. Y., Vorontsov, V. A. &amp; Dye, D. Alloying effects in polycrystalline γ′ strengthened Co-Al-W base alloys. Intermetallics 48, 44–53 (2014).</v>
          </cell>
          <cell r="BI581" t="str">
            <v>Co-11.1Ni-7.5Al-20.8Cr-7.2W</v>
          </cell>
          <cell r="BJ581" t="str">
            <v>64.5Co-11.1Ni-7.5Al-20.8Cr-7.2W</v>
          </cell>
        </row>
        <row r="582">
          <cell r="A582" t="str">
            <v>Co-21.7Ni-6.9Al-21.5Cr-7.3W</v>
          </cell>
          <cell r="B582" t="str">
            <v>CoAlWX+</v>
          </cell>
          <cell r="C582" t="str">
            <v>-22Ni-7Al-22Cr-7W</v>
          </cell>
          <cell r="D582" t="str">
            <v>21Cr-21Ni</v>
          </cell>
          <cell r="E582" t="str">
            <v>Yan, H. Y., Vorontsov, V. A. &amp; Dye, D. Alloying effects in polycrystalline γ′ strengthened Co-Al-W base alloys. Intermetallics 48, 44–53 (2014).</v>
          </cell>
          <cell r="F582">
            <v>623</v>
          </cell>
          <cell r="G582">
            <v>42.6</v>
          </cell>
          <cell r="H582">
            <v>21.7</v>
          </cell>
          <cell r="I582">
            <v>6.9</v>
          </cell>
          <cell r="J582">
            <v>21.5</v>
          </cell>
          <cell r="K582">
            <v>7.3</v>
          </cell>
          <cell r="L582"/>
          <cell r="M582"/>
          <cell r="N582"/>
          <cell r="O582"/>
          <cell r="P582"/>
          <cell r="Q582"/>
          <cell r="R582"/>
          <cell r="S582"/>
          <cell r="T582"/>
          <cell r="U582"/>
          <cell r="V582"/>
          <cell r="W582"/>
          <cell r="X582"/>
          <cell r="Y582"/>
          <cell r="Z582"/>
          <cell r="AA582"/>
          <cell r="AB582"/>
          <cell r="AC582"/>
          <cell r="AD582"/>
          <cell r="AE582"/>
          <cell r="AF582">
            <v>8.8618360000000003</v>
          </cell>
          <cell r="AG582">
            <v>9.07</v>
          </cell>
          <cell r="AH582"/>
          <cell r="AI582" t="str">
            <v>Co</v>
          </cell>
          <cell r="AJ582" t="str">
            <v>-6.9Al</v>
          </cell>
          <cell r="AK582" t="str">
            <v>-7.3W</v>
          </cell>
          <cell r="AL582" t="str">
            <v>-21.7Ni</v>
          </cell>
          <cell r="AM582" t="str">
            <v>-21.5Cr</v>
          </cell>
          <cell r="AN582" t="str">
            <v/>
          </cell>
          <cell r="AO582" t="str">
            <v/>
          </cell>
          <cell r="AP582" t="str">
            <v/>
          </cell>
          <cell r="AQ582" t="str">
            <v/>
          </cell>
          <cell r="AR582" t="str">
            <v/>
          </cell>
          <cell r="AS582" t="str">
            <v/>
          </cell>
          <cell r="AT582" t="str">
            <v/>
          </cell>
          <cell r="AU582" t="str">
            <v/>
          </cell>
          <cell r="AV582" t="str">
            <v/>
          </cell>
          <cell r="AW582" t="str">
            <v/>
          </cell>
          <cell r="AX582" t="str">
            <v/>
          </cell>
          <cell r="AY582" t="str">
            <v/>
          </cell>
          <cell r="AZ582" t="str">
            <v/>
          </cell>
          <cell r="BA582" t="str">
            <v/>
          </cell>
          <cell r="BB582" t="str">
            <v/>
          </cell>
          <cell r="BC582" t="str">
            <v/>
          </cell>
          <cell r="BD582" t="str">
            <v/>
          </cell>
          <cell r="BE582" t="str">
            <v/>
          </cell>
          <cell r="BF582" t="str">
            <v/>
          </cell>
          <cell r="BG582" t="str">
            <v/>
          </cell>
          <cell r="BH582" t="str">
            <v>21Cr-21NiYan, H. Y., Vorontsov, V. A. &amp; Dye, D. Alloying effects in polycrystalline γ′ strengthened Co-Al-W base alloys. Intermetallics 48, 44–53 (2014).</v>
          </cell>
          <cell r="BI582" t="str">
            <v>Co-21.7Ni-6.9Al-21.5Cr-7.3W</v>
          </cell>
          <cell r="BJ582" t="str">
            <v>64.3Co-21.7Ni-6.9Al-21.5Cr-7.3W</v>
          </cell>
        </row>
        <row r="583">
          <cell r="A583" t="str">
            <v>Co-33.2Ni-7.7Al-20.8Cr-6.5W</v>
          </cell>
          <cell r="B583" t="str">
            <v>CoAlWX+</v>
          </cell>
          <cell r="C583" t="str">
            <v>-33Ni-8Al-21Cr-7W</v>
          </cell>
          <cell r="D583" t="str">
            <v>21Cr-32Ni</v>
          </cell>
          <cell r="E583" t="str">
            <v>Yan, H. Y., Vorontsov, V. A. &amp; Dye, D. Alloying effects in polycrystalline γ′ strengthened Co-Al-W base alloys. Intermetallics 48, 44–53 (2014).</v>
          </cell>
          <cell r="F583">
            <v>624</v>
          </cell>
          <cell r="G583">
            <v>31.799999999999997</v>
          </cell>
          <cell r="H583">
            <v>33.200000000000003</v>
          </cell>
          <cell r="I583">
            <v>7.7</v>
          </cell>
          <cell r="J583">
            <v>20.8</v>
          </cell>
          <cell r="K583">
            <v>6.5</v>
          </cell>
          <cell r="L583"/>
          <cell r="M583"/>
          <cell r="N583"/>
          <cell r="O583"/>
          <cell r="P583"/>
          <cell r="Q583"/>
          <cell r="R583"/>
          <cell r="S583"/>
          <cell r="T583"/>
          <cell r="U583"/>
          <cell r="V583"/>
          <cell r="W583"/>
          <cell r="X583"/>
          <cell r="Y583"/>
          <cell r="Z583"/>
          <cell r="AA583"/>
          <cell r="AB583"/>
          <cell r="AC583"/>
          <cell r="AD583"/>
          <cell r="AE583"/>
          <cell r="AF583">
            <v>8.7423260000000003</v>
          </cell>
          <cell r="AG583">
            <v>9.09</v>
          </cell>
          <cell r="AH583"/>
          <cell r="AI583" t="str">
            <v>Co</v>
          </cell>
          <cell r="AJ583" t="str">
            <v>-7.7Al</v>
          </cell>
          <cell r="AK583" t="str">
            <v>-6.5W</v>
          </cell>
          <cell r="AL583" t="str">
            <v>-33.2Ni</v>
          </cell>
          <cell r="AM583" t="str">
            <v>-20.8Cr</v>
          </cell>
          <cell r="AN583" t="str">
            <v/>
          </cell>
          <cell r="AO583" t="str">
            <v/>
          </cell>
          <cell r="AP583" t="str">
            <v/>
          </cell>
          <cell r="AQ583" t="str">
            <v/>
          </cell>
          <cell r="AR583" t="str">
            <v/>
          </cell>
          <cell r="AS583" t="str">
            <v/>
          </cell>
          <cell r="AT583" t="str">
            <v/>
          </cell>
          <cell r="AU583" t="str">
            <v/>
          </cell>
          <cell r="AV583" t="str">
            <v/>
          </cell>
          <cell r="AW583" t="str">
            <v/>
          </cell>
          <cell r="AX583" t="str">
            <v/>
          </cell>
          <cell r="AY583" t="str">
            <v/>
          </cell>
          <cell r="AZ583" t="str">
            <v/>
          </cell>
          <cell r="BA583" t="str">
            <v/>
          </cell>
          <cell r="BB583" t="str">
            <v/>
          </cell>
          <cell r="BC583" t="str">
            <v/>
          </cell>
          <cell r="BD583" t="str">
            <v/>
          </cell>
          <cell r="BE583" t="str">
            <v/>
          </cell>
          <cell r="BF583" t="str">
            <v/>
          </cell>
          <cell r="BG583" t="str">
            <v/>
          </cell>
          <cell r="BH583" t="str">
            <v>21Cr-32NiYan, H. Y., Vorontsov, V. A. &amp; Dye, D. Alloying effects in polycrystalline γ′ strengthened Co-Al-W base alloys. Intermetallics 48, 44–53 (2014).</v>
          </cell>
          <cell r="BI583" t="str">
            <v>Co-33.2Ni-7.7Al-20.8Cr-6.5W</v>
          </cell>
          <cell r="BJ583" t="str">
            <v>65.0Co-33.2Ni-7.7Al-20.8Cr-6.5W</v>
          </cell>
        </row>
        <row r="584">
          <cell r="A584" t="str">
            <v>Co-10.9Ni-8.5Al-21.Cr-5.5W</v>
          </cell>
          <cell r="B584" t="str">
            <v>CoAlWX+</v>
          </cell>
          <cell r="C584" t="str">
            <v>-11Ni-9Al-21Cr-6W</v>
          </cell>
          <cell r="D584" t="str">
            <v>21Cr-11Ni-A</v>
          </cell>
          <cell r="E584" t="str">
            <v>Yan, H. Y., Vorontsov, V. A. &amp; Dye, D. Alloying effects in polycrystalline γ′ strengthened Co-Al-W base alloys. Intermetallics 48, 44–53 (2014).</v>
          </cell>
          <cell r="F584">
            <v>625</v>
          </cell>
          <cell r="G584">
            <v>54.1</v>
          </cell>
          <cell r="H584">
            <v>10.9</v>
          </cell>
          <cell r="I584">
            <v>8.5</v>
          </cell>
          <cell r="J584">
            <v>21</v>
          </cell>
          <cell r="K584">
            <v>5.5</v>
          </cell>
          <cell r="L584"/>
          <cell r="M584"/>
          <cell r="N584"/>
          <cell r="O584"/>
          <cell r="P584"/>
          <cell r="Q584"/>
          <cell r="R584"/>
          <cell r="S584"/>
          <cell r="T584"/>
          <cell r="U584"/>
          <cell r="V584"/>
          <cell r="W584"/>
          <cell r="X584"/>
          <cell r="Y584"/>
          <cell r="Z584"/>
          <cell r="AA584"/>
          <cell r="AB584"/>
          <cell r="AC584"/>
          <cell r="AD584"/>
          <cell r="AE584"/>
          <cell r="AF584">
            <v>8.5840220000000009</v>
          </cell>
          <cell r="AG584">
            <v>8.89</v>
          </cell>
          <cell r="AH584"/>
          <cell r="AI584" t="str">
            <v>Co</v>
          </cell>
          <cell r="AJ584" t="str">
            <v>-8.5Al</v>
          </cell>
          <cell r="AK584" t="str">
            <v>-5.5W</v>
          </cell>
          <cell r="AL584" t="str">
            <v>-10.9Ni</v>
          </cell>
          <cell r="AM584" t="str">
            <v>-21.Cr</v>
          </cell>
          <cell r="AN584" t="str">
            <v/>
          </cell>
          <cell r="AO584" t="str">
            <v/>
          </cell>
          <cell r="AP584" t="str">
            <v/>
          </cell>
          <cell r="AQ584" t="str">
            <v/>
          </cell>
          <cell r="AR584" t="str">
            <v/>
          </cell>
          <cell r="AS584" t="str">
            <v/>
          </cell>
          <cell r="AT584" t="str">
            <v/>
          </cell>
          <cell r="AU584" t="str">
            <v/>
          </cell>
          <cell r="AV584" t="str">
            <v/>
          </cell>
          <cell r="AW584" t="str">
            <v/>
          </cell>
          <cell r="AX584" t="str">
            <v/>
          </cell>
          <cell r="AY584" t="str">
            <v/>
          </cell>
          <cell r="AZ584" t="str">
            <v/>
          </cell>
          <cell r="BA584" t="str">
            <v/>
          </cell>
          <cell r="BB584" t="str">
            <v/>
          </cell>
          <cell r="BC584" t="str">
            <v/>
          </cell>
          <cell r="BD584" t="str">
            <v/>
          </cell>
          <cell r="BE584" t="str">
            <v/>
          </cell>
          <cell r="BF584" t="str">
            <v/>
          </cell>
          <cell r="BG584" t="str">
            <v/>
          </cell>
          <cell r="BH584" t="str">
            <v>21Cr-11Ni-AYan, H. Y., Vorontsov, V. A. &amp; Dye, D. Alloying effects in polycrystalline γ′ strengthened Co-Al-W base alloys. Intermetallics 48, 44–53 (2014).</v>
          </cell>
          <cell r="BI584" t="str">
            <v>Co-10.9Ni-8.5Al-21.Cr-5.5W</v>
          </cell>
          <cell r="BJ584" t="str">
            <v>65.0Co-10.9Ni-8.5Al-21.0Cr-5.5W</v>
          </cell>
        </row>
        <row r="585">
          <cell r="A585" t="str">
            <v>Co-21.3Ni-9.3Al-21.1Cr-4.7W</v>
          </cell>
          <cell r="B585" t="str">
            <v>CoAlWX+</v>
          </cell>
          <cell r="C585" t="str">
            <v>-21Ni-9Al-21Cr-5W</v>
          </cell>
          <cell r="D585" t="str">
            <v>21Cr-21Ni-A</v>
          </cell>
          <cell r="E585" t="str">
            <v>Yan, H. Y., Vorontsov, V. A. &amp; Dye, D. Alloying effects in polycrystalline γ′ strengthened Co-Al-W base alloys. Intermetallics 48, 44–53 (2014).</v>
          </cell>
          <cell r="F585">
            <v>626</v>
          </cell>
          <cell r="G585">
            <v>43.599999999999994</v>
          </cell>
          <cell r="H585">
            <v>21.3</v>
          </cell>
          <cell r="I585">
            <v>9.3000000000000007</v>
          </cell>
          <cell r="J585">
            <v>21.1</v>
          </cell>
          <cell r="K585">
            <v>4.7</v>
          </cell>
          <cell r="L585"/>
          <cell r="M585"/>
          <cell r="N585"/>
          <cell r="O585"/>
          <cell r="P585"/>
          <cell r="Q585"/>
          <cell r="R585"/>
          <cell r="S585"/>
          <cell r="T585"/>
          <cell r="U585"/>
          <cell r="V585"/>
          <cell r="W585"/>
          <cell r="X585"/>
          <cell r="Y585"/>
          <cell r="Z585"/>
          <cell r="AA585"/>
          <cell r="AB585"/>
          <cell r="AC585"/>
          <cell r="AD585"/>
          <cell r="AE585"/>
          <cell r="AF585">
            <v>8.4507440000000003</v>
          </cell>
          <cell r="AG585">
            <v>8.69</v>
          </cell>
          <cell r="AH585"/>
          <cell r="AI585" t="str">
            <v>Co</v>
          </cell>
          <cell r="AJ585" t="str">
            <v>-9.3Al</v>
          </cell>
          <cell r="AK585" t="str">
            <v>-4.7W</v>
          </cell>
          <cell r="AL585" t="str">
            <v>-21.3Ni</v>
          </cell>
          <cell r="AM585" t="str">
            <v>-21.1Cr</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
          </cell>
          <cell r="BB585" t="str">
            <v/>
          </cell>
          <cell r="BC585" t="str">
            <v/>
          </cell>
          <cell r="BD585" t="str">
            <v/>
          </cell>
          <cell r="BE585" t="str">
            <v/>
          </cell>
          <cell r="BF585" t="str">
            <v/>
          </cell>
          <cell r="BG585" t="str">
            <v/>
          </cell>
          <cell r="BH585" t="str">
            <v>21Cr-21Ni-AYan, H. Y., Vorontsov, V. A. &amp; Dye, D. Alloying effects in polycrystalline γ′ strengthened Co-Al-W base alloys. Intermetallics 48, 44–53 (2014).</v>
          </cell>
          <cell r="BI585" t="str">
            <v>Co-21.3Ni-9.3Al-21.1Cr-4.7W</v>
          </cell>
          <cell r="BJ585" t="str">
            <v>64.9Co-21.3Ni-9.3Al-21.1Cr-4.7W</v>
          </cell>
        </row>
        <row r="586">
          <cell r="A586" t="str">
            <v>Co-32.5Ni-11.2Al-20.5Cr-3.4W</v>
          </cell>
          <cell r="B586" t="str">
            <v>CoAlWX+</v>
          </cell>
          <cell r="C586" t="str">
            <v>-33Ni-11Al-21Cr-3W</v>
          </cell>
          <cell r="D586" t="str">
            <v>21Cr-32Ni-A</v>
          </cell>
          <cell r="E586" t="str">
            <v>Yan, H. Y., Vorontsov, V. A. &amp; Dye, D. Alloying effects in polycrystalline γ′ strengthened Co-Al-W base alloys. Intermetallics 48, 44–53 (2014).</v>
          </cell>
          <cell r="F586">
            <v>627</v>
          </cell>
          <cell r="G586">
            <v>32.399999999999991</v>
          </cell>
          <cell r="H586">
            <v>32.5</v>
          </cell>
          <cell r="I586">
            <v>11.2</v>
          </cell>
          <cell r="J586">
            <v>20.5</v>
          </cell>
          <cell r="K586">
            <v>3.4</v>
          </cell>
          <cell r="L586"/>
          <cell r="M586"/>
          <cell r="N586"/>
          <cell r="O586"/>
          <cell r="P586"/>
          <cell r="Q586"/>
          <cell r="R586"/>
          <cell r="S586"/>
          <cell r="T586"/>
          <cell r="U586"/>
          <cell r="V586"/>
          <cell r="W586"/>
          <cell r="X586"/>
          <cell r="Y586"/>
          <cell r="Z586"/>
          <cell r="AA586"/>
          <cell r="AB586"/>
          <cell r="AC586"/>
          <cell r="AD586"/>
          <cell r="AE586"/>
          <cell r="AF586">
            <v>8.2095500000000001</v>
          </cell>
          <cell r="AG586">
            <v>8.36</v>
          </cell>
          <cell r="AH586"/>
          <cell r="AI586" t="str">
            <v>Co</v>
          </cell>
          <cell r="AJ586" t="str">
            <v>-11.2Al</v>
          </cell>
          <cell r="AK586" t="str">
            <v>-3.4W</v>
          </cell>
          <cell r="AL586" t="str">
            <v>-32.5Ni</v>
          </cell>
          <cell r="AM586" t="str">
            <v>-20.5Cr</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
          </cell>
          <cell r="BB586" t="str">
            <v/>
          </cell>
          <cell r="BC586" t="str">
            <v/>
          </cell>
          <cell r="BD586" t="str">
            <v/>
          </cell>
          <cell r="BE586" t="str">
            <v/>
          </cell>
          <cell r="BF586" t="str">
            <v/>
          </cell>
          <cell r="BG586" t="str">
            <v/>
          </cell>
          <cell r="BH586" t="str">
            <v>21Cr-32Ni-AYan, H. Y., Vorontsov, V. A. &amp; Dye, D. Alloying effects in polycrystalline γ′ strengthened Co-Al-W base alloys. Intermetallics 48, 44–53 (2014).</v>
          </cell>
          <cell r="BI586" t="str">
            <v>Co-32.5Ni-11.2Al-20.5Cr-3.4W</v>
          </cell>
          <cell r="BJ586" t="str">
            <v>64.9Co-32.5Ni-11.2Al-20.5Cr-3.4W</v>
          </cell>
        </row>
        <row r="587">
          <cell r="A587" t="str">
            <v>Co-30.Ni-10.Al-10.W-0.Si</v>
          </cell>
          <cell r="B587" t="str">
            <v>CoAlW-X</v>
          </cell>
          <cell r="C587" t="str">
            <v>-30Ni-10Al-10W-Si</v>
          </cell>
          <cell r="D587" t="str">
            <v>FC-0.0</v>
          </cell>
          <cell r="E587" t="str">
            <v>Yeh, A. C., Wang, S. C., Cheng, C. F., Chang, Y. J. &amp; Chang, S. C. Oxidation Behaviour of Si-Bearing Co-Based Alloys. Oxid. Met. 86, 99–112 (2016).</v>
          </cell>
          <cell r="F587">
            <v>628</v>
          </cell>
          <cell r="G587">
            <v>50</v>
          </cell>
          <cell r="H587">
            <v>30</v>
          </cell>
          <cell r="I587">
            <v>10</v>
          </cell>
          <cell r="J587"/>
          <cell r="K587">
            <v>10</v>
          </cell>
          <cell r="L587"/>
          <cell r="M587"/>
          <cell r="N587"/>
          <cell r="O587"/>
          <cell r="P587"/>
          <cell r="Q587"/>
          <cell r="R587"/>
          <cell r="S587"/>
          <cell r="T587"/>
          <cell r="U587"/>
          <cell r="V587">
            <v>0</v>
          </cell>
          <cell r="W587"/>
          <cell r="X587"/>
          <cell r="Y587"/>
          <cell r="Z587"/>
          <cell r="AA587"/>
          <cell r="AB587"/>
          <cell r="AC587"/>
          <cell r="AD587"/>
          <cell r="AE587"/>
          <cell r="AF587">
            <v>9.3173999999999992</v>
          </cell>
          <cell r="AG587"/>
          <cell r="AH587"/>
          <cell r="AI587" t="str">
            <v>Co</v>
          </cell>
          <cell r="AJ587" t="str">
            <v>-10.Al</v>
          </cell>
          <cell r="AK587" t="str">
            <v>-10.W</v>
          </cell>
          <cell r="AL587" t="str">
            <v>-30.Ni</v>
          </cell>
          <cell r="AM587" t="str">
            <v/>
          </cell>
          <cell r="AN587" t="str">
            <v/>
          </cell>
          <cell r="AO587" t="str">
            <v/>
          </cell>
          <cell r="AP587" t="str">
            <v/>
          </cell>
          <cell r="AQ587" t="str">
            <v/>
          </cell>
          <cell r="AR587" t="str">
            <v/>
          </cell>
          <cell r="AS587" t="str">
            <v/>
          </cell>
          <cell r="AT587" t="str">
            <v/>
          </cell>
          <cell r="AU587" t="str">
            <v/>
          </cell>
          <cell r="AV587" t="str">
            <v/>
          </cell>
          <cell r="AW587" t="str">
            <v/>
          </cell>
          <cell r="AX587" t="str">
            <v>-0.Si</v>
          </cell>
          <cell r="AY587" t="str">
            <v/>
          </cell>
          <cell r="AZ587" t="str">
            <v/>
          </cell>
          <cell r="BA587" t="str">
            <v/>
          </cell>
          <cell r="BB587" t="str">
            <v/>
          </cell>
          <cell r="BC587" t="str">
            <v/>
          </cell>
          <cell r="BD587" t="str">
            <v/>
          </cell>
          <cell r="BE587" t="str">
            <v/>
          </cell>
          <cell r="BF587" t="str">
            <v/>
          </cell>
          <cell r="BG587" t="str">
            <v/>
          </cell>
          <cell r="BH587" t="str">
            <v>FC-0.0Yeh, A. C., Wang, S. C., Cheng, C. F., Chang, Y. J. &amp; Chang, S. C. Oxidation Behaviour of Si-Bearing Co-Based Alloys. Oxid. Met. 86, 99–112 (2016).</v>
          </cell>
          <cell r="BI587" t="str">
            <v>Co-30.Ni-10.Al-10.W-0.Si</v>
          </cell>
          <cell r="BJ587" t="str">
            <v>80.0Co-30.0Ni-10.0Al-10.0W-0.0Si</v>
          </cell>
        </row>
        <row r="588">
          <cell r="A588" t="str">
            <v>Co-30.Ni-10.Al-10.W-0.5Si</v>
          </cell>
          <cell r="B588" t="str">
            <v>CoAlWX+</v>
          </cell>
          <cell r="C588" t="str">
            <v>-30Ni-10Al-10W-Si</v>
          </cell>
          <cell r="D588" t="str">
            <v>FC-0.5</v>
          </cell>
          <cell r="E588" t="str">
            <v>Yeh, A. C., Wang, S. C., Cheng, C. F., Chang, Y. J. &amp; Chang, S. C. Oxidation Behaviour of Si-Bearing Co-Based Alloys. Oxid. Met. 86, 99–112 (2016).</v>
          </cell>
          <cell r="F588">
            <v>629</v>
          </cell>
          <cell r="G588">
            <v>49.5</v>
          </cell>
          <cell r="H588">
            <v>30</v>
          </cell>
          <cell r="I588">
            <v>10</v>
          </cell>
          <cell r="J588"/>
          <cell r="K588">
            <v>10</v>
          </cell>
          <cell r="L588"/>
          <cell r="M588"/>
          <cell r="N588"/>
          <cell r="O588"/>
          <cell r="P588"/>
          <cell r="Q588"/>
          <cell r="R588"/>
          <cell r="S588"/>
          <cell r="T588"/>
          <cell r="U588"/>
          <cell r="V588">
            <v>0.5</v>
          </cell>
          <cell r="W588"/>
          <cell r="X588"/>
          <cell r="Y588"/>
          <cell r="Z588"/>
          <cell r="AA588"/>
          <cell r="AB588"/>
          <cell r="AC588"/>
          <cell r="AD588"/>
          <cell r="AE588"/>
          <cell r="AF588">
            <v>9.2845499999999994</v>
          </cell>
          <cell r="AG588"/>
          <cell r="AH588"/>
          <cell r="AI588" t="str">
            <v>Co</v>
          </cell>
          <cell r="AJ588" t="str">
            <v>-10.Al</v>
          </cell>
          <cell r="AK588" t="str">
            <v>-10.W</v>
          </cell>
          <cell r="AL588" t="str">
            <v>-30.Ni</v>
          </cell>
          <cell r="AM588" t="str">
            <v/>
          </cell>
          <cell r="AN588" t="str">
            <v/>
          </cell>
          <cell r="AO588" t="str">
            <v/>
          </cell>
          <cell r="AP588" t="str">
            <v/>
          </cell>
          <cell r="AQ588" t="str">
            <v/>
          </cell>
          <cell r="AR588" t="str">
            <v/>
          </cell>
          <cell r="AS588" t="str">
            <v/>
          </cell>
          <cell r="AT588" t="str">
            <v/>
          </cell>
          <cell r="AU588" t="str">
            <v/>
          </cell>
          <cell r="AV588" t="str">
            <v/>
          </cell>
          <cell r="AW588" t="str">
            <v/>
          </cell>
          <cell r="AX588" t="str">
            <v>-0.5Si</v>
          </cell>
          <cell r="AY588" t="str">
            <v/>
          </cell>
          <cell r="AZ588" t="str">
            <v/>
          </cell>
          <cell r="BA588" t="str">
            <v/>
          </cell>
          <cell r="BB588" t="str">
            <v/>
          </cell>
          <cell r="BC588" t="str">
            <v/>
          </cell>
          <cell r="BD588" t="str">
            <v/>
          </cell>
          <cell r="BE588" t="str">
            <v/>
          </cell>
          <cell r="BF588" t="str">
            <v/>
          </cell>
          <cell r="BG588" t="str">
            <v/>
          </cell>
          <cell r="BH588" t="str">
            <v>FC-0.5Yeh, A. C., Wang, S. C., Cheng, C. F., Chang, Y. J. &amp; Chang, S. C. Oxidation Behaviour of Si-Bearing Co-Based Alloys. Oxid. Met. 86, 99–112 (2016).</v>
          </cell>
          <cell r="BI588" t="str">
            <v>Co-30.Ni-10.Al-10.W-0.5Si</v>
          </cell>
          <cell r="BJ588" t="str">
            <v>79.5Co-30.0Ni-10.0Al-10.0W-0.5Si</v>
          </cell>
        </row>
        <row r="589">
          <cell r="A589" t="str">
            <v>Co-30.Ni-10.Al-10.W-1.Si</v>
          </cell>
          <cell r="B589" t="str">
            <v>CoAlWX+</v>
          </cell>
          <cell r="C589" t="str">
            <v>-30Ni-10Al-10W-Si</v>
          </cell>
          <cell r="D589" t="str">
            <v>FC-1.0</v>
          </cell>
          <cell r="E589" t="str">
            <v>Yeh, A. C., Wang, S. C., Cheng, C. F., Chang, Y. J. &amp; Chang, S. C. Oxidation Behaviour of Si-Bearing Co-Based Alloys. Oxid. Met. 86, 99–112 (2016).</v>
          </cell>
          <cell r="F589">
            <v>630</v>
          </cell>
          <cell r="G589">
            <v>49</v>
          </cell>
          <cell r="H589">
            <v>30</v>
          </cell>
          <cell r="I589">
            <v>10</v>
          </cell>
          <cell r="J589"/>
          <cell r="K589">
            <v>10</v>
          </cell>
          <cell r="L589"/>
          <cell r="M589"/>
          <cell r="N589"/>
          <cell r="O589"/>
          <cell r="P589"/>
          <cell r="Q589"/>
          <cell r="R589"/>
          <cell r="S589"/>
          <cell r="T589"/>
          <cell r="U589"/>
          <cell r="V589">
            <v>1</v>
          </cell>
          <cell r="W589"/>
          <cell r="X589"/>
          <cell r="Y589"/>
          <cell r="Z589"/>
          <cell r="AA589"/>
          <cell r="AB589"/>
          <cell r="AC589"/>
          <cell r="AD589"/>
          <cell r="AE589"/>
          <cell r="AF589">
            <v>9.2517000000000014</v>
          </cell>
          <cell r="AG589"/>
          <cell r="AH589"/>
          <cell r="AI589" t="str">
            <v>Co</v>
          </cell>
          <cell r="AJ589" t="str">
            <v>-10.Al</v>
          </cell>
          <cell r="AK589" t="str">
            <v>-10.W</v>
          </cell>
          <cell r="AL589" t="str">
            <v>-30.Ni</v>
          </cell>
          <cell r="AM589" t="str">
            <v/>
          </cell>
          <cell r="AN589" t="str">
            <v/>
          </cell>
          <cell r="AO589" t="str">
            <v/>
          </cell>
          <cell r="AP589" t="str">
            <v/>
          </cell>
          <cell r="AQ589" t="str">
            <v/>
          </cell>
          <cell r="AR589" t="str">
            <v/>
          </cell>
          <cell r="AS589" t="str">
            <v/>
          </cell>
          <cell r="AT589" t="str">
            <v/>
          </cell>
          <cell r="AU589" t="str">
            <v/>
          </cell>
          <cell r="AV589" t="str">
            <v/>
          </cell>
          <cell r="AW589" t="str">
            <v/>
          </cell>
          <cell r="AX589" t="str">
            <v>-1.Si</v>
          </cell>
          <cell r="AY589" t="str">
            <v/>
          </cell>
          <cell r="AZ589" t="str">
            <v/>
          </cell>
          <cell r="BA589" t="str">
            <v/>
          </cell>
          <cell r="BB589" t="str">
            <v/>
          </cell>
          <cell r="BC589" t="str">
            <v/>
          </cell>
          <cell r="BD589" t="str">
            <v/>
          </cell>
          <cell r="BE589" t="str">
            <v/>
          </cell>
          <cell r="BF589" t="str">
            <v/>
          </cell>
          <cell r="BG589" t="str">
            <v/>
          </cell>
          <cell r="BH589" t="str">
            <v>FC-1.0Yeh, A. C., Wang, S. C., Cheng, C. F., Chang, Y. J. &amp; Chang, S. C. Oxidation Behaviour of Si-Bearing Co-Based Alloys. Oxid. Met. 86, 99–112 (2016).</v>
          </cell>
          <cell r="BI589" t="str">
            <v>Co-30.Ni-10.Al-10.W-1.Si</v>
          </cell>
          <cell r="BJ589" t="str">
            <v>79.0Co-30.0Ni-10.0Al-10.0W-1.0Si</v>
          </cell>
        </row>
        <row r="590">
          <cell r="A590" t="str">
            <v>Co-30.Ni-10.Al-10.W-1.5Si</v>
          </cell>
          <cell r="B590" t="str">
            <v>CoAlWX+</v>
          </cell>
          <cell r="C590" t="str">
            <v>-30Ni-10Al-10W-Si</v>
          </cell>
          <cell r="D590" t="str">
            <v>FC-1.5</v>
          </cell>
          <cell r="E590" t="str">
            <v>Yeh, A. C., Wang, S. C., Cheng, C. F., Chang, Y. J. &amp; Chang, S. C. Oxidation Behaviour of Si-Bearing Co-Based Alloys. Oxid. Met. 86, 99–112 (2016).</v>
          </cell>
          <cell r="F590">
            <v>631</v>
          </cell>
          <cell r="G590">
            <v>48.5</v>
          </cell>
          <cell r="H590">
            <v>30</v>
          </cell>
          <cell r="I590">
            <v>10</v>
          </cell>
          <cell r="J590"/>
          <cell r="K590">
            <v>10</v>
          </cell>
          <cell r="L590"/>
          <cell r="M590"/>
          <cell r="N590"/>
          <cell r="O590"/>
          <cell r="P590"/>
          <cell r="Q590"/>
          <cell r="R590"/>
          <cell r="S590"/>
          <cell r="T590"/>
          <cell r="U590"/>
          <cell r="V590">
            <v>1.5</v>
          </cell>
          <cell r="W590"/>
          <cell r="X590"/>
          <cell r="Y590"/>
          <cell r="Z590"/>
          <cell r="AA590"/>
          <cell r="AB590"/>
          <cell r="AC590"/>
          <cell r="AD590"/>
          <cell r="AE590"/>
          <cell r="AF590">
            <v>9.2188500000000015</v>
          </cell>
          <cell r="AG590"/>
          <cell r="AH590"/>
          <cell r="AI590" t="str">
            <v>Co</v>
          </cell>
          <cell r="AJ590" t="str">
            <v>-10.Al</v>
          </cell>
          <cell r="AK590" t="str">
            <v>-10.W</v>
          </cell>
          <cell r="AL590" t="str">
            <v>-30.Ni</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-1.5Si</v>
          </cell>
          <cell r="AY590" t="str">
            <v/>
          </cell>
          <cell r="AZ590" t="str">
            <v/>
          </cell>
          <cell r="BA590" t="str">
            <v/>
          </cell>
          <cell r="BB590" t="str">
            <v/>
          </cell>
          <cell r="BC590" t="str">
            <v/>
          </cell>
          <cell r="BD590" t="str">
            <v/>
          </cell>
          <cell r="BE590" t="str">
            <v/>
          </cell>
          <cell r="BF590" t="str">
            <v/>
          </cell>
          <cell r="BG590" t="str">
            <v/>
          </cell>
          <cell r="BH590" t="str">
            <v>FC-1.5Yeh, A. C., Wang, S. C., Cheng, C. F., Chang, Y. J. &amp; Chang, S. C. Oxidation Behaviour of Si-Bearing Co-Based Alloys. Oxid. Met. 86, 99–112 (2016).</v>
          </cell>
          <cell r="BI590" t="str">
            <v>Co-30.Ni-10.Al-10.W-1.5Si</v>
          </cell>
          <cell r="BJ590" t="str">
            <v>78.5Co-30.0Ni-10.0Al-10.0W-1.5Si</v>
          </cell>
        </row>
        <row r="591">
          <cell r="A591" t="str">
            <v>Co-30.Ni-10.Al-10.W-2.Si</v>
          </cell>
          <cell r="B591" t="str">
            <v>CoAlWX+</v>
          </cell>
          <cell r="C591" t="str">
            <v>-30Ni-10Al-10W-Si</v>
          </cell>
          <cell r="D591" t="str">
            <v>FC-2.0</v>
          </cell>
          <cell r="E591" t="str">
            <v>Yeh, A. C., Wang, S. C., Cheng, C. F., Chang, Y. J. &amp; Chang, S. C. Oxidation Behaviour of Si-Bearing Co-Based Alloys. Oxid. Met. 86, 99–112 (2016).</v>
          </cell>
          <cell r="F591">
            <v>632</v>
          </cell>
          <cell r="G591">
            <v>48</v>
          </cell>
          <cell r="H591">
            <v>30</v>
          </cell>
          <cell r="I591">
            <v>10</v>
          </cell>
          <cell r="J591"/>
          <cell r="K591">
            <v>10</v>
          </cell>
          <cell r="L591"/>
          <cell r="M591"/>
          <cell r="N591"/>
          <cell r="O591"/>
          <cell r="P591"/>
          <cell r="Q591"/>
          <cell r="R591"/>
          <cell r="S591"/>
          <cell r="T591"/>
          <cell r="U591"/>
          <cell r="V591">
            <v>2</v>
          </cell>
          <cell r="W591"/>
          <cell r="X591"/>
          <cell r="Y591"/>
          <cell r="Z591"/>
          <cell r="AA591"/>
          <cell r="AB591"/>
          <cell r="AC591"/>
          <cell r="AD591"/>
          <cell r="AE591"/>
          <cell r="AF591">
            <v>9.1859999999999999</v>
          </cell>
          <cell r="AG591"/>
          <cell r="AH591"/>
          <cell r="AI591" t="str">
            <v>Co</v>
          </cell>
          <cell r="AJ591" t="str">
            <v>-10.Al</v>
          </cell>
          <cell r="AK591" t="str">
            <v>-10.W</v>
          </cell>
          <cell r="AL591" t="str">
            <v>-30.Ni</v>
          </cell>
          <cell r="AM591" t="str">
            <v/>
          </cell>
          <cell r="AN591" t="str">
            <v/>
          </cell>
          <cell r="AO591" t="str">
            <v/>
          </cell>
          <cell r="AP591" t="str">
            <v/>
          </cell>
          <cell r="AQ591" t="str">
            <v/>
          </cell>
          <cell r="AR591" t="str">
            <v/>
          </cell>
          <cell r="AS591" t="str">
            <v/>
          </cell>
          <cell r="AT591" t="str">
            <v/>
          </cell>
          <cell r="AU591" t="str">
            <v/>
          </cell>
          <cell r="AV591" t="str">
            <v/>
          </cell>
          <cell r="AW591" t="str">
            <v/>
          </cell>
          <cell r="AX591" t="str">
            <v>-2.Si</v>
          </cell>
          <cell r="AY591" t="str">
            <v/>
          </cell>
          <cell r="AZ591" t="str">
            <v/>
          </cell>
          <cell r="BA591" t="str">
            <v/>
          </cell>
          <cell r="BB591" t="str">
            <v/>
          </cell>
          <cell r="BC591" t="str">
            <v/>
          </cell>
          <cell r="BD591" t="str">
            <v/>
          </cell>
          <cell r="BE591" t="str">
            <v/>
          </cell>
          <cell r="BF591" t="str">
            <v/>
          </cell>
          <cell r="BG591" t="str">
            <v/>
          </cell>
          <cell r="BH591" t="str">
            <v>FC-2.0Yeh, A. C., Wang, S. C., Cheng, C. F., Chang, Y. J. &amp; Chang, S. C. Oxidation Behaviour of Si-Bearing Co-Based Alloys. Oxid. Met. 86, 99–112 (2016).</v>
          </cell>
          <cell r="BI591" t="str">
            <v>Co-30.Ni-10.Al-10.W-2.Si</v>
          </cell>
          <cell r="BJ591" t="str">
            <v>78.0Co-30.0Ni-10.0Al-10.0W-2.0Si</v>
          </cell>
        </row>
        <row r="592">
          <cell r="A592" t="str">
            <v>Co-30.Ni-10.Al-5.W-2.Si</v>
          </cell>
          <cell r="B592" t="str">
            <v>CoAlWX+</v>
          </cell>
          <cell r="C592" t="str">
            <v>-30Ni-10Al-5W-Si</v>
          </cell>
          <cell r="D592" t="str">
            <v>CS-4</v>
          </cell>
          <cell r="E592" t="str">
            <v>Yeh, A. C., Wang, S. C., Cheng, C. F., Chang, Y. J. &amp; Chang, S. C. Oxidation Behaviour of Si-Bearing Co-Based Alloys. Oxid. Met. 86, 99–112 (2016).</v>
          </cell>
          <cell r="F592">
            <v>633</v>
          </cell>
          <cell r="G592">
            <v>53</v>
          </cell>
          <cell r="H592">
            <v>30</v>
          </cell>
          <cell r="I592">
            <v>10</v>
          </cell>
          <cell r="J592"/>
          <cell r="K592">
            <v>5</v>
          </cell>
          <cell r="L592"/>
          <cell r="M592"/>
          <cell r="N592"/>
          <cell r="O592"/>
          <cell r="P592"/>
          <cell r="Q592"/>
          <cell r="R592"/>
          <cell r="S592"/>
          <cell r="T592"/>
          <cell r="U592"/>
          <cell r="V592">
            <v>2</v>
          </cell>
          <cell r="W592"/>
          <cell r="X592"/>
          <cell r="Y592"/>
          <cell r="Z592"/>
          <cell r="AA592"/>
          <cell r="AB592"/>
          <cell r="AC592"/>
          <cell r="AD592"/>
          <cell r="AE592"/>
          <cell r="AF592">
            <v>8.6684999999999999</v>
          </cell>
          <cell r="AG592"/>
          <cell r="AH592"/>
          <cell r="AI592" t="str">
            <v>Co</v>
          </cell>
          <cell r="AJ592" t="str">
            <v>-10.Al</v>
          </cell>
          <cell r="AK592" t="str">
            <v>-5.W</v>
          </cell>
          <cell r="AL592" t="str">
            <v>-30.Ni</v>
          </cell>
          <cell r="AM592" t="str">
            <v/>
          </cell>
          <cell r="AN592" t="str">
            <v/>
          </cell>
          <cell r="AO592" t="str">
            <v/>
          </cell>
          <cell r="AP592" t="str">
            <v/>
          </cell>
          <cell r="AQ592" t="str">
            <v/>
          </cell>
          <cell r="AR592" t="str">
            <v/>
          </cell>
          <cell r="AS592" t="str">
            <v/>
          </cell>
          <cell r="AT592" t="str">
            <v/>
          </cell>
          <cell r="AU592" t="str">
            <v/>
          </cell>
          <cell r="AV592" t="str">
            <v/>
          </cell>
          <cell r="AW592" t="str">
            <v/>
          </cell>
          <cell r="AX592" t="str">
            <v>-2.Si</v>
          </cell>
          <cell r="AY592" t="str">
            <v/>
          </cell>
          <cell r="AZ592" t="str">
            <v/>
          </cell>
          <cell r="BA592" t="str">
            <v/>
          </cell>
          <cell r="BB592" t="str">
            <v/>
          </cell>
          <cell r="BC592" t="str">
            <v/>
          </cell>
          <cell r="BD592" t="str">
            <v/>
          </cell>
          <cell r="BE592" t="str">
            <v/>
          </cell>
          <cell r="BF592" t="str">
            <v/>
          </cell>
          <cell r="BG592" t="str">
            <v/>
          </cell>
          <cell r="BH592" t="str">
            <v>CS-4Yeh, A. C., Wang, S. C., Cheng, C. F., Chang, Y. J. &amp; Chang, S. C. Oxidation Behaviour of Si-Bearing Co-Based Alloys. Oxid. Met. 86, 99–112 (2016).</v>
          </cell>
          <cell r="BI592" t="str">
            <v>Co-30.Ni-10.Al-5.W-2.Si</v>
          </cell>
          <cell r="BJ592" t="str">
            <v>83.0Co-30.0Ni-10.0Al-5.0W-2.0Si</v>
          </cell>
        </row>
        <row r="593">
          <cell r="A593" t="str">
            <v>Co-3.1W-14.7Ti</v>
          </cell>
          <cell r="B593" t="str">
            <v>Co3Ti</v>
          </cell>
          <cell r="C593" t="str">
            <v>-3W-15Ti</v>
          </cell>
          <cell r="D593" t="str">
            <v>Co-15Ti-3W</v>
          </cell>
          <cell r="E593" t="str">
            <v>Yoo, B., Im, H. J., Seol, J. B. &amp; Choi, P. P. On the microstructural evolution and partitioning behavior of L12-structured γ′-based Co-Ti-W alloys upon Cr and Al alloying. Intermetallics 104, 97–102 (2019).</v>
          </cell>
          <cell r="F593">
            <v>634</v>
          </cell>
          <cell r="G593">
            <v>82.2</v>
          </cell>
          <cell r="H593"/>
          <cell r="I593"/>
          <cell r="J593"/>
          <cell r="K593">
            <v>3.1</v>
          </cell>
          <cell r="L593">
            <v>14.7</v>
          </cell>
          <cell r="M593"/>
          <cell r="N593"/>
          <cell r="O593"/>
          <cell r="P593"/>
          <cell r="Q593"/>
          <cell r="R593"/>
          <cell r="S593"/>
          <cell r="T593"/>
          <cell r="U593"/>
          <cell r="V593"/>
          <cell r="W593"/>
          <cell r="X593"/>
          <cell r="Y593"/>
          <cell r="Z593"/>
          <cell r="AA593"/>
          <cell r="AB593"/>
          <cell r="AC593"/>
          <cell r="AD593"/>
          <cell r="AE593"/>
          <cell r="AF593">
            <v>8.5750789999999988</v>
          </cell>
          <cell r="AG593"/>
          <cell r="AH593"/>
          <cell r="AI593" t="str">
            <v>Co</v>
          </cell>
          <cell r="AJ593" t="str">
            <v/>
          </cell>
          <cell r="AK593" t="str">
            <v>-3.1W</v>
          </cell>
          <cell r="AL593" t="str">
            <v/>
          </cell>
          <cell r="AM593" t="str">
            <v/>
          </cell>
          <cell r="AN593" t="str">
            <v/>
          </cell>
          <cell r="AO593" t="str">
            <v/>
          </cell>
          <cell r="AP593" t="str">
            <v/>
          </cell>
          <cell r="AQ593" t="str">
            <v>-14.7Ti</v>
          </cell>
          <cell r="AR593" t="str">
            <v/>
          </cell>
          <cell r="AS593" t="str">
            <v/>
          </cell>
          <cell r="AT593" t="str">
            <v/>
          </cell>
          <cell r="AU593" t="str">
            <v/>
          </cell>
          <cell r="AV593" t="str">
            <v/>
          </cell>
          <cell r="AW593" t="str">
            <v/>
          </cell>
          <cell r="AX593" t="str">
            <v/>
          </cell>
          <cell r="AY593" t="str">
            <v/>
          </cell>
          <cell r="AZ593" t="str">
            <v/>
          </cell>
          <cell r="BA593" t="str">
            <v/>
          </cell>
          <cell r="BB593" t="str">
            <v/>
          </cell>
          <cell r="BC593" t="str">
            <v/>
          </cell>
          <cell r="BD593" t="str">
            <v/>
          </cell>
          <cell r="BE593" t="str">
            <v/>
          </cell>
          <cell r="BF593" t="str">
            <v/>
          </cell>
          <cell r="BG593" t="str">
            <v/>
          </cell>
          <cell r="BH593" t="str">
            <v>Co-15Ti-3WYoo, B., Im, H. J., Seol, J. B. &amp; Choi, P. P. On the microstructural evolution and partitioning behavior of L12-structured γ′-based Co-Ti-W alloys upon Cr and Al alloying. Intermetallics 104, 97–102 (2019).</v>
          </cell>
          <cell r="BI593" t="str">
            <v>Co-3.1W-14.7Ti</v>
          </cell>
          <cell r="BJ593" t="str">
            <v>82.2Co-3.1W-14.7Ti</v>
          </cell>
        </row>
        <row r="594">
          <cell r="A594" t="str">
            <v>Co-3.Al-2.6W-13.5Ti</v>
          </cell>
          <cell r="B594" t="str">
            <v>Co3Ti</v>
          </cell>
          <cell r="C594" t="str">
            <v>-3Al-3W-14Ti</v>
          </cell>
          <cell r="D594" t="str">
            <v>Co-13Ti-3W-3Al</v>
          </cell>
          <cell r="E594" t="str">
            <v>Yoo, B., Im, H. J., Seol, J. B. &amp; Choi, P. P. On the microstructural evolution and partitioning behavior of L12-structured γ′-based Co-Ti-W alloys upon Cr and Al alloying. Intermetallics 104, 97–102 (2019).</v>
          </cell>
          <cell r="F594">
            <v>635</v>
          </cell>
          <cell r="G594">
            <v>80.900000000000006</v>
          </cell>
          <cell r="H594"/>
          <cell r="I594">
            <v>3</v>
          </cell>
          <cell r="J594"/>
          <cell r="K594">
            <v>2.6</v>
          </cell>
          <cell r="L594">
            <v>13.5</v>
          </cell>
          <cell r="M594"/>
          <cell r="N594"/>
          <cell r="O594"/>
          <cell r="P594"/>
          <cell r="Q594"/>
          <cell r="R594"/>
          <cell r="S594"/>
          <cell r="T594"/>
          <cell r="U594"/>
          <cell r="V594"/>
          <cell r="W594"/>
          <cell r="X594"/>
          <cell r="Y594"/>
          <cell r="Z594"/>
          <cell r="AA594"/>
          <cell r="AB594"/>
          <cell r="AC594"/>
          <cell r="AD594"/>
          <cell r="AE594"/>
          <cell r="AF594">
            <v>8.3900450000000006</v>
          </cell>
          <cell r="AG594"/>
          <cell r="AH594"/>
          <cell r="AI594" t="str">
            <v>Co</v>
          </cell>
          <cell r="AJ594" t="str">
            <v>-3.Al</v>
          </cell>
          <cell r="AK594" t="str">
            <v>-2.6W</v>
          </cell>
          <cell r="AL594" t="str">
            <v/>
          </cell>
          <cell r="AM594" t="str">
            <v/>
          </cell>
          <cell r="AN594" t="str">
            <v/>
          </cell>
          <cell r="AO594" t="str">
            <v/>
          </cell>
          <cell r="AP594" t="str">
            <v/>
          </cell>
          <cell r="AQ594" t="str">
            <v>-13.5Ti</v>
          </cell>
          <cell r="AR594" t="str">
            <v/>
          </cell>
          <cell r="AS594" t="str">
            <v/>
          </cell>
          <cell r="AT594" t="str">
            <v/>
          </cell>
          <cell r="AU594" t="str">
            <v/>
          </cell>
          <cell r="AV594" t="str">
            <v/>
          </cell>
          <cell r="AW594" t="str">
            <v/>
          </cell>
          <cell r="AX594" t="str">
            <v/>
          </cell>
          <cell r="AY594" t="str">
            <v/>
          </cell>
          <cell r="AZ594" t="str">
            <v/>
          </cell>
          <cell r="BA594" t="str">
            <v/>
          </cell>
          <cell r="BB594" t="str">
            <v/>
          </cell>
          <cell r="BC594" t="str">
            <v/>
          </cell>
          <cell r="BD594" t="str">
            <v/>
          </cell>
          <cell r="BE594" t="str">
            <v/>
          </cell>
          <cell r="BF594" t="str">
            <v/>
          </cell>
          <cell r="BG594" t="str">
            <v/>
          </cell>
          <cell r="BH594" t="str">
            <v>Co-13Ti-3W-3AlYoo, B., Im, H. J., Seol, J. B. &amp; Choi, P. P. On the microstructural evolution and partitioning behavior of L12-structured γ′-based Co-Ti-W alloys upon Cr and Al alloying. Intermetallics 104, 97–102 (2019).</v>
          </cell>
          <cell r="BI594" t="str">
            <v>Co-3.Al-2.6W-13.5Ti</v>
          </cell>
          <cell r="BJ594" t="str">
            <v>80.9Co-3.0Al-2.6W-13.5Ti</v>
          </cell>
        </row>
        <row r="595">
          <cell r="A595" t="str">
            <v>Co-5.6Al-2.6W-13.3Ti</v>
          </cell>
          <cell r="B595" t="str">
            <v>Co3Ti</v>
          </cell>
          <cell r="C595" t="str">
            <v>-6Al-3W-13Ti</v>
          </cell>
          <cell r="D595" t="str">
            <v>Co-13Ti-3W-6Al</v>
          </cell>
          <cell r="E595" t="str">
            <v>Yoo, B., Im, H. J., Seol, J. B. &amp; Choi, P. P. On the microstructural evolution and partitioning behavior of L12-structured γ′-based Co-Ti-W alloys upon Cr and Al alloying. Intermetallics 104, 97–102 (2019).</v>
          </cell>
          <cell r="F595">
            <v>636</v>
          </cell>
          <cell r="G595">
            <v>78.5</v>
          </cell>
          <cell r="H595"/>
          <cell r="I595">
            <v>5.6</v>
          </cell>
          <cell r="J595"/>
          <cell r="K595">
            <v>2.6</v>
          </cell>
          <cell r="L595">
            <v>13.3</v>
          </cell>
          <cell r="M595"/>
          <cell r="N595"/>
          <cell r="O595"/>
          <cell r="P595"/>
          <cell r="Q595"/>
          <cell r="R595"/>
          <cell r="S595"/>
          <cell r="T595"/>
          <cell r="U595"/>
          <cell r="V595"/>
          <cell r="W595"/>
          <cell r="X595"/>
          <cell r="Y595"/>
          <cell r="Z595"/>
          <cell r="AA595"/>
          <cell r="AB595"/>
          <cell r="AC595"/>
          <cell r="AD595"/>
          <cell r="AE595"/>
          <cell r="AF595">
            <v>8.2376309999999986</v>
          </cell>
          <cell r="AG595"/>
          <cell r="AH595"/>
          <cell r="AI595" t="str">
            <v>Co</v>
          </cell>
          <cell r="AJ595" t="str">
            <v>-5.6Al</v>
          </cell>
          <cell r="AK595" t="str">
            <v>-2.6W</v>
          </cell>
          <cell r="AL595" t="str">
            <v/>
          </cell>
          <cell r="AM595" t="str">
            <v/>
          </cell>
          <cell r="AN595" t="str">
            <v/>
          </cell>
          <cell r="AO595" t="str">
            <v/>
          </cell>
          <cell r="AP595" t="str">
            <v/>
          </cell>
          <cell r="AQ595" t="str">
            <v>-13.3Ti</v>
          </cell>
          <cell r="AR595" t="str">
            <v/>
          </cell>
          <cell r="AS595" t="str">
            <v/>
          </cell>
          <cell r="AT595" t="str">
            <v/>
          </cell>
          <cell r="AU595" t="str">
            <v/>
          </cell>
          <cell r="AV595" t="str">
            <v/>
          </cell>
          <cell r="AW595" t="str">
            <v/>
          </cell>
          <cell r="AX595" t="str">
            <v/>
          </cell>
          <cell r="AY595" t="str">
            <v/>
          </cell>
          <cell r="AZ595" t="str">
            <v/>
          </cell>
          <cell r="BA595" t="str">
            <v/>
          </cell>
          <cell r="BB595" t="str">
            <v/>
          </cell>
          <cell r="BC595" t="str">
            <v/>
          </cell>
          <cell r="BD595" t="str">
            <v/>
          </cell>
          <cell r="BE595" t="str">
            <v/>
          </cell>
          <cell r="BF595" t="str">
            <v/>
          </cell>
          <cell r="BG595" t="str">
            <v/>
          </cell>
          <cell r="BH595" t="str">
            <v>Co-13Ti-3W-6AlYoo, B., Im, H. J., Seol, J. B. &amp; Choi, P. P. On the microstructural evolution and partitioning behavior of L12-structured γ′-based Co-Ti-W alloys upon Cr and Al alloying. Intermetallics 104, 97–102 (2019).</v>
          </cell>
          <cell r="BI595" t="str">
            <v>Co-5.6Al-2.6W-13.3Ti</v>
          </cell>
          <cell r="BJ595" t="str">
            <v>78.5Co-5.6Al-2.6W-13.3Ti</v>
          </cell>
        </row>
        <row r="596">
          <cell r="A596" t="str">
            <v>Co-2.1Ni-2.7W-13.2Ti</v>
          </cell>
          <cell r="B596" t="str">
            <v>Co3Ti</v>
          </cell>
          <cell r="C596" t="str">
            <v>-2Ni-3W-13Ti</v>
          </cell>
          <cell r="D596" t="str">
            <v>Co-13Ti-3W-2Cr</v>
          </cell>
          <cell r="E596" t="str">
            <v>Yoo, B., Im, H. J., Seol, J. B. &amp; Choi, P. P. On the microstructural evolution and partitioning behavior of L12-structured γ′-based Co-Ti-W alloys upon Cr and Al alloying. Intermetallics 104, 97–102 (2019).</v>
          </cell>
          <cell r="F596">
            <v>637</v>
          </cell>
          <cell r="G596">
            <v>82</v>
          </cell>
          <cell r="H596">
            <v>2.1</v>
          </cell>
          <cell r="I596"/>
          <cell r="J596"/>
          <cell r="K596">
            <v>2.7</v>
          </cell>
          <cell r="L596">
            <v>13.2</v>
          </cell>
          <cell r="M596"/>
          <cell r="N596"/>
          <cell r="O596"/>
          <cell r="P596"/>
          <cell r="Q596"/>
          <cell r="R596"/>
          <cell r="S596"/>
          <cell r="T596"/>
          <cell r="U596"/>
          <cell r="V596"/>
          <cell r="W596"/>
          <cell r="X596"/>
          <cell r="Y596"/>
          <cell r="Z596"/>
          <cell r="AA596"/>
          <cell r="AB596"/>
          <cell r="AC596"/>
          <cell r="AD596"/>
          <cell r="AE596"/>
          <cell r="AF596">
            <v>8.5997420000000009</v>
          </cell>
          <cell r="AG596"/>
          <cell r="AH596"/>
          <cell r="AI596" t="str">
            <v>Co</v>
          </cell>
          <cell r="AJ596" t="str">
            <v/>
          </cell>
          <cell r="AK596" t="str">
            <v>-2.7W</v>
          </cell>
          <cell r="AL596" t="str">
            <v>-2.1Ni</v>
          </cell>
          <cell r="AM596" t="str">
            <v/>
          </cell>
          <cell r="AN596" t="str">
            <v/>
          </cell>
          <cell r="AO596" t="str">
            <v/>
          </cell>
          <cell r="AP596" t="str">
            <v/>
          </cell>
          <cell r="AQ596" t="str">
            <v>-13.2Ti</v>
          </cell>
          <cell r="AR596" t="str">
            <v/>
          </cell>
          <cell r="AS596" t="str">
            <v/>
          </cell>
          <cell r="AT596" t="str">
            <v/>
          </cell>
          <cell r="AU596" t="str">
            <v/>
          </cell>
          <cell r="AV596" t="str">
            <v/>
          </cell>
          <cell r="AW596" t="str">
            <v/>
          </cell>
          <cell r="AX596" t="str">
            <v/>
          </cell>
          <cell r="AY596" t="str">
            <v/>
          </cell>
          <cell r="AZ596" t="str">
            <v/>
          </cell>
          <cell r="BA596" t="str">
            <v/>
          </cell>
          <cell r="BB596" t="str">
            <v/>
          </cell>
          <cell r="BC596" t="str">
            <v/>
          </cell>
          <cell r="BD596" t="str">
            <v/>
          </cell>
          <cell r="BE596" t="str">
            <v/>
          </cell>
          <cell r="BF596" t="str">
            <v/>
          </cell>
          <cell r="BG596" t="str">
            <v/>
          </cell>
          <cell r="BH596" t="str">
            <v>Co-13Ti-3W-2CrYoo, B., Im, H. J., Seol, J. B. &amp; Choi, P. P. On the microstructural evolution and partitioning behavior of L12-structured γ′-based Co-Ti-W alloys upon Cr and Al alloying. Intermetallics 104, 97–102 (2019).</v>
          </cell>
          <cell r="BI596" t="str">
            <v>Co-2.1Ni-2.7W-13.2Ti</v>
          </cell>
          <cell r="BJ596" t="str">
            <v>84.1Co-2.1Ni-2.7W-13.2Ti</v>
          </cell>
        </row>
        <row r="597">
          <cell r="A597" t="str">
            <v>Co-4.2Ni-4.9W-12.7Ti</v>
          </cell>
          <cell r="B597" t="str">
            <v>Co3Ti</v>
          </cell>
          <cell r="C597" t="str">
            <v>-4Ni-5W-13Ti</v>
          </cell>
          <cell r="D597" t="str">
            <v>Co-13Ti-3W-4Cr</v>
          </cell>
          <cell r="E597" t="str">
            <v>Yoo, B., Im, H. J., Seol, J. B. &amp; Choi, P. P. On the microstructural evolution and partitioning behavior of L12-structured γ′-based Co-Ti-W alloys upon Cr and Al alloying. Intermetallics 104, 97–102 (2019).</v>
          </cell>
          <cell r="F597">
            <v>638</v>
          </cell>
          <cell r="G597">
            <v>78.2</v>
          </cell>
          <cell r="H597">
            <v>4.2</v>
          </cell>
          <cell r="I597"/>
          <cell r="J597"/>
          <cell r="K597">
            <v>4.9000000000000004</v>
          </cell>
          <cell r="L597">
            <v>12.7</v>
          </cell>
          <cell r="M597"/>
          <cell r="N597"/>
          <cell r="O597"/>
          <cell r="P597"/>
          <cell r="Q597"/>
          <cell r="R597"/>
          <cell r="S597"/>
          <cell r="T597"/>
          <cell r="U597"/>
          <cell r="V597"/>
          <cell r="W597"/>
          <cell r="X597"/>
          <cell r="Y597"/>
          <cell r="Z597"/>
          <cell r="AA597"/>
          <cell r="AB597"/>
          <cell r="AC597"/>
          <cell r="AD597"/>
          <cell r="AE597"/>
          <cell r="AF597">
            <v>8.8495749999999997</v>
          </cell>
          <cell r="AG597"/>
          <cell r="AH597"/>
          <cell r="AI597" t="str">
            <v>Co</v>
          </cell>
          <cell r="AJ597" t="str">
            <v/>
          </cell>
          <cell r="AK597" t="str">
            <v>-4.9W</v>
          </cell>
          <cell r="AL597" t="str">
            <v>-4.2Ni</v>
          </cell>
          <cell r="AM597" t="str">
            <v/>
          </cell>
          <cell r="AN597" t="str">
            <v/>
          </cell>
          <cell r="AO597" t="str">
            <v/>
          </cell>
          <cell r="AP597" t="str">
            <v/>
          </cell>
          <cell r="AQ597" t="str">
            <v>-12.7Ti</v>
          </cell>
          <cell r="AR597" t="str">
            <v/>
          </cell>
          <cell r="AS597" t="str">
            <v/>
          </cell>
          <cell r="AT597" t="str">
            <v/>
          </cell>
          <cell r="AU597" t="str">
            <v/>
          </cell>
          <cell r="AV597" t="str">
            <v/>
          </cell>
          <cell r="AW597" t="str">
            <v/>
          </cell>
          <cell r="AX597" t="str">
            <v/>
          </cell>
          <cell r="AY597" t="str">
            <v/>
          </cell>
          <cell r="AZ597" t="str">
            <v/>
          </cell>
          <cell r="BA597" t="str">
            <v/>
          </cell>
          <cell r="BB597" t="str">
            <v/>
          </cell>
          <cell r="BC597" t="str">
            <v/>
          </cell>
          <cell r="BD597" t="str">
            <v/>
          </cell>
          <cell r="BE597" t="str">
            <v/>
          </cell>
          <cell r="BF597" t="str">
            <v/>
          </cell>
          <cell r="BG597" t="str">
            <v/>
          </cell>
          <cell r="BH597" t="str">
            <v>Co-13Ti-3W-4CrYoo, B., Im, H. J., Seol, J. B. &amp; Choi, P. P. On the microstructural evolution and partitioning behavior of L12-structured γ′-based Co-Ti-W alloys upon Cr and Al alloying. Intermetallics 104, 97–102 (2019).</v>
          </cell>
          <cell r="BI597" t="str">
            <v>Co-4.2Ni-4.9W-12.7Ti</v>
          </cell>
          <cell r="BJ597" t="str">
            <v>82.4Co-4.2Ni-4.9W-12.7Ti</v>
          </cell>
        </row>
        <row r="598">
          <cell r="A598" t="str">
            <v>Co-8.Ti-8.V</v>
          </cell>
          <cell r="B598" t="str">
            <v>Co3Ti</v>
          </cell>
          <cell r="C598" t="str">
            <v>-8Ti-8V</v>
          </cell>
          <cell r="D598" t="str">
            <v>Co-8V-8Ti</v>
          </cell>
          <cell r="E598" t="str">
            <v>Yu, J. et al. A two-stage predicting model for γ′ solvus temperature of L12-strengthened Co-base superalloys based on machine learning. Intermetallics 110, 106466 (2019).</v>
          </cell>
          <cell r="F598">
            <v>639</v>
          </cell>
          <cell r="G598">
            <v>84</v>
          </cell>
          <cell r="H598"/>
          <cell r="I598"/>
          <cell r="J598"/>
          <cell r="K598"/>
          <cell r="L598">
            <v>8</v>
          </cell>
          <cell r="M598"/>
          <cell r="N598"/>
          <cell r="O598">
            <v>8</v>
          </cell>
          <cell r="P598"/>
          <cell r="Q598"/>
          <cell r="R598"/>
          <cell r="S598"/>
          <cell r="T598"/>
          <cell r="U598"/>
          <cell r="V598"/>
          <cell r="W598"/>
          <cell r="X598"/>
          <cell r="Y598"/>
          <cell r="Z598"/>
          <cell r="AA598"/>
          <cell r="AB598"/>
          <cell r="AC598"/>
          <cell r="AD598"/>
          <cell r="AE598"/>
          <cell r="AF598">
            <v>8.3253599999999999</v>
          </cell>
          <cell r="AG598"/>
          <cell r="AH598"/>
          <cell r="AI598" t="str">
            <v>Co</v>
          </cell>
          <cell r="AJ598" t="str">
            <v/>
          </cell>
          <cell r="AK598" t="str">
            <v/>
          </cell>
          <cell r="AL598" t="str">
            <v/>
          </cell>
          <cell r="AM598" t="str">
            <v/>
          </cell>
          <cell r="AN598" t="str">
            <v/>
          </cell>
          <cell r="AO598" t="str">
            <v/>
          </cell>
          <cell r="AP598" t="str">
            <v>-8.V</v>
          </cell>
          <cell r="AQ598" t="str">
            <v>-8.Ti</v>
          </cell>
          <cell r="AR598" t="str">
            <v/>
          </cell>
          <cell r="AS598" t="str">
            <v/>
          </cell>
          <cell r="AT598" t="str">
            <v/>
          </cell>
          <cell r="AU598" t="str">
            <v/>
          </cell>
          <cell r="AV598" t="str">
            <v/>
          </cell>
          <cell r="AW598" t="str">
            <v/>
          </cell>
          <cell r="AX598" t="str">
            <v/>
          </cell>
          <cell r="AY598" t="str">
            <v/>
          </cell>
          <cell r="AZ598" t="str">
            <v/>
          </cell>
          <cell r="BA598" t="str">
            <v/>
          </cell>
          <cell r="BB598" t="str">
            <v/>
          </cell>
          <cell r="BC598" t="str">
            <v/>
          </cell>
          <cell r="BD598" t="str">
            <v/>
          </cell>
          <cell r="BE598" t="str">
            <v/>
          </cell>
          <cell r="BF598" t="str">
            <v/>
          </cell>
          <cell r="BG598" t="str">
            <v/>
          </cell>
          <cell r="BH598" t="str">
            <v>Co-8V-8TiYu, J. et al. A two-stage predicting model for γ′ solvus temperature of L12-strengthened Co-base superalloys based on machine learning. Intermetallics 110, 106466 (2019).</v>
          </cell>
          <cell r="BI598" t="str">
            <v>Co-8.Ti-8.V</v>
          </cell>
          <cell r="BJ598" t="str">
            <v>84.0Co-8.0Ti-8.0V</v>
          </cell>
        </row>
        <row r="599">
          <cell r="A599" t="str">
            <v>Co-7.7Ti-8.3V-0.9Mo</v>
          </cell>
          <cell r="B599" t="str">
            <v>W-free</v>
          </cell>
          <cell r="C599" t="str">
            <v>-8Ti-8V-1Mo</v>
          </cell>
          <cell r="D599" t="str">
            <v>Co-8V-8Ti-2W</v>
          </cell>
          <cell r="E599" t="str">
            <v>Yu, J. et al. A two-stage predicting model for γ′ solvus temperature of L12-strengthened Co-base superalloys based on machine learning. Intermetallics 110, 106466 (2019).</v>
          </cell>
          <cell r="F599">
            <v>640</v>
          </cell>
          <cell r="G599">
            <v>83.06</v>
          </cell>
          <cell r="H599"/>
          <cell r="I599"/>
          <cell r="J599"/>
          <cell r="K599"/>
          <cell r="L599">
            <v>7.71</v>
          </cell>
          <cell r="M599"/>
          <cell r="N599"/>
          <cell r="O599">
            <v>8.3000000000000007</v>
          </cell>
          <cell r="P599">
            <v>0.93</v>
          </cell>
          <cell r="Q599"/>
          <cell r="R599"/>
          <cell r="S599"/>
          <cell r="T599"/>
          <cell r="U599"/>
          <cell r="V599"/>
          <cell r="W599"/>
          <cell r="X599"/>
          <cell r="Y599"/>
          <cell r="Z599"/>
          <cell r="AA599"/>
          <cell r="AB599"/>
          <cell r="AC599"/>
          <cell r="AD599"/>
          <cell r="AE599"/>
          <cell r="AF599">
            <v>8.3425636999999995</v>
          </cell>
          <cell r="AG599"/>
          <cell r="AH599"/>
          <cell r="AI599" t="str">
            <v>Co</v>
          </cell>
          <cell r="AJ599" t="str">
            <v/>
          </cell>
          <cell r="AK599" t="str">
            <v/>
          </cell>
          <cell r="AL599" t="str">
            <v/>
          </cell>
          <cell r="AM599" t="str">
            <v/>
          </cell>
          <cell r="AN599" t="str">
            <v/>
          </cell>
          <cell r="AO599" t="str">
            <v/>
          </cell>
          <cell r="AP599" t="str">
            <v>-8.3V</v>
          </cell>
          <cell r="AQ599" t="str">
            <v>-7.7Ti</v>
          </cell>
          <cell r="AR599" t="str">
            <v>-0.9Mo</v>
          </cell>
          <cell r="AS599" t="str">
            <v/>
          </cell>
          <cell r="AT599" t="str">
            <v/>
          </cell>
          <cell r="AU599" t="str">
            <v/>
          </cell>
          <cell r="AV599" t="str">
            <v/>
          </cell>
          <cell r="AW599" t="str">
            <v/>
          </cell>
          <cell r="AX599" t="str">
            <v/>
          </cell>
          <cell r="AY599" t="str">
            <v/>
          </cell>
          <cell r="AZ599" t="str">
            <v/>
          </cell>
          <cell r="BA599" t="str">
            <v/>
          </cell>
          <cell r="BB599" t="str">
            <v/>
          </cell>
          <cell r="BC599" t="str">
            <v/>
          </cell>
          <cell r="BD599" t="str">
            <v/>
          </cell>
          <cell r="BE599" t="str">
            <v/>
          </cell>
          <cell r="BF599" t="str">
            <v/>
          </cell>
          <cell r="BG599" t="str">
            <v/>
          </cell>
          <cell r="BH599" t="str">
            <v>Co-8V-8Ti-2WYu, J. et al. A two-stage predicting model for γ′ solvus temperature of L12-strengthened Co-base superalloys based on machine learning. Intermetallics 110, 106466 (2019).</v>
          </cell>
          <cell r="BI599" t="str">
            <v>Co-7.7Ti-8.3V-0.9Mo</v>
          </cell>
          <cell r="BJ599" t="str">
            <v>83.1Co-7.7Ti-8.3V-0.9Mo</v>
          </cell>
        </row>
        <row r="600">
          <cell r="A600" t="str">
            <v>Co-7.6Ti-8.3V-2.Mo</v>
          </cell>
          <cell r="B600" t="str">
            <v>W-free</v>
          </cell>
          <cell r="C600" t="str">
            <v>-8Ti-8V-2Mo</v>
          </cell>
          <cell r="D600" t="str">
            <v>Co-8V-8Ti-2Mo</v>
          </cell>
          <cell r="E600" t="str">
            <v>Yu, J. et al. A two-stage predicting model for γ′ solvus temperature of L12-strengthened Co-base superalloys based on machine learning. Intermetallics 110, 106466 (2019).</v>
          </cell>
          <cell r="F600">
            <v>641</v>
          </cell>
          <cell r="G600">
            <v>82.12</v>
          </cell>
          <cell r="H600"/>
          <cell r="I600"/>
          <cell r="J600"/>
          <cell r="K600"/>
          <cell r="L600">
            <v>7.63</v>
          </cell>
          <cell r="M600"/>
          <cell r="N600"/>
          <cell r="O600">
            <v>8.3000000000000007</v>
          </cell>
          <cell r="P600">
            <v>1.95</v>
          </cell>
          <cell r="Q600"/>
          <cell r="R600"/>
          <cell r="S600"/>
          <cell r="T600"/>
          <cell r="U600"/>
          <cell r="V600"/>
          <cell r="W600"/>
          <cell r="X600"/>
          <cell r="Y600"/>
          <cell r="Z600"/>
          <cell r="AA600"/>
          <cell r="AB600"/>
          <cell r="AC600"/>
          <cell r="AD600"/>
          <cell r="AE600"/>
          <cell r="AF600">
            <v>8.3601541000000008</v>
          </cell>
          <cell r="AG600"/>
          <cell r="AH600"/>
          <cell r="AI600" t="str">
            <v>Co</v>
          </cell>
          <cell r="AJ600" t="str">
            <v/>
          </cell>
          <cell r="AK600" t="str">
            <v/>
          </cell>
          <cell r="AL600" t="str">
            <v/>
          </cell>
          <cell r="AM600" t="str">
            <v/>
          </cell>
          <cell r="AN600" t="str">
            <v/>
          </cell>
          <cell r="AO600" t="str">
            <v/>
          </cell>
          <cell r="AP600" t="str">
            <v>-8.3V</v>
          </cell>
          <cell r="AQ600" t="str">
            <v>-7.6Ti</v>
          </cell>
          <cell r="AR600" t="str">
            <v>-2.Mo</v>
          </cell>
          <cell r="AS600" t="str">
            <v/>
          </cell>
          <cell r="AT600" t="str">
            <v/>
          </cell>
          <cell r="AU600" t="str">
            <v/>
          </cell>
          <cell r="AV600" t="str">
            <v/>
          </cell>
          <cell r="AW600" t="str">
            <v/>
          </cell>
          <cell r="AX600" t="str">
            <v/>
          </cell>
          <cell r="AY600" t="str">
            <v/>
          </cell>
          <cell r="AZ600" t="str">
            <v/>
          </cell>
          <cell r="BA600" t="str">
            <v/>
          </cell>
          <cell r="BB600" t="str">
            <v/>
          </cell>
          <cell r="BC600" t="str">
            <v/>
          </cell>
          <cell r="BD600" t="str">
            <v/>
          </cell>
          <cell r="BE600" t="str">
            <v/>
          </cell>
          <cell r="BF600" t="str">
            <v/>
          </cell>
          <cell r="BG600" t="str">
            <v/>
          </cell>
          <cell r="BH600" t="str">
            <v>Co-8V-8Ti-2MoYu, J. et al. A two-stage predicting model for γ′ solvus temperature of L12-strengthened Co-base superalloys based on machine learning. Intermetallics 110, 106466 (2019).</v>
          </cell>
          <cell r="BI600" t="str">
            <v>Co-7.6Ti-8.3V-2.Mo</v>
          </cell>
          <cell r="BJ600" t="str">
            <v>82.1Co-7.6Ti-8.3V-2.0Mo</v>
          </cell>
        </row>
        <row r="601">
          <cell r="A601" t="str">
            <v>Co-7.Ti-1.Nb-9.4V</v>
          </cell>
          <cell r="B601" t="str">
            <v>Co3Ti</v>
          </cell>
          <cell r="C601" t="str">
            <v>-7Ti-1Nb-9V</v>
          </cell>
          <cell r="D601" t="str">
            <v>Co-8V-8Ti-2Nb</v>
          </cell>
          <cell r="E601" t="str">
            <v>Yu, J. et al. A two-stage predicting model for γ′ solvus temperature of L12-strengthened Co-base superalloys based on machine learning. Intermetallics 110, 106466 (2019).</v>
          </cell>
          <cell r="F601">
            <v>642</v>
          </cell>
          <cell r="G601">
            <v>82.62</v>
          </cell>
          <cell r="H601"/>
          <cell r="I601"/>
          <cell r="J601"/>
          <cell r="K601"/>
          <cell r="L601">
            <v>7.01</v>
          </cell>
          <cell r="M601"/>
          <cell r="N601">
            <v>0.95</v>
          </cell>
          <cell r="O601">
            <v>9.42</v>
          </cell>
          <cell r="P601"/>
          <cell r="Q601"/>
          <cell r="R601"/>
          <cell r="S601"/>
          <cell r="T601"/>
          <cell r="U601"/>
          <cell r="V601"/>
          <cell r="W601"/>
          <cell r="X601"/>
          <cell r="Y601"/>
          <cell r="Z601"/>
          <cell r="AA601"/>
          <cell r="AB601"/>
          <cell r="AC601"/>
          <cell r="AD601"/>
          <cell r="AE601"/>
          <cell r="AF601">
            <v>8.3260977</v>
          </cell>
          <cell r="AG601"/>
          <cell r="AH601"/>
          <cell r="AI601" t="str">
            <v>Co</v>
          </cell>
          <cell r="AJ601" t="str">
            <v/>
          </cell>
          <cell r="AK601" t="str">
            <v/>
          </cell>
          <cell r="AL601" t="str">
            <v/>
          </cell>
          <cell r="AM601" t="str">
            <v/>
          </cell>
          <cell r="AN601" t="str">
            <v/>
          </cell>
          <cell r="AO601" t="str">
            <v>-1.Nb</v>
          </cell>
          <cell r="AP601" t="str">
            <v>-9.4V</v>
          </cell>
          <cell r="AQ601" t="str">
            <v>-7.Ti</v>
          </cell>
          <cell r="AR601" t="str">
            <v/>
          </cell>
          <cell r="AS601" t="str">
            <v/>
          </cell>
          <cell r="AT601" t="str">
            <v/>
          </cell>
          <cell r="AU601" t="str">
            <v/>
          </cell>
          <cell r="AV601" t="str">
            <v/>
          </cell>
          <cell r="AW601" t="str">
            <v/>
          </cell>
          <cell r="AX601" t="str">
            <v/>
          </cell>
          <cell r="AY601" t="str">
            <v/>
          </cell>
          <cell r="AZ601" t="str">
            <v/>
          </cell>
          <cell r="BA601" t="str">
            <v/>
          </cell>
          <cell r="BB601" t="str">
            <v/>
          </cell>
          <cell r="BC601" t="str">
            <v/>
          </cell>
          <cell r="BD601" t="str">
            <v/>
          </cell>
          <cell r="BE601" t="str">
            <v/>
          </cell>
          <cell r="BF601" t="str">
            <v/>
          </cell>
          <cell r="BG601" t="str">
            <v/>
          </cell>
          <cell r="BH601" t="str">
            <v>Co-8V-8Ti-2NbYu, J. et al. A two-stage predicting model for γ′ solvus temperature of L12-strengthened Co-base superalloys based on machine learning. Intermetallics 110, 106466 (2019).</v>
          </cell>
          <cell r="BI601" t="str">
            <v>Co-7.Ti-1.Nb-9.4V</v>
          </cell>
          <cell r="BJ601" t="str">
            <v>82.6Co-7.0Ti-1.0Nb-9.4V</v>
          </cell>
        </row>
        <row r="602">
          <cell r="A602" t="str">
            <v>Co-6.8Ti-8.3V-1.1Mo</v>
          </cell>
          <cell r="B602" t="str">
            <v>Co3Ti</v>
          </cell>
          <cell r="C602" t="str">
            <v>-7Ti-8V-1Mo</v>
          </cell>
          <cell r="D602" t="str">
            <v>Co-8V-8Ti-2Ta</v>
          </cell>
          <cell r="E602" t="str">
            <v>Yu, J. et al. A two-stage predicting model for γ′ solvus temperature of L12-strengthened Co-base superalloys based on machine learning. Intermetallics 110, 106466 (2019).</v>
          </cell>
          <cell r="F602">
            <v>643</v>
          </cell>
          <cell r="G602">
            <v>83.81</v>
          </cell>
          <cell r="H602"/>
          <cell r="I602"/>
          <cell r="J602"/>
          <cell r="K602"/>
          <cell r="L602">
            <v>6.75</v>
          </cell>
          <cell r="M602"/>
          <cell r="N602"/>
          <cell r="O602">
            <v>8.33</v>
          </cell>
          <cell r="P602">
            <v>1.1100000000000001</v>
          </cell>
          <cell r="Q602"/>
          <cell r="R602"/>
          <cell r="S602"/>
          <cell r="T602"/>
          <cell r="U602"/>
          <cell r="V602"/>
          <cell r="W602"/>
          <cell r="X602"/>
          <cell r="Y602"/>
          <cell r="Z602"/>
          <cell r="AA602"/>
          <cell r="AB602"/>
          <cell r="AC602"/>
          <cell r="AD602"/>
          <cell r="AE602"/>
          <cell r="AF602">
            <v>8.3863835000000009</v>
          </cell>
          <cell r="AG602"/>
          <cell r="AH602"/>
          <cell r="AI602" t="str">
            <v>Co</v>
          </cell>
          <cell r="AJ602" t="str">
            <v/>
          </cell>
          <cell r="AK602" t="str">
            <v/>
          </cell>
          <cell r="AL602" t="str">
            <v/>
          </cell>
          <cell r="AM602" t="str">
            <v/>
          </cell>
          <cell r="AN602" t="str">
            <v/>
          </cell>
          <cell r="AO602" t="str">
            <v/>
          </cell>
          <cell r="AP602" t="str">
            <v>-8.3V</v>
          </cell>
          <cell r="AQ602" t="str">
            <v>-6.8Ti</v>
          </cell>
          <cell r="AR602" t="str">
            <v>-1.1Mo</v>
          </cell>
          <cell r="AS602" t="str">
            <v/>
          </cell>
          <cell r="AT602" t="str">
            <v/>
          </cell>
          <cell r="AU602" t="str">
            <v/>
          </cell>
          <cell r="AV602" t="str">
            <v/>
          </cell>
          <cell r="AW602" t="str">
            <v/>
          </cell>
          <cell r="AX602" t="str">
            <v/>
          </cell>
          <cell r="AY602" t="str">
            <v/>
          </cell>
          <cell r="AZ602" t="str">
            <v/>
          </cell>
          <cell r="BA602" t="str">
            <v/>
          </cell>
          <cell r="BB602" t="str">
            <v/>
          </cell>
          <cell r="BC602" t="str">
            <v/>
          </cell>
          <cell r="BD602" t="str">
            <v/>
          </cell>
          <cell r="BE602" t="str">
            <v/>
          </cell>
          <cell r="BF602" t="str">
            <v/>
          </cell>
          <cell r="BG602" t="str">
            <v/>
          </cell>
          <cell r="BH602" t="str">
            <v>Co-8V-8Ti-2TaYu, J. et al. A two-stage predicting model for γ′ solvus temperature of L12-strengthened Co-base superalloys based on machine learning. Intermetallics 110, 106466 (2019).</v>
          </cell>
          <cell r="BI602" t="str">
            <v>Co-6.8Ti-8.3V-1.1Mo</v>
          </cell>
          <cell r="BJ602" t="str">
            <v>83.8Co-6.8Ti-8.3V-1.1Mo</v>
          </cell>
        </row>
        <row r="603">
          <cell r="A603" t="str">
            <v>Co-15.Cr-11.Ti</v>
          </cell>
          <cell r="B603" t="str">
            <v>Co3Ti</v>
          </cell>
          <cell r="C603" t="str">
            <v>-15Cr-11Ti</v>
          </cell>
          <cell r="D603" t="str">
            <v>CTC-1</v>
          </cell>
          <cell r="E603" t="str">
            <v>Zenk, C. H. et al. A novel type of Co–Ti–Cr-base γ/γ′ superalloys with low mass density. Acta Mater. 135, 244–251 (2017).</v>
          </cell>
          <cell r="F603">
            <v>644</v>
          </cell>
          <cell r="G603">
            <v>74</v>
          </cell>
          <cell r="H603"/>
          <cell r="I603"/>
          <cell r="J603">
            <v>15</v>
          </cell>
          <cell r="K603"/>
          <cell r="L603">
            <v>11</v>
          </cell>
          <cell r="M603"/>
          <cell r="N603"/>
          <cell r="O603"/>
          <cell r="P603"/>
          <cell r="Q603"/>
          <cell r="R603"/>
          <cell r="S603"/>
          <cell r="T603"/>
          <cell r="U603"/>
          <cell r="V603"/>
          <cell r="W603"/>
          <cell r="X603"/>
          <cell r="Y603"/>
          <cell r="Z603"/>
          <cell r="AA603"/>
          <cell r="AB603"/>
          <cell r="AC603"/>
          <cell r="AD603"/>
          <cell r="AE603"/>
          <cell r="AF603">
            <v>8.1602700000000006</v>
          </cell>
          <cell r="AG603">
            <v>8.1</v>
          </cell>
          <cell r="AH603"/>
          <cell r="AI603" t="str">
            <v>Co</v>
          </cell>
          <cell r="AJ603" t="str">
            <v/>
          </cell>
          <cell r="AK603" t="str">
            <v/>
          </cell>
          <cell r="AL603" t="str">
            <v/>
          </cell>
          <cell r="AM603" t="str">
            <v>-15.Cr</v>
          </cell>
          <cell r="AN603" t="str">
            <v/>
          </cell>
          <cell r="AO603" t="str">
            <v/>
          </cell>
          <cell r="AP603" t="str">
            <v/>
          </cell>
          <cell r="AQ603" t="str">
            <v>-11.Ti</v>
          </cell>
          <cell r="AR603" t="str">
            <v/>
          </cell>
          <cell r="AS603" t="str">
            <v/>
          </cell>
          <cell r="AT603" t="str">
            <v/>
          </cell>
          <cell r="AU603" t="str">
            <v/>
          </cell>
          <cell r="AV603" t="str">
            <v/>
          </cell>
          <cell r="AW603" t="str">
            <v/>
          </cell>
          <cell r="AX603" t="str">
            <v/>
          </cell>
          <cell r="AY603" t="str">
            <v/>
          </cell>
          <cell r="AZ603" t="str">
            <v/>
          </cell>
          <cell r="BA603" t="str">
            <v/>
          </cell>
          <cell r="BB603" t="str">
            <v/>
          </cell>
          <cell r="BC603" t="str">
            <v/>
          </cell>
          <cell r="BD603" t="str">
            <v/>
          </cell>
          <cell r="BE603" t="str">
            <v/>
          </cell>
          <cell r="BF603" t="str">
            <v/>
          </cell>
          <cell r="BG603" t="str">
            <v/>
          </cell>
          <cell r="BH603" t="str">
            <v>CTC-1Zenk, C. H. et al. A novel type of Co–Ti–Cr-base γ/γ′ superalloys with low mass density. Acta Mater. 135, 244–251 (2017).</v>
          </cell>
          <cell r="BI603" t="str">
            <v>Co-15.Cr-11.Ti</v>
          </cell>
          <cell r="BJ603" t="str">
            <v>74.0Co-15.0Cr-11.0Ti</v>
          </cell>
        </row>
        <row r="604">
          <cell r="A604" t="str">
            <v>Co-37.5Ni-9.Al-8.Cr-9.W-0.04B</v>
          </cell>
          <cell r="B604" t="str">
            <v>CoAlWX+</v>
          </cell>
          <cell r="C604" t="str">
            <v>-38Ni-9Al-8Cr-9W-B</v>
          </cell>
          <cell r="D604" t="str">
            <v>NC50</v>
          </cell>
          <cell r="E604" t="str">
            <v>Zenk, C. H. et al. Intermediate Co/Ni-base model superalloys - Thermophysical properties, creep and oxidation. Scr. Mater. 112, 83–86 (2016).</v>
          </cell>
          <cell r="F604">
            <v>645</v>
          </cell>
          <cell r="G604">
            <v>36.46</v>
          </cell>
          <cell r="H604">
            <v>37.5</v>
          </cell>
          <cell r="I604">
            <v>9</v>
          </cell>
          <cell r="J604">
            <v>8</v>
          </cell>
          <cell r="K604">
            <v>9</v>
          </cell>
          <cell r="L604"/>
          <cell r="M604"/>
          <cell r="N604"/>
          <cell r="O604"/>
          <cell r="P604"/>
          <cell r="Q604"/>
          <cell r="R604"/>
          <cell r="S604">
            <v>0.04</v>
          </cell>
          <cell r="T604"/>
          <cell r="U604"/>
          <cell r="V604"/>
          <cell r="W604"/>
          <cell r="X604"/>
          <cell r="Y604"/>
          <cell r="Z604"/>
          <cell r="AA604"/>
          <cell r="AB604"/>
          <cell r="AC604"/>
          <cell r="AD604"/>
          <cell r="AE604"/>
          <cell r="AF604">
            <v>9.137124</v>
          </cell>
          <cell r="AG604"/>
          <cell r="AH604"/>
          <cell r="AI604" t="str">
            <v>Co</v>
          </cell>
          <cell r="AJ604" t="str">
            <v>-9.Al</v>
          </cell>
          <cell r="AK604" t="str">
            <v>-9.W</v>
          </cell>
          <cell r="AL604" t="str">
            <v>-37.5Ni</v>
          </cell>
          <cell r="AM604" t="str">
            <v>-8.Cr</v>
          </cell>
          <cell r="AN604" t="str">
            <v/>
          </cell>
          <cell r="AO604" t="str">
            <v/>
          </cell>
          <cell r="AP604" t="str">
            <v/>
          </cell>
          <cell r="AQ604" t="str">
            <v/>
          </cell>
          <cell r="AR604" t="str">
            <v/>
          </cell>
          <cell r="AS604" t="str">
            <v/>
          </cell>
          <cell r="AT604" t="str">
            <v/>
          </cell>
          <cell r="AU604" t="str">
            <v>-0.04B</v>
          </cell>
          <cell r="AV604" t="str">
            <v/>
          </cell>
          <cell r="AW604" t="str">
            <v/>
          </cell>
          <cell r="AX604" t="str">
            <v/>
          </cell>
          <cell r="AY604" t="str">
            <v/>
          </cell>
          <cell r="AZ604" t="str">
            <v/>
          </cell>
          <cell r="BA604" t="str">
            <v/>
          </cell>
          <cell r="BB604" t="str">
            <v/>
          </cell>
          <cell r="BC604" t="str">
            <v/>
          </cell>
          <cell r="BD604" t="str">
            <v/>
          </cell>
          <cell r="BE604" t="str">
            <v/>
          </cell>
          <cell r="BF604" t="str">
            <v/>
          </cell>
          <cell r="BG604" t="str">
            <v/>
          </cell>
          <cell r="BH604" t="str">
            <v>NC50Zenk, C. H. et al. Intermediate Co/Ni-base model superalloys - Thermophysical properties, creep and oxidation. Scr. Mater. 112, 83–86 (2016).</v>
          </cell>
          <cell r="BI604" t="str">
            <v>Co-37.5Ni-9.Al-8.Cr-9.W-0.04B</v>
          </cell>
          <cell r="BJ604" t="str">
            <v>74.0Co-37.5Ni-9.0Al-8.0Cr-9.0W-0.04B</v>
          </cell>
        </row>
        <row r="605">
          <cell r="A605" t="str">
            <v>Co-18.8Ni-9.Al-8.Cr-9.W-0.04B</v>
          </cell>
          <cell r="B605" t="str">
            <v>CoAlWX+</v>
          </cell>
          <cell r="C605" t="str">
            <v>-19Ni-9Al-8Cr-9W-B</v>
          </cell>
          <cell r="D605" t="str">
            <v>NC75</v>
          </cell>
          <cell r="E605" t="str">
            <v>Zenk, C. H. et al. Intermediate Co/Ni-base model superalloys - Thermophysical properties, creep and oxidation. Scr. Mater. 112, 83–86 (2016).</v>
          </cell>
          <cell r="F605">
            <v>646</v>
          </cell>
          <cell r="G605">
            <v>55.160000000000004</v>
          </cell>
          <cell r="H605">
            <v>18.8</v>
          </cell>
          <cell r="I605">
            <v>9</v>
          </cell>
          <cell r="J605">
            <v>8</v>
          </cell>
          <cell r="K605">
            <v>9</v>
          </cell>
          <cell r="L605"/>
          <cell r="M605"/>
          <cell r="N605"/>
          <cell r="O605"/>
          <cell r="P605"/>
          <cell r="Q605"/>
          <cell r="R605"/>
          <cell r="S605">
            <v>0.04</v>
          </cell>
          <cell r="T605"/>
          <cell r="U605"/>
          <cell r="V605"/>
          <cell r="W605"/>
          <cell r="X605"/>
          <cell r="Y605"/>
          <cell r="Z605"/>
          <cell r="AA605"/>
          <cell r="AB605"/>
          <cell r="AC605"/>
          <cell r="AD605"/>
          <cell r="AE605"/>
          <cell r="AF605">
            <v>9.1356280000000005</v>
          </cell>
          <cell r="AG605"/>
          <cell r="AH605"/>
          <cell r="AI605" t="str">
            <v>Co</v>
          </cell>
          <cell r="AJ605" t="str">
            <v>-9.Al</v>
          </cell>
          <cell r="AK605" t="str">
            <v>-9.W</v>
          </cell>
          <cell r="AL605" t="str">
            <v>-18.8Ni</v>
          </cell>
          <cell r="AM605" t="str">
            <v>-8.Cr</v>
          </cell>
          <cell r="AN605" t="str">
            <v/>
          </cell>
          <cell r="AO605" t="str">
            <v/>
          </cell>
          <cell r="AP605" t="str">
            <v/>
          </cell>
          <cell r="AQ605" t="str">
            <v/>
          </cell>
          <cell r="AR605" t="str">
            <v/>
          </cell>
          <cell r="AS605" t="str">
            <v/>
          </cell>
          <cell r="AT605" t="str">
            <v/>
          </cell>
          <cell r="AU605" t="str">
            <v>-0.04B</v>
          </cell>
          <cell r="AV605" t="str">
            <v/>
          </cell>
          <cell r="AW605" t="str">
            <v/>
          </cell>
          <cell r="AX605" t="str">
            <v/>
          </cell>
          <cell r="AY605" t="str">
            <v/>
          </cell>
          <cell r="AZ605" t="str">
            <v/>
          </cell>
          <cell r="BA605" t="str">
            <v/>
          </cell>
          <cell r="BB605" t="str">
            <v/>
          </cell>
          <cell r="BC605" t="str">
            <v/>
          </cell>
          <cell r="BD605" t="str">
            <v/>
          </cell>
          <cell r="BE605" t="str">
            <v/>
          </cell>
          <cell r="BF605" t="str">
            <v/>
          </cell>
          <cell r="BG605" t="str">
            <v/>
          </cell>
          <cell r="BH605" t="str">
            <v>NC75Zenk, C. H. et al. Intermediate Co/Ni-base model superalloys - Thermophysical properties, creep and oxidation. Scr. Mater. 112, 83–86 (2016).</v>
          </cell>
          <cell r="BI605" t="str">
            <v>Co-18.8Ni-9.Al-8.Cr-9.W-0.04B</v>
          </cell>
          <cell r="BJ605" t="str">
            <v>74.0Co-18.8Ni-9.0Al-8.0Cr-9.0W-0.04B</v>
          </cell>
        </row>
        <row r="606">
          <cell r="A606" t="str">
            <v>Co-9.Al-8.Cr-9.W-0.04B</v>
          </cell>
          <cell r="B606" t="str">
            <v>CoAlW-X</v>
          </cell>
          <cell r="C606" t="str">
            <v>-9Al-8Cr-9W-B</v>
          </cell>
          <cell r="D606" t="str">
            <v>NC100</v>
          </cell>
          <cell r="E606" t="str">
            <v>Zenk, C. H. et al. Intermediate Co/Ni-base model superalloys - Thermophysical properties, creep and oxidation. Scr. Mater. 112, 83–86 (2016).</v>
          </cell>
          <cell r="F606">
            <v>647</v>
          </cell>
          <cell r="G606">
            <v>73.960000000000008</v>
          </cell>
          <cell r="H606"/>
          <cell r="I606">
            <v>9</v>
          </cell>
          <cell r="J606">
            <v>8</v>
          </cell>
          <cell r="K606">
            <v>9</v>
          </cell>
          <cell r="L606"/>
          <cell r="M606"/>
          <cell r="N606"/>
          <cell r="O606"/>
          <cell r="P606"/>
          <cell r="Q606"/>
          <cell r="R606"/>
          <cell r="S606">
            <v>0.04</v>
          </cell>
          <cell r="T606"/>
          <cell r="U606"/>
          <cell r="V606"/>
          <cell r="W606"/>
          <cell r="X606"/>
          <cell r="Y606"/>
          <cell r="Z606"/>
          <cell r="AA606"/>
          <cell r="AB606"/>
          <cell r="AC606"/>
          <cell r="AD606"/>
          <cell r="AE606"/>
          <cell r="AF606">
            <v>9.1341239999999999</v>
          </cell>
          <cell r="AG606"/>
          <cell r="AH606"/>
          <cell r="AI606" t="str">
            <v>Co</v>
          </cell>
          <cell r="AJ606" t="str">
            <v>-9.Al</v>
          </cell>
          <cell r="AK606" t="str">
            <v>-9.W</v>
          </cell>
          <cell r="AL606" t="str">
            <v/>
          </cell>
          <cell r="AM606" t="str">
            <v>-8.Cr</v>
          </cell>
          <cell r="AN606" t="str">
            <v/>
          </cell>
          <cell r="AO606" t="str">
            <v/>
          </cell>
          <cell r="AP606" t="str">
            <v/>
          </cell>
          <cell r="AQ606" t="str">
            <v/>
          </cell>
          <cell r="AR606" t="str">
            <v/>
          </cell>
          <cell r="AS606" t="str">
            <v/>
          </cell>
          <cell r="AT606" t="str">
            <v/>
          </cell>
          <cell r="AU606" t="str">
            <v>-0.04B</v>
          </cell>
          <cell r="AV606" t="str">
            <v/>
          </cell>
          <cell r="AW606" t="str">
            <v/>
          </cell>
          <cell r="AX606" t="str">
            <v/>
          </cell>
          <cell r="AY606" t="str">
            <v/>
          </cell>
          <cell r="AZ606" t="str">
            <v/>
          </cell>
          <cell r="BA606" t="str">
            <v/>
          </cell>
          <cell r="BB606" t="str">
            <v/>
          </cell>
          <cell r="BC606" t="str">
            <v/>
          </cell>
          <cell r="BD606" t="str">
            <v/>
          </cell>
          <cell r="BE606" t="str">
            <v/>
          </cell>
          <cell r="BF606" t="str">
            <v/>
          </cell>
          <cell r="BG606" t="str">
            <v/>
          </cell>
          <cell r="BH606" t="str">
            <v>NC100Zenk, C. H. et al. Intermediate Co/Ni-base model superalloys - Thermophysical properties, creep and oxidation. Scr. Mater. 112, 83–86 (2016).</v>
          </cell>
          <cell r="BI606" t="str">
            <v>Co-9.Al-8.Cr-9.W-0.04B</v>
          </cell>
          <cell r="BJ606" t="str">
            <v>74.0Co-9.0Al-8.0Cr-9.0W-0.04B</v>
          </cell>
        </row>
        <row r="607">
          <cell r="A607" t="str">
            <v>Co-41.5Ni-9.6Al-7.4W-0.04B</v>
          </cell>
          <cell r="B607" t="str">
            <v>CoAlW-X</v>
          </cell>
          <cell r="C607" t="str">
            <v>-42Ni-10Al-7W-B</v>
          </cell>
          <cell r="D607" t="str">
            <v>ERBO-NC50_0Cr</v>
          </cell>
          <cell r="E607" t="str">
            <v>Zenk, C. H. et al. The role of the base element in γ strengthened cobalt/nickel-base superalloys. Proc. Int. Symp. Superalloys 2016-Janua, 971–980 (2016).</v>
          </cell>
          <cell r="F607">
            <v>648</v>
          </cell>
          <cell r="G607">
            <v>41.48</v>
          </cell>
          <cell r="H607">
            <v>41.5</v>
          </cell>
          <cell r="I607">
            <v>9.6</v>
          </cell>
          <cell r="J607"/>
          <cell r="K607">
            <v>7.38</v>
          </cell>
          <cell r="L607"/>
          <cell r="M607"/>
          <cell r="N607"/>
          <cell r="O607"/>
          <cell r="P607"/>
          <cell r="Q607"/>
          <cell r="R607"/>
          <cell r="S607">
            <v>0.04</v>
          </cell>
          <cell r="T607"/>
          <cell r="U607"/>
          <cell r="V607"/>
          <cell r="W607"/>
          <cell r="X607"/>
          <cell r="Y607"/>
          <cell r="Z607"/>
          <cell r="AA607"/>
          <cell r="AB607"/>
          <cell r="AC607"/>
          <cell r="AD607"/>
          <cell r="AE607"/>
          <cell r="AF607">
            <v>9.0693739999999998</v>
          </cell>
          <cell r="AG607"/>
          <cell r="AH607"/>
          <cell r="AI607" t="str">
            <v>Co</v>
          </cell>
          <cell r="AJ607" t="str">
            <v>-9.6Al</v>
          </cell>
          <cell r="AK607" t="str">
            <v>-7.4W</v>
          </cell>
          <cell r="AL607" t="str">
            <v>-41.5Ni</v>
          </cell>
          <cell r="AM607" t="str">
            <v/>
          </cell>
          <cell r="AN607" t="str">
            <v/>
          </cell>
          <cell r="AO607" t="str">
            <v/>
          </cell>
          <cell r="AP607" t="str">
            <v/>
          </cell>
          <cell r="AQ607" t="str">
            <v/>
          </cell>
          <cell r="AR607" t="str">
            <v/>
          </cell>
          <cell r="AS607" t="str">
            <v/>
          </cell>
          <cell r="AT607" t="str">
            <v/>
          </cell>
          <cell r="AU607" t="str">
            <v>-0.04B</v>
          </cell>
          <cell r="AV607" t="str">
            <v/>
          </cell>
          <cell r="AW607" t="str">
            <v/>
          </cell>
          <cell r="AX607" t="str">
            <v/>
          </cell>
          <cell r="AY607" t="str">
            <v/>
          </cell>
          <cell r="AZ607" t="str">
            <v/>
          </cell>
          <cell r="BA607" t="str">
            <v/>
          </cell>
          <cell r="BB607" t="str">
            <v/>
          </cell>
          <cell r="BC607" t="str">
            <v/>
          </cell>
          <cell r="BD607" t="str">
            <v/>
          </cell>
          <cell r="BE607" t="str">
            <v/>
          </cell>
          <cell r="BF607" t="str">
            <v/>
          </cell>
          <cell r="BG607" t="str">
            <v/>
          </cell>
          <cell r="BH607" t="str">
            <v>ERBO-NC50_0CrZenk, C. H. et al. The role of the base element in γ strengthened cobalt/nickel-base superalloys. Proc. Int. Symp. Superalloys 2016-Janua, 971–980 (2016).</v>
          </cell>
          <cell r="BI607" t="str">
            <v>Co-41.5Ni-9.6Al-7.4W-0.04B</v>
          </cell>
          <cell r="BJ607" t="str">
            <v>83.0Co-41.5Ni-9.6Al-7.4W-0.04B</v>
          </cell>
        </row>
        <row r="608">
          <cell r="A608" t="str">
            <v>Co-20.8Ni-9.2Al-7.4W-0.04B</v>
          </cell>
          <cell r="B608" t="str">
            <v>CoAlW-X</v>
          </cell>
          <cell r="C608" t="str">
            <v>-21Ni-9Al-7W-B</v>
          </cell>
          <cell r="D608" t="str">
            <v>ERBO-NC75_0Cr</v>
          </cell>
          <cell r="E608" t="str">
            <v>Zenk, C. H. et al. The role of the base element in γ strengthened cobalt/nickel-base superalloys. Proc. Int. Symp. Superalloys 2016-Janua, 971–980 (2016).</v>
          </cell>
          <cell r="F608">
            <v>649</v>
          </cell>
          <cell r="G608">
            <v>62.6</v>
          </cell>
          <cell r="H608">
            <v>20.75</v>
          </cell>
          <cell r="I608">
            <v>9.1999999999999993</v>
          </cell>
          <cell r="J608"/>
          <cell r="K608">
            <v>7.41</v>
          </cell>
          <cell r="L608"/>
          <cell r="M608"/>
          <cell r="N608"/>
          <cell r="O608"/>
          <cell r="P608"/>
          <cell r="Q608"/>
          <cell r="R608"/>
          <cell r="S608">
            <v>0.04</v>
          </cell>
          <cell r="T608"/>
          <cell r="U608"/>
          <cell r="V608"/>
          <cell r="W608"/>
          <cell r="X608"/>
          <cell r="Y608"/>
          <cell r="Z608"/>
          <cell r="AA608"/>
          <cell r="AB608"/>
          <cell r="AC608"/>
          <cell r="AD608"/>
          <cell r="AE608"/>
          <cell r="AF608">
            <v>9.095619000000001</v>
          </cell>
          <cell r="AG608"/>
          <cell r="AH608"/>
          <cell r="AI608" t="str">
            <v>Co</v>
          </cell>
          <cell r="AJ608" t="str">
            <v>-9.2Al</v>
          </cell>
          <cell r="AK608" t="str">
            <v>-7.4W</v>
          </cell>
          <cell r="AL608" t="str">
            <v>-20.8Ni</v>
          </cell>
          <cell r="AM608" t="str">
            <v/>
          </cell>
          <cell r="AN608" t="str">
            <v/>
          </cell>
          <cell r="AO608" t="str">
            <v/>
          </cell>
          <cell r="AP608" t="str">
            <v/>
          </cell>
          <cell r="AQ608" t="str">
            <v/>
          </cell>
          <cell r="AR608" t="str">
            <v/>
          </cell>
          <cell r="AS608" t="str">
            <v/>
          </cell>
          <cell r="AT608" t="str">
            <v/>
          </cell>
          <cell r="AU608" t="str">
            <v>-0.04B</v>
          </cell>
          <cell r="AV608" t="str">
            <v/>
          </cell>
          <cell r="AW608" t="str">
            <v/>
          </cell>
          <cell r="AX608" t="str">
            <v/>
          </cell>
          <cell r="AY608" t="str">
            <v/>
          </cell>
          <cell r="AZ608" t="str">
            <v/>
          </cell>
          <cell r="BA608" t="str">
            <v/>
          </cell>
          <cell r="BB608" t="str">
            <v/>
          </cell>
          <cell r="BC608" t="str">
            <v/>
          </cell>
          <cell r="BD608" t="str">
            <v/>
          </cell>
          <cell r="BE608" t="str">
            <v/>
          </cell>
          <cell r="BF608" t="str">
            <v/>
          </cell>
          <cell r="BG608" t="str">
            <v/>
          </cell>
          <cell r="BH608" t="str">
            <v>ERBO-NC75_0CrZenk, C. H. et al. The role of the base element in γ strengthened cobalt/nickel-base superalloys. Proc. Int. Symp. Superalloys 2016-Janua, 971–980 (2016).</v>
          </cell>
          <cell r="BI608" t="str">
            <v>Co-20.8Ni-9.2Al-7.4W-0.04B</v>
          </cell>
          <cell r="BJ608" t="str">
            <v>83.4Co-20.8Ni-9.2Al-7.4W-0.04B</v>
          </cell>
        </row>
        <row r="609">
          <cell r="A609" t="str">
            <v>Co-9.4Al-7.5W-0.04B</v>
          </cell>
          <cell r="B609" t="str">
            <v>CoAlW-X</v>
          </cell>
          <cell r="C609" t="str">
            <v>-9Al-8W-B</v>
          </cell>
          <cell r="D609" t="str">
            <v>ERBO-NC100_0Cr</v>
          </cell>
          <cell r="E609" t="str">
            <v>Zenk, C. H. et al. The role of the base element in γ strengthened cobalt/nickel-base superalloys. Proc. Int. Symp. Superalloys 2016-Janua, 971–980 (2016).</v>
          </cell>
          <cell r="F609">
            <v>650</v>
          </cell>
          <cell r="G609">
            <v>83.03</v>
          </cell>
          <cell r="H609"/>
          <cell r="I609">
            <v>9.4</v>
          </cell>
          <cell r="J609"/>
          <cell r="K609">
            <v>7.53</v>
          </cell>
          <cell r="L609"/>
          <cell r="M609"/>
          <cell r="N609"/>
          <cell r="O609"/>
          <cell r="P609"/>
          <cell r="Q609"/>
          <cell r="R609"/>
          <cell r="S609">
            <v>0.04</v>
          </cell>
          <cell r="T609"/>
          <cell r="U609"/>
          <cell r="V609"/>
          <cell r="W609"/>
          <cell r="X609"/>
          <cell r="Y609"/>
          <cell r="Z609"/>
          <cell r="AA609"/>
          <cell r="AB609"/>
          <cell r="AC609"/>
          <cell r="AD609"/>
          <cell r="AE609"/>
          <cell r="AF609">
            <v>9.0939789999999991</v>
          </cell>
          <cell r="AG609"/>
          <cell r="AH609"/>
          <cell r="AI609" t="str">
            <v>Co</v>
          </cell>
          <cell r="AJ609" t="str">
            <v>-9.4Al</v>
          </cell>
          <cell r="AK609" t="str">
            <v>-7.5W</v>
          </cell>
          <cell r="AL609" t="str">
            <v/>
          </cell>
          <cell r="AM609" t="str">
            <v/>
          </cell>
          <cell r="AN609" t="str">
            <v/>
          </cell>
          <cell r="AO609" t="str">
            <v/>
          </cell>
          <cell r="AP609" t="str">
            <v/>
          </cell>
          <cell r="AQ609" t="str">
            <v/>
          </cell>
          <cell r="AR609" t="str">
            <v/>
          </cell>
          <cell r="AS609" t="str">
            <v/>
          </cell>
          <cell r="AT609" t="str">
            <v/>
          </cell>
          <cell r="AU609" t="str">
            <v>-0.04B</v>
          </cell>
          <cell r="AV609" t="str">
            <v/>
          </cell>
          <cell r="AW609" t="str">
            <v/>
          </cell>
          <cell r="AX609" t="str">
            <v/>
          </cell>
          <cell r="AY609" t="str">
            <v/>
          </cell>
          <cell r="AZ609" t="str">
            <v/>
          </cell>
          <cell r="BA609" t="str">
            <v/>
          </cell>
          <cell r="BB609" t="str">
            <v/>
          </cell>
          <cell r="BC609" t="str">
            <v/>
          </cell>
          <cell r="BD609" t="str">
            <v/>
          </cell>
          <cell r="BE609" t="str">
            <v/>
          </cell>
          <cell r="BF609" t="str">
            <v/>
          </cell>
          <cell r="BG609" t="str">
            <v/>
          </cell>
          <cell r="BH609" t="str">
            <v>ERBO-NC100_0CrZenk, C. H. et al. The role of the base element in γ strengthened cobalt/nickel-base superalloys. Proc. Int. Symp. Superalloys 2016-Janua, 971–980 (2016).</v>
          </cell>
          <cell r="BI609" t="str">
            <v>Co-9.4Al-7.5W-0.04B</v>
          </cell>
          <cell r="BJ609" t="str">
            <v>83.0Co-9.4Al-7.5W-0.04B</v>
          </cell>
        </row>
        <row r="610">
          <cell r="A610" t="str">
            <v>Co-37.5Ni-9.Al-8.Cr-7.3W-0.04B</v>
          </cell>
          <cell r="B610" t="str">
            <v>CoAlWX+</v>
          </cell>
          <cell r="C610" t="str">
            <v>-38Ni-9Al-8Cr-7W-B</v>
          </cell>
          <cell r="D610" t="str">
            <v>ERBO-NC50_8Cr</v>
          </cell>
          <cell r="E610" t="str">
            <v>Zenk, C. H. et al. The role of the base element in γ strengthened cobalt/nickel-base superalloys. Proc. Int. Symp. Superalloys 2016-Janua, 971–980 (2016).</v>
          </cell>
          <cell r="F610">
            <v>651</v>
          </cell>
          <cell r="G610">
            <v>38.160000000000004</v>
          </cell>
          <cell r="H610">
            <v>37.5</v>
          </cell>
          <cell r="I610">
            <v>9</v>
          </cell>
          <cell r="J610">
            <v>8</v>
          </cell>
          <cell r="K610">
            <v>7.3</v>
          </cell>
          <cell r="L610"/>
          <cell r="M610"/>
          <cell r="N610"/>
          <cell r="O610"/>
          <cell r="P610"/>
          <cell r="Q610"/>
          <cell r="R610"/>
          <cell r="S610">
            <v>0.04</v>
          </cell>
          <cell r="T610"/>
          <cell r="U610"/>
          <cell r="V610"/>
          <cell r="W610"/>
          <cell r="X610"/>
          <cell r="Y610"/>
          <cell r="Z610"/>
          <cell r="AA610"/>
          <cell r="AB610"/>
          <cell r="AC610"/>
          <cell r="AD610"/>
          <cell r="AE610"/>
          <cell r="AF610">
            <v>8.9611739999999998</v>
          </cell>
          <cell r="AG610"/>
          <cell r="AH610"/>
          <cell r="AI610" t="str">
            <v>Co</v>
          </cell>
          <cell r="AJ610" t="str">
            <v>-9.Al</v>
          </cell>
          <cell r="AK610" t="str">
            <v>-7.3W</v>
          </cell>
          <cell r="AL610" t="str">
            <v>-37.5Ni</v>
          </cell>
          <cell r="AM610" t="str">
            <v>-8.Cr</v>
          </cell>
          <cell r="AN610" t="str">
            <v/>
          </cell>
          <cell r="AO610" t="str">
            <v/>
          </cell>
          <cell r="AP610" t="str">
            <v/>
          </cell>
          <cell r="AQ610" t="str">
            <v/>
          </cell>
          <cell r="AR610" t="str">
            <v/>
          </cell>
          <cell r="AS610" t="str">
            <v/>
          </cell>
          <cell r="AT610" t="str">
            <v/>
          </cell>
          <cell r="AU610" t="str">
            <v>-0.04B</v>
          </cell>
          <cell r="AV610" t="str">
            <v/>
          </cell>
          <cell r="AW610" t="str">
            <v/>
          </cell>
          <cell r="AX610" t="str">
            <v/>
          </cell>
          <cell r="AY610" t="str">
            <v/>
          </cell>
          <cell r="AZ610" t="str">
            <v/>
          </cell>
          <cell r="BA610" t="str">
            <v/>
          </cell>
          <cell r="BB610" t="str">
            <v/>
          </cell>
          <cell r="BC610" t="str">
            <v/>
          </cell>
          <cell r="BD610" t="str">
            <v/>
          </cell>
          <cell r="BE610" t="str">
            <v/>
          </cell>
          <cell r="BF610" t="str">
            <v/>
          </cell>
          <cell r="BG610" t="str">
            <v/>
          </cell>
          <cell r="BH610" t="str">
            <v>ERBO-NC50_8CrZenk, C. H. et al. The role of the base element in γ strengthened cobalt/nickel-base superalloys. Proc. Int. Symp. Superalloys 2016-Janua, 971–980 (2016).</v>
          </cell>
          <cell r="BI610" t="str">
            <v>Co-37.5Ni-9.Al-8.Cr-7.3W-0.04B</v>
          </cell>
          <cell r="BJ610" t="str">
            <v>75.7Co-37.5Ni-9.0Al-8.0Cr-7.3W-0.04B</v>
          </cell>
        </row>
        <row r="611">
          <cell r="A611" t="str">
            <v>Co-18.8Ni-9.2Al-8.Cr-7.6W-0.04B</v>
          </cell>
          <cell r="B611" t="str">
            <v>CoAlWX+</v>
          </cell>
          <cell r="C611" t="str">
            <v>-19Ni-9Al-8Cr-8W-B</v>
          </cell>
          <cell r="D611" t="str">
            <v>ERBO-NC75_8Cr</v>
          </cell>
          <cell r="E611" t="str">
            <v>Zenk, C. H. et al. The role of the base element in γ strengthened cobalt/nickel-base superalloys. Proc. Int. Symp. Superalloys 2016-Janua, 971–980 (2016).</v>
          </cell>
          <cell r="F611">
            <v>652</v>
          </cell>
          <cell r="G611">
            <v>56.41</v>
          </cell>
          <cell r="H611">
            <v>18.75</v>
          </cell>
          <cell r="I611">
            <v>9.1999999999999993</v>
          </cell>
          <cell r="J611">
            <v>8</v>
          </cell>
          <cell r="K611">
            <v>7.6</v>
          </cell>
          <cell r="L611"/>
          <cell r="M611"/>
          <cell r="N611"/>
          <cell r="O611"/>
          <cell r="P611"/>
          <cell r="Q611"/>
          <cell r="R611"/>
          <cell r="S611">
            <v>0.04</v>
          </cell>
          <cell r="T611"/>
          <cell r="U611"/>
          <cell r="V611"/>
          <cell r="W611"/>
          <cell r="X611"/>
          <cell r="Y611"/>
          <cell r="Z611"/>
          <cell r="AA611"/>
          <cell r="AB611"/>
          <cell r="AC611"/>
          <cell r="AD611"/>
          <cell r="AE611"/>
          <cell r="AF611">
            <v>8.9783239999999989</v>
          </cell>
          <cell r="AG611"/>
          <cell r="AH611"/>
          <cell r="AI611" t="str">
            <v>Co</v>
          </cell>
          <cell r="AJ611" t="str">
            <v>-9.2Al</v>
          </cell>
          <cell r="AK611" t="str">
            <v>-7.6W</v>
          </cell>
          <cell r="AL611" t="str">
            <v>-18.8Ni</v>
          </cell>
          <cell r="AM611" t="str">
            <v>-8.Cr</v>
          </cell>
          <cell r="AN611" t="str">
            <v/>
          </cell>
          <cell r="AO611" t="str">
            <v/>
          </cell>
          <cell r="AP611" t="str">
            <v/>
          </cell>
          <cell r="AQ611" t="str">
            <v/>
          </cell>
          <cell r="AR611" t="str">
            <v/>
          </cell>
          <cell r="AS611" t="str">
            <v/>
          </cell>
          <cell r="AT611" t="str">
            <v/>
          </cell>
          <cell r="AU611" t="str">
            <v>-0.04B</v>
          </cell>
          <cell r="AV611" t="str">
            <v/>
          </cell>
          <cell r="AW611" t="str">
            <v/>
          </cell>
          <cell r="AX611" t="str">
            <v/>
          </cell>
          <cell r="AY611" t="str">
            <v/>
          </cell>
          <cell r="AZ611" t="str">
            <v/>
          </cell>
          <cell r="BA611" t="str">
            <v/>
          </cell>
          <cell r="BB611" t="str">
            <v/>
          </cell>
          <cell r="BC611" t="str">
            <v/>
          </cell>
          <cell r="BD611" t="str">
            <v/>
          </cell>
          <cell r="BE611" t="str">
            <v/>
          </cell>
          <cell r="BF611" t="str">
            <v/>
          </cell>
          <cell r="BG611" t="str">
            <v/>
          </cell>
          <cell r="BH611" t="str">
            <v>ERBO-NC75_8CrZenk, C. H. et al. The role of the base element in γ strengthened cobalt/nickel-base superalloys. Proc. Int. Symp. Superalloys 2016-Janua, 971–980 (2016).</v>
          </cell>
          <cell r="BI611" t="str">
            <v>Co-18.8Ni-9.2Al-8.Cr-7.6W-0.04B</v>
          </cell>
          <cell r="BJ611" t="str">
            <v>75.2Co-18.8Ni-9.2Al-8.0Cr-7.6W-0.04B</v>
          </cell>
        </row>
        <row r="612">
          <cell r="A612" t="str">
            <v>Co-8.7Al-8.Cr-7.9W-0.04B</v>
          </cell>
          <cell r="B612" t="str">
            <v>CoAlW-X</v>
          </cell>
          <cell r="C612" t="str">
            <v>-9Al-8Cr-8W-B</v>
          </cell>
          <cell r="D612" t="str">
            <v>ERBO-NC100_8Cr</v>
          </cell>
          <cell r="E612" t="str">
            <v>Zenk, C. H. et al. The role of the base element in γ strengthened cobalt/nickel-base superalloys. Proc. Int. Symp. Superalloys 2016-Janua, 971–980 (2016).</v>
          </cell>
          <cell r="F612">
            <v>653</v>
          </cell>
          <cell r="G612">
            <v>75.36</v>
          </cell>
          <cell r="H612"/>
          <cell r="I612">
            <v>8.6999999999999993</v>
          </cell>
          <cell r="J612">
            <v>8</v>
          </cell>
          <cell r="K612">
            <v>7.9</v>
          </cell>
          <cell r="L612"/>
          <cell r="M612"/>
          <cell r="N612"/>
          <cell r="O612"/>
          <cell r="P612"/>
          <cell r="Q612"/>
          <cell r="R612"/>
          <cell r="S612">
            <v>0.04</v>
          </cell>
          <cell r="T612"/>
          <cell r="U612"/>
          <cell r="V612"/>
          <cell r="W612"/>
          <cell r="X612"/>
          <cell r="Y612"/>
          <cell r="Z612"/>
          <cell r="AA612"/>
          <cell r="AB612"/>
          <cell r="AC612"/>
          <cell r="AD612"/>
          <cell r="AE612"/>
          <cell r="AF612">
            <v>9.0388739999999999</v>
          </cell>
          <cell r="AG612"/>
          <cell r="AH612"/>
          <cell r="AI612" t="str">
            <v>Co</v>
          </cell>
          <cell r="AJ612" t="str">
            <v>-8.7Al</v>
          </cell>
          <cell r="AK612" t="str">
            <v>-7.9W</v>
          </cell>
          <cell r="AL612" t="str">
            <v/>
          </cell>
          <cell r="AM612" t="str">
            <v>-8.Cr</v>
          </cell>
          <cell r="AN612" t="str">
            <v/>
          </cell>
          <cell r="AO612" t="str">
            <v/>
          </cell>
          <cell r="AP612" t="str">
            <v/>
          </cell>
          <cell r="AQ612" t="str">
            <v/>
          </cell>
          <cell r="AR612" t="str">
            <v/>
          </cell>
          <cell r="AS612" t="str">
            <v/>
          </cell>
          <cell r="AT612" t="str">
            <v/>
          </cell>
          <cell r="AU612" t="str">
            <v>-0.04B</v>
          </cell>
          <cell r="AV612" t="str">
            <v/>
          </cell>
          <cell r="AW612" t="str">
            <v/>
          </cell>
          <cell r="AX612" t="str">
            <v/>
          </cell>
          <cell r="AY612" t="str">
            <v/>
          </cell>
          <cell r="AZ612" t="str">
            <v/>
          </cell>
          <cell r="BA612" t="str">
            <v/>
          </cell>
          <cell r="BB612" t="str">
            <v/>
          </cell>
          <cell r="BC612" t="str">
            <v/>
          </cell>
          <cell r="BD612" t="str">
            <v/>
          </cell>
          <cell r="BE612" t="str">
            <v/>
          </cell>
          <cell r="BF612" t="str">
            <v/>
          </cell>
          <cell r="BG612" t="str">
            <v/>
          </cell>
          <cell r="BH612" t="str">
            <v>ERBO-NC100_8CrZenk, C. H. et al. The role of the base element in γ strengthened cobalt/nickel-base superalloys. Proc. Int. Symp. Superalloys 2016-Janua, 971–980 (2016).</v>
          </cell>
          <cell r="BI612" t="str">
            <v>Co-8.7Al-8.Cr-7.9W-0.04B</v>
          </cell>
          <cell r="BJ612" t="str">
            <v>75.4Co-8.7Al-8.0Cr-7.9W-0.04B</v>
          </cell>
        </row>
        <row r="613">
          <cell r="A613" t="str">
            <v>Co-12.6Ti</v>
          </cell>
          <cell r="B613" t="str">
            <v>Co3Ti</v>
          </cell>
          <cell r="C613" t="str">
            <v>-13Ti</v>
          </cell>
          <cell r="D613" t="str">
            <v>WG_B</v>
          </cell>
          <cell r="E613" t="str">
            <v>Zenk, C. H., Neumeier, S., Stone, H. J. &amp; Göken, M. Mechanical properties and lattice misfit of γ/γ’ strengthened Co-base superalloys in the Co-W-Al-Ti quaternary system. Intermetallics 55, 28–39 (2014).</v>
          </cell>
          <cell r="F613">
            <v>654</v>
          </cell>
          <cell r="G613">
            <v>87.4</v>
          </cell>
          <cell r="H613"/>
          <cell r="I613"/>
          <cell r="J613"/>
          <cell r="K613"/>
          <cell r="L613">
            <v>12.6</v>
          </cell>
          <cell r="M613"/>
          <cell r="N613"/>
          <cell r="O613"/>
          <cell r="P613"/>
          <cell r="Q613"/>
          <cell r="R613"/>
          <cell r="S613"/>
          <cell r="T613"/>
          <cell r="U613"/>
          <cell r="V613"/>
          <cell r="W613"/>
          <cell r="X613"/>
          <cell r="Y613"/>
          <cell r="Z613"/>
          <cell r="AA613"/>
          <cell r="AB613"/>
          <cell r="AC613"/>
          <cell r="AD613"/>
          <cell r="AE613"/>
          <cell r="AF613">
            <v>8.3464820000000017</v>
          </cell>
          <cell r="AG613"/>
          <cell r="AH613"/>
          <cell r="AI613" t="str">
            <v>Co</v>
          </cell>
          <cell r="AJ613" t="str">
            <v/>
          </cell>
          <cell r="AK613" t="str">
            <v/>
          </cell>
          <cell r="AL613" t="str">
            <v/>
          </cell>
          <cell r="AM613" t="str">
            <v/>
          </cell>
          <cell r="AN613" t="str">
            <v/>
          </cell>
          <cell r="AO613" t="str">
            <v/>
          </cell>
          <cell r="AP613" t="str">
            <v/>
          </cell>
          <cell r="AQ613" t="str">
            <v>-12.6Ti</v>
          </cell>
          <cell r="AR613" t="str">
            <v/>
          </cell>
          <cell r="AS613" t="str">
            <v/>
          </cell>
          <cell r="AT613" t="str">
            <v/>
          </cell>
          <cell r="AU613" t="str">
            <v/>
          </cell>
          <cell r="AV613" t="str">
            <v/>
          </cell>
          <cell r="AW613" t="str">
            <v/>
          </cell>
          <cell r="AX613" t="str">
            <v/>
          </cell>
          <cell r="AY613" t="str">
            <v/>
          </cell>
          <cell r="AZ613" t="str">
            <v/>
          </cell>
          <cell r="BA613" t="str">
            <v/>
          </cell>
          <cell r="BB613" t="str">
            <v/>
          </cell>
          <cell r="BC613" t="str">
            <v/>
          </cell>
          <cell r="BD613" t="str">
            <v/>
          </cell>
          <cell r="BE613" t="str">
            <v/>
          </cell>
          <cell r="BF613" t="str">
            <v/>
          </cell>
          <cell r="BG613" t="str">
            <v/>
          </cell>
          <cell r="BH613" t="str">
            <v>WG_BZenk, C. H., Neumeier, S., Stone, H. J. &amp; Göken, M. Mechanical properties and lattice misfit of γ/γ’ strengthened Co-base superalloys in the Co-W-Al-Ti quaternary system. Intermetallics 55, 28–39 (2014).</v>
          </cell>
          <cell r="BI613" t="str">
            <v>Co-12.6Ti</v>
          </cell>
          <cell r="BJ613" t="str">
            <v>87.4Co-12.6Ti</v>
          </cell>
        </row>
        <row r="614">
          <cell r="A614" t="str">
            <v>Co-12.2Ti</v>
          </cell>
          <cell r="B614" t="str">
            <v>Co3Ti</v>
          </cell>
          <cell r="C614" t="str">
            <v>-12Ti</v>
          </cell>
          <cell r="D614" t="str">
            <v>WG</v>
          </cell>
          <cell r="E614" t="str">
            <v>Zenk, C. H., Neumeier, S., Stone, H. J. &amp; Göken, M. Mechanical properties and lattice misfit of γ/γ’ strengthened Co-base superalloys in the Co-W-Al-Ti quaternary system. Intermetallics 55, 28–39 (2014).</v>
          </cell>
          <cell r="F614">
            <v>655</v>
          </cell>
          <cell r="G614">
            <v>87.8</v>
          </cell>
          <cell r="H614"/>
          <cell r="I614"/>
          <cell r="J614"/>
          <cell r="K614"/>
          <cell r="L614">
            <v>12.2</v>
          </cell>
          <cell r="M614"/>
          <cell r="N614"/>
          <cell r="O614"/>
          <cell r="P614"/>
          <cell r="Q614"/>
          <cell r="R614"/>
          <cell r="S614"/>
          <cell r="T614"/>
          <cell r="U614"/>
          <cell r="V614"/>
          <cell r="W614"/>
          <cell r="X614"/>
          <cell r="Y614"/>
          <cell r="Z614"/>
          <cell r="AA614"/>
          <cell r="AB614"/>
          <cell r="AC614"/>
          <cell r="AD614"/>
          <cell r="AE614"/>
          <cell r="AF614">
            <v>8.3640539999999994</v>
          </cell>
          <cell r="AG614"/>
          <cell r="AH614"/>
          <cell r="AI614" t="str">
            <v>Co</v>
          </cell>
          <cell r="AJ614" t="str">
            <v/>
          </cell>
          <cell r="AK614" t="str">
            <v/>
          </cell>
          <cell r="AL614" t="str">
            <v/>
          </cell>
          <cell r="AM614" t="str">
            <v/>
          </cell>
          <cell r="AN614" t="str">
            <v/>
          </cell>
          <cell r="AO614" t="str">
            <v/>
          </cell>
          <cell r="AP614" t="str">
            <v/>
          </cell>
          <cell r="AQ614" t="str">
            <v>-12.2Ti</v>
          </cell>
          <cell r="AR614" t="str">
            <v/>
          </cell>
          <cell r="AS614" t="str">
            <v/>
          </cell>
          <cell r="AT614" t="str">
            <v/>
          </cell>
          <cell r="AU614" t="str">
            <v/>
          </cell>
          <cell r="AV614" t="str">
            <v/>
          </cell>
          <cell r="AW614" t="str">
            <v/>
          </cell>
          <cell r="AX614" t="str">
            <v/>
          </cell>
          <cell r="AY614" t="str">
            <v/>
          </cell>
          <cell r="AZ614" t="str">
            <v/>
          </cell>
          <cell r="BA614" t="str">
            <v/>
          </cell>
          <cell r="BB614" t="str">
            <v/>
          </cell>
          <cell r="BC614" t="str">
            <v/>
          </cell>
          <cell r="BD614" t="str">
            <v/>
          </cell>
          <cell r="BE614" t="str">
            <v/>
          </cell>
          <cell r="BF614" t="str">
            <v/>
          </cell>
          <cell r="BG614" t="str">
            <v/>
          </cell>
          <cell r="BH614" t="str">
            <v>WGZenk, C. H., Neumeier, S., Stone, H. J. &amp; Göken, M. Mechanical properties and lattice misfit of γ/γ’ strengthened Co-base superalloys in the Co-W-Al-Ti quaternary system. Intermetallics 55, 28–39 (2014).</v>
          </cell>
          <cell r="BI614" t="str">
            <v>Co-12.2Ti</v>
          </cell>
          <cell r="BJ614" t="str">
            <v>87.8Co-12.2Ti</v>
          </cell>
        </row>
        <row r="615">
          <cell r="A615" t="str">
            <v>Co-1.2Al-1.W-11.2Ti</v>
          </cell>
          <cell r="B615" t="str">
            <v>Co3Ti</v>
          </cell>
          <cell r="C615" t="str">
            <v>-1Al-1W-11Ti</v>
          </cell>
          <cell r="D615" t="str">
            <v>WF_B</v>
          </cell>
          <cell r="E615" t="str">
            <v>Zenk, C. H., Neumeier, S., Stone, H. J. &amp; Göken, M. Mechanical properties and lattice misfit of γ/γ’ strengthened Co-base superalloys in the Co-W-Al-Ti quaternary system. Intermetallics 55, 28–39 (2014).</v>
          </cell>
          <cell r="F615">
            <v>656</v>
          </cell>
          <cell r="G615">
            <v>86.6</v>
          </cell>
          <cell r="H615"/>
          <cell r="I615">
            <v>1.2</v>
          </cell>
          <cell r="J615"/>
          <cell r="K615">
            <v>1</v>
          </cell>
          <cell r="L615">
            <v>11.2</v>
          </cell>
          <cell r="M615"/>
          <cell r="N615"/>
          <cell r="O615"/>
          <cell r="P615"/>
          <cell r="Q615"/>
          <cell r="R615"/>
          <cell r="S615"/>
          <cell r="T615"/>
          <cell r="U615"/>
          <cell r="V615"/>
          <cell r="W615"/>
          <cell r="X615"/>
          <cell r="Y615"/>
          <cell r="Z615"/>
          <cell r="AA615"/>
          <cell r="AB615"/>
          <cell r="AC615"/>
          <cell r="AD615"/>
          <cell r="AE615"/>
          <cell r="AF615">
            <v>8.4370840000000005</v>
          </cell>
          <cell r="AG615"/>
          <cell r="AH615"/>
          <cell r="AI615" t="str">
            <v>Co</v>
          </cell>
          <cell r="AJ615" t="str">
            <v>-1.2Al</v>
          </cell>
          <cell r="AK615" t="str">
            <v>-1.W</v>
          </cell>
          <cell r="AL615" t="str">
            <v/>
          </cell>
          <cell r="AM615" t="str">
            <v/>
          </cell>
          <cell r="AN615" t="str">
            <v/>
          </cell>
          <cell r="AO615" t="str">
            <v/>
          </cell>
          <cell r="AP615" t="str">
            <v/>
          </cell>
          <cell r="AQ615" t="str">
            <v>-11.2Ti</v>
          </cell>
          <cell r="AR615" t="str">
            <v/>
          </cell>
          <cell r="AS615" t="str">
            <v/>
          </cell>
          <cell r="AT615" t="str">
            <v/>
          </cell>
          <cell r="AU615" t="str">
            <v/>
          </cell>
          <cell r="AV615" t="str">
            <v/>
          </cell>
          <cell r="AW615" t="str">
            <v/>
          </cell>
          <cell r="AX615" t="str">
            <v/>
          </cell>
          <cell r="AY615" t="str">
            <v/>
          </cell>
          <cell r="AZ615" t="str">
            <v/>
          </cell>
          <cell r="BA615" t="str">
            <v/>
          </cell>
          <cell r="BB615" t="str">
            <v/>
          </cell>
          <cell r="BC615" t="str">
            <v/>
          </cell>
          <cell r="BD615" t="str">
            <v/>
          </cell>
          <cell r="BE615" t="str">
            <v/>
          </cell>
          <cell r="BF615" t="str">
            <v/>
          </cell>
          <cell r="BG615" t="str">
            <v/>
          </cell>
          <cell r="BH615" t="str">
            <v>WF_BZenk, C. H., Neumeier, S., Stone, H. J. &amp; Göken, M. Mechanical properties and lattice misfit of γ/γ’ strengthened Co-base superalloys in the Co-W-Al-Ti quaternary system. Intermetallics 55, 28–39 (2014).</v>
          </cell>
          <cell r="BI615" t="str">
            <v>Co-1.2Al-1.W-11.2Ti</v>
          </cell>
          <cell r="BJ615" t="str">
            <v>86.6Co-1.2Al-1.0W-11.2Ti</v>
          </cell>
        </row>
        <row r="616">
          <cell r="A616" t="str">
            <v>Co-1.4Al-1.3W-10.3Ti</v>
          </cell>
          <cell r="B616" t="str">
            <v>Co3Ti</v>
          </cell>
          <cell r="C616" t="str">
            <v>-1Al-1W-10Ti</v>
          </cell>
          <cell r="D616" t="str">
            <v>WF</v>
          </cell>
          <cell r="E616" t="str">
            <v>Zenk, C. H., Neumeier, S., Stone, H. J. &amp; Göken, M. Mechanical properties and lattice misfit of γ/γ’ strengthened Co-base superalloys in the Co-W-Al-Ti quaternary system. Intermetallics 55, 28–39 (2014).</v>
          </cell>
          <cell r="F616">
            <v>657</v>
          </cell>
          <cell r="G616">
            <v>87</v>
          </cell>
          <cell r="H616"/>
          <cell r="I616">
            <v>1.4</v>
          </cell>
          <cell r="J616"/>
          <cell r="K616">
            <v>1.3</v>
          </cell>
          <cell r="L616">
            <v>10.3</v>
          </cell>
          <cell r="M616"/>
          <cell r="N616"/>
          <cell r="O616"/>
          <cell r="P616"/>
          <cell r="Q616"/>
          <cell r="R616"/>
          <cell r="S616"/>
          <cell r="T616"/>
          <cell r="U616"/>
          <cell r="V616"/>
          <cell r="W616"/>
          <cell r="X616"/>
          <cell r="Y616"/>
          <cell r="Z616"/>
          <cell r="AA616"/>
          <cell r="AB616"/>
          <cell r="AC616"/>
          <cell r="AD616"/>
          <cell r="AE616"/>
          <cell r="AF616">
            <v>8.4952710000000007</v>
          </cell>
          <cell r="AG616"/>
          <cell r="AH616"/>
          <cell r="AI616" t="str">
            <v>Co</v>
          </cell>
          <cell r="AJ616" t="str">
            <v>-1.4Al</v>
          </cell>
          <cell r="AK616" t="str">
            <v>-1.3W</v>
          </cell>
          <cell r="AL616" t="str">
            <v/>
          </cell>
          <cell r="AM616" t="str">
            <v/>
          </cell>
          <cell r="AN616" t="str">
            <v/>
          </cell>
          <cell r="AO616" t="str">
            <v/>
          </cell>
          <cell r="AP616" t="str">
            <v/>
          </cell>
          <cell r="AQ616" t="str">
            <v>-10.3Ti</v>
          </cell>
          <cell r="AR616" t="str">
            <v/>
          </cell>
          <cell r="AS616" t="str">
            <v/>
          </cell>
          <cell r="AT616" t="str">
            <v/>
          </cell>
          <cell r="AU616" t="str">
            <v/>
          </cell>
          <cell r="AV616" t="str">
            <v/>
          </cell>
          <cell r="AW616" t="str">
            <v/>
          </cell>
          <cell r="AX616" t="str">
            <v/>
          </cell>
          <cell r="AY616" t="str">
            <v/>
          </cell>
          <cell r="AZ616" t="str">
            <v/>
          </cell>
          <cell r="BA616" t="str">
            <v/>
          </cell>
          <cell r="BB616" t="str">
            <v/>
          </cell>
          <cell r="BC616" t="str">
            <v/>
          </cell>
          <cell r="BD616" t="str">
            <v/>
          </cell>
          <cell r="BE616" t="str">
            <v/>
          </cell>
          <cell r="BF616" t="str">
            <v/>
          </cell>
          <cell r="BG616" t="str">
            <v/>
          </cell>
          <cell r="BH616" t="str">
            <v>WFZenk, C. H., Neumeier, S., Stone, H. J. &amp; Göken, M. Mechanical properties and lattice misfit of γ/γ’ strengthened Co-base superalloys in the Co-W-Al-Ti quaternary system. Intermetallics 55, 28–39 (2014).</v>
          </cell>
          <cell r="BI616" t="str">
            <v>Co-1.4Al-1.3W-10.3Ti</v>
          </cell>
          <cell r="BJ616" t="str">
            <v>87.0Co-1.4Al-1.3W-10.3Ti</v>
          </cell>
        </row>
        <row r="617">
          <cell r="A617" t="str">
            <v>Co-2.7Al-2.5W-8.8Ti</v>
          </cell>
          <cell r="B617" t="str">
            <v>Co3Ti</v>
          </cell>
          <cell r="C617" t="str">
            <v>-3Al-3W-9Ti</v>
          </cell>
          <cell r="D617" t="str">
            <v>WE_B</v>
          </cell>
          <cell r="E617" t="str">
            <v>Zenk, C. H., Neumeier, S., Stone, H. J. &amp; Göken, M. Mechanical properties and lattice misfit of γ/γ’ strengthened Co-base superalloys in the Co-W-Al-Ti quaternary system. Intermetallics 55, 28–39 (2014).</v>
          </cell>
          <cell r="F617">
            <v>658</v>
          </cell>
          <cell r="G617">
            <v>86</v>
          </cell>
          <cell r="H617"/>
          <cell r="I617">
            <v>2.7</v>
          </cell>
          <cell r="J617"/>
          <cell r="K617">
            <v>2.5</v>
          </cell>
          <cell r="L617">
            <v>8.8000000000000007</v>
          </cell>
          <cell r="M617"/>
          <cell r="N617"/>
          <cell r="O617"/>
          <cell r="P617"/>
          <cell r="Q617"/>
          <cell r="R617"/>
          <cell r="S617"/>
          <cell r="T617"/>
          <cell r="U617"/>
          <cell r="V617"/>
          <cell r="W617"/>
          <cell r="X617"/>
          <cell r="Y617"/>
          <cell r="Z617"/>
          <cell r="AA617"/>
          <cell r="AB617"/>
          <cell r="AC617"/>
          <cell r="AD617"/>
          <cell r="AE617"/>
          <cell r="AF617">
            <v>8.6047659999999997</v>
          </cell>
          <cell r="AG617"/>
          <cell r="AH617"/>
          <cell r="AI617" t="str">
            <v>Co</v>
          </cell>
          <cell r="AJ617" t="str">
            <v>-2.7Al</v>
          </cell>
          <cell r="AK617" t="str">
            <v>-2.5W</v>
          </cell>
          <cell r="AL617" t="str">
            <v/>
          </cell>
          <cell r="AM617" t="str">
            <v/>
          </cell>
          <cell r="AN617" t="str">
            <v/>
          </cell>
          <cell r="AO617" t="str">
            <v/>
          </cell>
          <cell r="AP617" t="str">
            <v/>
          </cell>
          <cell r="AQ617" t="str">
            <v>-8.8Ti</v>
          </cell>
          <cell r="AR617" t="str">
            <v/>
          </cell>
          <cell r="AS617" t="str">
            <v/>
          </cell>
          <cell r="AT617" t="str">
            <v/>
          </cell>
          <cell r="AU617" t="str">
            <v/>
          </cell>
          <cell r="AV617" t="str">
            <v/>
          </cell>
          <cell r="AW617" t="str">
            <v/>
          </cell>
          <cell r="AX617" t="str">
            <v/>
          </cell>
          <cell r="AY617" t="str">
            <v/>
          </cell>
          <cell r="AZ617" t="str">
            <v/>
          </cell>
          <cell r="BA617" t="str">
            <v/>
          </cell>
          <cell r="BB617" t="str">
            <v/>
          </cell>
          <cell r="BC617" t="str">
            <v/>
          </cell>
          <cell r="BD617" t="str">
            <v/>
          </cell>
          <cell r="BE617" t="str">
            <v/>
          </cell>
          <cell r="BF617" t="str">
            <v/>
          </cell>
          <cell r="BG617" t="str">
            <v/>
          </cell>
          <cell r="BH617" t="str">
            <v>WE_BZenk, C. H., Neumeier, S., Stone, H. J. &amp; Göken, M. Mechanical properties and lattice misfit of γ/γ’ strengthened Co-base superalloys in the Co-W-Al-Ti quaternary system. Intermetallics 55, 28–39 (2014).</v>
          </cell>
          <cell r="BI617" t="str">
            <v>Co-2.7Al-2.5W-8.8Ti</v>
          </cell>
          <cell r="BJ617" t="str">
            <v>86.0Co-2.7Al-2.5W-8.8Ti</v>
          </cell>
        </row>
        <row r="618">
          <cell r="A618" t="str">
            <v>Co-2.8Al-2.5W-8.5Ti</v>
          </cell>
          <cell r="B618" t="str">
            <v>Co3Ti</v>
          </cell>
          <cell r="C618" t="str">
            <v>-3Al-3W-9Ti</v>
          </cell>
          <cell r="D618" t="str">
            <v>WE</v>
          </cell>
          <cell r="E618" t="str">
            <v>Zenk, C. H., Neumeier, S., Stone, H. J. &amp; Göken, M. Mechanical properties and lattice misfit of γ/γ’ strengthened Co-base superalloys in the Co-W-Al-Ti quaternary system. Intermetallics 55, 28–39 (2014).</v>
          </cell>
          <cell r="F618">
            <v>659</v>
          </cell>
          <cell r="G618">
            <v>86.2</v>
          </cell>
          <cell r="H618"/>
          <cell r="I618">
            <v>2.8</v>
          </cell>
          <cell r="J618"/>
          <cell r="K618">
            <v>2.5</v>
          </cell>
          <cell r="L618">
            <v>8.5</v>
          </cell>
          <cell r="M618"/>
          <cell r="N618"/>
          <cell r="O618"/>
          <cell r="P618"/>
          <cell r="Q618"/>
          <cell r="R618"/>
          <cell r="S618"/>
          <cell r="T618"/>
          <cell r="U618"/>
          <cell r="V618"/>
          <cell r="W618"/>
          <cell r="X618"/>
          <cell r="Y618"/>
          <cell r="Z618"/>
          <cell r="AA618"/>
          <cell r="AB618"/>
          <cell r="AC618"/>
          <cell r="AD618"/>
          <cell r="AE618"/>
          <cell r="AF618">
            <v>8.6117449999999991</v>
          </cell>
          <cell r="AG618"/>
          <cell r="AH618"/>
          <cell r="AI618" t="str">
            <v>Co</v>
          </cell>
          <cell r="AJ618" t="str">
            <v>-2.8Al</v>
          </cell>
          <cell r="AK618" t="str">
            <v>-2.5W</v>
          </cell>
          <cell r="AL618" t="str">
            <v/>
          </cell>
          <cell r="AM618" t="str">
            <v/>
          </cell>
          <cell r="AN618" t="str">
            <v/>
          </cell>
          <cell r="AO618" t="str">
            <v/>
          </cell>
          <cell r="AP618" t="str">
            <v/>
          </cell>
          <cell r="AQ618" t="str">
            <v>-8.5Ti</v>
          </cell>
          <cell r="AR618" t="str">
            <v/>
          </cell>
          <cell r="AS618" t="str">
            <v/>
          </cell>
          <cell r="AT618" t="str">
            <v/>
          </cell>
          <cell r="AU618" t="str">
            <v/>
          </cell>
          <cell r="AV618" t="str">
            <v/>
          </cell>
          <cell r="AW618" t="str">
            <v/>
          </cell>
          <cell r="AX618" t="str">
            <v/>
          </cell>
          <cell r="AY618" t="str">
            <v/>
          </cell>
          <cell r="AZ618" t="str">
            <v/>
          </cell>
          <cell r="BA618" t="str">
            <v/>
          </cell>
          <cell r="BB618" t="str">
            <v/>
          </cell>
          <cell r="BC618" t="str">
            <v/>
          </cell>
          <cell r="BD618" t="str">
            <v/>
          </cell>
          <cell r="BE618" t="str">
            <v/>
          </cell>
          <cell r="BF618" t="str">
            <v/>
          </cell>
          <cell r="BG618" t="str">
            <v/>
          </cell>
          <cell r="BH618" t="str">
            <v>WEZenk, C. H., Neumeier, S., Stone, H. J. &amp; Göken, M. Mechanical properties and lattice misfit of γ/γ’ strengthened Co-base superalloys in the Co-W-Al-Ti quaternary system. Intermetallics 55, 28–39 (2014).</v>
          </cell>
          <cell r="BI618" t="str">
            <v>Co-2.8Al-2.5W-8.5Ti</v>
          </cell>
          <cell r="BJ618" t="str">
            <v>86.2Co-2.8Al-2.5W-8.5Ti</v>
          </cell>
        </row>
        <row r="619">
          <cell r="A619" t="str">
            <v>Co-4.2Al-3.7W-6.7Ti</v>
          </cell>
          <cell r="B619" t="str">
            <v>CoAlW-X</v>
          </cell>
          <cell r="C619" t="str">
            <v>-4Al-4W-7Ti</v>
          </cell>
          <cell r="D619" t="str">
            <v>WD_B</v>
          </cell>
          <cell r="E619" t="str">
            <v>Zenk, C. H., Neumeier, S., Stone, H. J. &amp; Göken, M. Mechanical properties and lattice misfit of γ/γ’ strengthened Co-base superalloys in the Co-W-Al-Ti quaternary system. Intermetallics 55, 28–39 (2014).</v>
          </cell>
          <cell r="F619">
            <v>660</v>
          </cell>
          <cell r="G619">
            <v>85.4</v>
          </cell>
          <cell r="H619"/>
          <cell r="I619">
            <v>4.2</v>
          </cell>
          <cell r="J619"/>
          <cell r="K619">
            <v>3.7</v>
          </cell>
          <cell r="L619">
            <v>6.7</v>
          </cell>
          <cell r="M619"/>
          <cell r="N619"/>
          <cell r="O619"/>
          <cell r="P619"/>
          <cell r="Q619"/>
          <cell r="R619"/>
          <cell r="S619"/>
          <cell r="T619"/>
          <cell r="U619"/>
          <cell r="V619"/>
          <cell r="W619"/>
          <cell r="X619"/>
          <cell r="Y619"/>
          <cell r="Z619"/>
          <cell r="AA619"/>
          <cell r="AB619"/>
          <cell r="AC619"/>
          <cell r="AD619"/>
          <cell r="AE619"/>
          <cell r="AF619">
            <v>8.7282190000000011</v>
          </cell>
          <cell r="AG619"/>
          <cell r="AH619"/>
          <cell r="AI619" t="str">
            <v>Co</v>
          </cell>
          <cell r="AJ619" t="str">
            <v>-4.2Al</v>
          </cell>
          <cell r="AK619" t="str">
            <v>-3.7W</v>
          </cell>
          <cell r="AL619" t="str">
            <v/>
          </cell>
          <cell r="AM619" t="str">
            <v/>
          </cell>
          <cell r="AN619" t="str">
            <v/>
          </cell>
          <cell r="AO619" t="str">
            <v/>
          </cell>
          <cell r="AP619" t="str">
            <v/>
          </cell>
          <cell r="AQ619" t="str">
            <v>-6.7Ti</v>
          </cell>
          <cell r="AR619" t="str">
            <v/>
          </cell>
          <cell r="AS619" t="str">
            <v/>
          </cell>
          <cell r="AT619" t="str">
            <v/>
          </cell>
          <cell r="AU619" t="str">
            <v/>
          </cell>
          <cell r="AV619" t="str">
            <v/>
          </cell>
          <cell r="AW619" t="str">
            <v/>
          </cell>
          <cell r="AX619" t="str">
            <v/>
          </cell>
          <cell r="AY619" t="str">
            <v/>
          </cell>
          <cell r="AZ619" t="str">
            <v/>
          </cell>
          <cell r="BA619" t="str">
            <v/>
          </cell>
          <cell r="BB619" t="str">
            <v/>
          </cell>
          <cell r="BC619" t="str">
            <v/>
          </cell>
          <cell r="BD619" t="str">
            <v/>
          </cell>
          <cell r="BE619" t="str">
            <v/>
          </cell>
          <cell r="BF619" t="str">
            <v/>
          </cell>
          <cell r="BG619" t="str">
            <v/>
          </cell>
          <cell r="BH619" t="str">
            <v>WD_BZenk, C. H., Neumeier, S., Stone, H. J. &amp; Göken, M. Mechanical properties and lattice misfit of γ/γ’ strengthened Co-base superalloys in the Co-W-Al-Ti quaternary system. Intermetallics 55, 28–39 (2014).</v>
          </cell>
          <cell r="BI619" t="str">
            <v>Co-4.2Al-3.7W-6.7Ti</v>
          </cell>
          <cell r="BJ619" t="str">
            <v>85.4Co-4.2Al-3.7W-6.7Ti</v>
          </cell>
        </row>
        <row r="620">
          <cell r="A620" t="str">
            <v>Co-4.5Al-4.1W-6.1Ti</v>
          </cell>
          <cell r="B620" t="str">
            <v>CoAlW-X</v>
          </cell>
          <cell r="C620" t="str">
            <v>-5Al-4W-6Ti</v>
          </cell>
          <cell r="D620" t="str">
            <v>WD</v>
          </cell>
          <cell r="E620" t="str">
            <v>Zenk, C. H., Neumeier, S., Stone, H. J. &amp; Göken, M. Mechanical properties and lattice misfit of γ/γ’ strengthened Co-base superalloys in the Co-W-Al-Ti quaternary system. Intermetallics 55, 28–39 (2014).</v>
          </cell>
          <cell r="F620">
            <v>661</v>
          </cell>
          <cell r="G620">
            <v>85.3</v>
          </cell>
          <cell r="H620"/>
          <cell r="I620">
            <v>4.5</v>
          </cell>
          <cell r="J620"/>
          <cell r="K620">
            <v>4.0999999999999996</v>
          </cell>
          <cell r="L620">
            <v>6.1</v>
          </cell>
          <cell r="M620"/>
          <cell r="N620"/>
          <cell r="O620"/>
          <cell r="P620"/>
          <cell r="Q620"/>
          <cell r="R620"/>
          <cell r="S620"/>
          <cell r="T620"/>
          <cell r="U620"/>
          <cell r="V620"/>
          <cell r="W620"/>
          <cell r="X620"/>
          <cell r="Y620"/>
          <cell r="Z620"/>
          <cell r="AA620"/>
          <cell r="AB620"/>
          <cell r="AC620"/>
          <cell r="AD620"/>
          <cell r="AE620"/>
          <cell r="AF620">
            <v>8.7773769999999995</v>
          </cell>
          <cell r="AG620"/>
          <cell r="AH620"/>
          <cell r="AI620" t="str">
            <v>Co</v>
          </cell>
          <cell r="AJ620" t="str">
            <v>-4.5Al</v>
          </cell>
          <cell r="AK620" t="str">
            <v>-4.1W</v>
          </cell>
          <cell r="AL620" t="str">
            <v/>
          </cell>
          <cell r="AM620" t="str">
            <v/>
          </cell>
          <cell r="AN620" t="str">
            <v/>
          </cell>
          <cell r="AO620" t="str">
            <v/>
          </cell>
          <cell r="AP620" t="str">
            <v/>
          </cell>
          <cell r="AQ620" t="str">
            <v>-6.1Ti</v>
          </cell>
          <cell r="AR620" t="str">
            <v/>
          </cell>
          <cell r="AS620" t="str">
            <v/>
          </cell>
          <cell r="AT620" t="str">
            <v/>
          </cell>
          <cell r="AU620" t="str">
            <v/>
          </cell>
          <cell r="AV620" t="str">
            <v/>
          </cell>
          <cell r="AW620" t="str">
            <v/>
          </cell>
          <cell r="AX620" t="str">
            <v/>
          </cell>
          <cell r="AY620" t="str">
            <v/>
          </cell>
          <cell r="AZ620" t="str">
            <v/>
          </cell>
          <cell r="BA620" t="str">
            <v/>
          </cell>
          <cell r="BB620" t="str">
            <v/>
          </cell>
          <cell r="BC620" t="str">
            <v/>
          </cell>
          <cell r="BD620" t="str">
            <v/>
          </cell>
          <cell r="BE620" t="str">
            <v/>
          </cell>
          <cell r="BF620" t="str">
            <v/>
          </cell>
          <cell r="BG620" t="str">
            <v/>
          </cell>
          <cell r="BH620" t="str">
            <v>WDZenk, C. H., Neumeier, S., Stone, H. J. &amp; Göken, M. Mechanical properties and lattice misfit of γ/γ’ strengthened Co-base superalloys in the Co-W-Al-Ti quaternary system. Intermetallics 55, 28–39 (2014).</v>
          </cell>
          <cell r="BI620" t="str">
            <v>Co-4.5Al-4.1W-6.1Ti</v>
          </cell>
          <cell r="BJ620" t="str">
            <v>85.3Co-4.5Al-4.1W-6.1Ti</v>
          </cell>
        </row>
        <row r="621">
          <cell r="A621" t="str">
            <v>Co-6.Al-5.5W-4.3Ti</v>
          </cell>
          <cell r="B621" t="str">
            <v>CoAlWX+</v>
          </cell>
          <cell r="C621" t="str">
            <v>-6Al-6W-4Ti</v>
          </cell>
          <cell r="D621" t="str">
            <v>WC_B</v>
          </cell>
          <cell r="E621" t="str">
            <v>Zenk, C. H., Neumeier, S., Stone, H. J. &amp; Göken, M. Mechanical properties and lattice misfit of γ/γ’ strengthened Co-base superalloys in the Co-W-Al-Ti quaternary system. Intermetallics 55, 28–39 (2014).</v>
          </cell>
          <cell r="F621">
            <v>662</v>
          </cell>
          <cell r="G621">
            <v>84.2</v>
          </cell>
          <cell r="H621"/>
          <cell r="I621">
            <v>6</v>
          </cell>
          <cell r="J621"/>
          <cell r="K621">
            <v>5.5</v>
          </cell>
          <cell r="L621">
            <v>4.3</v>
          </cell>
          <cell r="M621"/>
          <cell r="N621"/>
          <cell r="O621"/>
          <cell r="P621"/>
          <cell r="Q621"/>
          <cell r="R621"/>
          <cell r="S621"/>
          <cell r="T621"/>
          <cell r="U621"/>
          <cell r="V621"/>
          <cell r="W621"/>
          <cell r="X621"/>
          <cell r="Y621"/>
          <cell r="Z621"/>
          <cell r="AA621"/>
          <cell r="AB621"/>
          <cell r="AC621"/>
          <cell r="AD621"/>
          <cell r="AE621"/>
          <cell r="AF621">
            <v>8.9083510000000015</v>
          </cell>
          <cell r="AG621"/>
          <cell r="AH621"/>
          <cell r="AI621" t="str">
            <v>Co</v>
          </cell>
          <cell r="AJ621" t="str">
            <v>-6.Al</v>
          </cell>
          <cell r="AK621" t="str">
            <v>-5.5W</v>
          </cell>
          <cell r="AL621" t="str">
            <v/>
          </cell>
          <cell r="AM621" t="str">
            <v/>
          </cell>
          <cell r="AN621" t="str">
            <v/>
          </cell>
          <cell r="AO621" t="str">
            <v/>
          </cell>
          <cell r="AP621" t="str">
            <v/>
          </cell>
          <cell r="AQ621" t="str">
            <v>-4.3Ti</v>
          </cell>
          <cell r="AR621" t="str">
            <v/>
          </cell>
          <cell r="AS621" t="str">
            <v/>
          </cell>
          <cell r="AT621" t="str">
            <v/>
          </cell>
          <cell r="AU621" t="str">
            <v/>
          </cell>
          <cell r="AV621" t="str">
            <v/>
          </cell>
          <cell r="AW621" t="str">
            <v/>
          </cell>
          <cell r="AX621" t="str">
            <v/>
          </cell>
          <cell r="AY621" t="str">
            <v/>
          </cell>
          <cell r="AZ621" t="str">
            <v/>
          </cell>
          <cell r="BA621" t="str">
            <v/>
          </cell>
          <cell r="BB621" t="str">
            <v/>
          </cell>
          <cell r="BC621" t="str">
            <v/>
          </cell>
          <cell r="BD621" t="str">
            <v/>
          </cell>
          <cell r="BE621" t="str">
            <v/>
          </cell>
          <cell r="BF621" t="str">
            <v/>
          </cell>
          <cell r="BG621" t="str">
            <v/>
          </cell>
          <cell r="BH621" t="str">
            <v>WC_BZenk, C. H., Neumeier, S., Stone, H. J. &amp; Göken, M. Mechanical properties and lattice misfit of γ/γ’ strengthened Co-base superalloys in the Co-W-Al-Ti quaternary system. Intermetallics 55, 28–39 (2014).</v>
          </cell>
          <cell r="BI621" t="str">
            <v>Co-6.Al-5.5W-4.3Ti</v>
          </cell>
          <cell r="BJ621" t="str">
            <v>84.2Co-6.0Al-5.5W-4.3Ti</v>
          </cell>
        </row>
        <row r="622">
          <cell r="A622" t="str">
            <v>Co-7.Al-6.1W-3.7Ti</v>
          </cell>
          <cell r="B622" t="str">
            <v>CoAlWX+</v>
          </cell>
          <cell r="C622" t="str">
            <v>-7Al-6W-4Ti</v>
          </cell>
          <cell r="D622" t="str">
            <v>WC</v>
          </cell>
          <cell r="E622" t="str">
            <v>Zenk, C. H., Neumeier, S., Stone, H. J. &amp; Göken, M. Mechanical properties and lattice misfit of γ/γ’ strengthened Co-base superalloys in the Co-W-Al-Ti quaternary system. Intermetallics 55, 28–39 (2014).</v>
          </cell>
          <cell r="F622">
            <v>663</v>
          </cell>
          <cell r="G622">
            <v>83.2</v>
          </cell>
          <cell r="H622"/>
          <cell r="I622">
            <v>7</v>
          </cell>
          <cell r="J622"/>
          <cell r="K622">
            <v>6.1</v>
          </cell>
          <cell r="L622">
            <v>3.7</v>
          </cell>
          <cell r="M622"/>
          <cell r="N622"/>
          <cell r="O622"/>
          <cell r="P622"/>
          <cell r="Q622"/>
          <cell r="R622"/>
          <cell r="S622"/>
          <cell r="T622"/>
          <cell r="U622"/>
          <cell r="V622"/>
          <cell r="W622"/>
          <cell r="X622"/>
          <cell r="Y622"/>
          <cell r="Z622"/>
          <cell r="AA622"/>
          <cell r="AB622"/>
          <cell r="AC622"/>
          <cell r="AD622"/>
          <cell r="AE622"/>
          <cell r="AF622">
            <v>8.9348089999999996</v>
          </cell>
          <cell r="AG622"/>
          <cell r="AH622"/>
          <cell r="AI622" t="str">
            <v>Co</v>
          </cell>
          <cell r="AJ622" t="str">
            <v>-7.Al</v>
          </cell>
          <cell r="AK622" t="str">
            <v>-6.1W</v>
          </cell>
          <cell r="AL622" t="str">
            <v/>
          </cell>
          <cell r="AM622" t="str">
            <v/>
          </cell>
          <cell r="AN622" t="str">
            <v/>
          </cell>
          <cell r="AO622" t="str">
            <v/>
          </cell>
          <cell r="AP622" t="str">
            <v/>
          </cell>
          <cell r="AQ622" t="str">
            <v>-3.7Ti</v>
          </cell>
          <cell r="AR622" t="str">
            <v/>
          </cell>
          <cell r="AS622" t="str">
            <v/>
          </cell>
          <cell r="AT622" t="str">
            <v/>
          </cell>
          <cell r="AU622" t="str">
            <v/>
          </cell>
          <cell r="AV622" t="str">
            <v/>
          </cell>
          <cell r="AW622" t="str">
            <v/>
          </cell>
          <cell r="AX622" t="str">
            <v/>
          </cell>
          <cell r="AY622" t="str">
            <v/>
          </cell>
          <cell r="AZ622" t="str">
            <v/>
          </cell>
          <cell r="BA622" t="str">
            <v/>
          </cell>
          <cell r="BB622" t="str">
            <v/>
          </cell>
          <cell r="BC622" t="str">
            <v/>
          </cell>
          <cell r="BD622" t="str">
            <v/>
          </cell>
          <cell r="BE622" t="str">
            <v/>
          </cell>
          <cell r="BF622" t="str">
            <v/>
          </cell>
          <cell r="BG622" t="str">
            <v/>
          </cell>
          <cell r="BH622" t="str">
            <v>WCZenk, C. H., Neumeier, S., Stone, H. J. &amp; Göken, M. Mechanical properties and lattice misfit of γ/γ’ strengthened Co-base superalloys in the Co-W-Al-Ti quaternary system. Intermetallics 55, 28–39 (2014).</v>
          </cell>
          <cell r="BI622" t="str">
            <v>Co-7.Al-6.1W-3.7Ti</v>
          </cell>
          <cell r="BJ622" t="str">
            <v>83.2Co-7.0Al-6.1W-3.7Ti</v>
          </cell>
        </row>
        <row r="623">
          <cell r="A623" t="str">
            <v>Co-7.5Al-6.8W-2.3Ti</v>
          </cell>
          <cell r="B623" t="str">
            <v>CoAlWX+</v>
          </cell>
          <cell r="C623" t="str">
            <v>-8Al-7W-2Ti</v>
          </cell>
          <cell r="D623" t="str">
            <v>WB_B</v>
          </cell>
          <cell r="E623" t="str">
            <v>Zenk, C. H., Neumeier, S., Stone, H. J. &amp; Göken, M. Mechanical properties and lattice misfit of γ/γ’ strengthened Co-base superalloys in the Co-W-Al-Ti quaternary system. Intermetallics 55, 28–39 (2014).</v>
          </cell>
          <cell r="F623">
            <v>664</v>
          </cell>
          <cell r="G623">
            <v>83.4</v>
          </cell>
          <cell r="H623"/>
          <cell r="I623">
            <v>7.5</v>
          </cell>
          <cell r="J623"/>
          <cell r="K623">
            <v>6.8</v>
          </cell>
          <cell r="L623">
            <v>2.2999999999999998</v>
          </cell>
          <cell r="M623"/>
          <cell r="N623"/>
          <cell r="O623"/>
          <cell r="P623"/>
          <cell r="Q623"/>
          <cell r="R623"/>
          <cell r="S623"/>
          <cell r="T623"/>
          <cell r="U623"/>
          <cell r="V623"/>
          <cell r="W623"/>
          <cell r="X623"/>
          <cell r="Y623"/>
          <cell r="Z623"/>
          <cell r="AA623"/>
          <cell r="AB623"/>
          <cell r="AC623"/>
          <cell r="AD623"/>
          <cell r="AE623"/>
          <cell r="AF623">
            <v>9.0377609999999997</v>
          </cell>
          <cell r="AG623"/>
          <cell r="AH623"/>
          <cell r="AI623" t="str">
            <v>Co</v>
          </cell>
          <cell r="AJ623" t="str">
            <v>-7.5Al</v>
          </cell>
          <cell r="AK623" t="str">
            <v>-6.8W</v>
          </cell>
          <cell r="AL623" t="str">
            <v/>
          </cell>
          <cell r="AM623" t="str">
            <v/>
          </cell>
          <cell r="AN623" t="str">
            <v/>
          </cell>
          <cell r="AO623" t="str">
            <v/>
          </cell>
          <cell r="AP623" t="str">
            <v/>
          </cell>
          <cell r="AQ623" t="str">
            <v>-2.3Ti</v>
          </cell>
          <cell r="AR623" t="str">
            <v/>
          </cell>
          <cell r="AS623" t="str">
            <v/>
          </cell>
          <cell r="AT623" t="str">
            <v/>
          </cell>
          <cell r="AU623" t="str">
            <v/>
          </cell>
          <cell r="AV623" t="str">
            <v/>
          </cell>
          <cell r="AW623" t="str">
            <v/>
          </cell>
          <cell r="AX623" t="str">
            <v/>
          </cell>
          <cell r="AY623" t="str">
            <v/>
          </cell>
          <cell r="AZ623" t="str">
            <v/>
          </cell>
          <cell r="BA623" t="str">
            <v/>
          </cell>
          <cell r="BB623" t="str">
            <v/>
          </cell>
          <cell r="BC623" t="str">
            <v/>
          </cell>
          <cell r="BD623" t="str">
            <v/>
          </cell>
          <cell r="BE623" t="str">
            <v/>
          </cell>
          <cell r="BF623" t="str">
            <v/>
          </cell>
          <cell r="BG623" t="str">
            <v/>
          </cell>
          <cell r="BH623" t="str">
            <v>WB_BZenk, C. H., Neumeier, S., Stone, H. J. &amp; Göken, M. Mechanical properties and lattice misfit of γ/γ’ strengthened Co-base superalloys in the Co-W-Al-Ti quaternary system. Intermetallics 55, 28–39 (2014).</v>
          </cell>
          <cell r="BI623" t="str">
            <v>Co-7.5Al-6.8W-2.3Ti</v>
          </cell>
          <cell r="BJ623" t="str">
            <v>83.4Co-7.5Al-6.8W-2.3Ti</v>
          </cell>
        </row>
        <row r="624">
          <cell r="A624" t="str">
            <v>Co-8.4Al-7.5W-1.9Ti</v>
          </cell>
          <cell r="B624" t="str">
            <v>CoAlWX+</v>
          </cell>
          <cell r="C624" t="str">
            <v>-8Al-8W-2Ti</v>
          </cell>
          <cell r="D624" t="str">
            <v>WB</v>
          </cell>
          <cell r="E624" t="str">
            <v>Zenk, C. H., Neumeier, S., Stone, H. J. &amp; Göken, M. Mechanical properties and lattice misfit of γ/γ’ strengthened Co-base superalloys in the Co-W-Al-Ti quaternary system. Intermetallics 55, 28–39 (2014).</v>
          </cell>
          <cell r="F624">
            <v>665</v>
          </cell>
          <cell r="G624">
            <v>82.2</v>
          </cell>
          <cell r="H624"/>
          <cell r="I624">
            <v>8.4</v>
          </cell>
          <cell r="J624"/>
          <cell r="K624">
            <v>7.5</v>
          </cell>
          <cell r="L624">
            <v>1.9</v>
          </cell>
          <cell r="M624"/>
          <cell r="N624"/>
          <cell r="O624"/>
          <cell r="P624"/>
          <cell r="Q624"/>
          <cell r="R624"/>
          <cell r="S624"/>
          <cell r="T624"/>
          <cell r="U624"/>
          <cell r="V624"/>
          <cell r="W624"/>
          <cell r="X624"/>
          <cell r="Y624"/>
          <cell r="Z624"/>
          <cell r="AA624"/>
          <cell r="AB624"/>
          <cell r="AC624"/>
          <cell r="AD624"/>
          <cell r="AE624"/>
          <cell r="AF624">
            <v>9.0719829999999995</v>
          </cell>
          <cell r="AG624"/>
          <cell r="AH624"/>
          <cell r="AI624" t="str">
            <v>Co</v>
          </cell>
          <cell r="AJ624" t="str">
            <v>-8.4Al</v>
          </cell>
          <cell r="AK624" t="str">
            <v>-7.5W</v>
          </cell>
          <cell r="AL624" t="str">
            <v/>
          </cell>
          <cell r="AM624" t="str">
            <v/>
          </cell>
          <cell r="AN624" t="str">
            <v/>
          </cell>
          <cell r="AO624" t="str">
            <v/>
          </cell>
          <cell r="AP624" t="str">
            <v/>
          </cell>
          <cell r="AQ624" t="str">
            <v>-1.9Ti</v>
          </cell>
          <cell r="AR624" t="str">
            <v/>
          </cell>
          <cell r="AS624" t="str">
            <v/>
          </cell>
          <cell r="AT624" t="str">
            <v/>
          </cell>
          <cell r="AU624" t="str">
            <v/>
          </cell>
          <cell r="AV624" t="str">
            <v/>
          </cell>
          <cell r="AW624" t="str">
            <v/>
          </cell>
          <cell r="AX624" t="str">
            <v/>
          </cell>
          <cell r="AY624" t="str">
            <v/>
          </cell>
          <cell r="AZ624" t="str">
            <v/>
          </cell>
          <cell r="BA624" t="str">
            <v/>
          </cell>
          <cell r="BB624" t="str">
            <v/>
          </cell>
          <cell r="BC624" t="str">
            <v/>
          </cell>
          <cell r="BD624" t="str">
            <v/>
          </cell>
          <cell r="BE624" t="str">
            <v/>
          </cell>
          <cell r="BF624" t="str">
            <v/>
          </cell>
          <cell r="BG624" t="str">
            <v/>
          </cell>
          <cell r="BH624" t="str">
            <v>WBZenk, C. H., Neumeier, S., Stone, H. J. &amp; Göken, M. Mechanical properties and lattice misfit of γ/γ’ strengthened Co-base superalloys in the Co-W-Al-Ti quaternary system. Intermetallics 55, 28–39 (2014).</v>
          </cell>
          <cell r="BI624" t="str">
            <v>Co-8.4Al-7.5W-1.9Ti</v>
          </cell>
          <cell r="BJ624" t="str">
            <v>82.2Co-8.4Al-7.5W-1.9Ti</v>
          </cell>
        </row>
        <row r="625">
          <cell r="A625" t="str">
            <v>Co-9.9Al-8.8W</v>
          </cell>
          <cell r="B625" t="str">
            <v>CoAlW-X</v>
          </cell>
          <cell r="C625" t="str">
            <v>-10Al-9W</v>
          </cell>
          <cell r="D625" t="str">
            <v>WA</v>
          </cell>
          <cell r="E625" t="str">
            <v>Zenk, C. H., Neumeier, S., Stone, H. J. &amp; Göken, M. Mechanical properties and lattice misfit of γ/γ’ strengthened Co-base superalloys in the Co-W-Al-Ti quaternary system. Intermetallics 55, 28–39 (2014).</v>
          </cell>
          <cell r="F625">
            <v>666</v>
          </cell>
          <cell r="G625">
            <v>81.3</v>
          </cell>
          <cell r="H625"/>
          <cell r="I625">
            <v>9.9</v>
          </cell>
          <cell r="J625"/>
          <cell r="K625">
            <v>8.8000000000000007</v>
          </cell>
          <cell r="L625"/>
          <cell r="M625"/>
          <cell r="N625"/>
          <cell r="O625"/>
          <cell r="P625"/>
          <cell r="Q625"/>
          <cell r="R625"/>
          <cell r="S625"/>
          <cell r="T625"/>
          <cell r="U625"/>
          <cell r="V625"/>
          <cell r="W625"/>
          <cell r="X625"/>
          <cell r="Y625"/>
          <cell r="Z625"/>
          <cell r="AA625"/>
          <cell r="AB625"/>
          <cell r="AC625"/>
          <cell r="AD625"/>
          <cell r="AE625"/>
          <cell r="AF625">
            <v>9.197000000000001</v>
          </cell>
          <cell r="AG625"/>
          <cell r="AH625"/>
          <cell r="AI625" t="str">
            <v>Co</v>
          </cell>
          <cell r="AJ625" t="str">
            <v>-9.9Al</v>
          </cell>
          <cell r="AK625" t="str">
            <v>-8.8W</v>
          </cell>
          <cell r="AL625" t="str">
            <v/>
          </cell>
          <cell r="AM625" t="str">
            <v/>
          </cell>
          <cell r="AN625" t="str">
            <v/>
          </cell>
          <cell r="AO625" t="str">
            <v/>
          </cell>
          <cell r="AP625" t="str">
            <v/>
          </cell>
          <cell r="AQ625" t="str">
            <v/>
          </cell>
          <cell r="AR625" t="str">
            <v/>
          </cell>
          <cell r="AS625" t="str">
            <v/>
          </cell>
          <cell r="AT625" t="str">
            <v/>
          </cell>
          <cell r="AU625" t="str">
            <v/>
          </cell>
          <cell r="AV625" t="str">
            <v/>
          </cell>
          <cell r="AW625" t="str">
            <v/>
          </cell>
          <cell r="AX625" t="str">
            <v/>
          </cell>
          <cell r="AY625" t="str">
            <v/>
          </cell>
          <cell r="AZ625" t="str">
            <v/>
          </cell>
          <cell r="BA625" t="str">
            <v/>
          </cell>
          <cell r="BB625" t="str">
            <v/>
          </cell>
          <cell r="BC625" t="str">
            <v/>
          </cell>
          <cell r="BD625" t="str">
            <v/>
          </cell>
          <cell r="BE625" t="str">
            <v/>
          </cell>
          <cell r="BF625" t="str">
            <v/>
          </cell>
          <cell r="BG625" t="str">
            <v/>
          </cell>
          <cell r="BH625" t="str">
            <v>WAZenk, C. H., Neumeier, S., Stone, H. J. &amp; Göken, M. Mechanical properties and lattice misfit of γ/γ’ strengthened Co-base superalloys in the Co-W-Al-Ti quaternary system. Intermetallics 55, 28–39 (2014).</v>
          </cell>
          <cell r="BI625" t="str">
            <v>Co-9.9Al-8.8W</v>
          </cell>
          <cell r="BJ625" t="str">
            <v>81.3Co-9.9Al-8.8W</v>
          </cell>
        </row>
        <row r="626">
          <cell r="A626" t="str">
            <v>Co-8.9Al-8.2W</v>
          </cell>
          <cell r="B626" t="str">
            <v>CoAlW-X</v>
          </cell>
          <cell r="C626" t="str">
            <v>-9Al-8W</v>
          </cell>
          <cell r="D626" t="str">
            <v>WA_B</v>
          </cell>
          <cell r="E626" t="str">
            <v>Zenk, C. H., Neumeier, S., Stone, H. J. &amp; Göken, M. Mechanical properties and lattice misfit of γ/γ’ strengthened Co-base superalloys in the Co-W-Al-Ti quaternary system. Intermetallics 55, 28–39 (2014).</v>
          </cell>
          <cell r="F626">
            <v>667</v>
          </cell>
          <cell r="G626">
            <v>82.9</v>
          </cell>
          <cell r="H626"/>
          <cell r="I626">
            <v>8.9</v>
          </cell>
          <cell r="J626"/>
          <cell r="K626">
            <v>8.1999999999999993</v>
          </cell>
          <cell r="L626"/>
          <cell r="M626"/>
          <cell r="N626"/>
          <cell r="O626"/>
          <cell r="P626"/>
          <cell r="Q626"/>
          <cell r="R626"/>
          <cell r="S626"/>
          <cell r="T626"/>
          <cell r="U626"/>
          <cell r="V626"/>
          <cell r="W626"/>
          <cell r="X626"/>
          <cell r="Y626"/>
          <cell r="Z626"/>
          <cell r="AA626"/>
          <cell r="AB626"/>
          <cell r="AC626"/>
          <cell r="AD626"/>
          <cell r="AE626"/>
          <cell r="AF626">
            <v>9.1969000000000012</v>
          </cell>
          <cell r="AG626"/>
          <cell r="AH626"/>
          <cell r="AI626" t="str">
            <v>Co</v>
          </cell>
          <cell r="AJ626" t="str">
            <v>-8.9Al</v>
          </cell>
          <cell r="AK626" t="str">
            <v>-8.2W</v>
          </cell>
          <cell r="AL626" t="str">
            <v/>
          </cell>
          <cell r="AM626" t="str">
            <v/>
          </cell>
          <cell r="AN626" t="str">
            <v/>
          </cell>
          <cell r="AO626" t="str">
            <v/>
          </cell>
          <cell r="AP626" t="str">
            <v/>
          </cell>
          <cell r="AQ626" t="str">
            <v/>
          </cell>
          <cell r="AR626" t="str">
            <v/>
          </cell>
          <cell r="AS626" t="str">
            <v/>
          </cell>
          <cell r="AT626" t="str">
            <v/>
          </cell>
          <cell r="AU626" t="str">
            <v/>
          </cell>
          <cell r="AV626" t="str">
            <v/>
          </cell>
          <cell r="AW626" t="str">
            <v/>
          </cell>
          <cell r="AX626" t="str">
            <v/>
          </cell>
          <cell r="AY626" t="str">
            <v/>
          </cell>
          <cell r="AZ626" t="str">
            <v/>
          </cell>
          <cell r="BA626" t="str">
            <v/>
          </cell>
          <cell r="BB626" t="str">
            <v/>
          </cell>
          <cell r="BC626" t="str">
            <v/>
          </cell>
          <cell r="BD626" t="str">
            <v/>
          </cell>
          <cell r="BE626" t="str">
            <v/>
          </cell>
          <cell r="BF626" t="str">
            <v/>
          </cell>
          <cell r="BG626" t="str">
            <v/>
          </cell>
          <cell r="BH626" t="str">
            <v>WA_BZenk, C. H., Neumeier, S., Stone, H. J. &amp; Göken, M. Mechanical properties and lattice misfit of γ/γ’ strengthened Co-base superalloys in the Co-W-Al-Ti quaternary system. Intermetallics 55, 28–39 (2014).</v>
          </cell>
          <cell r="BI626" t="str">
            <v>Co-8.9Al-8.2W</v>
          </cell>
          <cell r="BJ626" t="str">
            <v>82.9Co-8.9Al-8.2W</v>
          </cell>
        </row>
        <row r="627">
          <cell r="A627" t="str">
            <v>Co-30.Ni-4.1Al-12.Cr-2.W-4.9Ti-1.Ta-1.6Mo-0.4Si-0.1Hf-0.07C-0.01Zr-0.09B</v>
          </cell>
          <cell r="B627" t="str">
            <v>Low-W</v>
          </cell>
          <cell r="C627" t="str">
            <v>-30Ni-4Al-12Cr-2W-5Ti-1Ta-2Mo-Si-Hf-C-Zr-B</v>
          </cell>
          <cell r="D627" t="str">
            <v>4Al-4.9Ti</v>
          </cell>
          <cell r="E627" t="str">
            <v>Zhang, Y. Y. et al. Microstructure Evolution of Multicomponent γ′-Strengthened Co-Based Superalloy at 750 °C and 1000 °C with Different Al and Ti Contents. Metall. Mater. Trans. A Phys. Metall. Mater. Sci. 51, 1755–1770 (2020).</v>
          </cell>
          <cell r="F627">
            <v>668</v>
          </cell>
          <cell r="G627">
            <v>43.830000000000013</v>
          </cell>
          <cell r="H627">
            <v>30.04</v>
          </cell>
          <cell r="I627">
            <v>4.08</v>
          </cell>
          <cell r="J627">
            <v>11.95</v>
          </cell>
          <cell r="K627">
            <v>1.98</v>
          </cell>
          <cell r="L627">
            <v>4.8499999999999996</v>
          </cell>
          <cell r="M627">
            <v>1.04</v>
          </cell>
          <cell r="N627"/>
          <cell r="O627"/>
          <cell r="P627">
            <v>1.55</v>
          </cell>
          <cell r="Q627">
            <v>7.0000000000000007E-2</v>
          </cell>
          <cell r="R627">
            <v>0.01</v>
          </cell>
          <cell r="S627">
            <v>0.09</v>
          </cell>
          <cell r="T627"/>
          <cell r="U627"/>
          <cell r="V627">
            <v>0.41</v>
          </cell>
          <cell r="W627"/>
          <cell r="X627"/>
          <cell r="Y627">
            <v>0.1</v>
          </cell>
          <cell r="Z627"/>
          <cell r="AA627"/>
          <cell r="AB627"/>
          <cell r="AC627"/>
          <cell r="AD627"/>
          <cell r="AE627"/>
          <cell r="AF627">
            <v>8.5057478000000017</v>
          </cell>
          <cell r="AG627"/>
          <cell r="AH627"/>
          <cell r="AI627" t="str">
            <v>Co</v>
          </cell>
          <cell r="AJ627" t="str">
            <v>-4.1Al</v>
          </cell>
          <cell r="AK627" t="str">
            <v>-2.W</v>
          </cell>
          <cell r="AL627" t="str">
            <v>-30.Ni</v>
          </cell>
          <cell r="AM627" t="str">
            <v>-12.Cr</v>
          </cell>
          <cell r="AN627" t="str">
            <v>-1.Ta</v>
          </cell>
          <cell r="AO627" t="str">
            <v/>
          </cell>
          <cell r="AP627" t="str">
            <v/>
          </cell>
          <cell r="AQ627" t="str">
            <v>-4.9Ti</v>
          </cell>
          <cell r="AR627" t="str">
            <v>-1.6Mo</v>
          </cell>
          <cell r="AS627" t="str">
            <v>-0.07C</v>
          </cell>
          <cell r="AT627" t="str">
            <v>-0.01Zr</v>
          </cell>
          <cell r="AU627" t="str">
            <v>-0.09B</v>
          </cell>
          <cell r="AV627" t="str">
            <v/>
          </cell>
          <cell r="AW627" t="str">
            <v/>
          </cell>
          <cell r="AX627" t="str">
            <v>-0.4Si</v>
          </cell>
          <cell r="AY627" t="str">
            <v/>
          </cell>
          <cell r="AZ627" t="str">
            <v/>
          </cell>
          <cell r="BA627" t="str">
            <v>-0.1Hf</v>
          </cell>
          <cell r="BB627" t="str">
            <v/>
          </cell>
          <cell r="BC627" t="str">
            <v/>
          </cell>
          <cell r="BD627" t="str">
            <v/>
          </cell>
          <cell r="BE627" t="str">
            <v/>
          </cell>
          <cell r="BF627" t="str">
            <v/>
          </cell>
          <cell r="BG627" t="str">
            <v/>
          </cell>
          <cell r="BH627" t="str">
            <v>4Al-4.9TiZhang, Y. Y. et al. Microstructure Evolution of Multicomponent γ′-Strengthened Co-Based Superalloy at 750 °C and 1000 °C with Different Al and Ti Contents. Metall. Mater. Trans. A Phys. Metall. Mater. Sci. 51, 1755–1770 (2020).</v>
          </cell>
          <cell r="BI627" t="str">
            <v>Co-30.Ni-4.1Al-12.Cr-2.W-4.9Ti-1.Ta-1.6Mo-0.4Si-0.1Hf-0.07C-0.01Zr-0.09B</v>
          </cell>
          <cell r="BJ627" t="str">
            <v>73.9Co-30.0Ni-4.1Al-12.0Cr-2.0W-4.9Ti-1.0Ta-1.6Mo-0.4Si-0.1Hf-0.07C-0.01Zr-0.09B</v>
          </cell>
        </row>
        <row r="628">
          <cell r="A628" t="str">
            <v>Co-30.1Ni-5.6Al-11.9Cr-2.1W-4.3Ti-1.Ta-1.6Mo-0.4Si-0.1Hf-0.07C-0.01Zr-0.09B</v>
          </cell>
          <cell r="B628" t="str">
            <v>Low-W</v>
          </cell>
          <cell r="C628" t="str">
            <v>-30Ni-6Al-12Cr-2W-4Ti-1Ta-2Mo-Si-Hf-C-Zr-B</v>
          </cell>
          <cell r="D628" t="str">
            <v>5.5Al-5.2Ti</v>
          </cell>
          <cell r="E628" t="str">
            <v>Zhang, Y. Y. et al. Microstructure Evolution of Multicomponent γ′-Strengthened Co-Based Superalloy at 750 °C and 1000 °C with Different Al and Ti Contents. Metall. Mater. Trans. A Phys. Metall. Mater. Sci. 51, 1755–1770 (2020).</v>
          </cell>
          <cell r="F628">
            <v>669</v>
          </cell>
          <cell r="G628">
            <v>42.794999999999995</v>
          </cell>
          <cell r="H628">
            <v>30.1</v>
          </cell>
          <cell r="I628">
            <v>5.59</v>
          </cell>
          <cell r="J628">
            <v>11.89</v>
          </cell>
          <cell r="K628">
            <v>2.1</v>
          </cell>
          <cell r="L628">
            <v>4.3099999999999996</v>
          </cell>
          <cell r="M628">
            <v>0.95</v>
          </cell>
          <cell r="N628"/>
          <cell r="O628"/>
          <cell r="P628">
            <v>1.6</v>
          </cell>
          <cell r="Q628">
            <v>7.0999999999999994E-2</v>
          </cell>
          <cell r="R628">
            <v>8.9999999999999993E-3</v>
          </cell>
          <cell r="S628">
            <v>8.5000000000000006E-2</v>
          </cell>
          <cell r="T628"/>
          <cell r="U628"/>
          <cell r="V628">
            <v>0.39</v>
          </cell>
          <cell r="W628"/>
          <cell r="X628"/>
          <cell r="Y628">
            <v>0.11</v>
          </cell>
          <cell r="Z628"/>
          <cell r="AA628"/>
          <cell r="AB628"/>
          <cell r="AC628"/>
          <cell r="AD628"/>
          <cell r="AE628"/>
          <cell r="AF628">
            <v>8.4450502899999993</v>
          </cell>
          <cell r="AG628"/>
          <cell r="AH628"/>
          <cell r="AI628" t="str">
            <v>Co</v>
          </cell>
          <cell r="AJ628" t="str">
            <v>-5.6Al</v>
          </cell>
          <cell r="AK628" t="str">
            <v>-2.1W</v>
          </cell>
          <cell r="AL628" t="str">
            <v>-30.1Ni</v>
          </cell>
          <cell r="AM628" t="str">
            <v>-11.9Cr</v>
          </cell>
          <cell r="AN628" t="str">
            <v>-1.Ta</v>
          </cell>
          <cell r="AO628" t="str">
            <v/>
          </cell>
          <cell r="AP628" t="str">
            <v/>
          </cell>
          <cell r="AQ628" t="str">
            <v>-4.3Ti</v>
          </cell>
          <cell r="AR628" t="str">
            <v>-1.6Mo</v>
          </cell>
          <cell r="AS628" t="str">
            <v>-0.07C</v>
          </cell>
          <cell r="AT628" t="str">
            <v>-0.01Zr</v>
          </cell>
          <cell r="AU628" t="str">
            <v>-0.09B</v>
          </cell>
          <cell r="AV628" t="str">
            <v/>
          </cell>
          <cell r="AW628" t="str">
            <v/>
          </cell>
          <cell r="AX628" t="str">
            <v>-0.4Si</v>
          </cell>
          <cell r="AY628" t="str">
            <v/>
          </cell>
          <cell r="AZ628" t="str">
            <v/>
          </cell>
          <cell r="BA628" t="str">
            <v>-0.1Hf</v>
          </cell>
          <cell r="BB628" t="str">
            <v/>
          </cell>
          <cell r="BC628" t="str">
            <v/>
          </cell>
          <cell r="BD628" t="str">
            <v/>
          </cell>
          <cell r="BE628" t="str">
            <v/>
          </cell>
          <cell r="BF628" t="str">
            <v/>
          </cell>
          <cell r="BG628" t="str">
            <v/>
          </cell>
          <cell r="BH628" t="str">
            <v>5.5Al-5.2TiZhang, Y. Y. et al. Microstructure Evolution of Multicomponent γ′-Strengthened Co-Based Superalloy at 750 °C and 1000 °C with Different Al and Ti Contents. Metall. Mater. Trans. A Phys. Metall. Mater. Sci. 51, 1755–1770 (2020).</v>
          </cell>
          <cell r="BI628" t="str">
            <v>Co-30.1Ni-5.6Al-11.9Cr-2.1W-4.3Ti-1.Ta-1.6Mo-0.4Si-0.1Hf-0.07C-0.01Zr-0.09B</v>
          </cell>
          <cell r="BJ628" t="str">
            <v>72.9Co-30.1Ni-5.6Al-11.9Cr-2.1W-4.3Ti-1.0Ta-1.6Mo-0.4Si-0.1Hf-0.07C-0.01Zr-0.09B</v>
          </cell>
        </row>
        <row r="629">
          <cell r="A629" t="str">
            <v>Co-30.1Ni-7.1Al-12.1Cr-2.W-3.5Ti-1.Ta-1.3Mo-0.4Si-0.1Hf-0.08C-0.01Zr-0.09B</v>
          </cell>
          <cell r="B629" t="str">
            <v>Low-W</v>
          </cell>
          <cell r="C629" t="str">
            <v>-30Ni-7Al-12Cr-2W-3Ti-1Ta-1Mo-Si-Hf-C-Zr-B</v>
          </cell>
          <cell r="D629" t="str">
            <v>7Al-3.5Ti</v>
          </cell>
          <cell r="E629" t="str">
            <v>Zhang, Y. Y. et al. Microstructure Evolution of Multicomponent γ′-Strengthened Co-Based Superalloy at 750 °C and 1000 °C with Different Al and Ti Contents. Metall. Mater. Trans. A Phys. Metall. Mater. Sci. 51, 1755–1770 (2020).</v>
          </cell>
          <cell r="F629">
            <v>670</v>
          </cell>
          <cell r="G629">
            <v>42.246000000000002</v>
          </cell>
          <cell r="H629">
            <v>30.08</v>
          </cell>
          <cell r="I629">
            <v>7.1</v>
          </cell>
          <cell r="J629">
            <v>12.1</v>
          </cell>
          <cell r="K629">
            <v>2.04</v>
          </cell>
          <cell r="L629">
            <v>3.47</v>
          </cell>
          <cell r="M629">
            <v>1.03</v>
          </cell>
          <cell r="N629"/>
          <cell r="O629"/>
          <cell r="P629">
            <v>1.26</v>
          </cell>
          <cell r="Q629">
            <v>0.08</v>
          </cell>
          <cell r="R629">
            <v>8.9999999999999993E-3</v>
          </cell>
          <cell r="S629">
            <v>8.5000000000000006E-2</v>
          </cell>
          <cell r="T629"/>
          <cell r="U629"/>
          <cell r="V629">
            <v>0.39</v>
          </cell>
          <cell r="W629"/>
          <cell r="X629"/>
          <cell r="Y629">
            <v>0.11</v>
          </cell>
          <cell r="Z629"/>
          <cell r="AA629"/>
          <cell r="AB629"/>
          <cell r="AC629"/>
          <cell r="AD629"/>
          <cell r="AE629"/>
          <cell r="AF629">
            <v>8.3794392899999988</v>
          </cell>
          <cell r="AG629"/>
          <cell r="AH629"/>
          <cell r="AI629" t="str">
            <v>Co</v>
          </cell>
          <cell r="AJ629" t="str">
            <v>-7.1Al</v>
          </cell>
          <cell r="AK629" t="str">
            <v>-2.W</v>
          </cell>
          <cell r="AL629" t="str">
            <v>-30.1Ni</v>
          </cell>
          <cell r="AM629" t="str">
            <v>-12.1Cr</v>
          </cell>
          <cell r="AN629" t="str">
            <v>-1.Ta</v>
          </cell>
          <cell r="AO629" t="str">
            <v/>
          </cell>
          <cell r="AP629" t="str">
            <v/>
          </cell>
          <cell r="AQ629" t="str">
            <v>-3.5Ti</v>
          </cell>
          <cell r="AR629" t="str">
            <v>-1.3Mo</v>
          </cell>
          <cell r="AS629" t="str">
            <v>-0.08C</v>
          </cell>
          <cell r="AT629" t="str">
            <v>-0.01Zr</v>
          </cell>
          <cell r="AU629" t="str">
            <v>-0.09B</v>
          </cell>
          <cell r="AV629" t="str">
            <v/>
          </cell>
          <cell r="AW629" t="str">
            <v/>
          </cell>
          <cell r="AX629" t="str">
            <v>-0.4Si</v>
          </cell>
          <cell r="AY629" t="str">
            <v/>
          </cell>
          <cell r="AZ629" t="str">
            <v/>
          </cell>
          <cell r="BA629" t="str">
            <v>-0.1Hf</v>
          </cell>
          <cell r="BB629" t="str">
            <v/>
          </cell>
          <cell r="BC629" t="str">
            <v/>
          </cell>
          <cell r="BD629" t="str">
            <v/>
          </cell>
          <cell r="BE629" t="str">
            <v/>
          </cell>
          <cell r="BF629" t="str">
            <v/>
          </cell>
          <cell r="BG629" t="str">
            <v/>
          </cell>
          <cell r="BH629" t="str">
            <v>7Al-3.5TiZhang, Y. Y. et al. Microstructure Evolution of Multicomponent γ′-Strengthened Co-Based Superalloy at 750 °C and 1000 °C with Different Al and Ti Contents. Metall. Mater. Trans. A Phys. Metall. Mater. Sci. 51, 1755–1770 (2020).</v>
          </cell>
          <cell r="BI629" t="str">
            <v>Co-30.1Ni-7.1Al-12.1Cr-2.W-3.5Ti-1.Ta-1.3Mo-0.4Si-0.1Hf-0.08C-0.01Zr-0.09B</v>
          </cell>
          <cell r="BJ629" t="str">
            <v>72.3Co-30.1Ni-7.1Al-12.1Cr-2.0W-3.5Ti-1.0Ta-1.3Mo-0.4Si-0.1Hf-0.08C-0.01Zr-0.09B</v>
          </cell>
        </row>
        <row r="630">
          <cell r="A630" t="str">
            <v>Co-30.Ni-4.Al-12.Cr-2.W-4.9Ti-1.Ta-1.5Mo-0.4Si-0.1Hf-0.07C-0.01Zr-0.09B</v>
          </cell>
          <cell r="B630" t="str">
            <v>Low-W</v>
          </cell>
          <cell r="C630" t="str">
            <v>-30Ni-4Al-12Cr-2W-5Ti-1Ta-2Mo-Si-Hf-C-Zr-B</v>
          </cell>
          <cell r="D630" t="str">
            <v>4Al-4.9Ti</v>
          </cell>
          <cell r="E630" t="str">
            <v>Zhang, Y. Y. Y. Y., Fu, H., Zhou, X., Zhang, Y. Y. Y. Y. &amp; Xie, J. Enhanced mechanical properties of wrought γ′-strengthened Co-base superalloys by adjusting the relative content of Al and Ti. Intermetallics 112, 106543 (2019).</v>
          </cell>
          <cell r="F630">
            <v>671</v>
          </cell>
          <cell r="G630">
            <v>43.92</v>
          </cell>
          <cell r="H630">
            <v>30</v>
          </cell>
          <cell r="I630">
            <v>4</v>
          </cell>
          <cell r="J630">
            <v>12</v>
          </cell>
          <cell r="K630">
            <v>2</v>
          </cell>
          <cell r="L630">
            <v>4.9000000000000004</v>
          </cell>
          <cell r="M630">
            <v>1</v>
          </cell>
          <cell r="N630"/>
          <cell r="O630"/>
          <cell r="P630">
            <v>1.5</v>
          </cell>
          <cell r="Q630">
            <v>7.0000000000000007E-2</v>
          </cell>
          <cell r="R630">
            <v>0.01</v>
          </cell>
          <cell r="S630">
            <v>0.09</v>
          </cell>
          <cell r="T630"/>
          <cell r="U630"/>
          <cell r="V630">
            <v>0.41</v>
          </cell>
          <cell r="W630"/>
          <cell r="X630"/>
          <cell r="Y630">
            <v>0.1</v>
          </cell>
          <cell r="Z630"/>
          <cell r="AA630"/>
          <cell r="AB630"/>
          <cell r="AC630"/>
          <cell r="AD630"/>
          <cell r="AE630"/>
          <cell r="AF630">
            <v>8.5059331</v>
          </cell>
          <cell r="AG630">
            <v>8.73</v>
          </cell>
          <cell r="AH630"/>
          <cell r="AI630" t="str">
            <v>Co</v>
          </cell>
          <cell r="AJ630" t="str">
            <v>-4.Al</v>
          </cell>
          <cell r="AK630" t="str">
            <v>-2.W</v>
          </cell>
          <cell r="AL630" t="str">
            <v>-30.Ni</v>
          </cell>
          <cell r="AM630" t="str">
            <v>-12.Cr</v>
          </cell>
          <cell r="AN630" t="str">
            <v>-1.Ta</v>
          </cell>
          <cell r="AO630" t="str">
            <v/>
          </cell>
          <cell r="AP630" t="str">
            <v/>
          </cell>
          <cell r="AQ630" t="str">
            <v>-4.9Ti</v>
          </cell>
          <cell r="AR630" t="str">
            <v>-1.5Mo</v>
          </cell>
          <cell r="AS630" t="str">
            <v>-0.07C</v>
          </cell>
          <cell r="AT630" t="str">
            <v>-0.01Zr</v>
          </cell>
          <cell r="AU630" t="str">
            <v>-0.09B</v>
          </cell>
          <cell r="AV630" t="str">
            <v/>
          </cell>
          <cell r="AW630" t="str">
            <v/>
          </cell>
          <cell r="AX630" t="str">
            <v>-0.4Si</v>
          </cell>
          <cell r="AY630" t="str">
            <v/>
          </cell>
          <cell r="AZ630" t="str">
            <v/>
          </cell>
          <cell r="BA630" t="str">
            <v>-0.1Hf</v>
          </cell>
          <cell r="BB630" t="str">
            <v/>
          </cell>
          <cell r="BC630" t="str">
            <v/>
          </cell>
          <cell r="BD630" t="str">
            <v/>
          </cell>
          <cell r="BE630" t="str">
            <v/>
          </cell>
          <cell r="BF630" t="str">
            <v/>
          </cell>
          <cell r="BG630" t="str">
            <v/>
          </cell>
          <cell r="BH630" t="str">
            <v>4Al-4.9TiZhang, Y. Y. Y. Y., Fu, H., Zhou, X., Zhang, Y. Y. Y. Y. &amp; Xie, J. Enhanced mechanical properties of wrought γ′-strengthened Co-base superalloys by adjusting the relative content of Al and Ti. Intermetallics 112, 106543 (2019).</v>
          </cell>
          <cell r="BI630" t="str">
            <v>Co-30.Ni-4.Al-12.Cr-2.W-4.9Ti-1.Ta-1.5Mo-0.4Si-0.1Hf-0.07C-0.01Zr-0.09B</v>
          </cell>
          <cell r="BJ630" t="str">
            <v>73.9Co-30.0Ni-4.0Al-12.0Cr-2.0W-4.9Ti-1.0Ta-1.5Mo-0.4Si-0.1Hf-0.07C-0.01Zr-0.09B</v>
          </cell>
        </row>
        <row r="631">
          <cell r="A631" t="str">
            <v>Co-30.Ni-5.5Al-12.Cr-2.W-4.2Ti-1.Ta-1.5Mo-0.4Si-0.1Hf-0.07C-0.01Zr-0.09B</v>
          </cell>
          <cell r="B631" t="str">
            <v>Low-W</v>
          </cell>
          <cell r="C631" t="str">
            <v>-30Ni-6Al-12Cr-2W-4Ti-1Ta-2Mo-Si-Hf-C-Zr-B</v>
          </cell>
          <cell r="D631" t="str">
            <v>5.5Al-4.2Ti</v>
          </cell>
          <cell r="E631" t="str">
            <v>Zhang, Y. Y. Y. Y., Fu, H., Zhou, X., Zhang, Y. Y. Y. Y. &amp; Xie, J. Enhanced mechanical properties of wrought γ′-strengthened Co-base superalloys by adjusting the relative content of Al and Ti. Intermetallics 112, 106543 (2019).</v>
          </cell>
          <cell r="F631">
            <v>672</v>
          </cell>
          <cell r="G631">
            <v>43.134999999999998</v>
          </cell>
          <cell r="H631">
            <v>30</v>
          </cell>
          <cell r="I631">
            <v>5.5</v>
          </cell>
          <cell r="J631">
            <v>12</v>
          </cell>
          <cell r="K631">
            <v>2</v>
          </cell>
          <cell r="L631">
            <v>4.2</v>
          </cell>
          <cell r="M631">
            <v>1</v>
          </cell>
          <cell r="N631"/>
          <cell r="O631"/>
          <cell r="P631">
            <v>1.5</v>
          </cell>
          <cell r="Q631">
            <v>7.0999999999999994E-2</v>
          </cell>
          <cell r="R631">
            <v>8.9999999999999993E-3</v>
          </cell>
          <cell r="S631">
            <v>8.5000000000000006E-2</v>
          </cell>
          <cell r="T631"/>
          <cell r="U631"/>
          <cell r="V631">
            <v>0.39</v>
          </cell>
          <cell r="W631"/>
          <cell r="X631"/>
          <cell r="Y631">
            <v>0.11</v>
          </cell>
          <cell r="Z631"/>
          <cell r="AA631"/>
          <cell r="AB631"/>
          <cell r="AC631"/>
          <cell r="AD631"/>
          <cell r="AE631"/>
          <cell r="AF631">
            <v>8.4457185899999985</v>
          </cell>
          <cell r="AG631">
            <v>8.66</v>
          </cell>
          <cell r="AH631"/>
          <cell r="AI631" t="str">
            <v>Co</v>
          </cell>
          <cell r="AJ631" t="str">
            <v>-5.5Al</v>
          </cell>
          <cell r="AK631" t="str">
            <v>-2.W</v>
          </cell>
          <cell r="AL631" t="str">
            <v>-30.Ni</v>
          </cell>
          <cell r="AM631" t="str">
            <v>-12.Cr</v>
          </cell>
          <cell r="AN631" t="str">
            <v>-1.Ta</v>
          </cell>
          <cell r="AO631" t="str">
            <v/>
          </cell>
          <cell r="AP631" t="str">
            <v/>
          </cell>
          <cell r="AQ631" t="str">
            <v>-4.2Ti</v>
          </cell>
          <cell r="AR631" t="str">
            <v>-1.5Mo</v>
          </cell>
          <cell r="AS631" t="str">
            <v>-0.07C</v>
          </cell>
          <cell r="AT631" t="str">
            <v>-0.01Zr</v>
          </cell>
          <cell r="AU631" t="str">
            <v>-0.09B</v>
          </cell>
          <cell r="AV631" t="str">
            <v/>
          </cell>
          <cell r="AW631" t="str">
            <v/>
          </cell>
          <cell r="AX631" t="str">
            <v>-0.4Si</v>
          </cell>
          <cell r="AY631" t="str">
            <v/>
          </cell>
          <cell r="AZ631" t="str">
            <v/>
          </cell>
          <cell r="BA631" t="str">
            <v>-0.1Hf</v>
          </cell>
          <cell r="BB631" t="str">
            <v/>
          </cell>
          <cell r="BC631" t="str">
            <v/>
          </cell>
          <cell r="BD631" t="str">
            <v/>
          </cell>
          <cell r="BE631" t="str">
            <v/>
          </cell>
          <cell r="BF631" t="str">
            <v/>
          </cell>
          <cell r="BG631" t="str">
            <v/>
          </cell>
          <cell r="BH631" t="str">
            <v>5.5Al-4.2TiZhang, Y. Y. Y. Y., Fu, H., Zhou, X., Zhang, Y. Y. Y. Y. &amp; Xie, J. Enhanced mechanical properties of wrought γ′-strengthened Co-base superalloys by adjusting the relative content of Al and Ti. Intermetallics 112, 106543 (2019).</v>
          </cell>
          <cell r="BI631" t="str">
            <v>Co-30.Ni-5.5Al-12.Cr-2.W-4.2Ti-1.Ta-1.5Mo-0.4Si-0.1Hf-0.07C-0.01Zr-0.09B</v>
          </cell>
          <cell r="BJ631" t="str">
            <v>73.1Co-30.0Ni-5.5Al-12.0Cr-2.0W-4.2Ti-1.0Ta-1.5Mo-0.4Si-0.1Hf-0.07C-0.01Zr-0.09B</v>
          </cell>
        </row>
        <row r="632">
          <cell r="A632" t="str">
            <v>Co-30.Ni-6.Al-12.Cr-2.W-3.5Ti-1.Ta-1.5Mo-0.4Si-0.1Hf-0.09C-0.01Zr-0.08B</v>
          </cell>
          <cell r="B632" t="str">
            <v>Low-W</v>
          </cell>
          <cell r="C632" t="str">
            <v>-30Ni-6Al-12Cr-2W-4Ti-1Ta-2Mo-Si-Hf-C-Zr-B</v>
          </cell>
          <cell r="D632" t="str">
            <v>6Al-3.5Ti</v>
          </cell>
          <cell r="E632" t="str">
            <v>Zhang, Y. Y. Y. Y., Fu, H., Zhou, X., Zhang, Y. Y. Y. Y. &amp; Xie, J. Enhanced mechanical properties of wrought γ′-strengthened Co-base superalloys by adjusting the relative content of Al and Ti. Intermetallics 112, 106543 (2019).</v>
          </cell>
          <cell r="F632">
            <v>673</v>
          </cell>
          <cell r="G632">
            <v>43.321999999999996</v>
          </cell>
          <cell r="H632">
            <v>30</v>
          </cell>
          <cell r="I632">
            <v>6</v>
          </cell>
          <cell r="J632">
            <v>12</v>
          </cell>
          <cell r="K632">
            <v>2</v>
          </cell>
          <cell r="L632">
            <v>3.5</v>
          </cell>
          <cell r="M632">
            <v>1</v>
          </cell>
          <cell r="N632"/>
          <cell r="O632"/>
          <cell r="P632">
            <v>1.5</v>
          </cell>
          <cell r="Q632">
            <v>8.5000000000000006E-2</v>
          </cell>
          <cell r="R632">
            <v>8.9999999999999993E-3</v>
          </cell>
          <cell r="S632">
            <v>8.4000000000000005E-2</v>
          </cell>
          <cell r="T632"/>
          <cell r="U632"/>
          <cell r="V632">
            <v>0.39</v>
          </cell>
          <cell r="W632"/>
          <cell r="X632"/>
          <cell r="Y632">
            <v>0.11</v>
          </cell>
          <cell r="Z632"/>
          <cell r="AA632"/>
          <cell r="AB632"/>
          <cell r="AC632"/>
          <cell r="AD632"/>
          <cell r="AE632"/>
          <cell r="AF632">
            <v>8.4446043899999967</v>
          </cell>
          <cell r="AG632">
            <v>8.65</v>
          </cell>
          <cell r="AH632"/>
          <cell r="AI632" t="str">
            <v>Co</v>
          </cell>
          <cell r="AJ632" t="str">
            <v>-6.Al</v>
          </cell>
          <cell r="AK632" t="str">
            <v>-2.W</v>
          </cell>
          <cell r="AL632" t="str">
            <v>-30.Ni</v>
          </cell>
          <cell r="AM632" t="str">
            <v>-12.Cr</v>
          </cell>
          <cell r="AN632" t="str">
            <v>-1.Ta</v>
          </cell>
          <cell r="AO632" t="str">
            <v/>
          </cell>
          <cell r="AP632" t="str">
            <v/>
          </cell>
          <cell r="AQ632" t="str">
            <v>-3.5Ti</v>
          </cell>
          <cell r="AR632" t="str">
            <v>-1.5Mo</v>
          </cell>
          <cell r="AS632" t="str">
            <v>-0.09C</v>
          </cell>
          <cell r="AT632" t="str">
            <v>-0.01Zr</v>
          </cell>
          <cell r="AU632" t="str">
            <v>-0.08B</v>
          </cell>
          <cell r="AV632" t="str">
            <v/>
          </cell>
          <cell r="AW632" t="str">
            <v/>
          </cell>
          <cell r="AX632" t="str">
            <v>-0.4Si</v>
          </cell>
          <cell r="AY632" t="str">
            <v/>
          </cell>
          <cell r="AZ632" t="str">
            <v/>
          </cell>
          <cell r="BA632" t="str">
            <v>-0.1Hf</v>
          </cell>
          <cell r="BB632" t="str">
            <v/>
          </cell>
          <cell r="BC632" t="str">
            <v/>
          </cell>
          <cell r="BD632" t="str">
            <v/>
          </cell>
          <cell r="BE632" t="str">
            <v/>
          </cell>
          <cell r="BF632" t="str">
            <v/>
          </cell>
          <cell r="BG632" t="str">
            <v/>
          </cell>
          <cell r="BH632" t="str">
            <v>6Al-3.5TiZhang, Y. Y. Y. Y., Fu, H., Zhou, X., Zhang, Y. Y. Y. Y. &amp; Xie, J. Enhanced mechanical properties of wrought γ′-strengthened Co-base superalloys by adjusting the relative content of Al and Ti. Intermetallics 112, 106543 (2019).</v>
          </cell>
          <cell r="BI632" t="str">
            <v>Co-30.Ni-6.Al-12.Cr-2.W-3.5Ti-1.Ta-1.5Mo-0.4Si-0.1Hf-0.09C-0.01Zr-0.08B</v>
          </cell>
          <cell r="BJ632" t="str">
            <v>73.3Co-30.0Ni-6.0Al-12.0Cr-2.0W-3.5Ti-1.0Ta-1.5Mo-0.4Si-0.1Hf-0.09C-0.01Zr-0.08B</v>
          </cell>
        </row>
        <row r="633">
          <cell r="A633" t="str">
            <v>Co-30.Ni-7.Al-12.Cr-2.W-3.5Ti-1.Ta-1.5Mo-0.4Si-0.1Hf-0.08C-0.01Zr-0.09B</v>
          </cell>
          <cell r="B633" t="str">
            <v>Low-W</v>
          </cell>
          <cell r="C633" t="str">
            <v>-30Ni-7Al-12Cr-2W-4Ti-1Ta-2Mo-Si-Hf-C-Zr-B</v>
          </cell>
          <cell r="D633" t="str">
            <v>7Al-3.5Ti</v>
          </cell>
          <cell r="E633" t="str">
            <v>Zhang, Y. Y. Y. Y., Fu, H., Zhou, X., Zhang, Y. Y. Y. Y. &amp; Xie, J. Enhanced mechanical properties of wrought γ′-strengthened Co-base superalloys by adjusting the relative content of Al and Ti. Intermetallics 112, 106543 (2019).</v>
          </cell>
          <cell r="F633">
            <v>674</v>
          </cell>
          <cell r="G633">
            <v>42.326000000000001</v>
          </cell>
          <cell r="H633">
            <v>30</v>
          </cell>
          <cell r="I633">
            <v>7</v>
          </cell>
          <cell r="J633">
            <v>12</v>
          </cell>
          <cell r="K633">
            <v>2</v>
          </cell>
          <cell r="L633">
            <v>3.5</v>
          </cell>
          <cell r="M633">
            <v>1</v>
          </cell>
          <cell r="N633"/>
          <cell r="O633"/>
          <cell r="P633">
            <v>1.5</v>
          </cell>
          <cell r="Q633">
            <v>0.08</v>
          </cell>
          <cell r="R633">
            <v>8.9999999999999993E-3</v>
          </cell>
          <cell r="S633">
            <v>8.5000000000000006E-2</v>
          </cell>
          <cell r="T633"/>
          <cell r="U633"/>
          <cell r="V633">
            <v>0.39</v>
          </cell>
          <cell r="W633"/>
          <cell r="X633"/>
          <cell r="Y633">
            <v>0.11</v>
          </cell>
          <cell r="Z633"/>
          <cell r="AA633"/>
          <cell r="AB633"/>
          <cell r="AC633"/>
          <cell r="AD633"/>
          <cell r="AE633"/>
          <cell r="AF633">
            <v>8.3828719899999982</v>
          </cell>
          <cell r="AG633">
            <v>8.58</v>
          </cell>
          <cell r="AH633"/>
          <cell r="AI633" t="str">
            <v>Co</v>
          </cell>
          <cell r="AJ633" t="str">
            <v>-7.Al</v>
          </cell>
          <cell r="AK633" t="str">
            <v>-2.W</v>
          </cell>
          <cell r="AL633" t="str">
            <v>-30.Ni</v>
          </cell>
          <cell r="AM633" t="str">
            <v>-12.Cr</v>
          </cell>
          <cell r="AN633" t="str">
            <v>-1.Ta</v>
          </cell>
          <cell r="AO633" t="str">
            <v/>
          </cell>
          <cell r="AP633" t="str">
            <v/>
          </cell>
          <cell r="AQ633" t="str">
            <v>-3.5Ti</v>
          </cell>
          <cell r="AR633" t="str">
            <v>-1.5Mo</v>
          </cell>
          <cell r="AS633" t="str">
            <v>-0.08C</v>
          </cell>
          <cell r="AT633" t="str">
            <v>-0.01Zr</v>
          </cell>
          <cell r="AU633" t="str">
            <v>-0.09B</v>
          </cell>
          <cell r="AV633" t="str">
            <v/>
          </cell>
          <cell r="AW633" t="str">
            <v/>
          </cell>
          <cell r="AX633" t="str">
            <v>-0.4Si</v>
          </cell>
          <cell r="AY633" t="str">
            <v/>
          </cell>
          <cell r="AZ633" t="str">
            <v/>
          </cell>
          <cell r="BA633" t="str">
            <v>-0.1Hf</v>
          </cell>
          <cell r="BB633" t="str">
            <v/>
          </cell>
          <cell r="BC633" t="str">
            <v/>
          </cell>
          <cell r="BD633" t="str">
            <v/>
          </cell>
          <cell r="BE633" t="str">
            <v/>
          </cell>
          <cell r="BF633" t="str">
            <v/>
          </cell>
          <cell r="BG633" t="str">
            <v/>
          </cell>
          <cell r="BH633" t="str">
            <v>7Al-3.5TiZhang, Y. Y. Y. Y., Fu, H., Zhou, X., Zhang, Y. Y. Y. Y. &amp; Xie, J. Enhanced mechanical properties of wrought γ′-strengthened Co-base superalloys by adjusting the relative content of Al and Ti. Intermetallics 112, 106543 (2019).</v>
          </cell>
          <cell r="BI633" t="str">
            <v>Co-30.Ni-7.Al-12.Cr-2.W-3.5Ti-1.Ta-1.5Mo-0.4Si-0.1Hf-0.08C-0.01Zr-0.09B</v>
          </cell>
          <cell r="BJ633" t="str">
            <v>72.3Co-30.0Ni-7.0Al-12.0Cr-2.0W-3.5Ti-1.0Ta-1.5Mo-0.4Si-0.1Hf-0.08C-0.01Zr-0.09B</v>
          </cell>
        </row>
        <row r="634">
          <cell r="A634" t="str">
            <v>Co-6.Al-3.W</v>
          </cell>
          <cell r="B634" t="str">
            <v>CoAlW-X</v>
          </cell>
          <cell r="C634" t="str">
            <v>-6Al-3W</v>
          </cell>
          <cell r="D634" t="str">
            <v>6Al3W</v>
          </cell>
          <cell r="E634" t="str">
            <v>Zhang, Y. Y. Y., Fu, H., Zhou, X., Zhang, Y. Y. Y. &amp; Xie, J. Effects of aluminum and molybdenum content on the microstructure and properties of multi-component γ′-strengthened cobalt-base superalloys. Mater. Sci. Eng. A 737, 265–273 (2018).</v>
          </cell>
          <cell r="F634">
            <v>675</v>
          </cell>
          <cell r="G634">
            <v>91</v>
          </cell>
          <cell r="H634"/>
          <cell r="I634">
            <v>6</v>
          </cell>
          <cell r="J634"/>
          <cell r="K634">
            <v>3</v>
          </cell>
          <cell r="L634"/>
          <cell r="M634"/>
          <cell r="N634"/>
          <cell r="O634"/>
          <cell r="P634"/>
          <cell r="Q634"/>
          <cell r="R634"/>
          <cell r="S634"/>
          <cell r="T634"/>
          <cell r="U634"/>
          <cell r="V634"/>
          <cell r="W634"/>
          <cell r="X634"/>
          <cell r="Y634"/>
          <cell r="Z634"/>
          <cell r="AA634"/>
          <cell r="AB634"/>
          <cell r="AC634"/>
          <cell r="AD634"/>
          <cell r="AE634"/>
          <cell r="AF634">
            <v>8.8384999999999998</v>
          </cell>
          <cell r="AG634">
            <v>8.81</v>
          </cell>
          <cell r="AH634"/>
          <cell r="AI634" t="str">
            <v>Co</v>
          </cell>
          <cell r="AJ634" t="str">
            <v>-6.Al</v>
          </cell>
          <cell r="AK634" t="str">
            <v>-3.W</v>
          </cell>
          <cell r="AL634" t="str">
            <v/>
          </cell>
          <cell r="AM634" t="str">
            <v/>
          </cell>
          <cell r="AN634" t="str">
            <v/>
          </cell>
          <cell r="AO634" t="str">
            <v/>
          </cell>
          <cell r="AP634" t="str">
            <v/>
          </cell>
          <cell r="AQ634" t="str">
            <v/>
          </cell>
          <cell r="AR634" t="str">
            <v/>
          </cell>
          <cell r="AS634" t="str">
            <v/>
          </cell>
          <cell r="AT634" t="str">
            <v/>
          </cell>
          <cell r="AU634" t="str">
            <v/>
          </cell>
          <cell r="AV634" t="str">
            <v/>
          </cell>
          <cell r="AW634" t="str">
            <v/>
          </cell>
          <cell r="AX634" t="str">
            <v/>
          </cell>
          <cell r="AY634" t="str">
            <v/>
          </cell>
          <cell r="AZ634" t="str">
            <v/>
          </cell>
          <cell r="BA634" t="str">
            <v/>
          </cell>
          <cell r="BB634" t="str">
            <v/>
          </cell>
          <cell r="BC634" t="str">
            <v/>
          </cell>
          <cell r="BD634" t="str">
            <v/>
          </cell>
          <cell r="BE634" t="str">
            <v/>
          </cell>
          <cell r="BF634" t="str">
            <v/>
          </cell>
          <cell r="BG634" t="str">
            <v/>
          </cell>
          <cell r="BH634" t="str">
            <v>6Al3WZhang, Y. Y. Y., Fu, H., Zhou, X., Zhang, Y. Y. Y. &amp; Xie, J. Effects of aluminum and molybdenum content on the microstructure and properties of multi-component γ′-strengthened cobalt-base superalloys. Mater. Sci. Eng. A 737, 265–273 (2018).</v>
          </cell>
          <cell r="BI634" t="str">
            <v>Co-6.Al-3.W</v>
          </cell>
          <cell r="BJ634" t="str">
            <v>91.0Co-6.0Al-3.0W</v>
          </cell>
        </row>
        <row r="635">
          <cell r="A635" t="str">
            <v>Co-6.Al-2.W-1.Mo</v>
          </cell>
          <cell r="B635" t="str">
            <v>Low-W</v>
          </cell>
          <cell r="C635" t="str">
            <v>-6Al-2W-1Mo</v>
          </cell>
          <cell r="D635" t="str">
            <v>6Al2W1Mo</v>
          </cell>
          <cell r="E635" t="str">
            <v>Zhang, Y. Y. Y., Fu, H., Zhou, X., Zhang, Y. Y. Y. &amp; Xie, J. Effects of aluminum and molybdenum content on the microstructure and properties of multi-component γ′-strengthened cobalt-base superalloys. Mater. Sci. Eng. A 737, 265–273 (2018).</v>
          </cell>
          <cell r="F635">
            <v>676</v>
          </cell>
          <cell r="G635">
            <v>91</v>
          </cell>
          <cell r="H635"/>
          <cell r="I635">
            <v>6</v>
          </cell>
          <cell r="J635"/>
          <cell r="K635">
            <v>2</v>
          </cell>
          <cell r="L635"/>
          <cell r="M635"/>
          <cell r="N635"/>
          <cell r="O635"/>
          <cell r="P635">
            <v>1</v>
          </cell>
          <cell r="Q635"/>
          <cell r="R635"/>
          <cell r="S635"/>
          <cell r="T635"/>
          <cell r="U635"/>
          <cell r="V635"/>
          <cell r="W635"/>
          <cell r="X635"/>
          <cell r="Y635"/>
          <cell r="Z635"/>
          <cell r="AA635"/>
          <cell r="AB635"/>
          <cell r="AC635"/>
          <cell r="AD635"/>
          <cell r="AE635"/>
          <cell r="AF635">
            <v>8.7487999999999992</v>
          </cell>
          <cell r="AG635">
            <v>8.69</v>
          </cell>
          <cell r="AH635"/>
          <cell r="AI635" t="str">
            <v>Co</v>
          </cell>
          <cell r="AJ635" t="str">
            <v>-6.Al</v>
          </cell>
          <cell r="AK635" t="str">
            <v>-2.W</v>
          </cell>
          <cell r="AL635" t="str">
            <v/>
          </cell>
          <cell r="AM635" t="str">
            <v/>
          </cell>
          <cell r="AN635" t="str">
            <v/>
          </cell>
          <cell r="AO635" t="str">
            <v/>
          </cell>
          <cell r="AP635" t="str">
            <v/>
          </cell>
          <cell r="AQ635" t="str">
            <v/>
          </cell>
          <cell r="AR635" t="str">
            <v>-1.Mo</v>
          </cell>
          <cell r="AS635" t="str">
            <v/>
          </cell>
          <cell r="AT635" t="str">
            <v/>
          </cell>
          <cell r="AU635" t="str">
            <v/>
          </cell>
          <cell r="AV635" t="str">
            <v/>
          </cell>
          <cell r="AW635" t="str">
            <v/>
          </cell>
          <cell r="AX635" t="str">
            <v/>
          </cell>
          <cell r="AY635" t="str">
            <v/>
          </cell>
          <cell r="AZ635" t="str">
            <v/>
          </cell>
          <cell r="BA635" t="str">
            <v/>
          </cell>
          <cell r="BB635" t="str">
            <v/>
          </cell>
          <cell r="BC635" t="str">
            <v/>
          </cell>
          <cell r="BD635" t="str">
            <v/>
          </cell>
          <cell r="BE635" t="str">
            <v/>
          </cell>
          <cell r="BF635" t="str">
            <v/>
          </cell>
          <cell r="BG635" t="str">
            <v/>
          </cell>
          <cell r="BH635" t="str">
            <v>6Al2W1MoZhang, Y. Y. Y., Fu, H., Zhou, X., Zhang, Y. Y. Y. &amp; Xie, J. Effects of aluminum and molybdenum content on the microstructure and properties of multi-component γ′-strengthened cobalt-base superalloys. Mater. Sci. Eng. A 737, 265–273 (2018).</v>
          </cell>
          <cell r="BI635" t="str">
            <v>Co-6.Al-2.W-1.Mo</v>
          </cell>
          <cell r="BJ635" t="str">
            <v>91.0Co-6.0Al-2.0W-1.0Mo</v>
          </cell>
        </row>
        <row r="636">
          <cell r="A636" t="str">
            <v>Co-8.Al-3.W</v>
          </cell>
          <cell r="B636" t="str">
            <v>CoAlW-X</v>
          </cell>
          <cell r="C636" t="str">
            <v>-8Al-3W</v>
          </cell>
          <cell r="D636" t="str">
            <v>8Al3W</v>
          </cell>
          <cell r="E636" t="str">
            <v>Zhang, Y. Y. Y., Fu, H., Zhou, X., Zhang, Y. Y. Y. &amp; Xie, J. Effects of aluminum and molybdenum content on the microstructure and properties of multi-component γ′-strengthened cobalt-base superalloys. Mater. Sci. Eng. A 737, 265–273 (2018).</v>
          </cell>
          <cell r="F636">
            <v>677</v>
          </cell>
          <cell r="G636">
            <v>89</v>
          </cell>
          <cell r="H636"/>
          <cell r="I636">
            <v>8</v>
          </cell>
          <cell r="J636"/>
          <cell r="K636">
            <v>3</v>
          </cell>
          <cell r="L636"/>
          <cell r="M636"/>
          <cell r="N636"/>
          <cell r="O636"/>
          <cell r="P636"/>
          <cell r="Q636"/>
          <cell r="R636"/>
          <cell r="S636"/>
          <cell r="T636"/>
          <cell r="U636"/>
          <cell r="V636"/>
          <cell r="W636"/>
          <cell r="X636"/>
          <cell r="Y636"/>
          <cell r="Z636"/>
          <cell r="AA636"/>
          <cell r="AB636"/>
          <cell r="AC636"/>
          <cell r="AD636"/>
          <cell r="AE636"/>
          <cell r="AF636">
            <v>8.714500000000001</v>
          </cell>
          <cell r="AG636">
            <v>8.7200000000000006</v>
          </cell>
          <cell r="AH636"/>
          <cell r="AI636" t="str">
            <v>Co</v>
          </cell>
          <cell r="AJ636" t="str">
            <v>-8.Al</v>
          </cell>
          <cell r="AK636" t="str">
            <v>-3.W</v>
          </cell>
          <cell r="AL636" t="str">
            <v/>
          </cell>
          <cell r="AM636" t="str">
            <v/>
          </cell>
          <cell r="AN636" t="str">
            <v/>
          </cell>
          <cell r="AO636" t="str">
            <v/>
          </cell>
          <cell r="AP636" t="str">
            <v/>
          </cell>
          <cell r="AQ636" t="str">
            <v/>
          </cell>
          <cell r="AR636" t="str">
            <v/>
          </cell>
          <cell r="AS636" t="str">
            <v/>
          </cell>
          <cell r="AT636" t="str">
            <v/>
          </cell>
          <cell r="AU636" t="str">
            <v/>
          </cell>
          <cell r="AV636" t="str">
            <v/>
          </cell>
          <cell r="AW636" t="str">
            <v/>
          </cell>
          <cell r="AX636" t="str">
            <v/>
          </cell>
          <cell r="AY636" t="str">
            <v/>
          </cell>
          <cell r="AZ636" t="str">
            <v/>
          </cell>
          <cell r="BA636" t="str">
            <v/>
          </cell>
          <cell r="BB636" t="str">
            <v/>
          </cell>
          <cell r="BC636" t="str">
            <v/>
          </cell>
          <cell r="BD636" t="str">
            <v/>
          </cell>
          <cell r="BE636" t="str">
            <v/>
          </cell>
          <cell r="BF636" t="str">
            <v/>
          </cell>
          <cell r="BG636" t="str">
            <v/>
          </cell>
          <cell r="BH636" t="str">
            <v>8Al3WZhang, Y. Y. Y., Fu, H., Zhou, X., Zhang, Y. Y. Y. &amp; Xie, J. Effects of aluminum and molybdenum content on the microstructure and properties of multi-component γ′-strengthened cobalt-base superalloys. Mater. Sci. Eng. A 737, 265–273 (2018).</v>
          </cell>
          <cell r="BI636" t="str">
            <v>Co-8.Al-3.W</v>
          </cell>
          <cell r="BJ636" t="str">
            <v>89.0Co-8.0Al-3.0W</v>
          </cell>
        </row>
        <row r="637">
          <cell r="A637" t="str">
            <v>Co-8.Al-2.W-1.Mo</v>
          </cell>
          <cell r="B637" t="str">
            <v>Low-W</v>
          </cell>
          <cell r="C637" t="str">
            <v>-8Al-2W-1Mo</v>
          </cell>
          <cell r="D637" t="str">
            <v>8Al2W1Mo</v>
          </cell>
          <cell r="E637" t="str">
            <v>Zhang, Y. Y. Y., Fu, H., Zhou, X., Zhang, Y. Y. Y. &amp; Xie, J. Effects of aluminum and molybdenum content on the microstructure and properties of multi-component γ′-strengthened cobalt-base superalloys. Mater. Sci. Eng. A 737, 265–273 (2018).</v>
          </cell>
          <cell r="F637">
            <v>678</v>
          </cell>
          <cell r="G637">
            <v>89</v>
          </cell>
          <cell r="H637"/>
          <cell r="I637">
            <v>8</v>
          </cell>
          <cell r="J637"/>
          <cell r="K637">
            <v>2</v>
          </cell>
          <cell r="L637"/>
          <cell r="M637"/>
          <cell r="N637"/>
          <cell r="O637"/>
          <cell r="P637">
            <v>1</v>
          </cell>
          <cell r="Q637"/>
          <cell r="R637"/>
          <cell r="S637"/>
          <cell r="T637"/>
          <cell r="U637"/>
          <cell r="V637"/>
          <cell r="W637"/>
          <cell r="X637"/>
          <cell r="Y637"/>
          <cell r="Z637"/>
          <cell r="AA637"/>
          <cell r="AB637"/>
          <cell r="AC637"/>
          <cell r="AD637"/>
          <cell r="AE637"/>
          <cell r="AF637">
            <v>8.6248000000000005</v>
          </cell>
          <cell r="AG637">
            <v>8.5500000000000007</v>
          </cell>
          <cell r="AH637"/>
          <cell r="AI637" t="str">
            <v>Co</v>
          </cell>
          <cell r="AJ637" t="str">
            <v>-8.Al</v>
          </cell>
          <cell r="AK637" t="str">
            <v>-2.W</v>
          </cell>
          <cell r="AL637" t="str">
            <v/>
          </cell>
          <cell r="AM637" t="str">
            <v/>
          </cell>
          <cell r="AN637" t="str">
            <v/>
          </cell>
          <cell r="AO637" t="str">
            <v/>
          </cell>
          <cell r="AP637" t="str">
            <v/>
          </cell>
          <cell r="AQ637" t="str">
            <v/>
          </cell>
          <cell r="AR637" t="str">
            <v>-1.Mo</v>
          </cell>
          <cell r="AS637" t="str">
            <v/>
          </cell>
          <cell r="AT637" t="str">
            <v/>
          </cell>
          <cell r="AU637" t="str">
            <v/>
          </cell>
          <cell r="AV637" t="str">
            <v/>
          </cell>
          <cell r="AW637" t="str">
            <v/>
          </cell>
          <cell r="AX637" t="str">
            <v/>
          </cell>
          <cell r="AY637" t="str">
            <v/>
          </cell>
          <cell r="AZ637" t="str">
            <v/>
          </cell>
          <cell r="BA637" t="str">
            <v/>
          </cell>
          <cell r="BB637" t="str">
            <v/>
          </cell>
          <cell r="BC637" t="str">
            <v/>
          </cell>
          <cell r="BD637" t="str">
            <v/>
          </cell>
          <cell r="BE637" t="str">
            <v/>
          </cell>
          <cell r="BF637" t="str">
            <v/>
          </cell>
          <cell r="BG637" t="str">
            <v/>
          </cell>
          <cell r="BH637" t="str">
            <v>8Al2W1MoZhang, Y. Y. Y., Fu, H., Zhou, X., Zhang, Y. Y. Y. &amp; Xie, J. Effects of aluminum and molybdenum content on the microstructure and properties of multi-component γ′-strengthened cobalt-base superalloys. Mater. Sci. Eng. A 737, 265–273 (2018).</v>
          </cell>
          <cell r="BI637" t="str">
            <v>Co-8.Al-2.W-1.Mo</v>
          </cell>
          <cell r="BJ637" t="str">
            <v>89.0Co-8.0Al-2.0W-1.0Mo</v>
          </cell>
        </row>
        <row r="638">
          <cell r="A638" t="str">
            <v>Co-8.Al-1.W-2.Mo</v>
          </cell>
          <cell r="B638" t="str">
            <v>Low-W</v>
          </cell>
          <cell r="C638" t="str">
            <v>-8Al-1W-2Mo</v>
          </cell>
          <cell r="D638" t="str">
            <v>8Al1W2Mo</v>
          </cell>
          <cell r="E638" t="str">
            <v>Zhang, Y. Y. Y., Fu, H., Zhou, X., Zhang, Y. Y. Y. &amp; Xie, J. Effects of aluminum and molybdenum content on the microstructure and properties of multi-component γ′-strengthened cobalt-base superalloys. Mater. Sci. Eng. A 737, 265–273 (2018).</v>
          </cell>
          <cell r="F638">
            <v>679</v>
          </cell>
          <cell r="G638">
            <v>89</v>
          </cell>
          <cell r="H638"/>
          <cell r="I638">
            <v>8</v>
          </cell>
          <cell r="J638"/>
          <cell r="K638">
            <v>1</v>
          </cell>
          <cell r="L638"/>
          <cell r="M638"/>
          <cell r="N638"/>
          <cell r="O638"/>
          <cell r="P638">
            <v>2</v>
          </cell>
          <cell r="Q638"/>
          <cell r="R638"/>
          <cell r="S638"/>
          <cell r="T638"/>
          <cell r="U638"/>
          <cell r="V638"/>
          <cell r="W638"/>
          <cell r="X638"/>
          <cell r="Y638"/>
          <cell r="Z638"/>
          <cell r="AA638"/>
          <cell r="AB638"/>
          <cell r="AC638"/>
          <cell r="AD638"/>
          <cell r="AE638"/>
          <cell r="AF638">
            <v>8.5350999999999999</v>
          </cell>
          <cell r="AG638">
            <v>8.43</v>
          </cell>
          <cell r="AH638"/>
          <cell r="AI638" t="str">
            <v>Co</v>
          </cell>
          <cell r="AJ638" t="str">
            <v>-8.Al</v>
          </cell>
          <cell r="AK638" t="str">
            <v>-1.W</v>
          </cell>
          <cell r="AL638" t="str">
            <v/>
          </cell>
          <cell r="AM638" t="str">
            <v/>
          </cell>
          <cell r="AN638" t="str">
            <v/>
          </cell>
          <cell r="AO638" t="str">
            <v/>
          </cell>
          <cell r="AP638" t="str">
            <v/>
          </cell>
          <cell r="AQ638" t="str">
            <v/>
          </cell>
          <cell r="AR638" t="str">
            <v>-2.Mo</v>
          </cell>
          <cell r="AS638" t="str">
            <v/>
          </cell>
          <cell r="AT638" t="str">
            <v/>
          </cell>
          <cell r="AU638" t="str">
            <v/>
          </cell>
          <cell r="AV638" t="str">
            <v/>
          </cell>
          <cell r="AW638" t="str">
            <v/>
          </cell>
          <cell r="AX638" t="str">
            <v/>
          </cell>
          <cell r="AY638" t="str">
            <v/>
          </cell>
          <cell r="AZ638" t="str">
            <v/>
          </cell>
          <cell r="BA638" t="str">
            <v/>
          </cell>
          <cell r="BB638" t="str">
            <v/>
          </cell>
          <cell r="BC638" t="str">
            <v/>
          </cell>
          <cell r="BD638" t="str">
            <v/>
          </cell>
          <cell r="BE638" t="str">
            <v/>
          </cell>
          <cell r="BF638" t="str">
            <v/>
          </cell>
          <cell r="BG638" t="str">
            <v/>
          </cell>
          <cell r="BH638" t="str">
            <v>8Al1W2MoZhang, Y. Y. Y., Fu, H., Zhou, X., Zhang, Y. Y. Y. &amp; Xie, J. Effects of aluminum and molybdenum content on the microstructure and properties of multi-component γ′-strengthened cobalt-base superalloys. Mater. Sci. Eng. A 737, 265–273 (2018).</v>
          </cell>
          <cell r="BI638" t="str">
            <v>Co-8.Al-1.W-2.Mo</v>
          </cell>
          <cell r="BJ638" t="str">
            <v>89.0Co-8.0Al-1.0W-2.0Mo</v>
          </cell>
        </row>
        <row r="639">
          <cell r="A639" t="str">
            <v>Co-9.Al-9.W-2.Ta-0.02B</v>
          </cell>
          <cell r="B639" t="str">
            <v>CoAlW-X</v>
          </cell>
          <cell r="C639" t="str">
            <v>-9Al-9W-2Ta-B</v>
          </cell>
          <cell r="D639" t="str">
            <v>Co–9Al–9W–2Ta–0.02B</v>
          </cell>
          <cell r="E639" t="str">
            <v>Zhong, F., Li, S. &amp; Sha, J. Tensile behaviour of Co-Al-W-Ta-B-Mo alloys with a coherent γ/γ’ microstructure at room and high temperatures. Mater. Sci. Eng. A 637, 175–182 (2015).</v>
          </cell>
          <cell r="F639">
            <v>680</v>
          </cell>
          <cell r="G639">
            <v>79.98</v>
          </cell>
          <cell r="H639"/>
          <cell r="I639">
            <v>9</v>
          </cell>
          <cell r="J639"/>
          <cell r="K639">
            <v>9</v>
          </cell>
          <cell r="L639"/>
          <cell r="M639">
            <v>2</v>
          </cell>
          <cell r="N639"/>
          <cell r="O639"/>
          <cell r="P639"/>
          <cell r="Q639"/>
          <cell r="R639"/>
          <cell r="S639">
            <v>0.02</v>
          </cell>
          <cell r="T639"/>
          <cell r="U639"/>
          <cell r="V639"/>
          <cell r="W639"/>
          <cell r="X639"/>
          <cell r="Y639"/>
          <cell r="Z639"/>
          <cell r="AA639"/>
          <cell r="AB639"/>
          <cell r="AC639"/>
          <cell r="AD639"/>
          <cell r="AE639"/>
          <cell r="AF639">
            <v>9.4272120000000008</v>
          </cell>
          <cell r="AG639"/>
          <cell r="AH639"/>
          <cell r="AI639" t="str">
            <v>Co</v>
          </cell>
          <cell r="AJ639" t="str">
            <v>-9.Al</v>
          </cell>
          <cell r="AK639" t="str">
            <v>-9.W</v>
          </cell>
          <cell r="AL639" t="str">
            <v/>
          </cell>
          <cell r="AM639" t="str">
            <v/>
          </cell>
          <cell r="AN639" t="str">
            <v>-2.Ta</v>
          </cell>
          <cell r="AO639" t="str">
            <v/>
          </cell>
          <cell r="AP639" t="str">
            <v/>
          </cell>
          <cell r="AQ639" t="str">
            <v/>
          </cell>
          <cell r="AR639" t="str">
            <v/>
          </cell>
          <cell r="AS639" t="str">
            <v/>
          </cell>
          <cell r="AT639" t="str">
            <v/>
          </cell>
          <cell r="AU639" t="str">
            <v>-0.02B</v>
          </cell>
          <cell r="AV639" t="str">
            <v/>
          </cell>
          <cell r="AW639" t="str">
            <v/>
          </cell>
          <cell r="AX639" t="str">
            <v/>
          </cell>
          <cell r="AY639" t="str">
            <v/>
          </cell>
          <cell r="AZ639" t="str">
            <v/>
          </cell>
          <cell r="BA639" t="str">
            <v/>
          </cell>
          <cell r="BB639" t="str">
            <v/>
          </cell>
          <cell r="BC639" t="str">
            <v/>
          </cell>
          <cell r="BD639" t="str">
            <v/>
          </cell>
          <cell r="BE639" t="str">
            <v/>
          </cell>
          <cell r="BF639" t="str">
            <v/>
          </cell>
          <cell r="BG639" t="str">
            <v/>
          </cell>
          <cell r="BH639" t="str">
            <v>Co–9Al–9W–2Ta–0.02BZhong, F., Li, S. &amp; Sha, J. Tensile behaviour of Co-Al-W-Ta-B-Mo alloys with a coherent γ/γ’ microstructure at room and high temperatures. Mater. Sci. Eng. A 637, 175–182 (2015).</v>
          </cell>
          <cell r="BI639" t="str">
            <v>Co-9.Al-9.W-2.Ta-0.02B</v>
          </cell>
          <cell r="BJ639" t="str">
            <v>80.0Co-9.0Al-9.0W-2.0Ta-0.02B</v>
          </cell>
        </row>
        <row r="640">
          <cell r="A640" t="str">
            <v>Co-9.Al-7.W-2.Ta-2.Mo-0.02B</v>
          </cell>
          <cell r="B640" t="str">
            <v>CoAlWX+</v>
          </cell>
          <cell r="C640" t="str">
            <v>-9Al-7W-2Ta-2Mo-B</v>
          </cell>
          <cell r="D640" t="str">
            <v>Co–9Al–7W–2Ta–0.02B–2Mo</v>
          </cell>
          <cell r="E640" t="str">
            <v>Zhong, F., Li, S. &amp; Sha, J. Tensile behaviour of Co-Al-W-Ta-B-Mo alloys with a coherent γ/γ’ microstructure at room and high temperatures. Mater. Sci. Eng. A 637, 175–182 (2015).</v>
          </cell>
          <cell r="F640">
            <v>681</v>
          </cell>
          <cell r="G640">
            <v>79.98</v>
          </cell>
          <cell r="H640"/>
          <cell r="I640">
            <v>9</v>
          </cell>
          <cell r="J640"/>
          <cell r="K640">
            <v>7</v>
          </cell>
          <cell r="L640"/>
          <cell r="M640">
            <v>2</v>
          </cell>
          <cell r="N640"/>
          <cell r="O640"/>
          <cell r="P640">
            <v>2</v>
          </cell>
          <cell r="Q640"/>
          <cell r="R640"/>
          <cell r="S640">
            <v>0.02</v>
          </cell>
          <cell r="T640"/>
          <cell r="U640"/>
          <cell r="V640"/>
          <cell r="W640"/>
          <cell r="X640"/>
          <cell r="Y640"/>
          <cell r="Z640"/>
          <cell r="AA640"/>
          <cell r="AB640"/>
          <cell r="AC640"/>
          <cell r="AD640"/>
          <cell r="AE640"/>
          <cell r="AF640">
            <v>9.2478119999999997</v>
          </cell>
          <cell r="AG640"/>
          <cell r="AH640"/>
          <cell r="AI640" t="str">
            <v>Co</v>
          </cell>
          <cell r="AJ640" t="str">
            <v>-9.Al</v>
          </cell>
          <cell r="AK640" t="str">
            <v>-7.W</v>
          </cell>
          <cell r="AL640" t="str">
            <v/>
          </cell>
          <cell r="AM640" t="str">
            <v/>
          </cell>
          <cell r="AN640" t="str">
            <v>-2.Ta</v>
          </cell>
          <cell r="AO640" t="str">
            <v/>
          </cell>
          <cell r="AP640" t="str">
            <v/>
          </cell>
          <cell r="AQ640" t="str">
            <v/>
          </cell>
          <cell r="AR640" t="str">
            <v>-2.Mo</v>
          </cell>
          <cell r="AS640" t="str">
            <v/>
          </cell>
          <cell r="AT640" t="str">
            <v/>
          </cell>
          <cell r="AU640" t="str">
            <v>-0.02B</v>
          </cell>
          <cell r="AV640" t="str">
            <v/>
          </cell>
          <cell r="AW640" t="str">
            <v/>
          </cell>
          <cell r="AX640" t="str">
            <v/>
          </cell>
          <cell r="AY640" t="str">
            <v/>
          </cell>
          <cell r="AZ640" t="str">
            <v/>
          </cell>
          <cell r="BA640" t="str">
            <v/>
          </cell>
          <cell r="BB640" t="str">
            <v/>
          </cell>
          <cell r="BC640" t="str">
            <v/>
          </cell>
          <cell r="BD640" t="str">
            <v/>
          </cell>
          <cell r="BE640" t="str">
            <v/>
          </cell>
          <cell r="BF640" t="str">
            <v/>
          </cell>
          <cell r="BG640" t="str">
            <v/>
          </cell>
          <cell r="BH640" t="str">
            <v>Co–9Al–7W–2Ta–0.02B–2MoZhong, F., Li, S. &amp; Sha, J. Tensile behaviour of Co-Al-W-Ta-B-Mo alloys with a coherent γ/γ’ microstructure at room and high temperatures. Mater. Sci. Eng. A 637, 175–182 (2015).</v>
          </cell>
          <cell r="BI640" t="str">
            <v>Co-9.Al-7.W-2.Ta-2.Mo-0.02B</v>
          </cell>
          <cell r="BJ640" t="str">
            <v>80.0Co-9.0Al-7.0W-2.0Ta-2.0Mo-0.02B</v>
          </cell>
        </row>
        <row r="641">
          <cell r="A641" t="str">
            <v>Co-9.Al-5.W-2.Ta-4.Mo-0.02B</v>
          </cell>
          <cell r="B641" t="str">
            <v>CoAlWX+</v>
          </cell>
          <cell r="C641" t="str">
            <v>-9Al-5W-2Ta-4Mo-B</v>
          </cell>
          <cell r="D641" t="str">
            <v>Co–9Al–5W–2Ta–0.02B–4Mo</v>
          </cell>
          <cell r="E641" t="str">
            <v>Zhong, F., Li, S. &amp; Sha, J. Tensile behaviour of Co-Al-W-Ta-B-Mo alloys with a coherent γ/γ’ microstructure at room and high temperatures. Mater. Sci. Eng. A 637, 175–182 (2015).</v>
          </cell>
          <cell r="F641">
            <v>682</v>
          </cell>
          <cell r="G641">
            <v>79.98</v>
          </cell>
          <cell r="H641"/>
          <cell r="I641">
            <v>9</v>
          </cell>
          <cell r="J641"/>
          <cell r="K641">
            <v>5</v>
          </cell>
          <cell r="L641"/>
          <cell r="M641">
            <v>2</v>
          </cell>
          <cell r="N641"/>
          <cell r="O641"/>
          <cell r="P641">
            <v>4</v>
          </cell>
          <cell r="Q641"/>
          <cell r="R641"/>
          <cell r="S641">
            <v>0.02</v>
          </cell>
          <cell r="T641"/>
          <cell r="U641"/>
          <cell r="V641"/>
          <cell r="W641"/>
          <cell r="X641"/>
          <cell r="Y641"/>
          <cell r="Z641"/>
          <cell r="AA641"/>
          <cell r="AB641"/>
          <cell r="AC641"/>
          <cell r="AD641"/>
          <cell r="AE641"/>
          <cell r="AF641">
            <v>9.0684120000000004</v>
          </cell>
          <cell r="AG641"/>
          <cell r="AH641"/>
          <cell r="AI641" t="str">
            <v>Co</v>
          </cell>
          <cell r="AJ641" t="str">
            <v>-9.Al</v>
          </cell>
          <cell r="AK641" t="str">
            <v>-5.W</v>
          </cell>
          <cell r="AL641" t="str">
            <v/>
          </cell>
          <cell r="AM641" t="str">
            <v/>
          </cell>
          <cell r="AN641" t="str">
            <v>-2.Ta</v>
          </cell>
          <cell r="AO641" t="str">
            <v/>
          </cell>
          <cell r="AP641" t="str">
            <v/>
          </cell>
          <cell r="AQ641" t="str">
            <v/>
          </cell>
          <cell r="AR641" t="str">
            <v>-4.Mo</v>
          </cell>
          <cell r="AS641" t="str">
            <v/>
          </cell>
          <cell r="AT641" t="str">
            <v/>
          </cell>
          <cell r="AU641" t="str">
            <v>-0.02B</v>
          </cell>
          <cell r="AV641" t="str">
            <v/>
          </cell>
          <cell r="AW641" t="str">
            <v/>
          </cell>
          <cell r="AX641" t="str">
            <v/>
          </cell>
          <cell r="AY641" t="str">
            <v/>
          </cell>
          <cell r="AZ641" t="str">
            <v/>
          </cell>
          <cell r="BA641" t="str">
            <v/>
          </cell>
          <cell r="BB641" t="str">
            <v/>
          </cell>
          <cell r="BC641" t="str">
            <v/>
          </cell>
          <cell r="BD641" t="str">
            <v/>
          </cell>
          <cell r="BE641" t="str">
            <v/>
          </cell>
          <cell r="BF641" t="str">
            <v/>
          </cell>
          <cell r="BG641" t="str">
            <v/>
          </cell>
          <cell r="BH641" t="str">
            <v>Co–9Al–5W–2Ta–0.02B–4MoZhong, F., Li, S. &amp; Sha, J. Tensile behaviour of Co-Al-W-Ta-B-Mo alloys with a coherent γ/γ’ microstructure at room and high temperatures. Mater. Sci. Eng. A 637, 175–182 (2015).</v>
          </cell>
          <cell r="BI641" t="str">
            <v>Co-9.Al-5.W-2.Ta-4.Mo-0.02B</v>
          </cell>
          <cell r="BJ641" t="str">
            <v>80.0Co-9.0Al-5.0W-2.0Ta-4.0Mo-0.02B</v>
          </cell>
        </row>
        <row r="642">
          <cell r="A642" t="str">
            <v>Co-9.Al-4.5W-2.Ta-4.5Mo-0.01Ce-0.02B</v>
          </cell>
          <cell r="B642" t="str">
            <v>CoAlWX+</v>
          </cell>
          <cell r="C642" t="str">
            <v>-9Al-5W-2Ta-5Mo-0Ce-B</v>
          </cell>
          <cell r="D642" t="str">
            <v>Co-9Al-4.5W-4.5Mo-2Ta-0.02B-0.01Ce</v>
          </cell>
          <cell r="E642" t="str">
            <v>Zhong, F., Yu, Y. X., Li, S. S. &amp; Sha, J. B. In-situ SEM and TEM tensile observations of novel Co-Al-W-Mo-Ta-B-Ce alloys with a coherent γ-CoSS/γ’-Co3(Al,W) microstructure at room temperature. Mater. Sci. Eng. A 696, 96–103 (2017).</v>
          </cell>
          <cell r="F642">
            <v>683</v>
          </cell>
          <cell r="G642">
            <v>79.97</v>
          </cell>
          <cell r="H642"/>
          <cell r="I642">
            <v>9</v>
          </cell>
          <cell r="J642"/>
          <cell r="K642">
            <v>4.5</v>
          </cell>
          <cell r="L642"/>
          <cell r="M642">
            <v>2</v>
          </cell>
          <cell r="N642"/>
          <cell r="O642"/>
          <cell r="P642">
            <v>4.5</v>
          </cell>
          <cell r="Q642"/>
          <cell r="R642"/>
          <cell r="S642">
            <v>0.02</v>
          </cell>
          <cell r="T642"/>
          <cell r="U642"/>
          <cell r="V642"/>
          <cell r="W642"/>
          <cell r="X642"/>
          <cell r="Y642"/>
          <cell r="Z642"/>
          <cell r="AA642"/>
          <cell r="AB642"/>
          <cell r="AC642"/>
          <cell r="AD642">
            <v>0.01</v>
          </cell>
          <cell r="AE642"/>
          <cell r="AF642">
            <v>9.0233408999999991</v>
          </cell>
          <cell r="AG642"/>
          <cell r="AH642"/>
          <cell r="AI642" t="str">
            <v>Co</v>
          </cell>
          <cell r="AJ642" t="str">
            <v>-9.Al</v>
          </cell>
          <cell r="AK642" t="str">
            <v>-4.5W</v>
          </cell>
          <cell r="AL642" t="str">
            <v/>
          </cell>
          <cell r="AM642" t="str">
            <v/>
          </cell>
          <cell r="AN642" t="str">
            <v>-2.Ta</v>
          </cell>
          <cell r="AO642" t="str">
            <v/>
          </cell>
          <cell r="AP642" t="str">
            <v/>
          </cell>
          <cell r="AQ642" t="str">
            <v/>
          </cell>
          <cell r="AR642" t="str">
            <v>-4.5Mo</v>
          </cell>
          <cell r="AS642" t="str">
            <v/>
          </cell>
          <cell r="AT642" t="str">
            <v/>
          </cell>
          <cell r="AU642" t="str">
            <v>-0.02B</v>
          </cell>
          <cell r="AV642" t="str">
            <v/>
          </cell>
          <cell r="AW642" t="str">
            <v/>
          </cell>
          <cell r="AX642" t="str">
            <v/>
          </cell>
          <cell r="AY642" t="str">
            <v/>
          </cell>
          <cell r="AZ642" t="str">
            <v/>
          </cell>
          <cell r="BA642" t="str">
            <v/>
          </cell>
          <cell r="BB642" t="str">
            <v/>
          </cell>
          <cell r="BC642" t="str">
            <v/>
          </cell>
          <cell r="BD642" t="str">
            <v/>
          </cell>
          <cell r="BE642" t="str">
            <v/>
          </cell>
          <cell r="BF642" t="str">
            <v>-0.01Ce</v>
          </cell>
          <cell r="BG642" t="str">
            <v/>
          </cell>
          <cell r="BH642" t="str">
            <v>Co-9Al-4.5W-4.5Mo-2Ta-0.02B-0.01CeZhong, F., Yu, Y. X., Li, S. S. &amp; Sha, J. B. In-situ SEM and TEM tensile observations of novel Co-Al-W-Mo-Ta-B-Ce alloys with a coherent γ-CoSS/γ’-Co3(Al,W) microstructure at room temperature. Mater. Sci. Eng. A 696, 96–103 (2017).</v>
          </cell>
          <cell r="BI642" t="str">
            <v>Co-9.Al-4.5W-2.Ta-4.5Mo-0.01Ce-0.02B</v>
          </cell>
          <cell r="BJ642" t="str">
            <v>80.0Co-9.0Al-4.5W-2.0Ta-4.5Mo-0.0Ce-0.02B</v>
          </cell>
        </row>
        <row r="643">
          <cell r="A643" t="str">
            <v>Co-9.Al-4.5W-2.Ta-4.5Mo-0.1Ce-0.02B</v>
          </cell>
          <cell r="B643" t="str">
            <v>CoAlWX+</v>
          </cell>
          <cell r="C643" t="str">
            <v>-9Al-5W-2Ta-5Mo-0Ce-B</v>
          </cell>
          <cell r="D643" t="str">
            <v>Co-9Al-4.5W-4.5Mo-2Ta-0.02B-0.1Ce</v>
          </cell>
          <cell r="E643" t="str">
            <v>Zhong, F., Yu, Y. X., Li, S. S. &amp; Sha, J. B. In-situ SEM and TEM tensile observations of novel Co-Al-W-Mo-Ta-B-Ce alloys with a coherent γ-CoSS/γ’-Co3(Al,W) microstructure at room temperature. Mater. Sci. Eng. A 696, 96–103 (2017).</v>
          </cell>
          <cell r="F643">
            <v>684</v>
          </cell>
          <cell r="G643">
            <v>79.88</v>
          </cell>
          <cell r="H643"/>
          <cell r="I643">
            <v>9</v>
          </cell>
          <cell r="J643"/>
          <cell r="K643">
            <v>4.5</v>
          </cell>
          <cell r="L643"/>
          <cell r="M643">
            <v>2</v>
          </cell>
          <cell r="N643"/>
          <cell r="O643"/>
          <cell r="P643">
            <v>4.5</v>
          </cell>
          <cell r="Q643"/>
          <cell r="R643"/>
          <cell r="S643">
            <v>0.02</v>
          </cell>
          <cell r="T643"/>
          <cell r="U643"/>
          <cell r="V643"/>
          <cell r="W643"/>
          <cell r="X643"/>
          <cell r="Y643"/>
          <cell r="Z643"/>
          <cell r="AA643"/>
          <cell r="AB643"/>
          <cell r="AC643"/>
          <cell r="AD643">
            <v>0.1</v>
          </cell>
          <cell r="AE643"/>
          <cell r="AF643">
            <v>9.0213509999999992</v>
          </cell>
          <cell r="AG643"/>
          <cell r="AH643"/>
          <cell r="AI643" t="str">
            <v>Co</v>
          </cell>
          <cell r="AJ643" t="str">
            <v>-9.Al</v>
          </cell>
          <cell r="AK643" t="str">
            <v>-4.5W</v>
          </cell>
          <cell r="AL643" t="str">
            <v/>
          </cell>
          <cell r="AM643" t="str">
            <v/>
          </cell>
          <cell r="AN643" t="str">
            <v>-2.Ta</v>
          </cell>
          <cell r="AO643" t="str">
            <v/>
          </cell>
          <cell r="AP643" t="str">
            <v/>
          </cell>
          <cell r="AQ643" t="str">
            <v/>
          </cell>
          <cell r="AR643" t="str">
            <v>-4.5Mo</v>
          </cell>
          <cell r="AS643" t="str">
            <v/>
          </cell>
          <cell r="AT643" t="str">
            <v/>
          </cell>
          <cell r="AU643" t="str">
            <v>-0.02B</v>
          </cell>
          <cell r="AV643" t="str">
            <v/>
          </cell>
          <cell r="AW643" t="str">
            <v/>
          </cell>
          <cell r="AX643" t="str">
            <v/>
          </cell>
          <cell r="AY643" t="str">
            <v/>
          </cell>
          <cell r="AZ643" t="str">
            <v/>
          </cell>
          <cell r="BA643" t="str">
            <v/>
          </cell>
          <cell r="BB643" t="str">
            <v/>
          </cell>
          <cell r="BC643" t="str">
            <v/>
          </cell>
          <cell r="BD643" t="str">
            <v/>
          </cell>
          <cell r="BE643" t="str">
            <v/>
          </cell>
          <cell r="BF643" t="str">
            <v>-0.1Ce</v>
          </cell>
          <cell r="BG643" t="str">
            <v/>
          </cell>
          <cell r="BH643" t="str">
            <v>Co-9Al-4.5W-4.5Mo-2Ta-0.02B-0.1CeZhong, F., Yu, Y. X., Li, S. S. &amp; Sha, J. B. In-situ SEM and TEM tensile observations of novel Co-Al-W-Mo-Ta-B-Ce alloys with a coherent γ-CoSS/γ’-Co3(Al,W) microstructure at room temperature. Mater. Sci. Eng. A 696, 96–103 (2017).</v>
          </cell>
          <cell r="BI643" t="str">
            <v>Co-9.Al-4.5W-2.Ta-4.5Mo-0.1Ce-0.02B</v>
          </cell>
          <cell r="BJ643" t="str">
            <v>79.9Co-9.0Al-4.5W-2.0Ta-4.5Mo-0.1Ce-0.02B</v>
          </cell>
        </row>
        <row r="644">
          <cell r="A644" t="str">
            <v>Co-31.Ni-2.6Al-11.Cr-9.W-2.Ti-0.2Si-0.3Hf-0.07C-0.02B</v>
          </cell>
          <cell r="B644" t="str">
            <v>CoAlWX+</v>
          </cell>
          <cell r="C644" t="str">
            <v>-31Ni-3Al-11Cr-9W-2Ti-Si-Hf-C-B</v>
          </cell>
          <cell r="D644" t="str">
            <v>Zhong alloy 1</v>
          </cell>
          <cell r="E644" t="str">
            <v>Zhong, X. &amp; Han, F. Hot deformation behavior of a new tailored cobalt-based superalloy for turbine discs. J. Mater. Res. 35, 633–643 (2020).</v>
          </cell>
          <cell r="F644">
            <v>685</v>
          </cell>
          <cell r="G644">
            <v>43.794999999999995</v>
          </cell>
          <cell r="H644">
            <v>31</v>
          </cell>
          <cell r="I644">
            <v>2.63</v>
          </cell>
          <cell r="J644">
            <v>11</v>
          </cell>
          <cell r="K644">
            <v>9</v>
          </cell>
          <cell r="L644">
            <v>1.98</v>
          </cell>
          <cell r="M644"/>
          <cell r="N644"/>
          <cell r="O644"/>
          <cell r="P644"/>
          <cell r="Q644">
            <v>7.0000000000000007E-2</v>
          </cell>
          <cell r="R644"/>
          <cell r="S644">
            <v>1.4999999999999999E-2</v>
          </cell>
          <cell r="T644"/>
          <cell r="U644"/>
          <cell r="V644">
            <v>0.2</v>
          </cell>
          <cell r="W644"/>
          <cell r="X644"/>
          <cell r="Y644">
            <v>0.31</v>
          </cell>
          <cell r="Z644"/>
          <cell r="AA644"/>
          <cell r="AB644"/>
          <cell r="AC644"/>
          <cell r="AD644"/>
          <cell r="AE644"/>
          <cell r="AF644">
            <v>9.3907555999999985</v>
          </cell>
          <cell r="AG644"/>
          <cell r="AH644"/>
          <cell r="AI644" t="str">
            <v>Co</v>
          </cell>
          <cell r="AJ644" t="str">
            <v>-2.6Al</v>
          </cell>
          <cell r="AK644" t="str">
            <v>-9.W</v>
          </cell>
          <cell r="AL644" t="str">
            <v>-31.Ni</v>
          </cell>
          <cell r="AM644" t="str">
            <v>-11.Cr</v>
          </cell>
          <cell r="AN644" t="str">
            <v/>
          </cell>
          <cell r="AO644" t="str">
            <v/>
          </cell>
          <cell r="AP644" t="str">
            <v/>
          </cell>
          <cell r="AQ644" t="str">
            <v>-2.Ti</v>
          </cell>
          <cell r="AR644" t="str">
            <v/>
          </cell>
          <cell r="AS644" t="str">
            <v>-0.07C</v>
          </cell>
          <cell r="AT644" t="str">
            <v/>
          </cell>
          <cell r="AU644" t="str">
            <v>-0.02B</v>
          </cell>
          <cell r="AV644" t="str">
            <v/>
          </cell>
          <cell r="AW644" t="str">
            <v/>
          </cell>
          <cell r="AX644" t="str">
            <v>-0.2Si</v>
          </cell>
          <cell r="AY644" t="str">
            <v/>
          </cell>
          <cell r="AZ644" t="str">
            <v/>
          </cell>
          <cell r="BA644" t="str">
            <v>-0.3Hf</v>
          </cell>
          <cell r="BB644" t="str">
            <v/>
          </cell>
          <cell r="BC644" t="str">
            <v/>
          </cell>
          <cell r="BD644" t="str">
            <v/>
          </cell>
          <cell r="BE644" t="str">
            <v/>
          </cell>
          <cell r="BF644" t="str">
            <v/>
          </cell>
          <cell r="BG644" t="str">
            <v/>
          </cell>
          <cell r="BH644" t="str">
            <v>Zhong alloy 1Zhong, X. &amp; Han, F. Hot deformation behavior of a new tailored cobalt-based superalloy for turbine discs. J. Mater. Res. 35, 633–643 (2020).</v>
          </cell>
          <cell r="BI644" t="str">
            <v>Co-31.Ni-2.6Al-11.Cr-9.W-2.Ti-0.2Si-0.3Hf-0.07C-0.02B</v>
          </cell>
          <cell r="BJ644" t="str">
            <v>74.8Co-31.0Ni-2.6Al-11.0Cr-9.0W-2.0Ti-0.2Si-0.3Hf-0.07C-0.02B</v>
          </cell>
        </row>
        <row r="645">
          <cell r="A645" t="str">
            <v>Co-32.Ni-0.3Fe-6.Al-12.Cr-3.W-2.5Ti-1.5Ta-0.4Nb</v>
          </cell>
          <cell r="B645" t="str">
            <v>Low-W</v>
          </cell>
          <cell r="C645" t="str">
            <v>-32Ni-0Fe-6Al-12Cr-3W-3Ti-2Ta-0Nb</v>
          </cell>
          <cell r="D645" t="str">
            <v>Co-32Ni-12Cr-6Al-3W-2.5Ti-1.5Ta-0.3Fe-0.4Nb</v>
          </cell>
          <cell r="E645" t="str">
            <v>Zhong, X. K., Wang, X. F., Si, Y. L. &amp; Han, F. S. Evolution of Microstructures and Properties of a New γ/γ′ Co-Based Superalloy via Forging Process. JOM 71, 4034–4040 (2019).</v>
          </cell>
          <cell r="F645">
            <v>686</v>
          </cell>
          <cell r="G645">
            <v>42.300000000000004</v>
          </cell>
          <cell r="H645">
            <v>32</v>
          </cell>
          <cell r="I645">
            <v>6</v>
          </cell>
          <cell r="J645">
            <v>12</v>
          </cell>
          <cell r="K645">
            <v>3</v>
          </cell>
          <cell r="L645">
            <v>2.5</v>
          </cell>
          <cell r="M645">
            <v>1.5</v>
          </cell>
          <cell r="N645">
            <v>0.4</v>
          </cell>
          <cell r="O645"/>
          <cell r="P645"/>
          <cell r="Q645"/>
          <cell r="R645"/>
          <cell r="S645"/>
          <cell r="T645"/>
          <cell r="U645"/>
          <cell r="V645"/>
          <cell r="W645">
            <v>0.3</v>
          </cell>
          <cell r="X645"/>
          <cell r="Y645"/>
          <cell r="Z645"/>
          <cell r="AA645"/>
          <cell r="AB645"/>
          <cell r="AC645"/>
          <cell r="AD645"/>
          <cell r="AE645"/>
          <cell r="AF645">
            <v>8.637887000000001</v>
          </cell>
          <cell r="AG645"/>
          <cell r="AH645"/>
          <cell r="AI645" t="str">
            <v>Co</v>
          </cell>
          <cell r="AJ645" t="str">
            <v>-6.Al</v>
          </cell>
          <cell r="AK645" t="str">
            <v>-3.W</v>
          </cell>
          <cell r="AL645" t="str">
            <v>-32.Ni</v>
          </cell>
          <cell r="AM645" t="str">
            <v>-12.Cr</v>
          </cell>
          <cell r="AN645" t="str">
            <v>-1.5Ta</v>
          </cell>
          <cell r="AO645" t="str">
            <v>-0.4Nb</v>
          </cell>
          <cell r="AP645" t="str">
            <v/>
          </cell>
          <cell r="AQ645" t="str">
            <v>-2.5Ti</v>
          </cell>
          <cell r="AR645" t="str">
            <v/>
          </cell>
          <cell r="AS645" t="str">
            <v/>
          </cell>
          <cell r="AT645" t="str">
            <v/>
          </cell>
          <cell r="AU645" t="str">
            <v/>
          </cell>
          <cell r="AV645" t="str">
            <v/>
          </cell>
          <cell r="AW645" t="str">
            <v/>
          </cell>
          <cell r="AX645" t="str">
            <v/>
          </cell>
          <cell r="AY645" t="str">
            <v>-0.3Fe</v>
          </cell>
          <cell r="AZ645" t="str">
            <v/>
          </cell>
          <cell r="BA645" t="str">
            <v/>
          </cell>
          <cell r="BB645" t="str">
            <v/>
          </cell>
          <cell r="BC645" t="str">
            <v/>
          </cell>
          <cell r="BD645" t="str">
            <v/>
          </cell>
          <cell r="BE645" t="str">
            <v/>
          </cell>
          <cell r="BF645" t="str">
            <v/>
          </cell>
          <cell r="BG645" t="str">
            <v/>
          </cell>
          <cell r="BH645" t="str">
            <v>Co-32Ni-12Cr-6Al-3W-2.5Ti-1.5Ta-0.3Fe-0.4NbZhong, X. K., Wang, X. F., Si, Y. L. &amp; Han, F. S. Evolution of Microstructures and Properties of a New γ/γ′ Co-Based Superalloy via Forging Process. JOM 71, 4034–4040 (2019).</v>
          </cell>
          <cell r="BI645" t="str">
            <v>Co-32.Ni-0.3Fe-6.Al-12.Cr-3.W-2.5Ti-1.5Ta-0.4Nb</v>
          </cell>
          <cell r="BJ645" t="str">
            <v>74.3Co-32.0Ni-0.3Fe-6.0Al-12.0Cr-3.0W-2.5Ti-1.5Ta-0.4Nb</v>
          </cell>
        </row>
        <row r="646">
          <cell r="A646" t="str">
            <v>Co-20.7Ta</v>
          </cell>
          <cell r="B646" t="str">
            <v>W-free</v>
          </cell>
          <cell r="C646" t="str">
            <v>-21Ta</v>
          </cell>
          <cell r="D646" t="str">
            <v>A1</v>
          </cell>
          <cell r="E646" t="str">
            <v>Zhou, C., Guo, C., Li, C. &amp; Du, Z. Investigation on the intermetallic compound Co 3 Ta and high-temperature phase equilibria in the Co–Ni–Ta system. Intermetallics 108, 1–18 (2019).</v>
          </cell>
          <cell r="F646">
            <v>687</v>
          </cell>
          <cell r="G646">
            <v>79.3</v>
          </cell>
          <cell r="H646"/>
          <cell r="I646"/>
          <cell r="J646"/>
          <cell r="K646"/>
          <cell r="L646"/>
          <cell r="M646">
            <v>20.7</v>
          </cell>
          <cell r="N646"/>
          <cell r="O646"/>
          <cell r="P646"/>
          <cell r="Q646"/>
          <cell r="R646"/>
          <cell r="S646"/>
          <cell r="T646"/>
          <cell r="U646"/>
          <cell r="V646"/>
          <cell r="W646"/>
          <cell r="X646"/>
          <cell r="Y646"/>
          <cell r="Z646"/>
          <cell r="AA646"/>
          <cell r="AB646"/>
          <cell r="AC646"/>
          <cell r="AD646"/>
          <cell r="AE646"/>
          <cell r="AF646">
            <v>10.504249999999999</v>
          </cell>
          <cell r="AG646"/>
          <cell r="AH646"/>
          <cell r="AI646" t="str">
            <v>Co</v>
          </cell>
          <cell r="AJ646" t="str">
            <v/>
          </cell>
          <cell r="AK646" t="str">
            <v/>
          </cell>
          <cell r="AL646" t="str">
            <v/>
          </cell>
          <cell r="AM646" t="str">
            <v/>
          </cell>
          <cell r="AN646" t="str">
            <v>-20.7Ta</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
          </cell>
          <cell r="BB646" t="str">
            <v/>
          </cell>
          <cell r="BC646" t="str">
            <v/>
          </cell>
          <cell r="BD646" t="str">
            <v/>
          </cell>
          <cell r="BE646" t="str">
            <v/>
          </cell>
          <cell r="BF646" t="str">
            <v/>
          </cell>
          <cell r="BG646" t="str">
            <v/>
          </cell>
          <cell r="BH646" t="str">
            <v>A1Zhou, C., Guo, C., Li, C. &amp; Du, Z. Investigation on the intermetallic compound Co 3 Ta and high-temperature phase equilibria in the Co–Ni–Ta system. Intermetallics 108, 1–18 (2019).</v>
          </cell>
          <cell r="BI646" t="str">
            <v>Co-20.7Ta</v>
          </cell>
          <cell r="BJ646" t="str">
            <v>79.3Co-20.7Ta</v>
          </cell>
        </row>
        <row r="647">
          <cell r="A647" t="str">
            <v>Co-21.3Ta</v>
          </cell>
          <cell r="B647" t="str">
            <v>W-free</v>
          </cell>
          <cell r="C647" t="str">
            <v>-21Ta</v>
          </cell>
          <cell r="D647" t="str">
            <v>A2</v>
          </cell>
          <cell r="E647" t="str">
            <v>Zhou, C., Guo, C., Li, C. &amp; Du, Z. Investigation on the intermetallic compound Co 3 Ta and high-temperature phase equilibria in the Co–Ni–Ta system. Intermetallics 108, 1–18 (2019).</v>
          </cell>
          <cell r="F647">
            <v>688</v>
          </cell>
          <cell r="G647">
            <v>78.7</v>
          </cell>
          <cell r="H647"/>
          <cell r="I647"/>
          <cell r="J647"/>
          <cell r="K647"/>
          <cell r="L647"/>
          <cell r="M647">
            <v>21.3</v>
          </cell>
          <cell r="N647"/>
          <cell r="O647"/>
          <cell r="P647"/>
          <cell r="Q647"/>
          <cell r="R647"/>
          <cell r="S647"/>
          <cell r="T647"/>
          <cell r="U647"/>
          <cell r="V647"/>
          <cell r="W647"/>
          <cell r="X647"/>
          <cell r="Y647"/>
          <cell r="Z647"/>
          <cell r="AA647"/>
          <cell r="AB647"/>
          <cell r="AC647"/>
          <cell r="AD647"/>
          <cell r="AE647"/>
          <cell r="AF647">
            <v>10.550750000000001</v>
          </cell>
          <cell r="AG647"/>
          <cell r="AH647"/>
          <cell r="AI647" t="str">
            <v>Co</v>
          </cell>
          <cell r="AJ647" t="str">
            <v/>
          </cell>
          <cell r="AK647" t="str">
            <v/>
          </cell>
          <cell r="AL647" t="str">
            <v/>
          </cell>
          <cell r="AM647" t="str">
            <v/>
          </cell>
          <cell r="AN647" t="str">
            <v>-21.3Ta</v>
          </cell>
          <cell r="AO647" t="str">
            <v/>
          </cell>
          <cell r="AP647" t="str">
            <v/>
          </cell>
          <cell r="AQ647" t="str">
            <v/>
          </cell>
          <cell r="AR647" t="str">
            <v/>
          </cell>
          <cell r="AS647" t="str">
            <v/>
          </cell>
          <cell r="AT647" t="str">
            <v/>
          </cell>
          <cell r="AU647" t="str">
            <v/>
          </cell>
          <cell r="AV647" t="str">
            <v/>
          </cell>
          <cell r="AW647" t="str">
            <v/>
          </cell>
          <cell r="AX647" t="str">
            <v/>
          </cell>
          <cell r="AY647" t="str">
            <v/>
          </cell>
          <cell r="AZ647" t="str">
            <v/>
          </cell>
          <cell r="BA647" t="str">
            <v/>
          </cell>
          <cell r="BB647" t="str">
            <v/>
          </cell>
          <cell r="BC647" t="str">
            <v/>
          </cell>
          <cell r="BD647" t="str">
            <v/>
          </cell>
          <cell r="BE647" t="str">
            <v/>
          </cell>
          <cell r="BF647" t="str">
            <v/>
          </cell>
          <cell r="BG647" t="str">
            <v/>
          </cell>
          <cell r="BH647" t="str">
            <v>A2Zhou, C., Guo, C., Li, C. &amp; Du, Z. Investigation on the intermetallic compound Co 3 Ta and high-temperature phase equilibria in the Co–Ni–Ta system. Intermetallics 108, 1–18 (2019).</v>
          </cell>
          <cell r="BI647" t="str">
            <v>Co-21.3Ta</v>
          </cell>
          <cell r="BJ647" t="str">
            <v>78.7Co-21.3Ta</v>
          </cell>
        </row>
        <row r="648">
          <cell r="A648" t="str">
            <v>Co-23.7Ta</v>
          </cell>
          <cell r="B648" t="str">
            <v>W-free</v>
          </cell>
          <cell r="C648" t="str">
            <v>-24Ta</v>
          </cell>
          <cell r="D648" t="str">
            <v>A3</v>
          </cell>
          <cell r="E648" t="str">
            <v>Zhou, C., Guo, C., Li, C. &amp; Du, Z. Investigation on the intermetallic compound Co 3 Ta and high-temperature phase equilibria in the Co–Ni–Ta system. Intermetallics 108, 1–18 (2019).</v>
          </cell>
          <cell r="F648">
            <v>689</v>
          </cell>
          <cell r="G648">
            <v>76.3</v>
          </cell>
          <cell r="H648"/>
          <cell r="I648"/>
          <cell r="J648"/>
          <cell r="K648"/>
          <cell r="L648"/>
          <cell r="M648">
            <v>23.7</v>
          </cell>
          <cell r="N648"/>
          <cell r="O648"/>
          <cell r="P648"/>
          <cell r="Q648"/>
          <cell r="R648"/>
          <cell r="S648"/>
          <cell r="T648"/>
          <cell r="U648"/>
          <cell r="V648"/>
          <cell r="W648"/>
          <cell r="X648"/>
          <cell r="Y648"/>
          <cell r="Z648"/>
          <cell r="AA648"/>
          <cell r="AB648"/>
          <cell r="AC648"/>
          <cell r="AD648"/>
          <cell r="AE648"/>
          <cell r="AF648">
            <v>10.736749999999999</v>
          </cell>
          <cell r="AG648"/>
          <cell r="AH648"/>
          <cell r="AI648" t="str">
            <v>Co</v>
          </cell>
          <cell r="AJ648" t="str">
            <v/>
          </cell>
          <cell r="AK648" t="str">
            <v/>
          </cell>
          <cell r="AL648" t="str">
            <v/>
          </cell>
          <cell r="AM648" t="str">
            <v/>
          </cell>
          <cell r="AN648" t="str">
            <v>-23.7Ta</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
          </cell>
          <cell r="BB648" t="str">
            <v/>
          </cell>
          <cell r="BC648" t="str">
            <v/>
          </cell>
          <cell r="BD648" t="str">
            <v/>
          </cell>
          <cell r="BE648" t="str">
            <v/>
          </cell>
          <cell r="BF648" t="str">
            <v/>
          </cell>
          <cell r="BG648" t="str">
            <v/>
          </cell>
          <cell r="BH648" t="str">
            <v>A3Zhou, C., Guo, C., Li, C. &amp; Du, Z. Investigation on the intermetallic compound Co 3 Ta and high-temperature phase equilibria in the Co–Ni–Ta system. Intermetallics 108, 1–18 (2019).</v>
          </cell>
          <cell r="BI648" t="str">
            <v>Co-23.7Ta</v>
          </cell>
          <cell r="BJ648" t="str">
            <v>76.3Co-23.7Ta</v>
          </cell>
        </row>
        <row r="649">
          <cell r="A649" t="str">
            <v>Co-24.4Ta</v>
          </cell>
          <cell r="B649" t="str">
            <v>W-free</v>
          </cell>
          <cell r="C649" t="str">
            <v>-24Ta</v>
          </cell>
          <cell r="D649" t="str">
            <v>A4</v>
          </cell>
          <cell r="E649" t="str">
            <v>Zhou, C., Guo, C., Li, C. &amp; Du, Z. Investigation on the intermetallic compound Co 3 Ta and high-temperature phase equilibria in the Co–Ni–Ta system. Intermetallics 108, 1–18 (2019).</v>
          </cell>
          <cell r="F649">
            <v>690</v>
          </cell>
          <cell r="G649">
            <v>75.599999999999994</v>
          </cell>
          <cell r="H649"/>
          <cell r="I649"/>
          <cell r="J649"/>
          <cell r="K649"/>
          <cell r="L649"/>
          <cell r="M649">
            <v>24.4</v>
          </cell>
          <cell r="N649"/>
          <cell r="O649"/>
          <cell r="P649"/>
          <cell r="Q649"/>
          <cell r="R649"/>
          <cell r="S649"/>
          <cell r="T649"/>
          <cell r="U649"/>
          <cell r="V649"/>
          <cell r="W649"/>
          <cell r="X649"/>
          <cell r="Y649"/>
          <cell r="Z649"/>
          <cell r="AA649"/>
          <cell r="AB649"/>
          <cell r="AC649"/>
          <cell r="AD649"/>
          <cell r="AE649"/>
          <cell r="AF649">
            <v>10.790999999999999</v>
          </cell>
          <cell r="AG649"/>
          <cell r="AH649"/>
          <cell r="AI649" t="str">
            <v>Co</v>
          </cell>
          <cell r="AJ649" t="str">
            <v/>
          </cell>
          <cell r="AK649" t="str">
            <v/>
          </cell>
          <cell r="AL649" t="str">
            <v/>
          </cell>
          <cell r="AM649" t="str">
            <v/>
          </cell>
          <cell r="AN649" t="str">
            <v>-24.4Ta</v>
          </cell>
          <cell r="AO649" t="str">
            <v/>
          </cell>
          <cell r="AP649" t="str">
            <v/>
          </cell>
          <cell r="AQ649" t="str">
            <v/>
          </cell>
          <cell r="AR649" t="str">
            <v/>
          </cell>
          <cell r="AS649" t="str">
            <v/>
          </cell>
          <cell r="AT649" t="str">
            <v/>
          </cell>
          <cell r="AU649" t="str">
            <v/>
          </cell>
          <cell r="AV649" t="str">
            <v/>
          </cell>
          <cell r="AW649" t="str">
            <v/>
          </cell>
          <cell r="AX649" t="str">
            <v/>
          </cell>
          <cell r="AY649" t="str">
            <v/>
          </cell>
          <cell r="AZ649" t="str">
            <v/>
          </cell>
          <cell r="BA649" t="str">
            <v/>
          </cell>
          <cell r="BB649" t="str">
            <v/>
          </cell>
          <cell r="BC649" t="str">
            <v/>
          </cell>
          <cell r="BD649" t="str">
            <v/>
          </cell>
          <cell r="BE649" t="str">
            <v/>
          </cell>
          <cell r="BF649" t="str">
            <v/>
          </cell>
          <cell r="BG649" t="str">
            <v/>
          </cell>
          <cell r="BH649" t="str">
            <v>A4Zhou, C., Guo, C., Li, C. &amp; Du, Z. Investigation on the intermetallic compound Co 3 Ta and high-temperature phase equilibria in the Co–Ni–Ta system. Intermetallics 108, 1–18 (2019).</v>
          </cell>
          <cell r="BI649" t="str">
            <v>Co-24.4Ta</v>
          </cell>
          <cell r="BJ649" t="str">
            <v>75.6Co-24.4Ta</v>
          </cell>
        </row>
        <row r="650">
          <cell r="A650" t="str">
            <v>Co-25.8Ta</v>
          </cell>
          <cell r="B650" t="str">
            <v>W-free</v>
          </cell>
          <cell r="C650" t="str">
            <v>-26Ta</v>
          </cell>
          <cell r="D650" t="str">
            <v>A5</v>
          </cell>
          <cell r="E650" t="str">
            <v>Zhou, C., Guo, C., Li, C. &amp; Du, Z. Investigation on the intermetallic compound Co 3 Ta and high-temperature phase equilibria in the Co–Ni–Ta system. Intermetallics 108, 1–18 (2019).</v>
          </cell>
          <cell r="F650">
            <v>691</v>
          </cell>
          <cell r="G650">
            <v>74.2</v>
          </cell>
          <cell r="H650"/>
          <cell r="I650"/>
          <cell r="J650"/>
          <cell r="K650"/>
          <cell r="L650"/>
          <cell r="M650">
            <v>25.8</v>
          </cell>
          <cell r="N650"/>
          <cell r="O650"/>
          <cell r="P650"/>
          <cell r="Q650"/>
          <cell r="R650"/>
          <cell r="S650"/>
          <cell r="T650"/>
          <cell r="U650"/>
          <cell r="V650"/>
          <cell r="W650"/>
          <cell r="X650"/>
          <cell r="Y650"/>
          <cell r="Z650"/>
          <cell r="AA650"/>
          <cell r="AB650"/>
          <cell r="AC650"/>
          <cell r="AD650"/>
          <cell r="AE650"/>
          <cell r="AF650">
            <v>10.8995</v>
          </cell>
          <cell r="AG650"/>
          <cell r="AH650"/>
          <cell r="AI650" t="str">
            <v>Co</v>
          </cell>
          <cell r="AJ650" t="str">
            <v/>
          </cell>
          <cell r="AK650" t="str">
            <v/>
          </cell>
          <cell r="AL650" t="str">
            <v/>
          </cell>
          <cell r="AM650" t="str">
            <v/>
          </cell>
          <cell r="AN650" t="str">
            <v>-25.8Ta</v>
          </cell>
          <cell r="AO650" t="str">
            <v/>
          </cell>
          <cell r="AP650" t="str">
            <v/>
          </cell>
          <cell r="AQ650" t="str">
            <v/>
          </cell>
          <cell r="AR650" t="str">
            <v/>
          </cell>
          <cell r="AS650" t="str">
            <v/>
          </cell>
          <cell r="AT650" t="str">
            <v/>
          </cell>
          <cell r="AU650" t="str">
            <v/>
          </cell>
          <cell r="AV650" t="str">
            <v/>
          </cell>
          <cell r="AW650" t="str">
            <v/>
          </cell>
          <cell r="AX650" t="str">
            <v/>
          </cell>
          <cell r="AY650" t="str">
            <v/>
          </cell>
          <cell r="AZ650" t="str">
            <v/>
          </cell>
          <cell r="BA650" t="str">
            <v/>
          </cell>
          <cell r="BB650" t="str">
            <v/>
          </cell>
          <cell r="BC650" t="str">
            <v/>
          </cell>
          <cell r="BD650" t="str">
            <v/>
          </cell>
          <cell r="BE650" t="str">
            <v/>
          </cell>
          <cell r="BF650" t="str">
            <v/>
          </cell>
          <cell r="BG650" t="str">
            <v/>
          </cell>
          <cell r="BH650" t="str">
            <v>A5Zhou, C., Guo, C., Li, C. &amp; Du, Z. Investigation on the intermetallic compound Co 3 Ta and high-temperature phase equilibria in the Co–Ni–Ta system. Intermetallics 108, 1–18 (2019).</v>
          </cell>
          <cell r="BI650" t="str">
            <v>Co-25.8Ta</v>
          </cell>
          <cell r="BJ650" t="str">
            <v>74.2Co-25.8Ta</v>
          </cell>
        </row>
        <row r="651">
          <cell r="A651" t="str">
            <v>Co-27.4Ta</v>
          </cell>
          <cell r="B651" t="str">
            <v>W-free</v>
          </cell>
          <cell r="C651" t="str">
            <v>-27Ta</v>
          </cell>
          <cell r="D651" t="str">
            <v>A6</v>
          </cell>
          <cell r="E651" t="str">
            <v>Zhou, C., Guo, C., Li, C. &amp; Du, Z. Investigation on the intermetallic compound Co 3 Ta and high-temperature phase equilibria in the Co–Ni–Ta system. Intermetallics 108, 1–18 (2019).</v>
          </cell>
          <cell r="F651">
            <v>692</v>
          </cell>
          <cell r="G651">
            <v>72.599999999999994</v>
          </cell>
          <cell r="H651"/>
          <cell r="I651"/>
          <cell r="J651"/>
          <cell r="K651"/>
          <cell r="L651"/>
          <cell r="M651">
            <v>27.4</v>
          </cell>
          <cell r="N651"/>
          <cell r="O651"/>
          <cell r="P651"/>
          <cell r="Q651"/>
          <cell r="R651"/>
          <cell r="S651"/>
          <cell r="T651"/>
          <cell r="U651"/>
          <cell r="V651"/>
          <cell r="W651"/>
          <cell r="X651"/>
          <cell r="Y651"/>
          <cell r="Z651"/>
          <cell r="AA651"/>
          <cell r="AB651"/>
          <cell r="AC651"/>
          <cell r="AD651"/>
          <cell r="AE651"/>
          <cell r="AF651">
            <v>11.023499999999999</v>
          </cell>
          <cell r="AG651"/>
          <cell r="AH651"/>
          <cell r="AI651" t="str">
            <v>Co</v>
          </cell>
          <cell r="AJ651" t="str">
            <v/>
          </cell>
          <cell r="AK651" t="str">
            <v/>
          </cell>
          <cell r="AL651" t="str">
            <v/>
          </cell>
          <cell r="AM651" t="str">
            <v/>
          </cell>
          <cell r="AN651" t="str">
            <v>-27.4Ta</v>
          </cell>
          <cell r="AO651" t="str">
            <v/>
          </cell>
          <cell r="AP651" t="str">
            <v/>
          </cell>
          <cell r="AQ651" t="str">
            <v/>
          </cell>
          <cell r="AR651" t="str">
            <v/>
          </cell>
          <cell r="AS651" t="str">
            <v/>
          </cell>
          <cell r="AT651" t="str">
            <v/>
          </cell>
          <cell r="AU651" t="str">
            <v/>
          </cell>
          <cell r="AV651" t="str">
            <v/>
          </cell>
          <cell r="AW651" t="str">
            <v/>
          </cell>
          <cell r="AX651" t="str">
            <v/>
          </cell>
          <cell r="AY651" t="str">
            <v/>
          </cell>
          <cell r="AZ651" t="str">
            <v/>
          </cell>
          <cell r="BA651" t="str">
            <v/>
          </cell>
          <cell r="BB651" t="str">
            <v/>
          </cell>
          <cell r="BC651" t="str">
            <v/>
          </cell>
          <cell r="BD651" t="str">
            <v/>
          </cell>
          <cell r="BE651" t="str">
            <v/>
          </cell>
          <cell r="BF651" t="str">
            <v/>
          </cell>
          <cell r="BG651" t="str">
            <v/>
          </cell>
          <cell r="BH651" t="str">
            <v>A6Zhou, C., Guo, C., Li, C. &amp; Du, Z. Investigation on the intermetallic compound Co 3 Ta and high-temperature phase equilibria in the Co–Ni–Ta system. Intermetallics 108, 1–18 (2019).</v>
          </cell>
          <cell r="BI651" t="str">
            <v>Co-27.4Ta</v>
          </cell>
          <cell r="BJ651" t="str">
            <v>72.6Co-27.4Ta</v>
          </cell>
        </row>
        <row r="652">
          <cell r="A652" t="str">
            <v>Co-12.6Ni-76.8Ta</v>
          </cell>
          <cell r="B652" t="str">
            <v>W-free</v>
          </cell>
          <cell r="C652" t="str">
            <v>-13Ni-77Ta</v>
          </cell>
          <cell r="D652" t="str">
            <v>B1</v>
          </cell>
          <cell r="E652" t="str">
            <v>Zhou, C., Guo, C., Li, C. &amp; Du, Z. Investigation on the intermetallic compound Co 3 Ta and high-temperature phase equilibria in the Co–Ni–Ta system. Intermetallics 108, 1–18 (2019).</v>
          </cell>
          <cell r="F652">
            <v>693</v>
          </cell>
          <cell r="G652">
            <v>10.600000000000009</v>
          </cell>
          <cell r="H652">
            <v>12.6</v>
          </cell>
          <cell r="I652"/>
          <cell r="J652"/>
          <cell r="K652"/>
          <cell r="L652"/>
          <cell r="M652">
            <v>76.8</v>
          </cell>
          <cell r="N652"/>
          <cell r="O652"/>
          <cell r="P652"/>
          <cell r="Q652"/>
          <cell r="R652"/>
          <cell r="S652"/>
          <cell r="T652"/>
          <cell r="U652"/>
          <cell r="V652"/>
          <cell r="W652"/>
          <cell r="X652"/>
          <cell r="Y652"/>
          <cell r="Z652"/>
          <cell r="AA652"/>
          <cell r="AB652"/>
          <cell r="AC652"/>
          <cell r="AD652"/>
          <cell r="AE652"/>
          <cell r="AF652">
            <v>14.853007999999999</v>
          </cell>
          <cell r="AG652"/>
          <cell r="AH652"/>
          <cell r="AI652" t="str">
            <v>Co</v>
          </cell>
          <cell r="AJ652" t="str">
            <v/>
          </cell>
          <cell r="AK652" t="str">
            <v/>
          </cell>
          <cell r="AL652" t="str">
            <v>-12.6Ni</v>
          </cell>
          <cell r="AM652" t="str">
            <v/>
          </cell>
          <cell r="AN652" t="str">
            <v>-76.8Ta</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
          </cell>
          <cell r="BB652" t="str">
            <v/>
          </cell>
          <cell r="BC652" t="str">
            <v/>
          </cell>
          <cell r="BD652" t="str">
            <v/>
          </cell>
          <cell r="BE652" t="str">
            <v/>
          </cell>
          <cell r="BF652" t="str">
            <v/>
          </cell>
          <cell r="BG652" t="str">
            <v/>
          </cell>
          <cell r="BH652" t="str">
            <v>B1Zhou, C., Guo, C., Li, C. &amp; Du, Z. Investigation on the intermetallic compound Co 3 Ta and high-temperature phase equilibria in the Co–Ni–Ta system. Intermetallics 108, 1–18 (2019).</v>
          </cell>
          <cell r="BI652" t="str">
            <v>Co-12.6Ni-76.8Ta</v>
          </cell>
          <cell r="BJ652" t="str">
            <v>23.2Co-12.6Ni-76.8Ta</v>
          </cell>
        </row>
        <row r="653">
          <cell r="A653" t="str">
            <v>Co-15.1Ni-68.6Ta</v>
          </cell>
          <cell r="B653" t="str">
            <v>W-free</v>
          </cell>
          <cell r="C653" t="str">
            <v>-15Ni-69Ta</v>
          </cell>
          <cell r="D653" t="str">
            <v>B2</v>
          </cell>
          <cell r="E653" t="str">
            <v>Zhou, C., Guo, C., Li, C. &amp; Du, Z. Investigation on the intermetallic compound Co 3 Ta and high-temperature phase equilibria in the Co–Ni–Ta system. Intermetallics 108, 1–18 (2019).</v>
          </cell>
          <cell r="F653">
            <v>694</v>
          </cell>
          <cell r="G653">
            <v>16.300000000000011</v>
          </cell>
          <cell r="H653">
            <v>15.1</v>
          </cell>
          <cell r="I653"/>
          <cell r="J653"/>
          <cell r="K653"/>
          <cell r="L653"/>
          <cell r="M653">
            <v>68.599999999999994</v>
          </cell>
          <cell r="N653"/>
          <cell r="O653"/>
          <cell r="P653"/>
          <cell r="Q653"/>
          <cell r="R653"/>
          <cell r="S653"/>
          <cell r="T653"/>
          <cell r="U653"/>
          <cell r="V653"/>
          <cell r="W653"/>
          <cell r="X653"/>
          <cell r="Y653"/>
          <cell r="Z653"/>
          <cell r="AA653"/>
          <cell r="AB653"/>
          <cell r="AC653"/>
          <cell r="AD653"/>
          <cell r="AE653"/>
          <cell r="AF653">
            <v>14.217707999999998</v>
          </cell>
          <cell r="AG653"/>
          <cell r="AH653"/>
          <cell r="AI653" t="str">
            <v>Co</v>
          </cell>
          <cell r="AJ653" t="str">
            <v/>
          </cell>
          <cell r="AK653" t="str">
            <v/>
          </cell>
          <cell r="AL653" t="str">
            <v>-15.1Ni</v>
          </cell>
          <cell r="AM653" t="str">
            <v/>
          </cell>
          <cell r="AN653" t="str">
            <v>-68.6Ta</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
          </cell>
          <cell r="BB653" t="str">
            <v/>
          </cell>
          <cell r="BC653" t="str">
            <v/>
          </cell>
          <cell r="BD653" t="str">
            <v/>
          </cell>
          <cell r="BE653" t="str">
            <v/>
          </cell>
          <cell r="BF653" t="str">
            <v/>
          </cell>
          <cell r="BG653" t="str">
            <v/>
          </cell>
          <cell r="BH653" t="str">
            <v>B2Zhou, C., Guo, C., Li, C. &amp; Du, Z. Investigation on the intermetallic compound Co 3 Ta and high-temperature phase equilibria in the Co–Ni–Ta system. Intermetallics 108, 1–18 (2019).</v>
          </cell>
          <cell r="BI653" t="str">
            <v>Co-15.1Ni-68.6Ta</v>
          </cell>
          <cell r="BJ653" t="str">
            <v>31.4Co-15.1Ni-68.6Ta</v>
          </cell>
        </row>
        <row r="654">
          <cell r="A654" t="str">
            <v>Co-11.6Ni-59.1Ta</v>
          </cell>
          <cell r="B654" t="str">
            <v>W-free</v>
          </cell>
          <cell r="C654" t="str">
            <v>-12Ni-59Ta</v>
          </cell>
          <cell r="D654" t="str">
            <v>B3</v>
          </cell>
          <cell r="E654" t="str">
            <v>Zhou, C., Guo, C., Li, C. &amp; Du, Z. Investigation on the intermetallic compound Co 3 Ta and high-temperature phase equilibria in the Co–Ni–Ta system. Intermetallics 108, 1–18 (2019).</v>
          </cell>
          <cell r="F654">
            <v>695</v>
          </cell>
          <cell r="G654">
            <v>29.299999999999997</v>
          </cell>
          <cell r="H654">
            <v>11.6</v>
          </cell>
          <cell r="I654"/>
          <cell r="J654"/>
          <cell r="K654"/>
          <cell r="L654"/>
          <cell r="M654">
            <v>59.1</v>
          </cell>
          <cell r="N654"/>
          <cell r="O654"/>
          <cell r="P654"/>
          <cell r="Q654"/>
          <cell r="R654"/>
          <cell r="S654"/>
          <cell r="T654"/>
          <cell r="U654"/>
          <cell r="V654"/>
          <cell r="W654"/>
          <cell r="X654"/>
          <cell r="Y654"/>
          <cell r="Z654"/>
          <cell r="AA654"/>
          <cell r="AB654"/>
          <cell r="AC654"/>
          <cell r="AD654"/>
          <cell r="AE654"/>
          <cell r="AF654">
            <v>13.481178</v>
          </cell>
          <cell r="AG654"/>
          <cell r="AH654"/>
          <cell r="AI654" t="str">
            <v>Co</v>
          </cell>
          <cell r="AJ654" t="str">
            <v/>
          </cell>
          <cell r="AK654" t="str">
            <v/>
          </cell>
          <cell r="AL654" t="str">
            <v>-11.6Ni</v>
          </cell>
          <cell r="AM654" t="str">
            <v/>
          </cell>
          <cell r="AN654" t="str">
            <v>-59.1Ta</v>
          </cell>
          <cell r="AO654" t="str">
            <v/>
          </cell>
          <cell r="AP654" t="str">
            <v/>
          </cell>
          <cell r="AQ654" t="str">
            <v/>
          </cell>
          <cell r="AR654" t="str">
            <v/>
          </cell>
          <cell r="AS654" t="str">
            <v/>
          </cell>
          <cell r="AT654" t="str">
            <v/>
          </cell>
          <cell r="AU654" t="str">
            <v/>
          </cell>
          <cell r="AV654" t="str">
            <v/>
          </cell>
          <cell r="AW654" t="str">
            <v/>
          </cell>
          <cell r="AX654" t="str">
            <v/>
          </cell>
          <cell r="AY654" t="str">
            <v/>
          </cell>
          <cell r="AZ654" t="str">
            <v/>
          </cell>
          <cell r="BA654" t="str">
            <v/>
          </cell>
          <cell r="BB654" t="str">
            <v/>
          </cell>
          <cell r="BC654" t="str">
            <v/>
          </cell>
          <cell r="BD654" t="str">
            <v/>
          </cell>
          <cell r="BE654" t="str">
            <v/>
          </cell>
          <cell r="BF654" t="str">
            <v/>
          </cell>
          <cell r="BG654" t="str">
            <v/>
          </cell>
          <cell r="BH654" t="str">
            <v>B3Zhou, C., Guo, C., Li, C. &amp; Du, Z. Investigation on the intermetallic compound Co 3 Ta and high-temperature phase equilibria in the Co–Ni–Ta system. Intermetallics 108, 1–18 (2019).</v>
          </cell>
          <cell r="BI654" t="str">
            <v>Co-11.6Ni-59.1Ta</v>
          </cell>
          <cell r="BJ654" t="str">
            <v>40.9Co-11.6Ni-59.1Ta</v>
          </cell>
        </row>
        <row r="655">
          <cell r="A655" t="str">
            <v>Co-28.6Ni-59.2Ta</v>
          </cell>
          <cell r="B655" t="str">
            <v>W-free</v>
          </cell>
          <cell r="C655" t="str">
            <v>-29Ni-59Ta</v>
          </cell>
          <cell r="D655" t="str">
            <v>B4</v>
          </cell>
          <cell r="E655" t="str">
            <v>Zhou, C., Guo, C., Li, C. &amp; Du, Z. Investigation on the intermetallic compound Co 3 Ta and high-temperature phase equilibria in the Co–Ni–Ta system. Intermetallics 108, 1–18 (2019).</v>
          </cell>
          <cell r="F655">
            <v>696</v>
          </cell>
          <cell r="G655">
            <v>12.199999999999989</v>
          </cell>
          <cell r="H655">
            <v>28.6</v>
          </cell>
          <cell r="I655"/>
          <cell r="J655"/>
          <cell r="K655"/>
          <cell r="L655"/>
          <cell r="M655">
            <v>59.2</v>
          </cell>
          <cell r="N655"/>
          <cell r="O655"/>
          <cell r="P655"/>
          <cell r="Q655"/>
          <cell r="R655"/>
          <cell r="S655"/>
          <cell r="T655"/>
          <cell r="U655"/>
          <cell r="V655"/>
          <cell r="W655"/>
          <cell r="X655"/>
          <cell r="Y655"/>
          <cell r="Z655"/>
          <cell r="AA655"/>
          <cell r="AB655"/>
          <cell r="AC655"/>
          <cell r="AD655"/>
          <cell r="AE655"/>
          <cell r="AF655">
            <v>13.490287999999998</v>
          </cell>
          <cell r="AG655"/>
          <cell r="AH655"/>
          <cell r="AI655" t="str">
            <v>Co</v>
          </cell>
          <cell r="AJ655" t="str">
            <v/>
          </cell>
          <cell r="AK655" t="str">
            <v/>
          </cell>
          <cell r="AL655" t="str">
            <v>-28.6Ni</v>
          </cell>
          <cell r="AM655" t="str">
            <v/>
          </cell>
          <cell r="AN655" t="str">
            <v>-59.2Ta</v>
          </cell>
          <cell r="AO655" t="str">
            <v/>
          </cell>
          <cell r="AP655" t="str">
            <v/>
          </cell>
          <cell r="AQ655" t="str">
            <v/>
          </cell>
          <cell r="AR655" t="str">
            <v/>
          </cell>
          <cell r="AS655" t="str">
            <v/>
          </cell>
          <cell r="AT655" t="str">
            <v/>
          </cell>
          <cell r="AU655" t="str">
            <v/>
          </cell>
          <cell r="AV655" t="str">
            <v/>
          </cell>
          <cell r="AW655" t="str">
            <v/>
          </cell>
          <cell r="AX655" t="str">
            <v/>
          </cell>
          <cell r="AY655" t="str">
            <v/>
          </cell>
          <cell r="AZ655" t="str">
            <v/>
          </cell>
          <cell r="BA655" t="str">
            <v/>
          </cell>
          <cell r="BB655" t="str">
            <v/>
          </cell>
          <cell r="BC655" t="str">
            <v/>
          </cell>
          <cell r="BD655" t="str">
            <v/>
          </cell>
          <cell r="BE655" t="str">
            <v/>
          </cell>
          <cell r="BF655" t="str">
            <v/>
          </cell>
          <cell r="BG655" t="str">
            <v/>
          </cell>
          <cell r="BH655" t="str">
            <v>B4Zhou, C., Guo, C., Li, C. &amp; Du, Z. Investigation on the intermetallic compound Co 3 Ta and high-temperature phase equilibria in the Co–Ni–Ta system. Intermetallics 108, 1–18 (2019).</v>
          </cell>
          <cell r="BI655" t="str">
            <v>Co-28.6Ni-59.2Ta</v>
          </cell>
          <cell r="BJ655" t="str">
            <v>40.8Co-28.6Ni-59.2Ta</v>
          </cell>
        </row>
        <row r="656">
          <cell r="A656" t="str">
            <v>Co-11.1Ni-50.7Ta</v>
          </cell>
          <cell r="B656" t="str">
            <v>W-free</v>
          </cell>
          <cell r="C656" t="str">
            <v>-11Ni-51Ta</v>
          </cell>
          <cell r="D656" t="str">
            <v>B5</v>
          </cell>
          <cell r="E656" t="str">
            <v>Zhou, C., Guo, C., Li, C. &amp; Du, Z. Investigation on the intermetallic compound Co 3 Ta and high-temperature phase equilibria in the Co–Ni–Ta system. Intermetallics 108, 1–18 (2019).</v>
          </cell>
          <cell r="F656">
            <v>697</v>
          </cell>
          <cell r="G656">
            <v>38.199999999999996</v>
          </cell>
          <cell r="H656">
            <v>11.1</v>
          </cell>
          <cell r="I656"/>
          <cell r="J656"/>
          <cell r="K656"/>
          <cell r="L656"/>
          <cell r="M656">
            <v>50.7</v>
          </cell>
          <cell r="N656"/>
          <cell r="O656"/>
          <cell r="P656"/>
          <cell r="Q656"/>
          <cell r="R656"/>
          <cell r="S656"/>
          <cell r="T656"/>
          <cell r="U656"/>
          <cell r="V656"/>
          <cell r="W656"/>
          <cell r="X656"/>
          <cell r="Y656"/>
          <cell r="Z656"/>
          <cell r="AA656"/>
          <cell r="AB656"/>
          <cell r="AC656"/>
          <cell r="AD656"/>
          <cell r="AE656"/>
          <cell r="AF656">
            <v>12.830138</v>
          </cell>
          <cell r="AG656"/>
          <cell r="AH656"/>
          <cell r="AI656" t="str">
            <v>Co</v>
          </cell>
          <cell r="AJ656" t="str">
            <v/>
          </cell>
          <cell r="AK656" t="str">
            <v/>
          </cell>
          <cell r="AL656" t="str">
            <v>-11.1Ni</v>
          </cell>
          <cell r="AM656" t="str">
            <v/>
          </cell>
          <cell r="AN656" t="str">
            <v>-50.7Ta</v>
          </cell>
          <cell r="AO656" t="str">
            <v/>
          </cell>
          <cell r="AP656" t="str">
            <v/>
          </cell>
          <cell r="AQ656" t="str">
            <v/>
          </cell>
          <cell r="AR656" t="str">
            <v/>
          </cell>
          <cell r="AS656" t="str">
            <v/>
          </cell>
          <cell r="AT656" t="str">
            <v/>
          </cell>
          <cell r="AU656" t="str">
            <v/>
          </cell>
          <cell r="AV656" t="str">
            <v/>
          </cell>
          <cell r="AW656" t="str">
            <v/>
          </cell>
          <cell r="AX656" t="str">
            <v/>
          </cell>
          <cell r="AY656" t="str">
            <v/>
          </cell>
          <cell r="AZ656" t="str">
            <v/>
          </cell>
          <cell r="BA656" t="str">
            <v/>
          </cell>
          <cell r="BB656" t="str">
            <v/>
          </cell>
          <cell r="BC656" t="str">
            <v/>
          </cell>
          <cell r="BD656" t="str">
            <v/>
          </cell>
          <cell r="BE656" t="str">
            <v/>
          </cell>
          <cell r="BF656" t="str">
            <v/>
          </cell>
          <cell r="BG656" t="str">
            <v/>
          </cell>
          <cell r="BH656" t="str">
            <v>B5Zhou, C., Guo, C., Li, C. &amp; Du, Z. Investigation on the intermetallic compound Co 3 Ta and high-temperature phase equilibria in the Co–Ni–Ta system. Intermetallics 108, 1–18 (2019).</v>
          </cell>
          <cell r="BI656" t="str">
            <v>Co-11.1Ni-50.7Ta</v>
          </cell>
          <cell r="BJ656" t="str">
            <v>49.3Co-11.1Ni-50.7Ta</v>
          </cell>
        </row>
        <row r="657">
          <cell r="A657" t="str">
            <v>Co-39.7Ni-48.7Ta</v>
          </cell>
          <cell r="B657" t="str">
            <v>W-free</v>
          </cell>
          <cell r="C657" t="str">
            <v>-40Ni-49Ta</v>
          </cell>
          <cell r="D657" t="str">
            <v>B6</v>
          </cell>
          <cell r="E657" t="str">
            <v>Zhou, C., Guo, C., Li, C. &amp; Du, Z. Investigation on the intermetallic compound Co 3 Ta and high-temperature phase equilibria in the Co–Ni–Ta system. Intermetallics 108, 1–18 (2019).</v>
          </cell>
          <cell r="F657">
            <v>698</v>
          </cell>
          <cell r="G657">
            <v>11.599999999999994</v>
          </cell>
          <cell r="H657">
            <v>39.700000000000003</v>
          </cell>
          <cell r="I657"/>
          <cell r="J657"/>
          <cell r="K657"/>
          <cell r="L657"/>
          <cell r="M657">
            <v>48.7</v>
          </cell>
          <cell r="N657"/>
          <cell r="O657"/>
          <cell r="P657"/>
          <cell r="Q657"/>
          <cell r="R657"/>
          <cell r="S657"/>
          <cell r="T657"/>
          <cell r="U657"/>
          <cell r="V657"/>
          <cell r="W657"/>
          <cell r="X657"/>
          <cell r="Y657"/>
          <cell r="Z657"/>
          <cell r="AA657"/>
          <cell r="AB657"/>
          <cell r="AC657"/>
          <cell r="AD657"/>
          <cell r="AE657"/>
          <cell r="AF657">
            <v>12.677426000000001</v>
          </cell>
          <cell r="AG657"/>
          <cell r="AH657"/>
          <cell r="AI657" t="str">
            <v>Co</v>
          </cell>
          <cell r="AJ657" t="str">
            <v/>
          </cell>
          <cell r="AK657" t="str">
            <v/>
          </cell>
          <cell r="AL657" t="str">
            <v>-39.7Ni</v>
          </cell>
          <cell r="AM657" t="str">
            <v/>
          </cell>
          <cell r="AN657" t="str">
            <v>-48.7Ta</v>
          </cell>
          <cell r="AO657" t="str">
            <v/>
          </cell>
          <cell r="AP657" t="str">
            <v/>
          </cell>
          <cell r="AQ657" t="str">
            <v/>
          </cell>
          <cell r="AR657" t="str">
            <v/>
          </cell>
          <cell r="AS657" t="str">
            <v/>
          </cell>
          <cell r="AT657" t="str">
            <v/>
          </cell>
          <cell r="AU657" t="str">
            <v/>
          </cell>
          <cell r="AV657" t="str">
            <v/>
          </cell>
          <cell r="AW657" t="str">
            <v/>
          </cell>
          <cell r="AX657" t="str">
            <v/>
          </cell>
          <cell r="AY657" t="str">
            <v/>
          </cell>
          <cell r="AZ657" t="str">
            <v/>
          </cell>
          <cell r="BA657" t="str">
            <v/>
          </cell>
          <cell r="BB657" t="str">
            <v/>
          </cell>
          <cell r="BC657" t="str">
            <v/>
          </cell>
          <cell r="BD657" t="str">
            <v/>
          </cell>
          <cell r="BE657" t="str">
            <v/>
          </cell>
          <cell r="BF657" t="str">
            <v/>
          </cell>
          <cell r="BG657" t="str">
            <v/>
          </cell>
          <cell r="BH657" t="str">
            <v>B6Zhou, C., Guo, C., Li, C. &amp; Du, Z. Investigation on the intermetallic compound Co 3 Ta and high-temperature phase equilibria in the Co–Ni–Ta system. Intermetallics 108, 1–18 (2019).</v>
          </cell>
          <cell r="BI657" t="str">
            <v>Co-39.7Ni-48.7Ta</v>
          </cell>
          <cell r="BJ657" t="str">
            <v>51.3Co-39.7Ni-48.7Ta</v>
          </cell>
        </row>
        <row r="658">
          <cell r="A658" t="str">
            <v>Co-9.Ni-41.1Ta</v>
          </cell>
          <cell r="B658" t="str">
            <v>W-free</v>
          </cell>
          <cell r="C658" t="str">
            <v>-9Ni-41Ta</v>
          </cell>
          <cell r="D658" t="str">
            <v>B7</v>
          </cell>
          <cell r="E658" t="str">
            <v>Zhou, C., Guo, C., Li, C. &amp; Du, Z. Investigation on the intermetallic compound Co 3 Ta and high-temperature phase equilibria in the Co–Ni–Ta system. Intermetallics 108, 1–18 (2019).</v>
          </cell>
          <cell r="F658">
            <v>699</v>
          </cell>
          <cell r="G658">
            <v>49.9</v>
          </cell>
          <cell r="H658">
            <v>9</v>
          </cell>
          <cell r="I658"/>
          <cell r="J658"/>
          <cell r="K658"/>
          <cell r="L658"/>
          <cell r="M658">
            <v>41.1</v>
          </cell>
          <cell r="N658"/>
          <cell r="O658"/>
          <cell r="P658"/>
          <cell r="Q658"/>
          <cell r="R658"/>
          <cell r="S658"/>
          <cell r="T658"/>
          <cell r="U658"/>
          <cell r="V658"/>
          <cell r="W658"/>
          <cell r="X658"/>
          <cell r="Y658"/>
          <cell r="Z658"/>
          <cell r="AA658"/>
          <cell r="AB658"/>
          <cell r="AC658"/>
          <cell r="AD658"/>
          <cell r="AE658"/>
          <cell r="AF658">
            <v>12.08597</v>
          </cell>
          <cell r="AG658"/>
          <cell r="AH658"/>
          <cell r="AI658" t="str">
            <v>Co</v>
          </cell>
          <cell r="AJ658" t="str">
            <v/>
          </cell>
          <cell r="AK658" t="str">
            <v/>
          </cell>
          <cell r="AL658" t="str">
            <v>-9.Ni</v>
          </cell>
          <cell r="AM658" t="str">
            <v/>
          </cell>
          <cell r="AN658" t="str">
            <v>-41.1Ta</v>
          </cell>
          <cell r="AO658" t="str">
            <v/>
          </cell>
          <cell r="AP658" t="str">
            <v/>
          </cell>
          <cell r="AQ658" t="str">
            <v/>
          </cell>
          <cell r="AR658" t="str">
            <v/>
          </cell>
          <cell r="AS658" t="str">
            <v/>
          </cell>
          <cell r="AT658" t="str">
            <v/>
          </cell>
          <cell r="AU658" t="str">
            <v/>
          </cell>
          <cell r="AV658" t="str">
            <v/>
          </cell>
          <cell r="AW658" t="str">
            <v/>
          </cell>
          <cell r="AX658" t="str">
            <v/>
          </cell>
          <cell r="AY658" t="str">
            <v/>
          </cell>
          <cell r="AZ658" t="str">
            <v/>
          </cell>
          <cell r="BA658" t="str">
            <v/>
          </cell>
          <cell r="BB658" t="str">
            <v/>
          </cell>
          <cell r="BC658" t="str">
            <v/>
          </cell>
          <cell r="BD658" t="str">
            <v/>
          </cell>
          <cell r="BE658" t="str">
            <v/>
          </cell>
          <cell r="BF658" t="str">
            <v/>
          </cell>
          <cell r="BG658" t="str">
            <v/>
          </cell>
          <cell r="BH658" t="str">
            <v>B7Zhou, C., Guo, C., Li, C. &amp; Du, Z. Investigation on the intermetallic compound Co 3 Ta and high-temperature phase equilibria in the Co–Ni–Ta system. Intermetallics 108, 1–18 (2019).</v>
          </cell>
          <cell r="BI658" t="str">
            <v>Co-9.Ni-41.1Ta</v>
          </cell>
          <cell r="BJ658" t="str">
            <v>58.9Co-9.0Ni-41.1Ta</v>
          </cell>
        </row>
        <row r="659">
          <cell r="A659" t="str">
            <v>Co-40.1Ni-40.6Ta</v>
          </cell>
          <cell r="B659" t="str">
            <v>W-free</v>
          </cell>
          <cell r="C659" t="str">
            <v>-40Ni-41Ta</v>
          </cell>
          <cell r="D659" t="str">
            <v>B8</v>
          </cell>
          <cell r="E659" t="str">
            <v>Zhou, C., Guo, C., Li, C. &amp; Du, Z. Investigation on the intermetallic compound Co 3 Ta and high-temperature phase equilibria in the Co–Ni–Ta system. Intermetallics 108, 1–18 (2019).</v>
          </cell>
          <cell r="F659">
            <v>700</v>
          </cell>
          <cell r="G659">
            <v>19.299999999999997</v>
          </cell>
          <cell r="H659">
            <v>40.1</v>
          </cell>
          <cell r="I659"/>
          <cell r="J659"/>
          <cell r="K659"/>
          <cell r="L659"/>
          <cell r="M659">
            <v>40.6</v>
          </cell>
          <cell r="N659"/>
          <cell r="O659"/>
          <cell r="P659"/>
          <cell r="Q659"/>
          <cell r="R659"/>
          <cell r="S659"/>
          <cell r="T659"/>
          <cell r="U659"/>
          <cell r="V659"/>
          <cell r="W659"/>
          <cell r="X659"/>
          <cell r="Y659"/>
          <cell r="Z659"/>
          <cell r="AA659"/>
          <cell r="AB659"/>
          <cell r="AC659"/>
          <cell r="AD659"/>
          <cell r="AE659"/>
          <cell r="AF659">
            <v>12.049708000000001</v>
          </cell>
          <cell r="AG659"/>
          <cell r="AH659"/>
          <cell r="AI659" t="str">
            <v>Co</v>
          </cell>
          <cell r="AJ659" t="str">
            <v/>
          </cell>
          <cell r="AK659" t="str">
            <v/>
          </cell>
          <cell r="AL659" t="str">
            <v>-40.1Ni</v>
          </cell>
          <cell r="AM659" t="str">
            <v/>
          </cell>
          <cell r="AN659" t="str">
            <v>-40.6Ta</v>
          </cell>
          <cell r="AO659" t="str">
            <v/>
          </cell>
          <cell r="AP659" t="str">
            <v/>
          </cell>
          <cell r="AQ659" t="str">
            <v/>
          </cell>
          <cell r="AR659" t="str">
            <v/>
          </cell>
          <cell r="AS659" t="str">
            <v/>
          </cell>
          <cell r="AT659" t="str">
            <v/>
          </cell>
          <cell r="AU659" t="str">
            <v/>
          </cell>
          <cell r="AV659" t="str">
            <v/>
          </cell>
          <cell r="AW659" t="str">
            <v/>
          </cell>
          <cell r="AX659" t="str">
            <v/>
          </cell>
          <cell r="AY659" t="str">
            <v/>
          </cell>
          <cell r="AZ659" t="str">
            <v/>
          </cell>
          <cell r="BA659" t="str">
            <v/>
          </cell>
          <cell r="BB659" t="str">
            <v/>
          </cell>
          <cell r="BC659" t="str">
            <v/>
          </cell>
          <cell r="BD659" t="str">
            <v/>
          </cell>
          <cell r="BE659" t="str">
            <v/>
          </cell>
          <cell r="BF659" t="str">
            <v/>
          </cell>
          <cell r="BG659" t="str">
            <v/>
          </cell>
          <cell r="BH659" t="str">
            <v>B8Zhou, C., Guo, C., Li, C. &amp; Du, Z. Investigation on the intermetallic compound Co 3 Ta and high-temperature phase equilibria in the Co–Ni–Ta system. Intermetallics 108, 1–18 (2019).</v>
          </cell>
          <cell r="BI659" t="str">
            <v>Co-40.1Ni-40.6Ta</v>
          </cell>
          <cell r="BJ659" t="str">
            <v>59.4Co-40.1Ni-40.6Ta</v>
          </cell>
        </row>
        <row r="660">
          <cell r="A660" t="str">
            <v>Co-10.4Ni-30.3Ta</v>
          </cell>
          <cell r="B660" t="str">
            <v>W-free</v>
          </cell>
          <cell r="C660" t="str">
            <v>-10Ni-30Ta</v>
          </cell>
          <cell r="D660" t="str">
            <v>B9</v>
          </cell>
          <cell r="E660" t="str">
            <v>Zhou, C., Guo, C., Li, C. &amp; Du, Z. Investigation on the intermetallic compound Co 3 Ta and high-temperature phase equilibria in the Co–Ni–Ta system. Intermetallics 108, 1–18 (2019).</v>
          </cell>
          <cell r="F660">
            <v>701</v>
          </cell>
          <cell r="G660">
            <v>59.3</v>
          </cell>
          <cell r="H660">
            <v>10.4</v>
          </cell>
          <cell r="I660"/>
          <cell r="J660"/>
          <cell r="K660"/>
          <cell r="L660"/>
          <cell r="M660">
            <v>30.3</v>
          </cell>
          <cell r="N660"/>
          <cell r="O660"/>
          <cell r="P660"/>
          <cell r="Q660"/>
          <cell r="R660"/>
          <cell r="S660"/>
          <cell r="T660"/>
          <cell r="U660"/>
          <cell r="V660"/>
          <cell r="W660"/>
          <cell r="X660"/>
          <cell r="Y660"/>
          <cell r="Z660"/>
          <cell r="AA660"/>
          <cell r="AB660"/>
          <cell r="AC660"/>
          <cell r="AD660"/>
          <cell r="AE660"/>
          <cell r="AF660">
            <v>11.249081999999998</v>
          </cell>
          <cell r="AG660"/>
          <cell r="AH660"/>
          <cell r="AI660" t="str">
            <v>Co</v>
          </cell>
          <cell r="AJ660" t="str">
            <v/>
          </cell>
          <cell r="AK660" t="str">
            <v/>
          </cell>
          <cell r="AL660" t="str">
            <v>-10.4Ni</v>
          </cell>
          <cell r="AM660" t="str">
            <v/>
          </cell>
          <cell r="AN660" t="str">
            <v>-30.3Ta</v>
          </cell>
          <cell r="AO660" t="str">
            <v/>
          </cell>
          <cell r="AP660" t="str">
            <v/>
          </cell>
          <cell r="AQ660" t="str">
            <v/>
          </cell>
          <cell r="AR660" t="str">
            <v/>
          </cell>
          <cell r="AS660" t="str">
            <v/>
          </cell>
          <cell r="AT660" t="str">
            <v/>
          </cell>
          <cell r="AU660" t="str">
            <v/>
          </cell>
          <cell r="AV660" t="str">
            <v/>
          </cell>
          <cell r="AW660" t="str">
            <v/>
          </cell>
          <cell r="AX660" t="str">
            <v/>
          </cell>
          <cell r="AY660" t="str">
            <v/>
          </cell>
          <cell r="AZ660" t="str">
            <v/>
          </cell>
          <cell r="BA660" t="str">
            <v/>
          </cell>
          <cell r="BB660" t="str">
            <v/>
          </cell>
          <cell r="BC660" t="str">
            <v/>
          </cell>
          <cell r="BD660" t="str">
            <v/>
          </cell>
          <cell r="BE660" t="str">
            <v/>
          </cell>
          <cell r="BF660" t="str">
            <v/>
          </cell>
          <cell r="BG660" t="str">
            <v/>
          </cell>
          <cell r="BH660" t="str">
            <v>B9Zhou, C., Guo, C., Li, C. &amp; Du, Z. Investigation on the intermetallic compound Co 3 Ta and high-temperature phase equilibria in the Co–Ni–Ta system. Intermetallics 108, 1–18 (2019).</v>
          </cell>
          <cell r="BI660" t="str">
            <v>Co-10.4Ni-30.3Ta</v>
          </cell>
          <cell r="BJ660" t="str">
            <v>69.7Co-10.4Ni-30.3Ta</v>
          </cell>
        </row>
        <row r="661">
          <cell r="A661" t="str">
            <v>Co-18.6Ni-30.6Ta</v>
          </cell>
          <cell r="B661" t="str">
            <v>W-free</v>
          </cell>
          <cell r="C661" t="str">
            <v>-19Ni-31Ta</v>
          </cell>
          <cell r="D661" t="str">
            <v>B10</v>
          </cell>
          <cell r="E661" t="str">
            <v>Zhou, C., Guo, C., Li, C. &amp; Du, Z. Investigation on the intermetallic compound Co 3 Ta and high-temperature phase equilibria in the Co–Ni–Ta system. Intermetallics 108, 1–18 (2019).</v>
          </cell>
          <cell r="F661">
            <v>702</v>
          </cell>
          <cell r="G661">
            <v>50.8</v>
          </cell>
          <cell r="H661">
            <v>18.600000000000001</v>
          </cell>
          <cell r="I661"/>
          <cell r="J661"/>
          <cell r="K661"/>
          <cell r="L661"/>
          <cell r="M661">
            <v>30.6</v>
          </cell>
          <cell r="N661"/>
          <cell r="O661"/>
          <cell r="P661"/>
          <cell r="Q661"/>
          <cell r="R661"/>
          <cell r="S661"/>
          <cell r="T661"/>
          <cell r="U661"/>
          <cell r="V661"/>
          <cell r="W661"/>
          <cell r="X661"/>
          <cell r="Y661"/>
          <cell r="Z661"/>
          <cell r="AA661"/>
          <cell r="AB661"/>
          <cell r="AC661"/>
          <cell r="AD661"/>
          <cell r="AE661"/>
          <cell r="AF661">
            <v>11.272988</v>
          </cell>
          <cell r="AG661"/>
          <cell r="AH661"/>
          <cell r="AI661" t="str">
            <v>Co</v>
          </cell>
          <cell r="AJ661" t="str">
            <v/>
          </cell>
          <cell r="AK661" t="str">
            <v/>
          </cell>
          <cell r="AL661" t="str">
            <v>-18.6Ni</v>
          </cell>
          <cell r="AM661" t="str">
            <v/>
          </cell>
          <cell r="AN661" t="str">
            <v>-30.6Ta</v>
          </cell>
          <cell r="AO661" t="str">
            <v/>
          </cell>
          <cell r="AP661" t="str">
            <v/>
          </cell>
          <cell r="AQ661" t="str">
            <v/>
          </cell>
          <cell r="AR661" t="str">
            <v/>
          </cell>
          <cell r="AS661" t="str">
            <v/>
          </cell>
          <cell r="AT661" t="str">
            <v/>
          </cell>
          <cell r="AU661" t="str">
            <v/>
          </cell>
          <cell r="AV661" t="str">
            <v/>
          </cell>
          <cell r="AW661" t="str">
            <v/>
          </cell>
          <cell r="AX661" t="str">
            <v/>
          </cell>
          <cell r="AY661" t="str">
            <v/>
          </cell>
          <cell r="AZ661" t="str">
            <v/>
          </cell>
          <cell r="BA661" t="str">
            <v/>
          </cell>
          <cell r="BB661" t="str">
            <v/>
          </cell>
          <cell r="BC661" t="str">
            <v/>
          </cell>
          <cell r="BD661" t="str">
            <v/>
          </cell>
          <cell r="BE661" t="str">
            <v/>
          </cell>
          <cell r="BF661" t="str">
            <v/>
          </cell>
          <cell r="BG661" t="str">
            <v/>
          </cell>
          <cell r="BH661" t="str">
            <v>B10Zhou, C., Guo, C., Li, C. &amp; Du, Z. Investigation on the intermetallic compound Co 3 Ta and high-temperature phase equilibria in the Co–Ni–Ta system. Intermetallics 108, 1–18 (2019).</v>
          </cell>
          <cell r="BI661" t="str">
            <v>Co-18.6Ni-30.6Ta</v>
          </cell>
          <cell r="BJ661" t="str">
            <v>69.4Co-18.6Ni-30.6Ta</v>
          </cell>
        </row>
        <row r="662">
          <cell r="A662" t="str">
            <v>Co-26.8Ni-29.2Ta</v>
          </cell>
          <cell r="B662" t="str">
            <v>W-free</v>
          </cell>
          <cell r="C662" t="str">
            <v>-27Ni-29Ta</v>
          </cell>
          <cell r="D662" t="str">
            <v>B11</v>
          </cell>
          <cell r="E662" t="str">
            <v>Zhou, C., Guo, C., Li, C. &amp; Du, Z. Investigation on the intermetallic compound Co 3 Ta and high-temperature phase equilibria in the Co–Ni–Ta system. Intermetallics 108, 1–18 (2019).</v>
          </cell>
          <cell r="F662">
            <v>703</v>
          </cell>
          <cell r="G662">
            <v>43.980000000000004</v>
          </cell>
          <cell r="H662">
            <v>26.8</v>
          </cell>
          <cell r="I662"/>
          <cell r="J662"/>
          <cell r="K662"/>
          <cell r="L662"/>
          <cell r="M662">
            <v>29.22</v>
          </cell>
          <cell r="N662"/>
          <cell r="O662"/>
          <cell r="P662"/>
          <cell r="Q662"/>
          <cell r="R662"/>
          <cell r="S662"/>
          <cell r="T662"/>
          <cell r="U662"/>
          <cell r="V662"/>
          <cell r="W662"/>
          <cell r="X662"/>
          <cell r="Y662"/>
          <cell r="Z662"/>
          <cell r="AA662"/>
          <cell r="AB662"/>
          <cell r="AC662"/>
          <cell r="AD662"/>
          <cell r="AE662"/>
          <cell r="AF662">
            <v>11.166694</v>
          </cell>
          <cell r="AG662"/>
          <cell r="AH662"/>
          <cell r="AI662" t="str">
            <v>Co</v>
          </cell>
          <cell r="AJ662" t="str">
            <v/>
          </cell>
          <cell r="AK662" t="str">
            <v/>
          </cell>
          <cell r="AL662" t="str">
            <v>-26.8Ni</v>
          </cell>
          <cell r="AM662" t="str">
            <v/>
          </cell>
          <cell r="AN662" t="str">
            <v>-29.2Ta</v>
          </cell>
          <cell r="AO662" t="str">
            <v/>
          </cell>
          <cell r="AP662" t="str">
            <v/>
          </cell>
          <cell r="AQ662" t="str">
            <v/>
          </cell>
          <cell r="AR662" t="str">
            <v/>
          </cell>
          <cell r="AS662" t="str">
            <v/>
          </cell>
          <cell r="AT662" t="str">
            <v/>
          </cell>
          <cell r="AU662" t="str">
            <v/>
          </cell>
          <cell r="AV662" t="str">
            <v/>
          </cell>
          <cell r="AW662" t="str">
            <v/>
          </cell>
          <cell r="AX662" t="str">
            <v/>
          </cell>
          <cell r="AY662" t="str">
            <v/>
          </cell>
          <cell r="AZ662" t="str">
            <v/>
          </cell>
          <cell r="BA662" t="str">
            <v/>
          </cell>
          <cell r="BB662" t="str">
            <v/>
          </cell>
          <cell r="BC662" t="str">
            <v/>
          </cell>
          <cell r="BD662" t="str">
            <v/>
          </cell>
          <cell r="BE662" t="str">
            <v/>
          </cell>
          <cell r="BF662" t="str">
            <v/>
          </cell>
          <cell r="BG662" t="str">
            <v/>
          </cell>
          <cell r="BH662" t="str">
            <v>B11Zhou, C., Guo, C., Li, C. &amp; Du, Z. Investigation on the intermetallic compound Co 3 Ta and high-temperature phase equilibria in the Co–Ni–Ta system. Intermetallics 108, 1–18 (2019).</v>
          </cell>
          <cell r="BI662" t="str">
            <v>Co-26.8Ni-29.2Ta</v>
          </cell>
          <cell r="BJ662" t="str">
            <v>70.8Co-26.8Ni-29.2Ta</v>
          </cell>
        </row>
        <row r="663">
          <cell r="A663" t="str">
            <v>Co-3.1Ni-29.9Ta</v>
          </cell>
          <cell r="B663" t="str">
            <v>W-free</v>
          </cell>
          <cell r="C663" t="str">
            <v>-3Ni-30Ta</v>
          </cell>
          <cell r="D663" t="str">
            <v>B12</v>
          </cell>
          <cell r="E663" t="str">
            <v>Zhou, C., Guo, C., Li, C. &amp; Du, Z. Investigation on the intermetallic compound Co 3 Ta and high-temperature phase equilibria in the Co–Ni–Ta system. Intermetallics 108, 1–18 (2019).</v>
          </cell>
          <cell r="F663">
            <v>704</v>
          </cell>
          <cell r="G663">
            <v>66.990000000000009</v>
          </cell>
          <cell r="H663">
            <v>3.11</v>
          </cell>
          <cell r="I663"/>
          <cell r="J663"/>
          <cell r="K663"/>
          <cell r="L663"/>
          <cell r="M663">
            <v>29.9</v>
          </cell>
          <cell r="N663"/>
          <cell r="O663"/>
          <cell r="P663"/>
          <cell r="Q663"/>
          <cell r="R663"/>
          <cell r="S663"/>
          <cell r="T663"/>
          <cell r="U663"/>
          <cell r="V663"/>
          <cell r="W663"/>
          <cell r="X663"/>
          <cell r="Y663"/>
          <cell r="Z663"/>
          <cell r="AA663"/>
          <cell r="AB663"/>
          <cell r="AC663"/>
          <cell r="AD663"/>
          <cell r="AE663"/>
          <cell r="AF663">
            <v>11.217498800000001</v>
          </cell>
          <cell r="AG663"/>
          <cell r="AH663"/>
          <cell r="AI663" t="str">
            <v>Co</v>
          </cell>
          <cell r="AJ663" t="str">
            <v/>
          </cell>
          <cell r="AK663" t="str">
            <v/>
          </cell>
          <cell r="AL663" t="str">
            <v>-3.1Ni</v>
          </cell>
          <cell r="AM663" t="str">
            <v/>
          </cell>
          <cell r="AN663" t="str">
            <v>-29.9Ta</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
          </cell>
          <cell r="BB663" t="str">
            <v/>
          </cell>
          <cell r="BC663" t="str">
            <v/>
          </cell>
          <cell r="BD663" t="str">
            <v/>
          </cell>
          <cell r="BE663" t="str">
            <v/>
          </cell>
          <cell r="BF663" t="str">
            <v/>
          </cell>
          <cell r="BG663" t="str">
            <v/>
          </cell>
          <cell r="BH663" t="str">
            <v>B12Zhou, C., Guo, C., Li, C. &amp; Du, Z. Investigation on the intermetallic compound Co 3 Ta and high-temperature phase equilibria in the Co–Ni–Ta system. Intermetallics 108, 1–18 (2019).</v>
          </cell>
          <cell r="BI663" t="str">
            <v>Co-3.1Ni-29.9Ta</v>
          </cell>
          <cell r="BJ663" t="str">
            <v>70.1Co-3.1Ni-29.9Ta</v>
          </cell>
        </row>
        <row r="664">
          <cell r="A664" t="str">
            <v>Co-36.7Ni-29.8Ta</v>
          </cell>
          <cell r="B664" t="str">
            <v>W-free</v>
          </cell>
          <cell r="C664" t="str">
            <v>-37Ni-30Ta</v>
          </cell>
          <cell r="D664" t="str">
            <v>B13</v>
          </cell>
          <cell r="E664" t="str">
            <v>Zhou, C., Guo, C., Li, C. &amp; Du, Z. Investigation on the intermetallic compound Co 3 Ta and high-temperature phase equilibria in the Co–Ni–Ta system. Intermetallics 108, 1–18 (2019).</v>
          </cell>
          <cell r="F664">
            <v>705</v>
          </cell>
          <cell r="G664">
            <v>33.5</v>
          </cell>
          <cell r="H664">
            <v>36.700000000000003</v>
          </cell>
          <cell r="I664"/>
          <cell r="J664"/>
          <cell r="K664"/>
          <cell r="L664"/>
          <cell r="M664">
            <v>29.8</v>
          </cell>
          <cell r="N664"/>
          <cell r="O664"/>
          <cell r="P664"/>
          <cell r="Q664"/>
          <cell r="R664"/>
          <cell r="S664"/>
          <cell r="T664"/>
          <cell r="U664"/>
          <cell r="V664"/>
          <cell r="W664"/>
          <cell r="X664"/>
          <cell r="Y664"/>
          <cell r="Z664"/>
          <cell r="AA664"/>
          <cell r="AB664"/>
          <cell r="AC664"/>
          <cell r="AD664"/>
          <cell r="AE664"/>
          <cell r="AF664">
            <v>11.212436</v>
          </cell>
          <cell r="AG664"/>
          <cell r="AH664"/>
          <cell r="AI664" t="str">
            <v>Co</v>
          </cell>
          <cell r="AJ664" t="str">
            <v/>
          </cell>
          <cell r="AK664" t="str">
            <v/>
          </cell>
          <cell r="AL664" t="str">
            <v>-36.7Ni</v>
          </cell>
          <cell r="AM664" t="str">
            <v/>
          </cell>
          <cell r="AN664" t="str">
            <v>-29.8Ta</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
          </cell>
          <cell r="BB664" t="str">
            <v/>
          </cell>
          <cell r="BC664" t="str">
            <v/>
          </cell>
          <cell r="BD664" t="str">
            <v/>
          </cell>
          <cell r="BE664" t="str">
            <v/>
          </cell>
          <cell r="BF664" t="str">
            <v/>
          </cell>
          <cell r="BG664" t="str">
            <v/>
          </cell>
          <cell r="BH664" t="str">
            <v>B13Zhou, C., Guo, C., Li, C. &amp; Du, Z. Investigation on the intermetallic compound Co 3 Ta and high-temperature phase equilibria in the Co–Ni–Ta system. Intermetallics 108, 1–18 (2019).</v>
          </cell>
          <cell r="BI664" t="str">
            <v>Co-36.7Ni-29.8Ta</v>
          </cell>
          <cell r="BJ664" t="str">
            <v>70.2Co-36.7Ni-29.8Ta</v>
          </cell>
        </row>
        <row r="665">
          <cell r="A665" t="str">
            <v>Co-40.6Ni-30.Ta</v>
          </cell>
          <cell r="B665" t="str">
            <v>W-free</v>
          </cell>
          <cell r="C665" t="str">
            <v>-41Ni-30Ta</v>
          </cell>
          <cell r="D665" t="str">
            <v>B14</v>
          </cell>
          <cell r="E665" t="str">
            <v>Zhou, C., Guo, C., Li, C. &amp; Du, Z. Investigation on the intermetallic compound Co 3 Ta and high-temperature phase equilibria in the Co–Ni–Ta system. Intermetallics 108, 1–18 (2019).</v>
          </cell>
          <cell r="F665">
            <v>706</v>
          </cell>
          <cell r="G665">
            <v>29.400000000000006</v>
          </cell>
          <cell r="H665">
            <v>40.6</v>
          </cell>
          <cell r="I665"/>
          <cell r="J665"/>
          <cell r="K665"/>
          <cell r="L665"/>
          <cell r="M665">
            <v>30</v>
          </cell>
          <cell r="N665"/>
          <cell r="O665"/>
          <cell r="P665"/>
          <cell r="Q665"/>
          <cell r="R665"/>
          <cell r="S665"/>
          <cell r="T665"/>
          <cell r="U665"/>
          <cell r="V665"/>
          <cell r="W665"/>
          <cell r="X665"/>
          <cell r="Y665"/>
          <cell r="Z665"/>
          <cell r="AA665"/>
          <cell r="AB665"/>
          <cell r="AC665"/>
          <cell r="AD665"/>
          <cell r="AE665"/>
          <cell r="AF665">
            <v>11.228248000000001</v>
          </cell>
          <cell r="AG665"/>
          <cell r="AH665"/>
          <cell r="AI665" t="str">
            <v>Co</v>
          </cell>
          <cell r="AJ665" t="str">
            <v/>
          </cell>
          <cell r="AK665" t="str">
            <v/>
          </cell>
          <cell r="AL665" t="str">
            <v>-40.6Ni</v>
          </cell>
          <cell r="AM665" t="str">
            <v/>
          </cell>
          <cell r="AN665" t="str">
            <v>-30.Ta</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
          </cell>
          <cell r="BB665" t="str">
            <v/>
          </cell>
          <cell r="BC665" t="str">
            <v/>
          </cell>
          <cell r="BD665" t="str">
            <v/>
          </cell>
          <cell r="BE665" t="str">
            <v/>
          </cell>
          <cell r="BF665" t="str">
            <v/>
          </cell>
          <cell r="BG665" t="str">
            <v/>
          </cell>
          <cell r="BH665" t="str">
            <v>B14Zhou, C., Guo, C., Li, C. &amp; Du, Z. Investigation on the intermetallic compound Co 3 Ta and high-temperature phase equilibria in the Co–Ni–Ta system. Intermetallics 108, 1–18 (2019).</v>
          </cell>
          <cell r="BI665" t="str">
            <v>Co-40.6Ni-30.Ta</v>
          </cell>
          <cell r="BJ665" t="str">
            <v>70.0Co-40.6Ni-30.0Ta</v>
          </cell>
        </row>
        <row r="666">
          <cell r="A666" t="str">
            <v>Co-46.7Ni-29.2Ta</v>
          </cell>
          <cell r="B666" t="str">
            <v>W-free</v>
          </cell>
          <cell r="C666" t="str">
            <v>-47Ni-29Ta</v>
          </cell>
          <cell r="D666" t="str">
            <v>B15</v>
          </cell>
          <cell r="E666" t="str">
            <v>Zhou, C., Guo, C., Li, C. &amp; Du, Z. Investigation on the intermetallic compound Co 3 Ta and high-temperature phase equilibria in the Co–Ni–Ta system. Intermetallics 108, 1–18 (2019).</v>
          </cell>
          <cell r="F666">
            <v>707</v>
          </cell>
          <cell r="G666">
            <v>24.099999999999994</v>
          </cell>
          <cell r="H666">
            <v>46.7</v>
          </cell>
          <cell r="I666"/>
          <cell r="J666"/>
          <cell r="K666"/>
          <cell r="L666"/>
          <cell r="M666">
            <v>29.2</v>
          </cell>
          <cell r="N666"/>
          <cell r="O666"/>
          <cell r="P666"/>
          <cell r="Q666"/>
          <cell r="R666"/>
          <cell r="S666"/>
          <cell r="T666"/>
          <cell r="U666"/>
          <cell r="V666"/>
          <cell r="W666"/>
          <cell r="X666"/>
          <cell r="Y666"/>
          <cell r="Z666"/>
          <cell r="AA666"/>
          <cell r="AB666"/>
          <cell r="AC666"/>
          <cell r="AD666"/>
          <cell r="AE666"/>
          <cell r="AF666">
            <v>11.166736</v>
          </cell>
          <cell r="AG666"/>
          <cell r="AH666"/>
          <cell r="AI666" t="str">
            <v>Co</v>
          </cell>
          <cell r="AJ666" t="str">
            <v/>
          </cell>
          <cell r="AK666" t="str">
            <v/>
          </cell>
          <cell r="AL666" t="str">
            <v>-46.7Ni</v>
          </cell>
          <cell r="AM666" t="str">
            <v/>
          </cell>
          <cell r="AN666" t="str">
            <v>-29.2Ta</v>
          </cell>
          <cell r="AO666" t="str">
            <v/>
          </cell>
          <cell r="AP666" t="str">
            <v/>
          </cell>
          <cell r="AQ666" t="str">
            <v/>
          </cell>
          <cell r="AR666" t="str">
            <v/>
          </cell>
          <cell r="AS666" t="str">
            <v/>
          </cell>
          <cell r="AT666" t="str">
            <v/>
          </cell>
          <cell r="AU666" t="str">
            <v/>
          </cell>
          <cell r="AV666" t="str">
            <v/>
          </cell>
          <cell r="AW666" t="str">
            <v/>
          </cell>
          <cell r="AX666" t="str">
            <v/>
          </cell>
          <cell r="AY666" t="str">
            <v/>
          </cell>
          <cell r="AZ666" t="str">
            <v/>
          </cell>
          <cell r="BA666" t="str">
            <v/>
          </cell>
          <cell r="BB666" t="str">
            <v/>
          </cell>
          <cell r="BC666" t="str">
            <v/>
          </cell>
          <cell r="BD666" t="str">
            <v/>
          </cell>
          <cell r="BE666" t="str">
            <v/>
          </cell>
          <cell r="BF666" t="str">
            <v/>
          </cell>
          <cell r="BG666" t="str">
            <v/>
          </cell>
          <cell r="BH666" t="str">
            <v>B15Zhou, C., Guo, C., Li, C. &amp; Du, Z. Investigation on the intermetallic compound Co 3 Ta and high-temperature phase equilibria in the Co–Ni–Ta system. Intermetallics 108, 1–18 (2019).</v>
          </cell>
          <cell r="BI666" t="str">
            <v>Co-46.7Ni-29.2Ta</v>
          </cell>
          <cell r="BJ666" t="str">
            <v>70.8Co-46.7Ni-29.2Ta</v>
          </cell>
        </row>
        <row r="667">
          <cell r="A667" t="str">
            <v>Co-50.9Ni-30.1Ta</v>
          </cell>
          <cell r="B667" t="str">
            <v>W-free</v>
          </cell>
          <cell r="C667" t="str">
            <v>-51Ni-30Ta</v>
          </cell>
          <cell r="D667" t="str">
            <v>B16</v>
          </cell>
          <cell r="E667" t="str">
            <v>Zhou, C., Guo, C., Li, C. &amp; Du, Z. Investigation on the intermetallic compound Co 3 Ta and high-temperature phase equilibria in the Co–Ni–Ta system. Intermetallics 108, 1–18 (2019).</v>
          </cell>
          <cell r="F667">
            <v>708</v>
          </cell>
          <cell r="G667">
            <v>19</v>
          </cell>
          <cell r="H667">
            <v>50.9</v>
          </cell>
          <cell r="I667"/>
          <cell r="J667"/>
          <cell r="K667"/>
          <cell r="L667"/>
          <cell r="M667">
            <v>30.1</v>
          </cell>
          <cell r="N667"/>
          <cell r="O667"/>
          <cell r="P667"/>
          <cell r="Q667"/>
          <cell r="R667"/>
          <cell r="S667"/>
          <cell r="T667"/>
          <cell r="U667"/>
          <cell r="V667"/>
          <cell r="W667"/>
          <cell r="X667"/>
          <cell r="Y667"/>
          <cell r="Z667"/>
          <cell r="AA667"/>
          <cell r="AB667"/>
          <cell r="AC667"/>
          <cell r="AD667"/>
          <cell r="AE667"/>
          <cell r="AF667">
            <v>11.236822</v>
          </cell>
          <cell r="AG667"/>
          <cell r="AH667"/>
          <cell r="AI667" t="str">
            <v>Co</v>
          </cell>
          <cell r="AJ667" t="str">
            <v/>
          </cell>
          <cell r="AK667" t="str">
            <v/>
          </cell>
          <cell r="AL667" t="str">
            <v>-50.9Ni</v>
          </cell>
          <cell r="AM667" t="str">
            <v/>
          </cell>
          <cell r="AN667" t="str">
            <v>-30.1Ta</v>
          </cell>
          <cell r="AO667" t="str">
            <v/>
          </cell>
          <cell r="AP667" t="str">
            <v/>
          </cell>
          <cell r="AQ667" t="str">
            <v/>
          </cell>
          <cell r="AR667" t="str">
            <v/>
          </cell>
          <cell r="AS667" t="str">
            <v/>
          </cell>
          <cell r="AT667" t="str">
            <v/>
          </cell>
          <cell r="AU667" t="str">
            <v/>
          </cell>
          <cell r="AV667" t="str">
            <v/>
          </cell>
          <cell r="AW667" t="str">
            <v/>
          </cell>
          <cell r="AX667" t="str">
            <v/>
          </cell>
          <cell r="AY667" t="str">
            <v/>
          </cell>
          <cell r="AZ667" t="str">
            <v/>
          </cell>
          <cell r="BA667" t="str">
            <v/>
          </cell>
          <cell r="BB667" t="str">
            <v/>
          </cell>
          <cell r="BC667" t="str">
            <v/>
          </cell>
          <cell r="BD667" t="str">
            <v/>
          </cell>
          <cell r="BE667" t="str">
            <v/>
          </cell>
          <cell r="BF667" t="str">
            <v/>
          </cell>
          <cell r="BG667" t="str">
            <v/>
          </cell>
          <cell r="BH667" t="str">
            <v>B16Zhou, C., Guo, C., Li, C. &amp; Du, Z. Investigation on the intermetallic compound Co 3 Ta and high-temperature phase equilibria in the Co–Ni–Ta system. Intermetallics 108, 1–18 (2019).</v>
          </cell>
          <cell r="BI667" t="str">
            <v>Co-50.9Ni-30.1Ta</v>
          </cell>
          <cell r="BJ667" t="str">
            <v>69.9Co-50.9Ni-30.1Ta</v>
          </cell>
        </row>
        <row r="668">
          <cell r="A668" t="str">
            <v>Co-55.9Ni-30.Ta</v>
          </cell>
          <cell r="B668" t="str">
            <v>W-free</v>
          </cell>
          <cell r="C668" t="str">
            <v>-56Ni-30Ta</v>
          </cell>
          <cell r="D668" t="str">
            <v>B17</v>
          </cell>
          <cell r="E668" t="str">
            <v>Zhou, C., Guo, C., Li, C. &amp; Du, Z. Investigation on the intermetallic compound Co 3 Ta and high-temperature phase equilibria in the Co–Ni–Ta system. Intermetallics 108, 1–18 (2019).</v>
          </cell>
          <cell r="F668">
            <v>709</v>
          </cell>
          <cell r="G668">
            <v>14.099999999999994</v>
          </cell>
          <cell r="H668">
            <v>55.9</v>
          </cell>
          <cell r="I668"/>
          <cell r="J668"/>
          <cell r="K668"/>
          <cell r="L668"/>
          <cell r="M668">
            <v>30</v>
          </cell>
          <cell r="N668"/>
          <cell r="O668"/>
          <cell r="P668"/>
          <cell r="Q668"/>
          <cell r="R668"/>
          <cell r="S668"/>
          <cell r="T668"/>
          <cell r="U668"/>
          <cell r="V668"/>
          <cell r="W668"/>
          <cell r="X668"/>
          <cell r="Y668"/>
          <cell r="Z668"/>
          <cell r="AA668"/>
          <cell r="AB668"/>
          <cell r="AC668"/>
          <cell r="AD668"/>
          <cell r="AE668"/>
          <cell r="AF668">
            <v>11.229471999999998</v>
          </cell>
          <cell r="AG668"/>
          <cell r="AH668"/>
          <cell r="AI668" t="str">
            <v>Co</v>
          </cell>
          <cell r="AJ668" t="str">
            <v/>
          </cell>
          <cell r="AK668" t="str">
            <v/>
          </cell>
          <cell r="AL668" t="str">
            <v>-55.9Ni</v>
          </cell>
          <cell r="AM668" t="str">
            <v/>
          </cell>
          <cell r="AN668" t="str">
            <v>-30.Ta</v>
          </cell>
          <cell r="AO668" t="str">
            <v/>
          </cell>
          <cell r="AP668" t="str">
            <v/>
          </cell>
          <cell r="AQ668" t="str">
            <v/>
          </cell>
          <cell r="AR668" t="str">
            <v/>
          </cell>
          <cell r="AS668" t="str">
            <v/>
          </cell>
          <cell r="AT668" t="str">
            <v/>
          </cell>
          <cell r="AU668" t="str">
            <v/>
          </cell>
          <cell r="AV668" t="str">
            <v/>
          </cell>
          <cell r="AW668" t="str">
            <v/>
          </cell>
          <cell r="AX668" t="str">
            <v/>
          </cell>
          <cell r="AY668" t="str">
            <v/>
          </cell>
          <cell r="AZ668" t="str">
            <v/>
          </cell>
          <cell r="BA668" t="str">
            <v/>
          </cell>
          <cell r="BB668" t="str">
            <v/>
          </cell>
          <cell r="BC668" t="str">
            <v/>
          </cell>
          <cell r="BD668" t="str">
            <v/>
          </cell>
          <cell r="BE668" t="str">
            <v/>
          </cell>
          <cell r="BF668" t="str">
            <v/>
          </cell>
          <cell r="BG668" t="str">
            <v/>
          </cell>
          <cell r="BH668" t="str">
            <v>B17Zhou, C., Guo, C., Li, C. &amp; Du, Z. Investigation on the intermetallic compound Co 3 Ta and high-temperature phase equilibria in the Co–Ni–Ta system. Intermetallics 108, 1–18 (2019).</v>
          </cell>
          <cell r="BI668" t="str">
            <v>Co-55.9Ni-30.Ta</v>
          </cell>
          <cell r="BJ668" t="str">
            <v>70.0Co-55.9Ni-30.0Ta</v>
          </cell>
        </row>
        <row r="669">
          <cell r="A669" t="str">
            <v>Co-60.6Ni-30.Ta</v>
          </cell>
          <cell r="B669" t="str">
            <v>W-free</v>
          </cell>
          <cell r="C669" t="str">
            <v>-61Ni-30Ta</v>
          </cell>
          <cell r="D669" t="str">
            <v>B18</v>
          </cell>
          <cell r="E669" t="str">
            <v>Zhou, C., Guo, C., Li, C. &amp; Du, Z. Investigation on the intermetallic compound Co 3 Ta and high-temperature phase equilibria in the Co–Ni–Ta system. Intermetallics 108, 1–18 (2019).</v>
          </cell>
          <cell r="F669">
            <v>710</v>
          </cell>
          <cell r="G669">
            <v>9.4000000000000057</v>
          </cell>
          <cell r="H669">
            <v>60.6</v>
          </cell>
          <cell r="I669"/>
          <cell r="J669"/>
          <cell r="K669"/>
          <cell r="L669"/>
          <cell r="M669">
            <v>30</v>
          </cell>
          <cell r="N669"/>
          <cell r="O669"/>
          <cell r="P669"/>
          <cell r="Q669"/>
          <cell r="R669"/>
          <cell r="S669"/>
          <cell r="T669"/>
          <cell r="U669"/>
          <cell r="V669"/>
          <cell r="W669"/>
          <cell r="X669"/>
          <cell r="Y669"/>
          <cell r="Z669"/>
          <cell r="AA669"/>
          <cell r="AB669"/>
          <cell r="AC669"/>
          <cell r="AD669"/>
          <cell r="AE669"/>
          <cell r="AF669">
            <v>11.229847999999999</v>
          </cell>
          <cell r="AG669"/>
          <cell r="AH669"/>
          <cell r="AI669" t="str">
            <v>Co</v>
          </cell>
          <cell r="AJ669" t="str">
            <v/>
          </cell>
          <cell r="AK669" t="str">
            <v/>
          </cell>
          <cell r="AL669" t="str">
            <v>-60.6Ni</v>
          </cell>
          <cell r="AM669" t="str">
            <v/>
          </cell>
          <cell r="AN669" t="str">
            <v>-30.Ta</v>
          </cell>
          <cell r="AO669" t="str">
            <v/>
          </cell>
          <cell r="AP669" t="str">
            <v/>
          </cell>
          <cell r="AQ669" t="str">
            <v/>
          </cell>
          <cell r="AR669" t="str">
            <v/>
          </cell>
          <cell r="AS669" t="str">
            <v/>
          </cell>
          <cell r="AT669" t="str">
            <v/>
          </cell>
          <cell r="AU669" t="str">
            <v/>
          </cell>
          <cell r="AV669" t="str">
            <v/>
          </cell>
          <cell r="AW669" t="str">
            <v/>
          </cell>
          <cell r="AX669" t="str">
            <v/>
          </cell>
          <cell r="AY669" t="str">
            <v/>
          </cell>
          <cell r="AZ669" t="str">
            <v/>
          </cell>
          <cell r="BA669" t="str">
            <v/>
          </cell>
          <cell r="BB669" t="str">
            <v/>
          </cell>
          <cell r="BC669" t="str">
            <v/>
          </cell>
          <cell r="BD669" t="str">
            <v/>
          </cell>
          <cell r="BE669" t="str">
            <v/>
          </cell>
          <cell r="BF669" t="str">
            <v/>
          </cell>
          <cell r="BG669" t="str">
            <v/>
          </cell>
          <cell r="BH669" t="str">
            <v>B18Zhou, C., Guo, C., Li, C. &amp; Du, Z. Investigation on the intermetallic compound Co 3 Ta and high-temperature phase equilibria in the Co–Ni–Ta system. Intermetallics 108, 1–18 (2019).</v>
          </cell>
          <cell r="BI669" t="str">
            <v>Co-60.6Ni-30.Ta</v>
          </cell>
          <cell r="BJ669" t="str">
            <v>70.0Co-60.6Ni-30.0Ta</v>
          </cell>
        </row>
        <row r="670">
          <cell r="A670" t="str">
            <v>Co-11.5Ni-19.8Ta</v>
          </cell>
          <cell r="B670" t="str">
            <v>W-free</v>
          </cell>
          <cell r="C670" t="str">
            <v>-12Ni-20Ta</v>
          </cell>
          <cell r="D670" t="str">
            <v>B19</v>
          </cell>
          <cell r="E670" t="str">
            <v>Zhou, C., Guo, C., Li, C. &amp; Du, Z. Investigation on the intermetallic compound Co 3 Ta and high-temperature phase equilibria in the Co–Ni–Ta system. Intermetallics 108, 1–18 (2019).</v>
          </cell>
          <cell r="F670">
            <v>711</v>
          </cell>
          <cell r="G670">
            <v>68.7</v>
          </cell>
          <cell r="H670">
            <v>11.5</v>
          </cell>
          <cell r="I670"/>
          <cell r="J670"/>
          <cell r="K670"/>
          <cell r="L670"/>
          <cell r="M670">
            <v>19.8</v>
          </cell>
          <cell r="N670"/>
          <cell r="O670"/>
          <cell r="P670"/>
          <cell r="Q670"/>
          <cell r="R670"/>
          <cell r="S670"/>
          <cell r="T670"/>
          <cell r="U670"/>
          <cell r="V670"/>
          <cell r="W670"/>
          <cell r="X670"/>
          <cell r="Y670"/>
          <cell r="Z670"/>
          <cell r="AA670"/>
          <cell r="AB670"/>
          <cell r="AC670"/>
          <cell r="AD670"/>
          <cell r="AE670"/>
          <cell r="AF670">
            <v>10.435419999999999</v>
          </cell>
          <cell r="AG670"/>
          <cell r="AH670"/>
          <cell r="AI670" t="str">
            <v>Co</v>
          </cell>
          <cell r="AJ670" t="str">
            <v/>
          </cell>
          <cell r="AK670" t="str">
            <v/>
          </cell>
          <cell r="AL670" t="str">
            <v>-11.5Ni</v>
          </cell>
          <cell r="AM670" t="str">
            <v/>
          </cell>
          <cell r="AN670" t="str">
            <v>-19.8Ta</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
          </cell>
          <cell r="BB670" t="str">
            <v/>
          </cell>
          <cell r="BC670" t="str">
            <v/>
          </cell>
          <cell r="BD670" t="str">
            <v/>
          </cell>
          <cell r="BE670" t="str">
            <v/>
          </cell>
          <cell r="BF670" t="str">
            <v/>
          </cell>
          <cell r="BG670" t="str">
            <v/>
          </cell>
          <cell r="BH670" t="str">
            <v>B19Zhou, C., Guo, C., Li, C. &amp; Du, Z. Investigation on the intermetallic compound Co 3 Ta and high-temperature phase equilibria in the Co–Ni–Ta system. Intermetallics 108, 1–18 (2019).</v>
          </cell>
          <cell r="BI670" t="str">
            <v>Co-11.5Ni-19.8Ta</v>
          </cell>
          <cell r="BJ670" t="str">
            <v>80.2Co-11.5Ni-19.8Ta</v>
          </cell>
        </row>
        <row r="671">
          <cell r="A671" t="str">
            <v>Co-20.5Ni-19.8Ta</v>
          </cell>
          <cell r="B671" t="str">
            <v>W-free</v>
          </cell>
          <cell r="C671" t="str">
            <v>-21Ni-20Ta</v>
          </cell>
          <cell r="D671" t="str">
            <v>B20</v>
          </cell>
          <cell r="E671" t="str">
            <v>Zhou, C., Guo, C., Li, C. &amp; Du, Z. Investigation on the intermetallic compound Co 3 Ta and high-temperature phase equilibria in the Co–Ni–Ta system. Intermetallics 108, 1–18 (2019).</v>
          </cell>
          <cell r="F671">
            <v>712</v>
          </cell>
          <cell r="G671">
            <v>59.7</v>
          </cell>
          <cell r="H671">
            <v>20.5</v>
          </cell>
          <cell r="I671"/>
          <cell r="J671"/>
          <cell r="K671"/>
          <cell r="L671"/>
          <cell r="M671">
            <v>19.8</v>
          </cell>
          <cell r="N671"/>
          <cell r="O671"/>
          <cell r="P671"/>
          <cell r="Q671"/>
          <cell r="R671"/>
          <cell r="S671"/>
          <cell r="T671"/>
          <cell r="U671"/>
          <cell r="V671"/>
          <cell r="W671"/>
          <cell r="X671"/>
          <cell r="Y671"/>
          <cell r="Z671"/>
          <cell r="AA671"/>
          <cell r="AB671"/>
          <cell r="AC671"/>
          <cell r="AD671"/>
          <cell r="AE671"/>
          <cell r="AF671">
            <v>10.43614</v>
          </cell>
          <cell r="AG671"/>
          <cell r="AH671"/>
          <cell r="AI671" t="str">
            <v>Co</v>
          </cell>
          <cell r="AJ671" t="str">
            <v/>
          </cell>
          <cell r="AK671" t="str">
            <v/>
          </cell>
          <cell r="AL671" t="str">
            <v>-20.5Ni</v>
          </cell>
          <cell r="AM671" t="str">
            <v/>
          </cell>
          <cell r="AN671" t="str">
            <v>-19.8Ta</v>
          </cell>
          <cell r="AO671" t="str">
            <v/>
          </cell>
          <cell r="AP671" t="str">
            <v/>
          </cell>
          <cell r="AQ671" t="str">
            <v/>
          </cell>
          <cell r="AR671" t="str">
            <v/>
          </cell>
          <cell r="AS671" t="str">
            <v/>
          </cell>
          <cell r="AT671" t="str">
            <v/>
          </cell>
          <cell r="AU671" t="str">
            <v/>
          </cell>
          <cell r="AV671" t="str">
            <v/>
          </cell>
          <cell r="AW671" t="str">
            <v/>
          </cell>
          <cell r="AX671" t="str">
            <v/>
          </cell>
          <cell r="AY671" t="str">
            <v/>
          </cell>
          <cell r="AZ671" t="str">
            <v/>
          </cell>
          <cell r="BA671" t="str">
            <v/>
          </cell>
          <cell r="BB671" t="str">
            <v/>
          </cell>
          <cell r="BC671" t="str">
            <v/>
          </cell>
          <cell r="BD671" t="str">
            <v/>
          </cell>
          <cell r="BE671" t="str">
            <v/>
          </cell>
          <cell r="BF671" t="str">
            <v/>
          </cell>
          <cell r="BG671" t="str">
            <v/>
          </cell>
          <cell r="BH671" t="str">
            <v>B20Zhou, C., Guo, C., Li, C. &amp; Du, Z. Investigation on the intermetallic compound Co 3 Ta and high-temperature phase equilibria in the Co–Ni–Ta system. Intermetallics 108, 1–18 (2019).</v>
          </cell>
          <cell r="BI671" t="str">
            <v>Co-20.5Ni-19.8Ta</v>
          </cell>
          <cell r="BJ671" t="str">
            <v>80.2Co-20.5Ni-19.8Ta</v>
          </cell>
        </row>
        <row r="672">
          <cell r="A672" t="str">
            <v>Co-30.2Ni-19.8Ta</v>
          </cell>
          <cell r="B672" t="str">
            <v>W-free</v>
          </cell>
          <cell r="C672" t="str">
            <v>-30Ni-20Ta</v>
          </cell>
          <cell r="D672" t="str">
            <v>B21</v>
          </cell>
          <cell r="E672" t="str">
            <v>Zhou, C., Guo, C., Li, C. &amp; Du, Z. Investigation on the intermetallic compound Co 3 Ta and high-temperature phase equilibria in the Co–Ni–Ta system. Intermetallics 108, 1–18 (2019).</v>
          </cell>
          <cell r="F672">
            <v>713</v>
          </cell>
          <cell r="G672">
            <v>50</v>
          </cell>
          <cell r="H672">
            <v>30.2</v>
          </cell>
          <cell r="I672"/>
          <cell r="J672"/>
          <cell r="K672"/>
          <cell r="L672"/>
          <cell r="M672">
            <v>19.8</v>
          </cell>
          <cell r="N672"/>
          <cell r="O672"/>
          <cell r="P672"/>
          <cell r="Q672"/>
          <cell r="R672"/>
          <cell r="S672"/>
          <cell r="T672"/>
          <cell r="U672"/>
          <cell r="V672"/>
          <cell r="W672"/>
          <cell r="X672"/>
          <cell r="Y672"/>
          <cell r="Z672"/>
          <cell r="AA672"/>
          <cell r="AB672"/>
          <cell r="AC672"/>
          <cell r="AD672"/>
          <cell r="AE672"/>
          <cell r="AF672">
            <v>10.436916000000002</v>
          </cell>
          <cell r="AG672"/>
          <cell r="AH672"/>
          <cell r="AI672" t="str">
            <v>Co</v>
          </cell>
          <cell r="AJ672" t="str">
            <v/>
          </cell>
          <cell r="AK672" t="str">
            <v/>
          </cell>
          <cell r="AL672" t="str">
            <v>-30.2Ni</v>
          </cell>
          <cell r="AM672" t="str">
            <v/>
          </cell>
          <cell r="AN672" t="str">
            <v>-19.8Ta</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
          </cell>
          <cell r="BB672" t="str">
            <v/>
          </cell>
          <cell r="BC672" t="str">
            <v/>
          </cell>
          <cell r="BD672" t="str">
            <v/>
          </cell>
          <cell r="BE672" t="str">
            <v/>
          </cell>
          <cell r="BF672" t="str">
            <v/>
          </cell>
          <cell r="BG672" t="str">
            <v/>
          </cell>
          <cell r="BH672" t="str">
            <v>B21Zhou, C., Guo, C., Li, C. &amp; Du, Z. Investigation on the intermetallic compound Co 3 Ta and high-temperature phase equilibria in the Co–Ni–Ta system. Intermetallics 108, 1–18 (2019).</v>
          </cell>
          <cell r="BI672" t="str">
            <v>Co-30.2Ni-19.8Ta</v>
          </cell>
          <cell r="BJ672" t="str">
            <v>80.2Co-30.2Ni-19.8Ta</v>
          </cell>
        </row>
        <row r="673">
          <cell r="A673" t="str">
            <v>Co-41.3Ni-20.2Ta</v>
          </cell>
          <cell r="B673" t="str">
            <v>W-free</v>
          </cell>
          <cell r="C673" t="str">
            <v>-41Ni-20Ta</v>
          </cell>
          <cell r="D673" t="str">
            <v>B22</v>
          </cell>
          <cell r="E673" t="str">
            <v>Zhou, C., Guo, C., Li, C. &amp; Du, Z. Investigation on the intermetallic compound Co 3 Ta and high-temperature phase equilibria in the Co–Ni–Ta system. Intermetallics 108, 1–18 (2019).</v>
          </cell>
          <cell r="F673">
            <v>714</v>
          </cell>
          <cell r="G673">
            <v>38.5</v>
          </cell>
          <cell r="H673">
            <v>41.3</v>
          </cell>
          <cell r="I673"/>
          <cell r="J673"/>
          <cell r="K673"/>
          <cell r="L673"/>
          <cell r="M673">
            <v>20.2</v>
          </cell>
          <cell r="N673"/>
          <cell r="O673"/>
          <cell r="P673"/>
          <cell r="Q673"/>
          <cell r="R673"/>
          <cell r="S673"/>
          <cell r="T673"/>
          <cell r="U673"/>
          <cell r="V673"/>
          <cell r="W673"/>
          <cell r="X673"/>
          <cell r="Y673"/>
          <cell r="Z673"/>
          <cell r="AA673"/>
          <cell r="AB673"/>
          <cell r="AC673"/>
          <cell r="AD673"/>
          <cell r="AE673"/>
          <cell r="AF673">
            <v>10.468804</v>
          </cell>
          <cell r="AG673"/>
          <cell r="AH673"/>
          <cell r="AI673" t="str">
            <v>Co</v>
          </cell>
          <cell r="AJ673" t="str">
            <v/>
          </cell>
          <cell r="AK673" t="str">
            <v/>
          </cell>
          <cell r="AL673" t="str">
            <v>-41.3Ni</v>
          </cell>
          <cell r="AM673" t="str">
            <v/>
          </cell>
          <cell r="AN673" t="str">
            <v>-20.2Ta</v>
          </cell>
          <cell r="AO673" t="str">
            <v/>
          </cell>
          <cell r="AP673" t="str">
            <v/>
          </cell>
          <cell r="AQ673" t="str">
            <v/>
          </cell>
          <cell r="AR673" t="str">
            <v/>
          </cell>
          <cell r="AS673" t="str">
            <v/>
          </cell>
          <cell r="AT673" t="str">
            <v/>
          </cell>
          <cell r="AU673" t="str">
            <v/>
          </cell>
          <cell r="AV673" t="str">
            <v/>
          </cell>
          <cell r="AW673" t="str">
            <v/>
          </cell>
          <cell r="AX673" t="str">
            <v/>
          </cell>
          <cell r="AY673" t="str">
            <v/>
          </cell>
          <cell r="AZ673" t="str">
            <v/>
          </cell>
          <cell r="BA673" t="str">
            <v/>
          </cell>
          <cell r="BB673" t="str">
            <v/>
          </cell>
          <cell r="BC673" t="str">
            <v/>
          </cell>
          <cell r="BD673" t="str">
            <v/>
          </cell>
          <cell r="BE673" t="str">
            <v/>
          </cell>
          <cell r="BF673" t="str">
            <v/>
          </cell>
          <cell r="BG673" t="str">
            <v/>
          </cell>
          <cell r="BH673" t="str">
            <v>B22Zhou, C., Guo, C., Li, C. &amp; Du, Z. Investigation on the intermetallic compound Co 3 Ta and high-temperature phase equilibria in the Co–Ni–Ta system. Intermetallics 108, 1–18 (2019).</v>
          </cell>
          <cell r="BI673" t="str">
            <v>Co-41.3Ni-20.2Ta</v>
          </cell>
          <cell r="BJ673" t="str">
            <v>79.8Co-41.3Ni-20.2Ta</v>
          </cell>
        </row>
        <row r="674">
          <cell r="A674" t="str">
            <v>Co-48.2Ni-20.9Ta</v>
          </cell>
          <cell r="B674" t="str">
            <v>W-free</v>
          </cell>
          <cell r="C674" t="str">
            <v>-48Ni-21Ta</v>
          </cell>
          <cell r="D674" t="str">
            <v>B23</v>
          </cell>
          <cell r="E674" t="str">
            <v>Zhou, C., Guo, C., Li, C. &amp; Du, Z. Investigation on the intermetallic compound Co 3 Ta and high-temperature phase equilibria in the Co–Ni–Ta system. Intermetallics 108, 1–18 (2019).</v>
          </cell>
          <cell r="F674">
            <v>715</v>
          </cell>
          <cell r="G674">
            <v>30.900000000000006</v>
          </cell>
          <cell r="H674">
            <v>48.2</v>
          </cell>
          <cell r="I674"/>
          <cell r="J674"/>
          <cell r="K674"/>
          <cell r="L674"/>
          <cell r="M674">
            <v>20.9</v>
          </cell>
          <cell r="N674"/>
          <cell r="O674"/>
          <cell r="P674"/>
          <cell r="Q674"/>
          <cell r="R674"/>
          <cell r="S674"/>
          <cell r="T674"/>
          <cell r="U674"/>
          <cell r="V674"/>
          <cell r="W674"/>
          <cell r="X674"/>
          <cell r="Y674"/>
          <cell r="Z674"/>
          <cell r="AA674"/>
          <cell r="AB674"/>
          <cell r="AC674"/>
          <cell r="AD674"/>
          <cell r="AE674"/>
          <cell r="AF674">
            <v>10.523605999999999</v>
          </cell>
          <cell r="AG674"/>
          <cell r="AH674"/>
          <cell r="AI674" t="str">
            <v>Co</v>
          </cell>
          <cell r="AJ674" t="str">
            <v/>
          </cell>
          <cell r="AK674" t="str">
            <v/>
          </cell>
          <cell r="AL674" t="str">
            <v>-48.2Ni</v>
          </cell>
          <cell r="AM674" t="str">
            <v/>
          </cell>
          <cell r="AN674" t="str">
            <v>-20.9Ta</v>
          </cell>
          <cell r="AO674" t="str">
            <v/>
          </cell>
          <cell r="AP674" t="str">
            <v/>
          </cell>
          <cell r="AQ674" t="str">
            <v/>
          </cell>
          <cell r="AR674" t="str">
            <v/>
          </cell>
          <cell r="AS674" t="str">
            <v/>
          </cell>
          <cell r="AT674" t="str">
            <v/>
          </cell>
          <cell r="AU674" t="str">
            <v/>
          </cell>
          <cell r="AV674" t="str">
            <v/>
          </cell>
          <cell r="AW674" t="str">
            <v/>
          </cell>
          <cell r="AX674" t="str">
            <v/>
          </cell>
          <cell r="AY674" t="str">
            <v/>
          </cell>
          <cell r="AZ674" t="str">
            <v/>
          </cell>
          <cell r="BA674" t="str">
            <v/>
          </cell>
          <cell r="BB674" t="str">
            <v/>
          </cell>
          <cell r="BC674" t="str">
            <v/>
          </cell>
          <cell r="BD674" t="str">
            <v/>
          </cell>
          <cell r="BE674" t="str">
            <v/>
          </cell>
          <cell r="BF674" t="str">
            <v/>
          </cell>
          <cell r="BG674" t="str">
            <v/>
          </cell>
          <cell r="BH674" t="str">
            <v>B23Zhou, C., Guo, C., Li, C. &amp; Du, Z. Investigation on the intermetallic compound Co 3 Ta and high-temperature phase equilibria in the Co–Ni–Ta system. Intermetallics 108, 1–18 (2019).</v>
          </cell>
          <cell r="BI674" t="str">
            <v>Co-48.2Ni-20.9Ta</v>
          </cell>
          <cell r="BJ674" t="str">
            <v>79.1Co-48.2Ni-20.9Ta</v>
          </cell>
        </row>
        <row r="675">
          <cell r="A675" t="str">
            <v>Co-59.6Ni-19.9Ta</v>
          </cell>
          <cell r="B675" t="str">
            <v>W-free</v>
          </cell>
          <cell r="C675" t="str">
            <v>-60Ni-20Ta</v>
          </cell>
          <cell r="D675" t="str">
            <v>B24</v>
          </cell>
          <cell r="E675" t="str">
            <v>Zhou, C., Guo, C., Li, C. &amp; Du, Z. Investigation on the intermetallic compound Co 3 Ta and high-temperature phase equilibria in the Co–Ni–Ta system. Intermetallics 108, 1–18 (2019).</v>
          </cell>
          <cell r="F675">
            <v>716</v>
          </cell>
          <cell r="G675">
            <v>20.5</v>
          </cell>
          <cell r="H675">
            <v>59.6</v>
          </cell>
          <cell r="I675"/>
          <cell r="J675"/>
          <cell r="K675"/>
          <cell r="L675"/>
          <cell r="M675">
            <v>19.899999999999999</v>
          </cell>
          <cell r="N675"/>
          <cell r="O675"/>
          <cell r="P675"/>
          <cell r="Q675"/>
          <cell r="R675"/>
          <cell r="S675"/>
          <cell r="T675"/>
          <cell r="U675"/>
          <cell r="V675"/>
          <cell r="W675"/>
          <cell r="X675"/>
          <cell r="Y675"/>
          <cell r="Z675"/>
          <cell r="AA675"/>
          <cell r="AB675"/>
          <cell r="AC675"/>
          <cell r="AD675"/>
          <cell r="AE675"/>
          <cell r="AF675">
            <v>10.447017999999998</v>
          </cell>
          <cell r="AG675"/>
          <cell r="AH675"/>
          <cell r="AI675" t="str">
            <v>Co</v>
          </cell>
          <cell r="AJ675" t="str">
            <v/>
          </cell>
          <cell r="AK675" t="str">
            <v/>
          </cell>
          <cell r="AL675" t="str">
            <v>-59.6Ni</v>
          </cell>
          <cell r="AM675" t="str">
            <v/>
          </cell>
          <cell r="AN675" t="str">
            <v>-19.9Ta</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
          </cell>
          <cell r="BB675" t="str">
            <v/>
          </cell>
          <cell r="BC675" t="str">
            <v/>
          </cell>
          <cell r="BD675" t="str">
            <v/>
          </cell>
          <cell r="BE675" t="str">
            <v/>
          </cell>
          <cell r="BF675" t="str">
            <v/>
          </cell>
          <cell r="BG675" t="str">
            <v/>
          </cell>
          <cell r="BH675" t="str">
            <v>B24Zhou, C., Guo, C., Li, C. &amp; Du, Z. Investigation on the intermetallic compound Co 3 Ta and high-temperature phase equilibria in the Co–Ni–Ta system. Intermetallics 108, 1–18 (2019).</v>
          </cell>
          <cell r="BI675" t="str">
            <v>Co-59.6Ni-19.9Ta</v>
          </cell>
          <cell r="BJ675" t="str">
            <v>80.1Co-59.6Ni-19.9Ta</v>
          </cell>
        </row>
        <row r="676">
          <cell r="A676" t="str">
            <v>Co-68.9Ni-20.9Ta</v>
          </cell>
          <cell r="B676" t="str">
            <v>W-free</v>
          </cell>
          <cell r="C676" t="str">
            <v>-69Ni-21Ta</v>
          </cell>
          <cell r="D676" t="str">
            <v>B25</v>
          </cell>
          <cell r="E676" t="str">
            <v>Zhou, C., Guo, C., Li, C. &amp; Du, Z. Investigation on the intermetallic compound Co 3 Ta and high-temperature phase equilibria in the Co–Ni–Ta system. Intermetallics 108, 1–18 (2019).</v>
          </cell>
          <cell r="F676">
            <v>717</v>
          </cell>
          <cell r="G676">
            <v>10.199999999999989</v>
          </cell>
          <cell r="H676">
            <v>68.900000000000006</v>
          </cell>
          <cell r="I676"/>
          <cell r="J676"/>
          <cell r="K676"/>
          <cell r="L676"/>
          <cell r="M676">
            <v>20.9</v>
          </cell>
          <cell r="N676"/>
          <cell r="O676"/>
          <cell r="P676"/>
          <cell r="Q676"/>
          <cell r="R676"/>
          <cell r="S676"/>
          <cell r="T676"/>
          <cell r="U676"/>
          <cell r="V676"/>
          <cell r="W676"/>
          <cell r="X676"/>
          <cell r="Y676"/>
          <cell r="Z676"/>
          <cell r="AA676"/>
          <cell r="AB676"/>
          <cell r="AC676"/>
          <cell r="AD676"/>
          <cell r="AE676"/>
          <cell r="AF676">
            <v>10.525261999999998</v>
          </cell>
          <cell r="AG676"/>
          <cell r="AH676"/>
          <cell r="AI676" t="str">
            <v>Co</v>
          </cell>
          <cell r="AJ676" t="str">
            <v/>
          </cell>
          <cell r="AK676" t="str">
            <v/>
          </cell>
          <cell r="AL676" t="str">
            <v>-68.9Ni</v>
          </cell>
          <cell r="AM676" t="str">
            <v/>
          </cell>
          <cell r="AN676" t="str">
            <v>-20.9Ta</v>
          </cell>
          <cell r="AO676" t="str">
            <v/>
          </cell>
          <cell r="AP676" t="str">
            <v/>
          </cell>
          <cell r="AQ676" t="str">
            <v/>
          </cell>
          <cell r="AR676" t="str">
            <v/>
          </cell>
          <cell r="AS676" t="str">
            <v/>
          </cell>
          <cell r="AT676" t="str">
            <v/>
          </cell>
          <cell r="AU676" t="str">
            <v/>
          </cell>
          <cell r="AV676" t="str">
            <v/>
          </cell>
          <cell r="AW676" t="str">
            <v/>
          </cell>
          <cell r="AX676" t="str">
            <v/>
          </cell>
          <cell r="AY676" t="str">
            <v/>
          </cell>
          <cell r="AZ676" t="str">
            <v/>
          </cell>
          <cell r="BA676" t="str">
            <v/>
          </cell>
          <cell r="BB676" t="str">
            <v/>
          </cell>
          <cell r="BC676" t="str">
            <v/>
          </cell>
          <cell r="BD676" t="str">
            <v/>
          </cell>
          <cell r="BE676" t="str">
            <v/>
          </cell>
          <cell r="BF676" t="str">
            <v/>
          </cell>
          <cell r="BG676" t="str">
            <v/>
          </cell>
          <cell r="BH676" t="str">
            <v>B25Zhou, C., Guo, C., Li, C. &amp; Du, Z. Investigation on the intermetallic compound Co 3 Ta and high-temperature phase equilibria in the Co–Ni–Ta system. Intermetallics 108, 1–18 (2019).</v>
          </cell>
          <cell r="BI676" t="str">
            <v>Co-68.9Ni-20.9Ta</v>
          </cell>
          <cell r="BJ676" t="str">
            <v>79.1Co-68.9Ni-20.9Ta</v>
          </cell>
        </row>
        <row r="677">
          <cell r="A677" t="str">
            <v>Co-4.8Ni-13.7Ta</v>
          </cell>
          <cell r="B677" t="str">
            <v>W-free</v>
          </cell>
          <cell r="C677" t="str">
            <v>-5Ni-14Ta</v>
          </cell>
          <cell r="D677" t="str">
            <v>B26</v>
          </cell>
          <cell r="E677" t="str">
            <v>Zhou, C., Guo, C., Li, C. &amp; Du, Z. Investigation on the intermetallic compound Co 3 Ta and high-temperature phase equilibria in the Co–Ni–Ta system. Intermetallics 108, 1–18 (2019).</v>
          </cell>
          <cell r="F677">
            <v>718</v>
          </cell>
          <cell r="G677">
            <v>81.5</v>
          </cell>
          <cell r="H677">
            <v>4.8</v>
          </cell>
          <cell r="I677"/>
          <cell r="J677"/>
          <cell r="K677"/>
          <cell r="L677"/>
          <cell r="M677">
            <v>13.7</v>
          </cell>
          <cell r="N677"/>
          <cell r="O677"/>
          <cell r="P677"/>
          <cell r="Q677"/>
          <cell r="R677"/>
          <cell r="S677"/>
          <cell r="T677"/>
          <cell r="U677"/>
          <cell r="V677"/>
          <cell r="W677"/>
          <cell r="X677"/>
          <cell r="Y677"/>
          <cell r="Z677"/>
          <cell r="AA677"/>
          <cell r="AB677"/>
          <cell r="AC677"/>
          <cell r="AD677"/>
          <cell r="AE677"/>
          <cell r="AF677">
            <v>9.9621340000000007</v>
          </cell>
          <cell r="AG677"/>
          <cell r="AH677"/>
          <cell r="AI677" t="str">
            <v>Co</v>
          </cell>
          <cell r="AJ677" t="str">
            <v/>
          </cell>
          <cell r="AK677" t="str">
            <v/>
          </cell>
          <cell r="AL677" t="str">
            <v>-4.8Ni</v>
          </cell>
          <cell r="AM677" t="str">
            <v/>
          </cell>
          <cell r="AN677" t="str">
            <v>-13.7Ta</v>
          </cell>
          <cell r="AO677" t="str">
            <v/>
          </cell>
          <cell r="AP677" t="str">
            <v/>
          </cell>
          <cell r="AQ677" t="str">
            <v/>
          </cell>
          <cell r="AR677" t="str">
            <v/>
          </cell>
          <cell r="AS677" t="str">
            <v/>
          </cell>
          <cell r="AT677" t="str">
            <v/>
          </cell>
          <cell r="AU677" t="str">
            <v/>
          </cell>
          <cell r="AV677" t="str">
            <v/>
          </cell>
          <cell r="AW677" t="str">
            <v/>
          </cell>
          <cell r="AX677" t="str">
            <v/>
          </cell>
          <cell r="AY677" t="str">
            <v/>
          </cell>
          <cell r="AZ677" t="str">
            <v/>
          </cell>
          <cell r="BA677" t="str">
            <v/>
          </cell>
          <cell r="BB677" t="str">
            <v/>
          </cell>
          <cell r="BC677" t="str">
            <v/>
          </cell>
          <cell r="BD677" t="str">
            <v/>
          </cell>
          <cell r="BE677" t="str">
            <v/>
          </cell>
          <cell r="BF677" t="str">
            <v/>
          </cell>
          <cell r="BG677" t="str">
            <v/>
          </cell>
          <cell r="BH677" t="str">
            <v>B26Zhou, C., Guo, C., Li, C. &amp; Du, Z. Investigation on the intermetallic compound Co 3 Ta and high-temperature phase equilibria in the Co–Ni–Ta system. Intermetallics 108, 1–18 (2019).</v>
          </cell>
          <cell r="BI677" t="str">
            <v>Co-4.8Ni-13.7Ta</v>
          </cell>
          <cell r="BJ677" t="str">
            <v>86.3Co-4.8Ni-13.7Ta</v>
          </cell>
        </row>
        <row r="678">
          <cell r="A678" t="str">
            <v>Co-9.4Ni-13.7Ta</v>
          </cell>
          <cell r="B678" t="str">
            <v>W-free</v>
          </cell>
          <cell r="C678" t="str">
            <v>-9Ni-14Ta</v>
          </cell>
          <cell r="D678" t="str">
            <v>B27</v>
          </cell>
          <cell r="E678" t="str">
            <v>Zhou, C., Guo, C., Li, C. &amp; Du, Z. Investigation on the intermetallic compound Co 3 Ta and high-temperature phase equilibria in the Co–Ni–Ta system. Intermetallics 108, 1–18 (2019).</v>
          </cell>
          <cell r="F678">
            <v>719</v>
          </cell>
          <cell r="G678">
            <v>76.900000000000006</v>
          </cell>
          <cell r="H678">
            <v>9.4</v>
          </cell>
          <cell r="I678"/>
          <cell r="J678"/>
          <cell r="K678"/>
          <cell r="L678"/>
          <cell r="M678">
            <v>13.7</v>
          </cell>
          <cell r="N678"/>
          <cell r="O678"/>
          <cell r="P678"/>
          <cell r="Q678"/>
          <cell r="R678"/>
          <cell r="S678"/>
          <cell r="T678"/>
          <cell r="U678"/>
          <cell r="V678"/>
          <cell r="W678"/>
          <cell r="X678"/>
          <cell r="Y678"/>
          <cell r="Z678"/>
          <cell r="AA678"/>
          <cell r="AB678"/>
          <cell r="AC678"/>
          <cell r="AD678"/>
          <cell r="AE678"/>
          <cell r="AF678">
            <v>9.9625019999999989</v>
          </cell>
          <cell r="AG678"/>
          <cell r="AH678"/>
          <cell r="AI678" t="str">
            <v>Co</v>
          </cell>
          <cell r="AJ678" t="str">
            <v/>
          </cell>
          <cell r="AK678" t="str">
            <v/>
          </cell>
          <cell r="AL678" t="str">
            <v>-9.4Ni</v>
          </cell>
          <cell r="AM678" t="str">
            <v/>
          </cell>
          <cell r="AN678" t="str">
            <v>-13.7Ta</v>
          </cell>
          <cell r="AO678" t="str">
            <v/>
          </cell>
          <cell r="AP678" t="str">
            <v/>
          </cell>
          <cell r="AQ678" t="str">
            <v/>
          </cell>
          <cell r="AR678" t="str">
            <v/>
          </cell>
          <cell r="AS678" t="str">
            <v/>
          </cell>
          <cell r="AT678" t="str">
            <v/>
          </cell>
          <cell r="AU678" t="str">
            <v/>
          </cell>
          <cell r="AV678" t="str">
            <v/>
          </cell>
          <cell r="AW678" t="str">
            <v/>
          </cell>
          <cell r="AX678" t="str">
            <v/>
          </cell>
          <cell r="AY678" t="str">
            <v/>
          </cell>
          <cell r="AZ678" t="str">
            <v/>
          </cell>
          <cell r="BA678" t="str">
            <v/>
          </cell>
          <cell r="BB678" t="str">
            <v/>
          </cell>
          <cell r="BC678" t="str">
            <v/>
          </cell>
          <cell r="BD678" t="str">
            <v/>
          </cell>
          <cell r="BE678" t="str">
            <v/>
          </cell>
          <cell r="BF678" t="str">
            <v/>
          </cell>
          <cell r="BG678" t="str">
            <v/>
          </cell>
          <cell r="BH678" t="str">
            <v>B27Zhou, C., Guo, C., Li, C. &amp; Du, Z. Investigation on the intermetallic compound Co 3 Ta and high-temperature phase equilibria in the Co–Ni–Ta system. Intermetallics 108, 1–18 (2019).</v>
          </cell>
          <cell r="BI678" t="str">
            <v>Co-9.4Ni-13.7Ta</v>
          </cell>
          <cell r="BJ678" t="str">
            <v>86.3Co-9.4Ni-13.7Ta</v>
          </cell>
        </row>
        <row r="679">
          <cell r="A679" t="str">
            <v>Co-20.5Ni-13.8Ta</v>
          </cell>
          <cell r="B679" t="str">
            <v>W-free</v>
          </cell>
          <cell r="C679" t="str">
            <v>-21Ni-14Ta</v>
          </cell>
          <cell r="D679" t="str">
            <v>B28</v>
          </cell>
          <cell r="E679" t="str">
            <v>Zhou, C., Guo, C., Li, C. &amp; Du, Z. Investigation on the intermetallic compound Co 3 Ta and high-temperature phase equilibria in the Co–Ni–Ta system. Intermetallics 108, 1–18 (2019).</v>
          </cell>
          <cell r="F679">
            <v>720</v>
          </cell>
          <cell r="G679">
            <v>65.7</v>
          </cell>
          <cell r="H679">
            <v>20.5</v>
          </cell>
          <cell r="I679"/>
          <cell r="J679"/>
          <cell r="K679"/>
          <cell r="L679"/>
          <cell r="M679">
            <v>13.8</v>
          </cell>
          <cell r="N679"/>
          <cell r="O679"/>
          <cell r="P679"/>
          <cell r="Q679"/>
          <cell r="R679"/>
          <cell r="S679"/>
          <cell r="T679"/>
          <cell r="U679"/>
          <cell r="V679"/>
          <cell r="W679"/>
          <cell r="X679"/>
          <cell r="Y679"/>
          <cell r="Z679"/>
          <cell r="AA679"/>
          <cell r="AB679"/>
          <cell r="AC679"/>
          <cell r="AD679"/>
          <cell r="AE679"/>
          <cell r="AF679">
            <v>9.9711400000000001</v>
          </cell>
          <cell r="AG679"/>
          <cell r="AH679"/>
          <cell r="AI679" t="str">
            <v>Co</v>
          </cell>
          <cell r="AJ679" t="str">
            <v/>
          </cell>
          <cell r="AK679" t="str">
            <v/>
          </cell>
          <cell r="AL679" t="str">
            <v>-20.5Ni</v>
          </cell>
          <cell r="AM679" t="str">
            <v/>
          </cell>
          <cell r="AN679" t="str">
            <v>-13.8Ta</v>
          </cell>
          <cell r="AO679" t="str">
            <v/>
          </cell>
          <cell r="AP679" t="str">
            <v/>
          </cell>
          <cell r="AQ679" t="str">
            <v/>
          </cell>
          <cell r="AR679" t="str">
            <v/>
          </cell>
          <cell r="AS679" t="str">
            <v/>
          </cell>
          <cell r="AT679" t="str">
            <v/>
          </cell>
          <cell r="AU679" t="str">
            <v/>
          </cell>
          <cell r="AV679" t="str">
            <v/>
          </cell>
          <cell r="AW679" t="str">
            <v/>
          </cell>
          <cell r="AX679" t="str">
            <v/>
          </cell>
          <cell r="AY679" t="str">
            <v/>
          </cell>
          <cell r="AZ679" t="str">
            <v/>
          </cell>
          <cell r="BA679" t="str">
            <v/>
          </cell>
          <cell r="BB679" t="str">
            <v/>
          </cell>
          <cell r="BC679" t="str">
            <v/>
          </cell>
          <cell r="BD679" t="str">
            <v/>
          </cell>
          <cell r="BE679" t="str">
            <v/>
          </cell>
          <cell r="BF679" t="str">
            <v/>
          </cell>
          <cell r="BG679" t="str">
            <v/>
          </cell>
          <cell r="BH679" t="str">
            <v>B28Zhou, C., Guo, C., Li, C. &amp; Du, Z. Investigation on the intermetallic compound Co 3 Ta and high-temperature phase equilibria in the Co–Ni–Ta system. Intermetallics 108, 1–18 (2019).</v>
          </cell>
          <cell r="BI679" t="str">
            <v>Co-20.5Ni-13.8Ta</v>
          </cell>
          <cell r="BJ679" t="str">
            <v>86.2Co-20.5Ni-13.8Ta</v>
          </cell>
        </row>
        <row r="680">
          <cell r="A680" t="str">
            <v>Co-25.8Ni-14.6Ta</v>
          </cell>
          <cell r="B680" t="str">
            <v>W-free</v>
          </cell>
          <cell r="C680" t="str">
            <v>-26Ni-15Ta</v>
          </cell>
          <cell r="D680" t="str">
            <v>B29</v>
          </cell>
          <cell r="E680" t="str">
            <v>Zhou, C., Guo, C., Li, C. &amp; Du, Z. Investigation on the intermetallic compound Co 3 Ta and high-temperature phase equilibria in the Co–Ni–Ta system. Intermetallics 108, 1–18 (2019).</v>
          </cell>
          <cell r="F680">
            <v>721</v>
          </cell>
          <cell r="G680">
            <v>59.6</v>
          </cell>
          <cell r="H680">
            <v>25.8</v>
          </cell>
          <cell r="I680"/>
          <cell r="J680"/>
          <cell r="K680"/>
          <cell r="L680"/>
          <cell r="M680">
            <v>14.6</v>
          </cell>
          <cell r="N680"/>
          <cell r="O680"/>
          <cell r="P680"/>
          <cell r="Q680"/>
          <cell r="R680"/>
          <cell r="S680"/>
          <cell r="T680"/>
          <cell r="U680"/>
          <cell r="V680"/>
          <cell r="W680"/>
          <cell r="X680"/>
          <cell r="Y680"/>
          <cell r="Z680"/>
          <cell r="AA680"/>
          <cell r="AB680"/>
          <cell r="AC680"/>
          <cell r="AD680"/>
          <cell r="AE680"/>
          <cell r="AF680">
            <v>10.033564000000002</v>
          </cell>
          <cell r="AG680"/>
          <cell r="AH680"/>
          <cell r="AI680" t="str">
            <v>Co</v>
          </cell>
          <cell r="AJ680" t="str">
            <v/>
          </cell>
          <cell r="AK680" t="str">
            <v/>
          </cell>
          <cell r="AL680" t="str">
            <v>-25.8Ni</v>
          </cell>
          <cell r="AM680" t="str">
            <v/>
          </cell>
          <cell r="AN680" t="str">
            <v>-14.6Ta</v>
          </cell>
          <cell r="AO680" t="str">
            <v/>
          </cell>
          <cell r="AP680" t="str">
            <v/>
          </cell>
          <cell r="AQ680" t="str">
            <v/>
          </cell>
          <cell r="AR680" t="str">
            <v/>
          </cell>
          <cell r="AS680" t="str">
            <v/>
          </cell>
          <cell r="AT680" t="str">
            <v/>
          </cell>
          <cell r="AU680" t="str">
            <v/>
          </cell>
          <cell r="AV680" t="str">
            <v/>
          </cell>
          <cell r="AW680" t="str">
            <v/>
          </cell>
          <cell r="AX680" t="str">
            <v/>
          </cell>
          <cell r="AY680" t="str">
            <v/>
          </cell>
          <cell r="AZ680" t="str">
            <v/>
          </cell>
          <cell r="BA680" t="str">
            <v/>
          </cell>
          <cell r="BB680" t="str">
            <v/>
          </cell>
          <cell r="BC680" t="str">
            <v/>
          </cell>
          <cell r="BD680" t="str">
            <v/>
          </cell>
          <cell r="BE680" t="str">
            <v/>
          </cell>
          <cell r="BF680" t="str">
            <v/>
          </cell>
          <cell r="BG680" t="str">
            <v/>
          </cell>
          <cell r="BH680" t="str">
            <v>B29Zhou, C., Guo, C., Li, C. &amp; Du, Z. Investigation on the intermetallic compound Co 3 Ta and high-temperature phase equilibria in the Co–Ni–Ta system. Intermetallics 108, 1–18 (2019).</v>
          </cell>
          <cell r="BI680" t="str">
            <v>Co-25.8Ni-14.6Ta</v>
          </cell>
          <cell r="BJ680" t="str">
            <v>85.4Co-25.8Ni-14.6Ta</v>
          </cell>
        </row>
        <row r="681">
          <cell r="A681" t="str">
            <v>Co-30.5Ni-14.2Ta</v>
          </cell>
          <cell r="B681" t="str">
            <v>W-free</v>
          </cell>
          <cell r="C681" t="str">
            <v>-31Ni-14Ta</v>
          </cell>
          <cell r="D681" t="str">
            <v>B30</v>
          </cell>
          <cell r="E681" t="str">
            <v>Zhou, C., Guo, C., Li, C. &amp; Du, Z. Investigation on the intermetallic compound Co 3 Ta and high-temperature phase equilibria in the Co–Ni–Ta system. Intermetallics 108, 1–18 (2019).</v>
          </cell>
          <cell r="F681">
            <v>722</v>
          </cell>
          <cell r="G681">
            <v>55.3</v>
          </cell>
          <cell r="H681">
            <v>30.5</v>
          </cell>
          <cell r="I681"/>
          <cell r="J681"/>
          <cell r="K681"/>
          <cell r="L681"/>
          <cell r="M681">
            <v>14.2</v>
          </cell>
          <cell r="N681"/>
          <cell r="O681"/>
          <cell r="P681"/>
          <cell r="Q681"/>
          <cell r="R681"/>
          <cell r="S681"/>
          <cell r="T681"/>
          <cell r="U681"/>
          <cell r="V681"/>
          <cell r="W681"/>
          <cell r="X681"/>
          <cell r="Y681"/>
          <cell r="Z681"/>
          <cell r="AA681"/>
          <cell r="AB681"/>
          <cell r="AC681"/>
          <cell r="AD681"/>
          <cell r="AE681"/>
          <cell r="AF681">
            <v>10.002940000000001</v>
          </cell>
          <cell r="AG681"/>
          <cell r="AH681"/>
          <cell r="AI681" t="str">
            <v>Co</v>
          </cell>
          <cell r="AJ681" t="str">
            <v/>
          </cell>
          <cell r="AK681" t="str">
            <v/>
          </cell>
          <cell r="AL681" t="str">
            <v>-30.5Ni</v>
          </cell>
          <cell r="AM681" t="str">
            <v/>
          </cell>
          <cell r="AN681" t="str">
            <v>-14.2Ta</v>
          </cell>
          <cell r="AO681" t="str">
            <v/>
          </cell>
          <cell r="AP681" t="str">
            <v/>
          </cell>
          <cell r="AQ681" t="str">
            <v/>
          </cell>
          <cell r="AR681" t="str">
            <v/>
          </cell>
          <cell r="AS681" t="str">
            <v/>
          </cell>
          <cell r="AT681" t="str">
            <v/>
          </cell>
          <cell r="AU681" t="str">
            <v/>
          </cell>
          <cell r="AV681" t="str">
            <v/>
          </cell>
          <cell r="AW681" t="str">
            <v/>
          </cell>
          <cell r="AX681" t="str">
            <v/>
          </cell>
          <cell r="AY681" t="str">
            <v/>
          </cell>
          <cell r="AZ681" t="str">
            <v/>
          </cell>
          <cell r="BA681" t="str">
            <v/>
          </cell>
          <cell r="BB681" t="str">
            <v/>
          </cell>
          <cell r="BC681" t="str">
            <v/>
          </cell>
          <cell r="BD681" t="str">
            <v/>
          </cell>
          <cell r="BE681" t="str">
            <v/>
          </cell>
          <cell r="BF681" t="str">
            <v/>
          </cell>
          <cell r="BG681" t="str">
            <v/>
          </cell>
          <cell r="BH681" t="str">
            <v>B30Zhou, C., Guo, C., Li, C. &amp; Du, Z. Investigation on the intermetallic compound Co 3 Ta and high-temperature phase equilibria in the Co–Ni–Ta system. Intermetallics 108, 1–18 (2019).</v>
          </cell>
          <cell r="BI681" t="str">
            <v>Co-30.5Ni-14.2Ta</v>
          </cell>
          <cell r="BJ681" t="str">
            <v>85.8Co-30.5Ni-14.2Ta</v>
          </cell>
        </row>
        <row r="682">
          <cell r="A682" t="str">
            <v>Co-35.3Ni-14.2Ta</v>
          </cell>
          <cell r="B682" t="str">
            <v>W-free</v>
          </cell>
          <cell r="C682" t="str">
            <v>-35Ni-14Ta</v>
          </cell>
          <cell r="D682" t="str">
            <v>B31</v>
          </cell>
          <cell r="E682" t="str">
            <v>Zhou, C., Guo, C., Li, C. &amp; Du, Z. Investigation on the intermetallic compound Co 3 Ta and high-temperature phase equilibria in the Co–Ni–Ta system. Intermetallics 108, 1–18 (2019).</v>
          </cell>
          <cell r="F682">
            <v>723</v>
          </cell>
          <cell r="G682">
            <v>50.5</v>
          </cell>
          <cell r="H682">
            <v>35.299999999999997</v>
          </cell>
          <cell r="I682"/>
          <cell r="J682"/>
          <cell r="K682"/>
          <cell r="L682"/>
          <cell r="M682">
            <v>14.2</v>
          </cell>
          <cell r="N682"/>
          <cell r="O682"/>
          <cell r="P682"/>
          <cell r="Q682"/>
          <cell r="R682"/>
          <cell r="S682"/>
          <cell r="T682"/>
          <cell r="U682"/>
          <cell r="V682"/>
          <cell r="W682"/>
          <cell r="X682"/>
          <cell r="Y682"/>
          <cell r="Z682"/>
          <cell r="AA682"/>
          <cell r="AB682"/>
          <cell r="AC682"/>
          <cell r="AD682"/>
          <cell r="AE682"/>
          <cell r="AF682">
            <v>10.003323999999999</v>
          </cell>
          <cell r="AG682"/>
          <cell r="AH682"/>
          <cell r="AI682" t="str">
            <v>Co</v>
          </cell>
          <cell r="AJ682" t="str">
            <v/>
          </cell>
          <cell r="AK682" t="str">
            <v/>
          </cell>
          <cell r="AL682" t="str">
            <v>-35.3Ni</v>
          </cell>
          <cell r="AM682" t="str">
            <v/>
          </cell>
          <cell r="AN682" t="str">
            <v>-14.2Ta</v>
          </cell>
          <cell r="AO682" t="str">
            <v/>
          </cell>
          <cell r="AP682" t="str">
            <v/>
          </cell>
          <cell r="AQ682" t="str">
            <v/>
          </cell>
          <cell r="AR682" t="str">
            <v/>
          </cell>
          <cell r="AS682" t="str">
            <v/>
          </cell>
          <cell r="AT682" t="str">
            <v/>
          </cell>
          <cell r="AU682" t="str">
            <v/>
          </cell>
          <cell r="AV682" t="str">
            <v/>
          </cell>
          <cell r="AW682" t="str">
            <v/>
          </cell>
          <cell r="AX682" t="str">
            <v/>
          </cell>
          <cell r="AY682" t="str">
            <v/>
          </cell>
          <cell r="AZ682" t="str">
            <v/>
          </cell>
          <cell r="BA682" t="str">
            <v/>
          </cell>
          <cell r="BB682" t="str">
            <v/>
          </cell>
          <cell r="BC682" t="str">
            <v/>
          </cell>
          <cell r="BD682" t="str">
            <v/>
          </cell>
          <cell r="BE682" t="str">
            <v/>
          </cell>
          <cell r="BF682" t="str">
            <v/>
          </cell>
          <cell r="BG682" t="str">
            <v/>
          </cell>
          <cell r="BH682" t="str">
            <v>B31Zhou, C., Guo, C., Li, C. &amp; Du, Z. Investigation on the intermetallic compound Co 3 Ta and high-temperature phase equilibria in the Co–Ni–Ta system. Intermetallics 108, 1–18 (2019).</v>
          </cell>
          <cell r="BI682" t="str">
            <v>Co-35.3Ni-14.2Ta</v>
          </cell>
          <cell r="BJ682" t="str">
            <v>85.8Co-35.3Ni-14.2Ta</v>
          </cell>
        </row>
        <row r="683">
          <cell r="A683" t="str">
            <v>Co-39.1Ni-14.5Ta</v>
          </cell>
          <cell r="B683" t="str">
            <v>W-free</v>
          </cell>
          <cell r="C683" t="str">
            <v>-39Ni-15Ta</v>
          </cell>
          <cell r="D683" t="str">
            <v>B32</v>
          </cell>
          <cell r="E683" t="str">
            <v>Zhou, C., Guo, C., Li, C. &amp; Du, Z. Investigation on the intermetallic compound Co 3 Ta and high-temperature phase equilibria in the Co–Ni–Ta system. Intermetallics 108, 1–18 (2019).</v>
          </cell>
          <cell r="F683">
            <v>724</v>
          </cell>
          <cell r="G683">
            <v>46.4</v>
          </cell>
          <cell r="H683">
            <v>39.1</v>
          </cell>
          <cell r="I683"/>
          <cell r="J683"/>
          <cell r="K683"/>
          <cell r="L683"/>
          <cell r="M683">
            <v>14.5</v>
          </cell>
          <cell r="N683"/>
          <cell r="O683"/>
          <cell r="P683"/>
          <cell r="Q683"/>
          <cell r="R683"/>
          <cell r="S683"/>
          <cell r="T683"/>
          <cell r="U683"/>
          <cell r="V683"/>
          <cell r="W683"/>
          <cell r="X683"/>
          <cell r="Y683"/>
          <cell r="Z683"/>
          <cell r="AA683"/>
          <cell r="AB683"/>
          <cell r="AC683"/>
          <cell r="AD683"/>
          <cell r="AE683"/>
          <cell r="AF683">
            <v>10.026878</v>
          </cell>
          <cell r="AG683"/>
          <cell r="AH683"/>
          <cell r="AI683" t="str">
            <v>Co</v>
          </cell>
          <cell r="AJ683" t="str">
            <v/>
          </cell>
          <cell r="AK683" t="str">
            <v/>
          </cell>
          <cell r="AL683" t="str">
            <v>-39.1Ni</v>
          </cell>
          <cell r="AM683" t="str">
            <v/>
          </cell>
          <cell r="AN683" t="str">
            <v>-14.5Ta</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
          </cell>
          <cell r="BB683" t="str">
            <v/>
          </cell>
          <cell r="BC683" t="str">
            <v/>
          </cell>
          <cell r="BD683" t="str">
            <v/>
          </cell>
          <cell r="BE683" t="str">
            <v/>
          </cell>
          <cell r="BF683" t="str">
            <v/>
          </cell>
          <cell r="BG683" t="str">
            <v/>
          </cell>
          <cell r="BH683" t="str">
            <v>B32Zhou, C., Guo, C., Li, C. &amp; Du, Z. Investigation on the intermetallic compound Co 3 Ta and high-temperature phase equilibria in the Co–Ni–Ta system. Intermetallics 108, 1–18 (2019).</v>
          </cell>
          <cell r="BI683" t="str">
            <v>Co-39.1Ni-14.5Ta</v>
          </cell>
          <cell r="BJ683" t="str">
            <v>85.5Co-39.1Ni-14.5Ta</v>
          </cell>
        </row>
        <row r="684">
          <cell r="A684" t="str">
            <v>Co-45.8Ni-14.2Ta</v>
          </cell>
          <cell r="B684" t="str">
            <v>W-free</v>
          </cell>
          <cell r="C684" t="str">
            <v>-46Ni-14Ta</v>
          </cell>
          <cell r="D684" t="str">
            <v>B33</v>
          </cell>
          <cell r="E684" t="str">
            <v>Zhou, C., Guo, C., Li, C. &amp; Du, Z. Investigation on the intermetallic compound Co 3 Ta and high-temperature phase equilibria in the Co–Ni–Ta system. Intermetallics 108, 1–18 (2019).</v>
          </cell>
          <cell r="F684">
            <v>725</v>
          </cell>
          <cell r="G684">
            <v>40</v>
          </cell>
          <cell r="H684">
            <v>45.8</v>
          </cell>
          <cell r="I684"/>
          <cell r="J684"/>
          <cell r="K684"/>
          <cell r="L684"/>
          <cell r="M684">
            <v>14.2</v>
          </cell>
          <cell r="N684"/>
          <cell r="O684"/>
          <cell r="P684"/>
          <cell r="Q684"/>
          <cell r="R684"/>
          <cell r="S684"/>
          <cell r="T684"/>
          <cell r="U684"/>
          <cell r="V684"/>
          <cell r="W684"/>
          <cell r="X684"/>
          <cell r="Y684"/>
          <cell r="Z684"/>
          <cell r="AA684"/>
          <cell r="AB684"/>
          <cell r="AC684"/>
          <cell r="AD684"/>
          <cell r="AE684"/>
          <cell r="AF684">
            <v>10.004163999999999</v>
          </cell>
          <cell r="AG684"/>
          <cell r="AH684"/>
          <cell r="AI684" t="str">
            <v>Co</v>
          </cell>
          <cell r="AJ684" t="str">
            <v/>
          </cell>
          <cell r="AK684" t="str">
            <v/>
          </cell>
          <cell r="AL684" t="str">
            <v>-45.8Ni</v>
          </cell>
          <cell r="AM684" t="str">
            <v/>
          </cell>
          <cell r="AN684" t="str">
            <v>-14.2Ta</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
          </cell>
          <cell r="BB684" t="str">
            <v/>
          </cell>
          <cell r="BC684" t="str">
            <v/>
          </cell>
          <cell r="BD684" t="str">
            <v/>
          </cell>
          <cell r="BE684" t="str">
            <v/>
          </cell>
          <cell r="BF684" t="str">
            <v/>
          </cell>
          <cell r="BG684" t="str">
            <v/>
          </cell>
          <cell r="BH684" t="str">
            <v>B33Zhou, C., Guo, C., Li, C. &amp; Du, Z. Investigation on the intermetallic compound Co 3 Ta and high-temperature phase equilibria in the Co–Ni–Ta system. Intermetallics 108, 1–18 (2019).</v>
          </cell>
          <cell r="BI684" t="str">
            <v>Co-45.8Ni-14.2Ta</v>
          </cell>
          <cell r="BJ684" t="str">
            <v>85.8Co-45.8Ni-14.2Ta</v>
          </cell>
        </row>
        <row r="685">
          <cell r="A685" t="str">
            <v>Co-51.2Ni-14.3Ta</v>
          </cell>
          <cell r="B685" t="str">
            <v>W-free</v>
          </cell>
          <cell r="C685" t="str">
            <v>-51Ni-14Ta</v>
          </cell>
          <cell r="D685" t="str">
            <v>B34</v>
          </cell>
          <cell r="E685" t="str">
            <v>Zhou, C., Guo, C., Li, C. &amp; Du, Z. Investigation on the intermetallic compound Co 3 Ta and high-temperature phase equilibria in the Co–Ni–Ta system. Intermetallics 108, 1–18 (2019).</v>
          </cell>
          <cell r="F685">
            <v>726</v>
          </cell>
          <cell r="G685">
            <v>34.5</v>
          </cell>
          <cell r="H685">
            <v>51.2</v>
          </cell>
          <cell r="I685"/>
          <cell r="J685"/>
          <cell r="K685"/>
          <cell r="L685"/>
          <cell r="M685">
            <v>14.3</v>
          </cell>
          <cell r="N685"/>
          <cell r="O685"/>
          <cell r="P685"/>
          <cell r="Q685"/>
          <cell r="R685"/>
          <cell r="S685"/>
          <cell r="T685"/>
          <cell r="U685"/>
          <cell r="V685"/>
          <cell r="W685"/>
          <cell r="X685"/>
          <cell r="Y685"/>
          <cell r="Z685"/>
          <cell r="AA685"/>
          <cell r="AB685"/>
          <cell r="AC685"/>
          <cell r="AD685"/>
          <cell r="AE685"/>
          <cell r="AF685">
            <v>10.012346000000001</v>
          </cell>
          <cell r="AG685"/>
          <cell r="AH685"/>
          <cell r="AI685" t="str">
            <v>Co</v>
          </cell>
          <cell r="AJ685" t="str">
            <v/>
          </cell>
          <cell r="AK685" t="str">
            <v/>
          </cell>
          <cell r="AL685" t="str">
            <v>-51.2Ni</v>
          </cell>
          <cell r="AM685" t="str">
            <v/>
          </cell>
          <cell r="AN685" t="str">
            <v>-14.3Ta</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
          </cell>
          <cell r="BB685" t="str">
            <v/>
          </cell>
          <cell r="BC685" t="str">
            <v/>
          </cell>
          <cell r="BD685" t="str">
            <v/>
          </cell>
          <cell r="BE685" t="str">
            <v/>
          </cell>
          <cell r="BF685" t="str">
            <v/>
          </cell>
          <cell r="BG685" t="str">
            <v/>
          </cell>
          <cell r="BH685" t="str">
            <v>B34Zhou, C., Guo, C., Li, C. &amp; Du, Z. Investigation on the intermetallic compound Co 3 Ta and high-temperature phase equilibria in the Co–Ni–Ta system. Intermetallics 108, 1–18 (2019).</v>
          </cell>
          <cell r="BI685" t="str">
            <v>Co-51.2Ni-14.3Ta</v>
          </cell>
          <cell r="BJ685" t="str">
            <v>85.7Co-51.2Ni-14.3Ta</v>
          </cell>
        </row>
        <row r="686">
          <cell r="A686" t="str">
            <v>Co-54.8Ni-15.Ta</v>
          </cell>
          <cell r="B686" t="str">
            <v>W-free</v>
          </cell>
          <cell r="C686" t="str">
            <v>-55Ni-15Ta</v>
          </cell>
          <cell r="D686" t="str">
            <v>B35</v>
          </cell>
          <cell r="E686" t="str">
            <v>Zhou, C., Guo, C., Li, C. &amp; Du, Z. Investigation on the intermetallic compound Co 3 Ta and high-temperature phase equilibria in the Co–Ni–Ta system. Intermetallics 108, 1–18 (2019).</v>
          </cell>
          <cell r="F686">
            <v>727</v>
          </cell>
          <cell r="G686">
            <v>30.200000000000003</v>
          </cell>
          <cell r="H686">
            <v>54.8</v>
          </cell>
          <cell r="I686"/>
          <cell r="J686"/>
          <cell r="K686"/>
          <cell r="L686"/>
          <cell r="M686">
            <v>15</v>
          </cell>
          <cell r="N686"/>
          <cell r="O686"/>
          <cell r="P686"/>
          <cell r="Q686"/>
          <cell r="R686"/>
          <cell r="S686"/>
          <cell r="T686"/>
          <cell r="U686"/>
          <cell r="V686"/>
          <cell r="W686"/>
          <cell r="X686"/>
          <cell r="Y686"/>
          <cell r="Z686"/>
          <cell r="AA686"/>
          <cell r="AB686"/>
          <cell r="AC686"/>
          <cell r="AD686"/>
          <cell r="AE686"/>
          <cell r="AF686">
            <v>10.066884</v>
          </cell>
          <cell r="AG686"/>
          <cell r="AH686"/>
          <cell r="AI686" t="str">
            <v>Co</v>
          </cell>
          <cell r="AJ686" t="str">
            <v/>
          </cell>
          <cell r="AK686" t="str">
            <v/>
          </cell>
          <cell r="AL686" t="str">
            <v>-54.8Ni</v>
          </cell>
          <cell r="AM686" t="str">
            <v/>
          </cell>
          <cell r="AN686" t="str">
            <v>-15.Ta</v>
          </cell>
          <cell r="AO686" t="str">
            <v/>
          </cell>
          <cell r="AP686" t="str">
            <v/>
          </cell>
          <cell r="AQ686" t="str">
            <v/>
          </cell>
          <cell r="AR686" t="str">
            <v/>
          </cell>
          <cell r="AS686" t="str">
            <v/>
          </cell>
          <cell r="AT686" t="str">
            <v/>
          </cell>
          <cell r="AU686" t="str">
            <v/>
          </cell>
          <cell r="AV686" t="str">
            <v/>
          </cell>
          <cell r="AW686" t="str">
            <v/>
          </cell>
          <cell r="AX686" t="str">
            <v/>
          </cell>
          <cell r="AY686" t="str">
            <v/>
          </cell>
          <cell r="AZ686" t="str">
            <v/>
          </cell>
          <cell r="BA686" t="str">
            <v/>
          </cell>
          <cell r="BB686" t="str">
            <v/>
          </cell>
          <cell r="BC686" t="str">
            <v/>
          </cell>
          <cell r="BD686" t="str">
            <v/>
          </cell>
          <cell r="BE686" t="str">
            <v/>
          </cell>
          <cell r="BF686" t="str">
            <v/>
          </cell>
          <cell r="BG686" t="str">
            <v/>
          </cell>
          <cell r="BH686" t="str">
            <v>B35Zhou, C., Guo, C., Li, C. &amp; Du, Z. Investigation on the intermetallic compound Co 3 Ta and high-temperature phase equilibria in the Co–Ni–Ta system. Intermetallics 108, 1–18 (2019).</v>
          </cell>
          <cell r="BI686" t="str">
            <v>Co-54.8Ni-15.Ta</v>
          </cell>
          <cell r="BJ686" t="str">
            <v>85.0Co-54.8Ni-15.0Ta</v>
          </cell>
        </row>
        <row r="687">
          <cell r="A687" t="str">
            <v>Co-61.1Ni-14.7Ta</v>
          </cell>
          <cell r="B687" t="str">
            <v>W-free</v>
          </cell>
          <cell r="C687" t="str">
            <v>-61Ni-15Ta</v>
          </cell>
          <cell r="D687" t="str">
            <v>B36</v>
          </cell>
          <cell r="E687" t="str">
            <v>Zhou, C., Guo, C., Li, C. &amp; Du, Z. Investigation on the intermetallic compound Co 3 Ta and high-temperature phase equilibria in the Co–Ni–Ta system. Intermetallics 108, 1–18 (2019).</v>
          </cell>
          <cell r="F687">
            <v>728</v>
          </cell>
          <cell r="G687">
            <v>24.200000000000003</v>
          </cell>
          <cell r="H687">
            <v>61.1</v>
          </cell>
          <cell r="I687"/>
          <cell r="J687"/>
          <cell r="K687"/>
          <cell r="L687"/>
          <cell r="M687">
            <v>14.7</v>
          </cell>
          <cell r="N687"/>
          <cell r="O687"/>
          <cell r="P687"/>
          <cell r="Q687"/>
          <cell r="R687"/>
          <cell r="S687"/>
          <cell r="T687"/>
          <cell r="U687"/>
          <cell r="V687"/>
          <cell r="W687"/>
          <cell r="X687"/>
          <cell r="Y687"/>
          <cell r="Z687"/>
          <cell r="AA687"/>
          <cell r="AB687"/>
          <cell r="AC687"/>
          <cell r="AD687"/>
          <cell r="AE687"/>
          <cell r="AF687">
            <v>10.044137999999998</v>
          </cell>
          <cell r="AG687"/>
          <cell r="AH687"/>
          <cell r="AI687" t="str">
            <v>Co</v>
          </cell>
          <cell r="AJ687" t="str">
            <v/>
          </cell>
          <cell r="AK687" t="str">
            <v/>
          </cell>
          <cell r="AL687" t="str">
            <v>-61.1Ni</v>
          </cell>
          <cell r="AM687" t="str">
            <v/>
          </cell>
          <cell r="AN687" t="str">
            <v>-14.7Ta</v>
          </cell>
          <cell r="AO687" t="str">
            <v/>
          </cell>
          <cell r="AP687" t="str">
            <v/>
          </cell>
          <cell r="AQ687" t="str">
            <v/>
          </cell>
          <cell r="AR687" t="str">
            <v/>
          </cell>
          <cell r="AS687" t="str">
            <v/>
          </cell>
          <cell r="AT687" t="str">
            <v/>
          </cell>
          <cell r="AU687" t="str">
            <v/>
          </cell>
          <cell r="AV687" t="str">
            <v/>
          </cell>
          <cell r="AW687" t="str">
            <v/>
          </cell>
          <cell r="AX687" t="str">
            <v/>
          </cell>
          <cell r="AY687" t="str">
            <v/>
          </cell>
          <cell r="AZ687" t="str">
            <v/>
          </cell>
          <cell r="BA687" t="str">
            <v/>
          </cell>
          <cell r="BB687" t="str">
            <v/>
          </cell>
          <cell r="BC687" t="str">
            <v/>
          </cell>
          <cell r="BD687" t="str">
            <v/>
          </cell>
          <cell r="BE687" t="str">
            <v/>
          </cell>
          <cell r="BF687" t="str">
            <v/>
          </cell>
          <cell r="BG687" t="str">
            <v/>
          </cell>
          <cell r="BH687" t="str">
            <v>B36Zhou, C., Guo, C., Li, C. &amp; Du, Z. Investigation on the intermetallic compound Co 3 Ta and high-temperature phase equilibria in the Co–Ni–Ta system. Intermetallics 108, 1–18 (2019).</v>
          </cell>
          <cell r="BI687" t="str">
            <v>Co-61.1Ni-14.7Ta</v>
          </cell>
          <cell r="BJ687" t="str">
            <v>85.3Co-61.1Ni-14.7Ta</v>
          </cell>
        </row>
        <row r="688">
          <cell r="A688" t="str">
            <v>Co-65.6Ni-14.9Ta</v>
          </cell>
          <cell r="B688" t="str">
            <v>W-free</v>
          </cell>
          <cell r="C688" t="str">
            <v>-66Ni-15Ta</v>
          </cell>
          <cell r="D688" t="str">
            <v>B37</v>
          </cell>
          <cell r="E688" t="str">
            <v>Zhou, C., Guo, C., Li, C. &amp; Du, Z. Investigation on the intermetallic compound Co 3 Ta and high-temperature phase equilibria in the Co–Ni–Ta system. Intermetallics 108, 1–18 (2019).</v>
          </cell>
          <cell r="F688">
            <v>729</v>
          </cell>
          <cell r="G688">
            <v>19.5</v>
          </cell>
          <cell r="H688">
            <v>65.599999999999994</v>
          </cell>
          <cell r="I688"/>
          <cell r="J688"/>
          <cell r="K688"/>
          <cell r="L688"/>
          <cell r="M688">
            <v>14.9</v>
          </cell>
          <cell r="N688"/>
          <cell r="O688"/>
          <cell r="P688"/>
          <cell r="Q688"/>
          <cell r="R688"/>
          <cell r="S688"/>
          <cell r="T688"/>
          <cell r="U688"/>
          <cell r="V688"/>
          <cell r="W688"/>
          <cell r="X688"/>
          <cell r="Y688"/>
          <cell r="Z688"/>
          <cell r="AA688"/>
          <cell r="AB688"/>
          <cell r="AC688"/>
          <cell r="AD688"/>
          <cell r="AE688"/>
          <cell r="AF688">
            <v>10.059998</v>
          </cell>
          <cell r="AG688"/>
          <cell r="AH688"/>
          <cell r="AI688" t="str">
            <v>Co</v>
          </cell>
          <cell r="AJ688" t="str">
            <v/>
          </cell>
          <cell r="AK688" t="str">
            <v/>
          </cell>
          <cell r="AL688" t="str">
            <v>-65.6Ni</v>
          </cell>
          <cell r="AM688" t="str">
            <v/>
          </cell>
          <cell r="AN688" t="str">
            <v>-14.9Ta</v>
          </cell>
          <cell r="AO688" t="str">
            <v/>
          </cell>
          <cell r="AP688" t="str">
            <v/>
          </cell>
          <cell r="AQ688" t="str">
            <v/>
          </cell>
          <cell r="AR688" t="str">
            <v/>
          </cell>
          <cell r="AS688" t="str">
            <v/>
          </cell>
          <cell r="AT688" t="str">
            <v/>
          </cell>
          <cell r="AU688" t="str">
            <v/>
          </cell>
          <cell r="AV688" t="str">
            <v/>
          </cell>
          <cell r="AW688" t="str">
            <v/>
          </cell>
          <cell r="AX688" t="str">
            <v/>
          </cell>
          <cell r="AY688" t="str">
            <v/>
          </cell>
          <cell r="AZ688" t="str">
            <v/>
          </cell>
          <cell r="BA688" t="str">
            <v/>
          </cell>
          <cell r="BB688" t="str">
            <v/>
          </cell>
          <cell r="BC688" t="str">
            <v/>
          </cell>
          <cell r="BD688" t="str">
            <v/>
          </cell>
          <cell r="BE688" t="str">
            <v/>
          </cell>
          <cell r="BF688" t="str">
            <v/>
          </cell>
          <cell r="BG688" t="str">
            <v/>
          </cell>
          <cell r="BH688" t="str">
            <v>B37Zhou, C., Guo, C., Li, C. &amp; Du, Z. Investigation on the intermetallic compound Co 3 Ta and high-temperature phase equilibria in the Co–Ni–Ta system. Intermetallics 108, 1–18 (2019).</v>
          </cell>
          <cell r="BI688" t="str">
            <v>Co-65.6Ni-14.9Ta</v>
          </cell>
          <cell r="BJ688" t="str">
            <v>85.1Co-65.6Ni-14.9Ta</v>
          </cell>
        </row>
        <row r="689">
          <cell r="A689" t="str">
            <v>Co-74.9Ni-14.7Ta</v>
          </cell>
          <cell r="B689" t="str">
            <v>W-free</v>
          </cell>
          <cell r="C689" t="str">
            <v>-75Ni-15Ta</v>
          </cell>
          <cell r="D689" t="str">
            <v>B38</v>
          </cell>
          <cell r="E689" t="str">
            <v>Zhou, C., Guo, C., Li, C. &amp; Du, Z. Investigation on the intermetallic compound Co 3 Ta and high-temperature phase equilibria in the Co–Ni–Ta system. Intermetallics 108, 1–18 (2019).</v>
          </cell>
          <cell r="F689">
            <v>730</v>
          </cell>
          <cell r="G689">
            <v>10.399999999999991</v>
          </cell>
          <cell r="H689">
            <v>74.900000000000006</v>
          </cell>
          <cell r="I689"/>
          <cell r="J689"/>
          <cell r="K689"/>
          <cell r="L689"/>
          <cell r="M689">
            <v>14.7</v>
          </cell>
          <cell r="N689"/>
          <cell r="O689"/>
          <cell r="P689"/>
          <cell r="Q689"/>
          <cell r="R689"/>
          <cell r="S689"/>
          <cell r="T689"/>
          <cell r="U689"/>
          <cell r="V689"/>
          <cell r="W689"/>
          <cell r="X689"/>
          <cell r="Y689"/>
          <cell r="Z689"/>
          <cell r="AA689"/>
          <cell r="AB689"/>
          <cell r="AC689"/>
          <cell r="AD689"/>
          <cell r="AE689"/>
          <cell r="AF689">
            <v>10.045242</v>
          </cell>
          <cell r="AG689"/>
          <cell r="AH689"/>
          <cell r="AI689" t="str">
            <v>Co</v>
          </cell>
          <cell r="AJ689" t="str">
            <v/>
          </cell>
          <cell r="AK689" t="str">
            <v/>
          </cell>
          <cell r="AL689" t="str">
            <v>-74.9Ni</v>
          </cell>
          <cell r="AM689" t="str">
            <v/>
          </cell>
          <cell r="AN689" t="str">
            <v>-14.7Ta</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
          </cell>
          <cell r="BB689" t="str">
            <v/>
          </cell>
          <cell r="BC689" t="str">
            <v/>
          </cell>
          <cell r="BD689" t="str">
            <v/>
          </cell>
          <cell r="BE689" t="str">
            <v/>
          </cell>
          <cell r="BF689" t="str">
            <v/>
          </cell>
          <cell r="BG689" t="str">
            <v/>
          </cell>
          <cell r="BH689" t="str">
            <v>B38Zhou, C., Guo, C., Li, C. &amp; Du, Z. Investigation on the intermetallic compound Co 3 Ta and high-temperature phase equilibria in the Co–Ni–Ta system. Intermetallics 108, 1–18 (2019).</v>
          </cell>
          <cell r="BI689" t="str">
            <v>Co-74.9Ni-14.7Ta</v>
          </cell>
          <cell r="BJ689" t="str">
            <v>85.3Co-74.9Ni-14.7Ta</v>
          </cell>
        </row>
        <row r="690">
          <cell r="A690" t="str">
            <v>Co-7.Al-4.Cr-7.W-4.Ti-2.Ta</v>
          </cell>
          <cell r="B690" t="str">
            <v>CoAlWX+</v>
          </cell>
          <cell r="C690" t="str">
            <v>-7Al-4Cr-7W-4Ti-2Ta</v>
          </cell>
          <cell r="D690" t="str">
            <v>4Cr</v>
          </cell>
          <cell r="E690" t="str">
            <v>Zhou, H. J. et al. Alloying effects on microstructural stability and γ′ phase nano-hardness in Co-Al-W-Ta-Ti-base superalloys. in Proceedings of the International Symposium on Superalloys vols 2016-Janua 981–990 (Minerals, Metals and Materials Society, 2016).</v>
          </cell>
          <cell r="F690">
            <v>732</v>
          </cell>
          <cell r="G690">
            <v>76</v>
          </cell>
          <cell r="H690"/>
          <cell r="I690">
            <v>7</v>
          </cell>
          <cell r="J690">
            <v>4</v>
          </cell>
          <cell r="K690">
            <v>7</v>
          </cell>
          <cell r="L690">
            <v>4</v>
          </cell>
          <cell r="M690">
            <v>2</v>
          </cell>
          <cell r="N690"/>
          <cell r="O690"/>
          <cell r="P690"/>
          <cell r="Q690"/>
          <cell r="R690"/>
          <cell r="S690"/>
          <cell r="T690"/>
          <cell r="U690"/>
          <cell r="V690"/>
          <cell r="W690"/>
          <cell r="X690"/>
          <cell r="Y690"/>
          <cell r="Z690"/>
          <cell r="AA690"/>
          <cell r="AB690"/>
          <cell r="AC690"/>
          <cell r="AD690"/>
          <cell r="AE690"/>
          <cell r="AF690">
            <v>9.1013799999999989</v>
          </cell>
          <cell r="AG690"/>
          <cell r="AH690"/>
          <cell r="AI690" t="str">
            <v>Co</v>
          </cell>
          <cell r="AJ690" t="str">
            <v>-7.Al</v>
          </cell>
          <cell r="AK690" t="str">
            <v>-7.W</v>
          </cell>
          <cell r="AL690" t="str">
            <v/>
          </cell>
          <cell r="AM690" t="str">
            <v>-4.Cr</v>
          </cell>
          <cell r="AN690" t="str">
            <v>-2.Ta</v>
          </cell>
          <cell r="AO690" t="str">
            <v/>
          </cell>
          <cell r="AP690" t="str">
            <v/>
          </cell>
          <cell r="AQ690" t="str">
            <v>-4.Ti</v>
          </cell>
          <cell r="AR690" t="str">
            <v/>
          </cell>
          <cell r="AS690" t="str">
            <v/>
          </cell>
          <cell r="AT690" t="str">
            <v/>
          </cell>
          <cell r="AU690" t="str">
            <v/>
          </cell>
          <cell r="AV690" t="str">
            <v/>
          </cell>
          <cell r="AW690" t="str">
            <v/>
          </cell>
          <cell r="AX690" t="str">
            <v/>
          </cell>
          <cell r="AY690" t="str">
            <v/>
          </cell>
          <cell r="AZ690" t="str">
            <v/>
          </cell>
          <cell r="BA690" t="str">
            <v/>
          </cell>
          <cell r="BB690" t="str">
            <v/>
          </cell>
          <cell r="BC690" t="str">
            <v/>
          </cell>
          <cell r="BD690" t="str">
            <v/>
          </cell>
          <cell r="BE690" t="str">
            <v/>
          </cell>
          <cell r="BF690" t="str">
            <v/>
          </cell>
          <cell r="BG690" t="str">
            <v/>
          </cell>
          <cell r="BH690" t="str">
            <v>4CrZhou, H. J. et al. Alloying effects on microstructural stability and γ′ phase nano-hardness in Co-Al-W-Ta-Ti-base superalloys. in Proceedings of the International Symposium on Superalloys vols 2016-Janua 981–990 (Minerals, Metals and Materials Society, 2016).</v>
          </cell>
          <cell r="BI690" t="str">
            <v>Co-7.Al-4.Cr-7.W-4.Ti-2.Ta</v>
          </cell>
          <cell r="BJ690" t="str">
            <v>76.0Co-7.0Al-4.0Cr-7.0W-4.0Ti-2.0Ta</v>
          </cell>
        </row>
        <row r="691">
          <cell r="A691" t="str">
            <v>Co-7.Al-6.W-4.Ti-2.Ta-1.Mo</v>
          </cell>
          <cell r="B691" t="str">
            <v>CoAlWX+</v>
          </cell>
          <cell r="C691" t="str">
            <v>-7Al-6W-4Ti-2Ta-1Mo</v>
          </cell>
          <cell r="D691" t="str">
            <v>1Mo</v>
          </cell>
          <cell r="E691" t="str">
            <v>Zhou, H. J. et al. Alloying effects on microstructural stability and γ′ phase nano-hardness in Co-Al-W-Ta-Ti-base superalloys. in Proceedings of the International Symposium on Superalloys vols 2016-Janua 981–990 (Minerals, Metals and Materials Society, 2016).</v>
          </cell>
          <cell r="F691">
            <v>733</v>
          </cell>
          <cell r="G691">
            <v>80</v>
          </cell>
          <cell r="H691"/>
          <cell r="I691">
            <v>7</v>
          </cell>
          <cell r="J691"/>
          <cell r="K691">
            <v>6</v>
          </cell>
          <cell r="L691">
            <v>4</v>
          </cell>
          <cell r="M691">
            <v>2</v>
          </cell>
          <cell r="N691"/>
          <cell r="O691"/>
          <cell r="P691">
            <v>1</v>
          </cell>
          <cell r="Q691"/>
          <cell r="R691"/>
          <cell r="S691"/>
          <cell r="T691"/>
          <cell r="U691"/>
          <cell r="V691"/>
          <cell r="W691"/>
          <cell r="X691"/>
          <cell r="Y691"/>
          <cell r="Z691"/>
          <cell r="AA691"/>
          <cell r="AB691"/>
          <cell r="AC691"/>
          <cell r="AD691"/>
          <cell r="AE691"/>
          <cell r="AF691">
            <v>9.0800799999999988</v>
          </cell>
          <cell r="AG691"/>
          <cell r="AH691"/>
          <cell r="AI691" t="str">
            <v>Co</v>
          </cell>
          <cell r="AJ691" t="str">
            <v>-7.Al</v>
          </cell>
          <cell r="AK691" t="str">
            <v>-6.W</v>
          </cell>
          <cell r="AL691" t="str">
            <v/>
          </cell>
          <cell r="AM691" t="str">
            <v/>
          </cell>
          <cell r="AN691" t="str">
            <v>-2.Ta</v>
          </cell>
          <cell r="AO691" t="str">
            <v/>
          </cell>
          <cell r="AP691" t="str">
            <v/>
          </cell>
          <cell r="AQ691" t="str">
            <v>-4.Ti</v>
          </cell>
          <cell r="AR691" t="str">
            <v>-1.Mo</v>
          </cell>
          <cell r="AS691" t="str">
            <v/>
          </cell>
          <cell r="AT691" t="str">
            <v/>
          </cell>
          <cell r="AU691" t="str">
            <v/>
          </cell>
          <cell r="AV691" t="str">
            <v/>
          </cell>
          <cell r="AW691" t="str">
            <v/>
          </cell>
          <cell r="AX691" t="str">
            <v/>
          </cell>
          <cell r="AY691" t="str">
            <v/>
          </cell>
          <cell r="AZ691" t="str">
            <v/>
          </cell>
          <cell r="BA691" t="str">
            <v/>
          </cell>
          <cell r="BB691" t="str">
            <v/>
          </cell>
          <cell r="BC691" t="str">
            <v/>
          </cell>
          <cell r="BD691" t="str">
            <v/>
          </cell>
          <cell r="BE691" t="str">
            <v/>
          </cell>
          <cell r="BF691" t="str">
            <v/>
          </cell>
          <cell r="BG691" t="str">
            <v/>
          </cell>
          <cell r="BH691" t="str">
            <v>1MoZhou, H. J. et al. Alloying effects on microstructural stability and γ′ phase nano-hardness in Co-Al-W-Ta-Ti-base superalloys. in Proceedings of the International Symposium on Superalloys vols 2016-Janua 981–990 (Minerals, Metals and Materials Society, 2016).</v>
          </cell>
          <cell r="BI691" t="str">
            <v>Co-7.Al-6.W-4.Ti-2.Ta-1.Mo</v>
          </cell>
          <cell r="BJ691" t="str">
            <v>80.0Co-7.0Al-6.0W-4.0Ti-2.0Ta-1.0Mo</v>
          </cell>
        </row>
        <row r="692">
          <cell r="A692" t="str">
            <v>Co-7.Al-6.W-4.Ti-2.Ta-1.Nb</v>
          </cell>
          <cell r="B692" t="str">
            <v>CoAlWX+</v>
          </cell>
          <cell r="C692" t="str">
            <v>-7Al-6W-4Ti-2Ta-1Nb</v>
          </cell>
          <cell r="D692" t="str">
            <v>1Nb</v>
          </cell>
          <cell r="E692" t="str">
            <v>Zhou, H. J. et al. Alloying effects on microstructural stability and γ′ phase nano-hardness in Co-Al-W-Ta-Ti-base superalloys. in Proceedings of the International Symposium on Superalloys vols 2016-Janua 981–990 (Minerals, Metals and Materials Society, 2016).</v>
          </cell>
          <cell r="F692">
            <v>734</v>
          </cell>
          <cell r="G692">
            <v>80</v>
          </cell>
          <cell r="H692"/>
          <cell r="I692">
            <v>7</v>
          </cell>
          <cell r="J692"/>
          <cell r="K692">
            <v>6</v>
          </cell>
          <cell r="L692">
            <v>4</v>
          </cell>
          <cell r="M692">
            <v>2</v>
          </cell>
          <cell r="N692">
            <v>1</v>
          </cell>
          <cell r="O692"/>
          <cell r="P692"/>
          <cell r="Q692"/>
          <cell r="R692"/>
          <cell r="S692"/>
          <cell r="T692"/>
          <cell r="U692"/>
          <cell r="V692"/>
          <cell r="W692"/>
          <cell r="X692"/>
          <cell r="Y692"/>
          <cell r="Z692"/>
          <cell r="AA692"/>
          <cell r="AB692"/>
          <cell r="AC692"/>
          <cell r="AD692"/>
          <cell r="AE692"/>
          <cell r="AF692">
            <v>9.0629799999999996</v>
          </cell>
          <cell r="AG692"/>
          <cell r="AH692"/>
          <cell r="AI692" t="str">
            <v>Co</v>
          </cell>
          <cell r="AJ692" t="str">
            <v>-7.Al</v>
          </cell>
          <cell r="AK692" t="str">
            <v>-6.W</v>
          </cell>
          <cell r="AL692" t="str">
            <v/>
          </cell>
          <cell r="AM692" t="str">
            <v/>
          </cell>
          <cell r="AN692" t="str">
            <v>-2.Ta</v>
          </cell>
          <cell r="AO692" t="str">
            <v>-1.Nb</v>
          </cell>
          <cell r="AP692" t="str">
            <v/>
          </cell>
          <cell r="AQ692" t="str">
            <v>-4.Ti</v>
          </cell>
          <cell r="AR692" t="str">
            <v/>
          </cell>
          <cell r="AS692" t="str">
            <v/>
          </cell>
          <cell r="AT692" t="str">
            <v/>
          </cell>
          <cell r="AU692" t="str">
            <v/>
          </cell>
          <cell r="AV692" t="str">
            <v/>
          </cell>
          <cell r="AW692" t="str">
            <v/>
          </cell>
          <cell r="AX692" t="str">
            <v/>
          </cell>
          <cell r="AY692" t="str">
            <v/>
          </cell>
          <cell r="AZ692" t="str">
            <v/>
          </cell>
          <cell r="BA692" t="str">
            <v/>
          </cell>
          <cell r="BB692" t="str">
            <v/>
          </cell>
          <cell r="BC692" t="str">
            <v/>
          </cell>
          <cell r="BD692" t="str">
            <v/>
          </cell>
          <cell r="BE692" t="str">
            <v/>
          </cell>
          <cell r="BF692" t="str">
            <v/>
          </cell>
          <cell r="BG692" t="str">
            <v/>
          </cell>
          <cell r="BH692" t="str">
            <v>1NbZhou, H. J. et al. Alloying effects on microstructural stability and γ′ phase nano-hardness in Co-Al-W-Ta-Ti-base superalloys. in Proceedings of the International Symposium on Superalloys vols 2016-Janua 981–990 (Minerals, Metals and Materials Society, 2016).</v>
          </cell>
          <cell r="BI692" t="str">
            <v>Co-7.Al-6.W-4.Ti-2.Ta-1.Nb</v>
          </cell>
          <cell r="BJ692" t="str">
            <v>80.0Co-7.0Al-6.0W-4.0Ti-2.0Ta-1.0Nb</v>
          </cell>
        </row>
        <row r="693">
          <cell r="A693" t="str">
            <v>Co-7.Al-7.W-4.Ti-2.Ta-1.V</v>
          </cell>
          <cell r="B693" t="str">
            <v>CoAlWX+</v>
          </cell>
          <cell r="C693" t="str">
            <v>-7Al-7W-4Ti-2Ta-1V</v>
          </cell>
          <cell r="D693" t="str">
            <v>1V</v>
          </cell>
          <cell r="E693" t="str">
            <v>Zhou, H. J. et al. Alloying effects on microstructural stability and γ′ phase nano-hardness in Co-Al-W-Ta-Ti-base superalloys. in Proceedings of the International Symposium on Superalloys vols 2016-Janua 981–990 (Minerals, Metals and Materials Society, 2016).</v>
          </cell>
          <cell r="F693">
            <v>735</v>
          </cell>
          <cell r="G693">
            <v>79</v>
          </cell>
          <cell r="H693"/>
          <cell r="I693">
            <v>7</v>
          </cell>
          <cell r="J693"/>
          <cell r="K693">
            <v>7</v>
          </cell>
          <cell r="L693">
            <v>4</v>
          </cell>
          <cell r="M693">
            <v>2</v>
          </cell>
          <cell r="N693"/>
          <cell r="O693">
            <v>1</v>
          </cell>
          <cell r="P693"/>
          <cell r="Q693"/>
          <cell r="R693"/>
          <cell r="S693"/>
          <cell r="T693"/>
          <cell r="U693"/>
          <cell r="V693"/>
          <cell r="W693"/>
          <cell r="X693"/>
          <cell r="Y693"/>
          <cell r="Z693"/>
          <cell r="AA693"/>
          <cell r="AB693"/>
          <cell r="AC693"/>
          <cell r="AD693"/>
          <cell r="AE693"/>
          <cell r="AF693">
            <v>9.1418800000000005</v>
          </cell>
          <cell r="AG693"/>
          <cell r="AH693"/>
          <cell r="AI693" t="str">
            <v>Co</v>
          </cell>
          <cell r="AJ693" t="str">
            <v>-7.Al</v>
          </cell>
          <cell r="AK693" t="str">
            <v>-7.W</v>
          </cell>
          <cell r="AL693" t="str">
            <v/>
          </cell>
          <cell r="AM693" t="str">
            <v/>
          </cell>
          <cell r="AN693" t="str">
            <v>-2.Ta</v>
          </cell>
          <cell r="AO693" t="str">
            <v/>
          </cell>
          <cell r="AP693" t="str">
            <v>-1.V</v>
          </cell>
          <cell r="AQ693" t="str">
            <v>-4.Ti</v>
          </cell>
          <cell r="AR693" t="str">
            <v/>
          </cell>
          <cell r="AS693" t="str">
            <v/>
          </cell>
          <cell r="AT693" t="str">
            <v/>
          </cell>
          <cell r="AU693" t="str">
            <v/>
          </cell>
          <cell r="AV693" t="str">
            <v/>
          </cell>
          <cell r="AW693" t="str">
            <v/>
          </cell>
          <cell r="AX693" t="str">
            <v/>
          </cell>
          <cell r="AY693" t="str">
            <v/>
          </cell>
          <cell r="AZ693" t="str">
            <v/>
          </cell>
          <cell r="BA693" t="str">
            <v/>
          </cell>
          <cell r="BB693" t="str">
            <v/>
          </cell>
          <cell r="BC693" t="str">
            <v/>
          </cell>
          <cell r="BD693" t="str">
            <v/>
          </cell>
          <cell r="BE693" t="str">
            <v/>
          </cell>
          <cell r="BF693" t="str">
            <v/>
          </cell>
          <cell r="BG693" t="str">
            <v/>
          </cell>
          <cell r="BH693" t="str">
            <v>1VZhou, H. J. et al. Alloying effects on microstructural stability and γ′ phase nano-hardness in Co-Al-W-Ta-Ti-base superalloys. in Proceedings of the International Symposium on Superalloys vols 2016-Janua 981–990 (Minerals, Metals and Materials Society, 2016).</v>
          </cell>
          <cell r="BI693" t="str">
            <v>Co-7.Al-7.W-4.Ti-2.Ta-1.V</v>
          </cell>
          <cell r="BJ693" t="str">
            <v>79.0Co-7.0Al-7.0W-4.0Ti-2.0Ta-1.0V</v>
          </cell>
        </row>
        <row r="694">
          <cell r="A694" t="str">
            <v>Co-20.Ni-7.Al-7.W-4.Ti-2.Ta</v>
          </cell>
          <cell r="B694" t="str">
            <v>CoAlWX+</v>
          </cell>
          <cell r="C694" t="str">
            <v>-20Ni-7Al-7W-4Ti-2Ta</v>
          </cell>
          <cell r="D694" t="str">
            <v>20Ni</v>
          </cell>
          <cell r="E694" t="str">
            <v>Zhou, H. J. et al. Alloying effects on microstructural stability and γ′ phase nano-hardness in Co-Al-W-Ta-Ti-base superalloys. in Proceedings of the International Symposium on Superalloys vols 2016-Janua 981–990 (Minerals, Metals and Materials Society, 2016).</v>
          </cell>
          <cell r="F694">
            <v>736</v>
          </cell>
          <cell r="G694">
            <v>60</v>
          </cell>
          <cell r="H694">
            <v>20</v>
          </cell>
          <cell r="I694">
            <v>7</v>
          </cell>
          <cell r="J694"/>
          <cell r="K694">
            <v>7</v>
          </cell>
          <cell r="L694">
            <v>4</v>
          </cell>
          <cell r="M694">
            <v>2</v>
          </cell>
          <cell r="N694"/>
          <cell r="O694"/>
          <cell r="P694"/>
          <cell r="Q694"/>
          <cell r="R694"/>
          <cell r="S694"/>
          <cell r="T694"/>
          <cell r="U694"/>
          <cell r="V694"/>
          <cell r="W694"/>
          <cell r="X694"/>
          <cell r="Y694"/>
          <cell r="Z694"/>
          <cell r="AA694"/>
          <cell r="AB694"/>
          <cell r="AC694"/>
          <cell r="AD694"/>
          <cell r="AE694"/>
          <cell r="AF694">
            <v>9.1713799999999992</v>
          </cell>
          <cell r="AG694"/>
          <cell r="AH694"/>
          <cell r="AI694" t="str">
            <v>Co</v>
          </cell>
          <cell r="AJ694" t="str">
            <v>-7.Al</v>
          </cell>
          <cell r="AK694" t="str">
            <v>-7.W</v>
          </cell>
          <cell r="AL694" t="str">
            <v>-20.Ni</v>
          </cell>
          <cell r="AM694" t="str">
            <v/>
          </cell>
          <cell r="AN694" t="str">
            <v>-2.Ta</v>
          </cell>
          <cell r="AO694" t="str">
            <v/>
          </cell>
          <cell r="AP694" t="str">
            <v/>
          </cell>
          <cell r="AQ694" t="str">
            <v>-4.Ti</v>
          </cell>
          <cell r="AR694" t="str">
            <v/>
          </cell>
          <cell r="AS694" t="str">
            <v/>
          </cell>
          <cell r="AT694" t="str">
            <v/>
          </cell>
          <cell r="AU694" t="str">
            <v/>
          </cell>
          <cell r="AV694" t="str">
            <v/>
          </cell>
          <cell r="AW694" t="str">
            <v/>
          </cell>
          <cell r="AX694" t="str">
            <v/>
          </cell>
          <cell r="AY694" t="str">
            <v/>
          </cell>
          <cell r="AZ694" t="str">
            <v/>
          </cell>
          <cell r="BA694" t="str">
            <v/>
          </cell>
          <cell r="BB694" t="str">
            <v/>
          </cell>
          <cell r="BC694" t="str">
            <v/>
          </cell>
          <cell r="BD694" t="str">
            <v/>
          </cell>
          <cell r="BE694" t="str">
            <v/>
          </cell>
          <cell r="BF694" t="str">
            <v/>
          </cell>
          <cell r="BG694" t="str">
            <v/>
          </cell>
          <cell r="BH694" t="str">
            <v>20NiZhou, H. J. et al. Alloying effects on microstructural stability and γ′ phase nano-hardness in Co-Al-W-Ta-Ti-base superalloys. in Proceedings of the International Symposium on Superalloys vols 2016-Janua 981–990 (Minerals, Metals and Materials Society, 2016).</v>
          </cell>
          <cell r="BI694" t="str">
            <v>Co-20.Ni-7.Al-7.W-4.Ti-2.Ta</v>
          </cell>
          <cell r="BJ694" t="str">
            <v>80.0Co-20.0Ni-7.0Al-7.0W-4.0Ti-2.0Ta</v>
          </cell>
        </row>
        <row r="695">
          <cell r="A695" t="str">
            <v>Co-8.Al-7.1W-4.2Ti-1.1Ta</v>
          </cell>
          <cell r="B695" t="str">
            <v>CoAlWX+</v>
          </cell>
          <cell r="C695" t="str">
            <v>-8Al-7W-4Ti-1Ta</v>
          </cell>
          <cell r="D695" t="str">
            <v>Zhou TaTi</v>
          </cell>
          <cell r="E695" t="str">
            <v>Zhou, H., Li, L., Antonov, S. &amp; Feng, Q. Sub/micro-structural evolution of a Co–Al–W–Ta–Ti single crystal superalloy during creep at 900 °C and 420 MPa. Mater. Sci. Eng. A (2020) doi:10.1016/j.msea.2019.138791.</v>
          </cell>
          <cell r="F695">
            <v>740</v>
          </cell>
          <cell r="G695">
            <v>79.61</v>
          </cell>
          <cell r="H695"/>
          <cell r="I695">
            <v>7.98</v>
          </cell>
          <cell r="J695"/>
          <cell r="K695">
            <v>7.08</v>
          </cell>
          <cell r="L695">
            <v>4.22</v>
          </cell>
          <cell r="M695">
            <v>1.1100000000000001</v>
          </cell>
          <cell r="N695"/>
          <cell r="O695"/>
          <cell r="P695"/>
          <cell r="Q695"/>
          <cell r="R695"/>
          <cell r="S695"/>
          <cell r="T695"/>
          <cell r="U695"/>
          <cell r="V695"/>
          <cell r="W695"/>
          <cell r="X695"/>
          <cell r="Y695"/>
          <cell r="Z695"/>
          <cell r="AA695"/>
          <cell r="AB695"/>
          <cell r="AC695"/>
          <cell r="AD695"/>
          <cell r="AE695"/>
          <cell r="AF695">
            <v>9.0386603999999995</v>
          </cell>
          <cell r="AG695"/>
          <cell r="AH695" t="str">
            <v>single crystal [001]</v>
          </cell>
          <cell r="AI695" t="str">
            <v>Co</v>
          </cell>
          <cell r="AJ695" t="str">
            <v>-8.Al</v>
          </cell>
          <cell r="AK695" t="str">
            <v>-7.1W</v>
          </cell>
          <cell r="AL695" t="str">
            <v/>
          </cell>
          <cell r="AM695" t="str">
            <v/>
          </cell>
          <cell r="AN695" t="str">
            <v>-1.1Ta</v>
          </cell>
          <cell r="AO695" t="str">
            <v/>
          </cell>
          <cell r="AP695" t="str">
            <v/>
          </cell>
          <cell r="AQ695" t="str">
            <v>-4.2Ti</v>
          </cell>
          <cell r="AR695" t="str">
            <v/>
          </cell>
          <cell r="AS695" t="str">
            <v/>
          </cell>
          <cell r="AT695" t="str">
            <v/>
          </cell>
          <cell r="AU695" t="str">
            <v/>
          </cell>
          <cell r="AV695" t="str">
            <v/>
          </cell>
          <cell r="AW695" t="str">
            <v/>
          </cell>
          <cell r="AX695" t="str">
            <v/>
          </cell>
          <cell r="AY695" t="str">
            <v/>
          </cell>
          <cell r="AZ695" t="str">
            <v/>
          </cell>
          <cell r="BA695" t="str">
            <v/>
          </cell>
          <cell r="BB695" t="str">
            <v/>
          </cell>
          <cell r="BC695" t="str">
            <v/>
          </cell>
          <cell r="BD695" t="str">
            <v/>
          </cell>
          <cell r="BE695" t="str">
            <v/>
          </cell>
          <cell r="BF695" t="str">
            <v/>
          </cell>
          <cell r="BG695" t="str">
            <v/>
          </cell>
          <cell r="BH695" t="str">
            <v>Zhou TaTiZhou, H., Li, L., Antonov, S. &amp; Feng, Q. Sub/micro-structural evolution of a Co–Al–W–Ta–Ti single crystal superalloy during creep at 900 °C and 420 MPa. Mater. Sci. Eng. A (2020) doi:10.1016/j.msea.2019.138791.</v>
          </cell>
          <cell r="BI695" t="str">
            <v>Co-8.Al-7.1W-4.2Ti-1.1Ta</v>
          </cell>
          <cell r="BJ695" t="str">
            <v>79.6Co-8.0Al-7.1W-4.2Ti-1.1Ta</v>
          </cell>
        </row>
        <row r="696">
          <cell r="A696" t="str">
            <v>Co-7.1Al-8.2W-4.Ti-1.Ta</v>
          </cell>
          <cell r="B696" t="str">
            <v>CoAlWX+</v>
          </cell>
          <cell r="C696" t="str">
            <v>-7Al-8W-4Ti-1Ta</v>
          </cell>
          <cell r="D696" t="str">
            <v>TaTi Alloy</v>
          </cell>
          <cell r="E696" t="str">
            <v>Zhou, X., Fu, H., Zhang, Y., Xu, H. &amp; Xie, J. Effect of Ta and Ti on the solidification characteristics of novel γ′-strengthened Co-base superalloys. J. Alloys Compd. 768, 464–475 (2018).</v>
          </cell>
          <cell r="F696">
            <v>741</v>
          </cell>
          <cell r="G696">
            <v>79.7</v>
          </cell>
          <cell r="H696"/>
          <cell r="I696">
            <v>7.11</v>
          </cell>
          <cell r="J696"/>
          <cell r="K696">
            <v>8.23</v>
          </cell>
          <cell r="L696">
            <v>4.01</v>
          </cell>
          <cell r="M696">
            <v>0.95</v>
          </cell>
          <cell r="N696"/>
          <cell r="O696"/>
          <cell r="P696"/>
          <cell r="Q696"/>
          <cell r="R696"/>
          <cell r="S696"/>
          <cell r="T696"/>
          <cell r="U696"/>
          <cell r="V696"/>
          <cell r="W696"/>
          <cell r="X696"/>
          <cell r="Y696"/>
          <cell r="Z696"/>
          <cell r="AA696"/>
          <cell r="AB696"/>
          <cell r="AC696"/>
          <cell r="AD696"/>
          <cell r="AE696"/>
          <cell r="AF696">
            <v>9.2084507000000002</v>
          </cell>
          <cell r="AG696"/>
          <cell r="AH696"/>
          <cell r="AI696" t="str">
            <v>Co</v>
          </cell>
          <cell r="AJ696" t="str">
            <v>-7.1Al</v>
          </cell>
          <cell r="AK696" t="str">
            <v>-8.2W</v>
          </cell>
          <cell r="AL696" t="str">
            <v/>
          </cell>
          <cell r="AM696" t="str">
            <v/>
          </cell>
          <cell r="AN696" t="str">
            <v>-1.Ta</v>
          </cell>
          <cell r="AO696" t="str">
            <v/>
          </cell>
          <cell r="AP696" t="str">
            <v/>
          </cell>
          <cell r="AQ696" t="str">
            <v>-4.Ti</v>
          </cell>
          <cell r="AR696" t="str">
            <v/>
          </cell>
          <cell r="AS696" t="str">
            <v/>
          </cell>
          <cell r="AT696" t="str">
            <v/>
          </cell>
          <cell r="AU696" t="str">
            <v/>
          </cell>
          <cell r="AV696" t="str">
            <v/>
          </cell>
          <cell r="AW696" t="str">
            <v/>
          </cell>
          <cell r="AX696" t="str">
            <v/>
          </cell>
          <cell r="AY696" t="str">
            <v/>
          </cell>
          <cell r="AZ696" t="str">
            <v/>
          </cell>
          <cell r="BA696" t="str">
            <v/>
          </cell>
          <cell r="BB696" t="str">
            <v/>
          </cell>
          <cell r="BC696" t="str">
            <v/>
          </cell>
          <cell r="BD696" t="str">
            <v/>
          </cell>
          <cell r="BE696" t="str">
            <v/>
          </cell>
          <cell r="BF696" t="str">
            <v/>
          </cell>
          <cell r="BG696" t="str">
            <v/>
          </cell>
          <cell r="BH696" t="str">
            <v>TaTi AlloyZhou, X., Fu, H., Zhang, Y., Xu, H. &amp; Xie, J. Effect of Ta and Ti on the solidification characteristics of novel γ′-strengthened Co-base superalloys. J. Alloys Compd. 768, 464–475 (2018).</v>
          </cell>
          <cell r="BI696" t="str">
            <v>Co-7.1Al-8.2W-4.Ti-1.Ta</v>
          </cell>
          <cell r="BJ696" t="str">
            <v>79.7Co-7.1Al-8.2W-4.0Ti-1.0Ta</v>
          </cell>
        </row>
        <row r="697">
          <cell r="A697" t="str">
            <v>Co-6.7Al-8.3W-4.Ti</v>
          </cell>
          <cell r="B697" t="str">
            <v>CoAlW-X</v>
          </cell>
          <cell r="C697" t="str">
            <v>-7Al-8W-4Ti</v>
          </cell>
          <cell r="D697" t="str">
            <v>4Ti alloy</v>
          </cell>
          <cell r="E697" t="str">
            <v>Zhou, X., Fu, H., Zhang, Y., Xu, H. &amp; Xie, J. Effect of Ta and Ti on the solidification characteristics of novel γ′-strengthened Co-base superalloys. J. Alloys Compd. 768, 464–475 (2018).</v>
          </cell>
          <cell r="F697">
            <v>742</v>
          </cell>
          <cell r="G697">
            <v>81.02</v>
          </cell>
          <cell r="H697"/>
          <cell r="I697">
            <v>6.69</v>
          </cell>
          <cell r="J697"/>
          <cell r="K697">
            <v>8.2899999999999991</v>
          </cell>
          <cell r="L697">
            <v>4</v>
          </cell>
          <cell r="M697"/>
          <cell r="N697"/>
          <cell r="O697"/>
          <cell r="P697"/>
          <cell r="Q697"/>
          <cell r="R697"/>
          <cell r="S697"/>
          <cell r="T697"/>
          <cell r="U697"/>
          <cell r="V697"/>
          <cell r="W697"/>
          <cell r="X697"/>
          <cell r="Y697"/>
          <cell r="Z697"/>
          <cell r="AA697"/>
          <cell r="AB697"/>
          <cell r="AC697"/>
          <cell r="AD697"/>
          <cell r="AE697"/>
          <cell r="AF697">
            <v>9.1675149999999999</v>
          </cell>
          <cell r="AG697"/>
          <cell r="AH697"/>
          <cell r="AI697" t="str">
            <v>Co</v>
          </cell>
          <cell r="AJ697" t="str">
            <v>-6.7Al</v>
          </cell>
          <cell r="AK697" t="str">
            <v>-8.3W</v>
          </cell>
          <cell r="AL697" t="str">
            <v/>
          </cell>
          <cell r="AM697" t="str">
            <v/>
          </cell>
          <cell r="AN697" t="str">
            <v/>
          </cell>
          <cell r="AO697" t="str">
            <v/>
          </cell>
          <cell r="AP697" t="str">
            <v/>
          </cell>
          <cell r="AQ697" t="str">
            <v>-4.Ti</v>
          </cell>
          <cell r="AR697" t="str">
            <v/>
          </cell>
          <cell r="AS697" t="str">
            <v/>
          </cell>
          <cell r="AT697" t="str">
            <v/>
          </cell>
          <cell r="AU697" t="str">
            <v/>
          </cell>
          <cell r="AV697" t="str">
            <v/>
          </cell>
          <cell r="AW697" t="str">
            <v/>
          </cell>
          <cell r="AX697" t="str">
            <v/>
          </cell>
          <cell r="AY697" t="str">
            <v/>
          </cell>
          <cell r="AZ697" t="str">
            <v/>
          </cell>
          <cell r="BA697" t="str">
            <v/>
          </cell>
          <cell r="BB697" t="str">
            <v/>
          </cell>
          <cell r="BC697" t="str">
            <v/>
          </cell>
          <cell r="BD697" t="str">
            <v/>
          </cell>
          <cell r="BE697" t="str">
            <v/>
          </cell>
          <cell r="BF697" t="str">
            <v/>
          </cell>
          <cell r="BG697" t="str">
            <v/>
          </cell>
          <cell r="BH697" t="str">
            <v>4Ti alloyZhou, X., Fu, H., Zhang, Y., Xu, H. &amp; Xie, J. Effect of Ta and Ti on the solidification characteristics of novel γ′-strengthened Co-base superalloys. J. Alloys Compd. 768, 464–475 (2018).</v>
          </cell>
          <cell r="BI697" t="str">
            <v>Co-6.7Al-8.3W-4.Ti</v>
          </cell>
          <cell r="BJ697" t="str">
            <v>81.0Co-6.7Al-8.3W-4.0Ti</v>
          </cell>
        </row>
        <row r="698">
          <cell r="A698" t="str">
            <v>Co-7.2Al-8.3W</v>
          </cell>
          <cell r="B698" t="str">
            <v>CoAlW-X</v>
          </cell>
          <cell r="C698" t="str">
            <v>-7Al-8W</v>
          </cell>
          <cell r="D698" t="str">
            <v>Base alloy</v>
          </cell>
          <cell r="E698" t="str">
            <v>Zhou, X., Fu, H., Zhang, Y., Xu, H. &amp; Xie, J. Effect of Ta and Ti on the solidification characteristics of novel γ′-strengthened Co-base superalloys. J. Alloys Compd. 768, 464–475 (2018).</v>
          </cell>
          <cell r="F698">
            <v>743</v>
          </cell>
          <cell r="G698">
            <v>84.42</v>
          </cell>
          <cell r="H698"/>
          <cell r="I698">
            <v>7.24</v>
          </cell>
          <cell r="J698"/>
          <cell r="K698">
            <v>8.34</v>
          </cell>
          <cell r="L698"/>
          <cell r="M698"/>
          <cell r="N698"/>
          <cell r="O698"/>
          <cell r="P698"/>
          <cell r="Q698"/>
          <cell r="R698"/>
          <cell r="S698"/>
          <cell r="T698"/>
          <cell r="U698"/>
          <cell r="V698"/>
          <cell r="W698"/>
          <cell r="X698"/>
          <cell r="Y698"/>
          <cell r="Z698"/>
          <cell r="AA698"/>
          <cell r="AB698"/>
          <cell r="AC698"/>
          <cell r="AD698"/>
          <cell r="AE698"/>
          <cell r="AF698">
            <v>9.3143100000000008</v>
          </cell>
          <cell r="AG698"/>
          <cell r="AH698"/>
          <cell r="AI698" t="str">
            <v>Co</v>
          </cell>
          <cell r="AJ698" t="str">
            <v>-7.2Al</v>
          </cell>
          <cell r="AK698" t="str">
            <v>-8.3W</v>
          </cell>
          <cell r="AL698" t="str">
            <v/>
          </cell>
          <cell r="AM698" t="str">
            <v/>
          </cell>
          <cell r="AN698" t="str">
            <v/>
          </cell>
          <cell r="AO698" t="str">
            <v/>
          </cell>
          <cell r="AP698" t="str">
            <v/>
          </cell>
          <cell r="AQ698" t="str">
            <v/>
          </cell>
          <cell r="AR698" t="str">
            <v/>
          </cell>
          <cell r="AS698" t="str">
            <v/>
          </cell>
          <cell r="AT698" t="str">
            <v/>
          </cell>
          <cell r="AU698" t="str">
            <v/>
          </cell>
          <cell r="AV698" t="str">
            <v/>
          </cell>
          <cell r="AW698" t="str">
            <v/>
          </cell>
          <cell r="AX698" t="str">
            <v/>
          </cell>
          <cell r="AY698" t="str">
            <v/>
          </cell>
          <cell r="AZ698" t="str">
            <v/>
          </cell>
          <cell r="BA698" t="str">
            <v/>
          </cell>
          <cell r="BB698" t="str">
            <v/>
          </cell>
          <cell r="BC698" t="str">
            <v/>
          </cell>
          <cell r="BD698" t="str">
            <v/>
          </cell>
          <cell r="BE698" t="str">
            <v/>
          </cell>
          <cell r="BF698" t="str">
            <v/>
          </cell>
          <cell r="BG698" t="str">
            <v/>
          </cell>
          <cell r="BH698" t="str">
            <v>Base alloyZhou, X., Fu, H., Zhang, Y., Xu, H. &amp; Xie, J. Effect of Ta and Ti on the solidification characteristics of novel γ′-strengthened Co-base superalloys. J. Alloys Compd. 768, 464–475 (2018).</v>
          </cell>
          <cell r="BI698" t="str">
            <v>Co-7.2Al-8.3W</v>
          </cell>
          <cell r="BJ698" t="str">
            <v>84.4Co-7.2Al-8.3W</v>
          </cell>
        </row>
        <row r="699">
          <cell r="A699" t="str">
            <v>Co-7.Al-8.2W-0.9Ta</v>
          </cell>
          <cell r="B699" t="str">
            <v>CoAlWX+</v>
          </cell>
          <cell r="C699" t="str">
            <v>-7Al-8W-1Ta</v>
          </cell>
          <cell r="D699" t="str">
            <v>1Ta alloy</v>
          </cell>
          <cell r="E699" t="str">
            <v>Zhou, X., Fu, H., Zhang, Y., Xu, H. &amp; Xie, J. Effect of Ta and Ti on the solidification characteristics of novel γ′-strengthened Co-base superalloys. J. Alloys Compd. 768, 464–475 (2018).</v>
          </cell>
          <cell r="F699">
            <v>744</v>
          </cell>
          <cell r="G699">
            <v>83.81</v>
          </cell>
          <cell r="H699"/>
          <cell r="I699">
            <v>7.04</v>
          </cell>
          <cell r="J699"/>
          <cell r="K699">
            <v>8.23</v>
          </cell>
          <cell r="L699"/>
          <cell r="M699">
            <v>0.92</v>
          </cell>
          <cell r="N699"/>
          <cell r="O699"/>
          <cell r="P699"/>
          <cell r="Q699"/>
          <cell r="R699"/>
          <cell r="S699"/>
          <cell r="T699"/>
          <cell r="U699"/>
          <cell r="V699"/>
          <cell r="W699"/>
          <cell r="X699"/>
          <cell r="Y699"/>
          <cell r="Z699"/>
          <cell r="AA699"/>
          <cell r="AB699"/>
          <cell r="AC699"/>
          <cell r="AD699"/>
          <cell r="AE699"/>
          <cell r="AF699">
            <v>9.3866250000000022</v>
          </cell>
          <cell r="AG699"/>
          <cell r="AH699"/>
          <cell r="AI699" t="str">
            <v>Co</v>
          </cell>
          <cell r="AJ699" t="str">
            <v>-7.Al</v>
          </cell>
          <cell r="AK699" t="str">
            <v>-8.2W</v>
          </cell>
          <cell r="AL699" t="str">
            <v/>
          </cell>
          <cell r="AM699" t="str">
            <v/>
          </cell>
          <cell r="AN699" t="str">
            <v>-0.9Ta</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
          </cell>
          <cell r="BB699" t="str">
            <v/>
          </cell>
          <cell r="BC699" t="str">
            <v/>
          </cell>
          <cell r="BD699" t="str">
            <v/>
          </cell>
          <cell r="BE699" t="str">
            <v/>
          </cell>
          <cell r="BF699" t="str">
            <v/>
          </cell>
          <cell r="BG699" t="str">
            <v/>
          </cell>
          <cell r="BH699" t="str">
            <v>1Ta alloyZhou, X., Fu, H., Zhang, Y., Xu, H. &amp; Xie, J. Effect of Ta and Ti on the solidification characteristics of novel γ′-strengthened Co-base superalloys. J. Alloys Compd. 768, 464–475 (2018).</v>
          </cell>
          <cell r="BI699" t="str">
            <v>Co-7.Al-8.2W-0.9Ta</v>
          </cell>
          <cell r="BJ699" t="str">
            <v>83.8Co-7.0Al-8.2W-0.9Ta</v>
          </cell>
        </row>
        <row r="700">
          <cell r="A700" t="str">
            <v>Co-8.Al-14.Cr-2.W</v>
          </cell>
          <cell r="B700" t="str">
            <v>Low-W</v>
          </cell>
          <cell r="C700" t="str">
            <v>-8Al-14Cr-2W</v>
          </cell>
          <cell r="D700" t="str">
            <v>8Al2W14Cr</v>
          </cell>
          <cell r="E700" t="str">
            <v>Zhuang, X., Lu, S., Li, L. &amp; Feng, Q. Microstructures and properties of a novel γ′-strengthened multi-component CoNi-based wrought superalloy designed by CALPHAD method. Mater. Sci. Eng. A 780, (2020).</v>
          </cell>
          <cell r="F700">
            <v>745</v>
          </cell>
          <cell r="G700">
            <v>76</v>
          </cell>
          <cell r="H700"/>
          <cell r="I700">
            <v>8</v>
          </cell>
          <cell r="J700">
            <v>14</v>
          </cell>
          <cell r="K700">
            <v>2</v>
          </cell>
          <cell r="L700"/>
          <cell r="M700"/>
          <cell r="N700"/>
          <cell r="O700"/>
          <cell r="P700"/>
          <cell r="Q700"/>
          <cell r="R700"/>
          <cell r="S700"/>
          <cell r="T700"/>
          <cell r="U700"/>
          <cell r="V700"/>
          <cell r="W700"/>
          <cell r="X700"/>
          <cell r="Y700"/>
          <cell r="Z700"/>
          <cell r="AA700"/>
          <cell r="AB700"/>
          <cell r="AC700"/>
          <cell r="AD700"/>
          <cell r="AE700"/>
          <cell r="AF700">
            <v>8.371599999999999</v>
          </cell>
          <cell r="AG700">
            <v>8.4</v>
          </cell>
          <cell r="AH700"/>
          <cell r="AI700" t="str">
            <v>Co</v>
          </cell>
          <cell r="AJ700" t="str">
            <v>-8.Al</v>
          </cell>
          <cell r="AK700" t="str">
            <v>-2.W</v>
          </cell>
          <cell r="AL700" t="str">
            <v/>
          </cell>
          <cell r="AM700" t="str">
            <v>-14.Cr</v>
          </cell>
          <cell r="AN700" t="str">
            <v/>
          </cell>
          <cell r="AO700" t="str">
            <v/>
          </cell>
          <cell r="AP700" t="str">
            <v/>
          </cell>
          <cell r="AQ700" t="str">
            <v/>
          </cell>
          <cell r="AR700" t="str">
            <v/>
          </cell>
          <cell r="AS700" t="str">
            <v/>
          </cell>
          <cell r="AT700" t="str">
            <v/>
          </cell>
          <cell r="AU700" t="str">
            <v/>
          </cell>
          <cell r="AV700" t="str">
            <v/>
          </cell>
          <cell r="AW700" t="str">
            <v/>
          </cell>
          <cell r="AX700" t="str">
            <v/>
          </cell>
          <cell r="AY700" t="str">
            <v/>
          </cell>
          <cell r="AZ700" t="str">
            <v/>
          </cell>
          <cell r="BA700" t="str">
            <v/>
          </cell>
          <cell r="BB700" t="str">
            <v/>
          </cell>
          <cell r="BC700" t="str">
            <v/>
          </cell>
          <cell r="BD700" t="str">
            <v/>
          </cell>
          <cell r="BE700" t="str">
            <v/>
          </cell>
          <cell r="BF700" t="str">
            <v/>
          </cell>
          <cell r="BG700" t="str">
            <v/>
          </cell>
          <cell r="BH700" t="str">
            <v>8Al2W14CrZhuang, X., Lu, S., Li, L. &amp; Feng, Q. Microstructures and properties of a novel γ′-strengthened multi-component CoNi-based wrought superalloy designed by CALPHAD method. Mater. Sci. Eng. A 780, (2020).</v>
          </cell>
          <cell r="BI700" t="str">
            <v>Co-8.Al-14.Cr-2.W</v>
          </cell>
          <cell r="BJ700" t="str">
            <v>76.0Co-8.0Al-14.0Cr-2.0W</v>
          </cell>
        </row>
        <row r="701">
          <cell r="A701" t="str">
            <v>Co-30.Ni-8.Al-6.W-4.Ti-2.Ta-1.Nb-1.V</v>
          </cell>
          <cell r="B701" t="str">
            <v>CoAlWX+</v>
          </cell>
          <cell r="C701" t="str">
            <v>-30Ni-8Al-6W-4Ti-2Ta-1Nb-1V</v>
          </cell>
          <cell r="D701" t="str">
            <v>wang #1</v>
          </cell>
          <cell r="E701" t="str">
            <v>Yu, J., Wang, C., Chen, Y., Wang, C. &amp; Liu, X. Accelerated design of L12-strengthened co-base Superalloys based on machine learning of experimental data. Mater. Des. 108996 (2020) doi:10.1016/j.matdes.2020.108996.</v>
          </cell>
          <cell r="F701">
            <v>746</v>
          </cell>
          <cell r="G701">
            <v>48</v>
          </cell>
          <cell r="H701">
            <v>30</v>
          </cell>
          <cell r="I701">
            <v>8</v>
          </cell>
          <cell r="J701"/>
          <cell r="K701">
            <v>6</v>
          </cell>
          <cell r="L701">
            <v>4</v>
          </cell>
          <cell r="M701">
            <v>2</v>
          </cell>
          <cell r="N701">
            <v>1</v>
          </cell>
          <cell r="O701">
            <v>1</v>
          </cell>
          <cell r="P701"/>
          <cell r="Q701"/>
          <cell r="R701"/>
          <cell r="S701"/>
          <cell r="T701"/>
          <cell r="U701"/>
          <cell r="V701"/>
          <cell r="W701"/>
          <cell r="X701"/>
          <cell r="Y701"/>
          <cell r="Z701"/>
          <cell r="AA701"/>
          <cell r="AB701"/>
          <cell r="AC701"/>
          <cell r="AD701"/>
          <cell r="AE701"/>
          <cell r="AF701">
            <v>8.975480000000001</v>
          </cell>
          <cell r="AG701"/>
          <cell r="AH701"/>
          <cell r="AI701" t="str">
            <v>Co</v>
          </cell>
          <cell r="AJ701" t="str">
            <v>-8.Al</v>
          </cell>
          <cell r="AK701" t="str">
            <v>-6.W</v>
          </cell>
          <cell r="AL701" t="str">
            <v>-30.Ni</v>
          </cell>
          <cell r="AM701" t="str">
            <v/>
          </cell>
          <cell r="AN701" t="str">
            <v>-2.Ta</v>
          </cell>
          <cell r="AO701" t="str">
            <v>-1.Nb</v>
          </cell>
          <cell r="AP701" t="str">
            <v>-1.V</v>
          </cell>
          <cell r="AQ701" t="str">
            <v>-4.Ti</v>
          </cell>
          <cell r="AR701" t="str">
            <v/>
          </cell>
          <cell r="AS701" t="str">
            <v/>
          </cell>
          <cell r="AT701" t="str">
            <v/>
          </cell>
          <cell r="AU701" t="str">
            <v/>
          </cell>
          <cell r="AV701" t="str">
            <v/>
          </cell>
          <cell r="AW701" t="str">
            <v/>
          </cell>
          <cell r="AX701" t="str">
            <v/>
          </cell>
          <cell r="AY701" t="str">
            <v/>
          </cell>
          <cell r="AZ701" t="str">
            <v/>
          </cell>
          <cell r="BA701" t="str">
            <v/>
          </cell>
          <cell r="BB701" t="str">
            <v/>
          </cell>
          <cell r="BC701" t="str">
            <v/>
          </cell>
          <cell r="BD701" t="str">
            <v/>
          </cell>
          <cell r="BE701" t="str">
            <v/>
          </cell>
          <cell r="BF701" t="str">
            <v/>
          </cell>
          <cell r="BG701" t="str">
            <v/>
          </cell>
          <cell r="BH701" t="str">
            <v>wang #1Yu, J., Wang, C., Chen, Y., Wang, C. &amp; Liu, X. Accelerated design of L12-strengthened co-base Superalloys based on machine learning of experimental data. Mater. Des. 108996 (2020) doi:10.1016/j.matdes.2020.108996.</v>
          </cell>
          <cell r="BI701" t="str">
            <v>Co-30.Ni-8.Al-6.W-4.Ti-2.Ta-1.Nb-1.V</v>
          </cell>
          <cell r="BJ701" t="str">
            <v>78.0Co-30.0Ni-8.0Al-6.0W-4.0Ti-2.0Ta-1.0Nb-1.0V</v>
          </cell>
        </row>
        <row r="702">
          <cell r="A702" t="str">
            <v>Co-30.Ni-9.Al-6.W-4.Ti-2.Ta-1.V</v>
          </cell>
          <cell r="B702" t="str">
            <v>CoAlWX+</v>
          </cell>
          <cell r="C702" t="str">
            <v>-30Ni-9Al-6W-4Ti-2Ta-1V</v>
          </cell>
          <cell r="D702" t="str">
            <v>wang #2</v>
          </cell>
          <cell r="E702" t="str">
            <v>Yu, J., Wang, C., Chen, Y., Wang, C. &amp; Liu, X. Accelerated design of L12-strengthened co-base Superalloys based on machine learning of experimental data. Mater. Des. 108996 (2020) doi:10.1016/j.matdes.2020.108996.</v>
          </cell>
          <cell r="F702">
            <v>747</v>
          </cell>
          <cell r="G702">
            <v>48</v>
          </cell>
          <cell r="H702">
            <v>30</v>
          </cell>
          <cell r="I702">
            <v>9</v>
          </cell>
          <cell r="J702"/>
          <cell r="K702">
            <v>6</v>
          </cell>
          <cell r="L702">
            <v>4</v>
          </cell>
          <cell r="M702">
            <v>2</v>
          </cell>
          <cell r="N702"/>
          <cell r="O702">
            <v>1</v>
          </cell>
          <cell r="P702"/>
          <cell r="Q702"/>
          <cell r="R702"/>
          <cell r="S702"/>
          <cell r="T702"/>
          <cell r="U702"/>
          <cell r="V702"/>
          <cell r="W702"/>
          <cell r="X702"/>
          <cell r="Y702"/>
          <cell r="Z702"/>
          <cell r="AA702"/>
          <cell r="AB702"/>
          <cell r="AC702"/>
          <cell r="AD702"/>
          <cell r="AE702"/>
          <cell r="AF702">
            <v>8.9167799999999993</v>
          </cell>
          <cell r="AG702"/>
          <cell r="AH702"/>
          <cell r="AI702" t="str">
            <v>Co</v>
          </cell>
          <cell r="AJ702" t="str">
            <v>-9.Al</v>
          </cell>
          <cell r="AK702" t="str">
            <v>-6.W</v>
          </cell>
          <cell r="AL702" t="str">
            <v>-30.Ni</v>
          </cell>
          <cell r="AM702" t="str">
            <v/>
          </cell>
          <cell r="AN702" t="str">
            <v>-2.Ta</v>
          </cell>
          <cell r="AO702" t="str">
            <v/>
          </cell>
          <cell r="AP702" t="str">
            <v>-1.V</v>
          </cell>
          <cell r="AQ702" t="str">
            <v>-4.Ti</v>
          </cell>
          <cell r="AR702" t="str">
            <v/>
          </cell>
          <cell r="AS702" t="str">
            <v/>
          </cell>
          <cell r="AT702" t="str">
            <v/>
          </cell>
          <cell r="AU702" t="str">
            <v/>
          </cell>
          <cell r="AV702" t="str">
            <v/>
          </cell>
          <cell r="AW702" t="str">
            <v/>
          </cell>
          <cell r="AX702" t="str">
            <v/>
          </cell>
          <cell r="AY702" t="str">
            <v/>
          </cell>
          <cell r="AZ702" t="str">
            <v/>
          </cell>
          <cell r="BA702" t="str">
            <v/>
          </cell>
          <cell r="BB702" t="str">
            <v/>
          </cell>
          <cell r="BC702" t="str">
            <v/>
          </cell>
          <cell r="BD702" t="str">
            <v/>
          </cell>
          <cell r="BE702" t="str">
            <v/>
          </cell>
          <cell r="BF702" t="str">
            <v/>
          </cell>
          <cell r="BG702" t="str">
            <v/>
          </cell>
          <cell r="BH702" t="str">
            <v>wang #2Yu, J., Wang, C., Chen, Y., Wang, C. &amp; Liu, X. Accelerated design of L12-strengthened co-base Superalloys based on machine learning of experimental data. Mater. Des. 108996 (2020) doi:10.1016/j.matdes.2020.108996.</v>
          </cell>
          <cell r="BI702" t="str">
            <v>Co-30.Ni-9.Al-6.W-4.Ti-2.Ta-1.V</v>
          </cell>
          <cell r="BJ702" t="str">
            <v>78.0Co-30.0Ni-9.0Al-6.0W-4.0Ti-2.0Ta-1.0V</v>
          </cell>
        </row>
        <row r="703">
          <cell r="A703" t="str">
            <v>Co-25.Ni-9.Al-5.Cr-6.W-4.Ti-2.Ta-1.V</v>
          </cell>
          <cell r="B703" t="str">
            <v>CoAlWX+</v>
          </cell>
          <cell r="C703" t="str">
            <v>-25Ni-9Al-5Cr-6W-4Ti-2Ta-1V</v>
          </cell>
          <cell r="D703" t="str">
            <v>wang #4</v>
          </cell>
          <cell r="E703" t="str">
            <v>Yu, J., Wang, C., Chen, Y., Wang, C. &amp; Liu, X. Accelerated design of L12-strengthened co-base Superalloys based on machine learning of experimental data. Mater. Des. 108996 (2020) doi:10.1016/j.matdes.2020.108996.</v>
          </cell>
          <cell r="F703">
            <v>748</v>
          </cell>
          <cell r="G703">
            <v>48</v>
          </cell>
          <cell r="H703">
            <v>25</v>
          </cell>
          <cell r="I703">
            <v>9</v>
          </cell>
          <cell r="J703">
            <v>5</v>
          </cell>
          <cell r="K703">
            <v>6</v>
          </cell>
          <cell r="L703">
            <v>4</v>
          </cell>
          <cell r="M703">
            <v>2</v>
          </cell>
          <cell r="N703"/>
          <cell r="O703">
            <v>1</v>
          </cell>
          <cell r="P703"/>
          <cell r="Q703"/>
          <cell r="R703"/>
          <cell r="S703"/>
          <cell r="T703"/>
          <cell r="U703"/>
          <cell r="V703"/>
          <cell r="W703"/>
          <cell r="X703"/>
          <cell r="Y703"/>
          <cell r="Z703"/>
          <cell r="AA703"/>
          <cell r="AB703"/>
          <cell r="AC703"/>
          <cell r="AD703"/>
          <cell r="AE703"/>
          <cell r="AF703">
            <v>8.8308800000000005</v>
          </cell>
          <cell r="AG703"/>
          <cell r="AH703"/>
          <cell r="AI703" t="str">
            <v>Co</v>
          </cell>
          <cell r="AJ703" t="str">
            <v>-9.Al</v>
          </cell>
          <cell r="AK703" t="str">
            <v>-6.W</v>
          </cell>
          <cell r="AL703" t="str">
            <v>-25.Ni</v>
          </cell>
          <cell r="AM703" t="str">
            <v>-5.Cr</v>
          </cell>
          <cell r="AN703" t="str">
            <v>-2.Ta</v>
          </cell>
          <cell r="AO703" t="str">
            <v/>
          </cell>
          <cell r="AP703" t="str">
            <v>-1.V</v>
          </cell>
          <cell r="AQ703" t="str">
            <v>-4.Ti</v>
          </cell>
          <cell r="AR703" t="str">
            <v/>
          </cell>
          <cell r="AS703" t="str">
            <v/>
          </cell>
          <cell r="AT703" t="str">
            <v/>
          </cell>
          <cell r="AU703" t="str">
            <v/>
          </cell>
          <cell r="AV703" t="str">
            <v/>
          </cell>
          <cell r="AW703" t="str">
            <v/>
          </cell>
          <cell r="AX703" t="str">
            <v/>
          </cell>
          <cell r="AY703" t="str">
            <v/>
          </cell>
          <cell r="AZ703" t="str">
            <v/>
          </cell>
          <cell r="BA703" t="str">
            <v/>
          </cell>
          <cell r="BB703" t="str">
            <v/>
          </cell>
          <cell r="BC703" t="str">
            <v/>
          </cell>
          <cell r="BD703" t="str">
            <v/>
          </cell>
          <cell r="BE703" t="str">
            <v/>
          </cell>
          <cell r="BF703" t="str">
            <v/>
          </cell>
          <cell r="BG703" t="str">
            <v/>
          </cell>
          <cell r="BH703" t="str">
            <v>wang #4Yu, J., Wang, C., Chen, Y., Wang, C. &amp; Liu, X. Accelerated design of L12-strengthened co-base Superalloys based on machine learning of experimental data. Mater. Des. 108996 (2020) doi:10.1016/j.matdes.2020.108996.</v>
          </cell>
          <cell r="BI703" t="str">
            <v>Co-25.Ni-9.Al-5.Cr-6.W-4.Ti-2.Ta-1.V</v>
          </cell>
          <cell r="BJ703" t="str">
            <v>73.0Co-25.0Ni-9.0Al-5.0Cr-6.0W-4.0Ti-2.0Ta-1.0V</v>
          </cell>
        </row>
        <row r="704">
          <cell r="A704" t="str">
            <v>Co-25.Ni-9.Al-5.Cr-6.W-4.Ti-2.Ta-1.Nb</v>
          </cell>
          <cell r="B704" t="str">
            <v>CoAlWX+</v>
          </cell>
          <cell r="C704" t="str">
            <v>-25Ni-9Al-5Cr-6W-4Ti-2Ta-1Nb</v>
          </cell>
          <cell r="D704" t="str">
            <v>wang #5</v>
          </cell>
          <cell r="E704" t="str">
            <v>Yu, J., Wang, C., Chen, Y., Wang, C. &amp; Liu, X. Accelerated design of L12-strengthened co-base Superalloys based on machine learning of experimental data. Mater. Des. 108996 (2020) doi:10.1016/j.matdes.2020.108996.</v>
          </cell>
          <cell r="F704">
            <v>749</v>
          </cell>
          <cell r="G704">
            <v>48</v>
          </cell>
          <cell r="H704">
            <v>25</v>
          </cell>
          <cell r="I704">
            <v>9</v>
          </cell>
          <cell r="J704">
            <v>5</v>
          </cell>
          <cell r="K704">
            <v>6</v>
          </cell>
          <cell r="L704">
            <v>4</v>
          </cell>
          <cell r="M704">
            <v>2</v>
          </cell>
          <cell r="N704">
            <v>1</v>
          </cell>
          <cell r="O704"/>
          <cell r="P704"/>
          <cell r="Q704"/>
          <cell r="R704"/>
          <cell r="S704"/>
          <cell r="T704"/>
          <cell r="U704"/>
          <cell r="V704"/>
          <cell r="W704"/>
          <cell r="X704"/>
          <cell r="Y704"/>
          <cell r="Z704"/>
          <cell r="AA704"/>
          <cell r="AB704"/>
          <cell r="AC704"/>
          <cell r="AD704"/>
          <cell r="AE704"/>
          <cell r="AF704">
            <v>8.8554800000000018</v>
          </cell>
          <cell r="AG704"/>
          <cell r="AH704"/>
          <cell r="AI704" t="str">
            <v>Co</v>
          </cell>
          <cell r="AJ704" t="str">
            <v>-9.Al</v>
          </cell>
          <cell r="AK704" t="str">
            <v>-6.W</v>
          </cell>
          <cell r="AL704" t="str">
            <v>-25.Ni</v>
          </cell>
          <cell r="AM704" t="str">
            <v>-5.Cr</v>
          </cell>
          <cell r="AN704" t="str">
            <v>-2.Ta</v>
          </cell>
          <cell r="AO704" t="str">
            <v>-1.Nb</v>
          </cell>
          <cell r="AP704" t="str">
            <v/>
          </cell>
          <cell r="AQ704" t="str">
            <v>-4.Ti</v>
          </cell>
          <cell r="AR704" t="str">
            <v/>
          </cell>
          <cell r="AS704" t="str">
            <v/>
          </cell>
          <cell r="AT704" t="str">
            <v/>
          </cell>
          <cell r="AU704" t="str">
            <v/>
          </cell>
          <cell r="AV704" t="str">
            <v/>
          </cell>
          <cell r="AW704" t="str">
            <v/>
          </cell>
          <cell r="AX704" t="str">
            <v/>
          </cell>
          <cell r="AY704" t="str">
            <v/>
          </cell>
          <cell r="AZ704" t="str">
            <v/>
          </cell>
          <cell r="BA704" t="str">
            <v/>
          </cell>
          <cell r="BB704" t="str">
            <v/>
          </cell>
          <cell r="BC704" t="str">
            <v/>
          </cell>
          <cell r="BD704" t="str">
            <v/>
          </cell>
          <cell r="BE704" t="str">
            <v/>
          </cell>
          <cell r="BF704" t="str">
            <v/>
          </cell>
          <cell r="BG704" t="str">
            <v/>
          </cell>
          <cell r="BH704" t="str">
            <v>wang #5Yu, J., Wang, C., Chen, Y., Wang, C. &amp; Liu, X. Accelerated design of L12-strengthened co-base Superalloys based on machine learning of experimental data. Mater. Des. 108996 (2020) doi:10.1016/j.matdes.2020.108996.</v>
          </cell>
          <cell r="BI704" t="str">
            <v>Co-25.Ni-9.Al-5.Cr-6.W-4.Ti-2.Ta-1.Nb</v>
          </cell>
          <cell r="BJ704" t="str">
            <v>73.0Co-25.0Ni-9.0Al-5.0Cr-6.0W-4.0Ti-2.0Ta-1.0Nb</v>
          </cell>
        </row>
        <row r="705">
          <cell r="A705" t="str">
            <v>Co-25.Ni-9.Al-5.Cr-5.W-4.Ti-2.Ta-1.Nb-1.V</v>
          </cell>
          <cell r="B705" t="str">
            <v>Co3Ti</v>
          </cell>
          <cell r="C705" t="str">
            <v>-25Ni-9Al-5Cr-5W-4Ti-2Ta-1Nb-1V</v>
          </cell>
          <cell r="D705" t="str">
            <v>wang #6</v>
          </cell>
          <cell r="E705" t="str">
            <v>Yu, J., Wang, C., Chen, Y., Wang, C. &amp; Liu, X. Accelerated design of L12-strengthened co-base Superalloys based on machine learning of experimental data. Mater. Des. 108996 (2020) doi:10.1016/j.matdes.2020.108996.</v>
          </cell>
          <cell r="F705">
            <v>750</v>
          </cell>
          <cell r="G705">
            <v>48</v>
          </cell>
          <cell r="H705">
            <v>25</v>
          </cell>
          <cell r="I705">
            <v>9</v>
          </cell>
          <cell r="J705">
            <v>5</v>
          </cell>
          <cell r="K705">
            <v>5</v>
          </cell>
          <cell r="L705">
            <v>4</v>
          </cell>
          <cell r="M705">
            <v>2</v>
          </cell>
          <cell r="N705">
            <v>1</v>
          </cell>
          <cell r="O705">
            <v>1</v>
          </cell>
          <cell r="P705"/>
          <cell r="Q705"/>
          <cell r="R705"/>
          <cell r="S705"/>
          <cell r="T705"/>
          <cell r="U705"/>
          <cell r="V705"/>
          <cell r="W705"/>
          <cell r="X705"/>
          <cell r="Y705"/>
          <cell r="Z705"/>
          <cell r="AA705"/>
          <cell r="AB705"/>
          <cell r="AC705"/>
          <cell r="AD705"/>
          <cell r="AE705"/>
          <cell r="AF705">
            <v>8.7240800000000007</v>
          </cell>
          <cell r="AG705"/>
          <cell r="AH705"/>
          <cell r="AI705" t="str">
            <v>Co</v>
          </cell>
          <cell r="AJ705" t="str">
            <v>-9.Al</v>
          </cell>
          <cell r="AK705" t="str">
            <v>-5.W</v>
          </cell>
          <cell r="AL705" t="str">
            <v>-25.Ni</v>
          </cell>
          <cell r="AM705" t="str">
            <v>-5.Cr</v>
          </cell>
          <cell r="AN705" t="str">
            <v>-2.Ta</v>
          </cell>
          <cell r="AO705" t="str">
            <v>-1.Nb</v>
          </cell>
          <cell r="AP705" t="str">
            <v>-1.V</v>
          </cell>
          <cell r="AQ705" t="str">
            <v>-4.Ti</v>
          </cell>
          <cell r="AR705" t="str">
            <v/>
          </cell>
          <cell r="AS705" t="str">
            <v/>
          </cell>
          <cell r="AT705" t="str">
            <v/>
          </cell>
          <cell r="AU705" t="str">
            <v/>
          </cell>
          <cell r="AV705" t="str">
            <v/>
          </cell>
          <cell r="AW705" t="str">
            <v/>
          </cell>
          <cell r="AX705" t="str">
            <v/>
          </cell>
          <cell r="AY705" t="str">
            <v/>
          </cell>
          <cell r="AZ705" t="str">
            <v/>
          </cell>
          <cell r="BA705" t="str">
            <v/>
          </cell>
          <cell r="BB705" t="str">
            <v/>
          </cell>
          <cell r="BC705" t="str">
            <v/>
          </cell>
          <cell r="BD705" t="str">
            <v/>
          </cell>
          <cell r="BE705" t="str">
            <v/>
          </cell>
          <cell r="BF705" t="str">
            <v/>
          </cell>
          <cell r="BG705" t="str">
            <v/>
          </cell>
          <cell r="BH705" t="str">
            <v>wang #6Yu, J., Wang, C., Chen, Y., Wang, C. &amp; Liu, X. Accelerated design of L12-strengthened co-base Superalloys based on machine learning of experimental data. Mater. Des. 108996 (2020) doi:10.1016/j.matdes.2020.108996.</v>
          </cell>
          <cell r="BI705" t="str">
            <v>Co-25.Ni-9.Al-5.Cr-5.W-4.Ti-2.Ta-1.Nb-1.V</v>
          </cell>
          <cell r="BJ705" t="str">
            <v>73.0Co-25.0Ni-9.0Al-5.0Cr-5.0W-4.0Ti-2.0Ta-1.0Nb-1.0V</v>
          </cell>
        </row>
        <row r="706">
          <cell r="A706" t="str">
            <v>Co-30.Ni-8.Al-6.W-4.Ti-2.Ta-1.Nb</v>
          </cell>
          <cell r="B706" t="str">
            <v>CoAlWX+</v>
          </cell>
          <cell r="C706" t="str">
            <v>-30Ni-8Al-6W-4Ti-2Ta-1Nb</v>
          </cell>
          <cell r="D706" t="str">
            <v>wang #3</v>
          </cell>
          <cell r="E706" t="str">
            <v>Yu, J., Wang, C., Chen, Y., Wang, C. &amp; Liu, X. Accelerated design of L12-strengthened co-base Superalloys based on machine learning of experimental data. Mater. Des. 108996 (2020) doi:10.1016/j.matdes.2020.108996.</v>
          </cell>
          <cell r="F706">
            <v>751</v>
          </cell>
          <cell r="G706">
            <v>49</v>
          </cell>
          <cell r="H706">
            <v>30</v>
          </cell>
          <cell r="I706">
            <v>8</v>
          </cell>
          <cell r="J706"/>
          <cell r="K706">
            <v>6</v>
          </cell>
          <cell r="L706">
            <v>4</v>
          </cell>
          <cell r="M706">
            <v>2</v>
          </cell>
          <cell r="N706">
            <v>1</v>
          </cell>
          <cell r="O706"/>
          <cell r="P706"/>
          <cell r="Q706"/>
          <cell r="R706"/>
          <cell r="S706"/>
          <cell r="T706"/>
          <cell r="U706"/>
          <cell r="V706"/>
          <cell r="W706"/>
          <cell r="X706"/>
          <cell r="Y706"/>
          <cell r="Z706"/>
          <cell r="AA706"/>
          <cell r="AB706"/>
          <cell r="AC706"/>
          <cell r="AD706"/>
          <cell r="AE706"/>
          <cell r="AF706">
            <v>9.0033799999999999</v>
          </cell>
          <cell r="AG706"/>
          <cell r="AH706"/>
          <cell r="AI706" t="str">
            <v>Co</v>
          </cell>
          <cell r="AJ706" t="str">
            <v>-8.Al</v>
          </cell>
          <cell r="AK706" t="str">
            <v>-6.W</v>
          </cell>
          <cell r="AL706" t="str">
            <v>-30.Ni</v>
          </cell>
          <cell r="AM706" t="str">
            <v/>
          </cell>
          <cell r="AN706" t="str">
            <v>-2.Ta</v>
          </cell>
          <cell r="AO706" t="str">
            <v>-1.Nb</v>
          </cell>
          <cell r="AP706" t="str">
            <v/>
          </cell>
          <cell r="AQ706" t="str">
            <v>-4.Ti</v>
          </cell>
          <cell r="AR706" t="str">
            <v/>
          </cell>
          <cell r="AS706" t="str">
            <v/>
          </cell>
          <cell r="AT706" t="str">
            <v/>
          </cell>
          <cell r="AU706" t="str">
            <v/>
          </cell>
          <cell r="AV706" t="str">
            <v/>
          </cell>
          <cell r="AW706" t="str">
            <v/>
          </cell>
          <cell r="AX706" t="str">
            <v/>
          </cell>
          <cell r="AY706" t="str">
            <v/>
          </cell>
          <cell r="AZ706" t="str">
            <v/>
          </cell>
          <cell r="BA706" t="str">
            <v/>
          </cell>
          <cell r="BB706" t="str">
            <v/>
          </cell>
          <cell r="BC706" t="str">
            <v/>
          </cell>
          <cell r="BD706" t="str">
            <v/>
          </cell>
          <cell r="BE706" t="str">
            <v/>
          </cell>
          <cell r="BF706" t="str">
            <v/>
          </cell>
          <cell r="BG706" t="str">
            <v/>
          </cell>
          <cell r="BH706" t="str">
            <v>wang #3Yu, J., Wang, C., Chen, Y., Wang, C. &amp; Liu, X. Accelerated design of L12-strengthened co-base Superalloys based on machine learning of experimental data. Mater. Des. 108996 (2020) doi:10.1016/j.matdes.2020.108996.</v>
          </cell>
          <cell r="BI706" t="str">
            <v>Co-30.Ni-8.Al-6.W-4.Ti-2.Ta-1.Nb</v>
          </cell>
          <cell r="BJ706" t="str">
            <v>79.0Co-30.0Ni-8.0Al-6.0W-4.0Ti-2.0Ta-1.0Nb</v>
          </cell>
        </row>
        <row r="707">
          <cell r="A707" t="str">
            <v>Co-30.Ni-10.7Al-4.3W-4.Ti-1.Ta</v>
          </cell>
          <cell r="B707" t="str">
            <v>CoAlWX+</v>
          </cell>
          <cell r="C707" t="str">
            <v>-30Ni-11Al-4W-4Ti-1Ta</v>
          </cell>
          <cell r="D707" t="str">
            <v>30Ni</v>
          </cell>
          <cell r="E707" t="str">
            <v>Li, W., Li, L., Antonov, S. &amp; Feng, Q. Effective design of a Co-Ni-Al-W-Ta-Ti alloy with high γ′ solvus temperature and microstructural stability using combined CALPHAD and experimental approaches. Mater. Des. 180, (2019).</v>
          </cell>
          <cell r="F707">
            <v>752</v>
          </cell>
          <cell r="G707">
            <v>50</v>
          </cell>
          <cell r="H707">
            <v>30</v>
          </cell>
          <cell r="I707">
            <v>10.7</v>
          </cell>
          <cell r="J707"/>
          <cell r="K707">
            <v>4.3</v>
          </cell>
          <cell r="L707">
            <v>4</v>
          </cell>
          <cell r="M707">
            <v>1</v>
          </cell>
          <cell r="N707"/>
          <cell r="O707"/>
          <cell r="P707"/>
          <cell r="Q707"/>
          <cell r="R707"/>
          <cell r="S707"/>
          <cell r="T707"/>
          <cell r="U707"/>
          <cell r="V707"/>
          <cell r="W707"/>
          <cell r="X707"/>
          <cell r="Y707"/>
          <cell r="Z707"/>
          <cell r="AA707"/>
          <cell r="AB707"/>
          <cell r="AC707"/>
          <cell r="AD707"/>
          <cell r="AE707"/>
          <cell r="AF707">
            <v>8.5858299999999996</v>
          </cell>
          <cell r="AG707"/>
          <cell r="AH707"/>
          <cell r="AI707" t="str">
            <v>Co</v>
          </cell>
          <cell r="AJ707" t="str">
            <v>-10.7Al</v>
          </cell>
          <cell r="AK707" t="str">
            <v>-4.3W</v>
          </cell>
          <cell r="AL707" t="str">
            <v>-30.Ni</v>
          </cell>
          <cell r="AM707" t="str">
            <v/>
          </cell>
          <cell r="AN707" t="str">
            <v>-1.Ta</v>
          </cell>
          <cell r="AO707" t="str">
            <v/>
          </cell>
          <cell r="AP707" t="str">
            <v/>
          </cell>
          <cell r="AQ707" t="str">
            <v>-4.Ti</v>
          </cell>
          <cell r="AR707" t="str">
            <v/>
          </cell>
          <cell r="AS707" t="str">
            <v/>
          </cell>
          <cell r="AT707" t="str">
            <v/>
          </cell>
          <cell r="AU707" t="str">
            <v/>
          </cell>
          <cell r="AV707" t="str">
            <v/>
          </cell>
          <cell r="AW707" t="str">
            <v/>
          </cell>
          <cell r="AX707" t="str">
            <v/>
          </cell>
          <cell r="AY707" t="str">
            <v/>
          </cell>
          <cell r="AZ707" t="str">
            <v/>
          </cell>
          <cell r="BA707" t="str">
            <v/>
          </cell>
          <cell r="BB707" t="str">
            <v/>
          </cell>
          <cell r="BC707" t="str">
            <v/>
          </cell>
          <cell r="BD707" t="str">
            <v/>
          </cell>
          <cell r="BE707" t="str">
            <v/>
          </cell>
          <cell r="BF707" t="str">
            <v/>
          </cell>
          <cell r="BG707" t="str">
            <v/>
          </cell>
          <cell r="BH707" t="str">
            <v>30NiLi, W., Li, L., Antonov, S. &amp; Feng, Q. Effective design of a Co-Ni-Al-W-Ta-Ti alloy with high γ′ solvus temperature and microstructural stability using combined CALPHAD and experimental approaches. Mater. Des. 180, (2019).</v>
          </cell>
          <cell r="BI707" t="str">
            <v>Co-30.Ni-10.7Al-4.3W-4.Ti-1.Ta</v>
          </cell>
          <cell r="BJ707" t="str">
            <v>80.0Co-30.0Ni-10.7Al-4.3W-4.0Ti-1.0Ta</v>
          </cell>
        </row>
        <row r="708">
          <cell r="A708" t="str">
            <v>Co-5.6Al-5.8W-6.6Ti-0.12B</v>
          </cell>
          <cell r="B708" t="str">
            <v>CoAlWX+</v>
          </cell>
          <cell r="C708" t="str">
            <v>-6Al-6W-7Ti-B</v>
          </cell>
          <cell r="D708" t="str">
            <v>Co-5.6Al-5.8W- 6.6Ti-0.12B</v>
          </cell>
          <cell r="E708" t="str">
            <v>Sauza, D. J., Dunand, D. C. &amp; Seidman, D. N. Microstructural evolution and high-temperature strength of a γ(f.c.c.)/γ’(L12) Co–Al–W–Ti–B superalloy. Acta Mater. 174, 427–438 (2019).</v>
          </cell>
          <cell r="F708">
            <v>753</v>
          </cell>
          <cell r="G708">
            <v>81.88</v>
          </cell>
          <cell r="H708"/>
          <cell r="I708">
            <v>5.6</v>
          </cell>
          <cell r="J708"/>
          <cell r="K708">
            <v>5.8</v>
          </cell>
          <cell r="L708">
            <v>6.6</v>
          </cell>
          <cell r="M708"/>
          <cell r="N708"/>
          <cell r="O708"/>
          <cell r="P708"/>
          <cell r="Q708"/>
          <cell r="R708"/>
          <cell r="S708">
            <v>0.12</v>
          </cell>
          <cell r="T708"/>
          <cell r="U708"/>
          <cell r="V708"/>
          <cell r="W708"/>
          <cell r="X708"/>
          <cell r="Y708"/>
          <cell r="Z708"/>
          <cell r="AA708"/>
          <cell r="AB708"/>
          <cell r="AC708"/>
          <cell r="AD708"/>
          <cell r="AE708"/>
          <cell r="AF708">
            <v>8.8554340000000007</v>
          </cell>
          <cell r="AG708"/>
          <cell r="AH708"/>
          <cell r="AI708" t="str">
            <v>Co</v>
          </cell>
          <cell r="AJ708" t="str">
            <v>-5.6Al</v>
          </cell>
          <cell r="AK708" t="str">
            <v>-5.8W</v>
          </cell>
          <cell r="AL708" t="str">
            <v/>
          </cell>
          <cell r="AM708" t="str">
            <v/>
          </cell>
          <cell r="AN708" t="str">
            <v/>
          </cell>
          <cell r="AO708" t="str">
            <v/>
          </cell>
          <cell r="AP708" t="str">
            <v/>
          </cell>
          <cell r="AQ708" t="str">
            <v>-6.6Ti</v>
          </cell>
          <cell r="AR708" t="str">
            <v/>
          </cell>
          <cell r="AS708" t="str">
            <v/>
          </cell>
          <cell r="AT708" t="str">
            <v/>
          </cell>
          <cell r="AU708" t="str">
            <v>-0.12B</v>
          </cell>
          <cell r="AV708" t="str">
            <v/>
          </cell>
          <cell r="AW708" t="str">
            <v/>
          </cell>
          <cell r="AX708" t="str">
            <v/>
          </cell>
          <cell r="AY708" t="str">
            <v/>
          </cell>
          <cell r="AZ708" t="str">
            <v/>
          </cell>
          <cell r="BA708" t="str">
            <v/>
          </cell>
          <cell r="BB708" t="str">
            <v/>
          </cell>
          <cell r="BC708" t="str">
            <v/>
          </cell>
          <cell r="BD708" t="str">
            <v/>
          </cell>
          <cell r="BE708" t="str">
            <v/>
          </cell>
          <cell r="BF708" t="str">
            <v/>
          </cell>
          <cell r="BG708" t="str">
            <v/>
          </cell>
          <cell r="BH708" t="str">
            <v>Co-5.6Al-5.8W- 6.6Ti-0.12BSauza, D. J., Dunand, D. C. &amp; Seidman, D. N. Microstructural evolution and high-temperature strength of a γ(f.c.c.)/γ’(L12) Co–Al–W–Ti–B superalloy. Acta Mater. 174, 427–438 (2019).</v>
          </cell>
          <cell r="BI708" t="str">
            <v>Co-5.6Al-5.8W-6.6Ti-0.12B</v>
          </cell>
          <cell r="BJ708" t="str">
            <v>81.9Co-5.6Al-5.8W-6.6Ti-0.12B</v>
          </cell>
        </row>
        <row r="709">
          <cell r="A709" t="str">
            <v>Co-5.3Al-9.7W-4.Ti-1.Ta</v>
          </cell>
          <cell r="B709" t="str">
            <v>CoAlWX+</v>
          </cell>
          <cell r="C709" t="str">
            <v>-5Al-10W-4Ti-1Ta</v>
          </cell>
          <cell r="D709" t="str">
            <v>0Ni</v>
          </cell>
          <cell r="E709" t="str">
            <v>Li, W., Li, L., Antonov, S. &amp; Feng, Q. Effective design of a Co-Ni-Al-W-Ta-Ti alloy with high γ′ solvus temperature and microstructural stability using combined CALPHAD and experimental approaches. Mater. Des. 180, (2019).</v>
          </cell>
          <cell r="F709">
            <v>754</v>
          </cell>
          <cell r="G709">
            <v>80</v>
          </cell>
          <cell r="H709"/>
          <cell r="I709">
            <v>5.3</v>
          </cell>
          <cell r="J709"/>
          <cell r="K709">
            <v>9.6999999999999993</v>
          </cell>
          <cell r="L709">
            <v>4</v>
          </cell>
          <cell r="M709">
            <v>1</v>
          </cell>
          <cell r="N709"/>
          <cell r="O709"/>
          <cell r="P709"/>
          <cell r="Q709"/>
          <cell r="R709"/>
          <cell r="S709"/>
          <cell r="T709"/>
          <cell r="U709"/>
          <cell r="V709"/>
          <cell r="W709"/>
          <cell r="X709"/>
          <cell r="Y709"/>
          <cell r="Z709"/>
          <cell r="AA709"/>
          <cell r="AB709"/>
          <cell r="AC709"/>
          <cell r="AD709"/>
          <cell r="AE709"/>
          <cell r="AF709">
            <v>9.4771299999999989</v>
          </cell>
          <cell r="AG709"/>
          <cell r="AH709"/>
          <cell r="AI709" t="str">
            <v>Co</v>
          </cell>
          <cell r="AJ709" t="str">
            <v>-5.3Al</v>
          </cell>
          <cell r="AK709" t="str">
            <v>-9.7W</v>
          </cell>
          <cell r="AL709" t="str">
            <v/>
          </cell>
          <cell r="AM709" t="str">
            <v/>
          </cell>
          <cell r="AN709" t="str">
            <v>-1.Ta</v>
          </cell>
          <cell r="AO709" t="str">
            <v/>
          </cell>
          <cell r="AP709" t="str">
            <v/>
          </cell>
          <cell r="AQ709" t="str">
            <v>-4.Ti</v>
          </cell>
          <cell r="AR709" t="str">
            <v/>
          </cell>
          <cell r="AS709" t="str">
            <v/>
          </cell>
          <cell r="AT709" t="str">
            <v/>
          </cell>
          <cell r="AU709" t="str">
            <v/>
          </cell>
          <cell r="AV709" t="str">
            <v/>
          </cell>
          <cell r="AW709" t="str">
            <v/>
          </cell>
          <cell r="AX709" t="str">
            <v/>
          </cell>
          <cell r="AY709" t="str">
            <v/>
          </cell>
          <cell r="AZ709" t="str">
            <v/>
          </cell>
          <cell r="BA709" t="str">
            <v/>
          </cell>
          <cell r="BB709" t="str">
            <v/>
          </cell>
          <cell r="BC709" t="str">
            <v/>
          </cell>
          <cell r="BD709" t="str">
            <v/>
          </cell>
          <cell r="BE709" t="str">
            <v/>
          </cell>
          <cell r="BF709" t="str">
            <v/>
          </cell>
          <cell r="BG709" t="str">
            <v/>
          </cell>
          <cell r="BH709" t="str">
            <v>0NiLi, W., Li, L., Antonov, S. &amp; Feng, Q. Effective design of a Co-Ni-Al-W-Ta-Ti alloy with high γ′ solvus temperature and microstructural stability using combined CALPHAD and experimental approaches. Mater. Des. 180, (2019).</v>
          </cell>
          <cell r="BI709" t="str">
            <v>Co-5.3Al-9.7W-4.Ti-1.Ta</v>
          </cell>
          <cell r="BJ709" t="str">
            <v>80.0Co-5.3Al-9.7W-4.0Ti-1.0Ta</v>
          </cell>
        </row>
        <row r="710">
          <cell r="A710" t="str">
            <v>Co-10.Ni-1.3Al-13.7W-4.Ti-1.Ta</v>
          </cell>
          <cell r="B710" t="str">
            <v>CoAlWX+</v>
          </cell>
          <cell r="C710" t="str">
            <v>-10Ni-1Al-14W-4Ti-1Ta</v>
          </cell>
          <cell r="D710" t="str">
            <v>10Ni</v>
          </cell>
          <cell r="E710" t="str">
            <v>Li, W., Li, L., Antonov, S. &amp; Feng, Q. Effective design of a Co-Ni-Al-W-Ta-Ti alloy with high γ′ solvus temperature and microstructural stability using combined CALPHAD and experimental approaches. Mater. Des. 180, (2019).</v>
          </cell>
          <cell r="F710">
            <v>755</v>
          </cell>
          <cell r="G710">
            <v>70</v>
          </cell>
          <cell r="H710">
            <v>10</v>
          </cell>
          <cell r="I710">
            <v>1.3</v>
          </cell>
          <cell r="J710"/>
          <cell r="K710">
            <v>13.7</v>
          </cell>
          <cell r="L710">
            <v>4</v>
          </cell>
          <cell r="M710">
            <v>1</v>
          </cell>
          <cell r="N710"/>
          <cell r="O710"/>
          <cell r="P710"/>
          <cell r="Q710"/>
          <cell r="R710"/>
          <cell r="S710"/>
          <cell r="T710"/>
          <cell r="U710"/>
          <cell r="V710"/>
          <cell r="W710"/>
          <cell r="X710"/>
          <cell r="Y710"/>
          <cell r="Z710"/>
          <cell r="AA710"/>
          <cell r="AB710"/>
          <cell r="AC710"/>
          <cell r="AD710"/>
          <cell r="AE710"/>
          <cell r="AF710">
            <v>10.13993</v>
          </cell>
          <cell r="AG710"/>
          <cell r="AH710"/>
          <cell r="AI710" t="str">
            <v>Co</v>
          </cell>
          <cell r="AJ710" t="str">
            <v>-1.3Al</v>
          </cell>
          <cell r="AK710" t="str">
            <v>-13.7W</v>
          </cell>
          <cell r="AL710" t="str">
            <v>-10.Ni</v>
          </cell>
          <cell r="AM710" t="str">
            <v/>
          </cell>
          <cell r="AN710" t="str">
            <v>-1.Ta</v>
          </cell>
          <cell r="AO710" t="str">
            <v/>
          </cell>
          <cell r="AP710" t="str">
            <v/>
          </cell>
          <cell r="AQ710" t="str">
            <v>-4.Ti</v>
          </cell>
          <cell r="AR710" t="str">
            <v/>
          </cell>
          <cell r="AS710" t="str">
            <v/>
          </cell>
          <cell r="AT710" t="str">
            <v/>
          </cell>
          <cell r="AU710" t="str">
            <v/>
          </cell>
          <cell r="AV710" t="str">
            <v/>
          </cell>
          <cell r="AW710" t="str">
            <v/>
          </cell>
          <cell r="AX710" t="str">
            <v/>
          </cell>
          <cell r="AY710" t="str">
            <v/>
          </cell>
          <cell r="AZ710" t="str">
            <v/>
          </cell>
          <cell r="BA710" t="str">
            <v/>
          </cell>
          <cell r="BB710" t="str">
            <v/>
          </cell>
          <cell r="BC710" t="str">
            <v/>
          </cell>
          <cell r="BD710" t="str">
            <v/>
          </cell>
          <cell r="BE710" t="str">
            <v/>
          </cell>
          <cell r="BF710" t="str">
            <v/>
          </cell>
          <cell r="BG710" t="str">
            <v/>
          </cell>
          <cell r="BH710" t="str">
            <v>10NiLi, W., Li, L., Antonov, S. &amp; Feng, Q. Effective design of a Co-Ni-Al-W-Ta-Ti alloy with high γ′ solvus temperature and microstructural stability using combined CALPHAD and experimental approaches. Mater. Des. 180, (2019).</v>
          </cell>
          <cell r="BI710" t="str">
            <v>Co-10.Ni-1.3Al-13.7W-4.Ti-1.Ta</v>
          </cell>
          <cell r="BJ710" t="str">
            <v>80.0Co-10.0Ni-1.3Al-13.7W-4.0Ti-1.0Ta</v>
          </cell>
        </row>
        <row r="711">
          <cell r="A711" t="str">
            <v>Co-20.Ni-9.6Al-5.4W-4.Ti-1.Ta</v>
          </cell>
          <cell r="B711" t="str">
            <v>CoAlWX+</v>
          </cell>
          <cell r="C711" t="str">
            <v>-20Ni-10Al-5W-4Ti-1Ta</v>
          </cell>
          <cell r="D711" t="str">
            <v>20Ni</v>
          </cell>
          <cell r="E711" t="str">
            <v>Li, W., Li, L., Antonov, S. &amp; Feng, Q. Effective design of a Co-Ni-Al-W-Ta-Ti alloy with high γ′ solvus temperature and microstructural stability using combined CALPHAD and experimental approaches. Mater. Des. 180, (2019).</v>
          </cell>
          <cell r="F711">
            <v>756</v>
          </cell>
          <cell r="G711">
            <v>60</v>
          </cell>
          <cell r="H711">
            <v>20</v>
          </cell>
          <cell r="I711">
            <v>9.6</v>
          </cell>
          <cell r="J711"/>
          <cell r="K711">
            <v>5.4</v>
          </cell>
          <cell r="L711">
            <v>4</v>
          </cell>
          <cell r="M711">
            <v>1</v>
          </cell>
          <cell r="N711"/>
          <cell r="O711"/>
          <cell r="P711"/>
          <cell r="Q711"/>
          <cell r="R711"/>
          <cell r="S711"/>
          <cell r="T711"/>
          <cell r="U711"/>
          <cell r="V711"/>
          <cell r="W711"/>
          <cell r="X711"/>
          <cell r="Y711"/>
          <cell r="Z711"/>
          <cell r="AA711"/>
          <cell r="AB711"/>
          <cell r="AC711"/>
          <cell r="AD711"/>
          <cell r="AE711"/>
          <cell r="AF711">
            <v>8.76708</v>
          </cell>
          <cell r="AG711"/>
          <cell r="AH711"/>
          <cell r="AI711" t="str">
            <v>Co</v>
          </cell>
          <cell r="AJ711" t="str">
            <v>-9.6Al</v>
          </cell>
          <cell r="AK711" t="str">
            <v>-5.4W</v>
          </cell>
          <cell r="AL711" t="str">
            <v>-20.Ni</v>
          </cell>
          <cell r="AM711" t="str">
            <v/>
          </cell>
          <cell r="AN711" t="str">
            <v>-1.Ta</v>
          </cell>
          <cell r="AO711" t="str">
            <v/>
          </cell>
          <cell r="AP711" t="str">
            <v/>
          </cell>
          <cell r="AQ711" t="str">
            <v>-4.Ti</v>
          </cell>
          <cell r="AR711" t="str">
            <v/>
          </cell>
          <cell r="AS711" t="str">
            <v/>
          </cell>
          <cell r="AT711" t="str">
            <v/>
          </cell>
          <cell r="AU711" t="str">
            <v/>
          </cell>
          <cell r="AV711" t="str">
            <v/>
          </cell>
          <cell r="AW711" t="str">
            <v/>
          </cell>
          <cell r="AX711" t="str">
            <v/>
          </cell>
          <cell r="AY711" t="str">
            <v/>
          </cell>
          <cell r="AZ711" t="str">
            <v/>
          </cell>
          <cell r="BA711" t="str">
            <v/>
          </cell>
          <cell r="BB711" t="str">
            <v/>
          </cell>
          <cell r="BC711" t="str">
            <v/>
          </cell>
          <cell r="BD711" t="str">
            <v/>
          </cell>
          <cell r="BE711" t="str">
            <v/>
          </cell>
          <cell r="BF711" t="str">
            <v/>
          </cell>
          <cell r="BG711" t="str">
            <v/>
          </cell>
          <cell r="BH711" t="str">
            <v>20NiLi, W., Li, L., Antonov, S. &amp; Feng, Q. Effective design of a Co-Ni-Al-W-Ta-Ti alloy with high γ′ solvus temperature and microstructural stability using combined CALPHAD and experimental approaches. Mater. Des. 180, (2019).</v>
          </cell>
          <cell r="BI711" t="str">
            <v>Co-20.Ni-9.6Al-5.4W-4.Ti-1.Ta</v>
          </cell>
          <cell r="BJ711" t="str">
            <v>80.0Co-20.0Ni-9.6Al-5.4W-4.0Ti-1.0Ta</v>
          </cell>
        </row>
        <row r="712">
          <cell r="A712" t="str">
            <v>Co-12.Ti</v>
          </cell>
          <cell r="B712" t="str">
            <v>Co3Ti</v>
          </cell>
          <cell r="C712" t="str">
            <v>-12Ti</v>
          </cell>
          <cell r="D712" t="str">
            <v>Co-12Ti</v>
          </cell>
          <cell r="E712" t="str">
            <v>Im, H. J. et al. Effects of Mo on the mechanical behavior of γ/γʹ-strengthened Co-Ti-based alloys. Acta Mater. 197, 69–80 (2020).</v>
          </cell>
          <cell r="F712">
            <v>757</v>
          </cell>
          <cell r="G712">
            <v>88</v>
          </cell>
          <cell r="H712"/>
          <cell r="I712"/>
          <cell r="J712"/>
          <cell r="K712"/>
          <cell r="L712">
            <v>12</v>
          </cell>
          <cell r="M712"/>
          <cell r="N712"/>
          <cell r="O712"/>
          <cell r="P712"/>
          <cell r="Q712"/>
          <cell r="R712"/>
          <cell r="S712"/>
          <cell r="T712"/>
          <cell r="U712"/>
          <cell r="V712"/>
          <cell r="W712"/>
          <cell r="X712"/>
          <cell r="Y712"/>
          <cell r="Z712"/>
          <cell r="AA712"/>
          <cell r="AB712"/>
          <cell r="AC712"/>
          <cell r="AD712"/>
          <cell r="AE712"/>
          <cell r="AF712">
            <v>8.3728400000000001</v>
          </cell>
          <cell r="AG712"/>
          <cell r="AH712"/>
          <cell r="AI712" t="str">
            <v>Co</v>
          </cell>
          <cell r="AJ712" t="str">
            <v/>
          </cell>
          <cell r="AK712" t="str">
            <v/>
          </cell>
          <cell r="AL712" t="str">
            <v/>
          </cell>
          <cell r="AM712" t="str">
            <v/>
          </cell>
          <cell r="AN712" t="str">
            <v/>
          </cell>
          <cell r="AO712" t="str">
            <v/>
          </cell>
          <cell r="AP712" t="str">
            <v/>
          </cell>
          <cell r="AQ712" t="str">
            <v>-12.Ti</v>
          </cell>
          <cell r="AR712" t="str">
            <v/>
          </cell>
          <cell r="AS712" t="str">
            <v/>
          </cell>
          <cell r="AT712" t="str">
            <v/>
          </cell>
          <cell r="AU712" t="str">
            <v/>
          </cell>
          <cell r="AV712" t="str">
            <v/>
          </cell>
          <cell r="AW712" t="str">
            <v/>
          </cell>
          <cell r="AX712" t="str">
            <v/>
          </cell>
          <cell r="AY712" t="str">
            <v/>
          </cell>
          <cell r="AZ712" t="str">
            <v/>
          </cell>
          <cell r="BA712" t="str">
            <v/>
          </cell>
          <cell r="BB712" t="str">
            <v/>
          </cell>
          <cell r="BC712" t="str">
            <v/>
          </cell>
          <cell r="BD712" t="str">
            <v/>
          </cell>
          <cell r="BE712" t="str">
            <v/>
          </cell>
          <cell r="BF712" t="str">
            <v/>
          </cell>
          <cell r="BG712" t="str">
            <v/>
          </cell>
          <cell r="BH712" t="str">
            <v>Co-12TiIm, H. J. et al. Effects of Mo on the mechanical behavior of γ/γʹ-strengthened Co-Ti-based alloys. Acta Mater. 197, 69–80 (2020).</v>
          </cell>
          <cell r="BI712" t="str">
            <v>Co-12.Ti</v>
          </cell>
          <cell r="BJ712" t="str">
            <v>100.0Co0000000000000000000000</v>
          </cell>
        </row>
        <row r="713">
          <cell r="A713" t="str">
            <v>Co-12.Ti-4.Mo</v>
          </cell>
          <cell r="B713" t="str">
            <v>Co3Ti</v>
          </cell>
          <cell r="C713" t="str">
            <v>-12Ti-4Mo</v>
          </cell>
          <cell r="D713" t="str">
            <v>Co-12Ti-4Mo</v>
          </cell>
          <cell r="E713" t="str">
            <v>Im, H. J. et al. Effects of Mo on the mechanical behavior of γ/γʹ-strengthened Co-Ti-based alloys. Acta Mater. 197, 69–80 (2020).</v>
          </cell>
          <cell r="F713">
            <v>758</v>
          </cell>
          <cell r="G713">
            <v>84</v>
          </cell>
          <cell r="H713"/>
          <cell r="I713"/>
          <cell r="J713"/>
          <cell r="K713"/>
          <cell r="L713">
            <v>12</v>
          </cell>
          <cell r="M713"/>
          <cell r="N713"/>
          <cell r="O713"/>
          <cell r="P713">
            <v>4</v>
          </cell>
          <cell r="Q713"/>
          <cell r="R713"/>
          <cell r="S713"/>
          <cell r="T713"/>
          <cell r="U713"/>
          <cell r="V713"/>
          <cell r="W713"/>
          <cell r="X713"/>
          <cell r="Y713"/>
          <cell r="Z713"/>
          <cell r="AA713"/>
          <cell r="AB713"/>
          <cell r="AC713"/>
          <cell r="AD713"/>
          <cell r="AE713"/>
          <cell r="AF713">
            <v>8.4280399999999993</v>
          </cell>
          <cell r="AG713"/>
          <cell r="AH713"/>
          <cell r="AI713" t="str">
            <v>Co</v>
          </cell>
          <cell r="AJ713" t="str">
            <v/>
          </cell>
          <cell r="AK713" t="str">
            <v/>
          </cell>
          <cell r="AL713" t="str">
            <v/>
          </cell>
          <cell r="AM713" t="str">
            <v/>
          </cell>
          <cell r="AN713" t="str">
            <v/>
          </cell>
          <cell r="AO713" t="str">
            <v/>
          </cell>
          <cell r="AP713" t="str">
            <v/>
          </cell>
          <cell r="AQ713" t="str">
            <v>-12.Ti</v>
          </cell>
          <cell r="AR713" t="str">
            <v>-4.Mo</v>
          </cell>
          <cell r="AS713" t="str">
            <v/>
          </cell>
          <cell r="AT713" t="str">
            <v/>
          </cell>
          <cell r="AU713" t="str">
            <v/>
          </cell>
          <cell r="AV713" t="str">
            <v/>
          </cell>
          <cell r="AW713" t="str">
            <v/>
          </cell>
          <cell r="AX713" t="str">
            <v/>
          </cell>
          <cell r="AY713" t="str">
            <v/>
          </cell>
          <cell r="AZ713" t="str">
            <v/>
          </cell>
          <cell r="BA713" t="str">
            <v/>
          </cell>
          <cell r="BB713" t="str">
            <v/>
          </cell>
          <cell r="BC713" t="str">
            <v/>
          </cell>
          <cell r="BD713" t="str">
            <v/>
          </cell>
          <cell r="BE713" t="str">
            <v/>
          </cell>
          <cell r="BF713" t="str">
            <v/>
          </cell>
          <cell r="BG713" t="str">
            <v/>
          </cell>
          <cell r="BH713" t="str">
            <v>Co-12Ti-4MoIm, H. J. et al. Effects of Mo on the mechanical behavior of γ/γʹ-strengthened Co-Ti-based alloys. Acta Mater. 197, 69–80 (2020).</v>
          </cell>
          <cell r="BI713" t="str">
            <v>Co-12.Ti-4.Mo</v>
          </cell>
          <cell r="BJ713"/>
        </row>
        <row r="714">
          <cell r="A714" t="str">
            <v>Co-7.Al-8.W-4.Ti-1.Ta</v>
          </cell>
          <cell r="B714" t="str">
            <v>Co3Ti</v>
          </cell>
          <cell r="C714" t="str">
            <v>-7Al-8W-4Ti-1Ta</v>
          </cell>
          <cell r="D714" t="str">
            <v>TaTi-SX</v>
          </cell>
          <cell r="E714" t="str">
            <v>Lu, S., Antonov, S., Li, L. &amp; Feng, Q. Two Steady-State Creep Stages in Co-Al-W-Base Single-Crystal Superalloys at 1273 K/137 MPa. Metall. Mater. Trans. A Phys. Metall. Mater. Sci. 49, 4079–4089 (2018).</v>
          </cell>
          <cell r="F714">
            <v>759</v>
          </cell>
          <cell r="G714">
            <v>80</v>
          </cell>
          <cell r="H714"/>
          <cell r="I714">
            <v>7</v>
          </cell>
          <cell r="J714"/>
          <cell r="K714">
            <v>8</v>
          </cell>
          <cell r="L714">
            <v>4</v>
          </cell>
          <cell r="M714">
            <v>1</v>
          </cell>
          <cell r="N714"/>
          <cell r="O714"/>
          <cell r="P714"/>
          <cell r="Q714"/>
          <cell r="R714"/>
          <cell r="S714"/>
          <cell r="T714"/>
          <cell r="U714"/>
          <cell r="V714"/>
          <cell r="W714"/>
          <cell r="X714"/>
          <cell r="Y714"/>
          <cell r="Z714"/>
          <cell r="AA714"/>
          <cell r="AB714"/>
          <cell r="AC714"/>
          <cell r="AD714"/>
          <cell r="AE714"/>
          <cell r="AF714">
            <v>9.1957799999999992</v>
          </cell>
          <cell r="AG714"/>
          <cell r="AH714"/>
          <cell r="AI714" t="str">
            <v>Co</v>
          </cell>
          <cell r="AJ714" t="str">
            <v>-7.Al</v>
          </cell>
          <cell r="AK714" t="str">
            <v>-8.W</v>
          </cell>
          <cell r="AL714" t="str">
            <v/>
          </cell>
          <cell r="AM714" t="str">
            <v/>
          </cell>
          <cell r="AN714" t="str">
            <v>-1.Ta</v>
          </cell>
          <cell r="AO714" t="str">
            <v/>
          </cell>
          <cell r="AP714" t="str">
            <v/>
          </cell>
          <cell r="AQ714" t="str">
            <v>-4.Ti</v>
          </cell>
          <cell r="AR714" t="str">
            <v/>
          </cell>
          <cell r="AS714" t="str">
            <v/>
          </cell>
          <cell r="AT714" t="str">
            <v/>
          </cell>
          <cell r="AU714" t="str">
            <v/>
          </cell>
          <cell r="AV714" t="str">
            <v/>
          </cell>
          <cell r="AW714" t="str">
            <v/>
          </cell>
          <cell r="AX714" t="str">
            <v/>
          </cell>
          <cell r="AY714" t="str">
            <v/>
          </cell>
          <cell r="AZ714" t="str">
            <v/>
          </cell>
          <cell r="BA714" t="str">
            <v/>
          </cell>
          <cell r="BB714" t="str">
            <v/>
          </cell>
          <cell r="BC714" t="str">
            <v/>
          </cell>
          <cell r="BD714" t="str">
            <v/>
          </cell>
          <cell r="BE714" t="str">
            <v/>
          </cell>
          <cell r="BF714" t="str">
            <v/>
          </cell>
          <cell r="BG714" t="str">
            <v/>
          </cell>
          <cell r="BH714" t="str">
            <v>TaTi-SXLu, S., Antonov, S., Li, L. &amp; Feng, Q. Two Steady-State Creep Stages in Co-Al-W-Base Single-Crystal Superalloys at 1273 K/137 MPa. Metall. Mater. Trans. A Phys. Metall. Mater. Sci. 49, 4079–4089 (2018).</v>
          </cell>
          <cell r="BI714" t="str">
            <v>Co-7.Al-8.W-4.Ti-1.Ta</v>
          </cell>
          <cell r="BJ714"/>
        </row>
        <row r="715">
          <cell r="A715" t="str">
            <v>Co-15.Ni-9.Al-10.W</v>
          </cell>
          <cell r="B715" t="str">
            <v>CoAlW-X</v>
          </cell>
          <cell r="C715" t="str">
            <v>-15Ni-9Al-10W</v>
          </cell>
          <cell r="D715" t="str">
            <v>15Ni</v>
          </cell>
          <cell r="E715" t="str">
            <v>Xue, F. et al. Effects of Ni on microstructural evolution and γ’ dissolution of novel Co-Al-W base alloys. Jinshu Xuebao/Acta Metall. Sin. 50, 845–853 (2014).</v>
          </cell>
          <cell r="F715">
            <v>760</v>
          </cell>
          <cell r="G715">
            <v>66</v>
          </cell>
          <cell r="H715">
            <v>15</v>
          </cell>
          <cell r="I715">
            <v>9</v>
          </cell>
          <cell r="J715"/>
          <cell r="K715">
            <v>10</v>
          </cell>
          <cell r="L715"/>
          <cell r="M715"/>
          <cell r="N715"/>
          <cell r="O715"/>
          <cell r="P715"/>
          <cell r="Q715"/>
          <cell r="R715"/>
          <cell r="S715"/>
          <cell r="T715"/>
          <cell r="U715"/>
          <cell r="V715"/>
          <cell r="W715"/>
          <cell r="X715"/>
          <cell r="Y715"/>
          <cell r="Z715"/>
          <cell r="AA715"/>
          <cell r="AB715"/>
          <cell r="AC715"/>
          <cell r="AD715"/>
          <cell r="AE715"/>
          <cell r="AF715">
            <v>9.3781999999999996</v>
          </cell>
          <cell r="AG715"/>
          <cell r="AH715"/>
          <cell r="AI715" t="str">
            <v>Co</v>
          </cell>
          <cell r="AJ715" t="str">
            <v>-9.Al</v>
          </cell>
          <cell r="AK715" t="str">
            <v>-10.W</v>
          </cell>
          <cell r="AL715" t="str">
            <v>-15.Ni</v>
          </cell>
          <cell r="AM715" t="str">
            <v/>
          </cell>
          <cell r="AN715" t="str">
            <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
          </cell>
          <cell r="BB715" t="str">
            <v/>
          </cell>
          <cell r="BC715" t="str">
            <v/>
          </cell>
          <cell r="BD715" t="str">
            <v/>
          </cell>
          <cell r="BE715" t="str">
            <v/>
          </cell>
          <cell r="BF715" t="str">
            <v/>
          </cell>
          <cell r="BG715" t="str">
            <v/>
          </cell>
          <cell r="BH715" t="str">
            <v>15NiXue, F. et al. Effects of Ni on microstructural evolution and γ’ dissolution of novel Co-Al-W base alloys. Jinshu Xuebao/Acta Metall. Sin. 50, 845–853 (2014).</v>
          </cell>
          <cell r="BI715" t="str">
            <v>Co-15.Ni-9.Al-10.W</v>
          </cell>
          <cell r="BJ715"/>
        </row>
        <row r="716">
          <cell r="A716" t="str">
            <v>Co-25.Ni-9.Al-10.W</v>
          </cell>
          <cell r="B716" t="str">
            <v>CoAlW-X</v>
          </cell>
          <cell r="C716" t="str">
            <v>-25Ni-9Al-10W</v>
          </cell>
          <cell r="D716" t="str">
            <v>25Ni</v>
          </cell>
          <cell r="E716" t="str">
            <v>Xue, F. et al. Effects of Ni on microstructural evolution and γ’ dissolution of novel Co-Al-W base alloys. Jinshu Xuebao/Acta Metall. Sin. 50, 845–853 (2014).</v>
          </cell>
          <cell r="F716">
            <v>761</v>
          </cell>
          <cell r="G716">
            <v>56</v>
          </cell>
          <cell r="H716">
            <v>25</v>
          </cell>
          <cell r="I716">
            <v>9</v>
          </cell>
          <cell r="J716"/>
          <cell r="K716">
            <v>10</v>
          </cell>
          <cell r="L716"/>
          <cell r="M716"/>
          <cell r="N716"/>
          <cell r="O716"/>
          <cell r="P716"/>
          <cell r="Q716"/>
          <cell r="R716"/>
          <cell r="S716"/>
          <cell r="T716"/>
          <cell r="U716"/>
          <cell r="V716"/>
          <cell r="W716"/>
          <cell r="X716"/>
          <cell r="Y716"/>
          <cell r="Z716"/>
          <cell r="AA716"/>
          <cell r="AB716"/>
          <cell r="AC716"/>
          <cell r="AD716"/>
          <cell r="AE716"/>
          <cell r="AF716">
            <v>9.3790000000000013</v>
          </cell>
          <cell r="AG716"/>
          <cell r="AH716"/>
          <cell r="AI716" t="str">
            <v>Co</v>
          </cell>
          <cell r="AJ716" t="str">
            <v>-9.Al</v>
          </cell>
          <cell r="AK716" t="str">
            <v>-10.W</v>
          </cell>
          <cell r="AL716" t="str">
            <v>-25.Ni</v>
          </cell>
          <cell r="AM716" t="str">
            <v/>
          </cell>
          <cell r="AN716" t="str">
            <v/>
          </cell>
          <cell r="AO716" t="str">
            <v/>
          </cell>
          <cell r="AP716" t="str">
            <v/>
          </cell>
          <cell r="AQ716" t="str">
            <v/>
          </cell>
          <cell r="AR716" t="str">
            <v/>
          </cell>
          <cell r="AS716" t="str">
            <v/>
          </cell>
          <cell r="AT716" t="str">
            <v/>
          </cell>
          <cell r="AU716" t="str">
            <v/>
          </cell>
          <cell r="AV716" t="str">
            <v/>
          </cell>
          <cell r="AW716" t="str">
            <v/>
          </cell>
          <cell r="AX716" t="str">
            <v/>
          </cell>
          <cell r="AY716" t="str">
            <v/>
          </cell>
          <cell r="AZ716" t="str">
            <v/>
          </cell>
          <cell r="BA716" t="str">
            <v/>
          </cell>
          <cell r="BB716" t="str">
            <v/>
          </cell>
          <cell r="BC716" t="str">
            <v/>
          </cell>
          <cell r="BD716" t="str">
            <v/>
          </cell>
          <cell r="BE716" t="str">
            <v/>
          </cell>
          <cell r="BF716" t="str">
            <v/>
          </cell>
          <cell r="BG716" t="str">
            <v/>
          </cell>
          <cell r="BH716" t="str">
            <v>25NiXue, F. et al. Effects of Ni on microstructural evolution and γ’ dissolution of novel Co-Al-W base alloys. Jinshu Xuebao/Acta Metall. Sin. 50, 845–853 (2014).</v>
          </cell>
          <cell r="BI716" t="str">
            <v>Co-25.Ni-9.Al-10.W</v>
          </cell>
          <cell r="BJ716"/>
        </row>
        <row r="717">
          <cell r="A717" t="str">
            <v>Co-35.Ni-9.Al-10.W</v>
          </cell>
          <cell r="B717" t="str">
            <v>CoAlW-X</v>
          </cell>
          <cell r="C717" t="str">
            <v>-35Ni-9Al-10W</v>
          </cell>
          <cell r="D717" t="str">
            <v>35Ni</v>
          </cell>
          <cell r="E717" t="str">
            <v>Xue, F. et al. Effects of Ni on microstructural evolution and γ’ dissolution of novel Co-Al-W base alloys. Jinshu Xuebao/Acta Metall. Sin. 50, 845–853 (2014).</v>
          </cell>
          <cell r="F717">
            <v>762</v>
          </cell>
          <cell r="G717">
            <v>46</v>
          </cell>
          <cell r="H717">
            <v>35</v>
          </cell>
          <cell r="I717">
            <v>9</v>
          </cell>
          <cell r="J717"/>
          <cell r="K717">
            <v>10</v>
          </cell>
          <cell r="L717"/>
          <cell r="M717"/>
          <cell r="N717"/>
          <cell r="O717"/>
          <cell r="P717"/>
          <cell r="Q717"/>
          <cell r="R717"/>
          <cell r="S717"/>
          <cell r="T717"/>
          <cell r="U717"/>
          <cell r="V717"/>
          <cell r="W717"/>
          <cell r="X717"/>
          <cell r="Y717"/>
          <cell r="Z717"/>
          <cell r="AA717"/>
          <cell r="AB717"/>
          <cell r="AC717"/>
          <cell r="AD717"/>
          <cell r="AE717"/>
          <cell r="AF717">
            <v>9.3797999999999995</v>
          </cell>
          <cell r="AG717"/>
          <cell r="AH717"/>
          <cell r="AI717" t="str">
            <v>Co</v>
          </cell>
          <cell r="AJ717" t="str">
            <v>-9.Al</v>
          </cell>
          <cell r="AK717" t="str">
            <v>-10.W</v>
          </cell>
          <cell r="AL717" t="str">
            <v>-35.Ni</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
          </cell>
          <cell r="BB717" t="str">
            <v/>
          </cell>
          <cell r="BC717" t="str">
            <v/>
          </cell>
          <cell r="BD717" t="str">
            <v/>
          </cell>
          <cell r="BE717" t="str">
            <v/>
          </cell>
          <cell r="BF717" t="str">
            <v/>
          </cell>
          <cell r="BG717" t="str">
            <v/>
          </cell>
          <cell r="BH717" t="str">
            <v>35NiXue, F. et al. Effects of Ni on microstructural evolution and γ’ dissolution of novel Co-Al-W base alloys. Jinshu Xuebao/Acta Metall. Sin. 50, 845–853 (2014).</v>
          </cell>
          <cell r="BI717" t="str">
            <v>Co-35.Ni-9.Al-10.W</v>
          </cell>
          <cell r="BJ717"/>
        </row>
        <row r="718">
          <cell r="A718" t="str">
            <v>Co-45.Ni-9.Al-10.W</v>
          </cell>
          <cell r="B718" t="str">
            <v>CoAlW-X</v>
          </cell>
          <cell r="C718" t="str">
            <v>-45Ni-9Al-10W</v>
          </cell>
          <cell r="D718" t="str">
            <v>45Ni</v>
          </cell>
          <cell r="E718" t="str">
            <v>Xue, F. et al. Effects of Ni on microstructural evolution and γ’ dissolution of novel Co-Al-W base alloys. Jinshu Xuebao/Acta Metall. Sin. 50, 845–853 (2014).</v>
          </cell>
          <cell r="F718">
            <v>763</v>
          </cell>
          <cell r="G718">
            <v>36</v>
          </cell>
          <cell r="H718">
            <v>45</v>
          </cell>
          <cell r="I718">
            <v>9</v>
          </cell>
          <cell r="J718"/>
          <cell r="K718">
            <v>10</v>
          </cell>
          <cell r="L718"/>
          <cell r="M718"/>
          <cell r="N718"/>
          <cell r="O718"/>
          <cell r="P718"/>
          <cell r="Q718"/>
          <cell r="R718"/>
          <cell r="S718"/>
          <cell r="T718"/>
          <cell r="U718"/>
          <cell r="V718"/>
          <cell r="W718"/>
          <cell r="X718"/>
          <cell r="Y718"/>
          <cell r="Z718"/>
          <cell r="AA718"/>
          <cell r="AB718"/>
          <cell r="AC718"/>
          <cell r="AD718"/>
          <cell r="AE718"/>
          <cell r="AF718">
            <v>9.3805999999999994</v>
          </cell>
          <cell r="AG718"/>
          <cell r="AH718"/>
          <cell r="AI718" t="str">
            <v>Co</v>
          </cell>
          <cell r="AJ718" t="str">
            <v>-9.Al</v>
          </cell>
          <cell r="AK718" t="str">
            <v>-10.W</v>
          </cell>
          <cell r="AL718" t="str">
            <v>-45.Ni</v>
          </cell>
          <cell r="AM718" t="str">
            <v/>
          </cell>
          <cell r="AN718" t="str">
            <v/>
          </cell>
          <cell r="AO718" t="str">
            <v/>
          </cell>
          <cell r="AP718" t="str">
            <v/>
          </cell>
          <cell r="AQ718" t="str">
            <v/>
          </cell>
          <cell r="AR718" t="str">
            <v/>
          </cell>
          <cell r="AS718" t="str">
            <v/>
          </cell>
          <cell r="AT718" t="str">
            <v/>
          </cell>
          <cell r="AU718" t="str">
            <v/>
          </cell>
          <cell r="AV718" t="str">
            <v/>
          </cell>
          <cell r="AW718" t="str">
            <v/>
          </cell>
          <cell r="AX718" t="str">
            <v/>
          </cell>
          <cell r="AY718" t="str">
            <v/>
          </cell>
          <cell r="AZ718" t="str">
            <v/>
          </cell>
          <cell r="BA718" t="str">
            <v/>
          </cell>
          <cell r="BB718" t="str">
            <v/>
          </cell>
          <cell r="BC718" t="str">
            <v/>
          </cell>
          <cell r="BD718" t="str">
            <v/>
          </cell>
          <cell r="BE718" t="str">
            <v/>
          </cell>
          <cell r="BF718" t="str">
            <v/>
          </cell>
          <cell r="BG718" t="str">
            <v/>
          </cell>
          <cell r="BH718" t="str">
            <v>45NiXue, F. et al. Effects of Ni on microstructural evolution and γ’ dissolution of novel Co-Al-W base alloys. Jinshu Xuebao/Acta Metall. Sin. 50, 845–853 (2014).</v>
          </cell>
          <cell r="BI718" t="str">
            <v>Co-45.Ni-9.Al-10.W</v>
          </cell>
          <cell r="BJ718"/>
        </row>
        <row r="719">
          <cell r="A719" t="str">
            <v>Co-37.6Ni-8.9Al-15.8Cr-2.8W-1.8Ti-0.5Ta-0.14C-0.03Zr-0.05B</v>
          </cell>
          <cell r="B719" t="str">
            <v>CoAlWX+</v>
          </cell>
          <cell r="C719" t="str">
            <v>-38Ni-9Al-16Cr-3W-2Ti-1Ta-C-Zr-B</v>
          </cell>
          <cell r="D719" t="str">
            <v>CoEXP</v>
          </cell>
          <cell r="E719" t="str">
            <v>Forsik, S. A. J. et al. Recent Developments in the Design of Next Generation γ′-Strengthened Cobalt–Nickel Superalloys. in 847–856 (2020). doi:10.1007/978-3-030-51834-9_83.</v>
          </cell>
          <cell r="F719">
            <v>764</v>
          </cell>
          <cell r="G719">
            <v>32.38000000000001</v>
          </cell>
          <cell r="H719">
            <v>37.6</v>
          </cell>
          <cell r="I719">
            <v>8.9</v>
          </cell>
          <cell r="J719">
            <v>15.8</v>
          </cell>
          <cell r="K719">
            <v>2.8</v>
          </cell>
          <cell r="L719">
            <v>1.8</v>
          </cell>
          <cell r="M719">
            <v>0.5</v>
          </cell>
          <cell r="N719"/>
          <cell r="O719"/>
          <cell r="P719"/>
          <cell r="Q719">
            <v>0.14000000000000001</v>
          </cell>
          <cell r="R719">
            <v>0.03</v>
          </cell>
          <cell r="S719">
            <v>0.05</v>
          </cell>
          <cell r="T719"/>
          <cell r="U719"/>
          <cell r="V719"/>
          <cell r="W719"/>
          <cell r="X719"/>
          <cell r="Y719"/>
          <cell r="Z719"/>
          <cell r="AA719"/>
          <cell r="AB719"/>
          <cell r="AC719"/>
          <cell r="AD719"/>
          <cell r="AE719"/>
          <cell r="AF719">
            <v>8.3172713000000016</v>
          </cell>
          <cell r="AG719"/>
          <cell r="AH719"/>
          <cell r="AI719" t="str">
            <v>Co</v>
          </cell>
          <cell r="AJ719" t="str">
            <v>-8.9Al</v>
          </cell>
          <cell r="AK719" t="str">
            <v>-2.8W</v>
          </cell>
          <cell r="AL719" t="str">
            <v>-37.6Ni</v>
          </cell>
          <cell r="AM719" t="str">
            <v>-15.8Cr</v>
          </cell>
          <cell r="AN719" t="str">
            <v>-0.5Ta</v>
          </cell>
          <cell r="AO719" t="str">
            <v/>
          </cell>
          <cell r="AP719" t="str">
            <v/>
          </cell>
          <cell r="AQ719" t="str">
            <v>-1.8Ti</v>
          </cell>
          <cell r="AR719" t="str">
            <v/>
          </cell>
          <cell r="AS719" t="str">
            <v>-0.14C</v>
          </cell>
          <cell r="AT719" t="str">
            <v>-0.03Zr</v>
          </cell>
          <cell r="AU719" t="str">
            <v>-0.05B</v>
          </cell>
          <cell r="AV719" t="str">
            <v/>
          </cell>
          <cell r="AW719" t="str">
            <v/>
          </cell>
          <cell r="AX719" t="str">
            <v/>
          </cell>
          <cell r="AY719" t="str">
            <v/>
          </cell>
          <cell r="AZ719" t="str">
            <v/>
          </cell>
          <cell r="BA719" t="str">
            <v/>
          </cell>
          <cell r="BB719" t="str">
            <v/>
          </cell>
          <cell r="BC719" t="str">
            <v/>
          </cell>
          <cell r="BD719" t="str">
            <v/>
          </cell>
          <cell r="BE719" t="str">
            <v/>
          </cell>
          <cell r="BF719" t="str">
            <v/>
          </cell>
          <cell r="BG719" t="str">
            <v/>
          </cell>
          <cell r="BH719" t="str">
            <v>CoEXPForsik, S. A. J. et al. Recent Developments in the Design of Next Generation γ′-Strengthened Cobalt–Nickel Superalloys. in 847–856 (2020). doi:10.1007/978-3-030-51834-9_83.</v>
          </cell>
          <cell r="BI719" t="str">
            <v>Co-37.6Ni-8.9Al-15.8Cr-2.8W-1.8Ti-0.5Ta-0.14C-0.03Zr-0.05B</v>
          </cell>
          <cell r="BJ719"/>
        </row>
        <row r="720">
          <cell r="A720" t="str">
            <v>Co-9.Al-9.W-2.Ta</v>
          </cell>
          <cell r="B720" t="str">
            <v>CoAlW-X</v>
          </cell>
          <cell r="C720" t="str">
            <v>-9Al-9W-2Ta</v>
          </cell>
          <cell r="D720" t="str">
            <v>Co-9Al-9W-2Ta</v>
          </cell>
          <cell r="E720" t="str">
            <v>Wertz, K. et al. Supersolvus Hot Workability and Dynamic Recrystallization in Wrought Co–Al–W-Base Alloys. in 857–869 (2020). doi:10.1007/978-3-030-51834-9_84.</v>
          </cell>
          <cell r="F720">
            <v>765</v>
          </cell>
          <cell r="G720">
            <v>80</v>
          </cell>
          <cell r="H720"/>
          <cell r="I720">
            <v>9</v>
          </cell>
          <cell r="J720"/>
          <cell r="K720">
            <v>9</v>
          </cell>
          <cell r="L720"/>
          <cell r="M720">
            <v>2</v>
          </cell>
          <cell r="N720"/>
          <cell r="O720"/>
          <cell r="P720"/>
          <cell r="Q720"/>
          <cell r="R720"/>
          <cell r="S720"/>
          <cell r="T720"/>
          <cell r="U720"/>
          <cell r="V720"/>
          <cell r="W720"/>
          <cell r="X720"/>
          <cell r="Y720"/>
          <cell r="Z720"/>
          <cell r="AA720"/>
          <cell r="AB720"/>
          <cell r="AC720"/>
          <cell r="AD720"/>
          <cell r="AE720"/>
          <cell r="AF720">
            <v>9.4284999999999997</v>
          </cell>
          <cell r="AG720"/>
          <cell r="AH720"/>
          <cell r="AI720" t="str">
            <v>Co</v>
          </cell>
          <cell r="AJ720" t="str">
            <v>-9.Al</v>
          </cell>
          <cell r="AK720" t="str">
            <v>-9.W</v>
          </cell>
          <cell r="AL720" t="str">
            <v/>
          </cell>
          <cell r="AM720" t="str">
            <v/>
          </cell>
          <cell r="AN720" t="str">
            <v>-2.Ta</v>
          </cell>
          <cell r="AO720" t="str">
            <v/>
          </cell>
          <cell r="AP720" t="str">
            <v/>
          </cell>
          <cell r="AQ720" t="str">
            <v/>
          </cell>
          <cell r="AR720" t="str">
            <v/>
          </cell>
          <cell r="AS720" t="str">
            <v/>
          </cell>
          <cell r="AT720" t="str">
            <v/>
          </cell>
          <cell r="AU720" t="str">
            <v/>
          </cell>
          <cell r="AV720" t="str">
            <v/>
          </cell>
          <cell r="AW720" t="str">
            <v/>
          </cell>
          <cell r="AX720" t="str">
            <v/>
          </cell>
          <cell r="AY720" t="str">
            <v/>
          </cell>
          <cell r="AZ720" t="str">
            <v/>
          </cell>
          <cell r="BA720" t="str">
            <v/>
          </cell>
          <cell r="BB720" t="str">
            <v/>
          </cell>
          <cell r="BC720" t="str">
            <v/>
          </cell>
          <cell r="BD720" t="str">
            <v/>
          </cell>
          <cell r="BE720" t="str">
            <v/>
          </cell>
          <cell r="BF720" t="str">
            <v/>
          </cell>
          <cell r="BG720" t="str">
            <v/>
          </cell>
          <cell r="BH720" t="str">
            <v>Co-9Al-9W-2TaWertz, K. et al. Supersolvus Hot Workability and Dynamic Recrystallization in Wrought Co–Al–W-Base Alloys. in 857–869 (2020). doi:10.1007/978-3-030-51834-9_84.</v>
          </cell>
          <cell r="BI720" t="str">
            <v>Co-9.Al-9.W-2.Ta</v>
          </cell>
          <cell r="BJ720"/>
        </row>
        <row r="721">
          <cell r="A721" t="str">
            <v>Co-25.Ni-10.Al-4.W-2.Ti-2.Ta</v>
          </cell>
          <cell r="B721" t="str">
            <v>CoAlWX+</v>
          </cell>
          <cell r="C721" t="str">
            <v>-25Ni-10Al-4W-2Ti-2Ta</v>
          </cell>
          <cell r="D721" t="str">
            <v>Co-10Al-4W-25Ni-2Ta-2Ti</v>
          </cell>
          <cell r="E721" t="str">
            <v>Wertz, K. et al. Supersolvus Hot Workability and Dynamic Recrystallization in Wrought Co–Al–W-Base Alloys. in 857–869 (2020). doi:10.1007/978-3-030-51834-9_84.</v>
          </cell>
          <cell r="F721">
            <v>766</v>
          </cell>
          <cell r="G721">
            <v>57</v>
          </cell>
          <cell r="H721">
            <v>25</v>
          </cell>
          <cell r="I721">
            <v>10</v>
          </cell>
          <cell r="J721"/>
          <cell r="K721">
            <v>4</v>
          </cell>
          <cell r="L721">
            <v>2</v>
          </cell>
          <cell r="M721">
            <v>2</v>
          </cell>
          <cell r="N721"/>
          <cell r="O721"/>
          <cell r="P721"/>
          <cell r="Q721"/>
          <cell r="R721"/>
          <cell r="S721"/>
          <cell r="T721"/>
          <cell r="U721"/>
          <cell r="V721"/>
          <cell r="W721"/>
          <cell r="X721"/>
          <cell r="Y721"/>
          <cell r="Z721"/>
          <cell r="AA721"/>
          <cell r="AB721"/>
          <cell r="AC721"/>
          <cell r="AD721"/>
          <cell r="AE721"/>
          <cell r="AF721">
            <v>8.7631399999999999</v>
          </cell>
          <cell r="AG721"/>
          <cell r="AH721"/>
          <cell r="AI721" t="str">
            <v>Co</v>
          </cell>
          <cell r="AJ721" t="str">
            <v>-10.Al</v>
          </cell>
          <cell r="AK721" t="str">
            <v>-4.W</v>
          </cell>
          <cell r="AL721" t="str">
            <v>-25.Ni</v>
          </cell>
          <cell r="AM721" t="str">
            <v/>
          </cell>
          <cell r="AN721" t="str">
            <v>-2.Ta</v>
          </cell>
          <cell r="AO721" t="str">
            <v/>
          </cell>
          <cell r="AP721" t="str">
            <v/>
          </cell>
          <cell r="AQ721" t="str">
            <v>-2.Ti</v>
          </cell>
          <cell r="AR721" t="str">
            <v/>
          </cell>
          <cell r="AS721" t="str">
            <v/>
          </cell>
          <cell r="AT721" t="str">
            <v/>
          </cell>
          <cell r="AU721" t="str">
            <v/>
          </cell>
          <cell r="AV721" t="str">
            <v/>
          </cell>
          <cell r="AW721" t="str">
            <v/>
          </cell>
          <cell r="AX721" t="str">
            <v/>
          </cell>
          <cell r="AY721" t="str">
            <v/>
          </cell>
          <cell r="AZ721" t="str">
            <v/>
          </cell>
          <cell r="BA721" t="str">
            <v/>
          </cell>
          <cell r="BB721" t="str">
            <v/>
          </cell>
          <cell r="BC721" t="str">
            <v/>
          </cell>
          <cell r="BD721" t="str">
            <v/>
          </cell>
          <cell r="BE721" t="str">
            <v/>
          </cell>
          <cell r="BF721" t="str">
            <v/>
          </cell>
          <cell r="BG721" t="str">
            <v/>
          </cell>
          <cell r="BH721" t="str">
            <v>Co-10Al-4W-25Ni-2Ta-2TiWertz, K. et al. Supersolvus Hot Workability and Dynamic Recrystallization in Wrought Co–Al–W-Base Alloys. in 857–869 (2020). doi:10.1007/978-3-030-51834-9_84.</v>
          </cell>
          <cell r="BI721" t="str">
            <v>Co-25.Ni-10.Al-4.W-2.Ti-2.Ta</v>
          </cell>
          <cell r="BJ721"/>
        </row>
        <row r="722">
          <cell r="A722" t="str">
            <v>Co-30.Ni-6.Al-12.Cr-3.W-5.Ti-1.Ta</v>
          </cell>
          <cell r="B722" t="str">
            <v>CoAlWX+</v>
          </cell>
          <cell r="C722" t="str">
            <v>-30Ni-6Al-12Cr-3W-5Ti-1Ta</v>
          </cell>
          <cell r="D722" t="str">
            <v>6Al12Cr5Ti</v>
          </cell>
          <cell r="E722" t="str">
            <v>Zhuang, X., Li, L. &amp; Feng, Q. Effects of Al, Cr, and Ti on the Oxidation Behaviors of Multi-component γ/γʹ CoNi-Based Superalloys. in 870–879 (2020). doi:10.1007/978-3-030-51834-9_85.</v>
          </cell>
          <cell r="F722">
            <v>767</v>
          </cell>
          <cell r="G722">
            <v>43</v>
          </cell>
          <cell r="H722">
            <v>30</v>
          </cell>
          <cell r="I722">
            <v>6</v>
          </cell>
          <cell r="J722">
            <v>12</v>
          </cell>
          <cell r="K722">
            <v>3</v>
          </cell>
          <cell r="L722">
            <v>5</v>
          </cell>
          <cell r="M722">
            <v>1</v>
          </cell>
          <cell r="N722"/>
          <cell r="O722"/>
          <cell r="P722"/>
          <cell r="Q722"/>
          <cell r="R722"/>
          <cell r="S722"/>
          <cell r="T722"/>
          <cell r="U722"/>
          <cell r="V722"/>
          <cell r="W722"/>
          <cell r="X722"/>
          <cell r="Y722"/>
          <cell r="Z722"/>
          <cell r="AA722"/>
          <cell r="AB722"/>
          <cell r="AC722"/>
          <cell r="AD722"/>
          <cell r="AE722"/>
          <cell r="AF722">
            <v>8.493549999999999</v>
          </cell>
          <cell r="AG722"/>
          <cell r="AH722"/>
          <cell r="AI722" t="str">
            <v>Co</v>
          </cell>
          <cell r="AJ722" t="str">
            <v>-6.Al</v>
          </cell>
          <cell r="AK722" t="str">
            <v>-3.W</v>
          </cell>
          <cell r="AL722" t="str">
            <v>-30.Ni</v>
          </cell>
          <cell r="AM722" t="str">
            <v>-12.Cr</v>
          </cell>
          <cell r="AN722" t="str">
            <v>-1.Ta</v>
          </cell>
          <cell r="AO722" t="str">
            <v/>
          </cell>
          <cell r="AP722" t="str">
            <v/>
          </cell>
          <cell r="AQ722" t="str">
            <v>-5.Ti</v>
          </cell>
          <cell r="AR722" t="str">
            <v/>
          </cell>
          <cell r="AS722" t="str">
            <v/>
          </cell>
          <cell r="AT722" t="str">
            <v/>
          </cell>
          <cell r="AU722" t="str">
            <v/>
          </cell>
          <cell r="AV722" t="str">
            <v/>
          </cell>
          <cell r="AW722" t="str">
            <v/>
          </cell>
          <cell r="AX722" t="str">
            <v/>
          </cell>
          <cell r="AY722" t="str">
            <v/>
          </cell>
          <cell r="AZ722" t="str">
            <v/>
          </cell>
          <cell r="BA722" t="str">
            <v/>
          </cell>
          <cell r="BB722" t="str">
            <v/>
          </cell>
          <cell r="BC722" t="str">
            <v/>
          </cell>
          <cell r="BD722" t="str">
            <v/>
          </cell>
          <cell r="BE722" t="str">
            <v/>
          </cell>
          <cell r="BF722" t="str">
            <v/>
          </cell>
          <cell r="BG722" t="str">
            <v/>
          </cell>
          <cell r="BH722" t="str">
            <v>6Al12Cr5TiZhuang, X., Li, L. &amp; Feng, Q. Effects of Al, Cr, and Ti on the Oxidation Behaviors of Multi-component γ/γʹ CoNi-Based Superalloys. in 870–879 (2020). doi:10.1007/978-3-030-51834-9_85.</v>
          </cell>
          <cell r="BI722" t="str">
            <v>Co-30.Ni-6.Al-12.Cr-3.W-5.Ti-1.Ta</v>
          </cell>
          <cell r="BJ722"/>
        </row>
        <row r="723">
          <cell r="A723" t="str">
            <v>Co-30.Ni-6.Al-14.Cr-3.W-5.Ti-1.Ta</v>
          </cell>
          <cell r="B723" t="str">
            <v>CoAlWX+</v>
          </cell>
          <cell r="C723" t="str">
            <v>-30Ni-6Al-14Cr-3W-5Ti-1Ta</v>
          </cell>
          <cell r="D723" t="str">
            <v>6Al14Cr5Ti</v>
          </cell>
          <cell r="E723" t="str">
            <v>Zhuang, X., Li, L. &amp; Feng, Q. Effects of Al, Cr, and Ti on the Oxidation Behaviors of Multi-component γ/γʹ CoNi-Based Superalloys. in 870–879 (2020). doi:10.1007/978-3-030-51834-9_85.</v>
          </cell>
          <cell r="F723">
            <v>768</v>
          </cell>
          <cell r="G723">
            <v>41</v>
          </cell>
          <cell r="H723">
            <v>30</v>
          </cell>
          <cell r="I723">
            <v>6</v>
          </cell>
          <cell r="J723">
            <v>14</v>
          </cell>
          <cell r="K723">
            <v>3</v>
          </cell>
          <cell r="L723">
            <v>5</v>
          </cell>
          <cell r="M723">
            <v>1</v>
          </cell>
          <cell r="N723"/>
          <cell r="O723"/>
          <cell r="P723"/>
          <cell r="Q723"/>
          <cell r="R723"/>
          <cell r="S723"/>
          <cell r="T723"/>
          <cell r="U723"/>
          <cell r="V723"/>
          <cell r="W723"/>
          <cell r="X723"/>
          <cell r="Y723"/>
          <cell r="Z723"/>
          <cell r="AA723"/>
          <cell r="AB723"/>
          <cell r="AC723"/>
          <cell r="AD723"/>
          <cell r="AE723"/>
          <cell r="AF723">
            <v>8.4593499999999988</v>
          </cell>
          <cell r="AG723"/>
          <cell r="AH723"/>
          <cell r="AI723" t="str">
            <v>Co</v>
          </cell>
          <cell r="AJ723" t="str">
            <v>-6.Al</v>
          </cell>
          <cell r="AK723" t="str">
            <v>-3.W</v>
          </cell>
          <cell r="AL723" t="str">
            <v>-30.Ni</v>
          </cell>
          <cell r="AM723" t="str">
            <v>-14.Cr</v>
          </cell>
          <cell r="AN723" t="str">
            <v>-1.Ta</v>
          </cell>
          <cell r="AO723" t="str">
            <v/>
          </cell>
          <cell r="AP723" t="str">
            <v/>
          </cell>
          <cell r="AQ723" t="str">
            <v>-5.Ti</v>
          </cell>
          <cell r="AR723" t="str">
            <v/>
          </cell>
          <cell r="AS723" t="str">
            <v/>
          </cell>
          <cell r="AT723" t="str">
            <v/>
          </cell>
          <cell r="AU723" t="str">
            <v/>
          </cell>
          <cell r="AV723" t="str">
            <v/>
          </cell>
          <cell r="AW723" t="str">
            <v/>
          </cell>
          <cell r="AX723" t="str">
            <v/>
          </cell>
          <cell r="AY723" t="str">
            <v/>
          </cell>
          <cell r="AZ723" t="str">
            <v/>
          </cell>
          <cell r="BA723" t="str">
            <v/>
          </cell>
          <cell r="BB723" t="str">
            <v/>
          </cell>
          <cell r="BC723" t="str">
            <v/>
          </cell>
          <cell r="BD723" t="str">
            <v/>
          </cell>
          <cell r="BE723" t="str">
            <v/>
          </cell>
          <cell r="BF723" t="str">
            <v/>
          </cell>
          <cell r="BG723" t="str">
            <v/>
          </cell>
          <cell r="BH723" t="str">
            <v>6Al14Cr5TiZhuang, X., Li, L. &amp; Feng, Q. Effects of Al, Cr, and Ti on the Oxidation Behaviors of Multi-component γ/γʹ CoNi-Based Superalloys. in 870–879 (2020). doi:10.1007/978-3-030-51834-9_85.</v>
          </cell>
          <cell r="BI723" t="str">
            <v>Co-30.Ni-6.Al-14.Cr-3.W-5.Ti-1.Ta</v>
          </cell>
          <cell r="BJ723"/>
        </row>
        <row r="724">
          <cell r="A724" t="str">
            <v>Co-30.Ni-6.Al-12.Cr-3.W-6.Ti-1.Ta</v>
          </cell>
          <cell r="B724" t="str">
            <v>CoAlWX+</v>
          </cell>
          <cell r="C724" t="str">
            <v>-30Ni-6Al-12Cr-3W-6Ti-1Ta</v>
          </cell>
          <cell r="D724" t="str">
            <v>6Al12Cr6Ti</v>
          </cell>
          <cell r="E724" t="str">
            <v>Zhuang, X., Li, L. &amp; Feng, Q. Effects of Al, Cr, and Ti on the Oxidation Behaviors of Multi-component γ/γʹ CoNi-Based Superalloys. in 870–879 (2020). doi:10.1007/978-3-030-51834-9_85.</v>
          </cell>
          <cell r="F724">
            <v>769</v>
          </cell>
          <cell r="G724">
            <v>42</v>
          </cell>
          <cell r="H724">
            <v>30</v>
          </cell>
          <cell r="I724">
            <v>6</v>
          </cell>
          <cell r="J724">
            <v>12</v>
          </cell>
          <cell r="K724">
            <v>3</v>
          </cell>
          <cell r="L724">
            <v>6</v>
          </cell>
          <cell r="M724">
            <v>1</v>
          </cell>
          <cell r="N724"/>
          <cell r="O724"/>
          <cell r="P724"/>
          <cell r="Q724"/>
          <cell r="R724"/>
          <cell r="S724"/>
          <cell r="T724"/>
          <cell r="U724"/>
          <cell r="V724"/>
          <cell r="W724"/>
          <cell r="X724"/>
          <cell r="Y724"/>
          <cell r="Z724"/>
          <cell r="AA724"/>
          <cell r="AB724"/>
          <cell r="AC724"/>
          <cell r="AD724"/>
          <cell r="AE724"/>
          <cell r="AF724">
            <v>8.4496199999999995</v>
          </cell>
          <cell r="AG724"/>
          <cell r="AH724"/>
          <cell r="AI724" t="str">
            <v>Co</v>
          </cell>
          <cell r="AJ724" t="str">
            <v>-6.Al</v>
          </cell>
          <cell r="AK724" t="str">
            <v>-3.W</v>
          </cell>
          <cell r="AL724" t="str">
            <v>-30.Ni</v>
          </cell>
          <cell r="AM724" t="str">
            <v>-12.Cr</v>
          </cell>
          <cell r="AN724" t="str">
            <v>-1.Ta</v>
          </cell>
          <cell r="AO724" t="str">
            <v/>
          </cell>
          <cell r="AP724" t="str">
            <v/>
          </cell>
          <cell r="AQ724" t="str">
            <v>-6.Ti</v>
          </cell>
          <cell r="AR724" t="str">
            <v/>
          </cell>
          <cell r="AS724" t="str">
            <v/>
          </cell>
          <cell r="AT724" t="str">
            <v/>
          </cell>
          <cell r="AU724" t="str">
            <v/>
          </cell>
          <cell r="AV724" t="str">
            <v/>
          </cell>
          <cell r="AW724" t="str">
            <v/>
          </cell>
          <cell r="AX724" t="str">
            <v/>
          </cell>
          <cell r="AY724" t="str">
            <v/>
          </cell>
          <cell r="AZ724" t="str">
            <v/>
          </cell>
          <cell r="BA724" t="str">
            <v/>
          </cell>
          <cell r="BB724" t="str">
            <v/>
          </cell>
          <cell r="BC724" t="str">
            <v/>
          </cell>
          <cell r="BD724" t="str">
            <v/>
          </cell>
          <cell r="BE724" t="str">
            <v/>
          </cell>
          <cell r="BF724" t="str">
            <v/>
          </cell>
          <cell r="BG724" t="str">
            <v/>
          </cell>
          <cell r="BH724" t="str">
            <v>6Al12Cr6TiZhuang, X., Li, L. &amp; Feng, Q. Effects of Al, Cr, and Ti on the Oxidation Behaviors of Multi-component γ/γʹ CoNi-Based Superalloys. in 870–879 (2020). doi:10.1007/978-3-030-51834-9_85.</v>
          </cell>
          <cell r="BI724" t="str">
            <v>Co-30.Ni-6.Al-12.Cr-3.W-6.Ti-1.Ta</v>
          </cell>
          <cell r="BJ724"/>
        </row>
        <row r="725">
          <cell r="A725" t="str">
            <v>Co-30.Ni-8.Al-12.Cr-3.W-4.Ti-1.Ta</v>
          </cell>
          <cell r="B725" t="str">
            <v>CoAlWX+</v>
          </cell>
          <cell r="C725" t="str">
            <v>-30Ni-8Al-12Cr-3W-4Ti-1Ta</v>
          </cell>
          <cell r="D725" t="str">
            <v>8Al12Cr4Ti</v>
          </cell>
          <cell r="E725" t="str">
            <v>Zhuang, X., Li, L. &amp; Feng, Q. Effects of Al, Cr, and Ti on the Oxidation Behaviors of Multi-component γ/γʹ CoNi-Based Superalloys. in 870–879 (2020). doi:10.1007/978-3-030-51834-9_85.</v>
          </cell>
          <cell r="F725">
            <v>770</v>
          </cell>
          <cell r="G725">
            <v>42</v>
          </cell>
          <cell r="H725">
            <v>30</v>
          </cell>
          <cell r="I725">
            <v>8</v>
          </cell>
          <cell r="J725">
            <v>12</v>
          </cell>
          <cell r="K725">
            <v>3</v>
          </cell>
          <cell r="L725">
            <v>4</v>
          </cell>
          <cell r="M725">
            <v>1</v>
          </cell>
          <cell r="N725"/>
          <cell r="O725"/>
          <cell r="P725"/>
          <cell r="Q725"/>
          <cell r="R725"/>
          <cell r="S725"/>
          <cell r="T725"/>
          <cell r="U725"/>
          <cell r="V725"/>
          <cell r="W725"/>
          <cell r="X725"/>
          <cell r="Y725"/>
          <cell r="Z725"/>
          <cell r="AA725"/>
          <cell r="AB725"/>
          <cell r="AC725"/>
          <cell r="AD725"/>
          <cell r="AE725"/>
          <cell r="AF725">
            <v>8.4134799999999998</v>
          </cell>
          <cell r="AG725"/>
          <cell r="AH725"/>
          <cell r="AI725" t="str">
            <v>Co</v>
          </cell>
          <cell r="AJ725" t="str">
            <v>-8.Al</v>
          </cell>
          <cell r="AK725" t="str">
            <v>-3.W</v>
          </cell>
          <cell r="AL725" t="str">
            <v>-30.Ni</v>
          </cell>
          <cell r="AM725" t="str">
            <v>-12.Cr</v>
          </cell>
          <cell r="AN725" t="str">
            <v>-1.Ta</v>
          </cell>
          <cell r="AO725" t="str">
            <v/>
          </cell>
          <cell r="AP725" t="str">
            <v/>
          </cell>
          <cell r="AQ725" t="str">
            <v>-4.Ti</v>
          </cell>
          <cell r="AR725" t="str">
            <v/>
          </cell>
          <cell r="AS725" t="str">
            <v/>
          </cell>
          <cell r="AT725" t="str">
            <v/>
          </cell>
          <cell r="AU725" t="str">
            <v/>
          </cell>
          <cell r="AV725" t="str">
            <v/>
          </cell>
          <cell r="AW725" t="str">
            <v/>
          </cell>
          <cell r="AX725" t="str">
            <v/>
          </cell>
          <cell r="AY725" t="str">
            <v/>
          </cell>
          <cell r="AZ725" t="str">
            <v/>
          </cell>
          <cell r="BA725" t="str">
            <v/>
          </cell>
          <cell r="BB725" t="str">
            <v/>
          </cell>
          <cell r="BC725" t="str">
            <v/>
          </cell>
          <cell r="BD725" t="str">
            <v/>
          </cell>
          <cell r="BE725" t="str">
            <v/>
          </cell>
          <cell r="BF725" t="str">
            <v/>
          </cell>
          <cell r="BG725" t="str">
            <v/>
          </cell>
          <cell r="BH725" t="str">
            <v>8Al12Cr4TiZhuang, X., Li, L. &amp; Feng, Q. Effects of Al, Cr, and Ti on the Oxidation Behaviors of Multi-component γ/γʹ CoNi-Based Superalloys. in 870–879 (2020). doi:10.1007/978-3-030-51834-9_85.</v>
          </cell>
          <cell r="BI725" t="str">
            <v>Co-30.Ni-8.Al-12.Cr-3.W-4.Ti-1.Ta</v>
          </cell>
          <cell r="BJ725"/>
        </row>
        <row r="726">
          <cell r="A726" t="str">
            <v>Co-30.Ni-8.Al-14.Cr-3.W-4.Ti-1.Ta</v>
          </cell>
          <cell r="B726" t="str">
            <v>CoAlWX+</v>
          </cell>
          <cell r="C726" t="str">
            <v>-30Ni-8Al-14Cr-3W-4Ti-1Ta</v>
          </cell>
          <cell r="D726" t="str">
            <v>8Al14Cr4Ti</v>
          </cell>
          <cell r="E726" t="str">
            <v>Zhuang, X., Li, L. &amp; Feng, Q. Effects of Al, Cr, and Ti on the Oxidation Behaviors of Multi-component γ/γʹ CoNi-Based Superalloys. in 870–879 (2020). doi:10.1007/978-3-030-51834-9_85.</v>
          </cell>
          <cell r="F726">
            <v>771</v>
          </cell>
          <cell r="G726">
            <v>40</v>
          </cell>
          <cell r="H726">
            <v>30</v>
          </cell>
          <cell r="I726">
            <v>8</v>
          </cell>
          <cell r="J726">
            <v>14</v>
          </cell>
          <cell r="K726">
            <v>3</v>
          </cell>
          <cell r="L726">
            <v>4</v>
          </cell>
          <cell r="M726">
            <v>1</v>
          </cell>
          <cell r="N726"/>
          <cell r="O726"/>
          <cell r="P726"/>
          <cell r="Q726"/>
          <cell r="R726"/>
          <cell r="S726"/>
          <cell r="T726"/>
          <cell r="U726"/>
          <cell r="V726"/>
          <cell r="W726"/>
          <cell r="X726"/>
          <cell r="Y726"/>
          <cell r="Z726"/>
          <cell r="AA726"/>
          <cell r="AB726"/>
          <cell r="AC726"/>
          <cell r="AD726"/>
          <cell r="AE726"/>
          <cell r="AF726">
            <v>8.3792799999999996</v>
          </cell>
          <cell r="AG726"/>
          <cell r="AH726"/>
          <cell r="AI726" t="str">
            <v>Co</v>
          </cell>
          <cell r="AJ726" t="str">
            <v>-8.Al</v>
          </cell>
          <cell r="AK726" t="str">
            <v>-3.W</v>
          </cell>
          <cell r="AL726" t="str">
            <v>-30.Ni</v>
          </cell>
          <cell r="AM726" t="str">
            <v>-14.Cr</v>
          </cell>
          <cell r="AN726" t="str">
            <v>-1.Ta</v>
          </cell>
          <cell r="AO726" t="str">
            <v/>
          </cell>
          <cell r="AP726" t="str">
            <v/>
          </cell>
          <cell r="AQ726" t="str">
            <v>-4.Ti</v>
          </cell>
          <cell r="AR726" t="str">
            <v/>
          </cell>
          <cell r="AS726" t="str">
            <v/>
          </cell>
          <cell r="AT726" t="str">
            <v/>
          </cell>
          <cell r="AU726" t="str">
            <v/>
          </cell>
          <cell r="AV726" t="str">
            <v/>
          </cell>
          <cell r="AW726" t="str">
            <v/>
          </cell>
          <cell r="AX726" t="str">
            <v/>
          </cell>
          <cell r="AY726" t="str">
            <v/>
          </cell>
          <cell r="AZ726" t="str">
            <v/>
          </cell>
          <cell r="BA726" t="str">
            <v/>
          </cell>
          <cell r="BB726" t="str">
            <v/>
          </cell>
          <cell r="BC726" t="str">
            <v/>
          </cell>
          <cell r="BD726" t="str">
            <v/>
          </cell>
          <cell r="BE726" t="str">
            <v/>
          </cell>
          <cell r="BF726" t="str">
            <v/>
          </cell>
          <cell r="BG726" t="str">
            <v/>
          </cell>
          <cell r="BH726" t="str">
            <v>8Al14Cr4TiZhuang, X., Li, L. &amp; Feng, Q. Effects of Al, Cr, and Ti on the Oxidation Behaviors of Multi-component γ/γʹ CoNi-Based Superalloys. in 870–879 (2020). doi:10.1007/978-3-030-51834-9_85.</v>
          </cell>
          <cell r="BI726" t="str">
            <v>Co-30.Ni-8.Al-14.Cr-3.W-4.Ti-1.Ta</v>
          </cell>
          <cell r="BJ726"/>
        </row>
        <row r="727">
          <cell r="A727" t="str">
            <v>Co-30.Ni-8.Al-14.Cr-3.W-3.Ti-1.Ta</v>
          </cell>
          <cell r="B727" t="str">
            <v>CoAlWX+</v>
          </cell>
          <cell r="C727" t="str">
            <v>-30Ni-8Al-14Cr-3W-3Ti-1Ta</v>
          </cell>
          <cell r="D727" t="str">
            <v>8Al14Cr3Ti</v>
          </cell>
          <cell r="E727" t="str">
            <v>Zhuang, X., Li, L. &amp; Feng, Q. Effects of Al, Cr, and Ti on the Oxidation Behaviors of Multi-component γ/γʹ CoNi-Based Superalloys. in 870–879 (2020). doi:10.1007/978-3-030-51834-9_85.</v>
          </cell>
          <cell r="F727">
            <v>772</v>
          </cell>
          <cell r="G727">
            <v>41</v>
          </cell>
          <cell r="H727">
            <v>30</v>
          </cell>
          <cell r="I727">
            <v>8</v>
          </cell>
          <cell r="J727">
            <v>14</v>
          </cell>
          <cell r="K727">
            <v>3</v>
          </cell>
          <cell r="L727">
            <v>3</v>
          </cell>
          <cell r="M727">
            <v>1</v>
          </cell>
          <cell r="N727"/>
          <cell r="O727"/>
          <cell r="P727"/>
          <cell r="Q727"/>
          <cell r="R727"/>
          <cell r="S727"/>
          <cell r="T727"/>
          <cell r="U727"/>
          <cell r="V727"/>
          <cell r="W727"/>
          <cell r="X727"/>
          <cell r="Y727"/>
          <cell r="Z727"/>
          <cell r="AA727"/>
          <cell r="AB727"/>
          <cell r="AC727"/>
          <cell r="AD727"/>
          <cell r="AE727"/>
          <cell r="AF727">
            <v>8.4232099999999992</v>
          </cell>
          <cell r="AG727"/>
          <cell r="AH727"/>
          <cell r="AI727" t="str">
            <v>Co</v>
          </cell>
          <cell r="AJ727" t="str">
            <v>-8.Al</v>
          </cell>
          <cell r="AK727" t="str">
            <v>-3.W</v>
          </cell>
          <cell r="AL727" t="str">
            <v>-30.Ni</v>
          </cell>
          <cell r="AM727" t="str">
            <v>-14.Cr</v>
          </cell>
          <cell r="AN727" t="str">
            <v>-1.Ta</v>
          </cell>
          <cell r="AO727" t="str">
            <v/>
          </cell>
          <cell r="AP727" t="str">
            <v/>
          </cell>
          <cell r="AQ727" t="str">
            <v>-3.Ti</v>
          </cell>
          <cell r="AR727" t="str">
            <v/>
          </cell>
          <cell r="AS727" t="str">
            <v/>
          </cell>
          <cell r="AT727" t="str">
            <v/>
          </cell>
          <cell r="AU727" t="str">
            <v/>
          </cell>
          <cell r="AV727" t="str">
            <v/>
          </cell>
          <cell r="AW727" t="str">
            <v/>
          </cell>
          <cell r="AX727" t="str">
            <v/>
          </cell>
          <cell r="AY727" t="str">
            <v/>
          </cell>
          <cell r="AZ727" t="str">
            <v/>
          </cell>
          <cell r="BA727" t="str">
            <v/>
          </cell>
          <cell r="BB727" t="str">
            <v/>
          </cell>
          <cell r="BC727" t="str">
            <v/>
          </cell>
          <cell r="BD727" t="str">
            <v/>
          </cell>
          <cell r="BE727" t="str">
            <v/>
          </cell>
          <cell r="BF727" t="str">
            <v/>
          </cell>
          <cell r="BG727" t="str">
            <v/>
          </cell>
          <cell r="BH727" t="str">
            <v>8Al14Cr3TiZhuang, X., Li, L. &amp; Feng, Q. Effects of Al, Cr, and Ti on the Oxidation Behaviors of Multi-component γ/γʹ CoNi-Based Superalloys. in 870–879 (2020). doi:10.1007/978-3-030-51834-9_85.</v>
          </cell>
          <cell r="BI727" t="str">
            <v>Co-30.Ni-8.Al-14.Cr-3.W-3.Ti-1.Ta</v>
          </cell>
          <cell r="BJ727" t="str">
            <v>100.0Co0000000000000000000000</v>
          </cell>
        </row>
        <row r="728">
          <cell r="A728" t="str">
            <v>Co-15.Cr-11.Ti</v>
          </cell>
          <cell r="B728" t="str">
            <v>Co3Ti</v>
          </cell>
          <cell r="C728" t="str">
            <v>-15Cr-11Ti</v>
          </cell>
          <cell r="D728" t="str">
            <v>CTC-1</v>
          </cell>
          <cell r="E728" t="str">
            <v>Zenk, C. H. et al. The Effect of Alloying on the Thermophysical and Mechanical Properties of Co–Ti–Cr-Based Superalloys. in 909–919 (2020). doi:10.1007/978-3-030-51834-9_89.</v>
          </cell>
          <cell r="F728">
            <v>773</v>
          </cell>
          <cell r="G728">
            <v>74</v>
          </cell>
          <cell r="H728"/>
          <cell r="I728"/>
          <cell r="J728">
            <v>15</v>
          </cell>
          <cell r="K728"/>
          <cell r="L728">
            <v>11</v>
          </cell>
          <cell r="M728"/>
          <cell r="N728"/>
          <cell r="O728"/>
          <cell r="P728"/>
          <cell r="Q728"/>
          <cell r="R728"/>
          <cell r="S728"/>
          <cell r="T728"/>
          <cell r="U728"/>
          <cell r="V728"/>
          <cell r="W728"/>
          <cell r="X728"/>
          <cell r="Y728"/>
          <cell r="Z728"/>
          <cell r="AA728"/>
          <cell r="AB728"/>
          <cell r="AC728"/>
          <cell r="AD728"/>
          <cell r="AE728"/>
          <cell r="AF728">
            <v>8.1602700000000006</v>
          </cell>
          <cell r="AG728"/>
          <cell r="AH728"/>
          <cell r="AI728" t="str">
            <v>Co</v>
          </cell>
          <cell r="AJ728" t="str">
            <v/>
          </cell>
          <cell r="AK728" t="str">
            <v/>
          </cell>
          <cell r="AL728" t="str">
            <v/>
          </cell>
          <cell r="AM728" t="str">
            <v>-15.Cr</v>
          </cell>
          <cell r="AN728" t="str">
            <v/>
          </cell>
          <cell r="AO728" t="str">
            <v/>
          </cell>
          <cell r="AP728" t="str">
            <v/>
          </cell>
          <cell r="AQ728" t="str">
            <v>-11.Ti</v>
          </cell>
          <cell r="AR728" t="str">
            <v/>
          </cell>
          <cell r="AS728" t="str">
            <v/>
          </cell>
          <cell r="AT728" t="str">
            <v/>
          </cell>
          <cell r="AU728" t="str">
            <v/>
          </cell>
          <cell r="AV728" t="str">
            <v/>
          </cell>
          <cell r="AW728" t="str">
            <v/>
          </cell>
          <cell r="AX728" t="str">
            <v/>
          </cell>
          <cell r="AY728" t="str">
            <v/>
          </cell>
          <cell r="AZ728" t="str">
            <v/>
          </cell>
          <cell r="BA728" t="str">
            <v/>
          </cell>
          <cell r="BB728" t="str">
            <v/>
          </cell>
          <cell r="BC728" t="str">
            <v/>
          </cell>
          <cell r="BD728" t="str">
            <v/>
          </cell>
          <cell r="BE728" t="str">
            <v/>
          </cell>
          <cell r="BF728" t="str">
            <v/>
          </cell>
          <cell r="BG728" t="str">
            <v/>
          </cell>
          <cell r="BH728" t="str">
            <v>CTC-1Zenk, C. H. et al. The Effect of Alloying on the Thermophysical and Mechanical Properties of Co–Ti–Cr-Based Superalloys. in 909–919 (2020). doi:10.1007/978-3-030-51834-9_89.</v>
          </cell>
          <cell r="BI728" t="str">
            <v>Co-15.Cr-11.Ti</v>
          </cell>
          <cell r="BJ728"/>
        </row>
        <row r="729">
          <cell r="A729" t="str">
            <v>Co-1.Al-15.Cr-11.Ti</v>
          </cell>
          <cell r="B729" t="str">
            <v>Co3Ti</v>
          </cell>
          <cell r="C729" t="str">
            <v>-1Al-15Cr-11Ti</v>
          </cell>
          <cell r="D729" t="str">
            <v>CTC-Al</v>
          </cell>
          <cell r="E729" t="str">
            <v>Zenk, C. H. et al. The Effect of Alloying on the Thermophysical and Mechanical Properties of Co–Ti–Cr-Based Superalloys. in 909–919 (2020). doi:10.1007/978-3-030-51834-9_89.</v>
          </cell>
          <cell r="F729">
            <v>774</v>
          </cell>
          <cell r="G729">
            <v>73</v>
          </cell>
          <cell r="H729"/>
          <cell r="I729">
            <v>1</v>
          </cell>
          <cell r="J729">
            <v>15</v>
          </cell>
          <cell r="K729"/>
          <cell r="L729">
            <v>11</v>
          </cell>
          <cell r="M729"/>
          <cell r="N729"/>
          <cell r="O729"/>
          <cell r="P729"/>
          <cell r="Q729"/>
          <cell r="R729"/>
          <cell r="S729"/>
          <cell r="T729"/>
          <cell r="U729"/>
          <cell r="V729"/>
          <cell r="W729"/>
          <cell r="X729"/>
          <cell r="Y729"/>
          <cell r="Z729"/>
          <cell r="AA729"/>
          <cell r="AB729"/>
          <cell r="AC729"/>
          <cell r="AD729"/>
          <cell r="AE729"/>
          <cell r="AF729">
            <v>8.0982700000000012</v>
          </cell>
          <cell r="AG729"/>
          <cell r="AH729"/>
          <cell r="AI729" t="str">
            <v>Co</v>
          </cell>
          <cell r="AJ729" t="str">
            <v>-1.Al</v>
          </cell>
          <cell r="AK729" t="str">
            <v/>
          </cell>
          <cell r="AL729" t="str">
            <v/>
          </cell>
          <cell r="AM729" t="str">
            <v>-15.Cr</v>
          </cell>
          <cell r="AN729" t="str">
            <v/>
          </cell>
          <cell r="AO729" t="str">
            <v/>
          </cell>
          <cell r="AP729" t="str">
            <v/>
          </cell>
          <cell r="AQ729" t="str">
            <v>-11.Ti</v>
          </cell>
          <cell r="AR729" t="str">
            <v/>
          </cell>
          <cell r="AS729" t="str">
            <v/>
          </cell>
          <cell r="AT729" t="str">
            <v/>
          </cell>
          <cell r="AU729" t="str">
            <v/>
          </cell>
          <cell r="AV729" t="str">
            <v/>
          </cell>
          <cell r="AW729" t="str">
            <v/>
          </cell>
          <cell r="AX729" t="str">
            <v/>
          </cell>
          <cell r="AY729" t="str">
            <v/>
          </cell>
          <cell r="AZ729" t="str">
            <v/>
          </cell>
          <cell r="BA729" t="str">
            <v/>
          </cell>
          <cell r="BB729" t="str">
            <v/>
          </cell>
          <cell r="BC729" t="str">
            <v/>
          </cell>
          <cell r="BD729" t="str">
            <v/>
          </cell>
          <cell r="BE729" t="str">
            <v/>
          </cell>
          <cell r="BF729" t="str">
            <v/>
          </cell>
          <cell r="BG729" t="str">
            <v/>
          </cell>
          <cell r="BH729" t="str">
            <v>CTC-AlZenk, C. H. et al. The Effect of Alloying on the Thermophysical and Mechanical Properties of Co–Ti–Cr-Based Superalloys. in 909–919 (2020). doi:10.1007/978-3-030-51834-9_89.</v>
          </cell>
          <cell r="BI729" t="str">
            <v>Co-1.Al-15.Cr-11.Ti</v>
          </cell>
          <cell r="BJ729"/>
        </row>
        <row r="730">
          <cell r="A730" t="str">
            <v>Co-15.Cr-11.Ti-1.Ta</v>
          </cell>
          <cell r="B730" t="str">
            <v>Co3Ti</v>
          </cell>
          <cell r="C730" t="str">
            <v>-15Cr-11Ti-1Ta</v>
          </cell>
          <cell r="D730" t="str">
            <v>CTC-Ta</v>
          </cell>
          <cell r="E730" t="str">
            <v>Zenk, C. H. et al. The Effect of Alloying on the Thermophysical and Mechanical Properties of Co–Ti–Cr-Based Superalloys. in 909–919 (2020). doi:10.1007/978-3-030-51834-9_89.</v>
          </cell>
          <cell r="F730">
            <v>775</v>
          </cell>
          <cell r="G730">
            <v>73</v>
          </cell>
          <cell r="H730"/>
          <cell r="I730"/>
          <cell r="J730">
            <v>15</v>
          </cell>
          <cell r="K730"/>
          <cell r="L730">
            <v>11</v>
          </cell>
          <cell r="M730">
            <v>1</v>
          </cell>
          <cell r="N730"/>
          <cell r="O730"/>
          <cell r="P730"/>
          <cell r="Q730"/>
          <cell r="R730"/>
          <cell r="S730"/>
          <cell r="T730"/>
          <cell r="U730"/>
          <cell r="V730"/>
          <cell r="W730"/>
          <cell r="X730"/>
          <cell r="Y730"/>
          <cell r="Z730"/>
          <cell r="AA730"/>
          <cell r="AB730"/>
          <cell r="AC730"/>
          <cell r="AD730"/>
          <cell r="AE730"/>
          <cell r="AF730">
            <v>8.2377700000000011</v>
          </cell>
          <cell r="AG730"/>
          <cell r="AH730"/>
          <cell r="AI730" t="str">
            <v>Co</v>
          </cell>
          <cell r="AJ730" t="str">
            <v/>
          </cell>
          <cell r="AK730" t="str">
            <v/>
          </cell>
          <cell r="AL730" t="str">
            <v/>
          </cell>
          <cell r="AM730" t="str">
            <v>-15.Cr</v>
          </cell>
          <cell r="AN730" t="str">
            <v>-1.Ta</v>
          </cell>
          <cell r="AO730" t="str">
            <v/>
          </cell>
          <cell r="AP730" t="str">
            <v/>
          </cell>
          <cell r="AQ730" t="str">
            <v>-11.Ti</v>
          </cell>
          <cell r="AR730" t="str">
            <v/>
          </cell>
          <cell r="AS730" t="str">
            <v/>
          </cell>
          <cell r="AT730" t="str">
            <v/>
          </cell>
          <cell r="AU730" t="str">
            <v/>
          </cell>
          <cell r="AV730" t="str">
            <v/>
          </cell>
          <cell r="AW730" t="str">
            <v/>
          </cell>
          <cell r="AX730" t="str">
            <v/>
          </cell>
          <cell r="AY730" t="str">
            <v/>
          </cell>
          <cell r="AZ730" t="str">
            <v/>
          </cell>
          <cell r="BA730" t="str">
            <v/>
          </cell>
          <cell r="BB730" t="str">
            <v/>
          </cell>
          <cell r="BC730" t="str">
            <v/>
          </cell>
          <cell r="BD730" t="str">
            <v/>
          </cell>
          <cell r="BE730" t="str">
            <v/>
          </cell>
          <cell r="BF730" t="str">
            <v/>
          </cell>
          <cell r="BG730" t="str">
            <v/>
          </cell>
          <cell r="BH730" t="str">
            <v>CTC-TaZenk, C. H. et al. The Effect of Alloying on the Thermophysical and Mechanical Properties of Co–Ti–Cr-Based Superalloys. in 909–919 (2020). doi:10.1007/978-3-030-51834-9_89.</v>
          </cell>
          <cell r="BI730" t="str">
            <v>Co-15.Cr-11.Ti-1.Ta</v>
          </cell>
          <cell r="BJ730"/>
        </row>
        <row r="731">
          <cell r="A731" t="str">
            <v>Co-15.Cr-1.W-11.Ti</v>
          </cell>
          <cell r="B731" t="str">
            <v>Co3Ti</v>
          </cell>
          <cell r="C731" t="str">
            <v>-15Cr-1W-11Ti</v>
          </cell>
          <cell r="D731" t="str">
            <v>CTC-W</v>
          </cell>
          <cell r="E731" t="str">
            <v>Zenk, C. H. et al. The Effect of Alloying on the Thermophysical and Mechanical Properties of Co–Ti–Cr-Based Superalloys. in 909–919 (2020). doi:10.1007/978-3-030-51834-9_89.</v>
          </cell>
          <cell r="F731">
            <v>776</v>
          </cell>
          <cell r="G731">
            <v>73</v>
          </cell>
          <cell r="H731"/>
          <cell r="I731"/>
          <cell r="J731">
            <v>15</v>
          </cell>
          <cell r="K731">
            <v>1</v>
          </cell>
          <cell r="L731">
            <v>11</v>
          </cell>
          <cell r="M731"/>
          <cell r="N731"/>
          <cell r="O731"/>
          <cell r="P731"/>
          <cell r="Q731"/>
          <cell r="R731"/>
          <cell r="S731"/>
          <cell r="T731"/>
          <cell r="U731"/>
          <cell r="V731"/>
          <cell r="W731"/>
          <cell r="X731"/>
          <cell r="Y731"/>
          <cell r="Z731"/>
          <cell r="AA731"/>
          <cell r="AB731"/>
          <cell r="AC731"/>
          <cell r="AD731"/>
          <cell r="AE731"/>
          <cell r="AF731">
            <v>8.2637700000000009</v>
          </cell>
          <cell r="AG731"/>
          <cell r="AH731"/>
          <cell r="AI731" t="str">
            <v>Co</v>
          </cell>
          <cell r="AJ731" t="str">
            <v/>
          </cell>
          <cell r="AK731" t="str">
            <v>-1.W</v>
          </cell>
          <cell r="AL731" t="str">
            <v/>
          </cell>
          <cell r="AM731" t="str">
            <v>-15.Cr</v>
          </cell>
          <cell r="AN731" t="str">
            <v/>
          </cell>
          <cell r="AO731" t="str">
            <v/>
          </cell>
          <cell r="AP731" t="str">
            <v/>
          </cell>
          <cell r="AQ731" t="str">
            <v>-11.Ti</v>
          </cell>
          <cell r="AR731" t="str">
            <v/>
          </cell>
          <cell r="AS731" t="str">
            <v/>
          </cell>
          <cell r="AT731" t="str">
            <v/>
          </cell>
          <cell r="AU731" t="str">
            <v/>
          </cell>
          <cell r="AV731" t="str">
            <v/>
          </cell>
          <cell r="AW731" t="str">
            <v/>
          </cell>
          <cell r="AX731" t="str">
            <v/>
          </cell>
          <cell r="AY731" t="str">
            <v/>
          </cell>
          <cell r="AZ731" t="str">
            <v/>
          </cell>
          <cell r="BA731" t="str">
            <v/>
          </cell>
          <cell r="BB731" t="str">
            <v/>
          </cell>
          <cell r="BC731" t="str">
            <v/>
          </cell>
          <cell r="BD731" t="str">
            <v/>
          </cell>
          <cell r="BE731" t="str">
            <v/>
          </cell>
          <cell r="BF731" t="str">
            <v/>
          </cell>
          <cell r="BG731" t="str">
            <v/>
          </cell>
          <cell r="BH731" t="str">
            <v>CTC-WZenk, C. H. et al. The Effect of Alloying on the Thermophysical and Mechanical Properties of Co–Ti–Cr-Based Superalloys. in 909–919 (2020). doi:10.1007/978-3-030-51834-9_89.</v>
          </cell>
          <cell r="BI731" t="str">
            <v>Co-15.Cr-1.W-11.Ti</v>
          </cell>
          <cell r="BJ731"/>
        </row>
        <row r="732">
          <cell r="A732" t="str">
            <v>Co-15.Cr-11.Ti-1.Re</v>
          </cell>
          <cell r="B732" t="str">
            <v>Co3Ti</v>
          </cell>
          <cell r="C732" t="str">
            <v>-15Cr-11Ti-1Re</v>
          </cell>
          <cell r="D732" t="str">
            <v>CTC-Re</v>
          </cell>
          <cell r="E732" t="str">
            <v>Zenk, C. H. et al. The Effect of Alloying on the Thermophysical and Mechanical Properties of Co–Ti–Cr-Based Superalloys. in 909–919 (2020). doi:10.1007/978-3-030-51834-9_89.</v>
          </cell>
          <cell r="F732">
            <v>777</v>
          </cell>
          <cell r="G732">
            <v>73</v>
          </cell>
          <cell r="H732"/>
          <cell r="I732"/>
          <cell r="J732">
            <v>15</v>
          </cell>
          <cell r="K732"/>
          <cell r="L732">
            <v>11</v>
          </cell>
          <cell r="M732"/>
          <cell r="N732"/>
          <cell r="O732"/>
          <cell r="P732"/>
          <cell r="Q732"/>
          <cell r="R732"/>
          <cell r="S732"/>
          <cell r="T732"/>
          <cell r="U732">
            <v>1</v>
          </cell>
          <cell r="V732"/>
          <cell r="W732"/>
          <cell r="X732"/>
          <cell r="Y732"/>
          <cell r="Z732"/>
          <cell r="AA732"/>
          <cell r="AB732"/>
          <cell r="AC732"/>
          <cell r="AD732"/>
          <cell r="AE732"/>
          <cell r="AF732">
            <v>8.2814700000000006</v>
          </cell>
          <cell r="AG732"/>
          <cell r="AH732"/>
          <cell r="AI732" t="str">
            <v>Co</v>
          </cell>
          <cell r="AJ732" t="str">
            <v/>
          </cell>
          <cell r="AK732" t="str">
            <v/>
          </cell>
          <cell r="AL732" t="str">
            <v/>
          </cell>
          <cell r="AM732" t="str">
            <v>-15.Cr</v>
          </cell>
          <cell r="AN732" t="str">
            <v/>
          </cell>
          <cell r="AO732" t="str">
            <v/>
          </cell>
          <cell r="AP732" t="str">
            <v/>
          </cell>
          <cell r="AQ732" t="str">
            <v>-11.Ti</v>
          </cell>
          <cell r="AR732" t="str">
            <v/>
          </cell>
          <cell r="AS732" t="str">
            <v/>
          </cell>
          <cell r="AT732" t="str">
            <v/>
          </cell>
          <cell r="AU732" t="str">
            <v/>
          </cell>
          <cell r="AV732" t="str">
            <v/>
          </cell>
          <cell r="AW732" t="str">
            <v>-1.Re</v>
          </cell>
          <cell r="AX732" t="str">
            <v/>
          </cell>
          <cell r="AY732" t="str">
            <v/>
          </cell>
          <cell r="AZ732" t="str">
            <v/>
          </cell>
          <cell r="BA732" t="str">
            <v/>
          </cell>
          <cell r="BB732" t="str">
            <v/>
          </cell>
          <cell r="BC732" t="str">
            <v/>
          </cell>
          <cell r="BD732" t="str">
            <v/>
          </cell>
          <cell r="BE732" t="str">
            <v/>
          </cell>
          <cell r="BF732" t="str">
            <v/>
          </cell>
          <cell r="BG732" t="str">
            <v/>
          </cell>
          <cell r="BH732" t="str">
            <v>CTC-ReZenk, C. H. et al. The Effect of Alloying on the Thermophysical and Mechanical Properties of Co–Ti–Cr-Based Superalloys. in 909–919 (2020). doi:10.1007/978-3-030-51834-9_89.</v>
          </cell>
          <cell r="BI732" t="str">
            <v>Co-15.Cr-11.Ti-1.Re</v>
          </cell>
          <cell r="BJ732"/>
        </row>
        <row r="733">
          <cell r="A733" t="str">
            <v>Co-8.9Al-9.W-2.3Ta</v>
          </cell>
          <cell r="B733" t="str">
            <v>W-free</v>
          </cell>
          <cell r="C733" t="str">
            <v>-9Al-9W-2Ta</v>
          </cell>
          <cell r="D733" t="str">
            <v>VF60</v>
          </cell>
          <cell r="E733" t="str">
            <v>Zenk, C. H. et al. The Effect of Alloying on the Thermophysical and Mechanical Properties of Co–Ti–Cr-Based Superalloys. in 909–919 (2020). doi:10.1007/978-3-030-51834-9_89.</v>
          </cell>
          <cell r="F733">
            <v>778</v>
          </cell>
          <cell r="G733">
            <v>79.8</v>
          </cell>
          <cell r="H733"/>
          <cell r="I733">
            <v>8.9</v>
          </cell>
          <cell r="J733"/>
          <cell r="K733">
            <v>9</v>
          </cell>
          <cell r="L733"/>
          <cell r="M733">
            <v>2.2999999999999998</v>
          </cell>
          <cell r="N733"/>
          <cell r="O733"/>
          <cell r="P733"/>
          <cell r="Q733"/>
          <cell r="R733"/>
          <cell r="S733"/>
          <cell r="T733"/>
          <cell r="U733"/>
          <cell r="V733"/>
          <cell r="W733"/>
          <cell r="X733"/>
          <cell r="Y733"/>
          <cell r="Z733"/>
          <cell r="AA733"/>
          <cell r="AB733"/>
          <cell r="AC733"/>
          <cell r="AD733"/>
          <cell r="AE733"/>
          <cell r="AF733">
            <v>9.4579500000000003</v>
          </cell>
          <cell r="AG733"/>
          <cell r="AH733"/>
          <cell r="AI733" t="str">
            <v>Co</v>
          </cell>
          <cell r="AJ733" t="str">
            <v>-8.9Al</v>
          </cell>
          <cell r="AK733" t="str">
            <v>-9.W</v>
          </cell>
          <cell r="AL733" t="str">
            <v/>
          </cell>
          <cell r="AM733" t="str">
            <v/>
          </cell>
          <cell r="AN733" t="str">
            <v>-2.3Ta</v>
          </cell>
          <cell r="AO733" t="str">
            <v/>
          </cell>
          <cell r="AP733" t="str">
            <v/>
          </cell>
          <cell r="AQ733" t="str">
            <v/>
          </cell>
          <cell r="AR733" t="str">
            <v/>
          </cell>
          <cell r="AS733" t="str">
            <v/>
          </cell>
          <cell r="AT733" t="str">
            <v/>
          </cell>
          <cell r="AU733" t="str">
            <v/>
          </cell>
          <cell r="AV733" t="str">
            <v/>
          </cell>
          <cell r="AW733" t="str">
            <v/>
          </cell>
          <cell r="AX733" t="str">
            <v/>
          </cell>
          <cell r="AY733" t="str">
            <v/>
          </cell>
          <cell r="AZ733" t="str">
            <v/>
          </cell>
          <cell r="BA733" t="str">
            <v/>
          </cell>
          <cell r="BB733" t="str">
            <v/>
          </cell>
          <cell r="BC733" t="str">
            <v/>
          </cell>
          <cell r="BD733" t="str">
            <v/>
          </cell>
          <cell r="BE733" t="str">
            <v/>
          </cell>
          <cell r="BF733" t="str">
            <v/>
          </cell>
          <cell r="BG733" t="str">
            <v/>
          </cell>
          <cell r="BH733" t="str">
            <v>VF60Zenk, C. H. et al. The Effect of Alloying on the Thermophysical and Mechanical Properties of Co–Ti–Cr-Based Superalloys. in 909–919 (2020). doi:10.1007/978-3-030-51834-9_89.</v>
          </cell>
          <cell r="BI733" t="str">
            <v>Co-8.9Al-9.W-2.3Ta</v>
          </cell>
          <cell r="BJ733" t="str">
            <v>100.0Co0000000000000000000000</v>
          </cell>
        </row>
        <row r="734">
          <cell r="A734" t="str">
            <v>Co-30.Ni-10.Al-2.Nb-5.Mo</v>
          </cell>
          <cell r="B734" t="str">
            <v>W-free</v>
          </cell>
          <cell r="C734" t="str">
            <v>-30Ni-10Al-2Nb-5Mo</v>
          </cell>
          <cell r="D734" t="str">
            <v>2Nb</v>
          </cell>
          <cell r="E734" t="str">
            <v>Baler, N., Pandey, P., Singh, M. P., Makineni, S. K. &amp; Chattopadhyay, K. Effects of Ti and Cr Additions in a Co–Ni–Al–Mo–Nb-Based Superalloy. in 929–936 (2020). doi:10.1007/978-3-030-51834-9_91.</v>
          </cell>
          <cell r="F734">
            <v>779</v>
          </cell>
          <cell r="G734">
            <v>53</v>
          </cell>
          <cell r="H734">
            <v>30</v>
          </cell>
          <cell r="I734">
            <v>10</v>
          </cell>
          <cell r="J734"/>
          <cell r="K734"/>
          <cell r="L734"/>
          <cell r="M734"/>
          <cell r="N734">
            <v>2</v>
          </cell>
          <cell r="O734"/>
          <cell r="P734">
            <v>5</v>
          </cell>
          <cell r="Q734"/>
          <cell r="R734"/>
          <cell r="S734"/>
          <cell r="T734"/>
          <cell r="U734"/>
          <cell r="V734"/>
          <cell r="W734"/>
          <cell r="X734"/>
          <cell r="Y734"/>
          <cell r="Z734"/>
          <cell r="AA734"/>
          <cell r="AB734"/>
          <cell r="AC734"/>
          <cell r="AD734"/>
          <cell r="AE734"/>
          <cell r="AF734">
            <v>8.3447999999999993</v>
          </cell>
          <cell r="AG734"/>
          <cell r="AH734"/>
          <cell r="AI734" t="str">
            <v>Co</v>
          </cell>
          <cell r="AJ734" t="str">
            <v>-10.Al</v>
          </cell>
          <cell r="AK734" t="str">
            <v/>
          </cell>
          <cell r="AL734" t="str">
            <v>-30.Ni</v>
          </cell>
          <cell r="AM734" t="str">
            <v/>
          </cell>
          <cell r="AN734" t="str">
            <v/>
          </cell>
          <cell r="AO734" t="str">
            <v>-2.Nb</v>
          </cell>
          <cell r="AP734" t="str">
            <v/>
          </cell>
          <cell r="AQ734" t="str">
            <v/>
          </cell>
          <cell r="AR734" t="str">
            <v>-5.Mo</v>
          </cell>
          <cell r="AS734" t="str">
            <v/>
          </cell>
          <cell r="AT734" t="str">
            <v/>
          </cell>
          <cell r="AU734" t="str">
            <v/>
          </cell>
          <cell r="AV734" t="str">
            <v/>
          </cell>
          <cell r="AW734" t="str">
            <v/>
          </cell>
          <cell r="AX734" t="str">
            <v/>
          </cell>
          <cell r="AY734" t="str">
            <v/>
          </cell>
          <cell r="AZ734" t="str">
            <v/>
          </cell>
          <cell r="BA734" t="str">
            <v/>
          </cell>
          <cell r="BB734" t="str">
            <v/>
          </cell>
          <cell r="BC734" t="str">
            <v/>
          </cell>
          <cell r="BD734" t="str">
            <v/>
          </cell>
          <cell r="BE734" t="str">
            <v/>
          </cell>
          <cell r="BF734" t="str">
            <v/>
          </cell>
          <cell r="BG734" t="str">
            <v/>
          </cell>
          <cell r="BH734" t="str">
            <v>2NbBaler, N., Pandey, P., Singh, M. P., Makineni, S. K. &amp; Chattopadhyay, K. Effects of Ti and Cr Additions in a Co–Ni–Al–Mo–Nb-Based Superalloy. in 929–936 (2020). doi:10.1007/978-3-030-51834-9_91.</v>
          </cell>
          <cell r="BI734" t="str">
            <v>Co-30.Ni-10.Al-2.Nb-5.Mo</v>
          </cell>
          <cell r="BJ734" t="str">
            <v>100.0Co0000000000000000000000</v>
          </cell>
        </row>
        <row r="735">
          <cell r="A735" t="str">
            <v>Co-30.Ni-10.Al-10.Cr-2.Nb-5.Mo</v>
          </cell>
          <cell r="B735" t="str">
            <v>W-free</v>
          </cell>
          <cell r="C735" t="str">
            <v>-30Ni-10Al-10Cr-2Nb-5Mo</v>
          </cell>
          <cell r="D735" t="str">
            <v>2Nb10Cr</v>
          </cell>
          <cell r="E735" t="str">
            <v>Baler, N., Pandey, P., Singh, M. P., Makineni, S. K. &amp; Chattopadhyay, K. Effects of Ti and Cr Additions in a Co–Ni–Al–Mo–Nb-Based Superalloy. in 929–936 (2020). doi:10.1007/978-3-030-51834-9_91.</v>
          </cell>
          <cell r="F735">
            <v>780</v>
          </cell>
          <cell r="G735">
            <v>43</v>
          </cell>
          <cell r="H735">
            <v>30</v>
          </cell>
          <cell r="I735">
            <v>10</v>
          </cell>
          <cell r="J735">
            <v>10</v>
          </cell>
          <cell r="K735"/>
          <cell r="L735"/>
          <cell r="M735"/>
          <cell r="N735">
            <v>2</v>
          </cell>
          <cell r="O735"/>
          <cell r="P735">
            <v>5</v>
          </cell>
          <cell r="Q735"/>
          <cell r="R735"/>
          <cell r="S735"/>
          <cell r="T735"/>
          <cell r="U735"/>
          <cell r="V735"/>
          <cell r="W735"/>
          <cell r="X735"/>
          <cell r="Y735"/>
          <cell r="Z735"/>
          <cell r="AA735"/>
          <cell r="AB735"/>
          <cell r="AC735"/>
          <cell r="AD735"/>
          <cell r="AE735"/>
          <cell r="AF735">
            <v>8.1738</v>
          </cell>
          <cell r="AG735"/>
          <cell r="AH735"/>
          <cell r="AI735" t="str">
            <v>Co</v>
          </cell>
          <cell r="AJ735" t="str">
            <v>-10.Al</v>
          </cell>
          <cell r="AK735" t="str">
            <v/>
          </cell>
          <cell r="AL735" t="str">
            <v>-30.Ni</v>
          </cell>
          <cell r="AM735" t="str">
            <v>-10.Cr</v>
          </cell>
          <cell r="AN735" t="str">
            <v/>
          </cell>
          <cell r="AO735" t="str">
            <v>-2.Nb</v>
          </cell>
          <cell r="AP735" t="str">
            <v/>
          </cell>
          <cell r="AQ735" t="str">
            <v/>
          </cell>
          <cell r="AR735" t="str">
            <v>-5.Mo</v>
          </cell>
          <cell r="AS735" t="str">
            <v/>
          </cell>
          <cell r="AT735" t="str">
            <v/>
          </cell>
          <cell r="AU735" t="str">
            <v/>
          </cell>
          <cell r="AV735" t="str">
            <v/>
          </cell>
          <cell r="AW735" t="str">
            <v/>
          </cell>
          <cell r="AX735" t="str">
            <v/>
          </cell>
          <cell r="AY735" t="str">
            <v/>
          </cell>
          <cell r="AZ735" t="str">
            <v/>
          </cell>
          <cell r="BA735" t="str">
            <v/>
          </cell>
          <cell r="BB735" t="str">
            <v/>
          </cell>
          <cell r="BC735" t="str">
            <v/>
          </cell>
          <cell r="BD735" t="str">
            <v/>
          </cell>
          <cell r="BE735" t="str">
            <v/>
          </cell>
          <cell r="BF735" t="str">
            <v/>
          </cell>
          <cell r="BG735" t="str">
            <v/>
          </cell>
          <cell r="BH735" t="str">
            <v>2Nb10CrBaler, N., Pandey, P., Singh, M. P., Makineni, S. K. &amp; Chattopadhyay, K. Effects of Ti and Cr Additions in a Co–Ni–Al–Mo–Nb-Based Superalloy. in 929–936 (2020). doi:10.1007/978-3-030-51834-9_91.</v>
          </cell>
          <cell r="BI735" t="str">
            <v>Co-30.Ni-10.Al-10.Cr-2.Nb-5.Mo</v>
          </cell>
          <cell r="BJ735"/>
        </row>
        <row r="736">
          <cell r="A736" t="str">
            <v>Co-30.Ni-10.Al-2.Ti-5.Mo</v>
          </cell>
          <cell r="B736" t="str">
            <v>W-free</v>
          </cell>
          <cell r="C736" t="str">
            <v>-30Ni-10Al-2Ti-5Mo</v>
          </cell>
          <cell r="D736" t="str">
            <v>20Nb2Ti</v>
          </cell>
          <cell r="E736" t="str">
            <v>Baler, N., Pandey, P., Singh, M. P., Makineni, S. K. &amp; Chattopadhyay, K. Effects of Ti and Cr Additions in a Co–Ni–Al–Mo–Nb-Based Superalloy. in 929–936 (2020). doi:10.1007/978-3-030-51834-9_91.</v>
          </cell>
          <cell r="F736">
            <v>781</v>
          </cell>
          <cell r="G736">
            <v>53</v>
          </cell>
          <cell r="H736">
            <v>30</v>
          </cell>
          <cell r="I736">
            <v>10</v>
          </cell>
          <cell r="J736"/>
          <cell r="K736"/>
          <cell r="L736">
            <v>2</v>
          </cell>
          <cell r="M736"/>
          <cell r="N736"/>
          <cell r="O736"/>
          <cell r="P736">
            <v>5</v>
          </cell>
          <cell r="Q736"/>
          <cell r="R736"/>
          <cell r="S736"/>
          <cell r="T736"/>
          <cell r="U736"/>
          <cell r="V736"/>
          <cell r="W736"/>
          <cell r="X736"/>
          <cell r="Y736"/>
          <cell r="Z736"/>
          <cell r="AA736"/>
          <cell r="AB736"/>
          <cell r="AC736"/>
          <cell r="AD736"/>
          <cell r="AE736"/>
          <cell r="AF736">
            <v>8.2635400000000008</v>
          </cell>
          <cell r="AG736"/>
          <cell r="AH736"/>
          <cell r="AI736" t="str">
            <v>Co</v>
          </cell>
          <cell r="AJ736" t="str">
            <v>-10.Al</v>
          </cell>
          <cell r="AK736" t="str">
            <v/>
          </cell>
          <cell r="AL736" t="str">
            <v>-30.Ni</v>
          </cell>
          <cell r="AM736" t="str">
            <v/>
          </cell>
          <cell r="AN736" t="str">
            <v/>
          </cell>
          <cell r="AO736" t="str">
            <v/>
          </cell>
          <cell r="AP736" t="str">
            <v/>
          </cell>
          <cell r="AQ736" t="str">
            <v>-2.Ti</v>
          </cell>
          <cell r="AR736" t="str">
            <v>-5.Mo</v>
          </cell>
          <cell r="AS736" t="str">
            <v/>
          </cell>
          <cell r="AT736" t="str">
            <v/>
          </cell>
          <cell r="AU736" t="str">
            <v/>
          </cell>
          <cell r="AV736" t="str">
            <v/>
          </cell>
          <cell r="AW736" t="str">
            <v/>
          </cell>
          <cell r="AX736" t="str">
            <v/>
          </cell>
          <cell r="AY736" t="str">
            <v/>
          </cell>
          <cell r="AZ736" t="str">
            <v/>
          </cell>
          <cell r="BA736" t="str">
            <v/>
          </cell>
          <cell r="BB736" t="str">
            <v/>
          </cell>
          <cell r="BC736" t="str">
            <v/>
          </cell>
          <cell r="BD736" t="str">
            <v/>
          </cell>
          <cell r="BE736" t="str">
            <v/>
          </cell>
          <cell r="BF736" t="str">
            <v/>
          </cell>
          <cell r="BG736" t="str">
            <v/>
          </cell>
          <cell r="BH736" t="str">
            <v>20Nb2TiBaler, N., Pandey, P., Singh, M. P., Makineni, S. K. &amp; Chattopadhyay, K. Effects of Ti and Cr Additions in a Co–Ni–Al–Mo–Nb-Based Superalloy. in 929–936 (2020). doi:10.1007/978-3-030-51834-9_91.</v>
          </cell>
          <cell r="BI736" t="str">
            <v>Co-30.Ni-10.Al-2.Ti-5.Mo</v>
          </cell>
          <cell r="BJ736"/>
        </row>
        <row r="737">
          <cell r="A737" t="str">
            <v>Co-30.Ni-10.Al-10.Cr-2.Ta-2.Nb-5.Mo</v>
          </cell>
          <cell r="B737" t="str">
            <v>W-free</v>
          </cell>
          <cell r="C737" t="str">
            <v>-30Ni-10Al-10Cr-2Ta-2Nb-5Mo</v>
          </cell>
          <cell r="D737" t="str">
            <v>2Nb10Cr2Ti</v>
          </cell>
          <cell r="E737" t="str">
            <v>Baler, N., Pandey, P., Singh, M. P., Makineni, S. K. &amp; Chattopadhyay, K. Effects of Ti and Cr Additions in a Co–Ni–Al–Mo–Nb-Based Superalloy. in 929–936 (2020). doi:10.1007/978-3-030-51834-9_91.</v>
          </cell>
          <cell r="F737">
            <v>782</v>
          </cell>
          <cell r="G737">
            <v>41</v>
          </cell>
          <cell r="H737">
            <v>30</v>
          </cell>
          <cell r="I737">
            <v>10</v>
          </cell>
          <cell r="J737">
            <v>10</v>
          </cell>
          <cell r="K737"/>
          <cell r="L737"/>
          <cell r="M737">
            <v>2</v>
          </cell>
          <cell r="N737">
            <v>2</v>
          </cell>
          <cell r="O737"/>
          <cell r="P737">
            <v>5</v>
          </cell>
          <cell r="Q737"/>
          <cell r="R737"/>
          <cell r="S737"/>
          <cell r="T737"/>
          <cell r="U737"/>
          <cell r="V737"/>
          <cell r="W737"/>
          <cell r="X737"/>
          <cell r="Y737"/>
          <cell r="Z737"/>
          <cell r="AA737"/>
          <cell r="AB737"/>
          <cell r="AC737"/>
          <cell r="AD737"/>
          <cell r="AE737"/>
          <cell r="AF737">
            <v>8.3287999999999993</v>
          </cell>
          <cell r="AG737"/>
          <cell r="AH737"/>
          <cell r="AI737" t="str">
            <v>Co</v>
          </cell>
          <cell r="AJ737" t="str">
            <v>-10.Al</v>
          </cell>
          <cell r="AK737" t="str">
            <v/>
          </cell>
          <cell r="AL737" t="str">
            <v>-30.Ni</v>
          </cell>
          <cell r="AM737" t="str">
            <v>-10.Cr</v>
          </cell>
          <cell r="AN737" t="str">
            <v>-2.Ta</v>
          </cell>
          <cell r="AO737" t="str">
            <v>-2.Nb</v>
          </cell>
          <cell r="AP737" t="str">
            <v/>
          </cell>
          <cell r="AQ737" t="str">
            <v/>
          </cell>
          <cell r="AR737" t="str">
            <v>-5.Mo</v>
          </cell>
          <cell r="AS737" t="str">
            <v/>
          </cell>
          <cell r="AT737" t="str">
            <v/>
          </cell>
          <cell r="AU737" t="str">
            <v/>
          </cell>
          <cell r="AV737" t="str">
            <v/>
          </cell>
          <cell r="AW737" t="str">
            <v/>
          </cell>
          <cell r="AX737" t="str">
            <v/>
          </cell>
          <cell r="AY737" t="str">
            <v/>
          </cell>
          <cell r="AZ737" t="str">
            <v/>
          </cell>
          <cell r="BA737" t="str">
            <v/>
          </cell>
          <cell r="BB737" t="str">
            <v/>
          </cell>
          <cell r="BC737" t="str">
            <v/>
          </cell>
          <cell r="BD737" t="str">
            <v/>
          </cell>
          <cell r="BE737" t="str">
            <v/>
          </cell>
          <cell r="BF737" t="str">
            <v/>
          </cell>
          <cell r="BG737" t="str">
            <v/>
          </cell>
          <cell r="BH737" t="str">
            <v>2Nb10Cr2TiBaler, N., Pandey, P., Singh, M. P., Makineni, S. K. &amp; Chattopadhyay, K. Effects of Ti and Cr Additions in a Co–Ni–Al–Mo–Nb-Based Superalloy. in 929–936 (2020). doi:10.1007/978-3-030-51834-9_91.</v>
          </cell>
          <cell r="BI737" t="str">
            <v>Co-30.Ni-10.Al-10.Cr-2.Ta-2.Nb-5.Mo</v>
          </cell>
          <cell r="BJ737"/>
        </row>
        <row r="738">
          <cell r="A738" t="str">
            <v>Co-32.Ni-11.Al-5.Cr-2.W-2.Ti-3.Ta-0.5Nb-0.5Mo</v>
          </cell>
          <cell r="B738" t="str">
            <v>Low-W</v>
          </cell>
          <cell r="C738" t="str">
            <v>-32Ni-11Al-5Cr-2W-2Ti-3Ta-1Nb-1Mo</v>
          </cell>
          <cell r="D738" t="str">
            <v>9CoNi-1</v>
          </cell>
          <cell r="E738" t="str">
            <v>Zou, M., Li, W., Li, L., Zhao, J.-C. &amp; Feng, Q. Machine Learning Assisted Design Approach for Developing γ′-Strengthened Co-Ni-Base Superalloys. in 937–947 (2020). doi:10.1007/978-3-030-51834-9_92.</v>
          </cell>
          <cell r="F738">
            <v>783</v>
          </cell>
          <cell r="G738">
            <v>44</v>
          </cell>
          <cell r="H738">
            <v>32</v>
          </cell>
          <cell r="I738">
            <v>11</v>
          </cell>
          <cell r="J738">
            <v>5</v>
          </cell>
          <cell r="K738">
            <v>2</v>
          </cell>
          <cell r="L738">
            <v>2</v>
          </cell>
          <cell r="M738">
            <v>3</v>
          </cell>
          <cell r="N738">
            <v>0.5</v>
          </cell>
          <cell r="O738"/>
          <cell r="P738">
            <v>0.5</v>
          </cell>
          <cell r="Q738"/>
          <cell r="R738"/>
          <cell r="S738"/>
          <cell r="T738"/>
          <cell r="U738"/>
          <cell r="V738"/>
          <cell r="W738"/>
          <cell r="X738"/>
          <cell r="Y738"/>
          <cell r="Z738"/>
          <cell r="AA738"/>
          <cell r="AB738"/>
          <cell r="AC738"/>
          <cell r="AD738"/>
          <cell r="AE738"/>
          <cell r="AF738">
            <v>8.491950000000001</v>
          </cell>
          <cell r="AG738">
            <v>8.83</v>
          </cell>
          <cell r="AH738"/>
          <cell r="AI738" t="str">
            <v>Co</v>
          </cell>
          <cell r="AJ738" t="str">
            <v>-11.Al</v>
          </cell>
          <cell r="AK738" t="str">
            <v>-2.W</v>
          </cell>
          <cell r="AL738" t="str">
            <v>-32.Ni</v>
          </cell>
          <cell r="AM738" t="str">
            <v>-5.Cr</v>
          </cell>
          <cell r="AN738" t="str">
            <v>-3.Ta</v>
          </cell>
          <cell r="AO738" t="str">
            <v>-0.5Nb</v>
          </cell>
          <cell r="AP738" t="str">
            <v/>
          </cell>
          <cell r="AQ738" t="str">
            <v>-2.Ti</v>
          </cell>
          <cell r="AR738" t="str">
            <v>-0.5Mo</v>
          </cell>
          <cell r="AS738" t="str">
            <v/>
          </cell>
          <cell r="AT738" t="str">
            <v/>
          </cell>
          <cell r="AU738" t="str">
            <v/>
          </cell>
          <cell r="AV738" t="str">
            <v/>
          </cell>
          <cell r="AW738" t="str">
            <v/>
          </cell>
          <cell r="AX738" t="str">
            <v/>
          </cell>
          <cell r="AY738" t="str">
            <v/>
          </cell>
          <cell r="AZ738" t="str">
            <v/>
          </cell>
          <cell r="BA738" t="str">
            <v/>
          </cell>
          <cell r="BB738" t="str">
            <v/>
          </cell>
          <cell r="BC738" t="str">
            <v/>
          </cell>
          <cell r="BD738" t="str">
            <v/>
          </cell>
          <cell r="BE738" t="str">
            <v/>
          </cell>
          <cell r="BF738" t="str">
            <v/>
          </cell>
          <cell r="BG738" t="str">
            <v/>
          </cell>
          <cell r="BH738" t="str">
            <v>9CoNi-1Zou, M., Li, W., Li, L., Zhao, J.-C. &amp; Feng, Q. Machine Learning Assisted Design Approach for Developing γ′-Strengthened Co-Ni-Base Superalloys. in 937–947 (2020). doi:10.1007/978-3-030-51834-9_92.</v>
          </cell>
          <cell r="BI738" t="str">
            <v>Co-32.Ni-11.Al-5.Cr-2.W-2.Ti-3.Ta-0.5Nb-0.5Mo</v>
          </cell>
          <cell r="BJ738"/>
        </row>
        <row r="739">
          <cell r="A739" t="str">
            <v>Co-30.Ni-11.Al-5.Cr-4.W-4.Ti-1.Ta</v>
          </cell>
          <cell r="B739" t="str">
            <v>Low-W</v>
          </cell>
          <cell r="C739" t="str">
            <v>-30Ni-11Al-5Cr-4W-4Ti-1Ta</v>
          </cell>
          <cell r="D739" t="str">
            <v>7CoNi-1</v>
          </cell>
          <cell r="E739" t="str">
            <v>Zou, M., Li, W., Li, L., Zhao, J.-C. &amp; Feng, Q. Machine Learning Assisted Design Approach for Developing γ′-Strengthened Co-Ni-Base Superalloys. in 937–947 (2020). doi:10.1007/978-3-030-51834-9_92.</v>
          </cell>
          <cell r="F739">
            <v>784</v>
          </cell>
          <cell r="G739">
            <v>45</v>
          </cell>
          <cell r="H739">
            <v>30</v>
          </cell>
          <cell r="I739">
            <v>11</v>
          </cell>
          <cell r="J739">
            <v>5</v>
          </cell>
          <cell r="K739">
            <v>4</v>
          </cell>
          <cell r="L739">
            <v>4</v>
          </cell>
          <cell r="M739">
            <v>1</v>
          </cell>
          <cell r="N739"/>
          <cell r="O739"/>
          <cell r="P739"/>
          <cell r="Q739"/>
          <cell r="R739"/>
          <cell r="S739"/>
          <cell r="T739"/>
          <cell r="U739"/>
          <cell r="V739"/>
          <cell r="W739"/>
          <cell r="X739"/>
          <cell r="Y739"/>
          <cell r="Z739"/>
          <cell r="AA739"/>
          <cell r="AB739"/>
          <cell r="AC739"/>
          <cell r="AD739"/>
          <cell r="AE739"/>
          <cell r="AF739">
            <v>8.4506800000000002</v>
          </cell>
          <cell r="AG739">
            <v>8.77</v>
          </cell>
          <cell r="AH739"/>
          <cell r="AI739" t="str">
            <v>Co</v>
          </cell>
          <cell r="AJ739" t="str">
            <v>-11.Al</v>
          </cell>
          <cell r="AK739" t="str">
            <v>-4.W</v>
          </cell>
          <cell r="AL739" t="str">
            <v>-30.Ni</v>
          </cell>
          <cell r="AM739" t="str">
            <v>-5.Cr</v>
          </cell>
          <cell r="AN739" t="str">
            <v>-1.Ta</v>
          </cell>
          <cell r="AO739" t="str">
            <v/>
          </cell>
          <cell r="AP739" t="str">
            <v/>
          </cell>
          <cell r="AQ739" t="str">
            <v>-4.Ti</v>
          </cell>
          <cell r="AR739" t="str">
            <v/>
          </cell>
          <cell r="AS739" t="str">
            <v/>
          </cell>
          <cell r="AT739" t="str">
            <v/>
          </cell>
          <cell r="AU739" t="str">
            <v/>
          </cell>
          <cell r="AV739" t="str">
            <v/>
          </cell>
          <cell r="AW739" t="str">
            <v/>
          </cell>
          <cell r="AX739" t="str">
            <v/>
          </cell>
          <cell r="AY739" t="str">
            <v/>
          </cell>
          <cell r="AZ739" t="str">
            <v/>
          </cell>
          <cell r="BA739" t="str">
            <v/>
          </cell>
          <cell r="BB739" t="str">
            <v/>
          </cell>
          <cell r="BC739" t="str">
            <v/>
          </cell>
          <cell r="BD739" t="str">
            <v/>
          </cell>
          <cell r="BE739" t="str">
            <v/>
          </cell>
          <cell r="BF739" t="str">
            <v/>
          </cell>
          <cell r="BG739" t="str">
            <v/>
          </cell>
          <cell r="BH739" t="str">
            <v>7CoNi-1Zou, M., Li, W., Li, L., Zhao, J.-C. &amp; Feng, Q. Machine Learning Assisted Design Approach for Developing γ′-Strengthened Co-Ni-Base Superalloys. in 937–947 (2020). doi:10.1007/978-3-030-51834-9_92.</v>
          </cell>
          <cell r="BI739" t="str">
            <v>Co-30.Ni-11.Al-5.Cr-4.W-4.Ti-1.Ta</v>
          </cell>
          <cell r="BJ739"/>
        </row>
        <row r="740">
          <cell r="A740" t="str">
            <v>Co-0.Ni-10.Al-10.W</v>
          </cell>
          <cell r="B740" t="str">
            <v>CoAlW-X</v>
          </cell>
          <cell r="C740" t="str">
            <v>-0Ni-10Al-10W</v>
          </cell>
          <cell r="D740" t="str">
            <v>Co-0Ni-10Al-10W</v>
          </cell>
          <cell r="E740" t="str">
            <v>Shinagawa, K. et al. Phase equilibria and microstructure on γ′ phase in Co-Ni-Al-W system. Mater. Trans. 49, 1474–1479 (2008).</v>
          </cell>
          <cell r="F740">
            <v>785</v>
          </cell>
          <cell r="G740">
            <v>80</v>
          </cell>
          <cell r="H740">
            <v>0</v>
          </cell>
          <cell r="I740">
            <v>10</v>
          </cell>
          <cell r="J740"/>
          <cell r="K740">
            <v>10</v>
          </cell>
          <cell r="L740"/>
          <cell r="M740"/>
          <cell r="N740"/>
          <cell r="O740"/>
          <cell r="P740"/>
          <cell r="Q740"/>
          <cell r="R740"/>
          <cell r="S740"/>
          <cell r="T740"/>
          <cell r="U740"/>
          <cell r="V740"/>
          <cell r="W740"/>
          <cell r="X740"/>
          <cell r="Y740"/>
          <cell r="Z740"/>
          <cell r="AA740"/>
          <cell r="AB740"/>
          <cell r="AC740"/>
          <cell r="AD740"/>
          <cell r="AE740"/>
          <cell r="AF740">
            <v>9.3149999999999995</v>
          </cell>
          <cell r="AG740"/>
          <cell r="AH740"/>
          <cell r="AI740" t="str">
            <v>Co</v>
          </cell>
          <cell r="AJ740" t="str">
            <v>-10.Al</v>
          </cell>
          <cell r="AK740" t="str">
            <v>-10.W</v>
          </cell>
          <cell r="AL740" t="str">
            <v>-0.Ni</v>
          </cell>
          <cell r="AM740" t="str">
            <v/>
          </cell>
          <cell r="AN740" t="str">
            <v/>
          </cell>
          <cell r="AO740" t="str">
            <v/>
          </cell>
          <cell r="AP740" t="str">
            <v/>
          </cell>
          <cell r="AQ740" t="str">
            <v/>
          </cell>
          <cell r="AR740" t="str">
            <v/>
          </cell>
          <cell r="AS740" t="str">
            <v/>
          </cell>
          <cell r="AT740" t="str">
            <v/>
          </cell>
          <cell r="AU740" t="str">
            <v/>
          </cell>
          <cell r="AV740" t="str">
            <v/>
          </cell>
          <cell r="AW740" t="str">
            <v/>
          </cell>
          <cell r="AX740" t="str">
            <v/>
          </cell>
          <cell r="AY740" t="str">
            <v/>
          </cell>
          <cell r="AZ740" t="str">
            <v/>
          </cell>
          <cell r="BA740" t="str">
            <v/>
          </cell>
          <cell r="BB740" t="str">
            <v/>
          </cell>
          <cell r="BC740" t="str">
            <v/>
          </cell>
          <cell r="BD740" t="str">
            <v/>
          </cell>
          <cell r="BE740" t="str">
            <v/>
          </cell>
          <cell r="BF740" t="str">
            <v/>
          </cell>
          <cell r="BG740" t="str">
            <v/>
          </cell>
          <cell r="BH740" t="str">
            <v>Co-0Ni-10Al-10WShinagawa, K. et al. Phase equilibria and microstructure on γ′ phase in Co-Ni-Al-W system. Mater. Trans. 49, 1474–1479 (2008).</v>
          </cell>
          <cell r="BI740" t="str">
            <v>Co-0.Ni-10.Al-10.W</v>
          </cell>
          <cell r="BJ740"/>
        </row>
        <row r="741">
          <cell r="A741" t="str">
            <v>Co-5.Ni-10.Al-10.W</v>
          </cell>
          <cell r="B741" t="str">
            <v>CoAlW-X</v>
          </cell>
          <cell r="C741" t="str">
            <v>-5Ni-10Al-10W</v>
          </cell>
          <cell r="D741" t="str">
            <v>Co-5Ni-10Al-10W</v>
          </cell>
          <cell r="E741" t="str">
            <v>Shinagawa, K. et al. Phase equilibria and microstructure on γ′ phase in Co-Ni-Al-W system. Mater. Trans. 49, 1474–1479 (2008).</v>
          </cell>
          <cell r="F741">
            <v>786</v>
          </cell>
          <cell r="G741">
            <v>75</v>
          </cell>
          <cell r="H741">
            <v>5</v>
          </cell>
          <cell r="I741">
            <v>10</v>
          </cell>
          <cell r="J741"/>
          <cell r="K741">
            <v>10</v>
          </cell>
          <cell r="L741"/>
          <cell r="M741"/>
          <cell r="N741"/>
          <cell r="O741"/>
          <cell r="P741"/>
          <cell r="Q741"/>
          <cell r="R741"/>
          <cell r="S741"/>
          <cell r="T741"/>
          <cell r="U741"/>
          <cell r="V741"/>
          <cell r="W741"/>
          <cell r="X741"/>
          <cell r="Y741"/>
          <cell r="Z741"/>
          <cell r="AA741"/>
          <cell r="AB741"/>
          <cell r="AC741"/>
          <cell r="AD741"/>
          <cell r="AE741"/>
          <cell r="AF741">
            <v>9.3154000000000003</v>
          </cell>
          <cell r="AG741"/>
          <cell r="AH741"/>
          <cell r="AI741" t="str">
            <v>Co</v>
          </cell>
          <cell r="AJ741" t="str">
            <v>-10.Al</v>
          </cell>
          <cell r="AK741" t="str">
            <v>-10.W</v>
          </cell>
          <cell r="AL741" t="str">
            <v>-5.Ni</v>
          </cell>
          <cell r="AM741" t="str">
            <v/>
          </cell>
          <cell r="AN741" t="str">
            <v/>
          </cell>
          <cell r="AO741" t="str">
            <v/>
          </cell>
          <cell r="AP741" t="str">
            <v/>
          </cell>
          <cell r="AQ741" t="str">
            <v/>
          </cell>
          <cell r="AR741" t="str">
            <v/>
          </cell>
          <cell r="AS741" t="str">
            <v/>
          </cell>
          <cell r="AT741" t="str">
            <v/>
          </cell>
          <cell r="AU741" t="str">
            <v/>
          </cell>
          <cell r="AV741" t="str">
            <v/>
          </cell>
          <cell r="AW741" t="str">
            <v/>
          </cell>
          <cell r="AX741" t="str">
            <v/>
          </cell>
          <cell r="AY741" t="str">
            <v/>
          </cell>
          <cell r="AZ741" t="str">
            <v/>
          </cell>
          <cell r="BA741" t="str">
            <v/>
          </cell>
          <cell r="BB741" t="str">
            <v/>
          </cell>
          <cell r="BC741" t="str">
            <v/>
          </cell>
          <cell r="BD741" t="str">
            <v/>
          </cell>
          <cell r="BE741" t="str">
            <v/>
          </cell>
          <cell r="BF741" t="str">
            <v/>
          </cell>
          <cell r="BG741" t="str">
            <v/>
          </cell>
          <cell r="BH741" t="str">
            <v>Co-5Ni-10Al-10WShinagawa, K. et al. Phase equilibria and microstructure on γ′ phase in Co-Ni-Al-W system. Mater. Trans. 49, 1474–1479 (2008).</v>
          </cell>
          <cell r="BI741" t="str">
            <v>Co-5.Ni-10.Al-10.W</v>
          </cell>
          <cell r="BJ741"/>
        </row>
        <row r="742">
          <cell r="A742" t="str">
            <v>Co-10.Ni-10.Al-10.W</v>
          </cell>
          <cell r="B742" t="str">
            <v>CoAlW-X</v>
          </cell>
          <cell r="C742" t="str">
            <v>-10Ni-10Al-10W</v>
          </cell>
          <cell r="D742" t="str">
            <v>Co-10Ni-10Al-10W</v>
          </cell>
          <cell r="E742" t="str">
            <v>Shinagawa, K. et al. Phase equilibria and microstructure on γ′ phase in Co-Ni-Al-W system. Mater. Trans. 49, 1474–1479 (2008).</v>
          </cell>
          <cell r="F742">
            <v>787</v>
          </cell>
          <cell r="G742">
            <v>70</v>
          </cell>
          <cell r="H742">
            <v>10</v>
          </cell>
          <cell r="I742">
            <v>10</v>
          </cell>
          <cell r="J742"/>
          <cell r="K742">
            <v>10</v>
          </cell>
          <cell r="L742"/>
          <cell r="M742"/>
          <cell r="N742"/>
          <cell r="O742"/>
          <cell r="P742"/>
          <cell r="Q742"/>
          <cell r="R742"/>
          <cell r="S742"/>
          <cell r="T742"/>
          <cell r="U742"/>
          <cell r="V742"/>
          <cell r="W742"/>
          <cell r="X742"/>
          <cell r="Y742"/>
          <cell r="Z742"/>
          <cell r="AA742"/>
          <cell r="AB742"/>
          <cell r="AC742"/>
          <cell r="AD742"/>
          <cell r="AE742"/>
          <cell r="AF742">
            <v>9.3158000000000012</v>
          </cell>
          <cell r="AG742"/>
          <cell r="AH742"/>
          <cell r="AI742" t="str">
            <v>Co</v>
          </cell>
          <cell r="AJ742" t="str">
            <v>-10.Al</v>
          </cell>
          <cell r="AK742" t="str">
            <v>-10.W</v>
          </cell>
          <cell r="AL742" t="str">
            <v>-10.Ni</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
          </cell>
          <cell r="BB742" t="str">
            <v/>
          </cell>
          <cell r="BC742" t="str">
            <v/>
          </cell>
          <cell r="BD742" t="str">
            <v/>
          </cell>
          <cell r="BE742" t="str">
            <v/>
          </cell>
          <cell r="BF742" t="str">
            <v/>
          </cell>
          <cell r="BG742" t="str">
            <v/>
          </cell>
          <cell r="BH742" t="str">
            <v>Co-10Ni-10Al-10WShinagawa, K. et al. Phase equilibria and microstructure on γ′ phase in Co-Ni-Al-W system. Mater. Trans. 49, 1474–1479 (2008).</v>
          </cell>
          <cell r="BI742" t="str">
            <v>Co-10.Ni-10.Al-10.W</v>
          </cell>
          <cell r="BJ742"/>
        </row>
        <row r="743">
          <cell r="A743" t="str">
            <v>Co-15.Ni-10.Al-10.W</v>
          </cell>
          <cell r="B743" t="str">
            <v>CoAlW-X</v>
          </cell>
          <cell r="C743" t="str">
            <v>-15Ni-10Al-10W</v>
          </cell>
          <cell r="D743" t="str">
            <v>Co-15Ni-10Al-10W</v>
          </cell>
          <cell r="E743" t="str">
            <v>Shinagawa, K. et al. Phase equilibria and microstructure on γ′ phase in Co-Ni-Al-W system. Mater. Trans. 49, 1474–1479 (2008).</v>
          </cell>
          <cell r="F743">
            <v>788</v>
          </cell>
          <cell r="G743">
            <v>65</v>
          </cell>
          <cell r="H743">
            <v>15</v>
          </cell>
          <cell r="I743">
            <v>10</v>
          </cell>
          <cell r="J743"/>
          <cell r="K743">
            <v>10</v>
          </cell>
          <cell r="L743"/>
          <cell r="M743"/>
          <cell r="N743"/>
          <cell r="O743"/>
          <cell r="P743"/>
          <cell r="Q743"/>
          <cell r="R743"/>
          <cell r="S743"/>
          <cell r="T743"/>
          <cell r="U743"/>
          <cell r="V743"/>
          <cell r="W743"/>
          <cell r="X743"/>
          <cell r="Y743"/>
          <cell r="Z743"/>
          <cell r="AA743"/>
          <cell r="AB743"/>
          <cell r="AC743"/>
          <cell r="AD743"/>
          <cell r="AE743"/>
          <cell r="AF743">
            <v>9.3162000000000003</v>
          </cell>
          <cell r="AG743"/>
          <cell r="AH743"/>
          <cell r="AI743" t="str">
            <v>Co</v>
          </cell>
          <cell r="AJ743" t="str">
            <v>-10.Al</v>
          </cell>
          <cell r="AK743" t="str">
            <v>-10.W</v>
          </cell>
          <cell r="AL743" t="str">
            <v>-15.Ni</v>
          </cell>
          <cell r="AM743" t="str">
            <v/>
          </cell>
          <cell r="AN743" t="str">
            <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
          </cell>
          <cell r="BB743" t="str">
            <v/>
          </cell>
          <cell r="BC743" t="str">
            <v/>
          </cell>
          <cell r="BD743" t="str">
            <v/>
          </cell>
          <cell r="BE743" t="str">
            <v/>
          </cell>
          <cell r="BF743" t="str">
            <v/>
          </cell>
          <cell r="BG743" t="str">
            <v/>
          </cell>
          <cell r="BH743" t="str">
            <v>Co-15Ni-10Al-10WShinagawa, K. et al. Phase equilibria and microstructure on γ′ phase in Co-Ni-Al-W system. Mater. Trans. 49, 1474–1479 (2008).</v>
          </cell>
          <cell r="BI743" t="str">
            <v>Co-15.Ni-10.Al-10.W</v>
          </cell>
          <cell r="BJ743"/>
        </row>
        <row r="744">
          <cell r="A744" t="str">
            <v>Co-20.Ni-10.Al-10.W</v>
          </cell>
          <cell r="B744" t="str">
            <v>CoAlW-X</v>
          </cell>
          <cell r="C744" t="str">
            <v>-20Ni-10Al-10W</v>
          </cell>
          <cell r="D744" t="str">
            <v>Co-20Ni-10Al-10W</v>
          </cell>
          <cell r="E744" t="str">
            <v>Shinagawa, K. et al. Phase equilibria and microstructure on γ′ phase in Co-Ni-Al-W system. Mater. Trans. 49, 1474–1479 (2008).</v>
          </cell>
          <cell r="F744">
            <v>789</v>
          </cell>
          <cell r="G744">
            <v>60</v>
          </cell>
          <cell r="H744">
            <v>20</v>
          </cell>
          <cell r="I744">
            <v>10</v>
          </cell>
          <cell r="J744"/>
          <cell r="K744">
            <v>10</v>
          </cell>
          <cell r="L744"/>
          <cell r="M744"/>
          <cell r="N744"/>
          <cell r="O744"/>
          <cell r="P744"/>
          <cell r="Q744"/>
          <cell r="R744"/>
          <cell r="S744"/>
          <cell r="T744"/>
          <cell r="U744"/>
          <cell r="V744"/>
          <cell r="W744"/>
          <cell r="X744"/>
          <cell r="Y744"/>
          <cell r="Z744"/>
          <cell r="AA744"/>
          <cell r="AB744"/>
          <cell r="AC744"/>
          <cell r="AD744"/>
          <cell r="AE744"/>
          <cell r="AF744">
            <v>9.3165999999999993</v>
          </cell>
          <cell r="AG744"/>
          <cell r="AH744"/>
          <cell r="AI744" t="str">
            <v>Co</v>
          </cell>
          <cell r="AJ744" t="str">
            <v>-10.Al</v>
          </cell>
          <cell r="AK744" t="str">
            <v>-10.W</v>
          </cell>
          <cell r="AL744" t="str">
            <v>-20.Ni</v>
          </cell>
          <cell r="AM744" t="str">
            <v/>
          </cell>
          <cell r="AN744" t="str">
            <v/>
          </cell>
          <cell r="AO744" t="str">
            <v/>
          </cell>
          <cell r="AP744" t="str">
            <v/>
          </cell>
          <cell r="AQ744" t="str">
            <v/>
          </cell>
          <cell r="AR744" t="str">
            <v/>
          </cell>
          <cell r="AS744" t="str">
            <v/>
          </cell>
          <cell r="AT744" t="str">
            <v/>
          </cell>
          <cell r="AU744" t="str">
            <v/>
          </cell>
          <cell r="AV744" t="str">
            <v/>
          </cell>
          <cell r="AW744" t="str">
            <v/>
          </cell>
          <cell r="AX744" t="str">
            <v/>
          </cell>
          <cell r="AY744" t="str">
            <v/>
          </cell>
          <cell r="AZ744" t="str">
            <v/>
          </cell>
          <cell r="BA744" t="str">
            <v/>
          </cell>
          <cell r="BB744" t="str">
            <v/>
          </cell>
          <cell r="BC744" t="str">
            <v/>
          </cell>
          <cell r="BD744" t="str">
            <v/>
          </cell>
          <cell r="BE744" t="str">
            <v/>
          </cell>
          <cell r="BF744" t="str">
            <v/>
          </cell>
          <cell r="BG744" t="str">
            <v/>
          </cell>
          <cell r="BH744" t="str">
            <v>Co-20Ni-10Al-10WShinagawa, K. et al. Phase equilibria and microstructure on γ′ phase in Co-Ni-Al-W system. Mater. Trans. 49, 1474–1479 (2008).</v>
          </cell>
          <cell r="BI744" t="str">
            <v>Co-20.Ni-10.Al-10.W</v>
          </cell>
          <cell r="BJ744" t="str">
            <v>100.0Co0000000000000000000000</v>
          </cell>
        </row>
        <row r="745">
          <cell r="A745" t="str">
            <v>Co-30.Ni-10.Al-10.W</v>
          </cell>
          <cell r="B745" t="str">
            <v>CoAlW-X</v>
          </cell>
          <cell r="C745" t="str">
            <v>-30Ni-10Al-10W</v>
          </cell>
          <cell r="D745" t="str">
            <v>Co-30Ni-10Al-10W</v>
          </cell>
          <cell r="E745" t="str">
            <v>Shinagawa, K. et al. Phase equilibria and microstructure on γ′ phase in Co-Ni-Al-W system. Mater. Trans. 49, 1474–1479 (2008).</v>
          </cell>
          <cell r="F745">
            <v>790</v>
          </cell>
          <cell r="G745">
            <v>50</v>
          </cell>
          <cell r="H745">
            <v>30</v>
          </cell>
          <cell r="I745">
            <v>10</v>
          </cell>
          <cell r="J745"/>
          <cell r="K745">
            <v>10</v>
          </cell>
          <cell r="L745"/>
          <cell r="M745"/>
          <cell r="N745"/>
          <cell r="O745"/>
          <cell r="P745"/>
          <cell r="Q745"/>
          <cell r="R745"/>
          <cell r="S745"/>
          <cell r="T745"/>
          <cell r="U745"/>
          <cell r="V745"/>
          <cell r="W745"/>
          <cell r="X745"/>
          <cell r="Y745"/>
          <cell r="Z745"/>
          <cell r="AA745"/>
          <cell r="AB745"/>
          <cell r="AC745"/>
          <cell r="AD745"/>
          <cell r="AE745"/>
          <cell r="AF745">
            <v>9.3173999999999992</v>
          </cell>
          <cell r="AG745"/>
          <cell r="AH745"/>
          <cell r="AI745" t="str">
            <v>Co</v>
          </cell>
          <cell r="AJ745" t="str">
            <v>-10.Al</v>
          </cell>
          <cell r="AK745" t="str">
            <v>-10.W</v>
          </cell>
          <cell r="AL745" t="str">
            <v>-30.Ni</v>
          </cell>
          <cell r="AM745" t="str">
            <v/>
          </cell>
          <cell r="AN745" t="str">
            <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
          </cell>
          <cell r="BB745" t="str">
            <v/>
          </cell>
          <cell r="BC745" t="str">
            <v/>
          </cell>
          <cell r="BD745" t="str">
            <v/>
          </cell>
          <cell r="BE745" t="str">
            <v/>
          </cell>
          <cell r="BF745" t="str">
            <v/>
          </cell>
          <cell r="BG745" t="str">
            <v/>
          </cell>
          <cell r="BH745" t="str">
            <v>Co-30Ni-10Al-10WShinagawa, K. et al. Phase equilibria and microstructure on γ′ phase in Co-Ni-Al-W system. Mater. Trans. 49, 1474–1479 (2008).</v>
          </cell>
          <cell r="BI745" t="str">
            <v>Co-30.Ni-10.Al-10.W</v>
          </cell>
          <cell r="BJ745"/>
        </row>
        <row r="746">
          <cell r="A746" t="str">
            <v>Co-40.Ni-10.Al-10.W</v>
          </cell>
          <cell r="B746" t="str">
            <v>CoAlW-X</v>
          </cell>
          <cell r="C746" t="str">
            <v>-10Ni-10Al-10W</v>
          </cell>
          <cell r="D746" t="str">
            <v>Co-40Ni-10Al-10W</v>
          </cell>
          <cell r="E746" t="str">
            <v>Shinagawa, K. et al. Phase equilibria and microstructure on γ′ phase in Co-Ni-Al-W system. Mater. Trans. 49, 1474–1479 (2008).</v>
          </cell>
          <cell r="F746">
            <v>791</v>
          </cell>
          <cell r="G746">
            <v>40</v>
          </cell>
          <cell r="H746">
            <v>40</v>
          </cell>
          <cell r="I746">
            <v>10</v>
          </cell>
          <cell r="J746"/>
          <cell r="K746">
            <v>10</v>
          </cell>
          <cell r="L746"/>
          <cell r="M746"/>
          <cell r="N746"/>
          <cell r="O746"/>
          <cell r="P746"/>
          <cell r="Q746"/>
          <cell r="R746"/>
          <cell r="S746"/>
          <cell r="T746"/>
          <cell r="U746"/>
          <cell r="V746"/>
          <cell r="W746"/>
          <cell r="X746"/>
          <cell r="Y746"/>
          <cell r="Z746"/>
          <cell r="AA746"/>
          <cell r="AB746"/>
          <cell r="AC746"/>
          <cell r="AD746"/>
          <cell r="AE746"/>
          <cell r="AF746">
            <v>9.3181999999999992</v>
          </cell>
          <cell r="AG746"/>
          <cell r="AH746"/>
          <cell r="AI746" t="str">
            <v>Co</v>
          </cell>
          <cell r="AJ746" t="str">
            <v>-10.Al</v>
          </cell>
          <cell r="AK746" t="str">
            <v>-10.W</v>
          </cell>
          <cell r="AL746" t="str">
            <v>-40.Ni</v>
          </cell>
          <cell r="AM746" t="str">
            <v/>
          </cell>
          <cell r="AN746" t="str">
            <v/>
          </cell>
          <cell r="AO746" t="str">
            <v/>
          </cell>
          <cell r="AP746" t="str">
            <v/>
          </cell>
          <cell r="AQ746" t="str">
            <v/>
          </cell>
          <cell r="AR746" t="str">
            <v/>
          </cell>
          <cell r="AS746" t="str">
            <v/>
          </cell>
          <cell r="AT746" t="str">
            <v/>
          </cell>
          <cell r="AU746" t="str">
            <v/>
          </cell>
          <cell r="AV746" t="str">
            <v/>
          </cell>
          <cell r="AW746" t="str">
            <v/>
          </cell>
          <cell r="AX746" t="str">
            <v/>
          </cell>
          <cell r="AY746" t="str">
            <v/>
          </cell>
          <cell r="AZ746" t="str">
            <v/>
          </cell>
          <cell r="BA746" t="str">
            <v/>
          </cell>
          <cell r="BB746" t="str">
            <v/>
          </cell>
          <cell r="BC746" t="str">
            <v/>
          </cell>
          <cell r="BD746" t="str">
            <v/>
          </cell>
          <cell r="BE746" t="str">
            <v/>
          </cell>
          <cell r="BF746" t="str">
            <v/>
          </cell>
          <cell r="BG746" t="str">
            <v/>
          </cell>
          <cell r="BH746" t="str">
            <v>Co-40Ni-10Al-10WShinagawa, K. et al. Phase equilibria and microstructure on γ′ phase in Co-Ni-Al-W system. Mater. Trans. 49, 1474–1479 (2008).</v>
          </cell>
          <cell r="BI746" t="str">
            <v>Co-40.Ni-10.Al-10.W</v>
          </cell>
          <cell r="BJ746" t="str">
            <v>100.0Co0000000000000000000000</v>
          </cell>
        </row>
        <row r="747">
          <cell r="A747" t="str">
            <v>Co-50.Ni-10.Al-10.W</v>
          </cell>
          <cell r="B747" t="str">
            <v>CoAlW-X</v>
          </cell>
          <cell r="C747" t="str">
            <v>-50Ni-10Al-10W</v>
          </cell>
          <cell r="D747" t="str">
            <v>Co-50Ni-10Al-10W</v>
          </cell>
          <cell r="E747" t="str">
            <v>Shinagawa, K. et al. Phase equilibria and microstructure on γ′ phase in Co-Ni-Al-W system. Mater. Trans. 49, 1474–1479 (2008).</v>
          </cell>
          <cell r="F747">
            <v>792</v>
          </cell>
          <cell r="G747">
            <v>30</v>
          </cell>
          <cell r="H747">
            <v>50</v>
          </cell>
          <cell r="I747">
            <v>10</v>
          </cell>
          <cell r="J747"/>
          <cell r="K747">
            <v>10</v>
          </cell>
          <cell r="L747"/>
          <cell r="M747"/>
          <cell r="N747"/>
          <cell r="O747"/>
          <cell r="P747"/>
          <cell r="Q747"/>
          <cell r="R747"/>
          <cell r="S747"/>
          <cell r="T747"/>
          <cell r="U747"/>
          <cell r="V747"/>
          <cell r="W747"/>
          <cell r="X747"/>
          <cell r="Y747"/>
          <cell r="Z747"/>
          <cell r="AA747"/>
          <cell r="AB747"/>
          <cell r="AC747"/>
          <cell r="AD747"/>
          <cell r="AE747"/>
          <cell r="AF747">
            <v>9.3189999999999991</v>
          </cell>
          <cell r="AG747"/>
          <cell r="AH747"/>
          <cell r="AI747" t="str">
            <v>Co</v>
          </cell>
          <cell r="AJ747" t="str">
            <v>-10.Al</v>
          </cell>
          <cell r="AK747" t="str">
            <v>-10.W</v>
          </cell>
          <cell r="AL747" t="str">
            <v>-50.Ni</v>
          </cell>
          <cell r="AM747" t="str">
            <v/>
          </cell>
          <cell r="AN747" t="str">
            <v/>
          </cell>
          <cell r="AO747" t="str">
            <v/>
          </cell>
          <cell r="AP747" t="str">
            <v/>
          </cell>
          <cell r="AQ747" t="str">
            <v/>
          </cell>
          <cell r="AR747" t="str">
            <v/>
          </cell>
          <cell r="AS747" t="str">
            <v/>
          </cell>
          <cell r="AT747" t="str">
            <v/>
          </cell>
          <cell r="AU747" t="str">
            <v/>
          </cell>
          <cell r="AV747" t="str">
            <v/>
          </cell>
          <cell r="AW747" t="str">
            <v/>
          </cell>
          <cell r="AX747" t="str">
            <v/>
          </cell>
          <cell r="AY747" t="str">
            <v/>
          </cell>
          <cell r="AZ747" t="str">
            <v/>
          </cell>
          <cell r="BA747" t="str">
            <v/>
          </cell>
          <cell r="BB747" t="str">
            <v/>
          </cell>
          <cell r="BC747" t="str">
            <v/>
          </cell>
          <cell r="BD747" t="str">
            <v/>
          </cell>
          <cell r="BE747" t="str">
            <v/>
          </cell>
          <cell r="BF747" t="str">
            <v/>
          </cell>
          <cell r="BG747" t="str">
            <v/>
          </cell>
          <cell r="BH747" t="str">
            <v>Co-50Ni-10Al-10WShinagawa, K. et al. Phase equilibria and microstructure on γ′ phase in Co-Ni-Al-W system. Mater. Trans. 49, 1474–1479 (2008).</v>
          </cell>
          <cell r="BI747" t="str">
            <v>Co-50.Ni-10.Al-10.W</v>
          </cell>
          <cell r="BJ747"/>
        </row>
        <row r="748">
          <cell r="A748" t="str">
            <v>Co-60.Ni-10.Al-10.W</v>
          </cell>
          <cell r="B748" t="str">
            <v>CoAlW-X</v>
          </cell>
          <cell r="C748" t="str">
            <v>-60Ni-10Al-10W</v>
          </cell>
          <cell r="D748" t="str">
            <v>Co-60Ni-10Al-10W</v>
          </cell>
          <cell r="E748" t="str">
            <v>Shinagawa, K. et al. Phase equilibria and microstructure on γ′ phase in Co-Ni-Al-W system. Mater. Trans. 49, 1474–1479 (2008).</v>
          </cell>
          <cell r="F748">
            <v>793</v>
          </cell>
          <cell r="G748">
            <v>20</v>
          </cell>
          <cell r="H748">
            <v>60</v>
          </cell>
          <cell r="I748">
            <v>10</v>
          </cell>
          <cell r="J748"/>
          <cell r="K748">
            <v>10</v>
          </cell>
          <cell r="L748"/>
          <cell r="M748"/>
          <cell r="N748"/>
          <cell r="O748"/>
          <cell r="P748"/>
          <cell r="Q748"/>
          <cell r="R748"/>
          <cell r="S748"/>
          <cell r="T748"/>
          <cell r="U748"/>
          <cell r="V748"/>
          <cell r="W748"/>
          <cell r="X748"/>
          <cell r="Y748"/>
          <cell r="Z748"/>
          <cell r="AA748"/>
          <cell r="AB748"/>
          <cell r="AC748"/>
          <cell r="AD748"/>
          <cell r="AE748"/>
          <cell r="AF748">
            <v>9.3198000000000008</v>
          </cell>
          <cell r="AG748"/>
          <cell r="AH748"/>
          <cell r="AI748" t="str">
            <v>Co</v>
          </cell>
          <cell r="AJ748" t="str">
            <v>-10.Al</v>
          </cell>
          <cell r="AK748" t="str">
            <v>-10.W</v>
          </cell>
          <cell r="AL748" t="str">
            <v>-60.Ni</v>
          </cell>
          <cell r="AM748" t="str">
            <v/>
          </cell>
          <cell r="AN748" t="str">
            <v/>
          </cell>
          <cell r="AO748" t="str">
            <v/>
          </cell>
          <cell r="AP748" t="str">
            <v/>
          </cell>
          <cell r="AQ748" t="str">
            <v/>
          </cell>
          <cell r="AR748" t="str">
            <v/>
          </cell>
          <cell r="AS748" t="str">
            <v/>
          </cell>
          <cell r="AT748" t="str">
            <v/>
          </cell>
          <cell r="AU748" t="str">
            <v/>
          </cell>
          <cell r="AV748" t="str">
            <v/>
          </cell>
          <cell r="AW748" t="str">
            <v/>
          </cell>
          <cell r="AX748" t="str">
            <v/>
          </cell>
          <cell r="AY748" t="str">
            <v/>
          </cell>
          <cell r="AZ748" t="str">
            <v/>
          </cell>
          <cell r="BA748" t="str">
            <v/>
          </cell>
          <cell r="BB748" t="str">
            <v/>
          </cell>
          <cell r="BC748" t="str">
            <v/>
          </cell>
          <cell r="BD748" t="str">
            <v/>
          </cell>
          <cell r="BE748" t="str">
            <v/>
          </cell>
          <cell r="BF748" t="str">
            <v/>
          </cell>
          <cell r="BG748" t="str">
            <v/>
          </cell>
          <cell r="BH748" t="str">
            <v>Co-60Ni-10Al-10WShinagawa, K. et al. Phase equilibria and microstructure on γ′ phase in Co-Ni-Al-W system. Mater. Trans. 49, 1474–1479 (2008).</v>
          </cell>
          <cell r="BI748" t="str">
            <v>Co-60.Ni-10.Al-10.W</v>
          </cell>
          <cell r="BJ748"/>
        </row>
        <row r="749">
          <cell r="A749" t="str">
            <v>Co-70.Ni-10.Al-10.W</v>
          </cell>
          <cell r="B749" t="str">
            <v>CoAlW-X</v>
          </cell>
          <cell r="C749" t="str">
            <v>-70Ni-10Al-10W</v>
          </cell>
          <cell r="D749" t="str">
            <v>Co-70Ni-10Al-10W</v>
          </cell>
          <cell r="E749" t="str">
            <v>Shinagawa, K. et al. Phase equilibria and microstructure on γ′ phase in Co-Ni-Al-W system. Mater. Trans. 49, 1474–1479 (2008).</v>
          </cell>
          <cell r="F749">
            <v>794</v>
          </cell>
          <cell r="G749">
            <v>10</v>
          </cell>
          <cell r="H749">
            <v>70</v>
          </cell>
          <cell r="I749">
            <v>10</v>
          </cell>
          <cell r="J749"/>
          <cell r="K749">
            <v>10</v>
          </cell>
          <cell r="L749"/>
          <cell r="M749"/>
          <cell r="N749"/>
          <cell r="O749"/>
          <cell r="P749"/>
          <cell r="Q749"/>
          <cell r="R749"/>
          <cell r="S749"/>
          <cell r="T749"/>
          <cell r="U749"/>
          <cell r="V749"/>
          <cell r="W749"/>
          <cell r="X749"/>
          <cell r="Y749"/>
          <cell r="Z749"/>
          <cell r="AA749"/>
          <cell r="AB749"/>
          <cell r="AC749"/>
          <cell r="AD749"/>
          <cell r="AE749"/>
          <cell r="AF749">
            <v>9.3205999999999989</v>
          </cell>
          <cell r="AG749"/>
          <cell r="AH749"/>
          <cell r="AI749" t="str">
            <v>Co</v>
          </cell>
          <cell r="AJ749" t="str">
            <v>-10.Al</v>
          </cell>
          <cell r="AK749" t="str">
            <v>-10.W</v>
          </cell>
          <cell r="AL749" t="str">
            <v>-70.Ni</v>
          </cell>
          <cell r="AM749" t="str">
            <v/>
          </cell>
          <cell r="AN749" t="str">
            <v/>
          </cell>
          <cell r="AO749" t="str">
            <v/>
          </cell>
          <cell r="AP749" t="str">
            <v/>
          </cell>
          <cell r="AQ749" t="str">
            <v/>
          </cell>
          <cell r="AR749" t="str">
            <v/>
          </cell>
          <cell r="AS749" t="str">
            <v/>
          </cell>
          <cell r="AT749" t="str">
            <v/>
          </cell>
          <cell r="AU749" t="str">
            <v/>
          </cell>
          <cell r="AV749" t="str">
            <v/>
          </cell>
          <cell r="AW749" t="str">
            <v/>
          </cell>
          <cell r="AX749" t="str">
            <v/>
          </cell>
          <cell r="AY749" t="str">
            <v/>
          </cell>
          <cell r="AZ749" t="str">
            <v/>
          </cell>
          <cell r="BA749" t="str">
            <v/>
          </cell>
          <cell r="BB749" t="str">
            <v/>
          </cell>
          <cell r="BC749" t="str">
            <v/>
          </cell>
          <cell r="BD749" t="str">
            <v/>
          </cell>
          <cell r="BE749" t="str">
            <v/>
          </cell>
          <cell r="BF749" t="str">
            <v/>
          </cell>
          <cell r="BG749" t="str">
            <v/>
          </cell>
          <cell r="BH749" t="str">
            <v>Co-70Ni-10Al-10WShinagawa, K. et al. Phase equilibria and microstructure on γ′ phase in Co-Ni-Al-W system. Mater. Trans. 49, 1474–1479 (2008).</v>
          </cell>
          <cell r="BI749" t="str">
            <v>Co-70.Ni-10.Al-10.W</v>
          </cell>
          <cell r="BJ749"/>
        </row>
        <row r="750">
          <cell r="A750" t="str">
            <v>Co-80.Ni-10.Al-10.W</v>
          </cell>
          <cell r="B750" t="str">
            <v>CoAlW-X</v>
          </cell>
          <cell r="C750" t="str">
            <v>-80Ni-10Al-10W</v>
          </cell>
          <cell r="D750" t="str">
            <v>Co-80Ni-10Al-10W</v>
          </cell>
          <cell r="E750" t="str">
            <v>Shinagawa, K. et al. Phase equilibria and microstructure on γ′ phase in Co-Ni-Al-W system. Mater. Trans. 49, 1474–1479 (2008).</v>
          </cell>
          <cell r="F750">
            <v>795</v>
          </cell>
          <cell r="G750">
            <v>0</v>
          </cell>
          <cell r="H750">
            <v>80</v>
          </cell>
          <cell r="I750">
            <v>10</v>
          </cell>
          <cell r="J750"/>
          <cell r="K750">
            <v>10</v>
          </cell>
          <cell r="L750"/>
          <cell r="M750"/>
          <cell r="N750"/>
          <cell r="O750"/>
          <cell r="P750"/>
          <cell r="Q750"/>
          <cell r="R750"/>
          <cell r="S750"/>
          <cell r="T750"/>
          <cell r="U750"/>
          <cell r="V750"/>
          <cell r="W750"/>
          <cell r="X750"/>
          <cell r="Y750"/>
          <cell r="Z750"/>
          <cell r="AA750"/>
          <cell r="AB750"/>
          <cell r="AC750"/>
          <cell r="AD750"/>
          <cell r="AE750"/>
          <cell r="AF750">
            <v>9.3214000000000006</v>
          </cell>
          <cell r="AG750"/>
          <cell r="AH750"/>
          <cell r="AI750" t="str">
            <v>Co</v>
          </cell>
          <cell r="AJ750" t="str">
            <v>-10.Al</v>
          </cell>
          <cell r="AK750" t="str">
            <v>-10.W</v>
          </cell>
          <cell r="AL750" t="str">
            <v>-80.Ni</v>
          </cell>
          <cell r="AM750" t="str">
            <v/>
          </cell>
          <cell r="AN750" t="str">
            <v/>
          </cell>
          <cell r="AO750" t="str">
            <v/>
          </cell>
          <cell r="AP750" t="str">
            <v/>
          </cell>
          <cell r="AQ750" t="str">
            <v/>
          </cell>
          <cell r="AR750" t="str">
            <v/>
          </cell>
          <cell r="AS750" t="str">
            <v/>
          </cell>
          <cell r="AT750" t="str">
            <v/>
          </cell>
          <cell r="AU750" t="str">
            <v/>
          </cell>
          <cell r="AV750" t="str">
            <v/>
          </cell>
          <cell r="AW750" t="str">
            <v/>
          </cell>
          <cell r="AX750" t="str">
            <v/>
          </cell>
          <cell r="AY750" t="str">
            <v/>
          </cell>
          <cell r="AZ750" t="str">
            <v/>
          </cell>
          <cell r="BA750" t="str">
            <v/>
          </cell>
          <cell r="BB750" t="str">
            <v/>
          </cell>
          <cell r="BC750" t="str">
            <v/>
          </cell>
          <cell r="BD750" t="str">
            <v/>
          </cell>
          <cell r="BE750" t="str">
            <v/>
          </cell>
          <cell r="BF750" t="str">
            <v/>
          </cell>
          <cell r="BG750" t="str">
            <v/>
          </cell>
          <cell r="BH750" t="str">
            <v>Co-80Ni-10Al-10WShinagawa, K. et al. Phase equilibria and microstructure on γ′ phase in Co-Ni-Al-W system. Mater. Trans. 49, 1474–1479 (2008).</v>
          </cell>
          <cell r="BI750" t="str">
            <v>Co-80.Ni-10.Al-10.W</v>
          </cell>
          <cell r="BJ750"/>
        </row>
        <row r="751">
          <cell r="A751" t="str">
            <v>Co-10.Ni-10.Al-7.5W</v>
          </cell>
          <cell r="B751" t="str">
            <v>CoAlW-X</v>
          </cell>
          <cell r="C751" t="str">
            <v>-10Ni-10Al-8W</v>
          </cell>
          <cell r="D751" t="str">
            <v>Co-10Ni-10Al-7.5W</v>
          </cell>
          <cell r="E751" t="str">
            <v>Shinagawa, K. et al. Phase equilibria and microstructure on γ′ phase in Co-Ni-Al-W system. Mater. Trans. 49, 1474–1479 (2008).</v>
          </cell>
          <cell r="F751">
            <v>796</v>
          </cell>
          <cell r="G751">
            <v>72.5</v>
          </cell>
          <cell r="H751">
            <v>10</v>
          </cell>
          <cell r="I751">
            <v>10</v>
          </cell>
          <cell r="J751"/>
          <cell r="K751">
            <v>7.5</v>
          </cell>
          <cell r="L751"/>
          <cell r="M751"/>
          <cell r="N751"/>
          <cell r="O751"/>
          <cell r="P751"/>
          <cell r="Q751"/>
          <cell r="R751"/>
          <cell r="S751"/>
          <cell r="T751"/>
          <cell r="U751"/>
          <cell r="V751"/>
          <cell r="W751"/>
          <cell r="X751"/>
          <cell r="Y751"/>
          <cell r="Z751"/>
          <cell r="AA751"/>
          <cell r="AB751"/>
          <cell r="AC751"/>
          <cell r="AD751"/>
          <cell r="AE751"/>
          <cell r="AF751">
            <v>9.0570500000000003</v>
          </cell>
          <cell r="AG751"/>
          <cell r="AH751"/>
          <cell r="AI751" t="str">
            <v>Co</v>
          </cell>
          <cell r="AJ751" t="str">
            <v>-10.Al</v>
          </cell>
          <cell r="AK751" t="str">
            <v>-7.5W</v>
          </cell>
          <cell r="AL751" t="str">
            <v>-10.Ni</v>
          </cell>
          <cell r="AM751" t="str">
            <v/>
          </cell>
          <cell r="AN751" t="str">
            <v/>
          </cell>
          <cell r="AO751" t="str">
            <v/>
          </cell>
          <cell r="AP751" t="str">
            <v/>
          </cell>
          <cell r="AQ751" t="str">
            <v/>
          </cell>
          <cell r="AR751" t="str">
            <v/>
          </cell>
          <cell r="AS751" t="str">
            <v/>
          </cell>
          <cell r="AT751" t="str">
            <v/>
          </cell>
          <cell r="AU751" t="str">
            <v/>
          </cell>
          <cell r="AV751" t="str">
            <v/>
          </cell>
          <cell r="AW751" t="str">
            <v/>
          </cell>
          <cell r="AX751" t="str">
            <v/>
          </cell>
          <cell r="AY751" t="str">
            <v/>
          </cell>
          <cell r="AZ751" t="str">
            <v/>
          </cell>
          <cell r="BA751" t="str">
            <v/>
          </cell>
          <cell r="BB751" t="str">
            <v/>
          </cell>
          <cell r="BC751" t="str">
            <v/>
          </cell>
          <cell r="BD751" t="str">
            <v/>
          </cell>
          <cell r="BE751" t="str">
            <v/>
          </cell>
          <cell r="BF751" t="str">
            <v/>
          </cell>
          <cell r="BG751" t="str">
            <v/>
          </cell>
          <cell r="BH751" t="str">
            <v>Co-10Ni-10Al-7.5WShinagawa, K. et al. Phase equilibria and microstructure on γ′ phase in Co-Ni-Al-W system. Mater. Trans. 49, 1474–1479 (2008).</v>
          </cell>
          <cell r="BI751" t="str">
            <v>Co-10.Ni-10.Al-7.5W</v>
          </cell>
          <cell r="BJ751"/>
        </row>
        <row r="752">
          <cell r="A752" t="str">
            <v>Co-20.Ni-10.Al-7.5W</v>
          </cell>
          <cell r="B752" t="str">
            <v>CoAlW-X</v>
          </cell>
          <cell r="C752" t="str">
            <v>-20Ni-10Al-8W</v>
          </cell>
          <cell r="D752" t="str">
            <v>Co-20Ni-10Al-7.5W</v>
          </cell>
          <cell r="E752" t="str">
            <v>Shinagawa, K. et al. Phase equilibria and microstructure on γ′ phase in Co-Ni-Al-W system. Mater. Trans. 49, 1474–1479 (2008).</v>
          </cell>
          <cell r="F752">
            <v>797</v>
          </cell>
          <cell r="G752">
            <v>62.5</v>
          </cell>
          <cell r="H752">
            <v>20</v>
          </cell>
          <cell r="I752">
            <v>10</v>
          </cell>
          <cell r="J752"/>
          <cell r="K752">
            <v>7.5</v>
          </cell>
          <cell r="L752"/>
          <cell r="M752"/>
          <cell r="N752"/>
          <cell r="O752"/>
          <cell r="P752"/>
          <cell r="Q752"/>
          <cell r="R752"/>
          <cell r="S752"/>
          <cell r="T752"/>
          <cell r="U752"/>
          <cell r="V752"/>
          <cell r="W752"/>
          <cell r="X752"/>
          <cell r="Y752"/>
          <cell r="Z752"/>
          <cell r="AA752"/>
          <cell r="AB752"/>
          <cell r="AC752"/>
          <cell r="AD752"/>
          <cell r="AE752"/>
          <cell r="AF752">
            <v>9.0578500000000002</v>
          </cell>
          <cell r="AG752"/>
          <cell r="AH752"/>
          <cell r="AI752" t="str">
            <v>Co</v>
          </cell>
          <cell r="AJ752" t="str">
            <v>-10.Al</v>
          </cell>
          <cell r="AK752" t="str">
            <v>-7.5W</v>
          </cell>
          <cell r="AL752" t="str">
            <v>-20.Ni</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
          </cell>
          <cell r="BB752" t="str">
            <v/>
          </cell>
          <cell r="BC752" t="str">
            <v/>
          </cell>
          <cell r="BD752" t="str">
            <v/>
          </cell>
          <cell r="BE752" t="str">
            <v/>
          </cell>
          <cell r="BF752" t="str">
            <v/>
          </cell>
          <cell r="BG752" t="str">
            <v/>
          </cell>
          <cell r="BH752" t="str">
            <v>Co-20Ni-10Al-7.5WShinagawa, K. et al. Phase equilibria and microstructure on γ′ phase in Co-Ni-Al-W system. Mater. Trans. 49, 1474–1479 (2008).</v>
          </cell>
          <cell r="BI752" t="str">
            <v>Co-20.Ni-10.Al-7.5W</v>
          </cell>
          <cell r="BJ752"/>
        </row>
        <row r="753">
          <cell r="A753" t="str">
            <v>Co-30.Ni-10.Al-7.5W</v>
          </cell>
          <cell r="B753" t="str">
            <v>CoAlW-X</v>
          </cell>
          <cell r="C753" t="str">
            <v>-30Ni-10Al-8W</v>
          </cell>
          <cell r="D753" t="str">
            <v>Co-30Ni-10Al-7.5W</v>
          </cell>
          <cell r="E753" t="str">
            <v>Shinagawa, K. et al. Phase equilibria and microstructure on γ′ phase in Co-Ni-Al-W system. Mater. Trans. 49, 1474–1479 (2008).</v>
          </cell>
          <cell r="F753">
            <v>798</v>
          </cell>
          <cell r="G753">
            <v>52.5</v>
          </cell>
          <cell r="H753">
            <v>30</v>
          </cell>
          <cell r="I753">
            <v>10</v>
          </cell>
          <cell r="J753"/>
          <cell r="K753">
            <v>7.5</v>
          </cell>
          <cell r="L753"/>
          <cell r="M753"/>
          <cell r="N753"/>
          <cell r="O753"/>
          <cell r="P753"/>
          <cell r="Q753"/>
          <cell r="R753"/>
          <cell r="S753"/>
          <cell r="T753"/>
          <cell r="U753"/>
          <cell r="V753"/>
          <cell r="W753"/>
          <cell r="X753"/>
          <cell r="Y753"/>
          <cell r="Z753"/>
          <cell r="AA753"/>
          <cell r="AB753"/>
          <cell r="AC753"/>
          <cell r="AD753"/>
          <cell r="AE753"/>
          <cell r="AF753">
            <v>9.0586500000000001</v>
          </cell>
          <cell r="AG753"/>
          <cell r="AH753"/>
          <cell r="AI753" t="str">
            <v>Co</v>
          </cell>
          <cell r="AJ753" t="str">
            <v>-10.Al</v>
          </cell>
          <cell r="AK753" t="str">
            <v>-7.5W</v>
          </cell>
          <cell r="AL753" t="str">
            <v>-30.Ni</v>
          </cell>
          <cell r="AM753" t="str">
            <v/>
          </cell>
          <cell r="AN753" t="str">
            <v/>
          </cell>
          <cell r="AO753" t="str">
            <v/>
          </cell>
          <cell r="AP753" t="str">
            <v/>
          </cell>
          <cell r="AQ753" t="str">
            <v/>
          </cell>
          <cell r="AR753" t="str">
            <v/>
          </cell>
          <cell r="AS753" t="str">
            <v/>
          </cell>
          <cell r="AT753" t="str">
            <v/>
          </cell>
          <cell r="AU753" t="str">
            <v/>
          </cell>
          <cell r="AV753" t="str">
            <v/>
          </cell>
          <cell r="AW753" t="str">
            <v/>
          </cell>
          <cell r="AX753" t="str">
            <v/>
          </cell>
          <cell r="AY753" t="str">
            <v/>
          </cell>
          <cell r="AZ753" t="str">
            <v/>
          </cell>
          <cell r="BA753" t="str">
            <v/>
          </cell>
          <cell r="BB753" t="str">
            <v/>
          </cell>
          <cell r="BC753" t="str">
            <v/>
          </cell>
          <cell r="BD753" t="str">
            <v/>
          </cell>
          <cell r="BE753" t="str">
            <v/>
          </cell>
          <cell r="BF753" t="str">
            <v/>
          </cell>
          <cell r="BG753" t="str">
            <v/>
          </cell>
          <cell r="BH753" t="str">
            <v>Co-30Ni-10Al-7.5WShinagawa, K. et al. Phase equilibria and microstructure on γ′ phase in Co-Ni-Al-W system. Mater. Trans. 49, 1474–1479 (2008).</v>
          </cell>
          <cell r="BI753" t="str">
            <v>Co-30.Ni-10.Al-7.5W</v>
          </cell>
          <cell r="BJ753"/>
        </row>
        <row r="754">
          <cell r="A754" t="str">
            <v>Co-40.Ni-10.Al-7.5W</v>
          </cell>
          <cell r="B754" t="str">
            <v>CoAlW-X</v>
          </cell>
          <cell r="C754" t="str">
            <v>-40Ni-10Al-8W</v>
          </cell>
          <cell r="D754" t="str">
            <v>Co-40Ni-10Al-7.5W</v>
          </cell>
          <cell r="E754" t="str">
            <v>Shinagawa, K. et al. Phase equilibria and microstructure on γ′ phase in Co-Ni-Al-W system. Mater. Trans. 49, 1474–1479 (2008).</v>
          </cell>
          <cell r="F754">
            <v>799</v>
          </cell>
          <cell r="G754">
            <v>42.5</v>
          </cell>
          <cell r="H754">
            <v>40</v>
          </cell>
          <cell r="I754">
            <v>10</v>
          </cell>
          <cell r="J754"/>
          <cell r="K754">
            <v>7.5</v>
          </cell>
          <cell r="L754"/>
          <cell r="M754"/>
          <cell r="N754"/>
          <cell r="O754"/>
          <cell r="P754"/>
          <cell r="Q754"/>
          <cell r="R754"/>
          <cell r="S754"/>
          <cell r="T754"/>
          <cell r="U754"/>
          <cell r="V754"/>
          <cell r="W754"/>
          <cell r="X754"/>
          <cell r="Y754"/>
          <cell r="Z754"/>
          <cell r="AA754"/>
          <cell r="AB754"/>
          <cell r="AC754"/>
          <cell r="AD754"/>
          <cell r="AE754"/>
          <cell r="AF754">
            <v>9.05945</v>
          </cell>
          <cell r="AG754"/>
          <cell r="AH754"/>
          <cell r="AI754" t="str">
            <v>Co</v>
          </cell>
          <cell r="AJ754" t="str">
            <v>-10.Al</v>
          </cell>
          <cell r="AK754" t="str">
            <v>-7.5W</v>
          </cell>
          <cell r="AL754" t="str">
            <v>-40.Ni</v>
          </cell>
          <cell r="AM754" t="str">
            <v/>
          </cell>
          <cell r="AN754" t="str">
            <v/>
          </cell>
          <cell r="AO754" t="str">
            <v/>
          </cell>
          <cell r="AP754" t="str">
            <v/>
          </cell>
          <cell r="AQ754" t="str">
            <v/>
          </cell>
          <cell r="AR754" t="str">
            <v/>
          </cell>
          <cell r="AS754" t="str">
            <v/>
          </cell>
          <cell r="AT754" t="str">
            <v/>
          </cell>
          <cell r="AU754" t="str">
            <v/>
          </cell>
          <cell r="AV754" t="str">
            <v/>
          </cell>
          <cell r="AW754" t="str">
            <v/>
          </cell>
          <cell r="AX754" t="str">
            <v/>
          </cell>
          <cell r="AY754" t="str">
            <v/>
          </cell>
          <cell r="AZ754" t="str">
            <v/>
          </cell>
          <cell r="BA754" t="str">
            <v/>
          </cell>
          <cell r="BB754" t="str">
            <v/>
          </cell>
          <cell r="BC754" t="str">
            <v/>
          </cell>
          <cell r="BD754" t="str">
            <v/>
          </cell>
          <cell r="BE754" t="str">
            <v/>
          </cell>
          <cell r="BF754" t="str">
            <v/>
          </cell>
          <cell r="BG754" t="str">
            <v/>
          </cell>
          <cell r="BH754" t="str">
            <v>Co-40Ni-10Al-7.5WShinagawa, K. et al. Phase equilibria and microstructure on γ′ phase in Co-Ni-Al-W system. Mater. Trans. 49, 1474–1479 (2008).</v>
          </cell>
          <cell r="BI754" t="str">
            <v>Co-40.Ni-10.Al-7.5W</v>
          </cell>
          <cell r="BJ754"/>
        </row>
        <row r="755">
          <cell r="A755" t="str">
            <v>Co-50.Ni-10.Al-7.5W</v>
          </cell>
          <cell r="B755" t="str">
            <v>CoAlW-X</v>
          </cell>
          <cell r="C755" t="str">
            <v>-50Ni-10Al-8W</v>
          </cell>
          <cell r="D755" t="str">
            <v>Co-50Ni-10Al-7.5W</v>
          </cell>
          <cell r="E755" t="str">
            <v>Shinagawa, K. et al. Phase equilibria and microstructure on γ′ phase in Co-Ni-Al-W system. Mater. Trans. 49, 1474–1479 (2008).</v>
          </cell>
          <cell r="F755">
            <v>800</v>
          </cell>
          <cell r="G755">
            <v>32.5</v>
          </cell>
          <cell r="H755">
            <v>50</v>
          </cell>
          <cell r="I755">
            <v>10</v>
          </cell>
          <cell r="J755"/>
          <cell r="K755">
            <v>7.5</v>
          </cell>
          <cell r="L755"/>
          <cell r="M755"/>
          <cell r="N755"/>
          <cell r="O755"/>
          <cell r="P755"/>
          <cell r="Q755"/>
          <cell r="R755"/>
          <cell r="S755"/>
          <cell r="T755"/>
          <cell r="U755"/>
          <cell r="V755"/>
          <cell r="W755"/>
          <cell r="X755"/>
          <cell r="Y755"/>
          <cell r="Z755"/>
          <cell r="AA755"/>
          <cell r="AB755"/>
          <cell r="AC755"/>
          <cell r="AD755"/>
          <cell r="AE755"/>
          <cell r="AF755">
            <v>9.0602499999999999</v>
          </cell>
          <cell r="AG755"/>
          <cell r="AH755"/>
          <cell r="AI755" t="str">
            <v>Co</v>
          </cell>
          <cell r="AJ755" t="str">
            <v>-10.Al</v>
          </cell>
          <cell r="AK755" t="str">
            <v>-7.5W</v>
          </cell>
          <cell r="AL755" t="str">
            <v>-50.Ni</v>
          </cell>
          <cell r="AM755" t="str">
            <v/>
          </cell>
          <cell r="AN755" t="str">
            <v/>
          </cell>
          <cell r="AO755" t="str">
            <v/>
          </cell>
          <cell r="AP755" t="str">
            <v/>
          </cell>
          <cell r="AQ755" t="str">
            <v/>
          </cell>
          <cell r="AR755" t="str">
            <v/>
          </cell>
          <cell r="AS755" t="str">
            <v/>
          </cell>
          <cell r="AT755" t="str">
            <v/>
          </cell>
          <cell r="AU755" t="str">
            <v/>
          </cell>
          <cell r="AV755" t="str">
            <v/>
          </cell>
          <cell r="AW755" t="str">
            <v/>
          </cell>
          <cell r="AX755" t="str">
            <v/>
          </cell>
          <cell r="AY755" t="str">
            <v/>
          </cell>
          <cell r="AZ755" t="str">
            <v/>
          </cell>
          <cell r="BA755" t="str">
            <v/>
          </cell>
          <cell r="BB755" t="str">
            <v/>
          </cell>
          <cell r="BC755" t="str">
            <v/>
          </cell>
          <cell r="BD755" t="str">
            <v/>
          </cell>
          <cell r="BE755" t="str">
            <v/>
          </cell>
          <cell r="BF755" t="str">
            <v/>
          </cell>
          <cell r="BG755" t="str">
            <v/>
          </cell>
          <cell r="BH755" t="str">
            <v>Co-50Ni-10Al-7.5WShinagawa, K. et al. Phase equilibria and microstructure on γ′ phase in Co-Ni-Al-W system. Mater. Trans. 49, 1474–1479 (2008).</v>
          </cell>
          <cell r="BI755" t="str">
            <v>Co-50.Ni-10.Al-7.5W</v>
          </cell>
          <cell r="BJ755"/>
        </row>
        <row r="756">
          <cell r="A756" t="str">
            <v>Co-60.Ni-10.Al-7.5W</v>
          </cell>
          <cell r="B756" t="str">
            <v>CoAlW-X</v>
          </cell>
          <cell r="C756" t="str">
            <v>-60Ni-10Al-8W</v>
          </cell>
          <cell r="D756" t="str">
            <v>Co-60Ni-10Al-7.5W</v>
          </cell>
          <cell r="E756" t="str">
            <v>Shinagawa, K. et al. Phase equilibria and microstructure on γ′ phase in Co-Ni-Al-W system. Mater. Trans. 49, 1474–1479 (2008).</v>
          </cell>
          <cell r="F756">
            <v>801</v>
          </cell>
          <cell r="G756">
            <v>22.5</v>
          </cell>
          <cell r="H756">
            <v>60</v>
          </cell>
          <cell r="I756">
            <v>10</v>
          </cell>
          <cell r="J756"/>
          <cell r="K756">
            <v>7.5</v>
          </cell>
          <cell r="L756"/>
          <cell r="M756"/>
          <cell r="N756"/>
          <cell r="O756"/>
          <cell r="P756"/>
          <cell r="Q756"/>
          <cell r="R756"/>
          <cell r="S756"/>
          <cell r="T756"/>
          <cell r="U756"/>
          <cell r="V756"/>
          <cell r="W756"/>
          <cell r="X756"/>
          <cell r="Y756"/>
          <cell r="Z756"/>
          <cell r="AA756"/>
          <cell r="AB756"/>
          <cell r="AC756"/>
          <cell r="AD756"/>
          <cell r="AE756"/>
          <cell r="AF756">
            <v>9.0610499999999998</v>
          </cell>
          <cell r="AG756"/>
          <cell r="AH756"/>
          <cell r="AI756" t="str">
            <v>Co</v>
          </cell>
          <cell r="AJ756" t="str">
            <v>-10.Al</v>
          </cell>
          <cell r="AK756" t="str">
            <v>-7.5W</v>
          </cell>
          <cell r="AL756" t="str">
            <v>-60.Ni</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
          </cell>
          <cell r="BB756" t="str">
            <v/>
          </cell>
          <cell r="BC756" t="str">
            <v/>
          </cell>
          <cell r="BD756" t="str">
            <v/>
          </cell>
          <cell r="BE756" t="str">
            <v/>
          </cell>
          <cell r="BF756" t="str">
            <v/>
          </cell>
          <cell r="BG756" t="str">
            <v/>
          </cell>
          <cell r="BH756" t="str">
            <v>Co-60Ni-10Al-7.5WShinagawa, K. et al. Phase equilibria and microstructure on γ′ phase in Co-Ni-Al-W system. Mater. Trans. 49, 1474–1479 (2008).</v>
          </cell>
          <cell r="BI756" t="str">
            <v>Co-60.Ni-10.Al-7.5W</v>
          </cell>
          <cell r="BJ756"/>
        </row>
        <row r="757">
          <cell r="A757" t="str">
            <v>Co-70.Ni-10.Al-7.5W</v>
          </cell>
          <cell r="B757" t="str">
            <v>CoAlW-X</v>
          </cell>
          <cell r="C757" t="str">
            <v>-70Ni-10Al-8W</v>
          </cell>
          <cell r="D757" t="str">
            <v>Co-70Ni-10Al-7.5W</v>
          </cell>
          <cell r="E757" t="str">
            <v>Shinagawa, K. et al. Phase equilibria and microstructure on γ′ phase in Co-Ni-Al-W system. Mater. Trans. 49, 1474–1479 (2008).</v>
          </cell>
          <cell r="F757">
            <v>802</v>
          </cell>
          <cell r="G757">
            <v>12.5</v>
          </cell>
          <cell r="H757">
            <v>70</v>
          </cell>
          <cell r="I757">
            <v>10</v>
          </cell>
          <cell r="J757"/>
          <cell r="K757">
            <v>7.5</v>
          </cell>
          <cell r="L757"/>
          <cell r="M757"/>
          <cell r="N757"/>
          <cell r="O757"/>
          <cell r="P757"/>
          <cell r="Q757"/>
          <cell r="R757"/>
          <cell r="S757"/>
          <cell r="T757"/>
          <cell r="U757"/>
          <cell r="V757"/>
          <cell r="W757"/>
          <cell r="X757"/>
          <cell r="Y757"/>
          <cell r="Z757"/>
          <cell r="AA757"/>
          <cell r="AB757"/>
          <cell r="AC757"/>
          <cell r="AD757"/>
          <cell r="AE757"/>
          <cell r="AF757">
            <v>9.0618499999999997</v>
          </cell>
          <cell r="AG757"/>
          <cell r="AH757"/>
          <cell r="AI757" t="str">
            <v>Co</v>
          </cell>
          <cell r="AJ757" t="str">
            <v>-10.Al</v>
          </cell>
          <cell r="AK757" t="str">
            <v>-7.5W</v>
          </cell>
          <cell r="AL757" t="str">
            <v>-70.Ni</v>
          </cell>
          <cell r="AM757" t="str">
            <v/>
          </cell>
          <cell r="AN757" t="str">
            <v/>
          </cell>
          <cell r="AO757" t="str">
            <v/>
          </cell>
          <cell r="AP757" t="str">
            <v/>
          </cell>
          <cell r="AQ757" t="str">
            <v/>
          </cell>
          <cell r="AR757" t="str">
            <v/>
          </cell>
          <cell r="AS757" t="str">
            <v/>
          </cell>
          <cell r="AT757" t="str">
            <v/>
          </cell>
          <cell r="AU757" t="str">
            <v/>
          </cell>
          <cell r="AV757" t="str">
            <v/>
          </cell>
          <cell r="AW757" t="str">
            <v/>
          </cell>
          <cell r="AX757" t="str">
            <v/>
          </cell>
          <cell r="AY757" t="str">
            <v/>
          </cell>
          <cell r="AZ757" t="str">
            <v/>
          </cell>
          <cell r="BA757" t="str">
            <v/>
          </cell>
          <cell r="BB757" t="str">
            <v/>
          </cell>
          <cell r="BC757" t="str">
            <v/>
          </cell>
          <cell r="BD757" t="str">
            <v/>
          </cell>
          <cell r="BE757" t="str">
            <v/>
          </cell>
          <cell r="BF757" t="str">
            <v/>
          </cell>
          <cell r="BG757" t="str">
            <v/>
          </cell>
          <cell r="BH757" t="str">
            <v>Co-70Ni-10Al-7.5WShinagawa, K. et al. Phase equilibria and microstructure on γ′ phase in Co-Ni-Al-W system. Mater. Trans. 49, 1474–1479 (2008).</v>
          </cell>
          <cell r="BI757" t="str">
            <v>Co-70.Ni-10.Al-7.5W</v>
          </cell>
          <cell r="BJ757"/>
        </row>
        <row r="758">
          <cell r="A758" t="str">
            <v>Co-10.Ni-10.Al-4.7W</v>
          </cell>
          <cell r="B758" t="str">
            <v>CoAlW-X</v>
          </cell>
          <cell r="C758" t="str">
            <v>-10Ni-10Al-5W</v>
          </cell>
          <cell r="D758" t="str">
            <v>Co-10Ni-10Al-4.7W</v>
          </cell>
          <cell r="E758" t="str">
            <v>Shinagawa, K. et al. Phase equilibria and microstructure on γ′ phase in Co-Ni-Al-W system. Mater. Trans. 49, 1474–1479 (2008).</v>
          </cell>
          <cell r="F758">
            <v>803</v>
          </cell>
          <cell r="G758">
            <v>75.3</v>
          </cell>
          <cell r="H758">
            <v>10</v>
          </cell>
          <cell r="I758">
            <v>10</v>
          </cell>
          <cell r="J758"/>
          <cell r="K758">
            <v>4.7</v>
          </cell>
          <cell r="L758"/>
          <cell r="M758"/>
          <cell r="N758"/>
          <cell r="O758"/>
          <cell r="P758"/>
          <cell r="Q758"/>
          <cell r="R758"/>
          <cell r="S758"/>
          <cell r="T758"/>
          <cell r="U758"/>
          <cell r="V758"/>
          <cell r="W758"/>
          <cell r="X758"/>
          <cell r="Y758"/>
          <cell r="Z758"/>
          <cell r="AA758"/>
          <cell r="AB758"/>
          <cell r="AC758"/>
          <cell r="AD758"/>
          <cell r="AE758"/>
          <cell r="AF758">
            <v>8.7672500000000007</v>
          </cell>
          <cell r="AG758"/>
          <cell r="AH758"/>
          <cell r="AI758" t="str">
            <v>Co</v>
          </cell>
          <cell r="AJ758" t="str">
            <v>-10.Al</v>
          </cell>
          <cell r="AK758" t="str">
            <v>-4.7W</v>
          </cell>
          <cell r="AL758" t="str">
            <v>-10.Ni</v>
          </cell>
          <cell r="AM758" t="str">
            <v/>
          </cell>
          <cell r="AN758" t="str">
            <v/>
          </cell>
          <cell r="AO758" t="str">
            <v/>
          </cell>
          <cell r="AP758" t="str">
            <v/>
          </cell>
          <cell r="AQ758" t="str">
            <v/>
          </cell>
          <cell r="AR758" t="str">
            <v/>
          </cell>
          <cell r="AS758" t="str">
            <v/>
          </cell>
          <cell r="AT758" t="str">
            <v/>
          </cell>
          <cell r="AU758" t="str">
            <v/>
          </cell>
          <cell r="AV758" t="str">
            <v/>
          </cell>
          <cell r="AW758" t="str">
            <v/>
          </cell>
          <cell r="AX758" t="str">
            <v/>
          </cell>
          <cell r="AY758" t="str">
            <v/>
          </cell>
          <cell r="AZ758" t="str">
            <v/>
          </cell>
          <cell r="BA758" t="str">
            <v/>
          </cell>
          <cell r="BB758" t="str">
            <v/>
          </cell>
          <cell r="BC758" t="str">
            <v/>
          </cell>
          <cell r="BD758" t="str">
            <v/>
          </cell>
          <cell r="BE758" t="str">
            <v/>
          </cell>
          <cell r="BF758" t="str">
            <v/>
          </cell>
          <cell r="BG758" t="str">
            <v/>
          </cell>
          <cell r="BH758" t="str">
            <v>Co-10Ni-10Al-4.7WShinagawa, K. et al. Phase equilibria and microstructure on γ′ phase in Co-Ni-Al-W system. Mater. Trans. 49, 1474–1479 (2008).</v>
          </cell>
          <cell r="BI758" t="str">
            <v>Co-10.Ni-10.Al-4.7W</v>
          </cell>
          <cell r="BJ758"/>
        </row>
        <row r="759">
          <cell r="A759" t="str">
            <v>Co-20.Ni-10.Al-3.9W</v>
          </cell>
          <cell r="B759" t="str">
            <v>CoAlW-X</v>
          </cell>
          <cell r="C759" t="str">
            <v>-20Ni-10Al-4W</v>
          </cell>
          <cell r="D759" t="str">
            <v>Co-20Ni-10Al-3.9W</v>
          </cell>
          <cell r="E759" t="str">
            <v>Shinagawa, K. et al. Phase equilibria and microstructure on γ′ phase in Co-Ni-Al-W system. Mater. Trans. 49, 1474–1479 (2008).</v>
          </cell>
          <cell r="F759">
            <v>804</v>
          </cell>
          <cell r="G759">
            <v>66.099999999999994</v>
          </cell>
          <cell r="H759">
            <v>20</v>
          </cell>
          <cell r="I759">
            <v>10</v>
          </cell>
          <cell r="J759"/>
          <cell r="K759">
            <v>3.9</v>
          </cell>
          <cell r="L759"/>
          <cell r="M759"/>
          <cell r="N759"/>
          <cell r="O759"/>
          <cell r="P759"/>
          <cell r="Q759"/>
          <cell r="R759"/>
          <cell r="S759"/>
          <cell r="T759"/>
          <cell r="U759"/>
          <cell r="V759"/>
          <cell r="W759"/>
          <cell r="X759"/>
          <cell r="Y759"/>
          <cell r="Z759"/>
          <cell r="AA759"/>
          <cell r="AB759"/>
          <cell r="AC759"/>
          <cell r="AD759"/>
          <cell r="AE759"/>
          <cell r="AF759">
            <v>8.6852499999999999</v>
          </cell>
          <cell r="AG759"/>
          <cell r="AH759"/>
          <cell r="AI759" t="str">
            <v>Co</v>
          </cell>
          <cell r="AJ759" t="str">
            <v>-10.Al</v>
          </cell>
          <cell r="AK759" t="str">
            <v>-3.9W</v>
          </cell>
          <cell r="AL759" t="str">
            <v>-20.Ni</v>
          </cell>
          <cell r="AM759" t="str">
            <v/>
          </cell>
          <cell r="AN759" t="str">
            <v/>
          </cell>
          <cell r="AO759" t="str">
            <v/>
          </cell>
          <cell r="AP759" t="str">
            <v/>
          </cell>
          <cell r="AQ759" t="str">
            <v/>
          </cell>
          <cell r="AR759" t="str">
            <v/>
          </cell>
          <cell r="AS759" t="str">
            <v/>
          </cell>
          <cell r="AT759" t="str">
            <v/>
          </cell>
          <cell r="AU759" t="str">
            <v/>
          </cell>
          <cell r="AV759" t="str">
            <v/>
          </cell>
          <cell r="AW759" t="str">
            <v/>
          </cell>
          <cell r="AX759" t="str">
            <v/>
          </cell>
          <cell r="AY759" t="str">
            <v/>
          </cell>
          <cell r="AZ759" t="str">
            <v/>
          </cell>
          <cell r="BA759" t="str">
            <v/>
          </cell>
          <cell r="BB759" t="str">
            <v/>
          </cell>
          <cell r="BC759" t="str">
            <v/>
          </cell>
          <cell r="BD759" t="str">
            <v/>
          </cell>
          <cell r="BE759" t="str">
            <v/>
          </cell>
          <cell r="BF759" t="str">
            <v/>
          </cell>
          <cell r="BG759" t="str">
            <v/>
          </cell>
          <cell r="BH759" t="str">
            <v>Co-20Ni-10Al-3.9WShinagawa, K. et al. Phase equilibria and microstructure on γ′ phase in Co-Ni-Al-W system. Mater. Trans. 49, 1474–1479 (2008).</v>
          </cell>
          <cell r="BI759" t="str">
            <v>Co-20.Ni-10.Al-3.9W</v>
          </cell>
          <cell r="BJ759"/>
        </row>
        <row r="760">
          <cell r="A760" t="str">
            <v>Co-20.Ni-10.Al-5.W</v>
          </cell>
          <cell r="B760" t="str">
            <v>CoAlW-X</v>
          </cell>
          <cell r="C760" t="str">
            <v>-20Ni-10Al-5W</v>
          </cell>
          <cell r="D760" t="str">
            <v>Co-20Ni-10Al-5W</v>
          </cell>
          <cell r="E760" t="str">
            <v>Shinagawa, K. et al. Phase equilibria and microstructure on γ′ phase in Co-Ni-Al-W system. Mater. Trans. 49, 1474–1479 (2008).</v>
          </cell>
          <cell r="F760">
            <v>805</v>
          </cell>
          <cell r="G760">
            <v>65</v>
          </cell>
          <cell r="H760">
            <v>20</v>
          </cell>
          <cell r="I760">
            <v>10</v>
          </cell>
          <cell r="J760"/>
          <cell r="K760">
            <v>5</v>
          </cell>
          <cell r="L760"/>
          <cell r="M760"/>
          <cell r="N760"/>
          <cell r="O760"/>
          <cell r="P760"/>
          <cell r="Q760"/>
          <cell r="R760"/>
          <cell r="S760"/>
          <cell r="T760"/>
          <cell r="U760"/>
          <cell r="V760"/>
          <cell r="W760"/>
          <cell r="X760"/>
          <cell r="Y760"/>
          <cell r="Z760"/>
          <cell r="AA760"/>
          <cell r="AB760"/>
          <cell r="AC760"/>
          <cell r="AD760"/>
          <cell r="AE760"/>
          <cell r="AF760">
            <v>8.7990999999999993</v>
          </cell>
          <cell r="AG760"/>
          <cell r="AH760"/>
          <cell r="AI760" t="str">
            <v>Co</v>
          </cell>
          <cell r="AJ760" t="str">
            <v>-10.Al</v>
          </cell>
          <cell r="AK760" t="str">
            <v>-5.W</v>
          </cell>
          <cell r="AL760" t="str">
            <v>-20.Ni</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
          </cell>
          <cell r="BB760" t="str">
            <v/>
          </cell>
          <cell r="BC760" t="str">
            <v/>
          </cell>
          <cell r="BD760" t="str">
            <v/>
          </cell>
          <cell r="BE760" t="str">
            <v/>
          </cell>
          <cell r="BF760" t="str">
            <v/>
          </cell>
          <cell r="BG760" t="str">
            <v/>
          </cell>
          <cell r="BH760" t="str">
            <v>Co-20Ni-10Al-5WShinagawa, K. et al. Phase equilibria and microstructure on γ′ phase in Co-Ni-Al-W system. Mater. Trans. 49, 1474–1479 (2008).</v>
          </cell>
          <cell r="BI760" t="str">
            <v>Co-20.Ni-10.Al-5.W</v>
          </cell>
          <cell r="BJ760"/>
        </row>
        <row r="761">
          <cell r="A761" t="str">
            <v>Co-30.Ni-10.Al-3.2W</v>
          </cell>
          <cell r="B761" t="str">
            <v>CoAlW-X</v>
          </cell>
          <cell r="C761" t="str">
            <v>-30Ni-10Al-3W</v>
          </cell>
          <cell r="D761" t="str">
            <v>Co-30Ni-10Al-3.2W</v>
          </cell>
          <cell r="E761" t="str">
            <v>Shinagawa, K. et al. Phase equilibria and microstructure on γ′ phase in Co-Ni-Al-W system. Mater. Trans. 49, 1474–1479 (2008).</v>
          </cell>
          <cell r="F761">
            <v>806</v>
          </cell>
          <cell r="G761">
            <v>56.8</v>
          </cell>
          <cell r="H761">
            <v>30</v>
          </cell>
          <cell r="I761">
            <v>10</v>
          </cell>
          <cell r="J761"/>
          <cell r="K761">
            <v>3.2</v>
          </cell>
          <cell r="L761"/>
          <cell r="M761"/>
          <cell r="N761"/>
          <cell r="O761"/>
          <cell r="P761"/>
          <cell r="Q761"/>
          <cell r="R761"/>
          <cell r="S761"/>
          <cell r="T761"/>
          <cell r="U761"/>
          <cell r="V761"/>
          <cell r="W761"/>
          <cell r="X761"/>
          <cell r="Y761"/>
          <cell r="Z761"/>
          <cell r="AA761"/>
          <cell r="AB761"/>
          <cell r="AC761"/>
          <cell r="AD761"/>
          <cell r="AE761"/>
          <cell r="AF761">
            <v>8.6135999999999999</v>
          </cell>
          <cell r="AG761"/>
          <cell r="AH761"/>
          <cell r="AI761" t="str">
            <v>Co</v>
          </cell>
          <cell r="AJ761" t="str">
            <v>-10.Al</v>
          </cell>
          <cell r="AK761" t="str">
            <v>-3.2W</v>
          </cell>
          <cell r="AL761" t="str">
            <v>-30.Ni</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
          </cell>
          <cell r="BB761" t="str">
            <v/>
          </cell>
          <cell r="BC761" t="str">
            <v/>
          </cell>
          <cell r="BD761" t="str">
            <v/>
          </cell>
          <cell r="BE761" t="str">
            <v/>
          </cell>
          <cell r="BF761" t="str">
            <v/>
          </cell>
          <cell r="BG761" t="str">
            <v/>
          </cell>
          <cell r="BH761" t="str">
            <v>Co-30Ni-10Al-3.2WShinagawa, K. et al. Phase equilibria and microstructure on γ′ phase in Co-Ni-Al-W system. Mater. Trans. 49, 1474–1479 (2008).</v>
          </cell>
          <cell r="BI761" t="str">
            <v>Co-30.Ni-10.Al-3.2W</v>
          </cell>
          <cell r="BJ761"/>
        </row>
        <row r="762">
          <cell r="A762" t="str">
            <v>Co-40.Ni-10.Al-2.6W</v>
          </cell>
          <cell r="B762" t="str">
            <v>CoAlW-X</v>
          </cell>
          <cell r="C762" t="str">
            <v>-40Ni-10Al-3W</v>
          </cell>
          <cell r="D762" t="str">
            <v>Co-40Ni-10Al-2.6W</v>
          </cell>
          <cell r="E762" t="str">
            <v>Shinagawa, K. et al. Phase equilibria and microstructure on γ′ phase in Co-Ni-Al-W system. Mater. Trans. 49, 1474–1479 (2008).</v>
          </cell>
          <cell r="F762">
            <v>807</v>
          </cell>
          <cell r="G762">
            <v>47.4</v>
          </cell>
          <cell r="H762">
            <v>40</v>
          </cell>
          <cell r="I762">
            <v>10</v>
          </cell>
          <cell r="J762"/>
          <cell r="K762">
            <v>2.6</v>
          </cell>
          <cell r="L762"/>
          <cell r="M762"/>
          <cell r="N762"/>
          <cell r="O762"/>
          <cell r="P762"/>
          <cell r="Q762"/>
          <cell r="R762"/>
          <cell r="S762"/>
          <cell r="T762"/>
          <cell r="U762"/>
          <cell r="V762"/>
          <cell r="W762"/>
          <cell r="X762"/>
          <cell r="Y762"/>
          <cell r="Z762"/>
          <cell r="AA762"/>
          <cell r="AB762"/>
          <cell r="AC762"/>
          <cell r="AD762"/>
          <cell r="AE762"/>
          <cell r="AF762">
            <v>8.5523000000000007</v>
          </cell>
          <cell r="AG762"/>
          <cell r="AH762"/>
          <cell r="AI762" t="str">
            <v>Co</v>
          </cell>
          <cell r="AJ762" t="str">
            <v>-10.Al</v>
          </cell>
          <cell r="AK762" t="str">
            <v>-2.6W</v>
          </cell>
          <cell r="AL762" t="str">
            <v>-40.Ni</v>
          </cell>
          <cell r="AM762" t="str">
            <v/>
          </cell>
          <cell r="AN762" t="str">
            <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
          </cell>
          <cell r="BB762" t="str">
            <v/>
          </cell>
          <cell r="BC762" t="str">
            <v/>
          </cell>
          <cell r="BD762" t="str">
            <v/>
          </cell>
          <cell r="BE762" t="str">
            <v/>
          </cell>
          <cell r="BF762" t="str">
            <v/>
          </cell>
          <cell r="BG762" t="str">
            <v/>
          </cell>
          <cell r="BH762" t="str">
            <v>Co-40Ni-10Al-2.6WShinagawa, K. et al. Phase equilibria and microstructure on γ′ phase in Co-Ni-Al-W system. Mater. Trans. 49, 1474–1479 (2008).</v>
          </cell>
          <cell r="BI762" t="str">
            <v>Co-40.Ni-10.Al-2.6W</v>
          </cell>
          <cell r="BJ762" t="str">
            <v>100.0Co0000000000000000000000</v>
          </cell>
        </row>
        <row r="763">
          <cell r="A763" t="str">
            <v>Co-40.Ni-10.Al-5.W</v>
          </cell>
          <cell r="B763" t="str">
            <v>CoAlW-X</v>
          </cell>
          <cell r="C763" t="str">
            <v>-40Ni-10Al-5W</v>
          </cell>
          <cell r="D763" t="str">
            <v>Co-40Ni-10Al-5W</v>
          </cell>
          <cell r="E763" t="str">
            <v>Shinagawa, K. et al. Phase equilibria and microstructure on γ′ phase in Co-Ni-Al-W system. Mater. Trans. 49, 1474–1479 (2008).</v>
          </cell>
          <cell r="F763">
            <v>808</v>
          </cell>
          <cell r="G763">
            <v>45</v>
          </cell>
          <cell r="H763">
            <v>40</v>
          </cell>
          <cell r="I763">
            <v>10</v>
          </cell>
          <cell r="J763"/>
          <cell r="K763">
            <v>5</v>
          </cell>
          <cell r="L763"/>
          <cell r="M763"/>
          <cell r="N763"/>
          <cell r="O763"/>
          <cell r="P763"/>
          <cell r="Q763"/>
          <cell r="R763"/>
          <cell r="S763"/>
          <cell r="T763"/>
          <cell r="U763"/>
          <cell r="V763"/>
          <cell r="W763"/>
          <cell r="X763"/>
          <cell r="Y763"/>
          <cell r="Z763"/>
          <cell r="AA763"/>
          <cell r="AB763"/>
          <cell r="AC763"/>
          <cell r="AD763"/>
          <cell r="AE763"/>
          <cell r="AF763">
            <v>8.8006999999999991</v>
          </cell>
          <cell r="AG763"/>
          <cell r="AH763"/>
          <cell r="AI763" t="str">
            <v>Co</v>
          </cell>
          <cell r="AJ763" t="str">
            <v>-10.Al</v>
          </cell>
          <cell r="AK763" t="str">
            <v>-5.W</v>
          </cell>
          <cell r="AL763" t="str">
            <v>-40.Ni</v>
          </cell>
          <cell r="AM763" t="str">
            <v/>
          </cell>
          <cell r="AN763" t="str">
            <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
          </cell>
          <cell r="BB763" t="str">
            <v/>
          </cell>
          <cell r="BC763" t="str">
            <v/>
          </cell>
          <cell r="BD763" t="str">
            <v/>
          </cell>
          <cell r="BE763" t="str">
            <v/>
          </cell>
          <cell r="BF763" t="str">
            <v/>
          </cell>
          <cell r="BG763" t="str">
            <v/>
          </cell>
          <cell r="BH763" t="str">
            <v>Co-40Ni-10Al-5WShinagawa, K. et al. Phase equilibria and microstructure on γ′ phase in Co-Ni-Al-W system. Mater. Trans. 49, 1474–1479 (2008).</v>
          </cell>
          <cell r="BI763" t="str">
            <v>Co-40.Ni-10.Al-5.W</v>
          </cell>
          <cell r="BJ763"/>
        </row>
        <row r="764">
          <cell r="A764" t="str">
            <v>Co-50.Ni-10.Al-1.6W</v>
          </cell>
          <cell r="B764" t="str">
            <v>CoAlW-X</v>
          </cell>
          <cell r="C764" t="str">
            <v>-50Ni-10Al-2W</v>
          </cell>
          <cell r="D764" t="str">
            <v>Co-50Ni-10Al-1.6W</v>
          </cell>
          <cell r="E764" t="str">
            <v>Shinagawa, K. et al. Phase equilibria and microstructure on γ′ phase in Co-Ni-Al-W system. Mater. Trans. 49, 1474–1479 (2008).</v>
          </cell>
          <cell r="F764">
            <v>809</v>
          </cell>
          <cell r="G764">
            <v>38.4</v>
          </cell>
          <cell r="H764">
            <v>50</v>
          </cell>
          <cell r="I764">
            <v>10</v>
          </cell>
          <cell r="J764"/>
          <cell r="K764">
            <v>1.6</v>
          </cell>
          <cell r="L764"/>
          <cell r="M764"/>
          <cell r="N764"/>
          <cell r="O764"/>
          <cell r="P764"/>
          <cell r="Q764"/>
          <cell r="R764"/>
          <cell r="S764"/>
          <cell r="T764"/>
          <cell r="U764"/>
          <cell r="V764"/>
          <cell r="W764"/>
          <cell r="X764"/>
          <cell r="Y764"/>
          <cell r="Z764"/>
          <cell r="AA764"/>
          <cell r="AB764"/>
          <cell r="AC764"/>
          <cell r="AD764"/>
          <cell r="AE764"/>
          <cell r="AF764">
            <v>8.4496000000000002</v>
          </cell>
          <cell r="AG764"/>
          <cell r="AH764"/>
          <cell r="AI764" t="str">
            <v>Co</v>
          </cell>
          <cell r="AJ764" t="str">
            <v>-10.Al</v>
          </cell>
          <cell r="AK764" t="str">
            <v>-1.6W</v>
          </cell>
          <cell r="AL764" t="str">
            <v>-50.Ni</v>
          </cell>
          <cell r="AM764" t="str">
            <v/>
          </cell>
          <cell r="AN764" t="str">
            <v/>
          </cell>
          <cell r="AO764" t="str">
            <v/>
          </cell>
          <cell r="AP764" t="str">
            <v/>
          </cell>
          <cell r="AQ764" t="str">
            <v/>
          </cell>
          <cell r="AR764" t="str">
            <v/>
          </cell>
          <cell r="AS764" t="str">
            <v/>
          </cell>
          <cell r="AT764" t="str">
            <v/>
          </cell>
          <cell r="AU764" t="str">
            <v/>
          </cell>
          <cell r="AV764" t="str">
            <v/>
          </cell>
          <cell r="AW764" t="str">
            <v/>
          </cell>
          <cell r="AX764" t="str">
            <v/>
          </cell>
          <cell r="AY764" t="str">
            <v/>
          </cell>
          <cell r="AZ764" t="str">
            <v/>
          </cell>
          <cell r="BA764" t="str">
            <v/>
          </cell>
          <cell r="BB764" t="str">
            <v/>
          </cell>
          <cell r="BC764" t="str">
            <v/>
          </cell>
          <cell r="BD764" t="str">
            <v/>
          </cell>
          <cell r="BE764" t="str">
            <v/>
          </cell>
          <cell r="BF764" t="str">
            <v/>
          </cell>
          <cell r="BG764" t="str">
            <v/>
          </cell>
          <cell r="BH764" t="str">
            <v>Co-50Ni-10Al-1.6WShinagawa, K. et al. Phase equilibria and microstructure on γ′ phase in Co-Ni-Al-W system. Mater. Trans. 49, 1474–1479 (2008).</v>
          </cell>
          <cell r="BI764" t="str">
            <v>Co-50.Ni-10.Al-1.6W</v>
          </cell>
          <cell r="BJ764"/>
        </row>
        <row r="765">
          <cell r="A765" t="str">
            <v>Co-60.Ni-10.Al-1.W</v>
          </cell>
          <cell r="B765" t="str">
            <v>CoAlW-X</v>
          </cell>
          <cell r="C765" t="str">
            <v>-60Ni-10Al-1W</v>
          </cell>
          <cell r="D765" t="str">
            <v>Co-60Ni-10Al-1W</v>
          </cell>
          <cell r="E765" t="str">
            <v>Shinagawa, K. et al. Phase equilibria and microstructure on γ′ phase in Co-Ni-Al-W system. Mater. Trans. 49, 1474–1479 (2008).</v>
          </cell>
          <cell r="F765">
            <v>810</v>
          </cell>
          <cell r="G765">
            <v>29</v>
          </cell>
          <cell r="H765">
            <v>60</v>
          </cell>
          <cell r="I765">
            <v>10</v>
          </cell>
          <cell r="J765"/>
          <cell r="K765">
            <v>1</v>
          </cell>
          <cell r="L765"/>
          <cell r="M765"/>
          <cell r="N765"/>
          <cell r="O765"/>
          <cell r="P765"/>
          <cell r="Q765"/>
          <cell r="R765"/>
          <cell r="S765"/>
          <cell r="T765"/>
          <cell r="U765"/>
          <cell r="V765"/>
          <cell r="W765"/>
          <cell r="X765"/>
          <cell r="Y765"/>
          <cell r="Z765"/>
          <cell r="AA765"/>
          <cell r="AB765"/>
          <cell r="AC765"/>
          <cell r="AD765"/>
          <cell r="AE765"/>
          <cell r="AF765">
            <v>8.388300000000001</v>
          </cell>
          <cell r="AG765"/>
          <cell r="AH765"/>
          <cell r="AI765" t="str">
            <v>Co</v>
          </cell>
          <cell r="AJ765" t="str">
            <v>-10.Al</v>
          </cell>
          <cell r="AK765" t="str">
            <v>-1.W</v>
          </cell>
          <cell r="AL765" t="str">
            <v>-60.Ni</v>
          </cell>
          <cell r="AM765" t="str">
            <v/>
          </cell>
          <cell r="AN765" t="str">
            <v/>
          </cell>
          <cell r="AO765" t="str">
            <v/>
          </cell>
          <cell r="AP765" t="str">
            <v/>
          </cell>
          <cell r="AQ765" t="str">
            <v/>
          </cell>
          <cell r="AR765" t="str">
            <v/>
          </cell>
          <cell r="AS765" t="str">
            <v/>
          </cell>
          <cell r="AT765" t="str">
            <v/>
          </cell>
          <cell r="AU765" t="str">
            <v/>
          </cell>
          <cell r="AV765" t="str">
            <v/>
          </cell>
          <cell r="AW765" t="str">
            <v/>
          </cell>
          <cell r="AX765" t="str">
            <v/>
          </cell>
          <cell r="AY765" t="str">
            <v/>
          </cell>
          <cell r="AZ765" t="str">
            <v/>
          </cell>
          <cell r="BA765" t="str">
            <v/>
          </cell>
          <cell r="BB765" t="str">
            <v/>
          </cell>
          <cell r="BC765" t="str">
            <v/>
          </cell>
          <cell r="BD765" t="str">
            <v/>
          </cell>
          <cell r="BE765" t="str">
            <v/>
          </cell>
          <cell r="BF765" t="str">
            <v/>
          </cell>
          <cell r="BG765" t="str">
            <v/>
          </cell>
          <cell r="BH765" t="str">
            <v>Co-60Ni-10Al-1WShinagawa, K. et al. Phase equilibria and microstructure on γ′ phase in Co-Ni-Al-W system. Mater. Trans. 49, 1474–1479 (2008).</v>
          </cell>
          <cell r="BI765" t="str">
            <v>Co-60.Ni-10.Al-1.W</v>
          </cell>
          <cell r="BJ765"/>
        </row>
        <row r="766">
          <cell r="A766" t="str">
            <v>Co-60.Ni-10.Al-5.W</v>
          </cell>
          <cell r="B766" t="str">
            <v>CoAlW-X</v>
          </cell>
          <cell r="C766" t="str">
            <v>-60Ni-10Al-5W</v>
          </cell>
          <cell r="D766" t="str">
            <v>Co-60Ni-10Al-5W</v>
          </cell>
          <cell r="E766" t="str">
            <v>Shinagawa, K. et al. Phase equilibria and microstructure on γ′ phase in Co-Ni-Al-W system. Mater. Trans. 49, 1474–1479 (2008).</v>
          </cell>
          <cell r="F766">
            <v>811</v>
          </cell>
          <cell r="G766">
            <v>25</v>
          </cell>
          <cell r="H766">
            <v>60</v>
          </cell>
          <cell r="I766">
            <v>10</v>
          </cell>
          <cell r="J766"/>
          <cell r="K766">
            <v>5</v>
          </cell>
          <cell r="L766"/>
          <cell r="M766"/>
          <cell r="N766"/>
          <cell r="O766"/>
          <cell r="P766"/>
          <cell r="Q766"/>
          <cell r="R766"/>
          <cell r="S766"/>
          <cell r="T766"/>
          <cell r="U766"/>
          <cell r="V766"/>
          <cell r="W766"/>
          <cell r="X766"/>
          <cell r="Y766"/>
          <cell r="Z766"/>
          <cell r="AA766"/>
          <cell r="AB766"/>
          <cell r="AC766"/>
          <cell r="AD766"/>
          <cell r="AE766"/>
          <cell r="AF766">
            <v>8.8023000000000007</v>
          </cell>
          <cell r="AG766"/>
          <cell r="AH766"/>
          <cell r="AI766" t="str">
            <v>Co</v>
          </cell>
          <cell r="AJ766" t="str">
            <v>-10.Al</v>
          </cell>
          <cell r="AK766" t="str">
            <v>-5.W</v>
          </cell>
          <cell r="AL766" t="str">
            <v>-60.Ni</v>
          </cell>
          <cell r="AM766" t="str">
            <v/>
          </cell>
          <cell r="AN766" t="str">
            <v/>
          </cell>
          <cell r="AO766" t="str">
            <v/>
          </cell>
          <cell r="AP766" t="str">
            <v/>
          </cell>
          <cell r="AQ766" t="str">
            <v/>
          </cell>
          <cell r="AR766" t="str">
            <v/>
          </cell>
          <cell r="AS766" t="str">
            <v/>
          </cell>
          <cell r="AT766" t="str">
            <v/>
          </cell>
          <cell r="AU766" t="str">
            <v/>
          </cell>
          <cell r="AV766" t="str">
            <v/>
          </cell>
          <cell r="AW766" t="str">
            <v/>
          </cell>
          <cell r="AX766" t="str">
            <v/>
          </cell>
          <cell r="AY766" t="str">
            <v/>
          </cell>
          <cell r="AZ766" t="str">
            <v/>
          </cell>
          <cell r="BA766" t="str">
            <v/>
          </cell>
          <cell r="BB766" t="str">
            <v/>
          </cell>
          <cell r="BC766" t="str">
            <v/>
          </cell>
          <cell r="BD766" t="str">
            <v/>
          </cell>
          <cell r="BE766" t="str">
            <v/>
          </cell>
          <cell r="BF766" t="str">
            <v/>
          </cell>
          <cell r="BG766" t="str">
            <v/>
          </cell>
          <cell r="BH766" t="str">
            <v>Co-60Ni-10Al-5WShinagawa, K. et al. Phase equilibria and microstructure on γ′ phase in Co-Ni-Al-W system. Mater. Trans. 49, 1474–1479 (2008).</v>
          </cell>
          <cell r="BI766" t="str">
            <v>Co-60.Ni-10.Al-5.W</v>
          </cell>
          <cell r="BJ766"/>
        </row>
        <row r="767">
          <cell r="A767" t="str">
            <v>Co-60.Ni-10.Al-2.6W</v>
          </cell>
          <cell r="B767" t="str">
            <v>CoAlW-X</v>
          </cell>
          <cell r="C767" t="str">
            <v>-60Ni-10Al-3W</v>
          </cell>
          <cell r="D767" t="str">
            <v>Co-60Ni-10Al-2.6W</v>
          </cell>
          <cell r="E767" t="str">
            <v>Shinagawa, K. et al. Phase equilibria and microstructure on γ′ phase in Co-Ni-Al-W system. Mater. Trans. 49, 1474–1479 (2008).</v>
          </cell>
          <cell r="F767">
            <v>812</v>
          </cell>
          <cell r="G767">
            <v>27.400000000000006</v>
          </cell>
          <cell r="H767">
            <v>60</v>
          </cell>
          <cell r="I767">
            <v>10</v>
          </cell>
          <cell r="J767"/>
          <cell r="K767">
            <v>2.6</v>
          </cell>
          <cell r="L767"/>
          <cell r="M767"/>
          <cell r="N767"/>
          <cell r="O767"/>
          <cell r="P767"/>
          <cell r="Q767"/>
          <cell r="R767"/>
          <cell r="S767"/>
          <cell r="T767"/>
          <cell r="U767"/>
          <cell r="V767"/>
          <cell r="W767"/>
          <cell r="X767"/>
          <cell r="Y767"/>
          <cell r="Z767"/>
          <cell r="AA767"/>
          <cell r="AB767"/>
          <cell r="AC767"/>
          <cell r="AD767"/>
          <cell r="AE767"/>
          <cell r="AF767">
            <v>8.5539000000000005</v>
          </cell>
          <cell r="AG767"/>
          <cell r="AH767"/>
          <cell r="AI767" t="str">
            <v>Co</v>
          </cell>
          <cell r="AJ767" t="str">
            <v>-10.Al</v>
          </cell>
          <cell r="AK767" t="str">
            <v>-2.6W</v>
          </cell>
          <cell r="AL767" t="str">
            <v>-60.Ni</v>
          </cell>
          <cell r="AM767" t="str">
            <v/>
          </cell>
          <cell r="AN767" t="str">
            <v/>
          </cell>
          <cell r="AO767" t="str">
            <v/>
          </cell>
          <cell r="AP767" t="str">
            <v/>
          </cell>
          <cell r="AQ767" t="str">
            <v/>
          </cell>
          <cell r="AR767" t="str">
            <v/>
          </cell>
          <cell r="AS767" t="str">
            <v/>
          </cell>
          <cell r="AT767" t="str">
            <v/>
          </cell>
          <cell r="AU767" t="str">
            <v/>
          </cell>
          <cell r="AV767" t="str">
            <v/>
          </cell>
          <cell r="AW767" t="str">
            <v/>
          </cell>
          <cell r="AX767" t="str">
            <v/>
          </cell>
          <cell r="AY767" t="str">
            <v/>
          </cell>
          <cell r="AZ767" t="str">
            <v/>
          </cell>
          <cell r="BA767" t="str">
            <v/>
          </cell>
          <cell r="BB767" t="str">
            <v/>
          </cell>
          <cell r="BC767" t="str">
            <v/>
          </cell>
          <cell r="BD767" t="str">
            <v/>
          </cell>
          <cell r="BE767" t="str">
            <v/>
          </cell>
          <cell r="BF767" t="str">
            <v/>
          </cell>
          <cell r="BG767" t="str">
            <v/>
          </cell>
          <cell r="BH767" t="str">
            <v>Co-60Ni-10Al-2.6WShinagawa, K. et al. Phase equilibria and microstructure on γ′ phase in Co-Ni-Al-W system. Mater. Trans. 49, 1474–1479 (2008).</v>
          </cell>
          <cell r="BI767" t="str">
            <v>Co-60.Ni-10.Al-2.6W</v>
          </cell>
          <cell r="BJ767"/>
        </row>
        <row r="768">
          <cell r="A768" t="str">
            <v>Co-70.Ni-10.Al-1.4W</v>
          </cell>
          <cell r="B768" t="str">
            <v>CoAlW-X</v>
          </cell>
          <cell r="C768" t="str">
            <v>-70Ni-10Al-1W</v>
          </cell>
          <cell r="D768" t="str">
            <v>Co-70Ni-10Al-1.4W</v>
          </cell>
          <cell r="E768" t="str">
            <v>Shinagawa, K. et al. Phase equilibria and microstructure on γ′ phase in Co-Ni-Al-W system. Mater. Trans. 49, 1474–1479 (2008).</v>
          </cell>
          <cell r="F768">
            <v>813</v>
          </cell>
          <cell r="G768">
            <v>18.599999999999994</v>
          </cell>
          <cell r="H768">
            <v>70</v>
          </cell>
          <cell r="I768">
            <v>10</v>
          </cell>
          <cell r="J768"/>
          <cell r="K768">
            <v>1.4</v>
          </cell>
          <cell r="L768"/>
          <cell r="M768"/>
          <cell r="N768"/>
          <cell r="O768"/>
          <cell r="P768"/>
          <cell r="Q768"/>
          <cell r="R768"/>
          <cell r="S768"/>
          <cell r="T768"/>
          <cell r="U768"/>
          <cell r="V768"/>
          <cell r="W768"/>
          <cell r="X768"/>
          <cell r="Y768"/>
          <cell r="Z768"/>
          <cell r="AA768"/>
          <cell r="AB768"/>
          <cell r="AC768"/>
          <cell r="AD768"/>
          <cell r="AE768"/>
          <cell r="AF768">
            <v>8.4305000000000003</v>
          </cell>
          <cell r="AG768"/>
          <cell r="AH768"/>
          <cell r="AI768" t="str">
            <v>Co</v>
          </cell>
          <cell r="AJ768" t="str">
            <v>-10.Al</v>
          </cell>
          <cell r="AK768" t="str">
            <v>-1.4W</v>
          </cell>
          <cell r="AL768" t="str">
            <v>-70.Ni</v>
          </cell>
          <cell r="AM768" t="str">
            <v/>
          </cell>
          <cell r="AN768" t="str">
            <v/>
          </cell>
          <cell r="AO768" t="str">
            <v/>
          </cell>
          <cell r="AP768" t="str">
            <v/>
          </cell>
          <cell r="AQ768" t="str">
            <v/>
          </cell>
          <cell r="AR768" t="str">
            <v/>
          </cell>
          <cell r="AS768" t="str">
            <v/>
          </cell>
          <cell r="AT768" t="str">
            <v/>
          </cell>
          <cell r="AU768" t="str">
            <v/>
          </cell>
          <cell r="AV768" t="str">
            <v/>
          </cell>
          <cell r="AW768" t="str">
            <v/>
          </cell>
          <cell r="AX768" t="str">
            <v/>
          </cell>
          <cell r="AY768" t="str">
            <v/>
          </cell>
          <cell r="AZ768" t="str">
            <v/>
          </cell>
          <cell r="BA768" t="str">
            <v/>
          </cell>
          <cell r="BB768" t="str">
            <v/>
          </cell>
          <cell r="BC768" t="str">
            <v/>
          </cell>
          <cell r="BD768" t="str">
            <v/>
          </cell>
          <cell r="BE768" t="str">
            <v/>
          </cell>
          <cell r="BF768" t="str">
            <v/>
          </cell>
          <cell r="BG768" t="str">
            <v/>
          </cell>
          <cell r="BH768" t="str">
            <v>Co-70Ni-10Al-1.4WShinagawa, K. et al. Phase equilibria and microstructure on γ′ phase in Co-Ni-Al-W system. Mater. Trans. 49, 1474–1479 (2008).</v>
          </cell>
          <cell r="BI768" t="str">
            <v>Co-70.Ni-10.Al-1.4W</v>
          </cell>
          <cell r="BJ768"/>
        </row>
        <row r="769">
          <cell r="A769" t="str">
            <v>Co</v>
          </cell>
          <cell r="B769"/>
          <cell r="C769"/>
          <cell r="D769"/>
          <cell r="E769"/>
          <cell r="F769"/>
          <cell r="G769">
            <v>100</v>
          </cell>
          <cell r="H769"/>
          <cell r="I769"/>
          <cell r="J769"/>
          <cell r="K769"/>
          <cell r="L769"/>
          <cell r="M769"/>
          <cell r="N769"/>
          <cell r="O769"/>
          <cell r="P769"/>
          <cell r="Q769"/>
          <cell r="R769"/>
          <cell r="S769"/>
          <cell r="T769"/>
          <cell r="U769"/>
          <cell r="V769"/>
          <cell r="W769"/>
          <cell r="X769"/>
          <cell r="Y769"/>
          <cell r="Z769"/>
          <cell r="AA769"/>
          <cell r="AB769"/>
          <cell r="AC769"/>
          <cell r="AD769"/>
          <cell r="AE769"/>
          <cell r="AF769">
            <v>8.9</v>
          </cell>
          <cell r="AG769"/>
          <cell r="AH769"/>
          <cell r="AI769" t="str">
            <v>Co</v>
          </cell>
          <cell r="AJ769" t="str">
            <v/>
          </cell>
          <cell r="AK769" t="str">
            <v/>
          </cell>
          <cell r="AL769" t="str">
            <v/>
          </cell>
          <cell r="AM769" t="str">
            <v/>
          </cell>
          <cell r="AN769" t="str">
            <v/>
          </cell>
          <cell r="AO769" t="str">
            <v/>
          </cell>
          <cell r="AP769" t="str">
            <v/>
          </cell>
          <cell r="AQ769" t="str">
            <v/>
          </cell>
          <cell r="AR769" t="str">
            <v/>
          </cell>
          <cell r="AS769" t="str">
            <v/>
          </cell>
          <cell r="AT769" t="str">
            <v/>
          </cell>
          <cell r="AU769" t="str">
            <v/>
          </cell>
          <cell r="AV769" t="str">
            <v/>
          </cell>
          <cell r="AW769" t="str">
            <v/>
          </cell>
          <cell r="AX769" t="str">
            <v/>
          </cell>
          <cell r="AY769" t="str">
            <v/>
          </cell>
          <cell r="AZ769" t="str">
            <v/>
          </cell>
          <cell r="BA769" t="str">
            <v/>
          </cell>
          <cell r="BB769" t="str">
            <v/>
          </cell>
          <cell r="BC769" t="str">
            <v/>
          </cell>
          <cell r="BD769" t="str">
            <v/>
          </cell>
          <cell r="BE769" t="str">
            <v/>
          </cell>
          <cell r="BF769" t="str">
            <v/>
          </cell>
          <cell r="BG769" t="str">
            <v/>
          </cell>
          <cell r="BH769" t="str">
            <v/>
          </cell>
          <cell r="BI769" t="str">
            <v>Co</v>
          </cell>
          <cell r="BJ769"/>
        </row>
        <row r="770">
          <cell r="A770" t="str">
            <v>Co</v>
          </cell>
          <cell r="B770"/>
          <cell r="C770"/>
          <cell r="D770"/>
          <cell r="E770"/>
          <cell r="F770"/>
          <cell r="G770">
            <v>100</v>
          </cell>
          <cell r="H770"/>
          <cell r="I770"/>
          <cell r="J770"/>
          <cell r="K770"/>
          <cell r="L770"/>
          <cell r="M770"/>
          <cell r="N770"/>
          <cell r="O770"/>
          <cell r="P770"/>
          <cell r="Q770"/>
          <cell r="R770"/>
          <cell r="S770"/>
          <cell r="T770"/>
          <cell r="U770"/>
          <cell r="V770"/>
          <cell r="W770"/>
          <cell r="X770"/>
          <cell r="Y770"/>
          <cell r="Z770"/>
          <cell r="AA770"/>
          <cell r="AB770"/>
          <cell r="AC770"/>
          <cell r="AD770"/>
          <cell r="AE770"/>
          <cell r="AF770">
            <v>8.9</v>
          </cell>
          <cell r="AG770"/>
          <cell r="AH770"/>
          <cell r="AI770" t="str">
            <v>Co</v>
          </cell>
          <cell r="AJ770" t="str">
            <v/>
          </cell>
          <cell r="AK770" t="str">
            <v/>
          </cell>
          <cell r="AL770" t="str">
            <v/>
          </cell>
          <cell r="AM770" t="str">
            <v/>
          </cell>
          <cell r="AN770" t="str">
            <v/>
          </cell>
          <cell r="AO770" t="str">
            <v/>
          </cell>
          <cell r="AP770" t="str">
            <v/>
          </cell>
          <cell r="AQ770" t="str">
            <v/>
          </cell>
          <cell r="AR770" t="str">
            <v/>
          </cell>
          <cell r="AS770" t="str">
            <v/>
          </cell>
          <cell r="AT770" t="str">
            <v/>
          </cell>
          <cell r="AU770" t="str">
            <v/>
          </cell>
          <cell r="AV770" t="str">
            <v/>
          </cell>
          <cell r="AW770" t="str">
            <v/>
          </cell>
          <cell r="AX770" t="str">
            <v/>
          </cell>
          <cell r="AY770" t="str">
            <v/>
          </cell>
          <cell r="AZ770" t="str">
            <v/>
          </cell>
          <cell r="BA770" t="str">
            <v/>
          </cell>
          <cell r="BB770" t="str">
            <v/>
          </cell>
          <cell r="BC770" t="str">
            <v/>
          </cell>
          <cell r="BD770" t="str">
            <v/>
          </cell>
          <cell r="BE770" t="str">
            <v/>
          </cell>
          <cell r="BF770" t="str">
            <v/>
          </cell>
          <cell r="BG770" t="str">
            <v/>
          </cell>
          <cell r="BH770" t="str">
            <v/>
          </cell>
          <cell r="BI770" t="str">
            <v>Co</v>
          </cell>
          <cell r="BJ770"/>
        </row>
        <row r="771">
          <cell r="A771" t="str">
            <v>Co</v>
          </cell>
          <cell r="B771"/>
          <cell r="C771" t="str">
            <v/>
          </cell>
          <cell r="D771"/>
          <cell r="E771"/>
          <cell r="F771"/>
          <cell r="G771">
            <v>100</v>
          </cell>
          <cell r="H771"/>
          <cell r="I771"/>
          <cell r="J771"/>
          <cell r="K771"/>
          <cell r="L771"/>
          <cell r="M771"/>
          <cell r="N771"/>
          <cell r="O771"/>
          <cell r="P771"/>
          <cell r="Q771"/>
          <cell r="R771"/>
          <cell r="S771"/>
          <cell r="T771"/>
          <cell r="U771"/>
          <cell r="V771"/>
          <cell r="W771"/>
          <cell r="X771"/>
          <cell r="Y771"/>
          <cell r="Z771"/>
          <cell r="AA771"/>
          <cell r="AB771"/>
          <cell r="AC771"/>
          <cell r="AD771"/>
          <cell r="AE771"/>
          <cell r="AF771">
            <v>8.9</v>
          </cell>
          <cell r="AG771"/>
          <cell r="AH771"/>
          <cell r="AI771" t="str">
            <v>Co</v>
          </cell>
          <cell r="AJ771" t="str">
            <v/>
          </cell>
          <cell r="AK771" t="str">
            <v/>
          </cell>
          <cell r="AL771" t="str">
            <v/>
          </cell>
          <cell r="AM771" t="str">
            <v/>
          </cell>
          <cell r="AN771" t="str">
            <v/>
          </cell>
          <cell r="AO771" t="str">
            <v/>
          </cell>
          <cell r="AP771" t="str">
            <v/>
          </cell>
          <cell r="AQ771" t="str">
            <v/>
          </cell>
          <cell r="AR771" t="str">
            <v/>
          </cell>
          <cell r="AS771" t="str">
            <v/>
          </cell>
          <cell r="AT771" t="str">
            <v/>
          </cell>
          <cell r="AU771" t="str">
            <v/>
          </cell>
          <cell r="AV771" t="str">
            <v/>
          </cell>
          <cell r="AW771" t="str">
            <v/>
          </cell>
          <cell r="AX771" t="str">
            <v/>
          </cell>
          <cell r="AY771" t="str">
            <v/>
          </cell>
          <cell r="AZ771" t="str">
            <v/>
          </cell>
          <cell r="BA771" t="str">
            <v/>
          </cell>
          <cell r="BB771" t="str">
            <v/>
          </cell>
          <cell r="BC771" t="str">
            <v/>
          </cell>
          <cell r="BD771" t="str">
            <v/>
          </cell>
          <cell r="BE771" t="str">
            <v/>
          </cell>
          <cell r="BF771" t="str">
            <v/>
          </cell>
          <cell r="BG771" t="str">
            <v/>
          </cell>
          <cell r="BH771" t="str">
            <v/>
          </cell>
          <cell r="BI771" t="str">
            <v>Co</v>
          </cell>
          <cell r="BJ771" t="str">
            <v>100.0Co0000000000000000000000</v>
          </cell>
        </row>
        <row r="772">
          <cell r="A772" t="str">
            <v>Co</v>
          </cell>
          <cell r="B772"/>
          <cell r="C772" t="str">
            <v/>
          </cell>
          <cell r="D772"/>
          <cell r="E772"/>
          <cell r="F772"/>
          <cell r="G772">
            <v>100</v>
          </cell>
          <cell r="H772"/>
          <cell r="I772"/>
          <cell r="J772"/>
          <cell r="K772"/>
          <cell r="L772"/>
          <cell r="M772"/>
          <cell r="N772"/>
          <cell r="O772"/>
          <cell r="P772"/>
          <cell r="Q772"/>
          <cell r="R772"/>
          <cell r="S772"/>
          <cell r="T772"/>
          <cell r="U772"/>
          <cell r="V772"/>
          <cell r="W772"/>
          <cell r="X772"/>
          <cell r="Y772"/>
          <cell r="Z772"/>
          <cell r="AA772"/>
          <cell r="AB772"/>
          <cell r="AC772"/>
          <cell r="AD772"/>
          <cell r="AE772"/>
          <cell r="AF772">
            <v>8.9</v>
          </cell>
          <cell r="AG772"/>
          <cell r="AH772"/>
          <cell r="AI772" t="str">
            <v>Co</v>
          </cell>
          <cell r="AJ772" t="str">
            <v/>
          </cell>
          <cell r="AK772" t="str">
            <v/>
          </cell>
          <cell r="AL772" t="str">
            <v/>
          </cell>
          <cell r="AM772" t="str">
            <v/>
          </cell>
          <cell r="AN772" t="str">
            <v/>
          </cell>
          <cell r="AO772" t="str">
            <v/>
          </cell>
          <cell r="AP772" t="str">
            <v/>
          </cell>
          <cell r="AQ772" t="str">
            <v/>
          </cell>
          <cell r="AR772" t="str">
            <v/>
          </cell>
          <cell r="AS772" t="str">
            <v/>
          </cell>
          <cell r="AT772" t="str">
            <v/>
          </cell>
          <cell r="AU772" t="str">
            <v/>
          </cell>
          <cell r="AV772" t="str">
            <v/>
          </cell>
          <cell r="AW772" t="str">
            <v/>
          </cell>
          <cell r="AX772" t="str">
            <v/>
          </cell>
          <cell r="AY772" t="str">
            <v/>
          </cell>
          <cell r="AZ772" t="str">
            <v/>
          </cell>
          <cell r="BA772" t="str">
            <v/>
          </cell>
          <cell r="BB772" t="str">
            <v/>
          </cell>
          <cell r="BC772" t="str">
            <v/>
          </cell>
          <cell r="BD772" t="str">
            <v/>
          </cell>
          <cell r="BE772" t="str">
            <v/>
          </cell>
          <cell r="BF772" t="str">
            <v/>
          </cell>
          <cell r="BG772" t="str">
            <v/>
          </cell>
          <cell r="BH772" t="str">
            <v/>
          </cell>
          <cell r="BI772" t="str">
            <v>Co</v>
          </cell>
          <cell r="BJ772" t="str">
            <v>100.0Co0000000000000000000000</v>
          </cell>
        </row>
        <row r="773">
          <cell r="A773" t="str">
            <v>Co-9.Al-9.0W</v>
          </cell>
          <cell r="B773" t="str">
            <v>CoAlW-X</v>
          </cell>
          <cell r="C773" t="str">
            <v>-9Al-9W</v>
          </cell>
          <cell r="D773" t="str">
            <v>Co9-9</v>
          </cell>
          <cell r="E773" t="str">
            <v>Cordero, C.- &amp; Marta. Mechanical Behaviour of Novel Sintered Co-Al-W Alloys at High Temperatures.</v>
          </cell>
          <cell r="F773">
            <v>1620</v>
          </cell>
          <cell r="G773">
            <v>82</v>
          </cell>
          <cell r="H773"/>
          <cell r="I773">
            <v>9</v>
          </cell>
          <cell r="J773"/>
          <cell r="K773">
            <v>9</v>
          </cell>
          <cell r="L773"/>
          <cell r="M773"/>
          <cell r="N773"/>
          <cell r="O773"/>
          <cell r="P773"/>
          <cell r="Q773"/>
          <cell r="R773"/>
          <cell r="S773"/>
          <cell r="T773"/>
          <cell r="U773"/>
          <cell r="V773"/>
          <cell r="W773"/>
          <cell r="X773"/>
          <cell r="Y773"/>
          <cell r="Z773"/>
          <cell r="AA773"/>
          <cell r="AB773"/>
          <cell r="AC773"/>
          <cell r="AD773"/>
          <cell r="AE773"/>
          <cell r="AF773">
            <v>9.2735000000000003</v>
          </cell>
          <cell r="AG773"/>
          <cell r="AH773" t="str">
            <v>power metallurgy, no g' formed</v>
          </cell>
          <cell r="AI773" t="str">
            <v>Co</v>
          </cell>
          <cell r="AJ773" t="str">
            <v>-9.Al</v>
          </cell>
          <cell r="AK773" t="str">
            <v>-9.0W</v>
          </cell>
          <cell r="AL773" t="str">
            <v/>
          </cell>
          <cell r="AM773" t="str">
            <v/>
          </cell>
          <cell r="AN773" t="str">
            <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
          </cell>
          <cell r="BB773" t="str">
            <v/>
          </cell>
          <cell r="BC773" t="str">
            <v/>
          </cell>
          <cell r="BD773" t="str">
            <v/>
          </cell>
          <cell r="BE773" t="str">
            <v/>
          </cell>
          <cell r="BF773" t="str">
            <v/>
          </cell>
          <cell r="BG773" t="str">
            <v/>
          </cell>
          <cell r="BH773" t="str">
            <v>Co9-9Cordero, C.- &amp; Marta. Mechanical Behaviour of Novel Sintered Co-Al-W Alloys at High Temperatures.</v>
          </cell>
          <cell r="BI773" t="str">
            <v>Co-9.Al-9.0W</v>
          </cell>
          <cell r="BJ773" t="str">
            <v>82.0Co-9.0Al-9.0W</v>
          </cell>
        </row>
        <row r="774">
          <cell r="A774" t="str">
            <v>Co-29.2Ni-9.8Al-6.4Cr-6.3W-2.4Ta</v>
          </cell>
          <cell r="B774" t="str">
            <v>CoAlWX+</v>
          </cell>
          <cell r="C774" t="str">
            <v>-29Ni-10Al-6Cr-6W-2Ta</v>
          </cell>
          <cell r="D774" t="str">
            <v>CoNi-A</v>
          </cell>
          <cell r="E774" t="str">
            <v>Jackson, R. W., Titus, M. S., Begley, M. R. &amp; Pollock, T. M. Thermal expansion behavior of new Co-based alloys and implications for coatings. Surf. Coatings Technol. 289, 61–68 (2016).</v>
          </cell>
          <cell r="F774">
            <v>2230</v>
          </cell>
          <cell r="G774">
            <v>45.900000000000006</v>
          </cell>
          <cell r="H774">
            <v>29.2</v>
          </cell>
          <cell r="I774">
            <v>9.8000000000000007</v>
          </cell>
          <cell r="J774">
            <v>6.4</v>
          </cell>
          <cell r="K774">
            <v>6.3</v>
          </cell>
          <cell r="L774"/>
          <cell r="M774">
            <v>2.4</v>
          </cell>
          <cell r="N774"/>
          <cell r="O774"/>
          <cell r="P774"/>
          <cell r="Q774"/>
          <cell r="R774"/>
          <cell r="S774"/>
          <cell r="T774"/>
          <cell r="U774"/>
          <cell r="V774"/>
          <cell r="W774"/>
          <cell r="X774"/>
          <cell r="Y774"/>
          <cell r="Z774"/>
          <cell r="AA774"/>
          <cell r="AB774"/>
          <cell r="AC774"/>
          <cell r="AD774"/>
          <cell r="AE774"/>
          <cell r="AF774">
            <v>9.0233460000000001</v>
          </cell>
          <cell r="AG774"/>
          <cell r="AH774"/>
          <cell r="AI774" t="str">
            <v>Co</v>
          </cell>
          <cell r="AJ774" t="str">
            <v>-9.8Al</v>
          </cell>
          <cell r="AK774" t="str">
            <v>-6.3W</v>
          </cell>
          <cell r="AL774" t="str">
            <v>-29.2Ni</v>
          </cell>
          <cell r="AM774" t="str">
            <v>-6.4Cr</v>
          </cell>
          <cell r="AN774" t="str">
            <v>-2.4Ta</v>
          </cell>
          <cell r="AO774" t="str">
            <v/>
          </cell>
          <cell r="AP774" t="str">
            <v/>
          </cell>
          <cell r="AQ774" t="str">
            <v/>
          </cell>
          <cell r="AR774" t="str">
            <v/>
          </cell>
          <cell r="AS774" t="str">
            <v/>
          </cell>
          <cell r="AT774" t="str">
            <v/>
          </cell>
          <cell r="AU774" t="str">
            <v/>
          </cell>
          <cell r="AV774" t="str">
            <v/>
          </cell>
          <cell r="AW774" t="str">
            <v/>
          </cell>
          <cell r="AX774" t="str">
            <v/>
          </cell>
          <cell r="AY774" t="str">
            <v/>
          </cell>
          <cell r="AZ774" t="str">
            <v/>
          </cell>
          <cell r="BA774" t="str">
            <v/>
          </cell>
          <cell r="BB774" t="str">
            <v/>
          </cell>
          <cell r="BC774" t="str">
            <v/>
          </cell>
          <cell r="BD774" t="str">
            <v/>
          </cell>
          <cell r="BE774" t="str">
            <v/>
          </cell>
          <cell r="BF774" t="str">
            <v/>
          </cell>
          <cell r="BG774" t="str">
            <v/>
          </cell>
          <cell r="BH774" t="str">
            <v>CoNi-AJackson, R. W., Titus, M. S., Begley, M. R. &amp; Pollock, T. M. Thermal expansion behavior of new Co-based alloys and implications for coatings. Surf. Coatings Technol. 289, 61–68 (2016).</v>
          </cell>
          <cell r="BI774" t="str">
            <v>Co-29.2Ni-9.8Al-6.4Cr-6.3W-2.4Ta</v>
          </cell>
          <cell r="BJ774" t="str">
            <v>75.1Co-29.2Ni-9.8Al-6.4Cr-6.3W-2.4Ta</v>
          </cell>
        </row>
        <row r="775">
          <cell r="A775" t="str">
            <v>Co-7.Al-8.0W-4.0Ti-1.0Ta</v>
          </cell>
          <cell r="B775" t="str">
            <v>CoAlWX+</v>
          </cell>
          <cell r="C775" t="str">
            <v>-7Al-8W-4Ti-1Ta</v>
          </cell>
          <cell r="D775" t="str">
            <v>TaTi</v>
          </cell>
          <cell r="E775" t="str">
            <v>Lu, S., Antonov, S., Li, L. &amp; Feng, Q. Two Steady-State Creep Stages in Co-Al-W-Base Single-Crystal Superalloys at 1273 K/137 MPa. Metall. Mater. Trans. A Phys. Metall. Mater. Sci. 49, 4079–4089 (2018).</v>
          </cell>
          <cell r="F775">
            <v>3080</v>
          </cell>
          <cell r="G775">
            <v>80</v>
          </cell>
          <cell r="H775"/>
          <cell r="I775">
            <v>7</v>
          </cell>
          <cell r="J775"/>
          <cell r="K775">
            <v>8</v>
          </cell>
          <cell r="L775">
            <v>4</v>
          </cell>
          <cell r="M775">
            <v>1</v>
          </cell>
          <cell r="N775"/>
          <cell r="O775"/>
          <cell r="P775"/>
          <cell r="Q775"/>
          <cell r="R775"/>
          <cell r="S775"/>
          <cell r="T775"/>
          <cell r="U775"/>
          <cell r="V775"/>
          <cell r="W775"/>
          <cell r="X775"/>
          <cell r="Y775"/>
          <cell r="Z775"/>
          <cell r="AA775"/>
          <cell r="AB775"/>
          <cell r="AC775"/>
          <cell r="AD775"/>
          <cell r="AE775"/>
          <cell r="AF775">
            <v>9.1957799999999992</v>
          </cell>
          <cell r="AG775"/>
          <cell r="AH775" t="str">
            <v>single crystal</v>
          </cell>
          <cell r="AI775" t="str">
            <v>Co</v>
          </cell>
          <cell r="AJ775" t="str">
            <v>-7.Al</v>
          </cell>
          <cell r="AK775" t="str">
            <v>-8.0W</v>
          </cell>
          <cell r="AL775" t="str">
            <v/>
          </cell>
          <cell r="AM775" t="str">
            <v/>
          </cell>
          <cell r="AN775" t="str">
            <v>-1.0Ta</v>
          </cell>
          <cell r="AO775" t="str">
            <v/>
          </cell>
          <cell r="AP775" t="str">
            <v/>
          </cell>
          <cell r="AQ775" t="str">
            <v>-4.0Ti</v>
          </cell>
          <cell r="AR775" t="str">
            <v/>
          </cell>
          <cell r="AS775" t="str">
            <v/>
          </cell>
          <cell r="AT775" t="str">
            <v/>
          </cell>
          <cell r="AU775" t="str">
            <v/>
          </cell>
          <cell r="AV775" t="str">
            <v/>
          </cell>
          <cell r="AW775" t="str">
            <v/>
          </cell>
          <cell r="AX775" t="str">
            <v/>
          </cell>
          <cell r="AY775" t="str">
            <v/>
          </cell>
          <cell r="AZ775" t="str">
            <v/>
          </cell>
          <cell r="BA775" t="str">
            <v/>
          </cell>
          <cell r="BB775" t="str">
            <v/>
          </cell>
          <cell r="BC775" t="str">
            <v/>
          </cell>
          <cell r="BD775" t="str">
            <v/>
          </cell>
          <cell r="BE775" t="str">
            <v/>
          </cell>
          <cell r="BF775" t="str">
            <v/>
          </cell>
          <cell r="BG775" t="str">
            <v/>
          </cell>
          <cell r="BH775" t="str">
            <v>TaTiLu, S., Antonov, S., Li, L. &amp; Feng, Q. Two Steady-State Creep Stages in Co-Al-W-Base Single-Crystal Superalloys at 1273 K/137 MPa. Metall. Mater. Trans. A Phys. Metall. Mater. Sci. 49, 4079–4089 (2018).</v>
          </cell>
          <cell r="BI775" t="str">
            <v>Co-7.Al-8.0W-4.0Ti-1.0Ta</v>
          </cell>
          <cell r="BJ775" t="str">
            <v>80.0Co-7.0Al-8.0W-4.0Ti-1.0Ta</v>
          </cell>
        </row>
        <row r="776">
          <cell r="A776" t="str">
            <v>Co-31.0Ni-6.3Al-8.1Cr-2.0W-3.7Ti-1.0Ta-0.9Nb-3.0Mo-0.08B</v>
          </cell>
          <cell r="B776" t="str">
            <v>Low-W</v>
          </cell>
          <cell r="C776" t="str">
            <v>-31Ni-6Al-8Cr-2W-4Ti-1Ta-1Nb-3Mo-B</v>
          </cell>
          <cell r="D776" t="str">
            <v>8Cr</v>
          </cell>
          <cell r="E776" t="str">
            <v>Ng, D. S. et al. Effect of Cr additions on a γ-γ’ microstructure and creep behavior of a Co-based superalloy with low W content. Mater. Sci. Eng. A 778, (2020).</v>
          </cell>
          <cell r="F776">
            <v>338</v>
          </cell>
          <cell r="G776">
            <v>44.015999999999998</v>
          </cell>
          <cell r="H776">
            <v>31</v>
          </cell>
          <cell r="I776">
            <v>6.29</v>
          </cell>
          <cell r="J776">
            <v>8.11</v>
          </cell>
          <cell r="K776">
            <v>1.97</v>
          </cell>
          <cell r="L776">
            <v>3.73</v>
          </cell>
          <cell r="M776">
            <v>0.96</v>
          </cell>
          <cell r="N776">
            <v>0.89</v>
          </cell>
          <cell r="O776"/>
          <cell r="P776">
            <v>2.95</v>
          </cell>
          <cell r="Q776"/>
          <cell r="R776"/>
          <cell r="S776">
            <v>8.4000000000000005E-2</v>
          </cell>
          <cell r="T776"/>
          <cell r="U776"/>
          <cell r="V776"/>
          <cell r="W776"/>
          <cell r="X776"/>
          <cell r="Y776"/>
          <cell r="Z776"/>
          <cell r="AA776"/>
          <cell r="AB776"/>
          <cell r="AC776"/>
          <cell r="AD776"/>
          <cell r="AE776"/>
          <cell r="AF776">
            <v>8.5206184999999994</v>
          </cell>
          <cell r="AG776"/>
          <cell r="AH776"/>
          <cell r="AI776" t="str">
            <v>Co</v>
          </cell>
          <cell r="AJ776" t="str">
            <v>-6.3Al</v>
          </cell>
          <cell r="AK776" t="str">
            <v>-2.0W</v>
          </cell>
          <cell r="AL776" t="str">
            <v>-31.0Ni</v>
          </cell>
          <cell r="AM776" t="str">
            <v>-8.1Cr</v>
          </cell>
          <cell r="AN776" t="str">
            <v>-1.0Ta</v>
          </cell>
          <cell r="AO776" t="str">
            <v>-0.9Nb</v>
          </cell>
          <cell r="AP776" t="str">
            <v/>
          </cell>
          <cell r="AQ776" t="str">
            <v>-3.7Ti</v>
          </cell>
          <cell r="AR776" t="str">
            <v>-3.0Mo</v>
          </cell>
          <cell r="AS776" t="str">
            <v/>
          </cell>
          <cell r="AT776" t="str">
            <v/>
          </cell>
          <cell r="AU776" t="str">
            <v>-0.08B</v>
          </cell>
          <cell r="AV776" t="str">
            <v/>
          </cell>
          <cell r="AW776" t="str">
            <v/>
          </cell>
          <cell r="AX776" t="str">
            <v/>
          </cell>
          <cell r="AY776" t="str">
            <v/>
          </cell>
          <cell r="AZ776" t="str">
            <v/>
          </cell>
          <cell r="BA776" t="str">
            <v/>
          </cell>
          <cell r="BB776" t="str">
            <v/>
          </cell>
          <cell r="BC776" t="str">
            <v/>
          </cell>
          <cell r="BD776" t="str">
            <v/>
          </cell>
          <cell r="BE776" t="str">
            <v/>
          </cell>
          <cell r="BF776" t="str">
            <v/>
          </cell>
          <cell r="BG776" t="str">
            <v/>
          </cell>
          <cell r="BH776" t="str">
            <v>8CrNg, D. S. et al. Effect of Cr additions on a γ-γ’ microstructure and creep behavior of a Co-based superalloy with low W content. Mater. Sci. Eng. A 778, (2020).</v>
          </cell>
          <cell r="BI776" t="str">
            <v>Co-31.0Ni-6.3Al-8.1Cr-2.0W-3.7Ti-1.0Ta-0.9Nb-3.0Mo-0.08B</v>
          </cell>
          <cell r="BJ776" t="str">
            <v>75.0Co-31.0Ni-6.3Al-8.1Cr-2.0W-3.7Ti-1.0Ta-0.9Nb-3.0Mo-0.08B</v>
          </cell>
        </row>
        <row r="777">
          <cell r="A777" t="str">
            <v>Co-12.Al-11.0W</v>
          </cell>
          <cell r="B777" t="str">
            <v>CoAlW-X</v>
          </cell>
          <cell r="C777" t="str">
            <v>-12Al-11W</v>
          </cell>
          <cell r="D777" t="str">
            <v>Co3(Al,W)</v>
          </cell>
          <cell r="E777" t="str">
            <v>Okamoto, N. L. et al. Plastic deformation of polycrystals of Co3(Al,W) with the L12 structure. Philos. Mag. 91, 3667–3684 (2011).</v>
          </cell>
          <cell r="F777">
            <v>3430</v>
          </cell>
          <cell r="G777">
            <v>77</v>
          </cell>
          <cell r="H777"/>
          <cell r="I777">
            <v>12</v>
          </cell>
          <cell r="J777"/>
          <cell r="K777">
            <v>11</v>
          </cell>
          <cell r="L777"/>
          <cell r="M777"/>
          <cell r="N777"/>
          <cell r="O777"/>
          <cell r="P777"/>
          <cell r="Q777"/>
          <cell r="R777"/>
          <cell r="S777"/>
          <cell r="T777"/>
          <cell r="U777"/>
          <cell r="V777"/>
          <cell r="W777"/>
          <cell r="X777"/>
          <cell r="Y777"/>
          <cell r="Z777"/>
          <cell r="AA777"/>
          <cell r="AB777"/>
          <cell r="AC777"/>
          <cell r="AD777"/>
          <cell r="AE777"/>
          <cell r="AF777">
            <v>9.2945000000000011</v>
          </cell>
          <cell r="AG777"/>
          <cell r="AH777"/>
          <cell r="AI777" t="str">
            <v>Co</v>
          </cell>
          <cell r="AJ777" t="str">
            <v>-12.Al</v>
          </cell>
          <cell r="AK777" t="str">
            <v>-11.0W</v>
          </cell>
          <cell r="AL777" t="str">
            <v/>
          </cell>
          <cell r="AM777" t="str">
            <v/>
          </cell>
          <cell r="AN777" t="str">
            <v/>
          </cell>
          <cell r="AO777" t="str">
            <v/>
          </cell>
          <cell r="AP777" t="str">
            <v/>
          </cell>
          <cell r="AQ777" t="str">
            <v/>
          </cell>
          <cell r="AR777" t="str">
            <v/>
          </cell>
          <cell r="AS777" t="str">
            <v/>
          </cell>
          <cell r="AT777" t="str">
            <v/>
          </cell>
          <cell r="AU777" t="str">
            <v/>
          </cell>
          <cell r="AV777" t="str">
            <v/>
          </cell>
          <cell r="AW777" t="str">
            <v/>
          </cell>
          <cell r="AX777" t="str">
            <v/>
          </cell>
          <cell r="AY777" t="str">
            <v/>
          </cell>
          <cell r="AZ777" t="str">
            <v/>
          </cell>
          <cell r="BA777" t="str">
            <v/>
          </cell>
          <cell r="BB777" t="str">
            <v/>
          </cell>
          <cell r="BC777" t="str">
            <v/>
          </cell>
          <cell r="BD777" t="str">
            <v/>
          </cell>
          <cell r="BE777" t="str">
            <v/>
          </cell>
          <cell r="BF777" t="str">
            <v/>
          </cell>
          <cell r="BG777" t="str">
            <v/>
          </cell>
          <cell r="BH777" t="str">
            <v>Co3(Al,W)Okamoto, N. L. et al. Plastic deformation of polycrystals of Co3(Al,W) with the L12 structure. Philos. Mag. 91, 3667–3684 (2011).</v>
          </cell>
          <cell r="BI777" t="str">
            <v>Co-12.Al-11.0W</v>
          </cell>
          <cell r="BJ777" t="str">
            <v>77.0Co-12.0Al-11.0W</v>
          </cell>
        </row>
        <row r="778">
          <cell r="A778" t="str">
            <v>Co-9.Al-7.0W-2.0Re</v>
          </cell>
          <cell r="B778" t="str">
            <v>CoAlW-X</v>
          </cell>
          <cell r="C778" t="str">
            <v>-9Al-7W-2Re</v>
          </cell>
          <cell r="D778" t="str">
            <v>Co-9Al-7W-2Re</v>
          </cell>
          <cell r="E778" t="str">
            <v>Ooshima, M., Tanaka, K., Okamoto, N. L., Kishida, K. &amp; Inui, H. Effects of quaternary alloying elements on the γ′ solvus temperature of Co-Al-W based alloys with fcc/L12 two-phase microstructures. J. Alloys Compd. 508, 71–78 (2010).</v>
          </cell>
          <cell r="F778">
            <v>3740</v>
          </cell>
          <cell r="G778">
            <v>82</v>
          </cell>
          <cell r="H778"/>
          <cell r="I778">
            <v>9</v>
          </cell>
          <cell r="J778"/>
          <cell r="K778">
            <v>7</v>
          </cell>
          <cell r="L778"/>
          <cell r="M778"/>
          <cell r="N778"/>
          <cell r="O778"/>
          <cell r="P778"/>
          <cell r="Q778"/>
          <cell r="R778"/>
          <cell r="S778"/>
          <cell r="T778"/>
          <cell r="U778">
            <v>2</v>
          </cell>
          <cell r="V778"/>
          <cell r="W778"/>
          <cell r="X778"/>
          <cell r="Y778"/>
          <cell r="Z778"/>
          <cell r="AA778"/>
          <cell r="AB778"/>
          <cell r="AC778"/>
          <cell r="AD778"/>
          <cell r="AE778"/>
          <cell r="AF778">
            <v>9.3088999999999995</v>
          </cell>
          <cell r="AG778"/>
          <cell r="AH778"/>
          <cell r="AI778" t="str">
            <v>Co</v>
          </cell>
          <cell r="AJ778" t="str">
            <v>-9.Al</v>
          </cell>
          <cell r="AK778" t="str">
            <v>-7.0W</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-2.0Re</v>
          </cell>
          <cell r="AX778" t="str">
            <v/>
          </cell>
          <cell r="AY778" t="str">
            <v/>
          </cell>
          <cell r="AZ778" t="str">
            <v/>
          </cell>
          <cell r="BA778" t="str">
            <v/>
          </cell>
          <cell r="BB778" t="str">
            <v/>
          </cell>
          <cell r="BC778" t="str">
            <v/>
          </cell>
          <cell r="BD778" t="str">
            <v/>
          </cell>
          <cell r="BE778" t="str">
            <v/>
          </cell>
          <cell r="BF778" t="str">
            <v/>
          </cell>
          <cell r="BG778" t="str">
            <v/>
          </cell>
          <cell r="BH778" t="str">
            <v>Co-9Al-7W-2ReOoshima, M., Tanaka, K., Okamoto, N. L., Kishida, K. &amp; Inui, H. Effects of quaternary alloying elements on the γ′ solvus temperature of Co-Al-W based alloys with fcc/L12 two-phase microstructures. J. Alloys Compd. 508, 71–78 (2010).</v>
          </cell>
          <cell r="BI778" t="str">
            <v>Co-9.Al-7.0W-2.0Re</v>
          </cell>
          <cell r="BJ778" t="str">
            <v>82.0Co-9.0Al-7.0W-2.0Re</v>
          </cell>
        </row>
        <row r="779">
          <cell r="A779" t="str">
            <v>Co-15.9Ni-13.6Al-1.9W-0.7Ta-0.6Mo-0.3Re</v>
          </cell>
          <cell r="B779" t="str">
            <v>Low-W</v>
          </cell>
          <cell r="C779" t="str">
            <v>-16Ni-14Al-2W-1Ta-1Mo-0Re</v>
          </cell>
          <cell r="D779" t="str">
            <v>Petrushin alloy 1</v>
          </cell>
          <cell r="E779" t="str">
            <v>Petrushin, N. et al. A single-crystal co-base superalloy strengthened by γ′ precipitates: Structure and mechanical properties. Adv. Eng. Mater. 17, 755–760 (2015).</v>
          </cell>
          <cell r="F779">
            <v>3860</v>
          </cell>
          <cell r="G779">
            <v>67</v>
          </cell>
          <cell r="H779">
            <v>15.9</v>
          </cell>
          <cell r="I779">
            <v>13.6</v>
          </cell>
          <cell r="J779"/>
          <cell r="K779">
            <v>1.9</v>
          </cell>
          <cell r="L779"/>
          <cell r="M779">
            <v>0.7</v>
          </cell>
          <cell r="N779"/>
          <cell r="O779"/>
          <cell r="P779">
            <v>0.6</v>
          </cell>
          <cell r="Q779"/>
          <cell r="R779"/>
          <cell r="S779"/>
          <cell r="T779"/>
          <cell r="U779">
            <v>0.3</v>
          </cell>
          <cell r="V779"/>
          <cell r="W779"/>
          <cell r="X779"/>
          <cell r="Y779"/>
          <cell r="Z779"/>
          <cell r="AA779"/>
          <cell r="AB779"/>
          <cell r="AC779"/>
          <cell r="AD779"/>
          <cell r="AE779"/>
          <cell r="AF779">
            <v>8.3536120000000018</v>
          </cell>
          <cell r="AG779"/>
          <cell r="AH779"/>
          <cell r="AI779" t="str">
            <v>Co</v>
          </cell>
          <cell r="AJ779" t="str">
            <v>-13.6Al</v>
          </cell>
          <cell r="AK779" t="str">
            <v>-1.9W</v>
          </cell>
          <cell r="AL779" t="str">
            <v>-15.9Ni</v>
          </cell>
          <cell r="AM779" t="str">
            <v/>
          </cell>
          <cell r="AN779" t="str">
            <v>-0.7Ta</v>
          </cell>
          <cell r="AO779" t="str">
            <v/>
          </cell>
          <cell r="AP779" t="str">
            <v/>
          </cell>
          <cell r="AQ779" t="str">
            <v/>
          </cell>
          <cell r="AR779" t="str">
            <v>-0.6Mo</v>
          </cell>
          <cell r="AS779" t="str">
            <v/>
          </cell>
          <cell r="AT779" t="str">
            <v/>
          </cell>
          <cell r="AU779" t="str">
            <v/>
          </cell>
          <cell r="AV779" t="str">
            <v/>
          </cell>
          <cell r="AW779" t="str">
            <v>-0.3Re</v>
          </cell>
          <cell r="AX779" t="str">
            <v/>
          </cell>
          <cell r="AY779" t="str">
            <v/>
          </cell>
          <cell r="AZ779" t="str">
            <v/>
          </cell>
          <cell r="BA779" t="str">
            <v/>
          </cell>
          <cell r="BB779" t="str">
            <v/>
          </cell>
          <cell r="BC779" t="str">
            <v/>
          </cell>
          <cell r="BD779" t="str">
            <v/>
          </cell>
          <cell r="BE779" t="str">
            <v/>
          </cell>
          <cell r="BF779" t="str">
            <v/>
          </cell>
          <cell r="BG779" t="str">
            <v/>
          </cell>
          <cell r="BH779" t="str">
            <v>Petrushin alloy 1Petrushin, N. et al. A single-crystal co-base superalloy strengthened by γ′ precipitates: Structure and mechanical properties. Adv. Eng. Mater. 17, 755–760 (2015).</v>
          </cell>
          <cell r="BI779" t="str">
            <v>Co-15.9Ni-13.6Al-1.9W-0.7Ta-0.6Mo-0.3Re</v>
          </cell>
          <cell r="BJ779" t="str">
            <v>82.9Co-15.9Ni-13.6Al-1.9W-0.7Ta-0.6Mo-0.3Re</v>
          </cell>
        </row>
        <row r="780">
          <cell r="A780" t="str">
            <v>Co-8.8Al-9.8W-2.0Ta</v>
          </cell>
          <cell r="B780" t="str">
            <v>CoAlW-X</v>
          </cell>
          <cell r="C780" t="str">
            <v>-9Al-10W-2Ta</v>
          </cell>
          <cell r="D780" t="str">
            <v>Co-8.8Al-9.8W-2Ta</v>
          </cell>
          <cell r="E780" t="str">
            <v>Pollock, T. M. M. et al. New Co-based γ-γ’ High-temperature Alloys. JOM 62, 58–63 (2010).</v>
          </cell>
          <cell r="F780">
            <v>3870</v>
          </cell>
          <cell r="G780">
            <v>79.400000000000006</v>
          </cell>
          <cell r="H780"/>
          <cell r="I780">
            <v>8.8000000000000007</v>
          </cell>
          <cell r="J780"/>
          <cell r="K780">
            <v>9.8000000000000007</v>
          </cell>
          <cell r="L780"/>
          <cell r="M780">
            <v>2</v>
          </cell>
          <cell r="N780"/>
          <cell r="O780"/>
          <cell r="P780"/>
          <cell r="Q780"/>
          <cell r="R780"/>
          <cell r="S780"/>
          <cell r="T780"/>
          <cell r="U780"/>
          <cell r="V780"/>
          <cell r="W780"/>
          <cell r="X780"/>
          <cell r="Y780"/>
          <cell r="Z780"/>
          <cell r="AA780"/>
          <cell r="AB780"/>
          <cell r="AC780"/>
          <cell r="AD780"/>
          <cell r="AE780"/>
          <cell r="AF780">
            <v>9.5236999999999998</v>
          </cell>
          <cell r="AG780"/>
          <cell r="AH780"/>
          <cell r="AI780" t="str">
            <v>Co</v>
          </cell>
          <cell r="AJ780" t="str">
            <v>-8.8Al</v>
          </cell>
          <cell r="AK780" t="str">
            <v>-9.8W</v>
          </cell>
          <cell r="AL780" t="str">
            <v/>
          </cell>
          <cell r="AM780" t="str">
            <v/>
          </cell>
          <cell r="AN780" t="str">
            <v>-2.0Ta</v>
          </cell>
          <cell r="AO780" t="str">
            <v/>
          </cell>
          <cell r="AP780" t="str">
            <v/>
          </cell>
          <cell r="AQ780" t="str">
            <v/>
          </cell>
          <cell r="AR780" t="str">
            <v/>
          </cell>
          <cell r="AS780" t="str">
            <v/>
          </cell>
          <cell r="AT780" t="str">
            <v/>
          </cell>
          <cell r="AU780" t="str">
            <v/>
          </cell>
          <cell r="AV780" t="str">
            <v/>
          </cell>
          <cell r="AW780" t="str">
            <v/>
          </cell>
          <cell r="AX780" t="str">
            <v/>
          </cell>
          <cell r="AY780" t="str">
            <v/>
          </cell>
          <cell r="AZ780" t="str">
            <v/>
          </cell>
          <cell r="BA780" t="str">
            <v/>
          </cell>
          <cell r="BB780" t="str">
            <v/>
          </cell>
          <cell r="BC780" t="str">
            <v/>
          </cell>
          <cell r="BD780" t="str">
            <v/>
          </cell>
          <cell r="BE780" t="str">
            <v/>
          </cell>
          <cell r="BF780" t="str">
            <v/>
          </cell>
          <cell r="BG780" t="str">
            <v/>
          </cell>
          <cell r="BH780" t="str">
            <v>Co-8.8Al-9.8W-2TaPollock, T. M. M. et al. New Co-based γ-γ’ High-temperature Alloys. JOM 62, 58–63 (2010).</v>
          </cell>
          <cell r="BI780" t="str">
            <v>Co-8.8Al-9.8W-2.0Ta</v>
          </cell>
          <cell r="BJ780" t="str">
            <v>79.4Co-8.8Al-9.8W-2.0Ta</v>
          </cell>
        </row>
        <row r="781">
          <cell r="A781" t="str">
            <v>Co-20.4Ni-9.8Al-7.4W-2.7Ti-0.40C-0.10B</v>
          </cell>
          <cell r="B781" t="str">
            <v>CoAlWX+</v>
          </cell>
          <cell r="C781" t="str">
            <v>-20Ni-10Al-7W-3Ti-C-B</v>
          </cell>
          <cell r="D781" t="str">
            <v>Sani alloy 1</v>
          </cell>
          <cell r="E781" t="str">
            <v>Sani, S. A., Arabi, H. &amp; Ebrahimi, G. R. Hot deformation behavior and DRX mechanism in a γ-γ/ cobalt-based superalloy. Mater. Sci. Eng. A 764, (2019).</v>
          </cell>
          <cell r="F781">
            <v>4430</v>
          </cell>
          <cell r="G781">
            <v>59.199999999999996</v>
          </cell>
          <cell r="H781">
            <v>20.399999999999999</v>
          </cell>
          <cell r="I781">
            <v>9.8000000000000007</v>
          </cell>
          <cell r="J781"/>
          <cell r="K781">
            <v>7.4</v>
          </cell>
          <cell r="L781">
            <v>2.7</v>
          </cell>
          <cell r="M781"/>
          <cell r="N781"/>
          <cell r="O781"/>
          <cell r="P781"/>
          <cell r="Q781">
            <v>0.4</v>
          </cell>
          <cell r="R781"/>
          <cell r="S781">
            <v>0.1</v>
          </cell>
          <cell r="T781"/>
          <cell r="U781"/>
          <cell r="V781"/>
          <cell r="W781"/>
          <cell r="X781"/>
          <cell r="Y781"/>
          <cell r="Z781"/>
          <cell r="AA781"/>
          <cell r="AB781"/>
          <cell r="AC781"/>
          <cell r="AD781"/>
          <cell r="AE781"/>
          <cell r="AF781">
            <v>8.9083210000000008</v>
          </cell>
          <cell r="AG781"/>
          <cell r="AH781"/>
          <cell r="AI781" t="str">
            <v>Co</v>
          </cell>
          <cell r="AJ781" t="str">
            <v>-9.8Al</v>
          </cell>
          <cell r="AK781" t="str">
            <v>-7.4W</v>
          </cell>
          <cell r="AL781" t="str">
            <v>-20.4Ni</v>
          </cell>
          <cell r="AM781" t="str">
            <v/>
          </cell>
          <cell r="AN781" t="str">
            <v/>
          </cell>
          <cell r="AO781" t="str">
            <v/>
          </cell>
          <cell r="AP781" t="str">
            <v/>
          </cell>
          <cell r="AQ781" t="str">
            <v>-2.7Ti</v>
          </cell>
          <cell r="AR781" t="str">
            <v/>
          </cell>
          <cell r="AS781" t="str">
            <v>-0.40C</v>
          </cell>
          <cell r="AT781" t="str">
            <v/>
          </cell>
          <cell r="AU781" t="str">
            <v>-0.10B</v>
          </cell>
          <cell r="AV781" t="str">
            <v/>
          </cell>
          <cell r="AW781" t="str">
            <v/>
          </cell>
          <cell r="AX781" t="str">
            <v/>
          </cell>
          <cell r="AY781" t="str">
            <v/>
          </cell>
          <cell r="AZ781" t="str">
            <v/>
          </cell>
          <cell r="BA781" t="str">
            <v/>
          </cell>
          <cell r="BB781" t="str">
            <v/>
          </cell>
          <cell r="BC781" t="str">
            <v/>
          </cell>
          <cell r="BD781" t="str">
            <v/>
          </cell>
          <cell r="BE781" t="str">
            <v/>
          </cell>
          <cell r="BF781" t="str">
            <v/>
          </cell>
          <cell r="BG781" t="str">
            <v/>
          </cell>
          <cell r="BH781" t="str">
            <v>Sani alloy 1Sani, S. A., Arabi, H. &amp; Ebrahimi, G. R. Hot deformation behavior and DRX mechanism in a γ-γ/ cobalt-based superalloy. Mater. Sci. Eng. A 764, (2019).</v>
          </cell>
          <cell r="BI781" t="str">
            <v>Co-20.4Ni-9.8Al-7.4W-2.7Ti-0.40C-0.10B</v>
          </cell>
          <cell r="BJ781" t="str">
            <v>79.6Co-20.4Ni-9.8Al-7.4W-2.7Ti-0.40C-0.10B</v>
          </cell>
        </row>
        <row r="782">
          <cell r="A782" t="str">
            <v>Co-9.4Al-10.7W</v>
          </cell>
          <cell r="B782" t="str">
            <v>CoAlW-X</v>
          </cell>
          <cell r="C782" t="str">
            <v>-9Al-11W</v>
          </cell>
          <cell r="D782" t="str">
            <v>11W</v>
          </cell>
          <cell r="E782" t="str">
            <v>Suzuki, A. &amp; Pollock, T. M. High-temperature strength and deformation of γ/γ′ two-phase Co-Al-W-base alloys. Acta Mater. 56, 1288–1297 (2008).</v>
          </cell>
          <cell r="F782">
            <v>4960</v>
          </cell>
          <cell r="G782">
            <v>79.900000000000006</v>
          </cell>
          <cell r="H782"/>
          <cell r="I782">
            <v>9.4</v>
          </cell>
          <cell r="J782"/>
          <cell r="K782">
            <v>10.7</v>
          </cell>
          <cell r="L782"/>
          <cell r="M782"/>
          <cell r="N782"/>
          <cell r="O782"/>
          <cell r="P782"/>
          <cell r="Q782"/>
          <cell r="R782"/>
          <cell r="S782"/>
          <cell r="T782"/>
          <cell r="U782"/>
          <cell r="V782"/>
          <cell r="W782"/>
          <cell r="X782"/>
          <cell r="Y782"/>
          <cell r="Z782"/>
          <cell r="AA782"/>
          <cell r="AB782"/>
          <cell r="AC782"/>
          <cell r="AD782"/>
          <cell r="AE782"/>
          <cell r="AF782">
            <v>9.4246500000000015</v>
          </cell>
          <cell r="AG782"/>
          <cell r="AH782"/>
          <cell r="AI782" t="str">
            <v>Co</v>
          </cell>
          <cell r="AJ782" t="str">
            <v>-9.4Al</v>
          </cell>
          <cell r="AK782" t="str">
            <v>-10.7W</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
          </cell>
          <cell r="BB782" t="str">
            <v/>
          </cell>
          <cell r="BC782" t="str">
            <v/>
          </cell>
          <cell r="BD782" t="str">
            <v/>
          </cell>
          <cell r="BE782" t="str">
            <v/>
          </cell>
          <cell r="BF782" t="str">
            <v/>
          </cell>
          <cell r="BG782" t="str">
            <v/>
          </cell>
          <cell r="BH782" t="str">
            <v>11WSuzuki, A. &amp; Pollock, T. M. High-temperature strength and deformation of γ/γ′ two-phase Co-Al-W-base alloys. Acta Mater. 56, 1288–1297 (2008).</v>
          </cell>
          <cell r="BI782" t="str">
            <v>Co-9.4Al-10.7W</v>
          </cell>
          <cell r="BJ782" t="str">
            <v>79.9Co-9.4Al-10.7W</v>
          </cell>
        </row>
        <row r="783">
          <cell r="A783" t="str">
            <v>Co-8.8Al-9.8W-2.0Ta</v>
          </cell>
          <cell r="B783" t="str">
            <v>CoAlW-X</v>
          </cell>
          <cell r="C783" t="str">
            <v>-9Al-10W-2Ta</v>
          </cell>
          <cell r="D783" t="str">
            <v>2Ta</v>
          </cell>
          <cell r="E783" t="str">
            <v>Suzuki, A. &amp; Pollock, T. M. High-temperature strength and deformation of γ/γ′ two-phase Co-Al-W-base alloys. Acta Mater. 56, 1288–1297 (2008).</v>
          </cell>
          <cell r="F783">
            <v>4970</v>
          </cell>
          <cell r="G783">
            <v>79.400000000000006</v>
          </cell>
          <cell r="H783"/>
          <cell r="I783">
            <v>8.8000000000000007</v>
          </cell>
          <cell r="J783"/>
          <cell r="K783">
            <v>9.8000000000000007</v>
          </cell>
          <cell r="L783"/>
          <cell r="M783">
            <v>2</v>
          </cell>
          <cell r="N783"/>
          <cell r="O783"/>
          <cell r="P783"/>
          <cell r="Q783"/>
          <cell r="R783"/>
          <cell r="S783"/>
          <cell r="T783"/>
          <cell r="U783"/>
          <cell r="V783"/>
          <cell r="W783"/>
          <cell r="X783"/>
          <cell r="Y783"/>
          <cell r="Z783"/>
          <cell r="AA783"/>
          <cell r="AB783"/>
          <cell r="AC783"/>
          <cell r="AD783"/>
          <cell r="AE783"/>
          <cell r="AF783">
            <v>9.5236999999999998</v>
          </cell>
          <cell r="AG783"/>
          <cell r="AH783"/>
          <cell r="AI783" t="str">
            <v>Co</v>
          </cell>
          <cell r="AJ783" t="str">
            <v>-8.8Al</v>
          </cell>
          <cell r="AK783" t="str">
            <v>-9.8W</v>
          </cell>
          <cell r="AL783" t="str">
            <v/>
          </cell>
          <cell r="AM783" t="str">
            <v/>
          </cell>
          <cell r="AN783" t="str">
            <v>-2.0Ta</v>
          </cell>
          <cell r="AO783" t="str">
            <v/>
          </cell>
          <cell r="AP783" t="str">
            <v/>
          </cell>
          <cell r="AQ783" t="str">
            <v/>
          </cell>
          <cell r="AR783" t="str">
            <v/>
          </cell>
          <cell r="AS783" t="str">
            <v/>
          </cell>
          <cell r="AT783" t="str">
            <v/>
          </cell>
          <cell r="AU783" t="str">
            <v/>
          </cell>
          <cell r="AV783" t="str">
            <v/>
          </cell>
          <cell r="AW783" t="str">
            <v/>
          </cell>
          <cell r="AX783" t="str">
            <v/>
          </cell>
          <cell r="AY783" t="str">
            <v/>
          </cell>
          <cell r="AZ783" t="str">
            <v/>
          </cell>
          <cell r="BA783" t="str">
            <v/>
          </cell>
          <cell r="BB783" t="str">
            <v/>
          </cell>
          <cell r="BC783" t="str">
            <v/>
          </cell>
          <cell r="BD783" t="str">
            <v/>
          </cell>
          <cell r="BE783" t="str">
            <v/>
          </cell>
          <cell r="BF783" t="str">
            <v/>
          </cell>
          <cell r="BG783" t="str">
            <v/>
          </cell>
          <cell r="BH783" t="str">
            <v>2TaSuzuki, A. &amp; Pollock, T. M. High-temperature strength and deformation of γ/γ′ two-phase Co-Al-W-base alloys. Acta Mater. 56, 1288–1297 (2008).</v>
          </cell>
          <cell r="BI783" t="str">
            <v>Co-8.8Al-9.8W-2.0Ta</v>
          </cell>
          <cell r="BJ783" t="str">
            <v>79.4Co-8.8Al-9.8W-2.0Ta</v>
          </cell>
        </row>
        <row r="784">
          <cell r="A784" t="str">
            <v>Co-8.8Al-9.8W-2.0Re</v>
          </cell>
          <cell r="B784" t="str">
            <v>CoAlW-X</v>
          </cell>
          <cell r="C784" t="str">
            <v>-9Al-10W-2Re</v>
          </cell>
          <cell r="D784" t="str">
            <v>2Re</v>
          </cell>
          <cell r="E784" t="str">
            <v>Suzuki, A. &amp; Pollock, T. M. High-temperature strength and deformation of γ/γ′ two-phase Co-Al-W-base alloys. Acta Mater. 56, 1288–1297 (2008).</v>
          </cell>
          <cell r="F784">
            <v>4980</v>
          </cell>
          <cell r="G784">
            <v>79.400000000000006</v>
          </cell>
          <cell r="H784"/>
          <cell r="I784">
            <v>8.8000000000000007</v>
          </cell>
          <cell r="J784"/>
          <cell r="K784">
            <v>9.8000000000000007</v>
          </cell>
          <cell r="L784"/>
          <cell r="M784"/>
          <cell r="N784"/>
          <cell r="O784"/>
          <cell r="P784"/>
          <cell r="Q784"/>
          <cell r="R784"/>
          <cell r="S784"/>
          <cell r="T784"/>
          <cell r="U784">
            <v>2</v>
          </cell>
          <cell r="V784"/>
          <cell r="W784"/>
          <cell r="X784"/>
          <cell r="Y784"/>
          <cell r="Z784"/>
          <cell r="AA784"/>
          <cell r="AB784"/>
          <cell r="AC784"/>
          <cell r="AD784"/>
          <cell r="AE784"/>
          <cell r="AF784">
            <v>9.6111000000000004</v>
          </cell>
          <cell r="AG784"/>
          <cell r="AH784"/>
          <cell r="AI784" t="str">
            <v>Co</v>
          </cell>
          <cell r="AJ784" t="str">
            <v>-8.8Al</v>
          </cell>
          <cell r="AK784" t="str">
            <v>-9.8W</v>
          </cell>
          <cell r="AL784" t="str">
            <v/>
          </cell>
          <cell r="AM784" t="str">
            <v/>
          </cell>
          <cell r="AN784" t="str">
            <v/>
          </cell>
          <cell r="AO784" t="str">
            <v/>
          </cell>
          <cell r="AP784" t="str">
            <v/>
          </cell>
          <cell r="AQ784" t="str">
            <v/>
          </cell>
          <cell r="AR784" t="str">
            <v/>
          </cell>
          <cell r="AS784" t="str">
            <v/>
          </cell>
          <cell r="AT784" t="str">
            <v/>
          </cell>
          <cell r="AU784" t="str">
            <v/>
          </cell>
          <cell r="AV784" t="str">
            <v/>
          </cell>
          <cell r="AW784" t="str">
            <v>-2.0Re</v>
          </cell>
          <cell r="AX784" t="str">
            <v/>
          </cell>
          <cell r="AY784" t="str">
            <v/>
          </cell>
          <cell r="AZ784" t="str">
            <v/>
          </cell>
          <cell r="BA784" t="str">
            <v/>
          </cell>
          <cell r="BB784" t="str">
            <v/>
          </cell>
          <cell r="BC784" t="str">
            <v/>
          </cell>
          <cell r="BD784" t="str">
            <v/>
          </cell>
          <cell r="BE784" t="str">
            <v/>
          </cell>
          <cell r="BF784" t="str">
            <v/>
          </cell>
          <cell r="BG784" t="str">
            <v/>
          </cell>
          <cell r="BH784" t="str">
            <v>2ReSuzuki, A. &amp; Pollock, T. M. High-temperature strength and deformation of γ/γ′ two-phase Co-Al-W-base alloys. Acta Mater. 56, 1288–1297 (2008).</v>
          </cell>
          <cell r="BI784" t="str">
            <v>Co-8.8Al-9.8W-2.0Re</v>
          </cell>
          <cell r="BJ784" t="str">
            <v>79.4Co-8.8Al-9.8W-2.0Re</v>
          </cell>
        </row>
        <row r="785">
          <cell r="A785" t="str">
            <v>Co-23.0Ti</v>
          </cell>
          <cell r="B785" t="str">
            <v>Co3Ti</v>
          </cell>
          <cell r="C785" t="str">
            <v>-23Ti</v>
          </cell>
          <cell r="D785" t="str">
            <v>Co-23Ti</v>
          </cell>
          <cell r="E785" t="str">
            <v>Takasugi, T. HIGH TEMPERATURE STRENGTH AND DUCTILITY OF POLYCRYSTALLINE Co,Ti. Acro nferati vol. 33 (1985).</v>
          </cell>
          <cell r="F785">
            <v>5040</v>
          </cell>
          <cell r="G785">
            <v>77</v>
          </cell>
          <cell r="H785"/>
          <cell r="I785"/>
          <cell r="J785"/>
          <cell r="K785"/>
          <cell r="L785">
            <v>23</v>
          </cell>
          <cell r="M785"/>
          <cell r="N785"/>
          <cell r="O785"/>
          <cell r="P785"/>
          <cell r="Q785"/>
          <cell r="R785"/>
          <cell r="S785"/>
          <cell r="T785"/>
          <cell r="U785"/>
          <cell r="V785"/>
          <cell r="W785"/>
          <cell r="X785"/>
          <cell r="Y785"/>
          <cell r="Z785"/>
          <cell r="AA785"/>
          <cell r="AB785"/>
          <cell r="AC785"/>
          <cell r="AD785"/>
          <cell r="AE785"/>
          <cell r="AF785">
            <v>7.8896100000000002</v>
          </cell>
          <cell r="AG785"/>
          <cell r="AH785"/>
          <cell r="AI785" t="str">
            <v>Co</v>
          </cell>
          <cell r="AJ785" t="str">
            <v/>
          </cell>
          <cell r="AK785" t="str">
            <v/>
          </cell>
          <cell r="AL785" t="str">
            <v/>
          </cell>
          <cell r="AM785" t="str">
            <v/>
          </cell>
          <cell r="AN785" t="str">
            <v/>
          </cell>
          <cell r="AO785" t="str">
            <v/>
          </cell>
          <cell r="AP785" t="str">
            <v/>
          </cell>
          <cell r="AQ785" t="str">
            <v>-23.0Ti</v>
          </cell>
          <cell r="AR785" t="str">
            <v/>
          </cell>
          <cell r="AS785" t="str">
            <v/>
          </cell>
          <cell r="AT785" t="str">
            <v/>
          </cell>
          <cell r="AU785" t="str">
            <v/>
          </cell>
          <cell r="AV785" t="str">
            <v/>
          </cell>
          <cell r="AW785" t="str">
            <v/>
          </cell>
          <cell r="AX785" t="str">
            <v/>
          </cell>
          <cell r="AY785" t="str">
            <v/>
          </cell>
          <cell r="AZ785" t="str">
            <v/>
          </cell>
          <cell r="BA785" t="str">
            <v/>
          </cell>
          <cell r="BB785" t="str">
            <v/>
          </cell>
          <cell r="BC785" t="str">
            <v/>
          </cell>
          <cell r="BD785" t="str">
            <v/>
          </cell>
          <cell r="BE785" t="str">
            <v/>
          </cell>
          <cell r="BF785" t="str">
            <v/>
          </cell>
          <cell r="BG785" t="str">
            <v/>
          </cell>
          <cell r="BH785" t="str">
            <v>Co-23TiTakasugi, T. HIGH TEMPERATURE STRENGTH AND DUCTILITY OF POLYCRYSTALLINE Co,Ti. Acro nferati vol. 33 (1985).</v>
          </cell>
          <cell r="BI785" t="str">
            <v>Co-23.0Ti</v>
          </cell>
          <cell r="BJ785" t="str">
            <v>77.0Co-23.0Ti</v>
          </cell>
        </row>
        <row r="786">
          <cell r="A786" t="str">
            <v>Co-6.7Al-8.1W-6.2Ti</v>
          </cell>
          <cell r="B786" t="str">
            <v>CoAlW-X</v>
          </cell>
          <cell r="C786" t="str">
            <v>-7Al-8W-6Ti</v>
          </cell>
          <cell r="D786" t="str">
            <v>6Ti</v>
          </cell>
          <cell r="E786" t="str">
            <v>Titus, M. S., Eggeler, Y. M., Suzuki, A. &amp; Pollock, T. M. Creep-induced planar defects in L12-containing Co- and CoNi-base single-crystal superalloys. Acta Mater. 82, 530–539 (2015)</v>
          </cell>
          <cell r="F786">
            <v>5230</v>
          </cell>
          <cell r="G786">
            <v>79</v>
          </cell>
          <cell r="H786"/>
          <cell r="I786">
            <v>6.7</v>
          </cell>
          <cell r="J786"/>
          <cell r="K786">
            <v>8.1</v>
          </cell>
          <cell r="L786">
            <v>6.2</v>
          </cell>
          <cell r="M786"/>
          <cell r="N786"/>
          <cell r="O786"/>
          <cell r="P786"/>
          <cell r="Q786"/>
          <cell r="R786"/>
          <cell r="S786"/>
          <cell r="T786"/>
          <cell r="U786"/>
          <cell r="V786"/>
          <cell r="W786"/>
          <cell r="X786"/>
          <cell r="Y786"/>
          <cell r="Z786"/>
          <cell r="AA786"/>
          <cell r="AB786"/>
          <cell r="AC786"/>
          <cell r="AD786"/>
          <cell r="AE786"/>
          <cell r="AF786">
            <v>9.0505840000000006</v>
          </cell>
          <cell r="AG786"/>
          <cell r="AH786" t="str">
            <v>single crystal</v>
          </cell>
          <cell r="AI786" t="str">
            <v>Co</v>
          </cell>
          <cell r="AJ786" t="str">
            <v>-6.7Al</v>
          </cell>
          <cell r="AK786" t="str">
            <v>-8.1W</v>
          </cell>
          <cell r="AL786" t="str">
            <v/>
          </cell>
          <cell r="AM786" t="str">
            <v/>
          </cell>
          <cell r="AN786" t="str">
            <v/>
          </cell>
          <cell r="AO786" t="str">
            <v/>
          </cell>
          <cell r="AP786" t="str">
            <v/>
          </cell>
          <cell r="AQ786" t="str">
            <v>-6.2Ti</v>
          </cell>
          <cell r="AR786" t="str">
            <v/>
          </cell>
          <cell r="AS786" t="str">
            <v/>
          </cell>
          <cell r="AT786" t="str">
            <v/>
          </cell>
          <cell r="AU786" t="str">
            <v/>
          </cell>
          <cell r="AV786" t="str">
            <v/>
          </cell>
          <cell r="AW786" t="str">
            <v/>
          </cell>
          <cell r="AX786" t="str">
            <v/>
          </cell>
          <cell r="AY786" t="str">
            <v/>
          </cell>
          <cell r="AZ786" t="str">
            <v/>
          </cell>
          <cell r="BA786" t="str">
            <v/>
          </cell>
          <cell r="BB786" t="str">
            <v/>
          </cell>
          <cell r="BC786" t="str">
            <v/>
          </cell>
          <cell r="BD786" t="str">
            <v/>
          </cell>
          <cell r="BE786" t="str">
            <v/>
          </cell>
          <cell r="BF786" t="str">
            <v/>
          </cell>
          <cell r="BG786" t="str">
            <v/>
          </cell>
          <cell r="BH786" t="str">
            <v>6TiTitus, M. S., Eggeler, Y. M., Suzuki, A. &amp; Pollock, T. M. Creep-induced planar defects in L12-containing Co- and CoNi-base single-crystal superalloys. Acta Mater. 82, 530–539 (2015)</v>
          </cell>
          <cell r="BI786" t="str">
            <v>Co-6.7Al-8.1W-6.2Ti</v>
          </cell>
          <cell r="BJ786" t="str">
            <v>79.0Co-6.7Al-8.1W-6.2Ti</v>
          </cell>
        </row>
        <row r="787">
          <cell r="A787" t="str">
            <v>Co-9.4Al-10.7W</v>
          </cell>
          <cell r="B787" t="str">
            <v>CoAlW-X</v>
          </cell>
          <cell r="C787" t="str">
            <v>-9Al-11W</v>
          </cell>
          <cell r="D787" t="str">
            <v>Ternary</v>
          </cell>
          <cell r="E787" t="str">
            <v>Titus, M. S., Eggeler, Y. M., Suzuki, A. &amp; Pollock, T. M. Creep-induced planar defects in L12-containing Co- and CoNi-base single-crystal superalloys. Acta Mater. 82, 530–539 (2015)</v>
          </cell>
          <cell r="F787">
            <v>5240</v>
          </cell>
          <cell r="G787">
            <v>79.900000000000006</v>
          </cell>
          <cell r="H787"/>
          <cell r="I787">
            <v>9.4</v>
          </cell>
          <cell r="J787"/>
          <cell r="K787">
            <v>10.7</v>
          </cell>
          <cell r="L787"/>
          <cell r="M787"/>
          <cell r="N787"/>
          <cell r="O787"/>
          <cell r="P787"/>
          <cell r="Q787"/>
          <cell r="R787"/>
          <cell r="S787"/>
          <cell r="T787"/>
          <cell r="U787"/>
          <cell r="V787"/>
          <cell r="W787"/>
          <cell r="X787"/>
          <cell r="Y787"/>
          <cell r="Z787"/>
          <cell r="AA787"/>
          <cell r="AB787"/>
          <cell r="AC787"/>
          <cell r="AD787"/>
          <cell r="AE787"/>
          <cell r="AF787">
            <v>9.4246500000000015</v>
          </cell>
          <cell r="AG787"/>
          <cell r="AH787" t="str">
            <v>single crystal</v>
          </cell>
          <cell r="AI787" t="str">
            <v>Co</v>
          </cell>
          <cell r="AJ787" t="str">
            <v>-9.4Al</v>
          </cell>
          <cell r="AK787" t="str">
            <v>-10.7W</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
          </cell>
          <cell r="BB787" t="str">
            <v/>
          </cell>
          <cell r="BC787" t="str">
            <v/>
          </cell>
          <cell r="BD787" t="str">
            <v/>
          </cell>
          <cell r="BE787" t="str">
            <v/>
          </cell>
          <cell r="BF787" t="str">
            <v/>
          </cell>
          <cell r="BG787" t="str">
            <v/>
          </cell>
          <cell r="BH787" t="str">
            <v>TernaryTitus, M. S., Eggeler, Y. M., Suzuki, A. &amp; Pollock, T. M. Creep-induced planar defects in L12-containing Co- and CoNi-base single-crystal superalloys. Acta Mater. 82, 530–539 (2015)</v>
          </cell>
          <cell r="BI787" t="str">
            <v>Co-9.4Al-10.7W</v>
          </cell>
          <cell r="BJ787" t="str">
            <v>79.9Co-9.4Al-10.7W</v>
          </cell>
        </row>
        <row r="788">
          <cell r="A788" t="str">
            <v>Co-8.8Al-9.8W-2.0Ta</v>
          </cell>
          <cell r="B788" t="str">
            <v>CoAlW-X</v>
          </cell>
          <cell r="C788" t="str">
            <v>-9Al-10W-2Ta</v>
          </cell>
          <cell r="D788" t="str">
            <v>2Ta</v>
          </cell>
          <cell r="E788" t="str">
            <v>Titus, M. S., Eggeler, Y. M., Suzuki, A. &amp; Pollock, T. M. Creep-induced planar defects in L12-containing Co- and CoNi-base single-crystal superalloys. Acta Mater. 82, 530–539 (2015)</v>
          </cell>
          <cell r="F788">
            <v>5250</v>
          </cell>
          <cell r="G788">
            <v>79.400000000000006</v>
          </cell>
          <cell r="H788"/>
          <cell r="I788">
            <v>8.8000000000000007</v>
          </cell>
          <cell r="J788"/>
          <cell r="K788">
            <v>9.8000000000000007</v>
          </cell>
          <cell r="L788"/>
          <cell r="M788">
            <v>2</v>
          </cell>
          <cell r="N788"/>
          <cell r="O788"/>
          <cell r="P788"/>
          <cell r="Q788"/>
          <cell r="R788"/>
          <cell r="S788"/>
          <cell r="T788"/>
          <cell r="U788"/>
          <cell r="V788"/>
          <cell r="W788"/>
          <cell r="X788"/>
          <cell r="Y788"/>
          <cell r="Z788"/>
          <cell r="AA788"/>
          <cell r="AB788"/>
          <cell r="AC788"/>
          <cell r="AD788"/>
          <cell r="AE788"/>
          <cell r="AF788">
            <v>9.5236999999999998</v>
          </cell>
          <cell r="AG788"/>
          <cell r="AH788" t="str">
            <v>single crystal</v>
          </cell>
          <cell r="AI788" t="str">
            <v>Co</v>
          </cell>
          <cell r="AJ788" t="str">
            <v>-8.8Al</v>
          </cell>
          <cell r="AK788" t="str">
            <v>-9.8W</v>
          </cell>
          <cell r="AL788" t="str">
            <v/>
          </cell>
          <cell r="AM788" t="str">
            <v/>
          </cell>
          <cell r="AN788" t="str">
            <v>-2.0Ta</v>
          </cell>
          <cell r="AO788" t="str">
            <v/>
          </cell>
          <cell r="AP788" t="str">
            <v/>
          </cell>
          <cell r="AQ788" t="str">
            <v/>
          </cell>
          <cell r="AR788" t="str">
            <v/>
          </cell>
          <cell r="AS788" t="str">
            <v/>
          </cell>
          <cell r="AT788" t="str">
            <v/>
          </cell>
          <cell r="AU788" t="str">
            <v/>
          </cell>
          <cell r="AV788" t="str">
            <v/>
          </cell>
          <cell r="AW788" t="str">
            <v/>
          </cell>
          <cell r="AX788" t="str">
            <v/>
          </cell>
          <cell r="AY788" t="str">
            <v/>
          </cell>
          <cell r="AZ788" t="str">
            <v/>
          </cell>
          <cell r="BA788" t="str">
            <v/>
          </cell>
          <cell r="BB788" t="str">
            <v/>
          </cell>
          <cell r="BC788" t="str">
            <v/>
          </cell>
          <cell r="BD788" t="str">
            <v/>
          </cell>
          <cell r="BE788" t="str">
            <v/>
          </cell>
          <cell r="BF788" t="str">
            <v/>
          </cell>
          <cell r="BG788" t="str">
            <v/>
          </cell>
          <cell r="BH788" t="str">
            <v>2TaTitus, M. S., Eggeler, Y. M., Suzuki, A. &amp; Pollock, T. M. Creep-induced planar defects in L12-containing Co- and CoNi-base single-crystal superalloys. Acta Mater. 82, 530–539 (2015)</v>
          </cell>
          <cell r="BI788" t="str">
            <v>Co-8.8Al-9.8W-2.0Ta</v>
          </cell>
          <cell r="BJ788" t="str">
            <v>79.4Co-8.8Al-9.8W-2.0Ta</v>
          </cell>
        </row>
        <row r="789">
          <cell r="A789" t="str">
            <v>Co-7.8Al-4.5Cr-7.8W-1.5Ta</v>
          </cell>
          <cell r="B789" t="str">
            <v>CoAlWX+</v>
          </cell>
          <cell r="C789" t="str">
            <v>-8Al-5Cr-8W-2Ta</v>
          </cell>
          <cell r="D789" t="str">
            <v>CrTa</v>
          </cell>
          <cell r="E789" t="str">
            <v>Titus, M. S., Eggeler, Y. M., Suzuki, A. &amp; Pollock, T. M. Creep-induced planar defects in L12-containing Co- and CoNi-base single-crystal superalloys. Acta Mater. 82, 530–539 (2015)</v>
          </cell>
          <cell r="F789">
            <v>5260</v>
          </cell>
          <cell r="G789">
            <v>78.400000000000006</v>
          </cell>
          <cell r="H789"/>
          <cell r="I789">
            <v>7.8</v>
          </cell>
          <cell r="J789">
            <v>4.5</v>
          </cell>
          <cell r="K789">
            <v>7.8</v>
          </cell>
          <cell r="L789"/>
          <cell r="M789">
            <v>1.5</v>
          </cell>
          <cell r="N789"/>
          <cell r="O789"/>
          <cell r="P789"/>
          <cell r="Q789"/>
          <cell r="R789"/>
          <cell r="S789"/>
          <cell r="T789"/>
          <cell r="U789"/>
          <cell r="V789"/>
          <cell r="W789"/>
          <cell r="X789"/>
          <cell r="Y789"/>
          <cell r="Z789"/>
          <cell r="AA789"/>
          <cell r="AB789"/>
          <cell r="AC789"/>
          <cell r="AD789"/>
          <cell r="AE789"/>
          <cell r="AF789">
            <v>9.2630000000000017</v>
          </cell>
          <cell r="AG789"/>
          <cell r="AH789" t="str">
            <v>single crystal</v>
          </cell>
          <cell r="AI789" t="str">
            <v>Co</v>
          </cell>
          <cell r="AJ789" t="str">
            <v>-7.8Al</v>
          </cell>
          <cell r="AK789" t="str">
            <v>-7.8W</v>
          </cell>
          <cell r="AL789" t="str">
            <v/>
          </cell>
          <cell r="AM789" t="str">
            <v>-4.5Cr</v>
          </cell>
          <cell r="AN789" t="str">
            <v>-1.5Ta</v>
          </cell>
          <cell r="AO789" t="str">
            <v/>
          </cell>
          <cell r="AP789" t="str">
            <v/>
          </cell>
          <cell r="AQ789" t="str">
            <v/>
          </cell>
          <cell r="AR789" t="str">
            <v/>
          </cell>
          <cell r="AS789" t="str">
            <v/>
          </cell>
          <cell r="AT789" t="str">
            <v/>
          </cell>
          <cell r="AU789" t="str">
            <v/>
          </cell>
          <cell r="AV789" t="str">
            <v/>
          </cell>
          <cell r="AW789" t="str">
            <v/>
          </cell>
          <cell r="AX789" t="str">
            <v/>
          </cell>
          <cell r="AY789" t="str">
            <v/>
          </cell>
          <cell r="AZ789" t="str">
            <v/>
          </cell>
          <cell r="BA789" t="str">
            <v/>
          </cell>
          <cell r="BB789" t="str">
            <v/>
          </cell>
          <cell r="BC789" t="str">
            <v/>
          </cell>
          <cell r="BD789" t="str">
            <v/>
          </cell>
          <cell r="BE789" t="str">
            <v/>
          </cell>
          <cell r="BF789" t="str">
            <v/>
          </cell>
          <cell r="BG789" t="str">
            <v/>
          </cell>
          <cell r="BH789" t="str">
            <v>CrTaTitus, M. S., Eggeler, Y. M., Suzuki, A. &amp; Pollock, T. M. Creep-induced planar defects in L12-containing Co- and CoNi-base single-crystal superalloys. Acta Mater. 82, 530–539 (2015)</v>
          </cell>
          <cell r="BI789" t="str">
            <v>Co-7.8Al-4.5Cr-7.8W-1.5Ta</v>
          </cell>
          <cell r="BJ789" t="str">
            <v>78.4Co-7.8Al-4.5Cr-7.8W-1.5Ta</v>
          </cell>
        </row>
        <row r="790">
          <cell r="A790" t="str">
            <v>Co-29.2Ni-9.8Al-6.4Cr-6.3W-2.4Ta</v>
          </cell>
          <cell r="B790" t="str">
            <v>CoAlWX+</v>
          </cell>
          <cell r="C790" t="str">
            <v>-29Ni-10Al-6Cr-6W-2Ta</v>
          </cell>
          <cell r="D790" t="str">
            <v>CoNi-A</v>
          </cell>
          <cell r="E790" t="str">
            <v>Titus, M. S., Eggeler, Y. M., Suzuki, A. &amp; Pollock, T. M. Creep-induced planar defects in L12-containing Co- and CoNi-base single-crystal superalloys. Acta Mater. 82, 530–539 (2015)</v>
          </cell>
          <cell r="F790">
            <v>5270</v>
          </cell>
          <cell r="G790">
            <v>45.900000000000006</v>
          </cell>
          <cell r="H790">
            <v>29.2</v>
          </cell>
          <cell r="I790">
            <v>9.8000000000000007</v>
          </cell>
          <cell r="J790">
            <v>6.4</v>
          </cell>
          <cell r="K790">
            <v>6.3</v>
          </cell>
          <cell r="L790"/>
          <cell r="M790">
            <v>2.4</v>
          </cell>
          <cell r="N790"/>
          <cell r="O790"/>
          <cell r="P790"/>
          <cell r="Q790"/>
          <cell r="R790"/>
          <cell r="S790"/>
          <cell r="T790"/>
          <cell r="U790"/>
          <cell r="V790"/>
          <cell r="W790"/>
          <cell r="X790"/>
          <cell r="Y790"/>
          <cell r="Z790"/>
          <cell r="AA790"/>
          <cell r="AB790"/>
          <cell r="AC790"/>
          <cell r="AD790"/>
          <cell r="AE790"/>
          <cell r="AF790">
            <v>9.0233460000000001</v>
          </cell>
          <cell r="AG790"/>
          <cell r="AH790" t="str">
            <v>single crystal</v>
          </cell>
          <cell r="AI790" t="str">
            <v>Co</v>
          </cell>
          <cell r="AJ790" t="str">
            <v>-9.8Al</v>
          </cell>
          <cell r="AK790" t="str">
            <v>-6.3W</v>
          </cell>
          <cell r="AL790" t="str">
            <v>-29.2Ni</v>
          </cell>
          <cell r="AM790" t="str">
            <v>-6.4Cr</v>
          </cell>
          <cell r="AN790" t="str">
            <v>-2.4Ta</v>
          </cell>
          <cell r="AO790" t="str">
            <v/>
          </cell>
          <cell r="AP790" t="str">
            <v/>
          </cell>
          <cell r="AQ790" t="str">
            <v/>
          </cell>
          <cell r="AR790" t="str">
            <v/>
          </cell>
          <cell r="AS790" t="str">
            <v/>
          </cell>
          <cell r="AT790" t="str">
            <v/>
          </cell>
          <cell r="AU790" t="str">
            <v/>
          </cell>
          <cell r="AV790" t="str">
            <v/>
          </cell>
          <cell r="AW790" t="str">
            <v/>
          </cell>
          <cell r="AX790" t="str">
            <v/>
          </cell>
          <cell r="AY790" t="str">
            <v/>
          </cell>
          <cell r="AZ790" t="str">
            <v/>
          </cell>
          <cell r="BA790" t="str">
            <v/>
          </cell>
          <cell r="BB790" t="str">
            <v/>
          </cell>
          <cell r="BC790" t="str">
            <v/>
          </cell>
          <cell r="BD790" t="str">
            <v/>
          </cell>
          <cell r="BE790" t="str">
            <v/>
          </cell>
          <cell r="BF790" t="str">
            <v/>
          </cell>
          <cell r="BG790" t="str">
            <v/>
          </cell>
          <cell r="BH790" t="str">
            <v>CoNi-ATitus, M. S., Eggeler, Y. M., Suzuki, A. &amp; Pollock, T. M. Creep-induced planar defects in L12-containing Co- and CoNi-base single-crystal superalloys. Acta Mater. 82, 530–539 (2015)</v>
          </cell>
          <cell r="BI790" t="str">
            <v>Co-29.2Ni-9.8Al-6.4Cr-6.3W-2.4Ta</v>
          </cell>
          <cell r="BJ790" t="str">
            <v>75.1Co-29.2Ni-9.8Al-6.4Cr-6.3W-2.4Ta</v>
          </cell>
        </row>
        <row r="791">
          <cell r="A791" t="str">
            <v>Co-29.6Ni-11.2Al-6.5W-2.8Ta</v>
          </cell>
          <cell r="B791" t="str">
            <v>CoAlWX+</v>
          </cell>
          <cell r="C791" t="str">
            <v>-30Ni-11Al-7W-3Ta</v>
          </cell>
          <cell r="D791" t="str">
            <v>CoNi-E</v>
          </cell>
          <cell r="E791" t="str">
            <v>Titus, M. S., Suzuki, A. &amp; Pollock, T. M. Creep and directional coarsening in single crystals of new γ-γ′ Cobalt-base alloys. Scr. Mater. 66, 574–577 (2012).</v>
          </cell>
          <cell r="F791">
            <v>5340</v>
          </cell>
          <cell r="G791">
            <v>49.900000000000006</v>
          </cell>
          <cell r="H791">
            <v>29.6</v>
          </cell>
          <cell r="I791">
            <v>11.2</v>
          </cell>
          <cell r="J791"/>
          <cell r="K791">
            <v>6.5</v>
          </cell>
          <cell r="L791"/>
          <cell r="M791">
            <v>2.8</v>
          </cell>
          <cell r="N791"/>
          <cell r="O791"/>
          <cell r="P791"/>
          <cell r="Q791"/>
          <cell r="R791"/>
          <cell r="S791"/>
          <cell r="T791"/>
          <cell r="U791"/>
          <cell r="V791"/>
          <cell r="W791"/>
          <cell r="X791"/>
          <cell r="Y791"/>
          <cell r="Z791"/>
          <cell r="AA791"/>
          <cell r="AB791"/>
          <cell r="AC791"/>
          <cell r="AD791"/>
          <cell r="AE791"/>
          <cell r="AF791">
            <v>9.0977180000000004</v>
          </cell>
          <cell r="AG791"/>
          <cell r="AH791"/>
          <cell r="AI791" t="str">
            <v>Co</v>
          </cell>
          <cell r="AJ791" t="str">
            <v>-11.2Al</v>
          </cell>
          <cell r="AK791" t="str">
            <v>-6.5W</v>
          </cell>
          <cell r="AL791" t="str">
            <v>-29.6Ni</v>
          </cell>
          <cell r="AM791" t="str">
            <v/>
          </cell>
          <cell r="AN791" t="str">
            <v>-2.8Ta</v>
          </cell>
          <cell r="AO791" t="str">
            <v/>
          </cell>
          <cell r="AP791" t="str">
            <v/>
          </cell>
          <cell r="AQ791" t="str">
            <v/>
          </cell>
          <cell r="AR791" t="str">
            <v/>
          </cell>
          <cell r="AS791" t="str">
            <v/>
          </cell>
          <cell r="AT791" t="str">
            <v/>
          </cell>
          <cell r="AU791" t="str">
            <v/>
          </cell>
          <cell r="AV791" t="str">
            <v/>
          </cell>
          <cell r="AW791" t="str">
            <v/>
          </cell>
          <cell r="AX791" t="str">
            <v/>
          </cell>
          <cell r="AY791" t="str">
            <v/>
          </cell>
          <cell r="AZ791" t="str">
            <v/>
          </cell>
          <cell r="BA791" t="str">
            <v/>
          </cell>
          <cell r="BB791" t="str">
            <v/>
          </cell>
          <cell r="BC791" t="str">
            <v/>
          </cell>
          <cell r="BD791" t="str">
            <v/>
          </cell>
          <cell r="BE791" t="str">
            <v/>
          </cell>
          <cell r="BF791" t="str">
            <v/>
          </cell>
          <cell r="BG791" t="str">
            <v/>
          </cell>
          <cell r="BH791" t="str">
            <v>CoNi-ETitus, M. S., Suzuki, A. &amp; Pollock, T. M. Creep and directional coarsening in single crystals of new γ-γ′ Cobalt-base alloys. Scr. Mater. 66, 574–577 (2012).</v>
          </cell>
          <cell r="BI791" t="str">
            <v>Co-29.6Ni-11.2Al-6.5W-2.8Ta</v>
          </cell>
          <cell r="BJ791" t="str">
            <v>79.5Co-29.6Ni-11.2Al-6.5W-2.8Ta</v>
          </cell>
        </row>
        <row r="792">
          <cell r="A792" t="str">
            <v>Co-9.4Al-10.7W</v>
          </cell>
          <cell r="B792" t="str">
            <v>CoAlWX+</v>
          </cell>
          <cell r="C792" t="str">
            <v>-9Al-11W</v>
          </cell>
          <cell r="D792" t="str">
            <v>Co-9.4Al-10.7W</v>
          </cell>
          <cell r="E792" t="str">
            <v>Tsunekane, M., Suzuki, A. &amp; Pollock, T. M. Single-crystal solidification of new Co-Al-W-base alloys. Intermetallics 19, 636–643 (2011).</v>
          </cell>
          <cell r="F792">
            <v>5430</v>
          </cell>
          <cell r="G792">
            <v>79.900000000000006</v>
          </cell>
          <cell r="H792"/>
          <cell r="I792">
            <v>9.4</v>
          </cell>
          <cell r="J792"/>
          <cell r="K792">
            <v>10.7</v>
          </cell>
          <cell r="L792"/>
          <cell r="M792"/>
          <cell r="N792"/>
          <cell r="O792"/>
          <cell r="P792"/>
          <cell r="Q792"/>
          <cell r="R792"/>
          <cell r="S792"/>
          <cell r="T792"/>
          <cell r="U792"/>
          <cell r="V792"/>
          <cell r="W792"/>
          <cell r="X792"/>
          <cell r="Y792"/>
          <cell r="Z792"/>
          <cell r="AA792"/>
          <cell r="AB792"/>
          <cell r="AC792"/>
          <cell r="AD792"/>
          <cell r="AE792"/>
          <cell r="AF792">
            <v>9.4246500000000015</v>
          </cell>
          <cell r="AG792"/>
          <cell r="AH792"/>
          <cell r="AI792" t="str">
            <v>Co</v>
          </cell>
          <cell r="AJ792" t="str">
            <v>-9.4Al</v>
          </cell>
          <cell r="AK792" t="str">
            <v>-10.7W</v>
          </cell>
          <cell r="AL792" t="str">
            <v/>
          </cell>
          <cell r="AM792" t="str">
            <v/>
          </cell>
          <cell r="AN792" t="str">
            <v/>
          </cell>
          <cell r="AO792" t="str">
            <v/>
          </cell>
          <cell r="AP792" t="str">
            <v/>
          </cell>
          <cell r="AQ792" t="str">
            <v/>
          </cell>
          <cell r="AR792" t="str">
            <v/>
          </cell>
          <cell r="AS792" t="str">
            <v/>
          </cell>
          <cell r="AT792" t="str">
            <v/>
          </cell>
          <cell r="AU792" t="str">
            <v/>
          </cell>
          <cell r="AV792" t="str">
            <v/>
          </cell>
          <cell r="AW792" t="str">
            <v/>
          </cell>
          <cell r="AX792" t="str">
            <v/>
          </cell>
          <cell r="AY792" t="str">
            <v/>
          </cell>
          <cell r="AZ792" t="str">
            <v/>
          </cell>
          <cell r="BA792" t="str">
            <v/>
          </cell>
          <cell r="BB792" t="str">
            <v/>
          </cell>
          <cell r="BC792" t="str">
            <v/>
          </cell>
          <cell r="BD792" t="str">
            <v/>
          </cell>
          <cell r="BE792" t="str">
            <v/>
          </cell>
          <cell r="BF792" t="str">
            <v/>
          </cell>
          <cell r="BG792" t="str">
            <v/>
          </cell>
          <cell r="BH792" t="str">
            <v>Co-9.4Al-10.7WTsunekane, M., Suzuki, A. &amp; Pollock, T. M. Single-crystal solidification of new Co-Al-W-base alloys. Intermetallics 19, 636–643 (2011).</v>
          </cell>
          <cell r="BI792" t="str">
            <v>Co-9.4Al-10.7W</v>
          </cell>
          <cell r="BJ792" t="str">
            <v>79.9Co-9.4Al-10.7W</v>
          </cell>
        </row>
        <row r="793">
          <cell r="A793" t="str">
            <v>Co-8.8Al-9.8W-2.0Ta</v>
          </cell>
          <cell r="B793" t="str">
            <v>CoAlW-X</v>
          </cell>
          <cell r="C793" t="str">
            <v>-9Al-10W-2Ta</v>
          </cell>
          <cell r="D793" t="str">
            <v>Co-8.8Al-9.8W-2Ta</v>
          </cell>
          <cell r="E793" t="str">
            <v>Tsunekane, M., Suzuki, A. &amp; Pollock, T. M. Single-crystal solidification of new Co-Al-W-base alloys. Intermetallics 19, 636–643 (2011).</v>
          </cell>
          <cell r="F793">
            <v>5440</v>
          </cell>
          <cell r="G793">
            <v>79.400000000000006</v>
          </cell>
          <cell r="H793"/>
          <cell r="I793">
            <v>8.8000000000000007</v>
          </cell>
          <cell r="J793"/>
          <cell r="K793">
            <v>9.8000000000000007</v>
          </cell>
          <cell r="L793"/>
          <cell r="M793">
            <v>2</v>
          </cell>
          <cell r="N793"/>
          <cell r="O793"/>
          <cell r="P793"/>
          <cell r="Q793"/>
          <cell r="R793"/>
          <cell r="S793"/>
          <cell r="T793"/>
          <cell r="U793"/>
          <cell r="V793"/>
          <cell r="W793"/>
          <cell r="X793"/>
          <cell r="Y793"/>
          <cell r="Z793"/>
          <cell r="AA793"/>
          <cell r="AB793"/>
          <cell r="AC793"/>
          <cell r="AD793"/>
          <cell r="AE793"/>
          <cell r="AF793">
            <v>9.5236999999999998</v>
          </cell>
          <cell r="AG793"/>
          <cell r="AH793"/>
          <cell r="AI793" t="str">
            <v>Co</v>
          </cell>
          <cell r="AJ793" t="str">
            <v>-8.8Al</v>
          </cell>
          <cell r="AK793" t="str">
            <v>-9.8W</v>
          </cell>
          <cell r="AL793" t="str">
            <v/>
          </cell>
          <cell r="AM793" t="str">
            <v/>
          </cell>
          <cell r="AN793" t="str">
            <v>-2.0Ta</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
          </cell>
          <cell r="BB793" t="str">
            <v/>
          </cell>
          <cell r="BC793" t="str">
            <v/>
          </cell>
          <cell r="BD793" t="str">
            <v/>
          </cell>
          <cell r="BE793" t="str">
            <v/>
          </cell>
          <cell r="BF793" t="str">
            <v/>
          </cell>
          <cell r="BG793" t="str">
            <v/>
          </cell>
          <cell r="BH793" t="str">
            <v>Co-8.8Al-9.8W-2TaTsunekane, M., Suzuki, A. &amp; Pollock, T. M. Single-crystal solidification of new Co-Al-W-base alloys. Intermetallics 19, 636–643 (2011).</v>
          </cell>
          <cell r="BI793" t="str">
            <v>Co-8.8Al-9.8W-2.0Ta</v>
          </cell>
          <cell r="BJ793" t="str">
            <v>79.4Co-8.8Al-9.8W-2.0Ta</v>
          </cell>
        </row>
        <row r="794">
          <cell r="A794" t="str">
            <v>Co-7.8Al-4.5Cr-7.8W-2.0Ta</v>
          </cell>
          <cell r="B794" t="str">
            <v>CoAlWX+</v>
          </cell>
          <cell r="C794" t="str">
            <v>-8Al-5Cr-8W-2Ta</v>
          </cell>
          <cell r="D794" t="str">
            <v>Co-7.8Al-7.8W-4.5Cr-2Ta</v>
          </cell>
          <cell r="E794" t="str">
            <v>Tsunekane, M., Suzuki, A. &amp; Pollock, T. M. Single-crystal solidification of new Co-Al-W-base alloys. Intermetallics 19, 636–643 (2011).</v>
          </cell>
          <cell r="F794">
            <v>5450</v>
          </cell>
          <cell r="G794">
            <v>77.900000000000006</v>
          </cell>
          <cell r="H794"/>
          <cell r="I794">
            <v>7.8</v>
          </cell>
          <cell r="J794">
            <v>4.5</v>
          </cell>
          <cell r="K794">
            <v>7.8</v>
          </cell>
          <cell r="L794"/>
          <cell r="M794">
            <v>2</v>
          </cell>
          <cell r="N794"/>
          <cell r="O794"/>
          <cell r="P794"/>
          <cell r="Q794"/>
          <cell r="R794"/>
          <cell r="S794"/>
          <cell r="T794"/>
          <cell r="U794"/>
          <cell r="V794"/>
          <cell r="W794"/>
          <cell r="X794"/>
          <cell r="Y794"/>
          <cell r="Z794"/>
          <cell r="AA794"/>
          <cell r="AB794"/>
          <cell r="AC794"/>
          <cell r="AD794"/>
          <cell r="AE794"/>
          <cell r="AF794">
            <v>9.3017500000000002</v>
          </cell>
          <cell r="AG794"/>
          <cell r="AH794"/>
          <cell r="AI794" t="str">
            <v>Co</v>
          </cell>
          <cell r="AJ794" t="str">
            <v>-7.8Al</v>
          </cell>
          <cell r="AK794" t="str">
            <v>-7.8W</v>
          </cell>
          <cell r="AL794" t="str">
            <v/>
          </cell>
          <cell r="AM794" t="str">
            <v>-4.5Cr</v>
          </cell>
          <cell r="AN794" t="str">
            <v>-2.0Ta</v>
          </cell>
          <cell r="AO794" t="str">
            <v/>
          </cell>
          <cell r="AP794" t="str">
            <v/>
          </cell>
          <cell r="AQ794" t="str">
            <v/>
          </cell>
          <cell r="AR794" t="str">
            <v/>
          </cell>
          <cell r="AS794" t="str">
            <v/>
          </cell>
          <cell r="AT794" t="str">
            <v/>
          </cell>
          <cell r="AU794" t="str">
            <v/>
          </cell>
          <cell r="AV794" t="str">
            <v/>
          </cell>
          <cell r="AW794" t="str">
            <v/>
          </cell>
          <cell r="AX794" t="str">
            <v/>
          </cell>
          <cell r="AY794" t="str">
            <v/>
          </cell>
          <cell r="AZ794" t="str">
            <v/>
          </cell>
          <cell r="BA794" t="str">
            <v/>
          </cell>
          <cell r="BB794" t="str">
            <v/>
          </cell>
          <cell r="BC794" t="str">
            <v/>
          </cell>
          <cell r="BD794" t="str">
            <v/>
          </cell>
          <cell r="BE794" t="str">
            <v/>
          </cell>
          <cell r="BF794" t="str">
            <v/>
          </cell>
          <cell r="BG794" t="str">
            <v/>
          </cell>
          <cell r="BH794" t="str">
            <v>Co-7.8Al-7.8W-4.5Cr-2TaTsunekane, M., Suzuki, A. &amp; Pollock, T. M. Single-crystal solidification of new Co-Al-W-base alloys. Intermetallics 19, 636–643 (2011).</v>
          </cell>
          <cell r="BI794" t="str">
            <v>Co-7.8Al-4.5Cr-7.8W-2.0Ta</v>
          </cell>
          <cell r="BJ794" t="str">
            <v>77.9Co-7.8Al-4.5Cr-7.8W-2.0Ta</v>
          </cell>
        </row>
        <row r="795">
          <cell r="A795" t="str">
            <v>Co-7.3Al-6.8W</v>
          </cell>
          <cell r="B795" t="str">
            <v>CoAlW-X</v>
          </cell>
          <cell r="C795" t="str">
            <v>-7Al-7W</v>
          </cell>
          <cell r="D795" t="str">
            <v>Co-7Al-7W</v>
          </cell>
          <cell r="E795" t="str">
            <v>Vorontsov, V. A. et al. Coarsening behaviour and interfacial structure of γ′ precipitates in Co-Al-W based superalloys. Acta Mater. 120, 14–23 (2016).</v>
          </cell>
          <cell r="F795">
            <v>5620</v>
          </cell>
          <cell r="G795">
            <v>85.9</v>
          </cell>
          <cell r="H795"/>
          <cell r="I795">
            <v>7.3</v>
          </cell>
          <cell r="J795"/>
          <cell r="K795">
            <v>6.8</v>
          </cell>
          <cell r="L795"/>
          <cell r="M795"/>
          <cell r="N795"/>
          <cell r="O795"/>
          <cell r="P795"/>
          <cell r="Q795"/>
          <cell r="R795"/>
          <cell r="S795"/>
          <cell r="T795"/>
          <cell r="U795"/>
          <cell r="V795"/>
          <cell r="W795"/>
          <cell r="X795"/>
          <cell r="Y795"/>
          <cell r="Z795"/>
          <cell r="AA795"/>
          <cell r="AB795"/>
          <cell r="AC795"/>
          <cell r="AD795"/>
          <cell r="AE795"/>
          <cell r="AF795">
            <v>9.1512000000000011</v>
          </cell>
          <cell r="AG795"/>
          <cell r="AH795"/>
          <cell r="AI795" t="str">
            <v>Co</v>
          </cell>
          <cell r="AJ795" t="str">
            <v>-7.3Al</v>
          </cell>
          <cell r="AK795" t="str">
            <v>-6.8W</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
          </cell>
          <cell r="BB795" t="str">
            <v/>
          </cell>
          <cell r="BC795" t="str">
            <v/>
          </cell>
          <cell r="BD795" t="str">
            <v/>
          </cell>
          <cell r="BE795" t="str">
            <v/>
          </cell>
          <cell r="BF795" t="str">
            <v/>
          </cell>
          <cell r="BG795" t="str">
            <v/>
          </cell>
          <cell r="BH795" t="str">
            <v>Co-7Al-7WVorontsov, V. A. et al. Coarsening behaviour and interfacial structure of γ′ precipitates in Co-Al-W based superalloys. Acta Mater. 120, 14–23 (2016).</v>
          </cell>
          <cell r="BI795" t="str">
            <v>Co-7.3Al-6.8W</v>
          </cell>
          <cell r="BJ795" t="str">
            <v>85.9Co-7.3Al-6.8W</v>
          </cell>
        </row>
        <row r="796">
          <cell r="A796" t="str">
            <v>Co-9.Al-9.0W-2.0Ta</v>
          </cell>
          <cell r="B796" t="str">
            <v>CoAlW-X</v>
          </cell>
          <cell r="C796" t="str">
            <v>-9Al-9W-2Ta</v>
          </cell>
          <cell r="D796" t="str">
            <v>Co-9Al-9W-2Ta</v>
          </cell>
          <cell r="E796" t="str">
            <v>Wang, S., Li, S. &amp; Sha, J. Effect of Hf additions on microstructure and mechanical properties of a Co-9Al-9W-2Ta alloy at room and high-temperatures. in Procedia Engineering vol. 27 1162–1168 (Elsevier Ltd, 2012).</v>
          </cell>
          <cell r="F796">
            <v>5750</v>
          </cell>
          <cell r="G796">
            <v>80</v>
          </cell>
          <cell r="H796"/>
          <cell r="I796">
            <v>9</v>
          </cell>
          <cell r="J796"/>
          <cell r="K796">
            <v>9</v>
          </cell>
          <cell r="L796"/>
          <cell r="M796">
            <v>2</v>
          </cell>
          <cell r="N796"/>
          <cell r="O796"/>
          <cell r="P796"/>
          <cell r="Q796"/>
          <cell r="R796"/>
          <cell r="S796"/>
          <cell r="T796"/>
          <cell r="U796"/>
          <cell r="V796"/>
          <cell r="W796"/>
          <cell r="X796"/>
          <cell r="Y796"/>
          <cell r="Z796"/>
          <cell r="AA796"/>
          <cell r="AB796"/>
          <cell r="AC796"/>
          <cell r="AD796"/>
          <cell r="AE796"/>
          <cell r="AF796">
            <v>9.4284999999999997</v>
          </cell>
          <cell r="AG796"/>
          <cell r="AH796"/>
          <cell r="AI796" t="str">
            <v>Co</v>
          </cell>
          <cell r="AJ796" t="str">
            <v>-9.Al</v>
          </cell>
          <cell r="AK796" t="str">
            <v>-9.0W</v>
          </cell>
          <cell r="AL796" t="str">
            <v/>
          </cell>
          <cell r="AM796" t="str">
            <v/>
          </cell>
          <cell r="AN796" t="str">
            <v>-2.0Ta</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
          </cell>
          <cell r="BB796" t="str">
            <v/>
          </cell>
          <cell r="BC796" t="str">
            <v/>
          </cell>
          <cell r="BD796" t="str">
            <v/>
          </cell>
          <cell r="BE796" t="str">
            <v/>
          </cell>
          <cell r="BF796" t="str">
            <v/>
          </cell>
          <cell r="BG796" t="str">
            <v/>
          </cell>
          <cell r="BH796" t="str">
            <v>Co-9Al-9W-2TaWang, S., Li, S. &amp; Sha, J. Effect of Hf additions on microstructure and mechanical properties of a Co-9Al-9W-2Ta alloy at room and high-temperatures. in Procedia Engineering vol. 27 1162–1168 (Elsevier Ltd, 2012).</v>
          </cell>
          <cell r="BI796" t="str">
            <v>Co-9.Al-9.0W-2.0Ta</v>
          </cell>
          <cell r="BJ796" t="str">
            <v>80.0Co-9.0Al-9.0W-2.0Ta</v>
          </cell>
        </row>
        <row r="797">
          <cell r="A797" t="str">
            <v>Co-9.Al-10.0W-4.0Ta</v>
          </cell>
          <cell r="B797" t="str">
            <v>CoAlW-X</v>
          </cell>
          <cell r="C797" t="str">
            <v>-9Al-10W-4Ta</v>
          </cell>
          <cell r="D797" t="str">
            <v>4Ta</v>
          </cell>
          <cell r="E797" t="str">
            <v>Xue, F., Wang, M. &amp; Feng, Q. Alloying Effects on Heat-Treated Microstructure in Co-Al-W-Base Superalloys at 1300°C and 900°C. Superalloys 2012 813–821 (2012) doi:10.1002/9781118516430.ch90.</v>
          </cell>
          <cell r="F797">
            <v>5940</v>
          </cell>
          <cell r="G797">
            <v>77</v>
          </cell>
          <cell r="H797"/>
          <cell r="I797">
            <v>9</v>
          </cell>
          <cell r="J797"/>
          <cell r="K797">
            <v>10</v>
          </cell>
          <cell r="L797"/>
          <cell r="M797">
            <v>4</v>
          </cell>
          <cell r="N797"/>
          <cell r="O797"/>
          <cell r="P797"/>
          <cell r="Q797"/>
          <cell r="R797"/>
          <cell r="S797"/>
          <cell r="T797"/>
          <cell r="U797"/>
          <cell r="V797"/>
          <cell r="W797"/>
          <cell r="X797"/>
          <cell r="Y797"/>
          <cell r="Z797"/>
          <cell r="AA797"/>
          <cell r="AB797"/>
          <cell r="AC797"/>
          <cell r="AD797"/>
          <cell r="AE797"/>
          <cell r="AF797">
            <v>9.6870000000000012</v>
          </cell>
          <cell r="AG797"/>
          <cell r="AH797"/>
          <cell r="AI797" t="str">
            <v>Co</v>
          </cell>
          <cell r="AJ797" t="str">
            <v>-9.Al</v>
          </cell>
          <cell r="AK797" t="str">
            <v>-10.0W</v>
          </cell>
          <cell r="AL797" t="str">
            <v/>
          </cell>
          <cell r="AM797" t="str">
            <v/>
          </cell>
          <cell r="AN797" t="str">
            <v>-4.0Ta</v>
          </cell>
          <cell r="AO797" t="str">
            <v/>
          </cell>
          <cell r="AP797" t="str">
            <v/>
          </cell>
          <cell r="AQ797" t="str">
            <v/>
          </cell>
          <cell r="AR797" t="str">
            <v/>
          </cell>
          <cell r="AS797" t="str">
            <v/>
          </cell>
          <cell r="AT797" t="str">
            <v/>
          </cell>
          <cell r="AU797" t="str">
            <v/>
          </cell>
          <cell r="AV797" t="str">
            <v/>
          </cell>
          <cell r="AW797" t="str">
            <v/>
          </cell>
          <cell r="AX797" t="str">
            <v/>
          </cell>
          <cell r="AY797" t="str">
            <v/>
          </cell>
          <cell r="AZ797" t="str">
            <v/>
          </cell>
          <cell r="BA797" t="str">
            <v/>
          </cell>
          <cell r="BB797" t="str">
            <v/>
          </cell>
          <cell r="BC797" t="str">
            <v/>
          </cell>
          <cell r="BD797" t="str">
            <v/>
          </cell>
          <cell r="BE797" t="str">
            <v/>
          </cell>
          <cell r="BF797" t="str">
            <v/>
          </cell>
          <cell r="BG797" t="str">
            <v/>
          </cell>
          <cell r="BH797" t="str">
            <v>4TaXue, F., Wang, M. &amp; Feng, Q. Alloying Effects on Heat-Treated Microstructure in Co-Al-W-Base Superalloys at 1300°C and 900°C. Superalloys 2012 813–821 (2012) doi:10.1002/9781118516430.ch90.</v>
          </cell>
          <cell r="BI797" t="str">
            <v>Co-9.Al-10.0W-4.0Ta</v>
          </cell>
          <cell r="BJ797" t="str">
            <v>77.0Co-9.0Al-10.0W-4.0Ta</v>
          </cell>
        </row>
        <row r="798">
          <cell r="A798" t="str">
            <v>Co-7.Al-8.0W-4.0Ti-1.0Ta</v>
          </cell>
          <cell r="B798" t="str">
            <v>CoAlWX+</v>
          </cell>
          <cell r="C798" t="str">
            <v>-7Al-8W-4Ti-1Ta</v>
          </cell>
          <cell r="D798" t="str">
            <v>Alloy TaTi</v>
          </cell>
          <cell r="E798" t="str">
            <v>Xue, F., Zhou, H. J. &amp; Feng, Q. Improved High-Temperature Microstructural Stability and Creep Property of Novel Co-Base Single-Crystal Alloys Containing Ta and Ti. JOM 66, 2486–2494 (2014).</v>
          </cell>
          <cell r="F798">
            <v>5970</v>
          </cell>
          <cell r="G798">
            <v>80</v>
          </cell>
          <cell r="H798"/>
          <cell r="I798">
            <v>7</v>
          </cell>
          <cell r="J798"/>
          <cell r="K798">
            <v>8</v>
          </cell>
          <cell r="L798">
            <v>4</v>
          </cell>
          <cell r="M798">
            <v>1</v>
          </cell>
          <cell r="N798"/>
          <cell r="O798"/>
          <cell r="P798"/>
          <cell r="Q798"/>
          <cell r="R798"/>
          <cell r="S798"/>
          <cell r="T798"/>
          <cell r="U798"/>
          <cell r="V798"/>
          <cell r="W798"/>
          <cell r="X798"/>
          <cell r="Y798"/>
          <cell r="Z798"/>
          <cell r="AA798"/>
          <cell r="AB798"/>
          <cell r="AC798"/>
          <cell r="AD798"/>
          <cell r="AE798"/>
          <cell r="AF798">
            <v>9.1957799999999992</v>
          </cell>
          <cell r="AG798"/>
          <cell r="AH798" t="str">
            <v>single crystal</v>
          </cell>
          <cell r="AI798" t="str">
            <v>Co</v>
          </cell>
          <cell r="AJ798" t="str">
            <v>-7.Al</v>
          </cell>
          <cell r="AK798" t="str">
            <v>-8.0W</v>
          </cell>
          <cell r="AL798" t="str">
            <v/>
          </cell>
          <cell r="AM798" t="str">
            <v/>
          </cell>
          <cell r="AN798" t="str">
            <v>-1.0Ta</v>
          </cell>
          <cell r="AO798" t="str">
            <v/>
          </cell>
          <cell r="AP798" t="str">
            <v/>
          </cell>
          <cell r="AQ798" t="str">
            <v>-4.0Ti</v>
          </cell>
          <cell r="AR798" t="str">
            <v/>
          </cell>
          <cell r="AS798" t="str">
            <v/>
          </cell>
          <cell r="AT798" t="str">
            <v/>
          </cell>
          <cell r="AU798" t="str">
            <v/>
          </cell>
          <cell r="AV798" t="str">
            <v/>
          </cell>
          <cell r="AW798" t="str">
            <v/>
          </cell>
          <cell r="AX798" t="str">
            <v/>
          </cell>
          <cell r="AY798" t="str">
            <v/>
          </cell>
          <cell r="AZ798" t="str">
            <v/>
          </cell>
          <cell r="BA798" t="str">
            <v/>
          </cell>
          <cell r="BB798" t="str">
            <v/>
          </cell>
          <cell r="BC798" t="str">
            <v/>
          </cell>
          <cell r="BD798" t="str">
            <v/>
          </cell>
          <cell r="BE798" t="str">
            <v/>
          </cell>
          <cell r="BF798" t="str">
            <v/>
          </cell>
          <cell r="BG798" t="str">
            <v/>
          </cell>
          <cell r="BH798" t="str">
            <v>Alloy TaTiXue, F., Zhou, H. J. &amp; Feng, Q. Improved High-Temperature Microstructural Stability and Creep Property of Novel Co-Base Single-Crystal Alloys Containing Ta and Ti. JOM 66, 2486–2494 (2014).</v>
          </cell>
          <cell r="BI798" t="str">
            <v>Co-7.Al-8.0W-4.0Ti-1.0Ta</v>
          </cell>
          <cell r="BJ798" t="str">
            <v>80.0Co-7.0Al-8.0W-4.0Ti-1.0Ta</v>
          </cell>
        </row>
        <row r="799">
          <cell r="A799" t="str">
            <v>Co-7.Al-8.0W-4.0Ti-1.0Ta</v>
          </cell>
          <cell r="B799" t="str">
            <v>CoAlWX+</v>
          </cell>
          <cell r="C799" t="str">
            <v>-7Al-8W-4Ti-1Ta</v>
          </cell>
          <cell r="D799" t="str">
            <v>Alloy TaTi-B</v>
          </cell>
          <cell r="E799" t="str">
            <v>Xue, F., Zhou, H. J. &amp; Feng, Q. Improved High-Temperature Microstructural Stability and Creep Property of Novel Co-Base Single-Crystal Alloys Containing Ta and Ti. JOM 66, 2486–2494 (2014).</v>
          </cell>
          <cell r="F799">
            <v>5980</v>
          </cell>
          <cell r="G799">
            <v>80</v>
          </cell>
          <cell r="H799"/>
          <cell r="I799">
            <v>7</v>
          </cell>
          <cell r="J799"/>
          <cell r="K799">
            <v>8</v>
          </cell>
          <cell r="L799">
            <v>4</v>
          </cell>
          <cell r="M799">
            <v>1</v>
          </cell>
          <cell r="N799"/>
          <cell r="O799"/>
          <cell r="P799"/>
          <cell r="Q799"/>
          <cell r="R799"/>
          <cell r="S799"/>
          <cell r="T799"/>
          <cell r="U799"/>
          <cell r="V799"/>
          <cell r="W799"/>
          <cell r="X799"/>
          <cell r="Y799"/>
          <cell r="Z799"/>
          <cell r="AA799"/>
          <cell r="AB799"/>
          <cell r="AC799"/>
          <cell r="AD799"/>
          <cell r="AE799"/>
          <cell r="AF799">
            <v>9.1957799999999992</v>
          </cell>
          <cell r="AG799"/>
          <cell r="AH799"/>
          <cell r="AI799" t="str">
            <v>Co</v>
          </cell>
          <cell r="AJ799" t="str">
            <v>-7.Al</v>
          </cell>
          <cell r="AK799" t="str">
            <v>-8.0W</v>
          </cell>
          <cell r="AL799" t="str">
            <v/>
          </cell>
          <cell r="AM799" t="str">
            <v/>
          </cell>
          <cell r="AN799" t="str">
            <v>-1.0Ta</v>
          </cell>
          <cell r="AO799" t="str">
            <v/>
          </cell>
          <cell r="AP799" t="str">
            <v/>
          </cell>
          <cell r="AQ799" t="str">
            <v>-4.0Ti</v>
          </cell>
          <cell r="AR799" t="str">
            <v/>
          </cell>
          <cell r="AS799" t="str">
            <v/>
          </cell>
          <cell r="AT799" t="str">
            <v/>
          </cell>
          <cell r="AU799" t="str">
            <v/>
          </cell>
          <cell r="AV799" t="str">
            <v/>
          </cell>
          <cell r="AW799" t="str">
            <v/>
          </cell>
          <cell r="AX799" t="str">
            <v/>
          </cell>
          <cell r="AY799" t="str">
            <v/>
          </cell>
          <cell r="AZ799" t="str">
            <v/>
          </cell>
          <cell r="BA799" t="str">
            <v/>
          </cell>
          <cell r="BB799" t="str">
            <v/>
          </cell>
          <cell r="BC799" t="str">
            <v/>
          </cell>
          <cell r="BD799" t="str">
            <v/>
          </cell>
          <cell r="BE799" t="str">
            <v/>
          </cell>
          <cell r="BF799" t="str">
            <v/>
          </cell>
          <cell r="BG799" t="str">
            <v/>
          </cell>
          <cell r="BH799" t="str">
            <v>Alloy TaTi-BXue, F., Zhou, H. J. &amp; Feng, Q. Improved High-Temperature Microstructural Stability and Creep Property of Novel Co-Base Single-Crystal Alloys Containing Ta and Ti. JOM 66, 2486–2494 (2014).</v>
          </cell>
          <cell r="BI799" t="str">
            <v>Co-7.Al-8.0W-4.0Ti-1.0Ta</v>
          </cell>
          <cell r="BJ799" t="str">
            <v>80.0Co-7.0Al-8.0W-4.0Ti-1.0Ta</v>
          </cell>
        </row>
        <row r="800">
          <cell r="A800" t="str">
            <v>Co-7.Al-8.0W-4.0Ti-1.0Ta</v>
          </cell>
          <cell r="B800" t="str">
            <v>CoAlWX+</v>
          </cell>
          <cell r="C800" t="str">
            <v>-7Al-8W-4Ti-1Ta</v>
          </cell>
          <cell r="D800" t="str">
            <v>Alloy A</v>
          </cell>
          <cell r="E800" t="str">
            <v>Xue, F., Zhou, H. J., Ding, X. F., Wang, M. L. &amp; Feng, Q. Improved high temperature γ’ stability of Co-Al-W-base alloys containing Ti and Ta. Mater. Lett. 112, 215–218 (2013).</v>
          </cell>
          <cell r="F800">
            <v>6040</v>
          </cell>
          <cell r="G800">
            <v>80</v>
          </cell>
          <cell r="H800"/>
          <cell r="I800">
            <v>7</v>
          </cell>
          <cell r="J800"/>
          <cell r="K800">
            <v>8</v>
          </cell>
          <cell r="L800">
            <v>4</v>
          </cell>
          <cell r="M800">
            <v>1</v>
          </cell>
          <cell r="N800"/>
          <cell r="O800"/>
          <cell r="P800"/>
          <cell r="Q800"/>
          <cell r="R800"/>
          <cell r="S800"/>
          <cell r="T800"/>
          <cell r="U800"/>
          <cell r="V800"/>
          <cell r="W800"/>
          <cell r="X800"/>
          <cell r="Y800"/>
          <cell r="Z800"/>
          <cell r="AA800"/>
          <cell r="AB800"/>
          <cell r="AC800"/>
          <cell r="AD800"/>
          <cell r="AE800"/>
          <cell r="AF800">
            <v>9.1957799999999992</v>
          </cell>
          <cell r="AG800"/>
          <cell r="AH800"/>
          <cell r="AI800" t="str">
            <v>Co</v>
          </cell>
          <cell r="AJ800" t="str">
            <v>-7.Al</v>
          </cell>
          <cell r="AK800" t="str">
            <v>-8.0W</v>
          </cell>
          <cell r="AL800" t="str">
            <v/>
          </cell>
          <cell r="AM800" t="str">
            <v/>
          </cell>
          <cell r="AN800" t="str">
            <v>-1.0Ta</v>
          </cell>
          <cell r="AO800" t="str">
            <v/>
          </cell>
          <cell r="AP800" t="str">
            <v/>
          </cell>
          <cell r="AQ800" t="str">
            <v>-4.0Ti</v>
          </cell>
          <cell r="AR800" t="str">
            <v/>
          </cell>
          <cell r="AS800" t="str">
            <v/>
          </cell>
          <cell r="AT800" t="str">
            <v/>
          </cell>
          <cell r="AU800" t="str">
            <v/>
          </cell>
          <cell r="AV800" t="str">
            <v/>
          </cell>
          <cell r="AW800" t="str">
            <v/>
          </cell>
          <cell r="AX800" t="str">
            <v/>
          </cell>
          <cell r="AY800" t="str">
            <v/>
          </cell>
          <cell r="AZ800" t="str">
            <v/>
          </cell>
          <cell r="BA800" t="str">
            <v/>
          </cell>
          <cell r="BB800" t="str">
            <v/>
          </cell>
          <cell r="BC800" t="str">
            <v/>
          </cell>
          <cell r="BD800" t="str">
            <v/>
          </cell>
          <cell r="BE800" t="str">
            <v/>
          </cell>
          <cell r="BF800" t="str">
            <v/>
          </cell>
          <cell r="BG800" t="str">
            <v/>
          </cell>
          <cell r="BH800" t="str">
            <v>Alloy AXue, F., Zhou, H. J., Ding, X. F., Wang, M. L. &amp; Feng, Q. Improved high temperature γ’ stability of Co-Al-W-base alloys containing Ti and Ta. Mater. Lett. 112, 215–218 (2013).</v>
          </cell>
          <cell r="BI800" t="str">
            <v>Co-7.Al-8.0W-4.0Ti-1.0Ta</v>
          </cell>
          <cell r="BJ800" t="str">
            <v>80.0Co-7.0Al-8.0W-4.0Ti-1.0Ta</v>
          </cell>
        </row>
        <row r="801">
          <cell r="A801" t="str">
            <v>Co-7.Al-7.0W-4.0Ti-2.0Ta</v>
          </cell>
          <cell r="B801" t="str">
            <v>CoAlWX+</v>
          </cell>
          <cell r="C801" t="str">
            <v>-7Al-7W-4Ti-2Ta</v>
          </cell>
          <cell r="D801" t="str">
            <v>Alloy B</v>
          </cell>
          <cell r="E801" t="str">
            <v>Xue, F., Zhou, H. J., Ding, X. F., Wang, M. L. &amp; Feng, Q. Improved high temperature γ’ stability of Co-Al-W-base alloys containing Ti and Ta. Mater. Lett. 112, 215–218 (2013).</v>
          </cell>
          <cell r="F801">
            <v>6050</v>
          </cell>
          <cell r="G801">
            <v>80</v>
          </cell>
          <cell r="H801"/>
          <cell r="I801">
            <v>7</v>
          </cell>
          <cell r="J801"/>
          <cell r="K801">
            <v>7</v>
          </cell>
          <cell r="L801">
            <v>4</v>
          </cell>
          <cell r="M801">
            <v>2</v>
          </cell>
          <cell r="N801"/>
          <cell r="O801"/>
          <cell r="P801"/>
          <cell r="Q801"/>
          <cell r="R801"/>
          <cell r="S801"/>
          <cell r="T801"/>
          <cell r="U801"/>
          <cell r="V801"/>
          <cell r="W801"/>
          <cell r="X801"/>
          <cell r="Y801"/>
          <cell r="Z801"/>
          <cell r="AA801"/>
          <cell r="AB801"/>
          <cell r="AC801"/>
          <cell r="AD801"/>
          <cell r="AE801"/>
          <cell r="AF801">
            <v>9.1697799999999994</v>
          </cell>
          <cell r="AG801"/>
          <cell r="AH801"/>
          <cell r="AI801" t="str">
            <v>Co</v>
          </cell>
          <cell r="AJ801" t="str">
            <v>-7.Al</v>
          </cell>
          <cell r="AK801" t="str">
            <v>-7.0W</v>
          </cell>
          <cell r="AL801" t="str">
            <v/>
          </cell>
          <cell r="AM801" t="str">
            <v/>
          </cell>
          <cell r="AN801" t="str">
            <v>-2.0Ta</v>
          </cell>
          <cell r="AO801" t="str">
            <v/>
          </cell>
          <cell r="AP801" t="str">
            <v/>
          </cell>
          <cell r="AQ801" t="str">
            <v>-4.0Ti</v>
          </cell>
          <cell r="AR801" t="str">
            <v/>
          </cell>
          <cell r="AS801" t="str">
            <v/>
          </cell>
          <cell r="AT801" t="str">
            <v/>
          </cell>
          <cell r="AU801" t="str">
            <v/>
          </cell>
          <cell r="AV801" t="str">
            <v/>
          </cell>
          <cell r="AW801" t="str">
            <v/>
          </cell>
          <cell r="AX801" t="str">
            <v/>
          </cell>
          <cell r="AY801" t="str">
            <v/>
          </cell>
          <cell r="AZ801" t="str">
            <v/>
          </cell>
          <cell r="BA801" t="str">
            <v/>
          </cell>
          <cell r="BB801" t="str">
            <v/>
          </cell>
          <cell r="BC801" t="str">
            <v/>
          </cell>
          <cell r="BD801" t="str">
            <v/>
          </cell>
          <cell r="BE801" t="str">
            <v/>
          </cell>
          <cell r="BF801" t="str">
            <v/>
          </cell>
          <cell r="BG801" t="str">
            <v/>
          </cell>
          <cell r="BH801" t="str">
            <v>Alloy BXue, F., Zhou, H. J., Ding, X. F., Wang, M. L. &amp; Feng, Q. Improved high temperature γ’ stability of Co-Al-W-base alloys containing Ti and Ta. Mater. Lett. 112, 215–218 (2013).</v>
          </cell>
          <cell r="BI801" t="str">
            <v>Co-7.Al-7.0W-4.0Ti-2.0Ta</v>
          </cell>
          <cell r="BJ801" t="str">
            <v>80.0Co-7.0Al-7.0W-4.0Ti-2.0Ta</v>
          </cell>
        </row>
        <row r="802">
          <cell r="A802" t="str">
            <v>Co-9.9Al-4.8W-1.8Ta</v>
          </cell>
          <cell r="B802" t="str">
            <v>CoAlW-X</v>
          </cell>
          <cell r="C802" t="str">
            <v>-10Al-5W-2Ta</v>
          </cell>
          <cell r="D802" t="str">
            <v>2Ta</v>
          </cell>
          <cell r="E802" t="str">
            <v>Yan, H. Y., Vorontsov, V. A. &amp; Dye, D. Alloying effects in polycrystalline γ′ strengthened Co-Al-W base alloys. Intermetallics 48, 44–53 (2014).</v>
          </cell>
          <cell r="F802">
            <v>6120</v>
          </cell>
          <cell r="G802">
            <v>83.5</v>
          </cell>
          <cell r="H802"/>
          <cell r="I802">
            <v>9.9</v>
          </cell>
          <cell r="J802"/>
          <cell r="K802">
            <v>4.8</v>
          </cell>
          <cell r="L802"/>
          <cell r="M802">
            <v>1.8</v>
          </cell>
          <cell r="N802"/>
          <cell r="O802"/>
          <cell r="P802"/>
          <cell r="Q802"/>
          <cell r="R802"/>
          <cell r="S802"/>
          <cell r="T802"/>
          <cell r="U802"/>
          <cell r="V802"/>
          <cell r="W802"/>
          <cell r="X802"/>
          <cell r="Y802"/>
          <cell r="Z802"/>
          <cell r="AA802"/>
          <cell r="AB802"/>
          <cell r="AC802"/>
          <cell r="AD802"/>
          <cell r="AE802"/>
          <cell r="AF802">
            <v>8.9224999999999994</v>
          </cell>
          <cell r="AG802">
            <v>9.09</v>
          </cell>
          <cell r="AH802"/>
          <cell r="AI802" t="str">
            <v>Co</v>
          </cell>
          <cell r="AJ802" t="str">
            <v>-9.9Al</v>
          </cell>
          <cell r="AK802" t="str">
            <v>-4.8W</v>
          </cell>
          <cell r="AL802" t="str">
            <v/>
          </cell>
          <cell r="AM802" t="str">
            <v/>
          </cell>
          <cell r="AN802" t="str">
            <v>-1.8Ta</v>
          </cell>
          <cell r="AO802" t="str">
            <v/>
          </cell>
          <cell r="AP802" t="str">
            <v/>
          </cell>
          <cell r="AQ802" t="str">
            <v/>
          </cell>
          <cell r="AR802" t="str">
            <v/>
          </cell>
          <cell r="AS802" t="str">
            <v/>
          </cell>
          <cell r="AT802" t="str">
            <v/>
          </cell>
          <cell r="AU802" t="str">
            <v/>
          </cell>
          <cell r="AV802" t="str">
            <v/>
          </cell>
          <cell r="AW802" t="str">
            <v/>
          </cell>
          <cell r="AX802" t="str">
            <v/>
          </cell>
          <cell r="AY802" t="str">
            <v/>
          </cell>
          <cell r="AZ802" t="str">
            <v/>
          </cell>
          <cell r="BA802" t="str">
            <v/>
          </cell>
          <cell r="BB802" t="str">
            <v/>
          </cell>
          <cell r="BC802" t="str">
            <v/>
          </cell>
          <cell r="BD802" t="str">
            <v/>
          </cell>
          <cell r="BE802" t="str">
            <v/>
          </cell>
          <cell r="BF802" t="str">
            <v/>
          </cell>
          <cell r="BG802" t="str">
            <v/>
          </cell>
          <cell r="BH802" t="str">
            <v>2TaYan, H. Y., Vorontsov, V. A. &amp; Dye, D. Alloying effects in polycrystalline γ′ strengthened Co-Al-W base alloys. Intermetallics 48, 44–53 (2014).</v>
          </cell>
          <cell r="BI802" t="str">
            <v>Co-9.9Al-4.8W-1.8Ta</v>
          </cell>
          <cell r="BJ802" t="str">
            <v>83.5Co-9.9Al-4.8W-1.8Ta</v>
          </cell>
        </row>
        <row r="803">
          <cell r="A803" t="str">
            <v>Co-20.2Ni-7.3Al-7.0W</v>
          </cell>
          <cell r="B803" t="str">
            <v>CoAlW-X</v>
          </cell>
          <cell r="C803" t="str">
            <v>-20Ni-7Al-7W</v>
          </cell>
          <cell r="D803" t="str">
            <v>20Ni</v>
          </cell>
          <cell r="E803" t="str">
            <v>Yan, H. Y., Vorontsov, V. A. &amp; Dye, D. Alloying effects in polycrystalline γ′ strengthened Co-Al-W base alloys. Intermetallics 48, 44–53 (2014).</v>
          </cell>
          <cell r="F803">
            <v>6130</v>
          </cell>
          <cell r="G803">
            <v>65.5</v>
          </cell>
          <cell r="H803">
            <v>20.2</v>
          </cell>
          <cell r="I803">
            <v>7.3</v>
          </cell>
          <cell r="J803"/>
          <cell r="K803">
            <v>7</v>
          </cell>
          <cell r="L803"/>
          <cell r="M803"/>
          <cell r="N803"/>
          <cell r="O803"/>
          <cell r="P803"/>
          <cell r="Q803"/>
          <cell r="R803"/>
          <cell r="S803"/>
          <cell r="T803"/>
          <cell r="U803"/>
          <cell r="V803"/>
          <cell r="W803"/>
          <cell r="X803"/>
          <cell r="Y803"/>
          <cell r="Z803"/>
          <cell r="AA803"/>
          <cell r="AB803"/>
          <cell r="AC803"/>
          <cell r="AD803"/>
          <cell r="AE803"/>
          <cell r="AF803">
            <v>9.1735160000000011</v>
          </cell>
          <cell r="AG803">
            <v>9.2899999999999991</v>
          </cell>
          <cell r="AH803"/>
          <cell r="AI803" t="str">
            <v>Co</v>
          </cell>
          <cell r="AJ803" t="str">
            <v>-7.3Al</v>
          </cell>
          <cell r="AK803" t="str">
            <v>-7.0W</v>
          </cell>
          <cell r="AL803" t="str">
            <v>-20.2Ni</v>
          </cell>
          <cell r="AM803" t="str">
            <v/>
          </cell>
          <cell r="AN803" t="str">
            <v/>
          </cell>
          <cell r="AO803" t="str">
            <v/>
          </cell>
          <cell r="AP803" t="str">
            <v/>
          </cell>
          <cell r="AQ803" t="str">
            <v/>
          </cell>
          <cell r="AR803" t="str">
            <v/>
          </cell>
          <cell r="AS803" t="str">
            <v/>
          </cell>
          <cell r="AT803" t="str">
            <v/>
          </cell>
          <cell r="AU803" t="str">
            <v/>
          </cell>
          <cell r="AV803" t="str">
            <v/>
          </cell>
          <cell r="AW803" t="str">
            <v/>
          </cell>
          <cell r="AX803" t="str">
            <v/>
          </cell>
          <cell r="AY803" t="str">
            <v/>
          </cell>
          <cell r="AZ803" t="str">
            <v/>
          </cell>
          <cell r="BA803" t="str">
            <v/>
          </cell>
          <cell r="BB803" t="str">
            <v/>
          </cell>
          <cell r="BC803" t="str">
            <v/>
          </cell>
          <cell r="BD803" t="str">
            <v/>
          </cell>
          <cell r="BE803" t="str">
            <v/>
          </cell>
          <cell r="BF803" t="str">
            <v/>
          </cell>
          <cell r="BG803" t="str">
            <v/>
          </cell>
          <cell r="BH803" t="str">
            <v>20NiYan, H. Y., Vorontsov, V. A. &amp; Dye, D. Alloying effects in polycrystalline γ′ strengthened Co-Al-W base alloys. Intermetallics 48, 44–53 (2014).</v>
          </cell>
          <cell r="BI803" t="str">
            <v>Co-20.2Ni-7.3Al-7.0W</v>
          </cell>
          <cell r="BJ803" t="str">
            <v>85.7Co-20.2Ni-7.3Al-7.0W</v>
          </cell>
        </row>
        <row r="804">
          <cell r="A804" t="str">
            <v>Co-7.Al-7.0W-4.0Ti-2.0Ta</v>
          </cell>
          <cell r="B804" t="str">
            <v>CoAlWX+</v>
          </cell>
          <cell r="C804" t="str">
            <v>-7Al-7W-4Ti-2Ta</v>
          </cell>
          <cell r="D804" t="str">
            <v>Baseline</v>
          </cell>
          <cell r="E804" t="str">
            <v>Zhou, H. J. et al. Alloying effects on microstructural stability and γ′ phase nano-hardness in Co-Al-W-Ta-Ti-base superalloys. in Proceedings of the International Symposium on Superalloys vols 2016-Janua 981–990 (Minerals, Metals and Materials Society, 2016).</v>
          </cell>
          <cell r="F804">
            <v>7310</v>
          </cell>
          <cell r="G804">
            <v>80</v>
          </cell>
          <cell r="H804"/>
          <cell r="I804">
            <v>7</v>
          </cell>
          <cell r="J804"/>
          <cell r="K804">
            <v>7</v>
          </cell>
          <cell r="L804">
            <v>4</v>
          </cell>
          <cell r="M804">
            <v>2</v>
          </cell>
          <cell r="N804"/>
          <cell r="O804"/>
          <cell r="P804"/>
          <cell r="Q804"/>
          <cell r="R804"/>
          <cell r="S804"/>
          <cell r="T804"/>
          <cell r="U804"/>
          <cell r="V804"/>
          <cell r="W804"/>
          <cell r="X804"/>
          <cell r="Y804"/>
          <cell r="Z804"/>
          <cell r="AA804"/>
          <cell r="AB804"/>
          <cell r="AC804"/>
          <cell r="AD804"/>
          <cell r="AE804"/>
          <cell r="AF804">
            <v>9.1697799999999994</v>
          </cell>
          <cell r="AG804"/>
          <cell r="AH804"/>
          <cell r="AI804" t="str">
            <v>Co</v>
          </cell>
          <cell r="AJ804" t="str">
            <v>-7.Al</v>
          </cell>
          <cell r="AK804" t="str">
            <v>-7.0W</v>
          </cell>
          <cell r="AL804" t="str">
            <v/>
          </cell>
          <cell r="AM804" t="str">
            <v/>
          </cell>
          <cell r="AN804" t="str">
            <v>-2.0Ta</v>
          </cell>
          <cell r="AO804" t="str">
            <v/>
          </cell>
          <cell r="AP804" t="str">
            <v/>
          </cell>
          <cell r="AQ804" t="str">
            <v>-4.0Ti</v>
          </cell>
          <cell r="AR804" t="str">
            <v/>
          </cell>
          <cell r="AS804" t="str">
            <v/>
          </cell>
          <cell r="AT804" t="str">
            <v/>
          </cell>
          <cell r="AU804" t="str">
            <v/>
          </cell>
          <cell r="AV804" t="str">
            <v/>
          </cell>
          <cell r="AW804" t="str">
            <v/>
          </cell>
          <cell r="AX804" t="str">
            <v/>
          </cell>
          <cell r="AY804" t="str">
            <v/>
          </cell>
          <cell r="AZ804" t="str">
            <v/>
          </cell>
          <cell r="BA804" t="str">
            <v/>
          </cell>
          <cell r="BB804" t="str">
            <v/>
          </cell>
          <cell r="BC804" t="str">
            <v/>
          </cell>
          <cell r="BD804" t="str">
            <v/>
          </cell>
          <cell r="BE804" t="str">
            <v/>
          </cell>
          <cell r="BF804" t="str">
            <v/>
          </cell>
          <cell r="BG804" t="str">
            <v/>
          </cell>
          <cell r="BH804" t="str">
            <v>BaselineZhou, H. J. et al. Alloying effects on microstructural stability and γ′ phase nano-hardness in Co-Al-W-Ta-Ti-base superalloys. in Proceedings of the International Symposium on Superalloys vols 2016-Janua 981–990 (Minerals, Metals and Materials Society, 2016).</v>
          </cell>
          <cell r="BI804" t="str">
            <v>Co-7.Al-7.0W-4.0Ti-2.0Ta</v>
          </cell>
          <cell r="BJ804" t="str">
            <v>80.0Co-7.0Al-7.0W-4.0Ti-2.0Ta</v>
          </cell>
        </row>
        <row r="805">
          <cell r="A805" t="str">
            <v>Co-7.Al-8.0W-4.0Ti-1.0Ta</v>
          </cell>
          <cell r="B805" t="str">
            <v>CoAlWX+</v>
          </cell>
          <cell r="C805" t="str">
            <v>-7Al-8W-4Ti-1Ta</v>
          </cell>
          <cell r="D805" t="str">
            <v>CO-7Al-8W-1Ta-4Ti</v>
          </cell>
          <cell r="E805" t="str">
            <v>Zhou, H. J., Chang, H. &amp; Feng, Q. Transient minimum creep of a γ′ strengthened Co-base single-crystal superalloy at 900 °C. Scr. Mater. 135, 84–87 (2017).</v>
          </cell>
          <cell r="F805">
            <v>7370</v>
          </cell>
          <cell r="G805">
            <v>80</v>
          </cell>
          <cell r="H805"/>
          <cell r="I805">
            <v>7</v>
          </cell>
          <cell r="J805"/>
          <cell r="K805">
            <v>8</v>
          </cell>
          <cell r="L805">
            <v>4</v>
          </cell>
          <cell r="M805">
            <v>1</v>
          </cell>
          <cell r="N805"/>
          <cell r="O805"/>
          <cell r="P805"/>
          <cell r="Q805"/>
          <cell r="R805"/>
          <cell r="S805"/>
          <cell r="T805"/>
          <cell r="U805"/>
          <cell r="V805"/>
          <cell r="W805"/>
          <cell r="X805"/>
          <cell r="Y805"/>
          <cell r="Z805"/>
          <cell r="AA805"/>
          <cell r="AB805"/>
          <cell r="AC805"/>
          <cell r="AD805"/>
          <cell r="AE805"/>
          <cell r="AF805">
            <v>9.1957799999999992</v>
          </cell>
          <cell r="AG805"/>
          <cell r="AH805" t="str">
            <v>single crystal [001]</v>
          </cell>
          <cell r="AI805" t="str">
            <v>Co</v>
          </cell>
          <cell r="AJ805" t="str">
            <v>-7.Al</v>
          </cell>
          <cell r="AK805" t="str">
            <v>-8.0W</v>
          </cell>
          <cell r="AL805" t="str">
            <v/>
          </cell>
          <cell r="AM805" t="str">
            <v/>
          </cell>
          <cell r="AN805" t="str">
            <v>-1.0Ta</v>
          </cell>
          <cell r="AO805" t="str">
            <v/>
          </cell>
          <cell r="AP805" t="str">
            <v/>
          </cell>
          <cell r="AQ805" t="str">
            <v>-4.0Ti</v>
          </cell>
          <cell r="AR805" t="str">
            <v/>
          </cell>
          <cell r="AS805" t="str">
            <v/>
          </cell>
          <cell r="AT805" t="str">
            <v/>
          </cell>
          <cell r="AU805" t="str">
            <v/>
          </cell>
          <cell r="AV805" t="str">
            <v/>
          </cell>
          <cell r="AW805" t="str">
            <v/>
          </cell>
          <cell r="AX805" t="str">
            <v/>
          </cell>
          <cell r="AY805" t="str">
            <v/>
          </cell>
          <cell r="AZ805" t="str">
            <v/>
          </cell>
          <cell r="BA805" t="str">
            <v/>
          </cell>
          <cell r="BB805" t="str">
            <v/>
          </cell>
          <cell r="BC805" t="str">
            <v/>
          </cell>
          <cell r="BD805" t="str">
            <v/>
          </cell>
          <cell r="BE805" t="str">
            <v/>
          </cell>
          <cell r="BF805" t="str">
            <v/>
          </cell>
          <cell r="BG805" t="str">
            <v/>
          </cell>
          <cell r="BH805" t="str">
            <v>CO-7Al-8W-1Ta-4TiZhou, H. J., Chang, H. &amp; Feng, Q. Transient minimum creep of a γ′ strengthened Co-base single-crystal superalloy at 900 °C. Scr. Mater. 135, 84–87 (2017).</v>
          </cell>
          <cell r="BI805" t="str">
            <v>Co-7.Al-8.0W-4.0Ti-1.0Ta</v>
          </cell>
          <cell r="BJ805" t="str">
            <v>80.0Co-7.0Al-8.0W-4.0Ti-1.0Ta</v>
          </cell>
        </row>
        <row r="806">
          <cell r="A806" t="str">
            <v>Co-7.Al-7.0W-4.0Ti-2.0Ta</v>
          </cell>
          <cell r="B806" t="str">
            <v>CoAlWX+</v>
          </cell>
          <cell r="C806" t="str">
            <v>-7Al-7W-4Ti-2Ta</v>
          </cell>
          <cell r="D806" t="str">
            <v>Alloy A</v>
          </cell>
          <cell r="E806" t="str">
            <v>Zhou, H. J., Xue, F., Chang, H. &amp; Feng, Q. Effect of Mo on microstructural characteristics and coarsening kinetics of γ’ precipitates in Co–Al–W–Ta–Ti alloys. J. Mater. Sci. Technol. 34, 799–805 (2018).</v>
          </cell>
          <cell r="F806">
            <v>7380</v>
          </cell>
          <cell r="G806">
            <v>80</v>
          </cell>
          <cell r="H806"/>
          <cell r="I806">
            <v>7</v>
          </cell>
          <cell r="J806"/>
          <cell r="K806">
            <v>7</v>
          </cell>
          <cell r="L806">
            <v>4</v>
          </cell>
          <cell r="M806">
            <v>2</v>
          </cell>
          <cell r="N806"/>
          <cell r="O806"/>
          <cell r="P806"/>
          <cell r="Q806"/>
          <cell r="R806"/>
          <cell r="S806"/>
          <cell r="T806"/>
          <cell r="U806"/>
          <cell r="V806"/>
          <cell r="W806"/>
          <cell r="X806"/>
          <cell r="Y806"/>
          <cell r="Z806"/>
          <cell r="AA806"/>
          <cell r="AB806"/>
          <cell r="AC806"/>
          <cell r="AD806"/>
          <cell r="AE806"/>
          <cell r="AF806">
            <v>9.1697799999999994</v>
          </cell>
          <cell r="AG806"/>
          <cell r="AH806"/>
          <cell r="AI806" t="str">
            <v>Co</v>
          </cell>
          <cell r="AJ806" t="str">
            <v>-7.Al</v>
          </cell>
          <cell r="AK806" t="str">
            <v>-7.0W</v>
          </cell>
          <cell r="AL806" t="str">
            <v/>
          </cell>
          <cell r="AM806" t="str">
            <v/>
          </cell>
          <cell r="AN806" t="str">
            <v>-2.0Ta</v>
          </cell>
          <cell r="AO806" t="str">
            <v/>
          </cell>
          <cell r="AP806" t="str">
            <v/>
          </cell>
          <cell r="AQ806" t="str">
            <v>-4.0Ti</v>
          </cell>
          <cell r="AR806" t="str">
            <v/>
          </cell>
          <cell r="AS806" t="str">
            <v/>
          </cell>
          <cell r="AT806" t="str">
            <v/>
          </cell>
          <cell r="AU806" t="str">
            <v/>
          </cell>
          <cell r="AV806" t="str">
            <v/>
          </cell>
          <cell r="AW806" t="str">
            <v/>
          </cell>
          <cell r="AX806" t="str">
            <v/>
          </cell>
          <cell r="AY806" t="str">
            <v/>
          </cell>
          <cell r="AZ806" t="str">
            <v/>
          </cell>
          <cell r="BA806" t="str">
            <v/>
          </cell>
          <cell r="BB806" t="str">
            <v/>
          </cell>
          <cell r="BC806" t="str">
            <v/>
          </cell>
          <cell r="BD806" t="str">
            <v/>
          </cell>
          <cell r="BE806" t="str">
            <v/>
          </cell>
          <cell r="BF806" t="str">
            <v/>
          </cell>
          <cell r="BG806" t="str">
            <v/>
          </cell>
          <cell r="BH806" t="str">
            <v>Alloy AZhou, H. J., Xue, F., Chang, H. &amp; Feng, Q. Effect of Mo on microstructural characteristics and coarsening kinetics of γ’ precipitates in Co–Al–W–Ta–Ti alloys. J. Mater. Sci. Technol. 34, 799–805 (2018).</v>
          </cell>
          <cell r="BI806" t="str">
            <v>Co-7.Al-7.0W-4.0Ti-2.0Ta</v>
          </cell>
          <cell r="BJ806" t="str">
            <v>80.0Co-7.0Al-7.0W-4.0Ti-2.0Ta</v>
          </cell>
        </row>
        <row r="807">
          <cell r="A807" t="str">
            <v>Co-7.Al-6.0W-4.0Ti-2.0Ta-1.0Mo</v>
          </cell>
          <cell r="B807" t="str">
            <v>CoAlWX+</v>
          </cell>
          <cell r="C807" t="str">
            <v>-7Al-6W-4Ti-2Ta-1Mo</v>
          </cell>
          <cell r="D807" t="str">
            <v>Alloy B</v>
          </cell>
          <cell r="E807" t="str">
            <v>Zhou, H. J., Xue, F., Chang, H. &amp; Feng, Q. Effect of Mo on microstructural characteristics and coarsening kinetics of γ’ precipitates in Co–Al–W–Ta–Ti alloys. J. Mater. Sci. Technol. 34, 799–805 (2018).</v>
          </cell>
          <cell r="F807">
            <v>7390</v>
          </cell>
          <cell r="G807">
            <v>80</v>
          </cell>
          <cell r="H807"/>
          <cell r="I807">
            <v>7</v>
          </cell>
          <cell r="J807"/>
          <cell r="K807">
            <v>6</v>
          </cell>
          <cell r="L807">
            <v>4</v>
          </cell>
          <cell r="M807">
            <v>2</v>
          </cell>
          <cell r="N807"/>
          <cell r="O807"/>
          <cell r="P807">
            <v>1</v>
          </cell>
          <cell r="Q807"/>
          <cell r="R807"/>
          <cell r="S807"/>
          <cell r="T807"/>
          <cell r="U807"/>
          <cell r="V807"/>
          <cell r="W807"/>
          <cell r="X807"/>
          <cell r="Y807"/>
          <cell r="Z807"/>
          <cell r="AA807"/>
          <cell r="AB807"/>
          <cell r="AC807"/>
          <cell r="AD807"/>
          <cell r="AE807"/>
          <cell r="AF807">
            <v>9.0800799999999988</v>
          </cell>
          <cell r="AG807"/>
          <cell r="AH807"/>
          <cell r="AI807" t="str">
            <v>Co</v>
          </cell>
          <cell r="AJ807" t="str">
            <v>-7.Al</v>
          </cell>
          <cell r="AK807" t="str">
            <v>-6.0W</v>
          </cell>
          <cell r="AL807" t="str">
            <v/>
          </cell>
          <cell r="AM807" t="str">
            <v/>
          </cell>
          <cell r="AN807" t="str">
            <v>-2.0Ta</v>
          </cell>
          <cell r="AO807" t="str">
            <v/>
          </cell>
          <cell r="AP807" t="str">
            <v/>
          </cell>
          <cell r="AQ807" t="str">
            <v>-4.0Ti</v>
          </cell>
          <cell r="AR807" t="str">
            <v>-1.0Mo</v>
          </cell>
          <cell r="AS807" t="str">
            <v/>
          </cell>
          <cell r="AT807" t="str">
            <v/>
          </cell>
          <cell r="AU807" t="str">
            <v/>
          </cell>
          <cell r="AV807" t="str">
            <v/>
          </cell>
          <cell r="AW807" t="str">
            <v/>
          </cell>
          <cell r="AX807" t="str">
            <v/>
          </cell>
          <cell r="AY807" t="str">
            <v/>
          </cell>
          <cell r="AZ807" t="str">
            <v/>
          </cell>
          <cell r="BA807" t="str">
            <v/>
          </cell>
          <cell r="BB807" t="str">
            <v/>
          </cell>
          <cell r="BC807" t="str">
            <v/>
          </cell>
          <cell r="BD807" t="str">
            <v/>
          </cell>
          <cell r="BE807" t="str">
            <v/>
          </cell>
          <cell r="BF807" t="str">
            <v/>
          </cell>
          <cell r="BG807" t="str">
            <v/>
          </cell>
          <cell r="BH807" t="str">
            <v>Alloy BZhou, H. J., Xue, F., Chang, H. &amp; Feng, Q. Effect of Mo on microstructural characteristics and coarsening kinetics of γ’ precipitates in Co–Al–W–Ta–Ti alloys. J. Mater. Sci. Technol. 34, 799–805 (2018).</v>
          </cell>
          <cell r="BI807" t="str">
            <v>Co-7.Al-6.0W-4.0Ti-2.0Ta-1.0Mo</v>
          </cell>
          <cell r="BJ807" t="str">
            <v>80.0Co-7.0Al-6.0W-4.0Ti-2.0Ta-1.0Mo</v>
          </cell>
        </row>
        <row r="808">
          <cell r="A808" t="str">
            <v>Co-8.1Al-9.1W-1.7Ta-2.5Ir</v>
          </cell>
          <cell r="B808" t="str">
            <v>CoAlWX+</v>
          </cell>
          <cell r="C808" t="str">
            <v>-8Al-9W-2Ta-3Ir</v>
          </cell>
          <cell r="D808" t="str">
            <v>2Ta2Ir</v>
          </cell>
          <cell r="E808" t="str">
            <v>Bauer, A., Neumeier, S., Pyczak, F., &amp; Göken, M. (2010). Microstructure and creep strength of different γ/γ′- strengthened Co-base superalloy variants. Scripta Materialia, 63(12), 1197–1200. https://doi.org/10.1016/j.scriptamat.2010.08.049</v>
          </cell>
          <cell r="F808">
            <v>21000</v>
          </cell>
          <cell r="G808">
            <v>78.599999999999994</v>
          </cell>
          <cell r="H808"/>
          <cell r="I808">
            <v>8.1</v>
          </cell>
          <cell r="J808"/>
          <cell r="K808">
            <v>9.1</v>
          </cell>
          <cell r="L808"/>
          <cell r="M808">
            <v>1.7</v>
          </cell>
          <cell r="N808"/>
          <cell r="O808"/>
          <cell r="P808"/>
          <cell r="Q808"/>
          <cell r="R808"/>
          <cell r="S808"/>
          <cell r="T808">
            <v>2.5</v>
          </cell>
          <cell r="U808"/>
          <cell r="V808"/>
          <cell r="W808"/>
          <cell r="X808"/>
          <cell r="Y808"/>
          <cell r="Z808"/>
          <cell r="AA808"/>
          <cell r="AB808"/>
          <cell r="AC808"/>
          <cell r="AD808"/>
          <cell r="AE808"/>
          <cell r="AF808">
            <v>9.8128999999999991</v>
          </cell>
          <cell r="AG808"/>
          <cell r="AH808"/>
          <cell r="AI808" t="str">
            <v>Co</v>
          </cell>
          <cell r="AJ808" t="str">
            <v>-8.1Al</v>
          </cell>
          <cell r="AK808" t="str">
            <v>-9.1W</v>
          </cell>
          <cell r="AL808" t="str">
            <v/>
          </cell>
          <cell r="AM808" t="str">
            <v/>
          </cell>
          <cell r="AN808" t="str">
            <v>-1.7Ta</v>
          </cell>
          <cell r="AO808" t="str">
            <v/>
          </cell>
          <cell r="AP808" t="str">
            <v/>
          </cell>
          <cell r="AQ808" t="str">
            <v/>
          </cell>
          <cell r="AR808" t="str">
            <v/>
          </cell>
          <cell r="AS808" t="str">
            <v/>
          </cell>
          <cell r="AT808" t="str">
            <v/>
          </cell>
          <cell r="AU808" t="str">
            <v/>
          </cell>
          <cell r="AV808" t="str">
            <v>-2.5Ir</v>
          </cell>
          <cell r="AW808" t="str">
            <v/>
          </cell>
          <cell r="AX808" t="str">
            <v/>
          </cell>
          <cell r="AY808" t="str">
            <v/>
          </cell>
          <cell r="AZ808" t="str">
            <v/>
          </cell>
          <cell r="BA808" t="str">
            <v/>
          </cell>
          <cell r="BB808" t="str">
            <v/>
          </cell>
          <cell r="BC808" t="str">
            <v/>
          </cell>
          <cell r="BD808" t="str">
            <v/>
          </cell>
          <cell r="BE808" t="str">
            <v/>
          </cell>
          <cell r="BF808" t="str">
            <v/>
          </cell>
          <cell r="BG808" t="str">
            <v/>
          </cell>
          <cell r="BH808" t="str">
            <v>2Ta2IrBauer, A., Neumeier, S., Pyczak, F., &amp; Göken, M. (2010). Microstructure and creep strength of different γ/γ′- strengthened Co-base superalloy variants. Scripta Materialia, 63(12), 1197–1200. https://doi.org/10.1016/j.scriptamat.2010.08.049</v>
          </cell>
          <cell r="BI808" t="str">
            <v>Co-8.1Al-9.1W-1.7Ta-2.5Ir</v>
          </cell>
          <cell r="BJ808" t="str">
            <v>78.6Co-8.1Al-9.1W-1.7Ta-2.5Ir</v>
          </cell>
        </row>
        <row r="809">
          <cell r="A809" t="str">
            <v>Co-8.1Al-9.1W-1.7Ta-2.5Ir</v>
          </cell>
          <cell r="B809" t="str">
            <v>CoAlWX+</v>
          </cell>
          <cell r="C809" t="str">
            <v>-8Al-9W-2Ta-3Ir</v>
          </cell>
          <cell r="D809" t="str">
            <v>8W-2Ta-2Ir</v>
          </cell>
          <cell r="E809" t="str">
            <v>Bauer, A., Neumeier, S., Pyczak, F., &amp; Göken, M. (2012). Creep Strength and Microstructure of Polycrystalline γ′ - Strengthened Cobalt-Base Superalloys. In Superalloys 2012 (pp. 695–703). https://doi.org/10.1002/9781118516430.ch84</v>
          </cell>
          <cell r="F809">
            <v>31000</v>
          </cell>
          <cell r="G809">
            <v>78.599999999999994</v>
          </cell>
          <cell r="H809"/>
          <cell r="I809">
            <v>8.1</v>
          </cell>
          <cell r="J809"/>
          <cell r="K809">
            <v>9.1</v>
          </cell>
          <cell r="L809"/>
          <cell r="M809">
            <v>1.7</v>
          </cell>
          <cell r="N809"/>
          <cell r="O809"/>
          <cell r="P809"/>
          <cell r="Q809"/>
          <cell r="R809"/>
          <cell r="S809"/>
          <cell r="T809">
            <v>2.5</v>
          </cell>
          <cell r="U809"/>
          <cell r="V809"/>
          <cell r="W809"/>
          <cell r="X809"/>
          <cell r="Y809"/>
          <cell r="Z809"/>
          <cell r="AA809"/>
          <cell r="AB809"/>
          <cell r="AC809"/>
          <cell r="AD809"/>
          <cell r="AE809"/>
          <cell r="AF809">
            <v>9.8128999999999991</v>
          </cell>
          <cell r="AG809"/>
          <cell r="AH809"/>
          <cell r="AI809" t="str">
            <v>Co</v>
          </cell>
          <cell r="AJ809" t="str">
            <v>-8.1Al</v>
          </cell>
          <cell r="AK809" t="str">
            <v>-9.1W</v>
          </cell>
          <cell r="AL809" t="str">
            <v/>
          </cell>
          <cell r="AM809" t="str">
            <v/>
          </cell>
          <cell r="AN809" t="str">
            <v>-1.7Ta</v>
          </cell>
          <cell r="AO809" t="str">
            <v/>
          </cell>
          <cell r="AP809" t="str">
            <v/>
          </cell>
          <cell r="AQ809" t="str">
            <v/>
          </cell>
          <cell r="AR809" t="str">
            <v/>
          </cell>
          <cell r="AS809" t="str">
            <v/>
          </cell>
          <cell r="AT809" t="str">
            <v/>
          </cell>
          <cell r="AU809" t="str">
            <v/>
          </cell>
          <cell r="AV809" t="str">
            <v>-2.5Ir</v>
          </cell>
          <cell r="AW809" t="str">
            <v/>
          </cell>
          <cell r="AX809" t="str">
            <v/>
          </cell>
          <cell r="AY809" t="str">
            <v/>
          </cell>
          <cell r="AZ809" t="str">
            <v/>
          </cell>
          <cell r="BA809" t="str">
            <v/>
          </cell>
          <cell r="BB809" t="str">
            <v/>
          </cell>
          <cell r="BC809" t="str">
            <v/>
          </cell>
          <cell r="BD809" t="str">
            <v/>
          </cell>
          <cell r="BE809" t="str">
            <v/>
          </cell>
          <cell r="BF809" t="str">
            <v/>
          </cell>
          <cell r="BG809" t="str">
            <v/>
          </cell>
          <cell r="BH809" t="str">
            <v>8W-2Ta-2IrBauer, A., Neumeier, S., Pyczak, F., &amp; Göken, M. (2012). Creep Strength and Microstructure of Polycrystalline γ′ - Strengthened Cobalt-Base Superalloys. In Superalloys 2012 (pp. 695–703). https://doi.org/10.1002/9781118516430.ch84</v>
          </cell>
          <cell r="BI809" t="str">
            <v>Co-8.1Al-9.1W-1.7Ta-2.5Ir</v>
          </cell>
          <cell r="BJ809" t="str">
            <v>78.6Co-8.1Al-9.1W-1.7Ta-2.5Ir</v>
          </cell>
        </row>
        <row r="810">
          <cell r="A810" t="str">
            <v>Co-8.7Al-5.5W-1.3Ta-0.9Ir</v>
          </cell>
          <cell r="B810" t="str">
            <v>CoAlWX+</v>
          </cell>
          <cell r="C810" t="str">
            <v>-9Al-6W-1Ta-1Ir</v>
          </cell>
          <cell r="D810" t="str">
            <v>5W-2Ta-2Ir</v>
          </cell>
          <cell r="E810" t="str">
            <v>Bauer, A., Neumeier, S., Pyczak, F., &amp; Göken, M. (2012). Creep Strength and Microstructure of Polycrystalline γ′ - Strengthened Cobalt-Base Superalloys. In Superalloys 2012 (pp. 695–703). https://doi.org/10.1002/9781118516430.ch85</v>
          </cell>
          <cell r="F810">
            <v>32000</v>
          </cell>
          <cell r="G810">
            <v>83.6</v>
          </cell>
          <cell r="H810"/>
          <cell r="I810">
            <v>8.6999999999999993</v>
          </cell>
          <cell r="J810"/>
          <cell r="K810">
            <v>5.5</v>
          </cell>
          <cell r="L810"/>
          <cell r="M810">
            <v>1.3</v>
          </cell>
          <cell r="N810"/>
          <cell r="O810"/>
          <cell r="P810"/>
          <cell r="Q810"/>
          <cell r="R810"/>
          <cell r="S810"/>
          <cell r="T810">
            <v>0.9</v>
          </cell>
          <cell r="U810"/>
          <cell r="V810"/>
          <cell r="W810"/>
          <cell r="X810"/>
          <cell r="Y810"/>
          <cell r="Z810"/>
          <cell r="AA810"/>
          <cell r="AB810"/>
          <cell r="AC810"/>
          <cell r="AD810"/>
          <cell r="AE810"/>
          <cell r="AF810">
            <v>9.1535399999999996</v>
          </cell>
          <cell r="AG810"/>
          <cell r="AH810"/>
          <cell r="AI810" t="str">
            <v>Co</v>
          </cell>
          <cell r="AJ810" t="str">
            <v>-8.7Al</v>
          </cell>
          <cell r="AK810" t="str">
            <v>-5.5W</v>
          </cell>
          <cell r="AL810" t="str">
            <v/>
          </cell>
          <cell r="AM810" t="str">
            <v/>
          </cell>
          <cell r="AN810" t="str">
            <v>-1.3Ta</v>
          </cell>
          <cell r="AO810" t="str">
            <v/>
          </cell>
          <cell r="AP810" t="str">
            <v/>
          </cell>
          <cell r="AQ810" t="str">
            <v/>
          </cell>
          <cell r="AR810" t="str">
            <v/>
          </cell>
          <cell r="AS810" t="str">
            <v/>
          </cell>
          <cell r="AT810" t="str">
            <v/>
          </cell>
          <cell r="AU810" t="str">
            <v/>
          </cell>
          <cell r="AV810" t="str">
            <v>-0.9Ir</v>
          </cell>
          <cell r="AW810" t="str">
            <v/>
          </cell>
          <cell r="AX810" t="str">
            <v/>
          </cell>
          <cell r="AY810" t="str">
            <v/>
          </cell>
          <cell r="AZ810" t="str">
            <v/>
          </cell>
          <cell r="BA810" t="str">
            <v/>
          </cell>
          <cell r="BB810" t="str">
            <v/>
          </cell>
          <cell r="BC810" t="str">
            <v/>
          </cell>
          <cell r="BD810" t="str">
            <v/>
          </cell>
          <cell r="BE810" t="str">
            <v/>
          </cell>
          <cell r="BF810" t="str">
            <v/>
          </cell>
          <cell r="BG810" t="str">
            <v/>
          </cell>
          <cell r="BH810" t="str">
            <v>5W-2Ta-2IrBauer, A., Neumeier, S., Pyczak, F., &amp; Göken, M. (2012). Creep Strength and Microstructure of Polycrystalline γ′ - Strengthened Cobalt-Base Superalloys. In Superalloys 2012 (pp. 695–703). https://doi.org/10.1002/9781118516430.ch85</v>
          </cell>
          <cell r="BI810" t="str">
            <v>Co-8.7Al-5.5W-1.3Ta-0.9Ir</v>
          </cell>
          <cell r="BJ810" t="str">
            <v>83.6Co-8.7Al-5.5W-1.3Ta-0.9Ir</v>
          </cell>
        </row>
        <row r="811">
          <cell r="A811" t="str">
            <v>Co-8.1Al-8.4W-2.0Ta</v>
          </cell>
          <cell r="B811" t="str">
            <v>CoAlW-X</v>
          </cell>
          <cell r="C811" t="str">
            <v>-8Al-8W-2Ta</v>
          </cell>
          <cell r="D811" t="str">
            <v>2Ta</v>
          </cell>
          <cell r="E811" t="str">
            <v>Bauer, A., Neumeier, S., Pyczak, F., &amp; Göken, M. (2015). Influence of iridium on the properties of γ′-strengthened co-base superalloys. Advanced Engineering Materials, 17(6), 748–754. https://doi.org/10.1002/adem.201400266</v>
          </cell>
          <cell r="F811">
            <v>35000</v>
          </cell>
          <cell r="G811">
            <v>81.5</v>
          </cell>
          <cell r="H811"/>
          <cell r="I811">
            <v>8.1</v>
          </cell>
          <cell r="J811"/>
          <cell r="K811">
            <v>8.4</v>
          </cell>
          <cell r="L811"/>
          <cell r="M811">
            <v>2</v>
          </cell>
          <cell r="N811"/>
          <cell r="O811"/>
          <cell r="P811"/>
          <cell r="Q811"/>
          <cell r="R811"/>
          <cell r="S811"/>
          <cell r="T811"/>
          <cell r="U811"/>
          <cell r="V811"/>
          <cell r="W811"/>
          <cell r="X811"/>
          <cell r="Y811"/>
          <cell r="Z811"/>
          <cell r="AA811"/>
          <cell r="AB811"/>
          <cell r="AC811"/>
          <cell r="AD811"/>
          <cell r="AE811"/>
          <cell r="AF811">
            <v>9.4222000000000001</v>
          </cell>
          <cell r="AG811"/>
          <cell r="AH811"/>
          <cell r="AI811" t="str">
            <v>Co</v>
          </cell>
          <cell r="AJ811" t="str">
            <v>-8.1Al</v>
          </cell>
          <cell r="AK811" t="str">
            <v>-8.4W</v>
          </cell>
          <cell r="AL811" t="str">
            <v/>
          </cell>
          <cell r="AM811" t="str">
            <v/>
          </cell>
          <cell r="AN811" t="str">
            <v>-2.0Ta</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
          </cell>
          <cell r="BB811" t="str">
            <v/>
          </cell>
          <cell r="BC811" t="str">
            <v/>
          </cell>
          <cell r="BD811" t="str">
            <v/>
          </cell>
          <cell r="BE811" t="str">
            <v/>
          </cell>
          <cell r="BF811" t="str">
            <v/>
          </cell>
          <cell r="BG811" t="str">
            <v/>
          </cell>
          <cell r="BH811" t="str">
            <v>2TaBauer, A., Neumeier, S., Pyczak, F., &amp; Göken, M. (2015). Influence of iridium on the properties of γ′-strengthened co-base superalloys. Advanced Engineering Materials, 17(6), 748–754. https://doi.org/10.1002/adem.201400266</v>
          </cell>
          <cell r="BI811" t="str">
            <v>Co-8.1Al-8.4W-2.0Ta</v>
          </cell>
          <cell r="BJ811" t="str">
            <v>81.5Co-8.1Al-8.4W-2.0Ta</v>
          </cell>
        </row>
        <row r="812">
          <cell r="A812" t="str">
            <v>Co-8.1Al-9.1W-1.7Ta-2.5Ir</v>
          </cell>
          <cell r="B812" t="str">
            <v>CoAlWX+</v>
          </cell>
          <cell r="C812" t="str">
            <v>-8Al-9W-2Ta-3Ir</v>
          </cell>
          <cell r="D812" t="str">
            <v>2Ta2Ir</v>
          </cell>
          <cell r="E812" t="str">
            <v>Bauer, A., Neumeier, S., Pyczak, F., &amp; Göken, M. (2015). Influence of iridium on the properties of γ′-strengthened co-base superalloys. Advanced Engineering Materials, 17(6), 748–754. https://doi.org/10.1002/adem.201400267</v>
          </cell>
          <cell r="F812">
            <v>36000</v>
          </cell>
          <cell r="G812">
            <v>78.599999999999994</v>
          </cell>
          <cell r="H812"/>
          <cell r="I812">
            <v>8.1</v>
          </cell>
          <cell r="J812"/>
          <cell r="K812">
            <v>9.1</v>
          </cell>
          <cell r="L812"/>
          <cell r="M812">
            <v>1.7</v>
          </cell>
          <cell r="N812"/>
          <cell r="O812"/>
          <cell r="P812"/>
          <cell r="Q812"/>
          <cell r="R812"/>
          <cell r="S812"/>
          <cell r="T812">
            <v>2.5</v>
          </cell>
          <cell r="U812"/>
          <cell r="V812"/>
          <cell r="W812"/>
          <cell r="X812"/>
          <cell r="Y812"/>
          <cell r="Z812"/>
          <cell r="AA812"/>
          <cell r="AB812"/>
          <cell r="AC812"/>
          <cell r="AD812"/>
          <cell r="AE812"/>
          <cell r="AF812">
            <v>9.8128999999999991</v>
          </cell>
          <cell r="AG812"/>
          <cell r="AH812"/>
          <cell r="AI812" t="str">
            <v>Co</v>
          </cell>
          <cell r="AJ812" t="str">
            <v>-8.1Al</v>
          </cell>
          <cell r="AK812" t="str">
            <v>-9.1W</v>
          </cell>
          <cell r="AL812" t="str">
            <v/>
          </cell>
          <cell r="AM812" t="str">
            <v/>
          </cell>
          <cell r="AN812" t="str">
            <v>-1.7Ta</v>
          </cell>
          <cell r="AO812" t="str">
            <v/>
          </cell>
          <cell r="AP812" t="str">
            <v/>
          </cell>
          <cell r="AQ812" t="str">
            <v/>
          </cell>
          <cell r="AR812" t="str">
            <v/>
          </cell>
          <cell r="AS812" t="str">
            <v/>
          </cell>
          <cell r="AT812" t="str">
            <v/>
          </cell>
          <cell r="AU812" t="str">
            <v/>
          </cell>
          <cell r="AV812" t="str">
            <v>-2.5Ir</v>
          </cell>
          <cell r="AW812" t="str">
            <v/>
          </cell>
          <cell r="AX812" t="str">
            <v/>
          </cell>
          <cell r="AY812" t="str">
            <v/>
          </cell>
          <cell r="AZ812" t="str">
            <v/>
          </cell>
          <cell r="BA812" t="str">
            <v/>
          </cell>
          <cell r="BB812" t="str">
            <v/>
          </cell>
          <cell r="BC812" t="str">
            <v/>
          </cell>
          <cell r="BD812" t="str">
            <v/>
          </cell>
          <cell r="BE812" t="str">
            <v/>
          </cell>
          <cell r="BF812" t="str">
            <v/>
          </cell>
          <cell r="BG812" t="str">
            <v/>
          </cell>
          <cell r="BH812" t="str">
            <v>2Ta2IrBauer, A., Neumeier, S., Pyczak, F., &amp; Göken, M. (2015). Influence of iridium on the properties of γ′-strengthened co-base superalloys. Advanced Engineering Materials, 17(6), 748–754. https://doi.org/10.1002/adem.201400267</v>
          </cell>
          <cell r="BI812" t="str">
            <v>Co-8.1Al-9.1W-1.7Ta-2.5Ir</v>
          </cell>
          <cell r="BJ812" t="str">
            <v>78.6Co-8.1Al-9.1W-1.7Ta-2.5Ir</v>
          </cell>
        </row>
        <row r="813">
          <cell r="A813" t="str">
            <v>Co-8.7Al-5.5W-1.3Ta-0.9Ir</v>
          </cell>
          <cell r="B813" t="str">
            <v>CoAlWX+</v>
          </cell>
          <cell r="C813" t="str">
            <v>-9Al-6W-1Ta-1Ir</v>
          </cell>
          <cell r="D813" t="str">
            <v>5W2Ta2Ir</v>
          </cell>
          <cell r="E813" t="str">
            <v>Bauer, A., Neumeier, S., Pyczak, F., &amp; Göken, M. (2015). Influence of iridium on the properties of γ′-strengthened co-base superalloys. Advanced Engineering Materials, 17(6), 748–754. https://doi.org/10.1002/adem.201400268</v>
          </cell>
          <cell r="F813">
            <v>37000</v>
          </cell>
          <cell r="G813">
            <v>83.6</v>
          </cell>
          <cell r="H813"/>
          <cell r="I813">
            <v>8.6999999999999993</v>
          </cell>
          <cell r="J813"/>
          <cell r="K813">
            <v>5.5</v>
          </cell>
          <cell r="L813"/>
          <cell r="M813">
            <v>1.3</v>
          </cell>
          <cell r="N813"/>
          <cell r="O813"/>
          <cell r="P813"/>
          <cell r="Q813"/>
          <cell r="R813"/>
          <cell r="S813"/>
          <cell r="T813">
            <v>0.9</v>
          </cell>
          <cell r="U813"/>
          <cell r="V813"/>
          <cell r="W813"/>
          <cell r="X813"/>
          <cell r="Y813"/>
          <cell r="Z813"/>
          <cell r="AA813"/>
          <cell r="AB813"/>
          <cell r="AC813"/>
          <cell r="AD813"/>
          <cell r="AE813"/>
          <cell r="AF813">
            <v>9.1535399999999996</v>
          </cell>
          <cell r="AG813"/>
          <cell r="AH813"/>
          <cell r="AI813" t="str">
            <v>Co</v>
          </cell>
          <cell r="AJ813" t="str">
            <v>-8.7Al</v>
          </cell>
          <cell r="AK813" t="str">
            <v>-5.5W</v>
          </cell>
          <cell r="AL813" t="str">
            <v/>
          </cell>
          <cell r="AM813" t="str">
            <v/>
          </cell>
          <cell r="AN813" t="str">
            <v>-1.3Ta</v>
          </cell>
          <cell r="AO813" t="str">
            <v/>
          </cell>
          <cell r="AP813" t="str">
            <v/>
          </cell>
          <cell r="AQ813" t="str">
            <v/>
          </cell>
          <cell r="AR813" t="str">
            <v/>
          </cell>
          <cell r="AS813" t="str">
            <v/>
          </cell>
          <cell r="AT813" t="str">
            <v/>
          </cell>
          <cell r="AU813" t="str">
            <v/>
          </cell>
          <cell r="AV813" t="str">
            <v>-0.9Ir</v>
          </cell>
          <cell r="AW813" t="str">
            <v/>
          </cell>
          <cell r="AX813" t="str">
            <v/>
          </cell>
          <cell r="AY813" t="str">
            <v/>
          </cell>
          <cell r="AZ813" t="str">
            <v/>
          </cell>
          <cell r="BA813" t="str">
            <v/>
          </cell>
          <cell r="BB813" t="str">
            <v/>
          </cell>
          <cell r="BC813" t="str">
            <v/>
          </cell>
          <cell r="BD813" t="str">
            <v/>
          </cell>
          <cell r="BE813" t="str">
            <v/>
          </cell>
          <cell r="BF813" t="str">
            <v/>
          </cell>
          <cell r="BG813" t="str">
            <v/>
          </cell>
          <cell r="BH813" t="str">
            <v>5W2Ta2IrBauer, A., Neumeier, S., Pyczak, F., &amp; Göken, M. (2015). Influence of iridium on the properties of γ′-strengthened co-base superalloys. Advanced Engineering Materials, 17(6), 748–754. https://doi.org/10.1002/adem.201400268</v>
          </cell>
          <cell r="BI813" t="str">
            <v>Co-8.7Al-5.5W-1.3Ta-0.9Ir</v>
          </cell>
          <cell r="BJ813" t="str">
            <v>83.6Co-8.7Al-5.5W-1.3Ta-0.9Ir</v>
          </cell>
        </row>
        <row r="814">
          <cell r="A814" t="str">
            <v>Co-8.9Al-9.3W-2.0Ta-0.12B</v>
          </cell>
          <cell r="B814" t="str">
            <v>CoAlWX+</v>
          </cell>
          <cell r="C814" t="str">
            <v>-9Al-9W-2Ta-B</v>
          </cell>
          <cell r="D814" t="str">
            <v>8W-2Ta-0.12B</v>
          </cell>
          <cell r="E814" t="str">
            <v>Bauer, A., Neumeier, S., Pyczak, F., Singer, R. F., &amp; Göken, M. (2012). Creep properties of different γ’-strengthened Co-base superalloys. Materials Science and Engineering A, 550, 333–341. https://doi.org/10.1016/j.msea.2012.04.089</v>
          </cell>
          <cell r="F814">
            <v>46000</v>
          </cell>
          <cell r="G814">
            <v>79.679999999999993</v>
          </cell>
          <cell r="H814"/>
          <cell r="I814">
            <v>8.9</v>
          </cell>
          <cell r="J814"/>
          <cell r="K814">
            <v>9.3000000000000007</v>
          </cell>
          <cell r="L814"/>
          <cell r="M814">
            <v>2</v>
          </cell>
          <cell r="N814"/>
          <cell r="O814"/>
          <cell r="P814"/>
          <cell r="Q814"/>
          <cell r="R814"/>
          <cell r="S814">
            <v>0.12</v>
          </cell>
          <cell r="T814"/>
          <cell r="U814"/>
          <cell r="V814"/>
          <cell r="W814"/>
          <cell r="X814"/>
          <cell r="Y814"/>
          <cell r="Z814"/>
          <cell r="AA814"/>
          <cell r="AB814"/>
          <cell r="AC814"/>
          <cell r="AD814"/>
          <cell r="AE814"/>
          <cell r="AF814">
            <v>9.4580219999999979</v>
          </cell>
          <cell r="AG814"/>
          <cell r="AH814"/>
          <cell r="AI814" t="str">
            <v>Co</v>
          </cell>
          <cell r="AJ814" t="str">
            <v>-8.9Al</v>
          </cell>
          <cell r="AK814" t="str">
            <v>-9.3W</v>
          </cell>
          <cell r="AL814" t="str">
            <v/>
          </cell>
          <cell r="AM814" t="str">
            <v/>
          </cell>
          <cell r="AN814" t="str">
            <v>-2.0Ta</v>
          </cell>
          <cell r="AO814" t="str">
            <v/>
          </cell>
          <cell r="AP814" t="str">
            <v/>
          </cell>
          <cell r="AQ814" t="str">
            <v/>
          </cell>
          <cell r="AR814" t="str">
            <v/>
          </cell>
          <cell r="AS814" t="str">
            <v/>
          </cell>
          <cell r="AT814" t="str">
            <v/>
          </cell>
          <cell r="AU814" t="str">
            <v>-0.12B</v>
          </cell>
          <cell r="AV814" t="str">
            <v/>
          </cell>
          <cell r="AW814" t="str">
            <v/>
          </cell>
          <cell r="AX814" t="str">
            <v/>
          </cell>
          <cell r="AY814" t="str">
            <v/>
          </cell>
          <cell r="AZ814" t="str">
            <v/>
          </cell>
          <cell r="BA814" t="str">
            <v/>
          </cell>
          <cell r="BB814" t="str">
            <v/>
          </cell>
          <cell r="BC814" t="str">
            <v/>
          </cell>
          <cell r="BD814" t="str">
            <v/>
          </cell>
          <cell r="BE814" t="str">
            <v/>
          </cell>
          <cell r="BF814" t="str">
            <v/>
          </cell>
          <cell r="BG814" t="str">
            <v/>
          </cell>
          <cell r="BH814" t="str">
            <v>8W-2Ta-0.12BBauer, A., Neumeier, S., Pyczak, F., Singer, R. F., &amp; Göken, M. (2012). Creep properties of different γ’-strengthened Co-base superalloys. Materials Science and Engineering A, 550, 333–341. https://doi.org/10.1016/j.msea.2012.04.089</v>
          </cell>
          <cell r="BI814" t="str">
            <v>Co-8.9Al-9.3W-2.0Ta-0.12B</v>
          </cell>
          <cell r="BJ814" t="str">
            <v>79.7Co-8.9Al-9.3W-2.0Ta-0.12B</v>
          </cell>
        </row>
        <row r="815">
          <cell r="A815" t="str">
            <v>Co-9.4Al-10.2W-1.8Nb</v>
          </cell>
          <cell r="B815" t="str">
            <v>CoAlW-X</v>
          </cell>
          <cell r="C815" t="str">
            <v>-9Al-10W-2Nb</v>
          </cell>
          <cell r="D815" t="str">
            <v>10W-2Nb</v>
          </cell>
          <cell r="E815" t="str">
            <v>Bauer, A., Neumeier, S., Pyczak, F., Singer, R. F., &amp; Göken, M. (2012). Creep properties of different γ’-strengthened Co-base superalloys. Materials Science and Engineering A, 550, 333–341. https://doi.org/10.1016/j.msea.2012.04.092</v>
          </cell>
          <cell r="F815">
            <v>49000</v>
          </cell>
          <cell r="G815">
            <v>78.599999999999994</v>
          </cell>
          <cell r="H815"/>
          <cell r="I815">
            <v>9.4</v>
          </cell>
          <cell r="J815"/>
          <cell r="K815">
            <v>10.199999999999999</v>
          </cell>
          <cell r="L815"/>
          <cell r="M815"/>
          <cell r="N815">
            <v>1.8</v>
          </cell>
          <cell r="O815"/>
          <cell r="P815"/>
          <cell r="Q815"/>
          <cell r="R815"/>
          <cell r="S815"/>
          <cell r="T815"/>
          <cell r="U815"/>
          <cell r="V815"/>
          <cell r="W815"/>
          <cell r="X815"/>
          <cell r="Y815"/>
          <cell r="Z815"/>
          <cell r="AA815"/>
          <cell r="AB815"/>
          <cell r="AC815"/>
          <cell r="AD815"/>
          <cell r="AE815"/>
          <cell r="AF815">
            <v>9.3669600000000006</v>
          </cell>
          <cell r="AG815"/>
          <cell r="AH815"/>
          <cell r="AI815" t="str">
            <v>Co</v>
          </cell>
          <cell r="AJ815" t="str">
            <v>-9.4Al</v>
          </cell>
          <cell r="AK815" t="str">
            <v>-10.2W</v>
          </cell>
          <cell r="AL815" t="str">
            <v/>
          </cell>
          <cell r="AM815" t="str">
            <v/>
          </cell>
          <cell r="AN815" t="str">
            <v/>
          </cell>
          <cell r="AO815" t="str">
            <v>-1.8Nb</v>
          </cell>
          <cell r="AP815" t="str">
            <v/>
          </cell>
          <cell r="AQ815" t="str">
            <v/>
          </cell>
          <cell r="AR815" t="str">
            <v/>
          </cell>
          <cell r="AS815" t="str">
            <v/>
          </cell>
          <cell r="AT815" t="str">
            <v/>
          </cell>
          <cell r="AU815" t="str">
            <v/>
          </cell>
          <cell r="AV815" t="str">
            <v/>
          </cell>
          <cell r="AW815" t="str">
            <v/>
          </cell>
          <cell r="AX815" t="str">
            <v/>
          </cell>
          <cell r="AY815" t="str">
            <v/>
          </cell>
          <cell r="AZ815" t="str">
            <v/>
          </cell>
          <cell r="BA815" t="str">
            <v/>
          </cell>
          <cell r="BB815" t="str">
            <v/>
          </cell>
          <cell r="BC815" t="str">
            <v/>
          </cell>
          <cell r="BD815" t="str">
            <v/>
          </cell>
          <cell r="BE815" t="str">
            <v/>
          </cell>
          <cell r="BF815" t="str">
            <v/>
          </cell>
          <cell r="BG815" t="str">
            <v/>
          </cell>
          <cell r="BH815" t="str">
            <v>10W-2NbBauer, A., Neumeier, S., Pyczak, F., Singer, R. F., &amp; Göken, M. (2012). Creep properties of different γ’-strengthened Co-base superalloys. Materials Science and Engineering A, 550, 333–341. https://doi.org/10.1016/j.msea.2012.04.092</v>
          </cell>
          <cell r="BI815" t="str">
            <v>Co-9.4Al-10.2W-1.8Nb</v>
          </cell>
          <cell r="BJ815" t="str">
            <v>78.6Co-9.4Al-10.2W-1.8Nb</v>
          </cell>
        </row>
        <row r="816">
          <cell r="A816" t="str">
            <v>Co-8.1Al-7.7W-1.6Ta-1.8Si</v>
          </cell>
          <cell r="B816" t="str">
            <v>CoAlWX+</v>
          </cell>
          <cell r="C816" t="str">
            <v>-8Al-8W-2Ta-Si</v>
          </cell>
          <cell r="D816" t="str">
            <v>8W-2Ta-2Si</v>
          </cell>
          <cell r="E816" t="str">
            <v>Bauer, A., Neumeier, S., Pyczak, F., Singer, R. F., &amp; Göken, M. (2012). Creep properties of different γ’-strengthened Co-base superalloys. Materials Science and Engineering A, 550, 333–341. https://doi.org/10.1016/j.msea.2012.04.097</v>
          </cell>
          <cell r="F816">
            <v>54000</v>
          </cell>
          <cell r="G816">
            <v>80.8</v>
          </cell>
          <cell r="H816"/>
          <cell r="I816">
            <v>8.1</v>
          </cell>
          <cell r="J816"/>
          <cell r="K816">
            <v>7.7</v>
          </cell>
          <cell r="L816"/>
          <cell r="M816">
            <v>1.6</v>
          </cell>
          <cell r="N816"/>
          <cell r="O816"/>
          <cell r="P816"/>
          <cell r="Q816"/>
          <cell r="R816"/>
          <cell r="S816"/>
          <cell r="T816"/>
          <cell r="U816"/>
          <cell r="V816">
            <v>1.8</v>
          </cell>
          <cell r="W816"/>
          <cell r="X816"/>
          <cell r="Y816"/>
          <cell r="Z816"/>
          <cell r="AA816"/>
          <cell r="AB816"/>
          <cell r="AC816"/>
          <cell r="AD816"/>
          <cell r="AE816"/>
          <cell r="AF816">
            <v>9.2004900000000003</v>
          </cell>
          <cell r="AG816"/>
          <cell r="AH816" t="str">
            <v>Si detectable in EDS</v>
          </cell>
          <cell r="AI816" t="str">
            <v>Co</v>
          </cell>
          <cell r="AJ816" t="str">
            <v>-8.1Al</v>
          </cell>
          <cell r="AK816" t="str">
            <v>-7.7W</v>
          </cell>
          <cell r="AL816" t="str">
            <v/>
          </cell>
          <cell r="AM816" t="str">
            <v/>
          </cell>
          <cell r="AN816" t="str">
            <v>-1.6Ta</v>
          </cell>
          <cell r="AO816" t="str">
            <v/>
          </cell>
          <cell r="AP816" t="str">
            <v/>
          </cell>
          <cell r="AQ816" t="str">
            <v/>
          </cell>
          <cell r="AR816" t="str">
            <v/>
          </cell>
          <cell r="AS816" t="str">
            <v/>
          </cell>
          <cell r="AT816" t="str">
            <v/>
          </cell>
          <cell r="AU816" t="str">
            <v/>
          </cell>
          <cell r="AV816" t="str">
            <v/>
          </cell>
          <cell r="AW816" t="str">
            <v/>
          </cell>
          <cell r="AX816" t="str">
            <v>-1.8Si</v>
          </cell>
          <cell r="AY816" t="str">
            <v/>
          </cell>
          <cell r="AZ816" t="str">
            <v/>
          </cell>
          <cell r="BA816" t="str">
            <v/>
          </cell>
          <cell r="BB816" t="str">
            <v/>
          </cell>
          <cell r="BC816" t="str">
            <v/>
          </cell>
          <cell r="BD816" t="str">
            <v/>
          </cell>
          <cell r="BE816" t="str">
            <v/>
          </cell>
          <cell r="BF816" t="str">
            <v/>
          </cell>
          <cell r="BG816" t="str">
            <v/>
          </cell>
          <cell r="BH816" t="str">
            <v>8W-2Ta-2SiBauer, A., Neumeier, S., Pyczak, F., Singer, R. F., &amp; Göken, M. (2012). Creep properties of different γ’-strengthened Co-base superalloys. Materials Science and Engineering A, 550, 333–341. https://doi.org/10.1016/j.msea.2012.04.097</v>
          </cell>
          <cell r="BI816" t="str">
            <v>Co-8.1Al-7.7W-1.6Ta-1.8Si</v>
          </cell>
          <cell r="BJ816" t="str">
            <v>80.8Co-8.1Al-7.7W-1.6Ta-1.8Si</v>
          </cell>
        </row>
        <row r="817">
          <cell r="A817" t="str">
            <v>Co-32.0Ni-6.Al-12.0Cr-3.0W-2.5Ti-1.5Ta-0.3Si-0.08C-0.01Zr-0.08B</v>
          </cell>
          <cell r="B817"/>
          <cell r="C817" t="str">
            <v/>
          </cell>
          <cell r="D817" t="str">
            <v>CoWalloy1</v>
          </cell>
          <cell r="E817" t="str">
            <v>Abedi, H. R., &amp; Ojo, O. A. (2021). Numerical Modeling of Gas Tungsten Arc Welding of a Newly Developed Cobalt-Based Superalloy. Metallurgical and Materials Transactions A: Physical Metallurgy and Materials Science, 52(11), 5043–5054. https://doi.org/10.1007/s11661-021-06451-x</v>
          </cell>
          <cell r="F817">
            <v>814</v>
          </cell>
          <cell r="G817">
            <v>42.569272556000001</v>
          </cell>
          <cell r="H817">
            <v>31.96007638</v>
          </cell>
          <cell r="I817">
            <v>5.9920704239999996</v>
          </cell>
          <cell r="J817">
            <v>11.97838142</v>
          </cell>
          <cell r="K817">
            <v>2.9947929389999999</v>
          </cell>
          <cell r="L817">
            <v>2.4909532900000002</v>
          </cell>
          <cell r="M817">
            <v>1.499312835</v>
          </cell>
          <cell r="N817"/>
          <cell r="O817"/>
          <cell r="P817"/>
          <cell r="Q817">
            <v>8.1580794999999998E-2</v>
          </cell>
          <cell r="R817">
            <v>1.0405662E-2</v>
          </cell>
          <cell r="S817">
            <v>7.9313929000000005E-2</v>
          </cell>
          <cell r="T817"/>
          <cell r="U817"/>
          <cell r="V817">
            <v>0.34383976999999999</v>
          </cell>
          <cell r="W817"/>
          <cell r="X817"/>
          <cell r="Y817"/>
          <cell r="Z817"/>
          <cell r="AA817"/>
          <cell r="AB817"/>
          <cell r="AC817"/>
          <cell r="AD817"/>
          <cell r="AE817"/>
          <cell r="AF817">
            <v>8.6095847074399199</v>
          </cell>
          <cell r="AG817"/>
          <cell r="AH817"/>
          <cell r="AI817" t="str">
            <v>Co</v>
          </cell>
          <cell r="AJ817" t="str">
            <v>-6.Al</v>
          </cell>
          <cell r="AK817" t="str">
            <v>-3.0W</v>
          </cell>
          <cell r="AL817" t="str">
            <v>-32.0Ni</v>
          </cell>
          <cell r="AM817" t="str">
            <v>-12.0Cr</v>
          </cell>
          <cell r="AN817" t="str">
            <v>-1.5Ta</v>
          </cell>
          <cell r="AO817" t="str">
            <v/>
          </cell>
          <cell r="AP817" t="str">
            <v/>
          </cell>
          <cell r="AQ817" t="str">
            <v>-2.5Ti</v>
          </cell>
          <cell r="AR817" t="str">
            <v/>
          </cell>
          <cell r="AS817" t="str">
            <v>-0.08C</v>
          </cell>
          <cell r="AT817" t="str">
            <v>-0.01Zr</v>
          </cell>
          <cell r="AU817" t="str">
            <v>-0.08B</v>
          </cell>
          <cell r="AV817" t="str">
            <v/>
          </cell>
          <cell r="AW817" t="str">
            <v/>
          </cell>
          <cell r="AX817" t="str">
            <v>-0.3Si</v>
          </cell>
          <cell r="AY817" t="str">
            <v/>
          </cell>
          <cell r="AZ817" t="str">
            <v/>
          </cell>
          <cell r="BA817" t="str">
            <v/>
          </cell>
          <cell r="BB817" t="str">
            <v/>
          </cell>
          <cell r="BC817" t="str">
            <v/>
          </cell>
          <cell r="BD817" t="str">
            <v/>
          </cell>
          <cell r="BE817" t="str">
            <v/>
          </cell>
          <cell r="BF817" t="str">
            <v/>
          </cell>
          <cell r="BG817" t="str">
            <v/>
          </cell>
          <cell r="BH817" t="str">
            <v>CoWalloy1Abedi, H. R., &amp; Ojo, O. A. (2021). Numerical Modeling of Gas Tungsten Arc Welding of a Newly Developed Cobalt-Based Superalloy. Metallurgical and Materials Transactions A: Physical Metallurgy and Materials Science, 52(11), 5043–5054. https://doi.org/10.1007/s11661-021-06451-x</v>
          </cell>
          <cell r="BI817" t="str">
            <v>Co-32.0Ni-6.Al-12.0Cr-3.0W-2.5Ti-1.5Ta-0.3Si-0.08C-0.01Zr-0.08B</v>
          </cell>
          <cell r="BJ817" t="str">
            <v/>
          </cell>
        </row>
        <row r="818">
          <cell r="A818" t="str">
            <v>Co-28.8Ni-10.Al-10.2Cr-2.1Ti-2.1Ta-1.5Nb-2.2Mo</v>
          </cell>
          <cell r="B818"/>
          <cell r="C818" t="str">
            <v/>
          </cell>
          <cell r="D818" t="str">
            <v>MCoHEA</v>
          </cell>
          <cell r="E818" t="str">
            <v>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cell r="F818">
            <v>815</v>
          </cell>
          <cell r="G818">
            <v>43.099999999999994</v>
          </cell>
          <cell r="H818">
            <v>28.8</v>
          </cell>
          <cell r="I818">
            <v>10</v>
          </cell>
          <cell r="J818">
            <v>10.199999999999999</v>
          </cell>
          <cell r="K818"/>
          <cell r="L818">
            <v>2.1</v>
          </cell>
          <cell r="M818">
            <v>2.1</v>
          </cell>
          <cell r="N818">
            <v>1.5</v>
          </cell>
          <cell r="O818"/>
          <cell r="P818">
            <v>2.2000000000000002</v>
          </cell>
          <cell r="Q818"/>
          <cell r="R818"/>
          <cell r="S818"/>
          <cell r="T818"/>
          <cell r="U818"/>
          <cell r="V818"/>
          <cell r="W818"/>
          <cell r="X818"/>
          <cell r="Y818"/>
          <cell r="Z818"/>
          <cell r="AA818"/>
          <cell r="AB818"/>
          <cell r="AC818"/>
          <cell r="AD818"/>
          <cell r="AE818"/>
          <cell r="AF818">
            <v>8.2037910000000007</v>
          </cell>
          <cell r="AG818"/>
          <cell r="AH818"/>
          <cell r="AI818" t="str">
            <v>Co</v>
          </cell>
          <cell r="AJ818" t="str">
            <v>-10.Al</v>
          </cell>
          <cell r="AK818" t="str">
            <v/>
          </cell>
          <cell r="AL818" t="str">
            <v>-28.8Ni</v>
          </cell>
          <cell r="AM818" t="str">
            <v>-10.2Cr</v>
          </cell>
          <cell r="AN818" t="str">
            <v>-2.1Ta</v>
          </cell>
          <cell r="AO818" t="str">
            <v>-1.5Nb</v>
          </cell>
          <cell r="AP818" t="str">
            <v/>
          </cell>
          <cell r="AQ818" t="str">
            <v>-2.1Ti</v>
          </cell>
          <cell r="AR818" t="str">
            <v>-2.2Mo</v>
          </cell>
          <cell r="AS818" t="str">
            <v/>
          </cell>
          <cell r="AT818" t="str">
            <v/>
          </cell>
          <cell r="AU818" t="str">
            <v/>
          </cell>
          <cell r="AV818" t="str">
            <v/>
          </cell>
          <cell r="AW818" t="str">
            <v/>
          </cell>
          <cell r="AX818" t="str">
            <v/>
          </cell>
          <cell r="AY818" t="str">
            <v/>
          </cell>
          <cell r="AZ818" t="str">
            <v/>
          </cell>
          <cell r="BA818" t="str">
            <v/>
          </cell>
          <cell r="BB818" t="str">
            <v/>
          </cell>
          <cell r="BC818" t="str">
            <v/>
          </cell>
          <cell r="BD818" t="str">
            <v/>
          </cell>
          <cell r="BE818" t="str">
            <v/>
          </cell>
          <cell r="BF818" t="str">
            <v/>
          </cell>
          <cell r="BG818" t="str">
            <v/>
          </cell>
          <cell r="BH818" t="str">
            <v>MCoHEACao, B. X., Kong, H. J., Ding, Z. Y., Wu, S. W., Luan, J. H., Jiao, Z. B., Lu, J., Liu, C. T., &amp; Yang, T. (2021). A novel L12-strengthened multicomponent Co-rich high-entropy alloy with both high γ′-solvus temperature and superior high-temperature strength. Scripta Materialia, 199. https://doi.org/10.1016/j.scriptamat.2021.113826</v>
          </cell>
          <cell r="BI818" t="str">
            <v>Co-28.8Ni-10.Al-10.2Cr-2.1Ti-2.1Ta-1.5Nb-2.2Mo</v>
          </cell>
          <cell r="BJ818" t="str">
            <v/>
          </cell>
        </row>
        <row r="819">
          <cell r="A819" t="str">
            <v>Co-10.5Al-2.8Nb-7.2Mo</v>
          </cell>
          <cell r="B819"/>
          <cell r="C819" t="str">
            <v/>
          </cell>
          <cell r="D819">
            <v>1</v>
          </cell>
          <cell r="E819" t="str">
            <v>Davydov, D., Kazantseva, N., Ezhov, I., &amp; Popova, E. (2021). Effect of alloying on the ?-?0 microstructure of W-free Co-based superalloys. Materials Today: Proceedings, 38, 1971–1973. https://doi.org/10.1016/j.matpr.2020.09.131</v>
          </cell>
          <cell r="F819">
            <v>816</v>
          </cell>
          <cell r="G819">
            <v>79.5</v>
          </cell>
          <cell r="H819"/>
          <cell r="I819">
            <v>10.5</v>
          </cell>
          <cell r="J819"/>
          <cell r="K819"/>
          <cell r="L819"/>
          <cell r="M819"/>
          <cell r="N819">
            <v>2.8</v>
          </cell>
          <cell r="O819"/>
          <cell r="P819">
            <v>7.2</v>
          </cell>
          <cell r="Q819"/>
          <cell r="R819"/>
          <cell r="S819"/>
          <cell r="T819"/>
          <cell r="U819"/>
          <cell r="V819"/>
          <cell r="W819"/>
          <cell r="X819"/>
          <cell r="Y819"/>
          <cell r="Z819"/>
          <cell r="AA819"/>
          <cell r="AB819"/>
          <cell r="AC819"/>
          <cell r="AD819"/>
          <cell r="AE819"/>
          <cell r="AF819">
            <v>8.3391200000000012</v>
          </cell>
          <cell r="AG819"/>
          <cell r="AH819"/>
          <cell r="AI819" t="str">
            <v>Co</v>
          </cell>
          <cell r="AJ819" t="str">
            <v>-10.5Al</v>
          </cell>
          <cell r="AK819" t="str">
            <v/>
          </cell>
          <cell r="AL819" t="str">
            <v/>
          </cell>
          <cell r="AM819" t="str">
            <v/>
          </cell>
          <cell r="AN819" t="str">
            <v/>
          </cell>
          <cell r="AO819" t="str">
            <v>-2.8Nb</v>
          </cell>
          <cell r="AP819" t="str">
            <v/>
          </cell>
          <cell r="AQ819" t="str">
            <v/>
          </cell>
          <cell r="AR819" t="str">
            <v>-7.2Mo</v>
          </cell>
          <cell r="AS819" t="str">
            <v/>
          </cell>
          <cell r="AT819" t="str">
            <v/>
          </cell>
          <cell r="AU819" t="str">
            <v/>
          </cell>
          <cell r="AV819" t="str">
            <v/>
          </cell>
          <cell r="AW819" t="str">
            <v/>
          </cell>
          <cell r="AX819" t="str">
            <v/>
          </cell>
          <cell r="AY819" t="str">
            <v/>
          </cell>
          <cell r="AZ819" t="str">
            <v/>
          </cell>
          <cell r="BA819" t="str">
            <v/>
          </cell>
          <cell r="BB819" t="str">
            <v/>
          </cell>
          <cell r="BC819" t="str">
            <v/>
          </cell>
          <cell r="BD819" t="str">
            <v/>
          </cell>
          <cell r="BE819" t="str">
            <v/>
          </cell>
          <cell r="BF819" t="str">
            <v/>
          </cell>
          <cell r="BG819" t="str">
            <v/>
          </cell>
          <cell r="BH819" t="str">
            <v>1Davydov, D., Kazantseva, N., Ezhov, I., &amp; Popova, E. (2021). Effect of alloying on the ?-?0 microstructure of W-free Co-based superalloys. Materials Today: Proceedings, 38, 1971–1973. https://doi.org/10.1016/j.matpr.2020.09.131</v>
          </cell>
          <cell r="BI819" t="str">
            <v>Co-10.5Al-2.8Nb-7.2Mo</v>
          </cell>
          <cell r="BJ819" t="str">
            <v/>
          </cell>
        </row>
        <row r="820">
          <cell r="A820" t="str">
            <v>Co-10.9Al-1.6Nb-4.2Mo</v>
          </cell>
          <cell r="B820"/>
          <cell r="C820" t="str">
            <v/>
          </cell>
          <cell r="D820">
            <v>2</v>
          </cell>
          <cell r="E820" t="str">
            <v>Davydov, D., Kazantseva, N., Ezhov, I., &amp; Popova, E. (2021). Effect of alloying on the ?-?0 microstructure of W-free Co-based superalloys. Materials Today: Proceedings, 38, 1971–1973. https://doi.org/10.1016/j.matpr.2020.09.131</v>
          </cell>
          <cell r="F820">
            <v>817</v>
          </cell>
          <cell r="G820">
            <v>83.3</v>
          </cell>
          <cell r="H820"/>
          <cell r="I820">
            <v>10.9</v>
          </cell>
          <cell r="J820"/>
          <cell r="K820"/>
          <cell r="L820"/>
          <cell r="M820"/>
          <cell r="N820">
            <v>1.6</v>
          </cell>
          <cell r="O820"/>
          <cell r="P820">
            <v>4.2</v>
          </cell>
          <cell r="Q820"/>
          <cell r="R820"/>
          <cell r="S820"/>
          <cell r="T820"/>
          <cell r="U820"/>
          <cell r="V820"/>
          <cell r="W820"/>
          <cell r="X820"/>
          <cell r="Y820"/>
          <cell r="Z820"/>
          <cell r="AA820"/>
          <cell r="AB820"/>
          <cell r="AC820"/>
          <cell r="AD820"/>
          <cell r="AE820"/>
          <cell r="AF820">
            <v>8.2768800000000002</v>
          </cell>
          <cell r="AG820"/>
          <cell r="AH820"/>
          <cell r="AI820" t="str">
            <v>Co</v>
          </cell>
          <cell r="AJ820" t="str">
            <v>-10.9Al</v>
          </cell>
          <cell r="AK820" t="str">
            <v/>
          </cell>
          <cell r="AL820" t="str">
            <v/>
          </cell>
          <cell r="AM820" t="str">
            <v/>
          </cell>
          <cell r="AN820" t="str">
            <v/>
          </cell>
          <cell r="AO820" t="str">
            <v>-1.6Nb</v>
          </cell>
          <cell r="AP820" t="str">
            <v/>
          </cell>
          <cell r="AQ820" t="str">
            <v/>
          </cell>
          <cell r="AR820" t="str">
            <v>-4.2Mo</v>
          </cell>
          <cell r="AS820" t="str">
            <v/>
          </cell>
          <cell r="AT820" t="str">
            <v/>
          </cell>
          <cell r="AU820" t="str">
            <v/>
          </cell>
          <cell r="AV820" t="str">
            <v/>
          </cell>
          <cell r="AW820" t="str">
            <v/>
          </cell>
          <cell r="AX820" t="str">
            <v/>
          </cell>
          <cell r="AY820" t="str">
            <v/>
          </cell>
          <cell r="AZ820" t="str">
            <v/>
          </cell>
          <cell r="BA820" t="str">
            <v/>
          </cell>
          <cell r="BB820" t="str">
            <v/>
          </cell>
          <cell r="BC820" t="str">
            <v/>
          </cell>
          <cell r="BD820" t="str">
            <v/>
          </cell>
          <cell r="BE820" t="str">
            <v/>
          </cell>
          <cell r="BF820" t="str">
            <v/>
          </cell>
          <cell r="BG820" t="str">
            <v/>
          </cell>
          <cell r="BH820" t="str">
            <v>2Davydov, D., Kazantseva, N., Ezhov, I., &amp; Popova, E. (2021). Effect of alloying on the ?-?0 microstructure of W-free Co-based superalloys. Materials Today: Proceedings, 38, 1971–1973. https://doi.org/10.1016/j.matpr.2020.09.131</v>
          </cell>
          <cell r="BI820" t="str">
            <v>Co-10.9Al-1.6Nb-4.2Mo</v>
          </cell>
          <cell r="BJ820" t="str">
            <v/>
          </cell>
        </row>
        <row r="821">
          <cell r="A821" t="str">
            <v>Co-10.1Al-1.0Nb-5.6Mo</v>
          </cell>
          <cell r="B821"/>
          <cell r="C821" t="str">
            <v/>
          </cell>
          <cell r="D821">
            <v>3</v>
          </cell>
          <cell r="E821" t="str">
            <v>Davydov, D., Kazantseva, N., Ezhov, I., &amp; Popova, E. (2021). Effect of alloying on the ?-?0 microstructure of W-free Co-based superalloys. Materials Today: Proceedings, 38, 1971–1973. https://doi.org/10.1016/j.matpr.2020.09.131</v>
          </cell>
          <cell r="F821">
            <v>818</v>
          </cell>
          <cell r="G821">
            <v>83.3</v>
          </cell>
          <cell r="H821"/>
          <cell r="I821">
            <v>10.1</v>
          </cell>
          <cell r="J821"/>
          <cell r="K821"/>
          <cell r="L821"/>
          <cell r="M821"/>
          <cell r="N821">
            <v>1</v>
          </cell>
          <cell r="O821"/>
          <cell r="P821">
            <v>5.6</v>
          </cell>
          <cell r="Q821"/>
          <cell r="R821"/>
          <cell r="S821"/>
          <cell r="T821"/>
          <cell r="U821"/>
          <cell r="V821"/>
          <cell r="W821"/>
          <cell r="X821"/>
          <cell r="Y821"/>
          <cell r="Z821"/>
          <cell r="AA821"/>
          <cell r="AB821"/>
          <cell r="AC821"/>
          <cell r="AD821"/>
          <cell r="AE821"/>
          <cell r="AF821">
            <v>8.3477800000000002</v>
          </cell>
          <cell r="AG821"/>
          <cell r="AH821"/>
          <cell r="AI821" t="str">
            <v>Co</v>
          </cell>
          <cell r="AJ821" t="str">
            <v>-10.1Al</v>
          </cell>
          <cell r="AK821" t="str">
            <v/>
          </cell>
          <cell r="AL821" t="str">
            <v/>
          </cell>
          <cell r="AM821" t="str">
            <v/>
          </cell>
          <cell r="AN821" t="str">
            <v/>
          </cell>
          <cell r="AO821" t="str">
            <v>-1.0Nb</v>
          </cell>
          <cell r="AP821" t="str">
            <v/>
          </cell>
          <cell r="AQ821" t="str">
            <v/>
          </cell>
          <cell r="AR821" t="str">
            <v>-5.6Mo</v>
          </cell>
          <cell r="AS821" t="str">
            <v/>
          </cell>
          <cell r="AT821" t="str">
            <v/>
          </cell>
          <cell r="AU821" t="str">
            <v/>
          </cell>
          <cell r="AV821" t="str">
            <v/>
          </cell>
          <cell r="AW821" t="str">
            <v/>
          </cell>
          <cell r="AX821" t="str">
            <v/>
          </cell>
          <cell r="AY821" t="str">
            <v/>
          </cell>
          <cell r="AZ821" t="str">
            <v/>
          </cell>
          <cell r="BA821" t="str">
            <v/>
          </cell>
          <cell r="BB821" t="str">
            <v/>
          </cell>
          <cell r="BC821" t="str">
            <v/>
          </cell>
          <cell r="BD821" t="str">
            <v/>
          </cell>
          <cell r="BE821" t="str">
            <v/>
          </cell>
          <cell r="BF821" t="str">
            <v/>
          </cell>
          <cell r="BG821" t="str">
            <v/>
          </cell>
          <cell r="BH821" t="str">
            <v>3Davydov, D., Kazantseva, N., Ezhov, I., &amp; Popova, E. (2021). Effect of alloying on the ?-?0 microstructure of W-free Co-based superalloys. Materials Today: Proceedings, 38, 1971–1973. https://doi.org/10.1016/j.matpr.2020.09.131</v>
          </cell>
          <cell r="BI821" t="str">
            <v>Co-10.1Al-1.0Nb-5.6Mo</v>
          </cell>
          <cell r="BJ821" t="str">
            <v/>
          </cell>
        </row>
        <row r="822">
          <cell r="A822" t="str">
            <v>Co-12.Al-11.0W</v>
          </cell>
          <cell r="B822"/>
          <cell r="C822" t="str">
            <v/>
          </cell>
          <cell r="D822">
            <v>1</v>
          </cell>
          <cell r="E822" t="str">
            <v>Edtmaier, C., Wolf, M., de Oro Calderon, R., &amp; Schubert, W. D. (2021). Effect of nickel on the formation of γ/γ’ microstructures in WC/Co-Ni-Al-W. International Journal of Refractory Metals and Hard Materials, 100. https://doi.org/10.1016/j.ijrmhm.2021.105652</v>
          </cell>
          <cell r="F822">
            <v>819</v>
          </cell>
          <cell r="G822">
            <v>77</v>
          </cell>
          <cell r="H822"/>
          <cell r="I822">
            <v>12</v>
          </cell>
          <cell r="J822"/>
          <cell r="K822">
            <v>11</v>
          </cell>
          <cell r="L822"/>
          <cell r="M822"/>
          <cell r="N822"/>
          <cell r="O822"/>
          <cell r="P822"/>
          <cell r="Q822"/>
          <cell r="R822"/>
          <cell r="S822"/>
          <cell r="T822"/>
          <cell r="U822"/>
          <cell r="V822"/>
          <cell r="W822"/>
          <cell r="X822"/>
          <cell r="Y822"/>
          <cell r="Z822"/>
          <cell r="AA822"/>
          <cell r="AB822"/>
          <cell r="AC822"/>
          <cell r="AD822"/>
          <cell r="AE822"/>
          <cell r="AF822">
            <v>9.2945000000000011</v>
          </cell>
          <cell r="AG822"/>
          <cell r="AH822"/>
          <cell r="AI822" t="str">
            <v>Co</v>
          </cell>
          <cell r="AJ822" t="str">
            <v>-12.Al</v>
          </cell>
          <cell r="AK822" t="str">
            <v>-11.0W</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
          </cell>
          <cell r="BB822" t="str">
            <v/>
          </cell>
          <cell r="BC822" t="str">
            <v/>
          </cell>
          <cell r="BD822" t="str">
            <v/>
          </cell>
          <cell r="BE822" t="str">
            <v/>
          </cell>
          <cell r="BF822" t="str">
            <v/>
          </cell>
          <cell r="BG822" t="str">
            <v/>
          </cell>
          <cell r="BH822" t="str">
            <v>1Edtmaier, C., Wolf, M., de Oro Calderon, R., &amp; Schubert, W. D. (2021). Effect of nickel on the formation of γ/γ’ microstructures in WC/Co-Ni-Al-W. International Journal of Refractory Metals and Hard Materials, 100. https://doi.org/10.1016/j.ijrmhm.2021.105652</v>
          </cell>
          <cell r="BI822" t="str">
            <v>Co-12.Al-11.0W</v>
          </cell>
          <cell r="BJ822" t="str">
            <v/>
          </cell>
        </row>
        <row r="823">
          <cell r="A823" t="str">
            <v>Co-15.0Ni-12.Al-11.0W</v>
          </cell>
          <cell r="B823"/>
          <cell r="C823" t="str">
            <v/>
          </cell>
          <cell r="D823">
            <v>2</v>
          </cell>
          <cell r="E823" t="str">
            <v>Edtmaier, C., Wolf, M., de Oro Calderon, R., &amp; Schubert, W. D. (2021). Effect of nickel on the formation of γ/γ’ microstructures in WC/Co-Ni-Al-W. International Journal of Refractory Metals and Hard Materials, 100. https://doi.org/10.1016/j.ijrmhm.2021.105653</v>
          </cell>
          <cell r="F823">
            <v>820</v>
          </cell>
          <cell r="G823">
            <v>62</v>
          </cell>
          <cell r="H823">
            <v>15</v>
          </cell>
          <cell r="I823">
            <v>12</v>
          </cell>
          <cell r="J823"/>
          <cell r="K823">
            <v>11</v>
          </cell>
          <cell r="L823"/>
          <cell r="M823"/>
          <cell r="N823"/>
          <cell r="O823"/>
          <cell r="P823"/>
          <cell r="Q823"/>
          <cell r="R823"/>
          <cell r="S823"/>
          <cell r="T823"/>
          <cell r="U823"/>
          <cell r="V823"/>
          <cell r="W823"/>
          <cell r="X823"/>
          <cell r="Y823"/>
          <cell r="Z823"/>
          <cell r="AA823"/>
          <cell r="AB823"/>
          <cell r="AC823"/>
          <cell r="AD823"/>
          <cell r="AE823"/>
          <cell r="AF823">
            <v>9.2957000000000001</v>
          </cell>
          <cell r="AG823"/>
          <cell r="AH823"/>
          <cell r="AI823" t="str">
            <v>Co</v>
          </cell>
          <cell r="AJ823" t="str">
            <v>-12.Al</v>
          </cell>
          <cell r="AK823" t="str">
            <v>-11.0W</v>
          </cell>
          <cell r="AL823" t="str">
            <v>-15.0Ni</v>
          </cell>
          <cell r="AM823" t="str">
            <v/>
          </cell>
          <cell r="AN823" t="str">
            <v/>
          </cell>
          <cell r="AO823" t="str">
            <v/>
          </cell>
          <cell r="AP823" t="str">
            <v/>
          </cell>
          <cell r="AQ823" t="str">
            <v/>
          </cell>
          <cell r="AR823" t="str">
            <v/>
          </cell>
          <cell r="AS823" t="str">
            <v/>
          </cell>
          <cell r="AT823" t="str">
            <v/>
          </cell>
          <cell r="AU823" t="str">
            <v/>
          </cell>
          <cell r="AV823" t="str">
            <v/>
          </cell>
          <cell r="AW823" t="str">
            <v/>
          </cell>
          <cell r="AX823" t="str">
            <v/>
          </cell>
          <cell r="AY823" t="str">
            <v/>
          </cell>
          <cell r="AZ823" t="str">
            <v/>
          </cell>
          <cell r="BA823" t="str">
            <v/>
          </cell>
          <cell r="BB823" t="str">
            <v/>
          </cell>
          <cell r="BC823" t="str">
            <v/>
          </cell>
          <cell r="BD823" t="str">
            <v/>
          </cell>
          <cell r="BE823" t="str">
            <v/>
          </cell>
          <cell r="BF823" t="str">
            <v/>
          </cell>
          <cell r="BG823" t="str">
            <v/>
          </cell>
          <cell r="BH823" t="str">
            <v>2Edtmaier, C., Wolf, M., de Oro Calderon, R., &amp; Schubert, W. D. (2021). Effect of nickel on the formation of γ/γ’ microstructures in WC/Co-Ni-Al-W. International Journal of Refractory Metals and Hard Materials, 100. https://doi.org/10.1016/j.ijrmhm.2021.105653</v>
          </cell>
          <cell r="BI823" t="str">
            <v>Co-15.0Ni-12.Al-11.0W</v>
          </cell>
          <cell r="BJ823" t="str">
            <v/>
          </cell>
        </row>
        <row r="824">
          <cell r="A824" t="str">
            <v>Co-30.0Ni-12.Al-11.0W</v>
          </cell>
          <cell r="B824"/>
          <cell r="C824" t="str">
            <v/>
          </cell>
          <cell r="D824">
            <v>3</v>
          </cell>
          <cell r="E824" t="str">
            <v>Edtmaier, C., Wolf, M., de Oro Calderon, R., &amp; Schubert, W. D. (2021). Effect of nickel on the formation of γ/γ’ microstructures in WC/Co-Ni-Al-W. International Journal of Refractory Metals and Hard Materials, 100. https://doi.org/10.1016/j.ijrmhm.2021.105654</v>
          </cell>
          <cell r="F824">
            <v>821</v>
          </cell>
          <cell r="G824">
            <v>47</v>
          </cell>
          <cell r="H824">
            <v>30</v>
          </cell>
          <cell r="I824">
            <v>12</v>
          </cell>
          <cell r="J824"/>
          <cell r="K824">
            <v>11</v>
          </cell>
          <cell r="L824"/>
          <cell r="M824"/>
          <cell r="N824"/>
          <cell r="O824"/>
          <cell r="P824"/>
          <cell r="Q824"/>
          <cell r="R824"/>
          <cell r="S824"/>
          <cell r="T824"/>
          <cell r="U824"/>
          <cell r="V824"/>
          <cell r="W824"/>
          <cell r="X824"/>
          <cell r="Y824"/>
          <cell r="Z824"/>
          <cell r="AA824"/>
          <cell r="AB824"/>
          <cell r="AC824"/>
          <cell r="AD824"/>
          <cell r="AE824"/>
          <cell r="AF824">
            <v>9.2969000000000008</v>
          </cell>
          <cell r="AG824"/>
          <cell r="AH824"/>
          <cell r="AI824" t="str">
            <v>Co</v>
          </cell>
          <cell r="AJ824" t="str">
            <v>-12.Al</v>
          </cell>
          <cell r="AK824" t="str">
            <v>-11.0W</v>
          </cell>
          <cell r="AL824" t="str">
            <v>-30.0Ni</v>
          </cell>
          <cell r="AM824" t="str">
            <v/>
          </cell>
          <cell r="AN824" t="str">
            <v/>
          </cell>
          <cell r="AO824" t="str">
            <v/>
          </cell>
          <cell r="AP824" t="str">
            <v/>
          </cell>
          <cell r="AQ824" t="str">
            <v/>
          </cell>
          <cell r="AR824" t="str">
            <v/>
          </cell>
          <cell r="AS824" t="str">
            <v/>
          </cell>
          <cell r="AT824" t="str">
            <v/>
          </cell>
          <cell r="AU824" t="str">
            <v/>
          </cell>
          <cell r="AV824" t="str">
            <v/>
          </cell>
          <cell r="AW824" t="str">
            <v/>
          </cell>
          <cell r="AX824" t="str">
            <v/>
          </cell>
          <cell r="AY824" t="str">
            <v/>
          </cell>
          <cell r="AZ824" t="str">
            <v/>
          </cell>
          <cell r="BA824" t="str">
            <v/>
          </cell>
          <cell r="BB824" t="str">
            <v/>
          </cell>
          <cell r="BC824" t="str">
            <v/>
          </cell>
          <cell r="BD824" t="str">
            <v/>
          </cell>
          <cell r="BE824" t="str">
            <v/>
          </cell>
          <cell r="BF824" t="str">
            <v/>
          </cell>
          <cell r="BG824" t="str">
            <v/>
          </cell>
          <cell r="BH824" t="str">
            <v>3Edtmaier, C., Wolf, M., de Oro Calderon, R., &amp; Schubert, W. D. (2021). Effect of nickel on the formation of γ/γ’ microstructures in WC/Co-Ni-Al-W. International Journal of Refractory Metals and Hard Materials, 100. https://doi.org/10.1016/j.ijrmhm.2021.105654</v>
          </cell>
          <cell r="BI824" t="str">
            <v>Co-30.0Ni-12.Al-11.0W</v>
          </cell>
          <cell r="BJ824" t="str">
            <v/>
          </cell>
        </row>
        <row r="825">
          <cell r="A825" t="str">
            <v>Co-45.0Ni-12.Al-11.0W</v>
          </cell>
          <cell r="B825"/>
          <cell r="C825" t="str">
            <v/>
          </cell>
          <cell r="D825">
            <v>4</v>
          </cell>
          <cell r="E825" t="str">
            <v>Edtmaier, C., Wolf, M., de Oro Calderon, R., &amp; Schubert, W. D. (2021). Effect of nickel on the formation of γ/γ’ microstructures in WC/Co-Ni-Al-W. International Journal of Refractory Metals and Hard Materials, 100. https://doi.org/10.1016/j.ijrmhm.2021.105655</v>
          </cell>
          <cell r="F825">
            <v>822</v>
          </cell>
          <cell r="G825">
            <v>32</v>
          </cell>
          <cell r="H825">
            <v>45</v>
          </cell>
          <cell r="I825">
            <v>12</v>
          </cell>
          <cell r="J825"/>
          <cell r="K825">
            <v>11</v>
          </cell>
          <cell r="L825"/>
          <cell r="M825"/>
          <cell r="N825"/>
          <cell r="O825"/>
          <cell r="P825"/>
          <cell r="Q825"/>
          <cell r="R825"/>
          <cell r="S825"/>
          <cell r="T825"/>
          <cell r="U825"/>
          <cell r="V825"/>
          <cell r="W825"/>
          <cell r="X825"/>
          <cell r="Y825"/>
          <cell r="Z825"/>
          <cell r="AA825"/>
          <cell r="AB825"/>
          <cell r="AC825"/>
          <cell r="AD825"/>
          <cell r="AE825"/>
          <cell r="AF825">
            <v>9.2980999999999998</v>
          </cell>
          <cell r="AG825"/>
          <cell r="AH825"/>
          <cell r="AI825" t="str">
            <v>Co</v>
          </cell>
          <cell r="AJ825" t="str">
            <v>-12.Al</v>
          </cell>
          <cell r="AK825" t="str">
            <v>-11.0W</v>
          </cell>
          <cell r="AL825" t="str">
            <v>-45.0Ni</v>
          </cell>
          <cell r="AM825" t="str">
            <v/>
          </cell>
          <cell r="AN825" t="str">
            <v/>
          </cell>
          <cell r="AO825" t="str">
            <v/>
          </cell>
          <cell r="AP825" t="str">
            <v/>
          </cell>
          <cell r="AQ825" t="str">
            <v/>
          </cell>
          <cell r="AR825" t="str">
            <v/>
          </cell>
          <cell r="AS825" t="str">
            <v/>
          </cell>
          <cell r="AT825" t="str">
            <v/>
          </cell>
          <cell r="AU825" t="str">
            <v/>
          </cell>
          <cell r="AV825" t="str">
            <v/>
          </cell>
          <cell r="AW825" t="str">
            <v/>
          </cell>
          <cell r="AX825" t="str">
            <v/>
          </cell>
          <cell r="AY825" t="str">
            <v/>
          </cell>
          <cell r="AZ825" t="str">
            <v/>
          </cell>
          <cell r="BA825" t="str">
            <v/>
          </cell>
          <cell r="BB825" t="str">
            <v/>
          </cell>
          <cell r="BC825" t="str">
            <v/>
          </cell>
          <cell r="BD825" t="str">
            <v/>
          </cell>
          <cell r="BE825" t="str">
            <v/>
          </cell>
          <cell r="BF825" t="str">
            <v/>
          </cell>
          <cell r="BG825" t="str">
            <v/>
          </cell>
          <cell r="BH825" t="str">
            <v>4Edtmaier, C., Wolf, M., de Oro Calderon, R., &amp; Schubert, W. D. (2021). Effect of nickel on the formation of γ/γ’ microstructures in WC/Co-Ni-Al-W. International Journal of Refractory Metals and Hard Materials, 100. https://doi.org/10.1016/j.ijrmhm.2021.105655</v>
          </cell>
          <cell r="BI825" t="str">
            <v>Co-45.0Ni-12.Al-11.0W</v>
          </cell>
          <cell r="BJ825" t="str">
            <v/>
          </cell>
        </row>
        <row r="826">
          <cell r="A826" t="str">
            <v>Co-15.0Ni-11.Al-9.0W</v>
          </cell>
          <cell r="B826"/>
          <cell r="C826" t="str">
            <v/>
          </cell>
          <cell r="D826">
            <v>5</v>
          </cell>
          <cell r="E826" t="str">
            <v>Edtmaier, C., Wolf, M., de Oro Calderon, R., &amp; Schubert, W. D. (2021). Effect of nickel on the formation of γ/γ’ microstructures in WC/Co-Ni-Al-W. International Journal of Refractory Metals and Hard Materials, 100. https://doi.org/10.1016/j.ijrmhm.2021.105656</v>
          </cell>
          <cell r="F826">
            <v>823</v>
          </cell>
          <cell r="G826">
            <v>65</v>
          </cell>
          <cell r="H826">
            <v>15</v>
          </cell>
          <cell r="I826">
            <v>11</v>
          </cell>
          <cell r="J826"/>
          <cell r="K826">
            <v>9</v>
          </cell>
          <cell r="L826"/>
          <cell r="M826"/>
          <cell r="N826"/>
          <cell r="O826"/>
          <cell r="P826"/>
          <cell r="Q826"/>
          <cell r="R826"/>
          <cell r="S826"/>
          <cell r="T826"/>
          <cell r="U826"/>
          <cell r="V826"/>
          <cell r="W826"/>
          <cell r="X826"/>
          <cell r="Y826"/>
          <cell r="Z826"/>
          <cell r="AA826"/>
          <cell r="AB826"/>
          <cell r="AC826"/>
          <cell r="AD826"/>
          <cell r="AE826"/>
          <cell r="AF826">
            <v>9.1507000000000005</v>
          </cell>
          <cell r="AG826"/>
          <cell r="AH826"/>
          <cell r="AI826" t="str">
            <v>Co</v>
          </cell>
          <cell r="AJ826" t="str">
            <v>-11.Al</v>
          </cell>
          <cell r="AK826" t="str">
            <v>-9.0W</v>
          </cell>
          <cell r="AL826" t="str">
            <v>-15.0Ni</v>
          </cell>
          <cell r="AM826" t="str">
            <v/>
          </cell>
          <cell r="AN826" t="str">
            <v/>
          </cell>
          <cell r="AO826" t="str">
            <v/>
          </cell>
          <cell r="AP826" t="str">
            <v/>
          </cell>
          <cell r="AQ826" t="str">
            <v/>
          </cell>
          <cell r="AR826" t="str">
            <v/>
          </cell>
          <cell r="AS826" t="str">
            <v/>
          </cell>
          <cell r="AT826" t="str">
            <v/>
          </cell>
          <cell r="AU826" t="str">
            <v/>
          </cell>
          <cell r="AV826" t="str">
            <v/>
          </cell>
          <cell r="AW826" t="str">
            <v/>
          </cell>
          <cell r="AX826" t="str">
            <v/>
          </cell>
          <cell r="AY826" t="str">
            <v/>
          </cell>
          <cell r="AZ826" t="str">
            <v/>
          </cell>
          <cell r="BA826" t="str">
            <v/>
          </cell>
          <cell r="BB826" t="str">
            <v/>
          </cell>
          <cell r="BC826" t="str">
            <v/>
          </cell>
          <cell r="BD826" t="str">
            <v/>
          </cell>
          <cell r="BE826" t="str">
            <v/>
          </cell>
          <cell r="BF826" t="str">
            <v/>
          </cell>
          <cell r="BG826" t="str">
            <v/>
          </cell>
          <cell r="BH826" t="str">
            <v>5Edtmaier, C., Wolf, M., de Oro Calderon, R., &amp; Schubert, W. D. (2021). Effect of nickel on the formation of γ/γ’ microstructures in WC/Co-Ni-Al-W. International Journal of Refractory Metals and Hard Materials, 100. https://doi.org/10.1016/j.ijrmhm.2021.105656</v>
          </cell>
          <cell r="BI826" t="str">
            <v>Co-15.0Ni-11.Al-9.0W</v>
          </cell>
          <cell r="BJ826" t="str">
            <v/>
          </cell>
        </row>
        <row r="827">
          <cell r="A827" t="str">
            <v>Co-17.5Ni-11.Al-9.0W</v>
          </cell>
          <cell r="B827"/>
          <cell r="C827" t="str">
            <v/>
          </cell>
          <cell r="D827">
            <v>6</v>
          </cell>
          <cell r="E827" t="str">
            <v>Edtmaier, C., Wolf, M., de Oro Calderon, R., &amp; Schubert, W. D. (2021). Effect of nickel on the formation of γ/γ’ microstructures in WC/Co-Ni-Al-W. International Journal of Refractory Metals and Hard Materials, 100. https://doi.org/10.1016/j.ijrmhm.2021.105657</v>
          </cell>
          <cell r="F827">
            <v>824</v>
          </cell>
          <cell r="G827">
            <v>62.5</v>
          </cell>
          <cell r="H827">
            <v>17.5</v>
          </cell>
          <cell r="I827">
            <v>11</v>
          </cell>
          <cell r="J827"/>
          <cell r="K827">
            <v>9</v>
          </cell>
          <cell r="L827"/>
          <cell r="M827"/>
          <cell r="N827"/>
          <cell r="O827"/>
          <cell r="P827"/>
          <cell r="Q827"/>
          <cell r="R827"/>
          <cell r="S827"/>
          <cell r="T827"/>
          <cell r="U827"/>
          <cell r="V827"/>
          <cell r="W827"/>
          <cell r="X827"/>
          <cell r="Y827"/>
          <cell r="Z827"/>
          <cell r="AA827"/>
          <cell r="AB827"/>
          <cell r="AC827"/>
          <cell r="AD827"/>
          <cell r="AE827"/>
          <cell r="AF827">
            <v>9.1509</v>
          </cell>
          <cell r="AG827"/>
          <cell r="AH827"/>
          <cell r="AI827" t="str">
            <v>Co</v>
          </cell>
          <cell r="AJ827" t="str">
            <v>-11.Al</v>
          </cell>
          <cell r="AK827" t="str">
            <v>-9.0W</v>
          </cell>
          <cell r="AL827" t="str">
            <v>-17.5Ni</v>
          </cell>
          <cell r="AM827" t="str">
            <v/>
          </cell>
          <cell r="AN827" t="str">
            <v/>
          </cell>
          <cell r="AO827" t="str">
            <v/>
          </cell>
          <cell r="AP827" t="str">
            <v/>
          </cell>
          <cell r="AQ827" t="str">
            <v/>
          </cell>
          <cell r="AR827" t="str">
            <v/>
          </cell>
          <cell r="AS827" t="str">
            <v/>
          </cell>
          <cell r="AT827" t="str">
            <v/>
          </cell>
          <cell r="AU827" t="str">
            <v/>
          </cell>
          <cell r="AV827" t="str">
            <v/>
          </cell>
          <cell r="AW827" t="str">
            <v/>
          </cell>
          <cell r="AX827" t="str">
            <v/>
          </cell>
          <cell r="AY827" t="str">
            <v/>
          </cell>
          <cell r="AZ827" t="str">
            <v/>
          </cell>
          <cell r="BA827" t="str">
            <v/>
          </cell>
          <cell r="BB827" t="str">
            <v/>
          </cell>
          <cell r="BC827" t="str">
            <v/>
          </cell>
          <cell r="BD827" t="str">
            <v/>
          </cell>
          <cell r="BE827" t="str">
            <v/>
          </cell>
          <cell r="BF827" t="str">
            <v/>
          </cell>
          <cell r="BG827" t="str">
            <v/>
          </cell>
          <cell r="BH827" t="str">
            <v>6Edtmaier, C., Wolf, M., de Oro Calderon, R., &amp; Schubert, W. D. (2021). Effect of nickel on the formation of γ/γ’ microstructures in WC/Co-Ni-Al-W. International Journal of Refractory Metals and Hard Materials, 100. https://doi.org/10.1016/j.ijrmhm.2021.105657</v>
          </cell>
          <cell r="BI827" t="str">
            <v>Co-17.5Ni-11.Al-9.0W</v>
          </cell>
          <cell r="BJ827" t="str">
            <v/>
          </cell>
        </row>
        <row r="828">
          <cell r="A828" t="str">
            <v>Co-20.0Ni-11.Al-9.0W</v>
          </cell>
          <cell r="B828"/>
          <cell r="C828" t="str">
            <v/>
          </cell>
          <cell r="D828">
            <v>7</v>
          </cell>
          <cell r="E828" t="str">
            <v>Edtmaier, C., Wolf, M., de Oro Calderon, R., &amp; Schubert, W. D. (2021). Effect of nickel on the formation of γ/γ’ microstructures in WC/Co-Ni-Al-W. International Journal of Refractory Metals and Hard Materials, 100. https://doi.org/10.1016/j.ijrmhm.2021.105658</v>
          </cell>
          <cell r="F828">
            <v>825</v>
          </cell>
          <cell r="G828">
            <v>60</v>
          </cell>
          <cell r="H828">
            <v>20</v>
          </cell>
          <cell r="I828">
            <v>11</v>
          </cell>
          <cell r="J828"/>
          <cell r="K828">
            <v>9</v>
          </cell>
          <cell r="L828"/>
          <cell r="M828"/>
          <cell r="N828"/>
          <cell r="O828"/>
          <cell r="P828"/>
          <cell r="Q828"/>
          <cell r="R828"/>
          <cell r="S828"/>
          <cell r="T828"/>
          <cell r="U828"/>
          <cell r="V828"/>
          <cell r="W828"/>
          <cell r="X828"/>
          <cell r="Y828"/>
          <cell r="Z828"/>
          <cell r="AA828"/>
          <cell r="AB828"/>
          <cell r="AC828"/>
          <cell r="AD828"/>
          <cell r="AE828"/>
          <cell r="AF828">
            <v>9.1510999999999996</v>
          </cell>
          <cell r="AG828"/>
          <cell r="AH828"/>
          <cell r="AI828" t="str">
            <v>Co</v>
          </cell>
          <cell r="AJ828" t="str">
            <v>-11.Al</v>
          </cell>
          <cell r="AK828" t="str">
            <v>-9.0W</v>
          </cell>
          <cell r="AL828" t="str">
            <v>-20.0Ni</v>
          </cell>
          <cell r="AM828" t="str">
            <v/>
          </cell>
          <cell r="AN828" t="str">
            <v/>
          </cell>
          <cell r="AO828" t="str">
            <v/>
          </cell>
          <cell r="AP828" t="str">
            <v/>
          </cell>
          <cell r="AQ828" t="str">
            <v/>
          </cell>
          <cell r="AR828" t="str">
            <v/>
          </cell>
          <cell r="AS828" t="str">
            <v/>
          </cell>
          <cell r="AT828" t="str">
            <v/>
          </cell>
          <cell r="AU828" t="str">
            <v/>
          </cell>
          <cell r="AV828" t="str">
            <v/>
          </cell>
          <cell r="AW828" t="str">
            <v/>
          </cell>
          <cell r="AX828" t="str">
            <v/>
          </cell>
          <cell r="AY828" t="str">
            <v/>
          </cell>
          <cell r="AZ828" t="str">
            <v/>
          </cell>
          <cell r="BA828" t="str">
            <v/>
          </cell>
          <cell r="BB828" t="str">
            <v/>
          </cell>
          <cell r="BC828" t="str">
            <v/>
          </cell>
          <cell r="BD828" t="str">
            <v/>
          </cell>
          <cell r="BE828" t="str">
            <v/>
          </cell>
          <cell r="BF828" t="str">
            <v/>
          </cell>
          <cell r="BG828" t="str">
            <v/>
          </cell>
          <cell r="BH828" t="str">
            <v>7Edtmaier, C., Wolf, M., de Oro Calderon, R., &amp; Schubert, W. D. (2021). Effect of nickel on the formation of γ/γ’ microstructures in WC/Co-Ni-Al-W. International Journal of Refractory Metals and Hard Materials, 100. https://doi.org/10.1016/j.ijrmhm.2021.105658</v>
          </cell>
          <cell r="BI828" t="str">
            <v>Co-20.0Ni-11.Al-9.0W</v>
          </cell>
          <cell r="BJ828" t="str">
            <v/>
          </cell>
        </row>
        <row r="829">
          <cell r="A829" t="str">
            <v>Co-13.0Ni-10.Al-8.0W</v>
          </cell>
          <cell r="B829"/>
          <cell r="C829" t="str">
            <v/>
          </cell>
          <cell r="D829">
            <v>8</v>
          </cell>
          <cell r="E829" t="str">
            <v>Edtmaier, C., Wolf, M., de Oro Calderon, R., &amp; Schubert, W. D. (2021). Effect of nickel on the formation of γ/γ’ microstructures in WC/Co-Ni-Al-W. International Journal of Refractory Metals and Hard Materials, 100. https://doi.org/10.1016/j.ijrmhm.2021.105659</v>
          </cell>
          <cell r="F829">
            <v>826</v>
          </cell>
          <cell r="G829">
            <v>69</v>
          </cell>
          <cell r="H829">
            <v>13</v>
          </cell>
          <cell r="I829">
            <v>10</v>
          </cell>
          <cell r="J829"/>
          <cell r="K829">
            <v>8</v>
          </cell>
          <cell r="L829"/>
          <cell r="M829"/>
          <cell r="N829"/>
          <cell r="O829"/>
          <cell r="P829"/>
          <cell r="Q829"/>
          <cell r="R829"/>
          <cell r="S829"/>
          <cell r="T829"/>
          <cell r="U829"/>
          <cell r="V829"/>
          <cell r="W829"/>
          <cell r="X829"/>
          <cell r="Y829"/>
          <cell r="Z829"/>
          <cell r="AA829"/>
          <cell r="AB829"/>
          <cell r="AC829"/>
          <cell r="AD829"/>
          <cell r="AE829"/>
          <cell r="AF829">
            <v>9.1090400000000002</v>
          </cell>
          <cell r="AG829"/>
          <cell r="AH829"/>
          <cell r="AI829" t="str">
            <v>Co</v>
          </cell>
          <cell r="AJ829" t="str">
            <v>-10.Al</v>
          </cell>
          <cell r="AK829" t="str">
            <v>-8.0W</v>
          </cell>
          <cell r="AL829" t="str">
            <v>-13.0Ni</v>
          </cell>
          <cell r="AM829" t="str">
            <v/>
          </cell>
          <cell r="AN829" t="str">
            <v/>
          </cell>
          <cell r="AO829" t="str">
            <v/>
          </cell>
          <cell r="AP829" t="str">
            <v/>
          </cell>
          <cell r="AQ829" t="str">
            <v/>
          </cell>
          <cell r="AR829" t="str">
            <v/>
          </cell>
          <cell r="AS829" t="str">
            <v/>
          </cell>
          <cell r="AT829" t="str">
            <v/>
          </cell>
          <cell r="AU829" t="str">
            <v/>
          </cell>
          <cell r="AV829" t="str">
            <v/>
          </cell>
          <cell r="AW829" t="str">
            <v/>
          </cell>
          <cell r="AX829" t="str">
            <v/>
          </cell>
          <cell r="AY829" t="str">
            <v/>
          </cell>
          <cell r="AZ829" t="str">
            <v/>
          </cell>
          <cell r="BA829" t="str">
            <v/>
          </cell>
          <cell r="BB829" t="str">
            <v/>
          </cell>
          <cell r="BC829" t="str">
            <v/>
          </cell>
          <cell r="BD829" t="str">
            <v/>
          </cell>
          <cell r="BE829" t="str">
            <v/>
          </cell>
          <cell r="BF829" t="str">
            <v/>
          </cell>
          <cell r="BG829" t="str">
            <v/>
          </cell>
          <cell r="BH829" t="str">
            <v>8Edtmaier, C., Wolf, M., de Oro Calderon, R., &amp; Schubert, W. D. (2021). Effect of nickel on the formation of γ/γ’ microstructures in WC/Co-Ni-Al-W. International Journal of Refractory Metals and Hard Materials, 100. https://doi.org/10.1016/j.ijrmhm.2021.105659</v>
          </cell>
          <cell r="BI829" t="str">
            <v>Co-13.0Ni-10.Al-8.0W</v>
          </cell>
          <cell r="BJ829" t="str">
            <v/>
          </cell>
        </row>
        <row r="830">
          <cell r="A830" t="str">
            <v>Co-9.Al-9.0W-2.0Ta-0.02B</v>
          </cell>
          <cell r="B830"/>
          <cell r="C830" t="str">
            <v/>
          </cell>
          <cell r="D830" t="str">
            <v>Co-Al-W</v>
          </cell>
          <cell r="E830" t="str">
            <v>Fan, L. L., Li, Y., Zhao, X. Y., Yu, Y. X., Zhou, C. G., &amp; Sha, J. B. (2021). High-throughput preparation and characterization of early hot-corrosion behaviors of compositional gradient Al–Cr complex coatings on a novel Co–Al–W-based alloy. Corrosion Science, 192. https://doi.org/10.1016/j.corsci.2021.109811</v>
          </cell>
          <cell r="F830">
            <v>827</v>
          </cell>
          <cell r="G830">
            <v>79.98</v>
          </cell>
          <cell r="H830"/>
          <cell r="I830">
            <v>9</v>
          </cell>
          <cell r="J830"/>
          <cell r="K830">
            <v>9</v>
          </cell>
          <cell r="L830"/>
          <cell r="M830">
            <v>2</v>
          </cell>
          <cell r="N830"/>
          <cell r="O830"/>
          <cell r="P830"/>
          <cell r="Q830"/>
          <cell r="R830"/>
          <cell r="S830">
            <v>0.02</v>
          </cell>
          <cell r="T830"/>
          <cell r="U830"/>
          <cell r="V830"/>
          <cell r="W830"/>
          <cell r="X830"/>
          <cell r="Y830"/>
          <cell r="Z830"/>
          <cell r="AA830"/>
          <cell r="AB830"/>
          <cell r="AC830"/>
          <cell r="AD830"/>
          <cell r="AE830"/>
          <cell r="AF830">
            <v>9.4272120000000008</v>
          </cell>
          <cell r="AG830"/>
          <cell r="AH830"/>
          <cell r="AI830" t="str">
            <v>Co</v>
          </cell>
          <cell r="AJ830" t="str">
            <v>-9.Al</v>
          </cell>
          <cell r="AK830" t="str">
            <v>-9.0W</v>
          </cell>
          <cell r="AL830" t="str">
            <v/>
          </cell>
          <cell r="AM830" t="str">
            <v/>
          </cell>
          <cell r="AN830" t="str">
            <v>-2.0Ta</v>
          </cell>
          <cell r="AO830" t="str">
            <v/>
          </cell>
          <cell r="AP830" t="str">
            <v/>
          </cell>
          <cell r="AQ830" t="str">
            <v/>
          </cell>
          <cell r="AR830" t="str">
            <v/>
          </cell>
          <cell r="AS830" t="str">
            <v/>
          </cell>
          <cell r="AT830" t="str">
            <v/>
          </cell>
          <cell r="AU830" t="str">
            <v>-0.02B</v>
          </cell>
          <cell r="AV830" t="str">
            <v/>
          </cell>
          <cell r="AW830" t="str">
            <v/>
          </cell>
          <cell r="AX830" t="str">
            <v/>
          </cell>
          <cell r="AY830" t="str">
            <v/>
          </cell>
          <cell r="AZ830" t="str">
            <v/>
          </cell>
          <cell r="BA830" t="str">
            <v/>
          </cell>
          <cell r="BB830" t="str">
            <v/>
          </cell>
          <cell r="BC830" t="str">
            <v/>
          </cell>
          <cell r="BD830" t="str">
            <v/>
          </cell>
          <cell r="BE830" t="str">
            <v/>
          </cell>
          <cell r="BF830" t="str">
            <v/>
          </cell>
          <cell r="BG830" t="str">
            <v/>
          </cell>
          <cell r="BH830" t="str">
            <v>Co-Al-WFan, L. L., Li, Y., Zhao, X. Y., Yu, Y. X., Zhou, C. G., &amp; Sha, J. B. (2021). High-throughput preparation and characterization of early hot-corrosion behaviors of compositional gradient Al–Cr complex coatings on a novel Co–Al–W-based alloy. Corrosion Science, 192. https://doi.org/10.1016/j.corsci.2021.109811</v>
          </cell>
          <cell r="BI830" t="str">
            <v>Co-9.Al-9.0W-2.0Ta-0.02B</v>
          </cell>
          <cell r="BJ830" t="str">
            <v/>
          </cell>
        </row>
        <row r="831">
          <cell r="A831" t="str">
            <v>Co-12.0Ti</v>
          </cell>
          <cell r="B831"/>
          <cell r="C831" t="str">
            <v/>
          </cell>
          <cell r="D831" t="str">
            <v>CoTi</v>
          </cell>
          <cell r="E831" t="str">
            <v>Im, H. J., Choi, W. S., Ryou, K. H., Seol, J. B., Kang, T. H., Ko, W. S., &amp; Choi, P. P. (2021). Enhanced microstructural stability of γ/γ′-strengthened Co-Ti-Mo-based alloys through Al additions. Acta Materialia, 214. https://doi.org/10.1016/j.actamat.2021.117011</v>
          </cell>
          <cell r="F831">
            <v>828</v>
          </cell>
          <cell r="G831">
            <v>88</v>
          </cell>
          <cell r="H831"/>
          <cell r="I831"/>
          <cell r="J831"/>
          <cell r="K831"/>
          <cell r="L831">
            <v>12</v>
          </cell>
          <cell r="M831"/>
          <cell r="N831"/>
          <cell r="O831"/>
          <cell r="P831"/>
          <cell r="Q831"/>
          <cell r="R831"/>
          <cell r="S831"/>
          <cell r="T831"/>
          <cell r="U831"/>
          <cell r="V831"/>
          <cell r="W831"/>
          <cell r="X831"/>
          <cell r="Y831"/>
          <cell r="Z831"/>
          <cell r="AA831"/>
          <cell r="AB831"/>
          <cell r="AC831"/>
          <cell r="AD831"/>
          <cell r="AE831"/>
          <cell r="AF831">
            <v>8.3728400000000001</v>
          </cell>
          <cell r="AG831"/>
          <cell r="AH831"/>
          <cell r="AI831" t="str">
            <v>Co</v>
          </cell>
          <cell r="AJ831" t="str">
            <v/>
          </cell>
          <cell r="AK831" t="str">
            <v/>
          </cell>
          <cell r="AL831" t="str">
            <v/>
          </cell>
          <cell r="AM831" t="str">
            <v/>
          </cell>
          <cell r="AN831" t="str">
            <v/>
          </cell>
          <cell r="AO831" t="str">
            <v/>
          </cell>
          <cell r="AP831" t="str">
            <v/>
          </cell>
          <cell r="AQ831" t="str">
            <v>-12.0Ti</v>
          </cell>
          <cell r="AR831" t="str">
            <v/>
          </cell>
          <cell r="AS831" t="str">
            <v/>
          </cell>
          <cell r="AT831" t="str">
            <v/>
          </cell>
          <cell r="AU831" t="str">
            <v/>
          </cell>
          <cell r="AV831" t="str">
            <v/>
          </cell>
          <cell r="AW831" t="str">
            <v/>
          </cell>
          <cell r="AX831" t="str">
            <v/>
          </cell>
          <cell r="AY831" t="str">
            <v/>
          </cell>
          <cell r="AZ831" t="str">
            <v/>
          </cell>
          <cell r="BA831" t="str">
            <v/>
          </cell>
          <cell r="BB831" t="str">
            <v/>
          </cell>
          <cell r="BC831" t="str">
            <v/>
          </cell>
          <cell r="BD831" t="str">
            <v/>
          </cell>
          <cell r="BE831" t="str">
            <v/>
          </cell>
          <cell r="BF831" t="str">
            <v/>
          </cell>
          <cell r="BG831" t="str">
            <v/>
          </cell>
          <cell r="BH831" t="str">
            <v>CoTiIm, H. J., Choi, W. S., Ryou, K. H., Seol, J. B., Kang, T. H., Ko, W. S., &amp; Choi, P. P. (2021). Enhanced microstructural stability of γ/γ′-strengthened Co-Ti-Mo-based alloys through Al additions. Acta Materialia, 214. https://doi.org/10.1016/j.actamat.2021.117011</v>
          </cell>
          <cell r="BI831" t="str">
            <v>Co-12.0Ti</v>
          </cell>
          <cell r="BJ831" t="str">
            <v/>
          </cell>
        </row>
        <row r="832">
          <cell r="A832" t="str">
            <v>Co-12.0Ti-4.0Mo</v>
          </cell>
          <cell r="B832"/>
          <cell r="C832" t="str">
            <v/>
          </cell>
          <cell r="D832" t="str">
            <v>CoTiMo</v>
          </cell>
          <cell r="E832" t="str">
            <v>Im, H. J., Choi, W. S., Ryou, K. H., Seol, J. B., Kang, T. H., Ko, W. S., &amp; Choi, P. P. (2021). Enhanced microstructural stability of γ/γ′-strengthened Co-Ti-Mo-based alloys through Al additions. Acta Materialia, 214. https://doi.org/10.1016/j.actamat.2021.117012</v>
          </cell>
          <cell r="F832">
            <v>829</v>
          </cell>
          <cell r="G832">
            <v>84</v>
          </cell>
          <cell r="H832"/>
          <cell r="I832"/>
          <cell r="J832"/>
          <cell r="K832"/>
          <cell r="L832">
            <v>12</v>
          </cell>
          <cell r="M832"/>
          <cell r="N832"/>
          <cell r="O832"/>
          <cell r="P832">
            <v>4</v>
          </cell>
          <cell r="Q832"/>
          <cell r="R832"/>
          <cell r="S832"/>
          <cell r="T832"/>
          <cell r="U832"/>
          <cell r="V832"/>
          <cell r="W832"/>
          <cell r="X832"/>
          <cell r="Y832"/>
          <cell r="Z832"/>
          <cell r="AA832"/>
          <cell r="AB832"/>
          <cell r="AC832"/>
          <cell r="AD832"/>
          <cell r="AE832"/>
          <cell r="AF832">
            <v>8.4280399999999993</v>
          </cell>
          <cell r="AG832"/>
          <cell r="AH832"/>
          <cell r="AI832" t="str">
            <v>Co</v>
          </cell>
          <cell r="AJ832" t="str">
            <v/>
          </cell>
          <cell r="AK832" t="str">
            <v/>
          </cell>
          <cell r="AL832" t="str">
            <v/>
          </cell>
          <cell r="AM832" t="str">
            <v/>
          </cell>
          <cell r="AN832" t="str">
            <v/>
          </cell>
          <cell r="AO832" t="str">
            <v/>
          </cell>
          <cell r="AP832" t="str">
            <v/>
          </cell>
          <cell r="AQ832" t="str">
            <v>-12.0Ti</v>
          </cell>
          <cell r="AR832" t="str">
            <v>-4.0Mo</v>
          </cell>
          <cell r="AS832" t="str">
            <v/>
          </cell>
          <cell r="AT832" t="str">
            <v/>
          </cell>
          <cell r="AU832" t="str">
            <v/>
          </cell>
          <cell r="AV832" t="str">
            <v/>
          </cell>
          <cell r="AW832" t="str">
            <v/>
          </cell>
          <cell r="AX832" t="str">
            <v/>
          </cell>
          <cell r="AY832" t="str">
            <v/>
          </cell>
          <cell r="AZ832" t="str">
            <v/>
          </cell>
          <cell r="BA832" t="str">
            <v/>
          </cell>
          <cell r="BB832" t="str">
            <v/>
          </cell>
          <cell r="BC832" t="str">
            <v/>
          </cell>
          <cell r="BD832" t="str">
            <v/>
          </cell>
          <cell r="BE832" t="str">
            <v/>
          </cell>
          <cell r="BF832" t="str">
            <v/>
          </cell>
          <cell r="BG832" t="str">
            <v/>
          </cell>
          <cell r="BH832" t="str">
            <v>CoTiMoIm, H. J., Choi, W. S., Ryou, K. H., Seol, J. B., Kang, T. H., Ko, W. S., &amp; Choi, P. P. (2021). Enhanced microstructural stability of γ/γ′-strengthened Co-Ti-Mo-based alloys through Al additions. Acta Materialia, 214. https://doi.org/10.1016/j.actamat.2021.117012</v>
          </cell>
          <cell r="BI832" t="str">
            <v>Co-12.0Ti-4.0Mo</v>
          </cell>
          <cell r="BJ832" t="str">
            <v/>
          </cell>
        </row>
        <row r="833">
          <cell r="A833" t="str">
            <v>Co-2.Al-12.0Ti-4.0Mo</v>
          </cell>
          <cell r="B833"/>
          <cell r="C833" t="str">
            <v/>
          </cell>
          <cell r="D833" t="str">
            <v>"+"2Al</v>
          </cell>
          <cell r="E833" t="str">
            <v>Im, H. J., Choi, W. S., Ryou, K. H., Seol, J. B., Kang, T. H., Ko, W. S., &amp; Choi, P. P. (2021). Enhanced microstructural stability of γ/γ′-strengthened Co-Ti-Mo-based alloys through Al additions. Acta Materialia, 214. https://doi.org/10.1016/j.actamat.2021.117013</v>
          </cell>
          <cell r="F833">
            <v>830</v>
          </cell>
          <cell r="G833">
            <v>82</v>
          </cell>
          <cell r="H833"/>
          <cell r="I833">
            <v>2</v>
          </cell>
          <cell r="J833"/>
          <cell r="K833"/>
          <cell r="L833">
            <v>12</v>
          </cell>
          <cell r="M833"/>
          <cell r="N833"/>
          <cell r="O833"/>
          <cell r="P833">
            <v>4</v>
          </cell>
          <cell r="Q833"/>
          <cell r="R833"/>
          <cell r="S833"/>
          <cell r="T833"/>
          <cell r="U833"/>
          <cell r="V833"/>
          <cell r="W833"/>
          <cell r="X833"/>
          <cell r="Y833"/>
          <cell r="Z833"/>
          <cell r="AA833"/>
          <cell r="AB833"/>
          <cell r="AC833"/>
          <cell r="AD833"/>
          <cell r="AE833"/>
          <cell r="AF833">
            <v>8.3040400000000005</v>
          </cell>
          <cell r="AG833"/>
          <cell r="AH833"/>
          <cell r="AI833" t="str">
            <v>Co</v>
          </cell>
          <cell r="AJ833" t="str">
            <v>-2.Al</v>
          </cell>
          <cell r="AK833" t="str">
            <v/>
          </cell>
          <cell r="AL833" t="str">
            <v/>
          </cell>
          <cell r="AM833" t="str">
            <v/>
          </cell>
          <cell r="AN833" t="str">
            <v/>
          </cell>
          <cell r="AO833" t="str">
            <v/>
          </cell>
          <cell r="AP833" t="str">
            <v/>
          </cell>
          <cell r="AQ833" t="str">
            <v>-12.0Ti</v>
          </cell>
          <cell r="AR833" t="str">
            <v>-4.0Mo</v>
          </cell>
          <cell r="AS833" t="str">
            <v/>
          </cell>
          <cell r="AT833" t="str">
            <v/>
          </cell>
          <cell r="AU833" t="str">
            <v/>
          </cell>
          <cell r="AV833" t="str">
            <v/>
          </cell>
          <cell r="AW833" t="str">
            <v/>
          </cell>
          <cell r="AX833" t="str">
            <v/>
          </cell>
          <cell r="AY833" t="str">
            <v/>
          </cell>
          <cell r="AZ833" t="str">
            <v/>
          </cell>
          <cell r="BA833" t="str">
            <v/>
          </cell>
          <cell r="BB833" t="str">
            <v/>
          </cell>
          <cell r="BC833" t="str">
            <v/>
          </cell>
          <cell r="BD833" t="str">
            <v/>
          </cell>
          <cell r="BE833" t="str">
            <v/>
          </cell>
          <cell r="BF833" t="str">
            <v/>
          </cell>
          <cell r="BG833" t="str">
            <v/>
          </cell>
          <cell r="BH833" t="str">
            <v>"+"2AlIm, H. J., Choi, W. S., Ryou, K. H., Seol, J. B., Kang, T. H., Ko, W. S., &amp; Choi, P. P. (2021). Enhanced microstructural stability of γ/γ′-strengthened Co-Ti-Mo-based alloys through Al additions. Acta Materialia, 214. https://doi.org/10.1016/j.actamat.2021.117013</v>
          </cell>
          <cell r="BI833" t="str">
            <v>Co-2.Al-12.0Ti-4.0Mo</v>
          </cell>
          <cell r="BJ833" t="str">
            <v/>
          </cell>
        </row>
        <row r="834">
          <cell r="A834" t="str">
            <v>Co-4.Al-12.0Ti-4.0Mo</v>
          </cell>
          <cell r="B834"/>
          <cell r="C834" t="str">
            <v/>
          </cell>
          <cell r="D834" t="str">
            <v>"+"4Al</v>
          </cell>
          <cell r="E834" t="str">
            <v>Im, H. J., Choi, W. S., Ryou, K. H., Seol, J. B., Kang, T. H., Ko, W. S., &amp; Choi, P. P. (2021). Enhanced microstructural stability of γ/γ′-strengthened Co-Ti-Mo-based alloys through Al additions. Acta Materialia, 214. https://doi.org/10.1016/j.actamat.2021.117014</v>
          </cell>
          <cell r="F834">
            <v>831</v>
          </cell>
          <cell r="G834">
            <v>80</v>
          </cell>
          <cell r="H834"/>
          <cell r="I834">
            <v>4</v>
          </cell>
          <cell r="J834"/>
          <cell r="K834"/>
          <cell r="L834">
            <v>12</v>
          </cell>
          <cell r="M834"/>
          <cell r="N834"/>
          <cell r="O834"/>
          <cell r="P834">
            <v>4</v>
          </cell>
          <cell r="Q834"/>
          <cell r="R834"/>
          <cell r="S834"/>
          <cell r="T834"/>
          <cell r="U834"/>
          <cell r="V834"/>
          <cell r="W834"/>
          <cell r="X834"/>
          <cell r="Y834"/>
          <cell r="Z834"/>
          <cell r="AA834"/>
          <cell r="AB834"/>
          <cell r="AC834"/>
          <cell r="AD834"/>
          <cell r="AE834"/>
          <cell r="AF834">
            <v>8.1800399999999982</v>
          </cell>
          <cell r="AG834"/>
          <cell r="AH834"/>
          <cell r="AI834" t="str">
            <v>Co</v>
          </cell>
          <cell r="AJ834" t="str">
            <v>-4.Al</v>
          </cell>
          <cell r="AK834" t="str">
            <v/>
          </cell>
          <cell r="AL834" t="str">
            <v/>
          </cell>
          <cell r="AM834" t="str">
            <v/>
          </cell>
          <cell r="AN834" t="str">
            <v/>
          </cell>
          <cell r="AO834" t="str">
            <v/>
          </cell>
          <cell r="AP834" t="str">
            <v/>
          </cell>
          <cell r="AQ834" t="str">
            <v>-12.0Ti</v>
          </cell>
          <cell r="AR834" t="str">
            <v>-4.0Mo</v>
          </cell>
          <cell r="AS834" t="str">
            <v/>
          </cell>
          <cell r="AT834" t="str">
            <v/>
          </cell>
          <cell r="AU834" t="str">
            <v/>
          </cell>
          <cell r="AV834" t="str">
            <v/>
          </cell>
          <cell r="AW834" t="str">
            <v/>
          </cell>
          <cell r="AX834" t="str">
            <v/>
          </cell>
          <cell r="AY834" t="str">
            <v/>
          </cell>
          <cell r="AZ834" t="str">
            <v/>
          </cell>
          <cell r="BA834" t="str">
            <v/>
          </cell>
          <cell r="BB834" t="str">
            <v/>
          </cell>
          <cell r="BC834" t="str">
            <v/>
          </cell>
          <cell r="BD834" t="str">
            <v/>
          </cell>
          <cell r="BE834" t="str">
            <v/>
          </cell>
          <cell r="BF834" t="str">
            <v/>
          </cell>
          <cell r="BG834" t="str">
            <v/>
          </cell>
          <cell r="BH834" t="str">
            <v>"+"4AlIm, H. J., Choi, W. S., Ryou, K. H., Seol, J. B., Kang, T. H., Ko, W. S., &amp; Choi, P. P. (2021). Enhanced microstructural stability of γ/γ′-strengthened Co-Ti-Mo-based alloys through Al additions. Acta Materialia, 214. https://doi.org/10.1016/j.actamat.2021.117014</v>
          </cell>
          <cell r="BI834" t="str">
            <v>Co-4.Al-12.0Ti-4.0Mo</v>
          </cell>
          <cell r="BJ834" t="str">
            <v/>
          </cell>
        </row>
        <row r="835">
          <cell r="A835" t="str">
            <v>Co-2.Al-10.0Ti-4.0Mo</v>
          </cell>
          <cell r="B835"/>
          <cell r="C835" t="str">
            <v/>
          </cell>
          <cell r="D835" t="str">
            <v>10Ti+2Al</v>
          </cell>
          <cell r="E835" t="str">
            <v>Im, H. J., Choi, W. S., Ryou, K. H., Seol, J. B., Kang, T. H., Ko, W. S., &amp; Choi, P. P. (2021). Enhanced microstructural stability of γ/γ′-strengthened Co-Ti-Mo-based alloys through Al additions. Acta Materialia, 214. https://doi.org/10.1016/j.actamat.2021.117015</v>
          </cell>
          <cell r="F835">
            <v>832</v>
          </cell>
          <cell r="G835">
            <v>84</v>
          </cell>
          <cell r="H835"/>
          <cell r="I835">
            <v>2</v>
          </cell>
          <cell r="J835"/>
          <cell r="K835"/>
          <cell r="L835">
            <v>10</v>
          </cell>
          <cell r="M835"/>
          <cell r="N835"/>
          <cell r="O835"/>
          <cell r="P835">
            <v>4</v>
          </cell>
          <cell r="Q835"/>
          <cell r="R835"/>
          <cell r="S835"/>
          <cell r="T835"/>
          <cell r="U835"/>
          <cell r="V835"/>
          <cell r="W835"/>
          <cell r="X835"/>
          <cell r="Y835"/>
          <cell r="Z835"/>
          <cell r="AA835"/>
          <cell r="AB835"/>
          <cell r="AC835"/>
          <cell r="AD835"/>
          <cell r="AE835"/>
          <cell r="AF835">
            <v>8.3918999999999997</v>
          </cell>
          <cell r="AG835"/>
          <cell r="AH835"/>
          <cell r="AI835" t="str">
            <v>Co</v>
          </cell>
          <cell r="AJ835" t="str">
            <v>-2.Al</v>
          </cell>
          <cell r="AK835" t="str">
            <v/>
          </cell>
          <cell r="AL835" t="str">
            <v/>
          </cell>
          <cell r="AM835" t="str">
            <v/>
          </cell>
          <cell r="AN835" t="str">
            <v/>
          </cell>
          <cell r="AO835" t="str">
            <v/>
          </cell>
          <cell r="AP835" t="str">
            <v/>
          </cell>
          <cell r="AQ835" t="str">
            <v>-10.0Ti</v>
          </cell>
          <cell r="AR835" t="str">
            <v>-4.0Mo</v>
          </cell>
          <cell r="AS835" t="str">
            <v/>
          </cell>
          <cell r="AT835" t="str">
            <v/>
          </cell>
          <cell r="AU835" t="str">
            <v/>
          </cell>
          <cell r="AV835" t="str">
            <v/>
          </cell>
          <cell r="AW835" t="str">
            <v/>
          </cell>
          <cell r="AX835" t="str">
            <v/>
          </cell>
          <cell r="AY835" t="str">
            <v/>
          </cell>
          <cell r="AZ835" t="str">
            <v/>
          </cell>
          <cell r="BA835" t="str">
            <v/>
          </cell>
          <cell r="BB835" t="str">
            <v/>
          </cell>
          <cell r="BC835" t="str">
            <v/>
          </cell>
          <cell r="BD835" t="str">
            <v/>
          </cell>
          <cell r="BE835" t="str">
            <v/>
          </cell>
          <cell r="BF835" t="str">
            <v/>
          </cell>
          <cell r="BG835" t="str">
            <v/>
          </cell>
          <cell r="BH835" t="str">
            <v>10Ti+2AlIm, H. J., Choi, W. S., Ryou, K. H., Seol, J. B., Kang, T. H., Ko, W. S., &amp; Choi, P. P. (2021). Enhanced microstructural stability of γ/γ′-strengthened Co-Ti-Mo-based alloys through Al additions. Acta Materialia, 214. https://doi.org/10.1016/j.actamat.2021.117015</v>
          </cell>
          <cell r="BI835" t="str">
            <v>Co-2.Al-10.0Ti-4.0Mo</v>
          </cell>
          <cell r="BJ835" t="str">
            <v/>
          </cell>
        </row>
        <row r="836">
          <cell r="A836" t="str">
            <v>Co-4.Al-8.0Ti-4.0Mo</v>
          </cell>
          <cell r="B836"/>
          <cell r="C836" t="str">
            <v/>
          </cell>
          <cell r="D836" t="str">
            <v>8Ti+4Al</v>
          </cell>
          <cell r="E836" t="str">
            <v>Im, H. J., Choi, W. S., Ryou, K. H., Seol, J. B., Kang, T. H., Ko, W. S., &amp; Choi, P. P. (2021). Enhanced microstructural stability of γ/γ′-strengthened Co-Ti-Mo-based alloys through Al additions. Acta Materialia, 214. https://doi.org/10.1016/j.actamat.2021.117016</v>
          </cell>
          <cell r="F836">
            <v>833</v>
          </cell>
          <cell r="G836">
            <v>84</v>
          </cell>
          <cell r="H836"/>
          <cell r="I836">
            <v>4</v>
          </cell>
          <cell r="J836"/>
          <cell r="K836"/>
          <cell r="L836">
            <v>8</v>
          </cell>
          <cell r="M836"/>
          <cell r="N836"/>
          <cell r="O836"/>
          <cell r="P836">
            <v>4</v>
          </cell>
          <cell r="Q836"/>
          <cell r="R836"/>
          <cell r="S836"/>
          <cell r="T836"/>
          <cell r="U836"/>
          <cell r="V836"/>
          <cell r="W836"/>
          <cell r="X836"/>
          <cell r="Y836"/>
          <cell r="Z836"/>
          <cell r="AA836"/>
          <cell r="AB836"/>
          <cell r="AC836"/>
          <cell r="AD836"/>
          <cell r="AE836"/>
          <cell r="AF836">
            <v>8.3557600000000001</v>
          </cell>
          <cell r="AG836"/>
          <cell r="AH836"/>
          <cell r="AI836" t="str">
            <v>Co</v>
          </cell>
          <cell r="AJ836" t="str">
            <v>-4.Al</v>
          </cell>
          <cell r="AK836" t="str">
            <v/>
          </cell>
          <cell r="AL836" t="str">
            <v/>
          </cell>
          <cell r="AM836" t="str">
            <v/>
          </cell>
          <cell r="AN836" t="str">
            <v/>
          </cell>
          <cell r="AO836" t="str">
            <v/>
          </cell>
          <cell r="AP836" t="str">
            <v/>
          </cell>
          <cell r="AQ836" t="str">
            <v>-8.0Ti</v>
          </cell>
          <cell r="AR836" t="str">
            <v>-4.0Mo</v>
          </cell>
          <cell r="AS836" t="str">
            <v/>
          </cell>
          <cell r="AT836" t="str">
            <v/>
          </cell>
          <cell r="AU836" t="str">
            <v/>
          </cell>
          <cell r="AV836" t="str">
            <v/>
          </cell>
          <cell r="AW836" t="str">
            <v/>
          </cell>
          <cell r="AX836" t="str">
            <v/>
          </cell>
          <cell r="AY836" t="str">
            <v/>
          </cell>
          <cell r="AZ836" t="str">
            <v/>
          </cell>
          <cell r="BA836" t="str">
            <v/>
          </cell>
          <cell r="BB836" t="str">
            <v/>
          </cell>
          <cell r="BC836" t="str">
            <v/>
          </cell>
          <cell r="BD836" t="str">
            <v/>
          </cell>
          <cell r="BE836" t="str">
            <v/>
          </cell>
          <cell r="BF836" t="str">
            <v/>
          </cell>
          <cell r="BG836" t="str">
            <v/>
          </cell>
          <cell r="BH836" t="str">
            <v>8Ti+4AlIm, H. J., Choi, W. S., Ryou, K. H., Seol, J. B., Kang, T. H., Ko, W. S., &amp; Choi, P. P. (2021). Enhanced microstructural stability of γ/γ′-strengthened Co-Ti-Mo-based alloys through Al additions. Acta Materialia, 214. https://doi.org/10.1016/j.actamat.2021.117016</v>
          </cell>
          <cell r="BI836" t="str">
            <v>Co-4.Al-8.0Ti-4.0Mo</v>
          </cell>
          <cell r="BJ836" t="str">
            <v/>
          </cell>
        </row>
        <row r="837">
          <cell r="A837" t="str">
            <v>Co-9.Al-8.0W-0.10B</v>
          </cell>
          <cell r="B837"/>
          <cell r="C837" t="str">
            <v/>
          </cell>
          <cell r="D837" t="str">
            <v>8W</v>
          </cell>
          <cell r="E837" t="str">
            <v>Li, Y., Pyczak, F., Oehring, M., Wang, L., Paul, J., Lorenz, U., &amp; Yao, Z. (2017). Thermal stability of γ′ phase in long-term aged Co-Al-W alloys. Journal of Alloys and Compounds, 729, 266–276. https://doi.org/10.1016/j.jallcom.2017.09.157</v>
          </cell>
          <cell r="F837">
            <v>834</v>
          </cell>
          <cell r="G837">
            <v>82.9</v>
          </cell>
          <cell r="H837"/>
          <cell r="I837">
            <v>9</v>
          </cell>
          <cell r="J837"/>
          <cell r="K837">
            <v>8</v>
          </cell>
          <cell r="L837"/>
          <cell r="M837"/>
          <cell r="N837"/>
          <cell r="O837"/>
          <cell r="P837"/>
          <cell r="Q837"/>
          <cell r="R837"/>
          <cell r="S837">
            <v>0.1</v>
          </cell>
          <cell r="T837"/>
          <cell r="U837"/>
          <cell r="V837"/>
          <cell r="W837"/>
          <cell r="X837"/>
          <cell r="Y837"/>
          <cell r="Z837"/>
          <cell r="AA837"/>
          <cell r="AB837"/>
          <cell r="AC837"/>
          <cell r="AD837"/>
          <cell r="AE837"/>
          <cell r="AF837">
            <v>9.1635600000000004</v>
          </cell>
          <cell r="AG837"/>
          <cell r="AH837"/>
          <cell r="AI837" t="str">
            <v>Co</v>
          </cell>
          <cell r="AJ837" t="str">
            <v>-9.Al</v>
          </cell>
          <cell r="AK837" t="str">
            <v>-8.0W</v>
          </cell>
          <cell r="AL837" t="str">
            <v/>
          </cell>
          <cell r="AM837" t="str">
            <v/>
          </cell>
          <cell r="AN837" t="str">
            <v/>
          </cell>
          <cell r="AO837" t="str">
            <v/>
          </cell>
          <cell r="AP837" t="str">
            <v/>
          </cell>
          <cell r="AQ837" t="str">
            <v/>
          </cell>
          <cell r="AR837" t="str">
            <v/>
          </cell>
          <cell r="AS837" t="str">
            <v/>
          </cell>
          <cell r="AT837" t="str">
            <v/>
          </cell>
          <cell r="AU837" t="str">
            <v>-0.10B</v>
          </cell>
          <cell r="AV837" t="str">
            <v/>
          </cell>
          <cell r="AW837" t="str">
            <v/>
          </cell>
          <cell r="AX837" t="str">
            <v/>
          </cell>
          <cell r="AY837" t="str">
            <v/>
          </cell>
          <cell r="AZ837" t="str">
            <v/>
          </cell>
          <cell r="BA837" t="str">
            <v/>
          </cell>
          <cell r="BB837" t="str">
            <v/>
          </cell>
          <cell r="BC837" t="str">
            <v/>
          </cell>
          <cell r="BD837" t="str">
            <v/>
          </cell>
          <cell r="BE837" t="str">
            <v/>
          </cell>
          <cell r="BF837" t="str">
            <v/>
          </cell>
          <cell r="BG837" t="str">
            <v/>
          </cell>
          <cell r="BH837" t="str">
            <v>8WLi, Y., Pyczak, F., Oehring, M., Wang, L., Paul, J., Lorenz, U., &amp; Yao, Z. (2017). Thermal stability of γ′ phase in long-term aged Co-Al-W alloys. Journal of Alloys and Compounds, 729, 266–276. https://doi.org/10.1016/j.jallcom.2017.09.157</v>
          </cell>
          <cell r="BI837" t="str">
            <v>Co-9.Al-8.0W-0.10B</v>
          </cell>
          <cell r="BJ837" t="str">
            <v/>
          </cell>
        </row>
        <row r="838">
          <cell r="A838" t="str">
            <v>Co-9.Al-9.0W-0.10B</v>
          </cell>
          <cell r="B838"/>
          <cell r="C838" t="str">
            <v/>
          </cell>
          <cell r="D838" t="str">
            <v>9W</v>
          </cell>
          <cell r="E838" t="str">
            <v>Li, Y., Pyczak, F., Oehring, M., Wang, L., Paul, J., Lorenz, U., &amp; Yao, Z. (2017). Thermal stability of γ′ phase in long-term aged Co-Al-W alloys. Journal of Alloys and Compounds, 729, 266–276. https://doi.org/10.1016/j.jallcom.2017.09.158</v>
          </cell>
          <cell r="F838">
            <v>835</v>
          </cell>
          <cell r="G838">
            <v>81.900000000000006</v>
          </cell>
          <cell r="H838"/>
          <cell r="I838">
            <v>9</v>
          </cell>
          <cell r="J838"/>
          <cell r="K838">
            <v>9</v>
          </cell>
          <cell r="L838"/>
          <cell r="M838"/>
          <cell r="N838"/>
          <cell r="O838"/>
          <cell r="P838"/>
          <cell r="Q838"/>
          <cell r="R838"/>
          <cell r="S838">
            <v>0.1</v>
          </cell>
          <cell r="T838"/>
          <cell r="U838"/>
          <cell r="V838"/>
          <cell r="W838"/>
          <cell r="X838"/>
          <cell r="Y838"/>
          <cell r="Z838"/>
          <cell r="AA838"/>
          <cell r="AB838"/>
          <cell r="AC838"/>
          <cell r="AD838"/>
          <cell r="AE838"/>
          <cell r="AF838">
            <v>9.2670600000000007</v>
          </cell>
          <cell r="AG838"/>
          <cell r="AH838"/>
          <cell r="AI838" t="str">
            <v>Co</v>
          </cell>
          <cell r="AJ838" t="str">
            <v>-9.Al</v>
          </cell>
          <cell r="AK838" t="str">
            <v>-9.0W</v>
          </cell>
          <cell r="AL838" t="str">
            <v/>
          </cell>
          <cell r="AM838" t="str">
            <v/>
          </cell>
          <cell r="AN838" t="str">
            <v/>
          </cell>
          <cell r="AO838" t="str">
            <v/>
          </cell>
          <cell r="AP838" t="str">
            <v/>
          </cell>
          <cell r="AQ838" t="str">
            <v/>
          </cell>
          <cell r="AR838" t="str">
            <v/>
          </cell>
          <cell r="AS838" t="str">
            <v/>
          </cell>
          <cell r="AT838" t="str">
            <v/>
          </cell>
          <cell r="AU838" t="str">
            <v>-0.10B</v>
          </cell>
          <cell r="AV838" t="str">
            <v/>
          </cell>
          <cell r="AW838" t="str">
            <v/>
          </cell>
          <cell r="AX838" t="str">
            <v/>
          </cell>
          <cell r="AY838" t="str">
            <v/>
          </cell>
          <cell r="AZ838" t="str">
            <v/>
          </cell>
          <cell r="BA838" t="str">
            <v/>
          </cell>
          <cell r="BB838" t="str">
            <v/>
          </cell>
          <cell r="BC838" t="str">
            <v/>
          </cell>
          <cell r="BD838" t="str">
            <v/>
          </cell>
          <cell r="BE838" t="str">
            <v/>
          </cell>
          <cell r="BF838" t="str">
            <v/>
          </cell>
          <cell r="BG838" t="str">
            <v/>
          </cell>
          <cell r="BH838" t="str">
            <v>9WLi, Y., Pyczak, F., Oehring, M., Wang, L., Paul, J., Lorenz, U., &amp; Yao, Z. (2017). Thermal stability of γ′ phase in long-term aged Co-Al-W alloys. Journal of Alloys and Compounds, 729, 266–276. https://doi.org/10.1016/j.jallcom.2017.09.158</v>
          </cell>
          <cell r="BI838" t="str">
            <v>Co-9.Al-9.0W-0.10B</v>
          </cell>
          <cell r="BJ838" t="str">
            <v/>
          </cell>
        </row>
      </sheetData>
      <sheetData sheetId="1">
        <row r="258">
          <cell r="A258" t="str">
            <v>Co-34.6Ni-1.7Fe-4.3Al-19.5Cr-1.0Ti-1.9Nb-4.8Mo-0.70C</v>
          </cell>
        </row>
      </sheetData>
      <sheetData sheetId="2">
        <row r="251">
          <cell r="A251" t="str">
            <v>Co-30.Ni-10.Al-2.Ti-2.Nb</v>
          </cell>
        </row>
        <row r="548">
          <cell r="A548" t="str">
            <v>Co-28.8Ni-10.Al-10.2Cr-2.1Ti-2.1Ta-1.5Nb-2.2Mo</v>
          </cell>
        </row>
        <row r="549">
          <cell r="A549" t="str">
            <v>Co-12.Al-11.0W</v>
          </cell>
        </row>
        <row r="550">
          <cell r="A550" t="str">
            <v>Co-15.0Ni-12.Al-11.0W</v>
          </cell>
        </row>
        <row r="551">
          <cell r="A551" t="str">
            <v>Co-30.0Ni-12.Al-11.0W</v>
          </cell>
        </row>
        <row r="552">
          <cell r="A552" t="str">
            <v>Co-45.0Ni-12.Al-11.0W</v>
          </cell>
        </row>
        <row r="553">
          <cell r="A553" t="str">
            <v>Co-15.0Ni-11.Al-9.0W</v>
          </cell>
        </row>
        <row r="554">
          <cell r="A554" t="str">
            <v>Co-17.5Ni-11.Al-9.0W</v>
          </cell>
        </row>
        <row r="555">
          <cell r="A555" t="str">
            <v>Co-20.0Ni-11.Al-9.0W</v>
          </cell>
        </row>
        <row r="556">
          <cell r="A556" t="str">
            <v>Co-13.0Ni-10.Al-8.0W</v>
          </cell>
        </row>
        <row r="557">
          <cell r="A557" t="str">
            <v>Co-31.0Ni-10.1Al-2.1Ta-5.1Mo</v>
          </cell>
        </row>
        <row r="558">
          <cell r="A558" t="str">
            <v>Co-32.0Ni-9.9Al-1.4Ti-1.7Ta-4.6Mo</v>
          </cell>
        </row>
        <row r="559">
          <cell r="A559" t="str">
            <v>Co-30.6Ni-9.2Al-3.2Ti-2.1Ta-5.1Mo</v>
          </cell>
        </row>
        <row r="560">
          <cell r="A560" t="str">
            <v>Co-30.5Ni-9.3Al-3.9Ti-2.2Ta-5.0Mo</v>
          </cell>
        </row>
        <row r="561">
          <cell r="A561" t="str">
            <v>Co-31.0Ni-9.7Al-2.3Nb-5.2Mo</v>
          </cell>
        </row>
        <row r="562">
          <cell r="A562" t="str">
            <v>Co-30.5Ni-9.5Al-1.0Ti-2.0Nb-4.9Mo</v>
          </cell>
        </row>
        <row r="563">
          <cell r="A563" t="str">
            <v>Co-30.6Ni-9.3Al-1.9Ti-2.1Nb-5.2Mo</v>
          </cell>
        </row>
        <row r="564">
          <cell r="A564" t="str">
            <v>Co-30.7Ni-9.5Al-3.0Ti-1.9Nb-4.9Mo</v>
          </cell>
        </row>
        <row r="565">
          <cell r="A565" t="str">
            <v>Co-30.3Ni-9.4Al-3.9Ti-1.8Nb-4.7Mo</v>
          </cell>
        </row>
        <row r="566">
          <cell r="A566" t="str">
            <v>Co-29.4Ni-9.5Al-5.2Cr-2.2Nb</v>
          </cell>
        </row>
        <row r="567">
          <cell r="A567" t="str">
            <v>Co-29.8Ni-9.5Al-5.5Cr-2.1Ti-1.9Nb</v>
          </cell>
        </row>
        <row r="568">
          <cell r="A568" t="str">
            <v>Co-30.3Ni-9.5Al-8.5Cr-2.0Ti-2.0Nb</v>
          </cell>
        </row>
        <row r="569">
          <cell r="A569" t="str">
            <v>Co-29.9Ni-10.Al-11.9Cr-2.2Ti-1.9Nb</v>
          </cell>
        </row>
        <row r="570">
          <cell r="A570" t="str">
            <v>Co-30.0Ni-9.1Al-5.3Cr-4.2Ti-2.0Nb</v>
          </cell>
        </row>
        <row r="571">
          <cell r="A571" t="str">
            <v>Co-30.2Ni-9.4Al-8.8Cr-4.4Ti-2.0Nb</v>
          </cell>
        </row>
        <row r="572">
          <cell r="A572" t="str">
            <v>Co-29.8Ni-9.4Al-12.8Cr-3.7Ti-2.0Nb</v>
          </cell>
        </row>
        <row r="573">
          <cell r="A573" t="str">
            <v>Co-30.2Ni-9.8Al-4.0W-3.9Ti-1.9Ta</v>
          </cell>
        </row>
      </sheetData>
      <sheetData sheetId="3">
        <row r="2">
          <cell r="A2" t="str">
            <v>Co-12.0Ti</v>
          </cell>
        </row>
      </sheetData>
      <sheetData sheetId="4"/>
      <sheetData sheetId="5">
        <row r="252">
          <cell r="A252" t="str">
            <v>Co-32.Ni-9.9Al-1.4Ti-1.7Ta-4.6Mo</v>
          </cell>
        </row>
      </sheetData>
      <sheetData sheetId="6">
        <row r="344">
          <cell r="A344" t="str">
            <v>Co-4.Al-12.0Ti-4.0Mo</v>
          </cell>
        </row>
      </sheetData>
      <sheetData sheetId="7">
        <row r="380">
          <cell r="A380" t="str">
            <v>Co-35.0Ni-7.5Al-15.0Cr-5.0W-1.0Ti-1.0Ta-0.4Si-0.1Hf-0.08B</v>
          </cell>
        </row>
      </sheetData>
      <sheetData sheetId="8"/>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CEA4D1-C62E-4581-8F07-EE1AD0D6CADE}" name="Comp" displayName="Comp" ref="A1:BO1089" totalsRowShown="0">
  <autoFilter ref="A1:BO1089" xr:uid="{9BCEA4D1-C62E-4581-8F07-EE1AD0D6CADE}"/>
  <tableColumns count="67">
    <tableColumn id="1" xr3:uid="{E22FAB0A-5E45-4915-B179-F9E02346C93C}" name="Shortname"/>
    <tableColumn id="2" xr3:uid="{3DC96056-2131-4FFA-8169-F1450249C014}" name="Category"/>
    <tableColumn id="3" xr3:uid="{FCE8488D-93AD-47E3-BF13-204BF3D8BE18}" name="AbbName"/>
    <tableColumn id="4" xr3:uid="{F2308B51-67BB-4A63-94F4-6F2C7EA3B918}" name="Name"/>
    <tableColumn id="5" xr3:uid="{8360E7CC-D311-4B8A-ABE7-239B991F401A}" name="Paper"/>
    <tableColumn id="6" xr3:uid="{7B67F2BE-1418-4102-AF50-09E2E9F72CC0}" name="Index"/>
    <tableColumn id="7" xr3:uid="{2E51FB6B-AA15-48ED-B539-E3783A473AB0}" name="Co"/>
    <tableColumn id="8" xr3:uid="{78F7EDFE-6A5C-4781-AE01-6EB86FAA0850}" name="Ni"/>
    <tableColumn id="9" xr3:uid="{A0DFFDC9-8D27-4A07-B8DD-B27F5BF2148C}" name="Al"/>
    <tableColumn id="10" xr3:uid="{4C0F2193-DAB9-4058-B9E5-77EF2ADB6C50}" name="Cr"/>
    <tableColumn id="11" xr3:uid="{2F51B331-AABE-40D0-8561-22F9FE667ADE}" name="W"/>
    <tableColumn id="12" xr3:uid="{C937C350-A07B-4B1E-8380-B3F14DEBCC77}" name="Ti"/>
    <tableColumn id="13" xr3:uid="{4D3BD266-C361-4DE8-AC4E-47311150ED62}" name="Ta"/>
    <tableColumn id="14" xr3:uid="{D5207842-E75B-4F22-917C-40F38A00B8A5}" name="Nb"/>
    <tableColumn id="15" xr3:uid="{72F05F94-A9E6-4D52-B78A-D8A9CE4DCA5F}" name="V"/>
    <tableColumn id="16" xr3:uid="{398E8A79-2BDF-48D3-9294-772264F8AD9D}" name="Mo"/>
    <tableColumn id="17" xr3:uid="{71116724-66CD-4E05-BEE0-C7D3E6545E38}" name="C"/>
    <tableColumn id="18" xr3:uid="{F05073E6-5902-42DA-9422-73D2384B5014}" name="Zr"/>
    <tableColumn id="19" xr3:uid="{81E9194D-831F-4F97-AF33-57148F7A7FFA}" name="B"/>
    <tableColumn id="20" xr3:uid="{3396A2D0-EBC7-4A9C-8C78-64582EB8CE07}" name="Ir"/>
    <tableColumn id="21" xr3:uid="{D2ECC034-18EF-4621-A33F-5B935D8423BD}" name="Re"/>
    <tableColumn id="22" xr3:uid="{C78981CA-3610-4FA5-AB72-CDE6319366D2}" name="Si"/>
    <tableColumn id="23" xr3:uid="{8BAAFD37-2DEC-4C41-BB0C-5A4C9A1DDFA8}" name="Fe"/>
    <tableColumn id="24" xr3:uid="{FF305B4C-5F33-4916-B885-3970E113F42D}" name="Y"/>
    <tableColumn id="25" xr3:uid="{E11B3EA5-90C1-4DC7-9A5D-0152285F5AF5}" name="Hf"/>
    <tableColumn id="26" xr3:uid="{C1D9CECD-CEC0-4ADD-AF02-ACA56302A3AF}" name="Ge"/>
    <tableColumn id="27" xr3:uid="{45684550-BD22-4B0C-83BE-31EAF6736CDE}" name="Mn"/>
    <tableColumn id="28" xr3:uid="{1C2CDC3F-0B4C-4BA7-8C87-7A2FA2DF10FE}" name="Sc"/>
    <tableColumn id="29" xr3:uid="{EC4B9D1D-7D9D-49AE-8DF9-E1AEFFDD953A}" name="Ru"/>
    <tableColumn id="30" xr3:uid="{E9313A8A-790B-4A88-B623-F7C759F6E90B}" name="Ce"/>
    <tableColumn id="31" xr3:uid="{64416BAE-B52F-4FDF-800B-6F79A6B06659}" name="Nd"/>
    <tableColumn id="32" xr3:uid="{3762281A-FA4E-4090-AFA0-89DFB2D06166}" name="Density (calc) g/cm^3"/>
    <tableColumn id="33" xr3:uid="{23D21F14-C8F7-45C2-BA09-73E0768B78A5}" name="Density (exp)"/>
    <tableColumn id="34" xr3:uid="{A6386573-B341-490A-9112-1F2AF7478598}" name="Notes"/>
    <tableColumn id="35" xr3:uid="{C581EEFB-BE3D-4435-98AA-97B9887EEA3B}" name="Column1"/>
    <tableColumn id="36" xr3:uid="{B95521FA-E964-42C0-B599-785B5DAB96AC}" name="Column2"/>
    <tableColumn id="37" xr3:uid="{409BC184-37C8-4AC0-8961-F9FE88DBE35A}" name="Column3"/>
    <tableColumn id="38" xr3:uid="{867F088D-7622-45A6-8471-5600C87AEC65}" name="Column4"/>
    <tableColumn id="39" xr3:uid="{F3D5DB0D-B1A3-4AD6-8EA9-6E5C117046E9}" name="Column5"/>
    <tableColumn id="40" xr3:uid="{6E409690-F463-410F-95C0-4062061D72B8}" name="Column6"/>
    <tableColumn id="41" xr3:uid="{CE082D94-A72E-4D1E-A05D-C63F0733B5FE}" name="Column7"/>
    <tableColumn id="42" xr3:uid="{7D6976DE-E38C-4E7B-ABC3-297B5C16C6D6}" name="Column8"/>
    <tableColumn id="43" xr3:uid="{6468377C-B61E-4BC7-BF5A-14D5E4E6B678}" name="Column9"/>
    <tableColumn id="44" xr3:uid="{B8095A71-97A1-4CD2-BB62-17A97162B3CE}" name="Column10"/>
    <tableColumn id="45" xr3:uid="{70D77266-5C0B-41C9-85A4-8430678175C0}" name="Column11"/>
    <tableColumn id="46" xr3:uid="{C58EF683-AA4C-4950-8CF2-62857F11CE12}" name="Column12"/>
    <tableColumn id="47" xr3:uid="{D3BDA51C-8A44-4D2D-B364-C4B54EECC9E2}" name="Column13"/>
    <tableColumn id="48" xr3:uid="{28DFDB45-ABB7-4517-8CEB-8768099ED163}" name="Column14"/>
    <tableColumn id="49" xr3:uid="{A97F3327-2E9F-45B1-92BD-FB958F3197DE}" name="Column15"/>
    <tableColumn id="50" xr3:uid="{D014F3B4-157A-499E-8E09-62DCFA127160}" name="Column16"/>
    <tableColumn id="51" xr3:uid="{9DE9015F-4897-43B0-B1F3-B8C10D2364EA}" name="Column17"/>
    <tableColumn id="52" xr3:uid="{90A6A581-BF38-403B-92DC-A3A8CD188EA8}" name="Column18"/>
    <tableColumn id="53" xr3:uid="{B195568B-8B88-405E-A294-0E57E3D91ADB}" name="Column19"/>
    <tableColumn id="54" xr3:uid="{EB5BCA9B-9C22-4CBB-90C6-83FB52E9EB14}" name="Column20"/>
    <tableColumn id="55" xr3:uid="{91EC7FE9-A005-4A11-AA96-10F303857635}" name="Column21"/>
    <tableColumn id="56" xr3:uid="{25DDC383-5546-4B22-82AC-9E54380895DA}" name="Column22"/>
    <tableColumn id="57" xr3:uid="{CB967D7B-3A57-4954-8D39-783B9BA6D216}" name="Column23"/>
    <tableColumn id="58" xr3:uid="{E1F0CDA4-FA75-44B3-9972-959427D237FD}" name="Column24"/>
    <tableColumn id="59" xr3:uid="{F3D0B668-9EF8-439A-8E5C-8C12D283F6C9}" name="Column242"/>
    <tableColumn id="60" xr3:uid="{C0533235-31B4-47DB-A10F-F70705AAC286}" name="Unique"/>
    <tableColumn id="61" xr3:uid="{B020D48A-0F1C-4E4D-B458-B60F0168EF49}" name="Rename"/>
    <tableColumn id="62" xr3:uid="{83F29063-B6FE-43D4-B499-85CD80750879}" name="Vlookup Rename"/>
    <tableColumn id="63" xr3:uid="{146FCB9A-C226-4830-924E-B83DFC90AB9B}" name="Column25"/>
    <tableColumn id="64" xr3:uid="{1770FB26-6790-45A8-938D-820FDDAC6539}" name="Column26"/>
    <tableColumn id="65" xr3:uid="{EB536157-C90B-4045-85EE-A95F70FC88FB}" name="Column27"/>
    <tableColumn id="66" xr3:uid="{337B0F2D-9F5B-4856-AE80-A2788BB50465}" name="Column28"/>
    <tableColumn id="67" xr3:uid="{C470AFFD-BA6B-47D8-A626-412328F14425}" name="Column2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564C80-B0EE-4C0D-818B-00004E630DAE}" name="Misfit" displayName="Misfit" ref="A1:AI363" totalsRowShown="0">
  <autoFilter ref="A1:AI363" xr:uid="{25564C80-B0EE-4C0D-818B-00004E630DAE}"/>
  <tableColumns count="35">
    <tableColumn id="14" xr3:uid="{5C4AE564-B484-4DFC-9AEA-6A136762C44F}" name="Shortname"/>
    <tableColumn id="3" xr3:uid="{B5F66AA5-0BDC-4E59-9302-A3E18C267854}" name="Name"/>
    <tableColumn id="4" xr3:uid="{43074143-FB7B-47EA-A58A-86A6B3CA1A80}" name="Paper"/>
    <tableColumn id="15" xr3:uid="{B524AA36-9D2C-4F08-8ACB-8970F9E72153}" name="Aging Temp C"/>
    <tableColumn id="5" xr3:uid="{9521ABA1-5298-4785-8F4C-DEFC65113DB9}" name="Temperature C"/>
    <tableColumn id="6" xr3:uid="{4BA31C3B-5288-4C9F-A955-8B8EF47A8CEF}" name="g' lattice parameter (nm)"/>
    <tableColumn id="7" xr3:uid="{877D5FEB-6AEE-47F8-9043-30FDC4DB9D60}" name="g lattice parameter"/>
    <tableColumn id="8" xr3:uid="{6F335D6E-ED4E-4A45-A8D0-0641D815F244}" name="misfit" dataDxfId="219">
      <calculatedColumnFormula>2*(F2-G2)/(F2+G2)</calculatedColumnFormula>
    </tableColumn>
    <tableColumn id="9" xr3:uid="{51D87F82-F185-4021-9E21-99BC363AFD18}" name="Notes"/>
    <tableColumn id="16" xr3:uid="{391EEAE5-7DBD-4EA3-8A76-8CE2E2ECDF9D}" name="Index" dataDxfId="218">
      <calculatedColumnFormula>VLOOKUP(Misfit[[#This Row],[Shortname]], Comp[], 6, FALSE)</calculatedColumnFormula>
    </tableColumn>
    <tableColumn id="17" xr3:uid="{035D19B8-2146-44E4-AC73-F240EB1FDB6A}" name="Co" dataDxfId="217">
      <calculatedColumnFormula>VLOOKUP(Misfit[[#This Row],[Shortname]], Comp[], 7, FALSE)</calculatedColumnFormula>
    </tableColumn>
    <tableColumn id="18" xr3:uid="{897C8785-E9D4-4D2B-ABEA-8D3DED4EEE86}" name="Ni" dataDxfId="216">
      <calculatedColumnFormula>VLOOKUP(Misfit[[#This Row],[Shortname]], Comp[], 8, FALSE)</calculatedColumnFormula>
    </tableColumn>
    <tableColumn id="19" xr3:uid="{2941F99F-7585-4062-A7E3-A49C214F6569}" name="Al" dataDxfId="215">
      <calculatedColumnFormula>VLOOKUP(Misfit[[#This Row],[Shortname]], Comp[], 9, FALSE)</calculatedColumnFormula>
    </tableColumn>
    <tableColumn id="20" xr3:uid="{6BCB58A2-3BA7-46CE-9EC4-FB71EE4362CE}" name="Cr" dataDxfId="214">
      <calculatedColumnFormula>VLOOKUP(Misfit[[#This Row],[Shortname]], Comp[], 10, FALSE)</calculatedColumnFormula>
    </tableColumn>
    <tableColumn id="21" xr3:uid="{C27A46CA-EA56-425F-BC2B-871F858D9B2F}" name="W" dataDxfId="213">
      <calculatedColumnFormula>VLOOKUP(Misfit[[#This Row],[Shortname]], Comp[], 11, FALSE)</calculatedColumnFormula>
    </tableColumn>
    <tableColumn id="22" xr3:uid="{4D672B73-98F4-4764-8305-7D601EB5AF07}" name="Ti" dataDxfId="212">
      <calculatedColumnFormula>VLOOKUP(Misfit[[#This Row],[Shortname]], Comp[],12, FALSE)</calculatedColumnFormula>
    </tableColumn>
    <tableColumn id="23" xr3:uid="{CC241117-B5DC-4A4B-91AD-364E096745B2}" name="Ta" dataDxfId="211">
      <calculatedColumnFormula>VLOOKUP(Misfit[[#This Row],[Shortname]], Comp[], 13, FALSE)</calculatedColumnFormula>
    </tableColumn>
    <tableColumn id="24" xr3:uid="{A694C12A-3F96-4074-B322-1618DDF31C13}" name="Nb" dataDxfId="210">
      <calculatedColumnFormula>VLOOKUP(Misfit[[#This Row],[Shortname]], Comp[], 14, FALSE)</calculatedColumnFormula>
    </tableColumn>
    <tableColumn id="25" xr3:uid="{0CF01E15-E913-490D-A1C6-D7A37C12B9A6}" name="V" dataDxfId="209">
      <calculatedColumnFormula>VLOOKUP(Misfit[[#This Row],[Shortname]], Comp[], 15, FALSE)</calculatedColumnFormula>
    </tableColumn>
    <tableColumn id="26" xr3:uid="{B1F8ECA3-C133-492B-AF3B-E36706862179}" name="Mo" dataDxfId="208">
      <calculatedColumnFormula>VLOOKUP(Misfit[[#This Row],[Shortname]], Comp[], 16, FALSE)</calculatedColumnFormula>
    </tableColumn>
    <tableColumn id="27" xr3:uid="{78A1A404-8535-4747-839F-1FF3356E41B8}" name="C" dataDxfId="207">
      <calculatedColumnFormula>VLOOKUP(Misfit[[#This Row],[Shortname]], Comp[], 17, FALSE)</calculatedColumnFormula>
    </tableColumn>
    <tableColumn id="28" xr3:uid="{4F656C7D-A30A-43F3-978E-72647DEE7450}" name="Zr" dataDxfId="206">
      <calculatedColumnFormula>VLOOKUP(Misfit[[#This Row],[Shortname]], Comp[], 18, FALSE)</calculatedColumnFormula>
    </tableColumn>
    <tableColumn id="29" xr3:uid="{C1DE1FEF-FE5E-423F-A1BF-C8076E43B70C}" name="B" dataDxfId="205">
      <calculatedColumnFormula>VLOOKUP(Misfit[[#This Row],[Shortname]], Comp[], 19, FALSE)</calculatedColumnFormula>
    </tableColumn>
    <tableColumn id="30" xr3:uid="{4097FC8A-2114-4C55-BF94-5BE3B88B827C}" name="Ir" dataDxfId="204">
      <calculatedColumnFormula>VLOOKUP(Misfit[[#This Row],[Shortname]], Comp[], 20, FALSE)</calculatedColumnFormula>
    </tableColumn>
    <tableColumn id="31" xr3:uid="{63FB017C-118C-4C6A-BF0C-39AF2591A480}" name="Re" dataDxfId="203">
      <calculatedColumnFormula>VLOOKUP(Misfit[[#This Row],[Shortname]], Comp[], 21, FALSE)</calculatedColumnFormula>
    </tableColumn>
    <tableColumn id="32" xr3:uid="{69097558-C464-471F-93B0-1FAA01901537}" name="Si" dataDxfId="202">
      <calculatedColumnFormula>VLOOKUP(Misfit[[#This Row],[Shortname]], Comp[], 22, FALSE)</calculatedColumnFormula>
    </tableColumn>
    <tableColumn id="33" xr3:uid="{AC98BD9C-3A26-4FA1-A51E-02678B01AD17}" name="Fe" dataDxfId="201">
      <calculatedColumnFormula>VLOOKUP(Misfit[[#This Row],[Shortname]], Comp[], 23, FALSE)</calculatedColumnFormula>
    </tableColumn>
    <tableColumn id="34" xr3:uid="{9C38308A-892F-4B6F-94CC-148DC6690D1C}" name="Y" dataDxfId="200">
      <calculatedColumnFormula>VLOOKUP(Misfit[[#This Row],[Shortname]], Comp[], 24, FALSE)</calculatedColumnFormula>
    </tableColumn>
    <tableColumn id="35" xr3:uid="{8329C473-AC0D-4E96-AB08-37315175D665}" name="Hf" dataDxfId="199">
      <calculatedColumnFormula>VLOOKUP(Misfit[[#This Row],[Shortname]], Comp[], 25, FALSE)</calculatedColumnFormula>
    </tableColumn>
    <tableColumn id="36" xr3:uid="{0D60CEB9-F8F1-4171-A307-D96B6EAE678C}" name="Ge" dataDxfId="198">
      <calculatedColumnFormula>VLOOKUP(Misfit[[#This Row],[Shortname]], Comp[], 26, FALSE)</calculatedColumnFormula>
    </tableColumn>
    <tableColumn id="37" xr3:uid="{189FFE3D-A782-4740-9E73-AC752BA577EA}" name="Mn" dataDxfId="197">
      <calculatedColumnFormula>VLOOKUP(Misfit[[#This Row],[Shortname]], Comp[], 27, FALSE)</calculatedColumnFormula>
    </tableColumn>
    <tableColumn id="38" xr3:uid="{89D1E296-60E5-4BD0-AC02-144D408FCB69}" name="Sc" dataDxfId="196">
      <calculatedColumnFormula>VLOOKUP(Misfit[[#This Row],[Shortname]], Comp[], 28, FALSE)</calculatedColumnFormula>
    </tableColumn>
    <tableColumn id="39" xr3:uid="{4A0A9633-3BBC-4A56-843E-9B90605DED93}" name="Ru" dataDxfId="195">
      <calculatedColumnFormula>VLOOKUP(Misfit[[#This Row],[Shortname]], Comp[], 29, FALSE)</calculatedColumnFormula>
    </tableColumn>
    <tableColumn id="40" xr3:uid="{82F0EE7D-586B-4450-A4E8-5BDE0E27B4C2}" name="Ce" dataDxfId="194">
      <calculatedColumnFormula>VLOOKUP(Misfit[[#This Row],[Shortname]], Comp[], 30, FALSE)</calculatedColumnFormula>
    </tableColumn>
    <tableColumn id="41" xr3:uid="{BEB99A33-CF50-43BB-8B6A-60B32F63FB65}" name="Nd" dataDxfId="193">
      <calculatedColumnFormula>VLOOKUP(Misfit[[#This Row],[Shortname]], Comp[], 31, FALSE)</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9CA210-31DF-4F25-8ED8-589820D6C794}" name="Table5" displayName="Table5" ref="A1:AH693" totalsRowShown="0">
  <autoFilter ref="A1:AH693" xr:uid="{5B9CA210-31DF-4F25-8ED8-589820D6C794}"/>
  <sortState xmlns:xlrd2="http://schemas.microsoft.com/office/spreadsheetml/2017/richdata2" ref="A2:N525">
    <sortCondition ref="E1:E525"/>
  </sortState>
  <tableColumns count="34">
    <tableColumn id="8" xr3:uid="{77516EA6-752C-4CA5-943E-9C10CEA481B3}" name="Shortname" dataDxfId="192"/>
    <tableColumn id="11" xr3:uid="{FBEAA4AC-5717-4D2C-9510-C4DB375E8D57}" name="Order" dataDxfId="191"/>
    <tableColumn id="9" xr3:uid="{92189F17-DDEC-486B-AA9B-EE6C292926D1}" name="Category" dataDxfId="190">
      <calculatedColumnFormula>VLOOKUP(Table5[[#This Row],[Shortname]], [1]!comp[#Data], 2, FALSE)</calculatedColumnFormula>
    </tableColumn>
    <tableColumn id="1" xr3:uid="{C19BD856-0B5D-4DC6-8C02-C7A599336B8A}" name="Name"/>
    <tableColumn id="2" xr3:uid="{33DF0CEE-93D9-4162-8B11-6CB77B62693E}" name="Paper"/>
    <tableColumn id="3" xr3:uid="{7B1D0CBE-3036-45A8-8DAB-964239FEA027}" name="solvus"/>
    <tableColumn id="5" xr3:uid="{DBC95C37-EAF7-4810-B8B1-1196E925CC0E}" name="solidus"/>
    <tableColumn id="6" xr3:uid="{A57B9A0F-9A71-452A-9102-5F1F9C9FC7A4}" name="liquidus"/>
    <tableColumn id="15" xr3:uid="{DFA81CA7-F0F1-437D-85BC-5D7FECEE27DB}" name="Index"/>
    <tableColumn id="16" xr3:uid="{0E4AF902-4841-491D-8EA7-508AD3C49B48}" name="Co" dataDxfId="189">
      <calculatedColumnFormula>VLOOKUP(Table5[[#This Row],[Shortname]], Comp[], 7, FALSE)</calculatedColumnFormula>
    </tableColumn>
    <tableColumn id="4" xr3:uid="{CB5C00F7-B533-4AAF-B6D4-353CD082CDD5}" name="Ni" dataDxfId="188">
      <calculatedColumnFormula>VLOOKUP(Table5[[#This Row],[Shortname]], Comp[], 8, FALSE)</calculatedColumnFormula>
    </tableColumn>
    <tableColumn id="17" xr3:uid="{7A45A6EB-B286-436B-B50D-3EFCFD4FB5F2}" name="Al" dataDxfId="187">
      <calculatedColumnFormula>VLOOKUP(Table5[[#This Row],[Shortname]], Comp[], 9, FALSE)</calculatedColumnFormula>
    </tableColumn>
    <tableColumn id="7" xr3:uid="{17B069E2-24B6-4E52-A9E8-851C43E5C6D3}" name="Cr" dataDxfId="186">
      <calculatedColumnFormula>VLOOKUP(Table5[[#This Row],[Shortname]], Comp[], 10, FALSE)</calculatedColumnFormula>
    </tableColumn>
    <tableColumn id="10" xr3:uid="{BB72E9B3-AB11-4549-A60D-466DE6AA7229}" name="W" dataDxfId="185">
      <calculatedColumnFormula>VLOOKUP(Table5[[#This Row],[Shortname]], Comp[], 11, FALSE)</calculatedColumnFormula>
    </tableColumn>
    <tableColumn id="12" xr3:uid="{F6F86030-A44B-4D9C-ADA0-0ED4E02BC7F1}" name="Ti" dataDxfId="184">
      <calculatedColumnFormula>VLOOKUP(Table5[[#This Row],[Shortname]], Comp[],12, FALSE)</calculatedColumnFormula>
    </tableColumn>
    <tableColumn id="13" xr3:uid="{3BE5CC5F-7571-464D-8B51-962070EFF821}" name="Ta" dataDxfId="183">
      <calculatedColumnFormula>VLOOKUP(Table5[[#This Row],[Shortname]], Comp[], 13, FALSE)</calculatedColumnFormula>
    </tableColumn>
    <tableColumn id="14" xr3:uid="{580F2F6C-7CBA-4C38-830E-7F5A41D98D89}" name="Nb" dataDxfId="182">
      <calculatedColumnFormula>VLOOKUP(Table5[[#This Row],[Shortname]], Comp[], 14, FALSE)</calculatedColumnFormula>
    </tableColumn>
    <tableColumn id="18" xr3:uid="{71F047FD-C699-4AB4-B0A5-5A5847484F96}" name="V" dataDxfId="181">
      <calculatedColumnFormula>VLOOKUP(Table5[[#This Row],[Shortname]], Comp[], 15, FALSE)</calculatedColumnFormula>
    </tableColumn>
    <tableColumn id="19" xr3:uid="{55A98E34-219B-4DE9-9448-7ADE88EDBDA6}" name="Mo" dataDxfId="180">
      <calculatedColumnFormula>VLOOKUP(Table5[[#This Row],[Shortname]], Comp[], 16, FALSE)</calculatedColumnFormula>
    </tableColumn>
    <tableColumn id="20" xr3:uid="{00A4905B-8B33-4A05-A73E-458B238436EC}" name="C" dataDxfId="179">
      <calculatedColumnFormula>VLOOKUP(Table5[[#This Row],[Shortname]], Comp[], 17, FALSE)</calculatedColumnFormula>
    </tableColumn>
    <tableColumn id="21" xr3:uid="{CD6B40E8-F2F5-4287-9DFD-AFD30D7C4CB6}" name="Zr" dataDxfId="178">
      <calculatedColumnFormula>VLOOKUP(Table5[[#This Row],[Shortname]], Comp[], 18, FALSE)</calculatedColumnFormula>
    </tableColumn>
    <tableColumn id="22" xr3:uid="{F439F2A0-11E8-45A6-BF8F-3AD3F1E3F36A}" name="B" dataDxfId="177">
      <calculatedColumnFormula>VLOOKUP(Table5[[#This Row],[Shortname]], Comp[], 19, FALSE)</calculatedColumnFormula>
    </tableColumn>
    <tableColumn id="23" xr3:uid="{EC06ADEE-6D5C-487E-9F55-BCF475FDF5BF}" name="Ir" dataDxfId="176">
      <calculatedColumnFormula>VLOOKUP(Table5[[#This Row],[Shortname]], Comp[], 20, FALSE)</calculatedColumnFormula>
    </tableColumn>
    <tableColumn id="24" xr3:uid="{62995444-81CC-4969-B581-C15776311543}" name="Re" dataDxfId="175">
      <calculatedColumnFormula>VLOOKUP(Table5[[#This Row],[Shortname]], Comp[], 21, FALSE)</calculatedColumnFormula>
    </tableColumn>
    <tableColumn id="25" xr3:uid="{4BCA7703-A3DF-4F0C-9923-799DF74F9D06}" name="Si" dataDxfId="174">
      <calculatedColumnFormula>VLOOKUP(Table5[[#This Row],[Shortname]], Comp[], 22, FALSE)</calculatedColumnFormula>
    </tableColumn>
    <tableColumn id="26" xr3:uid="{23574B3D-48A4-47CE-8CAB-7D55C78A9EBF}" name="Fe" dataDxfId="173">
      <calculatedColumnFormula>VLOOKUP(Table5[[#This Row],[Shortname]], Comp[], 23, FALSE)</calculatedColumnFormula>
    </tableColumn>
    <tableColumn id="27" xr3:uid="{0F824B1F-353C-42AE-9B6B-71ABE56F13E7}" name="Y" dataDxfId="172">
      <calculatedColumnFormula>VLOOKUP(Table5[[#This Row],[Shortname]], Comp[], 24, FALSE)</calculatedColumnFormula>
    </tableColumn>
    <tableColumn id="28" xr3:uid="{C3FAD736-A09D-4651-80B2-3BFD58049395}" name="Hf" dataDxfId="171">
      <calculatedColumnFormula>VLOOKUP(Table5[[#This Row],[Shortname]], Comp[], 25, FALSE)</calculatedColumnFormula>
    </tableColumn>
    <tableColumn id="29" xr3:uid="{95BFB1BB-9BA1-4261-80F7-41D5865DD518}" name="Ge" dataDxfId="170">
      <calculatedColumnFormula>VLOOKUP(Table5[[#This Row],[Shortname]], Comp[], 26, FALSE)</calculatedColumnFormula>
    </tableColumn>
    <tableColumn id="30" xr3:uid="{8984C0E1-A2E8-47C3-B056-03090860A50B}" name="Mn" dataDxfId="169">
      <calculatedColumnFormula>VLOOKUP(Table5[[#This Row],[Shortname]], Comp[], 27, FALSE)</calculatedColumnFormula>
    </tableColumn>
    <tableColumn id="31" xr3:uid="{DE866639-7D07-4407-978B-A49BC1A0E55C}" name="Sc" dataDxfId="168">
      <calculatedColumnFormula>VLOOKUP(Table5[[#This Row],[Shortname]], Comp[], 28, FALSE)</calculatedColumnFormula>
    </tableColumn>
    <tableColumn id="32" xr3:uid="{B365A2D5-7087-4F74-AE4F-3911C7B64385}" name="Ru" dataDxfId="167">
      <calculatedColumnFormula>VLOOKUP(Table5[[#This Row],[Shortname]], Comp[], 29, FALSE)</calculatedColumnFormula>
    </tableColumn>
    <tableColumn id="33" xr3:uid="{6EEAE86F-3949-495A-B3EE-DCBD10433F06}" name="Ce" dataDxfId="166">
      <calculatedColumnFormula>VLOOKUP(Table5[[#This Row],[Shortname]], Comp[], 30, FALSE)</calculatedColumnFormula>
    </tableColumn>
    <tableColumn id="34" xr3:uid="{38F3EFCF-3BA4-4A09-B497-580CE3AF8D48}" name="Nd" dataDxfId="165">
      <calculatedColumnFormula>VLOOKUP(Table5[[#This Row],[Shortname]], Comp[], 31, FALSE)</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C48A15-E659-4486-904D-DAAEC0607CDE}" name="Table55" displayName="Table55" ref="A1:AF395" totalsRowShown="0">
  <autoFilter ref="A1:AF395" xr:uid="{CFC48A15-E659-4486-904D-DAAEC0607CDE}"/>
  <sortState xmlns:xlrd2="http://schemas.microsoft.com/office/spreadsheetml/2017/richdata2" ref="A2:L300">
    <sortCondition ref="C1:C300"/>
  </sortState>
  <tableColumns count="32">
    <tableColumn id="8" xr3:uid="{58212EA2-0EBD-4A7B-B2E5-4C0B7329163B}" name="Shortname" dataDxfId="164"/>
    <tableColumn id="1" xr3:uid="{FDFE8C05-9717-4C91-9906-A3D5ABC23A50}" name="Name"/>
    <tableColumn id="2" xr3:uid="{304619D6-0613-4753-BD17-6F3404868942}" name="Paper"/>
    <tableColumn id="3" xr3:uid="{89BA31B8-90E5-4A06-8F4D-CC735F2EA006}" name="solvus"/>
    <tableColumn id="5" xr3:uid="{A539E603-34EA-4E66-A0F1-FE58E17657A4}" name="solidus"/>
    <tableColumn id="6" xr3:uid="{6DCD84C6-4096-490F-A617-F9059D5133F5}" name="liquidus"/>
    <tableColumn id="15" xr3:uid="{3CBAC544-B482-46D4-9192-D245875E5C73}" name="Index"/>
    <tableColumn id="16" xr3:uid="{4458730A-0AF8-49F6-AC1B-C668CD6B85EA}" name="Co" dataDxfId="163">
      <calculatedColumnFormula>VLOOKUP(Table55[[#This Row],[Shortname]], Comp[], 7, FALSE)</calculatedColumnFormula>
    </tableColumn>
    <tableColumn id="4" xr3:uid="{43D625B4-09F4-4494-8FA8-01CBC430F464}" name="Ni" dataDxfId="162">
      <calculatedColumnFormula>VLOOKUP(Table55[[#This Row],[Shortname]], Comp[], 8, FALSE)</calculatedColumnFormula>
    </tableColumn>
    <tableColumn id="17" xr3:uid="{9F497CD6-E181-4C18-A0C5-0396102099AF}" name="Al" dataDxfId="161">
      <calculatedColumnFormula>VLOOKUP(Table55[[#This Row],[Shortname]], Comp[], 9, FALSE)</calculatedColumnFormula>
    </tableColumn>
    <tableColumn id="7" xr3:uid="{147A7A68-3D8D-45C4-9FB5-F98A6A57DCC3}" name="Cr" dataDxfId="160">
      <calculatedColumnFormula>VLOOKUP(Table55[[#This Row],[Shortname]], Comp[], 10, FALSE)</calculatedColumnFormula>
    </tableColumn>
    <tableColumn id="10" xr3:uid="{0DAD3D61-D92A-466B-B5B8-1FDF96694840}" name="W" dataDxfId="159">
      <calculatedColumnFormula>VLOOKUP(Table55[[#This Row],[Shortname]], Comp[], 11, FALSE)</calculatedColumnFormula>
    </tableColumn>
    <tableColumn id="12" xr3:uid="{17268840-0249-46F2-8A61-01A44B3169E9}" name="Ti" dataDxfId="158">
      <calculatedColumnFormula>VLOOKUP(Table55[[#This Row],[Shortname]], Comp[],12, FALSE)</calculatedColumnFormula>
    </tableColumn>
    <tableColumn id="13" xr3:uid="{FECC2F6B-9B1D-4323-B4A8-4C6E33629172}" name="Ta" dataDxfId="157">
      <calculatedColumnFormula>VLOOKUP(Table55[[#This Row],[Shortname]], Comp[], 13, FALSE)</calculatedColumnFormula>
    </tableColumn>
    <tableColumn id="14" xr3:uid="{633BD594-2AE0-423B-BE60-6994575C50D2}" name="Nb" dataDxfId="156">
      <calculatedColumnFormula>VLOOKUP(Table55[[#This Row],[Shortname]], Comp[], 14, FALSE)</calculatedColumnFormula>
    </tableColumn>
    <tableColumn id="18" xr3:uid="{163D7BB9-D451-45D3-8AD6-0372C9978B9C}" name="V" dataDxfId="155">
      <calculatedColumnFormula>VLOOKUP(Table55[[#This Row],[Shortname]], Comp[], 15, FALSE)</calculatedColumnFormula>
    </tableColumn>
    <tableColumn id="19" xr3:uid="{9E7706C7-A7A8-4083-B69D-0404F7C090B8}" name="Mo" dataDxfId="154">
      <calculatedColumnFormula>VLOOKUP(Table55[[#This Row],[Shortname]], Comp[], 16, FALSE)</calculatedColumnFormula>
    </tableColumn>
    <tableColumn id="20" xr3:uid="{65F9AE25-9347-4ECC-BE58-CCFE9481B63C}" name="C" dataDxfId="153">
      <calculatedColumnFormula>VLOOKUP(Table55[[#This Row],[Shortname]], Comp[], 17, FALSE)</calculatedColumnFormula>
    </tableColumn>
    <tableColumn id="21" xr3:uid="{F88B40AA-48C7-4D59-BD14-D220167ED4B0}" name="Zr" dataDxfId="152">
      <calculatedColumnFormula>VLOOKUP(Table55[[#This Row],[Shortname]], Comp[], 18, FALSE)</calculatedColumnFormula>
    </tableColumn>
    <tableColumn id="22" xr3:uid="{2C3CC159-936E-4C27-B96E-B1A6A5BD37F4}" name="B" dataDxfId="151">
      <calculatedColumnFormula>VLOOKUP(Table55[[#This Row],[Shortname]], Comp[], 19, FALSE)</calculatedColumnFormula>
    </tableColumn>
    <tableColumn id="23" xr3:uid="{B60E35CF-D502-4042-B467-4BCCB883C4EF}" name="Ir" dataDxfId="150">
      <calculatedColumnFormula>VLOOKUP(Table55[[#This Row],[Shortname]], Comp[], 20, FALSE)</calculatedColumnFormula>
    </tableColumn>
    <tableColumn id="24" xr3:uid="{8D98774B-0976-42BA-AD4B-BDF17EB7ADB1}" name="Re" dataDxfId="149">
      <calculatedColumnFormula>VLOOKUP(Table55[[#This Row],[Shortname]], Comp[], 21, FALSE)</calculatedColumnFormula>
    </tableColumn>
    <tableColumn id="25" xr3:uid="{BEED69F9-E28A-4E92-AEB5-167BCA87991E}" name="Si" dataDxfId="148">
      <calculatedColumnFormula>VLOOKUP(Table55[[#This Row],[Shortname]], Comp[], 22, FALSE)</calculatedColumnFormula>
    </tableColumn>
    <tableColumn id="26" xr3:uid="{627A5496-99F8-4C6B-B584-E21C8CC1591E}" name="Fe" dataDxfId="147">
      <calculatedColumnFormula>VLOOKUP(Table55[[#This Row],[Shortname]], Comp[], 23, FALSE)</calculatedColumnFormula>
    </tableColumn>
    <tableColumn id="27" xr3:uid="{364DBB78-292C-4199-A875-B1C21AB880E6}" name="Y" dataDxfId="146">
      <calculatedColumnFormula>VLOOKUP(Table55[[#This Row],[Shortname]], Comp[], 24, FALSE)</calculatedColumnFormula>
    </tableColumn>
    <tableColumn id="28" xr3:uid="{FEA0B032-A23F-41BF-8E5E-7ABBA2896CCF}" name="Hf" dataDxfId="145">
      <calculatedColumnFormula>VLOOKUP(Table55[[#This Row],[Shortname]], Comp[], 25, FALSE)</calculatedColumnFormula>
    </tableColumn>
    <tableColumn id="29" xr3:uid="{62E8D3DD-3B13-424D-9D9B-D0BC46C5E10D}" name="Ge" dataDxfId="144">
      <calculatedColumnFormula>VLOOKUP(Table55[[#This Row],[Shortname]], Comp[], 26, FALSE)</calculatedColumnFormula>
    </tableColumn>
    <tableColumn id="30" xr3:uid="{FE4E9551-8309-40B1-8363-11DC4746782A}" name="Mn" dataDxfId="143">
      <calculatedColumnFormula>VLOOKUP(Table55[[#This Row],[Shortname]], Comp[], 27, FALSE)</calculatedColumnFormula>
    </tableColumn>
    <tableColumn id="31" xr3:uid="{2109D16F-C68C-4FC1-9293-55E548A263FD}" name="Sc" dataDxfId="142">
      <calculatedColumnFormula>VLOOKUP(Table55[[#This Row],[Shortname]], Comp[], 28, FALSE)</calculatedColumnFormula>
    </tableColumn>
    <tableColumn id="32" xr3:uid="{78615BB5-C398-4947-A991-7F11C0063AA8}" name="Ru" dataDxfId="141">
      <calculatedColumnFormula>VLOOKUP(Table55[[#This Row],[Shortname]], Comp[], 29, FALSE)</calculatedColumnFormula>
    </tableColumn>
    <tableColumn id="33" xr3:uid="{D9F20D1F-ECDE-4FF4-AF56-478680773373}" name="Ce" dataDxfId="140">
      <calculatedColumnFormula>VLOOKUP(Table55[[#This Row],[Shortname]], Comp[], 30, FALSE)</calculatedColumnFormula>
    </tableColumn>
    <tableColumn id="34" xr3:uid="{2787D613-34B9-4EBB-B4C5-122926A62A4C}" name="Nd" dataDxfId="139">
      <calculatedColumnFormula>VLOOKUP(Table55[[#This Row],[Shortname]], Comp[], 31, FALSE)</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CDAE550-47CD-4698-8100-9E2F3EEC5DD5}" name="Table56" displayName="Table56" ref="A1:AF373" totalsRowShown="0">
  <autoFilter ref="A1:AF373" xr:uid="{9CDAE550-47CD-4698-8100-9E2F3EEC5DD5}"/>
  <sortState xmlns:xlrd2="http://schemas.microsoft.com/office/spreadsheetml/2017/richdata2" ref="A2:L287">
    <sortCondition ref="C1:C287"/>
  </sortState>
  <tableColumns count="32">
    <tableColumn id="8" xr3:uid="{4CBBE5BA-9EAE-47CA-AA98-E265D8263D3E}" name="Shortname" dataDxfId="138"/>
    <tableColumn id="1" xr3:uid="{5CE12B7D-544D-488B-944C-AB7551AA638E}" name="Name"/>
    <tableColumn id="2" xr3:uid="{651A56C2-B185-41CF-A08F-A45C7E9C25E0}" name="Paper"/>
    <tableColumn id="3" xr3:uid="{8BEFBE09-D6FF-4493-8BF4-EE1A566A477F}" name="solvus"/>
    <tableColumn id="5" xr3:uid="{1B72F5B0-DF58-48D6-A61F-4A1242A9443D}" name="solidus"/>
    <tableColumn id="6" xr3:uid="{9734F9A4-2AC9-4FB0-9BB1-CE4E7F858036}" name="liquidus"/>
    <tableColumn id="15" xr3:uid="{1972B66F-DAB3-4292-974E-E8E5B89E81C4}" name="Index"/>
    <tableColumn id="16" xr3:uid="{862EA16D-B72A-4C07-9296-46EF2BAA11DD}" name="Co" dataDxfId="137">
      <calculatedColumnFormula>VLOOKUP(Table56[[#This Row],[Shortname]], Comp[], 7, FALSE)</calculatedColumnFormula>
    </tableColumn>
    <tableColumn id="4" xr3:uid="{6E31E860-C51C-4E6A-8736-868F0AF48CA1}" name="Ni" dataDxfId="136">
      <calculatedColumnFormula>VLOOKUP(Table56[[#This Row],[Shortname]], Comp[], 8, FALSE)</calculatedColumnFormula>
    </tableColumn>
    <tableColumn id="17" xr3:uid="{7940D345-D9E8-48D0-8819-FC22109A087E}" name="Al" dataDxfId="135">
      <calculatedColumnFormula>VLOOKUP(Table56[[#This Row],[Shortname]], Comp[], 9, FALSE)</calculatedColumnFormula>
    </tableColumn>
    <tableColumn id="7" xr3:uid="{08128CFC-BE73-4AD8-9BDC-E2F51B22582C}" name="Cr" dataDxfId="134">
      <calculatedColumnFormula>VLOOKUP(Table56[[#This Row],[Shortname]], Comp[], 10, FALSE)</calculatedColumnFormula>
    </tableColumn>
    <tableColumn id="10" xr3:uid="{FC71BEB8-8054-4C9F-B40C-D0B362876C61}" name="W" dataDxfId="133">
      <calculatedColumnFormula>VLOOKUP(Table56[[#This Row],[Shortname]], Comp[], 11, FALSE)</calculatedColumnFormula>
    </tableColumn>
    <tableColumn id="12" xr3:uid="{2D7C8B09-BB63-4AF9-8E9B-A41A29987D4E}" name="Ti" dataDxfId="132">
      <calculatedColumnFormula>VLOOKUP(Table56[[#This Row],[Shortname]], Comp[],12, FALSE)</calculatedColumnFormula>
    </tableColumn>
    <tableColumn id="13" xr3:uid="{05994BAE-915A-41E4-B32E-FFD9A1E71C40}" name="Ta" dataDxfId="131">
      <calculatedColumnFormula>VLOOKUP(Table56[[#This Row],[Shortname]], Comp[], 13, FALSE)</calculatedColumnFormula>
    </tableColumn>
    <tableColumn id="14" xr3:uid="{EB6B9B1D-998A-45BD-8A09-72A972358E34}" name="Nb" dataDxfId="130">
      <calculatedColumnFormula>VLOOKUP(Table56[[#This Row],[Shortname]], Comp[], 14, FALSE)</calculatedColumnFormula>
    </tableColumn>
    <tableColumn id="18" xr3:uid="{951FECA5-E4FC-4CA2-B6B5-1EBE4CE0ED00}" name="V" dataDxfId="129">
      <calculatedColumnFormula>VLOOKUP(Table56[[#This Row],[Shortname]], Comp[], 15, FALSE)</calculatedColumnFormula>
    </tableColumn>
    <tableColumn id="19" xr3:uid="{02968061-4E86-4DE0-BD08-5FDD2D2F5F08}" name="Mo" dataDxfId="128">
      <calculatedColumnFormula>VLOOKUP(Table56[[#This Row],[Shortname]], Comp[], 16, FALSE)</calculatedColumnFormula>
    </tableColumn>
    <tableColumn id="20" xr3:uid="{5FAEF9F5-4D98-42BB-A7C9-9F6FBBFA3B56}" name="C" dataDxfId="127">
      <calculatedColumnFormula>VLOOKUP(Table56[[#This Row],[Shortname]], Comp[], 17, FALSE)</calculatedColumnFormula>
    </tableColumn>
    <tableColumn id="21" xr3:uid="{6EDADA42-9AE0-4409-9A64-AEF0A4D9F3AF}" name="Zr" dataDxfId="126">
      <calculatedColumnFormula>VLOOKUP(Table56[[#This Row],[Shortname]], Comp[], 18, FALSE)</calculatedColumnFormula>
    </tableColumn>
    <tableColumn id="22" xr3:uid="{28E8F909-7F5A-42C4-97DC-9884324D0D16}" name="B" dataDxfId="125">
      <calculatedColumnFormula>VLOOKUP(Table56[[#This Row],[Shortname]], Comp[], 19, FALSE)</calculatedColumnFormula>
    </tableColumn>
    <tableColumn id="23" xr3:uid="{99A08461-9926-459F-B021-8B2588AE1398}" name="Ir" dataDxfId="124">
      <calculatedColumnFormula>VLOOKUP(Table56[[#This Row],[Shortname]], Comp[], 20, FALSE)</calculatedColumnFormula>
    </tableColumn>
    <tableColumn id="24" xr3:uid="{0657B8FB-6B0A-4803-BC74-0F1F7FF99091}" name="Re" dataDxfId="123">
      <calculatedColumnFormula>VLOOKUP(Table56[[#This Row],[Shortname]], Comp[], 21, FALSE)</calculatedColumnFormula>
    </tableColumn>
    <tableColumn id="25" xr3:uid="{FA82D367-9D27-4073-A242-3721A37BF032}" name="Si" dataDxfId="122">
      <calculatedColumnFormula>VLOOKUP(Table56[[#This Row],[Shortname]], Comp[], 22, FALSE)</calculatedColumnFormula>
    </tableColumn>
    <tableColumn id="26" xr3:uid="{E51E351D-91AD-4980-AE4D-C471A18C67BC}" name="Fe" dataDxfId="121">
      <calculatedColumnFormula>VLOOKUP(Table56[[#This Row],[Shortname]], Comp[], 23, FALSE)</calculatedColumnFormula>
    </tableColumn>
    <tableColumn id="27" xr3:uid="{16CBCF68-BEEF-424F-AC20-94003F16E141}" name="Y" dataDxfId="120">
      <calculatedColumnFormula>VLOOKUP(Table56[[#This Row],[Shortname]], Comp[], 24, FALSE)</calculatedColumnFormula>
    </tableColumn>
    <tableColumn id="28" xr3:uid="{C0F94F15-585D-4A1D-B31B-31E14CE7D309}" name="Hf" dataDxfId="119">
      <calculatedColumnFormula>VLOOKUP(Table56[[#This Row],[Shortname]], Comp[], 25, FALSE)</calculatedColumnFormula>
    </tableColumn>
    <tableColumn id="29" xr3:uid="{1A834AC0-87C9-4953-8B43-067A318839D6}" name="Ge" dataDxfId="118">
      <calculatedColumnFormula>VLOOKUP(Table56[[#This Row],[Shortname]], Comp[], 26, FALSE)</calculatedColumnFormula>
    </tableColumn>
    <tableColumn id="30" xr3:uid="{A1FA8AB4-91FF-454E-A318-53FA5AF94B92}" name="Mn" dataDxfId="117">
      <calculatedColumnFormula>VLOOKUP(Table56[[#This Row],[Shortname]], Comp[], 27, FALSE)</calculatedColumnFormula>
    </tableColumn>
    <tableColumn id="31" xr3:uid="{8EB7126F-6089-4615-A60A-E5F13E29C965}" name="Sc" dataDxfId="116">
      <calculatedColumnFormula>VLOOKUP(Table56[[#This Row],[Shortname]], Comp[], 28, FALSE)</calculatedColumnFormula>
    </tableColumn>
    <tableColumn id="32" xr3:uid="{FE3F917A-F01E-407A-B026-6E1B8F8D99B2}" name="Ru" dataDxfId="115">
      <calculatedColumnFormula>VLOOKUP(Table56[[#This Row],[Shortname]], Comp[], 29, FALSE)</calculatedColumnFormula>
    </tableColumn>
    <tableColumn id="33" xr3:uid="{E062BE98-CB31-4768-AF0B-B3D28E662981}" name="Ce" dataDxfId="114">
      <calculatedColumnFormula>VLOOKUP(Table56[[#This Row],[Shortname]], Comp[], 30, FALSE)</calculatedColumnFormula>
    </tableColumn>
    <tableColumn id="34" xr3:uid="{AD7C4994-F349-4BE4-A685-9B65F6D6DEE9}" name="Nd" dataDxfId="113">
      <calculatedColumnFormula>VLOOKUP(Table56[[#This Row],[Shortname]], Comp[], 31, FALSE)</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9202A40-E9B5-4731-AC42-5DE2FD91154C}" name="Table4" displayName="Table4" ref="A1:AF307" totalsRowShown="0">
  <autoFilter ref="A1:AF307" xr:uid="{B9202A40-E9B5-4731-AC42-5DE2FD91154C}"/>
  <sortState xmlns:xlrd2="http://schemas.microsoft.com/office/spreadsheetml/2017/richdata2" ref="A2:F240">
    <sortCondition ref="C1:C240"/>
  </sortState>
  <tableColumns count="32">
    <tableColumn id="18" xr3:uid="{A8A2DC21-272F-4A27-A6B2-2C214214E455}" name="Shortname" dataDxfId="112"/>
    <tableColumn id="1" xr3:uid="{B1F2E654-B7BB-4FCC-970B-A4545323B593}" name="Name" dataDxfId="111"/>
    <tableColumn id="2" xr3:uid="{B9146C71-FBEE-4FEF-B676-059EF1AD4938}" name="Paper" dataDxfId="110"/>
    <tableColumn id="3" xr3:uid="{C6B184C2-E131-4CEC-9176-12F4E9C2BBCF}" name="Test Temperature C"/>
    <tableColumn id="21" xr3:uid="{09D601AA-7874-4BBE-9AB6-153D8492E1E1}" name="Aging Temperature C"/>
    <tableColumn id="20" xr3:uid="{C7346CEA-BD2F-4077-8253-6FE0D9AFBBF6}" name="Hardness convert HV" dataDxfId="109"/>
    <tableColumn id="4" xr3:uid="{AE4D93E3-6D42-4583-9D54-4021624175F0}" name="Index" dataDxfId="108">
      <calculatedColumnFormula>VLOOKUP(Table4[[#This Row],[Shortname]], Comp[], 6, FALSE)</calculatedColumnFormula>
    </tableColumn>
    <tableColumn id="5" xr3:uid="{7D0D5A83-956B-48A4-9AA3-029C6DA698AC}" name="Co" dataDxfId="107">
      <calculatedColumnFormula>VLOOKUP(Table4[[#This Row],[Shortname]], Comp[], 7, FALSE)</calculatedColumnFormula>
    </tableColumn>
    <tableColumn id="6" xr3:uid="{B0102A12-0FFB-4C09-9284-3F99DCE5C70E}" name="Ni" dataDxfId="106">
      <calculatedColumnFormula>VLOOKUP(Table4[[#This Row],[Shortname]], Comp[], 8, FALSE)</calculatedColumnFormula>
    </tableColumn>
    <tableColumn id="7" xr3:uid="{538F8D04-F79C-4C2E-911A-CDD9158C62DE}" name="Al" dataDxfId="105">
      <calculatedColumnFormula>VLOOKUP(Table4[[#This Row],[Shortname]], Comp[], 9, FALSE)</calculatedColumnFormula>
    </tableColumn>
    <tableColumn id="8" xr3:uid="{B57277BD-0A88-47DA-9F8B-4627DE1517BE}" name="Cr" dataDxfId="104">
      <calculatedColumnFormula>VLOOKUP(Table4[[#This Row],[Shortname]], Comp[], 10, FALSE)</calculatedColumnFormula>
    </tableColumn>
    <tableColumn id="9" xr3:uid="{1D2748B2-B689-489F-BEFA-31BBDBFDE6FC}" name="W" dataDxfId="103">
      <calculatedColumnFormula>VLOOKUP(Table4[[#This Row],[Shortname]], Comp[], 11, FALSE)</calculatedColumnFormula>
    </tableColumn>
    <tableColumn id="10" xr3:uid="{6C91ACAB-470D-4CF4-842D-7C5B788C9DA5}" name="Ti" dataDxfId="102">
      <calculatedColumnFormula>VLOOKUP(Table4[[#This Row],[Shortname]], Comp[],12, FALSE)</calculatedColumnFormula>
    </tableColumn>
    <tableColumn id="11" xr3:uid="{842DB720-6FEE-4BBE-8178-A9D4DD75D390}" name="Ta" dataDxfId="101">
      <calculatedColumnFormula>VLOOKUP(Table4[[#This Row],[Shortname]], Comp[], 13, FALSE)</calculatedColumnFormula>
    </tableColumn>
    <tableColumn id="12" xr3:uid="{862F4F2C-28A2-44CD-B141-8D5DA1A23ECF}" name="Nb" dataDxfId="100">
      <calculatedColumnFormula>VLOOKUP(Table4[[#This Row],[Shortname]], Comp[], 14, FALSE)</calculatedColumnFormula>
    </tableColumn>
    <tableColumn id="13" xr3:uid="{13657591-7FD1-4118-97F0-30AF45E7406C}" name="V" dataDxfId="99">
      <calculatedColumnFormula>VLOOKUP(Table4[[#This Row],[Shortname]], Comp[], 15, FALSE)</calculatedColumnFormula>
    </tableColumn>
    <tableColumn id="14" xr3:uid="{6B2DEF6F-6642-417C-9104-4901C89FD149}" name="Mo" dataDxfId="98">
      <calculatedColumnFormula>VLOOKUP(Table4[[#This Row],[Shortname]], Comp[], 16, FALSE)</calculatedColumnFormula>
    </tableColumn>
    <tableColumn id="15" xr3:uid="{98F513D3-F97E-41D5-A714-1837D5898BE6}" name="C" dataDxfId="97">
      <calculatedColumnFormula>VLOOKUP(Table4[[#This Row],[Shortname]], Comp[], 17, FALSE)</calculatedColumnFormula>
    </tableColumn>
    <tableColumn id="16" xr3:uid="{B6146CBA-B26A-4D1C-91D2-0BEA38A4BA07}" name="Zr" dataDxfId="96">
      <calculatedColumnFormula>VLOOKUP(Table4[[#This Row],[Shortname]], Comp[], 18, FALSE)</calculatedColumnFormula>
    </tableColumn>
    <tableColumn id="17" xr3:uid="{4CC46508-43D4-497F-8417-A7AC2DE1F4B9}" name="B" dataDxfId="95">
      <calculatedColumnFormula>VLOOKUP(Table4[[#This Row],[Shortname]], Comp[], 19, FALSE)</calculatedColumnFormula>
    </tableColumn>
    <tableColumn id="19" xr3:uid="{1FDFE377-FA1E-491A-93FE-2E5100EB6401}" name="Ir" dataDxfId="94">
      <calculatedColumnFormula>VLOOKUP(Table4[[#This Row],[Shortname]], Comp[], 20, FALSE)</calculatedColumnFormula>
    </tableColumn>
    <tableColumn id="22" xr3:uid="{95BF8B0F-006C-416F-9C23-7006DCB746EE}" name="Re" dataDxfId="93">
      <calculatedColumnFormula>VLOOKUP(Table4[[#This Row],[Shortname]], Comp[], 21, FALSE)</calculatedColumnFormula>
    </tableColumn>
    <tableColumn id="23" xr3:uid="{3BFC2832-5FE6-4B54-8E8F-7AC37E481221}" name="Si" dataDxfId="92">
      <calculatedColumnFormula>VLOOKUP(Table4[[#This Row],[Shortname]], Comp[], 22, FALSE)</calculatedColumnFormula>
    </tableColumn>
    <tableColumn id="24" xr3:uid="{18A5D90C-F36B-4D5F-98F6-885E2BC36F03}" name="Fe" dataDxfId="91">
      <calculatedColumnFormula>VLOOKUP(Table4[[#This Row],[Shortname]], Comp[], 23, FALSE)</calculatedColumnFormula>
    </tableColumn>
    <tableColumn id="25" xr3:uid="{823DD89A-DAD1-4470-9F7D-621181E513A6}" name="Y" dataDxfId="90">
      <calculatedColumnFormula>VLOOKUP(Table4[[#This Row],[Shortname]], Comp[], 24, FALSE)</calculatedColumnFormula>
    </tableColumn>
    <tableColumn id="26" xr3:uid="{67E53840-63B0-4FC4-AD39-9E9EBD786707}" name="Hf" dataDxfId="89">
      <calculatedColumnFormula>VLOOKUP(Table4[[#This Row],[Shortname]], Comp[], 25, FALSE)</calculatedColumnFormula>
    </tableColumn>
    <tableColumn id="27" xr3:uid="{A4B1A3D0-CB9F-43D6-BBBB-6B361C029DF3}" name="Ge" dataDxfId="88">
      <calculatedColumnFormula>VLOOKUP(Table4[[#This Row],[Shortname]], Comp[], 26, FALSE)</calculatedColumnFormula>
    </tableColumn>
    <tableColumn id="28" xr3:uid="{117EFB5E-62B5-4CF4-9406-DD60123B5682}" name="Mn" dataDxfId="87">
      <calculatedColumnFormula>VLOOKUP(Table4[[#This Row],[Shortname]], Comp[], 27, FALSE)</calculatedColumnFormula>
    </tableColumn>
    <tableColumn id="29" xr3:uid="{1C1B0456-5B14-4965-B0A1-F9FCE327B67F}" name="Sc" dataDxfId="86">
      <calculatedColumnFormula>VLOOKUP(Table4[[#This Row],[Shortname]], Comp[], 28, FALSE)</calculatedColumnFormula>
    </tableColumn>
    <tableColumn id="30" xr3:uid="{81E333FA-719E-47CB-9071-36C3D28E4AAB}" name="Ru" dataDxfId="85">
      <calculatedColumnFormula>VLOOKUP(Table4[[#This Row],[Shortname]], Comp[], 29, FALSE)</calculatedColumnFormula>
    </tableColumn>
    <tableColumn id="31" xr3:uid="{9496AF68-D3E5-4143-84C5-7F7F78BB18CE}" name="Ce" dataDxfId="84">
      <calculatedColumnFormula>VLOOKUP(Table4[[#This Row],[Shortname]], Comp[], 30, FALSE)</calculatedColumnFormula>
    </tableColumn>
    <tableColumn id="32" xr3:uid="{DA76328E-4799-4D00-B9F0-152CE2644578}" name="Nd" dataDxfId="83">
      <calculatedColumnFormula>VLOOKUP(Table4[[#This Row],[Shortname]], Comp[], 31, FALSE)</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9960BC-223F-4D13-84E6-D31ED4D1277C}" name="Table9" displayName="Table9" ref="A1:AH1389" totalsRowShown="0">
  <autoFilter ref="A1:AH1389" xr:uid="{E09960BC-223F-4D13-84E6-D31ED4D1277C}"/>
  <tableColumns count="34">
    <tableColumn id="1" xr3:uid="{D4DB475F-42F3-4506-BCCB-B51DF8DB2F26}" name="Shortname"/>
    <tableColumn id="4" xr3:uid="{D42776FC-2AFD-4E2A-B976-377EE21EDC30}" name="Name"/>
    <tableColumn id="5" xr3:uid="{8ABD08B8-BB01-436A-B252-5753FFFAA026}" name="Paper"/>
    <tableColumn id="6" xr3:uid="{642694AE-59F3-4988-BB0F-F0E3A10BB269}" name="Yield Stress"/>
    <tableColumn id="7" xr3:uid="{C9F523E0-8A50-4C50-ACA5-436E043E5BD2}" name="Temperature C"/>
    <tableColumn id="8" xr3:uid="{D1912C0F-5946-4253-87B0-0A0DC605D44C}" name="Strain rate /s"/>
    <tableColumn id="9" xr3:uid="{012349C9-199E-4E1D-AB19-916EB0094F1E}" name="Compression/Tension"/>
    <tableColumn id="10" xr3:uid="{99C7964A-59C9-4902-B208-77F67B0B329E}" name="Notes"/>
    <tableColumn id="15" xr3:uid="{7C96F275-3D77-41CE-92A0-67920140AAA7}" name="Index" dataDxfId="82">
      <calculatedColumnFormula>VLOOKUP(Table9[[#This Row],[Shortname]], Comp[], 6, FALSE)</calculatedColumnFormula>
    </tableColumn>
    <tableColumn id="16" xr3:uid="{34FE124D-879D-4043-8A53-1DAFDC6F0A71}" name="Co" dataDxfId="81">
      <calculatedColumnFormula>VLOOKUP(Table9[[#This Row],[Shortname]], Comp[], 7, FALSE)</calculatedColumnFormula>
    </tableColumn>
    <tableColumn id="17" xr3:uid="{0F498716-341C-4B25-86A7-7D5582FD5492}" name="Ni" dataDxfId="80">
      <calculatedColumnFormula>VLOOKUP(Table9[[#This Row],[Shortname]], Comp[], 8, FALSE)</calculatedColumnFormula>
    </tableColumn>
    <tableColumn id="18" xr3:uid="{FD760779-6328-4982-A87F-456E81253269}" name="Al" dataDxfId="79">
      <calculatedColumnFormula>VLOOKUP(Table9[[#This Row],[Shortname]], Comp[], 9, FALSE)</calculatedColumnFormula>
    </tableColumn>
    <tableColumn id="19" xr3:uid="{F1BA245D-D434-4E48-8C7B-94EA653D6F32}" name="Cr" dataDxfId="78">
      <calculatedColumnFormula>VLOOKUP(Table9[[#This Row],[Shortname]], Comp[], 10, FALSE)</calculatedColumnFormula>
    </tableColumn>
    <tableColumn id="20" xr3:uid="{FBCB6D39-4C07-49EA-AA45-8BD30C080F6F}" name="W" dataDxfId="77">
      <calculatedColumnFormula>VLOOKUP(Table9[[#This Row],[Shortname]], Comp[], 11, FALSE)</calculatedColumnFormula>
    </tableColumn>
    <tableColumn id="21" xr3:uid="{7A5BA117-16F0-4582-ACA8-68F1300BD13E}" name="Ti" dataDxfId="76">
      <calculatedColumnFormula>VLOOKUP(Table9[[#This Row],[Shortname]], Comp[],12, FALSE)</calculatedColumnFormula>
    </tableColumn>
    <tableColumn id="22" xr3:uid="{8F94FB46-2093-419F-AEE3-74991FAD49FE}" name="Ta" dataDxfId="75">
      <calculatedColumnFormula>VLOOKUP(Table9[[#This Row],[Shortname]], Comp[], 13, FALSE)</calculatedColumnFormula>
    </tableColumn>
    <tableColumn id="23" xr3:uid="{3BE53825-A26F-48AF-9119-14BEE783A57C}" name="Nb" dataDxfId="74">
      <calculatedColumnFormula>VLOOKUP(Table9[[#This Row],[Shortname]], Comp[], 14, FALSE)</calculatedColumnFormula>
    </tableColumn>
    <tableColumn id="24" xr3:uid="{029D25DD-3F93-45FC-B4B9-FB2D43D2198C}" name="V" dataDxfId="73">
      <calculatedColumnFormula>VLOOKUP(Table9[[#This Row],[Shortname]], Comp[], 15, FALSE)</calculatedColumnFormula>
    </tableColumn>
    <tableColumn id="25" xr3:uid="{BFDEA51F-8D2D-4B36-954B-6A9AE3A63EFE}" name="Mo" dataDxfId="72">
      <calculatedColumnFormula>VLOOKUP(Table9[[#This Row],[Shortname]], Comp[], 16, FALSE)</calculatedColumnFormula>
    </tableColumn>
    <tableColumn id="26" xr3:uid="{67776C38-F2D3-4023-BE8C-516AC1A452A5}" name="C" dataDxfId="71">
      <calculatedColumnFormula>VLOOKUP(Table9[[#This Row],[Shortname]], Comp[], 17, FALSE)</calculatedColumnFormula>
    </tableColumn>
    <tableColumn id="27" xr3:uid="{F0EC98AB-68C7-4869-AFA8-5DD9073A768B}" name="Zr" dataDxfId="70">
      <calculatedColumnFormula>VLOOKUP(Table9[[#This Row],[Shortname]], Comp[], 18, FALSE)</calculatedColumnFormula>
    </tableColumn>
    <tableColumn id="28" xr3:uid="{C3D73C2E-AA43-4F9B-9077-FF0AEAF4ADED}" name="B" dataDxfId="69">
      <calculatedColumnFormula>VLOOKUP(Table9[[#This Row],[Shortname]], Comp[], 19, FALSE)</calculatedColumnFormula>
    </tableColumn>
    <tableColumn id="29" xr3:uid="{8E58107F-B648-4F8C-8B7B-52A28582ABB0}" name="Ir" dataDxfId="68">
      <calculatedColumnFormula>VLOOKUP(Table9[[#This Row],[Shortname]], Comp[], 20, FALSE)</calculatedColumnFormula>
    </tableColumn>
    <tableColumn id="30" xr3:uid="{6FE520EC-0ED8-4868-AED7-2B636A94DC0D}" name="Re" dataDxfId="67">
      <calculatedColumnFormula>VLOOKUP(Table9[[#This Row],[Shortname]], Comp[], 21, FALSE)</calculatedColumnFormula>
    </tableColumn>
    <tableColumn id="31" xr3:uid="{884D1667-4618-4ECC-A9CF-6237725B61DD}" name="Si" dataDxfId="66">
      <calculatedColumnFormula>VLOOKUP(Table9[[#This Row],[Shortname]], Comp[], 22, FALSE)</calculatedColumnFormula>
    </tableColumn>
    <tableColumn id="32" xr3:uid="{E38C055F-F8C1-4E07-9431-1DC56D7DEBFF}" name="Fe" dataDxfId="65">
      <calculatedColumnFormula>VLOOKUP(Table9[[#This Row],[Shortname]], Comp[], 23, FALSE)</calculatedColumnFormula>
    </tableColumn>
    <tableColumn id="33" xr3:uid="{060913ED-D687-4B0F-94BF-E3D34B50DAE0}" name="Y" dataDxfId="64">
      <calculatedColumnFormula>VLOOKUP(Table9[[#This Row],[Shortname]], Comp[], 24, FALSE)</calculatedColumnFormula>
    </tableColumn>
    <tableColumn id="34" xr3:uid="{0A54CB0E-6367-4043-A8A7-233EEF640252}" name="Hf" dataDxfId="63">
      <calculatedColumnFormula>VLOOKUP(Table9[[#This Row],[Shortname]], Comp[], 25, FALSE)</calculatedColumnFormula>
    </tableColumn>
    <tableColumn id="35" xr3:uid="{D360855E-ABC5-4364-BF53-C1F048D9932A}" name="Ge" dataDxfId="62">
      <calculatedColumnFormula>VLOOKUP(Table9[[#This Row],[Shortname]], Comp[], 26, FALSE)</calculatedColumnFormula>
    </tableColumn>
    <tableColumn id="36" xr3:uid="{DD2764B2-2AB7-4858-AC56-6BA9B75CB0A4}" name="Mn" dataDxfId="61">
      <calculatedColumnFormula>VLOOKUP(Table9[[#This Row],[Shortname]], Comp[], 27, FALSE)</calculatedColumnFormula>
    </tableColumn>
    <tableColumn id="37" xr3:uid="{3914916D-B6CB-4508-B866-1078AD372C04}" name="Sc" dataDxfId="60">
      <calculatedColumnFormula>VLOOKUP(Table9[[#This Row],[Shortname]], Comp[], 28, FALSE)</calculatedColumnFormula>
    </tableColumn>
    <tableColumn id="38" xr3:uid="{27043372-89F2-47D9-9F55-0BB2344B7BDF}" name="Ru" dataDxfId="59">
      <calculatedColumnFormula>VLOOKUP(Table9[[#This Row],[Shortname]], Comp[], 29, FALSE)</calculatedColumnFormula>
    </tableColumn>
    <tableColumn id="39" xr3:uid="{EC819B92-D1D9-4671-94B6-2F0F8C8344BF}" name="Ce" dataDxfId="58">
      <calculatedColumnFormula>VLOOKUP(Table9[[#This Row],[Shortname]], Comp[], 30, FALSE)</calculatedColumnFormula>
    </tableColumn>
    <tableColumn id="40" xr3:uid="{12A6B08B-1526-4ECE-8B68-74F8F7253AD5}" name="Nd" dataDxfId="57">
      <calculatedColumnFormula>VLOOKUP(Table9[[#This Row],[Shortname]], Comp[], 31, FALSE)</calculatedColumnFormula>
    </tableColumn>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23871026-0C15-4D6E-A347-D731BF489BBB}" name="Table29" displayName="Table29" ref="A1:AZ660" totalsRowCount="1">
  <autoFilter ref="A1:AZ659" xr:uid="{23871026-0C15-4D6E-A347-D731BF489BBB}"/>
  <tableColumns count="52">
    <tableColumn id="1" xr3:uid="{4EF11201-4A56-4687-8C87-328A831A5503}" name="Shortname"/>
    <tableColumn id="2" xr3:uid="{92F45722-3ADA-45EA-B420-DA347F39923B}" name="input order"/>
    <tableColumn id="3" xr3:uid="{905F0889-8D43-40A4-9937-2C177D29E51A}" name="Index"/>
    <tableColumn id="4" xr3:uid="{FA972DEC-A0F1-4CF9-B1B1-FF7E95F20D29}" name="Label"/>
    <tableColumn id="5" xr3:uid="{19B02B5F-01CD-4705-948B-4FD98B1EEAFF}" name="Category"/>
    <tableColumn id="6" xr3:uid="{B07F3CE9-66CC-4A61-A5E1-CC997CC198BD}" name="name"/>
    <tableColumn id="7" xr3:uid="{3CAEB116-16E0-4AF3-8977-9992A73CD4F7}" name="Paper"/>
    <tableColumn id="8" xr3:uid="{E0F1EAF2-98D0-44DA-AC06-CAC20705ABF2}" name="Stress (MPa)"/>
    <tableColumn id="9" xr3:uid="{E1E05D55-360B-469E-82A2-01DB02A5C397}" name="Strain Rate (min) /s"/>
    <tableColumn id="51" xr3:uid="{5C64BD9A-B4C8-4D4C-AFE1-AFC527B28F26}" name="Time to 1% strain (s)" dataDxfId="56" totalsRowDxfId="27">
      <calculatedColumnFormula>0.01/Table29[[#This Row],[Strain Rate (min) /s]]</calculatedColumnFormula>
    </tableColumn>
    <tableColumn id="52" xr3:uid="{BD9CA027-87A3-4131-B5DD-88F31E0408F0}" name="log(time)" dataDxfId="55" totalsRowDxfId="26">
      <calculatedColumnFormula>LOG(Table29[[#This Row],[Time to 1% strain (s)]])</calculatedColumnFormula>
    </tableColumn>
    <tableColumn id="10" xr3:uid="{7D40981C-8AC0-417B-8C55-4103A897D798}" name="Temperature C"/>
    <tableColumn id="11" xr3:uid="{EA416CD1-653E-41B0-A49E-9C81E9AB6833}" name="n"/>
    <tableColumn id="12" xr3:uid="{FF9F26BD-6BBC-47E1-A24B-25D497EF9409}" name="Q (kJ/mol)"/>
    <tableColumn id="13" xr3:uid="{C4FD70A4-576A-4C10-BE67-F936DBB2FEA6}" name="Elongation(%)"/>
    <tableColumn id="14" xr3:uid="{187FDF26-F101-4BFC-9309-92C8FCD3BBCC}" name="ID-curve"/>
    <tableColumn id="15" xr3:uid="{05B5D7E2-9B74-4A45-88D2-5A94C73F9AED}" name="Sol. Temp (ºC)"/>
    <tableColumn id="16" xr3:uid="{5B36B73D-036C-4D31-9CF7-54D990BDE672}" name="Sol. Time (h)"/>
    <tableColumn id="17" xr3:uid="{A93647C3-DD36-4F76-A9BC-ECFD72D6EF0B}" name="1 age temp (ºC)"/>
    <tableColumn id="18" xr3:uid="{E6FB13A4-5C5C-4189-A1B2-54C84E6DF823}" name="1 age time (h)"/>
    <tableColumn id="19" xr3:uid="{2C8B69AF-FE6E-4A89-990F-77C8DB696C2F}" name="2 age temp (ºC)"/>
    <tableColumn id="20" xr3:uid="{7D4BA4C8-AE5F-4237-897A-78C050813677}" name="2 age time (hr)"/>
    <tableColumn id="21" xr3:uid="{B3AEF655-6838-4FF5-9F85-F5BD5B033BE0}" name="C/T"/>
    <tableColumn id="22" xr3:uid="{90091729-C7B5-4212-BE43-194EE562F872}" name="Orientation"/>
    <tableColumn id="23" xr3:uid="{DC351B34-C23C-446D-961A-360BCF9A40C2}" name="VolFrac (%)"/>
    <tableColumn id="24" xr3:uid="{E582E75C-7CC5-4869-BE91-E2A5D65543B1}" name="Notes"/>
    <tableColumn id="25" xr3:uid="{9A4063F7-4F9A-4B61-AF88-767E63407093}" name="IndexRef" dataDxfId="54" totalsRowDxfId="25">
      <calculatedColumnFormula>VLOOKUP(Table29[[#This Row],[Shortname]], Comp[], 6, FALSE)</calculatedColumnFormula>
    </tableColumn>
    <tableColumn id="26" xr3:uid="{6A23FA90-4BEF-4941-8DC7-5CF3C7954484}" name="Co" dataDxfId="53" totalsRowDxfId="24">
      <calculatedColumnFormula>VLOOKUP(Table29[[#This Row],[Shortname]], Comp[], 7, FALSE)</calculatedColumnFormula>
    </tableColumn>
    <tableColumn id="27" xr3:uid="{C1A2267C-3FF7-4708-9412-987C6EF09ED2}" name="Ni" dataDxfId="52" totalsRowDxfId="23">
      <calculatedColumnFormula>VLOOKUP(Table29[[#This Row],[Shortname]], Comp[], 8, FALSE)</calculatedColumnFormula>
    </tableColumn>
    <tableColumn id="28" xr3:uid="{397120B2-1C7F-4734-9B86-6A178B42B588}" name="Al" dataDxfId="51" totalsRowDxfId="22">
      <calculatedColumnFormula>VLOOKUP(Table29[[#This Row],[Shortname]], Comp[], 9, FALSE)</calculatedColumnFormula>
    </tableColumn>
    <tableColumn id="29" xr3:uid="{4EA4209B-B18E-4815-A6BD-CE7B74DF1E85}" name="Cr" dataDxfId="50" totalsRowDxfId="21">
      <calculatedColumnFormula>VLOOKUP(Table29[[#This Row],[Shortname]], Comp[], 10, FALSE)</calculatedColumnFormula>
    </tableColumn>
    <tableColumn id="30" xr3:uid="{58AA5D69-D07A-4FA7-903E-9055742A4EFA}" name="W" dataDxfId="49" totalsRowDxfId="20">
      <calculatedColumnFormula>VLOOKUP(Table29[[#This Row],[Shortname]], Comp[], 11, FALSE)</calculatedColumnFormula>
    </tableColumn>
    <tableColumn id="31" xr3:uid="{CADC151B-C24E-46BE-B2AD-CF4BE6D8604D}" name="Ti" dataDxfId="48" totalsRowDxfId="19">
      <calculatedColumnFormula>VLOOKUP(Table29[[#This Row],[Shortname]], Comp[],12, FALSE)</calculatedColumnFormula>
    </tableColumn>
    <tableColumn id="32" xr3:uid="{B6D30761-5CB6-44EB-BB29-FFA775A41D43}" name="Ta" dataDxfId="47" totalsRowDxfId="18">
      <calculatedColumnFormula>VLOOKUP(Table29[[#This Row],[Shortname]], Comp[], 13, FALSE)</calculatedColumnFormula>
    </tableColumn>
    <tableColumn id="33" xr3:uid="{190D39C4-DD52-4ADB-AFB3-0D17E562A83D}" name="Nb" dataDxfId="46" totalsRowDxfId="17">
      <calculatedColumnFormula>VLOOKUP(Table29[[#This Row],[Shortname]], Comp[], 14, FALSE)</calculatedColumnFormula>
    </tableColumn>
    <tableColumn id="34" xr3:uid="{C0C44C71-9EB7-4CA5-B1FA-CF2625B53B3E}" name="V" dataDxfId="45" totalsRowDxfId="16">
      <calculatedColumnFormula>VLOOKUP(Table29[[#This Row],[Shortname]], Comp[], 15, FALSE)</calculatedColumnFormula>
    </tableColumn>
    <tableColumn id="35" xr3:uid="{5C07B5F9-9CDA-4292-A400-4AA26F79569D}" name="Mo" dataDxfId="44" totalsRowDxfId="15">
      <calculatedColumnFormula>VLOOKUP(Table29[[#This Row],[Shortname]], Comp[], 16, FALSE)</calculatedColumnFormula>
    </tableColumn>
    <tableColumn id="36" xr3:uid="{CD80BC99-7517-4D5E-B414-CF0B1AB0DE33}" name="C" dataDxfId="43" totalsRowDxfId="14">
      <calculatedColumnFormula>VLOOKUP(Table29[[#This Row],[Shortname]], Comp[], 17, FALSE)</calculatedColumnFormula>
    </tableColumn>
    <tableColumn id="37" xr3:uid="{442DF9DC-6455-4DC8-8DA8-4B497D4F46B6}" name="Zr" dataDxfId="42" totalsRowDxfId="13">
      <calculatedColumnFormula>VLOOKUP(Table29[[#This Row],[Shortname]], Comp[], 18, FALSE)</calculatedColumnFormula>
    </tableColumn>
    <tableColumn id="38" xr3:uid="{537120F1-8EE1-4D31-86B3-B270F85DC22D}" name="B" dataDxfId="41" totalsRowDxfId="12">
      <calculatedColumnFormula>VLOOKUP(Table29[[#This Row],[Shortname]], Comp[], 19, FALSE)</calculatedColumnFormula>
    </tableColumn>
    <tableColumn id="39" xr3:uid="{C8DC6D1D-4299-4010-8649-10A27468F2D5}" name="Ir" dataDxfId="40" totalsRowDxfId="11">
      <calculatedColumnFormula>VLOOKUP(Table29[[#This Row],[Shortname]], Comp[], 20, FALSE)</calculatedColumnFormula>
    </tableColumn>
    <tableColumn id="40" xr3:uid="{B41134B4-3D1E-4DDA-85AD-BE7BF0FCD65D}" name="Re" dataDxfId="39" totalsRowDxfId="10">
      <calculatedColumnFormula>VLOOKUP(Table29[[#This Row],[Shortname]], Comp[], 21, FALSE)</calculatedColumnFormula>
    </tableColumn>
    <tableColumn id="41" xr3:uid="{88D5B924-A8C9-4D0D-B6A7-D1CB4F0B77BA}" name="Si" dataDxfId="38" totalsRowDxfId="9">
      <calculatedColumnFormula>VLOOKUP(Table29[[#This Row],[Shortname]], Comp[], 22, FALSE)</calculatedColumnFormula>
    </tableColumn>
    <tableColumn id="42" xr3:uid="{3C75E1CB-772C-4FF9-93B4-7B47E7756DF8}" name="Fe" dataDxfId="37" totalsRowDxfId="8">
      <calculatedColumnFormula>VLOOKUP(Table29[[#This Row],[Shortname]], Comp[], 23, FALSE)</calculatedColumnFormula>
    </tableColumn>
    <tableColumn id="43" xr3:uid="{B47B845C-B140-406D-96AD-C3A23941EA8B}" name="Y" dataDxfId="36" totalsRowDxfId="7">
      <calculatedColumnFormula>VLOOKUP(Table29[[#This Row],[Shortname]], Comp[], 24, FALSE)</calculatedColumnFormula>
    </tableColumn>
    <tableColumn id="44" xr3:uid="{82422D47-26DC-4300-A047-8D82DAAC25A8}" name="Hf" dataDxfId="35" totalsRowDxfId="6">
      <calculatedColumnFormula>VLOOKUP(Table29[[#This Row],[Shortname]], Comp[], 25, FALSE)</calculatedColumnFormula>
    </tableColumn>
    <tableColumn id="45" xr3:uid="{B2F4D6EB-0140-4550-854A-864306A4D652}" name="Ge" dataDxfId="34" totalsRowDxfId="5">
      <calculatedColumnFormula>VLOOKUP(Table29[[#This Row],[Shortname]], Comp[], 26, FALSE)</calculatedColumnFormula>
    </tableColumn>
    <tableColumn id="46" xr3:uid="{1BEB985B-818A-4116-B6BC-321422D99184}" name="Mn" dataDxfId="33" totalsRowDxfId="4">
      <calculatedColumnFormula>VLOOKUP(Table29[[#This Row],[Shortname]], Comp[], 27, FALSE)</calculatedColumnFormula>
    </tableColumn>
    <tableColumn id="47" xr3:uid="{37EDE3DC-0CC6-4DD2-80C3-00764F0262A1}" name="Sc" dataDxfId="32" totalsRowDxfId="3">
      <calculatedColumnFormula>VLOOKUP(Table29[[#This Row],[Shortname]], Comp[], 28, FALSE)</calculatedColumnFormula>
    </tableColumn>
    <tableColumn id="48" xr3:uid="{4847957D-5BCA-45CA-9790-B22F60916F56}" name="Ru" dataDxfId="31" totalsRowDxfId="2">
      <calculatedColumnFormula>VLOOKUP(Table29[[#This Row],[Shortname]], Comp[], 29, FALSE)</calculatedColumnFormula>
    </tableColumn>
    <tableColumn id="49" xr3:uid="{5CA6584B-25F7-420F-9D42-3BBF2CA11944}" name="Ce" dataDxfId="30" totalsRowDxfId="1">
      <calculatedColumnFormula>VLOOKUP(Table29[[#This Row],[Shortname]], Comp[], 30, FALSE)</calculatedColumnFormula>
    </tableColumn>
    <tableColumn id="50" xr3:uid="{004CA0CA-F0D1-480B-A0FE-76F1F4B6990C}" name="Nd" dataDxfId="29" totalsRowDxfId="0">
      <calculatedColumnFormula>VLOOKUP(Table29[[#This Row],[Shortname]], Comp[], 31, FALSE)</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9EAD8-0C75-4F37-A82A-74AEE86F8D7F}">
  <dimension ref="A1:BO1089"/>
  <sheetViews>
    <sheetView topLeftCell="A1062" workbookViewId="0">
      <selection activeCell="I1075" sqref="I1075"/>
    </sheetView>
  </sheetViews>
  <sheetFormatPr defaultRowHeight="14.4" x14ac:dyDescent="0.3"/>
  <cols>
    <col min="1" max="1" width="11.77734375" customWidth="1"/>
    <col min="2" max="2" width="10.21875" customWidth="1"/>
    <col min="3" max="3" width="10.88671875" customWidth="1"/>
    <col min="32" max="32" width="20.21875" customWidth="1"/>
    <col min="33" max="33" width="13.33203125" customWidth="1"/>
    <col min="35" max="43" width="10.109375" customWidth="1"/>
    <col min="44" max="58" width="11.109375" customWidth="1"/>
    <col min="59" max="59" width="12.109375" customWidth="1"/>
    <col min="61" max="61" width="9.5546875" customWidth="1"/>
    <col min="62" max="62" width="16.6640625" customWidth="1"/>
    <col min="63" max="67" width="11.109375" customWidth="1"/>
  </cols>
  <sheetData>
    <row r="1" spans="1:67" x14ac:dyDescent="0.3">
      <c r="A1" t="s">
        <v>6527</v>
      </c>
      <c r="B1" t="s">
        <v>6528</v>
      </c>
      <c r="C1" t="s">
        <v>6529</v>
      </c>
      <c r="D1" t="s">
        <v>6530</v>
      </c>
      <c r="E1" t="s">
        <v>6531</v>
      </c>
      <c r="F1" t="s">
        <v>6532</v>
      </c>
      <c r="G1" t="s">
        <v>0</v>
      </c>
      <c r="H1" t="s">
        <v>6533</v>
      </c>
      <c r="I1" t="s">
        <v>6534</v>
      </c>
      <c r="J1" t="s">
        <v>6535</v>
      </c>
      <c r="K1" t="s">
        <v>6536</v>
      </c>
      <c r="L1" t="s">
        <v>6537</v>
      </c>
      <c r="M1" t="s">
        <v>6538</v>
      </c>
      <c r="N1" t="s">
        <v>6539</v>
      </c>
      <c r="O1" t="s">
        <v>6540</v>
      </c>
      <c r="P1" t="s">
        <v>6541</v>
      </c>
      <c r="Q1" t="s">
        <v>6542</v>
      </c>
      <c r="R1" t="s">
        <v>6543</v>
      </c>
      <c r="S1" t="s">
        <v>5865</v>
      </c>
      <c r="T1" t="s">
        <v>6544</v>
      </c>
      <c r="U1" t="s">
        <v>6545</v>
      </c>
      <c r="V1" t="s">
        <v>6546</v>
      </c>
      <c r="W1" t="s">
        <v>6547</v>
      </c>
      <c r="X1" t="s">
        <v>6548</v>
      </c>
      <c r="Y1" t="s">
        <v>6549</v>
      </c>
      <c r="Z1" t="s">
        <v>6550</v>
      </c>
      <c r="AA1" t="s">
        <v>6551</v>
      </c>
      <c r="AB1" t="s">
        <v>6552</v>
      </c>
      <c r="AC1" t="s">
        <v>6553</v>
      </c>
      <c r="AD1" t="s">
        <v>6554</v>
      </c>
      <c r="AE1" t="s">
        <v>6555</v>
      </c>
      <c r="AF1" t="s">
        <v>6556</v>
      </c>
      <c r="AG1" t="s">
        <v>6557</v>
      </c>
      <c r="AH1" t="s">
        <v>6558</v>
      </c>
      <c r="AI1" t="s">
        <v>6518</v>
      </c>
      <c r="AJ1" t="s">
        <v>6519</v>
      </c>
      <c r="AK1" t="s">
        <v>6520</v>
      </c>
      <c r="AL1" t="s">
        <v>6521</v>
      </c>
      <c r="AM1" t="s">
        <v>6559</v>
      </c>
      <c r="AN1" t="s">
        <v>6522</v>
      </c>
      <c r="AO1" t="s">
        <v>6523</v>
      </c>
      <c r="AP1" t="s">
        <v>6524</v>
      </c>
      <c r="AQ1" t="s">
        <v>6525</v>
      </c>
      <c r="AR1" t="s">
        <v>6526</v>
      </c>
      <c r="AS1" t="s">
        <v>6560</v>
      </c>
      <c r="AT1" t="s">
        <v>6561</v>
      </c>
      <c r="AU1" t="s">
        <v>6562</v>
      </c>
      <c r="AV1" t="s">
        <v>6563</v>
      </c>
      <c r="AW1" t="s">
        <v>6564</v>
      </c>
      <c r="AX1" t="s">
        <v>6565</v>
      </c>
      <c r="AY1" t="s">
        <v>6566</v>
      </c>
      <c r="AZ1" t="s">
        <v>6567</v>
      </c>
      <c r="BA1" t="s">
        <v>6568</v>
      </c>
      <c r="BB1" t="s">
        <v>6569</v>
      </c>
      <c r="BC1" t="s">
        <v>6570</v>
      </c>
      <c r="BD1" t="s">
        <v>6571</v>
      </c>
      <c r="BE1" t="s">
        <v>6572</v>
      </c>
      <c r="BF1" t="s">
        <v>6573</v>
      </c>
      <c r="BG1" t="s">
        <v>6574</v>
      </c>
      <c r="BH1" t="s">
        <v>6575</v>
      </c>
      <c r="BI1" t="s">
        <v>6576</v>
      </c>
      <c r="BJ1" t="s">
        <v>6577</v>
      </c>
      <c r="BK1" t="s">
        <v>6578</v>
      </c>
      <c r="BL1" t="s">
        <v>6579</v>
      </c>
      <c r="BM1" t="s">
        <v>6580</v>
      </c>
      <c r="BN1" t="s">
        <v>6581</v>
      </c>
      <c r="BO1" t="s">
        <v>6582</v>
      </c>
    </row>
    <row r="2" spans="1:67" x14ac:dyDescent="0.3">
      <c r="A2" t="s">
        <v>4</v>
      </c>
      <c r="B2" t="s">
        <v>5</v>
      </c>
      <c r="C2" t="s">
        <v>6</v>
      </c>
      <c r="D2" t="s">
        <v>7</v>
      </c>
      <c r="E2" t="s">
        <v>8</v>
      </c>
      <c r="F2">
        <v>1</v>
      </c>
      <c r="G2">
        <v>41.800000000000004</v>
      </c>
      <c r="H2">
        <v>29.5</v>
      </c>
      <c r="I2">
        <v>9.6</v>
      </c>
      <c r="J2">
        <v>12.7</v>
      </c>
      <c r="L2">
        <v>4.5</v>
      </c>
      <c r="N2">
        <v>1.9</v>
      </c>
      <c r="AF2">
        <v>7.8860350000000015</v>
      </c>
      <c r="AG2">
        <v>7.84</v>
      </c>
      <c r="AH2" t="s">
        <v>9</v>
      </c>
      <c r="AI2" t="s">
        <v>0</v>
      </c>
      <c r="AJ2" t="s">
        <v>10</v>
      </c>
      <c r="AK2" t="s">
        <v>11</v>
      </c>
      <c r="AL2" t="s">
        <v>12</v>
      </c>
      <c r="AM2" t="s">
        <v>13</v>
      </c>
      <c r="AN2" t="s">
        <v>11</v>
      </c>
      <c r="AO2" t="s">
        <v>14</v>
      </c>
      <c r="AP2" t="s">
        <v>11</v>
      </c>
      <c r="AQ2" t="s">
        <v>2</v>
      </c>
      <c r="AR2" t="s">
        <v>11</v>
      </c>
      <c r="AS2" t="s">
        <v>11</v>
      </c>
      <c r="AT2" t="s">
        <v>11</v>
      </c>
      <c r="AU2" t="s">
        <v>11</v>
      </c>
      <c r="AV2" t="s">
        <v>11</v>
      </c>
      <c r="AW2" t="s">
        <v>11</v>
      </c>
      <c r="AX2" t="s">
        <v>11</v>
      </c>
      <c r="AY2" t="s">
        <v>11</v>
      </c>
      <c r="AZ2" t="s">
        <v>11</v>
      </c>
      <c r="BA2" t="s">
        <v>11</v>
      </c>
      <c r="BB2" t="s">
        <v>11</v>
      </c>
      <c r="BC2" t="s">
        <v>11</v>
      </c>
      <c r="BD2" t="s">
        <v>11</v>
      </c>
      <c r="BE2" t="s">
        <v>11</v>
      </c>
      <c r="BF2" t="s">
        <v>11</v>
      </c>
      <c r="BG2" t="s">
        <v>11</v>
      </c>
      <c r="BH2" t="s">
        <v>15</v>
      </c>
      <c r="BI2" t="s">
        <v>4</v>
      </c>
      <c r="BJ2" t="s">
        <v>16</v>
      </c>
      <c r="BK2" t="s">
        <v>17</v>
      </c>
    </row>
    <row r="3" spans="1:67" x14ac:dyDescent="0.3">
      <c r="A3" t="s">
        <v>18</v>
      </c>
      <c r="B3" t="s">
        <v>5</v>
      </c>
      <c r="C3" t="s">
        <v>19</v>
      </c>
      <c r="D3" t="s">
        <v>20</v>
      </c>
      <c r="E3" t="s">
        <v>21</v>
      </c>
      <c r="F3">
        <v>2</v>
      </c>
      <c r="G3">
        <v>51</v>
      </c>
      <c r="H3">
        <v>30</v>
      </c>
      <c r="I3">
        <v>10</v>
      </c>
      <c r="L3">
        <v>2</v>
      </c>
      <c r="M3">
        <v>2</v>
      </c>
      <c r="P3">
        <v>5</v>
      </c>
      <c r="AF3">
        <v>8.4185400000000001</v>
      </c>
      <c r="AG3">
        <v>8.5500000000000007</v>
      </c>
      <c r="AI3" t="s">
        <v>0</v>
      </c>
      <c r="AJ3" t="s">
        <v>22</v>
      </c>
      <c r="AK3" t="s">
        <v>11</v>
      </c>
      <c r="AL3" t="s">
        <v>23</v>
      </c>
      <c r="AM3" t="s">
        <v>11</v>
      </c>
      <c r="AN3" t="s">
        <v>24</v>
      </c>
      <c r="AO3" t="s">
        <v>11</v>
      </c>
      <c r="AP3" t="s">
        <v>11</v>
      </c>
      <c r="AQ3" t="s">
        <v>25</v>
      </c>
      <c r="AR3" t="s">
        <v>26</v>
      </c>
      <c r="AS3" t="s">
        <v>11</v>
      </c>
      <c r="AT3" t="s">
        <v>11</v>
      </c>
      <c r="AU3" t="s">
        <v>11</v>
      </c>
      <c r="AV3" t="s">
        <v>11</v>
      </c>
      <c r="AW3" t="s">
        <v>11</v>
      </c>
      <c r="AX3" t="s">
        <v>11</v>
      </c>
      <c r="AY3" t="s">
        <v>11</v>
      </c>
      <c r="AZ3" t="s">
        <v>11</v>
      </c>
      <c r="BA3" t="s">
        <v>11</v>
      </c>
      <c r="BB3" t="s">
        <v>11</v>
      </c>
      <c r="BC3" t="s">
        <v>11</v>
      </c>
      <c r="BD3" t="s">
        <v>11</v>
      </c>
      <c r="BE3" t="s">
        <v>11</v>
      </c>
      <c r="BF3" t="s">
        <v>11</v>
      </c>
      <c r="BG3" t="s">
        <v>11</v>
      </c>
      <c r="BH3" t="s">
        <v>27</v>
      </c>
      <c r="BI3" t="s">
        <v>18</v>
      </c>
      <c r="BJ3" t="s">
        <v>28</v>
      </c>
      <c r="BK3" t="s">
        <v>29</v>
      </c>
    </row>
    <row r="4" spans="1:67" x14ac:dyDescent="0.3">
      <c r="A4" t="s">
        <v>30</v>
      </c>
      <c r="B4" t="s">
        <v>31</v>
      </c>
      <c r="C4" t="s">
        <v>32</v>
      </c>
      <c r="D4" t="s">
        <v>33</v>
      </c>
      <c r="E4" t="s">
        <v>34</v>
      </c>
      <c r="F4">
        <v>3</v>
      </c>
      <c r="G4">
        <v>51</v>
      </c>
      <c r="H4">
        <v>30</v>
      </c>
      <c r="I4">
        <v>10</v>
      </c>
      <c r="K4">
        <v>0.5</v>
      </c>
      <c r="L4">
        <v>2</v>
      </c>
      <c r="M4">
        <v>2</v>
      </c>
      <c r="P4">
        <v>4.5</v>
      </c>
      <c r="AF4">
        <v>8.4633900000000004</v>
      </c>
      <c r="AG4">
        <v>8.67</v>
      </c>
      <c r="AI4" t="s">
        <v>0</v>
      </c>
      <c r="AJ4" t="s">
        <v>22</v>
      </c>
      <c r="AK4" t="s">
        <v>35</v>
      </c>
      <c r="AL4" t="s">
        <v>23</v>
      </c>
      <c r="AM4" t="s">
        <v>11</v>
      </c>
      <c r="AN4" t="s">
        <v>24</v>
      </c>
      <c r="AO4" t="s">
        <v>11</v>
      </c>
      <c r="AP4" t="s">
        <v>11</v>
      </c>
      <c r="AQ4" t="s">
        <v>25</v>
      </c>
      <c r="AR4" t="s">
        <v>36</v>
      </c>
      <c r="AS4" t="s">
        <v>11</v>
      </c>
      <c r="AT4" t="s">
        <v>11</v>
      </c>
      <c r="AU4" t="s">
        <v>11</v>
      </c>
      <c r="AV4" t="s">
        <v>11</v>
      </c>
      <c r="AW4" t="s">
        <v>11</v>
      </c>
      <c r="AX4" t="s">
        <v>11</v>
      </c>
      <c r="AY4" t="s">
        <v>11</v>
      </c>
      <c r="AZ4" t="s">
        <v>11</v>
      </c>
      <c r="BA4" t="s">
        <v>11</v>
      </c>
      <c r="BB4" t="s">
        <v>11</v>
      </c>
      <c r="BC4" t="s">
        <v>11</v>
      </c>
      <c r="BD4" t="s">
        <v>11</v>
      </c>
      <c r="BE4" t="s">
        <v>11</v>
      </c>
      <c r="BF4" t="s">
        <v>11</v>
      </c>
      <c r="BG4" t="s">
        <v>11</v>
      </c>
      <c r="BH4" t="s">
        <v>37</v>
      </c>
      <c r="BI4" t="s">
        <v>30</v>
      </c>
      <c r="BJ4" t="s">
        <v>38</v>
      </c>
      <c r="BK4" t="s">
        <v>39</v>
      </c>
    </row>
    <row r="5" spans="1:67" x14ac:dyDescent="0.3">
      <c r="A5" t="s">
        <v>40</v>
      </c>
      <c r="B5" t="s">
        <v>31</v>
      </c>
      <c r="C5" t="s">
        <v>41</v>
      </c>
      <c r="D5" t="s">
        <v>42</v>
      </c>
      <c r="E5" t="s">
        <v>43</v>
      </c>
      <c r="F5">
        <v>4</v>
      </c>
      <c r="G5">
        <v>51</v>
      </c>
      <c r="H5">
        <v>30</v>
      </c>
      <c r="I5">
        <v>10</v>
      </c>
      <c r="K5">
        <v>1</v>
      </c>
      <c r="L5">
        <v>2</v>
      </c>
      <c r="M5">
        <v>2</v>
      </c>
      <c r="P5">
        <v>4</v>
      </c>
      <c r="AF5">
        <v>8.5082400000000007</v>
      </c>
      <c r="AG5">
        <v>8.6999999999999993</v>
      </c>
      <c r="AI5" t="s">
        <v>0</v>
      </c>
      <c r="AJ5" t="s">
        <v>22</v>
      </c>
      <c r="AK5" t="s">
        <v>44</v>
      </c>
      <c r="AL5" t="s">
        <v>23</v>
      </c>
      <c r="AM5" t="s">
        <v>11</v>
      </c>
      <c r="AN5" t="s">
        <v>24</v>
      </c>
      <c r="AO5" t="s">
        <v>11</v>
      </c>
      <c r="AP5" t="s">
        <v>11</v>
      </c>
      <c r="AQ5" t="s">
        <v>25</v>
      </c>
      <c r="AR5" t="s">
        <v>45</v>
      </c>
      <c r="AS5" t="s">
        <v>11</v>
      </c>
      <c r="AT5" t="s">
        <v>11</v>
      </c>
      <c r="AU5" t="s">
        <v>11</v>
      </c>
      <c r="AV5" t="s">
        <v>11</v>
      </c>
      <c r="AW5" t="s">
        <v>11</v>
      </c>
      <c r="AX5" t="s">
        <v>11</v>
      </c>
      <c r="AY5" t="s">
        <v>11</v>
      </c>
      <c r="AZ5" t="s">
        <v>11</v>
      </c>
      <c r="BA5" t="s">
        <v>11</v>
      </c>
      <c r="BB5" t="s">
        <v>11</v>
      </c>
      <c r="BC5" t="s">
        <v>11</v>
      </c>
      <c r="BD5" t="s">
        <v>11</v>
      </c>
      <c r="BE5" t="s">
        <v>11</v>
      </c>
      <c r="BF5" t="s">
        <v>11</v>
      </c>
      <c r="BG5" t="s">
        <v>11</v>
      </c>
      <c r="BH5" t="s">
        <v>46</v>
      </c>
      <c r="BI5" t="s">
        <v>40</v>
      </c>
      <c r="BJ5" t="s">
        <v>47</v>
      </c>
      <c r="BK5" t="s">
        <v>48</v>
      </c>
    </row>
    <row r="6" spans="1:67" x14ac:dyDescent="0.3">
      <c r="A6" t="s">
        <v>49</v>
      </c>
      <c r="B6" t="s">
        <v>31</v>
      </c>
      <c r="C6" t="s">
        <v>50</v>
      </c>
      <c r="D6" t="s">
        <v>51</v>
      </c>
      <c r="E6" t="s">
        <v>52</v>
      </c>
      <c r="F6">
        <v>5</v>
      </c>
      <c r="G6">
        <v>51</v>
      </c>
      <c r="H6">
        <v>30</v>
      </c>
      <c r="I6">
        <v>10</v>
      </c>
      <c r="K6">
        <v>1.5</v>
      </c>
      <c r="L6">
        <v>2</v>
      </c>
      <c r="M6">
        <v>2</v>
      </c>
      <c r="P6">
        <v>3.5</v>
      </c>
      <c r="AF6">
        <v>8.553090000000001</v>
      </c>
      <c r="AG6">
        <v>8.76</v>
      </c>
      <c r="AI6" t="s">
        <v>0</v>
      </c>
      <c r="AJ6" t="s">
        <v>22</v>
      </c>
      <c r="AK6" t="s">
        <v>53</v>
      </c>
      <c r="AL6" t="s">
        <v>23</v>
      </c>
      <c r="AM6" t="s">
        <v>11</v>
      </c>
      <c r="AN6" t="s">
        <v>24</v>
      </c>
      <c r="AO6" t="s">
        <v>11</v>
      </c>
      <c r="AP6" t="s">
        <v>11</v>
      </c>
      <c r="AQ6" t="s">
        <v>25</v>
      </c>
      <c r="AR6" t="s">
        <v>54</v>
      </c>
      <c r="AS6" t="s">
        <v>11</v>
      </c>
      <c r="AT6" t="s">
        <v>11</v>
      </c>
      <c r="AU6" t="s">
        <v>11</v>
      </c>
      <c r="AV6" t="s">
        <v>11</v>
      </c>
      <c r="AW6" t="s">
        <v>11</v>
      </c>
      <c r="AX6" t="s">
        <v>11</v>
      </c>
      <c r="AY6" t="s">
        <v>11</v>
      </c>
      <c r="AZ6" t="s">
        <v>11</v>
      </c>
      <c r="BA6" t="s">
        <v>11</v>
      </c>
      <c r="BB6" t="s">
        <v>11</v>
      </c>
      <c r="BC6" t="s">
        <v>11</v>
      </c>
      <c r="BD6" t="s">
        <v>11</v>
      </c>
      <c r="BE6" t="s">
        <v>11</v>
      </c>
      <c r="BF6" t="s">
        <v>11</v>
      </c>
      <c r="BG6" t="s">
        <v>11</v>
      </c>
      <c r="BH6" t="s">
        <v>55</v>
      </c>
      <c r="BI6" t="s">
        <v>49</v>
      </c>
      <c r="BJ6" t="s">
        <v>56</v>
      </c>
      <c r="BK6" t="s">
        <v>57</v>
      </c>
    </row>
    <row r="7" spans="1:67" x14ac:dyDescent="0.3">
      <c r="A7" t="s">
        <v>58</v>
      </c>
      <c r="B7" t="s">
        <v>31</v>
      </c>
      <c r="C7" t="s">
        <v>59</v>
      </c>
      <c r="D7" t="s">
        <v>60</v>
      </c>
      <c r="E7" t="s">
        <v>61</v>
      </c>
      <c r="F7">
        <v>6</v>
      </c>
      <c r="G7">
        <v>51</v>
      </c>
      <c r="H7">
        <v>30</v>
      </c>
      <c r="I7">
        <v>10</v>
      </c>
      <c r="K7">
        <v>2</v>
      </c>
      <c r="L7">
        <v>2</v>
      </c>
      <c r="M7">
        <v>2</v>
      </c>
      <c r="P7">
        <v>3</v>
      </c>
      <c r="AF7">
        <v>8.5979400000000012</v>
      </c>
      <c r="AG7">
        <v>8.7899999999999991</v>
      </c>
      <c r="AI7" t="s">
        <v>0</v>
      </c>
      <c r="AJ7" t="s">
        <v>22</v>
      </c>
      <c r="AK7" t="s">
        <v>62</v>
      </c>
      <c r="AL7" t="s">
        <v>23</v>
      </c>
      <c r="AM7" t="s">
        <v>11</v>
      </c>
      <c r="AN7" t="s">
        <v>24</v>
      </c>
      <c r="AO7" t="s">
        <v>11</v>
      </c>
      <c r="AP7" t="s">
        <v>11</v>
      </c>
      <c r="AQ7" t="s">
        <v>25</v>
      </c>
      <c r="AR7" t="s">
        <v>63</v>
      </c>
      <c r="AS7" t="s">
        <v>11</v>
      </c>
      <c r="AT7" t="s">
        <v>11</v>
      </c>
      <c r="AU7" t="s">
        <v>11</v>
      </c>
      <c r="AV7" t="s">
        <v>11</v>
      </c>
      <c r="AW7" t="s">
        <v>11</v>
      </c>
      <c r="AX7" t="s">
        <v>11</v>
      </c>
      <c r="AY7" t="s">
        <v>11</v>
      </c>
      <c r="AZ7" t="s">
        <v>11</v>
      </c>
      <c r="BA7" t="s">
        <v>11</v>
      </c>
      <c r="BB7" t="s">
        <v>11</v>
      </c>
      <c r="BC7" t="s">
        <v>11</v>
      </c>
      <c r="BD7" t="s">
        <v>11</v>
      </c>
      <c r="BE7" t="s">
        <v>11</v>
      </c>
      <c r="BF7" t="s">
        <v>11</v>
      </c>
      <c r="BG7" t="s">
        <v>11</v>
      </c>
      <c r="BH7" t="s">
        <v>64</v>
      </c>
      <c r="BI7" t="s">
        <v>58</v>
      </c>
      <c r="BJ7" t="s">
        <v>65</v>
      </c>
      <c r="BK7" t="s">
        <v>66</v>
      </c>
    </row>
    <row r="8" spans="1:67" x14ac:dyDescent="0.3">
      <c r="A8" t="s">
        <v>67</v>
      </c>
      <c r="B8" t="s">
        <v>5</v>
      </c>
      <c r="C8" t="s">
        <v>68</v>
      </c>
      <c r="D8" t="s">
        <v>69</v>
      </c>
      <c r="E8" t="s">
        <v>70</v>
      </c>
      <c r="F8">
        <v>7</v>
      </c>
      <c r="G8">
        <v>40.259999999999991</v>
      </c>
      <c r="H8">
        <v>31.07</v>
      </c>
      <c r="I8">
        <v>10.6</v>
      </c>
      <c r="J8">
        <v>10.67</v>
      </c>
      <c r="M8">
        <v>1.88</v>
      </c>
      <c r="N8">
        <v>0.99</v>
      </c>
      <c r="P8">
        <v>3.99</v>
      </c>
      <c r="Q8">
        <v>0.31</v>
      </c>
      <c r="R8">
        <v>0.04</v>
      </c>
      <c r="S8">
        <v>0.19</v>
      </c>
      <c r="AF8">
        <v>8.2265479999999993</v>
      </c>
      <c r="AG8">
        <v>8.23</v>
      </c>
      <c r="AI8" t="s">
        <v>0</v>
      </c>
      <c r="AJ8" t="s">
        <v>71</v>
      </c>
      <c r="AK8" t="s">
        <v>11</v>
      </c>
      <c r="AL8" t="s">
        <v>72</v>
      </c>
      <c r="AM8" t="s">
        <v>73</v>
      </c>
      <c r="AN8" t="s">
        <v>74</v>
      </c>
      <c r="AO8" t="s">
        <v>75</v>
      </c>
      <c r="AP8" t="s">
        <v>11</v>
      </c>
      <c r="AQ8" t="s">
        <v>11</v>
      </c>
      <c r="AR8" t="s">
        <v>45</v>
      </c>
      <c r="AS8" t="s">
        <v>76</v>
      </c>
      <c r="AT8" t="s">
        <v>77</v>
      </c>
      <c r="AU8" t="s">
        <v>78</v>
      </c>
      <c r="AV8" t="s">
        <v>11</v>
      </c>
      <c r="AW8" t="s">
        <v>11</v>
      </c>
      <c r="AX8" t="s">
        <v>11</v>
      </c>
      <c r="AY8" t="s">
        <v>11</v>
      </c>
      <c r="AZ8" t="s">
        <v>11</v>
      </c>
      <c r="BA8" t="s">
        <v>11</v>
      </c>
      <c r="BB8" t="s">
        <v>11</v>
      </c>
      <c r="BC8" t="s">
        <v>11</v>
      </c>
      <c r="BD8" t="s">
        <v>11</v>
      </c>
      <c r="BE8" t="s">
        <v>11</v>
      </c>
      <c r="BF8" t="s">
        <v>11</v>
      </c>
      <c r="BG8" t="s">
        <v>11</v>
      </c>
      <c r="BH8" t="s">
        <v>79</v>
      </c>
      <c r="BI8" t="s">
        <v>67</v>
      </c>
      <c r="BJ8" t="s">
        <v>80</v>
      </c>
      <c r="BK8" t="s">
        <v>81</v>
      </c>
    </row>
    <row r="9" spans="1:67" x14ac:dyDescent="0.3">
      <c r="A9" t="s">
        <v>82</v>
      </c>
      <c r="B9" t="s">
        <v>5</v>
      </c>
      <c r="C9" t="s">
        <v>83</v>
      </c>
      <c r="D9" t="s">
        <v>84</v>
      </c>
      <c r="E9" t="s">
        <v>70</v>
      </c>
      <c r="F9">
        <v>8</v>
      </c>
      <c r="G9">
        <v>40.210000000000008</v>
      </c>
      <c r="H9">
        <v>31.14</v>
      </c>
      <c r="I9">
        <v>10.76</v>
      </c>
      <c r="J9">
        <v>10.83</v>
      </c>
      <c r="M9">
        <v>2.54</v>
      </c>
      <c r="P9">
        <v>4.03</v>
      </c>
      <c r="Q9">
        <v>0.22</v>
      </c>
      <c r="R9">
        <v>0.05</v>
      </c>
      <c r="S9">
        <v>0.22</v>
      </c>
      <c r="AF9">
        <v>8.2726717000000018</v>
      </c>
      <c r="AG9">
        <v>8.4700000000000006</v>
      </c>
      <c r="AI9" t="s">
        <v>0</v>
      </c>
      <c r="AJ9" t="s">
        <v>85</v>
      </c>
      <c r="AK9" t="s">
        <v>11</v>
      </c>
      <c r="AL9" t="s">
        <v>72</v>
      </c>
      <c r="AM9" t="s">
        <v>86</v>
      </c>
      <c r="AN9" t="s">
        <v>87</v>
      </c>
      <c r="AO9" t="s">
        <v>11</v>
      </c>
      <c r="AP9" t="s">
        <v>11</v>
      </c>
      <c r="AQ9" t="s">
        <v>11</v>
      </c>
      <c r="AR9" t="s">
        <v>45</v>
      </c>
      <c r="AS9" t="s">
        <v>88</v>
      </c>
      <c r="AT9" t="s">
        <v>89</v>
      </c>
      <c r="AU9" t="s">
        <v>90</v>
      </c>
      <c r="AV9" t="s">
        <v>11</v>
      </c>
      <c r="AW9" t="s">
        <v>11</v>
      </c>
      <c r="AX9" t="s">
        <v>11</v>
      </c>
      <c r="AY9" t="s">
        <v>11</v>
      </c>
      <c r="AZ9" t="s">
        <v>11</v>
      </c>
      <c r="BA9" t="s">
        <v>11</v>
      </c>
      <c r="BB9" t="s">
        <v>11</v>
      </c>
      <c r="BC9" t="s">
        <v>11</v>
      </c>
      <c r="BD9" t="s">
        <v>11</v>
      </c>
      <c r="BE9" t="s">
        <v>11</v>
      </c>
      <c r="BF9" t="s">
        <v>11</v>
      </c>
      <c r="BG9" t="s">
        <v>11</v>
      </c>
      <c r="BH9" t="s">
        <v>91</v>
      </c>
      <c r="BI9" t="s">
        <v>82</v>
      </c>
      <c r="BJ9" t="s">
        <v>92</v>
      </c>
      <c r="BK9" t="s">
        <v>93</v>
      </c>
    </row>
    <row r="10" spans="1:67" x14ac:dyDescent="0.3">
      <c r="A10" t="s">
        <v>94</v>
      </c>
      <c r="B10" t="s">
        <v>95</v>
      </c>
      <c r="C10" t="s">
        <v>96</v>
      </c>
      <c r="D10" t="s">
        <v>97</v>
      </c>
      <c r="E10" t="s">
        <v>98</v>
      </c>
      <c r="F10">
        <v>9</v>
      </c>
      <c r="G10">
        <v>83.5</v>
      </c>
      <c r="I10">
        <v>8.1</v>
      </c>
      <c r="K10">
        <v>8.4</v>
      </c>
      <c r="AF10">
        <v>9.2672000000000008</v>
      </c>
      <c r="AI10" t="s">
        <v>0</v>
      </c>
      <c r="AJ10" t="s">
        <v>99</v>
      </c>
      <c r="AK10" t="s">
        <v>100</v>
      </c>
      <c r="AL10" t="s">
        <v>11</v>
      </c>
      <c r="AM10" t="s">
        <v>11</v>
      </c>
      <c r="AN10" t="s">
        <v>11</v>
      </c>
      <c r="AO10" t="s">
        <v>11</v>
      </c>
      <c r="AP10" t="s">
        <v>11</v>
      </c>
      <c r="AQ10" t="s">
        <v>11</v>
      </c>
      <c r="AR10" t="s">
        <v>11</v>
      </c>
      <c r="AS10" t="s">
        <v>11</v>
      </c>
      <c r="AT10" t="s">
        <v>11</v>
      </c>
      <c r="AU10" t="s">
        <v>11</v>
      </c>
      <c r="AV10" t="s">
        <v>11</v>
      </c>
      <c r="AW10" t="s">
        <v>11</v>
      </c>
      <c r="AX10" t="s">
        <v>11</v>
      </c>
      <c r="AY10" t="s">
        <v>11</v>
      </c>
      <c r="AZ10" t="s">
        <v>11</v>
      </c>
      <c r="BA10" t="s">
        <v>11</v>
      </c>
      <c r="BB10" t="s">
        <v>11</v>
      </c>
      <c r="BC10" t="s">
        <v>11</v>
      </c>
      <c r="BD10" t="s">
        <v>11</v>
      </c>
      <c r="BE10" t="s">
        <v>11</v>
      </c>
      <c r="BF10" t="s">
        <v>11</v>
      </c>
      <c r="BG10" t="s">
        <v>11</v>
      </c>
      <c r="BH10" t="s">
        <v>101</v>
      </c>
      <c r="BI10" t="s">
        <v>94</v>
      </c>
      <c r="BJ10" t="s">
        <v>102</v>
      </c>
      <c r="BK10" t="s">
        <v>103</v>
      </c>
    </row>
    <row r="11" spans="1:67" x14ac:dyDescent="0.3">
      <c r="A11" t="s">
        <v>104</v>
      </c>
      <c r="B11" t="s">
        <v>95</v>
      </c>
      <c r="C11" t="s">
        <v>105</v>
      </c>
      <c r="D11" t="s">
        <v>106</v>
      </c>
      <c r="E11" t="s">
        <v>107</v>
      </c>
      <c r="F11">
        <v>10</v>
      </c>
      <c r="G11">
        <v>78.599999999999994</v>
      </c>
      <c r="I11">
        <v>9.4</v>
      </c>
      <c r="K11">
        <v>10.199999999999999</v>
      </c>
      <c r="N11">
        <v>1.8</v>
      </c>
      <c r="AF11">
        <v>9.3669600000000006</v>
      </c>
      <c r="AI11" t="s">
        <v>0</v>
      </c>
      <c r="AJ11" t="s">
        <v>108</v>
      </c>
      <c r="AK11" t="s">
        <v>109</v>
      </c>
      <c r="AL11" t="s">
        <v>11</v>
      </c>
      <c r="AM11" t="s">
        <v>11</v>
      </c>
      <c r="AN11" t="s">
        <v>11</v>
      </c>
      <c r="AO11" t="s">
        <v>110</v>
      </c>
      <c r="AP11" t="s">
        <v>11</v>
      </c>
      <c r="AQ11" t="s">
        <v>11</v>
      </c>
      <c r="AR11" t="s">
        <v>11</v>
      </c>
      <c r="AS11" t="s">
        <v>11</v>
      </c>
      <c r="AT11" t="s">
        <v>11</v>
      </c>
      <c r="AU11" t="s">
        <v>11</v>
      </c>
      <c r="AV11" t="s">
        <v>11</v>
      </c>
      <c r="AW11" t="s">
        <v>11</v>
      </c>
      <c r="AX11" t="s">
        <v>11</v>
      </c>
      <c r="AY11" t="s">
        <v>11</v>
      </c>
      <c r="AZ11" t="s">
        <v>11</v>
      </c>
      <c r="BA11" t="s">
        <v>11</v>
      </c>
      <c r="BB11" t="s">
        <v>11</v>
      </c>
      <c r="BC11" t="s">
        <v>11</v>
      </c>
      <c r="BD11" t="s">
        <v>11</v>
      </c>
      <c r="BE11" t="s">
        <v>11</v>
      </c>
      <c r="BF11" t="s">
        <v>11</v>
      </c>
      <c r="BG11" t="s">
        <v>11</v>
      </c>
      <c r="BH11" t="s">
        <v>111</v>
      </c>
      <c r="BI11" t="s">
        <v>104</v>
      </c>
      <c r="BJ11" t="s">
        <v>112</v>
      </c>
      <c r="BK11" t="s">
        <v>113</v>
      </c>
    </row>
    <row r="12" spans="1:67" x14ac:dyDescent="0.3">
      <c r="A12" t="s">
        <v>114</v>
      </c>
      <c r="B12" t="s">
        <v>95</v>
      </c>
      <c r="C12" t="s">
        <v>115</v>
      </c>
      <c r="D12" t="s">
        <v>116</v>
      </c>
      <c r="E12" t="s">
        <v>117</v>
      </c>
      <c r="F12">
        <v>11</v>
      </c>
      <c r="G12">
        <v>79.099999999999994</v>
      </c>
      <c r="I12">
        <v>8.4</v>
      </c>
      <c r="K12">
        <v>10.3</v>
      </c>
      <c r="L12">
        <v>2.2000000000000002</v>
      </c>
      <c r="AF12">
        <v>9.3486039999999999</v>
      </c>
      <c r="AI12" t="s">
        <v>0</v>
      </c>
      <c r="AJ12" t="s">
        <v>118</v>
      </c>
      <c r="AK12" t="s">
        <v>119</v>
      </c>
      <c r="AL12" t="s">
        <v>11</v>
      </c>
      <c r="AM12" t="s">
        <v>11</v>
      </c>
      <c r="AN12" t="s">
        <v>11</v>
      </c>
      <c r="AO12" t="s">
        <v>11</v>
      </c>
      <c r="AP12" t="s">
        <v>11</v>
      </c>
      <c r="AQ12" t="s">
        <v>120</v>
      </c>
      <c r="AR12" t="s">
        <v>11</v>
      </c>
      <c r="AS12" t="s">
        <v>11</v>
      </c>
      <c r="AT12" t="s">
        <v>11</v>
      </c>
      <c r="AU12" t="s">
        <v>11</v>
      </c>
      <c r="AV12" t="s">
        <v>11</v>
      </c>
      <c r="AW12" t="s">
        <v>11</v>
      </c>
      <c r="AX12" t="s">
        <v>11</v>
      </c>
      <c r="AY12" t="s">
        <v>11</v>
      </c>
      <c r="AZ12" t="s">
        <v>11</v>
      </c>
      <c r="BA12" t="s">
        <v>11</v>
      </c>
      <c r="BB12" t="s">
        <v>11</v>
      </c>
      <c r="BC12" t="s">
        <v>11</v>
      </c>
      <c r="BD12" t="s">
        <v>11</v>
      </c>
      <c r="BE12" t="s">
        <v>11</v>
      </c>
      <c r="BF12" t="s">
        <v>11</v>
      </c>
      <c r="BG12" t="s">
        <v>11</v>
      </c>
      <c r="BH12" t="s">
        <v>121</v>
      </c>
      <c r="BI12" t="s">
        <v>114</v>
      </c>
      <c r="BJ12" t="s">
        <v>122</v>
      </c>
      <c r="BK12" t="s">
        <v>123</v>
      </c>
    </row>
    <row r="13" spans="1:67" x14ac:dyDescent="0.3">
      <c r="A13" t="s">
        <v>124</v>
      </c>
      <c r="B13" t="s">
        <v>95</v>
      </c>
      <c r="C13" t="s">
        <v>125</v>
      </c>
      <c r="D13" t="s">
        <v>126</v>
      </c>
      <c r="E13" t="s">
        <v>127</v>
      </c>
      <c r="F13">
        <v>12</v>
      </c>
      <c r="G13">
        <v>77.5</v>
      </c>
      <c r="I13">
        <v>9</v>
      </c>
      <c r="K13">
        <v>11.4</v>
      </c>
      <c r="O13">
        <v>2.1</v>
      </c>
      <c r="AF13">
        <v>9.4633099999999999</v>
      </c>
      <c r="AI13" t="s">
        <v>0</v>
      </c>
      <c r="AJ13" t="s">
        <v>128</v>
      </c>
      <c r="AK13" t="s">
        <v>129</v>
      </c>
      <c r="AL13" t="s">
        <v>11</v>
      </c>
      <c r="AM13" t="s">
        <v>11</v>
      </c>
      <c r="AN13" t="s">
        <v>11</v>
      </c>
      <c r="AO13" t="s">
        <v>11</v>
      </c>
      <c r="AP13" t="s">
        <v>130</v>
      </c>
      <c r="AQ13" t="s">
        <v>11</v>
      </c>
      <c r="AR13" t="s">
        <v>11</v>
      </c>
      <c r="AS13" t="s">
        <v>11</v>
      </c>
      <c r="AT13" t="s">
        <v>11</v>
      </c>
      <c r="AU13" t="s">
        <v>11</v>
      </c>
      <c r="AV13" t="s">
        <v>11</v>
      </c>
      <c r="AW13" t="s">
        <v>11</v>
      </c>
      <c r="AX13" t="s">
        <v>11</v>
      </c>
      <c r="AY13" t="s">
        <v>11</v>
      </c>
      <c r="AZ13" t="s">
        <v>11</v>
      </c>
      <c r="BA13" t="s">
        <v>11</v>
      </c>
      <c r="BB13" t="s">
        <v>11</v>
      </c>
      <c r="BC13" t="s">
        <v>11</v>
      </c>
      <c r="BD13" t="s">
        <v>11</v>
      </c>
      <c r="BE13" t="s">
        <v>11</v>
      </c>
      <c r="BF13" t="s">
        <v>11</v>
      </c>
      <c r="BG13" t="s">
        <v>11</v>
      </c>
      <c r="BH13" t="s">
        <v>131</v>
      </c>
      <c r="BI13" t="s">
        <v>124</v>
      </c>
      <c r="BJ13" t="s">
        <v>132</v>
      </c>
      <c r="BK13" t="s">
        <v>133</v>
      </c>
    </row>
    <row r="14" spans="1:67" x14ac:dyDescent="0.3">
      <c r="A14" t="s">
        <v>134</v>
      </c>
      <c r="B14" t="s">
        <v>95</v>
      </c>
      <c r="C14" t="s">
        <v>135</v>
      </c>
      <c r="D14" t="s">
        <v>136</v>
      </c>
      <c r="E14" t="s">
        <v>137</v>
      </c>
      <c r="F14">
        <v>13</v>
      </c>
      <c r="G14">
        <v>81.300000000000011</v>
      </c>
      <c r="I14">
        <v>7.6</v>
      </c>
      <c r="K14">
        <v>9.1999999999999993</v>
      </c>
      <c r="M14">
        <v>1.9</v>
      </c>
      <c r="AF14">
        <v>9.5282500000000017</v>
      </c>
      <c r="AI14" t="s">
        <v>0</v>
      </c>
      <c r="AJ14" t="s">
        <v>138</v>
      </c>
      <c r="AK14" t="s">
        <v>139</v>
      </c>
      <c r="AL14" t="s">
        <v>11</v>
      </c>
      <c r="AM14" t="s">
        <v>11</v>
      </c>
      <c r="AN14" t="s">
        <v>74</v>
      </c>
      <c r="AO14" t="s">
        <v>11</v>
      </c>
      <c r="AP14" t="s">
        <v>11</v>
      </c>
      <c r="AQ14" t="s">
        <v>11</v>
      </c>
      <c r="AR14" t="s">
        <v>11</v>
      </c>
      <c r="AS14" t="s">
        <v>11</v>
      </c>
      <c r="AT14" t="s">
        <v>11</v>
      </c>
      <c r="AU14" t="s">
        <v>11</v>
      </c>
      <c r="AV14" t="s">
        <v>11</v>
      </c>
      <c r="AW14" t="s">
        <v>11</v>
      </c>
      <c r="AX14" t="s">
        <v>11</v>
      </c>
      <c r="AY14" t="s">
        <v>11</v>
      </c>
      <c r="AZ14" t="s">
        <v>11</v>
      </c>
      <c r="BA14" t="s">
        <v>11</v>
      </c>
      <c r="BB14" t="s">
        <v>11</v>
      </c>
      <c r="BC14" t="s">
        <v>11</v>
      </c>
      <c r="BD14" t="s">
        <v>11</v>
      </c>
      <c r="BE14" t="s">
        <v>11</v>
      </c>
      <c r="BF14" t="s">
        <v>11</v>
      </c>
      <c r="BG14" t="s">
        <v>11</v>
      </c>
      <c r="BH14" t="s">
        <v>140</v>
      </c>
      <c r="BI14" t="s">
        <v>134</v>
      </c>
      <c r="BJ14" t="s">
        <v>141</v>
      </c>
      <c r="BK14" t="s">
        <v>142</v>
      </c>
    </row>
    <row r="15" spans="1:67" x14ac:dyDescent="0.3">
      <c r="A15" t="s">
        <v>143</v>
      </c>
      <c r="B15" t="s">
        <v>95</v>
      </c>
      <c r="C15" t="s">
        <v>144</v>
      </c>
      <c r="D15" t="s">
        <v>145</v>
      </c>
      <c r="E15" t="s">
        <v>146</v>
      </c>
      <c r="F15">
        <v>14</v>
      </c>
      <c r="G15">
        <v>82.3</v>
      </c>
      <c r="I15">
        <v>8.3000000000000007</v>
      </c>
      <c r="K15">
        <v>9.4</v>
      </c>
      <c r="AF15">
        <v>9.3582999999999998</v>
      </c>
      <c r="AI15" t="s">
        <v>0</v>
      </c>
      <c r="AJ15" t="s">
        <v>147</v>
      </c>
      <c r="AK15" t="s">
        <v>148</v>
      </c>
      <c r="AL15" t="s">
        <v>11</v>
      </c>
      <c r="AM15" t="s">
        <v>11</v>
      </c>
      <c r="AN15" t="s">
        <v>11</v>
      </c>
      <c r="AO15" t="s">
        <v>11</v>
      </c>
      <c r="AP15" t="s">
        <v>11</v>
      </c>
      <c r="AQ15" t="s">
        <v>11</v>
      </c>
      <c r="AR15" t="s">
        <v>11</v>
      </c>
      <c r="AS15" t="s">
        <v>11</v>
      </c>
      <c r="AT15" t="s">
        <v>11</v>
      </c>
      <c r="AU15" t="s">
        <v>11</v>
      </c>
      <c r="AV15" t="s">
        <v>11</v>
      </c>
      <c r="AW15" t="s">
        <v>11</v>
      </c>
      <c r="AX15" t="s">
        <v>11</v>
      </c>
      <c r="AY15" t="s">
        <v>11</v>
      </c>
      <c r="AZ15" t="s">
        <v>11</v>
      </c>
      <c r="BA15" t="s">
        <v>11</v>
      </c>
      <c r="BB15" t="s">
        <v>11</v>
      </c>
      <c r="BC15" t="s">
        <v>11</v>
      </c>
      <c r="BD15" t="s">
        <v>11</v>
      </c>
      <c r="BE15" t="s">
        <v>11</v>
      </c>
      <c r="BF15" t="s">
        <v>11</v>
      </c>
      <c r="BG15" t="s">
        <v>11</v>
      </c>
      <c r="BH15" t="s">
        <v>149</v>
      </c>
      <c r="BI15" t="s">
        <v>143</v>
      </c>
      <c r="BJ15" t="s">
        <v>150</v>
      </c>
      <c r="BK15" t="s">
        <v>151</v>
      </c>
    </row>
    <row r="16" spans="1:67" x14ac:dyDescent="0.3">
      <c r="A16" t="s">
        <v>152</v>
      </c>
      <c r="B16" t="s">
        <v>95</v>
      </c>
      <c r="C16" t="s">
        <v>153</v>
      </c>
      <c r="D16" t="s">
        <v>154</v>
      </c>
      <c r="E16" t="s">
        <v>155</v>
      </c>
      <c r="F16">
        <v>15</v>
      </c>
      <c r="G16">
        <v>81.5</v>
      </c>
      <c r="I16">
        <v>8.1</v>
      </c>
      <c r="K16">
        <v>8.4</v>
      </c>
      <c r="M16">
        <v>2</v>
      </c>
      <c r="AF16">
        <v>9.4222000000000001</v>
      </c>
      <c r="AI16" t="s">
        <v>0</v>
      </c>
      <c r="AJ16" t="s">
        <v>99</v>
      </c>
      <c r="AK16" t="s">
        <v>100</v>
      </c>
      <c r="AL16" t="s">
        <v>11</v>
      </c>
      <c r="AM16" t="s">
        <v>11</v>
      </c>
      <c r="AN16" t="s">
        <v>24</v>
      </c>
      <c r="AO16" t="s">
        <v>11</v>
      </c>
      <c r="AP16" t="s">
        <v>11</v>
      </c>
      <c r="AQ16" t="s">
        <v>11</v>
      </c>
      <c r="AR16" t="s">
        <v>11</v>
      </c>
      <c r="AS16" t="s">
        <v>11</v>
      </c>
      <c r="AT16" t="s">
        <v>11</v>
      </c>
      <c r="AU16" t="s">
        <v>11</v>
      </c>
      <c r="AV16" t="s">
        <v>11</v>
      </c>
      <c r="AW16" t="s">
        <v>11</v>
      </c>
      <c r="AX16" t="s">
        <v>11</v>
      </c>
      <c r="AY16" t="s">
        <v>11</v>
      </c>
      <c r="AZ16" t="s">
        <v>11</v>
      </c>
      <c r="BA16" t="s">
        <v>11</v>
      </c>
      <c r="BB16" t="s">
        <v>11</v>
      </c>
      <c r="BC16" t="s">
        <v>11</v>
      </c>
      <c r="BD16" t="s">
        <v>11</v>
      </c>
      <c r="BE16" t="s">
        <v>11</v>
      </c>
      <c r="BF16" t="s">
        <v>11</v>
      </c>
      <c r="BG16" t="s">
        <v>11</v>
      </c>
      <c r="BH16" t="s">
        <v>156</v>
      </c>
      <c r="BI16" t="s">
        <v>152</v>
      </c>
      <c r="BJ16" t="s">
        <v>157</v>
      </c>
      <c r="BK16" t="s">
        <v>158</v>
      </c>
    </row>
    <row r="17" spans="1:63" x14ac:dyDescent="0.3">
      <c r="A17" t="s">
        <v>159</v>
      </c>
      <c r="B17" t="s">
        <v>160</v>
      </c>
      <c r="C17" t="s">
        <v>161</v>
      </c>
      <c r="D17" t="s">
        <v>162</v>
      </c>
      <c r="E17" t="s">
        <v>163</v>
      </c>
      <c r="F17">
        <v>16</v>
      </c>
      <c r="G17">
        <v>81.3</v>
      </c>
      <c r="I17">
        <v>8</v>
      </c>
      <c r="J17">
        <v>1.9</v>
      </c>
      <c r="K17">
        <v>7.2</v>
      </c>
      <c r="M17">
        <v>1.6</v>
      </c>
      <c r="AF17">
        <v>9.24071</v>
      </c>
      <c r="AI17" t="s">
        <v>0</v>
      </c>
      <c r="AJ17" t="s">
        <v>164</v>
      </c>
      <c r="AK17" t="s">
        <v>165</v>
      </c>
      <c r="AL17" t="s">
        <v>11</v>
      </c>
      <c r="AM17" t="s">
        <v>166</v>
      </c>
      <c r="AN17" t="s">
        <v>167</v>
      </c>
      <c r="AO17" t="s">
        <v>11</v>
      </c>
      <c r="AP17" t="s">
        <v>11</v>
      </c>
      <c r="AQ17" t="s">
        <v>11</v>
      </c>
      <c r="AR17" t="s">
        <v>11</v>
      </c>
      <c r="AS17" t="s">
        <v>11</v>
      </c>
      <c r="AT17" t="s">
        <v>11</v>
      </c>
      <c r="AU17" t="s">
        <v>11</v>
      </c>
      <c r="AV17" t="s">
        <v>11</v>
      </c>
      <c r="AW17" t="s">
        <v>11</v>
      </c>
      <c r="AX17" t="s">
        <v>11</v>
      </c>
      <c r="AY17" t="s">
        <v>11</v>
      </c>
      <c r="AZ17" t="s">
        <v>11</v>
      </c>
      <c r="BA17" t="s">
        <v>11</v>
      </c>
      <c r="BB17" t="s">
        <v>11</v>
      </c>
      <c r="BC17" t="s">
        <v>11</v>
      </c>
      <c r="BD17" t="s">
        <v>11</v>
      </c>
      <c r="BE17" t="s">
        <v>11</v>
      </c>
      <c r="BF17" t="s">
        <v>11</v>
      </c>
      <c r="BG17" t="s">
        <v>11</v>
      </c>
      <c r="BH17" t="s">
        <v>168</v>
      </c>
      <c r="BI17" t="s">
        <v>159</v>
      </c>
      <c r="BJ17" t="s">
        <v>169</v>
      </c>
      <c r="BK17" t="s">
        <v>170</v>
      </c>
    </row>
    <row r="18" spans="1:63" x14ac:dyDescent="0.3">
      <c r="A18" t="s">
        <v>171</v>
      </c>
      <c r="B18" t="s">
        <v>160</v>
      </c>
      <c r="C18" t="s">
        <v>172</v>
      </c>
      <c r="D18" t="s">
        <v>173</v>
      </c>
      <c r="E18" t="s">
        <v>174</v>
      </c>
      <c r="F18">
        <v>17</v>
      </c>
      <c r="G18">
        <v>82.4</v>
      </c>
      <c r="I18">
        <v>8.1</v>
      </c>
      <c r="K18">
        <v>6.7</v>
      </c>
      <c r="M18">
        <v>1.4</v>
      </c>
      <c r="N18">
        <v>1.4</v>
      </c>
      <c r="AF18">
        <v>9.1951300000000007</v>
      </c>
      <c r="AI18" t="s">
        <v>0</v>
      </c>
      <c r="AJ18" t="s">
        <v>99</v>
      </c>
      <c r="AK18" t="s">
        <v>175</v>
      </c>
      <c r="AL18" t="s">
        <v>11</v>
      </c>
      <c r="AM18" t="s">
        <v>11</v>
      </c>
      <c r="AN18" t="s">
        <v>176</v>
      </c>
      <c r="AO18" t="s">
        <v>177</v>
      </c>
      <c r="AP18" t="s">
        <v>11</v>
      </c>
      <c r="AQ18" t="s">
        <v>11</v>
      </c>
      <c r="AR18" t="s">
        <v>11</v>
      </c>
      <c r="AS18" t="s">
        <v>11</v>
      </c>
      <c r="AT18" t="s">
        <v>11</v>
      </c>
      <c r="AU18" t="s">
        <v>11</v>
      </c>
      <c r="AV18" t="s">
        <v>11</v>
      </c>
      <c r="AW18" t="s">
        <v>11</v>
      </c>
      <c r="AX18" t="s">
        <v>11</v>
      </c>
      <c r="AY18" t="s">
        <v>11</v>
      </c>
      <c r="AZ18" t="s">
        <v>11</v>
      </c>
      <c r="BA18" t="s">
        <v>11</v>
      </c>
      <c r="BB18" t="s">
        <v>11</v>
      </c>
      <c r="BC18" t="s">
        <v>11</v>
      </c>
      <c r="BD18" t="s">
        <v>11</v>
      </c>
      <c r="BE18" t="s">
        <v>11</v>
      </c>
      <c r="BF18" t="s">
        <v>11</v>
      </c>
      <c r="BG18" t="s">
        <v>11</v>
      </c>
      <c r="BH18" t="s">
        <v>178</v>
      </c>
      <c r="BI18" t="s">
        <v>171</v>
      </c>
      <c r="BJ18" t="s">
        <v>179</v>
      </c>
      <c r="BK18" t="s">
        <v>180</v>
      </c>
    </row>
    <row r="19" spans="1:63" x14ac:dyDescent="0.3">
      <c r="A19" t="s">
        <v>181</v>
      </c>
      <c r="B19" t="s">
        <v>160</v>
      </c>
      <c r="C19" t="s">
        <v>182</v>
      </c>
      <c r="D19" t="s">
        <v>183</v>
      </c>
      <c r="E19" t="s">
        <v>184</v>
      </c>
      <c r="F19">
        <v>18</v>
      </c>
      <c r="G19">
        <v>80.8</v>
      </c>
      <c r="I19">
        <v>8.1</v>
      </c>
      <c r="K19">
        <v>7.7</v>
      </c>
      <c r="M19">
        <v>1.6</v>
      </c>
      <c r="V19">
        <v>1.8</v>
      </c>
      <c r="AF19">
        <v>9.2004900000000003</v>
      </c>
      <c r="AI19" t="s">
        <v>0</v>
      </c>
      <c r="AJ19" t="s">
        <v>99</v>
      </c>
      <c r="AK19" t="s">
        <v>185</v>
      </c>
      <c r="AL19" t="s">
        <v>11</v>
      </c>
      <c r="AM19" t="s">
        <v>11</v>
      </c>
      <c r="AN19" t="s">
        <v>167</v>
      </c>
      <c r="AO19" t="s">
        <v>11</v>
      </c>
      <c r="AP19" t="s">
        <v>11</v>
      </c>
      <c r="AQ19" t="s">
        <v>11</v>
      </c>
      <c r="AR19" t="s">
        <v>11</v>
      </c>
      <c r="AS19" t="s">
        <v>11</v>
      </c>
      <c r="AT19" t="s">
        <v>11</v>
      </c>
      <c r="AU19" t="s">
        <v>11</v>
      </c>
      <c r="AV19" t="s">
        <v>11</v>
      </c>
      <c r="AW19" t="s">
        <v>11</v>
      </c>
      <c r="AX19" t="s">
        <v>186</v>
      </c>
      <c r="AY19" t="s">
        <v>11</v>
      </c>
      <c r="AZ19" t="s">
        <v>11</v>
      </c>
      <c r="BA19" t="s">
        <v>11</v>
      </c>
      <c r="BB19" t="s">
        <v>11</v>
      </c>
      <c r="BC19" t="s">
        <v>11</v>
      </c>
      <c r="BD19" t="s">
        <v>11</v>
      </c>
      <c r="BE19" t="s">
        <v>11</v>
      </c>
      <c r="BF19" t="s">
        <v>11</v>
      </c>
      <c r="BG19" t="s">
        <v>11</v>
      </c>
      <c r="BH19" t="s">
        <v>187</v>
      </c>
      <c r="BI19" t="s">
        <v>181</v>
      </c>
      <c r="BJ19" t="s">
        <v>188</v>
      </c>
      <c r="BK19" t="s">
        <v>189</v>
      </c>
    </row>
    <row r="20" spans="1:63" x14ac:dyDescent="0.3">
      <c r="A20" t="s">
        <v>190</v>
      </c>
      <c r="B20" t="s">
        <v>160</v>
      </c>
      <c r="C20" t="s">
        <v>191</v>
      </c>
      <c r="D20" t="s">
        <v>192</v>
      </c>
      <c r="E20" t="s">
        <v>193</v>
      </c>
      <c r="F20">
        <v>19</v>
      </c>
      <c r="G20">
        <v>80.400000000000006</v>
      </c>
      <c r="I20">
        <v>8.1999999999999993</v>
      </c>
      <c r="K20">
        <v>7.5</v>
      </c>
      <c r="M20">
        <v>1.9</v>
      </c>
      <c r="O20">
        <v>2</v>
      </c>
      <c r="AF20">
        <v>9.2593000000000014</v>
      </c>
      <c r="AI20" t="s">
        <v>0</v>
      </c>
      <c r="AJ20" t="s">
        <v>194</v>
      </c>
      <c r="AK20" t="s">
        <v>195</v>
      </c>
      <c r="AL20" t="s">
        <v>11</v>
      </c>
      <c r="AM20" t="s">
        <v>11</v>
      </c>
      <c r="AN20" t="s">
        <v>74</v>
      </c>
      <c r="AO20" t="s">
        <v>11</v>
      </c>
      <c r="AP20" t="s">
        <v>196</v>
      </c>
      <c r="AQ20" t="s">
        <v>11</v>
      </c>
      <c r="AR20" t="s">
        <v>11</v>
      </c>
      <c r="AS20" t="s">
        <v>11</v>
      </c>
      <c r="AT20" t="s">
        <v>11</v>
      </c>
      <c r="AU20" t="s">
        <v>11</v>
      </c>
      <c r="AV20" t="s">
        <v>11</v>
      </c>
      <c r="AW20" t="s">
        <v>11</v>
      </c>
      <c r="AX20" t="s">
        <v>11</v>
      </c>
      <c r="AY20" t="s">
        <v>11</v>
      </c>
      <c r="AZ20" t="s">
        <v>11</v>
      </c>
      <c r="BA20" t="s">
        <v>11</v>
      </c>
      <c r="BB20" t="s">
        <v>11</v>
      </c>
      <c r="BC20" t="s">
        <v>11</v>
      </c>
      <c r="BD20" t="s">
        <v>11</v>
      </c>
      <c r="BE20" t="s">
        <v>11</v>
      </c>
      <c r="BF20" t="s">
        <v>11</v>
      </c>
      <c r="BG20" t="s">
        <v>11</v>
      </c>
      <c r="BH20" t="s">
        <v>197</v>
      </c>
      <c r="BI20" t="s">
        <v>190</v>
      </c>
      <c r="BJ20" t="s">
        <v>198</v>
      </c>
      <c r="BK20" t="s">
        <v>199</v>
      </c>
    </row>
    <row r="21" spans="1:63" x14ac:dyDescent="0.3">
      <c r="A21" t="s">
        <v>200</v>
      </c>
      <c r="B21" t="s">
        <v>160</v>
      </c>
      <c r="C21" t="s">
        <v>201</v>
      </c>
      <c r="D21" t="s">
        <v>202</v>
      </c>
      <c r="E21" t="s">
        <v>203</v>
      </c>
      <c r="F21">
        <v>20</v>
      </c>
      <c r="G21">
        <v>78.599999999999994</v>
      </c>
      <c r="I21">
        <v>8.1999999999999993</v>
      </c>
      <c r="K21">
        <v>9.6</v>
      </c>
      <c r="M21">
        <v>1.8</v>
      </c>
      <c r="P21">
        <v>1.8</v>
      </c>
      <c r="AF21">
        <v>9.5495400000000004</v>
      </c>
      <c r="AI21" t="s">
        <v>0</v>
      </c>
      <c r="AJ21" t="s">
        <v>194</v>
      </c>
      <c r="AK21" t="s">
        <v>204</v>
      </c>
      <c r="AL21" t="s">
        <v>11</v>
      </c>
      <c r="AM21" t="s">
        <v>11</v>
      </c>
      <c r="AN21" t="s">
        <v>205</v>
      </c>
      <c r="AO21" t="s">
        <v>11</v>
      </c>
      <c r="AP21" t="s">
        <v>11</v>
      </c>
      <c r="AQ21" t="s">
        <v>11</v>
      </c>
      <c r="AR21" t="s">
        <v>206</v>
      </c>
      <c r="AS21" t="s">
        <v>11</v>
      </c>
      <c r="AT21" t="s">
        <v>11</v>
      </c>
      <c r="AU21" t="s">
        <v>11</v>
      </c>
      <c r="AV21" t="s">
        <v>11</v>
      </c>
      <c r="AW21" t="s">
        <v>11</v>
      </c>
      <c r="AX21" t="s">
        <v>11</v>
      </c>
      <c r="AY21" t="s">
        <v>11</v>
      </c>
      <c r="AZ21" t="s">
        <v>11</v>
      </c>
      <c r="BA21" t="s">
        <v>11</v>
      </c>
      <c r="BB21" t="s">
        <v>11</v>
      </c>
      <c r="BC21" t="s">
        <v>11</v>
      </c>
      <c r="BD21" t="s">
        <v>11</v>
      </c>
      <c r="BE21" t="s">
        <v>11</v>
      </c>
      <c r="BF21" t="s">
        <v>11</v>
      </c>
      <c r="BG21" t="s">
        <v>11</v>
      </c>
      <c r="BH21" t="s">
        <v>207</v>
      </c>
      <c r="BI21" t="s">
        <v>200</v>
      </c>
      <c r="BJ21" t="s">
        <v>208</v>
      </c>
      <c r="BK21" t="s">
        <v>209</v>
      </c>
    </row>
    <row r="22" spans="1:63" x14ac:dyDescent="0.3">
      <c r="A22" t="s">
        <v>210</v>
      </c>
      <c r="B22" t="s">
        <v>160</v>
      </c>
      <c r="C22" t="s">
        <v>211</v>
      </c>
      <c r="D22" t="s">
        <v>212</v>
      </c>
      <c r="E22" t="s">
        <v>213</v>
      </c>
      <c r="F22">
        <v>22</v>
      </c>
      <c r="G22">
        <v>82.8</v>
      </c>
      <c r="I22">
        <v>8</v>
      </c>
      <c r="K22">
        <v>5.7</v>
      </c>
      <c r="M22">
        <v>2</v>
      </c>
      <c r="P22">
        <v>1.5</v>
      </c>
      <c r="AF22">
        <v>9.169649999999999</v>
      </c>
      <c r="AI22" t="s">
        <v>0</v>
      </c>
      <c r="AJ22" t="s">
        <v>164</v>
      </c>
      <c r="AK22" t="s">
        <v>214</v>
      </c>
      <c r="AL22" t="s">
        <v>11</v>
      </c>
      <c r="AM22" t="s">
        <v>11</v>
      </c>
      <c r="AN22" t="s">
        <v>24</v>
      </c>
      <c r="AO22" t="s">
        <v>11</v>
      </c>
      <c r="AP22" t="s">
        <v>11</v>
      </c>
      <c r="AQ22" t="s">
        <v>11</v>
      </c>
      <c r="AR22" t="s">
        <v>215</v>
      </c>
      <c r="AS22" t="s">
        <v>11</v>
      </c>
      <c r="AT22" t="s">
        <v>11</v>
      </c>
      <c r="AU22" t="s">
        <v>11</v>
      </c>
      <c r="AV22" t="s">
        <v>11</v>
      </c>
      <c r="AW22" t="s">
        <v>11</v>
      </c>
      <c r="AX22" t="s">
        <v>11</v>
      </c>
      <c r="AY22" t="s">
        <v>11</v>
      </c>
      <c r="AZ22" t="s">
        <v>11</v>
      </c>
      <c r="BA22" t="s">
        <v>11</v>
      </c>
      <c r="BB22" t="s">
        <v>11</v>
      </c>
      <c r="BC22" t="s">
        <v>11</v>
      </c>
      <c r="BD22" t="s">
        <v>11</v>
      </c>
      <c r="BE22" t="s">
        <v>11</v>
      </c>
      <c r="BF22" t="s">
        <v>11</v>
      </c>
      <c r="BG22" t="s">
        <v>11</v>
      </c>
      <c r="BH22" t="s">
        <v>216</v>
      </c>
      <c r="BI22" t="s">
        <v>210</v>
      </c>
      <c r="BJ22" t="s">
        <v>217</v>
      </c>
      <c r="BK22" t="s">
        <v>218</v>
      </c>
    </row>
    <row r="23" spans="1:63" x14ac:dyDescent="0.3">
      <c r="A23" t="s">
        <v>219</v>
      </c>
      <c r="B23" t="s">
        <v>160</v>
      </c>
      <c r="C23" t="s">
        <v>220</v>
      </c>
      <c r="D23" t="s">
        <v>221</v>
      </c>
      <c r="E23" t="s">
        <v>222</v>
      </c>
      <c r="F23">
        <v>23</v>
      </c>
      <c r="G23">
        <v>83.6</v>
      </c>
      <c r="I23">
        <v>8.6999999999999993</v>
      </c>
      <c r="K23">
        <v>5.5</v>
      </c>
      <c r="M23">
        <v>1.3</v>
      </c>
      <c r="T23">
        <v>0.9</v>
      </c>
      <c r="AF23">
        <v>9.1535399999999996</v>
      </c>
      <c r="AI23" t="s">
        <v>0</v>
      </c>
      <c r="AJ23" t="s">
        <v>223</v>
      </c>
      <c r="AK23" t="s">
        <v>224</v>
      </c>
      <c r="AL23" t="s">
        <v>11</v>
      </c>
      <c r="AM23" t="s">
        <v>11</v>
      </c>
      <c r="AN23" t="s">
        <v>225</v>
      </c>
      <c r="AO23" t="s">
        <v>11</v>
      </c>
      <c r="AP23" t="s">
        <v>11</v>
      </c>
      <c r="AQ23" t="s">
        <v>11</v>
      </c>
      <c r="AR23" t="s">
        <v>11</v>
      </c>
      <c r="AS23" t="s">
        <v>11</v>
      </c>
      <c r="AT23" t="s">
        <v>11</v>
      </c>
      <c r="AU23" t="s">
        <v>11</v>
      </c>
      <c r="AV23" t="s">
        <v>226</v>
      </c>
      <c r="AW23" t="s">
        <v>11</v>
      </c>
      <c r="AX23" t="s">
        <v>11</v>
      </c>
      <c r="AY23" t="s">
        <v>11</v>
      </c>
      <c r="AZ23" t="s">
        <v>11</v>
      </c>
      <c r="BA23" t="s">
        <v>11</v>
      </c>
      <c r="BB23" t="s">
        <v>11</v>
      </c>
      <c r="BC23" t="s">
        <v>11</v>
      </c>
      <c r="BD23" t="s">
        <v>11</v>
      </c>
      <c r="BE23" t="s">
        <v>11</v>
      </c>
      <c r="BF23" t="s">
        <v>11</v>
      </c>
      <c r="BG23" t="s">
        <v>11</v>
      </c>
      <c r="BH23" t="s">
        <v>227</v>
      </c>
      <c r="BI23" t="s">
        <v>219</v>
      </c>
      <c r="BJ23" t="s">
        <v>228</v>
      </c>
      <c r="BK23" t="s">
        <v>229</v>
      </c>
    </row>
    <row r="24" spans="1:63" x14ac:dyDescent="0.3">
      <c r="A24" t="s">
        <v>230</v>
      </c>
      <c r="B24" t="s">
        <v>95</v>
      </c>
      <c r="C24" t="s">
        <v>231</v>
      </c>
      <c r="D24" t="s">
        <v>232</v>
      </c>
      <c r="E24" t="s">
        <v>233</v>
      </c>
      <c r="F24">
        <v>24</v>
      </c>
      <c r="G24">
        <v>77.8</v>
      </c>
      <c r="I24">
        <v>8.6</v>
      </c>
      <c r="J24">
        <v>4.0999999999999996</v>
      </c>
      <c r="K24">
        <v>9.5</v>
      </c>
      <c r="AF24">
        <v>9.2799399999999999</v>
      </c>
      <c r="AI24" t="s">
        <v>0</v>
      </c>
      <c r="AJ24" t="s">
        <v>234</v>
      </c>
      <c r="AK24" t="s">
        <v>235</v>
      </c>
      <c r="AL24" t="s">
        <v>11</v>
      </c>
      <c r="AM24" t="s">
        <v>236</v>
      </c>
      <c r="AN24" t="s">
        <v>11</v>
      </c>
      <c r="AO24" t="s">
        <v>11</v>
      </c>
      <c r="AP24" t="s">
        <v>11</v>
      </c>
      <c r="AQ24" t="s">
        <v>11</v>
      </c>
      <c r="AR24" t="s">
        <v>11</v>
      </c>
      <c r="AS24" t="s">
        <v>11</v>
      </c>
      <c r="AT24" t="s">
        <v>11</v>
      </c>
      <c r="AU24" t="s">
        <v>11</v>
      </c>
      <c r="AV24" t="s">
        <v>11</v>
      </c>
      <c r="AW24" t="s">
        <v>11</v>
      </c>
      <c r="AX24" t="s">
        <v>11</v>
      </c>
      <c r="AY24" t="s">
        <v>11</v>
      </c>
      <c r="AZ24" t="s">
        <v>11</v>
      </c>
      <c r="BA24" t="s">
        <v>11</v>
      </c>
      <c r="BB24" t="s">
        <v>11</v>
      </c>
      <c r="BC24" t="s">
        <v>11</v>
      </c>
      <c r="BD24" t="s">
        <v>11</v>
      </c>
      <c r="BE24" t="s">
        <v>11</v>
      </c>
      <c r="BF24" t="s">
        <v>11</v>
      </c>
      <c r="BG24" t="s">
        <v>11</v>
      </c>
      <c r="BH24" t="s">
        <v>237</v>
      </c>
      <c r="BI24" t="s">
        <v>230</v>
      </c>
      <c r="BJ24" t="s">
        <v>238</v>
      </c>
      <c r="BK24" t="s">
        <v>239</v>
      </c>
    </row>
    <row r="25" spans="1:63" x14ac:dyDescent="0.3">
      <c r="A25" t="s">
        <v>240</v>
      </c>
      <c r="B25" t="s">
        <v>95</v>
      </c>
      <c r="C25" t="s">
        <v>241</v>
      </c>
      <c r="D25" t="s">
        <v>242</v>
      </c>
      <c r="E25" t="s">
        <v>243</v>
      </c>
      <c r="F25">
        <v>25</v>
      </c>
      <c r="G25">
        <v>73.5</v>
      </c>
      <c r="I25">
        <v>8.6999999999999993</v>
      </c>
      <c r="J25">
        <v>8.1999999999999993</v>
      </c>
      <c r="K25">
        <v>9.6</v>
      </c>
      <c r="AF25">
        <v>9.2139799999999994</v>
      </c>
      <c r="AI25" t="s">
        <v>0</v>
      </c>
      <c r="AJ25" t="s">
        <v>223</v>
      </c>
      <c r="AK25" t="s">
        <v>204</v>
      </c>
      <c r="AL25" t="s">
        <v>11</v>
      </c>
      <c r="AM25" t="s">
        <v>244</v>
      </c>
      <c r="AN25" t="s">
        <v>11</v>
      </c>
      <c r="AO25" t="s">
        <v>11</v>
      </c>
      <c r="AP25" t="s">
        <v>11</v>
      </c>
      <c r="AQ25" t="s">
        <v>11</v>
      </c>
      <c r="AR25" t="s">
        <v>11</v>
      </c>
      <c r="AS25" t="s">
        <v>11</v>
      </c>
      <c r="AT25" t="s">
        <v>11</v>
      </c>
      <c r="AU25" t="s">
        <v>11</v>
      </c>
      <c r="AV25" t="s">
        <v>11</v>
      </c>
      <c r="AW25" t="s">
        <v>11</v>
      </c>
      <c r="AX25" t="s">
        <v>11</v>
      </c>
      <c r="AY25" t="s">
        <v>11</v>
      </c>
      <c r="AZ25" t="s">
        <v>11</v>
      </c>
      <c r="BA25" t="s">
        <v>11</v>
      </c>
      <c r="BB25" t="s">
        <v>11</v>
      </c>
      <c r="BC25" t="s">
        <v>11</v>
      </c>
      <c r="BD25" t="s">
        <v>11</v>
      </c>
      <c r="BE25" t="s">
        <v>11</v>
      </c>
      <c r="BF25" t="s">
        <v>11</v>
      </c>
      <c r="BG25" t="s">
        <v>11</v>
      </c>
      <c r="BH25" t="s">
        <v>245</v>
      </c>
      <c r="BI25" t="s">
        <v>240</v>
      </c>
      <c r="BJ25" t="s">
        <v>246</v>
      </c>
      <c r="BK25" t="s">
        <v>247</v>
      </c>
    </row>
    <row r="26" spans="1:63" x14ac:dyDescent="0.3">
      <c r="A26" t="s">
        <v>248</v>
      </c>
      <c r="B26" t="s">
        <v>95</v>
      </c>
      <c r="C26" t="s">
        <v>249</v>
      </c>
      <c r="D26" t="s">
        <v>250</v>
      </c>
      <c r="E26" t="s">
        <v>251</v>
      </c>
      <c r="F26">
        <v>26</v>
      </c>
      <c r="G26">
        <v>66.099999999999994</v>
      </c>
      <c r="I26">
        <v>8.4</v>
      </c>
      <c r="J26">
        <v>16.5</v>
      </c>
      <c r="K26">
        <v>9</v>
      </c>
      <c r="AF26">
        <v>9.0285499999999992</v>
      </c>
      <c r="AI26" t="s">
        <v>0</v>
      </c>
      <c r="AJ26" t="s">
        <v>118</v>
      </c>
      <c r="AK26" t="s">
        <v>252</v>
      </c>
      <c r="AL26" t="s">
        <v>11</v>
      </c>
      <c r="AM26" t="s">
        <v>253</v>
      </c>
      <c r="AN26" t="s">
        <v>11</v>
      </c>
      <c r="AO26" t="s">
        <v>11</v>
      </c>
      <c r="AP26" t="s">
        <v>11</v>
      </c>
      <c r="AQ26" t="s">
        <v>11</v>
      </c>
      <c r="AR26" t="s">
        <v>11</v>
      </c>
      <c r="AS26" t="s">
        <v>11</v>
      </c>
      <c r="AT26" t="s">
        <v>11</v>
      </c>
      <c r="AU26" t="s">
        <v>11</v>
      </c>
      <c r="AV26" t="s">
        <v>11</v>
      </c>
      <c r="AW26" t="s">
        <v>11</v>
      </c>
      <c r="AX26" t="s">
        <v>11</v>
      </c>
      <c r="AY26" t="s">
        <v>11</v>
      </c>
      <c r="AZ26" t="s">
        <v>11</v>
      </c>
      <c r="BA26" t="s">
        <v>11</v>
      </c>
      <c r="BB26" t="s">
        <v>11</v>
      </c>
      <c r="BC26" t="s">
        <v>11</v>
      </c>
      <c r="BD26" t="s">
        <v>11</v>
      </c>
      <c r="BE26" t="s">
        <v>11</v>
      </c>
      <c r="BF26" t="s">
        <v>11</v>
      </c>
      <c r="BG26" t="s">
        <v>11</v>
      </c>
      <c r="BH26" t="s">
        <v>254</v>
      </c>
      <c r="BI26" t="s">
        <v>248</v>
      </c>
      <c r="BJ26" t="s">
        <v>255</v>
      </c>
      <c r="BK26" t="s">
        <v>256</v>
      </c>
    </row>
    <row r="27" spans="1:63" x14ac:dyDescent="0.3">
      <c r="A27" t="s">
        <v>257</v>
      </c>
      <c r="B27" t="s">
        <v>95</v>
      </c>
      <c r="C27" t="s">
        <v>258</v>
      </c>
      <c r="D27" t="s">
        <v>259</v>
      </c>
      <c r="E27" t="s">
        <v>260</v>
      </c>
      <c r="F27">
        <v>27</v>
      </c>
      <c r="G27">
        <v>72.7</v>
      </c>
      <c r="H27">
        <v>9</v>
      </c>
      <c r="I27">
        <v>8.8000000000000007</v>
      </c>
      <c r="K27">
        <v>9.5</v>
      </c>
      <c r="AF27">
        <v>9.3383700000000012</v>
      </c>
      <c r="AI27" t="s">
        <v>0</v>
      </c>
      <c r="AJ27" t="s">
        <v>261</v>
      </c>
      <c r="AK27" t="s">
        <v>235</v>
      </c>
      <c r="AL27" t="s">
        <v>262</v>
      </c>
      <c r="AM27" t="s">
        <v>11</v>
      </c>
      <c r="AN27" t="s">
        <v>11</v>
      </c>
      <c r="AO27" t="s">
        <v>11</v>
      </c>
      <c r="AP27" t="s">
        <v>11</v>
      </c>
      <c r="AQ27" t="s">
        <v>11</v>
      </c>
      <c r="AR27" t="s">
        <v>11</v>
      </c>
      <c r="AS27" t="s">
        <v>11</v>
      </c>
      <c r="AT27" t="s">
        <v>11</v>
      </c>
      <c r="AU27" t="s">
        <v>11</v>
      </c>
      <c r="AV27" t="s">
        <v>11</v>
      </c>
      <c r="AW27" t="s">
        <v>11</v>
      </c>
      <c r="AX27" t="s">
        <v>11</v>
      </c>
      <c r="AY27" t="s">
        <v>11</v>
      </c>
      <c r="AZ27" t="s">
        <v>11</v>
      </c>
      <c r="BA27" t="s">
        <v>11</v>
      </c>
      <c r="BB27" t="s">
        <v>11</v>
      </c>
      <c r="BC27" t="s">
        <v>11</v>
      </c>
      <c r="BD27" t="s">
        <v>11</v>
      </c>
      <c r="BE27" t="s">
        <v>11</v>
      </c>
      <c r="BF27" t="s">
        <v>11</v>
      </c>
      <c r="BG27" t="s">
        <v>11</v>
      </c>
      <c r="BH27" t="s">
        <v>263</v>
      </c>
      <c r="BI27" t="s">
        <v>257</v>
      </c>
      <c r="BJ27" t="s">
        <v>264</v>
      </c>
      <c r="BK27" t="s">
        <v>265</v>
      </c>
    </row>
    <row r="28" spans="1:63" x14ac:dyDescent="0.3">
      <c r="A28" t="s">
        <v>266</v>
      </c>
      <c r="B28" t="s">
        <v>95</v>
      </c>
      <c r="C28" t="s">
        <v>267</v>
      </c>
      <c r="D28" t="s">
        <v>268</v>
      </c>
      <c r="E28" t="s">
        <v>269</v>
      </c>
      <c r="F28">
        <v>28</v>
      </c>
      <c r="G28">
        <v>63.2</v>
      </c>
      <c r="H28">
        <v>18.399999999999999</v>
      </c>
      <c r="I28">
        <v>8.8000000000000007</v>
      </c>
      <c r="K28">
        <v>9.6</v>
      </c>
      <c r="AF28">
        <v>9.3494719999999987</v>
      </c>
      <c r="AI28" t="s">
        <v>0</v>
      </c>
      <c r="AJ28" t="s">
        <v>261</v>
      </c>
      <c r="AK28" t="s">
        <v>204</v>
      </c>
      <c r="AL28" t="s">
        <v>270</v>
      </c>
      <c r="AM28" t="s">
        <v>11</v>
      </c>
      <c r="AN28" t="s">
        <v>11</v>
      </c>
      <c r="AO28" t="s">
        <v>11</v>
      </c>
      <c r="AP28" t="s">
        <v>11</v>
      </c>
      <c r="AQ28" t="s">
        <v>11</v>
      </c>
      <c r="AR28" t="s">
        <v>11</v>
      </c>
      <c r="AS28" t="s">
        <v>11</v>
      </c>
      <c r="AT28" t="s">
        <v>11</v>
      </c>
      <c r="AU28" t="s">
        <v>11</v>
      </c>
      <c r="AV28" t="s">
        <v>11</v>
      </c>
      <c r="AW28" t="s">
        <v>11</v>
      </c>
      <c r="AX28" t="s">
        <v>11</v>
      </c>
      <c r="AY28" t="s">
        <v>11</v>
      </c>
      <c r="AZ28" t="s">
        <v>11</v>
      </c>
      <c r="BA28" t="s">
        <v>11</v>
      </c>
      <c r="BB28" t="s">
        <v>11</v>
      </c>
      <c r="BC28" t="s">
        <v>11</v>
      </c>
      <c r="BD28" t="s">
        <v>11</v>
      </c>
      <c r="BE28" t="s">
        <v>11</v>
      </c>
      <c r="BF28" t="s">
        <v>11</v>
      </c>
      <c r="BG28" t="s">
        <v>11</v>
      </c>
      <c r="BH28" t="s">
        <v>271</v>
      </c>
      <c r="BI28" t="s">
        <v>266</v>
      </c>
      <c r="BJ28" t="s">
        <v>272</v>
      </c>
      <c r="BK28" t="s">
        <v>273</v>
      </c>
    </row>
    <row r="29" spans="1:63" x14ac:dyDescent="0.3">
      <c r="A29" t="s">
        <v>274</v>
      </c>
      <c r="B29" t="s">
        <v>160</v>
      </c>
      <c r="C29" t="s">
        <v>275</v>
      </c>
      <c r="D29" t="s">
        <v>276</v>
      </c>
      <c r="E29" t="s">
        <v>277</v>
      </c>
      <c r="F29">
        <v>29</v>
      </c>
      <c r="G29">
        <v>63.870000000000005</v>
      </c>
      <c r="H29">
        <v>9.1999999999999993</v>
      </c>
      <c r="I29">
        <v>9.1</v>
      </c>
      <c r="J29">
        <v>8.1999999999999993</v>
      </c>
      <c r="K29">
        <v>9.6300000000000008</v>
      </c>
      <c r="AF29">
        <v>9.1930210000000017</v>
      </c>
      <c r="AI29" t="s">
        <v>0</v>
      </c>
      <c r="AJ29" t="s">
        <v>278</v>
      </c>
      <c r="AK29" t="s">
        <v>204</v>
      </c>
      <c r="AL29" t="s">
        <v>279</v>
      </c>
      <c r="AM29" t="s">
        <v>244</v>
      </c>
      <c r="AN29" t="s">
        <v>11</v>
      </c>
      <c r="AO29" t="s">
        <v>11</v>
      </c>
      <c r="AP29" t="s">
        <v>11</v>
      </c>
      <c r="AQ29" t="s">
        <v>11</v>
      </c>
      <c r="AR29" t="s">
        <v>11</v>
      </c>
      <c r="AS29" t="s">
        <v>11</v>
      </c>
      <c r="AT29" t="s">
        <v>11</v>
      </c>
      <c r="AU29" t="s">
        <v>11</v>
      </c>
      <c r="AV29" t="s">
        <v>11</v>
      </c>
      <c r="AW29" t="s">
        <v>11</v>
      </c>
      <c r="AX29" t="s">
        <v>11</v>
      </c>
      <c r="AY29" t="s">
        <v>11</v>
      </c>
      <c r="AZ29" t="s">
        <v>11</v>
      </c>
      <c r="BA29" t="s">
        <v>11</v>
      </c>
      <c r="BB29" t="s">
        <v>11</v>
      </c>
      <c r="BC29" t="s">
        <v>11</v>
      </c>
      <c r="BD29" t="s">
        <v>11</v>
      </c>
      <c r="BE29" t="s">
        <v>11</v>
      </c>
      <c r="BF29" t="s">
        <v>11</v>
      </c>
      <c r="BG29" t="s">
        <v>11</v>
      </c>
      <c r="BH29" t="s">
        <v>280</v>
      </c>
      <c r="BI29" t="s">
        <v>274</v>
      </c>
      <c r="BJ29" t="s">
        <v>281</v>
      </c>
      <c r="BK29" t="s">
        <v>282</v>
      </c>
    </row>
    <row r="30" spans="1:63" x14ac:dyDescent="0.3">
      <c r="A30" t="s">
        <v>283</v>
      </c>
      <c r="B30" t="s">
        <v>160</v>
      </c>
      <c r="C30" t="s">
        <v>284</v>
      </c>
      <c r="D30" t="s">
        <v>285</v>
      </c>
      <c r="E30" t="s">
        <v>286</v>
      </c>
      <c r="F30">
        <v>30</v>
      </c>
      <c r="G30">
        <v>56.5</v>
      </c>
      <c r="H30">
        <v>18</v>
      </c>
      <c r="I30">
        <v>8.6</v>
      </c>
      <c r="J30">
        <v>8.1</v>
      </c>
      <c r="K30">
        <v>8.8000000000000007</v>
      </c>
      <c r="AF30">
        <v>9.1405300000000018</v>
      </c>
      <c r="AI30" t="s">
        <v>0</v>
      </c>
      <c r="AJ30" t="s">
        <v>234</v>
      </c>
      <c r="AK30" t="s">
        <v>287</v>
      </c>
      <c r="AL30" t="s">
        <v>288</v>
      </c>
      <c r="AM30" t="s">
        <v>289</v>
      </c>
      <c r="AN30" t="s">
        <v>11</v>
      </c>
      <c r="AO30" t="s">
        <v>11</v>
      </c>
      <c r="AP30" t="s">
        <v>11</v>
      </c>
      <c r="AQ30" t="s">
        <v>11</v>
      </c>
      <c r="AR30" t="s">
        <v>11</v>
      </c>
      <c r="AS30" t="s">
        <v>11</v>
      </c>
      <c r="AT30" t="s">
        <v>11</v>
      </c>
      <c r="AU30" t="s">
        <v>11</v>
      </c>
      <c r="AV30" t="s">
        <v>11</v>
      </c>
      <c r="AW30" t="s">
        <v>11</v>
      </c>
      <c r="AX30" t="s">
        <v>11</v>
      </c>
      <c r="AY30" t="s">
        <v>11</v>
      </c>
      <c r="AZ30" t="s">
        <v>11</v>
      </c>
      <c r="BA30" t="s">
        <v>11</v>
      </c>
      <c r="BB30" t="s">
        <v>11</v>
      </c>
      <c r="BC30" t="s">
        <v>11</v>
      </c>
      <c r="BD30" t="s">
        <v>11</v>
      </c>
      <c r="BE30" t="s">
        <v>11</v>
      </c>
      <c r="BF30" t="s">
        <v>11</v>
      </c>
      <c r="BG30" t="s">
        <v>11</v>
      </c>
      <c r="BH30" t="s">
        <v>290</v>
      </c>
      <c r="BI30" t="s">
        <v>283</v>
      </c>
      <c r="BJ30" t="s">
        <v>291</v>
      </c>
      <c r="BK30" t="s">
        <v>292</v>
      </c>
    </row>
    <row r="31" spans="1:63" x14ac:dyDescent="0.3">
      <c r="A31" t="s">
        <v>293</v>
      </c>
      <c r="B31" t="s">
        <v>95</v>
      </c>
      <c r="C31" t="s">
        <v>294</v>
      </c>
      <c r="D31" t="s">
        <v>295</v>
      </c>
      <c r="E31" t="s">
        <v>296</v>
      </c>
      <c r="F31">
        <v>33</v>
      </c>
      <c r="G31">
        <v>75.7</v>
      </c>
      <c r="I31">
        <v>7.5</v>
      </c>
      <c r="K31">
        <v>8.8000000000000007</v>
      </c>
      <c r="W31">
        <v>8</v>
      </c>
      <c r="AF31">
        <v>9.2637199999999993</v>
      </c>
      <c r="AI31" t="s">
        <v>0</v>
      </c>
      <c r="AJ31" t="s">
        <v>297</v>
      </c>
      <c r="AK31" t="s">
        <v>287</v>
      </c>
      <c r="AL31" t="s">
        <v>11</v>
      </c>
      <c r="AM31" t="s">
        <v>11</v>
      </c>
      <c r="AN31" t="s">
        <v>11</v>
      </c>
      <c r="AO31" t="s">
        <v>11</v>
      </c>
      <c r="AP31" t="s">
        <v>11</v>
      </c>
      <c r="AQ31" t="s">
        <v>11</v>
      </c>
      <c r="AR31" t="s">
        <v>11</v>
      </c>
      <c r="AS31" t="s">
        <v>11</v>
      </c>
      <c r="AT31" t="s">
        <v>11</v>
      </c>
      <c r="AU31" t="s">
        <v>11</v>
      </c>
      <c r="AV31" t="s">
        <v>11</v>
      </c>
      <c r="AW31" t="s">
        <v>11</v>
      </c>
      <c r="AX31" t="s">
        <v>11</v>
      </c>
      <c r="AY31" t="s">
        <v>298</v>
      </c>
      <c r="AZ31" t="s">
        <v>11</v>
      </c>
      <c r="BA31" t="s">
        <v>11</v>
      </c>
      <c r="BB31" t="s">
        <v>11</v>
      </c>
      <c r="BC31" t="s">
        <v>11</v>
      </c>
      <c r="BD31" t="s">
        <v>11</v>
      </c>
      <c r="BE31" t="s">
        <v>11</v>
      </c>
      <c r="BF31" t="s">
        <v>11</v>
      </c>
      <c r="BG31" t="s">
        <v>11</v>
      </c>
      <c r="BH31" t="s">
        <v>299</v>
      </c>
      <c r="BI31" t="s">
        <v>293</v>
      </c>
      <c r="BJ31" t="s">
        <v>300</v>
      </c>
      <c r="BK31" t="s">
        <v>301</v>
      </c>
    </row>
    <row r="32" spans="1:63" x14ac:dyDescent="0.3">
      <c r="A32" t="s">
        <v>302</v>
      </c>
      <c r="B32" t="s">
        <v>95</v>
      </c>
      <c r="C32" t="s">
        <v>303</v>
      </c>
      <c r="D32" t="s">
        <v>304</v>
      </c>
      <c r="E32" t="s">
        <v>305</v>
      </c>
      <c r="F32">
        <v>34</v>
      </c>
      <c r="G32">
        <v>66.099999999999994</v>
      </c>
      <c r="I32">
        <v>8.6</v>
      </c>
      <c r="K32">
        <v>8.6</v>
      </c>
      <c r="W32">
        <v>16.7</v>
      </c>
      <c r="AF32">
        <v>9.0855579999999989</v>
      </c>
      <c r="AI32" t="s">
        <v>0</v>
      </c>
      <c r="AJ32" t="s">
        <v>234</v>
      </c>
      <c r="AK32" t="s">
        <v>306</v>
      </c>
      <c r="AL32" t="s">
        <v>11</v>
      </c>
      <c r="AM32" t="s">
        <v>11</v>
      </c>
      <c r="AN32" t="s">
        <v>11</v>
      </c>
      <c r="AO32" t="s">
        <v>11</v>
      </c>
      <c r="AP32" t="s">
        <v>11</v>
      </c>
      <c r="AQ32" t="s">
        <v>11</v>
      </c>
      <c r="AR32" t="s">
        <v>11</v>
      </c>
      <c r="AS32" t="s">
        <v>11</v>
      </c>
      <c r="AT32" t="s">
        <v>11</v>
      </c>
      <c r="AU32" t="s">
        <v>11</v>
      </c>
      <c r="AV32" t="s">
        <v>11</v>
      </c>
      <c r="AW32" t="s">
        <v>11</v>
      </c>
      <c r="AX32" t="s">
        <v>11</v>
      </c>
      <c r="AY32" t="s">
        <v>307</v>
      </c>
      <c r="AZ32" t="s">
        <v>11</v>
      </c>
      <c r="BA32" t="s">
        <v>11</v>
      </c>
      <c r="BB32" t="s">
        <v>11</v>
      </c>
      <c r="BC32" t="s">
        <v>11</v>
      </c>
      <c r="BD32" t="s">
        <v>11</v>
      </c>
      <c r="BE32" t="s">
        <v>11</v>
      </c>
      <c r="BF32" t="s">
        <v>11</v>
      </c>
      <c r="BG32" t="s">
        <v>11</v>
      </c>
      <c r="BH32" t="s">
        <v>308</v>
      </c>
      <c r="BI32" t="s">
        <v>302</v>
      </c>
      <c r="BJ32" t="s">
        <v>309</v>
      </c>
      <c r="BK32" t="s">
        <v>310</v>
      </c>
    </row>
    <row r="33" spans="1:63" x14ac:dyDescent="0.3">
      <c r="A33" t="s">
        <v>311</v>
      </c>
      <c r="B33" t="s">
        <v>160</v>
      </c>
      <c r="C33" t="s">
        <v>312</v>
      </c>
      <c r="D33" t="s">
        <v>313</v>
      </c>
      <c r="E33" t="s">
        <v>314</v>
      </c>
      <c r="F33">
        <v>38</v>
      </c>
      <c r="G33">
        <v>77.58</v>
      </c>
      <c r="I33">
        <v>9.5</v>
      </c>
      <c r="K33">
        <v>9.6999999999999993</v>
      </c>
      <c r="M33">
        <v>1.3</v>
      </c>
      <c r="S33">
        <v>0.12</v>
      </c>
      <c r="T33">
        <v>1.8</v>
      </c>
      <c r="AF33">
        <v>9.6538519999999988</v>
      </c>
      <c r="AI33" t="s">
        <v>0</v>
      </c>
      <c r="AJ33" t="s">
        <v>315</v>
      </c>
      <c r="AK33" t="s">
        <v>316</v>
      </c>
      <c r="AL33" t="s">
        <v>11</v>
      </c>
      <c r="AM33" t="s">
        <v>11</v>
      </c>
      <c r="AN33" t="s">
        <v>225</v>
      </c>
      <c r="AO33" t="s">
        <v>11</v>
      </c>
      <c r="AP33" t="s">
        <v>11</v>
      </c>
      <c r="AQ33" t="s">
        <v>11</v>
      </c>
      <c r="AR33" t="s">
        <v>11</v>
      </c>
      <c r="AS33" t="s">
        <v>11</v>
      </c>
      <c r="AT33" t="s">
        <v>11</v>
      </c>
      <c r="AU33" t="s">
        <v>317</v>
      </c>
      <c r="AV33" t="s">
        <v>318</v>
      </c>
      <c r="AW33" t="s">
        <v>11</v>
      </c>
      <c r="AX33" t="s">
        <v>11</v>
      </c>
      <c r="AY33" t="s">
        <v>11</v>
      </c>
      <c r="AZ33" t="s">
        <v>11</v>
      </c>
      <c r="BA33" t="s">
        <v>11</v>
      </c>
      <c r="BB33" t="s">
        <v>11</v>
      </c>
      <c r="BC33" t="s">
        <v>11</v>
      </c>
      <c r="BD33" t="s">
        <v>11</v>
      </c>
      <c r="BE33" t="s">
        <v>11</v>
      </c>
      <c r="BF33" t="s">
        <v>11</v>
      </c>
      <c r="BG33" t="s">
        <v>11</v>
      </c>
      <c r="BH33" t="s">
        <v>319</v>
      </c>
      <c r="BI33" t="s">
        <v>311</v>
      </c>
      <c r="BJ33" t="s">
        <v>320</v>
      </c>
      <c r="BK33" t="s">
        <v>321</v>
      </c>
    </row>
    <row r="34" spans="1:63" x14ac:dyDescent="0.3">
      <c r="A34" t="s">
        <v>322</v>
      </c>
      <c r="B34" t="s">
        <v>95</v>
      </c>
      <c r="C34" t="s">
        <v>323</v>
      </c>
      <c r="D34" t="s">
        <v>324</v>
      </c>
      <c r="E34" t="s">
        <v>325</v>
      </c>
      <c r="F34">
        <v>39</v>
      </c>
      <c r="G34">
        <v>79.679999999999993</v>
      </c>
      <c r="I34">
        <v>8.9</v>
      </c>
      <c r="K34">
        <v>9.3000000000000007</v>
      </c>
      <c r="M34">
        <v>2</v>
      </c>
      <c r="S34">
        <v>0.12</v>
      </c>
      <c r="AF34">
        <v>9.4580219999999979</v>
      </c>
      <c r="AI34" t="s">
        <v>0</v>
      </c>
      <c r="AJ34" t="s">
        <v>326</v>
      </c>
      <c r="AK34" t="s">
        <v>327</v>
      </c>
      <c r="AL34" t="s">
        <v>11</v>
      </c>
      <c r="AM34" t="s">
        <v>11</v>
      </c>
      <c r="AN34" t="s">
        <v>24</v>
      </c>
      <c r="AO34" t="s">
        <v>11</v>
      </c>
      <c r="AP34" t="s">
        <v>11</v>
      </c>
      <c r="AQ34" t="s">
        <v>11</v>
      </c>
      <c r="AR34" t="s">
        <v>11</v>
      </c>
      <c r="AS34" t="s">
        <v>11</v>
      </c>
      <c r="AT34" t="s">
        <v>11</v>
      </c>
      <c r="AU34" t="s">
        <v>317</v>
      </c>
      <c r="AV34" t="s">
        <v>11</v>
      </c>
      <c r="AW34" t="s">
        <v>11</v>
      </c>
      <c r="AX34" t="s">
        <v>11</v>
      </c>
      <c r="AY34" t="s">
        <v>11</v>
      </c>
      <c r="AZ34" t="s">
        <v>11</v>
      </c>
      <c r="BA34" t="s">
        <v>11</v>
      </c>
      <c r="BB34" t="s">
        <v>11</v>
      </c>
      <c r="BC34" t="s">
        <v>11</v>
      </c>
      <c r="BD34" t="s">
        <v>11</v>
      </c>
      <c r="BE34" t="s">
        <v>11</v>
      </c>
      <c r="BF34" t="s">
        <v>11</v>
      </c>
      <c r="BG34" t="s">
        <v>11</v>
      </c>
      <c r="BH34" t="s">
        <v>328</v>
      </c>
      <c r="BI34" t="s">
        <v>322</v>
      </c>
      <c r="BJ34" t="s">
        <v>329</v>
      </c>
      <c r="BK34" t="s">
        <v>330</v>
      </c>
    </row>
    <row r="35" spans="1:63" x14ac:dyDescent="0.3">
      <c r="A35" t="s">
        <v>331</v>
      </c>
      <c r="B35" t="s">
        <v>95</v>
      </c>
      <c r="C35" t="s">
        <v>332</v>
      </c>
      <c r="D35" t="s">
        <v>333</v>
      </c>
      <c r="E35" t="s">
        <v>334</v>
      </c>
      <c r="F35">
        <v>41</v>
      </c>
      <c r="G35">
        <v>81.900000000000006</v>
      </c>
      <c r="I35">
        <v>8.5</v>
      </c>
      <c r="K35">
        <v>9.6</v>
      </c>
      <c r="AF35">
        <v>9.3666</v>
      </c>
      <c r="AI35" t="s">
        <v>0</v>
      </c>
      <c r="AJ35" t="s">
        <v>335</v>
      </c>
      <c r="AK35" t="s">
        <v>204</v>
      </c>
      <c r="AL35" t="s">
        <v>11</v>
      </c>
      <c r="AM35" t="s">
        <v>11</v>
      </c>
      <c r="AN35" t="s">
        <v>11</v>
      </c>
      <c r="AO35" t="s">
        <v>11</v>
      </c>
      <c r="AP35" t="s">
        <v>11</v>
      </c>
      <c r="AQ35" t="s">
        <v>11</v>
      </c>
      <c r="AR35" t="s">
        <v>11</v>
      </c>
      <c r="AS35" t="s">
        <v>11</v>
      </c>
      <c r="AT35" t="s">
        <v>11</v>
      </c>
      <c r="AU35" t="s">
        <v>11</v>
      </c>
      <c r="AV35" t="s">
        <v>11</v>
      </c>
      <c r="AW35" t="s">
        <v>11</v>
      </c>
      <c r="AX35" t="s">
        <v>11</v>
      </c>
      <c r="AY35" t="s">
        <v>11</v>
      </c>
      <c r="AZ35" t="s">
        <v>11</v>
      </c>
      <c r="BA35" t="s">
        <v>11</v>
      </c>
      <c r="BB35" t="s">
        <v>11</v>
      </c>
      <c r="BC35" t="s">
        <v>11</v>
      </c>
      <c r="BD35" t="s">
        <v>11</v>
      </c>
      <c r="BE35" t="s">
        <v>11</v>
      </c>
      <c r="BF35" t="s">
        <v>11</v>
      </c>
      <c r="BG35" t="s">
        <v>11</v>
      </c>
      <c r="BH35" t="s">
        <v>336</v>
      </c>
      <c r="BI35" t="s">
        <v>331</v>
      </c>
      <c r="BJ35" t="s">
        <v>337</v>
      </c>
      <c r="BK35" t="s">
        <v>338</v>
      </c>
    </row>
    <row r="36" spans="1:63" x14ac:dyDescent="0.3">
      <c r="A36" t="s">
        <v>339</v>
      </c>
      <c r="B36" t="s">
        <v>95</v>
      </c>
      <c r="C36" t="s">
        <v>340</v>
      </c>
      <c r="D36" t="s">
        <v>341</v>
      </c>
      <c r="E36" t="s">
        <v>342</v>
      </c>
      <c r="F36">
        <v>42</v>
      </c>
      <c r="G36">
        <v>81.86</v>
      </c>
      <c r="I36">
        <v>8.4</v>
      </c>
      <c r="K36">
        <v>9.6999999999999993</v>
      </c>
      <c r="S36">
        <v>0.04</v>
      </c>
      <c r="AF36">
        <v>9.3805739999999993</v>
      </c>
      <c r="AH36" t="s">
        <v>343</v>
      </c>
      <c r="AI36" t="s">
        <v>0</v>
      </c>
      <c r="AJ36" t="s">
        <v>118</v>
      </c>
      <c r="AK36" t="s">
        <v>316</v>
      </c>
      <c r="AL36" t="s">
        <v>11</v>
      </c>
      <c r="AM36" t="s">
        <v>11</v>
      </c>
      <c r="AN36" t="s">
        <v>11</v>
      </c>
      <c r="AO36" t="s">
        <v>11</v>
      </c>
      <c r="AP36" t="s">
        <v>11</v>
      </c>
      <c r="AQ36" t="s">
        <v>11</v>
      </c>
      <c r="AR36" t="s">
        <v>11</v>
      </c>
      <c r="AS36" t="s">
        <v>11</v>
      </c>
      <c r="AT36" t="s">
        <v>11</v>
      </c>
      <c r="AU36" t="s">
        <v>344</v>
      </c>
      <c r="AV36" t="s">
        <v>11</v>
      </c>
      <c r="AW36" t="s">
        <v>11</v>
      </c>
      <c r="AX36" t="s">
        <v>11</v>
      </c>
      <c r="AY36" t="s">
        <v>11</v>
      </c>
      <c r="AZ36" t="s">
        <v>11</v>
      </c>
      <c r="BA36" t="s">
        <v>11</v>
      </c>
      <c r="BB36" t="s">
        <v>11</v>
      </c>
      <c r="BC36" t="s">
        <v>11</v>
      </c>
      <c r="BD36" t="s">
        <v>11</v>
      </c>
      <c r="BE36" t="s">
        <v>11</v>
      </c>
      <c r="BF36" t="s">
        <v>11</v>
      </c>
      <c r="BG36" t="s">
        <v>11</v>
      </c>
      <c r="BH36" t="s">
        <v>345</v>
      </c>
      <c r="BI36" t="s">
        <v>339</v>
      </c>
      <c r="BJ36" t="s">
        <v>346</v>
      </c>
      <c r="BK36" t="s">
        <v>347</v>
      </c>
    </row>
    <row r="37" spans="1:63" x14ac:dyDescent="0.3">
      <c r="A37" t="s">
        <v>348</v>
      </c>
      <c r="B37" t="s">
        <v>95</v>
      </c>
      <c r="C37" t="s">
        <v>349</v>
      </c>
      <c r="D37" t="s">
        <v>350</v>
      </c>
      <c r="E37" t="s">
        <v>351</v>
      </c>
      <c r="F37">
        <v>43</v>
      </c>
      <c r="G37">
        <v>81.52000000000001</v>
      </c>
      <c r="I37">
        <v>8.9</v>
      </c>
      <c r="K37">
        <v>9.5</v>
      </c>
      <c r="S37">
        <v>0.08</v>
      </c>
      <c r="AF37">
        <v>9.3262980000000013</v>
      </c>
      <c r="AH37" t="s">
        <v>343</v>
      </c>
      <c r="AI37" t="s">
        <v>0</v>
      </c>
      <c r="AJ37" t="s">
        <v>326</v>
      </c>
      <c r="AK37" t="s">
        <v>235</v>
      </c>
      <c r="AL37" t="s">
        <v>11</v>
      </c>
      <c r="AM37" t="s">
        <v>11</v>
      </c>
      <c r="AN37" t="s">
        <v>11</v>
      </c>
      <c r="AO37" t="s">
        <v>11</v>
      </c>
      <c r="AP37" t="s">
        <v>11</v>
      </c>
      <c r="AQ37" t="s">
        <v>11</v>
      </c>
      <c r="AR37" t="s">
        <v>11</v>
      </c>
      <c r="AS37" t="s">
        <v>11</v>
      </c>
      <c r="AT37" t="s">
        <v>11</v>
      </c>
      <c r="AU37" t="s">
        <v>352</v>
      </c>
      <c r="AV37" t="s">
        <v>11</v>
      </c>
      <c r="AW37" t="s">
        <v>11</v>
      </c>
      <c r="AX37" t="s">
        <v>11</v>
      </c>
      <c r="AY37" t="s">
        <v>11</v>
      </c>
      <c r="AZ37" t="s">
        <v>11</v>
      </c>
      <c r="BA37" t="s">
        <v>11</v>
      </c>
      <c r="BB37" t="s">
        <v>11</v>
      </c>
      <c r="BC37" t="s">
        <v>11</v>
      </c>
      <c r="BD37" t="s">
        <v>11</v>
      </c>
      <c r="BE37" t="s">
        <v>11</v>
      </c>
      <c r="BF37" t="s">
        <v>11</v>
      </c>
      <c r="BG37" t="s">
        <v>11</v>
      </c>
      <c r="BH37" t="s">
        <v>353</v>
      </c>
      <c r="BI37" t="s">
        <v>348</v>
      </c>
      <c r="BJ37" t="s">
        <v>354</v>
      </c>
      <c r="BK37" t="s">
        <v>355</v>
      </c>
    </row>
    <row r="38" spans="1:63" x14ac:dyDescent="0.3">
      <c r="A38" t="s">
        <v>356</v>
      </c>
      <c r="B38" t="s">
        <v>95</v>
      </c>
      <c r="C38" t="s">
        <v>357</v>
      </c>
      <c r="D38" t="s">
        <v>358</v>
      </c>
      <c r="E38" t="s">
        <v>359</v>
      </c>
      <c r="F38">
        <v>44</v>
      </c>
      <c r="G38">
        <v>82.179999999999993</v>
      </c>
      <c r="I38">
        <v>8.3000000000000007</v>
      </c>
      <c r="K38">
        <v>9.4</v>
      </c>
      <c r="S38">
        <v>0.12</v>
      </c>
      <c r="AF38">
        <v>9.3505719999999997</v>
      </c>
      <c r="AH38" t="s">
        <v>343</v>
      </c>
      <c r="AI38" t="s">
        <v>0</v>
      </c>
      <c r="AJ38" t="s">
        <v>147</v>
      </c>
      <c r="AK38" t="s">
        <v>148</v>
      </c>
      <c r="AL38" t="s">
        <v>11</v>
      </c>
      <c r="AM38" t="s">
        <v>11</v>
      </c>
      <c r="AN38" t="s">
        <v>11</v>
      </c>
      <c r="AO38" t="s">
        <v>11</v>
      </c>
      <c r="AP38" t="s">
        <v>11</v>
      </c>
      <c r="AQ38" t="s">
        <v>11</v>
      </c>
      <c r="AR38" t="s">
        <v>11</v>
      </c>
      <c r="AS38" t="s">
        <v>11</v>
      </c>
      <c r="AT38" t="s">
        <v>11</v>
      </c>
      <c r="AU38" t="s">
        <v>317</v>
      </c>
      <c r="AV38" t="s">
        <v>11</v>
      </c>
      <c r="AW38" t="s">
        <v>11</v>
      </c>
      <c r="AX38" t="s">
        <v>11</v>
      </c>
      <c r="AY38" t="s">
        <v>11</v>
      </c>
      <c r="AZ38" t="s">
        <v>11</v>
      </c>
      <c r="BA38" t="s">
        <v>11</v>
      </c>
      <c r="BB38" t="s">
        <v>11</v>
      </c>
      <c r="BC38" t="s">
        <v>11</v>
      </c>
      <c r="BD38" t="s">
        <v>11</v>
      </c>
      <c r="BE38" t="s">
        <v>11</v>
      </c>
      <c r="BF38" t="s">
        <v>11</v>
      </c>
      <c r="BG38" t="s">
        <v>11</v>
      </c>
      <c r="BH38" t="s">
        <v>360</v>
      </c>
      <c r="BI38" t="s">
        <v>356</v>
      </c>
      <c r="BJ38" t="s">
        <v>361</v>
      </c>
      <c r="BK38" t="s">
        <v>362</v>
      </c>
    </row>
    <row r="39" spans="1:63" x14ac:dyDescent="0.3">
      <c r="A39" t="s">
        <v>363</v>
      </c>
      <c r="B39" t="s">
        <v>160</v>
      </c>
      <c r="C39" t="s">
        <v>323</v>
      </c>
      <c r="D39" t="s">
        <v>364</v>
      </c>
      <c r="E39" t="s">
        <v>365</v>
      </c>
      <c r="F39">
        <v>45</v>
      </c>
      <c r="G39">
        <v>80.320000000000007</v>
      </c>
      <c r="I39">
        <v>8.9</v>
      </c>
      <c r="K39">
        <v>8.5</v>
      </c>
      <c r="M39">
        <v>2.2000000000000002</v>
      </c>
      <c r="S39">
        <v>0.08</v>
      </c>
      <c r="AF39">
        <v>9.3932980000000015</v>
      </c>
      <c r="AI39" t="s">
        <v>0</v>
      </c>
      <c r="AJ39" t="s">
        <v>326</v>
      </c>
      <c r="AK39" t="s">
        <v>366</v>
      </c>
      <c r="AL39" t="s">
        <v>11</v>
      </c>
      <c r="AM39" t="s">
        <v>11</v>
      </c>
      <c r="AN39" t="s">
        <v>367</v>
      </c>
      <c r="AO39" t="s">
        <v>11</v>
      </c>
      <c r="AP39" t="s">
        <v>11</v>
      </c>
      <c r="AQ39" t="s">
        <v>11</v>
      </c>
      <c r="AR39" t="s">
        <v>11</v>
      </c>
      <c r="AS39" t="s">
        <v>11</v>
      </c>
      <c r="AT39" t="s">
        <v>11</v>
      </c>
      <c r="AU39" t="s">
        <v>352</v>
      </c>
      <c r="AV39" t="s">
        <v>11</v>
      </c>
      <c r="AW39" t="s">
        <v>11</v>
      </c>
      <c r="AX39" t="s">
        <v>11</v>
      </c>
      <c r="AY39" t="s">
        <v>11</v>
      </c>
      <c r="AZ39" t="s">
        <v>11</v>
      </c>
      <c r="BA39" t="s">
        <v>11</v>
      </c>
      <c r="BB39" t="s">
        <v>11</v>
      </c>
      <c r="BC39" t="s">
        <v>11</v>
      </c>
      <c r="BD39" t="s">
        <v>11</v>
      </c>
      <c r="BE39" t="s">
        <v>11</v>
      </c>
      <c r="BF39" t="s">
        <v>11</v>
      </c>
      <c r="BG39" t="s">
        <v>11</v>
      </c>
      <c r="BH39" t="s">
        <v>368</v>
      </c>
      <c r="BI39" t="s">
        <v>363</v>
      </c>
      <c r="BJ39" t="s">
        <v>369</v>
      </c>
      <c r="BK39" t="s">
        <v>370</v>
      </c>
    </row>
    <row r="40" spans="1:63" x14ac:dyDescent="0.3">
      <c r="A40" t="s">
        <v>371</v>
      </c>
      <c r="B40" t="s">
        <v>160</v>
      </c>
      <c r="C40" t="s">
        <v>172</v>
      </c>
      <c r="D40" t="s">
        <v>372</v>
      </c>
      <c r="E40" t="s">
        <v>373</v>
      </c>
      <c r="F40">
        <v>47</v>
      </c>
      <c r="G40">
        <v>82.5</v>
      </c>
      <c r="I40">
        <v>8</v>
      </c>
      <c r="K40">
        <v>6.7</v>
      </c>
      <c r="M40">
        <v>1.4</v>
      </c>
      <c r="N40">
        <v>1.4</v>
      </c>
      <c r="AF40">
        <v>9.2013300000000005</v>
      </c>
      <c r="AI40" t="s">
        <v>0</v>
      </c>
      <c r="AJ40" t="s">
        <v>164</v>
      </c>
      <c r="AK40" t="s">
        <v>175</v>
      </c>
      <c r="AL40" t="s">
        <v>11</v>
      </c>
      <c r="AM40" t="s">
        <v>11</v>
      </c>
      <c r="AN40" t="s">
        <v>176</v>
      </c>
      <c r="AO40" t="s">
        <v>177</v>
      </c>
      <c r="AP40" t="s">
        <v>11</v>
      </c>
      <c r="AQ40" t="s">
        <v>11</v>
      </c>
      <c r="AR40" t="s">
        <v>11</v>
      </c>
      <c r="AS40" t="s">
        <v>11</v>
      </c>
      <c r="AT40" t="s">
        <v>11</v>
      </c>
      <c r="AU40" t="s">
        <v>11</v>
      </c>
      <c r="AV40" t="s">
        <v>11</v>
      </c>
      <c r="AW40" t="s">
        <v>11</v>
      </c>
      <c r="AX40" t="s">
        <v>11</v>
      </c>
      <c r="AY40" t="s">
        <v>11</v>
      </c>
      <c r="AZ40" t="s">
        <v>11</v>
      </c>
      <c r="BA40" t="s">
        <v>11</v>
      </c>
      <c r="BB40" t="s">
        <v>11</v>
      </c>
      <c r="BC40" t="s">
        <v>11</v>
      </c>
      <c r="BD40" t="s">
        <v>11</v>
      </c>
      <c r="BE40" t="s">
        <v>11</v>
      </c>
      <c r="BF40" t="s">
        <v>11</v>
      </c>
      <c r="BG40" t="s">
        <v>11</v>
      </c>
      <c r="BH40" t="s">
        <v>374</v>
      </c>
      <c r="BI40" t="s">
        <v>371</v>
      </c>
      <c r="BJ40" t="s">
        <v>375</v>
      </c>
      <c r="BK40" t="s">
        <v>376</v>
      </c>
    </row>
    <row r="41" spans="1:63" x14ac:dyDescent="0.3">
      <c r="A41" t="s">
        <v>377</v>
      </c>
      <c r="B41" t="s">
        <v>95</v>
      </c>
      <c r="C41" t="s">
        <v>378</v>
      </c>
      <c r="D41" t="s">
        <v>379</v>
      </c>
      <c r="E41" t="s">
        <v>380</v>
      </c>
      <c r="F41">
        <v>48</v>
      </c>
      <c r="G41">
        <v>82</v>
      </c>
      <c r="I41">
        <v>8.1999999999999993</v>
      </c>
      <c r="K41">
        <v>9.4</v>
      </c>
      <c r="N41">
        <v>0.4</v>
      </c>
      <c r="AF41">
        <v>9.3631800000000016</v>
      </c>
      <c r="AI41" t="s">
        <v>0</v>
      </c>
      <c r="AJ41" t="s">
        <v>194</v>
      </c>
      <c r="AK41" t="s">
        <v>148</v>
      </c>
      <c r="AL41" t="s">
        <v>11</v>
      </c>
      <c r="AM41" t="s">
        <v>11</v>
      </c>
      <c r="AN41" t="s">
        <v>11</v>
      </c>
      <c r="AO41" t="s">
        <v>381</v>
      </c>
      <c r="AP41" t="s">
        <v>11</v>
      </c>
      <c r="AQ41" t="s">
        <v>11</v>
      </c>
      <c r="AR41" t="s">
        <v>11</v>
      </c>
      <c r="AS41" t="s">
        <v>11</v>
      </c>
      <c r="AT41" t="s">
        <v>11</v>
      </c>
      <c r="AU41" t="s">
        <v>11</v>
      </c>
      <c r="AV41" t="s">
        <v>11</v>
      </c>
      <c r="AW41" t="s">
        <v>11</v>
      </c>
      <c r="AX41" t="s">
        <v>11</v>
      </c>
      <c r="AY41" t="s">
        <v>11</v>
      </c>
      <c r="AZ41" t="s">
        <v>11</v>
      </c>
      <c r="BA41" t="s">
        <v>11</v>
      </c>
      <c r="BB41" t="s">
        <v>11</v>
      </c>
      <c r="BC41" t="s">
        <v>11</v>
      </c>
      <c r="BD41" t="s">
        <v>11</v>
      </c>
      <c r="BE41" t="s">
        <v>11</v>
      </c>
      <c r="BF41" t="s">
        <v>11</v>
      </c>
      <c r="BG41" t="s">
        <v>11</v>
      </c>
      <c r="BH41" t="s">
        <v>382</v>
      </c>
      <c r="BI41" t="s">
        <v>377</v>
      </c>
      <c r="BJ41" t="s">
        <v>383</v>
      </c>
      <c r="BK41" t="s">
        <v>384</v>
      </c>
    </row>
    <row r="42" spans="1:63" x14ac:dyDescent="0.3">
      <c r="A42" t="s">
        <v>385</v>
      </c>
      <c r="B42" t="s">
        <v>95</v>
      </c>
      <c r="C42" t="s">
        <v>386</v>
      </c>
      <c r="D42" t="s">
        <v>387</v>
      </c>
      <c r="E42" t="s">
        <v>388</v>
      </c>
      <c r="F42">
        <v>50</v>
      </c>
      <c r="G42">
        <v>81.259999999999991</v>
      </c>
      <c r="I42">
        <v>8.1999999999999993</v>
      </c>
      <c r="K42">
        <v>9.4</v>
      </c>
      <c r="P42">
        <v>1.1000000000000001</v>
      </c>
      <c r="S42">
        <v>0.04</v>
      </c>
      <c r="AF42">
        <v>9.3771039999999992</v>
      </c>
      <c r="AI42" t="s">
        <v>0</v>
      </c>
      <c r="AJ42" t="s">
        <v>194</v>
      </c>
      <c r="AK42" t="s">
        <v>148</v>
      </c>
      <c r="AL42" t="s">
        <v>11</v>
      </c>
      <c r="AM42" t="s">
        <v>11</v>
      </c>
      <c r="AN42" t="s">
        <v>11</v>
      </c>
      <c r="AO42" t="s">
        <v>11</v>
      </c>
      <c r="AP42" t="s">
        <v>11</v>
      </c>
      <c r="AQ42" t="s">
        <v>11</v>
      </c>
      <c r="AR42" t="s">
        <v>389</v>
      </c>
      <c r="AS42" t="s">
        <v>11</v>
      </c>
      <c r="AT42" t="s">
        <v>11</v>
      </c>
      <c r="AU42" t="s">
        <v>344</v>
      </c>
      <c r="AV42" t="s">
        <v>11</v>
      </c>
      <c r="AW42" t="s">
        <v>11</v>
      </c>
      <c r="AX42" t="s">
        <v>11</v>
      </c>
      <c r="AY42" t="s">
        <v>11</v>
      </c>
      <c r="AZ42" t="s">
        <v>11</v>
      </c>
      <c r="BA42" t="s">
        <v>11</v>
      </c>
      <c r="BB42" t="s">
        <v>11</v>
      </c>
      <c r="BC42" t="s">
        <v>11</v>
      </c>
      <c r="BD42" t="s">
        <v>11</v>
      </c>
      <c r="BE42" t="s">
        <v>11</v>
      </c>
      <c r="BF42" t="s">
        <v>11</v>
      </c>
      <c r="BG42" t="s">
        <v>11</v>
      </c>
      <c r="BH42" t="s">
        <v>390</v>
      </c>
      <c r="BI42" t="s">
        <v>385</v>
      </c>
      <c r="BJ42" t="s">
        <v>391</v>
      </c>
      <c r="BK42" t="s">
        <v>392</v>
      </c>
    </row>
    <row r="43" spans="1:63" x14ac:dyDescent="0.3">
      <c r="A43" t="s">
        <v>393</v>
      </c>
      <c r="B43" t="s">
        <v>160</v>
      </c>
      <c r="C43" t="s">
        <v>201</v>
      </c>
      <c r="D43" t="s">
        <v>394</v>
      </c>
      <c r="E43" t="s">
        <v>395</v>
      </c>
      <c r="F43">
        <v>51</v>
      </c>
      <c r="G43">
        <v>78.900000000000006</v>
      </c>
      <c r="I43">
        <v>8.1999999999999993</v>
      </c>
      <c r="K43">
        <v>9.6</v>
      </c>
      <c r="M43">
        <v>1.5</v>
      </c>
      <c r="P43">
        <v>1.8</v>
      </c>
      <c r="AF43">
        <v>9.5262899999999995</v>
      </c>
      <c r="AI43" t="s">
        <v>0</v>
      </c>
      <c r="AJ43" t="s">
        <v>194</v>
      </c>
      <c r="AK43" t="s">
        <v>204</v>
      </c>
      <c r="AL43" t="s">
        <v>11</v>
      </c>
      <c r="AM43" t="s">
        <v>11</v>
      </c>
      <c r="AN43" t="s">
        <v>396</v>
      </c>
      <c r="AO43" t="s">
        <v>11</v>
      </c>
      <c r="AP43" t="s">
        <v>11</v>
      </c>
      <c r="AQ43" t="s">
        <v>11</v>
      </c>
      <c r="AR43" t="s">
        <v>206</v>
      </c>
      <c r="AS43" t="s">
        <v>11</v>
      </c>
      <c r="AT43" t="s">
        <v>11</v>
      </c>
      <c r="AU43" t="s">
        <v>11</v>
      </c>
      <c r="AV43" t="s">
        <v>11</v>
      </c>
      <c r="AW43" t="s">
        <v>11</v>
      </c>
      <c r="AX43" t="s">
        <v>11</v>
      </c>
      <c r="AY43" t="s">
        <v>11</v>
      </c>
      <c r="AZ43" t="s">
        <v>11</v>
      </c>
      <c r="BA43" t="s">
        <v>11</v>
      </c>
      <c r="BB43" t="s">
        <v>11</v>
      </c>
      <c r="BC43" t="s">
        <v>11</v>
      </c>
      <c r="BD43" t="s">
        <v>11</v>
      </c>
      <c r="BE43" t="s">
        <v>11</v>
      </c>
      <c r="BF43" t="s">
        <v>11</v>
      </c>
      <c r="BG43" t="s">
        <v>11</v>
      </c>
      <c r="BH43" t="s">
        <v>397</v>
      </c>
      <c r="BI43" t="s">
        <v>393</v>
      </c>
      <c r="BJ43" t="s">
        <v>398</v>
      </c>
      <c r="BK43" t="s">
        <v>399</v>
      </c>
    </row>
    <row r="44" spans="1:63" x14ac:dyDescent="0.3">
      <c r="A44" t="s">
        <v>400</v>
      </c>
      <c r="B44" t="s">
        <v>95</v>
      </c>
      <c r="C44" t="s">
        <v>401</v>
      </c>
      <c r="D44" t="s">
        <v>402</v>
      </c>
      <c r="E44" t="s">
        <v>403</v>
      </c>
      <c r="F44">
        <v>52</v>
      </c>
      <c r="G44">
        <v>81</v>
      </c>
      <c r="I44">
        <v>8.4</v>
      </c>
      <c r="K44">
        <v>10.1</v>
      </c>
      <c r="V44">
        <v>0.5</v>
      </c>
      <c r="AF44">
        <v>9.3916999999999984</v>
      </c>
      <c r="AH44" t="s">
        <v>404</v>
      </c>
      <c r="AI44" t="s">
        <v>0</v>
      </c>
      <c r="AJ44" t="s">
        <v>118</v>
      </c>
      <c r="AK44" t="s">
        <v>405</v>
      </c>
      <c r="AL44" t="s">
        <v>11</v>
      </c>
      <c r="AM44" t="s">
        <v>11</v>
      </c>
      <c r="AN44" t="s">
        <v>11</v>
      </c>
      <c r="AO44" t="s">
        <v>11</v>
      </c>
      <c r="AP44" t="s">
        <v>11</v>
      </c>
      <c r="AQ44" t="s">
        <v>11</v>
      </c>
      <c r="AR44" t="s">
        <v>11</v>
      </c>
      <c r="AS44" t="s">
        <v>11</v>
      </c>
      <c r="AT44" t="s">
        <v>11</v>
      </c>
      <c r="AU44" t="s">
        <v>11</v>
      </c>
      <c r="AV44" t="s">
        <v>11</v>
      </c>
      <c r="AW44" t="s">
        <v>11</v>
      </c>
      <c r="AX44" t="s">
        <v>406</v>
      </c>
      <c r="AY44" t="s">
        <v>11</v>
      </c>
      <c r="AZ44" t="s">
        <v>11</v>
      </c>
      <c r="BA44" t="s">
        <v>11</v>
      </c>
      <c r="BB44" t="s">
        <v>11</v>
      </c>
      <c r="BC44" t="s">
        <v>11</v>
      </c>
      <c r="BD44" t="s">
        <v>11</v>
      </c>
      <c r="BE44" t="s">
        <v>11</v>
      </c>
      <c r="BF44" t="s">
        <v>11</v>
      </c>
      <c r="BG44" t="s">
        <v>11</v>
      </c>
      <c r="BH44" t="s">
        <v>407</v>
      </c>
      <c r="BI44" t="s">
        <v>400</v>
      </c>
      <c r="BJ44" t="s">
        <v>408</v>
      </c>
      <c r="BK44" t="s">
        <v>409</v>
      </c>
    </row>
    <row r="45" spans="1:63" x14ac:dyDescent="0.3">
      <c r="A45" t="s">
        <v>410</v>
      </c>
      <c r="B45" t="s">
        <v>95</v>
      </c>
      <c r="C45" t="s">
        <v>411</v>
      </c>
      <c r="D45" t="s">
        <v>412</v>
      </c>
      <c r="E45" t="s">
        <v>413</v>
      </c>
      <c r="F45">
        <v>53</v>
      </c>
      <c r="G45">
        <v>79</v>
      </c>
      <c r="I45">
        <v>8.6999999999999993</v>
      </c>
      <c r="K45">
        <v>10.3</v>
      </c>
      <c r="V45">
        <v>2</v>
      </c>
      <c r="AF45">
        <v>9.2952499999999993</v>
      </c>
      <c r="AH45" t="s">
        <v>404</v>
      </c>
      <c r="AI45" t="s">
        <v>0</v>
      </c>
      <c r="AJ45" t="s">
        <v>223</v>
      </c>
      <c r="AK45" t="s">
        <v>119</v>
      </c>
      <c r="AL45" t="s">
        <v>11</v>
      </c>
      <c r="AM45" t="s">
        <v>11</v>
      </c>
      <c r="AN45" t="s">
        <v>11</v>
      </c>
      <c r="AO45" t="s">
        <v>11</v>
      </c>
      <c r="AP45" t="s">
        <v>11</v>
      </c>
      <c r="AQ45" t="s">
        <v>11</v>
      </c>
      <c r="AR45" t="s">
        <v>11</v>
      </c>
      <c r="AS45" t="s">
        <v>11</v>
      </c>
      <c r="AT45" t="s">
        <v>11</v>
      </c>
      <c r="AU45" t="s">
        <v>11</v>
      </c>
      <c r="AV45" t="s">
        <v>11</v>
      </c>
      <c r="AW45" t="s">
        <v>11</v>
      </c>
      <c r="AX45" t="s">
        <v>414</v>
      </c>
      <c r="AY45" t="s">
        <v>11</v>
      </c>
      <c r="AZ45" t="s">
        <v>11</v>
      </c>
      <c r="BA45" t="s">
        <v>11</v>
      </c>
      <c r="BB45" t="s">
        <v>11</v>
      </c>
      <c r="BC45" t="s">
        <v>11</v>
      </c>
      <c r="BD45" t="s">
        <v>11</v>
      </c>
      <c r="BE45" t="s">
        <v>11</v>
      </c>
      <c r="BF45" t="s">
        <v>11</v>
      </c>
      <c r="BG45" t="s">
        <v>11</v>
      </c>
      <c r="BH45" t="s">
        <v>415</v>
      </c>
      <c r="BI45" t="s">
        <v>410</v>
      </c>
      <c r="BJ45" t="s">
        <v>416</v>
      </c>
      <c r="BK45" t="s">
        <v>417</v>
      </c>
    </row>
    <row r="46" spans="1:63" x14ac:dyDescent="0.3">
      <c r="A46" t="s">
        <v>418</v>
      </c>
      <c r="B46" t="s">
        <v>160</v>
      </c>
      <c r="C46" t="s">
        <v>419</v>
      </c>
      <c r="D46" t="s">
        <v>420</v>
      </c>
      <c r="E46" t="s">
        <v>421</v>
      </c>
      <c r="F46">
        <v>55</v>
      </c>
      <c r="G46">
        <v>79.2</v>
      </c>
      <c r="I46">
        <v>7.6</v>
      </c>
      <c r="K46">
        <v>9.1999999999999993</v>
      </c>
      <c r="L46">
        <v>2.1</v>
      </c>
      <c r="M46">
        <v>1.9</v>
      </c>
      <c r="AF46">
        <v>9.4359970000000004</v>
      </c>
      <c r="AI46" t="s">
        <v>0</v>
      </c>
      <c r="AJ46" t="s">
        <v>138</v>
      </c>
      <c r="AK46" t="s">
        <v>139</v>
      </c>
      <c r="AL46" t="s">
        <v>11</v>
      </c>
      <c r="AM46" t="s">
        <v>11</v>
      </c>
      <c r="AN46" t="s">
        <v>74</v>
      </c>
      <c r="AO46" t="s">
        <v>11</v>
      </c>
      <c r="AP46" t="s">
        <v>11</v>
      </c>
      <c r="AQ46" t="s">
        <v>422</v>
      </c>
      <c r="AR46" t="s">
        <v>11</v>
      </c>
      <c r="AS46" t="s">
        <v>11</v>
      </c>
      <c r="AT46" t="s">
        <v>11</v>
      </c>
      <c r="AU46" t="s">
        <v>11</v>
      </c>
      <c r="AV46" t="s">
        <v>11</v>
      </c>
      <c r="AW46" t="s">
        <v>11</v>
      </c>
      <c r="AX46" t="s">
        <v>11</v>
      </c>
      <c r="AY46" t="s">
        <v>11</v>
      </c>
      <c r="AZ46" t="s">
        <v>11</v>
      </c>
      <c r="BA46" t="s">
        <v>11</v>
      </c>
      <c r="BB46" t="s">
        <v>11</v>
      </c>
      <c r="BC46" t="s">
        <v>11</v>
      </c>
      <c r="BD46" t="s">
        <v>11</v>
      </c>
      <c r="BE46" t="s">
        <v>11</v>
      </c>
      <c r="BF46" t="s">
        <v>11</v>
      </c>
      <c r="BG46" t="s">
        <v>11</v>
      </c>
      <c r="BH46" t="s">
        <v>423</v>
      </c>
      <c r="BI46" t="s">
        <v>418</v>
      </c>
      <c r="BJ46" t="s">
        <v>424</v>
      </c>
      <c r="BK46" t="s">
        <v>425</v>
      </c>
    </row>
    <row r="47" spans="1:63" x14ac:dyDescent="0.3">
      <c r="A47" t="s">
        <v>426</v>
      </c>
      <c r="B47" t="s">
        <v>95</v>
      </c>
      <c r="C47" t="s">
        <v>427</v>
      </c>
      <c r="D47" t="s">
        <v>428</v>
      </c>
      <c r="E47" t="s">
        <v>429</v>
      </c>
      <c r="F47">
        <v>56</v>
      </c>
      <c r="G47">
        <v>80.86</v>
      </c>
      <c r="I47">
        <v>7.9</v>
      </c>
      <c r="K47">
        <v>9.1</v>
      </c>
      <c r="L47">
        <v>2.1</v>
      </c>
      <c r="S47">
        <v>0.04</v>
      </c>
      <c r="AF47">
        <v>9.2572209999999995</v>
      </c>
      <c r="AI47" t="s">
        <v>0</v>
      </c>
      <c r="AJ47" t="s">
        <v>430</v>
      </c>
      <c r="AK47" t="s">
        <v>431</v>
      </c>
      <c r="AL47" t="s">
        <v>11</v>
      </c>
      <c r="AM47" t="s">
        <v>11</v>
      </c>
      <c r="AN47" t="s">
        <v>11</v>
      </c>
      <c r="AO47" t="s">
        <v>11</v>
      </c>
      <c r="AP47" t="s">
        <v>11</v>
      </c>
      <c r="AQ47" t="s">
        <v>422</v>
      </c>
      <c r="AR47" t="s">
        <v>11</v>
      </c>
      <c r="AS47" t="s">
        <v>11</v>
      </c>
      <c r="AT47" t="s">
        <v>11</v>
      </c>
      <c r="AU47" t="s">
        <v>344</v>
      </c>
      <c r="AV47" t="s">
        <v>11</v>
      </c>
      <c r="AW47" t="s">
        <v>11</v>
      </c>
      <c r="AX47" t="s">
        <v>11</v>
      </c>
      <c r="AY47" t="s">
        <v>11</v>
      </c>
      <c r="AZ47" t="s">
        <v>11</v>
      </c>
      <c r="BA47" t="s">
        <v>11</v>
      </c>
      <c r="BB47" t="s">
        <v>11</v>
      </c>
      <c r="BC47" t="s">
        <v>11</v>
      </c>
      <c r="BD47" t="s">
        <v>11</v>
      </c>
      <c r="BE47" t="s">
        <v>11</v>
      </c>
      <c r="BF47" t="s">
        <v>11</v>
      </c>
      <c r="BG47" t="s">
        <v>11</v>
      </c>
      <c r="BH47" t="s">
        <v>432</v>
      </c>
      <c r="BI47" t="s">
        <v>426</v>
      </c>
      <c r="BJ47" t="s">
        <v>433</v>
      </c>
      <c r="BK47" t="s">
        <v>434</v>
      </c>
    </row>
    <row r="48" spans="1:63" x14ac:dyDescent="0.3">
      <c r="A48" t="s">
        <v>435</v>
      </c>
      <c r="B48" t="s">
        <v>95</v>
      </c>
      <c r="C48" t="s">
        <v>436</v>
      </c>
      <c r="D48" t="s">
        <v>437</v>
      </c>
      <c r="E48" t="s">
        <v>438</v>
      </c>
      <c r="F48">
        <v>57</v>
      </c>
      <c r="G48">
        <v>79.680000000000007</v>
      </c>
      <c r="I48">
        <v>8.4</v>
      </c>
      <c r="K48">
        <v>9.6</v>
      </c>
      <c r="L48">
        <v>2.2000000000000002</v>
      </c>
      <c r="S48">
        <v>0.12</v>
      </c>
      <c r="AF48">
        <v>9.2684259999999998</v>
      </c>
      <c r="AI48" t="s">
        <v>0</v>
      </c>
      <c r="AJ48" t="s">
        <v>118</v>
      </c>
      <c r="AK48" t="s">
        <v>204</v>
      </c>
      <c r="AL48" t="s">
        <v>11</v>
      </c>
      <c r="AM48" t="s">
        <v>11</v>
      </c>
      <c r="AN48" t="s">
        <v>11</v>
      </c>
      <c r="AO48" t="s">
        <v>11</v>
      </c>
      <c r="AP48" t="s">
        <v>11</v>
      </c>
      <c r="AQ48" t="s">
        <v>120</v>
      </c>
      <c r="AR48" t="s">
        <v>11</v>
      </c>
      <c r="AS48" t="s">
        <v>11</v>
      </c>
      <c r="AT48" t="s">
        <v>11</v>
      </c>
      <c r="AU48" t="s">
        <v>317</v>
      </c>
      <c r="AV48" t="s">
        <v>11</v>
      </c>
      <c r="AW48" t="s">
        <v>11</v>
      </c>
      <c r="AX48" t="s">
        <v>11</v>
      </c>
      <c r="AY48" t="s">
        <v>11</v>
      </c>
      <c r="AZ48" t="s">
        <v>11</v>
      </c>
      <c r="BA48" t="s">
        <v>11</v>
      </c>
      <c r="BB48" t="s">
        <v>11</v>
      </c>
      <c r="BC48" t="s">
        <v>11</v>
      </c>
      <c r="BD48" t="s">
        <v>11</v>
      </c>
      <c r="BE48" t="s">
        <v>11</v>
      </c>
      <c r="BF48" t="s">
        <v>11</v>
      </c>
      <c r="BG48" t="s">
        <v>11</v>
      </c>
      <c r="BH48" t="s">
        <v>439</v>
      </c>
      <c r="BI48" t="s">
        <v>435</v>
      </c>
      <c r="BJ48" t="s">
        <v>440</v>
      </c>
      <c r="BK48" t="s">
        <v>441</v>
      </c>
    </row>
    <row r="49" spans="1:63" x14ac:dyDescent="0.3">
      <c r="A49" t="s">
        <v>442</v>
      </c>
      <c r="B49" t="s">
        <v>95</v>
      </c>
      <c r="C49" t="s">
        <v>443</v>
      </c>
      <c r="D49" t="s">
        <v>444</v>
      </c>
      <c r="E49" t="s">
        <v>445</v>
      </c>
      <c r="F49">
        <v>58</v>
      </c>
      <c r="G49">
        <v>80.56</v>
      </c>
      <c r="I49">
        <v>8</v>
      </c>
      <c r="K49">
        <v>9.3000000000000007</v>
      </c>
      <c r="O49">
        <v>2.1</v>
      </c>
      <c r="S49">
        <v>0.04</v>
      </c>
      <c r="AF49">
        <v>9.3053840000000001</v>
      </c>
      <c r="AI49" t="s">
        <v>0</v>
      </c>
      <c r="AJ49" t="s">
        <v>164</v>
      </c>
      <c r="AK49" t="s">
        <v>327</v>
      </c>
      <c r="AL49" t="s">
        <v>11</v>
      </c>
      <c r="AM49" t="s">
        <v>11</v>
      </c>
      <c r="AN49" t="s">
        <v>11</v>
      </c>
      <c r="AO49" t="s">
        <v>11</v>
      </c>
      <c r="AP49" t="s">
        <v>130</v>
      </c>
      <c r="AQ49" t="s">
        <v>11</v>
      </c>
      <c r="AR49" t="s">
        <v>11</v>
      </c>
      <c r="AS49" t="s">
        <v>11</v>
      </c>
      <c r="AT49" t="s">
        <v>11</v>
      </c>
      <c r="AU49" t="s">
        <v>344</v>
      </c>
      <c r="AV49" t="s">
        <v>11</v>
      </c>
      <c r="AW49" t="s">
        <v>11</v>
      </c>
      <c r="AX49" t="s">
        <v>11</v>
      </c>
      <c r="AY49" t="s">
        <v>11</v>
      </c>
      <c r="AZ49" t="s">
        <v>11</v>
      </c>
      <c r="BA49" t="s">
        <v>11</v>
      </c>
      <c r="BB49" t="s">
        <v>11</v>
      </c>
      <c r="BC49" t="s">
        <v>11</v>
      </c>
      <c r="BD49" t="s">
        <v>11</v>
      </c>
      <c r="BE49" t="s">
        <v>11</v>
      </c>
      <c r="BF49" t="s">
        <v>11</v>
      </c>
      <c r="BG49" t="s">
        <v>11</v>
      </c>
      <c r="BH49" t="s">
        <v>446</v>
      </c>
      <c r="BI49" t="s">
        <v>442</v>
      </c>
      <c r="BJ49" t="s">
        <v>447</v>
      </c>
      <c r="BK49" t="s">
        <v>448</v>
      </c>
    </row>
    <row r="50" spans="1:63" x14ac:dyDescent="0.3">
      <c r="A50" t="s">
        <v>449</v>
      </c>
      <c r="B50" t="s">
        <v>95</v>
      </c>
      <c r="C50" t="s">
        <v>450</v>
      </c>
      <c r="D50" t="s">
        <v>451</v>
      </c>
      <c r="E50" t="s">
        <v>452</v>
      </c>
      <c r="F50">
        <v>59</v>
      </c>
      <c r="G50">
        <v>80.460000000000008</v>
      </c>
      <c r="I50">
        <v>8.1</v>
      </c>
      <c r="J50">
        <v>2</v>
      </c>
      <c r="K50">
        <v>9.4</v>
      </c>
      <c r="S50">
        <v>0.04</v>
      </c>
      <c r="AF50">
        <v>9.3339240000000014</v>
      </c>
      <c r="AI50" t="s">
        <v>0</v>
      </c>
      <c r="AJ50" t="s">
        <v>99</v>
      </c>
      <c r="AK50" t="s">
        <v>148</v>
      </c>
      <c r="AL50" t="s">
        <v>11</v>
      </c>
      <c r="AM50" t="s">
        <v>453</v>
      </c>
      <c r="AN50" t="s">
        <v>11</v>
      </c>
      <c r="AO50" t="s">
        <v>11</v>
      </c>
      <c r="AP50" t="s">
        <v>11</v>
      </c>
      <c r="AQ50" t="s">
        <v>11</v>
      </c>
      <c r="AR50" t="s">
        <v>11</v>
      </c>
      <c r="AS50" t="s">
        <v>11</v>
      </c>
      <c r="AT50" t="s">
        <v>11</v>
      </c>
      <c r="AU50" t="s">
        <v>344</v>
      </c>
      <c r="AV50" t="s">
        <v>11</v>
      </c>
      <c r="AW50" t="s">
        <v>11</v>
      </c>
      <c r="AX50" t="s">
        <v>11</v>
      </c>
      <c r="AY50" t="s">
        <v>11</v>
      </c>
      <c r="AZ50" t="s">
        <v>11</v>
      </c>
      <c r="BA50" t="s">
        <v>11</v>
      </c>
      <c r="BB50" t="s">
        <v>11</v>
      </c>
      <c r="BC50" t="s">
        <v>11</v>
      </c>
      <c r="BD50" t="s">
        <v>11</v>
      </c>
      <c r="BE50" t="s">
        <v>11</v>
      </c>
      <c r="BF50" t="s">
        <v>11</v>
      </c>
      <c r="BG50" t="s">
        <v>11</v>
      </c>
      <c r="BH50" t="s">
        <v>454</v>
      </c>
      <c r="BI50" t="s">
        <v>449</v>
      </c>
      <c r="BJ50" t="s">
        <v>455</v>
      </c>
      <c r="BK50" t="s">
        <v>456</v>
      </c>
    </row>
    <row r="51" spans="1:63" x14ac:dyDescent="0.3">
      <c r="A51" t="s">
        <v>457</v>
      </c>
      <c r="B51" t="s">
        <v>95</v>
      </c>
      <c r="C51" t="s">
        <v>458</v>
      </c>
      <c r="D51" t="s">
        <v>459</v>
      </c>
      <c r="E51" t="s">
        <v>460</v>
      </c>
      <c r="F51">
        <v>60</v>
      </c>
      <c r="G51">
        <v>86.7</v>
      </c>
      <c r="I51">
        <v>8.8000000000000007</v>
      </c>
      <c r="K51">
        <v>4</v>
      </c>
      <c r="M51">
        <v>0.5</v>
      </c>
      <c r="AF51">
        <v>8.8071500000000018</v>
      </c>
      <c r="AH51" t="s">
        <v>461</v>
      </c>
      <c r="AI51" t="s">
        <v>0</v>
      </c>
      <c r="AJ51" t="s">
        <v>261</v>
      </c>
      <c r="AK51" t="s">
        <v>462</v>
      </c>
      <c r="AL51" t="s">
        <v>11</v>
      </c>
      <c r="AM51" t="s">
        <v>11</v>
      </c>
      <c r="AN51" t="s">
        <v>463</v>
      </c>
      <c r="AO51" t="s">
        <v>11</v>
      </c>
      <c r="AP51" t="s">
        <v>11</v>
      </c>
      <c r="AQ51" t="s">
        <v>11</v>
      </c>
      <c r="AR51" t="s">
        <v>11</v>
      </c>
      <c r="AS51" t="s">
        <v>11</v>
      </c>
      <c r="AT51" t="s">
        <v>11</v>
      </c>
      <c r="AU51" t="s">
        <v>11</v>
      </c>
      <c r="AV51" t="s">
        <v>11</v>
      </c>
      <c r="AW51" t="s">
        <v>11</v>
      </c>
      <c r="AX51" t="s">
        <v>11</v>
      </c>
      <c r="AY51" t="s">
        <v>11</v>
      </c>
      <c r="AZ51" t="s">
        <v>11</v>
      </c>
      <c r="BA51" t="s">
        <v>11</v>
      </c>
      <c r="BB51" t="s">
        <v>11</v>
      </c>
      <c r="BC51" t="s">
        <v>11</v>
      </c>
      <c r="BD51" t="s">
        <v>11</v>
      </c>
      <c r="BE51" t="s">
        <v>11</v>
      </c>
      <c r="BF51" t="s">
        <v>11</v>
      </c>
      <c r="BG51" t="s">
        <v>11</v>
      </c>
      <c r="BH51" t="s">
        <v>464</v>
      </c>
      <c r="BI51" t="s">
        <v>457</v>
      </c>
      <c r="BJ51" t="s">
        <v>465</v>
      </c>
      <c r="BK51" t="s">
        <v>466</v>
      </c>
    </row>
    <row r="52" spans="1:63" x14ac:dyDescent="0.3">
      <c r="A52" t="s">
        <v>467</v>
      </c>
      <c r="B52" t="s">
        <v>95</v>
      </c>
      <c r="C52" t="s">
        <v>468</v>
      </c>
      <c r="D52" t="s">
        <v>469</v>
      </c>
      <c r="E52" t="s">
        <v>460</v>
      </c>
      <c r="F52">
        <v>61</v>
      </c>
      <c r="G52">
        <v>84.47999999999999</v>
      </c>
      <c r="I52">
        <v>8.7600000000000016</v>
      </c>
      <c r="K52">
        <v>5.7600000000000007</v>
      </c>
      <c r="M52">
        <v>1</v>
      </c>
      <c r="AF52">
        <v>9.0305400000000002</v>
      </c>
      <c r="AH52" t="s">
        <v>461</v>
      </c>
      <c r="AI52" t="s">
        <v>0</v>
      </c>
      <c r="AJ52" t="s">
        <v>261</v>
      </c>
      <c r="AK52" t="s">
        <v>470</v>
      </c>
      <c r="AL52" t="s">
        <v>11</v>
      </c>
      <c r="AM52" t="s">
        <v>11</v>
      </c>
      <c r="AN52" t="s">
        <v>471</v>
      </c>
      <c r="AO52" t="s">
        <v>11</v>
      </c>
      <c r="AP52" t="s">
        <v>11</v>
      </c>
      <c r="AQ52" t="s">
        <v>11</v>
      </c>
      <c r="AR52" t="s">
        <v>11</v>
      </c>
      <c r="AS52" t="s">
        <v>11</v>
      </c>
      <c r="AT52" t="s">
        <v>11</v>
      </c>
      <c r="AU52" t="s">
        <v>11</v>
      </c>
      <c r="AV52" t="s">
        <v>11</v>
      </c>
      <c r="AW52" t="s">
        <v>11</v>
      </c>
      <c r="AX52" t="s">
        <v>11</v>
      </c>
      <c r="AY52" t="s">
        <v>11</v>
      </c>
      <c r="AZ52" t="s">
        <v>11</v>
      </c>
      <c r="BA52" t="s">
        <v>11</v>
      </c>
      <c r="BB52" t="s">
        <v>11</v>
      </c>
      <c r="BC52" t="s">
        <v>11</v>
      </c>
      <c r="BD52" t="s">
        <v>11</v>
      </c>
      <c r="BE52" t="s">
        <v>11</v>
      </c>
      <c r="BF52" t="s">
        <v>11</v>
      </c>
      <c r="BG52" t="s">
        <v>11</v>
      </c>
      <c r="BH52" t="s">
        <v>472</v>
      </c>
      <c r="BI52" t="s">
        <v>467</v>
      </c>
      <c r="BJ52" t="s">
        <v>473</v>
      </c>
      <c r="BK52" t="s">
        <v>474</v>
      </c>
    </row>
    <row r="53" spans="1:63" x14ac:dyDescent="0.3">
      <c r="A53" t="s">
        <v>475</v>
      </c>
      <c r="B53" t="s">
        <v>95</v>
      </c>
      <c r="C53" t="s">
        <v>476</v>
      </c>
      <c r="D53" t="s">
        <v>477</v>
      </c>
      <c r="E53" t="s">
        <v>460</v>
      </c>
      <c r="F53">
        <v>62</v>
      </c>
      <c r="G53">
        <v>81.97999999999999</v>
      </c>
      <c r="I53">
        <v>8.74</v>
      </c>
      <c r="K53">
        <v>7.82</v>
      </c>
      <c r="M53">
        <v>1.46</v>
      </c>
      <c r="AF53">
        <v>9.2806399999999982</v>
      </c>
      <c r="AH53" t="s">
        <v>461</v>
      </c>
      <c r="AI53" t="s">
        <v>0</v>
      </c>
      <c r="AJ53" t="s">
        <v>223</v>
      </c>
      <c r="AK53" t="s">
        <v>478</v>
      </c>
      <c r="AL53" t="s">
        <v>11</v>
      </c>
      <c r="AM53" t="s">
        <v>11</v>
      </c>
      <c r="AN53" t="s">
        <v>396</v>
      </c>
      <c r="AO53" t="s">
        <v>11</v>
      </c>
      <c r="AP53" t="s">
        <v>11</v>
      </c>
      <c r="AQ53" t="s">
        <v>11</v>
      </c>
      <c r="AR53" t="s">
        <v>11</v>
      </c>
      <c r="AS53" t="s">
        <v>11</v>
      </c>
      <c r="AT53" t="s">
        <v>11</v>
      </c>
      <c r="AU53" t="s">
        <v>11</v>
      </c>
      <c r="AV53" t="s">
        <v>11</v>
      </c>
      <c r="AW53" t="s">
        <v>11</v>
      </c>
      <c r="AX53" t="s">
        <v>11</v>
      </c>
      <c r="AY53" t="s">
        <v>11</v>
      </c>
      <c r="AZ53" t="s">
        <v>11</v>
      </c>
      <c r="BA53" t="s">
        <v>11</v>
      </c>
      <c r="BB53" t="s">
        <v>11</v>
      </c>
      <c r="BC53" t="s">
        <v>11</v>
      </c>
      <c r="BD53" t="s">
        <v>11</v>
      </c>
      <c r="BE53" t="s">
        <v>11</v>
      </c>
      <c r="BF53" t="s">
        <v>11</v>
      </c>
      <c r="BG53" t="s">
        <v>11</v>
      </c>
      <c r="BH53" t="s">
        <v>479</v>
      </c>
      <c r="BI53" t="s">
        <v>475</v>
      </c>
      <c r="BJ53" t="s">
        <v>480</v>
      </c>
      <c r="BK53" t="s">
        <v>481</v>
      </c>
    </row>
    <row r="54" spans="1:63" x14ac:dyDescent="0.3">
      <c r="A54" t="s">
        <v>482</v>
      </c>
      <c r="B54" t="s">
        <v>95</v>
      </c>
      <c r="C54" t="s">
        <v>483</v>
      </c>
      <c r="D54" t="s">
        <v>484</v>
      </c>
      <c r="E54" t="s">
        <v>460</v>
      </c>
      <c r="F54">
        <v>63</v>
      </c>
      <c r="G54">
        <v>80.34</v>
      </c>
      <c r="I54">
        <v>8.6000000000000014</v>
      </c>
      <c r="K54">
        <v>9.18</v>
      </c>
      <c r="M54">
        <v>1.88</v>
      </c>
      <c r="AF54">
        <v>9.4626300000000008</v>
      </c>
      <c r="AH54" t="s">
        <v>461</v>
      </c>
      <c r="AI54" t="s">
        <v>0</v>
      </c>
      <c r="AJ54" t="s">
        <v>234</v>
      </c>
      <c r="AK54" t="s">
        <v>139</v>
      </c>
      <c r="AL54" t="s">
        <v>11</v>
      </c>
      <c r="AM54" t="s">
        <v>11</v>
      </c>
      <c r="AN54" t="s">
        <v>74</v>
      </c>
      <c r="AO54" t="s">
        <v>11</v>
      </c>
      <c r="AP54" t="s">
        <v>11</v>
      </c>
      <c r="AQ54" t="s">
        <v>11</v>
      </c>
      <c r="AR54" t="s">
        <v>11</v>
      </c>
      <c r="AS54" t="s">
        <v>11</v>
      </c>
      <c r="AT54" t="s">
        <v>11</v>
      </c>
      <c r="AU54" t="s">
        <v>11</v>
      </c>
      <c r="AV54" t="s">
        <v>11</v>
      </c>
      <c r="AW54" t="s">
        <v>11</v>
      </c>
      <c r="AX54" t="s">
        <v>11</v>
      </c>
      <c r="AY54" t="s">
        <v>11</v>
      </c>
      <c r="AZ54" t="s">
        <v>11</v>
      </c>
      <c r="BA54" t="s">
        <v>11</v>
      </c>
      <c r="BB54" t="s">
        <v>11</v>
      </c>
      <c r="BC54" t="s">
        <v>11</v>
      </c>
      <c r="BD54" t="s">
        <v>11</v>
      </c>
      <c r="BE54" t="s">
        <v>11</v>
      </c>
      <c r="BF54" t="s">
        <v>11</v>
      </c>
      <c r="BG54" t="s">
        <v>11</v>
      </c>
      <c r="BH54" t="s">
        <v>485</v>
      </c>
      <c r="BI54" t="s">
        <v>482</v>
      </c>
      <c r="BJ54" t="s">
        <v>486</v>
      </c>
      <c r="BK54" t="s">
        <v>487</v>
      </c>
    </row>
    <row r="55" spans="1:63" x14ac:dyDescent="0.3">
      <c r="A55" t="s">
        <v>488</v>
      </c>
      <c r="B55" t="s">
        <v>95</v>
      </c>
      <c r="C55" t="s">
        <v>489</v>
      </c>
      <c r="D55" t="s">
        <v>490</v>
      </c>
      <c r="E55" t="s">
        <v>460</v>
      </c>
      <c r="F55">
        <v>64</v>
      </c>
      <c r="G55">
        <v>75.2</v>
      </c>
      <c r="I55">
        <v>9</v>
      </c>
      <c r="K55">
        <v>12.3</v>
      </c>
      <c r="M55">
        <v>3.5</v>
      </c>
      <c r="AF55">
        <v>9.8863000000000003</v>
      </c>
      <c r="AH55" t="s">
        <v>461</v>
      </c>
      <c r="AI55" t="s">
        <v>0</v>
      </c>
      <c r="AJ55" t="s">
        <v>128</v>
      </c>
      <c r="AK55" t="s">
        <v>491</v>
      </c>
      <c r="AL55" t="s">
        <v>11</v>
      </c>
      <c r="AM55" t="s">
        <v>11</v>
      </c>
      <c r="AN55" t="s">
        <v>492</v>
      </c>
      <c r="AO55" t="s">
        <v>11</v>
      </c>
      <c r="AP55" t="s">
        <v>11</v>
      </c>
      <c r="AQ55" t="s">
        <v>11</v>
      </c>
      <c r="AR55" t="s">
        <v>11</v>
      </c>
      <c r="AS55" t="s">
        <v>11</v>
      </c>
      <c r="AT55" t="s">
        <v>11</v>
      </c>
      <c r="AU55" t="s">
        <v>11</v>
      </c>
      <c r="AV55" t="s">
        <v>11</v>
      </c>
      <c r="AW55" t="s">
        <v>11</v>
      </c>
      <c r="AX55" t="s">
        <v>11</v>
      </c>
      <c r="AY55" t="s">
        <v>11</v>
      </c>
      <c r="AZ55" t="s">
        <v>11</v>
      </c>
      <c r="BA55" t="s">
        <v>11</v>
      </c>
      <c r="BB55" t="s">
        <v>11</v>
      </c>
      <c r="BC55" t="s">
        <v>11</v>
      </c>
      <c r="BD55" t="s">
        <v>11</v>
      </c>
      <c r="BE55" t="s">
        <v>11</v>
      </c>
      <c r="BF55" t="s">
        <v>11</v>
      </c>
      <c r="BG55" t="s">
        <v>11</v>
      </c>
      <c r="BH55" t="s">
        <v>493</v>
      </c>
      <c r="BI55" t="s">
        <v>488</v>
      </c>
      <c r="BJ55" t="s">
        <v>494</v>
      </c>
      <c r="BK55" t="s">
        <v>495</v>
      </c>
    </row>
    <row r="56" spans="1:63" x14ac:dyDescent="0.3">
      <c r="A56" t="s">
        <v>496</v>
      </c>
      <c r="B56" t="s">
        <v>160</v>
      </c>
      <c r="C56" t="s">
        <v>497</v>
      </c>
      <c r="D56" t="s">
        <v>498</v>
      </c>
      <c r="E56" t="s">
        <v>499</v>
      </c>
      <c r="F56">
        <v>65</v>
      </c>
      <c r="G56">
        <v>71.599999999999994</v>
      </c>
      <c r="H56">
        <v>10.1</v>
      </c>
      <c r="I56">
        <v>5.2</v>
      </c>
      <c r="K56">
        <v>6.7</v>
      </c>
      <c r="L56">
        <v>6.4</v>
      </c>
      <c r="AF56">
        <v>8.9907059999999994</v>
      </c>
      <c r="AG56">
        <v>9.17</v>
      </c>
      <c r="AI56" t="s">
        <v>0</v>
      </c>
      <c r="AJ56" t="s">
        <v>500</v>
      </c>
      <c r="AK56" t="s">
        <v>175</v>
      </c>
      <c r="AL56" t="s">
        <v>501</v>
      </c>
      <c r="AM56" t="s">
        <v>11</v>
      </c>
      <c r="AN56" t="s">
        <v>11</v>
      </c>
      <c r="AO56" t="s">
        <v>11</v>
      </c>
      <c r="AP56" t="s">
        <v>11</v>
      </c>
      <c r="AQ56" t="s">
        <v>502</v>
      </c>
      <c r="AR56" t="s">
        <v>11</v>
      </c>
      <c r="AS56" t="s">
        <v>11</v>
      </c>
      <c r="AT56" t="s">
        <v>11</v>
      </c>
      <c r="AU56" t="s">
        <v>11</v>
      </c>
      <c r="AV56" t="s">
        <v>11</v>
      </c>
      <c r="AW56" t="s">
        <v>11</v>
      </c>
      <c r="AX56" t="s">
        <v>11</v>
      </c>
      <c r="AY56" t="s">
        <v>11</v>
      </c>
      <c r="AZ56" t="s">
        <v>11</v>
      </c>
      <c r="BA56" t="s">
        <v>11</v>
      </c>
      <c r="BB56" t="s">
        <v>11</v>
      </c>
      <c r="BC56" t="s">
        <v>11</v>
      </c>
      <c r="BD56" t="s">
        <v>11</v>
      </c>
      <c r="BE56" t="s">
        <v>11</v>
      </c>
      <c r="BF56" t="s">
        <v>11</v>
      </c>
      <c r="BG56" t="s">
        <v>11</v>
      </c>
      <c r="BH56" t="s">
        <v>503</v>
      </c>
      <c r="BI56" t="s">
        <v>496</v>
      </c>
      <c r="BJ56" t="s">
        <v>504</v>
      </c>
      <c r="BK56" t="s">
        <v>505</v>
      </c>
    </row>
    <row r="57" spans="1:63" x14ac:dyDescent="0.3">
      <c r="A57" t="s">
        <v>506</v>
      </c>
      <c r="B57" t="s">
        <v>95</v>
      </c>
      <c r="C57" t="s">
        <v>507</v>
      </c>
      <c r="D57" t="s">
        <v>506</v>
      </c>
      <c r="E57" t="s">
        <v>508</v>
      </c>
      <c r="F57">
        <v>66</v>
      </c>
      <c r="G57">
        <v>83.8</v>
      </c>
      <c r="I57">
        <v>8.9</v>
      </c>
      <c r="K57">
        <v>7.3</v>
      </c>
      <c r="AF57">
        <v>9.1037499999999998</v>
      </c>
      <c r="AI57" t="s">
        <v>0</v>
      </c>
      <c r="AJ57" t="s">
        <v>326</v>
      </c>
      <c r="AK57" t="s">
        <v>509</v>
      </c>
      <c r="AL57" t="s">
        <v>11</v>
      </c>
      <c r="AM57" t="s">
        <v>11</v>
      </c>
      <c r="AN57" t="s">
        <v>11</v>
      </c>
      <c r="AO57" t="s">
        <v>11</v>
      </c>
      <c r="AP57" t="s">
        <v>11</v>
      </c>
      <c r="AQ57" t="s">
        <v>11</v>
      </c>
      <c r="AR57" t="s">
        <v>11</v>
      </c>
      <c r="AS57" t="s">
        <v>11</v>
      </c>
      <c r="AT57" t="s">
        <v>11</v>
      </c>
      <c r="AU57" t="s">
        <v>11</v>
      </c>
      <c r="AV57" t="s">
        <v>11</v>
      </c>
      <c r="AW57" t="s">
        <v>11</v>
      </c>
      <c r="AX57" t="s">
        <v>11</v>
      </c>
      <c r="AY57" t="s">
        <v>11</v>
      </c>
      <c r="AZ57" t="s">
        <v>11</v>
      </c>
      <c r="BA57" t="s">
        <v>11</v>
      </c>
      <c r="BB57" t="s">
        <v>11</v>
      </c>
      <c r="BC57" t="s">
        <v>11</v>
      </c>
      <c r="BD57" t="s">
        <v>11</v>
      </c>
      <c r="BE57" t="s">
        <v>11</v>
      </c>
      <c r="BF57" t="s">
        <v>11</v>
      </c>
      <c r="BG57" t="s">
        <v>11</v>
      </c>
      <c r="BH57" t="s">
        <v>510</v>
      </c>
      <c r="BI57" t="s">
        <v>506</v>
      </c>
      <c r="BJ57" t="s">
        <v>511</v>
      </c>
      <c r="BK57" t="s">
        <v>512</v>
      </c>
    </row>
    <row r="58" spans="1:63" x14ac:dyDescent="0.3">
      <c r="A58" t="s">
        <v>513</v>
      </c>
      <c r="B58" t="s">
        <v>514</v>
      </c>
      <c r="C58" t="s">
        <v>515</v>
      </c>
      <c r="D58" t="s">
        <v>516</v>
      </c>
      <c r="E58" t="s">
        <v>517</v>
      </c>
      <c r="F58">
        <v>67</v>
      </c>
      <c r="G58">
        <v>72.5</v>
      </c>
      <c r="H58">
        <v>10</v>
      </c>
      <c r="I58">
        <v>4.5</v>
      </c>
      <c r="K58">
        <v>5.2</v>
      </c>
      <c r="L58">
        <v>7.8</v>
      </c>
      <c r="AF58">
        <v>8.8173460000000006</v>
      </c>
      <c r="AG58">
        <v>8.84</v>
      </c>
      <c r="AI58" t="s">
        <v>0</v>
      </c>
      <c r="AJ58" t="s">
        <v>518</v>
      </c>
      <c r="AK58" t="s">
        <v>519</v>
      </c>
      <c r="AL58" t="s">
        <v>520</v>
      </c>
      <c r="AM58" t="s">
        <v>11</v>
      </c>
      <c r="AN58" t="s">
        <v>11</v>
      </c>
      <c r="AO58" t="s">
        <v>11</v>
      </c>
      <c r="AP58" t="s">
        <v>11</v>
      </c>
      <c r="AQ58" t="s">
        <v>521</v>
      </c>
      <c r="AR58" t="s">
        <v>11</v>
      </c>
      <c r="AS58" t="s">
        <v>11</v>
      </c>
      <c r="AT58" t="s">
        <v>11</v>
      </c>
      <c r="AU58" t="s">
        <v>11</v>
      </c>
      <c r="AV58" t="s">
        <v>11</v>
      </c>
      <c r="AW58" t="s">
        <v>11</v>
      </c>
      <c r="AX58" t="s">
        <v>11</v>
      </c>
      <c r="AY58" t="s">
        <v>11</v>
      </c>
      <c r="AZ58" t="s">
        <v>11</v>
      </c>
      <c r="BA58" t="s">
        <v>11</v>
      </c>
      <c r="BB58" t="s">
        <v>11</v>
      </c>
      <c r="BC58" t="s">
        <v>11</v>
      </c>
      <c r="BD58" t="s">
        <v>11</v>
      </c>
      <c r="BE58" t="s">
        <v>11</v>
      </c>
      <c r="BF58" t="s">
        <v>11</v>
      </c>
      <c r="BG58" t="s">
        <v>11</v>
      </c>
      <c r="BH58" t="s">
        <v>522</v>
      </c>
      <c r="BI58" t="s">
        <v>513</v>
      </c>
      <c r="BJ58" t="s">
        <v>523</v>
      </c>
      <c r="BK58" t="s">
        <v>524</v>
      </c>
    </row>
    <row r="59" spans="1:63" x14ac:dyDescent="0.3">
      <c r="A59" t="s">
        <v>525</v>
      </c>
      <c r="B59" t="s">
        <v>160</v>
      </c>
      <c r="C59" t="s">
        <v>526</v>
      </c>
      <c r="D59" t="s">
        <v>498</v>
      </c>
      <c r="E59" t="s">
        <v>517</v>
      </c>
      <c r="F59">
        <v>68</v>
      </c>
      <c r="G59">
        <v>72.400000000000006</v>
      </c>
      <c r="H59">
        <v>10.199999999999999</v>
      </c>
      <c r="I59">
        <v>5.4</v>
      </c>
      <c r="K59">
        <v>6.1</v>
      </c>
      <c r="L59">
        <v>5.9</v>
      </c>
      <c r="AF59">
        <v>8.9381790000000017</v>
      </c>
      <c r="AG59">
        <v>9.17</v>
      </c>
      <c r="AI59" t="s">
        <v>0</v>
      </c>
      <c r="AJ59" t="s">
        <v>527</v>
      </c>
      <c r="AK59" t="s">
        <v>528</v>
      </c>
      <c r="AL59" t="s">
        <v>529</v>
      </c>
      <c r="AM59" t="s">
        <v>11</v>
      </c>
      <c r="AN59" t="s">
        <v>11</v>
      </c>
      <c r="AO59" t="s">
        <v>11</v>
      </c>
      <c r="AP59" t="s">
        <v>11</v>
      </c>
      <c r="AQ59" t="s">
        <v>530</v>
      </c>
      <c r="AR59" t="s">
        <v>11</v>
      </c>
      <c r="AS59" t="s">
        <v>11</v>
      </c>
      <c r="AT59" t="s">
        <v>11</v>
      </c>
      <c r="AU59" t="s">
        <v>11</v>
      </c>
      <c r="AV59" t="s">
        <v>11</v>
      </c>
      <c r="AW59" t="s">
        <v>11</v>
      </c>
      <c r="AX59" t="s">
        <v>11</v>
      </c>
      <c r="AY59" t="s">
        <v>11</v>
      </c>
      <c r="AZ59" t="s">
        <v>11</v>
      </c>
      <c r="BA59" t="s">
        <v>11</v>
      </c>
      <c r="BB59" t="s">
        <v>11</v>
      </c>
      <c r="BC59" t="s">
        <v>11</v>
      </c>
      <c r="BD59" t="s">
        <v>11</v>
      </c>
      <c r="BE59" t="s">
        <v>11</v>
      </c>
      <c r="BF59" t="s">
        <v>11</v>
      </c>
      <c r="BG59" t="s">
        <v>11</v>
      </c>
      <c r="BH59" t="s">
        <v>531</v>
      </c>
      <c r="BI59" t="s">
        <v>525</v>
      </c>
      <c r="BJ59" t="s">
        <v>532</v>
      </c>
      <c r="BK59" t="s">
        <v>533</v>
      </c>
    </row>
    <row r="60" spans="1:63" x14ac:dyDescent="0.3">
      <c r="A60" t="s">
        <v>534</v>
      </c>
      <c r="B60" t="s">
        <v>160</v>
      </c>
      <c r="C60" t="s">
        <v>535</v>
      </c>
      <c r="D60" t="s">
        <v>536</v>
      </c>
      <c r="E60" t="s">
        <v>517</v>
      </c>
      <c r="F60">
        <v>69</v>
      </c>
      <c r="G60">
        <v>72.3</v>
      </c>
      <c r="H60">
        <v>10.3</v>
      </c>
      <c r="I60">
        <v>6.3</v>
      </c>
      <c r="K60">
        <v>7</v>
      </c>
      <c r="L60">
        <v>4.0999999999999996</v>
      </c>
      <c r="AF60">
        <v>9.0546109999999995</v>
      </c>
      <c r="AG60">
        <v>9.3699999999999992</v>
      </c>
      <c r="AI60" t="s">
        <v>0</v>
      </c>
      <c r="AJ60" t="s">
        <v>537</v>
      </c>
      <c r="AK60" t="s">
        <v>538</v>
      </c>
      <c r="AL60" t="s">
        <v>539</v>
      </c>
      <c r="AM60" t="s">
        <v>11</v>
      </c>
      <c r="AN60" t="s">
        <v>11</v>
      </c>
      <c r="AO60" t="s">
        <v>11</v>
      </c>
      <c r="AP60" t="s">
        <v>11</v>
      </c>
      <c r="AQ60" t="s">
        <v>540</v>
      </c>
      <c r="AR60" t="s">
        <v>11</v>
      </c>
      <c r="AS60" t="s">
        <v>11</v>
      </c>
      <c r="AT60" t="s">
        <v>11</v>
      </c>
      <c r="AU60" t="s">
        <v>11</v>
      </c>
      <c r="AV60" t="s">
        <v>11</v>
      </c>
      <c r="AW60" t="s">
        <v>11</v>
      </c>
      <c r="AX60" t="s">
        <v>11</v>
      </c>
      <c r="AY60" t="s">
        <v>11</v>
      </c>
      <c r="AZ60" t="s">
        <v>11</v>
      </c>
      <c r="BA60" t="s">
        <v>11</v>
      </c>
      <c r="BB60" t="s">
        <v>11</v>
      </c>
      <c r="BC60" t="s">
        <v>11</v>
      </c>
      <c r="BD60" t="s">
        <v>11</v>
      </c>
      <c r="BE60" t="s">
        <v>11</v>
      </c>
      <c r="BF60" t="s">
        <v>11</v>
      </c>
      <c r="BG60" t="s">
        <v>11</v>
      </c>
      <c r="BH60" t="s">
        <v>541</v>
      </c>
      <c r="BI60" t="s">
        <v>534</v>
      </c>
      <c r="BJ60" t="s">
        <v>542</v>
      </c>
      <c r="BK60" t="s">
        <v>543</v>
      </c>
    </row>
    <row r="61" spans="1:63" x14ac:dyDescent="0.3">
      <c r="A61" t="s">
        <v>544</v>
      </c>
      <c r="B61" t="s">
        <v>160</v>
      </c>
      <c r="C61" t="s">
        <v>545</v>
      </c>
      <c r="D61" t="s">
        <v>546</v>
      </c>
      <c r="E61" t="s">
        <v>517</v>
      </c>
      <c r="F61">
        <v>70</v>
      </c>
      <c r="G61">
        <v>72.3</v>
      </c>
      <c r="H61">
        <v>10.199999999999999</v>
      </c>
      <c r="I61">
        <v>7.3</v>
      </c>
      <c r="K61">
        <v>8</v>
      </c>
      <c r="L61">
        <v>2.2000000000000002</v>
      </c>
      <c r="AF61">
        <v>9.17957</v>
      </c>
      <c r="AG61">
        <v>9.51</v>
      </c>
      <c r="AI61" t="s">
        <v>0</v>
      </c>
      <c r="AJ61" t="s">
        <v>547</v>
      </c>
      <c r="AK61" t="s">
        <v>548</v>
      </c>
      <c r="AL61" t="s">
        <v>529</v>
      </c>
      <c r="AM61" t="s">
        <v>11</v>
      </c>
      <c r="AN61" t="s">
        <v>11</v>
      </c>
      <c r="AO61" t="s">
        <v>11</v>
      </c>
      <c r="AP61" t="s">
        <v>11</v>
      </c>
      <c r="AQ61" t="s">
        <v>120</v>
      </c>
      <c r="AR61" t="s">
        <v>11</v>
      </c>
      <c r="AS61" t="s">
        <v>11</v>
      </c>
      <c r="AT61" t="s">
        <v>11</v>
      </c>
      <c r="AU61" t="s">
        <v>11</v>
      </c>
      <c r="AV61" t="s">
        <v>11</v>
      </c>
      <c r="AW61" t="s">
        <v>11</v>
      </c>
      <c r="AX61" t="s">
        <v>11</v>
      </c>
      <c r="AY61" t="s">
        <v>11</v>
      </c>
      <c r="AZ61" t="s">
        <v>11</v>
      </c>
      <c r="BA61" t="s">
        <v>11</v>
      </c>
      <c r="BB61" t="s">
        <v>11</v>
      </c>
      <c r="BC61" t="s">
        <v>11</v>
      </c>
      <c r="BD61" t="s">
        <v>11</v>
      </c>
      <c r="BE61" t="s">
        <v>11</v>
      </c>
      <c r="BF61" t="s">
        <v>11</v>
      </c>
      <c r="BG61" t="s">
        <v>11</v>
      </c>
      <c r="BH61" t="s">
        <v>549</v>
      </c>
      <c r="BI61" t="s">
        <v>544</v>
      </c>
      <c r="BJ61" t="s">
        <v>550</v>
      </c>
      <c r="BK61" t="s">
        <v>551</v>
      </c>
    </row>
    <row r="62" spans="1:63" x14ac:dyDescent="0.3">
      <c r="A62" t="s">
        <v>552</v>
      </c>
      <c r="B62" t="s">
        <v>160</v>
      </c>
      <c r="C62" t="s">
        <v>553</v>
      </c>
      <c r="D62" t="s">
        <v>554</v>
      </c>
      <c r="E62" t="s">
        <v>555</v>
      </c>
      <c r="F62">
        <v>71</v>
      </c>
      <c r="G62">
        <v>72.800000000000011</v>
      </c>
      <c r="H62">
        <v>10.199999999999999</v>
      </c>
      <c r="I62">
        <v>8.1</v>
      </c>
      <c r="K62">
        <v>8.9</v>
      </c>
      <c r="L62">
        <v>0</v>
      </c>
      <c r="AF62">
        <v>9.3197660000000013</v>
      </c>
      <c r="AG62">
        <v>9.6999999999999993</v>
      </c>
      <c r="AI62" t="s">
        <v>0</v>
      </c>
      <c r="AJ62" t="s">
        <v>99</v>
      </c>
      <c r="AK62" t="s">
        <v>556</v>
      </c>
      <c r="AL62" t="s">
        <v>529</v>
      </c>
      <c r="AM62" t="s">
        <v>11</v>
      </c>
      <c r="AN62" t="s">
        <v>11</v>
      </c>
      <c r="AO62" t="s">
        <v>11</v>
      </c>
      <c r="AP62" t="s">
        <v>11</v>
      </c>
      <c r="AQ62" t="s">
        <v>557</v>
      </c>
      <c r="AR62" t="s">
        <v>11</v>
      </c>
      <c r="AS62" t="s">
        <v>11</v>
      </c>
      <c r="AT62" t="s">
        <v>11</v>
      </c>
      <c r="AU62" t="s">
        <v>11</v>
      </c>
      <c r="AV62" t="s">
        <v>11</v>
      </c>
      <c r="AW62" t="s">
        <v>11</v>
      </c>
      <c r="AX62" t="s">
        <v>11</v>
      </c>
      <c r="AY62" t="s">
        <v>11</v>
      </c>
      <c r="AZ62" t="s">
        <v>11</v>
      </c>
      <c r="BA62" t="s">
        <v>11</v>
      </c>
      <c r="BB62" t="s">
        <v>11</v>
      </c>
      <c r="BC62" t="s">
        <v>11</v>
      </c>
      <c r="BD62" t="s">
        <v>11</v>
      </c>
      <c r="BE62" t="s">
        <v>11</v>
      </c>
      <c r="BF62" t="s">
        <v>11</v>
      </c>
      <c r="BG62" t="s">
        <v>11</v>
      </c>
      <c r="BH62" t="s">
        <v>558</v>
      </c>
      <c r="BI62" t="s">
        <v>552</v>
      </c>
      <c r="BJ62" t="s">
        <v>559</v>
      </c>
      <c r="BK62" t="s">
        <v>560</v>
      </c>
    </row>
    <row r="63" spans="1:63" x14ac:dyDescent="0.3">
      <c r="A63" t="s">
        <v>561</v>
      </c>
      <c r="B63" t="s">
        <v>95</v>
      </c>
      <c r="C63" t="s">
        <v>562</v>
      </c>
      <c r="D63" t="s">
        <v>561</v>
      </c>
      <c r="E63" t="s">
        <v>563</v>
      </c>
      <c r="F63">
        <v>72</v>
      </c>
      <c r="G63">
        <v>83.06</v>
      </c>
      <c r="I63">
        <v>9.49</v>
      </c>
      <c r="K63">
        <v>7.45</v>
      </c>
      <c r="AF63">
        <v>9.0826950000000011</v>
      </c>
      <c r="AI63" t="s">
        <v>0</v>
      </c>
      <c r="AJ63" t="s">
        <v>315</v>
      </c>
      <c r="AK63" t="s">
        <v>195</v>
      </c>
      <c r="AL63" t="s">
        <v>11</v>
      </c>
      <c r="AM63" t="s">
        <v>11</v>
      </c>
      <c r="AN63" t="s">
        <v>11</v>
      </c>
      <c r="AO63" t="s">
        <v>11</v>
      </c>
      <c r="AP63" t="s">
        <v>11</v>
      </c>
      <c r="AQ63" t="s">
        <v>11</v>
      </c>
      <c r="AR63" t="s">
        <v>11</v>
      </c>
      <c r="AS63" t="s">
        <v>11</v>
      </c>
      <c r="AT63" t="s">
        <v>11</v>
      </c>
      <c r="AU63" t="s">
        <v>11</v>
      </c>
      <c r="AV63" t="s">
        <v>11</v>
      </c>
      <c r="AW63" t="s">
        <v>11</v>
      </c>
      <c r="AX63" t="s">
        <v>11</v>
      </c>
      <c r="AY63" t="s">
        <v>11</v>
      </c>
      <c r="AZ63" t="s">
        <v>11</v>
      </c>
      <c r="BA63" t="s">
        <v>11</v>
      </c>
      <c r="BB63" t="s">
        <v>11</v>
      </c>
      <c r="BC63" t="s">
        <v>11</v>
      </c>
      <c r="BD63" t="s">
        <v>11</v>
      </c>
      <c r="BE63" t="s">
        <v>11</v>
      </c>
      <c r="BF63" t="s">
        <v>11</v>
      </c>
      <c r="BG63" t="s">
        <v>11</v>
      </c>
      <c r="BH63" t="s">
        <v>564</v>
      </c>
      <c r="BI63" t="s">
        <v>561</v>
      </c>
      <c r="BJ63" t="s">
        <v>565</v>
      </c>
      <c r="BK63" t="s">
        <v>566</v>
      </c>
    </row>
    <row r="64" spans="1:63" x14ac:dyDescent="0.3">
      <c r="A64" t="s">
        <v>567</v>
      </c>
      <c r="B64" t="s">
        <v>95</v>
      </c>
      <c r="C64" t="s">
        <v>568</v>
      </c>
      <c r="D64" t="s">
        <v>569</v>
      </c>
      <c r="E64" t="s">
        <v>563</v>
      </c>
      <c r="F64">
        <v>73</v>
      </c>
      <c r="G64">
        <v>82.901499999999999</v>
      </c>
      <c r="I64">
        <v>9.56</v>
      </c>
      <c r="K64">
        <v>7.5</v>
      </c>
      <c r="S64">
        <v>3.85E-2</v>
      </c>
      <c r="AF64">
        <v>9.0810505999999993</v>
      </c>
      <c r="AI64" t="s">
        <v>0</v>
      </c>
      <c r="AJ64" t="s">
        <v>10</v>
      </c>
      <c r="AK64" t="s">
        <v>195</v>
      </c>
      <c r="AL64" t="s">
        <v>11</v>
      </c>
      <c r="AM64" t="s">
        <v>11</v>
      </c>
      <c r="AN64" t="s">
        <v>11</v>
      </c>
      <c r="AO64" t="s">
        <v>11</v>
      </c>
      <c r="AP64" t="s">
        <v>11</v>
      </c>
      <c r="AQ64" t="s">
        <v>11</v>
      </c>
      <c r="AR64" t="s">
        <v>11</v>
      </c>
      <c r="AS64" t="s">
        <v>11</v>
      </c>
      <c r="AT64" t="s">
        <v>11</v>
      </c>
      <c r="AU64" t="s">
        <v>344</v>
      </c>
      <c r="AV64" t="s">
        <v>11</v>
      </c>
      <c r="AW64" t="s">
        <v>11</v>
      </c>
      <c r="AX64" t="s">
        <v>11</v>
      </c>
      <c r="AY64" t="s">
        <v>11</v>
      </c>
      <c r="AZ64" t="s">
        <v>11</v>
      </c>
      <c r="BA64" t="s">
        <v>11</v>
      </c>
      <c r="BB64" t="s">
        <v>11</v>
      </c>
      <c r="BC64" t="s">
        <v>11</v>
      </c>
      <c r="BD64" t="s">
        <v>11</v>
      </c>
      <c r="BE64" t="s">
        <v>11</v>
      </c>
      <c r="BF64" t="s">
        <v>11</v>
      </c>
      <c r="BG64" t="s">
        <v>11</v>
      </c>
      <c r="BH64" t="s">
        <v>570</v>
      </c>
      <c r="BI64" t="s">
        <v>567</v>
      </c>
      <c r="BJ64" t="s">
        <v>571</v>
      </c>
      <c r="BK64" t="s">
        <v>572</v>
      </c>
    </row>
    <row r="65" spans="1:63" x14ac:dyDescent="0.3">
      <c r="A65" t="s">
        <v>573</v>
      </c>
      <c r="B65" t="s">
        <v>95</v>
      </c>
      <c r="C65" t="s">
        <v>568</v>
      </c>
      <c r="D65" t="s">
        <v>574</v>
      </c>
      <c r="E65" t="s">
        <v>563</v>
      </c>
      <c r="F65">
        <v>74</v>
      </c>
      <c r="G65">
        <v>82.500799999999998</v>
      </c>
      <c r="I65">
        <v>9.85</v>
      </c>
      <c r="K65">
        <v>7.64</v>
      </c>
      <c r="S65">
        <v>9.1999999999999998E-3</v>
      </c>
      <c r="AF65">
        <v>9.0794475200000004</v>
      </c>
      <c r="AI65" t="s">
        <v>0</v>
      </c>
      <c r="AJ65" t="s">
        <v>575</v>
      </c>
      <c r="AK65" t="s">
        <v>576</v>
      </c>
      <c r="AL65" t="s">
        <v>11</v>
      </c>
      <c r="AM65" t="s">
        <v>11</v>
      </c>
      <c r="AN65" t="s">
        <v>11</v>
      </c>
      <c r="AO65" t="s">
        <v>11</v>
      </c>
      <c r="AP65" t="s">
        <v>11</v>
      </c>
      <c r="AQ65" t="s">
        <v>11</v>
      </c>
      <c r="AR65" t="s">
        <v>11</v>
      </c>
      <c r="AS65" t="s">
        <v>11</v>
      </c>
      <c r="AT65" t="s">
        <v>11</v>
      </c>
      <c r="AU65" t="s">
        <v>577</v>
      </c>
      <c r="AV65" t="s">
        <v>11</v>
      </c>
      <c r="AW65" t="s">
        <v>11</v>
      </c>
      <c r="AX65" t="s">
        <v>11</v>
      </c>
      <c r="AY65" t="s">
        <v>11</v>
      </c>
      <c r="AZ65" t="s">
        <v>11</v>
      </c>
      <c r="BA65" t="s">
        <v>11</v>
      </c>
      <c r="BB65" t="s">
        <v>11</v>
      </c>
      <c r="BC65" t="s">
        <v>11</v>
      </c>
      <c r="BD65" t="s">
        <v>11</v>
      </c>
      <c r="BE65" t="s">
        <v>11</v>
      </c>
      <c r="BF65" t="s">
        <v>11</v>
      </c>
      <c r="BG65" t="s">
        <v>11</v>
      </c>
      <c r="BH65" t="s">
        <v>578</v>
      </c>
      <c r="BI65" t="s">
        <v>573</v>
      </c>
      <c r="BJ65" t="s">
        <v>579</v>
      </c>
      <c r="BK65" t="s">
        <v>580</v>
      </c>
    </row>
    <row r="66" spans="1:63" x14ac:dyDescent="0.3">
      <c r="A66" t="s">
        <v>581</v>
      </c>
      <c r="B66" t="s">
        <v>95</v>
      </c>
      <c r="C66" t="s">
        <v>582</v>
      </c>
      <c r="D66" t="s">
        <v>583</v>
      </c>
      <c r="E66" t="s">
        <v>563</v>
      </c>
      <c r="F66">
        <v>75</v>
      </c>
      <c r="G66">
        <v>82.984999999999999</v>
      </c>
      <c r="I66">
        <v>9.58</v>
      </c>
      <c r="K66">
        <v>7.4</v>
      </c>
      <c r="R66">
        <v>3.5000000000000003E-2</v>
      </c>
      <c r="AF66">
        <v>9.0711038500000001</v>
      </c>
      <c r="AI66" t="s">
        <v>0</v>
      </c>
      <c r="AJ66" t="s">
        <v>10</v>
      </c>
      <c r="AK66" t="s">
        <v>584</v>
      </c>
      <c r="AL66" t="s">
        <v>11</v>
      </c>
      <c r="AM66" t="s">
        <v>11</v>
      </c>
      <c r="AN66" t="s">
        <v>11</v>
      </c>
      <c r="AO66" t="s">
        <v>11</v>
      </c>
      <c r="AP66" t="s">
        <v>11</v>
      </c>
      <c r="AQ66" t="s">
        <v>11</v>
      </c>
      <c r="AR66" t="s">
        <v>11</v>
      </c>
      <c r="AS66" t="s">
        <v>11</v>
      </c>
      <c r="AT66" t="s">
        <v>77</v>
      </c>
      <c r="AU66" t="s">
        <v>11</v>
      </c>
      <c r="AV66" t="s">
        <v>11</v>
      </c>
      <c r="AW66" t="s">
        <v>11</v>
      </c>
      <c r="AX66" t="s">
        <v>11</v>
      </c>
      <c r="AY66" t="s">
        <v>11</v>
      </c>
      <c r="AZ66" t="s">
        <v>11</v>
      </c>
      <c r="BA66" t="s">
        <v>11</v>
      </c>
      <c r="BB66" t="s">
        <v>11</v>
      </c>
      <c r="BC66" t="s">
        <v>11</v>
      </c>
      <c r="BD66" t="s">
        <v>11</v>
      </c>
      <c r="BE66" t="s">
        <v>11</v>
      </c>
      <c r="BF66" t="s">
        <v>11</v>
      </c>
      <c r="BG66" t="s">
        <v>11</v>
      </c>
      <c r="BH66" t="s">
        <v>585</v>
      </c>
      <c r="BI66" t="s">
        <v>581</v>
      </c>
      <c r="BJ66" t="s">
        <v>586</v>
      </c>
      <c r="BK66" t="s">
        <v>587</v>
      </c>
    </row>
    <row r="67" spans="1:63" x14ac:dyDescent="0.3">
      <c r="A67" t="s">
        <v>588</v>
      </c>
      <c r="B67" t="s">
        <v>95</v>
      </c>
      <c r="C67" t="s">
        <v>589</v>
      </c>
      <c r="D67" t="s">
        <v>590</v>
      </c>
      <c r="E67" t="s">
        <v>563</v>
      </c>
      <c r="F67">
        <v>76</v>
      </c>
      <c r="G67">
        <v>82.777100000000004</v>
      </c>
      <c r="I67">
        <v>9.5299999999999994</v>
      </c>
      <c r="K67">
        <v>7.66</v>
      </c>
      <c r="R67">
        <v>2.75E-2</v>
      </c>
      <c r="S67">
        <v>5.4000000000000003E-3</v>
      </c>
      <c r="AF67">
        <v>9.1009452650000018</v>
      </c>
      <c r="AI67" t="s">
        <v>0</v>
      </c>
      <c r="AJ67" t="s">
        <v>315</v>
      </c>
      <c r="AK67" t="s">
        <v>185</v>
      </c>
      <c r="AL67" t="s">
        <v>11</v>
      </c>
      <c r="AM67" t="s">
        <v>11</v>
      </c>
      <c r="AN67" t="s">
        <v>11</v>
      </c>
      <c r="AO67" t="s">
        <v>11</v>
      </c>
      <c r="AP67" t="s">
        <v>11</v>
      </c>
      <c r="AQ67" t="s">
        <v>11</v>
      </c>
      <c r="AR67" t="s">
        <v>11</v>
      </c>
      <c r="AS67" t="s">
        <v>11</v>
      </c>
      <c r="AT67" t="s">
        <v>591</v>
      </c>
      <c r="AU67" t="s">
        <v>577</v>
      </c>
      <c r="AV67" t="s">
        <v>11</v>
      </c>
      <c r="AW67" t="s">
        <v>11</v>
      </c>
      <c r="AX67" t="s">
        <v>11</v>
      </c>
      <c r="AY67" t="s">
        <v>11</v>
      </c>
      <c r="AZ67" t="s">
        <v>11</v>
      </c>
      <c r="BA67" t="s">
        <v>11</v>
      </c>
      <c r="BB67" t="s">
        <v>11</v>
      </c>
      <c r="BC67" t="s">
        <v>11</v>
      </c>
      <c r="BD67" t="s">
        <v>11</v>
      </c>
      <c r="BE67" t="s">
        <v>11</v>
      </c>
      <c r="BF67" t="s">
        <v>11</v>
      </c>
      <c r="BG67" t="s">
        <v>11</v>
      </c>
      <c r="BH67" t="s">
        <v>592</v>
      </c>
      <c r="BI67" t="s">
        <v>588</v>
      </c>
      <c r="BJ67" t="s">
        <v>593</v>
      </c>
      <c r="BK67" t="s">
        <v>594</v>
      </c>
    </row>
    <row r="68" spans="1:63" x14ac:dyDescent="0.3">
      <c r="A68" t="s">
        <v>595</v>
      </c>
      <c r="B68" t="s">
        <v>514</v>
      </c>
      <c r="C68" t="s">
        <v>596</v>
      </c>
      <c r="D68" t="s">
        <v>597</v>
      </c>
      <c r="E68" t="s">
        <v>598</v>
      </c>
      <c r="F68">
        <v>77</v>
      </c>
      <c r="G68">
        <v>78</v>
      </c>
      <c r="H68">
        <v>10</v>
      </c>
      <c r="I68">
        <v>5.8</v>
      </c>
      <c r="L68">
        <v>6.2</v>
      </c>
      <c r="AF68">
        <v>8.268834</v>
      </c>
      <c r="AG68">
        <v>8.1999999999999993</v>
      </c>
      <c r="AI68" t="s">
        <v>0</v>
      </c>
      <c r="AJ68" t="s">
        <v>599</v>
      </c>
      <c r="AK68" t="s">
        <v>11</v>
      </c>
      <c r="AL68" t="s">
        <v>520</v>
      </c>
      <c r="AM68" t="s">
        <v>11</v>
      </c>
      <c r="AN68" t="s">
        <v>11</v>
      </c>
      <c r="AO68" t="s">
        <v>11</v>
      </c>
      <c r="AP68" t="s">
        <v>11</v>
      </c>
      <c r="AQ68" t="s">
        <v>600</v>
      </c>
      <c r="AR68" t="s">
        <v>11</v>
      </c>
      <c r="AS68" t="s">
        <v>11</v>
      </c>
      <c r="AT68" t="s">
        <v>11</v>
      </c>
      <c r="AU68" t="s">
        <v>11</v>
      </c>
      <c r="AV68" t="s">
        <v>11</v>
      </c>
      <c r="AW68" t="s">
        <v>11</v>
      </c>
      <c r="AX68" t="s">
        <v>11</v>
      </c>
      <c r="AY68" t="s">
        <v>11</v>
      </c>
      <c r="AZ68" t="s">
        <v>11</v>
      </c>
      <c r="BA68" t="s">
        <v>11</v>
      </c>
      <c r="BB68" t="s">
        <v>11</v>
      </c>
      <c r="BC68" t="s">
        <v>11</v>
      </c>
      <c r="BD68" t="s">
        <v>11</v>
      </c>
      <c r="BE68" t="s">
        <v>11</v>
      </c>
      <c r="BF68" t="s">
        <v>11</v>
      </c>
      <c r="BG68" t="s">
        <v>11</v>
      </c>
      <c r="BH68" t="s">
        <v>601</v>
      </c>
      <c r="BI68" t="s">
        <v>595</v>
      </c>
      <c r="BJ68" t="s">
        <v>602</v>
      </c>
      <c r="BK68" t="s">
        <v>603</v>
      </c>
    </row>
    <row r="69" spans="1:63" x14ac:dyDescent="0.3">
      <c r="A69" t="s">
        <v>604</v>
      </c>
      <c r="B69" t="s">
        <v>514</v>
      </c>
      <c r="C69" t="s">
        <v>605</v>
      </c>
      <c r="D69" t="s">
        <v>606</v>
      </c>
      <c r="E69" t="s">
        <v>598</v>
      </c>
      <c r="F69">
        <v>78</v>
      </c>
      <c r="G69">
        <v>74.099999999999994</v>
      </c>
      <c r="H69">
        <v>10.1</v>
      </c>
      <c r="I69">
        <v>5.7</v>
      </c>
      <c r="K69">
        <v>3.9</v>
      </c>
      <c r="L69">
        <v>6.2</v>
      </c>
      <c r="AF69">
        <v>8.6786919999999999</v>
      </c>
      <c r="AG69">
        <v>8.86</v>
      </c>
      <c r="AI69" t="s">
        <v>0</v>
      </c>
      <c r="AJ69" t="s">
        <v>607</v>
      </c>
      <c r="AK69" t="s">
        <v>608</v>
      </c>
      <c r="AL69" t="s">
        <v>501</v>
      </c>
      <c r="AM69" t="s">
        <v>11</v>
      </c>
      <c r="AN69" t="s">
        <v>11</v>
      </c>
      <c r="AO69" t="s">
        <v>11</v>
      </c>
      <c r="AP69" t="s">
        <v>11</v>
      </c>
      <c r="AQ69" t="s">
        <v>600</v>
      </c>
      <c r="AR69" t="s">
        <v>11</v>
      </c>
      <c r="AS69" t="s">
        <v>11</v>
      </c>
      <c r="AT69" t="s">
        <v>11</v>
      </c>
      <c r="AU69" t="s">
        <v>11</v>
      </c>
      <c r="AV69" t="s">
        <v>11</v>
      </c>
      <c r="AW69" t="s">
        <v>11</v>
      </c>
      <c r="AX69" t="s">
        <v>11</v>
      </c>
      <c r="AY69" t="s">
        <v>11</v>
      </c>
      <c r="AZ69" t="s">
        <v>11</v>
      </c>
      <c r="BA69" t="s">
        <v>11</v>
      </c>
      <c r="BB69" t="s">
        <v>11</v>
      </c>
      <c r="BC69" t="s">
        <v>11</v>
      </c>
      <c r="BD69" t="s">
        <v>11</v>
      </c>
      <c r="BE69" t="s">
        <v>11</v>
      </c>
      <c r="BF69" t="s">
        <v>11</v>
      </c>
      <c r="BG69" t="s">
        <v>11</v>
      </c>
      <c r="BH69" t="s">
        <v>609</v>
      </c>
      <c r="BI69" t="s">
        <v>604</v>
      </c>
      <c r="BJ69" t="s">
        <v>610</v>
      </c>
      <c r="BK69" t="s">
        <v>611</v>
      </c>
    </row>
    <row r="70" spans="1:63" x14ac:dyDescent="0.3">
      <c r="A70" t="s">
        <v>612</v>
      </c>
      <c r="B70" t="s">
        <v>514</v>
      </c>
      <c r="C70" t="s">
        <v>613</v>
      </c>
      <c r="D70" t="s">
        <v>614</v>
      </c>
      <c r="E70" t="s">
        <v>598</v>
      </c>
      <c r="F70">
        <v>79</v>
      </c>
      <c r="G70">
        <v>76</v>
      </c>
      <c r="H70">
        <v>10</v>
      </c>
      <c r="I70">
        <v>5.9</v>
      </c>
      <c r="K70">
        <v>2</v>
      </c>
      <c r="L70">
        <v>6.1</v>
      </c>
      <c r="AF70">
        <v>8.4740269999999995</v>
      </c>
      <c r="AG70">
        <v>8.5399999999999991</v>
      </c>
      <c r="AI70" t="s">
        <v>0</v>
      </c>
      <c r="AJ70" t="s">
        <v>615</v>
      </c>
      <c r="AK70" t="s">
        <v>62</v>
      </c>
      <c r="AL70" t="s">
        <v>520</v>
      </c>
      <c r="AM70" t="s">
        <v>11</v>
      </c>
      <c r="AN70" t="s">
        <v>11</v>
      </c>
      <c r="AO70" t="s">
        <v>11</v>
      </c>
      <c r="AP70" t="s">
        <v>11</v>
      </c>
      <c r="AQ70" t="s">
        <v>616</v>
      </c>
      <c r="AR70" t="s">
        <v>11</v>
      </c>
      <c r="AS70" t="s">
        <v>11</v>
      </c>
      <c r="AT70" t="s">
        <v>11</v>
      </c>
      <c r="AU70" t="s">
        <v>11</v>
      </c>
      <c r="AV70" t="s">
        <v>11</v>
      </c>
      <c r="AW70" t="s">
        <v>11</v>
      </c>
      <c r="AX70" t="s">
        <v>11</v>
      </c>
      <c r="AY70" t="s">
        <v>11</v>
      </c>
      <c r="AZ70" t="s">
        <v>11</v>
      </c>
      <c r="BA70" t="s">
        <v>11</v>
      </c>
      <c r="BB70" t="s">
        <v>11</v>
      </c>
      <c r="BC70" t="s">
        <v>11</v>
      </c>
      <c r="BD70" t="s">
        <v>11</v>
      </c>
      <c r="BE70" t="s">
        <v>11</v>
      </c>
      <c r="BF70" t="s">
        <v>11</v>
      </c>
      <c r="BG70" t="s">
        <v>11</v>
      </c>
      <c r="BH70" t="s">
        <v>617</v>
      </c>
      <c r="BI70" t="s">
        <v>612</v>
      </c>
      <c r="BJ70" t="s">
        <v>618</v>
      </c>
      <c r="BK70" t="s">
        <v>619</v>
      </c>
    </row>
    <row r="71" spans="1:63" x14ac:dyDescent="0.3">
      <c r="A71" t="s">
        <v>620</v>
      </c>
      <c r="B71" t="s">
        <v>160</v>
      </c>
      <c r="C71" t="s">
        <v>621</v>
      </c>
      <c r="D71" t="s">
        <v>622</v>
      </c>
      <c r="E71" t="s">
        <v>623</v>
      </c>
      <c r="F71">
        <v>80</v>
      </c>
      <c r="G71">
        <v>43.7</v>
      </c>
      <c r="H71">
        <v>3.9</v>
      </c>
      <c r="I71">
        <v>4.9000000000000004</v>
      </c>
      <c r="J71">
        <v>7.8</v>
      </c>
      <c r="K71">
        <v>8.6999999999999993</v>
      </c>
      <c r="W71">
        <v>31</v>
      </c>
      <c r="AF71">
        <v>9.0455220000000001</v>
      </c>
      <c r="AH71" t="s">
        <v>624</v>
      </c>
      <c r="AI71" t="s">
        <v>0</v>
      </c>
      <c r="AJ71" t="s">
        <v>625</v>
      </c>
      <c r="AK71" t="s">
        <v>626</v>
      </c>
      <c r="AL71" t="s">
        <v>627</v>
      </c>
      <c r="AM71" t="s">
        <v>628</v>
      </c>
      <c r="AN71" t="s">
        <v>11</v>
      </c>
      <c r="AO71" t="s">
        <v>11</v>
      </c>
      <c r="AP71" t="s">
        <v>11</v>
      </c>
      <c r="AQ71" t="s">
        <v>11</v>
      </c>
      <c r="AR71" t="s">
        <v>11</v>
      </c>
      <c r="AS71" t="s">
        <v>11</v>
      </c>
      <c r="AT71" t="s">
        <v>11</v>
      </c>
      <c r="AU71" t="s">
        <v>11</v>
      </c>
      <c r="AV71" t="s">
        <v>11</v>
      </c>
      <c r="AW71" t="s">
        <v>11</v>
      </c>
      <c r="AX71" t="s">
        <v>11</v>
      </c>
      <c r="AY71" t="s">
        <v>629</v>
      </c>
      <c r="AZ71" t="s">
        <v>11</v>
      </c>
      <c r="BA71" t="s">
        <v>11</v>
      </c>
      <c r="BB71" t="s">
        <v>11</v>
      </c>
      <c r="BC71" t="s">
        <v>11</v>
      </c>
      <c r="BD71" t="s">
        <v>11</v>
      </c>
      <c r="BE71" t="s">
        <v>11</v>
      </c>
      <c r="BF71" t="s">
        <v>11</v>
      </c>
      <c r="BG71" t="s">
        <v>11</v>
      </c>
      <c r="BH71" t="s">
        <v>630</v>
      </c>
      <c r="BI71" t="s">
        <v>620</v>
      </c>
      <c r="BJ71" t="s">
        <v>631</v>
      </c>
      <c r="BK71" t="s">
        <v>632</v>
      </c>
    </row>
    <row r="72" spans="1:63" x14ac:dyDescent="0.3">
      <c r="A72" t="s">
        <v>633</v>
      </c>
      <c r="B72" t="s">
        <v>95</v>
      </c>
      <c r="C72" t="s">
        <v>634</v>
      </c>
      <c r="D72" t="s">
        <v>635</v>
      </c>
      <c r="E72" t="s">
        <v>623</v>
      </c>
      <c r="F72">
        <v>81</v>
      </c>
      <c r="G72">
        <v>51.2</v>
      </c>
      <c r="I72">
        <v>43</v>
      </c>
      <c r="K72">
        <v>5.8</v>
      </c>
      <c r="AF72">
        <v>6.8343000000000007</v>
      </c>
      <c r="AH72" t="s">
        <v>636</v>
      </c>
      <c r="AI72" t="s">
        <v>0</v>
      </c>
      <c r="AJ72" t="s">
        <v>637</v>
      </c>
      <c r="AK72" t="s">
        <v>470</v>
      </c>
      <c r="AL72" t="s">
        <v>11</v>
      </c>
      <c r="AM72" t="s">
        <v>11</v>
      </c>
      <c r="AN72" t="s">
        <v>11</v>
      </c>
      <c r="AO72" t="s">
        <v>11</v>
      </c>
      <c r="AP72" t="s">
        <v>11</v>
      </c>
      <c r="AQ72" t="s">
        <v>11</v>
      </c>
      <c r="AR72" t="s">
        <v>11</v>
      </c>
      <c r="AS72" t="s">
        <v>11</v>
      </c>
      <c r="AT72" t="s">
        <v>11</v>
      </c>
      <c r="AU72" t="s">
        <v>11</v>
      </c>
      <c r="AV72" t="s">
        <v>11</v>
      </c>
      <c r="AW72" t="s">
        <v>11</v>
      </c>
      <c r="AX72" t="s">
        <v>11</v>
      </c>
      <c r="AY72" t="s">
        <v>11</v>
      </c>
      <c r="AZ72" t="s">
        <v>11</v>
      </c>
      <c r="BA72" t="s">
        <v>11</v>
      </c>
      <c r="BB72" t="s">
        <v>11</v>
      </c>
      <c r="BC72" t="s">
        <v>11</v>
      </c>
      <c r="BD72" t="s">
        <v>11</v>
      </c>
      <c r="BE72" t="s">
        <v>11</v>
      </c>
      <c r="BF72" t="s">
        <v>11</v>
      </c>
      <c r="BG72" t="s">
        <v>11</v>
      </c>
      <c r="BH72" t="s">
        <v>638</v>
      </c>
      <c r="BI72" t="s">
        <v>633</v>
      </c>
      <c r="BJ72" t="s">
        <v>639</v>
      </c>
      <c r="BK72" t="s">
        <v>640</v>
      </c>
    </row>
    <row r="73" spans="1:63" x14ac:dyDescent="0.3">
      <c r="A73" t="s">
        <v>641</v>
      </c>
      <c r="B73" t="s">
        <v>95</v>
      </c>
      <c r="C73" t="s">
        <v>642</v>
      </c>
      <c r="D73" t="s">
        <v>643</v>
      </c>
      <c r="E73" t="s">
        <v>644</v>
      </c>
      <c r="F73">
        <v>82</v>
      </c>
      <c r="G73">
        <v>82</v>
      </c>
      <c r="I73">
        <v>9</v>
      </c>
      <c r="K73">
        <v>9</v>
      </c>
      <c r="AF73">
        <v>9.2735000000000003</v>
      </c>
      <c r="AH73" t="s">
        <v>645</v>
      </c>
      <c r="AI73" t="s">
        <v>0</v>
      </c>
      <c r="AJ73" t="s">
        <v>128</v>
      </c>
      <c r="AK73" t="s">
        <v>252</v>
      </c>
      <c r="AL73" t="s">
        <v>11</v>
      </c>
      <c r="AM73" t="s">
        <v>11</v>
      </c>
      <c r="AN73" t="s">
        <v>11</v>
      </c>
      <c r="AO73" t="s">
        <v>11</v>
      </c>
      <c r="AP73" t="s">
        <v>11</v>
      </c>
      <c r="AQ73" t="s">
        <v>11</v>
      </c>
      <c r="AR73" t="s">
        <v>11</v>
      </c>
      <c r="AS73" t="s">
        <v>11</v>
      </c>
      <c r="AT73" t="s">
        <v>11</v>
      </c>
      <c r="AU73" t="s">
        <v>11</v>
      </c>
      <c r="AV73" t="s">
        <v>11</v>
      </c>
      <c r="AW73" t="s">
        <v>11</v>
      </c>
      <c r="AX73" t="s">
        <v>11</v>
      </c>
      <c r="AY73" t="s">
        <v>11</v>
      </c>
      <c r="AZ73" t="s">
        <v>11</v>
      </c>
      <c r="BA73" t="s">
        <v>11</v>
      </c>
      <c r="BB73" t="s">
        <v>11</v>
      </c>
      <c r="BC73" t="s">
        <v>11</v>
      </c>
      <c r="BD73" t="s">
        <v>11</v>
      </c>
      <c r="BE73" t="s">
        <v>11</v>
      </c>
      <c r="BF73" t="s">
        <v>11</v>
      </c>
      <c r="BG73" t="s">
        <v>11</v>
      </c>
      <c r="BH73" t="s">
        <v>646</v>
      </c>
      <c r="BI73" t="s">
        <v>641</v>
      </c>
      <c r="BJ73" t="s">
        <v>647</v>
      </c>
      <c r="BK73" t="s">
        <v>648</v>
      </c>
    </row>
    <row r="74" spans="1:63" x14ac:dyDescent="0.3">
      <c r="A74" t="s">
        <v>641</v>
      </c>
      <c r="B74" t="s">
        <v>95</v>
      </c>
      <c r="C74" t="s">
        <v>642</v>
      </c>
      <c r="D74" t="s">
        <v>649</v>
      </c>
      <c r="E74" t="s">
        <v>644</v>
      </c>
      <c r="F74">
        <v>83</v>
      </c>
      <c r="G74">
        <v>82</v>
      </c>
      <c r="I74">
        <v>9</v>
      </c>
      <c r="K74">
        <v>9</v>
      </c>
      <c r="AF74">
        <v>9.2735000000000003</v>
      </c>
      <c r="AH74" t="s">
        <v>650</v>
      </c>
      <c r="AI74" t="s">
        <v>0</v>
      </c>
      <c r="AJ74" t="s">
        <v>128</v>
      </c>
      <c r="AK74" t="s">
        <v>252</v>
      </c>
      <c r="AL74" t="s">
        <v>11</v>
      </c>
      <c r="AM74" t="s">
        <v>11</v>
      </c>
      <c r="AN74" t="s">
        <v>11</v>
      </c>
      <c r="AO74" t="s">
        <v>11</v>
      </c>
      <c r="AP74" t="s">
        <v>11</v>
      </c>
      <c r="AQ74" t="s">
        <v>11</v>
      </c>
      <c r="AR74" t="s">
        <v>11</v>
      </c>
      <c r="AS74" t="s">
        <v>11</v>
      </c>
      <c r="AT74" t="s">
        <v>11</v>
      </c>
      <c r="AU74" t="s">
        <v>11</v>
      </c>
      <c r="AV74" t="s">
        <v>11</v>
      </c>
      <c r="AW74" t="s">
        <v>11</v>
      </c>
      <c r="AX74" t="s">
        <v>11</v>
      </c>
      <c r="AY74" t="s">
        <v>11</v>
      </c>
      <c r="AZ74" t="s">
        <v>11</v>
      </c>
      <c r="BA74" t="s">
        <v>11</v>
      </c>
      <c r="BB74" t="s">
        <v>11</v>
      </c>
      <c r="BC74" t="s">
        <v>11</v>
      </c>
      <c r="BD74" t="s">
        <v>11</v>
      </c>
      <c r="BE74" t="s">
        <v>11</v>
      </c>
      <c r="BF74" t="s">
        <v>11</v>
      </c>
      <c r="BG74" t="s">
        <v>11</v>
      </c>
      <c r="BH74" t="s">
        <v>651</v>
      </c>
      <c r="BI74" t="s">
        <v>641</v>
      </c>
      <c r="BJ74" t="s">
        <v>647</v>
      </c>
      <c r="BK74" t="s">
        <v>648</v>
      </c>
    </row>
    <row r="75" spans="1:63" x14ac:dyDescent="0.3">
      <c r="A75" t="s">
        <v>652</v>
      </c>
      <c r="B75" t="s">
        <v>160</v>
      </c>
      <c r="C75" t="s">
        <v>653</v>
      </c>
      <c r="D75" t="s">
        <v>654</v>
      </c>
      <c r="E75" t="s">
        <v>655</v>
      </c>
      <c r="F75">
        <v>84</v>
      </c>
      <c r="G75">
        <v>73.400000000000006</v>
      </c>
      <c r="I75">
        <v>11.7</v>
      </c>
      <c r="K75">
        <v>14.01</v>
      </c>
      <c r="L75">
        <v>0.48</v>
      </c>
      <c r="M75">
        <v>0.41</v>
      </c>
      <c r="AF75">
        <v>9.6353236000000013</v>
      </c>
      <c r="AG75">
        <v>9.94</v>
      </c>
      <c r="AH75" t="s">
        <v>656</v>
      </c>
      <c r="AI75" t="s">
        <v>0</v>
      </c>
      <c r="AJ75" t="s">
        <v>657</v>
      </c>
      <c r="AK75" t="s">
        <v>658</v>
      </c>
      <c r="AL75" t="s">
        <v>11</v>
      </c>
      <c r="AM75" t="s">
        <v>11</v>
      </c>
      <c r="AN75" t="s">
        <v>659</v>
      </c>
      <c r="AO75" t="s">
        <v>11</v>
      </c>
      <c r="AP75" t="s">
        <v>11</v>
      </c>
      <c r="AQ75" t="s">
        <v>660</v>
      </c>
      <c r="AR75" t="s">
        <v>11</v>
      </c>
      <c r="AS75" t="s">
        <v>11</v>
      </c>
      <c r="AT75" t="s">
        <v>11</v>
      </c>
      <c r="AU75" t="s">
        <v>11</v>
      </c>
      <c r="AV75" t="s">
        <v>11</v>
      </c>
      <c r="AW75" t="s">
        <v>11</v>
      </c>
      <c r="AX75" t="s">
        <v>11</v>
      </c>
      <c r="AY75" t="s">
        <v>11</v>
      </c>
      <c r="AZ75" t="s">
        <v>11</v>
      </c>
      <c r="BA75" t="s">
        <v>11</v>
      </c>
      <c r="BB75" t="s">
        <v>11</v>
      </c>
      <c r="BC75" t="s">
        <v>11</v>
      </c>
      <c r="BD75" t="s">
        <v>11</v>
      </c>
      <c r="BE75" t="s">
        <v>11</v>
      </c>
      <c r="BF75" t="s">
        <v>11</v>
      </c>
      <c r="BG75" t="s">
        <v>11</v>
      </c>
      <c r="BH75" t="s">
        <v>661</v>
      </c>
      <c r="BI75" t="s">
        <v>652</v>
      </c>
      <c r="BJ75" t="s">
        <v>662</v>
      </c>
      <c r="BK75" t="s">
        <v>663</v>
      </c>
    </row>
    <row r="76" spans="1:63" x14ac:dyDescent="0.3">
      <c r="A76" t="s">
        <v>664</v>
      </c>
      <c r="B76" t="s">
        <v>95</v>
      </c>
      <c r="C76" t="s">
        <v>665</v>
      </c>
      <c r="D76" t="s">
        <v>666</v>
      </c>
      <c r="E76" t="s">
        <v>667</v>
      </c>
      <c r="F76">
        <v>85</v>
      </c>
      <c r="G76">
        <v>79.569999999999993</v>
      </c>
      <c r="I76">
        <v>8.35</v>
      </c>
      <c r="K76">
        <v>12.08</v>
      </c>
      <c r="AF76">
        <v>9.632579999999999</v>
      </c>
      <c r="AG76">
        <v>9.4700000000000006</v>
      </c>
      <c r="AH76" t="s">
        <v>656</v>
      </c>
      <c r="AI76" t="s">
        <v>0</v>
      </c>
      <c r="AJ76" t="s">
        <v>118</v>
      </c>
      <c r="AK76" t="s">
        <v>668</v>
      </c>
      <c r="AL76" t="s">
        <v>11</v>
      </c>
      <c r="AM76" t="s">
        <v>11</v>
      </c>
      <c r="AN76" t="s">
        <v>11</v>
      </c>
      <c r="AO76" t="s">
        <v>11</v>
      </c>
      <c r="AP76" t="s">
        <v>11</v>
      </c>
      <c r="AQ76" t="s">
        <v>11</v>
      </c>
      <c r="AR76" t="s">
        <v>11</v>
      </c>
      <c r="AS76" t="s">
        <v>11</v>
      </c>
      <c r="AT76" t="s">
        <v>11</v>
      </c>
      <c r="AU76" t="s">
        <v>11</v>
      </c>
      <c r="AV76" t="s">
        <v>11</v>
      </c>
      <c r="AW76" t="s">
        <v>11</v>
      </c>
      <c r="AX76" t="s">
        <v>11</v>
      </c>
      <c r="AY76" t="s">
        <v>11</v>
      </c>
      <c r="AZ76" t="s">
        <v>11</v>
      </c>
      <c r="BA76" t="s">
        <v>11</v>
      </c>
      <c r="BB76" t="s">
        <v>11</v>
      </c>
      <c r="BC76" t="s">
        <v>11</v>
      </c>
      <c r="BD76" t="s">
        <v>11</v>
      </c>
      <c r="BE76" t="s">
        <v>11</v>
      </c>
      <c r="BF76" t="s">
        <v>11</v>
      </c>
      <c r="BG76" t="s">
        <v>11</v>
      </c>
      <c r="BH76" t="s">
        <v>669</v>
      </c>
      <c r="BI76" t="s">
        <v>664</v>
      </c>
      <c r="BJ76" t="s">
        <v>670</v>
      </c>
      <c r="BK76" t="s">
        <v>671</v>
      </c>
    </row>
    <row r="77" spans="1:63" x14ac:dyDescent="0.3">
      <c r="A77" t="s">
        <v>672</v>
      </c>
      <c r="B77" t="s">
        <v>95</v>
      </c>
      <c r="C77" t="s">
        <v>673</v>
      </c>
      <c r="D77" t="s">
        <v>674</v>
      </c>
      <c r="E77" t="s">
        <v>675</v>
      </c>
      <c r="F77">
        <v>86</v>
      </c>
      <c r="G77">
        <v>66</v>
      </c>
      <c r="H77">
        <v>15</v>
      </c>
      <c r="I77">
        <v>9</v>
      </c>
      <c r="K77">
        <v>10</v>
      </c>
      <c r="AF77">
        <v>9.3781999999999996</v>
      </c>
      <c r="AH77" t="s">
        <v>676</v>
      </c>
      <c r="AI77" t="s">
        <v>0</v>
      </c>
      <c r="AJ77" t="s">
        <v>128</v>
      </c>
      <c r="AK77" t="s">
        <v>677</v>
      </c>
      <c r="AL77" t="s">
        <v>678</v>
      </c>
      <c r="AM77" t="s">
        <v>11</v>
      </c>
      <c r="AN77" t="s">
        <v>11</v>
      </c>
      <c r="AO77" t="s">
        <v>11</v>
      </c>
      <c r="AP77" t="s">
        <v>11</v>
      </c>
      <c r="AQ77" t="s">
        <v>11</v>
      </c>
      <c r="AR77" t="s">
        <v>11</v>
      </c>
      <c r="AS77" t="s">
        <v>11</v>
      </c>
      <c r="AT77" t="s">
        <v>11</v>
      </c>
      <c r="AU77" t="s">
        <v>11</v>
      </c>
      <c r="AV77" t="s">
        <v>11</v>
      </c>
      <c r="AW77" t="s">
        <v>11</v>
      </c>
      <c r="AX77" t="s">
        <v>11</v>
      </c>
      <c r="AY77" t="s">
        <v>11</v>
      </c>
      <c r="AZ77" t="s">
        <v>11</v>
      </c>
      <c r="BA77" t="s">
        <v>11</v>
      </c>
      <c r="BB77" t="s">
        <v>11</v>
      </c>
      <c r="BC77" t="s">
        <v>11</v>
      </c>
      <c r="BD77" t="s">
        <v>11</v>
      </c>
      <c r="BE77" t="s">
        <v>11</v>
      </c>
      <c r="BF77" t="s">
        <v>11</v>
      </c>
      <c r="BG77" t="s">
        <v>11</v>
      </c>
      <c r="BH77" t="s">
        <v>679</v>
      </c>
      <c r="BI77" t="s">
        <v>672</v>
      </c>
      <c r="BJ77" t="s">
        <v>680</v>
      </c>
      <c r="BK77" t="s">
        <v>681</v>
      </c>
    </row>
    <row r="78" spans="1:63" x14ac:dyDescent="0.3">
      <c r="A78" t="s">
        <v>682</v>
      </c>
      <c r="B78" t="s">
        <v>95</v>
      </c>
      <c r="C78" t="s">
        <v>683</v>
      </c>
      <c r="D78" t="s">
        <v>684</v>
      </c>
      <c r="E78" t="s">
        <v>675</v>
      </c>
      <c r="F78">
        <v>87</v>
      </c>
      <c r="G78">
        <v>56</v>
      </c>
      <c r="H78">
        <v>25</v>
      </c>
      <c r="I78">
        <v>9</v>
      </c>
      <c r="K78">
        <v>10</v>
      </c>
      <c r="AF78">
        <v>9.3790000000000013</v>
      </c>
      <c r="AH78" t="s">
        <v>676</v>
      </c>
      <c r="AI78" t="s">
        <v>0</v>
      </c>
      <c r="AJ78" t="s">
        <v>128</v>
      </c>
      <c r="AK78" t="s">
        <v>677</v>
      </c>
      <c r="AL78" t="s">
        <v>685</v>
      </c>
      <c r="AM78" t="s">
        <v>11</v>
      </c>
      <c r="AN78" t="s">
        <v>11</v>
      </c>
      <c r="AO78" t="s">
        <v>11</v>
      </c>
      <c r="AP78" t="s">
        <v>11</v>
      </c>
      <c r="AQ78" t="s">
        <v>11</v>
      </c>
      <c r="AR78" t="s">
        <v>11</v>
      </c>
      <c r="AS78" t="s">
        <v>11</v>
      </c>
      <c r="AT78" t="s">
        <v>11</v>
      </c>
      <c r="AU78" t="s">
        <v>11</v>
      </c>
      <c r="AV78" t="s">
        <v>11</v>
      </c>
      <c r="AW78" t="s">
        <v>11</v>
      </c>
      <c r="AX78" t="s">
        <v>11</v>
      </c>
      <c r="AY78" t="s">
        <v>11</v>
      </c>
      <c r="AZ78" t="s">
        <v>11</v>
      </c>
      <c r="BA78" t="s">
        <v>11</v>
      </c>
      <c r="BB78" t="s">
        <v>11</v>
      </c>
      <c r="BC78" t="s">
        <v>11</v>
      </c>
      <c r="BD78" t="s">
        <v>11</v>
      </c>
      <c r="BE78" t="s">
        <v>11</v>
      </c>
      <c r="BF78" t="s">
        <v>11</v>
      </c>
      <c r="BG78" t="s">
        <v>11</v>
      </c>
      <c r="BH78" t="s">
        <v>686</v>
      </c>
      <c r="BI78" t="s">
        <v>682</v>
      </c>
      <c r="BJ78" t="s">
        <v>687</v>
      </c>
      <c r="BK78" t="s">
        <v>688</v>
      </c>
    </row>
    <row r="79" spans="1:63" x14ac:dyDescent="0.3">
      <c r="A79" t="s">
        <v>689</v>
      </c>
      <c r="B79" t="s">
        <v>95</v>
      </c>
      <c r="C79" t="s">
        <v>690</v>
      </c>
      <c r="D79" t="s">
        <v>691</v>
      </c>
      <c r="E79" t="s">
        <v>675</v>
      </c>
      <c r="F79">
        <v>88</v>
      </c>
      <c r="G79">
        <v>46</v>
      </c>
      <c r="H79">
        <v>35</v>
      </c>
      <c r="I79">
        <v>9</v>
      </c>
      <c r="K79">
        <v>10</v>
      </c>
      <c r="AF79">
        <v>9.3797999999999995</v>
      </c>
      <c r="AH79" t="s">
        <v>676</v>
      </c>
      <c r="AI79" t="s">
        <v>0</v>
      </c>
      <c r="AJ79" t="s">
        <v>128</v>
      </c>
      <c r="AK79" t="s">
        <v>677</v>
      </c>
      <c r="AL79" t="s">
        <v>692</v>
      </c>
      <c r="AM79" t="s">
        <v>11</v>
      </c>
      <c r="AN79" t="s">
        <v>11</v>
      </c>
      <c r="AO79" t="s">
        <v>11</v>
      </c>
      <c r="AP79" t="s">
        <v>11</v>
      </c>
      <c r="AQ79" t="s">
        <v>11</v>
      </c>
      <c r="AR79" t="s">
        <v>11</v>
      </c>
      <c r="AS79" t="s">
        <v>11</v>
      </c>
      <c r="AT79" t="s">
        <v>11</v>
      </c>
      <c r="AU79" t="s">
        <v>11</v>
      </c>
      <c r="AV79" t="s">
        <v>11</v>
      </c>
      <c r="AW79" t="s">
        <v>11</v>
      </c>
      <c r="AX79" t="s">
        <v>11</v>
      </c>
      <c r="AY79" t="s">
        <v>11</v>
      </c>
      <c r="AZ79" t="s">
        <v>11</v>
      </c>
      <c r="BA79" t="s">
        <v>11</v>
      </c>
      <c r="BB79" t="s">
        <v>11</v>
      </c>
      <c r="BC79" t="s">
        <v>11</v>
      </c>
      <c r="BD79" t="s">
        <v>11</v>
      </c>
      <c r="BE79" t="s">
        <v>11</v>
      </c>
      <c r="BF79" t="s">
        <v>11</v>
      </c>
      <c r="BG79" t="s">
        <v>11</v>
      </c>
      <c r="BH79" t="s">
        <v>693</v>
      </c>
      <c r="BI79" t="s">
        <v>689</v>
      </c>
      <c r="BJ79" t="s">
        <v>694</v>
      </c>
      <c r="BK79" t="s">
        <v>695</v>
      </c>
    </row>
    <row r="80" spans="1:63" x14ac:dyDescent="0.3">
      <c r="A80" t="s">
        <v>696</v>
      </c>
      <c r="B80" t="s">
        <v>95</v>
      </c>
      <c r="C80" t="s">
        <v>697</v>
      </c>
      <c r="D80" t="s">
        <v>698</v>
      </c>
      <c r="E80" t="s">
        <v>699</v>
      </c>
      <c r="F80">
        <v>89</v>
      </c>
      <c r="G80">
        <v>83</v>
      </c>
      <c r="H80">
        <v>0</v>
      </c>
      <c r="I80">
        <v>9</v>
      </c>
      <c r="K80">
        <v>8</v>
      </c>
      <c r="AF80">
        <v>9.17</v>
      </c>
      <c r="AH80" t="s">
        <v>700</v>
      </c>
      <c r="AI80" t="s">
        <v>0</v>
      </c>
      <c r="AJ80" t="s">
        <v>128</v>
      </c>
      <c r="AK80" t="s">
        <v>548</v>
      </c>
      <c r="AL80" t="s">
        <v>701</v>
      </c>
      <c r="AM80" t="s">
        <v>11</v>
      </c>
      <c r="AN80" t="s">
        <v>11</v>
      </c>
      <c r="AO80" t="s">
        <v>11</v>
      </c>
      <c r="AP80" t="s">
        <v>11</v>
      </c>
      <c r="AQ80" t="s">
        <v>11</v>
      </c>
      <c r="AR80" t="s">
        <v>11</v>
      </c>
      <c r="AS80" t="s">
        <v>11</v>
      </c>
      <c r="AT80" t="s">
        <v>11</v>
      </c>
      <c r="AU80" t="s">
        <v>11</v>
      </c>
      <c r="AV80" t="s">
        <v>11</v>
      </c>
      <c r="AW80" t="s">
        <v>11</v>
      </c>
      <c r="AX80" t="s">
        <v>11</v>
      </c>
      <c r="AY80" t="s">
        <v>11</v>
      </c>
      <c r="AZ80" t="s">
        <v>11</v>
      </c>
      <c r="BA80" t="s">
        <v>11</v>
      </c>
      <c r="BB80" t="s">
        <v>11</v>
      </c>
      <c r="BC80" t="s">
        <v>11</v>
      </c>
      <c r="BD80" t="s">
        <v>11</v>
      </c>
      <c r="BE80" t="s">
        <v>11</v>
      </c>
      <c r="BF80" t="s">
        <v>11</v>
      </c>
      <c r="BG80" t="s">
        <v>11</v>
      </c>
      <c r="BH80" t="s">
        <v>702</v>
      </c>
      <c r="BI80" t="s">
        <v>696</v>
      </c>
      <c r="BJ80" t="s">
        <v>703</v>
      </c>
      <c r="BK80" t="s">
        <v>704</v>
      </c>
    </row>
    <row r="81" spans="1:63" x14ac:dyDescent="0.3">
      <c r="A81" t="s">
        <v>705</v>
      </c>
      <c r="B81" t="s">
        <v>95</v>
      </c>
      <c r="C81" t="s">
        <v>706</v>
      </c>
      <c r="D81" t="s">
        <v>707</v>
      </c>
      <c r="E81" t="s">
        <v>708</v>
      </c>
      <c r="F81">
        <v>90</v>
      </c>
      <c r="G81">
        <v>81</v>
      </c>
      <c r="H81">
        <v>2</v>
      </c>
      <c r="I81">
        <v>9</v>
      </c>
      <c r="K81">
        <v>8</v>
      </c>
      <c r="AF81">
        <v>9.1701599999999992</v>
      </c>
      <c r="AH81" t="s">
        <v>700</v>
      </c>
      <c r="AI81" t="s">
        <v>0</v>
      </c>
      <c r="AJ81" t="s">
        <v>128</v>
      </c>
      <c r="AK81" t="s">
        <v>548</v>
      </c>
      <c r="AL81" t="s">
        <v>709</v>
      </c>
      <c r="AM81" t="s">
        <v>11</v>
      </c>
      <c r="AN81" t="s">
        <v>11</v>
      </c>
      <c r="AO81" t="s">
        <v>11</v>
      </c>
      <c r="AP81" t="s">
        <v>11</v>
      </c>
      <c r="AQ81" t="s">
        <v>11</v>
      </c>
      <c r="AR81" t="s">
        <v>11</v>
      </c>
      <c r="AS81" t="s">
        <v>11</v>
      </c>
      <c r="AT81" t="s">
        <v>11</v>
      </c>
      <c r="AU81" t="s">
        <v>11</v>
      </c>
      <c r="AV81" t="s">
        <v>11</v>
      </c>
      <c r="AW81" t="s">
        <v>11</v>
      </c>
      <c r="AX81" t="s">
        <v>11</v>
      </c>
      <c r="AY81" t="s">
        <v>11</v>
      </c>
      <c r="AZ81" t="s">
        <v>11</v>
      </c>
      <c r="BA81" t="s">
        <v>11</v>
      </c>
      <c r="BB81" t="s">
        <v>11</v>
      </c>
      <c r="BC81" t="s">
        <v>11</v>
      </c>
      <c r="BD81" t="s">
        <v>11</v>
      </c>
      <c r="BE81" t="s">
        <v>11</v>
      </c>
      <c r="BF81" t="s">
        <v>11</v>
      </c>
      <c r="BG81" t="s">
        <v>11</v>
      </c>
      <c r="BH81" t="s">
        <v>710</v>
      </c>
      <c r="BI81" t="s">
        <v>705</v>
      </c>
      <c r="BJ81" t="s">
        <v>711</v>
      </c>
      <c r="BK81" t="s">
        <v>712</v>
      </c>
    </row>
    <row r="82" spans="1:63" x14ac:dyDescent="0.3">
      <c r="A82" t="s">
        <v>713</v>
      </c>
      <c r="B82" t="s">
        <v>95</v>
      </c>
      <c r="C82" t="s">
        <v>714</v>
      </c>
      <c r="D82" t="s">
        <v>715</v>
      </c>
      <c r="E82" t="s">
        <v>716</v>
      </c>
      <c r="F82">
        <v>91</v>
      </c>
      <c r="G82">
        <v>82</v>
      </c>
      <c r="I82">
        <v>9.1999999999999993</v>
      </c>
      <c r="K82">
        <v>8.1</v>
      </c>
      <c r="X82">
        <v>0.7</v>
      </c>
      <c r="AF82">
        <v>9.1369540000000011</v>
      </c>
      <c r="AH82" t="s">
        <v>700</v>
      </c>
      <c r="AI82" t="s">
        <v>0</v>
      </c>
      <c r="AJ82" t="s">
        <v>717</v>
      </c>
      <c r="AK82" t="s">
        <v>718</v>
      </c>
      <c r="AL82" t="s">
        <v>11</v>
      </c>
      <c r="AM82" t="s">
        <v>11</v>
      </c>
      <c r="AN82" t="s">
        <v>11</v>
      </c>
      <c r="AO82" t="s">
        <v>11</v>
      </c>
      <c r="AP82" t="s">
        <v>11</v>
      </c>
      <c r="AQ82" t="s">
        <v>11</v>
      </c>
      <c r="AR82" t="s">
        <v>11</v>
      </c>
      <c r="AS82" t="s">
        <v>11</v>
      </c>
      <c r="AT82" t="s">
        <v>11</v>
      </c>
      <c r="AU82" t="s">
        <v>11</v>
      </c>
      <c r="AV82" t="s">
        <v>11</v>
      </c>
      <c r="AW82" t="s">
        <v>11</v>
      </c>
      <c r="AX82" t="s">
        <v>11</v>
      </c>
      <c r="AY82" t="s">
        <v>11</v>
      </c>
      <c r="AZ82" t="s">
        <v>719</v>
      </c>
      <c r="BA82" t="s">
        <v>11</v>
      </c>
      <c r="BB82" t="s">
        <v>11</v>
      </c>
      <c r="BC82" t="s">
        <v>11</v>
      </c>
      <c r="BD82" t="s">
        <v>11</v>
      </c>
      <c r="BE82" t="s">
        <v>11</v>
      </c>
      <c r="BF82" t="s">
        <v>11</v>
      </c>
      <c r="BG82" t="s">
        <v>11</v>
      </c>
      <c r="BH82" t="s">
        <v>720</v>
      </c>
      <c r="BI82" t="s">
        <v>713</v>
      </c>
      <c r="BJ82" t="s">
        <v>721</v>
      </c>
      <c r="BK82" t="s">
        <v>722</v>
      </c>
    </row>
    <row r="83" spans="1:63" x14ac:dyDescent="0.3">
      <c r="A83" t="s">
        <v>723</v>
      </c>
      <c r="B83" t="s">
        <v>160</v>
      </c>
      <c r="C83" t="s">
        <v>724</v>
      </c>
      <c r="D83" t="s">
        <v>725</v>
      </c>
      <c r="E83" t="s">
        <v>726</v>
      </c>
      <c r="F83">
        <v>92</v>
      </c>
      <c r="G83">
        <v>80.2</v>
      </c>
      <c r="I83">
        <v>9</v>
      </c>
      <c r="K83">
        <v>8.1</v>
      </c>
      <c r="M83">
        <v>2</v>
      </c>
      <c r="X83">
        <v>0.7</v>
      </c>
      <c r="AF83">
        <v>9.304354</v>
      </c>
      <c r="AH83" t="s">
        <v>700</v>
      </c>
      <c r="AI83" t="s">
        <v>0</v>
      </c>
      <c r="AJ83" t="s">
        <v>128</v>
      </c>
      <c r="AK83" t="s">
        <v>718</v>
      </c>
      <c r="AL83" t="s">
        <v>11</v>
      </c>
      <c r="AM83" t="s">
        <v>11</v>
      </c>
      <c r="AN83" t="s">
        <v>24</v>
      </c>
      <c r="AO83" t="s">
        <v>11</v>
      </c>
      <c r="AP83" t="s">
        <v>11</v>
      </c>
      <c r="AQ83" t="s">
        <v>11</v>
      </c>
      <c r="AR83" t="s">
        <v>11</v>
      </c>
      <c r="AS83" t="s">
        <v>11</v>
      </c>
      <c r="AT83" t="s">
        <v>11</v>
      </c>
      <c r="AU83" t="s">
        <v>11</v>
      </c>
      <c r="AV83" t="s">
        <v>11</v>
      </c>
      <c r="AW83" t="s">
        <v>11</v>
      </c>
      <c r="AX83" t="s">
        <v>11</v>
      </c>
      <c r="AY83" t="s">
        <v>11</v>
      </c>
      <c r="AZ83" t="s">
        <v>719</v>
      </c>
      <c r="BA83" t="s">
        <v>11</v>
      </c>
      <c r="BB83" t="s">
        <v>11</v>
      </c>
      <c r="BC83" t="s">
        <v>11</v>
      </c>
      <c r="BD83" t="s">
        <v>11</v>
      </c>
      <c r="BE83" t="s">
        <v>11</v>
      </c>
      <c r="BF83" t="s">
        <v>11</v>
      </c>
      <c r="BG83" t="s">
        <v>11</v>
      </c>
      <c r="BH83" t="s">
        <v>727</v>
      </c>
      <c r="BI83" t="s">
        <v>723</v>
      </c>
      <c r="BJ83" t="s">
        <v>728</v>
      </c>
      <c r="BK83" t="s">
        <v>729</v>
      </c>
    </row>
    <row r="84" spans="1:63" x14ac:dyDescent="0.3">
      <c r="A84" t="s">
        <v>730</v>
      </c>
      <c r="B84" t="s">
        <v>5</v>
      </c>
      <c r="C84" t="s">
        <v>731</v>
      </c>
      <c r="D84" t="s">
        <v>732</v>
      </c>
      <c r="E84" t="s">
        <v>733</v>
      </c>
      <c r="F84">
        <v>93</v>
      </c>
      <c r="G84">
        <v>79</v>
      </c>
      <c r="I84">
        <v>5</v>
      </c>
      <c r="L84">
        <v>2</v>
      </c>
      <c r="O84">
        <v>14</v>
      </c>
      <c r="AF84">
        <v>8.1115399999999998</v>
      </c>
      <c r="AH84" t="s">
        <v>734</v>
      </c>
      <c r="AI84" t="s">
        <v>0</v>
      </c>
      <c r="AJ84" t="s">
        <v>735</v>
      </c>
      <c r="AK84" t="s">
        <v>11</v>
      </c>
      <c r="AL84" t="s">
        <v>11</v>
      </c>
      <c r="AM84" t="s">
        <v>11</v>
      </c>
      <c r="AN84" t="s">
        <v>11</v>
      </c>
      <c r="AO84" t="s">
        <v>11</v>
      </c>
      <c r="AP84" t="s">
        <v>736</v>
      </c>
      <c r="AQ84" t="s">
        <v>25</v>
      </c>
      <c r="AR84" t="s">
        <v>11</v>
      </c>
      <c r="AS84" t="s">
        <v>11</v>
      </c>
      <c r="AT84" t="s">
        <v>11</v>
      </c>
      <c r="AU84" t="s">
        <v>11</v>
      </c>
      <c r="AV84" t="s">
        <v>11</v>
      </c>
      <c r="AW84" t="s">
        <v>11</v>
      </c>
      <c r="AX84" t="s">
        <v>11</v>
      </c>
      <c r="AY84" t="s">
        <v>11</v>
      </c>
      <c r="AZ84" t="s">
        <v>11</v>
      </c>
      <c r="BA84" t="s">
        <v>11</v>
      </c>
      <c r="BB84" t="s">
        <v>11</v>
      </c>
      <c r="BC84" t="s">
        <v>11</v>
      </c>
      <c r="BD84" t="s">
        <v>11</v>
      </c>
      <c r="BE84" t="s">
        <v>11</v>
      </c>
      <c r="BF84" t="s">
        <v>11</v>
      </c>
      <c r="BG84" t="s">
        <v>11</v>
      </c>
      <c r="BH84" t="s">
        <v>737</v>
      </c>
      <c r="BI84" t="s">
        <v>730</v>
      </c>
      <c r="BJ84" t="s">
        <v>738</v>
      </c>
      <c r="BK84" t="s">
        <v>739</v>
      </c>
    </row>
    <row r="85" spans="1:63" x14ac:dyDescent="0.3">
      <c r="A85" t="s">
        <v>740</v>
      </c>
      <c r="B85" t="s">
        <v>5</v>
      </c>
      <c r="C85" t="s">
        <v>741</v>
      </c>
      <c r="D85" t="s">
        <v>742</v>
      </c>
      <c r="E85" t="s">
        <v>743</v>
      </c>
      <c r="F85">
        <v>94</v>
      </c>
      <c r="G85">
        <v>78</v>
      </c>
      <c r="I85">
        <v>8</v>
      </c>
      <c r="O85">
        <v>14</v>
      </c>
      <c r="AF85">
        <v>8.0134000000000007</v>
      </c>
      <c r="AH85" t="s">
        <v>734</v>
      </c>
      <c r="AI85" t="s">
        <v>0</v>
      </c>
      <c r="AJ85" t="s">
        <v>164</v>
      </c>
      <c r="AK85" t="s">
        <v>11</v>
      </c>
      <c r="AL85" t="s">
        <v>11</v>
      </c>
      <c r="AM85" t="s">
        <v>11</v>
      </c>
      <c r="AN85" t="s">
        <v>11</v>
      </c>
      <c r="AO85" t="s">
        <v>11</v>
      </c>
      <c r="AP85" t="s">
        <v>736</v>
      </c>
      <c r="AQ85" t="s">
        <v>11</v>
      </c>
      <c r="AR85" t="s">
        <v>11</v>
      </c>
      <c r="AS85" t="s">
        <v>11</v>
      </c>
      <c r="AT85" t="s">
        <v>11</v>
      </c>
      <c r="AU85" t="s">
        <v>11</v>
      </c>
      <c r="AV85" t="s">
        <v>11</v>
      </c>
      <c r="AW85" t="s">
        <v>11</v>
      </c>
      <c r="AX85" t="s">
        <v>11</v>
      </c>
      <c r="AY85" t="s">
        <v>11</v>
      </c>
      <c r="AZ85" t="s">
        <v>11</v>
      </c>
      <c r="BA85" t="s">
        <v>11</v>
      </c>
      <c r="BB85" t="s">
        <v>11</v>
      </c>
      <c r="BC85" t="s">
        <v>11</v>
      </c>
      <c r="BD85" t="s">
        <v>11</v>
      </c>
      <c r="BE85" t="s">
        <v>11</v>
      </c>
      <c r="BF85" t="s">
        <v>11</v>
      </c>
      <c r="BG85" t="s">
        <v>11</v>
      </c>
      <c r="BH85" t="s">
        <v>744</v>
      </c>
      <c r="BI85" t="s">
        <v>740</v>
      </c>
      <c r="BJ85" t="s">
        <v>745</v>
      </c>
      <c r="BK85" t="s">
        <v>746</v>
      </c>
    </row>
    <row r="86" spans="1:63" x14ac:dyDescent="0.3">
      <c r="A86" t="s">
        <v>747</v>
      </c>
      <c r="B86" t="s">
        <v>5</v>
      </c>
      <c r="C86" t="s">
        <v>748</v>
      </c>
      <c r="D86" t="s">
        <v>749</v>
      </c>
      <c r="E86" t="s">
        <v>750</v>
      </c>
      <c r="F86">
        <v>95</v>
      </c>
      <c r="G86">
        <v>81</v>
      </c>
      <c r="I86">
        <v>5</v>
      </c>
      <c r="O86">
        <v>14</v>
      </c>
      <c r="AF86">
        <v>8.1993999999999989</v>
      </c>
      <c r="AG86">
        <v>8.11</v>
      </c>
      <c r="AH86" t="s">
        <v>734</v>
      </c>
      <c r="AI86" t="s">
        <v>0</v>
      </c>
      <c r="AJ86" t="s">
        <v>735</v>
      </c>
      <c r="AK86" t="s">
        <v>11</v>
      </c>
      <c r="AL86" t="s">
        <v>11</v>
      </c>
      <c r="AM86" t="s">
        <v>11</v>
      </c>
      <c r="AN86" t="s">
        <v>11</v>
      </c>
      <c r="AO86" t="s">
        <v>11</v>
      </c>
      <c r="AP86" t="s">
        <v>736</v>
      </c>
      <c r="AQ86" t="s">
        <v>11</v>
      </c>
      <c r="AR86" t="s">
        <v>11</v>
      </c>
      <c r="AS86" t="s">
        <v>11</v>
      </c>
      <c r="AT86" t="s">
        <v>11</v>
      </c>
      <c r="AU86" t="s">
        <v>11</v>
      </c>
      <c r="AV86" t="s">
        <v>11</v>
      </c>
      <c r="AW86" t="s">
        <v>11</v>
      </c>
      <c r="AX86" t="s">
        <v>11</v>
      </c>
      <c r="AY86" t="s">
        <v>11</v>
      </c>
      <c r="AZ86" t="s">
        <v>11</v>
      </c>
      <c r="BA86" t="s">
        <v>11</v>
      </c>
      <c r="BB86" t="s">
        <v>11</v>
      </c>
      <c r="BC86" t="s">
        <v>11</v>
      </c>
      <c r="BD86" t="s">
        <v>11</v>
      </c>
      <c r="BE86" t="s">
        <v>11</v>
      </c>
      <c r="BF86" t="s">
        <v>11</v>
      </c>
      <c r="BG86" t="s">
        <v>11</v>
      </c>
      <c r="BH86" t="s">
        <v>751</v>
      </c>
      <c r="BI86" t="s">
        <v>747</v>
      </c>
      <c r="BJ86" t="s">
        <v>752</v>
      </c>
      <c r="BK86" t="s">
        <v>753</v>
      </c>
    </row>
    <row r="87" spans="1:63" x14ac:dyDescent="0.3">
      <c r="A87" t="s">
        <v>754</v>
      </c>
      <c r="B87" t="s">
        <v>5</v>
      </c>
      <c r="C87" t="s">
        <v>755</v>
      </c>
      <c r="D87" t="s">
        <v>756</v>
      </c>
      <c r="E87" t="s">
        <v>757</v>
      </c>
      <c r="F87">
        <v>96</v>
      </c>
      <c r="G87">
        <v>81</v>
      </c>
      <c r="I87">
        <v>3</v>
      </c>
      <c r="O87">
        <v>16</v>
      </c>
      <c r="AF87">
        <v>8.2675999999999998</v>
      </c>
      <c r="AH87" t="s">
        <v>734</v>
      </c>
      <c r="AI87" t="s">
        <v>0</v>
      </c>
      <c r="AJ87" t="s">
        <v>758</v>
      </c>
      <c r="AK87" t="s">
        <v>11</v>
      </c>
      <c r="AL87" t="s">
        <v>11</v>
      </c>
      <c r="AM87" t="s">
        <v>11</v>
      </c>
      <c r="AN87" t="s">
        <v>11</v>
      </c>
      <c r="AO87" t="s">
        <v>11</v>
      </c>
      <c r="AP87" t="s">
        <v>759</v>
      </c>
      <c r="AQ87" t="s">
        <v>11</v>
      </c>
      <c r="AR87" t="s">
        <v>11</v>
      </c>
      <c r="AS87" t="s">
        <v>11</v>
      </c>
      <c r="AT87" t="s">
        <v>11</v>
      </c>
      <c r="AU87" t="s">
        <v>11</v>
      </c>
      <c r="AV87" t="s">
        <v>11</v>
      </c>
      <c r="AW87" t="s">
        <v>11</v>
      </c>
      <c r="AX87" t="s">
        <v>11</v>
      </c>
      <c r="AY87" t="s">
        <v>11</v>
      </c>
      <c r="AZ87" t="s">
        <v>11</v>
      </c>
      <c r="BA87" t="s">
        <v>11</v>
      </c>
      <c r="BB87" t="s">
        <v>11</v>
      </c>
      <c r="BC87" t="s">
        <v>11</v>
      </c>
      <c r="BD87" t="s">
        <v>11</v>
      </c>
      <c r="BE87" t="s">
        <v>11</v>
      </c>
      <c r="BF87" t="s">
        <v>11</v>
      </c>
      <c r="BG87" t="s">
        <v>11</v>
      </c>
      <c r="BH87" t="s">
        <v>760</v>
      </c>
      <c r="BI87" t="s">
        <v>754</v>
      </c>
      <c r="BJ87" t="s">
        <v>761</v>
      </c>
      <c r="BK87" t="s">
        <v>762</v>
      </c>
    </row>
    <row r="88" spans="1:63" x14ac:dyDescent="0.3">
      <c r="A88" t="s">
        <v>763</v>
      </c>
      <c r="B88" t="s">
        <v>5</v>
      </c>
      <c r="C88" t="s">
        <v>764</v>
      </c>
      <c r="D88" t="s">
        <v>765</v>
      </c>
      <c r="E88" t="s">
        <v>766</v>
      </c>
      <c r="F88">
        <v>97</v>
      </c>
      <c r="G88">
        <v>81</v>
      </c>
      <c r="I88">
        <v>1.5</v>
      </c>
      <c r="O88">
        <v>17.5</v>
      </c>
      <c r="AF88">
        <v>8.3187499999999996</v>
      </c>
      <c r="AH88" t="s">
        <v>734</v>
      </c>
      <c r="AI88" t="s">
        <v>0</v>
      </c>
      <c r="AJ88" t="s">
        <v>767</v>
      </c>
      <c r="AK88" t="s">
        <v>11</v>
      </c>
      <c r="AL88" t="s">
        <v>11</v>
      </c>
      <c r="AM88" t="s">
        <v>11</v>
      </c>
      <c r="AN88" t="s">
        <v>11</v>
      </c>
      <c r="AO88" t="s">
        <v>11</v>
      </c>
      <c r="AP88" t="s">
        <v>768</v>
      </c>
      <c r="AQ88" t="s">
        <v>11</v>
      </c>
      <c r="AR88" t="s">
        <v>11</v>
      </c>
      <c r="AS88" t="s">
        <v>11</v>
      </c>
      <c r="AT88" t="s">
        <v>11</v>
      </c>
      <c r="AU88" t="s">
        <v>11</v>
      </c>
      <c r="AV88" t="s">
        <v>11</v>
      </c>
      <c r="AW88" t="s">
        <v>11</v>
      </c>
      <c r="AX88" t="s">
        <v>11</v>
      </c>
      <c r="AY88" t="s">
        <v>11</v>
      </c>
      <c r="AZ88" t="s">
        <v>11</v>
      </c>
      <c r="BA88" t="s">
        <v>11</v>
      </c>
      <c r="BB88" t="s">
        <v>11</v>
      </c>
      <c r="BC88" t="s">
        <v>11</v>
      </c>
      <c r="BD88" t="s">
        <v>11</v>
      </c>
      <c r="BE88" t="s">
        <v>11</v>
      </c>
      <c r="BF88" t="s">
        <v>11</v>
      </c>
      <c r="BG88" t="s">
        <v>11</v>
      </c>
      <c r="BH88" t="s">
        <v>769</v>
      </c>
      <c r="BI88" t="s">
        <v>763</v>
      </c>
      <c r="BJ88" t="s">
        <v>770</v>
      </c>
      <c r="BK88" t="s">
        <v>771</v>
      </c>
    </row>
    <row r="89" spans="1:63" x14ac:dyDescent="0.3">
      <c r="A89" t="s">
        <v>772</v>
      </c>
      <c r="B89" t="s">
        <v>5</v>
      </c>
      <c r="C89" t="s">
        <v>773</v>
      </c>
      <c r="D89" t="s">
        <v>772</v>
      </c>
      <c r="E89" t="s">
        <v>774</v>
      </c>
      <c r="F89">
        <v>98</v>
      </c>
      <c r="G89">
        <v>82</v>
      </c>
      <c r="I89">
        <v>0.5</v>
      </c>
      <c r="O89">
        <v>17.5</v>
      </c>
      <c r="AF89">
        <v>8.3807500000000008</v>
      </c>
      <c r="AH89" t="s">
        <v>734</v>
      </c>
      <c r="AI89" t="s">
        <v>0</v>
      </c>
      <c r="AJ89" t="s">
        <v>775</v>
      </c>
      <c r="AK89" t="s">
        <v>11</v>
      </c>
      <c r="AL89" t="s">
        <v>11</v>
      </c>
      <c r="AM89" t="s">
        <v>11</v>
      </c>
      <c r="AN89" t="s">
        <v>11</v>
      </c>
      <c r="AO89" t="s">
        <v>11</v>
      </c>
      <c r="AP89" t="s">
        <v>768</v>
      </c>
      <c r="AQ89" t="s">
        <v>11</v>
      </c>
      <c r="AR89" t="s">
        <v>11</v>
      </c>
      <c r="AS89" t="s">
        <v>11</v>
      </c>
      <c r="AT89" t="s">
        <v>11</v>
      </c>
      <c r="AU89" t="s">
        <v>11</v>
      </c>
      <c r="AV89" t="s">
        <v>11</v>
      </c>
      <c r="AW89" t="s">
        <v>11</v>
      </c>
      <c r="AX89" t="s">
        <v>11</v>
      </c>
      <c r="AY89" t="s">
        <v>11</v>
      </c>
      <c r="AZ89" t="s">
        <v>11</v>
      </c>
      <c r="BA89" t="s">
        <v>11</v>
      </c>
      <c r="BB89" t="s">
        <v>11</v>
      </c>
      <c r="BC89" t="s">
        <v>11</v>
      </c>
      <c r="BD89" t="s">
        <v>11</v>
      </c>
      <c r="BE89" t="s">
        <v>11</v>
      </c>
      <c r="BF89" t="s">
        <v>11</v>
      </c>
      <c r="BG89" t="s">
        <v>11</v>
      </c>
      <c r="BH89" t="s">
        <v>776</v>
      </c>
      <c r="BI89" t="s">
        <v>772</v>
      </c>
      <c r="BJ89" t="s">
        <v>777</v>
      </c>
      <c r="BK89" t="s">
        <v>778</v>
      </c>
    </row>
    <row r="90" spans="1:63" x14ac:dyDescent="0.3">
      <c r="A90" t="s">
        <v>779</v>
      </c>
      <c r="B90" t="s">
        <v>5</v>
      </c>
      <c r="C90" t="s">
        <v>780</v>
      </c>
      <c r="D90" t="s">
        <v>781</v>
      </c>
      <c r="E90" t="s">
        <v>782</v>
      </c>
      <c r="F90">
        <v>100</v>
      </c>
      <c r="G90">
        <v>79</v>
      </c>
      <c r="I90">
        <v>5</v>
      </c>
      <c r="J90">
        <v>2</v>
      </c>
      <c r="O90">
        <v>14</v>
      </c>
      <c r="AF90">
        <v>8.1652000000000005</v>
      </c>
      <c r="AH90" t="s">
        <v>734</v>
      </c>
      <c r="AI90" t="s">
        <v>0</v>
      </c>
      <c r="AJ90" t="s">
        <v>735</v>
      </c>
      <c r="AK90" t="s">
        <v>11</v>
      </c>
      <c r="AL90" t="s">
        <v>11</v>
      </c>
      <c r="AM90" t="s">
        <v>453</v>
      </c>
      <c r="AN90" t="s">
        <v>11</v>
      </c>
      <c r="AO90" t="s">
        <v>11</v>
      </c>
      <c r="AP90" t="s">
        <v>736</v>
      </c>
      <c r="AQ90" t="s">
        <v>11</v>
      </c>
      <c r="AR90" t="s">
        <v>11</v>
      </c>
      <c r="AS90" t="s">
        <v>11</v>
      </c>
      <c r="AT90" t="s">
        <v>11</v>
      </c>
      <c r="AU90" t="s">
        <v>11</v>
      </c>
      <c r="AV90" t="s">
        <v>11</v>
      </c>
      <c r="AW90" t="s">
        <v>11</v>
      </c>
      <c r="AX90" t="s">
        <v>11</v>
      </c>
      <c r="AY90" t="s">
        <v>11</v>
      </c>
      <c r="AZ90" t="s">
        <v>11</v>
      </c>
      <c r="BA90" t="s">
        <v>11</v>
      </c>
      <c r="BB90" t="s">
        <v>11</v>
      </c>
      <c r="BC90" t="s">
        <v>11</v>
      </c>
      <c r="BD90" t="s">
        <v>11</v>
      </c>
      <c r="BE90" t="s">
        <v>11</v>
      </c>
      <c r="BF90" t="s">
        <v>11</v>
      </c>
      <c r="BG90" t="s">
        <v>11</v>
      </c>
      <c r="BH90" t="s">
        <v>783</v>
      </c>
      <c r="BI90" t="s">
        <v>779</v>
      </c>
      <c r="BJ90" t="s">
        <v>784</v>
      </c>
      <c r="BK90" t="s">
        <v>785</v>
      </c>
    </row>
    <row r="91" spans="1:63" x14ac:dyDescent="0.3">
      <c r="A91" t="s">
        <v>786</v>
      </c>
      <c r="B91" t="s">
        <v>5</v>
      </c>
      <c r="C91" t="s">
        <v>787</v>
      </c>
      <c r="D91" t="s">
        <v>788</v>
      </c>
      <c r="E91" t="s">
        <v>789</v>
      </c>
      <c r="F91">
        <v>101</v>
      </c>
      <c r="G91">
        <v>79</v>
      </c>
      <c r="I91">
        <v>5</v>
      </c>
      <c r="N91">
        <v>2</v>
      </c>
      <c r="O91">
        <v>14</v>
      </c>
      <c r="AF91">
        <v>8.1928000000000001</v>
      </c>
      <c r="AH91" t="s">
        <v>734</v>
      </c>
      <c r="AI91" t="s">
        <v>0</v>
      </c>
      <c r="AJ91" t="s">
        <v>735</v>
      </c>
      <c r="AK91" t="s">
        <v>11</v>
      </c>
      <c r="AL91" t="s">
        <v>11</v>
      </c>
      <c r="AM91" t="s">
        <v>11</v>
      </c>
      <c r="AN91" t="s">
        <v>11</v>
      </c>
      <c r="AO91" t="s">
        <v>790</v>
      </c>
      <c r="AP91" t="s">
        <v>736</v>
      </c>
      <c r="AQ91" t="s">
        <v>11</v>
      </c>
      <c r="AR91" t="s">
        <v>11</v>
      </c>
      <c r="AS91" t="s">
        <v>11</v>
      </c>
      <c r="AT91" t="s">
        <v>11</v>
      </c>
      <c r="AU91" t="s">
        <v>11</v>
      </c>
      <c r="AV91" t="s">
        <v>11</v>
      </c>
      <c r="AW91" t="s">
        <v>11</v>
      </c>
      <c r="AX91" t="s">
        <v>11</v>
      </c>
      <c r="AY91" t="s">
        <v>11</v>
      </c>
      <c r="AZ91" t="s">
        <v>11</v>
      </c>
      <c r="BA91" t="s">
        <v>11</v>
      </c>
      <c r="BB91" t="s">
        <v>11</v>
      </c>
      <c r="BC91" t="s">
        <v>11</v>
      </c>
      <c r="BD91" t="s">
        <v>11</v>
      </c>
      <c r="BE91" t="s">
        <v>11</v>
      </c>
      <c r="BF91" t="s">
        <v>11</v>
      </c>
      <c r="BG91" t="s">
        <v>11</v>
      </c>
      <c r="BH91" t="s">
        <v>791</v>
      </c>
      <c r="BI91" t="s">
        <v>786</v>
      </c>
      <c r="BJ91" t="s">
        <v>792</v>
      </c>
      <c r="BK91" t="s">
        <v>793</v>
      </c>
    </row>
    <row r="92" spans="1:63" x14ac:dyDescent="0.3">
      <c r="A92" t="s">
        <v>794</v>
      </c>
      <c r="B92" t="s">
        <v>5</v>
      </c>
      <c r="C92" t="s">
        <v>795</v>
      </c>
      <c r="D92" t="s">
        <v>796</v>
      </c>
      <c r="E92" t="s">
        <v>797</v>
      </c>
      <c r="F92">
        <v>102</v>
      </c>
      <c r="G92">
        <v>79</v>
      </c>
      <c r="I92">
        <v>5</v>
      </c>
      <c r="O92">
        <v>14</v>
      </c>
      <c r="P92">
        <v>2</v>
      </c>
      <c r="AF92">
        <v>8.2269999999999985</v>
      </c>
      <c r="AH92" t="s">
        <v>734</v>
      </c>
      <c r="AI92" t="s">
        <v>0</v>
      </c>
      <c r="AJ92" t="s">
        <v>735</v>
      </c>
      <c r="AK92" t="s">
        <v>11</v>
      </c>
      <c r="AL92" t="s">
        <v>11</v>
      </c>
      <c r="AM92" t="s">
        <v>11</v>
      </c>
      <c r="AN92" t="s">
        <v>11</v>
      </c>
      <c r="AO92" t="s">
        <v>11</v>
      </c>
      <c r="AP92" t="s">
        <v>736</v>
      </c>
      <c r="AQ92" t="s">
        <v>11</v>
      </c>
      <c r="AR92" t="s">
        <v>798</v>
      </c>
      <c r="AS92" t="s">
        <v>11</v>
      </c>
      <c r="AT92" t="s">
        <v>11</v>
      </c>
      <c r="AU92" t="s">
        <v>11</v>
      </c>
      <c r="AV92" t="s">
        <v>11</v>
      </c>
      <c r="AW92" t="s">
        <v>11</v>
      </c>
      <c r="AX92" t="s">
        <v>11</v>
      </c>
      <c r="AY92" t="s">
        <v>11</v>
      </c>
      <c r="AZ92" t="s">
        <v>11</v>
      </c>
      <c r="BA92" t="s">
        <v>11</v>
      </c>
      <c r="BB92" t="s">
        <v>11</v>
      </c>
      <c r="BC92" t="s">
        <v>11</v>
      </c>
      <c r="BD92" t="s">
        <v>11</v>
      </c>
      <c r="BE92" t="s">
        <v>11</v>
      </c>
      <c r="BF92" t="s">
        <v>11</v>
      </c>
      <c r="BG92" t="s">
        <v>11</v>
      </c>
      <c r="BH92" t="s">
        <v>799</v>
      </c>
      <c r="BI92" t="s">
        <v>794</v>
      </c>
      <c r="BJ92" t="s">
        <v>800</v>
      </c>
      <c r="BK92" t="s">
        <v>801</v>
      </c>
    </row>
    <row r="93" spans="1:63" x14ac:dyDescent="0.3">
      <c r="A93" t="s">
        <v>802</v>
      </c>
      <c r="B93" t="s">
        <v>5</v>
      </c>
      <c r="C93" t="s">
        <v>803</v>
      </c>
      <c r="D93" t="s">
        <v>804</v>
      </c>
      <c r="E93" t="s">
        <v>805</v>
      </c>
      <c r="F93">
        <v>103</v>
      </c>
      <c r="G93">
        <v>79</v>
      </c>
      <c r="I93">
        <v>5</v>
      </c>
      <c r="M93">
        <v>2</v>
      </c>
      <c r="O93">
        <v>14</v>
      </c>
      <c r="AF93">
        <v>8.3544</v>
      </c>
      <c r="AH93" t="s">
        <v>734</v>
      </c>
      <c r="AI93" t="s">
        <v>0</v>
      </c>
      <c r="AJ93" t="s">
        <v>735</v>
      </c>
      <c r="AK93" t="s">
        <v>11</v>
      </c>
      <c r="AL93" t="s">
        <v>11</v>
      </c>
      <c r="AM93" t="s">
        <v>11</v>
      </c>
      <c r="AN93" t="s">
        <v>24</v>
      </c>
      <c r="AO93" t="s">
        <v>11</v>
      </c>
      <c r="AP93" t="s">
        <v>736</v>
      </c>
      <c r="AQ93" t="s">
        <v>11</v>
      </c>
      <c r="AR93" t="s">
        <v>11</v>
      </c>
      <c r="AS93" t="s">
        <v>11</v>
      </c>
      <c r="AT93" t="s">
        <v>11</v>
      </c>
      <c r="AU93" t="s">
        <v>11</v>
      </c>
      <c r="AV93" t="s">
        <v>11</v>
      </c>
      <c r="AW93" t="s">
        <v>11</v>
      </c>
      <c r="AX93" t="s">
        <v>11</v>
      </c>
      <c r="AY93" t="s">
        <v>11</v>
      </c>
      <c r="AZ93" t="s">
        <v>11</v>
      </c>
      <c r="BA93" t="s">
        <v>11</v>
      </c>
      <c r="BB93" t="s">
        <v>11</v>
      </c>
      <c r="BC93" t="s">
        <v>11</v>
      </c>
      <c r="BD93" t="s">
        <v>11</v>
      </c>
      <c r="BE93" t="s">
        <v>11</v>
      </c>
      <c r="BF93" t="s">
        <v>11</v>
      </c>
      <c r="BG93" t="s">
        <v>11</v>
      </c>
      <c r="BH93" t="s">
        <v>806</v>
      </c>
      <c r="BI93" t="s">
        <v>802</v>
      </c>
      <c r="BJ93" t="s">
        <v>807</v>
      </c>
      <c r="BK93" t="s">
        <v>808</v>
      </c>
    </row>
    <row r="94" spans="1:63" x14ac:dyDescent="0.3">
      <c r="A94" t="s">
        <v>809</v>
      </c>
      <c r="B94" t="s">
        <v>31</v>
      </c>
      <c r="C94" t="s">
        <v>810</v>
      </c>
      <c r="D94" t="s">
        <v>811</v>
      </c>
      <c r="E94" t="s">
        <v>812</v>
      </c>
      <c r="F94">
        <v>104</v>
      </c>
      <c r="G94">
        <v>79</v>
      </c>
      <c r="I94">
        <v>5</v>
      </c>
      <c r="K94">
        <v>2</v>
      </c>
      <c r="O94">
        <v>14</v>
      </c>
      <c r="AF94">
        <v>8.4063999999999997</v>
      </c>
      <c r="AH94" t="s">
        <v>734</v>
      </c>
      <c r="AI94" t="s">
        <v>0</v>
      </c>
      <c r="AJ94" t="s">
        <v>735</v>
      </c>
      <c r="AK94" t="s">
        <v>62</v>
      </c>
      <c r="AL94" t="s">
        <v>11</v>
      </c>
      <c r="AM94" t="s">
        <v>11</v>
      </c>
      <c r="AN94" t="s">
        <v>11</v>
      </c>
      <c r="AO94" t="s">
        <v>11</v>
      </c>
      <c r="AP94" t="s">
        <v>736</v>
      </c>
      <c r="AQ94" t="s">
        <v>11</v>
      </c>
      <c r="AR94" t="s">
        <v>11</v>
      </c>
      <c r="AS94" t="s">
        <v>11</v>
      </c>
      <c r="AT94" t="s">
        <v>11</v>
      </c>
      <c r="AU94" t="s">
        <v>11</v>
      </c>
      <c r="AV94" t="s">
        <v>11</v>
      </c>
      <c r="AW94" t="s">
        <v>11</v>
      </c>
      <c r="AX94" t="s">
        <v>11</v>
      </c>
      <c r="AY94" t="s">
        <v>11</v>
      </c>
      <c r="AZ94" t="s">
        <v>11</v>
      </c>
      <c r="BA94" t="s">
        <v>11</v>
      </c>
      <c r="BB94" t="s">
        <v>11</v>
      </c>
      <c r="BC94" t="s">
        <v>11</v>
      </c>
      <c r="BD94" t="s">
        <v>11</v>
      </c>
      <c r="BE94" t="s">
        <v>11</v>
      </c>
      <c r="BF94" t="s">
        <v>11</v>
      </c>
      <c r="BG94" t="s">
        <v>11</v>
      </c>
      <c r="BH94" t="s">
        <v>813</v>
      </c>
      <c r="BI94" t="s">
        <v>809</v>
      </c>
      <c r="BJ94" t="s">
        <v>814</v>
      </c>
      <c r="BK94" t="s">
        <v>815</v>
      </c>
    </row>
    <row r="95" spans="1:63" x14ac:dyDescent="0.3">
      <c r="A95" t="s">
        <v>816</v>
      </c>
      <c r="B95" t="s">
        <v>5</v>
      </c>
      <c r="C95" t="s">
        <v>817</v>
      </c>
      <c r="D95" t="s">
        <v>818</v>
      </c>
      <c r="E95" t="s">
        <v>819</v>
      </c>
      <c r="F95">
        <v>105</v>
      </c>
      <c r="G95">
        <v>80</v>
      </c>
      <c r="I95">
        <v>8</v>
      </c>
      <c r="O95">
        <v>12</v>
      </c>
      <c r="AF95">
        <v>8.0692000000000004</v>
      </c>
      <c r="AH95" t="s">
        <v>734</v>
      </c>
      <c r="AI95" t="s">
        <v>0</v>
      </c>
      <c r="AJ95" t="s">
        <v>164</v>
      </c>
      <c r="AK95" t="s">
        <v>11</v>
      </c>
      <c r="AL95" t="s">
        <v>11</v>
      </c>
      <c r="AM95" t="s">
        <v>11</v>
      </c>
      <c r="AN95" t="s">
        <v>11</v>
      </c>
      <c r="AO95" t="s">
        <v>11</v>
      </c>
      <c r="AP95" t="s">
        <v>820</v>
      </c>
      <c r="AQ95" t="s">
        <v>11</v>
      </c>
      <c r="AR95" t="s">
        <v>11</v>
      </c>
      <c r="AS95" t="s">
        <v>11</v>
      </c>
      <c r="AT95" t="s">
        <v>11</v>
      </c>
      <c r="AU95" t="s">
        <v>11</v>
      </c>
      <c r="AV95" t="s">
        <v>11</v>
      </c>
      <c r="AW95" t="s">
        <v>11</v>
      </c>
      <c r="AX95" t="s">
        <v>11</v>
      </c>
      <c r="AY95" t="s">
        <v>11</v>
      </c>
      <c r="AZ95" t="s">
        <v>11</v>
      </c>
      <c r="BA95" t="s">
        <v>11</v>
      </c>
      <c r="BB95" t="s">
        <v>11</v>
      </c>
      <c r="BC95" t="s">
        <v>11</v>
      </c>
      <c r="BD95" t="s">
        <v>11</v>
      </c>
      <c r="BE95" t="s">
        <v>11</v>
      </c>
      <c r="BF95" t="s">
        <v>11</v>
      </c>
      <c r="BG95" t="s">
        <v>11</v>
      </c>
      <c r="BH95" t="s">
        <v>821</v>
      </c>
      <c r="BI95" t="s">
        <v>816</v>
      </c>
      <c r="BJ95" t="s">
        <v>822</v>
      </c>
      <c r="BK95" t="s">
        <v>823</v>
      </c>
    </row>
    <row r="96" spans="1:63" x14ac:dyDescent="0.3">
      <c r="A96" t="s">
        <v>824</v>
      </c>
      <c r="B96" t="s">
        <v>5</v>
      </c>
      <c r="C96" t="s">
        <v>825</v>
      </c>
      <c r="D96" t="s">
        <v>826</v>
      </c>
      <c r="E96" t="s">
        <v>819</v>
      </c>
      <c r="F96">
        <v>106</v>
      </c>
      <c r="G96">
        <v>70</v>
      </c>
      <c r="H96">
        <v>10</v>
      </c>
      <c r="I96">
        <v>8</v>
      </c>
      <c r="O96">
        <v>12</v>
      </c>
      <c r="AF96">
        <v>8.07</v>
      </c>
      <c r="AH96" t="s">
        <v>734</v>
      </c>
      <c r="AI96" t="s">
        <v>0</v>
      </c>
      <c r="AJ96" t="s">
        <v>164</v>
      </c>
      <c r="AK96" t="s">
        <v>11</v>
      </c>
      <c r="AL96" t="s">
        <v>520</v>
      </c>
      <c r="AM96" t="s">
        <v>11</v>
      </c>
      <c r="AN96" t="s">
        <v>11</v>
      </c>
      <c r="AO96" t="s">
        <v>11</v>
      </c>
      <c r="AP96" t="s">
        <v>820</v>
      </c>
      <c r="AQ96" t="s">
        <v>11</v>
      </c>
      <c r="AR96" t="s">
        <v>11</v>
      </c>
      <c r="AS96" t="s">
        <v>11</v>
      </c>
      <c r="AT96" t="s">
        <v>11</v>
      </c>
      <c r="AU96" t="s">
        <v>11</v>
      </c>
      <c r="AV96" t="s">
        <v>11</v>
      </c>
      <c r="AW96" t="s">
        <v>11</v>
      </c>
      <c r="AX96" t="s">
        <v>11</v>
      </c>
      <c r="AY96" t="s">
        <v>11</v>
      </c>
      <c r="AZ96" t="s">
        <v>11</v>
      </c>
      <c r="BA96" t="s">
        <v>11</v>
      </c>
      <c r="BB96" t="s">
        <v>11</v>
      </c>
      <c r="BC96" t="s">
        <v>11</v>
      </c>
      <c r="BD96" t="s">
        <v>11</v>
      </c>
      <c r="BE96" t="s">
        <v>11</v>
      </c>
      <c r="BF96" t="s">
        <v>11</v>
      </c>
      <c r="BG96" t="s">
        <v>11</v>
      </c>
      <c r="BH96" t="s">
        <v>827</v>
      </c>
      <c r="BI96" t="s">
        <v>824</v>
      </c>
      <c r="BJ96" t="s">
        <v>828</v>
      </c>
      <c r="BK96" t="s">
        <v>829</v>
      </c>
    </row>
    <row r="97" spans="1:63" x14ac:dyDescent="0.3">
      <c r="A97" t="s">
        <v>830</v>
      </c>
      <c r="B97" t="s">
        <v>5</v>
      </c>
      <c r="C97" t="s">
        <v>831</v>
      </c>
      <c r="D97" t="s">
        <v>832</v>
      </c>
      <c r="E97" t="s">
        <v>833</v>
      </c>
      <c r="F97">
        <v>107</v>
      </c>
      <c r="G97">
        <v>60</v>
      </c>
      <c r="H97">
        <v>20</v>
      </c>
      <c r="I97">
        <v>8</v>
      </c>
      <c r="O97">
        <v>12</v>
      </c>
      <c r="AF97">
        <v>8.0708000000000002</v>
      </c>
      <c r="AH97" t="s">
        <v>734</v>
      </c>
      <c r="AI97" t="s">
        <v>0</v>
      </c>
      <c r="AJ97" t="s">
        <v>164</v>
      </c>
      <c r="AK97" t="s">
        <v>11</v>
      </c>
      <c r="AL97" t="s">
        <v>834</v>
      </c>
      <c r="AM97" t="s">
        <v>11</v>
      </c>
      <c r="AN97" t="s">
        <v>11</v>
      </c>
      <c r="AO97" t="s">
        <v>11</v>
      </c>
      <c r="AP97" t="s">
        <v>820</v>
      </c>
      <c r="AQ97" t="s">
        <v>11</v>
      </c>
      <c r="AR97" t="s">
        <v>11</v>
      </c>
      <c r="AS97" t="s">
        <v>11</v>
      </c>
      <c r="AT97" t="s">
        <v>11</v>
      </c>
      <c r="AU97" t="s">
        <v>11</v>
      </c>
      <c r="AV97" t="s">
        <v>11</v>
      </c>
      <c r="AW97" t="s">
        <v>11</v>
      </c>
      <c r="AX97" t="s">
        <v>11</v>
      </c>
      <c r="AY97" t="s">
        <v>11</v>
      </c>
      <c r="AZ97" t="s">
        <v>11</v>
      </c>
      <c r="BA97" t="s">
        <v>11</v>
      </c>
      <c r="BB97" t="s">
        <v>11</v>
      </c>
      <c r="BC97" t="s">
        <v>11</v>
      </c>
      <c r="BD97" t="s">
        <v>11</v>
      </c>
      <c r="BE97" t="s">
        <v>11</v>
      </c>
      <c r="BF97" t="s">
        <v>11</v>
      </c>
      <c r="BG97" t="s">
        <v>11</v>
      </c>
      <c r="BH97" t="s">
        <v>835</v>
      </c>
      <c r="BI97" t="s">
        <v>830</v>
      </c>
      <c r="BJ97" t="s">
        <v>836</v>
      </c>
      <c r="BK97" t="s">
        <v>837</v>
      </c>
    </row>
    <row r="98" spans="1:63" x14ac:dyDescent="0.3">
      <c r="A98" t="s">
        <v>838</v>
      </c>
      <c r="B98" t="s">
        <v>5</v>
      </c>
      <c r="C98" t="s">
        <v>839</v>
      </c>
      <c r="D98" t="s">
        <v>840</v>
      </c>
      <c r="E98" t="s">
        <v>841</v>
      </c>
      <c r="F98">
        <v>108</v>
      </c>
      <c r="G98">
        <v>50</v>
      </c>
      <c r="H98">
        <v>30</v>
      </c>
      <c r="I98">
        <v>8</v>
      </c>
      <c r="O98">
        <v>12</v>
      </c>
      <c r="AF98">
        <v>8.0716000000000001</v>
      </c>
      <c r="AG98">
        <v>8.07</v>
      </c>
      <c r="AH98" t="s">
        <v>734</v>
      </c>
      <c r="AI98" t="s">
        <v>0</v>
      </c>
      <c r="AJ98" t="s">
        <v>164</v>
      </c>
      <c r="AK98" t="s">
        <v>11</v>
      </c>
      <c r="AL98" t="s">
        <v>23</v>
      </c>
      <c r="AM98" t="s">
        <v>11</v>
      </c>
      <c r="AN98" t="s">
        <v>11</v>
      </c>
      <c r="AO98" t="s">
        <v>11</v>
      </c>
      <c r="AP98" t="s">
        <v>820</v>
      </c>
      <c r="AQ98" t="s">
        <v>11</v>
      </c>
      <c r="AR98" t="s">
        <v>11</v>
      </c>
      <c r="AS98" t="s">
        <v>11</v>
      </c>
      <c r="AT98" t="s">
        <v>11</v>
      </c>
      <c r="AU98" t="s">
        <v>11</v>
      </c>
      <c r="AV98" t="s">
        <v>11</v>
      </c>
      <c r="AW98" t="s">
        <v>11</v>
      </c>
      <c r="AX98" t="s">
        <v>11</v>
      </c>
      <c r="AY98" t="s">
        <v>11</v>
      </c>
      <c r="AZ98" t="s">
        <v>11</v>
      </c>
      <c r="BA98" t="s">
        <v>11</v>
      </c>
      <c r="BB98" t="s">
        <v>11</v>
      </c>
      <c r="BC98" t="s">
        <v>11</v>
      </c>
      <c r="BD98" t="s">
        <v>11</v>
      </c>
      <c r="BE98" t="s">
        <v>11</v>
      </c>
      <c r="BF98" t="s">
        <v>11</v>
      </c>
      <c r="BG98" t="s">
        <v>11</v>
      </c>
      <c r="BH98" t="s">
        <v>842</v>
      </c>
      <c r="BI98" t="s">
        <v>838</v>
      </c>
      <c r="BJ98" t="s">
        <v>843</v>
      </c>
      <c r="BK98" t="s">
        <v>844</v>
      </c>
    </row>
    <row r="99" spans="1:63" x14ac:dyDescent="0.3">
      <c r="A99" t="s">
        <v>845</v>
      </c>
      <c r="B99" t="s">
        <v>5</v>
      </c>
      <c r="C99" t="s">
        <v>846</v>
      </c>
      <c r="D99" t="s">
        <v>847</v>
      </c>
      <c r="E99" t="s">
        <v>848</v>
      </c>
      <c r="F99">
        <v>109</v>
      </c>
      <c r="G99">
        <v>51</v>
      </c>
      <c r="H99">
        <v>30</v>
      </c>
      <c r="I99">
        <v>5</v>
      </c>
      <c r="M99">
        <v>4</v>
      </c>
      <c r="O99">
        <v>10</v>
      </c>
      <c r="AF99">
        <v>8.623400000000002</v>
      </c>
      <c r="AG99">
        <v>8.94</v>
      </c>
      <c r="AH99" t="s">
        <v>734</v>
      </c>
      <c r="AI99" t="s">
        <v>0</v>
      </c>
      <c r="AJ99" t="s">
        <v>735</v>
      </c>
      <c r="AK99" t="s">
        <v>11</v>
      </c>
      <c r="AL99" t="s">
        <v>23</v>
      </c>
      <c r="AM99" t="s">
        <v>11</v>
      </c>
      <c r="AN99" t="s">
        <v>849</v>
      </c>
      <c r="AO99" t="s">
        <v>11</v>
      </c>
      <c r="AP99" t="s">
        <v>850</v>
      </c>
      <c r="AQ99" t="s">
        <v>11</v>
      </c>
      <c r="AR99" t="s">
        <v>11</v>
      </c>
      <c r="AS99" t="s">
        <v>11</v>
      </c>
      <c r="AT99" t="s">
        <v>11</v>
      </c>
      <c r="AU99" t="s">
        <v>11</v>
      </c>
      <c r="AV99" t="s">
        <v>11</v>
      </c>
      <c r="AW99" t="s">
        <v>11</v>
      </c>
      <c r="AX99" t="s">
        <v>11</v>
      </c>
      <c r="AY99" t="s">
        <v>11</v>
      </c>
      <c r="AZ99" t="s">
        <v>11</v>
      </c>
      <c r="BA99" t="s">
        <v>11</v>
      </c>
      <c r="BB99" t="s">
        <v>11</v>
      </c>
      <c r="BC99" t="s">
        <v>11</v>
      </c>
      <c r="BD99" t="s">
        <v>11</v>
      </c>
      <c r="BE99" t="s">
        <v>11</v>
      </c>
      <c r="BF99" t="s">
        <v>11</v>
      </c>
      <c r="BG99" t="s">
        <v>11</v>
      </c>
      <c r="BH99" t="s">
        <v>851</v>
      </c>
      <c r="BI99" t="s">
        <v>845</v>
      </c>
      <c r="BJ99" t="s">
        <v>852</v>
      </c>
      <c r="BK99" t="s">
        <v>853</v>
      </c>
    </row>
    <row r="100" spans="1:63" x14ac:dyDescent="0.3">
      <c r="A100" t="s">
        <v>854</v>
      </c>
      <c r="B100" t="s">
        <v>5</v>
      </c>
      <c r="C100" t="s">
        <v>855</v>
      </c>
      <c r="D100" t="s">
        <v>856</v>
      </c>
      <c r="E100" t="s">
        <v>857</v>
      </c>
      <c r="F100">
        <v>110</v>
      </c>
      <c r="G100">
        <v>51</v>
      </c>
      <c r="H100">
        <v>30</v>
      </c>
      <c r="I100">
        <v>7.5</v>
      </c>
      <c r="M100">
        <v>4</v>
      </c>
      <c r="O100">
        <v>7.5</v>
      </c>
      <c r="AF100">
        <v>8.5381500000000017</v>
      </c>
      <c r="AG100">
        <v>8.8000000000000007</v>
      </c>
      <c r="AH100" t="s">
        <v>734</v>
      </c>
      <c r="AI100" t="s">
        <v>0</v>
      </c>
      <c r="AJ100" t="s">
        <v>297</v>
      </c>
      <c r="AK100" t="s">
        <v>11</v>
      </c>
      <c r="AL100" t="s">
        <v>23</v>
      </c>
      <c r="AM100" t="s">
        <v>11</v>
      </c>
      <c r="AN100" t="s">
        <v>849</v>
      </c>
      <c r="AO100" t="s">
        <v>11</v>
      </c>
      <c r="AP100" t="s">
        <v>858</v>
      </c>
      <c r="AQ100" t="s">
        <v>11</v>
      </c>
      <c r="AR100" t="s">
        <v>11</v>
      </c>
      <c r="AS100" t="s">
        <v>11</v>
      </c>
      <c r="AT100" t="s">
        <v>11</v>
      </c>
      <c r="AU100" t="s">
        <v>11</v>
      </c>
      <c r="AV100" t="s">
        <v>11</v>
      </c>
      <c r="AW100" t="s">
        <v>11</v>
      </c>
      <c r="AX100" t="s">
        <v>11</v>
      </c>
      <c r="AY100" t="s">
        <v>11</v>
      </c>
      <c r="AZ100" t="s">
        <v>11</v>
      </c>
      <c r="BA100" t="s">
        <v>11</v>
      </c>
      <c r="BB100" t="s">
        <v>11</v>
      </c>
      <c r="BC100" t="s">
        <v>11</v>
      </c>
      <c r="BD100" t="s">
        <v>11</v>
      </c>
      <c r="BE100" t="s">
        <v>11</v>
      </c>
      <c r="BF100" t="s">
        <v>11</v>
      </c>
      <c r="BG100" t="s">
        <v>11</v>
      </c>
      <c r="BH100" t="s">
        <v>859</v>
      </c>
      <c r="BI100" t="s">
        <v>854</v>
      </c>
      <c r="BJ100" t="s">
        <v>860</v>
      </c>
      <c r="BK100" t="s">
        <v>861</v>
      </c>
    </row>
    <row r="101" spans="1:63" x14ac:dyDescent="0.3">
      <c r="A101" t="s">
        <v>862</v>
      </c>
      <c r="B101" t="s">
        <v>5</v>
      </c>
      <c r="C101" t="s">
        <v>863</v>
      </c>
      <c r="D101" t="s">
        <v>864</v>
      </c>
      <c r="E101" t="s">
        <v>865</v>
      </c>
      <c r="F101">
        <v>111</v>
      </c>
      <c r="G101">
        <v>51</v>
      </c>
      <c r="H101">
        <v>30</v>
      </c>
      <c r="I101">
        <v>10</v>
      </c>
      <c r="M101">
        <v>4</v>
      </c>
      <c r="O101">
        <v>5</v>
      </c>
      <c r="AF101">
        <v>8.4529000000000014</v>
      </c>
      <c r="AG101">
        <v>8.6999999999999993</v>
      </c>
      <c r="AH101" t="s">
        <v>734</v>
      </c>
      <c r="AI101" t="s">
        <v>0</v>
      </c>
      <c r="AJ101" t="s">
        <v>22</v>
      </c>
      <c r="AK101" t="s">
        <v>11</v>
      </c>
      <c r="AL101" t="s">
        <v>23</v>
      </c>
      <c r="AM101" t="s">
        <v>11</v>
      </c>
      <c r="AN101" t="s">
        <v>849</v>
      </c>
      <c r="AO101" t="s">
        <v>11</v>
      </c>
      <c r="AP101" t="s">
        <v>866</v>
      </c>
      <c r="AQ101" t="s">
        <v>11</v>
      </c>
      <c r="AR101" t="s">
        <v>11</v>
      </c>
      <c r="AS101" t="s">
        <v>11</v>
      </c>
      <c r="AT101" t="s">
        <v>11</v>
      </c>
      <c r="AU101" t="s">
        <v>11</v>
      </c>
      <c r="AV101" t="s">
        <v>11</v>
      </c>
      <c r="AW101" t="s">
        <v>11</v>
      </c>
      <c r="AX101" t="s">
        <v>11</v>
      </c>
      <c r="AY101" t="s">
        <v>11</v>
      </c>
      <c r="AZ101" t="s">
        <v>11</v>
      </c>
      <c r="BA101" t="s">
        <v>11</v>
      </c>
      <c r="BB101" t="s">
        <v>11</v>
      </c>
      <c r="BC101" t="s">
        <v>11</v>
      </c>
      <c r="BD101" t="s">
        <v>11</v>
      </c>
      <c r="BE101" t="s">
        <v>11</v>
      </c>
      <c r="BF101" t="s">
        <v>11</v>
      </c>
      <c r="BG101" t="s">
        <v>11</v>
      </c>
      <c r="BH101" t="s">
        <v>867</v>
      </c>
      <c r="BI101" t="s">
        <v>862</v>
      </c>
      <c r="BJ101" t="s">
        <v>868</v>
      </c>
      <c r="BK101" t="s">
        <v>869</v>
      </c>
    </row>
    <row r="102" spans="1:63" x14ac:dyDescent="0.3">
      <c r="A102" t="s">
        <v>870</v>
      </c>
      <c r="B102" t="s">
        <v>5</v>
      </c>
      <c r="C102" t="s">
        <v>871</v>
      </c>
      <c r="D102" t="s">
        <v>872</v>
      </c>
      <c r="E102" t="s">
        <v>873</v>
      </c>
      <c r="F102">
        <v>112</v>
      </c>
      <c r="G102">
        <v>49</v>
      </c>
      <c r="H102">
        <v>30</v>
      </c>
      <c r="I102">
        <v>10</v>
      </c>
      <c r="L102">
        <v>2</v>
      </c>
      <c r="M102">
        <v>4</v>
      </c>
      <c r="O102">
        <v>5</v>
      </c>
      <c r="AF102">
        <v>8.3650400000000005</v>
      </c>
      <c r="AG102">
        <v>8.4600000000000009</v>
      </c>
      <c r="AH102" t="s">
        <v>734</v>
      </c>
      <c r="AI102" t="s">
        <v>0</v>
      </c>
      <c r="AJ102" t="s">
        <v>22</v>
      </c>
      <c r="AK102" t="s">
        <v>11</v>
      </c>
      <c r="AL102" t="s">
        <v>23</v>
      </c>
      <c r="AM102" t="s">
        <v>11</v>
      </c>
      <c r="AN102" t="s">
        <v>849</v>
      </c>
      <c r="AO102" t="s">
        <v>11</v>
      </c>
      <c r="AP102" t="s">
        <v>866</v>
      </c>
      <c r="AQ102" t="s">
        <v>25</v>
      </c>
      <c r="AR102" t="s">
        <v>11</v>
      </c>
      <c r="AS102" t="s">
        <v>11</v>
      </c>
      <c r="AT102" t="s">
        <v>11</v>
      </c>
      <c r="AU102" t="s">
        <v>11</v>
      </c>
      <c r="AV102" t="s">
        <v>11</v>
      </c>
      <c r="AW102" t="s">
        <v>11</v>
      </c>
      <c r="AX102" t="s">
        <v>11</v>
      </c>
      <c r="AY102" t="s">
        <v>11</v>
      </c>
      <c r="AZ102" t="s">
        <v>11</v>
      </c>
      <c r="BA102" t="s">
        <v>11</v>
      </c>
      <c r="BB102" t="s">
        <v>11</v>
      </c>
      <c r="BC102" t="s">
        <v>11</v>
      </c>
      <c r="BD102" t="s">
        <v>11</v>
      </c>
      <c r="BE102" t="s">
        <v>11</v>
      </c>
      <c r="BF102" t="s">
        <v>11</v>
      </c>
      <c r="BG102" t="s">
        <v>11</v>
      </c>
      <c r="BH102" t="s">
        <v>874</v>
      </c>
      <c r="BI102" t="s">
        <v>870</v>
      </c>
      <c r="BJ102" t="s">
        <v>875</v>
      </c>
      <c r="BK102" t="s">
        <v>876</v>
      </c>
    </row>
    <row r="103" spans="1:63" x14ac:dyDescent="0.3">
      <c r="A103" t="s">
        <v>877</v>
      </c>
      <c r="B103" t="s">
        <v>5</v>
      </c>
      <c r="C103" t="s">
        <v>878</v>
      </c>
      <c r="D103" t="s">
        <v>879</v>
      </c>
      <c r="E103" t="s">
        <v>880</v>
      </c>
      <c r="F103">
        <v>113</v>
      </c>
      <c r="G103">
        <v>86</v>
      </c>
      <c r="I103">
        <v>12</v>
      </c>
      <c r="M103">
        <v>2</v>
      </c>
      <c r="AF103">
        <v>8.3109999999999999</v>
      </c>
      <c r="AH103" t="s">
        <v>734</v>
      </c>
      <c r="AI103" t="s">
        <v>0</v>
      </c>
      <c r="AJ103" t="s">
        <v>881</v>
      </c>
      <c r="AK103" t="s">
        <v>11</v>
      </c>
      <c r="AL103" t="s">
        <v>11</v>
      </c>
      <c r="AM103" t="s">
        <v>11</v>
      </c>
      <c r="AN103" t="s">
        <v>24</v>
      </c>
      <c r="AO103" t="s">
        <v>11</v>
      </c>
      <c r="AP103" t="s">
        <v>11</v>
      </c>
      <c r="AQ103" t="s">
        <v>11</v>
      </c>
      <c r="AR103" t="s">
        <v>11</v>
      </c>
      <c r="AS103" t="s">
        <v>11</v>
      </c>
      <c r="AT103" t="s">
        <v>11</v>
      </c>
      <c r="AU103" t="s">
        <v>11</v>
      </c>
      <c r="AV103" t="s">
        <v>11</v>
      </c>
      <c r="AW103" t="s">
        <v>11</v>
      </c>
      <c r="AX103" t="s">
        <v>11</v>
      </c>
      <c r="AY103" t="s">
        <v>11</v>
      </c>
      <c r="AZ103" t="s">
        <v>11</v>
      </c>
      <c r="BA103" t="s">
        <v>11</v>
      </c>
      <c r="BB103" t="s">
        <v>11</v>
      </c>
      <c r="BC103" t="s">
        <v>11</v>
      </c>
      <c r="BD103" t="s">
        <v>11</v>
      </c>
      <c r="BE103" t="s">
        <v>11</v>
      </c>
      <c r="BF103" t="s">
        <v>11</v>
      </c>
      <c r="BG103" t="s">
        <v>11</v>
      </c>
      <c r="BH103" t="s">
        <v>882</v>
      </c>
      <c r="BI103" t="s">
        <v>877</v>
      </c>
      <c r="BJ103" t="s">
        <v>883</v>
      </c>
      <c r="BK103" t="s">
        <v>884</v>
      </c>
    </row>
    <row r="104" spans="1:63" x14ac:dyDescent="0.3">
      <c r="A104" t="s">
        <v>885</v>
      </c>
      <c r="B104" t="s">
        <v>5</v>
      </c>
      <c r="C104" t="s">
        <v>886</v>
      </c>
      <c r="D104" t="s">
        <v>887</v>
      </c>
      <c r="E104" t="s">
        <v>888</v>
      </c>
      <c r="F104">
        <v>114</v>
      </c>
      <c r="G104">
        <v>76</v>
      </c>
      <c r="H104">
        <v>10</v>
      </c>
      <c r="I104">
        <v>12</v>
      </c>
      <c r="M104">
        <v>2</v>
      </c>
      <c r="AF104">
        <v>8.3117999999999999</v>
      </c>
      <c r="AH104" t="s">
        <v>734</v>
      </c>
      <c r="AI104" t="s">
        <v>0</v>
      </c>
      <c r="AJ104" t="s">
        <v>881</v>
      </c>
      <c r="AK104" t="s">
        <v>11</v>
      </c>
      <c r="AL104" t="s">
        <v>520</v>
      </c>
      <c r="AM104" t="s">
        <v>11</v>
      </c>
      <c r="AN104" t="s">
        <v>24</v>
      </c>
      <c r="AO104" t="s">
        <v>11</v>
      </c>
      <c r="AP104" t="s">
        <v>11</v>
      </c>
      <c r="AQ104" t="s">
        <v>11</v>
      </c>
      <c r="AR104" t="s">
        <v>11</v>
      </c>
      <c r="AS104" t="s">
        <v>11</v>
      </c>
      <c r="AT104" t="s">
        <v>11</v>
      </c>
      <c r="AU104" t="s">
        <v>11</v>
      </c>
      <c r="AV104" t="s">
        <v>11</v>
      </c>
      <c r="AW104" t="s">
        <v>11</v>
      </c>
      <c r="AX104" t="s">
        <v>11</v>
      </c>
      <c r="AY104" t="s">
        <v>11</v>
      </c>
      <c r="AZ104" t="s">
        <v>11</v>
      </c>
      <c r="BA104" t="s">
        <v>11</v>
      </c>
      <c r="BB104" t="s">
        <v>11</v>
      </c>
      <c r="BC104" t="s">
        <v>11</v>
      </c>
      <c r="BD104" t="s">
        <v>11</v>
      </c>
      <c r="BE104" t="s">
        <v>11</v>
      </c>
      <c r="BF104" t="s">
        <v>11</v>
      </c>
      <c r="BG104" t="s">
        <v>11</v>
      </c>
      <c r="BH104" t="s">
        <v>889</v>
      </c>
      <c r="BI104" t="s">
        <v>885</v>
      </c>
      <c r="BJ104" t="s">
        <v>890</v>
      </c>
      <c r="BK104" t="s">
        <v>891</v>
      </c>
    </row>
    <row r="105" spans="1:63" x14ac:dyDescent="0.3">
      <c r="A105" t="s">
        <v>892</v>
      </c>
      <c r="B105" t="s">
        <v>5</v>
      </c>
      <c r="C105" t="s">
        <v>893</v>
      </c>
      <c r="D105" t="s">
        <v>894</v>
      </c>
      <c r="E105" t="s">
        <v>895</v>
      </c>
      <c r="F105">
        <v>115</v>
      </c>
      <c r="G105">
        <v>66</v>
      </c>
      <c r="H105">
        <v>20</v>
      </c>
      <c r="I105">
        <v>12</v>
      </c>
      <c r="M105">
        <v>2</v>
      </c>
      <c r="AF105">
        <v>8.312599999999998</v>
      </c>
      <c r="AH105" t="s">
        <v>734</v>
      </c>
      <c r="AI105" t="s">
        <v>0</v>
      </c>
      <c r="AJ105" t="s">
        <v>881</v>
      </c>
      <c r="AK105" t="s">
        <v>11</v>
      </c>
      <c r="AL105" t="s">
        <v>834</v>
      </c>
      <c r="AM105" t="s">
        <v>11</v>
      </c>
      <c r="AN105" t="s">
        <v>24</v>
      </c>
      <c r="AO105" t="s">
        <v>11</v>
      </c>
      <c r="AP105" t="s">
        <v>11</v>
      </c>
      <c r="AQ105" t="s">
        <v>11</v>
      </c>
      <c r="AR105" t="s">
        <v>11</v>
      </c>
      <c r="AS105" t="s">
        <v>11</v>
      </c>
      <c r="AT105" t="s">
        <v>11</v>
      </c>
      <c r="AU105" t="s">
        <v>11</v>
      </c>
      <c r="AV105" t="s">
        <v>11</v>
      </c>
      <c r="AW105" t="s">
        <v>11</v>
      </c>
      <c r="AX105" t="s">
        <v>11</v>
      </c>
      <c r="AY105" t="s">
        <v>11</v>
      </c>
      <c r="AZ105" t="s">
        <v>11</v>
      </c>
      <c r="BA105" t="s">
        <v>11</v>
      </c>
      <c r="BB105" t="s">
        <v>11</v>
      </c>
      <c r="BC105" t="s">
        <v>11</v>
      </c>
      <c r="BD105" t="s">
        <v>11</v>
      </c>
      <c r="BE105" t="s">
        <v>11</v>
      </c>
      <c r="BF105" t="s">
        <v>11</v>
      </c>
      <c r="BG105" t="s">
        <v>11</v>
      </c>
      <c r="BH105" t="s">
        <v>896</v>
      </c>
      <c r="BI105" t="s">
        <v>892</v>
      </c>
      <c r="BJ105" t="s">
        <v>897</v>
      </c>
      <c r="BK105" t="s">
        <v>898</v>
      </c>
    </row>
    <row r="106" spans="1:63" x14ac:dyDescent="0.3">
      <c r="A106" t="s">
        <v>899</v>
      </c>
      <c r="B106" t="s">
        <v>5</v>
      </c>
      <c r="C106" t="s">
        <v>900</v>
      </c>
      <c r="D106" t="s">
        <v>901</v>
      </c>
      <c r="E106" t="s">
        <v>902</v>
      </c>
      <c r="F106">
        <v>116</v>
      </c>
      <c r="G106">
        <v>56</v>
      </c>
      <c r="H106">
        <v>30</v>
      </c>
      <c r="I106">
        <v>12</v>
      </c>
      <c r="M106">
        <v>2</v>
      </c>
      <c r="AF106">
        <v>8.3133999999999997</v>
      </c>
      <c r="AG106">
        <v>8.33</v>
      </c>
      <c r="AH106" t="s">
        <v>734</v>
      </c>
      <c r="AI106" t="s">
        <v>0</v>
      </c>
      <c r="AJ106" t="s">
        <v>881</v>
      </c>
      <c r="AK106" t="s">
        <v>11</v>
      </c>
      <c r="AL106" t="s">
        <v>23</v>
      </c>
      <c r="AM106" t="s">
        <v>11</v>
      </c>
      <c r="AN106" t="s">
        <v>24</v>
      </c>
      <c r="AO106" t="s">
        <v>11</v>
      </c>
      <c r="AP106" t="s">
        <v>11</v>
      </c>
      <c r="AQ106" t="s">
        <v>11</v>
      </c>
      <c r="AR106" t="s">
        <v>11</v>
      </c>
      <c r="AS106" t="s">
        <v>11</v>
      </c>
      <c r="AT106" t="s">
        <v>11</v>
      </c>
      <c r="AU106" t="s">
        <v>11</v>
      </c>
      <c r="AV106" t="s">
        <v>11</v>
      </c>
      <c r="AW106" t="s">
        <v>11</v>
      </c>
      <c r="AX106" t="s">
        <v>11</v>
      </c>
      <c r="AY106" t="s">
        <v>11</v>
      </c>
      <c r="AZ106" t="s">
        <v>11</v>
      </c>
      <c r="BA106" t="s">
        <v>11</v>
      </c>
      <c r="BB106" t="s">
        <v>11</v>
      </c>
      <c r="BC106" t="s">
        <v>11</v>
      </c>
      <c r="BD106" t="s">
        <v>11</v>
      </c>
      <c r="BE106" t="s">
        <v>11</v>
      </c>
      <c r="BF106" t="s">
        <v>11</v>
      </c>
      <c r="BG106" t="s">
        <v>11</v>
      </c>
      <c r="BH106" t="s">
        <v>903</v>
      </c>
      <c r="BI106" t="s">
        <v>899</v>
      </c>
      <c r="BJ106" t="s">
        <v>904</v>
      </c>
      <c r="BK106" t="s">
        <v>905</v>
      </c>
    </row>
    <row r="107" spans="1:63" x14ac:dyDescent="0.3">
      <c r="A107" t="s">
        <v>906</v>
      </c>
      <c r="B107" t="s">
        <v>5</v>
      </c>
      <c r="C107" t="s">
        <v>907</v>
      </c>
      <c r="D107" t="s">
        <v>908</v>
      </c>
      <c r="E107" t="s">
        <v>909</v>
      </c>
      <c r="F107">
        <v>117</v>
      </c>
      <c r="G107">
        <v>50</v>
      </c>
      <c r="H107">
        <v>30</v>
      </c>
      <c r="I107">
        <v>18</v>
      </c>
      <c r="M107">
        <v>2</v>
      </c>
      <c r="AF107">
        <v>7.9413999999999998</v>
      </c>
      <c r="AH107" t="s">
        <v>734</v>
      </c>
      <c r="AI107" t="s">
        <v>0</v>
      </c>
      <c r="AJ107" t="s">
        <v>910</v>
      </c>
      <c r="AK107" t="s">
        <v>11</v>
      </c>
      <c r="AL107" t="s">
        <v>23</v>
      </c>
      <c r="AM107" t="s">
        <v>11</v>
      </c>
      <c r="AN107" t="s">
        <v>24</v>
      </c>
      <c r="AO107" t="s">
        <v>11</v>
      </c>
      <c r="AP107" t="s">
        <v>11</v>
      </c>
      <c r="AQ107" t="s">
        <v>11</v>
      </c>
      <c r="AR107" t="s">
        <v>11</v>
      </c>
      <c r="AS107" t="s">
        <v>11</v>
      </c>
      <c r="AT107" t="s">
        <v>11</v>
      </c>
      <c r="AU107" t="s">
        <v>11</v>
      </c>
      <c r="AV107" t="s">
        <v>11</v>
      </c>
      <c r="AW107" t="s">
        <v>11</v>
      </c>
      <c r="AX107" t="s">
        <v>11</v>
      </c>
      <c r="AY107" t="s">
        <v>11</v>
      </c>
      <c r="AZ107" t="s">
        <v>11</v>
      </c>
      <c r="BA107" t="s">
        <v>11</v>
      </c>
      <c r="BB107" t="s">
        <v>11</v>
      </c>
      <c r="BC107" t="s">
        <v>11</v>
      </c>
      <c r="BD107" t="s">
        <v>11</v>
      </c>
      <c r="BE107" t="s">
        <v>11</v>
      </c>
      <c r="BF107" t="s">
        <v>11</v>
      </c>
      <c r="BG107" t="s">
        <v>11</v>
      </c>
      <c r="BH107" t="s">
        <v>911</v>
      </c>
      <c r="BI107" t="s">
        <v>906</v>
      </c>
      <c r="BJ107" t="s">
        <v>912</v>
      </c>
      <c r="BK107" t="s">
        <v>913</v>
      </c>
    </row>
    <row r="108" spans="1:63" x14ac:dyDescent="0.3">
      <c r="A108" t="s">
        <v>914</v>
      </c>
      <c r="B108" t="s">
        <v>5</v>
      </c>
      <c r="C108" t="s">
        <v>915</v>
      </c>
      <c r="D108" t="s">
        <v>916</v>
      </c>
      <c r="E108" t="s">
        <v>917</v>
      </c>
      <c r="F108">
        <v>118</v>
      </c>
      <c r="G108">
        <v>56</v>
      </c>
      <c r="H108">
        <v>30</v>
      </c>
      <c r="I108">
        <v>8</v>
      </c>
      <c r="M108">
        <v>6</v>
      </c>
      <c r="AF108">
        <v>8.8713999999999995</v>
      </c>
      <c r="AH108" t="s">
        <v>734</v>
      </c>
      <c r="AI108" t="s">
        <v>0</v>
      </c>
      <c r="AJ108" t="s">
        <v>164</v>
      </c>
      <c r="AK108" t="s">
        <v>11</v>
      </c>
      <c r="AL108" t="s">
        <v>23</v>
      </c>
      <c r="AM108" t="s">
        <v>11</v>
      </c>
      <c r="AN108" t="s">
        <v>918</v>
      </c>
      <c r="AO108" t="s">
        <v>11</v>
      </c>
      <c r="AP108" t="s">
        <v>11</v>
      </c>
      <c r="AQ108" t="s">
        <v>11</v>
      </c>
      <c r="AR108" t="s">
        <v>11</v>
      </c>
      <c r="AS108" t="s">
        <v>11</v>
      </c>
      <c r="AT108" t="s">
        <v>11</v>
      </c>
      <c r="AU108" t="s">
        <v>11</v>
      </c>
      <c r="AV108" t="s">
        <v>11</v>
      </c>
      <c r="AW108" t="s">
        <v>11</v>
      </c>
      <c r="AX108" t="s">
        <v>11</v>
      </c>
      <c r="AY108" t="s">
        <v>11</v>
      </c>
      <c r="AZ108" t="s">
        <v>11</v>
      </c>
      <c r="BA108" t="s">
        <v>11</v>
      </c>
      <c r="BB108" t="s">
        <v>11</v>
      </c>
      <c r="BC108" t="s">
        <v>11</v>
      </c>
      <c r="BD108" t="s">
        <v>11</v>
      </c>
      <c r="BE108" t="s">
        <v>11</v>
      </c>
      <c r="BF108" t="s">
        <v>11</v>
      </c>
      <c r="BG108" t="s">
        <v>11</v>
      </c>
      <c r="BH108" t="s">
        <v>919</v>
      </c>
      <c r="BI108" t="s">
        <v>914</v>
      </c>
      <c r="BJ108" t="s">
        <v>920</v>
      </c>
      <c r="BK108" t="s">
        <v>921</v>
      </c>
    </row>
    <row r="109" spans="1:63" x14ac:dyDescent="0.3">
      <c r="A109" t="s">
        <v>922</v>
      </c>
      <c r="B109" t="s">
        <v>5</v>
      </c>
      <c r="C109" t="s">
        <v>923</v>
      </c>
      <c r="D109" t="s">
        <v>924</v>
      </c>
      <c r="E109" t="s">
        <v>925</v>
      </c>
      <c r="F109">
        <v>119</v>
      </c>
      <c r="G109">
        <v>56</v>
      </c>
      <c r="H109">
        <v>30</v>
      </c>
      <c r="I109">
        <v>6</v>
      </c>
      <c r="M109">
        <v>8</v>
      </c>
      <c r="AF109">
        <v>9.1503999999999994</v>
      </c>
      <c r="AH109" t="s">
        <v>734</v>
      </c>
      <c r="AI109" t="s">
        <v>0</v>
      </c>
      <c r="AJ109" t="s">
        <v>926</v>
      </c>
      <c r="AK109" t="s">
        <v>11</v>
      </c>
      <c r="AL109" t="s">
        <v>23</v>
      </c>
      <c r="AM109" t="s">
        <v>11</v>
      </c>
      <c r="AN109" t="s">
        <v>927</v>
      </c>
      <c r="AO109" t="s">
        <v>11</v>
      </c>
      <c r="AP109" t="s">
        <v>11</v>
      </c>
      <c r="AQ109" t="s">
        <v>11</v>
      </c>
      <c r="AR109" t="s">
        <v>11</v>
      </c>
      <c r="AS109" t="s">
        <v>11</v>
      </c>
      <c r="AT109" t="s">
        <v>11</v>
      </c>
      <c r="AU109" t="s">
        <v>11</v>
      </c>
      <c r="AV109" t="s">
        <v>11</v>
      </c>
      <c r="AW109" t="s">
        <v>11</v>
      </c>
      <c r="AX109" t="s">
        <v>11</v>
      </c>
      <c r="AY109" t="s">
        <v>11</v>
      </c>
      <c r="AZ109" t="s">
        <v>11</v>
      </c>
      <c r="BA109" t="s">
        <v>11</v>
      </c>
      <c r="BB109" t="s">
        <v>11</v>
      </c>
      <c r="BC109" t="s">
        <v>11</v>
      </c>
      <c r="BD109" t="s">
        <v>11</v>
      </c>
      <c r="BE109" t="s">
        <v>11</v>
      </c>
      <c r="BF109" t="s">
        <v>11</v>
      </c>
      <c r="BG109" t="s">
        <v>11</v>
      </c>
      <c r="BH109" t="s">
        <v>928</v>
      </c>
      <c r="BI109" t="s">
        <v>922</v>
      </c>
      <c r="BJ109" t="s">
        <v>929</v>
      </c>
      <c r="BK109" t="s">
        <v>930</v>
      </c>
    </row>
    <row r="110" spans="1:63" x14ac:dyDescent="0.3">
      <c r="A110" t="s">
        <v>931</v>
      </c>
      <c r="B110" t="s">
        <v>5</v>
      </c>
      <c r="C110" t="s">
        <v>932</v>
      </c>
      <c r="D110" t="s">
        <v>933</v>
      </c>
      <c r="E110" t="s">
        <v>934</v>
      </c>
      <c r="F110">
        <v>120</v>
      </c>
      <c r="G110">
        <v>54</v>
      </c>
      <c r="H110">
        <v>30</v>
      </c>
      <c r="I110">
        <v>12</v>
      </c>
      <c r="M110">
        <v>4</v>
      </c>
      <c r="AF110">
        <v>8.4684000000000008</v>
      </c>
      <c r="AG110">
        <v>8.64</v>
      </c>
      <c r="AH110" t="s">
        <v>734</v>
      </c>
      <c r="AI110" t="s">
        <v>0</v>
      </c>
      <c r="AJ110" t="s">
        <v>881</v>
      </c>
      <c r="AK110" t="s">
        <v>11</v>
      </c>
      <c r="AL110" t="s">
        <v>23</v>
      </c>
      <c r="AM110" t="s">
        <v>11</v>
      </c>
      <c r="AN110" t="s">
        <v>849</v>
      </c>
      <c r="AO110" t="s">
        <v>11</v>
      </c>
      <c r="AP110" t="s">
        <v>11</v>
      </c>
      <c r="AQ110" t="s">
        <v>11</v>
      </c>
      <c r="AR110" t="s">
        <v>11</v>
      </c>
      <c r="AS110" t="s">
        <v>11</v>
      </c>
      <c r="AT110" t="s">
        <v>11</v>
      </c>
      <c r="AU110" t="s">
        <v>11</v>
      </c>
      <c r="AV110" t="s">
        <v>11</v>
      </c>
      <c r="AW110" t="s">
        <v>11</v>
      </c>
      <c r="AX110" t="s">
        <v>11</v>
      </c>
      <c r="AY110" t="s">
        <v>11</v>
      </c>
      <c r="AZ110" t="s">
        <v>11</v>
      </c>
      <c r="BA110" t="s">
        <v>11</v>
      </c>
      <c r="BB110" t="s">
        <v>11</v>
      </c>
      <c r="BC110" t="s">
        <v>11</v>
      </c>
      <c r="BD110" t="s">
        <v>11</v>
      </c>
      <c r="BE110" t="s">
        <v>11</v>
      </c>
      <c r="BF110" t="s">
        <v>11</v>
      </c>
      <c r="BG110" t="s">
        <v>11</v>
      </c>
      <c r="BH110" t="s">
        <v>935</v>
      </c>
      <c r="BI110" t="s">
        <v>931</v>
      </c>
      <c r="BJ110" t="s">
        <v>936</v>
      </c>
      <c r="BK110" t="s">
        <v>937</v>
      </c>
    </row>
    <row r="111" spans="1:63" x14ac:dyDescent="0.3">
      <c r="A111" t="s">
        <v>938</v>
      </c>
      <c r="B111" t="s">
        <v>5</v>
      </c>
      <c r="C111" t="s">
        <v>939</v>
      </c>
      <c r="D111" t="s">
        <v>940</v>
      </c>
      <c r="E111" t="s">
        <v>941</v>
      </c>
      <c r="F111">
        <v>121</v>
      </c>
      <c r="G111">
        <v>52</v>
      </c>
      <c r="H111">
        <v>30</v>
      </c>
      <c r="I111">
        <v>12</v>
      </c>
      <c r="M111">
        <v>6</v>
      </c>
      <c r="AF111">
        <v>8.6234000000000002</v>
      </c>
      <c r="AG111">
        <v>8.93</v>
      </c>
      <c r="AH111" t="s">
        <v>734</v>
      </c>
      <c r="AI111" t="s">
        <v>0</v>
      </c>
      <c r="AJ111" t="s">
        <v>881</v>
      </c>
      <c r="AK111" t="s">
        <v>11</v>
      </c>
      <c r="AL111" t="s">
        <v>23</v>
      </c>
      <c r="AM111" t="s">
        <v>11</v>
      </c>
      <c r="AN111" t="s">
        <v>918</v>
      </c>
      <c r="AO111" t="s">
        <v>11</v>
      </c>
      <c r="AP111" t="s">
        <v>11</v>
      </c>
      <c r="AQ111" t="s">
        <v>11</v>
      </c>
      <c r="AR111" t="s">
        <v>11</v>
      </c>
      <c r="AS111" t="s">
        <v>11</v>
      </c>
      <c r="AT111" t="s">
        <v>11</v>
      </c>
      <c r="AU111" t="s">
        <v>11</v>
      </c>
      <c r="AV111" t="s">
        <v>11</v>
      </c>
      <c r="AW111" t="s">
        <v>11</v>
      </c>
      <c r="AX111" t="s">
        <v>11</v>
      </c>
      <c r="AY111" t="s">
        <v>11</v>
      </c>
      <c r="AZ111" t="s">
        <v>11</v>
      </c>
      <c r="BA111" t="s">
        <v>11</v>
      </c>
      <c r="BB111" t="s">
        <v>11</v>
      </c>
      <c r="BC111" t="s">
        <v>11</v>
      </c>
      <c r="BD111" t="s">
        <v>11</v>
      </c>
      <c r="BE111" t="s">
        <v>11</v>
      </c>
      <c r="BF111" t="s">
        <v>11</v>
      </c>
      <c r="BG111" t="s">
        <v>11</v>
      </c>
      <c r="BH111" t="s">
        <v>942</v>
      </c>
      <c r="BI111" t="s">
        <v>938</v>
      </c>
      <c r="BJ111" t="s">
        <v>943</v>
      </c>
      <c r="BK111" t="s">
        <v>944</v>
      </c>
    </row>
    <row r="112" spans="1:63" x14ac:dyDescent="0.3">
      <c r="A112" t="s">
        <v>945</v>
      </c>
      <c r="B112" t="s">
        <v>5</v>
      </c>
      <c r="C112" t="s">
        <v>946</v>
      </c>
      <c r="D112" t="s">
        <v>947</v>
      </c>
      <c r="E112" t="s">
        <v>948</v>
      </c>
      <c r="F112">
        <v>122</v>
      </c>
      <c r="G112">
        <v>50</v>
      </c>
      <c r="H112">
        <v>30</v>
      </c>
      <c r="I112">
        <v>12</v>
      </c>
      <c r="M112">
        <v>8</v>
      </c>
      <c r="AF112">
        <v>8.7783999999999995</v>
      </c>
      <c r="AG112">
        <v>9.2100000000000009</v>
      </c>
      <c r="AH112" t="s">
        <v>734</v>
      </c>
      <c r="AI112" t="s">
        <v>0</v>
      </c>
      <c r="AJ112" t="s">
        <v>881</v>
      </c>
      <c r="AK112" t="s">
        <v>11</v>
      </c>
      <c r="AL112" t="s">
        <v>23</v>
      </c>
      <c r="AM112" t="s">
        <v>11</v>
      </c>
      <c r="AN112" t="s">
        <v>927</v>
      </c>
      <c r="AO112" t="s">
        <v>11</v>
      </c>
      <c r="AP112" t="s">
        <v>11</v>
      </c>
      <c r="AQ112" t="s">
        <v>11</v>
      </c>
      <c r="AR112" t="s">
        <v>11</v>
      </c>
      <c r="AS112" t="s">
        <v>11</v>
      </c>
      <c r="AT112" t="s">
        <v>11</v>
      </c>
      <c r="AU112" t="s">
        <v>11</v>
      </c>
      <c r="AV112" t="s">
        <v>11</v>
      </c>
      <c r="AW112" t="s">
        <v>11</v>
      </c>
      <c r="AX112" t="s">
        <v>11</v>
      </c>
      <c r="AY112" t="s">
        <v>11</v>
      </c>
      <c r="AZ112" t="s">
        <v>11</v>
      </c>
      <c r="BA112" t="s">
        <v>11</v>
      </c>
      <c r="BB112" t="s">
        <v>11</v>
      </c>
      <c r="BC112" t="s">
        <v>11</v>
      </c>
      <c r="BD112" t="s">
        <v>11</v>
      </c>
      <c r="BE112" t="s">
        <v>11</v>
      </c>
      <c r="BF112" t="s">
        <v>11</v>
      </c>
      <c r="BG112" t="s">
        <v>11</v>
      </c>
      <c r="BH112" t="s">
        <v>949</v>
      </c>
      <c r="BI112" t="s">
        <v>945</v>
      </c>
      <c r="BJ112" t="s">
        <v>950</v>
      </c>
      <c r="BK112" t="s">
        <v>951</v>
      </c>
    </row>
    <row r="113" spans="1:63" x14ac:dyDescent="0.3">
      <c r="A113" t="s">
        <v>952</v>
      </c>
      <c r="B113" t="s">
        <v>5</v>
      </c>
      <c r="C113" t="s">
        <v>953</v>
      </c>
      <c r="D113" t="s">
        <v>954</v>
      </c>
      <c r="E113" t="s">
        <v>955</v>
      </c>
      <c r="F113">
        <v>123</v>
      </c>
      <c r="G113">
        <v>58</v>
      </c>
      <c r="H113">
        <v>30</v>
      </c>
      <c r="I113">
        <v>12</v>
      </c>
      <c r="AF113">
        <v>8.1584000000000003</v>
      </c>
      <c r="AI113" t="s">
        <v>0</v>
      </c>
      <c r="AJ113" t="s">
        <v>881</v>
      </c>
      <c r="AK113" t="s">
        <v>11</v>
      </c>
      <c r="AL113" t="s">
        <v>23</v>
      </c>
      <c r="AM113" t="s">
        <v>11</v>
      </c>
      <c r="AN113" t="s">
        <v>11</v>
      </c>
      <c r="AO113" t="s">
        <v>11</v>
      </c>
      <c r="AP113" t="s">
        <v>11</v>
      </c>
      <c r="AQ113" t="s">
        <v>11</v>
      </c>
      <c r="AR113" t="s">
        <v>11</v>
      </c>
      <c r="AS113" t="s">
        <v>11</v>
      </c>
      <c r="AT113" t="s">
        <v>11</v>
      </c>
      <c r="AU113" t="s">
        <v>11</v>
      </c>
      <c r="AV113" t="s">
        <v>11</v>
      </c>
      <c r="AW113" t="s">
        <v>11</v>
      </c>
      <c r="AX113" t="s">
        <v>11</v>
      </c>
      <c r="AY113" t="s">
        <v>11</v>
      </c>
      <c r="AZ113" t="s">
        <v>11</v>
      </c>
      <c r="BA113" t="s">
        <v>11</v>
      </c>
      <c r="BB113" t="s">
        <v>11</v>
      </c>
      <c r="BC113" t="s">
        <v>11</v>
      </c>
      <c r="BD113" t="s">
        <v>11</v>
      </c>
      <c r="BE113" t="s">
        <v>11</v>
      </c>
      <c r="BF113" t="s">
        <v>11</v>
      </c>
      <c r="BG113" t="s">
        <v>11</v>
      </c>
      <c r="BH113" t="s">
        <v>956</v>
      </c>
      <c r="BI113" t="s">
        <v>952</v>
      </c>
      <c r="BJ113" t="s">
        <v>957</v>
      </c>
      <c r="BK113" t="s">
        <v>958</v>
      </c>
    </row>
    <row r="114" spans="1:63" x14ac:dyDescent="0.3">
      <c r="A114" t="s">
        <v>959</v>
      </c>
      <c r="B114" t="s">
        <v>5</v>
      </c>
      <c r="C114" t="s">
        <v>960</v>
      </c>
      <c r="D114" t="s">
        <v>961</v>
      </c>
      <c r="E114" t="s">
        <v>962</v>
      </c>
      <c r="F114">
        <v>124</v>
      </c>
      <c r="G114">
        <v>54</v>
      </c>
      <c r="H114">
        <v>30</v>
      </c>
      <c r="I114">
        <v>12</v>
      </c>
      <c r="J114">
        <v>4</v>
      </c>
      <c r="AF114">
        <v>8.09</v>
      </c>
      <c r="AI114" t="s">
        <v>0</v>
      </c>
      <c r="AJ114" t="s">
        <v>881</v>
      </c>
      <c r="AK114" t="s">
        <v>11</v>
      </c>
      <c r="AL114" t="s">
        <v>23</v>
      </c>
      <c r="AM114" t="s">
        <v>963</v>
      </c>
      <c r="AN114" t="s">
        <v>11</v>
      </c>
      <c r="AO114" t="s">
        <v>11</v>
      </c>
      <c r="AP114" t="s">
        <v>11</v>
      </c>
      <c r="AQ114" t="s">
        <v>11</v>
      </c>
      <c r="AR114" t="s">
        <v>11</v>
      </c>
      <c r="AS114" t="s">
        <v>11</v>
      </c>
      <c r="AT114" t="s">
        <v>11</v>
      </c>
      <c r="AU114" t="s">
        <v>11</v>
      </c>
      <c r="AV114" t="s">
        <v>11</v>
      </c>
      <c r="AW114" t="s">
        <v>11</v>
      </c>
      <c r="AX114" t="s">
        <v>11</v>
      </c>
      <c r="AY114" t="s">
        <v>11</v>
      </c>
      <c r="AZ114" t="s">
        <v>11</v>
      </c>
      <c r="BA114" t="s">
        <v>11</v>
      </c>
      <c r="BB114" t="s">
        <v>11</v>
      </c>
      <c r="BC114" t="s">
        <v>11</v>
      </c>
      <c r="BD114" t="s">
        <v>11</v>
      </c>
      <c r="BE114" t="s">
        <v>11</v>
      </c>
      <c r="BF114" t="s">
        <v>11</v>
      </c>
      <c r="BG114" t="s">
        <v>11</v>
      </c>
      <c r="BH114" t="s">
        <v>964</v>
      </c>
      <c r="BI114" t="s">
        <v>959</v>
      </c>
      <c r="BJ114" t="s">
        <v>965</v>
      </c>
      <c r="BK114" t="s">
        <v>966</v>
      </c>
    </row>
    <row r="115" spans="1:63" x14ac:dyDescent="0.3">
      <c r="A115" t="s">
        <v>967</v>
      </c>
      <c r="B115" t="s">
        <v>5</v>
      </c>
      <c r="C115" t="s">
        <v>968</v>
      </c>
      <c r="D115" t="s">
        <v>969</v>
      </c>
      <c r="E115" t="s">
        <v>970</v>
      </c>
      <c r="F115">
        <v>125</v>
      </c>
      <c r="G115">
        <v>50</v>
      </c>
      <c r="H115">
        <v>30</v>
      </c>
      <c r="I115">
        <v>12</v>
      </c>
      <c r="J115">
        <v>8</v>
      </c>
      <c r="AF115">
        <v>8.0215999999999994</v>
      </c>
      <c r="AI115" t="s">
        <v>0</v>
      </c>
      <c r="AJ115" t="s">
        <v>881</v>
      </c>
      <c r="AK115" t="s">
        <v>11</v>
      </c>
      <c r="AL115" t="s">
        <v>23</v>
      </c>
      <c r="AM115" t="s">
        <v>971</v>
      </c>
      <c r="AN115" t="s">
        <v>11</v>
      </c>
      <c r="AO115" t="s">
        <v>11</v>
      </c>
      <c r="AP115" t="s">
        <v>11</v>
      </c>
      <c r="AQ115" t="s">
        <v>11</v>
      </c>
      <c r="AR115" t="s">
        <v>11</v>
      </c>
      <c r="AS115" t="s">
        <v>11</v>
      </c>
      <c r="AT115" t="s">
        <v>11</v>
      </c>
      <c r="AU115" t="s">
        <v>11</v>
      </c>
      <c r="AV115" t="s">
        <v>11</v>
      </c>
      <c r="AW115" t="s">
        <v>11</v>
      </c>
      <c r="AX115" t="s">
        <v>11</v>
      </c>
      <c r="AY115" t="s">
        <v>11</v>
      </c>
      <c r="AZ115" t="s">
        <v>11</v>
      </c>
      <c r="BA115" t="s">
        <v>11</v>
      </c>
      <c r="BB115" t="s">
        <v>11</v>
      </c>
      <c r="BC115" t="s">
        <v>11</v>
      </c>
      <c r="BD115" t="s">
        <v>11</v>
      </c>
      <c r="BE115" t="s">
        <v>11</v>
      </c>
      <c r="BF115" t="s">
        <v>11</v>
      </c>
      <c r="BG115" t="s">
        <v>11</v>
      </c>
      <c r="BH115" t="s">
        <v>972</v>
      </c>
      <c r="BI115" t="s">
        <v>967</v>
      </c>
      <c r="BJ115" t="s">
        <v>973</v>
      </c>
      <c r="BK115" t="s">
        <v>974</v>
      </c>
    </row>
    <row r="116" spans="1:63" x14ac:dyDescent="0.3">
      <c r="A116" t="s">
        <v>975</v>
      </c>
      <c r="B116" t="s">
        <v>5</v>
      </c>
      <c r="C116" t="s">
        <v>976</v>
      </c>
      <c r="D116" t="s">
        <v>977</v>
      </c>
      <c r="E116" t="s">
        <v>978</v>
      </c>
      <c r="F116">
        <v>126</v>
      </c>
      <c r="G116">
        <v>46</v>
      </c>
      <c r="H116">
        <v>30</v>
      </c>
      <c r="I116">
        <v>12</v>
      </c>
      <c r="J116">
        <v>12</v>
      </c>
      <c r="AF116">
        <v>7.9532000000000007</v>
      </c>
      <c r="AG116">
        <v>8.3800000000000008</v>
      </c>
      <c r="AI116" t="s">
        <v>0</v>
      </c>
      <c r="AJ116" t="s">
        <v>881</v>
      </c>
      <c r="AK116" t="s">
        <v>11</v>
      </c>
      <c r="AL116" t="s">
        <v>23</v>
      </c>
      <c r="AM116" t="s">
        <v>979</v>
      </c>
      <c r="AN116" t="s">
        <v>11</v>
      </c>
      <c r="AO116" t="s">
        <v>11</v>
      </c>
      <c r="AP116" t="s">
        <v>11</v>
      </c>
      <c r="AQ116" t="s">
        <v>11</v>
      </c>
      <c r="AR116" t="s">
        <v>11</v>
      </c>
      <c r="AS116" t="s">
        <v>11</v>
      </c>
      <c r="AT116" t="s">
        <v>11</v>
      </c>
      <c r="AU116" t="s">
        <v>11</v>
      </c>
      <c r="AV116" t="s">
        <v>11</v>
      </c>
      <c r="AW116" t="s">
        <v>11</v>
      </c>
      <c r="AX116" t="s">
        <v>11</v>
      </c>
      <c r="AY116" t="s">
        <v>11</v>
      </c>
      <c r="AZ116" t="s">
        <v>11</v>
      </c>
      <c r="BA116" t="s">
        <v>11</v>
      </c>
      <c r="BB116" t="s">
        <v>11</v>
      </c>
      <c r="BC116" t="s">
        <v>11</v>
      </c>
      <c r="BD116" t="s">
        <v>11</v>
      </c>
      <c r="BE116" t="s">
        <v>11</v>
      </c>
      <c r="BF116" t="s">
        <v>11</v>
      </c>
      <c r="BG116" t="s">
        <v>11</v>
      </c>
      <c r="BH116" t="s">
        <v>980</v>
      </c>
      <c r="BI116" t="s">
        <v>975</v>
      </c>
      <c r="BJ116" t="s">
        <v>981</v>
      </c>
      <c r="BK116" t="s">
        <v>982</v>
      </c>
    </row>
    <row r="117" spans="1:63" x14ac:dyDescent="0.3">
      <c r="A117" t="s">
        <v>983</v>
      </c>
      <c r="B117" t="s">
        <v>95</v>
      </c>
      <c r="C117" t="s">
        <v>984</v>
      </c>
      <c r="D117" t="s">
        <v>985</v>
      </c>
      <c r="E117" t="s">
        <v>986</v>
      </c>
      <c r="F117">
        <v>127</v>
      </c>
      <c r="G117">
        <v>77</v>
      </c>
      <c r="I117">
        <v>12</v>
      </c>
      <c r="K117">
        <v>11</v>
      </c>
      <c r="AF117">
        <v>9.2945000000000011</v>
      </c>
      <c r="AH117" t="s">
        <v>987</v>
      </c>
      <c r="AI117" t="s">
        <v>0</v>
      </c>
      <c r="AJ117" t="s">
        <v>881</v>
      </c>
      <c r="AK117" t="s">
        <v>988</v>
      </c>
      <c r="AL117" t="s">
        <v>11</v>
      </c>
      <c r="AM117" t="s">
        <v>11</v>
      </c>
      <c r="AN117" t="s">
        <v>11</v>
      </c>
      <c r="AO117" t="s">
        <v>11</v>
      </c>
      <c r="AP117" t="s">
        <v>11</v>
      </c>
      <c r="AQ117" t="s">
        <v>11</v>
      </c>
      <c r="AR117" t="s">
        <v>11</v>
      </c>
      <c r="AS117" t="s">
        <v>11</v>
      </c>
      <c r="AT117" t="s">
        <v>11</v>
      </c>
      <c r="AU117" t="s">
        <v>11</v>
      </c>
      <c r="AV117" t="s">
        <v>11</v>
      </c>
      <c r="AW117" t="s">
        <v>11</v>
      </c>
      <c r="AX117" t="s">
        <v>11</v>
      </c>
      <c r="AY117" t="s">
        <v>11</v>
      </c>
      <c r="AZ117" t="s">
        <v>11</v>
      </c>
      <c r="BA117" t="s">
        <v>11</v>
      </c>
      <c r="BB117" t="s">
        <v>11</v>
      </c>
      <c r="BC117" t="s">
        <v>11</v>
      </c>
      <c r="BD117" t="s">
        <v>11</v>
      </c>
      <c r="BE117" t="s">
        <v>11</v>
      </c>
      <c r="BF117" t="s">
        <v>11</v>
      </c>
      <c r="BG117" t="s">
        <v>11</v>
      </c>
      <c r="BH117" t="s">
        <v>989</v>
      </c>
      <c r="BI117" t="s">
        <v>983</v>
      </c>
      <c r="BJ117" t="s">
        <v>990</v>
      </c>
      <c r="BK117" t="s">
        <v>991</v>
      </c>
    </row>
    <row r="118" spans="1:63" x14ac:dyDescent="0.3">
      <c r="A118" t="s">
        <v>992</v>
      </c>
      <c r="B118" t="s">
        <v>514</v>
      </c>
      <c r="C118" t="s">
        <v>993</v>
      </c>
      <c r="D118" t="s">
        <v>994</v>
      </c>
      <c r="E118" t="s">
        <v>995</v>
      </c>
      <c r="F118">
        <v>128</v>
      </c>
      <c r="G118">
        <v>19.5</v>
      </c>
      <c r="H118">
        <v>58.3</v>
      </c>
      <c r="I118">
        <v>3.2</v>
      </c>
      <c r="J118">
        <v>10.8</v>
      </c>
      <c r="L118">
        <v>8.1999999999999993</v>
      </c>
      <c r="AF118">
        <v>8.1613579999999999</v>
      </c>
      <c r="AI118" t="s">
        <v>0</v>
      </c>
      <c r="AJ118" t="s">
        <v>996</v>
      </c>
      <c r="AK118" t="s">
        <v>11</v>
      </c>
      <c r="AL118" t="s">
        <v>997</v>
      </c>
      <c r="AM118" t="s">
        <v>86</v>
      </c>
      <c r="AN118" t="s">
        <v>11</v>
      </c>
      <c r="AO118" t="s">
        <v>11</v>
      </c>
      <c r="AP118" t="s">
        <v>11</v>
      </c>
      <c r="AQ118" t="s">
        <v>998</v>
      </c>
      <c r="AR118" t="s">
        <v>11</v>
      </c>
      <c r="AS118" t="s">
        <v>11</v>
      </c>
      <c r="AT118" t="s">
        <v>11</v>
      </c>
      <c r="AU118" t="s">
        <v>11</v>
      </c>
      <c r="AV118" t="s">
        <v>11</v>
      </c>
      <c r="AW118" t="s">
        <v>11</v>
      </c>
      <c r="AX118" t="s">
        <v>11</v>
      </c>
      <c r="AY118" t="s">
        <v>11</v>
      </c>
      <c r="AZ118" t="s">
        <v>11</v>
      </c>
      <c r="BA118" t="s">
        <v>11</v>
      </c>
      <c r="BB118" t="s">
        <v>11</v>
      </c>
      <c r="BC118" t="s">
        <v>11</v>
      </c>
      <c r="BD118" t="s">
        <v>11</v>
      </c>
      <c r="BE118" t="s">
        <v>11</v>
      </c>
      <c r="BF118" t="s">
        <v>11</v>
      </c>
      <c r="BG118" t="s">
        <v>11</v>
      </c>
      <c r="BH118" t="s">
        <v>999</v>
      </c>
      <c r="BI118" t="s">
        <v>992</v>
      </c>
      <c r="BJ118" t="s">
        <v>1000</v>
      </c>
      <c r="BK118" t="s">
        <v>1001</v>
      </c>
    </row>
    <row r="119" spans="1:63" x14ac:dyDescent="0.3">
      <c r="A119" t="s">
        <v>1002</v>
      </c>
      <c r="B119" t="s">
        <v>514</v>
      </c>
      <c r="C119" t="s">
        <v>1003</v>
      </c>
      <c r="D119" t="s">
        <v>1004</v>
      </c>
      <c r="E119" t="s">
        <v>995</v>
      </c>
      <c r="F119">
        <v>129</v>
      </c>
      <c r="G119">
        <v>50.699999999999996</v>
      </c>
      <c r="H119">
        <v>27.2</v>
      </c>
      <c r="I119">
        <v>3.1</v>
      </c>
      <c r="J119">
        <v>10.9</v>
      </c>
      <c r="L119">
        <v>8.1</v>
      </c>
      <c r="AF119">
        <v>8.1677529999999994</v>
      </c>
      <c r="AI119" t="s">
        <v>0</v>
      </c>
      <c r="AJ119" t="s">
        <v>1005</v>
      </c>
      <c r="AK119" t="s">
        <v>11</v>
      </c>
      <c r="AL119" t="s">
        <v>1006</v>
      </c>
      <c r="AM119" t="s">
        <v>1007</v>
      </c>
      <c r="AN119" t="s">
        <v>11</v>
      </c>
      <c r="AO119" t="s">
        <v>11</v>
      </c>
      <c r="AP119" t="s">
        <v>11</v>
      </c>
      <c r="AQ119" t="s">
        <v>1008</v>
      </c>
      <c r="AR119" t="s">
        <v>11</v>
      </c>
      <c r="AS119" t="s">
        <v>11</v>
      </c>
      <c r="AT119" t="s">
        <v>11</v>
      </c>
      <c r="AU119" t="s">
        <v>11</v>
      </c>
      <c r="AV119" t="s">
        <v>11</v>
      </c>
      <c r="AW119" t="s">
        <v>11</v>
      </c>
      <c r="AX119" t="s">
        <v>11</v>
      </c>
      <c r="AY119" t="s">
        <v>11</v>
      </c>
      <c r="AZ119" t="s">
        <v>11</v>
      </c>
      <c r="BA119" t="s">
        <v>11</v>
      </c>
      <c r="BB119" t="s">
        <v>11</v>
      </c>
      <c r="BC119" t="s">
        <v>11</v>
      </c>
      <c r="BD119" t="s">
        <v>11</v>
      </c>
      <c r="BE119" t="s">
        <v>11</v>
      </c>
      <c r="BF119" t="s">
        <v>11</v>
      </c>
      <c r="BG119" t="s">
        <v>11</v>
      </c>
      <c r="BH119" t="s">
        <v>1009</v>
      </c>
      <c r="BI119" t="s">
        <v>1002</v>
      </c>
      <c r="BJ119" t="s">
        <v>1010</v>
      </c>
      <c r="BK119" t="s">
        <v>1011</v>
      </c>
    </row>
    <row r="120" spans="1:63" x14ac:dyDescent="0.3">
      <c r="A120" t="s">
        <v>1012</v>
      </c>
      <c r="B120" t="s">
        <v>514</v>
      </c>
      <c r="C120" t="s">
        <v>1013</v>
      </c>
      <c r="D120" t="s">
        <v>1014</v>
      </c>
      <c r="E120" t="s">
        <v>995</v>
      </c>
      <c r="F120">
        <v>130</v>
      </c>
      <c r="G120">
        <v>32.599999999999994</v>
      </c>
      <c r="H120">
        <v>34.200000000000003</v>
      </c>
      <c r="I120">
        <v>3.6</v>
      </c>
      <c r="J120">
        <v>21.5</v>
      </c>
      <c r="L120">
        <v>8.1</v>
      </c>
      <c r="AF120">
        <v>7.9560530000000007</v>
      </c>
      <c r="AI120" t="s">
        <v>0</v>
      </c>
      <c r="AJ120" t="s">
        <v>1015</v>
      </c>
      <c r="AK120" t="s">
        <v>11</v>
      </c>
      <c r="AL120" t="s">
        <v>1016</v>
      </c>
      <c r="AM120" t="s">
        <v>1017</v>
      </c>
      <c r="AN120" t="s">
        <v>11</v>
      </c>
      <c r="AO120" t="s">
        <v>11</v>
      </c>
      <c r="AP120" t="s">
        <v>11</v>
      </c>
      <c r="AQ120" t="s">
        <v>1008</v>
      </c>
      <c r="AR120" t="s">
        <v>11</v>
      </c>
      <c r="AS120" t="s">
        <v>11</v>
      </c>
      <c r="AT120" t="s">
        <v>11</v>
      </c>
      <c r="AU120" t="s">
        <v>11</v>
      </c>
      <c r="AV120" t="s">
        <v>11</v>
      </c>
      <c r="AW120" t="s">
        <v>11</v>
      </c>
      <c r="AX120" t="s">
        <v>11</v>
      </c>
      <c r="AY120" t="s">
        <v>11</v>
      </c>
      <c r="AZ120" t="s">
        <v>11</v>
      </c>
      <c r="BA120" t="s">
        <v>11</v>
      </c>
      <c r="BB120" t="s">
        <v>11</v>
      </c>
      <c r="BC120" t="s">
        <v>11</v>
      </c>
      <c r="BD120" t="s">
        <v>11</v>
      </c>
      <c r="BE120" t="s">
        <v>11</v>
      </c>
      <c r="BF120" t="s">
        <v>11</v>
      </c>
      <c r="BG120" t="s">
        <v>11</v>
      </c>
      <c r="BH120" t="s">
        <v>1018</v>
      </c>
      <c r="BI120" t="s">
        <v>1012</v>
      </c>
      <c r="BJ120" t="s">
        <v>1019</v>
      </c>
      <c r="BK120" t="s">
        <v>1020</v>
      </c>
    </row>
    <row r="121" spans="1:63" x14ac:dyDescent="0.3">
      <c r="A121" t="s">
        <v>1021</v>
      </c>
      <c r="B121" t="s">
        <v>514</v>
      </c>
      <c r="C121" t="s">
        <v>1022</v>
      </c>
      <c r="D121" t="s">
        <v>1023</v>
      </c>
      <c r="E121" t="s">
        <v>995</v>
      </c>
      <c r="F121">
        <v>131</v>
      </c>
      <c r="G121">
        <v>35.599999999999994</v>
      </c>
      <c r="H121">
        <v>37.1</v>
      </c>
      <c r="I121">
        <v>3.1</v>
      </c>
      <c r="J121">
        <v>16.3</v>
      </c>
      <c r="L121">
        <v>7.9</v>
      </c>
      <c r="AF121">
        <v>8.0849910000000005</v>
      </c>
      <c r="AI121" t="s">
        <v>0</v>
      </c>
      <c r="AJ121" t="s">
        <v>1005</v>
      </c>
      <c r="AK121" t="s">
        <v>11</v>
      </c>
      <c r="AL121" t="s">
        <v>1024</v>
      </c>
      <c r="AM121" t="s">
        <v>1025</v>
      </c>
      <c r="AN121" t="s">
        <v>11</v>
      </c>
      <c r="AO121" t="s">
        <v>11</v>
      </c>
      <c r="AP121" t="s">
        <v>11</v>
      </c>
      <c r="AQ121" t="s">
        <v>1026</v>
      </c>
      <c r="AR121" t="s">
        <v>11</v>
      </c>
      <c r="AS121" t="s">
        <v>11</v>
      </c>
      <c r="AT121" t="s">
        <v>11</v>
      </c>
      <c r="AU121" t="s">
        <v>11</v>
      </c>
      <c r="AV121" t="s">
        <v>11</v>
      </c>
      <c r="AW121" t="s">
        <v>11</v>
      </c>
      <c r="AX121" t="s">
        <v>11</v>
      </c>
      <c r="AY121" t="s">
        <v>11</v>
      </c>
      <c r="AZ121" t="s">
        <v>11</v>
      </c>
      <c r="BA121" t="s">
        <v>11</v>
      </c>
      <c r="BB121" t="s">
        <v>11</v>
      </c>
      <c r="BC121" t="s">
        <v>11</v>
      </c>
      <c r="BD121" t="s">
        <v>11</v>
      </c>
      <c r="BE121" t="s">
        <v>11</v>
      </c>
      <c r="BF121" t="s">
        <v>11</v>
      </c>
      <c r="BG121" t="s">
        <v>11</v>
      </c>
      <c r="BH121" t="s">
        <v>1027</v>
      </c>
      <c r="BI121" t="s">
        <v>1021</v>
      </c>
      <c r="BJ121" t="s">
        <v>1028</v>
      </c>
      <c r="BK121" t="s">
        <v>1029</v>
      </c>
    </row>
    <row r="122" spans="1:63" x14ac:dyDescent="0.3">
      <c r="A122" t="s">
        <v>1030</v>
      </c>
      <c r="B122" t="s">
        <v>514</v>
      </c>
      <c r="C122" t="s">
        <v>1031</v>
      </c>
      <c r="D122" t="s">
        <v>1032</v>
      </c>
      <c r="E122" t="s">
        <v>995</v>
      </c>
      <c r="F122">
        <v>132</v>
      </c>
      <c r="G122">
        <v>59.199999999999996</v>
      </c>
      <c r="H122">
        <v>17.3</v>
      </c>
      <c r="I122">
        <v>3.1</v>
      </c>
      <c r="J122">
        <v>12.5</v>
      </c>
      <c r="L122">
        <v>7.9</v>
      </c>
      <c r="AF122">
        <v>8.1483869999999996</v>
      </c>
      <c r="AI122" t="s">
        <v>0</v>
      </c>
      <c r="AJ122" t="s">
        <v>1005</v>
      </c>
      <c r="AK122" t="s">
        <v>11</v>
      </c>
      <c r="AL122" t="s">
        <v>1033</v>
      </c>
      <c r="AM122" t="s">
        <v>1034</v>
      </c>
      <c r="AN122" t="s">
        <v>11</v>
      </c>
      <c r="AO122" t="s">
        <v>11</v>
      </c>
      <c r="AP122" t="s">
        <v>11</v>
      </c>
      <c r="AQ122" t="s">
        <v>1026</v>
      </c>
      <c r="AR122" t="s">
        <v>11</v>
      </c>
      <c r="AS122" t="s">
        <v>11</v>
      </c>
      <c r="AT122" t="s">
        <v>11</v>
      </c>
      <c r="AU122" t="s">
        <v>11</v>
      </c>
      <c r="AV122" t="s">
        <v>11</v>
      </c>
      <c r="AW122" t="s">
        <v>11</v>
      </c>
      <c r="AX122" t="s">
        <v>11</v>
      </c>
      <c r="AY122" t="s">
        <v>11</v>
      </c>
      <c r="AZ122" t="s">
        <v>11</v>
      </c>
      <c r="BA122" t="s">
        <v>11</v>
      </c>
      <c r="BB122" t="s">
        <v>11</v>
      </c>
      <c r="BC122" t="s">
        <v>11</v>
      </c>
      <c r="BD122" t="s">
        <v>11</v>
      </c>
      <c r="BE122" t="s">
        <v>11</v>
      </c>
      <c r="BF122" t="s">
        <v>11</v>
      </c>
      <c r="BG122" t="s">
        <v>11</v>
      </c>
      <c r="BH122" t="s">
        <v>1035</v>
      </c>
      <c r="BI122" t="s">
        <v>1030</v>
      </c>
      <c r="BJ122" t="s">
        <v>1036</v>
      </c>
      <c r="BK122" t="s">
        <v>1037</v>
      </c>
    </row>
    <row r="123" spans="1:63" x14ac:dyDescent="0.3">
      <c r="A123" t="s">
        <v>1038</v>
      </c>
      <c r="B123" t="s">
        <v>514</v>
      </c>
      <c r="C123" t="s">
        <v>1039</v>
      </c>
      <c r="D123" t="s">
        <v>1040</v>
      </c>
      <c r="E123" t="s">
        <v>995</v>
      </c>
      <c r="F123">
        <v>133</v>
      </c>
      <c r="G123">
        <v>16.799999999999983</v>
      </c>
      <c r="H123">
        <v>50.7</v>
      </c>
      <c r="I123">
        <v>2.7</v>
      </c>
      <c r="J123">
        <v>21.9</v>
      </c>
      <c r="L123">
        <v>7.9</v>
      </c>
      <c r="AF123">
        <v>8.0151190000000003</v>
      </c>
      <c r="AI123" t="s">
        <v>0</v>
      </c>
      <c r="AJ123" t="s">
        <v>1</v>
      </c>
      <c r="AK123" t="s">
        <v>11</v>
      </c>
      <c r="AL123" t="s">
        <v>1041</v>
      </c>
      <c r="AM123" t="s">
        <v>1042</v>
      </c>
      <c r="AN123" t="s">
        <v>11</v>
      </c>
      <c r="AO123" t="s">
        <v>11</v>
      </c>
      <c r="AP123" t="s">
        <v>11</v>
      </c>
      <c r="AQ123" t="s">
        <v>1026</v>
      </c>
      <c r="AR123" t="s">
        <v>11</v>
      </c>
      <c r="AS123" t="s">
        <v>11</v>
      </c>
      <c r="AT123" t="s">
        <v>11</v>
      </c>
      <c r="AU123" t="s">
        <v>11</v>
      </c>
      <c r="AV123" t="s">
        <v>11</v>
      </c>
      <c r="AW123" t="s">
        <v>11</v>
      </c>
      <c r="AX123" t="s">
        <v>11</v>
      </c>
      <c r="AY123" t="s">
        <v>11</v>
      </c>
      <c r="AZ123" t="s">
        <v>11</v>
      </c>
      <c r="BA123" t="s">
        <v>11</v>
      </c>
      <c r="BB123" t="s">
        <v>11</v>
      </c>
      <c r="BC123" t="s">
        <v>11</v>
      </c>
      <c r="BD123" t="s">
        <v>11</v>
      </c>
      <c r="BE123" t="s">
        <v>11</v>
      </c>
      <c r="BF123" t="s">
        <v>11</v>
      </c>
      <c r="BG123" t="s">
        <v>11</v>
      </c>
      <c r="BH123" t="s">
        <v>1043</v>
      </c>
      <c r="BI123" t="s">
        <v>1038</v>
      </c>
      <c r="BJ123" t="s">
        <v>1044</v>
      </c>
      <c r="BK123" t="s">
        <v>1045</v>
      </c>
    </row>
    <row r="124" spans="1:63" x14ac:dyDescent="0.3">
      <c r="A124" t="s">
        <v>1046</v>
      </c>
      <c r="B124" t="s">
        <v>514</v>
      </c>
      <c r="C124" t="s">
        <v>1047</v>
      </c>
      <c r="D124" t="s">
        <v>1048</v>
      </c>
      <c r="E124" t="s">
        <v>995</v>
      </c>
      <c r="F124">
        <v>134</v>
      </c>
      <c r="G124">
        <v>54.7</v>
      </c>
      <c r="H124">
        <v>18.3</v>
      </c>
      <c r="I124">
        <v>3</v>
      </c>
      <c r="J124">
        <v>16.2</v>
      </c>
      <c r="L124">
        <v>7.8</v>
      </c>
      <c r="AF124">
        <v>8.0957899999999992</v>
      </c>
      <c r="AI124" t="s">
        <v>0</v>
      </c>
      <c r="AJ124" t="s">
        <v>758</v>
      </c>
      <c r="AK124" t="s">
        <v>11</v>
      </c>
      <c r="AL124" t="s">
        <v>1049</v>
      </c>
      <c r="AM124" t="s">
        <v>1050</v>
      </c>
      <c r="AN124" t="s">
        <v>11</v>
      </c>
      <c r="AO124" t="s">
        <v>11</v>
      </c>
      <c r="AP124" t="s">
        <v>11</v>
      </c>
      <c r="AQ124" t="s">
        <v>521</v>
      </c>
      <c r="AR124" t="s">
        <v>11</v>
      </c>
      <c r="AS124" t="s">
        <v>11</v>
      </c>
      <c r="AT124" t="s">
        <v>11</v>
      </c>
      <c r="AU124" t="s">
        <v>11</v>
      </c>
      <c r="AV124" t="s">
        <v>11</v>
      </c>
      <c r="AW124" t="s">
        <v>11</v>
      </c>
      <c r="AX124" t="s">
        <v>11</v>
      </c>
      <c r="AY124" t="s">
        <v>11</v>
      </c>
      <c r="AZ124" t="s">
        <v>11</v>
      </c>
      <c r="BA124" t="s">
        <v>11</v>
      </c>
      <c r="BB124" t="s">
        <v>11</v>
      </c>
      <c r="BC124" t="s">
        <v>11</v>
      </c>
      <c r="BD124" t="s">
        <v>11</v>
      </c>
      <c r="BE124" t="s">
        <v>11</v>
      </c>
      <c r="BF124" t="s">
        <v>11</v>
      </c>
      <c r="BG124" t="s">
        <v>11</v>
      </c>
      <c r="BH124" t="s">
        <v>1051</v>
      </c>
      <c r="BI124" t="s">
        <v>1046</v>
      </c>
      <c r="BJ124" t="s">
        <v>1052</v>
      </c>
      <c r="BK124" t="s">
        <v>1053</v>
      </c>
    </row>
    <row r="125" spans="1:63" x14ac:dyDescent="0.3">
      <c r="A125" t="s">
        <v>1054</v>
      </c>
      <c r="B125" t="s">
        <v>514</v>
      </c>
      <c r="C125" t="s">
        <v>1055</v>
      </c>
      <c r="D125" t="s">
        <v>1056</v>
      </c>
      <c r="E125" t="s">
        <v>995</v>
      </c>
      <c r="F125">
        <v>135</v>
      </c>
      <c r="G125">
        <v>18</v>
      </c>
      <c r="H125">
        <v>54.3</v>
      </c>
      <c r="I125">
        <v>4.3</v>
      </c>
      <c r="J125">
        <v>15.7</v>
      </c>
      <c r="L125">
        <v>7.7</v>
      </c>
      <c r="AF125">
        <v>8.0310129999999997</v>
      </c>
      <c r="AI125" t="s">
        <v>0</v>
      </c>
      <c r="AJ125" t="s">
        <v>1057</v>
      </c>
      <c r="AK125" t="s">
        <v>11</v>
      </c>
      <c r="AL125" t="s">
        <v>1058</v>
      </c>
      <c r="AM125" t="s">
        <v>1059</v>
      </c>
      <c r="AN125" t="s">
        <v>11</v>
      </c>
      <c r="AO125" t="s">
        <v>11</v>
      </c>
      <c r="AP125" t="s">
        <v>11</v>
      </c>
      <c r="AQ125" t="s">
        <v>1060</v>
      </c>
      <c r="AR125" t="s">
        <v>11</v>
      </c>
      <c r="AS125" t="s">
        <v>11</v>
      </c>
      <c r="AT125" t="s">
        <v>11</v>
      </c>
      <c r="AU125" t="s">
        <v>11</v>
      </c>
      <c r="AV125" t="s">
        <v>11</v>
      </c>
      <c r="AW125" t="s">
        <v>11</v>
      </c>
      <c r="AX125" t="s">
        <v>11</v>
      </c>
      <c r="AY125" t="s">
        <v>11</v>
      </c>
      <c r="AZ125" t="s">
        <v>11</v>
      </c>
      <c r="BA125" t="s">
        <v>11</v>
      </c>
      <c r="BB125" t="s">
        <v>11</v>
      </c>
      <c r="BC125" t="s">
        <v>11</v>
      </c>
      <c r="BD125" t="s">
        <v>11</v>
      </c>
      <c r="BE125" t="s">
        <v>11</v>
      </c>
      <c r="BF125" t="s">
        <v>11</v>
      </c>
      <c r="BG125" t="s">
        <v>11</v>
      </c>
      <c r="BH125" t="s">
        <v>1061</v>
      </c>
      <c r="BI125" t="s">
        <v>1054</v>
      </c>
      <c r="BJ125" t="s">
        <v>1062</v>
      </c>
      <c r="BK125" t="s">
        <v>1063</v>
      </c>
    </row>
    <row r="126" spans="1:63" x14ac:dyDescent="0.3">
      <c r="A126" t="s">
        <v>1064</v>
      </c>
      <c r="B126" t="s">
        <v>514</v>
      </c>
      <c r="C126" t="s">
        <v>1065</v>
      </c>
      <c r="D126" t="s">
        <v>1066</v>
      </c>
      <c r="E126" t="s">
        <v>995</v>
      </c>
      <c r="F126">
        <v>136</v>
      </c>
      <c r="G126">
        <v>39.000000000000007</v>
      </c>
      <c r="H126">
        <v>39.799999999999997</v>
      </c>
      <c r="I126">
        <v>2.8</v>
      </c>
      <c r="J126">
        <v>10.8</v>
      </c>
      <c r="L126">
        <v>7.6</v>
      </c>
      <c r="AF126">
        <v>8.211036</v>
      </c>
      <c r="AI126" t="s">
        <v>0</v>
      </c>
      <c r="AJ126" t="s">
        <v>1067</v>
      </c>
      <c r="AK126" t="s">
        <v>11</v>
      </c>
      <c r="AL126" t="s">
        <v>1068</v>
      </c>
      <c r="AM126" t="s">
        <v>86</v>
      </c>
      <c r="AN126" t="s">
        <v>11</v>
      </c>
      <c r="AO126" t="s">
        <v>11</v>
      </c>
      <c r="AP126" t="s">
        <v>11</v>
      </c>
      <c r="AQ126" t="s">
        <v>1069</v>
      </c>
      <c r="AR126" t="s">
        <v>11</v>
      </c>
      <c r="AS126" t="s">
        <v>11</v>
      </c>
      <c r="AT126" t="s">
        <v>11</v>
      </c>
      <c r="AU126" t="s">
        <v>11</v>
      </c>
      <c r="AV126" t="s">
        <v>11</v>
      </c>
      <c r="AW126" t="s">
        <v>11</v>
      </c>
      <c r="AX126" t="s">
        <v>11</v>
      </c>
      <c r="AY126" t="s">
        <v>11</v>
      </c>
      <c r="AZ126" t="s">
        <v>11</v>
      </c>
      <c r="BA126" t="s">
        <v>11</v>
      </c>
      <c r="BB126" t="s">
        <v>11</v>
      </c>
      <c r="BC126" t="s">
        <v>11</v>
      </c>
      <c r="BD126" t="s">
        <v>11</v>
      </c>
      <c r="BE126" t="s">
        <v>11</v>
      </c>
      <c r="BF126" t="s">
        <v>11</v>
      </c>
      <c r="BG126" t="s">
        <v>11</v>
      </c>
      <c r="BH126" t="s">
        <v>1070</v>
      </c>
      <c r="BI126" t="s">
        <v>1064</v>
      </c>
      <c r="BJ126" t="s">
        <v>1071</v>
      </c>
      <c r="BK126" t="s">
        <v>1072</v>
      </c>
    </row>
    <row r="127" spans="1:63" x14ac:dyDescent="0.3">
      <c r="A127" t="s">
        <v>1073</v>
      </c>
      <c r="B127" t="s">
        <v>514</v>
      </c>
      <c r="C127" t="s">
        <v>1074</v>
      </c>
      <c r="D127" t="s">
        <v>1075</v>
      </c>
      <c r="E127" t="s">
        <v>995</v>
      </c>
      <c r="F127">
        <v>137</v>
      </c>
      <c r="G127">
        <v>19.5</v>
      </c>
      <c r="H127">
        <v>59.5</v>
      </c>
      <c r="I127">
        <v>4.5</v>
      </c>
      <c r="J127">
        <v>10.9</v>
      </c>
      <c r="L127">
        <v>5.6</v>
      </c>
      <c r="AF127">
        <v>8.1933620000000005</v>
      </c>
      <c r="AI127" t="s">
        <v>0</v>
      </c>
      <c r="AJ127" t="s">
        <v>518</v>
      </c>
      <c r="AK127" t="s">
        <v>11</v>
      </c>
      <c r="AL127" t="s">
        <v>1076</v>
      </c>
      <c r="AM127" t="s">
        <v>1007</v>
      </c>
      <c r="AN127" t="s">
        <v>11</v>
      </c>
      <c r="AO127" t="s">
        <v>11</v>
      </c>
      <c r="AP127" t="s">
        <v>11</v>
      </c>
      <c r="AQ127" t="s">
        <v>1077</v>
      </c>
      <c r="AR127" t="s">
        <v>11</v>
      </c>
      <c r="AS127" t="s">
        <v>11</v>
      </c>
      <c r="AT127" t="s">
        <v>11</v>
      </c>
      <c r="AU127" t="s">
        <v>11</v>
      </c>
      <c r="AV127" t="s">
        <v>11</v>
      </c>
      <c r="AW127" t="s">
        <v>11</v>
      </c>
      <c r="AX127" t="s">
        <v>11</v>
      </c>
      <c r="AY127" t="s">
        <v>11</v>
      </c>
      <c r="AZ127" t="s">
        <v>11</v>
      </c>
      <c r="BA127" t="s">
        <v>11</v>
      </c>
      <c r="BB127" t="s">
        <v>11</v>
      </c>
      <c r="BC127" t="s">
        <v>11</v>
      </c>
      <c r="BD127" t="s">
        <v>11</v>
      </c>
      <c r="BE127" t="s">
        <v>11</v>
      </c>
      <c r="BF127" t="s">
        <v>11</v>
      </c>
      <c r="BG127" t="s">
        <v>11</v>
      </c>
      <c r="BH127" t="s">
        <v>1078</v>
      </c>
      <c r="BI127" t="s">
        <v>1073</v>
      </c>
      <c r="BJ127" t="s">
        <v>1079</v>
      </c>
      <c r="BK127" t="s">
        <v>1080</v>
      </c>
    </row>
    <row r="128" spans="1:63" x14ac:dyDescent="0.3">
      <c r="A128" t="s">
        <v>1081</v>
      </c>
      <c r="B128" t="s">
        <v>514</v>
      </c>
      <c r="C128" t="s">
        <v>1082</v>
      </c>
      <c r="D128" t="s">
        <v>1083</v>
      </c>
      <c r="E128" t="s">
        <v>995</v>
      </c>
      <c r="F128">
        <v>138</v>
      </c>
      <c r="G128">
        <v>24.700000000000003</v>
      </c>
      <c r="H128">
        <v>51.2</v>
      </c>
      <c r="I128">
        <v>6</v>
      </c>
      <c r="J128">
        <v>12.6</v>
      </c>
      <c r="L128">
        <v>5.5</v>
      </c>
      <c r="AF128">
        <v>8.0750209999999996</v>
      </c>
      <c r="AI128" t="s">
        <v>0</v>
      </c>
      <c r="AJ128" t="s">
        <v>926</v>
      </c>
      <c r="AK128" t="s">
        <v>11</v>
      </c>
      <c r="AL128" t="s">
        <v>1084</v>
      </c>
      <c r="AM128" t="s">
        <v>1085</v>
      </c>
      <c r="AN128" t="s">
        <v>11</v>
      </c>
      <c r="AO128" t="s">
        <v>11</v>
      </c>
      <c r="AP128" t="s">
        <v>11</v>
      </c>
      <c r="AQ128" t="s">
        <v>1086</v>
      </c>
      <c r="AR128" t="s">
        <v>11</v>
      </c>
      <c r="AS128" t="s">
        <v>11</v>
      </c>
      <c r="AT128" t="s">
        <v>11</v>
      </c>
      <c r="AU128" t="s">
        <v>11</v>
      </c>
      <c r="AV128" t="s">
        <v>11</v>
      </c>
      <c r="AW128" t="s">
        <v>11</v>
      </c>
      <c r="AX128" t="s">
        <v>11</v>
      </c>
      <c r="AY128" t="s">
        <v>11</v>
      </c>
      <c r="AZ128" t="s">
        <v>11</v>
      </c>
      <c r="BA128" t="s">
        <v>11</v>
      </c>
      <c r="BB128" t="s">
        <v>11</v>
      </c>
      <c r="BC128" t="s">
        <v>11</v>
      </c>
      <c r="BD128" t="s">
        <v>11</v>
      </c>
      <c r="BE128" t="s">
        <v>11</v>
      </c>
      <c r="BF128" t="s">
        <v>11</v>
      </c>
      <c r="BG128" t="s">
        <v>11</v>
      </c>
      <c r="BH128" t="s">
        <v>1087</v>
      </c>
      <c r="BI128" t="s">
        <v>1081</v>
      </c>
      <c r="BJ128" t="s">
        <v>1088</v>
      </c>
      <c r="BK128" t="s">
        <v>1089</v>
      </c>
    </row>
    <row r="129" spans="1:63" x14ac:dyDescent="0.3">
      <c r="A129" t="s">
        <v>1090</v>
      </c>
      <c r="B129" t="s">
        <v>514</v>
      </c>
      <c r="C129" t="s">
        <v>1091</v>
      </c>
      <c r="D129" t="s">
        <v>1092</v>
      </c>
      <c r="E129" t="s">
        <v>995</v>
      </c>
      <c r="F129">
        <v>139</v>
      </c>
      <c r="G129">
        <v>58.6</v>
      </c>
      <c r="H129">
        <v>19.7</v>
      </c>
      <c r="I129">
        <v>5.4</v>
      </c>
      <c r="J129">
        <v>11</v>
      </c>
      <c r="L129">
        <v>5.3</v>
      </c>
      <c r="AF129">
        <v>8.1458470000000016</v>
      </c>
      <c r="AI129" t="s">
        <v>0</v>
      </c>
      <c r="AJ129" t="s">
        <v>527</v>
      </c>
      <c r="AK129" t="s">
        <v>11</v>
      </c>
      <c r="AL129" t="s">
        <v>1093</v>
      </c>
      <c r="AM129" t="s">
        <v>1094</v>
      </c>
      <c r="AN129" t="s">
        <v>11</v>
      </c>
      <c r="AO129" t="s">
        <v>11</v>
      </c>
      <c r="AP129" t="s">
        <v>11</v>
      </c>
      <c r="AQ129" t="s">
        <v>1095</v>
      </c>
      <c r="AR129" t="s">
        <v>11</v>
      </c>
      <c r="AS129" t="s">
        <v>11</v>
      </c>
      <c r="AT129" t="s">
        <v>11</v>
      </c>
      <c r="AU129" t="s">
        <v>11</v>
      </c>
      <c r="AV129" t="s">
        <v>11</v>
      </c>
      <c r="AW129" t="s">
        <v>11</v>
      </c>
      <c r="AX129" t="s">
        <v>11</v>
      </c>
      <c r="AY129" t="s">
        <v>11</v>
      </c>
      <c r="AZ129" t="s">
        <v>11</v>
      </c>
      <c r="BA129" t="s">
        <v>11</v>
      </c>
      <c r="BB129" t="s">
        <v>11</v>
      </c>
      <c r="BC129" t="s">
        <v>11</v>
      </c>
      <c r="BD129" t="s">
        <v>11</v>
      </c>
      <c r="BE129" t="s">
        <v>11</v>
      </c>
      <c r="BF129" t="s">
        <v>11</v>
      </c>
      <c r="BG129" t="s">
        <v>11</v>
      </c>
      <c r="BH129" t="s">
        <v>1096</v>
      </c>
      <c r="BI129" t="s">
        <v>1090</v>
      </c>
      <c r="BJ129" t="s">
        <v>1097</v>
      </c>
      <c r="BK129" t="s">
        <v>1098</v>
      </c>
    </row>
    <row r="130" spans="1:63" x14ac:dyDescent="0.3">
      <c r="A130" t="s">
        <v>1099</v>
      </c>
      <c r="B130" t="s">
        <v>514</v>
      </c>
      <c r="C130" t="s">
        <v>1100</v>
      </c>
      <c r="D130" t="s">
        <v>1101</v>
      </c>
      <c r="E130" t="s">
        <v>995</v>
      </c>
      <c r="F130">
        <v>140</v>
      </c>
      <c r="G130">
        <v>39.1</v>
      </c>
      <c r="H130">
        <v>39.200000000000003</v>
      </c>
      <c r="I130">
        <v>5.9</v>
      </c>
      <c r="J130">
        <v>10.5</v>
      </c>
      <c r="L130">
        <v>5.3</v>
      </c>
      <c r="AF130">
        <v>8.1249570000000002</v>
      </c>
      <c r="AI130" t="s">
        <v>0</v>
      </c>
      <c r="AJ130" t="s">
        <v>615</v>
      </c>
      <c r="AK130" t="s">
        <v>11</v>
      </c>
      <c r="AL130" t="s">
        <v>1102</v>
      </c>
      <c r="AM130" t="s">
        <v>1103</v>
      </c>
      <c r="AN130" t="s">
        <v>11</v>
      </c>
      <c r="AO130" t="s">
        <v>11</v>
      </c>
      <c r="AP130" t="s">
        <v>11</v>
      </c>
      <c r="AQ130" t="s">
        <v>1095</v>
      </c>
      <c r="AR130" t="s">
        <v>11</v>
      </c>
      <c r="AS130" t="s">
        <v>11</v>
      </c>
      <c r="AT130" t="s">
        <v>11</v>
      </c>
      <c r="AU130" t="s">
        <v>11</v>
      </c>
      <c r="AV130" t="s">
        <v>11</v>
      </c>
      <c r="AW130" t="s">
        <v>11</v>
      </c>
      <c r="AX130" t="s">
        <v>11</v>
      </c>
      <c r="AY130" t="s">
        <v>11</v>
      </c>
      <c r="AZ130" t="s">
        <v>11</v>
      </c>
      <c r="BA130" t="s">
        <v>11</v>
      </c>
      <c r="BB130" t="s">
        <v>11</v>
      </c>
      <c r="BC130" t="s">
        <v>11</v>
      </c>
      <c r="BD130" t="s">
        <v>11</v>
      </c>
      <c r="BE130" t="s">
        <v>11</v>
      </c>
      <c r="BF130" t="s">
        <v>11</v>
      </c>
      <c r="BG130" t="s">
        <v>11</v>
      </c>
      <c r="BH130" t="s">
        <v>1104</v>
      </c>
      <c r="BI130" t="s">
        <v>1099</v>
      </c>
      <c r="BJ130" t="s">
        <v>1105</v>
      </c>
      <c r="BK130" t="s">
        <v>1106</v>
      </c>
    </row>
    <row r="131" spans="1:63" x14ac:dyDescent="0.3">
      <c r="A131" t="s">
        <v>1107</v>
      </c>
      <c r="B131" t="s">
        <v>514</v>
      </c>
      <c r="C131" t="s">
        <v>1108</v>
      </c>
      <c r="D131" t="s">
        <v>1109</v>
      </c>
      <c r="E131" t="s">
        <v>995</v>
      </c>
      <c r="F131">
        <v>141</v>
      </c>
      <c r="G131">
        <v>18.299999999999997</v>
      </c>
      <c r="H131">
        <v>54.9</v>
      </c>
      <c r="I131">
        <v>5.6</v>
      </c>
      <c r="J131">
        <v>15.9</v>
      </c>
      <c r="L131">
        <v>5.3</v>
      </c>
      <c r="AF131">
        <v>8.0524729999999991</v>
      </c>
      <c r="AI131" t="s">
        <v>0</v>
      </c>
      <c r="AJ131" t="s">
        <v>1110</v>
      </c>
      <c r="AK131" t="s">
        <v>11</v>
      </c>
      <c r="AL131" t="s">
        <v>1111</v>
      </c>
      <c r="AM131" t="s">
        <v>1112</v>
      </c>
      <c r="AN131" t="s">
        <v>11</v>
      </c>
      <c r="AO131" t="s">
        <v>11</v>
      </c>
      <c r="AP131" t="s">
        <v>11</v>
      </c>
      <c r="AQ131" t="s">
        <v>1095</v>
      </c>
      <c r="AR131" t="s">
        <v>11</v>
      </c>
      <c r="AS131" t="s">
        <v>11</v>
      </c>
      <c r="AT131" t="s">
        <v>11</v>
      </c>
      <c r="AU131" t="s">
        <v>11</v>
      </c>
      <c r="AV131" t="s">
        <v>11</v>
      </c>
      <c r="AW131" t="s">
        <v>11</v>
      </c>
      <c r="AX131" t="s">
        <v>11</v>
      </c>
      <c r="AY131" t="s">
        <v>11</v>
      </c>
      <c r="AZ131" t="s">
        <v>11</v>
      </c>
      <c r="BA131" t="s">
        <v>11</v>
      </c>
      <c r="BB131" t="s">
        <v>11</v>
      </c>
      <c r="BC131" t="s">
        <v>11</v>
      </c>
      <c r="BD131" t="s">
        <v>11</v>
      </c>
      <c r="BE131" t="s">
        <v>11</v>
      </c>
      <c r="BF131" t="s">
        <v>11</v>
      </c>
      <c r="BG131" t="s">
        <v>11</v>
      </c>
      <c r="BH131" t="s">
        <v>1113</v>
      </c>
      <c r="BI131" t="s">
        <v>1107</v>
      </c>
      <c r="BJ131" t="s">
        <v>1114</v>
      </c>
      <c r="BK131" t="s">
        <v>1115</v>
      </c>
    </row>
    <row r="132" spans="1:63" x14ac:dyDescent="0.3">
      <c r="A132" t="s">
        <v>1116</v>
      </c>
      <c r="B132" t="s">
        <v>514</v>
      </c>
      <c r="C132" t="s">
        <v>1117</v>
      </c>
      <c r="D132" t="s">
        <v>1118</v>
      </c>
      <c r="E132" t="s">
        <v>995</v>
      </c>
      <c r="F132">
        <v>142</v>
      </c>
      <c r="G132">
        <v>55.399999999999991</v>
      </c>
      <c r="H132">
        <v>18.3</v>
      </c>
      <c r="I132">
        <v>5</v>
      </c>
      <c r="J132">
        <v>16.100000000000001</v>
      </c>
      <c r="L132">
        <v>5.2</v>
      </c>
      <c r="AF132">
        <v>8.0877180000000006</v>
      </c>
      <c r="AI132" t="s">
        <v>0</v>
      </c>
      <c r="AJ132" t="s">
        <v>735</v>
      </c>
      <c r="AK132" t="s">
        <v>11</v>
      </c>
      <c r="AL132" t="s">
        <v>1049</v>
      </c>
      <c r="AM132" t="s">
        <v>1119</v>
      </c>
      <c r="AN132" t="s">
        <v>11</v>
      </c>
      <c r="AO132" t="s">
        <v>11</v>
      </c>
      <c r="AP132" t="s">
        <v>11</v>
      </c>
      <c r="AQ132" t="s">
        <v>1120</v>
      </c>
      <c r="AR132" t="s">
        <v>11</v>
      </c>
      <c r="AS132" t="s">
        <v>11</v>
      </c>
      <c r="AT132" t="s">
        <v>11</v>
      </c>
      <c r="AU132" t="s">
        <v>11</v>
      </c>
      <c r="AV132" t="s">
        <v>11</v>
      </c>
      <c r="AW132" t="s">
        <v>11</v>
      </c>
      <c r="AX132" t="s">
        <v>11</v>
      </c>
      <c r="AY132" t="s">
        <v>11</v>
      </c>
      <c r="AZ132" t="s">
        <v>11</v>
      </c>
      <c r="BA132" t="s">
        <v>11</v>
      </c>
      <c r="BB132" t="s">
        <v>11</v>
      </c>
      <c r="BC132" t="s">
        <v>11</v>
      </c>
      <c r="BD132" t="s">
        <v>11</v>
      </c>
      <c r="BE132" t="s">
        <v>11</v>
      </c>
      <c r="BF132" t="s">
        <v>11</v>
      </c>
      <c r="BG132" t="s">
        <v>11</v>
      </c>
      <c r="BH132" t="s">
        <v>1121</v>
      </c>
      <c r="BI132" t="s">
        <v>1116</v>
      </c>
      <c r="BJ132" t="s">
        <v>1122</v>
      </c>
      <c r="BK132" t="s">
        <v>1123</v>
      </c>
    </row>
    <row r="133" spans="1:63" x14ac:dyDescent="0.3">
      <c r="A133" t="s">
        <v>1124</v>
      </c>
      <c r="B133" t="s">
        <v>514</v>
      </c>
      <c r="C133" t="s">
        <v>1125</v>
      </c>
      <c r="D133" t="s">
        <v>1126</v>
      </c>
      <c r="E133" t="s">
        <v>995</v>
      </c>
      <c r="F133">
        <v>143</v>
      </c>
      <c r="G133">
        <v>36.5</v>
      </c>
      <c r="H133">
        <v>36.799999999999997</v>
      </c>
      <c r="I133">
        <v>5.4</v>
      </c>
      <c r="J133">
        <v>16.100000000000001</v>
      </c>
      <c r="L133">
        <v>5.2</v>
      </c>
      <c r="AF133">
        <v>8.0643980000000006</v>
      </c>
      <c r="AI133" t="s">
        <v>0</v>
      </c>
      <c r="AJ133" t="s">
        <v>527</v>
      </c>
      <c r="AK133" t="s">
        <v>11</v>
      </c>
      <c r="AL133" t="s">
        <v>1127</v>
      </c>
      <c r="AM133" t="s">
        <v>1119</v>
      </c>
      <c r="AN133" t="s">
        <v>11</v>
      </c>
      <c r="AO133" t="s">
        <v>11</v>
      </c>
      <c r="AP133" t="s">
        <v>11</v>
      </c>
      <c r="AQ133" t="s">
        <v>1120</v>
      </c>
      <c r="AR133" t="s">
        <v>11</v>
      </c>
      <c r="AS133" t="s">
        <v>11</v>
      </c>
      <c r="AT133" t="s">
        <v>11</v>
      </c>
      <c r="AU133" t="s">
        <v>11</v>
      </c>
      <c r="AV133" t="s">
        <v>11</v>
      </c>
      <c r="AW133" t="s">
        <v>11</v>
      </c>
      <c r="AX133" t="s">
        <v>11</v>
      </c>
      <c r="AY133" t="s">
        <v>11</v>
      </c>
      <c r="AZ133" t="s">
        <v>11</v>
      </c>
      <c r="BA133" t="s">
        <v>11</v>
      </c>
      <c r="BB133" t="s">
        <v>11</v>
      </c>
      <c r="BC133" t="s">
        <v>11</v>
      </c>
      <c r="BD133" t="s">
        <v>11</v>
      </c>
      <c r="BE133" t="s">
        <v>11</v>
      </c>
      <c r="BF133" t="s">
        <v>11</v>
      </c>
      <c r="BG133" t="s">
        <v>11</v>
      </c>
      <c r="BH133" t="s">
        <v>1128</v>
      </c>
      <c r="BI133" t="s">
        <v>1124</v>
      </c>
      <c r="BJ133" t="s">
        <v>1129</v>
      </c>
      <c r="BK133" t="s">
        <v>1130</v>
      </c>
    </row>
    <row r="134" spans="1:63" x14ac:dyDescent="0.3">
      <c r="A134" t="s">
        <v>1131</v>
      </c>
      <c r="B134" t="s">
        <v>514</v>
      </c>
      <c r="C134" t="s">
        <v>1132</v>
      </c>
      <c r="D134" t="s">
        <v>1133</v>
      </c>
      <c r="E134" t="s">
        <v>995</v>
      </c>
      <c r="F134">
        <v>144</v>
      </c>
      <c r="G134">
        <v>33.5</v>
      </c>
      <c r="H134">
        <v>34.4</v>
      </c>
      <c r="I134">
        <v>5.7</v>
      </c>
      <c r="J134">
        <v>21.2</v>
      </c>
      <c r="L134">
        <v>5.2</v>
      </c>
      <c r="AF134">
        <v>7.9583960000000005</v>
      </c>
      <c r="AI134" t="s">
        <v>0</v>
      </c>
      <c r="AJ134" t="s">
        <v>607</v>
      </c>
      <c r="AK134" t="s">
        <v>11</v>
      </c>
      <c r="AL134" t="s">
        <v>1134</v>
      </c>
      <c r="AM134" t="s">
        <v>1135</v>
      </c>
      <c r="AN134" t="s">
        <v>11</v>
      </c>
      <c r="AO134" t="s">
        <v>11</v>
      </c>
      <c r="AP134" t="s">
        <v>11</v>
      </c>
      <c r="AQ134" t="s">
        <v>1120</v>
      </c>
      <c r="AR134" t="s">
        <v>11</v>
      </c>
      <c r="AS134" t="s">
        <v>11</v>
      </c>
      <c r="AT134" t="s">
        <v>11</v>
      </c>
      <c r="AU134" t="s">
        <v>11</v>
      </c>
      <c r="AV134" t="s">
        <v>11</v>
      </c>
      <c r="AW134" t="s">
        <v>11</v>
      </c>
      <c r="AX134" t="s">
        <v>11</v>
      </c>
      <c r="AY134" t="s">
        <v>11</v>
      </c>
      <c r="AZ134" t="s">
        <v>11</v>
      </c>
      <c r="BA134" t="s">
        <v>11</v>
      </c>
      <c r="BB134" t="s">
        <v>11</v>
      </c>
      <c r="BC134" t="s">
        <v>11</v>
      </c>
      <c r="BD134" t="s">
        <v>11</v>
      </c>
      <c r="BE134" t="s">
        <v>11</v>
      </c>
      <c r="BF134" t="s">
        <v>11</v>
      </c>
      <c r="BG134" t="s">
        <v>11</v>
      </c>
      <c r="BH134" t="s">
        <v>1136</v>
      </c>
      <c r="BI134" t="s">
        <v>1131</v>
      </c>
      <c r="BJ134" t="s">
        <v>1137</v>
      </c>
      <c r="BK134" t="s">
        <v>1138</v>
      </c>
    </row>
    <row r="135" spans="1:63" x14ac:dyDescent="0.3">
      <c r="A135" t="s">
        <v>1139</v>
      </c>
      <c r="B135" t="s">
        <v>5</v>
      </c>
      <c r="C135" t="s">
        <v>1140</v>
      </c>
      <c r="D135" t="s">
        <v>1141</v>
      </c>
      <c r="E135" t="s">
        <v>995</v>
      </c>
      <c r="F135">
        <v>145</v>
      </c>
      <c r="G135">
        <v>51.1</v>
      </c>
      <c r="H135">
        <v>17</v>
      </c>
      <c r="I135">
        <v>5.5</v>
      </c>
      <c r="J135">
        <v>21.4</v>
      </c>
      <c r="L135">
        <v>5</v>
      </c>
      <c r="AF135">
        <v>7.9747699999999995</v>
      </c>
      <c r="AI135" t="s">
        <v>0</v>
      </c>
      <c r="AJ135" t="s">
        <v>1142</v>
      </c>
      <c r="AK135" t="s">
        <v>11</v>
      </c>
      <c r="AL135" t="s">
        <v>1143</v>
      </c>
      <c r="AM135" t="s">
        <v>1144</v>
      </c>
      <c r="AN135" t="s">
        <v>11</v>
      </c>
      <c r="AO135" t="s">
        <v>11</v>
      </c>
      <c r="AP135" t="s">
        <v>11</v>
      </c>
      <c r="AQ135" t="s">
        <v>1145</v>
      </c>
      <c r="AR135" t="s">
        <v>11</v>
      </c>
      <c r="AS135" t="s">
        <v>11</v>
      </c>
      <c r="AT135" t="s">
        <v>11</v>
      </c>
      <c r="AU135" t="s">
        <v>11</v>
      </c>
      <c r="AV135" t="s">
        <v>11</v>
      </c>
      <c r="AW135" t="s">
        <v>11</v>
      </c>
      <c r="AX135" t="s">
        <v>11</v>
      </c>
      <c r="AY135" t="s">
        <v>11</v>
      </c>
      <c r="AZ135" t="s">
        <v>11</v>
      </c>
      <c r="BA135" t="s">
        <v>11</v>
      </c>
      <c r="BB135" t="s">
        <v>11</v>
      </c>
      <c r="BC135" t="s">
        <v>11</v>
      </c>
      <c r="BD135" t="s">
        <v>11</v>
      </c>
      <c r="BE135" t="s">
        <v>11</v>
      </c>
      <c r="BF135" t="s">
        <v>11</v>
      </c>
      <c r="BG135" t="s">
        <v>11</v>
      </c>
      <c r="BH135" t="s">
        <v>1146</v>
      </c>
      <c r="BI135" t="s">
        <v>1139</v>
      </c>
      <c r="BJ135" t="s">
        <v>1147</v>
      </c>
      <c r="BK135" t="s">
        <v>1148</v>
      </c>
    </row>
    <row r="136" spans="1:63" x14ac:dyDescent="0.3">
      <c r="A136" t="s">
        <v>1149</v>
      </c>
      <c r="B136" t="s">
        <v>5</v>
      </c>
      <c r="C136" t="s">
        <v>1150</v>
      </c>
      <c r="D136" t="s">
        <v>1151</v>
      </c>
      <c r="E136" t="s">
        <v>995</v>
      </c>
      <c r="F136">
        <v>146</v>
      </c>
      <c r="G136">
        <v>19.599999999999994</v>
      </c>
      <c r="H136">
        <v>58.4</v>
      </c>
      <c r="I136">
        <v>8.6</v>
      </c>
      <c r="J136">
        <v>10.7</v>
      </c>
      <c r="L136">
        <v>2.7</v>
      </c>
      <c r="AF136">
        <v>8.0698909999999984</v>
      </c>
      <c r="AI136" t="s">
        <v>0</v>
      </c>
      <c r="AJ136" t="s">
        <v>234</v>
      </c>
      <c r="AK136" t="s">
        <v>11</v>
      </c>
      <c r="AL136" t="s">
        <v>1152</v>
      </c>
      <c r="AM136" t="s">
        <v>73</v>
      </c>
      <c r="AN136" t="s">
        <v>11</v>
      </c>
      <c r="AO136" t="s">
        <v>11</v>
      </c>
      <c r="AP136" t="s">
        <v>11</v>
      </c>
      <c r="AQ136" t="s">
        <v>1153</v>
      </c>
      <c r="AR136" t="s">
        <v>11</v>
      </c>
      <c r="AS136" t="s">
        <v>11</v>
      </c>
      <c r="AT136" t="s">
        <v>11</v>
      </c>
      <c r="AU136" t="s">
        <v>11</v>
      </c>
      <c r="AV136" t="s">
        <v>11</v>
      </c>
      <c r="AW136" t="s">
        <v>11</v>
      </c>
      <c r="AX136" t="s">
        <v>11</v>
      </c>
      <c r="AY136" t="s">
        <v>11</v>
      </c>
      <c r="AZ136" t="s">
        <v>11</v>
      </c>
      <c r="BA136" t="s">
        <v>11</v>
      </c>
      <c r="BB136" t="s">
        <v>11</v>
      </c>
      <c r="BC136" t="s">
        <v>11</v>
      </c>
      <c r="BD136" t="s">
        <v>11</v>
      </c>
      <c r="BE136" t="s">
        <v>11</v>
      </c>
      <c r="BF136" t="s">
        <v>11</v>
      </c>
      <c r="BG136" t="s">
        <v>11</v>
      </c>
      <c r="BH136" t="s">
        <v>1154</v>
      </c>
      <c r="BI136" t="s">
        <v>1149</v>
      </c>
      <c r="BJ136" t="s">
        <v>1155</v>
      </c>
      <c r="BK136" t="s">
        <v>1156</v>
      </c>
    </row>
    <row r="137" spans="1:63" x14ac:dyDescent="0.3">
      <c r="A137" t="s">
        <v>1157</v>
      </c>
      <c r="B137" t="s">
        <v>5</v>
      </c>
      <c r="C137" t="s">
        <v>1158</v>
      </c>
      <c r="D137" t="s">
        <v>1159</v>
      </c>
      <c r="E137" t="s">
        <v>995</v>
      </c>
      <c r="F137">
        <v>147</v>
      </c>
      <c r="G137">
        <v>54.699999999999996</v>
      </c>
      <c r="H137">
        <v>19</v>
      </c>
      <c r="I137">
        <v>7.1</v>
      </c>
      <c r="J137">
        <v>16.5</v>
      </c>
      <c r="L137">
        <v>2.7</v>
      </c>
      <c r="AF137">
        <v>8.0605589999999996</v>
      </c>
      <c r="AI137" t="s">
        <v>0</v>
      </c>
      <c r="AJ137" t="s">
        <v>1160</v>
      </c>
      <c r="AK137" t="s">
        <v>11</v>
      </c>
      <c r="AL137" t="s">
        <v>1161</v>
      </c>
      <c r="AM137" t="s">
        <v>253</v>
      </c>
      <c r="AN137" t="s">
        <v>11</v>
      </c>
      <c r="AO137" t="s">
        <v>11</v>
      </c>
      <c r="AP137" t="s">
        <v>11</v>
      </c>
      <c r="AQ137" t="s">
        <v>1153</v>
      </c>
      <c r="AR137" t="s">
        <v>11</v>
      </c>
      <c r="AS137" t="s">
        <v>11</v>
      </c>
      <c r="AT137" t="s">
        <v>11</v>
      </c>
      <c r="AU137" t="s">
        <v>11</v>
      </c>
      <c r="AV137" t="s">
        <v>11</v>
      </c>
      <c r="AW137" t="s">
        <v>11</v>
      </c>
      <c r="AX137" t="s">
        <v>11</v>
      </c>
      <c r="AY137" t="s">
        <v>11</v>
      </c>
      <c r="AZ137" t="s">
        <v>11</v>
      </c>
      <c r="BA137" t="s">
        <v>11</v>
      </c>
      <c r="BB137" t="s">
        <v>11</v>
      </c>
      <c r="BC137" t="s">
        <v>11</v>
      </c>
      <c r="BD137" t="s">
        <v>11</v>
      </c>
      <c r="BE137" t="s">
        <v>11</v>
      </c>
      <c r="BF137" t="s">
        <v>11</v>
      </c>
      <c r="BG137" t="s">
        <v>11</v>
      </c>
      <c r="BH137" t="s">
        <v>1162</v>
      </c>
      <c r="BI137" t="s">
        <v>1157</v>
      </c>
      <c r="BJ137" t="s">
        <v>1163</v>
      </c>
      <c r="BK137" t="s">
        <v>1164</v>
      </c>
    </row>
    <row r="138" spans="1:63" x14ac:dyDescent="0.3">
      <c r="A138" t="s">
        <v>1165</v>
      </c>
      <c r="B138" t="s">
        <v>5</v>
      </c>
      <c r="C138" t="s">
        <v>1166</v>
      </c>
      <c r="D138" t="s">
        <v>1167</v>
      </c>
      <c r="E138" t="s">
        <v>995</v>
      </c>
      <c r="F138">
        <v>148</v>
      </c>
      <c r="G138">
        <v>36.599999999999994</v>
      </c>
      <c r="H138">
        <v>36.1</v>
      </c>
      <c r="I138">
        <v>8.6</v>
      </c>
      <c r="J138">
        <v>16</v>
      </c>
      <c r="L138">
        <v>2.7</v>
      </c>
      <c r="AF138">
        <v>7.9774769999999986</v>
      </c>
      <c r="AI138" t="s">
        <v>0</v>
      </c>
      <c r="AJ138" t="s">
        <v>234</v>
      </c>
      <c r="AK138" t="s">
        <v>11</v>
      </c>
      <c r="AL138" t="s">
        <v>1168</v>
      </c>
      <c r="AM138" t="s">
        <v>1169</v>
      </c>
      <c r="AN138" t="s">
        <v>11</v>
      </c>
      <c r="AO138" t="s">
        <v>11</v>
      </c>
      <c r="AP138" t="s">
        <v>11</v>
      </c>
      <c r="AQ138" t="s">
        <v>1153</v>
      </c>
      <c r="AR138" t="s">
        <v>11</v>
      </c>
      <c r="AS138" t="s">
        <v>11</v>
      </c>
      <c r="AT138" t="s">
        <v>11</v>
      </c>
      <c r="AU138" t="s">
        <v>11</v>
      </c>
      <c r="AV138" t="s">
        <v>11</v>
      </c>
      <c r="AW138" t="s">
        <v>11</v>
      </c>
      <c r="AX138" t="s">
        <v>11</v>
      </c>
      <c r="AY138" t="s">
        <v>11</v>
      </c>
      <c r="AZ138" t="s">
        <v>11</v>
      </c>
      <c r="BA138" t="s">
        <v>11</v>
      </c>
      <c r="BB138" t="s">
        <v>11</v>
      </c>
      <c r="BC138" t="s">
        <v>11</v>
      </c>
      <c r="BD138" t="s">
        <v>11</v>
      </c>
      <c r="BE138" t="s">
        <v>11</v>
      </c>
      <c r="BF138" t="s">
        <v>11</v>
      </c>
      <c r="BG138" t="s">
        <v>11</v>
      </c>
      <c r="BH138" t="s">
        <v>1170</v>
      </c>
      <c r="BI138" t="s">
        <v>1165</v>
      </c>
      <c r="BJ138" t="s">
        <v>1171</v>
      </c>
      <c r="BK138" t="s">
        <v>1172</v>
      </c>
    </row>
    <row r="139" spans="1:63" x14ac:dyDescent="0.3">
      <c r="A139" t="s">
        <v>1173</v>
      </c>
      <c r="B139" t="s">
        <v>5</v>
      </c>
      <c r="C139" t="s">
        <v>1174</v>
      </c>
      <c r="D139" t="s">
        <v>1175</v>
      </c>
      <c r="E139" t="s">
        <v>995</v>
      </c>
      <c r="F139">
        <v>149</v>
      </c>
      <c r="G139">
        <v>18.399999999999991</v>
      </c>
      <c r="H139">
        <v>54.8</v>
      </c>
      <c r="I139">
        <v>8</v>
      </c>
      <c r="J139">
        <v>16.100000000000001</v>
      </c>
      <c r="L139">
        <v>2.7</v>
      </c>
      <c r="AF139">
        <v>8.0144629999999992</v>
      </c>
      <c r="AI139" t="s">
        <v>0</v>
      </c>
      <c r="AJ139" t="s">
        <v>164</v>
      </c>
      <c r="AK139" t="s">
        <v>11</v>
      </c>
      <c r="AL139" t="s">
        <v>1176</v>
      </c>
      <c r="AM139" t="s">
        <v>1119</v>
      </c>
      <c r="AN139" t="s">
        <v>11</v>
      </c>
      <c r="AO139" t="s">
        <v>11</v>
      </c>
      <c r="AP139" t="s">
        <v>11</v>
      </c>
      <c r="AQ139" t="s">
        <v>1153</v>
      </c>
      <c r="AR139" t="s">
        <v>11</v>
      </c>
      <c r="AS139" t="s">
        <v>11</v>
      </c>
      <c r="AT139" t="s">
        <v>11</v>
      </c>
      <c r="AU139" t="s">
        <v>11</v>
      </c>
      <c r="AV139" t="s">
        <v>11</v>
      </c>
      <c r="AW139" t="s">
        <v>11</v>
      </c>
      <c r="AX139" t="s">
        <v>11</v>
      </c>
      <c r="AY139" t="s">
        <v>11</v>
      </c>
      <c r="AZ139" t="s">
        <v>11</v>
      </c>
      <c r="BA139" t="s">
        <v>11</v>
      </c>
      <c r="BB139" t="s">
        <v>11</v>
      </c>
      <c r="BC139" t="s">
        <v>11</v>
      </c>
      <c r="BD139" t="s">
        <v>11</v>
      </c>
      <c r="BE139" t="s">
        <v>11</v>
      </c>
      <c r="BF139" t="s">
        <v>11</v>
      </c>
      <c r="BG139" t="s">
        <v>11</v>
      </c>
      <c r="BH139" t="s">
        <v>1177</v>
      </c>
      <c r="BI139" t="s">
        <v>1173</v>
      </c>
      <c r="BJ139" t="s">
        <v>1178</v>
      </c>
      <c r="BK139" t="s">
        <v>1179</v>
      </c>
    </row>
    <row r="140" spans="1:63" x14ac:dyDescent="0.3">
      <c r="A140" t="s">
        <v>1180</v>
      </c>
      <c r="B140" t="s">
        <v>5</v>
      </c>
      <c r="C140" t="s">
        <v>1181</v>
      </c>
      <c r="D140" t="s">
        <v>1182</v>
      </c>
      <c r="E140" t="s">
        <v>995</v>
      </c>
      <c r="F140">
        <v>150</v>
      </c>
      <c r="G140">
        <v>33.5</v>
      </c>
      <c r="H140">
        <v>34</v>
      </c>
      <c r="I140">
        <v>8.1999999999999993</v>
      </c>
      <c r="J140">
        <v>21.6</v>
      </c>
      <c r="L140">
        <v>2.7</v>
      </c>
      <c r="AF140">
        <v>7.9063490000000014</v>
      </c>
      <c r="AI140" t="s">
        <v>0</v>
      </c>
      <c r="AJ140" t="s">
        <v>194</v>
      </c>
      <c r="AK140" t="s">
        <v>11</v>
      </c>
      <c r="AL140" t="s">
        <v>1183</v>
      </c>
      <c r="AM140" t="s">
        <v>1184</v>
      </c>
      <c r="AN140" t="s">
        <v>11</v>
      </c>
      <c r="AO140" t="s">
        <v>11</v>
      </c>
      <c r="AP140" t="s">
        <v>11</v>
      </c>
      <c r="AQ140" t="s">
        <v>1153</v>
      </c>
      <c r="AR140" t="s">
        <v>11</v>
      </c>
      <c r="AS140" t="s">
        <v>11</v>
      </c>
      <c r="AT140" t="s">
        <v>11</v>
      </c>
      <c r="AU140" t="s">
        <v>11</v>
      </c>
      <c r="AV140" t="s">
        <v>11</v>
      </c>
      <c r="AW140" t="s">
        <v>11</v>
      </c>
      <c r="AX140" t="s">
        <v>11</v>
      </c>
      <c r="AY140" t="s">
        <v>11</v>
      </c>
      <c r="AZ140" t="s">
        <v>11</v>
      </c>
      <c r="BA140" t="s">
        <v>11</v>
      </c>
      <c r="BB140" t="s">
        <v>11</v>
      </c>
      <c r="BC140" t="s">
        <v>11</v>
      </c>
      <c r="BD140" t="s">
        <v>11</v>
      </c>
      <c r="BE140" t="s">
        <v>11</v>
      </c>
      <c r="BF140" t="s">
        <v>11</v>
      </c>
      <c r="BG140" t="s">
        <v>11</v>
      </c>
      <c r="BH140" t="s">
        <v>1185</v>
      </c>
      <c r="BI140" t="s">
        <v>1180</v>
      </c>
      <c r="BJ140" t="s">
        <v>1186</v>
      </c>
      <c r="BK140" t="s">
        <v>1187</v>
      </c>
    </row>
    <row r="141" spans="1:63" x14ac:dyDescent="0.3">
      <c r="A141" t="s">
        <v>1188</v>
      </c>
      <c r="B141" t="s">
        <v>5</v>
      </c>
      <c r="C141" t="s">
        <v>1189</v>
      </c>
      <c r="D141" t="s">
        <v>1190</v>
      </c>
      <c r="E141" t="s">
        <v>995</v>
      </c>
      <c r="F141">
        <v>151</v>
      </c>
      <c r="G141">
        <v>59.1</v>
      </c>
      <c r="H141">
        <v>19.7</v>
      </c>
      <c r="I141">
        <v>7.5</v>
      </c>
      <c r="J141">
        <v>11.1</v>
      </c>
      <c r="L141">
        <v>2.6</v>
      </c>
      <c r="AF141">
        <v>8.1325479999999999</v>
      </c>
      <c r="AI141" t="s">
        <v>0</v>
      </c>
      <c r="AJ141" t="s">
        <v>297</v>
      </c>
      <c r="AK141" t="s">
        <v>11</v>
      </c>
      <c r="AL141" t="s">
        <v>1093</v>
      </c>
      <c r="AM141" t="s">
        <v>1191</v>
      </c>
      <c r="AN141" t="s">
        <v>11</v>
      </c>
      <c r="AO141" t="s">
        <v>11</v>
      </c>
      <c r="AP141" t="s">
        <v>11</v>
      </c>
      <c r="AQ141" t="s">
        <v>1192</v>
      </c>
      <c r="AR141" t="s">
        <v>11</v>
      </c>
      <c r="AS141" t="s">
        <v>11</v>
      </c>
      <c r="AT141" t="s">
        <v>11</v>
      </c>
      <c r="AU141" t="s">
        <v>11</v>
      </c>
      <c r="AV141" t="s">
        <v>11</v>
      </c>
      <c r="AW141" t="s">
        <v>11</v>
      </c>
      <c r="AX141" t="s">
        <v>11</v>
      </c>
      <c r="AY141" t="s">
        <v>11</v>
      </c>
      <c r="AZ141" t="s">
        <v>11</v>
      </c>
      <c r="BA141" t="s">
        <v>11</v>
      </c>
      <c r="BB141" t="s">
        <v>11</v>
      </c>
      <c r="BC141" t="s">
        <v>11</v>
      </c>
      <c r="BD141" t="s">
        <v>11</v>
      </c>
      <c r="BE141" t="s">
        <v>11</v>
      </c>
      <c r="BF141" t="s">
        <v>11</v>
      </c>
      <c r="BG141" t="s">
        <v>11</v>
      </c>
      <c r="BH141" t="s">
        <v>1193</v>
      </c>
      <c r="BI141" t="s">
        <v>1188</v>
      </c>
      <c r="BJ141" t="s">
        <v>1194</v>
      </c>
      <c r="BK141" t="s">
        <v>1195</v>
      </c>
    </row>
    <row r="142" spans="1:63" x14ac:dyDescent="0.3">
      <c r="A142" t="s">
        <v>1196</v>
      </c>
      <c r="B142" t="s">
        <v>5</v>
      </c>
      <c r="C142" t="s">
        <v>1197</v>
      </c>
      <c r="D142" t="s">
        <v>1198</v>
      </c>
      <c r="E142" t="s">
        <v>995</v>
      </c>
      <c r="F142">
        <v>152</v>
      </c>
      <c r="G142">
        <v>39.4</v>
      </c>
      <c r="H142">
        <v>39.700000000000003</v>
      </c>
      <c r="I142">
        <v>7.5</v>
      </c>
      <c r="J142">
        <v>10.8</v>
      </c>
      <c r="L142">
        <v>2.6</v>
      </c>
      <c r="AF142">
        <v>8.1392780000000009</v>
      </c>
      <c r="AI142" t="s">
        <v>0</v>
      </c>
      <c r="AJ142" t="s">
        <v>297</v>
      </c>
      <c r="AK142" t="s">
        <v>11</v>
      </c>
      <c r="AL142" t="s">
        <v>1199</v>
      </c>
      <c r="AM142" t="s">
        <v>86</v>
      </c>
      <c r="AN142" t="s">
        <v>11</v>
      </c>
      <c r="AO142" t="s">
        <v>11</v>
      </c>
      <c r="AP142" t="s">
        <v>11</v>
      </c>
      <c r="AQ142" t="s">
        <v>1192</v>
      </c>
      <c r="AR142" t="s">
        <v>11</v>
      </c>
      <c r="AS142" t="s">
        <v>11</v>
      </c>
      <c r="AT142" t="s">
        <v>11</v>
      </c>
      <c r="AU142" t="s">
        <v>11</v>
      </c>
      <c r="AV142" t="s">
        <v>11</v>
      </c>
      <c r="AW142" t="s">
        <v>11</v>
      </c>
      <c r="AX142" t="s">
        <v>11</v>
      </c>
      <c r="AY142" t="s">
        <v>11</v>
      </c>
      <c r="AZ142" t="s">
        <v>11</v>
      </c>
      <c r="BA142" t="s">
        <v>11</v>
      </c>
      <c r="BB142" t="s">
        <v>11</v>
      </c>
      <c r="BC142" t="s">
        <v>11</v>
      </c>
      <c r="BD142" t="s">
        <v>11</v>
      </c>
      <c r="BE142" t="s">
        <v>11</v>
      </c>
      <c r="BF142" t="s">
        <v>11</v>
      </c>
      <c r="BG142" t="s">
        <v>11</v>
      </c>
      <c r="BH142" t="s">
        <v>1200</v>
      </c>
      <c r="BI142" t="s">
        <v>1196</v>
      </c>
      <c r="BJ142" t="s">
        <v>1201</v>
      </c>
      <c r="BK142" t="s">
        <v>1202</v>
      </c>
    </row>
    <row r="143" spans="1:63" x14ac:dyDescent="0.3">
      <c r="A143" t="s">
        <v>1203</v>
      </c>
      <c r="B143" t="s">
        <v>5</v>
      </c>
      <c r="C143" t="s">
        <v>1204</v>
      </c>
      <c r="D143" t="s">
        <v>1205</v>
      </c>
      <c r="E143" t="s">
        <v>995</v>
      </c>
      <c r="F143">
        <v>153</v>
      </c>
      <c r="G143">
        <v>50.6</v>
      </c>
      <c r="H143">
        <v>17.2</v>
      </c>
      <c r="I143">
        <v>7.8</v>
      </c>
      <c r="J143">
        <v>21.8</v>
      </c>
      <c r="L143">
        <v>2.6</v>
      </c>
      <c r="AF143">
        <v>7.9307780000000001</v>
      </c>
      <c r="AI143" t="s">
        <v>0</v>
      </c>
      <c r="AJ143" t="s">
        <v>1206</v>
      </c>
      <c r="AK143" t="s">
        <v>11</v>
      </c>
      <c r="AL143" t="s">
        <v>1207</v>
      </c>
      <c r="AM143" t="s">
        <v>1208</v>
      </c>
      <c r="AN143" t="s">
        <v>11</v>
      </c>
      <c r="AO143" t="s">
        <v>11</v>
      </c>
      <c r="AP143" t="s">
        <v>11</v>
      </c>
      <c r="AQ143" t="s">
        <v>1192</v>
      </c>
      <c r="AR143" t="s">
        <v>11</v>
      </c>
      <c r="AS143" t="s">
        <v>11</v>
      </c>
      <c r="AT143" t="s">
        <v>11</v>
      </c>
      <c r="AU143" t="s">
        <v>11</v>
      </c>
      <c r="AV143" t="s">
        <v>11</v>
      </c>
      <c r="AW143" t="s">
        <v>11</v>
      </c>
      <c r="AX143" t="s">
        <v>11</v>
      </c>
      <c r="AY143" t="s">
        <v>11</v>
      </c>
      <c r="AZ143" t="s">
        <v>11</v>
      </c>
      <c r="BA143" t="s">
        <v>11</v>
      </c>
      <c r="BB143" t="s">
        <v>11</v>
      </c>
      <c r="BC143" t="s">
        <v>11</v>
      </c>
      <c r="BD143" t="s">
        <v>11</v>
      </c>
      <c r="BE143" t="s">
        <v>11</v>
      </c>
      <c r="BF143" t="s">
        <v>11</v>
      </c>
      <c r="BG143" t="s">
        <v>11</v>
      </c>
      <c r="BH143" t="s">
        <v>1209</v>
      </c>
      <c r="BI143" t="s">
        <v>1203</v>
      </c>
      <c r="BJ143" t="s">
        <v>1210</v>
      </c>
      <c r="BK143" t="s">
        <v>1211</v>
      </c>
    </row>
    <row r="144" spans="1:63" x14ac:dyDescent="0.3">
      <c r="A144" t="s">
        <v>1212</v>
      </c>
      <c r="B144" t="s">
        <v>5</v>
      </c>
      <c r="C144" t="s">
        <v>1213</v>
      </c>
      <c r="D144" t="s">
        <v>1214</v>
      </c>
      <c r="E144" t="s">
        <v>995</v>
      </c>
      <c r="F144">
        <v>154</v>
      </c>
      <c r="G144">
        <v>17.5</v>
      </c>
      <c r="H144">
        <v>50.6</v>
      </c>
      <c r="I144">
        <v>8.5</v>
      </c>
      <c r="J144">
        <v>20.9</v>
      </c>
      <c r="L144">
        <v>2.5</v>
      </c>
      <c r="AF144">
        <v>7.9098329999999999</v>
      </c>
      <c r="AI144" t="s">
        <v>0</v>
      </c>
      <c r="AJ144" t="s">
        <v>335</v>
      </c>
      <c r="AK144" t="s">
        <v>11</v>
      </c>
      <c r="AL144" t="s">
        <v>1215</v>
      </c>
      <c r="AM144" t="s">
        <v>1216</v>
      </c>
      <c r="AN144" t="s">
        <v>11</v>
      </c>
      <c r="AO144" t="s">
        <v>11</v>
      </c>
      <c r="AP144" t="s">
        <v>11</v>
      </c>
      <c r="AQ144" t="s">
        <v>1217</v>
      </c>
      <c r="AR144" t="s">
        <v>11</v>
      </c>
      <c r="AS144" t="s">
        <v>11</v>
      </c>
      <c r="AT144" t="s">
        <v>11</v>
      </c>
      <c r="AU144" t="s">
        <v>11</v>
      </c>
      <c r="AV144" t="s">
        <v>11</v>
      </c>
      <c r="AW144" t="s">
        <v>11</v>
      </c>
      <c r="AX144" t="s">
        <v>11</v>
      </c>
      <c r="AY144" t="s">
        <v>11</v>
      </c>
      <c r="AZ144" t="s">
        <v>11</v>
      </c>
      <c r="BA144" t="s">
        <v>11</v>
      </c>
      <c r="BB144" t="s">
        <v>11</v>
      </c>
      <c r="BC144" t="s">
        <v>11</v>
      </c>
      <c r="BD144" t="s">
        <v>11</v>
      </c>
      <c r="BE144" t="s">
        <v>11</v>
      </c>
      <c r="BF144" t="s">
        <v>11</v>
      </c>
      <c r="BG144" t="s">
        <v>11</v>
      </c>
      <c r="BH144" t="s">
        <v>1218</v>
      </c>
      <c r="BI144" t="s">
        <v>1212</v>
      </c>
      <c r="BJ144" t="s">
        <v>1219</v>
      </c>
      <c r="BK144" t="s">
        <v>1220</v>
      </c>
    </row>
    <row r="145" spans="1:63" x14ac:dyDescent="0.3">
      <c r="A145" t="s">
        <v>1221</v>
      </c>
      <c r="B145" t="s">
        <v>160</v>
      </c>
      <c r="C145" t="s">
        <v>1222</v>
      </c>
      <c r="D145" t="s">
        <v>1223</v>
      </c>
      <c r="E145" t="s">
        <v>1224</v>
      </c>
      <c r="F145">
        <v>155</v>
      </c>
      <c r="G145">
        <v>48.1</v>
      </c>
      <c r="H145">
        <v>29</v>
      </c>
      <c r="I145">
        <v>12.1</v>
      </c>
      <c r="J145">
        <v>0</v>
      </c>
      <c r="K145">
        <v>5.8</v>
      </c>
      <c r="L145">
        <v>2.2400000000000002</v>
      </c>
      <c r="M145">
        <v>2.66</v>
      </c>
      <c r="S145">
        <v>0.1</v>
      </c>
      <c r="AF145">
        <v>8.8537268000000005</v>
      </c>
      <c r="AH145" t="s">
        <v>1225</v>
      </c>
      <c r="AI145" t="s">
        <v>0</v>
      </c>
      <c r="AJ145" t="s">
        <v>1226</v>
      </c>
      <c r="AK145" t="s">
        <v>470</v>
      </c>
      <c r="AL145" t="s">
        <v>1227</v>
      </c>
      <c r="AM145" t="s">
        <v>1228</v>
      </c>
      <c r="AN145" t="s">
        <v>1229</v>
      </c>
      <c r="AO145" t="s">
        <v>11</v>
      </c>
      <c r="AP145" t="s">
        <v>11</v>
      </c>
      <c r="AQ145" t="s">
        <v>120</v>
      </c>
      <c r="AR145" t="s">
        <v>11</v>
      </c>
      <c r="AS145" t="s">
        <v>11</v>
      </c>
      <c r="AT145" t="s">
        <v>11</v>
      </c>
      <c r="AU145" t="s">
        <v>1230</v>
      </c>
      <c r="AV145" t="s">
        <v>11</v>
      </c>
      <c r="AW145" t="s">
        <v>11</v>
      </c>
      <c r="AX145" t="s">
        <v>11</v>
      </c>
      <c r="AY145" t="s">
        <v>11</v>
      </c>
      <c r="AZ145" t="s">
        <v>11</v>
      </c>
      <c r="BA145" t="s">
        <v>11</v>
      </c>
      <c r="BB145" t="s">
        <v>11</v>
      </c>
      <c r="BC145" t="s">
        <v>11</v>
      </c>
      <c r="BD145" t="s">
        <v>11</v>
      </c>
      <c r="BE145" t="s">
        <v>11</v>
      </c>
      <c r="BF145" t="s">
        <v>11</v>
      </c>
      <c r="BG145" t="s">
        <v>11</v>
      </c>
      <c r="BH145" t="s">
        <v>1231</v>
      </c>
      <c r="BI145" t="s">
        <v>1221</v>
      </c>
      <c r="BJ145" t="s">
        <v>1232</v>
      </c>
      <c r="BK145" t="s">
        <v>1233</v>
      </c>
    </row>
    <row r="146" spans="1:63" x14ac:dyDescent="0.3">
      <c r="A146" t="s">
        <v>1234</v>
      </c>
      <c r="B146" t="s">
        <v>160</v>
      </c>
      <c r="C146" t="s">
        <v>1235</v>
      </c>
      <c r="D146" t="s">
        <v>1236</v>
      </c>
      <c r="E146" t="s">
        <v>1224</v>
      </c>
      <c r="F146">
        <v>156</v>
      </c>
      <c r="G146">
        <v>45.5</v>
      </c>
      <c r="H146">
        <v>29.2</v>
      </c>
      <c r="I146">
        <v>11.1</v>
      </c>
      <c r="J146">
        <v>4.0999999999999996</v>
      </c>
      <c r="K146">
        <v>5.68</v>
      </c>
      <c r="L146">
        <v>2.04</v>
      </c>
      <c r="M146">
        <v>2.2799999999999998</v>
      </c>
      <c r="S146">
        <v>0.1</v>
      </c>
      <c r="AF146">
        <v>8.8125488000000001</v>
      </c>
      <c r="AH146" t="s">
        <v>1225</v>
      </c>
      <c r="AI146" t="s">
        <v>0</v>
      </c>
      <c r="AJ146" t="s">
        <v>1237</v>
      </c>
      <c r="AK146" t="s">
        <v>214</v>
      </c>
      <c r="AL146" t="s">
        <v>1238</v>
      </c>
      <c r="AM146" t="s">
        <v>236</v>
      </c>
      <c r="AN146" t="s">
        <v>1239</v>
      </c>
      <c r="AO146" t="s">
        <v>11</v>
      </c>
      <c r="AP146" t="s">
        <v>11</v>
      </c>
      <c r="AQ146" t="s">
        <v>25</v>
      </c>
      <c r="AR146" t="s">
        <v>11</v>
      </c>
      <c r="AS146" t="s">
        <v>11</v>
      </c>
      <c r="AT146" t="s">
        <v>11</v>
      </c>
      <c r="AU146" t="s">
        <v>1230</v>
      </c>
      <c r="AV146" t="s">
        <v>11</v>
      </c>
      <c r="AW146" t="s">
        <v>11</v>
      </c>
      <c r="AX146" t="s">
        <v>11</v>
      </c>
      <c r="AY146" t="s">
        <v>11</v>
      </c>
      <c r="AZ146" t="s">
        <v>11</v>
      </c>
      <c r="BA146" t="s">
        <v>11</v>
      </c>
      <c r="BB146" t="s">
        <v>11</v>
      </c>
      <c r="BC146" t="s">
        <v>11</v>
      </c>
      <c r="BD146" t="s">
        <v>11</v>
      </c>
      <c r="BE146" t="s">
        <v>11</v>
      </c>
      <c r="BF146" t="s">
        <v>11</v>
      </c>
      <c r="BG146" t="s">
        <v>11</v>
      </c>
      <c r="BH146" t="s">
        <v>1240</v>
      </c>
      <c r="BI146" t="s">
        <v>1234</v>
      </c>
      <c r="BJ146" t="s">
        <v>1241</v>
      </c>
      <c r="BK146" t="s">
        <v>1242</v>
      </c>
    </row>
    <row r="147" spans="1:63" x14ac:dyDescent="0.3">
      <c r="A147" t="s">
        <v>1243</v>
      </c>
      <c r="B147" t="s">
        <v>514</v>
      </c>
      <c r="C147" t="s">
        <v>1244</v>
      </c>
      <c r="D147" t="s">
        <v>1245</v>
      </c>
      <c r="E147" t="s">
        <v>1224</v>
      </c>
      <c r="F147">
        <v>157</v>
      </c>
      <c r="G147">
        <v>39.15</v>
      </c>
      <c r="H147">
        <v>28.9</v>
      </c>
      <c r="I147">
        <v>10.1</v>
      </c>
      <c r="J147">
        <v>12.5</v>
      </c>
      <c r="K147">
        <v>5.09</v>
      </c>
      <c r="L147">
        <v>1.86</v>
      </c>
      <c r="M147">
        <v>2.2999999999999998</v>
      </c>
      <c r="S147">
        <v>0.1</v>
      </c>
      <c r="AF147">
        <v>8.6792771999999996</v>
      </c>
      <c r="AH147" t="s">
        <v>1225</v>
      </c>
      <c r="AI147" t="s">
        <v>0</v>
      </c>
      <c r="AJ147" t="s">
        <v>1246</v>
      </c>
      <c r="AK147" t="s">
        <v>1247</v>
      </c>
      <c r="AL147" t="s">
        <v>1248</v>
      </c>
      <c r="AM147" t="s">
        <v>1034</v>
      </c>
      <c r="AN147" t="s">
        <v>1239</v>
      </c>
      <c r="AO147" t="s">
        <v>11</v>
      </c>
      <c r="AP147" t="s">
        <v>11</v>
      </c>
      <c r="AQ147" t="s">
        <v>1249</v>
      </c>
      <c r="AR147" t="s">
        <v>11</v>
      </c>
      <c r="AS147" t="s">
        <v>11</v>
      </c>
      <c r="AT147" t="s">
        <v>11</v>
      </c>
      <c r="AU147" t="s">
        <v>1230</v>
      </c>
      <c r="AV147" t="s">
        <v>11</v>
      </c>
      <c r="AW147" t="s">
        <v>11</v>
      </c>
      <c r="AX147" t="s">
        <v>11</v>
      </c>
      <c r="AY147" t="s">
        <v>11</v>
      </c>
      <c r="AZ147" t="s">
        <v>11</v>
      </c>
      <c r="BA147" t="s">
        <v>11</v>
      </c>
      <c r="BB147" t="s">
        <v>11</v>
      </c>
      <c r="BC147" t="s">
        <v>11</v>
      </c>
      <c r="BD147" t="s">
        <v>11</v>
      </c>
      <c r="BE147" t="s">
        <v>11</v>
      </c>
      <c r="BF147" t="s">
        <v>11</v>
      </c>
      <c r="BG147" t="s">
        <v>11</v>
      </c>
      <c r="BH147" t="s">
        <v>1250</v>
      </c>
      <c r="BI147" t="s">
        <v>1243</v>
      </c>
      <c r="BJ147" t="s">
        <v>1251</v>
      </c>
      <c r="BK147" t="s">
        <v>1252</v>
      </c>
    </row>
    <row r="148" spans="1:63" x14ac:dyDescent="0.3">
      <c r="A148" t="s">
        <v>1253</v>
      </c>
      <c r="B148" t="s">
        <v>514</v>
      </c>
      <c r="C148" t="s">
        <v>1254</v>
      </c>
      <c r="D148" t="s">
        <v>1255</v>
      </c>
      <c r="E148" t="s">
        <v>1224</v>
      </c>
      <c r="F148">
        <v>158</v>
      </c>
      <c r="G148">
        <v>42.2</v>
      </c>
      <c r="H148">
        <v>29.5</v>
      </c>
      <c r="I148">
        <v>10.5</v>
      </c>
      <c r="J148">
        <v>8.02</v>
      </c>
      <c r="K148">
        <v>5.14</v>
      </c>
      <c r="L148">
        <v>1.85</v>
      </c>
      <c r="M148">
        <v>2.69</v>
      </c>
      <c r="S148">
        <v>0.1</v>
      </c>
      <c r="AF148">
        <v>8.7669725000000014</v>
      </c>
      <c r="AH148" t="s">
        <v>1225</v>
      </c>
      <c r="AI148" t="s">
        <v>0</v>
      </c>
      <c r="AJ148" t="s">
        <v>1256</v>
      </c>
      <c r="AK148" t="s">
        <v>1247</v>
      </c>
      <c r="AL148" t="s">
        <v>12</v>
      </c>
      <c r="AM148" t="s">
        <v>971</v>
      </c>
      <c r="AN148" t="s">
        <v>1229</v>
      </c>
      <c r="AO148" t="s">
        <v>11</v>
      </c>
      <c r="AP148" t="s">
        <v>11</v>
      </c>
      <c r="AQ148" t="s">
        <v>1249</v>
      </c>
      <c r="AR148" t="s">
        <v>11</v>
      </c>
      <c r="AS148" t="s">
        <v>11</v>
      </c>
      <c r="AT148" t="s">
        <v>11</v>
      </c>
      <c r="AU148" t="s">
        <v>1230</v>
      </c>
      <c r="AV148" t="s">
        <v>11</v>
      </c>
      <c r="AW148" t="s">
        <v>11</v>
      </c>
      <c r="AX148" t="s">
        <v>11</v>
      </c>
      <c r="AY148" t="s">
        <v>11</v>
      </c>
      <c r="AZ148" t="s">
        <v>11</v>
      </c>
      <c r="BA148" t="s">
        <v>11</v>
      </c>
      <c r="BB148" t="s">
        <v>11</v>
      </c>
      <c r="BC148" t="s">
        <v>11</v>
      </c>
      <c r="BD148" t="s">
        <v>11</v>
      </c>
      <c r="BE148" t="s">
        <v>11</v>
      </c>
      <c r="BF148" t="s">
        <v>11</v>
      </c>
      <c r="BG148" t="s">
        <v>11</v>
      </c>
      <c r="BH148" t="s">
        <v>1257</v>
      </c>
      <c r="BI148" t="s">
        <v>1253</v>
      </c>
      <c r="BJ148" t="s">
        <v>1258</v>
      </c>
      <c r="BK148" t="s">
        <v>1259</v>
      </c>
    </row>
    <row r="149" spans="1:63" x14ac:dyDescent="0.3">
      <c r="A149" t="s">
        <v>1260</v>
      </c>
      <c r="B149" t="s">
        <v>31</v>
      </c>
      <c r="C149" t="s">
        <v>1261</v>
      </c>
      <c r="D149" t="s">
        <v>1262</v>
      </c>
      <c r="E149" t="s">
        <v>1263</v>
      </c>
      <c r="F149">
        <v>160</v>
      </c>
      <c r="G149">
        <v>55.800000000000004</v>
      </c>
      <c r="H149">
        <v>28.8</v>
      </c>
      <c r="I149">
        <v>6.2</v>
      </c>
      <c r="K149">
        <v>2</v>
      </c>
      <c r="L149">
        <v>1.8</v>
      </c>
      <c r="M149">
        <v>0.9</v>
      </c>
      <c r="N149">
        <v>1.8</v>
      </c>
      <c r="P149">
        <v>2.7</v>
      </c>
      <c r="AF149">
        <v>8.7469000000000001</v>
      </c>
      <c r="AI149" t="s">
        <v>0</v>
      </c>
      <c r="AJ149" t="s">
        <v>1264</v>
      </c>
      <c r="AK149" t="s">
        <v>62</v>
      </c>
      <c r="AL149" t="s">
        <v>1265</v>
      </c>
      <c r="AM149" t="s">
        <v>11</v>
      </c>
      <c r="AN149" t="s">
        <v>1266</v>
      </c>
      <c r="AO149" t="s">
        <v>110</v>
      </c>
      <c r="AP149" t="s">
        <v>11</v>
      </c>
      <c r="AQ149" t="s">
        <v>1267</v>
      </c>
      <c r="AR149" t="s">
        <v>1268</v>
      </c>
      <c r="AS149" t="s">
        <v>11</v>
      </c>
      <c r="AT149" t="s">
        <v>11</v>
      </c>
      <c r="AU149" t="s">
        <v>11</v>
      </c>
      <c r="AV149" t="s">
        <v>11</v>
      </c>
      <c r="AW149" t="s">
        <v>11</v>
      </c>
      <c r="AX149" t="s">
        <v>11</v>
      </c>
      <c r="AY149" t="s">
        <v>11</v>
      </c>
      <c r="AZ149" t="s">
        <v>11</v>
      </c>
      <c r="BA149" t="s">
        <v>11</v>
      </c>
      <c r="BB149" t="s">
        <v>11</v>
      </c>
      <c r="BC149" t="s">
        <v>11</v>
      </c>
      <c r="BD149" t="s">
        <v>11</v>
      </c>
      <c r="BE149" t="s">
        <v>11</v>
      </c>
      <c r="BF149" t="s">
        <v>11</v>
      </c>
      <c r="BG149" t="s">
        <v>11</v>
      </c>
      <c r="BH149" t="s">
        <v>1269</v>
      </c>
      <c r="BI149" t="s">
        <v>1260</v>
      </c>
      <c r="BJ149" t="s">
        <v>1270</v>
      </c>
      <c r="BK149" t="s">
        <v>1271</v>
      </c>
    </row>
    <row r="150" spans="1:63" x14ac:dyDescent="0.3">
      <c r="A150" t="s">
        <v>1272</v>
      </c>
      <c r="B150" t="s">
        <v>95</v>
      </c>
      <c r="C150" t="s">
        <v>96</v>
      </c>
      <c r="D150" t="s">
        <v>1273</v>
      </c>
      <c r="E150" t="s">
        <v>1274</v>
      </c>
      <c r="F150">
        <v>161</v>
      </c>
      <c r="G150">
        <v>84</v>
      </c>
      <c r="I150">
        <v>8</v>
      </c>
      <c r="K150">
        <v>8</v>
      </c>
      <c r="AF150">
        <v>9.2320000000000011</v>
      </c>
      <c r="AH150" t="s">
        <v>1275</v>
      </c>
      <c r="AI150" t="s">
        <v>0</v>
      </c>
      <c r="AJ150" t="s">
        <v>164</v>
      </c>
      <c r="AK150" t="s">
        <v>548</v>
      </c>
      <c r="AL150" t="s">
        <v>11</v>
      </c>
      <c r="AM150" t="s">
        <v>11</v>
      </c>
      <c r="AN150" t="s">
        <v>11</v>
      </c>
      <c r="AO150" t="s">
        <v>11</v>
      </c>
      <c r="AP150" t="s">
        <v>11</v>
      </c>
      <c r="AQ150" t="s">
        <v>11</v>
      </c>
      <c r="AR150" t="s">
        <v>11</v>
      </c>
      <c r="AS150" t="s">
        <v>11</v>
      </c>
      <c r="AT150" t="s">
        <v>11</v>
      </c>
      <c r="AU150" t="s">
        <v>11</v>
      </c>
      <c r="AV150" t="s">
        <v>11</v>
      </c>
      <c r="AW150" t="s">
        <v>11</v>
      </c>
      <c r="AX150" t="s">
        <v>11</v>
      </c>
      <c r="AY150" t="s">
        <v>11</v>
      </c>
      <c r="AZ150" t="s">
        <v>11</v>
      </c>
      <c r="BA150" t="s">
        <v>11</v>
      </c>
      <c r="BB150" t="s">
        <v>11</v>
      </c>
      <c r="BC150" t="s">
        <v>11</v>
      </c>
      <c r="BD150" t="s">
        <v>11</v>
      </c>
      <c r="BE150" t="s">
        <v>11</v>
      </c>
      <c r="BF150" t="s">
        <v>11</v>
      </c>
      <c r="BG150" t="s">
        <v>11</v>
      </c>
      <c r="BH150" t="s">
        <v>1276</v>
      </c>
      <c r="BI150" t="s">
        <v>1272</v>
      </c>
      <c r="BJ150" t="s">
        <v>1277</v>
      </c>
      <c r="BK150" t="s">
        <v>1278</v>
      </c>
    </row>
    <row r="151" spans="1:63" x14ac:dyDescent="0.3">
      <c r="A151" t="s">
        <v>1279</v>
      </c>
      <c r="B151" t="s">
        <v>160</v>
      </c>
      <c r="C151" t="s">
        <v>1280</v>
      </c>
      <c r="D151" t="s">
        <v>1281</v>
      </c>
      <c r="E151" t="s">
        <v>1282</v>
      </c>
      <c r="F151">
        <v>163</v>
      </c>
      <c r="G151">
        <v>29.379999999999995</v>
      </c>
      <c r="H151">
        <v>40</v>
      </c>
      <c r="I151">
        <v>10</v>
      </c>
      <c r="J151">
        <v>10</v>
      </c>
      <c r="K151">
        <v>7.5</v>
      </c>
      <c r="M151">
        <v>3</v>
      </c>
      <c r="Q151">
        <v>0.06</v>
      </c>
      <c r="S151">
        <v>0.06</v>
      </c>
      <c r="AF151">
        <v>9.1131019999999996</v>
      </c>
      <c r="AI151" t="s">
        <v>0</v>
      </c>
      <c r="AJ151" t="s">
        <v>22</v>
      </c>
      <c r="AK151" t="s">
        <v>195</v>
      </c>
      <c r="AL151" t="s">
        <v>1283</v>
      </c>
      <c r="AM151" t="s">
        <v>1284</v>
      </c>
      <c r="AN151" t="s">
        <v>1285</v>
      </c>
      <c r="AO151" t="s">
        <v>11</v>
      </c>
      <c r="AP151" t="s">
        <v>11</v>
      </c>
      <c r="AQ151" t="s">
        <v>11</v>
      </c>
      <c r="AR151" t="s">
        <v>11</v>
      </c>
      <c r="AS151" t="s">
        <v>1286</v>
      </c>
      <c r="AT151" t="s">
        <v>11</v>
      </c>
      <c r="AU151" t="s">
        <v>1287</v>
      </c>
      <c r="AV151" t="s">
        <v>11</v>
      </c>
      <c r="AW151" t="s">
        <v>11</v>
      </c>
      <c r="AX151" t="s">
        <v>11</v>
      </c>
      <c r="AY151" t="s">
        <v>11</v>
      </c>
      <c r="AZ151" t="s">
        <v>11</v>
      </c>
      <c r="BA151" t="s">
        <v>11</v>
      </c>
      <c r="BB151" t="s">
        <v>11</v>
      </c>
      <c r="BC151" t="s">
        <v>11</v>
      </c>
      <c r="BD151" t="s">
        <v>11</v>
      </c>
      <c r="BE151" t="s">
        <v>11</v>
      </c>
      <c r="BF151" t="s">
        <v>11</v>
      </c>
      <c r="BG151" t="s">
        <v>11</v>
      </c>
      <c r="BH151" t="s">
        <v>1288</v>
      </c>
      <c r="BI151" t="s">
        <v>1279</v>
      </c>
      <c r="BJ151" t="s">
        <v>1289</v>
      </c>
      <c r="BK151" t="s">
        <v>1290</v>
      </c>
    </row>
    <row r="152" spans="1:63" x14ac:dyDescent="0.3">
      <c r="A152" t="s">
        <v>1291</v>
      </c>
      <c r="B152" t="s">
        <v>160</v>
      </c>
      <c r="C152" t="s">
        <v>1292</v>
      </c>
      <c r="D152" t="s">
        <v>1293</v>
      </c>
      <c r="E152" t="s">
        <v>1282</v>
      </c>
      <c r="F152">
        <v>164</v>
      </c>
      <c r="G152">
        <v>29.379999999999995</v>
      </c>
      <c r="H152">
        <v>40</v>
      </c>
      <c r="I152">
        <v>10</v>
      </c>
      <c r="J152">
        <v>10</v>
      </c>
      <c r="K152">
        <v>7.5</v>
      </c>
      <c r="N152">
        <v>3</v>
      </c>
      <c r="Q152">
        <v>0.06</v>
      </c>
      <c r="S152">
        <v>0.06</v>
      </c>
      <c r="AF152">
        <v>8.8707019999999996</v>
      </c>
      <c r="AI152" t="s">
        <v>0</v>
      </c>
      <c r="AJ152" t="s">
        <v>22</v>
      </c>
      <c r="AK152" t="s">
        <v>195</v>
      </c>
      <c r="AL152" t="s">
        <v>1283</v>
      </c>
      <c r="AM152" t="s">
        <v>1284</v>
      </c>
      <c r="AN152" t="s">
        <v>11</v>
      </c>
      <c r="AO152" t="s">
        <v>1294</v>
      </c>
      <c r="AP152" t="s">
        <v>11</v>
      </c>
      <c r="AQ152" t="s">
        <v>11</v>
      </c>
      <c r="AR152" t="s">
        <v>11</v>
      </c>
      <c r="AS152" t="s">
        <v>1286</v>
      </c>
      <c r="AT152" t="s">
        <v>11</v>
      </c>
      <c r="AU152" t="s">
        <v>1287</v>
      </c>
      <c r="AV152" t="s">
        <v>11</v>
      </c>
      <c r="AW152" t="s">
        <v>11</v>
      </c>
      <c r="AX152" t="s">
        <v>11</v>
      </c>
      <c r="AY152" t="s">
        <v>11</v>
      </c>
      <c r="AZ152" t="s">
        <v>11</v>
      </c>
      <c r="BA152" t="s">
        <v>11</v>
      </c>
      <c r="BB152" t="s">
        <v>11</v>
      </c>
      <c r="BC152" t="s">
        <v>11</v>
      </c>
      <c r="BD152" t="s">
        <v>11</v>
      </c>
      <c r="BE152" t="s">
        <v>11</v>
      </c>
      <c r="BF152" t="s">
        <v>11</v>
      </c>
      <c r="BG152" t="s">
        <v>11</v>
      </c>
      <c r="BH152" t="s">
        <v>1295</v>
      </c>
      <c r="BI152" t="s">
        <v>1291</v>
      </c>
      <c r="BJ152" t="s">
        <v>1296</v>
      </c>
      <c r="BK152" t="s">
        <v>1297</v>
      </c>
    </row>
    <row r="153" spans="1:63" x14ac:dyDescent="0.3">
      <c r="A153" t="s">
        <v>1298</v>
      </c>
      <c r="B153" t="s">
        <v>95</v>
      </c>
      <c r="C153" t="s">
        <v>1299</v>
      </c>
      <c r="D153" t="s">
        <v>1300</v>
      </c>
      <c r="E153" t="s">
        <v>1301</v>
      </c>
      <c r="F153">
        <v>165</v>
      </c>
      <c r="G153">
        <v>80.06</v>
      </c>
      <c r="I153">
        <v>6.76</v>
      </c>
      <c r="K153">
        <v>8.89</v>
      </c>
      <c r="O153">
        <v>4.29</v>
      </c>
      <c r="AF153">
        <v>9.2813040000000004</v>
      </c>
      <c r="AI153" t="s">
        <v>0</v>
      </c>
      <c r="AJ153" t="s">
        <v>1302</v>
      </c>
      <c r="AK153" t="s">
        <v>556</v>
      </c>
      <c r="AL153" t="s">
        <v>11</v>
      </c>
      <c r="AM153" t="s">
        <v>11</v>
      </c>
      <c r="AN153" t="s">
        <v>11</v>
      </c>
      <c r="AO153" t="s">
        <v>11</v>
      </c>
      <c r="AP153" t="s">
        <v>1303</v>
      </c>
      <c r="AQ153" t="s">
        <v>11</v>
      </c>
      <c r="AR153" t="s">
        <v>11</v>
      </c>
      <c r="AS153" t="s">
        <v>11</v>
      </c>
      <c r="AT153" t="s">
        <v>11</v>
      </c>
      <c r="AU153" t="s">
        <v>11</v>
      </c>
      <c r="AV153" t="s">
        <v>11</v>
      </c>
      <c r="AW153" t="s">
        <v>11</v>
      </c>
      <c r="AX153" t="s">
        <v>11</v>
      </c>
      <c r="AY153" t="s">
        <v>11</v>
      </c>
      <c r="AZ153" t="s">
        <v>11</v>
      </c>
      <c r="BA153" t="s">
        <v>11</v>
      </c>
      <c r="BB153" t="s">
        <v>11</v>
      </c>
      <c r="BC153" t="s">
        <v>11</v>
      </c>
      <c r="BD153" t="s">
        <v>11</v>
      </c>
      <c r="BE153" t="s">
        <v>11</v>
      </c>
      <c r="BF153" t="s">
        <v>11</v>
      </c>
      <c r="BG153" t="s">
        <v>11</v>
      </c>
      <c r="BH153" t="s">
        <v>1304</v>
      </c>
      <c r="BI153" t="s">
        <v>1298</v>
      </c>
      <c r="BJ153" t="s">
        <v>1305</v>
      </c>
      <c r="BK153" t="s">
        <v>1306</v>
      </c>
    </row>
    <row r="154" spans="1:63" x14ac:dyDescent="0.3">
      <c r="A154" t="s">
        <v>1307</v>
      </c>
      <c r="B154" t="s">
        <v>95</v>
      </c>
      <c r="C154" t="s">
        <v>1308</v>
      </c>
      <c r="D154" t="s">
        <v>1307</v>
      </c>
      <c r="E154" t="s">
        <v>1309</v>
      </c>
      <c r="F154">
        <v>166</v>
      </c>
      <c r="G154">
        <v>79.5</v>
      </c>
      <c r="I154">
        <v>9.6999999999999993</v>
      </c>
      <c r="K154">
        <v>10.8</v>
      </c>
      <c r="AF154">
        <v>9.4164000000000012</v>
      </c>
      <c r="AI154" t="s">
        <v>0</v>
      </c>
      <c r="AJ154" t="s">
        <v>1310</v>
      </c>
      <c r="AK154" t="s">
        <v>1311</v>
      </c>
      <c r="AL154" t="s">
        <v>11</v>
      </c>
      <c r="AM154" t="s">
        <v>11</v>
      </c>
      <c r="AN154" t="s">
        <v>11</v>
      </c>
      <c r="AO154" t="s">
        <v>11</v>
      </c>
      <c r="AP154" t="s">
        <v>11</v>
      </c>
      <c r="AQ154" t="s">
        <v>11</v>
      </c>
      <c r="AR154" t="s">
        <v>11</v>
      </c>
      <c r="AS154" t="s">
        <v>11</v>
      </c>
      <c r="AT154" t="s">
        <v>11</v>
      </c>
      <c r="AU154" t="s">
        <v>11</v>
      </c>
      <c r="AV154" t="s">
        <v>11</v>
      </c>
      <c r="AW154" t="s">
        <v>11</v>
      </c>
      <c r="AX154" t="s">
        <v>11</v>
      </c>
      <c r="AY154" t="s">
        <v>11</v>
      </c>
      <c r="AZ154" t="s">
        <v>11</v>
      </c>
      <c r="BA154" t="s">
        <v>11</v>
      </c>
      <c r="BB154" t="s">
        <v>11</v>
      </c>
      <c r="BC154" t="s">
        <v>11</v>
      </c>
      <c r="BD154" t="s">
        <v>11</v>
      </c>
      <c r="BE154" t="s">
        <v>11</v>
      </c>
      <c r="BF154" t="s">
        <v>11</v>
      </c>
      <c r="BG154" t="s">
        <v>11</v>
      </c>
      <c r="BH154" t="s">
        <v>1312</v>
      </c>
      <c r="BI154" t="s">
        <v>1307</v>
      </c>
      <c r="BJ154" t="s">
        <v>1313</v>
      </c>
      <c r="BK154" t="s">
        <v>1314</v>
      </c>
    </row>
    <row r="155" spans="1:63" x14ac:dyDescent="0.3">
      <c r="A155" t="s">
        <v>1315</v>
      </c>
      <c r="B155" t="s">
        <v>160</v>
      </c>
      <c r="C155" t="s">
        <v>1316</v>
      </c>
      <c r="D155" t="s">
        <v>1317</v>
      </c>
      <c r="E155" t="s">
        <v>1318</v>
      </c>
      <c r="F155">
        <v>167</v>
      </c>
      <c r="G155">
        <v>45.900000000000006</v>
      </c>
      <c r="H155">
        <v>29.2</v>
      </c>
      <c r="I155">
        <v>9.8000000000000007</v>
      </c>
      <c r="J155">
        <v>6.4</v>
      </c>
      <c r="K155">
        <v>6.3</v>
      </c>
      <c r="M155">
        <v>2.4</v>
      </c>
      <c r="AF155">
        <v>9.0233460000000001</v>
      </c>
      <c r="AI155" t="s">
        <v>0</v>
      </c>
      <c r="AJ155" t="s">
        <v>1319</v>
      </c>
      <c r="AK155" t="s">
        <v>1320</v>
      </c>
      <c r="AL155" t="s">
        <v>1238</v>
      </c>
      <c r="AM155" t="s">
        <v>1321</v>
      </c>
      <c r="AN155" t="s">
        <v>1322</v>
      </c>
      <c r="AO155" t="s">
        <v>11</v>
      </c>
      <c r="AP155" t="s">
        <v>11</v>
      </c>
      <c r="AQ155" t="s">
        <v>11</v>
      </c>
      <c r="AR155" t="s">
        <v>11</v>
      </c>
      <c r="AS155" t="s">
        <v>11</v>
      </c>
      <c r="AT155" t="s">
        <v>11</v>
      </c>
      <c r="AU155" t="s">
        <v>11</v>
      </c>
      <c r="AV155" t="s">
        <v>11</v>
      </c>
      <c r="AW155" t="s">
        <v>11</v>
      </c>
      <c r="AX155" t="s">
        <v>11</v>
      </c>
      <c r="AY155" t="s">
        <v>11</v>
      </c>
      <c r="AZ155" t="s">
        <v>11</v>
      </c>
      <c r="BA155" t="s">
        <v>11</v>
      </c>
      <c r="BB155" t="s">
        <v>11</v>
      </c>
      <c r="BC155" t="s">
        <v>11</v>
      </c>
      <c r="BD155" t="s">
        <v>11</v>
      </c>
      <c r="BE155" t="s">
        <v>11</v>
      </c>
      <c r="BF155" t="s">
        <v>11</v>
      </c>
      <c r="BG155" t="s">
        <v>11</v>
      </c>
      <c r="BH155" t="s">
        <v>1323</v>
      </c>
      <c r="BI155" t="s">
        <v>1315</v>
      </c>
      <c r="BJ155" t="s">
        <v>1324</v>
      </c>
      <c r="BK155" t="s">
        <v>1325</v>
      </c>
    </row>
    <row r="156" spans="1:63" x14ac:dyDescent="0.3">
      <c r="A156" t="s">
        <v>1326</v>
      </c>
      <c r="B156" t="s">
        <v>95</v>
      </c>
      <c r="C156" t="s">
        <v>1327</v>
      </c>
      <c r="D156" t="s">
        <v>1328</v>
      </c>
      <c r="E156" t="s">
        <v>1329</v>
      </c>
      <c r="F156">
        <v>168</v>
      </c>
      <c r="G156">
        <v>81.8</v>
      </c>
      <c r="I156">
        <v>8.75</v>
      </c>
      <c r="K156">
        <v>7.56</v>
      </c>
      <c r="M156">
        <v>1.89</v>
      </c>
      <c r="AF156">
        <v>9.2864349999999991</v>
      </c>
      <c r="AH156" t="s">
        <v>1330</v>
      </c>
      <c r="AI156" t="s">
        <v>0</v>
      </c>
      <c r="AJ156" t="s">
        <v>261</v>
      </c>
      <c r="AK156" t="s">
        <v>576</v>
      </c>
      <c r="AL156" t="s">
        <v>11</v>
      </c>
      <c r="AM156" t="s">
        <v>11</v>
      </c>
      <c r="AN156" t="s">
        <v>74</v>
      </c>
      <c r="AO156" t="s">
        <v>11</v>
      </c>
      <c r="AP156" t="s">
        <v>11</v>
      </c>
      <c r="AQ156" t="s">
        <v>11</v>
      </c>
      <c r="AR156" t="s">
        <v>11</v>
      </c>
      <c r="AS156" t="s">
        <v>11</v>
      </c>
      <c r="AT156" t="s">
        <v>11</v>
      </c>
      <c r="AU156" t="s">
        <v>11</v>
      </c>
      <c r="AV156" t="s">
        <v>11</v>
      </c>
      <c r="AW156" t="s">
        <v>11</v>
      </c>
      <c r="AX156" t="s">
        <v>11</v>
      </c>
      <c r="AY156" t="s">
        <v>11</v>
      </c>
      <c r="AZ156" t="s">
        <v>11</v>
      </c>
      <c r="BA156" t="s">
        <v>11</v>
      </c>
      <c r="BB156" t="s">
        <v>11</v>
      </c>
      <c r="BC156" t="s">
        <v>11</v>
      </c>
      <c r="BD156" t="s">
        <v>11</v>
      </c>
      <c r="BE156" t="s">
        <v>11</v>
      </c>
      <c r="BF156" t="s">
        <v>11</v>
      </c>
      <c r="BG156" t="s">
        <v>11</v>
      </c>
      <c r="BH156" t="s">
        <v>1331</v>
      </c>
      <c r="BI156" t="s">
        <v>1326</v>
      </c>
      <c r="BJ156" t="s">
        <v>1332</v>
      </c>
      <c r="BK156" t="s">
        <v>1333</v>
      </c>
    </row>
    <row r="157" spans="1:63" x14ac:dyDescent="0.3">
      <c r="A157" t="s">
        <v>1334</v>
      </c>
      <c r="B157" t="s">
        <v>160</v>
      </c>
      <c r="C157" t="s">
        <v>1335</v>
      </c>
      <c r="D157" t="s">
        <v>1336</v>
      </c>
      <c r="E157" t="s">
        <v>1337</v>
      </c>
      <c r="F157">
        <v>169</v>
      </c>
      <c r="G157">
        <v>49.9</v>
      </c>
      <c r="H157">
        <v>15.9</v>
      </c>
      <c r="I157">
        <v>13.6</v>
      </c>
      <c r="K157">
        <v>19</v>
      </c>
      <c r="M157">
        <v>0.7</v>
      </c>
      <c r="P157">
        <v>0.6</v>
      </c>
      <c r="U157">
        <v>0.3</v>
      </c>
      <c r="AF157">
        <v>10.123462</v>
      </c>
      <c r="AH157" t="s">
        <v>1338</v>
      </c>
      <c r="AI157" t="s">
        <v>0</v>
      </c>
      <c r="AJ157" t="s">
        <v>1339</v>
      </c>
      <c r="AK157" t="s">
        <v>1340</v>
      </c>
      <c r="AL157" t="s">
        <v>1341</v>
      </c>
      <c r="AM157" t="s">
        <v>11</v>
      </c>
      <c r="AN157" t="s">
        <v>1342</v>
      </c>
      <c r="AO157" t="s">
        <v>11</v>
      </c>
      <c r="AP157" t="s">
        <v>11</v>
      </c>
      <c r="AQ157" t="s">
        <v>11</v>
      </c>
      <c r="AR157" t="s">
        <v>1343</v>
      </c>
      <c r="AS157" t="s">
        <v>11</v>
      </c>
      <c r="AT157" t="s">
        <v>11</v>
      </c>
      <c r="AU157" t="s">
        <v>11</v>
      </c>
      <c r="AV157" t="s">
        <v>11</v>
      </c>
      <c r="AW157" t="s">
        <v>1344</v>
      </c>
      <c r="AX157" t="s">
        <v>11</v>
      </c>
      <c r="AY157" t="s">
        <v>11</v>
      </c>
      <c r="AZ157" t="s">
        <v>11</v>
      </c>
      <c r="BA157" t="s">
        <v>11</v>
      </c>
      <c r="BB157" t="s">
        <v>11</v>
      </c>
      <c r="BC157" t="s">
        <v>11</v>
      </c>
      <c r="BD157" t="s">
        <v>11</v>
      </c>
      <c r="BE157" t="s">
        <v>11</v>
      </c>
      <c r="BF157" t="s">
        <v>11</v>
      </c>
      <c r="BG157" t="s">
        <v>11</v>
      </c>
      <c r="BH157" t="s">
        <v>1345</v>
      </c>
      <c r="BI157" t="s">
        <v>1334</v>
      </c>
      <c r="BJ157" t="s">
        <v>1346</v>
      </c>
      <c r="BK157" t="s">
        <v>1347</v>
      </c>
    </row>
    <row r="158" spans="1:63" x14ac:dyDescent="0.3">
      <c r="A158" t="s">
        <v>1348</v>
      </c>
      <c r="B158" t="s">
        <v>95</v>
      </c>
      <c r="C158" t="s">
        <v>1349</v>
      </c>
      <c r="D158" t="s">
        <v>1350</v>
      </c>
      <c r="E158" t="s">
        <v>1351</v>
      </c>
      <c r="F158">
        <v>170</v>
      </c>
      <c r="G158">
        <v>79</v>
      </c>
      <c r="I158">
        <v>9</v>
      </c>
      <c r="K158">
        <v>10</v>
      </c>
      <c r="M158">
        <v>2</v>
      </c>
      <c r="AF158">
        <v>9.532</v>
      </c>
      <c r="AI158" t="s">
        <v>0</v>
      </c>
      <c r="AJ158" t="s">
        <v>128</v>
      </c>
      <c r="AK158" t="s">
        <v>677</v>
      </c>
      <c r="AL158" t="s">
        <v>11</v>
      </c>
      <c r="AM158" t="s">
        <v>11</v>
      </c>
      <c r="AN158" t="s">
        <v>24</v>
      </c>
      <c r="AO158" t="s">
        <v>11</v>
      </c>
      <c r="AP158" t="s">
        <v>11</v>
      </c>
      <c r="AQ158" t="s">
        <v>11</v>
      </c>
      <c r="AR158" t="s">
        <v>11</v>
      </c>
      <c r="AS158" t="s">
        <v>11</v>
      </c>
      <c r="AT158" t="s">
        <v>11</v>
      </c>
      <c r="AU158" t="s">
        <v>11</v>
      </c>
      <c r="AV158" t="s">
        <v>11</v>
      </c>
      <c r="AW158" t="s">
        <v>11</v>
      </c>
      <c r="AX158" t="s">
        <v>11</v>
      </c>
      <c r="AY158" t="s">
        <v>11</v>
      </c>
      <c r="AZ158" t="s">
        <v>11</v>
      </c>
      <c r="BA158" t="s">
        <v>11</v>
      </c>
      <c r="BB158" t="s">
        <v>11</v>
      </c>
      <c r="BC158" t="s">
        <v>11</v>
      </c>
      <c r="BD158" t="s">
        <v>11</v>
      </c>
      <c r="BE158" t="s">
        <v>11</v>
      </c>
      <c r="BF158" t="s">
        <v>11</v>
      </c>
      <c r="BG158" t="s">
        <v>11</v>
      </c>
      <c r="BH158" t="s">
        <v>1352</v>
      </c>
      <c r="BI158" t="s">
        <v>1348</v>
      </c>
      <c r="BJ158" t="s">
        <v>1353</v>
      </c>
      <c r="BK158" t="s">
        <v>1354</v>
      </c>
    </row>
    <row r="159" spans="1:63" x14ac:dyDescent="0.3">
      <c r="A159" t="s">
        <v>1355</v>
      </c>
      <c r="B159" t="s">
        <v>95</v>
      </c>
      <c r="C159" t="s">
        <v>1356</v>
      </c>
      <c r="D159" t="s">
        <v>1357</v>
      </c>
      <c r="E159" t="s">
        <v>1351</v>
      </c>
      <c r="F159">
        <v>171</v>
      </c>
      <c r="G159">
        <v>81</v>
      </c>
      <c r="I159">
        <v>7</v>
      </c>
      <c r="K159">
        <v>10</v>
      </c>
      <c r="M159">
        <v>2</v>
      </c>
      <c r="AF159">
        <v>9.6559999999999988</v>
      </c>
      <c r="AI159" t="s">
        <v>0</v>
      </c>
      <c r="AJ159" t="s">
        <v>1358</v>
      </c>
      <c r="AK159" t="s">
        <v>677</v>
      </c>
      <c r="AL159" t="s">
        <v>11</v>
      </c>
      <c r="AM159" t="s">
        <v>11</v>
      </c>
      <c r="AN159" t="s">
        <v>24</v>
      </c>
      <c r="AO159" t="s">
        <v>11</v>
      </c>
      <c r="AP159" t="s">
        <v>11</v>
      </c>
      <c r="AQ159" t="s">
        <v>11</v>
      </c>
      <c r="AR159" t="s">
        <v>11</v>
      </c>
      <c r="AS159" t="s">
        <v>11</v>
      </c>
      <c r="AT159" t="s">
        <v>11</v>
      </c>
      <c r="AU159" t="s">
        <v>11</v>
      </c>
      <c r="AV159" t="s">
        <v>11</v>
      </c>
      <c r="AW159" t="s">
        <v>11</v>
      </c>
      <c r="AX159" t="s">
        <v>11</v>
      </c>
      <c r="AY159" t="s">
        <v>11</v>
      </c>
      <c r="AZ159" t="s">
        <v>11</v>
      </c>
      <c r="BA159" t="s">
        <v>11</v>
      </c>
      <c r="BB159" t="s">
        <v>11</v>
      </c>
      <c r="BC159" t="s">
        <v>11</v>
      </c>
      <c r="BD159" t="s">
        <v>11</v>
      </c>
      <c r="BE159" t="s">
        <v>11</v>
      </c>
      <c r="BF159" t="s">
        <v>11</v>
      </c>
      <c r="BG159" t="s">
        <v>11</v>
      </c>
      <c r="BH159" t="s">
        <v>1359</v>
      </c>
      <c r="BI159" t="s">
        <v>1355</v>
      </c>
      <c r="BJ159" t="s">
        <v>1360</v>
      </c>
      <c r="BK159" t="s">
        <v>1361</v>
      </c>
    </row>
    <row r="160" spans="1:63" x14ac:dyDescent="0.3">
      <c r="A160" t="s">
        <v>1362</v>
      </c>
      <c r="B160" t="s">
        <v>95</v>
      </c>
      <c r="C160" t="s">
        <v>1363</v>
      </c>
      <c r="D160" t="s">
        <v>1364</v>
      </c>
      <c r="E160" t="s">
        <v>1351</v>
      </c>
      <c r="F160">
        <v>172</v>
      </c>
      <c r="G160">
        <v>77</v>
      </c>
      <c r="I160">
        <v>11</v>
      </c>
      <c r="K160">
        <v>10</v>
      </c>
      <c r="M160">
        <v>2</v>
      </c>
      <c r="AF160">
        <v>9.4080000000000013</v>
      </c>
      <c r="AI160" t="s">
        <v>0</v>
      </c>
      <c r="AJ160" t="s">
        <v>1365</v>
      </c>
      <c r="AK160" t="s">
        <v>677</v>
      </c>
      <c r="AL160" t="s">
        <v>11</v>
      </c>
      <c r="AM160" t="s">
        <v>11</v>
      </c>
      <c r="AN160" t="s">
        <v>24</v>
      </c>
      <c r="AO160" t="s">
        <v>11</v>
      </c>
      <c r="AP160" t="s">
        <v>11</v>
      </c>
      <c r="AQ160" t="s">
        <v>11</v>
      </c>
      <c r="AR160" t="s">
        <v>11</v>
      </c>
      <c r="AS160" t="s">
        <v>11</v>
      </c>
      <c r="AT160" t="s">
        <v>11</v>
      </c>
      <c r="AU160" t="s">
        <v>11</v>
      </c>
      <c r="AV160" t="s">
        <v>11</v>
      </c>
      <c r="AW160" t="s">
        <v>11</v>
      </c>
      <c r="AX160" t="s">
        <v>11</v>
      </c>
      <c r="AY160" t="s">
        <v>11</v>
      </c>
      <c r="AZ160" t="s">
        <v>11</v>
      </c>
      <c r="BA160" t="s">
        <v>11</v>
      </c>
      <c r="BB160" t="s">
        <v>11</v>
      </c>
      <c r="BC160" t="s">
        <v>11</v>
      </c>
      <c r="BD160" t="s">
        <v>11</v>
      </c>
      <c r="BE160" t="s">
        <v>11</v>
      </c>
      <c r="BF160" t="s">
        <v>11</v>
      </c>
      <c r="BG160" t="s">
        <v>11</v>
      </c>
      <c r="BH160" t="s">
        <v>1366</v>
      </c>
      <c r="BI160" t="s">
        <v>1362</v>
      </c>
      <c r="BJ160" t="s">
        <v>1367</v>
      </c>
      <c r="BK160" t="s">
        <v>1368</v>
      </c>
    </row>
    <row r="161" spans="1:63" x14ac:dyDescent="0.3">
      <c r="A161" t="s">
        <v>1369</v>
      </c>
      <c r="B161" t="s">
        <v>95</v>
      </c>
      <c r="C161" t="s">
        <v>1370</v>
      </c>
      <c r="D161" t="s">
        <v>1371</v>
      </c>
      <c r="E161" t="s">
        <v>1351</v>
      </c>
      <c r="F161">
        <v>173</v>
      </c>
      <c r="G161">
        <v>77</v>
      </c>
      <c r="I161">
        <v>9</v>
      </c>
      <c r="K161">
        <v>12</v>
      </c>
      <c r="M161">
        <v>2</v>
      </c>
      <c r="AF161">
        <v>9.738999999999999</v>
      </c>
      <c r="AI161" t="s">
        <v>0</v>
      </c>
      <c r="AJ161" t="s">
        <v>128</v>
      </c>
      <c r="AK161" t="s">
        <v>1372</v>
      </c>
      <c r="AL161" t="s">
        <v>11</v>
      </c>
      <c r="AM161" t="s">
        <v>11</v>
      </c>
      <c r="AN161" t="s">
        <v>24</v>
      </c>
      <c r="AO161" t="s">
        <v>11</v>
      </c>
      <c r="AP161" t="s">
        <v>11</v>
      </c>
      <c r="AQ161" t="s">
        <v>11</v>
      </c>
      <c r="AR161" t="s">
        <v>11</v>
      </c>
      <c r="AS161" t="s">
        <v>11</v>
      </c>
      <c r="AT161" t="s">
        <v>11</v>
      </c>
      <c r="AU161" t="s">
        <v>11</v>
      </c>
      <c r="AV161" t="s">
        <v>11</v>
      </c>
      <c r="AW161" t="s">
        <v>11</v>
      </c>
      <c r="AX161" t="s">
        <v>11</v>
      </c>
      <c r="AY161" t="s">
        <v>11</v>
      </c>
      <c r="AZ161" t="s">
        <v>11</v>
      </c>
      <c r="BA161" t="s">
        <v>11</v>
      </c>
      <c r="BB161" t="s">
        <v>11</v>
      </c>
      <c r="BC161" t="s">
        <v>11</v>
      </c>
      <c r="BD161" t="s">
        <v>11</v>
      </c>
      <c r="BE161" t="s">
        <v>11</v>
      </c>
      <c r="BF161" t="s">
        <v>11</v>
      </c>
      <c r="BG161" t="s">
        <v>11</v>
      </c>
      <c r="BH161" t="s">
        <v>1373</v>
      </c>
      <c r="BI161" t="s">
        <v>1369</v>
      </c>
      <c r="BJ161" t="s">
        <v>1374</v>
      </c>
      <c r="BK161" t="s">
        <v>1375</v>
      </c>
    </row>
    <row r="162" spans="1:63" x14ac:dyDescent="0.3">
      <c r="A162" t="s">
        <v>1376</v>
      </c>
      <c r="B162" t="s">
        <v>95</v>
      </c>
      <c r="C162" t="s">
        <v>1327</v>
      </c>
      <c r="D162" t="s">
        <v>1377</v>
      </c>
      <c r="E162" t="s">
        <v>1351</v>
      </c>
      <c r="F162">
        <v>174</v>
      </c>
      <c r="G162">
        <v>81</v>
      </c>
      <c r="I162">
        <v>9</v>
      </c>
      <c r="K162">
        <v>8</v>
      </c>
      <c r="M162">
        <v>2</v>
      </c>
      <c r="AF162">
        <v>9.3249999999999993</v>
      </c>
      <c r="AI162" t="s">
        <v>0</v>
      </c>
      <c r="AJ162" t="s">
        <v>128</v>
      </c>
      <c r="AK162" t="s">
        <v>548</v>
      </c>
      <c r="AL162" t="s">
        <v>11</v>
      </c>
      <c r="AM162" t="s">
        <v>11</v>
      </c>
      <c r="AN162" t="s">
        <v>24</v>
      </c>
      <c r="AO162" t="s">
        <v>11</v>
      </c>
      <c r="AP162" t="s">
        <v>11</v>
      </c>
      <c r="AQ162" t="s">
        <v>11</v>
      </c>
      <c r="AR162" t="s">
        <v>11</v>
      </c>
      <c r="AS162" t="s">
        <v>11</v>
      </c>
      <c r="AT162" t="s">
        <v>11</v>
      </c>
      <c r="AU162" t="s">
        <v>11</v>
      </c>
      <c r="AV162" t="s">
        <v>11</v>
      </c>
      <c r="AW162" t="s">
        <v>11</v>
      </c>
      <c r="AX162" t="s">
        <v>11</v>
      </c>
      <c r="AY162" t="s">
        <v>11</v>
      </c>
      <c r="AZ162" t="s">
        <v>11</v>
      </c>
      <c r="BA162" t="s">
        <v>11</v>
      </c>
      <c r="BB162" t="s">
        <v>11</v>
      </c>
      <c r="BC162" t="s">
        <v>11</v>
      </c>
      <c r="BD162" t="s">
        <v>11</v>
      </c>
      <c r="BE162" t="s">
        <v>11</v>
      </c>
      <c r="BF162" t="s">
        <v>11</v>
      </c>
      <c r="BG162" t="s">
        <v>11</v>
      </c>
      <c r="BH162" t="s">
        <v>1378</v>
      </c>
      <c r="BI162" t="s">
        <v>1376</v>
      </c>
      <c r="BJ162" t="s">
        <v>1379</v>
      </c>
      <c r="BK162" t="s">
        <v>1380</v>
      </c>
    </row>
    <row r="163" spans="1:63" x14ac:dyDescent="0.3">
      <c r="A163" t="s">
        <v>1381</v>
      </c>
      <c r="B163" t="s">
        <v>95</v>
      </c>
      <c r="C163" t="s">
        <v>1382</v>
      </c>
      <c r="D163" t="s">
        <v>1383</v>
      </c>
      <c r="E163" t="s">
        <v>1351</v>
      </c>
      <c r="F163">
        <v>175</v>
      </c>
      <c r="G163">
        <v>81</v>
      </c>
      <c r="I163">
        <v>9</v>
      </c>
      <c r="K163">
        <v>10</v>
      </c>
      <c r="M163">
        <v>0</v>
      </c>
      <c r="AF163">
        <v>9.3769999999999989</v>
      </c>
      <c r="AI163" t="s">
        <v>0</v>
      </c>
      <c r="AJ163" t="s">
        <v>128</v>
      </c>
      <c r="AK163" t="s">
        <v>677</v>
      </c>
      <c r="AL163" t="s">
        <v>11</v>
      </c>
      <c r="AM163" t="s">
        <v>11</v>
      </c>
      <c r="AN163" t="s">
        <v>1384</v>
      </c>
      <c r="AO163" t="s">
        <v>11</v>
      </c>
      <c r="AP163" t="s">
        <v>11</v>
      </c>
      <c r="AQ163" t="s">
        <v>11</v>
      </c>
      <c r="AR163" t="s">
        <v>11</v>
      </c>
      <c r="AS163" t="s">
        <v>11</v>
      </c>
      <c r="AT163" t="s">
        <v>11</v>
      </c>
      <c r="AU163" t="s">
        <v>11</v>
      </c>
      <c r="AV163" t="s">
        <v>11</v>
      </c>
      <c r="AW163" t="s">
        <v>11</v>
      </c>
      <c r="AX163" t="s">
        <v>11</v>
      </c>
      <c r="AY163" t="s">
        <v>11</v>
      </c>
      <c r="AZ163" t="s">
        <v>11</v>
      </c>
      <c r="BA163" t="s">
        <v>11</v>
      </c>
      <c r="BB163" t="s">
        <v>11</v>
      </c>
      <c r="BC163" t="s">
        <v>11</v>
      </c>
      <c r="BD163" t="s">
        <v>11</v>
      </c>
      <c r="BE163" t="s">
        <v>11</v>
      </c>
      <c r="BF163" t="s">
        <v>11</v>
      </c>
      <c r="BG163" t="s">
        <v>11</v>
      </c>
      <c r="BH163" t="s">
        <v>1385</v>
      </c>
      <c r="BI163" t="s">
        <v>1381</v>
      </c>
      <c r="BJ163" t="s">
        <v>1386</v>
      </c>
      <c r="BK163" t="s">
        <v>1387</v>
      </c>
    </row>
    <row r="164" spans="1:63" x14ac:dyDescent="0.3">
      <c r="A164" t="s">
        <v>1388</v>
      </c>
      <c r="B164" t="s">
        <v>95</v>
      </c>
      <c r="C164" t="s">
        <v>1389</v>
      </c>
      <c r="D164" t="s">
        <v>1390</v>
      </c>
      <c r="E164" t="s">
        <v>1351</v>
      </c>
      <c r="F164">
        <v>176</v>
      </c>
      <c r="G164">
        <v>77</v>
      </c>
      <c r="I164">
        <v>9</v>
      </c>
      <c r="K164">
        <v>10</v>
      </c>
      <c r="M164">
        <v>4</v>
      </c>
      <c r="AF164">
        <v>9.6870000000000012</v>
      </c>
      <c r="AI164" t="s">
        <v>0</v>
      </c>
      <c r="AJ164" t="s">
        <v>128</v>
      </c>
      <c r="AK164" t="s">
        <v>677</v>
      </c>
      <c r="AL164" t="s">
        <v>11</v>
      </c>
      <c r="AM164" t="s">
        <v>11</v>
      </c>
      <c r="AN164" t="s">
        <v>849</v>
      </c>
      <c r="AO164" t="s">
        <v>11</v>
      </c>
      <c r="AP164" t="s">
        <v>11</v>
      </c>
      <c r="AQ164" t="s">
        <v>11</v>
      </c>
      <c r="AR164" t="s">
        <v>11</v>
      </c>
      <c r="AS164" t="s">
        <v>11</v>
      </c>
      <c r="AT164" t="s">
        <v>11</v>
      </c>
      <c r="AU164" t="s">
        <v>11</v>
      </c>
      <c r="AV164" t="s">
        <v>11</v>
      </c>
      <c r="AW164" t="s">
        <v>11</v>
      </c>
      <c r="AX164" t="s">
        <v>11</v>
      </c>
      <c r="AY164" t="s">
        <v>11</v>
      </c>
      <c r="AZ164" t="s">
        <v>11</v>
      </c>
      <c r="BA164" t="s">
        <v>11</v>
      </c>
      <c r="BB164" t="s">
        <v>11</v>
      </c>
      <c r="BC164" t="s">
        <v>11</v>
      </c>
      <c r="BD164" t="s">
        <v>11</v>
      </c>
      <c r="BE164" t="s">
        <v>11</v>
      </c>
      <c r="BF164" t="s">
        <v>11</v>
      </c>
      <c r="BG164" t="s">
        <v>11</v>
      </c>
      <c r="BH164" t="s">
        <v>1391</v>
      </c>
      <c r="BI164" t="s">
        <v>1388</v>
      </c>
      <c r="BJ164" t="s">
        <v>1392</v>
      </c>
      <c r="BK164" t="s">
        <v>1393</v>
      </c>
    </row>
    <row r="165" spans="1:63" x14ac:dyDescent="0.3">
      <c r="A165" t="s">
        <v>1394</v>
      </c>
      <c r="B165" t="s">
        <v>95</v>
      </c>
      <c r="C165" t="s">
        <v>1395</v>
      </c>
      <c r="D165" t="s">
        <v>1396</v>
      </c>
      <c r="E165" t="s">
        <v>1351</v>
      </c>
      <c r="F165">
        <v>177</v>
      </c>
      <c r="G165">
        <v>79</v>
      </c>
      <c r="I165">
        <v>11</v>
      </c>
      <c r="K165">
        <v>8</v>
      </c>
      <c r="M165">
        <v>2</v>
      </c>
      <c r="AF165">
        <v>9.2010000000000005</v>
      </c>
      <c r="AI165" t="s">
        <v>0</v>
      </c>
      <c r="AJ165" t="s">
        <v>1365</v>
      </c>
      <c r="AK165" t="s">
        <v>548</v>
      </c>
      <c r="AL165" t="s">
        <v>11</v>
      </c>
      <c r="AM165" t="s">
        <v>11</v>
      </c>
      <c r="AN165" t="s">
        <v>24</v>
      </c>
      <c r="AO165" t="s">
        <v>11</v>
      </c>
      <c r="AP165" t="s">
        <v>11</v>
      </c>
      <c r="AQ165" t="s">
        <v>11</v>
      </c>
      <c r="AR165" t="s">
        <v>11</v>
      </c>
      <c r="AS165" t="s">
        <v>11</v>
      </c>
      <c r="AT165" t="s">
        <v>11</v>
      </c>
      <c r="AU165" t="s">
        <v>11</v>
      </c>
      <c r="AV165" t="s">
        <v>11</v>
      </c>
      <c r="AW165" t="s">
        <v>11</v>
      </c>
      <c r="AX165" t="s">
        <v>11</v>
      </c>
      <c r="AY165" t="s">
        <v>11</v>
      </c>
      <c r="AZ165" t="s">
        <v>11</v>
      </c>
      <c r="BA165" t="s">
        <v>11</v>
      </c>
      <c r="BB165" t="s">
        <v>11</v>
      </c>
      <c r="BC165" t="s">
        <v>11</v>
      </c>
      <c r="BD165" t="s">
        <v>11</v>
      </c>
      <c r="BE165" t="s">
        <v>11</v>
      </c>
      <c r="BF165" t="s">
        <v>11</v>
      </c>
      <c r="BG165" t="s">
        <v>11</v>
      </c>
      <c r="BH165" t="s">
        <v>1397</v>
      </c>
      <c r="BI165" t="s">
        <v>1394</v>
      </c>
      <c r="BJ165" t="s">
        <v>1398</v>
      </c>
      <c r="BK165" t="s">
        <v>1399</v>
      </c>
    </row>
    <row r="166" spans="1:63" x14ac:dyDescent="0.3">
      <c r="A166" t="s">
        <v>1400</v>
      </c>
      <c r="B166" t="s">
        <v>95</v>
      </c>
      <c r="C166" t="s">
        <v>1401</v>
      </c>
      <c r="D166" t="s">
        <v>1402</v>
      </c>
      <c r="E166" t="s">
        <v>1351</v>
      </c>
      <c r="F166">
        <v>178</v>
      </c>
      <c r="G166">
        <v>79</v>
      </c>
      <c r="I166">
        <v>7</v>
      </c>
      <c r="K166">
        <v>12</v>
      </c>
      <c r="M166">
        <v>2</v>
      </c>
      <c r="AF166">
        <v>9.8629999999999995</v>
      </c>
      <c r="AI166" t="s">
        <v>0</v>
      </c>
      <c r="AJ166" t="s">
        <v>1358</v>
      </c>
      <c r="AK166" t="s">
        <v>1372</v>
      </c>
      <c r="AL166" t="s">
        <v>11</v>
      </c>
      <c r="AM166" t="s">
        <v>11</v>
      </c>
      <c r="AN166" t="s">
        <v>24</v>
      </c>
      <c r="AO166" t="s">
        <v>11</v>
      </c>
      <c r="AP166" t="s">
        <v>11</v>
      </c>
      <c r="AQ166" t="s">
        <v>11</v>
      </c>
      <c r="AR166" t="s">
        <v>11</v>
      </c>
      <c r="AS166" t="s">
        <v>11</v>
      </c>
      <c r="AT166" t="s">
        <v>11</v>
      </c>
      <c r="AU166" t="s">
        <v>11</v>
      </c>
      <c r="AV166" t="s">
        <v>11</v>
      </c>
      <c r="AW166" t="s">
        <v>11</v>
      </c>
      <c r="AX166" t="s">
        <v>11</v>
      </c>
      <c r="AY166" t="s">
        <v>11</v>
      </c>
      <c r="AZ166" t="s">
        <v>11</v>
      </c>
      <c r="BA166" t="s">
        <v>11</v>
      </c>
      <c r="BB166" t="s">
        <v>11</v>
      </c>
      <c r="BC166" t="s">
        <v>11</v>
      </c>
      <c r="BD166" t="s">
        <v>11</v>
      </c>
      <c r="BE166" t="s">
        <v>11</v>
      </c>
      <c r="BF166" t="s">
        <v>11</v>
      </c>
      <c r="BG166" t="s">
        <v>11</v>
      </c>
      <c r="BH166" t="s">
        <v>1403</v>
      </c>
      <c r="BI166" t="s">
        <v>1400</v>
      </c>
      <c r="BJ166" t="s">
        <v>1404</v>
      </c>
      <c r="BK166" t="s">
        <v>1405</v>
      </c>
    </row>
    <row r="167" spans="1:63" x14ac:dyDescent="0.3">
      <c r="A167" t="s">
        <v>1406</v>
      </c>
      <c r="B167" t="s">
        <v>95</v>
      </c>
      <c r="C167" t="s">
        <v>1407</v>
      </c>
      <c r="D167" t="s">
        <v>1408</v>
      </c>
      <c r="E167" t="s">
        <v>1351</v>
      </c>
      <c r="F167">
        <v>179</v>
      </c>
      <c r="G167">
        <v>79</v>
      </c>
      <c r="I167">
        <v>11</v>
      </c>
      <c r="K167">
        <v>10</v>
      </c>
      <c r="M167">
        <v>0</v>
      </c>
      <c r="AF167">
        <v>9.2530000000000001</v>
      </c>
      <c r="AI167" t="s">
        <v>0</v>
      </c>
      <c r="AJ167" t="s">
        <v>1365</v>
      </c>
      <c r="AK167" t="s">
        <v>677</v>
      </c>
      <c r="AL167" t="s">
        <v>11</v>
      </c>
      <c r="AM167" t="s">
        <v>11</v>
      </c>
      <c r="AN167" t="s">
        <v>1384</v>
      </c>
      <c r="AO167" t="s">
        <v>11</v>
      </c>
      <c r="AP167" t="s">
        <v>11</v>
      </c>
      <c r="AQ167" t="s">
        <v>11</v>
      </c>
      <c r="AR167" t="s">
        <v>11</v>
      </c>
      <c r="AS167" t="s">
        <v>11</v>
      </c>
      <c r="AT167" t="s">
        <v>11</v>
      </c>
      <c r="AU167" t="s">
        <v>11</v>
      </c>
      <c r="AV167" t="s">
        <v>11</v>
      </c>
      <c r="AW167" t="s">
        <v>11</v>
      </c>
      <c r="AX167" t="s">
        <v>11</v>
      </c>
      <c r="AY167" t="s">
        <v>11</v>
      </c>
      <c r="AZ167" t="s">
        <v>11</v>
      </c>
      <c r="BA167" t="s">
        <v>11</v>
      </c>
      <c r="BB167" t="s">
        <v>11</v>
      </c>
      <c r="BC167" t="s">
        <v>11</v>
      </c>
      <c r="BD167" t="s">
        <v>11</v>
      </c>
      <c r="BE167" t="s">
        <v>11</v>
      </c>
      <c r="BF167" t="s">
        <v>11</v>
      </c>
      <c r="BG167" t="s">
        <v>11</v>
      </c>
      <c r="BH167" t="s">
        <v>1409</v>
      </c>
      <c r="BI167" t="s">
        <v>1406</v>
      </c>
      <c r="BJ167" t="s">
        <v>1410</v>
      </c>
      <c r="BK167" t="s">
        <v>1411</v>
      </c>
    </row>
    <row r="168" spans="1:63" x14ac:dyDescent="0.3">
      <c r="A168" t="s">
        <v>1412</v>
      </c>
      <c r="B168" t="s">
        <v>95</v>
      </c>
      <c r="C168" t="s">
        <v>1413</v>
      </c>
      <c r="D168" t="s">
        <v>1414</v>
      </c>
      <c r="E168" t="s">
        <v>1351</v>
      </c>
      <c r="F168">
        <v>180</v>
      </c>
      <c r="G168">
        <v>79</v>
      </c>
      <c r="I168">
        <v>7</v>
      </c>
      <c r="K168">
        <v>10</v>
      </c>
      <c r="M168">
        <v>4</v>
      </c>
      <c r="AF168">
        <v>9.8109999999999999</v>
      </c>
      <c r="AI168" t="s">
        <v>0</v>
      </c>
      <c r="AJ168" t="s">
        <v>1358</v>
      </c>
      <c r="AK168" t="s">
        <v>677</v>
      </c>
      <c r="AL168" t="s">
        <v>11</v>
      </c>
      <c r="AM168" t="s">
        <v>11</v>
      </c>
      <c r="AN168" t="s">
        <v>849</v>
      </c>
      <c r="AO168" t="s">
        <v>11</v>
      </c>
      <c r="AP168" t="s">
        <v>11</v>
      </c>
      <c r="AQ168" t="s">
        <v>11</v>
      </c>
      <c r="AR168" t="s">
        <v>11</v>
      </c>
      <c r="AS168" t="s">
        <v>11</v>
      </c>
      <c r="AT168" t="s">
        <v>11</v>
      </c>
      <c r="AU168" t="s">
        <v>11</v>
      </c>
      <c r="AV168" t="s">
        <v>11</v>
      </c>
      <c r="AW168" t="s">
        <v>11</v>
      </c>
      <c r="AX168" t="s">
        <v>11</v>
      </c>
      <c r="AY168" t="s">
        <v>11</v>
      </c>
      <c r="AZ168" t="s">
        <v>11</v>
      </c>
      <c r="BA168" t="s">
        <v>11</v>
      </c>
      <c r="BB168" t="s">
        <v>11</v>
      </c>
      <c r="BC168" t="s">
        <v>11</v>
      </c>
      <c r="BD168" t="s">
        <v>11</v>
      </c>
      <c r="BE168" t="s">
        <v>11</v>
      </c>
      <c r="BF168" t="s">
        <v>11</v>
      </c>
      <c r="BG168" t="s">
        <v>11</v>
      </c>
      <c r="BH168" t="s">
        <v>1415</v>
      </c>
      <c r="BI168" t="s">
        <v>1412</v>
      </c>
      <c r="BJ168" t="s">
        <v>1416</v>
      </c>
      <c r="BK168" t="s">
        <v>1417</v>
      </c>
    </row>
    <row r="169" spans="1:63" x14ac:dyDescent="0.3">
      <c r="A169" t="s">
        <v>1418</v>
      </c>
      <c r="B169" t="s">
        <v>95</v>
      </c>
      <c r="C169" t="s">
        <v>1419</v>
      </c>
      <c r="D169" t="s">
        <v>1420</v>
      </c>
      <c r="E169" t="s">
        <v>1351</v>
      </c>
      <c r="F169">
        <v>181</v>
      </c>
      <c r="G169">
        <v>79</v>
      </c>
      <c r="I169">
        <v>9</v>
      </c>
      <c r="K169">
        <v>12</v>
      </c>
      <c r="M169">
        <v>0</v>
      </c>
      <c r="AF169">
        <v>9.5839999999999996</v>
      </c>
      <c r="AI169" t="s">
        <v>0</v>
      </c>
      <c r="AJ169" t="s">
        <v>128</v>
      </c>
      <c r="AK169" t="s">
        <v>1372</v>
      </c>
      <c r="AL169" t="s">
        <v>11</v>
      </c>
      <c r="AM169" t="s">
        <v>11</v>
      </c>
      <c r="AN169" t="s">
        <v>1384</v>
      </c>
      <c r="AO169" t="s">
        <v>11</v>
      </c>
      <c r="AP169" t="s">
        <v>11</v>
      </c>
      <c r="AQ169" t="s">
        <v>11</v>
      </c>
      <c r="AR169" t="s">
        <v>11</v>
      </c>
      <c r="AS169" t="s">
        <v>11</v>
      </c>
      <c r="AT169" t="s">
        <v>11</v>
      </c>
      <c r="AU169" t="s">
        <v>11</v>
      </c>
      <c r="AV169" t="s">
        <v>11</v>
      </c>
      <c r="AW169" t="s">
        <v>11</v>
      </c>
      <c r="AX169" t="s">
        <v>11</v>
      </c>
      <c r="AY169" t="s">
        <v>11</v>
      </c>
      <c r="AZ169" t="s">
        <v>11</v>
      </c>
      <c r="BA169" t="s">
        <v>11</v>
      </c>
      <c r="BB169" t="s">
        <v>11</v>
      </c>
      <c r="BC169" t="s">
        <v>11</v>
      </c>
      <c r="BD169" t="s">
        <v>11</v>
      </c>
      <c r="BE169" t="s">
        <v>11</v>
      </c>
      <c r="BF169" t="s">
        <v>11</v>
      </c>
      <c r="BG169" t="s">
        <v>11</v>
      </c>
      <c r="BH169" t="s">
        <v>1421</v>
      </c>
      <c r="BI169" t="s">
        <v>1418</v>
      </c>
      <c r="BJ169" t="s">
        <v>1422</v>
      </c>
      <c r="BK169" t="s">
        <v>1423</v>
      </c>
    </row>
    <row r="170" spans="1:63" x14ac:dyDescent="0.3">
      <c r="A170" t="s">
        <v>1424</v>
      </c>
      <c r="B170" t="s">
        <v>95</v>
      </c>
      <c r="C170" t="s">
        <v>1425</v>
      </c>
      <c r="D170" t="s">
        <v>1426</v>
      </c>
      <c r="E170" t="s">
        <v>1351</v>
      </c>
      <c r="F170">
        <v>182</v>
      </c>
      <c r="G170">
        <v>79</v>
      </c>
      <c r="I170">
        <v>9</v>
      </c>
      <c r="K170">
        <v>8</v>
      </c>
      <c r="M170">
        <v>4</v>
      </c>
      <c r="AF170">
        <v>9.48</v>
      </c>
      <c r="AI170" t="s">
        <v>0</v>
      </c>
      <c r="AJ170" t="s">
        <v>128</v>
      </c>
      <c r="AK170" t="s">
        <v>548</v>
      </c>
      <c r="AL170" t="s">
        <v>11</v>
      </c>
      <c r="AM170" t="s">
        <v>11</v>
      </c>
      <c r="AN170" t="s">
        <v>849</v>
      </c>
      <c r="AO170" t="s">
        <v>11</v>
      </c>
      <c r="AP170" t="s">
        <v>11</v>
      </c>
      <c r="AQ170" t="s">
        <v>11</v>
      </c>
      <c r="AR170" t="s">
        <v>11</v>
      </c>
      <c r="AS170" t="s">
        <v>11</v>
      </c>
      <c r="AT170" t="s">
        <v>11</v>
      </c>
      <c r="AU170" t="s">
        <v>11</v>
      </c>
      <c r="AV170" t="s">
        <v>11</v>
      </c>
      <c r="AW170" t="s">
        <v>11</v>
      </c>
      <c r="AX170" t="s">
        <v>11</v>
      </c>
      <c r="AY170" t="s">
        <v>11</v>
      </c>
      <c r="AZ170" t="s">
        <v>11</v>
      </c>
      <c r="BA170" t="s">
        <v>11</v>
      </c>
      <c r="BB170" t="s">
        <v>11</v>
      </c>
      <c r="BC170" t="s">
        <v>11</v>
      </c>
      <c r="BD170" t="s">
        <v>11</v>
      </c>
      <c r="BE170" t="s">
        <v>11</v>
      </c>
      <c r="BF170" t="s">
        <v>11</v>
      </c>
      <c r="BG170" t="s">
        <v>11</v>
      </c>
      <c r="BH170" t="s">
        <v>1427</v>
      </c>
      <c r="BI170" t="s">
        <v>1424</v>
      </c>
      <c r="BJ170" t="s">
        <v>1428</v>
      </c>
      <c r="BK170" t="s">
        <v>1429</v>
      </c>
    </row>
    <row r="171" spans="1:63" x14ac:dyDescent="0.3">
      <c r="A171" t="s">
        <v>1430</v>
      </c>
      <c r="B171" t="s">
        <v>95</v>
      </c>
      <c r="C171" t="s">
        <v>1431</v>
      </c>
      <c r="D171" t="s">
        <v>1432</v>
      </c>
      <c r="E171" t="s">
        <v>1351</v>
      </c>
      <c r="F171">
        <v>183</v>
      </c>
      <c r="G171">
        <v>79.599999999999994</v>
      </c>
      <c r="I171">
        <v>13.3</v>
      </c>
      <c r="K171">
        <v>3.9</v>
      </c>
      <c r="M171">
        <v>3.2</v>
      </c>
      <c r="AF171">
        <v>8.7270499999999984</v>
      </c>
      <c r="AI171" t="s">
        <v>0</v>
      </c>
      <c r="AJ171" t="s">
        <v>1433</v>
      </c>
      <c r="AK171" t="s">
        <v>608</v>
      </c>
      <c r="AL171" t="s">
        <v>11</v>
      </c>
      <c r="AM171" t="s">
        <v>11</v>
      </c>
      <c r="AN171" t="s">
        <v>1434</v>
      </c>
      <c r="AO171" t="s">
        <v>11</v>
      </c>
      <c r="AP171" t="s">
        <v>11</v>
      </c>
      <c r="AQ171" t="s">
        <v>11</v>
      </c>
      <c r="AR171" t="s">
        <v>11</v>
      </c>
      <c r="AS171" t="s">
        <v>11</v>
      </c>
      <c r="AT171" t="s">
        <v>11</v>
      </c>
      <c r="AU171" t="s">
        <v>11</v>
      </c>
      <c r="AV171" t="s">
        <v>11</v>
      </c>
      <c r="AW171" t="s">
        <v>11</v>
      </c>
      <c r="AX171" t="s">
        <v>11</v>
      </c>
      <c r="AY171" t="s">
        <v>11</v>
      </c>
      <c r="AZ171" t="s">
        <v>11</v>
      </c>
      <c r="BA171" t="s">
        <v>11</v>
      </c>
      <c r="BB171" t="s">
        <v>11</v>
      </c>
      <c r="BC171" t="s">
        <v>11</v>
      </c>
      <c r="BD171" t="s">
        <v>11</v>
      </c>
      <c r="BE171" t="s">
        <v>11</v>
      </c>
      <c r="BF171" t="s">
        <v>11</v>
      </c>
      <c r="BG171" t="s">
        <v>11</v>
      </c>
      <c r="BH171" t="s">
        <v>1435</v>
      </c>
      <c r="BI171" t="s">
        <v>1430</v>
      </c>
      <c r="BJ171" t="s">
        <v>1436</v>
      </c>
      <c r="BK171" t="s">
        <v>1437</v>
      </c>
    </row>
    <row r="172" spans="1:63" x14ac:dyDescent="0.3">
      <c r="A172" t="s">
        <v>1438</v>
      </c>
      <c r="B172" t="s">
        <v>95</v>
      </c>
      <c r="C172" t="s">
        <v>1439</v>
      </c>
      <c r="D172" t="s">
        <v>1440</v>
      </c>
      <c r="E172" t="s">
        <v>1351</v>
      </c>
      <c r="F172">
        <v>184</v>
      </c>
      <c r="G172">
        <v>80.5</v>
      </c>
      <c r="I172">
        <v>11</v>
      </c>
      <c r="K172">
        <v>5.9</v>
      </c>
      <c r="M172">
        <v>2.6</v>
      </c>
      <c r="AF172">
        <v>9.0301500000000008</v>
      </c>
      <c r="AI172" t="s">
        <v>0</v>
      </c>
      <c r="AJ172" t="s">
        <v>1365</v>
      </c>
      <c r="AK172" t="s">
        <v>1441</v>
      </c>
      <c r="AL172" t="s">
        <v>11</v>
      </c>
      <c r="AM172" t="s">
        <v>11</v>
      </c>
      <c r="AN172" t="s">
        <v>1442</v>
      </c>
      <c r="AO172" t="s">
        <v>11</v>
      </c>
      <c r="AP172" t="s">
        <v>11</v>
      </c>
      <c r="AQ172" t="s">
        <v>11</v>
      </c>
      <c r="AR172" t="s">
        <v>11</v>
      </c>
      <c r="AS172" t="s">
        <v>11</v>
      </c>
      <c r="AT172" t="s">
        <v>11</v>
      </c>
      <c r="AU172" t="s">
        <v>11</v>
      </c>
      <c r="AV172" t="s">
        <v>11</v>
      </c>
      <c r="AW172" t="s">
        <v>11</v>
      </c>
      <c r="AX172" t="s">
        <v>11</v>
      </c>
      <c r="AY172" t="s">
        <v>11</v>
      </c>
      <c r="AZ172" t="s">
        <v>11</v>
      </c>
      <c r="BA172" t="s">
        <v>11</v>
      </c>
      <c r="BB172" t="s">
        <v>11</v>
      </c>
      <c r="BC172" t="s">
        <v>11</v>
      </c>
      <c r="BD172" t="s">
        <v>11</v>
      </c>
      <c r="BE172" t="s">
        <v>11</v>
      </c>
      <c r="BF172" t="s">
        <v>11</v>
      </c>
      <c r="BG172" t="s">
        <v>11</v>
      </c>
      <c r="BH172" t="s">
        <v>1443</v>
      </c>
      <c r="BI172" t="s">
        <v>1438</v>
      </c>
      <c r="BJ172" t="s">
        <v>1444</v>
      </c>
      <c r="BK172" t="s">
        <v>1445</v>
      </c>
    </row>
    <row r="173" spans="1:63" x14ac:dyDescent="0.3">
      <c r="A173" t="s">
        <v>1446</v>
      </c>
      <c r="B173" t="s">
        <v>160</v>
      </c>
      <c r="C173" t="s">
        <v>1447</v>
      </c>
      <c r="D173" t="s">
        <v>1448</v>
      </c>
      <c r="E173" t="s">
        <v>1449</v>
      </c>
      <c r="F173">
        <v>185</v>
      </c>
      <c r="G173">
        <v>48.800000000000004</v>
      </c>
      <c r="H173">
        <v>30.8</v>
      </c>
      <c r="I173">
        <v>9.5</v>
      </c>
      <c r="K173">
        <v>4.4000000000000004</v>
      </c>
      <c r="L173">
        <v>3.8</v>
      </c>
      <c r="M173">
        <v>2.7</v>
      </c>
      <c r="AF173">
        <v>8.811180000000002</v>
      </c>
      <c r="AI173" t="s">
        <v>0</v>
      </c>
      <c r="AJ173" t="s">
        <v>315</v>
      </c>
      <c r="AK173" t="s">
        <v>1450</v>
      </c>
      <c r="AL173" t="s">
        <v>1451</v>
      </c>
      <c r="AM173" t="s">
        <v>11</v>
      </c>
      <c r="AN173" t="s">
        <v>1229</v>
      </c>
      <c r="AO173" t="s">
        <v>11</v>
      </c>
      <c r="AP173" t="s">
        <v>11</v>
      </c>
      <c r="AQ173" t="s">
        <v>1452</v>
      </c>
      <c r="AR173" t="s">
        <v>11</v>
      </c>
      <c r="AS173" t="s">
        <v>11</v>
      </c>
      <c r="AT173" t="s">
        <v>11</v>
      </c>
      <c r="AU173" t="s">
        <v>11</v>
      </c>
      <c r="AV173" t="s">
        <v>11</v>
      </c>
      <c r="AW173" t="s">
        <v>11</v>
      </c>
      <c r="AX173" t="s">
        <v>11</v>
      </c>
      <c r="AY173" t="s">
        <v>11</v>
      </c>
      <c r="AZ173" t="s">
        <v>11</v>
      </c>
      <c r="BA173" t="s">
        <v>11</v>
      </c>
      <c r="BB173" t="s">
        <v>11</v>
      </c>
      <c r="BC173" t="s">
        <v>11</v>
      </c>
      <c r="BD173" t="s">
        <v>11</v>
      </c>
      <c r="BE173" t="s">
        <v>11</v>
      </c>
      <c r="BF173" t="s">
        <v>11</v>
      </c>
      <c r="BG173" t="s">
        <v>11</v>
      </c>
      <c r="BH173" t="s">
        <v>1453</v>
      </c>
      <c r="BI173" t="s">
        <v>1446</v>
      </c>
      <c r="BJ173" t="s">
        <v>1454</v>
      </c>
      <c r="BK173" t="s">
        <v>1455</v>
      </c>
    </row>
    <row r="174" spans="1:63" x14ac:dyDescent="0.3">
      <c r="A174" t="s">
        <v>1456</v>
      </c>
      <c r="B174" t="s">
        <v>160</v>
      </c>
      <c r="C174" t="s">
        <v>1457</v>
      </c>
      <c r="D174" t="s">
        <v>1458</v>
      </c>
      <c r="E174" t="s">
        <v>1459</v>
      </c>
      <c r="F174">
        <v>186</v>
      </c>
      <c r="G174">
        <v>47.5</v>
      </c>
      <c r="H174">
        <v>31.2</v>
      </c>
      <c r="I174">
        <v>9.5</v>
      </c>
      <c r="K174">
        <v>7.2</v>
      </c>
      <c r="L174">
        <v>2.8</v>
      </c>
      <c r="M174">
        <v>1.8</v>
      </c>
      <c r="AF174">
        <v>9.0751919999999995</v>
      </c>
      <c r="AI174" t="s">
        <v>0</v>
      </c>
      <c r="AJ174" t="s">
        <v>315</v>
      </c>
      <c r="AK174" t="s">
        <v>165</v>
      </c>
      <c r="AL174" t="s">
        <v>1460</v>
      </c>
      <c r="AM174" t="s">
        <v>11</v>
      </c>
      <c r="AN174" t="s">
        <v>205</v>
      </c>
      <c r="AO174" t="s">
        <v>11</v>
      </c>
      <c r="AP174" t="s">
        <v>11</v>
      </c>
      <c r="AQ174" t="s">
        <v>1461</v>
      </c>
      <c r="AR174" t="s">
        <v>11</v>
      </c>
      <c r="AS174" t="s">
        <v>11</v>
      </c>
      <c r="AT174" t="s">
        <v>11</v>
      </c>
      <c r="AU174" t="s">
        <v>11</v>
      </c>
      <c r="AV174" t="s">
        <v>11</v>
      </c>
      <c r="AW174" t="s">
        <v>11</v>
      </c>
      <c r="AX174" t="s">
        <v>11</v>
      </c>
      <c r="AY174" t="s">
        <v>11</v>
      </c>
      <c r="AZ174" t="s">
        <v>11</v>
      </c>
      <c r="BA174" t="s">
        <v>11</v>
      </c>
      <c r="BB174" t="s">
        <v>11</v>
      </c>
      <c r="BC174" t="s">
        <v>11</v>
      </c>
      <c r="BD174" t="s">
        <v>11</v>
      </c>
      <c r="BE174" t="s">
        <v>11</v>
      </c>
      <c r="BF174" t="s">
        <v>11</v>
      </c>
      <c r="BG174" t="s">
        <v>11</v>
      </c>
      <c r="BH174" t="s">
        <v>1462</v>
      </c>
      <c r="BI174" t="s">
        <v>1456</v>
      </c>
      <c r="BJ174" t="s">
        <v>1463</v>
      </c>
      <c r="BK174" t="s">
        <v>1464</v>
      </c>
    </row>
    <row r="175" spans="1:63" x14ac:dyDescent="0.3">
      <c r="A175" t="s">
        <v>1465</v>
      </c>
      <c r="B175" t="s">
        <v>95</v>
      </c>
      <c r="C175" t="s">
        <v>1466</v>
      </c>
      <c r="D175" t="s">
        <v>1467</v>
      </c>
      <c r="E175" t="s">
        <v>1459</v>
      </c>
      <c r="F175">
        <v>187</v>
      </c>
      <c r="G175">
        <v>52.8</v>
      </c>
      <c r="H175">
        <v>30.5</v>
      </c>
      <c r="I175">
        <v>9.6</v>
      </c>
      <c r="K175">
        <v>7.1</v>
      </c>
      <c r="AF175">
        <v>9.04209</v>
      </c>
      <c r="AI175" t="s">
        <v>0</v>
      </c>
      <c r="AJ175" t="s">
        <v>10</v>
      </c>
      <c r="AK175" t="s">
        <v>1468</v>
      </c>
      <c r="AL175" t="s">
        <v>1469</v>
      </c>
      <c r="AM175" t="s">
        <v>11</v>
      </c>
      <c r="AN175" t="s">
        <v>11</v>
      </c>
      <c r="AO175" t="s">
        <v>11</v>
      </c>
      <c r="AP175" t="s">
        <v>11</v>
      </c>
      <c r="AQ175" t="s">
        <v>11</v>
      </c>
      <c r="AR175" t="s">
        <v>11</v>
      </c>
      <c r="AS175" t="s">
        <v>11</v>
      </c>
      <c r="AT175" t="s">
        <v>11</v>
      </c>
      <c r="AU175" t="s">
        <v>11</v>
      </c>
      <c r="AV175" t="s">
        <v>11</v>
      </c>
      <c r="AW175" t="s">
        <v>11</v>
      </c>
      <c r="AX175" t="s">
        <v>11</v>
      </c>
      <c r="AY175" t="s">
        <v>11</v>
      </c>
      <c r="AZ175" t="s">
        <v>11</v>
      </c>
      <c r="BA175" t="s">
        <v>11</v>
      </c>
      <c r="BB175" t="s">
        <v>11</v>
      </c>
      <c r="BC175" t="s">
        <v>11</v>
      </c>
      <c r="BD175" t="s">
        <v>11</v>
      </c>
      <c r="BE175" t="s">
        <v>11</v>
      </c>
      <c r="BF175" t="s">
        <v>11</v>
      </c>
      <c r="BG175" t="s">
        <v>11</v>
      </c>
      <c r="BH175" t="s">
        <v>1470</v>
      </c>
      <c r="BI175" t="s">
        <v>1465</v>
      </c>
      <c r="BJ175" t="s">
        <v>1471</v>
      </c>
      <c r="BK175" t="s">
        <v>1472</v>
      </c>
    </row>
    <row r="176" spans="1:63" x14ac:dyDescent="0.3">
      <c r="A176" t="s">
        <v>1473</v>
      </c>
      <c r="B176" t="s">
        <v>160</v>
      </c>
      <c r="C176" t="s">
        <v>1474</v>
      </c>
      <c r="D176" t="s">
        <v>1475</v>
      </c>
      <c r="E176" t="s">
        <v>1476</v>
      </c>
      <c r="F176">
        <v>188</v>
      </c>
      <c r="G176">
        <v>79.98</v>
      </c>
      <c r="I176">
        <v>9</v>
      </c>
      <c r="K176">
        <v>9</v>
      </c>
      <c r="M176">
        <v>2</v>
      </c>
      <c r="P176">
        <v>0</v>
      </c>
      <c r="S176">
        <v>0.02</v>
      </c>
      <c r="AF176">
        <v>9.4272120000000008</v>
      </c>
      <c r="AI176" t="s">
        <v>0</v>
      </c>
      <c r="AJ176" t="s">
        <v>128</v>
      </c>
      <c r="AK176" t="s">
        <v>252</v>
      </c>
      <c r="AL176" t="s">
        <v>11</v>
      </c>
      <c r="AM176" t="s">
        <v>11</v>
      </c>
      <c r="AN176" t="s">
        <v>24</v>
      </c>
      <c r="AO176" t="s">
        <v>11</v>
      </c>
      <c r="AP176" t="s">
        <v>11</v>
      </c>
      <c r="AQ176" t="s">
        <v>11</v>
      </c>
      <c r="AR176" t="s">
        <v>1477</v>
      </c>
      <c r="AS176" t="s">
        <v>11</v>
      </c>
      <c r="AT176" t="s">
        <v>11</v>
      </c>
      <c r="AU176" t="s">
        <v>1478</v>
      </c>
      <c r="AV176" t="s">
        <v>11</v>
      </c>
      <c r="AW176" t="s">
        <v>11</v>
      </c>
      <c r="AX176" t="s">
        <v>11</v>
      </c>
      <c r="AY176" t="s">
        <v>11</v>
      </c>
      <c r="AZ176" t="s">
        <v>11</v>
      </c>
      <c r="BA176" t="s">
        <v>11</v>
      </c>
      <c r="BB176" t="s">
        <v>11</v>
      </c>
      <c r="BC176" t="s">
        <v>11</v>
      </c>
      <c r="BD176" t="s">
        <v>11</v>
      </c>
      <c r="BE176" t="s">
        <v>11</v>
      </c>
      <c r="BF176" t="s">
        <v>11</v>
      </c>
      <c r="BG176" t="s">
        <v>11</v>
      </c>
      <c r="BH176" t="s">
        <v>1479</v>
      </c>
      <c r="BI176" t="s">
        <v>1473</v>
      </c>
      <c r="BJ176" t="s">
        <v>1480</v>
      </c>
      <c r="BK176" t="s">
        <v>1481</v>
      </c>
    </row>
    <row r="177" spans="1:63" x14ac:dyDescent="0.3">
      <c r="A177" t="s">
        <v>1482</v>
      </c>
      <c r="B177" t="s">
        <v>160</v>
      </c>
      <c r="C177" t="s">
        <v>1483</v>
      </c>
      <c r="D177" t="s">
        <v>1484</v>
      </c>
      <c r="E177" t="s">
        <v>1476</v>
      </c>
      <c r="F177">
        <v>189</v>
      </c>
      <c r="G177">
        <v>79.98</v>
      </c>
      <c r="I177">
        <v>9</v>
      </c>
      <c r="K177">
        <v>7</v>
      </c>
      <c r="M177">
        <v>2</v>
      </c>
      <c r="P177">
        <v>2</v>
      </c>
      <c r="S177">
        <v>0.02</v>
      </c>
      <c r="AF177">
        <v>9.2478119999999997</v>
      </c>
      <c r="AI177" t="s">
        <v>0</v>
      </c>
      <c r="AJ177" t="s">
        <v>128</v>
      </c>
      <c r="AK177" t="s">
        <v>538</v>
      </c>
      <c r="AL177" t="s">
        <v>11</v>
      </c>
      <c r="AM177" t="s">
        <v>11</v>
      </c>
      <c r="AN177" t="s">
        <v>24</v>
      </c>
      <c r="AO177" t="s">
        <v>11</v>
      </c>
      <c r="AP177" t="s">
        <v>11</v>
      </c>
      <c r="AQ177" t="s">
        <v>11</v>
      </c>
      <c r="AR177" t="s">
        <v>798</v>
      </c>
      <c r="AS177" t="s">
        <v>11</v>
      </c>
      <c r="AT177" t="s">
        <v>11</v>
      </c>
      <c r="AU177" t="s">
        <v>1478</v>
      </c>
      <c r="AV177" t="s">
        <v>11</v>
      </c>
      <c r="AW177" t="s">
        <v>11</v>
      </c>
      <c r="AX177" t="s">
        <v>11</v>
      </c>
      <c r="AY177" t="s">
        <v>11</v>
      </c>
      <c r="AZ177" t="s">
        <v>11</v>
      </c>
      <c r="BA177" t="s">
        <v>11</v>
      </c>
      <c r="BB177" t="s">
        <v>11</v>
      </c>
      <c r="BC177" t="s">
        <v>11</v>
      </c>
      <c r="BD177" t="s">
        <v>11</v>
      </c>
      <c r="BE177" t="s">
        <v>11</v>
      </c>
      <c r="BF177" t="s">
        <v>11</v>
      </c>
      <c r="BG177" t="s">
        <v>11</v>
      </c>
      <c r="BH177" t="s">
        <v>1485</v>
      </c>
      <c r="BI177" t="s">
        <v>1482</v>
      </c>
      <c r="BJ177" t="s">
        <v>1486</v>
      </c>
      <c r="BK177" t="s">
        <v>1487</v>
      </c>
    </row>
    <row r="178" spans="1:63" x14ac:dyDescent="0.3">
      <c r="A178" t="s">
        <v>1488</v>
      </c>
      <c r="B178" t="s">
        <v>160</v>
      </c>
      <c r="C178" t="s">
        <v>1489</v>
      </c>
      <c r="D178" t="s">
        <v>1490</v>
      </c>
      <c r="E178" t="s">
        <v>1476</v>
      </c>
      <c r="F178">
        <v>190</v>
      </c>
      <c r="G178">
        <v>79.98</v>
      </c>
      <c r="I178">
        <v>9</v>
      </c>
      <c r="K178">
        <v>5</v>
      </c>
      <c r="M178">
        <v>2</v>
      </c>
      <c r="P178">
        <v>4</v>
      </c>
      <c r="S178">
        <v>0.02</v>
      </c>
      <c r="AF178">
        <v>9.0684120000000004</v>
      </c>
      <c r="AI178" t="s">
        <v>0</v>
      </c>
      <c r="AJ178" t="s">
        <v>128</v>
      </c>
      <c r="AK178" t="s">
        <v>1491</v>
      </c>
      <c r="AL178" t="s">
        <v>11</v>
      </c>
      <c r="AM178" t="s">
        <v>11</v>
      </c>
      <c r="AN178" t="s">
        <v>24</v>
      </c>
      <c r="AO178" t="s">
        <v>11</v>
      </c>
      <c r="AP178" t="s">
        <v>11</v>
      </c>
      <c r="AQ178" t="s">
        <v>11</v>
      </c>
      <c r="AR178" t="s">
        <v>45</v>
      </c>
      <c r="AS178" t="s">
        <v>11</v>
      </c>
      <c r="AT178" t="s">
        <v>11</v>
      </c>
      <c r="AU178" t="s">
        <v>1478</v>
      </c>
      <c r="AV178" t="s">
        <v>11</v>
      </c>
      <c r="AW178" t="s">
        <v>11</v>
      </c>
      <c r="AX178" t="s">
        <v>11</v>
      </c>
      <c r="AY178" t="s">
        <v>11</v>
      </c>
      <c r="AZ178" t="s">
        <v>11</v>
      </c>
      <c r="BA178" t="s">
        <v>11</v>
      </c>
      <c r="BB178" t="s">
        <v>11</v>
      </c>
      <c r="BC178" t="s">
        <v>11</v>
      </c>
      <c r="BD178" t="s">
        <v>11</v>
      </c>
      <c r="BE178" t="s">
        <v>11</v>
      </c>
      <c r="BF178" t="s">
        <v>11</v>
      </c>
      <c r="BG178" t="s">
        <v>11</v>
      </c>
      <c r="BH178" t="s">
        <v>1492</v>
      </c>
      <c r="BI178" t="s">
        <v>1488</v>
      </c>
      <c r="BJ178" t="s">
        <v>1493</v>
      </c>
      <c r="BK178" t="s">
        <v>1494</v>
      </c>
    </row>
    <row r="179" spans="1:63" x14ac:dyDescent="0.3">
      <c r="A179" t="s">
        <v>1495</v>
      </c>
      <c r="B179" t="s">
        <v>160</v>
      </c>
      <c r="C179" t="s">
        <v>1496</v>
      </c>
      <c r="D179" t="s">
        <v>1497</v>
      </c>
      <c r="E179" t="s">
        <v>1476</v>
      </c>
      <c r="F179">
        <v>191</v>
      </c>
      <c r="G179">
        <v>79.98</v>
      </c>
      <c r="I179">
        <v>9</v>
      </c>
      <c r="K179">
        <v>3</v>
      </c>
      <c r="M179">
        <v>2</v>
      </c>
      <c r="P179">
        <v>6</v>
      </c>
      <c r="S179">
        <v>0.02</v>
      </c>
      <c r="AF179">
        <v>8.889012000000001</v>
      </c>
      <c r="AI179" t="s">
        <v>0</v>
      </c>
      <c r="AJ179" t="s">
        <v>128</v>
      </c>
      <c r="AK179" t="s">
        <v>1498</v>
      </c>
      <c r="AL179" t="s">
        <v>11</v>
      </c>
      <c r="AM179" t="s">
        <v>11</v>
      </c>
      <c r="AN179" t="s">
        <v>24</v>
      </c>
      <c r="AO179" t="s">
        <v>11</v>
      </c>
      <c r="AP179" t="s">
        <v>11</v>
      </c>
      <c r="AQ179" t="s">
        <v>11</v>
      </c>
      <c r="AR179" t="s">
        <v>1499</v>
      </c>
      <c r="AS179" t="s">
        <v>11</v>
      </c>
      <c r="AT179" t="s">
        <v>11</v>
      </c>
      <c r="AU179" t="s">
        <v>1478</v>
      </c>
      <c r="AV179" t="s">
        <v>11</v>
      </c>
      <c r="AW179" t="s">
        <v>11</v>
      </c>
      <c r="AX179" t="s">
        <v>11</v>
      </c>
      <c r="AY179" t="s">
        <v>11</v>
      </c>
      <c r="AZ179" t="s">
        <v>11</v>
      </c>
      <c r="BA179" t="s">
        <v>11</v>
      </c>
      <c r="BB179" t="s">
        <v>11</v>
      </c>
      <c r="BC179" t="s">
        <v>11</v>
      </c>
      <c r="BD179" t="s">
        <v>11</v>
      </c>
      <c r="BE179" t="s">
        <v>11</v>
      </c>
      <c r="BF179" t="s">
        <v>11</v>
      </c>
      <c r="BG179" t="s">
        <v>11</v>
      </c>
      <c r="BH179" t="s">
        <v>1500</v>
      </c>
      <c r="BI179" t="s">
        <v>1495</v>
      </c>
      <c r="BJ179" t="s">
        <v>1501</v>
      </c>
      <c r="BK179" t="s">
        <v>1502</v>
      </c>
    </row>
    <row r="180" spans="1:63" x14ac:dyDescent="0.3">
      <c r="A180" t="s">
        <v>1503</v>
      </c>
      <c r="B180" t="s">
        <v>5</v>
      </c>
      <c r="C180" t="s">
        <v>1504</v>
      </c>
      <c r="D180" t="s">
        <v>1505</v>
      </c>
      <c r="E180" t="s">
        <v>1476</v>
      </c>
      <c r="F180">
        <v>192</v>
      </c>
      <c r="G180">
        <v>79.98</v>
      </c>
      <c r="I180">
        <v>9</v>
      </c>
      <c r="M180">
        <v>2</v>
      </c>
      <c r="P180">
        <v>9</v>
      </c>
      <c r="S180">
        <v>0.02</v>
      </c>
      <c r="AF180">
        <v>8.6199120000000011</v>
      </c>
      <c r="AI180" t="s">
        <v>0</v>
      </c>
      <c r="AJ180" t="s">
        <v>128</v>
      </c>
      <c r="AK180" t="s">
        <v>11</v>
      </c>
      <c r="AL180" t="s">
        <v>11</v>
      </c>
      <c r="AM180" t="s">
        <v>11</v>
      </c>
      <c r="AN180" t="s">
        <v>24</v>
      </c>
      <c r="AO180" t="s">
        <v>11</v>
      </c>
      <c r="AP180" t="s">
        <v>11</v>
      </c>
      <c r="AQ180" t="s">
        <v>11</v>
      </c>
      <c r="AR180" t="s">
        <v>1506</v>
      </c>
      <c r="AS180" t="s">
        <v>11</v>
      </c>
      <c r="AT180" t="s">
        <v>11</v>
      </c>
      <c r="AU180" t="s">
        <v>1478</v>
      </c>
      <c r="AV180" t="s">
        <v>11</v>
      </c>
      <c r="AW180" t="s">
        <v>11</v>
      </c>
      <c r="AX180" t="s">
        <v>11</v>
      </c>
      <c r="AY180" t="s">
        <v>11</v>
      </c>
      <c r="AZ180" t="s">
        <v>11</v>
      </c>
      <c r="BA180" t="s">
        <v>11</v>
      </c>
      <c r="BB180" t="s">
        <v>11</v>
      </c>
      <c r="BC180" t="s">
        <v>11</v>
      </c>
      <c r="BD180" t="s">
        <v>11</v>
      </c>
      <c r="BE180" t="s">
        <v>11</v>
      </c>
      <c r="BF180" t="s">
        <v>11</v>
      </c>
      <c r="BG180" t="s">
        <v>11</v>
      </c>
      <c r="BH180" t="s">
        <v>1507</v>
      </c>
      <c r="BI180" t="s">
        <v>1503</v>
      </c>
      <c r="BJ180" t="s">
        <v>1508</v>
      </c>
      <c r="BK180" t="s">
        <v>1509</v>
      </c>
    </row>
    <row r="181" spans="1:63" x14ac:dyDescent="0.3">
      <c r="A181" t="s">
        <v>1510</v>
      </c>
      <c r="B181" t="s">
        <v>160</v>
      </c>
      <c r="C181" t="s">
        <v>1511</v>
      </c>
      <c r="D181" t="s">
        <v>1512</v>
      </c>
      <c r="E181" t="s">
        <v>1513</v>
      </c>
      <c r="F181">
        <v>193</v>
      </c>
      <c r="G181">
        <v>75.489999999999995</v>
      </c>
      <c r="I181">
        <v>11.65</v>
      </c>
      <c r="K181">
        <v>9.0299999999999994</v>
      </c>
      <c r="L181">
        <v>2.14</v>
      </c>
      <c r="M181">
        <v>1.69</v>
      </c>
      <c r="AF181">
        <v>9.1492698000000008</v>
      </c>
      <c r="AG181">
        <v>9.11</v>
      </c>
      <c r="AH181" t="s">
        <v>1514</v>
      </c>
      <c r="AI181" t="s">
        <v>0</v>
      </c>
      <c r="AJ181" t="s">
        <v>657</v>
      </c>
      <c r="AK181" t="s">
        <v>252</v>
      </c>
      <c r="AL181" t="s">
        <v>11</v>
      </c>
      <c r="AM181" t="s">
        <v>11</v>
      </c>
      <c r="AN181" t="s">
        <v>1515</v>
      </c>
      <c r="AO181" t="s">
        <v>11</v>
      </c>
      <c r="AP181" t="s">
        <v>11</v>
      </c>
      <c r="AQ181" t="s">
        <v>422</v>
      </c>
      <c r="AR181" t="s">
        <v>11</v>
      </c>
      <c r="AS181" t="s">
        <v>11</v>
      </c>
      <c r="AT181" t="s">
        <v>11</v>
      </c>
      <c r="AU181" t="s">
        <v>11</v>
      </c>
      <c r="AV181" t="s">
        <v>11</v>
      </c>
      <c r="AW181" t="s">
        <v>11</v>
      </c>
      <c r="AX181" t="s">
        <v>11</v>
      </c>
      <c r="AY181" t="s">
        <v>11</v>
      </c>
      <c r="AZ181" t="s">
        <v>11</v>
      </c>
      <c r="BA181" t="s">
        <v>11</v>
      </c>
      <c r="BB181" t="s">
        <v>11</v>
      </c>
      <c r="BC181" t="s">
        <v>11</v>
      </c>
      <c r="BD181" t="s">
        <v>11</v>
      </c>
      <c r="BE181" t="s">
        <v>11</v>
      </c>
      <c r="BF181" t="s">
        <v>11</v>
      </c>
      <c r="BG181" t="s">
        <v>11</v>
      </c>
      <c r="BH181" t="s">
        <v>1516</v>
      </c>
      <c r="BI181" t="s">
        <v>1510</v>
      </c>
      <c r="BJ181" t="s">
        <v>1517</v>
      </c>
      <c r="BK181" t="s">
        <v>1518</v>
      </c>
    </row>
    <row r="182" spans="1:63" x14ac:dyDescent="0.3">
      <c r="A182" t="s">
        <v>1519</v>
      </c>
      <c r="B182" t="s">
        <v>95</v>
      </c>
      <c r="C182" t="s">
        <v>1520</v>
      </c>
      <c r="D182" t="s">
        <v>1521</v>
      </c>
      <c r="E182" t="s">
        <v>1513</v>
      </c>
      <c r="F182">
        <v>194</v>
      </c>
      <c r="G182">
        <v>78.63</v>
      </c>
      <c r="I182">
        <v>13.66</v>
      </c>
      <c r="K182">
        <v>7.71</v>
      </c>
      <c r="AF182">
        <v>8.8510650000000002</v>
      </c>
      <c r="AG182">
        <v>9.11</v>
      </c>
      <c r="AH182" t="s">
        <v>1514</v>
      </c>
      <c r="AI182" t="s">
        <v>0</v>
      </c>
      <c r="AJ182" t="s">
        <v>1522</v>
      </c>
      <c r="AK182" t="s">
        <v>185</v>
      </c>
      <c r="AL182" t="s">
        <v>11</v>
      </c>
      <c r="AM182" t="s">
        <v>11</v>
      </c>
      <c r="AN182" t="s">
        <v>11</v>
      </c>
      <c r="AO182" t="s">
        <v>11</v>
      </c>
      <c r="AP182" t="s">
        <v>11</v>
      </c>
      <c r="AQ182" t="s">
        <v>11</v>
      </c>
      <c r="AR182" t="s">
        <v>11</v>
      </c>
      <c r="AS182" t="s">
        <v>11</v>
      </c>
      <c r="AT182" t="s">
        <v>11</v>
      </c>
      <c r="AU182" t="s">
        <v>11</v>
      </c>
      <c r="AV182" t="s">
        <v>11</v>
      </c>
      <c r="AW182" t="s">
        <v>11</v>
      </c>
      <c r="AX182" t="s">
        <v>11</v>
      </c>
      <c r="AY182" t="s">
        <v>11</v>
      </c>
      <c r="AZ182" t="s">
        <v>11</v>
      </c>
      <c r="BA182" t="s">
        <v>11</v>
      </c>
      <c r="BB182" t="s">
        <v>11</v>
      </c>
      <c r="BC182" t="s">
        <v>11</v>
      </c>
      <c r="BD182" t="s">
        <v>11</v>
      </c>
      <c r="BE182" t="s">
        <v>11</v>
      </c>
      <c r="BF182" t="s">
        <v>11</v>
      </c>
      <c r="BG182" t="s">
        <v>11</v>
      </c>
      <c r="BH182" t="s">
        <v>1523</v>
      </c>
      <c r="BI182" t="s">
        <v>1519</v>
      </c>
      <c r="BJ182" t="s">
        <v>1524</v>
      </c>
      <c r="BK182" t="s">
        <v>1525</v>
      </c>
    </row>
    <row r="183" spans="1:63" x14ac:dyDescent="0.3">
      <c r="A183" t="s">
        <v>1526</v>
      </c>
      <c r="B183" t="s">
        <v>160</v>
      </c>
      <c r="C183" t="s">
        <v>1527</v>
      </c>
      <c r="D183" t="s">
        <v>1528</v>
      </c>
      <c r="E183" t="s">
        <v>1529</v>
      </c>
      <c r="F183">
        <v>195</v>
      </c>
      <c r="G183">
        <v>42.330000000000005</v>
      </c>
      <c r="H183">
        <v>32</v>
      </c>
      <c r="I183">
        <v>6</v>
      </c>
      <c r="J183">
        <v>12</v>
      </c>
      <c r="K183">
        <v>3</v>
      </c>
      <c r="L183">
        <v>2.5</v>
      </c>
      <c r="M183">
        <v>1.5</v>
      </c>
      <c r="Q183">
        <v>0.08</v>
      </c>
      <c r="R183">
        <v>0.01</v>
      </c>
      <c r="S183">
        <v>0.08</v>
      </c>
      <c r="V183">
        <v>0.4</v>
      </c>
      <c r="Y183">
        <v>0.1</v>
      </c>
      <c r="AF183">
        <v>8.6097121000000012</v>
      </c>
      <c r="AG183">
        <v>8.83</v>
      </c>
      <c r="AI183" t="s">
        <v>0</v>
      </c>
      <c r="AJ183" t="s">
        <v>926</v>
      </c>
      <c r="AK183" t="s">
        <v>1498</v>
      </c>
      <c r="AL183" t="s">
        <v>1530</v>
      </c>
      <c r="AM183" t="s">
        <v>979</v>
      </c>
      <c r="AN183" t="s">
        <v>396</v>
      </c>
      <c r="AO183" t="s">
        <v>11</v>
      </c>
      <c r="AP183" t="s">
        <v>11</v>
      </c>
      <c r="AQ183" t="s">
        <v>1217</v>
      </c>
      <c r="AR183" t="s">
        <v>11</v>
      </c>
      <c r="AS183" t="s">
        <v>1531</v>
      </c>
      <c r="AT183" t="s">
        <v>1532</v>
      </c>
      <c r="AU183" t="s">
        <v>352</v>
      </c>
      <c r="AV183" t="s">
        <v>11</v>
      </c>
      <c r="AW183" t="s">
        <v>11</v>
      </c>
      <c r="AX183" t="s">
        <v>1533</v>
      </c>
      <c r="AY183" t="s">
        <v>11</v>
      </c>
      <c r="AZ183" t="s">
        <v>11</v>
      </c>
      <c r="BA183" t="s">
        <v>1534</v>
      </c>
      <c r="BB183" t="s">
        <v>11</v>
      </c>
      <c r="BC183" t="s">
        <v>11</v>
      </c>
      <c r="BD183" t="s">
        <v>11</v>
      </c>
      <c r="BE183" t="s">
        <v>11</v>
      </c>
      <c r="BF183" t="s">
        <v>11</v>
      </c>
      <c r="BG183" t="s">
        <v>11</v>
      </c>
      <c r="BH183" t="s">
        <v>1535</v>
      </c>
      <c r="BI183" t="s">
        <v>1526</v>
      </c>
      <c r="BJ183" t="s">
        <v>1536</v>
      </c>
      <c r="BK183" t="s">
        <v>1537</v>
      </c>
    </row>
    <row r="184" spans="1:63" x14ac:dyDescent="0.3">
      <c r="A184" t="s">
        <v>1538</v>
      </c>
      <c r="B184" t="s">
        <v>160</v>
      </c>
      <c r="C184" t="s">
        <v>1539</v>
      </c>
      <c r="D184" t="s">
        <v>1540</v>
      </c>
      <c r="E184" t="s">
        <v>1541</v>
      </c>
      <c r="F184">
        <v>196</v>
      </c>
      <c r="G184">
        <v>41.03</v>
      </c>
      <c r="H184">
        <v>31.8</v>
      </c>
      <c r="I184">
        <v>8.6999999999999993</v>
      </c>
      <c r="J184">
        <v>12.6</v>
      </c>
      <c r="K184">
        <v>4.7</v>
      </c>
      <c r="L184">
        <v>0.3</v>
      </c>
      <c r="M184">
        <v>0.2</v>
      </c>
      <c r="Q184">
        <v>0.08</v>
      </c>
      <c r="R184">
        <v>0.01</v>
      </c>
      <c r="S184">
        <v>0.08</v>
      </c>
      <c r="V184">
        <v>0.4</v>
      </c>
      <c r="Y184">
        <v>0.1</v>
      </c>
      <c r="AF184">
        <v>8.6038821000000016</v>
      </c>
      <c r="AG184">
        <v>8.92</v>
      </c>
      <c r="AH184" t="s">
        <v>1542</v>
      </c>
      <c r="AI184" t="s">
        <v>0</v>
      </c>
      <c r="AJ184" t="s">
        <v>223</v>
      </c>
      <c r="AK184" t="s">
        <v>1543</v>
      </c>
      <c r="AL184" t="s">
        <v>1544</v>
      </c>
      <c r="AM184" t="s">
        <v>1085</v>
      </c>
      <c r="AN184" t="s">
        <v>1545</v>
      </c>
      <c r="AO184" t="s">
        <v>11</v>
      </c>
      <c r="AP184" t="s">
        <v>11</v>
      </c>
      <c r="AQ184" t="s">
        <v>1546</v>
      </c>
      <c r="AR184" t="s">
        <v>11</v>
      </c>
      <c r="AS184" t="s">
        <v>1531</v>
      </c>
      <c r="AT184" t="s">
        <v>1532</v>
      </c>
      <c r="AU184" t="s">
        <v>352</v>
      </c>
      <c r="AV184" t="s">
        <v>11</v>
      </c>
      <c r="AW184" t="s">
        <v>11</v>
      </c>
      <c r="AX184" t="s">
        <v>1533</v>
      </c>
      <c r="AY184" t="s">
        <v>11</v>
      </c>
      <c r="AZ184" t="s">
        <v>11</v>
      </c>
      <c r="BA184" t="s">
        <v>1534</v>
      </c>
      <c r="BB184" t="s">
        <v>11</v>
      </c>
      <c r="BC184" t="s">
        <v>11</v>
      </c>
      <c r="BD184" t="s">
        <v>11</v>
      </c>
      <c r="BE184" t="s">
        <v>11</v>
      </c>
      <c r="BF184" t="s">
        <v>11</v>
      </c>
      <c r="BG184" t="s">
        <v>11</v>
      </c>
      <c r="BH184" t="s">
        <v>1547</v>
      </c>
      <c r="BI184" t="s">
        <v>1538</v>
      </c>
      <c r="BJ184" t="s">
        <v>1548</v>
      </c>
      <c r="BK184" t="s">
        <v>1549</v>
      </c>
    </row>
    <row r="185" spans="1:63" x14ac:dyDescent="0.3">
      <c r="A185" t="s">
        <v>1550</v>
      </c>
      <c r="B185" t="s">
        <v>160</v>
      </c>
      <c r="C185" t="s">
        <v>1551</v>
      </c>
      <c r="D185" t="s">
        <v>1552</v>
      </c>
      <c r="E185" t="s">
        <v>1553</v>
      </c>
      <c r="F185">
        <v>197</v>
      </c>
      <c r="G185">
        <v>40.830000000000005</v>
      </c>
      <c r="H185">
        <v>32</v>
      </c>
      <c r="I185">
        <v>11</v>
      </c>
      <c r="J185">
        <v>12</v>
      </c>
      <c r="K185">
        <v>3</v>
      </c>
      <c r="L185">
        <v>0.3</v>
      </c>
      <c r="M185">
        <v>0.2</v>
      </c>
      <c r="Q185">
        <v>0.08</v>
      </c>
      <c r="R185">
        <v>0.01</v>
      </c>
      <c r="S185">
        <v>0.08</v>
      </c>
      <c r="V185">
        <v>0.4</v>
      </c>
      <c r="Y185">
        <v>0.1</v>
      </c>
      <c r="AF185">
        <v>8.2956081000000008</v>
      </c>
      <c r="AG185">
        <v>8.52</v>
      </c>
      <c r="AI185" t="s">
        <v>0</v>
      </c>
      <c r="AJ185" t="s">
        <v>1365</v>
      </c>
      <c r="AK185" t="s">
        <v>1498</v>
      </c>
      <c r="AL185" t="s">
        <v>1530</v>
      </c>
      <c r="AM185" t="s">
        <v>979</v>
      </c>
      <c r="AN185" t="s">
        <v>1545</v>
      </c>
      <c r="AO185" t="s">
        <v>11</v>
      </c>
      <c r="AP185" t="s">
        <v>11</v>
      </c>
      <c r="AQ185" t="s">
        <v>1546</v>
      </c>
      <c r="AR185" t="s">
        <v>11</v>
      </c>
      <c r="AS185" t="s">
        <v>1531</v>
      </c>
      <c r="AT185" t="s">
        <v>1532</v>
      </c>
      <c r="AU185" t="s">
        <v>352</v>
      </c>
      <c r="AV185" t="s">
        <v>11</v>
      </c>
      <c r="AW185" t="s">
        <v>11</v>
      </c>
      <c r="AX185" t="s">
        <v>1533</v>
      </c>
      <c r="AY185" t="s">
        <v>11</v>
      </c>
      <c r="AZ185" t="s">
        <v>11</v>
      </c>
      <c r="BA185" t="s">
        <v>1534</v>
      </c>
      <c r="BB185" t="s">
        <v>11</v>
      </c>
      <c r="BC185" t="s">
        <v>11</v>
      </c>
      <c r="BD185" t="s">
        <v>11</v>
      </c>
      <c r="BE185" t="s">
        <v>11</v>
      </c>
      <c r="BF185" t="s">
        <v>11</v>
      </c>
      <c r="BG185" t="s">
        <v>11</v>
      </c>
      <c r="BH185" t="s">
        <v>1554</v>
      </c>
      <c r="BI185" t="s">
        <v>1550</v>
      </c>
      <c r="BJ185" t="s">
        <v>1555</v>
      </c>
      <c r="BK185" t="s">
        <v>1556</v>
      </c>
    </row>
    <row r="186" spans="1:63" x14ac:dyDescent="0.3">
      <c r="A186" t="s">
        <v>1557</v>
      </c>
      <c r="B186" t="s">
        <v>160</v>
      </c>
      <c r="C186" t="s">
        <v>1558</v>
      </c>
      <c r="D186" t="s">
        <v>1559</v>
      </c>
      <c r="E186" t="s">
        <v>1560</v>
      </c>
      <c r="F186">
        <v>198</v>
      </c>
      <c r="G186">
        <v>39.830000000000005</v>
      </c>
      <c r="H186">
        <v>32</v>
      </c>
      <c r="I186">
        <v>9</v>
      </c>
      <c r="J186">
        <v>12</v>
      </c>
      <c r="K186">
        <v>5</v>
      </c>
      <c r="L186">
        <v>0.3</v>
      </c>
      <c r="M186">
        <v>0.2</v>
      </c>
      <c r="P186">
        <v>1</v>
      </c>
      <c r="Q186">
        <v>0.08</v>
      </c>
      <c r="R186">
        <v>0.01</v>
      </c>
      <c r="S186">
        <v>0.08</v>
      </c>
      <c r="V186">
        <v>0.4</v>
      </c>
      <c r="Y186">
        <v>0.1</v>
      </c>
      <c r="AF186">
        <v>8.6404081000000001</v>
      </c>
      <c r="AI186" t="s">
        <v>0</v>
      </c>
      <c r="AJ186" t="s">
        <v>128</v>
      </c>
      <c r="AK186" t="s">
        <v>1491</v>
      </c>
      <c r="AL186" t="s">
        <v>1530</v>
      </c>
      <c r="AM186" t="s">
        <v>979</v>
      </c>
      <c r="AN186" t="s">
        <v>1545</v>
      </c>
      <c r="AO186" t="s">
        <v>11</v>
      </c>
      <c r="AP186" t="s">
        <v>11</v>
      </c>
      <c r="AQ186" t="s">
        <v>1546</v>
      </c>
      <c r="AR186" t="s">
        <v>1561</v>
      </c>
      <c r="AS186" t="s">
        <v>1531</v>
      </c>
      <c r="AT186" t="s">
        <v>1532</v>
      </c>
      <c r="AU186" t="s">
        <v>352</v>
      </c>
      <c r="AV186" t="s">
        <v>11</v>
      </c>
      <c r="AW186" t="s">
        <v>11</v>
      </c>
      <c r="AX186" t="s">
        <v>1533</v>
      </c>
      <c r="AY186" t="s">
        <v>11</v>
      </c>
      <c r="AZ186" t="s">
        <v>11</v>
      </c>
      <c r="BA186" t="s">
        <v>1534</v>
      </c>
      <c r="BB186" t="s">
        <v>11</v>
      </c>
      <c r="BC186" t="s">
        <v>11</v>
      </c>
      <c r="BD186" t="s">
        <v>11</v>
      </c>
      <c r="BE186" t="s">
        <v>11</v>
      </c>
      <c r="BF186" t="s">
        <v>11</v>
      </c>
      <c r="BG186" t="s">
        <v>11</v>
      </c>
      <c r="BH186" t="s">
        <v>1562</v>
      </c>
      <c r="BI186" t="s">
        <v>1557</v>
      </c>
      <c r="BJ186" t="s">
        <v>1563</v>
      </c>
      <c r="BK186" t="s">
        <v>1564</v>
      </c>
    </row>
    <row r="187" spans="1:63" x14ac:dyDescent="0.3">
      <c r="A187" t="s">
        <v>1565</v>
      </c>
      <c r="B187" t="s">
        <v>160</v>
      </c>
      <c r="C187" t="s">
        <v>1566</v>
      </c>
      <c r="D187" t="s">
        <v>1567</v>
      </c>
      <c r="E187" t="s">
        <v>1568</v>
      </c>
      <c r="F187">
        <v>199</v>
      </c>
      <c r="G187">
        <v>44.04</v>
      </c>
      <c r="H187">
        <v>29.71</v>
      </c>
      <c r="I187">
        <v>8.86</v>
      </c>
      <c r="J187">
        <v>12.32</v>
      </c>
      <c r="K187">
        <v>5.07</v>
      </c>
      <c r="AF187">
        <v>8.6671297999999997</v>
      </c>
      <c r="AG187">
        <v>8.91</v>
      </c>
      <c r="AI187" t="s">
        <v>0</v>
      </c>
      <c r="AJ187" t="s">
        <v>326</v>
      </c>
      <c r="AK187" t="s">
        <v>1247</v>
      </c>
      <c r="AL187" t="s">
        <v>1569</v>
      </c>
      <c r="AM187" t="s">
        <v>1570</v>
      </c>
      <c r="AN187" t="s">
        <v>11</v>
      </c>
      <c r="AO187" t="s">
        <v>11</v>
      </c>
      <c r="AP187" t="s">
        <v>11</v>
      </c>
      <c r="AQ187" t="s">
        <v>11</v>
      </c>
      <c r="AR187" t="s">
        <v>11</v>
      </c>
      <c r="AS187" t="s">
        <v>11</v>
      </c>
      <c r="AT187" t="s">
        <v>11</v>
      </c>
      <c r="AU187" t="s">
        <v>11</v>
      </c>
      <c r="AV187" t="s">
        <v>11</v>
      </c>
      <c r="AW187" t="s">
        <v>11</v>
      </c>
      <c r="AX187" t="s">
        <v>11</v>
      </c>
      <c r="AY187" t="s">
        <v>11</v>
      </c>
      <c r="AZ187" t="s">
        <v>11</v>
      </c>
      <c r="BA187" t="s">
        <v>11</v>
      </c>
      <c r="BB187" t="s">
        <v>11</v>
      </c>
      <c r="BC187" t="s">
        <v>11</v>
      </c>
      <c r="BD187" t="s">
        <v>11</v>
      </c>
      <c r="BE187" t="s">
        <v>11</v>
      </c>
      <c r="BF187" t="s">
        <v>11</v>
      </c>
      <c r="BG187" t="s">
        <v>11</v>
      </c>
      <c r="BH187" t="s">
        <v>1571</v>
      </c>
      <c r="BI187" t="s">
        <v>1565</v>
      </c>
      <c r="BJ187" t="s">
        <v>1572</v>
      </c>
      <c r="BK187" t="s">
        <v>1573</v>
      </c>
    </row>
    <row r="188" spans="1:63" x14ac:dyDescent="0.3">
      <c r="A188" t="s">
        <v>1574</v>
      </c>
      <c r="B188" t="s">
        <v>160</v>
      </c>
      <c r="C188" t="s">
        <v>1575</v>
      </c>
      <c r="D188" t="s">
        <v>1576</v>
      </c>
      <c r="E188" t="s">
        <v>1568</v>
      </c>
      <c r="F188">
        <v>200</v>
      </c>
      <c r="G188">
        <v>44.07</v>
      </c>
      <c r="H188">
        <v>29.49</v>
      </c>
      <c r="I188">
        <v>8.9</v>
      </c>
      <c r="J188">
        <v>12.58</v>
      </c>
      <c r="K188">
        <v>3.92</v>
      </c>
      <c r="P188">
        <v>1.04</v>
      </c>
      <c r="AF188">
        <v>8.5555132</v>
      </c>
      <c r="AG188">
        <v>8.82</v>
      </c>
      <c r="AI188" t="s">
        <v>0</v>
      </c>
      <c r="AJ188" t="s">
        <v>326</v>
      </c>
      <c r="AK188" t="s">
        <v>608</v>
      </c>
      <c r="AL188" t="s">
        <v>12</v>
      </c>
      <c r="AM188" t="s">
        <v>1085</v>
      </c>
      <c r="AN188" t="s">
        <v>11</v>
      </c>
      <c r="AO188" t="s">
        <v>11</v>
      </c>
      <c r="AP188" t="s">
        <v>11</v>
      </c>
      <c r="AQ188" t="s">
        <v>11</v>
      </c>
      <c r="AR188" t="s">
        <v>1561</v>
      </c>
      <c r="AS188" t="s">
        <v>11</v>
      </c>
      <c r="AT188" t="s">
        <v>11</v>
      </c>
      <c r="AU188" t="s">
        <v>11</v>
      </c>
      <c r="AV188" t="s">
        <v>11</v>
      </c>
      <c r="AW188" t="s">
        <v>11</v>
      </c>
      <c r="AX188" t="s">
        <v>11</v>
      </c>
      <c r="AY188" t="s">
        <v>11</v>
      </c>
      <c r="AZ188" t="s">
        <v>11</v>
      </c>
      <c r="BA188" t="s">
        <v>11</v>
      </c>
      <c r="BB188" t="s">
        <v>11</v>
      </c>
      <c r="BC188" t="s">
        <v>11</v>
      </c>
      <c r="BD188" t="s">
        <v>11</v>
      </c>
      <c r="BE188" t="s">
        <v>11</v>
      </c>
      <c r="BF188" t="s">
        <v>11</v>
      </c>
      <c r="BG188" t="s">
        <v>11</v>
      </c>
      <c r="BH188" t="s">
        <v>1577</v>
      </c>
      <c r="BI188" t="s">
        <v>1574</v>
      </c>
      <c r="BJ188" t="s">
        <v>1578</v>
      </c>
      <c r="BK188" t="s">
        <v>1579</v>
      </c>
    </row>
    <row r="189" spans="1:63" x14ac:dyDescent="0.3">
      <c r="A189" t="s">
        <v>1580</v>
      </c>
      <c r="B189" t="s">
        <v>31</v>
      </c>
      <c r="C189" t="s">
        <v>1581</v>
      </c>
      <c r="D189" t="s">
        <v>1582</v>
      </c>
      <c r="E189" t="s">
        <v>1568</v>
      </c>
      <c r="F189">
        <v>201</v>
      </c>
      <c r="G189">
        <v>44.220000000000006</v>
      </c>
      <c r="H189">
        <v>29.89</v>
      </c>
      <c r="I189">
        <v>8.91</v>
      </c>
      <c r="J189">
        <v>12.1</v>
      </c>
      <c r="K189">
        <v>3.09</v>
      </c>
      <c r="P189">
        <v>1.79</v>
      </c>
      <c r="AF189">
        <v>8.4875781999999997</v>
      </c>
      <c r="AG189">
        <v>8.68</v>
      </c>
      <c r="AI189" t="s">
        <v>0</v>
      </c>
      <c r="AJ189" t="s">
        <v>326</v>
      </c>
      <c r="AK189" t="s">
        <v>1583</v>
      </c>
      <c r="AL189" t="s">
        <v>1584</v>
      </c>
      <c r="AM189" t="s">
        <v>1585</v>
      </c>
      <c r="AN189" t="s">
        <v>11</v>
      </c>
      <c r="AO189" t="s">
        <v>11</v>
      </c>
      <c r="AP189" t="s">
        <v>11</v>
      </c>
      <c r="AQ189" t="s">
        <v>11</v>
      </c>
      <c r="AR189" t="s">
        <v>206</v>
      </c>
      <c r="AS189" t="s">
        <v>11</v>
      </c>
      <c r="AT189" t="s">
        <v>11</v>
      </c>
      <c r="AU189" t="s">
        <v>11</v>
      </c>
      <c r="AV189" t="s">
        <v>11</v>
      </c>
      <c r="AW189" t="s">
        <v>11</v>
      </c>
      <c r="AX189" t="s">
        <v>11</v>
      </c>
      <c r="AY189" t="s">
        <v>11</v>
      </c>
      <c r="AZ189" t="s">
        <v>11</v>
      </c>
      <c r="BA189" t="s">
        <v>11</v>
      </c>
      <c r="BB189" t="s">
        <v>11</v>
      </c>
      <c r="BC189" t="s">
        <v>11</v>
      </c>
      <c r="BD189" t="s">
        <v>11</v>
      </c>
      <c r="BE189" t="s">
        <v>11</v>
      </c>
      <c r="BF189" t="s">
        <v>11</v>
      </c>
      <c r="BG189" t="s">
        <v>11</v>
      </c>
      <c r="BH189" t="s">
        <v>1586</v>
      </c>
      <c r="BI189" t="s">
        <v>1580</v>
      </c>
      <c r="BJ189" t="s">
        <v>1587</v>
      </c>
      <c r="BK189" t="s">
        <v>1588</v>
      </c>
    </row>
    <row r="190" spans="1:63" x14ac:dyDescent="0.3">
      <c r="A190" t="s">
        <v>1589</v>
      </c>
      <c r="B190" t="s">
        <v>31</v>
      </c>
      <c r="C190" t="s">
        <v>1590</v>
      </c>
      <c r="D190" t="s">
        <v>1591</v>
      </c>
      <c r="E190" t="s">
        <v>1568</v>
      </c>
      <c r="F190">
        <v>202</v>
      </c>
      <c r="G190">
        <v>46.809999999999995</v>
      </c>
      <c r="H190">
        <v>26.69</v>
      </c>
      <c r="I190">
        <v>9.0500000000000007</v>
      </c>
      <c r="J190">
        <v>12.42</v>
      </c>
      <c r="K190">
        <v>1.25</v>
      </c>
      <c r="P190">
        <v>3.78</v>
      </c>
      <c r="AF190">
        <v>8.3101921999999995</v>
      </c>
      <c r="AG190">
        <v>8.39</v>
      </c>
      <c r="AI190" t="s">
        <v>0</v>
      </c>
      <c r="AJ190" t="s">
        <v>278</v>
      </c>
      <c r="AK190" t="s">
        <v>1592</v>
      </c>
      <c r="AL190" t="s">
        <v>1593</v>
      </c>
      <c r="AM190" t="s">
        <v>1594</v>
      </c>
      <c r="AN190" t="s">
        <v>11</v>
      </c>
      <c r="AO190" t="s">
        <v>11</v>
      </c>
      <c r="AP190" t="s">
        <v>11</v>
      </c>
      <c r="AQ190" t="s">
        <v>11</v>
      </c>
      <c r="AR190" t="s">
        <v>1595</v>
      </c>
      <c r="AS190" t="s">
        <v>11</v>
      </c>
      <c r="AT190" t="s">
        <v>11</v>
      </c>
      <c r="AU190" t="s">
        <v>11</v>
      </c>
      <c r="AV190" t="s">
        <v>11</v>
      </c>
      <c r="AW190" t="s">
        <v>11</v>
      </c>
      <c r="AX190" t="s">
        <v>11</v>
      </c>
      <c r="AY190" t="s">
        <v>11</v>
      </c>
      <c r="AZ190" t="s">
        <v>11</v>
      </c>
      <c r="BA190" t="s">
        <v>11</v>
      </c>
      <c r="BB190" t="s">
        <v>11</v>
      </c>
      <c r="BC190" t="s">
        <v>11</v>
      </c>
      <c r="BD190" t="s">
        <v>11</v>
      </c>
      <c r="BE190" t="s">
        <v>11</v>
      </c>
      <c r="BF190" t="s">
        <v>11</v>
      </c>
      <c r="BG190" t="s">
        <v>11</v>
      </c>
      <c r="BH190" t="s">
        <v>1596</v>
      </c>
      <c r="BI190" t="s">
        <v>1589</v>
      </c>
      <c r="BJ190" t="s">
        <v>1597</v>
      </c>
      <c r="BK190" t="s">
        <v>1598</v>
      </c>
    </row>
    <row r="191" spans="1:63" x14ac:dyDescent="0.3">
      <c r="A191" t="s">
        <v>1599</v>
      </c>
      <c r="B191" t="s">
        <v>160</v>
      </c>
      <c r="C191" t="s">
        <v>1600</v>
      </c>
      <c r="D191" t="s">
        <v>1601</v>
      </c>
      <c r="E191" t="s">
        <v>1568</v>
      </c>
      <c r="F191">
        <v>203</v>
      </c>
      <c r="G191">
        <v>43.760000000000005</v>
      </c>
      <c r="H191">
        <v>29.91</v>
      </c>
      <c r="I191">
        <v>9.0299999999999994</v>
      </c>
      <c r="J191">
        <v>12.19</v>
      </c>
      <c r="K191">
        <v>4.07</v>
      </c>
      <c r="N191">
        <v>1.04</v>
      </c>
      <c r="AF191">
        <v>8.5518967999999997</v>
      </c>
      <c r="AG191">
        <v>8.8000000000000007</v>
      </c>
      <c r="AI191" t="s">
        <v>0</v>
      </c>
      <c r="AJ191" t="s">
        <v>128</v>
      </c>
      <c r="AK191" t="s">
        <v>1602</v>
      </c>
      <c r="AL191" t="s">
        <v>1584</v>
      </c>
      <c r="AM191" t="s">
        <v>1603</v>
      </c>
      <c r="AN191" t="s">
        <v>11</v>
      </c>
      <c r="AO191" t="s">
        <v>75</v>
      </c>
      <c r="AP191" t="s">
        <v>11</v>
      </c>
      <c r="AQ191" t="s">
        <v>11</v>
      </c>
      <c r="AR191" t="s">
        <v>11</v>
      </c>
      <c r="AS191" t="s">
        <v>11</v>
      </c>
      <c r="AT191" t="s">
        <v>11</v>
      </c>
      <c r="AU191" t="s">
        <v>11</v>
      </c>
      <c r="AV191" t="s">
        <v>11</v>
      </c>
      <c r="AW191" t="s">
        <v>11</v>
      </c>
      <c r="AX191" t="s">
        <v>11</v>
      </c>
      <c r="AY191" t="s">
        <v>11</v>
      </c>
      <c r="AZ191" t="s">
        <v>11</v>
      </c>
      <c r="BA191" t="s">
        <v>11</v>
      </c>
      <c r="BB191" t="s">
        <v>11</v>
      </c>
      <c r="BC191" t="s">
        <v>11</v>
      </c>
      <c r="BD191" t="s">
        <v>11</v>
      </c>
      <c r="BE191" t="s">
        <v>11</v>
      </c>
      <c r="BF191" t="s">
        <v>11</v>
      </c>
      <c r="BG191" t="s">
        <v>11</v>
      </c>
      <c r="BH191" t="s">
        <v>1604</v>
      </c>
      <c r="BI191" t="s">
        <v>1599</v>
      </c>
      <c r="BJ191" t="s">
        <v>1605</v>
      </c>
      <c r="BK191" t="s">
        <v>1606</v>
      </c>
    </row>
    <row r="192" spans="1:63" x14ac:dyDescent="0.3">
      <c r="A192" t="s">
        <v>1607</v>
      </c>
      <c r="B192" t="s">
        <v>31</v>
      </c>
      <c r="C192" t="s">
        <v>1608</v>
      </c>
      <c r="D192" t="s">
        <v>1609</v>
      </c>
      <c r="E192" t="s">
        <v>1568</v>
      </c>
      <c r="F192">
        <v>204</v>
      </c>
      <c r="G192">
        <v>44.41</v>
      </c>
      <c r="H192">
        <v>29.89</v>
      </c>
      <c r="I192">
        <v>8.69</v>
      </c>
      <c r="J192">
        <v>12.11</v>
      </c>
      <c r="K192">
        <v>3.09</v>
      </c>
      <c r="N192">
        <v>1.81</v>
      </c>
      <c r="AF192">
        <v>8.4703721999999999</v>
      </c>
      <c r="AG192">
        <v>8.61</v>
      </c>
      <c r="AI192" t="s">
        <v>0</v>
      </c>
      <c r="AJ192" t="s">
        <v>223</v>
      </c>
      <c r="AK192" t="s">
        <v>1583</v>
      </c>
      <c r="AL192" t="s">
        <v>1584</v>
      </c>
      <c r="AM192" t="s">
        <v>1585</v>
      </c>
      <c r="AN192" t="s">
        <v>11</v>
      </c>
      <c r="AO192" t="s">
        <v>110</v>
      </c>
      <c r="AP192" t="s">
        <v>11</v>
      </c>
      <c r="AQ192" t="s">
        <v>11</v>
      </c>
      <c r="AR192" t="s">
        <v>11</v>
      </c>
      <c r="AS192" t="s">
        <v>11</v>
      </c>
      <c r="AT192" t="s">
        <v>11</v>
      </c>
      <c r="AU192" t="s">
        <v>11</v>
      </c>
      <c r="AV192" t="s">
        <v>11</v>
      </c>
      <c r="AW192" t="s">
        <v>11</v>
      </c>
      <c r="AX192" t="s">
        <v>11</v>
      </c>
      <c r="AY192" t="s">
        <v>11</v>
      </c>
      <c r="AZ192" t="s">
        <v>11</v>
      </c>
      <c r="BA192" t="s">
        <v>11</v>
      </c>
      <c r="BB192" t="s">
        <v>11</v>
      </c>
      <c r="BC192" t="s">
        <v>11</v>
      </c>
      <c r="BD192" t="s">
        <v>11</v>
      </c>
      <c r="BE192" t="s">
        <v>11</v>
      </c>
      <c r="BF192" t="s">
        <v>11</v>
      </c>
      <c r="BG192" t="s">
        <v>11</v>
      </c>
      <c r="BH192" t="s">
        <v>1610</v>
      </c>
      <c r="BI192" t="s">
        <v>1607</v>
      </c>
      <c r="BJ192" t="s">
        <v>1611</v>
      </c>
      <c r="BK192" t="s">
        <v>1612</v>
      </c>
    </row>
    <row r="193" spans="1:63" x14ac:dyDescent="0.3">
      <c r="A193" t="s">
        <v>1613</v>
      </c>
      <c r="B193" t="s">
        <v>31</v>
      </c>
      <c r="C193" t="s">
        <v>1614</v>
      </c>
      <c r="D193" t="s">
        <v>1615</v>
      </c>
      <c r="E193" t="s">
        <v>1568</v>
      </c>
      <c r="F193">
        <v>205</v>
      </c>
      <c r="G193">
        <v>43.83</v>
      </c>
      <c r="H193">
        <v>29.69</v>
      </c>
      <c r="I193">
        <v>9.0500000000000007</v>
      </c>
      <c r="J193">
        <v>12.43</v>
      </c>
      <c r="K193">
        <v>1.26</v>
      </c>
      <c r="N193">
        <v>3.74</v>
      </c>
      <c r="AF193">
        <v>8.2467901999999995</v>
      </c>
      <c r="AG193">
        <v>8.2899999999999991</v>
      </c>
      <c r="AI193" t="s">
        <v>0</v>
      </c>
      <c r="AJ193" t="s">
        <v>278</v>
      </c>
      <c r="AK193" t="s">
        <v>1592</v>
      </c>
      <c r="AL193" t="s">
        <v>1569</v>
      </c>
      <c r="AM193" t="s">
        <v>1594</v>
      </c>
      <c r="AN193" t="s">
        <v>11</v>
      </c>
      <c r="AO193" t="s">
        <v>1616</v>
      </c>
      <c r="AP193" t="s">
        <v>11</v>
      </c>
      <c r="AQ193" t="s">
        <v>11</v>
      </c>
      <c r="AR193" t="s">
        <v>11</v>
      </c>
      <c r="AS193" t="s">
        <v>11</v>
      </c>
      <c r="AT193" t="s">
        <v>11</v>
      </c>
      <c r="AU193" t="s">
        <v>11</v>
      </c>
      <c r="AV193" t="s">
        <v>11</v>
      </c>
      <c r="AW193" t="s">
        <v>11</v>
      </c>
      <c r="AX193" t="s">
        <v>11</v>
      </c>
      <c r="AY193" t="s">
        <v>11</v>
      </c>
      <c r="AZ193" t="s">
        <v>11</v>
      </c>
      <c r="BA193" t="s">
        <v>11</v>
      </c>
      <c r="BB193" t="s">
        <v>11</v>
      </c>
      <c r="BC193" t="s">
        <v>11</v>
      </c>
      <c r="BD193" t="s">
        <v>11</v>
      </c>
      <c r="BE193" t="s">
        <v>11</v>
      </c>
      <c r="BF193" t="s">
        <v>11</v>
      </c>
      <c r="BG193" t="s">
        <v>11</v>
      </c>
      <c r="BH193" t="s">
        <v>1617</v>
      </c>
      <c r="BI193" t="s">
        <v>1613</v>
      </c>
      <c r="BJ193" t="s">
        <v>1618</v>
      </c>
      <c r="BK193" t="s">
        <v>1619</v>
      </c>
    </row>
    <row r="194" spans="1:63" x14ac:dyDescent="0.3">
      <c r="A194" t="s">
        <v>1620</v>
      </c>
      <c r="B194" t="s">
        <v>514</v>
      </c>
      <c r="C194" t="s">
        <v>1621</v>
      </c>
      <c r="D194" t="s">
        <v>1622</v>
      </c>
      <c r="E194" t="s">
        <v>1623</v>
      </c>
      <c r="F194">
        <v>206</v>
      </c>
      <c r="G194">
        <v>60</v>
      </c>
      <c r="H194">
        <v>30</v>
      </c>
      <c r="I194">
        <v>6.7</v>
      </c>
      <c r="L194">
        <v>3.3</v>
      </c>
      <c r="AF194">
        <v>8.3420310000000004</v>
      </c>
      <c r="AI194" t="s">
        <v>0</v>
      </c>
      <c r="AJ194" t="s">
        <v>1624</v>
      </c>
      <c r="AK194" t="s">
        <v>11</v>
      </c>
      <c r="AL194" t="s">
        <v>23</v>
      </c>
      <c r="AM194" t="s">
        <v>11</v>
      </c>
      <c r="AN194" t="s">
        <v>11</v>
      </c>
      <c r="AO194" t="s">
        <v>11</v>
      </c>
      <c r="AP194" t="s">
        <v>11</v>
      </c>
      <c r="AQ194" t="s">
        <v>1625</v>
      </c>
      <c r="AR194" t="s">
        <v>11</v>
      </c>
      <c r="AS194" t="s">
        <v>11</v>
      </c>
      <c r="AT194" t="s">
        <v>11</v>
      </c>
      <c r="AU194" t="s">
        <v>11</v>
      </c>
      <c r="AV194" t="s">
        <v>11</v>
      </c>
      <c r="AW194" t="s">
        <v>11</v>
      </c>
      <c r="AX194" t="s">
        <v>11</v>
      </c>
      <c r="AY194" t="s">
        <v>11</v>
      </c>
      <c r="AZ194" t="s">
        <v>11</v>
      </c>
      <c r="BA194" t="s">
        <v>11</v>
      </c>
      <c r="BB194" t="s">
        <v>11</v>
      </c>
      <c r="BC194" t="s">
        <v>11</v>
      </c>
      <c r="BD194" t="s">
        <v>11</v>
      </c>
      <c r="BE194" t="s">
        <v>11</v>
      </c>
      <c r="BF194" t="s">
        <v>11</v>
      </c>
      <c r="BG194" t="s">
        <v>11</v>
      </c>
      <c r="BH194" t="s">
        <v>1626</v>
      </c>
      <c r="BI194" t="s">
        <v>1620</v>
      </c>
      <c r="BJ194" t="s">
        <v>1627</v>
      </c>
      <c r="BK194" t="s">
        <v>1628</v>
      </c>
    </row>
    <row r="195" spans="1:63" x14ac:dyDescent="0.3">
      <c r="A195" t="s">
        <v>1629</v>
      </c>
      <c r="B195" t="s">
        <v>5</v>
      </c>
      <c r="C195" t="s">
        <v>1630</v>
      </c>
      <c r="D195" t="s">
        <v>1631</v>
      </c>
      <c r="E195" t="s">
        <v>1623</v>
      </c>
      <c r="F195">
        <v>207</v>
      </c>
      <c r="G195">
        <v>60</v>
      </c>
      <c r="H195">
        <v>30</v>
      </c>
      <c r="I195">
        <v>7.5</v>
      </c>
      <c r="L195">
        <v>2.5</v>
      </c>
      <c r="AF195">
        <v>8.3275750000000013</v>
      </c>
      <c r="AI195" t="s">
        <v>0</v>
      </c>
      <c r="AJ195" t="s">
        <v>297</v>
      </c>
      <c r="AK195" t="s">
        <v>11</v>
      </c>
      <c r="AL195" t="s">
        <v>23</v>
      </c>
      <c r="AM195" t="s">
        <v>11</v>
      </c>
      <c r="AN195" t="s">
        <v>11</v>
      </c>
      <c r="AO195" t="s">
        <v>11</v>
      </c>
      <c r="AP195" t="s">
        <v>11</v>
      </c>
      <c r="AQ195" t="s">
        <v>1217</v>
      </c>
      <c r="AR195" t="s">
        <v>11</v>
      </c>
      <c r="AS195" t="s">
        <v>11</v>
      </c>
      <c r="AT195" t="s">
        <v>11</v>
      </c>
      <c r="AU195" t="s">
        <v>11</v>
      </c>
      <c r="AV195" t="s">
        <v>11</v>
      </c>
      <c r="AW195" t="s">
        <v>11</v>
      </c>
      <c r="AX195" t="s">
        <v>11</v>
      </c>
      <c r="AY195" t="s">
        <v>11</v>
      </c>
      <c r="AZ195" t="s">
        <v>11</v>
      </c>
      <c r="BA195" t="s">
        <v>11</v>
      </c>
      <c r="BB195" t="s">
        <v>11</v>
      </c>
      <c r="BC195" t="s">
        <v>11</v>
      </c>
      <c r="BD195" t="s">
        <v>11</v>
      </c>
      <c r="BE195" t="s">
        <v>11</v>
      </c>
      <c r="BF195" t="s">
        <v>11</v>
      </c>
      <c r="BG195" t="s">
        <v>11</v>
      </c>
      <c r="BH195" t="s">
        <v>1632</v>
      </c>
      <c r="BI195" t="s">
        <v>1629</v>
      </c>
      <c r="BJ195" t="s">
        <v>1633</v>
      </c>
      <c r="BK195" t="s">
        <v>1634</v>
      </c>
    </row>
    <row r="196" spans="1:63" x14ac:dyDescent="0.3">
      <c r="A196" t="s">
        <v>1635</v>
      </c>
      <c r="B196" t="s">
        <v>5</v>
      </c>
      <c r="C196" t="s">
        <v>1636</v>
      </c>
      <c r="D196" t="s">
        <v>1637</v>
      </c>
      <c r="E196" t="s">
        <v>1623</v>
      </c>
      <c r="F196">
        <v>208</v>
      </c>
      <c r="G196">
        <v>58</v>
      </c>
      <c r="H196">
        <v>30</v>
      </c>
      <c r="I196">
        <v>7.5</v>
      </c>
      <c r="J196">
        <v>2</v>
      </c>
      <c r="L196">
        <v>2.5</v>
      </c>
      <c r="AF196">
        <v>8.2933750000000011</v>
      </c>
      <c r="AI196" t="s">
        <v>0</v>
      </c>
      <c r="AJ196" t="s">
        <v>297</v>
      </c>
      <c r="AK196" t="s">
        <v>11</v>
      </c>
      <c r="AL196" t="s">
        <v>23</v>
      </c>
      <c r="AM196" t="s">
        <v>453</v>
      </c>
      <c r="AN196" t="s">
        <v>11</v>
      </c>
      <c r="AO196" t="s">
        <v>11</v>
      </c>
      <c r="AP196" t="s">
        <v>11</v>
      </c>
      <c r="AQ196" t="s">
        <v>1217</v>
      </c>
      <c r="AR196" t="s">
        <v>11</v>
      </c>
      <c r="AS196" t="s">
        <v>11</v>
      </c>
      <c r="AT196" t="s">
        <v>11</v>
      </c>
      <c r="AU196" t="s">
        <v>11</v>
      </c>
      <c r="AV196" t="s">
        <v>11</v>
      </c>
      <c r="AW196" t="s">
        <v>11</v>
      </c>
      <c r="AX196" t="s">
        <v>11</v>
      </c>
      <c r="AY196" t="s">
        <v>11</v>
      </c>
      <c r="AZ196" t="s">
        <v>11</v>
      </c>
      <c r="BA196" t="s">
        <v>11</v>
      </c>
      <c r="BB196" t="s">
        <v>11</v>
      </c>
      <c r="BC196" t="s">
        <v>11</v>
      </c>
      <c r="BD196" t="s">
        <v>11</v>
      </c>
      <c r="BE196" t="s">
        <v>11</v>
      </c>
      <c r="BF196" t="s">
        <v>11</v>
      </c>
      <c r="BG196" t="s">
        <v>11</v>
      </c>
      <c r="BH196" t="s">
        <v>1638</v>
      </c>
      <c r="BI196" t="s">
        <v>1635</v>
      </c>
      <c r="BJ196" t="s">
        <v>1639</v>
      </c>
      <c r="BK196" t="s">
        <v>1640</v>
      </c>
    </row>
    <row r="197" spans="1:63" x14ac:dyDescent="0.3">
      <c r="A197" t="s">
        <v>1641</v>
      </c>
      <c r="B197" t="s">
        <v>5</v>
      </c>
      <c r="C197" t="s">
        <v>1642</v>
      </c>
      <c r="D197" t="s">
        <v>1484</v>
      </c>
      <c r="E197" t="s">
        <v>1623</v>
      </c>
      <c r="F197">
        <v>209</v>
      </c>
      <c r="G197">
        <v>58</v>
      </c>
      <c r="H197">
        <v>30</v>
      </c>
      <c r="I197">
        <v>7.5</v>
      </c>
      <c r="L197">
        <v>2.5</v>
      </c>
      <c r="P197">
        <v>2</v>
      </c>
      <c r="AF197">
        <v>8.3551750000000009</v>
      </c>
      <c r="AI197" t="s">
        <v>0</v>
      </c>
      <c r="AJ197" t="s">
        <v>297</v>
      </c>
      <c r="AK197" t="s">
        <v>11</v>
      </c>
      <c r="AL197" t="s">
        <v>23</v>
      </c>
      <c r="AM197" t="s">
        <v>11</v>
      </c>
      <c r="AN197" t="s">
        <v>11</v>
      </c>
      <c r="AO197" t="s">
        <v>11</v>
      </c>
      <c r="AP197" t="s">
        <v>11</v>
      </c>
      <c r="AQ197" t="s">
        <v>1217</v>
      </c>
      <c r="AR197" t="s">
        <v>798</v>
      </c>
      <c r="AS197" t="s">
        <v>11</v>
      </c>
      <c r="AT197" t="s">
        <v>11</v>
      </c>
      <c r="AU197" t="s">
        <v>11</v>
      </c>
      <c r="AV197" t="s">
        <v>11</v>
      </c>
      <c r="AW197" t="s">
        <v>11</v>
      </c>
      <c r="AX197" t="s">
        <v>11</v>
      </c>
      <c r="AY197" t="s">
        <v>11</v>
      </c>
      <c r="AZ197" t="s">
        <v>11</v>
      </c>
      <c r="BA197" t="s">
        <v>11</v>
      </c>
      <c r="BB197" t="s">
        <v>11</v>
      </c>
      <c r="BC197" t="s">
        <v>11</v>
      </c>
      <c r="BD197" t="s">
        <v>11</v>
      </c>
      <c r="BE197" t="s">
        <v>11</v>
      </c>
      <c r="BF197" t="s">
        <v>11</v>
      </c>
      <c r="BG197" t="s">
        <v>11</v>
      </c>
      <c r="BH197" t="s">
        <v>1643</v>
      </c>
      <c r="BI197" t="s">
        <v>1641</v>
      </c>
      <c r="BJ197" t="s">
        <v>1644</v>
      </c>
      <c r="BK197" t="s">
        <v>1645</v>
      </c>
    </row>
    <row r="198" spans="1:63" x14ac:dyDescent="0.3">
      <c r="A198" t="s">
        <v>1646</v>
      </c>
      <c r="B198" t="s">
        <v>514</v>
      </c>
      <c r="C198" t="s">
        <v>1647</v>
      </c>
      <c r="D198" t="s">
        <v>1648</v>
      </c>
      <c r="E198" t="s">
        <v>1623</v>
      </c>
      <c r="F198">
        <v>210</v>
      </c>
      <c r="G198">
        <v>60</v>
      </c>
      <c r="H198">
        <v>30</v>
      </c>
      <c r="I198">
        <v>8.3000000000000007</v>
      </c>
      <c r="L198">
        <v>1.7</v>
      </c>
      <c r="AF198">
        <v>8.3131189999999986</v>
      </c>
      <c r="AI198" t="s">
        <v>0</v>
      </c>
      <c r="AJ198" t="s">
        <v>147</v>
      </c>
      <c r="AK198" t="s">
        <v>11</v>
      </c>
      <c r="AL198" t="s">
        <v>23</v>
      </c>
      <c r="AM198" t="s">
        <v>11</v>
      </c>
      <c r="AN198" t="s">
        <v>11</v>
      </c>
      <c r="AO198" t="s">
        <v>11</v>
      </c>
      <c r="AP198" t="s">
        <v>11</v>
      </c>
      <c r="AQ198" t="s">
        <v>1649</v>
      </c>
      <c r="AR198" t="s">
        <v>11</v>
      </c>
      <c r="AS198" t="s">
        <v>11</v>
      </c>
      <c r="AT198" t="s">
        <v>11</v>
      </c>
      <c r="AU198" t="s">
        <v>11</v>
      </c>
      <c r="AV198" t="s">
        <v>11</v>
      </c>
      <c r="AW198" t="s">
        <v>11</v>
      </c>
      <c r="AX198" t="s">
        <v>11</v>
      </c>
      <c r="AY198" t="s">
        <v>11</v>
      </c>
      <c r="AZ198" t="s">
        <v>11</v>
      </c>
      <c r="BA198" t="s">
        <v>11</v>
      </c>
      <c r="BB198" t="s">
        <v>11</v>
      </c>
      <c r="BC198" t="s">
        <v>11</v>
      </c>
      <c r="BD198" t="s">
        <v>11</v>
      </c>
      <c r="BE198" t="s">
        <v>11</v>
      </c>
      <c r="BF198" t="s">
        <v>11</v>
      </c>
      <c r="BG198" t="s">
        <v>11</v>
      </c>
      <c r="BH198" t="s">
        <v>1650</v>
      </c>
      <c r="BI198" t="s">
        <v>1646</v>
      </c>
      <c r="BJ198" t="s">
        <v>1651</v>
      </c>
      <c r="BK198" t="s">
        <v>1652</v>
      </c>
    </row>
    <row r="199" spans="1:63" x14ac:dyDescent="0.3">
      <c r="A199" t="s">
        <v>1653</v>
      </c>
      <c r="B199" t="s">
        <v>160</v>
      </c>
      <c r="C199" t="s">
        <v>1654</v>
      </c>
      <c r="D199" t="s">
        <v>1655</v>
      </c>
      <c r="E199" t="s">
        <v>1656</v>
      </c>
      <c r="F199">
        <v>211</v>
      </c>
      <c r="G199">
        <v>45</v>
      </c>
      <c r="H199">
        <v>30</v>
      </c>
      <c r="I199">
        <v>11</v>
      </c>
      <c r="J199">
        <v>5</v>
      </c>
      <c r="K199">
        <v>4</v>
      </c>
      <c r="L199">
        <v>4</v>
      </c>
      <c r="M199">
        <v>1</v>
      </c>
      <c r="AF199">
        <v>8.4506800000000002</v>
      </c>
      <c r="AG199">
        <v>8.77</v>
      </c>
      <c r="AH199" t="s">
        <v>1657</v>
      </c>
      <c r="AI199" t="s">
        <v>0</v>
      </c>
      <c r="AJ199" t="s">
        <v>1365</v>
      </c>
      <c r="AK199" t="s">
        <v>462</v>
      </c>
      <c r="AL199" t="s">
        <v>23</v>
      </c>
      <c r="AM199" t="s">
        <v>1658</v>
      </c>
      <c r="AN199" t="s">
        <v>471</v>
      </c>
      <c r="AO199" t="s">
        <v>11</v>
      </c>
      <c r="AP199" t="s">
        <v>11</v>
      </c>
      <c r="AQ199" t="s">
        <v>1659</v>
      </c>
      <c r="AR199" t="s">
        <v>11</v>
      </c>
      <c r="AS199" t="s">
        <v>11</v>
      </c>
      <c r="AT199" t="s">
        <v>11</v>
      </c>
      <c r="AU199" t="s">
        <v>11</v>
      </c>
      <c r="AV199" t="s">
        <v>11</v>
      </c>
      <c r="AW199" t="s">
        <v>11</v>
      </c>
      <c r="AX199" t="s">
        <v>11</v>
      </c>
      <c r="AY199" t="s">
        <v>11</v>
      </c>
      <c r="AZ199" t="s">
        <v>11</v>
      </c>
      <c r="BA199" t="s">
        <v>11</v>
      </c>
      <c r="BB199" t="s">
        <v>11</v>
      </c>
      <c r="BC199" t="s">
        <v>11</v>
      </c>
      <c r="BD199" t="s">
        <v>11</v>
      </c>
      <c r="BE199" t="s">
        <v>11</v>
      </c>
      <c r="BF199" t="s">
        <v>11</v>
      </c>
      <c r="BG199" t="s">
        <v>11</v>
      </c>
      <c r="BH199" t="s">
        <v>1660</v>
      </c>
      <c r="BI199" t="s">
        <v>1653</v>
      </c>
      <c r="BJ199" t="s">
        <v>1661</v>
      </c>
      <c r="BK199" t="s">
        <v>1662</v>
      </c>
    </row>
    <row r="200" spans="1:63" x14ac:dyDescent="0.3">
      <c r="A200" t="s">
        <v>1663</v>
      </c>
      <c r="B200" t="s">
        <v>160</v>
      </c>
      <c r="C200" t="s">
        <v>1664</v>
      </c>
      <c r="D200" t="s">
        <v>1665</v>
      </c>
      <c r="E200" t="s">
        <v>1666</v>
      </c>
      <c r="F200">
        <v>212</v>
      </c>
      <c r="G200">
        <v>59.199999999999996</v>
      </c>
      <c r="H200">
        <v>20.399999999999999</v>
      </c>
      <c r="I200">
        <v>9.8000000000000007</v>
      </c>
      <c r="K200">
        <v>7.4</v>
      </c>
      <c r="L200">
        <v>2.7</v>
      </c>
      <c r="Q200">
        <v>0.4</v>
      </c>
      <c r="S200">
        <v>0.1</v>
      </c>
      <c r="AF200">
        <v>8.9083210000000008</v>
      </c>
      <c r="AH200" t="s">
        <v>1667</v>
      </c>
      <c r="AI200" t="s">
        <v>0</v>
      </c>
      <c r="AJ200" t="s">
        <v>1319</v>
      </c>
      <c r="AK200" t="s">
        <v>584</v>
      </c>
      <c r="AL200" t="s">
        <v>1668</v>
      </c>
      <c r="AM200" t="s">
        <v>11</v>
      </c>
      <c r="AN200" t="s">
        <v>11</v>
      </c>
      <c r="AO200" t="s">
        <v>11</v>
      </c>
      <c r="AP200" t="s">
        <v>11</v>
      </c>
      <c r="AQ200" t="s">
        <v>1153</v>
      </c>
      <c r="AR200" t="s">
        <v>11</v>
      </c>
      <c r="AS200" t="s">
        <v>1669</v>
      </c>
      <c r="AT200" t="s">
        <v>11</v>
      </c>
      <c r="AU200" t="s">
        <v>1230</v>
      </c>
      <c r="AV200" t="s">
        <v>11</v>
      </c>
      <c r="AW200" t="s">
        <v>11</v>
      </c>
      <c r="AX200" t="s">
        <v>11</v>
      </c>
      <c r="AY200" t="s">
        <v>11</v>
      </c>
      <c r="AZ200" t="s">
        <v>11</v>
      </c>
      <c r="BA200" t="s">
        <v>11</v>
      </c>
      <c r="BB200" t="s">
        <v>11</v>
      </c>
      <c r="BC200" t="s">
        <v>11</v>
      </c>
      <c r="BD200" t="s">
        <v>11</v>
      </c>
      <c r="BE200" t="s">
        <v>11</v>
      </c>
      <c r="BF200" t="s">
        <v>11</v>
      </c>
      <c r="BG200" t="s">
        <v>11</v>
      </c>
      <c r="BH200" t="s">
        <v>1670</v>
      </c>
      <c r="BI200" t="s">
        <v>1663</v>
      </c>
      <c r="BJ200" t="s">
        <v>1671</v>
      </c>
      <c r="BK200" t="s">
        <v>1672</v>
      </c>
    </row>
    <row r="201" spans="1:63" x14ac:dyDescent="0.3">
      <c r="A201" t="s">
        <v>1673</v>
      </c>
      <c r="B201" t="s">
        <v>514</v>
      </c>
      <c r="C201" t="s">
        <v>1674</v>
      </c>
      <c r="D201" t="s">
        <v>1675</v>
      </c>
      <c r="E201" t="s">
        <v>1676</v>
      </c>
      <c r="F201">
        <v>213</v>
      </c>
      <c r="G201">
        <v>88</v>
      </c>
      <c r="L201">
        <v>12</v>
      </c>
      <c r="AF201">
        <v>8.3728400000000001</v>
      </c>
      <c r="AI201" t="s">
        <v>0</v>
      </c>
      <c r="AJ201" t="s">
        <v>11</v>
      </c>
      <c r="AK201" t="s">
        <v>11</v>
      </c>
      <c r="AL201" t="s">
        <v>11</v>
      </c>
      <c r="AM201" t="s">
        <v>11</v>
      </c>
      <c r="AN201" t="s">
        <v>11</v>
      </c>
      <c r="AO201" t="s">
        <v>11</v>
      </c>
      <c r="AP201" t="s">
        <v>11</v>
      </c>
      <c r="AQ201" t="s">
        <v>1677</v>
      </c>
      <c r="AR201" t="s">
        <v>11</v>
      </c>
      <c r="AS201" t="s">
        <v>11</v>
      </c>
      <c r="AT201" t="s">
        <v>11</v>
      </c>
      <c r="AU201" t="s">
        <v>11</v>
      </c>
      <c r="AV201" t="s">
        <v>11</v>
      </c>
      <c r="AW201" t="s">
        <v>11</v>
      </c>
      <c r="AX201" t="s">
        <v>11</v>
      </c>
      <c r="AY201" t="s">
        <v>11</v>
      </c>
      <c r="AZ201" t="s">
        <v>11</v>
      </c>
      <c r="BA201" t="s">
        <v>11</v>
      </c>
      <c r="BB201" t="s">
        <v>11</v>
      </c>
      <c r="BC201" t="s">
        <v>11</v>
      </c>
      <c r="BD201" t="s">
        <v>11</v>
      </c>
      <c r="BE201" t="s">
        <v>11</v>
      </c>
      <c r="BF201" t="s">
        <v>11</v>
      </c>
      <c r="BG201" t="s">
        <v>11</v>
      </c>
      <c r="BH201" t="s">
        <v>1678</v>
      </c>
      <c r="BI201" t="s">
        <v>1673</v>
      </c>
      <c r="BJ201" t="s">
        <v>1679</v>
      </c>
      <c r="BK201" t="s">
        <v>1677</v>
      </c>
    </row>
    <row r="202" spans="1:63" x14ac:dyDescent="0.3">
      <c r="A202" t="s">
        <v>1680</v>
      </c>
      <c r="B202" t="s">
        <v>514</v>
      </c>
      <c r="C202" t="s">
        <v>1681</v>
      </c>
      <c r="D202" t="s">
        <v>1682</v>
      </c>
      <c r="E202" t="s">
        <v>1676</v>
      </c>
      <c r="F202">
        <v>214</v>
      </c>
      <c r="G202">
        <v>84</v>
      </c>
      <c r="L202">
        <v>12</v>
      </c>
      <c r="P202">
        <v>4</v>
      </c>
      <c r="AF202">
        <v>8.4280399999999993</v>
      </c>
      <c r="AI202" t="s">
        <v>0</v>
      </c>
      <c r="AJ202" t="s">
        <v>11</v>
      </c>
      <c r="AK202" t="s">
        <v>11</v>
      </c>
      <c r="AL202" t="s">
        <v>11</v>
      </c>
      <c r="AM202" t="s">
        <v>11</v>
      </c>
      <c r="AN202" t="s">
        <v>11</v>
      </c>
      <c r="AO202" t="s">
        <v>11</v>
      </c>
      <c r="AP202" t="s">
        <v>11</v>
      </c>
      <c r="AQ202" t="s">
        <v>1677</v>
      </c>
      <c r="AR202" t="s">
        <v>45</v>
      </c>
      <c r="AS202" t="s">
        <v>11</v>
      </c>
      <c r="AT202" t="s">
        <v>11</v>
      </c>
      <c r="AU202" t="s">
        <v>11</v>
      </c>
      <c r="AV202" t="s">
        <v>11</v>
      </c>
      <c r="AW202" t="s">
        <v>11</v>
      </c>
      <c r="AX202" t="s">
        <v>11</v>
      </c>
      <c r="AY202" t="s">
        <v>11</v>
      </c>
      <c r="AZ202" t="s">
        <v>11</v>
      </c>
      <c r="BA202" t="s">
        <v>11</v>
      </c>
      <c r="BB202" t="s">
        <v>11</v>
      </c>
      <c r="BC202" t="s">
        <v>11</v>
      </c>
      <c r="BD202" t="s">
        <v>11</v>
      </c>
      <c r="BE202" t="s">
        <v>11</v>
      </c>
      <c r="BF202" t="s">
        <v>11</v>
      </c>
      <c r="BG202" t="s">
        <v>11</v>
      </c>
      <c r="BH202" t="s">
        <v>1683</v>
      </c>
      <c r="BI202" t="s">
        <v>1680</v>
      </c>
      <c r="BJ202" t="s">
        <v>1684</v>
      </c>
      <c r="BK202" t="s">
        <v>1685</v>
      </c>
    </row>
    <row r="203" spans="1:63" x14ac:dyDescent="0.3">
      <c r="A203" t="s">
        <v>1686</v>
      </c>
      <c r="B203" t="s">
        <v>514</v>
      </c>
      <c r="C203" t="s">
        <v>1687</v>
      </c>
      <c r="D203" t="s">
        <v>1688</v>
      </c>
      <c r="E203" t="s">
        <v>1676</v>
      </c>
      <c r="F203">
        <v>215</v>
      </c>
      <c r="G203">
        <v>84</v>
      </c>
      <c r="J203">
        <v>4</v>
      </c>
      <c r="L203">
        <v>12</v>
      </c>
      <c r="AF203">
        <v>8.3044399999999996</v>
      </c>
      <c r="AI203" t="s">
        <v>0</v>
      </c>
      <c r="AJ203" t="s">
        <v>11</v>
      </c>
      <c r="AK203" t="s">
        <v>11</v>
      </c>
      <c r="AL203" t="s">
        <v>11</v>
      </c>
      <c r="AM203" t="s">
        <v>963</v>
      </c>
      <c r="AN203" t="s">
        <v>11</v>
      </c>
      <c r="AO203" t="s">
        <v>11</v>
      </c>
      <c r="AP203" t="s">
        <v>11</v>
      </c>
      <c r="AQ203" t="s">
        <v>1677</v>
      </c>
      <c r="AR203" t="s">
        <v>11</v>
      </c>
      <c r="AS203" t="s">
        <v>11</v>
      </c>
      <c r="AT203" t="s">
        <v>11</v>
      </c>
      <c r="AU203" t="s">
        <v>11</v>
      </c>
      <c r="AV203" t="s">
        <v>11</v>
      </c>
      <c r="AW203" t="s">
        <v>11</v>
      </c>
      <c r="AX203" t="s">
        <v>11</v>
      </c>
      <c r="AY203" t="s">
        <v>11</v>
      </c>
      <c r="AZ203" t="s">
        <v>11</v>
      </c>
      <c r="BA203" t="s">
        <v>11</v>
      </c>
      <c r="BB203" t="s">
        <v>11</v>
      </c>
      <c r="BC203" t="s">
        <v>11</v>
      </c>
      <c r="BD203" t="s">
        <v>11</v>
      </c>
      <c r="BE203" t="s">
        <v>11</v>
      </c>
      <c r="BF203" t="s">
        <v>11</v>
      </c>
      <c r="BG203" t="s">
        <v>11</v>
      </c>
      <c r="BH203" t="s">
        <v>1689</v>
      </c>
      <c r="BI203" t="s">
        <v>1686</v>
      </c>
      <c r="BJ203" t="s">
        <v>1690</v>
      </c>
      <c r="BK203" t="s">
        <v>1691</v>
      </c>
    </row>
    <row r="204" spans="1:63" x14ac:dyDescent="0.3">
      <c r="A204" t="s">
        <v>1692</v>
      </c>
      <c r="B204" t="s">
        <v>95</v>
      </c>
      <c r="C204" t="s">
        <v>1308</v>
      </c>
      <c r="D204" t="s">
        <v>1693</v>
      </c>
      <c r="E204" t="s">
        <v>1694</v>
      </c>
      <c r="F204">
        <v>216</v>
      </c>
      <c r="G204">
        <v>79</v>
      </c>
      <c r="I204">
        <v>10</v>
      </c>
      <c r="K204">
        <v>11</v>
      </c>
      <c r="AF204">
        <v>9.4184999999999999</v>
      </c>
      <c r="AI204" t="s">
        <v>0</v>
      </c>
      <c r="AJ204" t="s">
        <v>22</v>
      </c>
      <c r="AK204" t="s">
        <v>988</v>
      </c>
      <c r="AL204" t="s">
        <v>11</v>
      </c>
      <c r="AM204" t="s">
        <v>11</v>
      </c>
      <c r="AN204" t="s">
        <v>11</v>
      </c>
      <c r="AO204" t="s">
        <v>11</v>
      </c>
      <c r="AP204" t="s">
        <v>11</v>
      </c>
      <c r="AQ204" t="s">
        <v>11</v>
      </c>
      <c r="AR204" t="s">
        <v>11</v>
      </c>
      <c r="AS204" t="s">
        <v>11</v>
      </c>
      <c r="AT204" t="s">
        <v>11</v>
      </c>
      <c r="AU204" t="s">
        <v>11</v>
      </c>
      <c r="AV204" t="s">
        <v>11</v>
      </c>
      <c r="AW204" t="s">
        <v>11</v>
      </c>
      <c r="AX204" t="s">
        <v>11</v>
      </c>
      <c r="AY204" t="s">
        <v>11</v>
      </c>
      <c r="AZ204" t="s">
        <v>11</v>
      </c>
      <c r="BA204" t="s">
        <v>11</v>
      </c>
      <c r="BB204" t="s">
        <v>11</v>
      </c>
      <c r="BC204" t="s">
        <v>11</v>
      </c>
      <c r="BD204" t="s">
        <v>11</v>
      </c>
      <c r="BE204" t="s">
        <v>11</v>
      </c>
      <c r="BF204" t="s">
        <v>11</v>
      </c>
      <c r="BG204" t="s">
        <v>11</v>
      </c>
      <c r="BH204" t="s">
        <v>1695</v>
      </c>
      <c r="BI204" t="s">
        <v>1692</v>
      </c>
      <c r="BJ204" t="s">
        <v>1696</v>
      </c>
      <c r="BK204" t="s">
        <v>1697</v>
      </c>
    </row>
    <row r="205" spans="1:63" x14ac:dyDescent="0.3">
      <c r="A205" t="s">
        <v>1698</v>
      </c>
      <c r="B205" t="s">
        <v>160</v>
      </c>
      <c r="C205" t="s">
        <v>1699</v>
      </c>
      <c r="D205" t="s">
        <v>1700</v>
      </c>
      <c r="E205" t="s">
        <v>1701</v>
      </c>
      <c r="F205">
        <v>217</v>
      </c>
      <c r="G205">
        <v>33.5</v>
      </c>
      <c r="H205">
        <v>33.5</v>
      </c>
      <c r="I205">
        <v>12</v>
      </c>
      <c r="J205">
        <v>17</v>
      </c>
      <c r="K205">
        <v>3</v>
      </c>
      <c r="M205">
        <v>1</v>
      </c>
      <c r="AF205">
        <v>8.255980000000001</v>
      </c>
      <c r="AH205" t="s">
        <v>1702</v>
      </c>
      <c r="AI205" t="s">
        <v>0</v>
      </c>
      <c r="AJ205" t="s">
        <v>881</v>
      </c>
      <c r="AK205" t="s">
        <v>1498</v>
      </c>
      <c r="AL205" t="s">
        <v>1703</v>
      </c>
      <c r="AM205" t="s">
        <v>1704</v>
      </c>
      <c r="AN205" t="s">
        <v>471</v>
      </c>
      <c r="AO205" t="s">
        <v>11</v>
      </c>
      <c r="AP205" t="s">
        <v>11</v>
      </c>
      <c r="AQ205" t="s">
        <v>11</v>
      </c>
      <c r="AR205" t="s">
        <v>11</v>
      </c>
      <c r="AS205" t="s">
        <v>11</v>
      </c>
      <c r="AT205" t="s">
        <v>11</v>
      </c>
      <c r="AU205" t="s">
        <v>11</v>
      </c>
      <c r="AV205" t="s">
        <v>11</v>
      </c>
      <c r="AW205" t="s">
        <v>11</v>
      </c>
      <c r="AX205" t="s">
        <v>11</v>
      </c>
      <c r="AY205" t="s">
        <v>11</v>
      </c>
      <c r="AZ205" t="s">
        <v>11</v>
      </c>
      <c r="BA205" t="s">
        <v>11</v>
      </c>
      <c r="BB205" t="s">
        <v>11</v>
      </c>
      <c r="BC205" t="s">
        <v>11</v>
      </c>
      <c r="BD205" t="s">
        <v>11</v>
      </c>
      <c r="BE205" t="s">
        <v>11</v>
      </c>
      <c r="BF205" t="s">
        <v>11</v>
      </c>
      <c r="BG205" t="s">
        <v>11</v>
      </c>
      <c r="BH205" t="s">
        <v>1705</v>
      </c>
      <c r="BI205" t="s">
        <v>1698</v>
      </c>
      <c r="BJ205" t="s">
        <v>1706</v>
      </c>
      <c r="BK205" t="s">
        <v>1707</v>
      </c>
    </row>
    <row r="206" spans="1:63" x14ac:dyDescent="0.3">
      <c r="A206" t="s">
        <v>1708</v>
      </c>
      <c r="B206" t="s">
        <v>160</v>
      </c>
      <c r="C206" t="s">
        <v>1709</v>
      </c>
      <c r="D206" t="s">
        <v>1710</v>
      </c>
      <c r="E206" t="s">
        <v>1701</v>
      </c>
      <c r="F206">
        <v>218</v>
      </c>
      <c r="G206">
        <v>36</v>
      </c>
      <c r="H206">
        <v>35</v>
      </c>
      <c r="I206">
        <v>10</v>
      </c>
      <c r="J206">
        <v>15</v>
      </c>
      <c r="K206">
        <v>3</v>
      </c>
      <c r="M206">
        <v>1</v>
      </c>
      <c r="AF206">
        <v>8.4143000000000008</v>
      </c>
      <c r="AI206" t="s">
        <v>0</v>
      </c>
      <c r="AJ206" t="s">
        <v>22</v>
      </c>
      <c r="AK206" t="s">
        <v>1498</v>
      </c>
      <c r="AL206" t="s">
        <v>692</v>
      </c>
      <c r="AM206" t="s">
        <v>1711</v>
      </c>
      <c r="AN206" t="s">
        <v>471</v>
      </c>
      <c r="AO206" t="s">
        <v>11</v>
      </c>
      <c r="AP206" t="s">
        <v>11</v>
      </c>
      <c r="AQ206" t="s">
        <v>11</v>
      </c>
      <c r="AR206" t="s">
        <v>11</v>
      </c>
      <c r="AS206" t="s">
        <v>11</v>
      </c>
      <c r="AT206" t="s">
        <v>11</v>
      </c>
      <c r="AU206" t="s">
        <v>11</v>
      </c>
      <c r="AV206" t="s">
        <v>11</v>
      </c>
      <c r="AW206" t="s">
        <v>11</v>
      </c>
      <c r="AX206" t="s">
        <v>11</v>
      </c>
      <c r="AY206" t="s">
        <v>11</v>
      </c>
      <c r="AZ206" t="s">
        <v>11</v>
      </c>
      <c r="BA206" t="s">
        <v>11</v>
      </c>
      <c r="BB206" t="s">
        <v>11</v>
      </c>
      <c r="BC206" t="s">
        <v>11</v>
      </c>
      <c r="BD206" t="s">
        <v>11</v>
      </c>
      <c r="BE206" t="s">
        <v>11</v>
      </c>
      <c r="BF206" t="s">
        <v>11</v>
      </c>
      <c r="BG206" t="s">
        <v>11</v>
      </c>
      <c r="BH206" t="s">
        <v>1712</v>
      </c>
      <c r="BI206" t="s">
        <v>1708</v>
      </c>
      <c r="BJ206" t="s">
        <v>1713</v>
      </c>
      <c r="BK206" t="s">
        <v>1714</v>
      </c>
    </row>
    <row r="207" spans="1:63" x14ac:dyDescent="0.3">
      <c r="A207" t="s">
        <v>1715</v>
      </c>
      <c r="B207" t="s">
        <v>160</v>
      </c>
      <c r="C207" t="s">
        <v>1716</v>
      </c>
      <c r="D207" t="s">
        <v>1717</v>
      </c>
      <c r="E207" t="s">
        <v>1701</v>
      </c>
      <c r="F207">
        <v>219</v>
      </c>
      <c r="G207">
        <v>40</v>
      </c>
      <c r="H207">
        <v>29</v>
      </c>
      <c r="I207">
        <v>10</v>
      </c>
      <c r="J207">
        <v>17</v>
      </c>
      <c r="K207">
        <v>3</v>
      </c>
      <c r="M207">
        <v>1</v>
      </c>
      <c r="AF207">
        <v>8.3796199999999992</v>
      </c>
      <c r="AI207" t="s">
        <v>0</v>
      </c>
      <c r="AJ207" t="s">
        <v>22</v>
      </c>
      <c r="AK207" t="s">
        <v>1498</v>
      </c>
      <c r="AL207" t="s">
        <v>1227</v>
      </c>
      <c r="AM207" t="s">
        <v>1704</v>
      </c>
      <c r="AN207" t="s">
        <v>471</v>
      </c>
      <c r="AO207" t="s">
        <v>11</v>
      </c>
      <c r="AP207" t="s">
        <v>11</v>
      </c>
      <c r="AQ207" t="s">
        <v>11</v>
      </c>
      <c r="AR207" t="s">
        <v>11</v>
      </c>
      <c r="AS207" t="s">
        <v>11</v>
      </c>
      <c r="AT207" t="s">
        <v>11</v>
      </c>
      <c r="AU207" t="s">
        <v>11</v>
      </c>
      <c r="AV207" t="s">
        <v>11</v>
      </c>
      <c r="AW207" t="s">
        <v>11</v>
      </c>
      <c r="AX207" t="s">
        <v>11</v>
      </c>
      <c r="AY207" t="s">
        <v>11</v>
      </c>
      <c r="AZ207" t="s">
        <v>11</v>
      </c>
      <c r="BA207" t="s">
        <v>11</v>
      </c>
      <c r="BB207" t="s">
        <v>11</v>
      </c>
      <c r="BC207" t="s">
        <v>11</v>
      </c>
      <c r="BD207" t="s">
        <v>11</v>
      </c>
      <c r="BE207" t="s">
        <v>11</v>
      </c>
      <c r="BF207" t="s">
        <v>11</v>
      </c>
      <c r="BG207" t="s">
        <v>11</v>
      </c>
      <c r="BH207" t="s">
        <v>1718</v>
      </c>
      <c r="BI207" t="s">
        <v>1715</v>
      </c>
      <c r="BJ207" t="s">
        <v>1719</v>
      </c>
      <c r="BK207" t="s">
        <v>1720</v>
      </c>
    </row>
    <row r="208" spans="1:63" x14ac:dyDescent="0.3">
      <c r="A208" t="s">
        <v>1721</v>
      </c>
      <c r="B208" t="s">
        <v>95</v>
      </c>
      <c r="C208" t="s">
        <v>1722</v>
      </c>
      <c r="D208" t="s">
        <v>1723</v>
      </c>
      <c r="E208" t="s">
        <v>1724</v>
      </c>
      <c r="F208">
        <v>220</v>
      </c>
      <c r="G208">
        <v>79</v>
      </c>
      <c r="I208">
        <v>6.7</v>
      </c>
      <c r="K208">
        <v>8.1</v>
      </c>
      <c r="L208">
        <v>6.2</v>
      </c>
      <c r="AF208">
        <v>9.0505840000000006</v>
      </c>
      <c r="AI208" t="s">
        <v>0</v>
      </c>
      <c r="AJ208" t="s">
        <v>1624</v>
      </c>
      <c r="AK208" t="s">
        <v>718</v>
      </c>
      <c r="AL208" t="s">
        <v>11</v>
      </c>
      <c r="AM208" t="s">
        <v>11</v>
      </c>
      <c r="AN208" t="s">
        <v>11</v>
      </c>
      <c r="AO208" t="s">
        <v>11</v>
      </c>
      <c r="AP208" t="s">
        <v>11</v>
      </c>
      <c r="AQ208" t="s">
        <v>600</v>
      </c>
      <c r="AR208" t="s">
        <v>11</v>
      </c>
      <c r="AS208" t="s">
        <v>11</v>
      </c>
      <c r="AT208" t="s">
        <v>11</v>
      </c>
      <c r="AU208" t="s">
        <v>11</v>
      </c>
      <c r="AV208" t="s">
        <v>11</v>
      </c>
      <c r="AW208" t="s">
        <v>11</v>
      </c>
      <c r="AX208" t="s">
        <v>11</v>
      </c>
      <c r="AY208" t="s">
        <v>11</v>
      </c>
      <c r="AZ208" t="s">
        <v>11</v>
      </c>
      <c r="BA208" t="s">
        <v>11</v>
      </c>
      <c r="BB208" t="s">
        <v>11</v>
      </c>
      <c r="BC208" t="s">
        <v>11</v>
      </c>
      <c r="BD208" t="s">
        <v>11</v>
      </c>
      <c r="BE208" t="s">
        <v>11</v>
      </c>
      <c r="BF208" t="s">
        <v>11</v>
      </c>
      <c r="BG208" t="s">
        <v>11</v>
      </c>
      <c r="BH208" t="s">
        <v>1725</v>
      </c>
      <c r="BI208" t="s">
        <v>1721</v>
      </c>
      <c r="BJ208" t="s">
        <v>1726</v>
      </c>
      <c r="BK208" t="s">
        <v>1727</v>
      </c>
    </row>
    <row r="209" spans="1:63" x14ac:dyDescent="0.3">
      <c r="A209" t="s">
        <v>1728</v>
      </c>
      <c r="B209" t="s">
        <v>95</v>
      </c>
      <c r="C209" t="s">
        <v>1729</v>
      </c>
      <c r="D209" t="s">
        <v>1730</v>
      </c>
      <c r="E209" t="s">
        <v>1724</v>
      </c>
      <c r="F209">
        <v>221</v>
      </c>
      <c r="G209">
        <v>79.900000000000006</v>
      </c>
      <c r="I209">
        <v>9.4</v>
      </c>
      <c r="K209">
        <v>10.7</v>
      </c>
      <c r="AF209">
        <v>9.4246500000000015</v>
      </c>
      <c r="AI209" t="s">
        <v>0</v>
      </c>
      <c r="AJ209" t="s">
        <v>108</v>
      </c>
      <c r="AK209" t="s">
        <v>1731</v>
      </c>
      <c r="AL209" t="s">
        <v>11</v>
      </c>
      <c r="AM209" t="s">
        <v>11</v>
      </c>
      <c r="AN209" t="s">
        <v>11</v>
      </c>
      <c r="AO209" t="s">
        <v>11</v>
      </c>
      <c r="AP209" t="s">
        <v>11</v>
      </c>
      <c r="AQ209" t="s">
        <v>11</v>
      </c>
      <c r="AR209" t="s">
        <v>11</v>
      </c>
      <c r="AS209" t="s">
        <v>11</v>
      </c>
      <c r="AT209" t="s">
        <v>11</v>
      </c>
      <c r="AU209" t="s">
        <v>11</v>
      </c>
      <c r="AV209" t="s">
        <v>11</v>
      </c>
      <c r="AW209" t="s">
        <v>11</v>
      </c>
      <c r="AX209" t="s">
        <v>11</v>
      </c>
      <c r="AY209" t="s">
        <v>11</v>
      </c>
      <c r="AZ209" t="s">
        <v>11</v>
      </c>
      <c r="BA209" t="s">
        <v>11</v>
      </c>
      <c r="BB209" t="s">
        <v>11</v>
      </c>
      <c r="BC209" t="s">
        <v>11</v>
      </c>
      <c r="BD209" t="s">
        <v>11</v>
      </c>
      <c r="BE209" t="s">
        <v>11</v>
      </c>
      <c r="BF209" t="s">
        <v>11</v>
      </c>
      <c r="BG209" t="s">
        <v>11</v>
      </c>
      <c r="BH209" t="s">
        <v>1732</v>
      </c>
      <c r="BI209" t="s">
        <v>1728</v>
      </c>
      <c r="BJ209" t="s">
        <v>1733</v>
      </c>
      <c r="BK209" t="s">
        <v>1734</v>
      </c>
    </row>
    <row r="210" spans="1:63" x14ac:dyDescent="0.3">
      <c r="A210" t="s">
        <v>1735</v>
      </c>
      <c r="B210" t="s">
        <v>95</v>
      </c>
      <c r="C210" t="s">
        <v>1349</v>
      </c>
      <c r="D210" t="s">
        <v>1736</v>
      </c>
      <c r="E210" t="s">
        <v>1724</v>
      </c>
      <c r="F210">
        <v>222</v>
      </c>
      <c r="G210">
        <v>79.400000000000006</v>
      </c>
      <c r="I210">
        <v>8.8000000000000007</v>
      </c>
      <c r="K210">
        <v>9.8000000000000007</v>
      </c>
      <c r="M210">
        <v>2</v>
      </c>
      <c r="AF210">
        <v>9.5236999999999998</v>
      </c>
      <c r="AI210" t="s">
        <v>0</v>
      </c>
      <c r="AJ210" t="s">
        <v>261</v>
      </c>
      <c r="AK210" t="s">
        <v>1737</v>
      </c>
      <c r="AL210" t="s">
        <v>11</v>
      </c>
      <c r="AM210" t="s">
        <v>11</v>
      </c>
      <c r="AN210" t="s">
        <v>24</v>
      </c>
      <c r="AO210" t="s">
        <v>11</v>
      </c>
      <c r="AP210" t="s">
        <v>11</v>
      </c>
      <c r="AQ210" t="s">
        <v>11</v>
      </c>
      <c r="AR210" t="s">
        <v>11</v>
      </c>
      <c r="AS210" t="s">
        <v>11</v>
      </c>
      <c r="AT210" t="s">
        <v>11</v>
      </c>
      <c r="AU210" t="s">
        <v>11</v>
      </c>
      <c r="AV210" t="s">
        <v>11</v>
      </c>
      <c r="AW210" t="s">
        <v>11</v>
      </c>
      <c r="AX210" t="s">
        <v>11</v>
      </c>
      <c r="AY210" t="s">
        <v>11</v>
      </c>
      <c r="AZ210" t="s">
        <v>11</v>
      </c>
      <c r="BA210" t="s">
        <v>11</v>
      </c>
      <c r="BB210" t="s">
        <v>11</v>
      </c>
      <c r="BC210" t="s">
        <v>11</v>
      </c>
      <c r="BD210" t="s">
        <v>11</v>
      </c>
      <c r="BE210" t="s">
        <v>11</v>
      </c>
      <c r="BF210" t="s">
        <v>11</v>
      </c>
      <c r="BG210" t="s">
        <v>11</v>
      </c>
      <c r="BH210" t="s">
        <v>1738</v>
      </c>
      <c r="BI210" t="s">
        <v>1735</v>
      </c>
      <c r="BJ210" t="s">
        <v>1739</v>
      </c>
      <c r="BK210" t="s">
        <v>1740</v>
      </c>
    </row>
    <row r="211" spans="1:63" x14ac:dyDescent="0.3">
      <c r="A211" t="s">
        <v>1741</v>
      </c>
      <c r="B211" t="s">
        <v>160</v>
      </c>
      <c r="C211" t="s">
        <v>1742</v>
      </c>
      <c r="D211" t="s">
        <v>1743</v>
      </c>
      <c r="E211" t="s">
        <v>1724</v>
      </c>
      <c r="F211">
        <v>224</v>
      </c>
      <c r="G211">
        <v>49.900000000000006</v>
      </c>
      <c r="H211">
        <v>29.6</v>
      </c>
      <c r="I211">
        <v>11.2</v>
      </c>
      <c r="K211">
        <v>6.5</v>
      </c>
      <c r="M211">
        <v>2.8</v>
      </c>
      <c r="AF211">
        <v>9.0977180000000004</v>
      </c>
      <c r="AI211" t="s">
        <v>0</v>
      </c>
      <c r="AJ211" t="s">
        <v>1744</v>
      </c>
      <c r="AK211" t="s">
        <v>1745</v>
      </c>
      <c r="AL211" t="s">
        <v>1746</v>
      </c>
      <c r="AM211" t="s">
        <v>11</v>
      </c>
      <c r="AN211" t="s">
        <v>1747</v>
      </c>
      <c r="AO211" t="s">
        <v>11</v>
      </c>
      <c r="AP211" t="s">
        <v>11</v>
      </c>
      <c r="AQ211" t="s">
        <v>11</v>
      </c>
      <c r="AR211" t="s">
        <v>11</v>
      </c>
      <c r="AS211" t="s">
        <v>11</v>
      </c>
      <c r="AT211" t="s">
        <v>11</v>
      </c>
      <c r="AU211" t="s">
        <v>11</v>
      </c>
      <c r="AV211" t="s">
        <v>11</v>
      </c>
      <c r="AW211" t="s">
        <v>11</v>
      </c>
      <c r="AX211" t="s">
        <v>11</v>
      </c>
      <c r="AY211" t="s">
        <v>11</v>
      </c>
      <c r="AZ211" t="s">
        <v>11</v>
      </c>
      <c r="BA211" t="s">
        <v>11</v>
      </c>
      <c r="BB211" t="s">
        <v>11</v>
      </c>
      <c r="BC211" t="s">
        <v>11</v>
      </c>
      <c r="BD211" t="s">
        <v>11</v>
      </c>
      <c r="BE211" t="s">
        <v>11</v>
      </c>
      <c r="BF211" t="s">
        <v>11</v>
      </c>
      <c r="BG211" t="s">
        <v>11</v>
      </c>
      <c r="BH211" t="s">
        <v>1748</v>
      </c>
      <c r="BI211" t="s">
        <v>1741</v>
      </c>
      <c r="BJ211" t="s">
        <v>1749</v>
      </c>
      <c r="BK211" t="s">
        <v>1750</v>
      </c>
    </row>
    <row r="212" spans="1:63" x14ac:dyDescent="0.3">
      <c r="A212" t="s">
        <v>1751</v>
      </c>
      <c r="B212" t="s">
        <v>160</v>
      </c>
      <c r="C212" t="s">
        <v>1752</v>
      </c>
      <c r="D212" t="s">
        <v>1753</v>
      </c>
      <c r="E212" t="s">
        <v>1754</v>
      </c>
      <c r="F212">
        <v>225</v>
      </c>
      <c r="G212">
        <v>59.289999999999992</v>
      </c>
      <c r="H212">
        <v>23.42</v>
      </c>
      <c r="I212">
        <v>9.49</v>
      </c>
      <c r="J212">
        <v>1.89</v>
      </c>
      <c r="K212">
        <v>4.0999999999999996</v>
      </c>
      <c r="M212">
        <v>1.81</v>
      </c>
      <c r="AF212">
        <v>8.8457995999999994</v>
      </c>
      <c r="AI212" t="s">
        <v>0</v>
      </c>
      <c r="AJ212" t="s">
        <v>315</v>
      </c>
      <c r="AK212" t="s">
        <v>1602</v>
      </c>
      <c r="AL212" t="s">
        <v>1755</v>
      </c>
      <c r="AM212" t="s">
        <v>166</v>
      </c>
      <c r="AN212" t="s">
        <v>205</v>
      </c>
      <c r="AO212" t="s">
        <v>11</v>
      </c>
      <c r="AP212" t="s">
        <v>11</v>
      </c>
      <c r="AQ212" t="s">
        <v>11</v>
      </c>
      <c r="AR212" t="s">
        <v>11</v>
      </c>
      <c r="AS212" t="s">
        <v>11</v>
      </c>
      <c r="AT212" t="s">
        <v>11</v>
      </c>
      <c r="AU212" t="s">
        <v>11</v>
      </c>
      <c r="AV212" t="s">
        <v>11</v>
      </c>
      <c r="AW212" t="s">
        <v>11</v>
      </c>
      <c r="AX212" t="s">
        <v>11</v>
      </c>
      <c r="AY212" t="s">
        <v>11</v>
      </c>
      <c r="AZ212" t="s">
        <v>11</v>
      </c>
      <c r="BA212" t="s">
        <v>11</v>
      </c>
      <c r="BB212" t="s">
        <v>11</v>
      </c>
      <c r="BC212" t="s">
        <v>11</v>
      </c>
      <c r="BD212" t="s">
        <v>11</v>
      </c>
      <c r="BE212" t="s">
        <v>11</v>
      </c>
      <c r="BF212" t="s">
        <v>11</v>
      </c>
      <c r="BG212" t="s">
        <v>11</v>
      </c>
      <c r="BH212" t="s">
        <v>1756</v>
      </c>
      <c r="BI212" t="s">
        <v>1751</v>
      </c>
      <c r="BJ212" t="s">
        <v>1757</v>
      </c>
      <c r="BK212" t="s">
        <v>1758</v>
      </c>
    </row>
    <row r="213" spans="1:63" x14ac:dyDescent="0.3">
      <c r="A213" t="s">
        <v>1759</v>
      </c>
      <c r="B213" t="s">
        <v>95</v>
      </c>
      <c r="C213" t="s">
        <v>1760</v>
      </c>
      <c r="D213" t="s">
        <v>1761</v>
      </c>
      <c r="E213" t="s">
        <v>1762</v>
      </c>
      <c r="F213">
        <v>226</v>
      </c>
      <c r="G213">
        <v>86.4</v>
      </c>
      <c r="I213">
        <v>9</v>
      </c>
      <c r="K213">
        <v>4.5999999999999996</v>
      </c>
      <c r="AF213">
        <v>8.8180999999999994</v>
      </c>
      <c r="AI213" t="s">
        <v>0</v>
      </c>
      <c r="AJ213" t="s">
        <v>128</v>
      </c>
      <c r="AK213" t="s">
        <v>1763</v>
      </c>
      <c r="AL213" t="s">
        <v>11</v>
      </c>
      <c r="AM213" t="s">
        <v>11</v>
      </c>
      <c r="AN213" t="s">
        <v>11</v>
      </c>
      <c r="AO213" t="s">
        <v>11</v>
      </c>
      <c r="AP213" t="s">
        <v>11</v>
      </c>
      <c r="AQ213" t="s">
        <v>11</v>
      </c>
      <c r="AR213" t="s">
        <v>11</v>
      </c>
      <c r="AS213" t="s">
        <v>11</v>
      </c>
      <c r="AT213" t="s">
        <v>11</v>
      </c>
      <c r="AU213" t="s">
        <v>11</v>
      </c>
      <c r="AV213" t="s">
        <v>11</v>
      </c>
      <c r="AW213" t="s">
        <v>11</v>
      </c>
      <c r="AX213" t="s">
        <v>11</v>
      </c>
      <c r="AY213" t="s">
        <v>11</v>
      </c>
      <c r="AZ213" t="s">
        <v>11</v>
      </c>
      <c r="BA213" t="s">
        <v>11</v>
      </c>
      <c r="BB213" t="s">
        <v>11</v>
      </c>
      <c r="BC213" t="s">
        <v>11</v>
      </c>
      <c r="BD213" t="s">
        <v>11</v>
      </c>
      <c r="BE213" t="s">
        <v>11</v>
      </c>
      <c r="BF213" t="s">
        <v>11</v>
      </c>
      <c r="BG213" t="s">
        <v>11</v>
      </c>
      <c r="BH213" t="s">
        <v>1764</v>
      </c>
      <c r="BI213" t="s">
        <v>1759</v>
      </c>
      <c r="BJ213" t="s">
        <v>1765</v>
      </c>
      <c r="BK213" t="s">
        <v>1766</v>
      </c>
    </row>
    <row r="214" spans="1:63" x14ac:dyDescent="0.3">
      <c r="A214" t="s">
        <v>1767</v>
      </c>
      <c r="B214" t="s">
        <v>95</v>
      </c>
      <c r="C214" t="s">
        <v>1768</v>
      </c>
      <c r="D214" t="s">
        <v>1767</v>
      </c>
      <c r="E214" t="s">
        <v>1762</v>
      </c>
      <c r="F214">
        <v>227</v>
      </c>
      <c r="G214">
        <v>85.3</v>
      </c>
      <c r="I214">
        <v>7.9</v>
      </c>
      <c r="K214">
        <v>6.8</v>
      </c>
      <c r="AF214">
        <v>9.113999999999999</v>
      </c>
      <c r="AI214" t="s">
        <v>0</v>
      </c>
      <c r="AJ214" t="s">
        <v>430</v>
      </c>
      <c r="AK214" t="s">
        <v>1769</v>
      </c>
      <c r="AL214" t="s">
        <v>11</v>
      </c>
      <c r="AM214" t="s">
        <v>11</v>
      </c>
      <c r="AN214" t="s">
        <v>11</v>
      </c>
      <c r="AO214" t="s">
        <v>11</v>
      </c>
      <c r="AP214" t="s">
        <v>11</v>
      </c>
      <c r="AQ214" t="s">
        <v>11</v>
      </c>
      <c r="AR214" t="s">
        <v>11</v>
      </c>
      <c r="AS214" t="s">
        <v>11</v>
      </c>
      <c r="AT214" t="s">
        <v>11</v>
      </c>
      <c r="AU214" t="s">
        <v>11</v>
      </c>
      <c r="AV214" t="s">
        <v>11</v>
      </c>
      <c r="AW214" t="s">
        <v>11</v>
      </c>
      <c r="AX214" t="s">
        <v>11</v>
      </c>
      <c r="AY214" t="s">
        <v>11</v>
      </c>
      <c r="AZ214" t="s">
        <v>11</v>
      </c>
      <c r="BA214" t="s">
        <v>11</v>
      </c>
      <c r="BB214" t="s">
        <v>11</v>
      </c>
      <c r="BC214" t="s">
        <v>11</v>
      </c>
      <c r="BD214" t="s">
        <v>11</v>
      </c>
      <c r="BE214" t="s">
        <v>11</v>
      </c>
      <c r="BF214" t="s">
        <v>11</v>
      </c>
      <c r="BG214" t="s">
        <v>11</v>
      </c>
      <c r="BH214" t="s">
        <v>1770</v>
      </c>
      <c r="BI214" t="s">
        <v>1767</v>
      </c>
      <c r="BJ214" t="s">
        <v>1771</v>
      </c>
      <c r="BK214" t="s">
        <v>1772</v>
      </c>
    </row>
    <row r="215" spans="1:63" x14ac:dyDescent="0.3">
      <c r="A215" t="s">
        <v>1773</v>
      </c>
      <c r="B215" t="s">
        <v>95</v>
      </c>
      <c r="C215" t="s">
        <v>144</v>
      </c>
      <c r="D215" t="s">
        <v>1773</v>
      </c>
      <c r="E215" t="s">
        <v>1762</v>
      </c>
      <c r="F215">
        <v>228</v>
      </c>
      <c r="G215">
        <v>83.3</v>
      </c>
      <c r="I215">
        <v>8.1999999999999993</v>
      </c>
      <c r="K215">
        <v>8.5</v>
      </c>
      <c r="AF215">
        <v>9.27135</v>
      </c>
      <c r="AI215" t="s">
        <v>0</v>
      </c>
      <c r="AJ215" t="s">
        <v>194</v>
      </c>
      <c r="AK215" t="s">
        <v>366</v>
      </c>
      <c r="AL215" t="s">
        <v>11</v>
      </c>
      <c r="AM215" t="s">
        <v>11</v>
      </c>
      <c r="AN215" t="s">
        <v>11</v>
      </c>
      <c r="AO215" t="s">
        <v>11</v>
      </c>
      <c r="AP215" t="s">
        <v>11</v>
      </c>
      <c r="AQ215" t="s">
        <v>11</v>
      </c>
      <c r="AR215" t="s">
        <v>11</v>
      </c>
      <c r="AS215" t="s">
        <v>11</v>
      </c>
      <c r="AT215" t="s">
        <v>11</v>
      </c>
      <c r="AU215" t="s">
        <v>11</v>
      </c>
      <c r="AV215" t="s">
        <v>11</v>
      </c>
      <c r="AW215" t="s">
        <v>11</v>
      </c>
      <c r="AX215" t="s">
        <v>11</v>
      </c>
      <c r="AY215" t="s">
        <v>11</v>
      </c>
      <c r="AZ215" t="s">
        <v>11</v>
      </c>
      <c r="BA215" t="s">
        <v>11</v>
      </c>
      <c r="BB215" t="s">
        <v>11</v>
      </c>
      <c r="BC215" t="s">
        <v>11</v>
      </c>
      <c r="BD215" t="s">
        <v>11</v>
      </c>
      <c r="BE215" t="s">
        <v>11</v>
      </c>
      <c r="BF215" t="s">
        <v>11</v>
      </c>
      <c r="BG215" t="s">
        <v>11</v>
      </c>
      <c r="BH215" t="s">
        <v>1774</v>
      </c>
      <c r="BI215" t="s">
        <v>1773</v>
      </c>
      <c r="BJ215" t="s">
        <v>1775</v>
      </c>
      <c r="BK215" t="s">
        <v>1776</v>
      </c>
    </row>
    <row r="216" spans="1:63" x14ac:dyDescent="0.3">
      <c r="A216" t="s">
        <v>1777</v>
      </c>
      <c r="B216" t="s">
        <v>95</v>
      </c>
      <c r="C216" t="s">
        <v>332</v>
      </c>
      <c r="D216" t="s">
        <v>1778</v>
      </c>
      <c r="E216" t="s">
        <v>1762</v>
      </c>
      <c r="F216">
        <v>229</v>
      </c>
      <c r="G216">
        <v>81.3</v>
      </c>
      <c r="I216">
        <v>8.6999999999999993</v>
      </c>
      <c r="K216">
        <v>10</v>
      </c>
      <c r="AF216">
        <v>9.3956</v>
      </c>
      <c r="AI216" t="s">
        <v>0</v>
      </c>
      <c r="AJ216" t="s">
        <v>223</v>
      </c>
      <c r="AK216" t="s">
        <v>677</v>
      </c>
      <c r="AL216" t="s">
        <v>11</v>
      </c>
      <c r="AM216" t="s">
        <v>11</v>
      </c>
      <c r="AN216" t="s">
        <v>11</v>
      </c>
      <c r="AO216" t="s">
        <v>11</v>
      </c>
      <c r="AP216" t="s">
        <v>11</v>
      </c>
      <c r="AQ216" t="s">
        <v>11</v>
      </c>
      <c r="AR216" t="s">
        <v>11</v>
      </c>
      <c r="AS216" t="s">
        <v>11</v>
      </c>
      <c r="AT216" t="s">
        <v>11</v>
      </c>
      <c r="AU216" t="s">
        <v>11</v>
      </c>
      <c r="AV216" t="s">
        <v>11</v>
      </c>
      <c r="AW216" t="s">
        <v>11</v>
      </c>
      <c r="AX216" t="s">
        <v>11</v>
      </c>
      <c r="AY216" t="s">
        <v>11</v>
      </c>
      <c r="AZ216" t="s">
        <v>11</v>
      </c>
      <c r="BA216" t="s">
        <v>11</v>
      </c>
      <c r="BB216" t="s">
        <v>11</v>
      </c>
      <c r="BC216" t="s">
        <v>11</v>
      </c>
      <c r="BD216" t="s">
        <v>11</v>
      </c>
      <c r="BE216" t="s">
        <v>11</v>
      </c>
      <c r="BF216" t="s">
        <v>11</v>
      </c>
      <c r="BG216" t="s">
        <v>11</v>
      </c>
      <c r="BH216" t="s">
        <v>1779</v>
      </c>
      <c r="BI216" t="s">
        <v>1777</v>
      </c>
      <c r="BJ216" t="s">
        <v>1780</v>
      </c>
      <c r="BK216" t="s">
        <v>1781</v>
      </c>
    </row>
    <row r="217" spans="1:63" x14ac:dyDescent="0.3">
      <c r="A217" t="s">
        <v>1782</v>
      </c>
      <c r="B217" t="s">
        <v>95</v>
      </c>
      <c r="C217" t="s">
        <v>1783</v>
      </c>
      <c r="D217" t="s">
        <v>1782</v>
      </c>
      <c r="E217" t="s">
        <v>1762</v>
      </c>
      <c r="F217">
        <v>230</v>
      </c>
      <c r="G217">
        <v>79.2</v>
      </c>
      <c r="I217">
        <v>8.1999999999999993</v>
      </c>
      <c r="K217">
        <v>12.6</v>
      </c>
      <c r="AF217">
        <v>9.6957000000000004</v>
      </c>
      <c r="AI217" t="s">
        <v>0</v>
      </c>
      <c r="AJ217" t="s">
        <v>194</v>
      </c>
      <c r="AK217" t="s">
        <v>1784</v>
      </c>
      <c r="AL217" t="s">
        <v>11</v>
      </c>
      <c r="AM217" t="s">
        <v>11</v>
      </c>
      <c r="AN217" t="s">
        <v>11</v>
      </c>
      <c r="AO217" t="s">
        <v>11</v>
      </c>
      <c r="AP217" t="s">
        <v>11</v>
      </c>
      <c r="AQ217" t="s">
        <v>11</v>
      </c>
      <c r="AR217" t="s">
        <v>11</v>
      </c>
      <c r="AS217" t="s">
        <v>11</v>
      </c>
      <c r="AT217" t="s">
        <v>11</v>
      </c>
      <c r="AU217" t="s">
        <v>11</v>
      </c>
      <c r="AV217" t="s">
        <v>11</v>
      </c>
      <c r="AW217" t="s">
        <v>11</v>
      </c>
      <c r="AX217" t="s">
        <v>11</v>
      </c>
      <c r="AY217" t="s">
        <v>11</v>
      </c>
      <c r="AZ217" t="s">
        <v>11</v>
      </c>
      <c r="BA217" t="s">
        <v>11</v>
      </c>
      <c r="BB217" t="s">
        <v>11</v>
      </c>
      <c r="BC217" t="s">
        <v>11</v>
      </c>
      <c r="BD217" t="s">
        <v>11</v>
      </c>
      <c r="BE217" t="s">
        <v>11</v>
      </c>
      <c r="BF217" t="s">
        <v>11</v>
      </c>
      <c r="BG217" t="s">
        <v>11</v>
      </c>
      <c r="BH217" t="s">
        <v>1785</v>
      </c>
      <c r="BI217" t="s">
        <v>1782</v>
      </c>
      <c r="BJ217" t="s">
        <v>1786</v>
      </c>
      <c r="BK217" t="s">
        <v>1787</v>
      </c>
    </row>
    <row r="218" spans="1:63" x14ac:dyDescent="0.3">
      <c r="A218" t="s">
        <v>1788</v>
      </c>
      <c r="B218" t="s">
        <v>160</v>
      </c>
      <c r="C218" t="s">
        <v>1789</v>
      </c>
      <c r="D218" t="s">
        <v>1790</v>
      </c>
      <c r="E218" t="s">
        <v>1791</v>
      </c>
      <c r="F218">
        <v>231</v>
      </c>
      <c r="G218">
        <v>36.11</v>
      </c>
      <c r="H218">
        <v>34.200000000000003</v>
      </c>
      <c r="I218">
        <v>10.5</v>
      </c>
      <c r="J218">
        <v>14.8</v>
      </c>
      <c r="K218">
        <v>3</v>
      </c>
      <c r="M218">
        <v>1</v>
      </c>
      <c r="Q218">
        <v>0.15</v>
      </c>
      <c r="R218">
        <v>0.04</v>
      </c>
      <c r="S218">
        <v>0.2</v>
      </c>
      <c r="AF218">
        <v>8.3628604000000006</v>
      </c>
      <c r="AG218">
        <v>8.52</v>
      </c>
      <c r="AH218" t="s">
        <v>1792</v>
      </c>
      <c r="AI218" t="s">
        <v>0</v>
      </c>
      <c r="AJ218" t="s">
        <v>1256</v>
      </c>
      <c r="AK218" t="s">
        <v>1498</v>
      </c>
      <c r="AL218" t="s">
        <v>1016</v>
      </c>
      <c r="AM218" t="s">
        <v>1793</v>
      </c>
      <c r="AN218" t="s">
        <v>471</v>
      </c>
      <c r="AO218" t="s">
        <v>11</v>
      </c>
      <c r="AP218" t="s">
        <v>11</v>
      </c>
      <c r="AQ218" t="s">
        <v>11</v>
      </c>
      <c r="AR218" t="s">
        <v>11</v>
      </c>
      <c r="AS218" t="s">
        <v>1794</v>
      </c>
      <c r="AT218" t="s">
        <v>77</v>
      </c>
      <c r="AU218" t="s">
        <v>1795</v>
      </c>
      <c r="AV218" t="s">
        <v>11</v>
      </c>
      <c r="AW218" t="s">
        <v>11</v>
      </c>
      <c r="AX218" t="s">
        <v>11</v>
      </c>
      <c r="AY218" t="s">
        <v>11</v>
      </c>
      <c r="AZ218" t="s">
        <v>11</v>
      </c>
      <c r="BA218" t="s">
        <v>11</v>
      </c>
      <c r="BB218" t="s">
        <v>11</v>
      </c>
      <c r="BC218" t="s">
        <v>11</v>
      </c>
      <c r="BD218" t="s">
        <v>11</v>
      </c>
      <c r="BE218" t="s">
        <v>11</v>
      </c>
      <c r="BF218" t="s">
        <v>11</v>
      </c>
      <c r="BG218" t="s">
        <v>11</v>
      </c>
      <c r="BH218" t="s">
        <v>1796</v>
      </c>
      <c r="BI218" t="s">
        <v>1788</v>
      </c>
      <c r="BJ218" t="s">
        <v>1797</v>
      </c>
      <c r="BK218" t="s">
        <v>1798</v>
      </c>
    </row>
    <row r="219" spans="1:63" x14ac:dyDescent="0.3">
      <c r="A219" t="s">
        <v>1799</v>
      </c>
      <c r="B219" t="s">
        <v>95</v>
      </c>
      <c r="C219" t="s">
        <v>1800</v>
      </c>
      <c r="D219" t="s">
        <v>1801</v>
      </c>
      <c r="E219" t="s">
        <v>1802</v>
      </c>
      <c r="F219">
        <v>232</v>
      </c>
      <c r="G219" t="s">
        <v>1803</v>
      </c>
      <c r="H219" t="s">
        <v>1803</v>
      </c>
      <c r="I219">
        <v>10</v>
      </c>
      <c r="J219">
        <v>12</v>
      </c>
      <c r="K219" t="s">
        <v>1803</v>
      </c>
      <c r="L219" t="s">
        <v>1803</v>
      </c>
      <c r="AF219" t="e">
        <v>#VALUE!</v>
      </c>
      <c r="AG219">
        <v>8.6999999999999993</v>
      </c>
      <c r="AH219" t="s">
        <v>1804</v>
      </c>
      <c r="AI219" t="s">
        <v>0</v>
      </c>
      <c r="AJ219" t="s">
        <v>22</v>
      </c>
      <c r="AK219" t="s">
        <v>1805</v>
      </c>
      <c r="AL219" t="s">
        <v>1806</v>
      </c>
      <c r="AM219" t="s">
        <v>979</v>
      </c>
      <c r="AN219" t="s">
        <v>11</v>
      </c>
      <c r="AO219" t="s">
        <v>11</v>
      </c>
      <c r="AP219" t="s">
        <v>11</v>
      </c>
      <c r="AQ219" t="s">
        <v>1807</v>
      </c>
      <c r="AR219" t="s">
        <v>11</v>
      </c>
      <c r="AS219" t="s">
        <v>11</v>
      </c>
      <c r="AT219" t="s">
        <v>11</v>
      </c>
      <c r="AU219" t="s">
        <v>11</v>
      </c>
      <c r="AV219" t="s">
        <v>11</v>
      </c>
      <c r="AW219" t="s">
        <v>11</v>
      </c>
      <c r="AX219" t="s">
        <v>11</v>
      </c>
      <c r="AY219" t="s">
        <v>11</v>
      </c>
      <c r="AZ219" t="s">
        <v>11</v>
      </c>
      <c r="BA219" t="s">
        <v>11</v>
      </c>
      <c r="BB219" t="s">
        <v>11</v>
      </c>
      <c r="BC219" t="s">
        <v>11</v>
      </c>
      <c r="BD219" t="s">
        <v>11</v>
      </c>
      <c r="BE219" t="s">
        <v>11</v>
      </c>
      <c r="BF219" t="s">
        <v>11</v>
      </c>
      <c r="BG219" t="s">
        <v>11</v>
      </c>
      <c r="BH219" t="s">
        <v>1808</v>
      </c>
      <c r="BI219" t="s">
        <v>1809</v>
      </c>
      <c r="BJ219" t="s">
        <v>1810</v>
      </c>
      <c r="BK219" t="s">
        <v>1811</v>
      </c>
    </row>
    <row r="220" spans="1:63" x14ac:dyDescent="0.3">
      <c r="A220" t="s">
        <v>1812</v>
      </c>
      <c r="B220" t="s">
        <v>95</v>
      </c>
      <c r="C220" t="s">
        <v>332</v>
      </c>
      <c r="D220" t="s">
        <v>1813</v>
      </c>
      <c r="E220" t="s">
        <v>1814</v>
      </c>
      <c r="F220">
        <v>233</v>
      </c>
      <c r="G220">
        <v>81</v>
      </c>
      <c r="I220">
        <v>9.4</v>
      </c>
      <c r="K220">
        <v>9.6</v>
      </c>
      <c r="AF220">
        <v>9.3107999999999986</v>
      </c>
      <c r="AI220" t="s">
        <v>0</v>
      </c>
      <c r="AJ220" t="s">
        <v>108</v>
      </c>
      <c r="AK220" t="s">
        <v>204</v>
      </c>
      <c r="AL220" t="s">
        <v>11</v>
      </c>
      <c r="AM220" t="s">
        <v>11</v>
      </c>
      <c r="AN220" t="s">
        <v>11</v>
      </c>
      <c r="AO220" t="s">
        <v>11</v>
      </c>
      <c r="AP220" t="s">
        <v>11</v>
      </c>
      <c r="AQ220" t="s">
        <v>11</v>
      </c>
      <c r="AR220" t="s">
        <v>11</v>
      </c>
      <c r="AS220" t="s">
        <v>11</v>
      </c>
      <c r="AT220" t="s">
        <v>11</v>
      </c>
      <c r="AU220" t="s">
        <v>11</v>
      </c>
      <c r="AV220" t="s">
        <v>11</v>
      </c>
      <c r="AW220" t="s">
        <v>11</v>
      </c>
      <c r="AX220" t="s">
        <v>11</v>
      </c>
      <c r="AY220" t="s">
        <v>11</v>
      </c>
      <c r="AZ220" t="s">
        <v>11</v>
      </c>
      <c r="BA220" t="s">
        <v>11</v>
      </c>
      <c r="BB220" t="s">
        <v>11</v>
      </c>
      <c r="BC220" t="s">
        <v>11</v>
      </c>
      <c r="BD220" t="s">
        <v>11</v>
      </c>
      <c r="BE220" t="s">
        <v>11</v>
      </c>
      <c r="BF220" t="s">
        <v>11</v>
      </c>
      <c r="BG220" t="s">
        <v>11</v>
      </c>
      <c r="BH220" t="s">
        <v>1815</v>
      </c>
      <c r="BI220" t="s">
        <v>1812</v>
      </c>
      <c r="BJ220" t="s">
        <v>1816</v>
      </c>
      <c r="BK220" t="s">
        <v>1817</v>
      </c>
    </row>
    <row r="221" spans="1:63" x14ac:dyDescent="0.3">
      <c r="A221" t="s">
        <v>1818</v>
      </c>
      <c r="B221" t="s">
        <v>95</v>
      </c>
      <c r="C221" t="s">
        <v>1819</v>
      </c>
      <c r="D221" t="s">
        <v>1622</v>
      </c>
      <c r="E221" t="s">
        <v>1814</v>
      </c>
      <c r="F221">
        <v>234</v>
      </c>
      <c r="G221">
        <v>81.5</v>
      </c>
      <c r="I221">
        <v>7.5</v>
      </c>
      <c r="K221">
        <v>7.7</v>
      </c>
      <c r="L221">
        <v>3.3</v>
      </c>
      <c r="AF221">
        <v>9.0869810000000015</v>
      </c>
      <c r="AI221" t="s">
        <v>0</v>
      </c>
      <c r="AJ221" t="s">
        <v>297</v>
      </c>
      <c r="AK221" t="s">
        <v>185</v>
      </c>
      <c r="AL221" t="s">
        <v>11</v>
      </c>
      <c r="AM221" t="s">
        <v>11</v>
      </c>
      <c r="AN221" t="s">
        <v>11</v>
      </c>
      <c r="AO221" t="s">
        <v>11</v>
      </c>
      <c r="AP221" t="s">
        <v>11</v>
      </c>
      <c r="AQ221" t="s">
        <v>1625</v>
      </c>
      <c r="AR221" t="s">
        <v>11</v>
      </c>
      <c r="AS221" t="s">
        <v>11</v>
      </c>
      <c r="AT221" t="s">
        <v>11</v>
      </c>
      <c r="AU221" t="s">
        <v>11</v>
      </c>
      <c r="AV221" t="s">
        <v>11</v>
      </c>
      <c r="AW221" t="s">
        <v>11</v>
      </c>
      <c r="AX221" t="s">
        <v>11</v>
      </c>
      <c r="AY221" t="s">
        <v>11</v>
      </c>
      <c r="AZ221" t="s">
        <v>11</v>
      </c>
      <c r="BA221" t="s">
        <v>11</v>
      </c>
      <c r="BB221" t="s">
        <v>11</v>
      </c>
      <c r="BC221" t="s">
        <v>11</v>
      </c>
      <c r="BD221" t="s">
        <v>11</v>
      </c>
      <c r="BE221" t="s">
        <v>11</v>
      </c>
      <c r="BF221" t="s">
        <v>11</v>
      </c>
      <c r="BG221" t="s">
        <v>11</v>
      </c>
      <c r="BH221" t="s">
        <v>1820</v>
      </c>
      <c r="BI221" t="s">
        <v>1818</v>
      </c>
      <c r="BJ221" t="s">
        <v>1821</v>
      </c>
      <c r="BK221" t="s">
        <v>1822</v>
      </c>
    </row>
    <row r="222" spans="1:63" x14ac:dyDescent="0.3">
      <c r="A222" t="s">
        <v>1823</v>
      </c>
      <c r="B222" t="s">
        <v>95</v>
      </c>
      <c r="C222" t="s">
        <v>1824</v>
      </c>
      <c r="D222" t="s">
        <v>1825</v>
      </c>
      <c r="E222" t="s">
        <v>1814</v>
      </c>
      <c r="F222">
        <v>235</v>
      </c>
      <c r="G222">
        <v>82</v>
      </c>
      <c r="I222">
        <v>5.6</v>
      </c>
      <c r="K222">
        <v>5.8</v>
      </c>
      <c r="L222">
        <v>6.6</v>
      </c>
      <c r="AF222">
        <v>8.8631620000000009</v>
      </c>
      <c r="AI222" t="s">
        <v>0</v>
      </c>
      <c r="AJ222" t="s">
        <v>1110</v>
      </c>
      <c r="AK222" t="s">
        <v>470</v>
      </c>
      <c r="AL222" t="s">
        <v>11</v>
      </c>
      <c r="AM222" t="s">
        <v>11</v>
      </c>
      <c r="AN222" t="s">
        <v>11</v>
      </c>
      <c r="AO222" t="s">
        <v>11</v>
      </c>
      <c r="AP222" t="s">
        <v>11</v>
      </c>
      <c r="AQ222" t="s">
        <v>1826</v>
      </c>
      <c r="AR222" t="s">
        <v>11</v>
      </c>
      <c r="AS222" t="s">
        <v>11</v>
      </c>
      <c r="AT222" t="s">
        <v>11</v>
      </c>
      <c r="AU222" t="s">
        <v>11</v>
      </c>
      <c r="AV222" t="s">
        <v>11</v>
      </c>
      <c r="AW222" t="s">
        <v>11</v>
      </c>
      <c r="AX222" t="s">
        <v>11</v>
      </c>
      <c r="AY222" t="s">
        <v>11</v>
      </c>
      <c r="AZ222" t="s">
        <v>11</v>
      </c>
      <c r="BA222" t="s">
        <v>11</v>
      </c>
      <c r="BB222" t="s">
        <v>11</v>
      </c>
      <c r="BC222" t="s">
        <v>11</v>
      </c>
      <c r="BD222" t="s">
        <v>11</v>
      </c>
      <c r="BE222" t="s">
        <v>11</v>
      </c>
      <c r="BF222" t="s">
        <v>11</v>
      </c>
      <c r="BG222" t="s">
        <v>11</v>
      </c>
      <c r="BH222" t="s">
        <v>1827</v>
      </c>
      <c r="BI222" t="s">
        <v>1823</v>
      </c>
      <c r="BJ222" t="s">
        <v>1828</v>
      </c>
      <c r="BK222" t="s">
        <v>1829</v>
      </c>
    </row>
    <row r="223" spans="1:63" x14ac:dyDescent="0.3">
      <c r="A223" t="s">
        <v>1830</v>
      </c>
      <c r="B223" t="s">
        <v>514</v>
      </c>
      <c r="C223" t="s">
        <v>1831</v>
      </c>
      <c r="D223" t="s">
        <v>1832</v>
      </c>
      <c r="E223" t="s">
        <v>1814</v>
      </c>
      <c r="F223">
        <v>236</v>
      </c>
      <c r="G223">
        <v>82.5</v>
      </c>
      <c r="I223">
        <v>3.8</v>
      </c>
      <c r="K223">
        <v>3.8</v>
      </c>
      <c r="L223">
        <v>9.9</v>
      </c>
      <c r="AF223">
        <v>8.6227929999999997</v>
      </c>
      <c r="AI223" t="s">
        <v>0</v>
      </c>
      <c r="AJ223" t="s">
        <v>1833</v>
      </c>
      <c r="AK223" t="s">
        <v>1834</v>
      </c>
      <c r="AL223" t="s">
        <v>11</v>
      </c>
      <c r="AM223" t="s">
        <v>11</v>
      </c>
      <c r="AN223" t="s">
        <v>11</v>
      </c>
      <c r="AO223" t="s">
        <v>11</v>
      </c>
      <c r="AP223" t="s">
        <v>11</v>
      </c>
      <c r="AQ223" t="s">
        <v>1835</v>
      </c>
      <c r="AR223" t="s">
        <v>11</v>
      </c>
      <c r="AS223" t="s">
        <v>11</v>
      </c>
      <c r="AT223" t="s">
        <v>11</v>
      </c>
      <c r="AU223" t="s">
        <v>11</v>
      </c>
      <c r="AV223" t="s">
        <v>11</v>
      </c>
      <c r="AW223" t="s">
        <v>11</v>
      </c>
      <c r="AX223" t="s">
        <v>11</v>
      </c>
      <c r="AY223" t="s">
        <v>11</v>
      </c>
      <c r="AZ223" t="s">
        <v>11</v>
      </c>
      <c r="BA223" t="s">
        <v>11</v>
      </c>
      <c r="BB223" t="s">
        <v>11</v>
      </c>
      <c r="BC223" t="s">
        <v>11</v>
      </c>
      <c r="BD223" t="s">
        <v>11</v>
      </c>
      <c r="BE223" t="s">
        <v>11</v>
      </c>
      <c r="BF223" t="s">
        <v>11</v>
      </c>
      <c r="BG223" t="s">
        <v>11</v>
      </c>
      <c r="BH223" t="s">
        <v>1836</v>
      </c>
      <c r="BI223" t="s">
        <v>1830</v>
      </c>
      <c r="BJ223" t="s">
        <v>1837</v>
      </c>
      <c r="BK223" t="s">
        <v>1838</v>
      </c>
    </row>
    <row r="224" spans="1:63" x14ac:dyDescent="0.3">
      <c r="A224" t="s">
        <v>1839</v>
      </c>
      <c r="B224" t="s">
        <v>514</v>
      </c>
      <c r="C224" t="s">
        <v>1840</v>
      </c>
      <c r="D224" t="s">
        <v>1841</v>
      </c>
      <c r="E224" t="s">
        <v>1814</v>
      </c>
      <c r="F224">
        <v>237</v>
      </c>
      <c r="G224">
        <v>83</v>
      </c>
      <c r="I224">
        <v>1.9</v>
      </c>
      <c r="K224">
        <v>1.9</v>
      </c>
      <c r="L224">
        <v>13.2</v>
      </c>
      <c r="AF224">
        <v>8.3989740000000008</v>
      </c>
      <c r="AI224" t="s">
        <v>0</v>
      </c>
      <c r="AJ224" t="s">
        <v>1842</v>
      </c>
      <c r="AK224" t="s">
        <v>1843</v>
      </c>
      <c r="AL224" t="s">
        <v>11</v>
      </c>
      <c r="AM224" t="s">
        <v>11</v>
      </c>
      <c r="AN224" t="s">
        <v>11</v>
      </c>
      <c r="AO224" t="s">
        <v>11</v>
      </c>
      <c r="AP224" t="s">
        <v>11</v>
      </c>
      <c r="AQ224" t="s">
        <v>1844</v>
      </c>
      <c r="AR224" t="s">
        <v>11</v>
      </c>
      <c r="AS224" t="s">
        <v>11</v>
      </c>
      <c r="AT224" t="s">
        <v>11</v>
      </c>
      <c r="AU224" t="s">
        <v>11</v>
      </c>
      <c r="AV224" t="s">
        <v>11</v>
      </c>
      <c r="AW224" t="s">
        <v>11</v>
      </c>
      <c r="AX224" t="s">
        <v>11</v>
      </c>
      <c r="AY224" t="s">
        <v>11</v>
      </c>
      <c r="AZ224" t="s">
        <v>11</v>
      </c>
      <c r="BA224" t="s">
        <v>11</v>
      </c>
      <c r="BB224" t="s">
        <v>11</v>
      </c>
      <c r="BC224" t="s">
        <v>11</v>
      </c>
      <c r="BD224" t="s">
        <v>11</v>
      </c>
      <c r="BE224" t="s">
        <v>11</v>
      </c>
      <c r="BF224" t="s">
        <v>11</v>
      </c>
      <c r="BG224" t="s">
        <v>11</v>
      </c>
      <c r="BH224" t="s">
        <v>1845</v>
      </c>
      <c r="BI224" t="s">
        <v>1839</v>
      </c>
      <c r="BJ224" t="s">
        <v>1846</v>
      </c>
      <c r="BK224" t="s">
        <v>1847</v>
      </c>
    </row>
    <row r="225" spans="1:63" x14ac:dyDescent="0.3">
      <c r="A225" t="s">
        <v>1848</v>
      </c>
      <c r="B225" t="s">
        <v>514</v>
      </c>
      <c r="C225" t="s">
        <v>1849</v>
      </c>
      <c r="D225" t="s">
        <v>1850</v>
      </c>
      <c r="E225" t="s">
        <v>1814</v>
      </c>
      <c r="F225">
        <v>238</v>
      </c>
      <c r="G225">
        <v>83.5</v>
      </c>
      <c r="L225">
        <v>16.5</v>
      </c>
      <c r="AF225">
        <v>8.1751550000000002</v>
      </c>
      <c r="AI225" t="s">
        <v>0</v>
      </c>
      <c r="AJ225" t="s">
        <v>11</v>
      </c>
      <c r="AK225" t="s">
        <v>11</v>
      </c>
      <c r="AL225" t="s">
        <v>11</v>
      </c>
      <c r="AM225" t="s">
        <v>11</v>
      </c>
      <c r="AN225" t="s">
        <v>11</v>
      </c>
      <c r="AO225" t="s">
        <v>11</v>
      </c>
      <c r="AP225" t="s">
        <v>11</v>
      </c>
      <c r="AQ225" t="s">
        <v>1851</v>
      </c>
      <c r="AR225" t="s">
        <v>11</v>
      </c>
      <c r="AS225" t="s">
        <v>11</v>
      </c>
      <c r="AT225" t="s">
        <v>11</v>
      </c>
      <c r="AU225" t="s">
        <v>11</v>
      </c>
      <c r="AV225" t="s">
        <v>11</v>
      </c>
      <c r="AW225" t="s">
        <v>11</v>
      </c>
      <c r="AX225" t="s">
        <v>11</v>
      </c>
      <c r="AY225" t="s">
        <v>11</v>
      </c>
      <c r="AZ225" t="s">
        <v>11</v>
      </c>
      <c r="BA225" t="s">
        <v>11</v>
      </c>
      <c r="BB225" t="s">
        <v>11</v>
      </c>
      <c r="BC225" t="s">
        <v>11</v>
      </c>
      <c r="BD225" t="s">
        <v>11</v>
      </c>
      <c r="BE225" t="s">
        <v>11</v>
      </c>
      <c r="BF225" t="s">
        <v>11</v>
      </c>
      <c r="BG225" t="s">
        <v>11</v>
      </c>
      <c r="BH225" t="s">
        <v>1852</v>
      </c>
      <c r="BI225" t="s">
        <v>1848</v>
      </c>
      <c r="BJ225" t="s">
        <v>1853</v>
      </c>
      <c r="BK225" t="s">
        <v>1851</v>
      </c>
    </row>
    <row r="226" spans="1:63" x14ac:dyDescent="0.3">
      <c r="A226" t="s">
        <v>1854</v>
      </c>
      <c r="B226" t="s">
        <v>95</v>
      </c>
      <c r="C226" t="s">
        <v>1327</v>
      </c>
      <c r="D226" t="s">
        <v>1855</v>
      </c>
      <c r="E226" t="s">
        <v>1856</v>
      </c>
      <c r="F226">
        <v>239</v>
      </c>
      <c r="G226">
        <v>80.5</v>
      </c>
      <c r="I226">
        <v>9.4</v>
      </c>
      <c r="K226">
        <v>7.9</v>
      </c>
      <c r="M226">
        <v>2.2000000000000002</v>
      </c>
      <c r="AF226">
        <v>9.3053500000000007</v>
      </c>
      <c r="AI226" t="s">
        <v>0</v>
      </c>
      <c r="AJ226" t="s">
        <v>108</v>
      </c>
      <c r="AK226" t="s">
        <v>1857</v>
      </c>
      <c r="AL226" t="s">
        <v>11</v>
      </c>
      <c r="AM226" t="s">
        <v>11</v>
      </c>
      <c r="AN226" t="s">
        <v>367</v>
      </c>
      <c r="AO226" t="s">
        <v>11</v>
      </c>
      <c r="AP226" t="s">
        <v>11</v>
      </c>
      <c r="AQ226" t="s">
        <v>11</v>
      </c>
      <c r="AR226" t="s">
        <v>11</v>
      </c>
      <c r="AS226" t="s">
        <v>11</v>
      </c>
      <c r="AT226" t="s">
        <v>11</v>
      </c>
      <c r="AU226" t="s">
        <v>11</v>
      </c>
      <c r="AV226" t="s">
        <v>11</v>
      </c>
      <c r="AW226" t="s">
        <v>11</v>
      </c>
      <c r="AX226" t="s">
        <v>11</v>
      </c>
      <c r="AY226" t="s">
        <v>11</v>
      </c>
      <c r="AZ226" t="s">
        <v>11</v>
      </c>
      <c r="BA226" t="s">
        <v>11</v>
      </c>
      <c r="BB226" t="s">
        <v>11</v>
      </c>
      <c r="BC226" t="s">
        <v>11</v>
      </c>
      <c r="BD226" t="s">
        <v>11</v>
      </c>
      <c r="BE226" t="s">
        <v>11</v>
      </c>
      <c r="BF226" t="s">
        <v>11</v>
      </c>
      <c r="BG226" t="s">
        <v>11</v>
      </c>
      <c r="BH226" t="s">
        <v>1858</v>
      </c>
      <c r="BI226" t="s">
        <v>1854</v>
      </c>
      <c r="BJ226" t="s">
        <v>1859</v>
      </c>
      <c r="BK226" t="s">
        <v>1860</v>
      </c>
    </row>
    <row r="227" spans="1:63" x14ac:dyDescent="0.3">
      <c r="A227" t="s">
        <v>1861</v>
      </c>
      <c r="B227" t="s">
        <v>95</v>
      </c>
      <c r="C227" t="s">
        <v>1862</v>
      </c>
      <c r="D227" t="s">
        <v>1863</v>
      </c>
      <c r="E227" t="s">
        <v>1856</v>
      </c>
      <c r="F227">
        <v>240</v>
      </c>
      <c r="G227">
        <v>80.7</v>
      </c>
      <c r="I227">
        <v>9.5</v>
      </c>
      <c r="K227">
        <v>8.6999999999999993</v>
      </c>
      <c r="Y227">
        <v>1.1000000000000001</v>
      </c>
      <c r="AF227">
        <v>9.2599599999999995</v>
      </c>
      <c r="AI227" t="s">
        <v>0</v>
      </c>
      <c r="AJ227" t="s">
        <v>315</v>
      </c>
      <c r="AK227" t="s">
        <v>626</v>
      </c>
      <c r="AL227" t="s">
        <v>11</v>
      </c>
      <c r="AM227" t="s">
        <v>11</v>
      </c>
      <c r="AN227" t="s">
        <v>11</v>
      </c>
      <c r="AO227" t="s">
        <v>11</v>
      </c>
      <c r="AP227" t="s">
        <v>11</v>
      </c>
      <c r="AQ227" t="s">
        <v>11</v>
      </c>
      <c r="AR227" t="s">
        <v>11</v>
      </c>
      <c r="AS227" t="s">
        <v>11</v>
      </c>
      <c r="AT227" t="s">
        <v>11</v>
      </c>
      <c r="AU227" t="s">
        <v>11</v>
      </c>
      <c r="AV227" t="s">
        <v>11</v>
      </c>
      <c r="AW227" t="s">
        <v>11</v>
      </c>
      <c r="AX227" t="s">
        <v>11</v>
      </c>
      <c r="AY227" t="s">
        <v>11</v>
      </c>
      <c r="AZ227" t="s">
        <v>11</v>
      </c>
      <c r="BA227" t="s">
        <v>1864</v>
      </c>
      <c r="BB227" t="s">
        <v>11</v>
      </c>
      <c r="BC227" t="s">
        <v>11</v>
      </c>
      <c r="BD227" t="s">
        <v>11</v>
      </c>
      <c r="BE227" t="s">
        <v>11</v>
      </c>
      <c r="BF227" t="s">
        <v>11</v>
      </c>
      <c r="BG227" t="s">
        <v>11</v>
      </c>
      <c r="BH227" t="s">
        <v>1865</v>
      </c>
      <c r="BI227" t="s">
        <v>1861</v>
      </c>
      <c r="BJ227" t="s">
        <v>1866</v>
      </c>
      <c r="BK227" t="s">
        <v>1867</v>
      </c>
    </row>
    <row r="228" spans="1:63" x14ac:dyDescent="0.3">
      <c r="A228" t="s">
        <v>1868</v>
      </c>
      <c r="B228" t="s">
        <v>160</v>
      </c>
      <c r="C228" t="s">
        <v>1869</v>
      </c>
      <c r="D228" t="s">
        <v>1870</v>
      </c>
      <c r="E228" t="s">
        <v>1871</v>
      </c>
      <c r="F228">
        <v>241</v>
      </c>
      <c r="G228">
        <v>60.4</v>
      </c>
      <c r="H228">
        <v>20.100000000000001</v>
      </c>
      <c r="I228">
        <v>8.6999999999999993</v>
      </c>
      <c r="K228">
        <v>7.3</v>
      </c>
      <c r="L228">
        <v>2</v>
      </c>
      <c r="M228">
        <v>1.5</v>
      </c>
      <c r="AF228">
        <v>9.1461480000000002</v>
      </c>
      <c r="AI228" t="s">
        <v>0</v>
      </c>
      <c r="AJ228" t="s">
        <v>223</v>
      </c>
      <c r="AK228" t="s">
        <v>509</v>
      </c>
      <c r="AL228" t="s">
        <v>1872</v>
      </c>
      <c r="AM228" t="s">
        <v>11</v>
      </c>
      <c r="AN228" t="s">
        <v>396</v>
      </c>
      <c r="AO228" t="s">
        <v>11</v>
      </c>
      <c r="AP228" t="s">
        <v>11</v>
      </c>
      <c r="AQ228" t="s">
        <v>25</v>
      </c>
      <c r="AR228" t="s">
        <v>11</v>
      </c>
      <c r="AS228" t="s">
        <v>11</v>
      </c>
      <c r="AT228" t="s">
        <v>11</v>
      </c>
      <c r="AU228" t="s">
        <v>11</v>
      </c>
      <c r="AV228" t="s">
        <v>11</v>
      </c>
      <c r="AW228" t="s">
        <v>11</v>
      </c>
      <c r="AX228" t="s">
        <v>11</v>
      </c>
      <c r="AY228" t="s">
        <v>11</v>
      </c>
      <c r="AZ228" t="s">
        <v>11</v>
      </c>
      <c r="BA228" t="s">
        <v>11</v>
      </c>
      <c r="BB228" t="s">
        <v>11</v>
      </c>
      <c r="BC228" t="s">
        <v>11</v>
      </c>
      <c r="BD228" t="s">
        <v>11</v>
      </c>
      <c r="BE228" t="s">
        <v>11</v>
      </c>
      <c r="BF228" t="s">
        <v>11</v>
      </c>
      <c r="BG228" t="s">
        <v>11</v>
      </c>
      <c r="BH228" t="s">
        <v>1873</v>
      </c>
      <c r="BI228" t="s">
        <v>1868</v>
      </c>
      <c r="BJ228" t="s">
        <v>1874</v>
      </c>
      <c r="BK228" t="s">
        <v>1875</v>
      </c>
    </row>
    <row r="229" spans="1:63" x14ac:dyDescent="0.3">
      <c r="A229" t="s">
        <v>1876</v>
      </c>
      <c r="B229" t="s">
        <v>160</v>
      </c>
      <c r="C229" t="s">
        <v>1877</v>
      </c>
      <c r="D229" t="s">
        <v>1878</v>
      </c>
      <c r="E229" t="s">
        <v>1871</v>
      </c>
      <c r="F229">
        <v>242</v>
      </c>
      <c r="G229">
        <v>59.2</v>
      </c>
      <c r="H229">
        <v>20.3</v>
      </c>
      <c r="I229">
        <v>8.5</v>
      </c>
      <c r="K229">
        <v>7.1</v>
      </c>
      <c r="L229">
        <v>2</v>
      </c>
      <c r="M229">
        <v>1.5</v>
      </c>
      <c r="U229">
        <v>1.4</v>
      </c>
      <c r="AF229">
        <v>9.307544</v>
      </c>
      <c r="AI229" t="s">
        <v>0</v>
      </c>
      <c r="AJ229" t="s">
        <v>335</v>
      </c>
      <c r="AK229" t="s">
        <v>1468</v>
      </c>
      <c r="AL229" t="s">
        <v>1879</v>
      </c>
      <c r="AM229" t="s">
        <v>11</v>
      </c>
      <c r="AN229" t="s">
        <v>396</v>
      </c>
      <c r="AO229" t="s">
        <v>11</v>
      </c>
      <c r="AP229" t="s">
        <v>11</v>
      </c>
      <c r="AQ229" t="s">
        <v>25</v>
      </c>
      <c r="AR229" t="s">
        <v>11</v>
      </c>
      <c r="AS229" t="s">
        <v>11</v>
      </c>
      <c r="AT229" t="s">
        <v>11</v>
      </c>
      <c r="AU229" t="s">
        <v>11</v>
      </c>
      <c r="AV229" t="s">
        <v>11</v>
      </c>
      <c r="AW229" t="s">
        <v>1880</v>
      </c>
      <c r="AX229" t="s">
        <v>11</v>
      </c>
      <c r="AY229" t="s">
        <v>11</v>
      </c>
      <c r="AZ229" t="s">
        <v>11</v>
      </c>
      <c r="BA229" t="s">
        <v>11</v>
      </c>
      <c r="BB229" t="s">
        <v>11</v>
      </c>
      <c r="BC229" t="s">
        <v>11</v>
      </c>
      <c r="BD229" t="s">
        <v>11</v>
      </c>
      <c r="BE229" t="s">
        <v>11</v>
      </c>
      <c r="BF229" t="s">
        <v>11</v>
      </c>
      <c r="BG229" t="s">
        <v>11</v>
      </c>
      <c r="BH229" t="s">
        <v>1881</v>
      </c>
      <c r="BI229" t="s">
        <v>1876</v>
      </c>
      <c r="BJ229" t="s">
        <v>1882</v>
      </c>
      <c r="BK229" t="s">
        <v>1883</v>
      </c>
    </row>
    <row r="230" spans="1:63" x14ac:dyDescent="0.3">
      <c r="A230" t="s">
        <v>1884</v>
      </c>
      <c r="B230" t="s">
        <v>95</v>
      </c>
      <c r="C230" t="s">
        <v>332</v>
      </c>
      <c r="D230" t="s">
        <v>1885</v>
      </c>
      <c r="E230" t="s">
        <v>1886</v>
      </c>
      <c r="F230">
        <v>243</v>
      </c>
      <c r="G230">
        <v>81.400000000000006</v>
      </c>
      <c r="I230">
        <v>9.1</v>
      </c>
      <c r="K230">
        <v>9.5</v>
      </c>
      <c r="AF230">
        <v>9.3190500000000007</v>
      </c>
      <c r="AI230" t="s">
        <v>0</v>
      </c>
      <c r="AJ230" t="s">
        <v>278</v>
      </c>
      <c r="AK230" t="s">
        <v>235</v>
      </c>
      <c r="AL230" t="s">
        <v>11</v>
      </c>
      <c r="AM230" t="s">
        <v>11</v>
      </c>
      <c r="AN230" t="s">
        <v>11</v>
      </c>
      <c r="AO230" t="s">
        <v>11</v>
      </c>
      <c r="AP230" t="s">
        <v>11</v>
      </c>
      <c r="AQ230" t="s">
        <v>11</v>
      </c>
      <c r="AR230" t="s">
        <v>11</v>
      </c>
      <c r="AS230" t="s">
        <v>11</v>
      </c>
      <c r="AT230" t="s">
        <v>11</v>
      </c>
      <c r="AU230" t="s">
        <v>11</v>
      </c>
      <c r="AV230" t="s">
        <v>11</v>
      </c>
      <c r="AW230" t="s">
        <v>11</v>
      </c>
      <c r="AX230" t="s">
        <v>11</v>
      </c>
      <c r="AY230" t="s">
        <v>11</v>
      </c>
      <c r="AZ230" t="s">
        <v>11</v>
      </c>
      <c r="BA230" t="s">
        <v>11</v>
      </c>
      <c r="BB230" t="s">
        <v>11</v>
      </c>
      <c r="BC230" t="s">
        <v>11</v>
      </c>
      <c r="BD230" t="s">
        <v>11</v>
      </c>
      <c r="BE230" t="s">
        <v>11</v>
      </c>
      <c r="BF230" t="s">
        <v>11</v>
      </c>
      <c r="BG230" t="s">
        <v>11</v>
      </c>
      <c r="BH230" t="s">
        <v>1887</v>
      </c>
      <c r="BI230" t="s">
        <v>1884</v>
      </c>
      <c r="BJ230" t="s">
        <v>1888</v>
      </c>
      <c r="BK230" t="s">
        <v>1889</v>
      </c>
    </row>
    <row r="231" spans="1:63" x14ac:dyDescent="0.3">
      <c r="A231" t="s">
        <v>1890</v>
      </c>
      <c r="B231" t="s">
        <v>95</v>
      </c>
      <c r="C231" t="s">
        <v>1891</v>
      </c>
      <c r="D231" t="s">
        <v>1892</v>
      </c>
      <c r="E231" t="s">
        <v>1886</v>
      </c>
      <c r="F231">
        <v>244</v>
      </c>
      <c r="G231">
        <v>80.593999999999994</v>
      </c>
      <c r="I231">
        <v>9.8000000000000007</v>
      </c>
      <c r="K231">
        <v>9.6</v>
      </c>
      <c r="S231">
        <v>6.0000000000000001E-3</v>
      </c>
      <c r="AF231">
        <v>9.2856135999999996</v>
      </c>
      <c r="AI231" t="s">
        <v>0</v>
      </c>
      <c r="AJ231" t="s">
        <v>1319</v>
      </c>
      <c r="AK231" t="s">
        <v>204</v>
      </c>
      <c r="AL231" t="s">
        <v>11</v>
      </c>
      <c r="AM231" t="s">
        <v>11</v>
      </c>
      <c r="AN231" t="s">
        <v>11</v>
      </c>
      <c r="AO231" t="s">
        <v>11</v>
      </c>
      <c r="AP231" t="s">
        <v>11</v>
      </c>
      <c r="AQ231" t="s">
        <v>11</v>
      </c>
      <c r="AR231" t="s">
        <v>11</v>
      </c>
      <c r="AS231" t="s">
        <v>11</v>
      </c>
      <c r="AT231" t="s">
        <v>11</v>
      </c>
      <c r="AU231" t="s">
        <v>577</v>
      </c>
      <c r="AV231" t="s">
        <v>11</v>
      </c>
      <c r="AW231" t="s">
        <v>11</v>
      </c>
      <c r="AX231" t="s">
        <v>11</v>
      </c>
      <c r="AY231" t="s">
        <v>11</v>
      </c>
      <c r="AZ231" t="s">
        <v>11</v>
      </c>
      <c r="BA231" t="s">
        <v>11</v>
      </c>
      <c r="BB231" t="s">
        <v>11</v>
      </c>
      <c r="BC231" t="s">
        <v>11</v>
      </c>
      <c r="BD231" t="s">
        <v>11</v>
      </c>
      <c r="BE231" t="s">
        <v>11</v>
      </c>
      <c r="BF231" t="s">
        <v>11</v>
      </c>
      <c r="BG231" t="s">
        <v>11</v>
      </c>
      <c r="BH231" t="s">
        <v>1893</v>
      </c>
      <c r="BI231" t="s">
        <v>1890</v>
      </c>
      <c r="BJ231" t="s">
        <v>1894</v>
      </c>
      <c r="BK231" t="s">
        <v>1895</v>
      </c>
    </row>
    <row r="232" spans="1:63" x14ac:dyDescent="0.3">
      <c r="A232" t="s">
        <v>1896</v>
      </c>
      <c r="B232" t="s">
        <v>95</v>
      </c>
      <c r="C232" t="s">
        <v>1897</v>
      </c>
      <c r="D232" t="s">
        <v>1898</v>
      </c>
      <c r="E232" t="s">
        <v>1886</v>
      </c>
      <c r="F232">
        <v>245</v>
      </c>
      <c r="G232">
        <v>81.462999999999994</v>
      </c>
      <c r="I232">
        <v>9.1</v>
      </c>
      <c r="K232">
        <v>9.4</v>
      </c>
      <c r="S232">
        <v>3.6999999999999998E-2</v>
      </c>
      <c r="AF232">
        <v>9.3063172000000005</v>
      </c>
      <c r="AI232" t="s">
        <v>0</v>
      </c>
      <c r="AJ232" t="s">
        <v>278</v>
      </c>
      <c r="AK232" t="s">
        <v>148</v>
      </c>
      <c r="AL232" t="s">
        <v>11</v>
      </c>
      <c r="AM232" t="s">
        <v>11</v>
      </c>
      <c r="AN232" t="s">
        <v>11</v>
      </c>
      <c r="AO232" t="s">
        <v>11</v>
      </c>
      <c r="AP232" t="s">
        <v>11</v>
      </c>
      <c r="AQ232" t="s">
        <v>11</v>
      </c>
      <c r="AR232" t="s">
        <v>11</v>
      </c>
      <c r="AS232" t="s">
        <v>11</v>
      </c>
      <c r="AT232" t="s">
        <v>11</v>
      </c>
      <c r="AU232" t="s">
        <v>344</v>
      </c>
      <c r="AV232" t="s">
        <v>11</v>
      </c>
      <c r="AW232" t="s">
        <v>11</v>
      </c>
      <c r="AX232" t="s">
        <v>11</v>
      </c>
      <c r="AY232" t="s">
        <v>11</v>
      </c>
      <c r="AZ232" t="s">
        <v>11</v>
      </c>
      <c r="BA232" t="s">
        <v>11</v>
      </c>
      <c r="BB232" t="s">
        <v>11</v>
      </c>
      <c r="BC232" t="s">
        <v>11</v>
      </c>
      <c r="BD232" t="s">
        <v>11</v>
      </c>
      <c r="BE232" t="s">
        <v>11</v>
      </c>
      <c r="BF232" t="s">
        <v>11</v>
      </c>
      <c r="BG232" t="s">
        <v>11</v>
      </c>
      <c r="BH232" t="s">
        <v>1899</v>
      </c>
      <c r="BI232" t="s">
        <v>1896</v>
      </c>
      <c r="BJ232" t="s">
        <v>1900</v>
      </c>
      <c r="BK232" t="s">
        <v>1901</v>
      </c>
    </row>
    <row r="233" spans="1:63" x14ac:dyDescent="0.3">
      <c r="A233" t="s">
        <v>1896</v>
      </c>
      <c r="B233" t="s">
        <v>95</v>
      </c>
      <c r="C233" t="s">
        <v>1897</v>
      </c>
      <c r="D233" t="s">
        <v>1902</v>
      </c>
      <c r="E233" t="s">
        <v>1886</v>
      </c>
      <c r="F233">
        <v>246</v>
      </c>
      <c r="G233">
        <v>81.462999999999994</v>
      </c>
      <c r="I233">
        <v>9.1</v>
      </c>
      <c r="K233">
        <v>9.4</v>
      </c>
      <c r="S233">
        <v>3.6999999999999998E-2</v>
      </c>
      <c r="AF233">
        <v>9.3063172000000005</v>
      </c>
      <c r="AH233" t="s">
        <v>1903</v>
      </c>
      <c r="AI233" t="s">
        <v>0</v>
      </c>
      <c r="AJ233" t="s">
        <v>278</v>
      </c>
      <c r="AK233" t="s">
        <v>148</v>
      </c>
      <c r="AL233" t="s">
        <v>11</v>
      </c>
      <c r="AM233" t="s">
        <v>11</v>
      </c>
      <c r="AN233" t="s">
        <v>11</v>
      </c>
      <c r="AO233" t="s">
        <v>11</v>
      </c>
      <c r="AP233" t="s">
        <v>11</v>
      </c>
      <c r="AQ233" t="s">
        <v>11</v>
      </c>
      <c r="AR233" t="s">
        <v>11</v>
      </c>
      <c r="AS233" t="s">
        <v>11</v>
      </c>
      <c r="AT233" t="s">
        <v>11</v>
      </c>
      <c r="AU233" t="s">
        <v>344</v>
      </c>
      <c r="AV233" t="s">
        <v>11</v>
      </c>
      <c r="AW233" t="s">
        <v>11</v>
      </c>
      <c r="AX233" t="s">
        <v>11</v>
      </c>
      <c r="AY233" t="s">
        <v>11</v>
      </c>
      <c r="AZ233" t="s">
        <v>11</v>
      </c>
      <c r="BA233" t="s">
        <v>11</v>
      </c>
      <c r="BB233" t="s">
        <v>11</v>
      </c>
      <c r="BC233" t="s">
        <v>11</v>
      </c>
      <c r="BD233" t="s">
        <v>11</v>
      </c>
      <c r="BE233" t="s">
        <v>11</v>
      </c>
      <c r="BF233" t="s">
        <v>11</v>
      </c>
      <c r="BG233" t="s">
        <v>11</v>
      </c>
      <c r="BH233" t="s">
        <v>1904</v>
      </c>
      <c r="BI233" t="s">
        <v>1896</v>
      </c>
      <c r="BJ233" t="s">
        <v>1900</v>
      </c>
      <c r="BK233" t="s">
        <v>1901</v>
      </c>
    </row>
    <row r="234" spans="1:63" x14ac:dyDescent="0.3">
      <c r="A234" t="s">
        <v>143</v>
      </c>
      <c r="B234" t="s">
        <v>95</v>
      </c>
      <c r="C234" t="s">
        <v>144</v>
      </c>
      <c r="D234" t="s">
        <v>1905</v>
      </c>
      <c r="E234" t="s">
        <v>1886</v>
      </c>
      <c r="F234">
        <v>247</v>
      </c>
      <c r="G234">
        <v>82.3</v>
      </c>
      <c r="I234">
        <v>8.3000000000000007</v>
      </c>
      <c r="K234">
        <v>9.4</v>
      </c>
      <c r="AF234">
        <v>9.3582999999999998</v>
      </c>
      <c r="AI234" t="s">
        <v>0</v>
      </c>
      <c r="AJ234" t="s">
        <v>147</v>
      </c>
      <c r="AK234" t="s">
        <v>148</v>
      </c>
      <c r="AL234" t="s">
        <v>11</v>
      </c>
      <c r="AM234" t="s">
        <v>11</v>
      </c>
      <c r="AN234" t="s">
        <v>11</v>
      </c>
      <c r="AO234" t="s">
        <v>11</v>
      </c>
      <c r="AP234" t="s">
        <v>11</v>
      </c>
      <c r="AQ234" t="s">
        <v>11</v>
      </c>
      <c r="AR234" t="s">
        <v>11</v>
      </c>
      <c r="AS234" t="s">
        <v>11</v>
      </c>
      <c r="AT234" t="s">
        <v>11</v>
      </c>
      <c r="AU234" t="s">
        <v>11</v>
      </c>
      <c r="AV234" t="s">
        <v>11</v>
      </c>
      <c r="AW234" t="s">
        <v>11</v>
      </c>
      <c r="AX234" t="s">
        <v>11</v>
      </c>
      <c r="AY234" t="s">
        <v>11</v>
      </c>
      <c r="AZ234" t="s">
        <v>11</v>
      </c>
      <c r="BA234" t="s">
        <v>11</v>
      </c>
      <c r="BB234" t="s">
        <v>11</v>
      </c>
      <c r="BC234" t="s">
        <v>11</v>
      </c>
      <c r="BD234" t="s">
        <v>11</v>
      </c>
      <c r="BE234" t="s">
        <v>11</v>
      </c>
      <c r="BF234" t="s">
        <v>11</v>
      </c>
      <c r="BG234" t="s">
        <v>11</v>
      </c>
      <c r="BH234" t="s">
        <v>1906</v>
      </c>
      <c r="BI234" t="s">
        <v>143</v>
      </c>
      <c r="BJ234" t="s">
        <v>150</v>
      </c>
      <c r="BK234" t="s">
        <v>151</v>
      </c>
    </row>
    <row r="235" spans="1:63" x14ac:dyDescent="0.3">
      <c r="A235" t="s">
        <v>1907</v>
      </c>
      <c r="B235" t="s">
        <v>95</v>
      </c>
      <c r="C235" t="s">
        <v>357</v>
      </c>
      <c r="D235" t="s">
        <v>1908</v>
      </c>
      <c r="E235" t="s">
        <v>1886</v>
      </c>
      <c r="F235">
        <v>248</v>
      </c>
      <c r="G235">
        <v>82.13</v>
      </c>
      <c r="I235">
        <v>8.3000000000000007</v>
      </c>
      <c r="K235">
        <v>9.4</v>
      </c>
      <c r="S235">
        <v>0.17</v>
      </c>
      <c r="AF235">
        <v>9.347351999999999</v>
      </c>
      <c r="AH235" t="s">
        <v>1903</v>
      </c>
      <c r="AI235" t="s">
        <v>0</v>
      </c>
      <c r="AJ235" t="s">
        <v>147</v>
      </c>
      <c r="AK235" t="s">
        <v>148</v>
      </c>
      <c r="AL235" t="s">
        <v>11</v>
      </c>
      <c r="AM235" t="s">
        <v>11</v>
      </c>
      <c r="AN235" t="s">
        <v>11</v>
      </c>
      <c r="AO235" t="s">
        <v>11</v>
      </c>
      <c r="AP235" t="s">
        <v>11</v>
      </c>
      <c r="AQ235" t="s">
        <v>11</v>
      </c>
      <c r="AR235" t="s">
        <v>11</v>
      </c>
      <c r="AS235" t="s">
        <v>11</v>
      </c>
      <c r="AT235" t="s">
        <v>11</v>
      </c>
      <c r="AU235" t="s">
        <v>1909</v>
      </c>
      <c r="AV235" t="s">
        <v>11</v>
      </c>
      <c r="AW235" t="s">
        <v>11</v>
      </c>
      <c r="AX235" t="s">
        <v>11</v>
      </c>
      <c r="AY235" t="s">
        <v>11</v>
      </c>
      <c r="AZ235" t="s">
        <v>11</v>
      </c>
      <c r="BA235" t="s">
        <v>11</v>
      </c>
      <c r="BB235" t="s">
        <v>11</v>
      </c>
      <c r="BC235" t="s">
        <v>11</v>
      </c>
      <c r="BD235" t="s">
        <v>11</v>
      </c>
      <c r="BE235" t="s">
        <v>11</v>
      </c>
      <c r="BF235" t="s">
        <v>11</v>
      </c>
      <c r="BG235" t="s">
        <v>11</v>
      </c>
      <c r="BH235" t="s">
        <v>1910</v>
      </c>
      <c r="BI235" t="s">
        <v>1907</v>
      </c>
      <c r="BJ235" t="s">
        <v>1911</v>
      </c>
      <c r="BK235" t="s">
        <v>1912</v>
      </c>
    </row>
    <row r="236" spans="1:63" x14ac:dyDescent="0.3">
      <c r="A236" t="s">
        <v>1913</v>
      </c>
      <c r="B236" t="s">
        <v>514</v>
      </c>
      <c r="C236" t="s">
        <v>1914</v>
      </c>
      <c r="D236" t="s">
        <v>1915</v>
      </c>
      <c r="E236" t="s">
        <v>1916</v>
      </c>
      <c r="F236">
        <v>249</v>
      </c>
      <c r="G236">
        <v>82</v>
      </c>
      <c r="I236">
        <v>7</v>
      </c>
      <c r="K236">
        <v>5</v>
      </c>
      <c r="L236">
        <v>4</v>
      </c>
      <c r="M236">
        <v>2</v>
      </c>
      <c r="AF236">
        <v>8.9627800000000004</v>
      </c>
      <c r="AI236" t="s">
        <v>0</v>
      </c>
      <c r="AJ236" t="s">
        <v>1358</v>
      </c>
      <c r="AK236" t="s">
        <v>1491</v>
      </c>
      <c r="AL236" t="s">
        <v>11</v>
      </c>
      <c r="AM236" t="s">
        <v>11</v>
      </c>
      <c r="AN236" t="s">
        <v>24</v>
      </c>
      <c r="AO236" t="s">
        <v>11</v>
      </c>
      <c r="AP236" t="s">
        <v>11</v>
      </c>
      <c r="AQ236" t="s">
        <v>1659</v>
      </c>
      <c r="AR236" t="s">
        <v>11</v>
      </c>
      <c r="AS236" t="s">
        <v>11</v>
      </c>
      <c r="AT236" t="s">
        <v>11</v>
      </c>
      <c r="AU236" t="s">
        <v>11</v>
      </c>
      <c r="AV236" t="s">
        <v>11</v>
      </c>
      <c r="AW236" t="s">
        <v>11</v>
      </c>
      <c r="AX236" t="s">
        <v>11</v>
      </c>
      <c r="AY236" t="s">
        <v>11</v>
      </c>
      <c r="AZ236" t="s">
        <v>11</v>
      </c>
      <c r="BA236" t="s">
        <v>11</v>
      </c>
      <c r="BB236" t="s">
        <v>11</v>
      </c>
      <c r="BC236" t="s">
        <v>11</v>
      </c>
      <c r="BD236" t="s">
        <v>11</v>
      </c>
      <c r="BE236" t="s">
        <v>11</v>
      </c>
      <c r="BF236" t="s">
        <v>11</v>
      </c>
      <c r="BG236" t="s">
        <v>11</v>
      </c>
      <c r="BH236" t="s">
        <v>1917</v>
      </c>
      <c r="BI236" t="s">
        <v>1913</v>
      </c>
      <c r="BJ236" t="s">
        <v>1918</v>
      </c>
      <c r="BK236" t="s">
        <v>1919</v>
      </c>
    </row>
    <row r="237" spans="1:63" x14ac:dyDescent="0.3">
      <c r="A237" t="s">
        <v>1920</v>
      </c>
      <c r="B237" t="s">
        <v>160</v>
      </c>
      <c r="C237" t="s">
        <v>1921</v>
      </c>
      <c r="D237" t="s">
        <v>1922</v>
      </c>
      <c r="E237" t="s">
        <v>1916</v>
      </c>
      <c r="F237">
        <v>250</v>
      </c>
      <c r="G237">
        <v>76</v>
      </c>
      <c r="I237">
        <v>10.5</v>
      </c>
      <c r="K237">
        <v>7</v>
      </c>
      <c r="L237">
        <v>4</v>
      </c>
      <c r="M237">
        <v>2.5</v>
      </c>
      <c r="AF237">
        <v>8.9915300000000009</v>
      </c>
      <c r="AI237" t="s">
        <v>0</v>
      </c>
      <c r="AJ237" t="s">
        <v>1256</v>
      </c>
      <c r="AK237" t="s">
        <v>538</v>
      </c>
      <c r="AL237" t="s">
        <v>11</v>
      </c>
      <c r="AM237" t="s">
        <v>11</v>
      </c>
      <c r="AN237" t="s">
        <v>87</v>
      </c>
      <c r="AO237" t="s">
        <v>11</v>
      </c>
      <c r="AP237" t="s">
        <v>11</v>
      </c>
      <c r="AQ237" t="s">
        <v>1659</v>
      </c>
      <c r="AR237" t="s">
        <v>11</v>
      </c>
      <c r="AS237" t="s">
        <v>11</v>
      </c>
      <c r="AT237" t="s">
        <v>11</v>
      </c>
      <c r="AU237" t="s">
        <v>11</v>
      </c>
      <c r="AV237" t="s">
        <v>11</v>
      </c>
      <c r="AW237" t="s">
        <v>11</v>
      </c>
      <c r="AX237" t="s">
        <v>11</v>
      </c>
      <c r="AY237" t="s">
        <v>11</v>
      </c>
      <c r="AZ237" t="s">
        <v>11</v>
      </c>
      <c r="BA237" t="s">
        <v>11</v>
      </c>
      <c r="BB237" t="s">
        <v>11</v>
      </c>
      <c r="BC237" t="s">
        <v>11</v>
      </c>
      <c r="BD237" t="s">
        <v>11</v>
      </c>
      <c r="BE237" t="s">
        <v>11</v>
      </c>
      <c r="BF237" t="s">
        <v>11</v>
      </c>
      <c r="BG237" t="s">
        <v>11</v>
      </c>
      <c r="BH237" t="s">
        <v>1923</v>
      </c>
      <c r="BI237" t="s">
        <v>1920</v>
      </c>
      <c r="BJ237" t="s">
        <v>1924</v>
      </c>
      <c r="BK237" t="s">
        <v>1925</v>
      </c>
    </row>
    <row r="238" spans="1:63" x14ac:dyDescent="0.3">
      <c r="A238" t="s">
        <v>1926</v>
      </c>
      <c r="B238" t="s">
        <v>160</v>
      </c>
      <c r="C238" t="s">
        <v>1927</v>
      </c>
      <c r="D238" t="s">
        <v>1928</v>
      </c>
      <c r="E238" t="s">
        <v>1916</v>
      </c>
      <c r="F238">
        <v>251</v>
      </c>
      <c r="G238">
        <v>77</v>
      </c>
      <c r="I238">
        <v>11</v>
      </c>
      <c r="K238">
        <v>5.5</v>
      </c>
      <c r="L238">
        <v>4</v>
      </c>
      <c r="M238">
        <v>2.5</v>
      </c>
      <c r="AF238">
        <v>8.8052800000000016</v>
      </c>
      <c r="AI238" t="s">
        <v>0</v>
      </c>
      <c r="AJ238" t="s">
        <v>1365</v>
      </c>
      <c r="AK238" t="s">
        <v>224</v>
      </c>
      <c r="AL238" t="s">
        <v>11</v>
      </c>
      <c r="AM238" t="s">
        <v>11</v>
      </c>
      <c r="AN238" t="s">
        <v>87</v>
      </c>
      <c r="AO238" t="s">
        <v>11</v>
      </c>
      <c r="AP238" t="s">
        <v>11</v>
      </c>
      <c r="AQ238" t="s">
        <v>1659</v>
      </c>
      <c r="AR238" t="s">
        <v>11</v>
      </c>
      <c r="AS238" t="s">
        <v>11</v>
      </c>
      <c r="AT238" t="s">
        <v>11</v>
      </c>
      <c r="AU238" t="s">
        <v>11</v>
      </c>
      <c r="AV238" t="s">
        <v>11</v>
      </c>
      <c r="AW238" t="s">
        <v>11</v>
      </c>
      <c r="AX238" t="s">
        <v>11</v>
      </c>
      <c r="AY238" t="s">
        <v>11</v>
      </c>
      <c r="AZ238" t="s">
        <v>11</v>
      </c>
      <c r="BA238" t="s">
        <v>11</v>
      </c>
      <c r="BB238" t="s">
        <v>11</v>
      </c>
      <c r="BC238" t="s">
        <v>11</v>
      </c>
      <c r="BD238" t="s">
        <v>11</v>
      </c>
      <c r="BE238" t="s">
        <v>11</v>
      </c>
      <c r="BF238" t="s">
        <v>11</v>
      </c>
      <c r="BG238" t="s">
        <v>11</v>
      </c>
      <c r="BH238" t="s">
        <v>1929</v>
      </c>
      <c r="BI238" t="s">
        <v>1926</v>
      </c>
      <c r="BJ238" t="s">
        <v>1930</v>
      </c>
      <c r="BK238" t="s">
        <v>1931</v>
      </c>
    </row>
    <row r="239" spans="1:63" x14ac:dyDescent="0.3">
      <c r="A239" t="s">
        <v>1932</v>
      </c>
      <c r="B239" t="s">
        <v>160</v>
      </c>
      <c r="C239" t="s">
        <v>1933</v>
      </c>
      <c r="D239" t="s">
        <v>1934</v>
      </c>
      <c r="E239" t="s">
        <v>1916</v>
      </c>
      <c r="F239">
        <v>252</v>
      </c>
      <c r="G239">
        <v>78.5</v>
      </c>
      <c r="I239">
        <v>11.5</v>
      </c>
      <c r="K239">
        <v>3.5</v>
      </c>
      <c r="L239">
        <v>4</v>
      </c>
      <c r="M239">
        <v>2.5</v>
      </c>
      <c r="AF239">
        <v>8.5672800000000002</v>
      </c>
      <c r="AI239" t="s">
        <v>0</v>
      </c>
      <c r="AJ239" t="s">
        <v>1935</v>
      </c>
      <c r="AK239" t="s">
        <v>1936</v>
      </c>
      <c r="AL239" t="s">
        <v>11</v>
      </c>
      <c r="AM239" t="s">
        <v>11</v>
      </c>
      <c r="AN239" t="s">
        <v>87</v>
      </c>
      <c r="AO239" t="s">
        <v>11</v>
      </c>
      <c r="AP239" t="s">
        <v>11</v>
      </c>
      <c r="AQ239" t="s">
        <v>1659</v>
      </c>
      <c r="AR239" t="s">
        <v>11</v>
      </c>
      <c r="AS239" t="s">
        <v>11</v>
      </c>
      <c r="AT239" t="s">
        <v>11</v>
      </c>
      <c r="AU239" t="s">
        <v>11</v>
      </c>
      <c r="AV239" t="s">
        <v>11</v>
      </c>
      <c r="AW239" t="s">
        <v>11</v>
      </c>
      <c r="AX239" t="s">
        <v>11</v>
      </c>
      <c r="AY239" t="s">
        <v>11</v>
      </c>
      <c r="AZ239" t="s">
        <v>11</v>
      </c>
      <c r="BA239" t="s">
        <v>11</v>
      </c>
      <c r="BB239" t="s">
        <v>11</v>
      </c>
      <c r="BC239" t="s">
        <v>11</v>
      </c>
      <c r="BD239" t="s">
        <v>11</v>
      </c>
      <c r="BE239" t="s">
        <v>11</v>
      </c>
      <c r="BF239" t="s">
        <v>11</v>
      </c>
      <c r="BG239" t="s">
        <v>11</v>
      </c>
      <c r="BH239" t="s">
        <v>1937</v>
      </c>
      <c r="BI239" t="s">
        <v>1932</v>
      </c>
      <c r="BJ239" t="s">
        <v>1938</v>
      </c>
      <c r="BK239" t="s">
        <v>1939</v>
      </c>
    </row>
    <row r="240" spans="1:63" x14ac:dyDescent="0.3">
      <c r="A240" t="s">
        <v>1940</v>
      </c>
      <c r="B240" t="s">
        <v>160</v>
      </c>
      <c r="C240" t="s">
        <v>1941</v>
      </c>
      <c r="D240" t="s">
        <v>1942</v>
      </c>
      <c r="E240" t="s">
        <v>1916</v>
      </c>
      <c r="F240">
        <v>253</v>
      </c>
      <c r="G240">
        <v>48.9</v>
      </c>
      <c r="H240">
        <v>30</v>
      </c>
      <c r="I240">
        <v>9</v>
      </c>
      <c r="K240">
        <v>7</v>
      </c>
      <c r="L240">
        <v>3</v>
      </c>
      <c r="M240">
        <v>2</v>
      </c>
      <c r="S240">
        <v>0.1</v>
      </c>
      <c r="AF240">
        <v>9.0856699999999986</v>
      </c>
      <c r="AH240" t="s">
        <v>1943</v>
      </c>
      <c r="AI240" t="s">
        <v>0</v>
      </c>
      <c r="AJ240" t="s">
        <v>128</v>
      </c>
      <c r="AK240" t="s">
        <v>538</v>
      </c>
      <c r="AL240" t="s">
        <v>23</v>
      </c>
      <c r="AM240" t="s">
        <v>11</v>
      </c>
      <c r="AN240" t="s">
        <v>24</v>
      </c>
      <c r="AO240" t="s">
        <v>11</v>
      </c>
      <c r="AP240" t="s">
        <v>11</v>
      </c>
      <c r="AQ240" t="s">
        <v>1944</v>
      </c>
      <c r="AR240" t="s">
        <v>11</v>
      </c>
      <c r="AS240" t="s">
        <v>11</v>
      </c>
      <c r="AT240" t="s">
        <v>11</v>
      </c>
      <c r="AU240" t="s">
        <v>1230</v>
      </c>
      <c r="AV240" t="s">
        <v>11</v>
      </c>
      <c r="AW240" t="s">
        <v>11</v>
      </c>
      <c r="AX240" t="s">
        <v>11</v>
      </c>
      <c r="AY240" t="s">
        <v>11</v>
      </c>
      <c r="AZ240" t="s">
        <v>11</v>
      </c>
      <c r="BA240" t="s">
        <v>11</v>
      </c>
      <c r="BB240" t="s">
        <v>11</v>
      </c>
      <c r="BC240" t="s">
        <v>11</v>
      </c>
      <c r="BD240" t="s">
        <v>11</v>
      </c>
      <c r="BE240" t="s">
        <v>11</v>
      </c>
      <c r="BF240" t="s">
        <v>11</v>
      </c>
      <c r="BG240" t="s">
        <v>11</v>
      </c>
      <c r="BH240" t="s">
        <v>1945</v>
      </c>
      <c r="BI240" t="s">
        <v>1940</v>
      </c>
      <c r="BJ240" t="s">
        <v>1946</v>
      </c>
      <c r="BK240" t="s">
        <v>1947</v>
      </c>
    </row>
    <row r="241" spans="1:63" x14ac:dyDescent="0.3">
      <c r="A241" t="s">
        <v>1948</v>
      </c>
      <c r="B241" t="s">
        <v>160</v>
      </c>
      <c r="C241" t="s">
        <v>1949</v>
      </c>
      <c r="D241" t="s">
        <v>1950</v>
      </c>
      <c r="E241" t="s">
        <v>1916</v>
      </c>
      <c r="F241">
        <v>254</v>
      </c>
      <c r="G241">
        <v>55</v>
      </c>
      <c r="I241">
        <v>10.5</v>
      </c>
      <c r="K241">
        <v>7.5</v>
      </c>
      <c r="L241">
        <v>2</v>
      </c>
      <c r="M241">
        <v>25</v>
      </c>
      <c r="AF241">
        <v>10.874889999999999</v>
      </c>
      <c r="AI241" t="s">
        <v>0</v>
      </c>
      <c r="AJ241" t="s">
        <v>1256</v>
      </c>
      <c r="AK241" t="s">
        <v>195</v>
      </c>
      <c r="AL241" t="s">
        <v>11</v>
      </c>
      <c r="AM241" t="s">
        <v>11</v>
      </c>
      <c r="AN241" t="s">
        <v>1951</v>
      </c>
      <c r="AO241" t="s">
        <v>11</v>
      </c>
      <c r="AP241" t="s">
        <v>11</v>
      </c>
      <c r="AQ241" t="s">
        <v>25</v>
      </c>
      <c r="AR241" t="s">
        <v>11</v>
      </c>
      <c r="AS241" t="s">
        <v>11</v>
      </c>
      <c r="AT241" t="s">
        <v>11</v>
      </c>
      <c r="AU241" t="s">
        <v>11</v>
      </c>
      <c r="AV241" t="s">
        <v>11</v>
      </c>
      <c r="AW241" t="s">
        <v>11</v>
      </c>
      <c r="AX241" t="s">
        <v>11</v>
      </c>
      <c r="AY241" t="s">
        <v>11</v>
      </c>
      <c r="AZ241" t="s">
        <v>11</v>
      </c>
      <c r="BA241" t="s">
        <v>11</v>
      </c>
      <c r="BB241" t="s">
        <v>11</v>
      </c>
      <c r="BC241" t="s">
        <v>11</v>
      </c>
      <c r="BD241" t="s">
        <v>11</v>
      </c>
      <c r="BE241" t="s">
        <v>11</v>
      </c>
      <c r="BF241" t="s">
        <v>11</v>
      </c>
      <c r="BG241" t="s">
        <v>11</v>
      </c>
      <c r="BH241" t="s">
        <v>1952</v>
      </c>
      <c r="BI241" t="s">
        <v>1948</v>
      </c>
      <c r="BJ241" t="s">
        <v>1953</v>
      </c>
      <c r="BK241" t="s">
        <v>1954</v>
      </c>
    </row>
    <row r="242" spans="1:63" x14ac:dyDescent="0.3">
      <c r="A242" t="s">
        <v>1955</v>
      </c>
      <c r="B242" t="s">
        <v>160</v>
      </c>
      <c r="C242" t="s">
        <v>1956</v>
      </c>
      <c r="D242" t="s">
        <v>1957</v>
      </c>
      <c r="E242" t="s">
        <v>1916</v>
      </c>
      <c r="F242">
        <v>255</v>
      </c>
      <c r="G242">
        <v>79</v>
      </c>
      <c r="I242">
        <v>11</v>
      </c>
      <c r="K242">
        <v>5.5</v>
      </c>
      <c r="L242">
        <v>2</v>
      </c>
      <c r="M242">
        <v>2.5</v>
      </c>
      <c r="AF242">
        <v>8.8931400000000007</v>
      </c>
      <c r="AI242" t="s">
        <v>0</v>
      </c>
      <c r="AJ242" t="s">
        <v>1365</v>
      </c>
      <c r="AK242" t="s">
        <v>224</v>
      </c>
      <c r="AL242" t="s">
        <v>11</v>
      </c>
      <c r="AM242" t="s">
        <v>11</v>
      </c>
      <c r="AN242" t="s">
        <v>87</v>
      </c>
      <c r="AO242" t="s">
        <v>11</v>
      </c>
      <c r="AP242" t="s">
        <v>11</v>
      </c>
      <c r="AQ242" t="s">
        <v>25</v>
      </c>
      <c r="AR242" t="s">
        <v>11</v>
      </c>
      <c r="AS242" t="s">
        <v>11</v>
      </c>
      <c r="AT242" t="s">
        <v>11</v>
      </c>
      <c r="AU242" t="s">
        <v>11</v>
      </c>
      <c r="AV242" t="s">
        <v>11</v>
      </c>
      <c r="AW242" t="s">
        <v>11</v>
      </c>
      <c r="AX242" t="s">
        <v>11</v>
      </c>
      <c r="AY242" t="s">
        <v>11</v>
      </c>
      <c r="AZ242" t="s">
        <v>11</v>
      </c>
      <c r="BA242" t="s">
        <v>11</v>
      </c>
      <c r="BB242" t="s">
        <v>11</v>
      </c>
      <c r="BC242" t="s">
        <v>11</v>
      </c>
      <c r="BD242" t="s">
        <v>11</v>
      </c>
      <c r="BE242" t="s">
        <v>11</v>
      </c>
      <c r="BF242" t="s">
        <v>11</v>
      </c>
      <c r="BG242" t="s">
        <v>11</v>
      </c>
      <c r="BH242" t="s">
        <v>1958</v>
      </c>
      <c r="BI242" t="s">
        <v>1955</v>
      </c>
      <c r="BJ242" t="s">
        <v>1959</v>
      </c>
      <c r="BK242" t="s">
        <v>1960</v>
      </c>
    </row>
    <row r="243" spans="1:63" x14ac:dyDescent="0.3">
      <c r="A243" t="s">
        <v>1961</v>
      </c>
      <c r="B243" t="s">
        <v>95</v>
      </c>
      <c r="C243" t="s">
        <v>1962</v>
      </c>
      <c r="D243" t="s">
        <v>1813</v>
      </c>
      <c r="E243" t="s">
        <v>1963</v>
      </c>
      <c r="F243">
        <v>256</v>
      </c>
      <c r="G243">
        <v>63.2</v>
      </c>
      <c r="H243">
        <v>19.5</v>
      </c>
      <c r="I243">
        <v>10.199999999999999</v>
      </c>
      <c r="K243">
        <v>7.1</v>
      </c>
      <c r="AF243">
        <v>9.0040099999999992</v>
      </c>
      <c r="AI243" t="s">
        <v>0</v>
      </c>
      <c r="AJ243" t="s">
        <v>1964</v>
      </c>
      <c r="AK243" t="s">
        <v>1468</v>
      </c>
      <c r="AL243" t="s">
        <v>1965</v>
      </c>
      <c r="AM243" t="s">
        <v>11</v>
      </c>
      <c r="AN243" t="s">
        <v>11</v>
      </c>
      <c r="AO243" t="s">
        <v>11</v>
      </c>
      <c r="AP243" t="s">
        <v>11</v>
      </c>
      <c r="AQ243" t="s">
        <v>11</v>
      </c>
      <c r="AR243" t="s">
        <v>11</v>
      </c>
      <c r="AS243" t="s">
        <v>11</v>
      </c>
      <c r="AT243" t="s">
        <v>11</v>
      </c>
      <c r="AU243" t="s">
        <v>11</v>
      </c>
      <c r="AV243" t="s">
        <v>11</v>
      </c>
      <c r="AW243" t="s">
        <v>11</v>
      </c>
      <c r="AX243" t="s">
        <v>11</v>
      </c>
      <c r="AY243" t="s">
        <v>11</v>
      </c>
      <c r="AZ243" t="s">
        <v>11</v>
      </c>
      <c r="BA243" t="s">
        <v>11</v>
      </c>
      <c r="BB243" t="s">
        <v>11</v>
      </c>
      <c r="BC243" t="s">
        <v>11</v>
      </c>
      <c r="BD243" t="s">
        <v>11</v>
      </c>
      <c r="BE243" t="s">
        <v>11</v>
      </c>
      <c r="BF243" t="s">
        <v>11</v>
      </c>
      <c r="BG243" t="s">
        <v>11</v>
      </c>
      <c r="BH243" t="s">
        <v>1966</v>
      </c>
      <c r="BI243" t="s">
        <v>1961</v>
      </c>
      <c r="BJ243" t="s">
        <v>1967</v>
      </c>
      <c r="BK243" t="s">
        <v>1968</v>
      </c>
    </row>
    <row r="244" spans="1:63" x14ac:dyDescent="0.3">
      <c r="A244" t="s">
        <v>1969</v>
      </c>
      <c r="B244" t="s">
        <v>160</v>
      </c>
      <c r="C244" t="s">
        <v>1970</v>
      </c>
      <c r="D244" t="s">
        <v>1971</v>
      </c>
      <c r="E244" t="s">
        <v>1963</v>
      </c>
      <c r="F244">
        <v>257</v>
      </c>
      <c r="G244">
        <v>58.099999999999994</v>
      </c>
      <c r="H244">
        <v>19.600000000000001</v>
      </c>
      <c r="I244">
        <v>10.3</v>
      </c>
      <c r="K244">
        <v>6.8</v>
      </c>
      <c r="W244">
        <v>5.2</v>
      </c>
      <c r="AF244">
        <v>8.913415999999998</v>
      </c>
      <c r="AI244" t="s">
        <v>0</v>
      </c>
      <c r="AJ244" t="s">
        <v>1972</v>
      </c>
      <c r="AK244" t="s">
        <v>1769</v>
      </c>
      <c r="AL244" t="s">
        <v>1973</v>
      </c>
      <c r="AM244" t="s">
        <v>11</v>
      </c>
      <c r="AN244" t="s">
        <v>11</v>
      </c>
      <c r="AO244" t="s">
        <v>11</v>
      </c>
      <c r="AP244" t="s">
        <v>11</v>
      </c>
      <c r="AQ244" t="s">
        <v>11</v>
      </c>
      <c r="AR244" t="s">
        <v>11</v>
      </c>
      <c r="AS244" t="s">
        <v>11</v>
      </c>
      <c r="AT244" t="s">
        <v>11</v>
      </c>
      <c r="AU244" t="s">
        <v>11</v>
      </c>
      <c r="AV244" t="s">
        <v>11</v>
      </c>
      <c r="AW244" t="s">
        <v>11</v>
      </c>
      <c r="AX244" t="s">
        <v>11</v>
      </c>
      <c r="AY244" t="s">
        <v>1974</v>
      </c>
      <c r="AZ244" t="s">
        <v>11</v>
      </c>
      <c r="BA244" t="s">
        <v>11</v>
      </c>
      <c r="BB244" t="s">
        <v>11</v>
      </c>
      <c r="BC244" t="s">
        <v>11</v>
      </c>
      <c r="BD244" t="s">
        <v>11</v>
      </c>
      <c r="BE244" t="s">
        <v>11</v>
      </c>
      <c r="BF244" t="s">
        <v>11</v>
      </c>
      <c r="BG244" t="s">
        <v>11</v>
      </c>
      <c r="BH244" t="s">
        <v>1975</v>
      </c>
      <c r="BI244" t="s">
        <v>1969</v>
      </c>
      <c r="BJ244" t="s">
        <v>1976</v>
      </c>
      <c r="BK244" t="s">
        <v>1977</v>
      </c>
    </row>
    <row r="245" spans="1:63" x14ac:dyDescent="0.3">
      <c r="A245" t="s">
        <v>1978</v>
      </c>
      <c r="B245" t="s">
        <v>160</v>
      </c>
      <c r="C245" t="s">
        <v>1979</v>
      </c>
      <c r="D245" t="s">
        <v>1980</v>
      </c>
      <c r="E245" t="s">
        <v>1963</v>
      </c>
      <c r="F245">
        <v>258</v>
      </c>
      <c r="G245">
        <v>53.2</v>
      </c>
      <c r="H245">
        <v>19.8</v>
      </c>
      <c r="I245">
        <v>10.3</v>
      </c>
      <c r="K245">
        <v>6.4</v>
      </c>
      <c r="W245">
        <v>10.3</v>
      </c>
      <c r="AF245">
        <v>8.8197060000000018</v>
      </c>
      <c r="AI245" t="s">
        <v>0</v>
      </c>
      <c r="AJ245" t="s">
        <v>1972</v>
      </c>
      <c r="AK245" t="s">
        <v>1981</v>
      </c>
      <c r="AL245" t="s">
        <v>1982</v>
      </c>
      <c r="AM245" t="s">
        <v>11</v>
      </c>
      <c r="AN245" t="s">
        <v>11</v>
      </c>
      <c r="AO245" t="s">
        <v>11</v>
      </c>
      <c r="AP245" t="s">
        <v>11</v>
      </c>
      <c r="AQ245" t="s">
        <v>11</v>
      </c>
      <c r="AR245" t="s">
        <v>11</v>
      </c>
      <c r="AS245" t="s">
        <v>11</v>
      </c>
      <c r="AT245" t="s">
        <v>11</v>
      </c>
      <c r="AU245" t="s">
        <v>11</v>
      </c>
      <c r="AV245" t="s">
        <v>11</v>
      </c>
      <c r="AW245" t="s">
        <v>11</v>
      </c>
      <c r="AX245" t="s">
        <v>11</v>
      </c>
      <c r="AY245" t="s">
        <v>1983</v>
      </c>
      <c r="AZ245" t="s">
        <v>11</v>
      </c>
      <c r="BA245" t="s">
        <v>11</v>
      </c>
      <c r="BB245" t="s">
        <v>11</v>
      </c>
      <c r="BC245" t="s">
        <v>11</v>
      </c>
      <c r="BD245" t="s">
        <v>11</v>
      </c>
      <c r="BE245" t="s">
        <v>11</v>
      </c>
      <c r="BF245" t="s">
        <v>11</v>
      </c>
      <c r="BG245" t="s">
        <v>11</v>
      </c>
      <c r="BH245" t="s">
        <v>1984</v>
      </c>
      <c r="BI245" t="s">
        <v>1978</v>
      </c>
      <c r="BJ245" t="s">
        <v>1985</v>
      </c>
      <c r="BK245" t="s">
        <v>1986</v>
      </c>
    </row>
    <row r="246" spans="1:63" x14ac:dyDescent="0.3">
      <c r="A246" t="s">
        <v>1987</v>
      </c>
      <c r="B246" t="s">
        <v>160</v>
      </c>
      <c r="C246" t="s">
        <v>1988</v>
      </c>
      <c r="D246" t="s">
        <v>1989</v>
      </c>
      <c r="E246" t="s">
        <v>1963</v>
      </c>
      <c r="F246">
        <v>259</v>
      </c>
      <c r="G246">
        <v>48.2</v>
      </c>
      <c r="H246">
        <v>19.7</v>
      </c>
      <c r="I246">
        <v>10.3</v>
      </c>
      <c r="K246">
        <v>6.5</v>
      </c>
      <c r="W246">
        <v>15.3</v>
      </c>
      <c r="AF246">
        <v>8.7787480000000002</v>
      </c>
      <c r="AI246" t="s">
        <v>0</v>
      </c>
      <c r="AJ246" t="s">
        <v>1972</v>
      </c>
      <c r="AK246" t="s">
        <v>1745</v>
      </c>
      <c r="AL246" t="s">
        <v>1093</v>
      </c>
      <c r="AM246" t="s">
        <v>11</v>
      </c>
      <c r="AN246" t="s">
        <v>11</v>
      </c>
      <c r="AO246" t="s">
        <v>11</v>
      </c>
      <c r="AP246" t="s">
        <v>11</v>
      </c>
      <c r="AQ246" t="s">
        <v>11</v>
      </c>
      <c r="AR246" t="s">
        <v>11</v>
      </c>
      <c r="AS246" t="s">
        <v>11</v>
      </c>
      <c r="AT246" t="s">
        <v>11</v>
      </c>
      <c r="AU246" t="s">
        <v>11</v>
      </c>
      <c r="AV246" t="s">
        <v>11</v>
      </c>
      <c r="AW246" t="s">
        <v>11</v>
      </c>
      <c r="AX246" t="s">
        <v>11</v>
      </c>
      <c r="AY246" t="s">
        <v>1990</v>
      </c>
      <c r="AZ246" t="s">
        <v>11</v>
      </c>
      <c r="BA246" t="s">
        <v>11</v>
      </c>
      <c r="BB246" t="s">
        <v>11</v>
      </c>
      <c r="BC246" t="s">
        <v>11</v>
      </c>
      <c r="BD246" t="s">
        <v>11</v>
      </c>
      <c r="BE246" t="s">
        <v>11</v>
      </c>
      <c r="BF246" t="s">
        <v>11</v>
      </c>
      <c r="BG246" t="s">
        <v>11</v>
      </c>
      <c r="BH246" t="s">
        <v>1991</v>
      </c>
      <c r="BI246" t="s">
        <v>1987</v>
      </c>
      <c r="BJ246" t="s">
        <v>1992</v>
      </c>
      <c r="BK246" t="s">
        <v>1993</v>
      </c>
    </row>
    <row r="247" spans="1:63" x14ac:dyDescent="0.3">
      <c r="A247" t="s">
        <v>1994</v>
      </c>
      <c r="B247" t="s">
        <v>160</v>
      </c>
      <c r="C247" t="s">
        <v>1995</v>
      </c>
      <c r="D247" t="s">
        <v>1996</v>
      </c>
      <c r="E247" t="s">
        <v>1963</v>
      </c>
      <c r="F247">
        <v>260</v>
      </c>
      <c r="G247">
        <v>62.900000000000006</v>
      </c>
      <c r="H247">
        <v>19.600000000000001</v>
      </c>
      <c r="I247">
        <v>10.199999999999999</v>
      </c>
      <c r="K247">
        <v>7</v>
      </c>
      <c r="V247">
        <v>0.3</v>
      </c>
      <c r="AF247">
        <v>8.9739579999999997</v>
      </c>
      <c r="AI247" t="s">
        <v>0</v>
      </c>
      <c r="AJ247" t="s">
        <v>1964</v>
      </c>
      <c r="AK247" t="s">
        <v>538</v>
      </c>
      <c r="AL247" t="s">
        <v>1973</v>
      </c>
      <c r="AM247" t="s">
        <v>11</v>
      </c>
      <c r="AN247" t="s">
        <v>11</v>
      </c>
      <c r="AO247" t="s">
        <v>11</v>
      </c>
      <c r="AP247" t="s">
        <v>11</v>
      </c>
      <c r="AQ247" t="s">
        <v>11</v>
      </c>
      <c r="AR247" t="s">
        <v>11</v>
      </c>
      <c r="AS247" t="s">
        <v>11</v>
      </c>
      <c r="AT247" t="s">
        <v>11</v>
      </c>
      <c r="AU247" t="s">
        <v>11</v>
      </c>
      <c r="AV247" t="s">
        <v>11</v>
      </c>
      <c r="AW247" t="s">
        <v>11</v>
      </c>
      <c r="AX247" t="s">
        <v>1997</v>
      </c>
      <c r="AY247" t="s">
        <v>11</v>
      </c>
      <c r="AZ247" t="s">
        <v>11</v>
      </c>
      <c r="BA247" t="s">
        <v>11</v>
      </c>
      <c r="BB247" t="s">
        <v>11</v>
      </c>
      <c r="BC247" t="s">
        <v>11</v>
      </c>
      <c r="BD247" t="s">
        <v>11</v>
      </c>
      <c r="BE247" t="s">
        <v>11</v>
      </c>
      <c r="BF247" t="s">
        <v>11</v>
      </c>
      <c r="BG247" t="s">
        <v>11</v>
      </c>
      <c r="BH247" t="s">
        <v>1998</v>
      </c>
      <c r="BI247" t="s">
        <v>1994</v>
      </c>
      <c r="BJ247" t="s">
        <v>1999</v>
      </c>
      <c r="BK247" t="s">
        <v>2000</v>
      </c>
    </row>
    <row r="248" spans="1:63" x14ac:dyDescent="0.3">
      <c r="A248" t="s">
        <v>2001</v>
      </c>
      <c r="B248" t="s">
        <v>160</v>
      </c>
      <c r="C248" t="s">
        <v>1995</v>
      </c>
      <c r="D248" t="s">
        <v>2002</v>
      </c>
      <c r="E248" t="s">
        <v>1963</v>
      </c>
      <c r="F248">
        <v>261</v>
      </c>
      <c r="G248">
        <v>62.5</v>
      </c>
      <c r="H248">
        <v>19.600000000000001</v>
      </c>
      <c r="I248">
        <v>10</v>
      </c>
      <c r="K248">
        <v>6.9</v>
      </c>
      <c r="V248">
        <v>1</v>
      </c>
      <c r="AF248">
        <v>8.9300180000000005</v>
      </c>
      <c r="AI248" t="s">
        <v>0</v>
      </c>
      <c r="AJ248" t="s">
        <v>22</v>
      </c>
      <c r="AK248" t="s">
        <v>2003</v>
      </c>
      <c r="AL248" t="s">
        <v>1973</v>
      </c>
      <c r="AM248" t="s">
        <v>11</v>
      </c>
      <c r="AN248" t="s">
        <v>11</v>
      </c>
      <c r="AO248" t="s">
        <v>11</v>
      </c>
      <c r="AP248" t="s">
        <v>11</v>
      </c>
      <c r="AQ248" t="s">
        <v>11</v>
      </c>
      <c r="AR248" t="s">
        <v>11</v>
      </c>
      <c r="AS248" t="s">
        <v>11</v>
      </c>
      <c r="AT248" t="s">
        <v>11</v>
      </c>
      <c r="AU248" t="s">
        <v>11</v>
      </c>
      <c r="AV248" t="s">
        <v>11</v>
      </c>
      <c r="AW248" t="s">
        <v>11</v>
      </c>
      <c r="AX248" t="s">
        <v>2004</v>
      </c>
      <c r="AY248" t="s">
        <v>11</v>
      </c>
      <c r="AZ248" t="s">
        <v>11</v>
      </c>
      <c r="BA248" t="s">
        <v>11</v>
      </c>
      <c r="BB248" t="s">
        <v>11</v>
      </c>
      <c r="BC248" t="s">
        <v>11</v>
      </c>
      <c r="BD248" t="s">
        <v>11</v>
      </c>
      <c r="BE248" t="s">
        <v>11</v>
      </c>
      <c r="BF248" t="s">
        <v>11</v>
      </c>
      <c r="BG248" t="s">
        <v>11</v>
      </c>
      <c r="BH248" t="s">
        <v>2005</v>
      </c>
      <c r="BI248" t="s">
        <v>2001</v>
      </c>
      <c r="BJ248" t="s">
        <v>2006</v>
      </c>
      <c r="BK248" t="s">
        <v>2007</v>
      </c>
    </row>
    <row r="249" spans="1:63" x14ac:dyDescent="0.3">
      <c r="A249" t="s">
        <v>2008</v>
      </c>
      <c r="B249" t="s">
        <v>160</v>
      </c>
      <c r="C249" t="s">
        <v>1995</v>
      </c>
      <c r="D249" t="s">
        <v>2009</v>
      </c>
      <c r="E249" t="s">
        <v>1963</v>
      </c>
      <c r="F249">
        <v>262</v>
      </c>
      <c r="G249">
        <v>61.5</v>
      </c>
      <c r="H249">
        <v>19.8</v>
      </c>
      <c r="I249">
        <v>10.199999999999999</v>
      </c>
      <c r="K249">
        <v>6.7</v>
      </c>
      <c r="V249">
        <v>1.8</v>
      </c>
      <c r="AF249">
        <v>8.8443740000000002</v>
      </c>
      <c r="AI249" t="s">
        <v>0</v>
      </c>
      <c r="AJ249" t="s">
        <v>1964</v>
      </c>
      <c r="AK249" t="s">
        <v>175</v>
      </c>
      <c r="AL249" t="s">
        <v>1982</v>
      </c>
      <c r="AM249" t="s">
        <v>11</v>
      </c>
      <c r="AN249" t="s">
        <v>11</v>
      </c>
      <c r="AO249" t="s">
        <v>11</v>
      </c>
      <c r="AP249" t="s">
        <v>11</v>
      </c>
      <c r="AQ249" t="s">
        <v>11</v>
      </c>
      <c r="AR249" t="s">
        <v>11</v>
      </c>
      <c r="AS249" t="s">
        <v>11</v>
      </c>
      <c r="AT249" t="s">
        <v>11</v>
      </c>
      <c r="AU249" t="s">
        <v>11</v>
      </c>
      <c r="AV249" t="s">
        <v>11</v>
      </c>
      <c r="AW249" t="s">
        <v>11</v>
      </c>
      <c r="AX249" t="s">
        <v>186</v>
      </c>
      <c r="AY249" t="s">
        <v>11</v>
      </c>
      <c r="AZ249" t="s">
        <v>11</v>
      </c>
      <c r="BA249" t="s">
        <v>11</v>
      </c>
      <c r="BB249" t="s">
        <v>11</v>
      </c>
      <c r="BC249" t="s">
        <v>11</v>
      </c>
      <c r="BD249" t="s">
        <v>11</v>
      </c>
      <c r="BE249" t="s">
        <v>11</v>
      </c>
      <c r="BF249" t="s">
        <v>11</v>
      </c>
      <c r="BG249" t="s">
        <v>11</v>
      </c>
      <c r="BH249" t="s">
        <v>2010</v>
      </c>
      <c r="BI249" t="s">
        <v>2008</v>
      </c>
      <c r="BJ249" t="s">
        <v>2011</v>
      </c>
      <c r="BK249" t="s">
        <v>2012</v>
      </c>
    </row>
    <row r="250" spans="1:63" x14ac:dyDescent="0.3">
      <c r="A250" t="s">
        <v>2013</v>
      </c>
      <c r="B250" t="s">
        <v>160</v>
      </c>
      <c r="C250" t="s">
        <v>2014</v>
      </c>
      <c r="D250" t="s">
        <v>2015</v>
      </c>
      <c r="E250" t="s">
        <v>2016</v>
      </c>
      <c r="F250">
        <v>263</v>
      </c>
      <c r="G250">
        <v>71</v>
      </c>
      <c r="H250">
        <v>10</v>
      </c>
      <c r="I250">
        <v>7</v>
      </c>
      <c r="K250">
        <v>7</v>
      </c>
      <c r="L250">
        <v>4</v>
      </c>
      <c r="M250">
        <v>1</v>
      </c>
      <c r="AF250">
        <v>9.0930800000000005</v>
      </c>
      <c r="AG250">
        <v>9.4499999999999993</v>
      </c>
      <c r="AI250" t="s">
        <v>0</v>
      </c>
      <c r="AJ250" t="s">
        <v>1358</v>
      </c>
      <c r="AK250" t="s">
        <v>538</v>
      </c>
      <c r="AL250" t="s">
        <v>520</v>
      </c>
      <c r="AM250" t="s">
        <v>11</v>
      </c>
      <c r="AN250" t="s">
        <v>471</v>
      </c>
      <c r="AO250" t="s">
        <v>11</v>
      </c>
      <c r="AP250" t="s">
        <v>11</v>
      </c>
      <c r="AQ250" t="s">
        <v>1659</v>
      </c>
      <c r="AR250" t="s">
        <v>11</v>
      </c>
      <c r="AS250" t="s">
        <v>11</v>
      </c>
      <c r="AT250" t="s">
        <v>11</v>
      </c>
      <c r="AU250" t="s">
        <v>11</v>
      </c>
      <c r="AV250" t="s">
        <v>11</v>
      </c>
      <c r="AW250" t="s">
        <v>11</v>
      </c>
      <c r="AX250" t="s">
        <v>11</v>
      </c>
      <c r="AY250" t="s">
        <v>11</v>
      </c>
      <c r="AZ250" t="s">
        <v>11</v>
      </c>
      <c r="BA250" t="s">
        <v>11</v>
      </c>
      <c r="BB250" t="s">
        <v>11</v>
      </c>
      <c r="BC250" t="s">
        <v>11</v>
      </c>
      <c r="BD250" t="s">
        <v>11</v>
      </c>
      <c r="BE250" t="s">
        <v>11</v>
      </c>
      <c r="BF250" t="s">
        <v>11</v>
      </c>
      <c r="BG250" t="s">
        <v>11</v>
      </c>
      <c r="BH250" t="s">
        <v>2017</v>
      </c>
      <c r="BI250" t="s">
        <v>2013</v>
      </c>
      <c r="BJ250" t="s">
        <v>2018</v>
      </c>
      <c r="BK250" t="s">
        <v>2019</v>
      </c>
    </row>
    <row r="251" spans="1:63" x14ac:dyDescent="0.3">
      <c r="A251" t="s">
        <v>2020</v>
      </c>
      <c r="B251" t="s">
        <v>160</v>
      </c>
      <c r="C251" t="s">
        <v>2021</v>
      </c>
      <c r="D251" t="s">
        <v>2022</v>
      </c>
      <c r="E251" t="s">
        <v>2016</v>
      </c>
      <c r="F251">
        <v>264</v>
      </c>
      <c r="G251">
        <v>51</v>
      </c>
      <c r="H251">
        <v>30</v>
      </c>
      <c r="I251">
        <v>7</v>
      </c>
      <c r="K251">
        <v>7</v>
      </c>
      <c r="L251">
        <v>4</v>
      </c>
      <c r="M251">
        <v>1</v>
      </c>
      <c r="AF251">
        <v>9.0946800000000003</v>
      </c>
      <c r="AG251">
        <v>9.49</v>
      </c>
      <c r="AI251" t="s">
        <v>0</v>
      </c>
      <c r="AJ251" t="s">
        <v>1358</v>
      </c>
      <c r="AK251" t="s">
        <v>538</v>
      </c>
      <c r="AL251" t="s">
        <v>23</v>
      </c>
      <c r="AM251" t="s">
        <v>11</v>
      </c>
      <c r="AN251" t="s">
        <v>471</v>
      </c>
      <c r="AO251" t="s">
        <v>11</v>
      </c>
      <c r="AP251" t="s">
        <v>11</v>
      </c>
      <c r="AQ251" t="s">
        <v>1659</v>
      </c>
      <c r="AR251" t="s">
        <v>11</v>
      </c>
      <c r="AS251" t="s">
        <v>11</v>
      </c>
      <c r="AT251" t="s">
        <v>11</v>
      </c>
      <c r="AU251" t="s">
        <v>11</v>
      </c>
      <c r="AV251" t="s">
        <v>11</v>
      </c>
      <c r="AW251" t="s">
        <v>11</v>
      </c>
      <c r="AX251" t="s">
        <v>11</v>
      </c>
      <c r="AY251" t="s">
        <v>11</v>
      </c>
      <c r="AZ251" t="s">
        <v>11</v>
      </c>
      <c r="BA251" t="s">
        <v>11</v>
      </c>
      <c r="BB251" t="s">
        <v>11</v>
      </c>
      <c r="BC251" t="s">
        <v>11</v>
      </c>
      <c r="BD251" t="s">
        <v>11</v>
      </c>
      <c r="BE251" t="s">
        <v>11</v>
      </c>
      <c r="BF251" t="s">
        <v>11</v>
      </c>
      <c r="BG251" t="s">
        <v>11</v>
      </c>
      <c r="BH251" t="s">
        <v>2023</v>
      </c>
      <c r="BI251" t="s">
        <v>2020</v>
      </c>
      <c r="BJ251" t="s">
        <v>2024</v>
      </c>
      <c r="BK251" t="s">
        <v>2025</v>
      </c>
    </row>
    <row r="252" spans="1:63" x14ac:dyDescent="0.3">
      <c r="A252" t="s">
        <v>2026</v>
      </c>
      <c r="B252" t="s">
        <v>5</v>
      </c>
      <c r="C252" t="s">
        <v>2027</v>
      </c>
      <c r="D252" t="s">
        <v>2028</v>
      </c>
      <c r="E252" t="s">
        <v>2016</v>
      </c>
      <c r="F252">
        <v>265</v>
      </c>
      <c r="G252">
        <v>72</v>
      </c>
      <c r="H252">
        <v>10</v>
      </c>
      <c r="I252">
        <v>7</v>
      </c>
      <c r="L252">
        <v>4</v>
      </c>
      <c r="N252">
        <v>2</v>
      </c>
      <c r="P252">
        <v>5</v>
      </c>
      <c r="AF252">
        <v>8.3534800000000011</v>
      </c>
      <c r="AG252">
        <v>8.4499999999999993</v>
      </c>
      <c r="AI252" t="s">
        <v>0</v>
      </c>
      <c r="AJ252" t="s">
        <v>1358</v>
      </c>
      <c r="AK252" t="s">
        <v>11</v>
      </c>
      <c r="AL252" t="s">
        <v>520</v>
      </c>
      <c r="AM252" t="s">
        <v>11</v>
      </c>
      <c r="AN252" t="s">
        <v>11</v>
      </c>
      <c r="AO252" t="s">
        <v>790</v>
      </c>
      <c r="AP252" t="s">
        <v>11</v>
      </c>
      <c r="AQ252" t="s">
        <v>1659</v>
      </c>
      <c r="AR252" t="s">
        <v>26</v>
      </c>
      <c r="AS252" t="s">
        <v>11</v>
      </c>
      <c r="AT252" t="s">
        <v>11</v>
      </c>
      <c r="AU252" t="s">
        <v>11</v>
      </c>
      <c r="AV252" t="s">
        <v>11</v>
      </c>
      <c r="AW252" t="s">
        <v>11</v>
      </c>
      <c r="AX252" t="s">
        <v>11</v>
      </c>
      <c r="AY252" t="s">
        <v>11</v>
      </c>
      <c r="AZ252" t="s">
        <v>11</v>
      </c>
      <c r="BA252" t="s">
        <v>11</v>
      </c>
      <c r="BB252" t="s">
        <v>11</v>
      </c>
      <c r="BC252" t="s">
        <v>11</v>
      </c>
      <c r="BD252" t="s">
        <v>11</v>
      </c>
      <c r="BE252" t="s">
        <v>11</v>
      </c>
      <c r="BF252" t="s">
        <v>11</v>
      </c>
      <c r="BG252" t="s">
        <v>11</v>
      </c>
      <c r="BH252" t="s">
        <v>2029</v>
      </c>
      <c r="BI252" t="s">
        <v>2026</v>
      </c>
      <c r="BJ252" t="s">
        <v>2030</v>
      </c>
      <c r="BK252" t="s">
        <v>2031</v>
      </c>
    </row>
    <row r="253" spans="1:63" x14ac:dyDescent="0.3">
      <c r="A253" t="s">
        <v>2032</v>
      </c>
      <c r="B253" t="s">
        <v>5</v>
      </c>
      <c r="C253" t="s">
        <v>2033</v>
      </c>
      <c r="D253" t="s">
        <v>2034</v>
      </c>
      <c r="E253" t="s">
        <v>2016</v>
      </c>
      <c r="F253">
        <v>266</v>
      </c>
      <c r="G253">
        <v>52</v>
      </c>
      <c r="H253">
        <v>30</v>
      </c>
      <c r="I253">
        <v>7</v>
      </c>
      <c r="L253">
        <v>4</v>
      </c>
      <c r="N253">
        <v>2</v>
      </c>
      <c r="P253">
        <v>5</v>
      </c>
      <c r="AF253">
        <v>8.355080000000001</v>
      </c>
      <c r="AG253">
        <v>8.42</v>
      </c>
      <c r="AI253" t="s">
        <v>0</v>
      </c>
      <c r="AJ253" t="s">
        <v>1358</v>
      </c>
      <c r="AK253" t="s">
        <v>11</v>
      </c>
      <c r="AL253" t="s">
        <v>23</v>
      </c>
      <c r="AM253" t="s">
        <v>11</v>
      </c>
      <c r="AN253" t="s">
        <v>11</v>
      </c>
      <c r="AO253" t="s">
        <v>790</v>
      </c>
      <c r="AP253" t="s">
        <v>11</v>
      </c>
      <c r="AQ253" t="s">
        <v>1659</v>
      </c>
      <c r="AR253" t="s">
        <v>26</v>
      </c>
      <c r="AS253" t="s">
        <v>11</v>
      </c>
      <c r="AT253" t="s">
        <v>11</v>
      </c>
      <c r="AU253" t="s">
        <v>11</v>
      </c>
      <c r="AV253" t="s">
        <v>11</v>
      </c>
      <c r="AW253" t="s">
        <v>11</v>
      </c>
      <c r="AX253" t="s">
        <v>11</v>
      </c>
      <c r="AY253" t="s">
        <v>11</v>
      </c>
      <c r="AZ253" t="s">
        <v>11</v>
      </c>
      <c r="BA253" t="s">
        <v>11</v>
      </c>
      <c r="BB253" t="s">
        <v>11</v>
      </c>
      <c r="BC253" t="s">
        <v>11</v>
      </c>
      <c r="BD253" t="s">
        <v>11</v>
      </c>
      <c r="BE253" t="s">
        <v>11</v>
      </c>
      <c r="BF253" t="s">
        <v>11</v>
      </c>
      <c r="BG253" t="s">
        <v>11</v>
      </c>
      <c r="BH253" t="s">
        <v>2035</v>
      </c>
      <c r="BI253" t="s">
        <v>2032</v>
      </c>
      <c r="BJ253" t="s">
        <v>2036</v>
      </c>
      <c r="BK253" t="s">
        <v>2037</v>
      </c>
    </row>
    <row r="254" spans="1:63" x14ac:dyDescent="0.3">
      <c r="A254" t="s">
        <v>2038</v>
      </c>
      <c r="B254" t="s">
        <v>5</v>
      </c>
      <c r="C254" t="s">
        <v>2039</v>
      </c>
      <c r="D254" t="s">
        <v>2040</v>
      </c>
      <c r="E254" t="s">
        <v>2016</v>
      </c>
      <c r="F254">
        <v>267</v>
      </c>
      <c r="G254">
        <v>72</v>
      </c>
      <c r="H254">
        <v>10</v>
      </c>
      <c r="I254">
        <v>7</v>
      </c>
      <c r="L254">
        <v>4</v>
      </c>
      <c r="M254">
        <v>1</v>
      </c>
      <c r="N254">
        <v>1</v>
      </c>
      <c r="P254">
        <v>5</v>
      </c>
      <c r="AF254">
        <v>8.4342800000000011</v>
      </c>
      <c r="AG254">
        <v>8.6199999999999992</v>
      </c>
      <c r="AI254" t="s">
        <v>0</v>
      </c>
      <c r="AJ254" t="s">
        <v>1358</v>
      </c>
      <c r="AK254" t="s">
        <v>11</v>
      </c>
      <c r="AL254" t="s">
        <v>520</v>
      </c>
      <c r="AM254" t="s">
        <v>11</v>
      </c>
      <c r="AN254" t="s">
        <v>471</v>
      </c>
      <c r="AO254" t="s">
        <v>75</v>
      </c>
      <c r="AP254" t="s">
        <v>11</v>
      </c>
      <c r="AQ254" t="s">
        <v>1659</v>
      </c>
      <c r="AR254" t="s">
        <v>26</v>
      </c>
      <c r="AS254" t="s">
        <v>11</v>
      </c>
      <c r="AT254" t="s">
        <v>11</v>
      </c>
      <c r="AU254" t="s">
        <v>11</v>
      </c>
      <c r="AV254" t="s">
        <v>11</v>
      </c>
      <c r="AW254" t="s">
        <v>11</v>
      </c>
      <c r="AX254" t="s">
        <v>11</v>
      </c>
      <c r="AY254" t="s">
        <v>11</v>
      </c>
      <c r="AZ254" t="s">
        <v>11</v>
      </c>
      <c r="BA254" t="s">
        <v>11</v>
      </c>
      <c r="BB254" t="s">
        <v>11</v>
      </c>
      <c r="BC254" t="s">
        <v>11</v>
      </c>
      <c r="BD254" t="s">
        <v>11</v>
      </c>
      <c r="BE254" t="s">
        <v>11</v>
      </c>
      <c r="BF254" t="s">
        <v>11</v>
      </c>
      <c r="BG254" t="s">
        <v>11</v>
      </c>
      <c r="BH254" t="s">
        <v>2041</v>
      </c>
      <c r="BI254" t="s">
        <v>2038</v>
      </c>
      <c r="BJ254" t="s">
        <v>2042</v>
      </c>
      <c r="BK254" t="s">
        <v>2043</v>
      </c>
    </row>
    <row r="255" spans="1:63" x14ac:dyDescent="0.3">
      <c r="A255" t="s">
        <v>2044</v>
      </c>
      <c r="B255" t="s">
        <v>5</v>
      </c>
      <c r="C255" t="s">
        <v>2045</v>
      </c>
      <c r="D255" t="s">
        <v>2046</v>
      </c>
      <c r="E255" t="s">
        <v>2016</v>
      </c>
      <c r="F255">
        <v>268</v>
      </c>
      <c r="G255">
        <v>52</v>
      </c>
      <c r="H255">
        <v>30</v>
      </c>
      <c r="I255">
        <v>7</v>
      </c>
      <c r="L255">
        <v>4</v>
      </c>
      <c r="M255">
        <v>1</v>
      </c>
      <c r="N255">
        <v>1</v>
      </c>
      <c r="P255">
        <v>5</v>
      </c>
      <c r="AF255">
        <v>8.4358800000000009</v>
      </c>
      <c r="AG255">
        <v>8.57</v>
      </c>
      <c r="AI255" t="s">
        <v>0</v>
      </c>
      <c r="AJ255" t="s">
        <v>1358</v>
      </c>
      <c r="AK255" t="s">
        <v>11</v>
      </c>
      <c r="AL255" t="s">
        <v>23</v>
      </c>
      <c r="AM255" t="s">
        <v>11</v>
      </c>
      <c r="AN255" t="s">
        <v>471</v>
      </c>
      <c r="AO255" t="s">
        <v>75</v>
      </c>
      <c r="AP255" t="s">
        <v>11</v>
      </c>
      <c r="AQ255" t="s">
        <v>1659</v>
      </c>
      <c r="AR255" t="s">
        <v>26</v>
      </c>
      <c r="AS255" t="s">
        <v>11</v>
      </c>
      <c r="AT255" t="s">
        <v>11</v>
      </c>
      <c r="AU255" t="s">
        <v>11</v>
      </c>
      <c r="AV255" t="s">
        <v>11</v>
      </c>
      <c r="AW255" t="s">
        <v>11</v>
      </c>
      <c r="AX255" t="s">
        <v>11</v>
      </c>
      <c r="AY255" t="s">
        <v>11</v>
      </c>
      <c r="AZ255" t="s">
        <v>11</v>
      </c>
      <c r="BA255" t="s">
        <v>11</v>
      </c>
      <c r="BB255" t="s">
        <v>11</v>
      </c>
      <c r="BC255" t="s">
        <v>11</v>
      </c>
      <c r="BD255" t="s">
        <v>11</v>
      </c>
      <c r="BE255" t="s">
        <v>11</v>
      </c>
      <c r="BF255" t="s">
        <v>11</v>
      </c>
      <c r="BG255" t="s">
        <v>11</v>
      </c>
      <c r="BH255" t="s">
        <v>2047</v>
      </c>
      <c r="BI255" t="s">
        <v>2044</v>
      </c>
      <c r="BJ255" t="s">
        <v>2048</v>
      </c>
      <c r="BK255" t="s">
        <v>2049</v>
      </c>
    </row>
    <row r="256" spans="1:63" x14ac:dyDescent="0.3">
      <c r="A256" t="s">
        <v>2050</v>
      </c>
      <c r="B256" t="s">
        <v>31</v>
      </c>
      <c r="C256" t="s">
        <v>2051</v>
      </c>
      <c r="D256" t="s">
        <v>2052</v>
      </c>
      <c r="E256" t="s">
        <v>2016</v>
      </c>
      <c r="F256">
        <v>269</v>
      </c>
      <c r="G256">
        <v>72</v>
      </c>
      <c r="H256">
        <v>10</v>
      </c>
      <c r="I256">
        <v>7</v>
      </c>
      <c r="K256">
        <v>2</v>
      </c>
      <c r="L256">
        <v>4</v>
      </c>
      <c r="M256">
        <v>1</v>
      </c>
      <c r="N256">
        <v>1</v>
      </c>
      <c r="P256">
        <v>3</v>
      </c>
      <c r="AF256">
        <v>8.6136800000000022</v>
      </c>
      <c r="AG256">
        <v>8.85</v>
      </c>
      <c r="AI256" t="s">
        <v>0</v>
      </c>
      <c r="AJ256" t="s">
        <v>1358</v>
      </c>
      <c r="AK256" t="s">
        <v>62</v>
      </c>
      <c r="AL256" t="s">
        <v>520</v>
      </c>
      <c r="AM256" t="s">
        <v>11</v>
      </c>
      <c r="AN256" t="s">
        <v>471</v>
      </c>
      <c r="AO256" t="s">
        <v>75</v>
      </c>
      <c r="AP256" t="s">
        <v>11</v>
      </c>
      <c r="AQ256" t="s">
        <v>1659</v>
      </c>
      <c r="AR256" t="s">
        <v>63</v>
      </c>
      <c r="AS256" t="s">
        <v>11</v>
      </c>
      <c r="AT256" t="s">
        <v>11</v>
      </c>
      <c r="AU256" t="s">
        <v>11</v>
      </c>
      <c r="AV256" t="s">
        <v>11</v>
      </c>
      <c r="AW256" t="s">
        <v>11</v>
      </c>
      <c r="AX256" t="s">
        <v>11</v>
      </c>
      <c r="AY256" t="s">
        <v>11</v>
      </c>
      <c r="AZ256" t="s">
        <v>11</v>
      </c>
      <c r="BA256" t="s">
        <v>11</v>
      </c>
      <c r="BB256" t="s">
        <v>11</v>
      </c>
      <c r="BC256" t="s">
        <v>11</v>
      </c>
      <c r="BD256" t="s">
        <v>11</v>
      </c>
      <c r="BE256" t="s">
        <v>11</v>
      </c>
      <c r="BF256" t="s">
        <v>11</v>
      </c>
      <c r="BG256" t="s">
        <v>11</v>
      </c>
      <c r="BH256" t="s">
        <v>2053</v>
      </c>
      <c r="BI256" t="s">
        <v>2050</v>
      </c>
      <c r="BJ256" t="s">
        <v>2054</v>
      </c>
      <c r="BK256" t="s">
        <v>2055</v>
      </c>
    </row>
    <row r="257" spans="1:63" x14ac:dyDescent="0.3">
      <c r="A257" t="s">
        <v>2056</v>
      </c>
      <c r="B257" t="s">
        <v>31</v>
      </c>
      <c r="C257" t="s">
        <v>2057</v>
      </c>
      <c r="D257" t="s">
        <v>2058</v>
      </c>
      <c r="E257" t="s">
        <v>2016</v>
      </c>
      <c r="F257">
        <v>270</v>
      </c>
      <c r="G257">
        <v>52</v>
      </c>
      <c r="H257">
        <v>30</v>
      </c>
      <c r="I257">
        <v>7</v>
      </c>
      <c r="K257">
        <v>2</v>
      </c>
      <c r="L257">
        <v>4</v>
      </c>
      <c r="M257">
        <v>1</v>
      </c>
      <c r="N257">
        <v>1</v>
      </c>
      <c r="P257">
        <v>3</v>
      </c>
      <c r="AF257">
        <v>8.615280000000002</v>
      </c>
      <c r="AG257">
        <v>8.89</v>
      </c>
      <c r="AI257" t="s">
        <v>0</v>
      </c>
      <c r="AJ257" t="s">
        <v>1358</v>
      </c>
      <c r="AK257" t="s">
        <v>62</v>
      </c>
      <c r="AL257" t="s">
        <v>23</v>
      </c>
      <c r="AM257" t="s">
        <v>11</v>
      </c>
      <c r="AN257" t="s">
        <v>471</v>
      </c>
      <c r="AO257" t="s">
        <v>75</v>
      </c>
      <c r="AP257" t="s">
        <v>11</v>
      </c>
      <c r="AQ257" t="s">
        <v>1659</v>
      </c>
      <c r="AR257" t="s">
        <v>63</v>
      </c>
      <c r="AS257" t="s">
        <v>11</v>
      </c>
      <c r="AT257" t="s">
        <v>11</v>
      </c>
      <c r="AU257" t="s">
        <v>11</v>
      </c>
      <c r="AV257" t="s">
        <v>11</v>
      </c>
      <c r="AW257" t="s">
        <v>11</v>
      </c>
      <c r="AX257" t="s">
        <v>11</v>
      </c>
      <c r="AY257" t="s">
        <v>11</v>
      </c>
      <c r="AZ257" t="s">
        <v>11</v>
      </c>
      <c r="BA257" t="s">
        <v>11</v>
      </c>
      <c r="BB257" t="s">
        <v>11</v>
      </c>
      <c r="BC257" t="s">
        <v>11</v>
      </c>
      <c r="BD257" t="s">
        <v>11</v>
      </c>
      <c r="BE257" t="s">
        <v>11</v>
      </c>
      <c r="BF257" t="s">
        <v>11</v>
      </c>
      <c r="BG257" t="s">
        <v>11</v>
      </c>
      <c r="BH257" t="s">
        <v>2059</v>
      </c>
      <c r="BI257" t="s">
        <v>2056</v>
      </c>
      <c r="BJ257" t="s">
        <v>2060</v>
      </c>
      <c r="BK257" t="s">
        <v>2061</v>
      </c>
    </row>
    <row r="258" spans="1:63" x14ac:dyDescent="0.3">
      <c r="A258" t="s">
        <v>2062</v>
      </c>
      <c r="B258" t="s">
        <v>514</v>
      </c>
      <c r="C258" t="s">
        <v>2063</v>
      </c>
      <c r="D258" t="s">
        <v>2064</v>
      </c>
      <c r="E258" t="s">
        <v>2065</v>
      </c>
      <c r="F258">
        <v>271</v>
      </c>
      <c r="G258">
        <v>87</v>
      </c>
      <c r="L258">
        <v>12</v>
      </c>
      <c r="U258">
        <v>1</v>
      </c>
      <c r="AF258">
        <v>8.49404</v>
      </c>
      <c r="AG258">
        <v>8.41</v>
      </c>
      <c r="AI258" t="s">
        <v>0</v>
      </c>
      <c r="AJ258" t="s">
        <v>11</v>
      </c>
      <c r="AK258" t="s">
        <v>11</v>
      </c>
      <c r="AL258" t="s">
        <v>11</v>
      </c>
      <c r="AM258" t="s">
        <v>11</v>
      </c>
      <c r="AN258" t="s">
        <v>11</v>
      </c>
      <c r="AO258" t="s">
        <v>11</v>
      </c>
      <c r="AP258" t="s">
        <v>11</v>
      </c>
      <c r="AQ258" t="s">
        <v>1677</v>
      </c>
      <c r="AR258" t="s">
        <v>11</v>
      </c>
      <c r="AS258" t="s">
        <v>11</v>
      </c>
      <c r="AT258" t="s">
        <v>11</v>
      </c>
      <c r="AU258" t="s">
        <v>11</v>
      </c>
      <c r="AV258" t="s">
        <v>11</v>
      </c>
      <c r="AW258" t="s">
        <v>2066</v>
      </c>
      <c r="AX258" t="s">
        <v>11</v>
      </c>
      <c r="AY258" t="s">
        <v>11</v>
      </c>
      <c r="AZ258" t="s">
        <v>11</v>
      </c>
      <c r="BA258" t="s">
        <v>11</v>
      </c>
      <c r="BB258" t="s">
        <v>11</v>
      </c>
      <c r="BC258" t="s">
        <v>11</v>
      </c>
      <c r="BD258" t="s">
        <v>11</v>
      </c>
      <c r="BE258" t="s">
        <v>11</v>
      </c>
      <c r="BF258" t="s">
        <v>11</v>
      </c>
      <c r="BG258" t="s">
        <v>11</v>
      </c>
      <c r="BH258" t="s">
        <v>2067</v>
      </c>
      <c r="BI258" t="s">
        <v>2062</v>
      </c>
      <c r="BJ258" t="s">
        <v>2068</v>
      </c>
      <c r="BK258" t="s">
        <v>2069</v>
      </c>
    </row>
    <row r="259" spans="1:63" x14ac:dyDescent="0.3">
      <c r="A259" t="s">
        <v>2070</v>
      </c>
      <c r="B259" t="s">
        <v>514</v>
      </c>
      <c r="C259" t="s">
        <v>2071</v>
      </c>
      <c r="D259" t="s">
        <v>2072</v>
      </c>
      <c r="E259" t="s">
        <v>2065</v>
      </c>
      <c r="F259">
        <v>272</v>
      </c>
      <c r="G259">
        <v>85</v>
      </c>
      <c r="L259">
        <v>12</v>
      </c>
      <c r="U259">
        <v>3</v>
      </c>
      <c r="AF259">
        <v>8.73644</v>
      </c>
      <c r="AG259">
        <v>8.59</v>
      </c>
      <c r="AI259" t="s">
        <v>0</v>
      </c>
      <c r="AJ259" t="s">
        <v>11</v>
      </c>
      <c r="AK259" t="s">
        <v>11</v>
      </c>
      <c r="AL259" t="s">
        <v>11</v>
      </c>
      <c r="AM259" t="s">
        <v>11</v>
      </c>
      <c r="AN259" t="s">
        <v>11</v>
      </c>
      <c r="AO259" t="s">
        <v>11</v>
      </c>
      <c r="AP259" t="s">
        <v>11</v>
      </c>
      <c r="AQ259" t="s">
        <v>1677</v>
      </c>
      <c r="AR259" t="s">
        <v>11</v>
      </c>
      <c r="AS259" t="s">
        <v>11</v>
      </c>
      <c r="AT259" t="s">
        <v>11</v>
      </c>
      <c r="AU259" t="s">
        <v>11</v>
      </c>
      <c r="AV259" t="s">
        <v>11</v>
      </c>
      <c r="AW259" t="s">
        <v>2073</v>
      </c>
      <c r="AX259" t="s">
        <v>11</v>
      </c>
      <c r="AY259" t="s">
        <v>11</v>
      </c>
      <c r="AZ259" t="s">
        <v>11</v>
      </c>
      <c r="BA259" t="s">
        <v>11</v>
      </c>
      <c r="BB259" t="s">
        <v>11</v>
      </c>
      <c r="BC259" t="s">
        <v>11</v>
      </c>
      <c r="BD259" t="s">
        <v>11</v>
      </c>
      <c r="BE259" t="s">
        <v>11</v>
      </c>
      <c r="BF259" t="s">
        <v>11</v>
      </c>
      <c r="BG259" t="s">
        <v>11</v>
      </c>
      <c r="BH259" t="s">
        <v>2074</v>
      </c>
      <c r="BI259" t="s">
        <v>2070</v>
      </c>
      <c r="BJ259" t="s">
        <v>2075</v>
      </c>
      <c r="BK259" t="s">
        <v>2076</v>
      </c>
    </row>
    <row r="260" spans="1:63" x14ac:dyDescent="0.3">
      <c r="A260" t="s">
        <v>2077</v>
      </c>
      <c r="B260" t="s">
        <v>514</v>
      </c>
      <c r="C260" t="s">
        <v>2078</v>
      </c>
      <c r="D260" t="s">
        <v>2079</v>
      </c>
      <c r="E260" t="s">
        <v>2065</v>
      </c>
      <c r="F260">
        <v>273</v>
      </c>
      <c r="G260">
        <v>83</v>
      </c>
      <c r="L260">
        <v>12</v>
      </c>
      <c r="U260">
        <v>5</v>
      </c>
      <c r="AF260">
        <v>8.9788399999999999</v>
      </c>
      <c r="AG260">
        <v>8.92</v>
      </c>
      <c r="AI260" t="s">
        <v>0</v>
      </c>
      <c r="AJ260" t="s">
        <v>11</v>
      </c>
      <c r="AK260" t="s">
        <v>11</v>
      </c>
      <c r="AL260" t="s">
        <v>11</v>
      </c>
      <c r="AM260" t="s">
        <v>11</v>
      </c>
      <c r="AN260" t="s">
        <v>11</v>
      </c>
      <c r="AO260" t="s">
        <v>11</v>
      </c>
      <c r="AP260" t="s">
        <v>11</v>
      </c>
      <c r="AQ260" t="s">
        <v>1677</v>
      </c>
      <c r="AR260" t="s">
        <v>11</v>
      </c>
      <c r="AS260" t="s">
        <v>11</v>
      </c>
      <c r="AT260" t="s">
        <v>11</v>
      </c>
      <c r="AU260" t="s">
        <v>11</v>
      </c>
      <c r="AV260" t="s">
        <v>11</v>
      </c>
      <c r="AW260" t="s">
        <v>2080</v>
      </c>
      <c r="AX260" t="s">
        <v>11</v>
      </c>
      <c r="AY260" t="s">
        <v>11</v>
      </c>
      <c r="AZ260" t="s">
        <v>11</v>
      </c>
      <c r="BA260" t="s">
        <v>11</v>
      </c>
      <c r="BB260" t="s">
        <v>11</v>
      </c>
      <c r="BC260" t="s">
        <v>11</v>
      </c>
      <c r="BD260" t="s">
        <v>11</v>
      </c>
      <c r="BE260" t="s">
        <v>11</v>
      </c>
      <c r="BF260" t="s">
        <v>11</v>
      </c>
      <c r="BG260" t="s">
        <v>11</v>
      </c>
      <c r="BH260" t="s">
        <v>2081</v>
      </c>
      <c r="BI260" t="s">
        <v>2077</v>
      </c>
      <c r="BJ260" t="s">
        <v>2082</v>
      </c>
      <c r="BK260" t="s">
        <v>2083</v>
      </c>
    </row>
    <row r="261" spans="1:63" x14ac:dyDescent="0.3">
      <c r="A261" t="s">
        <v>2084</v>
      </c>
      <c r="B261" t="s">
        <v>160</v>
      </c>
      <c r="C261" t="s">
        <v>2085</v>
      </c>
      <c r="D261" t="s">
        <v>2086</v>
      </c>
      <c r="E261" t="s">
        <v>2087</v>
      </c>
      <c r="F261">
        <v>274</v>
      </c>
      <c r="G261">
        <v>60.34</v>
      </c>
      <c r="H261">
        <v>19.8</v>
      </c>
      <c r="I261">
        <v>9.35</v>
      </c>
      <c r="K261">
        <v>5.39</v>
      </c>
      <c r="L261">
        <v>4.26</v>
      </c>
      <c r="M261">
        <v>0.86</v>
      </c>
      <c r="AF261">
        <v>8.7592572000000022</v>
      </c>
      <c r="AG261">
        <v>9.2100000000000009</v>
      </c>
      <c r="AI261" t="s">
        <v>0</v>
      </c>
      <c r="AJ261" t="s">
        <v>108</v>
      </c>
      <c r="AK261" t="s">
        <v>2088</v>
      </c>
      <c r="AL261" t="s">
        <v>1982</v>
      </c>
      <c r="AM261" t="s">
        <v>11</v>
      </c>
      <c r="AN261" t="s">
        <v>1266</v>
      </c>
      <c r="AO261" t="s">
        <v>11</v>
      </c>
      <c r="AP261" t="s">
        <v>11</v>
      </c>
      <c r="AQ261" t="s">
        <v>2089</v>
      </c>
      <c r="AR261" t="s">
        <v>11</v>
      </c>
      <c r="AS261" t="s">
        <v>11</v>
      </c>
      <c r="AT261" t="s">
        <v>11</v>
      </c>
      <c r="AU261" t="s">
        <v>11</v>
      </c>
      <c r="AV261" t="s">
        <v>11</v>
      </c>
      <c r="AW261" t="s">
        <v>11</v>
      </c>
      <c r="AX261" t="s">
        <v>11</v>
      </c>
      <c r="AY261" t="s">
        <v>11</v>
      </c>
      <c r="AZ261" t="s">
        <v>11</v>
      </c>
      <c r="BA261" t="s">
        <v>11</v>
      </c>
      <c r="BB261" t="s">
        <v>11</v>
      </c>
      <c r="BC261" t="s">
        <v>11</v>
      </c>
      <c r="BD261" t="s">
        <v>11</v>
      </c>
      <c r="BE261" t="s">
        <v>11</v>
      </c>
      <c r="BF261" t="s">
        <v>11</v>
      </c>
      <c r="BG261" t="s">
        <v>11</v>
      </c>
      <c r="BH261" t="s">
        <v>2090</v>
      </c>
      <c r="BI261" t="s">
        <v>2084</v>
      </c>
      <c r="BJ261" t="s">
        <v>2091</v>
      </c>
      <c r="BK261" t="s">
        <v>2092</v>
      </c>
    </row>
    <row r="262" spans="1:63" x14ac:dyDescent="0.3">
      <c r="A262" t="s">
        <v>2093</v>
      </c>
      <c r="B262" t="s">
        <v>160</v>
      </c>
      <c r="C262" t="s">
        <v>2094</v>
      </c>
      <c r="D262" t="s">
        <v>2095</v>
      </c>
      <c r="E262" t="s">
        <v>2087</v>
      </c>
      <c r="F262">
        <v>275</v>
      </c>
      <c r="G262">
        <v>59.87</v>
      </c>
      <c r="H262">
        <v>20.16</v>
      </c>
      <c r="I262">
        <v>11.18</v>
      </c>
      <c r="K262">
        <v>3.73</v>
      </c>
      <c r="L262">
        <v>4.22</v>
      </c>
      <c r="M262">
        <v>0.84</v>
      </c>
      <c r="AF262">
        <v>8.4742232000000008</v>
      </c>
      <c r="AG262">
        <v>8.7899999999999991</v>
      </c>
      <c r="AI262" t="s">
        <v>0</v>
      </c>
      <c r="AJ262" t="s">
        <v>1744</v>
      </c>
      <c r="AK262" t="s">
        <v>2096</v>
      </c>
      <c r="AL262" t="s">
        <v>2097</v>
      </c>
      <c r="AM262" t="s">
        <v>11</v>
      </c>
      <c r="AN262" t="s">
        <v>2098</v>
      </c>
      <c r="AO262" t="s">
        <v>11</v>
      </c>
      <c r="AP262" t="s">
        <v>11</v>
      </c>
      <c r="AQ262" t="s">
        <v>2099</v>
      </c>
      <c r="AR262" t="s">
        <v>11</v>
      </c>
      <c r="AS262" t="s">
        <v>11</v>
      </c>
      <c r="AT262" t="s">
        <v>11</v>
      </c>
      <c r="AU262" t="s">
        <v>11</v>
      </c>
      <c r="AV262" t="s">
        <v>11</v>
      </c>
      <c r="AW262" t="s">
        <v>11</v>
      </c>
      <c r="AX262" t="s">
        <v>11</v>
      </c>
      <c r="AY262" t="s">
        <v>11</v>
      </c>
      <c r="AZ262" t="s">
        <v>11</v>
      </c>
      <c r="BA262" t="s">
        <v>11</v>
      </c>
      <c r="BB262" t="s">
        <v>11</v>
      </c>
      <c r="BC262" t="s">
        <v>11</v>
      </c>
      <c r="BD262" t="s">
        <v>11</v>
      </c>
      <c r="BE262" t="s">
        <v>11</v>
      </c>
      <c r="BF262" t="s">
        <v>11</v>
      </c>
      <c r="BG262" t="s">
        <v>11</v>
      </c>
      <c r="BH262" t="s">
        <v>2100</v>
      </c>
      <c r="BI262" t="s">
        <v>2093</v>
      </c>
      <c r="BJ262" t="s">
        <v>2101</v>
      </c>
      <c r="BK262" t="s">
        <v>2102</v>
      </c>
    </row>
    <row r="263" spans="1:63" x14ac:dyDescent="0.3">
      <c r="A263" t="s">
        <v>2103</v>
      </c>
      <c r="B263" t="s">
        <v>160</v>
      </c>
      <c r="C263" t="s">
        <v>2104</v>
      </c>
      <c r="D263" t="s">
        <v>2105</v>
      </c>
      <c r="E263" t="s">
        <v>2087</v>
      </c>
      <c r="F263">
        <v>276</v>
      </c>
      <c r="G263">
        <v>50.75</v>
      </c>
      <c r="H263">
        <v>29.46</v>
      </c>
      <c r="I263">
        <v>11.15</v>
      </c>
      <c r="K263">
        <v>3.61</v>
      </c>
      <c r="L263">
        <v>4.18</v>
      </c>
      <c r="M263">
        <v>0.85</v>
      </c>
      <c r="AF263">
        <v>8.4669393999999993</v>
      </c>
      <c r="AG263">
        <v>8.76</v>
      </c>
      <c r="AI263" t="s">
        <v>0</v>
      </c>
      <c r="AJ263" t="s">
        <v>1744</v>
      </c>
      <c r="AK263" t="s">
        <v>2106</v>
      </c>
      <c r="AL263" t="s">
        <v>12</v>
      </c>
      <c r="AM263" t="s">
        <v>11</v>
      </c>
      <c r="AN263" t="s">
        <v>1266</v>
      </c>
      <c r="AO263" t="s">
        <v>11</v>
      </c>
      <c r="AP263" t="s">
        <v>11</v>
      </c>
      <c r="AQ263" t="s">
        <v>2099</v>
      </c>
      <c r="AR263" t="s">
        <v>11</v>
      </c>
      <c r="AS263" t="s">
        <v>11</v>
      </c>
      <c r="AT263" t="s">
        <v>11</v>
      </c>
      <c r="AU263" t="s">
        <v>11</v>
      </c>
      <c r="AV263" t="s">
        <v>11</v>
      </c>
      <c r="AW263" t="s">
        <v>11</v>
      </c>
      <c r="AX263" t="s">
        <v>11</v>
      </c>
      <c r="AY263" t="s">
        <v>11</v>
      </c>
      <c r="AZ263" t="s">
        <v>11</v>
      </c>
      <c r="BA263" t="s">
        <v>11</v>
      </c>
      <c r="BB263" t="s">
        <v>11</v>
      </c>
      <c r="BC263" t="s">
        <v>11</v>
      </c>
      <c r="BD263" t="s">
        <v>11</v>
      </c>
      <c r="BE263" t="s">
        <v>11</v>
      </c>
      <c r="BF263" t="s">
        <v>11</v>
      </c>
      <c r="BG263" t="s">
        <v>11</v>
      </c>
      <c r="BH263" t="s">
        <v>2107</v>
      </c>
      <c r="BI263" t="s">
        <v>2103</v>
      </c>
      <c r="BJ263" t="s">
        <v>2108</v>
      </c>
      <c r="BK263" t="s">
        <v>2109</v>
      </c>
    </row>
    <row r="264" spans="1:63" x14ac:dyDescent="0.3">
      <c r="A264" t="s">
        <v>2110</v>
      </c>
      <c r="B264" t="s">
        <v>160</v>
      </c>
      <c r="C264" t="s">
        <v>2111</v>
      </c>
      <c r="D264" t="s">
        <v>2112</v>
      </c>
      <c r="E264" t="s">
        <v>2087</v>
      </c>
      <c r="F264">
        <v>277</v>
      </c>
      <c r="G264">
        <v>51.17</v>
      </c>
      <c r="H264">
        <v>29.38</v>
      </c>
      <c r="I264">
        <v>9.1300000000000008</v>
      </c>
      <c r="K264">
        <v>5.32</v>
      </c>
      <c r="L264">
        <v>4.13</v>
      </c>
      <c r="M264">
        <v>0.87</v>
      </c>
      <c r="AF264">
        <v>8.772904500000001</v>
      </c>
      <c r="AG264">
        <v>9.19</v>
      </c>
      <c r="AI264" t="s">
        <v>0</v>
      </c>
      <c r="AJ264" t="s">
        <v>278</v>
      </c>
      <c r="AK264" t="s">
        <v>2113</v>
      </c>
      <c r="AL264" t="s">
        <v>2114</v>
      </c>
      <c r="AM264" t="s">
        <v>11</v>
      </c>
      <c r="AN264" t="s">
        <v>1266</v>
      </c>
      <c r="AO264" t="s">
        <v>11</v>
      </c>
      <c r="AP264" t="s">
        <v>11</v>
      </c>
      <c r="AQ264" t="s">
        <v>540</v>
      </c>
      <c r="AR264" t="s">
        <v>11</v>
      </c>
      <c r="AS264" t="s">
        <v>11</v>
      </c>
      <c r="AT264" t="s">
        <v>11</v>
      </c>
      <c r="AU264" t="s">
        <v>11</v>
      </c>
      <c r="AV264" t="s">
        <v>11</v>
      </c>
      <c r="AW264" t="s">
        <v>11</v>
      </c>
      <c r="AX264" t="s">
        <v>11</v>
      </c>
      <c r="AY264" t="s">
        <v>11</v>
      </c>
      <c r="AZ264" t="s">
        <v>11</v>
      </c>
      <c r="BA264" t="s">
        <v>11</v>
      </c>
      <c r="BB264" t="s">
        <v>11</v>
      </c>
      <c r="BC264" t="s">
        <v>11</v>
      </c>
      <c r="BD264" t="s">
        <v>11</v>
      </c>
      <c r="BE264" t="s">
        <v>11</v>
      </c>
      <c r="BF264" t="s">
        <v>11</v>
      </c>
      <c r="BG264" t="s">
        <v>11</v>
      </c>
      <c r="BH264" t="s">
        <v>2115</v>
      </c>
      <c r="BI264" t="s">
        <v>2110</v>
      </c>
      <c r="BJ264" t="s">
        <v>2116</v>
      </c>
      <c r="BK264" t="s">
        <v>2117</v>
      </c>
    </row>
    <row r="265" spans="1:63" x14ac:dyDescent="0.3">
      <c r="A265" t="s">
        <v>2118</v>
      </c>
      <c r="B265" t="s">
        <v>160</v>
      </c>
      <c r="C265" t="s">
        <v>2119</v>
      </c>
      <c r="D265" t="s">
        <v>2120</v>
      </c>
      <c r="E265" t="s">
        <v>2087</v>
      </c>
      <c r="F265">
        <v>278</v>
      </c>
      <c r="G265">
        <v>80</v>
      </c>
      <c r="I265">
        <v>7</v>
      </c>
      <c r="K265">
        <v>8</v>
      </c>
      <c r="L265">
        <v>4</v>
      </c>
      <c r="M265">
        <v>1</v>
      </c>
      <c r="AF265">
        <v>9.1957799999999992</v>
      </c>
      <c r="AG265">
        <v>9.83</v>
      </c>
      <c r="AI265" t="s">
        <v>0</v>
      </c>
      <c r="AJ265" t="s">
        <v>1358</v>
      </c>
      <c r="AK265" t="s">
        <v>548</v>
      </c>
      <c r="AL265" t="s">
        <v>11</v>
      </c>
      <c r="AM265" t="s">
        <v>11</v>
      </c>
      <c r="AN265" t="s">
        <v>471</v>
      </c>
      <c r="AO265" t="s">
        <v>11</v>
      </c>
      <c r="AP265" t="s">
        <v>11</v>
      </c>
      <c r="AQ265" t="s">
        <v>1659</v>
      </c>
      <c r="AR265" t="s">
        <v>11</v>
      </c>
      <c r="AS265" t="s">
        <v>11</v>
      </c>
      <c r="AT265" t="s">
        <v>11</v>
      </c>
      <c r="AU265" t="s">
        <v>11</v>
      </c>
      <c r="AV265" t="s">
        <v>11</v>
      </c>
      <c r="AW265" t="s">
        <v>11</v>
      </c>
      <c r="AX265" t="s">
        <v>11</v>
      </c>
      <c r="AY265" t="s">
        <v>11</v>
      </c>
      <c r="AZ265" t="s">
        <v>11</v>
      </c>
      <c r="BA265" t="s">
        <v>11</v>
      </c>
      <c r="BB265" t="s">
        <v>11</v>
      </c>
      <c r="BC265" t="s">
        <v>11</v>
      </c>
      <c r="BD265" t="s">
        <v>11</v>
      </c>
      <c r="BE265" t="s">
        <v>11</v>
      </c>
      <c r="BF265" t="s">
        <v>11</v>
      </c>
      <c r="BG265" t="s">
        <v>11</v>
      </c>
      <c r="BH265" t="s">
        <v>2121</v>
      </c>
      <c r="BI265" t="s">
        <v>2118</v>
      </c>
      <c r="BJ265" t="s">
        <v>2122</v>
      </c>
      <c r="BK265" t="s">
        <v>2123</v>
      </c>
    </row>
    <row r="266" spans="1:63" x14ac:dyDescent="0.3">
      <c r="A266" t="s">
        <v>2124</v>
      </c>
      <c r="B266" t="s">
        <v>160</v>
      </c>
      <c r="C266" t="s">
        <v>2125</v>
      </c>
      <c r="D266" t="s">
        <v>2126</v>
      </c>
      <c r="E266" t="s">
        <v>2127</v>
      </c>
      <c r="F266">
        <v>279</v>
      </c>
      <c r="G266">
        <v>45</v>
      </c>
      <c r="H266">
        <v>30</v>
      </c>
      <c r="I266">
        <v>9</v>
      </c>
      <c r="J266">
        <v>5</v>
      </c>
      <c r="K266">
        <v>6</v>
      </c>
      <c r="L266">
        <v>4</v>
      </c>
      <c r="M266">
        <v>1</v>
      </c>
      <c r="AF266">
        <v>8.7816799999999997</v>
      </c>
      <c r="AG266">
        <v>9.2799999999999994</v>
      </c>
      <c r="AI266" t="s">
        <v>0</v>
      </c>
      <c r="AJ266" t="s">
        <v>128</v>
      </c>
      <c r="AK266" t="s">
        <v>2128</v>
      </c>
      <c r="AL266" t="s">
        <v>23</v>
      </c>
      <c r="AM266" t="s">
        <v>1658</v>
      </c>
      <c r="AN266" t="s">
        <v>471</v>
      </c>
      <c r="AO266" t="s">
        <v>11</v>
      </c>
      <c r="AP266" t="s">
        <v>11</v>
      </c>
      <c r="AQ266" t="s">
        <v>1659</v>
      </c>
      <c r="AR266" t="s">
        <v>11</v>
      </c>
      <c r="AS266" t="s">
        <v>11</v>
      </c>
      <c r="AT266" t="s">
        <v>11</v>
      </c>
      <c r="AU266" t="s">
        <v>11</v>
      </c>
      <c r="AV266" t="s">
        <v>11</v>
      </c>
      <c r="AW266" t="s">
        <v>11</v>
      </c>
      <c r="AX266" t="s">
        <v>11</v>
      </c>
      <c r="AY266" t="s">
        <v>11</v>
      </c>
      <c r="AZ266" t="s">
        <v>11</v>
      </c>
      <c r="BA266" t="s">
        <v>11</v>
      </c>
      <c r="BB266" t="s">
        <v>11</v>
      </c>
      <c r="BC266" t="s">
        <v>11</v>
      </c>
      <c r="BD266" t="s">
        <v>11</v>
      </c>
      <c r="BE266" t="s">
        <v>11</v>
      </c>
      <c r="BF266" t="s">
        <v>11</v>
      </c>
      <c r="BG266" t="s">
        <v>11</v>
      </c>
      <c r="BH266" t="s">
        <v>2129</v>
      </c>
      <c r="BI266" t="s">
        <v>2124</v>
      </c>
      <c r="BJ266" t="s">
        <v>2130</v>
      </c>
      <c r="BK266" t="s">
        <v>2131</v>
      </c>
    </row>
    <row r="267" spans="1:63" x14ac:dyDescent="0.3">
      <c r="A267" t="s">
        <v>2132</v>
      </c>
      <c r="B267" t="s">
        <v>160</v>
      </c>
      <c r="C267" t="s">
        <v>2133</v>
      </c>
      <c r="D267" t="s">
        <v>2134</v>
      </c>
      <c r="E267" t="s">
        <v>2127</v>
      </c>
      <c r="F267">
        <v>280</v>
      </c>
      <c r="G267">
        <v>41</v>
      </c>
      <c r="H267">
        <v>30</v>
      </c>
      <c r="I267">
        <v>9</v>
      </c>
      <c r="J267">
        <v>9</v>
      </c>
      <c r="K267">
        <v>6</v>
      </c>
      <c r="L267">
        <v>4</v>
      </c>
      <c r="M267">
        <v>1</v>
      </c>
      <c r="AF267">
        <v>8.713280000000001</v>
      </c>
      <c r="AG267">
        <v>9.17</v>
      </c>
      <c r="AI267" t="s">
        <v>0</v>
      </c>
      <c r="AJ267" t="s">
        <v>128</v>
      </c>
      <c r="AK267" t="s">
        <v>2128</v>
      </c>
      <c r="AL267" t="s">
        <v>23</v>
      </c>
      <c r="AM267" t="s">
        <v>2135</v>
      </c>
      <c r="AN267" t="s">
        <v>471</v>
      </c>
      <c r="AO267" t="s">
        <v>11</v>
      </c>
      <c r="AP267" t="s">
        <v>11</v>
      </c>
      <c r="AQ267" t="s">
        <v>1659</v>
      </c>
      <c r="AR267" t="s">
        <v>11</v>
      </c>
      <c r="AS267" t="s">
        <v>11</v>
      </c>
      <c r="AT267" t="s">
        <v>11</v>
      </c>
      <c r="AU267" t="s">
        <v>11</v>
      </c>
      <c r="AV267" t="s">
        <v>11</v>
      </c>
      <c r="AW267" t="s">
        <v>11</v>
      </c>
      <c r="AX267" t="s">
        <v>11</v>
      </c>
      <c r="AY267" t="s">
        <v>11</v>
      </c>
      <c r="AZ267" t="s">
        <v>11</v>
      </c>
      <c r="BA267" t="s">
        <v>11</v>
      </c>
      <c r="BB267" t="s">
        <v>11</v>
      </c>
      <c r="BC267" t="s">
        <v>11</v>
      </c>
      <c r="BD267" t="s">
        <v>11</v>
      </c>
      <c r="BE267" t="s">
        <v>11</v>
      </c>
      <c r="BF267" t="s">
        <v>11</v>
      </c>
      <c r="BG267" t="s">
        <v>11</v>
      </c>
      <c r="BH267" t="s">
        <v>2136</v>
      </c>
      <c r="BI267" t="s">
        <v>2132</v>
      </c>
      <c r="BJ267" t="s">
        <v>2137</v>
      </c>
      <c r="BK267" t="s">
        <v>2138</v>
      </c>
    </row>
    <row r="268" spans="1:63" x14ac:dyDescent="0.3">
      <c r="A268" t="s">
        <v>1653</v>
      </c>
      <c r="B268" t="s">
        <v>160</v>
      </c>
      <c r="C268" t="s">
        <v>1654</v>
      </c>
      <c r="D268" t="s">
        <v>2139</v>
      </c>
      <c r="E268" t="s">
        <v>2127</v>
      </c>
      <c r="F268">
        <v>281</v>
      </c>
      <c r="G268">
        <v>45</v>
      </c>
      <c r="H268">
        <v>30</v>
      </c>
      <c r="I268">
        <v>11</v>
      </c>
      <c r="J268">
        <v>5</v>
      </c>
      <c r="K268">
        <v>4</v>
      </c>
      <c r="L268">
        <v>4</v>
      </c>
      <c r="M268">
        <v>1</v>
      </c>
      <c r="AF268">
        <v>8.4506800000000002</v>
      </c>
      <c r="AG268">
        <v>8.77</v>
      </c>
      <c r="AI268" t="s">
        <v>0</v>
      </c>
      <c r="AJ268" t="s">
        <v>1365</v>
      </c>
      <c r="AK268" t="s">
        <v>462</v>
      </c>
      <c r="AL268" t="s">
        <v>23</v>
      </c>
      <c r="AM268" t="s">
        <v>1658</v>
      </c>
      <c r="AN268" t="s">
        <v>471</v>
      </c>
      <c r="AO268" t="s">
        <v>11</v>
      </c>
      <c r="AP268" t="s">
        <v>11</v>
      </c>
      <c r="AQ268" t="s">
        <v>1659</v>
      </c>
      <c r="AR268" t="s">
        <v>11</v>
      </c>
      <c r="AS268" t="s">
        <v>11</v>
      </c>
      <c r="AT268" t="s">
        <v>11</v>
      </c>
      <c r="AU268" t="s">
        <v>11</v>
      </c>
      <c r="AV268" t="s">
        <v>11</v>
      </c>
      <c r="AW268" t="s">
        <v>11</v>
      </c>
      <c r="AX268" t="s">
        <v>11</v>
      </c>
      <c r="AY268" t="s">
        <v>11</v>
      </c>
      <c r="AZ268" t="s">
        <v>11</v>
      </c>
      <c r="BA268" t="s">
        <v>11</v>
      </c>
      <c r="BB268" t="s">
        <v>11</v>
      </c>
      <c r="BC268" t="s">
        <v>11</v>
      </c>
      <c r="BD268" t="s">
        <v>11</v>
      </c>
      <c r="BE268" t="s">
        <v>11</v>
      </c>
      <c r="BF268" t="s">
        <v>11</v>
      </c>
      <c r="BG268" t="s">
        <v>11</v>
      </c>
      <c r="BH268" t="s">
        <v>2140</v>
      </c>
      <c r="BI268" t="s">
        <v>1653</v>
      </c>
      <c r="BJ268" t="s">
        <v>1661</v>
      </c>
      <c r="BK268" t="s">
        <v>1662</v>
      </c>
    </row>
    <row r="269" spans="1:63" x14ac:dyDescent="0.3">
      <c r="A269" t="s">
        <v>2141</v>
      </c>
      <c r="B269" t="s">
        <v>95</v>
      </c>
      <c r="C269" t="s">
        <v>2142</v>
      </c>
      <c r="D269" t="s">
        <v>2143</v>
      </c>
      <c r="E269" t="s">
        <v>2144</v>
      </c>
      <c r="F269">
        <v>282</v>
      </c>
      <c r="G269">
        <v>83</v>
      </c>
      <c r="I269">
        <v>9</v>
      </c>
      <c r="K269">
        <v>8</v>
      </c>
      <c r="AF269">
        <v>9.17</v>
      </c>
      <c r="AI269" t="s">
        <v>0</v>
      </c>
      <c r="AJ269" t="s">
        <v>128</v>
      </c>
      <c r="AK269" t="s">
        <v>548</v>
      </c>
      <c r="AL269" t="s">
        <v>11</v>
      </c>
      <c r="AM269" t="s">
        <v>11</v>
      </c>
      <c r="AN269" t="s">
        <v>11</v>
      </c>
      <c r="AO269" t="s">
        <v>11</v>
      </c>
      <c r="AP269" t="s">
        <v>11</v>
      </c>
      <c r="AQ269" t="s">
        <v>11</v>
      </c>
      <c r="AR269" t="s">
        <v>11</v>
      </c>
      <c r="AS269" t="s">
        <v>11</v>
      </c>
      <c r="AT269" t="s">
        <v>11</v>
      </c>
      <c r="AU269" t="s">
        <v>11</v>
      </c>
      <c r="AV269" t="s">
        <v>11</v>
      </c>
      <c r="AW269" t="s">
        <v>11</v>
      </c>
      <c r="AX269" t="s">
        <v>11</v>
      </c>
      <c r="AY269" t="s">
        <v>11</v>
      </c>
      <c r="AZ269" t="s">
        <v>11</v>
      </c>
      <c r="BA269" t="s">
        <v>11</v>
      </c>
      <c r="BB269" t="s">
        <v>11</v>
      </c>
      <c r="BC269" t="s">
        <v>11</v>
      </c>
      <c r="BD269" t="s">
        <v>11</v>
      </c>
      <c r="BE269" t="s">
        <v>11</v>
      </c>
      <c r="BF269" t="s">
        <v>11</v>
      </c>
      <c r="BG269" t="s">
        <v>11</v>
      </c>
      <c r="BH269" t="s">
        <v>2145</v>
      </c>
      <c r="BI269" t="s">
        <v>2141</v>
      </c>
      <c r="BJ269" t="s">
        <v>2146</v>
      </c>
      <c r="BK269" t="s">
        <v>2147</v>
      </c>
    </row>
    <row r="270" spans="1:63" x14ac:dyDescent="0.3">
      <c r="A270" t="s">
        <v>641</v>
      </c>
      <c r="B270" t="s">
        <v>95</v>
      </c>
      <c r="C270" t="s">
        <v>642</v>
      </c>
      <c r="D270" t="s">
        <v>97</v>
      </c>
      <c r="E270" t="s">
        <v>2144</v>
      </c>
      <c r="F270">
        <v>283</v>
      </c>
      <c r="G270">
        <v>82</v>
      </c>
      <c r="I270">
        <v>9</v>
      </c>
      <c r="K270">
        <v>9</v>
      </c>
      <c r="AF270">
        <v>9.2735000000000003</v>
      </c>
      <c r="AI270" t="s">
        <v>0</v>
      </c>
      <c r="AJ270" t="s">
        <v>128</v>
      </c>
      <c r="AK270" t="s">
        <v>252</v>
      </c>
      <c r="AL270" t="s">
        <v>11</v>
      </c>
      <c r="AM270" t="s">
        <v>11</v>
      </c>
      <c r="AN270" t="s">
        <v>11</v>
      </c>
      <c r="AO270" t="s">
        <v>11</v>
      </c>
      <c r="AP270" t="s">
        <v>11</v>
      </c>
      <c r="AQ270" t="s">
        <v>11</v>
      </c>
      <c r="AR270" t="s">
        <v>11</v>
      </c>
      <c r="AS270" t="s">
        <v>11</v>
      </c>
      <c r="AT270" t="s">
        <v>11</v>
      </c>
      <c r="AU270" t="s">
        <v>11</v>
      </c>
      <c r="AV270" t="s">
        <v>11</v>
      </c>
      <c r="AW270" t="s">
        <v>11</v>
      </c>
      <c r="AX270" t="s">
        <v>11</v>
      </c>
      <c r="AY270" t="s">
        <v>11</v>
      </c>
      <c r="AZ270" t="s">
        <v>11</v>
      </c>
      <c r="BA270" t="s">
        <v>11</v>
      </c>
      <c r="BB270" t="s">
        <v>11</v>
      </c>
      <c r="BC270" t="s">
        <v>11</v>
      </c>
      <c r="BD270" t="s">
        <v>11</v>
      </c>
      <c r="BE270" t="s">
        <v>11</v>
      </c>
      <c r="BF270" t="s">
        <v>11</v>
      </c>
      <c r="BG270" t="s">
        <v>11</v>
      </c>
      <c r="BH270" t="s">
        <v>2148</v>
      </c>
      <c r="BI270" t="s">
        <v>641</v>
      </c>
      <c r="BJ270" t="s">
        <v>647</v>
      </c>
      <c r="BK270" t="s">
        <v>648</v>
      </c>
    </row>
    <row r="271" spans="1:63" x14ac:dyDescent="0.3">
      <c r="A271" t="s">
        <v>2149</v>
      </c>
      <c r="B271" t="s">
        <v>95</v>
      </c>
      <c r="C271" t="s">
        <v>1729</v>
      </c>
      <c r="D271" t="s">
        <v>2150</v>
      </c>
      <c r="E271" t="s">
        <v>2144</v>
      </c>
      <c r="F271">
        <v>284</v>
      </c>
      <c r="G271">
        <v>80</v>
      </c>
      <c r="I271">
        <v>9</v>
      </c>
      <c r="K271">
        <v>11</v>
      </c>
      <c r="AF271">
        <v>9.4804999999999993</v>
      </c>
      <c r="AI271" t="s">
        <v>0</v>
      </c>
      <c r="AJ271" t="s">
        <v>128</v>
      </c>
      <c r="AK271" t="s">
        <v>988</v>
      </c>
      <c r="AL271" t="s">
        <v>11</v>
      </c>
      <c r="AM271" t="s">
        <v>11</v>
      </c>
      <c r="AN271" t="s">
        <v>11</v>
      </c>
      <c r="AO271" t="s">
        <v>11</v>
      </c>
      <c r="AP271" t="s">
        <v>11</v>
      </c>
      <c r="AQ271" t="s">
        <v>11</v>
      </c>
      <c r="AR271" t="s">
        <v>11</v>
      </c>
      <c r="AS271" t="s">
        <v>11</v>
      </c>
      <c r="AT271" t="s">
        <v>11</v>
      </c>
      <c r="AU271" t="s">
        <v>11</v>
      </c>
      <c r="AV271" t="s">
        <v>11</v>
      </c>
      <c r="AW271" t="s">
        <v>11</v>
      </c>
      <c r="AX271" t="s">
        <v>11</v>
      </c>
      <c r="AY271" t="s">
        <v>11</v>
      </c>
      <c r="AZ271" t="s">
        <v>11</v>
      </c>
      <c r="BA271" t="s">
        <v>11</v>
      </c>
      <c r="BB271" t="s">
        <v>11</v>
      </c>
      <c r="BC271" t="s">
        <v>11</v>
      </c>
      <c r="BD271" t="s">
        <v>11</v>
      </c>
      <c r="BE271" t="s">
        <v>11</v>
      </c>
      <c r="BF271" t="s">
        <v>11</v>
      </c>
      <c r="BG271" t="s">
        <v>11</v>
      </c>
      <c r="BH271" t="s">
        <v>2151</v>
      </c>
      <c r="BI271" t="s">
        <v>2149</v>
      </c>
      <c r="BJ271" t="s">
        <v>2152</v>
      </c>
      <c r="BK271" t="s">
        <v>2153</v>
      </c>
    </row>
    <row r="272" spans="1:63" x14ac:dyDescent="0.3">
      <c r="A272" t="s">
        <v>2154</v>
      </c>
      <c r="B272" t="s">
        <v>160</v>
      </c>
      <c r="C272" t="s">
        <v>2155</v>
      </c>
      <c r="D272" t="s">
        <v>2156</v>
      </c>
      <c r="E272" t="s">
        <v>2157</v>
      </c>
      <c r="F272">
        <v>285</v>
      </c>
      <c r="G272">
        <v>78.8</v>
      </c>
      <c r="I272">
        <v>9.1999999999999993</v>
      </c>
      <c r="J272">
        <v>2.5</v>
      </c>
      <c r="K272">
        <v>9</v>
      </c>
      <c r="Q272">
        <v>0.5</v>
      </c>
      <c r="AF272">
        <v>9.1851500000000001</v>
      </c>
      <c r="AI272" t="s">
        <v>0</v>
      </c>
      <c r="AJ272" t="s">
        <v>717</v>
      </c>
      <c r="AK272" t="s">
        <v>252</v>
      </c>
      <c r="AL272" t="s">
        <v>11</v>
      </c>
      <c r="AM272" t="s">
        <v>2158</v>
      </c>
      <c r="AN272" t="s">
        <v>11</v>
      </c>
      <c r="AO272" t="s">
        <v>11</v>
      </c>
      <c r="AP272" t="s">
        <v>11</v>
      </c>
      <c r="AQ272" t="s">
        <v>11</v>
      </c>
      <c r="AR272" t="s">
        <v>11</v>
      </c>
      <c r="AS272" t="s">
        <v>2159</v>
      </c>
      <c r="AT272" t="s">
        <v>11</v>
      </c>
      <c r="AU272" t="s">
        <v>11</v>
      </c>
      <c r="AV272" t="s">
        <v>11</v>
      </c>
      <c r="AW272" t="s">
        <v>11</v>
      </c>
      <c r="AX272" t="s">
        <v>11</v>
      </c>
      <c r="AY272" t="s">
        <v>11</v>
      </c>
      <c r="AZ272" t="s">
        <v>11</v>
      </c>
      <c r="BA272" t="s">
        <v>11</v>
      </c>
      <c r="BB272" t="s">
        <v>11</v>
      </c>
      <c r="BC272" t="s">
        <v>11</v>
      </c>
      <c r="BD272" t="s">
        <v>11</v>
      </c>
      <c r="BE272" t="s">
        <v>11</v>
      </c>
      <c r="BF272" t="s">
        <v>11</v>
      </c>
      <c r="BG272" t="s">
        <v>11</v>
      </c>
      <c r="BH272" t="s">
        <v>2160</v>
      </c>
      <c r="BI272" t="s">
        <v>2154</v>
      </c>
      <c r="BJ272" t="s">
        <v>2161</v>
      </c>
      <c r="BK272" t="s">
        <v>2162</v>
      </c>
    </row>
    <row r="273" spans="1:63" x14ac:dyDescent="0.3">
      <c r="A273" t="s">
        <v>2163</v>
      </c>
      <c r="B273" t="s">
        <v>160</v>
      </c>
      <c r="C273" t="s">
        <v>2164</v>
      </c>
      <c r="D273" t="s">
        <v>2165</v>
      </c>
      <c r="E273" t="s">
        <v>2157</v>
      </c>
      <c r="F273">
        <v>286</v>
      </c>
      <c r="G273">
        <v>76.3</v>
      </c>
      <c r="I273">
        <v>9.1999999999999993</v>
      </c>
      <c r="J273">
        <v>5</v>
      </c>
      <c r="K273">
        <v>9</v>
      </c>
      <c r="Q273">
        <v>0.5</v>
      </c>
      <c r="AF273">
        <v>9.1424000000000021</v>
      </c>
      <c r="AI273" t="s">
        <v>0</v>
      </c>
      <c r="AJ273" t="s">
        <v>717</v>
      </c>
      <c r="AK273" t="s">
        <v>252</v>
      </c>
      <c r="AL273" t="s">
        <v>11</v>
      </c>
      <c r="AM273" t="s">
        <v>1658</v>
      </c>
      <c r="AN273" t="s">
        <v>11</v>
      </c>
      <c r="AO273" t="s">
        <v>11</v>
      </c>
      <c r="AP273" t="s">
        <v>11</v>
      </c>
      <c r="AQ273" t="s">
        <v>11</v>
      </c>
      <c r="AR273" t="s">
        <v>11</v>
      </c>
      <c r="AS273" t="s">
        <v>2159</v>
      </c>
      <c r="AT273" t="s">
        <v>11</v>
      </c>
      <c r="AU273" t="s">
        <v>11</v>
      </c>
      <c r="AV273" t="s">
        <v>11</v>
      </c>
      <c r="AW273" t="s">
        <v>11</v>
      </c>
      <c r="AX273" t="s">
        <v>11</v>
      </c>
      <c r="AY273" t="s">
        <v>11</v>
      </c>
      <c r="AZ273" t="s">
        <v>11</v>
      </c>
      <c r="BA273" t="s">
        <v>11</v>
      </c>
      <c r="BB273" t="s">
        <v>11</v>
      </c>
      <c r="BC273" t="s">
        <v>11</v>
      </c>
      <c r="BD273" t="s">
        <v>11</v>
      </c>
      <c r="BE273" t="s">
        <v>11</v>
      </c>
      <c r="BF273" t="s">
        <v>11</v>
      </c>
      <c r="BG273" t="s">
        <v>11</v>
      </c>
      <c r="BH273" t="s">
        <v>2166</v>
      </c>
      <c r="BI273" t="s">
        <v>2163</v>
      </c>
      <c r="BJ273" t="s">
        <v>2167</v>
      </c>
      <c r="BK273" t="s">
        <v>2168</v>
      </c>
    </row>
    <row r="274" spans="1:63" x14ac:dyDescent="0.3">
      <c r="A274" t="s">
        <v>2169</v>
      </c>
      <c r="B274" t="s">
        <v>160</v>
      </c>
      <c r="C274" t="s">
        <v>2170</v>
      </c>
      <c r="D274" t="s">
        <v>2171</v>
      </c>
      <c r="E274" t="s">
        <v>2157</v>
      </c>
      <c r="F274">
        <v>287</v>
      </c>
      <c r="G274">
        <v>73.8</v>
      </c>
      <c r="I274">
        <v>9.1999999999999993</v>
      </c>
      <c r="J274">
        <v>7.5</v>
      </c>
      <c r="K274">
        <v>9</v>
      </c>
      <c r="Q274">
        <v>0.5</v>
      </c>
      <c r="AF274">
        <v>9.0996500000000005</v>
      </c>
      <c r="AI274" t="s">
        <v>0</v>
      </c>
      <c r="AJ274" t="s">
        <v>717</v>
      </c>
      <c r="AK274" t="s">
        <v>252</v>
      </c>
      <c r="AL274" t="s">
        <v>11</v>
      </c>
      <c r="AM274" t="s">
        <v>2172</v>
      </c>
      <c r="AN274" t="s">
        <v>11</v>
      </c>
      <c r="AO274" t="s">
        <v>11</v>
      </c>
      <c r="AP274" t="s">
        <v>11</v>
      </c>
      <c r="AQ274" t="s">
        <v>11</v>
      </c>
      <c r="AR274" t="s">
        <v>11</v>
      </c>
      <c r="AS274" t="s">
        <v>2159</v>
      </c>
      <c r="AT274" t="s">
        <v>11</v>
      </c>
      <c r="AU274" t="s">
        <v>11</v>
      </c>
      <c r="AV274" t="s">
        <v>11</v>
      </c>
      <c r="AW274" t="s">
        <v>11</v>
      </c>
      <c r="AX274" t="s">
        <v>11</v>
      </c>
      <c r="AY274" t="s">
        <v>11</v>
      </c>
      <c r="AZ274" t="s">
        <v>11</v>
      </c>
      <c r="BA274" t="s">
        <v>11</v>
      </c>
      <c r="BB274" t="s">
        <v>11</v>
      </c>
      <c r="BC274" t="s">
        <v>11</v>
      </c>
      <c r="BD274" t="s">
        <v>11</v>
      </c>
      <c r="BE274" t="s">
        <v>11</v>
      </c>
      <c r="BF274" t="s">
        <v>11</v>
      </c>
      <c r="BG274" t="s">
        <v>11</v>
      </c>
      <c r="BH274" t="s">
        <v>2173</v>
      </c>
      <c r="BI274" t="s">
        <v>2169</v>
      </c>
      <c r="BJ274" t="s">
        <v>2174</v>
      </c>
      <c r="BK274" t="s">
        <v>2175</v>
      </c>
    </row>
    <row r="275" spans="1:63" x14ac:dyDescent="0.3">
      <c r="A275" t="s">
        <v>2176</v>
      </c>
      <c r="B275" t="s">
        <v>160</v>
      </c>
      <c r="C275" t="s">
        <v>2177</v>
      </c>
      <c r="D275" t="s">
        <v>2178</v>
      </c>
      <c r="E275" t="s">
        <v>2179</v>
      </c>
      <c r="F275">
        <v>288</v>
      </c>
      <c r="G275">
        <v>54.751794346763752</v>
      </c>
      <c r="H275">
        <v>16.351836731071355</v>
      </c>
      <c r="I275">
        <v>9.4852207966473578</v>
      </c>
      <c r="J275">
        <v>6.152642211303248</v>
      </c>
      <c r="K275">
        <v>3.4803392560805455</v>
      </c>
      <c r="L275">
        <v>2.6691651113338928</v>
      </c>
      <c r="M275">
        <v>2.8287397351217352</v>
      </c>
      <c r="P275">
        <v>3.3341613800825822</v>
      </c>
      <c r="Q275">
        <v>0.26634983300218446</v>
      </c>
      <c r="S275">
        <v>0.1420519301767654</v>
      </c>
      <c r="Y275">
        <v>0.53769866841658975</v>
      </c>
      <c r="AF275">
        <v>8.7130904599760193</v>
      </c>
      <c r="AG275">
        <v>8.73</v>
      </c>
      <c r="AH275" t="s">
        <v>2180</v>
      </c>
      <c r="AI275" t="s">
        <v>0</v>
      </c>
      <c r="AJ275" t="s">
        <v>315</v>
      </c>
      <c r="AK275" t="s">
        <v>1936</v>
      </c>
      <c r="AL275" t="s">
        <v>2181</v>
      </c>
      <c r="AM275" t="s">
        <v>2182</v>
      </c>
      <c r="AN275" t="s">
        <v>1747</v>
      </c>
      <c r="AO275" t="s">
        <v>11</v>
      </c>
      <c r="AP275" t="s">
        <v>11</v>
      </c>
      <c r="AQ275" t="s">
        <v>1153</v>
      </c>
      <c r="AR275" t="s">
        <v>2183</v>
      </c>
      <c r="AS275" t="s">
        <v>2184</v>
      </c>
      <c r="AT275" t="s">
        <v>11</v>
      </c>
      <c r="AU275" t="s">
        <v>2185</v>
      </c>
      <c r="AV275" t="s">
        <v>11</v>
      </c>
      <c r="AW275" t="s">
        <v>11</v>
      </c>
      <c r="AX275" t="s">
        <v>11</v>
      </c>
      <c r="AY275" t="s">
        <v>11</v>
      </c>
      <c r="AZ275" t="s">
        <v>11</v>
      </c>
      <c r="BA275" t="s">
        <v>2186</v>
      </c>
      <c r="BB275" t="s">
        <v>11</v>
      </c>
      <c r="BC275" t="s">
        <v>11</v>
      </c>
      <c r="BD275" t="s">
        <v>11</v>
      </c>
      <c r="BE275" t="s">
        <v>11</v>
      </c>
      <c r="BF275" t="s">
        <v>11</v>
      </c>
      <c r="BG275" t="s">
        <v>11</v>
      </c>
      <c r="BH275" t="s">
        <v>2187</v>
      </c>
      <c r="BI275" t="s">
        <v>2176</v>
      </c>
      <c r="BJ275" t="s">
        <v>2188</v>
      </c>
      <c r="BK275" t="s">
        <v>2189</v>
      </c>
    </row>
    <row r="276" spans="1:63" x14ac:dyDescent="0.3">
      <c r="A276" t="s">
        <v>2190</v>
      </c>
      <c r="B276" t="s">
        <v>160</v>
      </c>
      <c r="C276" t="s">
        <v>2191</v>
      </c>
      <c r="D276" t="s">
        <v>1475</v>
      </c>
      <c r="E276" t="s">
        <v>2179</v>
      </c>
      <c r="F276">
        <v>289</v>
      </c>
      <c r="G276">
        <v>58.945736155988662</v>
      </c>
      <c r="H276">
        <v>16.016412425311604</v>
      </c>
      <c r="I276">
        <v>9.2906509967515536</v>
      </c>
      <c r="J276">
        <v>6.0264334082032844</v>
      </c>
      <c r="K276">
        <v>3.4089472529692992</v>
      </c>
      <c r="L276">
        <v>2.61441267776011</v>
      </c>
      <c r="M276">
        <v>2.7707139562790877</v>
      </c>
      <c r="P276">
        <v>0</v>
      </c>
      <c r="Q276">
        <v>0.26088621388139049</v>
      </c>
      <c r="S276">
        <v>0.13913802693488458</v>
      </c>
      <c r="Y276">
        <v>0.5266688859201154</v>
      </c>
      <c r="AF276">
        <v>8.6718569276078465</v>
      </c>
      <c r="AG276">
        <v>8.94</v>
      </c>
      <c r="AH276" t="s">
        <v>2180</v>
      </c>
      <c r="AI276" t="s">
        <v>0</v>
      </c>
      <c r="AJ276" t="s">
        <v>2192</v>
      </c>
      <c r="AK276" t="s">
        <v>2193</v>
      </c>
      <c r="AL276" t="s">
        <v>2194</v>
      </c>
      <c r="AM276" t="s">
        <v>2195</v>
      </c>
      <c r="AN276" t="s">
        <v>1747</v>
      </c>
      <c r="AO276" t="s">
        <v>11</v>
      </c>
      <c r="AP276" t="s">
        <v>11</v>
      </c>
      <c r="AQ276" t="s">
        <v>1192</v>
      </c>
      <c r="AR276" t="s">
        <v>1477</v>
      </c>
      <c r="AS276" t="s">
        <v>2196</v>
      </c>
      <c r="AT276" t="s">
        <v>11</v>
      </c>
      <c r="AU276" t="s">
        <v>2185</v>
      </c>
      <c r="AV276" t="s">
        <v>11</v>
      </c>
      <c r="AW276" t="s">
        <v>11</v>
      </c>
      <c r="AX276" t="s">
        <v>11</v>
      </c>
      <c r="AY276" t="s">
        <v>11</v>
      </c>
      <c r="AZ276" t="s">
        <v>11</v>
      </c>
      <c r="BA276" t="s">
        <v>2186</v>
      </c>
      <c r="BB276" t="s">
        <v>11</v>
      </c>
      <c r="BC276" t="s">
        <v>11</v>
      </c>
      <c r="BD276" t="s">
        <v>11</v>
      </c>
      <c r="BE276" t="s">
        <v>11</v>
      </c>
      <c r="BF276" t="s">
        <v>11</v>
      </c>
      <c r="BG276" t="s">
        <v>11</v>
      </c>
      <c r="BH276" t="s">
        <v>2197</v>
      </c>
      <c r="BI276" t="s">
        <v>2190</v>
      </c>
      <c r="BJ276" t="s">
        <v>2198</v>
      </c>
      <c r="BK276" t="s">
        <v>2199</v>
      </c>
    </row>
    <row r="277" spans="1:63" x14ac:dyDescent="0.3">
      <c r="A277" t="s">
        <v>2200</v>
      </c>
      <c r="B277" t="s">
        <v>5</v>
      </c>
      <c r="C277" t="s">
        <v>2201</v>
      </c>
      <c r="D277" t="s">
        <v>2202</v>
      </c>
      <c r="E277" t="s">
        <v>2203</v>
      </c>
      <c r="F277">
        <v>290</v>
      </c>
      <c r="G277">
        <v>53.1</v>
      </c>
      <c r="H277">
        <v>30</v>
      </c>
      <c r="I277">
        <v>9.9</v>
      </c>
      <c r="N277">
        <v>1.9</v>
      </c>
      <c r="P277">
        <v>5.0999999999999996</v>
      </c>
      <c r="AF277">
        <v>8.3527100000000001</v>
      </c>
      <c r="AI277" t="s">
        <v>0</v>
      </c>
      <c r="AJ277" t="s">
        <v>575</v>
      </c>
      <c r="AK277" t="s">
        <v>11</v>
      </c>
      <c r="AL277" t="s">
        <v>23</v>
      </c>
      <c r="AM277" t="s">
        <v>11</v>
      </c>
      <c r="AN277" t="s">
        <v>11</v>
      </c>
      <c r="AO277" t="s">
        <v>14</v>
      </c>
      <c r="AP277" t="s">
        <v>11</v>
      </c>
      <c r="AQ277" t="s">
        <v>11</v>
      </c>
      <c r="AR277" t="s">
        <v>2204</v>
      </c>
      <c r="AS277" t="s">
        <v>11</v>
      </c>
      <c r="AT277" t="s">
        <v>11</v>
      </c>
      <c r="AU277" t="s">
        <v>11</v>
      </c>
      <c r="AV277" t="s">
        <v>11</v>
      </c>
      <c r="AW277" t="s">
        <v>11</v>
      </c>
      <c r="AX277" t="s">
        <v>11</v>
      </c>
      <c r="AY277" t="s">
        <v>11</v>
      </c>
      <c r="AZ277" t="s">
        <v>11</v>
      </c>
      <c r="BA277" t="s">
        <v>11</v>
      </c>
      <c r="BB277" t="s">
        <v>11</v>
      </c>
      <c r="BC277" t="s">
        <v>11</v>
      </c>
      <c r="BD277" t="s">
        <v>11</v>
      </c>
      <c r="BE277" t="s">
        <v>11</v>
      </c>
      <c r="BF277" t="s">
        <v>11</v>
      </c>
      <c r="BG277" t="s">
        <v>11</v>
      </c>
      <c r="BH277" t="s">
        <v>2205</v>
      </c>
      <c r="BI277" t="s">
        <v>2200</v>
      </c>
      <c r="BJ277" t="s">
        <v>2206</v>
      </c>
      <c r="BK277" t="s">
        <v>2207</v>
      </c>
    </row>
    <row r="278" spans="1:63" x14ac:dyDescent="0.3">
      <c r="A278" t="s">
        <v>2208</v>
      </c>
      <c r="B278" t="s">
        <v>5</v>
      </c>
      <c r="C278" t="s">
        <v>2209</v>
      </c>
      <c r="D278" t="s">
        <v>2210</v>
      </c>
      <c r="E278" t="s">
        <v>2211</v>
      </c>
      <c r="F278">
        <v>291</v>
      </c>
      <c r="G278">
        <v>83.7</v>
      </c>
      <c r="L278">
        <v>4.2</v>
      </c>
      <c r="O278">
        <v>12.1</v>
      </c>
      <c r="AF278">
        <v>8.3779040000000009</v>
      </c>
      <c r="AG278">
        <v>8.23</v>
      </c>
      <c r="AI278" t="s">
        <v>0</v>
      </c>
      <c r="AJ278" t="s">
        <v>11</v>
      </c>
      <c r="AK278" t="s">
        <v>11</v>
      </c>
      <c r="AL278" t="s">
        <v>11</v>
      </c>
      <c r="AM278" t="s">
        <v>11</v>
      </c>
      <c r="AN278" t="s">
        <v>11</v>
      </c>
      <c r="AO278" t="s">
        <v>11</v>
      </c>
      <c r="AP278" t="s">
        <v>2212</v>
      </c>
      <c r="AQ278" t="s">
        <v>2099</v>
      </c>
      <c r="AR278" t="s">
        <v>11</v>
      </c>
      <c r="AS278" t="s">
        <v>11</v>
      </c>
      <c r="AT278" t="s">
        <v>11</v>
      </c>
      <c r="AU278" t="s">
        <v>11</v>
      </c>
      <c r="AV278" t="s">
        <v>11</v>
      </c>
      <c r="AW278" t="s">
        <v>11</v>
      </c>
      <c r="AX278" t="s">
        <v>11</v>
      </c>
      <c r="AY278" t="s">
        <v>11</v>
      </c>
      <c r="AZ278" t="s">
        <v>11</v>
      </c>
      <c r="BA278" t="s">
        <v>11</v>
      </c>
      <c r="BB278" t="s">
        <v>11</v>
      </c>
      <c r="BC278" t="s">
        <v>11</v>
      </c>
      <c r="BD278" t="s">
        <v>11</v>
      </c>
      <c r="BE278" t="s">
        <v>11</v>
      </c>
      <c r="BF278" t="s">
        <v>11</v>
      </c>
      <c r="BG278" t="s">
        <v>11</v>
      </c>
      <c r="BH278" t="s">
        <v>2213</v>
      </c>
      <c r="BI278" t="s">
        <v>2208</v>
      </c>
      <c r="BJ278" t="s">
        <v>2214</v>
      </c>
      <c r="BK278" t="s">
        <v>2215</v>
      </c>
    </row>
    <row r="279" spans="1:63" x14ac:dyDescent="0.3">
      <c r="A279" t="s">
        <v>2216</v>
      </c>
      <c r="B279" t="s">
        <v>5</v>
      </c>
      <c r="C279" t="s">
        <v>2217</v>
      </c>
      <c r="D279" t="s">
        <v>2218</v>
      </c>
      <c r="E279" t="s">
        <v>2211</v>
      </c>
      <c r="F279">
        <v>292</v>
      </c>
      <c r="G279">
        <v>83.6</v>
      </c>
      <c r="L279">
        <v>4.0999999999999996</v>
      </c>
      <c r="N279">
        <v>2.2000000000000002</v>
      </c>
      <c r="O279">
        <v>10.1</v>
      </c>
      <c r="AF279">
        <v>8.4308370000000004</v>
      </c>
      <c r="AG279">
        <v>8.31</v>
      </c>
      <c r="AI279" t="s">
        <v>0</v>
      </c>
      <c r="AJ279" t="s">
        <v>11</v>
      </c>
      <c r="AK279" t="s">
        <v>11</v>
      </c>
      <c r="AL279" t="s">
        <v>11</v>
      </c>
      <c r="AM279" t="s">
        <v>11</v>
      </c>
      <c r="AN279" t="s">
        <v>11</v>
      </c>
      <c r="AO279" t="s">
        <v>2219</v>
      </c>
      <c r="AP279" t="s">
        <v>2220</v>
      </c>
      <c r="AQ279" t="s">
        <v>540</v>
      </c>
      <c r="AR279" t="s">
        <v>11</v>
      </c>
      <c r="AS279" t="s">
        <v>11</v>
      </c>
      <c r="AT279" t="s">
        <v>11</v>
      </c>
      <c r="AU279" t="s">
        <v>11</v>
      </c>
      <c r="AV279" t="s">
        <v>11</v>
      </c>
      <c r="AW279" t="s">
        <v>11</v>
      </c>
      <c r="AX279" t="s">
        <v>11</v>
      </c>
      <c r="AY279" t="s">
        <v>11</v>
      </c>
      <c r="AZ279" t="s">
        <v>11</v>
      </c>
      <c r="BA279" t="s">
        <v>11</v>
      </c>
      <c r="BB279" t="s">
        <v>11</v>
      </c>
      <c r="BC279" t="s">
        <v>11</v>
      </c>
      <c r="BD279" t="s">
        <v>11</v>
      </c>
      <c r="BE279" t="s">
        <v>11</v>
      </c>
      <c r="BF279" t="s">
        <v>11</v>
      </c>
      <c r="BG279" t="s">
        <v>11</v>
      </c>
      <c r="BH279" t="s">
        <v>2221</v>
      </c>
      <c r="BI279" t="s">
        <v>2216</v>
      </c>
      <c r="BJ279" t="s">
        <v>2222</v>
      </c>
      <c r="BK279" t="s">
        <v>2223</v>
      </c>
    </row>
    <row r="280" spans="1:63" x14ac:dyDescent="0.3">
      <c r="A280" t="s">
        <v>2224</v>
      </c>
      <c r="B280" t="s">
        <v>31</v>
      </c>
      <c r="C280" t="s">
        <v>2225</v>
      </c>
      <c r="D280" t="s">
        <v>2226</v>
      </c>
      <c r="E280" t="s">
        <v>2211</v>
      </c>
      <c r="F280">
        <v>293</v>
      </c>
      <c r="G280">
        <v>83.9</v>
      </c>
      <c r="K280">
        <v>2.1</v>
      </c>
      <c r="L280">
        <v>4.0999999999999996</v>
      </c>
      <c r="O280">
        <v>9.9</v>
      </c>
      <c r="AF280">
        <v>8.6610270000000007</v>
      </c>
      <c r="AG280">
        <v>8.5</v>
      </c>
      <c r="AI280" t="s">
        <v>0</v>
      </c>
      <c r="AJ280" t="s">
        <v>11</v>
      </c>
      <c r="AK280" t="s">
        <v>2227</v>
      </c>
      <c r="AL280" t="s">
        <v>11</v>
      </c>
      <c r="AM280" t="s">
        <v>11</v>
      </c>
      <c r="AN280" t="s">
        <v>11</v>
      </c>
      <c r="AO280" t="s">
        <v>11</v>
      </c>
      <c r="AP280" t="s">
        <v>2228</v>
      </c>
      <c r="AQ280" t="s">
        <v>540</v>
      </c>
      <c r="AR280" t="s">
        <v>11</v>
      </c>
      <c r="AS280" t="s">
        <v>11</v>
      </c>
      <c r="AT280" t="s">
        <v>11</v>
      </c>
      <c r="AU280" t="s">
        <v>11</v>
      </c>
      <c r="AV280" t="s">
        <v>11</v>
      </c>
      <c r="AW280" t="s">
        <v>11</v>
      </c>
      <c r="AX280" t="s">
        <v>11</v>
      </c>
      <c r="AY280" t="s">
        <v>11</v>
      </c>
      <c r="AZ280" t="s">
        <v>11</v>
      </c>
      <c r="BA280" t="s">
        <v>11</v>
      </c>
      <c r="BB280" t="s">
        <v>11</v>
      </c>
      <c r="BC280" t="s">
        <v>11</v>
      </c>
      <c r="BD280" t="s">
        <v>11</v>
      </c>
      <c r="BE280" t="s">
        <v>11</v>
      </c>
      <c r="BF280" t="s">
        <v>11</v>
      </c>
      <c r="BG280" t="s">
        <v>11</v>
      </c>
      <c r="BH280" t="s">
        <v>2229</v>
      </c>
      <c r="BI280" t="s">
        <v>2224</v>
      </c>
      <c r="BJ280" t="s">
        <v>2230</v>
      </c>
      <c r="BK280" t="s">
        <v>2231</v>
      </c>
    </row>
    <row r="281" spans="1:63" x14ac:dyDescent="0.3">
      <c r="A281" t="s">
        <v>2232</v>
      </c>
      <c r="B281" t="s">
        <v>514</v>
      </c>
      <c r="C281" t="s">
        <v>2233</v>
      </c>
      <c r="D281" t="s">
        <v>2234</v>
      </c>
      <c r="E281" t="s">
        <v>2235</v>
      </c>
      <c r="F281">
        <v>294</v>
      </c>
      <c r="G281">
        <v>77</v>
      </c>
      <c r="L281">
        <v>23</v>
      </c>
      <c r="AF281">
        <v>7.8896100000000002</v>
      </c>
      <c r="AI281" t="s">
        <v>0</v>
      </c>
      <c r="AJ281" t="s">
        <v>11</v>
      </c>
      <c r="AK281" t="s">
        <v>11</v>
      </c>
      <c r="AL281" t="s">
        <v>11</v>
      </c>
      <c r="AM281" t="s">
        <v>11</v>
      </c>
      <c r="AN281" t="s">
        <v>11</v>
      </c>
      <c r="AO281" t="s">
        <v>11</v>
      </c>
      <c r="AP281" t="s">
        <v>11</v>
      </c>
      <c r="AQ281" t="s">
        <v>2236</v>
      </c>
      <c r="AR281" t="s">
        <v>11</v>
      </c>
      <c r="AS281" t="s">
        <v>11</v>
      </c>
      <c r="AT281" t="s">
        <v>11</v>
      </c>
      <c r="AU281" t="s">
        <v>11</v>
      </c>
      <c r="AV281" t="s">
        <v>11</v>
      </c>
      <c r="AW281" t="s">
        <v>11</v>
      </c>
      <c r="AX281" t="s">
        <v>11</v>
      </c>
      <c r="AY281" t="s">
        <v>11</v>
      </c>
      <c r="AZ281" t="s">
        <v>11</v>
      </c>
      <c r="BA281" t="s">
        <v>11</v>
      </c>
      <c r="BB281" t="s">
        <v>11</v>
      </c>
      <c r="BC281" t="s">
        <v>11</v>
      </c>
      <c r="BD281" t="s">
        <v>11</v>
      </c>
      <c r="BE281" t="s">
        <v>11</v>
      </c>
      <c r="BF281" t="s">
        <v>11</v>
      </c>
      <c r="BG281" t="s">
        <v>11</v>
      </c>
      <c r="BH281" t="s">
        <v>2237</v>
      </c>
      <c r="BI281" t="s">
        <v>2232</v>
      </c>
      <c r="BJ281" t="s">
        <v>2238</v>
      </c>
      <c r="BK281" t="s">
        <v>2236</v>
      </c>
    </row>
    <row r="282" spans="1:63" x14ac:dyDescent="0.3">
      <c r="A282" t="s">
        <v>2239</v>
      </c>
      <c r="B282" t="s">
        <v>514</v>
      </c>
      <c r="C282" t="s">
        <v>2240</v>
      </c>
      <c r="D282" t="s">
        <v>2241</v>
      </c>
      <c r="E282" t="s">
        <v>2235</v>
      </c>
      <c r="F282">
        <v>295</v>
      </c>
      <c r="G282">
        <v>74</v>
      </c>
      <c r="H282">
        <v>3</v>
      </c>
      <c r="L282">
        <v>23</v>
      </c>
      <c r="AF282">
        <v>7.88985</v>
      </c>
      <c r="AI282" t="s">
        <v>0</v>
      </c>
      <c r="AJ282" t="s">
        <v>11</v>
      </c>
      <c r="AK282" t="s">
        <v>11</v>
      </c>
      <c r="AL282" t="s">
        <v>2242</v>
      </c>
      <c r="AM282" t="s">
        <v>11</v>
      </c>
      <c r="AN282" t="s">
        <v>11</v>
      </c>
      <c r="AO282" t="s">
        <v>11</v>
      </c>
      <c r="AP282" t="s">
        <v>11</v>
      </c>
      <c r="AQ282" t="s">
        <v>2236</v>
      </c>
      <c r="AR282" t="s">
        <v>11</v>
      </c>
      <c r="AS282" t="s">
        <v>11</v>
      </c>
      <c r="AT282" t="s">
        <v>11</v>
      </c>
      <c r="AU282" t="s">
        <v>11</v>
      </c>
      <c r="AV282" t="s">
        <v>11</v>
      </c>
      <c r="AW282" t="s">
        <v>11</v>
      </c>
      <c r="AX282" t="s">
        <v>11</v>
      </c>
      <c r="AY282" t="s">
        <v>11</v>
      </c>
      <c r="AZ282" t="s">
        <v>11</v>
      </c>
      <c r="BA282" t="s">
        <v>11</v>
      </c>
      <c r="BB282" t="s">
        <v>11</v>
      </c>
      <c r="BC282" t="s">
        <v>11</v>
      </c>
      <c r="BD282" t="s">
        <v>11</v>
      </c>
      <c r="BE282" t="s">
        <v>11</v>
      </c>
      <c r="BF282" t="s">
        <v>11</v>
      </c>
      <c r="BG282" t="s">
        <v>11</v>
      </c>
      <c r="BH282" t="s">
        <v>2243</v>
      </c>
      <c r="BI282" t="s">
        <v>2239</v>
      </c>
      <c r="BJ282" t="s">
        <v>2244</v>
      </c>
      <c r="BK282" t="s">
        <v>2245</v>
      </c>
    </row>
    <row r="283" spans="1:63" x14ac:dyDescent="0.3">
      <c r="A283" t="s">
        <v>2246</v>
      </c>
      <c r="B283" t="s">
        <v>514</v>
      </c>
      <c r="C283" t="s">
        <v>2247</v>
      </c>
      <c r="D283" t="s">
        <v>2248</v>
      </c>
      <c r="E283" t="s">
        <v>2235</v>
      </c>
      <c r="F283">
        <v>296</v>
      </c>
      <c r="G283">
        <v>77</v>
      </c>
      <c r="L283">
        <v>22</v>
      </c>
      <c r="M283">
        <v>1</v>
      </c>
      <c r="AF283">
        <v>8.0110400000000013</v>
      </c>
      <c r="AI283" t="s">
        <v>0</v>
      </c>
      <c r="AJ283" t="s">
        <v>11</v>
      </c>
      <c r="AK283" t="s">
        <v>11</v>
      </c>
      <c r="AL283" t="s">
        <v>11</v>
      </c>
      <c r="AM283" t="s">
        <v>11</v>
      </c>
      <c r="AN283" t="s">
        <v>471</v>
      </c>
      <c r="AO283" t="s">
        <v>11</v>
      </c>
      <c r="AP283" t="s">
        <v>11</v>
      </c>
      <c r="AQ283" t="s">
        <v>2249</v>
      </c>
      <c r="AR283" t="s">
        <v>11</v>
      </c>
      <c r="AS283" t="s">
        <v>11</v>
      </c>
      <c r="AT283" t="s">
        <v>11</v>
      </c>
      <c r="AU283" t="s">
        <v>11</v>
      </c>
      <c r="AV283" t="s">
        <v>11</v>
      </c>
      <c r="AW283" t="s">
        <v>11</v>
      </c>
      <c r="AX283" t="s">
        <v>11</v>
      </c>
      <c r="AY283" t="s">
        <v>11</v>
      </c>
      <c r="AZ283" t="s">
        <v>11</v>
      </c>
      <c r="BA283" t="s">
        <v>11</v>
      </c>
      <c r="BB283" t="s">
        <v>11</v>
      </c>
      <c r="BC283" t="s">
        <v>11</v>
      </c>
      <c r="BD283" t="s">
        <v>11</v>
      </c>
      <c r="BE283" t="s">
        <v>11</v>
      </c>
      <c r="BF283" t="s">
        <v>11</v>
      </c>
      <c r="BG283" t="s">
        <v>11</v>
      </c>
      <c r="BH283" t="s">
        <v>2250</v>
      </c>
      <c r="BI283" t="s">
        <v>2246</v>
      </c>
      <c r="BJ283" t="s">
        <v>2251</v>
      </c>
      <c r="BK283" t="s">
        <v>2252</v>
      </c>
    </row>
    <row r="284" spans="1:63" x14ac:dyDescent="0.3">
      <c r="A284" t="s">
        <v>2253</v>
      </c>
      <c r="B284" t="s">
        <v>514</v>
      </c>
      <c r="C284" t="s">
        <v>2254</v>
      </c>
      <c r="D284" t="s">
        <v>2255</v>
      </c>
      <c r="E284" t="s">
        <v>2235</v>
      </c>
      <c r="F284">
        <v>297</v>
      </c>
      <c r="G284">
        <v>77.099999999999994</v>
      </c>
      <c r="L284">
        <v>21.9</v>
      </c>
      <c r="P284">
        <v>1</v>
      </c>
      <c r="AF284">
        <v>7.9517329999999991</v>
      </c>
      <c r="AI284" t="s">
        <v>0</v>
      </c>
      <c r="AJ284" t="s">
        <v>11</v>
      </c>
      <c r="AK284" t="s">
        <v>11</v>
      </c>
      <c r="AL284" t="s">
        <v>11</v>
      </c>
      <c r="AM284" t="s">
        <v>11</v>
      </c>
      <c r="AN284" t="s">
        <v>11</v>
      </c>
      <c r="AO284" t="s">
        <v>11</v>
      </c>
      <c r="AP284" t="s">
        <v>11</v>
      </c>
      <c r="AQ284" t="s">
        <v>2256</v>
      </c>
      <c r="AR284" t="s">
        <v>1561</v>
      </c>
      <c r="AS284" t="s">
        <v>11</v>
      </c>
      <c r="AT284" t="s">
        <v>11</v>
      </c>
      <c r="AU284" t="s">
        <v>11</v>
      </c>
      <c r="AV284" t="s">
        <v>11</v>
      </c>
      <c r="AW284" t="s">
        <v>11</v>
      </c>
      <c r="AX284" t="s">
        <v>11</v>
      </c>
      <c r="AY284" t="s">
        <v>11</v>
      </c>
      <c r="AZ284" t="s">
        <v>11</v>
      </c>
      <c r="BA284" t="s">
        <v>11</v>
      </c>
      <c r="BB284" t="s">
        <v>11</v>
      </c>
      <c r="BC284" t="s">
        <v>11</v>
      </c>
      <c r="BD284" t="s">
        <v>11</v>
      </c>
      <c r="BE284" t="s">
        <v>11</v>
      </c>
      <c r="BF284" t="s">
        <v>11</v>
      </c>
      <c r="BG284" t="s">
        <v>11</v>
      </c>
      <c r="BH284" t="s">
        <v>2257</v>
      </c>
      <c r="BI284" t="s">
        <v>2253</v>
      </c>
      <c r="BJ284" t="s">
        <v>2258</v>
      </c>
      <c r="BK284" t="s">
        <v>2259</v>
      </c>
    </row>
    <row r="285" spans="1:63" x14ac:dyDescent="0.3">
      <c r="A285" t="s">
        <v>2260</v>
      </c>
      <c r="B285" t="s">
        <v>514</v>
      </c>
      <c r="C285" t="s">
        <v>2261</v>
      </c>
      <c r="D285" t="s">
        <v>2262</v>
      </c>
      <c r="E285" t="s">
        <v>2235</v>
      </c>
      <c r="F285">
        <v>298</v>
      </c>
      <c r="G285">
        <v>77.099999999999994</v>
      </c>
      <c r="K285">
        <v>1</v>
      </c>
      <c r="L285">
        <v>21.9</v>
      </c>
      <c r="AF285">
        <v>8.0414329999999996</v>
      </c>
      <c r="AI285" t="s">
        <v>0</v>
      </c>
      <c r="AJ285" t="s">
        <v>11</v>
      </c>
      <c r="AK285" t="s">
        <v>44</v>
      </c>
      <c r="AL285" t="s">
        <v>11</v>
      </c>
      <c r="AM285" t="s">
        <v>11</v>
      </c>
      <c r="AN285" t="s">
        <v>11</v>
      </c>
      <c r="AO285" t="s">
        <v>11</v>
      </c>
      <c r="AP285" t="s">
        <v>11</v>
      </c>
      <c r="AQ285" t="s">
        <v>2256</v>
      </c>
      <c r="AR285" t="s">
        <v>11</v>
      </c>
      <c r="AS285" t="s">
        <v>11</v>
      </c>
      <c r="AT285" t="s">
        <v>11</v>
      </c>
      <c r="AU285" t="s">
        <v>11</v>
      </c>
      <c r="AV285" t="s">
        <v>11</v>
      </c>
      <c r="AW285" t="s">
        <v>11</v>
      </c>
      <c r="AX285" t="s">
        <v>11</v>
      </c>
      <c r="AY285" t="s">
        <v>11</v>
      </c>
      <c r="AZ285" t="s">
        <v>11</v>
      </c>
      <c r="BA285" t="s">
        <v>11</v>
      </c>
      <c r="BB285" t="s">
        <v>11</v>
      </c>
      <c r="BC285" t="s">
        <v>11</v>
      </c>
      <c r="BD285" t="s">
        <v>11</v>
      </c>
      <c r="BE285" t="s">
        <v>11</v>
      </c>
      <c r="BF285" t="s">
        <v>11</v>
      </c>
      <c r="BG285" t="s">
        <v>11</v>
      </c>
      <c r="BH285" t="s">
        <v>2263</v>
      </c>
      <c r="BI285" t="s">
        <v>2260</v>
      </c>
      <c r="BJ285" t="s">
        <v>2264</v>
      </c>
      <c r="BK285" t="s">
        <v>2265</v>
      </c>
    </row>
    <row r="286" spans="1:63" x14ac:dyDescent="0.3">
      <c r="A286" t="s">
        <v>2266</v>
      </c>
      <c r="B286" t="s">
        <v>514</v>
      </c>
      <c r="C286" t="s">
        <v>2267</v>
      </c>
      <c r="D286" t="s">
        <v>2268</v>
      </c>
      <c r="E286" t="s">
        <v>2235</v>
      </c>
      <c r="F286">
        <v>299</v>
      </c>
      <c r="G286">
        <v>75.73</v>
      </c>
      <c r="L286">
        <v>21.4</v>
      </c>
      <c r="W286">
        <v>2.87</v>
      </c>
      <c r="AF286">
        <v>7.9304518000000011</v>
      </c>
      <c r="AI286" t="s">
        <v>0</v>
      </c>
      <c r="AJ286" t="s">
        <v>11</v>
      </c>
      <c r="AK286" t="s">
        <v>11</v>
      </c>
      <c r="AL286" t="s">
        <v>11</v>
      </c>
      <c r="AM286" t="s">
        <v>11</v>
      </c>
      <c r="AN286" t="s">
        <v>11</v>
      </c>
      <c r="AO286" t="s">
        <v>11</v>
      </c>
      <c r="AP286" t="s">
        <v>11</v>
      </c>
      <c r="AQ286" t="s">
        <v>2269</v>
      </c>
      <c r="AR286" t="s">
        <v>11</v>
      </c>
      <c r="AS286" t="s">
        <v>11</v>
      </c>
      <c r="AT286" t="s">
        <v>11</v>
      </c>
      <c r="AU286" t="s">
        <v>11</v>
      </c>
      <c r="AV286" t="s">
        <v>11</v>
      </c>
      <c r="AW286" t="s">
        <v>11</v>
      </c>
      <c r="AX286" t="s">
        <v>11</v>
      </c>
      <c r="AY286" t="s">
        <v>2270</v>
      </c>
      <c r="AZ286" t="s">
        <v>11</v>
      </c>
      <c r="BA286" t="s">
        <v>11</v>
      </c>
      <c r="BB286" t="s">
        <v>11</v>
      </c>
      <c r="BC286" t="s">
        <v>11</v>
      </c>
      <c r="BD286" t="s">
        <v>11</v>
      </c>
      <c r="BE286" t="s">
        <v>11</v>
      </c>
      <c r="BF286" t="s">
        <v>11</v>
      </c>
      <c r="BG286" t="s">
        <v>11</v>
      </c>
      <c r="BH286" t="s">
        <v>2271</v>
      </c>
      <c r="BI286" t="s">
        <v>2266</v>
      </c>
      <c r="BJ286" t="s">
        <v>2272</v>
      </c>
      <c r="BK286" t="s">
        <v>2273</v>
      </c>
    </row>
    <row r="287" spans="1:63" x14ac:dyDescent="0.3">
      <c r="A287" t="s">
        <v>2274</v>
      </c>
      <c r="B287" t="s">
        <v>514</v>
      </c>
      <c r="C287" t="s">
        <v>2275</v>
      </c>
      <c r="D287" t="s">
        <v>2276</v>
      </c>
      <c r="E287" t="s">
        <v>2235</v>
      </c>
      <c r="F287">
        <v>300</v>
      </c>
      <c r="G287">
        <v>77.03</v>
      </c>
      <c r="I287">
        <v>2.0699999999999998</v>
      </c>
      <c r="L287">
        <v>20.9</v>
      </c>
      <c r="AF287">
        <v>7.853523</v>
      </c>
      <c r="AI287" t="s">
        <v>0</v>
      </c>
      <c r="AJ287" t="s">
        <v>2277</v>
      </c>
      <c r="AK287" t="s">
        <v>11</v>
      </c>
      <c r="AL287" t="s">
        <v>11</v>
      </c>
      <c r="AM287" t="s">
        <v>11</v>
      </c>
      <c r="AN287" t="s">
        <v>11</v>
      </c>
      <c r="AO287" t="s">
        <v>11</v>
      </c>
      <c r="AP287" t="s">
        <v>11</v>
      </c>
      <c r="AQ287" t="s">
        <v>2278</v>
      </c>
      <c r="AR287" t="s">
        <v>11</v>
      </c>
      <c r="AS287" t="s">
        <v>11</v>
      </c>
      <c r="AT287" t="s">
        <v>11</v>
      </c>
      <c r="AU287" t="s">
        <v>11</v>
      </c>
      <c r="AV287" t="s">
        <v>11</v>
      </c>
      <c r="AW287" t="s">
        <v>11</v>
      </c>
      <c r="AX287" t="s">
        <v>11</v>
      </c>
      <c r="AY287" t="s">
        <v>11</v>
      </c>
      <c r="AZ287" t="s">
        <v>11</v>
      </c>
      <c r="BA287" t="s">
        <v>11</v>
      </c>
      <c r="BB287" t="s">
        <v>11</v>
      </c>
      <c r="BC287" t="s">
        <v>11</v>
      </c>
      <c r="BD287" t="s">
        <v>11</v>
      </c>
      <c r="BE287" t="s">
        <v>11</v>
      </c>
      <c r="BF287" t="s">
        <v>11</v>
      </c>
      <c r="BG287" t="s">
        <v>11</v>
      </c>
      <c r="BH287" t="s">
        <v>2279</v>
      </c>
      <c r="BI287" t="s">
        <v>2274</v>
      </c>
      <c r="BJ287" t="s">
        <v>2280</v>
      </c>
      <c r="BK287" t="s">
        <v>2281</v>
      </c>
    </row>
    <row r="288" spans="1:63" x14ac:dyDescent="0.3">
      <c r="A288" t="s">
        <v>2282</v>
      </c>
      <c r="B288" t="s">
        <v>514</v>
      </c>
      <c r="C288" t="s">
        <v>2283</v>
      </c>
      <c r="D288" t="s">
        <v>2284</v>
      </c>
      <c r="E288" t="s">
        <v>2235</v>
      </c>
      <c r="F288">
        <v>301</v>
      </c>
      <c r="G288">
        <v>77.069999999999993</v>
      </c>
      <c r="L288">
        <v>20.9</v>
      </c>
      <c r="Z288">
        <v>2.0299999999999998</v>
      </c>
      <c r="AF288">
        <v>7.9092498999999998</v>
      </c>
      <c r="AI288" t="s">
        <v>0</v>
      </c>
      <c r="AJ288" t="s">
        <v>11</v>
      </c>
      <c r="AK288" t="s">
        <v>11</v>
      </c>
      <c r="AL288" t="s">
        <v>11</v>
      </c>
      <c r="AM288" t="s">
        <v>11</v>
      </c>
      <c r="AN288" t="s">
        <v>11</v>
      </c>
      <c r="AO288" t="s">
        <v>11</v>
      </c>
      <c r="AP288" t="s">
        <v>11</v>
      </c>
      <c r="AQ288" t="s">
        <v>2278</v>
      </c>
      <c r="AR288" t="s">
        <v>11</v>
      </c>
      <c r="AS288" t="s">
        <v>11</v>
      </c>
      <c r="AT288" t="s">
        <v>11</v>
      </c>
      <c r="AU288" t="s">
        <v>11</v>
      </c>
      <c r="AV288" t="s">
        <v>11</v>
      </c>
      <c r="AW288" t="s">
        <v>11</v>
      </c>
      <c r="AX288" t="s">
        <v>11</v>
      </c>
      <c r="AY288" t="s">
        <v>11</v>
      </c>
      <c r="AZ288" t="s">
        <v>11</v>
      </c>
      <c r="BA288" t="s">
        <v>11</v>
      </c>
      <c r="BB288" t="s">
        <v>2285</v>
      </c>
      <c r="BC288" t="s">
        <v>11</v>
      </c>
      <c r="BD288" t="s">
        <v>11</v>
      </c>
      <c r="BE288" t="s">
        <v>11</v>
      </c>
      <c r="BF288" t="s">
        <v>11</v>
      </c>
      <c r="BG288" t="s">
        <v>11</v>
      </c>
      <c r="BH288" t="s">
        <v>2286</v>
      </c>
      <c r="BI288" t="s">
        <v>2282</v>
      </c>
      <c r="BJ288" t="s">
        <v>2287</v>
      </c>
      <c r="BK288" t="s">
        <v>2288</v>
      </c>
    </row>
    <row r="289" spans="1:63" x14ac:dyDescent="0.3">
      <c r="A289" t="s">
        <v>2289</v>
      </c>
      <c r="B289" t="s">
        <v>514</v>
      </c>
      <c r="C289" t="s">
        <v>2290</v>
      </c>
      <c r="D289" t="s">
        <v>2291</v>
      </c>
      <c r="E289" t="s">
        <v>2235</v>
      </c>
      <c r="F289">
        <v>302</v>
      </c>
      <c r="G289">
        <v>77.25</v>
      </c>
      <c r="J289">
        <v>2.85</v>
      </c>
      <c r="L289">
        <v>19.899999999999999</v>
      </c>
      <c r="AF289">
        <v>7.9770579999999995</v>
      </c>
      <c r="AI289" t="s">
        <v>0</v>
      </c>
      <c r="AJ289" t="s">
        <v>11</v>
      </c>
      <c r="AK289" t="s">
        <v>11</v>
      </c>
      <c r="AL289" t="s">
        <v>11</v>
      </c>
      <c r="AM289" t="s">
        <v>2292</v>
      </c>
      <c r="AN289" t="s">
        <v>11</v>
      </c>
      <c r="AO289" t="s">
        <v>11</v>
      </c>
      <c r="AP289" t="s">
        <v>11</v>
      </c>
      <c r="AQ289" t="s">
        <v>2293</v>
      </c>
      <c r="AR289" t="s">
        <v>11</v>
      </c>
      <c r="AS289" t="s">
        <v>11</v>
      </c>
      <c r="AT289" t="s">
        <v>11</v>
      </c>
      <c r="AU289" t="s">
        <v>11</v>
      </c>
      <c r="AV289" t="s">
        <v>11</v>
      </c>
      <c r="AW289" t="s">
        <v>11</v>
      </c>
      <c r="AX289" t="s">
        <v>11</v>
      </c>
      <c r="AY289" t="s">
        <v>11</v>
      </c>
      <c r="AZ289" t="s">
        <v>11</v>
      </c>
      <c r="BA289" t="s">
        <v>11</v>
      </c>
      <c r="BB289" t="s">
        <v>11</v>
      </c>
      <c r="BC289" t="s">
        <v>11</v>
      </c>
      <c r="BD289" t="s">
        <v>11</v>
      </c>
      <c r="BE289" t="s">
        <v>11</v>
      </c>
      <c r="BF289" t="s">
        <v>11</v>
      </c>
      <c r="BG289" t="s">
        <v>11</v>
      </c>
      <c r="BH289" t="s">
        <v>2294</v>
      </c>
      <c r="BI289" t="s">
        <v>2289</v>
      </c>
      <c r="BJ289" t="s">
        <v>2295</v>
      </c>
      <c r="BK289" t="s">
        <v>2296</v>
      </c>
    </row>
    <row r="290" spans="1:63" x14ac:dyDescent="0.3">
      <c r="A290" t="s">
        <v>2297</v>
      </c>
      <c r="B290" t="s">
        <v>514</v>
      </c>
      <c r="C290" t="s">
        <v>2298</v>
      </c>
      <c r="D290" t="s">
        <v>2299</v>
      </c>
      <c r="E290" t="s">
        <v>2235</v>
      </c>
      <c r="F290">
        <v>303</v>
      </c>
      <c r="G290">
        <v>77.25</v>
      </c>
      <c r="L290">
        <v>19.8</v>
      </c>
      <c r="O290">
        <v>2.95</v>
      </c>
      <c r="AF290">
        <v>7.9478809999999998</v>
      </c>
      <c r="AI290" t="s">
        <v>0</v>
      </c>
      <c r="AJ290" t="s">
        <v>11</v>
      </c>
      <c r="AK290" t="s">
        <v>11</v>
      </c>
      <c r="AL290" t="s">
        <v>11</v>
      </c>
      <c r="AM290" t="s">
        <v>11</v>
      </c>
      <c r="AN290" t="s">
        <v>11</v>
      </c>
      <c r="AO290" t="s">
        <v>11</v>
      </c>
      <c r="AP290" t="s">
        <v>2300</v>
      </c>
      <c r="AQ290" t="s">
        <v>2301</v>
      </c>
      <c r="AR290" t="s">
        <v>11</v>
      </c>
      <c r="AS290" t="s">
        <v>11</v>
      </c>
      <c r="AT290" t="s">
        <v>11</v>
      </c>
      <c r="AU290" t="s">
        <v>11</v>
      </c>
      <c r="AV290" t="s">
        <v>11</v>
      </c>
      <c r="AW290" t="s">
        <v>11</v>
      </c>
      <c r="AX290" t="s">
        <v>11</v>
      </c>
      <c r="AY290" t="s">
        <v>11</v>
      </c>
      <c r="AZ290" t="s">
        <v>11</v>
      </c>
      <c r="BA290" t="s">
        <v>11</v>
      </c>
      <c r="BB290" t="s">
        <v>11</v>
      </c>
      <c r="BC290" t="s">
        <v>11</v>
      </c>
      <c r="BD290" t="s">
        <v>11</v>
      </c>
      <c r="BE290" t="s">
        <v>11</v>
      </c>
      <c r="BF290" t="s">
        <v>11</v>
      </c>
      <c r="BG290" t="s">
        <v>11</v>
      </c>
      <c r="BH290" t="s">
        <v>2302</v>
      </c>
      <c r="BI290" t="s">
        <v>2297</v>
      </c>
      <c r="BJ290" t="s">
        <v>2303</v>
      </c>
      <c r="BK290" t="s">
        <v>2304</v>
      </c>
    </row>
    <row r="291" spans="1:63" x14ac:dyDescent="0.3">
      <c r="A291" t="s">
        <v>2305</v>
      </c>
      <c r="B291" t="s">
        <v>514</v>
      </c>
      <c r="C291" t="s">
        <v>2306</v>
      </c>
      <c r="D291" t="s">
        <v>2307</v>
      </c>
      <c r="E291" t="s">
        <v>2308</v>
      </c>
      <c r="F291">
        <v>304</v>
      </c>
      <c r="G291">
        <v>57.03</v>
      </c>
      <c r="H291">
        <v>18.89</v>
      </c>
      <c r="I291">
        <v>4.3099999999999996</v>
      </c>
      <c r="J291">
        <v>14.71</v>
      </c>
      <c r="L291">
        <v>5.0599999999999996</v>
      </c>
      <c r="AF291">
        <v>8.1604644000000004</v>
      </c>
      <c r="AI291" t="s">
        <v>0</v>
      </c>
      <c r="AJ291" t="s">
        <v>1057</v>
      </c>
      <c r="AK291" t="s">
        <v>11</v>
      </c>
      <c r="AL291" t="s">
        <v>2309</v>
      </c>
      <c r="AM291" t="s">
        <v>2310</v>
      </c>
      <c r="AN291" t="s">
        <v>11</v>
      </c>
      <c r="AO291" t="s">
        <v>11</v>
      </c>
      <c r="AP291" t="s">
        <v>11</v>
      </c>
      <c r="AQ291" t="s">
        <v>2311</v>
      </c>
      <c r="AR291" t="s">
        <v>11</v>
      </c>
      <c r="AS291" t="s">
        <v>11</v>
      </c>
      <c r="AT291" t="s">
        <v>11</v>
      </c>
      <c r="AU291" t="s">
        <v>11</v>
      </c>
      <c r="AV291" t="s">
        <v>11</v>
      </c>
      <c r="AW291" t="s">
        <v>11</v>
      </c>
      <c r="AX291" t="s">
        <v>11</v>
      </c>
      <c r="AY291" t="s">
        <v>11</v>
      </c>
      <c r="AZ291" t="s">
        <v>11</v>
      </c>
      <c r="BA291" t="s">
        <v>11</v>
      </c>
      <c r="BB291" t="s">
        <v>11</v>
      </c>
      <c r="BC291" t="s">
        <v>11</v>
      </c>
      <c r="BD291" t="s">
        <v>11</v>
      </c>
      <c r="BE291" t="s">
        <v>11</v>
      </c>
      <c r="BF291" t="s">
        <v>11</v>
      </c>
      <c r="BG291" t="s">
        <v>11</v>
      </c>
      <c r="BH291" t="s">
        <v>2312</v>
      </c>
      <c r="BI291" t="s">
        <v>2305</v>
      </c>
      <c r="BJ291" t="s">
        <v>2313</v>
      </c>
      <c r="BK291" t="s">
        <v>2314</v>
      </c>
    </row>
    <row r="292" spans="1:63" x14ac:dyDescent="0.3">
      <c r="A292" t="s">
        <v>2315</v>
      </c>
      <c r="B292" t="s">
        <v>5</v>
      </c>
      <c r="C292" t="s">
        <v>2316</v>
      </c>
      <c r="D292" t="s">
        <v>2317</v>
      </c>
      <c r="E292" t="s">
        <v>2308</v>
      </c>
      <c r="F292">
        <v>305</v>
      </c>
      <c r="G292">
        <v>48.379999999999995</v>
      </c>
      <c r="H292">
        <v>27.27</v>
      </c>
      <c r="I292">
        <v>4.91</v>
      </c>
      <c r="J292">
        <v>14.52</v>
      </c>
      <c r="L292">
        <v>4.92</v>
      </c>
      <c r="AF292">
        <v>8.1333340000000014</v>
      </c>
      <c r="AI292" t="s">
        <v>0</v>
      </c>
      <c r="AJ292" t="s">
        <v>625</v>
      </c>
      <c r="AK292" t="s">
        <v>11</v>
      </c>
      <c r="AL292" t="s">
        <v>2318</v>
      </c>
      <c r="AM292" t="s">
        <v>2319</v>
      </c>
      <c r="AN292" t="s">
        <v>11</v>
      </c>
      <c r="AO292" t="s">
        <v>11</v>
      </c>
      <c r="AP292" t="s">
        <v>11</v>
      </c>
      <c r="AQ292" t="s">
        <v>2320</v>
      </c>
      <c r="AR292" t="s">
        <v>11</v>
      </c>
      <c r="AS292" t="s">
        <v>11</v>
      </c>
      <c r="AT292" t="s">
        <v>11</v>
      </c>
      <c r="AU292" t="s">
        <v>11</v>
      </c>
      <c r="AV292" t="s">
        <v>11</v>
      </c>
      <c r="AW292" t="s">
        <v>11</v>
      </c>
      <c r="AX292" t="s">
        <v>11</v>
      </c>
      <c r="AY292" t="s">
        <v>11</v>
      </c>
      <c r="AZ292" t="s">
        <v>11</v>
      </c>
      <c r="BA292" t="s">
        <v>11</v>
      </c>
      <c r="BB292" t="s">
        <v>11</v>
      </c>
      <c r="BC292" t="s">
        <v>11</v>
      </c>
      <c r="BD292" t="s">
        <v>11</v>
      </c>
      <c r="BE292" t="s">
        <v>11</v>
      </c>
      <c r="BF292" t="s">
        <v>11</v>
      </c>
      <c r="BG292" t="s">
        <v>11</v>
      </c>
      <c r="BH292" t="s">
        <v>2321</v>
      </c>
      <c r="BI292" t="s">
        <v>2315</v>
      </c>
      <c r="BJ292" t="s">
        <v>2322</v>
      </c>
      <c r="BK292" t="s">
        <v>2323</v>
      </c>
    </row>
    <row r="293" spans="1:63" x14ac:dyDescent="0.3">
      <c r="A293" t="s">
        <v>2324</v>
      </c>
      <c r="B293" t="s">
        <v>160</v>
      </c>
      <c r="C293" t="s">
        <v>2325</v>
      </c>
      <c r="D293" t="s">
        <v>2326</v>
      </c>
      <c r="E293" t="s">
        <v>2327</v>
      </c>
      <c r="F293">
        <v>306</v>
      </c>
      <c r="G293">
        <v>48.22</v>
      </c>
      <c r="H293">
        <v>27.8</v>
      </c>
      <c r="I293">
        <v>3.7</v>
      </c>
      <c r="K293">
        <v>19.899999999999999</v>
      </c>
      <c r="Q293">
        <v>0.02</v>
      </c>
      <c r="S293">
        <v>0.01</v>
      </c>
      <c r="V293">
        <v>0.35</v>
      </c>
      <c r="AF293">
        <v>10.707506999999998</v>
      </c>
      <c r="AI293" t="s">
        <v>0</v>
      </c>
      <c r="AJ293" t="s">
        <v>2328</v>
      </c>
      <c r="AK293" t="s">
        <v>2329</v>
      </c>
      <c r="AL293" t="s">
        <v>2330</v>
      </c>
      <c r="AM293" t="s">
        <v>11</v>
      </c>
      <c r="AN293" t="s">
        <v>11</v>
      </c>
      <c r="AO293" t="s">
        <v>11</v>
      </c>
      <c r="AP293" t="s">
        <v>11</v>
      </c>
      <c r="AQ293" t="s">
        <v>11</v>
      </c>
      <c r="AR293" t="s">
        <v>11</v>
      </c>
      <c r="AS293" t="s">
        <v>2331</v>
      </c>
      <c r="AT293" t="s">
        <v>11</v>
      </c>
      <c r="AU293" t="s">
        <v>577</v>
      </c>
      <c r="AV293" t="s">
        <v>11</v>
      </c>
      <c r="AW293" t="s">
        <v>11</v>
      </c>
      <c r="AX293" t="s">
        <v>1533</v>
      </c>
      <c r="AY293" t="s">
        <v>11</v>
      </c>
      <c r="AZ293" t="s">
        <v>11</v>
      </c>
      <c r="BA293" t="s">
        <v>11</v>
      </c>
      <c r="BB293" t="s">
        <v>11</v>
      </c>
      <c r="BC293" t="s">
        <v>11</v>
      </c>
      <c r="BD293" t="s">
        <v>11</v>
      </c>
      <c r="BE293" t="s">
        <v>11</v>
      </c>
      <c r="BF293" t="s">
        <v>11</v>
      </c>
      <c r="BG293" t="s">
        <v>11</v>
      </c>
      <c r="BH293" t="s">
        <v>2332</v>
      </c>
      <c r="BI293" t="s">
        <v>2324</v>
      </c>
      <c r="BJ293" t="s">
        <v>2333</v>
      </c>
      <c r="BK293" t="s">
        <v>2334</v>
      </c>
    </row>
    <row r="294" spans="1:63" x14ac:dyDescent="0.3">
      <c r="A294" t="s">
        <v>2335</v>
      </c>
      <c r="B294" t="s">
        <v>514</v>
      </c>
      <c r="C294" t="s">
        <v>2336</v>
      </c>
      <c r="D294" t="s">
        <v>2337</v>
      </c>
      <c r="E294" t="s">
        <v>2338</v>
      </c>
      <c r="F294">
        <v>307</v>
      </c>
      <c r="G294">
        <v>55.5</v>
      </c>
      <c r="H294">
        <v>20</v>
      </c>
      <c r="I294">
        <v>8</v>
      </c>
      <c r="J294">
        <v>6</v>
      </c>
      <c r="K294">
        <v>5</v>
      </c>
      <c r="L294">
        <v>2.5</v>
      </c>
      <c r="M294">
        <v>1.5</v>
      </c>
      <c r="V294">
        <v>1.4</v>
      </c>
      <c r="Y294">
        <v>0.1</v>
      </c>
      <c r="AF294">
        <v>8.7393549999999998</v>
      </c>
      <c r="AI294" t="s">
        <v>0</v>
      </c>
      <c r="AJ294" t="s">
        <v>164</v>
      </c>
      <c r="AK294" t="s">
        <v>1491</v>
      </c>
      <c r="AL294" t="s">
        <v>834</v>
      </c>
      <c r="AM294" t="s">
        <v>2195</v>
      </c>
      <c r="AN294" t="s">
        <v>396</v>
      </c>
      <c r="AO294" t="s">
        <v>11</v>
      </c>
      <c r="AP294" t="s">
        <v>11</v>
      </c>
      <c r="AQ294" t="s">
        <v>1217</v>
      </c>
      <c r="AR294" t="s">
        <v>11</v>
      </c>
      <c r="AS294" t="s">
        <v>11</v>
      </c>
      <c r="AT294" t="s">
        <v>11</v>
      </c>
      <c r="AU294" t="s">
        <v>11</v>
      </c>
      <c r="AV294" t="s">
        <v>11</v>
      </c>
      <c r="AW294" t="s">
        <v>11</v>
      </c>
      <c r="AX294" t="s">
        <v>2339</v>
      </c>
      <c r="AY294" t="s">
        <v>11</v>
      </c>
      <c r="AZ294" t="s">
        <v>11</v>
      </c>
      <c r="BA294" t="s">
        <v>1534</v>
      </c>
      <c r="BB294" t="s">
        <v>11</v>
      </c>
      <c r="BC294" t="s">
        <v>11</v>
      </c>
      <c r="BD294" t="s">
        <v>11</v>
      </c>
      <c r="BE294" t="s">
        <v>11</v>
      </c>
      <c r="BF294" t="s">
        <v>11</v>
      </c>
      <c r="BG294" t="s">
        <v>11</v>
      </c>
      <c r="BH294" t="s">
        <v>2340</v>
      </c>
      <c r="BI294" t="s">
        <v>2335</v>
      </c>
      <c r="BJ294" t="s">
        <v>2341</v>
      </c>
      <c r="BK294" t="s">
        <v>2342</v>
      </c>
    </row>
    <row r="295" spans="1:63" x14ac:dyDescent="0.3">
      <c r="A295" t="s">
        <v>2343</v>
      </c>
      <c r="B295" t="s">
        <v>5</v>
      </c>
      <c r="C295" t="s">
        <v>2344</v>
      </c>
      <c r="D295" t="s">
        <v>2345</v>
      </c>
      <c r="E295" t="s">
        <v>2346</v>
      </c>
      <c r="F295">
        <v>309</v>
      </c>
      <c r="G295">
        <v>50.4</v>
      </c>
      <c r="H295">
        <v>32</v>
      </c>
      <c r="I295">
        <v>9.9</v>
      </c>
      <c r="L295">
        <v>1.4</v>
      </c>
      <c r="M295">
        <v>1.7</v>
      </c>
      <c r="P295">
        <v>4.5999999999999996</v>
      </c>
      <c r="AF295">
        <v>8.4224879999999995</v>
      </c>
      <c r="AG295">
        <v>8.5500000000000007</v>
      </c>
      <c r="AI295" t="s">
        <v>0</v>
      </c>
      <c r="AJ295" t="s">
        <v>575</v>
      </c>
      <c r="AK295" t="s">
        <v>11</v>
      </c>
      <c r="AL295" t="s">
        <v>1530</v>
      </c>
      <c r="AM295" t="s">
        <v>11</v>
      </c>
      <c r="AN295" t="s">
        <v>1515</v>
      </c>
      <c r="AO295" t="s">
        <v>11</v>
      </c>
      <c r="AP295" t="s">
        <v>11</v>
      </c>
      <c r="AQ295" t="s">
        <v>2347</v>
      </c>
      <c r="AR295" t="s">
        <v>2348</v>
      </c>
      <c r="AS295" t="s">
        <v>11</v>
      </c>
      <c r="AT295" t="s">
        <v>11</v>
      </c>
      <c r="AU295" t="s">
        <v>11</v>
      </c>
      <c r="AV295" t="s">
        <v>11</v>
      </c>
      <c r="AW295" t="s">
        <v>11</v>
      </c>
      <c r="AX295" t="s">
        <v>11</v>
      </c>
      <c r="AY295" t="s">
        <v>11</v>
      </c>
      <c r="AZ295" t="s">
        <v>11</v>
      </c>
      <c r="BA295" t="s">
        <v>11</v>
      </c>
      <c r="BB295" t="s">
        <v>11</v>
      </c>
      <c r="BC295" t="s">
        <v>11</v>
      </c>
      <c r="BD295" t="s">
        <v>11</v>
      </c>
      <c r="BE295" t="s">
        <v>11</v>
      </c>
      <c r="BF295" t="s">
        <v>11</v>
      </c>
      <c r="BG295" t="s">
        <v>11</v>
      </c>
      <c r="BH295" t="s">
        <v>2349</v>
      </c>
      <c r="BI295" t="s">
        <v>2343</v>
      </c>
      <c r="BJ295" t="s">
        <v>2350</v>
      </c>
      <c r="BK295" t="s">
        <v>2351</v>
      </c>
    </row>
    <row r="296" spans="1:63" x14ac:dyDescent="0.3">
      <c r="A296" t="s">
        <v>2352</v>
      </c>
      <c r="B296" t="s">
        <v>5</v>
      </c>
      <c r="C296" t="s">
        <v>2353</v>
      </c>
      <c r="D296" t="s">
        <v>2354</v>
      </c>
      <c r="E296" t="s">
        <v>2346</v>
      </c>
      <c r="F296">
        <v>310</v>
      </c>
      <c r="G296">
        <v>82.9</v>
      </c>
      <c r="I296">
        <v>9.9</v>
      </c>
      <c r="M296">
        <v>2.1</v>
      </c>
      <c r="P296">
        <v>5.0999999999999996</v>
      </c>
      <c r="AF296">
        <v>8.5193300000000018</v>
      </c>
      <c r="AG296">
        <v>8.61</v>
      </c>
      <c r="AI296" t="s">
        <v>0</v>
      </c>
      <c r="AJ296" t="s">
        <v>575</v>
      </c>
      <c r="AK296" t="s">
        <v>11</v>
      </c>
      <c r="AL296" t="s">
        <v>11</v>
      </c>
      <c r="AM296" t="s">
        <v>11</v>
      </c>
      <c r="AN296" t="s">
        <v>2355</v>
      </c>
      <c r="AO296" t="s">
        <v>11</v>
      </c>
      <c r="AP296" t="s">
        <v>11</v>
      </c>
      <c r="AQ296" t="s">
        <v>11</v>
      </c>
      <c r="AR296" t="s">
        <v>2204</v>
      </c>
      <c r="AS296" t="s">
        <v>11</v>
      </c>
      <c r="AT296" t="s">
        <v>11</v>
      </c>
      <c r="AU296" t="s">
        <v>11</v>
      </c>
      <c r="AV296" t="s">
        <v>11</v>
      </c>
      <c r="AW296" t="s">
        <v>11</v>
      </c>
      <c r="AX296" t="s">
        <v>11</v>
      </c>
      <c r="AY296" t="s">
        <v>11</v>
      </c>
      <c r="AZ296" t="s">
        <v>11</v>
      </c>
      <c r="BA296" t="s">
        <v>11</v>
      </c>
      <c r="BB296" t="s">
        <v>11</v>
      </c>
      <c r="BC296" t="s">
        <v>11</v>
      </c>
      <c r="BD296" t="s">
        <v>11</v>
      </c>
      <c r="BE296" t="s">
        <v>11</v>
      </c>
      <c r="BF296" t="s">
        <v>11</v>
      </c>
      <c r="BG296" t="s">
        <v>11</v>
      </c>
      <c r="BH296" t="s">
        <v>2356</v>
      </c>
      <c r="BI296" t="s">
        <v>2352</v>
      </c>
      <c r="BJ296" t="s">
        <v>2357</v>
      </c>
      <c r="BK296" t="s">
        <v>2358</v>
      </c>
    </row>
    <row r="297" spans="1:63" x14ac:dyDescent="0.3">
      <c r="A297" t="s">
        <v>2359</v>
      </c>
      <c r="B297" t="s">
        <v>5</v>
      </c>
      <c r="C297" t="s">
        <v>2360</v>
      </c>
      <c r="D297" t="s">
        <v>2361</v>
      </c>
      <c r="E297" t="s">
        <v>2346</v>
      </c>
      <c r="F297">
        <v>311</v>
      </c>
      <c r="G297">
        <v>51.699999999999996</v>
      </c>
      <c r="H297">
        <v>31</v>
      </c>
      <c r="I297">
        <v>10.1</v>
      </c>
      <c r="M297">
        <v>2.1</v>
      </c>
      <c r="P297">
        <v>5.0999999999999996</v>
      </c>
      <c r="AF297">
        <v>8.5094100000000008</v>
      </c>
      <c r="AG297">
        <v>8.65</v>
      </c>
      <c r="AI297" t="s">
        <v>0</v>
      </c>
      <c r="AJ297" t="s">
        <v>1246</v>
      </c>
      <c r="AK297" t="s">
        <v>11</v>
      </c>
      <c r="AL297" t="s">
        <v>2362</v>
      </c>
      <c r="AM297" t="s">
        <v>11</v>
      </c>
      <c r="AN297" t="s">
        <v>2355</v>
      </c>
      <c r="AO297" t="s">
        <v>11</v>
      </c>
      <c r="AP297" t="s">
        <v>11</v>
      </c>
      <c r="AQ297" t="s">
        <v>11</v>
      </c>
      <c r="AR297" t="s">
        <v>2204</v>
      </c>
      <c r="AS297" t="s">
        <v>11</v>
      </c>
      <c r="AT297" t="s">
        <v>11</v>
      </c>
      <c r="AU297" t="s">
        <v>11</v>
      </c>
      <c r="AV297" t="s">
        <v>11</v>
      </c>
      <c r="AW297" t="s">
        <v>11</v>
      </c>
      <c r="AX297" t="s">
        <v>11</v>
      </c>
      <c r="AY297" t="s">
        <v>11</v>
      </c>
      <c r="AZ297" t="s">
        <v>11</v>
      </c>
      <c r="BA297" t="s">
        <v>11</v>
      </c>
      <c r="BB297" t="s">
        <v>11</v>
      </c>
      <c r="BC297" t="s">
        <v>11</v>
      </c>
      <c r="BD297" t="s">
        <v>11</v>
      </c>
      <c r="BE297" t="s">
        <v>11</v>
      </c>
      <c r="BF297" t="s">
        <v>11</v>
      </c>
      <c r="BG297" t="s">
        <v>11</v>
      </c>
      <c r="BH297" t="s">
        <v>2363</v>
      </c>
      <c r="BI297" t="s">
        <v>2359</v>
      </c>
      <c r="BJ297" t="s">
        <v>2364</v>
      </c>
      <c r="BK297" t="s">
        <v>2365</v>
      </c>
    </row>
    <row r="298" spans="1:63" x14ac:dyDescent="0.3">
      <c r="A298" t="s">
        <v>2366</v>
      </c>
      <c r="B298" t="s">
        <v>5</v>
      </c>
      <c r="C298" t="s">
        <v>2367</v>
      </c>
      <c r="D298" t="s">
        <v>2368</v>
      </c>
      <c r="E298" t="s">
        <v>2369</v>
      </c>
      <c r="F298">
        <v>312</v>
      </c>
      <c r="G298">
        <v>83</v>
      </c>
      <c r="I298">
        <v>9.8000000000000007</v>
      </c>
      <c r="N298">
        <v>2.1</v>
      </c>
      <c r="P298">
        <v>5.0999999999999996</v>
      </c>
      <c r="AF298">
        <v>8.3558500000000002</v>
      </c>
      <c r="AG298">
        <v>8.36</v>
      </c>
      <c r="AI298" t="s">
        <v>0</v>
      </c>
      <c r="AJ298" t="s">
        <v>1319</v>
      </c>
      <c r="AK298" t="s">
        <v>11</v>
      </c>
      <c r="AL298" t="s">
        <v>11</v>
      </c>
      <c r="AM298" t="s">
        <v>11</v>
      </c>
      <c r="AN298" t="s">
        <v>11</v>
      </c>
      <c r="AO298" t="s">
        <v>2370</v>
      </c>
      <c r="AP298" t="s">
        <v>11</v>
      </c>
      <c r="AQ298" t="s">
        <v>11</v>
      </c>
      <c r="AR298" t="s">
        <v>2204</v>
      </c>
      <c r="AS298" t="s">
        <v>11</v>
      </c>
      <c r="AT298" t="s">
        <v>11</v>
      </c>
      <c r="AU298" t="s">
        <v>11</v>
      </c>
      <c r="AV298" t="s">
        <v>11</v>
      </c>
      <c r="AW298" t="s">
        <v>11</v>
      </c>
      <c r="AX298" t="s">
        <v>11</v>
      </c>
      <c r="AY298" t="s">
        <v>11</v>
      </c>
      <c r="AZ298" t="s">
        <v>11</v>
      </c>
      <c r="BA298" t="s">
        <v>11</v>
      </c>
      <c r="BB298" t="s">
        <v>11</v>
      </c>
      <c r="BC298" t="s">
        <v>11</v>
      </c>
      <c r="BD298" t="s">
        <v>11</v>
      </c>
      <c r="BE298" t="s">
        <v>11</v>
      </c>
      <c r="BF298" t="s">
        <v>11</v>
      </c>
      <c r="BG298" t="s">
        <v>11</v>
      </c>
      <c r="BH298" t="s">
        <v>2371</v>
      </c>
      <c r="BI298" t="s">
        <v>2366</v>
      </c>
      <c r="BJ298" t="s">
        <v>2372</v>
      </c>
      <c r="BK298" t="s">
        <v>2373</v>
      </c>
    </row>
    <row r="299" spans="1:63" x14ac:dyDescent="0.3">
      <c r="A299" t="s">
        <v>2374</v>
      </c>
      <c r="B299" t="s">
        <v>5</v>
      </c>
      <c r="C299" t="s">
        <v>2375</v>
      </c>
      <c r="D299" t="s">
        <v>2376</v>
      </c>
      <c r="E299" t="s">
        <v>2377</v>
      </c>
      <c r="F299">
        <v>313</v>
      </c>
      <c r="G299">
        <v>71.3</v>
      </c>
      <c r="H299">
        <v>11.5</v>
      </c>
      <c r="I299">
        <v>9.9</v>
      </c>
      <c r="N299">
        <v>2.1</v>
      </c>
      <c r="P299">
        <v>5.2</v>
      </c>
      <c r="AF299">
        <v>8.3519500000000004</v>
      </c>
      <c r="AG299">
        <v>8.3699999999999992</v>
      </c>
      <c r="AI299" t="s">
        <v>0</v>
      </c>
      <c r="AJ299" t="s">
        <v>575</v>
      </c>
      <c r="AK299" t="s">
        <v>11</v>
      </c>
      <c r="AL299" t="s">
        <v>2378</v>
      </c>
      <c r="AM299" t="s">
        <v>11</v>
      </c>
      <c r="AN299" t="s">
        <v>11</v>
      </c>
      <c r="AO299" t="s">
        <v>2370</v>
      </c>
      <c r="AP299" t="s">
        <v>11</v>
      </c>
      <c r="AQ299" t="s">
        <v>11</v>
      </c>
      <c r="AR299" t="s">
        <v>2379</v>
      </c>
      <c r="AS299" t="s">
        <v>11</v>
      </c>
      <c r="AT299" t="s">
        <v>11</v>
      </c>
      <c r="AU299" t="s">
        <v>11</v>
      </c>
      <c r="AV299" t="s">
        <v>11</v>
      </c>
      <c r="AW299" t="s">
        <v>11</v>
      </c>
      <c r="AX299" t="s">
        <v>11</v>
      </c>
      <c r="AY299" t="s">
        <v>11</v>
      </c>
      <c r="AZ299" t="s">
        <v>11</v>
      </c>
      <c r="BA299" t="s">
        <v>11</v>
      </c>
      <c r="BB299" t="s">
        <v>11</v>
      </c>
      <c r="BC299" t="s">
        <v>11</v>
      </c>
      <c r="BD299" t="s">
        <v>11</v>
      </c>
      <c r="BE299" t="s">
        <v>11</v>
      </c>
      <c r="BF299" t="s">
        <v>11</v>
      </c>
      <c r="BG299" t="s">
        <v>11</v>
      </c>
      <c r="BH299" t="s">
        <v>2380</v>
      </c>
      <c r="BI299" t="s">
        <v>2374</v>
      </c>
      <c r="BJ299" t="s">
        <v>2381</v>
      </c>
      <c r="BK299" t="s">
        <v>2382</v>
      </c>
    </row>
    <row r="300" spans="1:63" x14ac:dyDescent="0.3">
      <c r="A300" t="s">
        <v>2383</v>
      </c>
      <c r="B300" t="s">
        <v>5</v>
      </c>
      <c r="C300" t="s">
        <v>2384</v>
      </c>
      <c r="D300" t="s">
        <v>2385</v>
      </c>
      <c r="E300" t="s">
        <v>2377</v>
      </c>
      <c r="F300">
        <v>314</v>
      </c>
      <c r="G300">
        <v>61</v>
      </c>
      <c r="H300">
        <v>22</v>
      </c>
      <c r="I300">
        <v>9.8000000000000007</v>
      </c>
      <c r="N300">
        <v>2.1</v>
      </c>
      <c r="P300">
        <v>5.0999999999999996</v>
      </c>
      <c r="AF300">
        <v>8.3576099999999993</v>
      </c>
      <c r="AG300">
        <v>8.3699999999999992</v>
      </c>
      <c r="AI300" t="s">
        <v>0</v>
      </c>
      <c r="AJ300" t="s">
        <v>1319</v>
      </c>
      <c r="AK300" t="s">
        <v>11</v>
      </c>
      <c r="AL300" t="s">
        <v>2386</v>
      </c>
      <c r="AM300" t="s">
        <v>11</v>
      </c>
      <c r="AN300" t="s">
        <v>11</v>
      </c>
      <c r="AO300" t="s">
        <v>2370</v>
      </c>
      <c r="AP300" t="s">
        <v>11</v>
      </c>
      <c r="AQ300" t="s">
        <v>11</v>
      </c>
      <c r="AR300" t="s">
        <v>2204</v>
      </c>
      <c r="AS300" t="s">
        <v>11</v>
      </c>
      <c r="AT300" t="s">
        <v>11</v>
      </c>
      <c r="AU300" t="s">
        <v>11</v>
      </c>
      <c r="AV300" t="s">
        <v>11</v>
      </c>
      <c r="AW300" t="s">
        <v>11</v>
      </c>
      <c r="AX300" t="s">
        <v>11</v>
      </c>
      <c r="AY300" t="s">
        <v>11</v>
      </c>
      <c r="AZ300" t="s">
        <v>11</v>
      </c>
      <c r="BA300" t="s">
        <v>11</v>
      </c>
      <c r="BB300" t="s">
        <v>11</v>
      </c>
      <c r="BC300" t="s">
        <v>11</v>
      </c>
      <c r="BD300" t="s">
        <v>11</v>
      </c>
      <c r="BE300" t="s">
        <v>11</v>
      </c>
      <c r="BF300" t="s">
        <v>11</v>
      </c>
      <c r="BG300" t="s">
        <v>11</v>
      </c>
      <c r="BH300" t="s">
        <v>2387</v>
      </c>
      <c r="BI300" t="s">
        <v>2383</v>
      </c>
      <c r="BJ300" t="s">
        <v>2388</v>
      </c>
      <c r="BK300" t="s">
        <v>2389</v>
      </c>
    </row>
    <row r="301" spans="1:63" x14ac:dyDescent="0.3">
      <c r="A301" t="s">
        <v>2390</v>
      </c>
      <c r="B301" t="s">
        <v>5</v>
      </c>
      <c r="C301" t="s">
        <v>2391</v>
      </c>
      <c r="D301" t="s">
        <v>2392</v>
      </c>
      <c r="E301" t="s">
        <v>2377</v>
      </c>
      <c r="F301">
        <v>315</v>
      </c>
      <c r="G301">
        <v>50.8</v>
      </c>
      <c r="H301">
        <v>32</v>
      </c>
      <c r="I301">
        <v>9.6999999999999993</v>
      </c>
      <c r="N301">
        <v>2.2999999999999998</v>
      </c>
      <c r="P301">
        <v>5.2</v>
      </c>
      <c r="AF301">
        <v>8.3653300000000002</v>
      </c>
      <c r="AG301">
        <v>8.3800000000000008</v>
      </c>
      <c r="AI301" t="s">
        <v>0</v>
      </c>
      <c r="AJ301" t="s">
        <v>1310</v>
      </c>
      <c r="AK301" t="s">
        <v>11</v>
      </c>
      <c r="AL301" t="s">
        <v>1530</v>
      </c>
      <c r="AM301" t="s">
        <v>11</v>
      </c>
      <c r="AN301" t="s">
        <v>11</v>
      </c>
      <c r="AO301" t="s">
        <v>2393</v>
      </c>
      <c r="AP301" t="s">
        <v>11</v>
      </c>
      <c r="AQ301" t="s">
        <v>11</v>
      </c>
      <c r="AR301" t="s">
        <v>2379</v>
      </c>
      <c r="AS301" t="s">
        <v>11</v>
      </c>
      <c r="AT301" t="s">
        <v>11</v>
      </c>
      <c r="AU301" t="s">
        <v>11</v>
      </c>
      <c r="AV301" t="s">
        <v>11</v>
      </c>
      <c r="AW301" t="s">
        <v>11</v>
      </c>
      <c r="AX301" t="s">
        <v>11</v>
      </c>
      <c r="AY301" t="s">
        <v>11</v>
      </c>
      <c r="AZ301" t="s">
        <v>11</v>
      </c>
      <c r="BA301" t="s">
        <v>11</v>
      </c>
      <c r="BB301" t="s">
        <v>11</v>
      </c>
      <c r="BC301" t="s">
        <v>11</v>
      </c>
      <c r="BD301" t="s">
        <v>11</v>
      </c>
      <c r="BE301" t="s">
        <v>11</v>
      </c>
      <c r="BF301" t="s">
        <v>11</v>
      </c>
      <c r="BG301" t="s">
        <v>11</v>
      </c>
      <c r="BH301" t="s">
        <v>2394</v>
      </c>
      <c r="BI301" t="s">
        <v>2390</v>
      </c>
      <c r="BJ301" t="s">
        <v>2395</v>
      </c>
      <c r="BK301" t="s">
        <v>2396</v>
      </c>
    </row>
    <row r="302" spans="1:63" x14ac:dyDescent="0.3">
      <c r="A302" t="s">
        <v>2397</v>
      </c>
      <c r="B302" t="s">
        <v>5</v>
      </c>
      <c r="C302" t="s">
        <v>2398</v>
      </c>
      <c r="D302" t="s">
        <v>2399</v>
      </c>
      <c r="E302" t="s">
        <v>2400</v>
      </c>
      <c r="F302">
        <v>316</v>
      </c>
      <c r="G302">
        <v>56</v>
      </c>
      <c r="H302">
        <v>30</v>
      </c>
      <c r="I302">
        <v>10</v>
      </c>
      <c r="L302">
        <v>2</v>
      </c>
      <c r="N302">
        <v>2</v>
      </c>
      <c r="AF302">
        <v>8.1879400000000011</v>
      </c>
      <c r="AG302">
        <v>8.3800000000000008</v>
      </c>
      <c r="AH302" t="s">
        <v>2401</v>
      </c>
      <c r="AI302" t="s">
        <v>0</v>
      </c>
      <c r="AJ302" t="s">
        <v>22</v>
      </c>
      <c r="AK302" t="s">
        <v>11</v>
      </c>
      <c r="AL302" t="s">
        <v>23</v>
      </c>
      <c r="AM302" t="s">
        <v>11</v>
      </c>
      <c r="AN302" t="s">
        <v>11</v>
      </c>
      <c r="AO302" t="s">
        <v>790</v>
      </c>
      <c r="AP302" t="s">
        <v>11</v>
      </c>
      <c r="AQ302" t="s">
        <v>25</v>
      </c>
      <c r="AR302" t="s">
        <v>11</v>
      </c>
      <c r="AS302" t="s">
        <v>11</v>
      </c>
      <c r="AT302" t="s">
        <v>11</v>
      </c>
      <c r="AU302" t="s">
        <v>11</v>
      </c>
      <c r="AV302" t="s">
        <v>11</v>
      </c>
      <c r="AW302" t="s">
        <v>11</v>
      </c>
      <c r="AX302" t="s">
        <v>11</v>
      </c>
      <c r="AY302" t="s">
        <v>11</v>
      </c>
      <c r="AZ302" t="s">
        <v>11</v>
      </c>
      <c r="BA302" t="s">
        <v>11</v>
      </c>
      <c r="BB302" t="s">
        <v>11</v>
      </c>
      <c r="BC302" t="s">
        <v>11</v>
      </c>
      <c r="BD302" t="s">
        <v>11</v>
      </c>
      <c r="BE302" t="s">
        <v>11</v>
      </c>
      <c r="BF302" t="s">
        <v>11</v>
      </c>
      <c r="BG302" t="s">
        <v>11</v>
      </c>
      <c r="BH302" t="s">
        <v>2402</v>
      </c>
      <c r="BI302" t="s">
        <v>2397</v>
      </c>
      <c r="BJ302" t="s">
        <v>2403</v>
      </c>
      <c r="BK302" t="s">
        <v>2404</v>
      </c>
    </row>
    <row r="303" spans="1:63" x14ac:dyDescent="0.3">
      <c r="A303" t="s">
        <v>2405</v>
      </c>
      <c r="B303" t="s">
        <v>160</v>
      </c>
      <c r="C303" t="s">
        <v>1280</v>
      </c>
      <c r="D303" t="s">
        <v>2406</v>
      </c>
      <c r="E303" t="s">
        <v>2407</v>
      </c>
      <c r="F303">
        <v>317</v>
      </c>
      <c r="G303">
        <v>28.840000000000003</v>
      </c>
      <c r="H303">
        <v>40</v>
      </c>
      <c r="I303">
        <v>10</v>
      </c>
      <c r="J303">
        <v>10</v>
      </c>
      <c r="K303">
        <v>7.5</v>
      </c>
      <c r="M303">
        <v>3</v>
      </c>
      <c r="Q303">
        <v>0.6</v>
      </c>
      <c r="S303">
        <v>0.06</v>
      </c>
      <c r="AF303">
        <v>9.0772460000000006</v>
      </c>
      <c r="AI303" t="s">
        <v>0</v>
      </c>
      <c r="AJ303" t="s">
        <v>22</v>
      </c>
      <c r="AK303" t="s">
        <v>195</v>
      </c>
      <c r="AL303" t="s">
        <v>1283</v>
      </c>
      <c r="AM303" t="s">
        <v>1284</v>
      </c>
      <c r="AN303" t="s">
        <v>1285</v>
      </c>
      <c r="AO303" t="s">
        <v>11</v>
      </c>
      <c r="AP303" t="s">
        <v>11</v>
      </c>
      <c r="AQ303" t="s">
        <v>11</v>
      </c>
      <c r="AR303" t="s">
        <v>11</v>
      </c>
      <c r="AS303" t="s">
        <v>2408</v>
      </c>
      <c r="AT303" t="s">
        <v>11</v>
      </c>
      <c r="AU303" t="s">
        <v>1287</v>
      </c>
      <c r="AV303" t="s">
        <v>11</v>
      </c>
      <c r="AW303" t="s">
        <v>11</v>
      </c>
      <c r="AX303" t="s">
        <v>11</v>
      </c>
      <c r="AY303" t="s">
        <v>11</v>
      </c>
      <c r="AZ303" t="s">
        <v>11</v>
      </c>
      <c r="BA303" t="s">
        <v>11</v>
      </c>
      <c r="BB303" t="s">
        <v>11</v>
      </c>
      <c r="BC303" t="s">
        <v>11</v>
      </c>
      <c r="BD303" t="s">
        <v>11</v>
      </c>
      <c r="BE303" t="s">
        <v>11</v>
      </c>
      <c r="BF303" t="s">
        <v>11</v>
      </c>
      <c r="BG303" t="s">
        <v>11</v>
      </c>
      <c r="BH303" t="s">
        <v>2409</v>
      </c>
      <c r="BI303" t="s">
        <v>2405</v>
      </c>
      <c r="BJ303" t="s">
        <v>2410</v>
      </c>
      <c r="BK303" t="s">
        <v>2411</v>
      </c>
    </row>
    <row r="304" spans="1:63" x14ac:dyDescent="0.3">
      <c r="A304" t="s">
        <v>2412</v>
      </c>
      <c r="B304" t="s">
        <v>160</v>
      </c>
      <c r="C304" t="s">
        <v>2413</v>
      </c>
      <c r="D304" t="s">
        <v>2414</v>
      </c>
      <c r="E304" t="s">
        <v>2407</v>
      </c>
      <c r="F304">
        <v>318</v>
      </c>
      <c r="G304">
        <v>38.839999999999996</v>
      </c>
      <c r="H304">
        <v>30</v>
      </c>
      <c r="I304">
        <v>10</v>
      </c>
      <c r="J304">
        <v>10</v>
      </c>
      <c r="K304">
        <v>7.5</v>
      </c>
      <c r="N304">
        <v>3</v>
      </c>
      <c r="Q304">
        <v>0.6</v>
      </c>
      <c r="S304">
        <v>0.06</v>
      </c>
      <c r="AF304">
        <v>8.834045999999999</v>
      </c>
      <c r="AI304" t="s">
        <v>0</v>
      </c>
      <c r="AJ304" t="s">
        <v>22</v>
      </c>
      <c r="AK304" t="s">
        <v>195</v>
      </c>
      <c r="AL304" t="s">
        <v>23</v>
      </c>
      <c r="AM304" t="s">
        <v>1284</v>
      </c>
      <c r="AN304" t="s">
        <v>11</v>
      </c>
      <c r="AO304" t="s">
        <v>1294</v>
      </c>
      <c r="AP304" t="s">
        <v>11</v>
      </c>
      <c r="AQ304" t="s">
        <v>11</v>
      </c>
      <c r="AR304" t="s">
        <v>11</v>
      </c>
      <c r="AS304" t="s">
        <v>2408</v>
      </c>
      <c r="AT304" t="s">
        <v>11</v>
      </c>
      <c r="AU304" t="s">
        <v>1287</v>
      </c>
      <c r="AV304" t="s">
        <v>11</v>
      </c>
      <c r="AW304" t="s">
        <v>11</v>
      </c>
      <c r="AX304" t="s">
        <v>11</v>
      </c>
      <c r="AY304" t="s">
        <v>11</v>
      </c>
      <c r="AZ304" t="s">
        <v>11</v>
      </c>
      <c r="BA304" t="s">
        <v>11</v>
      </c>
      <c r="BB304" t="s">
        <v>11</v>
      </c>
      <c r="BC304" t="s">
        <v>11</v>
      </c>
      <c r="BD304" t="s">
        <v>11</v>
      </c>
      <c r="BE304" t="s">
        <v>11</v>
      </c>
      <c r="BF304" t="s">
        <v>11</v>
      </c>
      <c r="BG304" t="s">
        <v>11</v>
      </c>
      <c r="BH304" t="s">
        <v>2415</v>
      </c>
      <c r="BI304" t="s">
        <v>2412</v>
      </c>
      <c r="BJ304" t="s">
        <v>2416</v>
      </c>
      <c r="BK304" t="s">
        <v>2417</v>
      </c>
    </row>
    <row r="305" spans="1:63" x14ac:dyDescent="0.3">
      <c r="A305" t="s">
        <v>2418</v>
      </c>
      <c r="B305" t="s">
        <v>160</v>
      </c>
      <c r="C305" t="s">
        <v>1292</v>
      </c>
      <c r="D305" t="s">
        <v>2419</v>
      </c>
      <c r="E305" t="s">
        <v>2407</v>
      </c>
      <c r="F305">
        <v>319</v>
      </c>
      <c r="G305">
        <v>28.840000000000003</v>
      </c>
      <c r="H305">
        <v>40</v>
      </c>
      <c r="I305">
        <v>10</v>
      </c>
      <c r="J305">
        <v>10</v>
      </c>
      <c r="K305">
        <v>7.5</v>
      </c>
      <c r="N305">
        <v>3</v>
      </c>
      <c r="Q305">
        <v>0.6</v>
      </c>
      <c r="S305">
        <v>0.06</v>
      </c>
      <c r="AF305">
        <v>8.8348460000000006</v>
      </c>
      <c r="AI305" t="s">
        <v>0</v>
      </c>
      <c r="AJ305" t="s">
        <v>22</v>
      </c>
      <c r="AK305" t="s">
        <v>195</v>
      </c>
      <c r="AL305" t="s">
        <v>1283</v>
      </c>
      <c r="AM305" t="s">
        <v>1284</v>
      </c>
      <c r="AN305" t="s">
        <v>11</v>
      </c>
      <c r="AO305" t="s">
        <v>1294</v>
      </c>
      <c r="AP305" t="s">
        <v>11</v>
      </c>
      <c r="AQ305" t="s">
        <v>11</v>
      </c>
      <c r="AR305" t="s">
        <v>11</v>
      </c>
      <c r="AS305" t="s">
        <v>2408</v>
      </c>
      <c r="AT305" t="s">
        <v>11</v>
      </c>
      <c r="AU305" t="s">
        <v>1287</v>
      </c>
      <c r="AV305" t="s">
        <v>11</v>
      </c>
      <c r="AW305" t="s">
        <v>11</v>
      </c>
      <c r="AX305" t="s">
        <v>11</v>
      </c>
      <c r="AY305" t="s">
        <v>11</v>
      </c>
      <c r="AZ305" t="s">
        <v>11</v>
      </c>
      <c r="BA305" t="s">
        <v>11</v>
      </c>
      <c r="BB305" t="s">
        <v>11</v>
      </c>
      <c r="BC305" t="s">
        <v>11</v>
      </c>
      <c r="BD305" t="s">
        <v>11</v>
      </c>
      <c r="BE305" t="s">
        <v>11</v>
      </c>
      <c r="BF305" t="s">
        <v>11</v>
      </c>
      <c r="BG305" t="s">
        <v>11</v>
      </c>
      <c r="BH305" t="s">
        <v>2420</v>
      </c>
      <c r="BI305" t="s">
        <v>2418</v>
      </c>
      <c r="BJ305" t="s">
        <v>2421</v>
      </c>
      <c r="BK305" t="s">
        <v>2422</v>
      </c>
    </row>
    <row r="306" spans="1:63" x14ac:dyDescent="0.3">
      <c r="A306" t="s">
        <v>2423</v>
      </c>
      <c r="B306" t="s">
        <v>160</v>
      </c>
      <c r="C306" t="s">
        <v>2424</v>
      </c>
      <c r="D306" t="s">
        <v>2425</v>
      </c>
      <c r="E306" t="s">
        <v>2407</v>
      </c>
      <c r="F306">
        <v>320</v>
      </c>
      <c r="G306">
        <v>18.840000000000003</v>
      </c>
      <c r="H306">
        <v>50</v>
      </c>
      <c r="I306">
        <v>10</v>
      </c>
      <c r="J306">
        <v>10</v>
      </c>
      <c r="K306">
        <v>7.5</v>
      </c>
      <c r="N306">
        <v>3</v>
      </c>
      <c r="Q306">
        <v>0.6</v>
      </c>
      <c r="S306">
        <v>0.06</v>
      </c>
      <c r="AF306">
        <v>8.8356460000000006</v>
      </c>
      <c r="AI306" t="s">
        <v>0</v>
      </c>
      <c r="AJ306" t="s">
        <v>22</v>
      </c>
      <c r="AK306" t="s">
        <v>195</v>
      </c>
      <c r="AL306" t="s">
        <v>2426</v>
      </c>
      <c r="AM306" t="s">
        <v>1284</v>
      </c>
      <c r="AN306" t="s">
        <v>11</v>
      </c>
      <c r="AO306" t="s">
        <v>1294</v>
      </c>
      <c r="AP306" t="s">
        <v>11</v>
      </c>
      <c r="AQ306" t="s">
        <v>11</v>
      </c>
      <c r="AR306" t="s">
        <v>11</v>
      </c>
      <c r="AS306" t="s">
        <v>2408</v>
      </c>
      <c r="AT306" t="s">
        <v>11</v>
      </c>
      <c r="AU306" t="s">
        <v>1287</v>
      </c>
      <c r="AV306" t="s">
        <v>11</v>
      </c>
      <c r="AW306" t="s">
        <v>11</v>
      </c>
      <c r="AX306" t="s">
        <v>11</v>
      </c>
      <c r="AY306" t="s">
        <v>11</v>
      </c>
      <c r="AZ306" t="s">
        <v>11</v>
      </c>
      <c r="BA306" t="s">
        <v>11</v>
      </c>
      <c r="BB306" t="s">
        <v>11</v>
      </c>
      <c r="BC306" t="s">
        <v>11</v>
      </c>
      <c r="BD306" t="s">
        <v>11</v>
      </c>
      <c r="BE306" t="s">
        <v>11</v>
      </c>
      <c r="BF306" t="s">
        <v>11</v>
      </c>
      <c r="BG306" t="s">
        <v>11</v>
      </c>
      <c r="BH306" t="s">
        <v>2427</v>
      </c>
      <c r="BI306" t="s">
        <v>2423</v>
      </c>
      <c r="BJ306" t="s">
        <v>2428</v>
      </c>
      <c r="BK306" t="s">
        <v>2429</v>
      </c>
    </row>
    <row r="307" spans="1:63" x14ac:dyDescent="0.3">
      <c r="A307" t="s">
        <v>2430</v>
      </c>
      <c r="B307" t="s">
        <v>95</v>
      </c>
      <c r="C307" t="s">
        <v>2431</v>
      </c>
      <c r="D307" t="s">
        <v>2430</v>
      </c>
      <c r="E307" t="s">
        <v>2432</v>
      </c>
      <c r="F307">
        <v>321</v>
      </c>
      <c r="G307">
        <v>85.9</v>
      </c>
      <c r="I307">
        <v>7.3</v>
      </c>
      <c r="K307">
        <v>6.8</v>
      </c>
      <c r="AF307">
        <v>9.1512000000000011</v>
      </c>
      <c r="AI307" t="s">
        <v>0</v>
      </c>
      <c r="AJ307" t="s">
        <v>547</v>
      </c>
      <c r="AK307" t="s">
        <v>1769</v>
      </c>
      <c r="AL307" t="s">
        <v>11</v>
      </c>
      <c r="AM307" t="s">
        <v>11</v>
      </c>
      <c r="AN307" t="s">
        <v>11</v>
      </c>
      <c r="AO307" t="s">
        <v>11</v>
      </c>
      <c r="AP307" t="s">
        <v>11</v>
      </c>
      <c r="AQ307" t="s">
        <v>11</v>
      </c>
      <c r="AR307" t="s">
        <v>11</v>
      </c>
      <c r="AS307" t="s">
        <v>11</v>
      </c>
      <c r="AT307" t="s">
        <v>11</v>
      </c>
      <c r="AU307" t="s">
        <v>11</v>
      </c>
      <c r="AV307" t="s">
        <v>11</v>
      </c>
      <c r="AW307" t="s">
        <v>11</v>
      </c>
      <c r="AX307" t="s">
        <v>11</v>
      </c>
      <c r="AY307" t="s">
        <v>11</v>
      </c>
      <c r="AZ307" t="s">
        <v>11</v>
      </c>
      <c r="BA307" t="s">
        <v>11</v>
      </c>
      <c r="BB307" t="s">
        <v>11</v>
      </c>
      <c r="BC307" t="s">
        <v>11</v>
      </c>
      <c r="BD307" t="s">
        <v>11</v>
      </c>
      <c r="BE307" t="s">
        <v>11</v>
      </c>
      <c r="BF307" t="s">
        <v>11</v>
      </c>
      <c r="BG307" t="s">
        <v>11</v>
      </c>
      <c r="BH307" t="s">
        <v>2433</v>
      </c>
      <c r="BI307" t="s">
        <v>2430</v>
      </c>
      <c r="BJ307" t="s">
        <v>2434</v>
      </c>
      <c r="BK307" t="s">
        <v>2435</v>
      </c>
    </row>
    <row r="308" spans="1:63" x14ac:dyDescent="0.3">
      <c r="A308" t="s">
        <v>2436</v>
      </c>
      <c r="B308" t="s">
        <v>95</v>
      </c>
      <c r="C308" t="s">
        <v>2437</v>
      </c>
      <c r="D308" t="s">
        <v>2438</v>
      </c>
      <c r="E308" t="s">
        <v>2432</v>
      </c>
      <c r="F308">
        <v>322</v>
      </c>
      <c r="G308">
        <v>57.8</v>
      </c>
      <c r="H308">
        <v>25.6</v>
      </c>
      <c r="I308">
        <v>8.5</v>
      </c>
      <c r="K308">
        <v>8.1</v>
      </c>
      <c r="AF308">
        <v>9.2133979999999998</v>
      </c>
      <c r="AI308" t="s">
        <v>0</v>
      </c>
      <c r="AJ308" t="s">
        <v>335</v>
      </c>
      <c r="AK308" t="s">
        <v>718</v>
      </c>
      <c r="AL308" t="s">
        <v>2439</v>
      </c>
      <c r="AM308" t="s">
        <v>11</v>
      </c>
      <c r="AN308" t="s">
        <v>11</v>
      </c>
      <c r="AO308" t="s">
        <v>11</v>
      </c>
      <c r="AP308" t="s">
        <v>11</v>
      </c>
      <c r="AQ308" t="s">
        <v>11</v>
      </c>
      <c r="AR308" t="s">
        <v>11</v>
      </c>
      <c r="AS308" t="s">
        <v>11</v>
      </c>
      <c r="AT308" t="s">
        <v>11</v>
      </c>
      <c r="AU308" t="s">
        <v>11</v>
      </c>
      <c r="AV308" t="s">
        <v>11</v>
      </c>
      <c r="AW308" t="s">
        <v>11</v>
      </c>
      <c r="AX308" t="s">
        <v>11</v>
      </c>
      <c r="AY308" t="s">
        <v>11</v>
      </c>
      <c r="AZ308" t="s">
        <v>11</v>
      </c>
      <c r="BA308" t="s">
        <v>11</v>
      </c>
      <c r="BB308" t="s">
        <v>11</v>
      </c>
      <c r="BC308" t="s">
        <v>11</v>
      </c>
      <c r="BD308" t="s">
        <v>11</v>
      </c>
      <c r="BE308" t="s">
        <v>11</v>
      </c>
      <c r="BF308" t="s">
        <v>11</v>
      </c>
      <c r="BG308" t="s">
        <v>11</v>
      </c>
      <c r="BH308" t="s">
        <v>2440</v>
      </c>
      <c r="BI308" t="s">
        <v>2436</v>
      </c>
      <c r="BJ308" t="s">
        <v>2441</v>
      </c>
      <c r="BK308" t="s">
        <v>2442</v>
      </c>
    </row>
    <row r="309" spans="1:63" x14ac:dyDescent="0.3">
      <c r="A309" t="s">
        <v>2443</v>
      </c>
      <c r="B309" t="s">
        <v>95</v>
      </c>
      <c r="C309" t="s">
        <v>2444</v>
      </c>
      <c r="D309" t="s">
        <v>2445</v>
      </c>
      <c r="E309" t="s">
        <v>2432</v>
      </c>
      <c r="F309">
        <v>323</v>
      </c>
      <c r="G309">
        <v>83.5</v>
      </c>
      <c r="I309">
        <v>9.9</v>
      </c>
      <c r="K309">
        <v>4.8</v>
      </c>
      <c r="M309">
        <v>1.8</v>
      </c>
      <c r="AF309">
        <v>8.9224999999999994</v>
      </c>
      <c r="AI309" t="s">
        <v>0</v>
      </c>
      <c r="AJ309" t="s">
        <v>575</v>
      </c>
      <c r="AK309" t="s">
        <v>2446</v>
      </c>
      <c r="AL309" t="s">
        <v>11</v>
      </c>
      <c r="AM309" t="s">
        <v>11</v>
      </c>
      <c r="AN309" t="s">
        <v>205</v>
      </c>
      <c r="AO309" t="s">
        <v>11</v>
      </c>
      <c r="AP309" t="s">
        <v>11</v>
      </c>
      <c r="AQ309" t="s">
        <v>11</v>
      </c>
      <c r="AR309" t="s">
        <v>11</v>
      </c>
      <c r="AS309" t="s">
        <v>11</v>
      </c>
      <c r="AT309" t="s">
        <v>11</v>
      </c>
      <c r="AU309" t="s">
        <v>11</v>
      </c>
      <c r="AV309" t="s">
        <v>11</v>
      </c>
      <c r="AW309" t="s">
        <v>11</v>
      </c>
      <c r="AX309" t="s">
        <v>11</v>
      </c>
      <c r="AY309" t="s">
        <v>11</v>
      </c>
      <c r="AZ309" t="s">
        <v>11</v>
      </c>
      <c r="BA309" t="s">
        <v>11</v>
      </c>
      <c r="BB309" t="s">
        <v>11</v>
      </c>
      <c r="BC309" t="s">
        <v>11</v>
      </c>
      <c r="BD309" t="s">
        <v>11</v>
      </c>
      <c r="BE309" t="s">
        <v>11</v>
      </c>
      <c r="BF309" t="s">
        <v>11</v>
      </c>
      <c r="BG309" t="s">
        <v>11</v>
      </c>
      <c r="BH309" t="s">
        <v>2447</v>
      </c>
      <c r="BI309" t="s">
        <v>2443</v>
      </c>
      <c r="BJ309" t="s">
        <v>2448</v>
      </c>
      <c r="BK309" t="s">
        <v>2449</v>
      </c>
    </row>
    <row r="310" spans="1:63" x14ac:dyDescent="0.3">
      <c r="A310" t="s">
        <v>2450</v>
      </c>
      <c r="B310" t="s">
        <v>31</v>
      </c>
      <c r="C310" t="s">
        <v>2451</v>
      </c>
      <c r="D310" t="s">
        <v>2452</v>
      </c>
      <c r="E310" t="s">
        <v>2453</v>
      </c>
      <c r="F310">
        <v>324</v>
      </c>
      <c r="G310">
        <v>52.9</v>
      </c>
      <c r="H310">
        <v>15.9</v>
      </c>
      <c r="I310">
        <v>14.9</v>
      </c>
      <c r="J310">
        <v>8.6999999999999993</v>
      </c>
      <c r="K310">
        <v>2.5</v>
      </c>
      <c r="L310">
        <v>2.6</v>
      </c>
      <c r="M310">
        <v>0.9</v>
      </c>
      <c r="P310">
        <v>1.1000000000000001</v>
      </c>
      <c r="U310">
        <v>0.5</v>
      </c>
      <c r="AF310">
        <v>8.1187640000000005</v>
      </c>
      <c r="AI310" t="s">
        <v>0</v>
      </c>
      <c r="AJ310" t="s">
        <v>2454</v>
      </c>
      <c r="AK310" t="s">
        <v>2455</v>
      </c>
      <c r="AL310" t="s">
        <v>1341</v>
      </c>
      <c r="AM310" t="s">
        <v>2456</v>
      </c>
      <c r="AN310" t="s">
        <v>1266</v>
      </c>
      <c r="AO310" t="s">
        <v>11</v>
      </c>
      <c r="AP310" t="s">
        <v>11</v>
      </c>
      <c r="AQ310" t="s">
        <v>1192</v>
      </c>
      <c r="AR310" t="s">
        <v>389</v>
      </c>
      <c r="AS310" t="s">
        <v>11</v>
      </c>
      <c r="AT310" t="s">
        <v>11</v>
      </c>
      <c r="AU310" t="s">
        <v>11</v>
      </c>
      <c r="AV310" t="s">
        <v>11</v>
      </c>
      <c r="AW310" t="s">
        <v>2457</v>
      </c>
      <c r="AX310" t="s">
        <v>11</v>
      </c>
      <c r="AY310" t="s">
        <v>11</v>
      </c>
      <c r="AZ310" t="s">
        <v>11</v>
      </c>
      <c r="BA310" t="s">
        <v>11</v>
      </c>
      <c r="BB310" t="s">
        <v>11</v>
      </c>
      <c r="BC310" t="s">
        <v>11</v>
      </c>
      <c r="BD310" t="s">
        <v>11</v>
      </c>
      <c r="BE310" t="s">
        <v>11</v>
      </c>
      <c r="BF310" t="s">
        <v>11</v>
      </c>
      <c r="BG310" t="s">
        <v>11</v>
      </c>
      <c r="BH310" t="s">
        <v>2458</v>
      </c>
      <c r="BI310" t="s">
        <v>2450</v>
      </c>
      <c r="BJ310" t="s">
        <v>2459</v>
      </c>
      <c r="BK310" t="s">
        <v>2460</v>
      </c>
    </row>
    <row r="311" spans="1:63" x14ac:dyDescent="0.3">
      <c r="A311" t="s">
        <v>2461</v>
      </c>
      <c r="B311" t="s">
        <v>31</v>
      </c>
      <c r="C311" t="s">
        <v>2462</v>
      </c>
      <c r="D311" t="s">
        <v>2463</v>
      </c>
      <c r="E311" t="s">
        <v>2453</v>
      </c>
      <c r="F311">
        <v>325</v>
      </c>
      <c r="G311">
        <v>67</v>
      </c>
      <c r="H311">
        <v>15.9</v>
      </c>
      <c r="I311">
        <v>13.6</v>
      </c>
      <c r="K311">
        <v>1.9</v>
      </c>
      <c r="M311">
        <v>0.7</v>
      </c>
      <c r="P311">
        <v>0.6</v>
      </c>
      <c r="U311">
        <v>0.3</v>
      </c>
      <c r="AF311">
        <v>8.3536120000000018</v>
      </c>
      <c r="AI311" t="s">
        <v>0</v>
      </c>
      <c r="AJ311" t="s">
        <v>1339</v>
      </c>
      <c r="AK311" t="s">
        <v>1843</v>
      </c>
      <c r="AL311" t="s">
        <v>1341</v>
      </c>
      <c r="AM311" t="s">
        <v>11</v>
      </c>
      <c r="AN311" t="s">
        <v>1342</v>
      </c>
      <c r="AO311" t="s">
        <v>11</v>
      </c>
      <c r="AP311" t="s">
        <v>11</v>
      </c>
      <c r="AQ311" t="s">
        <v>11</v>
      </c>
      <c r="AR311" t="s">
        <v>1343</v>
      </c>
      <c r="AS311" t="s">
        <v>11</v>
      </c>
      <c r="AT311" t="s">
        <v>11</v>
      </c>
      <c r="AU311" t="s">
        <v>11</v>
      </c>
      <c r="AV311" t="s">
        <v>11</v>
      </c>
      <c r="AW311" t="s">
        <v>1344</v>
      </c>
      <c r="AX311" t="s">
        <v>11</v>
      </c>
      <c r="AY311" t="s">
        <v>11</v>
      </c>
      <c r="AZ311" t="s">
        <v>11</v>
      </c>
      <c r="BA311" t="s">
        <v>11</v>
      </c>
      <c r="BB311" t="s">
        <v>11</v>
      </c>
      <c r="BC311" t="s">
        <v>11</v>
      </c>
      <c r="BD311" t="s">
        <v>11</v>
      </c>
      <c r="BE311" t="s">
        <v>11</v>
      </c>
      <c r="BF311" t="s">
        <v>11</v>
      </c>
      <c r="BG311" t="s">
        <v>11</v>
      </c>
      <c r="BH311" t="s">
        <v>2464</v>
      </c>
      <c r="BI311" t="s">
        <v>2461</v>
      </c>
      <c r="BJ311" t="s">
        <v>2465</v>
      </c>
      <c r="BK311" t="s">
        <v>2466</v>
      </c>
    </row>
    <row r="312" spans="1:63" x14ac:dyDescent="0.3">
      <c r="A312" t="s">
        <v>2467</v>
      </c>
      <c r="B312" t="s">
        <v>5</v>
      </c>
      <c r="C312" t="s">
        <v>2367</v>
      </c>
      <c r="D312" t="s">
        <v>2468</v>
      </c>
      <c r="E312" t="s">
        <v>2469</v>
      </c>
      <c r="F312">
        <v>326</v>
      </c>
      <c r="G312">
        <v>83</v>
      </c>
      <c r="I312">
        <v>10</v>
      </c>
      <c r="N312">
        <v>2</v>
      </c>
      <c r="P312">
        <v>5</v>
      </c>
      <c r="AF312">
        <v>8.3423999999999996</v>
      </c>
      <c r="AI312" t="s">
        <v>0</v>
      </c>
      <c r="AJ312" t="s">
        <v>22</v>
      </c>
      <c r="AK312" t="s">
        <v>11</v>
      </c>
      <c r="AL312" t="s">
        <v>11</v>
      </c>
      <c r="AM312" t="s">
        <v>11</v>
      </c>
      <c r="AN312" t="s">
        <v>11</v>
      </c>
      <c r="AO312" t="s">
        <v>790</v>
      </c>
      <c r="AP312" t="s">
        <v>11</v>
      </c>
      <c r="AQ312" t="s">
        <v>11</v>
      </c>
      <c r="AR312" t="s">
        <v>26</v>
      </c>
      <c r="AS312" t="s">
        <v>11</v>
      </c>
      <c r="AT312" t="s">
        <v>11</v>
      </c>
      <c r="AU312" t="s">
        <v>11</v>
      </c>
      <c r="AV312" t="s">
        <v>11</v>
      </c>
      <c r="AW312" t="s">
        <v>11</v>
      </c>
      <c r="AX312" t="s">
        <v>11</v>
      </c>
      <c r="AY312" t="s">
        <v>11</v>
      </c>
      <c r="AZ312" t="s">
        <v>11</v>
      </c>
      <c r="BA312" t="s">
        <v>11</v>
      </c>
      <c r="BB312" t="s">
        <v>11</v>
      </c>
      <c r="BC312" t="s">
        <v>11</v>
      </c>
      <c r="BD312" t="s">
        <v>11</v>
      </c>
      <c r="BE312" t="s">
        <v>11</v>
      </c>
      <c r="BF312" t="s">
        <v>11</v>
      </c>
      <c r="BG312" t="s">
        <v>11</v>
      </c>
      <c r="BH312" t="s">
        <v>2470</v>
      </c>
      <c r="BI312" t="s">
        <v>2467</v>
      </c>
      <c r="BJ312" t="s">
        <v>2471</v>
      </c>
      <c r="BK312" t="s">
        <v>2472</v>
      </c>
    </row>
    <row r="313" spans="1:63" x14ac:dyDescent="0.3">
      <c r="A313" t="s">
        <v>2473</v>
      </c>
      <c r="B313" t="s">
        <v>5</v>
      </c>
      <c r="C313" t="s">
        <v>2474</v>
      </c>
      <c r="D313" t="s">
        <v>2475</v>
      </c>
      <c r="E313" t="s">
        <v>2469</v>
      </c>
      <c r="F313">
        <v>327</v>
      </c>
      <c r="G313">
        <v>63</v>
      </c>
      <c r="H313">
        <v>20</v>
      </c>
      <c r="I313">
        <v>10</v>
      </c>
      <c r="N313">
        <v>2</v>
      </c>
      <c r="P313">
        <v>5</v>
      </c>
      <c r="AF313">
        <v>8.3439999999999994</v>
      </c>
      <c r="AI313" t="s">
        <v>0</v>
      </c>
      <c r="AJ313" t="s">
        <v>22</v>
      </c>
      <c r="AK313" t="s">
        <v>11</v>
      </c>
      <c r="AL313" t="s">
        <v>834</v>
      </c>
      <c r="AM313" t="s">
        <v>11</v>
      </c>
      <c r="AN313" t="s">
        <v>11</v>
      </c>
      <c r="AO313" t="s">
        <v>790</v>
      </c>
      <c r="AP313" t="s">
        <v>11</v>
      </c>
      <c r="AQ313" t="s">
        <v>11</v>
      </c>
      <c r="AR313" t="s">
        <v>26</v>
      </c>
      <c r="AS313" t="s">
        <v>11</v>
      </c>
      <c r="AT313" t="s">
        <v>11</v>
      </c>
      <c r="AU313" t="s">
        <v>11</v>
      </c>
      <c r="AV313" t="s">
        <v>11</v>
      </c>
      <c r="AW313" t="s">
        <v>11</v>
      </c>
      <c r="AX313" t="s">
        <v>11</v>
      </c>
      <c r="AY313" t="s">
        <v>11</v>
      </c>
      <c r="AZ313" t="s">
        <v>11</v>
      </c>
      <c r="BA313" t="s">
        <v>11</v>
      </c>
      <c r="BB313" t="s">
        <v>11</v>
      </c>
      <c r="BC313" t="s">
        <v>11</v>
      </c>
      <c r="BD313" t="s">
        <v>11</v>
      </c>
      <c r="BE313" t="s">
        <v>11</v>
      </c>
      <c r="BF313" t="s">
        <v>11</v>
      </c>
      <c r="BG313" t="s">
        <v>11</v>
      </c>
      <c r="BH313" t="s">
        <v>2476</v>
      </c>
      <c r="BI313" t="s">
        <v>2473</v>
      </c>
      <c r="BJ313" t="s">
        <v>2477</v>
      </c>
      <c r="BK313" t="s">
        <v>2478</v>
      </c>
    </row>
    <row r="314" spans="1:63" x14ac:dyDescent="0.3">
      <c r="A314" t="s">
        <v>2479</v>
      </c>
      <c r="B314" t="s">
        <v>514</v>
      </c>
      <c r="C314" t="s">
        <v>2480</v>
      </c>
      <c r="D314" t="s">
        <v>2481</v>
      </c>
      <c r="E314" t="s">
        <v>2482</v>
      </c>
      <c r="F314">
        <v>328</v>
      </c>
      <c r="G314">
        <v>85</v>
      </c>
      <c r="L314">
        <v>15</v>
      </c>
      <c r="AF314">
        <v>8.2410499999999995</v>
      </c>
      <c r="AI314" t="s">
        <v>0</v>
      </c>
      <c r="AJ314" t="s">
        <v>11</v>
      </c>
      <c r="AK314" t="s">
        <v>11</v>
      </c>
      <c r="AL314" t="s">
        <v>11</v>
      </c>
      <c r="AM314" t="s">
        <v>11</v>
      </c>
      <c r="AN314" t="s">
        <v>11</v>
      </c>
      <c r="AO314" t="s">
        <v>11</v>
      </c>
      <c r="AP314" t="s">
        <v>11</v>
      </c>
      <c r="AQ314" t="s">
        <v>2483</v>
      </c>
      <c r="AR314" t="s">
        <v>11</v>
      </c>
      <c r="AS314" t="s">
        <v>11</v>
      </c>
      <c r="AT314" t="s">
        <v>11</v>
      </c>
      <c r="AU314" t="s">
        <v>11</v>
      </c>
      <c r="AV314" t="s">
        <v>11</v>
      </c>
      <c r="AW314" t="s">
        <v>11</v>
      </c>
      <c r="AX314" t="s">
        <v>11</v>
      </c>
      <c r="AY314" t="s">
        <v>11</v>
      </c>
      <c r="AZ314" t="s">
        <v>11</v>
      </c>
      <c r="BA314" t="s">
        <v>11</v>
      </c>
      <c r="BB314" t="s">
        <v>11</v>
      </c>
      <c r="BC314" t="s">
        <v>11</v>
      </c>
      <c r="BD314" t="s">
        <v>11</v>
      </c>
      <c r="BE314" t="s">
        <v>11</v>
      </c>
      <c r="BF314" t="s">
        <v>11</v>
      </c>
      <c r="BG314" t="s">
        <v>11</v>
      </c>
      <c r="BH314" t="s">
        <v>2484</v>
      </c>
      <c r="BI314" t="s">
        <v>2479</v>
      </c>
      <c r="BJ314" t="s">
        <v>2485</v>
      </c>
      <c r="BK314" t="s">
        <v>2483</v>
      </c>
    </row>
    <row r="315" spans="1:63" x14ac:dyDescent="0.3">
      <c r="A315" t="s">
        <v>2486</v>
      </c>
      <c r="B315" t="s">
        <v>514</v>
      </c>
      <c r="C315" t="s">
        <v>2487</v>
      </c>
      <c r="D315" t="s">
        <v>2488</v>
      </c>
      <c r="E315" t="s">
        <v>2482</v>
      </c>
      <c r="F315">
        <v>329</v>
      </c>
      <c r="G315">
        <v>70.009999999999991</v>
      </c>
      <c r="H315">
        <v>15</v>
      </c>
      <c r="I315">
        <v>2.64</v>
      </c>
      <c r="L315">
        <v>12.35</v>
      </c>
      <c r="AF315">
        <v>8.1949844999999986</v>
      </c>
      <c r="AI315" t="s">
        <v>0</v>
      </c>
      <c r="AJ315" t="s">
        <v>2489</v>
      </c>
      <c r="AK315" t="s">
        <v>11</v>
      </c>
      <c r="AL315" t="s">
        <v>678</v>
      </c>
      <c r="AM315" t="s">
        <v>11</v>
      </c>
      <c r="AN315" t="s">
        <v>11</v>
      </c>
      <c r="AO315" t="s">
        <v>11</v>
      </c>
      <c r="AP315" t="s">
        <v>11</v>
      </c>
      <c r="AQ315" t="s">
        <v>2490</v>
      </c>
      <c r="AR315" t="s">
        <v>11</v>
      </c>
      <c r="AS315" t="s">
        <v>11</v>
      </c>
      <c r="AT315" t="s">
        <v>11</v>
      </c>
      <c r="AU315" t="s">
        <v>11</v>
      </c>
      <c r="AV315" t="s">
        <v>11</v>
      </c>
      <c r="AW315" t="s">
        <v>11</v>
      </c>
      <c r="AX315" t="s">
        <v>11</v>
      </c>
      <c r="AY315" t="s">
        <v>11</v>
      </c>
      <c r="AZ315" t="s">
        <v>11</v>
      </c>
      <c r="BA315" t="s">
        <v>11</v>
      </c>
      <c r="BB315" t="s">
        <v>11</v>
      </c>
      <c r="BC315" t="s">
        <v>11</v>
      </c>
      <c r="BD315" t="s">
        <v>11</v>
      </c>
      <c r="BE315" t="s">
        <v>11</v>
      </c>
      <c r="BF315" t="s">
        <v>11</v>
      </c>
      <c r="BG315" t="s">
        <v>11</v>
      </c>
      <c r="BH315" t="s">
        <v>2491</v>
      </c>
      <c r="BI315" t="s">
        <v>2486</v>
      </c>
      <c r="BJ315" t="s">
        <v>2492</v>
      </c>
      <c r="BK315" t="s">
        <v>2493</v>
      </c>
    </row>
    <row r="316" spans="1:63" x14ac:dyDescent="0.3">
      <c r="A316" t="s">
        <v>2494</v>
      </c>
      <c r="B316" t="s">
        <v>514</v>
      </c>
      <c r="C316" t="s">
        <v>2495</v>
      </c>
      <c r="D316" t="s">
        <v>2496</v>
      </c>
      <c r="E316" t="s">
        <v>2482</v>
      </c>
      <c r="F316">
        <v>330</v>
      </c>
      <c r="G316">
        <v>55</v>
      </c>
      <c r="H316">
        <v>30</v>
      </c>
      <c r="I316">
        <v>5.29</v>
      </c>
      <c r="L316">
        <v>9.7100000000000009</v>
      </c>
      <c r="AF316">
        <v>8.1478596999999997</v>
      </c>
      <c r="AI316" t="s">
        <v>0</v>
      </c>
      <c r="AJ316" t="s">
        <v>2497</v>
      </c>
      <c r="AK316" t="s">
        <v>11</v>
      </c>
      <c r="AL316" t="s">
        <v>23</v>
      </c>
      <c r="AM316" t="s">
        <v>11</v>
      </c>
      <c r="AN316" t="s">
        <v>11</v>
      </c>
      <c r="AO316" t="s">
        <v>11</v>
      </c>
      <c r="AP316" t="s">
        <v>11</v>
      </c>
      <c r="AQ316" t="s">
        <v>2498</v>
      </c>
      <c r="AR316" t="s">
        <v>11</v>
      </c>
      <c r="AS316" t="s">
        <v>11</v>
      </c>
      <c r="AT316" t="s">
        <v>11</v>
      </c>
      <c r="AU316" t="s">
        <v>11</v>
      </c>
      <c r="AV316" t="s">
        <v>11</v>
      </c>
      <c r="AW316" t="s">
        <v>11</v>
      </c>
      <c r="AX316" t="s">
        <v>11</v>
      </c>
      <c r="AY316" t="s">
        <v>11</v>
      </c>
      <c r="AZ316" t="s">
        <v>11</v>
      </c>
      <c r="BA316" t="s">
        <v>11</v>
      </c>
      <c r="BB316" t="s">
        <v>11</v>
      </c>
      <c r="BC316" t="s">
        <v>11</v>
      </c>
      <c r="BD316" t="s">
        <v>11</v>
      </c>
      <c r="BE316" t="s">
        <v>11</v>
      </c>
      <c r="BF316" t="s">
        <v>11</v>
      </c>
      <c r="BG316" t="s">
        <v>11</v>
      </c>
      <c r="BH316" t="s">
        <v>2499</v>
      </c>
      <c r="BI316" t="s">
        <v>2494</v>
      </c>
      <c r="BJ316" t="s">
        <v>2500</v>
      </c>
      <c r="BK316" t="s">
        <v>2501</v>
      </c>
    </row>
    <row r="317" spans="1:63" x14ac:dyDescent="0.3">
      <c r="A317" t="s">
        <v>2502</v>
      </c>
      <c r="B317" t="s">
        <v>514</v>
      </c>
      <c r="C317" t="s">
        <v>2503</v>
      </c>
      <c r="D317" t="s">
        <v>2504</v>
      </c>
      <c r="E317" t="s">
        <v>2482</v>
      </c>
      <c r="F317">
        <v>331</v>
      </c>
      <c r="G317">
        <v>42.5</v>
      </c>
      <c r="H317">
        <v>42.5</v>
      </c>
      <c r="I317">
        <v>7.5</v>
      </c>
      <c r="L317">
        <v>7.5</v>
      </c>
      <c r="AF317">
        <v>8.1089249999999993</v>
      </c>
      <c r="AI317" t="s">
        <v>0</v>
      </c>
      <c r="AJ317" t="s">
        <v>297</v>
      </c>
      <c r="AK317" t="s">
        <v>11</v>
      </c>
      <c r="AL317" t="s">
        <v>2505</v>
      </c>
      <c r="AM317" t="s">
        <v>11</v>
      </c>
      <c r="AN317" t="s">
        <v>11</v>
      </c>
      <c r="AO317" t="s">
        <v>11</v>
      </c>
      <c r="AP317" t="s">
        <v>11</v>
      </c>
      <c r="AQ317" t="s">
        <v>2506</v>
      </c>
      <c r="AR317" t="s">
        <v>11</v>
      </c>
      <c r="AS317" t="s">
        <v>11</v>
      </c>
      <c r="AT317" t="s">
        <v>11</v>
      </c>
      <c r="AU317" t="s">
        <v>11</v>
      </c>
      <c r="AV317" t="s">
        <v>11</v>
      </c>
      <c r="AW317" t="s">
        <v>11</v>
      </c>
      <c r="AX317" t="s">
        <v>11</v>
      </c>
      <c r="AY317" t="s">
        <v>11</v>
      </c>
      <c r="AZ317" t="s">
        <v>11</v>
      </c>
      <c r="BA317" t="s">
        <v>11</v>
      </c>
      <c r="BB317" t="s">
        <v>11</v>
      </c>
      <c r="BC317" t="s">
        <v>11</v>
      </c>
      <c r="BD317" t="s">
        <v>11</v>
      </c>
      <c r="BE317" t="s">
        <v>11</v>
      </c>
      <c r="BF317" t="s">
        <v>11</v>
      </c>
      <c r="BG317" t="s">
        <v>11</v>
      </c>
      <c r="BH317" t="s">
        <v>2507</v>
      </c>
      <c r="BI317" t="s">
        <v>2502</v>
      </c>
      <c r="BJ317" t="s">
        <v>2508</v>
      </c>
      <c r="BK317" t="s">
        <v>2509</v>
      </c>
    </row>
    <row r="318" spans="1:63" x14ac:dyDescent="0.3">
      <c r="A318" t="s">
        <v>2510</v>
      </c>
      <c r="B318" t="s">
        <v>95</v>
      </c>
      <c r="C318" t="s">
        <v>2511</v>
      </c>
      <c r="D318" t="s">
        <v>2512</v>
      </c>
      <c r="E318" t="s">
        <v>2513</v>
      </c>
      <c r="F318">
        <v>332</v>
      </c>
      <c r="G318">
        <v>77</v>
      </c>
      <c r="I318">
        <v>10</v>
      </c>
      <c r="K318">
        <v>13</v>
      </c>
      <c r="AF318">
        <v>9.6255000000000006</v>
      </c>
      <c r="AI318" t="s">
        <v>0</v>
      </c>
      <c r="AJ318" t="s">
        <v>22</v>
      </c>
      <c r="AK318" t="s">
        <v>2514</v>
      </c>
      <c r="AL318" t="s">
        <v>11</v>
      </c>
      <c r="AM318" t="s">
        <v>11</v>
      </c>
      <c r="AN318" t="s">
        <v>11</v>
      </c>
      <c r="AO318" t="s">
        <v>11</v>
      </c>
      <c r="AP318" t="s">
        <v>11</v>
      </c>
      <c r="AQ318" t="s">
        <v>11</v>
      </c>
      <c r="AR318" t="s">
        <v>11</v>
      </c>
      <c r="AS318" t="s">
        <v>11</v>
      </c>
      <c r="AT318" t="s">
        <v>11</v>
      </c>
      <c r="AU318" t="s">
        <v>11</v>
      </c>
      <c r="AV318" t="s">
        <v>11</v>
      </c>
      <c r="AW318" t="s">
        <v>11</v>
      </c>
      <c r="AX318" t="s">
        <v>11</v>
      </c>
      <c r="AY318" t="s">
        <v>11</v>
      </c>
      <c r="AZ318" t="s">
        <v>11</v>
      </c>
      <c r="BA318" t="s">
        <v>11</v>
      </c>
      <c r="BB318" t="s">
        <v>11</v>
      </c>
      <c r="BC318" t="s">
        <v>11</v>
      </c>
      <c r="BD318" t="s">
        <v>11</v>
      </c>
      <c r="BE318" t="s">
        <v>11</v>
      </c>
      <c r="BF318" t="s">
        <v>11</v>
      </c>
      <c r="BG318" t="s">
        <v>11</v>
      </c>
      <c r="BH318" t="s">
        <v>2515</v>
      </c>
      <c r="BI318" t="s">
        <v>2510</v>
      </c>
      <c r="BJ318" t="s">
        <v>2516</v>
      </c>
      <c r="BK318" t="s">
        <v>2517</v>
      </c>
    </row>
    <row r="319" spans="1:63" x14ac:dyDescent="0.3">
      <c r="A319" t="s">
        <v>2518</v>
      </c>
      <c r="B319" t="s">
        <v>95</v>
      </c>
      <c r="C319" t="s">
        <v>2519</v>
      </c>
      <c r="D319" t="s">
        <v>2520</v>
      </c>
      <c r="E319" t="s">
        <v>2513</v>
      </c>
      <c r="F319">
        <v>333</v>
      </c>
      <c r="G319">
        <v>78</v>
      </c>
      <c r="I319">
        <v>10</v>
      </c>
      <c r="K319">
        <v>12</v>
      </c>
      <c r="AF319">
        <v>9.5220000000000002</v>
      </c>
      <c r="AI319" t="s">
        <v>0</v>
      </c>
      <c r="AJ319" t="s">
        <v>22</v>
      </c>
      <c r="AK319" t="s">
        <v>1372</v>
      </c>
      <c r="AL319" t="s">
        <v>11</v>
      </c>
      <c r="AM319" t="s">
        <v>11</v>
      </c>
      <c r="AN319" t="s">
        <v>11</v>
      </c>
      <c r="AO319" t="s">
        <v>11</v>
      </c>
      <c r="AP319" t="s">
        <v>11</v>
      </c>
      <c r="AQ319" t="s">
        <v>11</v>
      </c>
      <c r="AR319" t="s">
        <v>11</v>
      </c>
      <c r="AS319" t="s">
        <v>11</v>
      </c>
      <c r="AT319" t="s">
        <v>11</v>
      </c>
      <c r="AU319" t="s">
        <v>11</v>
      </c>
      <c r="AV319" t="s">
        <v>11</v>
      </c>
      <c r="AW319" t="s">
        <v>11</v>
      </c>
      <c r="AX319" t="s">
        <v>11</v>
      </c>
      <c r="AY319" t="s">
        <v>11</v>
      </c>
      <c r="AZ319" t="s">
        <v>11</v>
      </c>
      <c r="BA319" t="s">
        <v>11</v>
      </c>
      <c r="BB319" t="s">
        <v>11</v>
      </c>
      <c r="BC319" t="s">
        <v>11</v>
      </c>
      <c r="BD319" t="s">
        <v>11</v>
      </c>
      <c r="BE319" t="s">
        <v>11</v>
      </c>
      <c r="BF319" t="s">
        <v>11</v>
      </c>
      <c r="BG319" t="s">
        <v>11</v>
      </c>
      <c r="BH319" t="s">
        <v>2521</v>
      </c>
      <c r="BI319" t="s">
        <v>2518</v>
      </c>
      <c r="BJ319" t="s">
        <v>2522</v>
      </c>
      <c r="BK319" t="s">
        <v>2523</v>
      </c>
    </row>
    <row r="320" spans="1:63" x14ac:dyDescent="0.3">
      <c r="A320" t="s">
        <v>2524</v>
      </c>
      <c r="B320" t="s">
        <v>160</v>
      </c>
      <c r="C320" t="s">
        <v>2525</v>
      </c>
      <c r="D320" t="s">
        <v>2526</v>
      </c>
      <c r="E320" t="s">
        <v>2527</v>
      </c>
      <c r="F320">
        <v>334</v>
      </c>
      <c r="G320">
        <v>79</v>
      </c>
      <c r="I320">
        <v>10</v>
      </c>
      <c r="K320">
        <v>8.4</v>
      </c>
      <c r="L320">
        <v>1.4</v>
      </c>
      <c r="N320">
        <v>1.2</v>
      </c>
      <c r="AF320">
        <v>9.0839379999999998</v>
      </c>
      <c r="AI320" t="s">
        <v>0</v>
      </c>
      <c r="AJ320" t="s">
        <v>22</v>
      </c>
      <c r="AK320" t="s">
        <v>100</v>
      </c>
      <c r="AL320" t="s">
        <v>11</v>
      </c>
      <c r="AM320" t="s">
        <v>11</v>
      </c>
      <c r="AN320" t="s">
        <v>11</v>
      </c>
      <c r="AO320" t="s">
        <v>2528</v>
      </c>
      <c r="AP320" t="s">
        <v>11</v>
      </c>
      <c r="AQ320" t="s">
        <v>2347</v>
      </c>
      <c r="AR320" t="s">
        <v>11</v>
      </c>
      <c r="AS320" t="s">
        <v>11</v>
      </c>
      <c r="AT320" t="s">
        <v>11</v>
      </c>
      <c r="AU320" t="s">
        <v>11</v>
      </c>
      <c r="AV320" t="s">
        <v>11</v>
      </c>
      <c r="AW320" t="s">
        <v>11</v>
      </c>
      <c r="AX320" t="s">
        <v>11</v>
      </c>
      <c r="AY320" t="s">
        <v>11</v>
      </c>
      <c r="AZ320" t="s">
        <v>11</v>
      </c>
      <c r="BA320" t="s">
        <v>11</v>
      </c>
      <c r="BB320" t="s">
        <v>11</v>
      </c>
      <c r="BC320" t="s">
        <v>11</v>
      </c>
      <c r="BD320" t="s">
        <v>11</v>
      </c>
      <c r="BE320" t="s">
        <v>11</v>
      </c>
      <c r="BF320" t="s">
        <v>11</v>
      </c>
      <c r="BG320" t="s">
        <v>11</v>
      </c>
      <c r="BH320" t="s">
        <v>2529</v>
      </c>
      <c r="BI320" t="s">
        <v>2524</v>
      </c>
      <c r="BJ320" t="s">
        <v>2530</v>
      </c>
      <c r="BK320" t="s">
        <v>2531</v>
      </c>
    </row>
    <row r="321" spans="1:63" x14ac:dyDescent="0.3">
      <c r="A321" t="s">
        <v>2532</v>
      </c>
      <c r="B321" t="s">
        <v>160</v>
      </c>
      <c r="C321" t="s">
        <v>2533</v>
      </c>
      <c r="D321" t="s">
        <v>2534</v>
      </c>
      <c r="E321" t="s">
        <v>2527</v>
      </c>
      <c r="F321">
        <v>335</v>
      </c>
      <c r="G321">
        <v>79.8</v>
      </c>
      <c r="I321">
        <v>10.3</v>
      </c>
      <c r="K321">
        <v>7.9</v>
      </c>
      <c r="M321">
        <v>1.1000000000000001</v>
      </c>
      <c r="N321">
        <v>0.9</v>
      </c>
      <c r="AF321">
        <v>9.1613299999999995</v>
      </c>
      <c r="AI321" t="s">
        <v>0</v>
      </c>
      <c r="AJ321" t="s">
        <v>1972</v>
      </c>
      <c r="AK321" t="s">
        <v>1857</v>
      </c>
      <c r="AL321" t="s">
        <v>11</v>
      </c>
      <c r="AM321" t="s">
        <v>11</v>
      </c>
      <c r="AN321" t="s">
        <v>2535</v>
      </c>
      <c r="AO321" t="s">
        <v>2536</v>
      </c>
      <c r="AP321" t="s">
        <v>11</v>
      </c>
      <c r="AQ321" t="s">
        <v>11</v>
      </c>
      <c r="AR321" t="s">
        <v>11</v>
      </c>
      <c r="AS321" t="s">
        <v>11</v>
      </c>
      <c r="AT321" t="s">
        <v>11</v>
      </c>
      <c r="AU321" t="s">
        <v>11</v>
      </c>
      <c r="AV321" t="s">
        <v>11</v>
      </c>
      <c r="AW321" t="s">
        <v>11</v>
      </c>
      <c r="AX321" t="s">
        <v>11</v>
      </c>
      <c r="AY321" t="s">
        <v>11</v>
      </c>
      <c r="AZ321" t="s">
        <v>11</v>
      </c>
      <c r="BA321" t="s">
        <v>11</v>
      </c>
      <c r="BB321" t="s">
        <v>11</v>
      </c>
      <c r="BC321" t="s">
        <v>11</v>
      </c>
      <c r="BD321" t="s">
        <v>11</v>
      </c>
      <c r="BE321" t="s">
        <v>11</v>
      </c>
      <c r="BF321" t="s">
        <v>11</v>
      </c>
      <c r="BG321" t="s">
        <v>11</v>
      </c>
      <c r="BH321" t="s">
        <v>2537</v>
      </c>
      <c r="BI321" t="s">
        <v>2532</v>
      </c>
      <c r="BJ321" t="s">
        <v>2538</v>
      </c>
      <c r="BK321" t="s">
        <v>2539</v>
      </c>
    </row>
    <row r="322" spans="1:63" x14ac:dyDescent="0.3">
      <c r="A322" t="s">
        <v>2540</v>
      </c>
      <c r="B322" t="s">
        <v>31</v>
      </c>
      <c r="C322" t="s">
        <v>2541</v>
      </c>
      <c r="D322" t="s">
        <v>2542</v>
      </c>
      <c r="E322" t="s">
        <v>2543</v>
      </c>
      <c r="F322">
        <v>336</v>
      </c>
      <c r="G322">
        <v>50.122000000000007</v>
      </c>
      <c r="H322">
        <v>30.7</v>
      </c>
      <c r="I322">
        <v>7.48</v>
      </c>
      <c r="J322">
        <v>0</v>
      </c>
      <c r="K322">
        <v>2.14</v>
      </c>
      <c r="L322">
        <v>4.1500000000000004</v>
      </c>
      <c r="M322">
        <v>1.1100000000000001</v>
      </c>
      <c r="N322">
        <v>1.04</v>
      </c>
      <c r="P322">
        <v>3.19</v>
      </c>
      <c r="S322">
        <v>6.8000000000000005E-2</v>
      </c>
      <c r="AF322">
        <v>8.600112300000001</v>
      </c>
      <c r="AI322" t="s">
        <v>0</v>
      </c>
      <c r="AJ322" t="s">
        <v>297</v>
      </c>
      <c r="AK322" t="s">
        <v>2227</v>
      </c>
      <c r="AL322" t="s">
        <v>2544</v>
      </c>
      <c r="AM322" t="s">
        <v>1228</v>
      </c>
      <c r="AN322" t="s">
        <v>2535</v>
      </c>
      <c r="AO322" t="s">
        <v>75</v>
      </c>
      <c r="AP322" t="s">
        <v>11</v>
      </c>
      <c r="AQ322" t="s">
        <v>2099</v>
      </c>
      <c r="AR322" t="s">
        <v>2545</v>
      </c>
      <c r="AS322" t="s">
        <v>11</v>
      </c>
      <c r="AT322" t="s">
        <v>11</v>
      </c>
      <c r="AU322" t="s">
        <v>2546</v>
      </c>
      <c r="AV322" t="s">
        <v>11</v>
      </c>
      <c r="AW322" t="s">
        <v>11</v>
      </c>
      <c r="AX322" t="s">
        <v>11</v>
      </c>
      <c r="AY322" t="s">
        <v>11</v>
      </c>
      <c r="AZ322" t="s">
        <v>11</v>
      </c>
      <c r="BA322" t="s">
        <v>11</v>
      </c>
      <c r="BB322" t="s">
        <v>11</v>
      </c>
      <c r="BC322" t="s">
        <v>11</v>
      </c>
      <c r="BD322" t="s">
        <v>11</v>
      </c>
      <c r="BE322" t="s">
        <v>11</v>
      </c>
      <c r="BF322" t="s">
        <v>11</v>
      </c>
      <c r="BG322" t="s">
        <v>11</v>
      </c>
      <c r="BH322" t="s">
        <v>2547</v>
      </c>
      <c r="BI322" t="s">
        <v>2540</v>
      </c>
      <c r="BJ322" t="s">
        <v>2548</v>
      </c>
      <c r="BK322" t="s">
        <v>2549</v>
      </c>
    </row>
    <row r="323" spans="1:63" x14ac:dyDescent="0.3">
      <c r="A323" t="s">
        <v>2550</v>
      </c>
      <c r="B323" t="s">
        <v>31</v>
      </c>
      <c r="C323" t="s">
        <v>2551</v>
      </c>
      <c r="D323" t="s">
        <v>2552</v>
      </c>
      <c r="E323" t="s">
        <v>2543</v>
      </c>
      <c r="F323">
        <v>337</v>
      </c>
      <c r="G323">
        <v>46.700999999999993</v>
      </c>
      <c r="H323">
        <v>31.3</v>
      </c>
      <c r="I323">
        <v>6.56</v>
      </c>
      <c r="J323">
        <v>4.18</v>
      </c>
      <c r="K323">
        <v>2.1</v>
      </c>
      <c r="L323">
        <v>3.92</v>
      </c>
      <c r="M323">
        <v>1.02</v>
      </c>
      <c r="N323">
        <v>0.95</v>
      </c>
      <c r="P323">
        <v>3.15</v>
      </c>
      <c r="S323">
        <v>0.11899999999999999</v>
      </c>
      <c r="AF323">
        <v>8.5811717999999981</v>
      </c>
      <c r="AI323" t="s">
        <v>0</v>
      </c>
      <c r="AJ323" t="s">
        <v>2553</v>
      </c>
      <c r="AK323" t="s">
        <v>2227</v>
      </c>
      <c r="AL323" t="s">
        <v>2554</v>
      </c>
      <c r="AM323" t="s">
        <v>2555</v>
      </c>
      <c r="AN323" t="s">
        <v>471</v>
      </c>
      <c r="AO323" t="s">
        <v>75</v>
      </c>
      <c r="AP323" t="s">
        <v>11</v>
      </c>
      <c r="AQ323" t="s">
        <v>2556</v>
      </c>
      <c r="AR323" t="s">
        <v>2545</v>
      </c>
      <c r="AS323" t="s">
        <v>11</v>
      </c>
      <c r="AT323" t="s">
        <v>11</v>
      </c>
      <c r="AU323" t="s">
        <v>317</v>
      </c>
      <c r="AV323" t="s">
        <v>11</v>
      </c>
      <c r="AW323" t="s">
        <v>11</v>
      </c>
      <c r="AX323" t="s">
        <v>11</v>
      </c>
      <c r="AY323" t="s">
        <v>11</v>
      </c>
      <c r="AZ323" t="s">
        <v>11</v>
      </c>
      <c r="BA323" t="s">
        <v>11</v>
      </c>
      <c r="BB323" t="s">
        <v>11</v>
      </c>
      <c r="BC323" t="s">
        <v>11</v>
      </c>
      <c r="BD323" t="s">
        <v>11</v>
      </c>
      <c r="BE323" t="s">
        <v>11</v>
      </c>
      <c r="BF323" t="s">
        <v>11</v>
      </c>
      <c r="BG323" t="s">
        <v>11</v>
      </c>
      <c r="BH323" t="s">
        <v>2557</v>
      </c>
      <c r="BI323" t="s">
        <v>2550</v>
      </c>
      <c r="BJ323" t="s">
        <v>2558</v>
      </c>
      <c r="BK323" t="s">
        <v>2559</v>
      </c>
    </row>
    <row r="324" spans="1:63" x14ac:dyDescent="0.3">
      <c r="A324" t="s">
        <v>2560</v>
      </c>
      <c r="B324" t="s">
        <v>31</v>
      </c>
      <c r="C324" t="s">
        <v>2561</v>
      </c>
      <c r="D324" t="s">
        <v>2562</v>
      </c>
      <c r="E324" t="s">
        <v>2543</v>
      </c>
      <c r="F324">
        <v>339</v>
      </c>
      <c r="G324">
        <v>41.660000000000004</v>
      </c>
      <c r="H324">
        <v>28.74</v>
      </c>
      <c r="I324">
        <v>7.12</v>
      </c>
      <c r="J324">
        <v>12.2</v>
      </c>
      <c r="K324">
        <v>1.76</v>
      </c>
      <c r="L324">
        <v>3.49</v>
      </c>
      <c r="M324">
        <v>1.05</v>
      </c>
      <c r="N324">
        <v>0.94</v>
      </c>
      <c r="P324">
        <v>2.94</v>
      </c>
      <c r="S324">
        <v>0.1</v>
      </c>
      <c r="AF324">
        <v>8.3934884999999984</v>
      </c>
      <c r="AH324" t="s">
        <v>343</v>
      </c>
      <c r="AI324" t="s">
        <v>0</v>
      </c>
      <c r="AJ324" t="s">
        <v>1160</v>
      </c>
      <c r="AK324" t="s">
        <v>2563</v>
      </c>
      <c r="AL324" t="s">
        <v>2564</v>
      </c>
      <c r="AM324" t="s">
        <v>1603</v>
      </c>
      <c r="AN324" t="s">
        <v>2535</v>
      </c>
      <c r="AO324" t="s">
        <v>2536</v>
      </c>
      <c r="AP324" t="s">
        <v>11</v>
      </c>
      <c r="AQ324" t="s">
        <v>2565</v>
      </c>
      <c r="AR324" t="s">
        <v>2566</v>
      </c>
      <c r="AS324" t="s">
        <v>11</v>
      </c>
      <c r="AT324" t="s">
        <v>11</v>
      </c>
      <c r="AU324" t="s">
        <v>1230</v>
      </c>
      <c r="AV324" t="s">
        <v>11</v>
      </c>
      <c r="AW324" t="s">
        <v>11</v>
      </c>
      <c r="AX324" t="s">
        <v>11</v>
      </c>
      <c r="AY324" t="s">
        <v>11</v>
      </c>
      <c r="AZ324" t="s">
        <v>11</v>
      </c>
      <c r="BA324" t="s">
        <v>11</v>
      </c>
      <c r="BB324" t="s">
        <v>11</v>
      </c>
      <c r="BC324" t="s">
        <v>11</v>
      </c>
      <c r="BD324" t="s">
        <v>11</v>
      </c>
      <c r="BE324" t="s">
        <v>11</v>
      </c>
      <c r="BF324" t="s">
        <v>11</v>
      </c>
      <c r="BG324" t="s">
        <v>11</v>
      </c>
      <c r="BH324" t="s">
        <v>2567</v>
      </c>
      <c r="BI324" t="s">
        <v>2560</v>
      </c>
      <c r="BJ324" t="s">
        <v>2568</v>
      </c>
      <c r="BK324" t="s">
        <v>2569</v>
      </c>
    </row>
    <row r="325" spans="1:63" x14ac:dyDescent="0.3">
      <c r="A325" t="s">
        <v>2570</v>
      </c>
      <c r="B325" t="s">
        <v>5</v>
      </c>
      <c r="C325" t="s">
        <v>2571</v>
      </c>
      <c r="D325" t="s">
        <v>2572</v>
      </c>
      <c r="E325" t="s">
        <v>2573</v>
      </c>
      <c r="F325">
        <v>340</v>
      </c>
      <c r="G325">
        <v>46.73</v>
      </c>
      <c r="H325">
        <v>29.96</v>
      </c>
      <c r="I325">
        <v>9.5399999999999991</v>
      </c>
      <c r="J325">
        <v>4.78</v>
      </c>
      <c r="L325">
        <v>2.13</v>
      </c>
      <c r="M325">
        <v>1.91</v>
      </c>
      <c r="P325">
        <v>4.95</v>
      </c>
      <c r="AF325">
        <v>8.3519428999999992</v>
      </c>
      <c r="AI325" t="s">
        <v>0</v>
      </c>
      <c r="AJ325" t="s">
        <v>315</v>
      </c>
      <c r="AK325" t="s">
        <v>11</v>
      </c>
      <c r="AL325" t="s">
        <v>23</v>
      </c>
      <c r="AM325" t="s">
        <v>2574</v>
      </c>
      <c r="AN325" t="s">
        <v>74</v>
      </c>
      <c r="AO325" t="s">
        <v>11</v>
      </c>
      <c r="AP325" t="s">
        <v>11</v>
      </c>
      <c r="AQ325" t="s">
        <v>422</v>
      </c>
      <c r="AR325" t="s">
        <v>26</v>
      </c>
      <c r="AS325" t="s">
        <v>11</v>
      </c>
      <c r="AT325" t="s">
        <v>11</v>
      </c>
      <c r="AU325" t="s">
        <v>11</v>
      </c>
      <c r="AV325" t="s">
        <v>11</v>
      </c>
      <c r="AW325" t="s">
        <v>11</v>
      </c>
      <c r="AX325" t="s">
        <v>11</v>
      </c>
      <c r="AY325" t="s">
        <v>11</v>
      </c>
      <c r="AZ325" t="s">
        <v>11</v>
      </c>
      <c r="BA325" t="s">
        <v>11</v>
      </c>
      <c r="BB325" t="s">
        <v>11</v>
      </c>
      <c r="BC325" t="s">
        <v>11</v>
      </c>
      <c r="BD325" t="s">
        <v>11</v>
      </c>
      <c r="BE325" t="s">
        <v>11</v>
      </c>
      <c r="BF325" t="s">
        <v>11</v>
      </c>
      <c r="BG325" t="s">
        <v>11</v>
      </c>
      <c r="BH325" t="s">
        <v>2575</v>
      </c>
      <c r="BI325" t="s">
        <v>2570</v>
      </c>
      <c r="BJ325" t="s">
        <v>2576</v>
      </c>
      <c r="BK325" t="s">
        <v>2577</v>
      </c>
    </row>
    <row r="326" spans="1:63" x14ac:dyDescent="0.3">
      <c r="A326" t="s">
        <v>2578</v>
      </c>
      <c r="B326" t="s">
        <v>5</v>
      </c>
      <c r="C326" t="s">
        <v>2579</v>
      </c>
      <c r="D326" t="s">
        <v>2580</v>
      </c>
      <c r="E326" t="s">
        <v>2581</v>
      </c>
      <c r="F326">
        <v>341</v>
      </c>
      <c r="G326">
        <v>38.9</v>
      </c>
      <c r="H326">
        <v>30.4</v>
      </c>
      <c r="I326">
        <v>9.6999999999999993</v>
      </c>
      <c r="J326">
        <v>11.5</v>
      </c>
      <c r="L326">
        <v>2.1</v>
      </c>
      <c r="M326">
        <v>2.2000000000000002</v>
      </c>
      <c r="P326">
        <v>5.2</v>
      </c>
      <c r="AF326">
        <v>8.254388999999998</v>
      </c>
      <c r="AG326">
        <v>8.41</v>
      </c>
      <c r="AI326" t="s">
        <v>0</v>
      </c>
      <c r="AJ326" t="s">
        <v>1310</v>
      </c>
      <c r="AK326" t="s">
        <v>11</v>
      </c>
      <c r="AL326" t="s">
        <v>2582</v>
      </c>
      <c r="AM326" t="s">
        <v>2583</v>
      </c>
      <c r="AN326" t="s">
        <v>367</v>
      </c>
      <c r="AO326" t="s">
        <v>11</v>
      </c>
      <c r="AP326" t="s">
        <v>11</v>
      </c>
      <c r="AQ326" t="s">
        <v>422</v>
      </c>
      <c r="AR326" t="s">
        <v>2379</v>
      </c>
      <c r="AS326" t="s">
        <v>11</v>
      </c>
      <c r="AT326" t="s">
        <v>11</v>
      </c>
      <c r="AU326" t="s">
        <v>11</v>
      </c>
      <c r="AV326" t="s">
        <v>11</v>
      </c>
      <c r="AW326" t="s">
        <v>11</v>
      </c>
      <c r="AX326" t="s">
        <v>11</v>
      </c>
      <c r="AY326" t="s">
        <v>11</v>
      </c>
      <c r="AZ326" t="s">
        <v>11</v>
      </c>
      <c r="BA326" t="s">
        <v>11</v>
      </c>
      <c r="BB326" t="s">
        <v>11</v>
      </c>
      <c r="BC326" t="s">
        <v>11</v>
      </c>
      <c r="BD326" t="s">
        <v>11</v>
      </c>
      <c r="BE326" t="s">
        <v>11</v>
      </c>
      <c r="BF326" t="s">
        <v>11</v>
      </c>
      <c r="BG326" t="s">
        <v>11</v>
      </c>
      <c r="BH326" t="s">
        <v>2584</v>
      </c>
      <c r="BI326" t="s">
        <v>2578</v>
      </c>
      <c r="BJ326" t="s">
        <v>2585</v>
      </c>
      <c r="BK326" t="s">
        <v>2586</v>
      </c>
    </row>
    <row r="327" spans="1:63" x14ac:dyDescent="0.3">
      <c r="A327" t="s">
        <v>2587</v>
      </c>
      <c r="B327" t="s">
        <v>5</v>
      </c>
      <c r="C327" t="s">
        <v>2588</v>
      </c>
      <c r="D327" t="s">
        <v>2589</v>
      </c>
      <c r="E327" t="s">
        <v>2581</v>
      </c>
      <c r="F327">
        <v>342</v>
      </c>
      <c r="G327">
        <v>41</v>
      </c>
      <c r="H327">
        <v>31.2</v>
      </c>
      <c r="I327">
        <v>10.1</v>
      </c>
      <c r="J327">
        <v>10.5</v>
      </c>
      <c r="M327">
        <v>2.1</v>
      </c>
      <c r="P327">
        <v>5.0999999999999996</v>
      </c>
      <c r="AF327">
        <v>8.3298760000000005</v>
      </c>
      <c r="AG327">
        <v>8.51</v>
      </c>
      <c r="AI327" t="s">
        <v>0</v>
      </c>
      <c r="AJ327" t="s">
        <v>1246</v>
      </c>
      <c r="AK327" t="s">
        <v>11</v>
      </c>
      <c r="AL327" t="s">
        <v>1460</v>
      </c>
      <c r="AM327" t="s">
        <v>1103</v>
      </c>
      <c r="AN327" t="s">
        <v>2355</v>
      </c>
      <c r="AO327" t="s">
        <v>11</v>
      </c>
      <c r="AP327" t="s">
        <v>11</v>
      </c>
      <c r="AQ327" t="s">
        <v>11</v>
      </c>
      <c r="AR327" t="s">
        <v>2204</v>
      </c>
      <c r="AS327" t="s">
        <v>11</v>
      </c>
      <c r="AT327" t="s">
        <v>11</v>
      </c>
      <c r="AU327" t="s">
        <v>11</v>
      </c>
      <c r="AV327" t="s">
        <v>11</v>
      </c>
      <c r="AW327" t="s">
        <v>11</v>
      </c>
      <c r="AX327" t="s">
        <v>11</v>
      </c>
      <c r="AY327" t="s">
        <v>11</v>
      </c>
      <c r="AZ327" t="s">
        <v>11</v>
      </c>
      <c r="BA327" t="s">
        <v>11</v>
      </c>
      <c r="BB327" t="s">
        <v>11</v>
      </c>
      <c r="BC327" t="s">
        <v>11</v>
      </c>
      <c r="BD327" t="s">
        <v>11</v>
      </c>
      <c r="BE327" t="s">
        <v>11</v>
      </c>
      <c r="BF327" t="s">
        <v>11</v>
      </c>
      <c r="BG327" t="s">
        <v>11</v>
      </c>
      <c r="BH327" t="s">
        <v>2590</v>
      </c>
      <c r="BI327" t="s">
        <v>2587</v>
      </c>
      <c r="BJ327" t="s">
        <v>2591</v>
      </c>
      <c r="BK327" t="s">
        <v>2592</v>
      </c>
    </row>
    <row r="328" spans="1:63" x14ac:dyDescent="0.3">
      <c r="A328" t="s">
        <v>2593</v>
      </c>
      <c r="B328" t="s">
        <v>95</v>
      </c>
      <c r="C328" t="s">
        <v>2594</v>
      </c>
      <c r="D328" t="s">
        <v>2595</v>
      </c>
      <c r="E328" t="s">
        <v>2596</v>
      </c>
      <c r="F328">
        <v>344</v>
      </c>
      <c r="G328">
        <v>79.400000000000006</v>
      </c>
      <c r="I328">
        <v>8.8000000000000007</v>
      </c>
      <c r="K328">
        <v>9.8000000000000007</v>
      </c>
      <c r="L328">
        <v>2</v>
      </c>
      <c r="AF328">
        <v>9.2808400000000013</v>
      </c>
      <c r="AI328" t="s">
        <v>0</v>
      </c>
      <c r="AJ328" t="s">
        <v>261</v>
      </c>
      <c r="AK328" t="s">
        <v>1737</v>
      </c>
      <c r="AL328" t="s">
        <v>11</v>
      </c>
      <c r="AM328" t="s">
        <v>11</v>
      </c>
      <c r="AN328" t="s">
        <v>11</v>
      </c>
      <c r="AO328" t="s">
        <v>11</v>
      </c>
      <c r="AP328" t="s">
        <v>11</v>
      </c>
      <c r="AQ328" t="s">
        <v>25</v>
      </c>
      <c r="AR328" t="s">
        <v>11</v>
      </c>
      <c r="AS328" t="s">
        <v>11</v>
      </c>
      <c r="AT328" t="s">
        <v>11</v>
      </c>
      <c r="AU328" t="s">
        <v>11</v>
      </c>
      <c r="AV328" t="s">
        <v>11</v>
      </c>
      <c r="AW328" t="s">
        <v>11</v>
      </c>
      <c r="AX328" t="s">
        <v>11</v>
      </c>
      <c r="AY328" t="s">
        <v>11</v>
      </c>
      <c r="AZ328" t="s">
        <v>11</v>
      </c>
      <c r="BA328" t="s">
        <v>11</v>
      </c>
      <c r="BB328" t="s">
        <v>11</v>
      </c>
      <c r="BC328" t="s">
        <v>11</v>
      </c>
      <c r="BD328" t="s">
        <v>11</v>
      </c>
      <c r="BE328" t="s">
        <v>11</v>
      </c>
      <c r="BF328" t="s">
        <v>11</v>
      </c>
      <c r="BG328" t="s">
        <v>11</v>
      </c>
      <c r="BH328" t="s">
        <v>2597</v>
      </c>
      <c r="BI328" t="s">
        <v>2593</v>
      </c>
      <c r="BJ328" t="s">
        <v>2598</v>
      </c>
      <c r="BK328" t="s">
        <v>2599</v>
      </c>
    </row>
    <row r="329" spans="1:63" x14ac:dyDescent="0.3">
      <c r="A329" t="s">
        <v>2600</v>
      </c>
      <c r="B329" t="s">
        <v>95</v>
      </c>
      <c r="C329" t="s">
        <v>332</v>
      </c>
      <c r="D329" t="s">
        <v>698</v>
      </c>
      <c r="E329" t="s">
        <v>2596</v>
      </c>
      <c r="F329">
        <v>345</v>
      </c>
      <c r="G329">
        <v>81</v>
      </c>
      <c r="I329">
        <v>9</v>
      </c>
      <c r="K329">
        <v>10</v>
      </c>
      <c r="AF329">
        <v>9.3769999999999989</v>
      </c>
      <c r="AI329" t="s">
        <v>0</v>
      </c>
      <c r="AJ329" t="s">
        <v>128</v>
      </c>
      <c r="AK329" t="s">
        <v>677</v>
      </c>
      <c r="AL329" t="s">
        <v>11</v>
      </c>
      <c r="AM329" t="s">
        <v>11</v>
      </c>
      <c r="AN329" t="s">
        <v>11</v>
      </c>
      <c r="AO329" t="s">
        <v>11</v>
      </c>
      <c r="AP329" t="s">
        <v>11</v>
      </c>
      <c r="AQ329" t="s">
        <v>11</v>
      </c>
      <c r="AR329" t="s">
        <v>11</v>
      </c>
      <c r="AS329" t="s">
        <v>11</v>
      </c>
      <c r="AT329" t="s">
        <v>11</v>
      </c>
      <c r="AU329" t="s">
        <v>11</v>
      </c>
      <c r="AV329" t="s">
        <v>11</v>
      </c>
      <c r="AW329" t="s">
        <v>11</v>
      </c>
      <c r="AX329" t="s">
        <v>11</v>
      </c>
      <c r="AY329" t="s">
        <v>11</v>
      </c>
      <c r="AZ329" t="s">
        <v>11</v>
      </c>
      <c r="BA329" t="s">
        <v>11</v>
      </c>
      <c r="BB329" t="s">
        <v>11</v>
      </c>
      <c r="BC329" t="s">
        <v>11</v>
      </c>
      <c r="BD329" t="s">
        <v>11</v>
      </c>
      <c r="BE329" t="s">
        <v>11</v>
      </c>
      <c r="BF329" t="s">
        <v>11</v>
      </c>
      <c r="BG329" t="s">
        <v>11</v>
      </c>
      <c r="BH329" t="s">
        <v>2601</v>
      </c>
      <c r="BI329" t="s">
        <v>2600</v>
      </c>
      <c r="BJ329" t="s">
        <v>2602</v>
      </c>
      <c r="BK329" t="s">
        <v>2603</v>
      </c>
    </row>
    <row r="330" spans="1:63" x14ac:dyDescent="0.3">
      <c r="A330" t="s">
        <v>2604</v>
      </c>
      <c r="B330" t="s">
        <v>95</v>
      </c>
      <c r="C330" t="s">
        <v>2605</v>
      </c>
      <c r="D330" t="s">
        <v>2606</v>
      </c>
      <c r="E330" t="s">
        <v>2596</v>
      </c>
      <c r="F330">
        <v>346</v>
      </c>
      <c r="G330">
        <v>79.400000000000006</v>
      </c>
      <c r="I330">
        <v>8.8000000000000007</v>
      </c>
      <c r="K330">
        <v>9.8000000000000007</v>
      </c>
      <c r="O330">
        <v>2</v>
      </c>
      <c r="AF330">
        <v>9.3129000000000008</v>
      </c>
      <c r="AI330" t="s">
        <v>0</v>
      </c>
      <c r="AJ330" t="s">
        <v>261</v>
      </c>
      <c r="AK330" t="s">
        <v>1737</v>
      </c>
      <c r="AL330" t="s">
        <v>11</v>
      </c>
      <c r="AM330" t="s">
        <v>11</v>
      </c>
      <c r="AN330" t="s">
        <v>11</v>
      </c>
      <c r="AO330" t="s">
        <v>11</v>
      </c>
      <c r="AP330" t="s">
        <v>196</v>
      </c>
      <c r="AQ330" t="s">
        <v>11</v>
      </c>
      <c r="AR330" t="s">
        <v>11</v>
      </c>
      <c r="AS330" t="s">
        <v>11</v>
      </c>
      <c r="AT330" t="s">
        <v>11</v>
      </c>
      <c r="AU330" t="s">
        <v>11</v>
      </c>
      <c r="AV330" t="s">
        <v>11</v>
      </c>
      <c r="AW330" t="s">
        <v>11</v>
      </c>
      <c r="AX330" t="s">
        <v>11</v>
      </c>
      <c r="AY330" t="s">
        <v>11</v>
      </c>
      <c r="AZ330" t="s">
        <v>11</v>
      </c>
      <c r="BA330" t="s">
        <v>11</v>
      </c>
      <c r="BB330" t="s">
        <v>11</v>
      </c>
      <c r="BC330" t="s">
        <v>11</v>
      </c>
      <c r="BD330" t="s">
        <v>11</v>
      </c>
      <c r="BE330" t="s">
        <v>11</v>
      </c>
      <c r="BF330" t="s">
        <v>11</v>
      </c>
      <c r="BG330" t="s">
        <v>11</v>
      </c>
      <c r="BH330" t="s">
        <v>2607</v>
      </c>
      <c r="BI330" t="s">
        <v>2604</v>
      </c>
      <c r="BJ330" t="s">
        <v>2608</v>
      </c>
      <c r="BK330" t="s">
        <v>2609</v>
      </c>
    </row>
    <row r="331" spans="1:63" x14ac:dyDescent="0.3">
      <c r="A331" t="s">
        <v>2610</v>
      </c>
      <c r="B331" t="s">
        <v>95</v>
      </c>
      <c r="C331" t="s">
        <v>105</v>
      </c>
      <c r="D331" t="s">
        <v>2611</v>
      </c>
      <c r="E331" t="s">
        <v>2596</v>
      </c>
      <c r="F331">
        <v>347</v>
      </c>
      <c r="G331">
        <v>79.400000000000006</v>
      </c>
      <c r="I331">
        <v>8.8000000000000007</v>
      </c>
      <c r="K331">
        <v>9.8000000000000007</v>
      </c>
      <c r="N331">
        <v>2</v>
      </c>
      <c r="AF331">
        <v>9.3620999999999999</v>
      </c>
      <c r="AI331" t="s">
        <v>0</v>
      </c>
      <c r="AJ331" t="s">
        <v>261</v>
      </c>
      <c r="AK331" t="s">
        <v>1737</v>
      </c>
      <c r="AL331" t="s">
        <v>11</v>
      </c>
      <c r="AM331" t="s">
        <v>11</v>
      </c>
      <c r="AN331" t="s">
        <v>11</v>
      </c>
      <c r="AO331" t="s">
        <v>790</v>
      </c>
      <c r="AP331" t="s">
        <v>11</v>
      </c>
      <c r="AQ331" t="s">
        <v>11</v>
      </c>
      <c r="AR331" t="s">
        <v>11</v>
      </c>
      <c r="AS331" t="s">
        <v>11</v>
      </c>
      <c r="AT331" t="s">
        <v>11</v>
      </c>
      <c r="AU331" t="s">
        <v>11</v>
      </c>
      <c r="AV331" t="s">
        <v>11</v>
      </c>
      <c r="AW331" t="s">
        <v>11</v>
      </c>
      <c r="AX331" t="s">
        <v>11</v>
      </c>
      <c r="AY331" t="s">
        <v>11</v>
      </c>
      <c r="AZ331" t="s">
        <v>11</v>
      </c>
      <c r="BA331" t="s">
        <v>11</v>
      </c>
      <c r="BB331" t="s">
        <v>11</v>
      </c>
      <c r="BC331" t="s">
        <v>11</v>
      </c>
      <c r="BD331" t="s">
        <v>11</v>
      </c>
      <c r="BE331" t="s">
        <v>11</v>
      </c>
      <c r="BF331" t="s">
        <v>11</v>
      </c>
      <c r="BG331" t="s">
        <v>11</v>
      </c>
      <c r="BH331" t="s">
        <v>2612</v>
      </c>
      <c r="BI331" t="s">
        <v>2610</v>
      </c>
      <c r="BJ331" t="s">
        <v>2613</v>
      </c>
      <c r="BK331" t="s">
        <v>2614</v>
      </c>
    </row>
    <row r="332" spans="1:63" x14ac:dyDescent="0.3">
      <c r="A332" t="s">
        <v>1735</v>
      </c>
      <c r="B332" t="s">
        <v>95</v>
      </c>
      <c r="C332" t="s">
        <v>1349</v>
      </c>
      <c r="D332" t="s">
        <v>2615</v>
      </c>
      <c r="E332" t="s">
        <v>2596</v>
      </c>
      <c r="F332">
        <v>348</v>
      </c>
      <c r="G332">
        <v>79.400000000000006</v>
      </c>
      <c r="I332">
        <v>8.8000000000000007</v>
      </c>
      <c r="K332">
        <v>9.8000000000000007</v>
      </c>
      <c r="M332">
        <v>2</v>
      </c>
      <c r="AF332">
        <v>9.5236999999999998</v>
      </c>
      <c r="AI332" t="s">
        <v>0</v>
      </c>
      <c r="AJ332" t="s">
        <v>261</v>
      </c>
      <c r="AK332" t="s">
        <v>1737</v>
      </c>
      <c r="AL332" t="s">
        <v>11</v>
      </c>
      <c r="AM332" t="s">
        <v>11</v>
      </c>
      <c r="AN332" t="s">
        <v>24</v>
      </c>
      <c r="AO332" t="s">
        <v>11</v>
      </c>
      <c r="AP332" t="s">
        <v>11</v>
      </c>
      <c r="AQ332" t="s">
        <v>11</v>
      </c>
      <c r="AR332" t="s">
        <v>11</v>
      </c>
      <c r="AS332" t="s">
        <v>11</v>
      </c>
      <c r="AT332" t="s">
        <v>11</v>
      </c>
      <c r="AU332" t="s">
        <v>11</v>
      </c>
      <c r="AV332" t="s">
        <v>11</v>
      </c>
      <c r="AW332" t="s">
        <v>11</v>
      </c>
      <c r="AX332" t="s">
        <v>11</v>
      </c>
      <c r="AY332" t="s">
        <v>11</v>
      </c>
      <c r="AZ332" t="s">
        <v>11</v>
      </c>
      <c r="BA332" t="s">
        <v>11</v>
      </c>
      <c r="BB332" t="s">
        <v>11</v>
      </c>
      <c r="BC332" t="s">
        <v>11</v>
      </c>
      <c r="BD332" t="s">
        <v>11</v>
      </c>
      <c r="BE332" t="s">
        <v>11</v>
      </c>
      <c r="BF332" t="s">
        <v>11</v>
      </c>
      <c r="BG332" t="s">
        <v>11</v>
      </c>
      <c r="BH332" t="s">
        <v>2616</v>
      </c>
      <c r="BI332" t="s">
        <v>1735</v>
      </c>
      <c r="BJ332" t="s">
        <v>1739</v>
      </c>
      <c r="BK332" t="s">
        <v>1740</v>
      </c>
    </row>
    <row r="333" spans="1:63" x14ac:dyDescent="0.3">
      <c r="A333" t="s">
        <v>2617</v>
      </c>
      <c r="B333" t="s">
        <v>95</v>
      </c>
      <c r="C333" t="s">
        <v>2618</v>
      </c>
      <c r="D333" t="s">
        <v>2619</v>
      </c>
      <c r="E333" t="s">
        <v>2596</v>
      </c>
      <c r="F333">
        <v>349</v>
      </c>
      <c r="G333">
        <v>79.400000000000006</v>
      </c>
      <c r="I333">
        <v>8.8000000000000007</v>
      </c>
      <c r="J333">
        <v>2</v>
      </c>
      <c r="K333">
        <v>9.8000000000000007</v>
      </c>
      <c r="AF333">
        <v>9.3345000000000002</v>
      </c>
      <c r="AI333" t="s">
        <v>0</v>
      </c>
      <c r="AJ333" t="s">
        <v>261</v>
      </c>
      <c r="AK333" t="s">
        <v>1737</v>
      </c>
      <c r="AL333" t="s">
        <v>11</v>
      </c>
      <c r="AM333" t="s">
        <v>453</v>
      </c>
      <c r="AN333" t="s">
        <v>11</v>
      </c>
      <c r="AO333" t="s">
        <v>11</v>
      </c>
      <c r="AP333" t="s">
        <v>11</v>
      </c>
      <c r="AQ333" t="s">
        <v>11</v>
      </c>
      <c r="AR333" t="s">
        <v>11</v>
      </c>
      <c r="AS333" t="s">
        <v>11</v>
      </c>
      <c r="AT333" t="s">
        <v>11</v>
      </c>
      <c r="AU333" t="s">
        <v>11</v>
      </c>
      <c r="AV333" t="s">
        <v>11</v>
      </c>
      <c r="AW333" t="s">
        <v>11</v>
      </c>
      <c r="AX333" t="s">
        <v>11</v>
      </c>
      <c r="AY333" t="s">
        <v>11</v>
      </c>
      <c r="AZ333" t="s">
        <v>11</v>
      </c>
      <c r="BA333" t="s">
        <v>11</v>
      </c>
      <c r="BB333" t="s">
        <v>11</v>
      </c>
      <c r="BC333" t="s">
        <v>11</v>
      </c>
      <c r="BD333" t="s">
        <v>11</v>
      </c>
      <c r="BE333" t="s">
        <v>11</v>
      </c>
      <c r="BF333" t="s">
        <v>11</v>
      </c>
      <c r="BG333" t="s">
        <v>11</v>
      </c>
      <c r="BH333" t="s">
        <v>2620</v>
      </c>
      <c r="BI333" t="s">
        <v>2617</v>
      </c>
      <c r="BJ333" t="s">
        <v>2621</v>
      </c>
      <c r="BK333" t="s">
        <v>2622</v>
      </c>
    </row>
    <row r="334" spans="1:63" x14ac:dyDescent="0.3">
      <c r="A334" t="s">
        <v>2623</v>
      </c>
      <c r="B334" t="s">
        <v>95</v>
      </c>
      <c r="C334" t="s">
        <v>2624</v>
      </c>
      <c r="D334" t="s">
        <v>2625</v>
      </c>
      <c r="E334" t="s">
        <v>2596</v>
      </c>
      <c r="F334">
        <v>350</v>
      </c>
      <c r="G334">
        <v>79.400000000000006</v>
      </c>
      <c r="I334">
        <v>8.8000000000000007</v>
      </c>
      <c r="K334">
        <v>9.8000000000000007</v>
      </c>
      <c r="P334">
        <v>2</v>
      </c>
      <c r="AF334">
        <v>9.3963000000000001</v>
      </c>
      <c r="AI334" t="s">
        <v>0</v>
      </c>
      <c r="AJ334" t="s">
        <v>261</v>
      </c>
      <c r="AK334" t="s">
        <v>1737</v>
      </c>
      <c r="AL334" t="s">
        <v>11</v>
      </c>
      <c r="AM334" t="s">
        <v>11</v>
      </c>
      <c r="AN334" t="s">
        <v>11</v>
      </c>
      <c r="AO334" t="s">
        <v>11</v>
      </c>
      <c r="AP334" t="s">
        <v>11</v>
      </c>
      <c r="AQ334" t="s">
        <v>11</v>
      </c>
      <c r="AR334" t="s">
        <v>798</v>
      </c>
      <c r="AS334" t="s">
        <v>11</v>
      </c>
      <c r="AT334" t="s">
        <v>11</v>
      </c>
      <c r="AU334" t="s">
        <v>11</v>
      </c>
      <c r="AV334" t="s">
        <v>11</v>
      </c>
      <c r="AW334" t="s">
        <v>11</v>
      </c>
      <c r="AX334" t="s">
        <v>11</v>
      </c>
      <c r="AY334" t="s">
        <v>11</v>
      </c>
      <c r="AZ334" t="s">
        <v>11</v>
      </c>
      <c r="BA334" t="s">
        <v>11</v>
      </c>
      <c r="BB334" t="s">
        <v>11</v>
      </c>
      <c r="BC334" t="s">
        <v>11</v>
      </c>
      <c r="BD334" t="s">
        <v>11</v>
      </c>
      <c r="BE334" t="s">
        <v>11</v>
      </c>
      <c r="BF334" t="s">
        <v>11</v>
      </c>
      <c r="BG334" t="s">
        <v>11</v>
      </c>
      <c r="BH334" t="s">
        <v>2626</v>
      </c>
      <c r="BI334" t="s">
        <v>2623</v>
      </c>
      <c r="BJ334" t="s">
        <v>2627</v>
      </c>
      <c r="BK334" t="s">
        <v>2628</v>
      </c>
    </row>
    <row r="335" spans="1:63" x14ac:dyDescent="0.3">
      <c r="A335" t="s">
        <v>2629</v>
      </c>
      <c r="B335" t="s">
        <v>95</v>
      </c>
      <c r="C335" t="s">
        <v>2630</v>
      </c>
      <c r="D335" t="s">
        <v>2631</v>
      </c>
      <c r="E335" t="s">
        <v>2596</v>
      </c>
      <c r="F335">
        <v>351</v>
      </c>
      <c r="G335">
        <v>79.400000000000006</v>
      </c>
      <c r="I335">
        <v>8.8000000000000007</v>
      </c>
      <c r="K335">
        <v>9.8000000000000007</v>
      </c>
      <c r="AA335">
        <v>2</v>
      </c>
      <c r="AF335">
        <v>9.3401000000000014</v>
      </c>
      <c r="AI335" t="s">
        <v>0</v>
      </c>
      <c r="AJ335" t="s">
        <v>261</v>
      </c>
      <c r="AK335" t="s">
        <v>1737</v>
      </c>
      <c r="AL335" t="s">
        <v>11</v>
      </c>
      <c r="AM335" t="s">
        <v>11</v>
      </c>
      <c r="AN335" t="s">
        <v>11</v>
      </c>
      <c r="AO335" t="s">
        <v>11</v>
      </c>
      <c r="AP335" t="s">
        <v>11</v>
      </c>
      <c r="AQ335" t="s">
        <v>11</v>
      </c>
      <c r="AR335" t="s">
        <v>11</v>
      </c>
      <c r="AS335" t="s">
        <v>11</v>
      </c>
      <c r="AT335" t="s">
        <v>11</v>
      </c>
      <c r="AU335" t="s">
        <v>11</v>
      </c>
      <c r="AV335" t="s">
        <v>11</v>
      </c>
      <c r="AW335" t="s">
        <v>11</v>
      </c>
      <c r="AX335" t="s">
        <v>11</v>
      </c>
      <c r="AY335" t="s">
        <v>11</v>
      </c>
      <c r="AZ335" t="s">
        <v>11</v>
      </c>
      <c r="BA335" t="s">
        <v>11</v>
      </c>
      <c r="BB335" t="s">
        <v>11</v>
      </c>
      <c r="BC335" t="s">
        <v>2632</v>
      </c>
      <c r="BD335" t="s">
        <v>11</v>
      </c>
      <c r="BE335" t="s">
        <v>11</v>
      </c>
      <c r="BF335" t="s">
        <v>11</v>
      </c>
      <c r="BG335" t="s">
        <v>11</v>
      </c>
      <c r="BH335" t="s">
        <v>2633</v>
      </c>
      <c r="BI335" t="s">
        <v>2629</v>
      </c>
      <c r="BJ335" t="s">
        <v>2634</v>
      </c>
      <c r="BK335" t="s">
        <v>2635</v>
      </c>
    </row>
    <row r="336" spans="1:63" x14ac:dyDescent="0.3">
      <c r="A336" t="s">
        <v>2636</v>
      </c>
      <c r="B336" t="s">
        <v>95</v>
      </c>
      <c r="C336" t="s">
        <v>2637</v>
      </c>
      <c r="D336" t="s">
        <v>2638</v>
      </c>
      <c r="E336" t="s">
        <v>2596</v>
      </c>
      <c r="F336">
        <v>352</v>
      </c>
      <c r="G336">
        <v>79.400000000000006</v>
      </c>
      <c r="I336">
        <v>8.8000000000000007</v>
      </c>
      <c r="K336">
        <v>9.8000000000000007</v>
      </c>
      <c r="W336">
        <v>2</v>
      </c>
      <c r="AF336">
        <v>9.348180000000001</v>
      </c>
      <c r="AI336" t="s">
        <v>0</v>
      </c>
      <c r="AJ336" t="s">
        <v>261</v>
      </c>
      <c r="AK336" t="s">
        <v>1737</v>
      </c>
      <c r="AL336" t="s">
        <v>11</v>
      </c>
      <c r="AM336" t="s">
        <v>11</v>
      </c>
      <c r="AN336" t="s">
        <v>11</v>
      </c>
      <c r="AO336" t="s">
        <v>11</v>
      </c>
      <c r="AP336" t="s">
        <v>11</v>
      </c>
      <c r="AQ336" t="s">
        <v>11</v>
      </c>
      <c r="AR336" t="s">
        <v>11</v>
      </c>
      <c r="AS336" t="s">
        <v>11</v>
      </c>
      <c r="AT336" t="s">
        <v>11</v>
      </c>
      <c r="AU336" t="s">
        <v>11</v>
      </c>
      <c r="AV336" t="s">
        <v>11</v>
      </c>
      <c r="AW336" t="s">
        <v>11</v>
      </c>
      <c r="AX336" t="s">
        <v>11</v>
      </c>
      <c r="AY336" t="s">
        <v>2639</v>
      </c>
      <c r="AZ336" t="s">
        <v>11</v>
      </c>
      <c r="BA336" t="s">
        <v>11</v>
      </c>
      <c r="BB336" t="s">
        <v>11</v>
      </c>
      <c r="BC336" t="s">
        <v>11</v>
      </c>
      <c r="BD336" t="s">
        <v>11</v>
      </c>
      <c r="BE336" t="s">
        <v>11</v>
      </c>
      <c r="BF336" t="s">
        <v>11</v>
      </c>
      <c r="BG336" t="s">
        <v>11</v>
      </c>
      <c r="BH336" t="s">
        <v>2640</v>
      </c>
      <c r="BI336" t="s">
        <v>2636</v>
      </c>
      <c r="BJ336" t="s">
        <v>2641</v>
      </c>
      <c r="BK336" t="s">
        <v>2642</v>
      </c>
    </row>
    <row r="337" spans="1:63" x14ac:dyDescent="0.3">
      <c r="A337" t="s">
        <v>2643</v>
      </c>
      <c r="B337" t="s">
        <v>95</v>
      </c>
      <c r="C337" t="s">
        <v>2644</v>
      </c>
      <c r="D337" t="s">
        <v>2645</v>
      </c>
      <c r="E337" t="s">
        <v>2596</v>
      </c>
      <c r="F337">
        <v>353</v>
      </c>
      <c r="G337">
        <v>79.400000000000006</v>
      </c>
      <c r="H337">
        <v>2</v>
      </c>
      <c r="I337">
        <v>8.8000000000000007</v>
      </c>
      <c r="K337">
        <v>9.8000000000000007</v>
      </c>
      <c r="AF337">
        <v>9.3688600000000015</v>
      </c>
      <c r="AI337" t="s">
        <v>0</v>
      </c>
      <c r="AJ337" t="s">
        <v>261</v>
      </c>
      <c r="AK337" t="s">
        <v>1737</v>
      </c>
      <c r="AL337" t="s">
        <v>709</v>
      </c>
      <c r="AM337" t="s">
        <v>11</v>
      </c>
      <c r="AN337" t="s">
        <v>11</v>
      </c>
      <c r="AO337" t="s">
        <v>11</v>
      </c>
      <c r="AP337" t="s">
        <v>11</v>
      </c>
      <c r="AQ337" t="s">
        <v>11</v>
      </c>
      <c r="AR337" t="s">
        <v>11</v>
      </c>
      <c r="AS337" t="s">
        <v>11</v>
      </c>
      <c r="AT337" t="s">
        <v>11</v>
      </c>
      <c r="AU337" t="s">
        <v>11</v>
      </c>
      <c r="AV337" t="s">
        <v>11</v>
      </c>
      <c r="AW337" t="s">
        <v>11</v>
      </c>
      <c r="AX337" t="s">
        <v>11</v>
      </c>
      <c r="AY337" t="s">
        <v>11</v>
      </c>
      <c r="AZ337" t="s">
        <v>11</v>
      </c>
      <c r="BA337" t="s">
        <v>11</v>
      </c>
      <c r="BB337" t="s">
        <v>11</v>
      </c>
      <c r="BC337" t="s">
        <v>11</v>
      </c>
      <c r="BD337" t="s">
        <v>11</v>
      </c>
      <c r="BE337" t="s">
        <v>11</v>
      </c>
      <c r="BF337" t="s">
        <v>11</v>
      </c>
      <c r="BG337" t="s">
        <v>11</v>
      </c>
      <c r="BH337" t="s">
        <v>2646</v>
      </c>
      <c r="BI337" t="s">
        <v>2643</v>
      </c>
      <c r="BJ337" t="s">
        <v>2647</v>
      </c>
      <c r="BK337" t="s">
        <v>2648</v>
      </c>
    </row>
    <row r="338" spans="1:63" x14ac:dyDescent="0.3">
      <c r="A338" t="s">
        <v>2649</v>
      </c>
      <c r="B338" t="s">
        <v>95</v>
      </c>
      <c r="C338" t="s">
        <v>411</v>
      </c>
      <c r="D338" t="s">
        <v>2650</v>
      </c>
      <c r="E338" t="s">
        <v>2596</v>
      </c>
      <c r="F338">
        <v>354</v>
      </c>
      <c r="G338">
        <v>79.400000000000006</v>
      </c>
      <c r="I338">
        <v>8.8000000000000007</v>
      </c>
      <c r="K338">
        <v>9.8000000000000007</v>
      </c>
      <c r="V338">
        <v>2</v>
      </c>
      <c r="AF338">
        <v>9.2372999999999994</v>
      </c>
      <c r="AI338" t="s">
        <v>0</v>
      </c>
      <c r="AJ338" t="s">
        <v>261</v>
      </c>
      <c r="AK338" t="s">
        <v>1737</v>
      </c>
      <c r="AL338" t="s">
        <v>11</v>
      </c>
      <c r="AM338" t="s">
        <v>11</v>
      </c>
      <c r="AN338" t="s">
        <v>11</v>
      </c>
      <c r="AO338" t="s">
        <v>11</v>
      </c>
      <c r="AP338" t="s">
        <v>11</v>
      </c>
      <c r="AQ338" t="s">
        <v>11</v>
      </c>
      <c r="AR338" t="s">
        <v>11</v>
      </c>
      <c r="AS338" t="s">
        <v>11</v>
      </c>
      <c r="AT338" t="s">
        <v>11</v>
      </c>
      <c r="AU338" t="s">
        <v>11</v>
      </c>
      <c r="AV338" t="s">
        <v>11</v>
      </c>
      <c r="AW338" t="s">
        <v>11</v>
      </c>
      <c r="AX338" t="s">
        <v>414</v>
      </c>
      <c r="AY338" t="s">
        <v>11</v>
      </c>
      <c r="AZ338" t="s">
        <v>11</v>
      </c>
      <c r="BA338" t="s">
        <v>11</v>
      </c>
      <c r="BB338" t="s">
        <v>11</v>
      </c>
      <c r="BC338" t="s">
        <v>11</v>
      </c>
      <c r="BD338" t="s">
        <v>11</v>
      </c>
      <c r="BE338" t="s">
        <v>11</v>
      </c>
      <c r="BF338" t="s">
        <v>11</v>
      </c>
      <c r="BG338" t="s">
        <v>11</v>
      </c>
      <c r="BH338" t="s">
        <v>2651</v>
      </c>
      <c r="BI338" t="s">
        <v>2649</v>
      </c>
      <c r="BJ338" t="s">
        <v>2652</v>
      </c>
      <c r="BK338" t="s">
        <v>2653</v>
      </c>
    </row>
    <row r="339" spans="1:63" x14ac:dyDescent="0.3">
      <c r="A339" t="s">
        <v>2654</v>
      </c>
      <c r="B339" t="s">
        <v>95</v>
      </c>
      <c r="C339" t="s">
        <v>2655</v>
      </c>
      <c r="D339" t="s">
        <v>2656</v>
      </c>
      <c r="E339" t="s">
        <v>2596</v>
      </c>
      <c r="F339">
        <v>355</v>
      </c>
      <c r="G339">
        <v>79.400000000000006</v>
      </c>
      <c r="I339">
        <v>8.8000000000000007</v>
      </c>
      <c r="K339">
        <v>9.8000000000000007</v>
      </c>
      <c r="R339">
        <v>2</v>
      </c>
      <c r="AF339">
        <v>9.320920000000001</v>
      </c>
      <c r="AI339" t="s">
        <v>0</v>
      </c>
      <c r="AJ339" t="s">
        <v>261</v>
      </c>
      <c r="AK339" t="s">
        <v>1737</v>
      </c>
      <c r="AL339" t="s">
        <v>11</v>
      </c>
      <c r="AM339" t="s">
        <v>11</v>
      </c>
      <c r="AN339" t="s">
        <v>11</v>
      </c>
      <c r="AO339" t="s">
        <v>11</v>
      </c>
      <c r="AP339" t="s">
        <v>11</v>
      </c>
      <c r="AQ339" t="s">
        <v>11</v>
      </c>
      <c r="AR339" t="s">
        <v>11</v>
      </c>
      <c r="AS339" t="s">
        <v>11</v>
      </c>
      <c r="AT339" t="s">
        <v>2657</v>
      </c>
      <c r="AU339" t="s">
        <v>11</v>
      </c>
      <c r="AV339" t="s">
        <v>11</v>
      </c>
      <c r="AW339" t="s">
        <v>11</v>
      </c>
      <c r="AX339" t="s">
        <v>11</v>
      </c>
      <c r="AY339" t="s">
        <v>11</v>
      </c>
      <c r="AZ339" t="s">
        <v>11</v>
      </c>
      <c r="BA339" t="s">
        <v>11</v>
      </c>
      <c r="BB339" t="s">
        <v>11</v>
      </c>
      <c r="BC339" t="s">
        <v>11</v>
      </c>
      <c r="BD339" t="s">
        <v>11</v>
      </c>
      <c r="BE339" t="s">
        <v>11</v>
      </c>
      <c r="BF339" t="s">
        <v>11</v>
      </c>
      <c r="BG339" t="s">
        <v>11</v>
      </c>
      <c r="BH339" t="s">
        <v>2658</v>
      </c>
      <c r="BI339" t="s">
        <v>2654</v>
      </c>
      <c r="BJ339" t="s">
        <v>2659</v>
      </c>
      <c r="BK339" t="s">
        <v>2660</v>
      </c>
    </row>
    <row r="340" spans="1:63" x14ac:dyDescent="0.3">
      <c r="A340" t="s">
        <v>2661</v>
      </c>
      <c r="B340" t="s">
        <v>95</v>
      </c>
      <c r="C340" t="s">
        <v>2662</v>
      </c>
      <c r="D340" t="s">
        <v>2663</v>
      </c>
      <c r="E340" t="s">
        <v>2596</v>
      </c>
      <c r="F340">
        <v>356</v>
      </c>
      <c r="G340">
        <v>79.400000000000006</v>
      </c>
      <c r="I340">
        <v>8.8000000000000007</v>
      </c>
      <c r="K340">
        <v>9.8000000000000007</v>
      </c>
      <c r="Y340">
        <v>2</v>
      </c>
      <c r="AF340">
        <v>9.456900000000001</v>
      </c>
      <c r="AI340" t="s">
        <v>0</v>
      </c>
      <c r="AJ340" t="s">
        <v>261</v>
      </c>
      <c r="AK340" t="s">
        <v>1737</v>
      </c>
      <c r="AL340" t="s">
        <v>11</v>
      </c>
      <c r="AM340" t="s">
        <v>11</v>
      </c>
      <c r="AN340" t="s">
        <v>11</v>
      </c>
      <c r="AO340" t="s">
        <v>11</v>
      </c>
      <c r="AP340" t="s">
        <v>11</v>
      </c>
      <c r="AQ340" t="s">
        <v>11</v>
      </c>
      <c r="AR340" t="s">
        <v>11</v>
      </c>
      <c r="AS340" t="s">
        <v>11</v>
      </c>
      <c r="AT340" t="s">
        <v>11</v>
      </c>
      <c r="AU340" t="s">
        <v>11</v>
      </c>
      <c r="AV340" t="s">
        <v>11</v>
      </c>
      <c r="AW340" t="s">
        <v>11</v>
      </c>
      <c r="AX340" t="s">
        <v>11</v>
      </c>
      <c r="AY340" t="s">
        <v>11</v>
      </c>
      <c r="AZ340" t="s">
        <v>11</v>
      </c>
      <c r="BA340" t="s">
        <v>2664</v>
      </c>
      <c r="BB340" t="s">
        <v>11</v>
      </c>
      <c r="BC340" t="s">
        <v>11</v>
      </c>
      <c r="BD340" t="s">
        <v>11</v>
      </c>
      <c r="BE340" t="s">
        <v>11</v>
      </c>
      <c r="BF340" t="s">
        <v>11</v>
      </c>
      <c r="BG340" t="s">
        <v>11</v>
      </c>
      <c r="BH340" t="s">
        <v>2665</v>
      </c>
      <c r="BI340" t="s">
        <v>2661</v>
      </c>
      <c r="BJ340" t="s">
        <v>2666</v>
      </c>
      <c r="BK340" t="s">
        <v>2667</v>
      </c>
    </row>
    <row r="341" spans="1:63" x14ac:dyDescent="0.3">
      <c r="A341" t="s">
        <v>2668</v>
      </c>
      <c r="B341" t="s">
        <v>95</v>
      </c>
      <c r="C341" t="s">
        <v>2669</v>
      </c>
      <c r="D341" t="s">
        <v>2670</v>
      </c>
      <c r="E341" t="s">
        <v>2596</v>
      </c>
      <c r="F341">
        <v>357</v>
      </c>
      <c r="G341">
        <v>79.400000000000006</v>
      </c>
      <c r="I341">
        <v>8.8000000000000007</v>
      </c>
      <c r="K341">
        <v>9.8000000000000007</v>
      </c>
      <c r="AC341">
        <v>2</v>
      </c>
      <c r="AF341">
        <v>9.4381000000000004</v>
      </c>
      <c r="AI341" t="s">
        <v>0</v>
      </c>
      <c r="AJ341" t="s">
        <v>261</v>
      </c>
      <c r="AK341" t="s">
        <v>1737</v>
      </c>
      <c r="AL341" t="s">
        <v>11</v>
      </c>
      <c r="AM341" t="s">
        <v>11</v>
      </c>
      <c r="AN341" t="s">
        <v>11</v>
      </c>
      <c r="AO341" t="s">
        <v>11</v>
      </c>
      <c r="AP341" t="s">
        <v>11</v>
      </c>
      <c r="AQ341" t="s">
        <v>11</v>
      </c>
      <c r="AR341" t="s">
        <v>11</v>
      </c>
      <c r="AS341" t="s">
        <v>11</v>
      </c>
      <c r="AT341" t="s">
        <v>11</v>
      </c>
      <c r="AU341" t="s">
        <v>11</v>
      </c>
      <c r="AV341" t="s">
        <v>11</v>
      </c>
      <c r="AW341" t="s">
        <v>11</v>
      </c>
      <c r="AX341" t="s">
        <v>11</v>
      </c>
      <c r="AY341" t="s">
        <v>11</v>
      </c>
      <c r="AZ341" t="s">
        <v>11</v>
      </c>
      <c r="BA341" t="s">
        <v>11</v>
      </c>
      <c r="BB341" t="s">
        <v>11</v>
      </c>
      <c r="BC341" t="s">
        <v>11</v>
      </c>
      <c r="BD341" t="s">
        <v>11</v>
      </c>
      <c r="BE341" t="s">
        <v>2671</v>
      </c>
      <c r="BF341" t="s">
        <v>11</v>
      </c>
      <c r="BG341" t="s">
        <v>11</v>
      </c>
      <c r="BH341" t="s">
        <v>2672</v>
      </c>
      <c r="BI341" t="s">
        <v>2668</v>
      </c>
      <c r="BJ341" t="s">
        <v>2673</v>
      </c>
      <c r="BK341" t="s">
        <v>2674</v>
      </c>
    </row>
    <row r="342" spans="1:63" x14ac:dyDescent="0.3">
      <c r="A342" t="s">
        <v>2675</v>
      </c>
      <c r="B342" t="s">
        <v>95</v>
      </c>
      <c r="C342" t="s">
        <v>2676</v>
      </c>
      <c r="D342" t="s">
        <v>2677</v>
      </c>
      <c r="E342" t="s">
        <v>2596</v>
      </c>
      <c r="F342">
        <v>358</v>
      </c>
      <c r="G342">
        <v>79.400000000000006</v>
      </c>
      <c r="I342">
        <v>8.8000000000000007</v>
      </c>
      <c r="K342">
        <v>9.8000000000000007</v>
      </c>
      <c r="T342">
        <v>2</v>
      </c>
      <c r="AF342">
        <v>9.6418999999999997</v>
      </c>
      <c r="AI342" t="s">
        <v>0</v>
      </c>
      <c r="AJ342" t="s">
        <v>261</v>
      </c>
      <c r="AK342" t="s">
        <v>1737</v>
      </c>
      <c r="AL342" t="s">
        <v>11</v>
      </c>
      <c r="AM342" t="s">
        <v>11</v>
      </c>
      <c r="AN342" t="s">
        <v>11</v>
      </c>
      <c r="AO342" t="s">
        <v>11</v>
      </c>
      <c r="AP342" t="s">
        <v>11</v>
      </c>
      <c r="AQ342" t="s">
        <v>11</v>
      </c>
      <c r="AR342" t="s">
        <v>11</v>
      </c>
      <c r="AS342" t="s">
        <v>11</v>
      </c>
      <c r="AT342" t="s">
        <v>11</v>
      </c>
      <c r="AU342" t="s">
        <v>11</v>
      </c>
      <c r="AV342" t="s">
        <v>2678</v>
      </c>
      <c r="AW342" t="s">
        <v>11</v>
      </c>
      <c r="AX342" t="s">
        <v>11</v>
      </c>
      <c r="AY342" t="s">
        <v>11</v>
      </c>
      <c r="AZ342" t="s">
        <v>11</v>
      </c>
      <c r="BA342" t="s">
        <v>11</v>
      </c>
      <c r="BB342" t="s">
        <v>11</v>
      </c>
      <c r="BC342" t="s">
        <v>11</v>
      </c>
      <c r="BD342" t="s">
        <v>11</v>
      </c>
      <c r="BE342" t="s">
        <v>11</v>
      </c>
      <c r="BF342" t="s">
        <v>11</v>
      </c>
      <c r="BG342" t="s">
        <v>11</v>
      </c>
      <c r="BH342" t="s">
        <v>2679</v>
      </c>
      <c r="BI342" t="s">
        <v>2675</v>
      </c>
      <c r="BJ342" t="s">
        <v>2680</v>
      </c>
      <c r="BK342" t="s">
        <v>2681</v>
      </c>
    </row>
    <row r="343" spans="1:63" x14ac:dyDescent="0.3">
      <c r="A343" t="s">
        <v>2682</v>
      </c>
      <c r="B343" t="s">
        <v>95</v>
      </c>
      <c r="C343" t="s">
        <v>2683</v>
      </c>
      <c r="D343" t="s">
        <v>2684</v>
      </c>
      <c r="E343" t="s">
        <v>2685</v>
      </c>
      <c r="F343">
        <v>359</v>
      </c>
      <c r="G343">
        <v>82</v>
      </c>
      <c r="I343">
        <v>9</v>
      </c>
      <c r="K343">
        <v>7</v>
      </c>
      <c r="L343">
        <v>2</v>
      </c>
      <c r="AF343">
        <v>8.9786400000000004</v>
      </c>
      <c r="AI343" t="s">
        <v>0</v>
      </c>
      <c r="AJ343" t="s">
        <v>128</v>
      </c>
      <c r="AK343" t="s">
        <v>538</v>
      </c>
      <c r="AL343" t="s">
        <v>11</v>
      </c>
      <c r="AM343" t="s">
        <v>11</v>
      </c>
      <c r="AN343" t="s">
        <v>11</v>
      </c>
      <c r="AO343" t="s">
        <v>11</v>
      </c>
      <c r="AP343" t="s">
        <v>11</v>
      </c>
      <c r="AQ343" t="s">
        <v>25</v>
      </c>
      <c r="AR343" t="s">
        <v>11</v>
      </c>
      <c r="AS343" t="s">
        <v>11</v>
      </c>
      <c r="AT343" t="s">
        <v>11</v>
      </c>
      <c r="AU343" t="s">
        <v>11</v>
      </c>
      <c r="AV343" t="s">
        <v>11</v>
      </c>
      <c r="AW343" t="s">
        <v>11</v>
      </c>
      <c r="AX343" t="s">
        <v>11</v>
      </c>
      <c r="AY343" t="s">
        <v>11</v>
      </c>
      <c r="AZ343" t="s">
        <v>11</v>
      </c>
      <c r="BA343" t="s">
        <v>11</v>
      </c>
      <c r="BB343" t="s">
        <v>11</v>
      </c>
      <c r="BC343" t="s">
        <v>11</v>
      </c>
      <c r="BD343" t="s">
        <v>11</v>
      </c>
      <c r="BE343" t="s">
        <v>11</v>
      </c>
      <c r="BF343" t="s">
        <v>11</v>
      </c>
      <c r="BG343" t="s">
        <v>11</v>
      </c>
      <c r="BH343" t="s">
        <v>2686</v>
      </c>
      <c r="BI343" t="s">
        <v>2682</v>
      </c>
      <c r="BJ343" t="s">
        <v>2687</v>
      </c>
      <c r="BK343" t="s">
        <v>2688</v>
      </c>
    </row>
    <row r="344" spans="1:63" x14ac:dyDescent="0.3">
      <c r="A344" t="s">
        <v>2689</v>
      </c>
      <c r="B344" t="s">
        <v>95</v>
      </c>
      <c r="C344" t="s">
        <v>2690</v>
      </c>
      <c r="D344" t="s">
        <v>2691</v>
      </c>
      <c r="E344" t="s">
        <v>2685</v>
      </c>
      <c r="F344">
        <v>360</v>
      </c>
      <c r="G344">
        <v>85</v>
      </c>
      <c r="I344">
        <v>9</v>
      </c>
      <c r="K344">
        <v>6</v>
      </c>
      <c r="AF344">
        <v>8.9629999999999992</v>
      </c>
      <c r="AI344" t="s">
        <v>0</v>
      </c>
      <c r="AJ344" t="s">
        <v>128</v>
      </c>
      <c r="AK344" t="s">
        <v>2128</v>
      </c>
      <c r="AL344" t="s">
        <v>11</v>
      </c>
      <c r="AM344" t="s">
        <v>11</v>
      </c>
      <c r="AN344" t="s">
        <v>11</v>
      </c>
      <c r="AO344" t="s">
        <v>11</v>
      </c>
      <c r="AP344" t="s">
        <v>11</v>
      </c>
      <c r="AQ344" t="s">
        <v>11</v>
      </c>
      <c r="AR344" t="s">
        <v>11</v>
      </c>
      <c r="AS344" t="s">
        <v>11</v>
      </c>
      <c r="AT344" t="s">
        <v>11</v>
      </c>
      <c r="AU344" t="s">
        <v>11</v>
      </c>
      <c r="AV344" t="s">
        <v>11</v>
      </c>
      <c r="AW344" t="s">
        <v>11</v>
      </c>
      <c r="AX344" t="s">
        <v>11</v>
      </c>
      <c r="AY344" t="s">
        <v>11</v>
      </c>
      <c r="AZ344" t="s">
        <v>11</v>
      </c>
      <c r="BA344" t="s">
        <v>11</v>
      </c>
      <c r="BB344" t="s">
        <v>11</v>
      </c>
      <c r="BC344" t="s">
        <v>11</v>
      </c>
      <c r="BD344" t="s">
        <v>11</v>
      </c>
      <c r="BE344" t="s">
        <v>11</v>
      </c>
      <c r="BF344" t="s">
        <v>11</v>
      </c>
      <c r="BG344" t="s">
        <v>11</v>
      </c>
      <c r="BH344" t="s">
        <v>2692</v>
      </c>
      <c r="BI344" t="s">
        <v>2689</v>
      </c>
      <c r="BJ344" t="s">
        <v>2693</v>
      </c>
      <c r="BK344" t="s">
        <v>2694</v>
      </c>
    </row>
    <row r="345" spans="1:63" x14ac:dyDescent="0.3">
      <c r="A345" t="s">
        <v>2695</v>
      </c>
      <c r="B345" t="s">
        <v>95</v>
      </c>
      <c r="C345" t="s">
        <v>507</v>
      </c>
      <c r="D345" t="s">
        <v>2696</v>
      </c>
      <c r="E345" t="s">
        <v>2685</v>
      </c>
      <c r="F345">
        <v>361</v>
      </c>
      <c r="G345">
        <v>84</v>
      </c>
      <c r="I345">
        <v>9</v>
      </c>
      <c r="K345">
        <v>7</v>
      </c>
      <c r="AF345">
        <v>9.0664999999999996</v>
      </c>
      <c r="AI345" t="s">
        <v>0</v>
      </c>
      <c r="AJ345" t="s">
        <v>128</v>
      </c>
      <c r="AK345" t="s">
        <v>538</v>
      </c>
      <c r="AL345" t="s">
        <v>11</v>
      </c>
      <c r="AM345" t="s">
        <v>11</v>
      </c>
      <c r="AN345" t="s">
        <v>11</v>
      </c>
      <c r="AO345" t="s">
        <v>11</v>
      </c>
      <c r="AP345" t="s">
        <v>11</v>
      </c>
      <c r="AQ345" t="s">
        <v>11</v>
      </c>
      <c r="AR345" t="s">
        <v>11</v>
      </c>
      <c r="AS345" t="s">
        <v>11</v>
      </c>
      <c r="AT345" t="s">
        <v>11</v>
      </c>
      <c r="AU345" t="s">
        <v>11</v>
      </c>
      <c r="AV345" t="s">
        <v>11</v>
      </c>
      <c r="AW345" t="s">
        <v>11</v>
      </c>
      <c r="AX345" t="s">
        <v>11</v>
      </c>
      <c r="AY345" t="s">
        <v>11</v>
      </c>
      <c r="AZ345" t="s">
        <v>11</v>
      </c>
      <c r="BA345" t="s">
        <v>11</v>
      </c>
      <c r="BB345" t="s">
        <v>11</v>
      </c>
      <c r="BC345" t="s">
        <v>11</v>
      </c>
      <c r="BD345" t="s">
        <v>11</v>
      </c>
      <c r="BE345" t="s">
        <v>11</v>
      </c>
      <c r="BF345" t="s">
        <v>11</v>
      </c>
      <c r="BG345" t="s">
        <v>11</v>
      </c>
      <c r="BH345" t="s">
        <v>2697</v>
      </c>
      <c r="BI345" t="s">
        <v>2695</v>
      </c>
      <c r="BJ345" t="s">
        <v>2698</v>
      </c>
      <c r="BK345" t="s">
        <v>2699</v>
      </c>
    </row>
    <row r="346" spans="1:63" x14ac:dyDescent="0.3">
      <c r="A346" t="s">
        <v>2141</v>
      </c>
      <c r="B346" t="s">
        <v>95</v>
      </c>
      <c r="C346" t="s">
        <v>2142</v>
      </c>
      <c r="D346" t="s">
        <v>2700</v>
      </c>
      <c r="E346" t="s">
        <v>2685</v>
      </c>
      <c r="F346">
        <v>362</v>
      </c>
      <c r="G346">
        <v>83</v>
      </c>
      <c r="I346">
        <v>9</v>
      </c>
      <c r="K346">
        <v>8</v>
      </c>
      <c r="AF346">
        <v>9.17</v>
      </c>
      <c r="AI346" t="s">
        <v>0</v>
      </c>
      <c r="AJ346" t="s">
        <v>128</v>
      </c>
      <c r="AK346" t="s">
        <v>548</v>
      </c>
      <c r="AL346" t="s">
        <v>11</v>
      </c>
      <c r="AM346" t="s">
        <v>11</v>
      </c>
      <c r="AN346" t="s">
        <v>11</v>
      </c>
      <c r="AO346" t="s">
        <v>11</v>
      </c>
      <c r="AP346" t="s">
        <v>11</v>
      </c>
      <c r="AQ346" t="s">
        <v>11</v>
      </c>
      <c r="AR346" t="s">
        <v>11</v>
      </c>
      <c r="AS346" t="s">
        <v>11</v>
      </c>
      <c r="AT346" t="s">
        <v>11</v>
      </c>
      <c r="AU346" t="s">
        <v>11</v>
      </c>
      <c r="AV346" t="s">
        <v>11</v>
      </c>
      <c r="AW346" t="s">
        <v>11</v>
      </c>
      <c r="AX346" t="s">
        <v>11</v>
      </c>
      <c r="AY346" t="s">
        <v>11</v>
      </c>
      <c r="AZ346" t="s">
        <v>11</v>
      </c>
      <c r="BA346" t="s">
        <v>11</v>
      </c>
      <c r="BB346" t="s">
        <v>11</v>
      </c>
      <c r="BC346" t="s">
        <v>11</v>
      </c>
      <c r="BD346" t="s">
        <v>11</v>
      </c>
      <c r="BE346" t="s">
        <v>11</v>
      </c>
      <c r="BF346" t="s">
        <v>11</v>
      </c>
      <c r="BG346" t="s">
        <v>11</v>
      </c>
      <c r="BH346" t="s">
        <v>2701</v>
      </c>
      <c r="BI346" t="s">
        <v>2141</v>
      </c>
      <c r="BJ346" t="s">
        <v>2146</v>
      </c>
      <c r="BK346" t="s">
        <v>2147</v>
      </c>
    </row>
    <row r="347" spans="1:63" x14ac:dyDescent="0.3">
      <c r="A347" t="s">
        <v>2702</v>
      </c>
      <c r="B347" t="s">
        <v>95</v>
      </c>
      <c r="C347" t="s">
        <v>2703</v>
      </c>
      <c r="D347" t="s">
        <v>2704</v>
      </c>
      <c r="E347" t="s">
        <v>2685</v>
      </c>
      <c r="F347">
        <v>363</v>
      </c>
      <c r="G347">
        <v>82</v>
      </c>
      <c r="I347">
        <v>9</v>
      </c>
      <c r="K347">
        <v>7</v>
      </c>
      <c r="M347">
        <v>2</v>
      </c>
      <c r="AF347">
        <v>9.2214999999999989</v>
      </c>
      <c r="AI347" t="s">
        <v>0</v>
      </c>
      <c r="AJ347" t="s">
        <v>128</v>
      </c>
      <c r="AK347" t="s">
        <v>538</v>
      </c>
      <c r="AL347" t="s">
        <v>11</v>
      </c>
      <c r="AM347" t="s">
        <v>11</v>
      </c>
      <c r="AN347" t="s">
        <v>24</v>
      </c>
      <c r="AO347" t="s">
        <v>11</v>
      </c>
      <c r="AP347" t="s">
        <v>11</v>
      </c>
      <c r="AQ347" t="s">
        <v>11</v>
      </c>
      <c r="AR347" t="s">
        <v>11</v>
      </c>
      <c r="AS347" t="s">
        <v>11</v>
      </c>
      <c r="AT347" t="s">
        <v>11</v>
      </c>
      <c r="AU347" t="s">
        <v>11</v>
      </c>
      <c r="AV347" t="s">
        <v>11</v>
      </c>
      <c r="AW347" t="s">
        <v>11</v>
      </c>
      <c r="AX347" t="s">
        <v>11</v>
      </c>
      <c r="AY347" t="s">
        <v>11</v>
      </c>
      <c r="AZ347" t="s">
        <v>11</v>
      </c>
      <c r="BA347" t="s">
        <v>11</v>
      </c>
      <c r="BB347" t="s">
        <v>11</v>
      </c>
      <c r="BC347" t="s">
        <v>11</v>
      </c>
      <c r="BD347" t="s">
        <v>11</v>
      </c>
      <c r="BE347" t="s">
        <v>11</v>
      </c>
      <c r="BF347" t="s">
        <v>11</v>
      </c>
      <c r="BG347" t="s">
        <v>11</v>
      </c>
      <c r="BH347" t="s">
        <v>2705</v>
      </c>
      <c r="BI347" t="s">
        <v>2702</v>
      </c>
      <c r="BJ347" t="s">
        <v>2706</v>
      </c>
      <c r="BK347" t="s">
        <v>2707</v>
      </c>
    </row>
    <row r="348" spans="1:63" x14ac:dyDescent="0.3">
      <c r="A348" t="s">
        <v>2708</v>
      </c>
      <c r="B348" t="s">
        <v>95</v>
      </c>
      <c r="C348" t="s">
        <v>2709</v>
      </c>
      <c r="D348" t="s">
        <v>2710</v>
      </c>
      <c r="E348" t="s">
        <v>2685</v>
      </c>
      <c r="F348">
        <v>364</v>
      </c>
      <c r="G348">
        <v>82</v>
      </c>
      <c r="I348">
        <v>9</v>
      </c>
      <c r="K348">
        <v>7</v>
      </c>
      <c r="P348">
        <v>2</v>
      </c>
      <c r="AF348">
        <v>9.0940999999999992</v>
      </c>
      <c r="AI348" t="s">
        <v>0</v>
      </c>
      <c r="AJ348" t="s">
        <v>128</v>
      </c>
      <c r="AK348" t="s">
        <v>538</v>
      </c>
      <c r="AL348" t="s">
        <v>11</v>
      </c>
      <c r="AM348" t="s">
        <v>11</v>
      </c>
      <c r="AN348" t="s">
        <v>11</v>
      </c>
      <c r="AO348" t="s">
        <v>11</v>
      </c>
      <c r="AP348" t="s">
        <v>11</v>
      </c>
      <c r="AQ348" t="s">
        <v>11</v>
      </c>
      <c r="AR348" t="s">
        <v>798</v>
      </c>
      <c r="AS348" t="s">
        <v>11</v>
      </c>
      <c r="AT348" t="s">
        <v>11</v>
      </c>
      <c r="AU348" t="s">
        <v>11</v>
      </c>
      <c r="AV348" t="s">
        <v>11</v>
      </c>
      <c r="AW348" t="s">
        <v>11</v>
      </c>
      <c r="AX348" t="s">
        <v>11</v>
      </c>
      <c r="AY348" t="s">
        <v>11</v>
      </c>
      <c r="AZ348" t="s">
        <v>11</v>
      </c>
      <c r="BA348" t="s">
        <v>11</v>
      </c>
      <c r="BB348" t="s">
        <v>11</v>
      </c>
      <c r="BC348" t="s">
        <v>11</v>
      </c>
      <c r="BD348" t="s">
        <v>11</v>
      </c>
      <c r="BE348" t="s">
        <v>11</v>
      </c>
      <c r="BF348" t="s">
        <v>11</v>
      </c>
      <c r="BG348" t="s">
        <v>11</v>
      </c>
      <c r="BH348" t="s">
        <v>2711</v>
      </c>
      <c r="BI348" t="s">
        <v>2708</v>
      </c>
      <c r="BJ348" t="s">
        <v>2712</v>
      </c>
      <c r="BK348" t="s">
        <v>2713</v>
      </c>
    </row>
    <row r="349" spans="1:63" x14ac:dyDescent="0.3">
      <c r="A349" t="s">
        <v>2714</v>
      </c>
      <c r="B349" t="s">
        <v>95</v>
      </c>
      <c r="C349" t="s">
        <v>2715</v>
      </c>
      <c r="D349" t="s">
        <v>2716</v>
      </c>
      <c r="E349" t="s">
        <v>2685</v>
      </c>
      <c r="F349">
        <v>365</v>
      </c>
      <c r="G349">
        <v>82</v>
      </c>
      <c r="I349">
        <v>9</v>
      </c>
      <c r="K349">
        <v>7</v>
      </c>
      <c r="N349">
        <v>2</v>
      </c>
      <c r="AF349">
        <v>9.0599000000000007</v>
      </c>
      <c r="AI349" t="s">
        <v>0</v>
      </c>
      <c r="AJ349" t="s">
        <v>128</v>
      </c>
      <c r="AK349" t="s">
        <v>538</v>
      </c>
      <c r="AL349" t="s">
        <v>11</v>
      </c>
      <c r="AM349" t="s">
        <v>11</v>
      </c>
      <c r="AN349" t="s">
        <v>11</v>
      </c>
      <c r="AO349" t="s">
        <v>790</v>
      </c>
      <c r="AP349" t="s">
        <v>11</v>
      </c>
      <c r="AQ349" t="s">
        <v>11</v>
      </c>
      <c r="AR349" t="s">
        <v>11</v>
      </c>
      <c r="AS349" t="s">
        <v>11</v>
      </c>
      <c r="AT349" t="s">
        <v>11</v>
      </c>
      <c r="AU349" t="s">
        <v>11</v>
      </c>
      <c r="AV349" t="s">
        <v>11</v>
      </c>
      <c r="AW349" t="s">
        <v>11</v>
      </c>
      <c r="AX349" t="s">
        <v>11</v>
      </c>
      <c r="AY349" t="s">
        <v>11</v>
      </c>
      <c r="AZ349" t="s">
        <v>11</v>
      </c>
      <c r="BA349" t="s">
        <v>11</v>
      </c>
      <c r="BB349" t="s">
        <v>11</v>
      </c>
      <c r="BC349" t="s">
        <v>11</v>
      </c>
      <c r="BD349" t="s">
        <v>11</v>
      </c>
      <c r="BE349" t="s">
        <v>11</v>
      </c>
      <c r="BF349" t="s">
        <v>11</v>
      </c>
      <c r="BG349" t="s">
        <v>11</v>
      </c>
      <c r="BH349" t="s">
        <v>2717</v>
      </c>
      <c r="BI349" t="s">
        <v>2714</v>
      </c>
      <c r="BJ349" t="s">
        <v>2718</v>
      </c>
      <c r="BK349" t="s">
        <v>2719</v>
      </c>
    </row>
    <row r="350" spans="1:63" x14ac:dyDescent="0.3">
      <c r="A350" t="s">
        <v>2720</v>
      </c>
      <c r="B350" t="s">
        <v>95</v>
      </c>
      <c r="C350" t="s">
        <v>2721</v>
      </c>
      <c r="D350" t="s">
        <v>2722</v>
      </c>
      <c r="E350" t="s">
        <v>2685</v>
      </c>
      <c r="F350">
        <v>366</v>
      </c>
      <c r="G350">
        <v>82</v>
      </c>
      <c r="I350">
        <v>9</v>
      </c>
      <c r="K350">
        <v>7</v>
      </c>
      <c r="O350">
        <v>2</v>
      </c>
      <c r="AF350">
        <v>9.0106999999999999</v>
      </c>
      <c r="AI350" t="s">
        <v>0</v>
      </c>
      <c r="AJ350" t="s">
        <v>128</v>
      </c>
      <c r="AK350" t="s">
        <v>538</v>
      </c>
      <c r="AL350" t="s">
        <v>11</v>
      </c>
      <c r="AM350" t="s">
        <v>11</v>
      </c>
      <c r="AN350" t="s">
        <v>11</v>
      </c>
      <c r="AO350" t="s">
        <v>11</v>
      </c>
      <c r="AP350" t="s">
        <v>196</v>
      </c>
      <c r="AQ350" t="s">
        <v>11</v>
      </c>
      <c r="AR350" t="s">
        <v>11</v>
      </c>
      <c r="AS350" t="s">
        <v>11</v>
      </c>
      <c r="AT350" t="s">
        <v>11</v>
      </c>
      <c r="AU350" t="s">
        <v>11</v>
      </c>
      <c r="AV350" t="s">
        <v>11</v>
      </c>
      <c r="AW350" t="s">
        <v>11</v>
      </c>
      <c r="AX350" t="s">
        <v>11</v>
      </c>
      <c r="AY350" t="s">
        <v>11</v>
      </c>
      <c r="AZ350" t="s">
        <v>11</v>
      </c>
      <c r="BA350" t="s">
        <v>11</v>
      </c>
      <c r="BB350" t="s">
        <v>11</v>
      </c>
      <c r="BC350" t="s">
        <v>11</v>
      </c>
      <c r="BD350" t="s">
        <v>11</v>
      </c>
      <c r="BE350" t="s">
        <v>11</v>
      </c>
      <c r="BF350" t="s">
        <v>11</v>
      </c>
      <c r="BG350" t="s">
        <v>11</v>
      </c>
      <c r="BH350" t="s">
        <v>2723</v>
      </c>
      <c r="BI350" t="s">
        <v>2720</v>
      </c>
      <c r="BJ350" t="s">
        <v>2724</v>
      </c>
      <c r="BK350" t="s">
        <v>2725</v>
      </c>
    </row>
    <row r="351" spans="1:63" x14ac:dyDescent="0.3">
      <c r="A351" t="s">
        <v>2726</v>
      </c>
      <c r="B351" t="s">
        <v>95</v>
      </c>
      <c r="C351" t="s">
        <v>2727</v>
      </c>
      <c r="D351" t="s">
        <v>2728</v>
      </c>
      <c r="E351" t="s">
        <v>2685</v>
      </c>
      <c r="F351">
        <v>367</v>
      </c>
      <c r="G351">
        <v>82</v>
      </c>
      <c r="I351">
        <v>9</v>
      </c>
      <c r="K351">
        <v>7</v>
      </c>
      <c r="U351">
        <v>2</v>
      </c>
      <c r="AF351">
        <v>9.3088999999999995</v>
      </c>
      <c r="AI351" t="s">
        <v>0</v>
      </c>
      <c r="AJ351" t="s">
        <v>128</v>
      </c>
      <c r="AK351" t="s">
        <v>538</v>
      </c>
      <c r="AL351" t="s">
        <v>11</v>
      </c>
      <c r="AM351" t="s">
        <v>11</v>
      </c>
      <c r="AN351" t="s">
        <v>11</v>
      </c>
      <c r="AO351" t="s">
        <v>11</v>
      </c>
      <c r="AP351" t="s">
        <v>11</v>
      </c>
      <c r="AQ351" t="s">
        <v>11</v>
      </c>
      <c r="AR351" t="s">
        <v>11</v>
      </c>
      <c r="AS351" t="s">
        <v>11</v>
      </c>
      <c r="AT351" t="s">
        <v>11</v>
      </c>
      <c r="AU351" t="s">
        <v>11</v>
      </c>
      <c r="AV351" t="s">
        <v>11</v>
      </c>
      <c r="AW351" t="s">
        <v>2729</v>
      </c>
      <c r="AX351" t="s">
        <v>11</v>
      </c>
      <c r="AY351" t="s">
        <v>11</v>
      </c>
      <c r="AZ351" t="s">
        <v>11</v>
      </c>
      <c r="BA351" t="s">
        <v>11</v>
      </c>
      <c r="BB351" t="s">
        <v>11</v>
      </c>
      <c r="BC351" t="s">
        <v>11</v>
      </c>
      <c r="BD351" t="s">
        <v>11</v>
      </c>
      <c r="BE351" t="s">
        <v>11</v>
      </c>
      <c r="BF351" t="s">
        <v>11</v>
      </c>
      <c r="BG351" t="s">
        <v>11</v>
      </c>
      <c r="BH351" t="s">
        <v>2730</v>
      </c>
      <c r="BI351" t="s">
        <v>2726</v>
      </c>
      <c r="BJ351" t="s">
        <v>2731</v>
      </c>
      <c r="BK351" t="s">
        <v>2732</v>
      </c>
    </row>
    <row r="352" spans="1:63" x14ac:dyDescent="0.3">
      <c r="A352" t="s">
        <v>2733</v>
      </c>
      <c r="B352" t="s">
        <v>95</v>
      </c>
      <c r="C352" t="s">
        <v>2734</v>
      </c>
      <c r="D352" t="s">
        <v>2735</v>
      </c>
      <c r="E352" t="s">
        <v>2685</v>
      </c>
      <c r="F352">
        <v>368</v>
      </c>
      <c r="G352">
        <v>82</v>
      </c>
      <c r="I352">
        <v>9</v>
      </c>
      <c r="J352">
        <v>2</v>
      </c>
      <c r="K352">
        <v>7</v>
      </c>
      <c r="AF352">
        <v>9.0322999999999993</v>
      </c>
      <c r="AI352" t="s">
        <v>0</v>
      </c>
      <c r="AJ352" t="s">
        <v>128</v>
      </c>
      <c r="AK352" t="s">
        <v>538</v>
      </c>
      <c r="AL352" t="s">
        <v>11</v>
      </c>
      <c r="AM352" t="s">
        <v>453</v>
      </c>
      <c r="AN352" t="s">
        <v>11</v>
      </c>
      <c r="AO352" t="s">
        <v>11</v>
      </c>
      <c r="AP352" t="s">
        <v>11</v>
      </c>
      <c r="AQ352" t="s">
        <v>11</v>
      </c>
      <c r="AR352" t="s">
        <v>11</v>
      </c>
      <c r="AS352" t="s">
        <v>11</v>
      </c>
      <c r="AT352" t="s">
        <v>11</v>
      </c>
      <c r="AU352" t="s">
        <v>11</v>
      </c>
      <c r="AV352" t="s">
        <v>11</v>
      </c>
      <c r="AW352" t="s">
        <v>11</v>
      </c>
      <c r="AX352" t="s">
        <v>11</v>
      </c>
      <c r="AY352" t="s">
        <v>11</v>
      </c>
      <c r="AZ352" t="s">
        <v>11</v>
      </c>
      <c r="BA352" t="s">
        <v>11</v>
      </c>
      <c r="BB352" t="s">
        <v>11</v>
      </c>
      <c r="BC352" t="s">
        <v>11</v>
      </c>
      <c r="BD352" t="s">
        <v>11</v>
      </c>
      <c r="BE352" t="s">
        <v>11</v>
      </c>
      <c r="BF352" t="s">
        <v>11</v>
      </c>
      <c r="BG352" t="s">
        <v>11</v>
      </c>
      <c r="BH352" t="s">
        <v>2736</v>
      </c>
      <c r="BI352" t="s">
        <v>2733</v>
      </c>
      <c r="BJ352" t="s">
        <v>2737</v>
      </c>
      <c r="BK352" t="s">
        <v>2738</v>
      </c>
    </row>
    <row r="353" spans="1:63" x14ac:dyDescent="0.3">
      <c r="A353" t="s">
        <v>2739</v>
      </c>
      <c r="B353" t="s">
        <v>95</v>
      </c>
      <c r="C353" t="s">
        <v>2740</v>
      </c>
      <c r="D353" t="s">
        <v>2741</v>
      </c>
      <c r="E353" t="s">
        <v>2685</v>
      </c>
      <c r="F353">
        <v>369</v>
      </c>
      <c r="G353">
        <v>82</v>
      </c>
      <c r="I353">
        <v>9</v>
      </c>
      <c r="K353">
        <v>7</v>
      </c>
      <c r="W353">
        <v>2</v>
      </c>
      <c r="AF353">
        <v>9.0459800000000001</v>
      </c>
      <c r="AI353" t="s">
        <v>0</v>
      </c>
      <c r="AJ353" t="s">
        <v>128</v>
      </c>
      <c r="AK353" t="s">
        <v>538</v>
      </c>
      <c r="AL353" t="s">
        <v>11</v>
      </c>
      <c r="AM353" t="s">
        <v>11</v>
      </c>
      <c r="AN353" t="s">
        <v>11</v>
      </c>
      <c r="AO353" t="s">
        <v>11</v>
      </c>
      <c r="AP353" t="s">
        <v>11</v>
      </c>
      <c r="AQ353" t="s">
        <v>11</v>
      </c>
      <c r="AR353" t="s">
        <v>11</v>
      </c>
      <c r="AS353" t="s">
        <v>11</v>
      </c>
      <c r="AT353" t="s">
        <v>11</v>
      </c>
      <c r="AU353" t="s">
        <v>11</v>
      </c>
      <c r="AV353" t="s">
        <v>11</v>
      </c>
      <c r="AW353" t="s">
        <v>11</v>
      </c>
      <c r="AX353" t="s">
        <v>11</v>
      </c>
      <c r="AY353" t="s">
        <v>2639</v>
      </c>
      <c r="AZ353" t="s">
        <v>11</v>
      </c>
      <c r="BA353" t="s">
        <v>11</v>
      </c>
      <c r="BB353" t="s">
        <v>11</v>
      </c>
      <c r="BC353" t="s">
        <v>11</v>
      </c>
      <c r="BD353" t="s">
        <v>11</v>
      </c>
      <c r="BE353" t="s">
        <v>11</v>
      </c>
      <c r="BF353" t="s">
        <v>11</v>
      </c>
      <c r="BG353" t="s">
        <v>11</v>
      </c>
      <c r="BH353" t="s">
        <v>2742</v>
      </c>
      <c r="BI353" t="s">
        <v>2739</v>
      </c>
      <c r="BJ353" t="s">
        <v>2743</v>
      </c>
      <c r="BK353" t="s">
        <v>2744</v>
      </c>
    </row>
    <row r="354" spans="1:63" x14ac:dyDescent="0.3">
      <c r="A354" t="s">
        <v>2745</v>
      </c>
      <c r="B354" t="s">
        <v>95</v>
      </c>
      <c r="C354" t="s">
        <v>2746</v>
      </c>
      <c r="D354" t="s">
        <v>2747</v>
      </c>
      <c r="E354" t="s">
        <v>2685</v>
      </c>
      <c r="F354">
        <v>370</v>
      </c>
      <c r="G354">
        <v>82</v>
      </c>
      <c r="H354">
        <v>2</v>
      </c>
      <c r="I354">
        <v>9</v>
      </c>
      <c r="K354">
        <v>7</v>
      </c>
      <c r="AF354">
        <v>9.0666600000000006</v>
      </c>
      <c r="AI354" t="s">
        <v>0</v>
      </c>
      <c r="AJ354" t="s">
        <v>128</v>
      </c>
      <c r="AK354" t="s">
        <v>538</v>
      </c>
      <c r="AL354" t="s">
        <v>709</v>
      </c>
      <c r="AM354" t="s">
        <v>11</v>
      </c>
      <c r="AN354" t="s">
        <v>11</v>
      </c>
      <c r="AO354" t="s">
        <v>11</v>
      </c>
      <c r="AP354" t="s">
        <v>11</v>
      </c>
      <c r="AQ354" t="s">
        <v>11</v>
      </c>
      <c r="AR354" t="s">
        <v>11</v>
      </c>
      <c r="AS354" t="s">
        <v>11</v>
      </c>
      <c r="AT354" t="s">
        <v>11</v>
      </c>
      <c r="AU354" t="s">
        <v>11</v>
      </c>
      <c r="AV354" t="s">
        <v>11</v>
      </c>
      <c r="AW354" t="s">
        <v>11</v>
      </c>
      <c r="AX354" t="s">
        <v>11</v>
      </c>
      <c r="AY354" t="s">
        <v>11</v>
      </c>
      <c r="AZ354" t="s">
        <v>11</v>
      </c>
      <c r="BA354" t="s">
        <v>11</v>
      </c>
      <c r="BB354" t="s">
        <v>11</v>
      </c>
      <c r="BC354" t="s">
        <v>11</v>
      </c>
      <c r="BD354" t="s">
        <v>11</v>
      </c>
      <c r="BE354" t="s">
        <v>11</v>
      </c>
      <c r="BF354" t="s">
        <v>11</v>
      </c>
      <c r="BG354" t="s">
        <v>11</v>
      </c>
      <c r="BH354" t="s">
        <v>2748</v>
      </c>
      <c r="BI354" t="s">
        <v>2745</v>
      </c>
      <c r="BJ354" t="s">
        <v>2749</v>
      </c>
      <c r="BK354" t="s">
        <v>2750</v>
      </c>
    </row>
    <row r="355" spans="1:63" x14ac:dyDescent="0.3">
      <c r="A355" t="s">
        <v>2751</v>
      </c>
      <c r="B355" t="s">
        <v>95</v>
      </c>
      <c r="C355" t="s">
        <v>2752</v>
      </c>
      <c r="D355" t="s">
        <v>2753</v>
      </c>
      <c r="E355" t="s">
        <v>2685</v>
      </c>
      <c r="F355">
        <v>371</v>
      </c>
      <c r="G355">
        <v>82</v>
      </c>
      <c r="I355">
        <v>9</v>
      </c>
      <c r="K355">
        <v>7</v>
      </c>
      <c r="AB355">
        <v>2</v>
      </c>
      <c r="AF355">
        <v>8.9481999999999999</v>
      </c>
      <c r="AI355" t="s">
        <v>0</v>
      </c>
      <c r="AJ355" t="s">
        <v>128</v>
      </c>
      <c r="AK355" t="s">
        <v>538</v>
      </c>
      <c r="AL355" t="s">
        <v>11</v>
      </c>
      <c r="AM355" t="s">
        <v>11</v>
      </c>
      <c r="AN355" t="s">
        <v>11</v>
      </c>
      <c r="AO355" t="s">
        <v>11</v>
      </c>
      <c r="AP355" t="s">
        <v>11</v>
      </c>
      <c r="AQ355" t="s">
        <v>11</v>
      </c>
      <c r="AR355" t="s">
        <v>11</v>
      </c>
      <c r="AS355" t="s">
        <v>11</v>
      </c>
      <c r="AT355" t="s">
        <v>11</v>
      </c>
      <c r="AU355" t="s">
        <v>11</v>
      </c>
      <c r="AV355" t="s">
        <v>11</v>
      </c>
      <c r="AW355" t="s">
        <v>11</v>
      </c>
      <c r="AX355" t="s">
        <v>11</v>
      </c>
      <c r="AY355" t="s">
        <v>11</v>
      </c>
      <c r="AZ355" t="s">
        <v>11</v>
      </c>
      <c r="BA355" t="s">
        <v>11</v>
      </c>
      <c r="BB355" t="s">
        <v>11</v>
      </c>
      <c r="BC355" t="s">
        <v>11</v>
      </c>
      <c r="BD355" t="s">
        <v>2754</v>
      </c>
      <c r="BE355" t="s">
        <v>11</v>
      </c>
      <c r="BF355" t="s">
        <v>11</v>
      </c>
      <c r="BG355" t="s">
        <v>11</v>
      </c>
      <c r="BH355" t="s">
        <v>2755</v>
      </c>
      <c r="BI355" t="s">
        <v>2751</v>
      </c>
      <c r="BJ355" t="s">
        <v>2756</v>
      </c>
      <c r="BK355" t="s">
        <v>2757</v>
      </c>
    </row>
    <row r="356" spans="1:63" x14ac:dyDescent="0.3">
      <c r="A356" t="s">
        <v>2758</v>
      </c>
      <c r="B356" t="s">
        <v>95</v>
      </c>
      <c r="C356" t="s">
        <v>2759</v>
      </c>
      <c r="D356" t="s">
        <v>2760</v>
      </c>
      <c r="E356" t="s">
        <v>2685</v>
      </c>
      <c r="F356">
        <v>372</v>
      </c>
      <c r="G356">
        <v>82</v>
      </c>
      <c r="I356">
        <v>9</v>
      </c>
      <c r="K356">
        <v>7</v>
      </c>
      <c r="R356">
        <v>2</v>
      </c>
      <c r="AF356">
        <v>9.0187200000000001</v>
      </c>
      <c r="AI356" t="s">
        <v>0</v>
      </c>
      <c r="AJ356" t="s">
        <v>128</v>
      </c>
      <c r="AK356" t="s">
        <v>538</v>
      </c>
      <c r="AL356" t="s">
        <v>11</v>
      </c>
      <c r="AM356" t="s">
        <v>11</v>
      </c>
      <c r="AN356" t="s">
        <v>11</v>
      </c>
      <c r="AO356" t="s">
        <v>11</v>
      </c>
      <c r="AP356" t="s">
        <v>11</v>
      </c>
      <c r="AQ356" t="s">
        <v>11</v>
      </c>
      <c r="AR356" t="s">
        <v>11</v>
      </c>
      <c r="AS356" t="s">
        <v>11</v>
      </c>
      <c r="AT356" t="s">
        <v>2657</v>
      </c>
      <c r="AU356" t="s">
        <v>11</v>
      </c>
      <c r="AV356" t="s">
        <v>11</v>
      </c>
      <c r="AW356" t="s">
        <v>11</v>
      </c>
      <c r="AX356" t="s">
        <v>11</v>
      </c>
      <c r="AY356" t="s">
        <v>11</v>
      </c>
      <c r="AZ356" t="s">
        <v>11</v>
      </c>
      <c r="BA356" t="s">
        <v>11</v>
      </c>
      <c r="BB356" t="s">
        <v>11</v>
      </c>
      <c r="BC356" t="s">
        <v>11</v>
      </c>
      <c r="BD356" t="s">
        <v>11</v>
      </c>
      <c r="BE356" t="s">
        <v>11</v>
      </c>
      <c r="BF356" t="s">
        <v>11</v>
      </c>
      <c r="BG356" t="s">
        <v>11</v>
      </c>
      <c r="BH356" t="s">
        <v>2761</v>
      </c>
      <c r="BI356" t="s">
        <v>2758</v>
      </c>
      <c r="BJ356" t="s">
        <v>2762</v>
      </c>
      <c r="BK356" t="s">
        <v>2763</v>
      </c>
    </row>
    <row r="357" spans="1:63" x14ac:dyDescent="0.3">
      <c r="A357" t="s">
        <v>2764</v>
      </c>
      <c r="B357" t="s">
        <v>95</v>
      </c>
      <c r="C357" t="s">
        <v>2765</v>
      </c>
      <c r="D357" t="s">
        <v>2766</v>
      </c>
      <c r="E357" t="s">
        <v>2685</v>
      </c>
      <c r="F357">
        <v>373</v>
      </c>
      <c r="G357">
        <v>82</v>
      </c>
      <c r="I357">
        <v>9</v>
      </c>
      <c r="K357">
        <v>7</v>
      </c>
      <c r="Y357">
        <v>2</v>
      </c>
      <c r="AF357">
        <v>9.1547000000000001</v>
      </c>
      <c r="AI357" t="s">
        <v>0</v>
      </c>
      <c r="AJ357" t="s">
        <v>128</v>
      </c>
      <c r="AK357" t="s">
        <v>538</v>
      </c>
      <c r="AL357" t="s">
        <v>11</v>
      </c>
      <c r="AM357" t="s">
        <v>11</v>
      </c>
      <c r="AN357" t="s">
        <v>11</v>
      </c>
      <c r="AO357" t="s">
        <v>11</v>
      </c>
      <c r="AP357" t="s">
        <v>11</v>
      </c>
      <c r="AQ357" t="s">
        <v>11</v>
      </c>
      <c r="AR357" t="s">
        <v>11</v>
      </c>
      <c r="AS357" t="s">
        <v>11</v>
      </c>
      <c r="AT357" t="s">
        <v>11</v>
      </c>
      <c r="AU357" t="s">
        <v>11</v>
      </c>
      <c r="AV357" t="s">
        <v>11</v>
      </c>
      <c r="AW357" t="s">
        <v>11</v>
      </c>
      <c r="AX357" t="s">
        <v>11</v>
      </c>
      <c r="AY357" t="s">
        <v>11</v>
      </c>
      <c r="AZ357" t="s">
        <v>11</v>
      </c>
      <c r="BA357" t="s">
        <v>2664</v>
      </c>
      <c r="BB357" t="s">
        <v>11</v>
      </c>
      <c r="BC357" t="s">
        <v>11</v>
      </c>
      <c r="BD357" t="s">
        <v>11</v>
      </c>
      <c r="BE357" t="s">
        <v>11</v>
      </c>
      <c r="BF357" t="s">
        <v>11</v>
      </c>
      <c r="BG357" t="s">
        <v>11</v>
      </c>
      <c r="BH357" t="s">
        <v>2767</v>
      </c>
      <c r="BI357" t="s">
        <v>2764</v>
      </c>
      <c r="BJ357" t="s">
        <v>2768</v>
      </c>
      <c r="BK357" t="s">
        <v>2769</v>
      </c>
    </row>
    <row r="358" spans="1:63" x14ac:dyDescent="0.3">
      <c r="A358" t="s">
        <v>2770</v>
      </c>
      <c r="B358" t="s">
        <v>160</v>
      </c>
      <c r="C358" t="s">
        <v>2771</v>
      </c>
      <c r="D358" t="s">
        <v>2772</v>
      </c>
      <c r="E358" t="s">
        <v>2773</v>
      </c>
      <c r="F358">
        <v>375</v>
      </c>
      <c r="G358">
        <v>66.5</v>
      </c>
      <c r="H358">
        <v>19.899999999999999</v>
      </c>
      <c r="I358">
        <v>4.8</v>
      </c>
      <c r="J358">
        <v>5</v>
      </c>
      <c r="K358">
        <v>3.2</v>
      </c>
      <c r="M358">
        <v>0.6</v>
      </c>
      <c r="AF358">
        <v>8.896192000000001</v>
      </c>
      <c r="AI358" t="s">
        <v>0</v>
      </c>
      <c r="AJ358" t="s">
        <v>2774</v>
      </c>
      <c r="AK358" t="s">
        <v>2775</v>
      </c>
      <c r="AL358" t="s">
        <v>2776</v>
      </c>
      <c r="AM358" t="s">
        <v>1658</v>
      </c>
      <c r="AN358" t="s">
        <v>2777</v>
      </c>
      <c r="AO358" t="s">
        <v>11</v>
      </c>
      <c r="AP358" t="s">
        <v>11</v>
      </c>
      <c r="AQ358" t="s">
        <v>11</v>
      </c>
      <c r="AR358" t="s">
        <v>11</v>
      </c>
      <c r="AS358" t="s">
        <v>11</v>
      </c>
      <c r="AT358" t="s">
        <v>11</v>
      </c>
      <c r="AU358" t="s">
        <v>11</v>
      </c>
      <c r="AV358" t="s">
        <v>11</v>
      </c>
      <c r="AW358" t="s">
        <v>11</v>
      </c>
      <c r="AX358" t="s">
        <v>11</v>
      </c>
      <c r="AY358" t="s">
        <v>11</v>
      </c>
      <c r="AZ358" t="s">
        <v>11</v>
      </c>
      <c r="BA358" t="s">
        <v>11</v>
      </c>
      <c r="BB358" t="s">
        <v>11</v>
      </c>
      <c r="BC358" t="s">
        <v>11</v>
      </c>
      <c r="BD358" t="s">
        <v>11</v>
      </c>
      <c r="BE358" t="s">
        <v>11</v>
      </c>
      <c r="BF358" t="s">
        <v>11</v>
      </c>
      <c r="BG358" t="s">
        <v>11</v>
      </c>
      <c r="BH358" t="s">
        <v>2778</v>
      </c>
      <c r="BI358" t="s">
        <v>2770</v>
      </c>
      <c r="BJ358" t="s">
        <v>2779</v>
      </c>
      <c r="BK358" t="s">
        <v>2780</v>
      </c>
    </row>
    <row r="359" spans="1:63" x14ac:dyDescent="0.3">
      <c r="A359" t="s">
        <v>2781</v>
      </c>
      <c r="B359" t="s">
        <v>160</v>
      </c>
      <c r="C359" t="s">
        <v>2782</v>
      </c>
      <c r="D359" t="s">
        <v>2783</v>
      </c>
      <c r="E359" t="s">
        <v>2773</v>
      </c>
      <c r="F359">
        <v>376</v>
      </c>
      <c r="G359">
        <v>62.400000000000006</v>
      </c>
      <c r="H359">
        <v>19.899999999999999</v>
      </c>
      <c r="I359">
        <v>7</v>
      </c>
      <c r="J359">
        <v>5</v>
      </c>
      <c r="K359">
        <v>4.8</v>
      </c>
      <c r="M359">
        <v>0.9</v>
      </c>
      <c r="AF359">
        <v>8.9486420000000013</v>
      </c>
      <c r="AI359" t="s">
        <v>0</v>
      </c>
      <c r="AJ359" t="s">
        <v>1358</v>
      </c>
      <c r="AK359" t="s">
        <v>2446</v>
      </c>
      <c r="AL359" t="s">
        <v>2776</v>
      </c>
      <c r="AM359" t="s">
        <v>1658</v>
      </c>
      <c r="AN359" t="s">
        <v>1266</v>
      </c>
      <c r="AO359" t="s">
        <v>11</v>
      </c>
      <c r="AP359" t="s">
        <v>11</v>
      </c>
      <c r="AQ359" t="s">
        <v>11</v>
      </c>
      <c r="AR359" t="s">
        <v>11</v>
      </c>
      <c r="AS359" t="s">
        <v>11</v>
      </c>
      <c r="AT359" t="s">
        <v>11</v>
      </c>
      <c r="AU359" t="s">
        <v>11</v>
      </c>
      <c r="AV359" t="s">
        <v>11</v>
      </c>
      <c r="AW359" t="s">
        <v>11</v>
      </c>
      <c r="AX359" t="s">
        <v>11</v>
      </c>
      <c r="AY359" t="s">
        <v>11</v>
      </c>
      <c r="AZ359" t="s">
        <v>11</v>
      </c>
      <c r="BA359" t="s">
        <v>11</v>
      </c>
      <c r="BB359" t="s">
        <v>11</v>
      </c>
      <c r="BC359" t="s">
        <v>11</v>
      </c>
      <c r="BD359" t="s">
        <v>11</v>
      </c>
      <c r="BE359" t="s">
        <v>11</v>
      </c>
      <c r="BF359" t="s">
        <v>11</v>
      </c>
      <c r="BG359" t="s">
        <v>11</v>
      </c>
      <c r="BH359" t="s">
        <v>2784</v>
      </c>
      <c r="BI359" t="s">
        <v>2781</v>
      </c>
      <c r="BJ359" t="s">
        <v>2785</v>
      </c>
      <c r="BK359" t="s">
        <v>2786</v>
      </c>
    </row>
    <row r="360" spans="1:63" x14ac:dyDescent="0.3">
      <c r="A360" t="s">
        <v>2787</v>
      </c>
      <c r="B360" t="s">
        <v>160</v>
      </c>
      <c r="C360" t="s">
        <v>2788</v>
      </c>
      <c r="D360" t="s">
        <v>2789</v>
      </c>
      <c r="E360" t="s">
        <v>2773</v>
      </c>
      <c r="F360">
        <v>377</v>
      </c>
      <c r="G360">
        <v>58.4</v>
      </c>
      <c r="H360">
        <v>19.899999999999999</v>
      </c>
      <c r="I360">
        <v>9.1</v>
      </c>
      <c r="J360">
        <v>5</v>
      </c>
      <c r="K360">
        <v>6.4</v>
      </c>
      <c r="M360">
        <v>1.2</v>
      </c>
      <c r="AF360">
        <v>9.0072920000000014</v>
      </c>
      <c r="AI360" t="s">
        <v>0</v>
      </c>
      <c r="AJ360" t="s">
        <v>278</v>
      </c>
      <c r="AK360" t="s">
        <v>1981</v>
      </c>
      <c r="AL360" t="s">
        <v>2776</v>
      </c>
      <c r="AM360" t="s">
        <v>1658</v>
      </c>
      <c r="AN360" t="s">
        <v>2790</v>
      </c>
      <c r="AO360" t="s">
        <v>11</v>
      </c>
      <c r="AP360" t="s">
        <v>11</v>
      </c>
      <c r="AQ360" t="s">
        <v>11</v>
      </c>
      <c r="AR360" t="s">
        <v>11</v>
      </c>
      <c r="AS360" t="s">
        <v>11</v>
      </c>
      <c r="AT360" t="s">
        <v>11</v>
      </c>
      <c r="AU360" t="s">
        <v>11</v>
      </c>
      <c r="AV360" t="s">
        <v>11</v>
      </c>
      <c r="AW360" t="s">
        <v>11</v>
      </c>
      <c r="AX360" t="s">
        <v>11</v>
      </c>
      <c r="AY360" t="s">
        <v>11</v>
      </c>
      <c r="AZ360" t="s">
        <v>11</v>
      </c>
      <c r="BA360" t="s">
        <v>11</v>
      </c>
      <c r="BB360" t="s">
        <v>11</v>
      </c>
      <c r="BC360" t="s">
        <v>11</v>
      </c>
      <c r="BD360" t="s">
        <v>11</v>
      </c>
      <c r="BE360" t="s">
        <v>11</v>
      </c>
      <c r="BF360" t="s">
        <v>11</v>
      </c>
      <c r="BG360" t="s">
        <v>11</v>
      </c>
      <c r="BH360" t="s">
        <v>2791</v>
      </c>
      <c r="BI360" t="s">
        <v>2787</v>
      </c>
      <c r="BJ360" t="s">
        <v>2792</v>
      </c>
      <c r="BK360" t="s">
        <v>2793</v>
      </c>
    </row>
    <row r="361" spans="1:63" x14ac:dyDescent="0.3">
      <c r="A361" t="s">
        <v>2794</v>
      </c>
      <c r="B361" t="s">
        <v>160</v>
      </c>
      <c r="C361" t="s">
        <v>2795</v>
      </c>
      <c r="D361" t="s">
        <v>2796</v>
      </c>
      <c r="E361" t="s">
        <v>2773</v>
      </c>
      <c r="F361">
        <v>378</v>
      </c>
      <c r="G361">
        <v>54.2</v>
      </c>
      <c r="H361">
        <v>19.8</v>
      </c>
      <c r="I361">
        <v>11.4</v>
      </c>
      <c r="J361">
        <v>4.9000000000000004</v>
      </c>
      <c r="K361">
        <v>8.1999999999999993</v>
      </c>
      <c r="M361">
        <v>1.5</v>
      </c>
      <c r="AF361">
        <v>9.0759439999999998</v>
      </c>
      <c r="AI361" t="s">
        <v>0</v>
      </c>
      <c r="AJ361" t="s">
        <v>2797</v>
      </c>
      <c r="AK361" t="s">
        <v>2798</v>
      </c>
      <c r="AL361" t="s">
        <v>1982</v>
      </c>
      <c r="AM361" t="s">
        <v>2799</v>
      </c>
      <c r="AN361" t="s">
        <v>396</v>
      </c>
      <c r="AO361" t="s">
        <v>11</v>
      </c>
      <c r="AP361" t="s">
        <v>11</v>
      </c>
      <c r="AQ361" t="s">
        <v>11</v>
      </c>
      <c r="AR361" t="s">
        <v>11</v>
      </c>
      <c r="AS361" t="s">
        <v>11</v>
      </c>
      <c r="AT361" t="s">
        <v>11</v>
      </c>
      <c r="AU361" t="s">
        <v>11</v>
      </c>
      <c r="AV361" t="s">
        <v>11</v>
      </c>
      <c r="AW361" t="s">
        <v>11</v>
      </c>
      <c r="AX361" t="s">
        <v>11</v>
      </c>
      <c r="AY361" t="s">
        <v>11</v>
      </c>
      <c r="AZ361" t="s">
        <v>11</v>
      </c>
      <c r="BA361" t="s">
        <v>11</v>
      </c>
      <c r="BB361" t="s">
        <v>11</v>
      </c>
      <c r="BC361" t="s">
        <v>11</v>
      </c>
      <c r="BD361" t="s">
        <v>11</v>
      </c>
      <c r="BE361" t="s">
        <v>11</v>
      </c>
      <c r="BF361" t="s">
        <v>11</v>
      </c>
      <c r="BG361" t="s">
        <v>11</v>
      </c>
      <c r="BH361" t="s">
        <v>2800</v>
      </c>
      <c r="BI361" t="s">
        <v>2794</v>
      </c>
      <c r="BJ361" t="s">
        <v>2801</v>
      </c>
      <c r="BK361" t="s">
        <v>2802</v>
      </c>
    </row>
    <row r="362" spans="1:63" x14ac:dyDescent="0.3">
      <c r="A362" t="s">
        <v>2803</v>
      </c>
      <c r="B362" t="s">
        <v>514</v>
      </c>
      <c r="C362" t="s">
        <v>2804</v>
      </c>
      <c r="D362" t="s">
        <v>514</v>
      </c>
      <c r="E362" t="s">
        <v>2805</v>
      </c>
      <c r="F362">
        <v>379</v>
      </c>
      <c r="G362">
        <v>75</v>
      </c>
      <c r="L362">
        <v>25</v>
      </c>
      <c r="AF362">
        <v>7.8017499999999993</v>
      </c>
      <c r="AI362" t="s">
        <v>0</v>
      </c>
      <c r="AJ362" t="s">
        <v>11</v>
      </c>
      <c r="AK362" t="s">
        <v>11</v>
      </c>
      <c r="AL362" t="s">
        <v>11</v>
      </c>
      <c r="AM362" t="s">
        <v>11</v>
      </c>
      <c r="AN362" t="s">
        <v>11</v>
      </c>
      <c r="AO362" t="s">
        <v>11</v>
      </c>
      <c r="AP362" t="s">
        <v>11</v>
      </c>
      <c r="AQ362" t="s">
        <v>2806</v>
      </c>
      <c r="AR362" t="s">
        <v>11</v>
      </c>
      <c r="AS362" t="s">
        <v>11</v>
      </c>
      <c r="AT362" t="s">
        <v>11</v>
      </c>
      <c r="AU362" t="s">
        <v>11</v>
      </c>
      <c r="AV362" t="s">
        <v>11</v>
      </c>
      <c r="AW362" t="s">
        <v>11</v>
      </c>
      <c r="AX362" t="s">
        <v>11</v>
      </c>
      <c r="AY362" t="s">
        <v>11</v>
      </c>
      <c r="AZ362" t="s">
        <v>11</v>
      </c>
      <c r="BA362" t="s">
        <v>11</v>
      </c>
      <c r="BB362" t="s">
        <v>11</v>
      </c>
      <c r="BC362" t="s">
        <v>11</v>
      </c>
      <c r="BD362" t="s">
        <v>11</v>
      </c>
      <c r="BE362" t="s">
        <v>11</v>
      </c>
      <c r="BF362" t="s">
        <v>11</v>
      </c>
      <c r="BG362" t="s">
        <v>11</v>
      </c>
      <c r="BH362" t="s">
        <v>2807</v>
      </c>
      <c r="BI362" t="s">
        <v>2803</v>
      </c>
      <c r="BJ362" t="s">
        <v>2808</v>
      </c>
      <c r="BK362" t="s">
        <v>2806</v>
      </c>
    </row>
    <row r="363" spans="1:63" x14ac:dyDescent="0.3">
      <c r="A363" t="s">
        <v>2809</v>
      </c>
      <c r="B363" t="s">
        <v>5</v>
      </c>
      <c r="C363" t="s">
        <v>2810</v>
      </c>
      <c r="D363" t="s">
        <v>2811</v>
      </c>
      <c r="E363" t="s">
        <v>2812</v>
      </c>
      <c r="F363">
        <v>380</v>
      </c>
      <c r="G363">
        <v>49.5</v>
      </c>
      <c r="H363">
        <v>30.2</v>
      </c>
      <c r="I363">
        <v>9.8000000000000007</v>
      </c>
      <c r="J363">
        <v>2</v>
      </c>
      <c r="L363">
        <v>2</v>
      </c>
      <c r="M363">
        <v>1.9</v>
      </c>
      <c r="P363">
        <v>4.5999999999999996</v>
      </c>
      <c r="AF363">
        <v>8.3834859999999995</v>
      </c>
      <c r="AG363">
        <v>8.5299999999999994</v>
      </c>
      <c r="AI363" t="s">
        <v>0</v>
      </c>
      <c r="AJ363" t="s">
        <v>1319</v>
      </c>
      <c r="AK363" t="s">
        <v>11</v>
      </c>
      <c r="AL363" t="s">
        <v>2813</v>
      </c>
      <c r="AM363" t="s">
        <v>453</v>
      </c>
      <c r="AN363" t="s">
        <v>74</v>
      </c>
      <c r="AO363" t="s">
        <v>11</v>
      </c>
      <c r="AP363" t="s">
        <v>11</v>
      </c>
      <c r="AQ363" t="s">
        <v>25</v>
      </c>
      <c r="AR363" t="s">
        <v>2348</v>
      </c>
      <c r="AS363" t="s">
        <v>11</v>
      </c>
      <c r="AT363" t="s">
        <v>11</v>
      </c>
      <c r="AU363" t="s">
        <v>11</v>
      </c>
      <c r="AV363" t="s">
        <v>11</v>
      </c>
      <c r="AW363" t="s">
        <v>11</v>
      </c>
      <c r="AX363" t="s">
        <v>11</v>
      </c>
      <c r="AY363" t="s">
        <v>11</v>
      </c>
      <c r="AZ363" t="s">
        <v>11</v>
      </c>
      <c r="BA363" t="s">
        <v>11</v>
      </c>
      <c r="BB363" t="s">
        <v>11</v>
      </c>
      <c r="BC363" t="s">
        <v>11</v>
      </c>
      <c r="BD363" t="s">
        <v>11</v>
      </c>
      <c r="BE363" t="s">
        <v>11</v>
      </c>
      <c r="BF363" t="s">
        <v>11</v>
      </c>
      <c r="BG363" t="s">
        <v>11</v>
      </c>
      <c r="BH363" t="s">
        <v>2814</v>
      </c>
      <c r="BI363" t="s">
        <v>2809</v>
      </c>
      <c r="BJ363" t="s">
        <v>2815</v>
      </c>
      <c r="BK363" t="s">
        <v>2816</v>
      </c>
    </row>
    <row r="364" spans="1:63" x14ac:dyDescent="0.3">
      <c r="A364" t="s">
        <v>2817</v>
      </c>
      <c r="B364" t="s">
        <v>5</v>
      </c>
      <c r="C364" t="s">
        <v>2571</v>
      </c>
      <c r="D364" t="s">
        <v>2818</v>
      </c>
      <c r="E364" t="s">
        <v>2812</v>
      </c>
      <c r="F364">
        <v>381</v>
      </c>
      <c r="G364">
        <v>46.3</v>
      </c>
      <c r="H364">
        <v>30.1</v>
      </c>
      <c r="I364">
        <v>9.8000000000000007</v>
      </c>
      <c r="J364">
        <v>4.9000000000000004</v>
      </c>
      <c r="L364">
        <v>2</v>
      </c>
      <c r="M364">
        <v>2</v>
      </c>
      <c r="P364">
        <v>4.9000000000000004</v>
      </c>
      <c r="AF364">
        <v>8.3457779999999993</v>
      </c>
      <c r="AG364">
        <v>8.4600000000000009</v>
      </c>
      <c r="AI364" t="s">
        <v>0</v>
      </c>
      <c r="AJ364" t="s">
        <v>1319</v>
      </c>
      <c r="AK364" t="s">
        <v>11</v>
      </c>
      <c r="AL364" t="s">
        <v>2819</v>
      </c>
      <c r="AM364" t="s">
        <v>2799</v>
      </c>
      <c r="AN364" t="s">
        <v>24</v>
      </c>
      <c r="AO364" t="s">
        <v>11</v>
      </c>
      <c r="AP364" t="s">
        <v>11</v>
      </c>
      <c r="AQ364" t="s">
        <v>25</v>
      </c>
      <c r="AR364" t="s">
        <v>2820</v>
      </c>
      <c r="AS364" t="s">
        <v>11</v>
      </c>
      <c r="AT364" t="s">
        <v>11</v>
      </c>
      <c r="AU364" t="s">
        <v>11</v>
      </c>
      <c r="AV364" t="s">
        <v>11</v>
      </c>
      <c r="AW364" t="s">
        <v>11</v>
      </c>
      <c r="AX364" t="s">
        <v>11</v>
      </c>
      <c r="AY364" t="s">
        <v>11</v>
      </c>
      <c r="AZ364" t="s">
        <v>11</v>
      </c>
      <c r="BA364" t="s">
        <v>11</v>
      </c>
      <c r="BB364" t="s">
        <v>11</v>
      </c>
      <c r="BC364" t="s">
        <v>11</v>
      </c>
      <c r="BD364" t="s">
        <v>11</v>
      </c>
      <c r="BE364" t="s">
        <v>11</v>
      </c>
      <c r="BF364" t="s">
        <v>11</v>
      </c>
      <c r="BG364" t="s">
        <v>11</v>
      </c>
      <c r="BH364" t="s">
        <v>2821</v>
      </c>
      <c r="BI364" t="s">
        <v>2817</v>
      </c>
      <c r="BJ364" t="s">
        <v>2822</v>
      </c>
      <c r="BK364" t="s">
        <v>2823</v>
      </c>
    </row>
    <row r="365" spans="1:63" x14ac:dyDescent="0.3">
      <c r="A365" t="s">
        <v>2824</v>
      </c>
      <c r="B365" t="s">
        <v>5</v>
      </c>
      <c r="C365" t="s">
        <v>2825</v>
      </c>
      <c r="D365" t="s">
        <v>2826</v>
      </c>
      <c r="E365" t="s">
        <v>2812</v>
      </c>
      <c r="F365">
        <v>382</v>
      </c>
      <c r="G365">
        <v>43.2</v>
      </c>
      <c r="H365">
        <v>29.5</v>
      </c>
      <c r="I365">
        <v>10.4</v>
      </c>
      <c r="J365">
        <v>8</v>
      </c>
      <c r="L365">
        <v>2</v>
      </c>
      <c r="M365">
        <v>2</v>
      </c>
      <c r="P365">
        <v>4.9000000000000004</v>
      </c>
      <c r="AF365">
        <v>8.2555199999999989</v>
      </c>
      <c r="AG365">
        <v>8.44</v>
      </c>
      <c r="AI365" t="s">
        <v>0</v>
      </c>
      <c r="AJ365" t="s">
        <v>2827</v>
      </c>
      <c r="AK365" t="s">
        <v>11</v>
      </c>
      <c r="AL365" t="s">
        <v>12</v>
      </c>
      <c r="AM365" t="s">
        <v>971</v>
      </c>
      <c r="AN365" t="s">
        <v>24</v>
      </c>
      <c r="AO365" t="s">
        <v>11</v>
      </c>
      <c r="AP365" t="s">
        <v>11</v>
      </c>
      <c r="AQ365" t="s">
        <v>25</v>
      </c>
      <c r="AR365" t="s">
        <v>2820</v>
      </c>
      <c r="AS365" t="s">
        <v>11</v>
      </c>
      <c r="AT365" t="s">
        <v>11</v>
      </c>
      <c r="AU365" t="s">
        <v>11</v>
      </c>
      <c r="AV365" t="s">
        <v>11</v>
      </c>
      <c r="AW365" t="s">
        <v>11</v>
      </c>
      <c r="AX365" t="s">
        <v>11</v>
      </c>
      <c r="AY365" t="s">
        <v>11</v>
      </c>
      <c r="AZ365" t="s">
        <v>11</v>
      </c>
      <c r="BA365" t="s">
        <v>11</v>
      </c>
      <c r="BB365" t="s">
        <v>11</v>
      </c>
      <c r="BC365" t="s">
        <v>11</v>
      </c>
      <c r="BD365" t="s">
        <v>11</v>
      </c>
      <c r="BE365" t="s">
        <v>11</v>
      </c>
      <c r="BF365" t="s">
        <v>11</v>
      </c>
      <c r="BG365" t="s">
        <v>11</v>
      </c>
      <c r="BH365" t="s">
        <v>2828</v>
      </c>
      <c r="BI365" t="s">
        <v>2824</v>
      </c>
      <c r="BJ365" t="s">
        <v>2829</v>
      </c>
      <c r="BK365" t="s">
        <v>2830</v>
      </c>
    </row>
    <row r="366" spans="1:63" x14ac:dyDescent="0.3">
      <c r="A366" t="s">
        <v>2831</v>
      </c>
      <c r="B366" t="s">
        <v>5</v>
      </c>
      <c r="C366" t="s">
        <v>2832</v>
      </c>
      <c r="D366" t="s">
        <v>2833</v>
      </c>
      <c r="E366" t="s">
        <v>2812</v>
      </c>
      <c r="F366">
        <v>383</v>
      </c>
      <c r="G366">
        <v>51</v>
      </c>
      <c r="H366">
        <v>30.5</v>
      </c>
      <c r="I366">
        <v>9.6999999999999993</v>
      </c>
      <c r="L366">
        <v>1.9</v>
      </c>
      <c r="M366">
        <v>2.1</v>
      </c>
      <c r="P366">
        <v>4.8</v>
      </c>
      <c r="AF366">
        <v>8.4465630000000012</v>
      </c>
      <c r="AG366">
        <v>8.5500000000000007</v>
      </c>
      <c r="AH366" t="s">
        <v>2834</v>
      </c>
      <c r="AI366" t="s">
        <v>0</v>
      </c>
      <c r="AJ366" t="s">
        <v>1310</v>
      </c>
      <c r="AK366" t="s">
        <v>11</v>
      </c>
      <c r="AL366" t="s">
        <v>1469</v>
      </c>
      <c r="AM366" t="s">
        <v>11</v>
      </c>
      <c r="AN366" t="s">
        <v>2355</v>
      </c>
      <c r="AO366" t="s">
        <v>11</v>
      </c>
      <c r="AP366" t="s">
        <v>11</v>
      </c>
      <c r="AQ366" t="s">
        <v>1249</v>
      </c>
      <c r="AR366" t="s">
        <v>2835</v>
      </c>
      <c r="AS366" t="s">
        <v>11</v>
      </c>
      <c r="AT366" t="s">
        <v>11</v>
      </c>
      <c r="AU366" t="s">
        <v>11</v>
      </c>
      <c r="AV366" t="s">
        <v>11</v>
      </c>
      <c r="AW366" t="s">
        <v>11</v>
      </c>
      <c r="AX366" t="s">
        <v>11</v>
      </c>
      <c r="AY366" t="s">
        <v>11</v>
      </c>
      <c r="AZ366" t="s">
        <v>11</v>
      </c>
      <c r="BA366" t="s">
        <v>11</v>
      </c>
      <c r="BB366" t="s">
        <v>11</v>
      </c>
      <c r="BC366" t="s">
        <v>11</v>
      </c>
      <c r="BD366" t="s">
        <v>11</v>
      </c>
      <c r="BE366" t="s">
        <v>11</v>
      </c>
      <c r="BF366" t="s">
        <v>11</v>
      </c>
      <c r="BG366" t="s">
        <v>11</v>
      </c>
      <c r="BH366" t="s">
        <v>2836</v>
      </c>
      <c r="BI366" t="s">
        <v>2831</v>
      </c>
      <c r="BJ366" t="s">
        <v>2837</v>
      </c>
      <c r="BK366" t="s">
        <v>2838</v>
      </c>
    </row>
    <row r="367" spans="1:63" x14ac:dyDescent="0.3">
      <c r="A367" t="s">
        <v>2839</v>
      </c>
      <c r="B367" t="s">
        <v>5</v>
      </c>
      <c r="C367" t="s">
        <v>2840</v>
      </c>
      <c r="D367" t="s">
        <v>2841</v>
      </c>
      <c r="E367" t="s">
        <v>2842</v>
      </c>
      <c r="F367">
        <v>384</v>
      </c>
      <c r="G367">
        <v>50.400000000000006</v>
      </c>
      <c r="H367">
        <v>30.4</v>
      </c>
      <c r="I367">
        <v>9.5</v>
      </c>
      <c r="N367">
        <v>2.4</v>
      </c>
      <c r="P367">
        <v>5.3</v>
      </c>
      <c r="U367">
        <v>2</v>
      </c>
      <c r="AF367">
        <v>8.6210519999999988</v>
      </c>
      <c r="AG367">
        <v>8.7799999999999994</v>
      </c>
      <c r="AI367" t="s">
        <v>0</v>
      </c>
      <c r="AJ367" t="s">
        <v>315</v>
      </c>
      <c r="AK367" t="s">
        <v>11</v>
      </c>
      <c r="AL367" t="s">
        <v>2582</v>
      </c>
      <c r="AM367" t="s">
        <v>11</v>
      </c>
      <c r="AN367" t="s">
        <v>11</v>
      </c>
      <c r="AO367" t="s">
        <v>2843</v>
      </c>
      <c r="AP367" t="s">
        <v>11</v>
      </c>
      <c r="AQ367" t="s">
        <v>11</v>
      </c>
      <c r="AR367" t="s">
        <v>2844</v>
      </c>
      <c r="AS367" t="s">
        <v>11</v>
      </c>
      <c r="AT367" t="s">
        <v>11</v>
      </c>
      <c r="AU367" t="s">
        <v>11</v>
      </c>
      <c r="AV367" t="s">
        <v>11</v>
      </c>
      <c r="AW367" t="s">
        <v>2729</v>
      </c>
      <c r="AX367" t="s">
        <v>11</v>
      </c>
      <c r="AY367" t="s">
        <v>11</v>
      </c>
      <c r="AZ367" t="s">
        <v>11</v>
      </c>
      <c r="BA367" t="s">
        <v>11</v>
      </c>
      <c r="BB367" t="s">
        <v>11</v>
      </c>
      <c r="BC367" t="s">
        <v>11</v>
      </c>
      <c r="BD367" t="s">
        <v>11</v>
      </c>
      <c r="BE367" t="s">
        <v>11</v>
      </c>
      <c r="BF367" t="s">
        <v>11</v>
      </c>
      <c r="BG367" t="s">
        <v>11</v>
      </c>
      <c r="BH367" t="s">
        <v>2845</v>
      </c>
      <c r="BI367" t="s">
        <v>2839</v>
      </c>
      <c r="BJ367" t="s">
        <v>2846</v>
      </c>
      <c r="BK367" t="s">
        <v>2847</v>
      </c>
    </row>
    <row r="368" spans="1:63" x14ac:dyDescent="0.3">
      <c r="A368" t="s">
        <v>2848</v>
      </c>
      <c r="B368" t="s">
        <v>5</v>
      </c>
      <c r="C368" t="s">
        <v>2849</v>
      </c>
      <c r="D368" t="s">
        <v>2850</v>
      </c>
      <c r="E368" t="s">
        <v>2851</v>
      </c>
      <c r="F368">
        <v>385</v>
      </c>
      <c r="G368">
        <v>37.900000000000013</v>
      </c>
      <c r="H368">
        <v>35.4</v>
      </c>
      <c r="I368">
        <v>9.6999999999999993</v>
      </c>
      <c r="J368">
        <v>6</v>
      </c>
      <c r="L368">
        <v>3.4</v>
      </c>
      <c r="M368">
        <v>2.8</v>
      </c>
      <c r="P368">
        <v>4.8</v>
      </c>
      <c r="AF368">
        <v>8.3327099999999987</v>
      </c>
      <c r="AI368" t="s">
        <v>0</v>
      </c>
      <c r="AJ368" t="s">
        <v>1310</v>
      </c>
      <c r="AK368" t="s">
        <v>11</v>
      </c>
      <c r="AL368" t="s">
        <v>2852</v>
      </c>
      <c r="AM368" t="s">
        <v>2195</v>
      </c>
      <c r="AN368" t="s">
        <v>1747</v>
      </c>
      <c r="AO368" t="s">
        <v>11</v>
      </c>
      <c r="AP368" t="s">
        <v>11</v>
      </c>
      <c r="AQ368" t="s">
        <v>2853</v>
      </c>
      <c r="AR368" t="s">
        <v>2835</v>
      </c>
      <c r="AS368" t="s">
        <v>11</v>
      </c>
      <c r="AT368" t="s">
        <v>11</v>
      </c>
      <c r="AU368" t="s">
        <v>11</v>
      </c>
      <c r="AV368" t="s">
        <v>11</v>
      </c>
      <c r="AW368" t="s">
        <v>11</v>
      </c>
      <c r="AX368" t="s">
        <v>11</v>
      </c>
      <c r="AY368" t="s">
        <v>11</v>
      </c>
      <c r="AZ368" t="s">
        <v>11</v>
      </c>
      <c r="BA368" t="s">
        <v>11</v>
      </c>
      <c r="BB368" t="s">
        <v>11</v>
      </c>
      <c r="BC368" t="s">
        <v>11</v>
      </c>
      <c r="BD368" t="s">
        <v>11</v>
      </c>
      <c r="BE368" t="s">
        <v>11</v>
      </c>
      <c r="BF368" t="s">
        <v>11</v>
      </c>
      <c r="BG368" t="s">
        <v>11</v>
      </c>
      <c r="BH368" t="s">
        <v>2854</v>
      </c>
      <c r="BI368" t="s">
        <v>2848</v>
      </c>
      <c r="BJ368" t="s">
        <v>2855</v>
      </c>
      <c r="BK368" t="s">
        <v>2856</v>
      </c>
    </row>
    <row r="369" spans="1:63" x14ac:dyDescent="0.3">
      <c r="A369" t="s">
        <v>2857</v>
      </c>
      <c r="B369" t="s">
        <v>160</v>
      </c>
      <c r="C369" t="s">
        <v>2858</v>
      </c>
      <c r="D369" t="s">
        <v>2859</v>
      </c>
      <c r="E369" t="s">
        <v>2860</v>
      </c>
      <c r="F369">
        <v>388</v>
      </c>
      <c r="G369">
        <v>78.400000000000006</v>
      </c>
      <c r="I369">
        <v>7.8</v>
      </c>
      <c r="J369">
        <v>4.5</v>
      </c>
      <c r="K369">
        <v>7.8</v>
      </c>
      <c r="M369">
        <v>1.5</v>
      </c>
      <c r="AF369">
        <v>9.2630000000000017</v>
      </c>
      <c r="AI369" t="s">
        <v>0</v>
      </c>
      <c r="AJ369" t="s">
        <v>1206</v>
      </c>
      <c r="AK369" t="s">
        <v>478</v>
      </c>
      <c r="AL369" t="s">
        <v>11</v>
      </c>
      <c r="AM369" t="s">
        <v>2861</v>
      </c>
      <c r="AN369" t="s">
        <v>396</v>
      </c>
      <c r="AO369" t="s">
        <v>11</v>
      </c>
      <c r="AP369" t="s">
        <v>11</v>
      </c>
      <c r="AQ369" t="s">
        <v>11</v>
      </c>
      <c r="AR369" t="s">
        <v>11</v>
      </c>
      <c r="AS369" t="s">
        <v>11</v>
      </c>
      <c r="AT369" t="s">
        <v>11</v>
      </c>
      <c r="AU369" t="s">
        <v>11</v>
      </c>
      <c r="AV369" t="s">
        <v>11</v>
      </c>
      <c r="AW369" t="s">
        <v>11</v>
      </c>
      <c r="AX369" t="s">
        <v>11</v>
      </c>
      <c r="AY369" t="s">
        <v>11</v>
      </c>
      <c r="AZ369" t="s">
        <v>11</v>
      </c>
      <c r="BA369" t="s">
        <v>11</v>
      </c>
      <c r="BB369" t="s">
        <v>11</v>
      </c>
      <c r="BC369" t="s">
        <v>11</v>
      </c>
      <c r="BD369" t="s">
        <v>11</v>
      </c>
      <c r="BE369" t="s">
        <v>11</v>
      </c>
      <c r="BF369" t="s">
        <v>11</v>
      </c>
      <c r="BG369" t="s">
        <v>11</v>
      </c>
      <c r="BH369" t="s">
        <v>2862</v>
      </c>
      <c r="BI369" t="s">
        <v>2857</v>
      </c>
      <c r="BJ369" t="s">
        <v>2863</v>
      </c>
      <c r="BK369" t="s">
        <v>2864</v>
      </c>
    </row>
    <row r="370" spans="1:63" x14ac:dyDescent="0.3">
      <c r="A370" t="s">
        <v>2865</v>
      </c>
      <c r="B370" t="s">
        <v>31</v>
      </c>
      <c r="C370" t="s">
        <v>2866</v>
      </c>
      <c r="D370" t="s">
        <v>2867</v>
      </c>
      <c r="E370" t="s">
        <v>2860</v>
      </c>
      <c r="F370">
        <v>389</v>
      </c>
      <c r="G370">
        <v>82</v>
      </c>
      <c r="I370">
        <v>9</v>
      </c>
      <c r="K370">
        <v>3</v>
      </c>
      <c r="O370">
        <v>6</v>
      </c>
      <c r="AF370">
        <v>8.4850999999999992</v>
      </c>
      <c r="AI370" t="s">
        <v>0</v>
      </c>
      <c r="AJ370" t="s">
        <v>128</v>
      </c>
      <c r="AK370" t="s">
        <v>1498</v>
      </c>
      <c r="AL370" t="s">
        <v>11</v>
      </c>
      <c r="AM370" t="s">
        <v>11</v>
      </c>
      <c r="AN370" t="s">
        <v>11</v>
      </c>
      <c r="AO370" t="s">
        <v>11</v>
      </c>
      <c r="AP370" t="s">
        <v>2868</v>
      </c>
      <c r="AQ370" t="s">
        <v>11</v>
      </c>
      <c r="AR370" t="s">
        <v>11</v>
      </c>
      <c r="AS370" t="s">
        <v>11</v>
      </c>
      <c r="AT370" t="s">
        <v>11</v>
      </c>
      <c r="AU370" t="s">
        <v>11</v>
      </c>
      <c r="AV370" t="s">
        <v>11</v>
      </c>
      <c r="AW370" t="s">
        <v>11</v>
      </c>
      <c r="AX370" t="s">
        <v>11</v>
      </c>
      <c r="AY370" t="s">
        <v>11</v>
      </c>
      <c r="AZ370" t="s">
        <v>11</v>
      </c>
      <c r="BA370" t="s">
        <v>11</v>
      </c>
      <c r="BB370" t="s">
        <v>11</v>
      </c>
      <c r="BC370" t="s">
        <v>11</v>
      </c>
      <c r="BD370" t="s">
        <v>11</v>
      </c>
      <c r="BE370" t="s">
        <v>11</v>
      </c>
      <c r="BF370" t="s">
        <v>11</v>
      </c>
      <c r="BG370" t="s">
        <v>11</v>
      </c>
      <c r="BH370" t="s">
        <v>2869</v>
      </c>
      <c r="BI370" t="s">
        <v>2865</v>
      </c>
      <c r="BJ370" t="s">
        <v>2870</v>
      </c>
      <c r="BK370" t="s">
        <v>2871</v>
      </c>
    </row>
    <row r="371" spans="1:63" x14ac:dyDescent="0.3">
      <c r="A371" t="s">
        <v>2872</v>
      </c>
      <c r="B371" t="s">
        <v>95</v>
      </c>
      <c r="C371" t="s">
        <v>2873</v>
      </c>
      <c r="D371" t="s">
        <v>2874</v>
      </c>
      <c r="E371" t="s">
        <v>2860</v>
      </c>
      <c r="F371">
        <v>390</v>
      </c>
      <c r="G371">
        <v>82</v>
      </c>
      <c r="I371">
        <v>9</v>
      </c>
      <c r="K371">
        <v>6</v>
      </c>
      <c r="P371">
        <v>3</v>
      </c>
      <c r="AF371">
        <v>9.0044000000000004</v>
      </c>
      <c r="AI371" t="s">
        <v>0</v>
      </c>
      <c r="AJ371" t="s">
        <v>128</v>
      </c>
      <c r="AK371" t="s">
        <v>2128</v>
      </c>
      <c r="AL371" t="s">
        <v>11</v>
      </c>
      <c r="AM371" t="s">
        <v>11</v>
      </c>
      <c r="AN371" t="s">
        <v>11</v>
      </c>
      <c r="AO371" t="s">
        <v>11</v>
      </c>
      <c r="AP371" t="s">
        <v>11</v>
      </c>
      <c r="AQ371" t="s">
        <v>11</v>
      </c>
      <c r="AR371" t="s">
        <v>63</v>
      </c>
      <c r="AS371" t="s">
        <v>11</v>
      </c>
      <c r="AT371" t="s">
        <v>11</v>
      </c>
      <c r="AU371" t="s">
        <v>11</v>
      </c>
      <c r="AV371" t="s">
        <v>11</v>
      </c>
      <c r="AW371" t="s">
        <v>11</v>
      </c>
      <c r="AX371" t="s">
        <v>11</v>
      </c>
      <c r="AY371" t="s">
        <v>11</v>
      </c>
      <c r="AZ371" t="s">
        <v>11</v>
      </c>
      <c r="BA371" t="s">
        <v>11</v>
      </c>
      <c r="BB371" t="s">
        <v>11</v>
      </c>
      <c r="BC371" t="s">
        <v>11</v>
      </c>
      <c r="BD371" t="s">
        <v>11</v>
      </c>
      <c r="BE371" t="s">
        <v>11</v>
      </c>
      <c r="BF371" t="s">
        <v>11</v>
      </c>
      <c r="BG371" t="s">
        <v>11</v>
      </c>
      <c r="BH371" t="s">
        <v>2875</v>
      </c>
      <c r="BI371" t="s">
        <v>2872</v>
      </c>
      <c r="BJ371" t="s">
        <v>2876</v>
      </c>
      <c r="BK371" t="s">
        <v>2877</v>
      </c>
    </row>
    <row r="372" spans="1:63" x14ac:dyDescent="0.3">
      <c r="A372" t="s">
        <v>2878</v>
      </c>
      <c r="B372" t="s">
        <v>95</v>
      </c>
      <c r="C372" t="s">
        <v>2879</v>
      </c>
      <c r="D372" t="s">
        <v>2880</v>
      </c>
      <c r="E372" t="s">
        <v>2860</v>
      </c>
      <c r="F372">
        <v>391</v>
      </c>
      <c r="G372">
        <v>82</v>
      </c>
      <c r="I372">
        <v>9</v>
      </c>
      <c r="K372">
        <v>7.5</v>
      </c>
      <c r="P372">
        <v>1.5</v>
      </c>
      <c r="AF372">
        <v>9.1389499999999995</v>
      </c>
      <c r="AI372" t="s">
        <v>0</v>
      </c>
      <c r="AJ372" t="s">
        <v>128</v>
      </c>
      <c r="AK372" t="s">
        <v>195</v>
      </c>
      <c r="AL372" t="s">
        <v>11</v>
      </c>
      <c r="AM372" t="s">
        <v>11</v>
      </c>
      <c r="AN372" t="s">
        <v>11</v>
      </c>
      <c r="AO372" t="s">
        <v>11</v>
      </c>
      <c r="AP372" t="s">
        <v>11</v>
      </c>
      <c r="AQ372" t="s">
        <v>11</v>
      </c>
      <c r="AR372" t="s">
        <v>215</v>
      </c>
      <c r="AS372" t="s">
        <v>11</v>
      </c>
      <c r="AT372" t="s">
        <v>11</v>
      </c>
      <c r="AU372" t="s">
        <v>11</v>
      </c>
      <c r="AV372" t="s">
        <v>11</v>
      </c>
      <c r="AW372" t="s">
        <v>11</v>
      </c>
      <c r="AX372" t="s">
        <v>11</v>
      </c>
      <c r="AY372" t="s">
        <v>11</v>
      </c>
      <c r="AZ372" t="s">
        <v>11</v>
      </c>
      <c r="BA372" t="s">
        <v>11</v>
      </c>
      <c r="BB372" t="s">
        <v>11</v>
      </c>
      <c r="BC372" t="s">
        <v>11</v>
      </c>
      <c r="BD372" t="s">
        <v>11</v>
      </c>
      <c r="BE372" t="s">
        <v>11</v>
      </c>
      <c r="BF372" t="s">
        <v>11</v>
      </c>
      <c r="BG372" t="s">
        <v>11</v>
      </c>
      <c r="BH372" t="s">
        <v>2881</v>
      </c>
      <c r="BI372" t="s">
        <v>2878</v>
      </c>
      <c r="BJ372" t="s">
        <v>2882</v>
      </c>
      <c r="BK372" t="s">
        <v>2883</v>
      </c>
    </row>
    <row r="373" spans="1:63" x14ac:dyDescent="0.3">
      <c r="A373" t="s">
        <v>2884</v>
      </c>
      <c r="B373" t="s">
        <v>95</v>
      </c>
      <c r="C373" t="s">
        <v>2885</v>
      </c>
      <c r="D373" t="s">
        <v>2886</v>
      </c>
      <c r="E373" t="s">
        <v>2860</v>
      </c>
      <c r="F373">
        <v>392</v>
      </c>
      <c r="G373">
        <v>72</v>
      </c>
      <c r="H373">
        <v>10</v>
      </c>
      <c r="I373">
        <v>9</v>
      </c>
      <c r="K373">
        <v>9</v>
      </c>
      <c r="AF373">
        <v>9.2743000000000002</v>
      </c>
      <c r="AI373" t="s">
        <v>0</v>
      </c>
      <c r="AJ373" t="s">
        <v>128</v>
      </c>
      <c r="AK373" t="s">
        <v>252</v>
      </c>
      <c r="AL373" t="s">
        <v>520</v>
      </c>
      <c r="AM373" t="s">
        <v>11</v>
      </c>
      <c r="AN373" t="s">
        <v>11</v>
      </c>
      <c r="AO373" t="s">
        <v>11</v>
      </c>
      <c r="AP373" t="s">
        <v>11</v>
      </c>
      <c r="AQ373" t="s">
        <v>11</v>
      </c>
      <c r="AR373" t="s">
        <v>11</v>
      </c>
      <c r="AS373" t="s">
        <v>11</v>
      </c>
      <c r="AT373" t="s">
        <v>11</v>
      </c>
      <c r="AU373" t="s">
        <v>11</v>
      </c>
      <c r="AV373" t="s">
        <v>11</v>
      </c>
      <c r="AW373" t="s">
        <v>11</v>
      </c>
      <c r="AX373" t="s">
        <v>11</v>
      </c>
      <c r="AY373" t="s">
        <v>11</v>
      </c>
      <c r="AZ373" t="s">
        <v>11</v>
      </c>
      <c r="BA373" t="s">
        <v>11</v>
      </c>
      <c r="BB373" t="s">
        <v>11</v>
      </c>
      <c r="BC373" t="s">
        <v>11</v>
      </c>
      <c r="BD373" t="s">
        <v>11</v>
      </c>
      <c r="BE373" t="s">
        <v>11</v>
      </c>
      <c r="BF373" t="s">
        <v>11</v>
      </c>
      <c r="BG373" t="s">
        <v>11</v>
      </c>
      <c r="BH373" t="s">
        <v>2887</v>
      </c>
      <c r="BI373" t="s">
        <v>2884</v>
      </c>
      <c r="BJ373" t="s">
        <v>2888</v>
      </c>
      <c r="BK373" t="s">
        <v>2889</v>
      </c>
    </row>
    <row r="374" spans="1:63" x14ac:dyDescent="0.3">
      <c r="A374" t="s">
        <v>2890</v>
      </c>
      <c r="B374" t="s">
        <v>95</v>
      </c>
      <c r="C374" t="s">
        <v>2891</v>
      </c>
      <c r="D374" t="s">
        <v>2892</v>
      </c>
      <c r="E374" t="s">
        <v>2860</v>
      </c>
      <c r="F374">
        <v>393</v>
      </c>
      <c r="G374">
        <v>62</v>
      </c>
      <c r="H374">
        <v>20</v>
      </c>
      <c r="I374">
        <v>9</v>
      </c>
      <c r="K374">
        <v>9</v>
      </c>
      <c r="AF374">
        <v>9.2751000000000001</v>
      </c>
      <c r="AI374" t="s">
        <v>0</v>
      </c>
      <c r="AJ374" t="s">
        <v>128</v>
      </c>
      <c r="AK374" t="s">
        <v>252</v>
      </c>
      <c r="AL374" t="s">
        <v>834</v>
      </c>
      <c r="AM374" t="s">
        <v>11</v>
      </c>
      <c r="AN374" t="s">
        <v>11</v>
      </c>
      <c r="AO374" t="s">
        <v>11</v>
      </c>
      <c r="AP374" t="s">
        <v>11</v>
      </c>
      <c r="AQ374" t="s">
        <v>11</v>
      </c>
      <c r="AR374" t="s">
        <v>11</v>
      </c>
      <c r="AS374" t="s">
        <v>11</v>
      </c>
      <c r="AT374" t="s">
        <v>11</v>
      </c>
      <c r="AU374" t="s">
        <v>11</v>
      </c>
      <c r="AV374" t="s">
        <v>11</v>
      </c>
      <c r="AW374" t="s">
        <v>11</v>
      </c>
      <c r="AX374" t="s">
        <v>11</v>
      </c>
      <c r="AY374" t="s">
        <v>11</v>
      </c>
      <c r="AZ374" t="s">
        <v>11</v>
      </c>
      <c r="BA374" t="s">
        <v>11</v>
      </c>
      <c r="BB374" t="s">
        <v>11</v>
      </c>
      <c r="BC374" t="s">
        <v>11</v>
      </c>
      <c r="BD374" t="s">
        <v>11</v>
      </c>
      <c r="BE374" t="s">
        <v>11</v>
      </c>
      <c r="BF374" t="s">
        <v>11</v>
      </c>
      <c r="BG374" t="s">
        <v>11</v>
      </c>
      <c r="BH374" t="s">
        <v>2893</v>
      </c>
      <c r="BI374" t="s">
        <v>2890</v>
      </c>
      <c r="BJ374" t="s">
        <v>2894</v>
      </c>
      <c r="BK374" t="s">
        <v>2895</v>
      </c>
    </row>
    <row r="375" spans="1:63" x14ac:dyDescent="0.3">
      <c r="A375" t="s">
        <v>2896</v>
      </c>
      <c r="B375" t="s">
        <v>95</v>
      </c>
      <c r="C375" t="s">
        <v>642</v>
      </c>
      <c r="D375" t="s">
        <v>2897</v>
      </c>
      <c r="E375" t="s">
        <v>2860</v>
      </c>
      <c r="F375">
        <v>394</v>
      </c>
      <c r="G375">
        <v>81.599999999999994</v>
      </c>
      <c r="I375">
        <v>9.1999999999999993</v>
      </c>
      <c r="K375">
        <v>9.1999999999999993</v>
      </c>
      <c r="AF375">
        <v>9.2818000000000005</v>
      </c>
      <c r="AI375" t="s">
        <v>0</v>
      </c>
      <c r="AJ375" t="s">
        <v>717</v>
      </c>
      <c r="AK375" t="s">
        <v>139</v>
      </c>
      <c r="AL375" t="s">
        <v>11</v>
      </c>
      <c r="AM375" t="s">
        <v>11</v>
      </c>
      <c r="AN375" t="s">
        <v>11</v>
      </c>
      <c r="AO375" t="s">
        <v>11</v>
      </c>
      <c r="AP375" t="s">
        <v>11</v>
      </c>
      <c r="AQ375" t="s">
        <v>11</v>
      </c>
      <c r="AR375" t="s">
        <v>11</v>
      </c>
      <c r="AS375" t="s">
        <v>11</v>
      </c>
      <c r="AT375" t="s">
        <v>11</v>
      </c>
      <c r="AU375" t="s">
        <v>11</v>
      </c>
      <c r="AV375" t="s">
        <v>11</v>
      </c>
      <c r="AW375" t="s">
        <v>11</v>
      </c>
      <c r="AX375" t="s">
        <v>11</v>
      </c>
      <c r="AY375" t="s">
        <v>11</v>
      </c>
      <c r="AZ375" t="s">
        <v>11</v>
      </c>
      <c r="BA375" t="s">
        <v>11</v>
      </c>
      <c r="BB375" t="s">
        <v>11</v>
      </c>
      <c r="BC375" t="s">
        <v>11</v>
      </c>
      <c r="BD375" t="s">
        <v>11</v>
      </c>
      <c r="BE375" t="s">
        <v>11</v>
      </c>
      <c r="BF375" t="s">
        <v>11</v>
      </c>
      <c r="BG375" t="s">
        <v>11</v>
      </c>
      <c r="BH375" t="s">
        <v>2898</v>
      </c>
      <c r="BI375" t="s">
        <v>2896</v>
      </c>
      <c r="BJ375" t="s">
        <v>2899</v>
      </c>
      <c r="BK375" t="s">
        <v>2900</v>
      </c>
    </row>
    <row r="376" spans="1:63" x14ac:dyDescent="0.3">
      <c r="A376" t="s">
        <v>2901</v>
      </c>
      <c r="B376" t="s">
        <v>95</v>
      </c>
      <c r="C376" t="s">
        <v>2902</v>
      </c>
      <c r="D376" t="s">
        <v>2903</v>
      </c>
      <c r="E376" t="s">
        <v>2860</v>
      </c>
      <c r="F376">
        <v>395</v>
      </c>
      <c r="G376">
        <v>79.400000000000006</v>
      </c>
      <c r="I376">
        <v>8.8000000000000007</v>
      </c>
      <c r="K376">
        <v>9.8000000000000007</v>
      </c>
      <c r="U376">
        <v>2</v>
      </c>
      <c r="AF376">
        <v>9.6111000000000004</v>
      </c>
      <c r="AI376" t="s">
        <v>0</v>
      </c>
      <c r="AJ376" t="s">
        <v>261</v>
      </c>
      <c r="AK376" t="s">
        <v>1737</v>
      </c>
      <c r="AL376" t="s">
        <v>11</v>
      </c>
      <c r="AM376" t="s">
        <v>11</v>
      </c>
      <c r="AN376" t="s">
        <v>11</v>
      </c>
      <c r="AO376" t="s">
        <v>11</v>
      </c>
      <c r="AP376" t="s">
        <v>11</v>
      </c>
      <c r="AQ376" t="s">
        <v>11</v>
      </c>
      <c r="AR376" t="s">
        <v>11</v>
      </c>
      <c r="AS376" t="s">
        <v>11</v>
      </c>
      <c r="AT376" t="s">
        <v>11</v>
      </c>
      <c r="AU376" t="s">
        <v>11</v>
      </c>
      <c r="AV376" t="s">
        <v>11</v>
      </c>
      <c r="AW376" t="s">
        <v>2729</v>
      </c>
      <c r="AX376" t="s">
        <v>11</v>
      </c>
      <c r="AY376" t="s">
        <v>11</v>
      </c>
      <c r="AZ376" t="s">
        <v>11</v>
      </c>
      <c r="BA376" t="s">
        <v>11</v>
      </c>
      <c r="BB376" t="s">
        <v>11</v>
      </c>
      <c r="BC376" t="s">
        <v>11</v>
      </c>
      <c r="BD376" t="s">
        <v>11</v>
      </c>
      <c r="BE376" t="s">
        <v>11</v>
      </c>
      <c r="BF376" t="s">
        <v>11</v>
      </c>
      <c r="BG376" t="s">
        <v>11</v>
      </c>
      <c r="BH376" t="s">
        <v>2904</v>
      </c>
      <c r="BI376" t="s">
        <v>2901</v>
      </c>
      <c r="BJ376" t="s">
        <v>2905</v>
      </c>
      <c r="BK376" t="s">
        <v>2906</v>
      </c>
    </row>
    <row r="377" spans="1:63" x14ac:dyDescent="0.3">
      <c r="A377" t="s">
        <v>2907</v>
      </c>
      <c r="B377" t="s">
        <v>95</v>
      </c>
      <c r="C377" t="s">
        <v>2908</v>
      </c>
      <c r="D377" t="s">
        <v>2909</v>
      </c>
      <c r="E377" t="s">
        <v>2910</v>
      </c>
      <c r="F377">
        <v>396</v>
      </c>
      <c r="G377">
        <v>79.88</v>
      </c>
      <c r="I377">
        <v>9</v>
      </c>
      <c r="K377">
        <v>9</v>
      </c>
      <c r="L377">
        <v>2</v>
      </c>
      <c r="S377">
        <v>0.12</v>
      </c>
      <c r="AF377">
        <v>9.1779119999999992</v>
      </c>
      <c r="AI377" t="s">
        <v>0</v>
      </c>
      <c r="AJ377" t="s">
        <v>128</v>
      </c>
      <c r="AK377" t="s">
        <v>252</v>
      </c>
      <c r="AL377" t="s">
        <v>11</v>
      </c>
      <c r="AM377" t="s">
        <v>11</v>
      </c>
      <c r="AN377" t="s">
        <v>11</v>
      </c>
      <c r="AO377" t="s">
        <v>11</v>
      </c>
      <c r="AP377" t="s">
        <v>11</v>
      </c>
      <c r="AQ377" t="s">
        <v>25</v>
      </c>
      <c r="AR377" t="s">
        <v>11</v>
      </c>
      <c r="AS377" t="s">
        <v>11</v>
      </c>
      <c r="AT377" t="s">
        <v>11</v>
      </c>
      <c r="AU377" t="s">
        <v>317</v>
      </c>
      <c r="AV377" t="s">
        <v>11</v>
      </c>
      <c r="AW377" t="s">
        <v>11</v>
      </c>
      <c r="AX377" t="s">
        <v>11</v>
      </c>
      <c r="AY377" t="s">
        <v>11</v>
      </c>
      <c r="AZ377" t="s">
        <v>11</v>
      </c>
      <c r="BA377" t="s">
        <v>11</v>
      </c>
      <c r="BB377" t="s">
        <v>11</v>
      </c>
      <c r="BC377" t="s">
        <v>11</v>
      </c>
      <c r="BD377" t="s">
        <v>11</v>
      </c>
      <c r="BE377" t="s">
        <v>11</v>
      </c>
      <c r="BF377" t="s">
        <v>11</v>
      </c>
      <c r="BG377" t="s">
        <v>11</v>
      </c>
      <c r="BH377" t="s">
        <v>2911</v>
      </c>
      <c r="BI377" t="s">
        <v>2907</v>
      </c>
      <c r="BJ377" t="s">
        <v>2912</v>
      </c>
      <c r="BK377" t="s">
        <v>2913</v>
      </c>
    </row>
    <row r="378" spans="1:63" x14ac:dyDescent="0.3">
      <c r="A378" t="s">
        <v>2914</v>
      </c>
      <c r="B378" t="s">
        <v>160</v>
      </c>
      <c r="C378" t="s">
        <v>2915</v>
      </c>
      <c r="D378" t="s">
        <v>2916</v>
      </c>
      <c r="E378" t="s">
        <v>2910</v>
      </c>
      <c r="F378">
        <v>397</v>
      </c>
      <c r="G378">
        <v>78</v>
      </c>
      <c r="I378">
        <v>9</v>
      </c>
      <c r="K378">
        <v>9</v>
      </c>
      <c r="L378">
        <v>2</v>
      </c>
      <c r="M378">
        <v>2</v>
      </c>
      <c r="AF378">
        <v>9.3406400000000005</v>
      </c>
      <c r="AI378" t="s">
        <v>0</v>
      </c>
      <c r="AJ378" t="s">
        <v>128</v>
      </c>
      <c r="AK378" t="s">
        <v>252</v>
      </c>
      <c r="AL378" t="s">
        <v>11</v>
      </c>
      <c r="AM378" t="s">
        <v>11</v>
      </c>
      <c r="AN378" t="s">
        <v>24</v>
      </c>
      <c r="AO378" t="s">
        <v>11</v>
      </c>
      <c r="AP378" t="s">
        <v>11</v>
      </c>
      <c r="AQ378" t="s">
        <v>25</v>
      </c>
      <c r="AR378" t="s">
        <v>11</v>
      </c>
      <c r="AS378" t="s">
        <v>11</v>
      </c>
      <c r="AT378" t="s">
        <v>11</v>
      </c>
      <c r="AU378" t="s">
        <v>11</v>
      </c>
      <c r="AV378" t="s">
        <v>11</v>
      </c>
      <c r="AW378" t="s">
        <v>11</v>
      </c>
      <c r="AX378" t="s">
        <v>11</v>
      </c>
      <c r="AY378" t="s">
        <v>11</v>
      </c>
      <c r="AZ378" t="s">
        <v>11</v>
      </c>
      <c r="BA378" t="s">
        <v>11</v>
      </c>
      <c r="BB378" t="s">
        <v>11</v>
      </c>
      <c r="BC378" t="s">
        <v>11</v>
      </c>
      <c r="BD378" t="s">
        <v>11</v>
      </c>
      <c r="BE378" t="s">
        <v>11</v>
      </c>
      <c r="BF378" t="s">
        <v>11</v>
      </c>
      <c r="BG378" t="s">
        <v>11</v>
      </c>
      <c r="BH378" t="s">
        <v>2917</v>
      </c>
      <c r="BI378" t="s">
        <v>2914</v>
      </c>
      <c r="BJ378" t="s">
        <v>2918</v>
      </c>
      <c r="BK378" t="s">
        <v>2919</v>
      </c>
    </row>
    <row r="379" spans="1:63" x14ac:dyDescent="0.3">
      <c r="A379" t="s">
        <v>2920</v>
      </c>
      <c r="B379" t="s">
        <v>95</v>
      </c>
      <c r="C379" t="s">
        <v>1897</v>
      </c>
      <c r="D379" t="s">
        <v>2921</v>
      </c>
      <c r="E379" t="s">
        <v>2910</v>
      </c>
      <c r="F379">
        <v>398</v>
      </c>
      <c r="G379">
        <v>81.88</v>
      </c>
      <c r="I379">
        <v>9</v>
      </c>
      <c r="K379">
        <v>9</v>
      </c>
      <c r="S379">
        <v>0.12</v>
      </c>
      <c r="AF379">
        <v>9.2657720000000001</v>
      </c>
      <c r="AI379" t="s">
        <v>0</v>
      </c>
      <c r="AJ379" t="s">
        <v>128</v>
      </c>
      <c r="AK379" t="s">
        <v>252</v>
      </c>
      <c r="AL379" t="s">
        <v>11</v>
      </c>
      <c r="AM379" t="s">
        <v>11</v>
      </c>
      <c r="AN379" t="s">
        <v>11</v>
      </c>
      <c r="AO379" t="s">
        <v>11</v>
      </c>
      <c r="AP379" t="s">
        <v>11</v>
      </c>
      <c r="AQ379" t="s">
        <v>11</v>
      </c>
      <c r="AR379" t="s">
        <v>11</v>
      </c>
      <c r="AS379" t="s">
        <v>11</v>
      </c>
      <c r="AT379" t="s">
        <v>11</v>
      </c>
      <c r="AU379" t="s">
        <v>317</v>
      </c>
      <c r="AV379" t="s">
        <v>11</v>
      </c>
      <c r="AW379" t="s">
        <v>11</v>
      </c>
      <c r="AX379" t="s">
        <v>11</v>
      </c>
      <c r="AY379" t="s">
        <v>11</v>
      </c>
      <c r="AZ379" t="s">
        <v>11</v>
      </c>
      <c r="BA379" t="s">
        <v>11</v>
      </c>
      <c r="BB379" t="s">
        <v>11</v>
      </c>
      <c r="BC379" t="s">
        <v>11</v>
      </c>
      <c r="BD379" t="s">
        <v>11</v>
      </c>
      <c r="BE379" t="s">
        <v>11</v>
      </c>
      <c r="BF379" t="s">
        <v>11</v>
      </c>
      <c r="BG379" t="s">
        <v>11</v>
      </c>
      <c r="BH379" t="s">
        <v>2922</v>
      </c>
      <c r="BI379" t="s">
        <v>2920</v>
      </c>
      <c r="BJ379" t="s">
        <v>2923</v>
      </c>
      <c r="BK379" t="s">
        <v>2924</v>
      </c>
    </row>
    <row r="380" spans="1:63" x14ac:dyDescent="0.3">
      <c r="A380" t="s">
        <v>2925</v>
      </c>
      <c r="B380" t="s">
        <v>95</v>
      </c>
      <c r="C380" t="s">
        <v>323</v>
      </c>
      <c r="D380" t="s">
        <v>2926</v>
      </c>
      <c r="E380" t="s">
        <v>2910</v>
      </c>
      <c r="F380">
        <v>399</v>
      </c>
      <c r="G380">
        <v>79.88</v>
      </c>
      <c r="I380">
        <v>9</v>
      </c>
      <c r="K380">
        <v>9</v>
      </c>
      <c r="M380">
        <v>2</v>
      </c>
      <c r="S380">
        <v>0.12</v>
      </c>
      <c r="AF380">
        <v>9.4207719999999995</v>
      </c>
      <c r="AI380" t="s">
        <v>0</v>
      </c>
      <c r="AJ380" t="s">
        <v>128</v>
      </c>
      <c r="AK380" t="s">
        <v>252</v>
      </c>
      <c r="AL380" t="s">
        <v>11</v>
      </c>
      <c r="AM380" t="s">
        <v>11</v>
      </c>
      <c r="AN380" t="s">
        <v>24</v>
      </c>
      <c r="AO380" t="s">
        <v>11</v>
      </c>
      <c r="AP380" t="s">
        <v>11</v>
      </c>
      <c r="AQ380" t="s">
        <v>11</v>
      </c>
      <c r="AR380" t="s">
        <v>11</v>
      </c>
      <c r="AS380" t="s">
        <v>11</v>
      </c>
      <c r="AT380" t="s">
        <v>11</v>
      </c>
      <c r="AU380" t="s">
        <v>317</v>
      </c>
      <c r="AV380" t="s">
        <v>11</v>
      </c>
      <c r="AW380" t="s">
        <v>11</v>
      </c>
      <c r="AX380" t="s">
        <v>11</v>
      </c>
      <c r="AY380" t="s">
        <v>11</v>
      </c>
      <c r="AZ380" t="s">
        <v>11</v>
      </c>
      <c r="BA380" t="s">
        <v>11</v>
      </c>
      <c r="BB380" t="s">
        <v>11</v>
      </c>
      <c r="BC380" t="s">
        <v>11</v>
      </c>
      <c r="BD380" t="s">
        <v>11</v>
      </c>
      <c r="BE380" t="s">
        <v>11</v>
      </c>
      <c r="BF380" t="s">
        <v>11</v>
      </c>
      <c r="BG380" t="s">
        <v>11</v>
      </c>
      <c r="BH380" t="s">
        <v>2927</v>
      </c>
      <c r="BI380" t="s">
        <v>2925</v>
      </c>
      <c r="BJ380" t="s">
        <v>2928</v>
      </c>
      <c r="BK380" t="s">
        <v>2929</v>
      </c>
    </row>
    <row r="381" spans="1:63" x14ac:dyDescent="0.3">
      <c r="A381" t="s">
        <v>94</v>
      </c>
      <c r="B381" t="s">
        <v>95</v>
      </c>
      <c r="C381" t="s">
        <v>96</v>
      </c>
      <c r="D381" t="s">
        <v>97</v>
      </c>
      <c r="E381" t="s">
        <v>2930</v>
      </c>
      <c r="F381">
        <v>400</v>
      </c>
      <c r="G381">
        <v>83.5</v>
      </c>
      <c r="I381">
        <v>8.1</v>
      </c>
      <c r="K381">
        <v>8.4</v>
      </c>
      <c r="AF381">
        <v>9.2672000000000008</v>
      </c>
      <c r="AI381" t="s">
        <v>0</v>
      </c>
      <c r="AJ381" t="s">
        <v>99</v>
      </c>
      <c r="AK381" t="s">
        <v>100</v>
      </c>
      <c r="AL381" t="s">
        <v>11</v>
      </c>
      <c r="AM381" t="s">
        <v>11</v>
      </c>
      <c r="AN381" t="s">
        <v>11</v>
      </c>
      <c r="AO381" t="s">
        <v>11</v>
      </c>
      <c r="AP381" t="s">
        <v>11</v>
      </c>
      <c r="AQ381" t="s">
        <v>11</v>
      </c>
      <c r="AR381" t="s">
        <v>11</v>
      </c>
      <c r="AS381" t="s">
        <v>11</v>
      </c>
      <c r="AT381" t="s">
        <v>11</v>
      </c>
      <c r="AU381" t="s">
        <v>11</v>
      </c>
      <c r="AV381" t="s">
        <v>11</v>
      </c>
      <c r="AW381" t="s">
        <v>11</v>
      </c>
      <c r="AX381" t="s">
        <v>11</v>
      </c>
      <c r="AY381" t="s">
        <v>11</v>
      </c>
      <c r="AZ381" t="s">
        <v>11</v>
      </c>
      <c r="BA381" t="s">
        <v>11</v>
      </c>
      <c r="BB381" t="s">
        <v>11</v>
      </c>
      <c r="BC381" t="s">
        <v>11</v>
      </c>
      <c r="BD381" t="s">
        <v>11</v>
      </c>
      <c r="BE381" t="s">
        <v>11</v>
      </c>
      <c r="BF381" t="s">
        <v>11</v>
      </c>
      <c r="BG381" t="s">
        <v>11</v>
      </c>
      <c r="BH381" t="s">
        <v>2931</v>
      </c>
      <c r="BI381" t="s">
        <v>94</v>
      </c>
      <c r="BJ381" t="s">
        <v>102</v>
      </c>
      <c r="BK381" t="s">
        <v>103</v>
      </c>
    </row>
    <row r="382" spans="1:63" x14ac:dyDescent="0.3">
      <c r="A382" t="s">
        <v>641</v>
      </c>
      <c r="B382" t="s">
        <v>95</v>
      </c>
      <c r="C382" t="s">
        <v>642</v>
      </c>
      <c r="D382" t="s">
        <v>97</v>
      </c>
      <c r="E382" t="s">
        <v>2932</v>
      </c>
      <c r="F382">
        <v>400</v>
      </c>
      <c r="G382">
        <v>82</v>
      </c>
      <c r="I382">
        <v>9</v>
      </c>
      <c r="K382">
        <v>9</v>
      </c>
      <c r="AF382">
        <v>9.2735000000000003</v>
      </c>
      <c r="AI382" t="s">
        <v>0</v>
      </c>
      <c r="AJ382" t="s">
        <v>128</v>
      </c>
      <c r="AK382" t="s">
        <v>252</v>
      </c>
      <c r="AL382" t="s">
        <v>11</v>
      </c>
      <c r="AM382" t="s">
        <v>11</v>
      </c>
      <c r="AN382" t="s">
        <v>11</v>
      </c>
      <c r="AO382" t="s">
        <v>11</v>
      </c>
      <c r="AP382" t="s">
        <v>11</v>
      </c>
      <c r="AQ382" t="s">
        <v>11</v>
      </c>
      <c r="AR382" t="s">
        <v>11</v>
      </c>
      <c r="AS382" t="s">
        <v>11</v>
      </c>
      <c r="AT382" t="s">
        <v>11</v>
      </c>
      <c r="AU382" t="s">
        <v>11</v>
      </c>
      <c r="AV382" t="s">
        <v>11</v>
      </c>
      <c r="AW382" t="s">
        <v>11</v>
      </c>
      <c r="AX382" t="s">
        <v>11</v>
      </c>
      <c r="AY382" t="s">
        <v>11</v>
      </c>
      <c r="AZ382" t="s">
        <v>11</v>
      </c>
      <c r="BA382" t="s">
        <v>11</v>
      </c>
      <c r="BB382" t="s">
        <v>11</v>
      </c>
      <c r="BC382" t="s">
        <v>11</v>
      </c>
      <c r="BD382" t="s">
        <v>11</v>
      </c>
      <c r="BE382" t="s">
        <v>11</v>
      </c>
      <c r="BF382" t="s">
        <v>11</v>
      </c>
      <c r="BG382" t="s">
        <v>11</v>
      </c>
      <c r="BH382" t="s">
        <v>2933</v>
      </c>
      <c r="BI382" t="s">
        <v>641</v>
      </c>
      <c r="BJ382" t="s">
        <v>647</v>
      </c>
      <c r="BK382" t="s">
        <v>648</v>
      </c>
    </row>
    <row r="383" spans="1:63" x14ac:dyDescent="0.3">
      <c r="A383" t="s">
        <v>2934</v>
      </c>
      <c r="B383" t="s">
        <v>95</v>
      </c>
      <c r="C383" t="s">
        <v>2935</v>
      </c>
      <c r="D383" t="s">
        <v>2552</v>
      </c>
      <c r="E383" t="s">
        <v>2932</v>
      </c>
      <c r="F383">
        <v>401</v>
      </c>
      <c r="G383">
        <v>78</v>
      </c>
      <c r="I383">
        <v>9</v>
      </c>
      <c r="J383">
        <v>4</v>
      </c>
      <c r="K383">
        <v>9</v>
      </c>
      <c r="AF383">
        <v>9.2050999999999998</v>
      </c>
      <c r="AI383" t="s">
        <v>0</v>
      </c>
      <c r="AJ383" t="s">
        <v>128</v>
      </c>
      <c r="AK383" t="s">
        <v>252</v>
      </c>
      <c r="AL383" t="s">
        <v>11</v>
      </c>
      <c r="AM383" t="s">
        <v>963</v>
      </c>
      <c r="AN383" t="s">
        <v>11</v>
      </c>
      <c r="AO383" t="s">
        <v>11</v>
      </c>
      <c r="AP383" t="s">
        <v>11</v>
      </c>
      <c r="AQ383" t="s">
        <v>11</v>
      </c>
      <c r="AR383" t="s">
        <v>11</v>
      </c>
      <c r="AS383" t="s">
        <v>11</v>
      </c>
      <c r="AT383" t="s">
        <v>11</v>
      </c>
      <c r="AU383" t="s">
        <v>11</v>
      </c>
      <c r="AV383" t="s">
        <v>11</v>
      </c>
      <c r="AW383" t="s">
        <v>11</v>
      </c>
      <c r="AX383" t="s">
        <v>11</v>
      </c>
      <c r="AY383" t="s">
        <v>11</v>
      </c>
      <c r="AZ383" t="s">
        <v>11</v>
      </c>
      <c r="BA383" t="s">
        <v>11</v>
      </c>
      <c r="BB383" t="s">
        <v>11</v>
      </c>
      <c r="BC383" t="s">
        <v>11</v>
      </c>
      <c r="BD383" t="s">
        <v>11</v>
      </c>
      <c r="BE383" t="s">
        <v>11</v>
      </c>
      <c r="BF383" t="s">
        <v>11</v>
      </c>
      <c r="BG383" t="s">
        <v>11</v>
      </c>
      <c r="BH383" t="s">
        <v>2936</v>
      </c>
      <c r="BI383" t="s">
        <v>2934</v>
      </c>
      <c r="BJ383" t="s">
        <v>2937</v>
      </c>
      <c r="BK383" t="s">
        <v>2938</v>
      </c>
    </row>
    <row r="384" spans="1:63" x14ac:dyDescent="0.3">
      <c r="A384" t="s">
        <v>2939</v>
      </c>
      <c r="B384" t="s">
        <v>95</v>
      </c>
      <c r="C384" t="s">
        <v>2940</v>
      </c>
      <c r="D384" t="s">
        <v>2941</v>
      </c>
      <c r="E384" t="s">
        <v>2932</v>
      </c>
      <c r="F384">
        <v>402</v>
      </c>
      <c r="G384">
        <v>74</v>
      </c>
      <c r="I384">
        <v>9</v>
      </c>
      <c r="J384">
        <v>8</v>
      </c>
      <c r="K384">
        <v>9</v>
      </c>
      <c r="AF384">
        <v>9.1366999999999994</v>
      </c>
      <c r="AI384" t="s">
        <v>0</v>
      </c>
      <c r="AJ384" t="s">
        <v>128</v>
      </c>
      <c r="AK384" t="s">
        <v>252</v>
      </c>
      <c r="AL384" t="s">
        <v>11</v>
      </c>
      <c r="AM384" t="s">
        <v>971</v>
      </c>
      <c r="AN384" t="s">
        <v>11</v>
      </c>
      <c r="AO384" t="s">
        <v>11</v>
      </c>
      <c r="AP384" t="s">
        <v>11</v>
      </c>
      <c r="AQ384" t="s">
        <v>11</v>
      </c>
      <c r="AR384" t="s">
        <v>11</v>
      </c>
      <c r="AS384" t="s">
        <v>11</v>
      </c>
      <c r="AT384" t="s">
        <v>11</v>
      </c>
      <c r="AU384" t="s">
        <v>11</v>
      </c>
      <c r="AV384" t="s">
        <v>11</v>
      </c>
      <c r="AW384" t="s">
        <v>11</v>
      </c>
      <c r="AX384" t="s">
        <v>11</v>
      </c>
      <c r="AY384" t="s">
        <v>11</v>
      </c>
      <c r="AZ384" t="s">
        <v>11</v>
      </c>
      <c r="BA384" t="s">
        <v>11</v>
      </c>
      <c r="BB384" t="s">
        <v>11</v>
      </c>
      <c r="BC384" t="s">
        <v>11</v>
      </c>
      <c r="BD384" t="s">
        <v>11</v>
      </c>
      <c r="BE384" t="s">
        <v>11</v>
      </c>
      <c r="BF384" t="s">
        <v>11</v>
      </c>
      <c r="BG384" t="s">
        <v>11</v>
      </c>
      <c r="BH384" t="s">
        <v>2942</v>
      </c>
      <c r="BI384" t="s">
        <v>2939</v>
      </c>
      <c r="BJ384" t="s">
        <v>2943</v>
      </c>
      <c r="BK384" t="s">
        <v>2944</v>
      </c>
    </row>
    <row r="385" spans="1:63" x14ac:dyDescent="0.3">
      <c r="A385" t="s">
        <v>2945</v>
      </c>
      <c r="B385" t="s">
        <v>95</v>
      </c>
      <c r="C385" t="s">
        <v>2946</v>
      </c>
      <c r="D385" t="s">
        <v>2947</v>
      </c>
      <c r="E385" t="s">
        <v>2932</v>
      </c>
      <c r="F385">
        <v>403</v>
      </c>
      <c r="G385">
        <v>73</v>
      </c>
      <c r="H385">
        <v>9</v>
      </c>
      <c r="I385">
        <v>9</v>
      </c>
      <c r="K385">
        <v>9</v>
      </c>
      <c r="AF385">
        <v>9.2742199999999997</v>
      </c>
      <c r="AI385" t="s">
        <v>0</v>
      </c>
      <c r="AJ385" t="s">
        <v>128</v>
      </c>
      <c r="AK385" t="s">
        <v>252</v>
      </c>
      <c r="AL385" t="s">
        <v>262</v>
      </c>
      <c r="AM385" t="s">
        <v>11</v>
      </c>
      <c r="AN385" t="s">
        <v>11</v>
      </c>
      <c r="AO385" t="s">
        <v>11</v>
      </c>
      <c r="AP385" t="s">
        <v>11</v>
      </c>
      <c r="AQ385" t="s">
        <v>11</v>
      </c>
      <c r="AR385" t="s">
        <v>11</v>
      </c>
      <c r="AS385" t="s">
        <v>11</v>
      </c>
      <c r="AT385" t="s">
        <v>11</v>
      </c>
      <c r="AU385" t="s">
        <v>11</v>
      </c>
      <c r="AV385" t="s">
        <v>11</v>
      </c>
      <c r="AW385" t="s">
        <v>11</v>
      </c>
      <c r="AX385" t="s">
        <v>11</v>
      </c>
      <c r="AY385" t="s">
        <v>11</v>
      </c>
      <c r="AZ385" t="s">
        <v>11</v>
      </c>
      <c r="BA385" t="s">
        <v>11</v>
      </c>
      <c r="BB385" t="s">
        <v>11</v>
      </c>
      <c r="BC385" t="s">
        <v>11</v>
      </c>
      <c r="BD385" t="s">
        <v>11</v>
      </c>
      <c r="BE385" t="s">
        <v>11</v>
      </c>
      <c r="BF385" t="s">
        <v>11</v>
      </c>
      <c r="BG385" t="s">
        <v>11</v>
      </c>
      <c r="BH385" t="s">
        <v>2948</v>
      </c>
      <c r="BI385" t="s">
        <v>2945</v>
      </c>
      <c r="BJ385" t="s">
        <v>2949</v>
      </c>
      <c r="BK385" t="s">
        <v>2950</v>
      </c>
    </row>
    <row r="386" spans="1:63" x14ac:dyDescent="0.3">
      <c r="A386" t="s">
        <v>2951</v>
      </c>
      <c r="B386" t="s">
        <v>95</v>
      </c>
      <c r="C386" t="s">
        <v>2952</v>
      </c>
      <c r="D386" t="s">
        <v>2953</v>
      </c>
      <c r="E386" t="s">
        <v>2932</v>
      </c>
      <c r="F386">
        <v>404</v>
      </c>
      <c r="G386">
        <v>64</v>
      </c>
      <c r="H386">
        <v>18</v>
      </c>
      <c r="I386">
        <v>9</v>
      </c>
      <c r="K386">
        <v>9</v>
      </c>
      <c r="AF386">
        <v>9.2749399999999991</v>
      </c>
      <c r="AI386" t="s">
        <v>0</v>
      </c>
      <c r="AJ386" t="s">
        <v>128</v>
      </c>
      <c r="AK386" t="s">
        <v>252</v>
      </c>
      <c r="AL386" t="s">
        <v>288</v>
      </c>
      <c r="AM386" t="s">
        <v>11</v>
      </c>
      <c r="AN386" t="s">
        <v>11</v>
      </c>
      <c r="AO386" t="s">
        <v>11</v>
      </c>
      <c r="AP386" t="s">
        <v>11</v>
      </c>
      <c r="AQ386" t="s">
        <v>11</v>
      </c>
      <c r="AR386" t="s">
        <v>11</v>
      </c>
      <c r="AS386" t="s">
        <v>11</v>
      </c>
      <c r="AT386" t="s">
        <v>11</v>
      </c>
      <c r="AU386" t="s">
        <v>11</v>
      </c>
      <c r="AV386" t="s">
        <v>11</v>
      </c>
      <c r="AW386" t="s">
        <v>11</v>
      </c>
      <c r="AX386" t="s">
        <v>11</v>
      </c>
      <c r="AY386" t="s">
        <v>11</v>
      </c>
      <c r="AZ386" t="s">
        <v>11</v>
      </c>
      <c r="BA386" t="s">
        <v>11</v>
      </c>
      <c r="BB386" t="s">
        <v>11</v>
      </c>
      <c r="BC386" t="s">
        <v>11</v>
      </c>
      <c r="BD386" t="s">
        <v>11</v>
      </c>
      <c r="BE386" t="s">
        <v>11</v>
      </c>
      <c r="BF386" t="s">
        <v>11</v>
      </c>
      <c r="BG386" t="s">
        <v>11</v>
      </c>
      <c r="BH386" t="s">
        <v>2954</v>
      </c>
      <c r="BI386" t="s">
        <v>2951</v>
      </c>
      <c r="BJ386" t="s">
        <v>2955</v>
      </c>
      <c r="BK386" t="s">
        <v>2956</v>
      </c>
    </row>
    <row r="387" spans="1:63" x14ac:dyDescent="0.3">
      <c r="A387" t="s">
        <v>2957</v>
      </c>
      <c r="B387" t="s">
        <v>160</v>
      </c>
      <c r="C387" t="s">
        <v>2958</v>
      </c>
      <c r="D387" t="s">
        <v>2959</v>
      </c>
      <c r="E387" t="s">
        <v>2932</v>
      </c>
      <c r="F387">
        <v>405</v>
      </c>
      <c r="G387">
        <v>65</v>
      </c>
      <c r="H387">
        <v>9</v>
      </c>
      <c r="I387">
        <v>9</v>
      </c>
      <c r="J387">
        <v>8</v>
      </c>
      <c r="K387">
        <v>9</v>
      </c>
      <c r="AF387">
        <v>9.1374199999999988</v>
      </c>
      <c r="AI387" t="s">
        <v>0</v>
      </c>
      <c r="AJ387" t="s">
        <v>128</v>
      </c>
      <c r="AK387" t="s">
        <v>252</v>
      </c>
      <c r="AL387" t="s">
        <v>262</v>
      </c>
      <c r="AM387" t="s">
        <v>971</v>
      </c>
      <c r="AN387" t="s">
        <v>11</v>
      </c>
      <c r="AO387" t="s">
        <v>11</v>
      </c>
      <c r="AP387" t="s">
        <v>11</v>
      </c>
      <c r="AQ387" t="s">
        <v>11</v>
      </c>
      <c r="AR387" t="s">
        <v>11</v>
      </c>
      <c r="AS387" t="s">
        <v>11</v>
      </c>
      <c r="AT387" t="s">
        <v>11</v>
      </c>
      <c r="AU387" t="s">
        <v>11</v>
      </c>
      <c r="AV387" t="s">
        <v>11</v>
      </c>
      <c r="AW387" t="s">
        <v>11</v>
      </c>
      <c r="AX387" t="s">
        <v>11</v>
      </c>
      <c r="AY387" t="s">
        <v>11</v>
      </c>
      <c r="AZ387" t="s">
        <v>11</v>
      </c>
      <c r="BA387" t="s">
        <v>11</v>
      </c>
      <c r="BB387" t="s">
        <v>11</v>
      </c>
      <c r="BC387" t="s">
        <v>11</v>
      </c>
      <c r="BD387" t="s">
        <v>11</v>
      </c>
      <c r="BE387" t="s">
        <v>11</v>
      </c>
      <c r="BF387" t="s">
        <v>11</v>
      </c>
      <c r="BG387" t="s">
        <v>11</v>
      </c>
      <c r="BH387" t="s">
        <v>2960</v>
      </c>
      <c r="BI387" t="s">
        <v>2957</v>
      </c>
      <c r="BJ387" t="s">
        <v>2961</v>
      </c>
      <c r="BK387" t="s">
        <v>2962</v>
      </c>
    </row>
    <row r="388" spans="1:63" x14ac:dyDescent="0.3">
      <c r="A388" t="s">
        <v>2963</v>
      </c>
      <c r="B388" t="s">
        <v>160</v>
      </c>
      <c r="C388" t="s">
        <v>284</v>
      </c>
      <c r="D388" t="s">
        <v>2964</v>
      </c>
      <c r="E388" t="s">
        <v>2932</v>
      </c>
      <c r="F388">
        <v>406</v>
      </c>
      <c r="G388">
        <v>56</v>
      </c>
      <c r="H388">
        <v>18</v>
      </c>
      <c r="I388">
        <v>9</v>
      </c>
      <c r="J388">
        <v>8</v>
      </c>
      <c r="K388">
        <v>9</v>
      </c>
      <c r="AF388">
        <v>9.1381399999999999</v>
      </c>
      <c r="AI388" t="s">
        <v>0</v>
      </c>
      <c r="AJ388" t="s">
        <v>128</v>
      </c>
      <c r="AK388" t="s">
        <v>252</v>
      </c>
      <c r="AL388" t="s">
        <v>288</v>
      </c>
      <c r="AM388" t="s">
        <v>971</v>
      </c>
      <c r="AN388" t="s">
        <v>11</v>
      </c>
      <c r="AO388" t="s">
        <v>11</v>
      </c>
      <c r="AP388" t="s">
        <v>11</v>
      </c>
      <c r="AQ388" t="s">
        <v>11</v>
      </c>
      <c r="AR388" t="s">
        <v>11</v>
      </c>
      <c r="AS388" t="s">
        <v>11</v>
      </c>
      <c r="AT388" t="s">
        <v>11</v>
      </c>
      <c r="AU388" t="s">
        <v>11</v>
      </c>
      <c r="AV388" t="s">
        <v>11</v>
      </c>
      <c r="AW388" t="s">
        <v>11</v>
      </c>
      <c r="AX388" t="s">
        <v>11</v>
      </c>
      <c r="AY388" t="s">
        <v>11</v>
      </c>
      <c r="AZ388" t="s">
        <v>11</v>
      </c>
      <c r="BA388" t="s">
        <v>11</v>
      </c>
      <c r="BB388" t="s">
        <v>11</v>
      </c>
      <c r="BC388" t="s">
        <v>11</v>
      </c>
      <c r="BD388" t="s">
        <v>11</v>
      </c>
      <c r="BE388" t="s">
        <v>11</v>
      </c>
      <c r="BF388" t="s">
        <v>11</v>
      </c>
      <c r="BG388" t="s">
        <v>11</v>
      </c>
      <c r="BH388" t="s">
        <v>2965</v>
      </c>
      <c r="BI388" t="s">
        <v>2963</v>
      </c>
      <c r="BJ388" t="s">
        <v>2966</v>
      </c>
      <c r="BK388" t="s">
        <v>2967</v>
      </c>
    </row>
    <row r="389" spans="1:63" x14ac:dyDescent="0.3">
      <c r="A389" t="s">
        <v>2968</v>
      </c>
      <c r="B389" t="s">
        <v>95</v>
      </c>
      <c r="C389" t="s">
        <v>357</v>
      </c>
      <c r="D389" t="s">
        <v>2969</v>
      </c>
      <c r="E389" t="s">
        <v>2970</v>
      </c>
      <c r="F389">
        <v>407</v>
      </c>
      <c r="G389">
        <v>82.199999999999989</v>
      </c>
      <c r="I389">
        <v>8.3000000000000007</v>
      </c>
      <c r="K389">
        <v>9.4</v>
      </c>
      <c r="S389">
        <v>0.1</v>
      </c>
      <c r="AF389">
        <v>9.3518599999999985</v>
      </c>
      <c r="AI389" t="s">
        <v>0</v>
      </c>
      <c r="AJ389" t="s">
        <v>147</v>
      </c>
      <c r="AK389" t="s">
        <v>148</v>
      </c>
      <c r="AL389" t="s">
        <v>11</v>
      </c>
      <c r="AM389" t="s">
        <v>11</v>
      </c>
      <c r="AN389" t="s">
        <v>11</v>
      </c>
      <c r="AO389" t="s">
        <v>11</v>
      </c>
      <c r="AP389" t="s">
        <v>11</v>
      </c>
      <c r="AQ389" t="s">
        <v>11</v>
      </c>
      <c r="AR389" t="s">
        <v>11</v>
      </c>
      <c r="AS389" t="s">
        <v>11</v>
      </c>
      <c r="AT389" t="s">
        <v>11</v>
      </c>
      <c r="AU389" t="s">
        <v>1230</v>
      </c>
      <c r="AV389" t="s">
        <v>11</v>
      </c>
      <c r="AW389" t="s">
        <v>11</v>
      </c>
      <c r="AX389" t="s">
        <v>11</v>
      </c>
      <c r="AY389" t="s">
        <v>11</v>
      </c>
      <c r="AZ389" t="s">
        <v>11</v>
      </c>
      <c r="BA389" t="s">
        <v>11</v>
      </c>
      <c r="BB389" t="s">
        <v>11</v>
      </c>
      <c r="BC389" t="s">
        <v>11</v>
      </c>
      <c r="BD389" t="s">
        <v>11</v>
      </c>
      <c r="BE389" t="s">
        <v>11</v>
      </c>
      <c r="BF389" t="s">
        <v>11</v>
      </c>
      <c r="BG389" t="s">
        <v>11</v>
      </c>
      <c r="BH389" t="s">
        <v>2971</v>
      </c>
      <c r="BI389" t="s">
        <v>2968</v>
      </c>
      <c r="BJ389" t="s">
        <v>2972</v>
      </c>
      <c r="BK389" t="s">
        <v>2973</v>
      </c>
    </row>
    <row r="390" spans="1:63" x14ac:dyDescent="0.3">
      <c r="A390" t="s">
        <v>2974</v>
      </c>
      <c r="B390" t="s">
        <v>95</v>
      </c>
      <c r="C390" t="s">
        <v>562</v>
      </c>
      <c r="D390" t="s">
        <v>2975</v>
      </c>
      <c r="E390" t="s">
        <v>2976</v>
      </c>
      <c r="F390">
        <v>408</v>
      </c>
      <c r="G390">
        <v>84</v>
      </c>
      <c r="I390">
        <v>8.5</v>
      </c>
      <c r="K390">
        <v>7.4</v>
      </c>
      <c r="S390">
        <v>0.1</v>
      </c>
      <c r="AF390">
        <v>9.1324600000000018</v>
      </c>
      <c r="AI390" t="s">
        <v>0</v>
      </c>
      <c r="AJ390" t="s">
        <v>335</v>
      </c>
      <c r="AK390" t="s">
        <v>584</v>
      </c>
      <c r="AL390" t="s">
        <v>11</v>
      </c>
      <c r="AM390" t="s">
        <v>11</v>
      </c>
      <c r="AN390" t="s">
        <v>11</v>
      </c>
      <c r="AO390" t="s">
        <v>11</v>
      </c>
      <c r="AP390" t="s">
        <v>11</v>
      </c>
      <c r="AQ390" t="s">
        <v>11</v>
      </c>
      <c r="AR390" t="s">
        <v>11</v>
      </c>
      <c r="AS390" t="s">
        <v>11</v>
      </c>
      <c r="AT390" t="s">
        <v>11</v>
      </c>
      <c r="AU390" t="s">
        <v>1230</v>
      </c>
      <c r="AV390" t="s">
        <v>11</v>
      </c>
      <c r="AW390" t="s">
        <v>11</v>
      </c>
      <c r="AX390" t="s">
        <v>11</v>
      </c>
      <c r="AY390" t="s">
        <v>11</v>
      </c>
      <c r="AZ390" t="s">
        <v>11</v>
      </c>
      <c r="BA390" t="s">
        <v>11</v>
      </c>
      <c r="BB390" t="s">
        <v>11</v>
      </c>
      <c r="BC390" t="s">
        <v>11</v>
      </c>
      <c r="BD390" t="s">
        <v>11</v>
      </c>
      <c r="BE390" t="s">
        <v>11</v>
      </c>
      <c r="BF390" t="s">
        <v>11</v>
      </c>
      <c r="BG390" t="s">
        <v>11</v>
      </c>
      <c r="BH390" t="s">
        <v>2977</v>
      </c>
      <c r="BI390" t="s">
        <v>2974</v>
      </c>
      <c r="BJ390" t="s">
        <v>2978</v>
      </c>
      <c r="BK390" t="s">
        <v>2979</v>
      </c>
    </row>
    <row r="391" spans="1:63" x14ac:dyDescent="0.3">
      <c r="A391" t="s">
        <v>2980</v>
      </c>
      <c r="B391" t="s">
        <v>95</v>
      </c>
      <c r="C391" t="s">
        <v>1897</v>
      </c>
      <c r="D391" t="s">
        <v>2969</v>
      </c>
      <c r="E391" t="s">
        <v>2976</v>
      </c>
      <c r="F391">
        <v>409</v>
      </c>
      <c r="G391">
        <v>82.7</v>
      </c>
      <c r="I391">
        <v>8.5</v>
      </c>
      <c r="K391">
        <v>8.6999999999999993</v>
      </c>
      <c r="S391">
        <v>0.1</v>
      </c>
      <c r="AF391">
        <v>9.2670100000000009</v>
      </c>
      <c r="AI391" t="s">
        <v>0</v>
      </c>
      <c r="AJ391" t="s">
        <v>335</v>
      </c>
      <c r="AK391" t="s">
        <v>626</v>
      </c>
      <c r="AL391" t="s">
        <v>11</v>
      </c>
      <c r="AM391" t="s">
        <v>11</v>
      </c>
      <c r="AN391" t="s">
        <v>11</v>
      </c>
      <c r="AO391" t="s">
        <v>11</v>
      </c>
      <c r="AP391" t="s">
        <v>11</v>
      </c>
      <c r="AQ391" t="s">
        <v>11</v>
      </c>
      <c r="AR391" t="s">
        <v>11</v>
      </c>
      <c r="AS391" t="s">
        <v>11</v>
      </c>
      <c r="AT391" t="s">
        <v>11</v>
      </c>
      <c r="AU391" t="s">
        <v>1230</v>
      </c>
      <c r="AV391" t="s">
        <v>11</v>
      </c>
      <c r="AW391" t="s">
        <v>11</v>
      </c>
      <c r="AX391" t="s">
        <v>11</v>
      </c>
      <c r="AY391" t="s">
        <v>11</v>
      </c>
      <c r="AZ391" t="s">
        <v>11</v>
      </c>
      <c r="BA391" t="s">
        <v>11</v>
      </c>
      <c r="BB391" t="s">
        <v>11</v>
      </c>
      <c r="BC391" t="s">
        <v>11</v>
      </c>
      <c r="BD391" t="s">
        <v>11</v>
      </c>
      <c r="BE391" t="s">
        <v>11</v>
      </c>
      <c r="BF391" t="s">
        <v>11</v>
      </c>
      <c r="BG391" t="s">
        <v>11</v>
      </c>
      <c r="BH391" t="s">
        <v>2981</v>
      </c>
      <c r="BI391" t="s">
        <v>2980</v>
      </c>
      <c r="BJ391" t="s">
        <v>2982</v>
      </c>
      <c r="BK391" t="s">
        <v>2983</v>
      </c>
    </row>
    <row r="392" spans="1:63" x14ac:dyDescent="0.3">
      <c r="A392" t="s">
        <v>2984</v>
      </c>
      <c r="B392" t="s">
        <v>95</v>
      </c>
      <c r="C392" t="s">
        <v>349</v>
      </c>
      <c r="D392" t="s">
        <v>2985</v>
      </c>
      <c r="E392" t="s">
        <v>2976</v>
      </c>
      <c r="F392">
        <v>410</v>
      </c>
      <c r="G392">
        <v>80.699999999999989</v>
      </c>
      <c r="I392">
        <v>8.9</v>
      </c>
      <c r="K392">
        <v>10.3</v>
      </c>
      <c r="S392">
        <v>0.1</v>
      </c>
      <c r="AF392">
        <v>9.4078099999999978</v>
      </c>
      <c r="AI392" t="s">
        <v>0</v>
      </c>
      <c r="AJ392" t="s">
        <v>326</v>
      </c>
      <c r="AK392" t="s">
        <v>119</v>
      </c>
      <c r="AL392" t="s">
        <v>11</v>
      </c>
      <c r="AM392" t="s">
        <v>11</v>
      </c>
      <c r="AN392" t="s">
        <v>11</v>
      </c>
      <c r="AO392" t="s">
        <v>11</v>
      </c>
      <c r="AP392" t="s">
        <v>11</v>
      </c>
      <c r="AQ392" t="s">
        <v>11</v>
      </c>
      <c r="AR392" t="s">
        <v>11</v>
      </c>
      <c r="AS392" t="s">
        <v>11</v>
      </c>
      <c r="AT392" t="s">
        <v>11</v>
      </c>
      <c r="AU392" t="s">
        <v>1230</v>
      </c>
      <c r="AV392" t="s">
        <v>11</v>
      </c>
      <c r="AW392" t="s">
        <v>11</v>
      </c>
      <c r="AX392" t="s">
        <v>11</v>
      </c>
      <c r="AY392" t="s">
        <v>11</v>
      </c>
      <c r="AZ392" t="s">
        <v>11</v>
      </c>
      <c r="BA392" t="s">
        <v>11</v>
      </c>
      <c r="BB392" t="s">
        <v>11</v>
      </c>
      <c r="BC392" t="s">
        <v>11</v>
      </c>
      <c r="BD392" t="s">
        <v>11</v>
      </c>
      <c r="BE392" t="s">
        <v>11</v>
      </c>
      <c r="BF392" t="s">
        <v>11</v>
      </c>
      <c r="BG392" t="s">
        <v>11</v>
      </c>
      <c r="BH392" t="s">
        <v>2986</v>
      </c>
      <c r="BI392" t="s">
        <v>2984</v>
      </c>
      <c r="BJ392" t="s">
        <v>2987</v>
      </c>
      <c r="BK392" t="s">
        <v>2988</v>
      </c>
    </row>
    <row r="393" spans="1:63" x14ac:dyDescent="0.3">
      <c r="A393" t="s">
        <v>2989</v>
      </c>
      <c r="B393" t="s">
        <v>5</v>
      </c>
      <c r="C393" t="s">
        <v>2990</v>
      </c>
      <c r="D393" t="s">
        <v>2991</v>
      </c>
      <c r="E393" t="s">
        <v>2992</v>
      </c>
      <c r="F393">
        <v>411</v>
      </c>
      <c r="G393">
        <v>84</v>
      </c>
      <c r="L393">
        <v>2</v>
      </c>
      <c r="M393">
        <v>2</v>
      </c>
      <c r="O393">
        <v>12</v>
      </c>
      <c r="AF393">
        <v>8.632340000000001</v>
      </c>
      <c r="AI393" t="s">
        <v>0</v>
      </c>
      <c r="AJ393" t="s">
        <v>11</v>
      </c>
      <c r="AK393" t="s">
        <v>11</v>
      </c>
      <c r="AL393" t="s">
        <v>11</v>
      </c>
      <c r="AM393" t="s">
        <v>11</v>
      </c>
      <c r="AN393" t="s">
        <v>24</v>
      </c>
      <c r="AO393" t="s">
        <v>11</v>
      </c>
      <c r="AP393" t="s">
        <v>820</v>
      </c>
      <c r="AQ393" t="s">
        <v>25</v>
      </c>
      <c r="AR393" t="s">
        <v>11</v>
      </c>
      <c r="AS393" t="s">
        <v>11</v>
      </c>
      <c r="AT393" t="s">
        <v>11</v>
      </c>
      <c r="AU393" t="s">
        <v>11</v>
      </c>
      <c r="AV393" t="s">
        <v>11</v>
      </c>
      <c r="AW393" t="s">
        <v>11</v>
      </c>
      <c r="AX393" t="s">
        <v>11</v>
      </c>
      <c r="AY393" t="s">
        <v>11</v>
      </c>
      <c r="AZ393" t="s">
        <v>11</v>
      </c>
      <c r="BA393" t="s">
        <v>11</v>
      </c>
      <c r="BB393" t="s">
        <v>11</v>
      </c>
      <c r="BC393" t="s">
        <v>11</v>
      </c>
      <c r="BD393" t="s">
        <v>11</v>
      </c>
      <c r="BE393" t="s">
        <v>11</v>
      </c>
      <c r="BF393" t="s">
        <v>11</v>
      </c>
      <c r="BG393" t="s">
        <v>11</v>
      </c>
      <c r="BH393" t="s">
        <v>2993</v>
      </c>
      <c r="BI393" t="s">
        <v>2989</v>
      </c>
      <c r="BJ393" t="s">
        <v>2994</v>
      </c>
      <c r="BK393" t="s">
        <v>2995</v>
      </c>
    </row>
    <row r="394" spans="1:63" x14ac:dyDescent="0.3">
      <c r="A394" t="s">
        <v>2996</v>
      </c>
      <c r="B394" t="s">
        <v>514</v>
      </c>
      <c r="C394" t="s">
        <v>2997</v>
      </c>
      <c r="D394" t="s">
        <v>2998</v>
      </c>
      <c r="E394" t="s">
        <v>2999</v>
      </c>
      <c r="F394">
        <v>412</v>
      </c>
      <c r="G394">
        <v>49.82</v>
      </c>
      <c r="H394">
        <v>30.83</v>
      </c>
      <c r="I394">
        <v>9.16</v>
      </c>
      <c r="K394">
        <v>5.09</v>
      </c>
      <c r="L394">
        <v>4.0999999999999996</v>
      </c>
      <c r="M394">
        <v>1</v>
      </c>
      <c r="AF394">
        <v>8.7587484</v>
      </c>
      <c r="AG394">
        <v>9.0299999999999994</v>
      </c>
      <c r="AH394" t="s">
        <v>1657</v>
      </c>
      <c r="AI394" t="s">
        <v>0</v>
      </c>
      <c r="AJ394" t="s">
        <v>717</v>
      </c>
      <c r="AK394" t="s">
        <v>1247</v>
      </c>
      <c r="AL394" t="s">
        <v>1451</v>
      </c>
      <c r="AM394" t="s">
        <v>11</v>
      </c>
      <c r="AN394" t="s">
        <v>471</v>
      </c>
      <c r="AO394" t="s">
        <v>11</v>
      </c>
      <c r="AP394" t="s">
        <v>11</v>
      </c>
      <c r="AQ394" t="s">
        <v>540</v>
      </c>
      <c r="AR394" t="s">
        <v>11</v>
      </c>
      <c r="AS394" t="s">
        <v>11</v>
      </c>
      <c r="AT394" t="s">
        <v>11</v>
      </c>
      <c r="AU394" t="s">
        <v>11</v>
      </c>
      <c r="AV394" t="s">
        <v>11</v>
      </c>
      <c r="AW394" t="s">
        <v>11</v>
      </c>
      <c r="AX394" t="s">
        <v>11</v>
      </c>
      <c r="AY394" t="s">
        <v>11</v>
      </c>
      <c r="AZ394" t="s">
        <v>11</v>
      </c>
      <c r="BA394" t="s">
        <v>11</v>
      </c>
      <c r="BB394" t="s">
        <v>11</v>
      </c>
      <c r="BC394" t="s">
        <v>11</v>
      </c>
      <c r="BD394" t="s">
        <v>11</v>
      </c>
      <c r="BE394" t="s">
        <v>11</v>
      </c>
      <c r="BF394" t="s">
        <v>11</v>
      </c>
      <c r="BG394" t="s">
        <v>11</v>
      </c>
      <c r="BH394" t="s">
        <v>3000</v>
      </c>
      <c r="BI394" t="s">
        <v>2996</v>
      </c>
      <c r="BJ394" t="s">
        <v>3001</v>
      </c>
      <c r="BK394" t="s">
        <v>3002</v>
      </c>
    </row>
    <row r="395" spans="1:63" x14ac:dyDescent="0.3">
      <c r="A395" t="s">
        <v>3003</v>
      </c>
      <c r="B395" t="s">
        <v>514</v>
      </c>
      <c r="C395" t="s">
        <v>3004</v>
      </c>
      <c r="D395" t="s">
        <v>3005</v>
      </c>
      <c r="E395" t="s">
        <v>3006</v>
      </c>
      <c r="F395">
        <v>413</v>
      </c>
      <c r="G395">
        <v>72.960000000000008</v>
      </c>
      <c r="H395">
        <v>10</v>
      </c>
      <c r="I395">
        <v>5</v>
      </c>
      <c r="L395">
        <v>6</v>
      </c>
      <c r="N395">
        <v>3</v>
      </c>
      <c r="O395">
        <v>3</v>
      </c>
      <c r="S395">
        <v>0.04</v>
      </c>
      <c r="AF395">
        <v>8.2310440000000025</v>
      </c>
      <c r="AI395" t="s">
        <v>0</v>
      </c>
      <c r="AJ395" t="s">
        <v>735</v>
      </c>
      <c r="AK395" t="s">
        <v>11</v>
      </c>
      <c r="AL395" t="s">
        <v>520</v>
      </c>
      <c r="AM395" t="s">
        <v>11</v>
      </c>
      <c r="AN395" t="s">
        <v>11</v>
      </c>
      <c r="AO395" t="s">
        <v>1294</v>
      </c>
      <c r="AP395" t="s">
        <v>2300</v>
      </c>
      <c r="AQ395" t="s">
        <v>3007</v>
      </c>
      <c r="AR395" t="s">
        <v>11</v>
      </c>
      <c r="AS395" t="s">
        <v>11</v>
      </c>
      <c r="AT395" t="s">
        <v>11</v>
      </c>
      <c r="AU395" t="s">
        <v>344</v>
      </c>
      <c r="AV395" t="s">
        <v>11</v>
      </c>
      <c r="AW395" t="s">
        <v>11</v>
      </c>
      <c r="AX395" t="s">
        <v>11</v>
      </c>
      <c r="AY395" t="s">
        <v>11</v>
      </c>
      <c r="AZ395" t="s">
        <v>11</v>
      </c>
      <c r="BA395" t="s">
        <v>11</v>
      </c>
      <c r="BB395" t="s">
        <v>11</v>
      </c>
      <c r="BC395" t="s">
        <v>11</v>
      </c>
      <c r="BD395" t="s">
        <v>11</v>
      </c>
      <c r="BE395" t="s">
        <v>11</v>
      </c>
      <c r="BF395" t="s">
        <v>11</v>
      </c>
      <c r="BG395" t="s">
        <v>11</v>
      </c>
      <c r="BH395" t="s">
        <v>3008</v>
      </c>
      <c r="BI395" t="s">
        <v>3003</v>
      </c>
      <c r="BJ395" t="s">
        <v>3009</v>
      </c>
      <c r="BK395" t="s">
        <v>3010</v>
      </c>
    </row>
    <row r="396" spans="1:63" x14ac:dyDescent="0.3">
      <c r="A396" t="s">
        <v>3011</v>
      </c>
      <c r="B396" t="s">
        <v>514</v>
      </c>
      <c r="C396" t="s">
        <v>3012</v>
      </c>
      <c r="D396" t="s">
        <v>3013</v>
      </c>
      <c r="E396" t="s">
        <v>3006</v>
      </c>
      <c r="F396">
        <v>414</v>
      </c>
      <c r="G396">
        <v>68.960000000000008</v>
      </c>
      <c r="H396">
        <v>10</v>
      </c>
      <c r="I396">
        <v>5</v>
      </c>
      <c r="J396">
        <v>4</v>
      </c>
      <c r="L396">
        <v>6</v>
      </c>
      <c r="N396">
        <v>3</v>
      </c>
      <c r="O396">
        <v>3</v>
      </c>
      <c r="S396">
        <v>0.04</v>
      </c>
      <c r="AF396">
        <v>8.162644000000002</v>
      </c>
      <c r="AI396" t="s">
        <v>0</v>
      </c>
      <c r="AJ396" t="s">
        <v>735</v>
      </c>
      <c r="AK396" t="s">
        <v>11</v>
      </c>
      <c r="AL396" t="s">
        <v>520</v>
      </c>
      <c r="AM396" t="s">
        <v>963</v>
      </c>
      <c r="AN396" t="s">
        <v>11</v>
      </c>
      <c r="AO396" t="s">
        <v>1294</v>
      </c>
      <c r="AP396" t="s">
        <v>2300</v>
      </c>
      <c r="AQ396" t="s">
        <v>3007</v>
      </c>
      <c r="AR396" t="s">
        <v>11</v>
      </c>
      <c r="AS396" t="s">
        <v>11</v>
      </c>
      <c r="AT396" t="s">
        <v>11</v>
      </c>
      <c r="AU396" t="s">
        <v>344</v>
      </c>
      <c r="AV396" t="s">
        <v>11</v>
      </c>
      <c r="AW396" t="s">
        <v>11</v>
      </c>
      <c r="AX396" t="s">
        <v>11</v>
      </c>
      <c r="AY396" t="s">
        <v>11</v>
      </c>
      <c r="AZ396" t="s">
        <v>11</v>
      </c>
      <c r="BA396" t="s">
        <v>11</v>
      </c>
      <c r="BB396" t="s">
        <v>11</v>
      </c>
      <c r="BC396" t="s">
        <v>11</v>
      </c>
      <c r="BD396" t="s">
        <v>11</v>
      </c>
      <c r="BE396" t="s">
        <v>11</v>
      </c>
      <c r="BF396" t="s">
        <v>11</v>
      </c>
      <c r="BG396" t="s">
        <v>11</v>
      </c>
      <c r="BH396" t="s">
        <v>3014</v>
      </c>
      <c r="BI396" t="s">
        <v>3011</v>
      </c>
      <c r="BJ396" t="s">
        <v>3015</v>
      </c>
      <c r="BK396" t="s">
        <v>3016</v>
      </c>
    </row>
    <row r="397" spans="1:63" x14ac:dyDescent="0.3">
      <c r="A397" t="s">
        <v>3017</v>
      </c>
      <c r="B397" t="s">
        <v>5</v>
      </c>
      <c r="C397" t="s">
        <v>3018</v>
      </c>
      <c r="D397" t="s">
        <v>3019</v>
      </c>
      <c r="E397" t="s">
        <v>3006</v>
      </c>
      <c r="F397">
        <v>415</v>
      </c>
      <c r="G397">
        <v>68.960000000000008</v>
      </c>
      <c r="H397">
        <v>10</v>
      </c>
      <c r="I397">
        <v>5</v>
      </c>
      <c r="J397">
        <v>8</v>
      </c>
      <c r="L397">
        <v>2</v>
      </c>
      <c r="N397">
        <v>3</v>
      </c>
      <c r="O397">
        <v>3</v>
      </c>
      <c r="S397">
        <v>0.04</v>
      </c>
      <c r="AF397">
        <v>8.2699640000000016</v>
      </c>
      <c r="AI397" t="s">
        <v>0</v>
      </c>
      <c r="AJ397" t="s">
        <v>735</v>
      </c>
      <c r="AK397" t="s">
        <v>11</v>
      </c>
      <c r="AL397" t="s">
        <v>520</v>
      </c>
      <c r="AM397" t="s">
        <v>971</v>
      </c>
      <c r="AN397" t="s">
        <v>11</v>
      </c>
      <c r="AO397" t="s">
        <v>1294</v>
      </c>
      <c r="AP397" t="s">
        <v>2300</v>
      </c>
      <c r="AQ397" t="s">
        <v>25</v>
      </c>
      <c r="AR397" t="s">
        <v>11</v>
      </c>
      <c r="AS397" t="s">
        <v>11</v>
      </c>
      <c r="AT397" t="s">
        <v>11</v>
      </c>
      <c r="AU397" t="s">
        <v>344</v>
      </c>
      <c r="AV397" t="s">
        <v>11</v>
      </c>
      <c r="AW397" t="s">
        <v>11</v>
      </c>
      <c r="AX397" t="s">
        <v>11</v>
      </c>
      <c r="AY397" t="s">
        <v>11</v>
      </c>
      <c r="AZ397" t="s">
        <v>11</v>
      </c>
      <c r="BA397" t="s">
        <v>11</v>
      </c>
      <c r="BB397" t="s">
        <v>11</v>
      </c>
      <c r="BC397" t="s">
        <v>11</v>
      </c>
      <c r="BD397" t="s">
        <v>11</v>
      </c>
      <c r="BE397" t="s">
        <v>11</v>
      </c>
      <c r="BF397" t="s">
        <v>11</v>
      </c>
      <c r="BG397" t="s">
        <v>11</v>
      </c>
      <c r="BH397" t="s">
        <v>3020</v>
      </c>
      <c r="BI397" t="s">
        <v>3017</v>
      </c>
      <c r="BJ397" t="s">
        <v>3021</v>
      </c>
      <c r="BK397" t="s">
        <v>3022</v>
      </c>
    </row>
    <row r="398" spans="1:63" x14ac:dyDescent="0.3">
      <c r="A398" t="s">
        <v>3023</v>
      </c>
      <c r="B398" t="s">
        <v>5</v>
      </c>
      <c r="C398" t="s">
        <v>3024</v>
      </c>
      <c r="D398" t="s">
        <v>3025</v>
      </c>
      <c r="E398" t="s">
        <v>3026</v>
      </c>
      <c r="F398">
        <v>416</v>
      </c>
      <c r="G398">
        <v>88</v>
      </c>
      <c r="M398">
        <v>6</v>
      </c>
      <c r="O398">
        <v>6</v>
      </c>
      <c r="AF398">
        <v>9.1975999999999996</v>
      </c>
      <c r="AI398" t="s">
        <v>0</v>
      </c>
      <c r="AJ398" t="s">
        <v>11</v>
      </c>
      <c r="AK398" t="s">
        <v>11</v>
      </c>
      <c r="AL398" t="s">
        <v>11</v>
      </c>
      <c r="AM398" t="s">
        <v>11</v>
      </c>
      <c r="AN398" t="s">
        <v>918</v>
      </c>
      <c r="AO398" t="s">
        <v>11</v>
      </c>
      <c r="AP398" t="s">
        <v>2868</v>
      </c>
      <c r="AQ398" t="s">
        <v>11</v>
      </c>
      <c r="AR398" t="s">
        <v>11</v>
      </c>
      <c r="AS398" t="s">
        <v>11</v>
      </c>
      <c r="AT398" t="s">
        <v>11</v>
      </c>
      <c r="AU398" t="s">
        <v>11</v>
      </c>
      <c r="AV398" t="s">
        <v>11</v>
      </c>
      <c r="AW398" t="s">
        <v>11</v>
      </c>
      <c r="AX398" t="s">
        <v>11</v>
      </c>
      <c r="AY398" t="s">
        <v>11</v>
      </c>
      <c r="AZ398" t="s">
        <v>11</v>
      </c>
      <c r="BA398" t="s">
        <v>11</v>
      </c>
      <c r="BB398" t="s">
        <v>11</v>
      </c>
      <c r="BC398" t="s">
        <v>11</v>
      </c>
      <c r="BD398" t="s">
        <v>11</v>
      </c>
      <c r="BE398" t="s">
        <v>11</v>
      </c>
      <c r="BF398" t="s">
        <v>11</v>
      </c>
      <c r="BG398" t="s">
        <v>11</v>
      </c>
      <c r="BH398" t="s">
        <v>3027</v>
      </c>
      <c r="BI398" t="s">
        <v>3023</v>
      </c>
      <c r="BJ398" t="s">
        <v>3028</v>
      </c>
      <c r="BK398" t="s">
        <v>3029</v>
      </c>
    </row>
    <row r="399" spans="1:63" x14ac:dyDescent="0.3">
      <c r="A399" t="s">
        <v>3030</v>
      </c>
      <c r="B399" t="s">
        <v>5</v>
      </c>
      <c r="C399" t="s">
        <v>3031</v>
      </c>
      <c r="D399" t="s">
        <v>3030</v>
      </c>
      <c r="E399" t="s">
        <v>3026</v>
      </c>
      <c r="F399">
        <v>417</v>
      </c>
      <c r="G399">
        <v>88</v>
      </c>
      <c r="M399">
        <v>5.4</v>
      </c>
      <c r="O399">
        <v>6.6</v>
      </c>
      <c r="AF399">
        <v>9.1343600000000009</v>
      </c>
      <c r="AI399" t="s">
        <v>0</v>
      </c>
      <c r="AJ399" t="s">
        <v>11</v>
      </c>
      <c r="AK399" t="s">
        <v>11</v>
      </c>
      <c r="AL399" t="s">
        <v>11</v>
      </c>
      <c r="AM399" t="s">
        <v>11</v>
      </c>
      <c r="AN399" t="s">
        <v>3032</v>
      </c>
      <c r="AO399" t="s">
        <v>11</v>
      </c>
      <c r="AP399" t="s">
        <v>3033</v>
      </c>
      <c r="AQ399" t="s">
        <v>11</v>
      </c>
      <c r="AR399" t="s">
        <v>11</v>
      </c>
      <c r="AS399" t="s">
        <v>11</v>
      </c>
      <c r="AT399" t="s">
        <v>11</v>
      </c>
      <c r="AU399" t="s">
        <v>11</v>
      </c>
      <c r="AV399" t="s">
        <v>11</v>
      </c>
      <c r="AW399" t="s">
        <v>11</v>
      </c>
      <c r="AX399" t="s">
        <v>11</v>
      </c>
      <c r="AY399" t="s">
        <v>11</v>
      </c>
      <c r="AZ399" t="s">
        <v>11</v>
      </c>
      <c r="BA399" t="s">
        <v>11</v>
      </c>
      <c r="BB399" t="s">
        <v>11</v>
      </c>
      <c r="BC399" t="s">
        <v>11</v>
      </c>
      <c r="BD399" t="s">
        <v>11</v>
      </c>
      <c r="BE399" t="s">
        <v>11</v>
      </c>
      <c r="BF399" t="s">
        <v>11</v>
      </c>
      <c r="BG399" t="s">
        <v>11</v>
      </c>
      <c r="BH399" t="s">
        <v>3034</v>
      </c>
      <c r="BI399" t="s">
        <v>3030</v>
      </c>
      <c r="BJ399" t="s">
        <v>3035</v>
      </c>
      <c r="BK399" t="s">
        <v>3036</v>
      </c>
    </row>
    <row r="400" spans="1:63" x14ac:dyDescent="0.3">
      <c r="A400" t="s">
        <v>3030</v>
      </c>
      <c r="B400" t="s">
        <v>5</v>
      </c>
      <c r="C400" t="s">
        <v>3031</v>
      </c>
      <c r="D400" t="s">
        <v>3037</v>
      </c>
      <c r="E400" t="s">
        <v>3026</v>
      </c>
      <c r="F400">
        <v>418</v>
      </c>
      <c r="G400">
        <v>88.07</v>
      </c>
      <c r="M400">
        <v>5.38</v>
      </c>
      <c r="O400">
        <v>6.55</v>
      </c>
      <c r="AF400">
        <v>9.1342049999999997</v>
      </c>
      <c r="AI400" t="s">
        <v>0</v>
      </c>
      <c r="AJ400" t="s">
        <v>11</v>
      </c>
      <c r="AK400" t="s">
        <v>11</v>
      </c>
      <c r="AL400" t="s">
        <v>11</v>
      </c>
      <c r="AM400" t="s">
        <v>11</v>
      </c>
      <c r="AN400" t="s">
        <v>3032</v>
      </c>
      <c r="AO400" t="s">
        <v>11</v>
      </c>
      <c r="AP400" t="s">
        <v>3033</v>
      </c>
      <c r="AQ400" t="s">
        <v>11</v>
      </c>
      <c r="AR400" t="s">
        <v>11</v>
      </c>
      <c r="AS400" t="s">
        <v>11</v>
      </c>
      <c r="AT400" t="s">
        <v>11</v>
      </c>
      <c r="AU400" t="s">
        <v>11</v>
      </c>
      <c r="AV400" t="s">
        <v>11</v>
      </c>
      <c r="AW400" t="s">
        <v>11</v>
      </c>
      <c r="AX400" t="s">
        <v>11</v>
      </c>
      <c r="AY400" t="s">
        <v>11</v>
      </c>
      <c r="AZ400" t="s">
        <v>11</v>
      </c>
      <c r="BA400" t="s">
        <v>11</v>
      </c>
      <c r="BB400" t="s">
        <v>11</v>
      </c>
      <c r="BC400" t="s">
        <v>11</v>
      </c>
      <c r="BD400" t="s">
        <v>11</v>
      </c>
      <c r="BE400" t="s">
        <v>11</v>
      </c>
      <c r="BF400" t="s">
        <v>11</v>
      </c>
      <c r="BG400" t="s">
        <v>11</v>
      </c>
      <c r="BH400" t="s">
        <v>3038</v>
      </c>
      <c r="BI400" t="s">
        <v>3030</v>
      </c>
      <c r="BJ400" t="s">
        <v>3039</v>
      </c>
      <c r="BK400" t="s">
        <v>3036</v>
      </c>
    </row>
    <row r="401" spans="1:63" x14ac:dyDescent="0.3">
      <c r="A401" t="s">
        <v>3040</v>
      </c>
      <c r="B401" t="s">
        <v>5</v>
      </c>
      <c r="C401" t="s">
        <v>3041</v>
      </c>
      <c r="D401" t="s">
        <v>3042</v>
      </c>
      <c r="E401" t="s">
        <v>3026</v>
      </c>
      <c r="F401">
        <v>419</v>
      </c>
      <c r="G401">
        <v>88</v>
      </c>
      <c r="N401">
        <v>6</v>
      </c>
      <c r="O401">
        <v>6</v>
      </c>
      <c r="AF401">
        <v>8.7127999999999997</v>
      </c>
      <c r="AI401" t="s">
        <v>0</v>
      </c>
      <c r="AJ401" t="s">
        <v>11</v>
      </c>
      <c r="AK401" t="s">
        <v>11</v>
      </c>
      <c r="AL401" t="s">
        <v>11</v>
      </c>
      <c r="AM401" t="s">
        <v>11</v>
      </c>
      <c r="AN401" t="s">
        <v>11</v>
      </c>
      <c r="AO401" t="s">
        <v>3043</v>
      </c>
      <c r="AP401" t="s">
        <v>2868</v>
      </c>
      <c r="AQ401" t="s">
        <v>11</v>
      </c>
      <c r="AR401" t="s">
        <v>11</v>
      </c>
      <c r="AS401" t="s">
        <v>11</v>
      </c>
      <c r="AT401" t="s">
        <v>11</v>
      </c>
      <c r="AU401" t="s">
        <v>11</v>
      </c>
      <c r="AV401" t="s">
        <v>11</v>
      </c>
      <c r="AW401" t="s">
        <v>11</v>
      </c>
      <c r="AX401" t="s">
        <v>11</v>
      </c>
      <c r="AY401" t="s">
        <v>11</v>
      </c>
      <c r="AZ401" t="s">
        <v>11</v>
      </c>
      <c r="BA401" t="s">
        <v>11</v>
      </c>
      <c r="BB401" t="s">
        <v>11</v>
      </c>
      <c r="BC401" t="s">
        <v>11</v>
      </c>
      <c r="BD401" t="s">
        <v>11</v>
      </c>
      <c r="BE401" t="s">
        <v>11</v>
      </c>
      <c r="BF401" t="s">
        <v>11</v>
      </c>
      <c r="BG401" t="s">
        <v>11</v>
      </c>
      <c r="BH401" t="s">
        <v>3044</v>
      </c>
      <c r="BI401" t="s">
        <v>3040</v>
      </c>
      <c r="BJ401" t="s">
        <v>3045</v>
      </c>
      <c r="BK401" t="s">
        <v>3046</v>
      </c>
    </row>
    <row r="402" spans="1:63" x14ac:dyDescent="0.3">
      <c r="A402" t="s">
        <v>3047</v>
      </c>
      <c r="B402" t="s">
        <v>5</v>
      </c>
      <c r="C402" t="s">
        <v>3048</v>
      </c>
      <c r="D402" t="s">
        <v>3049</v>
      </c>
      <c r="E402" t="s">
        <v>3050</v>
      </c>
      <c r="F402">
        <v>420</v>
      </c>
      <c r="G402">
        <v>76.960000000000008</v>
      </c>
      <c r="H402">
        <v>10</v>
      </c>
      <c r="I402">
        <v>5</v>
      </c>
      <c r="L402">
        <v>2</v>
      </c>
      <c r="M402">
        <v>3</v>
      </c>
      <c r="O402">
        <v>3</v>
      </c>
      <c r="S402">
        <v>0.04</v>
      </c>
      <c r="AF402">
        <v>8.6491640000000025</v>
      </c>
      <c r="AI402" t="s">
        <v>0</v>
      </c>
      <c r="AJ402" t="s">
        <v>735</v>
      </c>
      <c r="AK402" t="s">
        <v>11</v>
      </c>
      <c r="AL402" t="s">
        <v>520</v>
      </c>
      <c r="AM402" t="s">
        <v>11</v>
      </c>
      <c r="AN402" t="s">
        <v>1285</v>
      </c>
      <c r="AO402" t="s">
        <v>11</v>
      </c>
      <c r="AP402" t="s">
        <v>2300</v>
      </c>
      <c r="AQ402" t="s">
        <v>25</v>
      </c>
      <c r="AR402" t="s">
        <v>11</v>
      </c>
      <c r="AS402" t="s">
        <v>11</v>
      </c>
      <c r="AT402" t="s">
        <v>11</v>
      </c>
      <c r="AU402" t="s">
        <v>344</v>
      </c>
      <c r="AV402" t="s">
        <v>11</v>
      </c>
      <c r="AW402" t="s">
        <v>11</v>
      </c>
      <c r="AX402" t="s">
        <v>11</v>
      </c>
      <c r="AY402" t="s">
        <v>11</v>
      </c>
      <c r="AZ402" t="s">
        <v>11</v>
      </c>
      <c r="BA402" t="s">
        <v>11</v>
      </c>
      <c r="BB402" t="s">
        <v>11</v>
      </c>
      <c r="BC402" t="s">
        <v>11</v>
      </c>
      <c r="BD402" t="s">
        <v>11</v>
      </c>
      <c r="BE402" t="s">
        <v>11</v>
      </c>
      <c r="BF402" t="s">
        <v>11</v>
      </c>
      <c r="BG402" t="s">
        <v>11</v>
      </c>
      <c r="BH402" t="s">
        <v>3051</v>
      </c>
      <c r="BI402" t="s">
        <v>3047</v>
      </c>
      <c r="BJ402" t="s">
        <v>3052</v>
      </c>
      <c r="BK402" t="s">
        <v>3053</v>
      </c>
    </row>
    <row r="403" spans="1:63" x14ac:dyDescent="0.3">
      <c r="A403" t="s">
        <v>3054</v>
      </c>
      <c r="B403" t="s">
        <v>5</v>
      </c>
      <c r="C403" t="s">
        <v>3055</v>
      </c>
      <c r="D403" t="s">
        <v>3056</v>
      </c>
      <c r="E403" t="s">
        <v>3050</v>
      </c>
      <c r="F403">
        <v>421</v>
      </c>
      <c r="G403">
        <v>72.960000000000008</v>
      </c>
      <c r="H403">
        <v>10</v>
      </c>
      <c r="I403">
        <v>5</v>
      </c>
      <c r="J403">
        <v>4</v>
      </c>
      <c r="L403">
        <v>2</v>
      </c>
      <c r="M403">
        <v>3</v>
      </c>
      <c r="O403">
        <v>3</v>
      </c>
      <c r="S403">
        <v>0.04</v>
      </c>
      <c r="AF403">
        <v>8.5807640000000021</v>
      </c>
      <c r="AI403" t="s">
        <v>0</v>
      </c>
      <c r="AJ403" t="s">
        <v>735</v>
      </c>
      <c r="AK403" t="s">
        <v>11</v>
      </c>
      <c r="AL403" t="s">
        <v>520</v>
      </c>
      <c r="AM403" t="s">
        <v>963</v>
      </c>
      <c r="AN403" t="s">
        <v>1285</v>
      </c>
      <c r="AO403" t="s">
        <v>11</v>
      </c>
      <c r="AP403" t="s">
        <v>2300</v>
      </c>
      <c r="AQ403" t="s">
        <v>25</v>
      </c>
      <c r="AR403" t="s">
        <v>11</v>
      </c>
      <c r="AS403" t="s">
        <v>11</v>
      </c>
      <c r="AT403" t="s">
        <v>11</v>
      </c>
      <c r="AU403" t="s">
        <v>344</v>
      </c>
      <c r="AV403" t="s">
        <v>11</v>
      </c>
      <c r="AW403" t="s">
        <v>11</v>
      </c>
      <c r="AX403" t="s">
        <v>11</v>
      </c>
      <c r="AY403" t="s">
        <v>11</v>
      </c>
      <c r="AZ403" t="s">
        <v>11</v>
      </c>
      <c r="BA403" t="s">
        <v>11</v>
      </c>
      <c r="BB403" t="s">
        <v>11</v>
      </c>
      <c r="BC403" t="s">
        <v>11</v>
      </c>
      <c r="BD403" t="s">
        <v>11</v>
      </c>
      <c r="BE403" t="s">
        <v>11</v>
      </c>
      <c r="BF403" t="s">
        <v>11</v>
      </c>
      <c r="BG403" t="s">
        <v>11</v>
      </c>
      <c r="BH403" t="s">
        <v>3057</v>
      </c>
      <c r="BI403" t="s">
        <v>3054</v>
      </c>
      <c r="BJ403" t="s">
        <v>3058</v>
      </c>
      <c r="BK403" t="s">
        <v>3059</v>
      </c>
    </row>
    <row r="404" spans="1:63" x14ac:dyDescent="0.3">
      <c r="A404" t="s">
        <v>3060</v>
      </c>
      <c r="B404" t="s">
        <v>5</v>
      </c>
      <c r="C404" t="s">
        <v>3061</v>
      </c>
      <c r="D404" t="s">
        <v>3062</v>
      </c>
      <c r="E404" t="s">
        <v>3050</v>
      </c>
      <c r="F404">
        <v>422</v>
      </c>
      <c r="G404">
        <v>86</v>
      </c>
      <c r="H404">
        <v>2</v>
      </c>
      <c r="I404">
        <v>5</v>
      </c>
      <c r="L404">
        <v>1</v>
      </c>
      <c r="M404">
        <v>3</v>
      </c>
      <c r="O404">
        <v>3</v>
      </c>
      <c r="AF404">
        <v>8.6950300000000009</v>
      </c>
      <c r="AI404" t="s">
        <v>0</v>
      </c>
      <c r="AJ404" t="s">
        <v>735</v>
      </c>
      <c r="AK404" t="s">
        <v>11</v>
      </c>
      <c r="AL404" t="s">
        <v>709</v>
      </c>
      <c r="AM404" t="s">
        <v>11</v>
      </c>
      <c r="AN404" t="s">
        <v>1285</v>
      </c>
      <c r="AO404" t="s">
        <v>11</v>
      </c>
      <c r="AP404" t="s">
        <v>2300</v>
      </c>
      <c r="AQ404" t="s">
        <v>3063</v>
      </c>
      <c r="AR404" t="s">
        <v>11</v>
      </c>
      <c r="AS404" t="s">
        <v>11</v>
      </c>
      <c r="AT404" t="s">
        <v>11</v>
      </c>
      <c r="AU404" t="s">
        <v>11</v>
      </c>
      <c r="AV404" t="s">
        <v>11</v>
      </c>
      <c r="AW404" t="s">
        <v>11</v>
      </c>
      <c r="AX404" t="s">
        <v>11</v>
      </c>
      <c r="AY404" t="s">
        <v>11</v>
      </c>
      <c r="AZ404" t="s">
        <v>11</v>
      </c>
      <c r="BA404" t="s">
        <v>11</v>
      </c>
      <c r="BB404" t="s">
        <v>11</v>
      </c>
      <c r="BC404" t="s">
        <v>11</v>
      </c>
      <c r="BD404" t="s">
        <v>11</v>
      </c>
      <c r="BE404" t="s">
        <v>11</v>
      </c>
      <c r="BF404" t="s">
        <v>11</v>
      </c>
      <c r="BG404" t="s">
        <v>11</v>
      </c>
      <c r="BH404" t="s">
        <v>3064</v>
      </c>
      <c r="BI404" t="s">
        <v>3060</v>
      </c>
      <c r="BJ404" t="s">
        <v>3065</v>
      </c>
      <c r="BK404" t="s">
        <v>3066</v>
      </c>
    </row>
    <row r="405" spans="1:63" x14ac:dyDescent="0.3">
      <c r="A405" t="s">
        <v>3067</v>
      </c>
      <c r="B405" t="s">
        <v>5</v>
      </c>
      <c r="C405" t="s">
        <v>3068</v>
      </c>
      <c r="D405" t="s">
        <v>3069</v>
      </c>
      <c r="E405" t="s">
        <v>3050</v>
      </c>
      <c r="F405">
        <v>423</v>
      </c>
      <c r="G405">
        <v>88</v>
      </c>
      <c r="I405">
        <v>5</v>
      </c>
      <c r="L405">
        <v>1</v>
      </c>
      <c r="M405">
        <v>3</v>
      </c>
      <c r="O405">
        <v>3</v>
      </c>
      <c r="AF405">
        <v>8.6948700000000017</v>
      </c>
      <c r="AI405" t="s">
        <v>0</v>
      </c>
      <c r="AJ405" t="s">
        <v>735</v>
      </c>
      <c r="AK405" t="s">
        <v>11</v>
      </c>
      <c r="AL405" t="s">
        <v>11</v>
      </c>
      <c r="AM405" t="s">
        <v>11</v>
      </c>
      <c r="AN405" t="s">
        <v>1285</v>
      </c>
      <c r="AO405" t="s">
        <v>11</v>
      </c>
      <c r="AP405" t="s">
        <v>2300</v>
      </c>
      <c r="AQ405" t="s">
        <v>3063</v>
      </c>
      <c r="AR405" t="s">
        <v>11</v>
      </c>
      <c r="AS405" t="s">
        <v>11</v>
      </c>
      <c r="AT405" t="s">
        <v>11</v>
      </c>
      <c r="AU405" t="s">
        <v>11</v>
      </c>
      <c r="AV405" t="s">
        <v>11</v>
      </c>
      <c r="AW405" t="s">
        <v>11</v>
      </c>
      <c r="AX405" t="s">
        <v>11</v>
      </c>
      <c r="AY405" t="s">
        <v>11</v>
      </c>
      <c r="AZ405" t="s">
        <v>11</v>
      </c>
      <c r="BA405" t="s">
        <v>11</v>
      </c>
      <c r="BB405" t="s">
        <v>11</v>
      </c>
      <c r="BC405" t="s">
        <v>11</v>
      </c>
      <c r="BD405" t="s">
        <v>11</v>
      </c>
      <c r="BE405" t="s">
        <v>11</v>
      </c>
      <c r="BF405" t="s">
        <v>11</v>
      </c>
      <c r="BG405" t="s">
        <v>11</v>
      </c>
      <c r="BH405" t="s">
        <v>3070</v>
      </c>
      <c r="BI405" t="s">
        <v>3067</v>
      </c>
      <c r="BJ405" t="s">
        <v>3071</v>
      </c>
      <c r="BK405" t="s">
        <v>3072</v>
      </c>
    </row>
    <row r="406" spans="1:63" x14ac:dyDescent="0.3">
      <c r="A406" t="s">
        <v>3073</v>
      </c>
      <c r="B406" t="s">
        <v>5</v>
      </c>
      <c r="C406" t="s">
        <v>3074</v>
      </c>
      <c r="D406" t="s">
        <v>3075</v>
      </c>
      <c r="E406" t="s">
        <v>3050</v>
      </c>
      <c r="F406">
        <v>424</v>
      </c>
      <c r="G406">
        <v>86</v>
      </c>
      <c r="H406">
        <v>2</v>
      </c>
      <c r="I406">
        <v>6</v>
      </c>
      <c r="M406">
        <v>3</v>
      </c>
      <c r="O406">
        <v>3</v>
      </c>
      <c r="AF406">
        <v>8.6769600000000011</v>
      </c>
      <c r="AI406" t="s">
        <v>0</v>
      </c>
      <c r="AJ406" t="s">
        <v>926</v>
      </c>
      <c r="AK406" t="s">
        <v>11</v>
      </c>
      <c r="AL406" t="s">
        <v>709</v>
      </c>
      <c r="AM406" t="s">
        <v>11</v>
      </c>
      <c r="AN406" t="s">
        <v>1285</v>
      </c>
      <c r="AO406" t="s">
        <v>11</v>
      </c>
      <c r="AP406" t="s">
        <v>2300</v>
      </c>
      <c r="AQ406" t="s">
        <v>11</v>
      </c>
      <c r="AR406" t="s">
        <v>11</v>
      </c>
      <c r="AS406" t="s">
        <v>11</v>
      </c>
      <c r="AT406" t="s">
        <v>11</v>
      </c>
      <c r="AU406" t="s">
        <v>11</v>
      </c>
      <c r="AV406" t="s">
        <v>11</v>
      </c>
      <c r="AW406" t="s">
        <v>11</v>
      </c>
      <c r="AX406" t="s">
        <v>11</v>
      </c>
      <c r="AY406" t="s">
        <v>11</v>
      </c>
      <c r="AZ406" t="s">
        <v>11</v>
      </c>
      <c r="BA406" t="s">
        <v>11</v>
      </c>
      <c r="BB406" t="s">
        <v>11</v>
      </c>
      <c r="BC406" t="s">
        <v>11</v>
      </c>
      <c r="BD406" t="s">
        <v>11</v>
      </c>
      <c r="BE406" t="s">
        <v>11</v>
      </c>
      <c r="BF406" t="s">
        <v>11</v>
      </c>
      <c r="BG406" t="s">
        <v>11</v>
      </c>
      <c r="BH406" t="s">
        <v>3076</v>
      </c>
      <c r="BI406" t="s">
        <v>3073</v>
      </c>
      <c r="BJ406" t="s">
        <v>3077</v>
      </c>
      <c r="BK406" t="s">
        <v>3078</v>
      </c>
    </row>
    <row r="407" spans="1:63" x14ac:dyDescent="0.3">
      <c r="A407" t="s">
        <v>3079</v>
      </c>
      <c r="B407" t="s">
        <v>5</v>
      </c>
      <c r="C407" t="s">
        <v>3080</v>
      </c>
      <c r="D407" t="s">
        <v>3081</v>
      </c>
      <c r="E407" t="s">
        <v>3050</v>
      </c>
      <c r="F407">
        <v>425</v>
      </c>
      <c r="G407">
        <v>88</v>
      </c>
      <c r="I407">
        <v>6</v>
      </c>
      <c r="M407">
        <v>3</v>
      </c>
      <c r="O407">
        <v>3</v>
      </c>
      <c r="AF407">
        <v>8.6768000000000018</v>
      </c>
      <c r="AI407" t="s">
        <v>0</v>
      </c>
      <c r="AJ407" t="s">
        <v>926</v>
      </c>
      <c r="AK407" t="s">
        <v>11</v>
      </c>
      <c r="AL407" t="s">
        <v>11</v>
      </c>
      <c r="AM407" t="s">
        <v>11</v>
      </c>
      <c r="AN407" t="s">
        <v>1285</v>
      </c>
      <c r="AO407" t="s">
        <v>11</v>
      </c>
      <c r="AP407" t="s">
        <v>2300</v>
      </c>
      <c r="AQ407" t="s">
        <v>11</v>
      </c>
      <c r="AR407" t="s">
        <v>11</v>
      </c>
      <c r="AS407" t="s">
        <v>11</v>
      </c>
      <c r="AT407" t="s">
        <v>11</v>
      </c>
      <c r="AU407" t="s">
        <v>11</v>
      </c>
      <c r="AV407" t="s">
        <v>11</v>
      </c>
      <c r="AW407" t="s">
        <v>11</v>
      </c>
      <c r="AX407" t="s">
        <v>11</v>
      </c>
      <c r="AY407" t="s">
        <v>11</v>
      </c>
      <c r="AZ407" t="s">
        <v>11</v>
      </c>
      <c r="BA407" t="s">
        <v>11</v>
      </c>
      <c r="BB407" t="s">
        <v>11</v>
      </c>
      <c r="BC407" t="s">
        <v>11</v>
      </c>
      <c r="BD407" t="s">
        <v>11</v>
      </c>
      <c r="BE407" t="s">
        <v>11</v>
      </c>
      <c r="BF407" t="s">
        <v>11</v>
      </c>
      <c r="BG407" t="s">
        <v>11</v>
      </c>
      <c r="BH407" t="s">
        <v>3082</v>
      </c>
      <c r="BI407" t="s">
        <v>3079</v>
      </c>
      <c r="BJ407" t="s">
        <v>3083</v>
      </c>
      <c r="BK407" t="s">
        <v>3084</v>
      </c>
    </row>
    <row r="408" spans="1:63" x14ac:dyDescent="0.3">
      <c r="A408" t="s">
        <v>3085</v>
      </c>
      <c r="B408" t="s">
        <v>160</v>
      </c>
      <c r="C408" t="s">
        <v>3086</v>
      </c>
      <c r="D408" t="s">
        <v>2526</v>
      </c>
      <c r="E408" t="s">
        <v>3087</v>
      </c>
      <c r="F408">
        <v>426</v>
      </c>
      <c r="G408">
        <v>78.3</v>
      </c>
      <c r="I408">
        <v>10.6</v>
      </c>
      <c r="K408">
        <v>8.3000000000000007</v>
      </c>
      <c r="L408">
        <v>1.6</v>
      </c>
      <c r="N408">
        <v>1.2</v>
      </c>
      <c r="AF408">
        <v>9.0276019999999999</v>
      </c>
      <c r="AH408" t="s">
        <v>1657</v>
      </c>
      <c r="AI408" t="s">
        <v>0</v>
      </c>
      <c r="AJ408" t="s">
        <v>71</v>
      </c>
      <c r="AK408" t="s">
        <v>3088</v>
      </c>
      <c r="AL408" t="s">
        <v>11</v>
      </c>
      <c r="AM408" t="s">
        <v>11</v>
      </c>
      <c r="AN408" t="s">
        <v>11</v>
      </c>
      <c r="AO408" t="s">
        <v>2528</v>
      </c>
      <c r="AP408" t="s">
        <v>11</v>
      </c>
      <c r="AQ408" t="s">
        <v>3089</v>
      </c>
      <c r="AR408" t="s">
        <v>11</v>
      </c>
      <c r="AS408" t="s">
        <v>11</v>
      </c>
      <c r="AT408" t="s">
        <v>11</v>
      </c>
      <c r="AU408" t="s">
        <v>11</v>
      </c>
      <c r="AV408" t="s">
        <v>11</v>
      </c>
      <c r="AW408" t="s">
        <v>11</v>
      </c>
      <c r="AX408" t="s">
        <v>11</v>
      </c>
      <c r="AY408" t="s">
        <v>11</v>
      </c>
      <c r="AZ408" t="s">
        <v>11</v>
      </c>
      <c r="BA408" t="s">
        <v>11</v>
      </c>
      <c r="BB408" t="s">
        <v>11</v>
      </c>
      <c r="BC408" t="s">
        <v>11</v>
      </c>
      <c r="BD408" t="s">
        <v>11</v>
      </c>
      <c r="BE408" t="s">
        <v>11</v>
      </c>
      <c r="BF408" t="s">
        <v>11</v>
      </c>
      <c r="BG408" t="s">
        <v>11</v>
      </c>
      <c r="BH408" t="s">
        <v>3090</v>
      </c>
      <c r="BI408" t="s">
        <v>3085</v>
      </c>
      <c r="BJ408" t="s">
        <v>3091</v>
      </c>
      <c r="BK408" t="s">
        <v>3092</v>
      </c>
    </row>
    <row r="409" spans="1:63" x14ac:dyDescent="0.3">
      <c r="A409" t="s">
        <v>3093</v>
      </c>
      <c r="B409" t="s">
        <v>160</v>
      </c>
      <c r="C409" t="s">
        <v>3094</v>
      </c>
      <c r="D409" t="s">
        <v>2534</v>
      </c>
      <c r="E409" t="s">
        <v>3087</v>
      </c>
      <c r="F409">
        <v>427</v>
      </c>
      <c r="G409">
        <v>78.8</v>
      </c>
      <c r="I409">
        <v>11.3</v>
      </c>
      <c r="K409">
        <v>7.9</v>
      </c>
      <c r="M409">
        <v>1.1000000000000001</v>
      </c>
      <c r="N409">
        <v>0.9</v>
      </c>
      <c r="AF409">
        <v>9.0993300000000019</v>
      </c>
      <c r="AH409" t="s">
        <v>1657</v>
      </c>
      <c r="AI409" t="s">
        <v>0</v>
      </c>
      <c r="AJ409" t="s">
        <v>3095</v>
      </c>
      <c r="AK409" t="s">
        <v>1857</v>
      </c>
      <c r="AL409" t="s">
        <v>11</v>
      </c>
      <c r="AM409" t="s">
        <v>11</v>
      </c>
      <c r="AN409" t="s">
        <v>2535</v>
      </c>
      <c r="AO409" t="s">
        <v>2536</v>
      </c>
      <c r="AP409" t="s">
        <v>11</v>
      </c>
      <c r="AQ409" t="s">
        <v>11</v>
      </c>
      <c r="AR409" t="s">
        <v>11</v>
      </c>
      <c r="AS409" t="s">
        <v>11</v>
      </c>
      <c r="AT409" t="s">
        <v>11</v>
      </c>
      <c r="AU409" t="s">
        <v>11</v>
      </c>
      <c r="AV409" t="s">
        <v>11</v>
      </c>
      <c r="AW409" t="s">
        <v>11</v>
      </c>
      <c r="AX409" t="s">
        <v>11</v>
      </c>
      <c r="AY409" t="s">
        <v>11</v>
      </c>
      <c r="AZ409" t="s">
        <v>11</v>
      </c>
      <c r="BA409" t="s">
        <v>11</v>
      </c>
      <c r="BB409" t="s">
        <v>11</v>
      </c>
      <c r="BC409" t="s">
        <v>11</v>
      </c>
      <c r="BD409" t="s">
        <v>11</v>
      </c>
      <c r="BE409" t="s">
        <v>11</v>
      </c>
      <c r="BF409" t="s">
        <v>11</v>
      </c>
      <c r="BG409" t="s">
        <v>11</v>
      </c>
      <c r="BH409" t="s">
        <v>3096</v>
      </c>
      <c r="BI409" t="s">
        <v>3093</v>
      </c>
      <c r="BJ409" t="s">
        <v>3097</v>
      </c>
      <c r="BK409" t="s">
        <v>3098</v>
      </c>
    </row>
    <row r="410" spans="1:63" x14ac:dyDescent="0.3">
      <c r="A410" t="s">
        <v>3099</v>
      </c>
      <c r="B410" t="s">
        <v>160</v>
      </c>
      <c r="C410" t="s">
        <v>3100</v>
      </c>
      <c r="D410" t="s">
        <v>3101</v>
      </c>
      <c r="E410" t="s">
        <v>3102</v>
      </c>
      <c r="F410">
        <v>428</v>
      </c>
      <c r="G410">
        <v>78.3</v>
      </c>
      <c r="I410">
        <v>10.7</v>
      </c>
      <c r="K410">
        <v>8.1999999999999993</v>
      </c>
      <c r="L410">
        <v>1.6</v>
      </c>
      <c r="M410">
        <v>1.2</v>
      </c>
      <c r="AF410">
        <v>9.1080120000000004</v>
      </c>
      <c r="AH410" t="s">
        <v>1657</v>
      </c>
      <c r="AI410" t="s">
        <v>0</v>
      </c>
      <c r="AJ410" t="s">
        <v>3103</v>
      </c>
      <c r="AK410" t="s">
        <v>2798</v>
      </c>
      <c r="AL410" t="s">
        <v>11</v>
      </c>
      <c r="AM410" t="s">
        <v>11</v>
      </c>
      <c r="AN410" t="s">
        <v>2790</v>
      </c>
      <c r="AO410" t="s">
        <v>11</v>
      </c>
      <c r="AP410" t="s">
        <v>11</v>
      </c>
      <c r="AQ410" t="s">
        <v>3089</v>
      </c>
      <c r="AR410" t="s">
        <v>11</v>
      </c>
      <c r="AS410" t="s">
        <v>11</v>
      </c>
      <c r="AT410" t="s">
        <v>11</v>
      </c>
      <c r="AU410" t="s">
        <v>11</v>
      </c>
      <c r="AV410" t="s">
        <v>11</v>
      </c>
      <c r="AW410" t="s">
        <v>11</v>
      </c>
      <c r="AX410" t="s">
        <v>11</v>
      </c>
      <c r="AY410" t="s">
        <v>11</v>
      </c>
      <c r="AZ410" t="s">
        <v>11</v>
      </c>
      <c r="BA410" t="s">
        <v>11</v>
      </c>
      <c r="BB410" t="s">
        <v>11</v>
      </c>
      <c r="BC410" t="s">
        <v>11</v>
      </c>
      <c r="BD410" t="s">
        <v>11</v>
      </c>
      <c r="BE410" t="s">
        <v>11</v>
      </c>
      <c r="BF410" t="s">
        <v>11</v>
      </c>
      <c r="BG410" t="s">
        <v>11</v>
      </c>
      <c r="BH410" t="s">
        <v>3104</v>
      </c>
      <c r="BI410" t="s">
        <v>3099</v>
      </c>
      <c r="BJ410" t="s">
        <v>3105</v>
      </c>
      <c r="BK410" t="s">
        <v>3106</v>
      </c>
    </row>
    <row r="411" spans="1:63" x14ac:dyDescent="0.3">
      <c r="A411" t="s">
        <v>1759</v>
      </c>
      <c r="B411" t="s">
        <v>95</v>
      </c>
      <c r="C411" t="s">
        <v>1760</v>
      </c>
      <c r="D411" t="s">
        <v>3107</v>
      </c>
      <c r="E411" t="s">
        <v>3108</v>
      </c>
      <c r="F411">
        <v>429</v>
      </c>
      <c r="G411">
        <v>86.4</v>
      </c>
      <c r="I411">
        <v>9</v>
      </c>
      <c r="K411">
        <v>4.5999999999999996</v>
      </c>
      <c r="AF411">
        <v>8.8180999999999994</v>
      </c>
      <c r="AI411" t="s">
        <v>0</v>
      </c>
      <c r="AJ411" t="s">
        <v>128</v>
      </c>
      <c r="AK411" t="s">
        <v>1763</v>
      </c>
      <c r="AL411" t="s">
        <v>11</v>
      </c>
      <c r="AM411" t="s">
        <v>11</v>
      </c>
      <c r="AN411" t="s">
        <v>11</v>
      </c>
      <c r="AO411" t="s">
        <v>11</v>
      </c>
      <c r="AP411" t="s">
        <v>11</v>
      </c>
      <c r="AQ411" t="s">
        <v>11</v>
      </c>
      <c r="AR411" t="s">
        <v>11</v>
      </c>
      <c r="AS411" t="s">
        <v>11</v>
      </c>
      <c r="AT411" t="s">
        <v>11</v>
      </c>
      <c r="AU411" t="s">
        <v>11</v>
      </c>
      <c r="AV411" t="s">
        <v>11</v>
      </c>
      <c r="AW411" t="s">
        <v>11</v>
      </c>
      <c r="AX411" t="s">
        <v>11</v>
      </c>
      <c r="AY411" t="s">
        <v>11</v>
      </c>
      <c r="AZ411" t="s">
        <v>11</v>
      </c>
      <c r="BA411" t="s">
        <v>11</v>
      </c>
      <c r="BB411" t="s">
        <v>11</v>
      </c>
      <c r="BC411" t="s">
        <v>11</v>
      </c>
      <c r="BD411" t="s">
        <v>11</v>
      </c>
      <c r="BE411" t="s">
        <v>11</v>
      </c>
      <c r="BF411" t="s">
        <v>11</v>
      </c>
      <c r="BG411" t="s">
        <v>11</v>
      </c>
      <c r="BH411" t="s">
        <v>3109</v>
      </c>
      <c r="BI411" t="s">
        <v>1759</v>
      </c>
      <c r="BJ411" t="s">
        <v>1765</v>
      </c>
      <c r="BK411" t="s">
        <v>1766</v>
      </c>
    </row>
    <row r="412" spans="1:63" x14ac:dyDescent="0.3">
      <c r="A412" t="s">
        <v>1767</v>
      </c>
      <c r="B412" t="s">
        <v>95</v>
      </c>
      <c r="C412" t="s">
        <v>1768</v>
      </c>
      <c r="D412" t="s">
        <v>3110</v>
      </c>
      <c r="E412" t="s">
        <v>3108</v>
      </c>
      <c r="F412">
        <v>430</v>
      </c>
      <c r="G412">
        <v>85.3</v>
      </c>
      <c r="I412">
        <v>7.9</v>
      </c>
      <c r="K412">
        <v>6.8</v>
      </c>
      <c r="AF412">
        <v>9.113999999999999</v>
      </c>
      <c r="AI412" t="s">
        <v>0</v>
      </c>
      <c r="AJ412" t="s">
        <v>430</v>
      </c>
      <c r="AK412" t="s">
        <v>1769</v>
      </c>
      <c r="AL412" t="s">
        <v>11</v>
      </c>
      <c r="AM412" t="s">
        <v>11</v>
      </c>
      <c r="AN412" t="s">
        <v>11</v>
      </c>
      <c r="AO412" t="s">
        <v>11</v>
      </c>
      <c r="AP412" t="s">
        <v>11</v>
      </c>
      <c r="AQ412" t="s">
        <v>11</v>
      </c>
      <c r="AR412" t="s">
        <v>11</v>
      </c>
      <c r="AS412" t="s">
        <v>11</v>
      </c>
      <c r="AT412" t="s">
        <v>11</v>
      </c>
      <c r="AU412" t="s">
        <v>11</v>
      </c>
      <c r="AV412" t="s">
        <v>11</v>
      </c>
      <c r="AW412" t="s">
        <v>11</v>
      </c>
      <c r="AX412" t="s">
        <v>11</v>
      </c>
      <c r="AY412" t="s">
        <v>11</v>
      </c>
      <c r="AZ412" t="s">
        <v>11</v>
      </c>
      <c r="BA412" t="s">
        <v>11</v>
      </c>
      <c r="BB412" t="s">
        <v>11</v>
      </c>
      <c r="BC412" t="s">
        <v>11</v>
      </c>
      <c r="BD412" t="s">
        <v>11</v>
      </c>
      <c r="BE412" t="s">
        <v>11</v>
      </c>
      <c r="BF412" t="s">
        <v>11</v>
      </c>
      <c r="BG412" t="s">
        <v>11</v>
      </c>
      <c r="BH412" t="s">
        <v>3111</v>
      </c>
      <c r="BI412" t="s">
        <v>1767</v>
      </c>
      <c r="BJ412" t="s">
        <v>1771</v>
      </c>
      <c r="BK412" t="s">
        <v>1772</v>
      </c>
    </row>
    <row r="413" spans="1:63" x14ac:dyDescent="0.3">
      <c r="A413" t="s">
        <v>1773</v>
      </c>
      <c r="B413" t="s">
        <v>95</v>
      </c>
      <c r="C413" t="s">
        <v>144</v>
      </c>
      <c r="D413" t="s">
        <v>3112</v>
      </c>
      <c r="E413" t="s">
        <v>3108</v>
      </c>
      <c r="F413">
        <v>431</v>
      </c>
      <c r="G413">
        <v>83.3</v>
      </c>
      <c r="I413">
        <v>8.1999999999999993</v>
      </c>
      <c r="K413">
        <v>8.5</v>
      </c>
      <c r="AF413">
        <v>9.27135</v>
      </c>
      <c r="AI413" t="s">
        <v>0</v>
      </c>
      <c r="AJ413" t="s">
        <v>194</v>
      </c>
      <c r="AK413" t="s">
        <v>366</v>
      </c>
      <c r="AL413" t="s">
        <v>11</v>
      </c>
      <c r="AM413" t="s">
        <v>11</v>
      </c>
      <c r="AN413" t="s">
        <v>11</v>
      </c>
      <c r="AO413" t="s">
        <v>11</v>
      </c>
      <c r="AP413" t="s">
        <v>11</v>
      </c>
      <c r="AQ413" t="s">
        <v>11</v>
      </c>
      <c r="AR413" t="s">
        <v>11</v>
      </c>
      <c r="AS413" t="s">
        <v>11</v>
      </c>
      <c r="AT413" t="s">
        <v>11</v>
      </c>
      <c r="AU413" t="s">
        <v>11</v>
      </c>
      <c r="AV413" t="s">
        <v>11</v>
      </c>
      <c r="AW413" t="s">
        <v>11</v>
      </c>
      <c r="AX413" t="s">
        <v>11</v>
      </c>
      <c r="AY413" t="s">
        <v>11</v>
      </c>
      <c r="AZ413" t="s">
        <v>11</v>
      </c>
      <c r="BA413" t="s">
        <v>11</v>
      </c>
      <c r="BB413" t="s">
        <v>11</v>
      </c>
      <c r="BC413" t="s">
        <v>11</v>
      </c>
      <c r="BD413" t="s">
        <v>11</v>
      </c>
      <c r="BE413" t="s">
        <v>11</v>
      </c>
      <c r="BF413" t="s">
        <v>11</v>
      </c>
      <c r="BG413" t="s">
        <v>11</v>
      </c>
      <c r="BH413" t="s">
        <v>3113</v>
      </c>
      <c r="BI413" t="s">
        <v>1773</v>
      </c>
      <c r="BJ413" t="s">
        <v>1775</v>
      </c>
      <c r="BK413" t="s">
        <v>1776</v>
      </c>
    </row>
    <row r="414" spans="1:63" x14ac:dyDescent="0.3">
      <c r="A414" t="s">
        <v>1777</v>
      </c>
      <c r="B414" t="s">
        <v>95</v>
      </c>
      <c r="C414" t="s">
        <v>332</v>
      </c>
      <c r="D414" t="s">
        <v>3114</v>
      </c>
      <c r="E414" t="s">
        <v>3108</v>
      </c>
      <c r="F414">
        <v>432</v>
      </c>
      <c r="G414">
        <v>81.3</v>
      </c>
      <c r="I414">
        <v>8.6999999999999993</v>
      </c>
      <c r="K414">
        <v>10</v>
      </c>
      <c r="AF414">
        <v>9.3956</v>
      </c>
      <c r="AI414" t="s">
        <v>0</v>
      </c>
      <c r="AJ414" t="s">
        <v>223</v>
      </c>
      <c r="AK414" t="s">
        <v>677</v>
      </c>
      <c r="AL414" t="s">
        <v>11</v>
      </c>
      <c r="AM414" t="s">
        <v>11</v>
      </c>
      <c r="AN414" t="s">
        <v>11</v>
      </c>
      <c r="AO414" t="s">
        <v>11</v>
      </c>
      <c r="AP414" t="s">
        <v>11</v>
      </c>
      <c r="AQ414" t="s">
        <v>11</v>
      </c>
      <c r="AR414" t="s">
        <v>11</v>
      </c>
      <c r="AS414" t="s">
        <v>11</v>
      </c>
      <c r="AT414" t="s">
        <v>11</v>
      </c>
      <c r="AU414" t="s">
        <v>11</v>
      </c>
      <c r="AV414" t="s">
        <v>11</v>
      </c>
      <c r="AW414" t="s">
        <v>11</v>
      </c>
      <c r="AX414" t="s">
        <v>11</v>
      </c>
      <c r="AY414" t="s">
        <v>11</v>
      </c>
      <c r="AZ414" t="s">
        <v>11</v>
      </c>
      <c r="BA414" t="s">
        <v>11</v>
      </c>
      <c r="BB414" t="s">
        <v>11</v>
      </c>
      <c r="BC414" t="s">
        <v>11</v>
      </c>
      <c r="BD414" t="s">
        <v>11</v>
      </c>
      <c r="BE414" t="s">
        <v>11</v>
      </c>
      <c r="BF414" t="s">
        <v>11</v>
      </c>
      <c r="BG414" t="s">
        <v>11</v>
      </c>
      <c r="BH414" t="s">
        <v>3115</v>
      </c>
      <c r="BI414" t="s">
        <v>1777</v>
      </c>
      <c r="BJ414" t="s">
        <v>1780</v>
      </c>
      <c r="BK414" t="s">
        <v>1781</v>
      </c>
    </row>
    <row r="415" spans="1:63" x14ac:dyDescent="0.3">
      <c r="A415" t="s">
        <v>1782</v>
      </c>
      <c r="B415" t="s">
        <v>95</v>
      </c>
      <c r="C415" t="s">
        <v>1783</v>
      </c>
      <c r="D415" t="s">
        <v>3116</v>
      </c>
      <c r="E415" t="s">
        <v>3108</v>
      </c>
      <c r="F415">
        <v>433</v>
      </c>
      <c r="G415">
        <v>79.2</v>
      </c>
      <c r="I415">
        <v>8.1999999999999993</v>
      </c>
      <c r="K415">
        <v>12.6</v>
      </c>
      <c r="AF415">
        <v>9.6957000000000004</v>
      </c>
      <c r="AI415" t="s">
        <v>0</v>
      </c>
      <c r="AJ415" t="s">
        <v>194</v>
      </c>
      <c r="AK415" t="s">
        <v>1784</v>
      </c>
      <c r="AL415" t="s">
        <v>11</v>
      </c>
      <c r="AM415" t="s">
        <v>11</v>
      </c>
      <c r="AN415" t="s">
        <v>11</v>
      </c>
      <c r="AO415" t="s">
        <v>11</v>
      </c>
      <c r="AP415" t="s">
        <v>11</v>
      </c>
      <c r="AQ415" t="s">
        <v>11</v>
      </c>
      <c r="AR415" t="s">
        <v>11</v>
      </c>
      <c r="AS415" t="s">
        <v>11</v>
      </c>
      <c r="AT415" t="s">
        <v>11</v>
      </c>
      <c r="AU415" t="s">
        <v>11</v>
      </c>
      <c r="AV415" t="s">
        <v>11</v>
      </c>
      <c r="AW415" t="s">
        <v>11</v>
      </c>
      <c r="AX415" t="s">
        <v>11</v>
      </c>
      <c r="AY415" t="s">
        <v>11</v>
      </c>
      <c r="AZ415" t="s">
        <v>11</v>
      </c>
      <c r="BA415" t="s">
        <v>11</v>
      </c>
      <c r="BB415" t="s">
        <v>11</v>
      </c>
      <c r="BC415" t="s">
        <v>11</v>
      </c>
      <c r="BD415" t="s">
        <v>11</v>
      </c>
      <c r="BE415" t="s">
        <v>11</v>
      </c>
      <c r="BF415" t="s">
        <v>11</v>
      </c>
      <c r="BG415" t="s">
        <v>11</v>
      </c>
      <c r="BH415" t="s">
        <v>3117</v>
      </c>
      <c r="BI415" t="s">
        <v>1782</v>
      </c>
      <c r="BJ415" t="s">
        <v>1786</v>
      </c>
      <c r="BK415" t="s">
        <v>1787</v>
      </c>
    </row>
    <row r="416" spans="1:63" x14ac:dyDescent="0.3">
      <c r="A416" t="s">
        <v>2989</v>
      </c>
      <c r="B416" t="s">
        <v>5</v>
      </c>
      <c r="C416" t="s">
        <v>2990</v>
      </c>
      <c r="D416" t="s">
        <v>3118</v>
      </c>
      <c r="E416" t="s">
        <v>3119</v>
      </c>
      <c r="F416">
        <v>434</v>
      </c>
      <c r="G416">
        <v>84</v>
      </c>
      <c r="L416">
        <v>2</v>
      </c>
      <c r="M416">
        <v>2</v>
      </c>
      <c r="O416">
        <v>12</v>
      </c>
      <c r="AF416">
        <v>8.632340000000001</v>
      </c>
      <c r="AI416" t="s">
        <v>0</v>
      </c>
      <c r="AJ416" t="s">
        <v>11</v>
      </c>
      <c r="AK416" t="s">
        <v>11</v>
      </c>
      <c r="AL416" t="s">
        <v>11</v>
      </c>
      <c r="AM416" t="s">
        <v>11</v>
      </c>
      <c r="AN416" t="s">
        <v>24</v>
      </c>
      <c r="AO416" t="s">
        <v>11</v>
      </c>
      <c r="AP416" t="s">
        <v>820</v>
      </c>
      <c r="AQ416" t="s">
        <v>25</v>
      </c>
      <c r="AR416" t="s">
        <v>11</v>
      </c>
      <c r="AS416" t="s">
        <v>11</v>
      </c>
      <c r="AT416" t="s">
        <v>11</v>
      </c>
      <c r="AU416" t="s">
        <v>11</v>
      </c>
      <c r="AV416" t="s">
        <v>11</v>
      </c>
      <c r="AW416" t="s">
        <v>11</v>
      </c>
      <c r="AX416" t="s">
        <v>11</v>
      </c>
      <c r="AY416" t="s">
        <v>11</v>
      </c>
      <c r="AZ416" t="s">
        <v>11</v>
      </c>
      <c r="BA416" t="s">
        <v>11</v>
      </c>
      <c r="BB416" t="s">
        <v>11</v>
      </c>
      <c r="BC416" t="s">
        <v>11</v>
      </c>
      <c r="BD416" t="s">
        <v>11</v>
      </c>
      <c r="BE416" t="s">
        <v>11</v>
      </c>
      <c r="BF416" t="s">
        <v>11</v>
      </c>
      <c r="BG416" t="s">
        <v>11</v>
      </c>
      <c r="BH416" t="s">
        <v>3120</v>
      </c>
      <c r="BI416" t="s">
        <v>2989</v>
      </c>
      <c r="BJ416" t="s">
        <v>2994</v>
      </c>
      <c r="BK416" t="s">
        <v>2995</v>
      </c>
    </row>
    <row r="417" spans="1:63" x14ac:dyDescent="0.3">
      <c r="A417" t="s">
        <v>3121</v>
      </c>
      <c r="B417" t="s">
        <v>5</v>
      </c>
      <c r="C417" t="s">
        <v>3122</v>
      </c>
      <c r="D417" t="s">
        <v>3123</v>
      </c>
      <c r="E417" t="s">
        <v>3119</v>
      </c>
      <c r="F417">
        <v>435</v>
      </c>
      <c r="G417">
        <v>91.5</v>
      </c>
      <c r="M417">
        <v>2.5</v>
      </c>
      <c r="O417">
        <v>6</v>
      </c>
      <c r="AF417">
        <v>8.9263499999999993</v>
      </c>
      <c r="AI417" t="s">
        <v>0</v>
      </c>
      <c r="AJ417" t="s">
        <v>11</v>
      </c>
      <c r="AK417" t="s">
        <v>11</v>
      </c>
      <c r="AL417" t="s">
        <v>11</v>
      </c>
      <c r="AM417" t="s">
        <v>11</v>
      </c>
      <c r="AN417" t="s">
        <v>87</v>
      </c>
      <c r="AO417" t="s">
        <v>11</v>
      </c>
      <c r="AP417" t="s">
        <v>2868</v>
      </c>
      <c r="AQ417" t="s">
        <v>11</v>
      </c>
      <c r="AR417" t="s">
        <v>11</v>
      </c>
      <c r="AS417" t="s">
        <v>11</v>
      </c>
      <c r="AT417" t="s">
        <v>11</v>
      </c>
      <c r="AU417" t="s">
        <v>11</v>
      </c>
      <c r="AV417" t="s">
        <v>11</v>
      </c>
      <c r="AW417" t="s">
        <v>11</v>
      </c>
      <c r="AX417" t="s">
        <v>11</v>
      </c>
      <c r="AY417" t="s">
        <v>11</v>
      </c>
      <c r="AZ417" t="s">
        <v>11</v>
      </c>
      <c r="BA417" t="s">
        <v>11</v>
      </c>
      <c r="BB417" t="s">
        <v>11</v>
      </c>
      <c r="BC417" t="s">
        <v>11</v>
      </c>
      <c r="BD417" t="s">
        <v>11</v>
      </c>
      <c r="BE417" t="s">
        <v>11</v>
      </c>
      <c r="BF417" t="s">
        <v>11</v>
      </c>
      <c r="BG417" t="s">
        <v>11</v>
      </c>
      <c r="BH417" t="s">
        <v>3124</v>
      </c>
      <c r="BI417" t="s">
        <v>3121</v>
      </c>
      <c r="BJ417" t="s">
        <v>3125</v>
      </c>
      <c r="BK417" t="s">
        <v>3126</v>
      </c>
    </row>
    <row r="418" spans="1:63" x14ac:dyDescent="0.3">
      <c r="A418" t="s">
        <v>3127</v>
      </c>
      <c r="B418" t="s">
        <v>5</v>
      </c>
      <c r="C418" t="s">
        <v>3128</v>
      </c>
      <c r="D418" t="s">
        <v>3129</v>
      </c>
      <c r="E418" t="s">
        <v>3119</v>
      </c>
      <c r="F418">
        <v>436</v>
      </c>
      <c r="G418">
        <v>88</v>
      </c>
      <c r="O418">
        <v>12</v>
      </c>
      <c r="AF418">
        <v>8.5652000000000008</v>
      </c>
      <c r="AI418" t="s">
        <v>0</v>
      </c>
      <c r="AJ418" t="s">
        <v>11</v>
      </c>
      <c r="AK418" t="s">
        <v>11</v>
      </c>
      <c r="AL418" t="s">
        <v>11</v>
      </c>
      <c r="AM418" t="s">
        <v>11</v>
      </c>
      <c r="AN418" t="s">
        <v>11</v>
      </c>
      <c r="AO418" t="s">
        <v>11</v>
      </c>
      <c r="AP418" t="s">
        <v>820</v>
      </c>
      <c r="AQ418" t="s">
        <v>11</v>
      </c>
      <c r="AR418" t="s">
        <v>11</v>
      </c>
      <c r="AS418" t="s">
        <v>11</v>
      </c>
      <c r="AT418" t="s">
        <v>11</v>
      </c>
      <c r="AU418" t="s">
        <v>11</v>
      </c>
      <c r="AV418" t="s">
        <v>11</v>
      </c>
      <c r="AW418" t="s">
        <v>11</v>
      </c>
      <c r="AX418" t="s">
        <v>11</v>
      </c>
      <c r="AY418" t="s">
        <v>11</v>
      </c>
      <c r="AZ418" t="s">
        <v>11</v>
      </c>
      <c r="BA418" t="s">
        <v>11</v>
      </c>
      <c r="BB418" t="s">
        <v>11</v>
      </c>
      <c r="BC418" t="s">
        <v>11</v>
      </c>
      <c r="BD418" t="s">
        <v>11</v>
      </c>
      <c r="BE418" t="s">
        <v>11</v>
      </c>
      <c r="BF418" t="s">
        <v>11</v>
      </c>
      <c r="BG418" t="s">
        <v>11</v>
      </c>
      <c r="BH418" t="s">
        <v>3130</v>
      </c>
      <c r="BI418" t="s">
        <v>3127</v>
      </c>
      <c r="BJ418" t="s">
        <v>3131</v>
      </c>
      <c r="BK418" t="s">
        <v>820</v>
      </c>
    </row>
    <row r="419" spans="1:63" x14ac:dyDescent="0.3">
      <c r="A419" t="s">
        <v>3132</v>
      </c>
      <c r="B419" t="s">
        <v>5</v>
      </c>
      <c r="C419" t="s">
        <v>3133</v>
      </c>
      <c r="D419" t="s">
        <v>3134</v>
      </c>
      <c r="E419" t="s">
        <v>3119</v>
      </c>
      <c r="F419">
        <v>437</v>
      </c>
      <c r="G419">
        <v>86</v>
      </c>
      <c r="M419">
        <v>2</v>
      </c>
      <c r="O419">
        <v>12</v>
      </c>
      <c r="AF419">
        <v>8.7202000000000002</v>
      </c>
      <c r="AI419" t="s">
        <v>0</v>
      </c>
      <c r="AJ419" t="s">
        <v>11</v>
      </c>
      <c r="AK419" t="s">
        <v>11</v>
      </c>
      <c r="AL419" t="s">
        <v>11</v>
      </c>
      <c r="AM419" t="s">
        <v>11</v>
      </c>
      <c r="AN419" t="s">
        <v>24</v>
      </c>
      <c r="AO419" t="s">
        <v>11</v>
      </c>
      <c r="AP419" t="s">
        <v>820</v>
      </c>
      <c r="AQ419" t="s">
        <v>11</v>
      </c>
      <c r="AR419" t="s">
        <v>11</v>
      </c>
      <c r="AS419" t="s">
        <v>11</v>
      </c>
      <c r="AT419" t="s">
        <v>11</v>
      </c>
      <c r="AU419" t="s">
        <v>11</v>
      </c>
      <c r="AV419" t="s">
        <v>11</v>
      </c>
      <c r="AW419" t="s">
        <v>11</v>
      </c>
      <c r="AX419" t="s">
        <v>11</v>
      </c>
      <c r="AY419" t="s">
        <v>11</v>
      </c>
      <c r="AZ419" t="s">
        <v>11</v>
      </c>
      <c r="BA419" t="s">
        <v>11</v>
      </c>
      <c r="BB419" t="s">
        <v>11</v>
      </c>
      <c r="BC419" t="s">
        <v>11</v>
      </c>
      <c r="BD419" t="s">
        <v>11</v>
      </c>
      <c r="BE419" t="s">
        <v>11</v>
      </c>
      <c r="BF419" t="s">
        <v>11</v>
      </c>
      <c r="BG419" t="s">
        <v>11</v>
      </c>
      <c r="BH419" t="s">
        <v>3135</v>
      </c>
      <c r="BI419" t="s">
        <v>3132</v>
      </c>
      <c r="BJ419" t="s">
        <v>3136</v>
      </c>
      <c r="BK419" t="s">
        <v>3137</v>
      </c>
    </row>
    <row r="420" spans="1:63" x14ac:dyDescent="0.3">
      <c r="A420" t="s">
        <v>3138</v>
      </c>
      <c r="B420" t="s">
        <v>5</v>
      </c>
      <c r="C420" t="s">
        <v>3139</v>
      </c>
      <c r="D420" t="s">
        <v>3140</v>
      </c>
      <c r="E420" t="s">
        <v>3119</v>
      </c>
      <c r="F420">
        <v>438</v>
      </c>
      <c r="G420">
        <v>84</v>
      </c>
      <c r="I420">
        <v>2</v>
      </c>
      <c r="M420">
        <v>2</v>
      </c>
      <c r="O420">
        <v>12</v>
      </c>
      <c r="AF420">
        <v>8.5961999999999996</v>
      </c>
      <c r="AI420" t="s">
        <v>0</v>
      </c>
      <c r="AJ420" t="s">
        <v>3141</v>
      </c>
      <c r="AK420" t="s">
        <v>11</v>
      </c>
      <c r="AL420" t="s">
        <v>11</v>
      </c>
      <c r="AM420" t="s">
        <v>11</v>
      </c>
      <c r="AN420" t="s">
        <v>24</v>
      </c>
      <c r="AO420" t="s">
        <v>11</v>
      </c>
      <c r="AP420" t="s">
        <v>820</v>
      </c>
      <c r="AQ420" t="s">
        <v>11</v>
      </c>
      <c r="AR420" t="s">
        <v>11</v>
      </c>
      <c r="AS420" t="s">
        <v>11</v>
      </c>
      <c r="AT420" t="s">
        <v>11</v>
      </c>
      <c r="AU420" t="s">
        <v>11</v>
      </c>
      <c r="AV420" t="s">
        <v>11</v>
      </c>
      <c r="AW420" t="s">
        <v>11</v>
      </c>
      <c r="AX420" t="s">
        <v>11</v>
      </c>
      <c r="AY420" t="s">
        <v>11</v>
      </c>
      <c r="AZ420" t="s">
        <v>11</v>
      </c>
      <c r="BA420" t="s">
        <v>11</v>
      </c>
      <c r="BB420" t="s">
        <v>11</v>
      </c>
      <c r="BC420" t="s">
        <v>11</v>
      </c>
      <c r="BD420" t="s">
        <v>11</v>
      </c>
      <c r="BE420" t="s">
        <v>11</v>
      </c>
      <c r="BF420" t="s">
        <v>11</v>
      </c>
      <c r="BG420" t="s">
        <v>11</v>
      </c>
      <c r="BH420" t="s">
        <v>3142</v>
      </c>
      <c r="BI420" t="s">
        <v>3138</v>
      </c>
      <c r="BJ420" t="s">
        <v>3143</v>
      </c>
      <c r="BK420" t="s">
        <v>3144</v>
      </c>
    </row>
    <row r="421" spans="1:63" x14ac:dyDescent="0.3">
      <c r="A421" t="s">
        <v>3145</v>
      </c>
      <c r="B421" t="s">
        <v>5</v>
      </c>
      <c r="C421" t="s">
        <v>3146</v>
      </c>
      <c r="D421" t="s">
        <v>3147</v>
      </c>
      <c r="E421" t="s">
        <v>3148</v>
      </c>
      <c r="F421">
        <v>439</v>
      </c>
      <c r="G421">
        <v>77.289999999999992</v>
      </c>
      <c r="L421">
        <v>5.83</v>
      </c>
      <c r="O421">
        <v>16.88</v>
      </c>
      <c r="AF421">
        <v>8.1729360999999994</v>
      </c>
      <c r="AI421" t="s">
        <v>0</v>
      </c>
      <c r="AJ421" t="s">
        <v>11</v>
      </c>
      <c r="AK421" t="s">
        <v>11</v>
      </c>
      <c r="AL421" t="s">
        <v>11</v>
      </c>
      <c r="AM421" t="s">
        <v>11</v>
      </c>
      <c r="AN421" t="s">
        <v>11</v>
      </c>
      <c r="AO421" t="s">
        <v>11</v>
      </c>
      <c r="AP421" t="s">
        <v>3149</v>
      </c>
      <c r="AQ421" t="s">
        <v>3150</v>
      </c>
      <c r="AR421" t="s">
        <v>11</v>
      </c>
      <c r="AS421" t="s">
        <v>11</v>
      </c>
      <c r="AT421" t="s">
        <v>11</v>
      </c>
      <c r="AU421" t="s">
        <v>11</v>
      </c>
      <c r="AV421" t="s">
        <v>11</v>
      </c>
      <c r="AW421" t="s">
        <v>11</v>
      </c>
      <c r="AX421" t="s">
        <v>11</v>
      </c>
      <c r="AY421" t="s">
        <v>11</v>
      </c>
      <c r="AZ421" t="s">
        <v>11</v>
      </c>
      <c r="BA421" t="s">
        <v>11</v>
      </c>
      <c r="BB421" t="s">
        <v>11</v>
      </c>
      <c r="BC421" t="s">
        <v>11</v>
      </c>
      <c r="BD421" t="s">
        <v>11</v>
      </c>
      <c r="BE421" t="s">
        <v>11</v>
      </c>
      <c r="BF421" t="s">
        <v>11</v>
      </c>
      <c r="BG421" t="s">
        <v>11</v>
      </c>
      <c r="BH421" t="s">
        <v>3151</v>
      </c>
      <c r="BI421" t="s">
        <v>3145</v>
      </c>
      <c r="BJ421" t="s">
        <v>3152</v>
      </c>
      <c r="BK421" t="s">
        <v>3153</v>
      </c>
    </row>
    <row r="422" spans="1:63" x14ac:dyDescent="0.3">
      <c r="A422" t="s">
        <v>3154</v>
      </c>
      <c r="B422" t="s">
        <v>5</v>
      </c>
      <c r="C422" t="s">
        <v>3155</v>
      </c>
      <c r="D422" t="s">
        <v>3156</v>
      </c>
      <c r="E422" t="s">
        <v>3157</v>
      </c>
      <c r="F422">
        <v>440</v>
      </c>
      <c r="G422">
        <v>80</v>
      </c>
      <c r="L422">
        <v>5</v>
      </c>
      <c r="O422">
        <v>15</v>
      </c>
      <c r="AF422">
        <v>8.261849999999999</v>
      </c>
      <c r="AI422" t="s">
        <v>0</v>
      </c>
      <c r="AJ422" t="s">
        <v>11</v>
      </c>
      <c r="AK422" t="s">
        <v>11</v>
      </c>
      <c r="AL422" t="s">
        <v>11</v>
      </c>
      <c r="AM422" t="s">
        <v>11</v>
      </c>
      <c r="AN422" t="s">
        <v>11</v>
      </c>
      <c r="AO422" t="s">
        <v>11</v>
      </c>
      <c r="AP422" t="s">
        <v>3158</v>
      </c>
      <c r="AQ422" t="s">
        <v>1145</v>
      </c>
      <c r="AR422" t="s">
        <v>11</v>
      </c>
      <c r="AS422" t="s">
        <v>11</v>
      </c>
      <c r="AT422" t="s">
        <v>11</v>
      </c>
      <c r="AU422" t="s">
        <v>11</v>
      </c>
      <c r="AV422" t="s">
        <v>11</v>
      </c>
      <c r="AW422" t="s">
        <v>11</v>
      </c>
      <c r="AX422" t="s">
        <v>11</v>
      </c>
      <c r="AY422" t="s">
        <v>11</v>
      </c>
      <c r="AZ422" t="s">
        <v>11</v>
      </c>
      <c r="BA422" t="s">
        <v>11</v>
      </c>
      <c r="BB422" t="s">
        <v>11</v>
      </c>
      <c r="BC422" t="s">
        <v>11</v>
      </c>
      <c r="BD422" t="s">
        <v>11</v>
      </c>
      <c r="BE422" t="s">
        <v>11</v>
      </c>
      <c r="BF422" t="s">
        <v>11</v>
      </c>
      <c r="BG422" t="s">
        <v>11</v>
      </c>
      <c r="BH422" t="s">
        <v>3159</v>
      </c>
      <c r="BI422" t="s">
        <v>3154</v>
      </c>
      <c r="BJ422" t="s">
        <v>3160</v>
      </c>
      <c r="BK422" t="s">
        <v>3161</v>
      </c>
    </row>
    <row r="423" spans="1:63" x14ac:dyDescent="0.3">
      <c r="A423" t="s">
        <v>3162</v>
      </c>
      <c r="B423" t="s">
        <v>5</v>
      </c>
      <c r="C423" t="s">
        <v>3163</v>
      </c>
      <c r="D423" t="s">
        <v>3164</v>
      </c>
      <c r="E423" t="s">
        <v>3157</v>
      </c>
      <c r="F423">
        <v>441</v>
      </c>
      <c r="G423">
        <v>78</v>
      </c>
      <c r="I423">
        <v>2</v>
      </c>
      <c r="L423">
        <v>5</v>
      </c>
      <c r="O423">
        <v>15</v>
      </c>
      <c r="AF423">
        <v>8.1378500000000003</v>
      </c>
      <c r="AI423" t="s">
        <v>0</v>
      </c>
      <c r="AJ423" t="s">
        <v>3141</v>
      </c>
      <c r="AK423" t="s">
        <v>11</v>
      </c>
      <c r="AL423" t="s">
        <v>11</v>
      </c>
      <c r="AM423" t="s">
        <v>11</v>
      </c>
      <c r="AN423" t="s">
        <v>11</v>
      </c>
      <c r="AO423" t="s">
        <v>11</v>
      </c>
      <c r="AP423" t="s">
        <v>3158</v>
      </c>
      <c r="AQ423" t="s">
        <v>1145</v>
      </c>
      <c r="AR423" t="s">
        <v>11</v>
      </c>
      <c r="AS423" t="s">
        <v>11</v>
      </c>
      <c r="AT423" t="s">
        <v>11</v>
      </c>
      <c r="AU423" t="s">
        <v>11</v>
      </c>
      <c r="AV423" t="s">
        <v>11</v>
      </c>
      <c r="AW423" t="s">
        <v>11</v>
      </c>
      <c r="AX423" t="s">
        <v>11</v>
      </c>
      <c r="AY423" t="s">
        <v>11</v>
      </c>
      <c r="AZ423" t="s">
        <v>11</v>
      </c>
      <c r="BA423" t="s">
        <v>11</v>
      </c>
      <c r="BB423" t="s">
        <v>11</v>
      </c>
      <c r="BC423" t="s">
        <v>11</v>
      </c>
      <c r="BD423" t="s">
        <v>11</v>
      </c>
      <c r="BE423" t="s">
        <v>11</v>
      </c>
      <c r="BF423" t="s">
        <v>11</v>
      </c>
      <c r="BG423" t="s">
        <v>11</v>
      </c>
      <c r="BH423" t="s">
        <v>3165</v>
      </c>
      <c r="BI423" t="s">
        <v>3162</v>
      </c>
      <c r="BJ423" t="s">
        <v>3166</v>
      </c>
      <c r="BK423" t="s">
        <v>3167</v>
      </c>
    </row>
    <row r="424" spans="1:63" x14ac:dyDescent="0.3">
      <c r="A424" t="s">
        <v>3168</v>
      </c>
      <c r="B424" t="s">
        <v>5</v>
      </c>
      <c r="C424" t="s">
        <v>3169</v>
      </c>
      <c r="D424" t="s">
        <v>3170</v>
      </c>
      <c r="E424" t="s">
        <v>3157</v>
      </c>
      <c r="F424">
        <v>442</v>
      </c>
      <c r="G424">
        <v>78</v>
      </c>
      <c r="H424">
        <v>2</v>
      </c>
      <c r="L424">
        <v>5</v>
      </c>
      <c r="O424">
        <v>15</v>
      </c>
      <c r="AF424">
        <v>8.2620100000000001</v>
      </c>
      <c r="AI424" t="s">
        <v>0</v>
      </c>
      <c r="AJ424" t="s">
        <v>11</v>
      </c>
      <c r="AK424" t="s">
        <v>11</v>
      </c>
      <c r="AL424" t="s">
        <v>709</v>
      </c>
      <c r="AM424" t="s">
        <v>11</v>
      </c>
      <c r="AN424" t="s">
        <v>11</v>
      </c>
      <c r="AO424" t="s">
        <v>11</v>
      </c>
      <c r="AP424" t="s">
        <v>3158</v>
      </c>
      <c r="AQ424" t="s">
        <v>1145</v>
      </c>
      <c r="AR424" t="s">
        <v>11</v>
      </c>
      <c r="AS424" t="s">
        <v>11</v>
      </c>
      <c r="AT424" t="s">
        <v>11</v>
      </c>
      <c r="AU424" t="s">
        <v>11</v>
      </c>
      <c r="AV424" t="s">
        <v>11</v>
      </c>
      <c r="AW424" t="s">
        <v>11</v>
      </c>
      <c r="AX424" t="s">
        <v>11</v>
      </c>
      <c r="AY424" t="s">
        <v>11</v>
      </c>
      <c r="AZ424" t="s">
        <v>11</v>
      </c>
      <c r="BA424" t="s">
        <v>11</v>
      </c>
      <c r="BB424" t="s">
        <v>11</v>
      </c>
      <c r="BC424" t="s">
        <v>11</v>
      </c>
      <c r="BD424" t="s">
        <v>11</v>
      </c>
      <c r="BE424" t="s">
        <v>11</v>
      </c>
      <c r="BF424" t="s">
        <v>11</v>
      </c>
      <c r="BG424" t="s">
        <v>11</v>
      </c>
      <c r="BH424" t="s">
        <v>3171</v>
      </c>
      <c r="BI424" t="s">
        <v>3168</v>
      </c>
      <c r="BJ424" t="s">
        <v>3172</v>
      </c>
      <c r="BK424" t="s">
        <v>3173</v>
      </c>
    </row>
    <row r="425" spans="1:63" x14ac:dyDescent="0.3">
      <c r="A425" t="s">
        <v>3174</v>
      </c>
      <c r="B425" t="s">
        <v>95</v>
      </c>
      <c r="C425" t="s">
        <v>2142</v>
      </c>
      <c r="D425" t="s">
        <v>3175</v>
      </c>
      <c r="E425" t="s">
        <v>3176</v>
      </c>
      <c r="F425">
        <v>444</v>
      </c>
      <c r="G425">
        <v>83.5</v>
      </c>
      <c r="I425">
        <v>9</v>
      </c>
      <c r="K425">
        <v>7.5</v>
      </c>
      <c r="AF425">
        <v>9.1182499999999997</v>
      </c>
      <c r="AI425" t="s">
        <v>0</v>
      </c>
      <c r="AJ425" t="s">
        <v>128</v>
      </c>
      <c r="AK425" t="s">
        <v>195</v>
      </c>
      <c r="AL425" t="s">
        <v>11</v>
      </c>
      <c r="AM425" t="s">
        <v>11</v>
      </c>
      <c r="AN425" t="s">
        <v>11</v>
      </c>
      <c r="AO425" t="s">
        <v>11</v>
      </c>
      <c r="AP425" t="s">
        <v>11</v>
      </c>
      <c r="AQ425" t="s">
        <v>11</v>
      </c>
      <c r="AR425" t="s">
        <v>11</v>
      </c>
      <c r="AS425" t="s">
        <v>11</v>
      </c>
      <c r="AT425" t="s">
        <v>11</v>
      </c>
      <c r="AU425" t="s">
        <v>11</v>
      </c>
      <c r="AV425" t="s">
        <v>11</v>
      </c>
      <c r="AW425" t="s">
        <v>11</v>
      </c>
      <c r="AX425" t="s">
        <v>11</v>
      </c>
      <c r="AY425" t="s">
        <v>11</v>
      </c>
      <c r="AZ425" t="s">
        <v>11</v>
      </c>
      <c r="BA425" t="s">
        <v>11</v>
      </c>
      <c r="BB425" t="s">
        <v>11</v>
      </c>
      <c r="BC425" t="s">
        <v>11</v>
      </c>
      <c r="BD425" t="s">
        <v>11</v>
      </c>
      <c r="BE425" t="s">
        <v>11</v>
      </c>
      <c r="BF425" t="s">
        <v>11</v>
      </c>
      <c r="BG425" t="s">
        <v>11</v>
      </c>
      <c r="BH425" t="s">
        <v>3177</v>
      </c>
      <c r="BI425" t="s">
        <v>3174</v>
      </c>
      <c r="BJ425" t="s">
        <v>3178</v>
      </c>
      <c r="BK425" t="s">
        <v>3179</v>
      </c>
    </row>
    <row r="426" spans="1:63" x14ac:dyDescent="0.3">
      <c r="A426" t="s">
        <v>1735</v>
      </c>
      <c r="B426" t="s">
        <v>95</v>
      </c>
      <c r="C426" t="s">
        <v>1349</v>
      </c>
      <c r="D426" t="s">
        <v>3180</v>
      </c>
      <c r="E426" t="s">
        <v>3176</v>
      </c>
      <c r="F426">
        <v>445</v>
      </c>
      <c r="G426">
        <v>79.400000000000006</v>
      </c>
      <c r="I426">
        <v>8.8000000000000007</v>
      </c>
      <c r="K426">
        <v>9.8000000000000007</v>
      </c>
      <c r="M426">
        <v>2</v>
      </c>
      <c r="AF426">
        <v>9.5236999999999998</v>
      </c>
      <c r="AI426" t="s">
        <v>0</v>
      </c>
      <c r="AJ426" t="s">
        <v>261</v>
      </c>
      <c r="AK426" t="s">
        <v>1737</v>
      </c>
      <c r="AL426" t="s">
        <v>11</v>
      </c>
      <c r="AM426" t="s">
        <v>11</v>
      </c>
      <c r="AN426" t="s">
        <v>24</v>
      </c>
      <c r="AO426" t="s">
        <v>11</v>
      </c>
      <c r="AP426" t="s">
        <v>11</v>
      </c>
      <c r="AQ426" t="s">
        <v>11</v>
      </c>
      <c r="AR426" t="s">
        <v>11</v>
      </c>
      <c r="AS426" t="s">
        <v>11</v>
      </c>
      <c r="AT426" t="s">
        <v>11</v>
      </c>
      <c r="AU426" t="s">
        <v>11</v>
      </c>
      <c r="AV426" t="s">
        <v>11</v>
      </c>
      <c r="AW426" t="s">
        <v>11</v>
      </c>
      <c r="AX426" t="s">
        <v>11</v>
      </c>
      <c r="AY426" t="s">
        <v>11</v>
      </c>
      <c r="AZ426" t="s">
        <v>11</v>
      </c>
      <c r="BA426" t="s">
        <v>11</v>
      </c>
      <c r="BB426" t="s">
        <v>11</v>
      </c>
      <c r="BC426" t="s">
        <v>11</v>
      </c>
      <c r="BD426" t="s">
        <v>11</v>
      </c>
      <c r="BE426" t="s">
        <v>11</v>
      </c>
      <c r="BF426" t="s">
        <v>11</v>
      </c>
      <c r="BG426" t="s">
        <v>11</v>
      </c>
      <c r="BH426" t="s">
        <v>3181</v>
      </c>
      <c r="BI426" t="s">
        <v>1735</v>
      </c>
      <c r="BJ426" t="s">
        <v>1739</v>
      </c>
      <c r="BK426" t="s">
        <v>1740</v>
      </c>
    </row>
    <row r="427" spans="1:63" x14ac:dyDescent="0.3">
      <c r="A427" t="s">
        <v>3182</v>
      </c>
      <c r="B427" t="s">
        <v>95</v>
      </c>
      <c r="C427" t="s">
        <v>642</v>
      </c>
      <c r="D427" t="s">
        <v>2897</v>
      </c>
      <c r="E427" t="s">
        <v>3176</v>
      </c>
      <c r="F427">
        <v>446</v>
      </c>
      <c r="G427">
        <v>81.8</v>
      </c>
      <c r="I427">
        <v>9.1999999999999993</v>
      </c>
      <c r="K427">
        <v>9</v>
      </c>
      <c r="AF427">
        <v>9.2611000000000008</v>
      </c>
      <c r="AI427" t="s">
        <v>0</v>
      </c>
      <c r="AJ427" t="s">
        <v>717</v>
      </c>
      <c r="AK427" t="s">
        <v>252</v>
      </c>
      <c r="AL427" t="s">
        <v>11</v>
      </c>
      <c r="AM427" t="s">
        <v>11</v>
      </c>
      <c r="AN427" t="s">
        <v>11</v>
      </c>
      <c r="AO427" t="s">
        <v>11</v>
      </c>
      <c r="AP427" t="s">
        <v>11</v>
      </c>
      <c r="AQ427" t="s">
        <v>11</v>
      </c>
      <c r="AR427" t="s">
        <v>11</v>
      </c>
      <c r="AS427" t="s">
        <v>11</v>
      </c>
      <c r="AT427" t="s">
        <v>11</v>
      </c>
      <c r="AU427" t="s">
        <v>11</v>
      </c>
      <c r="AV427" t="s">
        <v>11</v>
      </c>
      <c r="AW427" t="s">
        <v>11</v>
      </c>
      <c r="AX427" t="s">
        <v>11</v>
      </c>
      <c r="AY427" t="s">
        <v>11</v>
      </c>
      <c r="AZ427" t="s">
        <v>11</v>
      </c>
      <c r="BA427" t="s">
        <v>11</v>
      </c>
      <c r="BB427" t="s">
        <v>11</v>
      </c>
      <c r="BC427" t="s">
        <v>11</v>
      </c>
      <c r="BD427" t="s">
        <v>11</v>
      </c>
      <c r="BE427" t="s">
        <v>11</v>
      </c>
      <c r="BF427" t="s">
        <v>11</v>
      </c>
      <c r="BG427" t="s">
        <v>11</v>
      </c>
      <c r="BH427" t="s">
        <v>3183</v>
      </c>
      <c r="BI427" t="s">
        <v>3182</v>
      </c>
      <c r="BJ427" t="s">
        <v>3184</v>
      </c>
      <c r="BK427" t="s">
        <v>3185</v>
      </c>
    </row>
    <row r="428" spans="1:63" x14ac:dyDescent="0.3">
      <c r="A428" t="s">
        <v>3186</v>
      </c>
      <c r="B428" t="s">
        <v>160</v>
      </c>
      <c r="C428" t="s">
        <v>3187</v>
      </c>
      <c r="D428" t="s">
        <v>3188</v>
      </c>
      <c r="E428" t="s">
        <v>3176</v>
      </c>
      <c r="F428">
        <v>447</v>
      </c>
      <c r="G428">
        <v>58</v>
      </c>
      <c r="H428">
        <v>20</v>
      </c>
      <c r="I428">
        <v>10</v>
      </c>
      <c r="K428">
        <v>10</v>
      </c>
      <c r="M428">
        <v>2</v>
      </c>
      <c r="AF428">
        <v>9.4716000000000005</v>
      </c>
      <c r="AI428" t="s">
        <v>0</v>
      </c>
      <c r="AJ428" t="s">
        <v>22</v>
      </c>
      <c r="AK428" t="s">
        <v>677</v>
      </c>
      <c r="AL428" t="s">
        <v>834</v>
      </c>
      <c r="AM428" t="s">
        <v>11</v>
      </c>
      <c r="AN428" t="s">
        <v>24</v>
      </c>
      <c r="AO428" t="s">
        <v>11</v>
      </c>
      <c r="AP428" t="s">
        <v>11</v>
      </c>
      <c r="AQ428" t="s">
        <v>11</v>
      </c>
      <c r="AR428" t="s">
        <v>11</v>
      </c>
      <c r="AS428" t="s">
        <v>11</v>
      </c>
      <c r="AT428" t="s">
        <v>11</v>
      </c>
      <c r="AU428" t="s">
        <v>11</v>
      </c>
      <c r="AV428" t="s">
        <v>11</v>
      </c>
      <c r="AW428" t="s">
        <v>11</v>
      </c>
      <c r="AX428" t="s">
        <v>11</v>
      </c>
      <c r="AY428" t="s">
        <v>11</v>
      </c>
      <c r="AZ428" t="s">
        <v>11</v>
      </c>
      <c r="BA428" t="s">
        <v>11</v>
      </c>
      <c r="BB428" t="s">
        <v>11</v>
      </c>
      <c r="BC428" t="s">
        <v>11</v>
      </c>
      <c r="BD428" t="s">
        <v>11</v>
      </c>
      <c r="BE428" t="s">
        <v>11</v>
      </c>
      <c r="BF428" t="s">
        <v>11</v>
      </c>
      <c r="BG428" t="s">
        <v>11</v>
      </c>
      <c r="BH428" t="s">
        <v>3189</v>
      </c>
      <c r="BI428" t="s">
        <v>3186</v>
      </c>
      <c r="BJ428" t="s">
        <v>3190</v>
      </c>
      <c r="BK428" t="s">
        <v>3191</v>
      </c>
    </row>
    <row r="429" spans="1:63" x14ac:dyDescent="0.3">
      <c r="A429" t="s">
        <v>3192</v>
      </c>
      <c r="B429" t="s">
        <v>95</v>
      </c>
      <c r="C429" t="s">
        <v>507</v>
      </c>
      <c r="D429" t="s">
        <v>3192</v>
      </c>
      <c r="E429" t="s">
        <v>3193</v>
      </c>
      <c r="F429">
        <v>448</v>
      </c>
      <c r="G429">
        <v>83.9</v>
      </c>
      <c r="I429">
        <v>8.8000000000000007</v>
      </c>
      <c r="K429">
        <v>7.3</v>
      </c>
      <c r="AF429">
        <v>9.1099499999999995</v>
      </c>
      <c r="AI429" t="s">
        <v>0</v>
      </c>
      <c r="AJ429" t="s">
        <v>261</v>
      </c>
      <c r="AK429" t="s">
        <v>509</v>
      </c>
      <c r="AL429" t="s">
        <v>11</v>
      </c>
      <c r="AM429" t="s">
        <v>11</v>
      </c>
      <c r="AN429" t="s">
        <v>11</v>
      </c>
      <c r="AO429" t="s">
        <v>11</v>
      </c>
      <c r="AP429" t="s">
        <v>11</v>
      </c>
      <c r="AQ429" t="s">
        <v>11</v>
      </c>
      <c r="AR429" t="s">
        <v>11</v>
      </c>
      <c r="AS429" t="s">
        <v>11</v>
      </c>
      <c r="AT429" t="s">
        <v>11</v>
      </c>
      <c r="AU429" t="s">
        <v>11</v>
      </c>
      <c r="AV429" t="s">
        <v>11</v>
      </c>
      <c r="AW429" t="s">
        <v>11</v>
      </c>
      <c r="AX429" t="s">
        <v>11</v>
      </c>
      <c r="AY429" t="s">
        <v>11</v>
      </c>
      <c r="AZ429" t="s">
        <v>11</v>
      </c>
      <c r="BA429" t="s">
        <v>11</v>
      </c>
      <c r="BB429" t="s">
        <v>11</v>
      </c>
      <c r="BC429" t="s">
        <v>11</v>
      </c>
      <c r="BD429" t="s">
        <v>11</v>
      </c>
      <c r="BE429" t="s">
        <v>11</v>
      </c>
      <c r="BF429" t="s">
        <v>11</v>
      </c>
      <c r="BG429" t="s">
        <v>11</v>
      </c>
      <c r="BH429" t="s">
        <v>3194</v>
      </c>
      <c r="BI429" t="s">
        <v>3192</v>
      </c>
      <c r="BJ429" t="s">
        <v>3195</v>
      </c>
      <c r="BK429" t="s">
        <v>3196</v>
      </c>
    </row>
    <row r="430" spans="1:63" x14ac:dyDescent="0.3">
      <c r="A430" t="s">
        <v>3197</v>
      </c>
      <c r="B430" t="s">
        <v>95</v>
      </c>
      <c r="C430" t="s">
        <v>3198</v>
      </c>
      <c r="D430" t="s">
        <v>3197</v>
      </c>
      <c r="E430" t="s">
        <v>3193</v>
      </c>
      <c r="F430">
        <v>449</v>
      </c>
      <c r="G430">
        <v>81.099999999999994</v>
      </c>
      <c r="I430">
        <v>9.6999999999999993</v>
      </c>
      <c r="K430">
        <v>7.1</v>
      </c>
      <c r="AC430">
        <v>2.1</v>
      </c>
      <c r="AF430">
        <v>9.1063200000000002</v>
      </c>
      <c r="AI430" t="s">
        <v>0</v>
      </c>
      <c r="AJ430" t="s">
        <v>1310</v>
      </c>
      <c r="AK430" t="s">
        <v>1468</v>
      </c>
      <c r="AL430" t="s">
        <v>11</v>
      </c>
      <c r="AM430" t="s">
        <v>11</v>
      </c>
      <c r="AN430" t="s">
        <v>11</v>
      </c>
      <c r="AO430" t="s">
        <v>11</v>
      </c>
      <c r="AP430" t="s">
        <v>11</v>
      </c>
      <c r="AQ430" t="s">
        <v>11</v>
      </c>
      <c r="AR430" t="s">
        <v>11</v>
      </c>
      <c r="AS430" t="s">
        <v>11</v>
      </c>
      <c r="AT430" t="s">
        <v>11</v>
      </c>
      <c r="AU430" t="s">
        <v>11</v>
      </c>
      <c r="AV430" t="s">
        <v>11</v>
      </c>
      <c r="AW430" t="s">
        <v>11</v>
      </c>
      <c r="AX430" t="s">
        <v>11</v>
      </c>
      <c r="AY430" t="s">
        <v>11</v>
      </c>
      <c r="AZ430" t="s">
        <v>11</v>
      </c>
      <c r="BA430" t="s">
        <v>11</v>
      </c>
      <c r="BB430" t="s">
        <v>11</v>
      </c>
      <c r="BC430" t="s">
        <v>11</v>
      </c>
      <c r="BD430" t="s">
        <v>11</v>
      </c>
      <c r="BE430" t="s">
        <v>3199</v>
      </c>
      <c r="BF430" t="s">
        <v>11</v>
      </c>
      <c r="BG430" t="s">
        <v>11</v>
      </c>
      <c r="BH430" t="s">
        <v>3200</v>
      </c>
      <c r="BI430" t="s">
        <v>3197</v>
      </c>
      <c r="BJ430" t="s">
        <v>3201</v>
      </c>
      <c r="BK430" t="s">
        <v>3202</v>
      </c>
    </row>
    <row r="431" spans="1:63" x14ac:dyDescent="0.3">
      <c r="A431" t="s">
        <v>3203</v>
      </c>
      <c r="B431" t="s">
        <v>95</v>
      </c>
      <c r="C431" t="s">
        <v>2885</v>
      </c>
      <c r="D431" t="s">
        <v>3204</v>
      </c>
      <c r="E431" t="s">
        <v>3205</v>
      </c>
      <c r="F431">
        <v>450</v>
      </c>
      <c r="G431">
        <v>72.400000000000006</v>
      </c>
      <c r="H431">
        <v>9.9</v>
      </c>
      <c r="I431">
        <v>8.8000000000000007</v>
      </c>
      <c r="K431">
        <v>8.9</v>
      </c>
      <c r="AF431">
        <v>9.2763420000000014</v>
      </c>
      <c r="AI431" t="s">
        <v>0</v>
      </c>
      <c r="AJ431" t="s">
        <v>261</v>
      </c>
      <c r="AK431" t="s">
        <v>556</v>
      </c>
      <c r="AL431" t="s">
        <v>3206</v>
      </c>
      <c r="AM431" t="s">
        <v>11</v>
      </c>
      <c r="AN431" t="s">
        <v>11</v>
      </c>
      <c r="AO431" t="s">
        <v>11</v>
      </c>
      <c r="AP431" t="s">
        <v>11</v>
      </c>
      <c r="AQ431" t="s">
        <v>11</v>
      </c>
      <c r="AR431" t="s">
        <v>11</v>
      </c>
      <c r="AS431" t="s">
        <v>11</v>
      </c>
      <c r="AT431" t="s">
        <v>11</v>
      </c>
      <c r="AU431" t="s">
        <v>11</v>
      </c>
      <c r="AV431" t="s">
        <v>11</v>
      </c>
      <c r="AW431" t="s">
        <v>11</v>
      </c>
      <c r="AX431" t="s">
        <v>11</v>
      </c>
      <c r="AY431" t="s">
        <v>11</v>
      </c>
      <c r="AZ431" t="s">
        <v>11</v>
      </c>
      <c r="BA431" t="s">
        <v>11</v>
      </c>
      <c r="BB431" t="s">
        <v>11</v>
      </c>
      <c r="BC431" t="s">
        <v>11</v>
      </c>
      <c r="BD431" t="s">
        <v>11</v>
      </c>
      <c r="BE431" t="s">
        <v>11</v>
      </c>
      <c r="BF431" t="s">
        <v>11</v>
      </c>
      <c r="BG431" t="s">
        <v>11</v>
      </c>
      <c r="BH431" t="s">
        <v>3207</v>
      </c>
      <c r="BI431" t="s">
        <v>3203</v>
      </c>
      <c r="BJ431" t="s">
        <v>3208</v>
      </c>
      <c r="BK431" t="s">
        <v>3209</v>
      </c>
    </row>
    <row r="432" spans="1:63" x14ac:dyDescent="0.3">
      <c r="A432" t="s">
        <v>3210</v>
      </c>
      <c r="B432" t="s">
        <v>160</v>
      </c>
      <c r="C432" t="s">
        <v>3211</v>
      </c>
      <c r="D432" t="s">
        <v>3212</v>
      </c>
      <c r="E432" t="s">
        <v>3213</v>
      </c>
      <c r="F432">
        <v>451</v>
      </c>
      <c r="G432">
        <v>63.5</v>
      </c>
      <c r="H432">
        <v>16</v>
      </c>
      <c r="I432">
        <v>9.5</v>
      </c>
      <c r="J432">
        <v>6</v>
      </c>
      <c r="K432">
        <v>5</v>
      </c>
      <c r="AF432">
        <v>8.7271799999999988</v>
      </c>
      <c r="AG432">
        <v>8.86</v>
      </c>
      <c r="AH432" t="s">
        <v>1657</v>
      </c>
      <c r="AI432" t="s">
        <v>0</v>
      </c>
      <c r="AJ432" t="s">
        <v>315</v>
      </c>
      <c r="AK432" t="s">
        <v>1491</v>
      </c>
      <c r="AL432" t="s">
        <v>2194</v>
      </c>
      <c r="AM432" t="s">
        <v>2195</v>
      </c>
      <c r="AN432" t="s">
        <v>11</v>
      </c>
      <c r="AO432" t="s">
        <v>11</v>
      </c>
      <c r="AP432" t="s">
        <v>11</v>
      </c>
      <c r="AQ432" t="s">
        <v>11</v>
      </c>
      <c r="AR432" t="s">
        <v>11</v>
      </c>
      <c r="AS432" t="s">
        <v>11</v>
      </c>
      <c r="AT432" t="s">
        <v>11</v>
      </c>
      <c r="AU432" t="s">
        <v>11</v>
      </c>
      <c r="AV432" t="s">
        <v>11</v>
      </c>
      <c r="AW432" t="s">
        <v>11</v>
      </c>
      <c r="AX432" t="s">
        <v>11</v>
      </c>
      <c r="AY432" t="s">
        <v>11</v>
      </c>
      <c r="AZ432" t="s">
        <v>11</v>
      </c>
      <c r="BA432" t="s">
        <v>11</v>
      </c>
      <c r="BB432" t="s">
        <v>11</v>
      </c>
      <c r="BC432" t="s">
        <v>11</v>
      </c>
      <c r="BD432" t="s">
        <v>11</v>
      </c>
      <c r="BE432" t="s">
        <v>11</v>
      </c>
      <c r="BF432" t="s">
        <v>11</v>
      </c>
      <c r="BG432" t="s">
        <v>11</v>
      </c>
      <c r="BH432" t="s">
        <v>3214</v>
      </c>
      <c r="BI432" t="s">
        <v>3210</v>
      </c>
      <c r="BJ432" t="s">
        <v>3215</v>
      </c>
      <c r="BK432" t="s">
        <v>3216</v>
      </c>
    </row>
    <row r="433" spans="1:63" x14ac:dyDescent="0.3">
      <c r="A433" t="s">
        <v>3217</v>
      </c>
      <c r="B433" t="s">
        <v>160</v>
      </c>
      <c r="C433" t="s">
        <v>3218</v>
      </c>
      <c r="D433" t="s">
        <v>3219</v>
      </c>
      <c r="E433" t="s">
        <v>3213</v>
      </c>
      <c r="F433">
        <v>452</v>
      </c>
      <c r="G433">
        <v>61.7</v>
      </c>
      <c r="H433">
        <v>16</v>
      </c>
      <c r="I433">
        <v>9.5</v>
      </c>
      <c r="J433">
        <v>6</v>
      </c>
      <c r="K433">
        <v>5</v>
      </c>
      <c r="M433">
        <v>1.8</v>
      </c>
      <c r="AF433">
        <v>8.8666800000000006</v>
      </c>
      <c r="AG433">
        <v>9.09</v>
      </c>
      <c r="AH433" t="s">
        <v>1657</v>
      </c>
      <c r="AI433" t="s">
        <v>0</v>
      </c>
      <c r="AJ433" t="s">
        <v>315</v>
      </c>
      <c r="AK433" t="s">
        <v>1491</v>
      </c>
      <c r="AL433" t="s">
        <v>2194</v>
      </c>
      <c r="AM433" t="s">
        <v>2195</v>
      </c>
      <c r="AN433" t="s">
        <v>205</v>
      </c>
      <c r="AO433" t="s">
        <v>11</v>
      </c>
      <c r="AP433" t="s">
        <v>11</v>
      </c>
      <c r="AQ433" t="s">
        <v>11</v>
      </c>
      <c r="AR433" t="s">
        <v>11</v>
      </c>
      <c r="AS433" t="s">
        <v>11</v>
      </c>
      <c r="AT433" t="s">
        <v>11</v>
      </c>
      <c r="AU433" t="s">
        <v>11</v>
      </c>
      <c r="AV433" t="s">
        <v>11</v>
      </c>
      <c r="AW433" t="s">
        <v>11</v>
      </c>
      <c r="AX433" t="s">
        <v>11</v>
      </c>
      <c r="AY433" t="s">
        <v>11</v>
      </c>
      <c r="AZ433" t="s">
        <v>11</v>
      </c>
      <c r="BA433" t="s">
        <v>11</v>
      </c>
      <c r="BB433" t="s">
        <v>11</v>
      </c>
      <c r="BC433" t="s">
        <v>11</v>
      </c>
      <c r="BD433" t="s">
        <v>11</v>
      </c>
      <c r="BE433" t="s">
        <v>11</v>
      </c>
      <c r="BF433" t="s">
        <v>11</v>
      </c>
      <c r="BG433" t="s">
        <v>11</v>
      </c>
      <c r="BH433" t="s">
        <v>3220</v>
      </c>
      <c r="BI433" t="s">
        <v>3217</v>
      </c>
      <c r="BJ433" t="s">
        <v>3221</v>
      </c>
      <c r="BK433" t="s">
        <v>3222</v>
      </c>
    </row>
    <row r="434" spans="1:63" x14ac:dyDescent="0.3">
      <c r="A434" t="s">
        <v>3223</v>
      </c>
      <c r="B434" t="s">
        <v>160</v>
      </c>
      <c r="C434" t="s">
        <v>3224</v>
      </c>
      <c r="D434" t="s">
        <v>3225</v>
      </c>
      <c r="E434" t="s">
        <v>3213</v>
      </c>
      <c r="F434">
        <v>453</v>
      </c>
      <c r="G434">
        <v>60.7</v>
      </c>
      <c r="H434">
        <v>16</v>
      </c>
      <c r="I434">
        <v>9.5</v>
      </c>
      <c r="J434">
        <v>6</v>
      </c>
      <c r="K434">
        <v>5</v>
      </c>
      <c r="M434">
        <v>2.8</v>
      </c>
      <c r="AF434">
        <v>8.9441799999999994</v>
      </c>
      <c r="AG434">
        <v>9.32</v>
      </c>
      <c r="AH434" t="s">
        <v>1657</v>
      </c>
      <c r="AI434" t="s">
        <v>0</v>
      </c>
      <c r="AJ434" t="s">
        <v>315</v>
      </c>
      <c r="AK434" t="s">
        <v>1491</v>
      </c>
      <c r="AL434" t="s">
        <v>2194</v>
      </c>
      <c r="AM434" t="s">
        <v>2195</v>
      </c>
      <c r="AN434" t="s">
        <v>1747</v>
      </c>
      <c r="AO434" t="s">
        <v>11</v>
      </c>
      <c r="AP434" t="s">
        <v>11</v>
      </c>
      <c r="AQ434" t="s">
        <v>11</v>
      </c>
      <c r="AR434" t="s">
        <v>11</v>
      </c>
      <c r="AS434" t="s">
        <v>11</v>
      </c>
      <c r="AT434" t="s">
        <v>11</v>
      </c>
      <c r="AU434" t="s">
        <v>11</v>
      </c>
      <c r="AV434" t="s">
        <v>11</v>
      </c>
      <c r="AW434" t="s">
        <v>11</v>
      </c>
      <c r="AX434" t="s">
        <v>11</v>
      </c>
      <c r="AY434" t="s">
        <v>11</v>
      </c>
      <c r="AZ434" t="s">
        <v>11</v>
      </c>
      <c r="BA434" t="s">
        <v>11</v>
      </c>
      <c r="BB434" t="s">
        <v>11</v>
      </c>
      <c r="BC434" t="s">
        <v>11</v>
      </c>
      <c r="BD434" t="s">
        <v>11</v>
      </c>
      <c r="BE434" t="s">
        <v>11</v>
      </c>
      <c r="BF434" t="s">
        <v>11</v>
      </c>
      <c r="BG434" t="s">
        <v>11</v>
      </c>
      <c r="BH434" t="s">
        <v>3226</v>
      </c>
      <c r="BI434" t="s">
        <v>3223</v>
      </c>
      <c r="BJ434" t="s">
        <v>3227</v>
      </c>
      <c r="BK434" t="s">
        <v>3228</v>
      </c>
    </row>
    <row r="435" spans="1:63" x14ac:dyDescent="0.3">
      <c r="A435" t="s">
        <v>3229</v>
      </c>
      <c r="B435" t="s">
        <v>514</v>
      </c>
      <c r="C435" t="s">
        <v>3230</v>
      </c>
      <c r="D435" t="s">
        <v>3231</v>
      </c>
      <c r="E435" t="s">
        <v>3232</v>
      </c>
      <c r="F435">
        <v>454</v>
      </c>
      <c r="G435">
        <v>66</v>
      </c>
      <c r="H435">
        <v>17</v>
      </c>
      <c r="I435">
        <v>9</v>
      </c>
      <c r="K435">
        <v>5</v>
      </c>
      <c r="L435">
        <v>3</v>
      </c>
      <c r="AF435">
        <v>8.7290700000000001</v>
      </c>
      <c r="AG435">
        <v>8.8699999999999992</v>
      </c>
      <c r="AH435" t="s">
        <v>1657</v>
      </c>
      <c r="AI435" t="s">
        <v>0</v>
      </c>
      <c r="AJ435" t="s">
        <v>128</v>
      </c>
      <c r="AK435" t="s">
        <v>1491</v>
      </c>
      <c r="AL435" t="s">
        <v>1143</v>
      </c>
      <c r="AM435" t="s">
        <v>11</v>
      </c>
      <c r="AN435" t="s">
        <v>11</v>
      </c>
      <c r="AO435" t="s">
        <v>11</v>
      </c>
      <c r="AP435" t="s">
        <v>11</v>
      </c>
      <c r="AQ435" t="s">
        <v>1944</v>
      </c>
      <c r="AR435" t="s">
        <v>11</v>
      </c>
      <c r="AS435" t="s">
        <v>11</v>
      </c>
      <c r="AT435" t="s">
        <v>11</v>
      </c>
      <c r="AU435" t="s">
        <v>11</v>
      </c>
      <c r="AV435" t="s">
        <v>11</v>
      </c>
      <c r="AW435" t="s">
        <v>11</v>
      </c>
      <c r="AX435" t="s">
        <v>11</v>
      </c>
      <c r="AY435" t="s">
        <v>11</v>
      </c>
      <c r="AZ435" t="s">
        <v>11</v>
      </c>
      <c r="BA435" t="s">
        <v>11</v>
      </c>
      <c r="BB435" t="s">
        <v>11</v>
      </c>
      <c r="BC435" t="s">
        <v>11</v>
      </c>
      <c r="BD435" t="s">
        <v>11</v>
      </c>
      <c r="BE435" t="s">
        <v>11</v>
      </c>
      <c r="BF435" t="s">
        <v>11</v>
      </c>
      <c r="BG435" t="s">
        <v>11</v>
      </c>
      <c r="BH435" t="s">
        <v>3233</v>
      </c>
      <c r="BI435" t="s">
        <v>3229</v>
      </c>
      <c r="BJ435" t="s">
        <v>3234</v>
      </c>
      <c r="BK435" t="s">
        <v>3235</v>
      </c>
    </row>
    <row r="436" spans="1:63" x14ac:dyDescent="0.3">
      <c r="A436" t="s">
        <v>3236</v>
      </c>
      <c r="B436" t="s">
        <v>160</v>
      </c>
      <c r="C436" t="s">
        <v>3237</v>
      </c>
      <c r="D436" t="s">
        <v>1567</v>
      </c>
      <c r="E436" t="s">
        <v>3238</v>
      </c>
      <c r="F436">
        <v>455</v>
      </c>
      <c r="G436">
        <v>59.3</v>
      </c>
      <c r="H436">
        <v>17</v>
      </c>
      <c r="I436">
        <v>10</v>
      </c>
      <c r="J436">
        <v>6</v>
      </c>
      <c r="K436">
        <v>5</v>
      </c>
      <c r="M436">
        <v>2.7</v>
      </c>
      <c r="AF436">
        <v>8.9055099999999996</v>
      </c>
      <c r="AG436">
        <v>9.32</v>
      </c>
      <c r="AH436" t="s">
        <v>1657</v>
      </c>
      <c r="AI436" t="s">
        <v>0</v>
      </c>
      <c r="AJ436" t="s">
        <v>22</v>
      </c>
      <c r="AK436" t="s">
        <v>1491</v>
      </c>
      <c r="AL436" t="s">
        <v>1143</v>
      </c>
      <c r="AM436" t="s">
        <v>2195</v>
      </c>
      <c r="AN436" t="s">
        <v>1229</v>
      </c>
      <c r="AO436" t="s">
        <v>11</v>
      </c>
      <c r="AP436" t="s">
        <v>11</v>
      </c>
      <c r="AQ436" t="s">
        <v>11</v>
      </c>
      <c r="AR436" t="s">
        <v>11</v>
      </c>
      <c r="AS436" t="s">
        <v>11</v>
      </c>
      <c r="AT436" t="s">
        <v>11</v>
      </c>
      <c r="AU436" t="s">
        <v>11</v>
      </c>
      <c r="AV436" t="s">
        <v>11</v>
      </c>
      <c r="AW436" t="s">
        <v>11</v>
      </c>
      <c r="AX436" t="s">
        <v>11</v>
      </c>
      <c r="AY436" t="s">
        <v>11</v>
      </c>
      <c r="AZ436" t="s">
        <v>11</v>
      </c>
      <c r="BA436" t="s">
        <v>11</v>
      </c>
      <c r="BB436" t="s">
        <v>11</v>
      </c>
      <c r="BC436" t="s">
        <v>11</v>
      </c>
      <c r="BD436" t="s">
        <v>11</v>
      </c>
      <c r="BE436" t="s">
        <v>11</v>
      </c>
      <c r="BF436" t="s">
        <v>11</v>
      </c>
      <c r="BG436" t="s">
        <v>11</v>
      </c>
      <c r="BH436" t="s">
        <v>3239</v>
      </c>
      <c r="BI436" t="s">
        <v>3236</v>
      </c>
      <c r="BJ436" t="s">
        <v>3240</v>
      </c>
      <c r="BK436" t="s">
        <v>3241</v>
      </c>
    </row>
    <row r="437" spans="1:63" x14ac:dyDescent="0.3">
      <c r="A437" t="s">
        <v>3242</v>
      </c>
      <c r="B437" t="s">
        <v>95</v>
      </c>
      <c r="C437" t="s">
        <v>3243</v>
      </c>
      <c r="D437" t="s">
        <v>3244</v>
      </c>
      <c r="E437" t="s">
        <v>3245</v>
      </c>
      <c r="F437">
        <v>456</v>
      </c>
      <c r="G437">
        <v>70</v>
      </c>
      <c r="H437">
        <v>10</v>
      </c>
      <c r="I437">
        <v>10</v>
      </c>
      <c r="K437">
        <v>10</v>
      </c>
      <c r="AF437">
        <v>9.3158000000000012</v>
      </c>
      <c r="AI437" t="s">
        <v>0</v>
      </c>
      <c r="AJ437" t="s">
        <v>22</v>
      </c>
      <c r="AK437" t="s">
        <v>677</v>
      </c>
      <c r="AL437" t="s">
        <v>520</v>
      </c>
      <c r="AM437" t="s">
        <v>11</v>
      </c>
      <c r="AN437" t="s">
        <v>11</v>
      </c>
      <c r="AO437" t="s">
        <v>11</v>
      </c>
      <c r="AP437" t="s">
        <v>11</v>
      </c>
      <c r="AQ437" t="s">
        <v>11</v>
      </c>
      <c r="AR437" t="s">
        <v>11</v>
      </c>
      <c r="AS437" t="s">
        <v>11</v>
      </c>
      <c r="AT437" t="s">
        <v>11</v>
      </c>
      <c r="AU437" t="s">
        <v>11</v>
      </c>
      <c r="AV437" t="s">
        <v>11</v>
      </c>
      <c r="AW437" t="s">
        <v>11</v>
      </c>
      <c r="AX437" t="s">
        <v>11</v>
      </c>
      <c r="AY437" t="s">
        <v>11</v>
      </c>
      <c r="AZ437" t="s">
        <v>11</v>
      </c>
      <c r="BA437" t="s">
        <v>11</v>
      </c>
      <c r="BB437" t="s">
        <v>11</v>
      </c>
      <c r="BC437" t="s">
        <v>11</v>
      </c>
      <c r="BD437" t="s">
        <v>11</v>
      </c>
      <c r="BE437" t="s">
        <v>11</v>
      </c>
      <c r="BF437" t="s">
        <v>11</v>
      </c>
      <c r="BG437" t="s">
        <v>11</v>
      </c>
      <c r="BH437" t="s">
        <v>3246</v>
      </c>
      <c r="BI437" t="s">
        <v>3242</v>
      </c>
      <c r="BJ437" t="s">
        <v>3247</v>
      </c>
      <c r="BK437" t="s">
        <v>3248</v>
      </c>
    </row>
    <row r="438" spans="1:63" x14ac:dyDescent="0.3">
      <c r="A438" t="s">
        <v>3249</v>
      </c>
      <c r="B438" t="s">
        <v>95</v>
      </c>
      <c r="C438" t="s">
        <v>3250</v>
      </c>
      <c r="D438" t="s">
        <v>3251</v>
      </c>
      <c r="E438" t="s">
        <v>3245</v>
      </c>
      <c r="F438">
        <v>457</v>
      </c>
      <c r="G438">
        <v>72.5</v>
      </c>
      <c r="H438">
        <v>10</v>
      </c>
      <c r="I438">
        <v>10</v>
      </c>
      <c r="K438">
        <v>7.5</v>
      </c>
      <c r="AF438">
        <v>9.0570500000000003</v>
      </c>
      <c r="AI438" t="s">
        <v>0</v>
      </c>
      <c r="AJ438" t="s">
        <v>22</v>
      </c>
      <c r="AK438" t="s">
        <v>195</v>
      </c>
      <c r="AL438" t="s">
        <v>520</v>
      </c>
      <c r="AM438" t="s">
        <v>11</v>
      </c>
      <c r="AN438" t="s">
        <v>11</v>
      </c>
      <c r="AO438" t="s">
        <v>11</v>
      </c>
      <c r="AP438" t="s">
        <v>11</v>
      </c>
      <c r="AQ438" t="s">
        <v>11</v>
      </c>
      <c r="AR438" t="s">
        <v>11</v>
      </c>
      <c r="AS438" t="s">
        <v>11</v>
      </c>
      <c r="AT438" t="s">
        <v>11</v>
      </c>
      <c r="AU438" t="s">
        <v>11</v>
      </c>
      <c r="AV438" t="s">
        <v>11</v>
      </c>
      <c r="AW438" t="s">
        <v>11</v>
      </c>
      <c r="AX438" t="s">
        <v>11</v>
      </c>
      <c r="AY438" t="s">
        <v>11</v>
      </c>
      <c r="AZ438" t="s">
        <v>11</v>
      </c>
      <c r="BA438" t="s">
        <v>11</v>
      </c>
      <c r="BB438" t="s">
        <v>11</v>
      </c>
      <c r="BC438" t="s">
        <v>11</v>
      </c>
      <c r="BD438" t="s">
        <v>11</v>
      </c>
      <c r="BE438" t="s">
        <v>11</v>
      </c>
      <c r="BF438" t="s">
        <v>11</v>
      </c>
      <c r="BG438" t="s">
        <v>11</v>
      </c>
      <c r="BH438" t="s">
        <v>3252</v>
      </c>
      <c r="BI438" t="s">
        <v>3249</v>
      </c>
      <c r="BJ438" t="s">
        <v>3253</v>
      </c>
      <c r="BK438" t="s">
        <v>3254</v>
      </c>
    </row>
    <row r="439" spans="1:63" x14ac:dyDescent="0.3">
      <c r="A439" t="s">
        <v>3255</v>
      </c>
      <c r="B439" t="s">
        <v>95</v>
      </c>
      <c r="C439" t="s">
        <v>3256</v>
      </c>
      <c r="D439" t="s">
        <v>3257</v>
      </c>
      <c r="E439" t="s">
        <v>3245</v>
      </c>
      <c r="F439">
        <v>458</v>
      </c>
      <c r="G439">
        <v>70</v>
      </c>
      <c r="H439">
        <v>10</v>
      </c>
      <c r="I439">
        <v>12.5</v>
      </c>
      <c r="K439">
        <v>7.5</v>
      </c>
      <c r="AF439">
        <v>8.9020500000000009</v>
      </c>
      <c r="AI439" t="s">
        <v>0</v>
      </c>
      <c r="AJ439" t="s">
        <v>3258</v>
      </c>
      <c r="AK439" t="s">
        <v>195</v>
      </c>
      <c r="AL439" t="s">
        <v>520</v>
      </c>
      <c r="AM439" t="s">
        <v>11</v>
      </c>
      <c r="AN439" t="s">
        <v>11</v>
      </c>
      <c r="AO439" t="s">
        <v>11</v>
      </c>
      <c r="AP439" t="s">
        <v>11</v>
      </c>
      <c r="AQ439" t="s">
        <v>11</v>
      </c>
      <c r="AR439" t="s">
        <v>11</v>
      </c>
      <c r="AS439" t="s">
        <v>11</v>
      </c>
      <c r="AT439" t="s">
        <v>11</v>
      </c>
      <c r="AU439" t="s">
        <v>11</v>
      </c>
      <c r="AV439" t="s">
        <v>11</v>
      </c>
      <c r="AW439" t="s">
        <v>11</v>
      </c>
      <c r="AX439" t="s">
        <v>11</v>
      </c>
      <c r="AY439" t="s">
        <v>11</v>
      </c>
      <c r="AZ439" t="s">
        <v>11</v>
      </c>
      <c r="BA439" t="s">
        <v>11</v>
      </c>
      <c r="BB439" t="s">
        <v>11</v>
      </c>
      <c r="BC439" t="s">
        <v>11</v>
      </c>
      <c r="BD439" t="s">
        <v>11</v>
      </c>
      <c r="BE439" t="s">
        <v>11</v>
      </c>
      <c r="BF439" t="s">
        <v>11</v>
      </c>
      <c r="BG439" t="s">
        <v>11</v>
      </c>
      <c r="BH439" t="s">
        <v>3259</v>
      </c>
      <c r="BI439" t="s">
        <v>3255</v>
      </c>
      <c r="BJ439" t="s">
        <v>3260</v>
      </c>
      <c r="BK439" t="s">
        <v>3261</v>
      </c>
    </row>
    <row r="440" spans="1:63" x14ac:dyDescent="0.3">
      <c r="A440" t="s">
        <v>3262</v>
      </c>
      <c r="B440" t="s">
        <v>95</v>
      </c>
      <c r="C440" t="s">
        <v>3263</v>
      </c>
      <c r="D440" t="s">
        <v>3264</v>
      </c>
      <c r="E440" t="s">
        <v>3245</v>
      </c>
      <c r="F440">
        <v>459</v>
      </c>
      <c r="G440">
        <v>60</v>
      </c>
      <c r="H440">
        <v>20</v>
      </c>
      <c r="I440">
        <v>10</v>
      </c>
      <c r="K440">
        <v>10</v>
      </c>
      <c r="AF440">
        <v>9.3165999999999993</v>
      </c>
      <c r="AI440" t="s">
        <v>0</v>
      </c>
      <c r="AJ440" t="s">
        <v>22</v>
      </c>
      <c r="AK440" t="s">
        <v>677</v>
      </c>
      <c r="AL440" t="s">
        <v>834</v>
      </c>
      <c r="AM440" t="s">
        <v>11</v>
      </c>
      <c r="AN440" t="s">
        <v>11</v>
      </c>
      <c r="AO440" t="s">
        <v>11</v>
      </c>
      <c r="AP440" t="s">
        <v>11</v>
      </c>
      <c r="AQ440" t="s">
        <v>11</v>
      </c>
      <c r="AR440" t="s">
        <v>11</v>
      </c>
      <c r="AS440" t="s">
        <v>11</v>
      </c>
      <c r="AT440" t="s">
        <v>11</v>
      </c>
      <c r="AU440" t="s">
        <v>11</v>
      </c>
      <c r="AV440" t="s">
        <v>11</v>
      </c>
      <c r="AW440" t="s">
        <v>11</v>
      </c>
      <c r="AX440" t="s">
        <v>11</v>
      </c>
      <c r="AY440" t="s">
        <v>11</v>
      </c>
      <c r="AZ440" t="s">
        <v>11</v>
      </c>
      <c r="BA440" t="s">
        <v>11</v>
      </c>
      <c r="BB440" t="s">
        <v>11</v>
      </c>
      <c r="BC440" t="s">
        <v>11</v>
      </c>
      <c r="BD440" t="s">
        <v>11</v>
      </c>
      <c r="BE440" t="s">
        <v>11</v>
      </c>
      <c r="BF440" t="s">
        <v>11</v>
      </c>
      <c r="BG440" t="s">
        <v>11</v>
      </c>
      <c r="BH440" t="s">
        <v>3265</v>
      </c>
      <c r="BI440" t="s">
        <v>3262</v>
      </c>
      <c r="BJ440" t="s">
        <v>3266</v>
      </c>
      <c r="BK440" t="s">
        <v>3267</v>
      </c>
    </row>
    <row r="441" spans="1:63" x14ac:dyDescent="0.3">
      <c r="A441" t="s">
        <v>3268</v>
      </c>
      <c r="B441" t="s">
        <v>95</v>
      </c>
      <c r="C441" t="s">
        <v>3269</v>
      </c>
      <c r="D441" t="s">
        <v>3270</v>
      </c>
      <c r="E441" t="s">
        <v>3245</v>
      </c>
      <c r="F441">
        <v>460</v>
      </c>
      <c r="G441">
        <v>62.5</v>
      </c>
      <c r="H441">
        <v>20</v>
      </c>
      <c r="I441">
        <v>10</v>
      </c>
      <c r="K441">
        <v>7.5</v>
      </c>
      <c r="AF441">
        <v>9.0578500000000002</v>
      </c>
      <c r="AI441" t="s">
        <v>0</v>
      </c>
      <c r="AJ441" t="s">
        <v>22</v>
      </c>
      <c r="AK441" t="s">
        <v>195</v>
      </c>
      <c r="AL441" t="s">
        <v>834</v>
      </c>
      <c r="AM441" t="s">
        <v>11</v>
      </c>
      <c r="AN441" t="s">
        <v>11</v>
      </c>
      <c r="AO441" t="s">
        <v>11</v>
      </c>
      <c r="AP441" t="s">
        <v>11</v>
      </c>
      <c r="AQ441" t="s">
        <v>11</v>
      </c>
      <c r="AR441" t="s">
        <v>11</v>
      </c>
      <c r="AS441" t="s">
        <v>11</v>
      </c>
      <c r="AT441" t="s">
        <v>11</v>
      </c>
      <c r="AU441" t="s">
        <v>11</v>
      </c>
      <c r="AV441" t="s">
        <v>11</v>
      </c>
      <c r="AW441" t="s">
        <v>11</v>
      </c>
      <c r="AX441" t="s">
        <v>11</v>
      </c>
      <c r="AY441" t="s">
        <v>11</v>
      </c>
      <c r="AZ441" t="s">
        <v>11</v>
      </c>
      <c r="BA441" t="s">
        <v>11</v>
      </c>
      <c r="BB441" t="s">
        <v>11</v>
      </c>
      <c r="BC441" t="s">
        <v>11</v>
      </c>
      <c r="BD441" t="s">
        <v>11</v>
      </c>
      <c r="BE441" t="s">
        <v>11</v>
      </c>
      <c r="BF441" t="s">
        <v>11</v>
      </c>
      <c r="BG441" t="s">
        <v>11</v>
      </c>
      <c r="BH441" t="s">
        <v>3271</v>
      </c>
      <c r="BI441" t="s">
        <v>3268</v>
      </c>
      <c r="BJ441" t="s">
        <v>3272</v>
      </c>
      <c r="BK441" t="s">
        <v>3273</v>
      </c>
    </row>
    <row r="442" spans="1:63" x14ac:dyDescent="0.3">
      <c r="A442" t="s">
        <v>3274</v>
      </c>
      <c r="B442" t="s">
        <v>160</v>
      </c>
      <c r="C442" t="s">
        <v>3275</v>
      </c>
      <c r="D442" t="s">
        <v>3276</v>
      </c>
      <c r="E442" t="s">
        <v>3245</v>
      </c>
      <c r="F442">
        <v>461</v>
      </c>
      <c r="G442">
        <v>62.5</v>
      </c>
      <c r="H442">
        <v>20</v>
      </c>
      <c r="I442">
        <v>12.5</v>
      </c>
      <c r="K442">
        <v>5</v>
      </c>
      <c r="AF442">
        <v>8.6440999999999999</v>
      </c>
      <c r="AI442" t="s">
        <v>0</v>
      </c>
      <c r="AJ442" t="s">
        <v>3258</v>
      </c>
      <c r="AK442" t="s">
        <v>1491</v>
      </c>
      <c r="AL442" t="s">
        <v>834</v>
      </c>
      <c r="AM442" t="s">
        <v>11</v>
      </c>
      <c r="AN442" t="s">
        <v>11</v>
      </c>
      <c r="AO442" t="s">
        <v>11</v>
      </c>
      <c r="AP442" t="s">
        <v>11</v>
      </c>
      <c r="AQ442" t="s">
        <v>11</v>
      </c>
      <c r="AR442" t="s">
        <v>11</v>
      </c>
      <c r="AS442" t="s">
        <v>11</v>
      </c>
      <c r="AT442" t="s">
        <v>11</v>
      </c>
      <c r="AU442" t="s">
        <v>11</v>
      </c>
      <c r="AV442" t="s">
        <v>11</v>
      </c>
      <c r="AW442" t="s">
        <v>11</v>
      </c>
      <c r="AX442" t="s">
        <v>11</v>
      </c>
      <c r="AY442" t="s">
        <v>11</v>
      </c>
      <c r="AZ442" t="s">
        <v>11</v>
      </c>
      <c r="BA442" t="s">
        <v>11</v>
      </c>
      <c r="BB442" t="s">
        <v>11</v>
      </c>
      <c r="BC442" t="s">
        <v>11</v>
      </c>
      <c r="BD442" t="s">
        <v>11</v>
      </c>
      <c r="BE442" t="s">
        <v>11</v>
      </c>
      <c r="BF442" t="s">
        <v>11</v>
      </c>
      <c r="BG442" t="s">
        <v>11</v>
      </c>
      <c r="BH442" t="s">
        <v>3277</v>
      </c>
      <c r="BI442" t="s">
        <v>3274</v>
      </c>
      <c r="BJ442" t="s">
        <v>3278</v>
      </c>
      <c r="BK442" t="s">
        <v>3279</v>
      </c>
    </row>
    <row r="443" spans="1:63" x14ac:dyDescent="0.3">
      <c r="A443" t="s">
        <v>3280</v>
      </c>
      <c r="B443" t="s">
        <v>160</v>
      </c>
      <c r="C443" t="s">
        <v>3281</v>
      </c>
      <c r="D443" t="s">
        <v>3282</v>
      </c>
      <c r="E443" t="s">
        <v>3245</v>
      </c>
      <c r="F443">
        <v>462</v>
      </c>
      <c r="G443">
        <v>60</v>
      </c>
      <c r="H443">
        <v>20</v>
      </c>
      <c r="I443">
        <v>15</v>
      </c>
      <c r="K443">
        <v>5</v>
      </c>
      <c r="AF443">
        <v>8.4891000000000005</v>
      </c>
      <c r="AI443" t="s">
        <v>0</v>
      </c>
      <c r="AJ443" t="s">
        <v>3283</v>
      </c>
      <c r="AK443" t="s">
        <v>1491</v>
      </c>
      <c r="AL443" t="s">
        <v>834</v>
      </c>
      <c r="AM443" t="s">
        <v>11</v>
      </c>
      <c r="AN443" t="s">
        <v>11</v>
      </c>
      <c r="AO443" t="s">
        <v>11</v>
      </c>
      <c r="AP443" t="s">
        <v>11</v>
      </c>
      <c r="AQ443" t="s">
        <v>11</v>
      </c>
      <c r="AR443" t="s">
        <v>11</v>
      </c>
      <c r="AS443" t="s">
        <v>11</v>
      </c>
      <c r="AT443" t="s">
        <v>11</v>
      </c>
      <c r="AU443" t="s">
        <v>11</v>
      </c>
      <c r="AV443" t="s">
        <v>11</v>
      </c>
      <c r="AW443" t="s">
        <v>11</v>
      </c>
      <c r="AX443" t="s">
        <v>11</v>
      </c>
      <c r="AY443" t="s">
        <v>11</v>
      </c>
      <c r="AZ443" t="s">
        <v>11</v>
      </c>
      <c r="BA443" t="s">
        <v>11</v>
      </c>
      <c r="BB443" t="s">
        <v>11</v>
      </c>
      <c r="BC443" t="s">
        <v>11</v>
      </c>
      <c r="BD443" t="s">
        <v>11</v>
      </c>
      <c r="BE443" t="s">
        <v>11</v>
      </c>
      <c r="BF443" t="s">
        <v>11</v>
      </c>
      <c r="BG443" t="s">
        <v>11</v>
      </c>
      <c r="BH443" t="s">
        <v>3284</v>
      </c>
      <c r="BI443" t="s">
        <v>3280</v>
      </c>
      <c r="BJ443" t="s">
        <v>3285</v>
      </c>
      <c r="BK443" t="s">
        <v>3286</v>
      </c>
    </row>
    <row r="444" spans="1:63" x14ac:dyDescent="0.3">
      <c r="A444" t="s">
        <v>3287</v>
      </c>
      <c r="B444" t="s">
        <v>95</v>
      </c>
      <c r="C444" t="s">
        <v>3288</v>
      </c>
      <c r="D444" t="s">
        <v>3289</v>
      </c>
      <c r="E444" t="s">
        <v>3245</v>
      </c>
      <c r="F444">
        <v>463</v>
      </c>
      <c r="G444">
        <v>50</v>
      </c>
      <c r="H444">
        <v>30</v>
      </c>
      <c r="I444">
        <v>10</v>
      </c>
      <c r="K444">
        <v>10</v>
      </c>
      <c r="AF444">
        <v>9.3173999999999992</v>
      </c>
      <c r="AI444" t="s">
        <v>0</v>
      </c>
      <c r="AJ444" t="s">
        <v>22</v>
      </c>
      <c r="AK444" t="s">
        <v>677</v>
      </c>
      <c r="AL444" t="s">
        <v>23</v>
      </c>
      <c r="AM444" t="s">
        <v>11</v>
      </c>
      <c r="AN444" t="s">
        <v>11</v>
      </c>
      <c r="AO444" t="s">
        <v>11</v>
      </c>
      <c r="AP444" t="s">
        <v>11</v>
      </c>
      <c r="AQ444" t="s">
        <v>11</v>
      </c>
      <c r="AR444" t="s">
        <v>11</v>
      </c>
      <c r="AS444" t="s">
        <v>11</v>
      </c>
      <c r="AT444" t="s">
        <v>11</v>
      </c>
      <c r="AU444" t="s">
        <v>11</v>
      </c>
      <c r="AV444" t="s">
        <v>11</v>
      </c>
      <c r="AW444" t="s">
        <v>11</v>
      </c>
      <c r="AX444" t="s">
        <v>11</v>
      </c>
      <c r="AY444" t="s">
        <v>11</v>
      </c>
      <c r="AZ444" t="s">
        <v>11</v>
      </c>
      <c r="BA444" t="s">
        <v>11</v>
      </c>
      <c r="BB444" t="s">
        <v>11</v>
      </c>
      <c r="BC444" t="s">
        <v>11</v>
      </c>
      <c r="BD444" t="s">
        <v>11</v>
      </c>
      <c r="BE444" t="s">
        <v>11</v>
      </c>
      <c r="BF444" t="s">
        <v>11</v>
      </c>
      <c r="BG444" t="s">
        <v>11</v>
      </c>
      <c r="BH444" t="s">
        <v>3290</v>
      </c>
      <c r="BI444" t="s">
        <v>3287</v>
      </c>
      <c r="BJ444" t="s">
        <v>3291</v>
      </c>
      <c r="BK444" t="s">
        <v>3292</v>
      </c>
    </row>
    <row r="445" spans="1:63" x14ac:dyDescent="0.3">
      <c r="A445" t="s">
        <v>3293</v>
      </c>
      <c r="B445" t="s">
        <v>95</v>
      </c>
      <c r="C445" t="s">
        <v>3294</v>
      </c>
      <c r="D445" t="s">
        <v>3295</v>
      </c>
      <c r="E445" t="s">
        <v>3245</v>
      </c>
      <c r="F445">
        <v>464</v>
      </c>
      <c r="G445">
        <v>52.5</v>
      </c>
      <c r="H445">
        <v>30</v>
      </c>
      <c r="I445">
        <v>10</v>
      </c>
      <c r="K445">
        <v>7.5</v>
      </c>
      <c r="AF445">
        <v>9.0586500000000001</v>
      </c>
      <c r="AI445" t="s">
        <v>0</v>
      </c>
      <c r="AJ445" t="s">
        <v>22</v>
      </c>
      <c r="AK445" t="s">
        <v>195</v>
      </c>
      <c r="AL445" t="s">
        <v>23</v>
      </c>
      <c r="AM445" t="s">
        <v>11</v>
      </c>
      <c r="AN445" t="s">
        <v>11</v>
      </c>
      <c r="AO445" t="s">
        <v>11</v>
      </c>
      <c r="AP445" t="s">
        <v>11</v>
      </c>
      <c r="AQ445" t="s">
        <v>11</v>
      </c>
      <c r="AR445" t="s">
        <v>11</v>
      </c>
      <c r="AS445" t="s">
        <v>11</v>
      </c>
      <c r="AT445" t="s">
        <v>11</v>
      </c>
      <c r="AU445" t="s">
        <v>11</v>
      </c>
      <c r="AV445" t="s">
        <v>11</v>
      </c>
      <c r="AW445" t="s">
        <v>11</v>
      </c>
      <c r="AX445" t="s">
        <v>11</v>
      </c>
      <c r="AY445" t="s">
        <v>11</v>
      </c>
      <c r="AZ445" t="s">
        <v>11</v>
      </c>
      <c r="BA445" t="s">
        <v>11</v>
      </c>
      <c r="BB445" t="s">
        <v>11</v>
      </c>
      <c r="BC445" t="s">
        <v>11</v>
      </c>
      <c r="BD445" t="s">
        <v>11</v>
      </c>
      <c r="BE445" t="s">
        <v>11</v>
      </c>
      <c r="BF445" t="s">
        <v>11</v>
      </c>
      <c r="BG445" t="s">
        <v>11</v>
      </c>
      <c r="BH445" t="s">
        <v>3296</v>
      </c>
      <c r="BI445" t="s">
        <v>3293</v>
      </c>
      <c r="BJ445" t="s">
        <v>3297</v>
      </c>
      <c r="BK445" t="s">
        <v>3298</v>
      </c>
    </row>
    <row r="446" spans="1:63" x14ac:dyDescent="0.3">
      <c r="A446" t="s">
        <v>3299</v>
      </c>
      <c r="B446" t="s">
        <v>160</v>
      </c>
      <c r="C446" t="s">
        <v>3300</v>
      </c>
      <c r="D446" t="s">
        <v>3301</v>
      </c>
      <c r="E446" t="s">
        <v>3245</v>
      </c>
      <c r="F446">
        <v>465</v>
      </c>
      <c r="G446">
        <v>52.5</v>
      </c>
      <c r="H446">
        <v>30</v>
      </c>
      <c r="I446">
        <v>12.5</v>
      </c>
      <c r="K446">
        <v>5</v>
      </c>
      <c r="AF446">
        <v>8.6448999999999998</v>
      </c>
      <c r="AI446" t="s">
        <v>0</v>
      </c>
      <c r="AJ446" t="s">
        <v>3258</v>
      </c>
      <c r="AK446" t="s">
        <v>1491</v>
      </c>
      <c r="AL446" t="s">
        <v>23</v>
      </c>
      <c r="AM446" t="s">
        <v>11</v>
      </c>
      <c r="AN446" t="s">
        <v>11</v>
      </c>
      <c r="AO446" t="s">
        <v>11</v>
      </c>
      <c r="AP446" t="s">
        <v>11</v>
      </c>
      <c r="AQ446" t="s">
        <v>11</v>
      </c>
      <c r="AR446" t="s">
        <v>11</v>
      </c>
      <c r="AS446" t="s">
        <v>11</v>
      </c>
      <c r="AT446" t="s">
        <v>11</v>
      </c>
      <c r="AU446" t="s">
        <v>11</v>
      </c>
      <c r="AV446" t="s">
        <v>11</v>
      </c>
      <c r="AW446" t="s">
        <v>11</v>
      </c>
      <c r="AX446" t="s">
        <v>11</v>
      </c>
      <c r="AY446" t="s">
        <v>11</v>
      </c>
      <c r="AZ446" t="s">
        <v>11</v>
      </c>
      <c r="BA446" t="s">
        <v>11</v>
      </c>
      <c r="BB446" t="s">
        <v>11</v>
      </c>
      <c r="BC446" t="s">
        <v>11</v>
      </c>
      <c r="BD446" t="s">
        <v>11</v>
      </c>
      <c r="BE446" t="s">
        <v>11</v>
      </c>
      <c r="BF446" t="s">
        <v>11</v>
      </c>
      <c r="BG446" t="s">
        <v>11</v>
      </c>
      <c r="BH446" t="s">
        <v>3302</v>
      </c>
      <c r="BI446" t="s">
        <v>3299</v>
      </c>
      <c r="BJ446" t="s">
        <v>3303</v>
      </c>
      <c r="BK446" t="s">
        <v>3304</v>
      </c>
    </row>
    <row r="447" spans="1:63" x14ac:dyDescent="0.3">
      <c r="A447" t="s">
        <v>3305</v>
      </c>
      <c r="B447" t="s">
        <v>95</v>
      </c>
      <c r="C447" t="s">
        <v>3306</v>
      </c>
      <c r="D447" t="s">
        <v>3307</v>
      </c>
      <c r="E447" t="s">
        <v>3245</v>
      </c>
      <c r="F447">
        <v>466</v>
      </c>
      <c r="G447">
        <v>55</v>
      </c>
      <c r="H447">
        <v>30</v>
      </c>
      <c r="I447">
        <v>12.5</v>
      </c>
      <c r="K447">
        <v>2.5</v>
      </c>
      <c r="AF447">
        <v>8.3861500000000007</v>
      </c>
      <c r="AI447" t="s">
        <v>0</v>
      </c>
      <c r="AJ447" t="s">
        <v>3258</v>
      </c>
      <c r="AK447" t="s">
        <v>2455</v>
      </c>
      <c r="AL447" t="s">
        <v>23</v>
      </c>
      <c r="AM447" t="s">
        <v>11</v>
      </c>
      <c r="AN447" t="s">
        <v>11</v>
      </c>
      <c r="AO447" t="s">
        <v>11</v>
      </c>
      <c r="AP447" t="s">
        <v>11</v>
      </c>
      <c r="AQ447" t="s">
        <v>11</v>
      </c>
      <c r="AR447" t="s">
        <v>11</v>
      </c>
      <c r="AS447" t="s">
        <v>11</v>
      </c>
      <c r="AT447" t="s">
        <v>11</v>
      </c>
      <c r="AU447" t="s">
        <v>11</v>
      </c>
      <c r="AV447" t="s">
        <v>11</v>
      </c>
      <c r="AW447" t="s">
        <v>11</v>
      </c>
      <c r="AX447" t="s">
        <v>11</v>
      </c>
      <c r="AY447" t="s">
        <v>11</v>
      </c>
      <c r="AZ447" t="s">
        <v>11</v>
      </c>
      <c r="BA447" t="s">
        <v>11</v>
      </c>
      <c r="BB447" t="s">
        <v>11</v>
      </c>
      <c r="BC447" t="s">
        <v>11</v>
      </c>
      <c r="BD447" t="s">
        <v>11</v>
      </c>
      <c r="BE447" t="s">
        <v>11</v>
      </c>
      <c r="BF447" t="s">
        <v>11</v>
      </c>
      <c r="BG447" t="s">
        <v>11</v>
      </c>
      <c r="BH447" t="s">
        <v>3308</v>
      </c>
      <c r="BI447" t="s">
        <v>3305</v>
      </c>
      <c r="BJ447" t="s">
        <v>3309</v>
      </c>
      <c r="BK447" t="s">
        <v>3310</v>
      </c>
    </row>
    <row r="448" spans="1:63" x14ac:dyDescent="0.3">
      <c r="A448" t="s">
        <v>3311</v>
      </c>
      <c r="B448" t="s">
        <v>95</v>
      </c>
      <c r="C448" t="s">
        <v>3312</v>
      </c>
      <c r="D448" t="s">
        <v>3313</v>
      </c>
      <c r="E448" t="s">
        <v>3245</v>
      </c>
      <c r="F448">
        <v>467</v>
      </c>
      <c r="G448">
        <v>50</v>
      </c>
      <c r="H448">
        <v>30</v>
      </c>
      <c r="I448">
        <v>17.5</v>
      </c>
      <c r="K448">
        <v>2.5</v>
      </c>
      <c r="AF448">
        <v>8.0761500000000002</v>
      </c>
      <c r="AI448" t="s">
        <v>0</v>
      </c>
      <c r="AJ448" t="s">
        <v>3314</v>
      </c>
      <c r="AK448" t="s">
        <v>2455</v>
      </c>
      <c r="AL448" t="s">
        <v>23</v>
      </c>
      <c r="AM448" t="s">
        <v>11</v>
      </c>
      <c r="AN448" t="s">
        <v>11</v>
      </c>
      <c r="AO448" t="s">
        <v>11</v>
      </c>
      <c r="AP448" t="s">
        <v>11</v>
      </c>
      <c r="AQ448" t="s">
        <v>11</v>
      </c>
      <c r="AR448" t="s">
        <v>11</v>
      </c>
      <c r="AS448" t="s">
        <v>11</v>
      </c>
      <c r="AT448" t="s">
        <v>11</v>
      </c>
      <c r="AU448" t="s">
        <v>11</v>
      </c>
      <c r="AV448" t="s">
        <v>11</v>
      </c>
      <c r="AW448" t="s">
        <v>11</v>
      </c>
      <c r="AX448" t="s">
        <v>11</v>
      </c>
      <c r="AY448" t="s">
        <v>11</v>
      </c>
      <c r="AZ448" t="s">
        <v>11</v>
      </c>
      <c r="BA448" t="s">
        <v>11</v>
      </c>
      <c r="BB448" t="s">
        <v>11</v>
      </c>
      <c r="BC448" t="s">
        <v>11</v>
      </c>
      <c r="BD448" t="s">
        <v>11</v>
      </c>
      <c r="BE448" t="s">
        <v>11</v>
      </c>
      <c r="BF448" t="s">
        <v>11</v>
      </c>
      <c r="BG448" t="s">
        <v>11</v>
      </c>
      <c r="BH448" t="s">
        <v>3315</v>
      </c>
      <c r="BI448" t="s">
        <v>3311</v>
      </c>
      <c r="BJ448" t="s">
        <v>3316</v>
      </c>
      <c r="BK448" t="s">
        <v>3317</v>
      </c>
    </row>
    <row r="449" spans="1:63" x14ac:dyDescent="0.3">
      <c r="A449" t="s">
        <v>3318</v>
      </c>
      <c r="B449" t="s">
        <v>95</v>
      </c>
      <c r="C449" t="s">
        <v>3319</v>
      </c>
      <c r="D449" t="s">
        <v>3320</v>
      </c>
      <c r="E449" t="s">
        <v>3245</v>
      </c>
      <c r="F449">
        <v>468</v>
      </c>
      <c r="G449">
        <v>40</v>
      </c>
      <c r="H449">
        <v>40</v>
      </c>
      <c r="I449">
        <v>10</v>
      </c>
      <c r="K449">
        <v>10</v>
      </c>
      <c r="AF449">
        <v>9.3181999999999992</v>
      </c>
      <c r="AI449" t="s">
        <v>0</v>
      </c>
      <c r="AJ449" t="s">
        <v>22</v>
      </c>
      <c r="AK449" t="s">
        <v>677</v>
      </c>
      <c r="AL449" t="s">
        <v>1283</v>
      </c>
      <c r="AM449" t="s">
        <v>11</v>
      </c>
      <c r="AN449" t="s">
        <v>11</v>
      </c>
      <c r="AO449" t="s">
        <v>11</v>
      </c>
      <c r="AP449" t="s">
        <v>11</v>
      </c>
      <c r="AQ449" t="s">
        <v>11</v>
      </c>
      <c r="AR449" t="s">
        <v>11</v>
      </c>
      <c r="AS449" t="s">
        <v>11</v>
      </c>
      <c r="AT449" t="s">
        <v>11</v>
      </c>
      <c r="AU449" t="s">
        <v>11</v>
      </c>
      <c r="AV449" t="s">
        <v>11</v>
      </c>
      <c r="AW449" t="s">
        <v>11</v>
      </c>
      <c r="AX449" t="s">
        <v>11</v>
      </c>
      <c r="AY449" t="s">
        <v>11</v>
      </c>
      <c r="AZ449" t="s">
        <v>11</v>
      </c>
      <c r="BA449" t="s">
        <v>11</v>
      </c>
      <c r="BB449" t="s">
        <v>11</v>
      </c>
      <c r="BC449" t="s">
        <v>11</v>
      </c>
      <c r="BD449" t="s">
        <v>11</v>
      </c>
      <c r="BE449" t="s">
        <v>11</v>
      </c>
      <c r="BF449" t="s">
        <v>11</v>
      </c>
      <c r="BG449" t="s">
        <v>11</v>
      </c>
      <c r="BH449" t="s">
        <v>3321</v>
      </c>
      <c r="BI449" t="s">
        <v>3318</v>
      </c>
      <c r="BJ449" t="s">
        <v>3322</v>
      </c>
      <c r="BK449" t="s">
        <v>3323</v>
      </c>
    </row>
    <row r="450" spans="1:63" x14ac:dyDescent="0.3">
      <c r="A450" t="s">
        <v>3324</v>
      </c>
      <c r="B450" t="s">
        <v>95</v>
      </c>
      <c r="C450" t="s">
        <v>3325</v>
      </c>
      <c r="D450" t="s">
        <v>3326</v>
      </c>
      <c r="E450" t="s">
        <v>3245</v>
      </c>
      <c r="F450">
        <v>469</v>
      </c>
      <c r="G450">
        <v>42.5</v>
      </c>
      <c r="H450">
        <v>40</v>
      </c>
      <c r="I450">
        <v>10</v>
      </c>
      <c r="K450">
        <v>7.5</v>
      </c>
      <c r="AF450">
        <v>9.05945</v>
      </c>
      <c r="AI450" t="s">
        <v>0</v>
      </c>
      <c r="AJ450" t="s">
        <v>22</v>
      </c>
      <c r="AK450" t="s">
        <v>195</v>
      </c>
      <c r="AL450" t="s">
        <v>1283</v>
      </c>
      <c r="AM450" t="s">
        <v>11</v>
      </c>
      <c r="AN450" t="s">
        <v>11</v>
      </c>
      <c r="AO450" t="s">
        <v>11</v>
      </c>
      <c r="AP450" t="s">
        <v>11</v>
      </c>
      <c r="AQ450" t="s">
        <v>11</v>
      </c>
      <c r="AR450" t="s">
        <v>11</v>
      </c>
      <c r="AS450" t="s">
        <v>11</v>
      </c>
      <c r="AT450" t="s">
        <v>11</v>
      </c>
      <c r="AU450" t="s">
        <v>11</v>
      </c>
      <c r="AV450" t="s">
        <v>11</v>
      </c>
      <c r="AW450" t="s">
        <v>11</v>
      </c>
      <c r="AX450" t="s">
        <v>11</v>
      </c>
      <c r="AY450" t="s">
        <v>11</v>
      </c>
      <c r="AZ450" t="s">
        <v>11</v>
      </c>
      <c r="BA450" t="s">
        <v>11</v>
      </c>
      <c r="BB450" t="s">
        <v>11</v>
      </c>
      <c r="BC450" t="s">
        <v>11</v>
      </c>
      <c r="BD450" t="s">
        <v>11</v>
      </c>
      <c r="BE450" t="s">
        <v>11</v>
      </c>
      <c r="BF450" t="s">
        <v>11</v>
      </c>
      <c r="BG450" t="s">
        <v>11</v>
      </c>
      <c r="BH450" t="s">
        <v>3327</v>
      </c>
      <c r="BI450" t="s">
        <v>3324</v>
      </c>
      <c r="BJ450" t="s">
        <v>3328</v>
      </c>
      <c r="BK450" t="s">
        <v>3329</v>
      </c>
    </row>
    <row r="451" spans="1:63" x14ac:dyDescent="0.3">
      <c r="A451" t="s">
        <v>3330</v>
      </c>
      <c r="B451" t="s">
        <v>160</v>
      </c>
      <c r="C451" t="s">
        <v>3331</v>
      </c>
      <c r="D451" t="s">
        <v>3332</v>
      </c>
      <c r="E451" t="s">
        <v>3245</v>
      </c>
      <c r="F451">
        <v>470</v>
      </c>
      <c r="G451">
        <v>42.5</v>
      </c>
      <c r="H451">
        <v>40</v>
      </c>
      <c r="I451">
        <v>12.5</v>
      </c>
      <c r="K451">
        <v>5</v>
      </c>
      <c r="AF451">
        <v>8.6456999999999997</v>
      </c>
      <c r="AI451" t="s">
        <v>0</v>
      </c>
      <c r="AJ451" t="s">
        <v>3258</v>
      </c>
      <c r="AK451" t="s">
        <v>1491</v>
      </c>
      <c r="AL451" t="s">
        <v>1283</v>
      </c>
      <c r="AM451" t="s">
        <v>11</v>
      </c>
      <c r="AN451" t="s">
        <v>11</v>
      </c>
      <c r="AO451" t="s">
        <v>11</v>
      </c>
      <c r="AP451" t="s">
        <v>11</v>
      </c>
      <c r="AQ451" t="s">
        <v>11</v>
      </c>
      <c r="AR451" t="s">
        <v>11</v>
      </c>
      <c r="AS451" t="s">
        <v>11</v>
      </c>
      <c r="AT451" t="s">
        <v>11</v>
      </c>
      <c r="AU451" t="s">
        <v>11</v>
      </c>
      <c r="AV451" t="s">
        <v>11</v>
      </c>
      <c r="AW451" t="s">
        <v>11</v>
      </c>
      <c r="AX451" t="s">
        <v>11</v>
      </c>
      <c r="AY451" t="s">
        <v>11</v>
      </c>
      <c r="AZ451" t="s">
        <v>11</v>
      </c>
      <c r="BA451" t="s">
        <v>11</v>
      </c>
      <c r="BB451" t="s">
        <v>11</v>
      </c>
      <c r="BC451" t="s">
        <v>11</v>
      </c>
      <c r="BD451" t="s">
        <v>11</v>
      </c>
      <c r="BE451" t="s">
        <v>11</v>
      </c>
      <c r="BF451" t="s">
        <v>11</v>
      </c>
      <c r="BG451" t="s">
        <v>11</v>
      </c>
      <c r="BH451" t="s">
        <v>3333</v>
      </c>
      <c r="BI451" t="s">
        <v>3330</v>
      </c>
      <c r="BJ451" t="s">
        <v>3334</v>
      </c>
      <c r="BK451" t="s">
        <v>3335</v>
      </c>
    </row>
    <row r="452" spans="1:63" x14ac:dyDescent="0.3">
      <c r="A452" t="s">
        <v>3336</v>
      </c>
      <c r="B452" t="s">
        <v>95</v>
      </c>
      <c r="C452" t="s">
        <v>3337</v>
      </c>
      <c r="D452" t="s">
        <v>3338</v>
      </c>
      <c r="E452" t="s">
        <v>3245</v>
      </c>
      <c r="F452">
        <v>471</v>
      </c>
      <c r="G452">
        <v>45</v>
      </c>
      <c r="H452">
        <v>40</v>
      </c>
      <c r="I452">
        <v>12.5</v>
      </c>
      <c r="K452">
        <v>2.5</v>
      </c>
      <c r="AF452">
        <v>8.3869499999999988</v>
      </c>
      <c r="AI452" t="s">
        <v>0</v>
      </c>
      <c r="AJ452" t="s">
        <v>3258</v>
      </c>
      <c r="AK452" t="s">
        <v>2455</v>
      </c>
      <c r="AL452" t="s">
        <v>1283</v>
      </c>
      <c r="AM452" t="s">
        <v>11</v>
      </c>
      <c r="AN452" t="s">
        <v>11</v>
      </c>
      <c r="AO452" t="s">
        <v>11</v>
      </c>
      <c r="AP452" t="s">
        <v>11</v>
      </c>
      <c r="AQ452" t="s">
        <v>11</v>
      </c>
      <c r="AR452" t="s">
        <v>11</v>
      </c>
      <c r="AS452" t="s">
        <v>11</v>
      </c>
      <c r="AT452" t="s">
        <v>11</v>
      </c>
      <c r="AU452" t="s">
        <v>11</v>
      </c>
      <c r="AV452" t="s">
        <v>11</v>
      </c>
      <c r="AW452" t="s">
        <v>11</v>
      </c>
      <c r="AX452" t="s">
        <v>11</v>
      </c>
      <c r="AY452" t="s">
        <v>11</v>
      </c>
      <c r="AZ452" t="s">
        <v>11</v>
      </c>
      <c r="BA452" t="s">
        <v>11</v>
      </c>
      <c r="BB452" t="s">
        <v>11</v>
      </c>
      <c r="BC452" t="s">
        <v>11</v>
      </c>
      <c r="BD452" t="s">
        <v>11</v>
      </c>
      <c r="BE452" t="s">
        <v>11</v>
      </c>
      <c r="BF452" t="s">
        <v>11</v>
      </c>
      <c r="BG452" t="s">
        <v>11</v>
      </c>
      <c r="BH452" t="s">
        <v>3339</v>
      </c>
      <c r="BI452" t="s">
        <v>3336</v>
      </c>
      <c r="BJ452" t="s">
        <v>3340</v>
      </c>
      <c r="BK452" t="s">
        <v>3341</v>
      </c>
    </row>
    <row r="453" spans="1:63" x14ac:dyDescent="0.3">
      <c r="A453" t="s">
        <v>3342</v>
      </c>
      <c r="B453" t="s">
        <v>95</v>
      </c>
      <c r="C453" t="s">
        <v>3343</v>
      </c>
      <c r="D453" t="s">
        <v>3344</v>
      </c>
      <c r="E453" t="s">
        <v>3245</v>
      </c>
      <c r="F453">
        <v>472</v>
      </c>
      <c r="G453">
        <v>37.5</v>
      </c>
      <c r="H453">
        <v>40</v>
      </c>
      <c r="I453">
        <v>20</v>
      </c>
      <c r="K453">
        <v>2.5</v>
      </c>
      <c r="AF453">
        <v>7.9219499999999989</v>
      </c>
      <c r="AI453" t="s">
        <v>0</v>
      </c>
      <c r="AJ453" t="s">
        <v>3345</v>
      </c>
      <c r="AK453" t="s">
        <v>2455</v>
      </c>
      <c r="AL453" t="s">
        <v>1283</v>
      </c>
      <c r="AM453" t="s">
        <v>11</v>
      </c>
      <c r="AN453" t="s">
        <v>11</v>
      </c>
      <c r="AO453" t="s">
        <v>11</v>
      </c>
      <c r="AP453" t="s">
        <v>11</v>
      </c>
      <c r="AQ453" t="s">
        <v>11</v>
      </c>
      <c r="AR453" t="s">
        <v>11</v>
      </c>
      <c r="AS453" t="s">
        <v>11</v>
      </c>
      <c r="AT453" t="s">
        <v>11</v>
      </c>
      <c r="AU453" t="s">
        <v>11</v>
      </c>
      <c r="AV453" t="s">
        <v>11</v>
      </c>
      <c r="AW453" t="s">
        <v>11</v>
      </c>
      <c r="AX453" t="s">
        <v>11</v>
      </c>
      <c r="AY453" t="s">
        <v>11</v>
      </c>
      <c r="AZ453" t="s">
        <v>11</v>
      </c>
      <c r="BA453" t="s">
        <v>11</v>
      </c>
      <c r="BB453" t="s">
        <v>11</v>
      </c>
      <c r="BC453" t="s">
        <v>11</v>
      </c>
      <c r="BD453" t="s">
        <v>11</v>
      </c>
      <c r="BE453" t="s">
        <v>11</v>
      </c>
      <c r="BF453" t="s">
        <v>11</v>
      </c>
      <c r="BG453" t="s">
        <v>11</v>
      </c>
      <c r="BH453" t="s">
        <v>3346</v>
      </c>
      <c r="BI453" t="s">
        <v>3342</v>
      </c>
      <c r="BJ453" t="s">
        <v>3347</v>
      </c>
      <c r="BK453" t="s">
        <v>3348</v>
      </c>
    </row>
    <row r="454" spans="1:63" x14ac:dyDescent="0.3">
      <c r="A454" t="s">
        <v>3349</v>
      </c>
      <c r="B454" t="s">
        <v>5</v>
      </c>
      <c r="C454" t="s">
        <v>3350</v>
      </c>
      <c r="D454" t="s">
        <v>3351</v>
      </c>
      <c r="E454" t="s">
        <v>3352</v>
      </c>
      <c r="F454">
        <v>473</v>
      </c>
      <c r="G454">
        <v>98</v>
      </c>
      <c r="M454">
        <v>2</v>
      </c>
      <c r="AI454" t="s">
        <v>0</v>
      </c>
      <c r="AJ454" t="s">
        <v>11</v>
      </c>
      <c r="AK454" t="s">
        <v>11</v>
      </c>
      <c r="AL454" t="s">
        <v>11</v>
      </c>
      <c r="AM454" t="s">
        <v>11</v>
      </c>
      <c r="AN454" t="s">
        <v>24</v>
      </c>
      <c r="AO454" t="s">
        <v>11</v>
      </c>
      <c r="AP454" t="s">
        <v>11</v>
      </c>
      <c r="AQ454" t="s">
        <v>11</v>
      </c>
      <c r="AR454" t="s">
        <v>11</v>
      </c>
      <c r="AS454" t="s">
        <v>11</v>
      </c>
      <c r="AT454" t="s">
        <v>11</v>
      </c>
      <c r="AU454" t="s">
        <v>11</v>
      </c>
      <c r="AV454" t="s">
        <v>11</v>
      </c>
      <c r="AW454" t="s">
        <v>11</v>
      </c>
      <c r="AX454" t="s">
        <v>11</v>
      </c>
      <c r="AY454" t="s">
        <v>11</v>
      </c>
      <c r="AZ454" t="s">
        <v>11</v>
      </c>
      <c r="BA454" t="s">
        <v>11</v>
      </c>
      <c r="BB454" t="s">
        <v>11</v>
      </c>
      <c r="BC454" t="s">
        <v>11</v>
      </c>
      <c r="BD454" t="s">
        <v>11</v>
      </c>
      <c r="BE454" t="s">
        <v>11</v>
      </c>
      <c r="BF454" t="s">
        <v>11</v>
      </c>
      <c r="BG454" t="s">
        <v>11</v>
      </c>
      <c r="BH454" t="s">
        <v>3353</v>
      </c>
      <c r="BI454" t="s">
        <v>3349</v>
      </c>
      <c r="BJ454" t="s">
        <v>3354</v>
      </c>
      <c r="BK454" t="s">
        <v>24</v>
      </c>
    </row>
    <row r="455" spans="1:63" x14ac:dyDescent="0.3">
      <c r="A455" t="s">
        <v>3355</v>
      </c>
      <c r="B455" t="s">
        <v>5</v>
      </c>
      <c r="C455" t="s">
        <v>3356</v>
      </c>
      <c r="D455" t="s">
        <v>3355</v>
      </c>
      <c r="E455" t="s">
        <v>3352</v>
      </c>
      <c r="F455">
        <v>474</v>
      </c>
      <c r="G455">
        <v>96.5</v>
      </c>
      <c r="M455">
        <v>3.5</v>
      </c>
      <c r="AF455">
        <v>9.1712500000000006</v>
      </c>
      <c r="AI455" t="s">
        <v>0</v>
      </c>
      <c r="AJ455" t="s">
        <v>11</v>
      </c>
      <c r="AK455" t="s">
        <v>11</v>
      </c>
      <c r="AL455" t="s">
        <v>11</v>
      </c>
      <c r="AM455" t="s">
        <v>11</v>
      </c>
      <c r="AN455" t="s">
        <v>492</v>
      </c>
      <c r="AO455" t="s">
        <v>11</v>
      </c>
      <c r="AP455" t="s">
        <v>11</v>
      </c>
      <c r="AQ455" t="s">
        <v>11</v>
      </c>
      <c r="AR455" t="s">
        <v>11</v>
      </c>
      <c r="AS455" t="s">
        <v>11</v>
      </c>
      <c r="AT455" t="s">
        <v>11</v>
      </c>
      <c r="AU455" t="s">
        <v>11</v>
      </c>
      <c r="AV455" t="s">
        <v>11</v>
      </c>
      <c r="AW455" t="s">
        <v>11</v>
      </c>
      <c r="AX455" t="s">
        <v>11</v>
      </c>
      <c r="AY455" t="s">
        <v>11</v>
      </c>
      <c r="AZ455" t="s">
        <v>11</v>
      </c>
      <c r="BA455" t="s">
        <v>11</v>
      </c>
      <c r="BB455" t="s">
        <v>11</v>
      </c>
      <c r="BC455" t="s">
        <v>11</v>
      </c>
      <c r="BD455" t="s">
        <v>11</v>
      </c>
      <c r="BE455" t="s">
        <v>11</v>
      </c>
      <c r="BF455" t="s">
        <v>11</v>
      </c>
      <c r="BG455" t="s">
        <v>11</v>
      </c>
      <c r="BH455" t="s">
        <v>3357</v>
      </c>
      <c r="BI455" t="s">
        <v>3355</v>
      </c>
      <c r="BJ455" t="s">
        <v>3358</v>
      </c>
      <c r="BK455" t="s">
        <v>492</v>
      </c>
    </row>
    <row r="456" spans="1:63" x14ac:dyDescent="0.3">
      <c r="A456" t="s">
        <v>3359</v>
      </c>
      <c r="B456" t="s">
        <v>5</v>
      </c>
      <c r="C456" t="s">
        <v>3360</v>
      </c>
      <c r="D456" t="s">
        <v>3359</v>
      </c>
      <c r="E456" t="s">
        <v>3352</v>
      </c>
      <c r="F456">
        <v>475</v>
      </c>
      <c r="G456">
        <v>91.5</v>
      </c>
      <c r="M456">
        <v>8.5</v>
      </c>
      <c r="AF456">
        <v>9.5587499999999999</v>
      </c>
      <c r="AI456" t="s">
        <v>0</v>
      </c>
      <c r="AJ456" t="s">
        <v>11</v>
      </c>
      <c r="AK456" t="s">
        <v>11</v>
      </c>
      <c r="AL456" t="s">
        <v>11</v>
      </c>
      <c r="AM456" t="s">
        <v>11</v>
      </c>
      <c r="AN456" t="s">
        <v>3361</v>
      </c>
      <c r="AO456" t="s">
        <v>11</v>
      </c>
      <c r="AP456" t="s">
        <v>11</v>
      </c>
      <c r="AQ456" t="s">
        <v>11</v>
      </c>
      <c r="AR456" t="s">
        <v>11</v>
      </c>
      <c r="AS456" t="s">
        <v>11</v>
      </c>
      <c r="AT456" t="s">
        <v>11</v>
      </c>
      <c r="AU456" t="s">
        <v>11</v>
      </c>
      <c r="AV456" t="s">
        <v>11</v>
      </c>
      <c r="AW456" t="s">
        <v>11</v>
      </c>
      <c r="AX456" t="s">
        <v>11</v>
      </c>
      <c r="AY456" t="s">
        <v>11</v>
      </c>
      <c r="AZ456" t="s">
        <v>11</v>
      </c>
      <c r="BA456" t="s">
        <v>11</v>
      </c>
      <c r="BB456" t="s">
        <v>11</v>
      </c>
      <c r="BC456" t="s">
        <v>11</v>
      </c>
      <c r="BD456" t="s">
        <v>11</v>
      </c>
      <c r="BE456" t="s">
        <v>11</v>
      </c>
      <c r="BF456" t="s">
        <v>11</v>
      </c>
      <c r="BG456" t="s">
        <v>11</v>
      </c>
      <c r="BH456" t="s">
        <v>3362</v>
      </c>
      <c r="BI456" t="s">
        <v>3359</v>
      </c>
      <c r="BJ456" t="s">
        <v>3363</v>
      </c>
      <c r="BK456" t="s">
        <v>3361</v>
      </c>
    </row>
    <row r="457" spans="1:63" x14ac:dyDescent="0.3">
      <c r="A457" t="s">
        <v>3364</v>
      </c>
      <c r="B457" t="s">
        <v>5</v>
      </c>
      <c r="C457" t="s">
        <v>3365</v>
      </c>
      <c r="D457" t="s">
        <v>3366</v>
      </c>
      <c r="E457" t="s">
        <v>3352</v>
      </c>
      <c r="F457">
        <v>476</v>
      </c>
      <c r="G457">
        <v>88</v>
      </c>
      <c r="M457">
        <v>12</v>
      </c>
      <c r="AF457">
        <v>9.83</v>
      </c>
      <c r="AI457" t="s">
        <v>0</v>
      </c>
      <c r="AJ457" t="s">
        <v>11</v>
      </c>
      <c r="AK457" t="s">
        <v>11</v>
      </c>
      <c r="AL457" t="s">
        <v>11</v>
      </c>
      <c r="AM457" t="s">
        <v>11</v>
      </c>
      <c r="AN457" t="s">
        <v>3367</v>
      </c>
      <c r="AO457" t="s">
        <v>11</v>
      </c>
      <c r="AP457" t="s">
        <v>11</v>
      </c>
      <c r="AQ457" t="s">
        <v>11</v>
      </c>
      <c r="AR457" t="s">
        <v>11</v>
      </c>
      <c r="AS457" t="s">
        <v>11</v>
      </c>
      <c r="AT457" t="s">
        <v>11</v>
      </c>
      <c r="AU457" t="s">
        <v>11</v>
      </c>
      <c r="AV457" t="s">
        <v>11</v>
      </c>
      <c r="AW457" t="s">
        <v>11</v>
      </c>
      <c r="AX457" t="s">
        <v>11</v>
      </c>
      <c r="AY457" t="s">
        <v>11</v>
      </c>
      <c r="AZ457" t="s">
        <v>11</v>
      </c>
      <c r="BA457" t="s">
        <v>11</v>
      </c>
      <c r="BB457" t="s">
        <v>11</v>
      </c>
      <c r="BC457" t="s">
        <v>11</v>
      </c>
      <c r="BD457" t="s">
        <v>11</v>
      </c>
      <c r="BE457" t="s">
        <v>11</v>
      </c>
      <c r="BF457" t="s">
        <v>11</v>
      </c>
      <c r="BG457" t="s">
        <v>11</v>
      </c>
      <c r="BH457" t="s">
        <v>3368</v>
      </c>
      <c r="BI457" t="s">
        <v>3364</v>
      </c>
      <c r="BJ457" t="s">
        <v>3369</v>
      </c>
      <c r="BK457" t="s">
        <v>3367</v>
      </c>
    </row>
    <row r="458" spans="1:63" x14ac:dyDescent="0.3">
      <c r="A458" t="s">
        <v>3370</v>
      </c>
      <c r="B458" t="s">
        <v>5</v>
      </c>
      <c r="C458" t="s">
        <v>3371</v>
      </c>
      <c r="D458" t="s">
        <v>3372</v>
      </c>
      <c r="E458" t="s">
        <v>3352</v>
      </c>
      <c r="F458">
        <v>477</v>
      </c>
      <c r="G458">
        <v>86</v>
      </c>
      <c r="M458">
        <v>14</v>
      </c>
      <c r="AF458">
        <v>9.9849999999999994</v>
      </c>
      <c r="AI458" t="s">
        <v>0</v>
      </c>
      <c r="AJ458" t="s">
        <v>11</v>
      </c>
      <c r="AK458" t="s">
        <v>11</v>
      </c>
      <c r="AL458" t="s">
        <v>11</v>
      </c>
      <c r="AM458" t="s">
        <v>11</v>
      </c>
      <c r="AN458" t="s">
        <v>3373</v>
      </c>
      <c r="AO458" t="s">
        <v>11</v>
      </c>
      <c r="AP458" t="s">
        <v>11</v>
      </c>
      <c r="AQ458" t="s">
        <v>11</v>
      </c>
      <c r="AR458" t="s">
        <v>11</v>
      </c>
      <c r="AS458" t="s">
        <v>11</v>
      </c>
      <c r="AT458" t="s">
        <v>11</v>
      </c>
      <c r="AU458" t="s">
        <v>11</v>
      </c>
      <c r="AV458" t="s">
        <v>11</v>
      </c>
      <c r="AW458" t="s">
        <v>11</v>
      </c>
      <c r="AX458" t="s">
        <v>11</v>
      </c>
      <c r="AY458" t="s">
        <v>11</v>
      </c>
      <c r="AZ458" t="s">
        <v>11</v>
      </c>
      <c r="BA458" t="s">
        <v>11</v>
      </c>
      <c r="BB458" t="s">
        <v>11</v>
      </c>
      <c r="BC458" t="s">
        <v>11</v>
      </c>
      <c r="BD458" t="s">
        <v>11</v>
      </c>
      <c r="BE458" t="s">
        <v>11</v>
      </c>
      <c r="BF458" t="s">
        <v>11</v>
      </c>
      <c r="BG458" t="s">
        <v>11</v>
      </c>
      <c r="BH458" t="s">
        <v>3374</v>
      </c>
      <c r="BI458" t="s">
        <v>3370</v>
      </c>
      <c r="BJ458" t="s">
        <v>3375</v>
      </c>
      <c r="BK458" t="s">
        <v>3373</v>
      </c>
    </row>
    <row r="459" spans="1:63" x14ac:dyDescent="0.3">
      <c r="A459" t="s">
        <v>3376</v>
      </c>
      <c r="B459" t="s">
        <v>5</v>
      </c>
      <c r="C459" t="s">
        <v>3377</v>
      </c>
      <c r="D459" t="s">
        <v>3378</v>
      </c>
      <c r="E459" t="s">
        <v>3352</v>
      </c>
      <c r="F459">
        <v>478</v>
      </c>
      <c r="G459">
        <v>84</v>
      </c>
      <c r="M459">
        <v>16</v>
      </c>
      <c r="AF459">
        <v>10.14</v>
      </c>
      <c r="AI459" t="s">
        <v>0</v>
      </c>
      <c r="AJ459" t="s">
        <v>11</v>
      </c>
      <c r="AK459" t="s">
        <v>11</v>
      </c>
      <c r="AL459" t="s">
        <v>11</v>
      </c>
      <c r="AM459" t="s">
        <v>11</v>
      </c>
      <c r="AN459" t="s">
        <v>3379</v>
      </c>
      <c r="AO459" t="s">
        <v>11</v>
      </c>
      <c r="AP459" t="s">
        <v>11</v>
      </c>
      <c r="AQ459" t="s">
        <v>11</v>
      </c>
      <c r="AR459" t="s">
        <v>11</v>
      </c>
      <c r="AS459" t="s">
        <v>11</v>
      </c>
      <c r="AT459" t="s">
        <v>11</v>
      </c>
      <c r="AU459" t="s">
        <v>11</v>
      </c>
      <c r="AV459" t="s">
        <v>11</v>
      </c>
      <c r="AW459" t="s">
        <v>11</v>
      </c>
      <c r="AX459" t="s">
        <v>11</v>
      </c>
      <c r="AY459" t="s">
        <v>11</v>
      </c>
      <c r="AZ459" t="s">
        <v>11</v>
      </c>
      <c r="BA459" t="s">
        <v>11</v>
      </c>
      <c r="BB459" t="s">
        <v>11</v>
      </c>
      <c r="BC459" t="s">
        <v>11</v>
      </c>
      <c r="BD459" t="s">
        <v>11</v>
      </c>
      <c r="BE459" t="s">
        <v>11</v>
      </c>
      <c r="BF459" t="s">
        <v>11</v>
      </c>
      <c r="BG459" t="s">
        <v>11</v>
      </c>
      <c r="BH459" t="s">
        <v>3380</v>
      </c>
      <c r="BI459" t="s">
        <v>3376</v>
      </c>
      <c r="BJ459" t="s">
        <v>3381</v>
      </c>
      <c r="BK459" t="s">
        <v>3379</v>
      </c>
    </row>
    <row r="460" spans="1:63" x14ac:dyDescent="0.3">
      <c r="A460" t="s">
        <v>3382</v>
      </c>
      <c r="B460" t="s">
        <v>5</v>
      </c>
      <c r="C460" t="s">
        <v>3383</v>
      </c>
      <c r="D460" t="s">
        <v>3384</v>
      </c>
      <c r="E460" t="s">
        <v>3352</v>
      </c>
      <c r="F460">
        <v>479</v>
      </c>
      <c r="G460">
        <v>82</v>
      </c>
      <c r="M460">
        <v>18</v>
      </c>
      <c r="AF460">
        <v>10.295</v>
      </c>
      <c r="AI460" t="s">
        <v>0</v>
      </c>
      <c r="AJ460" t="s">
        <v>11</v>
      </c>
      <c r="AK460" t="s">
        <v>11</v>
      </c>
      <c r="AL460" t="s">
        <v>11</v>
      </c>
      <c r="AM460" t="s">
        <v>11</v>
      </c>
      <c r="AN460" t="s">
        <v>3385</v>
      </c>
      <c r="AO460" t="s">
        <v>11</v>
      </c>
      <c r="AP460" t="s">
        <v>11</v>
      </c>
      <c r="AQ460" t="s">
        <v>11</v>
      </c>
      <c r="AR460" t="s">
        <v>11</v>
      </c>
      <c r="AS460" t="s">
        <v>11</v>
      </c>
      <c r="AT460" t="s">
        <v>11</v>
      </c>
      <c r="AU460" t="s">
        <v>11</v>
      </c>
      <c r="AV460" t="s">
        <v>11</v>
      </c>
      <c r="AW460" t="s">
        <v>11</v>
      </c>
      <c r="AX460" t="s">
        <v>11</v>
      </c>
      <c r="AY460" t="s">
        <v>11</v>
      </c>
      <c r="AZ460" t="s">
        <v>11</v>
      </c>
      <c r="BA460" t="s">
        <v>11</v>
      </c>
      <c r="BB460" t="s">
        <v>11</v>
      </c>
      <c r="BC460" t="s">
        <v>11</v>
      </c>
      <c r="BD460" t="s">
        <v>11</v>
      </c>
      <c r="BE460" t="s">
        <v>11</v>
      </c>
      <c r="BF460" t="s">
        <v>11</v>
      </c>
      <c r="BG460" t="s">
        <v>11</v>
      </c>
      <c r="BH460" t="s">
        <v>3386</v>
      </c>
      <c r="BI460" t="s">
        <v>3382</v>
      </c>
      <c r="BJ460" t="s">
        <v>3387</v>
      </c>
      <c r="BK460" t="s">
        <v>3385</v>
      </c>
    </row>
    <row r="461" spans="1:63" x14ac:dyDescent="0.3">
      <c r="A461" t="s">
        <v>3388</v>
      </c>
      <c r="B461" t="s">
        <v>5</v>
      </c>
      <c r="C461" t="s">
        <v>3389</v>
      </c>
      <c r="D461" t="s">
        <v>3390</v>
      </c>
      <c r="E461" t="s">
        <v>3352</v>
      </c>
      <c r="F461">
        <v>480</v>
      </c>
      <c r="G461">
        <v>79</v>
      </c>
      <c r="M461">
        <v>21</v>
      </c>
      <c r="AF461">
        <v>10.5275</v>
      </c>
      <c r="AI461" t="s">
        <v>0</v>
      </c>
      <c r="AJ461" t="s">
        <v>11</v>
      </c>
      <c r="AK461" t="s">
        <v>11</v>
      </c>
      <c r="AL461" t="s">
        <v>11</v>
      </c>
      <c r="AM461" t="s">
        <v>11</v>
      </c>
      <c r="AN461" t="s">
        <v>3391</v>
      </c>
      <c r="AO461" t="s">
        <v>11</v>
      </c>
      <c r="AP461" t="s">
        <v>11</v>
      </c>
      <c r="AQ461" t="s">
        <v>11</v>
      </c>
      <c r="AR461" t="s">
        <v>11</v>
      </c>
      <c r="AS461" t="s">
        <v>11</v>
      </c>
      <c r="AT461" t="s">
        <v>11</v>
      </c>
      <c r="AU461" t="s">
        <v>11</v>
      </c>
      <c r="AV461" t="s">
        <v>11</v>
      </c>
      <c r="AW461" t="s">
        <v>11</v>
      </c>
      <c r="AX461" t="s">
        <v>11</v>
      </c>
      <c r="AY461" t="s">
        <v>11</v>
      </c>
      <c r="AZ461" t="s">
        <v>11</v>
      </c>
      <c r="BA461" t="s">
        <v>11</v>
      </c>
      <c r="BB461" t="s">
        <v>11</v>
      </c>
      <c r="BC461" t="s">
        <v>11</v>
      </c>
      <c r="BD461" t="s">
        <v>11</v>
      </c>
      <c r="BE461" t="s">
        <v>11</v>
      </c>
      <c r="BF461" t="s">
        <v>11</v>
      </c>
      <c r="BG461" t="s">
        <v>11</v>
      </c>
      <c r="BH461" t="s">
        <v>3392</v>
      </c>
      <c r="BI461" t="s">
        <v>3388</v>
      </c>
      <c r="BJ461" t="s">
        <v>3393</v>
      </c>
      <c r="BK461" t="s">
        <v>3391</v>
      </c>
    </row>
    <row r="462" spans="1:63" x14ac:dyDescent="0.3">
      <c r="A462" t="s">
        <v>3394</v>
      </c>
      <c r="B462" t="s">
        <v>5</v>
      </c>
      <c r="C462" t="s">
        <v>3395</v>
      </c>
      <c r="D462" t="s">
        <v>3396</v>
      </c>
      <c r="E462" t="s">
        <v>3352</v>
      </c>
      <c r="F462">
        <v>481</v>
      </c>
      <c r="G462">
        <v>76</v>
      </c>
      <c r="M462">
        <v>24</v>
      </c>
      <c r="AF462">
        <v>10.76</v>
      </c>
      <c r="AI462" t="s">
        <v>0</v>
      </c>
      <c r="AJ462" t="s">
        <v>11</v>
      </c>
      <c r="AK462" t="s">
        <v>11</v>
      </c>
      <c r="AL462" t="s">
        <v>11</v>
      </c>
      <c r="AM462" t="s">
        <v>11</v>
      </c>
      <c r="AN462" t="s">
        <v>3397</v>
      </c>
      <c r="AO462" t="s">
        <v>11</v>
      </c>
      <c r="AP462" t="s">
        <v>11</v>
      </c>
      <c r="AQ462" t="s">
        <v>11</v>
      </c>
      <c r="AR462" t="s">
        <v>11</v>
      </c>
      <c r="AS462" t="s">
        <v>11</v>
      </c>
      <c r="AT462" t="s">
        <v>11</v>
      </c>
      <c r="AU462" t="s">
        <v>11</v>
      </c>
      <c r="AV462" t="s">
        <v>11</v>
      </c>
      <c r="AW462" t="s">
        <v>11</v>
      </c>
      <c r="AX462" t="s">
        <v>11</v>
      </c>
      <c r="AY462" t="s">
        <v>11</v>
      </c>
      <c r="AZ462" t="s">
        <v>11</v>
      </c>
      <c r="BA462" t="s">
        <v>11</v>
      </c>
      <c r="BB462" t="s">
        <v>11</v>
      </c>
      <c r="BC462" t="s">
        <v>11</v>
      </c>
      <c r="BD462" t="s">
        <v>11</v>
      </c>
      <c r="BE462" t="s">
        <v>11</v>
      </c>
      <c r="BF462" t="s">
        <v>11</v>
      </c>
      <c r="BG462" t="s">
        <v>11</v>
      </c>
      <c r="BH462" t="s">
        <v>3398</v>
      </c>
      <c r="BI462" t="s">
        <v>3394</v>
      </c>
      <c r="BJ462" t="s">
        <v>3399</v>
      </c>
      <c r="BK462" t="s">
        <v>3397</v>
      </c>
    </row>
    <row r="463" spans="1:63" x14ac:dyDescent="0.3">
      <c r="A463" t="s">
        <v>3400</v>
      </c>
      <c r="B463" t="s">
        <v>95</v>
      </c>
      <c r="C463" t="s">
        <v>507</v>
      </c>
      <c r="D463" t="s">
        <v>3400</v>
      </c>
      <c r="E463" t="s">
        <v>3401</v>
      </c>
      <c r="F463">
        <v>482</v>
      </c>
      <c r="G463">
        <v>84.2</v>
      </c>
      <c r="I463">
        <v>8.9</v>
      </c>
      <c r="K463">
        <v>6.9</v>
      </c>
      <c r="AF463">
        <v>9.0623500000000021</v>
      </c>
      <c r="AI463" t="s">
        <v>0</v>
      </c>
      <c r="AJ463" t="s">
        <v>326</v>
      </c>
      <c r="AK463" t="s">
        <v>2003</v>
      </c>
      <c r="AL463" t="s">
        <v>11</v>
      </c>
      <c r="AM463" t="s">
        <v>11</v>
      </c>
      <c r="AN463" t="s">
        <v>11</v>
      </c>
      <c r="AO463" t="s">
        <v>11</v>
      </c>
      <c r="AP463" t="s">
        <v>11</v>
      </c>
      <c r="AQ463" t="s">
        <v>11</v>
      </c>
      <c r="AR463" t="s">
        <v>11</v>
      </c>
      <c r="AS463" t="s">
        <v>11</v>
      </c>
      <c r="AT463" t="s">
        <v>11</v>
      </c>
      <c r="AU463" t="s">
        <v>11</v>
      </c>
      <c r="AV463" t="s">
        <v>11</v>
      </c>
      <c r="AW463" t="s">
        <v>11</v>
      </c>
      <c r="AX463" t="s">
        <v>11</v>
      </c>
      <c r="AY463" t="s">
        <v>11</v>
      </c>
      <c r="AZ463" t="s">
        <v>11</v>
      </c>
      <c r="BA463" t="s">
        <v>11</v>
      </c>
      <c r="BB463" t="s">
        <v>11</v>
      </c>
      <c r="BC463" t="s">
        <v>11</v>
      </c>
      <c r="BD463" t="s">
        <v>11</v>
      </c>
      <c r="BE463" t="s">
        <v>11</v>
      </c>
      <c r="BF463" t="s">
        <v>11</v>
      </c>
      <c r="BG463" t="s">
        <v>11</v>
      </c>
      <c r="BH463" t="s">
        <v>3402</v>
      </c>
      <c r="BI463" t="s">
        <v>3400</v>
      </c>
      <c r="BJ463" t="s">
        <v>3403</v>
      </c>
      <c r="BK463" t="s">
        <v>3404</v>
      </c>
    </row>
    <row r="464" spans="1:63" x14ac:dyDescent="0.3">
      <c r="A464" t="s">
        <v>3405</v>
      </c>
      <c r="B464" t="s">
        <v>95</v>
      </c>
      <c r="C464" t="s">
        <v>562</v>
      </c>
      <c r="D464" t="s">
        <v>3405</v>
      </c>
      <c r="E464" t="s">
        <v>3401</v>
      </c>
      <c r="F464">
        <v>483</v>
      </c>
      <c r="G464">
        <v>84.18</v>
      </c>
      <c r="I464">
        <v>8.9</v>
      </c>
      <c r="K464">
        <v>6.9</v>
      </c>
      <c r="S464">
        <v>0.02</v>
      </c>
      <c r="AF464">
        <v>9.0610620000000015</v>
      </c>
      <c r="AI464" t="s">
        <v>0</v>
      </c>
      <c r="AJ464" t="s">
        <v>326</v>
      </c>
      <c r="AK464" t="s">
        <v>2003</v>
      </c>
      <c r="AL464" t="s">
        <v>11</v>
      </c>
      <c r="AM464" t="s">
        <v>11</v>
      </c>
      <c r="AN464" t="s">
        <v>11</v>
      </c>
      <c r="AO464" t="s">
        <v>11</v>
      </c>
      <c r="AP464" t="s">
        <v>11</v>
      </c>
      <c r="AQ464" t="s">
        <v>11</v>
      </c>
      <c r="AR464" t="s">
        <v>11</v>
      </c>
      <c r="AS464" t="s">
        <v>11</v>
      </c>
      <c r="AT464" t="s">
        <v>11</v>
      </c>
      <c r="AU464" t="s">
        <v>1478</v>
      </c>
      <c r="AV464" t="s">
        <v>11</v>
      </c>
      <c r="AW464" t="s">
        <v>11</v>
      </c>
      <c r="AX464" t="s">
        <v>11</v>
      </c>
      <c r="AY464" t="s">
        <v>11</v>
      </c>
      <c r="AZ464" t="s">
        <v>11</v>
      </c>
      <c r="BA464" t="s">
        <v>11</v>
      </c>
      <c r="BB464" t="s">
        <v>11</v>
      </c>
      <c r="BC464" t="s">
        <v>11</v>
      </c>
      <c r="BD464" t="s">
        <v>11</v>
      </c>
      <c r="BE464" t="s">
        <v>11</v>
      </c>
      <c r="BF464" t="s">
        <v>11</v>
      </c>
      <c r="BG464" t="s">
        <v>11</v>
      </c>
      <c r="BH464" t="s">
        <v>3406</v>
      </c>
      <c r="BI464" t="s">
        <v>3405</v>
      </c>
      <c r="BJ464" t="s">
        <v>3407</v>
      </c>
      <c r="BK464" t="s">
        <v>3408</v>
      </c>
    </row>
    <row r="465" spans="1:63" x14ac:dyDescent="0.3">
      <c r="A465" t="s">
        <v>3409</v>
      </c>
      <c r="B465" t="s">
        <v>95</v>
      </c>
      <c r="C465" t="s">
        <v>2142</v>
      </c>
      <c r="D465" t="s">
        <v>3410</v>
      </c>
      <c r="E465" t="s">
        <v>3401</v>
      </c>
      <c r="F465">
        <v>484</v>
      </c>
      <c r="G465">
        <v>82.8</v>
      </c>
      <c r="I465">
        <v>9</v>
      </c>
      <c r="K465">
        <v>8.1999999999999993</v>
      </c>
      <c r="AF465">
        <v>9.1906999999999996</v>
      </c>
      <c r="AI465" t="s">
        <v>0</v>
      </c>
      <c r="AJ465" t="s">
        <v>128</v>
      </c>
      <c r="AK465" t="s">
        <v>2798</v>
      </c>
      <c r="AL465" t="s">
        <v>11</v>
      </c>
      <c r="AM465" t="s">
        <v>11</v>
      </c>
      <c r="AN465" t="s">
        <v>11</v>
      </c>
      <c r="AO465" t="s">
        <v>11</v>
      </c>
      <c r="AP465" t="s">
        <v>11</v>
      </c>
      <c r="AQ465" t="s">
        <v>11</v>
      </c>
      <c r="AR465" t="s">
        <v>11</v>
      </c>
      <c r="AS465" t="s">
        <v>11</v>
      </c>
      <c r="AT465" t="s">
        <v>11</v>
      </c>
      <c r="AU465" t="s">
        <v>11</v>
      </c>
      <c r="AV465" t="s">
        <v>11</v>
      </c>
      <c r="AW465" t="s">
        <v>11</v>
      </c>
      <c r="AX465" t="s">
        <v>11</v>
      </c>
      <c r="AY465" t="s">
        <v>11</v>
      </c>
      <c r="AZ465" t="s">
        <v>11</v>
      </c>
      <c r="BA465" t="s">
        <v>11</v>
      </c>
      <c r="BB465" t="s">
        <v>11</v>
      </c>
      <c r="BC465" t="s">
        <v>11</v>
      </c>
      <c r="BD465" t="s">
        <v>11</v>
      </c>
      <c r="BE465" t="s">
        <v>11</v>
      </c>
      <c r="BF465" t="s">
        <v>11</v>
      </c>
      <c r="BG465" t="s">
        <v>11</v>
      </c>
      <c r="BH465" t="s">
        <v>3411</v>
      </c>
      <c r="BI465" t="s">
        <v>3409</v>
      </c>
      <c r="BJ465" t="s">
        <v>3412</v>
      </c>
      <c r="BK465" t="s">
        <v>3413</v>
      </c>
    </row>
    <row r="466" spans="1:63" x14ac:dyDescent="0.3">
      <c r="A466" t="s">
        <v>3414</v>
      </c>
      <c r="B466" t="s">
        <v>95</v>
      </c>
      <c r="C466" t="s">
        <v>3415</v>
      </c>
      <c r="D466" t="s">
        <v>3416</v>
      </c>
      <c r="E466" t="s">
        <v>3401</v>
      </c>
      <c r="F466">
        <v>485</v>
      </c>
      <c r="G466">
        <v>82.78</v>
      </c>
      <c r="I466">
        <v>9</v>
      </c>
      <c r="K466">
        <v>8.1999999999999993</v>
      </c>
      <c r="S466">
        <v>0.02</v>
      </c>
      <c r="AF466">
        <v>9.1894120000000008</v>
      </c>
      <c r="AI466" t="s">
        <v>0</v>
      </c>
      <c r="AJ466" t="s">
        <v>128</v>
      </c>
      <c r="AK466" t="s">
        <v>2798</v>
      </c>
      <c r="AL466" t="s">
        <v>11</v>
      </c>
      <c r="AM466" t="s">
        <v>11</v>
      </c>
      <c r="AN466" t="s">
        <v>11</v>
      </c>
      <c r="AO466" t="s">
        <v>11</v>
      </c>
      <c r="AP466" t="s">
        <v>11</v>
      </c>
      <c r="AQ466" t="s">
        <v>11</v>
      </c>
      <c r="AR466" t="s">
        <v>11</v>
      </c>
      <c r="AS466" t="s">
        <v>11</v>
      </c>
      <c r="AT466" t="s">
        <v>11</v>
      </c>
      <c r="AU466" t="s">
        <v>1478</v>
      </c>
      <c r="AV466" t="s">
        <v>11</v>
      </c>
      <c r="AW466" t="s">
        <v>11</v>
      </c>
      <c r="AX466" t="s">
        <v>11</v>
      </c>
      <c r="AY466" t="s">
        <v>11</v>
      </c>
      <c r="AZ466" t="s">
        <v>11</v>
      </c>
      <c r="BA466" t="s">
        <v>11</v>
      </c>
      <c r="BB466" t="s">
        <v>11</v>
      </c>
      <c r="BC466" t="s">
        <v>11</v>
      </c>
      <c r="BD466" t="s">
        <v>11</v>
      </c>
      <c r="BE466" t="s">
        <v>11</v>
      </c>
      <c r="BF466" t="s">
        <v>11</v>
      </c>
      <c r="BG466" t="s">
        <v>11</v>
      </c>
      <c r="BH466" t="s">
        <v>3417</v>
      </c>
      <c r="BI466" t="s">
        <v>3414</v>
      </c>
      <c r="BJ466" t="s">
        <v>3418</v>
      </c>
      <c r="BK466" t="s">
        <v>3419</v>
      </c>
    </row>
    <row r="467" spans="1:63" x14ac:dyDescent="0.3">
      <c r="A467" t="s">
        <v>3420</v>
      </c>
      <c r="B467" t="s">
        <v>95</v>
      </c>
      <c r="C467" t="s">
        <v>332</v>
      </c>
      <c r="D467" t="s">
        <v>3420</v>
      </c>
      <c r="E467" t="s">
        <v>3401</v>
      </c>
      <c r="F467">
        <v>486</v>
      </c>
      <c r="G467">
        <v>80.3</v>
      </c>
      <c r="I467">
        <v>9.3000000000000007</v>
      </c>
      <c r="K467">
        <v>10.4</v>
      </c>
      <c r="AF467">
        <v>9.3998000000000008</v>
      </c>
      <c r="AI467" t="s">
        <v>0</v>
      </c>
      <c r="AJ467" t="s">
        <v>2192</v>
      </c>
      <c r="AK467" t="s">
        <v>3421</v>
      </c>
      <c r="AL467" t="s">
        <v>11</v>
      </c>
      <c r="AM467" t="s">
        <v>11</v>
      </c>
      <c r="AN467" t="s">
        <v>11</v>
      </c>
      <c r="AO467" t="s">
        <v>11</v>
      </c>
      <c r="AP467" t="s">
        <v>11</v>
      </c>
      <c r="AQ467" t="s">
        <v>11</v>
      </c>
      <c r="AR467" t="s">
        <v>11</v>
      </c>
      <c r="AS467" t="s">
        <v>11</v>
      </c>
      <c r="AT467" t="s">
        <v>11</v>
      </c>
      <c r="AU467" t="s">
        <v>11</v>
      </c>
      <c r="AV467" t="s">
        <v>11</v>
      </c>
      <c r="AW467" t="s">
        <v>11</v>
      </c>
      <c r="AX467" t="s">
        <v>11</v>
      </c>
      <c r="AY467" t="s">
        <v>11</v>
      </c>
      <c r="AZ467" t="s">
        <v>11</v>
      </c>
      <c r="BA467" t="s">
        <v>11</v>
      </c>
      <c r="BB467" t="s">
        <v>11</v>
      </c>
      <c r="BC467" t="s">
        <v>11</v>
      </c>
      <c r="BD467" t="s">
        <v>11</v>
      </c>
      <c r="BE467" t="s">
        <v>11</v>
      </c>
      <c r="BF467" t="s">
        <v>11</v>
      </c>
      <c r="BG467" t="s">
        <v>11</v>
      </c>
      <c r="BH467" t="s">
        <v>3422</v>
      </c>
      <c r="BI467" t="s">
        <v>3420</v>
      </c>
      <c r="BJ467" t="s">
        <v>3423</v>
      </c>
      <c r="BK467" t="s">
        <v>3424</v>
      </c>
    </row>
    <row r="468" spans="1:63" x14ac:dyDescent="0.3">
      <c r="A468" t="s">
        <v>3425</v>
      </c>
      <c r="B468" t="s">
        <v>95</v>
      </c>
      <c r="C468" t="s">
        <v>349</v>
      </c>
      <c r="D468" t="s">
        <v>3425</v>
      </c>
      <c r="E468" t="s">
        <v>3401</v>
      </c>
      <c r="F468">
        <v>487</v>
      </c>
      <c r="G468">
        <v>80.28</v>
      </c>
      <c r="I468">
        <v>9.3000000000000007</v>
      </c>
      <c r="K468">
        <v>10.4</v>
      </c>
      <c r="S468">
        <v>0.02</v>
      </c>
      <c r="AF468">
        <v>9.398512000000002</v>
      </c>
      <c r="AI468" t="s">
        <v>0</v>
      </c>
      <c r="AJ468" t="s">
        <v>2192</v>
      </c>
      <c r="AK468" t="s">
        <v>3421</v>
      </c>
      <c r="AL468" t="s">
        <v>11</v>
      </c>
      <c r="AM468" t="s">
        <v>11</v>
      </c>
      <c r="AN468" t="s">
        <v>11</v>
      </c>
      <c r="AO468" t="s">
        <v>11</v>
      </c>
      <c r="AP468" t="s">
        <v>11</v>
      </c>
      <c r="AQ468" t="s">
        <v>11</v>
      </c>
      <c r="AR468" t="s">
        <v>11</v>
      </c>
      <c r="AS468" t="s">
        <v>11</v>
      </c>
      <c r="AT468" t="s">
        <v>11</v>
      </c>
      <c r="AU468" t="s">
        <v>1478</v>
      </c>
      <c r="AV468" t="s">
        <v>11</v>
      </c>
      <c r="AW468" t="s">
        <v>11</v>
      </c>
      <c r="AX468" t="s">
        <v>11</v>
      </c>
      <c r="AY468" t="s">
        <v>11</v>
      </c>
      <c r="AZ468" t="s">
        <v>11</v>
      </c>
      <c r="BA468" t="s">
        <v>11</v>
      </c>
      <c r="BB468" t="s">
        <v>11</v>
      </c>
      <c r="BC468" t="s">
        <v>11</v>
      </c>
      <c r="BD468" t="s">
        <v>11</v>
      </c>
      <c r="BE468" t="s">
        <v>11</v>
      </c>
      <c r="BF468" t="s">
        <v>11</v>
      </c>
      <c r="BG468" t="s">
        <v>11</v>
      </c>
      <c r="BH468" t="s">
        <v>3426</v>
      </c>
      <c r="BI468" t="s">
        <v>3425</v>
      </c>
      <c r="BJ468" t="s">
        <v>3427</v>
      </c>
      <c r="BK468" t="s">
        <v>3428</v>
      </c>
    </row>
    <row r="469" spans="1:63" x14ac:dyDescent="0.3">
      <c r="A469" t="s">
        <v>3429</v>
      </c>
      <c r="B469" t="s">
        <v>95</v>
      </c>
      <c r="C469" t="s">
        <v>332</v>
      </c>
      <c r="D469" t="s">
        <v>3429</v>
      </c>
      <c r="E469" t="s">
        <v>3401</v>
      </c>
      <c r="F469">
        <v>488</v>
      </c>
      <c r="G469">
        <v>81.3</v>
      </c>
      <c r="I469">
        <v>9.1999999999999993</v>
      </c>
      <c r="K469">
        <v>9.5</v>
      </c>
      <c r="AF469">
        <v>9.312850000000001</v>
      </c>
      <c r="AI469" t="s">
        <v>0</v>
      </c>
      <c r="AJ469" t="s">
        <v>717</v>
      </c>
      <c r="AK469" t="s">
        <v>235</v>
      </c>
      <c r="AL469" t="s">
        <v>11</v>
      </c>
      <c r="AM469" t="s">
        <v>11</v>
      </c>
      <c r="AN469" t="s">
        <v>11</v>
      </c>
      <c r="AO469" t="s">
        <v>11</v>
      </c>
      <c r="AP469" t="s">
        <v>11</v>
      </c>
      <c r="AQ469" t="s">
        <v>11</v>
      </c>
      <c r="AR469" t="s">
        <v>11</v>
      </c>
      <c r="AS469" t="s">
        <v>11</v>
      </c>
      <c r="AT469" t="s">
        <v>11</v>
      </c>
      <c r="AU469" t="s">
        <v>11</v>
      </c>
      <c r="AV469" t="s">
        <v>11</v>
      </c>
      <c r="AW469" t="s">
        <v>11</v>
      </c>
      <c r="AX469" t="s">
        <v>11</v>
      </c>
      <c r="AY469" t="s">
        <v>11</v>
      </c>
      <c r="AZ469" t="s">
        <v>11</v>
      </c>
      <c r="BA469" t="s">
        <v>11</v>
      </c>
      <c r="BB469" t="s">
        <v>11</v>
      </c>
      <c r="BC469" t="s">
        <v>11</v>
      </c>
      <c r="BD469" t="s">
        <v>11</v>
      </c>
      <c r="BE469" t="s">
        <v>11</v>
      </c>
      <c r="BF469" t="s">
        <v>11</v>
      </c>
      <c r="BG469" t="s">
        <v>11</v>
      </c>
      <c r="BH469" t="s">
        <v>3430</v>
      </c>
      <c r="BI469" t="s">
        <v>3429</v>
      </c>
      <c r="BJ469" t="s">
        <v>3431</v>
      </c>
      <c r="BK469" t="s">
        <v>3432</v>
      </c>
    </row>
    <row r="470" spans="1:63" x14ac:dyDescent="0.3">
      <c r="A470" t="s">
        <v>3433</v>
      </c>
      <c r="B470" t="s">
        <v>95</v>
      </c>
      <c r="C470" t="s">
        <v>349</v>
      </c>
      <c r="D470" t="s">
        <v>3433</v>
      </c>
      <c r="E470" t="s">
        <v>3401</v>
      </c>
      <c r="F470">
        <v>489</v>
      </c>
      <c r="G470">
        <v>81.28</v>
      </c>
      <c r="I470">
        <v>9.1999999999999993</v>
      </c>
      <c r="K470">
        <v>9.5</v>
      </c>
      <c r="S470">
        <v>0.02</v>
      </c>
      <c r="AF470">
        <v>9.3115620000000021</v>
      </c>
      <c r="AI470" t="s">
        <v>0</v>
      </c>
      <c r="AJ470" t="s">
        <v>717</v>
      </c>
      <c r="AK470" t="s">
        <v>235</v>
      </c>
      <c r="AL470" t="s">
        <v>11</v>
      </c>
      <c r="AM470" t="s">
        <v>11</v>
      </c>
      <c r="AN470" t="s">
        <v>11</v>
      </c>
      <c r="AO470" t="s">
        <v>11</v>
      </c>
      <c r="AP470" t="s">
        <v>11</v>
      </c>
      <c r="AQ470" t="s">
        <v>11</v>
      </c>
      <c r="AR470" t="s">
        <v>11</v>
      </c>
      <c r="AS470" t="s">
        <v>11</v>
      </c>
      <c r="AT470" t="s">
        <v>11</v>
      </c>
      <c r="AU470" t="s">
        <v>1478</v>
      </c>
      <c r="AV470" t="s">
        <v>11</v>
      </c>
      <c r="AW470" t="s">
        <v>11</v>
      </c>
      <c r="AX470" t="s">
        <v>11</v>
      </c>
      <c r="AY470" t="s">
        <v>11</v>
      </c>
      <c r="AZ470" t="s">
        <v>11</v>
      </c>
      <c r="BA470" t="s">
        <v>11</v>
      </c>
      <c r="BB470" t="s">
        <v>11</v>
      </c>
      <c r="BC470" t="s">
        <v>11</v>
      </c>
      <c r="BD470" t="s">
        <v>11</v>
      </c>
      <c r="BE470" t="s">
        <v>11</v>
      </c>
      <c r="BF470" t="s">
        <v>11</v>
      </c>
      <c r="BG470" t="s">
        <v>11</v>
      </c>
      <c r="BH470" t="s">
        <v>3434</v>
      </c>
      <c r="BI470" t="s">
        <v>3433</v>
      </c>
      <c r="BJ470" t="s">
        <v>3435</v>
      </c>
      <c r="BK470" t="s">
        <v>3436</v>
      </c>
    </row>
    <row r="471" spans="1:63" x14ac:dyDescent="0.3">
      <c r="A471" t="s">
        <v>3437</v>
      </c>
      <c r="B471" t="s">
        <v>160</v>
      </c>
      <c r="C471" t="s">
        <v>3438</v>
      </c>
      <c r="D471" t="s">
        <v>3439</v>
      </c>
      <c r="E471" t="s">
        <v>3440</v>
      </c>
      <c r="F471">
        <v>490</v>
      </c>
      <c r="G471">
        <v>46.6</v>
      </c>
      <c r="H471">
        <v>32.5</v>
      </c>
      <c r="I471">
        <v>11.7</v>
      </c>
      <c r="J471">
        <v>3.3</v>
      </c>
      <c r="K471">
        <v>4.4000000000000004</v>
      </c>
      <c r="M471">
        <v>1.5</v>
      </c>
      <c r="AF471">
        <v>8.6924200000000003</v>
      </c>
      <c r="AI471" t="s">
        <v>0</v>
      </c>
      <c r="AJ471" t="s">
        <v>657</v>
      </c>
      <c r="AK471" t="s">
        <v>1450</v>
      </c>
      <c r="AL471" t="s">
        <v>3441</v>
      </c>
      <c r="AM471" t="s">
        <v>3442</v>
      </c>
      <c r="AN471" t="s">
        <v>396</v>
      </c>
      <c r="AO471" t="s">
        <v>11</v>
      </c>
      <c r="AP471" t="s">
        <v>11</v>
      </c>
      <c r="AQ471" t="s">
        <v>11</v>
      </c>
      <c r="AR471" t="s">
        <v>11</v>
      </c>
      <c r="AS471" t="s">
        <v>11</v>
      </c>
      <c r="AT471" t="s">
        <v>11</v>
      </c>
      <c r="AU471" t="s">
        <v>11</v>
      </c>
      <c r="AV471" t="s">
        <v>11</v>
      </c>
      <c r="AW471" t="s">
        <v>11</v>
      </c>
      <c r="AX471" t="s">
        <v>11</v>
      </c>
      <c r="AY471" t="s">
        <v>11</v>
      </c>
      <c r="AZ471" t="s">
        <v>11</v>
      </c>
      <c r="BA471" t="s">
        <v>11</v>
      </c>
      <c r="BB471" t="s">
        <v>11</v>
      </c>
      <c r="BC471" t="s">
        <v>11</v>
      </c>
      <c r="BD471" t="s">
        <v>11</v>
      </c>
      <c r="BE471" t="s">
        <v>11</v>
      </c>
      <c r="BF471" t="s">
        <v>11</v>
      </c>
      <c r="BG471" t="s">
        <v>11</v>
      </c>
      <c r="BH471" t="s">
        <v>3443</v>
      </c>
      <c r="BI471" t="s">
        <v>3437</v>
      </c>
      <c r="BJ471" t="s">
        <v>3444</v>
      </c>
      <c r="BK471" t="s">
        <v>3445</v>
      </c>
    </row>
    <row r="472" spans="1:63" x14ac:dyDescent="0.3">
      <c r="A472" t="s">
        <v>3446</v>
      </c>
      <c r="B472" t="s">
        <v>160</v>
      </c>
      <c r="C472" t="s">
        <v>3447</v>
      </c>
      <c r="D472" t="s">
        <v>3448</v>
      </c>
      <c r="E472" t="s">
        <v>3440</v>
      </c>
      <c r="F472">
        <v>491</v>
      </c>
      <c r="G472">
        <v>40.000000000000007</v>
      </c>
      <c r="H472">
        <v>34.799999999999997</v>
      </c>
      <c r="I472">
        <v>14</v>
      </c>
      <c r="J472">
        <v>3.3</v>
      </c>
      <c r="K472">
        <v>4.4000000000000004</v>
      </c>
      <c r="M472">
        <v>3.5</v>
      </c>
      <c r="AF472">
        <v>8.7050039999999989</v>
      </c>
      <c r="AI472" t="s">
        <v>0</v>
      </c>
      <c r="AJ472" t="s">
        <v>3449</v>
      </c>
      <c r="AK472" t="s">
        <v>1450</v>
      </c>
      <c r="AL472" t="s">
        <v>3450</v>
      </c>
      <c r="AM472" t="s">
        <v>3442</v>
      </c>
      <c r="AN472" t="s">
        <v>492</v>
      </c>
      <c r="AO472" t="s">
        <v>11</v>
      </c>
      <c r="AP472" t="s">
        <v>11</v>
      </c>
      <c r="AQ472" t="s">
        <v>11</v>
      </c>
      <c r="AR472" t="s">
        <v>11</v>
      </c>
      <c r="AS472" t="s">
        <v>11</v>
      </c>
      <c r="AT472" t="s">
        <v>11</v>
      </c>
      <c r="AU472" t="s">
        <v>11</v>
      </c>
      <c r="AV472" t="s">
        <v>11</v>
      </c>
      <c r="AW472" t="s">
        <v>11</v>
      </c>
      <c r="AX472" t="s">
        <v>11</v>
      </c>
      <c r="AY472" t="s">
        <v>11</v>
      </c>
      <c r="AZ472" t="s">
        <v>11</v>
      </c>
      <c r="BA472" t="s">
        <v>11</v>
      </c>
      <c r="BB472" t="s">
        <v>11</v>
      </c>
      <c r="BC472" t="s">
        <v>11</v>
      </c>
      <c r="BD472" t="s">
        <v>11</v>
      </c>
      <c r="BE472" t="s">
        <v>11</v>
      </c>
      <c r="BF472" t="s">
        <v>11</v>
      </c>
      <c r="BG472" t="s">
        <v>11</v>
      </c>
      <c r="BH472" t="s">
        <v>3451</v>
      </c>
      <c r="BI472" t="s">
        <v>3446</v>
      </c>
      <c r="BJ472" t="s">
        <v>3452</v>
      </c>
      <c r="BK472" t="s">
        <v>3453</v>
      </c>
    </row>
    <row r="473" spans="1:63" x14ac:dyDescent="0.3">
      <c r="A473" t="s">
        <v>3454</v>
      </c>
      <c r="B473" t="s">
        <v>31</v>
      </c>
      <c r="C473" t="s">
        <v>3455</v>
      </c>
      <c r="D473" t="s">
        <v>3456</v>
      </c>
      <c r="E473" t="s">
        <v>3440</v>
      </c>
      <c r="F473">
        <v>492</v>
      </c>
      <c r="G473">
        <v>40.4</v>
      </c>
      <c r="H473">
        <v>35.200000000000003</v>
      </c>
      <c r="I473">
        <v>14.3</v>
      </c>
      <c r="J473">
        <v>5.9</v>
      </c>
      <c r="K473">
        <v>1</v>
      </c>
      <c r="M473">
        <v>3.2</v>
      </c>
      <c r="AF473">
        <v>8.2668260000000018</v>
      </c>
      <c r="AI473" t="s">
        <v>0</v>
      </c>
      <c r="AJ473" t="s">
        <v>3457</v>
      </c>
      <c r="AK473" t="s">
        <v>44</v>
      </c>
      <c r="AL473" t="s">
        <v>3458</v>
      </c>
      <c r="AM473" t="s">
        <v>3459</v>
      </c>
      <c r="AN473" t="s">
        <v>1434</v>
      </c>
      <c r="AO473" t="s">
        <v>11</v>
      </c>
      <c r="AP473" t="s">
        <v>11</v>
      </c>
      <c r="AQ473" t="s">
        <v>11</v>
      </c>
      <c r="AR473" t="s">
        <v>11</v>
      </c>
      <c r="AS473" t="s">
        <v>11</v>
      </c>
      <c r="AT473" t="s">
        <v>11</v>
      </c>
      <c r="AU473" t="s">
        <v>11</v>
      </c>
      <c r="AV473" t="s">
        <v>11</v>
      </c>
      <c r="AW473" t="s">
        <v>11</v>
      </c>
      <c r="AX473" t="s">
        <v>11</v>
      </c>
      <c r="AY473" t="s">
        <v>11</v>
      </c>
      <c r="AZ473" t="s">
        <v>11</v>
      </c>
      <c r="BA473" t="s">
        <v>11</v>
      </c>
      <c r="BB473" t="s">
        <v>11</v>
      </c>
      <c r="BC473" t="s">
        <v>11</v>
      </c>
      <c r="BD473" t="s">
        <v>11</v>
      </c>
      <c r="BE473" t="s">
        <v>11</v>
      </c>
      <c r="BF473" t="s">
        <v>11</v>
      </c>
      <c r="BG473" t="s">
        <v>11</v>
      </c>
      <c r="BH473" t="s">
        <v>3460</v>
      </c>
      <c r="BI473" t="s">
        <v>3454</v>
      </c>
      <c r="BJ473" t="s">
        <v>3461</v>
      </c>
      <c r="BK473" t="s">
        <v>3462</v>
      </c>
    </row>
    <row r="474" spans="1:63" x14ac:dyDescent="0.3">
      <c r="A474" t="s">
        <v>3463</v>
      </c>
      <c r="B474" t="s">
        <v>31</v>
      </c>
      <c r="C474" t="s">
        <v>3464</v>
      </c>
      <c r="D474" t="s">
        <v>3465</v>
      </c>
      <c r="E474" t="s">
        <v>3440</v>
      </c>
      <c r="F474">
        <v>493</v>
      </c>
      <c r="G474">
        <v>39.799999999999997</v>
      </c>
      <c r="H474">
        <v>37.1</v>
      </c>
      <c r="I474">
        <v>13.1</v>
      </c>
      <c r="J474">
        <v>5.5</v>
      </c>
      <c r="K474">
        <v>1</v>
      </c>
      <c r="M474">
        <v>3.5</v>
      </c>
      <c r="AF474">
        <v>8.3714680000000001</v>
      </c>
      <c r="AG474">
        <v>8.65</v>
      </c>
      <c r="AI474" t="s">
        <v>0</v>
      </c>
      <c r="AJ474" t="s">
        <v>3466</v>
      </c>
      <c r="AK474" t="s">
        <v>44</v>
      </c>
      <c r="AL474" t="s">
        <v>1024</v>
      </c>
      <c r="AM474" t="s">
        <v>3467</v>
      </c>
      <c r="AN474" t="s">
        <v>492</v>
      </c>
      <c r="AO474" t="s">
        <v>11</v>
      </c>
      <c r="AP474" t="s">
        <v>11</v>
      </c>
      <c r="AQ474" t="s">
        <v>11</v>
      </c>
      <c r="AR474" t="s">
        <v>11</v>
      </c>
      <c r="AS474" t="s">
        <v>11</v>
      </c>
      <c r="AT474" t="s">
        <v>11</v>
      </c>
      <c r="AU474" t="s">
        <v>11</v>
      </c>
      <c r="AV474" t="s">
        <v>11</v>
      </c>
      <c r="AW474" t="s">
        <v>11</v>
      </c>
      <c r="AX474" t="s">
        <v>11</v>
      </c>
      <c r="AY474" t="s">
        <v>11</v>
      </c>
      <c r="AZ474" t="s">
        <v>11</v>
      </c>
      <c r="BA474" t="s">
        <v>11</v>
      </c>
      <c r="BB474" t="s">
        <v>11</v>
      </c>
      <c r="BC474" t="s">
        <v>11</v>
      </c>
      <c r="BD474" t="s">
        <v>11</v>
      </c>
      <c r="BE474" t="s">
        <v>11</v>
      </c>
      <c r="BF474" t="s">
        <v>11</v>
      </c>
      <c r="BG474" t="s">
        <v>11</v>
      </c>
      <c r="BH474" t="s">
        <v>3468</v>
      </c>
      <c r="BI474" t="s">
        <v>3463</v>
      </c>
      <c r="BJ474" t="s">
        <v>3469</v>
      </c>
      <c r="BK474" t="s">
        <v>3470</v>
      </c>
    </row>
    <row r="475" spans="1:63" x14ac:dyDescent="0.3">
      <c r="A475" t="s">
        <v>3471</v>
      </c>
      <c r="B475" t="s">
        <v>31</v>
      </c>
      <c r="C475" t="s">
        <v>3472</v>
      </c>
      <c r="D475" t="s">
        <v>3473</v>
      </c>
      <c r="E475" t="s">
        <v>3440</v>
      </c>
      <c r="F475">
        <v>494</v>
      </c>
      <c r="G475">
        <v>39.430000000000007</v>
      </c>
      <c r="H475">
        <v>36.799999999999997</v>
      </c>
      <c r="I475">
        <v>13.3</v>
      </c>
      <c r="J475">
        <v>5.8</v>
      </c>
      <c r="K475">
        <v>1</v>
      </c>
      <c r="M475">
        <v>3.5</v>
      </c>
      <c r="Q475">
        <v>0.06</v>
      </c>
      <c r="S475">
        <v>0.08</v>
      </c>
      <c r="X475">
        <v>4.0000000000000001E-3</v>
      </c>
      <c r="Y475">
        <v>2.5999999999999999E-2</v>
      </c>
      <c r="AF475">
        <v>8.34574748</v>
      </c>
      <c r="AI475" t="s">
        <v>0</v>
      </c>
      <c r="AJ475" t="s">
        <v>1433</v>
      </c>
      <c r="AK475" t="s">
        <v>44</v>
      </c>
      <c r="AL475" t="s">
        <v>1127</v>
      </c>
      <c r="AM475" t="s">
        <v>3474</v>
      </c>
      <c r="AN475" t="s">
        <v>492</v>
      </c>
      <c r="AO475" t="s">
        <v>11</v>
      </c>
      <c r="AP475" t="s">
        <v>11</v>
      </c>
      <c r="AQ475" t="s">
        <v>11</v>
      </c>
      <c r="AR475" t="s">
        <v>11</v>
      </c>
      <c r="AS475" t="s">
        <v>1286</v>
      </c>
      <c r="AT475" t="s">
        <v>11</v>
      </c>
      <c r="AU475" t="s">
        <v>352</v>
      </c>
      <c r="AV475" t="s">
        <v>11</v>
      </c>
      <c r="AW475" t="s">
        <v>11</v>
      </c>
      <c r="AX475" t="s">
        <v>11</v>
      </c>
      <c r="AY475" t="s">
        <v>11</v>
      </c>
      <c r="AZ475" t="s">
        <v>3475</v>
      </c>
      <c r="BA475" t="s">
        <v>3476</v>
      </c>
      <c r="BB475" t="s">
        <v>11</v>
      </c>
      <c r="BC475" t="s">
        <v>11</v>
      </c>
      <c r="BD475" t="s">
        <v>11</v>
      </c>
      <c r="BE475" t="s">
        <v>11</v>
      </c>
      <c r="BF475" t="s">
        <v>11</v>
      </c>
      <c r="BG475" t="s">
        <v>11</v>
      </c>
      <c r="BH475" t="s">
        <v>3477</v>
      </c>
      <c r="BI475" t="s">
        <v>3471</v>
      </c>
      <c r="BJ475" t="s">
        <v>3478</v>
      </c>
      <c r="BK475" t="s">
        <v>3479</v>
      </c>
    </row>
    <row r="476" spans="1:63" x14ac:dyDescent="0.3">
      <c r="A476" t="s">
        <v>3182</v>
      </c>
      <c r="B476" t="s">
        <v>95</v>
      </c>
      <c r="C476" t="s">
        <v>642</v>
      </c>
      <c r="D476" t="s">
        <v>97</v>
      </c>
      <c r="E476" t="s">
        <v>3480</v>
      </c>
      <c r="F476">
        <v>495</v>
      </c>
      <c r="G476">
        <v>81.8</v>
      </c>
      <c r="I476">
        <v>9.1999999999999993</v>
      </c>
      <c r="K476">
        <v>9</v>
      </c>
      <c r="AF476">
        <v>9.2611000000000008</v>
      </c>
      <c r="AI476" t="s">
        <v>0</v>
      </c>
      <c r="AJ476" t="s">
        <v>717</v>
      </c>
      <c r="AK476" t="s">
        <v>252</v>
      </c>
      <c r="AL476" t="s">
        <v>11</v>
      </c>
      <c r="AM476" t="s">
        <v>11</v>
      </c>
      <c r="AN476" t="s">
        <v>11</v>
      </c>
      <c r="AO476" t="s">
        <v>11</v>
      </c>
      <c r="AP476" t="s">
        <v>11</v>
      </c>
      <c r="AQ476" t="s">
        <v>11</v>
      </c>
      <c r="AR476" t="s">
        <v>11</v>
      </c>
      <c r="AS476" t="s">
        <v>11</v>
      </c>
      <c r="AT476" t="s">
        <v>11</v>
      </c>
      <c r="AU476" t="s">
        <v>11</v>
      </c>
      <c r="AV476" t="s">
        <v>11</v>
      </c>
      <c r="AW476" t="s">
        <v>11</v>
      </c>
      <c r="AX476" t="s">
        <v>11</v>
      </c>
      <c r="AY476" t="s">
        <v>11</v>
      </c>
      <c r="AZ476" t="s">
        <v>11</v>
      </c>
      <c r="BA476" t="s">
        <v>11</v>
      </c>
      <c r="BB476" t="s">
        <v>11</v>
      </c>
      <c r="BC476" t="s">
        <v>11</v>
      </c>
      <c r="BD476" t="s">
        <v>11</v>
      </c>
      <c r="BE476" t="s">
        <v>11</v>
      </c>
      <c r="BF476" t="s">
        <v>11</v>
      </c>
      <c r="BG476" t="s">
        <v>11</v>
      </c>
      <c r="BH476" t="s">
        <v>3481</v>
      </c>
      <c r="BI476" t="s">
        <v>3182</v>
      </c>
      <c r="BJ476" t="s">
        <v>3184</v>
      </c>
      <c r="BK476" t="s">
        <v>3185</v>
      </c>
    </row>
    <row r="477" spans="1:63" x14ac:dyDescent="0.3">
      <c r="A477" t="s">
        <v>3482</v>
      </c>
      <c r="B477" t="s">
        <v>160</v>
      </c>
      <c r="C477" t="s">
        <v>2858</v>
      </c>
      <c r="D477" t="s">
        <v>3483</v>
      </c>
      <c r="E477" t="s">
        <v>3480</v>
      </c>
      <c r="F477">
        <v>499</v>
      </c>
      <c r="G477">
        <v>77.900000000000006</v>
      </c>
      <c r="I477">
        <v>7.8</v>
      </c>
      <c r="J477">
        <v>4.5</v>
      </c>
      <c r="K477">
        <v>7.8</v>
      </c>
      <c r="M477">
        <v>2</v>
      </c>
      <c r="AF477">
        <v>9.3017500000000002</v>
      </c>
      <c r="AH477" t="s">
        <v>1657</v>
      </c>
      <c r="AI477" t="s">
        <v>0</v>
      </c>
      <c r="AJ477" t="s">
        <v>1206</v>
      </c>
      <c r="AK477" t="s">
        <v>478</v>
      </c>
      <c r="AL477" t="s">
        <v>11</v>
      </c>
      <c r="AM477" t="s">
        <v>2861</v>
      </c>
      <c r="AN477" t="s">
        <v>24</v>
      </c>
      <c r="AO477" t="s">
        <v>11</v>
      </c>
      <c r="AP477" t="s">
        <v>11</v>
      </c>
      <c r="AQ477" t="s">
        <v>11</v>
      </c>
      <c r="AR477" t="s">
        <v>11</v>
      </c>
      <c r="AS477" t="s">
        <v>11</v>
      </c>
      <c r="AT477" t="s">
        <v>11</v>
      </c>
      <c r="AU477" t="s">
        <v>11</v>
      </c>
      <c r="AV477" t="s">
        <v>11</v>
      </c>
      <c r="AW477" t="s">
        <v>11</v>
      </c>
      <c r="AX477" t="s">
        <v>11</v>
      </c>
      <c r="AY477" t="s">
        <v>11</v>
      </c>
      <c r="AZ477" t="s">
        <v>11</v>
      </c>
      <c r="BA477" t="s">
        <v>11</v>
      </c>
      <c r="BB477" t="s">
        <v>11</v>
      </c>
      <c r="BC477" t="s">
        <v>11</v>
      </c>
      <c r="BD477" t="s">
        <v>11</v>
      </c>
      <c r="BE477" t="s">
        <v>11</v>
      </c>
      <c r="BF477" t="s">
        <v>11</v>
      </c>
      <c r="BG477" t="s">
        <v>11</v>
      </c>
      <c r="BH477" t="s">
        <v>3484</v>
      </c>
      <c r="BI477" t="s">
        <v>3482</v>
      </c>
      <c r="BJ477" t="s">
        <v>3485</v>
      </c>
      <c r="BK477" t="s">
        <v>3486</v>
      </c>
    </row>
    <row r="478" spans="1:63" x14ac:dyDescent="0.3">
      <c r="A478" t="s">
        <v>1728</v>
      </c>
      <c r="B478" t="s">
        <v>95</v>
      </c>
      <c r="C478" t="s">
        <v>1729</v>
      </c>
      <c r="D478" t="s">
        <v>3487</v>
      </c>
      <c r="E478" t="s">
        <v>3480</v>
      </c>
      <c r="F478">
        <v>500</v>
      </c>
      <c r="G478">
        <v>79.900000000000006</v>
      </c>
      <c r="I478">
        <v>9.4</v>
      </c>
      <c r="K478">
        <v>10.7</v>
      </c>
      <c r="AF478">
        <v>9.4246500000000015</v>
      </c>
      <c r="AH478" t="s">
        <v>1657</v>
      </c>
      <c r="AI478" t="s">
        <v>0</v>
      </c>
      <c r="AJ478" t="s">
        <v>108</v>
      </c>
      <c r="AK478" t="s">
        <v>1731</v>
      </c>
      <c r="AL478" t="s">
        <v>11</v>
      </c>
      <c r="AM478" t="s">
        <v>11</v>
      </c>
      <c r="AN478" t="s">
        <v>11</v>
      </c>
      <c r="AO478" t="s">
        <v>11</v>
      </c>
      <c r="AP478" t="s">
        <v>11</v>
      </c>
      <c r="AQ478" t="s">
        <v>11</v>
      </c>
      <c r="AR478" t="s">
        <v>11</v>
      </c>
      <c r="AS478" t="s">
        <v>11</v>
      </c>
      <c r="AT478" t="s">
        <v>11</v>
      </c>
      <c r="AU478" t="s">
        <v>11</v>
      </c>
      <c r="AV478" t="s">
        <v>11</v>
      </c>
      <c r="AW478" t="s">
        <v>11</v>
      </c>
      <c r="AX478" t="s">
        <v>11</v>
      </c>
      <c r="AY478" t="s">
        <v>11</v>
      </c>
      <c r="AZ478" t="s">
        <v>11</v>
      </c>
      <c r="BA478" t="s">
        <v>11</v>
      </c>
      <c r="BB478" t="s">
        <v>11</v>
      </c>
      <c r="BC478" t="s">
        <v>11</v>
      </c>
      <c r="BD478" t="s">
        <v>11</v>
      </c>
      <c r="BE478" t="s">
        <v>11</v>
      </c>
      <c r="BF478" t="s">
        <v>11</v>
      </c>
      <c r="BG478" t="s">
        <v>11</v>
      </c>
      <c r="BH478" t="s">
        <v>3488</v>
      </c>
      <c r="BI478" t="s">
        <v>1728</v>
      </c>
      <c r="BJ478" t="s">
        <v>1733</v>
      </c>
      <c r="BK478" t="s">
        <v>1734</v>
      </c>
    </row>
    <row r="479" spans="1:63" x14ac:dyDescent="0.3">
      <c r="A479" t="s">
        <v>3489</v>
      </c>
      <c r="B479" t="s">
        <v>95</v>
      </c>
      <c r="C479" t="s">
        <v>332</v>
      </c>
      <c r="D479" t="s">
        <v>3490</v>
      </c>
      <c r="E479" t="s">
        <v>3480</v>
      </c>
      <c r="F479">
        <v>501</v>
      </c>
      <c r="G479">
        <v>81.400000000000006</v>
      </c>
      <c r="I479">
        <v>8.8000000000000007</v>
      </c>
      <c r="K479">
        <v>9.8000000000000007</v>
      </c>
      <c r="AF479">
        <v>9.3687000000000005</v>
      </c>
      <c r="AI479" t="s">
        <v>0</v>
      </c>
      <c r="AJ479" t="s">
        <v>261</v>
      </c>
      <c r="AK479" t="s">
        <v>1737</v>
      </c>
      <c r="AL479" t="s">
        <v>11</v>
      </c>
      <c r="AM479" t="s">
        <v>11</v>
      </c>
      <c r="AN479" t="s">
        <v>11</v>
      </c>
      <c r="AO479" t="s">
        <v>11</v>
      </c>
      <c r="AP479" t="s">
        <v>11</v>
      </c>
      <c r="AQ479" t="s">
        <v>11</v>
      </c>
      <c r="AR479" t="s">
        <v>11</v>
      </c>
      <c r="AS479" t="s">
        <v>11</v>
      </c>
      <c r="AT479" t="s">
        <v>11</v>
      </c>
      <c r="AU479" t="s">
        <v>11</v>
      </c>
      <c r="AV479" t="s">
        <v>11</v>
      </c>
      <c r="AW479" t="s">
        <v>11</v>
      </c>
      <c r="AX479" t="s">
        <v>11</v>
      </c>
      <c r="AY479" t="s">
        <v>11</v>
      </c>
      <c r="AZ479" t="s">
        <v>11</v>
      </c>
      <c r="BA479" t="s">
        <v>11</v>
      </c>
      <c r="BB479" t="s">
        <v>11</v>
      </c>
      <c r="BC479" t="s">
        <v>11</v>
      </c>
      <c r="BD479" t="s">
        <v>11</v>
      </c>
      <c r="BE479" t="s">
        <v>11</v>
      </c>
      <c r="BF479" t="s">
        <v>11</v>
      </c>
      <c r="BG479" t="s">
        <v>11</v>
      </c>
      <c r="BH479" t="s">
        <v>3491</v>
      </c>
      <c r="BI479" t="s">
        <v>3489</v>
      </c>
      <c r="BJ479" t="s">
        <v>3492</v>
      </c>
      <c r="BK479" t="s">
        <v>3493</v>
      </c>
    </row>
    <row r="480" spans="1:63" x14ac:dyDescent="0.3">
      <c r="A480" t="s">
        <v>641</v>
      </c>
      <c r="B480" t="s">
        <v>95</v>
      </c>
      <c r="C480" t="s">
        <v>642</v>
      </c>
      <c r="D480" t="s">
        <v>3494</v>
      </c>
      <c r="E480" t="s">
        <v>3495</v>
      </c>
      <c r="F480">
        <v>502</v>
      </c>
      <c r="G480">
        <v>82</v>
      </c>
      <c r="I480">
        <v>9</v>
      </c>
      <c r="K480">
        <v>9</v>
      </c>
      <c r="AF480">
        <v>9.2735000000000003</v>
      </c>
      <c r="AI480" t="s">
        <v>0</v>
      </c>
      <c r="AJ480" t="s">
        <v>128</v>
      </c>
      <c r="AK480" t="s">
        <v>252</v>
      </c>
      <c r="AL480" t="s">
        <v>11</v>
      </c>
      <c r="AM480" t="s">
        <v>11</v>
      </c>
      <c r="AN480" t="s">
        <v>11</v>
      </c>
      <c r="AO480" t="s">
        <v>11</v>
      </c>
      <c r="AP480" t="s">
        <v>11</v>
      </c>
      <c r="AQ480" t="s">
        <v>11</v>
      </c>
      <c r="AR480" t="s">
        <v>11</v>
      </c>
      <c r="AS480" t="s">
        <v>11</v>
      </c>
      <c r="AT480" t="s">
        <v>11</v>
      </c>
      <c r="AU480" t="s">
        <v>11</v>
      </c>
      <c r="AV480" t="s">
        <v>11</v>
      </c>
      <c r="AW480" t="s">
        <v>11</v>
      </c>
      <c r="AX480" t="s">
        <v>11</v>
      </c>
      <c r="AY480" t="s">
        <v>11</v>
      </c>
      <c r="AZ480" t="s">
        <v>11</v>
      </c>
      <c r="BA480" t="s">
        <v>11</v>
      </c>
      <c r="BB480" t="s">
        <v>11</v>
      </c>
      <c r="BC480" t="s">
        <v>11</v>
      </c>
      <c r="BD480" t="s">
        <v>11</v>
      </c>
      <c r="BE480" t="s">
        <v>11</v>
      </c>
      <c r="BF480" t="s">
        <v>11</v>
      </c>
      <c r="BG480" t="s">
        <v>11</v>
      </c>
      <c r="BH480" t="s">
        <v>3496</v>
      </c>
      <c r="BI480" t="s">
        <v>641</v>
      </c>
      <c r="BJ480" t="s">
        <v>647</v>
      </c>
      <c r="BK480" t="s">
        <v>648</v>
      </c>
    </row>
    <row r="481" spans="1:63" x14ac:dyDescent="0.3">
      <c r="A481" t="s">
        <v>3497</v>
      </c>
      <c r="B481" t="s">
        <v>95</v>
      </c>
      <c r="C481" t="s">
        <v>483</v>
      </c>
      <c r="D481" t="s">
        <v>3498</v>
      </c>
      <c r="E481" t="s">
        <v>3495</v>
      </c>
      <c r="F481">
        <v>503</v>
      </c>
      <c r="G481">
        <v>80</v>
      </c>
      <c r="I481">
        <v>9</v>
      </c>
      <c r="K481">
        <v>9</v>
      </c>
      <c r="M481">
        <v>2</v>
      </c>
      <c r="AF481">
        <v>9.4284999999999997</v>
      </c>
      <c r="AI481" t="s">
        <v>0</v>
      </c>
      <c r="AJ481" t="s">
        <v>128</v>
      </c>
      <c r="AK481" t="s">
        <v>252</v>
      </c>
      <c r="AL481" t="s">
        <v>11</v>
      </c>
      <c r="AM481" t="s">
        <v>11</v>
      </c>
      <c r="AN481" t="s">
        <v>24</v>
      </c>
      <c r="AO481" t="s">
        <v>11</v>
      </c>
      <c r="AP481" t="s">
        <v>11</v>
      </c>
      <c r="AQ481" t="s">
        <v>11</v>
      </c>
      <c r="AR481" t="s">
        <v>11</v>
      </c>
      <c r="AS481" t="s">
        <v>11</v>
      </c>
      <c r="AT481" t="s">
        <v>11</v>
      </c>
      <c r="AU481" t="s">
        <v>11</v>
      </c>
      <c r="AV481" t="s">
        <v>11</v>
      </c>
      <c r="AW481" t="s">
        <v>11</v>
      </c>
      <c r="AX481" t="s">
        <v>11</v>
      </c>
      <c r="AY481" t="s">
        <v>11</v>
      </c>
      <c r="AZ481" t="s">
        <v>11</v>
      </c>
      <c r="BA481" t="s">
        <v>11</v>
      </c>
      <c r="BB481" t="s">
        <v>11</v>
      </c>
      <c r="BC481" t="s">
        <v>11</v>
      </c>
      <c r="BD481" t="s">
        <v>11</v>
      </c>
      <c r="BE481" t="s">
        <v>11</v>
      </c>
      <c r="BF481" t="s">
        <v>11</v>
      </c>
      <c r="BG481" t="s">
        <v>11</v>
      </c>
      <c r="BH481" t="s">
        <v>3499</v>
      </c>
      <c r="BI481" t="s">
        <v>3497</v>
      </c>
      <c r="BJ481" t="s">
        <v>3500</v>
      </c>
      <c r="BK481" t="s">
        <v>3501</v>
      </c>
    </row>
    <row r="482" spans="1:63" x14ac:dyDescent="0.3">
      <c r="A482" t="s">
        <v>3502</v>
      </c>
      <c r="B482" t="s">
        <v>514</v>
      </c>
      <c r="C482" t="s">
        <v>3503</v>
      </c>
      <c r="D482" t="s">
        <v>3504</v>
      </c>
      <c r="E482" t="s">
        <v>3505</v>
      </c>
      <c r="F482">
        <v>505</v>
      </c>
      <c r="G482">
        <v>79</v>
      </c>
      <c r="L482">
        <v>21</v>
      </c>
      <c r="AF482">
        <v>7.9774700000000003</v>
      </c>
      <c r="AI482" t="s">
        <v>0</v>
      </c>
      <c r="AJ482" t="s">
        <v>11</v>
      </c>
      <c r="AK482" t="s">
        <v>11</v>
      </c>
      <c r="AL482" t="s">
        <v>11</v>
      </c>
      <c r="AM482" t="s">
        <v>11</v>
      </c>
      <c r="AN482" t="s">
        <v>11</v>
      </c>
      <c r="AO482" t="s">
        <v>11</v>
      </c>
      <c r="AP482" t="s">
        <v>11</v>
      </c>
      <c r="AQ482" t="s">
        <v>3506</v>
      </c>
      <c r="AR482" t="s">
        <v>11</v>
      </c>
      <c r="AS482" t="s">
        <v>11</v>
      </c>
      <c r="AT482" t="s">
        <v>11</v>
      </c>
      <c r="AU482" t="s">
        <v>11</v>
      </c>
      <c r="AV482" t="s">
        <v>11</v>
      </c>
      <c r="AW482" t="s">
        <v>11</v>
      </c>
      <c r="AX482" t="s">
        <v>11</v>
      </c>
      <c r="AY482" t="s">
        <v>11</v>
      </c>
      <c r="AZ482" t="s">
        <v>11</v>
      </c>
      <c r="BA482" t="s">
        <v>11</v>
      </c>
      <c r="BB482" t="s">
        <v>11</v>
      </c>
      <c r="BC482" t="s">
        <v>11</v>
      </c>
      <c r="BD482" t="s">
        <v>11</v>
      </c>
      <c r="BE482" t="s">
        <v>11</v>
      </c>
      <c r="BF482" t="s">
        <v>11</v>
      </c>
      <c r="BG482" t="s">
        <v>11</v>
      </c>
      <c r="BH482" t="s">
        <v>3507</v>
      </c>
      <c r="BI482" t="s">
        <v>3502</v>
      </c>
      <c r="BJ482" t="s">
        <v>3508</v>
      </c>
      <c r="BK482" t="s">
        <v>3506</v>
      </c>
    </row>
    <row r="483" spans="1:63" x14ac:dyDescent="0.3">
      <c r="A483" t="s">
        <v>3509</v>
      </c>
      <c r="B483" t="s">
        <v>514</v>
      </c>
      <c r="C483" t="s">
        <v>3510</v>
      </c>
      <c r="D483" t="s">
        <v>3511</v>
      </c>
      <c r="E483" t="s">
        <v>3505</v>
      </c>
      <c r="F483">
        <v>506</v>
      </c>
      <c r="G483">
        <v>80</v>
      </c>
      <c r="L483">
        <v>20</v>
      </c>
      <c r="AF483">
        <v>8.0213999999999999</v>
      </c>
      <c r="AI483" t="s">
        <v>0</v>
      </c>
      <c r="AJ483" t="s">
        <v>11</v>
      </c>
      <c r="AK483" t="s">
        <v>11</v>
      </c>
      <c r="AL483" t="s">
        <v>11</v>
      </c>
      <c r="AM483" t="s">
        <v>11</v>
      </c>
      <c r="AN483" t="s">
        <v>11</v>
      </c>
      <c r="AO483" t="s">
        <v>11</v>
      </c>
      <c r="AP483" t="s">
        <v>11</v>
      </c>
      <c r="AQ483" t="s">
        <v>3512</v>
      </c>
      <c r="AR483" t="s">
        <v>11</v>
      </c>
      <c r="AS483" t="s">
        <v>11</v>
      </c>
      <c r="AT483" t="s">
        <v>11</v>
      </c>
      <c r="AU483" t="s">
        <v>11</v>
      </c>
      <c r="AV483" t="s">
        <v>11</v>
      </c>
      <c r="AW483" t="s">
        <v>11</v>
      </c>
      <c r="AX483" t="s">
        <v>11</v>
      </c>
      <c r="AY483" t="s">
        <v>11</v>
      </c>
      <c r="AZ483" t="s">
        <v>11</v>
      </c>
      <c r="BA483" t="s">
        <v>11</v>
      </c>
      <c r="BB483" t="s">
        <v>11</v>
      </c>
      <c r="BC483" t="s">
        <v>11</v>
      </c>
      <c r="BD483" t="s">
        <v>11</v>
      </c>
      <c r="BE483" t="s">
        <v>11</v>
      </c>
      <c r="BF483" t="s">
        <v>11</v>
      </c>
      <c r="BG483" t="s">
        <v>11</v>
      </c>
      <c r="BH483" t="s">
        <v>3513</v>
      </c>
      <c r="BI483" t="s">
        <v>3509</v>
      </c>
      <c r="BJ483" t="s">
        <v>3514</v>
      </c>
      <c r="BK483" t="s">
        <v>3512</v>
      </c>
    </row>
    <row r="484" spans="1:63" x14ac:dyDescent="0.3">
      <c r="A484" t="s">
        <v>1348</v>
      </c>
      <c r="B484" t="s">
        <v>95</v>
      </c>
      <c r="C484" t="s">
        <v>105</v>
      </c>
      <c r="D484" t="s">
        <v>3515</v>
      </c>
      <c r="E484" t="s">
        <v>3516</v>
      </c>
      <c r="F484">
        <v>507</v>
      </c>
      <c r="G484">
        <v>79</v>
      </c>
      <c r="I484">
        <v>9</v>
      </c>
      <c r="K484">
        <v>10</v>
      </c>
      <c r="M484">
        <v>2</v>
      </c>
      <c r="AF484">
        <v>9.532</v>
      </c>
      <c r="AH484" t="s">
        <v>1657</v>
      </c>
      <c r="AI484" t="s">
        <v>0</v>
      </c>
      <c r="AJ484" t="s">
        <v>128</v>
      </c>
      <c r="AK484" t="s">
        <v>677</v>
      </c>
      <c r="AL484" t="s">
        <v>11</v>
      </c>
      <c r="AM484" t="s">
        <v>11</v>
      </c>
      <c r="AN484" t="s">
        <v>24</v>
      </c>
      <c r="AO484" t="s">
        <v>11</v>
      </c>
      <c r="AP484" t="s">
        <v>11</v>
      </c>
      <c r="AQ484" t="s">
        <v>11</v>
      </c>
      <c r="AR484" t="s">
        <v>11</v>
      </c>
      <c r="AS484" t="s">
        <v>11</v>
      </c>
      <c r="AT484" t="s">
        <v>11</v>
      </c>
      <c r="AU484" t="s">
        <v>11</v>
      </c>
      <c r="AV484" t="s">
        <v>11</v>
      </c>
      <c r="AW484" t="s">
        <v>11</v>
      </c>
      <c r="AX484" t="s">
        <v>11</v>
      </c>
      <c r="AY484" t="s">
        <v>11</v>
      </c>
      <c r="AZ484" t="s">
        <v>11</v>
      </c>
      <c r="BA484" t="s">
        <v>11</v>
      </c>
      <c r="BB484" t="s">
        <v>11</v>
      </c>
      <c r="BC484" t="s">
        <v>11</v>
      </c>
      <c r="BD484" t="s">
        <v>11</v>
      </c>
      <c r="BE484" t="s">
        <v>11</v>
      </c>
      <c r="BF484" t="s">
        <v>11</v>
      </c>
      <c r="BG484" t="s">
        <v>11</v>
      </c>
      <c r="BH484" t="s">
        <v>3517</v>
      </c>
      <c r="BI484" t="s">
        <v>1348</v>
      </c>
      <c r="BJ484" t="s">
        <v>3518</v>
      </c>
      <c r="BK484" t="s">
        <v>1354</v>
      </c>
    </row>
    <row r="485" spans="1:63" x14ac:dyDescent="0.3">
      <c r="A485" t="s">
        <v>1376</v>
      </c>
      <c r="B485" t="s">
        <v>95</v>
      </c>
      <c r="C485" t="s">
        <v>3519</v>
      </c>
      <c r="D485" t="s">
        <v>3520</v>
      </c>
      <c r="E485" t="s">
        <v>3516</v>
      </c>
      <c r="F485">
        <v>508</v>
      </c>
      <c r="G485">
        <v>81</v>
      </c>
      <c r="I485">
        <v>9</v>
      </c>
      <c r="K485">
        <v>8</v>
      </c>
      <c r="M485">
        <v>2</v>
      </c>
      <c r="AF485">
        <v>9.3249999999999993</v>
      </c>
      <c r="AH485" t="s">
        <v>1657</v>
      </c>
      <c r="AI485" t="s">
        <v>0</v>
      </c>
      <c r="AJ485" t="s">
        <v>128</v>
      </c>
      <c r="AK485" t="s">
        <v>548</v>
      </c>
      <c r="AL485" t="s">
        <v>11</v>
      </c>
      <c r="AM485" t="s">
        <v>11</v>
      </c>
      <c r="AN485" t="s">
        <v>24</v>
      </c>
      <c r="AO485" t="s">
        <v>11</v>
      </c>
      <c r="AP485" t="s">
        <v>11</v>
      </c>
      <c r="AQ485" t="s">
        <v>11</v>
      </c>
      <c r="AR485" t="s">
        <v>11</v>
      </c>
      <c r="AS485" t="s">
        <v>11</v>
      </c>
      <c r="AT485" t="s">
        <v>11</v>
      </c>
      <c r="AU485" t="s">
        <v>11</v>
      </c>
      <c r="AV485" t="s">
        <v>11</v>
      </c>
      <c r="AW485" t="s">
        <v>11</v>
      </c>
      <c r="AX485" t="s">
        <v>11</v>
      </c>
      <c r="AY485" t="s">
        <v>11</v>
      </c>
      <c r="AZ485" t="s">
        <v>11</v>
      </c>
      <c r="BA485" t="s">
        <v>11</v>
      </c>
      <c r="BB485" t="s">
        <v>11</v>
      </c>
      <c r="BC485" t="s">
        <v>11</v>
      </c>
      <c r="BD485" t="s">
        <v>11</v>
      </c>
      <c r="BE485" t="s">
        <v>11</v>
      </c>
      <c r="BF485" t="s">
        <v>11</v>
      </c>
      <c r="BG485" t="s">
        <v>11</v>
      </c>
      <c r="BH485" t="s">
        <v>3521</v>
      </c>
      <c r="BI485" t="s">
        <v>1376</v>
      </c>
      <c r="BJ485" t="s">
        <v>3522</v>
      </c>
      <c r="BK485" t="s">
        <v>1380</v>
      </c>
    </row>
    <row r="486" spans="1:63" x14ac:dyDescent="0.3">
      <c r="A486" t="s">
        <v>3523</v>
      </c>
      <c r="B486" t="s">
        <v>160</v>
      </c>
      <c r="C486" t="s">
        <v>3524</v>
      </c>
      <c r="D486" t="s">
        <v>3525</v>
      </c>
      <c r="E486" t="s">
        <v>3516</v>
      </c>
      <c r="F486">
        <v>509</v>
      </c>
      <c r="G486">
        <v>62</v>
      </c>
      <c r="H486">
        <v>20</v>
      </c>
      <c r="I486">
        <v>9</v>
      </c>
      <c r="K486">
        <v>7</v>
      </c>
      <c r="M486">
        <v>2</v>
      </c>
      <c r="AF486">
        <v>9.2230999999999987</v>
      </c>
      <c r="AH486" t="s">
        <v>1657</v>
      </c>
      <c r="AI486" t="s">
        <v>0</v>
      </c>
      <c r="AJ486" t="s">
        <v>128</v>
      </c>
      <c r="AK486" t="s">
        <v>538</v>
      </c>
      <c r="AL486" t="s">
        <v>834</v>
      </c>
      <c r="AM486" t="s">
        <v>11</v>
      </c>
      <c r="AN486" t="s">
        <v>24</v>
      </c>
      <c r="AO486" t="s">
        <v>11</v>
      </c>
      <c r="AP486" t="s">
        <v>11</v>
      </c>
      <c r="AQ486" t="s">
        <v>11</v>
      </c>
      <c r="AR486" t="s">
        <v>11</v>
      </c>
      <c r="AS486" t="s">
        <v>11</v>
      </c>
      <c r="AT486" t="s">
        <v>11</v>
      </c>
      <c r="AU486" t="s">
        <v>11</v>
      </c>
      <c r="AV486" t="s">
        <v>11</v>
      </c>
      <c r="AW486" t="s">
        <v>11</v>
      </c>
      <c r="AX486" t="s">
        <v>11</v>
      </c>
      <c r="AY486" t="s">
        <v>11</v>
      </c>
      <c r="AZ486" t="s">
        <v>11</v>
      </c>
      <c r="BA486" t="s">
        <v>11</v>
      </c>
      <c r="BB486" t="s">
        <v>11</v>
      </c>
      <c r="BC486" t="s">
        <v>11</v>
      </c>
      <c r="BD486" t="s">
        <v>11</v>
      </c>
      <c r="BE486" t="s">
        <v>11</v>
      </c>
      <c r="BF486" t="s">
        <v>11</v>
      </c>
      <c r="BG486" t="s">
        <v>11</v>
      </c>
      <c r="BH486" t="s">
        <v>3526</v>
      </c>
      <c r="BI486" t="s">
        <v>3523</v>
      </c>
      <c r="BJ486" t="s">
        <v>3527</v>
      </c>
      <c r="BK486" t="s">
        <v>3528</v>
      </c>
    </row>
    <row r="487" spans="1:63" x14ac:dyDescent="0.3">
      <c r="A487" t="s">
        <v>641</v>
      </c>
      <c r="B487" t="s">
        <v>95</v>
      </c>
      <c r="C487" t="s">
        <v>642</v>
      </c>
      <c r="D487" t="s">
        <v>3529</v>
      </c>
      <c r="E487" t="s">
        <v>3530</v>
      </c>
      <c r="F487">
        <v>510</v>
      </c>
      <c r="G487">
        <v>82</v>
      </c>
      <c r="I487">
        <v>9</v>
      </c>
      <c r="K487">
        <v>9</v>
      </c>
      <c r="AF487">
        <v>9.2735000000000003</v>
      </c>
      <c r="AI487" t="s">
        <v>0</v>
      </c>
      <c r="AJ487" t="s">
        <v>128</v>
      </c>
      <c r="AK487" t="s">
        <v>252</v>
      </c>
      <c r="AL487" t="s">
        <v>11</v>
      </c>
      <c r="AM487" t="s">
        <v>11</v>
      </c>
      <c r="AN487" t="s">
        <v>11</v>
      </c>
      <c r="AO487" t="s">
        <v>11</v>
      </c>
      <c r="AP487" t="s">
        <v>11</v>
      </c>
      <c r="AQ487" t="s">
        <v>11</v>
      </c>
      <c r="AR487" t="s">
        <v>11</v>
      </c>
      <c r="AS487" t="s">
        <v>11</v>
      </c>
      <c r="AT487" t="s">
        <v>11</v>
      </c>
      <c r="AU487" t="s">
        <v>11</v>
      </c>
      <c r="AV487" t="s">
        <v>11</v>
      </c>
      <c r="AW487" t="s">
        <v>11</v>
      </c>
      <c r="AX487" t="s">
        <v>11</v>
      </c>
      <c r="AY487" t="s">
        <v>11</v>
      </c>
      <c r="AZ487" t="s">
        <v>11</v>
      </c>
      <c r="BA487" t="s">
        <v>11</v>
      </c>
      <c r="BB487" t="s">
        <v>11</v>
      </c>
      <c r="BC487" t="s">
        <v>11</v>
      </c>
      <c r="BD487" t="s">
        <v>11</v>
      </c>
      <c r="BE487" t="s">
        <v>11</v>
      </c>
      <c r="BF487" t="s">
        <v>11</v>
      </c>
      <c r="BG487" t="s">
        <v>11</v>
      </c>
      <c r="BH487" t="s">
        <v>3531</v>
      </c>
      <c r="BI487" t="s">
        <v>641</v>
      </c>
      <c r="BJ487" t="s">
        <v>647</v>
      </c>
      <c r="BK487" t="s">
        <v>648</v>
      </c>
    </row>
    <row r="488" spans="1:63" x14ac:dyDescent="0.3">
      <c r="A488" t="s">
        <v>435</v>
      </c>
      <c r="B488" t="s">
        <v>95</v>
      </c>
      <c r="C488" t="s">
        <v>436</v>
      </c>
      <c r="D488" t="s">
        <v>3532</v>
      </c>
      <c r="E488" t="s">
        <v>3533</v>
      </c>
      <c r="F488">
        <v>511</v>
      </c>
      <c r="G488">
        <v>79.680000000000007</v>
      </c>
      <c r="I488">
        <v>8.4</v>
      </c>
      <c r="K488">
        <v>9.6</v>
      </c>
      <c r="L488">
        <v>2.2000000000000002</v>
      </c>
      <c r="S488">
        <v>0.12</v>
      </c>
      <c r="AF488">
        <v>9.2684259999999998</v>
      </c>
      <c r="AI488" t="s">
        <v>0</v>
      </c>
      <c r="AJ488" t="s">
        <v>118</v>
      </c>
      <c r="AK488" t="s">
        <v>204</v>
      </c>
      <c r="AL488" t="s">
        <v>11</v>
      </c>
      <c r="AM488" t="s">
        <v>11</v>
      </c>
      <c r="AN488" t="s">
        <v>11</v>
      </c>
      <c r="AO488" t="s">
        <v>11</v>
      </c>
      <c r="AP488" t="s">
        <v>11</v>
      </c>
      <c r="AQ488" t="s">
        <v>120</v>
      </c>
      <c r="AR488" t="s">
        <v>11</v>
      </c>
      <c r="AS488" t="s">
        <v>11</v>
      </c>
      <c r="AT488" t="s">
        <v>11</v>
      </c>
      <c r="AU488" t="s">
        <v>317</v>
      </c>
      <c r="AV488" t="s">
        <v>11</v>
      </c>
      <c r="AW488" t="s">
        <v>11</v>
      </c>
      <c r="AX488" t="s">
        <v>11</v>
      </c>
      <c r="AY488" t="s">
        <v>11</v>
      </c>
      <c r="AZ488" t="s">
        <v>11</v>
      </c>
      <c r="BA488" t="s">
        <v>11</v>
      </c>
      <c r="BB488" t="s">
        <v>11</v>
      </c>
      <c r="BC488" t="s">
        <v>11</v>
      </c>
      <c r="BD488" t="s">
        <v>11</v>
      </c>
      <c r="BE488" t="s">
        <v>11</v>
      </c>
      <c r="BF488" t="s">
        <v>11</v>
      </c>
      <c r="BG488" t="s">
        <v>11</v>
      </c>
      <c r="BH488" t="s">
        <v>3534</v>
      </c>
      <c r="BI488" t="s">
        <v>435</v>
      </c>
      <c r="BJ488" t="s">
        <v>440</v>
      </c>
      <c r="BK488" t="s">
        <v>441</v>
      </c>
    </row>
    <row r="489" spans="1:63" x14ac:dyDescent="0.3">
      <c r="A489" t="s">
        <v>94</v>
      </c>
      <c r="B489" t="s">
        <v>95</v>
      </c>
      <c r="C489" t="s">
        <v>96</v>
      </c>
      <c r="D489" t="s">
        <v>97</v>
      </c>
      <c r="E489" t="s">
        <v>3533</v>
      </c>
      <c r="F489">
        <v>512</v>
      </c>
      <c r="G489">
        <v>83.5</v>
      </c>
      <c r="I489">
        <v>8.1</v>
      </c>
      <c r="K489">
        <v>8.4</v>
      </c>
      <c r="AF489">
        <v>9.2672000000000008</v>
      </c>
      <c r="AI489" t="s">
        <v>0</v>
      </c>
      <c r="AJ489" t="s">
        <v>99</v>
      </c>
      <c r="AK489" t="s">
        <v>100</v>
      </c>
      <c r="AL489" t="s">
        <v>11</v>
      </c>
      <c r="AM489" t="s">
        <v>11</v>
      </c>
      <c r="AN489" t="s">
        <v>11</v>
      </c>
      <c r="AO489" t="s">
        <v>11</v>
      </c>
      <c r="AP489" t="s">
        <v>11</v>
      </c>
      <c r="AQ489" t="s">
        <v>11</v>
      </c>
      <c r="AR489" t="s">
        <v>11</v>
      </c>
      <c r="AS489" t="s">
        <v>11</v>
      </c>
      <c r="AT489" t="s">
        <v>11</v>
      </c>
      <c r="AU489" t="s">
        <v>11</v>
      </c>
      <c r="AV489" t="s">
        <v>11</v>
      </c>
      <c r="AW489" t="s">
        <v>11</v>
      </c>
      <c r="AX489" t="s">
        <v>11</v>
      </c>
      <c r="AY489" t="s">
        <v>11</v>
      </c>
      <c r="AZ489" t="s">
        <v>11</v>
      </c>
      <c r="BA489" t="s">
        <v>11</v>
      </c>
      <c r="BB489" t="s">
        <v>11</v>
      </c>
      <c r="BC489" t="s">
        <v>11</v>
      </c>
      <c r="BD489" t="s">
        <v>11</v>
      </c>
      <c r="BE489" t="s">
        <v>11</v>
      </c>
      <c r="BF489" t="s">
        <v>11</v>
      </c>
      <c r="BG489" t="s">
        <v>11</v>
      </c>
      <c r="BH489" t="s">
        <v>3535</v>
      </c>
      <c r="BI489" t="s">
        <v>94</v>
      </c>
      <c r="BJ489" t="s">
        <v>102</v>
      </c>
      <c r="BK489" t="s">
        <v>103</v>
      </c>
    </row>
    <row r="490" spans="1:63" x14ac:dyDescent="0.3">
      <c r="A490" t="s">
        <v>339</v>
      </c>
      <c r="B490" t="s">
        <v>95</v>
      </c>
      <c r="C490" t="s">
        <v>340</v>
      </c>
      <c r="D490" t="s">
        <v>1898</v>
      </c>
      <c r="E490" t="s">
        <v>3533</v>
      </c>
      <c r="F490">
        <v>513</v>
      </c>
      <c r="G490">
        <v>81.86</v>
      </c>
      <c r="I490">
        <v>8.4</v>
      </c>
      <c r="K490">
        <v>9.6999999999999993</v>
      </c>
      <c r="S490">
        <v>0.04</v>
      </c>
      <c r="AF490">
        <v>9.3805739999999993</v>
      </c>
      <c r="AI490" t="s">
        <v>0</v>
      </c>
      <c r="AJ490" t="s">
        <v>118</v>
      </c>
      <c r="AK490" t="s">
        <v>316</v>
      </c>
      <c r="AL490" t="s">
        <v>11</v>
      </c>
      <c r="AM490" t="s">
        <v>11</v>
      </c>
      <c r="AN490" t="s">
        <v>11</v>
      </c>
      <c r="AO490" t="s">
        <v>11</v>
      </c>
      <c r="AP490" t="s">
        <v>11</v>
      </c>
      <c r="AQ490" t="s">
        <v>11</v>
      </c>
      <c r="AR490" t="s">
        <v>11</v>
      </c>
      <c r="AS490" t="s">
        <v>11</v>
      </c>
      <c r="AT490" t="s">
        <v>11</v>
      </c>
      <c r="AU490" t="s">
        <v>344</v>
      </c>
      <c r="AV490" t="s">
        <v>11</v>
      </c>
      <c r="AW490" t="s">
        <v>11</v>
      </c>
      <c r="AX490" t="s">
        <v>11</v>
      </c>
      <c r="AY490" t="s">
        <v>11</v>
      </c>
      <c r="AZ490" t="s">
        <v>11</v>
      </c>
      <c r="BA490" t="s">
        <v>11</v>
      </c>
      <c r="BB490" t="s">
        <v>11</v>
      </c>
      <c r="BC490" t="s">
        <v>11</v>
      </c>
      <c r="BD490" t="s">
        <v>11</v>
      </c>
      <c r="BE490" t="s">
        <v>11</v>
      </c>
      <c r="BF490" t="s">
        <v>11</v>
      </c>
      <c r="BG490" t="s">
        <v>11</v>
      </c>
      <c r="BH490" t="s">
        <v>3536</v>
      </c>
      <c r="BI490" t="s">
        <v>339</v>
      </c>
      <c r="BJ490" t="s">
        <v>346</v>
      </c>
      <c r="BK490" t="s">
        <v>347</v>
      </c>
    </row>
    <row r="491" spans="1:63" x14ac:dyDescent="0.3">
      <c r="A491" t="s">
        <v>348</v>
      </c>
      <c r="B491" t="s">
        <v>95</v>
      </c>
      <c r="C491" t="s">
        <v>349</v>
      </c>
      <c r="D491" t="s">
        <v>3537</v>
      </c>
      <c r="E491" t="s">
        <v>3533</v>
      </c>
      <c r="F491">
        <v>514</v>
      </c>
      <c r="G491">
        <v>81.52000000000001</v>
      </c>
      <c r="I491">
        <v>8.9</v>
      </c>
      <c r="K491">
        <v>9.5</v>
      </c>
      <c r="S491">
        <v>0.08</v>
      </c>
      <c r="AF491">
        <v>9.3262980000000013</v>
      </c>
      <c r="AI491" t="s">
        <v>0</v>
      </c>
      <c r="AJ491" t="s">
        <v>326</v>
      </c>
      <c r="AK491" t="s">
        <v>235</v>
      </c>
      <c r="AL491" t="s">
        <v>11</v>
      </c>
      <c r="AM491" t="s">
        <v>11</v>
      </c>
      <c r="AN491" t="s">
        <v>11</v>
      </c>
      <c r="AO491" t="s">
        <v>11</v>
      </c>
      <c r="AP491" t="s">
        <v>11</v>
      </c>
      <c r="AQ491" t="s">
        <v>11</v>
      </c>
      <c r="AR491" t="s">
        <v>11</v>
      </c>
      <c r="AS491" t="s">
        <v>11</v>
      </c>
      <c r="AT491" t="s">
        <v>11</v>
      </c>
      <c r="AU491" t="s">
        <v>352</v>
      </c>
      <c r="AV491" t="s">
        <v>11</v>
      </c>
      <c r="AW491" t="s">
        <v>11</v>
      </c>
      <c r="AX491" t="s">
        <v>11</v>
      </c>
      <c r="AY491" t="s">
        <v>11</v>
      </c>
      <c r="AZ491" t="s">
        <v>11</v>
      </c>
      <c r="BA491" t="s">
        <v>11</v>
      </c>
      <c r="BB491" t="s">
        <v>11</v>
      </c>
      <c r="BC491" t="s">
        <v>11</v>
      </c>
      <c r="BD491" t="s">
        <v>11</v>
      </c>
      <c r="BE491" t="s">
        <v>11</v>
      </c>
      <c r="BF491" t="s">
        <v>11</v>
      </c>
      <c r="BG491" t="s">
        <v>11</v>
      </c>
      <c r="BH491" t="s">
        <v>3538</v>
      </c>
      <c r="BI491" t="s">
        <v>348</v>
      </c>
      <c r="BJ491" t="s">
        <v>354</v>
      </c>
      <c r="BK491" t="s">
        <v>355</v>
      </c>
    </row>
    <row r="492" spans="1:63" x14ac:dyDescent="0.3">
      <c r="A492" t="s">
        <v>3539</v>
      </c>
      <c r="B492" t="s">
        <v>95</v>
      </c>
      <c r="C492" t="s">
        <v>1897</v>
      </c>
      <c r="D492" t="s">
        <v>1905</v>
      </c>
      <c r="E492" t="s">
        <v>3533</v>
      </c>
      <c r="F492">
        <v>515</v>
      </c>
      <c r="G492">
        <v>81.78</v>
      </c>
      <c r="I492">
        <v>8.8000000000000007</v>
      </c>
      <c r="K492">
        <v>9.3000000000000007</v>
      </c>
      <c r="S492">
        <v>0.12</v>
      </c>
      <c r="AF492">
        <v>9.3092220000000001</v>
      </c>
      <c r="AI492" t="s">
        <v>0</v>
      </c>
      <c r="AJ492" t="s">
        <v>261</v>
      </c>
      <c r="AK492" t="s">
        <v>327</v>
      </c>
      <c r="AL492" t="s">
        <v>11</v>
      </c>
      <c r="AM492" t="s">
        <v>11</v>
      </c>
      <c r="AN492" t="s">
        <v>11</v>
      </c>
      <c r="AO492" t="s">
        <v>11</v>
      </c>
      <c r="AP492" t="s">
        <v>11</v>
      </c>
      <c r="AQ492" t="s">
        <v>11</v>
      </c>
      <c r="AR492" t="s">
        <v>11</v>
      </c>
      <c r="AS492" t="s">
        <v>11</v>
      </c>
      <c r="AT492" t="s">
        <v>11</v>
      </c>
      <c r="AU492" t="s">
        <v>317</v>
      </c>
      <c r="AV492" t="s">
        <v>11</v>
      </c>
      <c r="AW492" t="s">
        <v>11</v>
      </c>
      <c r="AX492" t="s">
        <v>11</v>
      </c>
      <c r="AY492" t="s">
        <v>11</v>
      </c>
      <c r="AZ492" t="s">
        <v>11</v>
      </c>
      <c r="BA492" t="s">
        <v>11</v>
      </c>
      <c r="BB492" t="s">
        <v>11</v>
      </c>
      <c r="BC492" t="s">
        <v>11</v>
      </c>
      <c r="BD492" t="s">
        <v>11</v>
      </c>
      <c r="BE492" t="s">
        <v>11</v>
      </c>
      <c r="BF492" t="s">
        <v>11</v>
      </c>
      <c r="BG492" t="s">
        <v>11</v>
      </c>
      <c r="BH492" t="s">
        <v>3540</v>
      </c>
      <c r="BI492" t="s">
        <v>3539</v>
      </c>
      <c r="BJ492" t="s">
        <v>3541</v>
      </c>
      <c r="BK492" t="s">
        <v>3542</v>
      </c>
    </row>
    <row r="493" spans="1:63" x14ac:dyDescent="0.3">
      <c r="A493" t="s">
        <v>3543</v>
      </c>
      <c r="B493" t="s">
        <v>95</v>
      </c>
      <c r="C493" t="s">
        <v>3544</v>
      </c>
      <c r="D493" t="s">
        <v>3545</v>
      </c>
      <c r="E493" t="s">
        <v>3533</v>
      </c>
      <c r="F493">
        <v>516</v>
      </c>
      <c r="G493">
        <v>77.760000000000005</v>
      </c>
      <c r="I493">
        <v>8.6</v>
      </c>
      <c r="J493">
        <v>4.0999999999999996</v>
      </c>
      <c r="K493">
        <v>9.5</v>
      </c>
      <c r="S493">
        <v>0.04</v>
      </c>
      <c r="AF493">
        <v>9.2773640000000004</v>
      </c>
      <c r="AI493" t="s">
        <v>0</v>
      </c>
      <c r="AJ493" t="s">
        <v>234</v>
      </c>
      <c r="AK493" t="s">
        <v>235</v>
      </c>
      <c r="AL493" t="s">
        <v>11</v>
      </c>
      <c r="AM493" t="s">
        <v>236</v>
      </c>
      <c r="AN493" t="s">
        <v>11</v>
      </c>
      <c r="AO493" t="s">
        <v>11</v>
      </c>
      <c r="AP493" t="s">
        <v>11</v>
      </c>
      <c r="AQ493" t="s">
        <v>11</v>
      </c>
      <c r="AR493" t="s">
        <v>11</v>
      </c>
      <c r="AS493" t="s">
        <v>11</v>
      </c>
      <c r="AT493" t="s">
        <v>11</v>
      </c>
      <c r="AU493" t="s">
        <v>344</v>
      </c>
      <c r="AV493" t="s">
        <v>11</v>
      </c>
      <c r="AW493" t="s">
        <v>11</v>
      </c>
      <c r="AX493" t="s">
        <v>11</v>
      </c>
      <c r="AY493" t="s">
        <v>11</v>
      </c>
      <c r="AZ493" t="s">
        <v>11</v>
      </c>
      <c r="BA493" t="s">
        <v>11</v>
      </c>
      <c r="BB493" t="s">
        <v>11</v>
      </c>
      <c r="BC493" t="s">
        <v>11</v>
      </c>
      <c r="BD493" t="s">
        <v>11</v>
      </c>
      <c r="BE493" t="s">
        <v>11</v>
      </c>
      <c r="BF493" t="s">
        <v>11</v>
      </c>
      <c r="BG493" t="s">
        <v>11</v>
      </c>
      <c r="BH493" t="s">
        <v>3546</v>
      </c>
      <c r="BI493" t="s">
        <v>3543</v>
      </c>
      <c r="BJ493" t="s">
        <v>3547</v>
      </c>
      <c r="BK493" t="s">
        <v>3548</v>
      </c>
    </row>
    <row r="494" spans="1:63" x14ac:dyDescent="0.3">
      <c r="A494" t="s">
        <v>3549</v>
      </c>
      <c r="B494" t="s">
        <v>95</v>
      </c>
      <c r="C494" t="s">
        <v>3550</v>
      </c>
      <c r="D494" t="s">
        <v>3551</v>
      </c>
      <c r="E494" t="s">
        <v>3533</v>
      </c>
      <c r="F494">
        <v>517</v>
      </c>
      <c r="G494">
        <v>73.760000000000005</v>
      </c>
      <c r="I494">
        <v>8.6999999999999993</v>
      </c>
      <c r="J494">
        <v>8.1999999999999993</v>
      </c>
      <c r="K494">
        <v>9.3000000000000007</v>
      </c>
      <c r="S494">
        <v>0.04</v>
      </c>
      <c r="AF494">
        <v>9.1803539999999995</v>
      </c>
      <c r="AI494" t="s">
        <v>0</v>
      </c>
      <c r="AJ494" t="s">
        <v>223</v>
      </c>
      <c r="AK494" t="s">
        <v>327</v>
      </c>
      <c r="AL494" t="s">
        <v>11</v>
      </c>
      <c r="AM494" t="s">
        <v>244</v>
      </c>
      <c r="AN494" t="s">
        <v>11</v>
      </c>
      <c r="AO494" t="s">
        <v>11</v>
      </c>
      <c r="AP494" t="s">
        <v>11</v>
      </c>
      <c r="AQ494" t="s">
        <v>11</v>
      </c>
      <c r="AR494" t="s">
        <v>11</v>
      </c>
      <c r="AS494" t="s">
        <v>11</v>
      </c>
      <c r="AT494" t="s">
        <v>11</v>
      </c>
      <c r="AU494" t="s">
        <v>344</v>
      </c>
      <c r="AV494" t="s">
        <v>11</v>
      </c>
      <c r="AW494" t="s">
        <v>11</v>
      </c>
      <c r="AX494" t="s">
        <v>11</v>
      </c>
      <c r="AY494" t="s">
        <v>11</v>
      </c>
      <c r="AZ494" t="s">
        <v>11</v>
      </c>
      <c r="BA494" t="s">
        <v>11</v>
      </c>
      <c r="BB494" t="s">
        <v>11</v>
      </c>
      <c r="BC494" t="s">
        <v>11</v>
      </c>
      <c r="BD494" t="s">
        <v>11</v>
      </c>
      <c r="BE494" t="s">
        <v>11</v>
      </c>
      <c r="BF494" t="s">
        <v>11</v>
      </c>
      <c r="BG494" t="s">
        <v>11</v>
      </c>
      <c r="BH494" t="s">
        <v>3552</v>
      </c>
      <c r="BI494" t="s">
        <v>3549</v>
      </c>
      <c r="BJ494" t="s">
        <v>3553</v>
      </c>
      <c r="BK494" t="s">
        <v>3554</v>
      </c>
    </row>
    <row r="495" spans="1:63" x14ac:dyDescent="0.3">
      <c r="A495" t="s">
        <v>3555</v>
      </c>
      <c r="B495" t="s">
        <v>95</v>
      </c>
      <c r="C495" t="s">
        <v>3556</v>
      </c>
      <c r="D495" t="s">
        <v>3557</v>
      </c>
      <c r="E495" t="s">
        <v>3533</v>
      </c>
      <c r="F495">
        <v>518</v>
      </c>
      <c r="G495">
        <v>71.38</v>
      </c>
      <c r="H495">
        <v>9.3000000000000007</v>
      </c>
      <c r="I495">
        <v>9.6</v>
      </c>
      <c r="K495">
        <v>9.6</v>
      </c>
      <c r="S495">
        <v>0.12</v>
      </c>
      <c r="AF495">
        <v>9.2914159999999999</v>
      </c>
      <c r="AI495" t="s">
        <v>0</v>
      </c>
      <c r="AJ495" t="s">
        <v>10</v>
      </c>
      <c r="AK495" t="s">
        <v>204</v>
      </c>
      <c r="AL495" t="s">
        <v>3558</v>
      </c>
      <c r="AM495" t="s">
        <v>11</v>
      </c>
      <c r="AN495" t="s">
        <v>11</v>
      </c>
      <c r="AO495" t="s">
        <v>11</v>
      </c>
      <c r="AP495" t="s">
        <v>11</v>
      </c>
      <c r="AQ495" t="s">
        <v>11</v>
      </c>
      <c r="AR495" t="s">
        <v>11</v>
      </c>
      <c r="AS495" t="s">
        <v>11</v>
      </c>
      <c r="AT495" t="s">
        <v>11</v>
      </c>
      <c r="AU495" t="s">
        <v>317</v>
      </c>
      <c r="AV495" t="s">
        <v>11</v>
      </c>
      <c r="AW495" t="s">
        <v>11</v>
      </c>
      <c r="AX495" t="s">
        <v>11</v>
      </c>
      <c r="AY495" t="s">
        <v>11</v>
      </c>
      <c r="AZ495" t="s">
        <v>11</v>
      </c>
      <c r="BA495" t="s">
        <v>11</v>
      </c>
      <c r="BB495" t="s">
        <v>11</v>
      </c>
      <c r="BC495" t="s">
        <v>11</v>
      </c>
      <c r="BD495" t="s">
        <v>11</v>
      </c>
      <c r="BE495" t="s">
        <v>11</v>
      </c>
      <c r="BF495" t="s">
        <v>11</v>
      </c>
      <c r="BG495" t="s">
        <v>11</v>
      </c>
      <c r="BH495" t="s">
        <v>3559</v>
      </c>
      <c r="BI495" t="s">
        <v>3555</v>
      </c>
      <c r="BJ495" t="s">
        <v>3560</v>
      </c>
      <c r="BK495" t="s">
        <v>3561</v>
      </c>
    </row>
    <row r="496" spans="1:63" x14ac:dyDescent="0.3">
      <c r="A496" t="s">
        <v>3562</v>
      </c>
      <c r="B496" t="s">
        <v>95</v>
      </c>
      <c r="C496" t="s">
        <v>3563</v>
      </c>
      <c r="D496" t="s">
        <v>3564</v>
      </c>
      <c r="E496" t="s">
        <v>3533</v>
      </c>
      <c r="F496">
        <v>519</v>
      </c>
      <c r="G496">
        <v>63.080000000000005</v>
      </c>
      <c r="H496">
        <v>18</v>
      </c>
      <c r="I496">
        <v>9.1999999999999993</v>
      </c>
      <c r="K496">
        <v>9.6</v>
      </c>
      <c r="S496">
        <v>0.12</v>
      </c>
      <c r="AF496">
        <v>9.3169120000000003</v>
      </c>
      <c r="AI496" t="s">
        <v>0</v>
      </c>
      <c r="AJ496" t="s">
        <v>717</v>
      </c>
      <c r="AK496" t="s">
        <v>204</v>
      </c>
      <c r="AL496" t="s">
        <v>288</v>
      </c>
      <c r="AM496" t="s">
        <v>11</v>
      </c>
      <c r="AN496" t="s">
        <v>11</v>
      </c>
      <c r="AO496" t="s">
        <v>11</v>
      </c>
      <c r="AP496" t="s">
        <v>11</v>
      </c>
      <c r="AQ496" t="s">
        <v>11</v>
      </c>
      <c r="AR496" t="s">
        <v>11</v>
      </c>
      <c r="AS496" t="s">
        <v>11</v>
      </c>
      <c r="AT496" t="s">
        <v>11</v>
      </c>
      <c r="AU496" t="s">
        <v>317</v>
      </c>
      <c r="AV496" t="s">
        <v>11</v>
      </c>
      <c r="AW496" t="s">
        <v>11</v>
      </c>
      <c r="AX496" t="s">
        <v>11</v>
      </c>
      <c r="AY496" t="s">
        <v>11</v>
      </c>
      <c r="AZ496" t="s">
        <v>11</v>
      </c>
      <c r="BA496" t="s">
        <v>11</v>
      </c>
      <c r="BB496" t="s">
        <v>11</v>
      </c>
      <c r="BC496" t="s">
        <v>11</v>
      </c>
      <c r="BD496" t="s">
        <v>11</v>
      </c>
      <c r="BE496" t="s">
        <v>11</v>
      </c>
      <c r="BF496" t="s">
        <v>11</v>
      </c>
      <c r="BG496" t="s">
        <v>11</v>
      </c>
      <c r="BH496" t="s">
        <v>3565</v>
      </c>
      <c r="BI496" t="s">
        <v>3562</v>
      </c>
      <c r="BJ496" t="s">
        <v>3566</v>
      </c>
      <c r="BK496" t="s">
        <v>3567</v>
      </c>
    </row>
    <row r="497" spans="1:63" x14ac:dyDescent="0.3">
      <c r="A497" t="s">
        <v>3568</v>
      </c>
      <c r="B497" t="s">
        <v>95</v>
      </c>
      <c r="C497" t="s">
        <v>3569</v>
      </c>
      <c r="D497" t="s">
        <v>3570</v>
      </c>
      <c r="E497" t="s">
        <v>3533</v>
      </c>
      <c r="F497">
        <v>520</v>
      </c>
      <c r="G497">
        <v>80.08</v>
      </c>
      <c r="I497">
        <v>8.1</v>
      </c>
      <c r="K497">
        <v>9.4</v>
      </c>
      <c r="S497">
        <v>0.12</v>
      </c>
      <c r="V497">
        <v>2.2999999999999998</v>
      </c>
      <c r="AF497">
        <v>9.2118620000000018</v>
      </c>
      <c r="AI497" t="s">
        <v>0</v>
      </c>
      <c r="AJ497" t="s">
        <v>99</v>
      </c>
      <c r="AK497" t="s">
        <v>148</v>
      </c>
      <c r="AL497" t="s">
        <v>11</v>
      </c>
      <c r="AM497" t="s">
        <v>11</v>
      </c>
      <c r="AN497" t="s">
        <v>11</v>
      </c>
      <c r="AO497" t="s">
        <v>11</v>
      </c>
      <c r="AP497" t="s">
        <v>11</v>
      </c>
      <c r="AQ497" t="s">
        <v>11</v>
      </c>
      <c r="AR497" t="s">
        <v>11</v>
      </c>
      <c r="AS497" t="s">
        <v>11</v>
      </c>
      <c r="AT497" t="s">
        <v>11</v>
      </c>
      <c r="AU497" t="s">
        <v>317</v>
      </c>
      <c r="AV497" t="s">
        <v>11</v>
      </c>
      <c r="AW497" t="s">
        <v>11</v>
      </c>
      <c r="AX497" t="s">
        <v>3</v>
      </c>
      <c r="AY497" t="s">
        <v>11</v>
      </c>
      <c r="AZ497" t="s">
        <v>11</v>
      </c>
      <c r="BA497" t="s">
        <v>11</v>
      </c>
      <c r="BB497" t="s">
        <v>11</v>
      </c>
      <c r="BC497" t="s">
        <v>11</v>
      </c>
      <c r="BD497" t="s">
        <v>11</v>
      </c>
      <c r="BE497" t="s">
        <v>11</v>
      </c>
      <c r="BF497" t="s">
        <v>11</v>
      </c>
      <c r="BG497" t="s">
        <v>11</v>
      </c>
      <c r="BH497" t="s">
        <v>3571</v>
      </c>
      <c r="BI497" t="s">
        <v>3568</v>
      </c>
      <c r="BJ497" t="s">
        <v>3572</v>
      </c>
      <c r="BK497" t="s">
        <v>3573</v>
      </c>
    </row>
    <row r="498" spans="1:63" x14ac:dyDescent="0.3">
      <c r="A498" t="s">
        <v>3574</v>
      </c>
      <c r="B498" t="s">
        <v>95</v>
      </c>
      <c r="C498" t="s">
        <v>3575</v>
      </c>
      <c r="D498" t="s">
        <v>3576</v>
      </c>
      <c r="E498" t="s">
        <v>3533</v>
      </c>
      <c r="F498">
        <v>521</v>
      </c>
      <c r="G498">
        <v>82.775000000000006</v>
      </c>
      <c r="I498">
        <v>7.9</v>
      </c>
      <c r="K498">
        <v>9.1999999999999993</v>
      </c>
      <c r="S498">
        <v>0.12</v>
      </c>
      <c r="X498">
        <v>5.0000000000000001E-3</v>
      </c>
      <c r="AF498">
        <v>9.3544506000000016</v>
      </c>
      <c r="AI498" t="s">
        <v>0</v>
      </c>
      <c r="AJ498" t="s">
        <v>430</v>
      </c>
      <c r="AK498" t="s">
        <v>139</v>
      </c>
      <c r="AL498" t="s">
        <v>11</v>
      </c>
      <c r="AM498" t="s">
        <v>11</v>
      </c>
      <c r="AN498" t="s">
        <v>11</v>
      </c>
      <c r="AO498" t="s">
        <v>11</v>
      </c>
      <c r="AP498" t="s">
        <v>11</v>
      </c>
      <c r="AQ498" t="s">
        <v>11</v>
      </c>
      <c r="AR498" t="s">
        <v>11</v>
      </c>
      <c r="AS498" t="s">
        <v>11</v>
      </c>
      <c r="AT498" t="s">
        <v>11</v>
      </c>
      <c r="AU498" t="s">
        <v>317</v>
      </c>
      <c r="AV498" t="s">
        <v>11</v>
      </c>
      <c r="AW498" t="s">
        <v>11</v>
      </c>
      <c r="AX498" t="s">
        <v>11</v>
      </c>
      <c r="AY498" t="s">
        <v>11</v>
      </c>
      <c r="AZ498" t="s">
        <v>3475</v>
      </c>
      <c r="BA498" t="s">
        <v>11</v>
      </c>
      <c r="BB498" t="s">
        <v>11</v>
      </c>
      <c r="BC498" t="s">
        <v>11</v>
      </c>
      <c r="BD498" t="s">
        <v>11</v>
      </c>
      <c r="BE498" t="s">
        <v>11</v>
      </c>
      <c r="BF498" t="s">
        <v>11</v>
      </c>
      <c r="BG498" t="s">
        <v>11</v>
      </c>
      <c r="BH498" t="s">
        <v>3577</v>
      </c>
      <c r="BI498" t="s">
        <v>3574</v>
      </c>
      <c r="BJ498" t="s">
        <v>3578</v>
      </c>
      <c r="BK498" t="s">
        <v>3579</v>
      </c>
    </row>
    <row r="499" spans="1:63" x14ac:dyDescent="0.3">
      <c r="A499" t="s">
        <v>3580</v>
      </c>
      <c r="B499" t="s">
        <v>160</v>
      </c>
      <c r="C499" t="s">
        <v>3581</v>
      </c>
      <c r="D499" t="s">
        <v>3582</v>
      </c>
      <c r="E499" t="s">
        <v>3583</v>
      </c>
      <c r="F499">
        <v>522</v>
      </c>
      <c r="G499">
        <v>38.000000000000007</v>
      </c>
      <c r="H499">
        <v>38</v>
      </c>
      <c r="I499">
        <v>9.3000000000000007</v>
      </c>
      <c r="J499">
        <v>6.4</v>
      </c>
      <c r="K499">
        <v>6.9</v>
      </c>
      <c r="M499">
        <v>1.4</v>
      </c>
      <c r="AF499">
        <v>9.03965</v>
      </c>
      <c r="AH499" t="s">
        <v>1657</v>
      </c>
      <c r="AI499" t="s">
        <v>0</v>
      </c>
      <c r="AJ499" t="s">
        <v>2192</v>
      </c>
      <c r="AK499" t="s">
        <v>2003</v>
      </c>
      <c r="AL499" t="s">
        <v>3584</v>
      </c>
      <c r="AM499" t="s">
        <v>1321</v>
      </c>
      <c r="AN499" t="s">
        <v>176</v>
      </c>
      <c r="AO499" t="s">
        <v>11</v>
      </c>
      <c r="AP499" t="s">
        <v>11</v>
      </c>
      <c r="AQ499" t="s">
        <v>11</v>
      </c>
      <c r="AR499" t="s">
        <v>11</v>
      </c>
      <c r="AS499" t="s">
        <v>11</v>
      </c>
      <c r="AT499" t="s">
        <v>11</v>
      </c>
      <c r="AU499" t="s">
        <v>11</v>
      </c>
      <c r="AV499" t="s">
        <v>11</v>
      </c>
      <c r="AW499" t="s">
        <v>11</v>
      </c>
      <c r="AX499" t="s">
        <v>11</v>
      </c>
      <c r="AY499" t="s">
        <v>11</v>
      </c>
      <c r="AZ499" t="s">
        <v>11</v>
      </c>
      <c r="BA499" t="s">
        <v>11</v>
      </c>
      <c r="BB499" t="s">
        <v>11</v>
      </c>
      <c r="BC499" t="s">
        <v>11</v>
      </c>
      <c r="BD499" t="s">
        <v>11</v>
      </c>
      <c r="BE499" t="s">
        <v>11</v>
      </c>
      <c r="BF499" t="s">
        <v>11</v>
      </c>
      <c r="BG499" t="s">
        <v>11</v>
      </c>
      <c r="BH499" t="s">
        <v>3585</v>
      </c>
      <c r="BI499" t="s">
        <v>3580</v>
      </c>
      <c r="BJ499" t="s">
        <v>3586</v>
      </c>
      <c r="BK499" t="s">
        <v>3587</v>
      </c>
    </row>
    <row r="500" spans="1:63" x14ac:dyDescent="0.3">
      <c r="A500" t="s">
        <v>3588</v>
      </c>
      <c r="B500" t="s">
        <v>160</v>
      </c>
      <c r="C500" t="s">
        <v>3589</v>
      </c>
      <c r="D500" t="s">
        <v>3590</v>
      </c>
      <c r="E500" t="s">
        <v>3591</v>
      </c>
      <c r="F500">
        <v>528</v>
      </c>
      <c r="G500">
        <v>41.5</v>
      </c>
      <c r="H500">
        <v>38</v>
      </c>
      <c r="I500">
        <v>11.2</v>
      </c>
      <c r="K500">
        <v>6.5</v>
      </c>
      <c r="M500">
        <v>2.8</v>
      </c>
      <c r="AF500">
        <v>9.0983900000000002</v>
      </c>
      <c r="AH500" t="s">
        <v>1657</v>
      </c>
      <c r="AI500" t="s">
        <v>0</v>
      </c>
      <c r="AJ500" t="s">
        <v>1744</v>
      </c>
      <c r="AK500" t="s">
        <v>1745</v>
      </c>
      <c r="AL500" t="s">
        <v>3584</v>
      </c>
      <c r="AM500" t="s">
        <v>11</v>
      </c>
      <c r="AN500" t="s">
        <v>1747</v>
      </c>
      <c r="AO500" t="s">
        <v>11</v>
      </c>
      <c r="AP500" t="s">
        <v>11</v>
      </c>
      <c r="AQ500" t="s">
        <v>11</v>
      </c>
      <c r="AR500" t="s">
        <v>11</v>
      </c>
      <c r="AS500" t="s">
        <v>11</v>
      </c>
      <c r="AT500" t="s">
        <v>11</v>
      </c>
      <c r="AU500" t="s">
        <v>11</v>
      </c>
      <c r="AV500" t="s">
        <v>11</v>
      </c>
      <c r="AW500" t="s">
        <v>11</v>
      </c>
      <c r="AX500" t="s">
        <v>11</v>
      </c>
      <c r="AY500" t="s">
        <v>11</v>
      </c>
      <c r="AZ500" t="s">
        <v>11</v>
      </c>
      <c r="BA500" t="s">
        <v>11</v>
      </c>
      <c r="BB500" t="s">
        <v>11</v>
      </c>
      <c r="BC500" t="s">
        <v>11</v>
      </c>
      <c r="BD500" t="s">
        <v>11</v>
      </c>
      <c r="BE500" t="s">
        <v>11</v>
      </c>
      <c r="BF500" t="s">
        <v>11</v>
      </c>
      <c r="BG500" t="s">
        <v>11</v>
      </c>
      <c r="BH500" t="s">
        <v>3592</v>
      </c>
      <c r="BI500" t="s">
        <v>3588</v>
      </c>
      <c r="BJ500" t="s">
        <v>3593</v>
      </c>
      <c r="BK500" t="s">
        <v>3594</v>
      </c>
    </row>
    <row r="501" spans="1:63" x14ac:dyDescent="0.3">
      <c r="A501" t="s">
        <v>3595</v>
      </c>
      <c r="B501" t="s">
        <v>160</v>
      </c>
      <c r="C501" t="s">
        <v>3596</v>
      </c>
      <c r="D501" t="s">
        <v>1317</v>
      </c>
      <c r="E501" t="s">
        <v>3597</v>
      </c>
      <c r="F501">
        <v>529</v>
      </c>
      <c r="G501">
        <v>45.74</v>
      </c>
      <c r="H501">
        <v>29.2</v>
      </c>
      <c r="I501">
        <v>9.8000000000000007</v>
      </c>
      <c r="J501">
        <v>6.4</v>
      </c>
      <c r="K501">
        <v>6.3</v>
      </c>
      <c r="M501">
        <v>2.4</v>
      </c>
      <c r="Q501">
        <v>0.14000000000000001</v>
      </c>
      <c r="S501">
        <v>0.02</v>
      </c>
      <c r="AF501">
        <v>9.0127620000000022</v>
      </c>
      <c r="AI501" t="s">
        <v>0</v>
      </c>
      <c r="AJ501" t="s">
        <v>1319</v>
      </c>
      <c r="AK501" t="s">
        <v>1320</v>
      </c>
      <c r="AL501" t="s">
        <v>1238</v>
      </c>
      <c r="AM501" t="s">
        <v>1321</v>
      </c>
      <c r="AN501" t="s">
        <v>1322</v>
      </c>
      <c r="AO501" t="s">
        <v>11</v>
      </c>
      <c r="AP501" t="s">
        <v>11</v>
      </c>
      <c r="AQ501" t="s">
        <v>11</v>
      </c>
      <c r="AR501" t="s">
        <v>11</v>
      </c>
      <c r="AS501" t="s">
        <v>3598</v>
      </c>
      <c r="AT501" t="s">
        <v>11</v>
      </c>
      <c r="AU501" t="s">
        <v>1478</v>
      </c>
      <c r="AV501" t="s">
        <v>11</v>
      </c>
      <c r="AW501" t="s">
        <v>11</v>
      </c>
      <c r="AX501" t="s">
        <v>11</v>
      </c>
      <c r="AY501" t="s">
        <v>11</v>
      </c>
      <c r="AZ501" t="s">
        <v>11</v>
      </c>
      <c r="BA501" t="s">
        <v>11</v>
      </c>
      <c r="BB501" t="s">
        <v>11</v>
      </c>
      <c r="BC501" t="s">
        <v>11</v>
      </c>
      <c r="BD501" t="s">
        <v>11</v>
      </c>
      <c r="BE501" t="s">
        <v>11</v>
      </c>
      <c r="BF501" t="s">
        <v>11</v>
      </c>
      <c r="BG501" t="s">
        <v>11</v>
      </c>
      <c r="BH501" t="s">
        <v>3599</v>
      </c>
      <c r="BI501" t="s">
        <v>3595</v>
      </c>
      <c r="BJ501" t="s">
        <v>3600</v>
      </c>
      <c r="BK501" t="s">
        <v>3601</v>
      </c>
    </row>
    <row r="502" spans="1:63" x14ac:dyDescent="0.3">
      <c r="A502" t="s">
        <v>3602</v>
      </c>
      <c r="B502" t="s">
        <v>160</v>
      </c>
      <c r="C502" t="s">
        <v>1316</v>
      </c>
      <c r="D502" t="s">
        <v>3603</v>
      </c>
      <c r="E502" t="s">
        <v>3597</v>
      </c>
      <c r="F502">
        <v>530</v>
      </c>
      <c r="G502">
        <v>46.000000000000007</v>
      </c>
      <c r="H502">
        <v>29.2</v>
      </c>
      <c r="I502">
        <v>9.8000000000000007</v>
      </c>
      <c r="J502">
        <v>6.3</v>
      </c>
      <c r="K502">
        <v>6.3</v>
      </c>
      <c r="M502">
        <v>2.4</v>
      </c>
      <c r="AF502">
        <v>9.0250560000000011</v>
      </c>
      <c r="AI502" t="s">
        <v>0</v>
      </c>
      <c r="AJ502" t="s">
        <v>1319</v>
      </c>
      <c r="AK502" t="s">
        <v>1320</v>
      </c>
      <c r="AL502" t="s">
        <v>1238</v>
      </c>
      <c r="AM502" t="s">
        <v>3604</v>
      </c>
      <c r="AN502" t="s">
        <v>1322</v>
      </c>
      <c r="AO502" t="s">
        <v>11</v>
      </c>
      <c r="AP502" t="s">
        <v>11</v>
      </c>
      <c r="AQ502" t="s">
        <v>11</v>
      </c>
      <c r="AR502" t="s">
        <v>11</v>
      </c>
      <c r="AS502" t="s">
        <v>11</v>
      </c>
      <c r="AT502" t="s">
        <v>11</v>
      </c>
      <c r="AU502" t="s">
        <v>11</v>
      </c>
      <c r="AV502" t="s">
        <v>11</v>
      </c>
      <c r="AW502" t="s">
        <v>11</v>
      </c>
      <c r="AX502" t="s">
        <v>11</v>
      </c>
      <c r="AY502" t="s">
        <v>11</v>
      </c>
      <c r="AZ502" t="s">
        <v>11</v>
      </c>
      <c r="BA502" t="s">
        <v>11</v>
      </c>
      <c r="BB502" t="s">
        <v>11</v>
      </c>
      <c r="BC502" t="s">
        <v>11</v>
      </c>
      <c r="BD502" t="s">
        <v>11</v>
      </c>
      <c r="BE502" t="s">
        <v>11</v>
      </c>
      <c r="BF502" t="s">
        <v>11</v>
      </c>
      <c r="BG502" t="s">
        <v>11</v>
      </c>
      <c r="BH502" t="s">
        <v>3605</v>
      </c>
      <c r="BI502" t="s">
        <v>3602</v>
      </c>
      <c r="BJ502" t="s">
        <v>3606</v>
      </c>
      <c r="BK502" t="s">
        <v>3607</v>
      </c>
    </row>
    <row r="503" spans="1:63" x14ac:dyDescent="0.3">
      <c r="A503" t="s">
        <v>3608</v>
      </c>
      <c r="B503" t="s">
        <v>160</v>
      </c>
      <c r="C503" t="s">
        <v>3609</v>
      </c>
      <c r="D503" t="s">
        <v>3610</v>
      </c>
      <c r="E503" t="s">
        <v>3597</v>
      </c>
      <c r="F503">
        <v>531</v>
      </c>
      <c r="G503">
        <v>44.5</v>
      </c>
      <c r="H503">
        <v>28.2</v>
      </c>
      <c r="I503">
        <v>8.8000000000000007</v>
      </c>
      <c r="J503">
        <v>10.1</v>
      </c>
      <c r="K503">
        <v>6.3</v>
      </c>
      <c r="M503">
        <v>2.1</v>
      </c>
      <c r="AF503">
        <v>8.9987460000000006</v>
      </c>
      <c r="AI503" t="s">
        <v>0</v>
      </c>
      <c r="AJ503" t="s">
        <v>261</v>
      </c>
      <c r="AK503" t="s">
        <v>1320</v>
      </c>
      <c r="AL503" t="s">
        <v>3611</v>
      </c>
      <c r="AM503" t="s">
        <v>3612</v>
      </c>
      <c r="AN503" t="s">
        <v>2355</v>
      </c>
      <c r="AO503" t="s">
        <v>11</v>
      </c>
      <c r="AP503" t="s">
        <v>11</v>
      </c>
      <c r="AQ503" t="s">
        <v>11</v>
      </c>
      <c r="AR503" t="s">
        <v>11</v>
      </c>
      <c r="AS503" t="s">
        <v>11</v>
      </c>
      <c r="AT503" t="s">
        <v>11</v>
      </c>
      <c r="AU503" t="s">
        <v>11</v>
      </c>
      <c r="AV503" t="s">
        <v>11</v>
      </c>
      <c r="AW503" t="s">
        <v>11</v>
      </c>
      <c r="AX503" t="s">
        <v>11</v>
      </c>
      <c r="AY503" t="s">
        <v>11</v>
      </c>
      <c r="AZ503" t="s">
        <v>11</v>
      </c>
      <c r="BA503" t="s">
        <v>11</v>
      </c>
      <c r="BB503" t="s">
        <v>11</v>
      </c>
      <c r="BC503" t="s">
        <v>11</v>
      </c>
      <c r="BD503" t="s">
        <v>11</v>
      </c>
      <c r="BE503" t="s">
        <v>11</v>
      </c>
      <c r="BF503" t="s">
        <v>11</v>
      </c>
      <c r="BG503" t="s">
        <v>11</v>
      </c>
      <c r="BH503" t="s">
        <v>3613</v>
      </c>
      <c r="BI503" t="s">
        <v>3608</v>
      </c>
      <c r="BJ503" t="s">
        <v>3614</v>
      </c>
      <c r="BK503" t="s">
        <v>3615</v>
      </c>
    </row>
    <row r="504" spans="1:63" x14ac:dyDescent="0.3">
      <c r="A504" t="s">
        <v>3616</v>
      </c>
      <c r="B504" t="s">
        <v>160</v>
      </c>
      <c r="C504" t="s">
        <v>3581</v>
      </c>
      <c r="D504" t="s">
        <v>3590</v>
      </c>
      <c r="E504" t="s">
        <v>3597</v>
      </c>
      <c r="F504">
        <v>532</v>
      </c>
      <c r="G504">
        <v>38.100000000000009</v>
      </c>
      <c r="H504">
        <v>38</v>
      </c>
      <c r="I504">
        <v>9.3000000000000007</v>
      </c>
      <c r="J504">
        <v>6.3</v>
      </c>
      <c r="K504">
        <v>6.9</v>
      </c>
      <c r="M504">
        <v>1.4</v>
      </c>
      <c r="AF504">
        <v>9.0413599999999992</v>
      </c>
      <c r="AI504" t="s">
        <v>0</v>
      </c>
      <c r="AJ504" t="s">
        <v>2192</v>
      </c>
      <c r="AK504" t="s">
        <v>2003</v>
      </c>
      <c r="AL504" t="s">
        <v>3584</v>
      </c>
      <c r="AM504" t="s">
        <v>3604</v>
      </c>
      <c r="AN504" t="s">
        <v>176</v>
      </c>
      <c r="AO504" t="s">
        <v>11</v>
      </c>
      <c r="AP504" t="s">
        <v>11</v>
      </c>
      <c r="AQ504" t="s">
        <v>11</v>
      </c>
      <c r="AR504" t="s">
        <v>11</v>
      </c>
      <c r="AS504" t="s">
        <v>11</v>
      </c>
      <c r="AT504" t="s">
        <v>11</v>
      </c>
      <c r="AU504" t="s">
        <v>11</v>
      </c>
      <c r="AV504" t="s">
        <v>11</v>
      </c>
      <c r="AW504" t="s">
        <v>11</v>
      </c>
      <c r="AX504" t="s">
        <v>11</v>
      </c>
      <c r="AY504" t="s">
        <v>11</v>
      </c>
      <c r="AZ504" t="s">
        <v>11</v>
      </c>
      <c r="BA504" t="s">
        <v>11</v>
      </c>
      <c r="BB504" t="s">
        <v>11</v>
      </c>
      <c r="BC504" t="s">
        <v>11</v>
      </c>
      <c r="BD504" t="s">
        <v>11</v>
      </c>
      <c r="BE504" t="s">
        <v>11</v>
      </c>
      <c r="BF504" t="s">
        <v>11</v>
      </c>
      <c r="BG504" t="s">
        <v>11</v>
      </c>
      <c r="BH504" t="s">
        <v>3617</v>
      </c>
      <c r="BI504" t="s">
        <v>3616</v>
      </c>
      <c r="BJ504" t="s">
        <v>3618</v>
      </c>
      <c r="BK504" t="s">
        <v>3619</v>
      </c>
    </row>
    <row r="505" spans="1:63" x14ac:dyDescent="0.3">
      <c r="A505" t="s">
        <v>3620</v>
      </c>
      <c r="B505" t="s">
        <v>160</v>
      </c>
      <c r="C505" t="s">
        <v>3621</v>
      </c>
      <c r="D505" t="s">
        <v>3622</v>
      </c>
      <c r="E505" t="s">
        <v>3597</v>
      </c>
      <c r="F505">
        <v>533</v>
      </c>
      <c r="G505">
        <v>44.800000000000004</v>
      </c>
      <c r="H505">
        <v>30.7</v>
      </c>
      <c r="I505">
        <v>9.6</v>
      </c>
      <c r="J505">
        <v>6.2</v>
      </c>
      <c r="K505">
        <v>4.8</v>
      </c>
      <c r="M505">
        <v>1.9</v>
      </c>
      <c r="P505">
        <v>2</v>
      </c>
      <c r="AF505">
        <v>8.8728859999999994</v>
      </c>
      <c r="AI505" t="s">
        <v>0</v>
      </c>
      <c r="AJ505" t="s">
        <v>10</v>
      </c>
      <c r="AK505" t="s">
        <v>2446</v>
      </c>
      <c r="AL505" t="s">
        <v>2544</v>
      </c>
      <c r="AM505" t="s">
        <v>2182</v>
      </c>
      <c r="AN505" t="s">
        <v>74</v>
      </c>
      <c r="AO505" t="s">
        <v>11</v>
      </c>
      <c r="AP505" t="s">
        <v>11</v>
      </c>
      <c r="AQ505" t="s">
        <v>11</v>
      </c>
      <c r="AR505" t="s">
        <v>798</v>
      </c>
      <c r="AS505" t="s">
        <v>11</v>
      </c>
      <c r="AT505" t="s">
        <v>11</v>
      </c>
      <c r="AU505" t="s">
        <v>11</v>
      </c>
      <c r="AV505" t="s">
        <v>11</v>
      </c>
      <c r="AW505" t="s">
        <v>11</v>
      </c>
      <c r="AX505" t="s">
        <v>11</v>
      </c>
      <c r="AY505" t="s">
        <v>11</v>
      </c>
      <c r="AZ505" t="s">
        <v>11</v>
      </c>
      <c r="BA505" t="s">
        <v>11</v>
      </c>
      <c r="BB505" t="s">
        <v>11</v>
      </c>
      <c r="BC505" t="s">
        <v>11</v>
      </c>
      <c r="BD505" t="s">
        <v>11</v>
      </c>
      <c r="BE505" t="s">
        <v>11</v>
      </c>
      <c r="BF505" t="s">
        <v>11</v>
      </c>
      <c r="BG505" t="s">
        <v>11</v>
      </c>
      <c r="BH505" t="s">
        <v>3623</v>
      </c>
      <c r="BI505" t="s">
        <v>3620</v>
      </c>
      <c r="BJ505" t="s">
        <v>3624</v>
      </c>
      <c r="BK505" t="s">
        <v>3625</v>
      </c>
    </row>
    <row r="506" spans="1:63" x14ac:dyDescent="0.3">
      <c r="A506" t="s">
        <v>3626</v>
      </c>
      <c r="B506" t="s">
        <v>514</v>
      </c>
      <c r="C506" t="s">
        <v>3627</v>
      </c>
      <c r="D506" t="s">
        <v>3628</v>
      </c>
      <c r="E506" t="s">
        <v>3629</v>
      </c>
      <c r="F506">
        <v>535</v>
      </c>
      <c r="G506">
        <v>68.259999999999991</v>
      </c>
      <c r="I506">
        <v>16.87</v>
      </c>
      <c r="K506">
        <v>3.15</v>
      </c>
      <c r="L506">
        <v>11.72</v>
      </c>
      <c r="AF506">
        <v>7.6652253999999997</v>
      </c>
      <c r="AI506" t="s">
        <v>0</v>
      </c>
      <c r="AJ506" t="s">
        <v>3630</v>
      </c>
      <c r="AK506" t="s">
        <v>2775</v>
      </c>
      <c r="AL506" t="s">
        <v>11</v>
      </c>
      <c r="AM506" t="s">
        <v>11</v>
      </c>
      <c r="AN506" t="s">
        <v>11</v>
      </c>
      <c r="AO506" t="s">
        <v>11</v>
      </c>
      <c r="AP506" t="s">
        <v>11</v>
      </c>
      <c r="AQ506" t="s">
        <v>3631</v>
      </c>
      <c r="AR506" t="s">
        <v>11</v>
      </c>
      <c r="AS506" t="s">
        <v>11</v>
      </c>
      <c r="AT506" t="s">
        <v>11</v>
      </c>
      <c r="AU506" t="s">
        <v>11</v>
      </c>
      <c r="AV506" t="s">
        <v>11</v>
      </c>
      <c r="AW506" t="s">
        <v>11</v>
      </c>
      <c r="AX506" t="s">
        <v>11</v>
      </c>
      <c r="AY506" t="s">
        <v>11</v>
      </c>
      <c r="AZ506" t="s">
        <v>11</v>
      </c>
      <c r="BA506" t="s">
        <v>11</v>
      </c>
      <c r="BB506" t="s">
        <v>11</v>
      </c>
      <c r="BC506" t="s">
        <v>11</v>
      </c>
      <c r="BD506" t="s">
        <v>11</v>
      </c>
      <c r="BE506" t="s">
        <v>11</v>
      </c>
      <c r="BF506" t="s">
        <v>11</v>
      </c>
      <c r="BG506" t="s">
        <v>11</v>
      </c>
      <c r="BH506" t="s">
        <v>3632</v>
      </c>
      <c r="BI506" t="s">
        <v>3626</v>
      </c>
      <c r="BJ506" t="s">
        <v>3633</v>
      </c>
      <c r="BK506" t="s">
        <v>3634</v>
      </c>
    </row>
    <row r="507" spans="1:63" x14ac:dyDescent="0.3">
      <c r="A507" t="s">
        <v>3635</v>
      </c>
      <c r="B507" t="s">
        <v>514</v>
      </c>
      <c r="C507" t="s">
        <v>3636</v>
      </c>
      <c r="D507" t="s">
        <v>3637</v>
      </c>
      <c r="E507" t="s">
        <v>3629</v>
      </c>
      <c r="F507">
        <v>536</v>
      </c>
      <c r="G507">
        <v>70.47999999999999</v>
      </c>
      <c r="I507">
        <v>16.940000000000001</v>
      </c>
      <c r="K507">
        <v>3.16</v>
      </c>
      <c r="L507">
        <v>9.42</v>
      </c>
      <c r="AF507">
        <v>7.7629593999999997</v>
      </c>
      <c r="AI507" t="s">
        <v>0</v>
      </c>
      <c r="AJ507" t="s">
        <v>3630</v>
      </c>
      <c r="AK507" t="s">
        <v>2775</v>
      </c>
      <c r="AL507" t="s">
        <v>11</v>
      </c>
      <c r="AM507" t="s">
        <v>11</v>
      </c>
      <c r="AN507" t="s">
        <v>11</v>
      </c>
      <c r="AO507" t="s">
        <v>11</v>
      </c>
      <c r="AP507" t="s">
        <v>11</v>
      </c>
      <c r="AQ507" t="s">
        <v>3638</v>
      </c>
      <c r="AR507" t="s">
        <v>11</v>
      </c>
      <c r="AS507" t="s">
        <v>11</v>
      </c>
      <c r="AT507" t="s">
        <v>11</v>
      </c>
      <c r="AU507" t="s">
        <v>11</v>
      </c>
      <c r="AV507" t="s">
        <v>11</v>
      </c>
      <c r="AW507" t="s">
        <v>11</v>
      </c>
      <c r="AX507" t="s">
        <v>11</v>
      </c>
      <c r="AY507" t="s">
        <v>11</v>
      </c>
      <c r="AZ507" t="s">
        <v>11</v>
      </c>
      <c r="BA507" t="s">
        <v>11</v>
      </c>
      <c r="BB507" t="s">
        <v>11</v>
      </c>
      <c r="BC507" t="s">
        <v>11</v>
      </c>
      <c r="BD507" t="s">
        <v>11</v>
      </c>
      <c r="BE507" t="s">
        <v>11</v>
      </c>
      <c r="BF507" t="s">
        <v>11</v>
      </c>
      <c r="BG507" t="s">
        <v>11</v>
      </c>
      <c r="BH507" t="s">
        <v>3639</v>
      </c>
      <c r="BI507" t="s">
        <v>3635</v>
      </c>
      <c r="BJ507" t="s">
        <v>3640</v>
      </c>
      <c r="BK507" t="s">
        <v>3641</v>
      </c>
    </row>
    <row r="508" spans="1:63" x14ac:dyDescent="0.3">
      <c r="A508" t="s">
        <v>3642</v>
      </c>
      <c r="B508" t="s">
        <v>514</v>
      </c>
      <c r="C508" t="s">
        <v>3643</v>
      </c>
      <c r="D508" t="s">
        <v>3644</v>
      </c>
      <c r="E508" t="s">
        <v>3629</v>
      </c>
      <c r="F508">
        <v>537</v>
      </c>
      <c r="G508">
        <v>72.710000000000008</v>
      </c>
      <c r="I508">
        <v>17.02</v>
      </c>
      <c r="K508">
        <v>3.18</v>
      </c>
      <c r="L508">
        <v>7.09</v>
      </c>
      <c r="AF508">
        <v>7.862426300000001</v>
      </c>
      <c r="AI508" t="s">
        <v>0</v>
      </c>
      <c r="AJ508" t="s">
        <v>3645</v>
      </c>
      <c r="AK508" t="s">
        <v>2775</v>
      </c>
      <c r="AL508" t="s">
        <v>11</v>
      </c>
      <c r="AM508" t="s">
        <v>11</v>
      </c>
      <c r="AN508" t="s">
        <v>11</v>
      </c>
      <c r="AO508" t="s">
        <v>11</v>
      </c>
      <c r="AP508" t="s">
        <v>11</v>
      </c>
      <c r="AQ508" t="s">
        <v>3646</v>
      </c>
      <c r="AR508" t="s">
        <v>11</v>
      </c>
      <c r="AS508" t="s">
        <v>11</v>
      </c>
      <c r="AT508" t="s">
        <v>11</v>
      </c>
      <c r="AU508" t="s">
        <v>11</v>
      </c>
      <c r="AV508" t="s">
        <v>11</v>
      </c>
      <c r="AW508" t="s">
        <v>11</v>
      </c>
      <c r="AX508" t="s">
        <v>11</v>
      </c>
      <c r="AY508" t="s">
        <v>11</v>
      </c>
      <c r="AZ508" t="s">
        <v>11</v>
      </c>
      <c r="BA508" t="s">
        <v>11</v>
      </c>
      <c r="BB508" t="s">
        <v>11</v>
      </c>
      <c r="BC508" t="s">
        <v>11</v>
      </c>
      <c r="BD508" t="s">
        <v>11</v>
      </c>
      <c r="BE508" t="s">
        <v>11</v>
      </c>
      <c r="BF508" t="s">
        <v>11</v>
      </c>
      <c r="BG508" t="s">
        <v>11</v>
      </c>
      <c r="BH508" t="s">
        <v>3647</v>
      </c>
      <c r="BI508" t="s">
        <v>3642</v>
      </c>
      <c r="BJ508" t="s">
        <v>3648</v>
      </c>
      <c r="BK508" t="s">
        <v>3649</v>
      </c>
    </row>
    <row r="509" spans="1:63" x14ac:dyDescent="0.3">
      <c r="A509" t="s">
        <v>3650</v>
      </c>
      <c r="B509" t="s">
        <v>514</v>
      </c>
      <c r="C509" t="s">
        <v>3651</v>
      </c>
      <c r="D509" t="s">
        <v>3231</v>
      </c>
      <c r="E509" t="s">
        <v>3629</v>
      </c>
      <c r="F509">
        <v>538</v>
      </c>
      <c r="G509">
        <v>76.099999999999994</v>
      </c>
      <c r="I509">
        <v>17.13</v>
      </c>
      <c r="K509">
        <v>3.2</v>
      </c>
      <c r="L509">
        <v>3.57</v>
      </c>
      <c r="AF509">
        <v>8.0123098999999982</v>
      </c>
      <c r="AI509" t="s">
        <v>0</v>
      </c>
      <c r="AJ509" t="s">
        <v>3652</v>
      </c>
      <c r="AK509" t="s">
        <v>2775</v>
      </c>
      <c r="AL509" t="s">
        <v>11</v>
      </c>
      <c r="AM509" t="s">
        <v>11</v>
      </c>
      <c r="AN509" t="s">
        <v>11</v>
      </c>
      <c r="AO509" t="s">
        <v>11</v>
      </c>
      <c r="AP509" t="s">
        <v>11</v>
      </c>
      <c r="AQ509" t="s">
        <v>3653</v>
      </c>
      <c r="AR509" t="s">
        <v>11</v>
      </c>
      <c r="AS509" t="s">
        <v>11</v>
      </c>
      <c r="AT509" t="s">
        <v>11</v>
      </c>
      <c r="AU509" t="s">
        <v>11</v>
      </c>
      <c r="AV509" t="s">
        <v>11</v>
      </c>
      <c r="AW509" t="s">
        <v>11</v>
      </c>
      <c r="AX509" t="s">
        <v>11</v>
      </c>
      <c r="AY509" t="s">
        <v>11</v>
      </c>
      <c r="AZ509" t="s">
        <v>11</v>
      </c>
      <c r="BA509" t="s">
        <v>11</v>
      </c>
      <c r="BB509" t="s">
        <v>11</v>
      </c>
      <c r="BC509" t="s">
        <v>11</v>
      </c>
      <c r="BD509" t="s">
        <v>11</v>
      </c>
      <c r="BE509" t="s">
        <v>11</v>
      </c>
      <c r="BF509" t="s">
        <v>11</v>
      </c>
      <c r="BG509" t="s">
        <v>11</v>
      </c>
      <c r="BH509" t="s">
        <v>3654</v>
      </c>
      <c r="BI509" t="s">
        <v>3650</v>
      </c>
      <c r="BJ509" t="s">
        <v>3655</v>
      </c>
      <c r="BK509" t="s">
        <v>3656</v>
      </c>
    </row>
    <row r="510" spans="1:63" x14ac:dyDescent="0.3">
      <c r="A510" t="s">
        <v>3657</v>
      </c>
      <c r="B510" t="s">
        <v>95</v>
      </c>
      <c r="C510" t="s">
        <v>3658</v>
      </c>
      <c r="D510" t="s">
        <v>3659</v>
      </c>
      <c r="E510" t="s">
        <v>3629</v>
      </c>
      <c r="F510">
        <v>539</v>
      </c>
      <c r="G510">
        <v>78.39</v>
      </c>
      <c r="I510">
        <v>17.2</v>
      </c>
      <c r="K510">
        <v>3.21</v>
      </c>
      <c r="L510">
        <v>1.2</v>
      </c>
      <c r="AF510">
        <v>8.1131190000000011</v>
      </c>
      <c r="AI510" t="s">
        <v>0</v>
      </c>
      <c r="AJ510" t="s">
        <v>3660</v>
      </c>
      <c r="AK510" t="s">
        <v>2775</v>
      </c>
      <c r="AL510" t="s">
        <v>11</v>
      </c>
      <c r="AM510" t="s">
        <v>11</v>
      </c>
      <c r="AN510" t="s">
        <v>11</v>
      </c>
      <c r="AO510" t="s">
        <v>11</v>
      </c>
      <c r="AP510" t="s">
        <v>11</v>
      </c>
      <c r="AQ510" t="s">
        <v>3661</v>
      </c>
      <c r="AR510" t="s">
        <v>11</v>
      </c>
      <c r="AS510" t="s">
        <v>11</v>
      </c>
      <c r="AT510" t="s">
        <v>11</v>
      </c>
      <c r="AU510" t="s">
        <v>11</v>
      </c>
      <c r="AV510" t="s">
        <v>11</v>
      </c>
      <c r="AW510" t="s">
        <v>11</v>
      </c>
      <c r="AX510" t="s">
        <v>11</v>
      </c>
      <c r="AY510" t="s">
        <v>11</v>
      </c>
      <c r="AZ510" t="s">
        <v>11</v>
      </c>
      <c r="BA510" t="s">
        <v>11</v>
      </c>
      <c r="BB510" t="s">
        <v>11</v>
      </c>
      <c r="BC510" t="s">
        <v>11</v>
      </c>
      <c r="BD510" t="s">
        <v>11</v>
      </c>
      <c r="BE510" t="s">
        <v>11</v>
      </c>
      <c r="BF510" t="s">
        <v>11</v>
      </c>
      <c r="BG510" t="s">
        <v>11</v>
      </c>
      <c r="BH510" t="s">
        <v>3662</v>
      </c>
      <c r="BI510" t="s">
        <v>3657</v>
      </c>
      <c r="BJ510" t="s">
        <v>3663</v>
      </c>
      <c r="BK510" t="s">
        <v>3664</v>
      </c>
    </row>
    <row r="511" spans="1:63" x14ac:dyDescent="0.3">
      <c r="A511" t="s">
        <v>3665</v>
      </c>
      <c r="B511" t="s">
        <v>95</v>
      </c>
      <c r="C511" t="s">
        <v>3666</v>
      </c>
      <c r="D511" t="s">
        <v>3667</v>
      </c>
      <c r="E511" t="s">
        <v>3629</v>
      </c>
      <c r="F511">
        <v>540</v>
      </c>
      <c r="G511">
        <v>79.53</v>
      </c>
      <c r="I511">
        <v>17.25</v>
      </c>
      <c r="K511">
        <v>3.22</v>
      </c>
      <c r="AF511">
        <v>8.1637700000000013</v>
      </c>
      <c r="AI511" t="s">
        <v>0</v>
      </c>
      <c r="AJ511" t="s">
        <v>3668</v>
      </c>
      <c r="AK511" t="s">
        <v>2775</v>
      </c>
      <c r="AL511" t="s">
        <v>11</v>
      </c>
      <c r="AM511" t="s">
        <v>11</v>
      </c>
      <c r="AN511" t="s">
        <v>11</v>
      </c>
      <c r="AO511" t="s">
        <v>11</v>
      </c>
      <c r="AP511" t="s">
        <v>11</v>
      </c>
      <c r="AQ511" t="s">
        <v>11</v>
      </c>
      <c r="AR511" t="s">
        <v>11</v>
      </c>
      <c r="AS511" t="s">
        <v>11</v>
      </c>
      <c r="AT511" t="s">
        <v>11</v>
      </c>
      <c r="AU511" t="s">
        <v>11</v>
      </c>
      <c r="AV511" t="s">
        <v>11</v>
      </c>
      <c r="AW511" t="s">
        <v>11</v>
      </c>
      <c r="AX511" t="s">
        <v>11</v>
      </c>
      <c r="AY511" t="s">
        <v>11</v>
      </c>
      <c r="AZ511" t="s">
        <v>11</v>
      </c>
      <c r="BA511" t="s">
        <v>11</v>
      </c>
      <c r="BB511" t="s">
        <v>11</v>
      </c>
      <c r="BC511" t="s">
        <v>11</v>
      </c>
      <c r="BD511" t="s">
        <v>11</v>
      </c>
      <c r="BE511" t="s">
        <v>11</v>
      </c>
      <c r="BF511" t="s">
        <v>11</v>
      </c>
      <c r="BG511" t="s">
        <v>11</v>
      </c>
      <c r="BH511" t="s">
        <v>3669</v>
      </c>
      <c r="BI511" t="s">
        <v>3665</v>
      </c>
      <c r="BJ511" t="s">
        <v>3670</v>
      </c>
      <c r="BK511" t="s">
        <v>3671</v>
      </c>
    </row>
    <row r="512" spans="1:63" x14ac:dyDescent="0.3">
      <c r="A512" t="s">
        <v>3672</v>
      </c>
      <c r="B512" t="s">
        <v>5</v>
      </c>
      <c r="C512" t="s">
        <v>3673</v>
      </c>
      <c r="D512" t="s">
        <v>3674</v>
      </c>
      <c r="E512" t="s">
        <v>3675</v>
      </c>
      <c r="F512">
        <v>541</v>
      </c>
      <c r="G512">
        <v>84.9</v>
      </c>
      <c r="I512">
        <v>8.5</v>
      </c>
      <c r="N512">
        <v>2</v>
      </c>
      <c r="P512">
        <v>4.5999999999999996</v>
      </c>
      <c r="AF512">
        <v>8.4298800000000025</v>
      </c>
      <c r="AI512" t="s">
        <v>0</v>
      </c>
      <c r="AJ512" t="s">
        <v>335</v>
      </c>
      <c r="AK512" t="s">
        <v>11</v>
      </c>
      <c r="AL512" t="s">
        <v>11</v>
      </c>
      <c r="AM512" t="s">
        <v>11</v>
      </c>
      <c r="AN512" t="s">
        <v>11</v>
      </c>
      <c r="AO512" t="s">
        <v>790</v>
      </c>
      <c r="AP512" t="s">
        <v>11</v>
      </c>
      <c r="AQ512" t="s">
        <v>11</v>
      </c>
      <c r="AR512" t="s">
        <v>2348</v>
      </c>
      <c r="AS512" t="s">
        <v>11</v>
      </c>
      <c r="AT512" t="s">
        <v>11</v>
      </c>
      <c r="AU512" t="s">
        <v>11</v>
      </c>
      <c r="AV512" t="s">
        <v>11</v>
      </c>
      <c r="AW512" t="s">
        <v>11</v>
      </c>
      <c r="AX512" t="s">
        <v>11</v>
      </c>
      <c r="AY512" t="s">
        <v>11</v>
      </c>
      <c r="AZ512" t="s">
        <v>11</v>
      </c>
      <c r="BA512" t="s">
        <v>11</v>
      </c>
      <c r="BB512" t="s">
        <v>11</v>
      </c>
      <c r="BC512" t="s">
        <v>11</v>
      </c>
      <c r="BD512" t="s">
        <v>11</v>
      </c>
      <c r="BE512" t="s">
        <v>11</v>
      </c>
      <c r="BF512" t="s">
        <v>11</v>
      </c>
      <c r="BG512" t="s">
        <v>11</v>
      </c>
      <c r="BH512" t="s">
        <v>3676</v>
      </c>
      <c r="BI512" t="s">
        <v>3672</v>
      </c>
      <c r="BJ512" t="s">
        <v>3677</v>
      </c>
      <c r="BK512" t="s">
        <v>3678</v>
      </c>
    </row>
    <row r="513" spans="1:63" x14ac:dyDescent="0.3">
      <c r="A513" t="s">
        <v>3679</v>
      </c>
      <c r="B513" t="s">
        <v>160</v>
      </c>
      <c r="C513" t="s">
        <v>642</v>
      </c>
      <c r="D513" t="s">
        <v>3680</v>
      </c>
      <c r="E513" t="s">
        <v>3681</v>
      </c>
      <c r="F513">
        <v>542</v>
      </c>
      <c r="G513">
        <v>81.7</v>
      </c>
      <c r="I513">
        <v>9.1</v>
      </c>
      <c r="K513">
        <v>9.1999999999999993</v>
      </c>
      <c r="AF513">
        <v>9.288000000000002</v>
      </c>
      <c r="AI513" t="s">
        <v>0</v>
      </c>
      <c r="AJ513" t="s">
        <v>278</v>
      </c>
      <c r="AK513" t="s">
        <v>139</v>
      </c>
      <c r="AL513" t="s">
        <v>11</v>
      </c>
      <c r="AM513" t="s">
        <v>11</v>
      </c>
      <c r="AN513" t="s">
        <v>11</v>
      </c>
      <c r="AO513" t="s">
        <v>11</v>
      </c>
      <c r="AP513" t="s">
        <v>11</v>
      </c>
      <c r="AQ513" t="s">
        <v>11</v>
      </c>
      <c r="AR513" t="s">
        <v>11</v>
      </c>
      <c r="AS513" t="s">
        <v>11</v>
      </c>
      <c r="AT513" t="s">
        <v>11</v>
      </c>
      <c r="AU513" t="s">
        <v>11</v>
      </c>
      <c r="AV513" t="s">
        <v>11</v>
      </c>
      <c r="AW513" t="s">
        <v>11</v>
      </c>
      <c r="AX513" t="s">
        <v>11</v>
      </c>
      <c r="AY513" t="s">
        <v>11</v>
      </c>
      <c r="AZ513" t="s">
        <v>11</v>
      </c>
      <c r="BA513" t="s">
        <v>11</v>
      </c>
      <c r="BB513" t="s">
        <v>11</v>
      </c>
      <c r="BC513" t="s">
        <v>11</v>
      </c>
      <c r="BD513" t="s">
        <v>11</v>
      </c>
      <c r="BE513" t="s">
        <v>11</v>
      </c>
      <c r="BF513" t="s">
        <v>11</v>
      </c>
      <c r="BG513" t="s">
        <v>11</v>
      </c>
      <c r="BH513" t="s">
        <v>3682</v>
      </c>
      <c r="BI513" t="s">
        <v>3679</v>
      </c>
      <c r="BJ513" t="s">
        <v>3683</v>
      </c>
      <c r="BK513" t="s">
        <v>3684</v>
      </c>
    </row>
    <row r="514" spans="1:63" x14ac:dyDescent="0.3">
      <c r="A514" t="s">
        <v>3685</v>
      </c>
      <c r="B514" t="s">
        <v>514</v>
      </c>
      <c r="C514" t="s">
        <v>3686</v>
      </c>
      <c r="D514" t="s">
        <v>3687</v>
      </c>
      <c r="E514" t="s">
        <v>3688</v>
      </c>
      <c r="F514">
        <v>546</v>
      </c>
      <c r="G514">
        <v>94</v>
      </c>
      <c r="L514">
        <v>6</v>
      </c>
      <c r="AF514">
        <v>8.6364200000000011</v>
      </c>
      <c r="AH514" t="s">
        <v>3689</v>
      </c>
      <c r="AI514" t="s">
        <v>0</v>
      </c>
      <c r="AJ514" t="s">
        <v>11</v>
      </c>
      <c r="AK514" t="s">
        <v>11</v>
      </c>
      <c r="AL514" t="s">
        <v>11</v>
      </c>
      <c r="AM514" t="s">
        <v>11</v>
      </c>
      <c r="AN514" t="s">
        <v>11</v>
      </c>
      <c r="AO514" t="s">
        <v>11</v>
      </c>
      <c r="AP514" t="s">
        <v>11</v>
      </c>
      <c r="AQ514" t="s">
        <v>3007</v>
      </c>
      <c r="AR514" t="s">
        <v>11</v>
      </c>
      <c r="AS514" t="s">
        <v>11</v>
      </c>
      <c r="AT514" t="s">
        <v>11</v>
      </c>
      <c r="AU514" t="s">
        <v>11</v>
      </c>
      <c r="AV514" t="s">
        <v>11</v>
      </c>
      <c r="AW514" t="s">
        <v>11</v>
      </c>
      <c r="AX514" t="s">
        <v>11</v>
      </c>
      <c r="AY514" t="s">
        <v>11</v>
      </c>
      <c r="AZ514" t="s">
        <v>11</v>
      </c>
      <c r="BA514" t="s">
        <v>11</v>
      </c>
      <c r="BB514" t="s">
        <v>11</v>
      </c>
      <c r="BC514" t="s">
        <v>11</v>
      </c>
      <c r="BD514" t="s">
        <v>11</v>
      </c>
      <c r="BE514" t="s">
        <v>11</v>
      </c>
      <c r="BF514" t="s">
        <v>11</v>
      </c>
      <c r="BG514" t="s">
        <v>11</v>
      </c>
      <c r="BH514" t="s">
        <v>3690</v>
      </c>
      <c r="BI514" t="s">
        <v>3685</v>
      </c>
      <c r="BJ514" t="s">
        <v>3691</v>
      </c>
      <c r="BK514" t="s">
        <v>3007</v>
      </c>
    </row>
    <row r="515" spans="1:63" x14ac:dyDescent="0.3">
      <c r="A515" t="s">
        <v>3692</v>
      </c>
      <c r="B515" t="s">
        <v>5</v>
      </c>
      <c r="C515" t="s">
        <v>3693</v>
      </c>
      <c r="D515" t="s">
        <v>3694</v>
      </c>
      <c r="E515" t="s">
        <v>3688</v>
      </c>
      <c r="F515">
        <v>547</v>
      </c>
      <c r="G515">
        <v>94</v>
      </c>
      <c r="I515">
        <v>6</v>
      </c>
      <c r="AF515">
        <v>8.5280000000000005</v>
      </c>
      <c r="AH515" t="s">
        <v>3689</v>
      </c>
      <c r="AI515" t="s">
        <v>0</v>
      </c>
      <c r="AJ515" t="s">
        <v>926</v>
      </c>
      <c r="AK515" t="s">
        <v>11</v>
      </c>
      <c r="AL515" t="s">
        <v>11</v>
      </c>
      <c r="AM515" t="s">
        <v>11</v>
      </c>
      <c r="AN515" t="s">
        <v>11</v>
      </c>
      <c r="AO515" t="s">
        <v>11</v>
      </c>
      <c r="AP515" t="s">
        <v>11</v>
      </c>
      <c r="AQ515" t="s">
        <v>11</v>
      </c>
      <c r="AR515" t="s">
        <v>11</v>
      </c>
      <c r="AS515" t="s">
        <v>11</v>
      </c>
      <c r="AT515" t="s">
        <v>11</v>
      </c>
      <c r="AU515" t="s">
        <v>11</v>
      </c>
      <c r="AV515" t="s">
        <v>11</v>
      </c>
      <c r="AW515" t="s">
        <v>11</v>
      </c>
      <c r="AX515" t="s">
        <v>11</v>
      </c>
      <c r="AY515" t="s">
        <v>11</v>
      </c>
      <c r="AZ515" t="s">
        <v>11</v>
      </c>
      <c r="BA515" t="s">
        <v>11</v>
      </c>
      <c r="BB515" t="s">
        <v>11</v>
      </c>
      <c r="BC515" t="s">
        <v>11</v>
      </c>
      <c r="BD515" t="s">
        <v>11</v>
      </c>
      <c r="BE515" t="s">
        <v>11</v>
      </c>
      <c r="BF515" t="s">
        <v>11</v>
      </c>
      <c r="BG515" t="s">
        <v>11</v>
      </c>
      <c r="BH515" t="s">
        <v>3695</v>
      </c>
      <c r="BI515" t="s">
        <v>3692</v>
      </c>
      <c r="BJ515" t="s">
        <v>3696</v>
      </c>
      <c r="BK515" t="s">
        <v>926</v>
      </c>
    </row>
    <row r="516" spans="1:63" x14ac:dyDescent="0.3">
      <c r="A516" t="s">
        <v>3697</v>
      </c>
      <c r="B516" t="s">
        <v>5</v>
      </c>
      <c r="C516" t="s">
        <v>3698</v>
      </c>
      <c r="D516" t="s">
        <v>3699</v>
      </c>
      <c r="E516" t="s">
        <v>3688</v>
      </c>
      <c r="F516">
        <v>548</v>
      </c>
      <c r="G516">
        <v>94</v>
      </c>
      <c r="O516">
        <v>6</v>
      </c>
      <c r="AF516">
        <v>8.7325999999999997</v>
      </c>
      <c r="AH516" t="s">
        <v>3689</v>
      </c>
      <c r="AI516" t="s">
        <v>0</v>
      </c>
      <c r="AJ516" t="s">
        <v>11</v>
      </c>
      <c r="AK516" t="s">
        <v>11</v>
      </c>
      <c r="AL516" t="s">
        <v>11</v>
      </c>
      <c r="AM516" t="s">
        <v>11</v>
      </c>
      <c r="AN516" t="s">
        <v>11</v>
      </c>
      <c r="AO516" t="s">
        <v>11</v>
      </c>
      <c r="AP516" t="s">
        <v>2868</v>
      </c>
      <c r="AQ516" t="s">
        <v>11</v>
      </c>
      <c r="AR516" t="s">
        <v>11</v>
      </c>
      <c r="AS516" t="s">
        <v>11</v>
      </c>
      <c r="AT516" t="s">
        <v>11</v>
      </c>
      <c r="AU516" t="s">
        <v>11</v>
      </c>
      <c r="AV516" t="s">
        <v>11</v>
      </c>
      <c r="AW516" t="s">
        <v>11</v>
      </c>
      <c r="AX516" t="s">
        <v>11</v>
      </c>
      <c r="AY516" t="s">
        <v>11</v>
      </c>
      <c r="AZ516" t="s">
        <v>11</v>
      </c>
      <c r="BA516" t="s">
        <v>11</v>
      </c>
      <c r="BB516" t="s">
        <v>11</v>
      </c>
      <c r="BC516" t="s">
        <v>11</v>
      </c>
      <c r="BD516" t="s">
        <v>11</v>
      </c>
      <c r="BE516" t="s">
        <v>11</v>
      </c>
      <c r="BF516" t="s">
        <v>11</v>
      </c>
      <c r="BG516" t="s">
        <v>11</v>
      </c>
      <c r="BH516" t="s">
        <v>3700</v>
      </c>
      <c r="BI516" t="s">
        <v>3697</v>
      </c>
      <c r="BJ516" t="s">
        <v>3701</v>
      </c>
      <c r="BK516" t="s">
        <v>2868</v>
      </c>
    </row>
    <row r="517" spans="1:63" x14ac:dyDescent="0.3">
      <c r="A517" t="s">
        <v>3702</v>
      </c>
      <c r="B517" t="s">
        <v>5</v>
      </c>
      <c r="C517" t="s">
        <v>3703</v>
      </c>
      <c r="D517" t="s">
        <v>3704</v>
      </c>
      <c r="E517" t="s">
        <v>3688</v>
      </c>
      <c r="F517">
        <v>549</v>
      </c>
      <c r="G517">
        <v>94</v>
      </c>
      <c r="J517">
        <v>6</v>
      </c>
      <c r="AF517">
        <v>8.7973999999999997</v>
      </c>
      <c r="AH517" t="s">
        <v>3689</v>
      </c>
      <c r="AI517" t="s">
        <v>0</v>
      </c>
      <c r="AJ517" t="s">
        <v>11</v>
      </c>
      <c r="AK517" t="s">
        <v>11</v>
      </c>
      <c r="AL517" t="s">
        <v>11</v>
      </c>
      <c r="AM517" t="s">
        <v>2195</v>
      </c>
      <c r="AN517" t="s">
        <v>11</v>
      </c>
      <c r="AO517" t="s">
        <v>11</v>
      </c>
      <c r="AP517" t="s">
        <v>11</v>
      </c>
      <c r="AQ517" t="s">
        <v>11</v>
      </c>
      <c r="AR517" t="s">
        <v>11</v>
      </c>
      <c r="AS517" t="s">
        <v>11</v>
      </c>
      <c r="AT517" t="s">
        <v>11</v>
      </c>
      <c r="AU517" t="s">
        <v>11</v>
      </c>
      <c r="AV517" t="s">
        <v>11</v>
      </c>
      <c r="AW517" t="s">
        <v>11</v>
      </c>
      <c r="AX517" t="s">
        <v>11</v>
      </c>
      <c r="AY517" t="s">
        <v>11</v>
      </c>
      <c r="AZ517" t="s">
        <v>11</v>
      </c>
      <c r="BA517" t="s">
        <v>11</v>
      </c>
      <c r="BB517" t="s">
        <v>11</v>
      </c>
      <c r="BC517" t="s">
        <v>11</v>
      </c>
      <c r="BD517" t="s">
        <v>11</v>
      </c>
      <c r="BE517" t="s">
        <v>11</v>
      </c>
      <c r="BF517" t="s">
        <v>11</v>
      </c>
      <c r="BG517" t="s">
        <v>11</v>
      </c>
      <c r="BH517" t="s">
        <v>3705</v>
      </c>
      <c r="BI517" t="s">
        <v>3702</v>
      </c>
      <c r="BJ517" t="s">
        <v>3706</v>
      </c>
      <c r="BK517" t="s">
        <v>2195</v>
      </c>
    </row>
    <row r="518" spans="1:63" x14ac:dyDescent="0.3">
      <c r="A518" t="s">
        <v>3707</v>
      </c>
      <c r="B518" t="s">
        <v>5</v>
      </c>
      <c r="C518" t="s">
        <v>3708</v>
      </c>
      <c r="D518" t="s">
        <v>3709</v>
      </c>
      <c r="E518" t="s">
        <v>3688</v>
      </c>
      <c r="F518">
        <v>550</v>
      </c>
      <c r="G518">
        <v>94</v>
      </c>
      <c r="AA518">
        <v>6</v>
      </c>
      <c r="AF518">
        <v>8.8142000000000014</v>
      </c>
      <c r="AH518" t="s">
        <v>3689</v>
      </c>
      <c r="AI518" t="s">
        <v>0</v>
      </c>
      <c r="AJ518" t="s">
        <v>11</v>
      </c>
      <c r="AK518" t="s">
        <v>11</v>
      </c>
      <c r="AL518" t="s">
        <v>11</v>
      </c>
      <c r="AM518" t="s">
        <v>11</v>
      </c>
      <c r="AN518" t="s">
        <v>11</v>
      </c>
      <c r="AO518" t="s">
        <v>11</v>
      </c>
      <c r="AP518" t="s">
        <v>11</v>
      </c>
      <c r="AQ518" t="s">
        <v>11</v>
      </c>
      <c r="AR518" t="s">
        <v>11</v>
      </c>
      <c r="AS518" t="s">
        <v>11</v>
      </c>
      <c r="AT518" t="s">
        <v>11</v>
      </c>
      <c r="AU518" t="s">
        <v>11</v>
      </c>
      <c r="AV518" t="s">
        <v>11</v>
      </c>
      <c r="AW518" t="s">
        <v>11</v>
      </c>
      <c r="AX518" t="s">
        <v>11</v>
      </c>
      <c r="AY518" t="s">
        <v>11</v>
      </c>
      <c r="AZ518" t="s">
        <v>11</v>
      </c>
      <c r="BA518" t="s">
        <v>11</v>
      </c>
      <c r="BB518" t="s">
        <v>11</v>
      </c>
      <c r="BC518" t="s">
        <v>3710</v>
      </c>
      <c r="BD518" t="s">
        <v>11</v>
      </c>
      <c r="BE518" t="s">
        <v>11</v>
      </c>
      <c r="BF518" t="s">
        <v>11</v>
      </c>
      <c r="BG518" t="s">
        <v>11</v>
      </c>
      <c r="BH518" t="s">
        <v>3711</v>
      </c>
      <c r="BI518" t="s">
        <v>3707</v>
      </c>
      <c r="BJ518" t="s">
        <v>3712</v>
      </c>
      <c r="BK518" t="s">
        <v>3710</v>
      </c>
    </row>
    <row r="519" spans="1:63" x14ac:dyDescent="0.3">
      <c r="A519" t="s">
        <v>3713</v>
      </c>
      <c r="B519" t="s">
        <v>5</v>
      </c>
      <c r="C519" t="s">
        <v>3714</v>
      </c>
      <c r="D519" t="s">
        <v>3715</v>
      </c>
      <c r="E519" t="s">
        <v>3688</v>
      </c>
      <c r="F519">
        <v>551</v>
      </c>
      <c r="G519">
        <v>94</v>
      </c>
      <c r="W519">
        <v>6</v>
      </c>
      <c r="AF519">
        <v>8.8384400000000003</v>
      </c>
      <c r="AH519" t="s">
        <v>3689</v>
      </c>
      <c r="AI519" t="s">
        <v>0</v>
      </c>
      <c r="AJ519" t="s">
        <v>11</v>
      </c>
      <c r="AK519" t="s">
        <v>11</v>
      </c>
      <c r="AL519" t="s">
        <v>11</v>
      </c>
      <c r="AM519" t="s">
        <v>11</v>
      </c>
      <c r="AN519" t="s">
        <v>11</v>
      </c>
      <c r="AO519" t="s">
        <v>11</v>
      </c>
      <c r="AP519" t="s">
        <v>11</v>
      </c>
      <c r="AQ519" t="s">
        <v>11</v>
      </c>
      <c r="AR519" t="s">
        <v>11</v>
      </c>
      <c r="AS519" t="s">
        <v>11</v>
      </c>
      <c r="AT519" t="s">
        <v>11</v>
      </c>
      <c r="AU519" t="s">
        <v>11</v>
      </c>
      <c r="AV519" t="s">
        <v>11</v>
      </c>
      <c r="AW519" t="s">
        <v>11</v>
      </c>
      <c r="AX519" t="s">
        <v>11</v>
      </c>
      <c r="AY519" t="s">
        <v>3716</v>
      </c>
      <c r="AZ519" t="s">
        <v>11</v>
      </c>
      <c r="BA519" t="s">
        <v>11</v>
      </c>
      <c r="BB519" t="s">
        <v>11</v>
      </c>
      <c r="BC519" t="s">
        <v>11</v>
      </c>
      <c r="BD519" t="s">
        <v>11</v>
      </c>
      <c r="BE519" t="s">
        <v>11</v>
      </c>
      <c r="BF519" t="s">
        <v>11</v>
      </c>
      <c r="BG519" t="s">
        <v>11</v>
      </c>
      <c r="BH519" t="s">
        <v>3717</v>
      </c>
      <c r="BI519" t="s">
        <v>3713</v>
      </c>
      <c r="BJ519" t="s">
        <v>3718</v>
      </c>
      <c r="BK519" t="s">
        <v>3716</v>
      </c>
    </row>
    <row r="520" spans="1:63" x14ac:dyDescent="0.3">
      <c r="A520" t="s">
        <v>3719</v>
      </c>
      <c r="B520" t="s">
        <v>5</v>
      </c>
      <c r="C520" t="s">
        <v>3720</v>
      </c>
      <c r="D520" t="s">
        <v>3721</v>
      </c>
      <c r="E520" t="s">
        <v>3688</v>
      </c>
      <c r="F520">
        <v>552</v>
      </c>
      <c r="G520">
        <v>97</v>
      </c>
      <c r="N520">
        <v>3</v>
      </c>
      <c r="AF520">
        <v>8.8901000000000003</v>
      </c>
      <c r="AH520" t="s">
        <v>3689</v>
      </c>
      <c r="AI520" t="s">
        <v>0</v>
      </c>
      <c r="AJ520" t="s">
        <v>11</v>
      </c>
      <c r="AK520" t="s">
        <v>11</v>
      </c>
      <c r="AL520" t="s">
        <v>11</v>
      </c>
      <c r="AM520" t="s">
        <v>11</v>
      </c>
      <c r="AN520" t="s">
        <v>11</v>
      </c>
      <c r="AO520" t="s">
        <v>1294</v>
      </c>
      <c r="AP520" t="s">
        <v>11</v>
      </c>
      <c r="AQ520" t="s">
        <v>11</v>
      </c>
      <c r="AR520" t="s">
        <v>11</v>
      </c>
      <c r="AS520" t="s">
        <v>11</v>
      </c>
      <c r="AT520" t="s">
        <v>11</v>
      </c>
      <c r="AU520" t="s">
        <v>11</v>
      </c>
      <c r="AV520" t="s">
        <v>11</v>
      </c>
      <c r="AW520" t="s">
        <v>11</v>
      </c>
      <c r="AX520" t="s">
        <v>11</v>
      </c>
      <c r="AY520" t="s">
        <v>11</v>
      </c>
      <c r="AZ520" t="s">
        <v>11</v>
      </c>
      <c r="BA520" t="s">
        <v>11</v>
      </c>
      <c r="BB520" t="s">
        <v>11</v>
      </c>
      <c r="BC520" t="s">
        <v>11</v>
      </c>
      <c r="BD520" t="s">
        <v>11</v>
      </c>
      <c r="BE520" t="s">
        <v>11</v>
      </c>
      <c r="BF520" t="s">
        <v>11</v>
      </c>
      <c r="BG520" t="s">
        <v>11</v>
      </c>
      <c r="BH520" t="s">
        <v>3722</v>
      </c>
      <c r="BI520" t="s">
        <v>3719</v>
      </c>
      <c r="BJ520" t="s">
        <v>3723</v>
      </c>
      <c r="BK520" t="s">
        <v>1294</v>
      </c>
    </row>
    <row r="521" spans="1:63" x14ac:dyDescent="0.3">
      <c r="A521" t="s">
        <v>3724</v>
      </c>
      <c r="B521" t="s">
        <v>5</v>
      </c>
      <c r="C521" t="s">
        <v>3725</v>
      </c>
      <c r="D521" t="s">
        <v>3726</v>
      </c>
      <c r="E521" t="s">
        <v>3688</v>
      </c>
      <c r="F521">
        <v>553</v>
      </c>
      <c r="G521">
        <v>94</v>
      </c>
      <c r="P521">
        <v>6</v>
      </c>
      <c r="AF521">
        <v>8.9827999999999992</v>
      </c>
      <c r="AH521" t="s">
        <v>3689</v>
      </c>
      <c r="AI521" t="s">
        <v>0</v>
      </c>
      <c r="AJ521" t="s">
        <v>11</v>
      </c>
      <c r="AK521" t="s">
        <v>11</v>
      </c>
      <c r="AL521" t="s">
        <v>11</v>
      </c>
      <c r="AM521" t="s">
        <v>11</v>
      </c>
      <c r="AN521" t="s">
        <v>11</v>
      </c>
      <c r="AO521" t="s">
        <v>11</v>
      </c>
      <c r="AP521" t="s">
        <v>11</v>
      </c>
      <c r="AQ521" t="s">
        <v>11</v>
      </c>
      <c r="AR521" t="s">
        <v>1499</v>
      </c>
      <c r="AS521" t="s">
        <v>11</v>
      </c>
      <c r="AT521" t="s">
        <v>11</v>
      </c>
      <c r="AU521" t="s">
        <v>11</v>
      </c>
      <c r="AV521" t="s">
        <v>11</v>
      </c>
      <c r="AW521" t="s">
        <v>11</v>
      </c>
      <c r="AX521" t="s">
        <v>11</v>
      </c>
      <c r="AY521" t="s">
        <v>11</v>
      </c>
      <c r="AZ521" t="s">
        <v>11</v>
      </c>
      <c r="BA521" t="s">
        <v>11</v>
      </c>
      <c r="BB521" t="s">
        <v>11</v>
      </c>
      <c r="BC521" t="s">
        <v>11</v>
      </c>
      <c r="BD521" t="s">
        <v>11</v>
      </c>
      <c r="BE521" t="s">
        <v>11</v>
      </c>
      <c r="BF521" t="s">
        <v>11</v>
      </c>
      <c r="BG521" t="s">
        <v>11</v>
      </c>
      <c r="BH521" t="s">
        <v>3727</v>
      </c>
      <c r="BI521" t="s">
        <v>3724</v>
      </c>
      <c r="BJ521" t="s">
        <v>3728</v>
      </c>
      <c r="BK521" t="s">
        <v>1499</v>
      </c>
    </row>
    <row r="522" spans="1:63" x14ac:dyDescent="0.3">
      <c r="A522" t="s">
        <v>3729</v>
      </c>
      <c r="B522" t="s">
        <v>5</v>
      </c>
      <c r="C522" t="s">
        <v>3730</v>
      </c>
      <c r="D522" t="s">
        <v>3731</v>
      </c>
      <c r="E522" t="s">
        <v>3688</v>
      </c>
      <c r="F522">
        <v>554</v>
      </c>
      <c r="G522">
        <v>94</v>
      </c>
      <c r="AC522">
        <v>6</v>
      </c>
      <c r="AF522">
        <v>9.1082000000000001</v>
      </c>
      <c r="AH522" t="s">
        <v>3689</v>
      </c>
      <c r="AI522" t="s">
        <v>0</v>
      </c>
      <c r="AJ522" t="s">
        <v>11</v>
      </c>
      <c r="AK522" t="s">
        <v>11</v>
      </c>
      <c r="AL522" t="s">
        <v>11</v>
      </c>
      <c r="AM522" t="s">
        <v>11</v>
      </c>
      <c r="AN522" t="s">
        <v>11</v>
      </c>
      <c r="AO522" t="s">
        <v>11</v>
      </c>
      <c r="AP522" t="s">
        <v>11</v>
      </c>
      <c r="AQ522" t="s">
        <v>11</v>
      </c>
      <c r="AR522" t="s">
        <v>11</v>
      </c>
      <c r="AS522" t="s">
        <v>11</v>
      </c>
      <c r="AT522" t="s">
        <v>11</v>
      </c>
      <c r="AU522" t="s">
        <v>11</v>
      </c>
      <c r="AV522" t="s">
        <v>11</v>
      </c>
      <c r="AW522" t="s">
        <v>11</v>
      </c>
      <c r="AX522" t="s">
        <v>11</v>
      </c>
      <c r="AY522" t="s">
        <v>11</v>
      </c>
      <c r="AZ522" t="s">
        <v>11</v>
      </c>
      <c r="BA522" t="s">
        <v>11</v>
      </c>
      <c r="BB522" t="s">
        <v>11</v>
      </c>
      <c r="BC522" t="s">
        <v>11</v>
      </c>
      <c r="BD522" t="s">
        <v>11</v>
      </c>
      <c r="BE522" t="s">
        <v>3732</v>
      </c>
      <c r="BF522" t="s">
        <v>11</v>
      </c>
      <c r="BG522" t="s">
        <v>11</v>
      </c>
      <c r="BH522" t="s">
        <v>3733</v>
      </c>
      <c r="BI522" t="s">
        <v>3729</v>
      </c>
      <c r="BJ522" t="s">
        <v>3734</v>
      </c>
      <c r="BK522" t="s">
        <v>3732</v>
      </c>
    </row>
    <row r="523" spans="1:63" x14ac:dyDescent="0.3">
      <c r="A523" t="s">
        <v>3735</v>
      </c>
      <c r="B523" t="s">
        <v>5</v>
      </c>
      <c r="C523" t="s">
        <v>3356</v>
      </c>
      <c r="D523" t="s">
        <v>3736</v>
      </c>
      <c r="E523" t="s">
        <v>3688</v>
      </c>
      <c r="F523">
        <v>555</v>
      </c>
      <c r="G523">
        <v>96</v>
      </c>
      <c r="M523">
        <v>4</v>
      </c>
      <c r="AF523">
        <v>9.2100000000000009</v>
      </c>
      <c r="AH523" t="s">
        <v>3689</v>
      </c>
      <c r="AI523" t="s">
        <v>0</v>
      </c>
      <c r="AJ523" t="s">
        <v>11</v>
      </c>
      <c r="AK523" t="s">
        <v>11</v>
      </c>
      <c r="AL523" t="s">
        <v>11</v>
      </c>
      <c r="AM523" t="s">
        <v>11</v>
      </c>
      <c r="AN523" t="s">
        <v>849</v>
      </c>
      <c r="AO523" t="s">
        <v>11</v>
      </c>
      <c r="AP523" t="s">
        <v>11</v>
      </c>
      <c r="AQ523" t="s">
        <v>11</v>
      </c>
      <c r="AR523" t="s">
        <v>11</v>
      </c>
      <c r="AS523" t="s">
        <v>11</v>
      </c>
      <c r="AT523" t="s">
        <v>11</v>
      </c>
      <c r="AU523" t="s">
        <v>11</v>
      </c>
      <c r="AV523" t="s">
        <v>11</v>
      </c>
      <c r="AW523" t="s">
        <v>11</v>
      </c>
      <c r="AX523" t="s">
        <v>11</v>
      </c>
      <c r="AY523" t="s">
        <v>11</v>
      </c>
      <c r="AZ523" t="s">
        <v>11</v>
      </c>
      <c r="BA523" t="s">
        <v>11</v>
      </c>
      <c r="BB523" t="s">
        <v>11</v>
      </c>
      <c r="BC523" t="s">
        <v>11</v>
      </c>
      <c r="BD523" t="s">
        <v>11</v>
      </c>
      <c r="BE523" t="s">
        <v>11</v>
      </c>
      <c r="BF523" t="s">
        <v>11</v>
      </c>
      <c r="BG523" t="s">
        <v>11</v>
      </c>
      <c r="BH523" t="s">
        <v>3737</v>
      </c>
      <c r="BI523" t="s">
        <v>3735</v>
      </c>
      <c r="BJ523" t="s">
        <v>3738</v>
      </c>
      <c r="BK523" t="s">
        <v>849</v>
      </c>
    </row>
    <row r="524" spans="1:63" x14ac:dyDescent="0.3">
      <c r="A524" t="s">
        <v>3739</v>
      </c>
      <c r="B524" t="s">
        <v>5</v>
      </c>
      <c r="C524" t="s">
        <v>3740</v>
      </c>
      <c r="D524" t="s">
        <v>3741</v>
      </c>
      <c r="E524" t="s">
        <v>3688</v>
      </c>
      <c r="F524">
        <v>557</v>
      </c>
      <c r="G524">
        <v>94</v>
      </c>
      <c r="U524">
        <v>6</v>
      </c>
      <c r="AF524">
        <v>9.6272000000000002</v>
      </c>
      <c r="AH524" t="s">
        <v>3689</v>
      </c>
      <c r="AI524" t="s">
        <v>0</v>
      </c>
      <c r="AJ524" t="s">
        <v>11</v>
      </c>
      <c r="AK524" t="s">
        <v>11</v>
      </c>
      <c r="AL524" t="s">
        <v>11</v>
      </c>
      <c r="AM524" t="s">
        <v>11</v>
      </c>
      <c r="AN524" t="s">
        <v>11</v>
      </c>
      <c r="AO524" t="s">
        <v>11</v>
      </c>
      <c r="AP524" t="s">
        <v>11</v>
      </c>
      <c r="AQ524" t="s">
        <v>11</v>
      </c>
      <c r="AR524" t="s">
        <v>11</v>
      </c>
      <c r="AS524" t="s">
        <v>11</v>
      </c>
      <c r="AT524" t="s">
        <v>11</v>
      </c>
      <c r="AU524" t="s">
        <v>11</v>
      </c>
      <c r="AV524" t="s">
        <v>11</v>
      </c>
      <c r="AW524" t="s">
        <v>3742</v>
      </c>
      <c r="AX524" t="s">
        <v>11</v>
      </c>
      <c r="AY524" t="s">
        <v>11</v>
      </c>
      <c r="AZ524" t="s">
        <v>11</v>
      </c>
      <c r="BA524" t="s">
        <v>11</v>
      </c>
      <c r="BB524" t="s">
        <v>11</v>
      </c>
      <c r="BC524" t="s">
        <v>11</v>
      </c>
      <c r="BD524" t="s">
        <v>11</v>
      </c>
      <c r="BE524" t="s">
        <v>11</v>
      </c>
      <c r="BF524" t="s">
        <v>11</v>
      </c>
      <c r="BG524" t="s">
        <v>11</v>
      </c>
      <c r="BH524" t="s">
        <v>3743</v>
      </c>
      <c r="BI524" t="s">
        <v>3739</v>
      </c>
      <c r="BJ524" t="s">
        <v>3744</v>
      </c>
      <c r="BK524" t="s">
        <v>3742</v>
      </c>
    </row>
    <row r="525" spans="1:63" x14ac:dyDescent="0.3">
      <c r="A525" t="s">
        <v>3745</v>
      </c>
      <c r="B525" t="s">
        <v>514</v>
      </c>
      <c r="C525" t="s">
        <v>2336</v>
      </c>
      <c r="D525" t="s">
        <v>2337</v>
      </c>
      <c r="E525" t="s">
        <v>3746</v>
      </c>
      <c r="F525">
        <v>558</v>
      </c>
      <c r="G525">
        <v>56.5</v>
      </c>
      <c r="H525">
        <v>20</v>
      </c>
      <c r="I525">
        <v>8</v>
      </c>
      <c r="J525">
        <v>6</v>
      </c>
      <c r="K525">
        <v>5</v>
      </c>
      <c r="L525">
        <v>2.5</v>
      </c>
      <c r="M525">
        <v>1.5</v>
      </c>
      <c r="V525">
        <v>0.4</v>
      </c>
      <c r="Y525">
        <v>0.1</v>
      </c>
      <c r="AF525">
        <v>8.8050550000000012</v>
      </c>
      <c r="AH525" t="s">
        <v>1657</v>
      </c>
      <c r="AI525" t="s">
        <v>0</v>
      </c>
      <c r="AJ525" t="s">
        <v>164</v>
      </c>
      <c r="AK525" t="s">
        <v>1491</v>
      </c>
      <c r="AL525" t="s">
        <v>834</v>
      </c>
      <c r="AM525" t="s">
        <v>2195</v>
      </c>
      <c r="AN525" t="s">
        <v>396</v>
      </c>
      <c r="AO525" t="s">
        <v>11</v>
      </c>
      <c r="AP525" t="s">
        <v>11</v>
      </c>
      <c r="AQ525" t="s">
        <v>1217</v>
      </c>
      <c r="AR525" t="s">
        <v>11</v>
      </c>
      <c r="AS525" t="s">
        <v>11</v>
      </c>
      <c r="AT525" t="s">
        <v>11</v>
      </c>
      <c r="AU525" t="s">
        <v>11</v>
      </c>
      <c r="AV525" t="s">
        <v>11</v>
      </c>
      <c r="AW525" t="s">
        <v>11</v>
      </c>
      <c r="AX525" t="s">
        <v>1533</v>
      </c>
      <c r="AY525" t="s">
        <v>11</v>
      </c>
      <c r="AZ525" t="s">
        <v>11</v>
      </c>
      <c r="BA525" t="s">
        <v>1534</v>
      </c>
      <c r="BB525" t="s">
        <v>11</v>
      </c>
      <c r="BC525" t="s">
        <v>11</v>
      </c>
      <c r="BD525" t="s">
        <v>11</v>
      </c>
      <c r="BE525" t="s">
        <v>11</v>
      </c>
      <c r="BF525" t="s">
        <v>11</v>
      </c>
      <c r="BG525" t="s">
        <v>11</v>
      </c>
      <c r="BH525" t="s">
        <v>3747</v>
      </c>
      <c r="BI525" t="s">
        <v>3745</v>
      </c>
      <c r="BJ525" t="s">
        <v>3748</v>
      </c>
      <c r="BK525" t="s">
        <v>3749</v>
      </c>
    </row>
    <row r="526" spans="1:63" x14ac:dyDescent="0.3">
      <c r="A526" t="s">
        <v>3750</v>
      </c>
      <c r="B526" t="s">
        <v>514</v>
      </c>
      <c r="C526" t="s">
        <v>3751</v>
      </c>
      <c r="D526" t="s">
        <v>3752</v>
      </c>
      <c r="E526" t="s">
        <v>3746</v>
      </c>
      <c r="F526">
        <v>559</v>
      </c>
      <c r="G526">
        <v>44.5</v>
      </c>
      <c r="H526">
        <v>32</v>
      </c>
      <c r="I526">
        <v>8</v>
      </c>
      <c r="J526">
        <v>6</v>
      </c>
      <c r="K526">
        <v>5</v>
      </c>
      <c r="L526">
        <v>2.5</v>
      </c>
      <c r="M526">
        <v>1.5</v>
      </c>
      <c r="V526">
        <v>0.4</v>
      </c>
      <c r="Y526">
        <v>0.1</v>
      </c>
      <c r="AF526">
        <v>8.8060150000000021</v>
      </c>
      <c r="AH526" t="s">
        <v>1657</v>
      </c>
      <c r="AI526" t="s">
        <v>0</v>
      </c>
      <c r="AJ526" t="s">
        <v>164</v>
      </c>
      <c r="AK526" t="s">
        <v>1491</v>
      </c>
      <c r="AL526" t="s">
        <v>1530</v>
      </c>
      <c r="AM526" t="s">
        <v>2195</v>
      </c>
      <c r="AN526" t="s">
        <v>396</v>
      </c>
      <c r="AO526" t="s">
        <v>11</v>
      </c>
      <c r="AP526" t="s">
        <v>11</v>
      </c>
      <c r="AQ526" t="s">
        <v>1217</v>
      </c>
      <c r="AR526" t="s">
        <v>11</v>
      </c>
      <c r="AS526" t="s">
        <v>11</v>
      </c>
      <c r="AT526" t="s">
        <v>11</v>
      </c>
      <c r="AU526" t="s">
        <v>11</v>
      </c>
      <c r="AV526" t="s">
        <v>11</v>
      </c>
      <c r="AW526" t="s">
        <v>11</v>
      </c>
      <c r="AX526" t="s">
        <v>1533</v>
      </c>
      <c r="AY526" t="s">
        <v>11</v>
      </c>
      <c r="AZ526" t="s">
        <v>11</v>
      </c>
      <c r="BA526" t="s">
        <v>1534</v>
      </c>
      <c r="BB526" t="s">
        <v>11</v>
      </c>
      <c r="BC526" t="s">
        <v>11</v>
      </c>
      <c r="BD526" t="s">
        <v>11</v>
      </c>
      <c r="BE526" t="s">
        <v>11</v>
      </c>
      <c r="BF526" t="s">
        <v>11</v>
      </c>
      <c r="BG526" t="s">
        <v>11</v>
      </c>
      <c r="BH526" t="s">
        <v>3753</v>
      </c>
      <c r="BI526" t="s">
        <v>3750</v>
      </c>
      <c r="BJ526" t="s">
        <v>3754</v>
      </c>
      <c r="BK526" t="s">
        <v>3755</v>
      </c>
    </row>
    <row r="527" spans="1:63" x14ac:dyDescent="0.3">
      <c r="A527" t="s">
        <v>3756</v>
      </c>
      <c r="B527" t="s">
        <v>514</v>
      </c>
      <c r="C527" t="s">
        <v>3757</v>
      </c>
      <c r="D527" t="s">
        <v>3758</v>
      </c>
      <c r="E527" t="s">
        <v>3746</v>
      </c>
      <c r="F527">
        <v>560</v>
      </c>
      <c r="G527">
        <v>43.5</v>
      </c>
      <c r="H527">
        <v>32</v>
      </c>
      <c r="I527">
        <v>8</v>
      </c>
      <c r="J527">
        <v>6</v>
      </c>
      <c r="K527">
        <v>5</v>
      </c>
      <c r="L527">
        <v>2.5</v>
      </c>
      <c r="M527">
        <v>1.5</v>
      </c>
      <c r="U527">
        <v>1</v>
      </c>
      <c r="V527">
        <v>0.4</v>
      </c>
      <c r="Y527">
        <v>0.1</v>
      </c>
      <c r="AF527">
        <v>8.9272150000000003</v>
      </c>
      <c r="AH527" t="s">
        <v>1657</v>
      </c>
      <c r="AI527" t="s">
        <v>0</v>
      </c>
      <c r="AJ527" t="s">
        <v>164</v>
      </c>
      <c r="AK527" t="s">
        <v>1491</v>
      </c>
      <c r="AL527" t="s">
        <v>1530</v>
      </c>
      <c r="AM527" t="s">
        <v>2195</v>
      </c>
      <c r="AN527" t="s">
        <v>396</v>
      </c>
      <c r="AO527" t="s">
        <v>11</v>
      </c>
      <c r="AP527" t="s">
        <v>11</v>
      </c>
      <c r="AQ527" t="s">
        <v>1217</v>
      </c>
      <c r="AR527" t="s">
        <v>11</v>
      </c>
      <c r="AS527" t="s">
        <v>11</v>
      </c>
      <c r="AT527" t="s">
        <v>11</v>
      </c>
      <c r="AU527" t="s">
        <v>11</v>
      </c>
      <c r="AV527" t="s">
        <v>11</v>
      </c>
      <c r="AW527" t="s">
        <v>2066</v>
      </c>
      <c r="AX527" t="s">
        <v>1533</v>
      </c>
      <c r="AY527" t="s">
        <v>11</v>
      </c>
      <c r="AZ527" t="s">
        <v>11</v>
      </c>
      <c r="BA527" t="s">
        <v>1534</v>
      </c>
      <c r="BB527" t="s">
        <v>11</v>
      </c>
      <c r="BC527" t="s">
        <v>11</v>
      </c>
      <c r="BD527" t="s">
        <v>11</v>
      </c>
      <c r="BE527" t="s">
        <v>11</v>
      </c>
      <c r="BF527" t="s">
        <v>11</v>
      </c>
      <c r="BG527" t="s">
        <v>11</v>
      </c>
      <c r="BH527" t="s">
        <v>3759</v>
      </c>
      <c r="BI527" t="s">
        <v>3756</v>
      </c>
      <c r="BJ527" t="s">
        <v>3760</v>
      </c>
      <c r="BK527" t="s">
        <v>3761</v>
      </c>
    </row>
    <row r="528" spans="1:63" x14ac:dyDescent="0.3">
      <c r="A528" t="s">
        <v>3762</v>
      </c>
      <c r="B528" t="s">
        <v>160</v>
      </c>
      <c r="C528" t="s">
        <v>3763</v>
      </c>
      <c r="D528" t="s">
        <v>3764</v>
      </c>
      <c r="E528" t="s">
        <v>3746</v>
      </c>
      <c r="F528">
        <v>561</v>
      </c>
      <c r="G528">
        <v>43.5</v>
      </c>
      <c r="H528">
        <v>32</v>
      </c>
      <c r="I528">
        <v>8</v>
      </c>
      <c r="J528">
        <v>6</v>
      </c>
      <c r="K528">
        <v>5.7</v>
      </c>
      <c r="L528">
        <v>2.5</v>
      </c>
      <c r="M528">
        <v>1.8</v>
      </c>
      <c r="V528">
        <v>0.4</v>
      </c>
      <c r="Y528">
        <v>0.1</v>
      </c>
      <c r="AF528">
        <v>8.9017150000000012</v>
      </c>
      <c r="AH528" t="s">
        <v>1657</v>
      </c>
      <c r="AI528" t="s">
        <v>0</v>
      </c>
      <c r="AJ528" t="s">
        <v>164</v>
      </c>
      <c r="AK528" t="s">
        <v>214</v>
      </c>
      <c r="AL528" t="s">
        <v>1530</v>
      </c>
      <c r="AM528" t="s">
        <v>2195</v>
      </c>
      <c r="AN528" t="s">
        <v>205</v>
      </c>
      <c r="AO528" t="s">
        <v>11</v>
      </c>
      <c r="AP528" t="s">
        <v>11</v>
      </c>
      <c r="AQ528" t="s">
        <v>1217</v>
      </c>
      <c r="AR528" t="s">
        <v>11</v>
      </c>
      <c r="AS528" t="s">
        <v>11</v>
      </c>
      <c r="AT528" t="s">
        <v>11</v>
      </c>
      <c r="AU528" t="s">
        <v>11</v>
      </c>
      <c r="AV528" t="s">
        <v>11</v>
      </c>
      <c r="AW528" t="s">
        <v>11</v>
      </c>
      <c r="AX528" t="s">
        <v>1533</v>
      </c>
      <c r="AY528" t="s">
        <v>11</v>
      </c>
      <c r="AZ528" t="s">
        <v>11</v>
      </c>
      <c r="BA528" t="s">
        <v>1534</v>
      </c>
      <c r="BB528" t="s">
        <v>11</v>
      </c>
      <c r="BC528" t="s">
        <v>11</v>
      </c>
      <c r="BD528" t="s">
        <v>11</v>
      </c>
      <c r="BE528" t="s">
        <v>11</v>
      </c>
      <c r="BF528" t="s">
        <v>11</v>
      </c>
      <c r="BG528" t="s">
        <v>11</v>
      </c>
      <c r="BH528" t="s">
        <v>3765</v>
      </c>
      <c r="BI528" t="s">
        <v>3762</v>
      </c>
      <c r="BJ528" t="s">
        <v>3766</v>
      </c>
      <c r="BK528" t="s">
        <v>3767</v>
      </c>
    </row>
    <row r="529" spans="1:63" x14ac:dyDescent="0.3">
      <c r="A529" t="s">
        <v>3768</v>
      </c>
      <c r="B529" t="s">
        <v>95</v>
      </c>
      <c r="C529" t="s">
        <v>3769</v>
      </c>
      <c r="D529" t="s">
        <v>3770</v>
      </c>
      <c r="E529" t="s">
        <v>3771</v>
      </c>
      <c r="F529">
        <v>563</v>
      </c>
      <c r="G529">
        <v>85.3</v>
      </c>
      <c r="I529">
        <v>9.9</v>
      </c>
      <c r="K529">
        <v>4.8</v>
      </c>
      <c r="AF529">
        <v>8.7829999999999995</v>
      </c>
      <c r="AI529" t="s">
        <v>0</v>
      </c>
      <c r="AJ529" t="s">
        <v>575</v>
      </c>
      <c r="AK529" t="s">
        <v>2446</v>
      </c>
      <c r="AL529" t="s">
        <v>11</v>
      </c>
      <c r="AM529" t="s">
        <v>11</v>
      </c>
      <c r="AN529" t="s">
        <v>11</v>
      </c>
      <c r="AO529" t="s">
        <v>11</v>
      </c>
      <c r="AP529" t="s">
        <v>11</v>
      </c>
      <c r="AQ529" t="s">
        <v>11</v>
      </c>
      <c r="AR529" t="s">
        <v>11</v>
      </c>
      <c r="AS529" t="s">
        <v>11</v>
      </c>
      <c r="AT529" t="s">
        <v>11</v>
      </c>
      <c r="AU529" t="s">
        <v>11</v>
      </c>
      <c r="AV529" t="s">
        <v>11</v>
      </c>
      <c r="AW529" t="s">
        <v>11</v>
      </c>
      <c r="AX529" t="s">
        <v>11</v>
      </c>
      <c r="AY529" t="s">
        <v>11</v>
      </c>
      <c r="AZ529" t="s">
        <v>11</v>
      </c>
      <c r="BA529" t="s">
        <v>11</v>
      </c>
      <c r="BB529" t="s">
        <v>11</v>
      </c>
      <c r="BC529" t="s">
        <v>11</v>
      </c>
      <c r="BD529" t="s">
        <v>11</v>
      </c>
      <c r="BE529" t="s">
        <v>11</v>
      </c>
      <c r="BF529" t="s">
        <v>11</v>
      </c>
      <c r="BG529" t="s">
        <v>11</v>
      </c>
      <c r="BH529" t="s">
        <v>3772</v>
      </c>
      <c r="BI529" t="s">
        <v>3768</v>
      </c>
      <c r="BJ529" t="s">
        <v>3773</v>
      </c>
      <c r="BK529" t="s">
        <v>3774</v>
      </c>
    </row>
    <row r="530" spans="1:63" x14ac:dyDescent="0.3">
      <c r="A530" t="s">
        <v>3775</v>
      </c>
      <c r="B530" t="s">
        <v>95</v>
      </c>
      <c r="C530" t="s">
        <v>3776</v>
      </c>
      <c r="D530" t="s">
        <v>3777</v>
      </c>
      <c r="E530" t="s">
        <v>3771</v>
      </c>
      <c r="F530">
        <v>564</v>
      </c>
      <c r="G530">
        <v>65.5</v>
      </c>
      <c r="H530">
        <v>20.2</v>
      </c>
      <c r="I530">
        <v>7.3</v>
      </c>
      <c r="K530">
        <v>7</v>
      </c>
      <c r="AF530">
        <v>9.1735160000000011</v>
      </c>
      <c r="AI530" t="s">
        <v>0</v>
      </c>
      <c r="AJ530" t="s">
        <v>547</v>
      </c>
      <c r="AK530" t="s">
        <v>538</v>
      </c>
      <c r="AL530" t="s">
        <v>2097</v>
      </c>
      <c r="AM530" t="s">
        <v>11</v>
      </c>
      <c r="AN530" t="s">
        <v>11</v>
      </c>
      <c r="AO530" t="s">
        <v>11</v>
      </c>
      <c r="AP530" t="s">
        <v>11</v>
      </c>
      <c r="AQ530" t="s">
        <v>11</v>
      </c>
      <c r="AR530" t="s">
        <v>11</v>
      </c>
      <c r="AS530" t="s">
        <v>11</v>
      </c>
      <c r="AT530" t="s">
        <v>11</v>
      </c>
      <c r="AU530" t="s">
        <v>11</v>
      </c>
      <c r="AV530" t="s">
        <v>11</v>
      </c>
      <c r="AW530" t="s">
        <v>11</v>
      </c>
      <c r="AX530" t="s">
        <v>11</v>
      </c>
      <c r="AY530" t="s">
        <v>11</v>
      </c>
      <c r="AZ530" t="s">
        <v>11</v>
      </c>
      <c r="BA530" t="s">
        <v>11</v>
      </c>
      <c r="BB530" t="s">
        <v>11</v>
      </c>
      <c r="BC530" t="s">
        <v>11</v>
      </c>
      <c r="BD530" t="s">
        <v>11</v>
      </c>
      <c r="BE530" t="s">
        <v>11</v>
      </c>
      <c r="BF530" t="s">
        <v>11</v>
      </c>
      <c r="BG530" t="s">
        <v>11</v>
      </c>
      <c r="BH530" t="s">
        <v>3778</v>
      </c>
      <c r="BI530" t="s">
        <v>3775</v>
      </c>
      <c r="BJ530" t="s">
        <v>3779</v>
      </c>
      <c r="BK530" t="s">
        <v>3780</v>
      </c>
    </row>
    <row r="531" spans="1:63" x14ac:dyDescent="0.3">
      <c r="A531" t="s">
        <v>3781</v>
      </c>
      <c r="B531" t="s">
        <v>95</v>
      </c>
      <c r="C531" t="s">
        <v>3782</v>
      </c>
      <c r="D531" t="s">
        <v>3783</v>
      </c>
      <c r="E531" t="s">
        <v>3784</v>
      </c>
      <c r="F531">
        <v>565</v>
      </c>
      <c r="G531">
        <v>80</v>
      </c>
      <c r="I531">
        <v>9</v>
      </c>
      <c r="K531">
        <v>9</v>
      </c>
      <c r="L531">
        <v>2</v>
      </c>
      <c r="AF531">
        <v>9.1856399999999994</v>
      </c>
      <c r="AI531" t="s">
        <v>0</v>
      </c>
      <c r="AJ531" t="s">
        <v>128</v>
      </c>
      <c r="AK531" t="s">
        <v>252</v>
      </c>
      <c r="AL531" t="s">
        <v>11</v>
      </c>
      <c r="AM531" t="s">
        <v>11</v>
      </c>
      <c r="AN531" t="s">
        <v>11</v>
      </c>
      <c r="AO531" t="s">
        <v>11</v>
      </c>
      <c r="AP531" t="s">
        <v>11</v>
      </c>
      <c r="AQ531" t="s">
        <v>25</v>
      </c>
      <c r="AR531" t="s">
        <v>11</v>
      </c>
      <c r="AS531" t="s">
        <v>11</v>
      </c>
      <c r="AT531" t="s">
        <v>11</v>
      </c>
      <c r="AU531" t="s">
        <v>11</v>
      </c>
      <c r="AV531" t="s">
        <v>11</v>
      </c>
      <c r="AW531" t="s">
        <v>11</v>
      </c>
      <c r="AX531" t="s">
        <v>11</v>
      </c>
      <c r="AY531" t="s">
        <v>11</v>
      </c>
      <c r="AZ531" t="s">
        <v>11</v>
      </c>
      <c r="BA531" t="s">
        <v>11</v>
      </c>
      <c r="BB531" t="s">
        <v>11</v>
      </c>
      <c r="BC531" t="s">
        <v>11</v>
      </c>
      <c r="BD531" t="s">
        <v>11</v>
      </c>
      <c r="BE531" t="s">
        <v>11</v>
      </c>
      <c r="BF531" t="s">
        <v>11</v>
      </c>
      <c r="BG531" t="s">
        <v>11</v>
      </c>
      <c r="BH531" t="s">
        <v>3785</v>
      </c>
      <c r="BI531" t="s">
        <v>3781</v>
      </c>
      <c r="BJ531" t="s">
        <v>3786</v>
      </c>
      <c r="BK531" t="s">
        <v>3787</v>
      </c>
    </row>
    <row r="532" spans="1:63" x14ac:dyDescent="0.3">
      <c r="A532" t="s">
        <v>641</v>
      </c>
      <c r="B532" t="s">
        <v>95</v>
      </c>
      <c r="C532" t="s">
        <v>642</v>
      </c>
      <c r="D532" t="s">
        <v>3680</v>
      </c>
      <c r="E532" t="s">
        <v>3784</v>
      </c>
      <c r="F532">
        <v>566</v>
      </c>
      <c r="G532">
        <v>82</v>
      </c>
      <c r="I532">
        <v>9</v>
      </c>
      <c r="K532">
        <v>9</v>
      </c>
      <c r="AF532">
        <v>9.2735000000000003</v>
      </c>
      <c r="AI532" t="s">
        <v>0</v>
      </c>
      <c r="AJ532" t="s">
        <v>128</v>
      </c>
      <c r="AK532" t="s">
        <v>252</v>
      </c>
      <c r="AL532" t="s">
        <v>11</v>
      </c>
      <c r="AM532" t="s">
        <v>11</v>
      </c>
      <c r="AN532" t="s">
        <v>11</v>
      </c>
      <c r="AO532" t="s">
        <v>11</v>
      </c>
      <c r="AP532" t="s">
        <v>11</v>
      </c>
      <c r="AQ532" t="s">
        <v>11</v>
      </c>
      <c r="AR532" t="s">
        <v>11</v>
      </c>
      <c r="AS532" t="s">
        <v>11</v>
      </c>
      <c r="AT532" t="s">
        <v>11</v>
      </c>
      <c r="AU532" t="s">
        <v>11</v>
      </c>
      <c r="AV532" t="s">
        <v>11</v>
      </c>
      <c r="AW532" t="s">
        <v>11</v>
      </c>
      <c r="AX532" t="s">
        <v>11</v>
      </c>
      <c r="AY532" t="s">
        <v>11</v>
      </c>
      <c r="AZ532" t="s">
        <v>11</v>
      </c>
      <c r="BA532" t="s">
        <v>11</v>
      </c>
      <c r="BB532" t="s">
        <v>11</v>
      </c>
      <c r="BC532" t="s">
        <v>11</v>
      </c>
      <c r="BD532" t="s">
        <v>11</v>
      </c>
      <c r="BE532" t="s">
        <v>11</v>
      </c>
      <c r="BF532" t="s">
        <v>11</v>
      </c>
      <c r="BG532" t="s">
        <v>11</v>
      </c>
      <c r="BH532" t="s">
        <v>3788</v>
      </c>
      <c r="BI532" t="s">
        <v>641</v>
      </c>
      <c r="BJ532" t="s">
        <v>647</v>
      </c>
      <c r="BK532" t="s">
        <v>648</v>
      </c>
    </row>
    <row r="533" spans="1:63" x14ac:dyDescent="0.3">
      <c r="A533" t="s">
        <v>3789</v>
      </c>
      <c r="B533" t="s">
        <v>95</v>
      </c>
      <c r="C533" t="s">
        <v>3790</v>
      </c>
      <c r="D533" t="s">
        <v>3791</v>
      </c>
      <c r="E533" t="s">
        <v>3784</v>
      </c>
      <c r="F533">
        <v>567</v>
      </c>
      <c r="G533">
        <v>80</v>
      </c>
      <c r="I533">
        <v>9</v>
      </c>
      <c r="J533">
        <v>2</v>
      </c>
      <c r="K533">
        <v>9</v>
      </c>
      <c r="AF533">
        <v>9.2393000000000001</v>
      </c>
      <c r="AI533" t="s">
        <v>0</v>
      </c>
      <c r="AJ533" t="s">
        <v>128</v>
      </c>
      <c r="AK533" t="s">
        <v>252</v>
      </c>
      <c r="AL533" t="s">
        <v>11</v>
      </c>
      <c r="AM533" t="s">
        <v>453</v>
      </c>
      <c r="AN533" t="s">
        <v>11</v>
      </c>
      <c r="AO533" t="s">
        <v>11</v>
      </c>
      <c r="AP533" t="s">
        <v>11</v>
      </c>
      <c r="AQ533" t="s">
        <v>11</v>
      </c>
      <c r="AR533" t="s">
        <v>11</v>
      </c>
      <c r="AS533" t="s">
        <v>11</v>
      </c>
      <c r="AT533" t="s">
        <v>11</v>
      </c>
      <c r="AU533" t="s">
        <v>11</v>
      </c>
      <c r="AV533" t="s">
        <v>11</v>
      </c>
      <c r="AW533" t="s">
        <v>11</v>
      </c>
      <c r="AX533" t="s">
        <v>11</v>
      </c>
      <c r="AY533" t="s">
        <v>11</v>
      </c>
      <c r="AZ533" t="s">
        <v>11</v>
      </c>
      <c r="BA533" t="s">
        <v>11</v>
      </c>
      <c r="BB533" t="s">
        <v>11</v>
      </c>
      <c r="BC533" t="s">
        <v>11</v>
      </c>
      <c r="BD533" t="s">
        <v>11</v>
      </c>
      <c r="BE533" t="s">
        <v>11</v>
      </c>
      <c r="BF533" t="s">
        <v>11</v>
      </c>
      <c r="BG533" t="s">
        <v>11</v>
      </c>
      <c r="BH533" t="s">
        <v>3792</v>
      </c>
      <c r="BI533" t="s">
        <v>3789</v>
      </c>
      <c r="BJ533" t="s">
        <v>3793</v>
      </c>
      <c r="BK533" t="s">
        <v>3794</v>
      </c>
    </row>
    <row r="534" spans="1:63" x14ac:dyDescent="0.3">
      <c r="A534" t="s">
        <v>3795</v>
      </c>
      <c r="B534" t="s">
        <v>95</v>
      </c>
      <c r="C534" t="s">
        <v>3796</v>
      </c>
      <c r="D534" t="s">
        <v>3797</v>
      </c>
      <c r="E534" t="s">
        <v>3784</v>
      </c>
      <c r="F534">
        <v>568</v>
      </c>
      <c r="G534">
        <v>80</v>
      </c>
      <c r="H534">
        <v>2</v>
      </c>
      <c r="I534">
        <v>9</v>
      </c>
      <c r="K534">
        <v>9</v>
      </c>
      <c r="AF534">
        <v>9.2736599999999996</v>
      </c>
      <c r="AI534" t="s">
        <v>0</v>
      </c>
      <c r="AJ534" t="s">
        <v>128</v>
      </c>
      <c r="AK534" t="s">
        <v>252</v>
      </c>
      <c r="AL534" t="s">
        <v>709</v>
      </c>
      <c r="AM534" t="s">
        <v>11</v>
      </c>
      <c r="AN534" t="s">
        <v>11</v>
      </c>
      <c r="AO534" t="s">
        <v>11</v>
      </c>
      <c r="AP534" t="s">
        <v>11</v>
      </c>
      <c r="AQ534" t="s">
        <v>11</v>
      </c>
      <c r="AR534" t="s">
        <v>11</v>
      </c>
      <c r="AS534" t="s">
        <v>11</v>
      </c>
      <c r="AT534" t="s">
        <v>11</v>
      </c>
      <c r="AU534" t="s">
        <v>11</v>
      </c>
      <c r="AV534" t="s">
        <v>11</v>
      </c>
      <c r="AW534" t="s">
        <v>11</v>
      </c>
      <c r="AX534" t="s">
        <v>11</v>
      </c>
      <c r="AY534" t="s">
        <v>11</v>
      </c>
      <c r="AZ534" t="s">
        <v>11</v>
      </c>
      <c r="BA534" t="s">
        <v>11</v>
      </c>
      <c r="BB534" t="s">
        <v>11</v>
      </c>
      <c r="BC534" t="s">
        <v>11</v>
      </c>
      <c r="BD534" t="s">
        <v>11</v>
      </c>
      <c r="BE534" t="s">
        <v>11</v>
      </c>
      <c r="BF534" t="s">
        <v>11</v>
      </c>
      <c r="BG534" t="s">
        <v>11</v>
      </c>
      <c r="BH534" t="s">
        <v>3798</v>
      </c>
      <c r="BI534" t="s">
        <v>3795</v>
      </c>
      <c r="BJ534" t="s">
        <v>3799</v>
      </c>
      <c r="BK534" t="s">
        <v>3800</v>
      </c>
    </row>
    <row r="535" spans="1:63" x14ac:dyDescent="0.3">
      <c r="A535" t="s">
        <v>3801</v>
      </c>
      <c r="B535" t="s">
        <v>95</v>
      </c>
      <c r="C535" t="s">
        <v>3802</v>
      </c>
      <c r="D535" t="s">
        <v>3803</v>
      </c>
      <c r="E535" t="s">
        <v>3784</v>
      </c>
      <c r="F535">
        <v>569</v>
      </c>
      <c r="G535">
        <v>80</v>
      </c>
      <c r="I535">
        <v>9</v>
      </c>
      <c r="K535">
        <v>9</v>
      </c>
      <c r="P535">
        <v>2</v>
      </c>
      <c r="AF535">
        <v>9.3010999999999981</v>
      </c>
      <c r="AI535" t="s">
        <v>0</v>
      </c>
      <c r="AJ535" t="s">
        <v>128</v>
      </c>
      <c r="AK535" t="s">
        <v>252</v>
      </c>
      <c r="AL535" t="s">
        <v>11</v>
      </c>
      <c r="AM535" t="s">
        <v>11</v>
      </c>
      <c r="AN535" t="s">
        <v>11</v>
      </c>
      <c r="AO535" t="s">
        <v>11</v>
      </c>
      <c r="AP535" t="s">
        <v>11</v>
      </c>
      <c r="AQ535" t="s">
        <v>11</v>
      </c>
      <c r="AR535" t="s">
        <v>798</v>
      </c>
      <c r="AS535" t="s">
        <v>11</v>
      </c>
      <c r="AT535" t="s">
        <v>11</v>
      </c>
      <c r="AU535" t="s">
        <v>11</v>
      </c>
      <c r="AV535" t="s">
        <v>11</v>
      </c>
      <c r="AW535" t="s">
        <v>11</v>
      </c>
      <c r="AX535" t="s">
        <v>11</v>
      </c>
      <c r="AY535" t="s">
        <v>11</v>
      </c>
      <c r="AZ535" t="s">
        <v>11</v>
      </c>
      <c r="BA535" t="s">
        <v>11</v>
      </c>
      <c r="BB535" t="s">
        <v>11</v>
      </c>
      <c r="BC535" t="s">
        <v>11</v>
      </c>
      <c r="BD535" t="s">
        <v>11</v>
      </c>
      <c r="BE535" t="s">
        <v>11</v>
      </c>
      <c r="BF535" t="s">
        <v>11</v>
      </c>
      <c r="BG535" t="s">
        <v>11</v>
      </c>
      <c r="BH535" t="s">
        <v>3804</v>
      </c>
      <c r="BI535" t="s">
        <v>3801</v>
      </c>
      <c r="BJ535" t="s">
        <v>3805</v>
      </c>
      <c r="BK535" t="s">
        <v>3806</v>
      </c>
    </row>
    <row r="536" spans="1:63" x14ac:dyDescent="0.3">
      <c r="A536" t="s">
        <v>3807</v>
      </c>
      <c r="B536" t="s">
        <v>95</v>
      </c>
      <c r="C536" t="s">
        <v>3808</v>
      </c>
      <c r="D536" t="s">
        <v>3809</v>
      </c>
      <c r="E536" t="s">
        <v>3784</v>
      </c>
      <c r="F536">
        <v>570</v>
      </c>
      <c r="G536">
        <v>80</v>
      </c>
      <c r="I536">
        <v>9</v>
      </c>
      <c r="K536">
        <v>9</v>
      </c>
      <c r="V536">
        <v>2</v>
      </c>
      <c r="AF536">
        <v>9.1420999999999992</v>
      </c>
      <c r="AI536" t="s">
        <v>0</v>
      </c>
      <c r="AJ536" t="s">
        <v>128</v>
      </c>
      <c r="AK536" t="s">
        <v>252</v>
      </c>
      <c r="AL536" t="s">
        <v>11</v>
      </c>
      <c r="AM536" t="s">
        <v>11</v>
      </c>
      <c r="AN536" t="s">
        <v>11</v>
      </c>
      <c r="AO536" t="s">
        <v>11</v>
      </c>
      <c r="AP536" t="s">
        <v>11</v>
      </c>
      <c r="AQ536" t="s">
        <v>11</v>
      </c>
      <c r="AR536" t="s">
        <v>11</v>
      </c>
      <c r="AS536" t="s">
        <v>11</v>
      </c>
      <c r="AT536" t="s">
        <v>11</v>
      </c>
      <c r="AU536" t="s">
        <v>11</v>
      </c>
      <c r="AV536" t="s">
        <v>11</v>
      </c>
      <c r="AW536" t="s">
        <v>11</v>
      </c>
      <c r="AX536" t="s">
        <v>414</v>
      </c>
      <c r="AY536" t="s">
        <v>11</v>
      </c>
      <c r="AZ536" t="s">
        <v>11</v>
      </c>
      <c r="BA536" t="s">
        <v>11</v>
      </c>
      <c r="BB536" t="s">
        <v>11</v>
      </c>
      <c r="BC536" t="s">
        <v>11</v>
      </c>
      <c r="BD536" t="s">
        <v>11</v>
      </c>
      <c r="BE536" t="s">
        <v>11</v>
      </c>
      <c r="BF536" t="s">
        <v>11</v>
      </c>
      <c r="BG536" t="s">
        <v>11</v>
      </c>
      <c r="BH536" t="s">
        <v>3810</v>
      </c>
      <c r="BI536" t="s">
        <v>3807</v>
      </c>
      <c r="BJ536" t="s">
        <v>3811</v>
      </c>
      <c r="BK536" t="s">
        <v>3812</v>
      </c>
    </row>
    <row r="537" spans="1:63" x14ac:dyDescent="0.3">
      <c r="A537" t="s">
        <v>3813</v>
      </c>
      <c r="B537" t="s">
        <v>95</v>
      </c>
      <c r="C537" t="s">
        <v>3814</v>
      </c>
      <c r="D537" t="s">
        <v>3815</v>
      </c>
      <c r="E537" t="s">
        <v>3784</v>
      </c>
      <c r="F537">
        <v>571</v>
      </c>
      <c r="G537">
        <v>80</v>
      </c>
      <c r="I537">
        <v>9</v>
      </c>
      <c r="K537">
        <v>9</v>
      </c>
      <c r="O537">
        <v>2</v>
      </c>
      <c r="AF537">
        <v>9.2177000000000007</v>
      </c>
      <c r="AI537" t="s">
        <v>0</v>
      </c>
      <c r="AJ537" t="s">
        <v>128</v>
      </c>
      <c r="AK537" t="s">
        <v>252</v>
      </c>
      <c r="AL537" t="s">
        <v>11</v>
      </c>
      <c r="AM537" t="s">
        <v>11</v>
      </c>
      <c r="AN537" t="s">
        <v>11</v>
      </c>
      <c r="AO537" t="s">
        <v>11</v>
      </c>
      <c r="AP537" t="s">
        <v>196</v>
      </c>
      <c r="AQ537" t="s">
        <v>11</v>
      </c>
      <c r="AR537" t="s">
        <v>11</v>
      </c>
      <c r="AS537" t="s">
        <v>11</v>
      </c>
      <c r="AT537" t="s">
        <v>11</v>
      </c>
      <c r="AU537" t="s">
        <v>11</v>
      </c>
      <c r="AV537" t="s">
        <v>11</v>
      </c>
      <c r="AW537" t="s">
        <v>11</v>
      </c>
      <c r="AX537" t="s">
        <v>11</v>
      </c>
      <c r="AY537" t="s">
        <v>11</v>
      </c>
      <c r="AZ537" t="s">
        <v>11</v>
      </c>
      <c r="BA537" t="s">
        <v>11</v>
      </c>
      <c r="BB537" t="s">
        <v>11</v>
      </c>
      <c r="BC537" t="s">
        <v>11</v>
      </c>
      <c r="BD537" t="s">
        <v>11</v>
      </c>
      <c r="BE537" t="s">
        <v>11</v>
      </c>
      <c r="BF537" t="s">
        <v>11</v>
      </c>
      <c r="BG537" t="s">
        <v>11</v>
      </c>
      <c r="BH537" t="s">
        <v>3816</v>
      </c>
      <c r="BI537" t="s">
        <v>3813</v>
      </c>
      <c r="BJ537" t="s">
        <v>3817</v>
      </c>
      <c r="BK537" t="s">
        <v>3818</v>
      </c>
    </row>
    <row r="538" spans="1:63" x14ac:dyDescent="0.3">
      <c r="A538" t="s">
        <v>3819</v>
      </c>
      <c r="B538" t="s">
        <v>95</v>
      </c>
      <c r="C538" t="s">
        <v>3820</v>
      </c>
      <c r="D538" t="s">
        <v>3821</v>
      </c>
      <c r="E538" t="s">
        <v>3784</v>
      </c>
      <c r="F538">
        <v>572</v>
      </c>
      <c r="G538">
        <v>80</v>
      </c>
      <c r="I538">
        <v>9</v>
      </c>
      <c r="K538">
        <v>9</v>
      </c>
      <c r="N538">
        <v>2</v>
      </c>
      <c r="AF538">
        <v>9.2668999999999997</v>
      </c>
      <c r="AI538" t="s">
        <v>0</v>
      </c>
      <c r="AJ538" t="s">
        <v>128</v>
      </c>
      <c r="AK538" t="s">
        <v>252</v>
      </c>
      <c r="AL538" t="s">
        <v>11</v>
      </c>
      <c r="AM538" t="s">
        <v>11</v>
      </c>
      <c r="AN538" t="s">
        <v>11</v>
      </c>
      <c r="AO538" t="s">
        <v>790</v>
      </c>
      <c r="AP538" t="s">
        <v>11</v>
      </c>
      <c r="AQ538" t="s">
        <v>11</v>
      </c>
      <c r="AR538" t="s">
        <v>11</v>
      </c>
      <c r="AS538" t="s">
        <v>11</v>
      </c>
      <c r="AT538" t="s">
        <v>11</v>
      </c>
      <c r="AU538" t="s">
        <v>11</v>
      </c>
      <c r="AV538" t="s">
        <v>11</v>
      </c>
      <c r="AW538" t="s">
        <v>11</v>
      </c>
      <c r="AX538" t="s">
        <v>11</v>
      </c>
      <c r="AY538" t="s">
        <v>11</v>
      </c>
      <c r="AZ538" t="s">
        <v>11</v>
      </c>
      <c r="BA538" t="s">
        <v>11</v>
      </c>
      <c r="BB538" t="s">
        <v>11</v>
      </c>
      <c r="BC538" t="s">
        <v>11</v>
      </c>
      <c r="BD538" t="s">
        <v>11</v>
      </c>
      <c r="BE538" t="s">
        <v>11</v>
      </c>
      <c r="BF538" t="s">
        <v>11</v>
      </c>
      <c r="BG538" t="s">
        <v>11</v>
      </c>
      <c r="BH538" t="s">
        <v>3822</v>
      </c>
      <c r="BI538" t="s">
        <v>3819</v>
      </c>
      <c r="BJ538" t="s">
        <v>3823</v>
      </c>
      <c r="BK538" t="s">
        <v>3824</v>
      </c>
    </row>
    <row r="539" spans="1:63" x14ac:dyDescent="0.3">
      <c r="A539" t="s">
        <v>3497</v>
      </c>
      <c r="B539" t="s">
        <v>95</v>
      </c>
      <c r="C539" t="s">
        <v>483</v>
      </c>
      <c r="D539" t="s">
        <v>3825</v>
      </c>
      <c r="E539" t="s">
        <v>3784</v>
      </c>
      <c r="F539">
        <v>573</v>
      </c>
      <c r="G539">
        <v>80</v>
      </c>
      <c r="I539">
        <v>9</v>
      </c>
      <c r="K539">
        <v>9</v>
      </c>
      <c r="M539">
        <v>2</v>
      </c>
      <c r="AF539">
        <v>9.4284999999999997</v>
      </c>
      <c r="AI539" t="s">
        <v>0</v>
      </c>
      <c r="AJ539" t="s">
        <v>128</v>
      </c>
      <c r="AK539" t="s">
        <v>252</v>
      </c>
      <c r="AL539" t="s">
        <v>11</v>
      </c>
      <c r="AM539" t="s">
        <v>11</v>
      </c>
      <c r="AN539" t="s">
        <v>24</v>
      </c>
      <c r="AO539" t="s">
        <v>11</v>
      </c>
      <c r="AP539" t="s">
        <v>11</v>
      </c>
      <c r="AQ539" t="s">
        <v>11</v>
      </c>
      <c r="AR539" t="s">
        <v>11</v>
      </c>
      <c r="AS539" t="s">
        <v>11</v>
      </c>
      <c r="AT539" t="s">
        <v>11</v>
      </c>
      <c r="AU539" t="s">
        <v>11</v>
      </c>
      <c r="AV539" t="s">
        <v>11</v>
      </c>
      <c r="AW539" t="s">
        <v>11</v>
      </c>
      <c r="AX539" t="s">
        <v>11</v>
      </c>
      <c r="AY539" t="s">
        <v>11</v>
      </c>
      <c r="AZ539" t="s">
        <v>11</v>
      </c>
      <c r="BA539" t="s">
        <v>11</v>
      </c>
      <c r="BB539" t="s">
        <v>11</v>
      </c>
      <c r="BC539" t="s">
        <v>11</v>
      </c>
      <c r="BD539" t="s">
        <v>11</v>
      </c>
      <c r="BE539" t="s">
        <v>11</v>
      </c>
      <c r="BF539" t="s">
        <v>11</v>
      </c>
      <c r="BG539" t="s">
        <v>11</v>
      </c>
      <c r="BH539" t="s">
        <v>3826</v>
      </c>
      <c r="BI539" t="s">
        <v>3497</v>
      </c>
      <c r="BJ539" t="s">
        <v>3500</v>
      </c>
      <c r="BK539" t="s">
        <v>3501</v>
      </c>
    </row>
    <row r="540" spans="1:63" x14ac:dyDescent="0.3">
      <c r="A540" t="s">
        <v>3827</v>
      </c>
      <c r="B540" t="s">
        <v>160</v>
      </c>
      <c r="C540" t="s">
        <v>3828</v>
      </c>
      <c r="D540" t="s">
        <v>3829</v>
      </c>
      <c r="E540" t="s">
        <v>3830</v>
      </c>
      <c r="F540">
        <v>574</v>
      </c>
      <c r="G540">
        <v>53</v>
      </c>
      <c r="H540">
        <v>15</v>
      </c>
      <c r="I540">
        <v>4</v>
      </c>
      <c r="J540">
        <v>5</v>
      </c>
      <c r="K540">
        <v>15</v>
      </c>
      <c r="M540">
        <v>8</v>
      </c>
      <c r="AF540">
        <v>10.7402</v>
      </c>
      <c r="AI540" t="s">
        <v>0</v>
      </c>
      <c r="AJ540" t="s">
        <v>3831</v>
      </c>
      <c r="AK540" t="s">
        <v>3832</v>
      </c>
      <c r="AL540" t="s">
        <v>678</v>
      </c>
      <c r="AM540" t="s">
        <v>1658</v>
      </c>
      <c r="AN540" t="s">
        <v>927</v>
      </c>
      <c r="AO540" t="s">
        <v>11</v>
      </c>
      <c r="AP540" t="s">
        <v>11</v>
      </c>
      <c r="AQ540" t="s">
        <v>11</v>
      </c>
      <c r="AR540" t="s">
        <v>11</v>
      </c>
      <c r="AS540" t="s">
        <v>11</v>
      </c>
      <c r="AT540" t="s">
        <v>11</v>
      </c>
      <c r="AU540" t="s">
        <v>11</v>
      </c>
      <c r="AV540" t="s">
        <v>11</v>
      </c>
      <c r="AW540" t="s">
        <v>11</v>
      </c>
      <c r="AX540" t="s">
        <v>11</v>
      </c>
      <c r="AY540" t="s">
        <v>11</v>
      </c>
      <c r="AZ540" t="s">
        <v>11</v>
      </c>
      <c r="BA540" t="s">
        <v>11</v>
      </c>
      <c r="BB540" t="s">
        <v>11</v>
      </c>
      <c r="BC540" t="s">
        <v>11</v>
      </c>
      <c r="BD540" t="s">
        <v>11</v>
      </c>
      <c r="BE540" t="s">
        <v>11</v>
      </c>
      <c r="BF540" t="s">
        <v>11</v>
      </c>
      <c r="BG540" t="s">
        <v>11</v>
      </c>
      <c r="BH540" t="s">
        <v>3833</v>
      </c>
      <c r="BI540" t="s">
        <v>3827</v>
      </c>
      <c r="BJ540" t="s">
        <v>3834</v>
      </c>
      <c r="BK540" t="s">
        <v>3835</v>
      </c>
    </row>
    <row r="541" spans="1:63" x14ac:dyDescent="0.3">
      <c r="A541" t="s">
        <v>3836</v>
      </c>
      <c r="B541" t="s">
        <v>160</v>
      </c>
      <c r="C541" t="s">
        <v>3837</v>
      </c>
      <c r="D541" t="s">
        <v>3838</v>
      </c>
      <c r="E541" t="s">
        <v>3839</v>
      </c>
      <c r="F541">
        <v>576</v>
      </c>
      <c r="G541">
        <v>80</v>
      </c>
      <c r="I541">
        <v>9</v>
      </c>
      <c r="K541">
        <v>7</v>
      </c>
      <c r="M541">
        <v>2</v>
      </c>
      <c r="Y541">
        <v>2</v>
      </c>
      <c r="AF541">
        <v>9.3096999999999994</v>
      </c>
      <c r="AI541" t="s">
        <v>0</v>
      </c>
      <c r="AJ541" t="s">
        <v>128</v>
      </c>
      <c r="AK541" t="s">
        <v>538</v>
      </c>
      <c r="AL541" t="s">
        <v>11</v>
      </c>
      <c r="AM541" t="s">
        <v>11</v>
      </c>
      <c r="AN541" t="s">
        <v>24</v>
      </c>
      <c r="AO541" t="s">
        <v>11</v>
      </c>
      <c r="AP541" t="s">
        <v>11</v>
      </c>
      <c r="AQ541" t="s">
        <v>11</v>
      </c>
      <c r="AR541" t="s">
        <v>11</v>
      </c>
      <c r="AS541" t="s">
        <v>11</v>
      </c>
      <c r="AT541" t="s">
        <v>11</v>
      </c>
      <c r="AU541" t="s">
        <v>11</v>
      </c>
      <c r="AV541" t="s">
        <v>11</v>
      </c>
      <c r="AW541" t="s">
        <v>11</v>
      </c>
      <c r="AX541" t="s">
        <v>11</v>
      </c>
      <c r="AY541" t="s">
        <v>11</v>
      </c>
      <c r="AZ541" t="s">
        <v>11</v>
      </c>
      <c r="BA541" t="s">
        <v>2664</v>
      </c>
      <c r="BB541" t="s">
        <v>11</v>
      </c>
      <c r="BC541" t="s">
        <v>11</v>
      </c>
      <c r="BD541" t="s">
        <v>11</v>
      </c>
      <c r="BE541" t="s">
        <v>11</v>
      </c>
      <c r="BF541" t="s">
        <v>11</v>
      </c>
      <c r="BG541" t="s">
        <v>11</v>
      </c>
      <c r="BH541" t="s">
        <v>3840</v>
      </c>
      <c r="BI541" t="s">
        <v>3836</v>
      </c>
      <c r="BJ541" t="s">
        <v>3841</v>
      </c>
      <c r="BK541" t="s">
        <v>3842</v>
      </c>
    </row>
    <row r="542" spans="1:63" x14ac:dyDescent="0.3">
      <c r="A542" t="s">
        <v>3843</v>
      </c>
      <c r="B542" t="s">
        <v>160</v>
      </c>
      <c r="C542" t="s">
        <v>3844</v>
      </c>
      <c r="D542" t="s">
        <v>3845</v>
      </c>
      <c r="E542" t="s">
        <v>3839</v>
      </c>
      <c r="F542">
        <v>577</v>
      </c>
      <c r="G542">
        <v>80</v>
      </c>
      <c r="I542">
        <v>9</v>
      </c>
      <c r="K542">
        <v>4</v>
      </c>
      <c r="M542">
        <v>2</v>
      </c>
      <c r="Y542">
        <v>5</v>
      </c>
      <c r="AF542">
        <v>9.1314999999999991</v>
      </c>
      <c r="AI542" t="s">
        <v>0</v>
      </c>
      <c r="AJ542" t="s">
        <v>128</v>
      </c>
      <c r="AK542" t="s">
        <v>462</v>
      </c>
      <c r="AL542" t="s">
        <v>11</v>
      </c>
      <c r="AM542" t="s">
        <v>11</v>
      </c>
      <c r="AN542" t="s">
        <v>24</v>
      </c>
      <c r="AO542" t="s">
        <v>11</v>
      </c>
      <c r="AP542" t="s">
        <v>11</v>
      </c>
      <c r="AQ542" t="s">
        <v>11</v>
      </c>
      <c r="AR542" t="s">
        <v>11</v>
      </c>
      <c r="AS542" t="s">
        <v>11</v>
      </c>
      <c r="AT542" t="s">
        <v>11</v>
      </c>
      <c r="AU542" t="s">
        <v>11</v>
      </c>
      <c r="AV542" t="s">
        <v>11</v>
      </c>
      <c r="AW542" t="s">
        <v>11</v>
      </c>
      <c r="AX542" t="s">
        <v>11</v>
      </c>
      <c r="AY542" t="s">
        <v>11</v>
      </c>
      <c r="AZ542" t="s">
        <v>11</v>
      </c>
      <c r="BA542" t="s">
        <v>3846</v>
      </c>
      <c r="BB542" t="s">
        <v>11</v>
      </c>
      <c r="BC542" t="s">
        <v>11</v>
      </c>
      <c r="BD542" t="s">
        <v>11</v>
      </c>
      <c r="BE542" t="s">
        <v>11</v>
      </c>
      <c r="BF542" t="s">
        <v>11</v>
      </c>
      <c r="BG542" t="s">
        <v>11</v>
      </c>
      <c r="BH542" t="s">
        <v>3847</v>
      </c>
      <c r="BI542" t="s">
        <v>3843</v>
      </c>
      <c r="BJ542" t="s">
        <v>3848</v>
      </c>
      <c r="BK542" t="s">
        <v>3849</v>
      </c>
    </row>
    <row r="543" spans="1:63" x14ac:dyDescent="0.3">
      <c r="A543" t="s">
        <v>3850</v>
      </c>
      <c r="B543" t="s">
        <v>160</v>
      </c>
      <c r="C543" t="s">
        <v>3851</v>
      </c>
      <c r="D543" t="s">
        <v>3852</v>
      </c>
      <c r="E543" t="s">
        <v>3839</v>
      </c>
      <c r="F543">
        <v>578</v>
      </c>
      <c r="G543">
        <v>80</v>
      </c>
      <c r="I543">
        <v>9</v>
      </c>
      <c r="K543">
        <v>3</v>
      </c>
      <c r="M543">
        <v>2</v>
      </c>
      <c r="Y543">
        <v>6</v>
      </c>
      <c r="AF543">
        <v>9.0720999999999989</v>
      </c>
      <c r="AI543" t="s">
        <v>0</v>
      </c>
      <c r="AJ543" t="s">
        <v>128</v>
      </c>
      <c r="AK543" t="s">
        <v>1498</v>
      </c>
      <c r="AL543" t="s">
        <v>11</v>
      </c>
      <c r="AM543" t="s">
        <v>11</v>
      </c>
      <c r="AN543" t="s">
        <v>24</v>
      </c>
      <c r="AO543" t="s">
        <v>11</v>
      </c>
      <c r="AP543" t="s">
        <v>11</v>
      </c>
      <c r="AQ543" t="s">
        <v>11</v>
      </c>
      <c r="AR543" t="s">
        <v>11</v>
      </c>
      <c r="AS543" t="s">
        <v>11</v>
      </c>
      <c r="AT543" t="s">
        <v>11</v>
      </c>
      <c r="AU543" t="s">
        <v>11</v>
      </c>
      <c r="AV543" t="s">
        <v>11</v>
      </c>
      <c r="AW543" t="s">
        <v>11</v>
      </c>
      <c r="AX543" t="s">
        <v>11</v>
      </c>
      <c r="AY543" t="s">
        <v>11</v>
      </c>
      <c r="AZ543" t="s">
        <v>11</v>
      </c>
      <c r="BA543" t="s">
        <v>3853</v>
      </c>
      <c r="BB543" t="s">
        <v>11</v>
      </c>
      <c r="BC543" t="s">
        <v>11</v>
      </c>
      <c r="BD543" t="s">
        <v>11</v>
      </c>
      <c r="BE543" t="s">
        <v>11</v>
      </c>
      <c r="BF543" t="s">
        <v>11</v>
      </c>
      <c r="BG543" t="s">
        <v>11</v>
      </c>
      <c r="BH543" t="s">
        <v>3854</v>
      </c>
      <c r="BI543" t="s">
        <v>3850</v>
      </c>
      <c r="BJ543" t="s">
        <v>3855</v>
      </c>
      <c r="BK543" t="s">
        <v>3856</v>
      </c>
    </row>
    <row r="544" spans="1:63" x14ac:dyDescent="0.3">
      <c r="A544" t="s">
        <v>3857</v>
      </c>
      <c r="B544" t="s">
        <v>5</v>
      </c>
      <c r="C544" t="s">
        <v>3858</v>
      </c>
      <c r="D544" t="s">
        <v>3859</v>
      </c>
      <c r="E544" t="s">
        <v>3839</v>
      </c>
      <c r="F544">
        <v>579</v>
      </c>
      <c r="G544">
        <v>80</v>
      </c>
      <c r="I544">
        <v>9</v>
      </c>
      <c r="M544">
        <v>2</v>
      </c>
      <c r="Y544">
        <v>9</v>
      </c>
      <c r="AF544">
        <v>8.8938999999999986</v>
      </c>
      <c r="AI544" t="s">
        <v>0</v>
      </c>
      <c r="AJ544" t="s">
        <v>128</v>
      </c>
      <c r="AK544" t="s">
        <v>11</v>
      </c>
      <c r="AL544" t="s">
        <v>11</v>
      </c>
      <c r="AM544" t="s">
        <v>11</v>
      </c>
      <c r="AN544" t="s">
        <v>24</v>
      </c>
      <c r="AO544" t="s">
        <v>11</v>
      </c>
      <c r="AP544" t="s">
        <v>11</v>
      </c>
      <c r="AQ544" t="s">
        <v>11</v>
      </c>
      <c r="AR544" t="s">
        <v>11</v>
      </c>
      <c r="AS544" t="s">
        <v>11</v>
      </c>
      <c r="AT544" t="s">
        <v>11</v>
      </c>
      <c r="AU544" t="s">
        <v>11</v>
      </c>
      <c r="AV544" t="s">
        <v>11</v>
      </c>
      <c r="AW544" t="s">
        <v>11</v>
      </c>
      <c r="AX544" t="s">
        <v>11</v>
      </c>
      <c r="AY544" t="s">
        <v>11</v>
      </c>
      <c r="AZ544" t="s">
        <v>11</v>
      </c>
      <c r="BA544" t="s">
        <v>3860</v>
      </c>
      <c r="BB544" t="s">
        <v>11</v>
      </c>
      <c r="BC544" t="s">
        <v>11</v>
      </c>
      <c r="BD544" t="s">
        <v>11</v>
      </c>
      <c r="BE544" t="s">
        <v>11</v>
      </c>
      <c r="BF544" t="s">
        <v>11</v>
      </c>
      <c r="BG544" t="s">
        <v>11</v>
      </c>
      <c r="BH544" t="s">
        <v>3861</v>
      </c>
      <c r="BI544" t="s">
        <v>3857</v>
      </c>
      <c r="BJ544" t="s">
        <v>3862</v>
      </c>
      <c r="BK544" t="s">
        <v>3863</v>
      </c>
    </row>
    <row r="545" spans="1:63" x14ac:dyDescent="0.3">
      <c r="A545" t="s">
        <v>3864</v>
      </c>
      <c r="B545" t="s">
        <v>95</v>
      </c>
      <c r="C545" t="s">
        <v>135</v>
      </c>
      <c r="D545" t="s">
        <v>3865</v>
      </c>
      <c r="E545" t="s">
        <v>3866</v>
      </c>
      <c r="F545">
        <v>580</v>
      </c>
      <c r="G545">
        <v>80.8</v>
      </c>
      <c r="I545">
        <v>8.4</v>
      </c>
      <c r="K545">
        <v>8.9</v>
      </c>
      <c r="M545">
        <v>1.9</v>
      </c>
      <c r="AF545">
        <v>9.4475999999999996</v>
      </c>
      <c r="AG545">
        <v>10.2416</v>
      </c>
      <c r="AI545" t="s">
        <v>0</v>
      </c>
      <c r="AJ545" t="s">
        <v>118</v>
      </c>
      <c r="AK545" t="s">
        <v>556</v>
      </c>
      <c r="AL545" t="s">
        <v>11</v>
      </c>
      <c r="AM545" t="s">
        <v>11</v>
      </c>
      <c r="AN545" t="s">
        <v>74</v>
      </c>
      <c r="AO545" t="s">
        <v>11</v>
      </c>
      <c r="AP545" t="s">
        <v>11</v>
      </c>
      <c r="AQ545" t="s">
        <v>11</v>
      </c>
      <c r="AR545" t="s">
        <v>11</v>
      </c>
      <c r="AS545" t="s">
        <v>11</v>
      </c>
      <c r="AT545" t="s">
        <v>11</v>
      </c>
      <c r="AU545" t="s">
        <v>11</v>
      </c>
      <c r="AV545" t="s">
        <v>11</v>
      </c>
      <c r="AW545" t="s">
        <v>11</v>
      </c>
      <c r="AX545" t="s">
        <v>11</v>
      </c>
      <c r="AY545" t="s">
        <v>11</v>
      </c>
      <c r="AZ545" t="s">
        <v>11</v>
      </c>
      <c r="BA545" t="s">
        <v>11</v>
      </c>
      <c r="BB545" t="s">
        <v>11</v>
      </c>
      <c r="BC545" t="s">
        <v>11</v>
      </c>
      <c r="BD545" t="s">
        <v>11</v>
      </c>
      <c r="BE545" t="s">
        <v>11</v>
      </c>
      <c r="BF545" t="s">
        <v>11</v>
      </c>
      <c r="BG545" t="s">
        <v>11</v>
      </c>
      <c r="BH545" t="s">
        <v>3867</v>
      </c>
      <c r="BI545" t="s">
        <v>3864</v>
      </c>
      <c r="BJ545" t="s">
        <v>3868</v>
      </c>
      <c r="BK545" t="s">
        <v>3869</v>
      </c>
    </row>
    <row r="546" spans="1:63" x14ac:dyDescent="0.3">
      <c r="A546" t="s">
        <v>3870</v>
      </c>
      <c r="B546" t="s">
        <v>514</v>
      </c>
      <c r="C546" t="s">
        <v>3871</v>
      </c>
      <c r="D546" t="s">
        <v>3872</v>
      </c>
      <c r="E546" t="s">
        <v>3873</v>
      </c>
      <c r="F546">
        <v>581</v>
      </c>
      <c r="G546">
        <v>38</v>
      </c>
      <c r="H546">
        <v>38</v>
      </c>
      <c r="I546">
        <v>9</v>
      </c>
      <c r="J546">
        <v>6</v>
      </c>
      <c r="K546">
        <v>2</v>
      </c>
      <c r="L546">
        <v>5</v>
      </c>
      <c r="M546">
        <v>1</v>
      </c>
      <c r="P546">
        <v>1</v>
      </c>
      <c r="AF546">
        <v>8.3210899999999981</v>
      </c>
      <c r="AI546" t="s">
        <v>0</v>
      </c>
      <c r="AJ546" t="s">
        <v>128</v>
      </c>
      <c r="AK546" t="s">
        <v>62</v>
      </c>
      <c r="AL546" t="s">
        <v>3584</v>
      </c>
      <c r="AM546" t="s">
        <v>2195</v>
      </c>
      <c r="AN546" t="s">
        <v>471</v>
      </c>
      <c r="AO546" t="s">
        <v>11</v>
      </c>
      <c r="AP546" t="s">
        <v>11</v>
      </c>
      <c r="AQ546" t="s">
        <v>1145</v>
      </c>
      <c r="AR546" t="s">
        <v>1561</v>
      </c>
      <c r="AS546" t="s">
        <v>11</v>
      </c>
      <c r="AT546" t="s">
        <v>11</v>
      </c>
      <c r="AU546" t="s">
        <v>11</v>
      </c>
      <c r="AV546" t="s">
        <v>11</v>
      </c>
      <c r="AW546" t="s">
        <v>11</v>
      </c>
      <c r="AX546" t="s">
        <v>11</v>
      </c>
      <c r="AY546" t="s">
        <v>11</v>
      </c>
      <c r="AZ546" t="s">
        <v>11</v>
      </c>
      <c r="BA546" t="s">
        <v>11</v>
      </c>
      <c r="BB546" t="s">
        <v>11</v>
      </c>
      <c r="BC546" t="s">
        <v>11</v>
      </c>
      <c r="BD546" t="s">
        <v>11</v>
      </c>
      <c r="BE546" t="s">
        <v>11</v>
      </c>
      <c r="BF546" t="s">
        <v>11</v>
      </c>
      <c r="BG546" t="s">
        <v>11</v>
      </c>
      <c r="BH546" t="s">
        <v>3874</v>
      </c>
      <c r="BI546" t="s">
        <v>3870</v>
      </c>
      <c r="BJ546" t="s">
        <v>3875</v>
      </c>
      <c r="BK546" t="s">
        <v>3876</v>
      </c>
    </row>
    <row r="547" spans="1:63" x14ac:dyDescent="0.3">
      <c r="A547" t="s">
        <v>3877</v>
      </c>
      <c r="B547" t="s">
        <v>514</v>
      </c>
      <c r="C547" t="s">
        <v>3878</v>
      </c>
      <c r="D547" t="s">
        <v>3879</v>
      </c>
      <c r="E547" t="s">
        <v>3873</v>
      </c>
      <c r="F547">
        <v>582</v>
      </c>
      <c r="G547">
        <v>38</v>
      </c>
      <c r="H547">
        <v>35</v>
      </c>
      <c r="I547">
        <v>13</v>
      </c>
      <c r="J547">
        <v>6</v>
      </c>
      <c r="K547">
        <v>2</v>
      </c>
      <c r="L547">
        <v>5</v>
      </c>
      <c r="M547">
        <v>1</v>
      </c>
      <c r="AF547">
        <v>8.0590499999999992</v>
      </c>
      <c r="AI547" t="s">
        <v>0</v>
      </c>
      <c r="AJ547" t="s">
        <v>3880</v>
      </c>
      <c r="AK547" t="s">
        <v>62</v>
      </c>
      <c r="AL547" t="s">
        <v>692</v>
      </c>
      <c r="AM547" t="s">
        <v>2195</v>
      </c>
      <c r="AN547" t="s">
        <v>471</v>
      </c>
      <c r="AO547" t="s">
        <v>11</v>
      </c>
      <c r="AP547" t="s">
        <v>11</v>
      </c>
      <c r="AQ547" t="s">
        <v>1145</v>
      </c>
      <c r="AR547" t="s">
        <v>11</v>
      </c>
      <c r="AS547" t="s">
        <v>11</v>
      </c>
      <c r="AT547" t="s">
        <v>11</v>
      </c>
      <c r="AU547" t="s">
        <v>11</v>
      </c>
      <c r="AV547" t="s">
        <v>11</v>
      </c>
      <c r="AW547" t="s">
        <v>11</v>
      </c>
      <c r="AX547" t="s">
        <v>11</v>
      </c>
      <c r="AY547" t="s">
        <v>11</v>
      </c>
      <c r="AZ547" t="s">
        <v>11</v>
      </c>
      <c r="BA547" t="s">
        <v>11</v>
      </c>
      <c r="BB547" t="s">
        <v>11</v>
      </c>
      <c r="BC547" t="s">
        <v>11</v>
      </c>
      <c r="BD547" t="s">
        <v>11</v>
      </c>
      <c r="BE547" t="s">
        <v>11</v>
      </c>
      <c r="BF547" t="s">
        <v>11</v>
      </c>
      <c r="BG547" t="s">
        <v>11</v>
      </c>
      <c r="BH547" t="s">
        <v>3881</v>
      </c>
      <c r="BI547" t="s">
        <v>3877</v>
      </c>
      <c r="BJ547" t="s">
        <v>3882</v>
      </c>
      <c r="BK547" t="s">
        <v>3883</v>
      </c>
    </row>
    <row r="548" spans="1:63" x14ac:dyDescent="0.3">
      <c r="A548" t="s">
        <v>3884</v>
      </c>
      <c r="B548" t="s">
        <v>95</v>
      </c>
      <c r="C548" t="s">
        <v>706</v>
      </c>
      <c r="D548" t="s">
        <v>3885</v>
      </c>
      <c r="E548" t="s">
        <v>3886</v>
      </c>
      <c r="F548">
        <v>583</v>
      </c>
      <c r="G548">
        <v>81.5</v>
      </c>
      <c r="H548">
        <v>2</v>
      </c>
      <c r="I548">
        <v>9</v>
      </c>
      <c r="K548">
        <v>7.5</v>
      </c>
      <c r="AF548">
        <v>9.1184100000000008</v>
      </c>
      <c r="AH548" t="s">
        <v>3887</v>
      </c>
      <c r="AI548" t="s">
        <v>0</v>
      </c>
      <c r="AJ548" t="s">
        <v>128</v>
      </c>
      <c r="AK548" t="s">
        <v>195</v>
      </c>
      <c r="AL548" t="s">
        <v>709</v>
      </c>
      <c r="AM548" t="s">
        <v>11</v>
      </c>
      <c r="AN548" t="s">
        <v>11</v>
      </c>
      <c r="AO548" t="s">
        <v>11</v>
      </c>
      <c r="AP548" t="s">
        <v>11</v>
      </c>
      <c r="AQ548" t="s">
        <v>11</v>
      </c>
      <c r="AR548" t="s">
        <v>11</v>
      </c>
      <c r="AS548" t="s">
        <v>11</v>
      </c>
      <c r="AT548" t="s">
        <v>11</v>
      </c>
      <c r="AU548" t="s">
        <v>11</v>
      </c>
      <c r="AV548" t="s">
        <v>11</v>
      </c>
      <c r="AW548" t="s">
        <v>11</v>
      </c>
      <c r="AX548" t="s">
        <v>11</v>
      </c>
      <c r="AY548" t="s">
        <v>11</v>
      </c>
      <c r="AZ548" t="s">
        <v>11</v>
      </c>
      <c r="BA548" t="s">
        <v>11</v>
      </c>
      <c r="BB548" t="s">
        <v>11</v>
      </c>
      <c r="BC548" t="s">
        <v>11</v>
      </c>
      <c r="BD548" t="s">
        <v>11</v>
      </c>
      <c r="BE548" t="s">
        <v>11</v>
      </c>
      <c r="BF548" t="s">
        <v>11</v>
      </c>
      <c r="BG548" t="s">
        <v>11</v>
      </c>
      <c r="BH548" t="s">
        <v>3888</v>
      </c>
      <c r="BI548" t="s">
        <v>3884</v>
      </c>
      <c r="BJ548" t="s">
        <v>3889</v>
      </c>
      <c r="BK548" t="s">
        <v>3890</v>
      </c>
    </row>
    <row r="549" spans="1:63" x14ac:dyDescent="0.3">
      <c r="A549" t="s">
        <v>3891</v>
      </c>
      <c r="B549" t="s">
        <v>95</v>
      </c>
      <c r="C549" t="s">
        <v>3892</v>
      </c>
      <c r="D549" t="s">
        <v>3893</v>
      </c>
      <c r="E549" t="s">
        <v>3894</v>
      </c>
      <c r="F549">
        <v>584</v>
      </c>
      <c r="G549">
        <v>77</v>
      </c>
      <c r="I549">
        <v>9</v>
      </c>
      <c r="K549">
        <v>10</v>
      </c>
      <c r="L549">
        <v>4</v>
      </c>
      <c r="AF549">
        <v>9.2012800000000006</v>
      </c>
      <c r="AI549" t="s">
        <v>0</v>
      </c>
      <c r="AJ549" t="s">
        <v>128</v>
      </c>
      <c r="AK549" t="s">
        <v>677</v>
      </c>
      <c r="AL549" t="s">
        <v>11</v>
      </c>
      <c r="AM549" t="s">
        <v>11</v>
      </c>
      <c r="AN549" t="s">
        <v>11</v>
      </c>
      <c r="AO549" t="s">
        <v>11</v>
      </c>
      <c r="AP549" t="s">
        <v>11</v>
      </c>
      <c r="AQ549" t="s">
        <v>1659</v>
      </c>
      <c r="AR549" t="s">
        <v>11</v>
      </c>
      <c r="AS549" t="s">
        <v>11</v>
      </c>
      <c r="AT549" t="s">
        <v>11</v>
      </c>
      <c r="AU549" t="s">
        <v>11</v>
      </c>
      <c r="AV549" t="s">
        <v>11</v>
      </c>
      <c r="AW549" t="s">
        <v>11</v>
      </c>
      <c r="AX549" t="s">
        <v>11</v>
      </c>
      <c r="AY549" t="s">
        <v>11</v>
      </c>
      <c r="AZ549" t="s">
        <v>11</v>
      </c>
      <c r="BA549" t="s">
        <v>11</v>
      </c>
      <c r="BB549" t="s">
        <v>11</v>
      </c>
      <c r="BC549" t="s">
        <v>11</v>
      </c>
      <c r="BD549" t="s">
        <v>11</v>
      </c>
      <c r="BE549" t="s">
        <v>11</v>
      </c>
      <c r="BF549" t="s">
        <v>11</v>
      </c>
      <c r="BG549" t="s">
        <v>11</v>
      </c>
      <c r="BH549" t="s">
        <v>3895</v>
      </c>
      <c r="BI549" t="s">
        <v>3891</v>
      </c>
      <c r="BJ549" t="s">
        <v>3896</v>
      </c>
      <c r="BK549" t="s">
        <v>3897</v>
      </c>
    </row>
    <row r="550" spans="1:63" x14ac:dyDescent="0.3">
      <c r="A550" t="s">
        <v>3898</v>
      </c>
      <c r="B550" t="s">
        <v>95</v>
      </c>
      <c r="C550" t="s">
        <v>2594</v>
      </c>
      <c r="D550" t="s">
        <v>3899</v>
      </c>
      <c r="E550" t="s">
        <v>3894</v>
      </c>
      <c r="F550">
        <v>585</v>
      </c>
      <c r="G550">
        <v>79</v>
      </c>
      <c r="I550">
        <v>9</v>
      </c>
      <c r="K550">
        <v>10</v>
      </c>
      <c r="L550">
        <v>2</v>
      </c>
      <c r="AF550">
        <v>9.2891399999999997</v>
      </c>
      <c r="AI550" t="s">
        <v>0</v>
      </c>
      <c r="AJ550" t="s">
        <v>128</v>
      </c>
      <c r="AK550" t="s">
        <v>677</v>
      </c>
      <c r="AL550" t="s">
        <v>11</v>
      </c>
      <c r="AM550" t="s">
        <v>11</v>
      </c>
      <c r="AN550" t="s">
        <v>11</v>
      </c>
      <c r="AO550" t="s">
        <v>11</v>
      </c>
      <c r="AP550" t="s">
        <v>11</v>
      </c>
      <c r="AQ550" t="s">
        <v>25</v>
      </c>
      <c r="AR550" t="s">
        <v>11</v>
      </c>
      <c r="AS550" t="s">
        <v>11</v>
      </c>
      <c r="AT550" t="s">
        <v>11</v>
      </c>
      <c r="AU550" t="s">
        <v>11</v>
      </c>
      <c r="AV550" t="s">
        <v>11</v>
      </c>
      <c r="AW550" t="s">
        <v>11</v>
      </c>
      <c r="AX550" t="s">
        <v>11</v>
      </c>
      <c r="AY550" t="s">
        <v>11</v>
      </c>
      <c r="AZ550" t="s">
        <v>11</v>
      </c>
      <c r="BA550" t="s">
        <v>11</v>
      </c>
      <c r="BB550" t="s">
        <v>11</v>
      </c>
      <c r="BC550" t="s">
        <v>11</v>
      </c>
      <c r="BD550" t="s">
        <v>11</v>
      </c>
      <c r="BE550" t="s">
        <v>11</v>
      </c>
      <c r="BF550" t="s">
        <v>11</v>
      </c>
      <c r="BG550" t="s">
        <v>11</v>
      </c>
      <c r="BH550" t="s">
        <v>3900</v>
      </c>
      <c r="BI550" t="s">
        <v>3898</v>
      </c>
      <c r="BJ550" t="s">
        <v>3901</v>
      </c>
      <c r="BK550" t="s">
        <v>3902</v>
      </c>
    </row>
    <row r="551" spans="1:63" x14ac:dyDescent="0.3">
      <c r="A551" t="s">
        <v>2600</v>
      </c>
      <c r="B551" t="s">
        <v>95</v>
      </c>
      <c r="C551" t="s">
        <v>332</v>
      </c>
      <c r="D551" t="s">
        <v>3903</v>
      </c>
      <c r="E551" t="s">
        <v>3894</v>
      </c>
      <c r="F551">
        <v>586</v>
      </c>
      <c r="G551">
        <v>81</v>
      </c>
      <c r="I551">
        <v>9</v>
      </c>
      <c r="K551">
        <v>10</v>
      </c>
      <c r="AF551">
        <v>9.3769999999999989</v>
      </c>
      <c r="AI551" t="s">
        <v>0</v>
      </c>
      <c r="AJ551" t="s">
        <v>128</v>
      </c>
      <c r="AK551" t="s">
        <v>677</v>
      </c>
      <c r="AL551" t="s">
        <v>11</v>
      </c>
      <c r="AM551" t="s">
        <v>11</v>
      </c>
      <c r="AN551" t="s">
        <v>11</v>
      </c>
      <c r="AO551" t="s">
        <v>11</v>
      </c>
      <c r="AP551" t="s">
        <v>11</v>
      </c>
      <c r="AQ551" t="s">
        <v>11</v>
      </c>
      <c r="AR551" t="s">
        <v>11</v>
      </c>
      <c r="AS551" t="s">
        <v>11</v>
      </c>
      <c r="AT551" t="s">
        <v>11</v>
      </c>
      <c r="AU551" t="s">
        <v>11</v>
      </c>
      <c r="AV551" t="s">
        <v>11</v>
      </c>
      <c r="AW551" t="s">
        <v>11</v>
      </c>
      <c r="AX551" t="s">
        <v>11</v>
      </c>
      <c r="AY551" t="s">
        <v>11</v>
      </c>
      <c r="AZ551" t="s">
        <v>11</v>
      </c>
      <c r="BA551" t="s">
        <v>11</v>
      </c>
      <c r="BB551" t="s">
        <v>11</v>
      </c>
      <c r="BC551" t="s">
        <v>11</v>
      </c>
      <c r="BD551" t="s">
        <v>11</v>
      </c>
      <c r="BE551" t="s">
        <v>11</v>
      </c>
      <c r="BF551" t="s">
        <v>11</v>
      </c>
      <c r="BG551" t="s">
        <v>11</v>
      </c>
      <c r="BH551" t="s">
        <v>3904</v>
      </c>
      <c r="BI551" t="s">
        <v>2600</v>
      </c>
      <c r="BJ551" t="s">
        <v>2602</v>
      </c>
      <c r="BK551" t="s">
        <v>2603</v>
      </c>
    </row>
    <row r="552" spans="1:63" x14ac:dyDescent="0.3">
      <c r="A552" t="s">
        <v>3905</v>
      </c>
      <c r="B552" t="s">
        <v>95</v>
      </c>
      <c r="C552" t="s">
        <v>2605</v>
      </c>
      <c r="D552" t="s">
        <v>3906</v>
      </c>
      <c r="E552" t="s">
        <v>3894</v>
      </c>
      <c r="F552">
        <v>587</v>
      </c>
      <c r="G552">
        <v>79</v>
      </c>
      <c r="I552">
        <v>9</v>
      </c>
      <c r="K552">
        <v>10</v>
      </c>
      <c r="O552">
        <v>2</v>
      </c>
      <c r="AF552">
        <v>9.3211999999999993</v>
      </c>
      <c r="AI552" t="s">
        <v>0</v>
      </c>
      <c r="AJ552" t="s">
        <v>128</v>
      </c>
      <c r="AK552" t="s">
        <v>677</v>
      </c>
      <c r="AL552" t="s">
        <v>11</v>
      </c>
      <c r="AM552" t="s">
        <v>11</v>
      </c>
      <c r="AN552" t="s">
        <v>11</v>
      </c>
      <c r="AO552" t="s">
        <v>11</v>
      </c>
      <c r="AP552" t="s">
        <v>196</v>
      </c>
      <c r="AQ552" t="s">
        <v>11</v>
      </c>
      <c r="AR552" t="s">
        <v>11</v>
      </c>
      <c r="AS552" t="s">
        <v>11</v>
      </c>
      <c r="AT552" t="s">
        <v>11</v>
      </c>
      <c r="AU552" t="s">
        <v>11</v>
      </c>
      <c r="AV552" t="s">
        <v>11</v>
      </c>
      <c r="AW552" t="s">
        <v>11</v>
      </c>
      <c r="AX552" t="s">
        <v>11</v>
      </c>
      <c r="AY552" t="s">
        <v>11</v>
      </c>
      <c r="AZ552" t="s">
        <v>11</v>
      </c>
      <c r="BA552" t="s">
        <v>11</v>
      </c>
      <c r="BB552" t="s">
        <v>11</v>
      </c>
      <c r="BC552" t="s">
        <v>11</v>
      </c>
      <c r="BD552" t="s">
        <v>11</v>
      </c>
      <c r="BE552" t="s">
        <v>11</v>
      </c>
      <c r="BF552" t="s">
        <v>11</v>
      </c>
      <c r="BG552" t="s">
        <v>11</v>
      </c>
      <c r="BH552" t="s">
        <v>3907</v>
      </c>
      <c r="BI552" t="s">
        <v>3905</v>
      </c>
      <c r="BJ552" t="s">
        <v>3908</v>
      </c>
      <c r="BK552" t="s">
        <v>3909</v>
      </c>
    </row>
    <row r="553" spans="1:63" x14ac:dyDescent="0.3">
      <c r="A553" t="s">
        <v>3910</v>
      </c>
      <c r="B553" t="s">
        <v>95</v>
      </c>
      <c r="C553" t="s">
        <v>3911</v>
      </c>
      <c r="D553" t="s">
        <v>3912</v>
      </c>
      <c r="E553" t="s">
        <v>3894</v>
      </c>
      <c r="F553">
        <v>588</v>
      </c>
      <c r="G553">
        <v>77</v>
      </c>
      <c r="I553">
        <v>9</v>
      </c>
      <c r="K553">
        <v>10</v>
      </c>
      <c r="O553">
        <v>4</v>
      </c>
      <c r="AF553">
        <v>9.2654000000000014</v>
      </c>
      <c r="AI553" t="s">
        <v>0</v>
      </c>
      <c r="AJ553" t="s">
        <v>128</v>
      </c>
      <c r="AK553" t="s">
        <v>677</v>
      </c>
      <c r="AL553" t="s">
        <v>11</v>
      </c>
      <c r="AM553" t="s">
        <v>11</v>
      </c>
      <c r="AN553" t="s">
        <v>11</v>
      </c>
      <c r="AO553" t="s">
        <v>11</v>
      </c>
      <c r="AP553" t="s">
        <v>3913</v>
      </c>
      <c r="AQ553" t="s">
        <v>11</v>
      </c>
      <c r="AR553" t="s">
        <v>11</v>
      </c>
      <c r="AS553" t="s">
        <v>11</v>
      </c>
      <c r="AT553" t="s">
        <v>11</v>
      </c>
      <c r="AU553" t="s">
        <v>11</v>
      </c>
      <c r="AV553" t="s">
        <v>11</v>
      </c>
      <c r="AW553" t="s">
        <v>11</v>
      </c>
      <c r="AX553" t="s">
        <v>11</v>
      </c>
      <c r="AY553" t="s">
        <v>11</v>
      </c>
      <c r="AZ553" t="s">
        <v>11</v>
      </c>
      <c r="BA553" t="s">
        <v>11</v>
      </c>
      <c r="BB553" t="s">
        <v>11</v>
      </c>
      <c r="BC553" t="s">
        <v>11</v>
      </c>
      <c r="BD553" t="s">
        <v>11</v>
      </c>
      <c r="BE553" t="s">
        <v>11</v>
      </c>
      <c r="BF553" t="s">
        <v>11</v>
      </c>
      <c r="BG553" t="s">
        <v>11</v>
      </c>
      <c r="BH553" t="s">
        <v>3914</v>
      </c>
      <c r="BI553" t="s">
        <v>3910</v>
      </c>
      <c r="BJ553" t="s">
        <v>3915</v>
      </c>
      <c r="BK553" t="s">
        <v>3916</v>
      </c>
    </row>
    <row r="554" spans="1:63" x14ac:dyDescent="0.3">
      <c r="A554" t="s">
        <v>3917</v>
      </c>
      <c r="B554" t="s">
        <v>95</v>
      </c>
      <c r="C554" t="s">
        <v>2624</v>
      </c>
      <c r="D554" t="s">
        <v>1484</v>
      </c>
      <c r="E554" t="s">
        <v>3894</v>
      </c>
      <c r="F554">
        <v>589</v>
      </c>
      <c r="G554">
        <v>79</v>
      </c>
      <c r="I554">
        <v>9</v>
      </c>
      <c r="K554">
        <v>10</v>
      </c>
      <c r="P554">
        <v>2</v>
      </c>
      <c r="AF554">
        <v>9.4045999999999985</v>
      </c>
      <c r="AI554" t="s">
        <v>0</v>
      </c>
      <c r="AJ554" t="s">
        <v>128</v>
      </c>
      <c r="AK554" t="s">
        <v>677</v>
      </c>
      <c r="AL554" t="s">
        <v>11</v>
      </c>
      <c r="AM554" t="s">
        <v>11</v>
      </c>
      <c r="AN554" t="s">
        <v>11</v>
      </c>
      <c r="AO554" t="s">
        <v>11</v>
      </c>
      <c r="AP554" t="s">
        <v>11</v>
      </c>
      <c r="AQ554" t="s">
        <v>11</v>
      </c>
      <c r="AR554" t="s">
        <v>798</v>
      </c>
      <c r="AS554" t="s">
        <v>11</v>
      </c>
      <c r="AT554" t="s">
        <v>11</v>
      </c>
      <c r="AU554" t="s">
        <v>11</v>
      </c>
      <c r="AV554" t="s">
        <v>11</v>
      </c>
      <c r="AW554" t="s">
        <v>11</v>
      </c>
      <c r="AX554" t="s">
        <v>11</v>
      </c>
      <c r="AY554" t="s">
        <v>11</v>
      </c>
      <c r="AZ554" t="s">
        <v>11</v>
      </c>
      <c r="BA554" t="s">
        <v>11</v>
      </c>
      <c r="BB554" t="s">
        <v>11</v>
      </c>
      <c r="BC554" t="s">
        <v>11</v>
      </c>
      <c r="BD554" t="s">
        <v>11</v>
      </c>
      <c r="BE554" t="s">
        <v>11</v>
      </c>
      <c r="BF554" t="s">
        <v>11</v>
      </c>
      <c r="BG554" t="s">
        <v>11</v>
      </c>
      <c r="BH554" t="s">
        <v>3918</v>
      </c>
      <c r="BI554" t="s">
        <v>3917</v>
      </c>
      <c r="BJ554" t="s">
        <v>3919</v>
      </c>
      <c r="BK554" t="s">
        <v>3920</v>
      </c>
    </row>
    <row r="555" spans="1:63" x14ac:dyDescent="0.3">
      <c r="A555" t="s">
        <v>3921</v>
      </c>
      <c r="B555" t="s">
        <v>95</v>
      </c>
      <c r="C555" t="s">
        <v>3922</v>
      </c>
      <c r="D555" t="s">
        <v>1490</v>
      </c>
      <c r="E555" t="s">
        <v>3894</v>
      </c>
      <c r="F555">
        <v>590</v>
      </c>
      <c r="G555">
        <v>77</v>
      </c>
      <c r="I555">
        <v>9</v>
      </c>
      <c r="K555">
        <v>10</v>
      </c>
      <c r="P555">
        <v>4</v>
      </c>
      <c r="AF555">
        <v>9.4321999999999999</v>
      </c>
      <c r="AI555" t="s">
        <v>0</v>
      </c>
      <c r="AJ555" t="s">
        <v>128</v>
      </c>
      <c r="AK555" t="s">
        <v>677</v>
      </c>
      <c r="AL555" t="s">
        <v>11</v>
      </c>
      <c r="AM555" t="s">
        <v>11</v>
      </c>
      <c r="AN555" t="s">
        <v>11</v>
      </c>
      <c r="AO555" t="s">
        <v>11</v>
      </c>
      <c r="AP555" t="s">
        <v>11</v>
      </c>
      <c r="AQ555" t="s">
        <v>11</v>
      </c>
      <c r="AR555" t="s">
        <v>45</v>
      </c>
      <c r="AS555" t="s">
        <v>11</v>
      </c>
      <c r="AT555" t="s">
        <v>11</v>
      </c>
      <c r="AU555" t="s">
        <v>11</v>
      </c>
      <c r="AV555" t="s">
        <v>11</v>
      </c>
      <c r="AW555" t="s">
        <v>11</v>
      </c>
      <c r="AX555" t="s">
        <v>11</v>
      </c>
      <c r="AY555" t="s">
        <v>11</v>
      </c>
      <c r="AZ555" t="s">
        <v>11</v>
      </c>
      <c r="BA555" t="s">
        <v>11</v>
      </c>
      <c r="BB555" t="s">
        <v>11</v>
      </c>
      <c r="BC555" t="s">
        <v>11</v>
      </c>
      <c r="BD555" t="s">
        <v>11</v>
      </c>
      <c r="BE555" t="s">
        <v>11</v>
      </c>
      <c r="BF555" t="s">
        <v>11</v>
      </c>
      <c r="BG555" t="s">
        <v>11</v>
      </c>
      <c r="BH555" t="s">
        <v>3923</v>
      </c>
      <c r="BI555" t="s">
        <v>3921</v>
      </c>
      <c r="BJ555" t="s">
        <v>3924</v>
      </c>
      <c r="BK555" t="s">
        <v>3925</v>
      </c>
    </row>
    <row r="556" spans="1:63" x14ac:dyDescent="0.3">
      <c r="A556" t="s">
        <v>3926</v>
      </c>
      <c r="B556" t="s">
        <v>95</v>
      </c>
      <c r="C556" t="s">
        <v>105</v>
      </c>
      <c r="D556" t="s">
        <v>3927</v>
      </c>
      <c r="E556" t="s">
        <v>3894</v>
      </c>
      <c r="F556">
        <v>591</v>
      </c>
      <c r="G556">
        <v>79</v>
      </c>
      <c r="I556">
        <v>9</v>
      </c>
      <c r="K556">
        <v>10</v>
      </c>
      <c r="N556">
        <v>2</v>
      </c>
      <c r="AF556">
        <v>9.3704000000000001</v>
      </c>
      <c r="AI556" t="s">
        <v>0</v>
      </c>
      <c r="AJ556" t="s">
        <v>128</v>
      </c>
      <c r="AK556" t="s">
        <v>677</v>
      </c>
      <c r="AL556" t="s">
        <v>11</v>
      </c>
      <c r="AM556" t="s">
        <v>11</v>
      </c>
      <c r="AN556" t="s">
        <v>11</v>
      </c>
      <c r="AO556" t="s">
        <v>790</v>
      </c>
      <c r="AP556" t="s">
        <v>11</v>
      </c>
      <c r="AQ556" t="s">
        <v>11</v>
      </c>
      <c r="AR556" t="s">
        <v>11</v>
      </c>
      <c r="AS556" t="s">
        <v>11</v>
      </c>
      <c r="AT556" t="s">
        <v>11</v>
      </c>
      <c r="AU556" t="s">
        <v>11</v>
      </c>
      <c r="AV556" t="s">
        <v>11</v>
      </c>
      <c r="AW556" t="s">
        <v>11</v>
      </c>
      <c r="AX556" t="s">
        <v>11</v>
      </c>
      <c r="AY556" t="s">
        <v>11</v>
      </c>
      <c r="AZ556" t="s">
        <v>11</v>
      </c>
      <c r="BA556" t="s">
        <v>11</v>
      </c>
      <c r="BB556" t="s">
        <v>11</v>
      </c>
      <c r="BC556" t="s">
        <v>11</v>
      </c>
      <c r="BD556" t="s">
        <v>11</v>
      </c>
      <c r="BE556" t="s">
        <v>11</v>
      </c>
      <c r="BF556" t="s">
        <v>11</v>
      </c>
      <c r="BG556" t="s">
        <v>11</v>
      </c>
      <c r="BH556" t="s">
        <v>3928</v>
      </c>
      <c r="BI556" t="s">
        <v>3926</v>
      </c>
      <c r="BJ556" t="s">
        <v>3518</v>
      </c>
      <c r="BK556" t="s">
        <v>3929</v>
      </c>
    </row>
    <row r="557" spans="1:63" x14ac:dyDescent="0.3">
      <c r="A557" t="s">
        <v>3930</v>
      </c>
      <c r="B557" t="s">
        <v>95</v>
      </c>
      <c r="C557" t="s">
        <v>3931</v>
      </c>
      <c r="D557" t="s">
        <v>3932</v>
      </c>
      <c r="E557" t="s">
        <v>3894</v>
      </c>
      <c r="F557">
        <v>592</v>
      </c>
      <c r="G557">
        <v>77</v>
      </c>
      <c r="I557">
        <v>9</v>
      </c>
      <c r="K557">
        <v>10</v>
      </c>
      <c r="N557">
        <v>4</v>
      </c>
      <c r="AF557">
        <v>9.3637999999999995</v>
      </c>
      <c r="AI557" t="s">
        <v>0</v>
      </c>
      <c r="AJ557" t="s">
        <v>128</v>
      </c>
      <c r="AK557" t="s">
        <v>677</v>
      </c>
      <c r="AL557" t="s">
        <v>11</v>
      </c>
      <c r="AM557" t="s">
        <v>11</v>
      </c>
      <c r="AN557" t="s">
        <v>11</v>
      </c>
      <c r="AO557" t="s">
        <v>3933</v>
      </c>
      <c r="AP557" t="s">
        <v>11</v>
      </c>
      <c r="AQ557" t="s">
        <v>11</v>
      </c>
      <c r="AR557" t="s">
        <v>11</v>
      </c>
      <c r="AS557" t="s">
        <v>11</v>
      </c>
      <c r="AT557" t="s">
        <v>11</v>
      </c>
      <c r="AU557" t="s">
        <v>11</v>
      </c>
      <c r="AV557" t="s">
        <v>11</v>
      </c>
      <c r="AW557" t="s">
        <v>11</v>
      </c>
      <c r="AX557" t="s">
        <v>11</v>
      </c>
      <c r="AY557" t="s">
        <v>11</v>
      </c>
      <c r="AZ557" t="s">
        <v>11</v>
      </c>
      <c r="BA557" t="s">
        <v>11</v>
      </c>
      <c r="BB557" t="s">
        <v>11</v>
      </c>
      <c r="BC557" t="s">
        <v>11</v>
      </c>
      <c r="BD557" t="s">
        <v>11</v>
      </c>
      <c r="BE557" t="s">
        <v>11</v>
      </c>
      <c r="BF557" t="s">
        <v>11</v>
      </c>
      <c r="BG557" t="s">
        <v>11</v>
      </c>
      <c r="BH557" t="s">
        <v>3934</v>
      </c>
      <c r="BI557" t="s">
        <v>3930</v>
      </c>
      <c r="BJ557" t="s">
        <v>3935</v>
      </c>
      <c r="BK557" t="s">
        <v>3936</v>
      </c>
    </row>
    <row r="558" spans="1:63" x14ac:dyDescent="0.3">
      <c r="A558" t="s">
        <v>1348</v>
      </c>
      <c r="B558" t="s">
        <v>95</v>
      </c>
      <c r="C558" t="s">
        <v>1349</v>
      </c>
      <c r="D558" t="s">
        <v>2354</v>
      </c>
      <c r="E558" t="s">
        <v>3894</v>
      </c>
      <c r="F558">
        <v>593</v>
      </c>
      <c r="G558">
        <v>79</v>
      </c>
      <c r="I558">
        <v>9</v>
      </c>
      <c r="K558">
        <v>10</v>
      </c>
      <c r="M558">
        <v>2</v>
      </c>
      <c r="AF558">
        <v>9.532</v>
      </c>
      <c r="AI558" t="s">
        <v>0</v>
      </c>
      <c r="AJ558" t="s">
        <v>128</v>
      </c>
      <c r="AK558" t="s">
        <v>677</v>
      </c>
      <c r="AL558" t="s">
        <v>11</v>
      </c>
      <c r="AM558" t="s">
        <v>11</v>
      </c>
      <c r="AN558" t="s">
        <v>24</v>
      </c>
      <c r="AO558" t="s">
        <v>11</v>
      </c>
      <c r="AP558" t="s">
        <v>11</v>
      </c>
      <c r="AQ558" t="s">
        <v>11</v>
      </c>
      <c r="AR558" t="s">
        <v>11</v>
      </c>
      <c r="AS558" t="s">
        <v>11</v>
      </c>
      <c r="AT558" t="s">
        <v>11</v>
      </c>
      <c r="AU558" t="s">
        <v>11</v>
      </c>
      <c r="AV558" t="s">
        <v>11</v>
      </c>
      <c r="AW558" t="s">
        <v>11</v>
      </c>
      <c r="AX558" t="s">
        <v>11</v>
      </c>
      <c r="AY558" t="s">
        <v>11</v>
      </c>
      <c r="AZ558" t="s">
        <v>11</v>
      </c>
      <c r="BA558" t="s">
        <v>11</v>
      </c>
      <c r="BB558" t="s">
        <v>11</v>
      </c>
      <c r="BC558" t="s">
        <v>11</v>
      </c>
      <c r="BD558" t="s">
        <v>11</v>
      </c>
      <c r="BE558" t="s">
        <v>11</v>
      </c>
      <c r="BF558" t="s">
        <v>11</v>
      </c>
      <c r="BG558" t="s">
        <v>11</v>
      </c>
      <c r="BH558" t="s">
        <v>3937</v>
      </c>
      <c r="BI558" t="s">
        <v>1348</v>
      </c>
      <c r="BJ558" t="s">
        <v>1353</v>
      </c>
      <c r="BK558" t="s">
        <v>1354</v>
      </c>
    </row>
    <row r="559" spans="1:63" x14ac:dyDescent="0.3">
      <c r="A559" t="s">
        <v>3938</v>
      </c>
      <c r="B559" t="s">
        <v>95</v>
      </c>
      <c r="C559" t="s">
        <v>3939</v>
      </c>
      <c r="D559" t="s">
        <v>3940</v>
      </c>
      <c r="E559" t="s">
        <v>3941</v>
      </c>
      <c r="F559">
        <v>595</v>
      </c>
      <c r="G559">
        <v>80</v>
      </c>
      <c r="I559">
        <v>6</v>
      </c>
      <c r="K559">
        <v>6</v>
      </c>
      <c r="L559">
        <v>6</v>
      </c>
      <c r="M559">
        <v>2</v>
      </c>
      <c r="AF559">
        <v>9.040420000000001</v>
      </c>
      <c r="AI559" t="s">
        <v>0</v>
      </c>
      <c r="AJ559" t="s">
        <v>926</v>
      </c>
      <c r="AK559" t="s">
        <v>2128</v>
      </c>
      <c r="AL559" t="s">
        <v>11</v>
      </c>
      <c r="AM559" t="s">
        <v>11</v>
      </c>
      <c r="AN559" t="s">
        <v>24</v>
      </c>
      <c r="AO559" t="s">
        <v>11</v>
      </c>
      <c r="AP559" t="s">
        <v>11</v>
      </c>
      <c r="AQ559" t="s">
        <v>3007</v>
      </c>
      <c r="AR559" t="s">
        <v>11</v>
      </c>
      <c r="AS559" t="s">
        <v>11</v>
      </c>
      <c r="AT559" t="s">
        <v>11</v>
      </c>
      <c r="AU559" t="s">
        <v>11</v>
      </c>
      <c r="AV559" t="s">
        <v>11</v>
      </c>
      <c r="AW559" t="s">
        <v>11</v>
      </c>
      <c r="AX559" t="s">
        <v>11</v>
      </c>
      <c r="AY559" t="s">
        <v>11</v>
      </c>
      <c r="AZ559" t="s">
        <v>11</v>
      </c>
      <c r="BA559" t="s">
        <v>11</v>
      </c>
      <c r="BB559" t="s">
        <v>11</v>
      </c>
      <c r="BC559" t="s">
        <v>11</v>
      </c>
      <c r="BD559" t="s">
        <v>11</v>
      </c>
      <c r="BE559" t="s">
        <v>11</v>
      </c>
      <c r="BF559" t="s">
        <v>11</v>
      </c>
      <c r="BG559" t="s">
        <v>11</v>
      </c>
      <c r="BH559" t="s">
        <v>3942</v>
      </c>
      <c r="BI559" t="s">
        <v>3938</v>
      </c>
      <c r="BJ559" t="s">
        <v>3943</v>
      </c>
      <c r="BK559" t="s">
        <v>3944</v>
      </c>
    </row>
    <row r="560" spans="1:63" x14ac:dyDescent="0.3">
      <c r="A560" t="s">
        <v>3945</v>
      </c>
      <c r="B560" t="s">
        <v>95</v>
      </c>
      <c r="C560" t="s">
        <v>3946</v>
      </c>
      <c r="D560" t="s">
        <v>3947</v>
      </c>
      <c r="E560" t="s">
        <v>3941</v>
      </c>
      <c r="F560">
        <v>596</v>
      </c>
      <c r="G560">
        <v>81</v>
      </c>
      <c r="I560">
        <v>7</v>
      </c>
      <c r="K560">
        <v>8</v>
      </c>
      <c r="L560">
        <v>4</v>
      </c>
      <c r="AF560">
        <v>9.1182800000000004</v>
      </c>
      <c r="AH560" t="s">
        <v>1657</v>
      </c>
      <c r="AI560" t="s">
        <v>0</v>
      </c>
      <c r="AJ560" t="s">
        <v>1358</v>
      </c>
      <c r="AK560" t="s">
        <v>548</v>
      </c>
      <c r="AL560" t="s">
        <v>11</v>
      </c>
      <c r="AM560" t="s">
        <v>11</v>
      </c>
      <c r="AN560" t="s">
        <v>11</v>
      </c>
      <c r="AO560" t="s">
        <v>11</v>
      </c>
      <c r="AP560" t="s">
        <v>11</v>
      </c>
      <c r="AQ560" t="s">
        <v>1659</v>
      </c>
      <c r="AR560" t="s">
        <v>11</v>
      </c>
      <c r="AS560" t="s">
        <v>11</v>
      </c>
      <c r="AT560" t="s">
        <v>11</v>
      </c>
      <c r="AU560" t="s">
        <v>11</v>
      </c>
      <c r="AV560" t="s">
        <v>11</v>
      </c>
      <c r="AW560" t="s">
        <v>11</v>
      </c>
      <c r="AX560" t="s">
        <v>11</v>
      </c>
      <c r="AY560" t="s">
        <v>11</v>
      </c>
      <c r="AZ560" t="s">
        <v>11</v>
      </c>
      <c r="BA560" t="s">
        <v>11</v>
      </c>
      <c r="BB560" t="s">
        <v>11</v>
      </c>
      <c r="BC560" t="s">
        <v>11</v>
      </c>
      <c r="BD560" t="s">
        <v>11</v>
      </c>
      <c r="BE560" t="s">
        <v>11</v>
      </c>
      <c r="BF560" t="s">
        <v>11</v>
      </c>
      <c r="BG560" t="s">
        <v>11</v>
      </c>
      <c r="BH560" t="s">
        <v>3948</v>
      </c>
      <c r="BI560" t="s">
        <v>3945</v>
      </c>
      <c r="BJ560" t="s">
        <v>3949</v>
      </c>
      <c r="BK560" t="s">
        <v>3950</v>
      </c>
    </row>
    <row r="561" spans="1:63" x14ac:dyDescent="0.3">
      <c r="A561" t="s">
        <v>3951</v>
      </c>
      <c r="B561" t="s">
        <v>160</v>
      </c>
      <c r="C561" t="s">
        <v>3952</v>
      </c>
      <c r="D561" t="s">
        <v>3953</v>
      </c>
      <c r="E561" t="s">
        <v>3941</v>
      </c>
      <c r="F561">
        <v>599</v>
      </c>
      <c r="G561">
        <v>80</v>
      </c>
      <c r="I561">
        <v>7</v>
      </c>
      <c r="K561">
        <v>7</v>
      </c>
      <c r="L561">
        <v>4</v>
      </c>
      <c r="M561">
        <v>2</v>
      </c>
      <c r="AF561">
        <v>9.1697799999999994</v>
      </c>
      <c r="AI561" t="s">
        <v>0</v>
      </c>
      <c r="AJ561" t="s">
        <v>1358</v>
      </c>
      <c r="AK561" t="s">
        <v>538</v>
      </c>
      <c r="AL561" t="s">
        <v>11</v>
      </c>
      <c r="AM561" t="s">
        <v>11</v>
      </c>
      <c r="AN561" t="s">
        <v>24</v>
      </c>
      <c r="AO561" t="s">
        <v>11</v>
      </c>
      <c r="AP561" t="s">
        <v>11</v>
      </c>
      <c r="AQ561" t="s">
        <v>1659</v>
      </c>
      <c r="AR561" t="s">
        <v>11</v>
      </c>
      <c r="AS561" t="s">
        <v>11</v>
      </c>
      <c r="AT561" t="s">
        <v>11</v>
      </c>
      <c r="AU561" t="s">
        <v>11</v>
      </c>
      <c r="AV561" t="s">
        <v>11</v>
      </c>
      <c r="AW561" t="s">
        <v>11</v>
      </c>
      <c r="AX561" t="s">
        <v>11</v>
      </c>
      <c r="AY561" t="s">
        <v>11</v>
      </c>
      <c r="AZ561" t="s">
        <v>11</v>
      </c>
      <c r="BA561" t="s">
        <v>11</v>
      </c>
      <c r="BB561" t="s">
        <v>11</v>
      </c>
      <c r="BC561" t="s">
        <v>11</v>
      </c>
      <c r="BD561" t="s">
        <v>11</v>
      </c>
      <c r="BE561" t="s">
        <v>11</v>
      </c>
      <c r="BF561" t="s">
        <v>11</v>
      </c>
      <c r="BG561" t="s">
        <v>11</v>
      </c>
      <c r="BH561" t="s">
        <v>3954</v>
      </c>
      <c r="BI561" t="s">
        <v>3951</v>
      </c>
      <c r="BJ561" t="s">
        <v>3955</v>
      </c>
      <c r="BK561" t="s">
        <v>3956</v>
      </c>
    </row>
    <row r="562" spans="1:63" x14ac:dyDescent="0.3">
      <c r="A562" t="s">
        <v>3957</v>
      </c>
      <c r="B562" t="s">
        <v>160</v>
      </c>
      <c r="C562" t="s">
        <v>3958</v>
      </c>
      <c r="D562" t="s">
        <v>3959</v>
      </c>
      <c r="E562" t="s">
        <v>3941</v>
      </c>
      <c r="F562">
        <v>600</v>
      </c>
      <c r="G562">
        <v>82.3</v>
      </c>
      <c r="I562">
        <v>6.3</v>
      </c>
      <c r="K562">
        <v>4.4000000000000004</v>
      </c>
      <c r="L562">
        <v>4</v>
      </c>
      <c r="M562">
        <v>3</v>
      </c>
      <c r="AF562">
        <v>9.0215800000000019</v>
      </c>
      <c r="AI562" t="s">
        <v>0</v>
      </c>
      <c r="AJ562" t="s">
        <v>537</v>
      </c>
      <c r="AK562" t="s">
        <v>1450</v>
      </c>
      <c r="AL562" t="s">
        <v>11</v>
      </c>
      <c r="AM562" t="s">
        <v>11</v>
      </c>
      <c r="AN562" t="s">
        <v>1285</v>
      </c>
      <c r="AO562" t="s">
        <v>11</v>
      </c>
      <c r="AP562" t="s">
        <v>11</v>
      </c>
      <c r="AQ562" t="s">
        <v>1659</v>
      </c>
      <c r="AR562" t="s">
        <v>11</v>
      </c>
      <c r="AS562" t="s">
        <v>11</v>
      </c>
      <c r="AT562" t="s">
        <v>11</v>
      </c>
      <c r="AU562" t="s">
        <v>11</v>
      </c>
      <c r="AV562" t="s">
        <v>11</v>
      </c>
      <c r="AW562" t="s">
        <v>11</v>
      </c>
      <c r="AX562" t="s">
        <v>11</v>
      </c>
      <c r="AY562" t="s">
        <v>11</v>
      </c>
      <c r="AZ562" t="s">
        <v>11</v>
      </c>
      <c r="BA562" t="s">
        <v>11</v>
      </c>
      <c r="BB562" t="s">
        <v>11</v>
      </c>
      <c r="BC562" t="s">
        <v>11</v>
      </c>
      <c r="BD562" t="s">
        <v>11</v>
      </c>
      <c r="BE562" t="s">
        <v>11</v>
      </c>
      <c r="BF562" t="s">
        <v>11</v>
      </c>
      <c r="BG562" t="s">
        <v>11</v>
      </c>
      <c r="BH562" t="s">
        <v>3960</v>
      </c>
      <c r="BI562" t="s">
        <v>3957</v>
      </c>
      <c r="BJ562" t="s">
        <v>3961</v>
      </c>
      <c r="BK562" t="s">
        <v>3962</v>
      </c>
    </row>
    <row r="563" spans="1:63" x14ac:dyDescent="0.3">
      <c r="A563" t="s">
        <v>3963</v>
      </c>
      <c r="B563" t="s">
        <v>160</v>
      </c>
      <c r="C563" t="s">
        <v>3964</v>
      </c>
      <c r="D563" t="s">
        <v>3965</v>
      </c>
      <c r="E563" t="s">
        <v>3941</v>
      </c>
      <c r="F563">
        <v>601</v>
      </c>
      <c r="G563">
        <v>81.099999999999994</v>
      </c>
      <c r="I563">
        <v>8.6</v>
      </c>
      <c r="K563">
        <v>6.6</v>
      </c>
      <c r="L563">
        <v>2</v>
      </c>
      <c r="M563">
        <v>1.7</v>
      </c>
      <c r="AF563">
        <v>9.0937899999999985</v>
      </c>
      <c r="AI563" t="s">
        <v>0</v>
      </c>
      <c r="AJ563" t="s">
        <v>234</v>
      </c>
      <c r="AK563" t="s">
        <v>3966</v>
      </c>
      <c r="AL563" t="s">
        <v>11</v>
      </c>
      <c r="AM563" t="s">
        <v>11</v>
      </c>
      <c r="AN563" t="s">
        <v>1515</v>
      </c>
      <c r="AO563" t="s">
        <v>11</v>
      </c>
      <c r="AP563" t="s">
        <v>11</v>
      </c>
      <c r="AQ563" t="s">
        <v>25</v>
      </c>
      <c r="AR563" t="s">
        <v>11</v>
      </c>
      <c r="AS563" t="s">
        <v>11</v>
      </c>
      <c r="AT563" t="s">
        <v>11</v>
      </c>
      <c r="AU563" t="s">
        <v>11</v>
      </c>
      <c r="AV563" t="s">
        <v>11</v>
      </c>
      <c r="AW563" t="s">
        <v>11</v>
      </c>
      <c r="AX563" t="s">
        <v>11</v>
      </c>
      <c r="AY563" t="s">
        <v>11</v>
      </c>
      <c r="AZ563" t="s">
        <v>11</v>
      </c>
      <c r="BA563" t="s">
        <v>11</v>
      </c>
      <c r="BB563" t="s">
        <v>11</v>
      </c>
      <c r="BC563" t="s">
        <v>11</v>
      </c>
      <c r="BD563" t="s">
        <v>11</v>
      </c>
      <c r="BE563" t="s">
        <v>11</v>
      </c>
      <c r="BF563" t="s">
        <v>11</v>
      </c>
      <c r="BG563" t="s">
        <v>11</v>
      </c>
      <c r="BH563" t="s">
        <v>3967</v>
      </c>
      <c r="BI563" t="s">
        <v>3963</v>
      </c>
      <c r="BJ563" t="s">
        <v>3968</v>
      </c>
      <c r="BK563" t="s">
        <v>3969</v>
      </c>
    </row>
    <row r="564" spans="1:63" x14ac:dyDescent="0.3">
      <c r="A564" t="s">
        <v>3970</v>
      </c>
      <c r="B564" t="s">
        <v>95</v>
      </c>
      <c r="C564" t="s">
        <v>3971</v>
      </c>
      <c r="D564" t="s">
        <v>3972</v>
      </c>
      <c r="E564" t="s">
        <v>3941</v>
      </c>
      <c r="F564">
        <v>602</v>
      </c>
      <c r="G564">
        <v>85</v>
      </c>
      <c r="I564">
        <v>7</v>
      </c>
      <c r="K564">
        <v>8</v>
      </c>
      <c r="AF564">
        <v>9.2940000000000005</v>
      </c>
      <c r="AH564" t="s">
        <v>1657</v>
      </c>
      <c r="AI564" t="s">
        <v>0</v>
      </c>
      <c r="AJ564" t="s">
        <v>1358</v>
      </c>
      <c r="AK564" t="s">
        <v>548</v>
      </c>
      <c r="AL564" t="s">
        <v>11</v>
      </c>
      <c r="AM564" t="s">
        <v>11</v>
      </c>
      <c r="AN564" t="s">
        <v>11</v>
      </c>
      <c r="AO564" t="s">
        <v>11</v>
      </c>
      <c r="AP564" t="s">
        <v>11</v>
      </c>
      <c r="AQ564" t="s">
        <v>11</v>
      </c>
      <c r="AR564" t="s">
        <v>11</v>
      </c>
      <c r="AS564" t="s">
        <v>11</v>
      </c>
      <c r="AT564" t="s">
        <v>11</v>
      </c>
      <c r="AU564" t="s">
        <v>11</v>
      </c>
      <c r="AV564" t="s">
        <v>11</v>
      </c>
      <c r="AW564" t="s">
        <v>11</v>
      </c>
      <c r="AX564" t="s">
        <v>11</v>
      </c>
      <c r="AY564" t="s">
        <v>11</v>
      </c>
      <c r="AZ564" t="s">
        <v>11</v>
      </c>
      <c r="BA564" t="s">
        <v>11</v>
      </c>
      <c r="BB564" t="s">
        <v>11</v>
      </c>
      <c r="BC564" t="s">
        <v>11</v>
      </c>
      <c r="BD564" t="s">
        <v>11</v>
      </c>
      <c r="BE564" t="s">
        <v>11</v>
      </c>
      <c r="BF564" t="s">
        <v>11</v>
      </c>
      <c r="BG564" t="s">
        <v>11</v>
      </c>
      <c r="BH564" t="s">
        <v>3973</v>
      </c>
      <c r="BI564" t="s">
        <v>3970</v>
      </c>
      <c r="BJ564" t="s">
        <v>3974</v>
      </c>
      <c r="BK564" t="s">
        <v>3975</v>
      </c>
    </row>
    <row r="565" spans="1:63" x14ac:dyDescent="0.3">
      <c r="A565" t="s">
        <v>3976</v>
      </c>
      <c r="B565" t="s">
        <v>95</v>
      </c>
      <c r="C565" t="s">
        <v>3977</v>
      </c>
      <c r="D565" t="s">
        <v>3978</v>
      </c>
      <c r="E565" t="s">
        <v>3941</v>
      </c>
      <c r="F565">
        <v>603</v>
      </c>
      <c r="G565">
        <v>84</v>
      </c>
      <c r="I565">
        <v>7</v>
      </c>
      <c r="K565">
        <v>8</v>
      </c>
      <c r="M565">
        <v>1</v>
      </c>
      <c r="AF565">
        <v>9.3714999999999993</v>
      </c>
      <c r="AH565" t="s">
        <v>1657</v>
      </c>
      <c r="AI565" t="s">
        <v>0</v>
      </c>
      <c r="AJ565" t="s">
        <v>1358</v>
      </c>
      <c r="AK565" t="s">
        <v>548</v>
      </c>
      <c r="AL565" t="s">
        <v>11</v>
      </c>
      <c r="AM565" t="s">
        <v>11</v>
      </c>
      <c r="AN565" t="s">
        <v>471</v>
      </c>
      <c r="AO565" t="s">
        <v>11</v>
      </c>
      <c r="AP565" t="s">
        <v>11</v>
      </c>
      <c r="AQ565" t="s">
        <v>11</v>
      </c>
      <c r="AR565" t="s">
        <v>11</v>
      </c>
      <c r="AS565" t="s">
        <v>11</v>
      </c>
      <c r="AT565" t="s">
        <v>11</v>
      </c>
      <c r="AU565" t="s">
        <v>11</v>
      </c>
      <c r="AV565" t="s">
        <v>11</v>
      </c>
      <c r="AW565" t="s">
        <v>11</v>
      </c>
      <c r="AX565" t="s">
        <v>11</v>
      </c>
      <c r="AY565" t="s">
        <v>11</v>
      </c>
      <c r="AZ565" t="s">
        <v>11</v>
      </c>
      <c r="BA565" t="s">
        <v>11</v>
      </c>
      <c r="BB565" t="s">
        <v>11</v>
      </c>
      <c r="BC565" t="s">
        <v>11</v>
      </c>
      <c r="BD565" t="s">
        <v>11</v>
      </c>
      <c r="BE565" t="s">
        <v>11</v>
      </c>
      <c r="BF565" t="s">
        <v>11</v>
      </c>
      <c r="BG565" t="s">
        <v>11</v>
      </c>
      <c r="BH565" t="s">
        <v>3979</v>
      </c>
      <c r="BI565" t="s">
        <v>3976</v>
      </c>
      <c r="BJ565" t="s">
        <v>3980</v>
      </c>
      <c r="BK565" t="s">
        <v>3981</v>
      </c>
    </row>
    <row r="566" spans="1:63" x14ac:dyDescent="0.3">
      <c r="A566" t="s">
        <v>3982</v>
      </c>
      <c r="B566" t="s">
        <v>160</v>
      </c>
      <c r="C566" t="s">
        <v>3983</v>
      </c>
      <c r="D566" t="s">
        <v>3984</v>
      </c>
      <c r="E566" t="s">
        <v>3985</v>
      </c>
      <c r="F566">
        <v>606</v>
      </c>
      <c r="G566">
        <v>85.2</v>
      </c>
      <c r="I566">
        <v>6.5</v>
      </c>
      <c r="K566">
        <v>6</v>
      </c>
      <c r="L566">
        <v>2.2999999999999998</v>
      </c>
      <c r="AF566">
        <v>9.0169610000000002</v>
      </c>
      <c r="AI566" t="s">
        <v>0</v>
      </c>
      <c r="AJ566" t="s">
        <v>3986</v>
      </c>
      <c r="AK566" t="s">
        <v>2128</v>
      </c>
      <c r="AL566" t="s">
        <v>11</v>
      </c>
      <c r="AM566" t="s">
        <v>11</v>
      </c>
      <c r="AN566" t="s">
        <v>11</v>
      </c>
      <c r="AO566" t="s">
        <v>11</v>
      </c>
      <c r="AP566" t="s">
        <v>11</v>
      </c>
      <c r="AQ566" t="s">
        <v>3987</v>
      </c>
      <c r="AR566" t="s">
        <v>11</v>
      </c>
      <c r="AS566" t="s">
        <v>11</v>
      </c>
      <c r="AT566" t="s">
        <v>11</v>
      </c>
      <c r="AU566" t="s">
        <v>11</v>
      </c>
      <c r="AV566" t="s">
        <v>11</v>
      </c>
      <c r="AW566" t="s">
        <v>11</v>
      </c>
      <c r="AX566" t="s">
        <v>11</v>
      </c>
      <c r="AY566" t="s">
        <v>11</v>
      </c>
      <c r="AZ566" t="s">
        <v>11</v>
      </c>
      <c r="BA566" t="s">
        <v>11</v>
      </c>
      <c r="BB566" t="s">
        <v>11</v>
      </c>
      <c r="BC566" t="s">
        <v>11</v>
      </c>
      <c r="BD566" t="s">
        <v>11</v>
      </c>
      <c r="BE566" t="s">
        <v>11</v>
      </c>
      <c r="BF566" t="s">
        <v>11</v>
      </c>
      <c r="BG566" t="s">
        <v>11</v>
      </c>
      <c r="BH566" t="s">
        <v>3988</v>
      </c>
      <c r="BI566" t="s">
        <v>3982</v>
      </c>
      <c r="BJ566" t="s">
        <v>3989</v>
      </c>
      <c r="BK566" t="s">
        <v>3990</v>
      </c>
    </row>
    <row r="567" spans="1:63" x14ac:dyDescent="0.3">
      <c r="A567" t="s">
        <v>3991</v>
      </c>
      <c r="B567" t="s">
        <v>160</v>
      </c>
      <c r="C567" t="s">
        <v>2444</v>
      </c>
      <c r="D567" t="s">
        <v>3992</v>
      </c>
      <c r="E567" t="s">
        <v>3985</v>
      </c>
      <c r="F567">
        <v>607</v>
      </c>
      <c r="G567">
        <v>83.3</v>
      </c>
      <c r="I567">
        <v>10.1</v>
      </c>
      <c r="K567">
        <v>4.9000000000000004</v>
      </c>
      <c r="M567">
        <v>1.7</v>
      </c>
      <c r="AF567">
        <v>8.9126999999999992</v>
      </c>
      <c r="AI567" t="s">
        <v>0</v>
      </c>
      <c r="AJ567" t="s">
        <v>1246</v>
      </c>
      <c r="AK567" t="s">
        <v>3993</v>
      </c>
      <c r="AL567" t="s">
        <v>11</v>
      </c>
      <c r="AM567" t="s">
        <v>11</v>
      </c>
      <c r="AN567" t="s">
        <v>1515</v>
      </c>
      <c r="AO567" t="s">
        <v>11</v>
      </c>
      <c r="AP567" t="s">
        <v>11</v>
      </c>
      <c r="AQ567" t="s">
        <v>11</v>
      </c>
      <c r="AR567" t="s">
        <v>11</v>
      </c>
      <c r="AS567" t="s">
        <v>11</v>
      </c>
      <c r="AT567" t="s">
        <v>11</v>
      </c>
      <c r="AU567" t="s">
        <v>11</v>
      </c>
      <c r="AV567" t="s">
        <v>11</v>
      </c>
      <c r="AW567" t="s">
        <v>11</v>
      </c>
      <c r="AX567" t="s">
        <v>11</v>
      </c>
      <c r="AY567" t="s">
        <v>11</v>
      </c>
      <c r="AZ567" t="s">
        <v>11</v>
      </c>
      <c r="BA567" t="s">
        <v>11</v>
      </c>
      <c r="BB567" t="s">
        <v>11</v>
      </c>
      <c r="BC567" t="s">
        <v>11</v>
      </c>
      <c r="BD567" t="s">
        <v>11</v>
      </c>
      <c r="BE567" t="s">
        <v>11</v>
      </c>
      <c r="BF567" t="s">
        <v>11</v>
      </c>
      <c r="BG567" t="s">
        <v>11</v>
      </c>
      <c r="BH567" t="s">
        <v>3994</v>
      </c>
      <c r="BI567" t="s">
        <v>3991</v>
      </c>
      <c r="BJ567" t="s">
        <v>3995</v>
      </c>
      <c r="BK567" t="s">
        <v>3996</v>
      </c>
    </row>
    <row r="568" spans="1:63" x14ac:dyDescent="0.3">
      <c r="A568" t="s">
        <v>3997</v>
      </c>
      <c r="B568" t="s">
        <v>95</v>
      </c>
      <c r="C568" t="s">
        <v>3998</v>
      </c>
      <c r="D568" t="s">
        <v>3899</v>
      </c>
      <c r="E568" t="s">
        <v>3999</v>
      </c>
      <c r="F568">
        <v>608</v>
      </c>
      <c r="G568">
        <v>85.4</v>
      </c>
      <c r="I568">
        <v>6.4</v>
      </c>
      <c r="K568">
        <v>6</v>
      </c>
      <c r="L568">
        <v>2.2000000000000002</v>
      </c>
      <c r="AF568">
        <v>9.0275540000000003</v>
      </c>
      <c r="AG568">
        <v>9.16</v>
      </c>
      <c r="AI568" t="s">
        <v>0</v>
      </c>
      <c r="AJ568" t="s">
        <v>4000</v>
      </c>
      <c r="AK568" t="s">
        <v>2128</v>
      </c>
      <c r="AL568" t="s">
        <v>11</v>
      </c>
      <c r="AM568" t="s">
        <v>11</v>
      </c>
      <c r="AN568" t="s">
        <v>11</v>
      </c>
      <c r="AO568" t="s">
        <v>11</v>
      </c>
      <c r="AP568" t="s">
        <v>11</v>
      </c>
      <c r="AQ568" t="s">
        <v>120</v>
      </c>
      <c r="AR568" t="s">
        <v>11</v>
      </c>
      <c r="AS568" t="s">
        <v>11</v>
      </c>
      <c r="AT568" t="s">
        <v>11</v>
      </c>
      <c r="AU568" t="s">
        <v>11</v>
      </c>
      <c r="AV568" t="s">
        <v>11</v>
      </c>
      <c r="AW568" t="s">
        <v>11</v>
      </c>
      <c r="AX568" t="s">
        <v>11</v>
      </c>
      <c r="AY568" t="s">
        <v>11</v>
      </c>
      <c r="AZ568" t="s">
        <v>11</v>
      </c>
      <c r="BA568" t="s">
        <v>11</v>
      </c>
      <c r="BB568" t="s">
        <v>11</v>
      </c>
      <c r="BC568" t="s">
        <v>11</v>
      </c>
      <c r="BD568" t="s">
        <v>11</v>
      </c>
      <c r="BE568" t="s">
        <v>11</v>
      </c>
      <c r="BF568" t="s">
        <v>11</v>
      </c>
      <c r="BG568" t="s">
        <v>11</v>
      </c>
      <c r="BH568" t="s">
        <v>4001</v>
      </c>
      <c r="BI568" t="s">
        <v>3997</v>
      </c>
      <c r="BJ568" t="s">
        <v>4002</v>
      </c>
      <c r="BK568" t="s">
        <v>4003</v>
      </c>
    </row>
    <row r="569" spans="1:63" x14ac:dyDescent="0.3">
      <c r="A569" t="s">
        <v>2430</v>
      </c>
      <c r="B569" t="s">
        <v>95</v>
      </c>
      <c r="C569" t="s">
        <v>2431</v>
      </c>
      <c r="D569" t="s">
        <v>1813</v>
      </c>
      <c r="E569" t="s">
        <v>3999</v>
      </c>
      <c r="F569">
        <v>609</v>
      </c>
      <c r="G569">
        <v>85.9</v>
      </c>
      <c r="I569">
        <v>7.3</v>
      </c>
      <c r="K569">
        <v>6.8</v>
      </c>
      <c r="AF569">
        <v>9.1512000000000011</v>
      </c>
      <c r="AG569">
        <v>9.18</v>
      </c>
      <c r="AI569" t="s">
        <v>0</v>
      </c>
      <c r="AJ569" t="s">
        <v>547</v>
      </c>
      <c r="AK569" t="s">
        <v>1769</v>
      </c>
      <c r="AL569" t="s">
        <v>11</v>
      </c>
      <c r="AM569" t="s">
        <v>11</v>
      </c>
      <c r="AN569" t="s">
        <v>11</v>
      </c>
      <c r="AO569" t="s">
        <v>11</v>
      </c>
      <c r="AP569" t="s">
        <v>11</v>
      </c>
      <c r="AQ569" t="s">
        <v>11</v>
      </c>
      <c r="AR569" t="s">
        <v>11</v>
      </c>
      <c r="AS569" t="s">
        <v>11</v>
      </c>
      <c r="AT569" t="s">
        <v>11</v>
      </c>
      <c r="AU569" t="s">
        <v>11</v>
      </c>
      <c r="AV569" t="s">
        <v>11</v>
      </c>
      <c r="AW569" t="s">
        <v>11</v>
      </c>
      <c r="AX569" t="s">
        <v>11</v>
      </c>
      <c r="AY569" t="s">
        <v>11</v>
      </c>
      <c r="AZ569" t="s">
        <v>11</v>
      </c>
      <c r="BA569" t="s">
        <v>11</v>
      </c>
      <c r="BB569" t="s">
        <v>11</v>
      </c>
      <c r="BC569" t="s">
        <v>11</v>
      </c>
      <c r="BD569" t="s">
        <v>11</v>
      </c>
      <c r="BE569" t="s">
        <v>11</v>
      </c>
      <c r="BF569" t="s">
        <v>11</v>
      </c>
      <c r="BG569" t="s">
        <v>11</v>
      </c>
      <c r="BH569" t="s">
        <v>4004</v>
      </c>
      <c r="BI569" t="s">
        <v>2430</v>
      </c>
      <c r="BJ569" t="s">
        <v>2434</v>
      </c>
      <c r="BK569" t="s">
        <v>2435</v>
      </c>
    </row>
    <row r="570" spans="1:63" x14ac:dyDescent="0.3">
      <c r="A570" t="s">
        <v>4005</v>
      </c>
      <c r="B570" t="s">
        <v>95</v>
      </c>
      <c r="C570" t="s">
        <v>4006</v>
      </c>
      <c r="D570" t="s">
        <v>1484</v>
      </c>
      <c r="E570" t="s">
        <v>3999</v>
      </c>
      <c r="F570">
        <v>610</v>
      </c>
      <c r="G570">
        <v>86.3</v>
      </c>
      <c r="I570">
        <v>7.2</v>
      </c>
      <c r="K570">
        <v>4.7</v>
      </c>
      <c r="P570">
        <v>1.8</v>
      </c>
      <c r="AF570">
        <v>8.9648900000000022</v>
      </c>
      <c r="AG570">
        <v>8.92</v>
      </c>
      <c r="AI570" t="s">
        <v>0</v>
      </c>
      <c r="AJ570" t="s">
        <v>4007</v>
      </c>
      <c r="AK570" t="s">
        <v>1543</v>
      </c>
      <c r="AL570" t="s">
        <v>11</v>
      </c>
      <c r="AM570" t="s">
        <v>11</v>
      </c>
      <c r="AN570" t="s">
        <v>11</v>
      </c>
      <c r="AO570" t="s">
        <v>11</v>
      </c>
      <c r="AP570" t="s">
        <v>11</v>
      </c>
      <c r="AQ570" t="s">
        <v>11</v>
      </c>
      <c r="AR570" t="s">
        <v>206</v>
      </c>
      <c r="AS570" t="s">
        <v>11</v>
      </c>
      <c r="AT570" t="s">
        <v>11</v>
      </c>
      <c r="AU570" t="s">
        <v>11</v>
      </c>
      <c r="AV570" t="s">
        <v>11</v>
      </c>
      <c r="AW570" t="s">
        <v>11</v>
      </c>
      <c r="AX570" t="s">
        <v>11</v>
      </c>
      <c r="AY570" t="s">
        <v>11</v>
      </c>
      <c r="AZ570" t="s">
        <v>11</v>
      </c>
      <c r="BA570" t="s">
        <v>11</v>
      </c>
      <c r="BB570" t="s">
        <v>11</v>
      </c>
      <c r="BC570" t="s">
        <v>11</v>
      </c>
      <c r="BD570" t="s">
        <v>11</v>
      </c>
      <c r="BE570" t="s">
        <v>11</v>
      </c>
      <c r="BF570" t="s">
        <v>11</v>
      </c>
      <c r="BG570" t="s">
        <v>11</v>
      </c>
      <c r="BH570" t="s">
        <v>4008</v>
      </c>
      <c r="BI570" t="s">
        <v>4005</v>
      </c>
      <c r="BJ570" t="s">
        <v>4009</v>
      </c>
      <c r="BK570" t="s">
        <v>4010</v>
      </c>
    </row>
    <row r="571" spans="1:63" x14ac:dyDescent="0.3">
      <c r="A571" t="s">
        <v>4011</v>
      </c>
      <c r="B571" t="s">
        <v>95</v>
      </c>
      <c r="C571" t="s">
        <v>4012</v>
      </c>
      <c r="D571" t="s">
        <v>3906</v>
      </c>
      <c r="E571" t="s">
        <v>3999</v>
      </c>
      <c r="F571">
        <v>611</v>
      </c>
      <c r="G571">
        <v>85.8</v>
      </c>
      <c r="I571">
        <v>7.3</v>
      </c>
      <c r="K571">
        <v>4.8</v>
      </c>
      <c r="O571">
        <v>2.1</v>
      </c>
      <c r="AF571">
        <v>8.8856099999999998</v>
      </c>
      <c r="AG571">
        <v>8.5</v>
      </c>
      <c r="AI571" t="s">
        <v>0</v>
      </c>
      <c r="AJ571" t="s">
        <v>547</v>
      </c>
      <c r="AK571" t="s">
        <v>2446</v>
      </c>
      <c r="AL571" t="s">
        <v>11</v>
      </c>
      <c r="AM571" t="s">
        <v>11</v>
      </c>
      <c r="AN571" t="s">
        <v>11</v>
      </c>
      <c r="AO571" t="s">
        <v>11</v>
      </c>
      <c r="AP571" t="s">
        <v>130</v>
      </c>
      <c r="AQ571" t="s">
        <v>11</v>
      </c>
      <c r="AR571" t="s">
        <v>11</v>
      </c>
      <c r="AS571" t="s">
        <v>11</v>
      </c>
      <c r="AT571" t="s">
        <v>11</v>
      </c>
      <c r="AU571" t="s">
        <v>11</v>
      </c>
      <c r="AV571" t="s">
        <v>11</v>
      </c>
      <c r="AW571" t="s">
        <v>11</v>
      </c>
      <c r="AX571" t="s">
        <v>11</v>
      </c>
      <c r="AY571" t="s">
        <v>11</v>
      </c>
      <c r="AZ571" t="s">
        <v>11</v>
      </c>
      <c r="BA571" t="s">
        <v>11</v>
      </c>
      <c r="BB571" t="s">
        <v>11</v>
      </c>
      <c r="BC571" t="s">
        <v>11</v>
      </c>
      <c r="BD571" t="s">
        <v>11</v>
      </c>
      <c r="BE571" t="s">
        <v>11</v>
      </c>
      <c r="BF571" t="s">
        <v>11</v>
      </c>
      <c r="BG571" t="s">
        <v>11</v>
      </c>
      <c r="BH571" t="s">
        <v>4013</v>
      </c>
      <c r="BI571" t="s">
        <v>4011</v>
      </c>
      <c r="BJ571" t="s">
        <v>4014</v>
      </c>
      <c r="BK571" t="s">
        <v>4015</v>
      </c>
    </row>
    <row r="572" spans="1:63" x14ac:dyDescent="0.3">
      <c r="A572" t="s">
        <v>4016</v>
      </c>
      <c r="B572" t="s">
        <v>31</v>
      </c>
      <c r="C572" t="s">
        <v>4017</v>
      </c>
      <c r="D572" t="s">
        <v>4018</v>
      </c>
      <c r="E572" t="s">
        <v>3999</v>
      </c>
      <c r="F572">
        <v>614</v>
      </c>
      <c r="G572">
        <v>78.7</v>
      </c>
      <c r="H572">
        <v>6.4</v>
      </c>
      <c r="I572">
        <v>7.7</v>
      </c>
      <c r="K572">
        <v>3</v>
      </c>
      <c r="O572">
        <v>4.2</v>
      </c>
      <c r="AF572">
        <v>8.6164320000000014</v>
      </c>
      <c r="AG572">
        <v>8.58</v>
      </c>
      <c r="AI572" t="s">
        <v>0</v>
      </c>
      <c r="AJ572" t="s">
        <v>4019</v>
      </c>
      <c r="AK572" t="s">
        <v>1498</v>
      </c>
      <c r="AL572" t="s">
        <v>4020</v>
      </c>
      <c r="AM572" t="s">
        <v>11</v>
      </c>
      <c r="AN572" t="s">
        <v>11</v>
      </c>
      <c r="AO572" t="s">
        <v>11</v>
      </c>
      <c r="AP572" t="s">
        <v>4021</v>
      </c>
      <c r="AQ572" t="s">
        <v>11</v>
      </c>
      <c r="AR572" t="s">
        <v>11</v>
      </c>
      <c r="AS572" t="s">
        <v>11</v>
      </c>
      <c r="AT572" t="s">
        <v>11</v>
      </c>
      <c r="AU572" t="s">
        <v>11</v>
      </c>
      <c r="AV572" t="s">
        <v>11</v>
      </c>
      <c r="AW572" t="s">
        <v>11</v>
      </c>
      <c r="AX572" t="s">
        <v>11</v>
      </c>
      <c r="AY572" t="s">
        <v>11</v>
      </c>
      <c r="AZ572" t="s">
        <v>11</v>
      </c>
      <c r="BA572" t="s">
        <v>11</v>
      </c>
      <c r="BB572" t="s">
        <v>11</v>
      </c>
      <c r="BC572" t="s">
        <v>11</v>
      </c>
      <c r="BD572" t="s">
        <v>11</v>
      </c>
      <c r="BE572" t="s">
        <v>11</v>
      </c>
      <c r="BF572" t="s">
        <v>11</v>
      </c>
      <c r="BG572" t="s">
        <v>11</v>
      </c>
      <c r="BH572" t="s">
        <v>4022</v>
      </c>
      <c r="BI572" t="s">
        <v>4016</v>
      </c>
      <c r="BJ572" t="s">
        <v>4023</v>
      </c>
      <c r="BK572" t="s">
        <v>4024</v>
      </c>
    </row>
    <row r="573" spans="1:63" x14ac:dyDescent="0.3">
      <c r="A573" t="s">
        <v>4025</v>
      </c>
      <c r="B573" t="s">
        <v>95</v>
      </c>
      <c r="C573" t="s">
        <v>4026</v>
      </c>
      <c r="D573" t="s">
        <v>4027</v>
      </c>
      <c r="E573" t="s">
        <v>3999</v>
      </c>
      <c r="F573">
        <v>615</v>
      </c>
      <c r="G573">
        <v>84.9</v>
      </c>
      <c r="I573">
        <v>7.2</v>
      </c>
      <c r="K573">
        <v>7.2</v>
      </c>
      <c r="V573">
        <v>0.7</v>
      </c>
      <c r="AF573">
        <v>9.1528100000000023</v>
      </c>
      <c r="AG573">
        <v>9.25</v>
      </c>
      <c r="AI573" t="s">
        <v>0</v>
      </c>
      <c r="AJ573" t="s">
        <v>4007</v>
      </c>
      <c r="AK573" t="s">
        <v>165</v>
      </c>
      <c r="AL573" t="s">
        <v>11</v>
      </c>
      <c r="AM573" t="s">
        <v>11</v>
      </c>
      <c r="AN573" t="s">
        <v>11</v>
      </c>
      <c r="AO573" t="s">
        <v>11</v>
      </c>
      <c r="AP573" t="s">
        <v>11</v>
      </c>
      <c r="AQ573" t="s">
        <v>11</v>
      </c>
      <c r="AR573" t="s">
        <v>11</v>
      </c>
      <c r="AS573" t="s">
        <v>11</v>
      </c>
      <c r="AT573" t="s">
        <v>11</v>
      </c>
      <c r="AU573" t="s">
        <v>11</v>
      </c>
      <c r="AV573" t="s">
        <v>11</v>
      </c>
      <c r="AW573" t="s">
        <v>11</v>
      </c>
      <c r="AX573" t="s">
        <v>4028</v>
      </c>
      <c r="AY573" t="s">
        <v>11</v>
      </c>
      <c r="AZ573" t="s">
        <v>11</v>
      </c>
      <c r="BA573" t="s">
        <v>11</v>
      </c>
      <c r="BB573" t="s">
        <v>11</v>
      </c>
      <c r="BC573" t="s">
        <v>11</v>
      </c>
      <c r="BD573" t="s">
        <v>11</v>
      </c>
      <c r="BE573" t="s">
        <v>11</v>
      </c>
      <c r="BF573" t="s">
        <v>11</v>
      </c>
      <c r="BG573" t="s">
        <v>11</v>
      </c>
      <c r="BH573" t="s">
        <v>4029</v>
      </c>
      <c r="BI573" t="s">
        <v>4025</v>
      </c>
      <c r="BJ573" t="s">
        <v>4030</v>
      </c>
      <c r="BK573" t="s">
        <v>4031</v>
      </c>
    </row>
    <row r="574" spans="1:63" x14ac:dyDescent="0.3">
      <c r="A574" t="s">
        <v>4032</v>
      </c>
      <c r="B574" t="s">
        <v>95</v>
      </c>
      <c r="C574" t="s">
        <v>4026</v>
      </c>
      <c r="D574" t="s">
        <v>4033</v>
      </c>
      <c r="E574" t="s">
        <v>3999</v>
      </c>
      <c r="F574">
        <v>616</v>
      </c>
      <c r="G574">
        <v>66.2</v>
      </c>
      <c r="I574">
        <v>7.3</v>
      </c>
      <c r="K574">
        <v>7</v>
      </c>
      <c r="W574">
        <v>19.5</v>
      </c>
      <c r="AF574">
        <v>8.9718300000000006</v>
      </c>
      <c r="AG574">
        <v>9.0399999999999991</v>
      </c>
      <c r="AI574" t="s">
        <v>0</v>
      </c>
      <c r="AJ574" t="s">
        <v>547</v>
      </c>
      <c r="AK574" t="s">
        <v>538</v>
      </c>
      <c r="AL574" t="s">
        <v>11</v>
      </c>
      <c r="AM574" t="s">
        <v>11</v>
      </c>
      <c r="AN574" t="s">
        <v>11</v>
      </c>
      <c r="AO574" t="s">
        <v>11</v>
      </c>
      <c r="AP574" t="s">
        <v>11</v>
      </c>
      <c r="AQ574" t="s">
        <v>11</v>
      </c>
      <c r="AR574" t="s">
        <v>11</v>
      </c>
      <c r="AS574" t="s">
        <v>11</v>
      </c>
      <c r="AT574" t="s">
        <v>11</v>
      </c>
      <c r="AU574" t="s">
        <v>11</v>
      </c>
      <c r="AV574" t="s">
        <v>11</v>
      </c>
      <c r="AW574" t="s">
        <v>11</v>
      </c>
      <c r="AX574" t="s">
        <v>11</v>
      </c>
      <c r="AY574" t="s">
        <v>4034</v>
      </c>
      <c r="AZ574" t="s">
        <v>11</v>
      </c>
      <c r="BA574" t="s">
        <v>11</v>
      </c>
      <c r="BB574" t="s">
        <v>11</v>
      </c>
      <c r="BC574" t="s">
        <v>11</v>
      </c>
      <c r="BD574" t="s">
        <v>11</v>
      </c>
      <c r="BE574" t="s">
        <v>11</v>
      </c>
      <c r="BF574" t="s">
        <v>11</v>
      </c>
      <c r="BG574" t="s">
        <v>11</v>
      </c>
      <c r="BH574" t="s">
        <v>4035</v>
      </c>
      <c r="BI574" t="s">
        <v>4032</v>
      </c>
      <c r="BJ574" t="s">
        <v>4036</v>
      </c>
      <c r="BK574" t="s">
        <v>4037</v>
      </c>
    </row>
    <row r="575" spans="1:63" x14ac:dyDescent="0.3">
      <c r="A575" t="s">
        <v>4038</v>
      </c>
      <c r="B575" t="s">
        <v>95</v>
      </c>
      <c r="C575" t="s">
        <v>4039</v>
      </c>
      <c r="D575" t="s">
        <v>4040</v>
      </c>
      <c r="E575" t="s">
        <v>3999</v>
      </c>
      <c r="F575">
        <v>617</v>
      </c>
      <c r="G575">
        <v>76.2</v>
      </c>
      <c r="I575">
        <v>7.2</v>
      </c>
      <c r="J575">
        <v>9.8000000000000007</v>
      </c>
      <c r="K575">
        <v>6.8</v>
      </c>
      <c r="AF575">
        <v>8.9898200000000017</v>
      </c>
      <c r="AG575">
        <v>9.2899999999999991</v>
      </c>
      <c r="AI575" t="s">
        <v>0</v>
      </c>
      <c r="AJ575" t="s">
        <v>4007</v>
      </c>
      <c r="AK575" t="s">
        <v>1769</v>
      </c>
      <c r="AL575" t="s">
        <v>11</v>
      </c>
      <c r="AM575" t="s">
        <v>4041</v>
      </c>
      <c r="AN575" t="s">
        <v>11</v>
      </c>
      <c r="AO575" t="s">
        <v>11</v>
      </c>
      <c r="AP575" t="s">
        <v>11</v>
      </c>
      <c r="AQ575" t="s">
        <v>11</v>
      </c>
      <c r="AR575" t="s">
        <v>11</v>
      </c>
      <c r="AS575" t="s">
        <v>11</v>
      </c>
      <c r="AT575" t="s">
        <v>11</v>
      </c>
      <c r="AU575" t="s">
        <v>11</v>
      </c>
      <c r="AV575" t="s">
        <v>11</v>
      </c>
      <c r="AW575" t="s">
        <v>11</v>
      </c>
      <c r="AX575" t="s">
        <v>11</v>
      </c>
      <c r="AY575" t="s">
        <v>11</v>
      </c>
      <c r="AZ575" t="s">
        <v>11</v>
      </c>
      <c r="BA575" t="s">
        <v>11</v>
      </c>
      <c r="BB575" t="s">
        <v>11</v>
      </c>
      <c r="BC575" t="s">
        <v>11</v>
      </c>
      <c r="BD575" t="s">
        <v>11</v>
      </c>
      <c r="BE575" t="s">
        <v>11</v>
      </c>
      <c r="BF575" t="s">
        <v>11</v>
      </c>
      <c r="BG575" t="s">
        <v>11</v>
      </c>
      <c r="BH575" t="s">
        <v>4042</v>
      </c>
      <c r="BI575" t="s">
        <v>4038</v>
      </c>
      <c r="BJ575" t="s">
        <v>4043</v>
      </c>
      <c r="BK575" t="s">
        <v>4044</v>
      </c>
    </row>
    <row r="576" spans="1:63" x14ac:dyDescent="0.3">
      <c r="A576" t="s">
        <v>4045</v>
      </c>
      <c r="B576" t="s">
        <v>95</v>
      </c>
      <c r="C576" t="s">
        <v>4046</v>
      </c>
      <c r="D576" t="s">
        <v>4047</v>
      </c>
      <c r="E576" t="s">
        <v>3999</v>
      </c>
      <c r="F576">
        <v>618</v>
      </c>
      <c r="G576">
        <v>72.3</v>
      </c>
      <c r="I576">
        <v>7.4</v>
      </c>
      <c r="J576">
        <v>13.2</v>
      </c>
      <c r="K576">
        <v>7.1</v>
      </c>
      <c r="AF576">
        <v>8.950330000000001</v>
      </c>
      <c r="AG576">
        <v>9.39</v>
      </c>
      <c r="AI576" t="s">
        <v>0</v>
      </c>
      <c r="AJ576" t="s">
        <v>4048</v>
      </c>
      <c r="AK576" t="s">
        <v>1468</v>
      </c>
      <c r="AL576" t="s">
        <v>11</v>
      </c>
      <c r="AM576" t="s">
        <v>4049</v>
      </c>
      <c r="AN576" t="s">
        <v>11</v>
      </c>
      <c r="AO576" t="s">
        <v>11</v>
      </c>
      <c r="AP576" t="s">
        <v>11</v>
      </c>
      <c r="AQ576" t="s">
        <v>11</v>
      </c>
      <c r="AR576" t="s">
        <v>11</v>
      </c>
      <c r="AS576" t="s">
        <v>11</v>
      </c>
      <c r="AT576" t="s">
        <v>11</v>
      </c>
      <c r="AU576" t="s">
        <v>11</v>
      </c>
      <c r="AV576" t="s">
        <v>11</v>
      </c>
      <c r="AW576" t="s">
        <v>11</v>
      </c>
      <c r="AX576" t="s">
        <v>11</v>
      </c>
      <c r="AY576" t="s">
        <v>11</v>
      </c>
      <c r="AZ576" t="s">
        <v>11</v>
      </c>
      <c r="BA576" t="s">
        <v>11</v>
      </c>
      <c r="BB576" t="s">
        <v>11</v>
      </c>
      <c r="BC576" t="s">
        <v>11</v>
      </c>
      <c r="BD576" t="s">
        <v>11</v>
      </c>
      <c r="BE576" t="s">
        <v>11</v>
      </c>
      <c r="BF576" t="s">
        <v>11</v>
      </c>
      <c r="BG576" t="s">
        <v>11</v>
      </c>
      <c r="BH576" t="s">
        <v>4050</v>
      </c>
      <c r="BI576" t="s">
        <v>4045</v>
      </c>
      <c r="BJ576" t="s">
        <v>4051</v>
      </c>
      <c r="BK576" t="s">
        <v>4052</v>
      </c>
    </row>
    <row r="577" spans="1:63" x14ac:dyDescent="0.3">
      <c r="A577" t="s">
        <v>4053</v>
      </c>
      <c r="B577" t="s">
        <v>95</v>
      </c>
      <c r="C577" t="s">
        <v>4054</v>
      </c>
      <c r="D577" t="s">
        <v>4055</v>
      </c>
      <c r="E577" t="s">
        <v>3999</v>
      </c>
      <c r="F577">
        <v>619</v>
      </c>
      <c r="G577">
        <v>68.2</v>
      </c>
      <c r="I577">
        <v>7.5</v>
      </c>
      <c r="J577">
        <v>17.3</v>
      </c>
      <c r="K577">
        <v>7</v>
      </c>
      <c r="AF577">
        <v>8.8636700000000008</v>
      </c>
      <c r="AG577">
        <v>9.1300000000000008</v>
      </c>
      <c r="AI577" t="s">
        <v>0</v>
      </c>
      <c r="AJ577" t="s">
        <v>297</v>
      </c>
      <c r="AK577" t="s">
        <v>538</v>
      </c>
      <c r="AL577" t="s">
        <v>11</v>
      </c>
      <c r="AM577" t="s">
        <v>4056</v>
      </c>
      <c r="AN577" t="s">
        <v>11</v>
      </c>
      <c r="AO577" t="s">
        <v>11</v>
      </c>
      <c r="AP577" t="s">
        <v>11</v>
      </c>
      <c r="AQ577" t="s">
        <v>11</v>
      </c>
      <c r="AR577" t="s">
        <v>11</v>
      </c>
      <c r="AS577" t="s">
        <v>11</v>
      </c>
      <c r="AT577" t="s">
        <v>11</v>
      </c>
      <c r="AU577" t="s">
        <v>11</v>
      </c>
      <c r="AV577" t="s">
        <v>11</v>
      </c>
      <c r="AW577" t="s">
        <v>11</v>
      </c>
      <c r="AX577" t="s">
        <v>11</v>
      </c>
      <c r="AY577" t="s">
        <v>11</v>
      </c>
      <c r="AZ577" t="s">
        <v>11</v>
      </c>
      <c r="BA577" t="s">
        <v>11</v>
      </c>
      <c r="BB577" t="s">
        <v>11</v>
      </c>
      <c r="BC577" t="s">
        <v>11</v>
      </c>
      <c r="BD577" t="s">
        <v>11</v>
      </c>
      <c r="BE577" t="s">
        <v>11</v>
      </c>
      <c r="BF577" t="s">
        <v>11</v>
      </c>
      <c r="BG577" t="s">
        <v>11</v>
      </c>
      <c r="BH577" t="s">
        <v>4057</v>
      </c>
      <c r="BI577" t="s">
        <v>4053</v>
      </c>
      <c r="BJ577" t="s">
        <v>4058</v>
      </c>
      <c r="BK577" t="s">
        <v>4059</v>
      </c>
    </row>
    <row r="578" spans="1:63" x14ac:dyDescent="0.3">
      <c r="A578" t="s">
        <v>4060</v>
      </c>
      <c r="B578" t="s">
        <v>95</v>
      </c>
      <c r="C578" t="s">
        <v>4061</v>
      </c>
      <c r="D578" t="s">
        <v>4062</v>
      </c>
      <c r="E578" t="s">
        <v>3999</v>
      </c>
      <c r="F578">
        <v>620</v>
      </c>
      <c r="G578">
        <v>63.9</v>
      </c>
      <c r="I578">
        <v>7.6</v>
      </c>
      <c r="J578">
        <v>21.3</v>
      </c>
      <c r="K578">
        <v>7.2</v>
      </c>
      <c r="AF578">
        <v>8.8097700000000003</v>
      </c>
      <c r="AG578">
        <v>9.16</v>
      </c>
      <c r="AI578" t="s">
        <v>0</v>
      </c>
      <c r="AJ578" t="s">
        <v>138</v>
      </c>
      <c r="AK578" t="s">
        <v>165</v>
      </c>
      <c r="AL578" t="s">
        <v>11</v>
      </c>
      <c r="AM578" t="s">
        <v>4063</v>
      </c>
      <c r="AN578" t="s">
        <v>11</v>
      </c>
      <c r="AO578" t="s">
        <v>11</v>
      </c>
      <c r="AP578" t="s">
        <v>11</v>
      </c>
      <c r="AQ578" t="s">
        <v>11</v>
      </c>
      <c r="AR578" t="s">
        <v>11</v>
      </c>
      <c r="AS578" t="s">
        <v>11</v>
      </c>
      <c r="AT578" t="s">
        <v>11</v>
      </c>
      <c r="AU578" t="s">
        <v>11</v>
      </c>
      <c r="AV578" t="s">
        <v>11</v>
      </c>
      <c r="AW578" t="s">
        <v>11</v>
      </c>
      <c r="AX578" t="s">
        <v>11</v>
      </c>
      <c r="AY578" t="s">
        <v>11</v>
      </c>
      <c r="AZ578" t="s">
        <v>11</v>
      </c>
      <c r="BA578" t="s">
        <v>11</v>
      </c>
      <c r="BB578" t="s">
        <v>11</v>
      </c>
      <c r="BC578" t="s">
        <v>11</v>
      </c>
      <c r="BD578" t="s">
        <v>11</v>
      </c>
      <c r="BE578" t="s">
        <v>11</v>
      </c>
      <c r="BF578" t="s">
        <v>11</v>
      </c>
      <c r="BG578" t="s">
        <v>11</v>
      </c>
      <c r="BH578" t="s">
        <v>4064</v>
      </c>
      <c r="BI578" t="s">
        <v>4060</v>
      </c>
      <c r="BJ578" t="s">
        <v>4065</v>
      </c>
      <c r="BK578" t="s">
        <v>4066</v>
      </c>
    </row>
    <row r="579" spans="1:63" x14ac:dyDescent="0.3">
      <c r="A579" t="s">
        <v>4067</v>
      </c>
      <c r="B579" t="s">
        <v>95</v>
      </c>
      <c r="C579" t="s">
        <v>4068</v>
      </c>
      <c r="D579" t="s">
        <v>4069</v>
      </c>
      <c r="E579" t="s">
        <v>3999</v>
      </c>
      <c r="F579">
        <v>621</v>
      </c>
      <c r="G579">
        <v>65.7</v>
      </c>
      <c r="I579">
        <v>4.8</v>
      </c>
      <c r="J579">
        <v>22.9</v>
      </c>
      <c r="K579">
        <v>6.6</v>
      </c>
      <c r="AF579">
        <v>8.89391</v>
      </c>
      <c r="AG579">
        <v>8.7799999999999994</v>
      </c>
      <c r="AI579" t="s">
        <v>0</v>
      </c>
      <c r="AJ579" t="s">
        <v>2774</v>
      </c>
      <c r="AK579" t="s">
        <v>3966</v>
      </c>
      <c r="AL579" t="s">
        <v>11</v>
      </c>
      <c r="AM579" t="s">
        <v>4070</v>
      </c>
      <c r="AN579" t="s">
        <v>11</v>
      </c>
      <c r="AO579" t="s">
        <v>11</v>
      </c>
      <c r="AP579" t="s">
        <v>11</v>
      </c>
      <c r="AQ579" t="s">
        <v>11</v>
      </c>
      <c r="AR579" t="s">
        <v>11</v>
      </c>
      <c r="AS579" t="s">
        <v>11</v>
      </c>
      <c r="AT579" t="s">
        <v>11</v>
      </c>
      <c r="AU579" t="s">
        <v>11</v>
      </c>
      <c r="AV579" t="s">
        <v>11</v>
      </c>
      <c r="AW579" t="s">
        <v>11</v>
      </c>
      <c r="AX579" t="s">
        <v>11</v>
      </c>
      <c r="AY579" t="s">
        <v>11</v>
      </c>
      <c r="AZ579" t="s">
        <v>11</v>
      </c>
      <c r="BA579" t="s">
        <v>11</v>
      </c>
      <c r="BB579" t="s">
        <v>11</v>
      </c>
      <c r="BC579" t="s">
        <v>11</v>
      </c>
      <c r="BD579" t="s">
        <v>11</v>
      </c>
      <c r="BE579" t="s">
        <v>11</v>
      </c>
      <c r="BF579" t="s">
        <v>11</v>
      </c>
      <c r="BG579" t="s">
        <v>11</v>
      </c>
      <c r="BH579" t="s">
        <v>4071</v>
      </c>
      <c r="BI579" t="s">
        <v>4067</v>
      </c>
      <c r="BJ579" t="s">
        <v>4072</v>
      </c>
      <c r="BK579" t="s">
        <v>4073</v>
      </c>
    </row>
    <row r="580" spans="1:63" x14ac:dyDescent="0.3">
      <c r="A580" t="s">
        <v>4074</v>
      </c>
      <c r="B580" t="s">
        <v>160</v>
      </c>
      <c r="C580" t="s">
        <v>4075</v>
      </c>
      <c r="D580" t="s">
        <v>4076</v>
      </c>
      <c r="E580" t="s">
        <v>3999</v>
      </c>
      <c r="F580">
        <v>622</v>
      </c>
      <c r="G580">
        <v>53.399999999999991</v>
      </c>
      <c r="H580">
        <v>11.1</v>
      </c>
      <c r="I580">
        <v>7.5</v>
      </c>
      <c r="J580">
        <v>20.8</v>
      </c>
      <c r="K580">
        <v>7.2</v>
      </c>
      <c r="AF580">
        <v>8.8254079999999995</v>
      </c>
      <c r="AG580">
        <v>9.1300000000000008</v>
      </c>
      <c r="AI580" t="s">
        <v>0</v>
      </c>
      <c r="AJ580" t="s">
        <v>297</v>
      </c>
      <c r="AK580" t="s">
        <v>165</v>
      </c>
      <c r="AL580" t="s">
        <v>4077</v>
      </c>
      <c r="AM580" t="s">
        <v>4078</v>
      </c>
      <c r="AN580" t="s">
        <v>11</v>
      </c>
      <c r="AO580" t="s">
        <v>11</v>
      </c>
      <c r="AP580" t="s">
        <v>11</v>
      </c>
      <c r="AQ580" t="s">
        <v>11</v>
      </c>
      <c r="AR580" t="s">
        <v>11</v>
      </c>
      <c r="AS580" t="s">
        <v>11</v>
      </c>
      <c r="AT580" t="s">
        <v>11</v>
      </c>
      <c r="AU580" t="s">
        <v>11</v>
      </c>
      <c r="AV580" t="s">
        <v>11</v>
      </c>
      <c r="AW580" t="s">
        <v>11</v>
      </c>
      <c r="AX580" t="s">
        <v>11</v>
      </c>
      <c r="AY580" t="s">
        <v>11</v>
      </c>
      <c r="AZ580" t="s">
        <v>11</v>
      </c>
      <c r="BA580" t="s">
        <v>11</v>
      </c>
      <c r="BB580" t="s">
        <v>11</v>
      </c>
      <c r="BC580" t="s">
        <v>11</v>
      </c>
      <c r="BD580" t="s">
        <v>11</v>
      </c>
      <c r="BE580" t="s">
        <v>11</v>
      </c>
      <c r="BF580" t="s">
        <v>11</v>
      </c>
      <c r="BG580" t="s">
        <v>11</v>
      </c>
      <c r="BH580" t="s">
        <v>4079</v>
      </c>
      <c r="BI580" t="s">
        <v>4074</v>
      </c>
      <c r="BJ580" t="s">
        <v>4080</v>
      </c>
      <c r="BK580" t="s">
        <v>4081</v>
      </c>
    </row>
    <row r="581" spans="1:63" x14ac:dyDescent="0.3">
      <c r="A581" t="s">
        <v>4082</v>
      </c>
      <c r="B581" t="s">
        <v>160</v>
      </c>
      <c r="C581" t="s">
        <v>4083</v>
      </c>
      <c r="D581" t="s">
        <v>4084</v>
      </c>
      <c r="E581" t="s">
        <v>3999</v>
      </c>
      <c r="F581">
        <v>623</v>
      </c>
      <c r="G581">
        <v>42.6</v>
      </c>
      <c r="H581">
        <v>21.7</v>
      </c>
      <c r="I581">
        <v>6.9</v>
      </c>
      <c r="J581">
        <v>21.5</v>
      </c>
      <c r="K581">
        <v>7.3</v>
      </c>
      <c r="AF581">
        <v>8.8618360000000003</v>
      </c>
      <c r="AG581">
        <v>9.07</v>
      </c>
      <c r="AI581" t="s">
        <v>0</v>
      </c>
      <c r="AJ581" t="s">
        <v>4085</v>
      </c>
      <c r="AK581" t="s">
        <v>509</v>
      </c>
      <c r="AL581" t="s">
        <v>4086</v>
      </c>
      <c r="AM581" t="s">
        <v>1017</v>
      </c>
      <c r="AN581" t="s">
        <v>11</v>
      </c>
      <c r="AO581" t="s">
        <v>11</v>
      </c>
      <c r="AP581" t="s">
        <v>11</v>
      </c>
      <c r="AQ581" t="s">
        <v>11</v>
      </c>
      <c r="AR581" t="s">
        <v>11</v>
      </c>
      <c r="AS581" t="s">
        <v>11</v>
      </c>
      <c r="AT581" t="s">
        <v>11</v>
      </c>
      <c r="AU581" t="s">
        <v>11</v>
      </c>
      <c r="AV581" t="s">
        <v>11</v>
      </c>
      <c r="AW581" t="s">
        <v>11</v>
      </c>
      <c r="AX581" t="s">
        <v>11</v>
      </c>
      <c r="AY581" t="s">
        <v>11</v>
      </c>
      <c r="AZ581" t="s">
        <v>11</v>
      </c>
      <c r="BA581" t="s">
        <v>11</v>
      </c>
      <c r="BB581" t="s">
        <v>11</v>
      </c>
      <c r="BC581" t="s">
        <v>11</v>
      </c>
      <c r="BD581" t="s">
        <v>11</v>
      </c>
      <c r="BE581" t="s">
        <v>11</v>
      </c>
      <c r="BF581" t="s">
        <v>11</v>
      </c>
      <c r="BG581" t="s">
        <v>11</v>
      </c>
      <c r="BH581" t="s">
        <v>4087</v>
      </c>
      <c r="BI581" t="s">
        <v>4082</v>
      </c>
      <c r="BJ581" t="s">
        <v>4088</v>
      </c>
      <c r="BK581" t="s">
        <v>4089</v>
      </c>
    </row>
    <row r="582" spans="1:63" x14ac:dyDescent="0.3">
      <c r="A582" t="s">
        <v>4090</v>
      </c>
      <c r="B582" t="s">
        <v>160</v>
      </c>
      <c r="C582" t="s">
        <v>4091</v>
      </c>
      <c r="D582" t="s">
        <v>4092</v>
      </c>
      <c r="E582" t="s">
        <v>3999</v>
      </c>
      <c r="F582">
        <v>624</v>
      </c>
      <c r="G582">
        <v>31.799999999999997</v>
      </c>
      <c r="H582">
        <v>33.200000000000003</v>
      </c>
      <c r="I582">
        <v>7.7</v>
      </c>
      <c r="J582">
        <v>20.8</v>
      </c>
      <c r="K582">
        <v>6.5</v>
      </c>
      <c r="AF582">
        <v>8.7423260000000003</v>
      </c>
      <c r="AG582">
        <v>9.09</v>
      </c>
      <c r="AI582" t="s">
        <v>0</v>
      </c>
      <c r="AJ582" t="s">
        <v>4019</v>
      </c>
      <c r="AK582" t="s">
        <v>1745</v>
      </c>
      <c r="AL582" t="s">
        <v>4093</v>
      </c>
      <c r="AM582" t="s">
        <v>4078</v>
      </c>
      <c r="AN582" t="s">
        <v>11</v>
      </c>
      <c r="AO582" t="s">
        <v>11</v>
      </c>
      <c r="AP582" t="s">
        <v>11</v>
      </c>
      <c r="AQ582" t="s">
        <v>11</v>
      </c>
      <c r="AR582" t="s">
        <v>11</v>
      </c>
      <c r="AS582" t="s">
        <v>11</v>
      </c>
      <c r="AT582" t="s">
        <v>11</v>
      </c>
      <c r="AU582" t="s">
        <v>11</v>
      </c>
      <c r="AV582" t="s">
        <v>11</v>
      </c>
      <c r="AW582" t="s">
        <v>11</v>
      </c>
      <c r="AX582" t="s">
        <v>11</v>
      </c>
      <c r="AY582" t="s">
        <v>11</v>
      </c>
      <c r="AZ582" t="s">
        <v>11</v>
      </c>
      <c r="BA582" t="s">
        <v>11</v>
      </c>
      <c r="BB582" t="s">
        <v>11</v>
      </c>
      <c r="BC582" t="s">
        <v>11</v>
      </c>
      <c r="BD582" t="s">
        <v>11</v>
      </c>
      <c r="BE582" t="s">
        <v>11</v>
      </c>
      <c r="BF582" t="s">
        <v>11</v>
      </c>
      <c r="BG582" t="s">
        <v>11</v>
      </c>
      <c r="BH582" t="s">
        <v>4094</v>
      </c>
      <c r="BI582" t="s">
        <v>4090</v>
      </c>
      <c r="BJ582" t="s">
        <v>4095</v>
      </c>
      <c r="BK582" t="s">
        <v>4096</v>
      </c>
    </row>
    <row r="583" spans="1:63" x14ac:dyDescent="0.3">
      <c r="A583" t="s">
        <v>4097</v>
      </c>
      <c r="B583" t="s">
        <v>160</v>
      </c>
      <c r="C583" t="s">
        <v>4098</v>
      </c>
      <c r="D583" t="s">
        <v>4099</v>
      </c>
      <c r="E583" t="s">
        <v>3999</v>
      </c>
      <c r="F583">
        <v>625</v>
      </c>
      <c r="G583">
        <v>54.1</v>
      </c>
      <c r="H583">
        <v>10.9</v>
      </c>
      <c r="I583">
        <v>8.5</v>
      </c>
      <c r="J583">
        <v>21</v>
      </c>
      <c r="K583">
        <v>5.5</v>
      </c>
      <c r="AF583">
        <v>8.5840220000000009</v>
      </c>
      <c r="AG583">
        <v>8.89</v>
      </c>
      <c r="AI583" t="s">
        <v>0</v>
      </c>
      <c r="AJ583" t="s">
        <v>335</v>
      </c>
      <c r="AK583" t="s">
        <v>224</v>
      </c>
      <c r="AL583" t="s">
        <v>4100</v>
      </c>
      <c r="AM583" t="s">
        <v>4101</v>
      </c>
      <c r="AN583" t="s">
        <v>11</v>
      </c>
      <c r="AO583" t="s">
        <v>11</v>
      </c>
      <c r="AP583" t="s">
        <v>11</v>
      </c>
      <c r="AQ583" t="s">
        <v>11</v>
      </c>
      <c r="AR583" t="s">
        <v>11</v>
      </c>
      <c r="AS583" t="s">
        <v>11</v>
      </c>
      <c r="AT583" t="s">
        <v>11</v>
      </c>
      <c r="AU583" t="s">
        <v>11</v>
      </c>
      <c r="AV583" t="s">
        <v>11</v>
      </c>
      <c r="AW583" t="s">
        <v>11</v>
      </c>
      <c r="AX583" t="s">
        <v>11</v>
      </c>
      <c r="AY583" t="s">
        <v>11</v>
      </c>
      <c r="AZ583" t="s">
        <v>11</v>
      </c>
      <c r="BA583" t="s">
        <v>11</v>
      </c>
      <c r="BB583" t="s">
        <v>11</v>
      </c>
      <c r="BC583" t="s">
        <v>11</v>
      </c>
      <c r="BD583" t="s">
        <v>11</v>
      </c>
      <c r="BE583" t="s">
        <v>11</v>
      </c>
      <c r="BF583" t="s">
        <v>11</v>
      </c>
      <c r="BG583" t="s">
        <v>11</v>
      </c>
      <c r="BH583" t="s">
        <v>4102</v>
      </c>
      <c r="BI583" t="s">
        <v>4097</v>
      </c>
      <c r="BJ583" t="s">
        <v>4103</v>
      </c>
      <c r="BK583" t="s">
        <v>4104</v>
      </c>
    </row>
    <row r="584" spans="1:63" x14ac:dyDescent="0.3">
      <c r="A584" t="s">
        <v>4105</v>
      </c>
      <c r="B584" t="s">
        <v>160</v>
      </c>
      <c r="C584" t="s">
        <v>4106</v>
      </c>
      <c r="D584" t="s">
        <v>4107</v>
      </c>
      <c r="E584" t="s">
        <v>3999</v>
      </c>
      <c r="F584">
        <v>626</v>
      </c>
      <c r="G584">
        <v>43.599999999999994</v>
      </c>
      <c r="H584">
        <v>21.3</v>
      </c>
      <c r="I584">
        <v>9.3000000000000007</v>
      </c>
      <c r="J584">
        <v>21.1</v>
      </c>
      <c r="K584">
        <v>4.7</v>
      </c>
      <c r="AF584">
        <v>8.4507440000000003</v>
      </c>
      <c r="AG584">
        <v>8.69</v>
      </c>
      <c r="AI584" t="s">
        <v>0</v>
      </c>
      <c r="AJ584" t="s">
        <v>2192</v>
      </c>
      <c r="AK584" t="s">
        <v>1543</v>
      </c>
      <c r="AL584" t="s">
        <v>4108</v>
      </c>
      <c r="AM584" t="s">
        <v>4109</v>
      </c>
      <c r="AN584" t="s">
        <v>11</v>
      </c>
      <c r="AO584" t="s">
        <v>11</v>
      </c>
      <c r="AP584" t="s">
        <v>11</v>
      </c>
      <c r="AQ584" t="s">
        <v>11</v>
      </c>
      <c r="AR584" t="s">
        <v>11</v>
      </c>
      <c r="AS584" t="s">
        <v>11</v>
      </c>
      <c r="AT584" t="s">
        <v>11</v>
      </c>
      <c r="AU584" t="s">
        <v>11</v>
      </c>
      <c r="AV584" t="s">
        <v>11</v>
      </c>
      <c r="AW584" t="s">
        <v>11</v>
      </c>
      <c r="AX584" t="s">
        <v>11</v>
      </c>
      <c r="AY584" t="s">
        <v>11</v>
      </c>
      <c r="AZ584" t="s">
        <v>11</v>
      </c>
      <c r="BA584" t="s">
        <v>11</v>
      </c>
      <c r="BB584" t="s">
        <v>11</v>
      </c>
      <c r="BC584" t="s">
        <v>11</v>
      </c>
      <c r="BD584" t="s">
        <v>11</v>
      </c>
      <c r="BE584" t="s">
        <v>11</v>
      </c>
      <c r="BF584" t="s">
        <v>11</v>
      </c>
      <c r="BG584" t="s">
        <v>11</v>
      </c>
      <c r="BH584" t="s">
        <v>4110</v>
      </c>
      <c r="BI584" t="s">
        <v>4105</v>
      </c>
      <c r="BJ584" t="s">
        <v>4111</v>
      </c>
      <c r="BK584" t="s">
        <v>4112</v>
      </c>
    </row>
    <row r="585" spans="1:63" x14ac:dyDescent="0.3">
      <c r="A585" t="s">
        <v>4113</v>
      </c>
      <c r="B585" t="s">
        <v>160</v>
      </c>
      <c r="C585" t="s">
        <v>4114</v>
      </c>
      <c r="D585" t="s">
        <v>4115</v>
      </c>
      <c r="E585" t="s">
        <v>3999</v>
      </c>
      <c r="F585">
        <v>627</v>
      </c>
      <c r="G585">
        <v>32.399999999999991</v>
      </c>
      <c r="H585">
        <v>32.5</v>
      </c>
      <c r="I585">
        <v>11.2</v>
      </c>
      <c r="J585">
        <v>20.5</v>
      </c>
      <c r="K585">
        <v>3.4</v>
      </c>
      <c r="AF585">
        <v>8.2095500000000001</v>
      </c>
      <c r="AG585">
        <v>8.36</v>
      </c>
      <c r="AI585" t="s">
        <v>0</v>
      </c>
      <c r="AJ585" t="s">
        <v>1744</v>
      </c>
      <c r="AK585" t="s">
        <v>2193</v>
      </c>
      <c r="AL585" t="s">
        <v>3441</v>
      </c>
      <c r="AM585" t="s">
        <v>4116</v>
      </c>
      <c r="AN585" t="s">
        <v>11</v>
      </c>
      <c r="AO585" t="s">
        <v>11</v>
      </c>
      <c r="AP585" t="s">
        <v>11</v>
      </c>
      <c r="AQ585" t="s">
        <v>11</v>
      </c>
      <c r="AR585" t="s">
        <v>11</v>
      </c>
      <c r="AS585" t="s">
        <v>11</v>
      </c>
      <c r="AT585" t="s">
        <v>11</v>
      </c>
      <c r="AU585" t="s">
        <v>11</v>
      </c>
      <c r="AV585" t="s">
        <v>11</v>
      </c>
      <c r="AW585" t="s">
        <v>11</v>
      </c>
      <c r="AX585" t="s">
        <v>11</v>
      </c>
      <c r="AY585" t="s">
        <v>11</v>
      </c>
      <c r="AZ585" t="s">
        <v>11</v>
      </c>
      <c r="BA585" t="s">
        <v>11</v>
      </c>
      <c r="BB585" t="s">
        <v>11</v>
      </c>
      <c r="BC585" t="s">
        <v>11</v>
      </c>
      <c r="BD585" t="s">
        <v>11</v>
      </c>
      <c r="BE585" t="s">
        <v>11</v>
      </c>
      <c r="BF585" t="s">
        <v>11</v>
      </c>
      <c r="BG585" t="s">
        <v>11</v>
      </c>
      <c r="BH585" t="s">
        <v>4117</v>
      </c>
      <c r="BI585" t="s">
        <v>4113</v>
      </c>
      <c r="BJ585" t="s">
        <v>4118</v>
      </c>
      <c r="BK585" t="s">
        <v>4119</v>
      </c>
    </row>
    <row r="586" spans="1:63" x14ac:dyDescent="0.3">
      <c r="A586" t="s">
        <v>4120</v>
      </c>
      <c r="B586" t="s">
        <v>95</v>
      </c>
      <c r="C586" t="s">
        <v>4121</v>
      </c>
      <c r="D586" t="s">
        <v>4122</v>
      </c>
      <c r="E586" t="s">
        <v>4123</v>
      </c>
      <c r="F586">
        <v>628</v>
      </c>
      <c r="G586">
        <v>50</v>
      </c>
      <c r="H586">
        <v>30</v>
      </c>
      <c r="I586">
        <v>10</v>
      </c>
      <c r="K586">
        <v>10</v>
      </c>
      <c r="V586">
        <v>0</v>
      </c>
      <c r="AF586">
        <v>9.3173999999999992</v>
      </c>
      <c r="AI586" t="s">
        <v>0</v>
      </c>
      <c r="AJ586" t="s">
        <v>22</v>
      </c>
      <c r="AK586" t="s">
        <v>677</v>
      </c>
      <c r="AL586" t="s">
        <v>23</v>
      </c>
      <c r="AM586" t="s">
        <v>11</v>
      </c>
      <c r="AN586" t="s">
        <v>11</v>
      </c>
      <c r="AO586" t="s">
        <v>11</v>
      </c>
      <c r="AP586" t="s">
        <v>11</v>
      </c>
      <c r="AQ586" t="s">
        <v>11</v>
      </c>
      <c r="AR586" t="s">
        <v>11</v>
      </c>
      <c r="AS586" t="s">
        <v>11</v>
      </c>
      <c r="AT586" t="s">
        <v>11</v>
      </c>
      <c r="AU586" t="s">
        <v>11</v>
      </c>
      <c r="AV586" t="s">
        <v>11</v>
      </c>
      <c r="AW586" t="s">
        <v>11</v>
      </c>
      <c r="AX586" t="s">
        <v>4124</v>
      </c>
      <c r="AY586" t="s">
        <v>11</v>
      </c>
      <c r="AZ586" t="s">
        <v>11</v>
      </c>
      <c r="BA586" t="s">
        <v>11</v>
      </c>
      <c r="BB586" t="s">
        <v>11</v>
      </c>
      <c r="BC586" t="s">
        <v>11</v>
      </c>
      <c r="BD586" t="s">
        <v>11</v>
      </c>
      <c r="BE586" t="s">
        <v>11</v>
      </c>
      <c r="BF586" t="s">
        <v>11</v>
      </c>
      <c r="BG586" t="s">
        <v>11</v>
      </c>
      <c r="BH586" t="s">
        <v>4125</v>
      </c>
      <c r="BI586" t="s">
        <v>4120</v>
      </c>
      <c r="BJ586" t="s">
        <v>4126</v>
      </c>
      <c r="BK586" t="s">
        <v>4127</v>
      </c>
    </row>
    <row r="587" spans="1:63" x14ac:dyDescent="0.3">
      <c r="A587" t="s">
        <v>4128</v>
      </c>
      <c r="B587" t="s">
        <v>160</v>
      </c>
      <c r="C587" t="s">
        <v>4121</v>
      </c>
      <c r="D587" t="s">
        <v>4129</v>
      </c>
      <c r="E587" t="s">
        <v>4123</v>
      </c>
      <c r="F587">
        <v>629</v>
      </c>
      <c r="G587">
        <v>49.5</v>
      </c>
      <c r="H587">
        <v>30</v>
      </c>
      <c r="I587">
        <v>10</v>
      </c>
      <c r="K587">
        <v>10</v>
      </c>
      <c r="V587">
        <v>0.5</v>
      </c>
      <c r="AF587">
        <v>9.2845499999999994</v>
      </c>
      <c r="AI587" t="s">
        <v>0</v>
      </c>
      <c r="AJ587" t="s">
        <v>22</v>
      </c>
      <c r="AK587" t="s">
        <v>677</v>
      </c>
      <c r="AL587" t="s">
        <v>23</v>
      </c>
      <c r="AM587" t="s">
        <v>11</v>
      </c>
      <c r="AN587" t="s">
        <v>11</v>
      </c>
      <c r="AO587" t="s">
        <v>11</v>
      </c>
      <c r="AP587" t="s">
        <v>11</v>
      </c>
      <c r="AQ587" t="s">
        <v>11</v>
      </c>
      <c r="AR587" t="s">
        <v>11</v>
      </c>
      <c r="AS587" t="s">
        <v>11</v>
      </c>
      <c r="AT587" t="s">
        <v>11</v>
      </c>
      <c r="AU587" t="s">
        <v>11</v>
      </c>
      <c r="AV587" t="s">
        <v>11</v>
      </c>
      <c r="AW587" t="s">
        <v>11</v>
      </c>
      <c r="AX587" t="s">
        <v>406</v>
      </c>
      <c r="AY587" t="s">
        <v>11</v>
      </c>
      <c r="AZ587" t="s">
        <v>11</v>
      </c>
      <c r="BA587" t="s">
        <v>11</v>
      </c>
      <c r="BB587" t="s">
        <v>11</v>
      </c>
      <c r="BC587" t="s">
        <v>11</v>
      </c>
      <c r="BD587" t="s">
        <v>11</v>
      </c>
      <c r="BE587" t="s">
        <v>11</v>
      </c>
      <c r="BF587" t="s">
        <v>11</v>
      </c>
      <c r="BG587" t="s">
        <v>11</v>
      </c>
      <c r="BH587" t="s">
        <v>4130</v>
      </c>
      <c r="BI587" t="s">
        <v>4128</v>
      </c>
      <c r="BJ587" t="s">
        <v>4131</v>
      </c>
      <c r="BK587" t="s">
        <v>4132</v>
      </c>
    </row>
    <row r="588" spans="1:63" x14ac:dyDescent="0.3">
      <c r="A588" t="s">
        <v>4133</v>
      </c>
      <c r="B588" t="s">
        <v>160</v>
      </c>
      <c r="C588" t="s">
        <v>4121</v>
      </c>
      <c r="D588" t="s">
        <v>4134</v>
      </c>
      <c r="E588" t="s">
        <v>4123</v>
      </c>
      <c r="F588">
        <v>630</v>
      </c>
      <c r="G588">
        <v>49</v>
      </c>
      <c r="H588">
        <v>30</v>
      </c>
      <c r="I588">
        <v>10</v>
      </c>
      <c r="K588">
        <v>10</v>
      </c>
      <c r="V588">
        <v>1</v>
      </c>
      <c r="AF588">
        <v>9.2517000000000014</v>
      </c>
      <c r="AI588" t="s">
        <v>0</v>
      </c>
      <c r="AJ588" t="s">
        <v>22</v>
      </c>
      <c r="AK588" t="s">
        <v>677</v>
      </c>
      <c r="AL588" t="s">
        <v>23</v>
      </c>
      <c r="AM588" t="s">
        <v>11</v>
      </c>
      <c r="AN588" t="s">
        <v>11</v>
      </c>
      <c r="AO588" t="s">
        <v>11</v>
      </c>
      <c r="AP588" t="s">
        <v>11</v>
      </c>
      <c r="AQ588" t="s">
        <v>11</v>
      </c>
      <c r="AR588" t="s">
        <v>11</v>
      </c>
      <c r="AS588" t="s">
        <v>11</v>
      </c>
      <c r="AT588" t="s">
        <v>11</v>
      </c>
      <c r="AU588" t="s">
        <v>11</v>
      </c>
      <c r="AV588" t="s">
        <v>11</v>
      </c>
      <c r="AW588" t="s">
        <v>11</v>
      </c>
      <c r="AX588" t="s">
        <v>2004</v>
      </c>
      <c r="AY588" t="s">
        <v>11</v>
      </c>
      <c r="AZ588" t="s">
        <v>11</v>
      </c>
      <c r="BA588" t="s">
        <v>11</v>
      </c>
      <c r="BB588" t="s">
        <v>11</v>
      </c>
      <c r="BC588" t="s">
        <v>11</v>
      </c>
      <c r="BD588" t="s">
        <v>11</v>
      </c>
      <c r="BE588" t="s">
        <v>11</v>
      </c>
      <c r="BF588" t="s">
        <v>11</v>
      </c>
      <c r="BG588" t="s">
        <v>11</v>
      </c>
      <c r="BH588" t="s">
        <v>4135</v>
      </c>
      <c r="BI588" t="s">
        <v>4133</v>
      </c>
      <c r="BJ588" t="s">
        <v>4136</v>
      </c>
      <c r="BK588" t="s">
        <v>4137</v>
      </c>
    </row>
    <row r="589" spans="1:63" x14ac:dyDescent="0.3">
      <c r="A589" t="s">
        <v>4138</v>
      </c>
      <c r="B589" t="s">
        <v>160</v>
      </c>
      <c r="C589" t="s">
        <v>4121</v>
      </c>
      <c r="D589" t="s">
        <v>4139</v>
      </c>
      <c r="E589" t="s">
        <v>4123</v>
      </c>
      <c r="F589">
        <v>631</v>
      </c>
      <c r="G589">
        <v>48.5</v>
      </c>
      <c r="H589">
        <v>30</v>
      </c>
      <c r="I589">
        <v>10</v>
      </c>
      <c r="K589">
        <v>10</v>
      </c>
      <c r="V589">
        <v>1.5</v>
      </c>
      <c r="AF589">
        <v>9.2188500000000015</v>
      </c>
      <c r="AI589" t="s">
        <v>0</v>
      </c>
      <c r="AJ589" t="s">
        <v>22</v>
      </c>
      <c r="AK589" t="s">
        <v>677</v>
      </c>
      <c r="AL589" t="s">
        <v>23</v>
      </c>
      <c r="AM589" t="s">
        <v>11</v>
      </c>
      <c r="AN589" t="s">
        <v>11</v>
      </c>
      <c r="AO589" t="s">
        <v>11</v>
      </c>
      <c r="AP589" t="s">
        <v>11</v>
      </c>
      <c r="AQ589" t="s">
        <v>11</v>
      </c>
      <c r="AR589" t="s">
        <v>11</v>
      </c>
      <c r="AS589" t="s">
        <v>11</v>
      </c>
      <c r="AT589" t="s">
        <v>11</v>
      </c>
      <c r="AU589" t="s">
        <v>11</v>
      </c>
      <c r="AV589" t="s">
        <v>11</v>
      </c>
      <c r="AW589" t="s">
        <v>11</v>
      </c>
      <c r="AX589" t="s">
        <v>4140</v>
      </c>
      <c r="AY589" t="s">
        <v>11</v>
      </c>
      <c r="AZ589" t="s">
        <v>11</v>
      </c>
      <c r="BA589" t="s">
        <v>11</v>
      </c>
      <c r="BB589" t="s">
        <v>11</v>
      </c>
      <c r="BC589" t="s">
        <v>11</v>
      </c>
      <c r="BD589" t="s">
        <v>11</v>
      </c>
      <c r="BE589" t="s">
        <v>11</v>
      </c>
      <c r="BF589" t="s">
        <v>11</v>
      </c>
      <c r="BG589" t="s">
        <v>11</v>
      </c>
      <c r="BH589" t="s">
        <v>4141</v>
      </c>
      <c r="BI589" t="s">
        <v>4138</v>
      </c>
      <c r="BJ589" t="s">
        <v>4142</v>
      </c>
      <c r="BK589" t="s">
        <v>4143</v>
      </c>
    </row>
    <row r="590" spans="1:63" x14ac:dyDescent="0.3">
      <c r="A590" t="s">
        <v>4144</v>
      </c>
      <c r="B590" t="s">
        <v>160</v>
      </c>
      <c r="C590" t="s">
        <v>4121</v>
      </c>
      <c r="D590" t="s">
        <v>4145</v>
      </c>
      <c r="E590" t="s">
        <v>4123</v>
      </c>
      <c r="F590">
        <v>632</v>
      </c>
      <c r="G590">
        <v>48</v>
      </c>
      <c r="H590">
        <v>30</v>
      </c>
      <c r="I590">
        <v>10</v>
      </c>
      <c r="K590">
        <v>10</v>
      </c>
      <c r="V590">
        <v>2</v>
      </c>
      <c r="AF590">
        <v>9.1859999999999999</v>
      </c>
      <c r="AI590" t="s">
        <v>0</v>
      </c>
      <c r="AJ590" t="s">
        <v>22</v>
      </c>
      <c r="AK590" t="s">
        <v>677</v>
      </c>
      <c r="AL590" t="s">
        <v>23</v>
      </c>
      <c r="AM590" t="s">
        <v>11</v>
      </c>
      <c r="AN590" t="s">
        <v>11</v>
      </c>
      <c r="AO590" t="s">
        <v>11</v>
      </c>
      <c r="AP590" t="s">
        <v>11</v>
      </c>
      <c r="AQ590" t="s">
        <v>11</v>
      </c>
      <c r="AR590" t="s">
        <v>11</v>
      </c>
      <c r="AS590" t="s">
        <v>11</v>
      </c>
      <c r="AT590" t="s">
        <v>11</v>
      </c>
      <c r="AU590" t="s">
        <v>11</v>
      </c>
      <c r="AV590" t="s">
        <v>11</v>
      </c>
      <c r="AW590" t="s">
        <v>11</v>
      </c>
      <c r="AX590" t="s">
        <v>414</v>
      </c>
      <c r="AY590" t="s">
        <v>11</v>
      </c>
      <c r="AZ590" t="s">
        <v>11</v>
      </c>
      <c r="BA590" t="s">
        <v>11</v>
      </c>
      <c r="BB590" t="s">
        <v>11</v>
      </c>
      <c r="BC590" t="s">
        <v>11</v>
      </c>
      <c r="BD590" t="s">
        <v>11</v>
      </c>
      <c r="BE590" t="s">
        <v>11</v>
      </c>
      <c r="BF590" t="s">
        <v>11</v>
      </c>
      <c r="BG590" t="s">
        <v>11</v>
      </c>
      <c r="BH590" t="s">
        <v>4146</v>
      </c>
      <c r="BI590" t="s">
        <v>4144</v>
      </c>
      <c r="BJ590" t="s">
        <v>4147</v>
      </c>
      <c r="BK590" t="s">
        <v>4148</v>
      </c>
    </row>
    <row r="591" spans="1:63" x14ac:dyDescent="0.3">
      <c r="A591" t="s">
        <v>4149</v>
      </c>
      <c r="B591" t="s">
        <v>160</v>
      </c>
      <c r="C591" t="s">
        <v>4150</v>
      </c>
      <c r="D591" t="s">
        <v>4151</v>
      </c>
      <c r="E591" t="s">
        <v>4123</v>
      </c>
      <c r="F591">
        <v>633</v>
      </c>
      <c r="G591">
        <v>53</v>
      </c>
      <c r="H591">
        <v>30</v>
      </c>
      <c r="I591">
        <v>10</v>
      </c>
      <c r="K591">
        <v>5</v>
      </c>
      <c r="V591">
        <v>2</v>
      </c>
      <c r="AF591">
        <v>8.6684999999999999</v>
      </c>
      <c r="AI591" t="s">
        <v>0</v>
      </c>
      <c r="AJ591" t="s">
        <v>22</v>
      </c>
      <c r="AK591" t="s">
        <v>1491</v>
      </c>
      <c r="AL591" t="s">
        <v>23</v>
      </c>
      <c r="AM591" t="s">
        <v>11</v>
      </c>
      <c r="AN591" t="s">
        <v>11</v>
      </c>
      <c r="AO591" t="s">
        <v>11</v>
      </c>
      <c r="AP591" t="s">
        <v>11</v>
      </c>
      <c r="AQ591" t="s">
        <v>11</v>
      </c>
      <c r="AR591" t="s">
        <v>11</v>
      </c>
      <c r="AS591" t="s">
        <v>11</v>
      </c>
      <c r="AT591" t="s">
        <v>11</v>
      </c>
      <c r="AU591" t="s">
        <v>11</v>
      </c>
      <c r="AV591" t="s">
        <v>11</v>
      </c>
      <c r="AW591" t="s">
        <v>11</v>
      </c>
      <c r="AX591" t="s">
        <v>414</v>
      </c>
      <c r="AY591" t="s">
        <v>11</v>
      </c>
      <c r="AZ591" t="s">
        <v>11</v>
      </c>
      <c r="BA591" t="s">
        <v>11</v>
      </c>
      <c r="BB591" t="s">
        <v>11</v>
      </c>
      <c r="BC591" t="s">
        <v>11</v>
      </c>
      <c r="BD591" t="s">
        <v>11</v>
      </c>
      <c r="BE591" t="s">
        <v>11</v>
      </c>
      <c r="BF591" t="s">
        <v>11</v>
      </c>
      <c r="BG591" t="s">
        <v>11</v>
      </c>
      <c r="BH591" t="s">
        <v>4152</v>
      </c>
      <c r="BI591" t="s">
        <v>4149</v>
      </c>
      <c r="BJ591" t="s">
        <v>4153</v>
      </c>
      <c r="BK591" t="s">
        <v>4154</v>
      </c>
    </row>
    <row r="592" spans="1:63" x14ac:dyDescent="0.3">
      <c r="A592" t="s">
        <v>4155</v>
      </c>
      <c r="B592" t="s">
        <v>514</v>
      </c>
      <c r="C592" t="s">
        <v>4156</v>
      </c>
      <c r="D592" t="s">
        <v>4157</v>
      </c>
      <c r="E592" t="s">
        <v>4158</v>
      </c>
      <c r="F592">
        <v>634</v>
      </c>
      <c r="G592">
        <v>82.2</v>
      </c>
      <c r="K592">
        <v>3.1</v>
      </c>
      <c r="L592">
        <v>14.7</v>
      </c>
      <c r="AF592">
        <v>8.5750789999999988</v>
      </c>
      <c r="AI592" t="s">
        <v>0</v>
      </c>
      <c r="AJ592" t="s">
        <v>11</v>
      </c>
      <c r="AK592" t="s">
        <v>1583</v>
      </c>
      <c r="AL592" t="s">
        <v>11</v>
      </c>
      <c r="AM592" t="s">
        <v>11</v>
      </c>
      <c r="AN592" t="s">
        <v>11</v>
      </c>
      <c r="AO592" t="s">
        <v>11</v>
      </c>
      <c r="AP592" t="s">
        <v>11</v>
      </c>
      <c r="AQ592" t="s">
        <v>4159</v>
      </c>
      <c r="AR592" t="s">
        <v>11</v>
      </c>
      <c r="AS592" t="s">
        <v>11</v>
      </c>
      <c r="AT592" t="s">
        <v>11</v>
      </c>
      <c r="AU592" t="s">
        <v>11</v>
      </c>
      <c r="AV592" t="s">
        <v>11</v>
      </c>
      <c r="AW592" t="s">
        <v>11</v>
      </c>
      <c r="AX592" t="s">
        <v>11</v>
      </c>
      <c r="AY592" t="s">
        <v>11</v>
      </c>
      <c r="AZ592" t="s">
        <v>11</v>
      </c>
      <c r="BA592" t="s">
        <v>11</v>
      </c>
      <c r="BB592" t="s">
        <v>11</v>
      </c>
      <c r="BC592" t="s">
        <v>11</v>
      </c>
      <c r="BD592" t="s">
        <v>11</v>
      </c>
      <c r="BE592" t="s">
        <v>11</v>
      </c>
      <c r="BF592" t="s">
        <v>11</v>
      </c>
      <c r="BG592" t="s">
        <v>11</v>
      </c>
      <c r="BH592" t="s">
        <v>4160</v>
      </c>
      <c r="BI592" t="s">
        <v>4155</v>
      </c>
      <c r="BJ592" t="s">
        <v>4161</v>
      </c>
      <c r="BK592" t="s">
        <v>4162</v>
      </c>
    </row>
    <row r="593" spans="1:63" x14ac:dyDescent="0.3">
      <c r="A593" t="s">
        <v>4163</v>
      </c>
      <c r="B593" t="s">
        <v>514</v>
      </c>
      <c r="C593" t="s">
        <v>4164</v>
      </c>
      <c r="D593" t="s">
        <v>4165</v>
      </c>
      <c r="E593" t="s">
        <v>4158</v>
      </c>
      <c r="F593">
        <v>635</v>
      </c>
      <c r="G593">
        <v>80.900000000000006</v>
      </c>
      <c r="I593">
        <v>3</v>
      </c>
      <c r="K593">
        <v>2.6</v>
      </c>
      <c r="L593">
        <v>13.5</v>
      </c>
      <c r="AF593">
        <v>8.3900450000000006</v>
      </c>
      <c r="AI593" t="s">
        <v>0</v>
      </c>
      <c r="AJ593" t="s">
        <v>758</v>
      </c>
      <c r="AK593" t="s">
        <v>4166</v>
      </c>
      <c r="AL593" t="s">
        <v>11</v>
      </c>
      <c r="AM593" t="s">
        <v>11</v>
      </c>
      <c r="AN593" t="s">
        <v>11</v>
      </c>
      <c r="AO593" t="s">
        <v>11</v>
      </c>
      <c r="AP593" t="s">
        <v>11</v>
      </c>
      <c r="AQ593" t="s">
        <v>4167</v>
      </c>
      <c r="AR593" t="s">
        <v>11</v>
      </c>
      <c r="AS593" t="s">
        <v>11</v>
      </c>
      <c r="AT593" t="s">
        <v>11</v>
      </c>
      <c r="AU593" t="s">
        <v>11</v>
      </c>
      <c r="AV593" t="s">
        <v>11</v>
      </c>
      <c r="AW593" t="s">
        <v>11</v>
      </c>
      <c r="AX593" t="s">
        <v>11</v>
      </c>
      <c r="AY593" t="s">
        <v>11</v>
      </c>
      <c r="AZ593" t="s">
        <v>11</v>
      </c>
      <c r="BA593" t="s">
        <v>11</v>
      </c>
      <c r="BB593" t="s">
        <v>11</v>
      </c>
      <c r="BC593" t="s">
        <v>11</v>
      </c>
      <c r="BD593" t="s">
        <v>11</v>
      </c>
      <c r="BE593" t="s">
        <v>11</v>
      </c>
      <c r="BF593" t="s">
        <v>11</v>
      </c>
      <c r="BG593" t="s">
        <v>11</v>
      </c>
      <c r="BH593" t="s">
        <v>4168</v>
      </c>
      <c r="BI593" t="s">
        <v>4163</v>
      </c>
      <c r="BJ593" t="s">
        <v>4169</v>
      </c>
      <c r="BK593" t="s">
        <v>4170</v>
      </c>
    </row>
    <row r="594" spans="1:63" x14ac:dyDescent="0.3">
      <c r="A594" t="s">
        <v>4171</v>
      </c>
      <c r="B594" t="s">
        <v>514</v>
      </c>
      <c r="C594" t="s">
        <v>4172</v>
      </c>
      <c r="D594" t="s">
        <v>4173</v>
      </c>
      <c r="E594" t="s">
        <v>4158</v>
      </c>
      <c r="F594">
        <v>636</v>
      </c>
      <c r="G594">
        <v>78.5</v>
      </c>
      <c r="I594">
        <v>5.6</v>
      </c>
      <c r="K594">
        <v>2.6</v>
      </c>
      <c r="L594">
        <v>13.3</v>
      </c>
      <c r="AF594">
        <v>8.2376309999999986</v>
      </c>
      <c r="AI594" t="s">
        <v>0</v>
      </c>
      <c r="AJ594" t="s">
        <v>1110</v>
      </c>
      <c r="AK594" t="s">
        <v>4166</v>
      </c>
      <c r="AL594" t="s">
        <v>11</v>
      </c>
      <c r="AM594" t="s">
        <v>11</v>
      </c>
      <c r="AN594" t="s">
        <v>11</v>
      </c>
      <c r="AO594" t="s">
        <v>11</v>
      </c>
      <c r="AP594" t="s">
        <v>11</v>
      </c>
      <c r="AQ594" t="s">
        <v>4174</v>
      </c>
      <c r="AR594" t="s">
        <v>11</v>
      </c>
      <c r="AS594" t="s">
        <v>11</v>
      </c>
      <c r="AT594" t="s">
        <v>11</v>
      </c>
      <c r="AU594" t="s">
        <v>11</v>
      </c>
      <c r="AV594" t="s">
        <v>11</v>
      </c>
      <c r="AW594" t="s">
        <v>11</v>
      </c>
      <c r="AX594" t="s">
        <v>11</v>
      </c>
      <c r="AY594" t="s">
        <v>11</v>
      </c>
      <c r="AZ594" t="s">
        <v>11</v>
      </c>
      <c r="BA594" t="s">
        <v>11</v>
      </c>
      <c r="BB594" t="s">
        <v>11</v>
      </c>
      <c r="BC594" t="s">
        <v>11</v>
      </c>
      <c r="BD594" t="s">
        <v>11</v>
      </c>
      <c r="BE594" t="s">
        <v>11</v>
      </c>
      <c r="BF594" t="s">
        <v>11</v>
      </c>
      <c r="BG594" t="s">
        <v>11</v>
      </c>
      <c r="BH594" t="s">
        <v>4175</v>
      </c>
      <c r="BI594" t="s">
        <v>4171</v>
      </c>
      <c r="BJ594" t="s">
        <v>4176</v>
      </c>
      <c r="BK594" t="s">
        <v>4177</v>
      </c>
    </row>
    <row r="595" spans="1:63" x14ac:dyDescent="0.3">
      <c r="A595" t="s">
        <v>4178</v>
      </c>
      <c r="B595" t="s">
        <v>514</v>
      </c>
      <c r="C595" t="s">
        <v>4179</v>
      </c>
      <c r="D595" t="s">
        <v>4180</v>
      </c>
      <c r="E595" t="s">
        <v>4158</v>
      </c>
      <c r="F595">
        <v>637</v>
      </c>
      <c r="G595">
        <v>82</v>
      </c>
      <c r="H595">
        <v>2.1</v>
      </c>
      <c r="K595">
        <v>2.7</v>
      </c>
      <c r="L595">
        <v>13.2</v>
      </c>
      <c r="AF595">
        <v>8.5997420000000009</v>
      </c>
      <c r="AI595" t="s">
        <v>0</v>
      </c>
      <c r="AJ595" t="s">
        <v>11</v>
      </c>
      <c r="AK595" t="s">
        <v>4181</v>
      </c>
      <c r="AL595" t="s">
        <v>4182</v>
      </c>
      <c r="AM595" t="s">
        <v>11</v>
      </c>
      <c r="AN595" t="s">
        <v>11</v>
      </c>
      <c r="AO595" t="s">
        <v>11</v>
      </c>
      <c r="AP595" t="s">
        <v>11</v>
      </c>
      <c r="AQ595" t="s">
        <v>1844</v>
      </c>
      <c r="AR595" t="s">
        <v>11</v>
      </c>
      <c r="AS595" t="s">
        <v>11</v>
      </c>
      <c r="AT595" t="s">
        <v>11</v>
      </c>
      <c r="AU595" t="s">
        <v>11</v>
      </c>
      <c r="AV595" t="s">
        <v>11</v>
      </c>
      <c r="AW595" t="s">
        <v>11</v>
      </c>
      <c r="AX595" t="s">
        <v>11</v>
      </c>
      <c r="AY595" t="s">
        <v>11</v>
      </c>
      <c r="AZ595" t="s">
        <v>11</v>
      </c>
      <c r="BA595" t="s">
        <v>11</v>
      </c>
      <c r="BB595" t="s">
        <v>11</v>
      </c>
      <c r="BC595" t="s">
        <v>11</v>
      </c>
      <c r="BD595" t="s">
        <v>11</v>
      </c>
      <c r="BE595" t="s">
        <v>11</v>
      </c>
      <c r="BF595" t="s">
        <v>11</v>
      </c>
      <c r="BG595" t="s">
        <v>11</v>
      </c>
      <c r="BH595" t="s">
        <v>4183</v>
      </c>
      <c r="BI595" t="s">
        <v>4178</v>
      </c>
      <c r="BJ595" t="s">
        <v>4184</v>
      </c>
      <c r="BK595" t="s">
        <v>4185</v>
      </c>
    </row>
    <row r="596" spans="1:63" x14ac:dyDescent="0.3">
      <c r="A596" t="s">
        <v>4186</v>
      </c>
      <c r="B596" t="s">
        <v>514</v>
      </c>
      <c r="C596" t="s">
        <v>4187</v>
      </c>
      <c r="D596" t="s">
        <v>4188</v>
      </c>
      <c r="E596" t="s">
        <v>4158</v>
      </c>
      <c r="F596">
        <v>638</v>
      </c>
      <c r="G596">
        <v>78.2</v>
      </c>
      <c r="H596">
        <v>4.2</v>
      </c>
      <c r="K596">
        <v>4.9000000000000004</v>
      </c>
      <c r="L596">
        <v>12.7</v>
      </c>
      <c r="AF596">
        <v>8.8495749999999997</v>
      </c>
      <c r="AI596" t="s">
        <v>0</v>
      </c>
      <c r="AJ596" t="s">
        <v>11</v>
      </c>
      <c r="AK596" t="s">
        <v>3993</v>
      </c>
      <c r="AL596" t="s">
        <v>4189</v>
      </c>
      <c r="AM596" t="s">
        <v>11</v>
      </c>
      <c r="AN596" t="s">
        <v>11</v>
      </c>
      <c r="AO596" t="s">
        <v>11</v>
      </c>
      <c r="AP596" t="s">
        <v>11</v>
      </c>
      <c r="AQ596" t="s">
        <v>4190</v>
      </c>
      <c r="AR596" t="s">
        <v>11</v>
      </c>
      <c r="AS596" t="s">
        <v>11</v>
      </c>
      <c r="AT596" t="s">
        <v>11</v>
      </c>
      <c r="AU596" t="s">
        <v>11</v>
      </c>
      <c r="AV596" t="s">
        <v>11</v>
      </c>
      <c r="AW596" t="s">
        <v>11</v>
      </c>
      <c r="AX596" t="s">
        <v>11</v>
      </c>
      <c r="AY596" t="s">
        <v>11</v>
      </c>
      <c r="AZ596" t="s">
        <v>11</v>
      </c>
      <c r="BA596" t="s">
        <v>11</v>
      </c>
      <c r="BB596" t="s">
        <v>11</v>
      </c>
      <c r="BC596" t="s">
        <v>11</v>
      </c>
      <c r="BD596" t="s">
        <v>11</v>
      </c>
      <c r="BE596" t="s">
        <v>11</v>
      </c>
      <c r="BF596" t="s">
        <v>11</v>
      </c>
      <c r="BG596" t="s">
        <v>11</v>
      </c>
      <c r="BH596" t="s">
        <v>4191</v>
      </c>
      <c r="BI596" t="s">
        <v>4186</v>
      </c>
      <c r="BJ596" t="s">
        <v>4192</v>
      </c>
      <c r="BK596" t="s">
        <v>4193</v>
      </c>
    </row>
    <row r="597" spans="1:63" x14ac:dyDescent="0.3">
      <c r="A597" t="s">
        <v>4194</v>
      </c>
      <c r="B597" t="s">
        <v>514</v>
      </c>
      <c r="C597" t="s">
        <v>4195</v>
      </c>
      <c r="D597" t="s">
        <v>4196</v>
      </c>
      <c r="E597" t="s">
        <v>4197</v>
      </c>
      <c r="F597">
        <v>639</v>
      </c>
      <c r="G597">
        <v>84</v>
      </c>
      <c r="L597">
        <v>8</v>
      </c>
      <c r="O597">
        <v>8</v>
      </c>
      <c r="AF597">
        <v>8.3253599999999999</v>
      </c>
      <c r="AI597" t="s">
        <v>0</v>
      </c>
      <c r="AJ597" t="s">
        <v>11</v>
      </c>
      <c r="AK597" t="s">
        <v>11</v>
      </c>
      <c r="AL597" t="s">
        <v>11</v>
      </c>
      <c r="AM597" t="s">
        <v>11</v>
      </c>
      <c r="AN597" t="s">
        <v>11</v>
      </c>
      <c r="AO597" t="s">
        <v>11</v>
      </c>
      <c r="AP597" t="s">
        <v>4198</v>
      </c>
      <c r="AQ597" t="s">
        <v>4199</v>
      </c>
      <c r="AR597" t="s">
        <v>11</v>
      </c>
      <c r="AS597" t="s">
        <v>11</v>
      </c>
      <c r="AT597" t="s">
        <v>11</v>
      </c>
      <c r="AU597" t="s">
        <v>11</v>
      </c>
      <c r="AV597" t="s">
        <v>11</v>
      </c>
      <c r="AW597" t="s">
        <v>11</v>
      </c>
      <c r="AX597" t="s">
        <v>11</v>
      </c>
      <c r="AY597" t="s">
        <v>11</v>
      </c>
      <c r="AZ597" t="s">
        <v>11</v>
      </c>
      <c r="BA597" t="s">
        <v>11</v>
      </c>
      <c r="BB597" t="s">
        <v>11</v>
      </c>
      <c r="BC597" t="s">
        <v>11</v>
      </c>
      <c r="BD597" t="s">
        <v>11</v>
      </c>
      <c r="BE597" t="s">
        <v>11</v>
      </c>
      <c r="BF597" t="s">
        <v>11</v>
      </c>
      <c r="BG597" t="s">
        <v>11</v>
      </c>
      <c r="BH597" t="s">
        <v>4200</v>
      </c>
      <c r="BI597" t="s">
        <v>4194</v>
      </c>
      <c r="BJ597" t="s">
        <v>4201</v>
      </c>
      <c r="BK597" t="s">
        <v>4202</v>
      </c>
    </row>
    <row r="598" spans="1:63" x14ac:dyDescent="0.3">
      <c r="A598" t="s">
        <v>4203</v>
      </c>
      <c r="B598" t="s">
        <v>5</v>
      </c>
      <c r="C598" t="s">
        <v>4204</v>
      </c>
      <c r="D598" t="s">
        <v>4205</v>
      </c>
      <c r="E598" t="s">
        <v>4197</v>
      </c>
      <c r="F598">
        <v>640</v>
      </c>
      <c r="G598">
        <v>83.06</v>
      </c>
      <c r="L598">
        <v>7.71</v>
      </c>
      <c r="O598">
        <v>8.3000000000000007</v>
      </c>
      <c r="P598">
        <v>0.93</v>
      </c>
      <c r="AF598">
        <v>8.3425636999999995</v>
      </c>
      <c r="AI598" t="s">
        <v>0</v>
      </c>
      <c r="AJ598" t="s">
        <v>11</v>
      </c>
      <c r="AK598" t="s">
        <v>11</v>
      </c>
      <c r="AL598" t="s">
        <v>11</v>
      </c>
      <c r="AM598" t="s">
        <v>11</v>
      </c>
      <c r="AN598" t="s">
        <v>11</v>
      </c>
      <c r="AO598" t="s">
        <v>11</v>
      </c>
      <c r="AP598" t="s">
        <v>4206</v>
      </c>
      <c r="AQ598" t="s">
        <v>1060</v>
      </c>
      <c r="AR598" t="s">
        <v>4207</v>
      </c>
      <c r="AS598" t="s">
        <v>11</v>
      </c>
      <c r="AT598" t="s">
        <v>11</v>
      </c>
      <c r="AU598" t="s">
        <v>11</v>
      </c>
      <c r="AV598" t="s">
        <v>11</v>
      </c>
      <c r="AW598" t="s">
        <v>11</v>
      </c>
      <c r="AX598" t="s">
        <v>11</v>
      </c>
      <c r="AY598" t="s">
        <v>11</v>
      </c>
      <c r="AZ598" t="s">
        <v>11</v>
      </c>
      <c r="BA598" t="s">
        <v>11</v>
      </c>
      <c r="BB598" t="s">
        <v>11</v>
      </c>
      <c r="BC598" t="s">
        <v>11</v>
      </c>
      <c r="BD598" t="s">
        <v>11</v>
      </c>
      <c r="BE598" t="s">
        <v>11</v>
      </c>
      <c r="BF598" t="s">
        <v>11</v>
      </c>
      <c r="BG598" t="s">
        <v>11</v>
      </c>
      <c r="BH598" t="s">
        <v>4208</v>
      </c>
      <c r="BI598" t="s">
        <v>4203</v>
      </c>
      <c r="BJ598" t="s">
        <v>4209</v>
      </c>
      <c r="BK598" t="s">
        <v>4210</v>
      </c>
    </row>
    <row r="599" spans="1:63" x14ac:dyDescent="0.3">
      <c r="A599" t="s">
        <v>4211</v>
      </c>
      <c r="B599" t="s">
        <v>5</v>
      </c>
      <c r="C599" t="s">
        <v>4212</v>
      </c>
      <c r="D599" t="s">
        <v>4213</v>
      </c>
      <c r="E599" t="s">
        <v>4197</v>
      </c>
      <c r="F599">
        <v>641</v>
      </c>
      <c r="G599">
        <v>82.12</v>
      </c>
      <c r="L599">
        <v>7.63</v>
      </c>
      <c r="O599">
        <v>8.3000000000000007</v>
      </c>
      <c r="P599">
        <v>1.95</v>
      </c>
      <c r="AF599">
        <v>8.3601541000000008</v>
      </c>
      <c r="AI599" t="s">
        <v>0</v>
      </c>
      <c r="AJ599" t="s">
        <v>11</v>
      </c>
      <c r="AK599" t="s">
        <v>11</v>
      </c>
      <c r="AL599" t="s">
        <v>11</v>
      </c>
      <c r="AM599" t="s">
        <v>11</v>
      </c>
      <c r="AN599" t="s">
        <v>11</v>
      </c>
      <c r="AO599" t="s">
        <v>11</v>
      </c>
      <c r="AP599" t="s">
        <v>4206</v>
      </c>
      <c r="AQ599" t="s">
        <v>1069</v>
      </c>
      <c r="AR599" t="s">
        <v>798</v>
      </c>
      <c r="AS599" t="s">
        <v>11</v>
      </c>
      <c r="AT599" t="s">
        <v>11</v>
      </c>
      <c r="AU599" t="s">
        <v>11</v>
      </c>
      <c r="AV599" t="s">
        <v>11</v>
      </c>
      <c r="AW599" t="s">
        <v>11</v>
      </c>
      <c r="AX599" t="s">
        <v>11</v>
      </c>
      <c r="AY599" t="s">
        <v>11</v>
      </c>
      <c r="AZ599" t="s">
        <v>11</v>
      </c>
      <c r="BA599" t="s">
        <v>11</v>
      </c>
      <c r="BB599" t="s">
        <v>11</v>
      </c>
      <c r="BC599" t="s">
        <v>11</v>
      </c>
      <c r="BD599" t="s">
        <v>11</v>
      </c>
      <c r="BE599" t="s">
        <v>11</v>
      </c>
      <c r="BF599" t="s">
        <v>11</v>
      </c>
      <c r="BG599" t="s">
        <v>11</v>
      </c>
      <c r="BH599" t="s">
        <v>4214</v>
      </c>
      <c r="BI599" t="s">
        <v>4211</v>
      </c>
      <c r="BJ599" t="s">
        <v>4215</v>
      </c>
      <c r="BK599" t="s">
        <v>4216</v>
      </c>
    </row>
    <row r="600" spans="1:63" x14ac:dyDescent="0.3">
      <c r="A600" t="s">
        <v>4217</v>
      </c>
      <c r="B600" t="s">
        <v>514</v>
      </c>
      <c r="C600" t="s">
        <v>4218</v>
      </c>
      <c r="D600" t="s">
        <v>4219</v>
      </c>
      <c r="E600" t="s">
        <v>4197</v>
      </c>
      <c r="F600">
        <v>642</v>
      </c>
      <c r="G600">
        <v>82.62</v>
      </c>
      <c r="L600">
        <v>7.01</v>
      </c>
      <c r="N600">
        <v>0.95</v>
      </c>
      <c r="O600">
        <v>9.42</v>
      </c>
      <c r="AF600">
        <v>8.3260977</v>
      </c>
      <c r="AI600" t="s">
        <v>0</v>
      </c>
      <c r="AJ600" t="s">
        <v>11</v>
      </c>
      <c r="AK600" t="s">
        <v>11</v>
      </c>
      <c r="AL600" t="s">
        <v>11</v>
      </c>
      <c r="AM600" t="s">
        <v>11</v>
      </c>
      <c r="AN600" t="s">
        <v>11</v>
      </c>
      <c r="AO600" t="s">
        <v>75</v>
      </c>
      <c r="AP600" t="s">
        <v>4220</v>
      </c>
      <c r="AQ600" t="s">
        <v>4221</v>
      </c>
      <c r="AR600" t="s">
        <v>11</v>
      </c>
      <c r="AS600" t="s">
        <v>11</v>
      </c>
      <c r="AT600" t="s">
        <v>11</v>
      </c>
      <c r="AU600" t="s">
        <v>11</v>
      </c>
      <c r="AV600" t="s">
        <v>11</v>
      </c>
      <c r="AW600" t="s">
        <v>11</v>
      </c>
      <c r="AX600" t="s">
        <v>11</v>
      </c>
      <c r="AY600" t="s">
        <v>11</v>
      </c>
      <c r="AZ600" t="s">
        <v>11</v>
      </c>
      <c r="BA600" t="s">
        <v>11</v>
      </c>
      <c r="BB600" t="s">
        <v>11</v>
      </c>
      <c r="BC600" t="s">
        <v>11</v>
      </c>
      <c r="BD600" t="s">
        <v>11</v>
      </c>
      <c r="BE600" t="s">
        <v>11</v>
      </c>
      <c r="BF600" t="s">
        <v>11</v>
      </c>
      <c r="BG600" t="s">
        <v>11</v>
      </c>
      <c r="BH600" t="s">
        <v>4222</v>
      </c>
      <c r="BI600" t="s">
        <v>4217</v>
      </c>
      <c r="BJ600" t="s">
        <v>4223</v>
      </c>
      <c r="BK600" t="s">
        <v>4224</v>
      </c>
    </row>
    <row r="601" spans="1:63" x14ac:dyDescent="0.3">
      <c r="A601" t="s">
        <v>4225</v>
      </c>
      <c r="B601" t="s">
        <v>514</v>
      </c>
      <c r="C601" t="s">
        <v>4226</v>
      </c>
      <c r="D601" t="s">
        <v>4227</v>
      </c>
      <c r="E601" t="s">
        <v>4197</v>
      </c>
      <c r="F601">
        <v>643</v>
      </c>
      <c r="G601">
        <v>83.81</v>
      </c>
      <c r="L601">
        <v>6.75</v>
      </c>
      <c r="O601">
        <v>8.33</v>
      </c>
      <c r="P601">
        <v>1.1100000000000001</v>
      </c>
      <c r="AF601">
        <v>8.3863835000000009</v>
      </c>
      <c r="AI601" t="s">
        <v>0</v>
      </c>
      <c r="AJ601" t="s">
        <v>11</v>
      </c>
      <c r="AK601" t="s">
        <v>11</v>
      </c>
      <c r="AL601" t="s">
        <v>11</v>
      </c>
      <c r="AM601" t="s">
        <v>11</v>
      </c>
      <c r="AN601" t="s">
        <v>11</v>
      </c>
      <c r="AO601" t="s">
        <v>11</v>
      </c>
      <c r="AP601" t="s">
        <v>4206</v>
      </c>
      <c r="AQ601" t="s">
        <v>4228</v>
      </c>
      <c r="AR601" t="s">
        <v>389</v>
      </c>
      <c r="AS601" t="s">
        <v>11</v>
      </c>
      <c r="AT601" t="s">
        <v>11</v>
      </c>
      <c r="AU601" t="s">
        <v>11</v>
      </c>
      <c r="AV601" t="s">
        <v>11</v>
      </c>
      <c r="AW601" t="s">
        <v>11</v>
      </c>
      <c r="AX601" t="s">
        <v>11</v>
      </c>
      <c r="AY601" t="s">
        <v>11</v>
      </c>
      <c r="AZ601" t="s">
        <v>11</v>
      </c>
      <c r="BA601" t="s">
        <v>11</v>
      </c>
      <c r="BB601" t="s">
        <v>11</v>
      </c>
      <c r="BC601" t="s">
        <v>11</v>
      </c>
      <c r="BD601" t="s">
        <v>11</v>
      </c>
      <c r="BE601" t="s">
        <v>11</v>
      </c>
      <c r="BF601" t="s">
        <v>11</v>
      </c>
      <c r="BG601" t="s">
        <v>11</v>
      </c>
      <c r="BH601" t="s">
        <v>4229</v>
      </c>
      <c r="BI601" t="s">
        <v>4225</v>
      </c>
      <c r="BJ601" t="s">
        <v>4230</v>
      </c>
      <c r="BK601" t="s">
        <v>4231</v>
      </c>
    </row>
    <row r="602" spans="1:63" x14ac:dyDescent="0.3">
      <c r="A602" t="s">
        <v>4232</v>
      </c>
      <c r="B602" t="s">
        <v>514</v>
      </c>
      <c r="C602" t="s">
        <v>4233</v>
      </c>
      <c r="D602" t="s">
        <v>4234</v>
      </c>
      <c r="E602" t="s">
        <v>4235</v>
      </c>
      <c r="F602">
        <v>644</v>
      </c>
      <c r="G602">
        <v>74</v>
      </c>
      <c r="J602">
        <v>15</v>
      </c>
      <c r="L602">
        <v>11</v>
      </c>
      <c r="AF602">
        <v>8.1602700000000006</v>
      </c>
      <c r="AG602">
        <v>8.1</v>
      </c>
      <c r="AI602" t="s">
        <v>0</v>
      </c>
      <c r="AJ602" t="s">
        <v>11</v>
      </c>
      <c r="AK602" t="s">
        <v>11</v>
      </c>
      <c r="AL602" t="s">
        <v>11</v>
      </c>
      <c r="AM602" t="s">
        <v>1711</v>
      </c>
      <c r="AN602" t="s">
        <v>11</v>
      </c>
      <c r="AO602" t="s">
        <v>11</v>
      </c>
      <c r="AP602" t="s">
        <v>11</v>
      </c>
      <c r="AQ602" t="s">
        <v>4236</v>
      </c>
      <c r="AR602" t="s">
        <v>11</v>
      </c>
      <c r="AS602" t="s">
        <v>11</v>
      </c>
      <c r="AT602" t="s">
        <v>11</v>
      </c>
      <c r="AU602" t="s">
        <v>11</v>
      </c>
      <c r="AV602" t="s">
        <v>11</v>
      </c>
      <c r="AW602" t="s">
        <v>11</v>
      </c>
      <c r="AX602" t="s">
        <v>11</v>
      </c>
      <c r="AY602" t="s">
        <v>11</v>
      </c>
      <c r="AZ602" t="s">
        <v>11</v>
      </c>
      <c r="BA602" t="s">
        <v>11</v>
      </c>
      <c r="BB602" t="s">
        <v>11</v>
      </c>
      <c r="BC602" t="s">
        <v>11</v>
      </c>
      <c r="BD602" t="s">
        <v>11</v>
      </c>
      <c r="BE602" t="s">
        <v>11</v>
      </c>
      <c r="BF602" t="s">
        <v>11</v>
      </c>
      <c r="BG602" t="s">
        <v>11</v>
      </c>
      <c r="BH602" t="s">
        <v>4237</v>
      </c>
      <c r="BI602" t="s">
        <v>4232</v>
      </c>
      <c r="BJ602" t="s">
        <v>4238</v>
      </c>
      <c r="BK602" t="s">
        <v>4239</v>
      </c>
    </row>
    <row r="603" spans="1:63" x14ac:dyDescent="0.3">
      <c r="A603" t="s">
        <v>4240</v>
      </c>
      <c r="B603" t="s">
        <v>160</v>
      </c>
      <c r="C603" t="s">
        <v>4241</v>
      </c>
      <c r="D603" t="s">
        <v>4242</v>
      </c>
      <c r="E603" t="s">
        <v>4243</v>
      </c>
      <c r="F603">
        <v>645</v>
      </c>
      <c r="G603">
        <v>36.46</v>
      </c>
      <c r="H603">
        <v>37.5</v>
      </c>
      <c r="I603">
        <v>9</v>
      </c>
      <c r="J603">
        <v>8</v>
      </c>
      <c r="K603">
        <v>9</v>
      </c>
      <c r="S603">
        <v>0.04</v>
      </c>
      <c r="AF603">
        <v>9.137124</v>
      </c>
      <c r="AI603" t="s">
        <v>0</v>
      </c>
      <c r="AJ603" t="s">
        <v>128</v>
      </c>
      <c r="AK603" t="s">
        <v>252</v>
      </c>
      <c r="AL603" t="s">
        <v>4244</v>
      </c>
      <c r="AM603" t="s">
        <v>971</v>
      </c>
      <c r="AN603" t="s">
        <v>11</v>
      </c>
      <c r="AO603" t="s">
        <v>11</v>
      </c>
      <c r="AP603" t="s">
        <v>11</v>
      </c>
      <c r="AQ603" t="s">
        <v>11</v>
      </c>
      <c r="AR603" t="s">
        <v>11</v>
      </c>
      <c r="AS603" t="s">
        <v>11</v>
      </c>
      <c r="AT603" t="s">
        <v>11</v>
      </c>
      <c r="AU603" t="s">
        <v>344</v>
      </c>
      <c r="AV603" t="s">
        <v>11</v>
      </c>
      <c r="AW603" t="s">
        <v>11</v>
      </c>
      <c r="AX603" t="s">
        <v>11</v>
      </c>
      <c r="AY603" t="s">
        <v>11</v>
      </c>
      <c r="AZ603" t="s">
        <v>11</v>
      </c>
      <c r="BA603" t="s">
        <v>11</v>
      </c>
      <c r="BB603" t="s">
        <v>11</v>
      </c>
      <c r="BC603" t="s">
        <v>11</v>
      </c>
      <c r="BD603" t="s">
        <v>11</v>
      </c>
      <c r="BE603" t="s">
        <v>11</v>
      </c>
      <c r="BF603" t="s">
        <v>11</v>
      </c>
      <c r="BG603" t="s">
        <v>11</v>
      </c>
      <c r="BH603" t="s">
        <v>4245</v>
      </c>
      <c r="BI603" t="s">
        <v>4240</v>
      </c>
      <c r="BJ603" t="s">
        <v>4246</v>
      </c>
      <c r="BK603" t="s">
        <v>4247</v>
      </c>
    </row>
    <row r="604" spans="1:63" x14ac:dyDescent="0.3">
      <c r="A604" t="s">
        <v>4248</v>
      </c>
      <c r="B604" t="s">
        <v>160</v>
      </c>
      <c r="C604" t="s">
        <v>4249</v>
      </c>
      <c r="D604" t="s">
        <v>4250</v>
      </c>
      <c r="E604" t="s">
        <v>4243</v>
      </c>
      <c r="F604">
        <v>646</v>
      </c>
      <c r="G604">
        <v>55.160000000000004</v>
      </c>
      <c r="H604">
        <v>18.8</v>
      </c>
      <c r="I604">
        <v>9</v>
      </c>
      <c r="J604">
        <v>8</v>
      </c>
      <c r="K604">
        <v>9</v>
      </c>
      <c r="S604">
        <v>0.04</v>
      </c>
      <c r="AF604">
        <v>9.1356280000000005</v>
      </c>
      <c r="AI604" t="s">
        <v>0</v>
      </c>
      <c r="AJ604" t="s">
        <v>128</v>
      </c>
      <c r="AK604" t="s">
        <v>252</v>
      </c>
      <c r="AL604" t="s">
        <v>4251</v>
      </c>
      <c r="AM604" t="s">
        <v>971</v>
      </c>
      <c r="AN604" t="s">
        <v>11</v>
      </c>
      <c r="AO604" t="s">
        <v>11</v>
      </c>
      <c r="AP604" t="s">
        <v>11</v>
      </c>
      <c r="AQ604" t="s">
        <v>11</v>
      </c>
      <c r="AR604" t="s">
        <v>11</v>
      </c>
      <c r="AS604" t="s">
        <v>11</v>
      </c>
      <c r="AT604" t="s">
        <v>11</v>
      </c>
      <c r="AU604" t="s">
        <v>344</v>
      </c>
      <c r="AV604" t="s">
        <v>11</v>
      </c>
      <c r="AW604" t="s">
        <v>11</v>
      </c>
      <c r="AX604" t="s">
        <v>11</v>
      </c>
      <c r="AY604" t="s">
        <v>11</v>
      </c>
      <c r="AZ604" t="s">
        <v>11</v>
      </c>
      <c r="BA604" t="s">
        <v>11</v>
      </c>
      <c r="BB604" t="s">
        <v>11</v>
      </c>
      <c r="BC604" t="s">
        <v>11</v>
      </c>
      <c r="BD604" t="s">
        <v>11</v>
      </c>
      <c r="BE604" t="s">
        <v>11</v>
      </c>
      <c r="BF604" t="s">
        <v>11</v>
      </c>
      <c r="BG604" t="s">
        <v>11</v>
      </c>
      <c r="BH604" t="s">
        <v>4252</v>
      </c>
      <c r="BI604" t="s">
        <v>4248</v>
      </c>
      <c r="BJ604" t="s">
        <v>4253</v>
      </c>
      <c r="BK604" t="s">
        <v>4254</v>
      </c>
    </row>
    <row r="605" spans="1:63" x14ac:dyDescent="0.3">
      <c r="A605" t="s">
        <v>4255</v>
      </c>
      <c r="B605" t="s">
        <v>95</v>
      </c>
      <c r="C605" t="s">
        <v>3550</v>
      </c>
      <c r="D605" t="s">
        <v>4256</v>
      </c>
      <c r="E605" t="s">
        <v>4243</v>
      </c>
      <c r="F605">
        <v>647</v>
      </c>
      <c r="G605">
        <v>73.960000000000008</v>
      </c>
      <c r="I605">
        <v>9</v>
      </c>
      <c r="J605">
        <v>8</v>
      </c>
      <c r="K605">
        <v>9</v>
      </c>
      <c r="S605">
        <v>0.04</v>
      </c>
      <c r="AF605">
        <v>9.1341239999999999</v>
      </c>
      <c r="AI605" t="s">
        <v>0</v>
      </c>
      <c r="AJ605" t="s">
        <v>128</v>
      </c>
      <c r="AK605" t="s">
        <v>252</v>
      </c>
      <c r="AL605" t="s">
        <v>11</v>
      </c>
      <c r="AM605" t="s">
        <v>971</v>
      </c>
      <c r="AN605" t="s">
        <v>11</v>
      </c>
      <c r="AO605" t="s">
        <v>11</v>
      </c>
      <c r="AP605" t="s">
        <v>11</v>
      </c>
      <c r="AQ605" t="s">
        <v>11</v>
      </c>
      <c r="AR605" t="s">
        <v>11</v>
      </c>
      <c r="AS605" t="s">
        <v>11</v>
      </c>
      <c r="AT605" t="s">
        <v>11</v>
      </c>
      <c r="AU605" t="s">
        <v>344</v>
      </c>
      <c r="AV605" t="s">
        <v>11</v>
      </c>
      <c r="AW605" t="s">
        <v>11</v>
      </c>
      <c r="AX605" t="s">
        <v>11</v>
      </c>
      <c r="AY605" t="s">
        <v>11</v>
      </c>
      <c r="AZ605" t="s">
        <v>11</v>
      </c>
      <c r="BA605" t="s">
        <v>11</v>
      </c>
      <c r="BB605" t="s">
        <v>11</v>
      </c>
      <c r="BC605" t="s">
        <v>11</v>
      </c>
      <c r="BD605" t="s">
        <v>11</v>
      </c>
      <c r="BE605" t="s">
        <v>11</v>
      </c>
      <c r="BF605" t="s">
        <v>11</v>
      </c>
      <c r="BG605" t="s">
        <v>11</v>
      </c>
      <c r="BH605" t="s">
        <v>4257</v>
      </c>
      <c r="BI605" t="s">
        <v>4255</v>
      </c>
      <c r="BJ605" t="s">
        <v>4258</v>
      </c>
      <c r="BK605" t="s">
        <v>4259</v>
      </c>
    </row>
    <row r="606" spans="1:63" x14ac:dyDescent="0.3">
      <c r="A606" t="s">
        <v>4260</v>
      </c>
      <c r="B606" t="s">
        <v>95</v>
      </c>
      <c r="C606" t="s">
        <v>4261</v>
      </c>
      <c r="D606" t="s">
        <v>4262</v>
      </c>
      <c r="E606" t="s">
        <v>4263</v>
      </c>
      <c r="F606">
        <v>648</v>
      </c>
      <c r="G606">
        <v>41.48</v>
      </c>
      <c r="H606">
        <v>41.5</v>
      </c>
      <c r="I606">
        <v>9.6</v>
      </c>
      <c r="K606">
        <v>7.38</v>
      </c>
      <c r="S606">
        <v>0.04</v>
      </c>
      <c r="AF606">
        <v>9.0693739999999998</v>
      </c>
      <c r="AI606" t="s">
        <v>0</v>
      </c>
      <c r="AJ606" t="s">
        <v>10</v>
      </c>
      <c r="AK606" t="s">
        <v>584</v>
      </c>
      <c r="AL606" t="s">
        <v>4264</v>
      </c>
      <c r="AM606" t="s">
        <v>11</v>
      </c>
      <c r="AN606" t="s">
        <v>11</v>
      </c>
      <c r="AO606" t="s">
        <v>11</v>
      </c>
      <c r="AP606" t="s">
        <v>11</v>
      </c>
      <c r="AQ606" t="s">
        <v>11</v>
      </c>
      <c r="AR606" t="s">
        <v>11</v>
      </c>
      <c r="AS606" t="s">
        <v>11</v>
      </c>
      <c r="AT606" t="s">
        <v>11</v>
      </c>
      <c r="AU606" t="s">
        <v>344</v>
      </c>
      <c r="AV606" t="s">
        <v>11</v>
      </c>
      <c r="AW606" t="s">
        <v>11</v>
      </c>
      <c r="AX606" t="s">
        <v>11</v>
      </c>
      <c r="AY606" t="s">
        <v>11</v>
      </c>
      <c r="AZ606" t="s">
        <v>11</v>
      </c>
      <c r="BA606" t="s">
        <v>11</v>
      </c>
      <c r="BB606" t="s">
        <v>11</v>
      </c>
      <c r="BC606" t="s">
        <v>11</v>
      </c>
      <c r="BD606" t="s">
        <v>11</v>
      </c>
      <c r="BE606" t="s">
        <v>11</v>
      </c>
      <c r="BF606" t="s">
        <v>11</v>
      </c>
      <c r="BG606" t="s">
        <v>11</v>
      </c>
      <c r="BH606" t="s">
        <v>4265</v>
      </c>
      <c r="BI606" t="s">
        <v>4260</v>
      </c>
      <c r="BJ606" t="s">
        <v>4266</v>
      </c>
      <c r="BK606" t="s">
        <v>4267</v>
      </c>
    </row>
    <row r="607" spans="1:63" x14ac:dyDescent="0.3">
      <c r="A607" t="s">
        <v>4268</v>
      </c>
      <c r="B607" t="s">
        <v>95</v>
      </c>
      <c r="C607" t="s">
        <v>4269</v>
      </c>
      <c r="D607" t="s">
        <v>4270</v>
      </c>
      <c r="E607" t="s">
        <v>4263</v>
      </c>
      <c r="F607">
        <v>649</v>
      </c>
      <c r="G607">
        <v>62.6</v>
      </c>
      <c r="H607">
        <v>20.75</v>
      </c>
      <c r="I607">
        <v>9.1999999999999993</v>
      </c>
      <c r="K607">
        <v>7.41</v>
      </c>
      <c r="S607">
        <v>0.04</v>
      </c>
      <c r="AF607">
        <v>9.095619000000001</v>
      </c>
      <c r="AI607" t="s">
        <v>0</v>
      </c>
      <c r="AJ607" t="s">
        <v>717</v>
      </c>
      <c r="AK607" t="s">
        <v>584</v>
      </c>
      <c r="AL607" t="s">
        <v>4271</v>
      </c>
      <c r="AM607" t="s">
        <v>11</v>
      </c>
      <c r="AN607" t="s">
        <v>11</v>
      </c>
      <c r="AO607" t="s">
        <v>11</v>
      </c>
      <c r="AP607" t="s">
        <v>11</v>
      </c>
      <c r="AQ607" t="s">
        <v>11</v>
      </c>
      <c r="AR607" t="s">
        <v>11</v>
      </c>
      <c r="AS607" t="s">
        <v>11</v>
      </c>
      <c r="AT607" t="s">
        <v>11</v>
      </c>
      <c r="AU607" t="s">
        <v>344</v>
      </c>
      <c r="AV607" t="s">
        <v>11</v>
      </c>
      <c r="AW607" t="s">
        <v>11</v>
      </c>
      <c r="AX607" t="s">
        <v>11</v>
      </c>
      <c r="AY607" t="s">
        <v>11</v>
      </c>
      <c r="AZ607" t="s">
        <v>11</v>
      </c>
      <c r="BA607" t="s">
        <v>11</v>
      </c>
      <c r="BB607" t="s">
        <v>11</v>
      </c>
      <c r="BC607" t="s">
        <v>11</v>
      </c>
      <c r="BD607" t="s">
        <v>11</v>
      </c>
      <c r="BE607" t="s">
        <v>11</v>
      </c>
      <c r="BF607" t="s">
        <v>11</v>
      </c>
      <c r="BG607" t="s">
        <v>11</v>
      </c>
      <c r="BH607" t="s">
        <v>4272</v>
      </c>
      <c r="BI607" t="s">
        <v>4268</v>
      </c>
      <c r="BJ607" t="s">
        <v>4273</v>
      </c>
      <c r="BK607" t="s">
        <v>4274</v>
      </c>
    </row>
    <row r="608" spans="1:63" x14ac:dyDescent="0.3">
      <c r="A608" t="s">
        <v>4275</v>
      </c>
      <c r="B608" t="s">
        <v>95</v>
      </c>
      <c r="C608" t="s">
        <v>3415</v>
      </c>
      <c r="D608" t="s">
        <v>4276</v>
      </c>
      <c r="E608" t="s">
        <v>4263</v>
      </c>
      <c r="F608">
        <v>650</v>
      </c>
      <c r="G608">
        <v>83.03</v>
      </c>
      <c r="I608">
        <v>9.4</v>
      </c>
      <c r="K608">
        <v>7.53</v>
      </c>
      <c r="S608">
        <v>0.04</v>
      </c>
      <c r="AF608">
        <v>9.0939789999999991</v>
      </c>
      <c r="AI608" t="s">
        <v>0</v>
      </c>
      <c r="AJ608" t="s">
        <v>108</v>
      </c>
      <c r="AK608" t="s">
        <v>195</v>
      </c>
      <c r="AL608" t="s">
        <v>11</v>
      </c>
      <c r="AM608" t="s">
        <v>11</v>
      </c>
      <c r="AN608" t="s">
        <v>11</v>
      </c>
      <c r="AO608" t="s">
        <v>11</v>
      </c>
      <c r="AP608" t="s">
        <v>11</v>
      </c>
      <c r="AQ608" t="s">
        <v>11</v>
      </c>
      <c r="AR608" t="s">
        <v>11</v>
      </c>
      <c r="AS608" t="s">
        <v>11</v>
      </c>
      <c r="AT608" t="s">
        <v>11</v>
      </c>
      <c r="AU608" t="s">
        <v>344</v>
      </c>
      <c r="AV608" t="s">
        <v>11</v>
      </c>
      <c r="AW608" t="s">
        <v>11</v>
      </c>
      <c r="AX608" t="s">
        <v>11</v>
      </c>
      <c r="AY608" t="s">
        <v>11</v>
      </c>
      <c r="AZ608" t="s">
        <v>11</v>
      </c>
      <c r="BA608" t="s">
        <v>11</v>
      </c>
      <c r="BB608" t="s">
        <v>11</v>
      </c>
      <c r="BC608" t="s">
        <v>11</v>
      </c>
      <c r="BD608" t="s">
        <v>11</v>
      </c>
      <c r="BE608" t="s">
        <v>11</v>
      </c>
      <c r="BF608" t="s">
        <v>11</v>
      </c>
      <c r="BG608" t="s">
        <v>11</v>
      </c>
      <c r="BH608" t="s">
        <v>4277</v>
      </c>
      <c r="BI608" t="s">
        <v>4275</v>
      </c>
      <c r="BJ608" t="s">
        <v>4278</v>
      </c>
      <c r="BK608" t="s">
        <v>4279</v>
      </c>
    </row>
    <row r="609" spans="1:63" x14ac:dyDescent="0.3">
      <c r="A609" t="s">
        <v>4280</v>
      </c>
      <c r="B609" t="s">
        <v>160</v>
      </c>
      <c r="C609" t="s">
        <v>4281</v>
      </c>
      <c r="D609" t="s">
        <v>4282</v>
      </c>
      <c r="E609" t="s">
        <v>4263</v>
      </c>
      <c r="F609">
        <v>651</v>
      </c>
      <c r="G609">
        <v>38.160000000000004</v>
      </c>
      <c r="H609">
        <v>37.5</v>
      </c>
      <c r="I609">
        <v>9</v>
      </c>
      <c r="J609">
        <v>8</v>
      </c>
      <c r="K609">
        <v>7.3</v>
      </c>
      <c r="S609">
        <v>0.04</v>
      </c>
      <c r="AF609">
        <v>8.9611739999999998</v>
      </c>
      <c r="AI609" t="s">
        <v>0</v>
      </c>
      <c r="AJ609" t="s">
        <v>128</v>
      </c>
      <c r="AK609" t="s">
        <v>509</v>
      </c>
      <c r="AL609" t="s">
        <v>4244</v>
      </c>
      <c r="AM609" t="s">
        <v>971</v>
      </c>
      <c r="AN609" t="s">
        <v>11</v>
      </c>
      <c r="AO609" t="s">
        <v>11</v>
      </c>
      <c r="AP609" t="s">
        <v>11</v>
      </c>
      <c r="AQ609" t="s">
        <v>11</v>
      </c>
      <c r="AR609" t="s">
        <v>11</v>
      </c>
      <c r="AS609" t="s">
        <v>11</v>
      </c>
      <c r="AT609" t="s">
        <v>11</v>
      </c>
      <c r="AU609" t="s">
        <v>344</v>
      </c>
      <c r="AV609" t="s">
        <v>11</v>
      </c>
      <c r="AW609" t="s">
        <v>11</v>
      </c>
      <c r="AX609" t="s">
        <v>11</v>
      </c>
      <c r="AY609" t="s">
        <v>11</v>
      </c>
      <c r="AZ609" t="s">
        <v>11</v>
      </c>
      <c r="BA609" t="s">
        <v>11</v>
      </c>
      <c r="BB609" t="s">
        <v>11</v>
      </c>
      <c r="BC609" t="s">
        <v>11</v>
      </c>
      <c r="BD609" t="s">
        <v>11</v>
      </c>
      <c r="BE609" t="s">
        <v>11</v>
      </c>
      <c r="BF609" t="s">
        <v>11</v>
      </c>
      <c r="BG609" t="s">
        <v>11</v>
      </c>
      <c r="BH609" t="s">
        <v>4283</v>
      </c>
      <c r="BI609" t="s">
        <v>4280</v>
      </c>
      <c r="BJ609" t="s">
        <v>4284</v>
      </c>
      <c r="BK609" t="s">
        <v>4285</v>
      </c>
    </row>
    <row r="610" spans="1:63" x14ac:dyDescent="0.3">
      <c r="A610" t="s">
        <v>4286</v>
      </c>
      <c r="B610" t="s">
        <v>160</v>
      </c>
      <c r="C610" t="s">
        <v>4287</v>
      </c>
      <c r="D610" t="s">
        <v>4288</v>
      </c>
      <c r="E610" t="s">
        <v>4263</v>
      </c>
      <c r="F610">
        <v>652</v>
      </c>
      <c r="G610">
        <v>56.41</v>
      </c>
      <c r="H610">
        <v>18.75</v>
      </c>
      <c r="I610">
        <v>9.1999999999999993</v>
      </c>
      <c r="J610">
        <v>8</v>
      </c>
      <c r="K610">
        <v>7.6</v>
      </c>
      <c r="S610">
        <v>0.04</v>
      </c>
      <c r="AF610">
        <v>8.9783239999999989</v>
      </c>
      <c r="AI610" t="s">
        <v>0</v>
      </c>
      <c r="AJ610" t="s">
        <v>717</v>
      </c>
      <c r="AK610" t="s">
        <v>576</v>
      </c>
      <c r="AL610" t="s">
        <v>4251</v>
      </c>
      <c r="AM610" t="s">
        <v>971</v>
      </c>
      <c r="AN610" t="s">
        <v>11</v>
      </c>
      <c r="AO610" t="s">
        <v>11</v>
      </c>
      <c r="AP610" t="s">
        <v>11</v>
      </c>
      <c r="AQ610" t="s">
        <v>11</v>
      </c>
      <c r="AR610" t="s">
        <v>11</v>
      </c>
      <c r="AS610" t="s">
        <v>11</v>
      </c>
      <c r="AT610" t="s">
        <v>11</v>
      </c>
      <c r="AU610" t="s">
        <v>344</v>
      </c>
      <c r="AV610" t="s">
        <v>11</v>
      </c>
      <c r="AW610" t="s">
        <v>11</v>
      </c>
      <c r="AX610" t="s">
        <v>11</v>
      </c>
      <c r="AY610" t="s">
        <v>11</v>
      </c>
      <c r="AZ610" t="s">
        <v>11</v>
      </c>
      <c r="BA610" t="s">
        <v>11</v>
      </c>
      <c r="BB610" t="s">
        <v>11</v>
      </c>
      <c r="BC610" t="s">
        <v>11</v>
      </c>
      <c r="BD610" t="s">
        <v>11</v>
      </c>
      <c r="BE610" t="s">
        <v>11</v>
      </c>
      <c r="BF610" t="s">
        <v>11</v>
      </c>
      <c r="BG610" t="s">
        <v>11</v>
      </c>
      <c r="BH610" t="s">
        <v>4289</v>
      </c>
      <c r="BI610" t="s">
        <v>4286</v>
      </c>
      <c r="BJ610" t="s">
        <v>4290</v>
      </c>
      <c r="BK610" t="s">
        <v>4291</v>
      </c>
    </row>
    <row r="611" spans="1:63" x14ac:dyDescent="0.3">
      <c r="A611" t="s">
        <v>4292</v>
      </c>
      <c r="B611" t="s">
        <v>95</v>
      </c>
      <c r="C611" t="s">
        <v>4293</v>
      </c>
      <c r="D611" t="s">
        <v>4294</v>
      </c>
      <c r="E611" t="s">
        <v>4263</v>
      </c>
      <c r="F611">
        <v>653</v>
      </c>
      <c r="G611">
        <v>75.36</v>
      </c>
      <c r="I611">
        <v>8.6999999999999993</v>
      </c>
      <c r="J611">
        <v>8</v>
      </c>
      <c r="K611">
        <v>7.9</v>
      </c>
      <c r="S611">
        <v>0.04</v>
      </c>
      <c r="AF611">
        <v>9.0388739999999999</v>
      </c>
      <c r="AI611" t="s">
        <v>0</v>
      </c>
      <c r="AJ611" t="s">
        <v>223</v>
      </c>
      <c r="AK611" t="s">
        <v>1857</v>
      </c>
      <c r="AL611" t="s">
        <v>11</v>
      </c>
      <c r="AM611" t="s">
        <v>971</v>
      </c>
      <c r="AN611" t="s">
        <v>11</v>
      </c>
      <c r="AO611" t="s">
        <v>11</v>
      </c>
      <c r="AP611" t="s">
        <v>11</v>
      </c>
      <c r="AQ611" t="s">
        <v>11</v>
      </c>
      <c r="AR611" t="s">
        <v>11</v>
      </c>
      <c r="AS611" t="s">
        <v>11</v>
      </c>
      <c r="AT611" t="s">
        <v>11</v>
      </c>
      <c r="AU611" t="s">
        <v>344</v>
      </c>
      <c r="AV611" t="s">
        <v>11</v>
      </c>
      <c r="AW611" t="s">
        <v>11</v>
      </c>
      <c r="AX611" t="s">
        <v>11</v>
      </c>
      <c r="AY611" t="s">
        <v>11</v>
      </c>
      <c r="AZ611" t="s">
        <v>11</v>
      </c>
      <c r="BA611" t="s">
        <v>11</v>
      </c>
      <c r="BB611" t="s">
        <v>11</v>
      </c>
      <c r="BC611" t="s">
        <v>11</v>
      </c>
      <c r="BD611" t="s">
        <v>11</v>
      </c>
      <c r="BE611" t="s">
        <v>11</v>
      </c>
      <c r="BF611" t="s">
        <v>11</v>
      </c>
      <c r="BG611" t="s">
        <v>11</v>
      </c>
      <c r="BH611" t="s">
        <v>4295</v>
      </c>
      <c r="BI611" t="s">
        <v>4292</v>
      </c>
      <c r="BJ611" t="s">
        <v>4296</v>
      </c>
      <c r="BK611" t="s">
        <v>4297</v>
      </c>
    </row>
    <row r="612" spans="1:63" x14ac:dyDescent="0.3">
      <c r="A612" t="s">
        <v>4298</v>
      </c>
      <c r="B612" t="s">
        <v>514</v>
      </c>
      <c r="C612" t="s">
        <v>4299</v>
      </c>
      <c r="D612" t="s">
        <v>4300</v>
      </c>
      <c r="E612" t="s">
        <v>4301</v>
      </c>
      <c r="F612">
        <v>654</v>
      </c>
      <c r="G612">
        <v>87.4</v>
      </c>
      <c r="L612">
        <v>12.6</v>
      </c>
      <c r="AF612">
        <v>8.3464820000000017</v>
      </c>
      <c r="AI612" t="s">
        <v>0</v>
      </c>
      <c r="AJ612" t="s">
        <v>11</v>
      </c>
      <c r="AK612" t="s">
        <v>11</v>
      </c>
      <c r="AL612" t="s">
        <v>11</v>
      </c>
      <c r="AM612" t="s">
        <v>11</v>
      </c>
      <c r="AN612" t="s">
        <v>11</v>
      </c>
      <c r="AO612" t="s">
        <v>11</v>
      </c>
      <c r="AP612" t="s">
        <v>11</v>
      </c>
      <c r="AQ612" t="s">
        <v>4302</v>
      </c>
      <c r="AR612" t="s">
        <v>11</v>
      </c>
      <c r="AS612" t="s">
        <v>11</v>
      </c>
      <c r="AT612" t="s">
        <v>11</v>
      </c>
      <c r="AU612" t="s">
        <v>11</v>
      </c>
      <c r="AV612" t="s">
        <v>11</v>
      </c>
      <c r="AW612" t="s">
        <v>11</v>
      </c>
      <c r="AX612" t="s">
        <v>11</v>
      </c>
      <c r="AY612" t="s">
        <v>11</v>
      </c>
      <c r="AZ612" t="s">
        <v>11</v>
      </c>
      <c r="BA612" t="s">
        <v>11</v>
      </c>
      <c r="BB612" t="s">
        <v>11</v>
      </c>
      <c r="BC612" t="s">
        <v>11</v>
      </c>
      <c r="BD612" t="s">
        <v>11</v>
      </c>
      <c r="BE612" t="s">
        <v>11</v>
      </c>
      <c r="BF612" t="s">
        <v>11</v>
      </c>
      <c r="BG612" t="s">
        <v>11</v>
      </c>
      <c r="BH612" t="s">
        <v>4303</v>
      </c>
      <c r="BI612" t="s">
        <v>4298</v>
      </c>
      <c r="BJ612" t="s">
        <v>4304</v>
      </c>
      <c r="BK612" t="s">
        <v>4302</v>
      </c>
    </row>
    <row r="613" spans="1:63" x14ac:dyDescent="0.3">
      <c r="A613" t="s">
        <v>4305</v>
      </c>
      <c r="B613" t="s">
        <v>514</v>
      </c>
      <c r="C613" t="s">
        <v>1674</v>
      </c>
      <c r="D613" t="s">
        <v>4306</v>
      </c>
      <c r="E613" t="s">
        <v>4301</v>
      </c>
      <c r="F613">
        <v>655</v>
      </c>
      <c r="G613">
        <v>87.8</v>
      </c>
      <c r="L613">
        <v>12.2</v>
      </c>
      <c r="AF613">
        <v>8.3640539999999994</v>
      </c>
      <c r="AI613" t="s">
        <v>0</v>
      </c>
      <c r="AJ613" t="s">
        <v>11</v>
      </c>
      <c r="AK613" t="s">
        <v>11</v>
      </c>
      <c r="AL613" t="s">
        <v>11</v>
      </c>
      <c r="AM613" t="s">
        <v>11</v>
      </c>
      <c r="AN613" t="s">
        <v>11</v>
      </c>
      <c r="AO613" t="s">
        <v>11</v>
      </c>
      <c r="AP613" t="s">
        <v>11</v>
      </c>
      <c r="AQ613" t="s">
        <v>4307</v>
      </c>
      <c r="AR613" t="s">
        <v>11</v>
      </c>
      <c r="AS613" t="s">
        <v>11</v>
      </c>
      <c r="AT613" t="s">
        <v>11</v>
      </c>
      <c r="AU613" t="s">
        <v>11</v>
      </c>
      <c r="AV613" t="s">
        <v>11</v>
      </c>
      <c r="AW613" t="s">
        <v>11</v>
      </c>
      <c r="AX613" t="s">
        <v>11</v>
      </c>
      <c r="AY613" t="s">
        <v>11</v>
      </c>
      <c r="AZ613" t="s">
        <v>11</v>
      </c>
      <c r="BA613" t="s">
        <v>11</v>
      </c>
      <c r="BB613" t="s">
        <v>11</v>
      </c>
      <c r="BC613" t="s">
        <v>11</v>
      </c>
      <c r="BD613" t="s">
        <v>11</v>
      </c>
      <c r="BE613" t="s">
        <v>11</v>
      </c>
      <c r="BF613" t="s">
        <v>11</v>
      </c>
      <c r="BG613" t="s">
        <v>11</v>
      </c>
      <c r="BH613" t="s">
        <v>4308</v>
      </c>
      <c r="BI613" t="s">
        <v>4305</v>
      </c>
      <c r="BJ613" t="s">
        <v>4309</v>
      </c>
      <c r="BK613" t="s">
        <v>4307</v>
      </c>
    </row>
    <row r="614" spans="1:63" x14ac:dyDescent="0.3">
      <c r="A614" t="s">
        <v>4310</v>
      </c>
      <c r="B614" t="s">
        <v>514</v>
      </c>
      <c r="C614" t="s">
        <v>4311</v>
      </c>
      <c r="D614" t="s">
        <v>4312</v>
      </c>
      <c r="E614" t="s">
        <v>4301</v>
      </c>
      <c r="F614">
        <v>656</v>
      </c>
      <c r="G614">
        <v>86.6</v>
      </c>
      <c r="I614">
        <v>1.2</v>
      </c>
      <c r="K614">
        <v>1</v>
      </c>
      <c r="L614">
        <v>11.2</v>
      </c>
      <c r="AF614">
        <v>8.4370840000000005</v>
      </c>
      <c r="AI614" t="s">
        <v>0</v>
      </c>
      <c r="AJ614" t="s">
        <v>4313</v>
      </c>
      <c r="AK614" t="s">
        <v>44</v>
      </c>
      <c r="AL614" t="s">
        <v>11</v>
      </c>
      <c r="AM614" t="s">
        <v>11</v>
      </c>
      <c r="AN614" t="s">
        <v>11</v>
      </c>
      <c r="AO614" t="s">
        <v>11</v>
      </c>
      <c r="AP614" t="s">
        <v>11</v>
      </c>
      <c r="AQ614" t="s">
        <v>4314</v>
      </c>
      <c r="AR614" t="s">
        <v>11</v>
      </c>
      <c r="AS614" t="s">
        <v>11</v>
      </c>
      <c r="AT614" t="s">
        <v>11</v>
      </c>
      <c r="AU614" t="s">
        <v>11</v>
      </c>
      <c r="AV614" t="s">
        <v>11</v>
      </c>
      <c r="AW614" t="s">
        <v>11</v>
      </c>
      <c r="AX614" t="s">
        <v>11</v>
      </c>
      <c r="AY614" t="s">
        <v>11</v>
      </c>
      <c r="AZ614" t="s">
        <v>11</v>
      </c>
      <c r="BA614" t="s">
        <v>11</v>
      </c>
      <c r="BB614" t="s">
        <v>11</v>
      </c>
      <c r="BC614" t="s">
        <v>11</v>
      </c>
      <c r="BD614" t="s">
        <v>11</v>
      </c>
      <c r="BE614" t="s">
        <v>11</v>
      </c>
      <c r="BF614" t="s">
        <v>11</v>
      </c>
      <c r="BG614" t="s">
        <v>11</v>
      </c>
      <c r="BH614" t="s">
        <v>4315</v>
      </c>
      <c r="BI614" t="s">
        <v>4310</v>
      </c>
      <c r="BJ614" t="s">
        <v>4316</v>
      </c>
      <c r="BK614" t="s">
        <v>4317</v>
      </c>
    </row>
    <row r="615" spans="1:63" x14ac:dyDescent="0.3">
      <c r="A615" t="s">
        <v>4318</v>
      </c>
      <c r="B615" t="s">
        <v>514</v>
      </c>
      <c r="C615" t="s">
        <v>4319</v>
      </c>
      <c r="D615" t="s">
        <v>4320</v>
      </c>
      <c r="E615" t="s">
        <v>4301</v>
      </c>
      <c r="F615">
        <v>657</v>
      </c>
      <c r="G615">
        <v>87</v>
      </c>
      <c r="I615">
        <v>1.4</v>
      </c>
      <c r="K615">
        <v>1.3</v>
      </c>
      <c r="L615">
        <v>10.3</v>
      </c>
      <c r="AF615">
        <v>8.4952710000000007</v>
      </c>
      <c r="AI615" t="s">
        <v>0</v>
      </c>
      <c r="AJ615" t="s">
        <v>4321</v>
      </c>
      <c r="AK615" t="s">
        <v>1592</v>
      </c>
      <c r="AL615" t="s">
        <v>11</v>
      </c>
      <c r="AM615" t="s">
        <v>11</v>
      </c>
      <c r="AN615" t="s">
        <v>11</v>
      </c>
      <c r="AO615" t="s">
        <v>11</v>
      </c>
      <c r="AP615" t="s">
        <v>11</v>
      </c>
      <c r="AQ615" t="s">
        <v>4322</v>
      </c>
      <c r="AR615" t="s">
        <v>11</v>
      </c>
      <c r="AS615" t="s">
        <v>11</v>
      </c>
      <c r="AT615" t="s">
        <v>11</v>
      </c>
      <c r="AU615" t="s">
        <v>11</v>
      </c>
      <c r="AV615" t="s">
        <v>11</v>
      </c>
      <c r="AW615" t="s">
        <v>11</v>
      </c>
      <c r="AX615" t="s">
        <v>11</v>
      </c>
      <c r="AY615" t="s">
        <v>11</v>
      </c>
      <c r="AZ615" t="s">
        <v>11</v>
      </c>
      <c r="BA615" t="s">
        <v>11</v>
      </c>
      <c r="BB615" t="s">
        <v>11</v>
      </c>
      <c r="BC615" t="s">
        <v>11</v>
      </c>
      <c r="BD615" t="s">
        <v>11</v>
      </c>
      <c r="BE615" t="s">
        <v>11</v>
      </c>
      <c r="BF615" t="s">
        <v>11</v>
      </c>
      <c r="BG615" t="s">
        <v>11</v>
      </c>
      <c r="BH615" t="s">
        <v>4323</v>
      </c>
      <c r="BI615" t="s">
        <v>4318</v>
      </c>
      <c r="BJ615" t="s">
        <v>4324</v>
      </c>
      <c r="BK615" t="s">
        <v>4325</v>
      </c>
    </row>
    <row r="616" spans="1:63" x14ac:dyDescent="0.3">
      <c r="A616" t="s">
        <v>4326</v>
      </c>
      <c r="B616" t="s">
        <v>514</v>
      </c>
      <c r="C616" t="s">
        <v>4327</v>
      </c>
      <c r="D616" t="s">
        <v>4328</v>
      </c>
      <c r="E616" t="s">
        <v>4301</v>
      </c>
      <c r="F616">
        <v>658</v>
      </c>
      <c r="G616">
        <v>86</v>
      </c>
      <c r="I616">
        <v>2.7</v>
      </c>
      <c r="K616">
        <v>2.5</v>
      </c>
      <c r="L616">
        <v>8.8000000000000007</v>
      </c>
      <c r="AF616">
        <v>8.6047659999999997</v>
      </c>
      <c r="AI616" t="s">
        <v>0</v>
      </c>
      <c r="AJ616" t="s">
        <v>1</v>
      </c>
      <c r="AK616" t="s">
        <v>2455</v>
      </c>
      <c r="AL616" t="s">
        <v>11</v>
      </c>
      <c r="AM616" t="s">
        <v>11</v>
      </c>
      <c r="AN616" t="s">
        <v>11</v>
      </c>
      <c r="AO616" t="s">
        <v>11</v>
      </c>
      <c r="AP616" t="s">
        <v>11</v>
      </c>
      <c r="AQ616" t="s">
        <v>4329</v>
      </c>
      <c r="AR616" t="s">
        <v>11</v>
      </c>
      <c r="AS616" t="s">
        <v>11</v>
      </c>
      <c r="AT616" t="s">
        <v>11</v>
      </c>
      <c r="AU616" t="s">
        <v>11</v>
      </c>
      <c r="AV616" t="s">
        <v>11</v>
      </c>
      <c r="AW616" t="s">
        <v>11</v>
      </c>
      <c r="AX616" t="s">
        <v>11</v>
      </c>
      <c r="AY616" t="s">
        <v>11</v>
      </c>
      <c r="AZ616" t="s">
        <v>11</v>
      </c>
      <c r="BA616" t="s">
        <v>11</v>
      </c>
      <c r="BB616" t="s">
        <v>11</v>
      </c>
      <c r="BC616" t="s">
        <v>11</v>
      </c>
      <c r="BD616" t="s">
        <v>11</v>
      </c>
      <c r="BE616" t="s">
        <v>11</v>
      </c>
      <c r="BF616" t="s">
        <v>11</v>
      </c>
      <c r="BG616" t="s">
        <v>11</v>
      </c>
      <c r="BH616" t="s">
        <v>4330</v>
      </c>
      <c r="BI616" t="s">
        <v>4326</v>
      </c>
      <c r="BJ616" t="s">
        <v>4331</v>
      </c>
      <c r="BK616" t="s">
        <v>4332</v>
      </c>
    </row>
    <row r="617" spans="1:63" x14ac:dyDescent="0.3">
      <c r="A617" t="s">
        <v>4333</v>
      </c>
      <c r="B617" t="s">
        <v>514</v>
      </c>
      <c r="C617" t="s">
        <v>4327</v>
      </c>
      <c r="D617" t="s">
        <v>4334</v>
      </c>
      <c r="E617" t="s">
        <v>4301</v>
      </c>
      <c r="F617">
        <v>659</v>
      </c>
      <c r="G617">
        <v>86.2</v>
      </c>
      <c r="I617">
        <v>2.8</v>
      </c>
      <c r="K617">
        <v>2.5</v>
      </c>
      <c r="L617">
        <v>8.5</v>
      </c>
      <c r="AF617">
        <v>8.6117449999999991</v>
      </c>
      <c r="AI617" t="s">
        <v>0</v>
      </c>
      <c r="AJ617" t="s">
        <v>1067</v>
      </c>
      <c r="AK617" t="s">
        <v>2455</v>
      </c>
      <c r="AL617" t="s">
        <v>11</v>
      </c>
      <c r="AM617" t="s">
        <v>11</v>
      </c>
      <c r="AN617" t="s">
        <v>11</v>
      </c>
      <c r="AO617" t="s">
        <v>11</v>
      </c>
      <c r="AP617" t="s">
        <v>11</v>
      </c>
      <c r="AQ617" t="s">
        <v>4335</v>
      </c>
      <c r="AR617" t="s">
        <v>11</v>
      </c>
      <c r="AS617" t="s">
        <v>11</v>
      </c>
      <c r="AT617" t="s">
        <v>11</v>
      </c>
      <c r="AU617" t="s">
        <v>11</v>
      </c>
      <c r="AV617" t="s">
        <v>11</v>
      </c>
      <c r="AW617" t="s">
        <v>11</v>
      </c>
      <c r="AX617" t="s">
        <v>11</v>
      </c>
      <c r="AY617" t="s">
        <v>11</v>
      </c>
      <c r="AZ617" t="s">
        <v>11</v>
      </c>
      <c r="BA617" t="s">
        <v>11</v>
      </c>
      <c r="BB617" t="s">
        <v>11</v>
      </c>
      <c r="BC617" t="s">
        <v>11</v>
      </c>
      <c r="BD617" t="s">
        <v>11</v>
      </c>
      <c r="BE617" t="s">
        <v>11</v>
      </c>
      <c r="BF617" t="s">
        <v>11</v>
      </c>
      <c r="BG617" t="s">
        <v>11</v>
      </c>
      <c r="BH617" t="s">
        <v>4336</v>
      </c>
      <c r="BI617" t="s">
        <v>4333</v>
      </c>
      <c r="BJ617" t="s">
        <v>4337</v>
      </c>
      <c r="BK617" t="s">
        <v>4338</v>
      </c>
    </row>
    <row r="618" spans="1:63" x14ac:dyDescent="0.3">
      <c r="A618" t="s">
        <v>4339</v>
      </c>
      <c r="B618" t="s">
        <v>95</v>
      </c>
      <c r="C618" t="s">
        <v>4340</v>
      </c>
      <c r="D618" t="s">
        <v>4341</v>
      </c>
      <c r="E618" t="s">
        <v>4301</v>
      </c>
      <c r="F618">
        <v>660</v>
      </c>
      <c r="G618">
        <v>85.4</v>
      </c>
      <c r="I618">
        <v>4.2</v>
      </c>
      <c r="K618">
        <v>3.7</v>
      </c>
      <c r="L618">
        <v>6.7</v>
      </c>
      <c r="AF618">
        <v>8.7282190000000011</v>
      </c>
      <c r="AI618" t="s">
        <v>0</v>
      </c>
      <c r="AJ618" t="s">
        <v>4342</v>
      </c>
      <c r="AK618" t="s">
        <v>2096</v>
      </c>
      <c r="AL618" t="s">
        <v>11</v>
      </c>
      <c r="AM618" t="s">
        <v>11</v>
      </c>
      <c r="AN618" t="s">
        <v>11</v>
      </c>
      <c r="AO618" t="s">
        <v>11</v>
      </c>
      <c r="AP618" t="s">
        <v>11</v>
      </c>
      <c r="AQ618" t="s">
        <v>4343</v>
      </c>
      <c r="AR618" t="s">
        <v>11</v>
      </c>
      <c r="AS618" t="s">
        <v>11</v>
      </c>
      <c r="AT618" t="s">
        <v>11</v>
      </c>
      <c r="AU618" t="s">
        <v>11</v>
      </c>
      <c r="AV618" t="s">
        <v>11</v>
      </c>
      <c r="AW618" t="s">
        <v>11</v>
      </c>
      <c r="AX618" t="s">
        <v>11</v>
      </c>
      <c r="AY618" t="s">
        <v>11</v>
      </c>
      <c r="AZ618" t="s">
        <v>11</v>
      </c>
      <c r="BA618" t="s">
        <v>11</v>
      </c>
      <c r="BB618" t="s">
        <v>11</v>
      </c>
      <c r="BC618" t="s">
        <v>11</v>
      </c>
      <c r="BD618" t="s">
        <v>11</v>
      </c>
      <c r="BE618" t="s">
        <v>11</v>
      </c>
      <c r="BF618" t="s">
        <v>11</v>
      </c>
      <c r="BG618" t="s">
        <v>11</v>
      </c>
      <c r="BH618" t="s">
        <v>4344</v>
      </c>
      <c r="BI618" t="s">
        <v>4339</v>
      </c>
      <c r="BJ618" t="s">
        <v>4345</v>
      </c>
      <c r="BK618" t="s">
        <v>4346</v>
      </c>
    </row>
    <row r="619" spans="1:63" x14ac:dyDescent="0.3">
      <c r="A619" t="s">
        <v>4347</v>
      </c>
      <c r="B619" t="s">
        <v>95</v>
      </c>
      <c r="C619" t="s">
        <v>4348</v>
      </c>
      <c r="D619" t="s">
        <v>4349</v>
      </c>
      <c r="E619" t="s">
        <v>4301</v>
      </c>
      <c r="F619">
        <v>661</v>
      </c>
      <c r="G619">
        <v>85.3</v>
      </c>
      <c r="I619">
        <v>4.5</v>
      </c>
      <c r="K619">
        <v>4.0999999999999996</v>
      </c>
      <c r="L619">
        <v>6.1</v>
      </c>
      <c r="AF619">
        <v>8.7773769999999995</v>
      </c>
      <c r="AI619" t="s">
        <v>0</v>
      </c>
      <c r="AJ619" t="s">
        <v>518</v>
      </c>
      <c r="AK619" t="s">
        <v>1602</v>
      </c>
      <c r="AL619" t="s">
        <v>11</v>
      </c>
      <c r="AM619" t="s">
        <v>11</v>
      </c>
      <c r="AN619" t="s">
        <v>11</v>
      </c>
      <c r="AO619" t="s">
        <v>11</v>
      </c>
      <c r="AP619" t="s">
        <v>11</v>
      </c>
      <c r="AQ619" t="s">
        <v>616</v>
      </c>
      <c r="AR619" t="s">
        <v>11</v>
      </c>
      <c r="AS619" t="s">
        <v>11</v>
      </c>
      <c r="AT619" t="s">
        <v>11</v>
      </c>
      <c r="AU619" t="s">
        <v>11</v>
      </c>
      <c r="AV619" t="s">
        <v>11</v>
      </c>
      <c r="AW619" t="s">
        <v>11</v>
      </c>
      <c r="AX619" t="s">
        <v>11</v>
      </c>
      <c r="AY619" t="s">
        <v>11</v>
      </c>
      <c r="AZ619" t="s">
        <v>11</v>
      </c>
      <c r="BA619" t="s">
        <v>11</v>
      </c>
      <c r="BB619" t="s">
        <v>11</v>
      </c>
      <c r="BC619" t="s">
        <v>11</v>
      </c>
      <c r="BD619" t="s">
        <v>11</v>
      </c>
      <c r="BE619" t="s">
        <v>11</v>
      </c>
      <c r="BF619" t="s">
        <v>11</v>
      </c>
      <c r="BG619" t="s">
        <v>11</v>
      </c>
      <c r="BH619" t="s">
        <v>4350</v>
      </c>
      <c r="BI619" t="s">
        <v>4347</v>
      </c>
      <c r="BJ619" t="s">
        <v>4351</v>
      </c>
      <c r="BK619" t="s">
        <v>4352</v>
      </c>
    </row>
    <row r="620" spans="1:63" x14ac:dyDescent="0.3">
      <c r="A620" t="s">
        <v>4353</v>
      </c>
      <c r="B620" t="s">
        <v>160</v>
      </c>
      <c r="C620" t="s">
        <v>4354</v>
      </c>
      <c r="D620" t="s">
        <v>4355</v>
      </c>
      <c r="E620" t="s">
        <v>4301</v>
      </c>
      <c r="F620">
        <v>662</v>
      </c>
      <c r="G620">
        <v>84.2</v>
      </c>
      <c r="I620">
        <v>6</v>
      </c>
      <c r="K620">
        <v>5.5</v>
      </c>
      <c r="L620">
        <v>4.3</v>
      </c>
      <c r="AF620">
        <v>8.9083510000000015</v>
      </c>
      <c r="AI620" t="s">
        <v>0</v>
      </c>
      <c r="AJ620" t="s">
        <v>926</v>
      </c>
      <c r="AK620" t="s">
        <v>224</v>
      </c>
      <c r="AL620" t="s">
        <v>11</v>
      </c>
      <c r="AM620" t="s">
        <v>11</v>
      </c>
      <c r="AN620" t="s">
        <v>11</v>
      </c>
      <c r="AO620" t="s">
        <v>11</v>
      </c>
      <c r="AP620" t="s">
        <v>11</v>
      </c>
      <c r="AQ620" t="s">
        <v>2089</v>
      </c>
      <c r="AR620" t="s">
        <v>11</v>
      </c>
      <c r="AS620" t="s">
        <v>11</v>
      </c>
      <c r="AT620" t="s">
        <v>11</v>
      </c>
      <c r="AU620" t="s">
        <v>11</v>
      </c>
      <c r="AV620" t="s">
        <v>11</v>
      </c>
      <c r="AW620" t="s">
        <v>11</v>
      </c>
      <c r="AX620" t="s">
        <v>11</v>
      </c>
      <c r="AY620" t="s">
        <v>11</v>
      </c>
      <c r="AZ620" t="s">
        <v>11</v>
      </c>
      <c r="BA620" t="s">
        <v>11</v>
      </c>
      <c r="BB620" t="s">
        <v>11</v>
      </c>
      <c r="BC620" t="s">
        <v>11</v>
      </c>
      <c r="BD620" t="s">
        <v>11</v>
      </c>
      <c r="BE620" t="s">
        <v>11</v>
      </c>
      <c r="BF620" t="s">
        <v>11</v>
      </c>
      <c r="BG620" t="s">
        <v>11</v>
      </c>
      <c r="BH620" t="s">
        <v>4356</v>
      </c>
      <c r="BI620" t="s">
        <v>4353</v>
      </c>
      <c r="BJ620" t="s">
        <v>4357</v>
      </c>
      <c r="BK620" t="s">
        <v>4358</v>
      </c>
    </row>
    <row r="621" spans="1:63" x14ac:dyDescent="0.3">
      <c r="A621" t="s">
        <v>4359</v>
      </c>
      <c r="B621" t="s">
        <v>160</v>
      </c>
      <c r="C621" t="s">
        <v>4360</v>
      </c>
      <c r="D621" t="s">
        <v>4361</v>
      </c>
      <c r="E621" t="s">
        <v>4301</v>
      </c>
      <c r="F621">
        <v>663</v>
      </c>
      <c r="G621">
        <v>83.2</v>
      </c>
      <c r="I621">
        <v>7</v>
      </c>
      <c r="K621">
        <v>6.1</v>
      </c>
      <c r="L621">
        <v>3.7</v>
      </c>
      <c r="AF621">
        <v>8.9348089999999996</v>
      </c>
      <c r="AI621" t="s">
        <v>0</v>
      </c>
      <c r="AJ621" t="s">
        <v>1358</v>
      </c>
      <c r="AK621" t="s">
        <v>528</v>
      </c>
      <c r="AL621" t="s">
        <v>11</v>
      </c>
      <c r="AM621" t="s">
        <v>11</v>
      </c>
      <c r="AN621" t="s">
        <v>11</v>
      </c>
      <c r="AO621" t="s">
        <v>11</v>
      </c>
      <c r="AP621" t="s">
        <v>11</v>
      </c>
      <c r="AQ621" t="s">
        <v>4362</v>
      </c>
      <c r="AR621" t="s">
        <v>11</v>
      </c>
      <c r="AS621" t="s">
        <v>11</v>
      </c>
      <c r="AT621" t="s">
        <v>11</v>
      </c>
      <c r="AU621" t="s">
        <v>11</v>
      </c>
      <c r="AV621" t="s">
        <v>11</v>
      </c>
      <c r="AW621" t="s">
        <v>11</v>
      </c>
      <c r="AX621" t="s">
        <v>11</v>
      </c>
      <c r="AY621" t="s">
        <v>11</v>
      </c>
      <c r="AZ621" t="s">
        <v>11</v>
      </c>
      <c r="BA621" t="s">
        <v>11</v>
      </c>
      <c r="BB621" t="s">
        <v>11</v>
      </c>
      <c r="BC621" t="s">
        <v>11</v>
      </c>
      <c r="BD621" t="s">
        <v>11</v>
      </c>
      <c r="BE621" t="s">
        <v>11</v>
      </c>
      <c r="BF621" t="s">
        <v>11</v>
      </c>
      <c r="BG621" t="s">
        <v>11</v>
      </c>
      <c r="BH621" t="s">
        <v>4363</v>
      </c>
      <c r="BI621" t="s">
        <v>4359</v>
      </c>
      <c r="BJ621" t="s">
        <v>4364</v>
      </c>
      <c r="BK621" t="s">
        <v>4365</v>
      </c>
    </row>
    <row r="622" spans="1:63" x14ac:dyDescent="0.3">
      <c r="A622" t="s">
        <v>4366</v>
      </c>
      <c r="B622" t="s">
        <v>160</v>
      </c>
      <c r="C622" t="s">
        <v>4367</v>
      </c>
      <c r="D622" t="s">
        <v>4368</v>
      </c>
      <c r="E622" t="s">
        <v>4301</v>
      </c>
      <c r="F622">
        <v>664</v>
      </c>
      <c r="G622">
        <v>83.4</v>
      </c>
      <c r="I622">
        <v>7.5</v>
      </c>
      <c r="K622">
        <v>6.8</v>
      </c>
      <c r="L622">
        <v>2.2999999999999998</v>
      </c>
      <c r="AF622">
        <v>9.0377609999999997</v>
      </c>
      <c r="AI622" t="s">
        <v>0</v>
      </c>
      <c r="AJ622" t="s">
        <v>297</v>
      </c>
      <c r="AK622" t="s">
        <v>1769</v>
      </c>
      <c r="AL622" t="s">
        <v>11</v>
      </c>
      <c r="AM622" t="s">
        <v>11</v>
      </c>
      <c r="AN622" t="s">
        <v>11</v>
      </c>
      <c r="AO622" t="s">
        <v>11</v>
      </c>
      <c r="AP622" t="s">
        <v>11</v>
      </c>
      <c r="AQ622" t="s">
        <v>3987</v>
      </c>
      <c r="AR622" t="s">
        <v>11</v>
      </c>
      <c r="AS622" t="s">
        <v>11</v>
      </c>
      <c r="AT622" t="s">
        <v>11</v>
      </c>
      <c r="AU622" t="s">
        <v>11</v>
      </c>
      <c r="AV622" t="s">
        <v>11</v>
      </c>
      <c r="AW622" t="s">
        <v>11</v>
      </c>
      <c r="AX622" t="s">
        <v>11</v>
      </c>
      <c r="AY622" t="s">
        <v>11</v>
      </c>
      <c r="AZ622" t="s">
        <v>11</v>
      </c>
      <c r="BA622" t="s">
        <v>11</v>
      </c>
      <c r="BB622" t="s">
        <v>11</v>
      </c>
      <c r="BC622" t="s">
        <v>11</v>
      </c>
      <c r="BD622" t="s">
        <v>11</v>
      </c>
      <c r="BE622" t="s">
        <v>11</v>
      </c>
      <c r="BF622" t="s">
        <v>11</v>
      </c>
      <c r="BG622" t="s">
        <v>11</v>
      </c>
      <c r="BH622" t="s">
        <v>4369</v>
      </c>
      <c r="BI622" t="s">
        <v>4366</v>
      </c>
      <c r="BJ622" t="s">
        <v>4370</v>
      </c>
      <c r="BK622" t="s">
        <v>4371</v>
      </c>
    </row>
    <row r="623" spans="1:63" x14ac:dyDescent="0.3">
      <c r="A623" t="s">
        <v>4372</v>
      </c>
      <c r="B623" t="s">
        <v>160</v>
      </c>
      <c r="C623" t="s">
        <v>4373</v>
      </c>
      <c r="D623" t="s">
        <v>4374</v>
      </c>
      <c r="E623" t="s">
        <v>4301</v>
      </c>
      <c r="F623">
        <v>665</v>
      </c>
      <c r="G623">
        <v>82.2</v>
      </c>
      <c r="I623">
        <v>8.4</v>
      </c>
      <c r="K623">
        <v>7.5</v>
      </c>
      <c r="L623">
        <v>1.9</v>
      </c>
      <c r="AF623">
        <v>9.0719829999999995</v>
      </c>
      <c r="AI623" t="s">
        <v>0</v>
      </c>
      <c r="AJ623" t="s">
        <v>118</v>
      </c>
      <c r="AK623" t="s">
        <v>195</v>
      </c>
      <c r="AL623" t="s">
        <v>11</v>
      </c>
      <c r="AM623" t="s">
        <v>11</v>
      </c>
      <c r="AN623" t="s">
        <v>11</v>
      </c>
      <c r="AO623" t="s">
        <v>11</v>
      </c>
      <c r="AP623" t="s">
        <v>11</v>
      </c>
      <c r="AQ623" t="s">
        <v>1249</v>
      </c>
      <c r="AR623" t="s">
        <v>11</v>
      </c>
      <c r="AS623" t="s">
        <v>11</v>
      </c>
      <c r="AT623" t="s">
        <v>11</v>
      </c>
      <c r="AU623" t="s">
        <v>11</v>
      </c>
      <c r="AV623" t="s">
        <v>11</v>
      </c>
      <c r="AW623" t="s">
        <v>11</v>
      </c>
      <c r="AX623" t="s">
        <v>11</v>
      </c>
      <c r="AY623" t="s">
        <v>11</v>
      </c>
      <c r="AZ623" t="s">
        <v>11</v>
      </c>
      <c r="BA623" t="s">
        <v>11</v>
      </c>
      <c r="BB623" t="s">
        <v>11</v>
      </c>
      <c r="BC623" t="s">
        <v>11</v>
      </c>
      <c r="BD623" t="s">
        <v>11</v>
      </c>
      <c r="BE623" t="s">
        <v>11</v>
      </c>
      <c r="BF623" t="s">
        <v>11</v>
      </c>
      <c r="BG623" t="s">
        <v>11</v>
      </c>
      <c r="BH623" t="s">
        <v>4375</v>
      </c>
      <c r="BI623" t="s">
        <v>4372</v>
      </c>
      <c r="BJ623" t="s">
        <v>4376</v>
      </c>
      <c r="BK623" t="s">
        <v>4377</v>
      </c>
    </row>
    <row r="624" spans="1:63" x14ac:dyDescent="0.3">
      <c r="A624" t="s">
        <v>4378</v>
      </c>
      <c r="B624" t="s">
        <v>95</v>
      </c>
      <c r="C624" t="s">
        <v>4379</v>
      </c>
      <c r="D624" t="s">
        <v>4380</v>
      </c>
      <c r="E624" t="s">
        <v>4301</v>
      </c>
      <c r="F624">
        <v>666</v>
      </c>
      <c r="G624">
        <v>81.3</v>
      </c>
      <c r="I624">
        <v>9.9</v>
      </c>
      <c r="K624">
        <v>8.8000000000000007</v>
      </c>
      <c r="AF624">
        <v>9.197000000000001</v>
      </c>
      <c r="AI624" t="s">
        <v>0</v>
      </c>
      <c r="AJ624" t="s">
        <v>575</v>
      </c>
      <c r="AK624" t="s">
        <v>287</v>
      </c>
      <c r="AL624" t="s">
        <v>11</v>
      </c>
      <c r="AM624" t="s">
        <v>11</v>
      </c>
      <c r="AN624" t="s">
        <v>11</v>
      </c>
      <c r="AO624" t="s">
        <v>11</v>
      </c>
      <c r="AP624" t="s">
        <v>11</v>
      </c>
      <c r="AQ624" t="s">
        <v>11</v>
      </c>
      <c r="AR624" t="s">
        <v>11</v>
      </c>
      <c r="AS624" t="s">
        <v>11</v>
      </c>
      <c r="AT624" t="s">
        <v>11</v>
      </c>
      <c r="AU624" t="s">
        <v>11</v>
      </c>
      <c r="AV624" t="s">
        <v>11</v>
      </c>
      <c r="AW624" t="s">
        <v>11</v>
      </c>
      <c r="AX624" t="s">
        <v>11</v>
      </c>
      <c r="AY624" t="s">
        <v>11</v>
      </c>
      <c r="AZ624" t="s">
        <v>11</v>
      </c>
      <c r="BA624" t="s">
        <v>11</v>
      </c>
      <c r="BB624" t="s">
        <v>11</v>
      </c>
      <c r="BC624" t="s">
        <v>11</v>
      </c>
      <c r="BD624" t="s">
        <v>11</v>
      </c>
      <c r="BE624" t="s">
        <v>11</v>
      </c>
      <c r="BF624" t="s">
        <v>11</v>
      </c>
      <c r="BG624" t="s">
        <v>11</v>
      </c>
      <c r="BH624" t="s">
        <v>4381</v>
      </c>
      <c r="BI624" t="s">
        <v>4378</v>
      </c>
      <c r="BJ624" t="s">
        <v>4382</v>
      </c>
      <c r="BK624" t="s">
        <v>4383</v>
      </c>
    </row>
    <row r="625" spans="1:63" x14ac:dyDescent="0.3">
      <c r="A625" t="s">
        <v>4384</v>
      </c>
      <c r="B625" t="s">
        <v>95</v>
      </c>
      <c r="C625" t="s">
        <v>2142</v>
      </c>
      <c r="D625" t="s">
        <v>4385</v>
      </c>
      <c r="E625" t="s">
        <v>4301</v>
      </c>
      <c r="F625">
        <v>667</v>
      </c>
      <c r="G625">
        <v>82.9</v>
      </c>
      <c r="I625">
        <v>8.9</v>
      </c>
      <c r="K625">
        <v>8.1999999999999993</v>
      </c>
      <c r="AF625">
        <v>9.1969000000000012</v>
      </c>
      <c r="AI625" t="s">
        <v>0</v>
      </c>
      <c r="AJ625" t="s">
        <v>326</v>
      </c>
      <c r="AK625" t="s">
        <v>2798</v>
      </c>
      <c r="AL625" t="s">
        <v>11</v>
      </c>
      <c r="AM625" t="s">
        <v>11</v>
      </c>
      <c r="AN625" t="s">
        <v>11</v>
      </c>
      <c r="AO625" t="s">
        <v>11</v>
      </c>
      <c r="AP625" t="s">
        <v>11</v>
      </c>
      <c r="AQ625" t="s">
        <v>11</v>
      </c>
      <c r="AR625" t="s">
        <v>11</v>
      </c>
      <c r="AS625" t="s">
        <v>11</v>
      </c>
      <c r="AT625" t="s">
        <v>11</v>
      </c>
      <c r="AU625" t="s">
        <v>11</v>
      </c>
      <c r="AV625" t="s">
        <v>11</v>
      </c>
      <c r="AW625" t="s">
        <v>11</v>
      </c>
      <c r="AX625" t="s">
        <v>11</v>
      </c>
      <c r="AY625" t="s">
        <v>11</v>
      </c>
      <c r="AZ625" t="s">
        <v>11</v>
      </c>
      <c r="BA625" t="s">
        <v>11</v>
      </c>
      <c r="BB625" t="s">
        <v>11</v>
      </c>
      <c r="BC625" t="s">
        <v>11</v>
      </c>
      <c r="BD625" t="s">
        <v>11</v>
      </c>
      <c r="BE625" t="s">
        <v>11</v>
      </c>
      <c r="BF625" t="s">
        <v>11</v>
      </c>
      <c r="BG625" t="s">
        <v>11</v>
      </c>
      <c r="BH625" t="s">
        <v>4386</v>
      </c>
      <c r="BI625" t="s">
        <v>4384</v>
      </c>
      <c r="BJ625" t="s">
        <v>4387</v>
      </c>
      <c r="BK625" t="s">
        <v>4388</v>
      </c>
    </row>
    <row r="626" spans="1:63" x14ac:dyDescent="0.3">
      <c r="A626" t="s">
        <v>4389</v>
      </c>
      <c r="B626" t="s">
        <v>31</v>
      </c>
      <c r="C626" t="s">
        <v>4390</v>
      </c>
      <c r="D626" t="s">
        <v>4391</v>
      </c>
      <c r="E626" t="s">
        <v>4392</v>
      </c>
      <c r="F626">
        <v>668</v>
      </c>
      <c r="G626">
        <v>43.830000000000013</v>
      </c>
      <c r="H626">
        <v>30.04</v>
      </c>
      <c r="I626">
        <v>4.08</v>
      </c>
      <c r="J626">
        <v>11.95</v>
      </c>
      <c r="K626">
        <v>1.98</v>
      </c>
      <c r="L626">
        <v>4.8499999999999996</v>
      </c>
      <c r="M626">
        <v>1.04</v>
      </c>
      <c r="P626">
        <v>1.55</v>
      </c>
      <c r="Q626">
        <v>7.0000000000000007E-2</v>
      </c>
      <c r="R626">
        <v>0.01</v>
      </c>
      <c r="S626">
        <v>0.09</v>
      </c>
      <c r="V626">
        <v>0.41</v>
      </c>
      <c r="Y626">
        <v>0.1</v>
      </c>
      <c r="AF626">
        <v>8.5057478000000017</v>
      </c>
      <c r="AI626" t="s">
        <v>0</v>
      </c>
      <c r="AJ626" t="s">
        <v>4393</v>
      </c>
      <c r="AK626" t="s">
        <v>62</v>
      </c>
      <c r="AL626" t="s">
        <v>23</v>
      </c>
      <c r="AM626" t="s">
        <v>979</v>
      </c>
      <c r="AN626" t="s">
        <v>471</v>
      </c>
      <c r="AO626" t="s">
        <v>11</v>
      </c>
      <c r="AP626" t="s">
        <v>11</v>
      </c>
      <c r="AQ626" t="s">
        <v>2320</v>
      </c>
      <c r="AR626" t="s">
        <v>4394</v>
      </c>
      <c r="AS626" t="s">
        <v>4395</v>
      </c>
      <c r="AT626" t="s">
        <v>1532</v>
      </c>
      <c r="AU626" t="s">
        <v>4396</v>
      </c>
      <c r="AV626" t="s">
        <v>11</v>
      </c>
      <c r="AW626" t="s">
        <v>11</v>
      </c>
      <c r="AX626" t="s">
        <v>1533</v>
      </c>
      <c r="AY626" t="s">
        <v>11</v>
      </c>
      <c r="AZ626" t="s">
        <v>11</v>
      </c>
      <c r="BA626" t="s">
        <v>1534</v>
      </c>
      <c r="BB626" t="s">
        <v>11</v>
      </c>
      <c r="BC626" t="s">
        <v>11</v>
      </c>
      <c r="BD626" t="s">
        <v>11</v>
      </c>
      <c r="BE626" t="s">
        <v>11</v>
      </c>
      <c r="BF626" t="s">
        <v>11</v>
      </c>
      <c r="BG626" t="s">
        <v>11</v>
      </c>
      <c r="BH626" t="s">
        <v>4397</v>
      </c>
      <c r="BI626" t="s">
        <v>4389</v>
      </c>
      <c r="BJ626" t="s">
        <v>4398</v>
      </c>
      <c r="BK626" t="s">
        <v>4399</v>
      </c>
    </row>
    <row r="627" spans="1:63" x14ac:dyDescent="0.3">
      <c r="A627" t="s">
        <v>4400</v>
      </c>
      <c r="B627" t="s">
        <v>31</v>
      </c>
      <c r="C627" t="s">
        <v>4401</v>
      </c>
      <c r="D627" t="s">
        <v>4402</v>
      </c>
      <c r="E627" t="s">
        <v>4392</v>
      </c>
      <c r="F627">
        <v>669</v>
      </c>
      <c r="G627">
        <v>42.794999999999995</v>
      </c>
      <c r="H627">
        <v>30.1</v>
      </c>
      <c r="I627">
        <v>5.59</v>
      </c>
      <c r="J627">
        <v>11.89</v>
      </c>
      <c r="K627">
        <v>2.1</v>
      </c>
      <c r="L627">
        <v>4.3099999999999996</v>
      </c>
      <c r="M627">
        <v>0.95</v>
      </c>
      <c r="P627">
        <v>1.6</v>
      </c>
      <c r="Q627">
        <v>7.0999999999999994E-2</v>
      </c>
      <c r="R627">
        <v>8.9999999999999993E-3</v>
      </c>
      <c r="S627">
        <v>8.5000000000000006E-2</v>
      </c>
      <c r="V627">
        <v>0.39</v>
      </c>
      <c r="Y627">
        <v>0.11</v>
      </c>
      <c r="AF627">
        <v>8.4450502899999993</v>
      </c>
      <c r="AI627" t="s">
        <v>0</v>
      </c>
      <c r="AJ627" t="s">
        <v>1110</v>
      </c>
      <c r="AK627" t="s">
        <v>2227</v>
      </c>
      <c r="AL627" t="s">
        <v>2819</v>
      </c>
      <c r="AM627" t="s">
        <v>4403</v>
      </c>
      <c r="AN627" t="s">
        <v>471</v>
      </c>
      <c r="AO627" t="s">
        <v>11</v>
      </c>
      <c r="AP627" t="s">
        <v>11</v>
      </c>
      <c r="AQ627" t="s">
        <v>2089</v>
      </c>
      <c r="AR627" t="s">
        <v>4394</v>
      </c>
      <c r="AS627" t="s">
        <v>4395</v>
      </c>
      <c r="AT627" t="s">
        <v>1532</v>
      </c>
      <c r="AU627" t="s">
        <v>4396</v>
      </c>
      <c r="AV627" t="s">
        <v>11</v>
      </c>
      <c r="AW627" t="s">
        <v>11</v>
      </c>
      <c r="AX627" t="s">
        <v>1533</v>
      </c>
      <c r="AY627" t="s">
        <v>11</v>
      </c>
      <c r="AZ627" t="s">
        <v>11</v>
      </c>
      <c r="BA627" t="s">
        <v>1534</v>
      </c>
      <c r="BB627" t="s">
        <v>11</v>
      </c>
      <c r="BC627" t="s">
        <v>11</v>
      </c>
      <c r="BD627" t="s">
        <v>11</v>
      </c>
      <c r="BE627" t="s">
        <v>11</v>
      </c>
      <c r="BF627" t="s">
        <v>11</v>
      </c>
      <c r="BG627" t="s">
        <v>11</v>
      </c>
      <c r="BH627" t="s">
        <v>4404</v>
      </c>
      <c r="BI627" t="s">
        <v>4400</v>
      </c>
      <c r="BJ627" t="s">
        <v>4405</v>
      </c>
      <c r="BK627" t="s">
        <v>4406</v>
      </c>
    </row>
    <row r="628" spans="1:63" x14ac:dyDescent="0.3">
      <c r="A628" t="s">
        <v>4407</v>
      </c>
      <c r="B628" t="s">
        <v>31</v>
      </c>
      <c r="C628" t="s">
        <v>4408</v>
      </c>
      <c r="D628" t="s">
        <v>4409</v>
      </c>
      <c r="E628" t="s">
        <v>4392</v>
      </c>
      <c r="F628">
        <v>670</v>
      </c>
      <c r="G628">
        <v>42.246000000000002</v>
      </c>
      <c r="H628">
        <v>30.08</v>
      </c>
      <c r="I628">
        <v>7.1</v>
      </c>
      <c r="J628">
        <v>12.1</v>
      </c>
      <c r="K628">
        <v>2.04</v>
      </c>
      <c r="L628">
        <v>3.47</v>
      </c>
      <c r="M628">
        <v>1.03</v>
      </c>
      <c r="P628">
        <v>1.26</v>
      </c>
      <c r="Q628">
        <v>0.08</v>
      </c>
      <c r="R628">
        <v>8.9999999999999993E-3</v>
      </c>
      <c r="S628">
        <v>8.5000000000000006E-2</v>
      </c>
      <c r="V628">
        <v>0.39</v>
      </c>
      <c r="Y628">
        <v>0.11</v>
      </c>
      <c r="AF628">
        <v>8.3794392899999988</v>
      </c>
      <c r="AI628" t="s">
        <v>0</v>
      </c>
      <c r="AJ628" t="s">
        <v>1160</v>
      </c>
      <c r="AK628" t="s">
        <v>62</v>
      </c>
      <c r="AL628" t="s">
        <v>2819</v>
      </c>
      <c r="AM628" t="s">
        <v>1585</v>
      </c>
      <c r="AN628" t="s">
        <v>471</v>
      </c>
      <c r="AO628" t="s">
        <v>11</v>
      </c>
      <c r="AP628" t="s">
        <v>11</v>
      </c>
      <c r="AQ628" t="s">
        <v>2565</v>
      </c>
      <c r="AR628" t="s">
        <v>4410</v>
      </c>
      <c r="AS628" t="s">
        <v>1531</v>
      </c>
      <c r="AT628" t="s">
        <v>1532</v>
      </c>
      <c r="AU628" t="s">
        <v>4396</v>
      </c>
      <c r="AV628" t="s">
        <v>11</v>
      </c>
      <c r="AW628" t="s">
        <v>11</v>
      </c>
      <c r="AX628" t="s">
        <v>1533</v>
      </c>
      <c r="AY628" t="s">
        <v>11</v>
      </c>
      <c r="AZ628" t="s">
        <v>11</v>
      </c>
      <c r="BA628" t="s">
        <v>1534</v>
      </c>
      <c r="BB628" t="s">
        <v>11</v>
      </c>
      <c r="BC628" t="s">
        <v>11</v>
      </c>
      <c r="BD628" t="s">
        <v>11</v>
      </c>
      <c r="BE628" t="s">
        <v>11</v>
      </c>
      <c r="BF628" t="s">
        <v>11</v>
      </c>
      <c r="BG628" t="s">
        <v>11</v>
      </c>
      <c r="BH628" t="s">
        <v>4411</v>
      </c>
      <c r="BI628" t="s">
        <v>4407</v>
      </c>
      <c r="BJ628" t="s">
        <v>4412</v>
      </c>
      <c r="BK628" t="s">
        <v>4413</v>
      </c>
    </row>
    <row r="629" spans="1:63" x14ac:dyDescent="0.3">
      <c r="A629" t="s">
        <v>4414</v>
      </c>
      <c r="B629" t="s">
        <v>31</v>
      </c>
      <c r="C629" t="s">
        <v>4390</v>
      </c>
      <c r="D629" t="s">
        <v>4391</v>
      </c>
      <c r="E629" t="s">
        <v>4415</v>
      </c>
      <c r="F629">
        <v>671</v>
      </c>
      <c r="G629">
        <v>43.92</v>
      </c>
      <c r="H629">
        <v>30</v>
      </c>
      <c r="I629">
        <v>4</v>
      </c>
      <c r="J629">
        <v>12</v>
      </c>
      <c r="K629">
        <v>2</v>
      </c>
      <c r="L629">
        <v>4.9000000000000004</v>
      </c>
      <c r="M629">
        <v>1</v>
      </c>
      <c r="P629">
        <v>1.5</v>
      </c>
      <c r="Q629">
        <v>7.0000000000000007E-2</v>
      </c>
      <c r="R629">
        <v>0.01</v>
      </c>
      <c r="S629">
        <v>0.09</v>
      </c>
      <c r="V629">
        <v>0.41</v>
      </c>
      <c r="Y629">
        <v>0.1</v>
      </c>
      <c r="AF629">
        <v>8.5059331</v>
      </c>
      <c r="AG629">
        <v>8.73</v>
      </c>
      <c r="AI629" t="s">
        <v>0</v>
      </c>
      <c r="AJ629" t="s">
        <v>3831</v>
      </c>
      <c r="AK629" t="s">
        <v>62</v>
      </c>
      <c r="AL629" t="s">
        <v>23</v>
      </c>
      <c r="AM629" t="s">
        <v>979</v>
      </c>
      <c r="AN629" t="s">
        <v>471</v>
      </c>
      <c r="AO629" t="s">
        <v>11</v>
      </c>
      <c r="AP629" t="s">
        <v>11</v>
      </c>
      <c r="AQ629" t="s">
        <v>2320</v>
      </c>
      <c r="AR629" t="s">
        <v>215</v>
      </c>
      <c r="AS629" t="s">
        <v>4395</v>
      </c>
      <c r="AT629" t="s">
        <v>1532</v>
      </c>
      <c r="AU629" t="s">
        <v>4396</v>
      </c>
      <c r="AV629" t="s">
        <v>11</v>
      </c>
      <c r="AW629" t="s">
        <v>11</v>
      </c>
      <c r="AX629" t="s">
        <v>1533</v>
      </c>
      <c r="AY629" t="s">
        <v>11</v>
      </c>
      <c r="AZ629" t="s">
        <v>11</v>
      </c>
      <c r="BA629" t="s">
        <v>1534</v>
      </c>
      <c r="BB629" t="s">
        <v>11</v>
      </c>
      <c r="BC629" t="s">
        <v>11</v>
      </c>
      <c r="BD629" t="s">
        <v>11</v>
      </c>
      <c r="BE629" t="s">
        <v>11</v>
      </c>
      <c r="BF629" t="s">
        <v>11</v>
      </c>
      <c r="BG629" t="s">
        <v>11</v>
      </c>
      <c r="BH629" t="s">
        <v>4416</v>
      </c>
      <c r="BI629" t="s">
        <v>4414</v>
      </c>
      <c r="BJ629" t="s">
        <v>4417</v>
      </c>
      <c r="BK629" t="s">
        <v>4418</v>
      </c>
    </row>
    <row r="630" spans="1:63" x14ac:dyDescent="0.3">
      <c r="A630" t="s">
        <v>4419</v>
      </c>
      <c r="B630" t="s">
        <v>31</v>
      </c>
      <c r="C630" t="s">
        <v>4401</v>
      </c>
      <c r="D630" t="s">
        <v>4420</v>
      </c>
      <c r="E630" t="s">
        <v>4415</v>
      </c>
      <c r="F630">
        <v>672</v>
      </c>
      <c r="G630">
        <v>43.134999999999998</v>
      </c>
      <c r="H630">
        <v>30</v>
      </c>
      <c r="I630">
        <v>5.5</v>
      </c>
      <c r="J630">
        <v>12</v>
      </c>
      <c r="K630">
        <v>2</v>
      </c>
      <c r="L630">
        <v>4.2</v>
      </c>
      <c r="M630">
        <v>1</v>
      </c>
      <c r="P630">
        <v>1.5</v>
      </c>
      <c r="Q630">
        <v>7.0999999999999994E-2</v>
      </c>
      <c r="R630">
        <v>8.9999999999999993E-3</v>
      </c>
      <c r="S630">
        <v>8.5000000000000006E-2</v>
      </c>
      <c r="V630">
        <v>0.39</v>
      </c>
      <c r="Y630">
        <v>0.11</v>
      </c>
      <c r="AF630">
        <v>8.4457185899999985</v>
      </c>
      <c r="AG630">
        <v>8.66</v>
      </c>
      <c r="AI630" t="s">
        <v>0</v>
      </c>
      <c r="AJ630" t="s">
        <v>1142</v>
      </c>
      <c r="AK630" t="s">
        <v>62</v>
      </c>
      <c r="AL630" t="s">
        <v>23</v>
      </c>
      <c r="AM630" t="s">
        <v>979</v>
      </c>
      <c r="AN630" t="s">
        <v>471</v>
      </c>
      <c r="AO630" t="s">
        <v>11</v>
      </c>
      <c r="AP630" t="s">
        <v>11</v>
      </c>
      <c r="AQ630" t="s">
        <v>2099</v>
      </c>
      <c r="AR630" t="s">
        <v>215</v>
      </c>
      <c r="AS630" t="s">
        <v>4395</v>
      </c>
      <c r="AT630" t="s">
        <v>1532</v>
      </c>
      <c r="AU630" t="s">
        <v>4396</v>
      </c>
      <c r="AV630" t="s">
        <v>11</v>
      </c>
      <c r="AW630" t="s">
        <v>11</v>
      </c>
      <c r="AX630" t="s">
        <v>1533</v>
      </c>
      <c r="AY630" t="s">
        <v>11</v>
      </c>
      <c r="AZ630" t="s">
        <v>11</v>
      </c>
      <c r="BA630" t="s">
        <v>1534</v>
      </c>
      <c r="BB630" t="s">
        <v>11</v>
      </c>
      <c r="BC630" t="s">
        <v>11</v>
      </c>
      <c r="BD630" t="s">
        <v>11</v>
      </c>
      <c r="BE630" t="s">
        <v>11</v>
      </c>
      <c r="BF630" t="s">
        <v>11</v>
      </c>
      <c r="BG630" t="s">
        <v>11</v>
      </c>
      <c r="BH630" t="s">
        <v>4421</v>
      </c>
      <c r="BI630" t="s">
        <v>4419</v>
      </c>
      <c r="BJ630" t="s">
        <v>4422</v>
      </c>
      <c r="BK630" t="s">
        <v>4423</v>
      </c>
    </row>
    <row r="631" spans="1:63" x14ac:dyDescent="0.3">
      <c r="A631" t="s">
        <v>4424</v>
      </c>
      <c r="B631" t="s">
        <v>31</v>
      </c>
      <c r="C631" t="s">
        <v>4401</v>
      </c>
      <c r="D631" t="s">
        <v>4425</v>
      </c>
      <c r="E631" t="s">
        <v>4415</v>
      </c>
      <c r="F631">
        <v>673</v>
      </c>
      <c r="G631">
        <v>43.321999999999996</v>
      </c>
      <c r="H631">
        <v>30</v>
      </c>
      <c r="I631">
        <v>6</v>
      </c>
      <c r="J631">
        <v>12</v>
      </c>
      <c r="K631">
        <v>2</v>
      </c>
      <c r="L631">
        <v>3.5</v>
      </c>
      <c r="M631">
        <v>1</v>
      </c>
      <c r="P631">
        <v>1.5</v>
      </c>
      <c r="Q631">
        <v>8.5000000000000006E-2</v>
      </c>
      <c r="R631">
        <v>8.9999999999999993E-3</v>
      </c>
      <c r="S631">
        <v>8.4000000000000005E-2</v>
      </c>
      <c r="V631">
        <v>0.39</v>
      </c>
      <c r="Y631">
        <v>0.11</v>
      </c>
      <c r="AF631">
        <v>8.4446043899999967</v>
      </c>
      <c r="AG631">
        <v>8.65</v>
      </c>
      <c r="AI631" t="s">
        <v>0</v>
      </c>
      <c r="AJ631" t="s">
        <v>926</v>
      </c>
      <c r="AK631" t="s">
        <v>62</v>
      </c>
      <c r="AL631" t="s">
        <v>23</v>
      </c>
      <c r="AM631" t="s">
        <v>979</v>
      </c>
      <c r="AN631" t="s">
        <v>471</v>
      </c>
      <c r="AO631" t="s">
        <v>11</v>
      </c>
      <c r="AP631" t="s">
        <v>11</v>
      </c>
      <c r="AQ631" t="s">
        <v>2565</v>
      </c>
      <c r="AR631" t="s">
        <v>215</v>
      </c>
      <c r="AS631" t="s">
        <v>4426</v>
      </c>
      <c r="AT631" t="s">
        <v>1532</v>
      </c>
      <c r="AU631" t="s">
        <v>352</v>
      </c>
      <c r="AV631" t="s">
        <v>11</v>
      </c>
      <c r="AW631" t="s">
        <v>11</v>
      </c>
      <c r="AX631" t="s">
        <v>1533</v>
      </c>
      <c r="AY631" t="s">
        <v>11</v>
      </c>
      <c r="AZ631" t="s">
        <v>11</v>
      </c>
      <c r="BA631" t="s">
        <v>1534</v>
      </c>
      <c r="BB631" t="s">
        <v>11</v>
      </c>
      <c r="BC631" t="s">
        <v>11</v>
      </c>
      <c r="BD631" t="s">
        <v>11</v>
      </c>
      <c r="BE631" t="s">
        <v>11</v>
      </c>
      <c r="BF631" t="s">
        <v>11</v>
      </c>
      <c r="BG631" t="s">
        <v>11</v>
      </c>
      <c r="BH631" t="s">
        <v>4427</v>
      </c>
      <c r="BI631" t="s">
        <v>4424</v>
      </c>
      <c r="BJ631" t="s">
        <v>4428</v>
      </c>
      <c r="BK631" t="s">
        <v>4429</v>
      </c>
    </row>
    <row r="632" spans="1:63" x14ac:dyDescent="0.3">
      <c r="A632" t="s">
        <v>4430</v>
      </c>
      <c r="B632" t="s">
        <v>31</v>
      </c>
      <c r="C632" t="s">
        <v>4431</v>
      </c>
      <c r="D632" t="s">
        <v>4409</v>
      </c>
      <c r="E632" t="s">
        <v>4415</v>
      </c>
      <c r="F632">
        <v>674</v>
      </c>
      <c r="G632">
        <v>42.326000000000001</v>
      </c>
      <c r="H632">
        <v>30</v>
      </c>
      <c r="I632">
        <v>7</v>
      </c>
      <c r="J632">
        <v>12</v>
      </c>
      <c r="K632">
        <v>2</v>
      </c>
      <c r="L632">
        <v>3.5</v>
      </c>
      <c r="M632">
        <v>1</v>
      </c>
      <c r="P632">
        <v>1.5</v>
      </c>
      <c r="Q632">
        <v>0.08</v>
      </c>
      <c r="R632">
        <v>8.9999999999999993E-3</v>
      </c>
      <c r="S632">
        <v>8.5000000000000006E-2</v>
      </c>
      <c r="V632">
        <v>0.39</v>
      </c>
      <c r="Y632">
        <v>0.11</v>
      </c>
      <c r="AF632">
        <v>8.3828719899999982</v>
      </c>
      <c r="AG632">
        <v>8.58</v>
      </c>
      <c r="AI632" t="s">
        <v>0</v>
      </c>
      <c r="AJ632" t="s">
        <v>1358</v>
      </c>
      <c r="AK632" t="s">
        <v>62</v>
      </c>
      <c r="AL632" t="s">
        <v>23</v>
      </c>
      <c r="AM632" t="s">
        <v>979</v>
      </c>
      <c r="AN632" t="s">
        <v>471</v>
      </c>
      <c r="AO632" t="s">
        <v>11</v>
      </c>
      <c r="AP632" t="s">
        <v>11</v>
      </c>
      <c r="AQ632" t="s">
        <v>2565</v>
      </c>
      <c r="AR632" t="s">
        <v>215</v>
      </c>
      <c r="AS632" t="s">
        <v>1531</v>
      </c>
      <c r="AT632" t="s">
        <v>1532</v>
      </c>
      <c r="AU632" t="s">
        <v>4396</v>
      </c>
      <c r="AV632" t="s">
        <v>11</v>
      </c>
      <c r="AW632" t="s">
        <v>11</v>
      </c>
      <c r="AX632" t="s">
        <v>1533</v>
      </c>
      <c r="AY632" t="s">
        <v>11</v>
      </c>
      <c r="AZ632" t="s">
        <v>11</v>
      </c>
      <c r="BA632" t="s">
        <v>1534</v>
      </c>
      <c r="BB632" t="s">
        <v>11</v>
      </c>
      <c r="BC632" t="s">
        <v>11</v>
      </c>
      <c r="BD632" t="s">
        <v>11</v>
      </c>
      <c r="BE632" t="s">
        <v>11</v>
      </c>
      <c r="BF632" t="s">
        <v>11</v>
      </c>
      <c r="BG632" t="s">
        <v>11</v>
      </c>
      <c r="BH632" t="s">
        <v>4432</v>
      </c>
      <c r="BI632" t="s">
        <v>4430</v>
      </c>
      <c r="BJ632" t="s">
        <v>4433</v>
      </c>
      <c r="BK632" t="s">
        <v>4434</v>
      </c>
    </row>
    <row r="633" spans="1:63" x14ac:dyDescent="0.3">
      <c r="A633" t="s">
        <v>4435</v>
      </c>
      <c r="B633" t="s">
        <v>95</v>
      </c>
      <c r="C633" t="s">
        <v>4436</v>
      </c>
      <c r="D633" t="s">
        <v>4437</v>
      </c>
      <c r="E633" t="s">
        <v>4438</v>
      </c>
      <c r="F633">
        <v>675</v>
      </c>
      <c r="G633">
        <v>91</v>
      </c>
      <c r="I633">
        <v>6</v>
      </c>
      <c r="K633">
        <v>3</v>
      </c>
      <c r="AF633">
        <v>8.8384999999999998</v>
      </c>
      <c r="AG633">
        <v>8.81</v>
      </c>
      <c r="AI633" t="s">
        <v>0</v>
      </c>
      <c r="AJ633" t="s">
        <v>926</v>
      </c>
      <c r="AK633" t="s">
        <v>1498</v>
      </c>
      <c r="AL633" t="s">
        <v>11</v>
      </c>
      <c r="AM633" t="s">
        <v>11</v>
      </c>
      <c r="AN633" t="s">
        <v>11</v>
      </c>
      <c r="AO633" t="s">
        <v>11</v>
      </c>
      <c r="AP633" t="s">
        <v>11</v>
      </c>
      <c r="AQ633" t="s">
        <v>11</v>
      </c>
      <c r="AR633" t="s">
        <v>11</v>
      </c>
      <c r="AS633" t="s">
        <v>11</v>
      </c>
      <c r="AT633" t="s">
        <v>11</v>
      </c>
      <c r="AU633" t="s">
        <v>11</v>
      </c>
      <c r="AV633" t="s">
        <v>11</v>
      </c>
      <c r="AW633" t="s">
        <v>11</v>
      </c>
      <c r="AX633" t="s">
        <v>11</v>
      </c>
      <c r="AY633" t="s">
        <v>11</v>
      </c>
      <c r="AZ633" t="s">
        <v>11</v>
      </c>
      <c r="BA633" t="s">
        <v>11</v>
      </c>
      <c r="BB633" t="s">
        <v>11</v>
      </c>
      <c r="BC633" t="s">
        <v>11</v>
      </c>
      <c r="BD633" t="s">
        <v>11</v>
      </c>
      <c r="BE633" t="s">
        <v>11</v>
      </c>
      <c r="BF633" t="s">
        <v>11</v>
      </c>
      <c r="BG633" t="s">
        <v>11</v>
      </c>
      <c r="BH633" t="s">
        <v>4439</v>
      </c>
      <c r="BI633" t="s">
        <v>4435</v>
      </c>
      <c r="BJ633" t="s">
        <v>4440</v>
      </c>
      <c r="BK633" t="s">
        <v>4441</v>
      </c>
    </row>
    <row r="634" spans="1:63" x14ac:dyDescent="0.3">
      <c r="A634" t="s">
        <v>4442</v>
      </c>
      <c r="B634" t="s">
        <v>31</v>
      </c>
      <c r="C634" t="s">
        <v>4443</v>
      </c>
      <c r="D634" t="s">
        <v>4444</v>
      </c>
      <c r="E634" t="s">
        <v>4438</v>
      </c>
      <c r="F634">
        <v>676</v>
      </c>
      <c r="G634">
        <v>91</v>
      </c>
      <c r="I634">
        <v>6</v>
      </c>
      <c r="K634">
        <v>2</v>
      </c>
      <c r="P634">
        <v>1</v>
      </c>
      <c r="AF634">
        <v>8.7487999999999992</v>
      </c>
      <c r="AG634">
        <v>8.69</v>
      </c>
      <c r="AI634" t="s">
        <v>0</v>
      </c>
      <c r="AJ634" t="s">
        <v>926</v>
      </c>
      <c r="AK634" t="s">
        <v>62</v>
      </c>
      <c r="AL634" t="s">
        <v>11</v>
      </c>
      <c r="AM634" t="s">
        <v>11</v>
      </c>
      <c r="AN634" t="s">
        <v>11</v>
      </c>
      <c r="AO634" t="s">
        <v>11</v>
      </c>
      <c r="AP634" t="s">
        <v>11</v>
      </c>
      <c r="AQ634" t="s">
        <v>11</v>
      </c>
      <c r="AR634" t="s">
        <v>1561</v>
      </c>
      <c r="AS634" t="s">
        <v>11</v>
      </c>
      <c r="AT634" t="s">
        <v>11</v>
      </c>
      <c r="AU634" t="s">
        <v>11</v>
      </c>
      <c r="AV634" t="s">
        <v>11</v>
      </c>
      <c r="AW634" t="s">
        <v>11</v>
      </c>
      <c r="AX634" t="s">
        <v>11</v>
      </c>
      <c r="AY634" t="s">
        <v>11</v>
      </c>
      <c r="AZ634" t="s">
        <v>11</v>
      </c>
      <c r="BA634" t="s">
        <v>11</v>
      </c>
      <c r="BB634" t="s">
        <v>11</v>
      </c>
      <c r="BC634" t="s">
        <v>11</v>
      </c>
      <c r="BD634" t="s">
        <v>11</v>
      </c>
      <c r="BE634" t="s">
        <v>11</v>
      </c>
      <c r="BF634" t="s">
        <v>11</v>
      </c>
      <c r="BG634" t="s">
        <v>11</v>
      </c>
      <c r="BH634" t="s">
        <v>4445</v>
      </c>
      <c r="BI634" t="s">
        <v>4442</v>
      </c>
      <c r="BJ634" t="s">
        <v>4446</v>
      </c>
      <c r="BK634" t="s">
        <v>4447</v>
      </c>
    </row>
    <row r="635" spans="1:63" x14ac:dyDescent="0.3">
      <c r="A635" t="s">
        <v>4448</v>
      </c>
      <c r="B635" t="s">
        <v>95</v>
      </c>
      <c r="C635" t="s">
        <v>4449</v>
      </c>
      <c r="D635" t="s">
        <v>4450</v>
      </c>
      <c r="E635" t="s">
        <v>4438</v>
      </c>
      <c r="F635">
        <v>677</v>
      </c>
      <c r="G635">
        <v>89</v>
      </c>
      <c r="I635">
        <v>8</v>
      </c>
      <c r="K635">
        <v>3</v>
      </c>
      <c r="AF635">
        <v>8.714500000000001</v>
      </c>
      <c r="AG635">
        <v>8.7200000000000006</v>
      </c>
      <c r="AI635" t="s">
        <v>0</v>
      </c>
      <c r="AJ635" t="s">
        <v>164</v>
      </c>
      <c r="AK635" t="s">
        <v>1498</v>
      </c>
      <c r="AL635" t="s">
        <v>11</v>
      </c>
      <c r="AM635" t="s">
        <v>11</v>
      </c>
      <c r="AN635" t="s">
        <v>11</v>
      </c>
      <c r="AO635" t="s">
        <v>11</v>
      </c>
      <c r="AP635" t="s">
        <v>11</v>
      </c>
      <c r="AQ635" t="s">
        <v>11</v>
      </c>
      <c r="AR635" t="s">
        <v>11</v>
      </c>
      <c r="AS635" t="s">
        <v>11</v>
      </c>
      <c r="AT635" t="s">
        <v>11</v>
      </c>
      <c r="AU635" t="s">
        <v>11</v>
      </c>
      <c r="AV635" t="s">
        <v>11</v>
      </c>
      <c r="AW635" t="s">
        <v>11</v>
      </c>
      <c r="AX635" t="s">
        <v>11</v>
      </c>
      <c r="AY635" t="s">
        <v>11</v>
      </c>
      <c r="AZ635" t="s">
        <v>11</v>
      </c>
      <c r="BA635" t="s">
        <v>11</v>
      </c>
      <c r="BB635" t="s">
        <v>11</v>
      </c>
      <c r="BC635" t="s">
        <v>11</v>
      </c>
      <c r="BD635" t="s">
        <v>11</v>
      </c>
      <c r="BE635" t="s">
        <v>11</v>
      </c>
      <c r="BF635" t="s">
        <v>11</v>
      </c>
      <c r="BG635" t="s">
        <v>11</v>
      </c>
      <c r="BH635" t="s">
        <v>4451</v>
      </c>
      <c r="BI635" t="s">
        <v>4448</v>
      </c>
      <c r="BJ635" t="s">
        <v>4452</v>
      </c>
      <c r="BK635" t="s">
        <v>4453</v>
      </c>
    </row>
    <row r="636" spans="1:63" x14ac:dyDescent="0.3">
      <c r="A636" t="s">
        <v>4454</v>
      </c>
      <c r="B636" t="s">
        <v>31</v>
      </c>
      <c r="C636" t="s">
        <v>4455</v>
      </c>
      <c r="D636" t="s">
        <v>4456</v>
      </c>
      <c r="E636" t="s">
        <v>4438</v>
      </c>
      <c r="F636">
        <v>678</v>
      </c>
      <c r="G636">
        <v>89</v>
      </c>
      <c r="I636">
        <v>8</v>
      </c>
      <c r="K636">
        <v>2</v>
      </c>
      <c r="P636">
        <v>1</v>
      </c>
      <c r="AF636">
        <v>8.6248000000000005</v>
      </c>
      <c r="AG636">
        <v>8.5500000000000007</v>
      </c>
      <c r="AI636" t="s">
        <v>0</v>
      </c>
      <c r="AJ636" t="s">
        <v>164</v>
      </c>
      <c r="AK636" t="s">
        <v>62</v>
      </c>
      <c r="AL636" t="s">
        <v>11</v>
      </c>
      <c r="AM636" t="s">
        <v>11</v>
      </c>
      <c r="AN636" t="s">
        <v>11</v>
      </c>
      <c r="AO636" t="s">
        <v>11</v>
      </c>
      <c r="AP636" t="s">
        <v>11</v>
      </c>
      <c r="AQ636" t="s">
        <v>11</v>
      </c>
      <c r="AR636" t="s">
        <v>1561</v>
      </c>
      <c r="AS636" t="s">
        <v>11</v>
      </c>
      <c r="AT636" t="s">
        <v>11</v>
      </c>
      <c r="AU636" t="s">
        <v>11</v>
      </c>
      <c r="AV636" t="s">
        <v>11</v>
      </c>
      <c r="AW636" t="s">
        <v>11</v>
      </c>
      <c r="AX636" t="s">
        <v>11</v>
      </c>
      <c r="AY636" t="s">
        <v>11</v>
      </c>
      <c r="AZ636" t="s">
        <v>11</v>
      </c>
      <c r="BA636" t="s">
        <v>11</v>
      </c>
      <c r="BB636" t="s">
        <v>11</v>
      </c>
      <c r="BC636" t="s">
        <v>11</v>
      </c>
      <c r="BD636" t="s">
        <v>11</v>
      </c>
      <c r="BE636" t="s">
        <v>11</v>
      </c>
      <c r="BF636" t="s">
        <v>11</v>
      </c>
      <c r="BG636" t="s">
        <v>11</v>
      </c>
      <c r="BH636" t="s">
        <v>4457</v>
      </c>
      <c r="BI636" t="s">
        <v>4454</v>
      </c>
      <c r="BJ636" t="s">
        <v>4458</v>
      </c>
      <c r="BK636" t="s">
        <v>4459</v>
      </c>
    </row>
    <row r="637" spans="1:63" x14ac:dyDescent="0.3">
      <c r="A637" t="s">
        <v>4460</v>
      </c>
      <c r="B637" t="s">
        <v>31</v>
      </c>
      <c r="C637" t="s">
        <v>4461</v>
      </c>
      <c r="D637" t="s">
        <v>4462</v>
      </c>
      <c r="E637" t="s">
        <v>4438</v>
      </c>
      <c r="F637">
        <v>679</v>
      </c>
      <c r="G637">
        <v>89</v>
      </c>
      <c r="I637">
        <v>8</v>
      </c>
      <c r="K637">
        <v>1</v>
      </c>
      <c r="P637">
        <v>2</v>
      </c>
      <c r="AF637">
        <v>8.5350999999999999</v>
      </c>
      <c r="AG637">
        <v>8.43</v>
      </c>
      <c r="AI637" t="s">
        <v>0</v>
      </c>
      <c r="AJ637" t="s">
        <v>164</v>
      </c>
      <c r="AK637" t="s">
        <v>44</v>
      </c>
      <c r="AL637" t="s">
        <v>11</v>
      </c>
      <c r="AM637" t="s">
        <v>11</v>
      </c>
      <c r="AN637" t="s">
        <v>11</v>
      </c>
      <c r="AO637" t="s">
        <v>11</v>
      </c>
      <c r="AP637" t="s">
        <v>11</v>
      </c>
      <c r="AQ637" t="s">
        <v>11</v>
      </c>
      <c r="AR637" t="s">
        <v>798</v>
      </c>
      <c r="AS637" t="s">
        <v>11</v>
      </c>
      <c r="AT637" t="s">
        <v>11</v>
      </c>
      <c r="AU637" t="s">
        <v>11</v>
      </c>
      <c r="AV637" t="s">
        <v>11</v>
      </c>
      <c r="AW637" t="s">
        <v>11</v>
      </c>
      <c r="AX637" t="s">
        <v>11</v>
      </c>
      <c r="AY637" t="s">
        <v>11</v>
      </c>
      <c r="AZ637" t="s">
        <v>11</v>
      </c>
      <c r="BA637" t="s">
        <v>11</v>
      </c>
      <c r="BB637" t="s">
        <v>11</v>
      </c>
      <c r="BC637" t="s">
        <v>11</v>
      </c>
      <c r="BD637" t="s">
        <v>11</v>
      </c>
      <c r="BE637" t="s">
        <v>11</v>
      </c>
      <c r="BF637" t="s">
        <v>11</v>
      </c>
      <c r="BG637" t="s">
        <v>11</v>
      </c>
      <c r="BH637" t="s">
        <v>4463</v>
      </c>
      <c r="BI637" t="s">
        <v>4460</v>
      </c>
      <c r="BJ637" t="s">
        <v>4464</v>
      </c>
      <c r="BK637" t="s">
        <v>4465</v>
      </c>
    </row>
    <row r="638" spans="1:63" x14ac:dyDescent="0.3">
      <c r="A638" t="s">
        <v>4466</v>
      </c>
      <c r="B638" t="s">
        <v>95</v>
      </c>
      <c r="C638" t="s">
        <v>323</v>
      </c>
      <c r="D638" t="s">
        <v>4467</v>
      </c>
      <c r="E638" t="s">
        <v>4468</v>
      </c>
      <c r="F638">
        <v>680</v>
      </c>
      <c r="G638">
        <v>79.98</v>
      </c>
      <c r="I638">
        <v>9</v>
      </c>
      <c r="K638">
        <v>9</v>
      </c>
      <c r="M638">
        <v>2</v>
      </c>
      <c r="S638">
        <v>0.02</v>
      </c>
      <c r="AF638">
        <v>9.4272120000000008</v>
      </c>
      <c r="AI638" t="s">
        <v>0</v>
      </c>
      <c r="AJ638" t="s">
        <v>128</v>
      </c>
      <c r="AK638" t="s">
        <v>252</v>
      </c>
      <c r="AL638" t="s">
        <v>11</v>
      </c>
      <c r="AM638" t="s">
        <v>11</v>
      </c>
      <c r="AN638" t="s">
        <v>24</v>
      </c>
      <c r="AO638" t="s">
        <v>11</v>
      </c>
      <c r="AP638" t="s">
        <v>11</v>
      </c>
      <c r="AQ638" t="s">
        <v>11</v>
      </c>
      <c r="AR638" t="s">
        <v>11</v>
      </c>
      <c r="AS638" t="s">
        <v>11</v>
      </c>
      <c r="AT638" t="s">
        <v>11</v>
      </c>
      <c r="AU638" t="s">
        <v>1478</v>
      </c>
      <c r="AV638" t="s">
        <v>11</v>
      </c>
      <c r="AW638" t="s">
        <v>11</v>
      </c>
      <c r="AX638" t="s">
        <v>11</v>
      </c>
      <c r="AY638" t="s">
        <v>11</v>
      </c>
      <c r="AZ638" t="s">
        <v>11</v>
      </c>
      <c r="BA638" t="s">
        <v>11</v>
      </c>
      <c r="BB638" t="s">
        <v>11</v>
      </c>
      <c r="BC638" t="s">
        <v>11</v>
      </c>
      <c r="BD638" t="s">
        <v>11</v>
      </c>
      <c r="BE638" t="s">
        <v>11</v>
      </c>
      <c r="BF638" t="s">
        <v>11</v>
      </c>
      <c r="BG638" t="s">
        <v>11</v>
      </c>
      <c r="BH638" t="s">
        <v>4469</v>
      </c>
      <c r="BI638" t="s">
        <v>4466</v>
      </c>
      <c r="BJ638" t="s">
        <v>4470</v>
      </c>
      <c r="BK638" t="s">
        <v>4471</v>
      </c>
    </row>
    <row r="639" spans="1:63" x14ac:dyDescent="0.3">
      <c r="A639" t="s">
        <v>1482</v>
      </c>
      <c r="B639" t="s">
        <v>160</v>
      </c>
      <c r="C639" t="s">
        <v>1483</v>
      </c>
      <c r="D639" t="s">
        <v>4472</v>
      </c>
      <c r="E639" t="s">
        <v>4468</v>
      </c>
      <c r="F639">
        <v>681</v>
      </c>
      <c r="G639">
        <v>79.98</v>
      </c>
      <c r="I639">
        <v>9</v>
      </c>
      <c r="K639">
        <v>7</v>
      </c>
      <c r="M639">
        <v>2</v>
      </c>
      <c r="P639">
        <v>2</v>
      </c>
      <c r="S639">
        <v>0.02</v>
      </c>
      <c r="AF639">
        <v>9.2478119999999997</v>
      </c>
      <c r="AI639" t="s">
        <v>0</v>
      </c>
      <c r="AJ639" t="s">
        <v>128</v>
      </c>
      <c r="AK639" t="s">
        <v>538</v>
      </c>
      <c r="AL639" t="s">
        <v>11</v>
      </c>
      <c r="AM639" t="s">
        <v>11</v>
      </c>
      <c r="AN639" t="s">
        <v>24</v>
      </c>
      <c r="AO639" t="s">
        <v>11</v>
      </c>
      <c r="AP639" t="s">
        <v>11</v>
      </c>
      <c r="AQ639" t="s">
        <v>11</v>
      </c>
      <c r="AR639" t="s">
        <v>798</v>
      </c>
      <c r="AS639" t="s">
        <v>11</v>
      </c>
      <c r="AT639" t="s">
        <v>11</v>
      </c>
      <c r="AU639" t="s">
        <v>1478</v>
      </c>
      <c r="AV639" t="s">
        <v>11</v>
      </c>
      <c r="AW639" t="s">
        <v>11</v>
      </c>
      <c r="AX639" t="s">
        <v>11</v>
      </c>
      <c r="AY639" t="s">
        <v>11</v>
      </c>
      <c r="AZ639" t="s">
        <v>11</v>
      </c>
      <c r="BA639" t="s">
        <v>11</v>
      </c>
      <c r="BB639" t="s">
        <v>11</v>
      </c>
      <c r="BC639" t="s">
        <v>11</v>
      </c>
      <c r="BD639" t="s">
        <v>11</v>
      </c>
      <c r="BE639" t="s">
        <v>11</v>
      </c>
      <c r="BF639" t="s">
        <v>11</v>
      </c>
      <c r="BG639" t="s">
        <v>11</v>
      </c>
      <c r="BH639" t="s">
        <v>4473</v>
      </c>
      <c r="BI639" t="s">
        <v>1482</v>
      </c>
      <c r="BJ639" t="s">
        <v>1486</v>
      </c>
      <c r="BK639" t="s">
        <v>1487</v>
      </c>
    </row>
    <row r="640" spans="1:63" x14ac:dyDescent="0.3">
      <c r="A640" t="s">
        <v>1488</v>
      </c>
      <c r="B640" t="s">
        <v>160</v>
      </c>
      <c r="C640" t="s">
        <v>1489</v>
      </c>
      <c r="D640" t="s">
        <v>4474</v>
      </c>
      <c r="E640" t="s">
        <v>4468</v>
      </c>
      <c r="F640">
        <v>682</v>
      </c>
      <c r="G640">
        <v>79.98</v>
      </c>
      <c r="I640">
        <v>9</v>
      </c>
      <c r="K640">
        <v>5</v>
      </c>
      <c r="M640">
        <v>2</v>
      </c>
      <c r="P640">
        <v>4</v>
      </c>
      <c r="S640">
        <v>0.02</v>
      </c>
      <c r="AF640">
        <v>9.0684120000000004</v>
      </c>
      <c r="AI640" t="s">
        <v>0</v>
      </c>
      <c r="AJ640" t="s">
        <v>128</v>
      </c>
      <c r="AK640" t="s">
        <v>1491</v>
      </c>
      <c r="AL640" t="s">
        <v>11</v>
      </c>
      <c r="AM640" t="s">
        <v>11</v>
      </c>
      <c r="AN640" t="s">
        <v>24</v>
      </c>
      <c r="AO640" t="s">
        <v>11</v>
      </c>
      <c r="AP640" t="s">
        <v>11</v>
      </c>
      <c r="AQ640" t="s">
        <v>11</v>
      </c>
      <c r="AR640" t="s">
        <v>45</v>
      </c>
      <c r="AS640" t="s">
        <v>11</v>
      </c>
      <c r="AT640" t="s">
        <v>11</v>
      </c>
      <c r="AU640" t="s">
        <v>1478</v>
      </c>
      <c r="AV640" t="s">
        <v>11</v>
      </c>
      <c r="AW640" t="s">
        <v>11</v>
      </c>
      <c r="AX640" t="s">
        <v>11</v>
      </c>
      <c r="AY640" t="s">
        <v>11</v>
      </c>
      <c r="AZ640" t="s">
        <v>11</v>
      </c>
      <c r="BA640" t="s">
        <v>11</v>
      </c>
      <c r="BB640" t="s">
        <v>11</v>
      </c>
      <c r="BC640" t="s">
        <v>11</v>
      </c>
      <c r="BD640" t="s">
        <v>11</v>
      </c>
      <c r="BE640" t="s">
        <v>11</v>
      </c>
      <c r="BF640" t="s">
        <v>11</v>
      </c>
      <c r="BG640" t="s">
        <v>11</v>
      </c>
      <c r="BH640" t="s">
        <v>4475</v>
      </c>
      <c r="BI640" t="s">
        <v>1488</v>
      </c>
      <c r="BJ640" t="s">
        <v>1493</v>
      </c>
      <c r="BK640" t="s">
        <v>1494</v>
      </c>
    </row>
    <row r="641" spans="1:63" x14ac:dyDescent="0.3">
      <c r="A641" t="s">
        <v>4476</v>
      </c>
      <c r="B641" t="s">
        <v>160</v>
      </c>
      <c r="C641" t="s">
        <v>4477</v>
      </c>
      <c r="D641" t="s">
        <v>4478</v>
      </c>
      <c r="E641" t="s">
        <v>4479</v>
      </c>
      <c r="F641">
        <v>683</v>
      </c>
      <c r="G641">
        <v>79.97</v>
      </c>
      <c r="I641">
        <v>9</v>
      </c>
      <c r="K641">
        <v>4.5</v>
      </c>
      <c r="M641">
        <v>2</v>
      </c>
      <c r="P641">
        <v>4.5</v>
      </c>
      <c r="S641">
        <v>0.02</v>
      </c>
      <c r="AD641">
        <v>0.01</v>
      </c>
      <c r="AF641">
        <v>9.0233408999999991</v>
      </c>
      <c r="AI641" t="s">
        <v>0</v>
      </c>
      <c r="AJ641" t="s">
        <v>128</v>
      </c>
      <c r="AK641" t="s">
        <v>4480</v>
      </c>
      <c r="AL641" t="s">
        <v>11</v>
      </c>
      <c r="AM641" t="s">
        <v>11</v>
      </c>
      <c r="AN641" t="s">
        <v>24</v>
      </c>
      <c r="AO641" t="s">
        <v>11</v>
      </c>
      <c r="AP641" t="s">
        <v>11</v>
      </c>
      <c r="AQ641" t="s">
        <v>11</v>
      </c>
      <c r="AR641" t="s">
        <v>36</v>
      </c>
      <c r="AS641" t="s">
        <v>11</v>
      </c>
      <c r="AT641" t="s">
        <v>11</v>
      </c>
      <c r="AU641" t="s">
        <v>1478</v>
      </c>
      <c r="AV641" t="s">
        <v>11</v>
      </c>
      <c r="AW641" t="s">
        <v>11</v>
      </c>
      <c r="AX641" t="s">
        <v>11</v>
      </c>
      <c r="AY641" t="s">
        <v>11</v>
      </c>
      <c r="AZ641" t="s">
        <v>11</v>
      </c>
      <c r="BA641" t="s">
        <v>11</v>
      </c>
      <c r="BB641" t="s">
        <v>11</v>
      </c>
      <c r="BC641" t="s">
        <v>11</v>
      </c>
      <c r="BD641" t="s">
        <v>11</v>
      </c>
      <c r="BE641" t="s">
        <v>11</v>
      </c>
      <c r="BF641" t="s">
        <v>4481</v>
      </c>
      <c r="BG641" t="s">
        <v>11</v>
      </c>
      <c r="BH641" t="s">
        <v>4482</v>
      </c>
      <c r="BI641" t="s">
        <v>4476</v>
      </c>
      <c r="BJ641" t="s">
        <v>4483</v>
      </c>
      <c r="BK641" t="s">
        <v>4484</v>
      </c>
    </row>
    <row r="642" spans="1:63" x14ac:dyDescent="0.3">
      <c r="A642" t="s">
        <v>4485</v>
      </c>
      <c r="B642" t="s">
        <v>160</v>
      </c>
      <c r="C642" t="s">
        <v>4477</v>
      </c>
      <c r="D642" t="s">
        <v>4486</v>
      </c>
      <c r="E642" t="s">
        <v>4479</v>
      </c>
      <c r="F642">
        <v>684</v>
      </c>
      <c r="G642">
        <v>79.88</v>
      </c>
      <c r="I642">
        <v>9</v>
      </c>
      <c r="K642">
        <v>4.5</v>
      </c>
      <c r="M642">
        <v>2</v>
      </c>
      <c r="P642">
        <v>4.5</v>
      </c>
      <c r="S642">
        <v>0.02</v>
      </c>
      <c r="AD642">
        <v>0.1</v>
      </c>
      <c r="AF642">
        <v>9.0213509999999992</v>
      </c>
      <c r="AI642" t="s">
        <v>0</v>
      </c>
      <c r="AJ642" t="s">
        <v>128</v>
      </c>
      <c r="AK642" t="s">
        <v>4480</v>
      </c>
      <c r="AL642" t="s">
        <v>11</v>
      </c>
      <c r="AM642" t="s">
        <v>11</v>
      </c>
      <c r="AN642" t="s">
        <v>24</v>
      </c>
      <c r="AO642" t="s">
        <v>11</v>
      </c>
      <c r="AP642" t="s">
        <v>11</v>
      </c>
      <c r="AQ642" t="s">
        <v>11</v>
      </c>
      <c r="AR642" t="s">
        <v>36</v>
      </c>
      <c r="AS642" t="s">
        <v>11</v>
      </c>
      <c r="AT642" t="s">
        <v>11</v>
      </c>
      <c r="AU642" t="s">
        <v>1478</v>
      </c>
      <c r="AV642" t="s">
        <v>11</v>
      </c>
      <c r="AW642" t="s">
        <v>11</v>
      </c>
      <c r="AX642" t="s">
        <v>11</v>
      </c>
      <c r="AY642" t="s">
        <v>11</v>
      </c>
      <c r="AZ642" t="s">
        <v>11</v>
      </c>
      <c r="BA642" t="s">
        <v>11</v>
      </c>
      <c r="BB642" t="s">
        <v>11</v>
      </c>
      <c r="BC642" t="s">
        <v>11</v>
      </c>
      <c r="BD642" t="s">
        <v>11</v>
      </c>
      <c r="BE642" t="s">
        <v>11</v>
      </c>
      <c r="BF642" t="s">
        <v>4487</v>
      </c>
      <c r="BG642" t="s">
        <v>11</v>
      </c>
      <c r="BH642" t="s">
        <v>4488</v>
      </c>
      <c r="BI642" t="s">
        <v>4485</v>
      </c>
      <c r="BJ642" t="s">
        <v>4489</v>
      </c>
      <c r="BK642" t="s">
        <v>4490</v>
      </c>
    </row>
    <row r="643" spans="1:63" x14ac:dyDescent="0.3">
      <c r="A643" t="s">
        <v>4491</v>
      </c>
      <c r="B643" t="s">
        <v>160</v>
      </c>
      <c r="C643" t="s">
        <v>4492</v>
      </c>
      <c r="D643" t="s">
        <v>4493</v>
      </c>
      <c r="E643" t="s">
        <v>4494</v>
      </c>
      <c r="F643">
        <v>685</v>
      </c>
      <c r="G643">
        <v>43.794999999999995</v>
      </c>
      <c r="H643">
        <v>31</v>
      </c>
      <c r="I643">
        <v>2.63</v>
      </c>
      <c r="J643">
        <v>11</v>
      </c>
      <c r="K643">
        <v>9</v>
      </c>
      <c r="L643">
        <v>1.98</v>
      </c>
      <c r="Q643">
        <v>7.0000000000000007E-2</v>
      </c>
      <c r="S643">
        <v>1.4999999999999999E-2</v>
      </c>
      <c r="V643">
        <v>0.2</v>
      </c>
      <c r="Y643">
        <v>0.31</v>
      </c>
      <c r="AF643">
        <v>9.3907555999999985</v>
      </c>
      <c r="AI643" t="s">
        <v>0</v>
      </c>
      <c r="AJ643" t="s">
        <v>2489</v>
      </c>
      <c r="AK643" t="s">
        <v>252</v>
      </c>
      <c r="AL643" t="s">
        <v>2362</v>
      </c>
      <c r="AM643" t="s">
        <v>1094</v>
      </c>
      <c r="AN643" t="s">
        <v>11</v>
      </c>
      <c r="AO643" t="s">
        <v>11</v>
      </c>
      <c r="AP643" t="s">
        <v>11</v>
      </c>
      <c r="AQ643" t="s">
        <v>25</v>
      </c>
      <c r="AR643" t="s">
        <v>11</v>
      </c>
      <c r="AS643" t="s">
        <v>4395</v>
      </c>
      <c r="AT643" t="s">
        <v>11</v>
      </c>
      <c r="AU643" t="s">
        <v>1478</v>
      </c>
      <c r="AV643" t="s">
        <v>11</v>
      </c>
      <c r="AW643" t="s">
        <v>11</v>
      </c>
      <c r="AX643" t="s">
        <v>4495</v>
      </c>
      <c r="AY643" t="s">
        <v>11</v>
      </c>
      <c r="AZ643" t="s">
        <v>11</v>
      </c>
      <c r="BA643" t="s">
        <v>4496</v>
      </c>
      <c r="BB643" t="s">
        <v>11</v>
      </c>
      <c r="BC643" t="s">
        <v>11</v>
      </c>
      <c r="BD643" t="s">
        <v>11</v>
      </c>
      <c r="BE643" t="s">
        <v>11</v>
      </c>
      <c r="BF643" t="s">
        <v>11</v>
      </c>
      <c r="BG643" t="s">
        <v>11</v>
      </c>
      <c r="BH643" t="s">
        <v>4497</v>
      </c>
      <c r="BI643" t="s">
        <v>4491</v>
      </c>
      <c r="BJ643" t="s">
        <v>4498</v>
      </c>
      <c r="BK643" t="s">
        <v>4499</v>
      </c>
    </row>
    <row r="644" spans="1:63" x14ac:dyDescent="0.3">
      <c r="A644" t="s">
        <v>4500</v>
      </c>
      <c r="B644" t="s">
        <v>31</v>
      </c>
      <c r="C644" t="s">
        <v>4501</v>
      </c>
      <c r="D644" t="s">
        <v>4502</v>
      </c>
      <c r="E644" t="s">
        <v>4503</v>
      </c>
      <c r="F644">
        <v>686</v>
      </c>
      <c r="G644">
        <v>42.300000000000004</v>
      </c>
      <c r="H644">
        <v>32</v>
      </c>
      <c r="I644">
        <v>6</v>
      </c>
      <c r="J644">
        <v>12</v>
      </c>
      <c r="K644">
        <v>3</v>
      </c>
      <c r="L644">
        <v>2.5</v>
      </c>
      <c r="M644">
        <v>1.5</v>
      </c>
      <c r="N644">
        <v>0.4</v>
      </c>
      <c r="W644">
        <v>0.3</v>
      </c>
      <c r="AF644">
        <v>8.637887000000001</v>
      </c>
      <c r="AI644" t="s">
        <v>0</v>
      </c>
      <c r="AJ644" t="s">
        <v>926</v>
      </c>
      <c r="AK644" t="s">
        <v>1498</v>
      </c>
      <c r="AL644" t="s">
        <v>1530</v>
      </c>
      <c r="AM644" t="s">
        <v>979</v>
      </c>
      <c r="AN644" t="s">
        <v>396</v>
      </c>
      <c r="AO644" t="s">
        <v>381</v>
      </c>
      <c r="AP644" t="s">
        <v>11</v>
      </c>
      <c r="AQ644" t="s">
        <v>1217</v>
      </c>
      <c r="AR644" t="s">
        <v>11</v>
      </c>
      <c r="AS644" t="s">
        <v>11</v>
      </c>
      <c r="AT644" t="s">
        <v>11</v>
      </c>
      <c r="AU644" t="s">
        <v>11</v>
      </c>
      <c r="AV644" t="s">
        <v>11</v>
      </c>
      <c r="AW644" t="s">
        <v>11</v>
      </c>
      <c r="AX644" t="s">
        <v>11</v>
      </c>
      <c r="AY644" t="s">
        <v>4504</v>
      </c>
      <c r="AZ644" t="s">
        <v>11</v>
      </c>
      <c r="BA644" t="s">
        <v>11</v>
      </c>
      <c r="BB644" t="s">
        <v>11</v>
      </c>
      <c r="BC644" t="s">
        <v>11</v>
      </c>
      <c r="BD644" t="s">
        <v>11</v>
      </c>
      <c r="BE644" t="s">
        <v>11</v>
      </c>
      <c r="BF644" t="s">
        <v>11</v>
      </c>
      <c r="BG644" t="s">
        <v>11</v>
      </c>
      <c r="BH644" t="s">
        <v>4505</v>
      </c>
      <c r="BI644" t="s">
        <v>4500</v>
      </c>
      <c r="BJ644" t="s">
        <v>4506</v>
      </c>
      <c r="BK644" t="s">
        <v>4507</v>
      </c>
    </row>
    <row r="645" spans="1:63" x14ac:dyDescent="0.3">
      <c r="A645" t="s">
        <v>4508</v>
      </c>
      <c r="B645" t="s">
        <v>5</v>
      </c>
      <c r="C645" t="s">
        <v>3389</v>
      </c>
      <c r="D645" t="s">
        <v>2772</v>
      </c>
      <c r="E645" t="s">
        <v>4509</v>
      </c>
      <c r="F645">
        <v>687</v>
      </c>
      <c r="G645">
        <v>79.3</v>
      </c>
      <c r="M645">
        <v>20.7</v>
      </c>
      <c r="AF645">
        <v>10.504249999999999</v>
      </c>
      <c r="AI645" t="s">
        <v>0</v>
      </c>
      <c r="AJ645" t="s">
        <v>11</v>
      </c>
      <c r="AK645" t="s">
        <v>11</v>
      </c>
      <c r="AL645" t="s">
        <v>11</v>
      </c>
      <c r="AM645" t="s">
        <v>11</v>
      </c>
      <c r="AN645" t="s">
        <v>4510</v>
      </c>
      <c r="AO645" t="s">
        <v>11</v>
      </c>
      <c r="AP645" t="s">
        <v>11</v>
      </c>
      <c r="AQ645" t="s">
        <v>11</v>
      </c>
      <c r="AR645" t="s">
        <v>11</v>
      </c>
      <c r="AS645" t="s">
        <v>11</v>
      </c>
      <c r="AT645" t="s">
        <v>11</v>
      </c>
      <c r="AU645" t="s">
        <v>11</v>
      </c>
      <c r="AV645" t="s">
        <v>11</v>
      </c>
      <c r="AW645" t="s">
        <v>11</v>
      </c>
      <c r="AX645" t="s">
        <v>11</v>
      </c>
      <c r="AY645" t="s">
        <v>11</v>
      </c>
      <c r="AZ645" t="s">
        <v>11</v>
      </c>
      <c r="BA645" t="s">
        <v>11</v>
      </c>
      <c r="BB645" t="s">
        <v>11</v>
      </c>
      <c r="BC645" t="s">
        <v>11</v>
      </c>
      <c r="BD645" t="s">
        <v>11</v>
      </c>
      <c r="BE645" t="s">
        <v>11</v>
      </c>
      <c r="BF645" t="s">
        <v>11</v>
      </c>
      <c r="BG645" t="s">
        <v>11</v>
      </c>
      <c r="BH645" t="s">
        <v>4511</v>
      </c>
      <c r="BI645" t="s">
        <v>4508</v>
      </c>
      <c r="BJ645" t="s">
        <v>4512</v>
      </c>
      <c r="BK645" t="s">
        <v>4510</v>
      </c>
    </row>
    <row r="646" spans="1:63" x14ac:dyDescent="0.3">
      <c r="A646" t="s">
        <v>4513</v>
      </c>
      <c r="B646" t="s">
        <v>5</v>
      </c>
      <c r="C646" t="s">
        <v>3389</v>
      </c>
      <c r="D646" t="s">
        <v>2783</v>
      </c>
      <c r="E646" t="s">
        <v>4509</v>
      </c>
      <c r="F646">
        <v>688</v>
      </c>
      <c r="G646">
        <v>78.7</v>
      </c>
      <c r="M646">
        <v>21.3</v>
      </c>
      <c r="AF646">
        <v>10.550750000000001</v>
      </c>
      <c r="AI646" t="s">
        <v>0</v>
      </c>
      <c r="AJ646" t="s">
        <v>11</v>
      </c>
      <c r="AK646" t="s">
        <v>11</v>
      </c>
      <c r="AL646" t="s">
        <v>11</v>
      </c>
      <c r="AM646" t="s">
        <v>11</v>
      </c>
      <c r="AN646" t="s">
        <v>4514</v>
      </c>
      <c r="AO646" t="s">
        <v>11</v>
      </c>
      <c r="AP646" t="s">
        <v>11</v>
      </c>
      <c r="AQ646" t="s">
        <v>11</v>
      </c>
      <c r="AR646" t="s">
        <v>11</v>
      </c>
      <c r="AS646" t="s">
        <v>11</v>
      </c>
      <c r="AT646" t="s">
        <v>11</v>
      </c>
      <c r="AU646" t="s">
        <v>11</v>
      </c>
      <c r="AV646" t="s">
        <v>11</v>
      </c>
      <c r="AW646" t="s">
        <v>11</v>
      </c>
      <c r="AX646" t="s">
        <v>11</v>
      </c>
      <c r="AY646" t="s">
        <v>11</v>
      </c>
      <c r="AZ646" t="s">
        <v>11</v>
      </c>
      <c r="BA646" t="s">
        <v>11</v>
      </c>
      <c r="BB646" t="s">
        <v>11</v>
      </c>
      <c r="BC646" t="s">
        <v>11</v>
      </c>
      <c r="BD646" t="s">
        <v>11</v>
      </c>
      <c r="BE646" t="s">
        <v>11</v>
      </c>
      <c r="BF646" t="s">
        <v>11</v>
      </c>
      <c r="BG646" t="s">
        <v>11</v>
      </c>
      <c r="BH646" t="s">
        <v>4515</v>
      </c>
      <c r="BI646" t="s">
        <v>4513</v>
      </c>
      <c r="BJ646" t="s">
        <v>4516</v>
      </c>
      <c r="BK646" t="s">
        <v>4514</v>
      </c>
    </row>
    <row r="647" spans="1:63" x14ac:dyDescent="0.3">
      <c r="A647" t="s">
        <v>4517</v>
      </c>
      <c r="B647" t="s">
        <v>5</v>
      </c>
      <c r="C647" t="s">
        <v>3395</v>
      </c>
      <c r="D647" t="s">
        <v>2789</v>
      </c>
      <c r="E647" t="s">
        <v>4509</v>
      </c>
      <c r="F647">
        <v>689</v>
      </c>
      <c r="G647">
        <v>76.3</v>
      </c>
      <c r="M647">
        <v>23.7</v>
      </c>
      <c r="AF647">
        <v>10.736749999999999</v>
      </c>
      <c r="AI647" t="s">
        <v>0</v>
      </c>
      <c r="AJ647" t="s">
        <v>11</v>
      </c>
      <c r="AK647" t="s">
        <v>11</v>
      </c>
      <c r="AL647" t="s">
        <v>11</v>
      </c>
      <c r="AM647" t="s">
        <v>11</v>
      </c>
      <c r="AN647" t="s">
        <v>4518</v>
      </c>
      <c r="AO647" t="s">
        <v>11</v>
      </c>
      <c r="AP647" t="s">
        <v>11</v>
      </c>
      <c r="AQ647" t="s">
        <v>11</v>
      </c>
      <c r="AR647" t="s">
        <v>11</v>
      </c>
      <c r="AS647" t="s">
        <v>11</v>
      </c>
      <c r="AT647" t="s">
        <v>11</v>
      </c>
      <c r="AU647" t="s">
        <v>11</v>
      </c>
      <c r="AV647" t="s">
        <v>11</v>
      </c>
      <c r="AW647" t="s">
        <v>11</v>
      </c>
      <c r="AX647" t="s">
        <v>11</v>
      </c>
      <c r="AY647" t="s">
        <v>11</v>
      </c>
      <c r="AZ647" t="s">
        <v>11</v>
      </c>
      <c r="BA647" t="s">
        <v>11</v>
      </c>
      <c r="BB647" t="s">
        <v>11</v>
      </c>
      <c r="BC647" t="s">
        <v>11</v>
      </c>
      <c r="BD647" t="s">
        <v>11</v>
      </c>
      <c r="BE647" t="s">
        <v>11</v>
      </c>
      <c r="BF647" t="s">
        <v>11</v>
      </c>
      <c r="BG647" t="s">
        <v>11</v>
      </c>
      <c r="BH647" t="s">
        <v>4519</v>
      </c>
      <c r="BI647" t="s">
        <v>4517</v>
      </c>
      <c r="BJ647" t="s">
        <v>4520</v>
      </c>
      <c r="BK647" t="s">
        <v>4518</v>
      </c>
    </row>
    <row r="648" spans="1:63" x14ac:dyDescent="0.3">
      <c r="A648" t="s">
        <v>4521</v>
      </c>
      <c r="B648" t="s">
        <v>5</v>
      </c>
      <c r="C648" t="s">
        <v>3395</v>
      </c>
      <c r="D648" t="s">
        <v>2796</v>
      </c>
      <c r="E648" t="s">
        <v>4509</v>
      </c>
      <c r="F648">
        <v>690</v>
      </c>
      <c r="G648">
        <v>75.599999999999994</v>
      </c>
      <c r="M648">
        <v>24.4</v>
      </c>
      <c r="AF648">
        <v>10.790999999999999</v>
      </c>
      <c r="AI648" t="s">
        <v>0</v>
      </c>
      <c r="AJ648" t="s">
        <v>11</v>
      </c>
      <c r="AK648" t="s">
        <v>11</v>
      </c>
      <c r="AL648" t="s">
        <v>11</v>
      </c>
      <c r="AM648" t="s">
        <v>11</v>
      </c>
      <c r="AN648" t="s">
        <v>4522</v>
      </c>
      <c r="AO648" t="s">
        <v>11</v>
      </c>
      <c r="AP648" t="s">
        <v>11</v>
      </c>
      <c r="AQ648" t="s">
        <v>11</v>
      </c>
      <c r="AR648" t="s">
        <v>11</v>
      </c>
      <c r="AS648" t="s">
        <v>11</v>
      </c>
      <c r="AT648" t="s">
        <v>11</v>
      </c>
      <c r="AU648" t="s">
        <v>11</v>
      </c>
      <c r="AV648" t="s">
        <v>11</v>
      </c>
      <c r="AW648" t="s">
        <v>11</v>
      </c>
      <c r="AX648" t="s">
        <v>11</v>
      </c>
      <c r="AY648" t="s">
        <v>11</v>
      </c>
      <c r="AZ648" t="s">
        <v>11</v>
      </c>
      <c r="BA648" t="s">
        <v>11</v>
      </c>
      <c r="BB648" t="s">
        <v>11</v>
      </c>
      <c r="BC648" t="s">
        <v>11</v>
      </c>
      <c r="BD648" t="s">
        <v>11</v>
      </c>
      <c r="BE648" t="s">
        <v>11</v>
      </c>
      <c r="BF648" t="s">
        <v>11</v>
      </c>
      <c r="BG648" t="s">
        <v>11</v>
      </c>
      <c r="BH648" t="s">
        <v>4523</v>
      </c>
      <c r="BI648" t="s">
        <v>4521</v>
      </c>
      <c r="BJ648" t="s">
        <v>4524</v>
      </c>
      <c r="BK648" t="s">
        <v>4522</v>
      </c>
    </row>
    <row r="649" spans="1:63" x14ac:dyDescent="0.3">
      <c r="A649" t="s">
        <v>4525</v>
      </c>
      <c r="B649" t="s">
        <v>5</v>
      </c>
      <c r="C649" t="s">
        <v>4526</v>
      </c>
      <c r="D649" t="s">
        <v>4527</v>
      </c>
      <c r="E649" t="s">
        <v>4509</v>
      </c>
      <c r="F649">
        <v>691</v>
      </c>
      <c r="G649">
        <v>74.2</v>
      </c>
      <c r="M649">
        <v>25.8</v>
      </c>
      <c r="AF649">
        <v>10.8995</v>
      </c>
      <c r="AI649" t="s">
        <v>0</v>
      </c>
      <c r="AJ649" t="s">
        <v>11</v>
      </c>
      <c r="AK649" t="s">
        <v>11</v>
      </c>
      <c r="AL649" t="s">
        <v>11</v>
      </c>
      <c r="AM649" t="s">
        <v>11</v>
      </c>
      <c r="AN649" t="s">
        <v>4528</v>
      </c>
      <c r="AO649" t="s">
        <v>11</v>
      </c>
      <c r="AP649" t="s">
        <v>11</v>
      </c>
      <c r="AQ649" t="s">
        <v>11</v>
      </c>
      <c r="AR649" t="s">
        <v>11</v>
      </c>
      <c r="AS649" t="s">
        <v>11</v>
      </c>
      <c r="AT649" t="s">
        <v>11</v>
      </c>
      <c r="AU649" t="s">
        <v>11</v>
      </c>
      <c r="AV649" t="s">
        <v>11</v>
      </c>
      <c r="AW649" t="s">
        <v>11</v>
      </c>
      <c r="AX649" t="s">
        <v>11</v>
      </c>
      <c r="AY649" t="s">
        <v>11</v>
      </c>
      <c r="AZ649" t="s">
        <v>11</v>
      </c>
      <c r="BA649" t="s">
        <v>11</v>
      </c>
      <c r="BB649" t="s">
        <v>11</v>
      </c>
      <c r="BC649" t="s">
        <v>11</v>
      </c>
      <c r="BD649" t="s">
        <v>11</v>
      </c>
      <c r="BE649" t="s">
        <v>11</v>
      </c>
      <c r="BF649" t="s">
        <v>11</v>
      </c>
      <c r="BG649" t="s">
        <v>11</v>
      </c>
      <c r="BH649" t="s">
        <v>4529</v>
      </c>
      <c r="BI649" t="s">
        <v>4525</v>
      </c>
      <c r="BJ649" t="s">
        <v>4530</v>
      </c>
      <c r="BK649" t="s">
        <v>4528</v>
      </c>
    </row>
    <row r="650" spans="1:63" x14ac:dyDescent="0.3">
      <c r="A650" t="s">
        <v>4531</v>
      </c>
      <c r="B650" t="s">
        <v>5</v>
      </c>
      <c r="C650" t="s">
        <v>4532</v>
      </c>
      <c r="D650" t="s">
        <v>4533</v>
      </c>
      <c r="E650" t="s">
        <v>4509</v>
      </c>
      <c r="F650">
        <v>692</v>
      </c>
      <c r="G650">
        <v>72.599999999999994</v>
      </c>
      <c r="M650">
        <v>27.4</v>
      </c>
      <c r="AF650">
        <v>11.023499999999999</v>
      </c>
      <c r="AI650" t="s">
        <v>0</v>
      </c>
      <c r="AJ650" t="s">
        <v>11</v>
      </c>
      <c r="AK650" t="s">
        <v>11</v>
      </c>
      <c r="AL650" t="s">
        <v>11</v>
      </c>
      <c r="AM650" t="s">
        <v>11</v>
      </c>
      <c r="AN650" t="s">
        <v>4534</v>
      </c>
      <c r="AO650" t="s">
        <v>11</v>
      </c>
      <c r="AP650" t="s">
        <v>11</v>
      </c>
      <c r="AQ650" t="s">
        <v>11</v>
      </c>
      <c r="AR650" t="s">
        <v>11</v>
      </c>
      <c r="AS650" t="s">
        <v>11</v>
      </c>
      <c r="AT650" t="s">
        <v>11</v>
      </c>
      <c r="AU650" t="s">
        <v>11</v>
      </c>
      <c r="AV650" t="s">
        <v>11</v>
      </c>
      <c r="AW650" t="s">
        <v>11</v>
      </c>
      <c r="AX650" t="s">
        <v>11</v>
      </c>
      <c r="AY650" t="s">
        <v>11</v>
      </c>
      <c r="AZ650" t="s">
        <v>11</v>
      </c>
      <c r="BA650" t="s">
        <v>11</v>
      </c>
      <c r="BB650" t="s">
        <v>11</v>
      </c>
      <c r="BC650" t="s">
        <v>11</v>
      </c>
      <c r="BD650" t="s">
        <v>11</v>
      </c>
      <c r="BE650" t="s">
        <v>11</v>
      </c>
      <c r="BF650" t="s">
        <v>11</v>
      </c>
      <c r="BG650" t="s">
        <v>11</v>
      </c>
      <c r="BH650" t="s">
        <v>4535</v>
      </c>
      <c r="BI650" t="s">
        <v>4531</v>
      </c>
      <c r="BJ650" t="s">
        <v>4536</v>
      </c>
      <c r="BK650" t="s">
        <v>4534</v>
      </c>
    </row>
    <row r="651" spans="1:63" x14ac:dyDescent="0.3">
      <c r="A651" t="s">
        <v>4537</v>
      </c>
      <c r="B651" t="s">
        <v>5</v>
      </c>
      <c r="C651" t="s">
        <v>4538</v>
      </c>
      <c r="D651" t="s">
        <v>4539</v>
      </c>
      <c r="E651" t="s">
        <v>4509</v>
      </c>
      <c r="F651">
        <v>693</v>
      </c>
      <c r="G651">
        <v>10.600000000000009</v>
      </c>
      <c r="H651">
        <v>12.6</v>
      </c>
      <c r="M651">
        <v>76.8</v>
      </c>
      <c r="AF651">
        <v>14.853007999999999</v>
      </c>
      <c r="AI651" t="s">
        <v>0</v>
      </c>
      <c r="AJ651" t="s">
        <v>11</v>
      </c>
      <c r="AK651" t="s">
        <v>11</v>
      </c>
      <c r="AL651" t="s">
        <v>4540</v>
      </c>
      <c r="AM651" t="s">
        <v>11</v>
      </c>
      <c r="AN651" t="s">
        <v>4541</v>
      </c>
      <c r="AO651" t="s">
        <v>11</v>
      </c>
      <c r="AP651" t="s">
        <v>11</v>
      </c>
      <c r="AQ651" t="s">
        <v>11</v>
      </c>
      <c r="AR651" t="s">
        <v>11</v>
      </c>
      <c r="AS651" t="s">
        <v>11</v>
      </c>
      <c r="AT651" t="s">
        <v>11</v>
      </c>
      <c r="AU651" t="s">
        <v>11</v>
      </c>
      <c r="AV651" t="s">
        <v>11</v>
      </c>
      <c r="AW651" t="s">
        <v>11</v>
      </c>
      <c r="AX651" t="s">
        <v>11</v>
      </c>
      <c r="AY651" t="s">
        <v>11</v>
      </c>
      <c r="AZ651" t="s">
        <v>11</v>
      </c>
      <c r="BA651" t="s">
        <v>11</v>
      </c>
      <c r="BB651" t="s">
        <v>11</v>
      </c>
      <c r="BC651" t="s">
        <v>11</v>
      </c>
      <c r="BD651" t="s">
        <v>11</v>
      </c>
      <c r="BE651" t="s">
        <v>11</v>
      </c>
      <c r="BF651" t="s">
        <v>11</v>
      </c>
      <c r="BG651" t="s">
        <v>11</v>
      </c>
      <c r="BH651" t="s">
        <v>4542</v>
      </c>
      <c r="BI651" t="s">
        <v>4537</v>
      </c>
      <c r="BJ651" t="s">
        <v>4543</v>
      </c>
      <c r="BK651" t="s">
        <v>4544</v>
      </c>
    </row>
    <row r="652" spans="1:63" x14ac:dyDescent="0.3">
      <c r="A652" t="s">
        <v>4545</v>
      </c>
      <c r="B652" t="s">
        <v>5</v>
      </c>
      <c r="C652" t="s">
        <v>4546</v>
      </c>
      <c r="D652" t="s">
        <v>4547</v>
      </c>
      <c r="E652" t="s">
        <v>4509</v>
      </c>
      <c r="F652">
        <v>694</v>
      </c>
      <c r="G652">
        <v>16.300000000000011</v>
      </c>
      <c r="H652">
        <v>15.1</v>
      </c>
      <c r="M652">
        <v>68.599999999999994</v>
      </c>
      <c r="AF652">
        <v>14.217707999999998</v>
      </c>
      <c r="AI652" t="s">
        <v>0</v>
      </c>
      <c r="AJ652" t="s">
        <v>11</v>
      </c>
      <c r="AK652" t="s">
        <v>11</v>
      </c>
      <c r="AL652" t="s">
        <v>4548</v>
      </c>
      <c r="AM652" t="s">
        <v>11</v>
      </c>
      <c r="AN652" t="s">
        <v>4549</v>
      </c>
      <c r="AO652" t="s">
        <v>11</v>
      </c>
      <c r="AP652" t="s">
        <v>11</v>
      </c>
      <c r="AQ652" t="s">
        <v>11</v>
      </c>
      <c r="AR652" t="s">
        <v>11</v>
      </c>
      <c r="AS652" t="s">
        <v>11</v>
      </c>
      <c r="AT652" t="s">
        <v>11</v>
      </c>
      <c r="AU652" t="s">
        <v>11</v>
      </c>
      <c r="AV652" t="s">
        <v>11</v>
      </c>
      <c r="AW652" t="s">
        <v>11</v>
      </c>
      <c r="AX652" t="s">
        <v>11</v>
      </c>
      <c r="AY652" t="s">
        <v>11</v>
      </c>
      <c r="AZ652" t="s">
        <v>11</v>
      </c>
      <c r="BA652" t="s">
        <v>11</v>
      </c>
      <c r="BB652" t="s">
        <v>11</v>
      </c>
      <c r="BC652" t="s">
        <v>11</v>
      </c>
      <c r="BD652" t="s">
        <v>11</v>
      </c>
      <c r="BE652" t="s">
        <v>11</v>
      </c>
      <c r="BF652" t="s">
        <v>11</v>
      </c>
      <c r="BG652" t="s">
        <v>11</v>
      </c>
      <c r="BH652" t="s">
        <v>4550</v>
      </c>
      <c r="BI652" t="s">
        <v>4545</v>
      </c>
      <c r="BJ652" t="s">
        <v>4551</v>
      </c>
      <c r="BK652" t="s">
        <v>4552</v>
      </c>
    </row>
    <row r="653" spans="1:63" x14ac:dyDescent="0.3">
      <c r="A653" t="s">
        <v>4553</v>
      </c>
      <c r="B653" t="s">
        <v>5</v>
      </c>
      <c r="C653" t="s">
        <v>4554</v>
      </c>
      <c r="D653" t="s">
        <v>4555</v>
      </c>
      <c r="E653" t="s">
        <v>4509</v>
      </c>
      <c r="F653">
        <v>695</v>
      </c>
      <c r="G653">
        <v>29.299999999999997</v>
      </c>
      <c r="H653">
        <v>11.6</v>
      </c>
      <c r="M653">
        <v>59.1</v>
      </c>
      <c r="AF653">
        <v>13.481178</v>
      </c>
      <c r="AI653" t="s">
        <v>0</v>
      </c>
      <c r="AJ653" t="s">
        <v>11</v>
      </c>
      <c r="AK653" t="s">
        <v>11</v>
      </c>
      <c r="AL653" t="s">
        <v>4556</v>
      </c>
      <c r="AM653" t="s">
        <v>11</v>
      </c>
      <c r="AN653" t="s">
        <v>4557</v>
      </c>
      <c r="AO653" t="s">
        <v>11</v>
      </c>
      <c r="AP653" t="s">
        <v>11</v>
      </c>
      <c r="AQ653" t="s">
        <v>11</v>
      </c>
      <c r="AR653" t="s">
        <v>11</v>
      </c>
      <c r="AS653" t="s">
        <v>11</v>
      </c>
      <c r="AT653" t="s">
        <v>11</v>
      </c>
      <c r="AU653" t="s">
        <v>11</v>
      </c>
      <c r="AV653" t="s">
        <v>11</v>
      </c>
      <c r="AW653" t="s">
        <v>11</v>
      </c>
      <c r="AX653" t="s">
        <v>11</v>
      </c>
      <c r="AY653" t="s">
        <v>11</v>
      </c>
      <c r="AZ653" t="s">
        <v>11</v>
      </c>
      <c r="BA653" t="s">
        <v>11</v>
      </c>
      <c r="BB653" t="s">
        <v>11</v>
      </c>
      <c r="BC653" t="s">
        <v>11</v>
      </c>
      <c r="BD653" t="s">
        <v>11</v>
      </c>
      <c r="BE653" t="s">
        <v>11</v>
      </c>
      <c r="BF653" t="s">
        <v>11</v>
      </c>
      <c r="BG653" t="s">
        <v>11</v>
      </c>
      <c r="BH653" t="s">
        <v>4558</v>
      </c>
      <c r="BI653" t="s">
        <v>4553</v>
      </c>
      <c r="BJ653" t="s">
        <v>4559</v>
      </c>
      <c r="BK653" t="s">
        <v>4560</v>
      </c>
    </row>
    <row r="654" spans="1:63" x14ac:dyDescent="0.3">
      <c r="A654" t="s">
        <v>4561</v>
      </c>
      <c r="B654" t="s">
        <v>5</v>
      </c>
      <c r="C654" t="s">
        <v>4562</v>
      </c>
      <c r="D654" t="s">
        <v>4563</v>
      </c>
      <c r="E654" t="s">
        <v>4509</v>
      </c>
      <c r="F654">
        <v>696</v>
      </c>
      <c r="G654">
        <v>12.199999999999989</v>
      </c>
      <c r="H654">
        <v>28.6</v>
      </c>
      <c r="M654">
        <v>59.2</v>
      </c>
      <c r="AF654">
        <v>13.490287999999998</v>
      </c>
      <c r="AI654" t="s">
        <v>0</v>
      </c>
      <c r="AJ654" t="s">
        <v>11</v>
      </c>
      <c r="AK654" t="s">
        <v>11</v>
      </c>
      <c r="AL654" t="s">
        <v>4564</v>
      </c>
      <c r="AM654" t="s">
        <v>11</v>
      </c>
      <c r="AN654" t="s">
        <v>4565</v>
      </c>
      <c r="AO654" t="s">
        <v>11</v>
      </c>
      <c r="AP654" t="s">
        <v>11</v>
      </c>
      <c r="AQ654" t="s">
        <v>11</v>
      </c>
      <c r="AR654" t="s">
        <v>11</v>
      </c>
      <c r="AS654" t="s">
        <v>11</v>
      </c>
      <c r="AT654" t="s">
        <v>11</v>
      </c>
      <c r="AU654" t="s">
        <v>11</v>
      </c>
      <c r="AV654" t="s">
        <v>11</v>
      </c>
      <c r="AW654" t="s">
        <v>11</v>
      </c>
      <c r="AX654" t="s">
        <v>11</v>
      </c>
      <c r="AY654" t="s">
        <v>11</v>
      </c>
      <c r="AZ654" t="s">
        <v>11</v>
      </c>
      <c r="BA654" t="s">
        <v>11</v>
      </c>
      <c r="BB654" t="s">
        <v>11</v>
      </c>
      <c r="BC654" t="s">
        <v>11</v>
      </c>
      <c r="BD654" t="s">
        <v>11</v>
      </c>
      <c r="BE654" t="s">
        <v>11</v>
      </c>
      <c r="BF654" t="s">
        <v>11</v>
      </c>
      <c r="BG654" t="s">
        <v>11</v>
      </c>
      <c r="BH654" t="s">
        <v>4566</v>
      </c>
      <c r="BI654" t="s">
        <v>4561</v>
      </c>
      <c r="BJ654" t="s">
        <v>4567</v>
      </c>
      <c r="BK654" t="s">
        <v>4568</v>
      </c>
    </row>
    <row r="655" spans="1:63" x14ac:dyDescent="0.3">
      <c r="A655" t="s">
        <v>4569</v>
      </c>
      <c r="B655" t="s">
        <v>5</v>
      </c>
      <c r="C655" t="s">
        <v>4570</v>
      </c>
      <c r="D655" t="s">
        <v>4571</v>
      </c>
      <c r="E655" t="s">
        <v>4509</v>
      </c>
      <c r="F655">
        <v>697</v>
      </c>
      <c r="G655">
        <v>38.199999999999996</v>
      </c>
      <c r="H655">
        <v>11.1</v>
      </c>
      <c r="M655">
        <v>50.7</v>
      </c>
      <c r="AF655">
        <v>12.830138</v>
      </c>
      <c r="AI655" t="s">
        <v>0</v>
      </c>
      <c r="AJ655" t="s">
        <v>11</v>
      </c>
      <c r="AK655" t="s">
        <v>11</v>
      </c>
      <c r="AL655" t="s">
        <v>4077</v>
      </c>
      <c r="AM655" t="s">
        <v>11</v>
      </c>
      <c r="AN655" t="s">
        <v>4572</v>
      </c>
      <c r="AO655" t="s">
        <v>11</v>
      </c>
      <c r="AP655" t="s">
        <v>11</v>
      </c>
      <c r="AQ655" t="s">
        <v>11</v>
      </c>
      <c r="AR655" t="s">
        <v>11</v>
      </c>
      <c r="AS655" t="s">
        <v>11</v>
      </c>
      <c r="AT655" t="s">
        <v>11</v>
      </c>
      <c r="AU655" t="s">
        <v>11</v>
      </c>
      <c r="AV655" t="s">
        <v>11</v>
      </c>
      <c r="AW655" t="s">
        <v>11</v>
      </c>
      <c r="AX655" t="s">
        <v>11</v>
      </c>
      <c r="AY655" t="s">
        <v>11</v>
      </c>
      <c r="AZ655" t="s">
        <v>11</v>
      </c>
      <c r="BA655" t="s">
        <v>11</v>
      </c>
      <c r="BB655" t="s">
        <v>11</v>
      </c>
      <c r="BC655" t="s">
        <v>11</v>
      </c>
      <c r="BD655" t="s">
        <v>11</v>
      </c>
      <c r="BE655" t="s">
        <v>11</v>
      </c>
      <c r="BF655" t="s">
        <v>11</v>
      </c>
      <c r="BG655" t="s">
        <v>11</v>
      </c>
      <c r="BH655" t="s">
        <v>4573</v>
      </c>
      <c r="BI655" t="s">
        <v>4569</v>
      </c>
      <c r="BJ655" t="s">
        <v>4574</v>
      </c>
      <c r="BK655" t="s">
        <v>4575</v>
      </c>
    </row>
    <row r="656" spans="1:63" x14ac:dyDescent="0.3">
      <c r="A656" t="s">
        <v>4576</v>
      </c>
      <c r="B656" t="s">
        <v>5</v>
      </c>
      <c r="C656" t="s">
        <v>4577</v>
      </c>
      <c r="D656" t="s">
        <v>4578</v>
      </c>
      <c r="E656" t="s">
        <v>4509</v>
      </c>
      <c r="F656">
        <v>698</v>
      </c>
      <c r="G656">
        <v>11.599999999999994</v>
      </c>
      <c r="H656">
        <v>39.700000000000003</v>
      </c>
      <c r="M656">
        <v>48.7</v>
      </c>
      <c r="AF656">
        <v>12.677426000000001</v>
      </c>
      <c r="AI656" t="s">
        <v>0</v>
      </c>
      <c r="AJ656" t="s">
        <v>11</v>
      </c>
      <c r="AK656" t="s">
        <v>11</v>
      </c>
      <c r="AL656" t="s">
        <v>1199</v>
      </c>
      <c r="AM656" t="s">
        <v>11</v>
      </c>
      <c r="AN656" t="s">
        <v>4579</v>
      </c>
      <c r="AO656" t="s">
        <v>11</v>
      </c>
      <c r="AP656" t="s">
        <v>11</v>
      </c>
      <c r="AQ656" t="s">
        <v>11</v>
      </c>
      <c r="AR656" t="s">
        <v>11</v>
      </c>
      <c r="AS656" t="s">
        <v>11</v>
      </c>
      <c r="AT656" t="s">
        <v>11</v>
      </c>
      <c r="AU656" t="s">
        <v>11</v>
      </c>
      <c r="AV656" t="s">
        <v>11</v>
      </c>
      <c r="AW656" t="s">
        <v>11</v>
      </c>
      <c r="AX656" t="s">
        <v>11</v>
      </c>
      <c r="AY656" t="s">
        <v>11</v>
      </c>
      <c r="AZ656" t="s">
        <v>11</v>
      </c>
      <c r="BA656" t="s">
        <v>11</v>
      </c>
      <c r="BB656" t="s">
        <v>11</v>
      </c>
      <c r="BC656" t="s">
        <v>11</v>
      </c>
      <c r="BD656" t="s">
        <v>11</v>
      </c>
      <c r="BE656" t="s">
        <v>11</v>
      </c>
      <c r="BF656" t="s">
        <v>11</v>
      </c>
      <c r="BG656" t="s">
        <v>11</v>
      </c>
      <c r="BH656" t="s">
        <v>4580</v>
      </c>
      <c r="BI656" t="s">
        <v>4576</v>
      </c>
      <c r="BJ656" t="s">
        <v>4581</v>
      </c>
      <c r="BK656" t="s">
        <v>4582</v>
      </c>
    </row>
    <row r="657" spans="1:63" x14ac:dyDescent="0.3">
      <c r="A657" t="s">
        <v>4583</v>
      </c>
      <c r="B657" t="s">
        <v>5</v>
      </c>
      <c r="C657" t="s">
        <v>4584</v>
      </c>
      <c r="D657" t="s">
        <v>4585</v>
      </c>
      <c r="E657" t="s">
        <v>4509</v>
      </c>
      <c r="F657">
        <v>699</v>
      </c>
      <c r="G657">
        <v>49.9</v>
      </c>
      <c r="H657">
        <v>9</v>
      </c>
      <c r="M657">
        <v>41.1</v>
      </c>
      <c r="AF657">
        <v>12.08597</v>
      </c>
      <c r="AI657" t="s">
        <v>0</v>
      </c>
      <c r="AJ657" t="s">
        <v>11</v>
      </c>
      <c r="AK657" t="s">
        <v>11</v>
      </c>
      <c r="AL657" t="s">
        <v>262</v>
      </c>
      <c r="AM657" t="s">
        <v>11</v>
      </c>
      <c r="AN657" t="s">
        <v>4586</v>
      </c>
      <c r="AO657" t="s">
        <v>11</v>
      </c>
      <c r="AP657" t="s">
        <v>11</v>
      </c>
      <c r="AQ657" t="s">
        <v>11</v>
      </c>
      <c r="AR657" t="s">
        <v>11</v>
      </c>
      <c r="AS657" t="s">
        <v>11</v>
      </c>
      <c r="AT657" t="s">
        <v>11</v>
      </c>
      <c r="AU657" t="s">
        <v>11</v>
      </c>
      <c r="AV657" t="s">
        <v>11</v>
      </c>
      <c r="AW657" t="s">
        <v>11</v>
      </c>
      <c r="AX657" t="s">
        <v>11</v>
      </c>
      <c r="AY657" t="s">
        <v>11</v>
      </c>
      <c r="AZ657" t="s">
        <v>11</v>
      </c>
      <c r="BA657" t="s">
        <v>11</v>
      </c>
      <c r="BB657" t="s">
        <v>11</v>
      </c>
      <c r="BC657" t="s">
        <v>11</v>
      </c>
      <c r="BD657" t="s">
        <v>11</v>
      </c>
      <c r="BE657" t="s">
        <v>11</v>
      </c>
      <c r="BF657" t="s">
        <v>11</v>
      </c>
      <c r="BG657" t="s">
        <v>11</v>
      </c>
      <c r="BH657" t="s">
        <v>4587</v>
      </c>
      <c r="BI657" t="s">
        <v>4583</v>
      </c>
      <c r="BJ657" t="s">
        <v>4588</v>
      </c>
      <c r="BK657" t="s">
        <v>4589</v>
      </c>
    </row>
    <row r="658" spans="1:63" x14ac:dyDescent="0.3">
      <c r="A658" t="s">
        <v>4590</v>
      </c>
      <c r="B658" t="s">
        <v>5</v>
      </c>
      <c r="C658" t="s">
        <v>4591</v>
      </c>
      <c r="D658" t="s">
        <v>4592</v>
      </c>
      <c r="E658" t="s">
        <v>4509</v>
      </c>
      <c r="F658">
        <v>700</v>
      </c>
      <c r="G658">
        <v>19.299999999999997</v>
      </c>
      <c r="H658">
        <v>40.1</v>
      </c>
      <c r="M658">
        <v>40.6</v>
      </c>
      <c r="AF658">
        <v>12.049708000000001</v>
      </c>
      <c r="AI658" t="s">
        <v>0</v>
      </c>
      <c r="AJ658" t="s">
        <v>11</v>
      </c>
      <c r="AK658" t="s">
        <v>11</v>
      </c>
      <c r="AL658" t="s">
        <v>4593</v>
      </c>
      <c r="AM658" t="s">
        <v>11</v>
      </c>
      <c r="AN658" t="s">
        <v>4594</v>
      </c>
      <c r="AO658" t="s">
        <v>11</v>
      </c>
      <c r="AP658" t="s">
        <v>11</v>
      </c>
      <c r="AQ658" t="s">
        <v>11</v>
      </c>
      <c r="AR658" t="s">
        <v>11</v>
      </c>
      <c r="AS658" t="s">
        <v>11</v>
      </c>
      <c r="AT658" t="s">
        <v>11</v>
      </c>
      <c r="AU658" t="s">
        <v>11</v>
      </c>
      <c r="AV658" t="s">
        <v>11</v>
      </c>
      <c r="AW658" t="s">
        <v>11</v>
      </c>
      <c r="AX658" t="s">
        <v>11</v>
      </c>
      <c r="AY658" t="s">
        <v>11</v>
      </c>
      <c r="AZ658" t="s">
        <v>11</v>
      </c>
      <c r="BA658" t="s">
        <v>11</v>
      </c>
      <c r="BB658" t="s">
        <v>11</v>
      </c>
      <c r="BC658" t="s">
        <v>11</v>
      </c>
      <c r="BD658" t="s">
        <v>11</v>
      </c>
      <c r="BE658" t="s">
        <v>11</v>
      </c>
      <c r="BF658" t="s">
        <v>11</v>
      </c>
      <c r="BG658" t="s">
        <v>11</v>
      </c>
      <c r="BH658" t="s">
        <v>4595</v>
      </c>
      <c r="BI658" t="s">
        <v>4590</v>
      </c>
      <c r="BJ658" t="s">
        <v>4596</v>
      </c>
      <c r="BK658" t="s">
        <v>4597</v>
      </c>
    </row>
    <row r="659" spans="1:63" x14ac:dyDescent="0.3">
      <c r="A659" t="s">
        <v>4598</v>
      </c>
      <c r="B659" t="s">
        <v>5</v>
      </c>
      <c r="C659" t="s">
        <v>4599</v>
      </c>
      <c r="D659" t="s">
        <v>4600</v>
      </c>
      <c r="E659" t="s">
        <v>4509</v>
      </c>
      <c r="F659">
        <v>701</v>
      </c>
      <c r="G659">
        <v>59.3</v>
      </c>
      <c r="H659">
        <v>10.4</v>
      </c>
      <c r="M659">
        <v>30.3</v>
      </c>
      <c r="AF659">
        <v>11.249081999999998</v>
      </c>
      <c r="AI659" t="s">
        <v>0</v>
      </c>
      <c r="AJ659" t="s">
        <v>11</v>
      </c>
      <c r="AK659" t="s">
        <v>11</v>
      </c>
      <c r="AL659" t="s">
        <v>4601</v>
      </c>
      <c r="AM659" t="s">
        <v>11</v>
      </c>
      <c r="AN659" t="s">
        <v>4602</v>
      </c>
      <c r="AO659" t="s">
        <v>11</v>
      </c>
      <c r="AP659" t="s">
        <v>11</v>
      </c>
      <c r="AQ659" t="s">
        <v>11</v>
      </c>
      <c r="AR659" t="s">
        <v>11</v>
      </c>
      <c r="AS659" t="s">
        <v>11</v>
      </c>
      <c r="AT659" t="s">
        <v>11</v>
      </c>
      <c r="AU659" t="s">
        <v>11</v>
      </c>
      <c r="AV659" t="s">
        <v>11</v>
      </c>
      <c r="AW659" t="s">
        <v>11</v>
      </c>
      <c r="AX659" t="s">
        <v>11</v>
      </c>
      <c r="AY659" t="s">
        <v>11</v>
      </c>
      <c r="AZ659" t="s">
        <v>11</v>
      </c>
      <c r="BA659" t="s">
        <v>11</v>
      </c>
      <c r="BB659" t="s">
        <v>11</v>
      </c>
      <c r="BC659" t="s">
        <v>11</v>
      </c>
      <c r="BD659" t="s">
        <v>11</v>
      </c>
      <c r="BE659" t="s">
        <v>11</v>
      </c>
      <c r="BF659" t="s">
        <v>11</v>
      </c>
      <c r="BG659" t="s">
        <v>11</v>
      </c>
      <c r="BH659" t="s">
        <v>4603</v>
      </c>
      <c r="BI659" t="s">
        <v>4598</v>
      </c>
      <c r="BJ659" t="s">
        <v>4604</v>
      </c>
      <c r="BK659" t="s">
        <v>4605</v>
      </c>
    </row>
    <row r="660" spans="1:63" x14ac:dyDescent="0.3">
      <c r="A660" t="s">
        <v>4606</v>
      </c>
      <c r="B660" t="s">
        <v>5</v>
      </c>
      <c r="C660" t="s">
        <v>4607</v>
      </c>
      <c r="D660" t="s">
        <v>4608</v>
      </c>
      <c r="E660" t="s">
        <v>4509</v>
      </c>
      <c r="F660">
        <v>702</v>
      </c>
      <c r="G660">
        <v>50.8</v>
      </c>
      <c r="H660">
        <v>18.600000000000001</v>
      </c>
      <c r="M660">
        <v>30.6</v>
      </c>
      <c r="AF660">
        <v>11.272988</v>
      </c>
      <c r="AI660" t="s">
        <v>0</v>
      </c>
      <c r="AJ660" t="s">
        <v>11</v>
      </c>
      <c r="AK660" t="s">
        <v>11</v>
      </c>
      <c r="AL660" t="s">
        <v>4609</v>
      </c>
      <c r="AM660" t="s">
        <v>11</v>
      </c>
      <c r="AN660" t="s">
        <v>4610</v>
      </c>
      <c r="AO660" t="s">
        <v>11</v>
      </c>
      <c r="AP660" t="s">
        <v>11</v>
      </c>
      <c r="AQ660" t="s">
        <v>11</v>
      </c>
      <c r="AR660" t="s">
        <v>11</v>
      </c>
      <c r="AS660" t="s">
        <v>11</v>
      </c>
      <c r="AT660" t="s">
        <v>11</v>
      </c>
      <c r="AU660" t="s">
        <v>11</v>
      </c>
      <c r="AV660" t="s">
        <v>11</v>
      </c>
      <c r="AW660" t="s">
        <v>11</v>
      </c>
      <c r="AX660" t="s">
        <v>11</v>
      </c>
      <c r="AY660" t="s">
        <v>11</v>
      </c>
      <c r="AZ660" t="s">
        <v>11</v>
      </c>
      <c r="BA660" t="s">
        <v>11</v>
      </c>
      <c r="BB660" t="s">
        <v>11</v>
      </c>
      <c r="BC660" t="s">
        <v>11</v>
      </c>
      <c r="BD660" t="s">
        <v>11</v>
      </c>
      <c r="BE660" t="s">
        <v>11</v>
      </c>
      <c r="BF660" t="s">
        <v>11</v>
      </c>
      <c r="BG660" t="s">
        <v>11</v>
      </c>
      <c r="BH660" t="s">
        <v>4611</v>
      </c>
      <c r="BI660" t="s">
        <v>4606</v>
      </c>
      <c r="BJ660" t="s">
        <v>4612</v>
      </c>
      <c r="BK660" t="s">
        <v>4613</v>
      </c>
    </row>
    <row r="661" spans="1:63" x14ac:dyDescent="0.3">
      <c r="A661" t="s">
        <v>4614</v>
      </c>
      <c r="B661" t="s">
        <v>5</v>
      </c>
      <c r="C661" t="s">
        <v>4615</v>
      </c>
      <c r="D661" t="s">
        <v>4616</v>
      </c>
      <c r="E661" t="s">
        <v>4509</v>
      </c>
      <c r="F661">
        <v>703</v>
      </c>
      <c r="G661">
        <v>43.980000000000004</v>
      </c>
      <c r="H661">
        <v>26.8</v>
      </c>
      <c r="M661">
        <v>29.22</v>
      </c>
      <c r="AF661">
        <v>11.166694</v>
      </c>
      <c r="AI661" t="s">
        <v>0</v>
      </c>
      <c r="AJ661" t="s">
        <v>11</v>
      </c>
      <c r="AK661" t="s">
        <v>11</v>
      </c>
      <c r="AL661" t="s">
        <v>4617</v>
      </c>
      <c r="AM661" t="s">
        <v>11</v>
      </c>
      <c r="AN661" t="s">
        <v>4618</v>
      </c>
      <c r="AO661" t="s">
        <v>11</v>
      </c>
      <c r="AP661" t="s">
        <v>11</v>
      </c>
      <c r="AQ661" t="s">
        <v>11</v>
      </c>
      <c r="AR661" t="s">
        <v>11</v>
      </c>
      <c r="AS661" t="s">
        <v>11</v>
      </c>
      <c r="AT661" t="s">
        <v>11</v>
      </c>
      <c r="AU661" t="s">
        <v>11</v>
      </c>
      <c r="AV661" t="s">
        <v>11</v>
      </c>
      <c r="AW661" t="s">
        <v>11</v>
      </c>
      <c r="AX661" t="s">
        <v>11</v>
      </c>
      <c r="AY661" t="s">
        <v>11</v>
      </c>
      <c r="AZ661" t="s">
        <v>11</v>
      </c>
      <c r="BA661" t="s">
        <v>11</v>
      </c>
      <c r="BB661" t="s">
        <v>11</v>
      </c>
      <c r="BC661" t="s">
        <v>11</v>
      </c>
      <c r="BD661" t="s">
        <v>11</v>
      </c>
      <c r="BE661" t="s">
        <v>11</v>
      </c>
      <c r="BF661" t="s">
        <v>11</v>
      </c>
      <c r="BG661" t="s">
        <v>11</v>
      </c>
      <c r="BH661" t="s">
        <v>4619</v>
      </c>
      <c r="BI661" t="s">
        <v>4614</v>
      </c>
      <c r="BJ661" t="s">
        <v>4620</v>
      </c>
      <c r="BK661" t="s">
        <v>4621</v>
      </c>
    </row>
    <row r="662" spans="1:63" x14ac:dyDescent="0.3">
      <c r="A662" t="s">
        <v>4622</v>
      </c>
      <c r="B662" t="s">
        <v>5</v>
      </c>
      <c r="C662" t="s">
        <v>4623</v>
      </c>
      <c r="D662" t="s">
        <v>4624</v>
      </c>
      <c r="E662" t="s">
        <v>4509</v>
      </c>
      <c r="F662">
        <v>704</v>
      </c>
      <c r="G662">
        <v>66.990000000000009</v>
      </c>
      <c r="H662">
        <v>3.11</v>
      </c>
      <c r="M662">
        <v>29.9</v>
      </c>
      <c r="AF662">
        <v>11.217498800000001</v>
      </c>
      <c r="AI662" t="s">
        <v>0</v>
      </c>
      <c r="AJ662" t="s">
        <v>11</v>
      </c>
      <c r="AK662" t="s">
        <v>11</v>
      </c>
      <c r="AL662" t="s">
        <v>4625</v>
      </c>
      <c r="AM662" t="s">
        <v>11</v>
      </c>
      <c r="AN662" t="s">
        <v>4626</v>
      </c>
      <c r="AO662" t="s">
        <v>11</v>
      </c>
      <c r="AP662" t="s">
        <v>11</v>
      </c>
      <c r="AQ662" t="s">
        <v>11</v>
      </c>
      <c r="AR662" t="s">
        <v>11</v>
      </c>
      <c r="AS662" t="s">
        <v>11</v>
      </c>
      <c r="AT662" t="s">
        <v>11</v>
      </c>
      <c r="AU662" t="s">
        <v>11</v>
      </c>
      <c r="AV662" t="s">
        <v>11</v>
      </c>
      <c r="AW662" t="s">
        <v>11</v>
      </c>
      <c r="AX662" t="s">
        <v>11</v>
      </c>
      <c r="AY662" t="s">
        <v>11</v>
      </c>
      <c r="AZ662" t="s">
        <v>11</v>
      </c>
      <c r="BA662" t="s">
        <v>11</v>
      </c>
      <c r="BB662" t="s">
        <v>11</v>
      </c>
      <c r="BC662" t="s">
        <v>11</v>
      </c>
      <c r="BD662" t="s">
        <v>11</v>
      </c>
      <c r="BE662" t="s">
        <v>11</v>
      </c>
      <c r="BF662" t="s">
        <v>11</v>
      </c>
      <c r="BG662" t="s">
        <v>11</v>
      </c>
      <c r="BH662" t="s">
        <v>4627</v>
      </c>
      <c r="BI662" t="s">
        <v>4622</v>
      </c>
      <c r="BJ662" t="s">
        <v>4628</v>
      </c>
      <c r="BK662" t="s">
        <v>4629</v>
      </c>
    </row>
    <row r="663" spans="1:63" x14ac:dyDescent="0.3">
      <c r="A663" t="s">
        <v>4630</v>
      </c>
      <c r="B663" t="s">
        <v>5</v>
      </c>
      <c r="C663" t="s">
        <v>4631</v>
      </c>
      <c r="D663" t="s">
        <v>4632</v>
      </c>
      <c r="E663" t="s">
        <v>4509</v>
      </c>
      <c r="F663">
        <v>705</v>
      </c>
      <c r="G663">
        <v>33.5</v>
      </c>
      <c r="H663">
        <v>36.700000000000003</v>
      </c>
      <c r="M663">
        <v>29.8</v>
      </c>
      <c r="AF663">
        <v>11.212436</v>
      </c>
      <c r="AI663" t="s">
        <v>0</v>
      </c>
      <c r="AJ663" t="s">
        <v>11</v>
      </c>
      <c r="AK663" t="s">
        <v>11</v>
      </c>
      <c r="AL663" t="s">
        <v>4633</v>
      </c>
      <c r="AM663" t="s">
        <v>11</v>
      </c>
      <c r="AN663" t="s">
        <v>4634</v>
      </c>
      <c r="AO663" t="s">
        <v>11</v>
      </c>
      <c r="AP663" t="s">
        <v>11</v>
      </c>
      <c r="AQ663" t="s">
        <v>11</v>
      </c>
      <c r="AR663" t="s">
        <v>11</v>
      </c>
      <c r="AS663" t="s">
        <v>11</v>
      </c>
      <c r="AT663" t="s">
        <v>11</v>
      </c>
      <c r="AU663" t="s">
        <v>11</v>
      </c>
      <c r="AV663" t="s">
        <v>11</v>
      </c>
      <c r="AW663" t="s">
        <v>11</v>
      </c>
      <c r="AX663" t="s">
        <v>11</v>
      </c>
      <c r="AY663" t="s">
        <v>11</v>
      </c>
      <c r="AZ663" t="s">
        <v>11</v>
      </c>
      <c r="BA663" t="s">
        <v>11</v>
      </c>
      <c r="BB663" t="s">
        <v>11</v>
      </c>
      <c r="BC663" t="s">
        <v>11</v>
      </c>
      <c r="BD663" t="s">
        <v>11</v>
      </c>
      <c r="BE663" t="s">
        <v>11</v>
      </c>
      <c r="BF663" t="s">
        <v>11</v>
      </c>
      <c r="BG663" t="s">
        <v>11</v>
      </c>
      <c r="BH663" t="s">
        <v>4635</v>
      </c>
      <c r="BI663" t="s">
        <v>4630</v>
      </c>
      <c r="BJ663" t="s">
        <v>4636</v>
      </c>
      <c r="BK663" t="s">
        <v>4637</v>
      </c>
    </row>
    <row r="664" spans="1:63" x14ac:dyDescent="0.3">
      <c r="A664" t="s">
        <v>4638</v>
      </c>
      <c r="B664" t="s">
        <v>5</v>
      </c>
      <c r="C664" t="s">
        <v>4639</v>
      </c>
      <c r="D664" t="s">
        <v>4640</v>
      </c>
      <c r="E664" t="s">
        <v>4509</v>
      </c>
      <c r="F664">
        <v>706</v>
      </c>
      <c r="G664">
        <v>29.400000000000006</v>
      </c>
      <c r="H664">
        <v>40.6</v>
      </c>
      <c r="M664">
        <v>30</v>
      </c>
      <c r="AF664">
        <v>11.228248000000001</v>
      </c>
      <c r="AI664" t="s">
        <v>0</v>
      </c>
      <c r="AJ664" t="s">
        <v>11</v>
      </c>
      <c r="AK664" t="s">
        <v>11</v>
      </c>
      <c r="AL664" t="s">
        <v>4641</v>
      </c>
      <c r="AM664" t="s">
        <v>11</v>
      </c>
      <c r="AN664" t="s">
        <v>4642</v>
      </c>
      <c r="AO664" t="s">
        <v>11</v>
      </c>
      <c r="AP664" t="s">
        <v>11</v>
      </c>
      <c r="AQ664" t="s">
        <v>11</v>
      </c>
      <c r="AR664" t="s">
        <v>11</v>
      </c>
      <c r="AS664" t="s">
        <v>11</v>
      </c>
      <c r="AT664" t="s">
        <v>11</v>
      </c>
      <c r="AU664" t="s">
        <v>11</v>
      </c>
      <c r="AV664" t="s">
        <v>11</v>
      </c>
      <c r="AW664" t="s">
        <v>11</v>
      </c>
      <c r="AX664" t="s">
        <v>11</v>
      </c>
      <c r="AY664" t="s">
        <v>11</v>
      </c>
      <c r="AZ664" t="s">
        <v>11</v>
      </c>
      <c r="BA664" t="s">
        <v>11</v>
      </c>
      <c r="BB664" t="s">
        <v>11</v>
      </c>
      <c r="BC664" t="s">
        <v>11</v>
      </c>
      <c r="BD664" t="s">
        <v>11</v>
      </c>
      <c r="BE664" t="s">
        <v>11</v>
      </c>
      <c r="BF664" t="s">
        <v>11</v>
      </c>
      <c r="BG664" t="s">
        <v>11</v>
      </c>
      <c r="BH664" t="s">
        <v>4643</v>
      </c>
      <c r="BI664" t="s">
        <v>4638</v>
      </c>
      <c r="BJ664" t="s">
        <v>4644</v>
      </c>
      <c r="BK664" t="s">
        <v>4645</v>
      </c>
    </row>
    <row r="665" spans="1:63" x14ac:dyDescent="0.3">
      <c r="A665" t="s">
        <v>4646</v>
      </c>
      <c r="B665" t="s">
        <v>5</v>
      </c>
      <c r="C665" t="s">
        <v>4647</v>
      </c>
      <c r="D665" t="s">
        <v>4648</v>
      </c>
      <c r="E665" t="s">
        <v>4509</v>
      </c>
      <c r="F665">
        <v>707</v>
      </c>
      <c r="G665">
        <v>24.099999999999994</v>
      </c>
      <c r="H665">
        <v>46.7</v>
      </c>
      <c r="M665">
        <v>29.2</v>
      </c>
      <c r="AF665">
        <v>11.166736</v>
      </c>
      <c r="AI665" t="s">
        <v>0</v>
      </c>
      <c r="AJ665" t="s">
        <v>11</v>
      </c>
      <c r="AK665" t="s">
        <v>11</v>
      </c>
      <c r="AL665" t="s">
        <v>4649</v>
      </c>
      <c r="AM665" t="s">
        <v>11</v>
      </c>
      <c r="AN665" t="s">
        <v>4618</v>
      </c>
      <c r="AO665" t="s">
        <v>11</v>
      </c>
      <c r="AP665" t="s">
        <v>11</v>
      </c>
      <c r="AQ665" t="s">
        <v>11</v>
      </c>
      <c r="AR665" t="s">
        <v>11</v>
      </c>
      <c r="AS665" t="s">
        <v>11</v>
      </c>
      <c r="AT665" t="s">
        <v>11</v>
      </c>
      <c r="AU665" t="s">
        <v>11</v>
      </c>
      <c r="AV665" t="s">
        <v>11</v>
      </c>
      <c r="AW665" t="s">
        <v>11</v>
      </c>
      <c r="AX665" t="s">
        <v>11</v>
      </c>
      <c r="AY665" t="s">
        <v>11</v>
      </c>
      <c r="AZ665" t="s">
        <v>11</v>
      </c>
      <c r="BA665" t="s">
        <v>11</v>
      </c>
      <c r="BB665" t="s">
        <v>11</v>
      </c>
      <c r="BC665" t="s">
        <v>11</v>
      </c>
      <c r="BD665" t="s">
        <v>11</v>
      </c>
      <c r="BE665" t="s">
        <v>11</v>
      </c>
      <c r="BF665" t="s">
        <v>11</v>
      </c>
      <c r="BG665" t="s">
        <v>11</v>
      </c>
      <c r="BH665" t="s">
        <v>4650</v>
      </c>
      <c r="BI665" t="s">
        <v>4646</v>
      </c>
      <c r="BJ665" t="s">
        <v>4651</v>
      </c>
      <c r="BK665" t="s">
        <v>4652</v>
      </c>
    </row>
    <row r="666" spans="1:63" x14ac:dyDescent="0.3">
      <c r="A666" t="s">
        <v>4653</v>
      </c>
      <c r="B666" t="s">
        <v>5</v>
      </c>
      <c r="C666" t="s">
        <v>4654</v>
      </c>
      <c r="D666" t="s">
        <v>4655</v>
      </c>
      <c r="E666" t="s">
        <v>4509</v>
      </c>
      <c r="F666">
        <v>708</v>
      </c>
      <c r="G666">
        <v>19</v>
      </c>
      <c r="H666">
        <v>50.9</v>
      </c>
      <c r="M666">
        <v>30.1</v>
      </c>
      <c r="AF666">
        <v>11.236822</v>
      </c>
      <c r="AI666" t="s">
        <v>0</v>
      </c>
      <c r="AJ666" t="s">
        <v>11</v>
      </c>
      <c r="AK666" t="s">
        <v>11</v>
      </c>
      <c r="AL666" t="s">
        <v>4656</v>
      </c>
      <c r="AM666" t="s">
        <v>11</v>
      </c>
      <c r="AN666" t="s">
        <v>4657</v>
      </c>
      <c r="AO666" t="s">
        <v>11</v>
      </c>
      <c r="AP666" t="s">
        <v>11</v>
      </c>
      <c r="AQ666" t="s">
        <v>11</v>
      </c>
      <c r="AR666" t="s">
        <v>11</v>
      </c>
      <c r="AS666" t="s">
        <v>11</v>
      </c>
      <c r="AT666" t="s">
        <v>11</v>
      </c>
      <c r="AU666" t="s">
        <v>11</v>
      </c>
      <c r="AV666" t="s">
        <v>11</v>
      </c>
      <c r="AW666" t="s">
        <v>11</v>
      </c>
      <c r="AX666" t="s">
        <v>11</v>
      </c>
      <c r="AY666" t="s">
        <v>11</v>
      </c>
      <c r="AZ666" t="s">
        <v>11</v>
      </c>
      <c r="BA666" t="s">
        <v>11</v>
      </c>
      <c r="BB666" t="s">
        <v>11</v>
      </c>
      <c r="BC666" t="s">
        <v>11</v>
      </c>
      <c r="BD666" t="s">
        <v>11</v>
      </c>
      <c r="BE666" t="s">
        <v>11</v>
      </c>
      <c r="BF666" t="s">
        <v>11</v>
      </c>
      <c r="BG666" t="s">
        <v>11</v>
      </c>
      <c r="BH666" t="s">
        <v>4658</v>
      </c>
      <c r="BI666" t="s">
        <v>4653</v>
      </c>
      <c r="BJ666" t="s">
        <v>4659</v>
      </c>
      <c r="BK666" t="s">
        <v>4660</v>
      </c>
    </row>
    <row r="667" spans="1:63" x14ac:dyDescent="0.3">
      <c r="A667" t="s">
        <v>4661</v>
      </c>
      <c r="B667" t="s">
        <v>5</v>
      </c>
      <c r="C667" t="s">
        <v>4662</v>
      </c>
      <c r="D667" t="s">
        <v>4663</v>
      </c>
      <c r="E667" t="s">
        <v>4509</v>
      </c>
      <c r="F667">
        <v>709</v>
      </c>
      <c r="G667">
        <v>14.099999999999994</v>
      </c>
      <c r="H667">
        <v>55.9</v>
      </c>
      <c r="M667">
        <v>30</v>
      </c>
      <c r="AF667">
        <v>11.229471999999998</v>
      </c>
      <c r="AI667" t="s">
        <v>0</v>
      </c>
      <c r="AJ667" t="s">
        <v>11</v>
      </c>
      <c r="AK667" t="s">
        <v>11</v>
      </c>
      <c r="AL667" t="s">
        <v>4664</v>
      </c>
      <c r="AM667" t="s">
        <v>11</v>
      </c>
      <c r="AN667" t="s">
        <v>4642</v>
      </c>
      <c r="AO667" t="s">
        <v>11</v>
      </c>
      <c r="AP667" t="s">
        <v>11</v>
      </c>
      <c r="AQ667" t="s">
        <v>11</v>
      </c>
      <c r="AR667" t="s">
        <v>11</v>
      </c>
      <c r="AS667" t="s">
        <v>11</v>
      </c>
      <c r="AT667" t="s">
        <v>11</v>
      </c>
      <c r="AU667" t="s">
        <v>11</v>
      </c>
      <c r="AV667" t="s">
        <v>11</v>
      </c>
      <c r="AW667" t="s">
        <v>11</v>
      </c>
      <c r="AX667" t="s">
        <v>11</v>
      </c>
      <c r="AY667" t="s">
        <v>11</v>
      </c>
      <c r="AZ667" t="s">
        <v>11</v>
      </c>
      <c r="BA667" t="s">
        <v>11</v>
      </c>
      <c r="BB667" t="s">
        <v>11</v>
      </c>
      <c r="BC667" t="s">
        <v>11</v>
      </c>
      <c r="BD667" t="s">
        <v>11</v>
      </c>
      <c r="BE667" t="s">
        <v>11</v>
      </c>
      <c r="BF667" t="s">
        <v>11</v>
      </c>
      <c r="BG667" t="s">
        <v>11</v>
      </c>
      <c r="BH667" t="s">
        <v>4665</v>
      </c>
      <c r="BI667" t="s">
        <v>4661</v>
      </c>
      <c r="BJ667" t="s">
        <v>4666</v>
      </c>
      <c r="BK667" t="s">
        <v>4667</v>
      </c>
    </row>
    <row r="668" spans="1:63" x14ac:dyDescent="0.3">
      <c r="A668" t="s">
        <v>4668</v>
      </c>
      <c r="B668" t="s">
        <v>5</v>
      </c>
      <c r="C668" t="s">
        <v>4669</v>
      </c>
      <c r="D668" t="s">
        <v>4670</v>
      </c>
      <c r="E668" t="s">
        <v>4509</v>
      </c>
      <c r="F668">
        <v>710</v>
      </c>
      <c r="G668">
        <v>9.4000000000000057</v>
      </c>
      <c r="H668">
        <v>60.6</v>
      </c>
      <c r="M668">
        <v>30</v>
      </c>
      <c r="AF668">
        <v>11.229847999999999</v>
      </c>
      <c r="AI668" t="s">
        <v>0</v>
      </c>
      <c r="AJ668" t="s">
        <v>11</v>
      </c>
      <c r="AK668" t="s">
        <v>11</v>
      </c>
      <c r="AL668" t="s">
        <v>4671</v>
      </c>
      <c r="AM668" t="s">
        <v>11</v>
      </c>
      <c r="AN668" t="s">
        <v>4642</v>
      </c>
      <c r="AO668" t="s">
        <v>11</v>
      </c>
      <c r="AP668" t="s">
        <v>11</v>
      </c>
      <c r="AQ668" t="s">
        <v>11</v>
      </c>
      <c r="AR668" t="s">
        <v>11</v>
      </c>
      <c r="AS668" t="s">
        <v>11</v>
      </c>
      <c r="AT668" t="s">
        <v>11</v>
      </c>
      <c r="AU668" t="s">
        <v>11</v>
      </c>
      <c r="AV668" t="s">
        <v>11</v>
      </c>
      <c r="AW668" t="s">
        <v>11</v>
      </c>
      <c r="AX668" t="s">
        <v>11</v>
      </c>
      <c r="AY668" t="s">
        <v>11</v>
      </c>
      <c r="AZ668" t="s">
        <v>11</v>
      </c>
      <c r="BA668" t="s">
        <v>11</v>
      </c>
      <c r="BB668" t="s">
        <v>11</v>
      </c>
      <c r="BC668" t="s">
        <v>11</v>
      </c>
      <c r="BD668" t="s">
        <v>11</v>
      </c>
      <c r="BE668" t="s">
        <v>11</v>
      </c>
      <c r="BF668" t="s">
        <v>11</v>
      </c>
      <c r="BG668" t="s">
        <v>11</v>
      </c>
      <c r="BH668" t="s">
        <v>4672</v>
      </c>
      <c r="BI668" t="s">
        <v>4668</v>
      </c>
      <c r="BJ668" t="s">
        <v>4673</v>
      </c>
      <c r="BK668" t="s">
        <v>4674</v>
      </c>
    </row>
    <row r="669" spans="1:63" x14ac:dyDescent="0.3">
      <c r="A669" t="s">
        <v>4675</v>
      </c>
      <c r="B669" t="s">
        <v>5</v>
      </c>
      <c r="C669" t="s">
        <v>4676</v>
      </c>
      <c r="D669" t="s">
        <v>4677</v>
      </c>
      <c r="E669" t="s">
        <v>4509</v>
      </c>
      <c r="F669">
        <v>711</v>
      </c>
      <c r="G669">
        <v>68.7</v>
      </c>
      <c r="H669">
        <v>11.5</v>
      </c>
      <c r="M669">
        <v>19.8</v>
      </c>
      <c r="AF669">
        <v>10.435419999999999</v>
      </c>
      <c r="AI669" t="s">
        <v>0</v>
      </c>
      <c r="AJ669" t="s">
        <v>11</v>
      </c>
      <c r="AK669" t="s">
        <v>11</v>
      </c>
      <c r="AL669" t="s">
        <v>2378</v>
      </c>
      <c r="AM669" t="s">
        <v>11</v>
      </c>
      <c r="AN669" t="s">
        <v>4678</v>
      </c>
      <c r="AO669" t="s">
        <v>11</v>
      </c>
      <c r="AP669" t="s">
        <v>11</v>
      </c>
      <c r="AQ669" t="s">
        <v>11</v>
      </c>
      <c r="AR669" t="s">
        <v>11</v>
      </c>
      <c r="AS669" t="s">
        <v>11</v>
      </c>
      <c r="AT669" t="s">
        <v>11</v>
      </c>
      <c r="AU669" t="s">
        <v>11</v>
      </c>
      <c r="AV669" t="s">
        <v>11</v>
      </c>
      <c r="AW669" t="s">
        <v>11</v>
      </c>
      <c r="AX669" t="s">
        <v>11</v>
      </c>
      <c r="AY669" t="s">
        <v>11</v>
      </c>
      <c r="AZ669" t="s">
        <v>11</v>
      </c>
      <c r="BA669" t="s">
        <v>11</v>
      </c>
      <c r="BB669" t="s">
        <v>11</v>
      </c>
      <c r="BC669" t="s">
        <v>11</v>
      </c>
      <c r="BD669" t="s">
        <v>11</v>
      </c>
      <c r="BE669" t="s">
        <v>11</v>
      </c>
      <c r="BF669" t="s">
        <v>11</v>
      </c>
      <c r="BG669" t="s">
        <v>11</v>
      </c>
      <c r="BH669" t="s">
        <v>4679</v>
      </c>
      <c r="BI669" t="s">
        <v>4675</v>
      </c>
      <c r="BJ669" t="s">
        <v>4680</v>
      </c>
      <c r="BK669" t="s">
        <v>4681</v>
      </c>
    </row>
    <row r="670" spans="1:63" x14ac:dyDescent="0.3">
      <c r="A670" t="s">
        <v>4682</v>
      </c>
      <c r="B670" t="s">
        <v>5</v>
      </c>
      <c r="C670" t="s">
        <v>4683</v>
      </c>
      <c r="D670" t="s">
        <v>4684</v>
      </c>
      <c r="E670" t="s">
        <v>4509</v>
      </c>
      <c r="F670">
        <v>712</v>
      </c>
      <c r="G670">
        <v>59.7</v>
      </c>
      <c r="H670">
        <v>20.5</v>
      </c>
      <c r="M670">
        <v>19.8</v>
      </c>
      <c r="AF670">
        <v>10.43614</v>
      </c>
      <c r="AI670" t="s">
        <v>0</v>
      </c>
      <c r="AJ670" t="s">
        <v>11</v>
      </c>
      <c r="AK670" t="s">
        <v>11</v>
      </c>
      <c r="AL670" t="s">
        <v>4685</v>
      </c>
      <c r="AM670" t="s">
        <v>11</v>
      </c>
      <c r="AN670" t="s">
        <v>4678</v>
      </c>
      <c r="AO670" t="s">
        <v>11</v>
      </c>
      <c r="AP670" t="s">
        <v>11</v>
      </c>
      <c r="AQ670" t="s">
        <v>11</v>
      </c>
      <c r="AR670" t="s">
        <v>11</v>
      </c>
      <c r="AS670" t="s">
        <v>11</v>
      </c>
      <c r="AT670" t="s">
        <v>11</v>
      </c>
      <c r="AU670" t="s">
        <v>11</v>
      </c>
      <c r="AV670" t="s">
        <v>11</v>
      </c>
      <c r="AW670" t="s">
        <v>11</v>
      </c>
      <c r="AX670" t="s">
        <v>11</v>
      </c>
      <c r="AY670" t="s">
        <v>11</v>
      </c>
      <c r="AZ670" t="s">
        <v>11</v>
      </c>
      <c r="BA670" t="s">
        <v>11</v>
      </c>
      <c r="BB670" t="s">
        <v>11</v>
      </c>
      <c r="BC670" t="s">
        <v>11</v>
      </c>
      <c r="BD670" t="s">
        <v>11</v>
      </c>
      <c r="BE670" t="s">
        <v>11</v>
      </c>
      <c r="BF670" t="s">
        <v>11</v>
      </c>
      <c r="BG670" t="s">
        <v>11</v>
      </c>
      <c r="BH670" t="s">
        <v>4686</v>
      </c>
      <c r="BI670" t="s">
        <v>4682</v>
      </c>
      <c r="BJ670" t="s">
        <v>4687</v>
      </c>
      <c r="BK670" t="s">
        <v>4688</v>
      </c>
    </row>
    <row r="671" spans="1:63" x14ac:dyDescent="0.3">
      <c r="A671" t="s">
        <v>4689</v>
      </c>
      <c r="B671" t="s">
        <v>5</v>
      </c>
      <c r="C671" t="s">
        <v>4690</v>
      </c>
      <c r="D671" t="s">
        <v>4691</v>
      </c>
      <c r="E671" t="s">
        <v>4509</v>
      </c>
      <c r="F671">
        <v>713</v>
      </c>
      <c r="G671">
        <v>50</v>
      </c>
      <c r="H671">
        <v>30.2</v>
      </c>
      <c r="M671">
        <v>19.8</v>
      </c>
      <c r="AF671">
        <v>10.436916000000002</v>
      </c>
      <c r="AI671" t="s">
        <v>0</v>
      </c>
      <c r="AJ671" t="s">
        <v>11</v>
      </c>
      <c r="AK671" t="s">
        <v>11</v>
      </c>
      <c r="AL671" t="s">
        <v>2813</v>
      </c>
      <c r="AM671" t="s">
        <v>11</v>
      </c>
      <c r="AN671" t="s">
        <v>4678</v>
      </c>
      <c r="AO671" t="s">
        <v>11</v>
      </c>
      <c r="AP671" t="s">
        <v>11</v>
      </c>
      <c r="AQ671" t="s">
        <v>11</v>
      </c>
      <c r="AR671" t="s">
        <v>11</v>
      </c>
      <c r="AS671" t="s">
        <v>11</v>
      </c>
      <c r="AT671" t="s">
        <v>11</v>
      </c>
      <c r="AU671" t="s">
        <v>11</v>
      </c>
      <c r="AV671" t="s">
        <v>11</v>
      </c>
      <c r="AW671" t="s">
        <v>11</v>
      </c>
      <c r="AX671" t="s">
        <v>11</v>
      </c>
      <c r="AY671" t="s">
        <v>11</v>
      </c>
      <c r="AZ671" t="s">
        <v>11</v>
      </c>
      <c r="BA671" t="s">
        <v>11</v>
      </c>
      <c r="BB671" t="s">
        <v>11</v>
      </c>
      <c r="BC671" t="s">
        <v>11</v>
      </c>
      <c r="BD671" t="s">
        <v>11</v>
      </c>
      <c r="BE671" t="s">
        <v>11</v>
      </c>
      <c r="BF671" t="s">
        <v>11</v>
      </c>
      <c r="BG671" t="s">
        <v>11</v>
      </c>
      <c r="BH671" t="s">
        <v>4692</v>
      </c>
      <c r="BI671" t="s">
        <v>4689</v>
      </c>
      <c r="BJ671" t="s">
        <v>4693</v>
      </c>
      <c r="BK671" t="s">
        <v>4694</v>
      </c>
    </row>
    <row r="672" spans="1:63" x14ac:dyDescent="0.3">
      <c r="A672" t="s">
        <v>4695</v>
      </c>
      <c r="B672" t="s">
        <v>5</v>
      </c>
      <c r="C672" t="s">
        <v>4696</v>
      </c>
      <c r="D672" t="s">
        <v>4697</v>
      </c>
      <c r="E672" t="s">
        <v>4509</v>
      </c>
      <c r="F672">
        <v>714</v>
      </c>
      <c r="G672">
        <v>38.5</v>
      </c>
      <c r="H672">
        <v>41.3</v>
      </c>
      <c r="M672">
        <v>20.2</v>
      </c>
      <c r="AF672">
        <v>10.468804</v>
      </c>
      <c r="AI672" t="s">
        <v>0</v>
      </c>
      <c r="AJ672" t="s">
        <v>11</v>
      </c>
      <c r="AK672" t="s">
        <v>11</v>
      </c>
      <c r="AL672" t="s">
        <v>4698</v>
      </c>
      <c r="AM672" t="s">
        <v>11</v>
      </c>
      <c r="AN672" t="s">
        <v>4699</v>
      </c>
      <c r="AO672" t="s">
        <v>11</v>
      </c>
      <c r="AP672" t="s">
        <v>11</v>
      </c>
      <c r="AQ672" t="s">
        <v>11</v>
      </c>
      <c r="AR672" t="s">
        <v>11</v>
      </c>
      <c r="AS672" t="s">
        <v>11</v>
      </c>
      <c r="AT672" t="s">
        <v>11</v>
      </c>
      <c r="AU672" t="s">
        <v>11</v>
      </c>
      <c r="AV672" t="s">
        <v>11</v>
      </c>
      <c r="AW672" t="s">
        <v>11</v>
      </c>
      <c r="AX672" t="s">
        <v>11</v>
      </c>
      <c r="AY672" t="s">
        <v>11</v>
      </c>
      <c r="AZ672" t="s">
        <v>11</v>
      </c>
      <c r="BA672" t="s">
        <v>11</v>
      </c>
      <c r="BB672" t="s">
        <v>11</v>
      </c>
      <c r="BC672" t="s">
        <v>11</v>
      </c>
      <c r="BD672" t="s">
        <v>11</v>
      </c>
      <c r="BE672" t="s">
        <v>11</v>
      </c>
      <c r="BF672" t="s">
        <v>11</v>
      </c>
      <c r="BG672" t="s">
        <v>11</v>
      </c>
      <c r="BH672" t="s">
        <v>4700</v>
      </c>
      <c r="BI672" t="s">
        <v>4695</v>
      </c>
      <c r="BJ672" t="s">
        <v>4701</v>
      </c>
      <c r="BK672" t="s">
        <v>4702</v>
      </c>
    </row>
    <row r="673" spans="1:63" x14ac:dyDescent="0.3">
      <c r="A673" t="s">
        <v>4703</v>
      </c>
      <c r="B673" t="s">
        <v>5</v>
      </c>
      <c r="C673" t="s">
        <v>4704</v>
      </c>
      <c r="D673" t="s">
        <v>4705</v>
      </c>
      <c r="E673" t="s">
        <v>4509</v>
      </c>
      <c r="F673">
        <v>715</v>
      </c>
      <c r="G673">
        <v>30.900000000000006</v>
      </c>
      <c r="H673">
        <v>48.2</v>
      </c>
      <c r="M673">
        <v>20.9</v>
      </c>
      <c r="AF673">
        <v>10.523605999999999</v>
      </c>
      <c r="AI673" t="s">
        <v>0</v>
      </c>
      <c r="AJ673" t="s">
        <v>11</v>
      </c>
      <c r="AK673" t="s">
        <v>11</v>
      </c>
      <c r="AL673" t="s">
        <v>4706</v>
      </c>
      <c r="AM673" t="s">
        <v>11</v>
      </c>
      <c r="AN673" t="s">
        <v>4707</v>
      </c>
      <c r="AO673" t="s">
        <v>11</v>
      </c>
      <c r="AP673" t="s">
        <v>11</v>
      </c>
      <c r="AQ673" t="s">
        <v>11</v>
      </c>
      <c r="AR673" t="s">
        <v>11</v>
      </c>
      <c r="AS673" t="s">
        <v>11</v>
      </c>
      <c r="AT673" t="s">
        <v>11</v>
      </c>
      <c r="AU673" t="s">
        <v>11</v>
      </c>
      <c r="AV673" t="s">
        <v>11</v>
      </c>
      <c r="AW673" t="s">
        <v>11</v>
      </c>
      <c r="AX673" t="s">
        <v>11</v>
      </c>
      <c r="AY673" t="s">
        <v>11</v>
      </c>
      <c r="AZ673" t="s">
        <v>11</v>
      </c>
      <c r="BA673" t="s">
        <v>11</v>
      </c>
      <c r="BB673" t="s">
        <v>11</v>
      </c>
      <c r="BC673" t="s">
        <v>11</v>
      </c>
      <c r="BD673" t="s">
        <v>11</v>
      </c>
      <c r="BE673" t="s">
        <v>11</v>
      </c>
      <c r="BF673" t="s">
        <v>11</v>
      </c>
      <c r="BG673" t="s">
        <v>11</v>
      </c>
      <c r="BH673" t="s">
        <v>4708</v>
      </c>
      <c r="BI673" t="s">
        <v>4703</v>
      </c>
      <c r="BJ673" t="s">
        <v>4709</v>
      </c>
      <c r="BK673" t="s">
        <v>4710</v>
      </c>
    </row>
    <row r="674" spans="1:63" x14ac:dyDescent="0.3">
      <c r="A674" t="s">
        <v>4711</v>
      </c>
      <c r="B674" t="s">
        <v>5</v>
      </c>
      <c r="C674" t="s">
        <v>4712</v>
      </c>
      <c r="D674" t="s">
        <v>4713</v>
      </c>
      <c r="E674" t="s">
        <v>4509</v>
      </c>
      <c r="F674">
        <v>716</v>
      </c>
      <c r="G674">
        <v>20.5</v>
      </c>
      <c r="H674">
        <v>59.6</v>
      </c>
      <c r="M674">
        <v>19.899999999999999</v>
      </c>
      <c r="AF674">
        <v>10.447017999999998</v>
      </c>
      <c r="AI674" t="s">
        <v>0</v>
      </c>
      <c r="AJ674" t="s">
        <v>11</v>
      </c>
      <c r="AK674" t="s">
        <v>11</v>
      </c>
      <c r="AL674" t="s">
        <v>4714</v>
      </c>
      <c r="AM674" t="s">
        <v>11</v>
      </c>
      <c r="AN674" t="s">
        <v>4715</v>
      </c>
      <c r="AO674" t="s">
        <v>11</v>
      </c>
      <c r="AP674" t="s">
        <v>11</v>
      </c>
      <c r="AQ674" t="s">
        <v>11</v>
      </c>
      <c r="AR674" t="s">
        <v>11</v>
      </c>
      <c r="AS674" t="s">
        <v>11</v>
      </c>
      <c r="AT674" t="s">
        <v>11</v>
      </c>
      <c r="AU674" t="s">
        <v>11</v>
      </c>
      <c r="AV674" t="s">
        <v>11</v>
      </c>
      <c r="AW674" t="s">
        <v>11</v>
      </c>
      <c r="AX674" t="s">
        <v>11</v>
      </c>
      <c r="AY674" t="s">
        <v>11</v>
      </c>
      <c r="AZ674" t="s">
        <v>11</v>
      </c>
      <c r="BA674" t="s">
        <v>11</v>
      </c>
      <c r="BB674" t="s">
        <v>11</v>
      </c>
      <c r="BC674" t="s">
        <v>11</v>
      </c>
      <c r="BD674" t="s">
        <v>11</v>
      </c>
      <c r="BE674" t="s">
        <v>11</v>
      </c>
      <c r="BF674" t="s">
        <v>11</v>
      </c>
      <c r="BG674" t="s">
        <v>11</v>
      </c>
      <c r="BH674" t="s">
        <v>4716</v>
      </c>
      <c r="BI674" t="s">
        <v>4711</v>
      </c>
      <c r="BJ674" t="s">
        <v>4717</v>
      </c>
      <c r="BK674" t="s">
        <v>4718</v>
      </c>
    </row>
    <row r="675" spans="1:63" x14ac:dyDescent="0.3">
      <c r="A675" t="s">
        <v>4719</v>
      </c>
      <c r="B675" t="s">
        <v>5</v>
      </c>
      <c r="C675" t="s">
        <v>4720</v>
      </c>
      <c r="D675" t="s">
        <v>4721</v>
      </c>
      <c r="E675" t="s">
        <v>4509</v>
      </c>
      <c r="F675">
        <v>717</v>
      </c>
      <c r="G675">
        <v>10.199999999999989</v>
      </c>
      <c r="H675">
        <v>68.900000000000006</v>
      </c>
      <c r="M675">
        <v>20.9</v>
      </c>
      <c r="AF675">
        <v>10.525261999999998</v>
      </c>
      <c r="AI675" t="s">
        <v>0</v>
      </c>
      <c r="AJ675" t="s">
        <v>11</v>
      </c>
      <c r="AK675" t="s">
        <v>11</v>
      </c>
      <c r="AL675" t="s">
        <v>4722</v>
      </c>
      <c r="AM675" t="s">
        <v>11</v>
      </c>
      <c r="AN675" t="s">
        <v>4707</v>
      </c>
      <c r="AO675" t="s">
        <v>11</v>
      </c>
      <c r="AP675" t="s">
        <v>11</v>
      </c>
      <c r="AQ675" t="s">
        <v>11</v>
      </c>
      <c r="AR675" t="s">
        <v>11</v>
      </c>
      <c r="AS675" t="s">
        <v>11</v>
      </c>
      <c r="AT675" t="s">
        <v>11</v>
      </c>
      <c r="AU675" t="s">
        <v>11</v>
      </c>
      <c r="AV675" t="s">
        <v>11</v>
      </c>
      <c r="AW675" t="s">
        <v>11</v>
      </c>
      <c r="AX675" t="s">
        <v>11</v>
      </c>
      <c r="AY675" t="s">
        <v>11</v>
      </c>
      <c r="AZ675" t="s">
        <v>11</v>
      </c>
      <c r="BA675" t="s">
        <v>11</v>
      </c>
      <c r="BB675" t="s">
        <v>11</v>
      </c>
      <c r="BC675" t="s">
        <v>11</v>
      </c>
      <c r="BD675" t="s">
        <v>11</v>
      </c>
      <c r="BE675" t="s">
        <v>11</v>
      </c>
      <c r="BF675" t="s">
        <v>11</v>
      </c>
      <c r="BG675" t="s">
        <v>11</v>
      </c>
      <c r="BH675" t="s">
        <v>4723</v>
      </c>
      <c r="BI675" t="s">
        <v>4719</v>
      </c>
      <c r="BJ675" t="s">
        <v>4724</v>
      </c>
      <c r="BK675" t="s">
        <v>4725</v>
      </c>
    </row>
    <row r="676" spans="1:63" x14ac:dyDescent="0.3">
      <c r="A676" t="s">
        <v>4726</v>
      </c>
      <c r="B676" t="s">
        <v>5</v>
      </c>
      <c r="C676" t="s">
        <v>4727</v>
      </c>
      <c r="D676" t="s">
        <v>4728</v>
      </c>
      <c r="E676" t="s">
        <v>4509</v>
      </c>
      <c r="F676">
        <v>718</v>
      </c>
      <c r="G676">
        <v>81.5</v>
      </c>
      <c r="H676">
        <v>4.8</v>
      </c>
      <c r="M676">
        <v>13.7</v>
      </c>
      <c r="AF676">
        <v>9.9621340000000007</v>
      </c>
      <c r="AI676" t="s">
        <v>0</v>
      </c>
      <c r="AJ676" t="s">
        <v>11</v>
      </c>
      <c r="AK676" t="s">
        <v>11</v>
      </c>
      <c r="AL676" t="s">
        <v>4729</v>
      </c>
      <c r="AM676" t="s">
        <v>11</v>
      </c>
      <c r="AN676" t="s">
        <v>4730</v>
      </c>
      <c r="AO676" t="s">
        <v>11</v>
      </c>
      <c r="AP676" t="s">
        <v>11</v>
      </c>
      <c r="AQ676" t="s">
        <v>11</v>
      </c>
      <c r="AR676" t="s">
        <v>11</v>
      </c>
      <c r="AS676" t="s">
        <v>11</v>
      </c>
      <c r="AT676" t="s">
        <v>11</v>
      </c>
      <c r="AU676" t="s">
        <v>11</v>
      </c>
      <c r="AV676" t="s">
        <v>11</v>
      </c>
      <c r="AW676" t="s">
        <v>11</v>
      </c>
      <c r="AX676" t="s">
        <v>11</v>
      </c>
      <c r="AY676" t="s">
        <v>11</v>
      </c>
      <c r="AZ676" t="s">
        <v>11</v>
      </c>
      <c r="BA676" t="s">
        <v>11</v>
      </c>
      <c r="BB676" t="s">
        <v>11</v>
      </c>
      <c r="BC676" t="s">
        <v>11</v>
      </c>
      <c r="BD676" t="s">
        <v>11</v>
      </c>
      <c r="BE676" t="s">
        <v>11</v>
      </c>
      <c r="BF676" t="s">
        <v>11</v>
      </c>
      <c r="BG676" t="s">
        <v>11</v>
      </c>
      <c r="BH676" t="s">
        <v>4731</v>
      </c>
      <c r="BI676" t="s">
        <v>4726</v>
      </c>
      <c r="BJ676" t="s">
        <v>4732</v>
      </c>
      <c r="BK676" t="s">
        <v>4733</v>
      </c>
    </row>
    <row r="677" spans="1:63" x14ac:dyDescent="0.3">
      <c r="A677" t="s">
        <v>4734</v>
      </c>
      <c r="B677" t="s">
        <v>5</v>
      </c>
      <c r="C677" t="s">
        <v>4735</v>
      </c>
      <c r="D677" t="s">
        <v>4736</v>
      </c>
      <c r="E677" t="s">
        <v>4509</v>
      </c>
      <c r="F677">
        <v>719</v>
      </c>
      <c r="G677">
        <v>76.900000000000006</v>
      </c>
      <c r="H677">
        <v>9.4</v>
      </c>
      <c r="M677">
        <v>13.7</v>
      </c>
      <c r="AF677">
        <v>9.9625019999999989</v>
      </c>
      <c r="AI677" t="s">
        <v>0</v>
      </c>
      <c r="AJ677" t="s">
        <v>11</v>
      </c>
      <c r="AK677" t="s">
        <v>11</v>
      </c>
      <c r="AL677" t="s">
        <v>4737</v>
      </c>
      <c r="AM677" t="s">
        <v>11</v>
      </c>
      <c r="AN677" t="s">
        <v>4730</v>
      </c>
      <c r="AO677" t="s">
        <v>11</v>
      </c>
      <c r="AP677" t="s">
        <v>11</v>
      </c>
      <c r="AQ677" t="s">
        <v>11</v>
      </c>
      <c r="AR677" t="s">
        <v>11</v>
      </c>
      <c r="AS677" t="s">
        <v>11</v>
      </c>
      <c r="AT677" t="s">
        <v>11</v>
      </c>
      <c r="AU677" t="s">
        <v>11</v>
      </c>
      <c r="AV677" t="s">
        <v>11</v>
      </c>
      <c r="AW677" t="s">
        <v>11</v>
      </c>
      <c r="AX677" t="s">
        <v>11</v>
      </c>
      <c r="AY677" t="s">
        <v>11</v>
      </c>
      <c r="AZ677" t="s">
        <v>11</v>
      </c>
      <c r="BA677" t="s">
        <v>11</v>
      </c>
      <c r="BB677" t="s">
        <v>11</v>
      </c>
      <c r="BC677" t="s">
        <v>11</v>
      </c>
      <c r="BD677" t="s">
        <v>11</v>
      </c>
      <c r="BE677" t="s">
        <v>11</v>
      </c>
      <c r="BF677" t="s">
        <v>11</v>
      </c>
      <c r="BG677" t="s">
        <v>11</v>
      </c>
      <c r="BH677" t="s">
        <v>4738</v>
      </c>
      <c r="BI677" t="s">
        <v>4734</v>
      </c>
      <c r="BJ677" t="s">
        <v>4739</v>
      </c>
      <c r="BK677" t="s">
        <v>4740</v>
      </c>
    </row>
    <row r="678" spans="1:63" x14ac:dyDescent="0.3">
      <c r="A678" t="s">
        <v>4741</v>
      </c>
      <c r="B678" t="s">
        <v>5</v>
      </c>
      <c r="C678" t="s">
        <v>4742</v>
      </c>
      <c r="D678" t="s">
        <v>4743</v>
      </c>
      <c r="E678" t="s">
        <v>4509</v>
      </c>
      <c r="F678">
        <v>720</v>
      </c>
      <c r="G678">
        <v>65.7</v>
      </c>
      <c r="H678">
        <v>20.5</v>
      </c>
      <c r="M678">
        <v>13.8</v>
      </c>
      <c r="AF678">
        <v>9.9711400000000001</v>
      </c>
      <c r="AI678" t="s">
        <v>0</v>
      </c>
      <c r="AJ678" t="s">
        <v>11</v>
      </c>
      <c r="AK678" t="s">
        <v>11</v>
      </c>
      <c r="AL678" t="s">
        <v>4685</v>
      </c>
      <c r="AM678" t="s">
        <v>11</v>
      </c>
      <c r="AN678" t="s">
        <v>4744</v>
      </c>
      <c r="AO678" t="s">
        <v>11</v>
      </c>
      <c r="AP678" t="s">
        <v>11</v>
      </c>
      <c r="AQ678" t="s">
        <v>11</v>
      </c>
      <c r="AR678" t="s">
        <v>11</v>
      </c>
      <c r="AS678" t="s">
        <v>11</v>
      </c>
      <c r="AT678" t="s">
        <v>11</v>
      </c>
      <c r="AU678" t="s">
        <v>11</v>
      </c>
      <c r="AV678" t="s">
        <v>11</v>
      </c>
      <c r="AW678" t="s">
        <v>11</v>
      </c>
      <c r="AX678" t="s">
        <v>11</v>
      </c>
      <c r="AY678" t="s">
        <v>11</v>
      </c>
      <c r="AZ678" t="s">
        <v>11</v>
      </c>
      <c r="BA678" t="s">
        <v>11</v>
      </c>
      <c r="BB678" t="s">
        <v>11</v>
      </c>
      <c r="BC678" t="s">
        <v>11</v>
      </c>
      <c r="BD678" t="s">
        <v>11</v>
      </c>
      <c r="BE678" t="s">
        <v>11</v>
      </c>
      <c r="BF678" t="s">
        <v>11</v>
      </c>
      <c r="BG678" t="s">
        <v>11</v>
      </c>
      <c r="BH678" t="s">
        <v>4745</v>
      </c>
      <c r="BI678" t="s">
        <v>4741</v>
      </c>
      <c r="BJ678" t="s">
        <v>4746</v>
      </c>
      <c r="BK678" t="s">
        <v>4747</v>
      </c>
    </row>
    <row r="679" spans="1:63" x14ac:dyDescent="0.3">
      <c r="A679" t="s">
        <v>4748</v>
      </c>
      <c r="B679" t="s">
        <v>5</v>
      </c>
      <c r="C679" t="s">
        <v>4749</v>
      </c>
      <c r="D679" t="s">
        <v>4750</v>
      </c>
      <c r="E679" t="s">
        <v>4509</v>
      </c>
      <c r="F679">
        <v>721</v>
      </c>
      <c r="G679">
        <v>59.6</v>
      </c>
      <c r="H679">
        <v>25.8</v>
      </c>
      <c r="M679">
        <v>14.6</v>
      </c>
      <c r="AF679">
        <v>10.033564000000002</v>
      </c>
      <c r="AI679" t="s">
        <v>0</v>
      </c>
      <c r="AJ679" t="s">
        <v>11</v>
      </c>
      <c r="AK679" t="s">
        <v>11</v>
      </c>
      <c r="AL679" t="s">
        <v>4751</v>
      </c>
      <c r="AM679" t="s">
        <v>11</v>
      </c>
      <c r="AN679" t="s">
        <v>4752</v>
      </c>
      <c r="AO679" t="s">
        <v>11</v>
      </c>
      <c r="AP679" t="s">
        <v>11</v>
      </c>
      <c r="AQ679" t="s">
        <v>11</v>
      </c>
      <c r="AR679" t="s">
        <v>11</v>
      </c>
      <c r="AS679" t="s">
        <v>11</v>
      </c>
      <c r="AT679" t="s">
        <v>11</v>
      </c>
      <c r="AU679" t="s">
        <v>11</v>
      </c>
      <c r="AV679" t="s">
        <v>11</v>
      </c>
      <c r="AW679" t="s">
        <v>11</v>
      </c>
      <c r="AX679" t="s">
        <v>11</v>
      </c>
      <c r="AY679" t="s">
        <v>11</v>
      </c>
      <c r="AZ679" t="s">
        <v>11</v>
      </c>
      <c r="BA679" t="s">
        <v>11</v>
      </c>
      <c r="BB679" t="s">
        <v>11</v>
      </c>
      <c r="BC679" t="s">
        <v>11</v>
      </c>
      <c r="BD679" t="s">
        <v>11</v>
      </c>
      <c r="BE679" t="s">
        <v>11</v>
      </c>
      <c r="BF679" t="s">
        <v>11</v>
      </c>
      <c r="BG679" t="s">
        <v>11</v>
      </c>
      <c r="BH679" t="s">
        <v>4753</v>
      </c>
      <c r="BI679" t="s">
        <v>4748</v>
      </c>
      <c r="BJ679" t="s">
        <v>4754</v>
      </c>
      <c r="BK679" t="s">
        <v>4755</v>
      </c>
    </row>
    <row r="680" spans="1:63" x14ac:dyDescent="0.3">
      <c r="A680" t="s">
        <v>4756</v>
      </c>
      <c r="B680" t="s">
        <v>5</v>
      </c>
      <c r="C680" t="s">
        <v>4757</v>
      </c>
      <c r="D680" t="s">
        <v>4758</v>
      </c>
      <c r="E680" t="s">
        <v>4509</v>
      </c>
      <c r="F680">
        <v>722</v>
      </c>
      <c r="G680">
        <v>55.3</v>
      </c>
      <c r="H680">
        <v>30.5</v>
      </c>
      <c r="M680">
        <v>14.2</v>
      </c>
      <c r="AF680">
        <v>10.002940000000001</v>
      </c>
      <c r="AI680" t="s">
        <v>0</v>
      </c>
      <c r="AJ680" t="s">
        <v>11</v>
      </c>
      <c r="AK680" t="s">
        <v>11</v>
      </c>
      <c r="AL680" t="s">
        <v>1469</v>
      </c>
      <c r="AM680" t="s">
        <v>11</v>
      </c>
      <c r="AN680" t="s">
        <v>4759</v>
      </c>
      <c r="AO680" t="s">
        <v>11</v>
      </c>
      <c r="AP680" t="s">
        <v>11</v>
      </c>
      <c r="AQ680" t="s">
        <v>11</v>
      </c>
      <c r="AR680" t="s">
        <v>11</v>
      </c>
      <c r="AS680" t="s">
        <v>11</v>
      </c>
      <c r="AT680" t="s">
        <v>11</v>
      </c>
      <c r="AU680" t="s">
        <v>11</v>
      </c>
      <c r="AV680" t="s">
        <v>11</v>
      </c>
      <c r="AW680" t="s">
        <v>11</v>
      </c>
      <c r="AX680" t="s">
        <v>11</v>
      </c>
      <c r="AY680" t="s">
        <v>11</v>
      </c>
      <c r="AZ680" t="s">
        <v>11</v>
      </c>
      <c r="BA680" t="s">
        <v>11</v>
      </c>
      <c r="BB680" t="s">
        <v>11</v>
      </c>
      <c r="BC680" t="s">
        <v>11</v>
      </c>
      <c r="BD680" t="s">
        <v>11</v>
      </c>
      <c r="BE680" t="s">
        <v>11</v>
      </c>
      <c r="BF680" t="s">
        <v>11</v>
      </c>
      <c r="BG680" t="s">
        <v>11</v>
      </c>
      <c r="BH680" t="s">
        <v>4760</v>
      </c>
      <c r="BI680" t="s">
        <v>4756</v>
      </c>
      <c r="BJ680" t="s">
        <v>4761</v>
      </c>
      <c r="BK680" t="s">
        <v>4762</v>
      </c>
    </row>
    <row r="681" spans="1:63" x14ac:dyDescent="0.3">
      <c r="A681" t="s">
        <v>4763</v>
      </c>
      <c r="B681" t="s">
        <v>5</v>
      </c>
      <c r="C681" t="s">
        <v>4764</v>
      </c>
      <c r="D681" t="s">
        <v>4765</v>
      </c>
      <c r="E681" t="s">
        <v>4509</v>
      </c>
      <c r="F681">
        <v>723</v>
      </c>
      <c r="G681">
        <v>50.5</v>
      </c>
      <c r="H681">
        <v>35.299999999999997</v>
      </c>
      <c r="M681">
        <v>14.2</v>
      </c>
      <c r="AF681">
        <v>10.003323999999999</v>
      </c>
      <c r="AI681" t="s">
        <v>0</v>
      </c>
      <c r="AJ681" t="s">
        <v>11</v>
      </c>
      <c r="AK681" t="s">
        <v>11</v>
      </c>
      <c r="AL681" t="s">
        <v>4766</v>
      </c>
      <c r="AM681" t="s">
        <v>11</v>
      </c>
      <c r="AN681" t="s">
        <v>4759</v>
      </c>
      <c r="AO681" t="s">
        <v>11</v>
      </c>
      <c r="AP681" t="s">
        <v>11</v>
      </c>
      <c r="AQ681" t="s">
        <v>11</v>
      </c>
      <c r="AR681" t="s">
        <v>11</v>
      </c>
      <c r="AS681" t="s">
        <v>11</v>
      </c>
      <c r="AT681" t="s">
        <v>11</v>
      </c>
      <c r="AU681" t="s">
        <v>11</v>
      </c>
      <c r="AV681" t="s">
        <v>11</v>
      </c>
      <c r="AW681" t="s">
        <v>11</v>
      </c>
      <c r="AX681" t="s">
        <v>11</v>
      </c>
      <c r="AY681" t="s">
        <v>11</v>
      </c>
      <c r="AZ681" t="s">
        <v>11</v>
      </c>
      <c r="BA681" t="s">
        <v>11</v>
      </c>
      <c r="BB681" t="s">
        <v>11</v>
      </c>
      <c r="BC681" t="s">
        <v>11</v>
      </c>
      <c r="BD681" t="s">
        <v>11</v>
      </c>
      <c r="BE681" t="s">
        <v>11</v>
      </c>
      <c r="BF681" t="s">
        <v>11</v>
      </c>
      <c r="BG681" t="s">
        <v>11</v>
      </c>
      <c r="BH681" t="s">
        <v>4767</v>
      </c>
      <c r="BI681" t="s">
        <v>4763</v>
      </c>
      <c r="BJ681" t="s">
        <v>4768</v>
      </c>
      <c r="BK681" t="s">
        <v>4769</v>
      </c>
    </row>
    <row r="682" spans="1:63" x14ac:dyDescent="0.3">
      <c r="A682" t="s">
        <v>4770</v>
      </c>
      <c r="B682" t="s">
        <v>5</v>
      </c>
      <c r="C682" t="s">
        <v>4771</v>
      </c>
      <c r="D682" t="s">
        <v>4772</v>
      </c>
      <c r="E682" t="s">
        <v>4509</v>
      </c>
      <c r="F682">
        <v>724</v>
      </c>
      <c r="G682">
        <v>46.4</v>
      </c>
      <c r="H682">
        <v>39.1</v>
      </c>
      <c r="M682">
        <v>14.5</v>
      </c>
      <c r="AF682">
        <v>10.026878</v>
      </c>
      <c r="AI682" t="s">
        <v>0</v>
      </c>
      <c r="AJ682" t="s">
        <v>11</v>
      </c>
      <c r="AK682" t="s">
        <v>11</v>
      </c>
      <c r="AL682" t="s">
        <v>4773</v>
      </c>
      <c r="AM682" t="s">
        <v>11</v>
      </c>
      <c r="AN682" t="s">
        <v>4774</v>
      </c>
      <c r="AO682" t="s">
        <v>11</v>
      </c>
      <c r="AP682" t="s">
        <v>11</v>
      </c>
      <c r="AQ682" t="s">
        <v>11</v>
      </c>
      <c r="AR682" t="s">
        <v>11</v>
      </c>
      <c r="AS682" t="s">
        <v>11</v>
      </c>
      <c r="AT682" t="s">
        <v>11</v>
      </c>
      <c r="AU682" t="s">
        <v>11</v>
      </c>
      <c r="AV682" t="s">
        <v>11</v>
      </c>
      <c r="AW682" t="s">
        <v>11</v>
      </c>
      <c r="AX682" t="s">
        <v>11</v>
      </c>
      <c r="AY682" t="s">
        <v>11</v>
      </c>
      <c r="AZ682" t="s">
        <v>11</v>
      </c>
      <c r="BA682" t="s">
        <v>11</v>
      </c>
      <c r="BB682" t="s">
        <v>11</v>
      </c>
      <c r="BC682" t="s">
        <v>11</v>
      </c>
      <c r="BD682" t="s">
        <v>11</v>
      </c>
      <c r="BE682" t="s">
        <v>11</v>
      </c>
      <c r="BF682" t="s">
        <v>11</v>
      </c>
      <c r="BG682" t="s">
        <v>11</v>
      </c>
      <c r="BH682" t="s">
        <v>4775</v>
      </c>
      <c r="BI682" t="s">
        <v>4770</v>
      </c>
      <c r="BJ682" t="s">
        <v>4776</v>
      </c>
      <c r="BK682" t="s">
        <v>4777</v>
      </c>
    </row>
    <row r="683" spans="1:63" x14ac:dyDescent="0.3">
      <c r="A683" t="s">
        <v>4778</v>
      </c>
      <c r="B683" t="s">
        <v>5</v>
      </c>
      <c r="C683" t="s">
        <v>4779</v>
      </c>
      <c r="D683" t="s">
        <v>4780</v>
      </c>
      <c r="E683" t="s">
        <v>4509</v>
      </c>
      <c r="F683">
        <v>725</v>
      </c>
      <c r="G683">
        <v>40</v>
      </c>
      <c r="H683">
        <v>45.8</v>
      </c>
      <c r="M683">
        <v>14.2</v>
      </c>
      <c r="AF683">
        <v>10.004163999999999</v>
      </c>
      <c r="AI683" t="s">
        <v>0</v>
      </c>
      <c r="AJ683" t="s">
        <v>11</v>
      </c>
      <c r="AK683" t="s">
        <v>11</v>
      </c>
      <c r="AL683" t="s">
        <v>4781</v>
      </c>
      <c r="AM683" t="s">
        <v>11</v>
      </c>
      <c r="AN683" t="s">
        <v>4759</v>
      </c>
      <c r="AO683" t="s">
        <v>11</v>
      </c>
      <c r="AP683" t="s">
        <v>11</v>
      </c>
      <c r="AQ683" t="s">
        <v>11</v>
      </c>
      <c r="AR683" t="s">
        <v>11</v>
      </c>
      <c r="AS683" t="s">
        <v>11</v>
      </c>
      <c r="AT683" t="s">
        <v>11</v>
      </c>
      <c r="AU683" t="s">
        <v>11</v>
      </c>
      <c r="AV683" t="s">
        <v>11</v>
      </c>
      <c r="AW683" t="s">
        <v>11</v>
      </c>
      <c r="AX683" t="s">
        <v>11</v>
      </c>
      <c r="AY683" t="s">
        <v>11</v>
      </c>
      <c r="AZ683" t="s">
        <v>11</v>
      </c>
      <c r="BA683" t="s">
        <v>11</v>
      </c>
      <c r="BB683" t="s">
        <v>11</v>
      </c>
      <c r="BC683" t="s">
        <v>11</v>
      </c>
      <c r="BD683" t="s">
        <v>11</v>
      </c>
      <c r="BE683" t="s">
        <v>11</v>
      </c>
      <c r="BF683" t="s">
        <v>11</v>
      </c>
      <c r="BG683" t="s">
        <v>11</v>
      </c>
      <c r="BH683" t="s">
        <v>4782</v>
      </c>
      <c r="BI683" t="s">
        <v>4778</v>
      </c>
      <c r="BJ683" t="s">
        <v>4783</v>
      </c>
      <c r="BK683" t="s">
        <v>4784</v>
      </c>
    </row>
    <row r="684" spans="1:63" x14ac:dyDescent="0.3">
      <c r="A684" t="s">
        <v>4785</v>
      </c>
      <c r="B684" t="s">
        <v>5</v>
      </c>
      <c r="C684" t="s">
        <v>4786</v>
      </c>
      <c r="D684" t="s">
        <v>4787</v>
      </c>
      <c r="E684" t="s">
        <v>4509</v>
      </c>
      <c r="F684">
        <v>726</v>
      </c>
      <c r="G684">
        <v>34.5</v>
      </c>
      <c r="H684">
        <v>51.2</v>
      </c>
      <c r="M684">
        <v>14.3</v>
      </c>
      <c r="AF684">
        <v>10.012346000000001</v>
      </c>
      <c r="AI684" t="s">
        <v>0</v>
      </c>
      <c r="AJ684" t="s">
        <v>11</v>
      </c>
      <c r="AK684" t="s">
        <v>11</v>
      </c>
      <c r="AL684" t="s">
        <v>1084</v>
      </c>
      <c r="AM684" t="s">
        <v>11</v>
      </c>
      <c r="AN684" t="s">
        <v>4788</v>
      </c>
      <c r="AO684" t="s">
        <v>11</v>
      </c>
      <c r="AP684" t="s">
        <v>11</v>
      </c>
      <c r="AQ684" t="s">
        <v>11</v>
      </c>
      <c r="AR684" t="s">
        <v>11</v>
      </c>
      <c r="AS684" t="s">
        <v>11</v>
      </c>
      <c r="AT684" t="s">
        <v>11</v>
      </c>
      <c r="AU684" t="s">
        <v>11</v>
      </c>
      <c r="AV684" t="s">
        <v>11</v>
      </c>
      <c r="AW684" t="s">
        <v>11</v>
      </c>
      <c r="AX684" t="s">
        <v>11</v>
      </c>
      <c r="AY684" t="s">
        <v>11</v>
      </c>
      <c r="AZ684" t="s">
        <v>11</v>
      </c>
      <c r="BA684" t="s">
        <v>11</v>
      </c>
      <c r="BB684" t="s">
        <v>11</v>
      </c>
      <c r="BC684" t="s">
        <v>11</v>
      </c>
      <c r="BD684" t="s">
        <v>11</v>
      </c>
      <c r="BE684" t="s">
        <v>11</v>
      </c>
      <c r="BF684" t="s">
        <v>11</v>
      </c>
      <c r="BG684" t="s">
        <v>11</v>
      </c>
      <c r="BH684" t="s">
        <v>4789</v>
      </c>
      <c r="BI684" t="s">
        <v>4785</v>
      </c>
      <c r="BJ684" t="s">
        <v>4790</v>
      </c>
      <c r="BK684" t="s">
        <v>4791</v>
      </c>
    </row>
    <row r="685" spans="1:63" x14ac:dyDescent="0.3">
      <c r="A685" t="s">
        <v>4792</v>
      </c>
      <c r="B685" t="s">
        <v>5</v>
      </c>
      <c r="C685" t="s">
        <v>4793</v>
      </c>
      <c r="D685" t="s">
        <v>4794</v>
      </c>
      <c r="E685" t="s">
        <v>4509</v>
      </c>
      <c r="F685">
        <v>727</v>
      </c>
      <c r="G685">
        <v>30.200000000000003</v>
      </c>
      <c r="H685">
        <v>54.8</v>
      </c>
      <c r="M685">
        <v>15</v>
      </c>
      <c r="AF685">
        <v>10.066884</v>
      </c>
      <c r="AI685" t="s">
        <v>0</v>
      </c>
      <c r="AJ685" t="s">
        <v>11</v>
      </c>
      <c r="AK685" t="s">
        <v>11</v>
      </c>
      <c r="AL685" t="s">
        <v>1176</v>
      </c>
      <c r="AM685" t="s">
        <v>11</v>
      </c>
      <c r="AN685" t="s">
        <v>4795</v>
      </c>
      <c r="AO685" t="s">
        <v>11</v>
      </c>
      <c r="AP685" t="s">
        <v>11</v>
      </c>
      <c r="AQ685" t="s">
        <v>11</v>
      </c>
      <c r="AR685" t="s">
        <v>11</v>
      </c>
      <c r="AS685" t="s">
        <v>11</v>
      </c>
      <c r="AT685" t="s">
        <v>11</v>
      </c>
      <c r="AU685" t="s">
        <v>11</v>
      </c>
      <c r="AV685" t="s">
        <v>11</v>
      </c>
      <c r="AW685" t="s">
        <v>11</v>
      </c>
      <c r="AX685" t="s">
        <v>11</v>
      </c>
      <c r="AY685" t="s">
        <v>11</v>
      </c>
      <c r="AZ685" t="s">
        <v>11</v>
      </c>
      <c r="BA685" t="s">
        <v>11</v>
      </c>
      <c r="BB685" t="s">
        <v>11</v>
      </c>
      <c r="BC685" t="s">
        <v>11</v>
      </c>
      <c r="BD685" t="s">
        <v>11</v>
      </c>
      <c r="BE685" t="s">
        <v>11</v>
      </c>
      <c r="BF685" t="s">
        <v>11</v>
      </c>
      <c r="BG685" t="s">
        <v>11</v>
      </c>
      <c r="BH685" t="s">
        <v>4796</v>
      </c>
      <c r="BI685" t="s">
        <v>4792</v>
      </c>
      <c r="BJ685" t="s">
        <v>4797</v>
      </c>
      <c r="BK685" t="s">
        <v>4798</v>
      </c>
    </row>
    <row r="686" spans="1:63" x14ac:dyDescent="0.3">
      <c r="A686" t="s">
        <v>4799</v>
      </c>
      <c r="B686" t="s">
        <v>5</v>
      </c>
      <c r="C686" t="s">
        <v>4800</v>
      </c>
      <c r="D686" t="s">
        <v>4801</v>
      </c>
      <c r="E686" t="s">
        <v>4509</v>
      </c>
      <c r="F686">
        <v>728</v>
      </c>
      <c r="G686">
        <v>24.200000000000003</v>
      </c>
      <c r="H686">
        <v>61.1</v>
      </c>
      <c r="M686">
        <v>14.7</v>
      </c>
      <c r="AF686">
        <v>10.044137999999998</v>
      </c>
      <c r="AI686" t="s">
        <v>0</v>
      </c>
      <c r="AJ686" t="s">
        <v>11</v>
      </c>
      <c r="AK686" t="s">
        <v>11</v>
      </c>
      <c r="AL686" t="s">
        <v>4802</v>
      </c>
      <c r="AM686" t="s">
        <v>11</v>
      </c>
      <c r="AN686" t="s">
        <v>4803</v>
      </c>
      <c r="AO686" t="s">
        <v>11</v>
      </c>
      <c r="AP686" t="s">
        <v>11</v>
      </c>
      <c r="AQ686" t="s">
        <v>11</v>
      </c>
      <c r="AR686" t="s">
        <v>11</v>
      </c>
      <c r="AS686" t="s">
        <v>11</v>
      </c>
      <c r="AT686" t="s">
        <v>11</v>
      </c>
      <c r="AU686" t="s">
        <v>11</v>
      </c>
      <c r="AV686" t="s">
        <v>11</v>
      </c>
      <c r="AW686" t="s">
        <v>11</v>
      </c>
      <c r="AX686" t="s">
        <v>11</v>
      </c>
      <c r="AY686" t="s">
        <v>11</v>
      </c>
      <c r="AZ686" t="s">
        <v>11</v>
      </c>
      <c r="BA686" t="s">
        <v>11</v>
      </c>
      <c r="BB686" t="s">
        <v>11</v>
      </c>
      <c r="BC686" t="s">
        <v>11</v>
      </c>
      <c r="BD686" t="s">
        <v>11</v>
      </c>
      <c r="BE686" t="s">
        <v>11</v>
      </c>
      <c r="BF686" t="s">
        <v>11</v>
      </c>
      <c r="BG686" t="s">
        <v>11</v>
      </c>
      <c r="BH686" t="s">
        <v>4804</v>
      </c>
      <c r="BI686" t="s">
        <v>4799</v>
      </c>
      <c r="BJ686" t="s">
        <v>4805</v>
      </c>
      <c r="BK686" t="s">
        <v>4806</v>
      </c>
    </row>
    <row r="687" spans="1:63" x14ac:dyDescent="0.3">
      <c r="A687" t="s">
        <v>4807</v>
      </c>
      <c r="B687" t="s">
        <v>5</v>
      </c>
      <c r="C687" t="s">
        <v>4808</v>
      </c>
      <c r="D687" t="s">
        <v>4809</v>
      </c>
      <c r="E687" t="s">
        <v>4509</v>
      </c>
      <c r="F687">
        <v>729</v>
      </c>
      <c r="G687">
        <v>19.5</v>
      </c>
      <c r="H687">
        <v>65.599999999999994</v>
      </c>
      <c r="M687">
        <v>14.9</v>
      </c>
      <c r="AF687">
        <v>10.059998</v>
      </c>
      <c r="AI687" t="s">
        <v>0</v>
      </c>
      <c r="AJ687" t="s">
        <v>11</v>
      </c>
      <c r="AK687" t="s">
        <v>11</v>
      </c>
      <c r="AL687" t="s">
        <v>4810</v>
      </c>
      <c r="AM687" t="s">
        <v>11</v>
      </c>
      <c r="AN687" t="s">
        <v>4811</v>
      </c>
      <c r="AO687" t="s">
        <v>11</v>
      </c>
      <c r="AP687" t="s">
        <v>11</v>
      </c>
      <c r="AQ687" t="s">
        <v>11</v>
      </c>
      <c r="AR687" t="s">
        <v>11</v>
      </c>
      <c r="AS687" t="s">
        <v>11</v>
      </c>
      <c r="AT687" t="s">
        <v>11</v>
      </c>
      <c r="AU687" t="s">
        <v>11</v>
      </c>
      <c r="AV687" t="s">
        <v>11</v>
      </c>
      <c r="AW687" t="s">
        <v>11</v>
      </c>
      <c r="AX687" t="s">
        <v>11</v>
      </c>
      <c r="AY687" t="s">
        <v>11</v>
      </c>
      <c r="AZ687" t="s">
        <v>11</v>
      </c>
      <c r="BA687" t="s">
        <v>11</v>
      </c>
      <c r="BB687" t="s">
        <v>11</v>
      </c>
      <c r="BC687" t="s">
        <v>11</v>
      </c>
      <c r="BD687" t="s">
        <v>11</v>
      </c>
      <c r="BE687" t="s">
        <v>11</v>
      </c>
      <c r="BF687" t="s">
        <v>11</v>
      </c>
      <c r="BG687" t="s">
        <v>11</v>
      </c>
      <c r="BH687" t="s">
        <v>4812</v>
      </c>
      <c r="BI687" t="s">
        <v>4807</v>
      </c>
      <c r="BJ687" t="s">
        <v>4813</v>
      </c>
      <c r="BK687" t="s">
        <v>4814</v>
      </c>
    </row>
    <row r="688" spans="1:63" x14ac:dyDescent="0.3">
      <c r="A688" t="s">
        <v>4815</v>
      </c>
      <c r="B688" t="s">
        <v>5</v>
      </c>
      <c r="C688" t="s">
        <v>4816</v>
      </c>
      <c r="D688" t="s">
        <v>4817</v>
      </c>
      <c r="E688" t="s">
        <v>4509</v>
      </c>
      <c r="F688">
        <v>730</v>
      </c>
      <c r="G688">
        <v>10.399999999999991</v>
      </c>
      <c r="H688">
        <v>74.900000000000006</v>
      </c>
      <c r="M688">
        <v>14.7</v>
      </c>
      <c r="AF688">
        <v>10.045242</v>
      </c>
      <c r="AI688" t="s">
        <v>0</v>
      </c>
      <c r="AJ688" t="s">
        <v>11</v>
      </c>
      <c r="AK688" t="s">
        <v>11</v>
      </c>
      <c r="AL688" t="s">
        <v>4818</v>
      </c>
      <c r="AM688" t="s">
        <v>11</v>
      </c>
      <c r="AN688" t="s">
        <v>4803</v>
      </c>
      <c r="AO688" t="s">
        <v>11</v>
      </c>
      <c r="AP688" t="s">
        <v>11</v>
      </c>
      <c r="AQ688" t="s">
        <v>11</v>
      </c>
      <c r="AR688" t="s">
        <v>11</v>
      </c>
      <c r="AS688" t="s">
        <v>11</v>
      </c>
      <c r="AT688" t="s">
        <v>11</v>
      </c>
      <c r="AU688" t="s">
        <v>11</v>
      </c>
      <c r="AV688" t="s">
        <v>11</v>
      </c>
      <c r="AW688" t="s">
        <v>11</v>
      </c>
      <c r="AX688" t="s">
        <v>11</v>
      </c>
      <c r="AY688" t="s">
        <v>11</v>
      </c>
      <c r="AZ688" t="s">
        <v>11</v>
      </c>
      <c r="BA688" t="s">
        <v>11</v>
      </c>
      <c r="BB688" t="s">
        <v>11</v>
      </c>
      <c r="BC688" t="s">
        <v>11</v>
      </c>
      <c r="BD688" t="s">
        <v>11</v>
      </c>
      <c r="BE688" t="s">
        <v>11</v>
      </c>
      <c r="BF688" t="s">
        <v>11</v>
      </c>
      <c r="BG688" t="s">
        <v>11</v>
      </c>
      <c r="BH688" t="s">
        <v>4819</v>
      </c>
      <c r="BI688" t="s">
        <v>4815</v>
      </c>
      <c r="BJ688" t="s">
        <v>4820</v>
      </c>
      <c r="BK688" t="s">
        <v>4821</v>
      </c>
    </row>
    <row r="689" spans="1:63" x14ac:dyDescent="0.3">
      <c r="A689" t="s">
        <v>4822</v>
      </c>
      <c r="B689" t="s">
        <v>160</v>
      </c>
      <c r="C689" t="s">
        <v>4823</v>
      </c>
      <c r="D689" t="s">
        <v>2552</v>
      </c>
      <c r="E689" t="s">
        <v>4824</v>
      </c>
      <c r="F689">
        <v>732</v>
      </c>
      <c r="G689">
        <v>76</v>
      </c>
      <c r="I689">
        <v>7</v>
      </c>
      <c r="J689">
        <v>4</v>
      </c>
      <c r="K689">
        <v>7</v>
      </c>
      <c r="L689">
        <v>4</v>
      </c>
      <c r="M689">
        <v>2</v>
      </c>
      <c r="AF689">
        <v>9.1013799999999989</v>
      </c>
      <c r="AI689" t="s">
        <v>0</v>
      </c>
      <c r="AJ689" t="s">
        <v>1358</v>
      </c>
      <c r="AK689" t="s">
        <v>538</v>
      </c>
      <c r="AL689" t="s">
        <v>11</v>
      </c>
      <c r="AM689" t="s">
        <v>963</v>
      </c>
      <c r="AN689" t="s">
        <v>24</v>
      </c>
      <c r="AO689" t="s">
        <v>11</v>
      </c>
      <c r="AP689" t="s">
        <v>11</v>
      </c>
      <c r="AQ689" t="s">
        <v>1659</v>
      </c>
      <c r="AR689" t="s">
        <v>11</v>
      </c>
      <c r="AS689" t="s">
        <v>11</v>
      </c>
      <c r="AT689" t="s">
        <v>11</v>
      </c>
      <c r="AU689" t="s">
        <v>11</v>
      </c>
      <c r="AV689" t="s">
        <v>11</v>
      </c>
      <c r="AW689" t="s">
        <v>11</v>
      </c>
      <c r="AX689" t="s">
        <v>11</v>
      </c>
      <c r="AY689" t="s">
        <v>11</v>
      </c>
      <c r="AZ689" t="s">
        <v>11</v>
      </c>
      <c r="BA689" t="s">
        <v>11</v>
      </c>
      <c r="BB689" t="s">
        <v>11</v>
      </c>
      <c r="BC689" t="s">
        <v>11</v>
      </c>
      <c r="BD689" t="s">
        <v>11</v>
      </c>
      <c r="BE689" t="s">
        <v>11</v>
      </c>
      <c r="BF689" t="s">
        <v>11</v>
      </c>
      <c r="BG689" t="s">
        <v>11</v>
      </c>
      <c r="BH689" t="s">
        <v>4825</v>
      </c>
      <c r="BI689" t="s">
        <v>4822</v>
      </c>
      <c r="BJ689" t="s">
        <v>4826</v>
      </c>
      <c r="BK689" t="s">
        <v>4827</v>
      </c>
    </row>
    <row r="690" spans="1:63" x14ac:dyDescent="0.3">
      <c r="A690" t="s">
        <v>4828</v>
      </c>
      <c r="B690" t="s">
        <v>160</v>
      </c>
      <c r="C690" t="s">
        <v>4829</v>
      </c>
      <c r="D690" t="s">
        <v>4830</v>
      </c>
      <c r="E690" t="s">
        <v>4824</v>
      </c>
      <c r="F690">
        <v>733</v>
      </c>
      <c r="G690">
        <v>80</v>
      </c>
      <c r="I690">
        <v>7</v>
      </c>
      <c r="K690">
        <v>6</v>
      </c>
      <c r="L690">
        <v>4</v>
      </c>
      <c r="M690">
        <v>2</v>
      </c>
      <c r="P690">
        <v>1</v>
      </c>
      <c r="AF690">
        <v>9.0800799999999988</v>
      </c>
      <c r="AI690" t="s">
        <v>0</v>
      </c>
      <c r="AJ690" t="s">
        <v>1358</v>
      </c>
      <c r="AK690" t="s">
        <v>2128</v>
      </c>
      <c r="AL690" t="s">
        <v>11</v>
      </c>
      <c r="AM690" t="s">
        <v>11</v>
      </c>
      <c r="AN690" t="s">
        <v>24</v>
      </c>
      <c r="AO690" t="s">
        <v>11</v>
      </c>
      <c r="AP690" t="s">
        <v>11</v>
      </c>
      <c r="AQ690" t="s">
        <v>1659</v>
      </c>
      <c r="AR690" t="s">
        <v>1561</v>
      </c>
      <c r="AS690" t="s">
        <v>11</v>
      </c>
      <c r="AT690" t="s">
        <v>11</v>
      </c>
      <c r="AU690" t="s">
        <v>11</v>
      </c>
      <c r="AV690" t="s">
        <v>11</v>
      </c>
      <c r="AW690" t="s">
        <v>11</v>
      </c>
      <c r="AX690" t="s">
        <v>11</v>
      </c>
      <c r="AY690" t="s">
        <v>11</v>
      </c>
      <c r="AZ690" t="s">
        <v>11</v>
      </c>
      <c r="BA690" t="s">
        <v>11</v>
      </c>
      <c r="BB690" t="s">
        <v>11</v>
      </c>
      <c r="BC690" t="s">
        <v>11</v>
      </c>
      <c r="BD690" t="s">
        <v>11</v>
      </c>
      <c r="BE690" t="s">
        <v>11</v>
      </c>
      <c r="BF690" t="s">
        <v>11</v>
      </c>
      <c r="BG690" t="s">
        <v>11</v>
      </c>
      <c r="BH690" t="s">
        <v>4831</v>
      </c>
      <c r="BI690" t="s">
        <v>4828</v>
      </c>
      <c r="BJ690" t="s">
        <v>4832</v>
      </c>
      <c r="BK690" t="s">
        <v>4833</v>
      </c>
    </row>
    <row r="691" spans="1:63" x14ac:dyDescent="0.3">
      <c r="A691" t="s">
        <v>4834</v>
      </c>
      <c r="B691" t="s">
        <v>160</v>
      </c>
      <c r="C691" t="s">
        <v>4835</v>
      </c>
      <c r="D691" t="s">
        <v>4836</v>
      </c>
      <c r="E691" t="s">
        <v>4824</v>
      </c>
      <c r="F691">
        <v>734</v>
      </c>
      <c r="G691">
        <v>80</v>
      </c>
      <c r="I691">
        <v>7</v>
      </c>
      <c r="K691">
        <v>6</v>
      </c>
      <c r="L691">
        <v>4</v>
      </c>
      <c r="M691">
        <v>2</v>
      </c>
      <c r="N691">
        <v>1</v>
      </c>
      <c r="AF691">
        <v>9.0629799999999996</v>
      </c>
      <c r="AI691" t="s">
        <v>0</v>
      </c>
      <c r="AJ691" t="s">
        <v>1358</v>
      </c>
      <c r="AK691" t="s">
        <v>2128</v>
      </c>
      <c r="AL691" t="s">
        <v>11</v>
      </c>
      <c r="AM691" t="s">
        <v>11</v>
      </c>
      <c r="AN691" t="s">
        <v>24</v>
      </c>
      <c r="AO691" t="s">
        <v>75</v>
      </c>
      <c r="AP691" t="s">
        <v>11</v>
      </c>
      <c r="AQ691" t="s">
        <v>1659</v>
      </c>
      <c r="AR691" t="s">
        <v>11</v>
      </c>
      <c r="AS691" t="s">
        <v>11</v>
      </c>
      <c r="AT691" t="s">
        <v>11</v>
      </c>
      <c r="AU691" t="s">
        <v>11</v>
      </c>
      <c r="AV691" t="s">
        <v>11</v>
      </c>
      <c r="AW691" t="s">
        <v>11</v>
      </c>
      <c r="AX691" t="s">
        <v>11</v>
      </c>
      <c r="AY691" t="s">
        <v>11</v>
      </c>
      <c r="AZ691" t="s">
        <v>11</v>
      </c>
      <c r="BA691" t="s">
        <v>11</v>
      </c>
      <c r="BB691" t="s">
        <v>11</v>
      </c>
      <c r="BC691" t="s">
        <v>11</v>
      </c>
      <c r="BD691" t="s">
        <v>11</v>
      </c>
      <c r="BE691" t="s">
        <v>11</v>
      </c>
      <c r="BF691" t="s">
        <v>11</v>
      </c>
      <c r="BG691" t="s">
        <v>11</v>
      </c>
      <c r="BH691" t="s">
        <v>4837</v>
      </c>
      <c r="BI691" t="s">
        <v>4834</v>
      </c>
      <c r="BJ691" t="s">
        <v>4838</v>
      </c>
      <c r="BK691" t="s">
        <v>4839</v>
      </c>
    </row>
    <row r="692" spans="1:63" x14ac:dyDescent="0.3">
      <c r="A692" t="s">
        <v>4840</v>
      </c>
      <c r="B692" t="s">
        <v>160</v>
      </c>
      <c r="C692" t="s">
        <v>4841</v>
      </c>
      <c r="D692" t="s">
        <v>4842</v>
      </c>
      <c r="E692" t="s">
        <v>4824</v>
      </c>
      <c r="F692">
        <v>735</v>
      </c>
      <c r="G692">
        <v>79</v>
      </c>
      <c r="I692">
        <v>7</v>
      </c>
      <c r="K692">
        <v>7</v>
      </c>
      <c r="L692">
        <v>4</v>
      </c>
      <c r="M692">
        <v>2</v>
      </c>
      <c r="O692">
        <v>1</v>
      </c>
      <c r="AF692">
        <v>9.1418800000000005</v>
      </c>
      <c r="AI692" t="s">
        <v>0</v>
      </c>
      <c r="AJ692" t="s">
        <v>1358</v>
      </c>
      <c r="AK692" t="s">
        <v>538</v>
      </c>
      <c r="AL692" t="s">
        <v>11</v>
      </c>
      <c r="AM692" t="s">
        <v>11</v>
      </c>
      <c r="AN692" t="s">
        <v>24</v>
      </c>
      <c r="AO692" t="s">
        <v>11</v>
      </c>
      <c r="AP692" t="s">
        <v>4843</v>
      </c>
      <c r="AQ692" t="s">
        <v>1659</v>
      </c>
      <c r="AR692" t="s">
        <v>11</v>
      </c>
      <c r="AS692" t="s">
        <v>11</v>
      </c>
      <c r="AT692" t="s">
        <v>11</v>
      </c>
      <c r="AU692" t="s">
        <v>11</v>
      </c>
      <c r="AV692" t="s">
        <v>11</v>
      </c>
      <c r="AW692" t="s">
        <v>11</v>
      </c>
      <c r="AX692" t="s">
        <v>11</v>
      </c>
      <c r="AY692" t="s">
        <v>11</v>
      </c>
      <c r="AZ692" t="s">
        <v>11</v>
      </c>
      <c r="BA692" t="s">
        <v>11</v>
      </c>
      <c r="BB692" t="s">
        <v>11</v>
      </c>
      <c r="BC692" t="s">
        <v>11</v>
      </c>
      <c r="BD692" t="s">
        <v>11</v>
      </c>
      <c r="BE692" t="s">
        <v>11</v>
      </c>
      <c r="BF692" t="s">
        <v>11</v>
      </c>
      <c r="BG692" t="s">
        <v>11</v>
      </c>
      <c r="BH692" t="s">
        <v>4844</v>
      </c>
      <c r="BI692" t="s">
        <v>4840</v>
      </c>
      <c r="BJ692" t="s">
        <v>4845</v>
      </c>
      <c r="BK692" t="s">
        <v>4846</v>
      </c>
    </row>
    <row r="693" spans="1:63" x14ac:dyDescent="0.3">
      <c r="A693" t="s">
        <v>4847</v>
      </c>
      <c r="B693" t="s">
        <v>160</v>
      </c>
      <c r="C693" t="s">
        <v>4848</v>
      </c>
      <c r="D693" t="s">
        <v>4849</v>
      </c>
      <c r="E693" t="s">
        <v>4824</v>
      </c>
      <c r="F693">
        <v>736</v>
      </c>
      <c r="G693">
        <v>60</v>
      </c>
      <c r="H693">
        <v>20</v>
      </c>
      <c r="I693">
        <v>7</v>
      </c>
      <c r="K693">
        <v>7</v>
      </c>
      <c r="L693">
        <v>4</v>
      </c>
      <c r="M693">
        <v>2</v>
      </c>
      <c r="AF693">
        <v>9.1713799999999992</v>
      </c>
      <c r="AI693" t="s">
        <v>0</v>
      </c>
      <c r="AJ693" t="s">
        <v>1358</v>
      </c>
      <c r="AK693" t="s">
        <v>538</v>
      </c>
      <c r="AL693" t="s">
        <v>834</v>
      </c>
      <c r="AM693" t="s">
        <v>11</v>
      </c>
      <c r="AN693" t="s">
        <v>24</v>
      </c>
      <c r="AO693" t="s">
        <v>11</v>
      </c>
      <c r="AP693" t="s">
        <v>11</v>
      </c>
      <c r="AQ693" t="s">
        <v>1659</v>
      </c>
      <c r="AR693" t="s">
        <v>11</v>
      </c>
      <c r="AS693" t="s">
        <v>11</v>
      </c>
      <c r="AT693" t="s">
        <v>11</v>
      </c>
      <c r="AU693" t="s">
        <v>11</v>
      </c>
      <c r="AV693" t="s">
        <v>11</v>
      </c>
      <c r="AW693" t="s">
        <v>11</v>
      </c>
      <c r="AX693" t="s">
        <v>11</v>
      </c>
      <c r="AY693" t="s">
        <v>11</v>
      </c>
      <c r="AZ693" t="s">
        <v>11</v>
      </c>
      <c r="BA693" t="s">
        <v>11</v>
      </c>
      <c r="BB693" t="s">
        <v>11</v>
      </c>
      <c r="BC693" t="s">
        <v>11</v>
      </c>
      <c r="BD693" t="s">
        <v>11</v>
      </c>
      <c r="BE693" t="s">
        <v>11</v>
      </c>
      <c r="BF693" t="s">
        <v>11</v>
      </c>
      <c r="BG693" t="s">
        <v>11</v>
      </c>
      <c r="BH693" t="s">
        <v>4850</v>
      </c>
      <c r="BI693" t="s">
        <v>4847</v>
      </c>
      <c r="BJ693" t="s">
        <v>4851</v>
      </c>
      <c r="BK693" t="s">
        <v>4852</v>
      </c>
    </row>
    <row r="694" spans="1:63" x14ac:dyDescent="0.3">
      <c r="A694" t="s">
        <v>4853</v>
      </c>
      <c r="B694" t="s">
        <v>160</v>
      </c>
      <c r="C694" t="s">
        <v>4854</v>
      </c>
      <c r="D694" t="s">
        <v>4855</v>
      </c>
      <c r="E694" t="s">
        <v>4856</v>
      </c>
      <c r="F694">
        <v>740</v>
      </c>
      <c r="G694">
        <v>79.61</v>
      </c>
      <c r="I694">
        <v>7.98</v>
      </c>
      <c r="K694">
        <v>7.08</v>
      </c>
      <c r="L694">
        <v>4.22</v>
      </c>
      <c r="M694">
        <v>1.1100000000000001</v>
      </c>
      <c r="AF694">
        <v>9.0386603999999995</v>
      </c>
      <c r="AH694" t="s">
        <v>3887</v>
      </c>
      <c r="AI694" t="s">
        <v>0</v>
      </c>
      <c r="AJ694" t="s">
        <v>164</v>
      </c>
      <c r="AK694" t="s">
        <v>1468</v>
      </c>
      <c r="AL694" t="s">
        <v>11</v>
      </c>
      <c r="AM694" t="s">
        <v>11</v>
      </c>
      <c r="AN694" t="s">
        <v>2535</v>
      </c>
      <c r="AO694" t="s">
        <v>11</v>
      </c>
      <c r="AP694" t="s">
        <v>11</v>
      </c>
      <c r="AQ694" t="s">
        <v>2099</v>
      </c>
      <c r="AR694" t="s">
        <v>11</v>
      </c>
      <c r="AS694" t="s">
        <v>11</v>
      </c>
      <c r="AT694" t="s">
        <v>11</v>
      </c>
      <c r="AU694" t="s">
        <v>11</v>
      </c>
      <c r="AV694" t="s">
        <v>11</v>
      </c>
      <c r="AW694" t="s">
        <v>11</v>
      </c>
      <c r="AX694" t="s">
        <v>11</v>
      </c>
      <c r="AY694" t="s">
        <v>11</v>
      </c>
      <c r="AZ694" t="s">
        <v>11</v>
      </c>
      <c r="BA694" t="s">
        <v>11</v>
      </c>
      <c r="BB694" t="s">
        <v>11</v>
      </c>
      <c r="BC694" t="s">
        <v>11</v>
      </c>
      <c r="BD694" t="s">
        <v>11</v>
      </c>
      <c r="BE694" t="s">
        <v>11</v>
      </c>
      <c r="BF694" t="s">
        <v>11</v>
      </c>
      <c r="BG694" t="s">
        <v>11</v>
      </c>
      <c r="BH694" t="s">
        <v>4857</v>
      </c>
      <c r="BI694" t="s">
        <v>4853</v>
      </c>
      <c r="BJ694" t="s">
        <v>4858</v>
      </c>
      <c r="BK694" t="s">
        <v>4859</v>
      </c>
    </row>
    <row r="695" spans="1:63" x14ac:dyDescent="0.3">
      <c r="A695" t="s">
        <v>4860</v>
      </c>
      <c r="B695" t="s">
        <v>160</v>
      </c>
      <c r="C695" t="s">
        <v>2119</v>
      </c>
      <c r="D695" t="s">
        <v>4861</v>
      </c>
      <c r="E695" t="s">
        <v>4862</v>
      </c>
      <c r="F695">
        <v>741</v>
      </c>
      <c r="G695">
        <v>79.7</v>
      </c>
      <c r="I695">
        <v>7.11</v>
      </c>
      <c r="K695">
        <v>8.23</v>
      </c>
      <c r="L695">
        <v>4.01</v>
      </c>
      <c r="M695">
        <v>0.95</v>
      </c>
      <c r="AF695">
        <v>9.2084507000000002</v>
      </c>
      <c r="AI695" t="s">
        <v>0</v>
      </c>
      <c r="AJ695" t="s">
        <v>1160</v>
      </c>
      <c r="AK695" t="s">
        <v>2798</v>
      </c>
      <c r="AL695" t="s">
        <v>11</v>
      </c>
      <c r="AM695" t="s">
        <v>11</v>
      </c>
      <c r="AN695" t="s">
        <v>471</v>
      </c>
      <c r="AO695" t="s">
        <v>11</v>
      </c>
      <c r="AP695" t="s">
        <v>11</v>
      </c>
      <c r="AQ695" t="s">
        <v>1659</v>
      </c>
      <c r="AR695" t="s">
        <v>11</v>
      </c>
      <c r="AS695" t="s">
        <v>11</v>
      </c>
      <c r="AT695" t="s">
        <v>11</v>
      </c>
      <c r="AU695" t="s">
        <v>11</v>
      </c>
      <c r="AV695" t="s">
        <v>11</v>
      </c>
      <c r="AW695" t="s">
        <v>11</v>
      </c>
      <c r="AX695" t="s">
        <v>11</v>
      </c>
      <c r="AY695" t="s">
        <v>11</v>
      </c>
      <c r="AZ695" t="s">
        <v>11</v>
      </c>
      <c r="BA695" t="s">
        <v>11</v>
      </c>
      <c r="BB695" t="s">
        <v>11</v>
      </c>
      <c r="BC695" t="s">
        <v>11</v>
      </c>
      <c r="BD695" t="s">
        <v>11</v>
      </c>
      <c r="BE695" t="s">
        <v>11</v>
      </c>
      <c r="BF695" t="s">
        <v>11</v>
      </c>
      <c r="BG695" t="s">
        <v>11</v>
      </c>
      <c r="BH695" t="s">
        <v>4863</v>
      </c>
      <c r="BI695" t="s">
        <v>4860</v>
      </c>
      <c r="BJ695" t="s">
        <v>4864</v>
      </c>
      <c r="BK695" t="s">
        <v>4865</v>
      </c>
    </row>
    <row r="696" spans="1:63" x14ac:dyDescent="0.3">
      <c r="A696" t="s">
        <v>4866</v>
      </c>
      <c r="B696" t="s">
        <v>95</v>
      </c>
      <c r="C696" t="s">
        <v>3946</v>
      </c>
      <c r="D696" t="s">
        <v>4867</v>
      </c>
      <c r="E696" t="s">
        <v>4862</v>
      </c>
      <c r="F696">
        <v>742</v>
      </c>
      <c r="G696">
        <v>81.02</v>
      </c>
      <c r="I696">
        <v>6.69</v>
      </c>
      <c r="K696">
        <v>8.2899999999999991</v>
      </c>
      <c r="L696">
        <v>4</v>
      </c>
      <c r="AF696">
        <v>9.1675149999999999</v>
      </c>
      <c r="AI696" t="s">
        <v>0</v>
      </c>
      <c r="AJ696" t="s">
        <v>1624</v>
      </c>
      <c r="AK696" t="s">
        <v>3088</v>
      </c>
      <c r="AL696" t="s">
        <v>11</v>
      </c>
      <c r="AM696" t="s">
        <v>11</v>
      </c>
      <c r="AN696" t="s">
        <v>11</v>
      </c>
      <c r="AO696" t="s">
        <v>11</v>
      </c>
      <c r="AP696" t="s">
        <v>11</v>
      </c>
      <c r="AQ696" t="s">
        <v>1659</v>
      </c>
      <c r="AR696" t="s">
        <v>11</v>
      </c>
      <c r="AS696" t="s">
        <v>11</v>
      </c>
      <c r="AT696" t="s">
        <v>11</v>
      </c>
      <c r="AU696" t="s">
        <v>11</v>
      </c>
      <c r="AV696" t="s">
        <v>11</v>
      </c>
      <c r="AW696" t="s">
        <v>11</v>
      </c>
      <c r="AX696" t="s">
        <v>11</v>
      </c>
      <c r="AY696" t="s">
        <v>11</v>
      </c>
      <c r="AZ696" t="s">
        <v>11</v>
      </c>
      <c r="BA696" t="s">
        <v>11</v>
      </c>
      <c r="BB696" t="s">
        <v>11</v>
      </c>
      <c r="BC696" t="s">
        <v>11</v>
      </c>
      <c r="BD696" t="s">
        <v>11</v>
      </c>
      <c r="BE696" t="s">
        <v>11</v>
      </c>
      <c r="BF696" t="s">
        <v>11</v>
      </c>
      <c r="BG696" t="s">
        <v>11</v>
      </c>
      <c r="BH696" t="s">
        <v>4868</v>
      </c>
      <c r="BI696" t="s">
        <v>4866</v>
      </c>
      <c r="BJ696" t="s">
        <v>4869</v>
      </c>
      <c r="BK696" t="s">
        <v>4870</v>
      </c>
    </row>
    <row r="697" spans="1:63" x14ac:dyDescent="0.3">
      <c r="A697" t="s">
        <v>4871</v>
      </c>
      <c r="B697" t="s">
        <v>95</v>
      </c>
      <c r="C697" t="s">
        <v>3971</v>
      </c>
      <c r="D697" t="s">
        <v>4872</v>
      </c>
      <c r="E697" t="s">
        <v>4862</v>
      </c>
      <c r="F697">
        <v>743</v>
      </c>
      <c r="G697">
        <v>84.42</v>
      </c>
      <c r="I697">
        <v>7.24</v>
      </c>
      <c r="K697">
        <v>8.34</v>
      </c>
      <c r="AF697">
        <v>9.3143100000000008</v>
      </c>
      <c r="AI697" t="s">
        <v>0</v>
      </c>
      <c r="AJ697" t="s">
        <v>4007</v>
      </c>
      <c r="AK697" t="s">
        <v>3088</v>
      </c>
      <c r="AL697" t="s">
        <v>11</v>
      </c>
      <c r="AM697" t="s">
        <v>11</v>
      </c>
      <c r="AN697" t="s">
        <v>11</v>
      </c>
      <c r="AO697" t="s">
        <v>11</v>
      </c>
      <c r="AP697" t="s">
        <v>11</v>
      </c>
      <c r="AQ697" t="s">
        <v>11</v>
      </c>
      <c r="AR697" t="s">
        <v>11</v>
      </c>
      <c r="AS697" t="s">
        <v>11</v>
      </c>
      <c r="AT697" t="s">
        <v>11</v>
      </c>
      <c r="AU697" t="s">
        <v>11</v>
      </c>
      <c r="AV697" t="s">
        <v>11</v>
      </c>
      <c r="AW697" t="s">
        <v>11</v>
      </c>
      <c r="AX697" t="s">
        <v>11</v>
      </c>
      <c r="AY697" t="s">
        <v>11</v>
      </c>
      <c r="AZ697" t="s">
        <v>11</v>
      </c>
      <c r="BA697" t="s">
        <v>11</v>
      </c>
      <c r="BB697" t="s">
        <v>11</v>
      </c>
      <c r="BC697" t="s">
        <v>11</v>
      </c>
      <c r="BD697" t="s">
        <v>11</v>
      </c>
      <c r="BE697" t="s">
        <v>11</v>
      </c>
      <c r="BF697" t="s">
        <v>11</v>
      </c>
      <c r="BG697" t="s">
        <v>11</v>
      </c>
      <c r="BH697" t="s">
        <v>4873</v>
      </c>
      <c r="BI697" t="s">
        <v>4871</v>
      </c>
      <c r="BJ697" t="s">
        <v>4874</v>
      </c>
      <c r="BK697" t="s">
        <v>4875</v>
      </c>
    </row>
    <row r="698" spans="1:63" x14ac:dyDescent="0.3">
      <c r="A698" t="s">
        <v>4876</v>
      </c>
      <c r="B698" t="s">
        <v>160</v>
      </c>
      <c r="C698" t="s">
        <v>3977</v>
      </c>
      <c r="D698" t="s">
        <v>4877</v>
      </c>
      <c r="E698" t="s">
        <v>4862</v>
      </c>
      <c r="F698">
        <v>744</v>
      </c>
      <c r="G698">
        <v>83.81</v>
      </c>
      <c r="I698">
        <v>7.04</v>
      </c>
      <c r="K698">
        <v>8.23</v>
      </c>
      <c r="M698">
        <v>0.92</v>
      </c>
      <c r="AF698">
        <v>9.3866250000000022</v>
      </c>
      <c r="AI698" t="s">
        <v>0</v>
      </c>
      <c r="AJ698" t="s">
        <v>1358</v>
      </c>
      <c r="AK698" t="s">
        <v>2798</v>
      </c>
      <c r="AL698" t="s">
        <v>11</v>
      </c>
      <c r="AM698" t="s">
        <v>11</v>
      </c>
      <c r="AN698" t="s">
        <v>1266</v>
      </c>
      <c r="AO698" t="s">
        <v>11</v>
      </c>
      <c r="AP698" t="s">
        <v>11</v>
      </c>
      <c r="AQ698" t="s">
        <v>11</v>
      </c>
      <c r="AR698" t="s">
        <v>11</v>
      </c>
      <c r="AS698" t="s">
        <v>11</v>
      </c>
      <c r="AT698" t="s">
        <v>11</v>
      </c>
      <c r="AU698" t="s">
        <v>11</v>
      </c>
      <c r="AV698" t="s">
        <v>11</v>
      </c>
      <c r="AW698" t="s">
        <v>11</v>
      </c>
      <c r="AX698" t="s">
        <v>11</v>
      </c>
      <c r="AY698" t="s">
        <v>11</v>
      </c>
      <c r="AZ698" t="s">
        <v>11</v>
      </c>
      <c r="BA698" t="s">
        <v>11</v>
      </c>
      <c r="BB698" t="s">
        <v>11</v>
      </c>
      <c r="BC698" t="s">
        <v>11</v>
      </c>
      <c r="BD698" t="s">
        <v>11</v>
      </c>
      <c r="BE698" t="s">
        <v>11</v>
      </c>
      <c r="BF698" t="s">
        <v>11</v>
      </c>
      <c r="BG698" t="s">
        <v>11</v>
      </c>
      <c r="BH698" t="s">
        <v>4878</v>
      </c>
      <c r="BI698" t="s">
        <v>4876</v>
      </c>
      <c r="BJ698" t="s">
        <v>4879</v>
      </c>
      <c r="BK698" t="s">
        <v>4880</v>
      </c>
    </row>
    <row r="699" spans="1:63" x14ac:dyDescent="0.3">
      <c r="A699" t="s">
        <v>4881</v>
      </c>
      <c r="B699" t="s">
        <v>31</v>
      </c>
      <c r="C699" t="s">
        <v>4882</v>
      </c>
      <c r="D699" t="s">
        <v>4883</v>
      </c>
      <c r="E699" t="s">
        <v>4884</v>
      </c>
      <c r="F699">
        <v>745</v>
      </c>
      <c r="G699">
        <v>76</v>
      </c>
      <c r="I699">
        <v>8</v>
      </c>
      <c r="J699">
        <v>14</v>
      </c>
      <c r="K699">
        <v>2</v>
      </c>
      <c r="AF699">
        <v>8.371599999999999</v>
      </c>
      <c r="AG699">
        <v>8.4</v>
      </c>
      <c r="AI699" t="s">
        <v>0</v>
      </c>
      <c r="AJ699" t="s">
        <v>164</v>
      </c>
      <c r="AK699" t="s">
        <v>62</v>
      </c>
      <c r="AL699" t="s">
        <v>11</v>
      </c>
      <c r="AM699" t="s">
        <v>4885</v>
      </c>
      <c r="AN699" t="s">
        <v>11</v>
      </c>
      <c r="AO699" t="s">
        <v>11</v>
      </c>
      <c r="AP699" t="s">
        <v>11</v>
      </c>
      <c r="AQ699" t="s">
        <v>11</v>
      </c>
      <c r="AR699" t="s">
        <v>11</v>
      </c>
      <c r="AS699" t="s">
        <v>11</v>
      </c>
      <c r="AT699" t="s">
        <v>11</v>
      </c>
      <c r="AU699" t="s">
        <v>11</v>
      </c>
      <c r="AV699" t="s">
        <v>11</v>
      </c>
      <c r="AW699" t="s">
        <v>11</v>
      </c>
      <c r="AX699" t="s">
        <v>11</v>
      </c>
      <c r="AY699" t="s">
        <v>11</v>
      </c>
      <c r="AZ699" t="s">
        <v>11</v>
      </c>
      <c r="BA699" t="s">
        <v>11</v>
      </c>
      <c r="BB699" t="s">
        <v>11</v>
      </c>
      <c r="BC699" t="s">
        <v>11</v>
      </c>
      <c r="BD699" t="s">
        <v>11</v>
      </c>
      <c r="BE699" t="s">
        <v>11</v>
      </c>
      <c r="BF699" t="s">
        <v>11</v>
      </c>
      <c r="BG699" t="s">
        <v>11</v>
      </c>
      <c r="BH699" t="s">
        <v>4886</v>
      </c>
      <c r="BI699" t="s">
        <v>4881</v>
      </c>
      <c r="BJ699" t="s">
        <v>4887</v>
      </c>
      <c r="BK699" t="s">
        <v>4888</v>
      </c>
    </row>
    <row r="700" spans="1:63" x14ac:dyDescent="0.3">
      <c r="A700" t="s">
        <v>4889</v>
      </c>
      <c r="B700" t="s">
        <v>160</v>
      </c>
      <c r="C700" t="s">
        <v>4890</v>
      </c>
      <c r="D700" t="s">
        <v>4891</v>
      </c>
      <c r="E700" t="s">
        <v>4892</v>
      </c>
      <c r="F700">
        <v>746</v>
      </c>
      <c r="G700">
        <v>48</v>
      </c>
      <c r="H700">
        <v>30</v>
      </c>
      <c r="I700">
        <v>8</v>
      </c>
      <c r="K700">
        <v>6</v>
      </c>
      <c r="L700">
        <v>4</v>
      </c>
      <c r="M700">
        <v>2</v>
      </c>
      <c r="N700">
        <v>1</v>
      </c>
      <c r="O700">
        <v>1</v>
      </c>
      <c r="AF700">
        <v>8.975480000000001</v>
      </c>
      <c r="AI700" t="s">
        <v>0</v>
      </c>
      <c r="AJ700" t="s">
        <v>164</v>
      </c>
      <c r="AK700" t="s">
        <v>2128</v>
      </c>
      <c r="AL700" t="s">
        <v>23</v>
      </c>
      <c r="AM700" t="s">
        <v>11</v>
      </c>
      <c r="AN700" t="s">
        <v>24</v>
      </c>
      <c r="AO700" t="s">
        <v>75</v>
      </c>
      <c r="AP700" t="s">
        <v>4843</v>
      </c>
      <c r="AQ700" t="s">
        <v>1659</v>
      </c>
      <c r="AR700" t="s">
        <v>11</v>
      </c>
      <c r="AS700" t="s">
        <v>11</v>
      </c>
      <c r="AT700" t="s">
        <v>11</v>
      </c>
      <c r="AU700" t="s">
        <v>11</v>
      </c>
      <c r="AV700" t="s">
        <v>11</v>
      </c>
      <c r="AW700" t="s">
        <v>11</v>
      </c>
      <c r="AX700" t="s">
        <v>11</v>
      </c>
      <c r="AY700" t="s">
        <v>11</v>
      </c>
      <c r="AZ700" t="s">
        <v>11</v>
      </c>
      <c r="BA700" t="s">
        <v>11</v>
      </c>
      <c r="BB700" t="s">
        <v>11</v>
      </c>
      <c r="BC700" t="s">
        <v>11</v>
      </c>
      <c r="BD700" t="s">
        <v>11</v>
      </c>
      <c r="BE700" t="s">
        <v>11</v>
      </c>
      <c r="BF700" t="s">
        <v>11</v>
      </c>
      <c r="BG700" t="s">
        <v>11</v>
      </c>
      <c r="BH700" t="s">
        <v>4893</v>
      </c>
      <c r="BI700" t="s">
        <v>4889</v>
      </c>
      <c r="BJ700" t="s">
        <v>4894</v>
      </c>
      <c r="BK700" t="s">
        <v>4895</v>
      </c>
    </row>
    <row r="701" spans="1:63" x14ac:dyDescent="0.3">
      <c r="A701" t="s">
        <v>4896</v>
      </c>
      <c r="B701" t="s">
        <v>160</v>
      </c>
      <c r="C701" t="s">
        <v>4897</v>
      </c>
      <c r="D701" t="s">
        <v>4898</v>
      </c>
      <c r="E701" t="s">
        <v>4892</v>
      </c>
      <c r="F701">
        <v>747</v>
      </c>
      <c r="G701">
        <v>48</v>
      </c>
      <c r="H701">
        <v>30</v>
      </c>
      <c r="I701">
        <v>9</v>
      </c>
      <c r="K701">
        <v>6</v>
      </c>
      <c r="L701">
        <v>4</v>
      </c>
      <c r="M701">
        <v>2</v>
      </c>
      <c r="O701">
        <v>1</v>
      </c>
      <c r="AF701">
        <v>8.9167799999999993</v>
      </c>
      <c r="AI701" t="s">
        <v>0</v>
      </c>
      <c r="AJ701" t="s">
        <v>128</v>
      </c>
      <c r="AK701" t="s">
        <v>2128</v>
      </c>
      <c r="AL701" t="s">
        <v>23</v>
      </c>
      <c r="AM701" t="s">
        <v>11</v>
      </c>
      <c r="AN701" t="s">
        <v>24</v>
      </c>
      <c r="AO701" t="s">
        <v>11</v>
      </c>
      <c r="AP701" t="s">
        <v>4843</v>
      </c>
      <c r="AQ701" t="s">
        <v>1659</v>
      </c>
      <c r="AR701" t="s">
        <v>11</v>
      </c>
      <c r="AS701" t="s">
        <v>11</v>
      </c>
      <c r="AT701" t="s">
        <v>11</v>
      </c>
      <c r="AU701" t="s">
        <v>11</v>
      </c>
      <c r="AV701" t="s">
        <v>11</v>
      </c>
      <c r="AW701" t="s">
        <v>11</v>
      </c>
      <c r="AX701" t="s">
        <v>11</v>
      </c>
      <c r="AY701" t="s">
        <v>11</v>
      </c>
      <c r="AZ701" t="s">
        <v>11</v>
      </c>
      <c r="BA701" t="s">
        <v>11</v>
      </c>
      <c r="BB701" t="s">
        <v>11</v>
      </c>
      <c r="BC701" t="s">
        <v>11</v>
      </c>
      <c r="BD701" t="s">
        <v>11</v>
      </c>
      <c r="BE701" t="s">
        <v>11</v>
      </c>
      <c r="BF701" t="s">
        <v>11</v>
      </c>
      <c r="BG701" t="s">
        <v>11</v>
      </c>
      <c r="BH701" t="s">
        <v>4899</v>
      </c>
      <c r="BI701" t="s">
        <v>4896</v>
      </c>
      <c r="BJ701" t="s">
        <v>4900</v>
      </c>
      <c r="BK701" t="s">
        <v>4901</v>
      </c>
    </row>
    <row r="702" spans="1:63" x14ac:dyDescent="0.3">
      <c r="A702" t="s">
        <v>4902</v>
      </c>
      <c r="B702" t="s">
        <v>160</v>
      </c>
      <c r="C702" t="s">
        <v>4903</v>
      </c>
      <c r="D702" t="s">
        <v>4904</v>
      </c>
      <c r="E702" t="s">
        <v>4892</v>
      </c>
      <c r="F702">
        <v>748</v>
      </c>
      <c r="G702">
        <v>48</v>
      </c>
      <c r="H702">
        <v>25</v>
      </c>
      <c r="I702">
        <v>9</v>
      </c>
      <c r="J702">
        <v>5</v>
      </c>
      <c r="K702">
        <v>6</v>
      </c>
      <c r="L702">
        <v>4</v>
      </c>
      <c r="M702">
        <v>2</v>
      </c>
      <c r="O702">
        <v>1</v>
      </c>
      <c r="AF702">
        <v>8.8308800000000005</v>
      </c>
      <c r="AI702" t="s">
        <v>0</v>
      </c>
      <c r="AJ702" t="s">
        <v>128</v>
      </c>
      <c r="AK702" t="s">
        <v>2128</v>
      </c>
      <c r="AL702" t="s">
        <v>685</v>
      </c>
      <c r="AM702" t="s">
        <v>1658</v>
      </c>
      <c r="AN702" t="s">
        <v>24</v>
      </c>
      <c r="AO702" t="s">
        <v>11</v>
      </c>
      <c r="AP702" t="s">
        <v>4843</v>
      </c>
      <c r="AQ702" t="s">
        <v>1659</v>
      </c>
      <c r="AR702" t="s">
        <v>11</v>
      </c>
      <c r="AS702" t="s">
        <v>11</v>
      </c>
      <c r="AT702" t="s">
        <v>11</v>
      </c>
      <c r="AU702" t="s">
        <v>11</v>
      </c>
      <c r="AV702" t="s">
        <v>11</v>
      </c>
      <c r="AW702" t="s">
        <v>11</v>
      </c>
      <c r="AX702" t="s">
        <v>11</v>
      </c>
      <c r="AY702" t="s">
        <v>11</v>
      </c>
      <c r="AZ702" t="s">
        <v>11</v>
      </c>
      <c r="BA702" t="s">
        <v>11</v>
      </c>
      <c r="BB702" t="s">
        <v>11</v>
      </c>
      <c r="BC702" t="s">
        <v>11</v>
      </c>
      <c r="BD702" t="s">
        <v>11</v>
      </c>
      <c r="BE702" t="s">
        <v>11</v>
      </c>
      <c r="BF702" t="s">
        <v>11</v>
      </c>
      <c r="BG702" t="s">
        <v>11</v>
      </c>
      <c r="BH702" t="s">
        <v>4905</v>
      </c>
      <c r="BI702" t="s">
        <v>4902</v>
      </c>
      <c r="BJ702" t="s">
        <v>4906</v>
      </c>
      <c r="BK702" t="s">
        <v>4907</v>
      </c>
    </row>
    <row r="703" spans="1:63" x14ac:dyDescent="0.3">
      <c r="A703" t="s">
        <v>4908</v>
      </c>
      <c r="B703" t="s">
        <v>160</v>
      </c>
      <c r="C703" t="s">
        <v>4909</v>
      </c>
      <c r="D703" t="s">
        <v>4910</v>
      </c>
      <c r="E703" t="s">
        <v>4892</v>
      </c>
      <c r="F703">
        <v>749</v>
      </c>
      <c r="G703">
        <v>48</v>
      </c>
      <c r="H703">
        <v>25</v>
      </c>
      <c r="I703">
        <v>9</v>
      </c>
      <c r="J703">
        <v>5</v>
      </c>
      <c r="K703">
        <v>6</v>
      </c>
      <c r="L703">
        <v>4</v>
      </c>
      <c r="M703">
        <v>2</v>
      </c>
      <c r="N703">
        <v>1</v>
      </c>
      <c r="AF703">
        <v>8.8554800000000018</v>
      </c>
      <c r="AI703" t="s">
        <v>0</v>
      </c>
      <c r="AJ703" t="s">
        <v>128</v>
      </c>
      <c r="AK703" t="s">
        <v>2128</v>
      </c>
      <c r="AL703" t="s">
        <v>685</v>
      </c>
      <c r="AM703" t="s">
        <v>1658</v>
      </c>
      <c r="AN703" t="s">
        <v>24</v>
      </c>
      <c r="AO703" t="s">
        <v>75</v>
      </c>
      <c r="AP703" t="s">
        <v>11</v>
      </c>
      <c r="AQ703" t="s">
        <v>1659</v>
      </c>
      <c r="AR703" t="s">
        <v>11</v>
      </c>
      <c r="AS703" t="s">
        <v>11</v>
      </c>
      <c r="AT703" t="s">
        <v>11</v>
      </c>
      <c r="AU703" t="s">
        <v>11</v>
      </c>
      <c r="AV703" t="s">
        <v>11</v>
      </c>
      <c r="AW703" t="s">
        <v>11</v>
      </c>
      <c r="AX703" t="s">
        <v>11</v>
      </c>
      <c r="AY703" t="s">
        <v>11</v>
      </c>
      <c r="AZ703" t="s">
        <v>11</v>
      </c>
      <c r="BA703" t="s">
        <v>11</v>
      </c>
      <c r="BB703" t="s">
        <v>11</v>
      </c>
      <c r="BC703" t="s">
        <v>11</v>
      </c>
      <c r="BD703" t="s">
        <v>11</v>
      </c>
      <c r="BE703" t="s">
        <v>11</v>
      </c>
      <c r="BF703" t="s">
        <v>11</v>
      </c>
      <c r="BG703" t="s">
        <v>11</v>
      </c>
      <c r="BH703" t="s">
        <v>4911</v>
      </c>
      <c r="BI703" t="s">
        <v>4908</v>
      </c>
      <c r="BJ703" t="s">
        <v>4912</v>
      </c>
      <c r="BK703" t="s">
        <v>4913</v>
      </c>
    </row>
    <row r="704" spans="1:63" x14ac:dyDescent="0.3">
      <c r="A704" t="s">
        <v>4914</v>
      </c>
      <c r="B704" t="s">
        <v>514</v>
      </c>
      <c r="C704" t="s">
        <v>4915</v>
      </c>
      <c r="D704" t="s">
        <v>4916</v>
      </c>
      <c r="E704" t="s">
        <v>4892</v>
      </c>
      <c r="F704">
        <v>750</v>
      </c>
      <c r="G704">
        <v>48</v>
      </c>
      <c r="H704">
        <v>25</v>
      </c>
      <c r="I704">
        <v>9</v>
      </c>
      <c r="J704">
        <v>5</v>
      </c>
      <c r="K704">
        <v>5</v>
      </c>
      <c r="L704">
        <v>4</v>
      </c>
      <c r="M704">
        <v>2</v>
      </c>
      <c r="N704">
        <v>1</v>
      </c>
      <c r="O704">
        <v>1</v>
      </c>
      <c r="AF704">
        <v>8.7240800000000007</v>
      </c>
      <c r="AI704" t="s">
        <v>0</v>
      </c>
      <c r="AJ704" t="s">
        <v>128</v>
      </c>
      <c r="AK704" t="s">
        <v>1491</v>
      </c>
      <c r="AL704" t="s">
        <v>685</v>
      </c>
      <c r="AM704" t="s">
        <v>1658</v>
      </c>
      <c r="AN704" t="s">
        <v>24</v>
      </c>
      <c r="AO704" t="s">
        <v>75</v>
      </c>
      <c r="AP704" t="s">
        <v>4843</v>
      </c>
      <c r="AQ704" t="s">
        <v>1659</v>
      </c>
      <c r="AR704" t="s">
        <v>11</v>
      </c>
      <c r="AS704" t="s">
        <v>11</v>
      </c>
      <c r="AT704" t="s">
        <v>11</v>
      </c>
      <c r="AU704" t="s">
        <v>11</v>
      </c>
      <c r="AV704" t="s">
        <v>11</v>
      </c>
      <c r="AW704" t="s">
        <v>11</v>
      </c>
      <c r="AX704" t="s">
        <v>11</v>
      </c>
      <c r="AY704" t="s">
        <v>11</v>
      </c>
      <c r="AZ704" t="s">
        <v>11</v>
      </c>
      <c r="BA704" t="s">
        <v>11</v>
      </c>
      <c r="BB704" t="s">
        <v>11</v>
      </c>
      <c r="BC704" t="s">
        <v>11</v>
      </c>
      <c r="BD704" t="s">
        <v>11</v>
      </c>
      <c r="BE704" t="s">
        <v>11</v>
      </c>
      <c r="BF704" t="s">
        <v>11</v>
      </c>
      <c r="BG704" t="s">
        <v>11</v>
      </c>
      <c r="BH704" t="s">
        <v>4917</v>
      </c>
      <c r="BI704" t="s">
        <v>4914</v>
      </c>
      <c r="BJ704" t="s">
        <v>4918</v>
      </c>
      <c r="BK704" t="s">
        <v>4919</v>
      </c>
    </row>
    <row r="705" spans="1:63" x14ac:dyDescent="0.3">
      <c r="A705" t="s">
        <v>4920</v>
      </c>
      <c r="B705" t="s">
        <v>160</v>
      </c>
      <c r="C705" t="s">
        <v>4921</v>
      </c>
      <c r="D705" t="s">
        <v>4922</v>
      </c>
      <c r="E705" t="s">
        <v>4892</v>
      </c>
      <c r="F705">
        <v>751</v>
      </c>
      <c r="G705">
        <v>49</v>
      </c>
      <c r="H705">
        <v>30</v>
      </c>
      <c r="I705">
        <v>8</v>
      </c>
      <c r="K705">
        <v>6</v>
      </c>
      <c r="L705">
        <v>4</v>
      </c>
      <c r="M705">
        <v>2</v>
      </c>
      <c r="N705">
        <v>1</v>
      </c>
      <c r="AF705">
        <v>9.0033799999999999</v>
      </c>
      <c r="AI705" t="s">
        <v>0</v>
      </c>
      <c r="AJ705" t="s">
        <v>164</v>
      </c>
      <c r="AK705" t="s">
        <v>2128</v>
      </c>
      <c r="AL705" t="s">
        <v>23</v>
      </c>
      <c r="AM705" t="s">
        <v>11</v>
      </c>
      <c r="AN705" t="s">
        <v>24</v>
      </c>
      <c r="AO705" t="s">
        <v>75</v>
      </c>
      <c r="AP705" t="s">
        <v>11</v>
      </c>
      <c r="AQ705" t="s">
        <v>1659</v>
      </c>
      <c r="AR705" t="s">
        <v>11</v>
      </c>
      <c r="AS705" t="s">
        <v>11</v>
      </c>
      <c r="AT705" t="s">
        <v>11</v>
      </c>
      <c r="AU705" t="s">
        <v>11</v>
      </c>
      <c r="AV705" t="s">
        <v>11</v>
      </c>
      <c r="AW705" t="s">
        <v>11</v>
      </c>
      <c r="AX705" t="s">
        <v>11</v>
      </c>
      <c r="AY705" t="s">
        <v>11</v>
      </c>
      <c r="AZ705" t="s">
        <v>11</v>
      </c>
      <c r="BA705" t="s">
        <v>11</v>
      </c>
      <c r="BB705" t="s">
        <v>11</v>
      </c>
      <c r="BC705" t="s">
        <v>11</v>
      </c>
      <c r="BD705" t="s">
        <v>11</v>
      </c>
      <c r="BE705" t="s">
        <v>11</v>
      </c>
      <c r="BF705" t="s">
        <v>11</v>
      </c>
      <c r="BG705" t="s">
        <v>11</v>
      </c>
      <c r="BH705" t="s">
        <v>4923</v>
      </c>
      <c r="BI705" t="s">
        <v>4920</v>
      </c>
      <c r="BJ705" t="s">
        <v>4924</v>
      </c>
      <c r="BK705" t="s">
        <v>4925</v>
      </c>
    </row>
    <row r="706" spans="1:63" x14ac:dyDescent="0.3">
      <c r="A706" t="s">
        <v>4926</v>
      </c>
      <c r="B706" t="s">
        <v>160</v>
      </c>
      <c r="C706" t="s">
        <v>4927</v>
      </c>
      <c r="D706" t="s">
        <v>4928</v>
      </c>
      <c r="E706" t="s">
        <v>2087</v>
      </c>
      <c r="F706">
        <v>752</v>
      </c>
      <c r="G706">
        <v>50</v>
      </c>
      <c r="H706">
        <v>30</v>
      </c>
      <c r="I706">
        <v>10.7</v>
      </c>
      <c r="K706">
        <v>4.3</v>
      </c>
      <c r="L706">
        <v>4</v>
      </c>
      <c r="M706">
        <v>1</v>
      </c>
      <c r="AF706">
        <v>8.5858299999999996</v>
      </c>
      <c r="AI706" t="s">
        <v>0</v>
      </c>
      <c r="AJ706" t="s">
        <v>3103</v>
      </c>
      <c r="AK706" t="s">
        <v>4929</v>
      </c>
      <c r="AL706" t="s">
        <v>23</v>
      </c>
      <c r="AM706" t="s">
        <v>11</v>
      </c>
      <c r="AN706" t="s">
        <v>471</v>
      </c>
      <c r="AO706" t="s">
        <v>11</v>
      </c>
      <c r="AP706" t="s">
        <v>11</v>
      </c>
      <c r="AQ706" t="s">
        <v>1659</v>
      </c>
      <c r="AR706" t="s">
        <v>11</v>
      </c>
      <c r="AS706" t="s">
        <v>11</v>
      </c>
      <c r="AT706" t="s">
        <v>11</v>
      </c>
      <c r="AU706" t="s">
        <v>11</v>
      </c>
      <c r="AV706" t="s">
        <v>11</v>
      </c>
      <c r="AW706" t="s">
        <v>11</v>
      </c>
      <c r="AX706" t="s">
        <v>11</v>
      </c>
      <c r="AY706" t="s">
        <v>11</v>
      </c>
      <c r="AZ706" t="s">
        <v>11</v>
      </c>
      <c r="BA706" t="s">
        <v>11</v>
      </c>
      <c r="BB706" t="s">
        <v>11</v>
      </c>
      <c r="BC706" t="s">
        <v>11</v>
      </c>
      <c r="BD706" t="s">
        <v>11</v>
      </c>
      <c r="BE706" t="s">
        <v>11</v>
      </c>
      <c r="BF706" t="s">
        <v>11</v>
      </c>
      <c r="BG706" t="s">
        <v>11</v>
      </c>
      <c r="BH706" t="s">
        <v>4930</v>
      </c>
      <c r="BI706" t="s">
        <v>4926</v>
      </c>
      <c r="BJ706" t="s">
        <v>4931</v>
      </c>
      <c r="BK706" t="s">
        <v>4932</v>
      </c>
    </row>
    <row r="707" spans="1:63" x14ac:dyDescent="0.3">
      <c r="A707" t="s">
        <v>4933</v>
      </c>
      <c r="B707" t="s">
        <v>160</v>
      </c>
      <c r="C707" t="s">
        <v>4934</v>
      </c>
      <c r="D707" t="s">
        <v>4935</v>
      </c>
      <c r="E707" t="s">
        <v>4936</v>
      </c>
      <c r="F707">
        <v>753</v>
      </c>
      <c r="G707">
        <v>81.88</v>
      </c>
      <c r="I707">
        <v>5.6</v>
      </c>
      <c r="K707">
        <v>5.8</v>
      </c>
      <c r="L707">
        <v>6.6</v>
      </c>
      <c r="S707">
        <v>0.12</v>
      </c>
      <c r="AF707">
        <v>8.8554340000000007</v>
      </c>
      <c r="AI707" t="s">
        <v>0</v>
      </c>
      <c r="AJ707" t="s">
        <v>1110</v>
      </c>
      <c r="AK707" t="s">
        <v>470</v>
      </c>
      <c r="AL707" t="s">
        <v>11</v>
      </c>
      <c r="AM707" t="s">
        <v>11</v>
      </c>
      <c r="AN707" t="s">
        <v>11</v>
      </c>
      <c r="AO707" t="s">
        <v>11</v>
      </c>
      <c r="AP707" t="s">
        <v>11</v>
      </c>
      <c r="AQ707" t="s">
        <v>1826</v>
      </c>
      <c r="AR707" t="s">
        <v>11</v>
      </c>
      <c r="AS707" t="s">
        <v>11</v>
      </c>
      <c r="AT707" t="s">
        <v>11</v>
      </c>
      <c r="AU707" t="s">
        <v>317</v>
      </c>
      <c r="AV707" t="s">
        <v>11</v>
      </c>
      <c r="AW707" t="s">
        <v>11</v>
      </c>
      <c r="AX707" t="s">
        <v>11</v>
      </c>
      <c r="AY707" t="s">
        <v>11</v>
      </c>
      <c r="AZ707" t="s">
        <v>11</v>
      </c>
      <c r="BA707" t="s">
        <v>11</v>
      </c>
      <c r="BB707" t="s">
        <v>11</v>
      </c>
      <c r="BC707" t="s">
        <v>11</v>
      </c>
      <c r="BD707" t="s">
        <v>11</v>
      </c>
      <c r="BE707" t="s">
        <v>11</v>
      </c>
      <c r="BF707" t="s">
        <v>11</v>
      </c>
      <c r="BG707" t="s">
        <v>11</v>
      </c>
      <c r="BH707" t="s">
        <v>4937</v>
      </c>
      <c r="BI707" t="s">
        <v>4933</v>
      </c>
      <c r="BJ707" t="s">
        <v>4938</v>
      </c>
      <c r="BK707" t="s">
        <v>4939</v>
      </c>
    </row>
    <row r="708" spans="1:63" x14ac:dyDescent="0.3">
      <c r="A708" t="s">
        <v>4940</v>
      </c>
      <c r="B708" t="s">
        <v>160</v>
      </c>
      <c r="C708" t="s">
        <v>4941</v>
      </c>
      <c r="D708" t="s">
        <v>4942</v>
      </c>
      <c r="E708" t="s">
        <v>2087</v>
      </c>
      <c r="F708">
        <v>754</v>
      </c>
      <c r="G708">
        <v>80</v>
      </c>
      <c r="I708">
        <v>5.3</v>
      </c>
      <c r="K708">
        <v>9.6999999999999993</v>
      </c>
      <c r="L708">
        <v>4</v>
      </c>
      <c r="M708">
        <v>1</v>
      </c>
      <c r="AF708">
        <v>9.4771299999999989</v>
      </c>
      <c r="AI708" t="s">
        <v>0</v>
      </c>
      <c r="AJ708" t="s">
        <v>2497</v>
      </c>
      <c r="AK708" t="s">
        <v>316</v>
      </c>
      <c r="AL708" t="s">
        <v>11</v>
      </c>
      <c r="AM708" t="s">
        <v>11</v>
      </c>
      <c r="AN708" t="s">
        <v>471</v>
      </c>
      <c r="AO708" t="s">
        <v>11</v>
      </c>
      <c r="AP708" t="s">
        <v>11</v>
      </c>
      <c r="AQ708" t="s">
        <v>1659</v>
      </c>
      <c r="AR708" t="s">
        <v>11</v>
      </c>
      <c r="AS708" t="s">
        <v>11</v>
      </c>
      <c r="AT708" t="s">
        <v>11</v>
      </c>
      <c r="AU708" t="s">
        <v>11</v>
      </c>
      <c r="AV708" t="s">
        <v>11</v>
      </c>
      <c r="AW708" t="s">
        <v>11</v>
      </c>
      <c r="AX708" t="s">
        <v>11</v>
      </c>
      <c r="AY708" t="s">
        <v>11</v>
      </c>
      <c r="AZ708" t="s">
        <v>11</v>
      </c>
      <c r="BA708" t="s">
        <v>11</v>
      </c>
      <c r="BB708" t="s">
        <v>11</v>
      </c>
      <c r="BC708" t="s">
        <v>11</v>
      </c>
      <c r="BD708" t="s">
        <v>11</v>
      </c>
      <c r="BE708" t="s">
        <v>11</v>
      </c>
      <c r="BF708" t="s">
        <v>11</v>
      </c>
      <c r="BG708" t="s">
        <v>11</v>
      </c>
      <c r="BH708" t="s">
        <v>4943</v>
      </c>
      <c r="BI708" t="s">
        <v>4940</v>
      </c>
      <c r="BJ708" t="s">
        <v>4944</v>
      </c>
      <c r="BK708" t="s">
        <v>4945</v>
      </c>
    </row>
    <row r="709" spans="1:63" x14ac:dyDescent="0.3">
      <c r="A709" t="s">
        <v>4946</v>
      </c>
      <c r="B709" t="s">
        <v>160</v>
      </c>
      <c r="C709" t="s">
        <v>4947</v>
      </c>
      <c r="D709" t="s">
        <v>4948</v>
      </c>
      <c r="E709" t="s">
        <v>2087</v>
      </c>
      <c r="F709">
        <v>755</v>
      </c>
      <c r="G709">
        <v>70</v>
      </c>
      <c r="H709">
        <v>10</v>
      </c>
      <c r="I709">
        <v>1.3</v>
      </c>
      <c r="K709">
        <v>13.7</v>
      </c>
      <c r="L709">
        <v>4</v>
      </c>
      <c r="M709">
        <v>1</v>
      </c>
      <c r="AF709">
        <v>10.13993</v>
      </c>
      <c r="AI709" t="s">
        <v>0</v>
      </c>
      <c r="AJ709" t="s">
        <v>4949</v>
      </c>
      <c r="AK709" t="s">
        <v>4950</v>
      </c>
      <c r="AL709" t="s">
        <v>520</v>
      </c>
      <c r="AM709" t="s">
        <v>11</v>
      </c>
      <c r="AN709" t="s">
        <v>471</v>
      </c>
      <c r="AO709" t="s">
        <v>11</v>
      </c>
      <c r="AP709" t="s">
        <v>11</v>
      </c>
      <c r="AQ709" t="s">
        <v>1659</v>
      </c>
      <c r="AR709" t="s">
        <v>11</v>
      </c>
      <c r="AS709" t="s">
        <v>11</v>
      </c>
      <c r="AT709" t="s">
        <v>11</v>
      </c>
      <c r="AU709" t="s">
        <v>11</v>
      </c>
      <c r="AV709" t="s">
        <v>11</v>
      </c>
      <c r="AW709" t="s">
        <v>11</v>
      </c>
      <c r="AX709" t="s">
        <v>11</v>
      </c>
      <c r="AY709" t="s">
        <v>11</v>
      </c>
      <c r="AZ709" t="s">
        <v>11</v>
      </c>
      <c r="BA709" t="s">
        <v>11</v>
      </c>
      <c r="BB709" t="s">
        <v>11</v>
      </c>
      <c r="BC709" t="s">
        <v>11</v>
      </c>
      <c r="BD709" t="s">
        <v>11</v>
      </c>
      <c r="BE709" t="s">
        <v>11</v>
      </c>
      <c r="BF709" t="s">
        <v>11</v>
      </c>
      <c r="BG709" t="s">
        <v>11</v>
      </c>
      <c r="BH709" t="s">
        <v>4951</v>
      </c>
      <c r="BI709" t="s">
        <v>4946</v>
      </c>
      <c r="BJ709" t="s">
        <v>4952</v>
      </c>
      <c r="BK709" t="s">
        <v>4953</v>
      </c>
    </row>
    <row r="710" spans="1:63" x14ac:dyDescent="0.3">
      <c r="A710" t="s">
        <v>4954</v>
      </c>
      <c r="B710" t="s">
        <v>160</v>
      </c>
      <c r="C710" t="s">
        <v>4955</v>
      </c>
      <c r="D710" t="s">
        <v>4849</v>
      </c>
      <c r="E710" t="s">
        <v>2087</v>
      </c>
      <c r="F710">
        <v>756</v>
      </c>
      <c r="G710">
        <v>60</v>
      </c>
      <c r="H710">
        <v>20</v>
      </c>
      <c r="I710">
        <v>9.6</v>
      </c>
      <c r="K710">
        <v>5.4</v>
      </c>
      <c r="L710">
        <v>4</v>
      </c>
      <c r="M710">
        <v>1</v>
      </c>
      <c r="AF710">
        <v>8.76708</v>
      </c>
      <c r="AI710" t="s">
        <v>0</v>
      </c>
      <c r="AJ710" t="s">
        <v>10</v>
      </c>
      <c r="AK710" t="s">
        <v>2088</v>
      </c>
      <c r="AL710" t="s">
        <v>834</v>
      </c>
      <c r="AM710" t="s">
        <v>11</v>
      </c>
      <c r="AN710" t="s">
        <v>471</v>
      </c>
      <c r="AO710" t="s">
        <v>11</v>
      </c>
      <c r="AP710" t="s">
        <v>11</v>
      </c>
      <c r="AQ710" t="s">
        <v>1659</v>
      </c>
      <c r="AR710" t="s">
        <v>11</v>
      </c>
      <c r="AS710" t="s">
        <v>11</v>
      </c>
      <c r="AT710" t="s">
        <v>11</v>
      </c>
      <c r="AU710" t="s">
        <v>11</v>
      </c>
      <c r="AV710" t="s">
        <v>11</v>
      </c>
      <c r="AW710" t="s">
        <v>11</v>
      </c>
      <c r="AX710" t="s">
        <v>11</v>
      </c>
      <c r="AY710" t="s">
        <v>11</v>
      </c>
      <c r="AZ710" t="s">
        <v>11</v>
      </c>
      <c r="BA710" t="s">
        <v>11</v>
      </c>
      <c r="BB710" t="s">
        <v>11</v>
      </c>
      <c r="BC710" t="s">
        <v>11</v>
      </c>
      <c r="BD710" t="s">
        <v>11</v>
      </c>
      <c r="BE710" t="s">
        <v>11</v>
      </c>
      <c r="BF710" t="s">
        <v>11</v>
      </c>
      <c r="BG710" t="s">
        <v>11</v>
      </c>
      <c r="BH710" t="s">
        <v>4956</v>
      </c>
      <c r="BI710" t="s">
        <v>4954</v>
      </c>
      <c r="BJ710" t="s">
        <v>4957</v>
      </c>
      <c r="BK710" t="s">
        <v>4958</v>
      </c>
    </row>
    <row r="711" spans="1:63" x14ac:dyDescent="0.3">
      <c r="A711" t="s">
        <v>1673</v>
      </c>
      <c r="B711" t="s">
        <v>514</v>
      </c>
      <c r="C711" t="s">
        <v>1674</v>
      </c>
      <c r="D711" t="s">
        <v>1675</v>
      </c>
      <c r="E711" t="s">
        <v>4959</v>
      </c>
      <c r="F711">
        <v>757</v>
      </c>
      <c r="G711">
        <v>88</v>
      </c>
      <c r="L711">
        <v>12</v>
      </c>
      <c r="AI711" t="s">
        <v>0</v>
      </c>
      <c r="AJ711" t="s">
        <v>11</v>
      </c>
      <c r="AK711" t="s">
        <v>11</v>
      </c>
      <c r="AL711" t="s">
        <v>11</v>
      </c>
      <c r="AM711" t="s">
        <v>11</v>
      </c>
      <c r="AN711" t="s">
        <v>11</v>
      </c>
      <c r="AO711" t="s">
        <v>11</v>
      </c>
      <c r="AP711" t="s">
        <v>11</v>
      </c>
      <c r="AQ711" t="s">
        <v>1677</v>
      </c>
      <c r="AR711" t="s">
        <v>11</v>
      </c>
      <c r="AS711" t="s">
        <v>11</v>
      </c>
      <c r="AT711" t="s">
        <v>11</v>
      </c>
      <c r="AU711" t="s">
        <v>11</v>
      </c>
      <c r="AV711" t="s">
        <v>11</v>
      </c>
      <c r="AW711" t="s">
        <v>11</v>
      </c>
      <c r="AX711" t="s">
        <v>11</v>
      </c>
      <c r="AY711" t="s">
        <v>11</v>
      </c>
      <c r="AZ711" t="s">
        <v>11</v>
      </c>
      <c r="BA711" t="s">
        <v>11</v>
      </c>
      <c r="BB711" t="s">
        <v>11</v>
      </c>
      <c r="BC711" t="s">
        <v>11</v>
      </c>
      <c r="BD711" t="s">
        <v>11</v>
      </c>
      <c r="BE711" t="s">
        <v>11</v>
      </c>
      <c r="BF711" t="s">
        <v>11</v>
      </c>
      <c r="BG711" t="s">
        <v>11</v>
      </c>
      <c r="BH711" t="s">
        <v>4960</v>
      </c>
      <c r="BI711" t="s">
        <v>1673</v>
      </c>
      <c r="BJ711" t="s">
        <v>4961</v>
      </c>
      <c r="BK711" t="s">
        <v>1677</v>
      </c>
    </row>
    <row r="712" spans="1:63" x14ac:dyDescent="0.3">
      <c r="A712" t="s">
        <v>1680</v>
      </c>
      <c r="B712" t="s">
        <v>514</v>
      </c>
      <c r="C712" t="s">
        <v>1681</v>
      </c>
      <c r="D712" t="s">
        <v>4962</v>
      </c>
      <c r="E712" t="s">
        <v>4959</v>
      </c>
      <c r="F712">
        <v>758</v>
      </c>
      <c r="G712">
        <v>84</v>
      </c>
      <c r="L712">
        <v>12</v>
      </c>
      <c r="P712">
        <v>4</v>
      </c>
      <c r="AI712" t="s">
        <v>0</v>
      </c>
      <c r="AJ712" t="s">
        <v>11</v>
      </c>
      <c r="AK712" t="s">
        <v>11</v>
      </c>
      <c r="AL712" t="s">
        <v>11</v>
      </c>
      <c r="AM712" t="s">
        <v>11</v>
      </c>
      <c r="AN712" t="s">
        <v>11</v>
      </c>
      <c r="AO712" t="s">
        <v>11</v>
      </c>
      <c r="AP712" t="s">
        <v>11</v>
      </c>
      <c r="AQ712" t="s">
        <v>1677</v>
      </c>
      <c r="AR712" t="s">
        <v>45</v>
      </c>
      <c r="AS712" t="s">
        <v>11</v>
      </c>
      <c r="AT712" t="s">
        <v>11</v>
      </c>
      <c r="AU712" t="s">
        <v>11</v>
      </c>
      <c r="AV712" t="s">
        <v>11</v>
      </c>
      <c r="AW712" t="s">
        <v>11</v>
      </c>
      <c r="AX712" t="s">
        <v>11</v>
      </c>
      <c r="AY712" t="s">
        <v>11</v>
      </c>
      <c r="AZ712" t="s">
        <v>11</v>
      </c>
      <c r="BA712" t="s">
        <v>11</v>
      </c>
      <c r="BB712" t="s">
        <v>11</v>
      </c>
      <c r="BC712" t="s">
        <v>11</v>
      </c>
      <c r="BD712" t="s">
        <v>11</v>
      </c>
      <c r="BE712" t="s">
        <v>11</v>
      </c>
      <c r="BF712" t="s">
        <v>11</v>
      </c>
      <c r="BG712" t="s">
        <v>11</v>
      </c>
      <c r="BH712" t="s">
        <v>4963</v>
      </c>
      <c r="BI712" t="s">
        <v>1680</v>
      </c>
      <c r="BK712" t="s">
        <v>1685</v>
      </c>
    </row>
    <row r="713" spans="1:63" x14ac:dyDescent="0.3">
      <c r="A713" t="s">
        <v>2118</v>
      </c>
      <c r="B713" t="s">
        <v>514</v>
      </c>
      <c r="C713" t="s">
        <v>2119</v>
      </c>
      <c r="D713" t="s">
        <v>4964</v>
      </c>
      <c r="E713" t="s">
        <v>4965</v>
      </c>
      <c r="F713">
        <v>759</v>
      </c>
      <c r="G713">
        <v>80</v>
      </c>
      <c r="I713">
        <v>7</v>
      </c>
      <c r="K713">
        <v>8</v>
      </c>
      <c r="L713">
        <v>4</v>
      </c>
      <c r="M713">
        <v>1</v>
      </c>
      <c r="AI713" t="s">
        <v>0</v>
      </c>
      <c r="AJ713" t="s">
        <v>1358</v>
      </c>
      <c r="AK713" t="s">
        <v>548</v>
      </c>
      <c r="AL713" t="s">
        <v>11</v>
      </c>
      <c r="AM713" t="s">
        <v>11</v>
      </c>
      <c r="AN713" t="s">
        <v>471</v>
      </c>
      <c r="AO713" t="s">
        <v>11</v>
      </c>
      <c r="AP713" t="s">
        <v>11</v>
      </c>
      <c r="AQ713" t="s">
        <v>1659</v>
      </c>
      <c r="AR713" t="s">
        <v>11</v>
      </c>
      <c r="AS713" t="s">
        <v>11</v>
      </c>
      <c r="AT713" t="s">
        <v>11</v>
      </c>
      <c r="AU713" t="s">
        <v>11</v>
      </c>
      <c r="AV713" t="s">
        <v>11</v>
      </c>
      <c r="AW713" t="s">
        <v>11</v>
      </c>
      <c r="AX713" t="s">
        <v>11</v>
      </c>
      <c r="AY713" t="s">
        <v>11</v>
      </c>
      <c r="AZ713" t="s">
        <v>11</v>
      </c>
      <c r="BA713" t="s">
        <v>11</v>
      </c>
      <c r="BB713" t="s">
        <v>11</v>
      </c>
      <c r="BC713" t="s">
        <v>11</v>
      </c>
      <c r="BD713" t="s">
        <v>11</v>
      </c>
      <c r="BE713" t="s">
        <v>11</v>
      </c>
      <c r="BF713" t="s">
        <v>11</v>
      </c>
      <c r="BG713" t="s">
        <v>11</v>
      </c>
      <c r="BH713" t="s">
        <v>4966</v>
      </c>
      <c r="BI713" t="s">
        <v>2118</v>
      </c>
      <c r="BK713" t="s">
        <v>2123</v>
      </c>
    </row>
    <row r="714" spans="1:63" x14ac:dyDescent="0.3">
      <c r="A714" t="s">
        <v>672</v>
      </c>
      <c r="B714" t="s">
        <v>95</v>
      </c>
      <c r="C714" t="s">
        <v>673</v>
      </c>
      <c r="D714" t="s">
        <v>4967</v>
      </c>
      <c r="E714" t="s">
        <v>4968</v>
      </c>
      <c r="F714">
        <v>760</v>
      </c>
      <c r="G714">
        <v>66</v>
      </c>
      <c r="H714">
        <v>15</v>
      </c>
      <c r="I714">
        <v>9</v>
      </c>
      <c r="K714">
        <v>10</v>
      </c>
      <c r="AI714" t="s">
        <v>0</v>
      </c>
      <c r="AJ714" t="s">
        <v>128</v>
      </c>
      <c r="AK714" t="s">
        <v>677</v>
      </c>
      <c r="AL714" t="s">
        <v>678</v>
      </c>
      <c r="AM714" t="s">
        <v>11</v>
      </c>
      <c r="AN714" t="s">
        <v>11</v>
      </c>
      <c r="AO714" t="s">
        <v>11</v>
      </c>
      <c r="AP714" t="s">
        <v>11</v>
      </c>
      <c r="AQ714" t="s">
        <v>11</v>
      </c>
      <c r="AR714" t="s">
        <v>11</v>
      </c>
      <c r="AS714" t="s">
        <v>11</v>
      </c>
      <c r="AT714" t="s">
        <v>11</v>
      </c>
      <c r="AU714" t="s">
        <v>11</v>
      </c>
      <c r="AV714" t="s">
        <v>11</v>
      </c>
      <c r="AW714" t="s">
        <v>11</v>
      </c>
      <c r="AX714" t="s">
        <v>11</v>
      </c>
      <c r="AY714" t="s">
        <v>11</v>
      </c>
      <c r="AZ714" t="s">
        <v>11</v>
      </c>
      <c r="BA714" t="s">
        <v>11</v>
      </c>
      <c r="BB714" t="s">
        <v>11</v>
      </c>
      <c r="BC714" t="s">
        <v>11</v>
      </c>
      <c r="BD714" t="s">
        <v>11</v>
      </c>
      <c r="BE714" t="s">
        <v>11</v>
      </c>
      <c r="BF714" t="s">
        <v>11</v>
      </c>
      <c r="BG714" t="s">
        <v>11</v>
      </c>
      <c r="BH714" t="s">
        <v>4969</v>
      </c>
      <c r="BI714" t="s">
        <v>672</v>
      </c>
      <c r="BK714" t="s">
        <v>681</v>
      </c>
    </row>
    <row r="715" spans="1:63" x14ac:dyDescent="0.3">
      <c r="A715" t="s">
        <v>682</v>
      </c>
      <c r="B715" t="s">
        <v>95</v>
      </c>
      <c r="C715" t="s">
        <v>683</v>
      </c>
      <c r="D715" t="s">
        <v>4970</v>
      </c>
      <c r="E715" t="s">
        <v>4968</v>
      </c>
      <c r="F715">
        <v>761</v>
      </c>
      <c r="G715">
        <v>56</v>
      </c>
      <c r="H715">
        <v>25</v>
      </c>
      <c r="I715">
        <v>9</v>
      </c>
      <c r="K715">
        <v>10</v>
      </c>
      <c r="AI715" t="s">
        <v>0</v>
      </c>
      <c r="AJ715" t="s">
        <v>128</v>
      </c>
      <c r="AK715" t="s">
        <v>677</v>
      </c>
      <c r="AL715" t="s">
        <v>685</v>
      </c>
      <c r="AM715" t="s">
        <v>11</v>
      </c>
      <c r="AN715" t="s">
        <v>11</v>
      </c>
      <c r="AO715" t="s">
        <v>11</v>
      </c>
      <c r="AP715" t="s">
        <v>11</v>
      </c>
      <c r="AQ715" t="s">
        <v>11</v>
      </c>
      <c r="AR715" t="s">
        <v>11</v>
      </c>
      <c r="AS715" t="s">
        <v>11</v>
      </c>
      <c r="AT715" t="s">
        <v>11</v>
      </c>
      <c r="AU715" t="s">
        <v>11</v>
      </c>
      <c r="AV715" t="s">
        <v>11</v>
      </c>
      <c r="AW715" t="s">
        <v>11</v>
      </c>
      <c r="AX715" t="s">
        <v>11</v>
      </c>
      <c r="AY715" t="s">
        <v>11</v>
      </c>
      <c r="AZ715" t="s">
        <v>11</v>
      </c>
      <c r="BA715" t="s">
        <v>11</v>
      </c>
      <c r="BB715" t="s">
        <v>11</v>
      </c>
      <c r="BC715" t="s">
        <v>11</v>
      </c>
      <c r="BD715" t="s">
        <v>11</v>
      </c>
      <c r="BE715" t="s">
        <v>11</v>
      </c>
      <c r="BF715" t="s">
        <v>11</v>
      </c>
      <c r="BG715" t="s">
        <v>11</v>
      </c>
      <c r="BH715" t="s">
        <v>4971</v>
      </c>
      <c r="BI715" t="s">
        <v>682</v>
      </c>
      <c r="BK715" t="s">
        <v>688</v>
      </c>
    </row>
    <row r="716" spans="1:63" x14ac:dyDescent="0.3">
      <c r="A716" t="s">
        <v>689</v>
      </c>
      <c r="B716" t="s">
        <v>95</v>
      </c>
      <c r="C716" t="s">
        <v>690</v>
      </c>
      <c r="D716" t="s">
        <v>4972</v>
      </c>
      <c r="E716" t="s">
        <v>4968</v>
      </c>
      <c r="F716">
        <v>762</v>
      </c>
      <c r="G716">
        <v>46</v>
      </c>
      <c r="H716">
        <v>35</v>
      </c>
      <c r="I716">
        <v>9</v>
      </c>
      <c r="K716">
        <v>10</v>
      </c>
      <c r="AI716" t="s">
        <v>0</v>
      </c>
      <c r="AJ716" t="s">
        <v>128</v>
      </c>
      <c r="AK716" t="s">
        <v>677</v>
      </c>
      <c r="AL716" t="s">
        <v>692</v>
      </c>
      <c r="AM716" t="s">
        <v>11</v>
      </c>
      <c r="AN716" t="s">
        <v>11</v>
      </c>
      <c r="AO716" t="s">
        <v>11</v>
      </c>
      <c r="AP716" t="s">
        <v>11</v>
      </c>
      <c r="AQ716" t="s">
        <v>11</v>
      </c>
      <c r="AR716" t="s">
        <v>11</v>
      </c>
      <c r="AS716" t="s">
        <v>11</v>
      </c>
      <c r="AT716" t="s">
        <v>11</v>
      </c>
      <c r="AU716" t="s">
        <v>11</v>
      </c>
      <c r="AV716" t="s">
        <v>11</v>
      </c>
      <c r="AW716" t="s">
        <v>11</v>
      </c>
      <c r="AX716" t="s">
        <v>11</v>
      </c>
      <c r="AY716" t="s">
        <v>11</v>
      </c>
      <c r="AZ716" t="s">
        <v>11</v>
      </c>
      <c r="BA716" t="s">
        <v>11</v>
      </c>
      <c r="BB716" t="s">
        <v>11</v>
      </c>
      <c r="BC716" t="s">
        <v>11</v>
      </c>
      <c r="BD716" t="s">
        <v>11</v>
      </c>
      <c r="BE716" t="s">
        <v>11</v>
      </c>
      <c r="BF716" t="s">
        <v>11</v>
      </c>
      <c r="BG716" t="s">
        <v>11</v>
      </c>
      <c r="BH716" t="s">
        <v>4973</v>
      </c>
      <c r="BI716" t="s">
        <v>689</v>
      </c>
      <c r="BK716" t="s">
        <v>695</v>
      </c>
    </row>
    <row r="717" spans="1:63" x14ac:dyDescent="0.3">
      <c r="A717" t="s">
        <v>4974</v>
      </c>
      <c r="B717" t="s">
        <v>95</v>
      </c>
      <c r="C717" t="s">
        <v>4975</v>
      </c>
      <c r="D717" t="s">
        <v>4976</v>
      </c>
      <c r="E717" t="s">
        <v>4968</v>
      </c>
      <c r="F717">
        <v>763</v>
      </c>
      <c r="G717">
        <v>36</v>
      </c>
      <c r="H717">
        <v>45</v>
      </c>
      <c r="I717">
        <v>9</v>
      </c>
      <c r="K717">
        <v>10</v>
      </c>
      <c r="AI717" t="s">
        <v>0</v>
      </c>
      <c r="AJ717" t="s">
        <v>128</v>
      </c>
      <c r="AK717" t="s">
        <v>677</v>
      </c>
      <c r="AL717" t="s">
        <v>4977</v>
      </c>
      <c r="AM717" t="s">
        <v>11</v>
      </c>
      <c r="AN717" t="s">
        <v>11</v>
      </c>
      <c r="AO717" t="s">
        <v>11</v>
      </c>
      <c r="AP717" t="s">
        <v>11</v>
      </c>
      <c r="AQ717" t="s">
        <v>11</v>
      </c>
      <c r="AR717" t="s">
        <v>11</v>
      </c>
      <c r="AS717" t="s">
        <v>11</v>
      </c>
      <c r="AT717" t="s">
        <v>11</v>
      </c>
      <c r="AU717" t="s">
        <v>11</v>
      </c>
      <c r="AV717" t="s">
        <v>11</v>
      </c>
      <c r="AW717" t="s">
        <v>11</v>
      </c>
      <c r="AX717" t="s">
        <v>11</v>
      </c>
      <c r="AY717" t="s">
        <v>11</v>
      </c>
      <c r="AZ717" t="s">
        <v>11</v>
      </c>
      <c r="BA717" t="s">
        <v>11</v>
      </c>
      <c r="BB717" t="s">
        <v>11</v>
      </c>
      <c r="BC717" t="s">
        <v>11</v>
      </c>
      <c r="BD717" t="s">
        <v>11</v>
      </c>
      <c r="BE717" t="s">
        <v>11</v>
      </c>
      <c r="BF717" t="s">
        <v>11</v>
      </c>
      <c r="BG717" t="s">
        <v>11</v>
      </c>
      <c r="BH717" t="s">
        <v>4978</v>
      </c>
      <c r="BI717" t="s">
        <v>4974</v>
      </c>
      <c r="BK717" t="s">
        <v>4979</v>
      </c>
    </row>
    <row r="718" spans="1:63" x14ac:dyDescent="0.3">
      <c r="A718" t="s">
        <v>4980</v>
      </c>
      <c r="B718" t="s">
        <v>160</v>
      </c>
      <c r="C718" t="s">
        <v>4981</v>
      </c>
      <c r="D718" t="s">
        <v>4982</v>
      </c>
      <c r="E718" t="s">
        <v>4983</v>
      </c>
      <c r="F718">
        <v>764</v>
      </c>
      <c r="G718">
        <v>32.38000000000001</v>
      </c>
      <c r="H718">
        <v>37.6</v>
      </c>
      <c r="I718">
        <v>8.9</v>
      </c>
      <c r="J718">
        <v>15.8</v>
      </c>
      <c r="K718">
        <v>2.8</v>
      </c>
      <c r="L718">
        <v>1.8</v>
      </c>
      <c r="M718">
        <v>0.5</v>
      </c>
      <c r="Q718">
        <v>0.14000000000000001</v>
      </c>
      <c r="R718">
        <v>0.03</v>
      </c>
      <c r="S718">
        <v>0.05</v>
      </c>
      <c r="AI718" t="s">
        <v>0</v>
      </c>
      <c r="AJ718" t="s">
        <v>326</v>
      </c>
      <c r="AK718" t="s">
        <v>4984</v>
      </c>
      <c r="AL718" t="s">
        <v>4985</v>
      </c>
      <c r="AM718" t="s">
        <v>4986</v>
      </c>
      <c r="AN718" t="s">
        <v>463</v>
      </c>
      <c r="AO718" t="s">
        <v>11</v>
      </c>
      <c r="AP718" t="s">
        <v>11</v>
      </c>
      <c r="AQ718" t="s">
        <v>1267</v>
      </c>
      <c r="AR718" t="s">
        <v>11</v>
      </c>
      <c r="AS718" t="s">
        <v>3598</v>
      </c>
      <c r="AT718" t="s">
        <v>591</v>
      </c>
      <c r="AU718" t="s">
        <v>4987</v>
      </c>
      <c r="AV718" t="s">
        <v>11</v>
      </c>
      <c r="AW718" t="s">
        <v>11</v>
      </c>
      <c r="AX718" t="s">
        <v>11</v>
      </c>
      <c r="AY718" t="s">
        <v>11</v>
      </c>
      <c r="AZ718" t="s">
        <v>11</v>
      </c>
      <c r="BA718" t="s">
        <v>11</v>
      </c>
      <c r="BB718" t="s">
        <v>11</v>
      </c>
      <c r="BC718" t="s">
        <v>11</v>
      </c>
      <c r="BD718" t="s">
        <v>11</v>
      </c>
      <c r="BE718" t="s">
        <v>11</v>
      </c>
      <c r="BF718" t="s">
        <v>11</v>
      </c>
      <c r="BG718" t="s">
        <v>11</v>
      </c>
      <c r="BH718" t="s">
        <v>4988</v>
      </c>
      <c r="BI718" t="s">
        <v>4980</v>
      </c>
      <c r="BK718" t="s">
        <v>4989</v>
      </c>
    </row>
    <row r="719" spans="1:63" x14ac:dyDescent="0.3">
      <c r="A719" t="s">
        <v>3497</v>
      </c>
      <c r="B719" t="s">
        <v>95</v>
      </c>
      <c r="C719" t="s">
        <v>483</v>
      </c>
      <c r="D719" t="s">
        <v>3825</v>
      </c>
      <c r="E719" t="s">
        <v>4990</v>
      </c>
      <c r="F719">
        <v>765</v>
      </c>
      <c r="G719">
        <v>80</v>
      </c>
      <c r="I719">
        <v>9</v>
      </c>
      <c r="K719">
        <v>9</v>
      </c>
      <c r="M719">
        <v>2</v>
      </c>
      <c r="AI719" t="s">
        <v>0</v>
      </c>
      <c r="AJ719" t="s">
        <v>128</v>
      </c>
      <c r="AK719" t="s">
        <v>252</v>
      </c>
      <c r="AL719" t="s">
        <v>11</v>
      </c>
      <c r="AM719" t="s">
        <v>11</v>
      </c>
      <c r="AN719" t="s">
        <v>24</v>
      </c>
      <c r="AO719" t="s">
        <v>11</v>
      </c>
      <c r="AP719" t="s">
        <v>11</v>
      </c>
      <c r="AQ719" t="s">
        <v>11</v>
      </c>
      <c r="AR719" t="s">
        <v>11</v>
      </c>
      <c r="AS719" t="s">
        <v>11</v>
      </c>
      <c r="AT719" t="s">
        <v>11</v>
      </c>
      <c r="AU719" t="s">
        <v>11</v>
      </c>
      <c r="AV719" t="s">
        <v>11</v>
      </c>
      <c r="AW719" t="s">
        <v>11</v>
      </c>
      <c r="AX719" t="s">
        <v>11</v>
      </c>
      <c r="AY719" t="s">
        <v>11</v>
      </c>
      <c r="AZ719" t="s">
        <v>11</v>
      </c>
      <c r="BA719" t="s">
        <v>11</v>
      </c>
      <c r="BB719" t="s">
        <v>11</v>
      </c>
      <c r="BC719" t="s">
        <v>11</v>
      </c>
      <c r="BD719" t="s">
        <v>11</v>
      </c>
      <c r="BE719" t="s">
        <v>11</v>
      </c>
      <c r="BF719" t="s">
        <v>11</v>
      </c>
      <c r="BG719" t="s">
        <v>11</v>
      </c>
      <c r="BH719" t="s">
        <v>4991</v>
      </c>
      <c r="BI719" t="s">
        <v>3497</v>
      </c>
      <c r="BK719" t="s">
        <v>3501</v>
      </c>
    </row>
    <row r="720" spans="1:63" x14ac:dyDescent="0.3">
      <c r="A720" t="s">
        <v>4992</v>
      </c>
      <c r="B720" t="s">
        <v>160</v>
      </c>
      <c r="C720" t="s">
        <v>4993</v>
      </c>
      <c r="D720" t="s">
        <v>1753</v>
      </c>
      <c r="E720" t="s">
        <v>4990</v>
      </c>
      <c r="F720">
        <v>766</v>
      </c>
      <c r="G720">
        <v>57</v>
      </c>
      <c r="H720">
        <v>25</v>
      </c>
      <c r="I720">
        <v>10</v>
      </c>
      <c r="K720">
        <v>4</v>
      </c>
      <c r="L720">
        <v>2</v>
      </c>
      <c r="M720">
        <v>2</v>
      </c>
      <c r="AI720" t="s">
        <v>0</v>
      </c>
      <c r="AJ720" t="s">
        <v>22</v>
      </c>
      <c r="AK720" t="s">
        <v>462</v>
      </c>
      <c r="AL720" t="s">
        <v>685</v>
      </c>
      <c r="AM720" t="s">
        <v>11</v>
      </c>
      <c r="AN720" t="s">
        <v>24</v>
      </c>
      <c r="AO720" t="s">
        <v>11</v>
      </c>
      <c r="AP720" t="s">
        <v>11</v>
      </c>
      <c r="AQ720" t="s">
        <v>25</v>
      </c>
      <c r="AR720" t="s">
        <v>11</v>
      </c>
      <c r="AS720" t="s">
        <v>11</v>
      </c>
      <c r="AT720" t="s">
        <v>11</v>
      </c>
      <c r="AU720" t="s">
        <v>11</v>
      </c>
      <c r="AV720" t="s">
        <v>11</v>
      </c>
      <c r="AW720" t="s">
        <v>11</v>
      </c>
      <c r="AX720" t="s">
        <v>11</v>
      </c>
      <c r="AY720" t="s">
        <v>11</v>
      </c>
      <c r="AZ720" t="s">
        <v>11</v>
      </c>
      <c r="BA720" t="s">
        <v>11</v>
      </c>
      <c r="BB720" t="s">
        <v>11</v>
      </c>
      <c r="BC720" t="s">
        <v>11</v>
      </c>
      <c r="BD720" t="s">
        <v>11</v>
      </c>
      <c r="BE720" t="s">
        <v>11</v>
      </c>
      <c r="BF720" t="s">
        <v>11</v>
      </c>
      <c r="BG720" t="s">
        <v>11</v>
      </c>
      <c r="BH720" t="s">
        <v>4994</v>
      </c>
      <c r="BI720" t="s">
        <v>4992</v>
      </c>
      <c r="BK720" t="s">
        <v>4995</v>
      </c>
    </row>
    <row r="721" spans="1:63" x14ac:dyDescent="0.3">
      <c r="A721" t="s">
        <v>4996</v>
      </c>
      <c r="B721" t="s">
        <v>160</v>
      </c>
      <c r="C721" t="s">
        <v>4997</v>
      </c>
      <c r="D721" t="s">
        <v>4998</v>
      </c>
      <c r="E721" t="s">
        <v>4999</v>
      </c>
      <c r="F721">
        <v>767</v>
      </c>
      <c r="G721">
        <v>43</v>
      </c>
      <c r="H721">
        <v>30</v>
      </c>
      <c r="I721">
        <v>6</v>
      </c>
      <c r="J721">
        <v>12</v>
      </c>
      <c r="K721">
        <v>3</v>
      </c>
      <c r="L721">
        <v>5</v>
      </c>
      <c r="M721">
        <v>1</v>
      </c>
      <c r="AI721" t="s">
        <v>0</v>
      </c>
      <c r="AJ721" t="s">
        <v>926</v>
      </c>
      <c r="AK721" t="s">
        <v>1498</v>
      </c>
      <c r="AL721" t="s">
        <v>23</v>
      </c>
      <c r="AM721" t="s">
        <v>979</v>
      </c>
      <c r="AN721" t="s">
        <v>471</v>
      </c>
      <c r="AO721" t="s">
        <v>11</v>
      </c>
      <c r="AP721" t="s">
        <v>11</v>
      </c>
      <c r="AQ721" t="s">
        <v>1145</v>
      </c>
      <c r="AR721" t="s">
        <v>11</v>
      </c>
      <c r="AS721" t="s">
        <v>11</v>
      </c>
      <c r="AT721" t="s">
        <v>11</v>
      </c>
      <c r="AU721" t="s">
        <v>11</v>
      </c>
      <c r="AV721" t="s">
        <v>11</v>
      </c>
      <c r="AW721" t="s">
        <v>11</v>
      </c>
      <c r="AX721" t="s">
        <v>11</v>
      </c>
      <c r="AY721" t="s">
        <v>11</v>
      </c>
      <c r="AZ721" t="s">
        <v>11</v>
      </c>
      <c r="BA721" t="s">
        <v>11</v>
      </c>
      <c r="BB721" t="s">
        <v>11</v>
      </c>
      <c r="BC721" t="s">
        <v>11</v>
      </c>
      <c r="BD721" t="s">
        <v>11</v>
      </c>
      <c r="BE721" t="s">
        <v>11</v>
      </c>
      <c r="BF721" t="s">
        <v>11</v>
      </c>
      <c r="BG721" t="s">
        <v>11</v>
      </c>
      <c r="BH721" t="s">
        <v>5000</v>
      </c>
      <c r="BI721" t="s">
        <v>4996</v>
      </c>
      <c r="BK721" t="s">
        <v>5001</v>
      </c>
    </row>
    <row r="722" spans="1:63" x14ac:dyDescent="0.3">
      <c r="A722" t="s">
        <v>5002</v>
      </c>
      <c r="B722" t="s">
        <v>160</v>
      </c>
      <c r="C722" t="s">
        <v>5003</v>
      </c>
      <c r="D722" t="s">
        <v>5004</v>
      </c>
      <c r="E722" t="s">
        <v>4999</v>
      </c>
      <c r="F722">
        <v>768</v>
      </c>
      <c r="G722">
        <v>41</v>
      </c>
      <c r="H722">
        <v>30</v>
      </c>
      <c r="I722">
        <v>6</v>
      </c>
      <c r="J722">
        <v>14</v>
      </c>
      <c r="K722">
        <v>3</v>
      </c>
      <c r="L722">
        <v>5</v>
      </c>
      <c r="M722">
        <v>1</v>
      </c>
      <c r="AI722" t="s">
        <v>0</v>
      </c>
      <c r="AJ722" t="s">
        <v>926</v>
      </c>
      <c r="AK722" t="s">
        <v>1498</v>
      </c>
      <c r="AL722" t="s">
        <v>23</v>
      </c>
      <c r="AM722" t="s">
        <v>4885</v>
      </c>
      <c r="AN722" t="s">
        <v>471</v>
      </c>
      <c r="AO722" t="s">
        <v>11</v>
      </c>
      <c r="AP722" t="s">
        <v>11</v>
      </c>
      <c r="AQ722" t="s">
        <v>1145</v>
      </c>
      <c r="AR722" t="s">
        <v>11</v>
      </c>
      <c r="AS722" t="s">
        <v>11</v>
      </c>
      <c r="AT722" t="s">
        <v>11</v>
      </c>
      <c r="AU722" t="s">
        <v>11</v>
      </c>
      <c r="AV722" t="s">
        <v>11</v>
      </c>
      <c r="AW722" t="s">
        <v>11</v>
      </c>
      <c r="AX722" t="s">
        <v>11</v>
      </c>
      <c r="AY722" t="s">
        <v>11</v>
      </c>
      <c r="AZ722" t="s">
        <v>11</v>
      </c>
      <c r="BA722" t="s">
        <v>11</v>
      </c>
      <c r="BB722" t="s">
        <v>11</v>
      </c>
      <c r="BC722" t="s">
        <v>11</v>
      </c>
      <c r="BD722" t="s">
        <v>11</v>
      </c>
      <c r="BE722" t="s">
        <v>11</v>
      </c>
      <c r="BF722" t="s">
        <v>11</v>
      </c>
      <c r="BG722" t="s">
        <v>11</v>
      </c>
      <c r="BH722" t="s">
        <v>5005</v>
      </c>
      <c r="BI722" t="s">
        <v>5002</v>
      </c>
      <c r="BK722" t="s">
        <v>5006</v>
      </c>
    </row>
    <row r="723" spans="1:63" x14ac:dyDescent="0.3">
      <c r="A723" t="s">
        <v>5007</v>
      </c>
      <c r="B723" t="s">
        <v>160</v>
      </c>
      <c r="C723" t="s">
        <v>5008</v>
      </c>
      <c r="D723" t="s">
        <v>5009</v>
      </c>
      <c r="E723" t="s">
        <v>4999</v>
      </c>
      <c r="F723">
        <v>769</v>
      </c>
      <c r="G723">
        <v>42</v>
      </c>
      <c r="H723">
        <v>30</v>
      </c>
      <c r="I723">
        <v>6</v>
      </c>
      <c r="J723">
        <v>12</v>
      </c>
      <c r="K723">
        <v>3</v>
      </c>
      <c r="L723">
        <v>6</v>
      </c>
      <c r="M723">
        <v>1</v>
      </c>
      <c r="AI723" t="s">
        <v>0</v>
      </c>
      <c r="AJ723" t="s">
        <v>926</v>
      </c>
      <c r="AK723" t="s">
        <v>1498</v>
      </c>
      <c r="AL723" t="s">
        <v>23</v>
      </c>
      <c r="AM723" t="s">
        <v>979</v>
      </c>
      <c r="AN723" t="s">
        <v>471</v>
      </c>
      <c r="AO723" t="s">
        <v>11</v>
      </c>
      <c r="AP723" t="s">
        <v>11</v>
      </c>
      <c r="AQ723" t="s">
        <v>3007</v>
      </c>
      <c r="AR723" t="s">
        <v>11</v>
      </c>
      <c r="AS723" t="s">
        <v>11</v>
      </c>
      <c r="AT723" t="s">
        <v>11</v>
      </c>
      <c r="AU723" t="s">
        <v>11</v>
      </c>
      <c r="AV723" t="s">
        <v>11</v>
      </c>
      <c r="AW723" t="s">
        <v>11</v>
      </c>
      <c r="AX723" t="s">
        <v>11</v>
      </c>
      <c r="AY723" t="s">
        <v>11</v>
      </c>
      <c r="AZ723" t="s">
        <v>11</v>
      </c>
      <c r="BA723" t="s">
        <v>11</v>
      </c>
      <c r="BB723" t="s">
        <v>11</v>
      </c>
      <c r="BC723" t="s">
        <v>11</v>
      </c>
      <c r="BD723" t="s">
        <v>11</v>
      </c>
      <c r="BE723" t="s">
        <v>11</v>
      </c>
      <c r="BF723" t="s">
        <v>11</v>
      </c>
      <c r="BG723" t="s">
        <v>11</v>
      </c>
      <c r="BH723" t="s">
        <v>5010</v>
      </c>
      <c r="BI723" t="s">
        <v>5007</v>
      </c>
      <c r="BK723" t="s">
        <v>5011</v>
      </c>
    </row>
    <row r="724" spans="1:63" x14ac:dyDescent="0.3">
      <c r="A724" t="s">
        <v>5012</v>
      </c>
      <c r="B724" t="s">
        <v>160</v>
      </c>
      <c r="C724" t="s">
        <v>5013</v>
      </c>
      <c r="D724" t="s">
        <v>5014</v>
      </c>
      <c r="E724" t="s">
        <v>4999</v>
      </c>
      <c r="F724">
        <v>770</v>
      </c>
      <c r="G724">
        <v>42</v>
      </c>
      <c r="H724">
        <v>30</v>
      </c>
      <c r="I724">
        <v>8</v>
      </c>
      <c r="J724">
        <v>12</v>
      </c>
      <c r="K724">
        <v>3</v>
      </c>
      <c r="L724">
        <v>4</v>
      </c>
      <c r="M724">
        <v>1</v>
      </c>
      <c r="AI724" t="s">
        <v>0</v>
      </c>
      <c r="AJ724" t="s">
        <v>164</v>
      </c>
      <c r="AK724" t="s">
        <v>1498</v>
      </c>
      <c r="AL724" t="s">
        <v>23</v>
      </c>
      <c r="AM724" t="s">
        <v>979</v>
      </c>
      <c r="AN724" t="s">
        <v>471</v>
      </c>
      <c r="AO724" t="s">
        <v>11</v>
      </c>
      <c r="AP724" t="s">
        <v>11</v>
      </c>
      <c r="AQ724" t="s">
        <v>1659</v>
      </c>
      <c r="AR724" t="s">
        <v>11</v>
      </c>
      <c r="AS724" t="s">
        <v>11</v>
      </c>
      <c r="AT724" t="s">
        <v>11</v>
      </c>
      <c r="AU724" t="s">
        <v>11</v>
      </c>
      <c r="AV724" t="s">
        <v>11</v>
      </c>
      <c r="AW724" t="s">
        <v>11</v>
      </c>
      <c r="AX724" t="s">
        <v>11</v>
      </c>
      <c r="AY724" t="s">
        <v>11</v>
      </c>
      <c r="AZ724" t="s">
        <v>11</v>
      </c>
      <c r="BA724" t="s">
        <v>11</v>
      </c>
      <c r="BB724" t="s">
        <v>11</v>
      </c>
      <c r="BC724" t="s">
        <v>11</v>
      </c>
      <c r="BD724" t="s">
        <v>11</v>
      </c>
      <c r="BE724" t="s">
        <v>11</v>
      </c>
      <c r="BF724" t="s">
        <v>11</v>
      </c>
      <c r="BG724" t="s">
        <v>11</v>
      </c>
      <c r="BH724" t="s">
        <v>5015</v>
      </c>
      <c r="BI724" t="s">
        <v>5012</v>
      </c>
      <c r="BK724" t="s">
        <v>5016</v>
      </c>
    </row>
    <row r="725" spans="1:63" x14ac:dyDescent="0.3">
      <c r="A725" t="s">
        <v>5017</v>
      </c>
      <c r="B725" t="s">
        <v>160</v>
      </c>
      <c r="C725" t="s">
        <v>5018</v>
      </c>
      <c r="D725" t="s">
        <v>5019</v>
      </c>
      <c r="E725" t="s">
        <v>4999</v>
      </c>
      <c r="F725">
        <v>771</v>
      </c>
      <c r="G725">
        <v>40</v>
      </c>
      <c r="H725">
        <v>30</v>
      </c>
      <c r="I725">
        <v>8</v>
      </c>
      <c r="J725">
        <v>14</v>
      </c>
      <c r="K725">
        <v>3</v>
      </c>
      <c r="L725">
        <v>4</v>
      </c>
      <c r="M725">
        <v>1</v>
      </c>
      <c r="AI725" t="s">
        <v>0</v>
      </c>
      <c r="AJ725" t="s">
        <v>164</v>
      </c>
      <c r="AK725" t="s">
        <v>1498</v>
      </c>
      <c r="AL725" t="s">
        <v>23</v>
      </c>
      <c r="AM725" t="s">
        <v>4885</v>
      </c>
      <c r="AN725" t="s">
        <v>471</v>
      </c>
      <c r="AO725" t="s">
        <v>11</v>
      </c>
      <c r="AP725" t="s">
        <v>11</v>
      </c>
      <c r="AQ725" t="s">
        <v>1659</v>
      </c>
      <c r="AR725" t="s">
        <v>11</v>
      </c>
      <c r="AS725" t="s">
        <v>11</v>
      </c>
      <c r="AT725" t="s">
        <v>11</v>
      </c>
      <c r="AU725" t="s">
        <v>11</v>
      </c>
      <c r="AV725" t="s">
        <v>11</v>
      </c>
      <c r="AW725" t="s">
        <v>11</v>
      </c>
      <c r="AX725" t="s">
        <v>11</v>
      </c>
      <c r="AY725" t="s">
        <v>11</v>
      </c>
      <c r="AZ725" t="s">
        <v>11</v>
      </c>
      <c r="BA725" t="s">
        <v>11</v>
      </c>
      <c r="BB725" t="s">
        <v>11</v>
      </c>
      <c r="BC725" t="s">
        <v>11</v>
      </c>
      <c r="BD725" t="s">
        <v>11</v>
      </c>
      <c r="BE725" t="s">
        <v>11</v>
      </c>
      <c r="BF725" t="s">
        <v>11</v>
      </c>
      <c r="BG725" t="s">
        <v>11</v>
      </c>
      <c r="BH725" t="s">
        <v>5020</v>
      </c>
      <c r="BI725" t="s">
        <v>5017</v>
      </c>
      <c r="BK725" t="s">
        <v>5021</v>
      </c>
    </row>
    <row r="726" spans="1:63" x14ac:dyDescent="0.3">
      <c r="A726" t="s">
        <v>5022</v>
      </c>
      <c r="B726" t="s">
        <v>160</v>
      </c>
      <c r="C726" t="s">
        <v>5023</v>
      </c>
      <c r="D726" t="s">
        <v>5024</v>
      </c>
      <c r="E726" t="s">
        <v>4999</v>
      </c>
      <c r="F726">
        <v>772</v>
      </c>
      <c r="G726">
        <v>41</v>
      </c>
      <c r="H726">
        <v>30</v>
      </c>
      <c r="I726">
        <v>8</v>
      </c>
      <c r="J726">
        <v>14</v>
      </c>
      <c r="K726">
        <v>3</v>
      </c>
      <c r="L726">
        <v>3</v>
      </c>
      <c r="M726">
        <v>1</v>
      </c>
      <c r="AI726" t="s">
        <v>0</v>
      </c>
      <c r="AJ726" t="s">
        <v>164</v>
      </c>
      <c r="AK726" t="s">
        <v>1498</v>
      </c>
      <c r="AL726" t="s">
        <v>23</v>
      </c>
      <c r="AM726" t="s">
        <v>4885</v>
      </c>
      <c r="AN726" t="s">
        <v>471</v>
      </c>
      <c r="AO726" t="s">
        <v>11</v>
      </c>
      <c r="AP726" t="s">
        <v>11</v>
      </c>
      <c r="AQ726" t="s">
        <v>1944</v>
      </c>
      <c r="AR726" t="s">
        <v>11</v>
      </c>
      <c r="AS726" t="s">
        <v>11</v>
      </c>
      <c r="AT726" t="s">
        <v>11</v>
      </c>
      <c r="AU726" t="s">
        <v>11</v>
      </c>
      <c r="AV726" t="s">
        <v>11</v>
      </c>
      <c r="AW726" t="s">
        <v>11</v>
      </c>
      <c r="AX726" t="s">
        <v>11</v>
      </c>
      <c r="AY726" t="s">
        <v>11</v>
      </c>
      <c r="AZ726" t="s">
        <v>11</v>
      </c>
      <c r="BA726" t="s">
        <v>11</v>
      </c>
      <c r="BB726" t="s">
        <v>11</v>
      </c>
      <c r="BC726" t="s">
        <v>11</v>
      </c>
      <c r="BD726" t="s">
        <v>11</v>
      </c>
      <c r="BE726" t="s">
        <v>11</v>
      </c>
      <c r="BF726" t="s">
        <v>11</v>
      </c>
      <c r="BG726" t="s">
        <v>11</v>
      </c>
      <c r="BH726" t="s">
        <v>5025</v>
      </c>
      <c r="BI726" t="s">
        <v>5022</v>
      </c>
      <c r="BJ726" t="s">
        <v>4961</v>
      </c>
      <c r="BK726" t="s">
        <v>5026</v>
      </c>
    </row>
    <row r="727" spans="1:63" x14ac:dyDescent="0.3">
      <c r="A727" t="s">
        <v>4232</v>
      </c>
      <c r="B727" t="s">
        <v>514</v>
      </c>
      <c r="C727" t="s">
        <v>4233</v>
      </c>
      <c r="D727" t="s">
        <v>4234</v>
      </c>
      <c r="E727" t="s">
        <v>5027</v>
      </c>
      <c r="F727">
        <v>773</v>
      </c>
      <c r="G727">
        <v>74</v>
      </c>
      <c r="J727">
        <v>15</v>
      </c>
      <c r="L727">
        <v>11</v>
      </c>
      <c r="AI727" t="s">
        <v>0</v>
      </c>
      <c r="AJ727" t="s">
        <v>11</v>
      </c>
      <c r="AK727" t="s">
        <v>11</v>
      </c>
      <c r="AL727" t="s">
        <v>11</v>
      </c>
      <c r="AM727" t="s">
        <v>1711</v>
      </c>
      <c r="AN727" t="s">
        <v>11</v>
      </c>
      <c r="AO727" t="s">
        <v>11</v>
      </c>
      <c r="AP727" t="s">
        <v>11</v>
      </c>
      <c r="AQ727" t="s">
        <v>4236</v>
      </c>
      <c r="AR727" t="s">
        <v>11</v>
      </c>
      <c r="AS727" t="s">
        <v>11</v>
      </c>
      <c r="AT727" t="s">
        <v>11</v>
      </c>
      <c r="AU727" t="s">
        <v>11</v>
      </c>
      <c r="AV727" t="s">
        <v>11</v>
      </c>
      <c r="AW727" t="s">
        <v>11</v>
      </c>
      <c r="AX727" t="s">
        <v>11</v>
      </c>
      <c r="AY727" t="s">
        <v>11</v>
      </c>
      <c r="AZ727" t="s">
        <v>11</v>
      </c>
      <c r="BA727" t="s">
        <v>11</v>
      </c>
      <c r="BB727" t="s">
        <v>11</v>
      </c>
      <c r="BC727" t="s">
        <v>11</v>
      </c>
      <c r="BD727" t="s">
        <v>11</v>
      </c>
      <c r="BE727" t="s">
        <v>11</v>
      </c>
      <c r="BF727" t="s">
        <v>11</v>
      </c>
      <c r="BG727" t="s">
        <v>11</v>
      </c>
      <c r="BH727" t="s">
        <v>5028</v>
      </c>
      <c r="BI727" t="s">
        <v>4232</v>
      </c>
      <c r="BK727" t="s">
        <v>4239</v>
      </c>
    </row>
    <row r="728" spans="1:63" x14ac:dyDescent="0.3">
      <c r="A728" t="s">
        <v>5029</v>
      </c>
      <c r="B728" t="s">
        <v>514</v>
      </c>
      <c r="C728" t="s">
        <v>5030</v>
      </c>
      <c r="D728" t="s">
        <v>5031</v>
      </c>
      <c r="E728" t="s">
        <v>5027</v>
      </c>
      <c r="F728">
        <v>774</v>
      </c>
      <c r="G728">
        <v>73</v>
      </c>
      <c r="I728">
        <v>1</v>
      </c>
      <c r="J728">
        <v>15</v>
      </c>
      <c r="L728">
        <v>11</v>
      </c>
      <c r="AI728" t="s">
        <v>0</v>
      </c>
      <c r="AJ728" t="s">
        <v>5032</v>
      </c>
      <c r="AK728" t="s">
        <v>11</v>
      </c>
      <c r="AL728" t="s">
        <v>11</v>
      </c>
      <c r="AM728" t="s">
        <v>1711</v>
      </c>
      <c r="AN728" t="s">
        <v>11</v>
      </c>
      <c r="AO728" t="s">
        <v>11</v>
      </c>
      <c r="AP728" t="s">
        <v>11</v>
      </c>
      <c r="AQ728" t="s">
        <v>4236</v>
      </c>
      <c r="AR728" t="s">
        <v>11</v>
      </c>
      <c r="AS728" t="s">
        <v>11</v>
      </c>
      <c r="AT728" t="s">
        <v>11</v>
      </c>
      <c r="AU728" t="s">
        <v>11</v>
      </c>
      <c r="AV728" t="s">
        <v>11</v>
      </c>
      <c r="AW728" t="s">
        <v>11</v>
      </c>
      <c r="AX728" t="s">
        <v>11</v>
      </c>
      <c r="AY728" t="s">
        <v>11</v>
      </c>
      <c r="AZ728" t="s">
        <v>11</v>
      </c>
      <c r="BA728" t="s">
        <v>11</v>
      </c>
      <c r="BB728" t="s">
        <v>11</v>
      </c>
      <c r="BC728" t="s">
        <v>11</v>
      </c>
      <c r="BD728" t="s">
        <v>11</v>
      </c>
      <c r="BE728" t="s">
        <v>11</v>
      </c>
      <c r="BF728" t="s">
        <v>11</v>
      </c>
      <c r="BG728" t="s">
        <v>11</v>
      </c>
      <c r="BH728" t="s">
        <v>5033</v>
      </c>
      <c r="BI728" t="s">
        <v>5029</v>
      </c>
      <c r="BK728" t="s">
        <v>5034</v>
      </c>
    </row>
    <row r="729" spans="1:63" x14ac:dyDescent="0.3">
      <c r="A729" t="s">
        <v>5035</v>
      </c>
      <c r="B729" t="s">
        <v>514</v>
      </c>
      <c r="C729" t="s">
        <v>5036</v>
      </c>
      <c r="D729" t="s">
        <v>5037</v>
      </c>
      <c r="E729" t="s">
        <v>5027</v>
      </c>
      <c r="F729">
        <v>775</v>
      </c>
      <c r="G729">
        <v>73</v>
      </c>
      <c r="J729">
        <v>15</v>
      </c>
      <c r="L729">
        <v>11</v>
      </c>
      <c r="M729">
        <v>1</v>
      </c>
      <c r="AI729" t="s">
        <v>0</v>
      </c>
      <c r="AJ729" t="s">
        <v>11</v>
      </c>
      <c r="AK729" t="s">
        <v>11</v>
      </c>
      <c r="AL729" t="s">
        <v>11</v>
      </c>
      <c r="AM729" t="s">
        <v>1711</v>
      </c>
      <c r="AN729" t="s">
        <v>471</v>
      </c>
      <c r="AO729" t="s">
        <v>11</v>
      </c>
      <c r="AP729" t="s">
        <v>11</v>
      </c>
      <c r="AQ729" t="s">
        <v>4236</v>
      </c>
      <c r="AR729" t="s">
        <v>11</v>
      </c>
      <c r="AS729" t="s">
        <v>11</v>
      </c>
      <c r="AT729" t="s">
        <v>11</v>
      </c>
      <c r="AU729" t="s">
        <v>11</v>
      </c>
      <c r="AV729" t="s">
        <v>11</v>
      </c>
      <c r="AW729" t="s">
        <v>11</v>
      </c>
      <c r="AX729" t="s">
        <v>11</v>
      </c>
      <c r="AY729" t="s">
        <v>11</v>
      </c>
      <c r="AZ729" t="s">
        <v>11</v>
      </c>
      <c r="BA729" t="s">
        <v>11</v>
      </c>
      <c r="BB729" t="s">
        <v>11</v>
      </c>
      <c r="BC729" t="s">
        <v>11</v>
      </c>
      <c r="BD729" t="s">
        <v>11</v>
      </c>
      <c r="BE729" t="s">
        <v>11</v>
      </c>
      <c r="BF729" t="s">
        <v>11</v>
      </c>
      <c r="BG729" t="s">
        <v>11</v>
      </c>
      <c r="BH729" t="s">
        <v>5038</v>
      </c>
      <c r="BI729" t="s">
        <v>5035</v>
      </c>
      <c r="BK729" t="s">
        <v>5039</v>
      </c>
    </row>
    <row r="730" spans="1:63" x14ac:dyDescent="0.3">
      <c r="A730" t="s">
        <v>5040</v>
      </c>
      <c r="B730" t="s">
        <v>514</v>
      </c>
      <c r="C730" t="s">
        <v>5041</v>
      </c>
      <c r="D730" t="s">
        <v>5042</v>
      </c>
      <c r="E730" t="s">
        <v>5027</v>
      </c>
      <c r="F730">
        <v>776</v>
      </c>
      <c r="G730">
        <v>73</v>
      </c>
      <c r="J730">
        <v>15</v>
      </c>
      <c r="K730">
        <v>1</v>
      </c>
      <c r="L730">
        <v>11</v>
      </c>
      <c r="AI730" t="s">
        <v>0</v>
      </c>
      <c r="AJ730" t="s">
        <v>11</v>
      </c>
      <c r="AK730" t="s">
        <v>44</v>
      </c>
      <c r="AL730" t="s">
        <v>11</v>
      </c>
      <c r="AM730" t="s">
        <v>1711</v>
      </c>
      <c r="AN730" t="s">
        <v>11</v>
      </c>
      <c r="AO730" t="s">
        <v>11</v>
      </c>
      <c r="AP730" t="s">
        <v>11</v>
      </c>
      <c r="AQ730" t="s">
        <v>4236</v>
      </c>
      <c r="AR730" t="s">
        <v>11</v>
      </c>
      <c r="AS730" t="s">
        <v>11</v>
      </c>
      <c r="AT730" t="s">
        <v>11</v>
      </c>
      <c r="AU730" t="s">
        <v>11</v>
      </c>
      <c r="AV730" t="s">
        <v>11</v>
      </c>
      <c r="AW730" t="s">
        <v>11</v>
      </c>
      <c r="AX730" t="s">
        <v>11</v>
      </c>
      <c r="AY730" t="s">
        <v>11</v>
      </c>
      <c r="AZ730" t="s">
        <v>11</v>
      </c>
      <c r="BA730" t="s">
        <v>11</v>
      </c>
      <c r="BB730" t="s">
        <v>11</v>
      </c>
      <c r="BC730" t="s">
        <v>11</v>
      </c>
      <c r="BD730" t="s">
        <v>11</v>
      </c>
      <c r="BE730" t="s">
        <v>11</v>
      </c>
      <c r="BF730" t="s">
        <v>11</v>
      </c>
      <c r="BG730" t="s">
        <v>11</v>
      </c>
      <c r="BH730" t="s">
        <v>5043</v>
      </c>
      <c r="BI730" t="s">
        <v>5040</v>
      </c>
      <c r="BK730" t="s">
        <v>5044</v>
      </c>
    </row>
    <row r="731" spans="1:63" x14ac:dyDescent="0.3">
      <c r="A731" t="s">
        <v>5045</v>
      </c>
      <c r="B731" t="s">
        <v>514</v>
      </c>
      <c r="C731" t="s">
        <v>5046</v>
      </c>
      <c r="D731" t="s">
        <v>5047</v>
      </c>
      <c r="E731" t="s">
        <v>5027</v>
      </c>
      <c r="F731">
        <v>777</v>
      </c>
      <c r="G731">
        <v>73</v>
      </c>
      <c r="J731">
        <v>15</v>
      </c>
      <c r="L731">
        <v>11</v>
      </c>
      <c r="U731">
        <v>1</v>
      </c>
      <c r="AI731" t="s">
        <v>0</v>
      </c>
      <c r="AJ731" t="s">
        <v>11</v>
      </c>
      <c r="AK731" t="s">
        <v>11</v>
      </c>
      <c r="AL731" t="s">
        <v>11</v>
      </c>
      <c r="AM731" t="s">
        <v>1711</v>
      </c>
      <c r="AN731" t="s">
        <v>11</v>
      </c>
      <c r="AO731" t="s">
        <v>11</v>
      </c>
      <c r="AP731" t="s">
        <v>11</v>
      </c>
      <c r="AQ731" t="s">
        <v>4236</v>
      </c>
      <c r="AR731" t="s">
        <v>11</v>
      </c>
      <c r="AS731" t="s">
        <v>11</v>
      </c>
      <c r="AT731" t="s">
        <v>11</v>
      </c>
      <c r="AU731" t="s">
        <v>11</v>
      </c>
      <c r="AV731" t="s">
        <v>11</v>
      </c>
      <c r="AW731" t="s">
        <v>2066</v>
      </c>
      <c r="AX731" t="s">
        <v>11</v>
      </c>
      <c r="AY731" t="s">
        <v>11</v>
      </c>
      <c r="AZ731" t="s">
        <v>11</v>
      </c>
      <c r="BA731" t="s">
        <v>11</v>
      </c>
      <c r="BB731" t="s">
        <v>11</v>
      </c>
      <c r="BC731" t="s">
        <v>11</v>
      </c>
      <c r="BD731" t="s">
        <v>11</v>
      </c>
      <c r="BE731" t="s">
        <v>11</v>
      </c>
      <c r="BF731" t="s">
        <v>11</v>
      </c>
      <c r="BG731" t="s">
        <v>11</v>
      </c>
      <c r="BH731" t="s">
        <v>5048</v>
      </c>
      <c r="BI731" t="s">
        <v>5045</v>
      </c>
      <c r="BK731" t="s">
        <v>5049</v>
      </c>
    </row>
    <row r="732" spans="1:63" x14ac:dyDescent="0.3">
      <c r="A732" t="s">
        <v>5050</v>
      </c>
      <c r="B732" t="s">
        <v>5</v>
      </c>
      <c r="C732" t="s">
        <v>483</v>
      </c>
      <c r="D732" t="s">
        <v>484</v>
      </c>
      <c r="E732" t="s">
        <v>5027</v>
      </c>
      <c r="F732">
        <v>778</v>
      </c>
      <c r="G732">
        <v>79.8</v>
      </c>
      <c r="I732">
        <v>8.9</v>
      </c>
      <c r="K732">
        <v>9</v>
      </c>
      <c r="M732">
        <v>2.2999999999999998</v>
      </c>
      <c r="AI732" t="s">
        <v>0</v>
      </c>
      <c r="AJ732" t="s">
        <v>326</v>
      </c>
      <c r="AK732" t="s">
        <v>252</v>
      </c>
      <c r="AL732" t="s">
        <v>11</v>
      </c>
      <c r="AM732" t="s">
        <v>11</v>
      </c>
      <c r="AN732" t="s">
        <v>1239</v>
      </c>
      <c r="AO732" t="s">
        <v>11</v>
      </c>
      <c r="AP732" t="s">
        <v>11</v>
      </c>
      <c r="AQ732" t="s">
        <v>11</v>
      </c>
      <c r="AR732" t="s">
        <v>11</v>
      </c>
      <c r="AS732" t="s">
        <v>11</v>
      </c>
      <c r="AT732" t="s">
        <v>11</v>
      </c>
      <c r="AU732" t="s">
        <v>11</v>
      </c>
      <c r="AV732" t="s">
        <v>11</v>
      </c>
      <c r="AW732" t="s">
        <v>11</v>
      </c>
      <c r="AX732" t="s">
        <v>11</v>
      </c>
      <c r="AY732" t="s">
        <v>11</v>
      </c>
      <c r="AZ732" t="s">
        <v>11</v>
      </c>
      <c r="BA732" t="s">
        <v>11</v>
      </c>
      <c r="BB732" t="s">
        <v>11</v>
      </c>
      <c r="BC732" t="s">
        <v>11</v>
      </c>
      <c r="BD732" t="s">
        <v>11</v>
      </c>
      <c r="BE732" t="s">
        <v>11</v>
      </c>
      <c r="BF732" t="s">
        <v>11</v>
      </c>
      <c r="BG732" t="s">
        <v>11</v>
      </c>
      <c r="BH732" t="s">
        <v>5051</v>
      </c>
      <c r="BI732" t="s">
        <v>5050</v>
      </c>
      <c r="BJ732" t="s">
        <v>4961</v>
      </c>
      <c r="BK732" t="s">
        <v>5052</v>
      </c>
    </row>
    <row r="733" spans="1:63" x14ac:dyDescent="0.3">
      <c r="A733" t="s">
        <v>5053</v>
      </c>
      <c r="B733" t="s">
        <v>5</v>
      </c>
      <c r="C733" t="s">
        <v>2201</v>
      </c>
      <c r="D733" t="s">
        <v>3927</v>
      </c>
      <c r="E733" t="s">
        <v>5054</v>
      </c>
      <c r="F733">
        <v>779</v>
      </c>
      <c r="G733">
        <v>53</v>
      </c>
      <c r="H733">
        <v>30</v>
      </c>
      <c r="I733">
        <v>10</v>
      </c>
      <c r="N733">
        <v>2</v>
      </c>
      <c r="P733">
        <v>5</v>
      </c>
      <c r="AI733" t="s">
        <v>0</v>
      </c>
      <c r="AJ733" t="s">
        <v>22</v>
      </c>
      <c r="AK733" t="s">
        <v>11</v>
      </c>
      <c r="AL733" t="s">
        <v>23</v>
      </c>
      <c r="AM733" t="s">
        <v>11</v>
      </c>
      <c r="AN733" t="s">
        <v>11</v>
      </c>
      <c r="AO733" t="s">
        <v>790</v>
      </c>
      <c r="AP733" t="s">
        <v>11</v>
      </c>
      <c r="AQ733" t="s">
        <v>11</v>
      </c>
      <c r="AR733" t="s">
        <v>26</v>
      </c>
      <c r="AS733" t="s">
        <v>11</v>
      </c>
      <c r="AT733" t="s">
        <v>11</v>
      </c>
      <c r="AU733" t="s">
        <v>11</v>
      </c>
      <c r="AV733" t="s">
        <v>11</v>
      </c>
      <c r="AW733" t="s">
        <v>11</v>
      </c>
      <c r="AX733" t="s">
        <v>11</v>
      </c>
      <c r="AY733" t="s">
        <v>11</v>
      </c>
      <c r="AZ733" t="s">
        <v>11</v>
      </c>
      <c r="BA733" t="s">
        <v>11</v>
      </c>
      <c r="BB733" t="s">
        <v>11</v>
      </c>
      <c r="BC733" t="s">
        <v>11</v>
      </c>
      <c r="BD733" t="s">
        <v>11</v>
      </c>
      <c r="BE733" t="s">
        <v>11</v>
      </c>
      <c r="BF733" t="s">
        <v>11</v>
      </c>
      <c r="BG733" t="s">
        <v>11</v>
      </c>
      <c r="BH733" t="s">
        <v>5055</v>
      </c>
      <c r="BI733" t="s">
        <v>5053</v>
      </c>
      <c r="BJ733" t="s">
        <v>4961</v>
      </c>
      <c r="BK733" t="s">
        <v>5056</v>
      </c>
    </row>
    <row r="734" spans="1:63" x14ac:dyDescent="0.3">
      <c r="A734" t="s">
        <v>5057</v>
      </c>
      <c r="B734" t="s">
        <v>5</v>
      </c>
      <c r="C734" t="s">
        <v>5058</v>
      </c>
      <c r="D734" t="s">
        <v>5059</v>
      </c>
      <c r="E734" t="s">
        <v>5054</v>
      </c>
      <c r="F734">
        <v>780</v>
      </c>
      <c r="G734">
        <v>43</v>
      </c>
      <c r="H734">
        <v>30</v>
      </c>
      <c r="I734">
        <v>10</v>
      </c>
      <c r="J734">
        <v>10</v>
      </c>
      <c r="N734">
        <v>2</v>
      </c>
      <c r="P734">
        <v>5</v>
      </c>
      <c r="AI734" t="s">
        <v>0</v>
      </c>
      <c r="AJ734" t="s">
        <v>22</v>
      </c>
      <c r="AK734" t="s">
        <v>11</v>
      </c>
      <c r="AL734" t="s">
        <v>23</v>
      </c>
      <c r="AM734" t="s">
        <v>1284</v>
      </c>
      <c r="AN734" t="s">
        <v>11</v>
      </c>
      <c r="AO734" t="s">
        <v>790</v>
      </c>
      <c r="AP734" t="s">
        <v>11</v>
      </c>
      <c r="AQ734" t="s">
        <v>11</v>
      </c>
      <c r="AR734" t="s">
        <v>26</v>
      </c>
      <c r="AS734" t="s">
        <v>11</v>
      </c>
      <c r="AT734" t="s">
        <v>11</v>
      </c>
      <c r="AU734" t="s">
        <v>11</v>
      </c>
      <c r="AV734" t="s">
        <v>11</v>
      </c>
      <c r="AW734" t="s">
        <v>11</v>
      </c>
      <c r="AX734" t="s">
        <v>11</v>
      </c>
      <c r="AY734" t="s">
        <v>11</v>
      </c>
      <c r="AZ734" t="s">
        <v>11</v>
      </c>
      <c r="BA734" t="s">
        <v>11</v>
      </c>
      <c r="BB734" t="s">
        <v>11</v>
      </c>
      <c r="BC734" t="s">
        <v>11</v>
      </c>
      <c r="BD734" t="s">
        <v>11</v>
      </c>
      <c r="BE734" t="s">
        <v>11</v>
      </c>
      <c r="BF734" t="s">
        <v>11</v>
      </c>
      <c r="BG734" t="s">
        <v>11</v>
      </c>
      <c r="BH734" t="s">
        <v>5060</v>
      </c>
      <c r="BI734" t="s">
        <v>5057</v>
      </c>
      <c r="BK734" t="s">
        <v>5061</v>
      </c>
    </row>
    <row r="735" spans="1:63" x14ac:dyDescent="0.3">
      <c r="A735" t="s">
        <v>5062</v>
      </c>
      <c r="B735" t="s">
        <v>5</v>
      </c>
      <c r="C735" t="s">
        <v>5063</v>
      </c>
      <c r="D735" t="s">
        <v>5064</v>
      </c>
      <c r="E735" t="s">
        <v>5054</v>
      </c>
      <c r="F735">
        <v>781</v>
      </c>
      <c r="G735">
        <v>53</v>
      </c>
      <c r="H735">
        <v>30</v>
      </c>
      <c r="I735">
        <v>10</v>
      </c>
      <c r="L735">
        <v>2</v>
      </c>
      <c r="P735">
        <v>5</v>
      </c>
      <c r="AI735" t="s">
        <v>0</v>
      </c>
      <c r="AJ735" t="s">
        <v>22</v>
      </c>
      <c r="AK735" t="s">
        <v>11</v>
      </c>
      <c r="AL735" t="s">
        <v>23</v>
      </c>
      <c r="AM735" t="s">
        <v>11</v>
      </c>
      <c r="AN735" t="s">
        <v>11</v>
      </c>
      <c r="AO735" t="s">
        <v>11</v>
      </c>
      <c r="AP735" t="s">
        <v>11</v>
      </c>
      <c r="AQ735" t="s">
        <v>25</v>
      </c>
      <c r="AR735" t="s">
        <v>26</v>
      </c>
      <c r="AS735" t="s">
        <v>11</v>
      </c>
      <c r="AT735" t="s">
        <v>11</v>
      </c>
      <c r="AU735" t="s">
        <v>11</v>
      </c>
      <c r="AV735" t="s">
        <v>11</v>
      </c>
      <c r="AW735" t="s">
        <v>11</v>
      </c>
      <c r="AX735" t="s">
        <v>11</v>
      </c>
      <c r="AY735" t="s">
        <v>11</v>
      </c>
      <c r="AZ735" t="s">
        <v>11</v>
      </c>
      <c r="BA735" t="s">
        <v>11</v>
      </c>
      <c r="BB735" t="s">
        <v>11</v>
      </c>
      <c r="BC735" t="s">
        <v>11</v>
      </c>
      <c r="BD735" t="s">
        <v>11</v>
      </c>
      <c r="BE735" t="s">
        <v>11</v>
      </c>
      <c r="BF735" t="s">
        <v>11</v>
      </c>
      <c r="BG735" t="s">
        <v>11</v>
      </c>
      <c r="BH735" t="s">
        <v>5065</v>
      </c>
      <c r="BI735" t="s">
        <v>5062</v>
      </c>
      <c r="BK735" t="s">
        <v>5066</v>
      </c>
    </row>
    <row r="736" spans="1:63" x14ac:dyDescent="0.3">
      <c r="A736" t="s">
        <v>5067</v>
      </c>
      <c r="B736" t="s">
        <v>5</v>
      </c>
      <c r="C736" t="s">
        <v>5068</v>
      </c>
      <c r="D736" t="s">
        <v>5069</v>
      </c>
      <c r="E736" t="s">
        <v>5054</v>
      </c>
      <c r="F736">
        <v>782</v>
      </c>
      <c r="G736">
        <v>41</v>
      </c>
      <c r="H736">
        <v>30</v>
      </c>
      <c r="I736">
        <v>10</v>
      </c>
      <c r="J736">
        <v>10</v>
      </c>
      <c r="M736">
        <v>2</v>
      </c>
      <c r="N736">
        <v>2</v>
      </c>
      <c r="P736">
        <v>5</v>
      </c>
      <c r="AI736" t="s">
        <v>0</v>
      </c>
      <c r="AJ736" t="s">
        <v>22</v>
      </c>
      <c r="AK736" t="s">
        <v>11</v>
      </c>
      <c r="AL736" t="s">
        <v>23</v>
      </c>
      <c r="AM736" t="s">
        <v>1284</v>
      </c>
      <c r="AN736" t="s">
        <v>24</v>
      </c>
      <c r="AO736" t="s">
        <v>790</v>
      </c>
      <c r="AP736" t="s">
        <v>11</v>
      </c>
      <c r="AQ736" t="s">
        <v>11</v>
      </c>
      <c r="AR736" t="s">
        <v>26</v>
      </c>
      <c r="AS736" t="s">
        <v>11</v>
      </c>
      <c r="AT736" t="s">
        <v>11</v>
      </c>
      <c r="AU736" t="s">
        <v>11</v>
      </c>
      <c r="AV736" t="s">
        <v>11</v>
      </c>
      <c r="AW736" t="s">
        <v>11</v>
      </c>
      <c r="AX736" t="s">
        <v>11</v>
      </c>
      <c r="AY736" t="s">
        <v>11</v>
      </c>
      <c r="AZ736" t="s">
        <v>11</v>
      </c>
      <c r="BA736" t="s">
        <v>11</v>
      </c>
      <c r="BB736" t="s">
        <v>11</v>
      </c>
      <c r="BC736" t="s">
        <v>11</v>
      </c>
      <c r="BD736" t="s">
        <v>11</v>
      </c>
      <c r="BE736" t="s">
        <v>11</v>
      </c>
      <c r="BF736" t="s">
        <v>11</v>
      </c>
      <c r="BG736" t="s">
        <v>11</v>
      </c>
      <c r="BH736" t="s">
        <v>5070</v>
      </c>
      <c r="BI736" t="s">
        <v>5067</v>
      </c>
      <c r="BK736" t="s">
        <v>5071</v>
      </c>
    </row>
    <row r="737" spans="1:63" x14ac:dyDescent="0.3">
      <c r="A737" t="s">
        <v>5072</v>
      </c>
      <c r="B737" t="s">
        <v>31</v>
      </c>
      <c r="C737" t="s">
        <v>5073</v>
      </c>
      <c r="D737" t="s">
        <v>5074</v>
      </c>
      <c r="E737" t="s">
        <v>5075</v>
      </c>
      <c r="F737">
        <v>783</v>
      </c>
      <c r="G737">
        <v>44</v>
      </c>
      <c r="H737">
        <v>32</v>
      </c>
      <c r="I737">
        <v>11</v>
      </c>
      <c r="J737">
        <v>5</v>
      </c>
      <c r="K737">
        <v>2</v>
      </c>
      <c r="L737">
        <v>2</v>
      </c>
      <c r="M737">
        <v>3</v>
      </c>
      <c r="N737">
        <v>0.5</v>
      </c>
      <c r="P737">
        <v>0.5</v>
      </c>
      <c r="AG737">
        <v>8.83</v>
      </c>
      <c r="AI737" t="s">
        <v>0</v>
      </c>
      <c r="AJ737" t="s">
        <v>1365</v>
      </c>
      <c r="AK737" t="s">
        <v>62</v>
      </c>
      <c r="AL737" t="s">
        <v>1530</v>
      </c>
      <c r="AM737" t="s">
        <v>1658</v>
      </c>
      <c r="AN737" t="s">
        <v>1285</v>
      </c>
      <c r="AO737" t="s">
        <v>5076</v>
      </c>
      <c r="AP737" t="s">
        <v>11</v>
      </c>
      <c r="AQ737" t="s">
        <v>25</v>
      </c>
      <c r="AR737" t="s">
        <v>5077</v>
      </c>
      <c r="AS737" t="s">
        <v>11</v>
      </c>
      <c r="AT737" t="s">
        <v>11</v>
      </c>
      <c r="AU737" t="s">
        <v>11</v>
      </c>
      <c r="AV737" t="s">
        <v>11</v>
      </c>
      <c r="AW737" t="s">
        <v>11</v>
      </c>
      <c r="AX737" t="s">
        <v>11</v>
      </c>
      <c r="AY737" t="s">
        <v>11</v>
      </c>
      <c r="AZ737" t="s">
        <v>11</v>
      </c>
      <c r="BA737" t="s">
        <v>11</v>
      </c>
      <c r="BB737" t="s">
        <v>11</v>
      </c>
      <c r="BC737" t="s">
        <v>11</v>
      </c>
      <c r="BD737" t="s">
        <v>11</v>
      </c>
      <c r="BE737" t="s">
        <v>11</v>
      </c>
      <c r="BF737" t="s">
        <v>11</v>
      </c>
      <c r="BG737" t="s">
        <v>11</v>
      </c>
      <c r="BH737" t="s">
        <v>5078</v>
      </c>
      <c r="BI737" t="s">
        <v>5072</v>
      </c>
      <c r="BK737" t="s">
        <v>5079</v>
      </c>
    </row>
    <row r="738" spans="1:63" x14ac:dyDescent="0.3">
      <c r="A738" t="s">
        <v>1653</v>
      </c>
      <c r="B738" t="s">
        <v>31</v>
      </c>
      <c r="C738" t="s">
        <v>1654</v>
      </c>
      <c r="D738" t="s">
        <v>5080</v>
      </c>
      <c r="E738" t="s">
        <v>5075</v>
      </c>
      <c r="F738">
        <v>784</v>
      </c>
      <c r="G738">
        <v>45</v>
      </c>
      <c r="H738">
        <v>30</v>
      </c>
      <c r="I738">
        <v>11</v>
      </c>
      <c r="J738">
        <v>5</v>
      </c>
      <c r="K738">
        <v>4</v>
      </c>
      <c r="L738">
        <v>4</v>
      </c>
      <c r="M738">
        <v>1</v>
      </c>
      <c r="AG738">
        <v>8.77</v>
      </c>
      <c r="AI738" t="s">
        <v>0</v>
      </c>
      <c r="AJ738" t="s">
        <v>1365</v>
      </c>
      <c r="AK738" t="s">
        <v>462</v>
      </c>
      <c r="AL738" t="s">
        <v>23</v>
      </c>
      <c r="AM738" t="s">
        <v>1658</v>
      </c>
      <c r="AN738" t="s">
        <v>471</v>
      </c>
      <c r="AO738" t="s">
        <v>11</v>
      </c>
      <c r="AP738" t="s">
        <v>11</v>
      </c>
      <c r="AQ738" t="s">
        <v>1659</v>
      </c>
      <c r="AR738" t="s">
        <v>11</v>
      </c>
      <c r="AS738" t="s">
        <v>11</v>
      </c>
      <c r="AT738" t="s">
        <v>11</v>
      </c>
      <c r="AU738" t="s">
        <v>11</v>
      </c>
      <c r="AV738" t="s">
        <v>11</v>
      </c>
      <c r="AW738" t="s">
        <v>11</v>
      </c>
      <c r="AX738" t="s">
        <v>11</v>
      </c>
      <c r="AY738" t="s">
        <v>11</v>
      </c>
      <c r="AZ738" t="s">
        <v>11</v>
      </c>
      <c r="BA738" t="s">
        <v>11</v>
      </c>
      <c r="BB738" t="s">
        <v>11</v>
      </c>
      <c r="BC738" t="s">
        <v>11</v>
      </c>
      <c r="BD738" t="s">
        <v>11</v>
      </c>
      <c r="BE738" t="s">
        <v>11</v>
      </c>
      <c r="BF738" t="s">
        <v>11</v>
      </c>
      <c r="BG738" t="s">
        <v>11</v>
      </c>
      <c r="BH738" t="s">
        <v>5081</v>
      </c>
      <c r="BI738" t="s">
        <v>1653</v>
      </c>
      <c r="BK738" t="s">
        <v>1662</v>
      </c>
    </row>
    <row r="739" spans="1:63" x14ac:dyDescent="0.3">
      <c r="A739" t="s">
        <v>5082</v>
      </c>
      <c r="B739" t="s">
        <v>95</v>
      </c>
      <c r="C739" t="s">
        <v>5083</v>
      </c>
      <c r="D739" t="s">
        <v>5084</v>
      </c>
      <c r="E739" t="s">
        <v>3245</v>
      </c>
      <c r="F739">
        <v>785</v>
      </c>
      <c r="G739">
        <v>80</v>
      </c>
      <c r="H739">
        <v>0</v>
      </c>
      <c r="I739">
        <v>10</v>
      </c>
      <c r="K739">
        <v>10</v>
      </c>
      <c r="AI739" t="s">
        <v>0</v>
      </c>
      <c r="AJ739" t="s">
        <v>22</v>
      </c>
      <c r="AK739" t="s">
        <v>677</v>
      </c>
      <c r="AL739" t="s">
        <v>701</v>
      </c>
      <c r="AM739" t="s">
        <v>11</v>
      </c>
      <c r="AN739" t="s">
        <v>11</v>
      </c>
      <c r="AO739" t="s">
        <v>11</v>
      </c>
      <c r="AP739" t="s">
        <v>11</v>
      </c>
      <c r="AQ739" t="s">
        <v>11</v>
      </c>
      <c r="AR739" t="s">
        <v>11</v>
      </c>
      <c r="AS739" t="s">
        <v>11</v>
      </c>
      <c r="AT739" t="s">
        <v>11</v>
      </c>
      <c r="AU739" t="s">
        <v>11</v>
      </c>
      <c r="AV739" t="s">
        <v>11</v>
      </c>
      <c r="AW739" t="s">
        <v>11</v>
      </c>
      <c r="AX739" t="s">
        <v>11</v>
      </c>
      <c r="AY739" t="s">
        <v>11</v>
      </c>
      <c r="AZ739" t="s">
        <v>11</v>
      </c>
      <c r="BA739" t="s">
        <v>11</v>
      </c>
      <c r="BB739" t="s">
        <v>11</v>
      </c>
      <c r="BC739" t="s">
        <v>11</v>
      </c>
      <c r="BD739" t="s">
        <v>11</v>
      </c>
      <c r="BE739" t="s">
        <v>11</v>
      </c>
      <c r="BF739" t="s">
        <v>11</v>
      </c>
      <c r="BG739" t="s">
        <v>11</v>
      </c>
      <c r="BH739" t="s">
        <v>5085</v>
      </c>
      <c r="BI739" t="s">
        <v>5082</v>
      </c>
      <c r="BK739" t="s">
        <v>5086</v>
      </c>
    </row>
    <row r="740" spans="1:63" x14ac:dyDescent="0.3">
      <c r="A740" t="s">
        <v>5087</v>
      </c>
      <c r="B740" t="s">
        <v>95</v>
      </c>
      <c r="C740" t="s">
        <v>5088</v>
      </c>
      <c r="D740" t="s">
        <v>5089</v>
      </c>
      <c r="E740" t="s">
        <v>3245</v>
      </c>
      <c r="F740">
        <v>786</v>
      </c>
      <c r="G740">
        <v>75</v>
      </c>
      <c r="H740">
        <v>5</v>
      </c>
      <c r="I740">
        <v>10</v>
      </c>
      <c r="K740">
        <v>10</v>
      </c>
      <c r="AI740" t="s">
        <v>0</v>
      </c>
      <c r="AJ740" t="s">
        <v>22</v>
      </c>
      <c r="AK740" t="s">
        <v>677</v>
      </c>
      <c r="AL740" t="s">
        <v>5090</v>
      </c>
      <c r="AM740" t="s">
        <v>11</v>
      </c>
      <c r="AN740" t="s">
        <v>11</v>
      </c>
      <c r="AO740" t="s">
        <v>11</v>
      </c>
      <c r="AP740" t="s">
        <v>11</v>
      </c>
      <c r="AQ740" t="s">
        <v>11</v>
      </c>
      <c r="AR740" t="s">
        <v>11</v>
      </c>
      <c r="AS740" t="s">
        <v>11</v>
      </c>
      <c r="AT740" t="s">
        <v>11</v>
      </c>
      <c r="AU740" t="s">
        <v>11</v>
      </c>
      <c r="AV740" t="s">
        <v>11</v>
      </c>
      <c r="AW740" t="s">
        <v>11</v>
      </c>
      <c r="AX740" t="s">
        <v>11</v>
      </c>
      <c r="AY740" t="s">
        <v>11</v>
      </c>
      <c r="AZ740" t="s">
        <v>11</v>
      </c>
      <c r="BA740" t="s">
        <v>11</v>
      </c>
      <c r="BB740" t="s">
        <v>11</v>
      </c>
      <c r="BC740" t="s">
        <v>11</v>
      </c>
      <c r="BD740" t="s">
        <v>11</v>
      </c>
      <c r="BE740" t="s">
        <v>11</v>
      </c>
      <c r="BF740" t="s">
        <v>11</v>
      </c>
      <c r="BG740" t="s">
        <v>11</v>
      </c>
      <c r="BH740" t="s">
        <v>5091</v>
      </c>
      <c r="BI740" t="s">
        <v>5087</v>
      </c>
      <c r="BK740" t="s">
        <v>5092</v>
      </c>
    </row>
    <row r="741" spans="1:63" x14ac:dyDescent="0.3">
      <c r="A741" t="s">
        <v>3242</v>
      </c>
      <c r="B741" t="s">
        <v>95</v>
      </c>
      <c r="C741" t="s">
        <v>3243</v>
      </c>
      <c r="D741" t="s">
        <v>5093</v>
      </c>
      <c r="E741" t="s">
        <v>3245</v>
      </c>
      <c r="F741">
        <v>787</v>
      </c>
      <c r="G741">
        <v>70</v>
      </c>
      <c r="H741">
        <v>10</v>
      </c>
      <c r="I741">
        <v>10</v>
      </c>
      <c r="K741">
        <v>10</v>
      </c>
      <c r="AI741" t="s">
        <v>0</v>
      </c>
      <c r="AJ741" t="s">
        <v>22</v>
      </c>
      <c r="AK741" t="s">
        <v>677</v>
      </c>
      <c r="AL741" t="s">
        <v>520</v>
      </c>
      <c r="AM741" t="s">
        <v>11</v>
      </c>
      <c r="AN741" t="s">
        <v>11</v>
      </c>
      <c r="AO741" t="s">
        <v>11</v>
      </c>
      <c r="AP741" t="s">
        <v>11</v>
      </c>
      <c r="AQ741" t="s">
        <v>11</v>
      </c>
      <c r="AR741" t="s">
        <v>11</v>
      </c>
      <c r="AS741" t="s">
        <v>11</v>
      </c>
      <c r="AT741" t="s">
        <v>11</v>
      </c>
      <c r="AU741" t="s">
        <v>11</v>
      </c>
      <c r="AV741" t="s">
        <v>11</v>
      </c>
      <c r="AW741" t="s">
        <v>11</v>
      </c>
      <c r="AX741" t="s">
        <v>11</v>
      </c>
      <c r="AY741" t="s">
        <v>11</v>
      </c>
      <c r="AZ741" t="s">
        <v>11</v>
      </c>
      <c r="BA741" t="s">
        <v>11</v>
      </c>
      <c r="BB741" t="s">
        <v>11</v>
      </c>
      <c r="BC741" t="s">
        <v>11</v>
      </c>
      <c r="BD741" t="s">
        <v>11</v>
      </c>
      <c r="BE741" t="s">
        <v>11</v>
      </c>
      <c r="BF741" t="s">
        <v>11</v>
      </c>
      <c r="BG741" t="s">
        <v>11</v>
      </c>
      <c r="BH741" t="s">
        <v>5094</v>
      </c>
      <c r="BI741" t="s">
        <v>3242</v>
      </c>
      <c r="BK741" t="s">
        <v>3248</v>
      </c>
    </row>
    <row r="742" spans="1:63" x14ac:dyDescent="0.3">
      <c r="A742" t="s">
        <v>5095</v>
      </c>
      <c r="B742" t="s">
        <v>95</v>
      </c>
      <c r="C742" t="s">
        <v>5096</v>
      </c>
      <c r="D742" t="s">
        <v>5097</v>
      </c>
      <c r="E742" t="s">
        <v>3245</v>
      </c>
      <c r="F742">
        <v>788</v>
      </c>
      <c r="G742">
        <v>65</v>
      </c>
      <c r="H742">
        <v>15</v>
      </c>
      <c r="I742">
        <v>10</v>
      </c>
      <c r="K742">
        <v>10</v>
      </c>
      <c r="AI742" t="s">
        <v>0</v>
      </c>
      <c r="AJ742" t="s">
        <v>22</v>
      </c>
      <c r="AK742" t="s">
        <v>677</v>
      </c>
      <c r="AL742" t="s">
        <v>678</v>
      </c>
      <c r="AM742" t="s">
        <v>11</v>
      </c>
      <c r="AN742" t="s">
        <v>11</v>
      </c>
      <c r="AO742" t="s">
        <v>11</v>
      </c>
      <c r="AP742" t="s">
        <v>11</v>
      </c>
      <c r="AQ742" t="s">
        <v>11</v>
      </c>
      <c r="AR742" t="s">
        <v>11</v>
      </c>
      <c r="AS742" t="s">
        <v>11</v>
      </c>
      <c r="AT742" t="s">
        <v>11</v>
      </c>
      <c r="AU742" t="s">
        <v>11</v>
      </c>
      <c r="AV742" t="s">
        <v>11</v>
      </c>
      <c r="AW742" t="s">
        <v>11</v>
      </c>
      <c r="AX742" t="s">
        <v>11</v>
      </c>
      <c r="AY742" t="s">
        <v>11</v>
      </c>
      <c r="AZ742" t="s">
        <v>11</v>
      </c>
      <c r="BA742" t="s">
        <v>11</v>
      </c>
      <c r="BB742" t="s">
        <v>11</v>
      </c>
      <c r="BC742" t="s">
        <v>11</v>
      </c>
      <c r="BD742" t="s">
        <v>11</v>
      </c>
      <c r="BE742" t="s">
        <v>11</v>
      </c>
      <c r="BF742" t="s">
        <v>11</v>
      </c>
      <c r="BG742" t="s">
        <v>11</v>
      </c>
      <c r="BH742" t="s">
        <v>5098</v>
      </c>
      <c r="BI742" t="s">
        <v>5095</v>
      </c>
      <c r="BK742" t="s">
        <v>5099</v>
      </c>
    </row>
    <row r="743" spans="1:63" x14ac:dyDescent="0.3">
      <c r="A743" t="s">
        <v>3262</v>
      </c>
      <c r="B743" t="s">
        <v>95</v>
      </c>
      <c r="C743" t="s">
        <v>3263</v>
      </c>
      <c r="D743" t="s">
        <v>5100</v>
      </c>
      <c r="E743" t="s">
        <v>3245</v>
      </c>
      <c r="F743">
        <v>789</v>
      </c>
      <c r="G743">
        <v>60</v>
      </c>
      <c r="H743">
        <v>20</v>
      </c>
      <c r="I743">
        <v>10</v>
      </c>
      <c r="K743">
        <v>10</v>
      </c>
      <c r="AI743" t="s">
        <v>0</v>
      </c>
      <c r="AJ743" t="s">
        <v>22</v>
      </c>
      <c r="AK743" t="s">
        <v>677</v>
      </c>
      <c r="AL743" t="s">
        <v>834</v>
      </c>
      <c r="AM743" t="s">
        <v>11</v>
      </c>
      <c r="AN743" t="s">
        <v>11</v>
      </c>
      <c r="AO743" t="s">
        <v>11</v>
      </c>
      <c r="AP743" t="s">
        <v>11</v>
      </c>
      <c r="AQ743" t="s">
        <v>11</v>
      </c>
      <c r="AR743" t="s">
        <v>11</v>
      </c>
      <c r="AS743" t="s">
        <v>11</v>
      </c>
      <c r="AT743" t="s">
        <v>11</v>
      </c>
      <c r="AU743" t="s">
        <v>11</v>
      </c>
      <c r="AV743" t="s">
        <v>11</v>
      </c>
      <c r="AW743" t="s">
        <v>11</v>
      </c>
      <c r="AX743" t="s">
        <v>11</v>
      </c>
      <c r="AY743" t="s">
        <v>11</v>
      </c>
      <c r="AZ743" t="s">
        <v>11</v>
      </c>
      <c r="BA743" t="s">
        <v>11</v>
      </c>
      <c r="BB743" t="s">
        <v>11</v>
      </c>
      <c r="BC743" t="s">
        <v>11</v>
      </c>
      <c r="BD743" t="s">
        <v>11</v>
      </c>
      <c r="BE743" t="s">
        <v>11</v>
      </c>
      <c r="BF743" t="s">
        <v>11</v>
      </c>
      <c r="BG743" t="s">
        <v>11</v>
      </c>
      <c r="BH743" t="s">
        <v>5101</v>
      </c>
      <c r="BI743" t="s">
        <v>3262</v>
      </c>
      <c r="BJ743" t="s">
        <v>4961</v>
      </c>
      <c r="BK743" t="s">
        <v>3267</v>
      </c>
    </row>
    <row r="744" spans="1:63" x14ac:dyDescent="0.3">
      <c r="A744" t="s">
        <v>3287</v>
      </c>
      <c r="B744" t="s">
        <v>95</v>
      </c>
      <c r="C744" t="s">
        <v>3288</v>
      </c>
      <c r="D744" t="s">
        <v>5102</v>
      </c>
      <c r="E744" t="s">
        <v>3245</v>
      </c>
      <c r="F744">
        <v>790</v>
      </c>
      <c r="G744">
        <v>50</v>
      </c>
      <c r="H744">
        <v>30</v>
      </c>
      <c r="I744">
        <v>10</v>
      </c>
      <c r="K744">
        <v>10</v>
      </c>
      <c r="AI744" t="s">
        <v>0</v>
      </c>
      <c r="AJ744" t="s">
        <v>22</v>
      </c>
      <c r="AK744" t="s">
        <v>677</v>
      </c>
      <c r="AL744" t="s">
        <v>23</v>
      </c>
      <c r="AM744" t="s">
        <v>11</v>
      </c>
      <c r="AN744" t="s">
        <v>11</v>
      </c>
      <c r="AO744" t="s">
        <v>11</v>
      </c>
      <c r="AP744" t="s">
        <v>11</v>
      </c>
      <c r="AQ744" t="s">
        <v>11</v>
      </c>
      <c r="AR744" t="s">
        <v>11</v>
      </c>
      <c r="AS744" t="s">
        <v>11</v>
      </c>
      <c r="AT744" t="s">
        <v>11</v>
      </c>
      <c r="AU744" t="s">
        <v>11</v>
      </c>
      <c r="AV744" t="s">
        <v>11</v>
      </c>
      <c r="AW744" t="s">
        <v>11</v>
      </c>
      <c r="AX744" t="s">
        <v>11</v>
      </c>
      <c r="AY744" t="s">
        <v>11</v>
      </c>
      <c r="AZ744" t="s">
        <v>11</v>
      </c>
      <c r="BA744" t="s">
        <v>11</v>
      </c>
      <c r="BB744" t="s">
        <v>11</v>
      </c>
      <c r="BC744" t="s">
        <v>11</v>
      </c>
      <c r="BD744" t="s">
        <v>11</v>
      </c>
      <c r="BE744" t="s">
        <v>11</v>
      </c>
      <c r="BF744" t="s">
        <v>11</v>
      </c>
      <c r="BG744" t="s">
        <v>11</v>
      </c>
      <c r="BH744" t="s">
        <v>5103</v>
      </c>
      <c r="BI744" t="s">
        <v>3287</v>
      </c>
      <c r="BK744" t="s">
        <v>3292</v>
      </c>
    </row>
    <row r="745" spans="1:63" x14ac:dyDescent="0.3">
      <c r="A745" t="s">
        <v>3318</v>
      </c>
      <c r="B745" t="s">
        <v>95</v>
      </c>
      <c r="C745" t="s">
        <v>3243</v>
      </c>
      <c r="D745" t="s">
        <v>5104</v>
      </c>
      <c r="E745" t="s">
        <v>3245</v>
      </c>
      <c r="F745">
        <v>791</v>
      </c>
      <c r="G745">
        <v>40</v>
      </c>
      <c r="H745">
        <v>40</v>
      </c>
      <c r="I745">
        <v>10</v>
      </c>
      <c r="K745">
        <v>10</v>
      </c>
      <c r="AI745" t="s">
        <v>0</v>
      </c>
      <c r="AJ745" t="s">
        <v>22</v>
      </c>
      <c r="AK745" t="s">
        <v>677</v>
      </c>
      <c r="AL745" t="s">
        <v>1283</v>
      </c>
      <c r="AM745" t="s">
        <v>11</v>
      </c>
      <c r="AN745" t="s">
        <v>11</v>
      </c>
      <c r="AO745" t="s">
        <v>11</v>
      </c>
      <c r="AP745" t="s">
        <v>11</v>
      </c>
      <c r="AQ745" t="s">
        <v>11</v>
      </c>
      <c r="AR745" t="s">
        <v>11</v>
      </c>
      <c r="AS745" t="s">
        <v>11</v>
      </c>
      <c r="AT745" t="s">
        <v>11</v>
      </c>
      <c r="AU745" t="s">
        <v>11</v>
      </c>
      <c r="AV745" t="s">
        <v>11</v>
      </c>
      <c r="AW745" t="s">
        <v>11</v>
      </c>
      <c r="AX745" t="s">
        <v>11</v>
      </c>
      <c r="AY745" t="s">
        <v>11</v>
      </c>
      <c r="AZ745" t="s">
        <v>11</v>
      </c>
      <c r="BA745" t="s">
        <v>11</v>
      </c>
      <c r="BB745" t="s">
        <v>11</v>
      </c>
      <c r="BC745" t="s">
        <v>11</v>
      </c>
      <c r="BD745" t="s">
        <v>11</v>
      </c>
      <c r="BE745" t="s">
        <v>11</v>
      </c>
      <c r="BF745" t="s">
        <v>11</v>
      </c>
      <c r="BG745" t="s">
        <v>11</v>
      </c>
      <c r="BH745" t="s">
        <v>5105</v>
      </c>
      <c r="BI745" t="s">
        <v>3318</v>
      </c>
      <c r="BJ745" t="s">
        <v>4961</v>
      </c>
      <c r="BK745" t="s">
        <v>3323</v>
      </c>
    </row>
    <row r="746" spans="1:63" x14ac:dyDescent="0.3">
      <c r="A746" t="s">
        <v>5106</v>
      </c>
      <c r="B746" t="s">
        <v>95</v>
      </c>
      <c r="C746" t="s">
        <v>5107</v>
      </c>
      <c r="D746" t="s">
        <v>5108</v>
      </c>
      <c r="E746" t="s">
        <v>3245</v>
      </c>
      <c r="F746">
        <v>792</v>
      </c>
      <c r="G746">
        <v>30</v>
      </c>
      <c r="H746">
        <v>50</v>
      </c>
      <c r="I746">
        <v>10</v>
      </c>
      <c r="K746">
        <v>10</v>
      </c>
      <c r="AI746" t="s">
        <v>0</v>
      </c>
      <c r="AJ746" t="s">
        <v>22</v>
      </c>
      <c r="AK746" t="s">
        <v>677</v>
      </c>
      <c r="AL746" t="s">
        <v>2426</v>
      </c>
      <c r="AM746" t="s">
        <v>11</v>
      </c>
      <c r="AN746" t="s">
        <v>11</v>
      </c>
      <c r="AO746" t="s">
        <v>11</v>
      </c>
      <c r="AP746" t="s">
        <v>11</v>
      </c>
      <c r="AQ746" t="s">
        <v>11</v>
      </c>
      <c r="AR746" t="s">
        <v>11</v>
      </c>
      <c r="AS746" t="s">
        <v>11</v>
      </c>
      <c r="AT746" t="s">
        <v>11</v>
      </c>
      <c r="AU746" t="s">
        <v>11</v>
      </c>
      <c r="AV746" t="s">
        <v>11</v>
      </c>
      <c r="AW746" t="s">
        <v>11</v>
      </c>
      <c r="AX746" t="s">
        <v>11</v>
      </c>
      <c r="AY746" t="s">
        <v>11</v>
      </c>
      <c r="AZ746" t="s">
        <v>11</v>
      </c>
      <c r="BA746" t="s">
        <v>11</v>
      </c>
      <c r="BB746" t="s">
        <v>11</v>
      </c>
      <c r="BC746" t="s">
        <v>11</v>
      </c>
      <c r="BD746" t="s">
        <v>11</v>
      </c>
      <c r="BE746" t="s">
        <v>11</v>
      </c>
      <c r="BF746" t="s">
        <v>11</v>
      </c>
      <c r="BG746" t="s">
        <v>11</v>
      </c>
      <c r="BH746" t="s">
        <v>5109</v>
      </c>
      <c r="BI746" t="s">
        <v>5106</v>
      </c>
      <c r="BK746" t="s">
        <v>5110</v>
      </c>
    </row>
    <row r="747" spans="1:63" x14ac:dyDescent="0.3">
      <c r="A747" t="s">
        <v>5111</v>
      </c>
      <c r="B747" t="s">
        <v>95</v>
      </c>
      <c r="C747" t="s">
        <v>5112</v>
      </c>
      <c r="D747" t="s">
        <v>5113</v>
      </c>
      <c r="E747" t="s">
        <v>3245</v>
      </c>
      <c r="F747">
        <v>793</v>
      </c>
      <c r="G747">
        <v>20</v>
      </c>
      <c r="H747">
        <v>60</v>
      </c>
      <c r="I747">
        <v>10</v>
      </c>
      <c r="K747">
        <v>10</v>
      </c>
      <c r="AI747" t="s">
        <v>0</v>
      </c>
      <c r="AJ747" t="s">
        <v>22</v>
      </c>
      <c r="AK747" t="s">
        <v>677</v>
      </c>
      <c r="AL747" t="s">
        <v>5114</v>
      </c>
      <c r="AM747" t="s">
        <v>11</v>
      </c>
      <c r="AN747" t="s">
        <v>11</v>
      </c>
      <c r="AO747" t="s">
        <v>11</v>
      </c>
      <c r="AP747" t="s">
        <v>11</v>
      </c>
      <c r="AQ747" t="s">
        <v>11</v>
      </c>
      <c r="AR747" t="s">
        <v>11</v>
      </c>
      <c r="AS747" t="s">
        <v>11</v>
      </c>
      <c r="AT747" t="s">
        <v>11</v>
      </c>
      <c r="AU747" t="s">
        <v>11</v>
      </c>
      <c r="AV747" t="s">
        <v>11</v>
      </c>
      <c r="AW747" t="s">
        <v>11</v>
      </c>
      <c r="AX747" t="s">
        <v>11</v>
      </c>
      <c r="AY747" t="s">
        <v>11</v>
      </c>
      <c r="AZ747" t="s">
        <v>11</v>
      </c>
      <c r="BA747" t="s">
        <v>11</v>
      </c>
      <c r="BB747" t="s">
        <v>11</v>
      </c>
      <c r="BC747" t="s">
        <v>11</v>
      </c>
      <c r="BD747" t="s">
        <v>11</v>
      </c>
      <c r="BE747" t="s">
        <v>11</v>
      </c>
      <c r="BF747" t="s">
        <v>11</v>
      </c>
      <c r="BG747" t="s">
        <v>11</v>
      </c>
      <c r="BH747" t="s">
        <v>5115</v>
      </c>
      <c r="BI747" t="s">
        <v>5111</v>
      </c>
      <c r="BK747" t="s">
        <v>5116</v>
      </c>
    </row>
    <row r="748" spans="1:63" x14ac:dyDescent="0.3">
      <c r="A748" t="s">
        <v>5117</v>
      </c>
      <c r="B748" t="s">
        <v>95</v>
      </c>
      <c r="C748" t="s">
        <v>5118</v>
      </c>
      <c r="D748" t="s">
        <v>5119</v>
      </c>
      <c r="E748" t="s">
        <v>3245</v>
      </c>
      <c r="F748">
        <v>794</v>
      </c>
      <c r="G748">
        <v>10</v>
      </c>
      <c r="H748">
        <v>70</v>
      </c>
      <c r="I748">
        <v>10</v>
      </c>
      <c r="K748">
        <v>10</v>
      </c>
      <c r="AI748" t="s">
        <v>0</v>
      </c>
      <c r="AJ748" t="s">
        <v>22</v>
      </c>
      <c r="AK748" t="s">
        <v>677</v>
      </c>
      <c r="AL748" t="s">
        <v>5120</v>
      </c>
      <c r="AM748" t="s">
        <v>11</v>
      </c>
      <c r="AN748" t="s">
        <v>11</v>
      </c>
      <c r="AO748" t="s">
        <v>11</v>
      </c>
      <c r="AP748" t="s">
        <v>11</v>
      </c>
      <c r="AQ748" t="s">
        <v>11</v>
      </c>
      <c r="AR748" t="s">
        <v>11</v>
      </c>
      <c r="AS748" t="s">
        <v>11</v>
      </c>
      <c r="AT748" t="s">
        <v>11</v>
      </c>
      <c r="AU748" t="s">
        <v>11</v>
      </c>
      <c r="AV748" t="s">
        <v>11</v>
      </c>
      <c r="AW748" t="s">
        <v>11</v>
      </c>
      <c r="AX748" t="s">
        <v>11</v>
      </c>
      <c r="AY748" t="s">
        <v>11</v>
      </c>
      <c r="AZ748" t="s">
        <v>11</v>
      </c>
      <c r="BA748" t="s">
        <v>11</v>
      </c>
      <c r="BB748" t="s">
        <v>11</v>
      </c>
      <c r="BC748" t="s">
        <v>11</v>
      </c>
      <c r="BD748" t="s">
        <v>11</v>
      </c>
      <c r="BE748" t="s">
        <v>11</v>
      </c>
      <c r="BF748" t="s">
        <v>11</v>
      </c>
      <c r="BG748" t="s">
        <v>11</v>
      </c>
      <c r="BH748" t="s">
        <v>5121</v>
      </c>
      <c r="BI748" t="s">
        <v>5117</v>
      </c>
      <c r="BK748" t="s">
        <v>5122</v>
      </c>
    </row>
    <row r="749" spans="1:63" x14ac:dyDescent="0.3">
      <c r="A749" t="s">
        <v>5123</v>
      </c>
      <c r="B749" t="s">
        <v>95</v>
      </c>
      <c r="C749" t="s">
        <v>5124</v>
      </c>
      <c r="D749" t="s">
        <v>5125</v>
      </c>
      <c r="E749" t="s">
        <v>3245</v>
      </c>
      <c r="F749">
        <v>795</v>
      </c>
      <c r="G749">
        <v>0</v>
      </c>
      <c r="H749">
        <v>80</v>
      </c>
      <c r="I749">
        <v>10</v>
      </c>
      <c r="K749">
        <v>10</v>
      </c>
      <c r="AI749" t="s">
        <v>0</v>
      </c>
      <c r="AJ749" t="s">
        <v>22</v>
      </c>
      <c r="AK749" t="s">
        <v>677</v>
      </c>
      <c r="AL749" t="s">
        <v>5126</v>
      </c>
      <c r="AM749" t="s">
        <v>11</v>
      </c>
      <c r="AN749" t="s">
        <v>11</v>
      </c>
      <c r="AO749" t="s">
        <v>11</v>
      </c>
      <c r="AP749" t="s">
        <v>11</v>
      </c>
      <c r="AQ749" t="s">
        <v>11</v>
      </c>
      <c r="AR749" t="s">
        <v>11</v>
      </c>
      <c r="AS749" t="s">
        <v>11</v>
      </c>
      <c r="AT749" t="s">
        <v>11</v>
      </c>
      <c r="AU749" t="s">
        <v>11</v>
      </c>
      <c r="AV749" t="s">
        <v>11</v>
      </c>
      <c r="AW749" t="s">
        <v>11</v>
      </c>
      <c r="AX749" t="s">
        <v>11</v>
      </c>
      <c r="AY749" t="s">
        <v>11</v>
      </c>
      <c r="AZ749" t="s">
        <v>11</v>
      </c>
      <c r="BA749" t="s">
        <v>11</v>
      </c>
      <c r="BB749" t="s">
        <v>11</v>
      </c>
      <c r="BC749" t="s">
        <v>11</v>
      </c>
      <c r="BD749" t="s">
        <v>11</v>
      </c>
      <c r="BE749" t="s">
        <v>11</v>
      </c>
      <c r="BF749" t="s">
        <v>11</v>
      </c>
      <c r="BG749" t="s">
        <v>11</v>
      </c>
      <c r="BH749" t="s">
        <v>5127</v>
      </c>
      <c r="BI749" t="s">
        <v>5123</v>
      </c>
      <c r="BK749" t="s">
        <v>5128</v>
      </c>
    </row>
    <row r="750" spans="1:63" x14ac:dyDescent="0.3">
      <c r="A750" t="s">
        <v>3249</v>
      </c>
      <c r="B750" t="s">
        <v>95</v>
      </c>
      <c r="C750" t="s">
        <v>3250</v>
      </c>
      <c r="D750" t="s">
        <v>5129</v>
      </c>
      <c r="E750" t="s">
        <v>3245</v>
      </c>
      <c r="F750">
        <v>796</v>
      </c>
      <c r="G750">
        <v>72.5</v>
      </c>
      <c r="H750">
        <v>10</v>
      </c>
      <c r="I750">
        <v>10</v>
      </c>
      <c r="K750">
        <v>7.5</v>
      </c>
      <c r="AI750" t="s">
        <v>0</v>
      </c>
      <c r="AJ750" t="s">
        <v>22</v>
      </c>
      <c r="AK750" t="s">
        <v>195</v>
      </c>
      <c r="AL750" t="s">
        <v>520</v>
      </c>
      <c r="AM750" t="s">
        <v>11</v>
      </c>
      <c r="AN750" t="s">
        <v>11</v>
      </c>
      <c r="AO750" t="s">
        <v>11</v>
      </c>
      <c r="AP750" t="s">
        <v>11</v>
      </c>
      <c r="AQ750" t="s">
        <v>11</v>
      </c>
      <c r="AR750" t="s">
        <v>11</v>
      </c>
      <c r="AS750" t="s">
        <v>11</v>
      </c>
      <c r="AT750" t="s">
        <v>11</v>
      </c>
      <c r="AU750" t="s">
        <v>11</v>
      </c>
      <c r="AV750" t="s">
        <v>11</v>
      </c>
      <c r="AW750" t="s">
        <v>11</v>
      </c>
      <c r="AX750" t="s">
        <v>11</v>
      </c>
      <c r="AY750" t="s">
        <v>11</v>
      </c>
      <c r="AZ750" t="s">
        <v>11</v>
      </c>
      <c r="BA750" t="s">
        <v>11</v>
      </c>
      <c r="BB750" t="s">
        <v>11</v>
      </c>
      <c r="BC750" t="s">
        <v>11</v>
      </c>
      <c r="BD750" t="s">
        <v>11</v>
      </c>
      <c r="BE750" t="s">
        <v>11</v>
      </c>
      <c r="BF750" t="s">
        <v>11</v>
      </c>
      <c r="BG750" t="s">
        <v>11</v>
      </c>
      <c r="BH750" t="s">
        <v>5130</v>
      </c>
      <c r="BI750" t="s">
        <v>3249</v>
      </c>
      <c r="BK750" t="s">
        <v>3254</v>
      </c>
    </row>
    <row r="751" spans="1:63" x14ac:dyDescent="0.3">
      <c r="A751" t="s">
        <v>3268</v>
      </c>
      <c r="B751" t="s">
        <v>95</v>
      </c>
      <c r="C751" t="s">
        <v>3269</v>
      </c>
      <c r="D751" t="s">
        <v>5131</v>
      </c>
      <c r="E751" t="s">
        <v>3245</v>
      </c>
      <c r="F751">
        <v>797</v>
      </c>
      <c r="G751">
        <v>62.5</v>
      </c>
      <c r="H751">
        <v>20</v>
      </c>
      <c r="I751">
        <v>10</v>
      </c>
      <c r="K751">
        <v>7.5</v>
      </c>
      <c r="AI751" t="s">
        <v>0</v>
      </c>
      <c r="AJ751" t="s">
        <v>22</v>
      </c>
      <c r="AK751" t="s">
        <v>195</v>
      </c>
      <c r="AL751" t="s">
        <v>834</v>
      </c>
      <c r="AM751" t="s">
        <v>11</v>
      </c>
      <c r="AN751" t="s">
        <v>11</v>
      </c>
      <c r="AO751" t="s">
        <v>11</v>
      </c>
      <c r="AP751" t="s">
        <v>11</v>
      </c>
      <c r="AQ751" t="s">
        <v>11</v>
      </c>
      <c r="AR751" t="s">
        <v>11</v>
      </c>
      <c r="AS751" t="s">
        <v>11</v>
      </c>
      <c r="AT751" t="s">
        <v>11</v>
      </c>
      <c r="AU751" t="s">
        <v>11</v>
      </c>
      <c r="AV751" t="s">
        <v>11</v>
      </c>
      <c r="AW751" t="s">
        <v>11</v>
      </c>
      <c r="AX751" t="s">
        <v>11</v>
      </c>
      <c r="AY751" t="s">
        <v>11</v>
      </c>
      <c r="AZ751" t="s">
        <v>11</v>
      </c>
      <c r="BA751" t="s">
        <v>11</v>
      </c>
      <c r="BB751" t="s">
        <v>11</v>
      </c>
      <c r="BC751" t="s">
        <v>11</v>
      </c>
      <c r="BD751" t="s">
        <v>11</v>
      </c>
      <c r="BE751" t="s">
        <v>11</v>
      </c>
      <c r="BF751" t="s">
        <v>11</v>
      </c>
      <c r="BG751" t="s">
        <v>11</v>
      </c>
      <c r="BH751" t="s">
        <v>5132</v>
      </c>
      <c r="BI751" t="s">
        <v>3268</v>
      </c>
      <c r="BK751" t="s">
        <v>3273</v>
      </c>
    </row>
    <row r="752" spans="1:63" x14ac:dyDescent="0.3">
      <c r="A752" t="s">
        <v>3293</v>
      </c>
      <c r="B752" t="s">
        <v>95</v>
      </c>
      <c r="C752" t="s">
        <v>3294</v>
      </c>
      <c r="D752" t="s">
        <v>5133</v>
      </c>
      <c r="E752" t="s">
        <v>3245</v>
      </c>
      <c r="F752">
        <v>798</v>
      </c>
      <c r="G752">
        <v>52.5</v>
      </c>
      <c r="H752">
        <v>30</v>
      </c>
      <c r="I752">
        <v>10</v>
      </c>
      <c r="K752">
        <v>7.5</v>
      </c>
      <c r="AI752" t="s">
        <v>0</v>
      </c>
      <c r="AJ752" t="s">
        <v>22</v>
      </c>
      <c r="AK752" t="s">
        <v>195</v>
      </c>
      <c r="AL752" t="s">
        <v>23</v>
      </c>
      <c r="AM752" t="s">
        <v>11</v>
      </c>
      <c r="AN752" t="s">
        <v>11</v>
      </c>
      <c r="AO752" t="s">
        <v>11</v>
      </c>
      <c r="AP752" t="s">
        <v>11</v>
      </c>
      <c r="AQ752" t="s">
        <v>11</v>
      </c>
      <c r="AR752" t="s">
        <v>11</v>
      </c>
      <c r="AS752" t="s">
        <v>11</v>
      </c>
      <c r="AT752" t="s">
        <v>11</v>
      </c>
      <c r="AU752" t="s">
        <v>11</v>
      </c>
      <c r="AV752" t="s">
        <v>11</v>
      </c>
      <c r="AW752" t="s">
        <v>11</v>
      </c>
      <c r="AX752" t="s">
        <v>11</v>
      </c>
      <c r="AY752" t="s">
        <v>11</v>
      </c>
      <c r="AZ752" t="s">
        <v>11</v>
      </c>
      <c r="BA752" t="s">
        <v>11</v>
      </c>
      <c r="BB752" t="s">
        <v>11</v>
      </c>
      <c r="BC752" t="s">
        <v>11</v>
      </c>
      <c r="BD752" t="s">
        <v>11</v>
      </c>
      <c r="BE752" t="s">
        <v>11</v>
      </c>
      <c r="BF752" t="s">
        <v>11</v>
      </c>
      <c r="BG752" t="s">
        <v>11</v>
      </c>
      <c r="BH752" t="s">
        <v>5134</v>
      </c>
      <c r="BI752" t="s">
        <v>3293</v>
      </c>
      <c r="BK752" t="s">
        <v>3298</v>
      </c>
    </row>
    <row r="753" spans="1:63" x14ac:dyDescent="0.3">
      <c r="A753" t="s">
        <v>3324</v>
      </c>
      <c r="B753" t="s">
        <v>95</v>
      </c>
      <c r="C753" t="s">
        <v>3325</v>
      </c>
      <c r="D753" t="s">
        <v>5135</v>
      </c>
      <c r="E753" t="s">
        <v>3245</v>
      </c>
      <c r="F753">
        <v>799</v>
      </c>
      <c r="G753">
        <v>42.5</v>
      </c>
      <c r="H753">
        <v>40</v>
      </c>
      <c r="I753">
        <v>10</v>
      </c>
      <c r="K753">
        <v>7.5</v>
      </c>
      <c r="AI753" t="s">
        <v>0</v>
      </c>
      <c r="AJ753" t="s">
        <v>22</v>
      </c>
      <c r="AK753" t="s">
        <v>195</v>
      </c>
      <c r="AL753" t="s">
        <v>1283</v>
      </c>
      <c r="AM753" t="s">
        <v>11</v>
      </c>
      <c r="AN753" t="s">
        <v>11</v>
      </c>
      <c r="AO753" t="s">
        <v>11</v>
      </c>
      <c r="AP753" t="s">
        <v>11</v>
      </c>
      <c r="AQ753" t="s">
        <v>11</v>
      </c>
      <c r="AR753" t="s">
        <v>11</v>
      </c>
      <c r="AS753" t="s">
        <v>11</v>
      </c>
      <c r="AT753" t="s">
        <v>11</v>
      </c>
      <c r="AU753" t="s">
        <v>11</v>
      </c>
      <c r="AV753" t="s">
        <v>11</v>
      </c>
      <c r="AW753" t="s">
        <v>11</v>
      </c>
      <c r="AX753" t="s">
        <v>11</v>
      </c>
      <c r="AY753" t="s">
        <v>11</v>
      </c>
      <c r="AZ753" t="s">
        <v>11</v>
      </c>
      <c r="BA753" t="s">
        <v>11</v>
      </c>
      <c r="BB753" t="s">
        <v>11</v>
      </c>
      <c r="BC753" t="s">
        <v>11</v>
      </c>
      <c r="BD753" t="s">
        <v>11</v>
      </c>
      <c r="BE753" t="s">
        <v>11</v>
      </c>
      <c r="BF753" t="s">
        <v>11</v>
      </c>
      <c r="BG753" t="s">
        <v>11</v>
      </c>
      <c r="BH753" t="s">
        <v>5136</v>
      </c>
      <c r="BI753" t="s">
        <v>3324</v>
      </c>
      <c r="BK753" t="s">
        <v>3329</v>
      </c>
    </row>
    <row r="754" spans="1:63" x14ac:dyDescent="0.3">
      <c r="A754" t="s">
        <v>5137</v>
      </c>
      <c r="B754" t="s">
        <v>95</v>
      </c>
      <c r="C754" t="s">
        <v>5138</v>
      </c>
      <c r="D754" t="s">
        <v>5139</v>
      </c>
      <c r="E754" t="s">
        <v>3245</v>
      </c>
      <c r="F754">
        <v>800</v>
      </c>
      <c r="G754">
        <v>32.5</v>
      </c>
      <c r="H754">
        <v>50</v>
      </c>
      <c r="I754">
        <v>10</v>
      </c>
      <c r="K754">
        <v>7.5</v>
      </c>
      <c r="AI754" t="s">
        <v>0</v>
      </c>
      <c r="AJ754" t="s">
        <v>22</v>
      </c>
      <c r="AK754" t="s">
        <v>195</v>
      </c>
      <c r="AL754" t="s">
        <v>2426</v>
      </c>
      <c r="AM754" t="s">
        <v>11</v>
      </c>
      <c r="AN754" t="s">
        <v>11</v>
      </c>
      <c r="AO754" t="s">
        <v>11</v>
      </c>
      <c r="AP754" t="s">
        <v>11</v>
      </c>
      <c r="AQ754" t="s">
        <v>11</v>
      </c>
      <c r="AR754" t="s">
        <v>11</v>
      </c>
      <c r="AS754" t="s">
        <v>11</v>
      </c>
      <c r="AT754" t="s">
        <v>11</v>
      </c>
      <c r="AU754" t="s">
        <v>11</v>
      </c>
      <c r="AV754" t="s">
        <v>11</v>
      </c>
      <c r="AW754" t="s">
        <v>11</v>
      </c>
      <c r="AX754" t="s">
        <v>11</v>
      </c>
      <c r="AY754" t="s">
        <v>11</v>
      </c>
      <c r="AZ754" t="s">
        <v>11</v>
      </c>
      <c r="BA754" t="s">
        <v>11</v>
      </c>
      <c r="BB754" t="s">
        <v>11</v>
      </c>
      <c r="BC754" t="s">
        <v>11</v>
      </c>
      <c r="BD754" t="s">
        <v>11</v>
      </c>
      <c r="BE754" t="s">
        <v>11</v>
      </c>
      <c r="BF754" t="s">
        <v>11</v>
      </c>
      <c r="BG754" t="s">
        <v>11</v>
      </c>
      <c r="BH754" t="s">
        <v>5140</v>
      </c>
      <c r="BI754" t="s">
        <v>5137</v>
      </c>
      <c r="BK754" t="s">
        <v>5141</v>
      </c>
    </row>
    <row r="755" spans="1:63" x14ac:dyDescent="0.3">
      <c r="A755" t="s">
        <v>5142</v>
      </c>
      <c r="B755" t="s">
        <v>95</v>
      </c>
      <c r="C755" t="s">
        <v>5143</v>
      </c>
      <c r="D755" t="s">
        <v>5144</v>
      </c>
      <c r="E755" t="s">
        <v>3245</v>
      </c>
      <c r="F755">
        <v>801</v>
      </c>
      <c r="G755">
        <v>22.5</v>
      </c>
      <c r="H755">
        <v>60</v>
      </c>
      <c r="I755">
        <v>10</v>
      </c>
      <c r="K755">
        <v>7.5</v>
      </c>
      <c r="AI755" t="s">
        <v>0</v>
      </c>
      <c r="AJ755" t="s">
        <v>22</v>
      </c>
      <c r="AK755" t="s">
        <v>195</v>
      </c>
      <c r="AL755" t="s">
        <v>5114</v>
      </c>
      <c r="AM755" t="s">
        <v>11</v>
      </c>
      <c r="AN755" t="s">
        <v>11</v>
      </c>
      <c r="AO755" t="s">
        <v>11</v>
      </c>
      <c r="AP755" t="s">
        <v>11</v>
      </c>
      <c r="AQ755" t="s">
        <v>11</v>
      </c>
      <c r="AR755" t="s">
        <v>11</v>
      </c>
      <c r="AS755" t="s">
        <v>11</v>
      </c>
      <c r="AT755" t="s">
        <v>11</v>
      </c>
      <c r="AU755" t="s">
        <v>11</v>
      </c>
      <c r="AV755" t="s">
        <v>11</v>
      </c>
      <c r="AW755" t="s">
        <v>11</v>
      </c>
      <c r="AX755" t="s">
        <v>11</v>
      </c>
      <c r="AY755" t="s">
        <v>11</v>
      </c>
      <c r="AZ755" t="s">
        <v>11</v>
      </c>
      <c r="BA755" t="s">
        <v>11</v>
      </c>
      <c r="BB755" t="s">
        <v>11</v>
      </c>
      <c r="BC755" t="s">
        <v>11</v>
      </c>
      <c r="BD755" t="s">
        <v>11</v>
      </c>
      <c r="BE755" t="s">
        <v>11</v>
      </c>
      <c r="BF755" t="s">
        <v>11</v>
      </c>
      <c r="BG755" t="s">
        <v>11</v>
      </c>
      <c r="BH755" t="s">
        <v>5145</v>
      </c>
      <c r="BI755" t="s">
        <v>5142</v>
      </c>
      <c r="BK755" t="s">
        <v>5146</v>
      </c>
    </row>
    <row r="756" spans="1:63" x14ac:dyDescent="0.3">
      <c r="A756" t="s">
        <v>5147</v>
      </c>
      <c r="B756" t="s">
        <v>95</v>
      </c>
      <c r="C756" t="s">
        <v>5148</v>
      </c>
      <c r="D756" t="s">
        <v>5149</v>
      </c>
      <c r="E756" t="s">
        <v>3245</v>
      </c>
      <c r="F756">
        <v>802</v>
      </c>
      <c r="G756">
        <v>12.5</v>
      </c>
      <c r="H756">
        <v>70</v>
      </c>
      <c r="I756">
        <v>10</v>
      </c>
      <c r="K756">
        <v>7.5</v>
      </c>
      <c r="AI756" t="s">
        <v>0</v>
      </c>
      <c r="AJ756" t="s">
        <v>22</v>
      </c>
      <c r="AK756" t="s">
        <v>195</v>
      </c>
      <c r="AL756" t="s">
        <v>5120</v>
      </c>
      <c r="AM756" t="s">
        <v>11</v>
      </c>
      <c r="AN756" t="s">
        <v>11</v>
      </c>
      <c r="AO756" t="s">
        <v>11</v>
      </c>
      <c r="AP756" t="s">
        <v>11</v>
      </c>
      <c r="AQ756" t="s">
        <v>11</v>
      </c>
      <c r="AR756" t="s">
        <v>11</v>
      </c>
      <c r="AS756" t="s">
        <v>11</v>
      </c>
      <c r="AT756" t="s">
        <v>11</v>
      </c>
      <c r="AU756" t="s">
        <v>11</v>
      </c>
      <c r="AV756" t="s">
        <v>11</v>
      </c>
      <c r="AW756" t="s">
        <v>11</v>
      </c>
      <c r="AX756" t="s">
        <v>11</v>
      </c>
      <c r="AY756" t="s">
        <v>11</v>
      </c>
      <c r="AZ756" t="s">
        <v>11</v>
      </c>
      <c r="BA756" t="s">
        <v>11</v>
      </c>
      <c r="BB756" t="s">
        <v>11</v>
      </c>
      <c r="BC756" t="s">
        <v>11</v>
      </c>
      <c r="BD756" t="s">
        <v>11</v>
      </c>
      <c r="BE756" t="s">
        <v>11</v>
      </c>
      <c r="BF756" t="s">
        <v>11</v>
      </c>
      <c r="BG756" t="s">
        <v>11</v>
      </c>
      <c r="BH756" t="s">
        <v>5150</v>
      </c>
      <c r="BI756" t="s">
        <v>5147</v>
      </c>
      <c r="BK756" t="s">
        <v>5151</v>
      </c>
    </row>
    <row r="757" spans="1:63" x14ac:dyDescent="0.3">
      <c r="A757" t="s">
        <v>5152</v>
      </c>
      <c r="B757" t="s">
        <v>95</v>
      </c>
      <c r="C757" t="s">
        <v>5153</v>
      </c>
      <c r="D757" t="s">
        <v>5154</v>
      </c>
      <c r="E757" t="s">
        <v>3245</v>
      </c>
      <c r="F757">
        <v>803</v>
      </c>
      <c r="G757">
        <v>75.3</v>
      </c>
      <c r="H757">
        <v>10</v>
      </c>
      <c r="I757">
        <v>10</v>
      </c>
      <c r="K757">
        <v>4.7</v>
      </c>
      <c r="AI757" t="s">
        <v>0</v>
      </c>
      <c r="AJ757" t="s">
        <v>22</v>
      </c>
      <c r="AK757" t="s">
        <v>1543</v>
      </c>
      <c r="AL757" t="s">
        <v>520</v>
      </c>
      <c r="AM757" t="s">
        <v>11</v>
      </c>
      <c r="AN757" t="s">
        <v>11</v>
      </c>
      <c r="AO757" t="s">
        <v>11</v>
      </c>
      <c r="AP757" t="s">
        <v>11</v>
      </c>
      <c r="AQ757" t="s">
        <v>11</v>
      </c>
      <c r="AR757" t="s">
        <v>11</v>
      </c>
      <c r="AS757" t="s">
        <v>11</v>
      </c>
      <c r="AT757" t="s">
        <v>11</v>
      </c>
      <c r="AU757" t="s">
        <v>11</v>
      </c>
      <c r="AV757" t="s">
        <v>11</v>
      </c>
      <c r="AW757" t="s">
        <v>11</v>
      </c>
      <c r="AX757" t="s">
        <v>11</v>
      </c>
      <c r="AY757" t="s">
        <v>11</v>
      </c>
      <c r="AZ757" t="s">
        <v>11</v>
      </c>
      <c r="BA757" t="s">
        <v>11</v>
      </c>
      <c r="BB757" t="s">
        <v>11</v>
      </c>
      <c r="BC757" t="s">
        <v>11</v>
      </c>
      <c r="BD757" t="s">
        <v>11</v>
      </c>
      <c r="BE757" t="s">
        <v>11</v>
      </c>
      <c r="BF757" t="s">
        <v>11</v>
      </c>
      <c r="BG757" t="s">
        <v>11</v>
      </c>
      <c r="BH757" t="s">
        <v>5155</v>
      </c>
      <c r="BI757" t="s">
        <v>5152</v>
      </c>
      <c r="BK757" t="s">
        <v>5156</v>
      </c>
    </row>
    <row r="758" spans="1:63" x14ac:dyDescent="0.3">
      <c r="A758" t="s">
        <v>5157</v>
      </c>
      <c r="B758" t="s">
        <v>95</v>
      </c>
      <c r="C758" t="s">
        <v>5158</v>
      </c>
      <c r="D758" t="s">
        <v>5159</v>
      </c>
      <c r="E758" t="s">
        <v>3245</v>
      </c>
      <c r="F758">
        <v>804</v>
      </c>
      <c r="G758">
        <v>66.099999999999994</v>
      </c>
      <c r="H758">
        <v>20</v>
      </c>
      <c r="I758">
        <v>10</v>
      </c>
      <c r="K758">
        <v>3.9</v>
      </c>
      <c r="AI758" t="s">
        <v>0</v>
      </c>
      <c r="AJ758" t="s">
        <v>22</v>
      </c>
      <c r="AK758" t="s">
        <v>608</v>
      </c>
      <c r="AL758" t="s">
        <v>834</v>
      </c>
      <c r="AM758" t="s">
        <v>11</v>
      </c>
      <c r="AN758" t="s">
        <v>11</v>
      </c>
      <c r="AO758" t="s">
        <v>11</v>
      </c>
      <c r="AP758" t="s">
        <v>11</v>
      </c>
      <c r="AQ758" t="s">
        <v>11</v>
      </c>
      <c r="AR758" t="s">
        <v>11</v>
      </c>
      <c r="AS758" t="s">
        <v>11</v>
      </c>
      <c r="AT758" t="s">
        <v>11</v>
      </c>
      <c r="AU758" t="s">
        <v>11</v>
      </c>
      <c r="AV758" t="s">
        <v>11</v>
      </c>
      <c r="AW758" t="s">
        <v>11</v>
      </c>
      <c r="AX758" t="s">
        <v>11</v>
      </c>
      <c r="AY758" t="s">
        <v>11</v>
      </c>
      <c r="AZ758" t="s">
        <v>11</v>
      </c>
      <c r="BA758" t="s">
        <v>11</v>
      </c>
      <c r="BB758" t="s">
        <v>11</v>
      </c>
      <c r="BC758" t="s">
        <v>11</v>
      </c>
      <c r="BD758" t="s">
        <v>11</v>
      </c>
      <c r="BE758" t="s">
        <v>11</v>
      </c>
      <c r="BF758" t="s">
        <v>11</v>
      </c>
      <c r="BG758" t="s">
        <v>11</v>
      </c>
      <c r="BH758" t="s">
        <v>5160</v>
      </c>
      <c r="BI758" t="s">
        <v>5157</v>
      </c>
      <c r="BK758" t="s">
        <v>5161</v>
      </c>
    </row>
    <row r="759" spans="1:63" x14ac:dyDescent="0.3">
      <c r="A759" t="s">
        <v>5162</v>
      </c>
      <c r="B759" t="s">
        <v>95</v>
      </c>
      <c r="C759" t="s">
        <v>5163</v>
      </c>
      <c r="D759" t="s">
        <v>5164</v>
      </c>
      <c r="E759" t="s">
        <v>3245</v>
      </c>
      <c r="F759">
        <v>805</v>
      </c>
      <c r="G759">
        <v>65</v>
      </c>
      <c r="H759">
        <v>20</v>
      </c>
      <c r="I759">
        <v>10</v>
      </c>
      <c r="K759">
        <v>5</v>
      </c>
      <c r="AI759" t="s">
        <v>0</v>
      </c>
      <c r="AJ759" t="s">
        <v>22</v>
      </c>
      <c r="AK759" t="s">
        <v>1491</v>
      </c>
      <c r="AL759" t="s">
        <v>834</v>
      </c>
      <c r="AM759" t="s">
        <v>11</v>
      </c>
      <c r="AN759" t="s">
        <v>11</v>
      </c>
      <c r="AO759" t="s">
        <v>11</v>
      </c>
      <c r="AP759" t="s">
        <v>11</v>
      </c>
      <c r="AQ759" t="s">
        <v>11</v>
      </c>
      <c r="AR759" t="s">
        <v>11</v>
      </c>
      <c r="AS759" t="s">
        <v>11</v>
      </c>
      <c r="AT759" t="s">
        <v>11</v>
      </c>
      <c r="AU759" t="s">
        <v>11</v>
      </c>
      <c r="AV759" t="s">
        <v>11</v>
      </c>
      <c r="AW759" t="s">
        <v>11</v>
      </c>
      <c r="AX759" t="s">
        <v>11</v>
      </c>
      <c r="AY759" t="s">
        <v>11</v>
      </c>
      <c r="AZ759" t="s">
        <v>11</v>
      </c>
      <c r="BA759" t="s">
        <v>11</v>
      </c>
      <c r="BB759" t="s">
        <v>11</v>
      </c>
      <c r="BC759" t="s">
        <v>11</v>
      </c>
      <c r="BD759" t="s">
        <v>11</v>
      </c>
      <c r="BE759" t="s">
        <v>11</v>
      </c>
      <c r="BF759" t="s">
        <v>11</v>
      </c>
      <c r="BG759" t="s">
        <v>11</v>
      </c>
      <c r="BH759" t="s">
        <v>5165</v>
      </c>
      <c r="BI759" t="s">
        <v>5162</v>
      </c>
      <c r="BK759" t="s">
        <v>5166</v>
      </c>
    </row>
    <row r="760" spans="1:63" x14ac:dyDescent="0.3">
      <c r="A760" t="s">
        <v>5167</v>
      </c>
      <c r="B760" t="s">
        <v>95</v>
      </c>
      <c r="C760" t="s">
        <v>5168</v>
      </c>
      <c r="D760" t="s">
        <v>5169</v>
      </c>
      <c r="E760" t="s">
        <v>3245</v>
      </c>
      <c r="F760">
        <v>806</v>
      </c>
      <c r="G760">
        <v>56.8</v>
      </c>
      <c r="H760">
        <v>30</v>
      </c>
      <c r="I760">
        <v>10</v>
      </c>
      <c r="K760">
        <v>3.2</v>
      </c>
      <c r="AI760" t="s">
        <v>0</v>
      </c>
      <c r="AJ760" t="s">
        <v>22</v>
      </c>
      <c r="AK760" t="s">
        <v>2775</v>
      </c>
      <c r="AL760" t="s">
        <v>23</v>
      </c>
      <c r="AM760" t="s">
        <v>11</v>
      </c>
      <c r="AN760" t="s">
        <v>11</v>
      </c>
      <c r="AO760" t="s">
        <v>11</v>
      </c>
      <c r="AP760" t="s">
        <v>11</v>
      </c>
      <c r="AQ760" t="s">
        <v>11</v>
      </c>
      <c r="AR760" t="s">
        <v>11</v>
      </c>
      <c r="AS760" t="s">
        <v>11</v>
      </c>
      <c r="AT760" t="s">
        <v>11</v>
      </c>
      <c r="AU760" t="s">
        <v>11</v>
      </c>
      <c r="AV760" t="s">
        <v>11</v>
      </c>
      <c r="AW760" t="s">
        <v>11</v>
      </c>
      <c r="AX760" t="s">
        <v>11</v>
      </c>
      <c r="AY760" t="s">
        <v>11</v>
      </c>
      <c r="AZ760" t="s">
        <v>11</v>
      </c>
      <c r="BA760" t="s">
        <v>11</v>
      </c>
      <c r="BB760" t="s">
        <v>11</v>
      </c>
      <c r="BC760" t="s">
        <v>11</v>
      </c>
      <c r="BD760" t="s">
        <v>11</v>
      </c>
      <c r="BE760" t="s">
        <v>11</v>
      </c>
      <c r="BF760" t="s">
        <v>11</v>
      </c>
      <c r="BG760" t="s">
        <v>11</v>
      </c>
      <c r="BH760" t="s">
        <v>5170</v>
      </c>
      <c r="BI760" t="s">
        <v>5167</v>
      </c>
      <c r="BK760" t="s">
        <v>5171</v>
      </c>
    </row>
    <row r="761" spans="1:63" x14ac:dyDescent="0.3">
      <c r="A761" t="s">
        <v>5172</v>
      </c>
      <c r="B761" t="s">
        <v>95</v>
      </c>
      <c r="C761" t="s">
        <v>5173</v>
      </c>
      <c r="D761" t="s">
        <v>5174</v>
      </c>
      <c r="E761" t="s">
        <v>3245</v>
      </c>
      <c r="F761">
        <v>807</v>
      </c>
      <c r="G761">
        <v>47.4</v>
      </c>
      <c r="H761">
        <v>40</v>
      </c>
      <c r="I761">
        <v>10</v>
      </c>
      <c r="K761">
        <v>2.6</v>
      </c>
      <c r="AI761" t="s">
        <v>0</v>
      </c>
      <c r="AJ761" t="s">
        <v>22</v>
      </c>
      <c r="AK761" t="s">
        <v>4166</v>
      </c>
      <c r="AL761" t="s">
        <v>1283</v>
      </c>
      <c r="AM761" t="s">
        <v>11</v>
      </c>
      <c r="AN761" t="s">
        <v>11</v>
      </c>
      <c r="AO761" t="s">
        <v>11</v>
      </c>
      <c r="AP761" t="s">
        <v>11</v>
      </c>
      <c r="AQ761" t="s">
        <v>11</v>
      </c>
      <c r="AR761" t="s">
        <v>11</v>
      </c>
      <c r="AS761" t="s">
        <v>11</v>
      </c>
      <c r="AT761" t="s">
        <v>11</v>
      </c>
      <c r="AU761" t="s">
        <v>11</v>
      </c>
      <c r="AV761" t="s">
        <v>11</v>
      </c>
      <c r="AW761" t="s">
        <v>11</v>
      </c>
      <c r="AX761" t="s">
        <v>11</v>
      </c>
      <c r="AY761" t="s">
        <v>11</v>
      </c>
      <c r="AZ761" t="s">
        <v>11</v>
      </c>
      <c r="BA761" t="s">
        <v>11</v>
      </c>
      <c r="BB761" t="s">
        <v>11</v>
      </c>
      <c r="BC761" t="s">
        <v>11</v>
      </c>
      <c r="BD761" t="s">
        <v>11</v>
      </c>
      <c r="BE761" t="s">
        <v>11</v>
      </c>
      <c r="BF761" t="s">
        <v>11</v>
      </c>
      <c r="BG761" t="s">
        <v>11</v>
      </c>
      <c r="BH761" t="s">
        <v>5175</v>
      </c>
      <c r="BI761" t="s">
        <v>5172</v>
      </c>
      <c r="BJ761" t="s">
        <v>4961</v>
      </c>
      <c r="BK761" t="s">
        <v>5176</v>
      </c>
    </row>
    <row r="762" spans="1:63" x14ac:dyDescent="0.3">
      <c r="A762" t="s">
        <v>5177</v>
      </c>
      <c r="B762" t="s">
        <v>95</v>
      </c>
      <c r="C762" t="s">
        <v>5178</v>
      </c>
      <c r="D762" t="s">
        <v>5179</v>
      </c>
      <c r="E762" t="s">
        <v>3245</v>
      </c>
      <c r="F762">
        <v>808</v>
      </c>
      <c r="G762">
        <v>45</v>
      </c>
      <c r="H762">
        <v>40</v>
      </c>
      <c r="I762">
        <v>10</v>
      </c>
      <c r="K762">
        <v>5</v>
      </c>
      <c r="AI762" t="s">
        <v>0</v>
      </c>
      <c r="AJ762" t="s">
        <v>22</v>
      </c>
      <c r="AK762" t="s">
        <v>1491</v>
      </c>
      <c r="AL762" t="s">
        <v>1283</v>
      </c>
      <c r="AM762" t="s">
        <v>11</v>
      </c>
      <c r="AN762" t="s">
        <v>11</v>
      </c>
      <c r="AO762" t="s">
        <v>11</v>
      </c>
      <c r="AP762" t="s">
        <v>11</v>
      </c>
      <c r="AQ762" t="s">
        <v>11</v>
      </c>
      <c r="AR762" t="s">
        <v>11</v>
      </c>
      <c r="AS762" t="s">
        <v>11</v>
      </c>
      <c r="AT762" t="s">
        <v>11</v>
      </c>
      <c r="AU762" t="s">
        <v>11</v>
      </c>
      <c r="AV762" t="s">
        <v>11</v>
      </c>
      <c r="AW762" t="s">
        <v>11</v>
      </c>
      <c r="AX762" t="s">
        <v>11</v>
      </c>
      <c r="AY762" t="s">
        <v>11</v>
      </c>
      <c r="AZ762" t="s">
        <v>11</v>
      </c>
      <c r="BA762" t="s">
        <v>11</v>
      </c>
      <c r="BB762" t="s">
        <v>11</v>
      </c>
      <c r="BC762" t="s">
        <v>11</v>
      </c>
      <c r="BD762" t="s">
        <v>11</v>
      </c>
      <c r="BE762" t="s">
        <v>11</v>
      </c>
      <c r="BF762" t="s">
        <v>11</v>
      </c>
      <c r="BG762" t="s">
        <v>11</v>
      </c>
      <c r="BH762" t="s">
        <v>5180</v>
      </c>
      <c r="BI762" t="s">
        <v>5177</v>
      </c>
      <c r="BK762" t="s">
        <v>5181</v>
      </c>
    </row>
    <row r="763" spans="1:63" x14ac:dyDescent="0.3">
      <c r="A763" t="s">
        <v>5182</v>
      </c>
      <c r="B763" t="s">
        <v>95</v>
      </c>
      <c r="C763" t="s">
        <v>5183</v>
      </c>
      <c r="D763" t="s">
        <v>5184</v>
      </c>
      <c r="E763" t="s">
        <v>3245</v>
      </c>
      <c r="F763">
        <v>809</v>
      </c>
      <c r="G763">
        <v>38.4</v>
      </c>
      <c r="H763">
        <v>50</v>
      </c>
      <c r="I763">
        <v>10</v>
      </c>
      <c r="K763">
        <v>1.6</v>
      </c>
      <c r="AI763" t="s">
        <v>0</v>
      </c>
      <c r="AJ763" t="s">
        <v>22</v>
      </c>
      <c r="AK763" t="s">
        <v>5185</v>
      </c>
      <c r="AL763" t="s">
        <v>2426</v>
      </c>
      <c r="AM763" t="s">
        <v>11</v>
      </c>
      <c r="AN763" t="s">
        <v>11</v>
      </c>
      <c r="AO763" t="s">
        <v>11</v>
      </c>
      <c r="AP763" t="s">
        <v>11</v>
      </c>
      <c r="AQ763" t="s">
        <v>11</v>
      </c>
      <c r="AR763" t="s">
        <v>11</v>
      </c>
      <c r="AS763" t="s">
        <v>11</v>
      </c>
      <c r="AT763" t="s">
        <v>11</v>
      </c>
      <c r="AU763" t="s">
        <v>11</v>
      </c>
      <c r="AV763" t="s">
        <v>11</v>
      </c>
      <c r="AW763" t="s">
        <v>11</v>
      </c>
      <c r="AX763" t="s">
        <v>11</v>
      </c>
      <c r="AY763" t="s">
        <v>11</v>
      </c>
      <c r="AZ763" t="s">
        <v>11</v>
      </c>
      <c r="BA763" t="s">
        <v>11</v>
      </c>
      <c r="BB763" t="s">
        <v>11</v>
      </c>
      <c r="BC763" t="s">
        <v>11</v>
      </c>
      <c r="BD763" t="s">
        <v>11</v>
      </c>
      <c r="BE763" t="s">
        <v>11</v>
      </c>
      <c r="BF763" t="s">
        <v>11</v>
      </c>
      <c r="BG763" t="s">
        <v>11</v>
      </c>
      <c r="BH763" t="s">
        <v>5186</v>
      </c>
      <c r="BI763" t="s">
        <v>5182</v>
      </c>
      <c r="BK763" t="s">
        <v>5187</v>
      </c>
    </row>
    <row r="764" spans="1:63" x14ac:dyDescent="0.3">
      <c r="A764" t="s">
        <v>5188</v>
      </c>
      <c r="B764" t="s">
        <v>95</v>
      </c>
      <c r="C764" t="s">
        <v>5189</v>
      </c>
      <c r="D764" t="s">
        <v>5190</v>
      </c>
      <c r="E764" t="s">
        <v>3245</v>
      </c>
      <c r="F764">
        <v>810</v>
      </c>
      <c r="G764">
        <v>29</v>
      </c>
      <c r="H764">
        <v>60</v>
      </c>
      <c r="I764">
        <v>10</v>
      </c>
      <c r="K764">
        <v>1</v>
      </c>
      <c r="AI764" t="s">
        <v>0</v>
      </c>
      <c r="AJ764" t="s">
        <v>22</v>
      </c>
      <c r="AK764" t="s">
        <v>44</v>
      </c>
      <c r="AL764" t="s">
        <v>5114</v>
      </c>
      <c r="AM764" t="s">
        <v>11</v>
      </c>
      <c r="AN764" t="s">
        <v>11</v>
      </c>
      <c r="AO764" t="s">
        <v>11</v>
      </c>
      <c r="AP764" t="s">
        <v>11</v>
      </c>
      <c r="AQ764" t="s">
        <v>11</v>
      </c>
      <c r="AR764" t="s">
        <v>11</v>
      </c>
      <c r="AS764" t="s">
        <v>11</v>
      </c>
      <c r="AT764" t="s">
        <v>11</v>
      </c>
      <c r="AU764" t="s">
        <v>11</v>
      </c>
      <c r="AV764" t="s">
        <v>11</v>
      </c>
      <c r="AW764" t="s">
        <v>11</v>
      </c>
      <c r="AX764" t="s">
        <v>11</v>
      </c>
      <c r="AY764" t="s">
        <v>11</v>
      </c>
      <c r="AZ764" t="s">
        <v>11</v>
      </c>
      <c r="BA764" t="s">
        <v>11</v>
      </c>
      <c r="BB764" t="s">
        <v>11</v>
      </c>
      <c r="BC764" t="s">
        <v>11</v>
      </c>
      <c r="BD764" t="s">
        <v>11</v>
      </c>
      <c r="BE764" t="s">
        <v>11</v>
      </c>
      <c r="BF764" t="s">
        <v>11</v>
      </c>
      <c r="BG764" t="s">
        <v>11</v>
      </c>
      <c r="BH764" t="s">
        <v>5191</v>
      </c>
      <c r="BI764" t="s">
        <v>5188</v>
      </c>
      <c r="BK764" t="s">
        <v>5192</v>
      </c>
    </row>
    <row r="765" spans="1:63" x14ac:dyDescent="0.3">
      <c r="A765" t="s">
        <v>5193</v>
      </c>
      <c r="B765" t="s">
        <v>95</v>
      </c>
      <c r="C765" t="s">
        <v>5194</v>
      </c>
      <c r="D765" t="s">
        <v>5195</v>
      </c>
      <c r="E765" t="s">
        <v>3245</v>
      </c>
      <c r="F765">
        <v>811</v>
      </c>
      <c r="G765">
        <v>25</v>
      </c>
      <c r="H765">
        <v>60</v>
      </c>
      <c r="I765">
        <v>10</v>
      </c>
      <c r="K765">
        <v>5</v>
      </c>
      <c r="AI765" t="s">
        <v>0</v>
      </c>
      <c r="AJ765" t="s">
        <v>22</v>
      </c>
      <c r="AK765" t="s">
        <v>1491</v>
      </c>
      <c r="AL765" t="s">
        <v>5114</v>
      </c>
      <c r="AM765" t="s">
        <v>11</v>
      </c>
      <c r="AN765" t="s">
        <v>11</v>
      </c>
      <c r="AO765" t="s">
        <v>11</v>
      </c>
      <c r="AP765" t="s">
        <v>11</v>
      </c>
      <c r="AQ765" t="s">
        <v>11</v>
      </c>
      <c r="AR765" t="s">
        <v>11</v>
      </c>
      <c r="AS765" t="s">
        <v>11</v>
      </c>
      <c r="AT765" t="s">
        <v>11</v>
      </c>
      <c r="AU765" t="s">
        <v>11</v>
      </c>
      <c r="AV765" t="s">
        <v>11</v>
      </c>
      <c r="AW765" t="s">
        <v>11</v>
      </c>
      <c r="AX765" t="s">
        <v>11</v>
      </c>
      <c r="AY765" t="s">
        <v>11</v>
      </c>
      <c r="AZ765" t="s">
        <v>11</v>
      </c>
      <c r="BA765" t="s">
        <v>11</v>
      </c>
      <c r="BB765" t="s">
        <v>11</v>
      </c>
      <c r="BC765" t="s">
        <v>11</v>
      </c>
      <c r="BD765" t="s">
        <v>11</v>
      </c>
      <c r="BE765" t="s">
        <v>11</v>
      </c>
      <c r="BF765" t="s">
        <v>11</v>
      </c>
      <c r="BG765" t="s">
        <v>11</v>
      </c>
      <c r="BH765" t="s">
        <v>5196</v>
      </c>
      <c r="BI765" t="s">
        <v>5193</v>
      </c>
      <c r="BK765" t="s">
        <v>5197</v>
      </c>
    </row>
    <row r="766" spans="1:63" x14ac:dyDescent="0.3">
      <c r="A766" t="s">
        <v>5198</v>
      </c>
      <c r="B766" t="s">
        <v>95</v>
      </c>
      <c r="C766" t="s">
        <v>5199</v>
      </c>
      <c r="D766" t="s">
        <v>5200</v>
      </c>
      <c r="E766" t="s">
        <v>3245</v>
      </c>
      <c r="F766">
        <v>812</v>
      </c>
      <c r="G766">
        <v>27.400000000000006</v>
      </c>
      <c r="H766">
        <v>60</v>
      </c>
      <c r="I766">
        <v>10</v>
      </c>
      <c r="K766">
        <v>2.6</v>
      </c>
      <c r="AI766" t="s">
        <v>0</v>
      </c>
      <c r="AJ766" t="s">
        <v>22</v>
      </c>
      <c r="AK766" t="s">
        <v>4166</v>
      </c>
      <c r="AL766" t="s">
        <v>5114</v>
      </c>
      <c r="AM766" t="s">
        <v>11</v>
      </c>
      <c r="AN766" t="s">
        <v>11</v>
      </c>
      <c r="AO766" t="s">
        <v>11</v>
      </c>
      <c r="AP766" t="s">
        <v>11</v>
      </c>
      <c r="AQ766" t="s">
        <v>11</v>
      </c>
      <c r="AR766" t="s">
        <v>11</v>
      </c>
      <c r="AS766" t="s">
        <v>11</v>
      </c>
      <c r="AT766" t="s">
        <v>11</v>
      </c>
      <c r="AU766" t="s">
        <v>11</v>
      </c>
      <c r="AV766" t="s">
        <v>11</v>
      </c>
      <c r="AW766" t="s">
        <v>11</v>
      </c>
      <c r="AX766" t="s">
        <v>11</v>
      </c>
      <c r="AY766" t="s">
        <v>11</v>
      </c>
      <c r="AZ766" t="s">
        <v>11</v>
      </c>
      <c r="BA766" t="s">
        <v>11</v>
      </c>
      <c r="BB766" t="s">
        <v>11</v>
      </c>
      <c r="BC766" t="s">
        <v>11</v>
      </c>
      <c r="BD766" t="s">
        <v>11</v>
      </c>
      <c r="BE766" t="s">
        <v>11</v>
      </c>
      <c r="BF766" t="s">
        <v>11</v>
      </c>
      <c r="BG766" t="s">
        <v>11</v>
      </c>
      <c r="BH766" t="s">
        <v>5201</v>
      </c>
      <c r="BI766" t="s">
        <v>5198</v>
      </c>
      <c r="BK766" t="s">
        <v>5202</v>
      </c>
    </row>
    <row r="767" spans="1:63" x14ac:dyDescent="0.3">
      <c r="A767" t="s">
        <v>5203</v>
      </c>
      <c r="B767" t="s">
        <v>95</v>
      </c>
      <c r="C767" t="s">
        <v>5204</v>
      </c>
      <c r="D767" t="s">
        <v>5205</v>
      </c>
      <c r="E767" t="s">
        <v>3245</v>
      </c>
      <c r="F767">
        <v>813</v>
      </c>
      <c r="G767">
        <v>18.599999999999994</v>
      </c>
      <c r="H767">
        <v>70</v>
      </c>
      <c r="I767">
        <v>10</v>
      </c>
      <c r="K767">
        <v>1.4</v>
      </c>
      <c r="AI767" t="s">
        <v>0</v>
      </c>
      <c r="AJ767" t="s">
        <v>22</v>
      </c>
      <c r="AK767" t="s">
        <v>5206</v>
      </c>
      <c r="AL767" t="s">
        <v>5120</v>
      </c>
      <c r="AM767" t="s">
        <v>11</v>
      </c>
      <c r="AN767" t="s">
        <v>11</v>
      </c>
      <c r="AO767" t="s">
        <v>11</v>
      </c>
      <c r="AP767" t="s">
        <v>11</v>
      </c>
      <c r="AQ767" t="s">
        <v>11</v>
      </c>
      <c r="AR767" t="s">
        <v>11</v>
      </c>
      <c r="AS767" t="s">
        <v>11</v>
      </c>
      <c r="AT767" t="s">
        <v>11</v>
      </c>
      <c r="AU767" t="s">
        <v>11</v>
      </c>
      <c r="AV767" t="s">
        <v>11</v>
      </c>
      <c r="AW767" t="s">
        <v>11</v>
      </c>
      <c r="AX767" t="s">
        <v>11</v>
      </c>
      <c r="AY767" t="s">
        <v>11</v>
      </c>
      <c r="AZ767" t="s">
        <v>11</v>
      </c>
      <c r="BA767" t="s">
        <v>11</v>
      </c>
      <c r="BB767" t="s">
        <v>11</v>
      </c>
      <c r="BC767" t="s">
        <v>11</v>
      </c>
      <c r="BD767" t="s">
        <v>11</v>
      </c>
      <c r="BE767" t="s">
        <v>11</v>
      </c>
      <c r="BF767" t="s">
        <v>11</v>
      </c>
      <c r="BG767" t="s">
        <v>11</v>
      </c>
      <c r="BH767" t="s">
        <v>5207</v>
      </c>
      <c r="BI767" t="s">
        <v>5203</v>
      </c>
      <c r="BK767" t="s">
        <v>5208</v>
      </c>
    </row>
    <row r="768" spans="1:63" x14ac:dyDescent="0.3">
      <c r="A768" t="s">
        <v>5209</v>
      </c>
      <c r="B768" t="s">
        <v>95</v>
      </c>
      <c r="C768" t="s">
        <v>642</v>
      </c>
      <c r="D768" t="s">
        <v>5210</v>
      </c>
      <c r="E768" t="s">
        <v>1274</v>
      </c>
      <c r="F768">
        <v>1620</v>
      </c>
      <c r="G768">
        <v>82</v>
      </c>
      <c r="I768">
        <v>9</v>
      </c>
      <c r="K768">
        <v>9</v>
      </c>
      <c r="AF768">
        <v>9.2735000000000003</v>
      </c>
      <c r="AH768" t="s">
        <v>1275</v>
      </c>
      <c r="AI768" t="s">
        <v>0</v>
      </c>
      <c r="AJ768" t="s">
        <v>128</v>
      </c>
      <c r="AK768" t="s">
        <v>5211</v>
      </c>
      <c r="AL768" t="s">
        <v>11</v>
      </c>
      <c r="AM768" t="s">
        <v>11</v>
      </c>
      <c r="AN768" t="s">
        <v>11</v>
      </c>
      <c r="AO768" t="s">
        <v>11</v>
      </c>
      <c r="AP768" t="s">
        <v>11</v>
      </c>
      <c r="AQ768" t="s">
        <v>11</v>
      </c>
      <c r="AR768" t="s">
        <v>11</v>
      </c>
      <c r="AS768" t="s">
        <v>11</v>
      </c>
      <c r="AT768" t="s">
        <v>11</v>
      </c>
      <c r="AU768" t="s">
        <v>11</v>
      </c>
      <c r="AV768" t="s">
        <v>11</v>
      </c>
      <c r="AW768" t="s">
        <v>11</v>
      </c>
      <c r="AX768" t="s">
        <v>11</v>
      </c>
      <c r="AY768" t="s">
        <v>11</v>
      </c>
      <c r="AZ768" t="s">
        <v>11</v>
      </c>
      <c r="BA768" t="s">
        <v>11</v>
      </c>
      <c r="BB768" t="s">
        <v>11</v>
      </c>
      <c r="BC768" t="s">
        <v>11</v>
      </c>
      <c r="BD768" t="s">
        <v>11</v>
      </c>
      <c r="BE768" t="s">
        <v>11</v>
      </c>
      <c r="BF768" t="s">
        <v>11</v>
      </c>
      <c r="BG768" t="s">
        <v>11</v>
      </c>
      <c r="BH768" t="s">
        <v>5212</v>
      </c>
      <c r="BI768" t="s">
        <v>5209</v>
      </c>
      <c r="BJ768" t="s">
        <v>647</v>
      </c>
      <c r="BK768" t="s">
        <v>5213</v>
      </c>
    </row>
    <row r="769" spans="1:63" x14ac:dyDescent="0.3">
      <c r="A769" t="s">
        <v>1315</v>
      </c>
      <c r="B769" t="s">
        <v>160</v>
      </c>
      <c r="C769" t="s">
        <v>1316</v>
      </c>
      <c r="D769" t="s">
        <v>1317</v>
      </c>
      <c r="E769" t="s">
        <v>1724</v>
      </c>
      <c r="F769">
        <v>2230</v>
      </c>
      <c r="G769">
        <v>45.900000000000006</v>
      </c>
      <c r="H769">
        <v>29.2</v>
      </c>
      <c r="I769">
        <v>9.8000000000000007</v>
      </c>
      <c r="J769">
        <v>6.4</v>
      </c>
      <c r="K769">
        <v>6.3</v>
      </c>
      <c r="M769">
        <v>2.4</v>
      </c>
      <c r="AF769">
        <v>9.0233460000000001</v>
      </c>
      <c r="AI769" t="s">
        <v>0</v>
      </c>
      <c r="AJ769" t="s">
        <v>1319</v>
      </c>
      <c r="AK769" t="s">
        <v>1320</v>
      </c>
      <c r="AL769" t="s">
        <v>1238</v>
      </c>
      <c r="AM769" t="s">
        <v>1321</v>
      </c>
      <c r="AN769" t="s">
        <v>1322</v>
      </c>
      <c r="AO769" t="s">
        <v>11</v>
      </c>
      <c r="AP769" t="s">
        <v>11</v>
      </c>
      <c r="AQ769" t="s">
        <v>11</v>
      </c>
      <c r="AR769" t="s">
        <v>11</v>
      </c>
      <c r="AS769" t="s">
        <v>11</v>
      </c>
      <c r="AT769" t="s">
        <v>11</v>
      </c>
      <c r="AU769" t="s">
        <v>11</v>
      </c>
      <c r="AV769" t="s">
        <v>11</v>
      </c>
      <c r="AW769" t="s">
        <v>11</v>
      </c>
      <c r="AX769" t="s">
        <v>11</v>
      </c>
      <c r="AY769" t="s">
        <v>11</v>
      </c>
      <c r="AZ769" t="s">
        <v>11</v>
      </c>
      <c r="BA769" t="s">
        <v>11</v>
      </c>
      <c r="BB769" t="s">
        <v>11</v>
      </c>
      <c r="BC769" t="s">
        <v>11</v>
      </c>
      <c r="BD769" t="s">
        <v>11</v>
      </c>
      <c r="BE769" t="s">
        <v>11</v>
      </c>
      <c r="BF769" t="s">
        <v>11</v>
      </c>
      <c r="BG769" t="s">
        <v>11</v>
      </c>
      <c r="BH769" t="s">
        <v>5214</v>
      </c>
      <c r="BI769" t="s">
        <v>1315</v>
      </c>
      <c r="BJ769" t="s">
        <v>1324</v>
      </c>
      <c r="BK769" t="s">
        <v>1325</v>
      </c>
    </row>
    <row r="770" spans="1:63" x14ac:dyDescent="0.3">
      <c r="A770" t="s">
        <v>5215</v>
      </c>
      <c r="B770" t="s">
        <v>160</v>
      </c>
      <c r="C770" t="s">
        <v>2119</v>
      </c>
      <c r="D770" t="s">
        <v>3101</v>
      </c>
      <c r="E770" t="s">
        <v>4965</v>
      </c>
      <c r="F770">
        <v>3080</v>
      </c>
      <c r="G770">
        <v>80</v>
      </c>
      <c r="I770">
        <v>7</v>
      </c>
      <c r="K770">
        <v>8</v>
      </c>
      <c r="L770">
        <v>4</v>
      </c>
      <c r="M770">
        <v>1</v>
      </c>
      <c r="AF770">
        <v>9.1957799999999992</v>
      </c>
      <c r="AH770" t="s">
        <v>1657</v>
      </c>
      <c r="AI770" t="s">
        <v>0</v>
      </c>
      <c r="AJ770" t="s">
        <v>1358</v>
      </c>
      <c r="AK770" t="s">
        <v>5216</v>
      </c>
      <c r="AL770" t="s">
        <v>11</v>
      </c>
      <c r="AM770" t="s">
        <v>11</v>
      </c>
      <c r="AN770" t="s">
        <v>5217</v>
      </c>
      <c r="AO770" t="s">
        <v>11</v>
      </c>
      <c r="AP770" t="s">
        <v>11</v>
      </c>
      <c r="AQ770" t="s">
        <v>5218</v>
      </c>
      <c r="AR770" t="s">
        <v>11</v>
      </c>
      <c r="AS770" t="s">
        <v>11</v>
      </c>
      <c r="AT770" t="s">
        <v>11</v>
      </c>
      <c r="AU770" t="s">
        <v>11</v>
      </c>
      <c r="AV770" t="s">
        <v>11</v>
      </c>
      <c r="AW770" t="s">
        <v>11</v>
      </c>
      <c r="AX770" t="s">
        <v>11</v>
      </c>
      <c r="AY770" t="s">
        <v>11</v>
      </c>
      <c r="AZ770" t="s">
        <v>11</v>
      </c>
      <c r="BA770" t="s">
        <v>11</v>
      </c>
      <c r="BB770" t="s">
        <v>11</v>
      </c>
      <c r="BC770" t="s">
        <v>11</v>
      </c>
      <c r="BD770" t="s">
        <v>11</v>
      </c>
      <c r="BE770" t="s">
        <v>11</v>
      </c>
      <c r="BF770" t="s">
        <v>11</v>
      </c>
      <c r="BG770" t="s">
        <v>11</v>
      </c>
      <c r="BH770" t="s">
        <v>5219</v>
      </c>
      <c r="BI770" t="s">
        <v>5215</v>
      </c>
      <c r="BJ770" t="s">
        <v>2122</v>
      </c>
      <c r="BK770" t="s">
        <v>5220</v>
      </c>
    </row>
    <row r="771" spans="1:63" x14ac:dyDescent="0.3">
      <c r="A771" t="s">
        <v>5221</v>
      </c>
      <c r="B771" t="s">
        <v>31</v>
      </c>
      <c r="C771" t="s">
        <v>5222</v>
      </c>
      <c r="D771" t="s">
        <v>2941</v>
      </c>
      <c r="E771" t="s">
        <v>2543</v>
      </c>
      <c r="F771">
        <v>338</v>
      </c>
      <c r="G771">
        <v>44.015999999999998</v>
      </c>
      <c r="H771">
        <v>31</v>
      </c>
      <c r="I771">
        <v>6.29</v>
      </c>
      <c r="J771">
        <v>8.11</v>
      </c>
      <c r="K771">
        <v>1.97</v>
      </c>
      <c r="L771">
        <v>3.73</v>
      </c>
      <c r="M771">
        <v>0.96</v>
      </c>
      <c r="N771">
        <v>0.89</v>
      </c>
      <c r="P771">
        <v>2.95</v>
      </c>
      <c r="S771">
        <v>8.4000000000000005E-2</v>
      </c>
      <c r="AF771">
        <v>8.5206184999999994</v>
      </c>
      <c r="AI771" t="s">
        <v>0</v>
      </c>
      <c r="AJ771" t="s">
        <v>537</v>
      </c>
      <c r="AK771" t="s">
        <v>5223</v>
      </c>
      <c r="AL771" t="s">
        <v>5224</v>
      </c>
      <c r="AM771" t="s">
        <v>289</v>
      </c>
      <c r="AN771" t="s">
        <v>5217</v>
      </c>
      <c r="AO771" t="s">
        <v>2536</v>
      </c>
      <c r="AP771" t="s">
        <v>11</v>
      </c>
      <c r="AQ771" t="s">
        <v>4362</v>
      </c>
      <c r="AR771" t="s">
        <v>5225</v>
      </c>
      <c r="AS771" t="s">
        <v>11</v>
      </c>
      <c r="AT771" t="s">
        <v>11</v>
      </c>
      <c r="AU771" t="s">
        <v>352</v>
      </c>
      <c r="AV771" t="s">
        <v>11</v>
      </c>
      <c r="AW771" t="s">
        <v>11</v>
      </c>
      <c r="AX771" t="s">
        <v>11</v>
      </c>
      <c r="AY771" t="s">
        <v>11</v>
      </c>
      <c r="AZ771" t="s">
        <v>11</v>
      </c>
      <c r="BA771" t="s">
        <v>11</v>
      </c>
      <c r="BB771" t="s">
        <v>11</v>
      </c>
      <c r="BC771" t="s">
        <v>11</v>
      </c>
      <c r="BD771" t="s">
        <v>11</v>
      </c>
      <c r="BE771" t="s">
        <v>11</v>
      </c>
      <c r="BF771" t="s">
        <v>11</v>
      </c>
      <c r="BG771" t="s">
        <v>11</v>
      </c>
      <c r="BH771" t="s">
        <v>5226</v>
      </c>
      <c r="BI771" t="s">
        <v>5221</v>
      </c>
      <c r="BJ771" t="s">
        <v>5227</v>
      </c>
      <c r="BK771" t="s">
        <v>5228</v>
      </c>
    </row>
    <row r="772" spans="1:63" x14ac:dyDescent="0.3">
      <c r="A772" t="s">
        <v>5229</v>
      </c>
      <c r="B772" t="s">
        <v>95</v>
      </c>
      <c r="C772" t="s">
        <v>984</v>
      </c>
      <c r="D772" t="s">
        <v>5230</v>
      </c>
      <c r="E772" t="s">
        <v>5231</v>
      </c>
      <c r="F772">
        <v>3430</v>
      </c>
      <c r="G772">
        <v>77</v>
      </c>
      <c r="I772">
        <v>12</v>
      </c>
      <c r="K772">
        <v>11</v>
      </c>
      <c r="AF772">
        <v>9.2945000000000011</v>
      </c>
      <c r="AI772" t="s">
        <v>0</v>
      </c>
      <c r="AJ772" t="s">
        <v>881</v>
      </c>
      <c r="AK772" t="s">
        <v>5232</v>
      </c>
      <c r="AL772" t="s">
        <v>11</v>
      </c>
      <c r="AM772" t="s">
        <v>11</v>
      </c>
      <c r="AN772" t="s">
        <v>11</v>
      </c>
      <c r="AO772" t="s">
        <v>11</v>
      </c>
      <c r="AP772" t="s">
        <v>11</v>
      </c>
      <c r="AQ772" t="s">
        <v>11</v>
      </c>
      <c r="AR772" t="s">
        <v>11</v>
      </c>
      <c r="AS772" t="s">
        <v>11</v>
      </c>
      <c r="AT772" t="s">
        <v>11</v>
      </c>
      <c r="AU772" t="s">
        <v>11</v>
      </c>
      <c r="AV772" t="s">
        <v>11</v>
      </c>
      <c r="AW772" t="s">
        <v>11</v>
      </c>
      <c r="AX772" t="s">
        <v>11</v>
      </c>
      <c r="AY772" t="s">
        <v>11</v>
      </c>
      <c r="AZ772" t="s">
        <v>11</v>
      </c>
      <c r="BA772" t="s">
        <v>11</v>
      </c>
      <c r="BB772" t="s">
        <v>11</v>
      </c>
      <c r="BC772" t="s">
        <v>11</v>
      </c>
      <c r="BD772" t="s">
        <v>11</v>
      </c>
      <c r="BE772" t="s">
        <v>11</v>
      </c>
      <c r="BF772" t="s">
        <v>11</v>
      </c>
      <c r="BG772" t="s">
        <v>11</v>
      </c>
      <c r="BH772" t="s">
        <v>5233</v>
      </c>
      <c r="BI772" t="s">
        <v>5229</v>
      </c>
      <c r="BJ772" t="s">
        <v>990</v>
      </c>
      <c r="BK772" t="s">
        <v>5234</v>
      </c>
    </row>
    <row r="773" spans="1:63" x14ac:dyDescent="0.3">
      <c r="A773" t="s">
        <v>5235</v>
      </c>
      <c r="B773" t="s">
        <v>95</v>
      </c>
      <c r="C773" t="s">
        <v>2727</v>
      </c>
      <c r="D773" t="s">
        <v>2728</v>
      </c>
      <c r="E773" t="s">
        <v>2685</v>
      </c>
      <c r="F773">
        <v>3740</v>
      </c>
      <c r="G773">
        <v>82</v>
      </c>
      <c r="I773">
        <v>9</v>
      </c>
      <c r="K773">
        <v>7</v>
      </c>
      <c r="U773">
        <v>2</v>
      </c>
      <c r="AF773">
        <v>9.3088999999999995</v>
      </c>
      <c r="AI773" t="s">
        <v>0</v>
      </c>
      <c r="AJ773" t="s">
        <v>128</v>
      </c>
      <c r="AK773" t="s">
        <v>5236</v>
      </c>
      <c r="AL773" t="s">
        <v>11</v>
      </c>
      <c r="AM773" t="s">
        <v>11</v>
      </c>
      <c r="AN773" t="s">
        <v>11</v>
      </c>
      <c r="AO773" t="s">
        <v>11</v>
      </c>
      <c r="AP773" t="s">
        <v>11</v>
      </c>
      <c r="AQ773" t="s">
        <v>11</v>
      </c>
      <c r="AR773" t="s">
        <v>11</v>
      </c>
      <c r="AS773" t="s">
        <v>11</v>
      </c>
      <c r="AT773" t="s">
        <v>11</v>
      </c>
      <c r="AU773" t="s">
        <v>11</v>
      </c>
      <c r="AV773" t="s">
        <v>11</v>
      </c>
      <c r="AW773" t="s">
        <v>5237</v>
      </c>
      <c r="AX773" t="s">
        <v>11</v>
      </c>
      <c r="AY773" t="s">
        <v>11</v>
      </c>
      <c r="AZ773" t="s">
        <v>11</v>
      </c>
      <c r="BA773" t="s">
        <v>11</v>
      </c>
      <c r="BB773" t="s">
        <v>11</v>
      </c>
      <c r="BC773" t="s">
        <v>11</v>
      </c>
      <c r="BD773" t="s">
        <v>11</v>
      </c>
      <c r="BE773" t="s">
        <v>11</v>
      </c>
      <c r="BF773" t="s">
        <v>11</v>
      </c>
      <c r="BG773" t="s">
        <v>11</v>
      </c>
      <c r="BH773" t="s">
        <v>2730</v>
      </c>
      <c r="BI773" t="s">
        <v>5235</v>
      </c>
      <c r="BJ773" t="s">
        <v>2731</v>
      </c>
      <c r="BK773" t="s">
        <v>5238</v>
      </c>
    </row>
    <row r="774" spans="1:63" x14ac:dyDescent="0.3">
      <c r="A774" t="s">
        <v>2461</v>
      </c>
      <c r="B774" t="s">
        <v>31</v>
      </c>
      <c r="C774" t="s">
        <v>2462</v>
      </c>
      <c r="D774" t="s">
        <v>5239</v>
      </c>
      <c r="E774" t="s">
        <v>5240</v>
      </c>
      <c r="F774">
        <v>3860</v>
      </c>
      <c r="G774">
        <v>67</v>
      </c>
      <c r="H774">
        <v>15.9</v>
      </c>
      <c r="I774">
        <v>13.6</v>
      </c>
      <c r="K774">
        <v>1.9</v>
      </c>
      <c r="M774">
        <v>0.7</v>
      </c>
      <c r="P774">
        <v>0.6</v>
      </c>
      <c r="U774">
        <v>0.3</v>
      </c>
      <c r="AF774">
        <v>8.3536120000000018</v>
      </c>
      <c r="AI774" t="s">
        <v>0</v>
      </c>
      <c r="AJ774" t="s">
        <v>1339</v>
      </c>
      <c r="AK774" t="s">
        <v>1843</v>
      </c>
      <c r="AL774" t="s">
        <v>1341</v>
      </c>
      <c r="AM774" t="s">
        <v>11</v>
      </c>
      <c r="AN774" t="s">
        <v>1342</v>
      </c>
      <c r="AO774" t="s">
        <v>11</v>
      </c>
      <c r="AP774" t="s">
        <v>11</v>
      </c>
      <c r="AQ774" t="s">
        <v>11</v>
      </c>
      <c r="AR774" t="s">
        <v>1343</v>
      </c>
      <c r="AS774" t="s">
        <v>11</v>
      </c>
      <c r="AT774" t="s">
        <v>11</v>
      </c>
      <c r="AU774" t="s">
        <v>11</v>
      </c>
      <c r="AV774" t="s">
        <v>11</v>
      </c>
      <c r="AW774" t="s">
        <v>1344</v>
      </c>
      <c r="AX774" t="s">
        <v>11</v>
      </c>
      <c r="AY774" t="s">
        <v>11</v>
      </c>
      <c r="AZ774" t="s">
        <v>11</v>
      </c>
      <c r="BA774" t="s">
        <v>11</v>
      </c>
      <c r="BB774" t="s">
        <v>11</v>
      </c>
      <c r="BC774" t="s">
        <v>11</v>
      </c>
      <c r="BD774" t="s">
        <v>11</v>
      </c>
      <c r="BE774" t="s">
        <v>11</v>
      </c>
      <c r="BF774" t="s">
        <v>11</v>
      </c>
      <c r="BG774" t="s">
        <v>11</v>
      </c>
      <c r="BH774" t="s">
        <v>5241</v>
      </c>
      <c r="BI774" t="s">
        <v>2461</v>
      </c>
      <c r="BJ774" t="s">
        <v>2465</v>
      </c>
      <c r="BK774" t="s">
        <v>2466</v>
      </c>
    </row>
    <row r="775" spans="1:63" x14ac:dyDescent="0.3">
      <c r="A775" t="s">
        <v>5242</v>
      </c>
      <c r="B775" t="s">
        <v>95</v>
      </c>
      <c r="C775" t="s">
        <v>1349</v>
      </c>
      <c r="D775" t="s">
        <v>3180</v>
      </c>
      <c r="E775" t="s">
        <v>2860</v>
      </c>
      <c r="F775">
        <v>3870</v>
      </c>
      <c r="G775">
        <v>79.400000000000006</v>
      </c>
      <c r="I775">
        <v>8.8000000000000007</v>
      </c>
      <c r="K775">
        <v>9.8000000000000007</v>
      </c>
      <c r="M775">
        <v>2</v>
      </c>
      <c r="AF775">
        <v>9.5236999999999998</v>
      </c>
      <c r="AI775" t="s">
        <v>0</v>
      </c>
      <c r="AJ775" t="s">
        <v>261</v>
      </c>
      <c r="AK775" t="s">
        <v>1737</v>
      </c>
      <c r="AL775" t="s">
        <v>11</v>
      </c>
      <c r="AM775" t="s">
        <v>11</v>
      </c>
      <c r="AN775" t="s">
        <v>5243</v>
      </c>
      <c r="AO775" t="s">
        <v>11</v>
      </c>
      <c r="AP775" t="s">
        <v>11</v>
      </c>
      <c r="AQ775" t="s">
        <v>11</v>
      </c>
      <c r="AR775" t="s">
        <v>11</v>
      </c>
      <c r="AS775" t="s">
        <v>11</v>
      </c>
      <c r="AT775" t="s">
        <v>11</v>
      </c>
      <c r="AU775" t="s">
        <v>11</v>
      </c>
      <c r="AV775" t="s">
        <v>11</v>
      </c>
      <c r="AW775" t="s">
        <v>11</v>
      </c>
      <c r="AX775" t="s">
        <v>11</v>
      </c>
      <c r="AY775" t="s">
        <v>11</v>
      </c>
      <c r="AZ775" t="s">
        <v>11</v>
      </c>
      <c r="BA775" t="s">
        <v>11</v>
      </c>
      <c r="BB775" t="s">
        <v>11</v>
      </c>
      <c r="BC775" t="s">
        <v>11</v>
      </c>
      <c r="BD775" t="s">
        <v>11</v>
      </c>
      <c r="BE775" t="s">
        <v>11</v>
      </c>
      <c r="BF775" t="s">
        <v>11</v>
      </c>
      <c r="BG775" t="s">
        <v>11</v>
      </c>
      <c r="BH775" t="s">
        <v>5244</v>
      </c>
      <c r="BI775" t="s">
        <v>5242</v>
      </c>
      <c r="BJ775" t="s">
        <v>1739</v>
      </c>
      <c r="BK775" t="s">
        <v>5245</v>
      </c>
    </row>
    <row r="776" spans="1:63" x14ac:dyDescent="0.3">
      <c r="A776" t="s">
        <v>5246</v>
      </c>
      <c r="B776" t="s">
        <v>160</v>
      </c>
      <c r="C776" t="s">
        <v>1664</v>
      </c>
      <c r="D776" t="s">
        <v>5247</v>
      </c>
      <c r="E776" t="s">
        <v>5248</v>
      </c>
      <c r="F776">
        <v>4430</v>
      </c>
      <c r="G776">
        <v>59.199999999999996</v>
      </c>
      <c r="H776">
        <v>20.399999999999999</v>
      </c>
      <c r="I776">
        <v>9.8000000000000007</v>
      </c>
      <c r="K776">
        <v>7.4</v>
      </c>
      <c r="L776">
        <v>2.7</v>
      </c>
      <c r="Q776">
        <v>0.4</v>
      </c>
      <c r="S776">
        <v>0.1</v>
      </c>
      <c r="AF776">
        <v>8.9083210000000008</v>
      </c>
      <c r="AI776" t="s">
        <v>0</v>
      </c>
      <c r="AJ776" t="s">
        <v>1319</v>
      </c>
      <c r="AK776" t="s">
        <v>584</v>
      </c>
      <c r="AL776" t="s">
        <v>1668</v>
      </c>
      <c r="AM776" t="s">
        <v>11</v>
      </c>
      <c r="AN776" t="s">
        <v>11</v>
      </c>
      <c r="AO776" t="s">
        <v>11</v>
      </c>
      <c r="AP776" t="s">
        <v>11</v>
      </c>
      <c r="AQ776" t="s">
        <v>1153</v>
      </c>
      <c r="AR776" t="s">
        <v>11</v>
      </c>
      <c r="AS776" t="s">
        <v>5249</v>
      </c>
      <c r="AT776" t="s">
        <v>11</v>
      </c>
      <c r="AU776" t="s">
        <v>5250</v>
      </c>
      <c r="AV776" t="s">
        <v>11</v>
      </c>
      <c r="AW776" t="s">
        <v>11</v>
      </c>
      <c r="AX776" t="s">
        <v>11</v>
      </c>
      <c r="AY776" t="s">
        <v>11</v>
      </c>
      <c r="AZ776" t="s">
        <v>11</v>
      </c>
      <c r="BA776" t="s">
        <v>11</v>
      </c>
      <c r="BB776" t="s">
        <v>11</v>
      </c>
      <c r="BC776" t="s">
        <v>11</v>
      </c>
      <c r="BD776" t="s">
        <v>11</v>
      </c>
      <c r="BE776" t="s">
        <v>11</v>
      </c>
      <c r="BF776" t="s">
        <v>11</v>
      </c>
      <c r="BG776" t="s">
        <v>11</v>
      </c>
      <c r="BH776" t="s">
        <v>5251</v>
      </c>
      <c r="BI776" t="s">
        <v>5246</v>
      </c>
      <c r="BJ776" t="s">
        <v>1671</v>
      </c>
      <c r="BK776" t="s">
        <v>5252</v>
      </c>
    </row>
    <row r="777" spans="1:63" x14ac:dyDescent="0.3">
      <c r="A777" t="s">
        <v>1728</v>
      </c>
      <c r="B777" t="s">
        <v>95</v>
      </c>
      <c r="C777" t="s">
        <v>1729</v>
      </c>
      <c r="D777" t="s">
        <v>2150</v>
      </c>
      <c r="E777" t="s">
        <v>3480</v>
      </c>
      <c r="F777">
        <v>4960</v>
      </c>
      <c r="G777">
        <v>79.900000000000006</v>
      </c>
      <c r="I777">
        <v>9.4</v>
      </c>
      <c r="K777">
        <v>10.7</v>
      </c>
      <c r="AF777">
        <v>9.4246500000000015</v>
      </c>
      <c r="AI777" t="s">
        <v>0</v>
      </c>
      <c r="AJ777" t="s">
        <v>108</v>
      </c>
      <c r="AK777" t="s">
        <v>1731</v>
      </c>
      <c r="AL777" t="s">
        <v>11</v>
      </c>
      <c r="AM777" t="s">
        <v>11</v>
      </c>
      <c r="AN777" t="s">
        <v>11</v>
      </c>
      <c r="AO777" t="s">
        <v>11</v>
      </c>
      <c r="AP777" t="s">
        <v>11</v>
      </c>
      <c r="AQ777" t="s">
        <v>11</v>
      </c>
      <c r="AR777" t="s">
        <v>11</v>
      </c>
      <c r="AS777" t="s">
        <v>11</v>
      </c>
      <c r="AT777" t="s">
        <v>11</v>
      </c>
      <c r="AU777" t="s">
        <v>11</v>
      </c>
      <c r="AV777" t="s">
        <v>11</v>
      </c>
      <c r="AW777" t="s">
        <v>11</v>
      </c>
      <c r="AX777" t="s">
        <v>11</v>
      </c>
      <c r="AY777" t="s">
        <v>11</v>
      </c>
      <c r="AZ777" t="s">
        <v>11</v>
      </c>
      <c r="BA777" t="s">
        <v>11</v>
      </c>
      <c r="BB777" t="s">
        <v>11</v>
      </c>
      <c r="BC777" t="s">
        <v>11</v>
      </c>
      <c r="BD777" t="s">
        <v>11</v>
      </c>
      <c r="BE777" t="s">
        <v>11</v>
      </c>
      <c r="BF777" t="s">
        <v>11</v>
      </c>
      <c r="BG777" t="s">
        <v>11</v>
      </c>
      <c r="BH777" t="s">
        <v>5253</v>
      </c>
      <c r="BI777" t="s">
        <v>1728</v>
      </c>
      <c r="BJ777" t="s">
        <v>1733</v>
      </c>
      <c r="BK777" t="s">
        <v>1734</v>
      </c>
    </row>
    <row r="778" spans="1:63" x14ac:dyDescent="0.3">
      <c r="A778" t="s">
        <v>5242</v>
      </c>
      <c r="B778" t="s">
        <v>95</v>
      </c>
      <c r="C778" t="s">
        <v>1349</v>
      </c>
      <c r="D778" t="s">
        <v>2354</v>
      </c>
      <c r="E778" t="s">
        <v>3480</v>
      </c>
      <c r="F778">
        <v>4970</v>
      </c>
      <c r="G778">
        <v>79.400000000000006</v>
      </c>
      <c r="I778">
        <v>8.8000000000000007</v>
      </c>
      <c r="K778">
        <v>9.8000000000000007</v>
      </c>
      <c r="M778">
        <v>2</v>
      </c>
      <c r="AF778">
        <v>9.5236999999999998</v>
      </c>
      <c r="AI778" t="s">
        <v>0</v>
      </c>
      <c r="AJ778" t="s">
        <v>261</v>
      </c>
      <c r="AK778" t="s">
        <v>1737</v>
      </c>
      <c r="AL778" t="s">
        <v>11</v>
      </c>
      <c r="AM778" t="s">
        <v>11</v>
      </c>
      <c r="AN778" t="s">
        <v>5243</v>
      </c>
      <c r="AO778" t="s">
        <v>11</v>
      </c>
      <c r="AP778" t="s">
        <v>11</v>
      </c>
      <c r="AQ778" t="s">
        <v>11</v>
      </c>
      <c r="AR778" t="s">
        <v>11</v>
      </c>
      <c r="AS778" t="s">
        <v>11</v>
      </c>
      <c r="AT778" t="s">
        <v>11</v>
      </c>
      <c r="AU778" t="s">
        <v>11</v>
      </c>
      <c r="AV778" t="s">
        <v>11</v>
      </c>
      <c r="AW778" t="s">
        <v>11</v>
      </c>
      <c r="AX778" t="s">
        <v>11</v>
      </c>
      <c r="AY778" t="s">
        <v>11</v>
      </c>
      <c r="AZ778" t="s">
        <v>11</v>
      </c>
      <c r="BA778" t="s">
        <v>11</v>
      </c>
      <c r="BB778" t="s">
        <v>11</v>
      </c>
      <c r="BC778" t="s">
        <v>11</v>
      </c>
      <c r="BD778" t="s">
        <v>11</v>
      </c>
      <c r="BE778" t="s">
        <v>11</v>
      </c>
      <c r="BF778" t="s">
        <v>11</v>
      </c>
      <c r="BG778" t="s">
        <v>11</v>
      </c>
      <c r="BH778" t="s">
        <v>5254</v>
      </c>
      <c r="BI778" t="s">
        <v>5242</v>
      </c>
      <c r="BJ778" t="s">
        <v>1739</v>
      </c>
      <c r="BK778" t="s">
        <v>5245</v>
      </c>
    </row>
    <row r="779" spans="1:63" x14ac:dyDescent="0.3">
      <c r="A779" t="s">
        <v>5255</v>
      </c>
      <c r="B779" t="s">
        <v>95</v>
      </c>
      <c r="C779" t="s">
        <v>2902</v>
      </c>
      <c r="D779" t="s">
        <v>5256</v>
      </c>
      <c r="E779" t="s">
        <v>3480</v>
      </c>
      <c r="F779">
        <v>4980</v>
      </c>
      <c r="G779">
        <v>79.400000000000006</v>
      </c>
      <c r="I779">
        <v>8.8000000000000007</v>
      </c>
      <c r="K779">
        <v>9.8000000000000007</v>
      </c>
      <c r="U779">
        <v>2</v>
      </c>
      <c r="AF779">
        <v>9.6111000000000004</v>
      </c>
      <c r="AI779" t="s">
        <v>0</v>
      </c>
      <c r="AJ779" t="s">
        <v>261</v>
      </c>
      <c r="AK779" t="s">
        <v>1737</v>
      </c>
      <c r="AL779" t="s">
        <v>11</v>
      </c>
      <c r="AM779" t="s">
        <v>11</v>
      </c>
      <c r="AN779" t="s">
        <v>11</v>
      </c>
      <c r="AO779" t="s">
        <v>11</v>
      </c>
      <c r="AP779" t="s">
        <v>11</v>
      </c>
      <c r="AQ779" t="s">
        <v>11</v>
      </c>
      <c r="AR779" t="s">
        <v>11</v>
      </c>
      <c r="AS779" t="s">
        <v>11</v>
      </c>
      <c r="AT779" t="s">
        <v>11</v>
      </c>
      <c r="AU779" t="s">
        <v>11</v>
      </c>
      <c r="AV779" t="s">
        <v>11</v>
      </c>
      <c r="AW779" t="s">
        <v>5237</v>
      </c>
      <c r="AX779" t="s">
        <v>11</v>
      </c>
      <c r="AY779" t="s">
        <v>11</v>
      </c>
      <c r="AZ779" t="s">
        <v>11</v>
      </c>
      <c r="BA779" t="s">
        <v>11</v>
      </c>
      <c r="BB779" t="s">
        <v>11</v>
      </c>
      <c r="BC779" t="s">
        <v>11</v>
      </c>
      <c r="BD779" t="s">
        <v>11</v>
      </c>
      <c r="BE779" t="s">
        <v>11</v>
      </c>
      <c r="BF779" t="s">
        <v>11</v>
      </c>
      <c r="BG779" t="s">
        <v>11</v>
      </c>
      <c r="BH779" t="s">
        <v>5257</v>
      </c>
      <c r="BI779" t="s">
        <v>5255</v>
      </c>
      <c r="BJ779" t="s">
        <v>2905</v>
      </c>
      <c r="BK779" t="s">
        <v>5258</v>
      </c>
    </row>
    <row r="780" spans="1:63" x14ac:dyDescent="0.3">
      <c r="A780" t="s">
        <v>5259</v>
      </c>
      <c r="B780" t="s">
        <v>514</v>
      </c>
      <c r="C780" t="s">
        <v>2233</v>
      </c>
      <c r="D780" t="s">
        <v>5260</v>
      </c>
      <c r="E780" t="s">
        <v>3505</v>
      </c>
      <c r="F780">
        <v>5040</v>
      </c>
      <c r="G780">
        <v>77</v>
      </c>
      <c r="L780">
        <v>23</v>
      </c>
      <c r="AF780">
        <v>7.8896100000000002</v>
      </c>
      <c r="AI780" t="s">
        <v>0</v>
      </c>
      <c r="AJ780" t="s">
        <v>11</v>
      </c>
      <c r="AK780" t="s">
        <v>11</v>
      </c>
      <c r="AL780" t="s">
        <v>11</v>
      </c>
      <c r="AM780" t="s">
        <v>11</v>
      </c>
      <c r="AN780" t="s">
        <v>11</v>
      </c>
      <c r="AO780" t="s">
        <v>11</v>
      </c>
      <c r="AP780" t="s">
        <v>11</v>
      </c>
      <c r="AQ780" t="s">
        <v>5261</v>
      </c>
      <c r="AR780" t="s">
        <v>11</v>
      </c>
      <c r="AS780" t="s">
        <v>11</v>
      </c>
      <c r="AT780" t="s">
        <v>11</v>
      </c>
      <c r="AU780" t="s">
        <v>11</v>
      </c>
      <c r="AV780" t="s">
        <v>11</v>
      </c>
      <c r="AW780" t="s">
        <v>11</v>
      </c>
      <c r="AX780" t="s">
        <v>11</v>
      </c>
      <c r="AY780" t="s">
        <v>11</v>
      </c>
      <c r="AZ780" t="s">
        <v>11</v>
      </c>
      <c r="BA780" t="s">
        <v>11</v>
      </c>
      <c r="BB780" t="s">
        <v>11</v>
      </c>
      <c r="BC780" t="s">
        <v>11</v>
      </c>
      <c r="BD780" t="s">
        <v>11</v>
      </c>
      <c r="BE780" t="s">
        <v>11</v>
      </c>
      <c r="BF780" t="s">
        <v>11</v>
      </c>
      <c r="BG780" t="s">
        <v>11</v>
      </c>
      <c r="BH780" t="s">
        <v>5262</v>
      </c>
      <c r="BI780" t="s">
        <v>5259</v>
      </c>
      <c r="BJ780" t="s">
        <v>2238</v>
      </c>
      <c r="BK780" t="s">
        <v>5261</v>
      </c>
    </row>
    <row r="781" spans="1:63" x14ac:dyDescent="0.3">
      <c r="A781" t="s">
        <v>1721</v>
      </c>
      <c r="B781" t="s">
        <v>95</v>
      </c>
      <c r="C781" t="s">
        <v>1722</v>
      </c>
      <c r="D781" t="s">
        <v>5263</v>
      </c>
      <c r="E781" t="s">
        <v>3591</v>
      </c>
      <c r="F781">
        <v>5230</v>
      </c>
      <c r="G781">
        <v>79</v>
      </c>
      <c r="I781">
        <v>6.7</v>
      </c>
      <c r="K781">
        <v>8.1</v>
      </c>
      <c r="L781">
        <v>6.2</v>
      </c>
      <c r="AF781">
        <v>9.0505840000000006</v>
      </c>
      <c r="AH781" t="s">
        <v>1657</v>
      </c>
      <c r="AI781" t="s">
        <v>0</v>
      </c>
      <c r="AJ781" t="s">
        <v>1624</v>
      </c>
      <c r="AK781" t="s">
        <v>718</v>
      </c>
      <c r="AL781" t="s">
        <v>11</v>
      </c>
      <c r="AM781" t="s">
        <v>11</v>
      </c>
      <c r="AN781" t="s">
        <v>11</v>
      </c>
      <c r="AO781" t="s">
        <v>11</v>
      </c>
      <c r="AP781" t="s">
        <v>11</v>
      </c>
      <c r="AQ781" t="s">
        <v>600</v>
      </c>
      <c r="AR781" t="s">
        <v>11</v>
      </c>
      <c r="AS781" t="s">
        <v>11</v>
      </c>
      <c r="AT781" t="s">
        <v>11</v>
      </c>
      <c r="AU781" t="s">
        <v>11</v>
      </c>
      <c r="AV781" t="s">
        <v>11</v>
      </c>
      <c r="AW781" t="s">
        <v>11</v>
      </c>
      <c r="AX781" t="s">
        <v>11</v>
      </c>
      <c r="AY781" t="s">
        <v>11</v>
      </c>
      <c r="AZ781" t="s">
        <v>11</v>
      </c>
      <c r="BA781" t="s">
        <v>11</v>
      </c>
      <c r="BB781" t="s">
        <v>11</v>
      </c>
      <c r="BC781" t="s">
        <v>11</v>
      </c>
      <c r="BD781" t="s">
        <v>11</v>
      </c>
      <c r="BE781" t="s">
        <v>11</v>
      </c>
      <c r="BF781" t="s">
        <v>11</v>
      </c>
      <c r="BG781" t="s">
        <v>11</v>
      </c>
      <c r="BH781" t="s">
        <v>5264</v>
      </c>
      <c r="BI781" t="s">
        <v>1721</v>
      </c>
      <c r="BJ781" t="s">
        <v>1726</v>
      </c>
      <c r="BK781" t="s">
        <v>1727</v>
      </c>
    </row>
    <row r="782" spans="1:63" x14ac:dyDescent="0.3">
      <c r="A782" t="s">
        <v>1728</v>
      </c>
      <c r="B782" t="s">
        <v>95</v>
      </c>
      <c r="C782" t="s">
        <v>1729</v>
      </c>
      <c r="D782" t="s">
        <v>1730</v>
      </c>
      <c r="E782" t="s">
        <v>3591</v>
      </c>
      <c r="F782">
        <v>5240</v>
      </c>
      <c r="G782">
        <v>79.900000000000006</v>
      </c>
      <c r="I782">
        <v>9.4</v>
      </c>
      <c r="K782">
        <v>10.7</v>
      </c>
      <c r="AF782">
        <v>9.4246500000000015</v>
      </c>
      <c r="AH782" t="s">
        <v>1657</v>
      </c>
      <c r="AI782" t="s">
        <v>0</v>
      </c>
      <c r="AJ782" t="s">
        <v>108</v>
      </c>
      <c r="AK782" t="s">
        <v>1731</v>
      </c>
      <c r="AL782" t="s">
        <v>11</v>
      </c>
      <c r="AM782" t="s">
        <v>11</v>
      </c>
      <c r="AN782" t="s">
        <v>11</v>
      </c>
      <c r="AO782" t="s">
        <v>11</v>
      </c>
      <c r="AP782" t="s">
        <v>11</v>
      </c>
      <c r="AQ782" t="s">
        <v>11</v>
      </c>
      <c r="AR782" t="s">
        <v>11</v>
      </c>
      <c r="AS782" t="s">
        <v>11</v>
      </c>
      <c r="AT782" t="s">
        <v>11</v>
      </c>
      <c r="AU782" t="s">
        <v>11</v>
      </c>
      <c r="AV782" t="s">
        <v>11</v>
      </c>
      <c r="AW782" t="s">
        <v>11</v>
      </c>
      <c r="AX782" t="s">
        <v>11</v>
      </c>
      <c r="AY782" t="s">
        <v>11</v>
      </c>
      <c r="AZ782" t="s">
        <v>11</v>
      </c>
      <c r="BA782" t="s">
        <v>11</v>
      </c>
      <c r="BB782" t="s">
        <v>11</v>
      </c>
      <c r="BC782" t="s">
        <v>11</v>
      </c>
      <c r="BD782" t="s">
        <v>11</v>
      </c>
      <c r="BE782" t="s">
        <v>11</v>
      </c>
      <c r="BF782" t="s">
        <v>11</v>
      </c>
      <c r="BG782" t="s">
        <v>11</v>
      </c>
      <c r="BH782" t="s">
        <v>5265</v>
      </c>
      <c r="BI782" t="s">
        <v>1728</v>
      </c>
      <c r="BJ782" t="s">
        <v>1733</v>
      </c>
      <c r="BK782" t="s">
        <v>1734</v>
      </c>
    </row>
    <row r="783" spans="1:63" x14ac:dyDescent="0.3">
      <c r="A783" t="s">
        <v>5242</v>
      </c>
      <c r="B783" t="s">
        <v>95</v>
      </c>
      <c r="C783" t="s">
        <v>1349</v>
      </c>
      <c r="D783" t="s">
        <v>2354</v>
      </c>
      <c r="E783" t="s">
        <v>3591</v>
      </c>
      <c r="F783">
        <v>5250</v>
      </c>
      <c r="G783">
        <v>79.400000000000006</v>
      </c>
      <c r="I783">
        <v>8.8000000000000007</v>
      </c>
      <c r="K783">
        <v>9.8000000000000007</v>
      </c>
      <c r="M783">
        <v>2</v>
      </c>
      <c r="AF783">
        <v>9.5236999999999998</v>
      </c>
      <c r="AH783" t="s">
        <v>1657</v>
      </c>
      <c r="AI783" t="s">
        <v>0</v>
      </c>
      <c r="AJ783" t="s">
        <v>261</v>
      </c>
      <c r="AK783" t="s">
        <v>1737</v>
      </c>
      <c r="AL783" t="s">
        <v>11</v>
      </c>
      <c r="AM783" t="s">
        <v>11</v>
      </c>
      <c r="AN783" t="s">
        <v>5243</v>
      </c>
      <c r="AO783" t="s">
        <v>11</v>
      </c>
      <c r="AP783" t="s">
        <v>11</v>
      </c>
      <c r="AQ783" t="s">
        <v>11</v>
      </c>
      <c r="AR783" t="s">
        <v>11</v>
      </c>
      <c r="AS783" t="s">
        <v>11</v>
      </c>
      <c r="AT783" t="s">
        <v>11</v>
      </c>
      <c r="AU783" t="s">
        <v>11</v>
      </c>
      <c r="AV783" t="s">
        <v>11</v>
      </c>
      <c r="AW783" t="s">
        <v>11</v>
      </c>
      <c r="AX783" t="s">
        <v>11</v>
      </c>
      <c r="AY783" t="s">
        <v>11</v>
      </c>
      <c r="AZ783" t="s">
        <v>11</v>
      </c>
      <c r="BA783" t="s">
        <v>11</v>
      </c>
      <c r="BB783" t="s">
        <v>11</v>
      </c>
      <c r="BC783" t="s">
        <v>11</v>
      </c>
      <c r="BD783" t="s">
        <v>11</v>
      </c>
      <c r="BE783" t="s">
        <v>11</v>
      </c>
      <c r="BF783" t="s">
        <v>11</v>
      </c>
      <c r="BG783" t="s">
        <v>11</v>
      </c>
      <c r="BH783" t="s">
        <v>5266</v>
      </c>
      <c r="BI783" t="s">
        <v>5242</v>
      </c>
      <c r="BJ783" t="s">
        <v>1739</v>
      </c>
      <c r="BK783" t="s">
        <v>5245</v>
      </c>
    </row>
    <row r="784" spans="1:63" x14ac:dyDescent="0.3">
      <c r="A784" t="s">
        <v>2857</v>
      </c>
      <c r="B784" t="s">
        <v>160</v>
      </c>
      <c r="C784" t="s">
        <v>2858</v>
      </c>
      <c r="D784" t="s">
        <v>3483</v>
      </c>
      <c r="E784" t="s">
        <v>3591</v>
      </c>
      <c r="F784">
        <v>5260</v>
      </c>
      <c r="G784">
        <v>78.400000000000006</v>
      </c>
      <c r="I784">
        <v>7.8</v>
      </c>
      <c r="J784">
        <v>4.5</v>
      </c>
      <c r="K784">
        <v>7.8</v>
      </c>
      <c r="M784">
        <v>1.5</v>
      </c>
      <c r="AF784">
        <v>9.2630000000000017</v>
      </c>
      <c r="AH784" t="s">
        <v>1657</v>
      </c>
      <c r="AI784" t="s">
        <v>0</v>
      </c>
      <c r="AJ784" t="s">
        <v>1206</v>
      </c>
      <c r="AK784" t="s">
        <v>478</v>
      </c>
      <c r="AL784" t="s">
        <v>11</v>
      </c>
      <c r="AM784" t="s">
        <v>2861</v>
      </c>
      <c r="AN784" t="s">
        <v>396</v>
      </c>
      <c r="AO784" t="s">
        <v>11</v>
      </c>
      <c r="AP784" t="s">
        <v>11</v>
      </c>
      <c r="AQ784" t="s">
        <v>11</v>
      </c>
      <c r="AR784" t="s">
        <v>11</v>
      </c>
      <c r="AS784" t="s">
        <v>11</v>
      </c>
      <c r="AT784" t="s">
        <v>11</v>
      </c>
      <c r="AU784" t="s">
        <v>11</v>
      </c>
      <c r="AV784" t="s">
        <v>11</v>
      </c>
      <c r="AW784" t="s">
        <v>11</v>
      </c>
      <c r="AX784" t="s">
        <v>11</v>
      </c>
      <c r="AY784" t="s">
        <v>11</v>
      </c>
      <c r="AZ784" t="s">
        <v>11</v>
      </c>
      <c r="BA784" t="s">
        <v>11</v>
      </c>
      <c r="BB784" t="s">
        <v>11</v>
      </c>
      <c r="BC784" t="s">
        <v>11</v>
      </c>
      <c r="BD784" t="s">
        <v>11</v>
      </c>
      <c r="BE784" t="s">
        <v>11</v>
      </c>
      <c r="BF784" t="s">
        <v>11</v>
      </c>
      <c r="BG784" t="s">
        <v>11</v>
      </c>
      <c r="BH784" t="s">
        <v>5267</v>
      </c>
      <c r="BI784" t="s">
        <v>2857</v>
      </c>
      <c r="BJ784" t="s">
        <v>2863</v>
      </c>
      <c r="BK784" t="s">
        <v>2864</v>
      </c>
    </row>
    <row r="785" spans="1:63" x14ac:dyDescent="0.3">
      <c r="A785" t="s">
        <v>1315</v>
      </c>
      <c r="B785" t="s">
        <v>160</v>
      </c>
      <c r="C785" t="s">
        <v>1316</v>
      </c>
      <c r="D785" t="s">
        <v>1317</v>
      </c>
      <c r="E785" t="s">
        <v>3591</v>
      </c>
      <c r="F785">
        <v>5270</v>
      </c>
      <c r="G785">
        <v>45.900000000000006</v>
      </c>
      <c r="H785">
        <v>29.2</v>
      </c>
      <c r="I785">
        <v>9.8000000000000007</v>
      </c>
      <c r="J785">
        <v>6.4</v>
      </c>
      <c r="K785">
        <v>6.3</v>
      </c>
      <c r="M785">
        <v>2.4</v>
      </c>
      <c r="AF785">
        <v>9.0233460000000001</v>
      </c>
      <c r="AH785" t="s">
        <v>1657</v>
      </c>
      <c r="AI785" t="s">
        <v>0</v>
      </c>
      <c r="AJ785" t="s">
        <v>1319</v>
      </c>
      <c r="AK785" t="s">
        <v>1320</v>
      </c>
      <c r="AL785" t="s">
        <v>1238</v>
      </c>
      <c r="AM785" t="s">
        <v>1321</v>
      </c>
      <c r="AN785" t="s">
        <v>1322</v>
      </c>
      <c r="AO785" t="s">
        <v>11</v>
      </c>
      <c r="AP785" t="s">
        <v>11</v>
      </c>
      <c r="AQ785" t="s">
        <v>11</v>
      </c>
      <c r="AR785" t="s">
        <v>11</v>
      </c>
      <c r="AS785" t="s">
        <v>11</v>
      </c>
      <c r="AT785" t="s">
        <v>11</v>
      </c>
      <c r="AU785" t="s">
        <v>11</v>
      </c>
      <c r="AV785" t="s">
        <v>11</v>
      </c>
      <c r="AW785" t="s">
        <v>11</v>
      </c>
      <c r="AX785" t="s">
        <v>11</v>
      </c>
      <c r="AY785" t="s">
        <v>11</v>
      </c>
      <c r="AZ785" t="s">
        <v>11</v>
      </c>
      <c r="BA785" t="s">
        <v>11</v>
      </c>
      <c r="BB785" t="s">
        <v>11</v>
      </c>
      <c r="BC785" t="s">
        <v>11</v>
      </c>
      <c r="BD785" t="s">
        <v>11</v>
      </c>
      <c r="BE785" t="s">
        <v>11</v>
      </c>
      <c r="BF785" t="s">
        <v>11</v>
      </c>
      <c r="BG785" t="s">
        <v>11</v>
      </c>
      <c r="BH785" t="s">
        <v>5268</v>
      </c>
      <c r="BI785" t="s">
        <v>1315</v>
      </c>
      <c r="BJ785" t="s">
        <v>1324</v>
      </c>
      <c r="BK785" t="s">
        <v>1325</v>
      </c>
    </row>
    <row r="786" spans="1:63" x14ac:dyDescent="0.3">
      <c r="A786" t="s">
        <v>1741</v>
      </c>
      <c r="B786" t="s">
        <v>160</v>
      </c>
      <c r="C786" t="s">
        <v>1742</v>
      </c>
      <c r="D786" t="s">
        <v>1743</v>
      </c>
      <c r="E786" t="s">
        <v>3597</v>
      </c>
      <c r="F786">
        <v>5340</v>
      </c>
      <c r="G786">
        <v>49.900000000000006</v>
      </c>
      <c r="H786">
        <v>29.6</v>
      </c>
      <c r="I786">
        <v>11.2</v>
      </c>
      <c r="K786">
        <v>6.5</v>
      </c>
      <c r="M786">
        <v>2.8</v>
      </c>
      <c r="AF786">
        <v>9.0977180000000004</v>
      </c>
      <c r="AI786" t="s">
        <v>0</v>
      </c>
      <c r="AJ786" t="s">
        <v>1744</v>
      </c>
      <c r="AK786" t="s">
        <v>1745</v>
      </c>
      <c r="AL786" t="s">
        <v>1746</v>
      </c>
      <c r="AM786" t="s">
        <v>11</v>
      </c>
      <c r="AN786" t="s">
        <v>1747</v>
      </c>
      <c r="AO786" t="s">
        <v>11</v>
      </c>
      <c r="AP786" t="s">
        <v>11</v>
      </c>
      <c r="AQ786" t="s">
        <v>11</v>
      </c>
      <c r="AR786" t="s">
        <v>11</v>
      </c>
      <c r="AS786" t="s">
        <v>11</v>
      </c>
      <c r="AT786" t="s">
        <v>11</v>
      </c>
      <c r="AU786" t="s">
        <v>11</v>
      </c>
      <c r="AV786" t="s">
        <v>11</v>
      </c>
      <c r="AW786" t="s">
        <v>11</v>
      </c>
      <c r="AX786" t="s">
        <v>11</v>
      </c>
      <c r="AY786" t="s">
        <v>11</v>
      </c>
      <c r="AZ786" t="s">
        <v>11</v>
      </c>
      <c r="BA786" t="s">
        <v>11</v>
      </c>
      <c r="BB786" t="s">
        <v>11</v>
      </c>
      <c r="BC786" t="s">
        <v>11</v>
      </c>
      <c r="BD786" t="s">
        <v>11</v>
      </c>
      <c r="BE786" t="s">
        <v>11</v>
      </c>
      <c r="BF786" t="s">
        <v>11</v>
      </c>
      <c r="BG786" t="s">
        <v>11</v>
      </c>
      <c r="BH786" t="s">
        <v>5269</v>
      </c>
      <c r="BI786" t="s">
        <v>1741</v>
      </c>
      <c r="BJ786" t="s">
        <v>1749</v>
      </c>
      <c r="BK786" t="s">
        <v>1750</v>
      </c>
    </row>
    <row r="787" spans="1:63" x14ac:dyDescent="0.3">
      <c r="A787" t="s">
        <v>1728</v>
      </c>
      <c r="B787" t="s">
        <v>160</v>
      </c>
      <c r="C787" t="s">
        <v>1729</v>
      </c>
      <c r="D787" t="s">
        <v>1728</v>
      </c>
      <c r="E787" t="s">
        <v>5270</v>
      </c>
      <c r="F787">
        <v>5430</v>
      </c>
      <c r="G787">
        <v>79.900000000000006</v>
      </c>
      <c r="I787">
        <v>9.4</v>
      </c>
      <c r="K787">
        <v>10.7</v>
      </c>
      <c r="AF787">
        <v>9.4246500000000015</v>
      </c>
      <c r="AI787" t="s">
        <v>0</v>
      </c>
      <c r="AJ787" t="s">
        <v>108</v>
      </c>
      <c r="AK787" t="s">
        <v>1731</v>
      </c>
      <c r="AL787" t="s">
        <v>11</v>
      </c>
      <c r="AM787" t="s">
        <v>11</v>
      </c>
      <c r="AN787" t="s">
        <v>11</v>
      </c>
      <c r="AO787" t="s">
        <v>11</v>
      </c>
      <c r="AP787" t="s">
        <v>11</v>
      </c>
      <c r="AQ787" t="s">
        <v>11</v>
      </c>
      <c r="AR787" t="s">
        <v>11</v>
      </c>
      <c r="AS787" t="s">
        <v>11</v>
      </c>
      <c r="AT787" t="s">
        <v>11</v>
      </c>
      <c r="AU787" t="s">
        <v>11</v>
      </c>
      <c r="AV787" t="s">
        <v>11</v>
      </c>
      <c r="AW787" t="s">
        <v>11</v>
      </c>
      <c r="AX787" t="s">
        <v>11</v>
      </c>
      <c r="AY787" t="s">
        <v>11</v>
      </c>
      <c r="AZ787" t="s">
        <v>11</v>
      </c>
      <c r="BA787" t="s">
        <v>11</v>
      </c>
      <c r="BB787" t="s">
        <v>11</v>
      </c>
      <c r="BC787" t="s">
        <v>11</v>
      </c>
      <c r="BD787" t="s">
        <v>11</v>
      </c>
      <c r="BE787" t="s">
        <v>11</v>
      </c>
      <c r="BF787" t="s">
        <v>11</v>
      </c>
      <c r="BG787" t="s">
        <v>11</v>
      </c>
      <c r="BH787" t="s">
        <v>5271</v>
      </c>
      <c r="BI787" t="s">
        <v>1728</v>
      </c>
      <c r="BJ787" t="s">
        <v>1733</v>
      </c>
      <c r="BK787" t="s">
        <v>1734</v>
      </c>
    </row>
    <row r="788" spans="1:63" x14ac:dyDescent="0.3">
      <c r="A788" t="s">
        <v>5242</v>
      </c>
      <c r="B788" t="s">
        <v>95</v>
      </c>
      <c r="C788" t="s">
        <v>1349</v>
      </c>
      <c r="D788" t="s">
        <v>3180</v>
      </c>
      <c r="E788" t="s">
        <v>5270</v>
      </c>
      <c r="F788">
        <v>5440</v>
      </c>
      <c r="G788">
        <v>79.400000000000006</v>
      </c>
      <c r="I788">
        <v>8.8000000000000007</v>
      </c>
      <c r="K788">
        <v>9.8000000000000007</v>
      </c>
      <c r="M788">
        <v>2</v>
      </c>
      <c r="AF788">
        <v>9.5236999999999998</v>
      </c>
      <c r="AI788" t="s">
        <v>0</v>
      </c>
      <c r="AJ788" t="s">
        <v>261</v>
      </c>
      <c r="AK788" t="s">
        <v>1737</v>
      </c>
      <c r="AL788" t="s">
        <v>11</v>
      </c>
      <c r="AM788" t="s">
        <v>11</v>
      </c>
      <c r="AN788" t="s">
        <v>5243</v>
      </c>
      <c r="AO788" t="s">
        <v>11</v>
      </c>
      <c r="AP788" t="s">
        <v>11</v>
      </c>
      <c r="AQ788" t="s">
        <v>11</v>
      </c>
      <c r="AR788" t="s">
        <v>11</v>
      </c>
      <c r="AS788" t="s">
        <v>11</v>
      </c>
      <c r="AT788" t="s">
        <v>11</v>
      </c>
      <c r="AU788" t="s">
        <v>11</v>
      </c>
      <c r="AV788" t="s">
        <v>11</v>
      </c>
      <c r="AW788" t="s">
        <v>11</v>
      </c>
      <c r="AX788" t="s">
        <v>11</v>
      </c>
      <c r="AY788" t="s">
        <v>11</v>
      </c>
      <c r="AZ788" t="s">
        <v>11</v>
      </c>
      <c r="BA788" t="s">
        <v>11</v>
      </c>
      <c r="BB788" t="s">
        <v>11</v>
      </c>
      <c r="BC788" t="s">
        <v>11</v>
      </c>
      <c r="BD788" t="s">
        <v>11</v>
      </c>
      <c r="BE788" t="s">
        <v>11</v>
      </c>
      <c r="BF788" t="s">
        <v>11</v>
      </c>
      <c r="BG788" t="s">
        <v>11</v>
      </c>
      <c r="BH788" t="s">
        <v>5272</v>
      </c>
      <c r="BI788" t="s">
        <v>5242</v>
      </c>
      <c r="BJ788" t="s">
        <v>1739</v>
      </c>
      <c r="BK788" t="s">
        <v>5245</v>
      </c>
    </row>
    <row r="789" spans="1:63" x14ac:dyDescent="0.3">
      <c r="A789" t="s">
        <v>5273</v>
      </c>
      <c r="B789" t="s">
        <v>160</v>
      </c>
      <c r="C789" t="s">
        <v>2858</v>
      </c>
      <c r="D789" t="s">
        <v>5274</v>
      </c>
      <c r="E789" t="s">
        <v>5270</v>
      </c>
      <c r="F789">
        <v>5450</v>
      </c>
      <c r="G789">
        <v>77.900000000000006</v>
      </c>
      <c r="I789">
        <v>7.8</v>
      </c>
      <c r="J789">
        <v>4.5</v>
      </c>
      <c r="K789">
        <v>7.8</v>
      </c>
      <c r="M789">
        <v>2</v>
      </c>
      <c r="AF789">
        <v>9.3017500000000002</v>
      </c>
      <c r="AI789" t="s">
        <v>0</v>
      </c>
      <c r="AJ789" t="s">
        <v>1206</v>
      </c>
      <c r="AK789" t="s">
        <v>478</v>
      </c>
      <c r="AL789" t="s">
        <v>11</v>
      </c>
      <c r="AM789" t="s">
        <v>2861</v>
      </c>
      <c r="AN789" t="s">
        <v>5243</v>
      </c>
      <c r="AO789" t="s">
        <v>11</v>
      </c>
      <c r="AP789" t="s">
        <v>11</v>
      </c>
      <c r="AQ789" t="s">
        <v>11</v>
      </c>
      <c r="AR789" t="s">
        <v>11</v>
      </c>
      <c r="AS789" t="s">
        <v>11</v>
      </c>
      <c r="AT789" t="s">
        <v>11</v>
      </c>
      <c r="AU789" t="s">
        <v>11</v>
      </c>
      <c r="AV789" t="s">
        <v>11</v>
      </c>
      <c r="AW789" t="s">
        <v>11</v>
      </c>
      <c r="AX789" t="s">
        <v>11</v>
      </c>
      <c r="AY789" t="s">
        <v>11</v>
      </c>
      <c r="AZ789" t="s">
        <v>11</v>
      </c>
      <c r="BA789" t="s">
        <v>11</v>
      </c>
      <c r="BB789" t="s">
        <v>11</v>
      </c>
      <c r="BC789" t="s">
        <v>11</v>
      </c>
      <c r="BD789" t="s">
        <v>11</v>
      </c>
      <c r="BE789" t="s">
        <v>11</v>
      </c>
      <c r="BF789" t="s">
        <v>11</v>
      </c>
      <c r="BG789" t="s">
        <v>11</v>
      </c>
      <c r="BH789" t="s">
        <v>5275</v>
      </c>
      <c r="BI789" t="s">
        <v>5273</v>
      </c>
      <c r="BJ789" t="s">
        <v>3485</v>
      </c>
      <c r="BK789" t="s">
        <v>5276</v>
      </c>
    </row>
    <row r="790" spans="1:63" x14ac:dyDescent="0.3">
      <c r="A790" t="s">
        <v>2430</v>
      </c>
      <c r="B790" t="s">
        <v>95</v>
      </c>
      <c r="C790" t="s">
        <v>2431</v>
      </c>
      <c r="D790" t="s">
        <v>5277</v>
      </c>
      <c r="E790" t="s">
        <v>3771</v>
      </c>
      <c r="F790">
        <v>5620</v>
      </c>
      <c r="G790">
        <v>85.9</v>
      </c>
      <c r="I790">
        <v>7.3</v>
      </c>
      <c r="K790">
        <v>6.8</v>
      </c>
      <c r="AF790">
        <v>9.1512000000000011</v>
      </c>
      <c r="AI790" t="s">
        <v>0</v>
      </c>
      <c r="AJ790" t="s">
        <v>547</v>
      </c>
      <c r="AK790" t="s">
        <v>1769</v>
      </c>
      <c r="AL790" t="s">
        <v>11</v>
      </c>
      <c r="AM790" t="s">
        <v>11</v>
      </c>
      <c r="AN790" t="s">
        <v>11</v>
      </c>
      <c r="AO790" t="s">
        <v>11</v>
      </c>
      <c r="AP790" t="s">
        <v>11</v>
      </c>
      <c r="AQ790" t="s">
        <v>11</v>
      </c>
      <c r="AR790" t="s">
        <v>11</v>
      </c>
      <c r="AS790" t="s">
        <v>11</v>
      </c>
      <c r="AT790" t="s">
        <v>11</v>
      </c>
      <c r="AU790" t="s">
        <v>11</v>
      </c>
      <c r="AV790" t="s">
        <v>11</v>
      </c>
      <c r="AW790" t="s">
        <v>11</v>
      </c>
      <c r="AX790" t="s">
        <v>11</v>
      </c>
      <c r="AY790" t="s">
        <v>11</v>
      </c>
      <c r="AZ790" t="s">
        <v>11</v>
      </c>
      <c r="BA790" t="s">
        <v>11</v>
      </c>
      <c r="BB790" t="s">
        <v>11</v>
      </c>
      <c r="BC790" t="s">
        <v>11</v>
      </c>
      <c r="BD790" t="s">
        <v>11</v>
      </c>
      <c r="BE790" t="s">
        <v>11</v>
      </c>
      <c r="BF790" t="s">
        <v>11</v>
      </c>
      <c r="BG790" t="s">
        <v>11</v>
      </c>
      <c r="BH790" t="s">
        <v>5278</v>
      </c>
      <c r="BI790" t="s">
        <v>2430</v>
      </c>
      <c r="BJ790" t="s">
        <v>2434</v>
      </c>
      <c r="BK790" t="s">
        <v>2435</v>
      </c>
    </row>
    <row r="791" spans="1:63" x14ac:dyDescent="0.3">
      <c r="A791" t="s">
        <v>5279</v>
      </c>
      <c r="B791" t="s">
        <v>95</v>
      </c>
      <c r="C791" t="s">
        <v>483</v>
      </c>
      <c r="D791" t="s">
        <v>3825</v>
      </c>
      <c r="E791" t="s">
        <v>3839</v>
      </c>
      <c r="F791">
        <v>5750</v>
      </c>
      <c r="G791">
        <v>80</v>
      </c>
      <c r="I791">
        <v>9</v>
      </c>
      <c r="K791">
        <v>9</v>
      </c>
      <c r="M791">
        <v>2</v>
      </c>
      <c r="AF791">
        <v>9.4284999999999997</v>
      </c>
      <c r="AI791" t="s">
        <v>0</v>
      </c>
      <c r="AJ791" t="s">
        <v>128</v>
      </c>
      <c r="AK791" t="s">
        <v>5211</v>
      </c>
      <c r="AL791" t="s">
        <v>11</v>
      </c>
      <c r="AM791" t="s">
        <v>11</v>
      </c>
      <c r="AN791" t="s">
        <v>5243</v>
      </c>
      <c r="AO791" t="s">
        <v>11</v>
      </c>
      <c r="AP791" t="s">
        <v>11</v>
      </c>
      <c r="AQ791" t="s">
        <v>11</v>
      </c>
      <c r="AR791" t="s">
        <v>11</v>
      </c>
      <c r="AS791" t="s">
        <v>11</v>
      </c>
      <c r="AT791" t="s">
        <v>11</v>
      </c>
      <c r="AU791" t="s">
        <v>11</v>
      </c>
      <c r="AV791" t="s">
        <v>11</v>
      </c>
      <c r="AW791" t="s">
        <v>11</v>
      </c>
      <c r="AX791" t="s">
        <v>11</v>
      </c>
      <c r="AY791" t="s">
        <v>11</v>
      </c>
      <c r="AZ791" t="s">
        <v>11</v>
      </c>
      <c r="BA791" t="s">
        <v>11</v>
      </c>
      <c r="BB791" t="s">
        <v>11</v>
      </c>
      <c r="BC791" t="s">
        <v>11</v>
      </c>
      <c r="BD791" t="s">
        <v>11</v>
      </c>
      <c r="BE791" t="s">
        <v>11</v>
      </c>
      <c r="BF791" t="s">
        <v>11</v>
      </c>
      <c r="BG791" t="s">
        <v>11</v>
      </c>
      <c r="BH791" t="s">
        <v>5280</v>
      </c>
      <c r="BI791" t="s">
        <v>5279</v>
      </c>
      <c r="BJ791" t="s">
        <v>3500</v>
      </c>
      <c r="BK791" t="s">
        <v>5281</v>
      </c>
    </row>
    <row r="792" spans="1:63" x14ac:dyDescent="0.3">
      <c r="A792" t="s">
        <v>5282</v>
      </c>
      <c r="B792" t="s">
        <v>95</v>
      </c>
      <c r="C792" t="s">
        <v>1389</v>
      </c>
      <c r="D792" t="s">
        <v>5283</v>
      </c>
      <c r="E792" t="s">
        <v>3894</v>
      </c>
      <c r="F792">
        <v>5940</v>
      </c>
      <c r="G792">
        <v>77</v>
      </c>
      <c r="I792">
        <v>9</v>
      </c>
      <c r="K792">
        <v>10</v>
      </c>
      <c r="M792">
        <v>4</v>
      </c>
      <c r="AF792">
        <v>9.6870000000000012</v>
      </c>
      <c r="AI792" t="s">
        <v>0</v>
      </c>
      <c r="AJ792" t="s">
        <v>128</v>
      </c>
      <c r="AK792" t="s">
        <v>5284</v>
      </c>
      <c r="AL792" t="s">
        <v>11</v>
      </c>
      <c r="AM792" t="s">
        <v>11</v>
      </c>
      <c r="AN792" t="s">
        <v>5285</v>
      </c>
      <c r="AO792" t="s">
        <v>11</v>
      </c>
      <c r="AP792" t="s">
        <v>11</v>
      </c>
      <c r="AQ792" t="s">
        <v>11</v>
      </c>
      <c r="AR792" t="s">
        <v>11</v>
      </c>
      <c r="AS792" t="s">
        <v>11</v>
      </c>
      <c r="AT792" t="s">
        <v>11</v>
      </c>
      <c r="AU792" t="s">
        <v>11</v>
      </c>
      <c r="AV792" t="s">
        <v>11</v>
      </c>
      <c r="AW792" t="s">
        <v>11</v>
      </c>
      <c r="AX792" t="s">
        <v>11</v>
      </c>
      <c r="AY792" t="s">
        <v>11</v>
      </c>
      <c r="AZ792" t="s">
        <v>11</v>
      </c>
      <c r="BA792" t="s">
        <v>11</v>
      </c>
      <c r="BB792" t="s">
        <v>11</v>
      </c>
      <c r="BC792" t="s">
        <v>11</v>
      </c>
      <c r="BD792" t="s">
        <v>11</v>
      </c>
      <c r="BE792" t="s">
        <v>11</v>
      </c>
      <c r="BF792" t="s">
        <v>11</v>
      </c>
      <c r="BG792" t="s">
        <v>11</v>
      </c>
      <c r="BH792" t="s">
        <v>5286</v>
      </c>
      <c r="BI792" t="s">
        <v>5282</v>
      </c>
      <c r="BJ792" t="s">
        <v>1392</v>
      </c>
      <c r="BK792" t="s">
        <v>5287</v>
      </c>
    </row>
    <row r="793" spans="1:63" x14ac:dyDescent="0.3">
      <c r="A793" t="s">
        <v>5215</v>
      </c>
      <c r="B793" t="s">
        <v>160</v>
      </c>
      <c r="C793" t="s">
        <v>2119</v>
      </c>
      <c r="D793" t="s">
        <v>5288</v>
      </c>
      <c r="E793" t="s">
        <v>3941</v>
      </c>
      <c r="F793">
        <v>5970</v>
      </c>
      <c r="G793">
        <v>80</v>
      </c>
      <c r="I793">
        <v>7</v>
      </c>
      <c r="K793">
        <v>8</v>
      </c>
      <c r="L793">
        <v>4</v>
      </c>
      <c r="M793">
        <v>1</v>
      </c>
      <c r="AF793">
        <v>9.1957799999999992</v>
      </c>
      <c r="AH793" t="s">
        <v>1657</v>
      </c>
      <c r="AI793" t="s">
        <v>0</v>
      </c>
      <c r="AJ793" t="s">
        <v>1358</v>
      </c>
      <c r="AK793" t="s">
        <v>5216</v>
      </c>
      <c r="AL793" t="s">
        <v>11</v>
      </c>
      <c r="AM793" t="s">
        <v>11</v>
      </c>
      <c r="AN793" t="s">
        <v>5217</v>
      </c>
      <c r="AO793" t="s">
        <v>11</v>
      </c>
      <c r="AP793" t="s">
        <v>11</v>
      </c>
      <c r="AQ793" t="s">
        <v>5218</v>
      </c>
      <c r="AR793" t="s">
        <v>11</v>
      </c>
      <c r="AS793" t="s">
        <v>11</v>
      </c>
      <c r="AT793" t="s">
        <v>11</v>
      </c>
      <c r="AU793" t="s">
        <v>11</v>
      </c>
      <c r="AV793" t="s">
        <v>11</v>
      </c>
      <c r="AW793" t="s">
        <v>11</v>
      </c>
      <c r="AX793" t="s">
        <v>11</v>
      </c>
      <c r="AY793" t="s">
        <v>11</v>
      </c>
      <c r="AZ793" t="s">
        <v>11</v>
      </c>
      <c r="BA793" t="s">
        <v>11</v>
      </c>
      <c r="BB793" t="s">
        <v>11</v>
      </c>
      <c r="BC793" t="s">
        <v>11</v>
      </c>
      <c r="BD793" t="s">
        <v>11</v>
      </c>
      <c r="BE793" t="s">
        <v>11</v>
      </c>
      <c r="BF793" t="s">
        <v>11</v>
      </c>
      <c r="BG793" t="s">
        <v>11</v>
      </c>
      <c r="BH793" t="s">
        <v>5289</v>
      </c>
      <c r="BI793" t="s">
        <v>5215</v>
      </c>
      <c r="BJ793" t="s">
        <v>2122</v>
      </c>
      <c r="BK793" t="s">
        <v>5220</v>
      </c>
    </row>
    <row r="794" spans="1:63" x14ac:dyDescent="0.3">
      <c r="A794" t="s">
        <v>5215</v>
      </c>
      <c r="B794" t="s">
        <v>160</v>
      </c>
      <c r="C794" t="s">
        <v>2119</v>
      </c>
      <c r="D794" t="s">
        <v>5290</v>
      </c>
      <c r="E794" t="s">
        <v>3941</v>
      </c>
      <c r="F794">
        <v>5980</v>
      </c>
      <c r="G794">
        <v>80</v>
      </c>
      <c r="I794">
        <v>7</v>
      </c>
      <c r="K794">
        <v>8</v>
      </c>
      <c r="L794">
        <v>4</v>
      </c>
      <c r="M794">
        <v>1</v>
      </c>
      <c r="AF794">
        <v>9.1957799999999992</v>
      </c>
      <c r="AI794" t="s">
        <v>0</v>
      </c>
      <c r="AJ794" t="s">
        <v>1358</v>
      </c>
      <c r="AK794" t="s">
        <v>5216</v>
      </c>
      <c r="AL794" t="s">
        <v>11</v>
      </c>
      <c r="AM794" t="s">
        <v>11</v>
      </c>
      <c r="AN794" t="s">
        <v>5217</v>
      </c>
      <c r="AO794" t="s">
        <v>11</v>
      </c>
      <c r="AP794" t="s">
        <v>11</v>
      </c>
      <c r="AQ794" t="s">
        <v>5218</v>
      </c>
      <c r="AR794" t="s">
        <v>11</v>
      </c>
      <c r="AS794" t="s">
        <v>11</v>
      </c>
      <c r="AT794" t="s">
        <v>11</v>
      </c>
      <c r="AU794" t="s">
        <v>11</v>
      </c>
      <c r="AV794" t="s">
        <v>11</v>
      </c>
      <c r="AW794" t="s">
        <v>11</v>
      </c>
      <c r="AX794" t="s">
        <v>11</v>
      </c>
      <c r="AY794" t="s">
        <v>11</v>
      </c>
      <c r="AZ794" t="s">
        <v>11</v>
      </c>
      <c r="BA794" t="s">
        <v>11</v>
      </c>
      <c r="BB794" t="s">
        <v>11</v>
      </c>
      <c r="BC794" t="s">
        <v>11</v>
      </c>
      <c r="BD794" t="s">
        <v>11</v>
      </c>
      <c r="BE794" t="s">
        <v>11</v>
      </c>
      <c r="BF794" t="s">
        <v>11</v>
      </c>
      <c r="BG794" t="s">
        <v>11</v>
      </c>
      <c r="BH794" t="s">
        <v>5291</v>
      </c>
      <c r="BI794" t="s">
        <v>5215</v>
      </c>
      <c r="BJ794" t="s">
        <v>2122</v>
      </c>
      <c r="BK794" t="s">
        <v>5220</v>
      </c>
    </row>
    <row r="795" spans="1:63" x14ac:dyDescent="0.3">
      <c r="A795" t="s">
        <v>5215</v>
      </c>
      <c r="B795" t="s">
        <v>160</v>
      </c>
      <c r="C795" t="s">
        <v>2119</v>
      </c>
      <c r="D795" t="s">
        <v>5292</v>
      </c>
      <c r="E795" t="s">
        <v>5293</v>
      </c>
      <c r="F795">
        <v>6040</v>
      </c>
      <c r="G795">
        <v>80</v>
      </c>
      <c r="I795">
        <v>7</v>
      </c>
      <c r="K795">
        <v>8</v>
      </c>
      <c r="L795">
        <v>4</v>
      </c>
      <c r="M795">
        <v>1</v>
      </c>
      <c r="AF795">
        <v>9.1957799999999992</v>
      </c>
      <c r="AI795" t="s">
        <v>0</v>
      </c>
      <c r="AJ795" t="s">
        <v>1358</v>
      </c>
      <c r="AK795" t="s">
        <v>5216</v>
      </c>
      <c r="AL795" t="s">
        <v>11</v>
      </c>
      <c r="AM795" t="s">
        <v>11</v>
      </c>
      <c r="AN795" t="s">
        <v>5217</v>
      </c>
      <c r="AO795" t="s">
        <v>11</v>
      </c>
      <c r="AP795" t="s">
        <v>11</v>
      </c>
      <c r="AQ795" t="s">
        <v>5218</v>
      </c>
      <c r="AR795" t="s">
        <v>11</v>
      </c>
      <c r="AS795" t="s">
        <v>11</v>
      </c>
      <c r="AT795" t="s">
        <v>11</v>
      </c>
      <c r="AU795" t="s">
        <v>11</v>
      </c>
      <c r="AV795" t="s">
        <v>11</v>
      </c>
      <c r="AW795" t="s">
        <v>11</v>
      </c>
      <c r="AX795" t="s">
        <v>11</v>
      </c>
      <c r="AY795" t="s">
        <v>11</v>
      </c>
      <c r="AZ795" t="s">
        <v>11</v>
      </c>
      <c r="BA795" t="s">
        <v>11</v>
      </c>
      <c r="BB795" t="s">
        <v>11</v>
      </c>
      <c r="BC795" t="s">
        <v>11</v>
      </c>
      <c r="BD795" t="s">
        <v>11</v>
      </c>
      <c r="BE795" t="s">
        <v>11</v>
      </c>
      <c r="BF795" t="s">
        <v>11</v>
      </c>
      <c r="BG795" t="s">
        <v>11</v>
      </c>
      <c r="BH795" t="s">
        <v>5294</v>
      </c>
      <c r="BI795" t="s">
        <v>5215</v>
      </c>
      <c r="BJ795" t="s">
        <v>2122</v>
      </c>
      <c r="BK795" t="s">
        <v>5220</v>
      </c>
    </row>
    <row r="796" spans="1:63" x14ac:dyDescent="0.3">
      <c r="A796" t="s">
        <v>5295</v>
      </c>
      <c r="B796" t="s">
        <v>160</v>
      </c>
      <c r="C796" t="s">
        <v>3952</v>
      </c>
      <c r="D796" t="s">
        <v>5296</v>
      </c>
      <c r="E796" t="s">
        <v>5293</v>
      </c>
      <c r="F796">
        <v>6050</v>
      </c>
      <c r="G796">
        <v>80</v>
      </c>
      <c r="I796">
        <v>7</v>
      </c>
      <c r="K796">
        <v>7</v>
      </c>
      <c r="L796">
        <v>4</v>
      </c>
      <c r="M796">
        <v>2</v>
      </c>
      <c r="AF796">
        <v>9.1697799999999994</v>
      </c>
      <c r="AI796" t="s">
        <v>0</v>
      </c>
      <c r="AJ796" t="s">
        <v>1358</v>
      </c>
      <c r="AK796" t="s">
        <v>5236</v>
      </c>
      <c r="AL796" t="s">
        <v>11</v>
      </c>
      <c r="AM796" t="s">
        <v>11</v>
      </c>
      <c r="AN796" t="s">
        <v>5243</v>
      </c>
      <c r="AO796" t="s">
        <v>11</v>
      </c>
      <c r="AP796" t="s">
        <v>11</v>
      </c>
      <c r="AQ796" t="s">
        <v>5218</v>
      </c>
      <c r="AR796" t="s">
        <v>11</v>
      </c>
      <c r="AS796" t="s">
        <v>11</v>
      </c>
      <c r="AT796" t="s">
        <v>11</v>
      </c>
      <c r="AU796" t="s">
        <v>11</v>
      </c>
      <c r="AV796" t="s">
        <v>11</v>
      </c>
      <c r="AW796" t="s">
        <v>11</v>
      </c>
      <c r="AX796" t="s">
        <v>11</v>
      </c>
      <c r="AY796" t="s">
        <v>11</v>
      </c>
      <c r="AZ796" t="s">
        <v>11</v>
      </c>
      <c r="BA796" t="s">
        <v>11</v>
      </c>
      <c r="BB796" t="s">
        <v>11</v>
      </c>
      <c r="BC796" t="s">
        <v>11</v>
      </c>
      <c r="BD796" t="s">
        <v>11</v>
      </c>
      <c r="BE796" t="s">
        <v>11</v>
      </c>
      <c r="BF796" t="s">
        <v>11</v>
      </c>
      <c r="BG796" t="s">
        <v>11</v>
      </c>
      <c r="BH796" t="s">
        <v>5297</v>
      </c>
      <c r="BI796" t="s">
        <v>5295</v>
      </c>
      <c r="BJ796" t="s">
        <v>3955</v>
      </c>
      <c r="BK796" t="s">
        <v>5298</v>
      </c>
    </row>
    <row r="797" spans="1:63" x14ac:dyDescent="0.3">
      <c r="A797" t="s">
        <v>2443</v>
      </c>
      <c r="B797" t="s">
        <v>95</v>
      </c>
      <c r="C797" t="s">
        <v>2444</v>
      </c>
      <c r="D797" t="s">
        <v>2354</v>
      </c>
      <c r="E797" t="s">
        <v>3999</v>
      </c>
      <c r="F797">
        <v>6120</v>
      </c>
      <c r="G797">
        <v>83.5</v>
      </c>
      <c r="I797">
        <v>9.9</v>
      </c>
      <c r="K797">
        <v>4.8</v>
      </c>
      <c r="M797">
        <v>1.8</v>
      </c>
      <c r="AF797">
        <v>8.9224999999999994</v>
      </c>
      <c r="AG797">
        <v>9.09</v>
      </c>
      <c r="AI797" t="s">
        <v>0</v>
      </c>
      <c r="AJ797" t="s">
        <v>575</v>
      </c>
      <c r="AK797" t="s">
        <v>2446</v>
      </c>
      <c r="AL797" t="s">
        <v>11</v>
      </c>
      <c r="AM797" t="s">
        <v>11</v>
      </c>
      <c r="AN797" t="s">
        <v>205</v>
      </c>
      <c r="AO797" t="s">
        <v>11</v>
      </c>
      <c r="AP797" t="s">
        <v>11</v>
      </c>
      <c r="AQ797" t="s">
        <v>11</v>
      </c>
      <c r="AR797" t="s">
        <v>11</v>
      </c>
      <c r="AS797" t="s">
        <v>11</v>
      </c>
      <c r="AT797" t="s">
        <v>11</v>
      </c>
      <c r="AU797" t="s">
        <v>11</v>
      </c>
      <c r="AV797" t="s">
        <v>11</v>
      </c>
      <c r="AW797" t="s">
        <v>11</v>
      </c>
      <c r="AX797" t="s">
        <v>11</v>
      </c>
      <c r="AY797" t="s">
        <v>11</v>
      </c>
      <c r="AZ797" t="s">
        <v>11</v>
      </c>
      <c r="BA797" t="s">
        <v>11</v>
      </c>
      <c r="BB797" t="s">
        <v>11</v>
      </c>
      <c r="BC797" t="s">
        <v>11</v>
      </c>
      <c r="BD797" t="s">
        <v>11</v>
      </c>
      <c r="BE797" t="s">
        <v>11</v>
      </c>
      <c r="BF797" t="s">
        <v>11</v>
      </c>
      <c r="BG797" t="s">
        <v>11</v>
      </c>
      <c r="BH797" t="s">
        <v>5299</v>
      </c>
      <c r="BI797" t="s">
        <v>2443</v>
      </c>
      <c r="BJ797" t="s">
        <v>2448</v>
      </c>
      <c r="BK797" t="s">
        <v>2449</v>
      </c>
    </row>
    <row r="798" spans="1:63" x14ac:dyDescent="0.3">
      <c r="A798" t="s">
        <v>5300</v>
      </c>
      <c r="B798" t="s">
        <v>95</v>
      </c>
      <c r="C798" t="s">
        <v>3776</v>
      </c>
      <c r="D798" t="s">
        <v>4849</v>
      </c>
      <c r="E798" t="s">
        <v>3999</v>
      </c>
      <c r="F798">
        <v>6130</v>
      </c>
      <c r="G798">
        <v>65.5</v>
      </c>
      <c r="H798">
        <v>20.2</v>
      </c>
      <c r="I798">
        <v>7.3</v>
      </c>
      <c r="K798">
        <v>7</v>
      </c>
      <c r="AF798">
        <v>9.1735160000000011</v>
      </c>
      <c r="AG798">
        <v>9.2899999999999991</v>
      </c>
      <c r="AI798" t="s">
        <v>0</v>
      </c>
      <c r="AJ798" t="s">
        <v>547</v>
      </c>
      <c r="AK798" t="s">
        <v>5236</v>
      </c>
      <c r="AL798" t="s">
        <v>2097</v>
      </c>
      <c r="AM798" t="s">
        <v>11</v>
      </c>
      <c r="AN798" t="s">
        <v>11</v>
      </c>
      <c r="AO798" t="s">
        <v>11</v>
      </c>
      <c r="AP798" t="s">
        <v>11</v>
      </c>
      <c r="AQ798" t="s">
        <v>11</v>
      </c>
      <c r="AR798" t="s">
        <v>11</v>
      </c>
      <c r="AS798" t="s">
        <v>11</v>
      </c>
      <c r="AT798" t="s">
        <v>11</v>
      </c>
      <c r="AU798" t="s">
        <v>11</v>
      </c>
      <c r="AV798" t="s">
        <v>11</v>
      </c>
      <c r="AW798" t="s">
        <v>11</v>
      </c>
      <c r="AX798" t="s">
        <v>11</v>
      </c>
      <c r="AY798" t="s">
        <v>11</v>
      </c>
      <c r="AZ798" t="s">
        <v>11</v>
      </c>
      <c r="BA798" t="s">
        <v>11</v>
      </c>
      <c r="BB798" t="s">
        <v>11</v>
      </c>
      <c r="BC798" t="s">
        <v>11</v>
      </c>
      <c r="BD798" t="s">
        <v>11</v>
      </c>
      <c r="BE798" t="s">
        <v>11</v>
      </c>
      <c r="BF798" t="s">
        <v>11</v>
      </c>
      <c r="BG798" t="s">
        <v>11</v>
      </c>
      <c r="BH798" t="s">
        <v>5301</v>
      </c>
      <c r="BI798" t="s">
        <v>5300</v>
      </c>
      <c r="BJ798" t="s">
        <v>3779</v>
      </c>
      <c r="BK798" t="s">
        <v>5302</v>
      </c>
    </row>
    <row r="799" spans="1:63" x14ac:dyDescent="0.3">
      <c r="A799" t="s">
        <v>5295</v>
      </c>
      <c r="B799" t="s">
        <v>160</v>
      </c>
      <c r="C799" t="s">
        <v>3952</v>
      </c>
      <c r="D799" t="s">
        <v>5303</v>
      </c>
      <c r="E799" t="s">
        <v>4824</v>
      </c>
      <c r="F799">
        <v>7310</v>
      </c>
      <c r="G799">
        <v>80</v>
      </c>
      <c r="I799">
        <v>7</v>
      </c>
      <c r="K799">
        <v>7</v>
      </c>
      <c r="L799">
        <v>4</v>
      </c>
      <c r="M799">
        <v>2</v>
      </c>
      <c r="AF799">
        <v>9.1697799999999994</v>
      </c>
      <c r="AI799" t="s">
        <v>0</v>
      </c>
      <c r="AJ799" t="s">
        <v>1358</v>
      </c>
      <c r="AK799" t="s">
        <v>5236</v>
      </c>
      <c r="AL799" t="s">
        <v>11</v>
      </c>
      <c r="AM799" t="s">
        <v>11</v>
      </c>
      <c r="AN799" t="s">
        <v>5243</v>
      </c>
      <c r="AO799" t="s">
        <v>11</v>
      </c>
      <c r="AP799" t="s">
        <v>11</v>
      </c>
      <c r="AQ799" t="s">
        <v>5218</v>
      </c>
      <c r="AR799" t="s">
        <v>11</v>
      </c>
      <c r="AS799" t="s">
        <v>11</v>
      </c>
      <c r="AT799" t="s">
        <v>11</v>
      </c>
      <c r="AU799" t="s">
        <v>11</v>
      </c>
      <c r="AV799" t="s">
        <v>11</v>
      </c>
      <c r="AW799" t="s">
        <v>11</v>
      </c>
      <c r="AX799" t="s">
        <v>11</v>
      </c>
      <c r="AY799" t="s">
        <v>11</v>
      </c>
      <c r="AZ799" t="s">
        <v>11</v>
      </c>
      <c r="BA799" t="s">
        <v>11</v>
      </c>
      <c r="BB799" t="s">
        <v>11</v>
      </c>
      <c r="BC799" t="s">
        <v>11</v>
      </c>
      <c r="BD799" t="s">
        <v>11</v>
      </c>
      <c r="BE799" t="s">
        <v>11</v>
      </c>
      <c r="BF799" t="s">
        <v>11</v>
      </c>
      <c r="BG799" t="s">
        <v>11</v>
      </c>
      <c r="BH799" t="s">
        <v>5304</v>
      </c>
      <c r="BI799" t="s">
        <v>5295</v>
      </c>
      <c r="BJ799" t="s">
        <v>3955</v>
      </c>
      <c r="BK799" t="s">
        <v>5298</v>
      </c>
    </row>
    <row r="800" spans="1:63" x14ac:dyDescent="0.3">
      <c r="A800" t="s">
        <v>5215</v>
      </c>
      <c r="B800" t="s">
        <v>160</v>
      </c>
      <c r="C800" t="s">
        <v>2119</v>
      </c>
      <c r="D800" t="s">
        <v>5305</v>
      </c>
      <c r="E800" t="s">
        <v>5306</v>
      </c>
      <c r="F800">
        <v>7370</v>
      </c>
      <c r="G800">
        <v>80</v>
      </c>
      <c r="I800">
        <v>7</v>
      </c>
      <c r="K800">
        <v>8</v>
      </c>
      <c r="L800">
        <v>4</v>
      </c>
      <c r="M800">
        <v>1</v>
      </c>
      <c r="AF800">
        <v>9.1957799999999992</v>
      </c>
      <c r="AH800" t="s">
        <v>3887</v>
      </c>
      <c r="AI800" t="s">
        <v>0</v>
      </c>
      <c r="AJ800" t="s">
        <v>1358</v>
      </c>
      <c r="AK800" t="s">
        <v>5216</v>
      </c>
      <c r="AL800" t="s">
        <v>11</v>
      </c>
      <c r="AM800" t="s">
        <v>11</v>
      </c>
      <c r="AN800" t="s">
        <v>5217</v>
      </c>
      <c r="AO800" t="s">
        <v>11</v>
      </c>
      <c r="AP800" t="s">
        <v>11</v>
      </c>
      <c r="AQ800" t="s">
        <v>5218</v>
      </c>
      <c r="AR800" t="s">
        <v>11</v>
      </c>
      <c r="AS800" t="s">
        <v>11</v>
      </c>
      <c r="AT800" t="s">
        <v>11</v>
      </c>
      <c r="AU800" t="s">
        <v>11</v>
      </c>
      <c r="AV800" t="s">
        <v>11</v>
      </c>
      <c r="AW800" t="s">
        <v>11</v>
      </c>
      <c r="AX800" t="s">
        <v>11</v>
      </c>
      <c r="AY800" t="s">
        <v>11</v>
      </c>
      <c r="AZ800" t="s">
        <v>11</v>
      </c>
      <c r="BA800" t="s">
        <v>11</v>
      </c>
      <c r="BB800" t="s">
        <v>11</v>
      </c>
      <c r="BC800" t="s">
        <v>11</v>
      </c>
      <c r="BD800" t="s">
        <v>11</v>
      </c>
      <c r="BE800" t="s">
        <v>11</v>
      </c>
      <c r="BF800" t="s">
        <v>11</v>
      </c>
      <c r="BG800" t="s">
        <v>11</v>
      </c>
      <c r="BH800" t="s">
        <v>5307</v>
      </c>
      <c r="BI800" t="s">
        <v>5215</v>
      </c>
      <c r="BJ800" t="s">
        <v>2122</v>
      </c>
      <c r="BK800" t="s">
        <v>5220</v>
      </c>
    </row>
    <row r="801" spans="1:63" x14ac:dyDescent="0.3">
      <c r="A801" t="s">
        <v>5295</v>
      </c>
      <c r="B801" t="s">
        <v>160</v>
      </c>
      <c r="C801" t="s">
        <v>3952</v>
      </c>
      <c r="D801" t="s">
        <v>5292</v>
      </c>
      <c r="E801" t="s">
        <v>5308</v>
      </c>
      <c r="F801">
        <v>7380</v>
      </c>
      <c r="G801">
        <v>80</v>
      </c>
      <c r="I801">
        <v>7</v>
      </c>
      <c r="K801">
        <v>7</v>
      </c>
      <c r="L801">
        <v>4</v>
      </c>
      <c r="M801">
        <v>2</v>
      </c>
      <c r="AF801">
        <v>9.1697799999999994</v>
      </c>
      <c r="AI801" t="s">
        <v>0</v>
      </c>
      <c r="AJ801" t="s">
        <v>1358</v>
      </c>
      <c r="AK801" t="s">
        <v>5236</v>
      </c>
      <c r="AL801" t="s">
        <v>11</v>
      </c>
      <c r="AM801" t="s">
        <v>11</v>
      </c>
      <c r="AN801" t="s">
        <v>5243</v>
      </c>
      <c r="AO801" t="s">
        <v>11</v>
      </c>
      <c r="AP801" t="s">
        <v>11</v>
      </c>
      <c r="AQ801" t="s">
        <v>5218</v>
      </c>
      <c r="AR801" t="s">
        <v>11</v>
      </c>
      <c r="AS801" t="s">
        <v>11</v>
      </c>
      <c r="AT801" t="s">
        <v>11</v>
      </c>
      <c r="AU801" t="s">
        <v>11</v>
      </c>
      <c r="AV801" t="s">
        <v>11</v>
      </c>
      <c r="AW801" t="s">
        <v>11</v>
      </c>
      <c r="AX801" t="s">
        <v>11</v>
      </c>
      <c r="AY801" t="s">
        <v>11</v>
      </c>
      <c r="AZ801" t="s">
        <v>11</v>
      </c>
      <c r="BA801" t="s">
        <v>11</v>
      </c>
      <c r="BB801" t="s">
        <v>11</v>
      </c>
      <c r="BC801" t="s">
        <v>11</v>
      </c>
      <c r="BD801" t="s">
        <v>11</v>
      </c>
      <c r="BE801" t="s">
        <v>11</v>
      </c>
      <c r="BF801" t="s">
        <v>11</v>
      </c>
      <c r="BG801" t="s">
        <v>11</v>
      </c>
      <c r="BH801" t="s">
        <v>5309</v>
      </c>
      <c r="BI801" t="s">
        <v>5295</v>
      </c>
      <c r="BJ801" t="s">
        <v>3955</v>
      </c>
      <c r="BK801" t="s">
        <v>5298</v>
      </c>
    </row>
    <row r="802" spans="1:63" x14ac:dyDescent="0.3">
      <c r="A802" t="s">
        <v>5310</v>
      </c>
      <c r="B802" t="s">
        <v>160</v>
      </c>
      <c r="C802" t="s">
        <v>4829</v>
      </c>
      <c r="D802" t="s">
        <v>5296</v>
      </c>
      <c r="E802" t="s">
        <v>5308</v>
      </c>
      <c r="F802">
        <v>7390</v>
      </c>
      <c r="G802">
        <v>80</v>
      </c>
      <c r="I802">
        <v>7</v>
      </c>
      <c r="K802">
        <v>6</v>
      </c>
      <c r="L802">
        <v>4</v>
      </c>
      <c r="M802">
        <v>2</v>
      </c>
      <c r="P802">
        <v>1</v>
      </c>
      <c r="AF802">
        <v>9.0800799999999988</v>
      </c>
      <c r="AI802" t="s">
        <v>0</v>
      </c>
      <c r="AJ802" t="s">
        <v>1358</v>
      </c>
      <c r="AK802" t="s">
        <v>5311</v>
      </c>
      <c r="AL802" t="s">
        <v>11</v>
      </c>
      <c r="AM802" t="s">
        <v>11</v>
      </c>
      <c r="AN802" t="s">
        <v>5243</v>
      </c>
      <c r="AO802" t="s">
        <v>11</v>
      </c>
      <c r="AP802" t="s">
        <v>11</v>
      </c>
      <c r="AQ802" t="s">
        <v>5218</v>
      </c>
      <c r="AR802" t="s">
        <v>5312</v>
      </c>
      <c r="AS802" t="s">
        <v>11</v>
      </c>
      <c r="AT802" t="s">
        <v>11</v>
      </c>
      <c r="AU802" t="s">
        <v>11</v>
      </c>
      <c r="AV802" t="s">
        <v>11</v>
      </c>
      <c r="AW802" t="s">
        <v>11</v>
      </c>
      <c r="AX802" t="s">
        <v>11</v>
      </c>
      <c r="AY802" t="s">
        <v>11</v>
      </c>
      <c r="AZ802" t="s">
        <v>11</v>
      </c>
      <c r="BA802" t="s">
        <v>11</v>
      </c>
      <c r="BB802" t="s">
        <v>11</v>
      </c>
      <c r="BC802" t="s">
        <v>11</v>
      </c>
      <c r="BD802" t="s">
        <v>11</v>
      </c>
      <c r="BE802" t="s">
        <v>11</v>
      </c>
      <c r="BF802" t="s">
        <v>11</v>
      </c>
      <c r="BG802" t="s">
        <v>11</v>
      </c>
      <c r="BH802" t="s">
        <v>5313</v>
      </c>
      <c r="BI802" t="s">
        <v>5310</v>
      </c>
      <c r="BJ802" t="s">
        <v>4832</v>
      </c>
      <c r="BK802" t="s">
        <v>5314</v>
      </c>
    </row>
    <row r="803" spans="1:63" x14ac:dyDescent="0.3">
      <c r="A803" t="s">
        <v>5315</v>
      </c>
      <c r="B803" t="s">
        <v>160</v>
      </c>
      <c r="C803" t="s">
        <v>5316</v>
      </c>
      <c r="D803" t="s">
        <v>5317</v>
      </c>
      <c r="E803" t="s">
        <v>5318</v>
      </c>
      <c r="F803">
        <v>21000</v>
      </c>
      <c r="G803">
        <v>78.599999999999994</v>
      </c>
      <c r="I803">
        <v>8.1</v>
      </c>
      <c r="K803">
        <v>9.1</v>
      </c>
      <c r="M803">
        <v>1.7</v>
      </c>
      <c r="T803">
        <v>2.5</v>
      </c>
      <c r="AF803">
        <v>9.8128999999999991</v>
      </c>
      <c r="AI803" t="s">
        <v>0</v>
      </c>
      <c r="AJ803" t="s">
        <v>99</v>
      </c>
      <c r="AK803" t="s">
        <v>431</v>
      </c>
      <c r="AL803" t="s">
        <v>11</v>
      </c>
      <c r="AM803" t="s">
        <v>11</v>
      </c>
      <c r="AN803" t="s">
        <v>1515</v>
      </c>
      <c r="AO803" t="s">
        <v>11</v>
      </c>
      <c r="AP803" t="s">
        <v>11</v>
      </c>
      <c r="AQ803" t="s">
        <v>11</v>
      </c>
      <c r="AR803" t="s">
        <v>11</v>
      </c>
      <c r="AS803" t="s">
        <v>11</v>
      </c>
      <c r="AT803" t="s">
        <v>11</v>
      </c>
      <c r="AU803" t="s">
        <v>11</v>
      </c>
      <c r="AV803" t="s">
        <v>5319</v>
      </c>
      <c r="AW803" t="s">
        <v>11</v>
      </c>
      <c r="AX803" t="s">
        <v>11</v>
      </c>
      <c r="AY803" t="s">
        <v>11</v>
      </c>
      <c r="AZ803" t="s">
        <v>11</v>
      </c>
      <c r="BA803" t="s">
        <v>11</v>
      </c>
      <c r="BB803" t="s">
        <v>11</v>
      </c>
      <c r="BC803" t="s">
        <v>11</v>
      </c>
      <c r="BD803" t="s">
        <v>11</v>
      </c>
      <c r="BE803" t="s">
        <v>11</v>
      </c>
      <c r="BF803" t="s">
        <v>11</v>
      </c>
      <c r="BG803" t="s">
        <v>11</v>
      </c>
      <c r="BH803" t="s">
        <v>5320</v>
      </c>
      <c r="BI803" t="s">
        <v>5315</v>
      </c>
      <c r="BJ803" t="s">
        <v>5321</v>
      </c>
      <c r="BK803" t="s">
        <v>5322</v>
      </c>
    </row>
    <row r="804" spans="1:63" x14ac:dyDescent="0.3">
      <c r="A804" t="s">
        <v>5315</v>
      </c>
      <c r="B804" t="s">
        <v>160</v>
      </c>
      <c r="C804" t="s">
        <v>5316</v>
      </c>
      <c r="D804" t="s">
        <v>5323</v>
      </c>
      <c r="E804" t="s">
        <v>5324</v>
      </c>
      <c r="F804">
        <v>31000</v>
      </c>
      <c r="G804">
        <v>78.599999999999994</v>
      </c>
      <c r="I804">
        <v>8.1</v>
      </c>
      <c r="K804">
        <v>9.1</v>
      </c>
      <c r="M804">
        <v>1.7</v>
      </c>
      <c r="T804">
        <v>2.5</v>
      </c>
      <c r="AF804">
        <v>9.8128999999999991</v>
      </c>
      <c r="AI804" t="s">
        <v>0</v>
      </c>
      <c r="AJ804" t="s">
        <v>99</v>
      </c>
      <c r="AK804" t="s">
        <v>431</v>
      </c>
      <c r="AL804" t="s">
        <v>11</v>
      </c>
      <c r="AM804" t="s">
        <v>11</v>
      </c>
      <c r="AN804" t="s">
        <v>1515</v>
      </c>
      <c r="AO804" t="s">
        <v>11</v>
      </c>
      <c r="AP804" t="s">
        <v>11</v>
      </c>
      <c r="AQ804" t="s">
        <v>11</v>
      </c>
      <c r="AR804" t="s">
        <v>11</v>
      </c>
      <c r="AS804" t="s">
        <v>11</v>
      </c>
      <c r="AT804" t="s">
        <v>11</v>
      </c>
      <c r="AU804" t="s">
        <v>11</v>
      </c>
      <c r="AV804" t="s">
        <v>5319</v>
      </c>
      <c r="AW804" t="s">
        <v>11</v>
      </c>
      <c r="AX804" t="s">
        <v>11</v>
      </c>
      <c r="AY804" t="s">
        <v>11</v>
      </c>
      <c r="AZ804" t="s">
        <v>11</v>
      </c>
      <c r="BA804" t="s">
        <v>11</v>
      </c>
      <c r="BB804" t="s">
        <v>11</v>
      </c>
      <c r="BC804" t="s">
        <v>11</v>
      </c>
      <c r="BD804" t="s">
        <v>11</v>
      </c>
      <c r="BE804" t="s">
        <v>11</v>
      </c>
      <c r="BF804" t="s">
        <v>11</v>
      </c>
      <c r="BG804" t="s">
        <v>11</v>
      </c>
      <c r="BH804" t="s">
        <v>5325</v>
      </c>
      <c r="BI804" t="s">
        <v>5315</v>
      </c>
      <c r="BJ804" t="s">
        <v>5321</v>
      </c>
      <c r="BK804" t="s">
        <v>5322</v>
      </c>
    </row>
    <row r="805" spans="1:63" x14ac:dyDescent="0.3">
      <c r="A805" t="s">
        <v>219</v>
      </c>
      <c r="B805" t="s">
        <v>160</v>
      </c>
      <c r="C805" t="s">
        <v>220</v>
      </c>
      <c r="D805" t="s">
        <v>5326</v>
      </c>
      <c r="E805" t="s">
        <v>5327</v>
      </c>
      <c r="F805">
        <v>32000</v>
      </c>
      <c r="G805">
        <v>83.6</v>
      </c>
      <c r="I805">
        <v>8.6999999999999993</v>
      </c>
      <c r="K805">
        <v>5.5</v>
      </c>
      <c r="M805">
        <v>1.3</v>
      </c>
      <c r="T805">
        <v>0.9</v>
      </c>
      <c r="AF805">
        <v>9.1535399999999996</v>
      </c>
      <c r="AI805" t="s">
        <v>0</v>
      </c>
      <c r="AJ805" t="s">
        <v>223</v>
      </c>
      <c r="AK805" t="s">
        <v>224</v>
      </c>
      <c r="AL805" t="s">
        <v>11</v>
      </c>
      <c r="AM805" t="s">
        <v>11</v>
      </c>
      <c r="AN805" t="s">
        <v>225</v>
      </c>
      <c r="AO805" t="s">
        <v>11</v>
      </c>
      <c r="AP805" t="s">
        <v>11</v>
      </c>
      <c r="AQ805" t="s">
        <v>11</v>
      </c>
      <c r="AR805" t="s">
        <v>11</v>
      </c>
      <c r="AS805" t="s">
        <v>11</v>
      </c>
      <c r="AT805" t="s">
        <v>11</v>
      </c>
      <c r="AU805" t="s">
        <v>11</v>
      </c>
      <c r="AV805" t="s">
        <v>226</v>
      </c>
      <c r="AW805" t="s">
        <v>11</v>
      </c>
      <c r="AX805" t="s">
        <v>11</v>
      </c>
      <c r="AY805" t="s">
        <v>11</v>
      </c>
      <c r="AZ805" t="s">
        <v>11</v>
      </c>
      <c r="BA805" t="s">
        <v>11</v>
      </c>
      <c r="BB805" t="s">
        <v>11</v>
      </c>
      <c r="BC805" t="s">
        <v>11</v>
      </c>
      <c r="BD805" t="s">
        <v>11</v>
      </c>
      <c r="BE805" t="s">
        <v>11</v>
      </c>
      <c r="BF805" t="s">
        <v>11</v>
      </c>
      <c r="BG805" t="s">
        <v>11</v>
      </c>
      <c r="BH805" t="s">
        <v>5328</v>
      </c>
      <c r="BI805" t="s">
        <v>219</v>
      </c>
      <c r="BJ805" t="s">
        <v>228</v>
      </c>
      <c r="BK805" t="s">
        <v>229</v>
      </c>
    </row>
    <row r="806" spans="1:63" x14ac:dyDescent="0.3">
      <c r="A806" t="s">
        <v>5329</v>
      </c>
      <c r="B806" t="s">
        <v>95</v>
      </c>
      <c r="C806" t="s">
        <v>153</v>
      </c>
      <c r="D806" t="s">
        <v>2354</v>
      </c>
      <c r="E806" t="s">
        <v>5330</v>
      </c>
      <c r="F806">
        <v>35000</v>
      </c>
      <c r="G806">
        <v>81.5</v>
      </c>
      <c r="I806">
        <v>8.1</v>
      </c>
      <c r="K806">
        <v>8.4</v>
      </c>
      <c r="M806">
        <v>2</v>
      </c>
      <c r="AF806">
        <v>9.4222000000000001</v>
      </c>
      <c r="AI806" t="s">
        <v>0</v>
      </c>
      <c r="AJ806" t="s">
        <v>99</v>
      </c>
      <c r="AK806" t="s">
        <v>100</v>
      </c>
      <c r="AL806" t="s">
        <v>11</v>
      </c>
      <c r="AM806" t="s">
        <v>11</v>
      </c>
      <c r="AN806" t="s">
        <v>5243</v>
      </c>
      <c r="AO806" t="s">
        <v>11</v>
      </c>
      <c r="AP806" t="s">
        <v>11</v>
      </c>
      <c r="AQ806" t="s">
        <v>11</v>
      </c>
      <c r="AR806" t="s">
        <v>11</v>
      </c>
      <c r="AS806" t="s">
        <v>11</v>
      </c>
      <c r="AT806" t="s">
        <v>11</v>
      </c>
      <c r="AU806" t="s">
        <v>11</v>
      </c>
      <c r="AV806" t="s">
        <v>11</v>
      </c>
      <c r="AW806" t="s">
        <v>11</v>
      </c>
      <c r="AX806" t="s">
        <v>11</v>
      </c>
      <c r="AY806" t="s">
        <v>11</v>
      </c>
      <c r="AZ806" t="s">
        <v>11</v>
      </c>
      <c r="BA806" t="s">
        <v>11</v>
      </c>
      <c r="BB806" t="s">
        <v>11</v>
      </c>
      <c r="BC806" t="s">
        <v>11</v>
      </c>
      <c r="BD806" t="s">
        <v>11</v>
      </c>
      <c r="BE806" t="s">
        <v>11</v>
      </c>
      <c r="BF806" t="s">
        <v>11</v>
      </c>
      <c r="BG806" t="s">
        <v>11</v>
      </c>
      <c r="BH806" t="s">
        <v>5331</v>
      </c>
      <c r="BI806" t="s">
        <v>5329</v>
      </c>
      <c r="BJ806" t="s">
        <v>157</v>
      </c>
      <c r="BK806" t="s">
        <v>5332</v>
      </c>
    </row>
    <row r="807" spans="1:63" x14ac:dyDescent="0.3">
      <c r="A807" t="s">
        <v>5315</v>
      </c>
      <c r="B807" t="s">
        <v>160</v>
      </c>
      <c r="C807" t="s">
        <v>5316</v>
      </c>
      <c r="D807" t="s">
        <v>5317</v>
      </c>
      <c r="E807" t="s">
        <v>5333</v>
      </c>
      <c r="F807">
        <v>36000</v>
      </c>
      <c r="G807">
        <v>78.599999999999994</v>
      </c>
      <c r="I807">
        <v>8.1</v>
      </c>
      <c r="K807">
        <v>9.1</v>
      </c>
      <c r="M807">
        <v>1.7</v>
      </c>
      <c r="T807">
        <v>2.5</v>
      </c>
      <c r="AF807">
        <v>9.8128999999999991</v>
      </c>
      <c r="AI807" t="s">
        <v>0</v>
      </c>
      <c r="AJ807" t="s">
        <v>99</v>
      </c>
      <c r="AK807" t="s">
        <v>431</v>
      </c>
      <c r="AL807" t="s">
        <v>11</v>
      </c>
      <c r="AM807" t="s">
        <v>11</v>
      </c>
      <c r="AN807" t="s">
        <v>1515</v>
      </c>
      <c r="AO807" t="s">
        <v>11</v>
      </c>
      <c r="AP807" t="s">
        <v>11</v>
      </c>
      <c r="AQ807" t="s">
        <v>11</v>
      </c>
      <c r="AR807" t="s">
        <v>11</v>
      </c>
      <c r="AS807" t="s">
        <v>11</v>
      </c>
      <c r="AT807" t="s">
        <v>11</v>
      </c>
      <c r="AU807" t="s">
        <v>11</v>
      </c>
      <c r="AV807" t="s">
        <v>5319</v>
      </c>
      <c r="AW807" t="s">
        <v>11</v>
      </c>
      <c r="AX807" t="s">
        <v>11</v>
      </c>
      <c r="AY807" t="s">
        <v>11</v>
      </c>
      <c r="AZ807" t="s">
        <v>11</v>
      </c>
      <c r="BA807" t="s">
        <v>11</v>
      </c>
      <c r="BB807" t="s">
        <v>11</v>
      </c>
      <c r="BC807" t="s">
        <v>11</v>
      </c>
      <c r="BD807" t="s">
        <v>11</v>
      </c>
      <c r="BE807" t="s">
        <v>11</v>
      </c>
      <c r="BF807" t="s">
        <v>11</v>
      </c>
      <c r="BG807" t="s">
        <v>11</v>
      </c>
      <c r="BH807" t="s">
        <v>5334</v>
      </c>
      <c r="BI807" t="s">
        <v>5315</v>
      </c>
      <c r="BJ807" t="s">
        <v>5321</v>
      </c>
      <c r="BK807" t="s">
        <v>5322</v>
      </c>
    </row>
    <row r="808" spans="1:63" x14ac:dyDescent="0.3">
      <c r="A808" t="s">
        <v>219</v>
      </c>
      <c r="B808" t="s">
        <v>160</v>
      </c>
      <c r="C808" t="s">
        <v>220</v>
      </c>
      <c r="D808" t="s">
        <v>5335</v>
      </c>
      <c r="E808" t="s">
        <v>5336</v>
      </c>
      <c r="F808">
        <v>37000</v>
      </c>
      <c r="G808">
        <v>83.6</v>
      </c>
      <c r="I808">
        <v>8.6999999999999993</v>
      </c>
      <c r="K808">
        <v>5.5</v>
      </c>
      <c r="M808">
        <v>1.3</v>
      </c>
      <c r="T808">
        <v>0.9</v>
      </c>
      <c r="AF808">
        <v>9.1535399999999996</v>
      </c>
      <c r="AI808" t="s">
        <v>0</v>
      </c>
      <c r="AJ808" t="s">
        <v>223</v>
      </c>
      <c r="AK808" t="s">
        <v>224</v>
      </c>
      <c r="AL808" t="s">
        <v>11</v>
      </c>
      <c r="AM808" t="s">
        <v>11</v>
      </c>
      <c r="AN808" t="s">
        <v>225</v>
      </c>
      <c r="AO808" t="s">
        <v>11</v>
      </c>
      <c r="AP808" t="s">
        <v>11</v>
      </c>
      <c r="AQ808" t="s">
        <v>11</v>
      </c>
      <c r="AR808" t="s">
        <v>11</v>
      </c>
      <c r="AS808" t="s">
        <v>11</v>
      </c>
      <c r="AT808" t="s">
        <v>11</v>
      </c>
      <c r="AU808" t="s">
        <v>11</v>
      </c>
      <c r="AV808" t="s">
        <v>226</v>
      </c>
      <c r="AW808" t="s">
        <v>11</v>
      </c>
      <c r="AX808" t="s">
        <v>11</v>
      </c>
      <c r="AY808" t="s">
        <v>11</v>
      </c>
      <c r="AZ808" t="s">
        <v>11</v>
      </c>
      <c r="BA808" t="s">
        <v>11</v>
      </c>
      <c r="BB808" t="s">
        <v>11</v>
      </c>
      <c r="BC808" t="s">
        <v>11</v>
      </c>
      <c r="BD808" t="s">
        <v>11</v>
      </c>
      <c r="BE808" t="s">
        <v>11</v>
      </c>
      <c r="BF808" t="s">
        <v>11</v>
      </c>
      <c r="BG808" t="s">
        <v>11</v>
      </c>
      <c r="BH808" t="s">
        <v>5337</v>
      </c>
      <c r="BI808" t="s">
        <v>219</v>
      </c>
      <c r="BJ808" t="s">
        <v>228</v>
      </c>
      <c r="BK808" t="s">
        <v>229</v>
      </c>
    </row>
    <row r="809" spans="1:63" x14ac:dyDescent="0.3">
      <c r="A809" t="s">
        <v>5338</v>
      </c>
      <c r="B809" t="s">
        <v>160</v>
      </c>
      <c r="C809" t="s">
        <v>323</v>
      </c>
      <c r="D809" t="s">
        <v>5339</v>
      </c>
      <c r="E809" t="s">
        <v>5340</v>
      </c>
      <c r="F809">
        <v>46000</v>
      </c>
      <c r="G809">
        <v>79.679999999999993</v>
      </c>
      <c r="I809">
        <v>8.9</v>
      </c>
      <c r="K809">
        <v>9.3000000000000007</v>
      </c>
      <c r="M809">
        <v>2</v>
      </c>
      <c r="S809">
        <v>0.12</v>
      </c>
      <c r="AF809">
        <v>9.4580219999999979</v>
      </c>
      <c r="AI809" t="s">
        <v>0</v>
      </c>
      <c r="AJ809" t="s">
        <v>326</v>
      </c>
      <c r="AK809" t="s">
        <v>327</v>
      </c>
      <c r="AL809" t="s">
        <v>11</v>
      </c>
      <c r="AM809" t="s">
        <v>11</v>
      </c>
      <c r="AN809" t="s">
        <v>5243</v>
      </c>
      <c r="AO809" t="s">
        <v>11</v>
      </c>
      <c r="AP809" t="s">
        <v>11</v>
      </c>
      <c r="AQ809" t="s">
        <v>11</v>
      </c>
      <c r="AR809" t="s">
        <v>11</v>
      </c>
      <c r="AS809" t="s">
        <v>11</v>
      </c>
      <c r="AT809" t="s">
        <v>11</v>
      </c>
      <c r="AU809" t="s">
        <v>317</v>
      </c>
      <c r="AV809" t="s">
        <v>11</v>
      </c>
      <c r="AW809" t="s">
        <v>11</v>
      </c>
      <c r="AX809" t="s">
        <v>11</v>
      </c>
      <c r="AY809" t="s">
        <v>11</v>
      </c>
      <c r="AZ809" t="s">
        <v>11</v>
      </c>
      <c r="BA809" t="s">
        <v>11</v>
      </c>
      <c r="BB809" t="s">
        <v>11</v>
      </c>
      <c r="BC809" t="s">
        <v>11</v>
      </c>
      <c r="BD809" t="s">
        <v>11</v>
      </c>
      <c r="BE809" t="s">
        <v>11</v>
      </c>
      <c r="BF809" t="s">
        <v>11</v>
      </c>
      <c r="BG809" t="s">
        <v>11</v>
      </c>
      <c r="BH809" t="s">
        <v>5341</v>
      </c>
      <c r="BI809" t="s">
        <v>5338</v>
      </c>
      <c r="BJ809" t="s">
        <v>329</v>
      </c>
      <c r="BK809" t="s">
        <v>5342</v>
      </c>
    </row>
    <row r="810" spans="1:63" x14ac:dyDescent="0.3">
      <c r="A810" t="s">
        <v>104</v>
      </c>
      <c r="B810" t="s">
        <v>95</v>
      </c>
      <c r="C810" t="s">
        <v>105</v>
      </c>
      <c r="D810" t="s">
        <v>5343</v>
      </c>
      <c r="E810" t="s">
        <v>5344</v>
      </c>
      <c r="F810">
        <v>49000</v>
      </c>
      <c r="G810">
        <v>78.599999999999994</v>
      </c>
      <c r="I810">
        <v>9.4</v>
      </c>
      <c r="K810">
        <v>10.199999999999999</v>
      </c>
      <c r="N810">
        <v>1.8</v>
      </c>
      <c r="AF810">
        <v>9.3669600000000006</v>
      </c>
      <c r="AI810" t="s">
        <v>0</v>
      </c>
      <c r="AJ810" t="s">
        <v>108</v>
      </c>
      <c r="AK810" t="s">
        <v>109</v>
      </c>
      <c r="AL810" t="s">
        <v>11</v>
      </c>
      <c r="AM810" t="s">
        <v>11</v>
      </c>
      <c r="AN810" t="s">
        <v>11</v>
      </c>
      <c r="AO810" t="s">
        <v>110</v>
      </c>
      <c r="AP810" t="s">
        <v>11</v>
      </c>
      <c r="AQ810" t="s">
        <v>11</v>
      </c>
      <c r="AR810" t="s">
        <v>11</v>
      </c>
      <c r="AS810" t="s">
        <v>11</v>
      </c>
      <c r="AT810" t="s">
        <v>11</v>
      </c>
      <c r="AU810" t="s">
        <v>11</v>
      </c>
      <c r="AV810" t="s">
        <v>11</v>
      </c>
      <c r="AW810" t="s">
        <v>11</v>
      </c>
      <c r="AX810" t="s">
        <v>11</v>
      </c>
      <c r="AY810" t="s">
        <v>11</v>
      </c>
      <c r="AZ810" t="s">
        <v>11</v>
      </c>
      <c r="BA810" t="s">
        <v>11</v>
      </c>
      <c r="BB810" t="s">
        <v>11</v>
      </c>
      <c r="BC810" t="s">
        <v>11</v>
      </c>
      <c r="BD810" t="s">
        <v>11</v>
      </c>
      <c r="BE810" t="s">
        <v>11</v>
      </c>
      <c r="BF810" t="s">
        <v>11</v>
      </c>
      <c r="BG810" t="s">
        <v>11</v>
      </c>
      <c r="BH810" t="s">
        <v>5345</v>
      </c>
      <c r="BI810" t="s">
        <v>104</v>
      </c>
      <c r="BJ810" t="s">
        <v>112</v>
      </c>
      <c r="BK810" t="s">
        <v>113</v>
      </c>
    </row>
    <row r="811" spans="1:63" x14ac:dyDescent="0.3">
      <c r="A811" t="s">
        <v>181</v>
      </c>
      <c r="B811" t="s">
        <v>160</v>
      </c>
      <c r="C811" t="s">
        <v>182</v>
      </c>
      <c r="D811" t="s">
        <v>5346</v>
      </c>
      <c r="E811" t="s">
        <v>5347</v>
      </c>
      <c r="F811">
        <v>54000</v>
      </c>
      <c r="G811">
        <v>80.8</v>
      </c>
      <c r="I811">
        <v>8.1</v>
      </c>
      <c r="K811">
        <v>7.7</v>
      </c>
      <c r="M811">
        <v>1.6</v>
      </c>
      <c r="V811">
        <v>1.8</v>
      </c>
      <c r="AF811">
        <v>9.2004900000000003</v>
      </c>
      <c r="AH811" t="s">
        <v>5348</v>
      </c>
      <c r="AI811" t="s">
        <v>0</v>
      </c>
      <c r="AJ811" t="s">
        <v>99</v>
      </c>
      <c r="AK811" t="s">
        <v>185</v>
      </c>
      <c r="AL811" t="s">
        <v>11</v>
      </c>
      <c r="AM811" t="s">
        <v>11</v>
      </c>
      <c r="AN811" t="s">
        <v>167</v>
      </c>
      <c r="AO811" t="s">
        <v>11</v>
      </c>
      <c r="AP811" t="s">
        <v>11</v>
      </c>
      <c r="AQ811" t="s">
        <v>11</v>
      </c>
      <c r="AR811" t="s">
        <v>11</v>
      </c>
      <c r="AS811" t="s">
        <v>11</v>
      </c>
      <c r="AT811" t="s">
        <v>11</v>
      </c>
      <c r="AU811" t="s">
        <v>11</v>
      </c>
      <c r="AV811" t="s">
        <v>11</v>
      </c>
      <c r="AW811" t="s">
        <v>11</v>
      </c>
      <c r="AX811" t="s">
        <v>186</v>
      </c>
      <c r="AY811" t="s">
        <v>11</v>
      </c>
      <c r="AZ811" t="s">
        <v>11</v>
      </c>
      <c r="BA811" t="s">
        <v>11</v>
      </c>
      <c r="BB811" t="s">
        <v>11</v>
      </c>
      <c r="BC811" t="s">
        <v>11</v>
      </c>
      <c r="BD811" t="s">
        <v>11</v>
      </c>
      <c r="BE811" t="s">
        <v>11</v>
      </c>
      <c r="BF811" t="s">
        <v>11</v>
      </c>
      <c r="BG811" t="s">
        <v>11</v>
      </c>
      <c r="BH811" t="s">
        <v>5349</v>
      </c>
      <c r="BI811" t="s">
        <v>181</v>
      </c>
      <c r="BJ811" t="s">
        <v>188</v>
      </c>
      <c r="BK811" t="s">
        <v>189</v>
      </c>
    </row>
    <row r="812" spans="1:63" x14ac:dyDescent="0.3">
      <c r="A812" t="s">
        <v>5350</v>
      </c>
      <c r="C812" t="s">
        <v>11</v>
      </c>
      <c r="D812" t="s">
        <v>5351</v>
      </c>
      <c r="E812" t="s">
        <v>5352</v>
      </c>
      <c r="F812">
        <v>814</v>
      </c>
      <c r="G812">
        <v>42.569272556000001</v>
      </c>
      <c r="H812">
        <v>31.96007638</v>
      </c>
      <c r="I812">
        <v>5.9920704239999996</v>
      </c>
      <c r="J812">
        <v>11.97838142</v>
      </c>
      <c r="K812">
        <v>2.9947929389999999</v>
      </c>
      <c r="L812">
        <v>2.4909532900000002</v>
      </c>
      <c r="M812">
        <v>1.499312835</v>
      </c>
      <c r="Q812">
        <v>8.1580794999999998E-2</v>
      </c>
      <c r="R812">
        <v>1.0405662E-2</v>
      </c>
      <c r="S812">
        <v>7.9313929000000005E-2</v>
      </c>
      <c r="V812">
        <v>0.34383976999999999</v>
      </c>
      <c r="AF812">
        <v>8.6095847074399199</v>
      </c>
      <c r="AI812" t="s">
        <v>0</v>
      </c>
      <c r="AJ812" t="s">
        <v>926</v>
      </c>
      <c r="AK812" t="s">
        <v>5353</v>
      </c>
      <c r="AL812" t="s">
        <v>5354</v>
      </c>
      <c r="AM812" t="s">
        <v>5355</v>
      </c>
      <c r="AN812" t="s">
        <v>396</v>
      </c>
      <c r="AO812" t="s">
        <v>11</v>
      </c>
      <c r="AP812" t="s">
        <v>11</v>
      </c>
      <c r="AQ812" t="s">
        <v>1217</v>
      </c>
      <c r="AR812" t="s">
        <v>11</v>
      </c>
      <c r="AS812" t="s">
        <v>1531</v>
      </c>
      <c r="AT812" t="s">
        <v>1532</v>
      </c>
      <c r="AU812" t="s">
        <v>352</v>
      </c>
      <c r="AV812" t="s">
        <v>11</v>
      </c>
      <c r="AW812" t="s">
        <v>11</v>
      </c>
      <c r="AX812" t="s">
        <v>1997</v>
      </c>
      <c r="AY812" t="s">
        <v>11</v>
      </c>
      <c r="AZ812" t="s">
        <v>11</v>
      </c>
      <c r="BA812" t="s">
        <v>11</v>
      </c>
      <c r="BB812" t="s">
        <v>11</v>
      </c>
      <c r="BC812" t="s">
        <v>11</v>
      </c>
      <c r="BD812" t="s">
        <v>11</v>
      </c>
      <c r="BE812" t="s">
        <v>11</v>
      </c>
      <c r="BF812" t="s">
        <v>11</v>
      </c>
      <c r="BG812" t="s">
        <v>11</v>
      </c>
      <c r="BH812" t="s">
        <v>5356</v>
      </c>
      <c r="BI812" t="s">
        <v>5350</v>
      </c>
      <c r="BJ812" t="s">
        <v>11</v>
      </c>
    </row>
    <row r="813" spans="1:63" x14ac:dyDescent="0.3">
      <c r="A813" t="s">
        <v>5357</v>
      </c>
      <c r="C813" t="s">
        <v>11</v>
      </c>
      <c r="D813" t="s">
        <v>5358</v>
      </c>
      <c r="E813" t="s">
        <v>5359</v>
      </c>
      <c r="F813">
        <v>815</v>
      </c>
      <c r="G813">
        <v>43.099999999999994</v>
      </c>
      <c r="H813">
        <v>28.8</v>
      </c>
      <c r="I813">
        <v>10</v>
      </c>
      <c r="J813">
        <v>10.199999999999999</v>
      </c>
      <c r="L813">
        <v>2.1</v>
      </c>
      <c r="M813">
        <v>2.1</v>
      </c>
      <c r="N813">
        <v>1.5</v>
      </c>
      <c r="P813">
        <v>2.2000000000000002</v>
      </c>
      <c r="AF813">
        <v>8.2037910000000007</v>
      </c>
      <c r="AI813" t="s">
        <v>0</v>
      </c>
      <c r="AJ813" t="s">
        <v>22</v>
      </c>
      <c r="AK813" t="s">
        <v>11</v>
      </c>
      <c r="AL813" t="s">
        <v>1265</v>
      </c>
      <c r="AM813" t="s">
        <v>5360</v>
      </c>
      <c r="AN813" t="s">
        <v>2355</v>
      </c>
      <c r="AO813" t="s">
        <v>5361</v>
      </c>
      <c r="AP813" t="s">
        <v>11</v>
      </c>
      <c r="AQ813" t="s">
        <v>422</v>
      </c>
      <c r="AR813" t="s">
        <v>5362</v>
      </c>
      <c r="AS813" t="s">
        <v>11</v>
      </c>
      <c r="AT813" t="s">
        <v>11</v>
      </c>
      <c r="AU813" t="s">
        <v>11</v>
      </c>
      <c r="AV813" t="s">
        <v>11</v>
      </c>
      <c r="AW813" t="s">
        <v>11</v>
      </c>
      <c r="AX813" t="s">
        <v>11</v>
      </c>
      <c r="AY813" t="s">
        <v>11</v>
      </c>
      <c r="AZ813" t="s">
        <v>11</v>
      </c>
      <c r="BA813" t="s">
        <v>11</v>
      </c>
      <c r="BB813" t="s">
        <v>11</v>
      </c>
      <c r="BC813" t="s">
        <v>11</v>
      </c>
      <c r="BD813" t="s">
        <v>11</v>
      </c>
      <c r="BE813" t="s">
        <v>11</v>
      </c>
      <c r="BF813" t="s">
        <v>11</v>
      </c>
      <c r="BG813" t="s">
        <v>11</v>
      </c>
      <c r="BH813" t="s">
        <v>5363</v>
      </c>
      <c r="BI813" t="s">
        <v>5357</v>
      </c>
      <c r="BJ813" t="s">
        <v>11</v>
      </c>
    </row>
    <row r="814" spans="1:63" x14ac:dyDescent="0.3">
      <c r="A814" t="s">
        <v>5364</v>
      </c>
      <c r="C814" t="s">
        <v>11</v>
      </c>
      <c r="D814">
        <v>1</v>
      </c>
      <c r="E814" t="s">
        <v>5365</v>
      </c>
      <c r="F814">
        <v>816</v>
      </c>
      <c r="G814">
        <v>79.5</v>
      </c>
      <c r="I814">
        <v>10.5</v>
      </c>
      <c r="N814">
        <v>2.8</v>
      </c>
      <c r="P814">
        <v>7.2</v>
      </c>
      <c r="AF814">
        <v>8.3391200000000012</v>
      </c>
      <c r="AI814" t="s">
        <v>0</v>
      </c>
      <c r="AJ814" t="s">
        <v>1256</v>
      </c>
      <c r="AK814" t="s">
        <v>11</v>
      </c>
      <c r="AL814" t="s">
        <v>11</v>
      </c>
      <c r="AM814" t="s">
        <v>11</v>
      </c>
      <c r="AN814" t="s">
        <v>11</v>
      </c>
      <c r="AO814" t="s">
        <v>5366</v>
      </c>
      <c r="AP814" t="s">
        <v>11</v>
      </c>
      <c r="AQ814" t="s">
        <v>11</v>
      </c>
      <c r="AR814" t="s">
        <v>5367</v>
      </c>
      <c r="AS814" t="s">
        <v>11</v>
      </c>
      <c r="AT814" t="s">
        <v>11</v>
      </c>
      <c r="AU814" t="s">
        <v>11</v>
      </c>
      <c r="AV814" t="s">
        <v>11</v>
      </c>
      <c r="AW814" t="s">
        <v>11</v>
      </c>
      <c r="AX814" t="s">
        <v>11</v>
      </c>
      <c r="AY814" t="s">
        <v>11</v>
      </c>
      <c r="AZ814" t="s">
        <v>11</v>
      </c>
      <c r="BA814" t="s">
        <v>11</v>
      </c>
      <c r="BB814" t="s">
        <v>11</v>
      </c>
      <c r="BC814" t="s">
        <v>11</v>
      </c>
      <c r="BD814" t="s">
        <v>11</v>
      </c>
      <c r="BE814" t="s">
        <v>11</v>
      </c>
      <c r="BF814" t="s">
        <v>11</v>
      </c>
      <c r="BG814" t="s">
        <v>11</v>
      </c>
      <c r="BH814" t="s">
        <v>5368</v>
      </c>
      <c r="BI814" t="s">
        <v>5364</v>
      </c>
      <c r="BJ814" t="s">
        <v>11</v>
      </c>
    </row>
    <row r="815" spans="1:63" x14ac:dyDescent="0.3">
      <c r="A815" t="s">
        <v>5369</v>
      </c>
      <c r="C815" t="s">
        <v>11</v>
      </c>
      <c r="D815">
        <v>2</v>
      </c>
      <c r="E815" t="s">
        <v>5365</v>
      </c>
      <c r="F815">
        <v>817</v>
      </c>
      <c r="G815">
        <v>83.3</v>
      </c>
      <c r="I815">
        <v>10.9</v>
      </c>
      <c r="N815">
        <v>1.6</v>
      </c>
      <c r="P815">
        <v>4.2</v>
      </c>
      <c r="AF815">
        <v>8.2768800000000002</v>
      </c>
      <c r="AI815" t="s">
        <v>0</v>
      </c>
      <c r="AJ815" t="s">
        <v>5370</v>
      </c>
      <c r="AK815" t="s">
        <v>11</v>
      </c>
      <c r="AL815" t="s">
        <v>11</v>
      </c>
      <c r="AM815" t="s">
        <v>11</v>
      </c>
      <c r="AN815" t="s">
        <v>11</v>
      </c>
      <c r="AO815" t="s">
        <v>5371</v>
      </c>
      <c r="AP815" t="s">
        <v>11</v>
      </c>
      <c r="AQ815" t="s">
        <v>11</v>
      </c>
      <c r="AR815" t="s">
        <v>5372</v>
      </c>
      <c r="AS815" t="s">
        <v>11</v>
      </c>
      <c r="AT815" t="s">
        <v>11</v>
      </c>
      <c r="AU815" t="s">
        <v>11</v>
      </c>
      <c r="AV815" t="s">
        <v>11</v>
      </c>
      <c r="AW815" t="s">
        <v>11</v>
      </c>
      <c r="AX815" t="s">
        <v>11</v>
      </c>
      <c r="AY815" t="s">
        <v>11</v>
      </c>
      <c r="AZ815" t="s">
        <v>11</v>
      </c>
      <c r="BA815" t="s">
        <v>11</v>
      </c>
      <c r="BB815" t="s">
        <v>11</v>
      </c>
      <c r="BC815" t="s">
        <v>11</v>
      </c>
      <c r="BD815" t="s">
        <v>11</v>
      </c>
      <c r="BE815" t="s">
        <v>11</v>
      </c>
      <c r="BF815" t="s">
        <v>11</v>
      </c>
      <c r="BG815" t="s">
        <v>11</v>
      </c>
      <c r="BH815" t="s">
        <v>5373</v>
      </c>
      <c r="BI815" t="s">
        <v>5369</v>
      </c>
      <c r="BJ815" t="s">
        <v>11</v>
      </c>
    </row>
    <row r="816" spans="1:63" x14ac:dyDescent="0.3">
      <c r="A816" t="s">
        <v>5374</v>
      </c>
      <c r="C816" t="s">
        <v>11</v>
      </c>
      <c r="D816">
        <v>3</v>
      </c>
      <c r="E816" t="s">
        <v>5365</v>
      </c>
      <c r="F816">
        <v>818</v>
      </c>
      <c r="G816">
        <v>83.3</v>
      </c>
      <c r="I816">
        <v>10.1</v>
      </c>
      <c r="N816">
        <v>1</v>
      </c>
      <c r="P816">
        <v>5.6</v>
      </c>
      <c r="AF816">
        <v>8.3477800000000002</v>
      </c>
      <c r="AI816" t="s">
        <v>0</v>
      </c>
      <c r="AJ816" t="s">
        <v>1246</v>
      </c>
      <c r="AK816" t="s">
        <v>11</v>
      </c>
      <c r="AL816" t="s">
        <v>11</v>
      </c>
      <c r="AM816" t="s">
        <v>11</v>
      </c>
      <c r="AN816" t="s">
        <v>11</v>
      </c>
      <c r="AO816" t="s">
        <v>5375</v>
      </c>
      <c r="AP816" t="s">
        <v>11</v>
      </c>
      <c r="AQ816" t="s">
        <v>11</v>
      </c>
      <c r="AR816" t="s">
        <v>5376</v>
      </c>
      <c r="AS816" t="s">
        <v>11</v>
      </c>
      <c r="AT816" t="s">
        <v>11</v>
      </c>
      <c r="AU816" t="s">
        <v>11</v>
      </c>
      <c r="AV816" t="s">
        <v>11</v>
      </c>
      <c r="AW816" t="s">
        <v>11</v>
      </c>
      <c r="AX816" t="s">
        <v>11</v>
      </c>
      <c r="AY816" t="s">
        <v>11</v>
      </c>
      <c r="AZ816" t="s">
        <v>11</v>
      </c>
      <c r="BA816" t="s">
        <v>11</v>
      </c>
      <c r="BB816" t="s">
        <v>11</v>
      </c>
      <c r="BC816" t="s">
        <v>11</v>
      </c>
      <c r="BD816" t="s">
        <v>11</v>
      </c>
      <c r="BE816" t="s">
        <v>11</v>
      </c>
      <c r="BF816" t="s">
        <v>11</v>
      </c>
      <c r="BG816" t="s">
        <v>11</v>
      </c>
      <c r="BH816" t="s">
        <v>5377</v>
      </c>
      <c r="BI816" t="s">
        <v>5374</v>
      </c>
      <c r="BJ816" t="s">
        <v>11</v>
      </c>
    </row>
    <row r="817" spans="1:62" x14ac:dyDescent="0.3">
      <c r="A817" t="s">
        <v>5229</v>
      </c>
      <c r="C817" t="s">
        <v>11</v>
      </c>
      <c r="D817">
        <v>1</v>
      </c>
      <c r="E817" t="s">
        <v>5378</v>
      </c>
      <c r="F817">
        <v>819</v>
      </c>
      <c r="G817">
        <v>77</v>
      </c>
      <c r="I817">
        <v>12</v>
      </c>
      <c r="K817">
        <v>11</v>
      </c>
      <c r="AF817">
        <v>9.2945000000000011</v>
      </c>
      <c r="AI817" t="s">
        <v>0</v>
      </c>
      <c r="AJ817" t="s">
        <v>881</v>
      </c>
      <c r="AK817" t="s">
        <v>5232</v>
      </c>
      <c r="AL817" t="s">
        <v>11</v>
      </c>
      <c r="AM817" t="s">
        <v>11</v>
      </c>
      <c r="AN817" t="s">
        <v>11</v>
      </c>
      <c r="AO817" t="s">
        <v>11</v>
      </c>
      <c r="AP817" t="s">
        <v>11</v>
      </c>
      <c r="AQ817" t="s">
        <v>11</v>
      </c>
      <c r="AR817" t="s">
        <v>11</v>
      </c>
      <c r="AS817" t="s">
        <v>11</v>
      </c>
      <c r="AT817" t="s">
        <v>11</v>
      </c>
      <c r="AU817" t="s">
        <v>11</v>
      </c>
      <c r="AV817" t="s">
        <v>11</v>
      </c>
      <c r="AW817" t="s">
        <v>11</v>
      </c>
      <c r="AX817" t="s">
        <v>11</v>
      </c>
      <c r="AY817" t="s">
        <v>11</v>
      </c>
      <c r="AZ817" t="s">
        <v>11</v>
      </c>
      <c r="BA817" t="s">
        <v>11</v>
      </c>
      <c r="BB817" t="s">
        <v>11</v>
      </c>
      <c r="BC817" t="s">
        <v>11</v>
      </c>
      <c r="BD817" t="s">
        <v>11</v>
      </c>
      <c r="BE817" t="s">
        <v>11</v>
      </c>
      <c r="BF817" t="s">
        <v>11</v>
      </c>
      <c r="BG817" t="s">
        <v>11</v>
      </c>
      <c r="BH817" t="s">
        <v>5379</v>
      </c>
      <c r="BI817" t="s">
        <v>5229</v>
      </c>
      <c r="BJ817" t="s">
        <v>11</v>
      </c>
    </row>
    <row r="818" spans="1:62" x14ac:dyDescent="0.3">
      <c r="A818" t="s">
        <v>5380</v>
      </c>
      <c r="C818" t="s">
        <v>11</v>
      </c>
      <c r="D818">
        <v>2</v>
      </c>
      <c r="E818" t="s">
        <v>5381</v>
      </c>
      <c r="F818">
        <v>820</v>
      </c>
      <c r="G818">
        <v>62</v>
      </c>
      <c r="H818">
        <v>15</v>
      </c>
      <c r="I818">
        <v>12</v>
      </c>
      <c r="K818">
        <v>11</v>
      </c>
      <c r="AF818">
        <v>9.2957000000000001</v>
      </c>
      <c r="AI818" t="s">
        <v>0</v>
      </c>
      <c r="AJ818" t="s">
        <v>881</v>
      </c>
      <c r="AK818" t="s">
        <v>5232</v>
      </c>
      <c r="AL818" t="s">
        <v>5382</v>
      </c>
      <c r="AM818" t="s">
        <v>11</v>
      </c>
      <c r="AN818" t="s">
        <v>11</v>
      </c>
      <c r="AO818" t="s">
        <v>11</v>
      </c>
      <c r="AP818" t="s">
        <v>11</v>
      </c>
      <c r="AQ818" t="s">
        <v>11</v>
      </c>
      <c r="AR818" t="s">
        <v>11</v>
      </c>
      <c r="AS818" t="s">
        <v>11</v>
      </c>
      <c r="AT818" t="s">
        <v>11</v>
      </c>
      <c r="AU818" t="s">
        <v>11</v>
      </c>
      <c r="AV818" t="s">
        <v>11</v>
      </c>
      <c r="AW818" t="s">
        <v>11</v>
      </c>
      <c r="AX818" t="s">
        <v>11</v>
      </c>
      <c r="AY818" t="s">
        <v>11</v>
      </c>
      <c r="AZ818" t="s">
        <v>11</v>
      </c>
      <c r="BA818" t="s">
        <v>11</v>
      </c>
      <c r="BB818" t="s">
        <v>11</v>
      </c>
      <c r="BC818" t="s">
        <v>11</v>
      </c>
      <c r="BD818" t="s">
        <v>11</v>
      </c>
      <c r="BE818" t="s">
        <v>11</v>
      </c>
      <c r="BF818" t="s">
        <v>11</v>
      </c>
      <c r="BG818" t="s">
        <v>11</v>
      </c>
      <c r="BH818" t="s">
        <v>5383</v>
      </c>
      <c r="BI818" t="s">
        <v>5380</v>
      </c>
      <c r="BJ818" t="s">
        <v>11</v>
      </c>
    </row>
    <row r="819" spans="1:62" x14ac:dyDescent="0.3">
      <c r="A819" t="s">
        <v>5384</v>
      </c>
      <c r="C819" t="s">
        <v>11</v>
      </c>
      <c r="D819">
        <v>3</v>
      </c>
      <c r="E819" t="s">
        <v>5385</v>
      </c>
      <c r="F819">
        <v>821</v>
      </c>
      <c r="G819">
        <v>47</v>
      </c>
      <c r="H819">
        <v>30</v>
      </c>
      <c r="I819">
        <v>12</v>
      </c>
      <c r="K819">
        <v>11</v>
      </c>
      <c r="AF819">
        <v>9.2969000000000008</v>
      </c>
      <c r="AI819" t="s">
        <v>0</v>
      </c>
      <c r="AJ819" t="s">
        <v>881</v>
      </c>
      <c r="AK819" t="s">
        <v>5232</v>
      </c>
      <c r="AL819" t="s">
        <v>5386</v>
      </c>
      <c r="AM819" t="s">
        <v>11</v>
      </c>
      <c r="AN819" t="s">
        <v>11</v>
      </c>
      <c r="AO819" t="s">
        <v>11</v>
      </c>
      <c r="AP819" t="s">
        <v>11</v>
      </c>
      <c r="AQ819" t="s">
        <v>11</v>
      </c>
      <c r="AR819" t="s">
        <v>11</v>
      </c>
      <c r="AS819" t="s">
        <v>11</v>
      </c>
      <c r="AT819" t="s">
        <v>11</v>
      </c>
      <c r="AU819" t="s">
        <v>11</v>
      </c>
      <c r="AV819" t="s">
        <v>11</v>
      </c>
      <c r="AW819" t="s">
        <v>11</v>
      </c>
      <c r="AX819" t="s">
        <v>11</v>
      </c>
      <c r="AY819" t="s">
        <v>11</v>
      </c>
      <c r="AZ819" t="s">
        <v>11</v>
      </c>
      <c r="BA819" t="s">
        <v>11</v>
      </c>
      <c r="BB819" t="s">
        <v>11</v>
      </c>
      <c r="BC819" t="s">
        <v>11</v>
      </c>
      <c r="BD819" t="s">
        <v>11</v>
      </c>
      <c r="BE819" t="s">
        <v>11</v>
      </c>
      <c r="BF819" t="s">
        <v>11</v>
      </c>
      <c r="BG819" t="s">
        <v>11</v>
      </c>
      <c r="BH819" t="s">
        <v>5387</v>
      </c>
      <c r="BI819" t="s">
        <v>5384</v>
      </c>
      <c r="BJ819" t="s">
        <v>11</v>
      </c>
    </row>
    <row r="820" spans="1:62" x14ac:dyDescent="0.3">
      <c r="A820" t="s">
        <v>5388</v>
      </c>
      <c r="C820" t="s">
        <v>11</v>
      </c>
      <c r="D820">
        <v>4</v>
      </c>
      <c r="E820" t="s">
        <v>5389</v>
      </c>
      <c r="F820">
        <v>822</v>
      </c>
      <c r="G820">
        <v>32</v>
      </c>
      <c r="H820">
        <v>45</v>
      </c>
      <c r="I820">
        <v>12</v>
      </c>
      <c r="K820">
        <v>11</v>
      </c>
      <c r="AF820">
        <v>9.2980999999999998</v>
      </c>
      <c r="AI820" t="s">
        <v>0</v>
      </c>
      <c r="AJ820" t="s">
        <v>881</v>
      </c>
      <c r="AK820" t="s">
        <v>5232</v>
      </c>
      <c r="AL820" t="s">
        <v>5390</v>
      </c>
      <c r="AM820" t="s">
        <v>11</v>
      </c>
      <c r="AN820" t="s">
        <v>11</v>
      </c>
      <c r="AO820" t="s">
        <v>11</v>
      </c>
      <c r="AP820" t="s">
        <v>11</v>
      </c>
      <c r="AQ820" t="s">
        <v>11</v>
      </c>
      <c r="AR820" t="s">
        <v>11</v>
      </c>
      <c r="AS820" t="s">
        <v>11</v>
      </c>
      <c r="AT820" t="s">
        <v>11</v>
      </c>
      <c r="AU820" t="s">
        <v>11</v>
      </c>
      <c r="AV820" t="s">
        <v>11</v>
      </c>
      <c r="AW820" t="s">
        <v>11</v>
      </c>
      <c r="AX820" t="s">
        <v>11</v>
      </c>
      <c r="AY820" t="s">
        <v>11</v>
      </c>
      <c r="AZ820" t="s">
        <v>11</v>
      </c>
      <c r="BA820" t="s">
        <v>11</v>
      </c>
      <c r="BB820" t="s">
        <v>11</v>
      </c>
      <c r="BC820" t="s">
        <v>11</v>
      </c>
      <c r="BD820" t="s">
        <v>11</v>
      </c>
      <c r="BE820" t="s">
        <v>11</v>
      </c>
      <c r="BF820" t="s">
        <v>11</v>
      </c>
      <c r="BG820" t="s">
        <v>11</v>
      </c>
      <c r="BH820" t="s">
        <v>5391</v>
      </c>
      <c r="BI820" t="s">
        <v>5388</v>
      </c>
      <c r="BJ820" t="s">
        <v>11</v>
      </c>
    </row>
    <row r="821" spans="1:62" x14ac:dyDescent="0.3">
      <c r="A821" t="s">
        <v>5392</v>
      </c>
      <c r="C821" t="s">
        <v>11</v>
      </c>
      <c r="D821">
        <v>5</v>
      </c>
      <c r="E821" t="s">
        <v>5393</v>
      </c>
      <c r="F821">
        <v>823</v>
      </c>
      <c r="G821">
        <v>65</v>
      </c>
      <c r="H821">
        <v>15</v>
      </c>
      <c r="I821">
        <v>11</v>
      </c>
      <c r="K821">
        <v>9</v>
      </c>
      <c r="AF821">
        <v>9.1507000000000005</v>
      </c>
      <c r="AI821" t="s">
        <v>0</v>
      </c>
      <c r="AJ821" t="s">
        <v>1365</v>
      </c>
      <c r="AK821" t="s">
        <v>5211</v>
      </c>
      <c r="AL821" t="s">
        <v>5382</v>
      </c>
      <c r="AM821" t="s">
        <v>11</v>
      </c>
      <c r="AN821" t="s">
        <v>11</v>
      </c>
      <c r="AO821" t="s">
        <v>11</v>
      </c>
      <c r="AP821" t="s">
        <v>11</v>
      </c>
      <c r="AQ821" t="s">
        <v>11</v>
      </c>
      <c r="AR821" t="s">
        <v>11</v>
      </c>
      <c r="AS821" t="s">
        <v>11</v>
      </c>
      <c r="AT821" t="s">
        <v>11</v>
      </c>
      <c r="AU821" t="s">
        <v>11</v>
      </c>
      <c r="AV821" t="s">
        <v>11</v>
      </c>
      <c r="AW821" t="s">
        <v>11</v>
      </c>
      <c r="AX821" t="s">
        <v>11</v>
      </c>
      <c r="AY821" t="s">
        <v>11</v>
      </c>
      <c r="AZ821" t="s">
        <v>11</v>
      </c>
      <c r="BA821" t="s">
        <v>11</v>
      </c>
      <c r="BB821" t="s">
        <v>11</v>
      </c>
      <c r="BC821" t="s">
        <v>11</v>
      </c>
      <c r="BD821" t="s">
        <v>11</v>
      </c>
      <c r="BE821" t="s">
        <v>11</v>
      </c>
      <c r="BF821" t="s">
        <v>11</v>
      </c>
      <c r="BG821" t="s">
        <v>11</v>
      </c>
      <c r="BH821" t="s">
        <v>5394</v>
      </c>
      <c r="BI821" t="s">
        <v>5392</v>
      </c>
      <c r="BJ821" t="s">
        <v>11</v>
      </c>
    </row>
    <row r="822" spans="1:62" x14ac:dyDescent="0.3">
      <c r="A822" t="s">
        <v>5395</v>
      </c>
      <c r="C822" t="s">
        <v>11</v>
      </c>
      <c r="D822">
        <v>6</v>
      </c>
      <c r="E822" t="s">
        <v>5396</v>
      </c>
      <c r="F822">
        <v>824</v>
      </c>
      <c r="G822">
        <v>62.5</v>
      </c>
      <c r="H822">
        <v>17.5</v>
      </c>
      <c r="I822">
        <v>11</v>
      </c>
      <c r="K822">
        <v>9</v>
      </c>
      <c r="AF822">
        <v>9.1509</v>
      </c>
      <c r="AI822" t="s">
        <v>0</v>
      </c>
      <c r="AJ822" t="s">
        <v>1365</v>
      </c>
      <c r="AK822" t="s">
        <v>5211</v>
      </c>
      <c r="AL822" t="s">
        <v>5397</v>
      </c>
      <c r="AM822" t="s">
        <v>11</v>
      </c>
      <c r="AN822" t="s">
        <v>11</v>
      </c>
      <c r="AO822" t="s">
        <v>11</v>
      </c>
      <c r="AP822" t="s">
        <v>11</v>
      </c>
      <c r="AQ822" t="s">
        <v>11</v>
      </c>
      <c r="AR822" t="s">
        <v>11</v>
      </c>
      <c r="AS822" t="s">
        <v>11</v>
      </c>
      <c r="AT822" t="s">
        <v>11</v>
      </c>
      <c r="AU822" t="s">
        <v>11</v>
      </c>
      <c r="AV822" t="s">
        <v>11</v>
      </c>
      <c r="AW822" t="s">
        <v>11</v>
      </c>
      <c r="AX822" t="s">
        <v>11</v>
      </c>
      <c r="AY822" t="s">
        <v>11</v>
      </c>
      <c r="AZ822" t="s">
        <v>11</v>
      </c>
      <c r="BA822" t="s">
        <v>11</v>
      </c>
      <c r="BB822" t="s">
        <v>11</v>
      </c>
      <c r="BC822" t="s">
        <v>11</v>
      </c>
      <c r="BD822" t="s">
        <v>11</v>
      </c>
      <c r="BE822" t="s">
        <v>11</v>
      </c>
      <c r="BF822" t="s">
        <v>11</v>
      </c>
      <c r="BG822" t="s">
        <v>11</v>
      </c>
      <c r="BH822" t="s">
        <v>5398</v>
      </c>
      <c r="BI822" t="s">
        <v>5395</v>
      </c>
      <c r="BJ822" t="s">
        <v>11</v>
      </c>
    </row>
    <row r="823" spans="1:62" x14ac:dyDescent="0.3">
      <c r="A823" t="s">
        <v>5399</v>
      </c>
      <c r="C823" t="s">
        <v>11</v>
      </c>
      <c r="D823">
        <v>7</v>
      </c>
      <c r="E823" t="s">
        <v>5400</v>
      </c>
      <c r="F823">
        <v>825</v>
      </c>
      <c r="G823">
        <v>60</v>
      </c>
      <c r="H823">
        <v>20</v>
      </c>
      <c r="I823">
        <v>11</v>
      </c>
      <c r="K823">
        <v>9</v>
      </c>
      <c r="AF823">
        <v>9.1510999999999996</v>
      </c>
      <c r="AI823" t="s">
        <v>0</v>
      </c>
      <c r="AJ823" t="s">
        <v>1365</v>
      </c>
      <c r="AK823" t="s">
        <v>5211</v>
      </c>
      <c r="AL823" t="s">
        <v>5401</v>
      </c>
      <c r="AM823" t="s">
        <v>11</v>
      </c>
      <c r="AN823" t="s">
        <v>11</v>
      </c>
      <c r="AO823" t="s">
        <v>11</v>
      </c>
      <c r="AP823" t="s">
        <v>11</v>
      </c>
      <c r="AQ823" t="s">
        <v>11</v>
      </c>
      <c r="AR823" t="s">
        <v>11</v>
      </c>
      <c r="AS823" t="s">
        <v>11</v>
      </c>
      <c r="AT823" t="s">
        <v>11</v>
      </c>
      <c r="AU823" t="s">
        <v>11</v>
      </c>
      <c r="AV823" t="s">
        <v>11</v>
      </c>
      <c r="AW823" t="s">
        <v>11</v>
      </c>
      <c r="AX823" t="s">
        <v>11</v>
      </c>
      <c r="AY823" t="s">
        <v>11</v>
      </c>
      <c r="AZ823" t="s">
        <v>11</v>
      </c>
      <c r="BA823" t="s">
        <v>11</v>
      </c>
      <c r="BB823" t="s">
        <v>11</v>
      </c>
      <c r="BC823" t="s">
        <v>11</v>
      </c>
      <c r="BD823" t="s">
        <v>11</v>
      </c>
      <c r="BE823" t="s">
        <v>11</v>
      </c>
      <c r="BF823" t="s">
        <v>11</v>
      </c>
      <c r="BG823" t="s">
        <v>11</v>
      </c>
      <c r="BH823" t="s">
        <v>5402</v>
      </c>
      <c r="BI823" t="s">
        <v>5399</v>
      </c>
      <c r="BJ823" t="s">
        <v>11</v>
      </c>
    </row>
    <row r="824" spans="1:62" x14ac:dyDescent="0.3">
      <c r="A824" t="s">
        <v>5403</v>
      </c>
      <c r="C824" t="s">
        <v>11</v>
      </c>
      <c r="D824">
        <v>8</v>
      </c>
      <c r="E824" t="s">
        <v>5404</v>
      </c>
      <c r="F824">
        <v>826</v>
      </c>
      <c r="G824">
        <v>69</v>
      </c>
      <c r="H824">
        <v>13</v>
      </c>
      <c r="I824">
        <v>10</v>
      </c>
      <c r="K824">
        <v>8</v>
      </c>
      <c r="AF824">
        <v>9.1090400000000002</v>
      </c>
      <c r="AI824" t="s">
        <v>0</v>
      </c>
      <c r="AJ824" t="s">
        <v>22</v>
      </c>
      <c r="AK824" t="s">
        <v>5216</v>
      </c>
      <c r="AL824" t="s">
        <v>5405</v>
      </c>
      <c r="AM824" t="s">
        <v>11</v>
      </c>
      <c r="AN824" t="s">
        <v>11</v>
      </c>
      <c r="AO824" t="s">
        <v>11</v>
      </c>
      <c r="AP824" t="s">
        <v>11</v>
      </c>
      <c r="AQ824" t="s">
        <v>11</v>
      </c>
      <c r="AR824" t="s">
        <v>11</v>
      </c>
      <c r="AS824" t="s">
        <v>11</v>
      </c>
      <c r="AT824" t="s">
        <v>11</v>
      </c>
      <c r="AU824" t="s">
        <v>11</v>
      </c>
      <c r="AV824" t="s">
        <v>11</v>
      </c>
      <c r="AW824" t="s">
        <v>11</v>
      </c>
      <c r="AX824" t="s">
        <v>11</v>
      </c>
      <c r="AY824" t="s">
        <v>11</v>
      </c>
      <c r="AZ824" t="s">
        <v>11</v>
      </c>
      <c r="BA824" t="s">
        <v>11</v>
      </c>
      <c r="BB824" t="s">
        <v>11</v>
      </c>
      <c r="BC824" t="s">
        <v>11</v>
      </c>
      <c r="BD824" t="s">
        <v>11</v>
      </c>
      <c r="BE824" t="s">
        <v>11</v>
      </c>
      <c r="BF824" t="s">
        <v>11</v>
      </c>
      <c r="BG824" t="s">
        <v>11</v>
      </c>
      <c r="BH824" t="s">
        <v>5406</v>
      </c>
      <c r="BI824" t="s">
        <v>5403</v>
      </c>
      <c r="BJ824" t="s">
        <v>11</v>
      </c>
    </row>
    <row r="825" spans="1:62" x14ac:dyDescent="0.3">
      <c r="A825" t="s">
        <v>5407</v>
      </c>
      <c r="C825" t="s">
        <v>11</v>
      </c>
      <c r="D825" t="s">
        <v>5408</v>
      </c>
      <c r="E825" t="s">
        <v>5409</v>
      </c>
      <c r="F825">
        <v>827</v>
      </c>
      <c r="G825">
        <v>79.98</v>
      </c>
      <c r="I825">
        <v>9</v>
      </c>
      <c r="K825">
        <v>9</v>
      </c>
      <c r="M825">
        <v>2</v>
      </c>
      <c r="S825">
        <v>0.02</v>
      </c>
      <c r="AF825">
        <v>9.4272120000000008</v>
      </c>
      <c r="AI825" t="s">
        <v>0</v>
      </c>
      <c r="AJ825" t="s">
        <v>128</v>
      </c>
      <c r="AK825" t="s">
        <v>5211</v>
      </c>
      <c r="AL825" t="s">
        <v>11</v>
      </c>
      <c r="AM825" t="s">
        <v>11</v>
      </c>
      <c r="AN825" t="s">
        <v>5243</v>
      </c>
      <c r="AO825" t="s">
        <v>11</v>
      </c>
      <c r="AP825" t="s">
        <v>11</v>
      </c>
      <c r="AQ825" t="s">
        <v>11</v>
      </c>
      <c r="AR825" t="s">
        <v>11</v>
      </c>
      <c r="AS825" t="s">
        <v>11</v>
      </c>
      <c r="AT825" t="s">
        <v>11</v>
      </c>
      <c r="AU825" t="s">
        <v>1478</v>
      </c>
      <c r="AV825" t="s">
        <v>11</v>
      </c>
      <c r="AW825" t="s">
        <v>11</v>
      </c>
      <c r="AX825" t="s">
        <v>11</v>
      </c>
      <c r="AY825" t="s">
        <v>11</v>
      </c>
      <c r="AZ825" t="s">
        <v>11</v>
      </c>
      <c r="BA825" t="s">
        <v>11</v>
      </c>
      <c r="BB825" t="s">
        <v>11</v>
      </c>
      <c r="BC825" t="s">
        <v>11</v>
      </c>
      <c r="BD825" t="s">
        <v>11</v>
      </c>
      <c r="BE825" t="s">
        <v>11</v>
      </c>
      <c r="BF825" t="s">
        <v>11</v>
      </c>
      <c r="BG825" t="s">
        <v>11</v>
      </c>
      <c r="BH825" t="s">
        <v>5410</v>
      </c>
      <c r="BI825" t="s">
        <v>5407</v>
      </c>
      <c r="BJ825" t="s">
        <v>11</v>
      </c>
    </row>
    <row r="826" spans="1:62" x14ac:dyDescent="0.3">
      <c r="A826" t="s">
        <v>5411</v>
      </c>
      <c r="C826" t="s">
        <v>11</v>
      </c>
      <c r="D826" t="s">
        <v>5412</v>
      </c>
      <c r="E826" t="s">
        <v>5413</v>
      </c>
      <c r="F826">
        <v>828</v>
      </c>
      <c r="G826">
        <v>88</v>
      </c>
      <c r="L826">
        <v>12</v>
      </c>
      <c r="AF826">
        <v>8.3728400000000001</v>
      </c>
      <c r="AI826" t="s">
        <v>0</v>
      </c>
      <c r="AJ826" t="s">
        <v>11</v>
      </c>
      <c r="AK826" t="s">
        <v>11</v>
      </c>
      <c r="AL826" t="s">
        <v>11</v>
      </c>
      <c r="AM826" t="s">
        <v>11</v>
      </c>
      <c r="AN826" t="s">
        <v>11</v>
      </c>
      <c r="AO826" t="s">
        <v>11</v>
      </c>
      <c r="AP826" t="s">
        <v>11</v>
      </c>
      <c r="AQ826" t="s">
        <v>5414</v>
      </c>
      <c r="AR826" t="s">
        <v>11</v>
      </c>
      <c r="AS826" t="s">
        <v>11</v>
      </c>
      <c r="AT826" t="s">
        <v>11</v>
      </c>
      <c r="AU826" t="s">
        <v>11</v>
      </c>
      <c r="AV826" t="s">
        <v>11</v>
      </c>
      <c r="AW826" t="s">
        <v>11</v>
      </c>
      <c r="AX826" t="s">
        <v>11</v>
      </c>
      <c r="AY826" t="s">
        <v>11</v>
      </c>
      <c r="AZ826" t="s">
        <v>11</v>
      </c>
      <c r="BA826" t="s">
        <v>11</v>
      </c>
      <c r="BB826" t="s">
        <v>11</v>
      </c>
      <c r="BC826" t="s">
        <v>11</v>
      </c>
      <c r="BD826" t="s">
        <v>11</v>
      </c>
      <c r="BE826" t="s">
        <v>11</v>
      </c>
      <c r="BF826" t="s">
        <v>11</v>
      </c>
      <c r="BG826" t="s">
        <v>11</v>
      </c>
      <c r="BH826" t="s">
        <v>5415</v>
      </c>
      <c r="BI826" t="s">
        <v>5411</v>
      </c>
      <c r="BJ826" t="s">
        <v>11</v>
      </c>
    </row>
    <row r="827" spans="1:62" x14ac:dyDescent="0.3">
      <c r="A827" t="s">
        <v>5416</v>
      </c>
      <c r="C827" t="s">
        <v>11</v>
      </c>
      <c r="D827" t="s">
        <v>5417</v>
      </c>
      <c r="E827" t="s">
        <v>5418</v>
      </c>
      <c r="F827">
        <v>829</v>
      </c>
      <c r="G827">
        <v>84</v>
      </c>
      <c r="L827">
        <v>12</v>
      </c>
      <c r="P827">
        <v>4</v>
      </c>
      <c r="AF827">
        <v>8.4280399999999993</v>
      </c>
      <c r="AI827" t="s">
        <v>0</v>
      </c>
      <c r="AJ827" t="s">
        <v>11</v>
      </c>
      <c r="AK827" t="s">
        <v>11</v>
      </c>
      <c r="AL827" t="s">
        <v>11</v>
      </c>
      <c r="AM827" t="s">
        <v>11</v>
      </c>
      <c r="AN827" t="s">
        <v>11</v>
      </c>
      <c r="AO827" t="s">
        <v>11</v>
      </c>
      <c r="AP827" t="s">
        <v>11</v>
      </c>
      <c r="AQ827" t="s">
        <v>5414</v>
      </c>
      <c r="AR827" t="s">
        <v>5419</v>
      </c>
      <c r="AS827" t="s">
        <v>11</v>
      </c>
      <c r="AT827" t="s">
        <v>11</v>
      </c>
      <c r="AU827" t="s">
        <v>11</v>
      </c>
      <c r="AV827" t="s">
        <v>11</v>
      </c>
      <c r="AW827" t="s">
        <v>11</v>
      </c>
      <c r="AX827" t="s">
        <v>11</v>
      </c>
      <c r="AY827" t="s">
        <v>11</v>
      </c>
      <c r="AZ827" t="s">
        <v>11</v>
      </c>
      <c r="BA827" t="s">
        <v>11</v>
      </c>
      <c r="BB827" t="s">
        <v>11</v>
      </c>
      <c r="BC827" t="s">
        <v>11</v>
      </c>
      <c r="BD827" t="s">
        <v>11</v>
      </c>
      <c r="BE827" t="s">
        <v>11</v>
      </c>
      <c r="BF827" t="s">
        <v>11</v>
      </c>
      <c r="BG827" t="s">
        <v>11</v>
      </c>
      <c r="BH827" t="s">
        <v>5420</v>
      </c>
      <c r="BI827" t="s">
        <v>5416</v>
      </c>
      <c r="BJ827" t="s">
        <v>11</v>
      </c>
    </row>
    <row r="828" spans="1:62" x14ac:dyDescent="0.3">
      <c r="A828" t="s">
        <v>5421</v>
      </c>
      <c r="C828" t="s">
        <v>11</v>
      </c>
      <c r="D828" t="s">
        <v>5422</v>
      </c>
      <c r="E828" t="s">
        <v>5423</v>
      </c>
      <c r="F828">
        <v>830</v>
      </c>
      <c r="G828">
        <v>82</v>
      </c>
      <c r="I828">
        <v>2</v>
      </c>
      <c r="L828">
        <v>12</v>
      </c>
      <c r="P828">
        <v>4</v>
      </c>
      <c r="AF828">
        <v>8.3040400000000005</v>
      </c>
      <c r="AI828" t="s">
        <v>0</v>
      </c>
      <c r="AJ828" t="s">
        <v>3141</v>
      </c>
      <c r="AK828" t="s">
        <v>11</v>
      </c>
      <c r="AL828" t="s">
        <v>11</v>
      </c>
      <c r="AM828" t="s">
        <v>11</v>
      </c>
      <c r="AN828" t="s">
        <v>11</v>
      </c>
      <c r="AO828" t="s">
        <v>11</v>
      </c>
      <c r="AP828" t="s">
        <v>11</v>
      </c>
      <c r="AQ828" t="s">
        <v>5414</v>
      </c>
      <c r="AR828" t="s">
        <v>5419</v>
      </c>
      <c r="AS828" t="s">
        <v>11</v>
      </c>
      <c r="AT828" t="s">
        <v>11</v>
      </c>
      <c r="AU828" t="s">
        <v>11</v>
      </c>
      <c r="AV828" t="s">
        <v>11</v>
      </c>
      <c r="AW828" t="s">
        <v>11</v>
      </c>
      <c r="AX828" t="s">
        <v>11</v>
      </c>
      <c r="AY828" t="s">
        <v>11</v>
      </c>
      <c r="AZ828" t="s">
        <v>11</v>
      </c>
      <c r="BA828" t="s">
        <v>11</v>
      </c>
      <c r="BB828" t="s">
        <v>11</v>
      </c>
      <c r="BC828" t="s">
        <v>11</v>
      </c>
      <c r="BD828" t="s">
        <v>11</v>
      </c>
      <c r="BE828" t="s">
        <v>11</v>
      </c>
      <c r="BF828" t="s">
        <v>11</v>
      </c>
      <c r="BG828" t="s">
        <v>11</v>
      </c>
      <c r="BH828" t="s">
        <v>5424</v>
      </c>
      <c r="BI828" t="s">
        <v>5421</v>
      </c>
      <c r="BJ828" t="s">
        <v>11</v>
      </c>
    </row>
    <row r="829" spans="1:62" x14ac:dyDescent="0.3">
      <c r="A829" t="s">
        <v>5425</v>
      </c>
      <c r="C829" t="s">
        <v>11</v>
      </c>
      <c r="D829" t="s">
        <v>5426</v>
      </c>
      <c r="E829" t="s">
        <v>5427</v>
      </c>
      <c r="F829">
        <v>831</v>
      </c>
      <c r="G829">
        <v>80</v>
      </c>
      <c r="I829">
        <v>4</v>
      </c>
      <c r="L829">
        <v>12</v>
      </c>
      <c r="P829">
        <v>4</v>
      </c>
      <c r="AF829">
        <v>8.1800399999999982</v>
      </c>
      <c r="AI829" t="s">
        <v>0</v>
      </c>
      <c r="AJ829" t="s">
        <v>3831</v>
      </c>
      <c r="AK829" t="s">
        <v>11</v>
      </c>
      <c r="AL829" t="s">
        <v>11</v>
      </c>
      <c r="AM829" t="s">
        <v>11</v>
      </c>
      <c r="AN829" t="s">
        <v>11</v>
      </c>
      <c r="AO829" t="s">
        <v>11</v>
      </c>
      <c r="AP829" t="s">
        <v>11</v>
      </c>
      <c r="AQ829" t="s">
        <v>5414</v>
      </c>
      <c r="AR829" t="s">
        <v>5419</v>
      </c>
      <c r="AS829" t="s">
        <v>11</v>
      </c>
      <c r="AT829" t="s">
        <v>11</v>
      </c>
      <c r="AU829" t="s">
        <v>11</v>
      </c>
      <c r="AV829" t="s">
        <v>11</v>
      </c>
      <c r="AW829" t="s">
        <v>11</v>
      </c>
      <c r="AX829" t="s">
        <v>11</v>
      </c>
      <c r="AY829" t="s">
        <v>11</v>
      </c>
      <c r="AZ829" t="s">
        <v>11</v>
      </c>
      <c r="BA829" t="s">
        <v>11</v>
      </c>
      <c r="BB829" t="s">
        <v>11</v>
      </c>
      <c r="BC829" t="s">
        <v>11</v>
      </c>
      <c r="BD829" t="s">
        <v>11</v>
      </c>
      <c r="BE829" t="s">
        <v>11</v>
      </c>
      <c r="BF829" t="s">
        <v>11</v>
      </c>
      <c r="BG829" t="s">
        <v>11</v>
      </c>
      <c r="BH829" t="s">
        <v>5428</v>
      </c>
      <c r="BI829" t="s">
        <v>5425</v>
      </c>
      <c r="BJ829" t="s">
        <v>11</v>
      </c>
    </row>
    <row r="830" spans="1:62" x14ac:dyDescent="0.3">
      <c r="A830" t="s">
        <v>5429</v>
      </c>
      <c r="C830" t="s">
        <v>11</v>
      </c>
      <c r="D830" t="s">
        <v>5430</v>
      </c>
      <c r="E830" t="s">
        <v>5431</v>
      </c>
      <c r="F830">
        <v>832</v>
      </c>
      <c r="G830">
        <v>84</v>
      </c>
      <c r="I830">
        <v>2</v>
      </c>
      <c r="L830">
        <v>10</v>
      </c>
      <c r="P830">
        <v>4</v>
      </c>
      <c r="AF830">
        <v>8.3918999999999997</v>
      </c>
      <c r="AI830" t="s">
        <v>0</v>
      </c>
      <c r="AJ830" t="s">
        <v>3141</v>
      </c>
      <c r="AK830" t="s">
        <v>11</v>
      </c>
      <c r="AL830" t="s">
        <v>11</v>
      </c>
      <c r="AM830" t="s">
        <v>11</v>
      </c>
      <c r="AN830" t="s">
        <v>11</v>
      </c>
      <c r="AO830" t="s">
        <v>11</v>
      </c>
      <c r="AP830" t="s">
        <v>11</v>
      </c>
      <c r="AQ830" t="s">
        <v>5432</v>
      </c>
      <c r="AR830" t="s">
        <v>5419</v>
      </c>
      <c r="AS830" t="s">
        <v>11</v>
      </c>
      <c r="AT830" t="s">
        <v>11</v>
      </c>
      <c r="AU830" t="s">
        <v>11</v>
      </c>
      <c r="AV830" t="s">
        <v>11</v>
      </c>
      <c r="AW830" t="s">
        <v>11</v>
      </c>
      <c r="AX830" t="s">
        <v>11</v>
      </c>
      <c r="AY830" t="s">
        <v>11</v>
      </c>
      <c r="AZ830" t="s">
        <v>11</v>
      </c>
      <c r="BA830" t="s">
        <v>11</v>
      </c>
      <c r="BB830" t="s">
        <v>11</v>
      </c>
      <c r="BC830" t="s">
        <v>11</v>
      </c>
      <c r="BD830" t="s">
        <v>11</v>
      </c>
      <c r="BE830" t="s">
        <v>11</v>
      </c>
      <c r="BF830" t="s">
        <v>11</v>
      </c>
      <c r="BG830" t="s">
        <v>11</v>
      </c>
      <c r="BH830" t="s">
        <v>5433</v>
      </c>
      <c r="BI830" t="s">
        <v>5429</v>
      </c>
      <c r="BJ830" t="s">
        <v>11</v>
      </c>
    </row>
    <row r="831" spans="1:62" x14ac:dyDescent="0.3">
      <c r="A831" t="s">
        <v>5434</v>
      </c>
      <c r="C831" t="s">
        <v>11</v>
      </c>
      <c r="D831" t="s">
        <v>5435</v>
      </c>
      <c r="E831" t="s">
        <v>5436</v>
      </c>
      <c r="F831">
        <v>833</v>
      </c>
      <c r="G831">
        <v>84</v>
      </c>
      <c r="I831">
        <v>4</v>
      </c>
      <c r="L831">
        <v>8</v>
      </c>
      <c r="P831">
        <v>4</v>
      </c>
      <c r="AF831">
        <v>8.3557600000000001</v>
      </c>
      <c r="AI831" t="s">
        <v>0</v>
      </c>
      <c r="AJ831" t="s">
        <v>3831</v>
      </c>
      <c r="AK831" t="s">
        <v>11</v>
      </c>
      <c r="AL831" t="s">
        <v>11</v>
      </c>
      <c r="AM831" t="s">
        <v>11</v>
      </c>
      <c r="AN831" t="s">
        <v>11</v>
      </c>
      <c r="AO831" t="s">
        <v>11</v>
      </c>
      <c r="AP831" t="s">
        <v>11</v>
      </c>
      <c r="AQ831" t="s">
        <v>5437</v>
      </c>
      <c r="AR831" t="s">
        <v>5419</v>
      </c>
      <c r="AS831" t="s">
        <v>11</v>
      </c>
      <c r="AT831" t="s">
        <v>11</v>
      </c>
      <c r="AU831" t="s">
        <v>11</v>
      </c>
      <c r="AV831" t="s">
        <v>11</v>
      </c>
      <c r="AW831" t="s">
        <v>11</v>
      </c>
      <c r="AX831" t="s">
        <v>11</v>
      </c>
      <c r="AY831" t="s">
        <v>11</v>
      </c>
      <c r="AZ831" t="s">
        <v>11</v>
      </c>
      <c r="BA831" t="s">
        <v>11</v>
      </c>
      <c r="BB831" t="s">
        <v>11</v>
      </c>
      <c r="BC831" t="s">
        <v>11</v>
      </c>
      <c r="BD831" t="s">
        <v>11</v>
      </c>
      <c r="BE831" t="s">
        <v>11</v>
      </c>
      <c r="BF831" t="s">
        <v>11</v>
      </c>
      <c r="BG831" t="s">
        <v>11</v>
      </c>
      <c r="BH831" t="s">
        <v>5438</v>
      </c>
      <c r="BI831" t="s">
        <v>5434</v>
      </c>
      <c r="BJ831" t="s">
        <v>11</v>
      </c>
    </row>
    <row r="832" spans="1:62" x14ac:dyDescent="0.3">
      <c r="A832" t="s">
        <v>5439</v>
      </c>
      <c r="C832" t="s">
        <v>11</v>
      </c>
      <c r="D832" t="s">
        <v>2143</v>
      </c>
      <c r="E832" t="s">
        <v>5440</v>
      </c>
      <c r="F832">
        <v>834</v>
      </c>
      <c r="G832">
        <v>82.9</v>
      </c>
      <c r="I832">
        <v>9</v>
      </c>
      <c r="K832">
        <v>8</v>
      </c>
      <c r="S832">
        <v>0.1</v>
      </c>
      <c r="AF832">
        <v>9.1635600000000004</v>
      </c>
      <c r="AI832" t="s">
        <v>0</v>
      </c>
      <c r="AJ832" t="s">
        <v>128</v>
      </c>
      <c r="AK832" t="s">
        <v>5216</v>
      </c>
      <c r="AL832" t="s">
        <v>11</v>
      </c>
      <c r="AM832" t="s">
        <v>11</v>
      </c>
      <c r="AN832" t="s">
        <v>11</v>
      </c>
      <c r="AO832" t="s">
        <v>11</v>
      </c>
      <c r="AP832" t="s">
        <v>11</v>
      </c>
      <c r="AQ832" t="s">
        <v>11</v>
      </c>
      <c r="AR832" t="s">
        <v>11</v>
      </c>
      <c r="AS832" t="s">
        <v>11</v>
      </c>
      <c r="AT832" t="s">
        <v>11</v>
      </c>
      <c r="AU832" t="s">
        <v>5250</v>
      </c>
      <c r="AV832" t="s">
        <v>11</v>
      </c>
      <c r="AW832" t="s">
        <v>11</v>
      </c>
      <c r="AX832" t="s">
        <v>11</v>
      </c>
      <c r="AY832" t="s">
        <v>11</v>
      </c>
      <c r="AZ832" t="s">
        <v>11</v>
      </c>
      <c r="BA832" t="s">
        <v>11</v>
      </c>
      <c r="BB832" t="s">
        <v>11</v>
      </c>
      <c r="BC832" t="s">
        <v>11</v>
      </c>
      <c r="BD832" t="s">
        <v>11</v>
      </c>
      <c r="BE832" t="s">
        <v>11</v>
      </c>
      <c r="BF832" t="s">
        <v>11</v>
      </c>
      <c r="BG832" t="s">
        <v>11</v>
      </c>
      <c r="BH832" t="s">
        <v>5441</v>
      </c>
      <c r="BI832" t="s">
        <v>5439</v>
      </c>
      <c r="BJ832" t="s">
        <v>11</v>
      </c>
    </row>
    <row r="833" spans="1:62" x14ac:dyDescent="0.3">
      <c r="A833" t="s">
        <v>5442</v>
      </c>
      <c r="C833" t="s">
        <v>11</v>
      </c>
      <c r="D833" t="s">
        <v>97</v>
      </c>
      <c r="E833" t="s">
        <v>5443</v>
      </c>
      <c r="F833">
        <v>835</v>
      </c>
      <c r="G833">
        <v>81.900000000000006</v>
      </c>
      <c r="I833">
        <v>9</v>
      </c>
      <c r="K833">
        <v>9</v>
      </c>
      <c r="S833">
        <v>0.1</v>
      </c>
      <c r="AF833">
        <v>9.2670600000000007</v>
      </c>
      <c r="AI833" t="s">
        <v>0</v>
      </c>
      <c r="AJ833" t="s">
        <v>128</v>
      </c>
      <c r="AK833" t="s">
        <v>5211</v>
      </c>
      <c r="AL833" t="s">
        <v>11</v>
      </c>
      <c r="AM833" t="s">
        <v>11</v>
      </c>
      <c r="AN833" t="s">
        <v>11</v>
      </c>
      <c r="AO833" t="s">
        <v>11</v>
      </c>
      <c r="AP833" t="s">
        <v>11</v>
      </c>
      <c r="AQ833" t="s">
        <v>11</v>
      </c>
      <c r="AR833" t="s">
        <v>11</v>
      </c>
      <c r="AS833" t="s">
        <v>11</v>
      </c>
      <c r="AT833" t="s">
        <v>11</v>
      </c>
      <c r="AU833" t="s">
        <v>5250</v>
      </c>
      <c r="AV833" t="s">
        <v>11</v>
      </c>
      <c r="AW833" t="s">
        <v>11</v>
      </c>
      <c r="AX833" t="s">
        <v>11</v>
      </c>
      <c r="AY833" t="s">
        <v>11</v>
      </c>
      <c r="AZ833" t="s">
        <v>11</v>
      </c>
      <c r="BA833" t="s">
        <v>11</v>
      </c>
      <c r="BB833" t="s">
        <v>11</v>
      </c>
      <c r="BC833" t="s">
        <v>11</v>
      </c>
      <c r="BD833" t="s">
        <v>11</v>
      </c>
      <c r="BE833" t="s">
        <v>11</v>
      </c>
      <c r="BF833" t="s">
        <v>11</v>
      </c>
      <c r="BG833" t="s">
        <v>11</v>
      </c>
      <c r="BH833" t="s">
        <v>5444</v>
      </c>
      <c r="BI833" t="s">
        <v>5442</v>
      </c>
      <c r="BJ833" t="s">
        <v>11</v>
      </c>
    </row>
    <row r="834" spans="1:62" x14ac:dyDescent="0.3">
      <c r="A834" t="s">
        <v>5445</v>
      </c>
      <c r="C834" t="s">
        <v>11</v>
      </c>
      <c r="D834" t="s">
        <v>2150</v>
      </c>
      <c r="E834" t="s">
        <v>5446</v>
      </c>
      <c r="F834">
        <v>836</v>
      </c>
      <c r="G834">
        <v>79.900000000000006</v>
      </c>
      <c r="I834">
        <v>9</v>
      </c>
      <c r="K834">
        <v>11</v>
      </c>
      <c r="S834">
        <v>0.1</v>
      </c>
      <c r="AF834">
        <v>9.4740600000000015</v>
      </c>
      <c r="AI834" t="s">
        <v>0</v>
      </c>
      <c r="AJ834" t="s">
        <v>128</v>
      </c>
      <c r="AK834" t="s">
        <v>5232</v>
      </c>
      <c r="AL834" t="s">
        <v>11</v>
      </c>
      <c r="AM834" t="s">
        <v>11</v>
      </c>
      <c r="AN834" t="s">
        <v>11</v>
      </c>
      <c r="AO834" t="s">
        <v>11</v>
      </c>
      <c r="AP834" t="s">
        <v>11</v>
      </c>
      <c r="AQ834" t="s">
        <v>11</v>
      </c>
      <c r="AR834" t="s">
        <v>11</v>
      </c>
      <c r="AS834" t="s">
        <v>11</v>
      </c>
      <c r="AT834" t="s">
        <v>11</v>
      </c>
      <c r="AU834" t="s">
        <v>5250</v>
      </c>
      <c r="AV834" t="s">
        <v>11</v>
      </c>
      <c r="AW834" t="s">
        <v>11</v>
      </c>
      <c r="AX834" t="s">
        <v>11</v>
      </c>
      <c r="AY834" t="s">
        <v>11</v>
      </c>
      <c r="AZ834" t="s">
        <v>11</v>
      </c>
      <c r="BA834" t="s">
        <v>11</v>
      </c>
      <c r="BB834" t="s">
        <v>11</v>
      </c>
      <c r="BC834" t="s">
        <v>11</v>
      </c>
      <c r="BD834" t="s">
        <v>11</v>
      </c>
      <c r="BE834" t="s">
        <v>11</v>
      </c>
      <c r="BF834" t="s">
        <v>11</v>
      </c>
      <c r="BG834" t="s">
        <v>11</v>
      </c>
      <c r="BH834" t="s">
        <v>5447</v>
      </c>
      <c r="BI834" t="s">
        <v>5445</v>
      </c>
      <c r="BJ834" t="s">
        <v>11</v>
      </c>
    </row>
    <row r="835" spans="1:62" x14ac:dyDescent="0.3">
      <c r="A835" t="s">
        <v>5448</v>
      </c>
      <c r="C835" t="s">
        <v>11</v>
      </c>
      <c r="D835" t="s">
        <v>1813</v>
      </c>
      <c r="E835" t="s">
        <v>5449</v>
      </c>
      <c r="F835">
        <v>837</v>
      </c>
      <c r="G835">
        <v>60</v>
      </c>
      <c r="H835">
        <v>20</v>
      </c>
      <c r="I835">
        <v>7</v>
      </c>
      <c r="K835">
        <v>8</v>
      </c>
      <c r="L835">
        <v>4</v>
      </c>
      <c r="M835">
        <v>1</v>
      </c>
      <c r="AF835">
        <v>9.197379999999999</v>
      </c>
      <c r="AI835" t="s">
        <v>0</v>
      </c>
      <c r="AJ835" t="s">
        <v>1358</v>
      </c>
      <c r="AK835" t="s">
        <v>5216</v>
      </c>
      <c r="AL835" t="s">
        <v>5401</v>
      </c>
      <c r="AM835" t="s">
        <v>11</v>
      </c>
      <c r="AN835" t="s">
        <v>5217</v>
      </c>
      <c r="AO835" t="s">
        <v>11</v>
      </c>
      <c r="AP835" t="s">
        <v>11</v>
      </c>
      <c r="AQ835" t="s">
        <v>5218</v>
      </c>
      <c r="AR835" t="s">
        <v>11</v>
      </c>
      <c r="AS835" t="s">
        <v>11</v>
      </c>
      <c r="AT835" t="s">
        <v>11</v>
      </c>
      <c r="AU835" t="s">
        <v>11</v>
      </c>
      <c r="AV835" t="s">
        <v>11</v>
      </c>
      <c r="AW835" t="s">
        <v>11</v>
      </c>
      <c r="AX835" t="s">
        <v>11</v>
      </c>
      <c r="AY835" t="s">
        <v>11</v>
      </c>
      <c r="AZ835" t="s">
        <v>11</v>
      </c>
      <c r="BA835" t="s">
        <v>11</v>
      </c>
      <c r="BB835" t="s">
        <v>11</v>
      </c>
      <c r="BC835" t="s">
        <v>11</v>
      </c>
      <c r="BD835" t="s">
        <v>11</v>
      </c>
      <c r="BE835" t="s">
        <v>11</v>
      </c>
      <c r="BF835" t="s">
        <v>11</v>
      </c>
      <c r="BG835" t="s">
        <v>11</v>
      </c>
      <c r="BH835" t="s">
        <v>5450</v>
      </c>
      <c r="BI835" t="s">
        <v>5448</v>
      </c>
      <c r="BJ835" t="s">
        <v>11</v>
      </c>
    </row>
    <row r="836" spans="1:62" x14ac:dyDescent="0.3">
      <c r="A836" t="s">
        <v>5451</v>
      </c>
      <c r="C836" t="s">
        <v>11</v>
      </c>
      <c r="D836" t="s">
        <v>5452</v>
      </c>
      <c r="E836" t="s">
        <v>5453</v>
      </c>
      <c r="F836">
        <v>838</v>
      </c>
      <c r="G836">
        <v>60</v>
      </c>
      <c r="H836">
        <v>20</v>
      </c>
      <c r="I836">
        <v>15</v>
      </c>
      <c r="L836">
        <v>4</v>
      </c>
      <c r="M836">
        <v>1</v>
      </c>
      <c r="AF836">
        <v>7.87338</v>
      </c>
      <c r="AI836" t="s">
        <v>0</v>
      </c>
      <c r="AJ836" t="s">
        <v>3283</v>
      </c>
      <c r="AK836" t="s">
        <v>11</v>
      </c>
      <c r="AL836" t="s">
        <v>5401</v>
      </c>
      <c r="AM836" t="s">
        <v>11</v>
      </c>
      <c r="AN836" t="s">
        <v>5217</v>
      </c>
      <c r="AO836" t="s">
        <v>11</v>
      </c>
      <c r="AP836" t="s">
        <v>11</v>
      </c>
      <c r="AQ836" t="s">
        <v>5218</v>
      </c>
      <c r="AR836" t="s">
        <v>11</v>
      </c>
      <c r="AS836" t="s">
        <v>11</v>
      </c>
      <c r="AT836" t="s">
        <v>11</v>
      </c>
      <c r="AU836" t="s">
        <v>11</v>
      </c>
      <c r="AV836" t="s">
        <v>11</v>
      </c>
      <c r="AW836" t="s">
        <v>11</v>
      </c>
      <c r="AX836" t="s">
        <v>11</v>
      </c>
      <c r="AY836" t="s">
        <v>11</v>
      </c>
      <c r="AZ836" t="s">
        <v>11</v>
      </c>
      <c r="BA836" t="s">
        <v>11</v>
      </c>
      <c r="BB836" t="s">
        <v>11</v>
      </c>
      <c r="BC836" t="s">
        <v>11</v>
      </c>
      <c r="BD836" t="s">
        <v>11</v>
      </c>
      <c r="BE836" t="s">
        <v>11</v>
      </c>
      <c r="BF836" t="s">
        <v>11</v>
      </c>
      <c r="BG836" t="s">
        <v>11</v>
      </c>
      <c r="BH836" t="s">
        <v>5454</v>
      </c>
      <c r="BI836" t="s">
        <v>5451</v>
      </c>
      <c r="BJ836" t="s">
        <v>11</v>
      </c>
    </row>
    <row r="837" spans="1:62" x14ac:dyDescent="0.3">
      <c r="A837" t="s">
        <v>5455</v>
      </c>
      <c r="C837" t="s">
        <v>11</v>
      </c>
      <c r="D837" t="s">
        <v>5456</v>
      </c>
      <c r="E837" t="s">
        <v>5457</v>
      </c>
      <c r="F837">
        <v>839</v>
      </c>
      <c r="G837">
        <v>60</v>
      </c>
      <c r="H837">
        <v>20</v>
      </c>
      <c r="I837">
        <v>7</v>
      </c>
      <c r="K837">
        <v>2</v>
      </c>
      <c r="L837">
        <v>10</v>
      </c>
      <c r="M837">
        <v>1</v>
      </c>
      <c r="AF837">
        <v>8.3127999999999993</v>
      </c>
      <c r="AI837" t="s">
        <v>0</v>
      </c>
      <c r="AJ837" t="s">
        <v>1358</v>
      </c>
      <c r="AK837" t="s">
        <v>5223</v>
      </c>
      <c r="AL837" t="s">
        <v>5401</v>
      </c>
      <c r="AM837" t="s">
        <v>11</v>
      </c>
      <c r="AN837" t="s">
        <v>5217</v>
      </c>
      <c r="AO837" t="s">
        <v>11</v>
      </c>
      <c r="AP837" t="s">
        <v>11</v>
      </c>
      <c r="AQ837" t="s">
        <v>5432</v>
      </c>
      <c r="AR837" t="s">
        <v>11</v>
      </c>
      <c r="AS837" t="s">
        <v>11</v>
      </c>
      <c r="AT837" t="s">
        <v>11</v>
      </c>
      <c r="AU837" t="s">
        <v>11</v>
      </c>
      <c r="AV837" t="s">
        <v>11</v>
      </c>
      <c r="AW837" t="s">
        <v>11</v>
      </c>
      <c r="AX837" t="s">
        <v>11</v>
      </c>
      <c r="AY837" t="s">
        <v>11</v>
      </c>
      <c r="AZ837" t="s">
        <v>11</v>
      </c>
      <c r="BA837" t="s">
        <v>11</v>
      </c>
      <c r="BB837" t="s">
        <v>11</v>
      </c>
      <c r="BC837" t="s">
        <v>11</v>
      </c>
      <c r="BD837" t="s">
        <v>11</v>
      </c>
      <c r="BE837" t="s">
        <v>11</v>
      </c>
      <c r="BF837" t="s">
        <v>11</v>
      </c>
      <c r="BG837" t="s">
        <v>11</v>
      </c>
      <c r="BH837" t="s">
        <v>5458</v>
      </c>
      <c r="BI837" t="s">
        <v>5455</v>
      </c>
      <c r="BJ837" t="s">
        <v>11</v>
      </c>
    </row>
    <row r="838" spans="1:62" x14ac:dyDescent="0.3">
      <c r="A838" t="s">
        <v>5459</v>
      </c>
      <c r="C838" t="s">
        <v>11</v>
      </c>
      <c r="D838" t="s">
        <v>5460</v>
      </c>
      <c r="E838" t="s">
        <v>5461</v>
      </c>
      <c r="F838">
        <v>840</v>
      </c>
      <c r="G838">
        <v>60</v>
      </c>
      <c r="H838">
        <v>20</v>
      </c>
      <c r="I838">
        <v>7</v>
      </c>
      <c r="K838">
        <v>4</v>
      </c>
      <c r="L838">
        <v>4</v>
      </c>
      <c r="M838">
        <v>5</v>
      </c>
      <c r="AF838">
        <v>9.0933799999999998</v>
      </c>
      <c r="AI838" t="s">
        <v>0</v>
      </c>
      <c r="AJ838" t="s">
        <v>1358</v>
      </c>
      <c r="AK838" t="s">
        <v>5462</v>
      </c>
      <c r="AL838" t="s">
        <v>5401</v>
      </c>
      <c r="AM838" t="s">
        <v>11</v>
      </c>
      <c r="AN838" t="s">
        <v>5463</v>
      </c>
      <c r="AO838" t="s">
        <v>11</v>
      </c>
      <c r="AP838" t="s">
        <v>11</v>
      </c>
      <c r="AQ838" t="s">
        <v>5218</v>
      </c>
      <c r="AR838" t="s">
        <v>11</v>
      </c>
      <c r="AS838" t="s">
        <v>11</v>
      </c>
      <c r="AT838" t="s">
        <v>11</v>
      </c>
      <c r="AU838" t="s">
        <v>11</v>
      </c>
      <c r="AV838" t="s">
        <v>11</v>
      </c>
      <c r="AW838" t="s">
        <v>11</v>
      </c>
      <c r="AX838" t="s">
        <v>11</v>
      </c>
      <c r="AY838" t="s">
        <v>11</v>
      </c>
      <c r="AZ838" t="s">
        <v>11</v>
      </c>
      <c r="BA838" t="s">
        <v>11</v>
      </c>
      <c r="BB838" t="s">
        <v>11</v>
      </c>
      <c r="BC838" t="s">
        <v>11</v>
      </c>
      <c r="BD838" t="s">
        <v>11</v>
      </c>
      <c r="BE838" t="s">
        <v>11</v>
      </c>
      <c r="BF838" t="s">
        <v>11</v>
      </c>
      <c r="BG838" t="s">
        <v>11</v>
      </c>
      <c r="BH838" t="s">
        <v>5464</v>
      </c>
      <c r="BI838" t="s">
        <v>5459</v>
      </c>
      <c r="BJ838" t="s">
        <v>11</v>
      </c>
    </row>
    <row r="839" spans="1:62" x14ac:dyDescent="0.3">
      <c r="A839" t="s">
        <v>5465</v>
      </c>
      <c r="C839" t="s">
        <v>11</v>
      </c>
      <c r="D839" t="s">
        <v>5466</v>
      </c>
      <c r="E839" t="s">
        <v>5467</v>
      </c>
      <c r="F839">
        <v>841</v>
      </c>
      <c r="G839">
        <v>60</v>
      </c>
      <c r="H839">
        <v>20</v>
      </c>
      <c r="I839">
        <v>7</v>
      </c>
      <c r="K839">
        <v>3</v>
      </c>
      <c r="L839">
        <v>4</v>
      </c>
      <c r="M839">
        <v>1</v>
      </c>
      <c r="P839">
        <v>5</v>
      </c>
      <c r="AF839">
        <v>8.7488799999999998</v>
      </c>
      <c r="AI839" t="s">
        <v>0</v>
      </c>
      <c r="AJ839" t="s">
        <v>1358</v>
      </c>
      <c r="AK839" t="s">
        <v>5353</v>
      </c>
      <c r="AL839" t="s">
        <v>5401</v>
      </c>
      <c r="AM839" t="s">
        <v>11</v>
      </c>
      <c r="AN839" t="s">
        <v>5217</v>
      </c>
      <c r="AO839" t="s">
        <v>11</v>
      </c>
      <c r="AP839" t="s">
        <v>11</v>
      </c>
      <c r="AQ839" t="s">
        <v>5218</v>
      </c>
      <c r="AR839" t="s">
        <v>5468</v>
      </c>
      <c r="AS839" t="s">
        <v>11</v>
      </c>
      <c r="AT839" t="s">
        <v>11</v>
      </c>
      <c r="AU839" t="s">
        <v>11</v>
      </c>
      <c r="AV839" t="s">
        <v>11</v>
      </c>
      <c r="AW839" t="s">
        <v>11</v>
      </c>
      <c r="AX839" t="s">
        <v>11</v>
      </c>
      <c r="AY839" t="s">
        <v>11</v>
      </c>
      <c r="AZ839" t="s">
        <v>11</v>
      </c>
      <c r="BA839" t="s">
        <v>11</v>
      </c>
      <c r="BB839" t="s">
        <v>11</v>
      </c>
      <c r="BC839" t="s">
        <v>11</v>
      </c>
      <c r="BD839" t="s">
        <v>11</v>
      </c>
      <c r="BE839" t="s">
        <v>11</v>
      </c>
      <c r="BF839" t="s">
        <v>11</v>
      </c>
      <c r="BG839" t="s">
        <v>11</v>
      </c>
      <c r="BH839" t="s">
        <v>5469</v>
      </c>
      <c r="BI839" t="s">
        <v>5465</v>
      </c>
      <c r="BJ839" t="s">
        <v>11</v>
      </c>
    </row>
    <row r="840" spans="1:62" x14ac:dyDescent="0.3">
      <c r="A840" t="s">
        <v>5470</v>
      </c>
      <c r="C840" t="s">
        <v>11</v>
      </c>
      <c r="D840" t="s">
        <v>5471</v>
      </c>
      <c r="E840" t="s">
        <v>5472</v>
      </c>
      <c r="F840">
        <v>842</v>
      </c>
      <c r="G840">
        <v>60</v>
      </c>
      <c r="H840">
        <v>20</v>
      </c>
      <c r="I840">
        <v>7</v>
      </c>
      <c r="K840">
        <v>3</v>
      </c>
      <c r="L840">
        <v>4</v>
      </c>
      <c r="M840">
        <v>1</v>
      </c>
      <c r="N840">
        <v>5</v>
      </c>
      <c r="AF840">
        <v>8.6633800000000001</v>
      </c>
      <c r="AI840" t="s">
        <v>0</v>
      </c>
      <c r="AJ840" t="s">
        <v>1358</v>
      </c>
      <c r="AK840" t="s">
        <v>5353</v>
      </c>
      <c r="AL840" t="s">
        <v>5401</v>
      </c>
      <c r="AM840" t="s">
        <v>11</v>
      </c>
      <c r="AN840" t="s">
        <v>5217</v>
      </c>
      <c r="AO840" t="s">
        <v>5473</v>
      </c>
      <c r="AP840" t="s">
        <v>11</v>
      </c>
      <c r="AQ840" t="s">
        <v>5218</v>
      </c>
      <c r="AR840" t="s">
        <v>11</v>
      </c>
      <c r="AS840" t="s">
        <v>11</v>
      </c>
      <c r="AT840" t="s">
        <v>11</v>
      </c>
      <c r="AU840" t="s">
        <v>11</v>
      </c>
      <c r="AV840" t="s">
        <v>11</v>
      </c>
      <c r="AW840" t="s">
        <v>11</v>
      </c>
      <c r="AX840" t="s">
        <v>11</v>
      </c>
      <c r="AY840" t="s">
        <v>11</v>
      </c>
      <c r="AZ840" t="s">
        <v>11</v>
      </c>
      <c r="BA840" t="s">
        <v>11</v>
      </c>
      <c r="BB840" t="s">
        <v>11</v>
      </c>
      <c r="BC840" t="s">
        <v>11</v>
      </c>
      <c r="BD840" t="s">
        <v>11</v>
      </c>
      <c r="BE840" t="s">
        <v>11</v>
      </c>
      <c r="BF840" t="s">
        <v>11</v>
      </c>
      <c r="BG840" t="s">
        <v>11</v>
      </c>
      <c r="BH840" t="s">
        <v>5474</v>
      </c>
      <c r="BI840" t="s">
        <v>5470</v>
      </c>
      <c r="BJ840" t="s">
        <v>11</v>
      </c>
    </row>
    <row r="841" spans="1:62" x14ac:dyDescent="0.3">
      <c r="A841" t="s">
        <v>5475</v>
      </c>
      <c r="C841" t="s">
        <v>5476</v>
      </c>
      <c r="D841" t="s">
        <v>5477</v>
      </c>
      <c r="E841" t="s">
        <v>5478</v>
      </c>
      <c r="F841">
        <v>843</v>
      </c>
      <c r="G841">
        <v>31.5</v>
      </c>
      <c r="H841">
        <v>34.6</v>
      </c>
      <c r="I841">
        <v>4.3</v>
      </c>
      <c r="J841">
        <v>19.5</v>
      </c>
      <c r="L841">
        <v>1</v>
      </c>
      <c r="N841">
        <v>1.9</v>
      </c>
      <c r="P841">
        <v>4.8</v>
      </c>
      <c r="Q841">
        <v>0.7</v>
      </c>
      <c r="W841">
        <v>1.7</v>
      </c>
      <c r="AF841">
        <v>8.2548359999999992</v>
      </c>
      <c r="AI841" t="s">
        <v>0</v>
      </c>
      <c r="AJ841" t="s">
        <v>1057</v>
      </c>
      <c r="AK841" t="s">
        <v>11</v>
      </c>
      <c r="AL841" t="s">
        <v>5479</v>
      </c>
      <c r="AM841" t="s">
        <v>5480</v>
      </c>
      <c r="AN841" t="s">
        <v>11</v>
      </c>
      <c r="AO841" t="s">
        <v>14</v>
      </c>
      <c r="AP841" t="s">
        <v>11</v>
      </c>
      <c r="AQ841" t="s">
        <v>5481</v>
      </c>
      <c r="AR841" t="s">
        <v>2835</v>
      </c>
      <c r="AS841" t="s">
        <v>5482</v>
      </c>
      <c r="AT841" t="s">
        <v>11</v>
      </c>
      <c r="AU841" t="s">
        <v>11</v>
      </c>
      <c r="AV841" t="s">
        <v>11</v>
      </c>
      <c r="AW841" t="s">
        <v>11</v>
      </c>
      <c r="AX841" t="s">
        <v>11</v>
      </c>
      <c r="AY841" t="s">
        <v>5483</v>
      </c>
      <c r="AZ841" t="s">
        <v>11</v>
      </c>
      <c r="BA841" t="s">
        <v>11</v>
      </c>
      <c r="BB841" t="s">
        <v>11</v>
      </c>
      <c r="BC841" t="s">
        <v>11</v>
      </c>
      <c r="BD841" t="s">
        <v>11</v>
      </c>
      <c r="BE841" t="s">
        <v>11</v>
      </c>
      <c r="BF841" t="s">
        <v>11</v>
      </c>
      <c r="BG841" t="s">
        <v>11</v>
      </c>
      <c r="BH841" t="s">
        <v>5484</v>
      </c>
      <c r="BI841" t="s">
        <v>5475</v>
      </c>
      <c r="BJ841" t="s">
        <v>11</v>
      </c>
    </row>
    <row r="842" spans="1:62" x14ac:dyDescent="0.3">
      <c r="A842" t="s">
        <v>5215</v>
      </c>
      <c r="C842" t="s">
        <v>11</v>
      </c>
      <c r="D842" t="s">
        <v>5288</v>
      </c>
      <c r="E842" t="s">
        <v>5485</v>
      </c>
      <c r="F842">
        <v>844</v>
      </c>
      <c r="G842">
        <v>80</v>
      </c>
      <c r="I842">
        <v>7</v>
      </c>
      <c r="K842">
        <v>8</v>
      </c>
      <c r="L842">
        <v>4</v>
      </c>
      <c r="M842">
        <v>1</v>
      </c>
      <c r="AF842">
        <v>9.1957799999999992</v>
      </c>
      <c r="AI842" t="s">
        <v>0</v>
      </c>
      <c r="AJ842" t="s">
        <v>1358</v>
      </c>
      <c r="AK842" t="s">
        <v>5216</v>
      </c>
      <c r="AL842" t="s">
        <v>11</v>
      </c>
      <c r="AM842" t="s">
        <v>11</v>
      </c>
      <c r="AN842" t="s">
        <v>5217</v>
      </c>
      <c r="AO842" t="s">
        <v>11</v>
      </c>
      <c r="AP842" t="s">
        <v>11</v>
      </c>
      <c r="AQ842" t="s">
        <v>5218</v>
      </c>
      <c r="AR842" t="s">
        <v>11</v>
      </c>
      <c r="AS842" t="s">
        <v>11</v>
      </c>
      <c r="AT842" t="s">
        <v>11</v>
      </c>
      <c r="AU842" t="s">
        <v>11</v>
      </c>
      <c r="AV842" t="s">
        <v>11</v>
      </c>
      <c r="AW842" t="s">
        <v>11</v>
      </c>
      <c r="AX842" t="s">
        <v>11</v>
      </c>
      <c r="AY842" t="s">
        <v>11</v>
      </c>
      <c r="AZ842" t="s">
        <v>11</v>
      </c>
      <c r="BA842" t="s">
        <v>11</v>
      </c>
      <c r="BB842" t="s">
        <v>11</v>
      </c>
      <c r="BC842" t="s">
        <v>11</v>
      </c>
      <c r="BD842" t="s">
        <v>11</v>
      </c>
      <c r="BE842" t="s">
        <v>11</v>
      </c>
      <c r="BF842" t="s">
        <v>11</v>
      </c>
      <c r="BG842" t="s">
        <v>11</v>
      </c>
      <c r="BH842" t="s">
        <v>5486</v>
      </c>
      <c r="BI842" t="s">
        <v>5215</v>
      </c>
      <c r="BJ842" t="s">
        <v>11</v>
      </c>
    </row>
    <row r="843" spans="1:62" x14ac:dyDescent="0.3">
      <c r="A843" t="s">
        <v>5487</v>
      </c>
      <c r="C843" t="s">
        <v>11</v>
      </c>
      <c r="D843" t="s">
        <v>3667</v>
      </c>
      <c r="E843" t="s">
        <v>5488</v>
      </c>
      <c r="F843">
        <v>845</v>
      </c>
      <c r="G843">
        <v>51.699999999999996</v>
      </c>
      <c r="H843">
        <v>31</v>
      </c>
      <c r="I843">
        <v>10.1</v>
      </c>
      <c r="M843">
        <v>2.1</v>
      </c>
      <c r="P843">
        <v>5.0999999999999996</v>
      </c>
      <c r="AF843">
        <v>8.5094100000000008</v>
      </c>
      <c r="AI843" t="s">
        <v>0</v>
      </c>
      <c r="AJ843" t="s">
        <v>1246</v>
      </c>
      <c r="AK843" t="s">
        <v>11</v>
      </c>
      <c r="AL843" t="s">
        <v>5224</v>
      </c>
      <c r="AM843" t="s">
        <v>11</v>
      </c>
      <c r="AN843" t="s">
        <v>2355</v>
      </c>
      <c r="AO843" t="s">
        <v>11</v>
      </c>
      <c r="AP843" t="s">
        <v>11</v>
      </c>
      <c r="AQ843" t="s">
        <v>11</v>
      </c>
      <c r="AR843" t="s">
        <v>2204</v>
      </c>
      <c r="AS843" t="s">
        <v>11</v>
      </c>
      <c r="AT843" t="s">
        <v>11</v>
      </c>
      <c r="AU843" t="s">
        <v>11</v>
      </c>
      <c r="AV843" t="s">
        <v>11</v>
      </c>
      <c r="AW843" t="s">
        <v>11</v>
      </c>
      <c r="AX843" t="s">
        <v>11</v>
      </c>
      <c r="AY843" t="s">
        <v>11</v>
      </c>
      <c r="AZ843" t="s">
        <v>11</v>
      </c>
      <c r="BA843" t="s">
        <v>11</v>
      </c>
      <c r="BB843" t="s">
        <v>11</v>
      </c>
      <c r="BC843" t="s">
        <v>11</v>
      </c>
      <c r="BD843" t="s">
        <v>11</v>
      </c>
      <c r="BE843" t="s">
        <v>11</v>
      </c>
      <c r="BF843" t="s">
        <v>11</v>
      </c>
      <c r="BG843" t="s">
        <v>11</v>
      </c>
      <c r="BH843" t="s">
        <v>5489</v>
      </c>
      <c r="BI843" t="s">
        <v>5487</v>
      </c>
      <c r="BJ843" t="s">
        <v>11</v>
      </c>
    </row>
    <row r="844" spans="1:62" x14ac:dyDescent="0.3">
      <c r="A844" t="s">
        <v>5490</v>
      </c>
      <c r="C844" t="s">
        <v>11</v>
      </c>
      <c r="D844" t="s">
        <v>3899</v>
      </c>
      <c r="E844" t="s">
        <v>5491</v>
      </c>
      <c r="F844">
        <v>846</v>
      </c>
      <c r="G844">
        <v>50.4</v>
      </c>
      <c r="H844">
        <v>32</v>
      </c>
      <c r="I844">
        <v>9.9</v>
      </c>
      <c r="L844">
        <v>1.4</v>
      </c>
      <c r="M844">
        <v>1.7</v>
      </c>
      <c r="P844">
        <v>4.5999999999999996</v>
      </c>
      <c r="AF844">
        <v>8.4224879999999995</v>
      </c>
      <c r="AI844" t="s">
        <v>0</v>
      </c>
      <c r="AJ844" t="s">
        <v>575</v>
      </c>
      <c r="AK844" t="s">
        <v>11</v>
      </c>
      <c r="AL844" t="s">
        <v>5354</v>
      </c>
      <c r="AM844" t="s">
        <v>11</v>
      </c>
      <c r="AN844" t="s">
        <v>1515</v>
      </c>
      <c r="AO844" t="s">
        <v>11</v>
      </c>
      <c r="AP844" t="s">
        <v>11</v>
      </c>
      <c r="AQ844" t="s">
        <v>2347</v>
      </c>
      <c r="AR844" t="s">
        <v>2348</v>
      </c>
      <c r="AS844" t="s">
        <v>11</v>
      </c>
      <c r="AT844" t="s">
        <v>11</v>
      </c>
      <c r="AU844" t="s">
        <v>11</v>
      </c>
      <c r="AV844" t="s">
        <v>11</v>
      </c>
      <c r="AW844" t="s">
        <v>11</v>
      </c>
      <c r="AX844" t="s">
        <v>11</v>
      </c>
      <c r="AY844" t="s">
        <v>11</v>
      </c>
      <c r="AZ844" t="s">
        <v>11</v>
      </c>
      <c r="BA844" t="s">
        <v>11</v>
      </c>
      <c r="BB844" t="s">
        <v>11</v>
      </c>
      <c r="BC844" t="s">
        <v>11</v>
      </c>
      <c r="BD844" t="s">
        <v>11</v>
      </c>
      <c r="BE844" t="s">
        <v>11</v>
      </c>
      <c r="BF844" t="s">
        <v>11</v>
      </c>
      <c r="BG844" t="s">
        <v>11</v>
      </c>
      <c r="BH844" t="s">
        <v>5492</v>
      </c>
      <c r="BI844" t="s">
        <v>5490</v>
      </c>
      <c r="BJ844" t="s">
        <v>11</v>
      </c>
    </row>
    <row r="845" spans="1:62" x14ac:dyDescent="0.3">
      <c r="A845" t="s">
        <v>5493</v>
      </c>
      <c r="C845" t="s">
        <v>11</v>
      </c>
      <c r="D845" t="s">
        <v>3231</v>
      </c>
      <c r="E845" t="s">
        <v>5494</v>
      </c>
      <c r="F845">
        <v>847</v>
      </c>
      <c r="G845">
        <v>49.8</v>
      </c>
      <c r="H845">
        <v>30.6</v>
      </c>
      <c r="I845">
        <v>9.1999999999999993</v>
      </c>
      <c r="L845">
        <v>3.2</v>
      </c>
      <c r="M845">
        <v>2.1</v>
      </c>
      <c r="P845">
        <v>5.0999999999999996</v>
      </c>
      <c r="AF845">
        <v>8.4246020000000001</v>
      </c>
      <c r="AI845" t="s">
        <v>0</v>
      </c>
      <c r="AJ845" t="s">
        <v>717</v>
      </c>
      <c r="AK845" t="s">
        <v>11</v>
      </c>
      <c r="AL845" t="s">
        <v>5495</v>
      </c>
      <c r="AM845" t="s">
        <v>11</v>
      </c>
      <c r="AN845" t="s">
        <v>2355</v>
      </c>
      <c r="AO845" t="s">
        <v>11</v>
      </c>
      <c r="AP845" t="s">
        <v>11</v>
      </c>
      <c r="AQ845" t="s">
        <v>5496</v>
      </c>
      <c r="AR845" t="s">
        <v>2204</v>
      </c>
      <c r="AS845" t="s">
        <v>11</v>
      </c>
      <c r="AT845" t="s">
        <v>11</v>
      </c>
      <c r="AU845" t="s">
        <v>11</v>
      </c>
      <c r="AV845" t="s">
        <v>11</v>
      </c>
      <c r="AW845" t="s">
        <v>11</v>
      </c>
      <c r="AX845" t="s">
        <v>11</v>
      </c>
      <c r="AY845" t="s">
        <v>11</v>
      </c>
      <c r="AZ845" t="s">
        <v>11</v>
      </c>
      <c r="BA845" t="s">
        <v>11</v>
      </c>
      <c r="BB845" t="s">
        <v>11</v>
      </c>
      <c r="BC845" t="s">
        <v>11</v>
      </c>
      <c r="BD845" t="s">
        <v>11</v>
      </c>
      <c r="BE845" t="s">
        <v>11</v>
      </c>
      <c r="BF845" t="s">
        <v>11</v>
      </c>
      <c r="BG845" t="s">
        <v>11</v>
      </c>
      <c r="BH845" t="s">
        <v>5497</v>
      </c>
      <c r="BI845" t="s">
        <v>5493</v>
      </c>
      <c r="BJ845" t="s">
        <v>11</v>
      </c>
    </row>
    <row r="846" spans="1:62" x14ac:dyDescent="0.3">
      <c r="A846" t="s">
        <v>5498</v>
      </c>
      <c r="C846" t="s">
        <v>11</v>
      </c>
      <c r="D846" t="s">
        <v>3893</v>
      </c>
      <c r="E846" t="s">
        <v>5499</v>
      </c>
      <c r="F846">
        <v>848</v>
      </c>
      <c r="G846">
        <v>49.1</v>
      </c>
      <c r="H846">
        <v>30.5</v>
      </c>
      <c r="I846">
        <v>9.3000000000000007</v>
      </c>
      <c r="L846">
        <v>3.9</v>
      </c>
      <c r="M846">
        <v>2.2000000000000002</v>
      </c>
      <c r="P846">
        <v>5</v>
      </c>
      <c r="AF846">
        <v>8.3940129999999993</v>
      </c>
      <c r="AI846" t="s">
        <v>0</v>
      </c>
      <c r="AJ846" t="s">
        <v>2192</v>
      </c>
      <c r="AK846" t="s">
        <v>11</v>
      </c>
      <c r="AL846" t="s">
        <v>1469</v>
      </c>
      <c r="AM846" t="s">
        <v>11</v>
      </c>
      <c r="AN846" t="s">
        <v>367</v>
      </c>
      <c r="AO846" t="s">
        <v>11</v>
      </c>
      <c r="AP846" t="s">
        <v>11</v>
      </c>
      <c r="AQ846" t="s">
        <v>2556</v>
      </c>
      <c r="AR846" t="s">
        <v>5468</v>
      </c>
      <c r="AS846" t="s">
        <v>11</v>
      </c>
      <c r="AT846" t="s">
        <v>11</v>
      </c>
      <c r="AU846" t="s">
        <v>11</v>
      </c>
      <c r="AV846" t="s">
        <v>11</v>
      </c>
      <c r="AW846" t="s">
        <v>11</v>
      </c>
      <c r="AX846" t="s">
        <v>11</v>
      </c>
      <c r="AY846" t="s">
        <v>11</v>
      </c>
      <c r="AZ846" t="s">
        <v>11</v>
      </c>
      <c r="BA846" t="s">
        <v>11</v>
      </c>
      <c r="BB846" t="s">
        <v>11</v>
      </c>
      <c r="BC846" t="s">
        <v>11</v>
      </c>
      <c r="BD846" t="s">
        <v>11</v>
      </c>
      <c r="BE846" t="s">
        <v>11</v>
      </c>
      <c r="BF846" t="s">
        <v>11</v>
      </c>
      <c r="BG846" t="s">
        <v>11</v>
      </c>
      <c r="BH846" t="s">
        <v>5500</v>
      </c>
      <c r="BI846" t="s">
        <v>5498</v>
      </c>
      <c r="BJ846" t="s">
        <v>11</v>
      </c>
    </row>
    <row r="847" spans="1:62" x14ac:dyDescent="0.3">
      <c r="A847" t="s">
        <v>5501</v>
      </c>
      <c r="C847" t="s">
        <v>11</v>
      </c>
      <c r="D847" t="s">
        <v>3473</v>
      </c>
      <c r="E847" t="s">
        <v>5502</v>
      </c>
      <c r="F847">
        <v>849</v>
      </c>
      <c r="G847">
        <v>39.394000000000005</v>
      </c>
      <c r="H847">
        <v>36.799999999999997</v>
      </c>
      <c r="I847">
        <v>13.3</v>
      </c>
      <c r="J847">
        <v>5.8</v>
      </c>
      <c r="K847">
        <v>1</v>
      </c>
      <c r="M847">
        <v>3.5</v>
      </c>
      <c r="Q847">
        <v>0.06</v>
      </c>
      <c r="S847">
        <v>0.08</v>
      </c>
      <c r="X847">
        <v>0.04</v>
      </c>
      <c r="Y847">
        <v>2.5999999999999999E-2</v>
      </c>
      <c r="AF847">
        <v>8.3441534000000015</v>
      </c>
      <c r="AI847" t="s">
        <v>0</v>
      </c>
      <c r="AJ847" t="s">
        <v>1433</v>
      </c>
      <c r="AK847" t="s">
        <v>5503</v>
      </c>
      <c r="AL847" t="s">
        <v>1127</v>
      </c>
      <c r="AM847" t="s">
        <v>3474</v>
      </c>
      <c r="AN847" t="s">
        <v>492</v>
      </c>
      <c r="AO847" t="s">
        <v>11</v>
      </c>
      <c r="AP847" t="s">
        <v>11</v>
      </c>
      <c r="AQ847" t="s">
        <v>11</v>
      </c>
      <c r="AR847" t="s">
        <v>11</v>
      </c>
      <c r="AS847" t="s">
        <v>1286</v>
      </c>
      <c r="AT847" t="s">
        <v>11</v>
      </c>
      <c r="AU847" t="s">
        <v>352</v>
      </c>
      <c r="AV847" t="s">
        <v>11</v>
      </c>
      <c r="AW847" t="s">
        <v>11</v>
      </c>
      <c r="AX847" t="s">
        <v>11</v>
      </c>
      <c r="AY847" t="s">
        <v>11</v>
      </c>
      <c r="AZ847" t="s">
        <v>5504</v>
      </c>
      <c r="BA847" t="s">
        <v>5505</v>
      </c>
      <c r="BB847" t="s">
        <v>11</v>
      </c>
      <c r="BC847" t="s">
        <v>11</v>
      </c>
      <c r="BD847" t="s">
        <v>11</v>
      </c>
      <c r="BE847" t="s">
        <v>11</v>
      </c>
      <c r="BF847" t="s">
        <v>11</v>
      </c>
      <c r="BG847" t="s">
        <v>11</v>
      </c>
      <c r="BH847" t="s">
        <v>5506</v>
      </c>
      <c r="BI847" t="s">
        <v>5501</v>
      </c>
      <c r="BJ847" t="s">
        <v>11</v>
      </c>
    </row>
    <row r="848" spans="1:62" x14ac:dyDescent="0.3">
      <c r="A848" t="s">
        <v>5507</v>
      </c>
      <c r="C848" t="s">
        <v>11</v>
      </c>
      <c r="D848" t="s">
        <v>5508</v>
      </c>
      <c r="E848" t="s">
        <v>5509</v>
      </c>
      <c r="F848">
        <v>850</v>
      </c>
      <c r="G848">
        <v>77.289999999999992</v>
      </c>
      <c r="I848">
        <v>1.77</v>
      </c>
      <c r="K848">
        <v>3.1</v>
      </c>
      <c r="L848">
        <v>17.84</v>
      </c>
      <c r="AF848">
        <v>8.3273987999999992</v>
      </c>
      <c r="AI848" t="s">
        <v>0</v>
      </c>
      <c r="AJ848" t="s">
        <v>5510</v>
      </c>
      <c r="AK848" t="s">
        <v>1583</v>
      </c>
      <c r="AL848" t="s">
        <v>11</v>
      </c>
      <c r="AM848" t="s">
        <v>11</v>
      </c>
      <c r="AN848" t="s">
        <v>11</v>
      </c>
      <c r="AO848" t="s">
        <v>11</v>
      </c>
      <c r="AP848" t="s">
        <v>11</v>
      </c>
      <c r="AQ848" t="s">
        <v>5511</v>
      </c>
      <c r="AR848" t="s">
        <v>11</v>
      </c>
      <c r="AS848" t="s">
        <v>11</v>
      </c>
      <c r="AT848" t="s">
        <v>11</v>
      </c>
      <c r="AU848" t="s">
        <v>11</v>
      </c>
      <c r="AV848" t="s">
        <v>11</v>
      </c>
      <c r="AW848" t="s">
        <v>11</v>
      </c>
      <c r="AX848" t="s">
        <v>11</v>
      </c>
      <c r="AY848" t="s">
        <v>11</v>
      </c>
      <c r="AZ848" t="s">
        <v>11</v>
      </c>
      <c r="BA848" t="s">
        <v>11</v>
      </c>
      <c r="BB848" t="s">
        <v>11</v>
      </c>
      <c r="BC848" t="s">
        <v>11</v>
      </c>
      <c r="BD848" t="s">
        <v>11</v>
      </c>
      <c r="BE848" t="s">
        <v>11</v>
      </c>
      <c r="BF848" t="s">
        <v>11</v>
      </c>
      <c r="BG848" t="s">
        <v>11</v>
      </c>
      <c r="BH848" t="s">
        <v>5512</v>
      </c>
      <c r="BI848" t="s">
        <v>5507</v>
      </c>
      <c r="BJ848" t="s">
        <v>11</v>
      </c>
    </row>
    <row r="849" spans="1:62" x14ac:dyDescent="0.3">
      <c r="A849" t="s">
        <v>5513</v>
      </c>
      <c r="C849" t="s">
        <v>11</v>
      </c>
      <c r="D849" t="s">
        <v>5514</v>
      </c>
      <c r="E849" t="s">
        <v>5515</v>
      </c>
      <c r="F849">
        <v>851</v>
      </c>
      <c r="G849">
        <v>77.17</v>
      </c>
      <c r="I849">
        <v>0.92</v>
      </c>
      <c r="K849">
        <v>1.18</v>
      </c>
      <c r="L849">
        <v>20.73</v>
      </c>
      <c r="AF849">
        <v>8.0544211000000008</v>
      </c>
      <c r="AI849" t="s">
        <v>0</v>
      </c>
      <c r="AJ849" t="s">
        <v>5516</v>
      </c>
      <c r="AK849" t="s">
        <v>5517</v>
      </c>
      <c r="AL849" t="s">
        <v>11</v>
      </c>
      <c r="AM849" t="s">
        <v>11</v>
      </c>
      <c r="AN849" t="s">
        <v>11</v>
      </c>
      <c r="AO849" t="s">
        <v>11</v>
      </c>
      <c r="AP849" t="s">
        <v>11</v>
      </c>
      <c r="AQ849" t="s">
        <v>5518</v>
      </c>
      <c r="AR849" t="s">
        <v>11</v>
      </c>
      <c r="AS849" t="s">
        <v>11</v>
      </c>
      <c r="AT849" t="s">
        <v>11</v>
      </c>
      <c r="AU849" t="s">
        <v>11</v>
      </c>
      <c r="AV849" t="s">
        <v>11</v>
      </c>
      <c r="AW849" t="s">
        <v>11</v>
      </c>
      <c r="AX849" t="s">
        <v>11</v>
      </c>
      <c r="AY849" t="s">
        <v>11</v>
      </c>
      <c r="AZ849" t="s">
        <v>11</v>
      </c>
      <c r="BA849" t="s">
        <v>11</v>
      </c>
      <c r="BB849" t="s">
        <v>11</v>
      </c>
      <c r="BC849" t="s">
        <v>11</v>
      </c>
      <c r="BD849" t="s">
        <v>11</v>
      </c>
      <c r="BE849" t="s">
        <v>11</v>
      </c>
      <c r="BF849" t="s">
        <v>11</v>
      </c>
      <c r="BG849" t="s">
        <v>11</v>
      </c>
      <c r="BH849" t="s">
        <v>5519</v>
      </c>
      <c r="BI849" t="s">
        <v>5513</v>
      </c>
      <c r="BJ849" t="s">
        <v>11</v>
      </c>
    </row>
    <row r="850" spans="1:62" x14ac:dyDescent="0.3">
      <c r="A850" t="s">
        <v>5520</v>
      </c>
      <c r="D850" t="s">
        <v>5521</v>
      </c>
      <c r="E850" t="s">
        <v>5522</v>
      </c>
      <c r="F850">
        <v>852</v>
      </c>
      <c r="G850">
        <v>51.8</v>
      </c>
      <c r="H850">
        <v>31</v>
      </c>
      <c r="I850">
        <v>9.6999999999999993</v>
      </c>
      <c r="N850">
        <v>2.2999999999999998</v>
      </c>
      <c r="P850">
        <v>5.2</v>
      </c>
      <c r="AF850">
        <v>8.3652499999999996</v>
      </c>
      <c r="AI850" t="s">
        <v>0</v>
      </c>
      <c r="AJ850" t="s">
        <v>1310</v>
      </c>
      <c r="AK850" t="s">
        <v>11</v>
      </c>
      <c r="AL850" t="s">
        <v>5224</v>
      </c>
      <c r="AM850" t="s">
        <v>11</v>
      </c>
      <c r="AN850" t="s">
        <v>11</v>
      </c>
      <c r="AO850" t="s">
        <v>2393</v>
      </c>
      <c r="AP850" t="s">
        <v>11</v>
      </c>
      <c r="AQ850" t="s">
        <v>11</v>
      </c>
      <c r="AR850" t="s">
        <v>2379</v>
      </c>
      <c r="AS850" t="s">
        <v>11</v>
      </c>
      <c r="AT850" t="s">
        <v>11</v>
      </c>
      <c r="AU850" t="s">
        <v>11</v>
      </c>
      <c r="AV850" t="s">
        <v>11</v>
      </c>
      <c r="AW850" t="s">
        <v>11</v>
      </c>
      <c r="AX850" t="s">
        <v>11</v>
      </c>
      <c r="AY850" t="s">
        <v>11</v>
      </c>
      <c r="AZ850" t="s">
        <v>11</v>
      </c>
      <c r="BA850" t="s">
        <v>11</v>
      </c>
      <c r="BB850" t="s">
        <v>11</v>
      </c>
      <c r="BC850" t="s">
        <v>11</v>
      </c>
      <c r="BD850" t="s">
        <v>11</v>
      </c>
      <c r="BE850" t="s">
        <v>11</v>
      </c>
      <c r="BF850" t="s">
        <v>11</v>
      </c>
      <c r="BG850" t="s">
        <v>11</v>
      </c>
      <c r="BH850" t="s">
        <v>5523</v>
      </c>
      <c r="BI850" t="s">
        <v>5520</v>
      </c>
      <c r="BJ850" t="s">
        <v>11</v>
      </c>
    </row>
    <row r="851" spans="1:62" x14ac:dyDescent="0.3">
      <c r="A851" t="s">
        <v>5524</v>
      </c>
      <c r="C851" t="s">
        <v>5525</v>
      </c>
      <c r="D851" t="s">
        <v>5526</v>
      </c>
      <c r="E851" t="s">
        <v>5527</v>
      </c>
      <c r="F851">
        <v>853</v>
      </c>
      <c r="G851">
        <v>52.1</v>
      </c>
      <c r="H851">
        <v>30.5</v>
      </c>
      <c r="I851">
        <v>9.5</v>
      </c>
      <c r="L851">
        <v>1</v>
      </c>
      <c r="N851">
        <v>2</v>
      </c>
      <c r="P851">
        <v>4.9000000000000004</v>
      </c>
      <c r="AF851">
        <v>8.3305299999999995</v>
      </c>
      <c r="AI851" t="s">
        <v>0</v>
      </c>
      <c r="AJ851" t="s">
        <v>315</v>
      </c>
      <c r="AK851" t="s">
        <v>11</v>
      </c>
      <c r="AL851" t="s">
        <v>1469</v>
      </c>
      <c r="AM851" t="s">
        <v>11</v>
      </c>
      <c r="AN851" t="s">
        <v>11</v>
      </c>
      <c r="AO851" t="s">
        <v>5528</v>
      </c>
      <c r="AP851" t="s">
        <v>11</v>
      </c>
      <c r="AQ851" t="s">
        <v>5481</v>
      </c>
      <c r="AR851" t="s">
        <v>2820</v>
      </c>
      <c r="AS851" t="s">
        <v>11</v>
      </c>
      <c r="AT851" t="s">
        <v>11</v>
      </c>
      <c r="AU851" t="s">
        <v>11</v>
      </c>
      <c r="AV851" t="s">
        <v>11</v>
      </c>
      <c r="AW851" t="s">
        <v>11</v>
      </c>
      <c r="AX851" t="s">
        <v>11</v>
      </c>
      <c r="AY851" t="s">
        <v>11</v>
      </c>
      <c r="AZ851" t="s">
        <v>11</v>
      </c>
      <c r="BA851" t="s">
        <v>11</v>
      </c>
      <c r="BB851" t="s">
        <v>11</v>
      </c>
      <c r="BC851" t="s">
        <v>11</v>
      </c>
      <c r="BD851" t="s">
        <v>11</v>
      </c>
      <c r="BE851" t="s">
        <v>11</v>
      </c>
      <c r="BF851" t="s">
        <v>11</v>
      </c>
      <c r="BG851" t="s">
        <v>11</v>
      </c>
      <c r="BH851" t="s">
        <v>5529</v>
      </c>
      <c r="BI851" t="s">
        <v>5524</v>
      </c>
      <c r="BJ851" t="s">
        <v>11</v>
      </c>
    </row>
    <row r="852" spans="1:62" x14ac:dyDescent="0.3">
      <c r="A852" t="s">
        <v>5530</v>
      </c>
      <c r="C852" t="s">
        <v>5525</v>
      </c>
      <c r="D852" t="s">
        <v>5531</v>
      </c>
      <c r="E852" t="s">
        <v>5532</v>
      </c>
      <c r="F852">
        <v>854</v>
      </c>
      <c r="G852">
        <v>50.899999999999991</v>
      </c>
      <c r="H852">
        <v>30.6</v>
      </c>
      <c r="I852">
        <v>9.3000000000000007</v>
      </c>
      <c r="L852">
        <v>1.9</v>
      </c>
      <c r="N852">
        <v>2.1</v>
      </c>
      <c r="P852">
        <v>5.2</v>
      </c>
      <c r="AF852">
        <v>8.3072110000000006</v>
      </c>
      <c r="AI852" t="s">
        <v>0</v>
      </c>
      <c r="AJ852" t="s">
        <v>2192</v>
      </c>
      <c r="AK852" t="s">
        <v>11</v>
      </c>
      <c r="AL852" t="s">
        <v>5495</v>
      </c>
      <c r="AM852" t="s">
        <v>11</v>
      </c>
      <c r="AN852" t="s">
        <v>11</v>
      </c>
      <c r="AO852" t="s">
        <v>2370</v>
      </c>
      <c r="AP852" t="s">
        <v>11</v>
      </c>
      <c r="AQ852" t="s">
        <v>1249</v>
      </c>
      <c r="AR852" t="s">
        <v>2379</v>
      </c>
      <c r="AS852" t="s">
        <v>11</v>
      </c>
      <c r="AT852" t="s">
        <v>11</v>
      </c>
      <c r="AU852" t="s">
        <v>11</v>
      </c>
      <c r="AV852" t="s">
        <v>11</v>
      </c>
      <c r="AW852" t="s">
        <v>11</v>
      </c>
      <c r="AX852" t="s">
        <v>11</v>
      </c>
      <c r="AY852" t="s">
        <v>11</v>
      </c>
      <c r="AZ852" t="s">
        <v>11</v>
      </c>
      <c r="BA852" t="s">
        <v>11</v>
      </c>
      <c r="BB852" t="s">
        <v>11</v>
      </c>
      <c r="BC852" t="s">
        <v>11</v>
      </c>
      <c r="BD852" t="s">
        <v>11</v>
      </c>
      <c r="BE852" t="s">
        <v>11</v>
      </c>
      <c r="BF852" t="s">
        <v>11</v>
      </c>
      <c r="BG852" t="s">
        <v>11</v>
      </c>
      <c r="BH852" t="s">
        <v>5533</v>
      </c>
      <c r="BI852" t="s">
        <v>5530</v>
      </c>
      <c r="BJ852" t="s">
        <v>11</v>
      </c>
    </row>
    <row r="853" spans="1:62" x14ac:dyDescent="0.3">
      <c r="A853" t="s">
        <v>5534</v>
      </c>
      <c r="C853" t="s">
        <v>5525</v>
      </c>
      <c r="D853" t="s">
        <v>5535</v>
      </c>
      <c r="E853" t="s">
        <v>5536</v>
      </c>
      <c r="F853">
        <v>855</v>
      </c>
      <c r="G853">
        <v>50</v>
      </c>
      <c r="H853">
        <v>30.7</v>
      </c>
      <c r="I853">
        <v>9.5</v>
      </c>
      <c r="L853">
        <v>3</v>
      </c>
      <c r="N853">
        <v>1.9</v>
      </c>
      <c r="P853">
        <v>4.9000000000000004</v>
      </c>
      <c r="AF853">
        <v>8.243015999999999</v>
      </c>
      <c r="AI853" t="s">
        <v>0</v>
      </c>
      <c r="AJ853" t="s">
        <v>315</v>
      </c>
      <c r="AK853" t="s">
        <v>11</v>
      </c>
      <c r="AL853" t="s">
        <v>2544</v>
      </c>
      <c r="AM853" t="s">
        <v>11</v>
      </c>
      <c r="AN853" t="s">
        <v>11</v>
      </c>
      <c r="AO853" t="s">
        <v>14</v>
      </c>
      <c r="AP853" t="s">
        <v>11</v>
      </c>
      <c r="AQ853" t="s">
        <v>5537</v>
      </c>
      <c r="AR853" t="s">
        <v>2820</v>
      </c>
      <c r="AS853" t="s">
        <v>11</v>
      </c>
      <c r="AT853" t="s">
        <v>11</v>
      </c>
      <c r="AU853" t="s">
        <v>11</v>
      </c>
      <c r="AV853" t="s">
        <v>11</v>
      </c>
      <c r="AW853" t="s">
        <v>11</v>
      </c>
      <c r="AX853" t="s">
        <v>11</v>
      </c>
      <c r="AY853" t="s">
        <v>11</v>
      </c>
      <c r="AZ853" t="s">
        <v>11</v>
      </c>
      <c r="BA853" t="s">
        <v>11</v>
      </c>
      <c r="BB853" t="s">
        <v>11</v>
      </c>
      <c r="BC853" t="s">
        <v>11</v>
      </c>
      <c r="BD853" t="s">
        <v>11</v>
      </c>
      <c r="BE853" t="s">
        <v>11</v>
      </c>
      <c r="BF853" t="s">
        <v>11</v>
      </c>
      <c r="BG853" t="s">
        <v>11</v>
      </c>
      <c r="BH853" t="s">
        <v>5538</v>
      </c>
      <c r="BI853" t="s">
        <v>5534</v>
      </c>
      <c r="BJ853" t="s">
        <v>11</v>
      </c>
    </row>
    <row r="854" spans="1:62" x14ac:dyDescent="0.3">
      <c r="A854" t="s">
        <v>5539</v>
      </c>
      <c r="C854" t="s">
        <v>5525</v>
      </c>
      <c r="D854" t="s">
        <v>5540</v>
      </c>
      <c r="E854" t="s">
        <v>5541</v>
      </c>
      <c r="F854">
        <v>856</v>
      </c>
      <c r="G854">
        <v>49.9</v>
      </c>
      <c r="H854">
        <v>30.3</v>
      </c>
      <c r="I854">
        <v>9.4</v>
      </c>
      <c r="L854">
        <v>3.9</v>
      </c>
      <c r="N854">
        <v>1.8</v>
      </c>
      <c r="P854">
        <v>4.7</v>
      </c>
      <c r="AF854">
        <v>8.207217</v>
      </c>
      <c r="AI854" t="s">
        <v>0</v>
      </c>
      <c r="AJ854" t="s">
        <v>108</v>
      </c>
      <c r="AK854" t="s">
        <v>11</v>
      </c>
      <c r="AL854" t="s">
        <v>5542</v>
      </c>
      <c r="AM854" t="s">
        <v>11</v>
      </c>
      <c r="AN854" t="s">
        <v>11</v>
      </c>
      <c r="AO854" t="s">
        <v>110</v>
      </c>
      <c r="AP854" t="s">
        <v>11</v>
      </c>
      <c r="AQ854" t="s">
        <v>2556</v>
      </c>
      <c r="AR854" t="s">
        <v>5543</v>
      </c>
      <c r="AS854" t="s">
        <v>11</v>
      </c>
      <c r="AT854" t="s">
        <v>11</v>
      </c>
      <c r="AU854" t="s">
        <v>11</v>
      </c>
      <c r="AV854" t="s">
        <v>11</v>
      </c>
      <c r="AW854" t="s">
        <v>11</v>
      </c>
      <c r="AX854" t="s">
        <v>11</v>
      </c>
      <c r="AY854" t="s">
        <v>11</v>
      </c>
      <c r="AZ854" t="s">
        <v>11</v>
      </c>
      <c r="BA854" t="s">
        <v>11</v>
      </c>
      <c r="BB854" t="s">
        <v>11</v>
      </c>
      <c r="BC854" t="s">
        <v>11</v>
      </c>
      <c r="BD854" t="s">
        <v>11</v>
      </c>
      <c r="BE854" t="s">
        <v>11</v>
      </c>
      <c r="BF854" t="s">
        <v>11</v>
      </c>
      <c r="BG854" t="s">
        <v>11</v>
      </c>
      <c r="BH854" t="s">
        <v>5544</v>
      </c>
      <c r="BI854" t="s">
        <v>5539</v>
      </c>
      <c r="BJ854" t="s">
        <v>11</v>
      </c>
    </row>
    <row r="855" spans="1:62" x14ac:dyDescent="0.3">
      <c r="A855" t="s">
        <v>5545</v>
      </c>
      <c r="C855" t="s">
        <v>11</v>
      </c>
      <c r="D855" t="s">
        <v>5546</v>
      </c>
      <c r="E855" t="s">
        <v>5547</v>
      </c>
      <c r="F855">
        <v>857</v>
      </c>
      <c r="G855">
        <v>53.699999999999996</v>
      </c>
      <c r="H855">
        <v>29.4</v>
      </c>
      <c r="I855">
        <v>9.5</v>
      </c>
      <c r="J855">
        <v>5.2</v>
      </c>
      <c r="N855">
        <v>2.2000000000000002</v>
      </c>
      <c r="AF855">
        <v>8.2171719999999997</v>
      </c>
      <c r="AI855" t="s">
        <v>0</v>
      </c>
      <c r="AJ855" t="s">
        <v>315</v>
      </c>
      <c r="AK855" t="s">
        <v>11</v>
      </c>
      <c r="AL855" t="s">
        <v>2114</v>
      </c>
      <c r="AM855" t="s">
        <v>5548</v>
      </c>
      <c r="AN855" t="s">
        <v>11</v>
      </c>
      <c r="AO855" t="s">
        <v>2219</v>
      </c>
      <c r="AP855" t="s">
        <v>11</v>
      </c>
      <c r="AQ855" t="s">
        <v>11</v>
      </c>
      <c r="AR855" t="s">
        <v>11</v>
      </c>
      <c r="AS855" t="s">
        <v>11</v>
      </c>
      <c r="AT855" t="s">
        <v>11</v>
      </c>
      <c r="AU855" t="s">
        <v>11</v>
      </c>
      <c r="AV855" t="s">
        <v>11</v>
      </c>
      <c r="AW855" t="s">
        <v>11</v>
      </c>
      <c r="AX855" t="s">
        <v>11</v>
      </c>
      <c r="AY855" t="s">
        <v>11</v>
      </c>
      <c r="AZ855" t="s">
        <v>11</v>
      </c>
      <c r="BA855" t="s">
        <v>11</v>
      </c>
      <c r="BB855" t="s">
        <v>11</v>
      </c>
      <c r="BC855" t="s">
        <v>11</v>
      </c>
      <c r="BD855" t="s">
        <v>11</v>
      </c>
      <c r="BE855" t="s">
        <v>11</v>
      </c>
      <c r="BF855" t="s">
        <v>11</v>
      </c>
      <c r="BG855" t="s">
        <v>11</v>
      </c>
      <c r="BH855" t="s">
        <v>5549</v>
      </c>
      <c r="BI855" t="s">
        <v>5545</v>
      </c>
      <c r="BJ855" t="s">
        <v>11</v>
      </c>
    </row>
    <row r="856" spans="1:62" x14ac:dyDescent="0.3">
      <c r="A856" t="s">
        <v>5550</v>
      </c>
      <c r="C856" t="s">
        <v>11</v>
      </c>
      <c r="D856" t="s">
        <v>5551</v>
      </c>
      <c r="E856" t="s">
        <v>5552</v>
      </c>
      <c r="F856">
        <v>858</v>
      </c>
      <c r="G856">
        <v>51.2</v>
      </c>
      <c r="H856">
        <v>29.8</v>
      </c>
      <c r="I856">
        <v>9.5</v>
      </c>
      <c r="J856">
        <v>5.5</v>
      </c>
      <c r="L856">
        <v>2.1</v>
      </c>
      <c r="N856">
        <v>1.9</v>
      </c>
      <c r="AF856">
        <v>8.1208109999999998</v>
      </c>
      <c r="AI856" t="s">
        <v>0</v>
      </c>
      <c r="AJ856" t="s">
        <v>315</v>
      </c>
      <c r="AK856" t="s">
        <v>11</v>
      </c>
      <c r="AL856" t="s">
        <v>5553</v>
      </c>
      <c r="AM856" t="s">
        <v>3467</v>
      </c>
      <c r="AN856" t="s">
        <v>11</v>
      </c>
      <c r="AO856" t="s">
        <v>14</v>
      </c>
      <c r="AP856" t="s">
        <v>11</v>
      </c>
      <c r="AQ856" t="s">
        <v>422</v>
      </c>
      <c r="AR856" t="s">
        <v>11</v>
      </c>
      <c r="AS856" t="s">
        <v>11</v>
      </c>
      <c r="AT856" t="s">
        <v>11</v>
      </c>
      <c r="AU856" t="s">
        <v>11</v>
      </c>
      <c r="AV856" t="s">
        <v>11</v>
      </c>
      <c r="AW856" t="s">
        <v>11</v>
      </c>
      <c r="AX856" t="s">
        <v>11</v>
      </c>
      <c r="AY856" t="s">
        <v>11</v>
      </c>
      <c r="AZ856" t="s">
        <v>11</v>
      </c>
      <c r="BA856" t="s">
        <v>11</v>
      </c>
      <c r="BB856" t="s">
        <v>11</v>
      </c>
      <c r="BC856" t="s">
        <v>11</v>
      </c>
      <c r="BD856" t="s">
        <v>11</v>
      </c>
      <c r="BE856" t="s">
        <v>11</v>
      </c>
      <c r="BF856" t="s">
        <v>11</v>
      </c>
      <c r="BG856" t="s">
        <v>11</v>
      </c>
      <c r="BH856" t="s">
        <v>5554</v>
      </c>
      <c r="BI856" t="s">
        <v>5550</v>
      </c>
      <c r="BJ856" t="s">
        <v>11</v>
      </c>
    </row>
    <row r="857" spans="1:62" x14ac:dyDescent="0.3">
      <c r="A857" t="s">
        <v>5555</v>
      </c>
      <c r="C857" t="s">
        <v>11</v>
      </c>
      <c r="D857" t="s">
        <v>5556</v>
      </c>
      <c r="E857" t="s">
        <v>5557</v>
      </c>
      <c r="F857">
        <v>859</v>
      </c>
      <c r="G857">
        <v>47.7</v>
      </c>
      <c r="H857">
        <v>30.3</v>
      </c>
      <c r="I857">
        <v>9.5</v>
      </c>
      <c r="J857">
        <v>8.5</v>
      </c>
      <c r="L857">
        <v>2</v>
      </c>
      <c r="N857">
        <v>2</v>
      </c>
      <c r="AF857">
        <v>8.0736139999999992</v>
      </c>
      <c r="AI857" t="s">
        <v>0</v>
      </c>
      <c r="AJ857" t="s">
        <v>315</v>
      </c>
      <c r="AK857" t="s">
        <v>11</v>
      </c>
      <c r="AL857" t="s">
        <v>5542</v>
      </c>
      <c r="AM857" t="s">
        <v>5558</v>
      </c>
      <c r="AN857" t="s">
        <v>11</v>
      </c>
      <c r="AO857" t="s">
        <v>5528</v>
      </c>
      <c r="AP857" t="s">
        <v>11</v>
      </c>
      <c r="AQ857" t="s">
        <v>5559</v>
      </c>
      <c r="AR857" t="s">
        <v>11</v>
      </c>
      <c r="AS857" t="s">
        <v>11</v>
      </c>
      <c r="AT857" t="s">
        <v>11</v>
      </c>
      <c r="AU857" t="s">
        <v>11</v>
      </c>
      <c r="AV857" t="s">
        <v>11</v>
      </c>
      <c r="AW857" t="s">
        <v>11</v>
      </c>
      <c r="AX857" t="s">
        <v>11</v>
      </c>
      <c r="AY857" t="s">
        <v>11</v>
      </c>
      <c r="AZ857" t="s">
        <v>11</v>
      </c>
      <c r="BA857" t="s">
        <v>11</v>
      </c>
      <c r="BB857" t="s">
        <v>11</v>
      </c>
      <c r="BC857" t="s">
        <v>11</v>
      </c>
      <c r="BD857" t="s">
        <v>11</v>
      </c>
      <c r="BE857" t="s">
        <v>11</v>
      </c>
      <c r="BF857" t="s">
        <v>11</v>
      </c>
      <c r="BG857" t="s">
        <v>11</v>
      </c>
      <c r="BH857" t="s">
        <v>5560</v>
      </c>
      <c r="BI857" t="s">
        <v>5555</v>
      </c>
      <c r="BJ857" t="s">
        <v>11</v>
      </c>
    </row>
    <row r="858" spans="1:62" x14ac:dyDescent="0.3">
      <c r="A858" t="s">
        <v>5561</v>
      </c>
      <c r="C858" t="s">
        <v>11</v>
      </c>
      <c r="D858" t="s">
        <v>5562</v>
      </c>
      <c r="E858" t="s">
        <v>5563</v>
      </c>
      <c r="F858">
        <v>860</v>
      </c>
      <c r="G858">
        <v>44.1</v>
      </c>
      <c r="H858">
        <v>29.9</v>
      </c>
      <c r="I858">
        <v>10</v>
      </c>
      <c r="J858">
        <v>11.9</v>
      </c>
      <c r="L858">
        <v>2.2000000000000002</v>
      </c>
      <c r="N858">
        <v>1.9</v>
      </c>
      <c r="AF858">
        <v>7.9759860000000007</v>
      </c>
      <c r="AI858" t="s">
        <v>0</v>
      </c>
      <c r="AJ858" t="s">
        <v>22</v>
      </c>
      <c r="AK858" t="s">
        <v>11</v>
      </c>
      <c r="AL858" t="s">
        <v>1584</v>
      </c>
      <c r="AM858" t="s">
        <v>4403</v>
      </c>
      <c r="AN858" t="s">
        <v>11</v>
      </c>
      <c r="AO858" t="s">
        <v>14</v>
      </c>
      <c r="AP858" t="s">
        <v>11</v>
      </c>
      <c r="AQ858" t="s">
        <v>120</v>
      </c>
      <c r="AR858" t="s">
        <v>11</v>
      </c>
      <c r="AS858" t="s">
        <v>11</v>
      </c>
      <c r="AT858" t="s">
        <v>11</v>
      </c>
      <c r="AU858" t="s">
        <v>11</v>
      </c>
      <c r="AV858" t="s">
        <v>11</v>
      </c>
      <c r="AW858" t="s">
        <v>11</v>
      </c>
      <c r="AX858" t="s">
        <v>11</v>
      </c>
      <c r="AY858" t="s">
        <v>11</v>
      </c>
      <c r="AZ858" t="s">
        <v>11</v>
      </c>
      <c r="BA858" t="s">
        <v>11</v>
      </c>
      <c r="BB858" t="s">
        <v>11</v>
      </c>
      <c r="BC858" t="s">
        <v>11</v>
      </c>
      <c r="BD858" t="s">
        <v>11</v>
      </c>
      <c r="BE858" t="s">
        <v>11</v>
      </c>
      <c r="BF858" t="s">
        <v>11</v>
      </c>
      <c r="BG858" t="s">
        <v>11</v>
      </c>
      <c r="BH858" t="s">
        <v>5564</v>
      </c>
      <c r="BI858" t="s">
        <v>5561</v>
      </c>
      <c r="BJ858" t="s">
        <v>11</v>
      </c>
    </row>
    <row r="859" spans="1:62" x14ac:dyDescent="0.3">
      <c r="A859" t="s">
        <v>5565</v>
      </c>
      <c r="C859" t="s">
        <v>11</v>
      </c>
      <c r="D859" t="s">
        <v>5566</v>
      </c>
      <c r="E859" t="s">
        <v>5567</v>
      </c>
      <c r="F859">
        <v>861</v>
      </c>
      <c r="G859">
        <v>49.4</v>
      </c>
      <c r="H859">
        <v>30</v>
      </c>
      <c r="I859">
        <v>9.1</v>
      </c>
      <c r="J859">
        <v>5.3</v>
      </c>
      <c r="L859">
        <v>4.2</v>
      </c>
      <c r="N859">
        <v>2</v>
      </c>
      <c r="AF859">
        <v>8.0564640000000001</v>
      </c>
      <c r="AI859" t="s">
        <v>0</v>
      </c>
      <c r="AJ859" t="s">
        <v>278</v>
      </c>
      <c r="AK859" t="s">
        <v>11</v>
      </c>
      <c r="AL859" t="s">
        <v>5386</v>
      </c>
      <c r="AM859" t="s">
        <v>5568</v>
      </c>
      <c r="AN859" t="s">
        <v>11</v>
      </c>
      <c r="AO859" t="s">
        <v>5528</v>
      </c>
      <c r="AP859" t="s">
        <v>11</v>
      </c>
      <c r="AQ859" t="s">
        <v>2099</v>
      </c>
      <c r="AR859" t="s">
        <v>11</v>
      </c>
      <c r="AS859" t="s">
        <v>11</v>
      </c>
      <c r="AT859" t="s">
        <v>11</v>
      </c>
      <c r="AU859" t="s">
        <v>11</v>
      </c>
      <c r="AV859" t="s">
        <v>11</v>
      </c>
      <c r="AW859" t="s">
        <v>11</v>
      </c>
      <c r="AX859" t="s">
        <v>11</v>
      </c>
      <c r="AY859" t="s">
        <v>11</v>
      </c>
      <c r="AZ859" t="s">
        <v>11</v>
      </c>
      <c r="BA859" t="s">
        <v>11</v>
      </c>
      <c r="BB859" t="s">
        <v>11</v>
      </c>
      <c r="BC859" t="s">
        <v>11</v>
      </c>
      <c r="BD859" t="s">
        <v>11</v>
      </c>
      <c r="BE859" t="s">
        <v>11</v>
      </c>
      <c r="BF859" t="s">
        <v>11</v>
      </c>
      <c r="BG859" t="s">
        <v>11</v>
      </c>
      <c r="BH859" t="s">
        <v>5569</v>
      </c>
      <c r="BI859" t="s">
        <v>5565</v>
      </c>
      <c r="BJ859" t="s">
        <v>11</v>
      </c>
    </row>
    <row r="860" spans="1:62" x14ac:dyDescent="0.3">
      <c r="A860" t="s">
        <v>5570</v>
      </c>
      <c r="C860" t="s">
        <v>11</v>
      </c>
      <c r="D860" t="s">
        <v>5571</v>
      </c>
      <c r="E860" t="s">
        <v>5572</v>
      </c>
      <c r="F860">
        <v>862</v>
      </c>
      <c r="G860">
        <v>45.199999999999996</v>
      </c>
      <c r="H860">
        <v>30.2</v>
      </c>
      <c r="I860">
        <v>9.4</v>
      </c>
      <c r="J860">
        <v>8.8000000000000007</v>
      </c>
      <c r="L860">
        <v>4.4000000000000004</v>
      </c>
      <c r="N860">
        <v>2</v>
      </c>
      <c r="AF860">
        <v>7.9692439999999989</v>
      </c>
      <c r="AI860" t="s">
        <v>0</v>
      </c>
      <c r="AJ860" t="s">
        <v>108</v>
      </c>
      <c r="AK860" t="s">
        <v>11</v>
      </c>
      <c r="AL860" t="s">
        <v>2813</v>
      </c>
      <c r="AM860" t="s">
        <v>5573</v>
      </c>
      <c r="AN860" t="s">
        <v>11</v>
      </c>
      <c r="AO860" t="s">
        <v>5528</v>
      </c>
      <c r="AP860" t="s">
        <v>11</v>
      </c>
      <c r="AQ860" t="s">
        <v>5574</v>
      </c>
      <c r="AR860" t="s">
        <v>11</v>
      </c>
      <c r="AS860" t="s">
        <v>11</v>
      </c>
      <c r="AT860" t="s">
        <v>11</v>
      </c>
      <c r="AU860" t="s">
        <v>11</v>
      </c>
      <c r="AV860" t="s">
        <v>11</v>
      </c>
      <c r="AW860" t="s">
        <v>11</v>
      </c>
      <c r="AX860" t="s">
        <v>11</v>
      </c>
      <c r="AY860" t="s">
        <v>11</v>
      </c>
      <c r="AZ860" t="s">
        <v>11</v>
      </c>
      <c r="BA860" t="s">
        <v>11</v>
      </c>
      <c r="BB860" t="s">
        <v>11</v>
      </c>
      <c r="BC860" t="s">
        <v>11</v>
      </c>
      <c r="BD860" t="s">
        <v>11</v>
      </c>
      <c r="BE860" t="s">
        <v>11</v>
      </c>
      <c r="BF860" t="s">
        <v>11</v>
      </c>
      <c r="BG860" t="s">
        <v>11</v>
      </c>
      <c r="BH860" t="s">
        <v>5575</v>
      </c>
      <c r="BI860" t="s">
        <v>5570</v>
      </c>
      <c r="BJ860" t="s">
        <v>11</v>
      </c>
    </row>
    <row r="861" spans="1:62" x14ac:dyDescent="0.3">
      <c r="A861" t="s">
        <v>5576</v>
      </c>
      <c r="C861" t="s">
        <v>11</v>
      </c>
      <c r="D861" t="s">
        <v>5577</v>
      </c>
      <c r="E861" t="s">
        <v>5578</v>
      </c>
      <c r="F861">
        <v>863</v>
      </c>
      <c r="G861">
        <v>42.3</v>
      </c>
      <c r="H861">
        <v>29.8</v>
      </c>
      <c r="I861">
        <v>9.4</v>
      </c>
      <c r="J861">
        <v>12.8</v>
      </c>
      <c r="L861">
        <v>3.7</v>
      </c>
      <c r="N861">
        <v>2</v>
      </c>
      <c r="AF861">
        <v>7.9315629999999988</v>
      </c>
      <c r="AI861" t="s">
        <v>0</v>
      </c>
      <c r="AJ861" t="s">
        <v>108</v>
      </c>
      <c r="AK861" t="s">
        <v>11</v>
      </c>
      <c r="AL861" t="s">
        <v>5553</v>
      </c>
      <c r="AM861" t="s">
        <v>5579</v>
      </c>
      <c r="AN861" t="s">
        <v>11</v>
      </c>
      <c r="AO861" t="s">
        <v>5528</v>
      </c>
      <c r="AP861" t="s">
        <v>11</v>
      </c>
      <c r="AQ861" t="s">
        <v>4362</v>
      </c>
      <c r="AR861" t="s">
        <v>11</v>
      </c>
      <c r="AS861" t="s">
        <v>11</v>
      </c>
      <c r="AT861" t="s">
        <v>11</v>
      </c>
      <c r="AU861" t="s">
        <v>11</v>
      </c>
      <c r="AV861" t="s">
        <v>11</v>
      </c>
      <c r="AW861" t="s">
        <v>11</v>
      </c>
      <c r="AX861" t="s">
        <v>11</v>
      </c>
      <c r="AY861" t="s">
        <v>11</v>
      </c>
      <c r="AZ861" t="s">
        <v>11</v>
      </c>
      <c r="BA861" t="s">
        <v>11</v>
      </c>
      <c r="BB861" t="s">
        <v>11</v>
      </c>
      <c r="BC861" t="s">
        <v>11</v>
      </c>
      <c r="BD861" t="s">
        <v>11</v>
      </c>
      <c r="BE861" t="s">
        <v>11</v>
      </c>
      <c r="BF861" t="s">
        <v>11</v>
      </c>
      <c r="BG861" t="s">
        <v>11</v>
      </c>
      <c r="BH861" t="s">
        <v>5580</v>
      </c>
      <c r="BI861" t="s">
        <v>5576</v>
      </c>
      <c r="BJ861" t="s">
        <v>11</v>
      </c>
    </row>
    <row r="862" spans="1:62" x14ac:dyDescent="0.3">
      <c r="A862" t="s">
        <v>5581</v>
      </c>
      <c r="C862" t="s">
        <v>11</v>
      </c>
      <c r="D862" t="s">
        <v>5582</v>
      </c>
      <c r="E862" t="s">
        <v>5583</v>
      </c>
      <c r="F862">
        <v>864</v>
      </c>
      <c r="G862">
        <v>64</v>
      </c>
      <c r="H862">
        <v>20</v>
      </c>
      <c r="I862">
        <v>10</v>
      </c>
      <c r="K862">
        <v>6</v>
      </c>
      <c r="AF862">
        <v>8.9025999999999996</v>
      </c>
      <c r="AI862" t="s">
        <v>0</v>
      </c>
      <c r="AJ862" t="s">
        <v>22</v>
      </c>
      <c r="AK862" t="s">
        <v>5311</v>
      </c>
      <c r="AL862" t="s">
        <v>5401</v>
      </c>
      <c r="AM862" t="s">
        <v>11</v>
      </c>
      <c r="AN862" t="s">
        <v>11</v>
      </c>
      <c r="AO862" t="s">
        <v>11</v>
      </c>
      <c r="AP862" t="s">
        <v>11</v>
      </c>
      <c r="AQ862" t="s">
        <v>11</v>
      </c>
      <c r="AR862" t="s">
        <v>11</v>
      </c>
      <c r="AS862" t="s">
        <v>11</v>
      </c>
      <c r="AT862" t="s">
        <v>11</v>
      </c>
      <c r="AU862" t="s">
        <v>11</v>
      </c>
      <c r="AV862" t="s">
        <v>11</v>
      </c>
      <c r="AW862" t="s">
        <v>11</v>
      </c>
      <c r="AX862" t="s">
        <v>11</v>
      </c>
      <c r="AY862" t="s">
        <v>11</v>
      </c>
      <c r="AZ862" t="s">
        <v>11</v>
      </c>
      <c r="BA862" t="s">
        <v>11</v>
      </c>
      <c r="BB862" t="s">
        <v>11</v>
      </c>
      <c r="BC862" t="s">
        <v>11</v>
      </c>
      <c r="BD862" t="s">
        <v>11</v>
      </c>
      <c r="BE862" t="s">
        <v>11</v>
      </c>
      <c r="BF862" t="s">
        <v>11</v>
      </c>
      <c r="BG862" t="s">
        <v>11</v>
      </c>
      <c r="BH862" t="s">
        <v>5584</v>
      </c>
      <c r="BI862" t="s">
        <v>5581</v>
      </c>
      <c r="BJ862" t="s">
        <v>11</v>
      </c>
    </row>
    <row r="863" spans="1:62" x14ac:dyDescent="0.3">
      <c r="A863" t="s">
        <v>5585</v>
      </c>
      <c r="C863" t="s">
        <v>11</v>
      </c>
      <c r="D863" t="s">
        <v>5586</v>
      </c>
      <c r="E863" t="s">
        <v>5587</v>
      </c>
      <c r="F863">
        <v>865</v>
      </c>
      <c r="G863">
        <v>64</v>
      </c>
      <c r="H863">
        <v>18</v>
      </c>
      <c r="I863">
        <v>13</v>
      </c>
      <c r="K863">
        <v>5</v>
      </c>
      <c r="AF863">
        <v>8.6129400000000018</v>
      </c>
      <c r="AI863" t="s">
        <v>0</v>
      </c>
      <c r="AJ863" t="s">
        <v>3880</v>
      </c>
      <c r="AK863" t="s">
        <v>5588</v>
      </c>
      <c r="AL863" t="s">
        <v>5589</v>
      </c>
      <c r="AM863" t="s">
        <v>11</v>
      </c>
      <c r="AN863" t="s">
        <v>11</v>
      </c>
      <c r="AO863" t="s">
        <v>11</v>
      </c>
      <c r="AP863" t="s">
        <v>11</v>
      </c>
      <c r="AQ863" t="s">
        <v>11</v>
      </c>
      <c r="AR863" t="s">
        <v>11</v>
      </c>
      <c r="AS863" t="s">
        <v>11</v>
      </c>
      <c r="AT863" t="s">
        <v>11</v>
      </c>
      <c r="AU863" t="s">
        <v>11</v>
      </c>
      <c r="AV863" t="s">
        <v>11</v>
      </c>
      <c r="AW863" t="s">
        <v>11</v>
      </c>
      <c r="AX863" t="s">
        <v>11</v>
      </c>
      <c r="AY863" t="s">
        <v>11</v>
      </c>
      <c r="AZ863" t="s">
        <v>11</v>
      </c>
      <c r="BA863" t="s">
        <v>11</v>
      </c>
      <c r="BB863" t="s">
        <v>11</v>
      </c>
      <c r="BC863" t="s">
        <v>11</v>
      </c>
      <c r="BD863" t="s">
        <v>11</v>
      </c>
      <c r="BE863" t="s">
        <v>11</v>
      </c>
      <c r="BF863" t="s">
        <v>11</v>
      </c>
      <c r="BG863" t="s">
        <v>11</v>
      </c>
      <c r="BH863" t="s">
        <v>5590</v>
      </c>
      <c r="BI863" t="s">
        <v>5585</v>
      </c>
      <c r="BJ863" t="s">
        <v>11</v>
      </c>
    </row>
    <row r="864" spans="1:62" x14ac:dyDescent="0.3">
      <c r="A864" t="s">
        <v>5591</v>
      </c>
      <c r="C864" t="s">
        <v>11</v>
      </c>
      <c r="D864" t="s">
        <v>5592</v>
      </c>
      <c r="E864" t="s">
        <v>5593</v>
      </c>
      <c r="F864">
        <v>866</v>
      </c>
      <c r="G864">
        <v>50.120000000000005</v>
      </c>
      <c r="H864">
        <v>30.2</v>
      </c>
      <c r="I864">
        <v>9.83</v>
      </c>
      <c r="K864">
        <v>4.0199999999999996</v>
      </c>
      <c r="L864">
        <v>3.93</v>
      </c>
      <c r="M864">
        <v>1.9</v>
      </c>
      <c r="AF864">
        <v>8.6836310999999995</v>
      </c>
      <c r="AI864" t="s">
        <v>0</v>
      </c>
      <c r="AJ864" t="s">
        <v>1319</v>
      </c>
      <c r="AK864" t="s">
        <v>5462</v>
      </c>
      <c r="AL864" t="s">
        <v>2813</v>
      </c>
      <c r="AM864" t="s">
        <v>11</v>
      </c>
      <c r="AN864" t="s">
        <v>74</v>
      </c>
      <c r="AO864" t="s">
        <v>11</v>
      </c>
      <c r="AP864" t="s">
        <v>11</v>
      </c>
      <c r="AQ864" t="s">
        <v>2556</v>
      </c>
      <c r="AR864" t="s">
        <v>11</v>
      </c>
      <c r="AS864" t="s">
        <v>11</v>
      </c>
      <c r="AT864" t="s">
        <v>11</v>
      </c>
      <c r="AU864" t="s">
        <v>11</v>
      </c>
      <c r="AV864" t="s">
        <v>11</v>
      </c>
      <c r="AW864" t="s">
        <v>11</v>
      </c>
      <c r="AX864" t="s">
        <v>11</v>
      </c>
      <c r="AY864" t="s">
        <v>11</v>
      </c>
      <c r="AZ864" t="s">
        <v>11</v>
      </c>
      <c r="BA864" t="s">
        <v>11</v>
      </c>
      <c r="BB864" t="s">
        <v>11</v>
      </c>
      <c r="BC864" t="s">
        <v>11</v>
      </c>
      <c r="BD864" t="s">
        <v>11</v>
      </c>
      <c r="BE864" t="s">
        <v>11</v>
      </c>
      <c r="BF864" t="s">
        <v>11</v>
      </c>
      <c r="BG864" t="s">
        <v>11</v>
      </c>
      <c r="BH864" t="s">
        <v>5594</v>
      </c>
      <c r="BI864" t="s">
        <v>5591</v>
      </c>
      <c r="BJ864" t="s">
        <v>11</v>
      </c>
    </row>
    <row r="865" spans="1:62" x14ac:dyDescent="0.3">
      <c r="A865" t="s">
        <v>5595</v>
      </c>
      <c r="C865" t="s">
        <v>11</v>
      </c>
      <c r="D865" t="s">
        <v>5596</v>
      </c>
      <c r="E865" t="s">
        <v>5597</v>
      </c>
      <c r="F865">
        <v>867</v>
      </c>
      <c r="G865">
        <v>70.16</v>
      </c>
      <c r="H865">
        <v>10</v>
      </c>
      <c r="I865">
        <v>6.25</v>
      </c>
      <c r="J865">
        <v>4</v>
      </c>
      <c r="L865">
        <v>2.5</v>
      </c>
      <c r="N865">
        <v>3.3</v>
      </c>
      <c r="O865">
        <v>3.75</v>
      </c>
      <c r="S865">
        <v>0.04</v>
      </c>
      <c r="AF865">
        <v>8.2169840000000001</v>
      </c>
      <c r="AI865" t="s">
        <v>0</v>
      </c>
      <c r="AJ865" t="s">
        <v>537</v>
      </c>
      <c r="AK865" t="s">
        <v>11</v>
      </c>
      <c r="AL865" t="s">
        <v>5598</v>
      </c>
      <c r="AM865" t="s">
        <v>5599</v>
      </c>
      <c r="AN865" t="s">
        <v>11</v>
      </c>
      <c r="AO865" t="s">
        <v>5600</v>
      </c>
      <c r="AP865" t="s">
        <v>5601</v>
      </c>
      <c r="AQ865" t="s">
        <v>1217</v>
      </c>
      <c r="AR865" t="s">
        <v>11</v>
      </c>
      <c r="AS865" t="s">
        <v>11</v>
      </c>
      <c r="AT865" t="s">
        <v>11</v>
      </c>
      <c r="AU865" t="s">
        <v>344</v>
      </c>
      <c r="AV865" t="s">
        <v>11</v>
      </c>
      <c r="AW865" t="s">
        <v>11</v>
      </c>
      <c r="AX865" t="s">
        <v>11</v>
      </c>
      <c r="AY865" t="s">
        <v>11</v>
      </c>
      <c r="AZ865" t="s">
        <v>11</v>
      </c>
      <c r="BA865" t="s">
        <v>11</v>
      </c>
      <c r="BB865" t="s">
        <v>11</v>
      </c>
      <c r="BC865" t="s">
        <v>11</v>
      </c>
      <c r="BD865" t="s">
        <v>11</v>
      </c>
      <c r="BE865" t="s">
        <v>11</v>
      </c>
      <c r="BF865" t="s">
        <v>11</v>
      </c>
      <c r="BG865" t="s">
        <v>11</v>
      </c>
      <c r="BH865" t="s">
        <v>5602</v>
      </c>
      <c r="BI865" t="s">
        <v>5595</v>
      </c>
      <c r="BJ865" t="s">
        <v>11</v>
      </c>
    </row>
    <row r="866" spans="1:62" x14ac:dyDescent="0.3">
      <c r="A866" t="s">
        <v>5603</v>
      </c>
      <c r="C866" t="s">
        <v>11</v>
      </c>
      <c r="D866" t="s">
        <v>5604</v>
      </c>
      <c r="E866" t="s">
        <v>5605</v>
      </c>
      <c r="F866">
        <v>868</v>
      </c>
      <c r="G866">
        <v>69.16</v>
      </c>
      <c r="H866">
        <v>10</v>
      </c>
      <c r="I866">
        <v>6.25</v>
      </c>
      <c r="J866">
        <v>4</v>
      </c>
      <c r="L866">
        <v>2.5</v>
      </c>
      <c r="M866">
        <v>1</v>
      </c>
      <c r="N866">
        <v>3.3</v>
      </c>
      <c r="O866">
        <v>3.75</v>
      </c>
      <c r="S866">
        <v>0.04</v>
      </c>
      <c r="AF866">
        <v>8.2944840000000006</v>
      </c>
      <c r="AI866" t="s">
        <v>0</v>
      </c>
      <c r="AJ866" t="s">
        <v>537</v>
      </c>
      <c r="AK866" t="s">
        <v>11</v>
      </c>
      <c r="AL866" t="s">
        <v>5598</v>
      </c>
      <c r="AM866" t="s">
        <v>5599</v>
      </c>
      <c r="AN866" t="s">
        <v>5217</v>
      </c>
      <c r="AO866" t="s">
        <v>5600</v>
      </c>
      <c r="AP866" t="s">
        <v>5601</v>
      </c>
      <c r="AQ866" t="s">
        <v>1217</v>
      </c>
      <c r="AR866" t="s">
        <v>11</v>
      </c>
      <c r="AS866" t="s">
        <v>11</v>
      </c>
      <c r="AT866" t="s">
        <v>11</v>
      </c>
      <c r="AU866" t="s">
        <v>344</v>
      </c>
      <c r="AV866" t="s">
        <v>11</v>
      </c>
      <c r="AW866" t="s">
        <v>11</v>
      </c>
      <c r="AX866" t="s">
        <v>11</v>
      </c>
      <c r="AY866" t="s">
        <v>11</v>
      </c>
      <c r="AZ866" t="s">
        <v>11</v>
      </c>
      <c r="BA866" t="s">
        <v>11</v>
      </c>
      <c r="BB866" t="s">
        <v>11</v>
      </c>
      <c r="BC866" t="s">
        <v>11</v>
      </c>
      <c r="BD866" t="s">
        <v>11</v>
      </c>
      <c r="BE866" t="s">
        <v>11</v>
      </c>
      <c r="BF866" t="s">
        <v>11</v>
      </c>
      <c r="BG866" t="s">
        <v>11</v>
      </c>
      <c r="BH866" t="s">
        <v>5606</v>
      </c>
      <c r="BI866" t="s">
        <v>5603</v>
      </c>
      <c r="BJ866" t="s">
        <v>11</v>
      </c>
    </row>
    <row r="867" spans="1:62" x14ac:dyDescent="0.3">
      <c r="A867" t="s">
        <v>5607</v>
      </c>
      <c r="C867" t="s">
        <v>11</v>
      </c>
      <c r="D867" t="s">
        <v>5608</v>
      </c>
      <c r="E867" t="s">
        <v>5609</v>
      </c>
      <c r="F867">
        <v>869</v>
      </c>
      <c r="G867">
        <v>66.460000000000008</v>
      </c>
      <c r="H867">
        <v>10</v>
      </c>
      <c r="I867">
        <v>7.5</v>
      </c>
      <c r="J867">
        <v>4</v>
      </c>
      <c r="L867">
        <v>3</v>
      </c>
      <c r="N867">
        <v>4.5</v>
      </c>
      <c r="O867">
        <v>4.5</v>
      </c>
      <c r="S867">
        <v>0.04</v>
      </c>
      <c r="AF867">
        <v>8.0926340000000003</v>
      </c>
      <c r="AI867" t="s">
        <v>0</v>
      </c>
      <c r="AJ867" t="s">
        <v>297</v>
      </c>
      <c r="AK867" t="s">
        <v>11</v>
      </c>
      <c r="AL867" t="s">
        <v>5598</v>
      </c>
      <c r="AM867" t="s">
        <v>5599</v>
      </c>
      <c r="AN867" t="s">
        <v>11</v>
      </c>
      <c r="AO867" t="s">
        <v>5610</v>
      </c>
      <c r="AP867" t="s">
        <v>5611</v>
      </c>
      <c r="AQ867" t="s">
        <v>5537</v>
      </c>
      <c r="AR867" t="s">
        <v>11</v>
      </c>
      <c r="AS867" t="s">
        <v>11</v>
      </c>
      <c r="AT867" t="s">
        <v>11</v>
      </c>
      <c r="AU867" t="s">
        <v>344</v>
      </c>
      <c r="AV867" t="s">
        <v>11</v>
      </c>
      <c r="AW867" t="s">
        <v>11</v>
      </c>
      <c r="AX867" t="s">
        <v>11</v>
      </c>
      <c r="AY867" t="s">
        <v>11</v>
      </c>
      <c r="AZ867" t="s">
        <v>11</v>
      </c>
      <c r="BA867" t="s">
        <v>11</v>
      </c>
      <c r="BB867" t="s">
        <v>11</v>
      </c>
      <c r="BC867" t="s">
        <v>11</v>
      </c>
      <c r="BD867" t="s">
        <v>11</v>
      </c>
      <c r="BE867" t="s">
        <v>11</v>
      </c>
      <c r="BF867" t="s">
        <v>11</v>
      </c>
      <c r="BG867" t="s">
        <v>11</v>
      </c>
      <c r="BH867" t="s">
        <v>5612</v>
      </c>
      <c r="BI867" t="s">
        <v>5607</v>
      </c>
      <c r="BJ867" t="s">
        <v>11</v>
      </c>
    </row>
    <row r="868" spans="1:62" x14ac:dyDescent="0.3">
      <c r="A868" t="s">
        <v>5613</v>
      </c>
      <c r="C868" t="s">
        <v>11</v>
      </c>
      <c r="D868" t="s">
        <v>5614</v>
      </c>
      <c r="E868" t="s">
        <v>5615</v>
      </c>
      <c r="F868">
        <v>870</v>
      </c>
      <c r="G868">
        <v>64.960000000000008</v>
      </c>
      <c r="H868">
        <v>10</v>
      </c>
      <c r="I868">
        <v>7</v>
      </c>
      <c r="J868">
        <v>8</v>
      </c>
      <c r="L868">
        <v>2.5</v>
      </c>
      <c r="N868">
        <v>3</v>
      </c>
      <c r="O868">
        <v>4.5</v>
      </c>
      <c r="S868">
        <v>0.04</v>
      </c>
      <c r="AF868">
        <v>8.0821490000000011</v>
      </c>
      <c r="AI868" t="s">
        <v>0</v>
      </c>
      <c r="AJ868" t="s">
        <v>1358</v>
      </c>
      <c r="AK868" t="s">
        <v>11</v>
      </c>
      <c r="AL868" t="s">
        <v>5598</v>
      </c>
      <c r="AM868" t="s">
        <v>5616</v>
      </c>
      <c r="AN868" t="s">
        <v>11</v>
      </c>
      <c r="AO868" t="s">
        <v>5617</v>
      </c>
      <c r="AP868" t="s">
        <v>5611</v>
      </c>
      <c r="AQ868" t="s">
        <v>1217</v>
      </c>
      <c r="AR868" t="s">
        <v>11</v>
      </c>
      <c r="AS868" t="s">
        <v>11</v>
      </c>
      <c r="AT868" t="s">
        <v>11</v>
      </c>
      <c r="AU868" t="s">
        <v>344</v>
      </c>
      <c r="AV868" t="s">
        <v>11</v>
      </c>
      <c r="AW868" t="s">
        <v>11</v>
      </c>
      <c r="AX868" t="s">
        <v>11</v>
      </c>
      <c r="AY868" t="s">
        <v>11</v>
      </c>
      <c r="AZ868" t="s">
        <v>11</v>
      </c>
      <c r="BA868" t="s">
        <v>11</v>
      </c>
      <c r="BB868" t="s">
        <v>11</v>
      </c>
      <c r="BC868" t="s">
        <v>11</v>
      </c>
      <c r="BD868" t="s">
        <v>11</v>
      </c>
      <c r="BE868" t="s">
        <v>11</v>
      </c>
      <c r="BF868" t="s">
        <v>11</v>
      </c>
      <c r="BG868" t="s">
        <v>11</v>
      </c>
      <c r="BH868" t="s">
        <v>5618</v>
      </c>
      <c r="BI868" t="s">
        <v>5613</v>
      </c>
      <c r="BJ868" t="s">
        <v>11</v>
      </c>
    </row>
    <row r="869" spans="1:62" x14ac:dyDescent="0.3">
      <c r="A869" t="s">
        <v>5619</v>
      </c>
      <c r="C869" t="s">
        <v>11</v>
      </c>
      <c r="D869" t="s">
        <v>5620</v>
      </c>
      <c r="E869" t="s">
        <v>5621</v>
      </c>
      <c r="F869">
        <v>871</v>
      </c>
      <c r="G869">
        <v>70.16</v>
      </c>
      <c r="H869">
        <v>10</v>
      </c>
      <c r="I869">
        <v>6.25</v>
      </c>
      <c r="J869">
        <v>4</v>
      </c>
      <c r="L869">
        <v>2.5</v>
      </c>
      <c r="M869">
        <v>3.3</v>
      </c>
      <c r="O869">
        <v>3.75</v>
      </c>
      <c r="S869">
        <v>0.04</v>
      </c>
      <c r="AF869">
        <v>8.4836240000000007</v>
      </c>
      <c r="AI869" t="s">
        <v>0</v>
      </c>
      <c r="AJ869" t="s">
        <v>537</v>
      </c>
      <c r="AK869" t="s">
        <v>11</v>
      </c>
      <c r="AL869" t="s">
        <v>5598</v>
      </c>
      <c r="AM869" t="s">
        <v>5599</v>
      </c>
      <c r="AN869" t="s">
        <v>5622</v>
      </c>
      <c r="AO869" t="s">
        <v>11</v>
      </c>
      <c r="AP869" t="s">
        <v>5601</v>
      </c>
      <c r="AQ869" t="s">
        <v>1217</v>
      </c>
      <c r="AR869" t="s">
        <v>11</v>
      </c>
      <c r="AS869" t="s">
        <v>11</v>
      </c>
      <c r="AT869" t="s">
        <v>11</v>
      </c>
      <c r="AU869" t="s">
        <v>344</v>
      </c>
      <c r="AV869" t="s">
        <v>11</v>
      </c>
      <c r="AW869" t="s">
        <v>11</v>
      </c>
      <c r="AX869" t="s">
        <v>11</v>
      </c>
      <c r="AY869" t="s">
        <v>11</v>
      </c>
      <c r="AZ869" t="s">
        <v>11</v>
      </c>
      <c r="BA869" t="s">
        <v>11</v>
      </c>
      <c r="BB869" t="s">
        <v>11</v>
      </c>
      <c r="BC869" t="s">
        <v>11</v>
      </c>
      <c r="BD869" t="s">
        <v>11</v>
      </c>
      <c r="BE869" t="s">
        <v>11</v>
      </c>
      <c r="BF869" t="s">
        <v>11</v>
      </c>
      <c r="BG869" t="s">
        <v>11</v>
      </c>
      <c r="BH869" t="s">
        <v>5623</v>
      </c>
      <c r="BI869" t="s">
        <v>5619</v>
      </c>
      <c r="BJ869" t="s">
        <v>11</v>
      </c>
    </row>
    <row r="870" spans="1:62" x14ac:dyDescent="0.3">
      <c r="A870" t="s">
        <v>5624</v>
      </c>
      <c r="C870" t="s">
        <v>11</v>
      </c>
      <c r="D870" t="s">
        <v>5625</v>
      </c>
      <c r="E870" t="s">
        <v>5626</v>
      </c>
      <c r="F870">
        <v>872</v>
      </c>
      <c r="G870">
        <v>45.900000000000006</v>
      </c>
      <c r="H870">
        <v>29.7</v>
      </c>
      <c r="I870">
        <v>9.6</v>
      </c>
      <c r="J870">
        <v>8.1999999999999993</v>
      </c>
      <c r="N870">
        <v>1.8</v>
      </c>
      <c r="P870">
        <v>4.8</v>
      </c>
      <c r="AF870">
        <v>8.2272560000000006</v>
      </c>
      <c r="AI870" t="s">
        <v>0</v>
      </c>
      <c r="AJ870" t="s">
        <v>10</v>
      </c>
      <c r="AK870" t="s">
        <v>11</v>
      </c>
      <c r="AL870" t="s">
        <v>1569</v>
      </c>
      <c r="AM870" t="s">
        <v>244</v>
      </c>
      <c r="AN870" t="s">
        <v>11</v>
      </c>
      <c r="AO870" t="s">
        <v>110</v>
      </c>
      <c r="AP870" t="s">
        <v>11</v>
      </c>
      <c r="AQ870" t="s">
        <v>11</v>
      </c>
      <c r="AR870" t="s">
        <v>2835</v>
      </c>
      <c r="AS870" t="s">
        <v>11</v>
      </c>
      <c r="AT870" t="s">
        <v>11</v>
      </c>
      <c r="AU870" t="s">
        <v>11</v>
      </c>
      <c r="AV870" t="s">
        <v>11</v>
      </c>
      <c r="AW870" t="s">
        <v>11</v>
      </c>
      <c r="AX870" t="s">
        <v>11</v>
      </c>
      <c r="AY870" t="s">
        <v>11</v>
      </c>
      <c r="AZ870" t="s">
        <v>11</v>
      </c>
      <c r="BA870" t="s">
        <v>11</v>
      </c>
      <c r="BB870" t="s">
        <v>11</v>
      </c>
      <c r="BC870" t="s">
        <v>11</v>
      </c>
      <c r="BD870" t="s">
        <v>11</v>
      </c>
      <c r="BE870" t="s">
        <v>11</v>
      </c>
      <c r="BF870" t="s">
        <v>11</v>
      </c>
      <c r="BG870" t="s">
        <v>11</v>
      </c>
      <c r="BH870" t="s">
        <v>5627</v>
      </c>
      <c r="BI870" t="s">
        <v>5624</v>
      </c>
      <c r="BJ870" t="s">
        <v>11</v>
      </c>
    </row>
    <row r="871" spans="1:62" x14ac:dyDescent="0.3">
      <c r="A871" t="s">
        <v>5628</v>
      </c>
      <c r="C871" t="s">
        <v>11</v>
      </c>
      <c r="D871" t="s">
        <v>5629</v>
      </c>
      <c r="E871" t="s">
        <v>5630</v>
      </c>
      <c r="F871">
        <v>873</v>
      </c>
      <c r="G871">
        <v>43.3</v>
      </c>
      <c r="H871">
        <v>30.7</v>
      </c>
      <c r="I871">
        <v>9.5</v>
      </c>
      <c r="J871">
        <v>7.8</v>
      </c>
      <c r="L871">
        <v>2.1</v>
      </c>
      <c r="N871">
        <v>1.9</v>
      </c>
      <c r="P871">
        <v>4.7</v>
      </c>
      <c r="AF871">
        <v>8.1464130000000008</v>
      </c>
      <c r="AI871" t="s">
        <v>0</v>
      </c>
      <c r="AJ871" t="s">
        <v>315</v>
      </c>
      <c r="AK871" t="s">
        <v>11</v>
      </c>
      <c r="AL871" t="s">
        <v>2544</v>
      </c>
      <c r="AM871" t="s">
        <v>628</v>
      </c>
      <c r="AN871" t="s">
        <v>11</v>
      </c>
      <c r="AO871" t="s">
        <v>14</v>
      </c>
      <c r="AP871" t="s">
        <v>11</v>
      </c>
      <c r="AQ871" t="s">
        <v>422</v>
      </c>
      <c r="AR871" t="s">
        <v>5543</v>
      </c>
      <c r="AS871" t="s">
        <v>11</v>
      </c>
      <c r="AT871" t="s">
        <v>11</v>
      </c>
      <c r="AU871" t="s">
        <v>11</v>
      </c>
      <c r="AV871" t="s">
        <v>11</v>
      </c>
      <c r="AW871" t="s">
        <v>11</v>
      </c>
      <c r="AX871" t="s">
        <v>11</v>
      </c>
      <c r="AY871" t="s">
        <v>11</v>
      </c>
      <c r="AZ871" t="s">
        <v>11</v>
      </c>
      <c r="BA871" t="s">
        <v>11</v>
      </c>
      <c r="BB871" t="s">
        <v>11</v>
      </c>
      <c r="BC871" t="s">
        <v>11</v>
      </c>
      <c r="BD871" t="s">
        <v>11</v>
      </c>
      <c r="BE871" t="s">
        <v>11</v>
      </c>
      <c r="BF871" t="s">
        <v>11</v>
      </c>
      <c r="BG871" t="s">
        <v>11</v>
      </c>
      <c r="BH871" t="s">
        <v>5631</v>
      </c>
      <c r="BI871" t="s">
        <v>5628</v>
      </c>
      <c r="BJ871" t="s">
        <v>11</v>
      </c>
    </row>
    <row r="872" spans="1:62" x14ac:dyDescent="0.3">
      <c r="A872" t="s">
        <v>5632</v>
      </c>
      <c r="C872" t="s">
        <v>11</v>
      </c>
      <c r="D872" t="s">
        <v>5633</v>
      </c>
      <c r="E872" t="s">
        <v>5634</v>
      </c>
      <c r="F872">
        <v>874</v>
      </c>
      <c r="G872">
        <v>40.900000000000006</v>
      </c>
      <c r="H872">
        <v>30.4</v>
      </c>
      <c r="I872">
        <v>9.6999999999999993</v>
      </c>
      <c r="J872">
        <v>8.1</v>
      </c>
      <c r="L872">
        <v>3.9</v>
      </c>
      <c r="N872">
        <v>1.9</v>
      </c>
      <c r="P872">
        <v>5.0999999999999996</v>
      </c>
      <c r="AF872">
        <v>8.0553050000000006</v>
      </c>
      <c r="AI872" t="s">
        <v>0</v>
      </c>
      <c r="AJ872" t="s">
        <v>1310</v>
      </c>
      <c r="AK872" t="s">
        <v>11</v>
      </c>
      <c r="AL872" t="s">
        <v>2582</v>
      </c>
      <c r="AM872" t="s">
        <v>289</v>
      </c>
      <c r="AN872" t="s">
        <v>11</v>
      </c>
      <c r="AO872" t="s">
        <v>14</v>
      </c>
      <c r="AP872" t="s">
        <v>11</v>
      </c>
      <c r="AQ872" t="s">
        <v>2556</v>
      </c>
      <c r="AR872" t="s">
        <v>2204</v>
      </c>
      <c r="AS872" t="s">
        <v>11</v>
      </c>
      <c r="AT872" t="s">
        <v>11</v>
      </c>
      <c r="AU872" t="s">
        <v>11</v>
      </c>
      <c r="AV872" t="s">
        <v>11</v>
      </c>
      <c r="AW872" t="s">
        <v>11</v>
      </c>
      <c r="AX872" t="s">
        <v>11</v>
      </c>
      <c r="AY872" t="s">
        <v>11</v>
      </c>
      <c r="AZ872" t="s">
        <v>11</v>
      </c>
      <c r="BA872" t="s">
        <v>11</v>
      </c>
      <c r="BB872" t="s">
        <v>11</v>
      </c>
      <c r="BC872" t="s">
        <v>11</v>
      </c>
      <c r="BD872" t="s">
        <v>11</v>
      </c>
      <c r="BE872" t="s">
        <v>11</v>
      </c>
      <c r="BF872" t="s">
        <v>11</v>
      </c>
      <c r="BG872" t="s">
        <v>11</v>
      </c>
      <c r="BH872" t="s">
        <v>5635</v>
      </c>
      <c r="BI872" t="s">
        <v>5632</v>
      </c>
      <c r="BJ872" t="s">
        <v>11</v>
      </c>
    </row>
    <row r="873" spans="1:62" x14ac:dyDescent="0.3">
      <c r="A873" t="s">
        <v>5636</v>
      </c>
      <c r="C873" t="s">
        <v>11</v>
      </c>
      <c r="D873" t="s">
        <v>2361</v>
      </c>
      <c r="E873" t="s">
        <v>5637</v>
      </c>
      <c r="F873">
        <v>875</v>
      </c>
      <c r="G873">
        <v>53.1</v>
      </c>
      <c r="H873">
        <v>30.4</v>
      </c>
      <c r="I873">
        <v>9.6999999999999993</v>
      </c>
      <c r="M873">
        <v>2.1</v>
      </c>
      <c r="P873">
        <v>4.7</v>
      </c>
      <c r="AF873">
        <v>8.5286420000000014</v>
      </c>
      <c r="AI873" t="s">
        <v>0</v>
      </c>
      <c r="AJ873" t="s">
        <v>1310</v>
      </c>
      <c r="AK873" t="s">
        <v>11</v>
      </c>
      <c r="AL873" t="s">
        <v>2582</v>
      </c>
      <c r="AM873" t="s">
        <v>11</v>
      </c>
      <c r="AN873" t="s">
        <v>2355</v>
      </c>
      <c r="AO873" t="s">
        <v>11</v>
      </c>
      <c r="AP873" t="s">
        <v>11</v>
      </c>
      <c r="AQ873" t="s">
        <v>11</v>
      </c>
      <c r="AR873" t="s">
        <v>5543</v>
      </c>
      <c r="AS873" t="s">
        <v>11</v>
      </c>
      <c r="AT873" t="s">
        <v>11</v>
      </c>
      <c r="AU873" t="s">
        <v>11</v>
      </c>
      <c r="AV873" t="s">
        <v>11</v>
      </c>
      <c r="AW873" t="s">
        <v>11</v>
      </c>
      <c r="AX873" t="s">
        <v>11</v>
      </c>
      <c r="AY873" t="s">
        <v>11</v>
      </c>
      <c r="AZ873" t="s">
        <v>11</v>
      </c>
      <c r="BA873" t="s">
        <v>11</v>
      </c>
      <c r="BB873" t="s">
        <v>11</v>
      </c>
      <c r="BC873" t="s">
        <v>11</v>
      </c>
      <c r="BD873" t="s">
        <v>11</v>
      </c>
      <c r="BE873" t="s">
        <v>11</v>
      </c>
      <c r="BF873" t="s">
        <v>11</v>
      </c>
      <c r="BG873" t="s">
        <v>11</v>
      </c>
      <c r="BH873" t="s">
        <v>5638</v>
      </c>
      <c r="BI873" t="s">
        <v>5636</v>
      </c>
      <c r="BJ873" t="s">
        <v>11</v>
      </c>
    </row>
    <row r="874" spans="1:62" x14ac:dyDescent="0.3">
      <c r="A874" t="s">
        <v>2831</v>
      </c>
      <c r="C874" t="s">
        <v>11</v>
      </c>
      <c r="D874" t="s">
        <v>2345</v>
      </c>
      <c r="E874" t="s">
        <v>5639</v>
      </c>
      <c r="F874">
        <v>876</v>
      </c>
      <c r="G874">
        <v>51</v>
      </c>
      <c r="H874">
        <v>30.5</v>
      </c>
      <c r="I874">
        <v>9.6999999999999993</v>
      </c>
      <c r="L874">
        <v>1.9</v>
      </c>
      <c r="M874">
        <v>2.1</v>
      </c>
      <c r="P874">
        <v>4.8</v>
      </c>
      <c r="AF874">
        <v>8.4465630000000012</v>
      </c>
      <c r="AI874" t="s">
        <v>0</v>
      </c>
      <c r="AJ874" t="s">
        <v>1310</v>
      </c>
      <c r="AK874" t="s">
        <v>11</v>
      </c>
      <c r="AL874" t="s">
        <v>1469</v>
      </c>
      <c r="AM874" t="s">
        <v>11</v>
      </c>
      <c r="AN874" t="s">
        <v>2355</v>
      </c>
      <c r="AO874" t="s">
        <v>11</v>
      </c>
      <c r="AP874" t="s">
        <v>11</v>
      </c>
      <c r="AQ874" t="s">
        <v>1249</v>
      </c>
      <c r="AR874" t="s">
        <v>2835</v>
      </c>
      <c r="AS874" t="s">
        <v>11</v>
      </c>
      <c r="AT874" t="s">
        <v>11</v>
      </c>
      <c r="AU874" t="s">
        <v>11</v>
      </c>
      <c r="AV874" t="s">
        <v>11</v>
      </c>
      <c r="AW874" t="s">
        <v>11</v>
      </c>
      <c r="AX874" t="s">
        <v>11</v>
      </c>
      <c r="AY874" t="s">
        <v>11</v>
      </c>
      <c r="AZ874" t="s">
        <v>11</v>
      </c>
      <c r="BA874" t="s">
        <v>11</v>
      </c>
      <c r="BB874" t="s">
        <v>11</v>
      </c>
      <c r="BC874" t="s">
        <v>11</v>
      </c>
      <c r="BD874" t="s">
        <v>11</v>
      </c>
      <c r="BE874" t="s">
        <v>11</v>
      </c>
      <c r="BF874" t="s">
        <v>11</v>
      </c>
      <c r="BG874" t="s">
        <v>11</v>
      </c>
      <c r="BH874" t="s">
        <v>5640</v>
      </c>
      <c r="BI874" t="s">
        <v>2831</v>
      </c>
      <c r="BJ874" t="s">
        <v>11</v>
      </c>
    </row>
    <row r="875" spans="1:62" x14ac:dyDescent="0.3">
      <c r="A875" t="s">
        <v>5641</v>
      </c>
      <c r="C875" t="s">
        <v>11</v>
      </c>
      <c r="D875" t="s">
        <v>5642</v>
      </c>
      <c r="E875" t="s">
        <v>5643</v>
      </c>
      <c r="F875">
        <v>877</v>
      </c>
      <c r="G875">
        <v>49.5</v>
      </c>
      <c r="H875">
        <v>30.2</v>
      </c>
      <c r="I875">
        <v>9.8000000000000007</v>
      </c>
      <c r="J875">
        <v>2</v>
      </c>
      <c r="L875">
        <v>2</v>
      </c>
      <c r="M875">
        <v>1.9</v>
      </c>
      <c r="P875">
        <v>4.5999999999999996</v>
      </c>
      <c r="AF875">
        <v>8.3834859999999995</v>
      </c>
      <c r="AI875" t="s">
        <v>0</v>
      </c>
      <c r="AJ875" t="s">
        <v>1319</v>
      </c>
      <c r="AK875" t="s">
        <v>11</v>
      </c>
      <c r="AL875" t="s">
        <v>2813</v>
      </c>
      <c r="AM875" t="s">
        <v>5644</v>
      </c>
      <c r="AN875" t="s">
        <v>74</v>
      </c>
      <c r="AO875" t="s">
        <v>11</v>
      </c>
      <c r="AP875" t="s">
        <v>11</v>
      </c>
      <c r="AQ875" t="s">
        <v>5559</v>
      </c>
      <c r="AR875" t="s">
        <v>2348</v>
      </c>
      <c r="AS875" t="s">
        <v>11</v>
      </c>
      <c r="AT875" t="s">
        <v>11</v>
      </c>
      <c r="AU875" t="s">
        <v>11</v>
      </c>
      <c r="AV875" t="s">
        <v>11</v>
      </c>
      <c r="AW875" t="s">
        <v>11</v>
      </c>
      <c r="AX875" t="s">
        <v>11</v>
      </c>
      <c r="AY875" t="s">
        <v>11</v>
      </c>
      <c r="AZ875" t="s">
        <v>11</v>
      </c>
      <c r="BA875" t="s">
        <v>11</v>
      </c>
      <c r="BB875" t="s">
        <v>11</v>
      </c>
      <c r="BC875" t="s">
        <v>11</v>
      </c>
      <c r="BD875" t="s">
        <v>11</v>
      </c>
      <c r="BE875" t="s">
        <v>11</v>
      </c>
      <c r="BF875" t="s">
        <v>11</v>
      </c>
      <c r="BG875" t="s">
        <v>11</v>
      </c>
      <c r="BH875" t="s">
        <v>5645</v>
      </c>
      <c r="BI875" t="s">
        <v>5641</v>
      </c>
      <c r="BJ875" t="s">
        <v>11</v>
      </c>
    </row>
    <row r="876" spans="1:62" x14ac:dyDescent="0.3">
      <c r="A876" t="s">
        <v>5646</v>
      </c>
      <c r="C876" t="s">
        <v>11</v>
      </c>
      <c r="D876" t="s">
        <v>5647</v>
      </c>
      <c r="E876" t="s">
        <v>5648</v>
      </c>
      <c r="F876">
        <v>878</v>
      </c>
      <c r="G876">
        <v>46.3</v>
      </c>
      <c r="H876">
        <v>30.1</v>
      </c>
      <c r="I876">
        <v>9.8000000000000007</v>
      </c>
      <c r="J876">
        <v>4.9000000000000004</v>
      </c>
      <c r="L876">
        <v>2</v>
      </c>
      <c r="M876">
        <v>2</v>
      </c>
      <c r="P876">
        <v>4.9000000000000004</v>
      </c>
      <c r="AF876">
        <v>8.3457779999999993</v>
      </c>
      <c r="AI876" t="s">
        <v>0</v>
      </c>
      <c r="AJ876" t="s">
        <v>1319</v>
      </c>
      <c r="AK876" t="s">
        <v>11</v>
      </c>
      <c r="AL876" t="s">
        <v>2819</v>
      </c>
      <c r="AM876" t="s">
        <v>2799</v>
      </c>
      <c r="AN876" t="s">
        <v>5243</v>
      </c>
      <c r="AO876" t="s">
        <v>11</v>
      </c>
      <c r="AP876" t="s">
        <v>11</v>
      </c>
      <c r="AQ876" t="s">
        <v>5559</v>
      </c>
      <c r="AR876" t="s">
        <v>2820</v>
      </c>
      <c r="AS876" t="s">
        <v>11</v>
      </c>
      <c r="AT876" t="s">
        <v>11</v>
      </c>
      <c r="AU876" t="s">
        <v>11</v>
      </c>
      <c r="AV876" t="s">
        <v>11</v>
      </c>
      <c r="AW876" t="s">
        <v>11</v>
      </c>
      <c r="AX876" t="s">
        <v>11</v>
      </c>
      <c r="AY876" t="s">
        <v>11</v>
      </c>
      <c r="AZ876" t="s">
        <v>11</v>
      </c>
      <c r="BA876" t="s">
        <v>11</v>
      </c>
      <c r="BB876" t="s">
        <v>11</v>
      </c>
      <c r="BC876" t="s">
        <v>11</v>
      </c>
      <c r="BD876" t="s">
        <v>11</v>
      </c>
      <c r="BE876" t="s">
        <v>11</v>
      </c>
      <c r="BF876" t="s">
        <v>11</v>
      </c>
      <c r="BG876" t="s">
        <v>11</v>
      </c>
      <c r="BH876" t="s">
        <v>5649</v>
      </c>
      <c r="BI876" t="s">
        <v>5646</v>
      </c>
      <c r="BJ876" t="s">
        <v>11</v>
      </c>
    </row>
    <row r="877" spans="1:62" x14ac:dyDescent="0.3">
      <c r="A877" t="s">
        <v>5650</v>
      </c>
      <c r="C877" t="s">
        <v>11</v>
      </c>
      <c r="D877" t="s">
        <v>5651</v>
      </c>
      <c r="E877" t="s">
        <v>5652</v>
      </c>
      <c r="F877">
        <v>879</v>
      </c>
      <c r="G877">
        <v>40.999999999999993</v>
      </c>
      <c r="H877">
        <v>29.5</v>
      </c>
      <c r="I877">
        <v>10.199999999999999</v>
      </c>
      <c r="J877">
        <v>10.199999999999999</v>
      </c>
      <c r="L877">
        <v>1.9</v>
      </c>
      <c r="M877">
        <v>2.1</v>
      </c>
      <c r="P877">
        <v>5.0999999999999996</v>
      </c>
      <c r="AF877">
        <v>8.2452030000000001</v>
      </c>
      <c r="AI877" t="s">
        <v>0</v>
      </c>
      <c r="AJ877" t="s">
        <v>1964</v>
      </c>
      <c r="AK877" t="s">
        <v>11</v>
      </c>
      <c r="AL877" t="s">
        <v>12</v>
      </c>
      <c r="AM877" t="s">
        <v>5360</v>
      </c>
      <c r="AN877" t="s">
        <v>2355</v>
      </c>
      <c r="AO877" t="s">
        <v>11</v>
      </c>
      <c r="AP877" t="s">
        <v>11</v>
      </c>
      <c r="AQ877" t="s">
        <v>1249</v>
      </c>
      <c r="AR877" t="s">
        <v>2204</v>
      </c>
      <c r="AS877" t="s">
        <v>11</v>
      </c>
      <c r="AT877" t="s">
        <v>11</v>
      </c>
      <c r="AU877" t="s">
        <v>11</v>
      </c>
      <c r="AV877" t="s">
        <v>11</v>
      </c>
      <c r="AW877" t="s">
        <v>11</v>
      </c>
      <c r="AX877" t="s">
        <v>11</v>
      </c>
      <c r="AY877" t="s">
        <v>11</v>
      </c>
      <c r="AZ877" t="s">
        <v>11</v>
      </c>
      <c r="BA877" t="s">
        <v>11</v>
      </c>
      <c r="BB877" t="s">
        <v>11</v>
      </c>
      <c r="BC877" t="s">
        <v>11</v>
      </c>
      <c r="BD877" t="s">
        <v>11</v>
      </c>
      <c r="BE877" t="s">
        <v>11</v>
      </c>
      <c r="BF877" t="s">
        <v>11</v>
      </c>
      <c r="BG877" t="s">
        <v>11</v>
      </c>
      <c r="BH877" t="s">
        <v>5653</v>
      </c>
      <c r="BI877" t="s">
        <v>5650</v>
      </c>
      <c r="BJ877" t="s">
        <v>11</v>
      </c>
    </row>
    <row r="878" spans="1:62" x14ac:dyDescent="0.3">
      <c r="A878" t="s">
        <v>5654</v>
      </c>
      <c r="C878" t="s">
        <v>11</v>
      </c>
      <c r="D878" t="s">
        <v>5655</v>
      </c>
      <c r="E878" t="s">
        <v>5656</v>
      </c>
      <c r="F878">
        <v>880</v>
      </c>
      <c r="G878">
        <v>81.5</v>
      </c>
      <c r="I878">
        <v>9</v>
      </c>
      <c r="K878">
        <v>7.5</v>
      </c>
      <c r="M878">
        <v>2</v>
      </c>
      <c r="AF878">
        <v>9.2732499999999991</v>
      </c>
      <c r="AI878" t="s">
        <v>0</v>
      </c>
      <c r="AJ878" t="s">
        <v>128</v>
      </c>
      <c r="AK878" t="s">
        <v>195</v>
      </c>
      <c r="AL878" t="s">
        <v>11</v>
      </c>
      <c r="AM878" t="s">
        <v>11</v>
      </c>
      <c r="AN878" t="s">
        <v>5243</v>
      </c>
      <c r="AO878" t="s">
        <v>11</v>
      </c>
      <c r="AP878" t="s">
        <v>11</v>
      </c>
      <c r="AQ878" t="s">
        <v>11</v>
      </c>
      <c r="AR878" t="s">
        <v>11</v>
      </c>
      <c r="AS878" t="s">
        <v>11</v>
      </c>
      <c r="AT878" t="s">
        <v>11</v>
      </c>
      <c r="AU878" t="s">
        <v>11</v>
      </c>
      <c r="AV878" t="s">
        <v>11</v>
      </c>
      <c r="AW878" t="s">
        <v>11</v>
      </c>
      <c r="AX878" t="s">
        <v>11</v>
      </c>
      <c r="AY878" t="s">
        <v>11</v>
      </c>
      <c r="AZ878" t="s">
        <v>11</v>
      </c>
      <c r="BA878" t="s">
        <v>11</v>
      </c>
      <c r="BB878" t="s">
        <v>11</v>
      </c>
      <c r="BC878" t="s">
        <v>11</v>
      </c>
      <c r="BD878" t="s">
        <v>11</v>
      </c>
      <c r="BE878" t="s">
        <v>11</v>
      </c>
      <c r="BF878" t="s">
        <v>11</v>
      </c>
      <c r="BG878" t="s">
        <v>11</v>
      </c>
      <c r="BH878" t="s">
        <v>5657</v>
      </c>
      <c r="BI878" t="s">
        <v>5654</v>
      </c>
      <c r="BJ878" t="s">
        <v>11</v>
      </c>
    </row>
    <row r="879" spans="1:62" x14ac:dyDescent="0.3">
      <c r="A879" t="s">
        <v>5658</v>
      </c>
      <c r="C879" t="s">
        <v>11</v>
      </c>
      <c r="D879" t="s">
        <v>5659</v>
      </c>
      <c r="E879" t="s">
        <v>5660</v>
      </c>
      <c r="F879">
        <v>881</v>
      </c>
      <c r="G879">
        <v>87.3</v>
      </c>
      <c r="I879">
        <v>8.4</v>
      </c>
      <c r="K879">
        <v>4.0999999999999996</v>
      </c>
      <c r="M879">
        <v>0.2</v>
      </c>
      <c r="AF879">
        <v>8.8190499999999989</v>
      </c>
      <c r="AI879" t="s">
        <v>0</v>
      </c>
      <c r="AJ879" t="s">
        <v>118</v>
      </c>
      <c r="AK879" t="s">
        <v>1602</v>
      </c>
      <c r="AL879" t="s">
        <v>11</v>
      </c>
      <c r="AM879" t="s">
        <v>11</v>
      </c>
      <c r="AN879" t="s">
        <v>1545</v>
      </c>
      <c r="AO879" t="s">
        <v>11</v>
      </c>
      <c r="AP879" t="s">
        <v>11</v>
      </c>
      <c r="AQ879" t="s">
        <v>11</v>
      </c>
      <c r="AR879" t="s">
        <v>11</v>
      </c>
      <c r="AS879" t="s">
        <v>11</v>
      </c>
      <c r="AT879" t="s">
        <v>11</v>
      </c>
      <c r="AU879" t="s">
        <v>11</v>
      </c>
      <c r="AV879" t="s">
        <v>11</v>
      </c>
      <c r="AW879" t="s">
        <v>11</v>
      </c>
      <c r="AX879" t="s">
        <v>11</v>
      </c>
      <c r="AY879" t="s">
        <v>11</v>
      </c>
      <c r="AZ879" t="s">
        <v>11</v>
      </c>
      <c r="BA879" t="s">
        <v>11</v>
      </c>
      <c r="BB879" t="s">
        <v>11</v>
      </c>
      <c r="BC879" t="s">
        <v>11</v>
      </c>
      <c r="BD879" t="s">
        <v>11</v>
      </c>
      <c r="BE879" t="s">
        <v>11</v>
      </c>
      <c r="BF879" t="s">
        <v>11</v>
      </c>
      <c r="BG879" t="s">
        <v>11</v>
      </c>
      <c r="BH879" t="s">
        <v>5661</v>
      </c>
      <c r="BI879" t="s">
        <v>5658</v>
      </c>
      <c r="BJ879" t="s">
        <v>11</v>
      </c>
    </row>
    <row r="880" spans="1:62" x14ac:dyDescent="0.3">
      <c r="A880" t="s">
        <v>5662</v>
      </c>
      <c r="C880" t="s">
        <v>11</v>
      </c>
      <c r="D880" t="s">
        <v>469</v>
      </c>
      <c r="E880" t="s">
        <v>5660</v>
      </c>
      <c r="F880">
        <v>882</v>
      </c>
      <c r="G880">
        <v>84.8</v>
      </c>
      <c r="I880">
        <v>8.6</v>
      </c>
      <c r="K880">
        <v>6</v>
      </c>
      <c r="M880">
        <v>0.6</v>
      </c>
      <c r="AF880">
        <v>9.0343</v>
      </c>
      <c r="AI880" t="s">
        <v>0</v>
      </c>
      <c r="AJ880" t="s">
        <v>234</v>
      </c>
      <c r="AK880" t="s">
        <v>5311</v>
      </c>
      <c r="AL880" t="s">
        <v>11</v>
      </c>
      <c r="AM880" t="s">
        <v>11</v>
      </c>
      <c r="AN880" t="s">
        <v>2777</v>
      </c>
      <c r="AO880" t="s">
        <v>11</v>
      </c>
      <c r="AP880" t="s">
        <v>11</v>
      </c>
      <c r="AQ880" t="s">
        <v>11</v>
      </c>
      <c r="AR880" t="s">
        <v>11</v>
      </c>
      <c r="AS880" t="s">
        <v>11</v>
      </c>
      <c r="AT880" t="s">
        <v>11</v>
      </c>
      <c r="AU880" t="s">
        <v>11</v>
      </c>
      <c r="AV880" t="s">
        <v>11</v>
      </c>
      <c r="AW880" t="s">
        <v>11</v>
      </c>
      <c r="AX880" t="s">
        <v>11</v>
      </c>
      <c r="AY880" t="s">
        <v>11</v>
      </c>
      <c r="AZ880" t="s">
        <v>11</v>
      </c>
      <c r="BA880" t="s">
        <v>11</v>
      </c>
      <c r="BB880" t="s">
        <v>11</v>
      </c>
      <c r="BC880" t="s">
        <v>11</v>
      </c>
      <c r="BD880" t="s">
        <v>11</v>
      </c>
      <c r="BE880" t="s">
        <v>11</v>
      </c>
      <c r="BF880" t="s">
        <v>11</v>
      </c>
      <c r="BG880" t="s">
        <v>11</v>
      </c>
      <c r="BH880" t="s">
        <v>5663</v>
      </c>
      <c r="BI880" t="s">
        <v>5662</v>
      </c>
      <c r="BJ880" t="s">
        <v>11</v>
      </c>
    </row>
    <row r="881" spans="1:62" x14ac:dyDescent="0.3">
      <c r="A881" t="s">
        <v>5664</v>
      </c>
      <c r="C881" t="s">
        <v>11</v>
      </c>
      <c r="D881" t="s">
        <v>477</v>
      </c>
      <c r="E881" t="s">
        <v>5660</v>
      </c>
      <c r="F881">
        <v>883</v>
      </c>
      <c r="G881">
        <v>82.7</v>
      </c>
      <c r="I881">
        <v>8.5</v>
      </c>
      <c r="K881">
        <v>7.7</v>
      </c>
      <c r="M881">
        <v>1.1000000000000001</v>
      </c>
      <c r="AF881">
        <v>9.2552000000000021</v>
      </c>
      <c r="AI881" t="s">
        <v>0</v>
      </c>
      <c r="AJ881" t="s">
        <v>335</v>
      </c>
      <c r="AK881" t="s">
        <v>185</v>
      </c>
      <c r="AL881" t="s">
        <v>11</v>
      </c>
      <c r="AM881" t="s">
        <v>11</v>
      </c>
      <c r="AN881" t="s">
        <v>2535</v>
      </c>
      <c r="AO881" t="s">
        <v>11</v>
      </c>
      <c r="AP881" t="s">
        <v>11</v>
      </c>
      <c r="AQ881" t="s">
        <v>11</v>
      </c>
      <c r="AR881" t="s">
        <v>11</v>
      </c>
      <c r="AS881" t="s">
        <v>11</v>
      </c>
      <c r="AT881" t="s">
        <v>11</v>
      </c>
      <c r="AU881" t="s">
        <v>11</v>
      </c>
      <c r="AV881" t="s">
        <v>11</v>
      </c>
      <c r="AW881" t="s">
        <v>11</v>
      </c>
      <c r="AX881" t="s">
        <v>11</v>
      </c>
      <c r="AY881" t="s">
        <v>11</v>
      </c>
      <c r="AZ881" t="s">
        <v>11</v>
      </c>
      <c r="BA881" t="s">
        <v>11</v>
      </c>
      <c r="BB881" t="s">
        <v>11</v>
      </c>
      <c r="BC881" t="s">
        <v>11</v>
      </c>
      <c r="BD881" t="s">
        <v>11</v>
      </c>
      <c r="BE881" t="s">
        <v>11</v>
      </c>
      <c r="BF881" t="s">
        <v>11</v>
      </c>
      <c r="BG881" t="s">
        <v>11</v>
      </c>
      <c r="BH881" t="s">
        <v>5665</v>
      </c>
      <c r="BI881" t="s">
        <v>5664</v>
      </c>
      <c r="BJ881" t="s">
        <v>11</v>
      </c>
    </row>
    <row r="882" spans="1:62" x14ac:dyDescent="0.3">
      <c r="A882" t="s">
        <v>5666</v>
      </c>
      <c r="C882" t="s">
        <v>11</v>
      </c>
      <c r="D882" t="s">
        <v>484</v>
      </c>
      <c r="E882" t="s">
        <v>5660</v>
      </c>
      <c r="F882">
        <v>884</v>
      </c>
      <c r="G882">
        <v>80.699999999999989</v>
      </c>
      <c r="I882">
        <v>8.4</v>
      </c>
      <c r="K882">
        <v>9.3000000000000007</v>
      </c>
      <c r="M882">
        <v>1.6</v>
      </c>
      <c r="AF882">
        <v>9.4657499999999981</v>
      </c>
      <c r="AI882" t="s">
        <v>0</v>
      </c>
      <c r="AJ882" t="s">
        <v>118</v>
      </c>
      <c r="AK882" t="s">
        <v>327</v>
      </c>
      <c r="AL882" t="s">
        <v>11</v>
      </c>
      <c r="AM882" t="s">
        <v>11</v>
      </c>
      <c r="AN882" t="s">
        <v>167</v>
      </c>
      <c r="AO882" t="s">
        <v>11</v>
      </c>
      <c r="AP882" t="s">
        <v>11</v>
      </c>
      <c r="AQ882" t="s">
        <v>11</v>
      </c>
      <c r="AR882" t="s">
        <v>11</v>
      </c>
      <c r="AS882" t="s">
        <v>11</v>
      </c>
      <c r="AT882" t="s">
        <v>11</v>
      </c>
      <c r="AU882" t="s">
        <v>11</v>
      </c>
      <c r="AV882" t="s">
        <v>11</v>
      </c>
      <c r="AW882" t="s">
        <v>11</v>
      </c>
      <c r="AX882" t="s">
        <v>11</v>
      </c>
      <c r="AY882" t="s">
        <v>11</v>
      </c>
      <c r="AZ882" t="s">
        <v>11</v>
      </c>
      <c r="BA882" t="s">
        <v>11</v>
      </c>
      <c r="BB882" t="s">
        <v>11</v>
      </c>
      <c r="BC882" t="s">
        <v>11</v>
      </c>
      <c r="BD882" t="s">
        <v>11</v>
      </c>
      <c r="BE882" t="s">
        <v>11</v>
      </c>
      <c r="BF882" t="s">
        <v>11</v>
      </c>
      <c r="BG882" t="s">
        <v>11</v>
      </c>
      <c r="BH882" t="s">
        <v>5667</v>
      </c>
      <c r="BI882" t="s">
        <v>5666</v>
      </c>
      <c r="BJ882" t="s">
        <v>11</v>
      </c>
    </row>
    <row r="883" spans="1:62" x14ac:dyDescent="0.3">
      <c r="A883" t="s">
        <v>5668</v>
      </c>
      <c r="C883" t="s">
        <v>11</v>
      </c>
      <c r="D883" t="s">
        <v>5669</v>
      </c>
      <c r="E883" t="s">
        <v>5660</v>
      </c>
      <c r="F883">
        <v>885</v>
      </c>
      <c r="G883">
        <v>78.8</v>
      </c>
      <c r="I883">
        <v>8.1999999999999993</v>
      </c>
      <c r="K883">
        <v>11</v>
      </c>
      <c r="M883">
        <v>2</v>
      </c>
      <c r="AF883">
        <v>9.6851000000000003</v>
      </c>
      <c r="AI883" t="s">
        <v>0</v>
      </c>
      <c r="AJ883" t="s">
        <v>194</v>
      </c>
      <c r="AK883" t="s">
        <v>5232</v>
      </c>
      <c r="AL883" t="s">
        <v>11</v>
      </c>
      <c r="AM883" t="s">
        <v>11</v>
      </c>
      <c r="AN883" t="s">
        <v>5243</v>
      </c>
      <c r="AO883" t="s">
        <v>11</v>
      </c>
      <c r="AP883" t="s">
        <v>11</v>
      </c>
      <c r="AQ883" t="s">
        <v>11</v>
      </c>
      <c r="AR883" t="s">
        <v>11</v>
      </c>
      <c r="AS883" t="s">
        <v>11</v>
      </c>
      <c r="AT883" t="s">
        <v>11</v>
      </c>
      <c r="AU883" t="s">
        <v>11</v>
      </c>
      <c r="AV883" t="s">
        <v>11</v>
      </c>
      <c r="AW883" t="s">
        <v>11</v>
      </c>
      <c r="AX883" t="s">
        <v>11</v>
      </c>
      <c r="AY883" t="s">
        <v>11</v>
      </c>
      <c r="AZ883" t="s">
        <v>11</v>
      </c>
      <c r="BA883" t="s">
        <v>11</v>
      </c>
      <c r="BB883" t="s">
        <v>11</v>
      </c>
      <c r="BC883" t="s">
        <v>11</v>
      </c>
      <c r="BD883" t="s">
        <v>11</v>
      </c>
      <c r="BE883" t="s">
        <v>11</v>
      </c>
      <c r="BF883" t="s">
        <v>11</v>
      </c>
      <c r="BG883" t="s">
        <v>11</v>
      </c>
      <c r="BH883" t="s">
        <v>5670</v>
      </c>
      <c r="BI883" t="s">
        <v>5668</v>
      </c>
      <c r="BJ883" t="s">
        <v>11</v>
      </c>
    </row>
    <row r="884" spans="1:62" x14ac:dyDescent="0.3">
      <c r="A884" t="s">
        <v>5671</v>
      </c>
      <c r="C884" t="s">
        <v>11</v>
      </c>
      <c r="D884" t="s">
        <v>5672</v>
      </c>
      <c r="E884" t="s">
        <v>5660</v>
      </c>
      <c r="F884">
        <v>886</v>
      </c>
      <c r="G884">
        <v>77</v>
      </c>
      <c r="I884">
        <v>8.1</v>
      </c>
      <c r="K884">
        <v>12.5</v>
      </c>
      <c r="M884">
        <v>2.4</v>
      </c>
      <c r="AF884">
        <v>9.8775500000000012</v>
      </c>
      <c r="AI884" t="s">
        <v>0</v>
      </c>
      <c r="AJ884" t="s">
        <v>99</v>
      </c>
      <c r="AK884" t="s">
        <v>5673</v>
      </c>
      <c r="AL884" t="s">
        <v>11</v>
      </c>
      <c r="AM884" t="s">
        <v>11</v>
      </c>
      <c r="AN884" t="s">
        <v>1322</v>
      </c>
      <c r="AO884" t="s">
        <v>11</v>
      </c>
      <c r="AP884" t="s">
        <v>11</v>
      </c>
      <c r="AQ884" t="s">
        <v>11</v>
      </c>
      <c r="AR884" t="s">
        <v>11</v>
      </c>
      <c r="AS884" t="s">
        <v>11</v>
      </c>
      <c r="AT884" t="s">
        <v>11</v>
      </c>
      <c r="AU884" t="s">
        <v>11</v>
      </c>
      <c r="AV884" t="s">
        <v>11</v>
      </c>
      <c r="AW884" t="s">
        <v>11</v>
      </c>
      <c r="AX884" t="s">
        <v>11</v>
      </c>
      <c r="AY884" t="s">
        <v>11</v>
      </c>
      <c r="AZ884" t="s">
        <v>11</v>
      </c>
      <c r="BA884" t="s">
        <v>11</v>
      </c>
      <c r="BB884" t="s">
        <v>11</v>
      </c>
      <c r="BC884" t="s">
        <v>11</v>
      </c>
      <c r="BD884" t="s">
        <v>11</v>
      </c>
      <c r="BE884" t="s">
        <v>11</v>
      </c>
      <c r="BF884" t="s">
        <v>11</v>
      </c>
      <c r="BG884" t="s">
        <v>11</v>
      </c>
      <c r="BH884" t="s">
        <v>5674</v>
      </c>
      <c r="BI884" t="s">
        <v>5671</v>
      </c>
      <c r="BJ884" t="s">
        <v>11</v>
      </c>
    </row>
    <row r="885" spans="1:62" x14ac:dyDescent="0.3">
      <c r="A885" t="s">
        <v>5675</v>
      </c>
      <c r="C885" t="s">
        <v>11</v>
      </c>
      <c r="D885" t="s">
        <v>5676</v>
      </c>
      <c r="E885" t="s">
        <v>5677</v>
      </c>
      <c r="F885">
        <v>887</v>
      </c>
      <c r="G885">
        <v>41.935999999999993</v>
      </c>
      <c r="H885">
        <v>30.1</v>
      </c>
      <c r="I885">
        <v>7.1</v>
      </c>
      <c r="J885">
        <v>12.1</v>
      </c>
      <c r="K885">
        <v>2</v>
      </c>
      <c r="L885">
        <v>3.5</v>
      </c>
      <c r="M885">
        <v>1</v>
      </c>
      <c r="P885">
        <v>1.6</v>
      </c>
      <c r="Q885">
        <v>0.08</v>
      </c>
      <c r="R885">
        <v>8.9999999999999993E-3</v>
      </c>
      <c r="S885">
        <v>8.5000000000000006E-2</v>
      </c>
      <c r="V885">
        <v>0.39</v>
      </c>
      <c r="Y885">
        <v>0.1</v>
      </c>
      <c r="AF885">
        <v>8.3759089899999992</v>
      </c>
      <c r="AI885" t="s">
        <v>0</v>
      </c>
      <c r="AJ885" t="s">
        <v>1160</v>
      </c>
      <c r="AK885" t="s">
        <v>5223</v>
      </c>
      <c r="AL885" t="s">
        <v>2819</v>
      </c>
      <c r="AM885" t="s">
        <v>1585</v>
      </c>
      <c r="AN885" t="s">
        <v>5217</v>
      </c>
      <c r="AO885" t="s">
        <v>11</v>
      </c>
      <c r="AP885" t="s">
        <v>11</v>
      </c>
      <c r="AQ885" t="s">
        <v>2565</v>
      </c>
      <c r="AR885" t="s">
        <v>4394</v>
      </c>
      <c r="AS885" t="s">
        <v>1531</v>
      </c>
      <c r="AT885" t="s">
        <v>1532</v>
      </c>
      <c r="AU885" t="s">
        <v>4396</v>
      </c>
      <c r="AV885" t="s">
        <v>11</v>
      </c>
      <c r="AW885" t="s">
        <v>11</v>
      </c>
      <c r="AX885" t="s">
        <v>1533</v>
      </c>
      <c r="AY885" t="s">
        <v>11</v>
      </c>
      <c r="AZ885" t="s">
        <v>11</v>
      </c>
      <c r="BA885" t="s">
        <v>1534</v>
      </c>
      <c r="BB885" t="s">
        <v>11</v>
      </c>
      <c r="BC885" t="s">
        <v>11</v>
      </c>
      <c r="BD885" t="s">
        <v>11</v>
      </c>
      <c r="BE885" t="s">
        <v>11</v>
      </c>
      <c r="BF885" t="s">
        <v>11</v>
      </c>
      <c r="BG885" t="s">
        <v>11</v>
      </c>
      <c r="BH885" t="s">
        <v>5678</v>
      </c>
      <c r="BI885" t="s">
        <v>5675</v>
      </c>
      <c r="BJ885" t="s">
        <v>11</v>
      </c>
    </row>
    <row r="886" spans="1:62" x14ac:dyDescent="0.3">
      <c r="A886" t="s">
        <v>5679</v>
      </c>
      <c r="C886" t="s">
        <v>11</v>
      </c>
      <c r="D886" t="s">
        <v>5680</v>
      </c>
      <c r="E886" t="s">
        <v>5681</v>
      </c>
      <c r="F886">
        <v>888</v>
      </c>
      <c r="G886">
        <v>79.960000000000008</v>
      </c>
      <c r="I886">
        <v>9</v>
      </c>
      <c r="K886">
        <v>9</v>
      </c>
      <c r="M886">
        <v>2</v>
      </c>
      <c r="S886">
        <v>0.02</v>
      </c>
      <c r="AD886">
        <v>0.02</v>
      </c>
      <c r="AF886">
        <v>9.4267698000000006</v>
      </c>
      <c r="AI886" t="s">
        <v>0</v>
      </c>
      <c r="AJ886" t="s">
        <v>128</v>
      </c>
      <c r="AK886" t="s">
        <v>5211</v>
      </c>
      <c r="AL886" t="s">
        <v>11</v>
      </c>
      <c r="AM886" t="s">
        <v>11</v>
      </c>
      <c r="AN886" t="s">
        <v>5243</v>
      </c>
      <c r="AO886" t="s">
        <v>11</v>
      </c>
      <c r="AP886" t="s">
        <v>11</v>
      </c>
      <c r="AQ886" t="s">
        <v>11</v>
      </c>
      <c r="AR886" t="s">
        <v>11</v>
      </c>
      <c r="AS886" t="s">
        <v>11</v>
      </c>
      <c r="AT886" t="s">
        <v>11</v>
      </c>
      <c r="AU886" t="s">
        <v>1478</v>
      </c>
      <c r="AV886" t="s">
        <v>11</v>
      </c>
      <c r="AW886" t="s">
        <v>11</v>
      </c>
      <c r="AX886" t="s">
        <v>11</v>
      </c>
      <c r="AY886" t="s">
        <v>11</v>
      </c>
      <c r="AZ886" t="s">
        <v>11</v>
      </c>
      <c r="BA886" t="s">
        <v>11</v>
      </c>
      <c r="BB886" t="s">
        <v>11</v>
      </c>
      <c r="BC886" t="s">
        <v>11</v>
      </c>
      <c r="BD886" t="s">
        <v>11</v>
      </c>
      <c r="BE886" t="s">
        <v>11</v>
      </c>
      <c r="BF886" t="s">
        <v>5682</v>
      </c>
      <c r="BG886" t="s">
        <v>11</v>
      </c>
      <c r="BH886" t="s">
        <v>5683</v>
      </c>
      <c r="BI886" t="s">
        <v>5679</v>
      </c>
      <c r="BJ886" t="s">
        <v>11</v>
      </c>
    </row>
    <row r="887" spans="1:62" x14ac:dyDescent="0.3">
      <c r="A887" t="s">
        <v>5679</v>
      </c>
      <c r="C887" t="s">
        <v>11</v>
      </c>
      <c r="D887" t="s">
        <v>5684</v>
      </c>
      <c r="E887" t="s">
        <v>5685</v>
      </c>
      <c r="F887">
        <v>889</v>
      </c>
      <c r="G887">
        <v>79.960000000000008</v>
      </c>
      <c r="I887">
        <v>9</v>
      </c>
      <c r="K887">
        <v>9</v>
      </c>
      <c r="M887">
        <v>2</v>
      </c>
      <c r="S887">
        <v>0.02</v>
      </c>
      <c r="AD887">
        <v>0.02</v>
      </c>
      <c r="AF887">
        <v>9.4267698000000006</v>
      </c>
      <c r="AI887" t="s">
        <v>0</v>
      </c>
      <c r="AJ887" t="s">
        <v>128</v>
      </c>
      <c r="AK887" t="s">
        <v>5211</v>
      </c>
      <c r="AL887" t="s">
        <v>11</v>
      </c>
      <c r="AM887" t="s">
        <v>11</v>
      </c>
      <c r="AN887" t="s">
        <v>5243</v>
      </c>
      <c r="AO887" t="s">
        <v>11</v>
      </c>
      <c r="AP887" t="s">
        <v>11</v>
      </c>
      <c r="AQ887" t="s">
        <v>11</v>
      </c>
      <c r="AR887" t="s">
        <v>11</v>
      </c>
      <c r="AS887" t="s">
        <v>11</v>
      </c>
      <c r="AT887" t="s">
        <v>11</v>
      </c>
      <c r="AU887" t="s">
        <v>1478</v>
      </c>
      <c r="AV887" t="s">
        <v>11</v>
      </c>
      <c r="AW887" t="s">
        <v>11</v>
      </c>
      <c r="AX887" t="s">
        <v>11</v>
      </c>
      <c r="AY887" t="s">
        <v>11</v>
      </c>
      <c r="AZ887" t="s">
        <v>11</v>
      </c>
      <c r="BA887" t="s">
        <v>11</v>
      </c>
      <c r="BB887" t="s">
        <v>11</v>
      </c>
      <c r="BC887" t="s">
        <v>11</v>
      </c>
      <c r="BD887" t="s">
        <v>11</v>
      </c>
      <c r="BE887" t="s">
        <v>11</v>
      </c>
      <c r="BF887" t="s">
        <v>5682</v>
      </c>
      <c r="BG887" t="s">
        <v>11</v>
      </c>
      <c r="BH887" t="s">
        <v>5686</v>
      </c>
      <c r="BI887" t="s">
        <v>5679</v>
      </c>
      <c r="BJ887" t="s">
        <v>11</v>
      </c>
    </row>
    <row r="888" spans="1:62" x14ac:dyDescent="0.3">
      <c r="A888" t="s">
        <v>5687</v>
      </c>
      <c r="C888" t="s">
        <v>11</v>
      </c>
      <c r="D888" t="s">
        <v>5688</v>
      </c>
      <c r="E888" t="s">
        <v>5689</v>
      </c>
      <c r="F888">
        <v>890</v>
      </c>
      <c r="G888">
        <v>81</v>
      </c>
      <c r="L888">
        <v>8</v>
      </c>
      <c r="O888">
        <v>11</v>
      </c>
      <c r="AF888">
        <v>8.2416600000000013</v>
      </c>
      <c r="AI888" t="s">
        <v>0</v>
      </c>
      <c r="AJ888" t="s">
        <v>11</v>
      </c>
      <c r="AK888" t="s">
        <v>11</v>
      </c>
      <c r="AL888" t="s">
        <v>11</v>
      </c>
      <c r="AM888" t="s">
        <v>11</v>
      </c>
      <c r="AN888" t="s">
        <v>11</v>
      </c>
      <c r="AO888" t="s">
        <v>11</v>
      </c>
      <c r="AP888" t="s">
        <v>5690</v>
      </c>
      <c r="AQ888" t="s">
        <v>5437</v>
      </c>
      <c r="AR888" t="s">
        <v>11</v>
      </c>
      <c r="AS888" t="s">
        <v>11</v>
      </c>
      <c r="AT888" t="s">
        <v>11</v>
      </c>
      <c r="AU888" t="s">
        <v>11</v>
      </c>
      <c r="AV888" t="s">
        <v>11</v>
      </c>
      <c r="AW888" t="s">
        <v>11</v>
      </c>
      <c r="AX888" t="s">
        <v>11</v>
      </c>
      <c r="AY888" t="s">
        <v>11</v>
      </c>
      <c r="AZ888" t="s">
        <v>11</v>
      </c>
      <c r="BA888" t="s">
        <v>11</v>
      </c>
      <c r="BB888" t="s">
        <v>11</v>
      </c>
      <c r="BC888" t="s">
        <v>11</v>
      </c>
      <c r="BD888" t="s">
        <v>11</v>
      </c>
      <c r="BE888" t="s">
        <v>11</v>
      </c>
      <c r="BF888" t="s">
        <v>11</v>
      </c>
      <c r="BG888" t="s">
        <v>11</v>
      </c>
      <c r="BH888" t="s">
        <v>5691</v>
      </c>
      <c r="BI888" t="s">
        <v>5687</v>
      </c>
      <c r="BJ888" t="s">
        <v>11</v>
      </c>
    </row>
    <row r="889" spans="1:62" x14ac:dyDescent="0.3">
      <c r="A889" t="s">
        <v>5692</v>
      </c>
      <c r="C889" t="s">
        <v>11</v>
      </c>
      <c r="D889" t="s">
        <v>5693</v>
      </c>
      <c r="E889" t="s">
        <v>5694</v>
      </c>
      <c r="F889">
        <v>891</v>
      </c>
      <c r="G889">
        <v>76</v>
      </c>
      <c r="H889">
        <v>5</v>
      </c>
      <c r="L889">
        <v>8</v>
      </c>
      <c r="O889">
        <v>11</v>
      </c>
      <c r="AF889">
        <v>8.2420600000000004</v>
      </c>
      <c r="AI889" t="s">
        <v>0</v>
      </c>
      <c r="AJ889" t="s">
        <v>11</v>
      </c>
      <c r="AK889" t="s">
        <v>11</v>
      </c>
      <c r="AL889" t="s">
        <v>5695</v>
      </c>
      <c r="AM889" t="s">
        <v>11</v>
      </c>
      <c r="AN889" t="s">
        <v>11</v>
      </c>
      <c r="AO889" t="s">
        <v>11</v>
      </c>
      <c r="AP889" t="s">
        <v>5690</v>
      </c>
      <c r="AQ889" t="s">
        <v>5437</v>
      </c>
      <c r="AR889" t="s">
        <v>11</v>
      </c>
      <c r="AS889" t="s">
        <v>11</v>
      </c>
      <c r="AT889" t="s">
        <v>11</v>
      </c>
      <c r="AU889" t="s">
        <v>11</v>
      </c>
      <c r="AV889" t="s">
        <v>11</v>
      </c>
      <c r="AW889" t="s">
        <v>11</v>
      </c>
      <c r="AX889" t="s">
        <v>11</v>
      </c>
      <c r="AY889" t="s">
        <v>11</v>
      </c>
      <c r="AZ889" t="s">
        <v>11</v>
      </c>
      <c r="BA889" t="s">
        <v>11</v>
      </c>
      <c r="BB889" t="s">
        <v>11</v>
      </c>
      <c r="BC889" t="s">
        <v>11</v>
      </c>
      <c r="BD889" t="s">
        <v>11</v>
      </c>
      <c r="BE889" t="s">
        <v>11</v>
      </c>
      <c r="BF889" t="s">
        <v>11</v>
      </c>
      <c r="BG889" t="s">
        <v>11</v>
      </c>
      <c r="BH889" t="s">
        <v>5696</v>
      </c>
      <c r="BI889" t="s">
        <v>5692</v>
      </c>
      <c r="BJ889" t="s">
        <v>11</v>
      </c>
    </row>
    <row r="890" spans="1:62" x14ac:dyDescent="0.3">
      <c r="A890" t="s">
        <v>5697</v>
      </c>
      <c r="C890" t="s">
        <v>11</v>
      </c>
      <c r="D890" t="s">
        <v>5698</v>
      </c>
      <c r="E890" t="s">
        <v>5699</v>
      </c>
      <c r="F890">
        <v>892</v>
      </c>
      <c r="G890">
        <v>71</v>
      </c>
      <c r="H890">
        <v>10</v>
      </c>
      <c r="L890">
        <v>8</v>
      </c>
      <c r="O890">
        <v>11</v>
      </c>
      <c r="AF890">
        <v>8.2424600000000012</v>
      </c>
      <c r="AI890" t="s">
        <v>0</v>
      </c>
      <c r="AJ890" t="s">
        <v>11</v>
      </c>
      <c r="AK890" t="s">
        <v>11</v>
      </c>
      <c r="AL890" t="s">
        <v>5598</v>
      </c>
      <c r="AM890" t="s">
        <v>11</v>
      </c>
      <c r="AN890" t="s">
        <v>11</v>
      </c>
      <c r="AO890" t="s">
        <v>11</v>
      </c>
      <c r="AP890" t="s">
        <v>5690</v>
      </c>
      <c r="AQ890" t="s">
        <v>5437</v>
      </c>
      <c r="AR890" t="s">
        <v>11</v>
      </c>
      <c r="AS890" t="s">
        <v>11</v>
      </c>
      <c r="AT890" t="s">
        <v>11</v>
      </c>
      <c r="AU890" t="s">
        <v>11</v>
      </c>
      <c r="AV890" t="s">
        <v>11</v>
      </c>
      <c r="AW890" t="s">
        <v>11</v>
      </c>
      <c r="AX890" t="s">
        <v>11</v>
      </c>
      <c r="AY890" t="s">
        <v>11</v>
      </c>
      <c r="AZ890" t="s">
        <v>11</v>
      </c>
      <c r="BA890" t="s">
        <v>11</v>
      </c>
      <c r="BB890" t="s">
        <v>11</v>
      </c>
      <c r="BC890" t="s">
        <v>11</v>
      </c>
      <c r="BD890" t="s">
        <v>11</v>
      </c>
      <c r="BE890" t="s">
        <v>11</v>
      </c>
      <c r="BF890" t="s">
        <v>11</v>
      </c>
      <c r="BG890" t="s">
        <v>11</v>
      </c>
      <c r="BH890" t="s">
        <v>5700</v>
      </c>
      <c r="BI890" t="s">
        <v>5697</v>
      </c>
      <c r="BJ890" t="s">
        <v>11</v>
      </c>
    </row>
    <row r="891" spans="1:62" x14ac:dyDescent="0.3">
      <c r="A891" t="s">
        <v>5701</v>
      </c>
      <c r="C891" t="s">
        <v>11</v>
      </c>
      <c r="D891" t="s">
        <v>2120</v>
      </c>
      <c r="E891" t="s">
        <v>5702</v>
      </c>
      <c r="F891">
        <v>893</v>
      </c>
      <c r="G891">
        <v>40.800000000000004</v>
      </c>
      <c r="H891">
        <v>29.8</v>
      </c>
      <c r="I891">
        <v>7.8</v>
      </c>
      <c r="J891">
        <v>14.4</v>
      </c>
      <c r="K891">
        <v>2</v>
      </c>
      <c r="L891">
        <v>4.3</v>
      </c>
      <c r="M891">
        <v>0.9</v>
      </c>
      <c r="AF891">
        <v>8.2603950000000008</v>
      </c>
      <c r="AI891" t="s">
        <v>0</v>
      </c>
      <c r="AJ891" t="s">
        <v>1206</v>
      </c>
      <c r="AK891" t="s">
        <v>5223</v>
      </c>
      <c r="AL891" t="s">
        <v>5553</v>
      </c>
      <c r="AM891" t="s">
        <v>5703</v>
      </c>
      <c r="AN891" t="s">
        <v>1266</v>
      </c>
      <c r="AO891" t="s">
        <v>11</v>
      </c>
      <c r="AP891" t="s">
        <v>11</v>
      </c>
      <c r="AQ891" t="s">
        <v>2089</v>
      </c>
      <c r="AR891" t="s">
        <v>11</v>
      </c>
      <c r="AS891" t="s">
        <v>11</v>
      </c>
      <c r="AT891" t="s">
        <v>11</v>
      </c>
      <c r="AU891" t="s">
        <v>11</v>
      </c>
      <c r="AV891" t="s">
        <v>11</v>
      </c>
      <c r="AW891" t="s">
        <v>11</v>
      </c>
      <c r="AX891" t="s">
        <v>11</v>
      </c>
      <c r="AY891" t="s">
        <v>11</v>
      </c>
      <c r="AZ891" t="s">
        <v>11</v>
      </c>
      <c r="BA891" t="s">
        <v>11</v>
      </c>
      <c r="BB891" t="s">
        <v>11</v>
      </c>
      <c r="BC891" t="s">
        <v>11</v>
      </c>
      <c r="BD891" t="s">
        <v>11</v>
      </c>
      <c r="BE891" t="s">
        <v>11</v>
      </c>
      <c r="BF891" t="s">
        <v>11</v>
      </c>
      <c r="BG891" t="s">
        <v>11</v>
      </c>
      <c r="BH891" t="s">
        <v>5704</v>
      </c>
      <c r="BI891" t="s">
        <v>5701</v>
      </c>
      <c r="BJ891" t="s">
        <v>11</v>
      </c>
    </row>
    <row r="892" spans="1:62" x14ac:dyDescent="0.3">
      <c r="A892" t="s">
        <v>5705</v>
      </c>
      <c r="C892" t="s">
        <v>11</v>
      </c>
      <c r="D892" t="s">
        <v>5706</v>
      </c>
      <c r="E892" t="s">
        <v>5707</v>
      </c>
      <c r="F892">
        <v>894</v>
      </c>
      <c r="G892">
        <v>39.800000000000004</v>
      </c>
      <c r="H892">
        <v>29.8</v>
      </c>
      <c r="I892">
        <v>8</v>
      </c>
      <c r="J892">
        <v>14.3</v>
      </c>
      <c r="K892">
        <v>2.9</v>
      </c>
      <c r="L892">
        <v>4.2</v>
      </c>
      <c r="M892">
        <v>1</v>
      </c>
      <c r="AF892">
        <v>8.3549980000000001</v>
      </c>
      <c r="AI892" t="s">
        <v>0</v>
      </c>
      <c r="AJ892" t="s">
        <v>164</v>
      </c>
      <c r="AK892" t="s">
        <v>5708</v>
      </c>
      <c r="AL892" t="s">
        <v>5553</v>
      </c>
      <c r="AM892" t="s">
        <v>5709</v>
      </c>
      <c r="AN892" t="s">
        <v>5217</v>
      </c>
      <c r="AO892" t="s">
        <v>11</v>
      </c>
      <c r="AP892" t="s">
        <v>11</v>
      </c>
      <c r="AQ892" t="s">
        <v>2099</v>
      </c>
      <c r="AR892" t="s">
        <v>11</v>
      </c>
      <c r="AS892" t="s">
        <v>11</v>
      </c>
      <c r="AT892" t="s">
        <v>11</v>
      </c>
      <c r="AU892" t="s">
        <v>11</v>
      </c>
      <c r="AV892" t="s">
        <v>11</v>
      </c>
      <c r="AW892" t="s">
        <v>11</v>
      </c>
      <c r="AX892" t="s">
        <v>11</v>
      </c>
      <c r="AY892" t="s">
        <v>11</v>
      </c>
      <c r="AZ892" t="s">
        <v>11</v>
      </c>
      <c r="BA892" t="s">
        <v>11</v>
      </c>
      <c r="BB892" t="s">
        <v>11</v>
      </c>
      <c r="BC892" t="s">
        <v>11</v>
      </c>
      <c r="BD892" t="s">
        <v>11</v>
      </c>
      <c r="BE892" t="s">
        <v>11</v>
      </c>
      <c r="BF892" t="s">
        <v>11</v>
      </c>
      <c r="BG892" t="s">
        <v>11</v>
      </c>
      <c r="BH892" t="s">
        <v>5710</v>
      </c>
      <c r="BI892" t="s">
        <v>5705</v>
      </c>
      <c r="BJ892" t="s">
        <v>11</v>
      </c>
    </row>
    <row r="893" spans="1:62" x14ac:dyDescent="0.3">
      <c r="A893" t="s">
        <v>5711</v>
      </c>
      <c r="C893" t="s">
        <v>11</v>
      </c>
      <c r="D893" t="s">
        <v>5712</v>
      </c>
      <c r="E893" t="s">
        <v>5713</v>
      </c>
      <c r="F893">
        <v>895</v>
      </c>
      <c r="G893">
        <v>39.899999999999991</v>
      </c>
      <c r="H893">
        <v>29.8</v>
      </c>
      <c r="I893">
        <v>7.9</v>
      </c>
      <c r="J893">
        <v>14.2</v>
      </c>
      <c r="K893">
        <v>2</v>
      </c>
      <c r="L893">
        <v>4.2</v>
      </c>
      <c r="M893">
        <v>1</v>
      </c>
      <c r="P893">
        <v>1</v>
      </c>
      <c r="AF893">
        <v>8.2835579999999975</v>
      </c>
      <c r="AI893" t="s">
        <v>0</v>
      </c>
      <c r="AJ893" t="s">
        <v>430</v>
      </c>
      <c r="AK893" t="s">
        <v>5223</v>
      </c>
      <c r="AL893" t="s">
        <v>5553</v>
      </c>
      <c r="AM893" t="s">
        <v>5714</v>
      </c>
      <c r="AN893" t="s">
        <v>5217</v>
      </c>
      <c r="AO893" t="s">
        <v>11</v>
      </c>
      <c r="AP893" t="s">
        <v>11</v>
      </c>
      <c r="AQ893" t="s">
        <v>2099</v>
      </c>
      <c r="AR893" t="s">
        <v>5312</v>
      </c>
      <c r="AS893" t="s">
        <v>11</v>
      </c>
      <c r="AT893" t="s">
        <v>11</v>
      </c>
      <c r="AU893" t="s">
        <v>11</v>
      </c>
      <c r="AV893" t="s">
        <v>11</v>
      </c>
      <c r="AW893" t="s">
        <v>11</v>
      </c>
      <c r="AX893" t="s">
        <v>11</v>
      </c>
      <c r="AY893" t="s">
        <v>11</v>
      </c>
      <c r="AZ893" t="s">
        <v>11</v>
      </c>
      <c r="BA893" t="s">
        <v>11</v>
      </c>
      <c r="BB893" t="s">
        <v>11</v>
      </c>
      <c r="BC893" t="s">
        <v>11</v>
      </c>
      <c r="BD893" t="s">
        <v>11</v>
      </c>
      <c r="BE893" t="s">
        <v>11</v>
      </c>
      <c r="BF893" t="s">
        <v>11</v>
      </c>
      <c r="BG893" t="s">
        <v>11</v>
      </c>
      <c r="BH893" t="s">
        <v>5715</v>
      </c>
      <c r="BI893" t="s">
        <v>5711</v>
      </c>
      <c r="BJ893" t="s">
        <v>11</v>
      </c>
    </row>
    <row r="894" spans="1:62" x14ac:dyDescent="0.3">
      <c r="A894" t="s">
        <v>5716</v>
      </c>
      <c r="C894" t="s">
        <v>11</v>
      </c>
      <c r="D894" t="s">
        <v>5717</v>
      </c>
      <c r="E894" t="s">
        <v>5718</v>
      </c>
      <c r="F894">
        <v>896</v>
      </c>
      <c r="G894">
        <v>39.70000000000001</v>
      </c>
      <c r="H894">
        <v>30</v>
      </c>
      <c r="I894">
        <v>7.8</v>
      </c>
      <c r="J894">
        <v>14.3</v>
      </c>
      <c r="K894">
        <v>2</v>
      </c>
      <c r="L894">
        <v>5.3</v>
      </c>
      <c r="M894">
        <v>0.9</v>
      </c>
      <c r="AF894">
        <v>8.2181910000000009</v>
      </c>
      <c r="AI894" t="s">
        <v>0</v>
      </c>
      <c r="AJ894" t="s">
        <v>1206</v>
      </c>
      <c r="AK894" t="s">
        <v>5223</v>
      </c>
      <c r="AL894" t="s">
        <v>5386</v>
      </c>
      <c r="AM894" t="s">
        <v>5709</v>
      </c>
      <c r="AN894" t="s">
        <v>1266</v>
      </c>
      <c r="AO894" t="s">
        <v>11</v>
      </c>
      <c r="AP894" t="s">
        <v>11</v>
      </c>
      <c r="AQ894" t="s">
        <v>1095</v>
      </c>
      <c r="AR894" t="s">
        <v>11</v>
      </c>
      <c r="AS894" t="s">
        <v>11</v>
      </c>
      <c r="AT894" t="s">
        <v>11</v>
      </c>
      <c r="AU894" t="s">
        <v>11</v>
      </c>
      <c r="AV894" t="s">
        <v>11</v>
      </c>
      <c r="AW894" t="s">
        <v>11</v>
      </c>
      <c r="AX894" t="s">
        <v>11</v>
      </c>
      <c r="AY894" t="s">
        <v>11</v>
      </c>
      <c r="AZ894" t="s">
        <v>11</v>
      </c>
      <c r="BA894" t="s">
        <v>11</v>
      </c>
      <c r="BB894" t="s">
        <v>11</v>
      </c>
      <c r="BC894" t="s">
        <v>11</v>
      </c>
      <c r="BD894" t="s">
        <v>11</v>
      </c>
      <c r="BE894" t="s">
        <v>11</v>
      </c>
      <c r="BF894" t="s">
        <v>11</v>
      </c>
      <c r="BG894" t="s">
        <v>11</v>
      </c>
      <c r="BH894" t="s">
        <v>5719</v>
      </c>
      <c r="BI894" t="s">
        <v>5716</v>
      </c>
      <c r="BJ894" t="s">
        <v>11</v>
      </c>
    </row>
    <row r="895" spans="1:62" x14ac:dyDescent="0.3">
      <c r="A895" t="s">
        <v>5246</v>
      </c>
      <c r="C895" t="s">
        <v>11</v>
      </c>
      <c r="D895" t="s">
        <v>5720</v>
      </c>
      <c r="E895" t="s">
        <v>5721</v>
      </c>
      <c r="F895">
        <v>897</v>
      </c>
      <c r="G895">
        <v>59.199999999999996</v>
      </c>
      <c r="H895">
        <v>20.399999999999999</v>
      </c>
      <c r="I895">
        <v>9.8000000000000007</v>
      </c>
      <c r="K895">
        <v>7.4</v>
      </c>
      <c r="L895">
        <v>2.7</v>
      </c>
      <c r="Q895">
        <v>0.4</v>
      </c>
      <c r="S895">
        <v>0.1</v>
      </c>
      <c r="AF895">
        <v>8.9083210000000008</v>
      </c>
      <c r="AI895" t="s">
        <v>0</v>
      </c>
      <c r="AJ895" t="s">
        <v>1319</v>
      </c>
      <c r="AK895" t="s">
        <v>584</v>
      </c>
      <c r="AL895" t="s">
        <v>1668</v>
      </c>
      <c r="AM895" t="s">
        <v>11</v>
      </c>
      <c r="AN895" t="s">
        <v>11</v>
      </c>
      <c r="AO895" t="s">
        <v>11</v>
      </c>
      <c r="AP895" t="s">
        <v>11</v>
      </c>
      <c r="AQ895" t="s">
        <v>1153</v>
      </c>
      <c r="AR895" t="s">
        <v>11</v>
      </c>
      <c r="AS895" t="s">
        <v>5249</v>
      </c>
      <c r="AT895" t="s">
        <v>11</v>
      </c>
      <c r="AU895" t="s">
        <v>5250</v>
      </c>
      <c r="AV895" t="s">
        <v>11</v>
      </c>
      <c r="AW895" t="s">
        <v>11</v>
      </c>
      <c r="AX895" t="s">
        <v>11</v>
      </c>
      <c r="AY895" t="s">
        <v>11</v>
      </c>
      <c r="AZ895" t="s">
        <v>11</v>
      </c>
      <c r="BA895" t="s">
        <v>11</v>
      </c>
      <c r="BB895" t="s">
        <v>11</v>
      </c>
      <c r="BC895" t="s">
        <v>11</v>
      </c>
      <c r="BD895" t="s">
        <v>11</v>
      </c>
      <c r="BE895" t="s">
        <v>11</v>
      </c>
      <c r="BF895" t="s">
        <v>11</v>
      </c>
      <c r="BG895" t="s">
        <v>11</v>
      </c>
      <c r="BH895" t="s">
        <v>5722</v>
      </c>
      <c r="BI895" t="s">
        <v>5246</v>
      </c>
      <c r="BJ895" t="s">
        <v>11</v>
      </c>
    </row>
    <row r="896" spans="1:62" x14ac:dyDescent="0.3">
      <c r="A896" t="s">
        <v>5723</v>
      </c>
      <c r="C896" t="s">
        <v>11</v>
      </c>
      <c r="D896" t="s">
        <v>5724</v>
      </c>
      <c r="E896" t="s">
        <v>5725</v>
      </c>
      <c r="F896">
        <v>898</v>
      </c>
      <c r="G896">
        <v>51</v>
      </c>
      <c r="H896">
        <v>30</v>
      </c>
      <c r="I896">
        <v>10</v>
      </c>
      <c r="L896">
        <v>2</v>
      </c>
      <c r="M896">
        <v>2</v>
      </c>
      <c r="P896">
        <v>5</v>
      </c>
      <c r="AF896">
        <v>8.4185400000000001</v>
      </c>
      <c r="AI896" t="s">
        <v>0</v>
      </c>
      <c r="AJ896" t="s">
        <v>22</v>
      </c>
      <c r="AK896" t="s">
        <v>11</v>
      </c>
      <c r="AL896" t="s">
        <v>5386</v>
      </c>
      <c r="AM896" t="s">
        <v>11</v>
      </c>
      <c r="AN896" t="s">
        <v>5243</v>
      </c>
      <c r="AO896" t="s">
        <v>11</v>
      </c>
      <c r="AP896" t="s">
        <v>11</v>
      </c>
      <c r="AQ896" t="s">
        <v>5559</v>
      </c>
      <c r="AR896" t="s">
        <v>5468</v>
      </c>
      <c r="AS896" t="s">
        <v>11</v>
      </c>
      <c r="AT896" t="s">
        <v>11</v>
      </c>
      <c r="AU896" t="s">
        <v>11</v>
      </c>
      <c r="AV896" t="s">
        <v>11</v>
      </c>
      <c r="AW896" t="s">
        <v>11</v>
      </c>
      <c r="AX896" t="s">
        <v>11</v>
      </c>
      <c r="AY896" t="s">
        <v>11</v>
      </c>
      <c r="AZ896" t="s">
        <v>11</v>
      </c>
      <c r="BA896" t="s">
        <v>11</v>
      </c>
      <c r="BB896" t="s">
        <v>11</v>
      </c>
      <c r="BC896" t="s">
        <v>11</v>
      </c>
      <c r="BD896" t="s">
        <v>11</v>
      </c>
      <c r="BE896" t="s">
        <v>11</v>
      </c>
      <c r="BF896" t="s">
        <v>11</v>
      </c>
      <c r="BG896" t="s">
        <v>11</v>
      </c>
      <c r="BH896" t="s">
        <v>5726</v>
      </c>
      <c r="BI896" t="s">
        <v>5723</v>
      </c>
      <c r="BJ896" t="s">
        <v>11</v>
      </c>
    </row>
    <row r="897" spans="1:62" x14ac:dyDescent="0.3">
      <c r="A897" t="s">
        <v>5727</v>
      </c>
      <c r="C897" t="s">
        <v>11</v>
      </c>
      <c r="D897" t="s">
        <v>5728</v>
      </c>
      <c r="E897" t="s">
        <v>5729</v>
      </c>
      <c r="F897">
        <v>899</v>
      </c>
      <c r="G897">
        <v>43.2</v>
      </c>
      <c r="H897">
        <v>32</v>
      </c>
      <c r="I897">
        <v>8</v>
      </c>
      <c r="J897">
        <v>6</v>
      </c>
      <c r="K897">
        <v>5.7</v>
      </c>
      <c r="L897">
        <v>2.8</v>
      </c>
      <c r="M897">
        <v>1.8</v>
      </c>
      <c r="V897">
        <v>0.4</v>
      </c>
      <c r="Y897">
        <v>0.1</v>
      </c>
      <c r="AF897">
        <v>8.888536000000002</v>
      </c>
      <c r="AI897" t="s">
        <v>0</v>
      </c>
      <c r="AJ897" t="s">
        <v>164</v>
      </c>
      <c r="AK897" t="s">
        <v>214</v>
      </c>
      <c r="AL897" t="s">
        <v>5354</v>
      </c>
      <c r="AM897" t="s">
        <v>5730</v>
      </c>
      <c r="AN897" t="s">
        <v>205</v>
      </c>
      <c r="AO897" t="s">
        <v>11</v>
      </c>
      <c r="AP897" t="s">
        <v>11</v>
      </c>
      <c r="AQ897" t="s">
        <v>1461</v>
      </c>
      <c r="AR897" t="s">
        <v>11</v>
      </c>
      <c r="AS897" t="s">
        <v>11</v>
      </c>
      <c r="AT897" t="s">
        <v>11</v>
      </c>
      <c r="AU897" t="s">
        <v>11</v>
      </c>
      <c r="AV897" t="s">
        <v>11</v>
      </c>
      <c r="AW897" t="s">
        <v>11</v>
      </c>
      <c r="AX897" t="s">
        <v>1533</v>
      </c>
      <c r="AY897" t="s">
        <v>11</v>
      </c>
      <c r="AZ897" t="s">
        <v>11</v>
      </c>
      <c r="BA897" t="s">
        <v>1534</v>
      </c>
      <c r="BB897" t="s">
        <v>11</v>
      </c>
      <c r="BC897" t="s">
        <v>11</v>
      </c>
      <c r="BD897" t="s">
        <v>11</v>
      </c>
      <c r="BE897" t="s">
        <v>11</v>
      </c>
      <c r="BF897" t="s">
        <v>11</v>
      </c>
      <c r="BG897" t="s">
        <v>11</v>
      </c>
      <c r="BH897" t="s">
        <v>5731</v>
      </c>
      <c r="BI897" t="s">
        <v>5727</v>
      </c>
      <c r="BJ897" t="s">
        <v>11</v>
      </c>
    </row>
    <row r="898" spans="1:62" x14ac:dyDescent="0.3">
      <c r="A898" t="s">
        <v>0</v>
      </c>
      <c r="C898" t="s">
        <v>11</v>
      </c>
      <c r="D898" t="s">
        <v>1528</v>
      </c>
      <c r="E898" t="s">
        <v>5732</v>
      </c>
      <c r="F898">
        <v>900</v>
      </c>
      <c r="G898">
        <v>100</v>
      </c>
      <c r="AF898">
        <v>8.9</v>
      </c>
      <c r="AI898" t="s">
        <v>0</v>
      </c>
      <c r="AJ898" t="s">
        <v>11</v>
      </c>
      <c r="AK898" t="s">
        <v>11</v>
      </c>
      <c r="AL898" t="s">
        <v>11</v>
      </c>
      <c r="AM898" t="s">
        <v>11</v>
      </c>
      <c r="AN898" t="s">
        <v>11</v>
      </c>
      <c r="AO898" t="s">
        <v>11</v>
      </c>
      <c r="AP898" t="s">
        <v>11</v>
      </c>
      <c r="AQ898" t="s">
        <v>11</v>
      </c>
      <c r="AR898" t="s">
        <v>11</v>
      </c>
      <c r="AS898" t="s">
        <v>11</v>
      </c>
      <c r="AT898" t="s">
        <v>11</v>
      </c>
      <c r="AU898" t="s">
        <v>11</v>
      </c>
      <c r="AV898" t="s">
        <v>11</v>
      </c>
      <c r="AW898" t="s">
        <v>11</v>
      </c>
      <c r="AX898" t="s">
        <v>11</v>
      </c>
      <c r="AY898" t="s">
        <v>11</v>
      </c>
      <c r="AZ898" t="s">
        <v>11</v>
      </c>
      <c r="BA898" t="s">
        <v>11</v>
      </c>
      <c r="BB898" t="s">
        <v>11</v>
      </c>
      <c r="BC898" t="s">
        <v>11</v>
      </c>
      <c r="BD898" t="s">
        <v>11</v>
      </c>
      <c r="BE898" t="s">
        <v>11</v>
      </c>
      <c r="BF898" t="s">
        <v>11</v>
      </c>
      <c r="BG898" t="s">
        <v>11</v>
      </c>
      <c r="BH898" t="s">
        <v>5733</v>
      </c>
      <c r="BI898" t="s">
        <v>0</v>
      </c>
      <c r="BJ898" t="s">
        <v>11</v>
      </c>
    </row>
    <row r="899" spans="1:62" x14ac:dyDescent="0.3">
      <c r="A899" t="s">
        <v>0</v>
      </c>
      <c r="C899" t="s">
        <v>11</v>
      </c>
      <c r="D899" t="s">
        <v>1540</v>
      </c>
      <c r="E899" t="s">
        <v>5732</v>
      </c>
      <c r="F899">
        <v>901</v>
      </c>
      <c r="G899">
        <v>100</v>
      </c>
      <c r="AF899">
        <v>8.9</v>
      </c>
      <c r="AI899" t="s">
        <v>0</v>
      </c>
      <c r="AJ899" t="s">
        <v>11</v>
      </c>
      <c r="AK899" t="s">
        <v>11</v>
      </c>
      <c r="AL899" t="s">
        <v>11</v>
      </c>
      <c r="AM899" t="s">
        <v>11</v>
      </c>
      <c r="AN899" t="s">
        <v>11</v>
      </c>
      <c r="AO899" t="s">
        <v>11</v>
      </c>
      <c r="AP899" t="s">
        <v>11</v>
      </c>
      <c r="AQ899" t="s">
        <v>11</v>
      </c>
      <c r="AR899" t="s">
        <v>11</v>
      </c>
      <c r="AS899" t="s">
        <v>11</v>
      </c>
      <c r="AT899" t="s">
        <v>11</v>
      </c>
      <c r="AU899" t="s">
        <v>11</v>
      </c>
      <c r="AV899" t="s">
        <v>11</v>
      </c>
      <c r="AW899" t="s">
        <v>11</v>
      </c>
      <c r="AX899" t="s">
        <v>11</v>
      </c>
      <c r="AY899" t="s">
        <v>11</v>
      </c>
      <c r="AZ899" t="s">
        <v>11</v>
      </c>
      <c r="BA899" t="s">
        <v>11</v>
      </c>
      <c r="BB899" t="s">
        <v>11</v>
      </c>
      <c r="BC899" t="s">
        <v>11</v>
      </c>
      <c r="BD899" t="s">
        <v>11</v>
      </c>
      <c r="BE899" t="s">
        <v>11</v>
      </c>
      <c r="BF899" t="s">
        <v>11</v>
      </c>
      <c r="BG899" t="s">
        <v>11</v>
      </c>
      <c r="BH899" t="s">
        <v>5734</v>
      </c>
      <c r="BI899" t="s">
        <v>0</v>
      </c>
      <c r="BJ899" t="s">
        <v>11</v>
      </c>
    </row>
    <row r="900" spans="1:62" x14ac:dyDescent="0.3">
      <c r="A900" t="s">
        <v>5735</v>
      </c>
      <c r="C900" t="s">
        <v>11</v>
      </c>
      <c r="D900" t="s">
        <v>5736</v>
      </c>
      <c r="E900" t="s">
        <v>5732</v>
      </c>
      <c r="F900">
        <v>902</v>
      </c>
      <c r="G900">
        <v>34.92</v>
      </c>
      <c r="H900">
        <v>35</v>
      </c>
      <c r="I900">
        <v>7.5</v>
      </c>
      <c r="J900">
        <v>15</v>
      </c>
      <c r="K900">
        <v>5</v>
      </c>
      <c r="L900">
        <v>1</v>
      </c>
      <c r="M900">
        <v>1</v>
      </c>
      <c r="S900">
        <v>0.08</v>
      </c>
      <c r="V900">
        <v>0.4</v>
      </c>
      <c r="Y900">
        <v>0.1</v>
      </c>
      <c r="AF900">
        <v>8.7053480000000008</v>
      </c>
      <c r="AI900" t="s">
        <v>0</v>
      </c>
      <c r="AJ900" t="s">
        <v>297</v>
      </c>
      <c r="AK900" t="s">
        <v>5588</v>
      </c>
      <c r="AL900" t="s">
        <v>5737</v>
      </c>
      <c r="AM900" t="s">
        <v>5738</v>
      </c>
      <c r="AN900" t="s">
        <v>5217</v>
      </c>
      <c r="AO900" t="s">
        <v>11</v>
      </c>
      <c r="AP900" t="s">
        <v>11</v>
      </c>
      <c r="AQ900" t="s">
        <v>5481</v>
      </c>
      <c r="AR900" t="s">
        <v>11</v>
      </c>
      <c r="AS900" t="s">
        <v>11</v>
      </c>
      <c r="AT900" t="s">
        <v>11</v>
      </c>
      <c r="AU900" t="s">
        <v>352</v>
      </c>
      <c r="AV900" t="s">
        <v>11</v>
      </c>
      <c r="AW900" t="s">
        <v>11</v>
      </c>
      <c r="AX900" t="s">
        <v>1533</v>
      </c>
      <c r="AY900" t="s">
        <v>11</v>
      </c>
      <c r="AZ900" t="s">
        <v>11</v>
      </c>
      <c r="BA900" t="s">
        <v>1534</v>
      </c>
      <c r="BB900" t="s">
        <v>11</v>
      </c>
      <c r="BC900" t="s">
        <v>11</v>
      </c>
      <c r="BD900" t="s">
        <v>11</v>
      </c>
      <c r="BE900" t="s">
        <v>11</v>
      </c>
      <c r="BF900" t="s">
        <v>11</v>
      </c>
      <c r="BG900" t="s">
        <v>11</v>
      </c>
      <c r="BH900" t="s">
        <v>5739</v>
      </c>
      <c r="BI900" t="s">
        <v>5735</v>
      </c>
      <c r="BJ900" t="s">
        <v>11</v>
      </c>
    </row>
    <row r="901" spans="1:62" x14ac:dyDescent="0.3">
      <c r="A901" t="s">
        <v>5740</v>
      </c>
      <c r="C901" t="s">
        <v>11</v>
      </c>
      <c r="D901" t="s">
        <v>5741</v>
      </c>
      <c r="E901" t="s">
        <v>5732</v>
      </c>
      <c r="F901">
        <v>903</v>
      </c>
      <c r="G901">
        <v>34.92</v>
      </c>
      <c r="H901">
        <v>35</v>
      </c>
      <c r="I901">
        <v>9</v>
      </c>
      <c r="J901">
        <v>15</v>
      </c>
      <c r="K901">
        <v>5</v>
      </c>
      <c r="L901">
        <v>0.3</v>
      </c>
      <c r="M901">
        <v>0.2</v>
      </c>
      <c r="S901">
        <v>0.08</v>
      </c>
      <c r="V901">
        <v>0.4</v>
      </c>
      <c r="Y901">
        <v>0.1</v>
      </c>
      <c r="AF901">
        <v>8.581099</v>
      </c>
      <c r="AI901" t="s">
        <v>0</v>
      </c>
      <c r="AJ901" t="s">
        <v>128</v>
      </c>
      <c r="AK901" t="s">
        <v>5588</v>
      </c>
      <c r="AL901" t="s">
        <v>5737</v>
      </c>
      <c r="AM901" t="s">
        <v>5738</v>
      </c>
      <c r="AN901" t="s">
        <v>1545</v>
      </c>
      <c r="AO901" t="s">
        <v>11</v>
      </c>
      <c r="AP901" t="s">
        <v>11</v>
      </c>
      <c r="AQ901" t="s">
        <v>1546</v>
      </c>
      <c r="AR901" t="s">
        <v>11</v>
      </c>
      <c r="AS901" t="s">
        <v>11</v>
      </c>
      <c r="AT901" t="s">
        <v>11</v>
      </c>
      <c r="AU901" t="s">
        <v>352</v>
      </c>
      <c r="AV901" t="s">
        <v>11</v>
      </c>
      <c r="AW901" t="s">
        <v>11</v>
      </c>
      <c r="AX901" t="s">
        <v>1533</v>
      </c>
      <c r="AY901" t="s">
        <v>11</v>
      </c>
      <c r="AZ901" t="s">
        <v>11</v>
      </c>
      <c r="BA901" t="s">
        <v>1534</v>
      </c>
      <c r="BB901" t="s">
        <v>11</v>
      </c>
      <c r="BC901" t="s">
        <v>11</v>
      </c>
      <c r="BD901" t="s">
        <v>11</v>
      </c>
      <c r="BE901" t="s">
        <v>11</v>
      </c>
      <c r="BF901" t="s">
        <v>11</v>
      </c>
      <c r="BG901" t="s">
        <v>11</v>
      </c>
      <c r="BH901" t="s">
        <v>5742</v>
      </c>
      <c r="BI901" t="s">
        <v>5740</v>
      </c>
      <c r="BJ901" t="s">
        <v>11</v>
      </c>
    </row>
    <row r="902" spans="1:62" x14ac:dyDescent="0.3">
      <c r="A902" t="s">
        <v>5743</v>
      </c>
      <c r="C902" t="s">
        <v>11</v>
      </c>
      <c r="D902" t="s">
        <v>5744</v>
      </c>
      <c r="E902" t="s">
        <v>5745</v>
      </c>
      <c r="F902">
        <v>904</v>
      </c>
      <c r="G902">
        <v>31.799999999999997</v>
      </c>
      <c r="H902">
        <v>34.82</v>
      </c>
      <c r="I902">
        <v>4.33</v>
      </c>
      <c r="J902">
        <v>19.649999999999999</v>
      </c>
      <c r="L902">
        <v>0.97</v>
      </c>
      <c r="N902">
        <v>1.89</v>
      </c>
      <c r="P902">
        <v>4.87</v>
      </c>
      <c r="W902">
        <v>1.67</v>
      </c>
      <c r="AF902">
        <v>8.2995333000000002</v>
      </c>
      <c r="AI902" t="s">
        <v>0</v>
      </c>
      <c r="AJ902" t="s">
        <v>1057</v>
      </c>
      <c r="AK902" t="s">
        <v>11</v>
      </c>
      <c r="AL902" t="s">
        <v>3450</v>
      </c>
      <c r="AM902" t="s">
        <v>5746</v>
      </c>
      <c r="AN902" t="s">
        <v>11</v>
      </c>
      <c r="AO902" t="s">
        <v>14</v>
      </c>
      <c r="AP902" t="s">
        <v>11</v>
      </c>
      <c r="AQ902" t="s">
        <v>5481</v>
      </c>
      <c r="AR902" t="s">
        <v>2820</v>
      </c>
      <c r="AS902" t="s">
        <v>11</v>
      </c>
      <c r="AT902" t="s">
        <v>11</v>
      </c>
      <c r="AU902" t="s">
        <v>11</v>
      </c>
      <c r="AV902" t="s">
        <v>11</v>
      </c>
      <c r="AW902" t="s">
        <v>11</v>
      </c>
      <c r="AX902" t="s">
        <v>11</v>
      </c>
      <c r="AY902" t="s">
        <v>5483</v>
      </c>
      <c r="AZ902" t="s">
        <v>11</v>
      </c>
      <c r="BA902" t="s">
        <v>11</v>
      </c>
      <c r="BB902" t="s">
        <v>11</v>
      </c>
      <c r="BC902" t="s">
        <v>11</v>
      </c>
      <c r="BD902" t="s">
        <v>11</v>
      </c>
      <c r="BE902" t="s">
        <v>11</v>
      </c>
      <c r="BF902" t="s">
        <v>11</v>
      </c>
      <c r="BG902" t="s">
        <v>11</v>
      </c>
      <c r="BH902" t="s">
        <v>5747</v>
      </c>
      <c r="BI902" t="s">
        <v>5743</v>
      </c>
      <c r="BJ902" t="s">
        <v>11</v>
      </c>
    </row>
    <row r="903" spans="1:62" x14ac:dyDescent="0.3">
      <c r="A903" t="s">
        <v>5748</v>
      </c>
      <c r="C903" t="s">
        <v>11</v>
      </c>
      <c r="D903" t="s">
        <v>4928</v>
      </c>
      <c r="E903" t="s">
        <v>5749</v>
      </c>
      <c r="F903">
        <v>905</v>
      </c>
      <c r="G903">
        <v>56.9</v>
      </c>
      <c r="H903">
        <v>29.6</v>
      </c>
      <c r="I903">
        <v>10.5</v>
      </c>
      <c r="N903">
        <v>3</v>
      </c>
      <c r="AF903">
        <v>8.2414679999999993</v>
      </c>
      <c r="AI903" t="s">
        <v>0</v>
      </c>
      <c r="AJ903" t="s">
        <v>1256</v>
      </c>
      <c r="AK903" t="s">
        <v>11</v>
      </c>
      <c r="AL903" t="s">
        <v>1746</v>
      </c>
      <c r="AM903" t="s">
        <v>11</v>
      </c>
      <c r="AN903" t="s">
        <v>11</v>
      </c>
      <c r="AO903" t="s">
        <v>5617</v>
      </c>
      <c r="AP903" t="s">
        <v>11</v>
      </c>
      <c r="AQ903" t="s">
        <v>11</v>
      </c>
      <c r="AR903" t="s">
        <v>11</v>
      </c>
      <c r="AS903" t="s">
        <v>11</v>
      </c>
      <c r="AT903" t="s">
        <v>11</v>
      </c>
      <c r="AU903" t="s">
        <v>11</v>
      </c>
      <c r="AV903" t="s">
        <v>11</v>
      </c>
      <c r="AW903" t="s">
        <v>11</v>
      </c>
      <c r="AX903" t="s">
        <v>11</v>
      </c>
      <c r="AY903" t="s">
        <v>11</v>
      </c>
      <c r="AZ903" t="s">
        <v>11</v>
      </c>
      <c r="BA903" t="s">
        <v>11</v>
      </c>
      <c r="BB903" t="s">
        <v>11</v>
      </c>
      <c r="BC903" t="s">
        <v>11</v>
      </c>
      <c r="BD903" t="s">
        <v>11</v>
      </c>
      <c r="BE903" t="s">
        <v>11</v>
      </c>
      <c r="BF903" t="s">
        <v>11</v>
      </c>
      <c r="BG903" t="s">
        <v>11</v>
      </c>
      <c r="BH903" t="s">
        <v>5750</v>
      </c>
      <c r="BI903" t="s">
        <v>5748</v>
      </c>
      <c r="BJ903" t="s">
        <v>11</v>
      </c>
    </row>
    <row r="904" spans="1:62" x14ac:dyDescent="0.3">
      <c r="A904" t="s">
        <v>5751</v>
      </c>
      <c r="C904" t="s">
        <v>11</v>
      </c>
      <c r="D904" t="s">
        <v>5752</v>
      </c>
      <c r="E904" t="s">
        <v>5753</v>
      </c>
      <c r="F904">
        <v>906</v>
      </c>
      <c r="G904">
        <v>55.599999999999994</v>
      </c>
      <c r="H904">
        <v>28.9</v>
      </c>
      <c r="I904">
        <v>10.3</v>
      </c>
      <c r="L904">
        <v>2.1</v>
      </c>
      <c r="N904">
        <v>3.1</v>
      </c>
      <c r="AF904">
        <v>8.1612289999999987</v>
      </c>
      <c r="AI904" t="s">
        <v>0</v>
      </c>
      <c r="AJ904" t="s">
        <v>1972</v>
      </c>
      <c r="AK904" t="s">
        <v>11</v>
      </c>
      <c r="AL904" t="s">
        <v>1248</v>
      </c>
      <c r="AM904" t="s">
        <v>11</v>
      </c>
      <c r="AN904" t="s">
        <v>11</v>
      </c>
      <c r="AO904" t="s">
        <v>5754</v>
      </c>
      <c r="AP904" t="s">
        <v>11</v>
      </c>
      <c r="AQ904" t="s">
        <v>422</v>
      </c>
      <c r="AR904" t="s">
        <v>11</v>
      </c>
      <c r="AS904" t="s">
        <v>11</v>
      </c>
      <c r="AT904" t="s">
        <v>11</v>
      </c>
      <c r="AU904" t="s">
        <v>11</v>
      </c>
      <c r="AV904" t="s">
        <v>11</v>
      </c>
      <c r="AW904" t="s">
        <v>11</v>
      </c>
      <c r="AX904" t="s">
        <v>11</v>
      </c>
      <c r="AY904" t="s">
        <v>11</v>
      </c>
      <c r="AZ904" t="s">
        <v>11</v>
      </c>
      <c r="BA904" t="s">
        <v>11</v>
      </c>
      <c r="BB904" t="s">
        <v>11</v>
      </c>
      <c r="BC904" t="s">
        <v>11</v>
      </c>
      <c r="BD904" t="s">
        <v>11</v>
      </c>
      <c r="BE904" t="s">
        <v>11</v>
      </c>
      <c r="BF904" t="s">
        <v>11</v>
      </c>
      <c r="BG904" t="s">
        <v>11</v>
      </c>
      <c r="BH904" t="s">
        <v>5755</v>
      </c>
      <c r="BI904" t="s">
        <v>5751</v>
      </c>
      <c r="BJ904" t="s">
        <v>11</v>
      </c>
    </row>
    <row r="905" spans="1:62" x14ac:dyDescent="0.3">
      <c r="A905" t="s">
        <v>5756</v>
      </c>
      <c r="C905" t="s">
        <v>11</v>
      </c>
      <c r="D905" t="s">
        <v>2361</v>
      </c>
      <c r="E905" t="s">
        <v>5757</v>
      </c>
      <c r="F905">
        <v>907</v>
      </c>
      <c r="G905">
        <v>55.499999999999993</v>
      </c>
      <c r="H905">
        <v>29</v>
      </c>
      <c r="I905">
        <v>10.1</v>
      </c>
      <c r="M905">
        <v>2.2000000000000002</v>
      </c>
      <c r="N905">
        <v>3.2</v>
      </c>
      <c r="AF905">
        <v>8.4360599999999994</v>
      </c>
      <c r="AI905" t="s">
        <v>0</v>
      </c>
      <c r="AJ905" t="s">
        <v>1246</v>
      </c>
      <c r="AK905" t="s">
        <v>11</v>
      </c>
      <c r="AL905" t="s">
        <v>5758</v>
      </c>
      <c r="AM905" t="s">
        <v>11</v>
      </c>
      <c r="AN905" t="s">
        <v>367</v>
      </c>
      <c r="AO905" t="s">
        <v>5759</v>
      </c>
      <c r="AP905" t="s">
        <v>11</v>
      </c>
      <c r="AQ905" t="s">
        <v>11</v>
      </c>
      <c r="AR905" t="s">
        <v>11</v>
      </c>
      <c r="AS905" t="s">
        <v>11</v>
      </c>
      <c r="AT905" t="s">
        <v>11</v>
      </c>
      <c r="AU905" t="s">
        <v>11</v>
      </c>
      <c r="AV905" t="s">
        <v>11</v>
      </c>
      <c r="AW905" t="s">
        <v>11</v>
      </c>
      <c r="AX905" t="s">
        <v>11</v>
      </c>
      <c r="AY905" t="s">
        <v>11</v>
      </c>
      <c r="AZ905" t="s">
        <v>11</v>
      </c>
      <c r="BA905" t="s">
        <v>11</v>
      </c>
      <c r="BB905" t="s">
        <v>11</v>
      </c>
      <c r="BC905" t="s">
        <v>11</v>
      </c>
      <c r="BD905" t="s">
        <v>11</v>
      </c>
      <c r="BE905" t="s">
        <v>11</v>
      </c>
      <c r="BF905" t="s">
        <v>11</v>
      </c>
      <c r="BG905" t="s">
        <v>11</v>
      </c>
      <c r="BH905" t="s">
        <v>5760</v>
      </c>
      <c r="BI905" t="s">
        <v>5756</v>
      </c>
      <c r="BJ905" t="s">
        <v>11</v>
      </c>
    </row>
    <row r="906" spans="1:62" x14ac:dyDescent="0.3">
      <c r="A906" t="s">
        <v>5761</v>
      </c>
      <c r="C906" t="s">
        <v>11</v>
      </c>
      <c r="D906" t="s">
        <v>5762</v>
      </c>
      <c r="E906" t="s">
        <v>5763</v>
      </c>
      <c r="F906">
        <v>908</v>
      </c>
      <c r="G906">
        <v>53.599999999999994</v>
      </c>
      <c r="H906">
        <v>29.2</v>
      </c>
      <c r="I906">
        <v>9.8000000000000007</v>
      </c>
      <c r="L906">
        <v>2.2000000000000002</v>
      </c>
      <c r="M906">
        <v>2</v>
      </c>
      <c r="N906">
        <v>3.2</v>
      </c>
      <c r="AF906">
        <v>8.3425299999999982</v>
      </c>
      <c r="AI906" t="s">
        <v>0</v>
      </c>
      <c r="AJ906" t="s">
        <v>1319</v>
      </c>
      <c r="AK906" t="s">
        <v>11</v>
      </c>
      <c r="AL906" t="s">
        <v>1238</v>
      </c>
      <c r="AM906" t="s">
        <v>11</v>
      </c>
      <c r="AN906" t="s">
        <v>5243</v>
      </c>
      <c r="AO906" t="s">
        <v>5759</v>
      </c>
      <c r="AP906" t="s">
        <v>11</v>
      </c>
      <c r="AQ906" t="s">
        <v>120</v>
      </c>
      <c r="AR906" t="s">
        <v>11</v>
      </c>
      <c r="AS906" t="s">
        <v>11</v>
      </c>
      <c r="AT906" t="s">
        <v>11</v>
      </c>
      <c r="AU906" t="s">
        <v>11</v>
      </c>
      <c r="AV906" t="s">
        <v>11</v>
      </c>
      <c r="AW906" t="s">
        <v>11</v>
      </c>
      <c r="AX906" t="s">
        <v>11</v>
      </c>
      <c r="AY906" t="s">
        <v>11</v>
      </c>
      <c r="AZ906" t="s">
        <v>11</v>
      </c>
      <c r="BA906" t="s">
        <v>11</v>
      </c>
      <c r="BB906" t="s">
        <v>11</v>
      </c>
      <c r="BC906" t="s">
        <v>11</v>
      </c>
      <c r="BD906" t="s">
        <v>11</v>
      </c>
      <c r="BE906" t="s">
        <v>11</v>
      </c>
      <c r="BF906" t="s">
        <v>11</v>
      </c>
      <c r="BG906" t="s">
        <v>11</v>
      </c>
      <c r="BH906" t="s">
        <v>5764</v>
      </c>
      <c r="BI906" t="s">
        <v>5761</v>
      </c>
      <c r="BJ906" t="s">
        <v>11</v>
      </c>
    </row>
    <row r="907" spans="1:62" x14ac:dyDescent="0.3">
      <c r="A907" t="s">
        <v>5765</v>
      </c>
      <c r="C907" t="s">
        <v>11</v>
      </c>
      <c r="D907" t="s">
        <v>5766</v>
      </c>
      <c r="E907" t="s">
        <v>5767</v>
      </c>
      <c r="F907">
        <v>909</v>
      </c>
      <c r="G907">
        <v>87</v>
      </c>
      <c r="I907">
        <v>10</v>
      </c>
      <c r="N907">
        <v>3</v>
      </c>
      <c r="AF907">
        <v>8.2701000000000011</v>
      </c>
      <c r="AI907" t="s">
        <v>0</v>
      </c>
      <c r="AJ907" t="s">
        <v>22</v>
      </c>
      <c r="AK907" t="s">
        <v>11</v>
      </c>
      <c r="AL907" t="s">
        <v>11</v>
      </c>
      <c r="AM907" t="s">
        <v>11</v>
      </c>
      <c r="AN907" t="s">
        <v>11</v>
      </c>
      <c r="AO907" t="s">
        <v>5617</v>
      </c>
      <c r="AP907" t="s">
        <v>11</v>
      </c>
      <c r="AQ907" t="s">
        <v>11</v>
      </c>
      <c r="AR907" t="s">
        <v>11</v>
      </c>
      <c r="AS907" t="s">
        <v>11</v>
      </c>
      <c r="AT907" t="s">
        <v>11</v>
      </c>
      <c r="AU907" t="s">
        <v>11</v>
      </c>
      <c r="AV907" t="s">
        <v>11</v>
      </c>
      <c r="AW907" t="s">
        <v>11</v>
      </c>
      <c r="AX907" t="s">
        <v>11</v>
      </c>
      <c r="AY907" t="s">
        <v>11</v>
      </c>
      <c r="AZ907" t="s">
        <v>11</v>
      </c>
      <c r="BA907" t="s">
        <v>11</v>
      </c>
      <c r="BB907" t="s">
        <v>11</v>
      </c>
      <c r="BC907" t="s">
        <v>11</v>
      </c>
      <c r="BD907" t="s">
        <v>11</v>
      </c>
      <c r="BE907" t="s">
        <v>11</v>
      </c>
      <c r="BF907" t="s">
        <v>11</v>
      </c>
      <c r="BG907" t="s">
        <v>11</v>
      </c>
      <c r="BH907" t="s">
        <v>5768</v>
      </c>
      <c r="BI907" t="s">
        <v>5765</v>
      </c>
      <c r="BJ907" t="s">
        <v>11</v>
      </c>
    </row>
    <row r="908" spans="1:62" x14ac:dyDescent="0.3">
      <c r="A908" t="s">
        <v>1519</v>
      </c>
      <c r="C908" t="s">
        <v>11</v>
      </c>
      <c r="D908" t="s">
        <v>5769</v>
      </c>
      <c r="E908" t="s">
        <v>5770</v>
      </c>
      <c r="F908">
        <v>910</v>
      </c>
      <c r="G908">
        <v>78.63</v>
      </c>
      <c r="I908">
        <v>13.66</v>
      </c>
      <c r="K908">
        <v>7.71</v>
      </c>
      <c r="AF908">
        <v>8.8510650000000002</v>
      </c>
      <c r="AI908" t="s">
        <v>0</v>
      </c>
      <c r="AJ908" t="s">
        <v>1522</v>
      </c>
      <c r="AK908" t="s">
        <v>185</v>
      </c>
      <c r="AL908" t="s">
        <v>11</v>
      </c>
      <c r="AM908" t="s">
        <v>11</v>
      </c>
      <c r="AN908" t="s">
        <v>11</v>
      </c>
      <c r="AO908" t="s">
        <v>11</v>
      </c>
      <c r="AP908" t="s">
        <v>11</v>
      </c>
      <c r="AQ908" t="s">
        <v>11</v>
      </c>
      <c r="AR908" t="s">
        <v>11</v>
      </c>
      <c r="AS908" t="s">
        <v>11</v>
      </c>
      <c r="AT908" t="s">
        <v>11</v>
      </c>
      <c r="AU908" t="s">
        <v>11</v>
      </c>
      <c r="AV908" t="s">
        <v>11</v>
      </c>
      <c r="AW908" t="s">
        <v>11</v>
      </c>
      <c r="AX908" t="s">
        <v>11</v>
      </c>
      <c r="AY908" t="s">
        <v>11</v>
      </c>
      <c r="AZ908" t="s">
        <v>11</v>
      </c>
      <c r="BA908" t="s">
        <v>11</v>
      </c>
      <c r="BB908" t="s">
        <v>11</v>
      </c>
      <c r="BC908" t="s">
        <v>11</v>
      </c>
      <c r="BD908" t="s">
        <v>11</v>
      </c>
      <c r="BE908" t="s">
        <v>11</v>
      </c>
      <c r="BF908" t="s">
        <v>11</v>
      </c>
      <c r="BG908" t="s">
        <v>11</v>
      </c>
      <c r="BH908" t="s">
        <v>5771</v>
      </c>
      <c r="BI908" t="s">
        <v>1519</v>
      </c>
      <c r="BJ908" t="s">
        <v>11</v>
      </c>
    </row>
    <row r="909" spans="1:62" x14ac:dyDescent="0.3">
      <c r="A909" t="s">
        <v>5772</v>
      </c>
      <c r="C909" t="s">
        <v>11</v>
      </c>
      <c r="D909" t="s">
        <v>5773</v>
      </c>
      <c r="E909" t="s">
        <v>5770</v>
      </c>
      <c r="F909">
        <v>911</v>
      </c>
      <c r="G909">
        <v>75.489999999999995</v>
      </c>
      <c r="I909">
        <v>11.65</v>
      </c>
      <c r="K909">
        <v>9.0299999999999994</v>
      </c>
      <c r="L909">
        <v>2.14</v>
      </c>
      <c r="M909">
        <v>1.69</v>
      </c>
      <c r="AF909">
        <v>9.1492698000000008</v>
      </c>
      <c r="AI909" t="s">
        <v>0</v>
      </c>
      <c r="AJ909" t="s">
        <v>657</v>
      </c>
      <c r="AK909" t="s">
        <v>5211</v>
      </c>
      <c r="AL909" t="s">
        <v>11</v>
      </c>
      <c r="AM909" t="s">
        <v>11</v>
      </c>
      <c r="AN909" t="s">
        <v>1515</v>
      </c>
      <c r="AO909" t="s">
        <v>11</v>
      </c>
      <c r="AP909" t="s">
        <v>11</v>
      </c>
      <c r="AQ909" t="s">
        <v>422</v>
      </c>
      <c r="AR909" t="s">
        <v>11</v>
      </c>
      <c r="AS909" t="s">
        <v>11</v>
      </c>
      <c r="AT909" t="s">
        <v>11</v>
      </c>
      <c r="AU909" t="s">
        <v>11</v>
      </c>
      <c r="AV909" t="s">
        <v>11</v>
      </c>
      <c r="AW909" t="s">
        <v>11</v>
      </c>
      <c r="AX909" t="s">
        <v>11</v>
      </c>
      <c r="AY909" t="s">
        <v>11</v>
      </c>
      <c r="AZ909" t="s">
        <v>11</v>
      </c>
      <c r="BA909" t="s">
        <v>11</v>
      </c>
      <c r="BB909" t="s">
        <v>11</v>
      </c>
      <c r="BC909" t="s">
        <v>11</v>
      </c>
      <c r="BD909" t="s">
        <v>11</v>
      </c>
      <c r="BE909" t="s">
        <v>11</v>
      </c>
      <c r="BF909" t="s">
        <v>11</v>
      </c>
      <c r="BG909" t="s">
        <v>11</v>
      </c>
      <c r="BH909" t="s">
        <v>5774</v>
      </c>
      <c r="BI909" t="s">
        <v>5772</v>
      </c>
      <c r="BJ909" t="s">
        <v>11</v>
      </c>
    </row>
    <row r="910" spans="1:62" x14ac:dyDescent="0.3">
      <c r="A910" t="s">
        <v>5775</v>
      </c>
      <c r="C910" t="s">
        <v>11</v>
      </c>
      <c r="D910" t="s">
        <v>4948</v>
      </c>
      <c r="E910" t="s">
        <v>5776</v>
      </c>
      <c r="F910">
        <v>912</v>
      </c>
      <c r="G910">
        <v>69.3</v>
      </c>
      <c r="H910">
        <v>7.7</v>
      </c>
      <c r="I910">
        <v>12</v>
      </c>
      <c r="K910">
        <v>11</v>
      </c>
      <c r="AF910">
        <v>9.2951160000000002</v>
      </c>
      <c r="AI910" t="s">
        <v>0</v>
      </c>
      <c r="AJ910" t="s">
        <v>881</v>
      </c>
      <c r="AK910" t="s">
        <v>5232</v>
      </c>
      <c r="AL910" t="s">
        <v>5777</v>
      </c>
      <c r="AM910" t="s">
        <v>11</v>
      </c>
      <c r="AN910" t="s">
        <v>11</v>
      </c>
      <c r="AO910" t="s">
        <v>11</v>
      </c>
      <c r="AP910" t="s">
        <v>11</v>
      </c>
      <c r="AQ910" t="s">
        <v>11</v>
      </c>
      <c r="AR910" t="s">
        <v>11</v>
      </c>
      <c r="AS910" t="s">
        <v>11</v>
      </c>
      <c r="AT910" t="s">
        <v>11</v>
      </c>
      <c r="AU910" t="s">
        <v>11</v>
      </c>
      <c r="AV910" t="s">
        <v>11</v>
      </c>
      <c r="AW910" t="s">
        <v>11</v>
      </c>
      <c r="AX910" t="s">
        <v>11</v>
      </c>
      <c r="AY910" t="s">
        <v>11</v>
      </c>
      <c r="AZ910" t="s">
        <v>11</v>
      </c>
      <c r="BA910" t="s">
        <v>11</v>
      </c>
      <c r="BB910" t="s">
        <v>11</v>
      </c>
      <c r="BC910" t="s">
        <v>11</v>
      </c>
      <c r="BD910" t="s">
        <v>11</v>
      </c>
      <c r="BE910" t="s">
        <v>11</v>
      </c>
      <c r="BF910" t="s">
        <v>11</v>
      </c>
      <c r="BG910" t="s">
        <v>11</v>
      </c>
      <c r="BH910" t="s">
        <v>5778</v>
      </c>
      <c r="BI910" t="s">
        <v>5775</v>
      </c>
      <c r="BJ910" t="s">
        <v>11</v>
      </c>
    </row>
    <row r="911" spans="1:62" x14ac:dyDescent="0.3">
      <c r="A911" t="s">
        <v>5779</v>
      </c>
      <c r="C911" t="s">
        <v>11</v>
      </c>
      <c r="D911" t="s">
        <v>4849</v>
      </c>
      <c r="E911" t="s">
        <v>5780</v>
      </c>
      <c r="F911">
        <v>913</v>
      </c>
      <c r="G911">
        <v>61.6</v>
      </c>
      <c r="H911">
        <v>15.4</v>
      </c>
      <c r="I911">
        <v>12</v>
      </c>
      <c r="K911">
        <v>11</v>
      </c>
      <c r="AF911">
        <v>9.295732000000001</v>
      </c>
      <c r="AI911" t="s">
        <v>0</v>
      </c>
      <c r="AJ911" t="s">
        <v>881</v>
      </c>
      <c r="AK911" t="s">
        <v>5232</v>
      </c>
      <c r="AL911" t="s">
        <v>5781</v>
      </c>
      <c r="AM911" t="s">
        <v>11</v>
      </c>
      <c r="AN911" t="s">
        <v>11</v>
      </c>
      <c r="AO911" t="s">
        <v>11</v>
      </c>
      <c r="AP911" t="s">
        <v>11</v>
      </c>
      <c r="AQ911" t="s">
        <v>11</v>
      </c>
      <c r="AR911" t="s">
        <v>11</v>
      </c>
      <c r="AS911" t="s">
        <v>11</v>
      </c>
      <c r="AT911" t="s">
        <v>11</v>
      </c>
      <c r="AU911" t="s">
        <v>11</v>
      </c>
      <c r="AV911" t="s">
        <v>11</v>
      </c>
      <c r="AW911" t="s">
        <v>11</v>
      </c>
      <c r="AX911" t="s">
        <v>11</v>
      </c>
      <c r="AY911" t="s">
        <v>11</v>
      </c>
      <c r="AZ911" t="s">
        <v>11</v>
      </c>
      <c r="BA911" t="s">
        <v>11</v>
      </c>
      <c r="BB911" t="s">
        <v>11</v>
      </c>
      <c r="BC911" t="s">
        <v>11</v>
      </c>
      <c r="BD911" t="s">
        <v>11</v>
      </c>
      <c r="BE911" t="s">
        <v>11</v>
      </c>
      <c r="BF911" t="s">
        <v>11</v>
      </c>
      <c r="BG911" t="s">
        <v>11</v>
      </c>
      <c r="BH911" t="s">
        <v>5782</v>
      </c>
      <c r="BI911" t="s">
        <v>5779</v>
      </c>
      <c r="BJ911" t="s">
        <v>11</v>
      </c>
    </row>
    <row r="912" spans="1:62" x14ac:dyDescent="0.3">
      <c r="A912" t="s">
        <v>5783</v>
      </c>
      <c r="C912" t="s">
        <v>11</v>
      </c>
      <c r="D912" t="s">
        <v>5784</v>
      </c>
      <c r="E912" t="s">
        <v>5785</v>
      </c>
      <c r="F912">
        <v>914</v>
      </c>
      <c r="G912">
        <v>61.6</v>
      </c>
      <c r="H912">
        <v>15.4</v>
      </c>
      <c r="I912">
        <v>12</v>
      </c>
      <c r="K912">
        <v>9</v>
      </c>
      <c r="M912">
        <v>2</v>
      </c>
      <c r="AF912">
        <v>9.2437319999999996</v>
      </c>
      <c r="AI912" t="s">
        <v>0</v>
      </c>
      <c r="AJ912" t="s">
        <v>881</v>
      </c>
      <c r="AK912" t="s">
        <v>5211</v>
      </c>
      <c r="AL912" t="s">
        <v>5781</v>
      </c>
      <c r="AM912" t="s">
        <v>11</v>
      </c>
      <c r="AN912" t="s">
        <v>5243</v>
      </c>
      <c r="AO912" t="s">
        <v>11</v>
      </c>
      <c r="AP912" t="s">
        <v>11</v>
      </c>
      <c r="AQ912" t="s">
        <v>11</v>
      </c>
      <c r="AR912" t="s">
        <v>11</v>
      </c>
      <c r="AS912" t="s">
        <v>11</v>
      </c>
      <c r="AT912" t="s">
        <v>11</v>
      </c>
      <c r="AU912" t="s">
        <v>11</v>
      </c>
      <c r="AV912" t="s">
        <v>11</v>
      </c>
      <c r="AW912" t="s">
        <v>11</v>
      </c>
      <c r="AX912" t="s">
        <v>11</v>
      </c>
      <c r="AY912" t="s">
        <v>11</v>
      </c>
      <c r="AZ912" t="s">
        <v>11</v>
      </c>
      <c r="BA912" t="s">
        <v>11</v>
      </c>
      <c r="BB912" t="s">
        <v>11</v>
      </c>
      <c r="BC912" t="s">
        <v>11</v>
      </c>
      <c r="BD912" t="s">
        <v>11</v>
      </c>
      <c r="BE912" t="s">
        <v>11</v>
      </c>
      <c r="BF912" t="s">
        <v>11</v>
      </c>
      <c r="BG912" t="s">
        <v>11</v>
      </c>
      <c r="BH912" t="s">
        <v>5786</v>
      </c>
      <c r="BI912" t="s">
        <v>5783</v>
      </c>
      <c r="BJ912" t="s">
        <v>11</v>
      </c>
    </row>
    <row r="913" spans="1:62" x14ac:dyDescent="0.3">
      <c r="A913" t="s">
        <v>5787</v>
      </c>
      <c r="C913" t="s">
        <v>11</v>
      </c>
      <c r="D913" t="s">
        <v>749</v>
      </c>
      <c r="E913" t="s">
        <v>743</v>
      </c>
      <c r="F913">
        <v>915</v>
      </c>
      <c r="G913">
        <v>81</v>
      </c>
      <c r="I913">
        <v>5</v>
      </c>
      <c r="O913">
        <v>14</v>
      </c>
      <c r="AF913">
        <v>8.1993999999999989</v>
      </c>
      <c r="AI913" t="s">
        <v>0</v>
      </c>
      <c r="AJ913" t="s">
        <v>735</v>
      </c>
      <c r="AK913" t="s">
        <v>11</v>
      </c>
      <c r="AL913" t="s">
        <v>11</v>
      </c>
      <c r="AM913" t="s">
        <v>11</v>
      </c>
      <c r="AN913" t="s">
        <v>11</v>
      </c>
      <c r="AO913" t="s">
        <v>11</v>
      </c>
      <c r="AP913" t="s">
        <v>5788</v>
      </c>
      <c r="AQ913" t="s">
        <v>11</v>
      </c>
      <c r="AR913" t="s">
        <v>11</v>
      </c>
      <c r="AS913" t="s">
        <v>11</v>
      </c>
      <c r="AT913" t="s">
        <v>11</v>
      </c>
      <c r="AU913" t="s">
        <v>11</v>
      </c>
      <c r="AV913" t="s">
        <v>11</v>
      </c>
      <c r="AW913" t="s">
        <v>11</v>
      </c>
      <c r="AX913" t="s">
        <v>11</v>
      </c>
      <c r="AY913" t="s">
        <v>11</v>
      </c>
      <c r="AZ913" t="s">
        <v>11</v>
      </c>
      <c r="BA913" t="s">
        <v>11</v>
      </c>
      <c r="BB913" t="s">
        <v>11</v>
      </c>
      <c r="BC913" t="s">
        <v>11</v>
      </c>
      <c r="BD913" t="s">
        <v>11</v>
      </c>
      <c r="BE913" t="s">
        <v>11</v>
      </c>
      <c r="BF913" t="s">
        <v>11</v>
      </c>
      <c r="BG913" t="s">
        <v>11</v>
      </c>
      <c r="BH913" t="s">
        <v>5789</v>
      </c>
      <c r="BI913" t="s">
        <v>5787</v>
      </c>
      <c r="BJ913" t="s">
        <v>11</v>
      </c>
    </row>
    <row r="914" spans="1:62" x14ac:dyDescent="0.3">
      <c r="A914" t="s">
        <v>5790</v>
      </c>
      <c r="C914" t="s">
        <v>11</v>
      </c>
      <c r="D914" t="s">
        <v>3899</v>
      </c>
      <c r="E914" t="s">
        <v>750</v>
      </c>
      <c r="F914">
        <v>916</v>
      </c>
      <c r="G914">
        <v>79</v>
      </c>
      <c r="I914">
        <v>5</v>
      </c>
      <c r="L914">
        <v>2</v>
      </c>
      <c r="O914">
        <v>14</v>
      </c>
      <c r="AF914">
        <v>8.1115399999999998</v>
      </c>
      <c r="AI914" t="s">
        <v>0</v>
      </c>
      <c r="AJ914" t="s">
        <v>735</v>
      </c>
      <c r="AK914" t="s">
        <v>11</v>
      </c>
      <c r="AL914" t="s">
        <v>11</v>
      </c>
      <c r="AM914" t="s">
        <v>11</v>
      </c>
      <c r="AN914" t="s">
        <v>11</v>
      </c>
      <c r="AO914" t="s">
        <v>11</v>
      </c>
      <c r="AP914" t="s">
        <v>5788</v>
      </c>
      <c r="AQ914" t="s">
        <v>5559</v>
      </c>
      <c r="AR914" t="s">
        <v>11</v>
      </c>
      <c r="AS914" t="s">
        <v>11</v>
      </c>
      <c r="AT914" t="s">
        <v>11</v>
      </c>
      <c r="AU914" t="s">
        <v>11</v>
      </c>
      <c r="AV914" t="s">
        <v>11</v>
      </c>
      <c r="AW914" t="s">
        <v>11</v>
      </c>
      <c r="AX914" t="s">
        <v>11</v>
      </c>
      <c r="AY914" t="s">
        <v>11</v>
      </c>
      <c r="AZ914" t="s">
        <v>11</v>
      </c>
      <c r="BA914" t="s">
        <v>11</v>
      </c>
      <c r="BB914" t="s">
        <v>11</v>
      </c>
      <c r="BC914" t="s">
        <v>11</v>
      </c>
      <c r="BD914" t="s">
        <v>11</v>
      </c>
      <c r="BE914" t="s">
        <v>11</v>
      </c>
      <c r="BF914" t="s">
        <v>11</v>
      </c>
      <c r="BG914" t="s">
        <v>11</v>
      </c>
      <c r="BH914" t="s">
        <v>5791</v>
      </c>
      <c r="BI914" t="s">
        <v>5790</v>
      </c>
      <c r="BJ914" t="s">
        <v>11</v>
      </c>
    </row>
    <row r="915" spans="1:62" x14ac:dyDescent="0.3">
      <c r="A915" t="s">
        <v>5792</v>
      </c>
      <c r="C915" t="s">
        <v>11</v>
      </c>
      <c r="D915" t="s">
        <v>1637</v>
      </c>
      <c r="E915" t="s">
        <v>757</v>
      </c>
      <c r="F915">
        <v>917</v>
      </c>
      <c r="G915">
        <v>79</v>
      </c>
      <c r="I915">
        <v>5</v>
      </c>
      <c r="J915">
        <v>2</v>
      </c>
      <c r="O915">
        <v>14</v>
      </c>
      <c r="AF915">
        <v>8.1652000000000005</v>
      </c>
      <c r="AI915" t="s">
        <v>0</v>
      </c>
      <c r="AJ915" t="s">
        <v>735</v>
      </c>
      <c r="AK915" t="s">
        <v>11</v>
      </c>
      <c r="AL915" t="s">
        <v>11</v>
      </c>
      <c r="AM915" t="s">
        <v>5644</v>
      </c>
      <c r="AN915" t="s">
        <v>11</v>
      </c>
      <c r="AO915" t="s">
        <v>11</v>
      </c>
      <c r="AP915" t="s">
        <v>5788</v>
      </c>
      <c r="AQ915" t="s">
        <v>11</v>
      </c>
      <c r="AR915" t="s">
        <v>11</v>
      </c>
      <c r="AS915" t="s">
        <v>11</v>
      </c>
      <c r="AT915" t="s">
        <v>11</v>
      </c>
      <c r="AU915" t="s">
        <v>11</v>
      </c>
      <c r="AV915" t="s">
        <v>11</v>
      </c>
      <c r="AW915" t="s">
        <v>11</v>
      </c>
      <c r="AX915" t="s">
        <v>11</v>
      </c>
      <c r="AY915" t="s">
        <v>11</v>
      </c>
      <c r="AZ915" t="s">
        <v>11</v>
      </c>
      <c r="BA915" t="s">
        <v>11</v>
      </c>
      <c r="BB915" t="s">
        <v>11</v>
      </c>
      <c r="BC915" t="s">
        <v>11</v>
      </c>
      <c r="BD915" t="s">
        <v>11</v>
      </c>
      <c r="BE915" t="s">
        <v>11</v>
      </c>
      <c r="BF915" t="s">
        <v>11</v>
      </c>
      <c r="BG915" t="s">
        <v>11</v>
      </c>
      <c r="BH915" t="s">
        <v>5793</v>
      </c>
      <c r="BI915" t="s">
        <v>5792</v>
      </c>
      <c r="BJ915" t="s">
        <v>11</v>
      </c>
    </row>
    <row r="916" spans="1:62" x14ac:dyDescent="0.3">
      <c r="A916" t="s">
        <v>5794</v>
      </c>
      <c r="C916" t="s">
        <v>11</v>
      </c>
      <c r="D916" t="s">
        <v>3927</v>
      </c>
      <c r="E916" t="s">
        <v>766</v>
      </c>
      <c r="F916">
        <v>918</v>
      </c>
      <c r="G916">
        <v>79</v>
      </c>
      <c r="I916">
        <v>5</v>
      </c>
      <c r="N916">
        <v>2</v>
      </c>
      <c r="O916">
        <v>14</v>
      </c>
      <c r="AF916">
        <v>8.1928000000000001</v>
      </c>
      <c r="AI916" t="s">
        <v>0</v>
      </c>
      <c r="AJ916" t="s">
        <v>735</v>
      </c>
      <c r="AK916" t="s">
        <v>11</v>
      </c>
      <c r="AL916" t="s">
        <v>11</v>
      </c>
      <c r="AM916" t="s">
        <v>11</v>
      </c>
      <c r="AN916" t="s">
        <v>11</v>
      </c>
      <c r="AO916" t="s">
        <v>5528</v>
      </c>
      <c r="AP916" t="s">
        <v>5788</v>
      </c>
      <c r="AQ916" t="s">
        <v>11</v>
      </c>
      <c r="AR916" t="s">
        <v>11</v>
      </c>
      <c r="AS916" t="s">
        <v>11</v>
      </c>
      <c r="AT916" t="s">
        <v>11</v>
      </c>
      <c r="AU916" t="s">
        <v>11</v>
      </c>
      <c r="AV916" t="s">
        <v>11</v>
      </c>
      <c r="AW916" t="s">
        <v>11</v>
      </c>
      <c r="AX916" t="s">
        <v>11</v>
      </c>
      <c r="AY916" t="s">
        <v>11</v>
      </c>
      <c r="AZ916" t="s">
        <v>11</v>
      </c>
      <c r="BA916" t="s">
        <v>11</v>
      </c>
      <c r="BB916" t="s">
        <v>11</v>
      </c>
      <c r="BC916" t="s">
        <v>11</v>
      </c>
      <c r="BD916" t="s">
        <v>11</v>
      </c>
      <c r="BE916" t="s">
        <v>11</v>
      </c>
      <c r="BF916" t="s">
        <v>11</v>
      </c>
      <c r="BG916" t="s">
        <v>11</v>
      </c>
      <c r="BH916" t="s">
        <v>5795</v>
      </c>
      <c r="BI916" t="s">
        <v>5794</v>
      </c>
      <c r="BJ916" t="s">
        <v>11</v>
      </c>
    </row>
    <row r="917" spans="1:62" x14ac:dyDescent="0.3">
      <c r="A917" t="s">
        <v>5796</v>
      </c>
      <c r="C917" t="s">
        <v>11</v>
      </c>
      <c r="D917" t="s">
        <v>1484</v>
      </c>
      <c r="E917" t="s">
        <v>774</v>
      </c>
      <c r="F917">
        <v>919</v>
      </c>
      <c r="G917">
        <v>79</v>
      </c>
      <c r="I917">
        <v>5</v>
      </c>
      <c r="O917">
        <v>14</v>
      </c>
      <c r="P917">
        <v>2</v>
      </c>
      <c r="AF917">
        <v>8.2269999999999985</v>
      </c>
      <c r="AI917" t="s">
        <v>0</v>
      </c>
      <c r="AJ917" t="s">
        <v>735</v>
      </c>
      <c r="AK917" t="s">
        <v>11</v>
      </c>
      <c r="AL917" t="s">
        <v>11</v>
      </c>
      <c r="AM917" t="s">
        <v>11</v>
      </c>
      <c r="AN917" t="s">
        <v>11</v>
      </c>
      <c r="AO917" t="s">
        <v>11</v>
      </c>
      <c r="AP917" t="s">
        <v>5788</v>
      </c>
      <c r="AQ917" t="s">
        <v>11</v>
      </c>
      <c r="AR917" t="s">
        <v>5797</v>
      </c>
      <c r="AS917" t="s">
        <v>11</v>
      </c>
      <c r="AT917" t="s">
        <v>11</v>
      </c>
      <c r="AU917" t="s">
        <v>11</v>
      </c>
      <c r="AV917" t="s">
        <v>11</v>
      </c>
      <c r="AW917" t="s">
        <v>11</v>
      </c>
      <c r="AX917" t="s">
        <v>11</v>
      </c>
      <c r="AY917" t="s">
        <v>11</v>
      </c>
      <c r="AZ917" t="s">
        <v>11</v>
      </c>
      <c r="BA917" t="s">
        <v>11</v>
      </c>
      <c r="BB917" t="s">
        <v>11</v>
      </c>
      <c r="BC917" t="s">
        <v>11</v>
      </c>
      <c r="BD917" t="s">
        <v>11</v>
      </c>
      <c r="BE917" t="s">
        <v>11</v>
      </c>
      <c r="BF917" t="s">
        <v>11</v>
      </c>
      <c r="BG917" t="s">
        <v>11</v>
      </c>
      <c r="BH917" t="s">
        <v>5798</v>
      </c>
      <c r="BI917" t="s">
        <v>5796</v>
      </c>
      <c r="BJ917" t="s">
        <v>11</v>
      </c>
    </row>
    <row r="918" spans="1:62" x14ac:dyDescent="0.3">
      <c r="A918" t="s">
        <v>5799</v>
      </c>
      <c r="C918" t="s">
        <v>11</v>
      </c>
      <c r="D918" t="s">
        <v>2354</v>
      </c>
      <c r="E918" t="s">
        <v>5800</v>
      </c>
      <c r="F918">
        <v>920</v>
      </c>
      <c r="G918">
        <v>79</v>
      </c>
      <c r="I918">
        <v>5</v>
      </c>
      <c r="M918">
        <v>2</v>
      </c>
      <c r="O918">
        <v>14</v>
      </c>
      <c r="AF918">
        <v>8.3544</v>
      </c>
      <c r="AI918" t="s">
        <v>0</v>
      </c>
      <c r="AJ918" t="s">
        <v>735</v>
      </c>
      <c r="AK918" t="s">
        <v>11</v>
      </c>
      <c r="AL918" t="s">
        <v>11</v>
      </c>
      <c r="AM918" t="s">
        <v>11</v>
      </c>
      <c r="AN918" t="s">
        <v>5243</v>
      </c>
      <c r="AO918" t="s">
        <v>11</v>
      </c>
      <c r="AP918" t="s">
        <v>5788</v>
      </c>
      <c r="AQ918" t="s">
        <v>11</v>
      </c>
      <c r="AR918" t="s">
        <v>11</v>
      </c>
      <c r="AS918" t="s">
        <v>11</v>
      </c>
      <c r="AT918" t="s">
        <v>11</v>
      </c>
      <c r="AU918" t="s">
        <v>11</v>
      </c>
      <c r="AV918" t="s">
        <v>11</v>
      </c>
      <c r="AW918" t="s">
        <v>11</v>
      </c>
      <c r="AX918" t="s">
        <v>11</v>
      </c>
      <c r="AY918" t="s">
        <v>11</v>
      </c>
      <c r="AZ918" t="s">
        <v>11</v>
      </c>
      <c r="BA918" t="s">
        <v>11</v>
      </c>
      <c r="BB918" t="s">
        <v>11</v>
      </c>
      <c r="BC918" t="s">
        <v>11</v>
      </c>
      <c r="BD918" t="s">
        <v>11</v>
      </c>
      <c r="BE918" t="s">
        <v>11</v>
      </c>
      <c r="BF918" t="s">
        <v>11</v>
      </c>
      <c r="BG918" t="s">
        <v>11</v>
      </c>
      <c r="BH918" t="s">
        <v>5801</v>
      </c>
      <c r="BI918" t="s">
        <v>5799</v>
      </c>
      <c r="BJ918" t="s">
        <v>11</v>
      </c>
    </row>
    <row r="919" spans="1:62" x14ac:dyDescent="0.3">
      <c r="A919" t="s">
        <v>5802</v>
      </c>
      <c r="C919" t="s">
        <v>11</v>
      </c>
      <c r="D919" t="s">
        <v>5803</v>
      </c>
      <c r="E919" t="s">
        <v>733</v>
      </c>
      <c r="F919">
        <v>921</v>
      </c>
      <c r="G919">
        <v>79</v>
      </c>
      <c r="I919">
        <v>5</v>
      </c>
      <c r="K919">
        <v>2</v>
      </c>
      <c r="O919">
        <v>14</v>
      </c>
      <c r="AF919">
        <v>8.4063999999999997</v>
      </c>
      <c r="AI919" t="s">
        <v>0</v>
      </c>
      <c r="AJ919" t="s">
        <v>735</v>
      </c>
      <c r="AK919" t="s">
        <v>5223</v>
      </c>
      <c r="AL919" t="s">
        <v>11</v>
      </c>
      <c r="AM919" t="s">
        <v>11</v>
      </c>
      <c r="AN919" t="s">
        <v>11</v>
      </c>
      <c r="AO919" t="s">
        <v>11</v>
      </c>
      <c r="AP919" t="s">
        <v>5788</v>
      </c>
      <c r="AQ919" t="s">
        <v>11</v>
      </c>
      <c r="AR919" t="s">
        <v>11</v>
      </c>
      <c r="AS919" t="s">
        <v>11</v>
      </c>
      <c r="AT919" t="s">
        <v>11</v>
      </c>
      <c r="AU919" t="s">
        <v>11</v>
      </c>
      <c r="AV919" t="s">
        <v>11</v>
      </c>
      <c r="AW919" t="s">
        <v>11</v>
      </c>
      <c r="AX919" t="s">
        <v>11</v>
      </c>
      <c r="AY919" t="s">
        <v>11</v>
      </c>
      <c r="AZ919" t="s">
        <v>11</v>
      </c>
      <c r="BA919" t="s">
        <v>11</v>
      </c>
      <c r="BB919" t="s">
        <v>11</v>
      </c>
      <c r="BC919" t="s">
        <v>11</v>
      </c>
      <c r="BD919" t="s">
        <v>11</v>
      </c>
      <c r="BE919" t="s">
        <v>11</v>
      </c>
      <c r="BF919" t="s">
        <v>11</v>
      </c>
      <c r="BG919" t="s">
        <v>11</v>
      </c>
      <c r="BH919" t="s">
        <v>5804</v>
      </c>
      <c r="BI919" t="s">
        <v>5802</v>
      </c>
      <c r="BJ919" t="s">
        <v>11</v>
      </c>
    </row>
    <row r="920" spans="1:62" x14ac:dyDescent="0.3">
      <c r="A920" t="s">
        <v>5805</v>
      </c>
      <c r="C920" t="s">
        <v>11</v>
      </c>
      <c r="D920" t="s">
        <v>4948</v>
      </c>
      <c r="E920" t="s">
        <v>782</v>
      </c>
      <c r="F920">
        <v>922</v>
      </c>
      <c r="G920">
        <v>70</v>
      </c>
      <c r="H920">
        <v>10</v>
      </c>
      <c r="I920">
        <v>8</v>
      </c>
      <c r="O920">
        <v>12</v>
      </c>
      <c r="AF920">
        <v>8.07</v>
      </c>
      <c r="AI920" t="s">
        <v>0</v>
      </c>
      <c r="AJ920" t="s">
        <v>164</v>
      </c>
      <c r="AK920" t="s">
        <v>11</v>
      </c>
      <c r="AL920" t="s">
        <v>5598</v>
      </c>
      <c r="AM920" t="s">
        <v>11</v>
      </c>
      <c r="AN920" t="s">
        <v>11</v>
      </c>
      <c r="AO920" t="s">
        <v>11</v>
      </c>
      <c r="AP920" t="s">
        <v>5806</v>
      </c>
      <c r="AQ920" t="s">
        <v>11</v>
      </c>
      <c r="AR920" t="s">
        <v>11</v>
      </c>
      <c r="AS920" t="s">
        <v>11</v>
      </c>
      <c r="AT920" t="s">
        <v>11</v>
      </c>
      <c r="AU920" t="s">
        <v>11</v>
      </c>
      <c r="AV920" t="s">
        <v>11</v>
      </c>
      <c r="AW920" t="s">
        <v>11</v>
      </c>
      <c r="AX920" t="s">
        <v>11</v>
      </c>
      <c r="AY920" t="s">
        <v>11</v>
      </c>
      <c r="AZ920" t="s">
        <v>11</v>
      </c>
      <c r="BA920" t="s">
        <v>11</v>
      </c>
      <c r="BB920" t="s">
        <v>11</v>
      </c>
      <c r="BC920" t="s">
        <v>11</v>
      </c>
      <c r="BD920" t="s">
        <v>11</v>
      </c>
      <c r="BE920" t="s">
        <v>11</v>
      </c>
      <c r="BF920" t="s">
        <v>11</v>
      </c>
      <c r="BG920" t="s">
        <v>11</v>
      </c>
      <c r="BH920" t="s">
        <v>5807</v>
      </c>
      <c r="BI920" t="s">
        <v>5805</v>
      </c>
      <c r="BJ920" t="s">
        <v>11</v>
      </c>
    </row>
    <row r="921" spans="1:62" x14ac:dyDescent="0.3">
      <c r="A921" t="s">
        <v>5808</v>
      </c>
      <c r="C921" t="s">
        <v>11</v>
      </c>
      <c r="D921" t="s">
        <v>4849</v>
      </c>
      <c r="E921" t="s">
        <v>789</v>
      </c>
      <c r="F921">
        <v>923</v>
      </c>
      <c r="G921">
        <v>60</v>
      </c>
      <c r="H921">
        <v>20</v>
      </c>
      <c r="I921">
        <v>8</v>
      </c>
      <c r="O921">
        <v>12</v>
      </c>
      <c r="AF921">
        <v>8.0708000000000002</v>
      </c>
      <c r="AI921" t="s">
        <v>0</v>
      </c>
      <c r="AJ921" t="s">
        <v>164</v>
      </c>
      <c r="AK921" t="s">
        <v>11</v>
      </c>
      <c r="AL921" t="s">
        <v>5401</v>
      </c>
      <c r="AM921" t="s">
        <v>11</v>
      </c>
      <c r="AN921" t="s">
        <v>11</v>
      </c>
      <c r="AO921" t="s">
        <v>11</v>
      </c>
      <c r="AP921" t="s">
        <v>5806</v>
      </c>
      <c r="AQ921" t="s">
        <v>11</v>
      </c>
      <c r="AR921" t="s">
        <v>11</v>
      </c>
      <c r="AS921" t="s">
        <v>11</v>
      </c>
      <c r="AT921" t="s">
        <v>11</v>
      </c>
      <c r="AU921" t="s">
        <v>11</v>
      </c>
      <c r="AV921" t="s">
        <v>11</v>
      </c>
      <c r="AW921" t="s">
        <v>11</v>
      </c>
      <c r="AX921" t="s">
        <v>11</v>
      </c>
      <c r="AY921" t="s">
        <v>11</v>
      </c>
      <c r="AZ921" t="s">
        <v>11</v>
      </c>
      <c r="BA921" t="s">
        <v>11</v>
      </c>
      <c r="BB921" t="s">
        <v>11</v>
      </c>
      <c r="BC921" t="s">
        <v>11</v>
      </c>
      <c r="BD921" t="s">
        <v>11</v>
      </c>
      <c r="BE921" t="s">
        <v>11</v>
      </c>
      <c r="BF921" t="s">
        <v>11</v>
      </c>
      <c r="BG921" t="s">
        <v>11</v>
      </c>
      <c r="BH921" t="s">
        <v>5809</v>
      </c>
      <c r="BI921" t="s">
        <v>5808</v>
      </c>
      <c r="BJ921" t="s">
        <v>11</v>
      </c>
    </row>
    <row r="922" spans="1:62" x14ac:dyDescent="0.3">
      <c r="A922" t="s">
        <v>5810</v>
      </c>
      <c r="C922" t="s">
        <v>11</v>
      </c>
      <c r="D922" t="s">
        <v>4928</v>
      </c>
      <c r="E922" t="s">
        <v>797</v>
      </c>
      <c r="F922">
        <v>924</v>
      </c>
      <c r="G922">
        <v>50</v>
      </c>
      <c r="H922">
        <v>30</v>
      </c>
      <c r="I922">
        <v>8</v>
      </c>
      <c r="O922">
        <v>12</v>
      </c>
      <c r="AF922">
        <v>8.0716000000000001</v>
      </c>
      <c r="AI922" t="s">
        <v>0</v>
      </c>
      <c r="AJ922" t="s">
        <v>164</v>
      </c>
      <c r="AK922" t="s">
        <v>11</v>
      </c>
      <c r="AL922" t="s">
        <v>5386</v>
      </c>
      <c r="AM922" t="s">
        <v>11</v>
      </c>
      <c r="AN922" t="s">
        <v>11</v>
      </c>
      <c r="AO922" t="s">
        <v>11</v>
      </c>
      <c r="AP922" t="s">
        <v>5806</v>
      </c>
      <c r="AQ922" t="s">
        <v>11</v>
      </c>
      <c r="AR922" t="s">
        <v>11</v>
      </c>
      <c r="AS922" t="s">
        <v>11</v>
      </c>
      <c r="AT922" t="s">
        <v>11</v>
      </c>
      <c r="AU922" t="s">
        <v>11</v>
      </c>
      <c r="AV922" t="s">
        <v>11</v>
      </c>
      <c r="AW922" t="s">
        <v>11</v>
      </c>
      <c r="AX922" t="s">
        <v>11</v>
      </c>
      <c r="AY922" t="s">
        <v>11</v>
      </c>
      <c r="AZ922" t="s">
        <v>11</v>
      </c>
      <c r="BA922" t="s">
        <v>11</v>
      </c>
      <c r="BB922" t="s">
        <v>11</v>
      </c>
      <c r="BC922" t="s">
        <v>11</v>
      </c>
      <c r="BD922" t="s">
        <v>11</v>
      </c>
      <c r="BE922" t="s">
        <v>11</v>
      </c>
      <c r="BF922" t="s">
        <v>11</v>
      </c>
      <c r="BG922" t="s">
        <v>11</v>
      </c>
      <c r="BH922" t="s">
        <v>5811</v>
      </c>
      <c r="BI922" t="s">
        <v>5810</v>
      </c>
      <c r="BJ922" t="s">
        <v>11</v>
      </c>
    </row>
    <row r="923" spans="1:62" x14ac:dyDescent="0.3">
      <c r="A923" t="s">
        <v>5812</v>
      </c>
      <c r="C923" t="s">
        <v>11</v>
      </c>
      <c r="D923" t="s">
        <v>847</v>
      </c>
      <c r="E923" t="s">
        <v>805</v>
      </c>
      <c r="F923">
        <v>925</v>
      </c>
      <c r="G923">
        <v>51</v>
      </c>
      <c r="H923">
        <v>30</v>
      </c>
      <c r="I923">
        <v>5</v>
      </c>
      <c r="M923">
        <v>4</v>
      </c>
      <c r="O923">
        <v>10</v>
      </c>
      <c r="AF923">
        <v>8.623400000000002</v>
      </c>
      <c r="AI923" t="s">
        <v>0</v>
      </c>
      <c r="AJ923" t="s">
        <v>735</v>
      </c>
      <c r="AK923" t="s">
        <v>11</v>
      </c>
      <c r="AL923" t="s">
        <v>5386</v>
      </c>
      <c r="AM923" t="s">
        <v>11</v>
      </c>
      <c r="AN923" t="s">
        <v>5285</v>
      </c>
      <c r="AO923" t="s">
        <v>11</v>
      </c>
      <c r="AP923" t="s">
        <v>5813</v>
      </c>
      <c r="AQ923" t="s">
        <v>11</v>
      </c>
      <c r="AR923" t="s">
        <v>11</v>
      </c>
      <c r="AS923" t="s">
        <v>11</v>
      </c>
      <c r="AT923" t="s">
        <v>11</v>
      </c>
      <c r="AU923" t="s">
        <v>11</v>
      </c>
      <c r="AV923" t="s">
        <v>11</v>
      </c>
      <c r="AW923" t="s">
        <v>11</v>
      </c>
      <c r="AX923" t="s">
        <v>11</v>
      </c>
      <c r="AY923" t="s">
        <v>11</v>
      </c>
      <c r="AZ923" t="s">
        <v>11</v>
      </c>
      <c r="BA923" t="s">
        <v>11</v>
      </c>
      <c r="BB923" t="s">
        <v>11</v>
      </c>
      <c r="BC923" t="s">
        <v>11</v>
      </c>
      <c r="BD923" t="s">
        <v>11</v>
      </c>
      <c r="BE923" t="s">
        <v>11</v>
      </c>
      <c r="BF923" t="s">
        <v>11</v>
      </c>
      <c r="BG923" t="s">
        <v>11</v>
      </c>
      <c r="BH923" t="s">
        <v>5814</v>
      </c>
      <c r="BI923" t="s">
        <v>5812</v>
      </c>
      <c r="BJ923" t="s">
        <v>11</v>
      </c>
    </row>
    <row r="924" spans="1:62" x14ac:dyDescent="0.3">
      <c r="A924" t="s">
        <v>5815</v>
      </c>
      <c r="C924" t="s">
        <v>11</v>
      </c>
      <c r="D924" t="s">
        <v>856</v>
      </c>
      <c r="E924" t="s">
        <v>812</v>
      </c>
      <c r="F924">
        <v>926</v>
      </c>
      <c r="G924">
        <v>51</v>
      </c>
      <c r="H924">
        <v>30</v>
      </c>
      <c r="I924">
        <v>7.5</v>
      </c>
      <c r="M924">
        <v>4</v>
      </c>
      <c r="O924">
        <v>7.5</v>
      </c>
      <c r="AF924">
        <v>8.5381500000000017</v>
      </c>
      <c r="AI924" t="s">
        <v>0</v>
      </c>
      <c r="AJ924" t="s">
        <v>297</v>
      </c>
      <c r="AK924" t="s">
        <v>11</v>
      </c>
      <c r="AL924" t="s">
        <v>5386</v>
      </c>
      <c r="AM924" t="s">
        <v>11</v>
      </c>
      <c r="AN924" t="s">
        <v>5285</v>
      </c>
      <c r="AO924" t="s">
        <v>11</v>
      </c>
      <c r="AP924" t="s">
        <v>858</v>
      </c>
      <c r="AQ924" t="s">
        <v>11</v>
      </c>
      <c r="AR924" t="s">
        <v>11</v>
      </c>
      <c r="AS924" t="s">
        <v>11</v>
      </c>
      <c r="AT924" t="s">
        <v>11</v>
      </c>
      <c r="AU924" t="s">
        <v>11</v>
      </c>
      <c r="AV924" t="s">
        <v>11</v>
      </c>
      <c r="AW924" t="s">
        <v>11</v>
      </c>
      <c r="AX924" t="s">
        <v>11</v>
      </c>
      <c r="AY924" t="s">
        <v>11</v>
      </c>
      <c r="AZ924" t="s">
        <v>11</v>
      </c>
      <c r="BA924" t="s">
        <v>11</v>
      </c>
      <c r="BB924" t="s">
        <v>11</v>
      </c>
      <c r="BC924" t="s">
        <v>11</v>
      </c>
      <c r="BD924" t="s">
        <v>11</v>
      </c>
      <c r="BE924" t="s">
        <v>11</v>
      </c>
      <c r="BF924" t="s">
        <v>11</v>
      </c>
      <c r="BG924" t="s">
        <v>11</v>
      </c>
      <c r="BH924" t="s">
        <v>5816</v>
      </c>
      <c r="BI924" t="s">
        <v>5815</v>
      </c>
      <c r="BJ924" t="s">
        <v>11</v>
      </c>
    </row>
    <row r="925" spans="1:62" x14ac:dyDescent="0.3">
      <c r="A925" t="s">
        <v>5817</v>
      </c>
      <c r="C925" t="s">
        <v>11</v>
      </c>
      <c r="D925" t="s">
        <v>864</v>
      </c>
      <c r="E925" t="s">
        <v>819</v>
      </c>
      <c r="F925">
        <v>927</v>
      </c>
      <c r="G925">
        <v>51</v>
      </c>
      <c r="H925">
        <v>30</v>
      </c>
      <c r="I925">
        <v>10</v>
      </c>
      <c r="M925">
        <v>4</v>
      </c>
      <c r="O925">
        <v>5</v>
      </c>
      <c r="AF925">
        <v>8.4529000000000014</v>
      </c>
      <c r="AI925" t="s">
        <v>0</v>
      </c>
      <c r="AJ925" t="s">
        <v>22</v>
      </c>
      <c r="AK925" t="s">
        <v>11</v>
      </c>
      <c r="AL925" t="s">
        <v>5386</v>
      </c>
      <c r="AM925" t="s">
        <v>11</v>
      </c>
      <c r="AN925" t="s">
        <v>5285</v>
      </c>
      <c r="AO925" t="s">
        <v>11</v>
      </c>
      <c r="AP925" t="s">
        <v>5818</v>
      </c>
      <c r="AQ925" t="s">
        <v>11</v>
      </c>
      <c r="AR925" t="s">
        <v>11</v>
      </c>
      <c r="AS925" t="s">
        <v>11</v>
      </c>
      <c r="AT925" t="s">
        <v>11</v>
      </c>
      <c r="AU925" t="s">
        <v>11</v>
      </c>
      <c r="AV925" t="s">
        <v>11</v>
      </c>
      <c r="AW925" t="s">
        <v>11</v>
      </c>
      <c r="AX925" t="s">
        <v>11</v>
      </c>
      <c r="AY925" t="s">
        <v>11</v>
      </c>
      <c r="AZ925" t="s">
        <v>11</v>
      </c>
      <c r="BA925" t="s">
        <v>11</v>
      </c>
      <c r="BB925" t="s">
        <v>11</v>
      </c>
      <c r="BC925" t="s">
        <v>11</v>
      </c>
      <c r="BD925" t="s">
        <v>11</v>
      </c>
      <c r="BE925" t="s">
        <v>11</v>
      </c>
      <c r="BF925" t="s">
        <v>11</v>
      </c>
      <c r="BG925" t="s">
        <v>11</v>
      </c>
      <c r="BH925" t="s">
        <v>5819</v>
      </c>
      <c r="BI925" t="s">
        <v>5817</v>
      </c>
      <c r="BJ925" t="s">
        <v>11</v>
      </c>
    </row>
    <row r="926" spans="1:62" x14ac:dyDescent="0.3">
      <c r="A926" t="s">
        <v>5820</v>
      </c>
      <c r="C926" t="s">
        <v>11</v>
      </c>
      <c r="D926" t="s">
        <v>5821</v>
      </c>
      <c r="E926" t="s">
        <v>833</v>
      </c>
      <c r="F926">
        <v>928</v>
      </c>
      <c r="G926">
        <v>49</v>
      </c>
      <c r="H926">
        <v>30</v>
      </c>
      <c r="I926">
        <v>10</v>
      </c>
      <c r="L926">
        <v>2</v>
      </c>
      <c r="M926">
        <v>4</v>
      </c>
      <c r="O926">
        <v>5</v>
      </c>
      <c r="AF926">
        <v>8.3650400000000005</v>
      </c>
      <c r="AI926" t="s">
        <v>0</v>
      </c>
      <c r="AJ926" t="s">
        <v>22</v>
      </c>
      <c r="AK926" t="s">
        <v>11</v>
      </c>
      <c r="AL926" t="s">
        <v>5386</v>
      </c>
      <c r="AM926" t="s">
        <v>11</v>
      </c>
      <c r="AN926" t="s">
        <v>5285</v>
      </c>
      <c r="AO926" t="s">
        <v>11</v>
      </c>
      <c r="AP926" t="s">
        <v>5818</v>
      </c>
      <c r="AQ926" t="s">
        <v>5559</v>
      </c>
      <c r="AR926" t="s">
        <v>11</v>
      </c>
      <c r="AS926" t="s">
        <v>11</v>
      </c>
      <c r="AT926" t="s">
        <v>11</v>
      </c>
      <c r="AU926" t="s">
        <v>11</v>
      </c>
      <c r="AV926" t="s">
        <v>11</v>
      </c>
      <c r="AW926" t="s">
        <v>11</v>
      </c>
      <c r="AX926" t="s">
        <v>11</v>
      </c>
      <c r="AY926" t="s">
        <v>11</v>
      </c>
      <c r="AZ926" t="s">
        <v>11</v>
      </c>
      <c r="BA926" t="s">
        <v>11</v>
      </c>
      <c r="BB926" t="s">
        <v>11</v>
      </c>
      <c r="BC926" t="s">
        <v>11</v>
      </c>
      <c r="BD926" t="s">
        <v>11</v>
      </c>
      <c r="BE926" t="s">
        <v>11</v>
      </c>
      <c r="BF926" t="s">
        <v>11</v>
      </c>
      <c r="BG926" t="s">
        <v>11</v>
      </c>
      <c r="BH926" t="s">
        <v>5822</v>
      </c>
      <c r="BI926" t="s">
        <v>5820</v>
      </c>
      <c r="BJ926" t="s">
        <v>11</v>
      </c>
    </row>
    <row r="927" spans="1:62" x14ac:dyDescent="0.3">
      <c r="A927" t="s">
        <v>5823</v>
      </c>
      <c r="C927" t="s">
        <v>11</v>
      </c>
      <c r="D927" t="s">
        <v>5824</v>
      </c>
      <c r="E927" t="s">
        <v>5825</v>
      </c>
      <c r="F927">
        <v>929</v>
      </c>
      <c r="G927">
        <v>46.699999999999996</v>
      </c>
      <c r="H927">
        <v>30</v>
      </c>
      <c r="I927">
        <v>9</v>
      </c>
      <c r="J927">
        <v>6.7</v>
      </c>
      <c r="K927">
        <v>6</v>
      </c>
      <c r="M927">
        <v>1.5</v>
      </c>
      <c r="Q927">
        <v>0.1</v>
      </c>
      <c r="AF927">
        <v>8.9604400000000002</v>
      </c>
      <c r="AI927" t="s">
        <v>0</v>
      </c>
      <c r="AJ927" t="s">
        <v>128</v>
      </c>
      <c r="AK927" t="s">
        <v>5311</v>
      </c>
      <c r="AL927" t="s">
        <v>5386</v>
      </c>
      <c r="AM927" t="s">
        <v>5826</v>
      </c>
      <c r="AN927" t="s">
        <v>396</v>
      </c>
      <c r="AO927" t="s">
        <v>11</v>
      </c>
      <c r="AP927" t="s">
        <v>11</v>
      </c>
      <c r="AQ927" t="s">
        <v>11</v>
      </c>
      <c r="AR927" t="s">
        <v>11</v>
      </c>
      <c r="AS927" t="s">
        <v>5827</v>
      </c>
      <c r="AT927" t="s">
        <v>11</v>
      </c>
      <c r="AU927" t="s">
        <v>11</v>
      </c>
      <c r="AV927" t="s">
        <v>11</v>
      </c>
      <c r="AW927" t="s">
        <v>11</v>
      </c>
      <c r="AX927" t="s">
        <v>11</v>
      </c>
      <c r="AY927" t="s">
        <v>11</v>
      </c>
      <c r="AZ927" t="s">
        <v>11</v>
      </c>
      <c r="BA927" t="s">
        <v>11</v>
      </c>
      <c r="BB927" t="s">
        <v>11</v>
      </c>
      <c r="BC927" t="s">
        <v>11</v>
      </c>
      <c r="BD927" t="s">
        <v>11</v>
      </c>
      <c r="BE927" t="s">
        <v>11</v>
      </c>
      <c r="BF927" t="s">
        <v>11</v>
      </c>
      <c r="BG927" t="s">
        <v>11</v>
      </c>
      <c r="BH927" t="s">
        <v>5828</v>
      </c>
      <c r="BI927" t="s">
        <v>5823</v>
      </c>
      <c r="BJ927" t="s">
        <v>11</v>
      </c>
    </row>
    <row r="928" spans="1:62" x14ac:dyDescent="0.3">
      <c r="A928" t="s">
        <v>5829</v>
      </c>
      <c r="C928" t="s">
        <v>11</v>
      </c>
      <c r="D928" t="s">
        <v>5830</v>
      </c>
      <c r="E928" t="s">
        <v>5831</v>
      </c>
      <c r="F928">
        <v>930</v>
      </c>
      <c r="G928">
        <v>42.4</v>
      </c>
      <c r="H928">
        <v>30</v>
      </c>
      <c r="I928">
        <v>9.5</v>
      </c>
      <c r="J928">
        <v>6.5</v>
      </c>
      <c r="K928">
        <v>5.5</v>
      </c>
      <c r="L928">
        <v>4</v>
      </c>
      <c r="M928">
        <v>2</v>
      </c>
      <c r="Q928">
        <v>0.1</v>
      </c>
      <c r="AF928">
        <v>8.7441399999999998</v>
      </c>
      <c r="AI928" t="s">
        <v>0</v>
      </c>
      <c r="AJ928" t="s">
        <v>315</v>
      </c>
      <c r="AK928" t="s">
        <v>224</v>
      </c>
      <c r="AL928" t="s">
        <v>5386</v>
      </c>
      <c r="AM928" t="s">
        <v>5832</v>
      </c>
      <c r="AN928" t="s">
        <v>5243</v>
      </c>
      <c r="AO928" t="s">
        <v>11</v>
      </c>
      <c r="AP928" t="s">
        <v>11</v>
      </c>
      <c r="AQ928" t="s">
        <v>5218</v>
      </c>
      <c r="AR928" t="s">
        <v>11</v>
      </c>
      <c r="AS928" t="s">
        <v>5827</v>
      </c>
      <c r="AT928" t="s">
        <v>11</v>
      </c>
      <c r="AU928" t="s">
        <v>11</v>
      </c>
      <c r="AV928" t="s">
        <v>11</v>
      </c>
      <c r="AW928" t="s">
        <v>11</v>
      </c>
      <c r="AX928" t="s">
        <v>11</v>
      </c>
      <c r="AY928" t="s">
        <v>11</v>
      </c>
      <c r="AZ928" t="s">
        <v>11</v>
      </c>
      <c r="BA928" t="s">
        <v>11</v>
      </c>
      <c r="BB928" t="s">
        <v>11</v>
      </c>
      <c r="BC928" t="s">
        <v>11</v>
      </c>
      <c r="BD928" t="s">
        <v>11</v>
      </c>
      <c r="BE928" t="s">
        <v>11</v>
      </c>
      <c r="BF928" t="s">
        <v>11</v>
      </c>
      <c r="BG928" t="s">
        <v>11</v>
      </c>
      <c r="BH928" t="s">
        <v>5833</v>
      </c>
      <c r="BI928" t="s">
        <v>5829</v>
      </c>
      <c r="BJ928" t="s">
        <v>11</v>
      </c>
    </row>
    <row r="929" spans="1:62" x14ac:dyDescent="0.3">
      <c r="A929" t="s">
        <v>5834</v>
      </c>
      <c r="C929" t="s">
        <v>11</v>
      </c>
      <c r="D929" t="s">
        <v>1293</v>
      </c>
      <c r="E929" t="s">
        <v>5835</v>
      </c>
      <c r="F929">
        <v>931</v>
      </c>
      <c r="G929">
        <v>28.840000000000003</v>
      </c>
      <c r="H929">
        <v>40</v>
      </c>
      <c r="I929">
        <v>10</v>
      </c>
      <c r="J929">
        <v>10</v>
      </c>
      <c r="K929">
        <v>7.5</v>
      </c>
      <c r="N929">
        <v>3</v>
      </c>
      <c r="Q929">
        <v>0.6</v>
      </c>
      <c r="S929">
        <v>0.06</v>
      </c>
      <c r="AF929">
        <v>8.8348460000000006</v>
      </c>
      <c r="AI929" t="s">
        <v>0</v>
      </c>
      <c r="AJ929" t="s">
        <v>22</v>
      </c>
      <c r="AK929" t="s">
        <v>195</v>
      </c>
      <c r="AL929" t="s">
        <v>5836</v>
      </c>
      <c r="AM929" t="s">
        <v>5837</v>
      </c>
      <c r="AN929" t="s">
        <v>11</v>
      </c>
      <c r="AO929" t="s">
        <v>5617</v>
      </c>
      <c r="AP929" t="s">
        <v>11</v>
      </c>
      <c r="AQ929" t="s">
        <v>11</v>
      </c>
      <c r="AR929" t="s">
        <v>11</v>
      </c>
      <c r="AS929" t="s">
        <v>5838</v>
      </c>
      <c r="AT929" t="s">
        <v>11</v>
      </c>
      <c r="AU929" t="s">
        <v>1287</v>
      </c>
      <c r="AV929" t="s">
        <v>11</v>
      </c>
      <c r="AW929" t="s">
        <v>11</v>
      </c>
      <c r="AX929" t="s">
        <v>11</v>
      </c>
      <c r="AY929" t="s">
        <v>11</v>
      </c>
      <c r="AZ929" t="s">
        <v>11</v>
      </c>
      <c r="BA929" t="s">
        <v>11</v>
      </c>
      <c r="BB929" t="s">
        <v>11</v>
      </c>
      <c r="BC929" t="s">
        <v>11</v>
      </c>
      <c r="BD929" t="s">
        <v>11</v>
      </c>
      <c r="BE929" t="s">
        <v>11</v>
      </c>
      <c r="BF929" t="s">
        <v>11</v>
      </c>
      <c r="BG929" t="s">
        <v>11</v>
      </c>
      <c r="BH929" t="s">
        <v>5839</v>
      </c>
      <c r="BI929" t="s">
        <v>5834</v>
      </c>
      <c r="BJ929" t="s">
        <v>11</v>
      </c>
    </row>
    <row r="930" spans="1:62" x14ac:dyDescent="0.3">
      <c r="A930" t="s">
        <v>5840</v>
      </c>
      <c r="C930" t="s">
        <v>11</v>
      </c>
      <c r="D930" t="s">
        <v>5841</v>
      </c>
      <c r="E930" t="s">
        <v>5842</v>
      </c>
      <c r="F930">
        <v>932</v>
      </c>
      <c r="G930">
        <v>83.64</v>
      </c>
      <c r="I930">
        <v>9.4600000000000009</v>
      </c>
      <c r="N930">
        <v>4</v>
      </c>
      <c r="P930">
        <v>2.9</v>
      </c>
      <c r="AF930">
        <v>8.3403000000000009</v>
      </c>
      <c r="AI930" t="s">
        <v>0</v>
      </c>
      <c r="AJ930" t="s">
        <v>315</v>
      </c>
      <c r="AK930" t="s">
        <v>11</v>
      </c>
      <c r="AL930" t="s">
        <v>11</v>
      </c>
      <c r="AM930" t="s">
        <v>11</v>
      </c>
      <c r="AN930" t="s">
        <v>11</v>
      </c>
      <c r="AO930" t="s">
        <v>5843</v>
      </c>
      <c r="AP930" t="s">
        <v>11</v>
      </c>
      <c r="AQ930" t="s">
        <v>11</v>
      </c>
      <c r="AR930" t="s">
        <v>2566</v>
      </c>
      <c r="AS930" t="s">
        <v>11</v>
      </c>
      <c r="AT930" t="s">
        <v>11</v>
      </c>
      <c r="AU930" t="s">
        <v>11</v>
      </c>
      <c r="AV930" t="s">
        <v>11</v>
      </c>
      <c r="AW930" t="s">
        <v>11</v>
      </c>
      <c r="AX930" t="s">
        <v>11</v>
      </c>
      <c r="AY930" t="s">
        <v>11</v>
      </c>
      <c r="AZ930" t="s">
        <v>11</v>
      </c>
      <c r="BA930" t="s">
        <v>11</v>
      </c>
      <c r="BB930" t="s">
        <v>11</v>
      </c>
      <c r="BC930" t="s">
        <v>11</v>
      </c>
      <c r="BD930" t="s">
        <v>11</v>
      </c>
      <c r="BE930" t="s">
        <v>11</v>
      </c>
      <c r="BF930" t="s">
        <v>11</v>
      </c>
      <c r="BG930" t="s">
        <v>11</v>
      </c>
      <c r="BH930" t="s">
        <v>5844</v>
      </c>
      <c r="BI930" t="s">
        <v>5840</v>
      </c>
      <c r="BJ930" t="s">
        <v>11</v>
      </c>
    </row>
    <row r="931" spans="1:62" x14ac:dyDescent="0.3">
      <c r="A931" t="s">
        <v>5845</v>
      </c>
      <c r="C931" t="s">
        <v>11</v>
      </c>
      <c r="D931" t="s">
        <v>5846</v>
      </c>
      <c r="E931" t="s">
        <v>5847</v>
      </c>
      <c r="F931">
        <v>933</v>
      </c>
      <c r="G931">
        <v>81</v>
      </c>
      <c r="I931">
        <v>9.1</v>
      </c>
      <c r="N931">
        <v>4.7</v>
      </c>
      <c r="P931">
        <v>5.2</v>
      </c>
      <c r="AF931">
        <v>8.3920500000000011</v>
      </c>
      <c r="AI931" t="s">
        <v>0</v>
      </c>
      <c r="AJ931" t="s">
        <v>278</v>
      </c>
      <c r="AK931" t="s">
        <v>11</v>
      </c>
      <c r="AL931" t="s">
        <v>11</v>
      </c>
      <c r="AM931" t="s">
        <v>11</v>
      </c>
      <c r="AN931" t="s">
        <v>11</v>
      </c>
      <c r="AO931" t="s">
        <v>5848</v>
      </c>
      <c r="AP931" t="s">
        <v>11</v>
      </c>
      <c r="AQ931" t="s">
        <v>11</v>
      </c>
      <c r="AR931" t="s">
        <v>2379</v>
      </c>
      <c r="AS931" t="s">
        <v>11</v>
      </c>
      <c r="AT931" t="s">
        <v>11</v>
      </c>
      <c r="AU931" t="s">
        <v>11</v>
      </c>
      <c r="AV931" t="s">
        <v>11</v>
      </c>
      <c r="AW931" t="s">
        <v>11</v>
      </c>
      <c r="AX931" t="s">
        <v>11</v>
      </c>
      <c r="AY931" t="s">
        <v>11</v>
      </c>
      <c r="AZ931" t="s">
        <v>11</v>
      </c>
      <c r="BA931" t="s">
        <v>11</v>
      </c>
      <c r="BB931" t="s">
        <v>11</v>
      </c>
      <c r="BC931" t="s">
        <v>11</v>
      </c>
      <c r="BD931" t="s">
        <v>11</v>
      </c>
      <c r="BE931" t="s">
        <v>11</v>
      </c>
      <c r="BF931" t="s">
        <v>11</v>
      </c>
      <c r="BG931" t="s">
        <v>11</v>
      </c>
      <c r="BH931" t="s">
        <v>5849</v>
      </c>
      <c r="BI931" t="s">
        <v>5845</v>
      </c>
      <c r="BJ931" t="s">
        <v>11</v>
      </c>
    </row>
    <row r="932" spans="1:62" x14ac:dyDescent="0.3">
      <c r="A932" t="s">
        <v>5364</v>
      </c>
      <c r="C932" t="s">
        <v>11</v>
      </c>
      <c r="D932">
        <v>1</v>
      </c>
      <c r="E932" t="s">
        <v>5850</v>
      </c>
      <c r="F932">
        <v>934</v>
      </c>
      <c r="G932">
        <v>79.5</v>
      </c>
      <c r="I932">
        <v>10.5</v>
      </c>
      <c r="N932">
        <v>2.8</v>
      </c>
      <c r="P932">
        <v>7.2</v>
      </c>
      <c r="AF932">
        <v>8.3391200000000012</v>
      </c>
      <c r="AI932" t="s">
        <v>0</v>
      </c>
      <c r="AJ932" t="s">
        <v>1256</v>
      </c>
      <c r="AK932" t="s">
        <v>11</v>
      </c>
      <c r="AL932" t="s">
        <v>11</v>
      </c>
      <c r="AM932" t="s">
        <v>11</v>
      </c>
      <c r="AN932" t="s">
        <v>11</v>
      </c>
      <c r="AO932" t="s">
        <v>5366</v>
      </c>
      <c r="AP932" t="s">
        <v>11</v>
      </c>
      <c r="AQ932" t="s">
        <v>11</v>
      </c>
      <c r="AR932" t="s">
        <v>5367</v>
      </c>
      <c r="AS932" t="s">
        <v>11</v>
      </c>
      <c r="AT932" t="s">
        <v>11</v>
      </c>
      <c r="AU932" t="s">
        <v>11</v>
      </c>
      <c r="AV932" t="s">
        <v>11</v>
      </c>
      <c r="AW932" t="s">
        <v>11</v>
      </c>
      <c r="AX932" t="s">
        <v>11</v>
      </c>
      <c r="AY932" t="s">
        <v>11</v>
      </c>
      <c r="AZ932" t="s">
        <v>11</v>
      </c>
      <c r="BA932" t="s">
        <v>11</v>
      </c>
      <c r="BB932" t="s">
        <v>11</v>
      </c>
      <c r="BC932" t="s">
        <v>11</v>
      </c>
      <c r="BD932" t="s">
        <v>11</v>
      </c>
      <c r="BE932" t="s">
        <v>11</v>
      </c>
      <c r="BF932" t="s">
        <v>11</v>
      </c>
      <c r="BG932" t="s">
        <v>11</v>
      </c>
      <c r="BH932" t="s">
        <v>5851</v>
      </c>
      <c r="BI932" t="s">
        <v>5364</v>
      </c>
      <c r="BJ932" t="s">
        <v>11</v>
      </c>
    </row>
    <row r="933" spans="1:62" x14ac:dyDescent="0.3">
      <c r="A933" t="s">
        <v>5852</v>
      </c>
      <c r="C933" t="s">
        <v>11</v>
      </c>
      <c r="D933">
        <v>2</v>
      </c>
      <c r="E933" t="s">
        <v>5853</v>
      </c>
      <c r="F933">
        <v>935</v>
      </c>
      <c r="G933">
        <v>82.2</v>
      </c>
      <c r="I933">
        <v>10.199999999999999</v>
      </c>
      <c r="N933">
        <v>2.1</v>
      </c>
      <c r="P933">
        <v>5.5</v>
      </c>
      <c r="AF933">
        <v>8.33657</v>
      </c>
      <c r="AI933" t="s">
        <v>0</v>
      </c>
      <c r="AJ933" t="s">
        <v>1964</v>
      </c>
      <c r="AK933" t="s">
        <v>11</v>
      </c>
      <c r="AL933" t="s">
        <v>11</v>
      </c>
      <c r="AM933" t="s">
        <v>11</v>
      </c>
      <c r="AN933" t="s">
        <v>11</v>
      </c>
      <c r="AO933" t="s">
        <v>2370</v>
      </c>
      <c r="AP933" t="s">
        <v>11</v>
      </c>
      <c r="AQ933" t="s">
        <v>11</v>
      </c>
      <c r="AR933" t="s">
        <v>5854</v>
      </c>
      <c r="AS933" t="s">
        <v>11</v>
      </c>
      <c r="AT933" t="s">
        <v>11</v>
      </c>
      <c r="AU933" t="s">
        <v>11</v>
      </c>
      <c r="AV933" t="s">
        <v>11</v>
      </c>
      <c r="AW933" t="s">
        <v>11</v>
      </c>
      <c r="AX933" t="s">
        <v>11</v>
      </c>
      <c r="AY933" t="s">
        <v>11</v>
      </c>
      <c r="AZ933" t="s">
        <v>11</v>
      </c>
      <c r="BA933" t="s">
        <v>11</v>
      </c>
      <c r="BB933" t="s">
        <v>11</v>
      </c>
      <c r="BC933" t="s">
        <v>11</v>
      </c>
      <c r="BD933" t="s">
        <v>11</v>
      </c>
      <c r="BE933" t="s">
        <v>11</v>
      </c>
      <c r="BF933" t="s">
        <v>11</v>
      </c>
      <c r="BG933" t="s">
        <v>11</v>
      </c>
      <c r="BH933" t="s">
        <v>5855</v>
      </c>
      <c r="BI933" t="s">
        <v>5852</v>
      </c>
      <c r="BJ933" t="s">
        <v>11</v>
      </c>
    </row>
    <row r="934" spans="1:62" x14ac:dyDescent="0.3">
      <c r="A934" t="s">
        <v>5369</v>
      </c>
      <c r="C934" t="s">
        <v>11</v>
      </c>
      <c r="D934">
        <v>3</v>
      </c>
      <c r="E934" t="s">
        <v>5856</v>
      </c>
      <c r="F934">
        <v>936</v>
      </c>
      <c r="G934">
        <v>83.3</v>
      </c>
      <c r="I934">
        <v>10.9</v>
      </c>
      <c r="N934">
        <v>1.6</v>
      </c>
      <c r="P934">
        <v>4.2</v>
      </c>
      <c r="AF934">
        <v>8.2768800000000002</v>
      </c>
      <c r="AI934" t="s">
        <v>0</v>
      </c>
      <c r="AJ934" t="s">
        <v>5370</v>
      </c>
      <c r="AK934" t="s">
        <v>11</v>
      </c>
      <c r="AL934" t="s">
        <v>11</v>
      </c>
      <c r="AM934" t="s">
        <v>11</v>
      </c>
      <c r="AN934" t="s">
        <v>11</v>
      </c>
      <c r="AO934" t="s">
        <v>5371</v>
      </c>
      <c r="AP934" t="s">
        <v>11</v>
      </c>
      <c r="AQ934" t="s">
        <v>11</v>
      </c>
      <c r="AR934" t="s">
        <v>5372</v>
      </c>
      <c r="AS934" t="s">
        <v>11</v>
      </c>
      <c r="AT934" t="s">
        <v>11</v>
      </c>
      <c r="AU934" t="s">
        <v>11</v>
      </c>
      <c r="AV934" t="s">
        <v>11</v>
      </c>
      <c r="AW934" t="s">
        <v>11</v>
      </c>
      <c r="AX934" t="s">
        <v>11</v>
      </c>
      <c r="AY934" t="s">
        <v>11</v>
      </c>
      <c r="AZ934" t="s">
        <v>11</v>
      </c>
      <c r="BA934" t="s">
        <v>11</v>
      </c>
      <c r="BB934" t="s">
        <v>11</v>
      </c>
      <c r="BC934" t="s">
        <v>11</v>
      </c>
      <c r="BD934" t="s">
        <v>11</v>
      </c>
      <c r="BE934" t="s">
        <v>11</v>
      </c>
      <c r="BF934" t="s">
        <v>11</v>
      </c>
      <c r="BG934" t="s">
        <v>11</v>
      </c>
      <c r="BH934" t="s">
        <v>5857</v>
      </c>
      <c r="BI934" t="s">
        <v>5369</v>
      </c>
      <c r="BJ934" t="s">
        <v>11</v>
      </c>
    </row>
    <row r="935" spans="1:62" x14ac:dyDescent="0.3">
      <c r="A935" t="s">
        <v>5374</v>
      </c>
      <c r="C935" t="s">
        <v>11</v>
      </c>
      <c r="D935">
        <v>4</v>
      </c>
      <c r="E935" t="s">
        <v>5858</v>
      </c>
      <c r="F935">
        <v>937</v>
      </c>
      <c r="G935">
        <v>83.3</v>
      </c>
      <c r="I935">
        <v>10.1</v>
      </c>
      <c r="N935">
        <v>1</v>
      </c>
      <c r="P935">
        <v>5.6</v>
      </c>
      <c r="AF935">
        <v>8.3477800000000002</v>
      </c>
      <c r="AI935" t="s">
        <v>0</v>
      </c>
      <c r="AJ935" t="s">
        <v>1246</v>
      </c>
      <c r="AK935" t="s">
        <v>11</v>
      </c>
      <c r="AL935" t="s">
        <v>11</v>
      </c>
      <c r="AM935" t="s">
        <v>11</v>
      </c>
      <c r="AN935" t="s">
        <v>11</v>
      </c>
      <c r="AO935" t="s">
        <v>5375</v>
      </c>
      <c r="AP935" t="s">
        <v>11</v>
      </c>
      <c r="AQ935" t="s">
        <v>11</v>
      </c>
      <c r="AR935" t="s">
        <v>5376</v>
      </c>
      <c r="AS935" t="s">
        <v>11</v>
      </c>
      <c r="AT935" t="s">
        <v>11</v>
      </c>
      <c r="AU935" t="s">
        <v>11</v>
      </c>
      <c r="AV935" t="s">
        <v>11</v>
      </c>
      <c r="AW935" t="s">
        <v>11</v>
      </c>
      <c r="AX935" t="s">
        <v>11</v>
      </c>
      <c r="AY935" t="s">
        <v>11</v>
      </c>
      <c r="AZ935" t="s">
        <v>11</v>
      </c>
      <c r="BA935" t="s">
        <v>11</v>
      </c>
      <c r="BB935" t="s">
        <v>11</v>
      </c>
      <c r="BC935" t="s">
        <v>11</v>
      </c>
      <c r="BD935" t="s">
        <v>11</v>
      </c>
      <c r="BE935" t="s">
        <v>11</v>
      </c>
      <c r="BF935" t="s">
        <v>11</v>
      </c>
      <c r="BG935" t="s">
        <v>11</v>
      </c>
      <c r="BH935" t="s">
        <v>5859</v>
      </c>
      <c r="BI935" t="s">
        <v>5374</v>
      </c>
      <c r="BJ935" t="s">
        <v>11</v>
      </c>
    </row>
    <row r="936" spans="1:62" x14ac:dyDescent="0.3">
      <c r="A936" t="s">
        <v>5860</v>
      </c>
      <c r="C936" t="s">
        <v>11</v>
      </c>
      <c r="D936" t="s">
        <v>5861</v>
      </c>
      <c r="E936" t="s">
        <v>5862</v>
      </c>
      <c r="F936">
        <v>938</v>
      </c>
      <c r="G936">
        <v>50.830000000000005</v>
      </c>
      <c r="H936">
        <v>30</v>
      </c>
      <c r="I936">
        <v>9</v>
      </c>
      <c r="K936">
        <v>6</v>
      </c>
      <c r="L936">
        <v>3</v>
      </c>
      <c r="M936">
        <v>1</v>
      </c>
      <c r="R936">
        <v>0.05</v>
      </c>
      <c r="S936">
        <v>0.12</v>
      </c>
      <c r="AF936">
        <v>8.9021875000000019</v>
      </c>
      <c r="AI936" t="s">
        <v>0</v>
      </c>
      <c r="AJ936" t="s">
        <v>128</v>
      </c>
      <c r="AK936" t="s">
        <v>5311</v>
      </c>
      <c r="AL936" t="s">
        <v>5386</v>
      </c>
      <c r="AM936" t="s">
        <v>11</v>
      </c>
      <c r="AN936" t="s">
        <v>5217</v>
      </c>
      <c r="AO936" t="s">
        <v>11</v>
      </c>
      <c r="AP936" t="s">
        <v>11</v>
      </c>
      <c r="AQ936" t="s">
        <v>5537</v>
      </c>
      <c r="AR936" t="s">
        <v>11</v>
      </c>
      <c r="AS936" t="s">
        <v>11</v>
      </c>
      <c r="AT936" t="s">
        <v>89</v>
      </c>
      <c r="AU936" t="s">
        <v>317</v>
      </c>
      <c r="AV936" t="s">
        <v>11</v>
      </c>
      <c r="AW936" t="s">
        <v>11</v>
      </c>
      <c r="AX936" t="s">
        <v>11</v>
      </c>
      <c r="AY936" t="s">
        <v>11</v>
      </c>
      <c r="AZ936" t="s">
        <v>11</v>
      </c>
      <c r="BA936" t="s">
        <v>11</v>
      </c>
      <c r="BB936" t="s">
        <v>11</v>
      </c>
      <c r="BC936" t="s">
        <v>11</v>
      </c>
      <c r="BD936" t="s">
        <v>11</v>
      </c>
      <c r="BE936" t="s">
        <v>11</v>
      </c>
      <c r="BF936" t="s">
        <v>11</v>
      </c>
      <c r="BG936" t="s">
        <v>11</v>
      </c>
      <c r="BH936" t="s">
        <v>5863</v>
      </c>
      <c r="BI936" t="s">
        <v>5860</v>
      </c>
      <c r="BJ936" t="s">
        <v>11</v>
      </c>
    </row>
    <row r="937" spans="1:62" x14ac:dyDescent="0.3">
      <c r="A937" t="s">
        <v>5864</v>
      </c>
      <c r="C937" t="s">
        <v>11</v>
      </c>
      <c r="D937" t="s">
        <v>5865</v>
      </c>
      <c r="E937" t="s">
        <v>5866</v>
      </c>
      <c r="F937">
        <v>939</v>
      </c>
      <c r="G937">
        <v>50.830000000000005</v>
      </c>
      <c r="H937">
        <v>30</v>
      </c>
      <c r="I937">
        <v>9</v>
      </c>
      <c r="J937">
        <v>0</v>
      </c>
      <c r="K937">
        <v>6</v>
      </c>
      <c r="L937">
        <v>3</v>
      </c>
      <c r="M937">
        <v>1</v>
      </c>
      <c r="R937">
        <v>0.05</v>
      </c>
      <c r="S937">
        <v>0.12</v>
      </c>
      <c r="AF937">
        <v>8.9021875000000019</v>
      </c>
      <c r="AI937" t="s">
        <v>0</v>
      </c>
      <c r="AJ937" t="s">
        <v>128</v>
      </c>
      <c r="AK937" t="s">
        <v>5311</v>
      </c>
      <c r="AL937" t="s">
        <v>5386</v>
      </c>
      <c r="AM937" t="s">
        <v>5867</v>
      </c>
      <c r="AN937" t="s">
        <v>5217</v>
      </c>
      <c r="AO937" t="s">
        <v>11</v>
      </c>
      <c r="AP937" t="s">
        <v>11</v>
      </c>
      <c r="AQ937" t="s">
        <v>5537</v>
      </c>
      <c r="AR937" t="s">
        <v>11</v>
      </c>
      <c r="AS937" t="s">
        <v>11</v>
      </c>
      <c r="AT937" t="s">
        <v>89</v>
      </c>
      <c r="AU937" t="s">
        <v>317</v>
      </c>
      <c r="AV937" t="s">
        <v>11</v>
      </c>
      <c r="AW937" t="s">
        <v>11</v>
      </c>
      <c r="AX937" t="s">
        <v>11</v>
      </c>
      <c r="AY937" t="s">
        <v>11</v>
      </c>
      <c r="AZ937" t="s">
        <v>11</v>
      </c>
      <c r="BA937" t="s">
        <v>11</v>
      </c>
      <c r="BB937" t="s">
        <v>11</v>
      </c>
      <c r="BC937" t="s">
        <v>11</v>
      </c>
      <c r="BD937" t="s">
        <v>11</v>
      </c>
      <c r="BE937" t="s">
        <v>11</v>
      </c>
      <c r="BF937" t="s">
        <v>11</v>
      </c>
      <c r="BG937" t="s">
        <v>11</v>
      </c>
      <c r="BH937" t="s">
        <v>5868</v>
      </c>
      <c r="BI937" t="s">
        <v>5864</v>
      </c>
      <c r="BJ937" t="s">
        <v>11</v>
      </c>
    </row>
    <row r="938" spans="1:62" x14ac:dyDescent="0.3">
      <c r="A938" t="s">
        <v>5869</v>
      </c>
      <c r="C938" t="s">
        <v>11</v>
      </c>
      <c r="D938" t="s">
        <v>5870</v>
      </c>
      <c r="E938" t="s">
        <v>5871</v>
      </c>
      <c r="F938">
        <v>940</v>
      </c>
      <c r="G938">
        <v>44.830000000000005</v>
      </c>
      <c r="H938">
        <v>30</v>
      </c>
      <c r="I938">
        <v>9</v>
      </c>
      <c r="J938">
        <v>6</v>
      </c>
      <c r="K938">
        <v>6</v>
      </c>
      <c r="L938">
        <v>3</v>
      </c>
      <c r="M938">
        <v>1</v>
      </c>
      <c r="R938">
        <v>0.05</v>
      </c>
      <c r="S938">
        <v>0.12</v>
      </c>
      <c r="AF938">
        <v>8.7995874999999995</v>
      </c>
      <c r="AI938" t="s">
        <v>0</v>
      </c>
      <c r="AJ938" t="s">
        <v>128</v>
      </c>
      <c r="AK938" t="s">
        <v>5311</v>
      </c>
      <c r="AL938" t="s">
        <v>5386</v>
      </c>
      <c r="AM938" t="s">
        <v>5730</v>
      </c>
      <c r="AN938" t="s">
        <v>5217</v>
      </c>
      <c r="AO938" t="s">
        <v>11</v>
      </c>
      <c r="AP938" t="s">
        <v>11</v>
      </c>
      <c r="AQ938" t="s">
        <v>5537</v>
      </c>
      <c r="AR938" t="s">
        <v>11</v>
      </c>
      <c r="AS938" t="s">
        <v>11</v>
      </c>
      <c r="AT938" t="s">
        <v>89</v>
      </c>
      <c r="AU938" t="s">
        <v>317</v>
      </c>
      <c r="AV938" t="s">
        <v>11</v>
      </c>
      <c r="AW938" t="s">
        <v>11</v>
      </c>
      <c r="AX938" t="s">
        <v>11</v>
      </c>
      <c r="AY938" t="s">
        <v>11</v>
      </c>
      <c r="AZ938" t="s">
        <v>11</v>
      </c>
      <c r="BA938" t="s">
        <v>11</v>
      </c>
      <c r="BB938" t="s">
        <v>11</v>
      </c>
      <c r="BC938" t="s">
        <v>11</v>
      </c>
      <c r="BD938" t="s">
        <v>11</v>
      </c>
      <c r="BE938" t="s">
        <v>11</v>
      </c>
      <c r="BF938" t="s">
        <v>11</v>
      </c>
      <c r="BG938" t="s">
        <v>11</v>
      </c>
      <c r="BH938" t="s">
        <v>5872</v>
      </c>
      <c r="BI938" t="s">
        <v>5869</v>
      </c>
      <c r="BJ938" t="s">
        <v>11</v>
      </c>
    </row>
    <row r="939" spans="1:62" x14ac:dyDescent="0.3">
      <c r="A939" t="s">
        <v>5873</v>
      </c>
      <c r="C939" t="s">
        <v>11</v>
      </c>
      <c r="D939" t="s">
        <v>5874</v>
      </c>
      <c r="E939" t="s">
        <v>5875</v>
      </c>
      <c r="F939">
        <v>941</v>
      </c>
      <c r="G939">
        <v>40.830000000000005</v>
      </c>
      <c r="H939">
        <v>30</v>
      </c>
      <c r="I939">
        <v>9</v>
      </c>
      <c r="J939">
        <v>10</v>
      </c>
      <c r="K939">
        <v>6</v>
      </c>
      <c r="L939">
        <v>3</v>
      </c>
      <c r="M939">
        <v>1</v>
      </c>
      <c r="R939">
        <v>0.05</v>
      </c>
      <c r="S939">
        <v>0.12</v>
      </c>
      <c r="AF939">
        <v>8.7311875000000008</v>
      </c>
      <c r="AI939" t="s">
        <v>0</v>
      </c>
      <c r="AJ939" t="s">
        <v>128</v>
      </c>
      <c r="AK939" t="s">
        <v>5311</v>
      </c>
      <c r="AL939" t="s">
        <v>5386</v>
      </c>
      <c r="AM939" t="s">
        <v>5837</v>
      </c>
      <c r="AN939" t="s">
        <v>5217</v>
      </c>
      <c r="AO939" t="s">
        <v>11</v>
      </c>
      <c r="AP939" t="s">
        <v>11</v>
      </c>
      <c r="AQ939" t="s">
        <v>5537</v>
      </c>
      <c r="AR939" t="s">
        <v>11</v>
      </c>
      <c r="AS939" t="s">
        <v>11</v>
      </c>
      <c r="AT939" t="s">
        <v>89</v>
      </c>
      <c r="AU939" t="s">
        <v>317</v>
      </c>
      <c r="AV939" t="s">
        <v>11</v>
      </c>
      <c r="AW939" t="s">
        <v>11</v>
      </c>
      <c r="AX939" t="s">
        <v>11</v>
      </c>
      <c r="AY939" t="s">
        <v>11</v>
      </c>
      <c r="AZ939" t="s">
        <v>11</v>
      </c>
      <c r="BA939" t="s">
        <v>11</v>
      </c>
      <c r="BB939" t="s">
        <v>11</v>
      </c>
      <c r="BC939" t="s">
        <v>11</v>
      </c>
      <c r="BD939" t="s">
        <v>11</v>
      </c>
      <c r="BE939" t="s">
        <v>11</v>
      </c>
      <c r="BF939" t="s">
        <v>11</v>
      </c>
      <c r="BG939" t="s">
        <v>11</v>
      </c>
      <c r="BH939" t="s">
        <v>5876</v>
      </c>
      <c r="BI939" t="s">
        <v>5873</v>
      </c>
      <c r="BJ939" t="s">
        <v>11</v>
      </c>
    </row>
    <row r="940" spans="1:62" x14ac:dyDescent="0.3">
      <c r="A940" t="s">
        <v>5877</v>
      </c>
      <c r="C940" t="s">
        <v>11</v>
      </c>
      <c r="D940" t="s">
        <v>5878</v>
      </c>
      <c r="E940" t="s">
        <v>5879</v>
      </c>
      <c r="F940">
        <v>942</v>
      </c>
      <c r="G940">
        <v>36.830000000000005</v>
      </c>
      <c r="H940">
        <v>30</v>
      </c>
      <c r="I940">
        <v>9</v>
      </c>
      <c r="J940">
        <v>14</v>
      </c>
      <c r="K940">
        <v>6</v>
      </c>
      <c r="L940">
        <v>3</v>
      </c>
      <c r="M940">
        <v>1</v>
      </c>
      <c r="R940">
        <v>0.05</v>
      </c>
      <c r="S940">
        <v>0.12</v>
      </c>
      <c r="AF940">
        <v>8.6627875000000003</v>
      </c>
      <c r="AI940" t="s">
        <v>0</v>
      </c>
      <c r="AJ940" t="s">
        <v>128</v>
      </c>
      <c r="AK940" t="s">
        <v>5311</v>
      </c>
      <c r="AL940" t="s">
        <v>5386</v>
      </c>
      <c r="AM940" t="s">
        <v>5880</v>
      </c>
      <c r="AN940" t="s">
        <v>5217</v>
      </c>
      <c r="AO940" t="s">
        <v>11</v>
      </c>
      <c r="AP940" t="s">
        <v>11</v>
      </c>
      <c r="AQ940" t="s">
        <v>5537</v>
      </c>
      <c r="AR940" t="s">
        <v>11</v>
      </c>
      <c r="AS940" t="s">
        <v>11</v>
      </c>
      <c r="AT940" t="s">
        <v>89</v>
      </c>
      <c r="AU940" t="s">
        <v>317</v>
      </c>
      <c r="AV940" t="s">
        <v>11</v>
      </c>
      <c r="AW940" t="s">
        <v>11</v>
      </c>
      <c r="AX940" t="s">
        <v>11</v>
      </c>
      <c r="AY940" t="s">
        <v>11</v>
      </c>
      <c r="AZ940" t="s">
        <v>11</v>
      </c>
      <c r="BA940" t="s">
        <v>11</v>
      </c>
      <c r="BB940" t="s">
        <v>11</v>
      </c>
      <c r="BC940" t="s">
        <v>11</v>
      </c>
      <c r="BD940" t="s">
        <v>11</v>
      </c>
      <c r="BE940" t="s">
        <v>11</v>
      </c>
      <c r="BF940" t="s">
        <v>11</v>
      </c>
      <c r="BG940" t="s">
        <v>11</v>
      </c>
      <c r="BH940" t="s">
        <v>5881</v>
      </c>
      <c r="BI940" t="s">
        <v>5877</v>
      </c>
      <c r="BJ940" t="s">
        <v>11</v>
      </c>
    </row>
    <row r="941" spans="1:62" x14ac:dyDescent="0.3">
      <c r="A941" t="s">
        <v>5882</v>
      </c>
      <c r="C941" t="s">
        <v>11</v>
      </c>
      <c r="D941" t="s">
        <v>5883</v>
      </c>
      <c r="E941" t="s">
        <v>5884</v>
      </c>
      <c r="F941">
        <v>943</v>
      </c>
      <c r="G941">
        <v>48.07</v>
      </c>
      <c r="H941">
        <v>29.1</v>
      </c>
      <c r="I941">
        <v>8.66</v>
      </c>
      <c r="J941">
        <v>6.4</v>
      </c>
      <c r="K941">
        <v>5.8</v>
      </c>
      <c r="L941">
        <v>1.86</v>
      </c>
      <c r="Q941">
        <v>0.11</v>
      </c>
      <c r="AF941">
        <v>8.7672542</v>
      </c>
      <c r="AI941" t="s">
        <v>0</v>
      </c>
      <c r="AJ941" t="s">
        <v>223</v>
      </c>
      <c r="AK941" t="s">
        <v>470</v>
      </c>
      <c r="AL941" t="s">
        <v>5885</v>
      </c>
      <c r="AM941" t="s">
        <v>1321</v>
      </c>
      <c r="AN941" t="s">
        <v>11</v>
      </c>
      <c r="AO941" t="s">
        <v>11</v>
      </c>
      <c r="AP941" t="s">
        <v>11</v>
      </c>
      <c r="AQ941" t="s">
        <v>1249</v>
      </c>
      <c r="AR941" t="s">
        <v>11</v>
      </c>
      <c r="AS941" t="s">
        <v>5886</v>
      </c>
      <c r="AT941" t="s">
        <v>11</v>
      </c>
      <c r="AU941" t="s">
        <v>11</v>
      </c>
      <c r="AV941" t="s">
        <v>11</v>
      </c>
      <c r="AW941" t="s">
        <v>11</v>
      </c>
      <c r="AX941" t="s">
        <v>11</v>
      </c>
      <c r="AY941" t="s">
        <v>11</v>
      </c>
      <c r="AZ941" t="s">
        <v>11</v>
      </c>
      <c r="BA941" t="s">
        <v>11</v>
      </c>
      <c r="BB941" t="s">
        <v>11</v>
      </c>
      <c r="BC941" t="s">
        <v>11</v>
      </c>
      <c r="BD941" t="s">
        <v>11</v>
      </c>
      <c r="BE941" t="s">
        <v>11</v>
      </c>
      <c r="BF941" t="s">
        <v>11</v>
      </c>
      <c r="BG941" t="s">
        <v>11</v>
      </c>
      <c r="BH941" t="s">
        <v>5887</v>
      </c>
      <c r="BI941" t="s">
        <v>5882</v>
      </c>
      <c r="BJ941" t="s">
        <v>11</v>
      </c>
    </row>
    <row r="942" spans="1:62" x14ac:dyDescent="0.3">
      <c r="A942" t="s">
        <v>5888</v>
      </c>
      <c r="C942" t="s">
        <v>11</v>
      </c>
      <c r="D942" t="s">
        <v>5889</v>
      </c>
      <c r="E942" t="s">
        <v>5890</v>
      </c>
      <c r="F942">
        <v>944</v>
      </c>
      <c r="G942">
        <v>42.339999999999989</v>
      </c>
      <c r="H942">
        <v>28.7</v>
      </c>
      <c r="I942">
        <v>9</v>
      </c>
      <c r="J942">
        <v>14.2</v>
      </c>
      <c r="K942">
        <v>4.5999999999999996</v>
      </c>
      <c r="L942">
        <v>0.3</v>
      </c>
      <c r="M942">
        <v>0.2</v>
      </c>
      <c r="Q942">
        <v>0.4</v>
      </c>
      <c r="S942">
        <v>0.06</v>
      </c>
      <c r="X942">
        <v>0.1</v>
      </c>
      <c r="Y942">
        <v>0.1</v>
      </c>
      <c r="AF942">
        <v>8.5494549999999983</v>
      </c>
      <c r="AI942" t="s">
        <v>0</v>
      </c>
      <c r="AJ942" t="s">
        <v>128</v>
      </c>
      <c r="AK942" t="s">
        <v>1763</v>
      </c>
      <c r="AL942" t="s">
        <v>2564</v>
      </c>
      <c r="AM942" t="s">
        <v>5714</v>
      </c>
      <c r="AN942" t="s">
        <v>1545</v>
      </c>
      <c r="AO942" t="s">
        <v>11</v>
      </c>
      <c r="AP942" t="s">
        <v>11</v>
      </c>
      <c r="AQ942" t="s">
        <v>1546</v>
      </c>
      <c r="AR942" t="s">
        <v>11</v>
      </c>
      <c r="AS942" t="s">
        <v>5249</v>
      </c>
      <c r="AT942" t="s">
        <v>11</v>
      </c>
      <c r="AU942" t="s">
        <v>1287</v>
      </c>
      <c r="AV942" t="s">
        <v>11</v>
      </c>
      <c r="AW942" t="s">
        <v>11</v>
      </c>
      <c r="AX942" t="s">
        <v>11</v>
      </c>
      <c r="AY942" t="s">
        <v>11</v>
      </c>
      <c r="AZ942" t="s">
        <v>5891</v>
      </c>
      <c r="BA942" t="s">
        <v>1534</v>
      </c>
      <c r="BB942" t="s">
        <v>11</v>
      </c>
      <c r="BC942" t="s">
        <v>11</v>
      </c>
      <c r="BD942" t="s">
        <v>11</v>
      </c>
      <c r="BE942" t="s">
        <v>11</v>
      </c>
      <c r="BF942" t="s">
        <v>11</v>
      </c>
      <c r="BG942" t="s">
        <v>11</v>
      </c>
      <c r="BH942" t="s">
        <v>5892</v>
      </c>
      <c r="BI942" t="s">
        <v>5888</v>
      </c>
      <c r="BJ942" t="s">
        <v>11</v>
      </c>
    </row>
    <row r="943" spans="1:62" x14ac:dyDescent="0.3">
      <c r="A943" t="s">
        <v>5893</v>
      </c>
      <c r="C943" t="s">
        <v>11</v>
      </c>
      <c r="D943" t="s">
        <v>5894</v>
      </c>
      <c r="E943" t="s">
        <v>5895</v>
      </c>
      <c r="F943">
        <v>945</v>
      </c>
      <c r="G943">
        <v>80.900000000000006</v>
      </c>
      <c r="I943">
        <v>7.3</v>
      </c>
      <c r="K943">
        <v>7.6</v>
      </c>
      <c r="L943">
        <v>4.2</v>
      </c>
      <c r="AF943">
        <v>9.049494000000001</v>
      </c>
      <c r="AI943" t="s">
        <v>0</v>
      </c>
      <c r="AJ943" t="s">
        <v>547</v>
      </c>
      <c r="AK943" t="s">
        <v>576</v>
      </c>
      <c r="AL943" t="s">
        <v>11</v>
      </c>
      <c r="AM943" t="s">
        <v>11</v>
      </c>
      <c r="AN943" t="s">
        <v>11</v>
      </c>
      <c r="AO943" t="s">
        <v>11</v>
      </c>
      <c r="AP943" t="s">
        <v>11</v>
      </c>
      <c r="AQ943" t="s">
        <v>2099</v>
      </c>
      <c r="AR943" t="s">
        <v>11</v>
      </c>
      <c r="AS943" t="s">
        <v>11</v>
      </c>
      <c r="AT943" t="s">
        <v>11</v>
      </c>
      <c r="AU943" t="s">
        <v>11</v>
      </c>
      <c r="AV943" t="s">
        <v>11</v>
      </c>
      <c r="AW943" t="s">
        <v>11</v>
      </c>
      <c r="AX943" t="s">
        <v>11</v>
      </c>
      <c r="AY943" t="s">
        <v>11</v>
      </c>
      <c r="AZ943" t="s">
        <v>11</v>
      </c>
      <c r="BA943" t="s">
        <v>11</v>
      </c>
      <c r="BB943" t="s">
        <v>11</v>
      </c>
      <c r="BC943" t="s">
        <v>11</v>
      </c>
      <c r="BD943" t="s">
        <v>11</v>
      </c>
      <c r="BE943" t="s">
        <v>11</v>
      </c>
      <c r="BF943" t="s">
        <v>11</v>
      </c>
      <c r="BG943" t="s">
        <v>11</v>
      </c>
      <c r="BH943" t="s">
        <v>5896</v>
      </c>
      <c r="BI943" t="s">
        <v>5893</v>
      </c>
      <c r="BJ943" t="s">
        <v>11</v>
      </c>
    </row>
    <row r="944" spans="1:62" x14ac:dyDescent="0.3">
      <c r="A944" t="s">
        <v>5897</v>
      </c>
      <c r="C944" t="s">
        <v>11</v>
      </c>
      <c r="D944" t="s">
        <v>5898</v>
      </c>
      <c r="E944" t="s">
        <v>5899</v>
      </c>
      <c r="F944">
        <v>946</v>
      </c>
      <c r="G944">
        <v>80</v>
      </c>
      <c r="I944">
        <v>10</v>
      </c>
      <c r="K944">
        <v>9</v>
      </c>
      <c r="Q944">
        <v>1</v>
      </c>
      <c r="AF944">
        <v>9.1450999999999993</v>
      </c>
      <c r="AI944" t="s">
        <v>0</v>
      </c>
      <c r="AJ944" t="s">
        <v>22</v>
      </c>
      <c r="AK944" t="s">
        <v>5211</v>
      </c>
      <c r="AL944" t="s">
        <v>11</v>
      </c>
      <c r="AM944" t="s">
        <v>11</v>
      </c>
      <c r="AN944" t="s">
        <v>11</v>
      </c>
      <c r="AO944" t="s">
        <v>11</v>
      </c>
      <c r="AP944" t="s">
        <v>11</v>
      </c>
      <c r="AQ944" t="s">
        <v>11</v>
      </c>
      <c r="AR944" t="s">
        <v>11</v>
      </c>
      <c r="AS944" t="s">
        <v>5900</v>
      </c>
      <c r="AT944" t="s">
        <v>11</v>
      </c>
      <c r="AU944" t="s">
        <v>11</v>
      </c>
      <c r="AV944" t="s">
        <v>11</v>
      </c>
      <c r="AW944" t="s">
        <v>11</v>
      </c>
      <c r="AX944" t="s">
        <v>11</v>
      </c>
      <c r="AY944" t="s">
        <v>11</v>
      </c>
      <c r="AZ944" t="s">
        <v>11</v>
      </c>
      <c r="BA944" t="s">
        <v>11</v>
      </c>
      <c r="BB944" t="s">
        <v>11</v>
      </c>
      <c r="BC944" t="s">
        <v>11</v>
      </c>
      <c r="BD944" t="s">
        <v>11</v>
      </c>
      <c r="BE944" t="s">
        <v>11</v>
      </c>
      <c r="BF944" t="s">
        <v>11</v>
      </c>
      <c r="BG944" t="s">
        <v>11</v>
      </c>
      <c r="BH944" t="s">
        <v>5901</v>
      </c>
      <c r="BI944" t="s">
        <v>5897</v>
      </c>
      <c r="BJ944" t="s">
        <v>11</v>
      </c>
    </row>
    <row r="945" spans="1:62" x14ac:dyDescent="0.3">
      <c r="A945" t="s">
        <v>5902</v>
      </c>
      <c r="C945" t="s">
        <v>11</v>
      </c>
      <c r="D945" t="s">
        <v>5903</v>
      </c>
      <c r="E945" t="s">
        <v>5899</v>
      </c>
      <c r="F945">
        <v>947</v>
      </c>
      <c r="G945">
        <v>87</v>
      </c>
      <c r="I945">
        <v>7</v>
      </c>
      <c r="K945">
        <v>5</v>
      </c>
      <c r="Q945">
        <v>1</v>
      </c>
      <c r="AF945">
        <v>8.9170999999999996</v>
      </c>
      <c r="AI945" t="s">
        <v>0</v>
      </c>
      <c r="AJ945" t="s">
        <v>1358</v>
      </c>
      <c r="AK945" t="s">
        <v>5588</v>
      </c>
      <c r="AL945" t="s">
        <v>11</v>
      </c>
      <c r="AM945" t="s">
        <v>11</v>
      </c>
      <c r="AN945" t="s">
        <v>11</v>
      </c>
      <c r="AO945" t="s">
        <v>11</v>
      </c>
      <c r="AP945" t="s">
        <v>11</v>
      </c>
      <c r="AQ945" t="s">
        <v>11</v>
      </c>
      <c r="AR945" t="s">
        <v>11</v>
      </c>
      <c r="AS945" t="s">
        <v>5900</v>
      </c>
      <c r="AT945" t="s">
        <v>11</v>
      </c>
      <c r="AU945" t="s">
        <v>11</v>
      </c>
      <c r="AV945" t="s">
        <v>11</v>
      </c>
      <c r="AW945" t="s">
        <v>11</v>
      </c>
      <c r="AX945" t="s">
        <v>11</v>
      </c>
      <c r="AY945" t="s">
        <v>11</v>
      </c>
      <c r="AZ945" t="s">
        <v>11</v>
      </c>
      <c r="BA945" t="s">
        <v>11</v>
      </c>
      <c r="BB945" t="s">
        <v>11</v>
      </c>
      <c r="BC945" t="s">
        <v>11</v>
      </c>
      <c r="BD945" t="s">
        <v>11</v>
      </c>
      <c r="BE945" t="s">
        <v>11</v>
      </c>
      <c r="BF945" t="s">
        <v>11</v>
      </c>
      <c r="BG945" t="s">
        <v>11</v>
      </c>
      <c r="BH945" t="s">
        <v>5904</v>
      </c>
      <c r="BI945" t="s">
        <v>5902</v>
      </c>
      <c r="BJ945" t="s">
        <v>11</v>
      </c>
    </row>
    <row r="946" spans="1:62" x14ac:dyDescent="0.3">
      <c r="A946" t="s">
        <v>5905</v>
      </c>
      <c r="C946" t="s">
        <v>11</v>
      </c>
      <c r="D946" t="s">
        <v>5906</v>
      </c>
      <c r="E946" t="s">
        <v>5899</v>
      </c>
      <c r="F946">
        <v>948</v>
      </c>
      <c r="G946">
        <v>88</v>
      </c>
      <c r="I946">
        <v>7</v>
      </c>
      <c r="K946">
        <v>5</v>
      </c>
      <c r="AF946">
        <v>8.9834999999999994</v>
      </c>
      <c r="AI946" t="s">
        <v>0</v>
      </c>
      <c r="AJ946" t="s">
        <v>1358</v>
      </c>
      <c r="AK946" t="s">
        <v>5588</v>
      </c>
      <c r="AL946" t="s">
        <v>11</v>
      </c>
      <c r="AM946" t="s">
        <v>11</v>
      </c>
      <c r="AN946" t="s">
        <v>11</v>
      </c>
      <c r="AO946" t="s">
        <v>11</v>
      </c>
      <c r="AP946" t="s">
        <v>11</v>
      </c>
      <c r="AQ946" t="s">
        <v>11</v>
      </c>
      <c r="AR946" t="s">
        <v>11</v>
      </c>
      <c r="AS946" t="s">
        <v>11</v>
      </c>
      <c r="AT946" t="s">
        <v>11</v>
      </c>
      <c r="AU946" t="s">
        <v>11</v>
      </c>
      <c r="AV946" t="s">
        <v>11</v>
      </c>
      <c r="AW946" t="s">
        <v>11</v>
      </c>
      <c r="AX946" t="s">
        <v>11</v>
      </c>
      <c r="AY946" t="s">
        <v>11</v>
      </c>
      <c r="AZ946" t="s">
        <v>11</v>
      </c>
      <c r="BA946" t="s">
        <v>11</v>
      </c>
      <c r="BB946" t="s">
        <v>11</v>
      </c>
      <c r="BC946" t="s">
        <v>11</v>
      </c>
      <c r="BD946" t="s">
        <v>11</v>
      </c>
      <c r="BE946" t="s">
        <v>11</v>
      </c>
      <c r="BF946" t="s">
        <v>11</v>
      </c>
      <c r="BG946" t="s">
        <v>11</v>
      </c>
      <c r="BH946" t="s">
        <v>5907</v>
      </c>
      <c r="BI946" t="s">
        <v>5905</v>
      </c>
      <c r="BJ946" t="s">
        <v>11</v>
      </c>
    </row>
    <row r="947" spans="1:62" x14ac:dyDescent="0.3">
      <c r="A947" t="s">
        <v>5908</v>
      </c>
      <c r="C947" t="s">
        <v>11</v>
      </c>
      <c r="D947" t="s">
        <v>5909</v>
      </c>
      <c r="E947" t="s">
        <v>5910</v>
      </c>
      <c r="F947">
        <v>949</v>
      </c>
      <c r="G947">
        <v>40.18</v>
      </c>
      <c r="H947">
        <v>30.08</v>
      </c>
      <c r="I947">
        <v>7.4</v>
      </c>
      <c r="J947">
        <v>14.09</v>
      </c>
      <c r="K947">
        <v>2</v>
      </c>
      <c r="L947">
        <v>4.0599999999999996</v>
      </c>
      <c r="M947">
        <v>1</v>
      </c>
      <c r="P947">
        <v>1.02</v>
      </c>
      <c r="Q947">
        <v>0.02</v>
      </c>
      <c r="S947">
        <v>0.15</v>
      </c>
      <c r="AF947">
        <v>8.3118996000000003</v>
      </c>
      <c r="AI947" t="s">
        <v>0</v>
      </c>
      <c r="AJ947" t="s">
        <v>4048</v>
      </c>
      <c r="AK947" t="s">
        <v>5223</v>
      </c>
      <c r="AL947" t="s">
        <v>2819</v>
      </c>
      <c r="AM947" t="s">
        <v>5911</v>
      </c>
      <c r="AN947" t="s">
        <v>5217</v>
      </c>
      <c r="AO947" t="s">
        <v>11</v>
      </c>
      <c r="AP947" t="s">
        <v>11</v>
      </c>
      <c r="AQ947" t="s">
        <v>540</v>
      </c>
      <c r="AR947" t="s">
        <v>5312</v>
      </c>
      <c r="AS947" t="s">
        <v>2331</v>
      </c>
      <c r="AT947" t="s">
        <v>11</v>
      </c>
      <c r="AU947" t="s">
        <v>5912</v>
      </c>
      <c r="AV947" t="s">
        <v>11</v>
      </c>
      <c r="AW947" t="s">
        <v>11</v>
      </c>
      <c r="AX947" t="s">
        <v>11</v>
      </c>
      <c r="AY947" t="s">
        <v>11</v>
      </c>
      <c r="AZ947" t="s">
        <v>11</v>
      </c>
      <c r="BA947" t="s">
        <v>11</v>
      </c>
      <c r="BB947" t="s">
        <v>11</v>
      </c>
      <c r="BC947" t="s">
        <v>11</v>
      </c>
      <c r="BD947" t="s">
        <v>11</v>
      </c>
      <c r="BE947" t="s">
        <v>11</v>
      </c>
      <c r="BF947" t="s">
        <v>11</v>
      </c>
      <c r="BG947" t="s">
        <v>11</v>
      </c>
      <c r="BH947" t="s">
        <v>5913</v>
      </c>
      <c r="BI947" t="s">
        <v>5908</v>
      </c>
      <c r="BJ947" t="s">
        <v>11</v>
      </c>
    </row>
    <row r="948" spans="1:62" x14ac:dyDescent="0.3">
      <c r="A948" t="s">
        <v>5448</v>
      </c>
      <c r="C948" t="s">
        <v>11</v>
      </c>
      <c r="D948" t="s">
        <v>1813</v>
      </c>
      <c r="E948" t="s">
        <v>5914</v>
      </c>
      <c r="F948">
        <v>950</v>
      </c>
      <c r="G948">
        <v>60</v>
      </c>
      <c r="H948">
        <v>20</v>
      </c>
      <c r="I948">
        <v>7</v>
      </c>
      <c r="K948">
        <v>8</v>
      </c>
      <c r="L948">
        <v>4</v>
      </c>
      <c r="M948">
        <v>1</v>
      </c>
      <c r="AF948">
        <v>9.197379999999999</v>
      </c>
      <c r="AI948" t="s">
        <v>0</v>
      </c>
      <c r="AJ948" t="s">
        <v>1358</v>
      </c>
      <c r="AK948" t="s">
        <v>5216</v>
      </c>
      <c r="AL948" t="s">
        <v>5401</v>
      </c>
      <c r="AM948" t="s">
        <v>11</v>
      </c>
      <c r="AN948" t="s">
        <v>5217</v>
      </c>
      <c r="AO948" t="s">
        <v>11</v>
      </c>
      <c r="AP948" t="s">
        <v>11</v>
      </c>
      <c r="AQ948" t="s">
        <v>5218</v>
      </c>
      <c r="AR948" t="s">
        <v>11</v>
      </c>
      <c r="AS948" t="s">
        <v>11</v>
      </c>
      <c r="AT948" t="s">
        <v>11</v>
      </c>
      <c r="AU948" t="s">
        <v>11</v>
      </c>
      <c r="AV948" t="s">
        <v>11</v>
      </c>
      <c r="AW948" t="s">
        <v>11</v>
      </c>
      <c r="AX948" t="s">
        <v>11</v>
      </c>
      <c r="AY948" t="s">
        <v>11</v>
      </c>
      <c r="AZ948" t="s">
        <v>11</v>
      </c>
      <c r="BA948" t="s">
        <v>11</v>
      </c>
      <c r="BB948" t="s">
        <v>11</v>
      </c>
      <c r="BC948" t="s">
        <v>11</v>
      </c>
      <c r="BD948" t="s">
        <v>11</v>
      </c>
      <c r="BE948" t="s">
        <v>11</v>
      </c>
      <c r="BF948" t="s">
        <v>11</v>
      </c>
      <c r="BG948" t="s">
        <v>11</v>
      </c>
      <c r="BH948" t="s">
        <v>5915</v>
      </c>
      <c r="BI948" t="s">
        <v>5448</v>
      </c>
      <c r="BJ948" t="s">
        <v>11</v>
      </c>
    </row>
    <row r="949" spans="1:62" x14ac:dyDescent="0.3">
      <c r="A949" t="s">
        <v>5916</v>
      </c>
      <c r="C949" t="s">
        <v>11</v>
      </c>
      <c r="D949" t="s">
        <v>5917</v>
      </c>
      <c r="E949" t="s">
        <v>5918</v>
      </c>
      <c r="F949">
        <v>951</v>
      </c>
      <c r="G949">
        <v>40</v>
      </c>
      <c r="H949">
        <v>40</v>
      </c>
      <c r="I949">
        <v>7</v>
      </c>
      <c r="K949">
        <v>8</v>
      </c>
      <c r="L949">
        <v>4</v>
      </c>
      <c r="M949">
        <v>1</v>
      </c>
      <c r="AF949">
        <v>9.1989800000000006</v>
      </c>
      <c r="AI949" t="s">
        <v>0</v>
      </c>
      <c r="AJ949" t="s">
        <v>1358</v>
      </c>
      <c r="AK949" t="s">
        <v>5216</v>
      </c>
      <c r="AL949" t="s">
        <v>5836</v>
      </c>
      <c r="AM949" t="s">
        <v>11</v>
      </c>
      <c r="AN949" t="s">
        <v>5217</v>
      </c>
      <c r="AO949" t="s">
        <v>11</v>
      </c>
      <c r="AP949" t="s">
        <v>11</v>
      </c>
      <c r="AQ949" t="s">
        <v>5218</v>
      </c>
      <c r="AR949" t="s">
        <v>11</v>
      </c>
      <c r="AS949" t="s">
        <v>11</v>
      </c>
      <c r="AT949" t="s">
        <v>11</v>
      </c>
      <c r="AU949" t="s">
        <v>11</v>
      </c>
      <c r="AV949" t="s">
        <v>11</v>
      </c>
      <c r="AW949" t="s">
        <v>11</v>
      </c>
      <c r="AX949" t="s">
        <v>11</v>
      </c>
      <c r="AY949" t="s">
        <v>11</v>
      </c>
      <c r="AZ949" t="s">
        <v>11</v>
      </c>
      <c r="BA949" t="s">
        <v>11</v>
      </c>
      <c r="BB949" t="s">
        <v>11</v>
      </c>
      <c r="BC949" t="s">
        <v>11</v>
      </c>
      <c r="BD949" t="s">
        <v>11</v>
      </c>
      <c r="BE949" t="s">
        <v>11</v>
      </c>
      <c r="BF949" t="s">
        <v>11</v>
      </c>
      <c r="BG949" t="s">
        <v>11</v>
      </c>
      <c r="BH949" t="s">
        <v>5919</v>
      </c>
      <c r="BI949" t="s">
        <v>5916</v>
      </c>
      <c r="BJ949" t="s">
        <v>11</v>
      </c>
    </row>
    <row r="950" spans="1:62" x14ac:dyDescent="0.3">
      <c r="A950" t="s">
        <v>5920</v>
      </c>
      <c r="C950" t="s">
        <v>11</v>
      </c>
      <c r="D950" t="s">
        <v>5921</v>
      </c>
      <c r="E950" t="s">
        <v>5922</v>
      </c>
      <c r="F950">
        <v>952</v>
      </c>
      <c r="G950">
        <v>68</v>
      </c>
      <c r="H950">
        <v>20</v>
      </c>
      <c r="I950">
        <v>7</v>
      </c>
      <c r="L950">
        <v>4</v>
      </c>
      <c r="M950">
        <v>1</v>
      </c>
      <c r="AF950">
        <v>8.3693799999999996</v>
      </c>
      <c r="AI950" t="s">
        <v>0</v>
      </c>
      <c r="AJ950" t="s">
        <v>1358</v>
      </c>
      <c r="AK950" t="s">
        <v>11</v>
      </c>
      <c r="AL950" t="s">
        <v>5401</v>
      </c>
      <c r="AM950" t="s">
        <v>11</v>
      </c>
      <c r="AN950" t="s">
        <v>5217</v>
      </c>
      <c r="AO950" t="s">
        <v>11</v>
      </c>
      <c r="AP950" t="s">
        <v>11</v>
      </c>
      <c r="AQ950" t="s">
        <v>5218</v>
      </c>
      <c r="AR950" t="s">
        <v>11</v>
      </c>
      <c r="AS950" t="s">
        <v>11</v>
      </c>
      <c r="AT950" t="s">
        <v>11</v>
      </c>
      <c r="AU950" t="s">
        <v>11</v>
      </c>
      <c r="AV950" t="s">
        <v>11</v>
      </c>
      <c r="AW950" t="s">
        <v>11</v>
      </c>
      <c r="AX950" t="s">
        <v>11</v>
      </c>
      <c r="AY950" t="s">
        <v>11</v>
      </c>
      <c r="AZ950" t="s">
        <v>11</v>
      </c>
      <c r="BA950" t="s">
        <v>11</v>
      </c>
      <c r="BB950" t="s">
        <v>11</v>
      </c>
      <c r="BC950" t="s">
        <v>11</v>
      </c>
      <c r="BD950" t="s">
        <v>11</v>
      </c>
      <c r="BE950" t="s">
        <v>11</v>
      </c>
      <c r="BF950" t="s">
        <v>11</v>
      </c>
      <c r="BG950" t="s">
        <v>11</v>
      </c>
      <c r="BH950" t="s">
        <v>5923</v>
      </c>
      <c r="BI950" t="s">
        <v>5920</v>
      </c>
      <c r="BJ950" t="s">
        <v>11</v>
      </c>
    </row>
    <row r="951" spans="1:62" x14ac:dyDescent="0.3">
      <c r="A951" t="s">
        <v>5924</v>
      </c>
      <c r="C951" t="s">
        <v>11</v>
      </c>
      <c r="D951" t="s">
        <v>5925</v>
      </c>
      <c r="E951" t="s">
        <v>5926</v>
      </c>
      <c r="F951">
        <v>953</v>
      </c>
      <c r="G951">
        <v>53</v>
      </c>
      <c r="H951">
        <v>20</v>
      </c>
      <c r="I951">
        <v>7</v>
      </c>
      <c r="J951">
        <v>15</v>
      </c>
      <c r="L951">
        <v>4</v>
      </c>
      <c r="M951">
        <v>1</v>
      </c>
      <c r="AF951">
        <v>8.1128800000000005</v>
      </c>
      <c r="AI951" t="s">
        <v>0</v>
      </c>
      <c r="AJ951" t="s">
        <v>1358</v>
      </c>
      <c r="AK951" t="s">
        <v>11</v>
      </c>
      <c r="AL951" t="s">
        <v>5401</v>
      </c>
      <c r="AM951" t="s">
        <v>5738</v>
      </c>
      <c r="AN951" t="s">
        <v>5217</v>
      </c>
      <c r="AO951" t="s">
        <v>11</v>
      </c>
      <c r="AP951" t="s">
        <v>11</v>
      </c>
      <c r="AQ951" t="s">
        <v>5218</v>
      </c>
      <c r="AR951" t="s">
        <v>11</v>
      </c>
      <c r="AS951" t="s">
        <v>11</v>
      </c>
      <c r="AT951" t="s">
        <v>11</v>
      </c>
      <c r="AU951" t="s">
        <v>11</v>
      </c>
      <c r="AV951" t="s">
        <v>11</v>
      </c>
      <c r="AW951" t="s">
        <v>11</v>
      </c>
      <c r="AX951" t="s">
        <v>11</v>
      </c>
      <c r="AY951" t="s">
        <v>11</v>
      </c>
      <c r="AZ951" t="s">
        <v>11</v>
      </c>
      <c r="BA951" t="s">
        <v>11</v>
      </c>
      <c r="BB951" t="s">
        <v>11</v>
      </c>
      <c r="BC951" t="s">
        <v>11</v>
      </c>
      <c r="BD951" t="s">
        <v>11</v>
      </c>
      <c r="BE951" t="s">
        <v>11</v>
      </c>
      <c r="BF951" t="s">
        <v>11</v>
      </c>
      <c r="BG951" t="s">
        <v>11</v>
      </c>
      <c r="BH951" t="s">
        <v>5927</v>
      </c>
      <c r="BI951" t="s">
        <v>5924</v>
      </c>
      <c r="BJ951" t="s">
        <v>11</v>
      </c>
    </row>
    <row r="952" spans="1:62" x14ac:dyDescent="0.3">
      <c r="A952" t="s">
        <v>5928</v>
      </c>
      <c r="C952" t="s">
        <v>11</v>
      </c>
      <c r="D952" t="s">
        <v>5929</v>
      </c>
      <c r="E952" t="s">
        <v>5930</v>
      </c>
      <c r="F952">
        <v>954</v>
      </c>
      <c r="G952">
        <v>44.9</v>
      </c>
      <c r="H952">
        <v>30.1</v>
      </c>
      <c r="I952">
        <v>11</v>
      </c>
      <c r="J952">
        <v>5</v>
      </c>
      <c r="K952">
        <v>4.0999999999999996</v>
      </c>
      <c r="L952">
        <v>3.9</v>
      </c>
      <c r="M952">
        <v>1</v>
      </c>
      <c r="AF952">
        <v>8.4654310000000006</v>
      </c>
      <c r="AI952" t="s">
        <v>0</v>
      </c>
      <c r="AJ952" t="s">
        <v>1365</v>
      </c>
      <c r="AK952" t="s">
        <v>1602</v>
      </c>
      <c r="AL952" t="s">
        <v>2819</v>
      </c>
      <c r="AM952" t="s">
        <v>5931</v>
      </c>
      <c r="AN952" t="s">
        <v>5217</v>
      </c>
      <c r="AO952" t="s">
        <v>11</v>
      </c>
      <c r="AP952" t="s">
        <v>11</v>
      </c>
      <c r="AQ952" t="s">
        <v>2556</v>
      </c>
      <c r="AR952" t="s">
        <v>11</v>
      </c>
      <c r="AS952" t="s">
        <v>11</v>
      </c>
      <c r="AT952" t="s">
        <v>11</v>
      </c>
      <c r="AU952" t="s">
        <v>11</v>
      </c>
      <c r="AV952" t="s">
        <v>11</v>
      </c>
      <c r="AW952" t="s">
        <v>11</v>
      </c>
      <c r="AX952" t="s">
        <v>11</v>
      </c>
      <c r="AY952" t="s">
        <v>11</v>
      </c>
      <c r="AZ952" t="s">
        <v>11</v>
      </c>
      <c r="BA952" t="s">
        <v>11</v>
      </c>
      <c r="BB952" t="s">
        <v>11</v>
      </c>
      <c r="BC952" t="s">
        <v>11</v>
      </c>
      <c r="BD952" t="s">
        <v>11</v>
      </c>
      <c r="BE952" t="s">
        <v>11</v>
      </c>
      <c r="BF952" t="s">
        <v>11</v>
      </c>
      <c r="BG952" t="s">
        <v>11</v>
      </c>
      <c r="BH952" t="s">
        <v>5932</v>
      </c>
      <c r="BI952" t="s">
        <v>5928</v>
      </c>
      <c r="BJ952" t="s">
        <v>11</v>
      </c>
    </row>
    <row r="953" spans="1:62" x14ac:dyDescent="0.3">
      <c r="A953" t="s">
        <v>5933</v>
      </c>
      <c r="C953" t="s">
        <v>11</v>
      </c>
      <c r="D953" t="s">
        <v>5934</v>
      </c>
      <c r="E953" t="s">
        <v>5935</v>
      </c>
      <c r="F953">
        <v>955</v>
      </c>
      <c r="G953">
        <v>44.980000000000004</v>
      </c>
      <c r="H953">
        <v>30.4</v>
      </c>
      <c r="I953">
        <v>10.5</v>
      </c>
      <c r="J953">
        <v>5.03</v>
      </c>
      <c r="K953">
        <v>4.05</v>
      </c>
      <c r="L953">
        <v>3.9</v>
      </c>
      <c r="M953">
        <v>1</v>
      </c>
      <c r="Q953">
        <v>0.09</v>
      </c>
      <c r="S953">
        <v>0.05</v>
      </c>
      <c r="AF953">
        <v>8.4815710000000006</v>
      </c>
      <c r="AI953" t="s">
        <v>0</v>
      </c>
      <c r="AJ953" t="s">
        <v>1256</v>
      </c>
      <c r="AK953" t="s">
        <v>1602</v>
      </c>
      <c r="AL953" t="s">
        <v>2582</v>
      </c>
      <c r="AM953" t="s">
        <v>5931</v>
      </c>
      <c r="AN953" t="s">
        <v>5217</v>
      </c>
      <c r="AO953" t="s">
        <v>11</v>
      </c>
      <c r="AP953" t="s">
        <v>11</v>
      </c>
      <c r="AQ953" t="s">
        <v>2556</v>
      </c>
      <c r="AR953" t="s">
        <v>11</v>
      </c>
      <c r="AS953" t="s">
        <v>4426</v>
      </c>
      <c r="AT953" t="s">
        <v>11</v>
      </c>
      <c r="AU953" t="s">
        <v>4987</v>
      </c>
      <c r="AV953" t="s">
        <v>11</v>
      </c>
      <c r="AW953" t="s">
        <v>11</v>
      </c>
      <c r="AX953" t="s">
        <v>11</v>
      </c>
      <c r="AY953" t="s">
        <v>11</v>
      </c>
      <c r="AZ953" t="s">
        <v>11</v>
      </c>
      <c r="BA953" t="s">
        <v>11</v>
      </c>
      <c r="BB953" t="s">
        <v>11</v>
      </c>
      <c r="BC953" t="s">
        <v>11</v>
      </c>
      <c r="BD953" t="s">
        <v>11</v>
      </c>
      <c r="BE953" t="s">
        <v>11</v>
      </c>
      <c r="BF953" t="s">
        <v>11</v>
      </c>
      <c r="BG953" t="s">
        <v>11</v>
      </c>
      <c r="BH953" t="s">
        <v>5936</v>
      </c>
      <c r="BI953" t="s">
        <v>5933</v>
      </c>
      <c r="BJ953" t="s">
        <v>11</v>
      </c>
    </row>
    <row r="954" spans="1:62" x14ac:dyDescent="0.3">
      <c r="A954" t="s">
        <v>5937</v>
      </c>
      <c r="C954" t="s">
        <v>11</v>
      </c>
      <c r="D954" t="s">
        <v>5938</v>
      </c>
      <c r="E954" t="s">
        <v>5939</v>
      </c>
      <c r="F954">
        <v>956</v>
      </c>
      <c r="G954">
        <v>74.3</v>
      </c>
      <c r="I954">
        <v>5.3</v>
      </c>
      <c r="J954">
        <v>15.1</v>
      </c>
      <c r="L954">
        <v>5.3</v>
      </c>
      <c r="AF954">
        <v>8.0803609999999999</v>
      </c>
      <c r="AI954" t="s">
        <v>0</v>
      </c>
      <c r="AJ954" t="s">
        <v>2497</v>
      </c>
      <c r="AK954" t="s">
        <v>11</v>
      </c>
      <c r="AL954" t="s">
        <v>11</v>
      </c>
      <c r="AM954" t="s">
        <v>5940</v>
      </c>
      <c r="AN954" t="s">
        <v>11</v>
      </c>
      <c r="AO954" t="s">
        <v>11</v>
      </c>
      <c r="AP954" t="s">
        <v>11</v>
      </c>
      <c r="AQ954" t="s">
        <v>1095</v>
      </c>
      <c r="AR954" t="s">
        <v>11</v>
      </c>
      <c r="AS954" t="s">
        <v>11</v>
      </c>
      <c r="AT954" t="s">
        <v>11</v>
      </c>
      <c r="AU954" t="s">
        <v>11</v>
      </c>
      <c r="AV954" t="s">
        <v>11</v>
      </c>
      <c r="AW954" t="s">
        <v>11</v>
      </c>
      <c r="AX954" t="s">
        <v>11</v>
      </c>
      <c r="AY954" t="s">
        <v>11</v>
      </c>
      <c r="AZ954" t="s">
        <v>11</v>
      </c>
      <c r="BA954" t="s">
        <v>11</v>
      </c>
      <c r="BB954" t="s">
        <v>11</v>
      </c>
      <c r="BC954" t="s">
        <v>11</v>
      </c>
      <c r="BD954" t="s">
        <v>11</v>
      </c>
      <c r="BE954" t="s">
        <v>11</v>
      </c>
      <c r="BF954" t="s">
        <v>11</v>
      </c>
      <c r="BG954" t="s">
        <v>11</v>
      </c>
      <c r="BH954" t="s">
        <v>5941</v>
      </c>
      <c r="BI954" t="s">
        <v>5937</v>
      </c>
      <c r="BJ954" t="s">
        <v>11</v>
      </c>
    </row>
    <row r="955" spans="1:62" x14ac:dyDescent="0.3">
      <c r="A955" t="s">
        <v>5942</v>
      </c>
      <c r="C955" t="s">
        <v>11</v>
      </c>
      <c r="D955" t="s">
        <v>5943</v>
      </c>
      <c r="E955" t="s">
        <v>5939</v>
      </c>
      <c r="F955">
        <v>957</v>
      </c>
      <c r="G955">
        <v>58.4</v>
      </c>
      <c r="H955">
        <v>15</v>
      </c>
      <c r="I955">
        <v>6.2</v>
      </c>
      <c r="J955">
        <v>15.2</v>
      </c>
      <c r="L955">
        <v>5.2</v>
      </c>
      <c r="AF955">
        <v>8.0284440000000004</v>
      </c>
      <c r="AI955" t="s">
        <v>0</v>
      </c>
      <c r="AJ955" t="s">
        <v>1264</v>
      </c>
      <c r="AK955" t="s">
        <v>11</v>
      </c>
      <c r="AL955" t="s">
        <v>5382</v>
      </c>
      <c r="AM955" t="s">
        <v>5944</v>
      </c>
      <c r="AN955" t="s">
        <v>11</v>
      </c>
      <c r="AO955" t="s">
        <v>11</v>
      </c>
      <c r="AP955" t="s">
        <v>11</v>
      </c>
      <c r="AQ955" t="s">
        <v>1120</v>
      </c>
      <c r="AR955" t="s">
        <v>11</v>
      </c>
      <c r="AS955" t="s">
        <v>11</v>
      </c>
      <c r="AT955" t="s">
        <v>11</v>
      </c>
      <c r="AU955" t="s">
        <v>11</v>
      </c>
      <c r="AV955" t="s">
        <v>11</v>
      </c>
      <c r="AW955" t="s">
        <v>11</v>
      </c>
      <c r="AX955" t="s">
        <v>11</v>
      </c>
      <c r="AY955" t="s">
        <v>11</v>
      </c>
      <c r="AZ955" t="s">
        <v>11</v>
      </c>
      <c r="BA955" t="s">
        <v>11</v>
      </c>
      <c r="BB955" t="s">
        <v>11</v>
      </c>
      <c r="BC955" t="s">
        <v>11</v>
      </c>
      <c r="BD955" t="s">
        <v>11</v>
      </c>
      <c r="BE955" t="s">
        <v>11</v>
      </c>
      <c r="BF955" t="s">
        <v>11</v>
      </c>
      <c r="BG955" t="s">
        <v>11</v>
      </c>
      <c r="BH955" t="s">
        <v>5945</v>
      </c>
      <c r="BI955" t="s">
        <v>5942</v>
      </c>
      <c r="BJ955" t="s">
        <v>11</v>
      </c>
    </row>
    <row r="956" spans="1:62" x14ac:dyDescent="0.3">
      <c r="A956" t="s">
        <v>5946</v>
      </c>
      <c r="C956" t="s">
        <v>11</v>
      </c>
      <c r="D956" t="s">
        <v>5947</v>
      </c>
      <c r="E956" t="s">
        <v>5939</v>
      </c>
      <c r="F956">
        <v>958</v>
      </c>
      <c r="G956">
        <v>30.099999999999994</v>
      </c>
      <c r="H956">
        <v>29.5</v>
      </c>
      <c r="I956">
        <v>4.7</v>
      </c>
      <c r="J956">
        <v>30.8</v>
      </c>
      <c r="L956">
        <v>4.9000000000000004</v>
      </c>
      <c r="AF956">
        <v>7.8690229999999994</v>
      </c>
      <c r="AI956" t="s">
        <v>0</v>
      </c>
      <c r="AJ956" t="s">
        <v>5948</v>
      </c>
      <c r="AK956" t="s">
        <v>11</v>
      </c>
      <c r="AL956" t="s">
        <v>12</v>
      </c>
      <c r="AM956" t="s">
        <v>5949</v>
      </c>
      <c r="AN956" t="s">
        <v>11</v>
      </c>
      <c r="AO956" t="s">
        <v>11</v>
      </c>
      <c r="AP956" t="s">
        <v>11</v>
      </c>
      <c r="AQ956" t="s">
        <v>2320</v>
      </c>
      <c r="AR956" t="s">
        <v>11</v>
      </c>
      <c r="AS956" t="s">
        <v>11</v>
      </c>
      <c r="AT956" t="s">
        <v>11</v>
      </c>
      <c r="AU956" t="s">
        <v>11</v>
      </c>
      <c r="AV956" t="s">
        <v>11</v>
      </c>
      <c r="AW956" t="s">
        <v>11</v>
      </c>
      <c r="AX956" t="s">
        <v>11</v>
      </c>
      <c r="AY956" t="s">
        <v>11</v>
      </c>
      <c r="AZ956" t="s">
        <v>11</v>
      </c>
      <c r="BA956" t="s">
        <v>11</v>
      </c>
      <c r="BB956" t="s">
        <v>11</v>
      </c>
      <c r="BC956" t="s">
        <v>11</v>
      </c>
      <c r="BD956" t="s">
        <v>11</v>
      </c>
      <c r="BE956" t="s">
        <v>11</v>
      </c>
      <c r="BF956" t="s">
        <v>11</v>
      </c>
      <c r="BG956" t="s">
        <v>11</v>
      </c>
      <c r="BH956" t="s">
        <v>5950</v>
      </c>
      <c r="BI956" t="s">
        <v>5946</v>
      </c>
      <c r="BJ956" t="s">
        <v>11</v>
      </c>
    </row>
    <row r="957" spans="1:62" x14ac:dyDescent="0.3">
      <c r="A957" t="s">
        <v>5951</v>
      </c>
      <c r="C957" t="s">
        <v>11</v>
      </c>
      <c r="D957" t="s">
        <v>5952</v>
      </c>
      <c r="E957" t="s">
        <v>5939</v>
      </c>
      <c r="F957">
        <v>959</v>
      </c>
      <c r="G957">
        <v>45.2</v>
      </c>
      <c r="H957">
        <v>29.3</v>
      </c>
      <c r="I957">
        <v>4.7</v>
      </c>
      <c r="J957">
        <v>15.5</v>
      </c>
      <c r="L957">
        <v>5.3</v>
      </c>
      <c r="AF957">
        <v>8.1130650000000006</v>
      </c>
      <c r="AI957" t="s">
        <v>0</v>
      </c>
      <c r="AJ957" t="s">
        <v>5948</v>
      </c>
      <c r="AK957" t="s">
        <v>11</v>
      </c>
      <c r="AL957" t="s">
        <v>5953</v>
      </c>
      <c r="AM957" t="s">
        <v>5954</v>
      </c>
      <c r="AN957" t="s">
        <v>11</v>
      </c>
      <c r="AO957" t="s">
        <v>11</v>
      </c>
      <c r="AP957" t="s">
        <v>11</v>
      </c>
      <c r="AQ957" t="s">
        <v>1095</v>
      </c>
      <c r="AR957" t="s">
        <v>11</v>
      </c>
      <c r="AS957" t="s">
        <v>11</v>
      </c>
      <c r="AT957" t="s">
        <v>11</v>
      </c>
      <c r="AU957" t="s">
        <v>11</v>
      </c>
      <c r="AV957" t="s">
        <v>11</v>
      </c>
      <c r="AW957" t="s">
        <v>11</v>
      </c>
      <c r="AX957" t="s">
        <v>11</v>
      </c>
      <c r="AY957" t="s">
        <v>11</v>
      </c>
      <c r="AZ957" t="s">
        <v>11</v>
      </c>
      <c r="BA957" t="s">
        <v>11</v>
      </c>
      <c r="BB957" t="s">
        <v>11</v>
      </c>
      <c r="BC957" t="s">
        <v>11</v>
      </c>
      <c r="BD957" t="s">
        <v>11</v>
      </c>
      <c r="BE957" t="s">
        <v>11</v>
      </c>
      <c r="BF957" t="s">
        <v>11</v>
      </c>
      <c r="BG957" t="s">
        <v>11</v>
      </c>
      <c r="BH957" t="s">
        <v>5955</v>
      </c>
      <c r="BI957" t="s">
        <v>5951</v>
      </c>
      <c r="BJ957" t="s">
        <v>11</v>
      </c>
    </row>
    <row r="958" spans="1:62" x14ac:dyDescent="0.3">
      <c r="A958" t="s">
        <v>5956</v>
      </c>
      <c r="C958" t="s">
        <v>11</v>
      </c>
      <c r="D958" t="s">
        <v>5957</v>
      </c>
      <c r="E958" t="s">
        <v>5939</v>
      </c>
      <c r="F958">
        <v>960</v>
      </c>
      <c r="G958">
        <v>41.899999999999991</v>
      </c>
      <c r="H958">
        <v>29.3</v>
      </c>
      <c r="I958">
        <v>6.4</v>
      </c>
      <c r="J958">
        <v>15.2</v>
      </c>
      <c r="L958">
        <v>5.0999999999999996</v>
      </c>
      <c r="M958">
        <v>2.1</v>
      </c>
      <c r="AF958">
        <v>8.1843309999999985</v>
      </c>
      <c r="AI958" t="s">
        <v>0</v>
      </c>
      <c r="AJ958" t="s">
        <v>4000</v>
      </c>
      <c r="AK958" t="s">
        <v>11</v>
      </c>
      <c r="AL958" t="s">
        <v>5953</v>
      </c>
      <c r="AM958" t="s">
        <v>5944</v>
      </c>
      <c r="AN958" t="s">
        <v>2355</v>
      </c>
      <c r="AO958" t="s">
        <v>11</v>
      </c>
      <c r="AP958" t="s">
        <v>11</v>
      </c>
      <c r="AQ958" t="s">
        <v>2311</v>
      </c>
      <c r="AR958" t="s">
        <v>11</v>
      </c>
      <c r="AS958" t="s">
        <v>11</v>
      </c>
      <c r="AT958" t="s">
        <v>11</v>
      </c>
      <c r="AU958" t="s">
        <v>11</v>
      </c>
      <c r="AV958" t="s">
        <v>11</v>
      </c>
      <c r="AW958" t="s">
        <v>11</v>
      </c>
      <c r="AX958" t="s">
        <v>11</v>
      </c>
      <c r="AY958" t="s">
        <v>11</v>
      </c>
      <c r="AZ958" t="s">
        <v>11</v>
      </c>
      <c r="BA958" t="s">
        <v>11</v>
      </c>
      <c r="BB958" t="s">
        <v>11</v>
      </c>
      <c r="BC958" t="s">
        <v>11</v>
      </c>
      <c r="BD958" t="s">
        <v>11</v>
      </c>
      <c r="BE958" t="s">
        <v>11</v>
      </c>
      <c r="BF958" t="s">
        <v>11</v>
      </c>
      <c r="BG958" t="s">
        <v>11</v>
      </c>
      <c r="BH958" t="s">
        <v>5958</v>
      </c>
      <c r="BI958" t="s">
        <v>5956</v>
      </c>
      <c r="BJ958" t="s">
        <v>11</v>
      </c>
    </row>
    <row r="959" spans="1:62" x14ac:dyDescent="0.3">
      <c r="A959" t="s">
        <v>5959</v>
      </c>
      <c r="C959" t="s">
        <v>11</v>
      </c>
      <c r="D959" t="s">
        <v>5960</v>
      </c>
      <c r="E959" t="s">
        <v>5961</v>
      </c>
      <c r="F959">
        <v>961</v>
      </c>
      <c r="G959">
        <v>40.4</v>
      </c>
      <c r="H959">
        <v>34</v>
      </c>
      <c r="I959">
        <v>4.5</v>
      </c>
      <c r="J959">
        <v>15.6</v>
      </c>
      <c r="L959">
        <v>5.5</v>
      </c>
      <c r="AF959">
        <v>8.1153449999999978</v>
      </c>
      <c r="AI959" t="s">
        <v>0</v>
      </c>
      <c r="AJ959" t="s">
        <v>518</v>
      </c>
      <c r="AK959" t="s">
        <v>11</v>
      </c>
      <c r="AL959" t="s">
        <v>5962</v>
      </c>
      <c r="AM959" t="s">
        <v>5963</v>
      </c>
      <c r="AN959" t="s">
        <v>11</v>
      </c>
      <c r="AO959" t="s">
        <v>11</v>
      </c>
      <c r="AP959" t="s">
        <v>11</v>
      </c>
      <c r="AQ959" t="s">
        <v>1086</v>
      </c>
      <c r="AR959" t="s">
        <v>11</v>
      </c>
      <c r="AS959" t="s">
        <v>11</v>
      </c>
      <c r="AT959" t="s">
        <v>11</v>
      </c>
      <c r="AU959" t="s">
        <v>11</v>
      </c>
      <c r="AV959" t="s">
        <v>11</v>
      </c>
      <c r="AW959" t="s">
        <v>11</v>
      </c>
      <c r="AX959" t="s">
        <v>11</v>
      </c>
      <c r="AY959" t="s">
        <v>11</v>
      </c>
      <c r="AZ959" t="s">
        <v>11</v>
      </c>
      <c r="BA959" t="s">
        <v>11</v>
      </c>
      <c r="BB959" t="s">
        <v>11</v>
      </c>
      <c r="BC959" t="s">
        <v>11</v>
      </c>
      <c r="BD959" t="s">
        <v>11</v>
      </c>
      <c r="BE959" t="s">
        <v>11</v>
      </c>
      <c r="BF959" t="s">
        <v>11</v>
      </c>
      <c r="BG959" t="s">
        <v>11</v>
      </c>
      <c r="BH959" t="s">
        <v>5964</v>
      </c>
      <c r="BI959" t="s">
        <v>5959</v>
      </c>
      <c r="BJ959" t="s">
        <v>11</v>
      </c>
    </row>
    <row r="960" spans="1:62" x14ac:dyDescent="0.3">
      <c r="A960" t="s">
        <v>5965</v>
      </c>
      <c r="C960" t="s">
        <v>11</v>
      </c>
      <c r="D960" t="s">
        <v>5966</v>
      </c>
      <c r="E960" t="s">
        <v>5961</v>
      </c>
      <c r="F960">
        <v>962</v>
      </c>
      <c r="G960">
        <v>38.4</v>
      </c>
      <c r="H960">
        <v>34.299999999999997</v>
      </c>
      <c r="I960">
        <v>4.7</v>
      </c>
      <c r="J960">
        <v>15.6</v>
      </c>
      <c r="L960">
        <v>5.0999999999999996</v>
      </c>
      <c r="M960">
        <v>1.9</v>
      </c>
      <c r="AF960">
        <v>8.267790999999999</v>
      </c>
      <c r="AI960" t="s">
        <v>0</v>
      </c>
      <c r="AJ960" t="s">
        <v>5948</v>
      </c>
      <c r="AK960" t="s">
        <v>11</v>
      </c>
      <c r="AL960" t="s">
        <v>5967</v>
      </c>
      <c r="AM960" t="s">
        <v>5963</v>
      </c>
      <c r="AN960" t="s">
        <v>74</v>
      </c>
      <c r="AO960" t="s">
        <v>11</v>
      </c>
      <c r="AP960" t="s">
        <v>11</v>
      </c>
      <c r="AQ960" t="s">
        <v>2311</v>
      </c>
      <c r="AR960" t="s">
        <v>11</v>
      </c>
      <c r="AS960" t="s">
        <v>11</v>
      </c>
      <c r="AT960" t="s">
        <v>11</v>
      </c>
      <c r="AU960" t="s">
        <v>11</v>
      </c>
      <c r="AV960" t="s">
        <v>11</v>
      </c>
      <c r="AW960" t="s">
        <v>11</v>
      </c>
      <c r="AX960" t="s">
        <v>11</v>
      </c>
      <c r="AY960" t="s">
        <v>11</v>
      </c>
      <c r="AZ960" t="s">
        <v>11</v>
      </c>
      <c r="BA960" t="s">
        <v>11</v>
      </c>
      <c r="BB960" t="s">
        <v>11</v>
      </c>
      <c r="BC960" t="s">
        <v>11</v>
      </c>
      <c r="BD960" t="s">
        <v>11</v>
      </c>
      <c r="BE960" t="s">
        <v>11</v>
      </c>
      <c r="BF960" t="s">
        <v>11</v>
      </c>
      <c r="BG960" t="s">
        <v>11</v>
      </c>
      <c r="BH960" t="s">
        <v>5968</v>
      </c>
      <c r="BI960" t="s">
        <v>5965</v>
      </c>
      <c r="BJ960" t="s">
        <v>11</v>
      </c>
    </row>
    <row r="961" spans="1:62" x14ac:dyDescent="0.3">
      <c r="A961" t="s">
        <v>5969</v>
      </c>
      <c r="C961" t="s">
        <v>11</v>
      </c>
      <c r="D961" t="s">
        <v>5970</v>
      </c>
      <c r="E961" t="s">
        <v>5961</v>
      </c>
      <c r="F961">
        <v>963</v>
      </c>
      <c r="G961">
        <v>38.6</v>
      </c>
      <c r="H961">
        <v>34.700000000000003</v>
      </c>
      <c r="I961">
        <v>4.5</v>
      </c>
      <c r="J961">
        <v>15.5</v>
      </c>
      <c r="L961">
        <v>4.9000000000000004</v>
      </c>
      <c r="N961">
        <v>1.8</v>
      </c>
      <c r="AF961">
        <v>8.1375290000000007</v>
      </c>
      <c r="AI961" t="s">
        <v>0</v>
      </c>
      <c r="AJ961" t="s">
        <v>518</v>
      </c>
      <c r="AK961" t="s">
        <v>11</v>
      </c>
      <c r="AL961" t="s">
        <v>5971</v>
      </c>
      <c r="AM961" t="s">
        <v>5954</v>
      </c>
      <c r="AN961" t="s">
        <v>11</v>
      </c>
      <c r="AO961" t="s">
        <v>110</v>
      </c>
      <c r="AP961" t="s">
        <v>11</v>
      </c>
      <c r="AQ961" t="s">
        <v>2320</v>
      </c>
      <c r="AR961" t="s">
        <v>11</v>
      </c>
      <c r="AS961" t="s">
        <v>11</v>
      </c>
      <c r="AT961" t="s">
        <v>11</v>
      </c>
      <c r="AU961" t="s">
        <v>11</v>
      </c>
      <c r="AV961" t="s">
        <v>11</v>
      </c>
      <c r="AW961" t="s">
        <v>11</v>
      </c>
      <c r="AX961" t="s">
        <v>11</v>
      </c>
      <c r="AY961" t="s">
        <v>11</v>
      </c>
      <c r="AZ961" t="s">
        <v>11</v>
      </c>
      <c r="BA961" t="s">
        <v>11</v>
      </c>
      <c r="BB961" t="s">
        <v>11</v>
      </c>
      <c r="BC961" t="s">
        <v>11</v>
      </c>
      <c r="BD961" t="s">
        <v>11</v>
      </c>
      <c r="BE961" t="s">
        <v>11</v>
      </c>
      <c r="BF961" t="s">
        <v>11</v>
      </c>
      <c r="BG961" t="s">
        <v>11</v>
      </c>
      <c r="BH961" t="s">
        <v>5972</v>
      </c>
      <c r="BI961" t="s">
        <v>5969</v>
      </c>
      <c r="BJ961" t="s">
        <v>11</v>
      </c>
    </row>
    <row r="962" spans="1:62" x14ac:dyDescent="0.3">
      <c r="A962" t="s">
        <v>5973</v>
      </c>
      <c r="C962" t="s">
        <v>11</v>
      </c>
      <c r="D962" t="s">
        <v>5974</v>
      </c>
      <c r="E962" t="s">
        <v>5961</v>
      </c>
      <c r="F962">
        <v>964</v>
      </c>
      <c r="G962">
        <v>37.5</v>
      </c>
      <c r="H962">
        <v>34.6</v>
      </c>
      <c r="I962">
        <v>4.4000000000000004</v>
      </c>
      <c r="J962">
        <v>15.4</v>
      </c>
      <c r="K962">
        <v>0.9</v>
      </c>
      <c r="L962">
        <v>5.2</v>
      </c>
      <c r="P962">
        <v>2</v>
      </c>
      <c r="AF962">
        <v>8.2589419999999993</v>
      </c>
      <c r="AI962" t="s">
        <v>0</v>
      </c>
      <c r="AJ962" t="s">
        <v>5975</v>
      </c>
      <c r="AK962" t="s">
        <v>5976</v>
      </c>
      <c r="AL962" t="s">
        <v>5479</v>
      </c>
      <c r="AM962" t="s">
        <v>5977</v>
      </c>
      <c r="AN962" t="s">
        <v>11</v>
      </c>
      <c r="AO962" t="s">
        <v>11</v>
      </c>
      <c r="AP962" t="s">
        <v>11</v>
      </c>
      <c r="AQ962" t="s">
        <v>1120</v>
      </c>
      <c r="AR962" t="s">
        <v>5797</v>
      </c>
      <c r="AS962" t="s">
        <v>11</v>
      </c>
      <c r="AT962" t="s">
        <v>11</v>
      </c>
      <c r="AU962" t="s">
        <v>11</v>
      </c>
      <c r="AV962" t="s">
        <v>11</v>
      </c>
      <c r="AW962" t="s">
        <v>11</v>
      </c>
      <c r="AX962" t="s">
        <v>11</v>
      </c>
      <c r="AY962" t="s">
        <v>11</v>
      </c>
      <c r="AZ962" t="s">
        <v>11</v>
      </c>
      <c r="BA962" t="s">
        <v>11</v>
      </c>
      <c r="BB962" t="s">
        <v>11</v>
      </c>
      <c r="BC962" t="s">
        <v>11</v>
      </c>
      <c r="BD962" t="s">
        <v>11</v>
      </c>
      <c r="BE962" t="s">
        <v>11</v>
      </c>
      <c r="BF962" t="s">
        <v>11</v>
      </c>
      <c r="BG962" t="s">
        <v>11</v>
      </c>
      <c r="BH962" t="s">
        <v>5978</v>
      </c>
      <c r="BI962" t="s">
        <v>5973</v>
      </c>
      <c r="BJ962" t="s">
        <v>11</v>
      </c>
    </row>
    <row r="963" spans="1:62" x14ac:dyDescent="0.3">
      <c r="A963" t="s">
        <v>5979</v>
      </c>
      <c r="C963" t="s">
        <v>11</v>
      </c>
      <c r="D963" t="s">
        <v>5980</v>
      </c>
      <c r="E963" t="s">
        <v>5961</v>
      </c>
      <c r="F963">
        <v>965</v>
      </c>
      <c r="G963">
        <v>37</v>
      </c>
      <c r="H963">
        <v>34.799999999999997</v>
      </c>
      <c r="I963">
        <v>4.7</v>
      </c>
      <c r="J963">
        <v>15.3</v>
      </c>
      <c r="K963">
        <v>3.1</v>
      </c>
      <c r="L963">
        <v>5.0999999999999996</v>
      </c>
      <c r="AF963">
        <v>8.4465609999999991</v>
      </c>
      <c r="AI963" t="s">
        <v>0</v>
      </c>
      <c r="AJ963" t="s">
        <v>5948</v>
      </c>
      <c r="AK963" t="s">
        <v>1583</v>
      </c>
      <c r="AL963" t="s">
        <v>3450</v>
      </c>
      <c r="AM963" t="s">
        <v>5981</v>
      </c>
      <c r="AN963" t="s">
        <v>11</v>
      </c>
      <c r="AO963" t="s">
        <v>11</v>
      </c>
      <c r="AP963" t="s">
        <v>11</v>
      </c>
      <c r="AQ963" t="s">
        <v>2311</v>
      </c>
      <c r="AR963" t="s">
        <v>11</v>
      </c>
      <c r="AS963" t="s">
        <v>11</v>
      </c>
      <c r="AT963" t="s">
        <v>11</v>
      </c>
      <c r="AU963" t="s">
        <v>11</v>
      </c>
      <c r="AV963" t="s">
        <v>11</v>
      </c>
      <c r="AW963" t="s">
        <v>11</v>
      </c>
      <c r="AX963" t="s">
        <v>11</v>
      </c>
      <c r="AY963" t="s">
        <v>11</v>
      </c>
      <c r="AZ963" t="s">
        <v>11</v>
      </c>
      <c r="BA963" t="s">
        <v>11</v>
      </c>
      <c r="BB963" t="s">
        <v>11</v>
      </c>
      <c r="BC963" t="s">
        <v>11</v>
      </c>
      <c r="BD963" t="s">
        <v>11</v>
      </c>
      <c r="BE963" t="s">
        <v>11</v>
      </c>
      <c r="BF963" t="s">
        <v>11</v>
      </c>
      <c r="BG963" t="s">
        <v>11</v>
      </c>
      <c r="BH963" t="s">
        <v>5982</v>
      </c>
      <c r="BI963" t="s">
        <v>5979</v>
      </c>
      <c r="BJ963" t="s">
        <v>11</v>
      </c>
    </row>
    <row r="964" spans="1:62" x14ac:dyDescent="0.3">
      <c r="A964" t="s">
        <v>5983</v>
      </c>
      <c r="C964" t="s">
        <v>11</v>
      </c>
      <c r="D964" t="s">
        <v>5984</v>
      </c>
      <c r="E964" t="s">
        <v>5961</v>
      </c>
      <c r="F964">
        <v>966</v>
      </c>
      <c r="G964">
        <v>34.200000000000003</v>
      </c>
      <c r="H964">
        <v>36.4</v>
      </c>
      <c r="I964">
        <v>4.7</v>
      </c>
      <c r="J964">
        <v>15.2</v>
      </c>
      <c r="K964">
        <v>1.2</v>
      </c>
      <c r="L964">
        <v>5.2</v>
      </c>
      <c r="M964">
        <v>1</v>
      </c>
      <c r="P964">
        <v>2.1</v>
      </c>
      <c r="AF964">
        <v>8.3538359999999994</v>
      </c>
      <c r="AI964" t="s">
        <v>0</v>
      </c>
      <c r="AJ964" t="s">
        <v>5948</v>
      </c>
      <c r="AK964" t="s">
        <v>5517</v>
      </c>
      <c r="AL964" t="s">
        <v>5985</v>
      </c>
      <c r="AM964" t="s">
        <v>5944</v>
      </c>
      <c r="AN964" t="s">
        <v>5217</v>
      </c>
      <c r="AO964" t="s">
        <v>11</v>
      </c>
      <c r="AP964" t="s">
        <v>11</v>
      </c>
      <c r="AQ964" t="s">
        <v>1120</v>
      </c>
      <c r="AR964" t="s">
        <v>5986</v>
      </c>
      <c r="AS964" t="s">
        <v>11</v>
      </c>
      <c r="AT964" t="s">
        <v>11</v>
      </c>
      <c r="AU964" t="s">
        <v>11</v>
      </c>
      <c r="AV964" t="s">
        <v>11</v>
      </c>
      <c r="AW964" t="s">
        <v>11</v>
      </c>
      <c r="AX964" t="s">
        <v>11</v>
      </c>
      <c r="AY964" t="s">
        <v>11</v>
      </c>
      <c r="AZ964" t="s">
        <v>11</v>
      </c>
      <c r="BA964" t="s">
        <v>11</v>
      </c>
      <c r="BB964" t="s">
        <v>11</v>
      </c>
      <c r="BC964" t="s">
        <v>11</v>
      </c>
      <c r="BD964" t="s">
        <v>11</v>
      </c>
      <c r="BE964" t="s">
        <v>11</v>
      </c>
      <c r="BF964" t="s">
        <v>11</v>
      </c>
      <c r="BG964" t="s">
        <v>11</v>
      </c>
      <c r="BH964" t="s">
        <v>5987</v>
      </c>
      <c r="BI964" t="s">
        <v>5983</v>
      </c>
      <c r="BJ964" t="s">
        <v>11</v>
      </c>
    </row>
    <row r="965" spans="1:62" x14ac:dyDescent="0.3">
      <c r="A965" t="s">
        <v>5988</v>
      </c>
      <c r="C965" t="s">
        <v>11</v>
      </c>
      <c r="D965" t="s">
        <v>5989</v>
      </c>
      <c r="E965" t="s">
        <v>5961</v>
      </c>
      <c r="F965">
        <v>967</v>
      </c>
      <c r="G965">
        <v>35.100000000000009</v>
      </c>
      <c r="H965">
        <v>34.4</v>
      </c>
      <c r="I965">
        <v>4.5</v>
      </c>
      <c r="J965">
        <v>15.7</v>
      </c>
      <c r="K965">
        <v>1.1000000000000001</v>
      </c>
      <c r="L965">
        <v>7.4</v>
      </c>
      <c r="P965">
        <v>1.8</v>
      </c>
      <c r="AF965">
        <v>8.1688900000000011</v>
      </c>
      <c r="AI965" t="s">
        <v>0</v>
      </c>
      <c r="AJ965" t="s">
        <v>518</v>
      </c>
      <c r="AK965" t="s">
        <v>5990</v>
      </c>
      <c r="AL965" t="s">
        <v>1134</v>
      </c>
      <c r="AM965" t="s">
        <v>1059</v>
      </c>
      <c r="AN965" t="s">
        <v>11</v>
      </c>
      <c r="AO965" t="s">
        <v>11</v>
      </c>
      <c r="AP965" t="s">
        <v>11</v>
      </c>
      <c r="AQ965" t="s">
        <v>5991</v>
      </c>
      <c r="AR965" t="s">
        <v>206</v>
      </c>
      <c r="AS965" t="s">
        <v>11</v>
      </c>
      <c r="AT965" t="s">
        <v>11</v>
      </c>
      <c r="AU965" t="s">
        <v>11</v>
      </c>
      <c r="AV965" t="s">
        <v>11</v>
      </c>
      <c r="AW965" t="s">
        <v>11</v>
      </c>
      <c r="AX965" t="s">
        <v>11</v>
      </c>
      <c r="AY965" t="s">
        <v>11</v>
      </c>
      <c r="AZ965" t="s">
        <v>11</v>
      </c>
      <c r="BA965" t="s">
        <v>11</v>
      </c>
      <c r="BB965" t="s">
        <v>11</v>
      </c>
      <c r="BC965" t="s">
        <v>11</v>
      </c>
      <c r="BD965" t="s">
        <v>11</v>
      </c>
      <c r="BE965" t="s">
        <v>11</v>
      </c>
      <c r="BF965" t="s">
        <v>11</v>
      </c>
      <c r="BG965" t="s">
        <v>11</v>
      </c>
      <c r="BH965" t="s">
        <v>5992</v>
      </c>
      <c r="BI965" t="s">
        <v>5988</v>
      </c>
      <c r="BJ965" t="s">
        <v>11</v>
      </c>
    </row>
    <row r="966" spans="1:62" x14ac:dyDescent="0.3">
      <c r="A966" t="s">
        <v>5993</v>
      </c>
      <c r="C966" t="s">
        <v>11</v>
      </c>
      <c r="D966" t="s">
        <v>5994</v>
      </c>
      <c r="E966" t="s">
        <v>5995</v>
      </c>
      <c r="F966">
        <v>968</v>
      </c>
      <c r="G966">
        <v>49.4</v>
      </c>
      <c r="H966">
        <v>29.5</v>
      </c>
      <c r="I966">
        <v>10.8</v>
      </c>
      <c r="J966">
        <v>3</v>
      </c>
      <c r="K966">
        <v>2.2000000000000002</v>
      </c>
      <c r="L966">
        <v>2</v>
      </c>
      <c r="M966">
        <v>2.1</v>
      </c>
      <c r="P966">
        <v>1</v>
      </c>
      <c r="AF966">
        <v>8.4978500000000015</v>
      </c>
      <c r="AI966" t="s">
        <v>0</v>
      </c>
      <c r="AJ966" t="s">
        <v>85</v>
      </c>
      <c r="AK966" t="s">
        <v>5996</v>
      </c>
      <c r="AL966" t="s">
        <v>12</v>
      </c>
      <c r="AM966" t="s">
        <v>5997</v>
      </c>
      <c r="AN966" t="s">
        <v>2355</v>
      </c>
      <c r="AO966" t="s">
        <v>11</v>
      </c>
      <c r="AP966" t="s">
        <v>11</v>
      </c>
      <c r="AQ966" t="s">
        <v>5559</v>
      </c>
      <c r="AR966" t="s">
        <v>5312</v>
      </c>
      <c r="AS966" t="s">
        <v>11</v>
      </c>
      <c r="AT966" t="s">
        <v>11</v>
      </c>
      <c r="AU966" t="s">
        <v>11</v>
      </c>
      <c r="AV966" t="s">
        <v>11</v>
      </c>
      <c r="AW966" t="s">
        <v>11</v>
      </c>
      <c r="AX966" t="s">
        <v>11</v>
      </c>
      <c r="AY966" t="s">
        <v>11</v>
      </c>
      <c r="AZ966" t="s">
        <v>11</v>
      </c>
      <c r="BA966" t="s">
        <v>11</v>
      </c>
      <c r="BB966" t="s">
        <v>11</v>
      </c>
      <c r="BC966" t="s">
        <v>11</v>
      </c>
      <c r="BD966" t="s">
        <v>11</v>
      </c>
      <c r="BE966" t="s">
        <v>11</v>
      </c>
      <c r="BF966" t="s">
        <v>11</v>
      </c>
      <c r="BG966" t="s">
        <v>11</v>
      </c>
      <c r="BH966" t="s">
        <v>5998</v>
      </c>
      <c r="BI966" t="s">
        <v>5993</v>
      </c>
      <c r="BJ966" t="s">
        <v>11</v>
      </c>
    </row>
    <row r="967" spans="1:62" x14ac:dyDescent="0.3">
      <c r="A967" t="s">
        <v>5999</v>
      </c>
      <c r="C967" t="s">
        <v>11</v>
      </c>
      <c r="D967" t="s">
        <v>6000</v>
      </c>
      <c r="E967" t="s">
        <v>5995</v>
      </c>
      <c r="F967">
        <v>969</v>
      </c>
      <c r="G967">
        <v>47.899999999999991</v>
      </c>
      <c r="H967">
        <v>29.4</v>
      </c>
      <c r="I967">
        <v>10.8</v>
      </c>
      <c r="J967">
        <v>3</v>
      </c>
      <c r="K967">
        <v>2.2000000000000002</v>
      </c>
      <c r="L967">
        <v>3.6</v>
      </c>
      <c r="M967">
        <v>2.1</v>
      </c>
      <c r="P967">
        <v>1</v>
      </c>
      <c r="AF967">
        <v>8.4275540000000007</v>
      </c>
      <c r="AI967" t="s">
        <v>0</v>
      </c>
      <c r="AJ967" t="s">
        <v>85</v>
      </c>
      <c r="AK967" t="s">
        <v>5996</v>
      </c>
      <c r="AL967" t="s">
        <v>2114</v>
      </c>
      <c r="AM967" t="s">
        <v>5997</v>
      </c>
      <c r="AN967" t="s">
        <v>2355</v>
      </c>
      <c r="AO967" t="s">
        <v>11</v>
      </c>
      <c r="AP967" t="s">
        <v>11</v>
      </c>
      <c r="AQ967" t="s">
        <v>3653</v>
      </c>
      <c r="AR967" t="s">
        <v>5312</v>
      </c>
      <c r="AS967" t="s">
        <v>11</v>
      </c>
      <c r="AT967" t="s">
        <v>11</v>
      </c>
      <c r="AU967" t="s">
        <v>11</v>
      </c>
      <c r="AV967" t="s">
        <v>11</v>
      </c>
      <c r="AW967" t="s">
        <v>11</v>
      </c>
      <c r="AX967" t="s">
        <v>11</v>
      </c>
      <c r="AY967" t="s">
        <v>11</v>
      </c>
      <c r="AZ967" t="s">
        <v>11</v>
      </c>
      <c r="BA967" t="s">
        <v>11</v>
      </c>
      <c r="BB967" t="s">
        <v>11</v>
      </c>
      <c r="BC967" t="s">
        <v>11</v>
      </c>
      <c r="BD967" t="s">
        <v>11</v>
      </c>
      <c r="BE967" t="s">
        <v>11</v>
      </c>
      <c r="BF967" t="s">
        <v>11</v>
      </c>
      <c r="BG967" t="s">
        <v>11</v>
      </c>
      <c r="BH967" t="s">
        <v>6001</v>
      </c>
      <c r="BI967" t="s">
        <v>5999</v>
      </c>
      <c r="BJ967" t="s">
        <v>11</v>
      </c>
    </row>
    <row r="968" spans="1:62" x14ac:dyDescent="0.3">
      <c r="A968" t="s">
        <v>6002</v>
      </c>
      <c r="C968" t="s">
        <v>11</v>
      </c>
      <c r="D968" t="s">
        <v>6003</v>
      </c>
      <c r="E968" t="s">
        <v>5995</v>
      </c>
      <c r="F968">
        <v>970</v>
      </c>
      <c r="G968">
        <v>47.899999999999991</v>
      </c>
      <c r="H968">
        <v>29.4</v>
      </c>
      <c r="I968">
        <v>10.8</v>
      </c>
      <c r="J968">
        <v>3</v>
      </c>
      <c r="K968">
        <v>2.2000000000000002</v>
      </c>
      <c r="L968">
        <v>2.1</v>
      </c>
      <c r="M968">
        <v>3.6</v>
      </c>
      <c r="P968">
        <v>1</v>
      </c>
      <c r="AF968">
        <v>8.6096990000000009</v>
      </c>
      <c r="AI968" t="s">
        <v>0</v>
      </c>
      <c r="AJ968" t="s">
        <v>85</v>
      </c>
      <c r="AK968" t="s">
        <v>5996</v>
      </c>
      <c r="AL968" t="s">
        <v>2114</v>
      </c>
      <c r="AM968" t="s">
        <v>5997</v>
      </c>
      <c r="AN968" t="s">
        <v>6004</v>
      </c>
      <c r="AO968" t="s">
        <v>11</v>
      </c>
      <c r="AP968" t="s">
        <v>11</v>
      </c>
      <c r="AQ968" t="s">
        <v>422</v>
      </c>
      <c r="AR968" t="s">
        <v>5312</v>
      </c>
      <c r="AS968" t="s">
        <v>11</v>
      </c>
      <c r="AT968" t="s">
        <v>11</v>
      </c>
      <c r="AU968" t="s">
        <v>11</v>
      </c>
      <c r="AV968" t="s">
        <v>11</v>
      </c>
      <c r="AW968" t="s">
        <v>11</v>
      </c>
      <c r="AX968" t="s">
        <v>11</v>
      </c>
      <c r="AY968" t="s">
        <v>11</v>
      </c>
      <c r="AZ968" t="s">
        <v>11</v>
      </c>
      <c r="BA968" t="s">
        <v>11</v>
      </c>
      <c r="BB968" t="s">
        <v>11</v>
      </c>
      <c r="BC968" t="s">
        <v>11</v>
      </c>
      <c r="BD968" t="s">
        <v>11</v>
      </c>
      <c r="BE968" t="s">
        <v>11</v>
      </c>
      <c r="BF968" t="s">
        <v>11</v>
      </c>
      <c r="BG968" t="s">
        <v>11</v>
      </c>
      <c r="BH968" t="s">
        <v>6005</v>
      </c>
      <c r="BI968" t="s">
        <v>6002</v>
      </c>
      <c r="BJ968" t="s">
        <v>11</v>
      </c>
    </row>
    <row r="969" spans="1:62" x14ac:dyDescent="0.3">
      <c r="A969" t="s">
        <v>6006</v>
      </c>
      <c r="C969" t="s">
        <v>11</v>
      </c>
      <c r="D969" t="s">
        <v>6007</v>
      </c>
      <c r="E969" t="s">
        <v>5995</v>
      </c>
      <c r="F969">
        <v>971</v>
      </c>
      <c r="G969">
        <v>48.699999999999996</v>
      </c>
      <c r="H969">
        <v>29.6</v>
      </c>
      <c r="I969">
        <v>10.5</v>
      </c>
      <c r="J969">
        <v>3.1</v>
      </c>
      <c r="K969">
        <v>1.5</v>
      </c>
      <c r="L969">
        <v>2</v>
      </c>
      <c r="M969">
        <v>2.1</v>
      </c>
      <c r="P969">
        <v>2.5</v>
      </c>
      <c r="AF969">
        <v>8.4629980000000007</v>
      </c>
      <c r="AI969" t="s">
        <v>0</v>
      </c>
      <c r="AJ969" t="s">
        <v>1256</v>
      </c>
      <c r="AK969" t="s">
        <v>53</v>
      </c>
      <c r="AL969" t="s">
        <v>1746</v>
      </c>
      <c r="AM969" t="s">
        <v>6008</v>
      </c>
      <c r="AN969" t="s">
        <v>2355</v>
      </c>
      <c r="AO969" t="s">
        <v>11</v>
      </c>
      <c r="AP969" t="s">
        <v>11</v>
      </c>
      <c r="AQ969" t="s">
        <v>5559</v>
      </c>
      <c r="AR969" t="s">
        <v>6009</v>
      </c>
      <c r="AS969" t="s">
        <v>11</v>
      </c>
      <c r="AT969" t="s">
        <v>11</v>
      </c>
      <c r="AU969" t="s">
        <v>11</v>
      </c>
      <c r="AV969" t="s">
        <v>11</v>
      </c>
      <c r="AW969" t="s">
        <v>11</v>
      </c>
      <c r="AX969" t="s">
        <v>11</v>
      </c>
      <c r="AY969" t="s">
        <v>11</v>
      </c>
      <c r="AZ969" t="s">
        <v>11</v>
      </c>
      <c r="BA969" t="s">
        <v>11</v>
      </c>
      <c r="BB969" t="s">
        <v>11</v>
      </c>
      <c r="BC969" t="s">
        <v>11</v>
      </c>
      <c r="BD969" t="s">
        <v>11</v>
      </c>
      <c r="BE969" t="s">
        <v>11</v>
      </c>
      <c r="BF969" t="s">
        <v>11</v>
      </c>
      <c r="BG969" t="s">
        <v>11</v>
      </c>
      <c r="BH969" t="s">
        <v>6010</v>
      </c>
      <c r="BI969" t="s">
        <v>6006</v>
      </c>
      <c r="BJ969" t="s">
        <v>11</v>
      </c>
    </row>
    <row r="970" spans="1:62" x14ac:dyDescent="0.3">
      <c r="A970" t="s">
        <v>6011</v>
      </c>
      <c r="C970" t="s">
        <v>11</v>
      </c>
      <c r="D970" t="s">
        <v>6012</v>
      </c>
      <c r="E970" t="s">
        <v>5995</v>
      </c>
      <c r="F970">
        <v>972</v>
      </c>
      <c r="G970">
        <v>48.4</v>
      </c>
      <c r="H970">
        <v>29.7</v>
      </c>
      <c r="I970">
        <v>10.5</v>
      </c>
      <c r="J970">
        <v>4.4000000000000004</v>
      </c>
      <c r="K970">
        <v>1.9</v>
      </c>
      <c r="L970">
        <v>2</v>
      </c>
      <c r="M970">
        <v>2.1</v>
      </c>
      <c r="P970">
        <v>1</v>
      </c>
      <c r="AF970">
        <v>8.4614759999999993</v>
      </c>
      <c r="AI970" t="s">
        <v>0</v>
      </c>
      <c r="AJ970" t="s">
        <v>1256</v>
      </c>
      <c r="AK970" t="s">
        <v>1843</v>
      </c>
      <c r="AL970" t="s">
        <v>1569</v>
      </c>
      <c r="AM970" t="s">
        <v>6013</v>
      </c>
      <c r="AN970" t="s">
        <v>2355</v>
      </c>
      <c r="AO970" t="s">
        <v>11</v>
      </c>
      <c r="AP970" t="s">
        <v>11</v>
      </c>
      <c r="AQ970" t="s">
        <v>5559</v>
      </c>
      <c r="AR970" t="s">
        <v>5312</v>
      </c>
      <c r="AS970" t="s">
        <v>11</v>
      </c>
      <c r="AT970" t="s">
        <v>11</v>
      </c>
      <c r="AU970" t="s">
        <v>11</v>
      </c>
      <c r="AV970" t="s">
        <v>11</v>
      </c>
      <c r="AW970" t="s">
        <v>11</v>
      </c>
      <c r="AX970" t="s">
        <v>11</v>
      </c>
      <c r="AY970" t="s">
        <v>11</v>
      </c>
      <c r="AZ970" t="s">
        <v>11</v>
      </c>
      <c r="BA970" t="s">
        <v>11</v>
      </c>
      <c r="BB970" t="s">
        <v>11</v>
      </c>
      <c r="BC970" t="s">
        <v>11</v>
      </c>
      <c r="BD970" t="s">
        <v>11</v>
      </c>
      <c r="BE970" t="s">
        <v>11</v>
      </c>
      <c r="BF970" t="s">
        <v>11</v>
      </c>
      <c r="BG970" t="s">
        <v>11</v>
      </c>
      <c r="BH970" t="s">
        <v>6014</v>
      </c>
      <c r="BI970" t="s">
        <v>6011</v>
      </c>
      <c r="BJ970" t="s">
        <v>11</v>
      </c>
    </row>
    <row r="971" spans="1:62" x14ac:dyDescent="0.3">
      <c r="A971" t="s">
        <v>6015</v>
      </c>
      <c r="C971" t="s">
        <v>11</v>
      </c>
      <c r="D971" t="s">
        <v>6016</v>
      </c>
      <c r="E971" t="s">
        <v>5995</v>
      </c>
      <c r="F971">
        <v>973</v>
      </c>
      <c r="G971">
        <v>47.999999999999993</v>
      </c>
      <c r="H971">
        <v>29.4</v>
      </c>
      <c r="I971">
        <v>10.8</v>
      </c>
      <c r="J971">
        <v>3</v>
      </c>
      <c r="K971">
        <v>2.2000000000000002</v>
      </c>
      <c r="L971">
        <v>2</v>
      </c>
      <c r="M971">
        <v>2.1</v>
      </c>
      <c r="N971">
        <v>1.5</v>
      </c>
      <c r="P971">
        <v>1</v>
      </c>
      <c r="AF971">
        <v>8.4928920000000012</v>
      </c>
      <c r="AI971" t="s">
        <v>0</v>
      </c>
      <c r="AJ971" t="s">
        <v>85</v>
      </c>
      <c r="AK971" t="s">
        <v>5996</v>
      </c>
      <c r="AL971" t="s">
        <v>2114</v>
      </c>
      <c r="AM971" t="s">
        <v>5997</v>
      </c>
      <c r="AN971" t="s">
        <v>2355</v>
      </c>
      <c r="AO971" t="s">
        <v>5361</v>
      </c>
      <c r="AP971" t="s">
        <v>11</v>
      </c>
      <c r="AQ971" t="s">
        <v>5559</v>
      </c>
      <c r="AR971" t="s">
        <v>5312</v>
      </c>
      <c r="AS971" t="s">
        <v>11</v>
      </c>
      <c r="AT971" t="s">
        <v>11</v>
      </c>
      <c r="AU971" t="s">
        <v>11</v>
      </c>
      <c r="AV971" t="s">
        <v>11</v>
      </c>
      <c r="AW971" t="s">
        <v>11</v>
      </c>
      <c r="AX971" t="s">
        <v>11</v>
      </c>
      <c r="AY971" t="s">
        <v>11</v>
      </c>
      <c r="AZ971" t="s">
        <v>11</v>
      </c>
      <c r="BA971" t="s">
        <v>11</v>
      </c>
      <c r="BB971" t="s">
        <v>11</v>
      </c>
      <c r="BC971" t="s">
        <v>11</v>
      </c>
      <c r="BD971" t="s">
        <v>11</v>
      </c>
      <c r="BE971" t="s">
        <v>11</v>
      </c>
      <c r="BF971" t="s">
        <v>11</v>
      </c>
      <c r="BG971" t="s">
        <v>11</v>
      </c>
      <c r="BH971" t="s">
        <v>6017</v>
      </c>
      <c r="BI971" t="s">
        <v>6015</v>
      </c>
      <c r="BJ971" t="s">
        <v>11</v>
      </c>
    </row>
    <row r="972" spans="1:62" x14ac:dyDescent="0.3">
      <c r="A972" t="s">
        <v>6018</v>
      </c>
      <c r="C972" t="s">
        <v>11</v>
      </c>
      <c r="D972" t="s">
        <v>6019</v>
      </c>
      <c r="E972" t="s">
        <v>5995</v>
      </c>
      <c r="F972">
        <v>974</v>
      </c>
      <c r="G972">
        <v>48.6</v>
      </c>
      <c r="H972">
        <v>29.5</v>
      </c>
      <c r="I972">
        <v>11</v>
      </c>
      <c r="J972">
        <v>3</v>
      </c>
      <c r="K972">
        <v>1.8</v>
      </c>
      <c r="L972">
        <v>2</v>
      </c>
      <c r="M972">
        <v>2</v>
      </c>
      <c r="P972">
        <v>1</v>
      </c>
      <c r="U972">
        <v>1.1000000000000001</v>
      </c>
      <c r="AF972">
        <v>8.5696199999999987</v>
      </c>
      <c r="AI972" t="s">
        <v>0</v>
      </c>
      <c r="AJ972" t="s">
        <v>1365</v>
      </c>
      <c r="AK972" t="s">
        <v>2563</v>
      </c>
      <c r="AL972" t="s">
        <v>12</v>
      </c>
      <c r="AM972" t="s">
        <v>5997</v>
      </c>
      <c r="AN972" t="s">
        <v>5243</v>
      </c>
      <c r="AO972" t="s">
        <v>11</v>
      </c>
      <c r="AP972" t="s">
        <v>11</v>
      </c>
      <c r="AQ972" t="s">
        <v>5559</v>
      </c>
      <c r="AR972" t="s">
        <v>5312</v>
      </c>
      <c r="AS972" t="s">
        <v>11</v>
      </c>
      <c r="AT972" t="s">
        <v>11</v>
      </c>
      <c r="AU972" t="s">
        <v>11</v>
      </c>
      <c r="AV972" t="s">
        <v>11</v>
      </c>
      <c r="AW972" t="s">
        <v>6020</v>
      </c>
      <c r="AX972" t="s">
        <v>11</v>
      </c>
      <c r="AY972" t="s">
        <v>11</v>
      </c>
      <c r="AZ972" t="s">
        <v>11</v>
      </c>
      <c r="BA972" t="s">
        <v>11</v>
      </c>
      <c r="BB972" t="s">
        <v>11</v>
      </c>
      <c r="BC972" t="s">
        <v>11</v>
      </c>
      <c r="BD972" t="s">
        <v>11</v>
      </c>
      <c r="BE972" t="s">
        <v>11</v>
      </c>
      <c r="BF972" t="s">
        <v>11</v>
      </c>
      <c r="BG972" t="s">
        <v>11</v>
      </c>
      <c r="BH972" t="s">
        <v>6021</v>
      </c>
      <c r="BI972" t="s">
        <v>6018</v>
      </c>
      <c r="BJ972" t="s">
        <v>11</v>
      </c>
    </row>
    <row r="973" spans="1:62" x14ac:dyDescent="0.3">
      <c r="A973" t="s">
        <v>6022</v>
      </c>
      <c r="C973" t="s">
        <v>11</v>
      </c>
      <c r="D973" t="s">
        <v>6023</v>
      </c>
      <c r="E973" t="s">
        <v>5995</v>
      </c>
      <c r="F973">
        <v>975</v>
      </c>
      <c r="G973">
        <v>44.999999999999993</v>
      </c>
      <c r="H973">
        <v>34.700000000000003</v>
      </c>
      <c r="I973">
        <v>11.1</v>
      </c>
      <c r="J973">
        <v>2.8</v>
      </c>
      <c r="K973">
        <v>1.1000000000000001</v>
      </c>
      <c r="L973">
        <v>2</v>
      </c>
      <c r="M973">
        <v>2.2000000000000002</v>
      </c>
      <c r="P973">
        <v>1.1000000000000001</v>
      </c>
      <c r="AF973">
        <v>8.3783659999999998</v>
      </c>
      <c r="AI973" t="s">
        <v>0</v>
      </c>
      <c r="AJ973" t="s">
        <v>1237</v>
      </c>
      <c r="AK973" t="s">
        <v>5990</v>
      </c>
      <c r="AL973" t="s">
        <v>5971</v>
      </c>
      <c r="AM973" t="s">
        <v>6024</v>
      </c>
      <c r="AN973" t="s">
        <v>367</v>
      </c>
      <c r="AO973" t="s">
        <v>11</v>
      </c>
      <c r="AP973" t="s">
        <v>11</v>
      </c>
      <c r="AQ973" t="s">
        <v>5559</v>
      </c>
      <c r="AR973" t="s">
        <v>389</v>
      </c>
      <c r="AS973" t="s">
        <v>11</v>
      </c>
      <c r="AT973" t="s">
        <v>11</v>
      </c>
      <c r="AU973" t="s">
        <v>11</v>
      </c>
      <c r="AV973" t="s">
        <v>11</v>
      </c>
      <c r="AW973" t="s">
        <v>11</v>
      </c>
      <c r="AX973" t="s">
        <v>11</v>
      </c>
      <c r="AY973" t="s">
        <v>11</v>
      </c>
      <c r="AZ973" t="s">
        <v>11</v>
      </c>
      <c r="BA973" t="s">
        <v>11</v>
      </c>
      <c r="BB973" t="s">
        <v>11</v>
      </c>
      <c r="BC973" t="s">
        <v>11</v>
      </c>
      <c r="BD973" t="s">
        <v>11</v>
      </c>
      <c r="BE973" t="s">
        <v>11</v>
      </c>
      <c r="BF973" t="s">
        <v>11</v>
      </c>
      <c r="BG973" t="s">
        <v>11</v>
      </c>
      <c r="BH973" t="s">
        <v>6025</v>
      </c>
      <c r="BI973" t="s">
        <v>6022</v>
      </c>
      <c r="BJ973" t="s">
        <v>11</v>
      </c>
    </row>
    <row r="974" spans="1:62" x14ac:dyDescent="0.3">
      <c r="A974" t="s">
        <v>6026</v>
      </c>
      <c r="C974" t="s">
        <v>11</v>
      </c>
      <c r="D974" t="s">
        <v>6027</v>
      </c>
      <c r="E974" t="s">
        <v>5995</v>
      </c>
      <c r="F974">
        <v>976</v>
      </c>
      <c r="G974">
        <v>48.8</v>
      </c>
      <c r="H974">
        <v>29.4</v>
      </c>
      <c r="I974">
        <v>11.8</v>
      </c>
      <c r="J974">
        <v>3</v>
      </c>
      <c r="K974">
        <v>1.8</v>
      </c>
      <c r="L974">
        <v>2</v>
      </c>
      <c r="M974">
        <v>2.1</v>
      </c>
      <c r="P974">
        <v>1.1000000000000001</v>
      </c>
      <c r="AF974">
        <v>8.3958220000000008</v>
      </c>
      <c r="AI974" t="s">
        <v>0</v>
      </c>
      <c r="AJ974" t="s">
        <v>6028</v>
      </c>
      <c r="AK974" t="s">
        <v>2563</v>
      </c>
      <c r="AL974" t="s">
        <v>2114</v>
      </c>
      <c r="AM974" t="s">
        <v>5997</v>
      </c>
      <c r="AN974" t="s">
        <v>2355</v>
      </c>
      <c r="AO974" t="s">
        <v>11</v>
      </c>
      <c r="AP974" t="s">
        <v>11</v>
      </c>
      <c r="AQ974" t="s">
        <v>5559</v>
      </c>
      <c r="AR974" t="s">
        <v>389</v>
      </c>
      <c r="AS974" t="s">
        <v>11</v>
      </c>
      <c r="AT974" t="s">
        <v>11</v>
      </c>
      <c r="AU974" t="s">
        <v>11</v>
      </c>
      <c r="AV974" t="s">
        <v>11</v>
      </c>
      <c r="AW974" t="s">
        <v>11</v>
      </c>
      <c r="AX974" t="s">
        <v>11</v>
      </c>
      <c r="AY974" t="s">
        <v>11</v>
      </c>
      <c r="AZ974" t="s">
        <v>11</v>
      </c>
      <c r="BA974" t="s">
        <v>11</v>
      </c>
      <c r="BB974" t="s">
        <v>11</v>
      </c>
      <c r="BC974" t="s">
        <v>11</v>
      </c>
      <c r="BD974" t="s">
        <v>11</v>
      </c>
      <c r="BE974" t="s">
        <v>11</v>
      </c>
      <c r="BF974" t="s">
        <v>11</v>
      </c>
      <c r="BG974" t="s">
        <v>11</v>
      </c>
      <c r="BH974" t="s">
        <v>6029</v>
      </c>
      <c r="BI974" t="s">
        <v>6026</v>
      </c>
      <c r="BJ974" t="s">
        <v>11</v>
      </c>
    </row>
    <row r="975" spans="1:62" x14ac:dyDescent="0.3">
      <c r="A975" t="s">
        <v>6030</v>
      </c>
      <c r="C975" t="s">
        <v>11</v>
      </c>
      <c r="D975" t="s">
        <v>6031</v>
      </c>
      <c r="E975" t="s">
        <v>5995</v>
      </c>
      <c r="F975">
        <v>977</v>
      </c>
      <c r="G975">
        <v>48.199999999999996</v>
      </c>
      <c r="H975">
        <v>29.6</v>
      </c>
      <c r="I975">
        <v>11.1</v>
      </c>
      <c r="J975">
        <v>3</v>
      </c>
      <c r="K975">
        <v>2.8</v>
      </c>
      <c r="L975">
        <v>2.1</v>
      </c>
      <c r="M975">
        <v>2.2000000000000002</v>
      </c>
      <c r="P975">
        <v>1</v>
      </c>
      <c r="AF975">
        <v>8.5447150000000018</v>
      </c>
      <c r="AI975" t="s">
        <v>0</v>
      </c>
      <c r="AJ975" t="s">
        <v>1237</v>
      </c>
      <c r="AK975" t="s">
        <v>4984</v>
      </c>
      <c r="AL975" t="s">
        <v>1746</v>
      </c>
      <c r="AM975" t="s">
        <v>5997</v>
      </c>
      <c r="AN975" t="s">
        <v>367</v>
      </c>
      <c r="AO975" t="s">
        <v>11</v>
      </c>
      <c r="AP975" t="s">
        <v>11</v>
      </c>
      <c r="AQ975" t="s">
        <v>422</v>
      </c>
      <c r="AR975" t="s">
        <v>5312</v>
      </c>
      <c r="AS975" t="s">
        <v>11</v>
      </c>
      <c r="AT975" t="s">
        <v>11</v>
      </c>
      <c r="AU975" t="s">
        <v>11</v>
      </c>
      <c r="AV975" t="s">
        <v>11</v>
      </c>
      <c r="AW975" t="s">
        <v>11</v>
      </c>
      <c r="AX975" t="s">
        <v>11</v>
      </c>
      <c r="AY975" t="s">
        <v>11</v>
      </c>
      <c r="AZ975" t="s">
        <v>11</v>
      </c>
      <c r="BA975" t="s">
        <v>11</v>
      </c>
      <c r="BB975" t="s">
        <v>11</v>
      </c>
      <c r="BC975" t="s">
        <v>11</v>
      </c>
      <c r="BD975" t="s">
        <v>11</v>
      </c>
      <c r="BE975" t="s">
        <v>11</v>
      </c>
      <c r="BF975" t="s">
        <v>11</v>
      </c>
      <c r="BG975" t="s">
        <v>11</v>
      </c>
      <c r="BH975" t="s">
        <v>6032</v>
      </c>
      <c r="BI975" t="s">
        <v>6030</v>
      </c>
      <c r="BJ975" t="s">
        <v>11</v>
      </c>
    </row>
    <row r="976" spans="1:62" x14ac:dyDescent="0.3">
      <c r="A976" t="s">
        <v>6033</v>
      </c>
      <c r="C976" t="s">
        <v>11</v>
      </c>
      <c r="D976" t="s">
        <v>6034</v>
      </c>
      <c r="E976" t="s">
        <v>6035</v>
      </c>
      <c r="F976">
        <v>978</v>
      </c>
      <c r="G976">
        <v>82</v>
      </c>
      <c r="K976">
        <v>2</v>
      </c>
      <c r="L976">
        <v>4</v>
      </c>
      <c r="M976">
        <v>2</v>
      </c>
      <c r="O976">
        <v>10</v>
      </c>
      <c r="AF976">
        <v>8.8072800000000004</v>
      </c>
      <c r="AI976" t="s">
        <v>0</v>
      </c>
      <c r="AJ976" t="s">
        <v>11</v>
      </c>
      <c r="AK976" t="s">
        <v>5223</v>
      </c>
      <c r="AL976" t="s">
        <v>11</v>
      </c>
      <c r="AM976" t="s">
        <v>11</v>
      </c>
      <c r="AN976" t="s">
        <v>5243</v>
      </c>
      <c r="AO976" t="s">
        <v>11</v>
      </c>
      <c r="AP976" t="s">
        <v>5813</v>
      </c>
      <c r="AQ976" t="s">
        <v>5218</v>
      </c>
      <c r="AR976" t="s">
        <v>11</v>
      </c>
      <c r="AS976" t="s">
        <v>11</v>
      </c>
      <c r="AT976" t="s">
        <v>11</v>
      </c>
      <c r="AU976" t="s">
        <v>11</v>
      </c>
      <c r="AV976" t="s">
        <v>11</v>
      </c>
      <c r="AW976" t="s">
        <v>11</v>
      </c>
      <c r="AX976" t="s">
        <v>11</v>
      </c>
      <c r="AY976" t="s">
        <v>11</v>
      </c>
      <c r="AZ976" t="s">
        <v>11</v>
      </c>
      <c r="BA976" t="s">
        <v>11</v>
      </c>
      <c r="BB976" t="s">
        <v>11</v>
      </c>
      <c r="BC976" t="s">
        <v>11</v>
      </c>
      <c r="BD976" t="s">
        <v>11</v>
      </c>
      <c r="BE976" t="s">
        <v>11</v>
      </c>
      <c r="BF976" t="s">
        <v>11</v>
      </c>
      <c r="BG976" t="s">
        <v>11</v>
      </c>
      <c r="BH976" t="s">
        <v>6036</v>
      </c>
      <c r="BI976" t="s">
        <v>6033</v>
      </c>
      <c r="BJ976" t="s">
        <v>11</v>
      </c>
    </row>
    <row r="977" spans="1:62" x14ac:dyDescent="0.3">
      <c r="A977" t="s">
        <v>6037</v>
      </c>
      <c r="C977" t="s">
        <v>11</v>
      </c>
      <c r="D977" t="s">
        <v>6038</v>
      </c>
      <c r="E977" t="s">
        <v>6039</v>
      </c>
      <c r="F977">
        <v>979</v>
      </c>
      <c r="G977">
        <v>52.9</v>
      </c>
      <c r="H977">
        <v>19.7</v>
      </c>
      <c r="I977">
        <v>10.3</v>
      </c>
      <c r="J977">
        <v>6.9</v>
      </c>
      <c r="K977">
        <v>1</v>
      </c>
      <c r="L977">
        <v>5.0999999999999996</v>
      </c>
      <c r="M977">
        <v>4.0999999999999996</v>
      </c>
      <c r="AF977">
        <v>8.342193</v>
      </c>
      <c r="AI977" t="s">
        <v>0</v>
      </c>
      <c r="AJ977" t="s">
        <v>1972</v>
      </c>
      <c r="AK977" t="s">
        <v>5503</v>
      </c>
      <c r="AL977" t="s">
        <v>1093</v>
      </c>
      <c r="AM977" t="s">
        <v>6040</v>
      </c>
      <c r="AN977" t="s">
        <v>6041</v>
      </c>
      <c r="AO977" t="s">
        <v>11</v>
      </c>
      <c r="AP977" t="s">
        <v>11</v>
      </c>
      <c r="AQ977" t="s">
        <v>2311</v>
      </c>
      <c r="AR977" t="s">
        <v>11</v>
      </c>
      <c r="AS977" t="s">
        <v>11</v>
      </c>
      <c r="AT977" t="s">
        <v>11</v>
      </c>
      <c r="AU977" t="s">
        <v>11</v>
      </c>
      <c r="AV977" t="s">
        <v>11</v>
      </c>
      <c r="AW977" t="s">
        <v>11</v>
      </c>
      <c r="AX977" t="s">
        <v>11</v>
      </c>
      <c r="AY977" t="s">
        <v>11</v>
      </c>
      <c r="AZ977" t="s">
        <v>11</v>
      </c>
      <c r="BA977" t="s">
        <v>11</v>
      </c>
      <c r="BB977" t="s">
        <v>11</v>
      </c>
      <c r="BC977" t="s">
        <v>11</v>
      </c>
      <c r="BD977" t="s">
        <v>11</v>
      </c>
      <c r="BE977" t="s">
        <v>11</v>
      </c>
      <c r="BF977" t="s">
        <v>11</v>
      </c>
      <c r="BG977" t="s">
        <v>11</v>
      </c>
      <c r="BH977" t="s">
        <v>6042</v>
      </c>
      <c r="BI977" t="s">
        <v>6037</v>
      </c>
      <c r="BJ977" t="s">
        <v>11</v>
      </c>
    </row>
    <row r="978" spans="1:62" x14ac:dyDescent="0.3">
      <c r="A978" t="s">
        <v>6043</v>
      </c>
      <c r="C978" t="s">
        <v>11</v>
      </c>
      <c r="D978" t="s">
        <v>6044</v>
      </c>
      <c r="E978" t="s">
        <v>6039</v>
      </c>
      <c r="F978">
        <v>980</v>
      </c>
      <c r="G978">
        <v>42.6</v>
      </c>
      <c r="H978">
        <v>35.6</v>
      </c>
      <c r="I978">
        <v>11.9</v>
      </c>
      <c r="J978">
        <v>2.1</v>
      </c>
      <c r="K978">
        <v>1.3</v>
      </c>
      <c r="L978">
        <v>2.2000000000000002</v>
      </c>
      <c r="M978">
        <v>4.3</v>
      </c>
      <c r="AF978">
        <v>8.500292</v>
      </c>
      <c r="AI978" t="s">
        <v>0</v>
      </c>
      <c r="AJ978" t="s">
        <v>6045</v>
      </c>
      <c r="AK978" t="s">
        <v>1592</v>
      </c>
      <c r="AL978" t="s">
        <v>6046</v>
      </c>
      <c r="AM978" t="s">
        <v>6047</v>
      </c>
      <c r="AN978" t="s">
        <v>6048</v>
      </c>
      <c r="AO978" t="s">
        <v>11</v>
      </c>
      <c r="AP978" t="s">
        <v>11</v>
      </c>
      <c r="AQ978" t="s">
        <v>120</v>
      </c>
      <c r="AR978" t="s">
        <v>11</v>
      </c>
      <c r="AS978" t="s">
        <v>11</v>
      </c>
      <c r="AT978" t="s">
        <v>11</v>
      </c>
      <c r="AU978" t="s">
        <v>11</v>
      </c>
      <c r="AV978" t="s">
        <v>11</v>
      </c>
      <c r="AW978" t="s">
        <v>11</v>
      </c>
      <c r="AX978" t="s">
        <v>11</v>
      </c>
      <c r="AY978" t="s">
        <v>11</v>
      </c>
      <c r="AZ978" t="s">
        <v>11</v>
      </c>
      <c r="BA978" t="s">
        <v>11</v>
      </c>
      <c r="BB978" t="s">
        <v>11</v>
      </c>
      <c r="BC978" t="s">
        <v>11</v>
      </c>
      <c r="BD978" t="s">
        <v>11</v>
      </c>
      <c r="BE978" t="s">
        <v>11</v>
      </c>
      <c r="BF978" t="s">
        <v>11</v>
      </c>
      <c r="BG978" t="s">
        <v>11</v>
      </c>
      <c r="BH978" t="s">
        <v>6049</v>
      </c>
      <c r="BI978" t="s">
        <v>6043</v>
      </c>
      <c r="BJ978" t="s">
        <v>11</v>
      </c>
    </row>
    <row r="979" spans="1:62" x14ac:dyDescent="0.3">
      <c r="A979" t="s">
        <v>6050</v>
      </c>
      <c r="C979" t="s">
        <v>11</v>
      </c>
      <c r="D979" t="s">
        <v>6051</v>
      </c>
      <c r="E979" t="s">
        <v>6039</v>
      </c>
      <c r="F979">
        <v>981</v>
      </c>
      <c r="G979">
        <v>52.300000000000004</v>
      </c>
      <c r="H979">
        <v>20.2</v>
      </c>
      <c r="I979">
        <v>9.8000000000000007</v>
      </c>
      <c r="J979">
        <v>7</v>
      </c>
      <c r="K979">
        <v>1.4</v>
      </c>
      <c r="L979">
        <v>4.9000000000000004</v>
      </c>
      <c r="M979">
        <v>4.4000000000000004</v>
      </c>
      <c r="AF979">
        <v>8.4449590000000008</v>
      </c>
      <c r="AI979" t="s">
        <v>0</v>
      </c>
      <c r="AJ979" t="s">
        <v>1319</v>
      </c>
      <c r="AK979" t="s">
        <v>5206</v>
      </c>
      <c r="AL979" t="s">
        <v>2097</v>
      </c>
      <c r="AM979" t="s">
        <v>6052</v>
      </c>
      <c r="AN979" t="s">
        <v>6053</v>
      </c>
      <c r="AO979" t="s">
        <v>11</v>
      </c>
      <c r="AP979" t="s">
        <v>11</v>
      </c>
      <c r="AQ979" t="s">
        <v>2320</v>
      </c>
      <c r="AR979" t="s">
        <v>11</v>
      </c>
      <c r="AS979" t="s">
        <v>11</v>
      </c>
      <c r="AT979" t="s">
        <v>11</v>
      </c>
      <c r="AU979" t="s">
        <v>11</v>
      </c>
      <c r="AV979" t="s">
        <v>11</v>
      </c>
      <c r="AW979" t="s">
        <v>11</v>
      </c>
      <c r="AX979" t="s">
        <v>11</v>
      </c>
      <c r="AY979" t="s">
        <v>11</v>
      </c>
      <c r="AZ979" t="s">
        <v>11</v>
      </c>
      <c r="BA979" t="s">
        <v>11</v>
      </c>
      <c r="BB979" t="s">
        <v>11</v>
      </c>
      <c r="BC979" t="s">
        <v>11</v>
      </c>
      <c r="BD979" t="s">
        <v>11</v>
      </c>
      <c r="BE979" t="s">
        <v>11</v>
      </c>
      <c r="BF979" t="s">
        <v>11</v>
      </c>
      <c r="BG979" t="s">
        <v>11</v>
      </c>
      <c r="BH979" t="s">
        <v>6054</v>
      </c>
      <c r="BI979" t="s">
        <v>6050</v>
      </c>
      <c r="BJ979" t="s">
        <v>11</v>
      </c>
    </row>
    <row r="980" spans="1:62" x14ac:dyDescent="0.3">
      <c r="A980" t="s">
        <v>6055</v>
      </c>
      <c r="C980" t="s">
        <v>11</v>
      </c>
      <c r="D980" t="s">
        <v>6056</v>
      </c>
      <c r="E980" t="s">
        <v>6039</v>
      </c>
      <c r="F980">
        <v>982</v>
      </c>
      <c r="G980">
        <v>45.599999999999994</v>
      </c>
      <c r="H980">
        <v>24.5</v>
      </c>
      <c r="I980">
        <v>12.5</v>
      </c>
      <c r="J980">
        <v>10</v>
      </c>
      <c r="K980">
        <v>1.2</v>
      </c>
      <c r="L980">
        <v>2</v>
      </c>
      <c r="M980">
        <v>4.2</v>
      </c>
      <c r="AF980">
        <v>8.3177999999999983</v>
      </c>
      <c r="AI980" t="s">
        <v>0</v>
      </c>
      <c r="AJ980" t="s">
        <v>3258</v>
      </c>
      <c r="AK980" t="s">
        <v>5517</v>
      </c>
      <c r="AL980" t="s">
        <v>6057</v>
      </c>
      <c r="AM980" t="s">
        <v>5837</v>
      </c>
      <c r="AN980" t="s">
        <v>6058</v>
      </c>
      <c r="AO980" t="s">
        <v>11</v>
      </c>
      <c r="AP980" t="s">
        <v>11</v>
      </c>
      <c r="AQ980" t="s">
        <v>5559</v>
      </c>
      <c r="AR980" t="s">
        <v>11</v>
      </c>
      <c r="AS980" t="s">
        <v>11</v>
      </c>
      <c r="AT980" t="s">
        <v>11</v>
      </c>
      <c r="AU980" t="s">
        <v>11</v>
      </c>
      <c r="AV980" t="s">
        <v>11</v>
      </c>
      <c r="AW980" t="s">
        <v>11</v>
      </c>
      <c r="AX980" t="s">
        <v>11</v>
      </c>
      <c r="AY980" t="s">
        <v>11</v>
      </c>
      <c r="AZ980" t="s">
        <v>11</v>
      </c>
      <c r="BA980" t="s">
        <v>11</v>
      </c>
      <c r="BB980" t="s">
        <v>11</v>
      </c>
      <c r="BC980" t="s">
        <v>11</v>
      </c>
      <c r="BD980" t="s">
        <v>11</v>
      </c>
      <c r="BE980" t="s">
        <v>11</v>
      </c>
      <c r="BF980" t="s">
        <v>11</v>
      </c>
      <c r="BG980" t="s">
        <v>11</v>
      </c>
      <c r="BH980" t="s">
        <v>6059</v>
      </c>
      <c r="BI980" t="s">
        <v>6055</v>
      </c>
      <c r="BJ980" t="s">
        <v>11</v>
      </c>
    </row>
    <row r="981" spans="1:62" x14ac:dyDescent="0.3">
      <c r="A981" t="s">
        <v>6060</v>
      </c>
      <c r="C981" t="s">
        <v>11</v>
      </c>
      <c r="D981" t="s">
        <v>6061</v>
      </c>
      <c r="E981" t="s">
        <v>6039</v>
      </c>
      <c r="F981">
        <v>983</v>
      </c>
      <c r="G981">
        <v>42.399999999999991</v>
      </c>
      <c r="H981">
        <v>35.6</v>
      </c>
      <c r="I981">
        <v>11.6</v>
      </c>
      <c r="J981">
        <v>2</v>
      </c>
      <c r="K981">
        <v>1.2</v>
      </c>
      <c r="L981">
        <v>3</v>
      </c>
      <c r="M981">
        <v>4.2</v>
      </c>
      <c r="AF981">
        <v>8.4673579999999991</v>
      </c>
      <c r="AI981" t="s">
        <v>0</v>
      </c>
      <c r="AJ981" t="s">
        <v>6062</v>
      </c>
      <c r="AK981" t="s">
        <v>5517</v>
      </c>
      <c r="AL981" t="s">
        <v>6046</v>
      </c>
      <c r="AM981" t="s">
        <v>5644</v>
      </c>
      <c r="AN981" t="s">
        <v>6058</v>
      </c>
      <c r="AO981" t="s">
        <v>11</v>
      </c>
      <c r="AP981" t="s">
        <v>11</v>
      </c>
      <c r="AQ981" t="s">
        <v>5537</v>
      </c>
      <c r="AR981" t="s">
        <v>11</v>
      </c>
      <c r="AS981" t="s">
        <v>11</v>
      </c>
      <c r="AT981" t="s">
        <v>11</v>
      </c>
      <c r="AU981" t="s">
        <v>11</v>
      </c>
      <c r="AV981" t="s">
        <v>11</v>
      </c>
      <c r="AW981" t="s">
        <v>11</v>
      </c>
      <c r="AX981" t="s">
        <v>11</v>
      </c>
      <c r="AY981" t="s">
        <v>11</v>
      </c>
      <c r="AZ981" t="s">
        <v>11</v>
      </c>
      <c r="BA981" t="s">
        <v>11</v>
      </c>
      <c r="BB981" t="s">
        <v>11</v>
      </c>
      <c r="BC981" t="s">
        <v>11</v>
      </c>
      <c r="BD981" t="s">
        <v>11</v>
      </c>
      <c r="BE981" t="s">
        <v>11</v>
      </c>
      <c r="BF981" t="s">
        <v>11</v>
      </c>
      <c r="BG981" t="s">
        <v>11</v>
      </c>
      <c r="BH981" t="s">
        <v>6063</v>
      </c>
      <c r="BI981" t="s">
        <v>6060</v>
      </c>
      <c r="BJ981" t="s">
        <v>11</v>
      </c>
    </row>
    <row r="982" spans="1:62" x14ac:dyDescent="0.3">
      <c r="A982" t="s">
        <v>6064</v>
      </c>
      <c r="C982" t="s">
        <v>11</v>
      </c>
      <c r="D982" t="s">
        <v>6065</v>
      </c>
      <c r="E982" t="s">
        <v>6039</v>
      </c>
      <c r="F982">
        <v>984</v>
      </c>
      <c r="G982">
        <v>42.5</v>
      </c>
      <c r="H982">
        <v>35.700000000000003</v>
      </c>
      <c r="I982">
        <v>11.3</v>
      </c>
      <c r="J982">
        <v>1.8</v>
      </c>
      <c r="K982">
        <v>1.5</v>
      </c>
      <c r="L982">
        <v>3</v>
      </c>
      <c r="M982">
        <v>4.2</v>
      </c>
      <c r="AF982">
        <v>8.5204359999999983</v>
      </c>
      <c r="AI982" t="s">
        <v>0</v>
      </c>
      <c r="AJ982" t="s">
        <v>3095</v>
      </c>
      <c r="AK982" t="s">
        <v>53</v>
      </c>
      <c r="AL982" t="s">
        <v>6066</v>
      </c>
      <c r="AM982" t="s">
        <v>6067</v>
      </c>
      <c r="AN982" t="s">
        <v>6058</v>
      </c>
      <c r="AO982" t="s">
        <v>11</v>
      </c>
      <c r="AP982" t="s">
        <v>11</v>
      </c>
      <c r="AQ982" t="s">
        <v>5537</v>
      </c>
      <c r="AR982" t="s">
        <v>11</v>
      </c>
      <c r="AS982" t="s">
        <v>11</v>
      </c>
      <c r="AT982" t="s">
        <v>11</v>
      </c>
      <c r="AU982" t="s">
        <v>11</v>
      </c>
      <c r="AV982" t="s">
        <v>11</v>
      </c>
      <c r="AW982" t="s">
        <v>11</v>
      </c>
      <c r="AX982" t="s">
        <v>11</v>
      </c>
      <c r="AY982" t="s">
        <v>11</v>
      </c>
      <c r="AZ982" t="s">
        <v>11</v>
      </c>
      <c r="BA982" t="s">
        <v>11</v>
      </c>
      <c r="BB982" t="s">
        <v>11</v>
      </c>
      <c r="BC982" t="s">
        <v>11</v>
      </c>
      <c r="BD982" t="s">
        <v>11</v>
      </c>
      <c r="BE982" t="s">
        <v>11</v>
      </c>
      <c r="BF982" t="s">
        <v>11</v>
      </c>
      <c r="BG982" t="s">
        <v>11</v>
      </c>
      <c r="BH982" t="s">
        <v>6068</v>
      </c>
      <c r="BI982" t="s">
        <v>6064</v>
      </c>
      <c r="BJ982" t="s">
        <v>11</v>
      </c>
    </row>
    <row r="983" spans="1:62" x14ac:dyDescent="0.3">
      <c r="A983" t="s">
        <v>6069</v>
      </c>
      <c r="C983" t="s">
        <v>11</v>
      </c>
      <c r="D983" t="s">
        <v>6070</v>
      </c>
      <c r="E983" t="s">
        <v>6039</v>
      </c>
      <c r="F983">
        <v>985</v>
      </c>
      <c r="G983">
        <v>42.2</v>
      </c>
      <c r="H983">
        <v>36</v>
      </c>
      <c r="I983">
        <v>12.5</v>
      </c>
      <c r="J983">
        <v>2</v>
      </c>
      <c r="K983">
        <v>1.3</v>
      </c>
      <c r="L983">
        <v>1.9</v>
      </c>
      <c r="M983">
        <v>4.0999999999999996</v>
      </c>
      <c r="AF983">
        <v>8.4625129999999995</v>
      </c>
      <c r="AI983" t="s">
        <v>0</v>
      </c>
      <c r="AJ983" t="s">
        <v>3258</v>
      </c>
      <c r="AK983" t="s">
        <v>1592</v>
      </c>
      <c r="AL983" t="s">
        <v>6071</v>
      </c>
      <c r="AM983" t="s">
        <v>5644</v>
      </c>
      <c r="AN983" t="s">
        <v>6041</v>
      </c>
      <c r="AO983" t="s">
        <v>11</v>
      </c>
      <c r="AP983" t="s">
        <v>11</v>
      </c>
      <c r="AQ983" t="s">
        <v>1249</v>
      </c>
      <c r="AR983" t="s">
        <v>11</v>
      </c>
      <c r="AS983" t="s">
        <v>11</v>
      </c>
      <c r="AT983" t="s">
        <v>11</v>
      </c>
      <c r="AU983" t="s">
        <v>11</v>
      </c>
      <c r="AV983" t="s">
        <v>11</v>
      </c>
      <c r="AW983" t="s">
        <v>11</v>
      </c>
      <c r="AX983" t="s">
        <v>11</v>
      </c>
      <c r="AY983" t="s">
        <v>11</v>
      </c>
      <c r="AZ983" t="s">
        <v>11</v>
      </c>
      <c r="BA983" t="s">
        <v>11</v>
      </c>
      <c r="BB983" t="s">
        <v>11</v>
      </c>
      <c r="BC983" t="s">
        <v>11</v>
      </c>
      <c r="BD983" t="s">
        <v>11</v>
      </c>
      <c r="BE983" t="s">
        <v>11</v>
      </c>
      <c r="BF983" t="s">
        <v>11</v>
      </c>
      <c r="BG983" t="s">
        <v>11</v>
      </c>
      <c r="BH983" t="s">
        <v>6072</v>
      </c>
      <c r="BI983" t="s">
        <v>6069</v>
      </c>
      <c r="BJ983" t="s">
        <v>11</v>
      </c>
    </row>
    <row r="984" spans="1:62" x14ac:dyDescent="0.3">
      <c r="A984" t="s">
        <v>6073</v>
      </c>
      <c r="C984" t="s">
        <v>11</v>
      </c>
      <c r="D984" t="s">
        <v>6074</v>
      </c>
      <c r="E984" t="s">
        <v>6039</v>
      </c>
      <c r="F984">
        <v>986</v>
      </c>
      <c r="G984">
        <v>40.200000000000003</v>
      </c>
      <c r="H984">
        <v>37.299999999999997</v>
      </c>
      <c r="I984">
        <v>13.3</v>
      </c>
      <c r="J984">
        <v>2</v>
      </c>
      <c r="K984">
        <v>1.1000000000000001</v>
      </c>
      <c r="L984">
        <v>2</v>
      </c>
      <c r="M984">
        <v>4.0999999999999996</v>
      </c>
      <c r="AF984">
        <v>8.3879239999999999</v>
      </c>
      <c r="AI984" t="s">
        <v>0</v>
      </c>
      <c r="AJ984" t="s">
        <v>1433</v>
      </c>
      <c r="AK984" t="s">
        <v>5990</v>
      </c>
      <c r="AL984" t="s">
        <v>6075</v>
      </c>
      <c r="AM984" t="s">
        <v>5644</v>
      </c>
      <c r="AN984" t="s">
        <v>6041</v>
      </c>
      <c r="AO984" t="s">
        <v>11</v>
      </c>
      <c r="AP984" t="s">
        <v>11</v>
      </c>
      <c r="AQ984" t="s">
        <v>5559</v>
      </c>
      <c r="AR984" t="s">
        <v>11</v>
      </c>
      <c r="AS984" t="s">
        <v>11</v>
      </c>
      <c r="AT984" t="s">
        <v>11</v>
      </c>
      <c r="AU984" t="s">
        <v>11</v>
      </c>
      <c r="AV984" t="s">
        <v>11</v>
      </c>
      <c r="AW984" t="s">
        <v>11</v>
      </c>
      <c r="AX984" t="s">
        <v>11</v>
      </c>
      <c r="AY984" t="s">
        <v>11</v>
      </c>
      <c r="AZ984" t="s">
        <v>11</v>
      </c>
      <c r="BA984" t="s">
        <v>11</v>
      </c>
      <c r="BB984" t="s">
        <v>11</v>
      </c>
      <c r="BC984" t="s">
        <v>11</v>
      </c>
      <c r="BD984" t="s">
        <v>11</v>
      </c>
      <c r="BE984" t="s">
        <v>11</v>
      </c>
      <c r="BF984" t="s">
        <v>11</v>
      </c>
      <c r="BG984" t="s">
        <v>11</v>
      </c>
      <c r="BH984" t="s">
        <v>6076</v>
      </c>
      <c r="BI984" t="s">
        <v>6073</v>
      </c>
      <c r="BJ984" t="s">
        <v>11</v>
      </c>
    </row>
    <row r="985" spans="1:62" x14ac:dyDescent="0.3">
      <c r="A985" t="s">
        <v>6077</v>
      </c>
      <c r="C985" t="s">
        <v>11</v>
      </c>
      <c r="D985" t="s">
        <v>6078</v>
      </c>
      <c r="E985" t="s">
        <v>6039</v>
      </c>
      <c r="F985">
        <v>987</v>
      </c>
      <c r="G985">
        <v>43.199999999999996</v>
      </c>
      <c r="H985">
        <v>35.6</v>
      </c>
      <c r="I985">
        <v>11.3</v>
      </c>
      <c r="J985">
        <v>2</v>
      </c>
      <c r="K985">
        <v>1.8</v>
      </c>
      <c r="L985">
        <v>2</v>
      </c>
      <c r="M985">
        <v>4.0999999999999996</v>
      </c>
      <c r="AF985">
        <v>8.5842379999999991</v>
      </c>
      <c r="AI985" t="s">
        <v>0</v>
      </c>
      <c r="AJ985" t="s">
        <v>3095</v>
      </c>
      <c r="AK985" t="s">
        <v>2563</v>
      </c>
      <c r="AL985" t="s">
        <v>6046</v>
      </c>
      <c r="AM985" t="s">
        <v>5644</v>
      </c>
      <c r="AN985" t="s">
        <v>6041</v>
      </c>
      <c r="AO985" t="s">
        <v>11</v>
      </c>
      <c r="AP985" t="s">
        <v>11</v>
      </c>
      <c r="AQ985" t="s">
        <v>5559</v>
      </c>
      <c r="AR985" t="s">
        <v>11</v>
      </c>
      <c r="AS985" t="s">
        <v>11</v>
      </c>
      <c r="AT985" t="s">
        <v>11</v>
      </c>
      <c r="AU985" t="s">
        <v>11</v>
      </c>
      <c r="AV985" t="s">
        <v>11</v>
      </c>
      <c r="AW985" t="s">
        <v>11</v>
      </c>
      <c r="AX985" t="s">
        <v>11</v>
      </c>
      <c r="AY985" t="s">
        <v>11</v>
      </c>
      <c r="AZ985" t="s">
        <v>11</v>
      </c>
      <c r="BA985" t="s">
        <v>11</v>
      </c>
      <c r="BB985" t="s">
        <v>11</v>
      </c>
      <c r="BC985" t="s">
        <v>11</v>
      </c>
      <c r="BD985" t="s">
        <v>11</v>
      </c>
      <c r="BE985" t="s">
        <v>11</v>
      </c>
      <c r="BF985" t="s">
        <v>11</v>
      </c>
      <c r="BG985" t="s">
        <v>11</v>
      </c>
      <c r="BH985" t="s">
        <v>6079</v>
      </c>
      <c r="BI985" t="s">
        <v>6077</v>
      </c>
      <c r="BJ985" t="s">
        <v>11</v>
      </c>
    </row>
    <row r="986" spans="1:62" x14ac:dyDescent="0.3">
      <c r="A986" t="s">
        <v>6080</v>
      </c>
      <c r="C986" t="s">
        <v>11</v>
      </c>
      <c r="D986" t="s">
        <v>6081</v>
      </c>
      <c r="E986" t="s">
        <v>6039</v>
      </c>
      <c r="F986">
        <v>988</v>
      </c>
      <c r="G986">
        <v>42.899999999999991</v>
      </c>
      <c r="H986">
        <v>35.5</v>
      </c>
      <c r="I986">
        <v>13.2</v>
      </c>
      <c r="J986">
        <v>2.2000000000000002</v>
      </c>
      <c r="K986">
        <v>1.2</v>
      </c>
      <c r="L986">
        <v>1</v>
      </c>
      <c r="M986">
        <v>4</v>
      </c>
      <c r="AF986">
        <v>8.4370899999999978</v>
      </c>
      <c r="AI986" t="s">
        <v>0</v>
      </c>
      <c r="AJ986" t="s">
        <v>6082</v>
      </c>
      <c r="AK986" t="s">
        <v>5517</v>
      </c>
      <c r="AL986" t="s">
        <v>6083</v>
      </c>
      <c r="AM986" t="s">
        <v>6084</v>
      </c>
      <c r="AN986" t="s">
        <v>5285</v>
      </c>
      <c r="AO986" t="s">
        <v>11</v>
      </c>
      <c r="AP986" t="s">
        <v>11</v>
      </c>
      <c r="AQ986" t="s">
        <v>5481</v>
      </c>
      <c r="AR986" t="s">
        <v>11</v>
      </c>
      <c r="AS986" t="s">
        <v>11</v>
      </c>
      <c r="AT986" t="s">
        <v>11</v>
      </c>
      <c r="AU986" t="s">
        <v>11</v>
      </c>
      <c r="AV986" t="s">
        <v>11</v>
      </c>
      <c r="AW986" t="s">
        <v>11</v>
      </c>
      <c r="AX986" t="s">
        <v>11</v>
      </c>
      <c r="AY986" t="s">
        <v>11</v>
      </c>
      <c r="AZ986" t="s">
        <v>11</v>
      </c>
      <c r="BA986" t="s">
        <v>11</v>
      </c>
      <c r="BB986" t="s">
        <v>11</v>
      </c>
      <c r="BC986" t="s">
        <v>11</v>
      </c>
      <c r="BD986" t="s">
        <v>11</v>
      </c>
      <c r="BE986" t="s">
        <v>11</v>
      </c>
      <c r="BF986" t="s">
        <v>11</v>
      </c>
      <c r="BG986" t="s">
        <v>11</v>
      </c>
      <c r="BH986" t="s">
        <v>6085</v>
      </c>
      <c r="BI986" t="s">
        <v>6080</v>
      </c>
      <c r="BJ986" t="s">
        <v>11</v>
      </c>
    </row>
    <row r="987" spans="1:62" x14ac:dyDescent="0.3">
      <c r="A987" t="s">
        <v>6086</v>
      </c>
      <c r="C987" t="s">
        <v>11</v>
      </c>
      <c r="D987" t="s">
        <v>2120</v>
      </c>
      <c r="E987" t="s">
        <v>6087</v>
      </c>
      <c r="F987">
        <v>989</v>
      </c>
      <c r="G987">
        <v>53</v>
      </c>
      <c r="H987">
        <v>30</v>
      </c>
      <c r="I987">
        <v>10</v>
      </c>
      <c r="M987">
        <v>2</v>
      </c>
      <c r="O987">
        <v>5</v>
      </c>
      <c r="AF987">
        <v>8.2979000000000003</v>
      </c>
      <c r="AI987" t="s">
        <v>0</v>
      </c>
      <c r="AJ987" t="s">
        <v>22</v>
      </c>
      <c r="AK987" t="s">
        <v>11</v>
      </c>
      <c r="AL987" t="s">
        <v>5386</v>
      </c>
      <c r="AM987" t="s">
        <v>11</v>
      </c>
      <c r="AN987" t="s">
        <v>5243</v>
      </c>
      <c r="AO987" t="s">
        <v>11</v>
      </c>
      <c r="AP987" t="s">
        <v>5818</v>
      </c>
      <c r="AQ987" t="s">
        <v>11</v>
      </c>
      <c r="AR987" t="s">
        <v>11</v>
      </c>
      <c r="AS987" t="s">
        <v>11</v>
      </c>
      <c r="AT987" t="s">
        <v>11</v>
      </c>
      <c r="AU987" t="s">
        <v>11</v>
      </c>
      <c r="AV987" t="s">
        <v>11</v>
      </c>
      <c r="AW987" t="s">
        <v>11</v>
      </c>
      <c r="AX987" t="s">
        <v>11</v>
      </c>
      <c r="AY987" t="s">
        <v>11</v>
      </c>
      <c r="AZ987" t="s">
        <v>11</v>
      </c>
      <c r="BA987" t="s">
        <v>11</v>
      </c>
      <c r="BB987" t="s">
        <v>11</v>
      </c>
      <c r="BC987" t="s">
        <v>11</v>
      </c>
      <c r="BD987" t="s">
        <v>11</v>
      </c>
      <c r="BE987" t="s">
        <v>11</v>
      </c>
      <c r="BF987" t="s">
        <v>11</v>
      </c>
      <c r="BG987" t="s">
        <v>11</v>
      </c>
      <c r="BH987" t="s">
        <v>6088</v>
      </c>
      <c r="BI987" t="s">
        <v>6086</v>
      </c>
      <c r="BJ987" t="s">
        <v>11</v>
      </c>
    </row>
    <row r="988" spans="1:62" x14ac:dyDescent="0.3">
      <c r="A988" t="s">
        <v>6089</v>
      </c>
      <c r="C988" t="s">
        <v>11</v>
      </c>
      <c r="D988" t="s">
        <v>3899</v>
      </c>
      <c r="E988" t="s">
        <v>6087</v>
      </c>
      <c r="F988">
        <v>990</v>
      </c>
      <c r="G988">
        <v>51</v>
      </c>
      <c r="H988">
        <v>30</v>
      </c>
      <c r="I988">
        <v>10</v>
      </c>
      <c r="L988">
        <v>2</v>
      </c>
      <c r="M988">
        <v>2</v>
      </c>
      <c r="O988">
        <v>5</v>
      </c>
      <c r="AF988">
        <v>8.2100399999999993</v>
      </c>
      <c r="AI988" t="s">
        <v>0</v>
      </c>
      <c r="AJ988" t="s">
        <v>22</v>
      </c>
      <c r="AK988" t="s">
        <v>11</v>
      </c>
      <c r="AL988" t="s">
        <v>5386</v>
      </c>
      <c r="AM988" t="s">
        <v>11</v>
      </c>
      <c r="AN988" t="s">
        <v>5243</v>
      </c>
      <c r="AO988" t="s">
        <v>11</v>
      </c>
      <c r="AP988" t="s">
        <v>5818</v>
      </c>
      <c r="AQ988" t="s">
        <v>5559</v>
      </c>
      <c r="AR988" t="s">
        <v>11</v>
      </c>
      <c r="AS988" t="s">
        <v>11</v>
      </c>
      <c r="AT988" t="s">
        <v>11</v>
      </c>
      <c r="AU988" t="s">
        <v>11</v>
      </c>
      <c r="AV988" t="s">
        <v>11</v>
      </c>
      <c r="AW988" t="s">
        <v>11</v>
      </c>
      <c r="AX988" t="s">
        <v>11</v>
      </c>
      <c r="AY988" t="s">
        <v>11</v>
      </c>
      <c r="AZ988" t="s">
        <v>11</v>
      </c>
      <c r="BA988" t="s">
        <v>11</v>
      </c>
      <c r="BB988" t="s">
        <v>11</v>
      </c>
      <c r="BC988" t="s">
        <v>11</v>
      </c>
      <c r="BD988" t="s">
        <v>11</v>
      </c>
      <c r="BE988" t="s">
        <v>11</v>
      </c>
      <c r="BF988" t="s">
        <v>11</v>
      </c>
      <c r="BG988" t="s">
        <v>11</v>
      </c>
      <c r="BH988" t="s">
        <v>6090</v>
      </c>
      <c r="BI988" t="s">
        <v>6089</v>
      </c>
      <c r="BJ988" t="s">
        <v>11</v>
      </c>
    </row>
    <row r="989" spans="1:62" x14ac:dyDescent="0.3">
      <c r="A989" t="s">
        <v>6091</v>
      </c>
      <c r="C989" t="s">
        <v>11</v>
      </c>
      <c r="D989" t="s">
        <v>3927</v>
      </c>
      <c r="E989" t="s">
        <v>6087</v>
      </c>
      <c r="F989">
        <v>991</v>
      </c>
      <c r="G989">
        <v>51</v>
      </c>
      <c r="H989">
        <v>30</v>
      </c>
      <c r="I989">
        <v>10</v>
      </c>
      <c r="M989">
        <v>2</v>
      </c>
      <c r="N989">
        <v>2</v>
      </c>
      <c r="O989">
        <v>5</v>
      </c>
      <c r="AF989">
        <v>8.2912999999999997</v>
      </c>
      <c r="AI989" t="s">
        <v>0</v>
      </c>
      <c r="AJ989" t="s">
        <v>22</v>
      </c>
      <c r="AK989" t="s">
        <v>11</v>
      </c>
      <c r="AL989" t="s">
        <v>5386</v>
      </c>
      <c r="AM989" t="s">
        <v>11</v>
      </c>
      <c r="AN989" t="s">
        <v>5243</v>
      </c>
      <c r="AO989" t="s">
        <v>5528</v>
      </c>
      <c r="AP989" t="s">
        <v>5818</v>
      </c>
      <c r="AQ989" t="s">
        <v>11</v>
      </c>
      <c r="AR989" t="s">
        <v>11</v>
      </c>
      <c r="AS989" t="s">
        <v>11</v>
      </c>
      <c r="AT989" t="s">
        <v>11</v>
      </c>
      <c r="AU989" t="s">
        <v>11</v>
      </c>
      <c r="AV989" t="s">
        <v>11</v>
      </c>
      <c r="AW989" t="s">
        <v>11</v>
      </c>
      <c r="AX989" t="s">
        <v>11</v>
      </c>
      <c r="AY989" t="s">
        <v>11</v>
      </c>
      <c r="AZ989" t="s">
        <v>11</v>
      </c>
      <c r="BA989" t="s">
        <v>11</v>
      </c>
      <c r="BB989" t="s">
        <v>11</v>
      </c>
      <c r="BC989" t="s">
        <v>11</v>
      </c>
      <c r="BD989" t="s">
        <v>11</v>
      </c>
      <c r="BE989" t="s">
        <v>11</v>
      </c>
      <c r="BF989" t="s">
        <v>11</v>
      </c>
      <c r="BG989" t="s">
        <v>11</v>
      </c>
      <c r="BH989" t="s">
        <v>6092</v>
      </c>
      <c r="BI989" t="s">
        <v>6091</v>
      </c>
      <c r="BJ989" t="s">
        <v>11</v>
      </c>
    </row>
    <row r="990" spans="1:62" x14ac:dyDescent="0.3">
      <c r="A990" t="s">
        <v>6093</v>
      </c>
      <c r="C990" t="s">
        <v>11</v>
      </c>
      <c r="D990" t="s">
        <v>1484</v>
      </c>
      <c r="E990" t="s">
        <v>6087</v>
      </c>
      <c r="F990">
        <v>992</v>
      </c>
      <c r="G990">
        <v>51</v>
      </c>
      <c r="H990">
        <v>30</v>
      </c>
      <c r="I990">
        <v>10</v>
      </c>
      <c r="M990">
        <v>2</v>
      </c>
      <c r="O990">
        <v>5</v>
      </c>
      <c r="P990">
        <v>2</v>
      </c>
      <c r="AF990">
        <v>8.3254999999999999</v>
      </c>
      <c r="AI990" t="s">
        <v>0</v>
      </c>
      <c r="AJ990" t="s">
        <v>22</v>
      </c>
      <c r="AK990" t="s">
        <v>11</v>
      </c>
      <c r="AL990" t="s">
        <v>5386</v>
      </c>
      <c r="AM990" t="s">
        <v>11</v>
      </c>
      <c r="AN990" t="s">
        <v>5243</v>
      </c>
      <c r="AO990" t="s">
        <v>11</v>
      </c>
      <c r="AP990" t="s">
        <v>5818</v>
      </c>
      <c r="AQ990" t="s">
        <v>11</v>
      </c>
      <c r="AR990" t="s">
        <v>5797</v>
      </c>
      <c r="AS990" t="s">
        <v>11</v>
      </c>
      <c r="AT990" t="s">
        <v>11</v>
      </c>
      <c r="AU990" t="s">
        <v>11</v>
      </c>
      <c r="AV990" t="s">
        <v>11</v>
      </c>
      <c r="AW990" t="s">
        <v>11</v>
      </c>
      <c r="AX990" t="s">
        <v>11</v>
      </c>
      <c r="AY990" t="s">
        <v>11</v>
      </c>
      <c r="AZ990" t="s">
        <v>11</v>
      </c>
      <c r="BA990" t="s">
        <v>11</v>
      </c>
      <c r="BB990" t="s">
        <v>11</v>
      </c>
      <c r="BC990" t="s">
        <v>11</v>
      </c>
      <c r="BD990" t="s">
        <v>11</v>
      </c>
      <c r="BE990" t="s">
        <v>11</v>
      </c>
      <c r="BF990" t="s">
        <v>11</v>
      </c>
      <c r="BG990" t="s">
        <v>11</v>
      </c>
      <c r="BH990" t="s">
        <v>6094</v>
      </c>
      <c r="BI990" t="s">
        <v>6093</v>
      </c>
      <c r="BJ990" t="s">
        <v>11</v>
      </c>
    </row>
    <row r="991" spans="1:62" x14ac:dyDescent="0.3">
      <c r="A991" t="s">
        <v>6095</v>
      </c>
      <c r="C991" t="s">
        <v>11</v>
      </c>
      <c r="D991" t="s">
        <v>5803</v>
      </c>
      <c r="E991" t="s">
        <v>6087</v>
      </c>
      <c r="F991">
        <v>993</v>
      </c>
      <c r="G991">
        <v>51</v>
      </c>
      <c r="H991">
        <v>30</v>
      </c>
      <c r="I991">
        <v>10</v>
      </c>
      <c r="K991">
        <v>2</v>
      </c>
      <c r="M991">
        <v>2</v>
      </c>
      <c r="O991">
        <v>5</v>
      </c>
      <c r="AF991">
        <v>8.5048999999999992</v>
      </c>
      <c r="AI991" t="s">
        <v>0</v>
      </c>
      <c r="AJ991" t="s">
        <v>22</v>
      </c>
      <c r="AK991" t="s">
        <v>5223</v>
      </c>
      <c r="AL991" t="s">
        <v>5386</v>
      </c>
      <c r="AM991" t="s">
        <v>11</v>
      </c>
      <c r="AN991" t="s">
        <v>5243</v>
      </c>
      <c r="AO991" t="s">
        <v>11</v>
      </c>
      <c r="AP991" t="s">
        <v>5818</v>
      </c>
      <c r="AQ991" t="s">
        <v>11</v>
      </c>
      <c r="AR991" t="s">
        <v>11</v>
      </c>
      <c r="AS991" t="s">
        <v>11</v>
      </c>
      <c r="AT991" t="s">
        <v>11</v>
      </c>
      <c r="AU991" t="s">
        <v>11</v>
      </c>
      <c r="AV991" t="s">
        <v>11</v>
      </c>
      <c r="AW991" t="s">
        <v>11</v>
      </c>
      <c r="AX991" t="s">
        <v>11</v>
      </c>
      <c r="AY991" t="s">
        <v>11</v>
      </c>
      <c r="AZ991" t="s">
        <v>11</v>
      </c>
      <c r="BA991" t="s">
        <v>11</v>
      </c>
      <c r="BB991" t="s">
        <v>11</v>
      </c>
      <c r="BC991" t="s">
        <v>11</v>
      </c>
      <c r="BD991" t="s">
        <v>11</v>
      </c>
      <c r="BE991" t="s">
        <v>11</v>
      </c>
      <c r="BF991" t="s">
        <v>11</v>
      </c>
      <c r="BG991" t="s">
        <v>11</v>
      </c>
      <c r="BH991" t="s">
        <v>6096</v>
      </c>
      <c r="BI991" t="s">
        <v>6095</v>
      </c>
      <c r="BJ991" t="s">
        <v>11</v>
      </c>
    </row>
    <row r="992" spans="1:62" x14ac:dyDescent="0.3">
      <c r="A992" t="s">
        <v>6097</v>
      </c>
      <c r="C992" t="s">
        <v>11</v>
      </c>
      <c r="D992" t="s">
        <v>6098</v>
      </c>
      <c r="E992" t="s">
        <v>6099</v>
      </c>
      <c r="F992">
        <v>994</v>
      </c>
      <c r="G992">
        <v>1.9999999999996021E-2</v>
      </c>
      <c r="H992">
        <v>74.88</v>
      </c>
      <c r="I992">
        <v>4.93</v>
      </c>
      <c r="J992">
        <v>14.9</v>
      </c>
      <c r="L992">
        <v>5.27</v>
      </c>
      <c r="AF992">
        <v>8.1140292999999986</v>
      </c>
      <c r="AI992" t="s">
        <v>0</v>
      </c>
      <c r="AJ992" t="s">
        <v>625</v>
      </c>
      <c r="AK992" t="s">
        <v>11</v>
      </c>
      <c r="AL992" t="s">
        <v>4818</v>
      </c>
      <c r="AM992" t="s">
        <v>6100</v>
      </c>
      <c r="AN992" t="s">
        <v>11</v>
      </c>
      <c r="AO992" t="s">
        <v>11</v>
      </c>
      <c r="AP992" t="s">
        <v>11</v>
      </c>
      <c r="AQ992" t="s">
        <v>1095</v>
      </c>
      <c r="AR992" t="s">
        <v>11</v>
      </c>
      <c r="AS992" t="s">
        <v>11</v>
      </c>
      <c r="AT992" t="s">
        <v>11</v>
      </c>
      <c r="AU992" t="s">
        <v>11</v>
      </c>
      <c r="AV992" t="s">
        <v>11</v>
      </c>
      <c r="AW992" t="s">
        <v>11</v>
      </c>
      <c r="AX992" t="s">
        <v>11</v>
      </c>
      <c r="AY992" t="s">
        <v>11</v>
      </c>
      <c r="AZ992" t="s">
        <v>11</v>
      </c>
      <c r="BA992" t="s">
        <v>11</v>
      </c>
      <c r="BB992" t="s">
        <v>11</v>
      </c>
      <c r="BC992" t="s">
        <v>11</v>
      </c>
      <c r="BD992" t="s">
        <v>11</v>
      </c>
      <c r="BE992" t="s">
        <v>11</v>
      </c>
      <c r="BF992" t="s">
        <v>11</v>
      </c>
      <c r="BG992" t="s">
        <v>11</v>
      </c>
      <c r="BH992" t="s">
        <v>6101</v>
      </c>
      <c r="BI992" t="s">
        <v>6097</v>
      </c>
      <c r="BJ992" t="s">
        <v>11</v>
      </c>
    </row>
    <row r="993" spans="1:62" x14ac:dyDescent="0.3">
      <c r="A993" t="s">
        <v>6102</v>
      </c>
      <c r="C993" t="s">
        <v>11</v>
      </c>
      <c r="D993" t="s">
        <v>6103</v>
      </c>
      <c r="E993" t="s">
        <v>6099</v>
      </c>
      <c r="F993">
        <v>995</v>
      </c>
      <c r="G993">
        <v>9.6099999999999852</v>
      </c>
      <c r="H993">
        <v>65.2</v>
      </c>
      <c r="I993">
        <v>5.09</v>
      </c>
      <c r="J993">
        <v>14.9</v>
      </c>
      <c r="L993">
        <v>5.2</v>
      </c>
      <c r="AF993">
        <v>8.1064099999999986</v>
      </c>
      <c r="AI993" t="s">
        <v>0</v>
      </c>
      <c r="AJ993" t="s">
        <v>6104</v>
      </c>
      <c r="AK993" t="s">
        <v>11</v>
      </c>
      <c r="AL993" t="s">
        <v>6105</v>
      </c>
      <c r="AM993" t="s">
        <v>6100</v>
      </c>
      <c r="AN993" t="s">
        <v>11</v>
      </c>
      <c r="AO993" t="s">
        <v>11</v>
      </c>
      <c r="AP993" t="s">
        <v>11</v>
      </c>
      <c r="AQ993" t="s">
        <v>1120</v>
      </c>
      <c r="AR993" t="s">
        <v>11</v>
      </c>
      <c r="AS993" t="s">
        <v>11</v>
      </c>
      <c r="AT993" t="s">
        <v>11</v>
      </c>
      <c r="AU993" t="s">
        <v>11</v>
      </c>
      <c r="AV993" t="s">
        <v>11</v>
      </c>
      <c r="AW993" t="s">
        <v>11</v>
      </c>
      <c r="AX993" t="s">
        <v>11</v>
      </c>
      <c r="AY993" t="s">
        <v>11</v>
      </c>
      <c r="AZ993" t="s">
        <v>11</v>
      </c>
      <c r="BA993" t="s">
        <v>11</v>
      </c>
      <c r="BB993" t="s">
        <v>11</v>
      </c>
      <c r="BC993" t="s">
        <v>11</v>
      </c>
      <c r="BD993" t="s">
        <v>11</v>
      </c>
      <c r="BE993" t="s">
        <v>11</v>
      </c>
      <c r="BF993" t="s">
        <v>11</v>
      </c>
      <c r="BG993" t="s">
        <v>11</v>
      </c>
      <c r="BH993" t="s">
        <v>6106</v>
      </c>
      <c r="BI993" t="s">
        <v>6102</v>
      </c>
      <c r="BJ993" t="s">
        <v>11</v>
      </c>
    </row>
    <row r="994" spans="1:62" x14ac:dyDescent="0.3">
      <c r="A994" t="s">
        <v>6107</v>
      </c>
      <c r="C994" t="s">
        <v>11</v>
      </c>
      <c r="D994" t="s">
        <v>6108</v>
      </c>
      <c r="E994" t="s">
        <v>6099</v>
      </c>
      <c r="F994">
        <v>996</v>
      </c>
      <c r="G994">
        <v>18.64</v>
      </c>
      <c r="H994">
        <v>56.21</v>
      </c>
      <c r="I994">
        <v>5.08</v>
      </c>
      <c r="J994">
        <v>14.8</v>
      </c>
      <c r="L994">
        <v>5.27</v>
      </c>
      <c r="AF994">
        <v>8.1049457</v>
      </c>
      <c r="AI994" t="s">
        <v>0</v>
      </c>
      <c r="AJ994" t="s">
        <v>6104</v>
      </c>
      <c r="AK994" t="s">
        <v>11</v>
      </c>
      <c r="AL994" t="s">
        <v>6109</v>
      </c>
      <c r="AM994" t="s">
        <v>1793</v>
      </c>
      <c r="AN994" t="s">
        <v>11</v>
      </c>
      <c r="AO994" t="s">
        <v>11</v>
      </c>
      <c r="AP994" t="s">
        <v>11</v>
      </c>
      <c r="AQ994" t="s">
        <v>1095</v>
      </c>
      <c r="AR994" t="s">
        <v>11</v>
      </c>
      <c r="AS994" t="s">
        <v>11</v>
      </c>
      <c r="AT994" t="s">
        <v>11</v>
      </c>
      <c r="AU994" t="s">
        <v>11</v>
      </c>
      <c r="AV994" t="s">
        <v>11</v>
      </c>
      <c r="AW994" t="s">
        <v>11</v>
      </c>
      <c r="AX994" t="s">
        <v>11</v>
      </c>
      <c r="AY994" t="s">
        <v>11</v>
      </c>
      <c r="AZ994" t="s">
        <v>11</v>
      </c>
      <c r="BA994" t="s">
        <v>11</v>
      </c>
      <c r="BB994" t="s">
        <v>11</v>
      </c>
      <c r="BC994" t="s">
        <v>11</v>
      </c>
      <c r="BD994" t="s">
        <v>11</v>
      </c>
      <c r="BE994" t="s">
        <v>11</v>
      </c>
      <c r="BF994" t="s">
        <v>11</v>
      </c>
      <c r="BG994" t="s">
        <v>11</v>
      </c>
      <c r="BH994" t="s">
        <v>6110</v>
      </c>
      <c r="BI994" t="s">
        <v>6107</v>
      </c>
      <c r="BJ994" t="s">
        <v>11</v>
      </c>
    </row>
    <row r="995" spans="1:62" x14ac:dyDescent="0.3">
      <c r="A995" t="s">
        <v>6111</v>
      </c>
      <c r="C995" t="s">
        <v>11</v>
      </c>
      <c r="D995" t="s">
        <v>6112</v>
      </c>
      <c r="E995" t="s">
        <v>6099</v>
      </c>
      <c r="F995">
        <v>997</v>
      </c>
      <c r="G995">
        <v>27.759999999999991</v>
      </c>
      <c r="H995">
        <v>47.2</v>
      </c>
      <c r="I995">
        <v>5.01</v>
      </c>
      <c r="J995">
        <v>14.8</v>
      </c>
      <c r="L995">
        <v>5.23</v>
      </c>
      <c r="AF995">
        <v>8.1103220999999994</v>
      </c>
      <c r="AI995" t="s">
        <v>0</v>
      </c>
      <c r="AJ995" t="s">
        <v>735</v>
      </c>
      <c r="AK995" t="s">
        <v>11</v>
      </c>
      <c r="AL995" t="s">
        <v>6113</v>
      </c>
      <c r="AM995" t="s">
        <v>1793</v>
      </c>
      <c r="AN995" t="s">
        <v>11</v>
      </c>
      <c r="AO995" t="s">
        <v>11</v>
      </c>
      <c r="AP995" t="s">
        <v>11</v>
      </c>
      <c r="AQ995" t="s">
        <v>1120</v>
      </c>
      <c r="AR995" t="s">
        <v>11</v>
      </c>
      <c r="AS995" t="s">
        <v>11</v>
      </c>
      <c r="AT995" t="s">
        <v>11</v>
      </c>
      <c r="AU995" t="s">
        <v>11</v>
      </c>
      <c r="AV995" t="s">
        <v>11</v>
      </c>
      <c r="AW995" t="s">
        <v>11</v>
      </c>
      <c r="AX995" t="s">
        <v>11</v>
      </c>
      <c r="AY995" t="s">
        <v>11</v>
      </c>
      <c r="AZ995" t="s">
        <v>11</v>
      </c>
      <c r="BA995" t="s">
        <v>11</v>
      </c>
      <c r="BB995" t="s">
        <v>11</v>
      </c>
      <c r="BC995" t="s">
        <v>11</v>
      </c>
      <c r="BD995" t="s">
        <v>11</v>
      </c>
      <c r="BE995" t="s">
        <v>11</v>
      </c>
      <c r="BF995" t="s">
        <v>11</v>
      </c>
      <c r="BG995" t="s">
        <v>11</v>
      </c>
      <c r="BH995" t="s">
        <v>6114</v>
      </c>
      <c r="BI995" t="s">
        <v>6111</v>
      </c>
      <c r="BJ995" t="s">
        <v>11</v>
      </c>
    </row>
    <row r="996" spans="1:62" x14ac:dyDescent="0.3">
      <c r="A996" t="s">
        <v>6115</v>
      </c>
      <c r="C996" t="s">
        <v>11</v>
      </c>
      <c r="D996" t="s">
        <v>6116</v>
      </c>
      <c r="E996" t="s">
        <v>6099</v>
      </c>
      <c r="F996">
        <v>998</v>
      </c>
      <c r="G996">
        <v>37.21</v>
      </c>
      <c r="H996">
        <v>37.700000000000003</v>
      </c>
      <c r="I996">
        <v>5.01</v>
      </c>
      <c r="J996">
        <v>15</v>
      </c>
      <c r="L996">
        <v>5.08</v>
      </c>
      <c r="AF996">
        <v>8.1127316</v>
      </c>
      <c r="AI996" t="s">
        <v>0</v>
      </c>
      <c r="AJ996" t="s">
        <v>735</v>
      </c>
      <c r="AK996" t="s">
        <v>11</v>
      </c>
      <c r="AL996" t="s">
        <v>6117</v>
      </c>
      <c r="AM996" t="s">
        <v>5738</v>
      </c>
      <c r="AN996" t="s">
        <v>11</v>
      </c>
      <c r="AO996" t="s">
        <v>11</v>
      </c>
      <c r="AP996" t="s">
        <v>11</v>
      </c>
      <c r="AQ996" t="s">
        <v>2311</v>
      </c>
      <c r="AR996" t="s">
        <v>11</v>
      </c>
      <c r="AS996" t="s">
        <v>11</v>
      </c>
      <c r="AT996" t="s">
        <v>11</v>
      </c>
      <c r="AU996" t="s">
        <v>11</v>
      </c>
      <c r="AV996" t="s">
        <v>11</v>
      </c>
      <c r="AW996" t="s">
        <v>11</v>
      </c>
      <c r="AX996" t="s">
        <v>11</v>
      </c>
      <c r="AY996" t="s">
        <v>11</v>
      </c>
      <c r="AZ996" t="s">
        <v>11</v>
      </c>
      <c r="BA996" t="s">
        <v>11</v>
      </c>
      <c r="BB996" t="s">
        <v>11</v>
      </c>
      <c r="BC996" t="s">
        <v>11</v>
      </c>
      <c r="BD996" t="s">
        <v>11</v>
      </c>
      <c r="BE996" t="s">
        <v>11</v>
      </c>
      <c r="BF996" t="s">
        <v>11</v>
      </c>
      <c r="BG996" t="s">
        <v>11</v>
      </c>
      <c r="BH996" t="s">
        <v>6118</v>
      </c>
      <c r="BI996" t="s">
        <v>6115</v>
      </c>
      <c r="BJ996" t="s">
        <v>11</v>
      </c>
    </row>
    <row r="997" spans="1:62" x14ac:dyDescent="0.3">
      <c r="A997" t="s">
        <v>6119</v>
      </c>
      <c r="C997" t="s">
        <v>11</v>
      </c>
      <c r="D997" t="s">
        <v>2317</v>
      </c>
      <c r="E997" t="s">
        <v>6099</v>
      </c>
      <c r="F997">
        <v>999</v>
      </c>
      <c r="G997">
        <v>46.37</v>
      </c>
      <c r="H997">
        <v>28.43</v>
      </c>
      <c r="I997">
        <v>5</v>
      </c>
      <c r="J997">
        <v>15</v>
      </c>
      <c r="L997">
        <v>5.2</v>
      </c>
      <c r="AF997">
        <v>8.1073383999999997</v>
      </c>
      <c r="AI997" t="s">
        <v>0</v>
      </c>
      <c r="AJ997" t="s">
        <v>735</v>
      </c>
      <c r="AK997" t="s">
        <v>11</v>
      </c>
      <c r="AL997" t="s">
        <v>6120</v>
      </c>
      <c r="AM997" t="s">
        <v>5738</v>
      </c>
      <c r="AN997" t="s">
        <v>11</v>
      </c>
      <c r="AO997" t="s">
        <v>11</v>
      </c>
      <c r="AP997" t="s">
        <v>11</v>
      </c>
      <c r="AQ997" t="s">
        <v>1120</v>
      </c>
      <c r="AR997" t="s">
        <v>11</v>
      </c>
      <c r="AS997" t="s">
        <v>11</v>
      </c>
      <c r="AT997" t="s">
        <v>11</v>
      </c>
      <c r="AU997" t="s">
        <v>11</v>
      </c>
      <c r="AV997" t="s">
        <v>11</v>
      </c>
      <c r="AW997" t="s">
        <v>11</v>
      </c>
      <c r="AX997" t="s">
        <v>11</v>
      </c>
      <c r="AY997" t="s">
        <v>11</v>
      </c>
      <c r="AZ997" t="s">
        <v>11</v>
      </c>
      <c r="BA997" t="s">
        <v>11</v>
      </c>
      <c r="BB997" t="s">
        <v>11</v>
      </c>
      <c r="BC997" t="s">
        <v>11</v>
      </c>
      <c r="BD997" t="s">
        <v>11</v>
      </c>
      <c r="BE997" t="s">
        <v>11</v>
      </c>
      <c r="BF997" t="s">
        <v>11</v>
      </c>
      <c r="BG997" t="s">
        <v>11</v>
      </c>
      <c r="BH997" t="s">
        <v>6121</v>
      </c>
      <c r="BI997" t="s">
        <v>6119</v>
      </c>
      <c r="BJ997" t="s">
        <v>11</v>
      </c>
    </row>
    <row r="998" spans="1:62" x14ac:dyDescent="0.3">
      <c r="A998" t="s">
        <v>6122</v>
      </c>
      <c r="C998" t="s">
        <v>11</v>
      </c>
      <c r="D998" t="s">
        <v>2307</v>
      </c>
      <c r="E998" t="s">
        <v>6099</v>
      </c>
      <c r="F998">
        <v>1000</v>
      </c>
      <c r="G998">
        <v>56.339999999999996</v>
      </c>
      <c r="H998">
        <v>18.53</v>
      </c>
      <c r="I998">
        <v>4.8600000000000003</v>
      </c>
      <c r="J998">
        <v>15.09</v>
      </c>
      <c r="L998">
        <v>5.18</v>
      </c>
      <c r="AF998">
        <v>8.1145660000000017</v>
      </c>
      <c r="AI998" t="s">
        <v>0</v>
      </c>
      <c r="AJ998" t="s">
        <v>625</v>
      </c>
      <c r="AK998" t="s">
        <v>11</v>
      </c>
      <c r="AL998" t="s">
        <v>6123</v>
      </c>
      <c r="AM998" t="s">
        <v>5940</v>
      </c>
      <c r="AN998" t="s">
        <v>11</v>
      </c>
      <c r="AO998" t="s">
        <v>11</v>
      </c>
      <c r="AP998" t="s">
        <v>11</v>
      </c>
      <c r="AQ998" t="s">
        <v>1120</v>
      </c>
      <c r="AR998" t="s">
        <v>11</v>
      </c>
      <c r="AS998" t="s">
        <v>11</v>
      </c>
      <c r="AT998" t="s">
        <v>11</v>
      </c>
      <c r="AU998" t="s">
        <v>11</v>
      </c>
      <c r="AV998" t="s">
        <v>11</v>
      </c>
      <c r="AW998" t="s">
        <v>11</v>
      </c>
      <c r="AX998" t="s">
        <v>11</v>
      </c>
      <c r="AY998" t="s">
        <v>11</v>
      </c>
      <c r="AZ998" t="s">
        <v>11</v>
      </c>
      <c r="BA998" t="s">
        <v>11</v>
      </c>
      <c r="BB998" t="s">
        <v>11</v>
      </c>
      <c r="BC998" t="s">
        <v>11</v>
      </c>
      <c r="BD998" t="s">
        <v>11</v>
      </c>
      <c r="BE998" t="s">
        <v>11</v>
      </c>
      <c r="BF998" t="s">
        <v>11</v>
      </c>
      <c r="BG998" t="s">
        <v>11</v>
      </c>
      <c r="BH998" t="s">
        <v>6124</v>
      </c>
      <c r="BI998" t="s">
        <v>6122</v>
      </c>
      <c r="BJ998" t="s">
        <v>11</v>
      </c>
    </row>
    <row r="999" spans="1:62" x14ac:dyDescent="0.3">
      <c r="A999" t="s">
        <v>6125</v>
      </c>
      <c r="C999" t="s">
        <v>11</v>
      </c>
      <c r="D999" t="s">
        <v>6126</v>
      </c>
      <c r="E999" t="s">
        <v>6127</v>
      </c>
      <c r="F999">
        <v>1001</v>
      </c>
      <c r="G999">
        <v>46.150000000000006</v>
      </c>
      <c r="H999">
        <v>29.99</v>
      </c>
      <c r="I999">
        <v>11.74</v>
      </c>
      <c r="K999">
        <v>5.48</v>
      </c>
      <c r="L999">
        <v>4.0599999999999996</v>
      </c>
      <c r="M999">
        <v>2.5</v>
      </c>
      <c r="S999">
        <v>0.08</v>
      </c>
      <c r="AF999">
        <v>8.7519413999999998</v>
      </c>
      <c r="AI999" t="s">
        <v>0</v>
      </c>
      <c r="AJ999" t="s">
        <v>657</v>
      </c>
      <c r="AK999" t="s">
        <v>224</v>
      </c>
      <c r="AL999" t="s">
        <v>5386</v>
      </c>
      <c r="AM999" t="s">
        <v>11</v>
      </c>
      <c r="AN999" t="s">
        <v>87</v>
      </c>
      <c r="AO999" t="s">
        <v>11</v>
      </c>
      <c r="AP999" t="s">
        <v>11</v>
      </c>
      <c r="AQ999" t="s">
        <v>540</v>
      </c>
      <c r="AR999" t="s">
        <v>11</v>
      </c>
      <c r="AS999" t="s">
        <v>11</v>
      </c>
      <c r="AT999" t="s">
        <v>11</v>
      </c>
      <c r="AU999" t="s">
        <v>352</v>
      </c>
      <c r="AV999" t="s">
        <v>11</v>
      </c>
      <c r="AW999" t="s">
        <v>11</v>
      </c>
      <c r="AX999" t="s">
        <v>11</v>
      </c>
      <c r="AY999" t="s">
        <v>11</v>
      </c>
      <c r="AZ999" t="s">
        <v>11</v>
      </c>
      <c r="BA999" t="s">
        <v>11</v>
      </c>
      <c r="BB999" t="s">
        <v>11</v>
      </c>
      <c r="BC999" t="s">
        <v>11</v>
      </c>
      <c r="BD999" t="s">
        <v>11</v>
      </c>
      <c r="BE999" t="s">
        <v>11</v>
      </c>
      <c r="BF999" t="s">
        <v>11</v>
      </c>
      <c r="BG999" t="s">
        <v>11</v>
      </c>
      <c r="BH999" t="s">
        <v>6128</v>
      </c>
      <c r="BI999" t="s">
        <v>6125</v>
      </c>
      <c r="BJ999" t="s">
        <v>11</v>
      </c>
    </row>
    <row r="1000" spans="1:62" x14ac:dyDescent="0.3">
      <c r="A1000" t="s">
        <v>5215</v>
      </c>
      <c r="C1000" t="s">
        <v>11</v>
      </c>
      <c r="D1000" t="s">
        <v>6129</v>
      </c>
      <c r="E1000" t="s">
        <v>6130</v>
      </c>
      <c r="F1000">
        <v>1002</v>
      </c>
      <c r="G1000">
        <v>80</v>
      </c>
      <c r="I1000">
        <v>7</v>
      </c>
      <c r="K1000">
        <v>8</v>
      </c>
      <c r="L1000">
        <v>4</v>
      </c>
      <c r="M1000">
        <v>1</v>
      </c>
      <c r="AF1000">
        <v>9.1957799999999992</v>
      </c>
      <c r="AI1000" t="s">
        <v>0</v>
      </c>
      <c r="AJ1000" t="s">
        <v>1358</v>
      </c>
      <c r="AK1000" t="s">
        <v>5216</v>
      </c>
      <c r="AL1000" t="s">
        <v>11</v>
      </c>
      <c r="AM1000" t="s">
        <v>11</v>
      </c>
      <c r="AN1000" t="s">
        <v>5217</v>
      </c>
      <c r="AO1000" t="s">
        <v>11</v>
      </c>
      <c r="AP1000" t="s">
        <v>11</v>
      </c>
      <c r="AQ1000" t="s">
        <v>5218</v>
      </c>
      <c r="AR1000" t="s">
        <v>11</v>
      </c>
      <c r="AS1000" t="s">
        <v>11</v>
      </c>
      <c r="AT1000" t="s">
        <v>11</v>
      </c>
      <c r="AU1000" t="s">
        <v>11</v>
      </c>
      <c r="AV1000" t="s">
        <v>11</v>
      </c>
      <c r="AW1000" t="s">
        <v>11</v>
      </c>
      <c r="AX1000" t="s">
        <v>11</v>
      </c>
      <c r="AY1000" t="s">
        <v>11</v>
      </c>
      <c r="AZ1000" t="s">
        <v>11</v>
      </c>
      <c r="BA1000" t="s">
        <v>11</v>
      </c>
      <c r="BB1000" t="s">
        <v>11</v>
      </c>
      <c r="BC1000" t="s">
        <v>11</v>
      </c>
      <c r="BD1000" t="s">
        <v>11</v>
      </c>
      <c r="BE1000" t="s">
        <v>11</v>
      </c>
      <c r="BF1000" t="s">
        <v>11</v>
      </c>
      <c r="BG1000" t="s">
        <v>11</v>
      </c>
      <c r="BH1000" t="s">
        <v>6131</v>
      </c>
      <c r="BI1000" t="s">
        <v>5215</v>
      </c>
      <c r="BJ1000" t="s">
        <v>11</v>
      </c>
    </row>
    <row r="1001" spans="1:62" x14ac:dyDescent="0.3">
      <c r="A1001" t="s">
        <v>6132</v>
      </c>
      <c r="C1001" t="s">
        <v>11</v>
      </c>
      <c r="D1001" t="s">
        <v>6133</v>
      </c>
      <c r="E1001" t="s">
        <v>6130</v>
      </c>
      <c r="F1001">
        <v>1003</v>
      </c>
      <c r="G1001">
        <v>45</v>
      </c>
      <c r="H1001">
        <v>30</v>
      </c>
      <c r="I1001">
        <v>11</v>
      </c>
      <c r="J1001">
        <v>5</v>
      </c>
      <c r="K1001">
        <v>4</v>
      </c>
      <c r="L1001">
        <v>4</v>
      </c>
      <c r="M1001">
        <v>1</v>
      </c>
      <c r="AF1001">
        <v>8.4506800000000002</v>
      </c>
      <c r="AI1001" t="s">
        <v>0</v>
      </c>
      <c r="AJ1001" t="s">
        <v>1365</v>
      </c>
      <c r="AK1001" t="s">
        <v>5462</v>
      </c>
      <c r="AL1001" t="s">
        <v>5386</v>
      </c>
      <c r="AM1001" t="s">
        <v>5931</v>
      </c>
      <c r="AN1001" t="s">
        <v>5217</v>
      </c>
      <c r="AO1001" t="s">
        <v>11</v>
      </c>
      <c r="AP1001" t="s">
        <v>11</v>
      </c>
      <c r="AQ1001" t="s">
        <v>5218</v>
      </c>
      <c r="AR1001" t="s">
        <v>11</v>
      </c>
      <c r="AS1001" t="s">
        <v>11</v>
      </c>
      <c r="AT1001" t="s">
        <v>11</v>
      </c>
      <c r="AU1001" t="s">
        <v>11</v>
      </c>
      <c r="AV1001" t="s">
        <v>11</v>
      </c>
      <c r="AW1001" t="s">
        <v>11</v>
      </c>
      <c r="AX1001" t="s">
        <v>11</v>
      </c>
      <c r="AY1001" t="s">
        <v>11</v>
      </c>
      <c r="AZ1001" t="s">
        <v>11</v>
      </c>
      <c r="BA1001" t="s">
        <v>11</v>
      </c>
      <c r="BB1001" t="s">
        <v>11</v>
      </c>
      <c r="BC1001" t="s">
        <v>11</v>
      </c>
      <c r="BD1001" t="s">
        <v>11</v>
      </c>
      <c r="BE1001" t="s">
        <v>11</v>
      </c>
      <c r="BF1001" t="s">
        <v>11</v>
      </c>
      <c r="BG1001" t="s">
        <v>11</v>
      </c>
      <c r="BH1001" t="s">
        <v>6134</v>
      </c>
      <c r="BI1001" t="s">
        <v>6132</v>
      </c>
      <c r="BJ1001" t="s">
        <v>11</v>
      </c>
    </row>
    <row r="1002" spans="1:62" x14ac:dyDescent="0.3">
      <c r="A1002" t="s">
        <v>6135</v>
      </c>
      <c r="C1002" t="s">
        <v>11</v>
      </c>
      <c r="D1002" t="s">
        <v>3899</v>
      </c>
      <c r="E1002" t="s">
        <v>6136</v>
      </c>
      <c r="F1002">
        <v>1004</v>
      </c>
      <c r="G1002">
        <v>59</v>
      </c>
      <c r="H1002">
        <v>30</v>
      </c>
      <c r="I1002">
        <v>7</v>
      </c>
      <c r="L1002">
        <v>2</v>
      </c>
      <c r="N1002">
        <v>2</v>
      </c>
      <c r="AF1002">
        <v>8.3739399999999993</v>
      </c>
      <c r="AI1002" t="s">
        <v>0</v>
      </c>
      <c r="AJ1002" t="s">
        <v>1358</v>
      </c>
      <c r="AK1002" t="s">
        <v>11</v>
      </c>
      <c r="AL1002" t="s">
        <v>5386</v>
      </c>
      <c r="AM1002" t="s">
        <v>11</v>
      </c>
      <c r="AN1002" t="s">
        <v>11</v>
      </c>
      <c r="AO1002" t="s">
        <v>5528</v>
      </c>
      <c r="AP1002" t="s">
        <v>11</v>
      </c>
      <c r="AQ1002" t="s">
        <v>5559</v>
      </c>
      <c r="AR1002" t="s">
        <v>11</v>
      </c>
      <c r="AS1002" t="s">
        <v>11</v>
      </c>
      <c r="AT1002" t="s">
        <v>11</v>
      </c>
      <c r="AU1002" t="s">
        <v>11</v>
      </c>
      <c r="AV1002" t="s">
        <v>11</v>
      </c>
      <c r="AW1002" t="s">
        <v>11</v>
      </c>
      <c r="AX1002" t="s">
        <v>11</v>
      </c>
      <c r="AY1002" t="s">
        <v>11</v>
      </c>
      <c r="AZ1002" t="s">
        <v>11</v>
      </c>
      <c r="BA1002" t="s">
        <v>11</v>
      </c>
      <c r="BB1002" t="s">
        <v>11</v>
      </c>
      <c r="BC1002" t="s">
        <v>11</v>
      </c>
      <c r="BD1002" t="s">
        <v>11</v>
      </c>
      <c r="BE1002" t="s">
        <v>11</v>
      </c>
      <c r="BF1002" t="s">
        <v>11</v>
      </c>
      <c r="BG1002" t="s">
        <v>11</v>
      </c>
      <c r="BH1002" t="s">
        <v>6137</v>
      </c>
      <c r="BI1002" t="s">
        <v>6135</v>
      </c>
      <c r="BJ1002" t="s">
        <v>11</v>
      </c>
    </row>
    <row r="1003" spans="1:62" x14ac:dyDescent="0.3">
      <c r="A1003" t="s">
        <v>6138</v>
      </c>
      <c r="C1003" t="s">
        <v>11</v>
      </c>
      <c r="D1003" t="s">
        <v>3893</v>
      </c>
      <c r="E1003" t="s">
        <v>6139</v>
      </c>
      <c r="F1003">
        <v>1005</v>
      </c>
      <c r="G1003">
        <v>57</v>
      </c>
      <c r="H1003">
        <v>30</v>
      </c>
      <c r="I1003">
        <v>7</v>
      </c>
      <c r="L1003">
        <v>4</v>
      </c>
      <c r="N1003">
        <v>2</v>
      </c>
      <c r="AF1003">
        <v>8.2860800000000001</v>
      </c>
      <c r="AI1003" t="s">
        <v>0</v>
      </c>
      <c r="AJ1003" t="s">
        <v>1358</v>
      </c>
      <c r="AK1003" t="s">
        <v>11</v>
      </c>
      <c r="AL1003" t="s">
        <v>5386</v>
      </c>
      <c r="AM1003" t="s">
        <v>11</v>
      </c>
      <c r="AN1003" t="s">
        <v>11</v>
      </c>
      <c r="AO1003" t="s">
        <v>5528</v>
      </c>
      <c r="AP1003" t="s">
        <v>11</v>
      </c>
      <c r="AQ1003" t="s">
        <v>5218</v>
      </c>
      <c r="AR1003" t="s">
        <v>11</v>
      </c>
      <c r="AS1003" t="s">
        <v>11</v>
      </c>
      <c r="AT1003" t="s">
        <v>11</v>
      </c>
      <c r="AU1003" t="s">
        <v>11</v>
      </c>
      <c r="AV1003" t="s">
        <v>11</v>
      </c>
      <c r="AW1003" t="s">
        <v>11</v>
      </c>
      <c r="AX1003" t="s">
        <v>11</v>
      </c>
      <c r="AY1003" t="s">
        <v>11</v>
      </c>
      <c r="AZ1003" t="s">
        <v>11</v>
      </c>
      <c r="BA1003" t="s">
        <v>11</v>
      </c>
      <c r="BB1003" t="s">
        <v>11</v>
      </c>
      <c r="BC1003" t="s">
        <v>11</v>
      </c>
      <c r="BD1003" t="s">
        <v>11</v>
      </c>
      <c r="BE1003" t="s">
        <v>11</v>
      </c>
      <c r="BF1003" t="s">
        <v>11</v>
      </c>
      <c r="BG1003" t="s">
        <v>11</v>
      </c>
      <c r="BH1003" t="s">
        <v>6140</v>
      </c>
      <c r="BI1003" t="s">
        <v>6138</v>
      </c>
      <c r="BJ1003" t="s">
        <v>11</v>
      </c>
    </row>
    <row r="1004" spans="1:62" x14ac:dyDescent="0.3">
      <c r="A1004" t="s">
        <v>6141</v>
      </c>
      <c r="C1004" t="s">
        <v>11</v>
      </c>
      <c r="D1004" t="s">
        <v>5263</v>
      </c>
      <c r="E1004" t="s">
        <v>6142</v>
      </c>
      <c r="F1004">
        <v>1006</v>
      </c>
      <c r="G1004">
        <v>55</v>
      </c>
      <c r="H1004">
        <v>30</v>
      </c>
      <c r="I1004">
        <v>7</v>
      </c>
      <c r="L1004">
        <v>6</v>
      </c>
      <c r="N1004">
        <v>2</v>
      </c>
      <c r="AF1004">
        <v>8.1982199999999992</v>
      </c>
      <c r="AI1004" t="s">
        <v>0</v>
      </c>
      <c r="AJ1004" t="s">
        <v>1358</v>
      </c>
      <c r="AK1004" t="s">
        <v>11</v>
      </c>
      <c r="AL1004" t="s">
        <v>5386</v>
      </c>
      <c r="AM1004" t="s">
        <v>11</v>
      </c>
      <c r="AN1004" t="s">
        <v>11</v>
      </c>
      <c r="AO1004" t="s">
        <v>5528</v>
      </c>
      <c r="AP1004" t="s">
        <v>11</v>
      </c>
      <c r="AQ1004" t="s">
        <v>6143</v>
      </c>
      <c r="AR1004" t="s">
        <v>11</v>
      </c>
      <c r="AS1004" t="s">
        <v>11</v>
      </c>
      <c r="AT1004" t="s">
        <v>11</v>
      </c>
      <c r="AU1004" t="s">
        <v>11</v>
      </c>
      <c r="AV1004" t="s">
        <v>11</v>
      </c>
      <c r="AW1004" t="s">
        <v>11</v>
      </c>
      <c r="AX1004" t="s">
        <v>11</v>
      </c>
      <c r="AY1004" t="s">
        <v>11</v>
      </c>
      <c r="AZ1004" t="s">
        <v>11</v>
      </c>
      <c r="BA1004" t="s">
        <v>11</v>
      </c>
      <c r="BB1004" t="s">
        <v>11</v>
      </c>
      <c r="BC1004" t="s">
        <v>11</v>
      </c>
      <c r="BD1004" t="s">
        <v>11</v>
      </c>
      <c r="BE1004" t="s">
        <v>11</v>
      </c>
      <c r="BF1004" t="s">
        <v>11</v>
      </c>
      <c r="BG1004" t="s">
        <v>11</v>
      </c>
      <c r="BH1004" t="s">
        <v>6144</v>
      </c>
      <c r="BI1004" t="s">
        <v>6141</v>
      </c>
      <c r="BJ1004" t="s">
        <v>11</v>
      </c>
    </row>
    <row r="1005" spans="1:62" x14ac:dyDescent="0.3">
      <c r="A1005" t="s">
        <v>6145</v>
      </c>
      <c r="C1005" t="s">
        <v>11</v>
      </c>
      <c r="D1005" t="s">
        <v>6146</v>
      </c>
      <c r="E1005" t="s">
        <v>6147</v>
      </c>
      <c r="F1005">
        <v>1007</v>
      </c>
      <c r="G1005">
        <v>50.800000000000004</v>
      </c>
      <c r="H1005">
        <v>30.2</v>
      </c>
      <c r="I1005">
        <v>9.1</v>
      </c>
      <c r="N1005">
        <v>2.2999999999999998</v>
      </c>
      <c r="P1005">
        <v>5.5</v>
      </c>
      <c r="AC1005">
        <v>2.1</v>
      </c>
      <c r="AF1005">
        <v>8.4793960000000013</v>
      </c>
      <c r="AI1005" t="s">
        <v>0</v>
      </c>
      <c r="AJ1005" t="s">
        <v>278</v>
      </c>
      <c r="AK1005" t="s">
        <v>11</v>
      </c>
      <c r="AL1005" t="s">
        <v>2813</v>
      </c>
      <c r="AM1005" t="s">
        <v>11</v>
      </c>
      <c r="AN1005" t="s">
        <v>11</v>
      </c>
      <c r="AO1005" t="s">
        <v>2393</v>
      </c>
      <c r="AP1005" t="s">
        <v>11</v>
      </c>
      <c r="AQ1005" t="s">
        <v>11</v>
      </c>
      <c r="AR1005" t="s">
        <v>5854</v>
      </c>
      <c r="AS1005" t="s">
        <v>11</v>
      </c>
      <c r="AT1005" t="s">
        <v>11</v>
      </c>
      <c r="AU1005" t="s">
        <v>11</v>
      </c>
      <c r="AV1005" t="s">
        <v>11</v>
      </c>
      <c r="AW1005" t="s">
        <v>11</v>
      </c>
      <c r="AX1005" t="s">
        <v>11</v>
      </c>
      <c r="AY1005" t="s">
        <v>11</v>
      </c>
      <c r="AZ1005" t="s">
        <v>11</v>
      </c>
      <c r="BA1005" t="s">
        <v>11</v>
      </c>
      <c r="BB1005" t="s">
        <v>11</v>
      </c>
      <c r="BC1005" t="s">
        <v>11</v>
      </c>
      <c r="BD1005" t="s">
        <v>11</v>
      </c>
      <c r="BE1005" t="s">
        <v>3199</v>
      </c>
      <c r="BF1005" t="s">
        <v>11</v>
      </c>
      <c r="BG1005" t="s">
        <v>11</v>
      </c>
      <c r="BH1005" t="s">
        <v>6148</v>
      </c>
      <c r="BI1005" t="s">
        <v>6145</v>
      </c>
      <c r="BJ1005" t="s">
        <v>11</v>
      </c>
    </row>
    <row r="1006" spans="1:62" x14ac:dyDescent="0.3">
      <c r="A1006" t="s">
        <v>6149</v>
      </c>
      <c r="C1006" t="s">
        <v>11</v>
      </c>
      <c r="D1006" t="s">
        <v>1637</v>
      </c>
      <c r="E1006" t="s">
        <v>6150</v>
      </c>
      <c r="F1006">
        <v>1008</v>
      </c>
      <c r="G1006">
        <v>58.300000000000004</v>
      </c>
      <c r="H1006">
        <v>29.9</v>
      </c>
      <c r="I1006">
        <v>7.3</v>
      </c>
      <c r="J1006">
        <v>2</v>
      </c>
      <c r="L1006">
        <v>2.5</v>
      </c>
      <c r="AF1006">
        <v>8.3057670000000012</v>
      </c>
      <c r="AI1006" t="s">
        <v>0</v>
      </c>
      <c r="AJ1006" t="s">
        <v>547</v>
      </c>
      <c r="AK1006" t="s">
        <v>11</v>
      </c>
      <c r="AL1006" t="s">
        <v>1584</v>
      </c>
      <c r="AM1006" t="s">
        <v>5644</v>
      </c>
      <c r="AN1006" t="s">
        <v>11</v>
      </c>
      <c r="AO1006" t="s">
        <v>11</v>
      </c>
      <c r="AP1006" t="s">
        <v>11</v>
      </c>
      <c r="AQ1006" t="s">
        <v>1217</v>
      </c>
      <c r="AR1006" t="s">
        <v>11</v>
      </c>
      <c r="AS1006" t="s">
        <v>11</v>
      </c>
      <c r="AT1006" t="s">
        <v>11</v>
      </c>
      <c r="AU1006" t="s">
        <v>11</v>
      </c>
      <c r="AV1006" t="s">
        <v>11</v>
      </c>
      <c r="AW1006" t="s">
        <v>11</v>
      </c>
      <c r="AX1006" t="s">
        <v>11</v>
      </c>
      <c r="AY1006" t="s">
        <v>11</v>
      </c>
      <c r="AZ1006" t="s">
        <v>11</v>
      </c>
      <c r="BA1006" t="s">
        <v>11</v>
      </c>
      <c r="BB1006" t="s">
        <v>11</v>
      </c>
      <c r="BC1006" t="s">
        <v>11</v>
      </c>
      <c r="BD1006" t="s">
        <v>11</v>
      </c>
      <c r="BE1006" t="s">
        <v>11</v>
      </c>
      <c r="BF1006" t="s">
        <v>11</v>
      </c>
      <c r="BG1006" t="s">
        <v>11</v>
      </c>
      <c r="BH1006" t="s">
        <v>6151</v>
      </c>
      <c r="BI1006" t="s">
        <v>6149</v>
      </c>
      <c r="BJ1006" t="s">
        <v>11</v>
      </c>
    </row>
    <row r="1007" spans="1:62" x14ac:dyDescent="0.3">
      <c r="A1007" t="s">
        <v>6152</v>
      </c>
      <c r="C1007" t="s">
        <v>11</v>
      </c>
      <c r="D1007" t="s">
        <v>1484</v>
      </c>
      <c r="E1007" t="s">
        <v>6153</v>
      </c>
      <c r="F1007">
        <v>1009</v>
      </c>
      <c r="G1007">
        <v>58.8</v>
      </c>
      <c r="H1007">
        <v>29.2</v>
      </c>
      <c r="I1007">
        <v>7.5</v>
      </c>
      <c r="L1007">
        <v>2.5</v>
      </c>
      <c r="P1007">
        <v>2</v>
      </c>
      <c r="AF1007">
        <v>8.3551110000000008</v>
      </c>
      <c r="AI1007" t="s">
        <v>0</v>
      </c>
      <c r="AJ1007" t="s">
        <v>297</v>
      </c>
      <c r="AK1007" t="s">
        <v>11</v>
      </c>
      <c r="AL1007" t="s">
        <v>1238</v>
      </c>
      <c r="AM1007" t="s">
        <v>11</v>
      </c>
      <c r="AN1007" t="s">
        <v>11</v>
      </c>
      <c r="AO1007" t="s">
        <v>11</v>
      </c>
      <c r="AP1007" t="s">
        <v>11</v>
      </c>
      <c r="AQ1007" t="s">
        <v>1217</v>
      </c>
      <c r="AR1007" t="s">
        <v>5797</v>
      </c>
      <c r="AS1007" t="s">
        <v>11</v>
      </c>
      <c r="AT1007" t="s">
        <v>11</v>
      </c>
      <c r="AU1007" t="s">
        <v>11</v>
      </c>
      <c r="AV1007" t="s">
        <v>11</v>
      </c>
      <c r="AW1007" t="s">
        <v>11</v>
      </c>
      <c r="AX1007" t="s">
        <v>11</v>
      </c>
      <c r="AY1007" t="s">
        <v>11</v>
      </c>
      <c r="AZ1007" t="s">
        <v>11</v>
      </c>
      <c r="BA1007" t="s">
        <v>11</v>
      </c>
      <c r="BB1007" t="s">
        <v>11</v>
      </c>
      <c r="BC1007" t="s">
        <v>11</v>
      </c>
      <c r="BD1007" t="s">
        <v>11</v>
      </c>
      <c r="BE1007" t="s">
        <v>11</v>
      </c>
      <c r="BF1007" t="s">
        <v>11</v>
      </c>
      <c r="BG1007" t="s">
        <v>11</v>
      </c>
      <c r="BH1007" t="s">
        <v>6154</v>
      </c>
      <c r="BI1007" t="s">
        <v>6152</v>
      </c>
      <c r="BJ1007" t="s">
        <v>11</v>
      </c>
    </row>
    <row r="1008" spans="1:62" x14ac:dyDescent="0.3">
      <c r="A1008" t="s">
        <v>6155</v>
      </c>
      <c r="C1008" t="s">
        <v>11</v>
      </c>
      <c r="D1008" t="s">
        <v>6156</v>
      </c>
      <c r="E1008" t="s">
        <v>6157</v>
      </c>
      <c r="F1008">
        <v>1010</v>
      </c>
      <c r="G1008">
        <v>50.7</v>
      </c>
      <c r="H1008">
        <v>30.3</v>
      </c>
      <c r="I1008">
        <v>9.6999999999999993</v>
      </c>
      <c r="L1008">
        <v>1.9</v>
      </c>
      <c r="M1008">
        <v>2.1</v>
      </c>
      <c r="P1008">
        <v>5.3</v>
      </c>
      <c r="AF1008">
        <v>8.4534470000000006</v>
      </c>
      <c r="AI1008" t="s">
        <v>0</v>
      </c>
      <c r="AJ1008" t="s">
        <v>1310</v>
      </c>
      <c r="AK1008" t="s">
        <v>11</v>
      </c>
      <c r="AL1008" t="s">
        <v>5542</v>
      </c>
      <c r="AM1008" t="s">
        <v>11</v>
      </c>
      <c r="AN1008" t="s">
        <v>2355</v>
      </c>
      <c r="AO1008" t="s">
        <v>11</v>
      </c>
      <c r="AP1008" t="s">
        <v>11</v>
      </c>
      <c r="AQ1008" t="s">
        <v>1249</v>
      </c>
      <c r="AR1008" t="s">
        <v>2844</v>
      </c>
      <c r="AS1008" t="s">
        <v>11</v>
      </c>
      <c r="AT1008" t="s">
        <v>11</v>
      </c>
      <c r="AU1008" t="s">
        <v>11</v>
      </c>
      <c r="AV1008" t="s">
        <v>11</v>
      </c>
      <c r="AW1008" t="s">
        <v>11</v>
      </c>
      <c r="AX1008" t="s">
        <v>11</v>
      </c>
      <c r="AY1008" t="s">
        <v>11</v>
      </c>
      <c r="AZ1008" t="s">
        <v>11</v>
      </c>
      <c r="BA1008" t="s">
        <v>11</v>
      </c>
      <c r="BB1008" t="s">
        <v>11</v>
      </c>
      <c r="BC1008" t="s">
        <v>11</v>
      </c>
      <c r="BD1008" t="s">
        <v>11</v>
      </c>
      <c r="BE1008" t="s">
        <v>11</v>
      </c>
      <c r="BF1008" t="s">
        <v>11</v>
      </c>
      <c r="BG1008" t="s">
        <v>11</v>
      </c>
      <c r="BH1008" t="s">
        <v>6158</v>
      </c>
      <c r="BI1008" t="s">
        <v>6155</v>
      </c>
      <c r="BJ1008" t="s">
        <v>11</v>
      </c>
    </row>
    <row r="1009" spans="1:62" x14ac:dyDescent="0.3">
      <c r="A1009" t="s">
        <v>6159</v>
      </c>
      <c r="C1009" t="s">
        <v>11</v>
      </c>
      <c r="D1009" t="s">
        <v>6160</v>
      </c>
      <c r="E1009" t="s">
        <v>6161</v>
      </c>
      <c r="F1009">
        <v>1011</v>
      </c>
      <c r="G1009">
        <v>50.381999999999998</v>
      </c>
      <c r="H1009">
        <v>30.2</v>
      </c>
      <c r="I1009">
        <v>10.1</v>
      </c>
      <c r="L1009">
        <v>2.1</v>
      </c>
      <c r="M1009">
        <v>2.1</v>
      </c>
      <c r="P1009">
        <v>5.0999999999999996</v>
      </c>
      <c r="S1009">
        <v>1.7999999999999999E-2</v>
      </c>
      <c r="AF1009">
        <v>8.4159337999999995</v>
      </c>
      <c r="AI1009" t="s">
        <v>0</v>
      </c>
      <c r="AJ1009" t="s">
        <v>1246</v>
      </c>
      <c r="AK1009" t="s">
        <v>11</v>
      </c>
      <c r="AL1009" t="s">
        <v>2813</v>
      </c>
      <c r="AM1009" t="s">
        <v>11</v>
      </c>
      <c r="AN1009" t="s">
        <v>2355</v>
      </c>
      <c r="AO1009" t="s">
        <v>11</v>
      </c>
      <c r="AP1009" t="s">
        <v>11</v>
      </c>
      <c r="AQ1009" t="s">
        <v>422</v>
      </c>
      <c r="AR1009" t="s">
        <v>2204</v>
      </c>
      <c r="AS1009" t="s">
        <v>11</v>
      </c>
      <c r="AT1009" t="s">
        <v>11</v>
      </c>
      <c r="AU1009" t="s">
        <v>1478</v>
      </c>
      <c r="AV1009" t="s">
        <v>11</v>
      </c>
      <c r="AW1009" t="s">
        <v>11</v>
      </c>
      <c r="AX1009" t="s">
        <v>11</v>
      </c>
      <c r="AY1009" t="s">
        <v>11</v>
      </c>
      <c r="AZ1009" t="s">
        <v>11</v>
      </c>
      <c r="BA1009" t="s">
        <v>11</v>
      </c>
      <c r="BB1009" t="s">
        <v>11</v>
      </c>
      <c r="BC1009" t="s">
        <v>11</v>
      </c>
      <c r="BD1009" t="s">
        <v>11</v>
      </c>
      <c r="BE1009" t="s">
        <v>11</v>
      </c>
      <c r="BF1009" t="s">
        <v>11</v>
      </c>
      <c r="BG1009" t="s">
        <v>11</v>
      </c>
      <c r="BH1009" t="s">
        <v>6162</v>
      </c>
      <c r="BI1009" t="s">
        <v>6159</v>
      </c>
      <c r="BJ1009" t="s">
        <v>11</v>
      </c>
    </row>
    <row r="1010" spans="1:62" x14ac:dyDescent="0.3">
      <c r="A1010" t="s">
        <v>6163</v>
      </c>
      <c r="C1010" t="s">
        <v>11</v>
      </c>
      <c r="D1010" t="s">
        <v>1898</v>
      </c>
      <c r="E1010" t="s">
        <v>6164</v>
      </c>
      <c r="F1010">
        <v>1012</v>
      </c>
      <c r="G1010">
        <v>50.862999999999992</v>
      </c>
      <c r="H1010">
        <v>30.1</v>
      </c>
      <c r="I1010">
        <v>9.1</v>
      </c>
      <c r="L1010">
        <v>2.2000000000000002</v>
      </c>
      <c r="M1010">
        <v>2.5</v>
      </c>
      <c r="P1010">
        <v>5.2</v>
      </c>
      <c r="S1010">
        <v>3.6999999999999998E-2</v>
      </c>
      <c r="AF1010">
        <v>8.5046891999999996</v>
      </c>
      <c r="AI1010" t="s">
        <v>0</v>
      </c>
      <c r="AJ1010" t="s">
        <v>278</v>
      </c>
      <c r="AK1010" t="s">
        <v>11</v>
      </c>
      <c r="AL1010" t="s">
        <v>2819</v>
      </c>
      <c r="AM1010" t="s">
        <v>11</v>
      </c>
      <c r="AN1010" t="s">
        <v>87</v>
      </c>
      <c r="AO1010" t="s">
        <v>11</v>
      </c>
      <c r="AP1010" t="s">
        <v>11</v>
      </c>
      <c r="AQ1010" t="s">
        <v>120</v>
      </c>
      <c r="AR1010" t="s">
        <v>2379</v>
      </c>
      <c r="AS1010" t="s">
        <v>11</v>
      </c>
      <c r="AT1010" t="s">
        <v>11</v>
      </c>
      <c r="AU1010" t="s">
        <v>344</v>
      </c>
      <c r="AV1010" t="s">
        <v>11</v>
      </c>
      <c r="AW1010" t="s">
        <v>11</v>
      </c>
      <c r="AX1010" t="s">
        <v>11</v>
      </c>
      <c r="AY1010" t="s">
        <v>11</v>
      </c>
      <c r="AZ1010" t="s">
        <v>11</v>
      </c>
      <c r="BA1010" t="s">
        <v>11</v>
      </c>
      <c r="BB1010" t="s">
        <v>11</v>
      </c>
      <c r="BC1010" t="s">
        <v>11</v>
      </c>
      <c r="BD1010" t="s">
        <v>11</v>
      </c>
      <c r="BE1010" t="s">
        <v>11</v>
      </c>
      <c r="BF1010" t="s">
        <v>11</v>
      </c>
      <c r="BG1010" t="s">
        <v>11</v>
      </c>
      <c r="BH1010" t="s">
        <v>6165</v>
      </c>
      <c r="BI1010" t="s">
        <v>6163</v>
      </c>
      <c r="BJ1010" t="s">
        <v>11</v>
      </c>
    </row>
    <row r="1011" spans="1:62" x14ac:dyDescent="0.3">
      <c r="A1011" t="s">
        <v>6166</v>
      </c>
      <c r="C1011" t="s">
        <v>11</v>
      </c>
      <c r="D1011" t="s">
        <v>3537</v>
      </c>
      <c r="E1011" t="s">
        <v>6167</v>
      </c>
      <c r="F1011">
        <v>1013</v>
      </c>
      <c r="G1011">
        <v>48.624000000000002</v>
      </c>
      <c r="H1011">
        <v>31.4</v>
      </c>
      <c r="I1011">
        <v>10.199999999999999</v>
      </c>
      <c r="L1011">
        <v>2.1</v>
      </c>
      <c r="M1011">
        <v>2.2000000000000002</v>
      </c>
      <c r="P1011">
        <v>5.4</v>
      </c>
      <c r="S1011">
        <v>7.5999999999999998E-2</v>
      </c>
      <c r="AF1011">
        <v>8.4179846000000005</v>
      </c>
      <c r="AI1011" t="s">
        <v>0</v>
      </c>
      <c r="AJ1011" t="s">
        <v>1964</v>
      </c>
      <c r="AK1011" t="s">
        <v>11</v>
      </c>
      <c r="AL1011" t="s">
        <v>6168</v>
      </c>
      <c r="AM1011" t="s">
        <v>11</v>
      </c>
      <c r="AN1011" t="s">
        <v>367</v>
      </c>
      <c r="AO1011" t="s">
        <v>11</v>
      </c>
      <c r="AP1011" t="s">
        <v>11</v>
      </c>
      <c r="AQ1011" t="s">
        <v>422</v>
      </c>
      <c r="AR1011" t="s">
        <v>6169</v>
      </c>
      <c r="AS1011" t="s">
        <v>11</v>
      </c>
      <c r="AT1011" t="s">
        <v>11</v>
      </c>
      <c r="AU1011" t="s">
        <v>352</v>
      </c>
      <c r="AV1011" t="s">
        <v>11</v>
      </c>
      <c r="AW1011" t="s">
        <v>11</v>
      </c>
      <c r="AX1011" t="s">
        <v>11</v>
      </c>
      <c r="AY1011" t="s">
        <v>11</v>
      </c>
      <c r="AZ1011" t="s">
        <v>11</v>
      </c>
      <c r="BA1011" t="s">
        <v>11</v>
      </c>
      <c r="BB1011" t="s">
        <v>11</v>
      </c>
      <c r="BC1011" t="s">
        <v>11</v>
      </c>
      <c r="BD1011" t="s">
        <v>11</v>
      </c>
      <c r="BE1011" t="s">
        <v>11</v>
      </c>
      <c r="BF1011" t="s">
        <v>11</v>
      </c>
      <c r="BG1011" t="s">
        <v>11</v>
      </c>
      <c r="BH1011" t="s">
        <v>6170</v>
      </c>
      <c r="BI1011" t="s">
        <v>6166</v>
      </c>
      <c r="BJ1011" t="s">
        <v>11</v>
      </c>
    </row>
    <row r="1012" spans="1:62" x14ac:dyDescent="0.3">
      <c r="A1012" t="s">
        <v>6171</v>
      </c>
      <c r="C1012" t="s">
        <v>11</v>
      </c>
      <c r="D1012" t="s">
        <v>6172</v>
      </c>
      <c r="E1012" t="s">
        <v>6173</v>
      </c>
      <c r="F1012">
        <v>1014</v>
      </c>
      <c r="G1012">
        <v>51.823</v>
      </c>
      <c r="H1012">
        <v>29.7</v>
      </c>
      <c r="I1012">
        <v>9.5</v>
      </c>
      <c r="L1012">
        <v>1.8</v>
      </c>
      <c r="M1012">
        <v>1.9</v>
      </c>
      <c r="P1012">
        <v>5.0999999999999996</v>
      </c>
      <c r="S1012">
        <v>0.17699999999999999</v>
      </c>
      <c r="AF1012">
        <v>8.4405331999999991</v>
      </c>
      <c r="AI1012" t="s">
        <v>0</v>
      </c>
      <c r="AJ1012" t="s">
        <v>315</v>
      </c>
      <c r="AK1012" t="s">
        <v>11</v>
      </c>
      <c r="AL1012" t="s">
        <v>1569</v>
      </c>
      <c r="AM1012" t="s">
        <v>11</v>
      </c>
      <c r="AN1012" t="s">
        <v>74</v>
      </c>
      <c r="AO1012" t="s">
        <v>11</v>
      </c>
      <c r="AP1012" t="s">
        <v>11</v>
      </c>
      <c r="AQ1012" t="s">
        <v>1267</v>
      </c>
      <c r="AR1012" t="s">
        <v>2204</v>
      </c>
      <c r="AS1012" t="s">
        <v>11</v>
      </c>
      <c r="AT1012" t="s">
        <v>11</v>
      </c>
      <c r="AU1012" t="s">
        <v>6174</v>
      </c>
      <c r="AV1012" t="s">
        <v>11</v>
      </c>
      <c r="AW1012" t="s">
        <v>11</v>
      </c>
      <c r="AX1012" t="s">
        <v>11</v>
      </c>
      <c r="AY1012" t="s">
        <v>11</v>
      </c>
      <c r="AZ1012" t="s">
        <v>11</v>
      </c>
      <c r="BA1012" t="s">
        <v>11</v>
      </c>
      <c r="BB1012" t="s">
        <v>11</v>
      </c>
      <c r="BC1012" t="s">
        <v>11</v>
      </c>
      <c r="BD1012" t="s">
        <v>11</v>
      </c>
      <c r="BE1012" t="s">
        <v>11</v>
      </c>
      <c r="BF1012" t="s">
        <v>11</v>
      </c>
      <c r="BG1012" t="s">
        <v>11</v>
      </c>
      <c r="BH1012" t="s">
        <v>6175</v>
      </c>
      <c r="BI1012" t="s">
        <v>6171</v>
      </c>
      <c r="BJ1012" t="s">
        <v>11</v>
      </c>
    </row>
    <row r="1013" spans="1:62" x14ac:dyDescent="0.3">
      <c r="A1013" t="s">
        <v>6176</v>
      </c>
      <c r="C1013" t="s">
        <v>11</v>
      </c>
      <c r="D1013" t="s">
        <v>6177</v>
      </c>
      <c r="E1013" t="s">
        <v>6178</v>
      </c>
      <c r="F1013">
        <v>1015</v>
      </c>
      <c r="G1013">
        <v>50.326999999999998</v>
      </c>
      <c r="H1013">
        <v>30.4</v>
      </c>
      <c r="I1013">
        <v>9.8000000000000007</v>
      </c>
      <c r="L1013">
        <v>2.1</v>
      </c>
      <c r="M1013">
        <v>2.1</v>
      </c>
      <c r="P1013">
        <v>4.9000000000000004</v>
      </c>
      <c r="S1013">
        <v>0.373</v>
      </c>
      <c r="AF1013">
        <v>8.408927799999999</v>
      </c>
      <c r="AI1013" t="s">
        <v>0</v>
      </c>
      <c r="AJ1013" t="s">
        <v>1319</v>
      </c>
      <c r="AK1013" t="s">
        <v>11</v>
      </c>
      <c r="AL1013" t="s">
        <v>2582</v>
      </c>
      <c r="AM1013" t="s">
        <v>11</v>
      </c>
      <c r="AN1013" t="s">
        <v>2355</v>
      </c>
      <c r="AO1013" t="s">
        <v>11</v>
      </c>
      <c r="AP1013" t="s">
        <v>11</v>
      </c>
      <c r="AQ1013" t="s">
        <v>422</v>
      </c>
      <c r="AR1013" t="s">
        <v>2820</v>
      </c>
      <c r="AS1013" t="s">
        <v>11</v>
      </c>
      <c r="AT1013" t="s">
        <v>11</v>
      </c>
      <c r="AU1013" t="s">
        <v>6179</v>
      </c>
      <c r="AV1013" t="s">
        <v>11</v>
      </c>
      <c r="AW1013" t="s">
        <v>11</v>
      </c>
      <c r="AX1013" t="s">
        <v>11</v>
      </c>
      <c r="AY1013" t="s">
        <v>11</v>
      </c>
      <c r="AZ1013" t="s">
        <v>11</v>
      </c>
      <c r="BA1013" t="s">
        <v>11</v>
      </c>
      <c r="BB1013" t="s">
        <v>11</v>
      </c>
      <c r="BC1013" t="s">
        <v>11</v>
      </c>
      <c r="BD1013" t="s">
        <v>11</v>
      </c>
      <c r="BE1013" t="s">
        <v>11</v>
      </c>
      <c r="BF1013" t="s">
        <v>11</v>
      </c>
      <c r="BG1013" t="s">
        <v>11</v>
      </c>
      <c r="BH1013" t="s">
        <v>6180</v>
      </c>
      <c r="BI1013" t="s">
        <v>6176</v>
      </c>
      <c r="BJ1013" t="s">
        <v>11</v>
      </c>
    </row>
    <row r="1014" spans="1:62" x14ac:dyDescent="0.3">
      <c r="A1014" t="s">
        <v>6181</v>
      </c>
      <c r="C1014" t="s">
        <v>11</v>
      </c>
      <c r="D1014" t="s">
        <v>6182</v>
      </c>
      <c r="E1014" t="s">
        <v>6183</v>
      </c>
      <c r="F1014">
        <v>1016</v>
      </c>
      <c r="G1014">
        <v>48.018000000000001</v>
      </c>
      <c r="H1014">
        <v>31.2</v>
      </c>
      <c r="I1014">
        <v>10.4</v>
      </c>
      <c r="L1014">
        <v>2.1</v>
      </c>
      <c r="M1014">
        <v>2.2000000000000002</v>
      </c>
      <c r="P1014">
        <v>5.3</v>
      </c>
      <c r="S1014">
        <v>0.78200000000000003</v>
      </c>
      <c r="AF1014">
        <v>8.358722199999999</v>
      </c>
      <c r="AI1014" t="s">
        <v>0</v>
      </c>
      <c r="AJ1014" t="s">
        <v>2827</v>
      </c>
      <c r="AK1014" t="s">
        <v>11</v>
      </c>
      <c r="AL1014" t="s">
        <v>1460</v>
      </c>
      <c r="AM1014" t="s">
        <v>11</v>
      </c>
      <c r="AN1014" t="s">
        <v>367</v>
      </c>
      <c r="AO1014" t="s">
        <v>11</v>
      </c>
      <c r="AP1014" t="s">
        <v>11</v>
      </c>
      <c r="AQ1014" t="s">
        <v>422</v>
      </c>
      <c r="AR1014" t="s">
        <v>2844</v>
      </c>
      <c r="AS1014" t="s">
        <v>11</v>
      </c>
      <c r="AT1014" t="s">
        <v>11</v>
      </c>
      <c r="AU1014" t="s">
        <v>6184</v>
      </c>
      <c r="AV1014" t="s">
        <v>11</v>
      </c>
      <c r="AW1014" t="s">
        <v>11</v>
      </c>
      <c r="AX1014" t="s">
        <v>11</v>
      </c>
      <c r="AY1014" t="s">
        <v>11</v>
      </c>
      <c r="AZ1014" t="s">
        <v>11</v>
      </c>
      <c r="BA1014" t="s">
        <v>11</v>
      </c>
      <c r="BB1014" t="s">
        <v>11</v>
      </c>
      <c r="BC1014" t="s">
        <v>11</v>
      </c>
      <c r="BD1014" t="s">
        <v>11</v>
      </c>
      <c r="BE1014" t="s">
        <v>11</v>
      </c>
      <c r="BF1014" t="s">
        <v>11</v>
      </c>
      <c r="BG1014" t="s">
        <v>11</v>
      </c>
      <c r="BH1014" t="s">
        <v>6185</v>
      </c>
      <c r="BI1014" t="s">
        <v>6181</v>
      </c>
      <c r="BJ1014" t="s">
        <v>11</v>
      </c>
    </row>
    <row r="1015" spans="1:62" x14ac:dyDescent="0.3">
      <c r="A1015" t="s">
        <v>6186</v>
      </c>
      <c r="C1015" t="s">
        <v>11</v>
      </c>
      <c r="D1015" t="s">
        <v>6187</v>
      </c>
      <c r="E1015" t="s">
        <v>6188</v>
      </c>
      <c r="F1015">
        <v>1017</v>
      </c>
      <c r="G1015">
        <v>50.499999999999993</v>
      </c>
      <c r="H1015">
        <v>30.1</v>
      </c>
      <c r="I1015">
        <v>9.1</v>
      </c>
      <c r="L1015">
        <v>2.2000000000000002</v>
      </c>
      <c r="M1015">
        <v>2.5</v>
      </c>
      <c r="P1015">
        <v>5.2</v>
      </c>
      <c r="Q1015">
        <v>0.4</v>
      </c>
      <c r="AF1015">
        <v>8.4805119999999992</v>
      </c>
      <c r="AI1015" t="s">
        <v>0</v>
      </c>
      <c r="AJ1015" t="s">
        <v>278</v>
      </c>
      <c r="AK1015" t="s">
        <v>11</v>
      </c>
      <c r="AL1015" t="s">
        <v>2819</v>
      </c>
      <c r="AM1015" t="s">
        <v>11</v>
      </c>
      <c r="AN1015" t="s">
        <v>87</v>
      </c>
      <c r="AO1015" t="s">
        <v>11</v>
      </c>
      <c r="AP1015" t="s">
        <v>11</v>
      </c>
      <c r="AQ1015" t="s">
        <v>120</v>
      </c>
      <c r="AR1015" t="s">
        <v>2379</v>
      </c>
      <c r="AS1015" t="s">
        <v>5249</v>
      </c>
      <c r="AT1015" t="s">
        <v>11</v>
      </c>
      <c r="AU1015" t="s">
        <v>11</v>
      </c>
      <c r="AV1015" t="s">
        <v>11</v>
      </c>
      <c r="AW1015" t="s">
        <v>11</v>
      </c>
      <c r="AX1015" t="s">
        <v>11</v>
      </c>
      <c r="AY1015" t="s">
        <v>11</v>
      </c>
      <c r="AZ1015" t="s">
        <v>11</v>
      </c>
      <c r="BA1015" t="s">
        <v>11</v>
      </c>
      <c r="BB1015" t="s">
        <v>11</v>
      </c>
      <c r="BC1015" t="s">
        <v>11</v>
      </c>
      <c r="BD1015" t="s">
        <v>11</v>
      </c>
      <c r="BE1015" t="s">
        <v>11</v>
      </c>
      <c r="BF1015" t="s">
        <v>11</v>
      </c>
      <c r="BG1015" t="s">
        <v>11</v>
      </c>
      <c r="BH1015" t="s">
        <v>6189</v>
      </c>
      <c r="BI1015" t="s">
        <v>6186</v>
      </c>
      <c r="BJ1015" t="s">
        <v>11</v>
      </c>
    </row>
    <row r="1016" spans="1:62" x14ac:dyDescent="0.3">
      <c r="A1016" t="s">
        <v>6190</v>
      </c>
      <c r="C1016" t="s">
        <v>11</v>
      </c>
      <c r="D1016" t="s">
        <v>6191</v>
      </c>
      <c r="E1016" t="s">
        <v>6192</v>
      </c>
      <c r="F1016">
        <v>1018</v>
      </c>
      <c r="G1016">
        <v>83.05</v>
      </c>
      <c r="I1016">
        <v>10.1</v>
      </c>
      <c r="N1016">
        <v>2.1</v>
      </c>
      <c r="O1016">
        <v>0.95</v>
      </c>
      <c r="P1016">
        <v>3.8</v>
      </c>
      <c r="AF1016">
        <v>8.2928049999999978</v>
      </c>
      <c r="AI1016" t="s">
        <v>0</v>
      </c>
      <c r="AJ1016" t="s">
        <v>1246</v>
      </c>
      <c r="AK1016" t="s">
        <v>11</v>
      </c>
      <c r="AL1016" t="s">
        <v>11</v>
      </c>
      <c r="AM1016" t="s">
        <v>11</v>
      </c>
      <c r="AN1016" t="s">
        <v>11</v>
      </c>
      <c r="AO1016" t="s">
        <v>2370</v>
      </c>
      <c r="AP1016" t="s">
        <v>6193</v>
      </c>
      <c r="AQ1016" t="s">
        <v>11</v>
      </c>
      <c r="AR1016" t="s">
        <v>1595</v>
      </c>
      <c r="AS1016" t="s">
        <v>11</v>
      </c>
      <c r="AT1016" t="s">
        <v>11</v>
      </c>
      <c r="AU1016" t="s">
        <v>11</v>
      </c>
      <c r="AV1016" t="s">
        <v>11</v>
      </c>
      <c r="AW1016" t="s">
        <v>11</v>
      </c>
      <c r="AX1016" t="s">
        <v>11</v>
      </c>
      <c r="AY1016" t="s">
        <v>11</v>
      </c>
      <c r="AZ1016" t="s">
        <v>11</v>
      </c>
      <c r="BA1016" t="s">
        <v>11</v>
      </c>
      <c r="BB1016" t="s">
        <v>11</v>
      </c>
      <c r="BC1016" t="s">
        <v>11</v>
      </c>
      <c r="BD1016" t="s">
        <v>11</v>
      </c>
      <c r="BE1016" t="s">
        <v>11</v>
      </c>
      <c r="BF1016" t="s">
        <v>11</v>
      </c>
      <c r="BG1016" t="s">
        <v>11</v>
      </c>
      <c r="BH1016" t="s">
        <v>6194</v>
      </c>
      <c r="BI1016" t="s">
        <v>6190</v>
      </c>
      <c r="BJ1016" t="s">
        <v>11</v>
      </c>
    </row>
    <row r="1017" spans="1:62" x14ac:dyDescent="0.3">
      <c r="A1017" t="s">
        <v>6195</v>
      </c>
      <c r="C1017" t="s">
        <v>11</v>
      </c>
      <c r="D1017" t="s">
        <v>6196</v>
      </c>
      <c r="E1017" t="s">
        <v>6197</v>
      </c>
      <c r="F1017">
        <v>1019</v>
      </c>
      <c r="G1017">
        <v>83.8</v>
      </c>
      <c r="I1017">
        <v>9.3000000000000007</v>
      </c>
      <c r="N1017">
        <v>1.9</v>
      </c>
      <c r="O1017">
        <v>2.1</v>
      </c>
      <c r="P1017">
        <v>2.9</v>
      </c>
      <c r="AF1017">
        <v>8.2985600000000019</v>
      </c>
      <c r="AI1017" t="s">
        <v>0</v>
      </c>
      <c r="AJ1017" t="s">
        <v>2192</v>
      </c>
      <c r="AK1017" t="s">
        <v>11</v>
      </c>
      <c r="AL1017" t="s">
        <v>11</v>
      </c>
      <c r="AM1017" t="s">
        <v>11</v>
      </c>
      <c r="AN1017" t="s">
        <v>11</v>
      </c>
      <c r="AO1017" t="s">
        <v>14</v>
      </c>
      <c r="AP1017" t="s">
        <v>130</v>
      </c>
      <c r="AQ1017" t="s">
        <v>11</v>
      </c>
      <c r="AR1017" t="s">
        <v>2566</v>
      </c>
      <c r="AS1017" t="s">
        <v>11</v>
      </c>
      <c r="AT1017" t="s">
        <v>11</v>
      </c>
      <c r="AU1017" t="s">
        <v>11</v>
      </c>
      <c r="AV1017" t="s">
        <v>11</v>
      </c>
      <c r="AW1017" t="s">
        <v>11</v>
      </c>
      <c r="AX1017" t="s">
        <v>11</v>
      </c>
      <c r="AY1017" t="s">
        <v>11</v>
      </c>
      <c r="AZ1017" t="s">
        <v>11</v>
      </c>
      <c r="BA1017" t="s">
        <v>11</v>
      </c>
      <c r="BB1017" t="s">
        <v>11</v>
      </c>
      <c r="BC1017" t="s">
        <v>11</v>
      </c>
      <c r="BD1017" t="s">
        <v>11</v>
      </c>
      <c r="BE1017" t="s">
        <v>11</v>
      </c>
      <c r="BF1017" t="s">
        <v>11</v>
      </c>
      <c r="BG1017" t="s">
        <v>11</v>
      </c>
      <c r="BH1017" t="s">
        <v>6198</v>
      </c>
      <c r="BI1017" t="s">
        <v>6195</v>
      </c>
      <c r="BJ1017" t="s">
        <v>11</v>
      </c>
    </row>
    <row r="1018" spans="1:62" x14ac:dyDescent="0.3">
      <c r="A1018" t="s">
        <v>6199</v>
      </c>
      <c r="C1018" t="s">
        <v>11</v>
      </c>
      <c r="D1018" t="s">
        <v>6200</v>
      </c>
      <c r="E1018" t="s">
        <v>6201</v>
      </c>
      <c r="F1018">
        <v>1020</v>
      </c>
      <c r="G1018">
        <v>83.3</v>
      </c>
      <c r="I1018">
        <v>9.8000000000000007</v>
      </c>
      <c r="N1018">
        <v>2</v>
      </c>
      <c r="O1018">
        <v>2.9</v>
      </c>
      <c r="P1018">
        <v>2</v>
      </c>
      <c r="AF1018">
        <v>8.2324900000000003</v>
      </c>
      <c r="AI1018" t="s">
        <v>0</v>
      </c>
      <c r="AJ1018" t="s">
        <v>1319</v>
      </c>
      <c r="AK1018" t="s">
        <v>11</v>
      </c>
      <c r="AL1018" t="s">
        <v>11</v>
      </c>
      <c r="AM1018" t="s">
        <v>11</v>
      </c>
      <c r="AN1018" t="s">
        <v>11</v>
      </c>
      <c r="AO1018" t="s">
        <v>5528</v>
      </c>
      <c r="AP1018" t="s">
        <v>6202</v>
      </c>
      <c r="AQ1018" t="s">
        <v>11</v>
      </c>
      <c r="AR1018" t="s">
        <v>5797</v>
      </c>
      <c r="AS1018" t="s">
        <v>11</v>
      </c>
      <c r="AT1018" t="s">
        <v>11</v>
      </c>
      <c r="AU1018" t="s">
        <v>11</v>
      </c>
      <c r="AV1018" t="s">
        <v>11</v>
      </c>
      <c r="AW1018" t="s">
        <v>11</v>
      </c>
      <c r="AX1018" t="s">
        <v>11</v>
      </c>
      <c r="AY1018" t="s">
        <v>11</v>
      </c>
      <c r="AZ1018" t="s">
        <v>11</v>
      </c>
      <c r="BA1018" t="s">
        <v>11</v>
      </c>
      <c r="BB1018" t="s">
        <v>11</v>
      </c>
      <c r="BC1018" t="s">
        <v>11</v>
      </c>
      <c r="BD1018" t="s">
        <v>11</v>
      </c>
      <c r="BE1018" t="s">
        <v>11</v>
      </c>
      <c r="BF1018" t="s">
        <v>11</v>
      </c>
      <c r="BG1018" t="s">
        <v>11</v>
      </c>
      <c r="BH1018" t="s">
        <v>6203</v>
      </c>
      <c r="BI1018" t="s">
        <v>6199</v>
      </c>
      <c r="BJ1018" t="s">
        <v>11</v>
      </c>
    </row>
    <row r="1019" spans="1:62" x14ac:dyDescent="0.3">
      <c r="A1019" t="s">
        <v>6204</v>
      </c>
      <c r="C1019" t="s">
        <v>11</v>
      </c>
      <c r="D1019" t="s">
        <v>6205</v>
      </c>
      <c r="E1019" t="s">
        <v>6206</v>
      </c>
      <c r="F1019">
        <v>1021</v>
      </c>
      <c r="G1019">
        <v>83.4</v>
      </c>
      <c r="I1019">
        <v>9.6999999999999993</v>
      </c>
      <c r="N1019">
        <v>1.9</v>
      </c>
      <c r="O1019">
        <v>3.9</v>
      </c>
      <c r="P1019">
        <v>1.1000000000000001</v>
      </c>
      <c r="AF1019">
        <v>8.1987000000000005</v>
      </c>
      <c r="AI1019" t="s">
        <v>0</v>
      </c>
      <c r="AJ1019" t="s">
        <v>1310</v>
      </c>
      <c r="AK1019" t="s">
        <v>11</v>
      </c>
      <c r="AL1019" t="s">
        <v>11</v>
      </c>
      <c r="AM1019" t="s">
        <v>11</v>
      </c>
      <c r="AN1019" t="s">
        <v>11</v>
      </c>
      <c r="AO1019" t="s">
        <v>14</v>
      </c>
      <c r="AP1019" t="s">
        <v>6207</v>
      </c>
      <c r="AQ1019" t="s">
        <v>11</v>
      </c>
      <c r="AR1019" t="s">
        <v>389</v>
      </c>
      <c r="AS1019" t="s">
        <v>11</v>
      </c>
      <c r="AT1019" t="s">
        <v>11</v>
      </c>
      <c r="AU1019" t="s">
        <v>11</v>
      </c>
      <c r="AV1019" t="s">
        <v>11</v>
      </c>
      <c r="AW1019" t="s">
        <v>11</v>
      </c>
      <c r="AX1019" t="s">
        <v>11</v>
      </c>
      <c r="AY1019" t="s">
        <v>11</v>
      </c>
      <c r="AZ1019" t="s">
        <v>11</v>
      </c>
      <c r="BA1019" t="s">
        <v>11</v>
      </c>
      <c r="BB1019" t="s">
        <v>11</v>
      </c>
      <c r="BC1019" t="s">
        <v>11</v>
      </c>
      <c r="BD1019" t="s">
        <v>11</v>
      </c>
      <c r="BE1019" t="s">
        <v>11</v>
      </c>
      <c r="BF1019" t="s">
        <v>11</v>
      </c>
      <c r="BG1019" t="s">
        <v>11</v>
      </c>
      <c r="BH1019" t="s">
        <v>6208</v>
      </c>
      <c r="BI1019" t="s">
        <v>6204</v>
      </c>
      <c r="BJ1019" t="s">
        <v>11</v>
      </c>
    </row>
    <row r="1020" spans="1:62" x14ac:dyDescent="0.3">
      <c r="A1020" t="s">
        <v>6209</v>
      </c>
      <c r="C1020" t="s">
        <v>11</v>
      </c>
      <c r="D1020" t="s">
        <v>6210</v>
      </c>
      <c r="E1020" t="s">
        <v>6211</v>
      </c>
      <c r="F1020">
        <v>1022</v>
      </c>
      <c r="G1020">
        <v>82.9</v>
      </c>
      <c r="I1020">
        <v>9.8000000000000007</v>
      </c>
      <c r="N1020">
        <v>2</v>
      </c>
      <c r="O1020">
        <v>5.3</v>
      </c>
      <c r="AF1020">
        <v>8.1379300000000008</v>
      </c>
      <c r="AI1020" t="s">
        <v>0</v>
      </c>
      <c r="AJ1020" t="s">
        <v>1319</v>
      </c>
      <c r="AK1020" t="s">
        <v>11</v>
      </c>
      <c r="AL1020" t="s">
        <v>11</v>
      </c>
      <c r="AM1020" t="s">
        <v>11</v>
      </c>
      <c r="AN1020" t="s">
        <v>11</v>
      </c>
      <c r="AO1020" t="s">
        <v>5528</v>
      </c>
      <c r="AP1020" t="s">
        <v>6212</v>
      </c>
      <c r="AQ1020" t="s">
        <v>11</v>
      </c>
      <c r="AR1020" t="s">
        <v>11</v>
      </c>
      <c r="AS1020" t="s">
        <v>11</v>
      </c>
      <c r="AT1020" t="s">
        <v>11</v>
      </c>
      <c r="AU1020" t="s">
        <v>11</v>
      </c>
      <c r="AV1020" t="s">
        <v>11</v>
      </c>
      <c r="AW1020" t="s">
        <v>11</v>
      </c>
      <c r="AX1020" t="s">
        <v>11</v>
      </c>
      <c r="AY1020" t="s">
        <v>11</v>
      </c>
      <c r="AZ1020" t="s">
        <v>11</v>
      </c>
      <c r="BA1020" t="s">
        <v>11</v>
      </c>
      <c r="BB1020" t="s">
        <v>11</v>
      </c>
      <c r="BC1020" t="s">
        <v>11</v>
      </c>
      <c r="BD1020" t="s">
        <v>11</v>
      </c>
      <c r="BE1020" t="s">
        <v>11</v>
      </c>
      <c r="BF1020" t="s">
        <v>11</v>
      </c>
      <c r="BG1020" t="s">
        <v>11</v>
      </c>
      <c r="BH1020" t="s">
        <v>6213</v>
      </c>
      <c r="BI1020" t="s">
        <v>6209</v>
      </c>
      <c r="BJ1020" t="s">
        <v>11</v>
      </c>
    </row>
    <row r="1021" spans="1:62" x14ac:dyDescent="0.3">
      <c r="A1021" t="s">
        <v>6214</v>
      </c>
      <c r="C1021" t="s">
        <v>11</v>
      </c>
      <c r="D1021" t="s">
        <v>6215</v>
      </c>
      <c r="E1021" t="s">
        <v>6216</v>
      </c>
      <c r="F1021">
        <v>1023</v>
      </c>
      <c r="G1021">
        <v>52.900000000000006</v>
      </c>
      <c r="H1021">
        <v>30</v>
      </c>
      <c r="I1021">
        <v>9.8000000000000007</v>
      </c>
      <c r="N1021">
        <v>2</v>
      </c>
      <c r="O1021">
        <v>5.3</v>
      </c>
      <c r="AF1021">
        <v>8.1403300000000005</v>
      </c>
      <c r="AI1021" t="s">
        <v>0</v>
      </c>
      <c r="AJ1021" t="s">
        <v>1319</v>
      </c>
      <c r="AK1021" t="s">
        <v>11</v>
      </c>
      <c r="AL1021" t="s">
        <v>5386</v>
      </c>
      <c r="AM1021" t="s">
        <v>11</v>
      </c>
      <c r="AN1021" t="s">
        <v>11</v>
      </c>
      <c r="AO1021" t="s">
        <v>5528</v>
      </c>
      <c r="AP1021" t="s">
        <v>6212</v>
      </c>
      <c r="AQ1021" t="s">
        <v>11</v>
      </c>
      <c r="AR1021" t="s">
        <v>11</v>
      </c>
      <c r="AS1021" t="s">
        <v>11</v>
      </c>
      <c r="AT1021" t="s">
        <v>11</v>
      </c>
      <c r="AU1021" t="s">
        <v>11</v>
      </c>
      <c r="AV1021" t="s">
        <v>11</v>
      </c>
      <c r="AW1021" t="s">
        <v>11</v>
      </c>
      <c r="AX1021" t="s">
        <v>11</v>
      </c>
      <c r="AY1021" t="s">
        <v>11</v>
      </c>
      <c r="AZ1021" t="s">
        <v>11</v>
      </c>
      <c r="BA1021" t="s">
        <v>11</v>
      </c>
      <c r="BB1021" t="s">
        <v>11</v>
      </c>
      <c r="BC1021" t="s">
        <v>11</v>
      </c>
      <c r="BD1021" t="s">
        <v>11</v>
      </c>
      <c r="BE1021" t="s">
        <v>11</v>
      </c>
      <c r="BF1021" t="s">
        <v>11</v>
      </c>
      <c r="BG1021" t="s">
        <v>11</v>
      </c>
      <c r="BH1021" t="s">
        <v>6217</v>
      </c>
      <c r="BI1021" t="s">
        <v>6214</v>
      </c>
      <c r="BJ1021" t="s">
        <v>11</v>
      </c>
    </row>
    <row r="1022" spans="1:62" x14ac:dyDescent="0.3">
      <c r="A1022" t="s">
        <v>6218</v>
      </c>
      <c r="C1022" t="s">
        <v>11</v>
      </c>
      <c r="D1022" t="s">
        <v>6219</v>
      </c>
      <c r="E1022" t="s">
        <v>6220</v>
      </c>
      <c r="F1022">
        <v>1024</v>
      </c>
      <c r="G1022">
        <v>79.599999999999994</v>
      </c>
      <c r="I1022">
        <v>9.8000000000000007</v>
      </c>
      <c r="K1022">
        <v>7.4</v>
      </c>
      <c r="L1022">
        <v>2.7</v>
      </c>
      <c r="Q1022">
        <v>0.4</v>
      </c>
      <c r="S1022">
        <v>0.1</v>
      </c>
      <c r="AF1022">
        <v>8.9066890000000001</v>
      </c>
      <c r="AI1022" t="s">
        <v>0</v>
      </c>
      <c r="AJ1022" t="s">
        <v>1319</v>
      </c>
      <c r="AK1022" t="s">
        <v>584</v>
      </c>
      <c r="AL1022" t="s">
        <v>11</v>
      </c>
      <c r="AM1022" t="s">
        <v>11</v>
      </c>
      <c r="AN1022" t="s">
        <v>11</v>
      </c>
      <c r="AO1022" t="s">
        <v>11</v>
      </c>
      <c r="AP1022" t="s">
        <v>11</v>
      </c>
      <c r="AQ1022" t="s">
        <v>1153</v>
      </c>
      <c r="AR1022" t="s">
        <v>11</v>
      </c>
      <c r="AS1022" t="s">
        <v>5249</v>
      </c>
      <c r="AT1022" t="s">
        <v>11</v>
      </c>
      <c r="AU1022" t="s">
        <v>5250</v>
      </c>
      <c r="AV1022" t="s">
        <v>11</v>
      </c>
      <c r="AW1022" t="s">
        <v>11</v>
      </c>
      <c r="AX1022" t="s">
        <v>11</v>
      </c>
      <c r="AY1022" t="s">
        <v>11</v>
      </c>
      <c r="AZ1022" t="s">
        <v>11</v>
      </c>
      <c r="BA1022" t="s">
        <v>11</v>
      </c>
      <c r="BB1022" t="s">
        <v>11</v>
      </c>
      <c r="BC1022" t="s">
        <v>11</v>
      </c>
      <c r="BD1022" t="s">
        <v>11</v>
      </c>
      <c r="BE1022" t="s">
        <v>11</v>
      </c>
      <c r="BF1022" t="s">
        <v>11</v>
      </c>
      <c r="BG1022" t="s">
        <v>11</v>
      </c>
      <c r="BH1022" t="s">
        <v>6221</v>
      </c>
      <c r="BI1022" t="s">
        <v>6218</v>
      </c>
      <c r="BJ1022" t="s">
        <v>11</v>
      </c>
    </row>
    <row r="1023" spans="1:62" x14ac:dyDescent="0.3">
      <c r="A1023" t="s">
        <v>5411</v>
      </c>
      <c r="C1023" t="s">
        <v>11</v>
      </c>
      <c r="D1023" t="s">
        <v>6222</v>
      </c>
      <c r="E1023" t="s">
        <v>6223</v>
      </c>
      <c r="F1023">
        <v>1025</v>
      </c>
      <c r="G1023">
        <v>88</v>
      </c>
      <c r="L1023">
        <v>12</v>
      </c>
      <c r="AF1023">
        <v>8.3728400000000001</v>
      </c>
      <c r="AI1023" t="s">
        <v>0</v>
      </c>
      <c r="AJ1023" t="s">
        <v>11</v>
      </c>
      <c r="AK1023" t="s">
        <v>11</v>
      </c>
      <c r="AL1023" t="s">
        <v>11</v>
      </c>
      <c r="AM1023" t="s">
        <v>11</v>
      </c>
      <c r="AN1023" t="s">
        <v>11</v>
      </c>
      <c r="AO1023" t="s">
        <v>11</v>
      </c>
      <c r="AP1023" t="s">
        <v>11</v>
      </c>
      <c r="AQ1023" t="s">
        <v>5414</v>
      </c>
      <c r="AR1023" t="s">
        <v>11</v>
      </c>
      <c r="AS1023" t="s">
        <v>11</v>
      </c>
      <c r="AT1023" t="s">
        <v>11</v>
      </c>
      <c r="AU1023" t="s">
        <v>11</v>
      </c>
      <c r="AV1023" t="s">
        <v>11</v>
      </c>
      <c r="AW1023" t="s">
        <v>11</v>
      </c>
      <c r="AX1023" t="s">
        <v>11</v>
      </c>
      <c r="AY1023" t="s">
        <v>11</v>
      </c>
      <c r="AZ1023" t="s">
        <v>11</v>
      </c>
      <c r="BA1023" t="s">
        <v>11</v>
      </c>
      <c r="BB1023" t="s">
        <v>11</v>
      </c>
      <c r="BC1023" t="s">
        <v>11</v>
      </c>
      <c r="BD1023" t="s">
        <v>11</v>
      </c>
      <c r="BE1023" t="s">
        <v>11</v>
      </c>
      <c r="BF1023" t="s">
        <v>11</v>
      </c>
      <c r="BG1023" t="s">
        <v>11</v>
      </c>
      <c r="BH1023" t="s">
        <v>6224</v>
      </c>
      <c r="BI1023" t="s">
        <v>5411</v>
      </c>
      <c r="BJ1023" t="s">
        <v>11</v>
      </c>
    </row>
    <row r="1024" spans="1:62" x14ac:dyDescent="0.3">
      <c r="A1024" t="s">
        <v>6225</v>
      </c>
      <c r="C1024" t="s">
        <v>11</v>
      </c>
      <c r="D1024" t="s">
        <v>6226</v>
      </c>
      <c r="E1024" t="s">
        <v>6223</v>
      </c>
      <c r="F1024">
        <v>1026</v>
      </c>
      <c r="G1024">
        <v>83.61</v>
      </c>
      <c r="L1024">
        <v>10.199999999999999</v>
      </c>
      <c r="O1024">
        <v>6.19</v>
      </c>
      <c r="AF1024">
        <v>8.2792130000000004</v>
      </c>
      <c r="AI1024" t="s">
        <v>0</v>
      </c>
      <c r="AJ1024" t="s">
        <v>11</v>
      </c>
      <c r="AK1024" t="s">
        <v>11</v>
      </c>
      <c r="AL1024" t="s">
        <v>11</v>
      </c>
      <c r="AM1024" t="s">
        <v>11</v>
      </c>
      <c r="AN1024" t="s">
        <v>11</v>
      </c>
      <c r="AO1024" t="s">
        <v>11</v>
      </c>
      <c r="AP1024" t="s">
        <v>6227</v>
      </c>
      <c r="AQ1024" t="s">
        <v>6228</v>
      </c>
      <c r="AR1024" t="s">
        <v>11</v>
      </c>
      <c r="AS1024" t="s">
        <v>11</v>
      </c>
      <c r="AT1024" t="s">
        <v>11</v>
      </c>
      <c r="AU1024" t="s">
        <v>11</v>
      </c>
      <c r="AV1024" t="s">
        <v>11</v>
      </c>
      <c r="AW1024" t="s">
        <v>11</v>
      </c>
      <c r="AX1024" t="s">
        <v>11</v>
      </c>
      <c r="AY1024" t="s">
        <v>11</v>
      </c>
      <c r="AZ1024" t="s">
        <v>11</v>
      </c>
      <c r="BA1024" t="s">
        <v>11</v>
      </c>
      <c r="BB1024" t="s">
        <v>11</v>
      </c>
      <c r="BC1024" t="s">
        <v>11</v>
      </c>
      <c r="BD1024" t="s">
        <v>11</v>
      </c>
      <c r="BE1024" t="s">
        <v>11</v>
      </c>
      <c r="BF1024" t="s">
        <v>11</v>
      </c>
      <c r="BG1024" t="s">
        <v>11</v>
      </c>
      <c r="BH1024" t="s">
        <v>6229</v>
      </c>
      <c r="BI1024" t="s">
        <v>6225</v>
      </c>
      <c r="BJ1024" t="s">
        <v>11</v>
      </c>
    </row>
    <row r="1025" spans="1:62" x14ac:dyDescent="0.3">
      <c r="A1025" t="s">
        <v>6230</v>
      </c>
      <c r="C1025" t="s">
        <v>11</v>
      </c>
      <c r="D1025" t="s">
        <v>6231</v>
      </c>
      <c r="E1025" t="s">
        <v>6223</v>
      </c>
      <c r="F1025">
        <v>1027</v>
      </c>
      <c r="G1025">
        <v>82.31</v>
      </c>
      <c r="L1025">
        <v>6.28</v>
      </c>
      <c r="O1025">
        <v>11.41</v>
      </c>
      <c r="AF1025">
        <v>8.3057806000000003</v>
      </c>
      <c r="AI1025" t="s">
        <v>0</v>
      </c>
      <c r="AJ1025" t="s">
        <v>11</v>
      </c>
      <c r="AK1025" t="s">
        <v>11</v>
      </c>
      <c r="AL1025" t="s">
        <v>11</v>
      </c>
      <c r="AM1025" t="s">
        <v>11</v>
      </c>
      <c r="AN1025" t="s">
        <v>11</v>
      </c>
      <c r="AO1025" t="s">
        <v>11</v>
      </c>
      <c r="AP1025" t="s">
        <v>6232</v>
      </c>
      <c r="AQ1025" t="s">
        <v>6233</v>
      </c>
      <c r="AR1025" t="s">
        <v>11</v>
      </c>
      <c r="AS1025" t="s">
        <v>11</v>
      </c>
      <c r="AT1025" t="s">
        <v>11</v>
      </c>
      <c r="AU1025" t="s">
        <v>11</v>
      </c>
      <c r="AV1025" t="s">
        <v>11</v>
      </c>
      <c r="AW1025" t="s">
        <v>11</v>
      </c>
      <c r="AX1025" t="s">
        <v>11</v>
      </c>
      <c r="AY1025" t="s">
        <v>11</v>
      </c>
      <c r="AZ1025" t="s">
        <v>11</v>
      </c>
      <c r="BA1025" t="s">
        <v>11</v>
      </c>
      <c r="BB1025" t="s">
        <v>11</v>
      </c>
      <c r="BC1025" t="s">
        <v>11</v>
      </c>
      <c r="BD1025" t="s">
        <v>11</v>
      </c>
      <c r="BE1025" t="s">
        <v>11</v>
      </c>
      <c r="BF1025" t="s">
        <v>11</v>
      </c>
      <c r="BG1025" t="s">
        <v>11</v>
      </c>
      <c r="BH1025" t="s">
        <v>6234</v>
      </c>
      <c r="BI1025" t="s">
        <v>6230</v>
      </c>
      <c r="BJ1025" t="s">
        <v>11</v>
      </c>
    </row>
    <row r="1026" spans="1:62" x14ac:dyDescent="0.3">
      <c r="A1026" t="s">
        <v>6235</v>
      </c>
      <c r="C1026" t="s">
        <v>11</v>
      </c>
      <c r="D1026" t="s">
        <v>6236</v>
      </c>
      <c r="E1026" t="s">
        <v>6237</v>
      </c>
      <c r="F1026">
        <v>1028</v>
      </c>
      <c r="G1026">
        <v>0</v>
      </c>
      <c r="H1026">
        <v>75</v>
      </c>
      <c r="I1026">
        <v>9</v>
      </c>
      <c r="J1026">
        <v>8</v>
      </c>
      <c r="K1026">
        <v>8</v>
      </c>
      <c r="AF1026">
        <v>9.0391999999999992</v>
      </c>
      <c r="AI1026" t="s">
        <v>0</v>
      </c>
      <c r="AJ1026" t="s">
        <v>128</v>
      </c>
      <c r="AK1026" t="s">
        <v>5216</v>
      </c>
      <c r="AL1026" t="s">
        <v>6238</v>
      </c>
      <c r="AM1026" t="s">
        <v>5616</v>
      </c>
      <c r="AN1026" t="s">
        <v>11</v>
      </c>
      <c r="AO1026" t="s">
        <v>11</v>
      </c>
      <c r="AP1026" t="s">
        <v>11</v>
      </c>
      <c r="AQ1026" t="s">
        <v>11</v>
      </c>
      <c r="AR1026" t="s">
        <v>11</v>
      </c>
      <c r="AS1026" t="s">
        <v>11</v>
      </c>
      <c r="AT1026" t="s">
        <v>11</v>
      </c>
      <c r="AU1026" t="s">
        <v>11</v>
      </c>
      <c r="AV1026" t="s">
        <v>11</v>
      </c>
      <c r="AW1026" t="s">
        <v>11</v>
      </c>
      <c r="AX1026" t="s">
        <v>11</v>
      </c>
      <c r="AY1026" t="s">
        <v>11</v>
      </c>
      <c r="AZ1026" t="s">
        <v>11</v>
      </c>
      <c r="BA1026" t="s">
        <v>11</v>
      </c>
      <c r="BB1026" t="s">
        <v>11</v>
      </c>
      <c r="BC1026" t="s">
        <v>11</v>
      </c>
      <c r="BD1026" t="s">
        <v>11</v>
      </c>
      <c r="BE1026" t="s">
        <v>11</v>
      </c>
      <c r="BF1026" t="s">
        <v>11</v>
      </c>
      <c r="BG1026" t="s">
        <v>11</v>
      </c>
      <c r="BH1026" t="s">
        <v>6239</v>
      </c>
      <c r="BI1026" t="s">
        <v>6235</v>
      </c>
      <c r="BJ1026" t="s">
        <v>11</v>
      </c>
    </row>
    <row r="1027" spans="1:62" x14ac:dyDescent="0.3">
      <c r="A1027" t="s">
        <v>6240</v>
      </c>
      <c r="C1027" t="s">
        <v>11</v>
      </c>
      <c r="D1027" t="s">
        <v>6241</v>
      </c>
      <c r="E1027" t="s">
        <v>6242</v>
      </c>
      <c r="F1027">
        <v>1029</v>
      </c>
      <c r="G1027">
        <v>18.75</v>
      </c>
      <c r="H1027">
        <v>56.25</v>
      </c>
      <c r="I1027">
        <v>9</v>
      </c>
      <c r="J1027">
        <v>8</v>
      </c>
      <c r="K1027">
        <v>8</v>
      </c>
      <c r="AF1027">
        <v>9.0376999999999992</v>
      </c>
      <c r="AI1027" t="s">
        <v>0</v>
      </c>
      <c r="AJ1027" t="s">
        <v>128</v>
      </c>
      <c r="AK1027" t="s">
        <v>5216</v>
      </c>
      <c r="AL1027" t="s">
        <v>6243</v>
      </c>
      <c r="AM1027" t="s">
        <v>5616</v>
      </c>
      <c r="AN1027" t="s">
        <v>11</v>
      </c>
      <c r="AO1027" t="s">
        <v>11</v>
      </c>
      <c r="AP1027" t="s">
        <v>11</v>
      </c>
      <c r="AQ1027" t="s">
        <v>11</v>
      </c>
      <c r="AR1027" t="s">
        <v>11</v>
      </c>
      <c r="AS1027" t="s">
        <v>11</v>
      </c>
      <c r="AT1027" t="s">
        <v>11</v>
      </c>
      <c r="AU1027" t="s">
        <v>11</v>
      </c>
      <c r="AV1027" t="s">
        <v>11</v>
      </c>
      <c r="AW1027" t="s">
        <v>11</v>
      </c>
      <c r="AX1027" t="s">
        <v>11</v>
      </c>
      <c r="AY1027" t="s">
        <v>11</v>
      </c>
      <c r="AZ1027" t="s">
        <v>11</v>
      </c>
      <c r="BA1027" t="s">
        <v>11</v>
      </c>
      <c r="BB1027" t="s">
        <v>11</v>
      </c>
      <c r="BC1027" t="s">
        <v>11</v>
      </c>
      <c r="BD1027" t="s">
        <v>11</v>
      </c>
      <c r="BE1027" t="s">
        <v>11</v>
      </c>
      <c r="BF1027" t="s">
        <v>11</v>
      </c>
      <c r="BG1027" t="s">
        <v>11</v>
      </c>
      <c r="BH1027" t="s">
        <v>6244</v>
      </c>
      <c r="BI1027" t="s">
        <v>6240</v>
      </c>
      <c r="BJ1027" t="s">
        <v>11</v>
      </c>
    </row>
    <row r="1028" spans="1:62" x14ac:dyDescent="0.3">
      <c r="A1028" t="s">
        <v>6245</v>
      </c>
      <c r="C1028" t="s">
        <v>11</v>
      </c>
      <c r="D1028" t="s">
        <v>4242</v>
      </c>
      <c r="E1028" t="s">
        <v>6246</v>
      </c>
      <c r="F1028">
        <v>1030</v>
      </c>
      <c r="G1028">
        <v>37.5</v>
      </c>
      <c r="H1028">
        <v>37.5</v>
      </c>
      <c r="I1028">
        <v>9</v>
      </c>
      <c r="J1028">
        <v>8</v>
      </c>
      <c r="K1028">
        <v>8</v>
      </c>
      <c r="AF1028">
        <v>9.0361999999999991</v>
      </c>
      <c r="AI1028" t="s">
        <v>0</v>
      </c>
      <c r="AJ1028" t="s">
        <v>128</v>
      </c>
      <c r="AK1028" t="s">
        <v>5216</v>
      </c>
      <c r="AL1028" t="s">
        <v>4244</v>
      </c>
      <c r="AM1028" t="s">
        <v>5616</v>
      </c>
      <c r="AN1028" t="s">
        <v>11</v>
      </c>
      <c r="AO1028" t="s">
        <v>11</v>
      </c>
      <c r="AP1028" t="s">
        <v>11</v>
      </c>
      <c r="AQ1028" t="s">
        <v>11</v>
      </c>
      <c r="AR1028" t="s">
        <v>11</v>
      </c>
      <c r="AS1028" t="s">
        <v>11</v>
      </c>
      <c r="AT1028" t="s">
        <v>11</v>
      </c>
      <c r="AU1028" t="s">
        <v>11</v>
      </c>
      <c r="AV1028" t="s">
        <v>11</v>
      </c>
      <c r="AW1028" t="s">
        <v>11</v>
      </c>
      <c r="AX1028" t="s">
        <v>11</v>
      </c>
      <c r="AY1028" t="s">
        <v>11</v>
      </c>
      <c r="AZ1028" t="s">
        <v>11</v>
      </c>
      <c r="BA1028" t="s">
        <v>11</v>
      </c>
      <c r="BB1028" t="s">
        <v>11</v>
      </c>
      <c r="BC1028" t="s">
        <v>11</v>
      </c>
      <c r="BD1028" t="s">
        <v>11</v>
      </c>
      <c r="BE1028" t="s">
        <v>11</v>
      </c>
      <c r="BF1028" t="s">
        <v>11</v>
      </c>
      <c r="BG1028" t="s">
        <v>11</v>
      </c>
      <c r="BH1028" t="s">
        <v>6247</v>
      </c>
      <c r="BI1028" t="s">
        <v>6245</v>
      </c>
      <c r="BJ1028" t="s">
        <v>11</v>
      </c>
    </row>
    <row r="1029" spans="1:62" x14ac:dyDescent="0.3">
      <c r="A1029" t="s">
        <v>6248</v>
      </c>
      <c r="C1029" t="s">
        <v>11</v>
      </c>
      <c r="D1029" t="s">
        <v>4250</v>
      </c>
      <c r="E1029" t="s">
        <v>6249</v>
      </c>
      <c r="F1029">
        <v>1031</v>
      </c>
      <c r="G1029">
        <v>56.25</v>
      </c>
      <c r="H1029">
        <v>18.75</v>
      </c>
      <c r="I1029">
        <v>9</v>
      </c>
      <c r="J1029">
        <v>8</v>
      </c>
      <c r="K1029">
        <v>8</v>
      </c>
      <c r="AF1029">
        <v>9.0346999999999991</v>
      </c>
      <c r="AI1029" t="s">
        <v>0</v>
      </c>
      <c r="AJ1029" t="s">
        <v>128</v>
      </c>
      <c r="AK1029" t="s">
        <v>5216</v>
      </c>
      <c r="AL1029" t="s">
        <v>4251</v>
      </c>
      <c r="AM1029" t="s">
        <v>5616</v>
      </c>
      <c r="AN1029" t="s">
        <v>11</v>
      </c>
      <c r="AO1029" t="s">
        <v>11</v>
      </c>
      <c r="AP1029" t="s">
        <v>11</v>
      </c>
      <c r="AQ1029" t="s">
        <v>11</v>
      </c>
      <c r="AR1029" t="s">
        <v>11</v>
      </c>
      <c r="AS1029" t="s">
        <v>11</v>
      </c>
      <c r="AT1029" t="s">
        <v>11</v>
      </c>
      <c r="AU1029" t="s">
        <v>11</v>
      </c>
      <c r="AV1029" t="s">
        <v>11</v>
      </c>
      <c r="AW1029" t="s">
        <v>11</v>
      </c>
      <c r="AX1029" t="s">
        <v>11</v>
      </c>
      <c r="AY1029" t="s">
        <v>11</v>
      </c>
      <c r="AZ1029" t="s">
        <v>11</v>
      </c>
      <c r="BA1029" t="s">
        <v>11</v>
      </c>
      <c r="BB1029" t="s">
        <v>11</v>
      </c>
      <c r="BC1029" t="s">
        <v>11</v>
      </c>
      <c r="BD1029" t="s">
        <v>11</v>
      </c>
      <c r="BE1029" t="s">
        <v>11</v>
      </c>
      <c r="BF1029" t="s">
        <v>11</v>
      </c>
      <c r="BG1029" t="s">
        <v>11</v>
      </c>
      <c r="BH1029" t="s">
        <v>6250</v>
      </c>
      <c r="BI1029" t="s">
        <v>6248</v>
      </c>
      <c r="BJ1029" t="s">
        <v>11</v>
      </c>
    </row>
    <row r="1030" spans="1:62" x14ac:dyDescent="0.3">
      <c r="A1030" t="s">
        <v>6251</v>
      </c>
      <c r="C1030" t="s">
        <v>11</v>
      </c>
      <c r="D1030" t="s">
        <v>4256</v>
      </c>
      <c r="E1030" t="s">
        <v>6252</v>
      </c>
      <c r="F1030">
        <v>1032</v>
      </c>
      <c r="G1030">
        <v>75</v>
      </c>
      <c r="I1030">
        <v>9</v>
      </c>
      <c r="J1030">
        <v>8</v>
      </c>
      <c r="K1030">
        <v>8</v>
      </c>
      <c r="AF1030">
        <v>9.033199999999999</v>
      </c>
      <c r="AI1030" t="s">
        <v>0</v>
      </c>
      <c r="AJ1030" t="s">
        <v>128</v>
      </c>
      <c r="AK1030" t="s">
        <v>5216</v>
      </c>
      <c r="AL1030" t="s">
        <v>11</v>
      </c>
      <c r="AM1030" t="s">
        <v>5616</v>
      </c>
      <c r="AN1030" t="s">
        <v>11</v>
      </c>
      <c r="AO1030" t="s">
        <v>11</v>
      </c>
      <c r="AP1030" t="s">
        <v>11</v>
      </c>
      <c r="AQ1030" t="s">
        <v>11</v>
      </c>
      <c r="AR1030" t="s">
        <v>11</v>
      </c>
      <c r="AS1030" t="s">
        <v>11</v>
      </c>
      <c r="AT1030" t="s">
        <v>11</v>
      </c>
      <c r="AU1030" t="s">
        <v>11</v>
      </c>
      <c r="AV1030" t="s">
        <v>11</v>
      </c>
      <c r="AW1030" t="s">
        <v>11</v>
      </c>
      <c r="AX1030" t="s">
        <v>11</v>
      </c>
      <c r="AY1030" t="s">
        <v>11</v>
      </c>
      <c r="AZ1030" t="s">
        <v>11</v>
      </c>
      <c r="BA1030" t="s">
        <v>11</v>
      </c>
      <c r="BB1030" t="s">
        <v>11</v>
      </c>
      <c r="BC1030" t="s">
        <v>11</v>
      </c>
      <c r="BD1030" t="s">
        <v>11</v>
      </c>
      <c r="BE1030" t="s">
        <v>11</v>
      </c>
      <c r="BF1030" t="s">
        <v>11</v>
      </c>
      <c r="BG1030" t="s">
        <v>11</v>
      </c>
      <c r="BH1030" t="s">
        <v>6253</v>
      </c>
      <c r="BI1030" t="s">
        <v>6251</v>
      </c>
      <c r="BJ1030" t="s">
        <v>11</v>
      </c>
    </row>
    <row r="1031" spans="1:62" x14ac:dyDescent="0.3">
      <c r="A1031" t="s">
        <v>6254</v>
      </c>
      <c r="C1031" t="s">
        <v>11</v>
      </c>
      <c r="D1031" t="s">
        <v>1790</v>
      </c>
      <c r="E1031" t="s">
        <v>6255</v>
      </c>
      <c r="F1031">
        <v>1033</v>
      </c>
      <c r="G1031">
        <v>36.11</v>
      </c>
      <c r="H1031">
        <v>34</v>
      </c>
      <c r="I1031">
        <v>10.5</v>
      </c>
      <c r="J1031">
        <v>15</v>
      </c>
      <c r="K1031">
        <v>3</v>
      </c>
      <c r="M1031">
        <v>1</v>
      </c>
      <c r="Q1031">
        <v>0.15</v>
      </c>
      <c r="R1031">
        <v>0.04</v>
      </c>
      <c r="S1031">
        <v>0.2</v>
      </c>
      <c r="AF1031">
        <v>8.3594244</v>
      </c>
      <c r="AI1031" t="s">
        <v>0</v>
      </c>
      <c r="AJ1031" t="s">
        <v>1256</v>
      </c>
      <c r="AK1031" t="s">
        <v>5353</v>
      </c>
      <c r="AL1031" t="s">
        <v>5962</v>
      </c>
      <c r="AM1031" t="s">
        <v>5738</v>
      </c>
      <c r="AN1031" t="s">
        <v>5217</v>
      </c>
      <c r="AO1031" t="s">
        <v>11</v>
      </c>
      <c r="AP1031" t="s">
        <v>11</v>
      </c>
      <c r="AQ1031" t="s">
        <v>11</v>
      </c>
      <c r="AR1031" t="s">
        <v>11</v>
      </c>
      <c r="AS1031" t="s">
        <v>1794</v>
      </c>
      <c r="AT1031" t="s">
        <v>77</v>
      </c>
      <c r="AU1031" t="s">
        <v>6256</v>
      </c>
      <c r="AV1031" t="s">
        <v>11</v>
      </c>
      <c r="AW1031" t="s">
        <v>11</v>
      </c>
      <c r="AX1031" t="s">
        <v>11</v>
      </c>
      <c r="AY1031" t="s">
        <v>11</v>
      </c>
      <c r="AZ1031" t="s">
        <v>11</v>
      </c>
      <c r="BA1031" t="s">
        <v>11</v>
      </c>
      <c r="BB1031" t="s">
        <v>11</v>
      </c>
      <c r="BC1031" t="s">
        <v>11</v>
      </c>
      <c r="BD1031" t="s">
        <v>11</v>
      </c>
      <c r="BE1031" t="s">
        <v>11</v>
      </c>
      <c r="BF1031" t="s">
        <v>11</v>
      </c>
      <c r="BG1031" t="s">
        <v>11</v>
      </c>
      <c r="BH1031" t="s">
        <v>6257</v>
      </c>
      <c r="BI1031" t="s">
        <v>6254</v>
      </c>
      <c r="BJ1031" t="s">
        <v>11</v>
      </c>
    </row>
    <row r="1032" spans="1:62" x14ac:dyDescent="0.3">
      <c r="A1032" t="s">
        <v>6258</v>
      </c>
      <c r="C1032" t="s">
        <v>11</v>
      </c>
      <c r="D1032" t="s">
        <v>6259</v>
      </c>
      <c r="E1032" t="s">
        <v>6260</v>
      </c>
      <c r="F1032">
        <v>1034</v>
      </c>
      <c r="G1032">
        <v>36.199999999999996</v>
      </c>
      <c r="H1032">
        <v>36.1</v>
      </c>
      <c r="I1032">
        <v>13.1</v>
      </c>
      <c r="J1032">
        <v>7.6</v>
      </c>
      <c r="K1032">
        <v>3</v>
      </c>
      <c r="L1032">
        <v>3.9</v>
      </c>
      <c r="P1032">
        <v>0.1</v>
      </c>
      <c r="AF1032">
        <v>8.1012810000000002</v>
      </c>
      <c r="AI1032" t="s">
        <v>0</v>
      </c>
      <c r="AJ1032" t="s">
        <v>3466</v>
      </c>
      <c r="AK1032" t="s">
        <v>5353</v>
      </c>
      <c r="AL1032" t="s">
        <v>1168</v>
      </c>
      <c r="AM1032" t="s">
        <v>6261</v>
      </c>
      <c r="AN1032" t="s">
        <v>11</v>
      </c>
      <c r="AO1032" t="s">
        <v>11</v>
      </c>
      <c r="AP1032" t="s">
        <v>11</v>
      </c>
      <c r="AQ1032" t="s">
        <v>2556</v>
      </c>
      <c r="AR1032" t="s">
        <v>6262</v>
      </c>
      <c r="AS1032" t="s">
        <v>11</v>
      </c>
      <c r="AT1032" t="s">
        <v>11</v>
      </c>
      <c r="AU1032" t="s">
        <v>11</v>
      </c>
      <c r="AV1032" t="s">
        <v>11</v>
      </c>
      <c r="AW1032" t="s">
        <v>11</v>
      </c>
      <c r="AX1032" t="s">
        <v>11</v>
      </c>
      <c r="AY1032" t="s">
        <v>11</v>
      </c>
      <c r="AZ1032" t="s">
        <v>11</v>
      </c>
      <c r="BA1032" t="s">
        <v>11</v>
      </c>
      <c r="BB1032" t="s">
        <v>11</v>
      </c>
      <c r="BC1032" t="s">
        <v>11</v>
      </c>
      <c r="BD1032" t="s">
        <v>11</v>
      </c>
      <c r="BE1032" t="s">
        <v>11</v>
      </c>
      <c r="BF1032" t="s">
        <v>11</v>
      </c>
      <c r="BG1032" t="s">
        <v>11</v>
      </c>
      <c r="BH1032" t="s">
        <v>6263</v>
      </c>
      <c r="BI1032" t="s">
        <v>6258</v>
      </c>
      <c r="BJ1032" t="s">
        <v>11</v>
      </c>
    </row>
    <row r="1033" spans="1:62" x14ac:dyDescent="0.3">
      <c r="A1033" t="s">
        <v>6264</v>
      </c>
      <c r="C1033" t="s">
        <v>11</v>
      </c>
      <c r="D1033" t="s">
        <v>6265</v>
      </c>
      <c r="E1033" t="s">
        <v>6266</v>
      </c>
      <c r="F1033">
        <v>1035</v>
      </c>
      <c r="G1033">
        <v>36.700000000000003</v>
      </c>
      <c r="H1033">
        <v>37.299999999999997</v>
      </c>
      <c r="I1033">
        <v>9.6</v>
      </c>
      <c r="J1033">
        <v>7.6</v>
      </c>
      <c r="K1033">
        <v>2.1</v>
      </c>
      <c r="L1033">
        <v>0.8</v>
      </c>
      <c r="P1033">
        <v>5.9</v>
      </c>
      <c r="AF1033">
        <v>8.4414500000000015</v>
      </c>
      <c r="AI1033" t="s">
        <v>0</v>
      </c>
      <c r="AJ1033" t="s">
        <v>10</v>
      </c>
      <c r="AK1033" t="s">
        <v>2227</v>
      </c>
      <c r="AL1033" t="s">
        <v>6075</v>
      </c>
      <c r="AM1033" t="s">
        <v>6261</v>
      </c>
      <c r="AN1033" t="s">
        <v>11</v>
      </c>
      <c r="AO1033" t="s">
        <v>11</v>
      </c>
      <c r="AP1033" t="s">
        <v>11</v>
      </c>
      <c r="AQ1033" t="s">
        <v>6267</v>
      </c>
      <c r="AR1033" t="s">
        <v>6268</v>
      </c>
      <c r="AS1033" t="s">
        <v>11</v>
      </c>
      <c r="AT1033" t="s">
        <v>11</v>
      </c>
      <c r="AU1033" t="s">
        <v>11</v>
      </c>
      <c r="AV1033" t="s">
        <v>11</v>
      </c>
      <c r="AW1033" t="s">
        <v>11</v>
      </c>
      <c r="AX1033" t="s">
        <v>11</v>
      </c>
      <c r="AY1033" t="s">
        <v>11</v>
      </c>
      <c r="AZ1033" t="s">
        <v>11</v>
      </c>
      <c r="BA1033" t="s">
        <v>11</v>
      </c>
      <c r="BB1033" t="s">
        <v>11</v>
      </c>
      <c r="BC1033" t="s">
        <v>11</v>
      </c>
      <c r="BD1033" t="s">
        <v>11</v>
      </c>
      <c r="BE1033" t="s">
        <v>11</v>
      </c>
      <c r="BF1033" t="s">
        <v>11</v>
      </c>
      <c r="BG1033" t="s">
        <v>11</v>
      </c>
      <c r="BH1033" t="s">
        <v>6269</v>
      </c>
      <c r="BI1033" t="s">
        <v>6264</v>
      </c>
      <c r="BJ1033" t="s">
        <v>11</v>
      </c>
    </row>
    <row r="1034" spans="1:62" x14ac:dyDescent="0.3">
      <c r="A1034" t="s">
        <v>6270</v>
      </c>
      <c r="C1034" t="s">
        <v>11</v>
      </c>
      <c r="D1034" t="s">
        <v>6271</v>
      </c>
      <c r="E1034" t="s">
        <v>6272</v>
      </c>
      <c r="F1034">
        <v>1036</v>
      </c>
      <c r="G1034">
        <v>36.5</v>
      </c>
      <c r="H1034">
        <v>38.299999999999997</v>
      </c>
      <c r="I1034">
        <v>8.1</v>
      </c>
      <c r="J1034">
        <v>7.6</v>
      </c>
      <c r="K1034">
        <v>2.6</v>
      </c>
      <c r="P1034">
        <v>6.9</v>
      </c>
      <c r="AF1034">
        <v>8.6352240000000009</v>
      </c>
      <c r="AI1034" t="s">
        <v>0</v>
      </c>
      <c r="AJ1034" t="s">
        <v>99</v>
      </c>
      <c r="AK1034" t="s">
        <v>4166</v>
      </c>
      <c r="AL1034" t="s">
        <v>6273</v>
      </c>
      <c r="AM1034" t="s">
        <v>6261</v>
      </c>
      <c r="AN1034" t="s">
        <v>11</v>
      </c>
      <c r="AO1034" t="s">
        <v>11</v>
      </c>
      <c r="AP1034" t="s">
        <v>11</v>
      </c>
      <c r="AQ1034" t="s">
        <v>11</v>
      </c>
      <c r="AR1034" t="s">
        <v>6274</v>
      </c>
      <c r="AS1034" t="s">
        <v>11</v>
      </c>
      <c r="AT1034" t="s">
        <v>11</v>
      </c>
      <c r="AU1034" t="s">
        <v>11</v>
      </c>
      <c r="AV1034" t="s">
        <v>11</v>
      </c>
      <c r="AW1034" t="s">
        <v>11</v>
      </c>
      <c r="AX1034" t="s">
        <v>11</v>
      </c>
      <c r="AY1034" t="s">
        <v>11</v>
      </c>
      <c r="AZ1034" t="s">
        <v>11</v>
      </c>
      <c r="BA1034" t="s">
        <v>11</v>
      </c>
      <c r="BB1034" t="s">
        <v>11</v>
      </c>
      <c r="BC1034" t="s">
        <v>11</v>
      </c>
      <c r="BD1034" t="s">
        <v>11</v>
      </c>
      <c r="BE1034" t="s">
        <v>11</v>
      </c>
      <c r="BF1034" t="s">
        <v>11</v>
      </c>
      <c r="BG1034" t="s">
        <v>11</v>
      </c>
      <c r="BH1034" t="s">
        <v>6275</v>
      </c>
      <c r="BI1034" t="s">
        <v>6270</v>
      </c>
      <c r="BJ1034" t="s">
        <v>11</v>
      </c>
    </row>
    <row r="1035" spans="1:62" x14ac:dyDescent="0.3">
      <c r="A1035" t="s">
        <v>6276</v>
      </c>
      <c r="C1035" t="s">
        <v>11</v>
      </c>
      <c r="D1035" t="s">
        <v>6277</v>
      </c>
      <c r="E1035" t="s">
        <v>6278</v>
      </c>
      <c r="F1035">
        <v>1037</v>
      </c>
      <c r="G1035">
        <v>59.000000000000007</v>
      </c>
      <c r="H1035">
        <v>16.8</v>
      </c>
      <c r="I1035">
        <v>9.6999999999999993</v>
      </c>
      <c r="J1035">
        <v>6.3</v>
      </c>
      <c r="K1035">
        <v>5.3</v>
      </c>
      <c r="M1035">
        <v>2.9</v>
      </c>
      <c r="AF1035">
        <v>8.9655140000000024</v>
      </c>
      <c r="AI1035" t="s">
        <v>0</v>
      </c>
      <c r="AJ1035" t="s">
        <v>1310</v>
      </c>
      <c r="AK1035" t="s">
        <v>2113</v>
      </c>
      <c r="AL1035" t="s">
        <v>6279</v>
      </c>
      <c r="AM1035" t="s">
        <v>3604</v>
      </c>
      <c r="AN1035" t="s">
        <v>6280</v>
      </c>
      <c r="AO1035" t="s">
        <v>11</v>
      </c>
      <c r="AP1035" t="s">
        <v>11</v>
      </c>
      <c r="AQ1035" t="s">
        <v>11</v>
      </c>
      <c r="AR1035" t="s">
        <v>11</v>
      </c>
      <c r="AS1035" t="s">
        <v>11</v>
      </c>
      <c r="AT1035" t="s">
        <v>11</v>
      </c>
      <c r="AU1035" t="s">
        <v>11</v>
      </c>
      <c r="AV1035" t="s">
        <v>11</v>
      </c>
      <c r="AW1035" t="s">
        <v>11</v>
      </c>
      <c r="AX1035" t="s">
        <v>11</v>
      </c>
      <c r="AY1035" t="s">
        <v>11</v>
      </c>
      <c r="AZ1035" t="s">
        <v>11</v>
      </c>
      <c r="BA1035" t="s">
        <v>11</v>
      </c>
      <c r="BB1035" t="s">
        <v>11</v>
      </c>
      <c r="BC1035" t="s">
        <v>11</v>
      </c>
      <c r="BD1035" t="s">
        <v>11</v>
      </c>
      <c r="BE1035" t="s">
        <v>11</v>
      </c>
      <c r="BF1035" t="s">
        <v>11</v>
      </c>
      <c r="BG1035" t="s">
        <v>11</v>
      </c>
      <c r="BH1035" t="s">
        <v>6281</v>
      </c>
      <c r="BI1035" t="s">
        <v>6276</v>
      </c>
      <c r="BJ1035" t="s">
        <v>11</v>
      </c>
    </row>
    <row r="1036" spans="1:62" x14ac:dyDescent="0.3">
      <c r="A1036" t="s">
        <v>6282</v>
      </c>
      <c r="C1036" t="s">
        <v>11</v>
      </c>
      <c r="D1036" t="s">
        <v>6283</v>
      </c>
      <c r="E1036" t="s">
        <v>6284</v>
      </c>
      <c r="F1036">
        <v>1038</v>
      </c>
      <c r="G1036">
        <v>24.000000000000014</v>
      </c>
      <c r="H1036">
        <v>51</v>
      </c>
      <c r="I1036">
        <v>6.3</v>
      </c>
      <c r="J1036">
        <v>11.1</v>
      </c>
      <c r="K1036">
        <v>0.6</v>
      </c>
      <c r="L1036">
        <v>5</v>
      </c>
      <c r="N1036">
        <v>0.5</v>
      </c>
      <c r="P1036">
        <v>1.5</v>
      </c>
      <c r="AF1036">
        <v>8.1851699999999994</v>
      </c>
      <c r="AI1036" t="s">
        <v>0</v>
      </c>
      <c r="AJ1036" t="s">
        <v>537</v>
      </c>
      <c r="AK1036" t="s">
        <v>6285</v>
      </c>
      <c r="AL1036" t="s">
        <v>6286</v>
      </c>
      <c r="AM1036" t="s">
        <v>1191</v>
      </c>
      <c r="AN1036" t="s">
        <v>11</v>
      </c>
      <c r="AO1036" t="s">
        <v>5076</v>
      </c>
      <c r="AP1036" t="s">
        <v>11</v>
      </c>
      <c r="AQ1036" t="s">
        <v>6287</v>
      </c>
      <c r="AR1036" t="s">
        <v>215</v>
      </c>
      <c r="AS1036" t="s">
        <v>11</v>
      </c>
      <c r="AT1036" t="s">
        <v>11</v>
      </c>
      <c r="AU1036" t="s">
        <v>11</v>
      </c>
      <c r="AV1036" t="s">
        <v>11</v>
      </c>
      <c r="AW1036" t="s">
        <v>11</v>
      </c>
      <c r="AX1036" t="s">
        <v>11</v>
      </c>
      <c r="AY1036" t="s">
        <v>11</v>
      </c>
      <c r="AZ1036" t="s">
        <v>11</v>
      </c>
      <c r="BA1036" t="s">
        <v>11</v>
      </c>
      <c r="BB1036" t="s">
        <v>11</v>
      </c>
      <c r="BC1036" t="s">
        <v>11</v>
      </c>
      <c r="BD1036" t="s">
        <v>11</v>
      </c>
      <c r="BE1036" t="s">
        <v>11</v>
      </c>
      <c r="BF1036" t="s">
        <v>11</v>
      </c>
      <c r="BG1036" t="s">
        <v>11</v>
      </c>
      <c r="BH1036" t="s">
        <v>6288</v>
      </c>
      <c r="BI1036" t="s">
        <v>6282</v>
      </c>
      <c r="BJ1036" t="s">
        <v>11</v>
      </c>
    </row>
    <row r="1037" spans="1:62" x14ac:dyDescent="0.3">
      <c r="A1037" t="s">
        <v>6289</v>
      </c>
      <c r="C1037" t="s">
        <v>11</v>
      </c>
      <c r="D1037" t="s">
        <v>3489</v>
      </c>
      <c r="E1037" t="s">
        <v>6290</v>
      </c>
      <c r="F1037">
        <v>1039</v>
      </c>
      <c r="G1037">
        <v>81.2</v>
      </c>
      <c r="I1037">
        <v>8.6999999999999993</v>
      </c>
      <c r="K1037">
        <v>10.1</v>
      </c>
      <c r="AF1037">
        <v>9.4059500000000007</v>
      </c>
      <c r="AI1037" t="s">
        <v>0</v>
      </c>
      <c r="AJ1037" t="s">
        <v>223</v>
      </c>
      <c r="AK1037" t="s">
        <v>405</v>
      </c>
      <c r="AL1037" t="s">
        <v>11</v>
      </c>
      <c r="AM1037" t="s">
        <v>11</v>
      </c>
      <c r="AN1037" t="s">
        <v>11</v>
      </c>
      <c r="AO1037" t="s">
        <v>11</v>
      </c>
      <c r="AP1037" t="s">
        <v>11</v>
      </c>
      <c r="AQ1037" t="s">
        <v>11</v>
      </c>
      <c r="AR1037" t="s">
        <v>11</v>
      </c>
      <c r="AS1037" t="s">
        <v>11</v>
      </c>
      <c r="AT1037" t="s">
        <v>11</v>
      </c>
      <c r="AU1037" t="s">
        <v>11</v>
      </c>
      <c r="AV1037" t="s">
        <v>11</v>
      </c>
      <c r="AW1037" t="s">
        <v>11</v>
      </c>
      <c r="AX1037" t="s">
        <v>11</v>
      </c>
      <c r="AY1037" t="s">
        <v>11</v>
      </c>
      <c r="AZ1037" t="s">
        <v>11</v>
      </c>
      <c r="BA1037" t="s">
        <v>11</v>
      </c>
      <c r="BB1037" t="s">
        <v>11</v>
      </c>
      <c r="BC1037" t="s">
        <v>11</v>
      </c>
      <c r="BD1037" t="s">
        <v>11</v>
      </c>
      <c r="BE1037" t="s">
        <v>11</v>
      </c>
      <c r="BF1037" t="s">
        <v>11</v>
      </c>
      <c r="BG1037" t="s">
        <v>11</v>
      </c>
      <c r="BH1037" t="s">
        <v>6291</v>
      </c>
      <c r="BI1037" t="s">
        <v>6289</v>
      </c>
      <c r="BJ1037" t="s">
        <v>11</v>
      </c>
    </row>
    <row r="1038" spans="1:62" x14ac:dyDescent="0.3">
      <c r="A1038" t="s">
        <v>6292</v>
      </c>
      <c r="C1038" t="s">
        <v>11</v>
      </c>
      <c r="D1038" t="s">
        <v>2354</v>
      </c>
      <c r="E1038" t="s">
        <v>6290</v>
      </c>
      <c r="F1038">
        <v>1040</v>
      </c>
      <c r="G1038">
        <v>79.2</v>
      </c>
      <c r="I1038">
        <v>8.6</v>
      </c>
      <c r="K1038">
        <v>10.1</v>
      </c>
      <c r="M1038">
        <v>2.1</v>
      </c>
      <c r="AF1038">
        <v>9.5749000000000013</v>
      </c>
      <c r="AI1038" t="s">
        <v>0</v>
      </c>
      <c r="AJ1038" t="s">
        <v>234</v>
      </c>
      <c r="AK1038" t="s">
        <v>405</v>
      </c>
      <c r="AL1038" t="s">
        <v>11</v>
      </c>
      <c r="AM1038" t="s">
        <v>11</v>
      </c>
      <c r="AN1038" t="s">
        <v>2355</v>
      </c>
      <c r="AO1038" t="s">
        <v>11</v>
      </c>
      <c r="AP1038" t="s">
        <v>11</v>
      </c>
      <c r="AQ1038" t="s">
        <v>11</v>
      </c>
      <c r="AR1038" t="s">
        <v>11</v>
      </c>
      <c r="AS1038" t="s">
        <v>11</v>
      </c>
      <c r="AT1038" t="s">
        <v>11</v>
      </c>
      <c r="AU1038" t="s">
        <v>11</v>
      </c>
      <c r="AV1038" t="s">
        <v>11</v>
      </c>
      <c r="AW1038" t="s">
        <v>11</v>
      </c>
      <c r="AX1038" t="s">
        <v>11</v>
      </c>
      <c r="AY1038" t="s">
        <v>11</v>
      </c>
      <c r="AZ1038" t="s">
        <v>11</v>
      </c>
      <c r="BA1038" t="s">
        <v>11</v>
      </c>
      <c r="BB1038" t="s">
        <v>11</v>
      </c>
      <c r="BC1038" t="s">
        <v>11</v>
      </c>
      <c r="BD1038" t="s">
        <v>11</v>
      </c>
      <c r="BE1038" t="s">
        <v>11</v>
      </c>
      <c r="BF1038" t="s">
        <v>11</v>
      </c>
      <c r="BG1038" t="s">
        <v>11</v>
      </c>
      <c r="BH1038" t="s">
        <v>6293</v>
      </c>
      <c r="BI1038" t="s">
        <v>6292</v>
      </c>
      <c r="BJ1038" t="s">
        <v>11</v>
      </c>
    </row>
    <row r="1039" spans="1:62" x14ac:dyDescent="0.3">
      <c r="A1039" t="s">
        <v>6294</v>
      </c>
      <c r="C1039" t="s">
        <v>11</v>
      </c>
      <c r="D1039" t="s">
        <v>6295</v>
      </c>
      <c r="E1039" t="s">
        <v>6290</v>
      </c>
      <c r="F1039">
        <v>1041</v>
      </c>
      <c r="G1039">
        <v>78.400000000000006</v>
      </c>
      <c r="H1039">
        <v>2.2999999999999998</v>
      </c>
      <c r="I1039">
        <v>8.8000000000000007</v>
      </c>
      <c r="K1039">
        <v>10.5</v>
      </c>
      <c r="AF1039">
        <v>9.4413340000000012</v>
      </c>
      <c r="AI1039" t="s">
        <v>0</v>
      </c>
      <c r="AJ1039" t="s">
        <v>261</v>
      </c>
      <c r="AK1039" t="s">
        <v>6296</v>
      </c>
      <c r="AL1039" t="s">
        <v>6297</v>
      </c>
      <c r="AM1039" t="s">
        <v>11</v>
      </c>
      <c r="AN1039" t="s">
        <v>11</v>
      </c>
      <c r="AO1039" t="s">
        <v>11</v>
      </c>
      <c r="AP1039" t="s">
        <v>11</v>
      </c>
      <c r="AQ1039" t="s">
        <v>11</v>
      </c>
      <c r="AR1039" t="s">
        <v>11</v>
      </c>
      <c r="AS1039" t="s">
        <v>11</v>
      </c>
      <c r="AT1039" t="s">
        <v>11</v>
      </c>
      <c r="AU1039" t="s">
        <v>11</v>
      </c>
      <c r="AV1039" t="s">
        <v>11</v>
      </c>
      <c r="AW1039" t="s">
        <v>11</v>
      </c>
      <c r="AX1039" t="s">
        <v>11</v>
      </c>
      <c r="AY1039" t="s">
        <v>11</v>
      </c>
      <c r="AZ1039" t="s">
        <v>11</v>
      </c>
      <c r="BA1039" t="s">
        <v>11</v>
      </c>
      <c r="BB1039" t="s">
        <v>11</v>
      </c>
      <c r="BC1039" t="s">
        <v>11</v>
      </c>
      <c r="BD1039" t="s">
        <v>11</v>
      </c>
      <c r="BE1039" t="s">
        <v>11</v>
      </c>
      <c r="BF1039" t="s">
        <v>11</v>
      </c>
      <c r="BG1039" t="s">
        <v>11</v>
      </c>
      <c r="BH1039" t="s">
        <v>6298</v>
      </c>
      <c r="BI1039" t="s">
        <v>6294</v>
      </c>
      <c r="BJ1039" t="s">
        <v>11</v>
      </c>
    </row>
    <row r="1040" spans="1:62" x14ac:dyDescent="0.3">
      <c r="A1040" t="s">
        <v>6299</v>
      </c>
      <c r="C1040" t="s">
        <v>11</v>
      </c>
      <c r="D1040" t="s">
        <v>1813</v>
      </c>
      <c r="E1040" t="s">
        <v>6300</v>
      </c>
      <c r="F1040">
        <v>1042</v>
      </c>
      <c r="G1040">
        <v>39.679999999999993</v>
      </c>
      <c r="H1040">
        <v>35.29</v>
      </c>
      <c r="I1040">
        <v>10.61</v>
      </c>
      <c r="J1040">
        <v>5.25</v>
      </c>
      <c r="K1040">
        <v>1.95</v>
      </c>
      <c r="L1040">
        <v>1.02</v>
      </c>
      <c r="M1040">
        <v>3.36</v>
      </c>
      <c r="O1040">
        <v>0.95</v>
      </c>
      <c r="P1040">
        <v>1.89</v>
      </c>
      <c r="AF1040">
        <v>8.5722215999999989</v>
      </c>
      <c r="AI1040" t="s">
        <v>0</v>
      </c>
      <c r="AJ1040" t="s">
        <v>71</v>
      </c>
      <c r="AK1040" t="s">
        <v>5223</v>
      </c>
      <c r="AL1040" t="s">
        <v>4766</v>
      </c>
      <c r="AM1040" t="s">
        <v>5568</v>
      </c>
      <c r="AN1040" t="s">
        <v>6301</v>
      </c>
      <c r="AO1040" t="s">
        <v>11</v>
      </c>
      <c r="AP1040" t="s">
        <v>6193</v>
      </c>
      <c r="AQ1040" t="s">
        <v>5481</v>
      </c>
      <c r="AR1040" t="s">
        <v>6302</v>
      </c>
      <c r="AS1040" t="s">
        <v>11</v>
      </c>
      <c r="AT1040" t="s">
        <v>11</v>
      </c>
      <c r="AU1040" t="s">
        <v>11</v>
      </c>
      <c r="AV1040" t="s">
        <v>11</v>
      </c>
      <c r="AW1040" t="s">
        <v>11</v>
      </c>
      <c r="AX1040" t="s">
        <v>11</v>
      </c>
      <c r="AY1040" t="s">
        <v>11</v>
      </c>
      <c r="AZ1040" t="s">
        <v>11</v>
      </c>
      <c r="BA1040" t="s">
        <v>11</v>
      </c>
      <c r="BB1040" t="s">
        <v>11</v>
      </c>
      <c r="BC1040" t="s">
        <v>11</v>
      </c>
      <c r="BD1040" t="s">
        <v>11</v>
      </c>
      <c r="BE1040" t="s">
        <v>11</v>
      </c>
      <c r="BF1040" t="s">
        <v>11</v>
      </c>
      <c r="BG1040" t="s">
        <v>11</v>
      </c>
      <c r="BH1040" t="s">
        <v>6303</v>
      </c>
      <c r="BI1040" t="s">
        <v>6299</v>
      </c>
      <c r="BJ1040" t="s">
        <v>11</v>
      </c>
    </row>
    <row r="1041" spans="1:62" x14ac:dyDescent="0.3">
      <c r="A1041" t="s">
        <v>6304</v>
      </c>
      <c r="C1041" t="s">
        <v>11</v>
      </c>
      <c r="D1041" t="s">
        <v>4539</v>
      </c>
      <c r="E1041" t="s">
        <v>6305</v>
      </c>
      <c r="F1041">
        <v>1043</v>
      </c>
      <c r="G1041">
        <v>39.383000000000003</v>
      </c>
      <c r="H1041">
        <v>35.950000000000003</v>
      </c>
      <c r="I1041">
        <v>10.130000000000001</v>
      </c>
      <c r="J1041">
        <v>5.17</v>
      </c>
      <c r="K1041">
        <v>2.0099999999999998</v>
      </c>
      <c r="L1041">
        <v>0.98</v>
      </c>
      <c r="M1041">
        <v>3.48</v>
      </c>
      <c r="O1041">
        <v>0.93</v>
      </c>
      <c r="P1041">
        <v>1.92</v>
      </c>
      <c r="S1041">
        <v>4.7E-2</v>
      </c>
      <c r="AF1041">
        <v>8.6186148000000014</v>
      </c>
      <c r="AI1041" t="s">
        <v>0</v>
      </c>
      <c r="AJ1041" t="s">
        <v>1246</v>
      </c>
      <c r="AK1041" t="s">
        <v>5223</v>
      </c>
      <c r="AL1041" t="s">
        <v>6071</v>
      </c>
      <c r="AM1041" t="s">
        <v>5548</v>
      </c>
      <c r="AN1041" t="s">
        <v>492</v>
      </c>
      <c r="AO1041" t="s">
        <v>11</v>
      </c>
      <c r="AP1041" t="s">
        <v>6306</v>
      </c>
      <c r="AQ1041" t="s">
        <v>5481</v>
      </c>
      <c r="AR1041" t="s">
        <v>6302</v>
      </c>
      <c r="AS1041" t="s">
        <v>11</v>
      </c>
      <c r="AT1041" t="s">
        <v>11</v>
      </c>
      <c r="AU1041" t="s">
        <v>4987</v>
      </c>
      <c r="AV1041" t="s">
        <v>11</v>
      </c>
      <c r="AW1041" t="s">
        <v>11</v>
      </c>
      <c r="AX1041" t="s">
        <v>11</v>
      </c>
      <c r="AY1041" t="s">
        <v>11</v>
      </c>
      <c r="AZ1041" t="s">
        <v>11</v>
      </c>
      <c r="BA1041" t="s">
        <v>11</v>
      </c>
      <c r="BB1041" t="s">
        <v>11</v>
      </c>
      <c r="BC1041" t="s">
        <v>11</v>
      </c>
      <c r="BD1041" t="s">
        <v>11</v>
      </c>
      <c r="BE1041" t="s">
        <v>11</v>
      </c>
      <c r="BF1041" t="s">
        <v>11</v>
      </c>
      <c r="BG1041" t="s">
        <v>11</v>
      </c>
      <c r="BH1041" t="s">
        <v>6307</v>
      </c>
      <c r="BI1041" t="s">
        <v>6304</v>
      </c>
      <c r="BJ1041" t="s">
        <v>11</v>
      </c>
    </row>
    <row r="1042" spans="1:62" x14ac:dyDescent="0.3">
      <c r="A1042" t="s">
        <v>6308</v>
      </c>
      <c r="C1042" t="s">
        <v>11</v>
      </c>
      <c r="D1042" t="s">
        <v>4547</v>
      </c>
      <c r="E1042" t="s">
        <v>6309</v>
      </c>
      <c r="F1042">
        <v>1044</v>
      </c>
      <c r="G1042">
        <v>39.448</v>
      </c>
      <c r="H1042">
        <v>35.93</v>
      </c>
      <c r="I1042">
        <v>10.119999999999999</v>
      </c>
      <c r="J1042">
        <v>5.2</v>
      </c>
      <c r="K1042">
        <v>1.94</v>
      </c>
      <c r="L1042">
        <v>1.05</v>
      </c>
      <c r="M1042">
        <v>3.42</v>
      </c>
      <c r="O1042">
        <v>0.92</v>
      </c>
      <c r="P1042">
        <v>1.89</v>
      </c>
      <c r="S1042">
        <v>8.2000000000000003E-2</v>
      </c>
      <c r="AF1042">
        <v>8.6013611000000019</v>
      </c>
      <c r="AI1042" t="s">
        <v>0</v>
      </c>
      <c r="AJ1042" t="s">
        <v>1246</v>
      </c>
      <c r="AK1042" t="s">
        <v>1843</v>
      </c>
      <c r="AL1042" t="s">
        <v>6310</v>
      </c>
      <c r="AM1042" t="s">
        <v>5548</v>
      </c>
      <c r="AN1042" t="s">
        <v>6301</v>
      </c>
      <c r="AO1042" t="s">
        <v>11</v>
      </c>
      <c r="AP1042" t="s">
        <v>6306</v>
      </c>
      <c r="AQ1042" t="s">
        <v>6311</v>
      </c>
      <c r="AR1042" t="s">
        <v>6302</v>
      </c>
      <c r="AS1042" t="s">
        <v>11</v>
      </c>
      <c r="AT1042" t="s">
        <v>11</v>
      </c>
      <c r="AU1042" t="s">
        <v>352</v>
      </c>
      <c r="AV1042" t="s">
        <v>11</v>
      </c>
      <c r="AW1042" t="s">
        <v>11</v>
      </c>
      <c r="AX1042" t="s">
        <v>11</v>
      </c>
      <c r="AY1042" t="s">
        <v>11</v>
      </c>
      <c r="AZ1042" t="s">
        <v>11</v>
      </c>
      <c r="BA1042" t="s">
        <v>11</v>
      </c>
      <c r="BB1042" t="s">
        <v>11</v>
      </c>
      <c r="BC1042" t="s">
        <v>11</v>
      </c>
      <c r="BD1042" t="s">
        <v>11</v>
      </c>
      <c r="BE1042" t="s">
        <v>11</v>
      </c>
      <c r="BF1042" t="s">
        <v>11</v>
      </c>
      <c r="BG1042" t="s">
        <v>11</v>
      </c>
      <c r="BH1042" t="s">
        <v>6312</v>
      </c>
      <c r="BI1042" t="s">
        <v>6308</v>
      </c>
      <c r="BJ1042" t="s">
        <v>11</v>
      </c>
    </row>
    <row r="1043" spans="1:62" x14ac:dyDescent="0.3">
      <c r="A1043" t="s">
        <v>6313</v>
      </c>
      <c r="C1043" t="s">
        <v>11</v>
      </c>
      <c r="D1043" t="s">
        <v>4555</v>
      </c>
      <c r="E1043" t="s">
        <v>6314</v>
      </c>
      <c r="F1043">
        <v>1045</v>
      </c>
      <c r="G1043">
        <v>39.620000000000012</v>
      </c>
      <c r="H1043">
        <v>35</v>
      </c>
      <c r="I1043">
        <v>10.5</v>
      </c>
      <c r="J1043">
        <v>5.26</v>
      </c>
      <c r="K1043">
        <v>1.91</v>
      </c>
      <c r="L1043">
        <v>1</v>
      </c>
      <c r="M1043">
        <v>3.59</v>
      </c>
      <c r="O1043">
        <v>0.94</v>
      </c>
      <c r="P1043">
        <v>1.91</v>
      </c>
      <c r="S1043">
        <v>0.27</v>
      </c>
      <c r="AF1043">
        <v>8.5765780000000014</v>
      </c>
      <c r="AI1043" t="s">
        <v>0</v>
      </c>
      <c r="AJ1043" t="s">
        <v>1256</v>
      </c>
      <c r="AK1043" t="s">
        <v>1843</v>
      </c>
      <c r="AL1043" t="s">
        <v>5737</v>
      </c>
      <c r="AM1043" t="s">
        <v>5568</v>
      </c>
      <c r="AN1043" t="s">
        <v>6004</v>
      </c>
      <c r="AO1043" t="s">
        <v>11</v>
      </c>
      <c r="AP1043" t="s">
        <v>6306</v>
      </c>
      <c r="AQ1043" t="s">
        <v>5481</v>
      </c>
      <c r="AR1043" t="s">
        <v>6302</v>
      </c>
      <c r="AS1043" t="s">
        <v>11</v>
      </c>
      <c r="AT1043" t="s">
        <v>11</v>
      </c>
      <c r="AU1043" t="s">
        <v>6315</v>
      </c>
      <c r="AV1043" t="s">
        <v>11</v>
      </c>
      <c r="AW1043" t="s">
        <v>11</v>
      </c>
      <c r="AX1043" t="s">
        <v>11</v>
      </c>
      <c r="AY1043" t="s">
        <v>11</v>
      </c>
      <c r="AZ1043" t="s">
        <v>11</v>
      </c>
      <c r="BA1043" t="s">
        <v>11</v>
      </c>
      <c r="BB1043" t="s">
        <v>11</v>
      </c>
      <c r="BC1043" t="s">
        <v>11</v>
      </c>
      <c r="BD1043" t="s">
        <v>11</v>
      </c>
      <c r="BE1043" t="s">
        <v>11</v>
      </c>
      <c r="BF1043" t="s">
        <v>11</v>
      </c>
      <c r="BG1043" t="s">
        <v>11</v>
      </c>
      <c r="BH1043" t="s">
        <v>6316</v>
      </c>
      <c r="BI1043" t="s">
        <v>6313</v>
      </c>
      <c r="BJ1043" t="s">
        <v>11</v>
      </c>
    </row>
    <row r="1044" spans="1:62" x14ac:dyDescent="0.3">
      <c r="A1044" t="s">
        <v>6317</v>
      </c>
      <c r="C1044" t="s">
        <v>11</v>
      </c>
      <c r="D1044" t="s">
        <v>4563</v>
      </c>
      <c r="E1044" t="s">
        <v>6318</v>
      </c>
      <c r="F1044">
        <v>1046</v>
      </c>
      <c r="G1044">
        <v>38.930000000000007</v>
      </c>
      <c r="H1044">
        <v>35.6</v>
      </c>
      <c r="I1044">
        <v>10.199999999999999</v>
      </c>
      <c r="J1044">
        <v>5.39</v>
      </c>
      <c r="K1044">
        <v>2</v>
      </c>
      <c r="L1044">
        <v>0.9</v>
      </c>
      <c r="M1044">
        <v>3.54</v>
      </c>
      <c r="O1044">
        <v>0.96</v>
      </c>
      <c r="P1044">
        <v>1.94</v>
      </c>
      <c r="S1044">
        <v>0.54</v>
      </c>
      <c r="AF1044">
        <v>8.5853040000000007</v>
      </c>
      <c r="AI1044" t="s">
        <v>0</v>
      </c>
      <c r="AJ1044" t="s">
        <v>1964</v>
      </c>
      <c r="AK1044" t="s">
        <v>5223</v>
      </c>
      <c r="AL1044" t="s">
        <v>6046</v>
      </c>
      <c r="AM1044" t="s">
        <v>6319</v>
      </c>
      <c r="AN1044" t="s">
        <v>492</v>
      </c>
      <c r="AO1044" t="s">
        <v>11</v>
      </c>
      <c r="AP1044" t="s">
        <v>6193</v>
      </c>
      <c r="AQ1044" t="s">
        <v>6320</v>
      </c>
      <c r="AR1044" t="s">
        <v>6302</v>
      </c>
      <c r="AS1044" t="s">
        <v>11</v>
      </c>
      <c r="AT1044" t="s">
        <v>11</v>
      </c>
      <c r="AU1044" t="s">
        <v>6321</v>
      </c>
      <c r="AV1044" t="s">
        <v>11</v>
      </c>
      <c r="AW1044" t="s">
        <v>11</v>
      </c>
      <c r="AX1044" t="s">
        <v>11</v>
      </c>
      <c r="AY1044" t="s">
        <v>11</v>
      </c>
      <c r="AZ1044" t="s">
        <v>11</v>
      </c>
      <c r="BA1044" t="s">
        <v>11</v>
      </c>
      <c r="BB1044" t="s">
        <v>11</v>
      </c>
      <c r="BC1044" t="s">
        <v>11</v>
      </c>
      <c r="BD1044" t="s">
        <v>11</v>
      </c>
      <c r="BE1044" t="s">
        <v>11</v>
      </c>
      <c r="BF1044" t="s">
        <v>11</v>
      </c>
      <c r="BG1044" t="s">
        <v>11</v>
      </c>
      <c r="BH1044" t="s">
        <v>6322</v>
      </c>
      <c r="BI1044" t="s">
        <v>6317</v>
      </c>
      <c r="BJ1044" t="s">
        <v>11</v>
      </c>
    </row>
    <row r="1045" spans="1:62" x14ac:dyDescent="0.3">
      <c r="A1045" t="s">
        <v>6323</v>
      </c>
      <c r="C1045" t="s">
        <v>11</v>
      </c>
      <c r="D1045" t="s">
        <v>6324</v>
      </c>
      <c r="E1045" t="s">
        <v>6325</v>
      </c>
      <c r="F1045">
        <v>1047</v>
      </c>
      <c r="G1045">
        <v>38.935000000000002</v>
      </c>
      <c r="H1045">
        <v>36.99</v>
      </c>
      <c r="I1045">
        <v>10.220000000000001</v>
      </c>
      <c r="J1045">
        <v>4.87</v>
      </c>
      <c r="K1045">
        <v>1.84</v>
      </c>
      <c r="L1045">
        <v>0.98</v>
      </c>
      <c r="M1045">
        <v>3.4</v>
      </c>
      <c r="O1045">
        <v>0.92</v>
      </c>
      <c r="P1045">
        <v>1.8</v>
      </c>
      <c r="R1045">
        <v>4.4999999999999998E-2</v>
      </c>
      <c r="AF1045">
        <v>8.5950277500000016</v>
      </c>
      <c r="AI1045" t="s">
        <v>0</v>
      </c>
      <c r="AJ1045" t="s">
        <v>1964</v>
      </c>
      <c r="AK1045" t="s">
        <v>2563</v>
      </c>
      <c r="AL1045" t="s">
        <v>6326</v>
      </c>
      <c r="AM1045" t="s">
        <v>2799</v>
      </c>
      <c r="AN1045" t="s">
        <v>6301</v>
      </c>
      <c r="AO1045" t="s">
        <v>11</v>
      </c>
      <c r="AP1045" t="s">
        <v>6306</v>
      </c>
      <c r="AQ1045" t="s">
        <v>5481</v>
      </c>
      <c r="AR1045" t="s">
        <v>206</v>
      </c>
      <c r="AS1045" t="s">
        <v>11</v>
      </c>
      <c r="AT1045" t="s">
        <v>89</v>
      </c>
      <c r="AU1045" t="s">
        <v>11</v>
      </c>
      <c r="AV1045" t="s">
        <v>11</v>
      </c>
      <c r="AW1045" t="s">
        <v>11</v>
      </c>
      <c r="AX1045" t="s">
        <v>11</v>
      </c>
      <c r="AY1045" t="s">
        <v>11</v>
      </c>
      <c r="AZ1045" t="s">
        <v>11</v>
      </c>
      <c r="BA1045" t="s">
        <v>11</v>
      </c>
      <c r="BB1045" t="s">
        <v>11</v>
      </c>
      <c r="BC1045" t="s">
        <v>11</v>
      </c>
      <c r="BD1045" t="s">
        <v>11</v>
      </c>
      <c r="BE1045" t="s">
        <v>11</v>
      </c>
      <c r="BF1045" t="s">
        <v>11</v>
      </c>
      <c r="BG1045" t="s">
        <v>11</v>
      </c>
      <c r="BH1045" t="s">
        <v>6327</v>
      </c>
      <c r="BI1045" t="s">
        <v>6323</v>
      </c>
      <c r="BJ1045" t="s">
        <v>11</v>
      </c>
    </row>
    <row r="1046" spans="1:62" x14ac:dyDescent="0.3">
      <c r="A1046" t="s">
        <v>6328</v>
      </c>
      <c r="C1046" t="s">
        <v>11</v>
      </c>
      <c r="D1046" t="s">
        <v>6329</v>
      </c>
      <c r="E1046" t="s">
        <v>6330</v>
      </c>
      <c r="F1046">
        <v>1048</v>
      </c>
      <c r="G1046">
        <v>39.351999999999997</v>
      </c>
      <c r="H1046">
        <v>36.5</v>
      </c>
      <c r="I1046">
        <v>10.4</v>
      </c>
      <c r="J1046">
        <v>4.7699999999999996</v>
      </c>
      <c r="K1046">
        <v>1.79</v>
      </c>
      <c r="L1046">
        <v>1</v>
      </c>
      <c r="M1046">
        <v>3.4</v>
      </c>
      <c r="O1046">
        <v>0.96</v>
      </c>
      <c r="P1046">
        <v>1.74</v>
      </c>
      <c r="R1046">
        <v>8.7999999999999995E-2</v>
      </c>
      <c r="AF1046">
        <v>8.5765136799999979</v>
      </c>
      <c r="AI1046" t="s">
        <v>0</v>
      </c>
      <c r="AJ1046" t="s">
        <v>2827</v>
      </c>
      <c r="AK1046" t="s">
        <v>2563</v>
      </c>
      <c r="AL1046" t="s">
        <v>6331</v>
      </c>
      <c r="AM1046" t="s">
        <v>2574</v>
      </c>
      <c r="AN1046" t="s">
        <v>6301</v>
      </c>
      <c r="AO1046" t="s">
        <v>11</v>
      </c>
      <c r="AP1046" t="s">
        <v>6193</v>
      </c>
      <c r="AQ1046" t="s">
        <v>5481</v>
      </c>
      <c r="AR1046" t="s">
        <v>6332</v>
      </c>
      <c r="AS1046" t="s">
        <v>11</v>
      </c>
      <c r="AT1046" t="s">
        <v>6333</v>
      </c>
      <c r="AU1046" t="s">
        <v>11</v>
      </c>
      <c r="AV1046" t="s">
        <v>11</v>
      </c>
      <c r="AW1046" t="s">
        <v>11</v>
      </c>
      <c r="AX1046" t="s">
        <v>11</v>
      </c>
      <c r="AY1046" t="s">
        <v>11</v>
      </c>
      <c r="AZ1046" t="s">
        <v>11</v>
      </c>
      <c r="BA1046" t="s">
        <v>11</v>
      </c>
      <c r="BB1046" t="s">
        <v>11</v>
      </c>
      <c r="BC1046" t="s">
        <v>11</v>
      </c>
      <c r="BD1046" t="s">
        <v>11</v>
      </c>
      <c r="BE1046" t="s">
        <v>11</v>
      </c>
      <c r="BF1046" t="s">
        <v>11</v>
      </c>
      <c r="BG1046" t="s">
        <v>11</v>
      </c>
      <c r="BH1046" t="s">
        <v>6334</v>
      </c>
      <c r="BI1046" t="s">
        <v>6328</v>
      </c>
      <c r="BJ1046" t="s">
        <v>11</v>
      </c>
    </row>
    <row r="1047" spans="1:62" x14ac:dyDescent="0.3">
      <c r="A1047" t="s">
        <v>6335</v>
      </c>
      <c r="C1047" t="s">
        <v>11</v>
      </c>
      <c r="D1047" t="s">
        <v>6336</v>
      </c>
      <c r="E1047" t="s">
        <v>6337</v>
      </c>
      <c r="F1047">
        <v>1049</v>
      </c>
      <c r="G1047">
        <v>38.969999999999992</v>
      </c>
      <c r="H1047">
        <v>36.700000000000003</v>
      </c>
      <c r="I1047">
        <v>10.130000000000001</v>
      </c>
      <c r="J1047">
        <v>5.14</v>
      </c>
      <c r="K1047">
        <v>1.93</v>
      </c>
      <c r="L1047">
        <v>0.96</v>
      </c>
      <c r="M1047">
        <v>3.2</v>
      </c>
      <c r="O1047">
        <v>0.87</v>
      </c>
      <c r="P1047">
        <v>1.89</v>
      </c>
      <c r="R1047">
        <v>0.21</v>
      </c>
      <c r="AF1047">
        <v>8.5893562999999986</v>
      </c>
      <c r="AI1047" t="s">
        <v>0</v>
      </c>
      <c r="AJ1047" t="s">
        <v>1246</v>
      </c>
      <c r="AK1047" t="s">
        <v>1843</v>
      </c>
      <c r="AL1047" t="s">
        <v>4633</v>
      </c>
      <c r="AM1047" t="s">
        <v>6338</v>
      </c>
      <c r="AN1047" t="s">
        <v>1434</v>
      </c>
      <c r="AO1047" t="s">
        <v>11</v>
      </c>
      <c r="AP1047" t="s">
        <v>6306</v>
      </c>
      <c r="AQ1047" t="s">
        <v>5481</v>
      </c>
      <c r="AR1047" t="s">
        <v>6302</v>
      </c>
      <c r="AS1047" t="s">
        <v>11</v>
      </c>
      <c r="AT1047" t="s">
        <v>6339</v>
      </c>
      <c r="AU1047" t="s">
        <v>11</v>
      </c>
      <c r="AV1047" t="s">
        <v>11</v>
      </c>
      <c r="AW1047" t="s">
        <v>11</v>
      </c>
      <c r="AX1047" t="s">
        <v>11</v>
      </c>
      <c r="AY1047" t="s">
        <v>11</v>
      </c>
      <c r="AZ1047" t="s">
        <v>11</v>
      </c>
      <c r="BA1047" t="s">
        <v>11</v>
      </c>
      <c r="BB1047" t="s">
        <v>11</v>
      </c>
      <c r="BC1047" t="s">
        <v>11</v>
      </c>
      <c r="BD1047" t="s">
        <v>11</v>
      </c>
      <c r="BE1047" t="s">
        <v>11</v>
      </c>
      <c r="BF1047" t="s">
        <v>11</v>
      </c>
      <c r="BG1047" t="s">
        <v>11</v>
      </c>
      <c r="BH1047" t="s">
        <v>6340</v>
      </c>
      <c r="BI1047" t="s">
        <v>6335</v>
      </c>
      <c r="BJ1047" t="s">
        <v>11</v>
      </c>
    </row>
    <row r="1048" spans="1:62" x14ac:dyDescent="0.3">
      <c r="A1048" t="s">
        <v>6341</v>
      </c>
      <c r="C1048" t="s">
        <v>11</v>
      </c>
      <c r="D1048" t="s">
        <v>6342</v>
      </c>
      <c r="E1048" t="s">
        <v>6343</v>
      </c>
      <c r="F1048">
        <v>1050</v>
      </c>
      <c r="G1048">
        <v>38.490000000000009</v>
      </c>
      <c r="H1048">
        <v>37</v>
      </c>
      <c r="I1048">
        <v>10.220000000000001</v>
      </c>
      <c r="J1048">
        <v>4.87</v>
      </c>
      <c r="K1048">
        <v>1.84</v>
      </c>
      <c r="L1048">
        <v>0.98</v>
      </c>
      <c r="M1048">
        <v>3.4</v>
      </c>
      <c r="O1048">
        <v>0.92</v>
      </c>
      <c r="P1048">
        <v>1.8</v>
      </c>
      <c r="R1048">
        <v>0.48</v>
      </c>
      <c r="AF1048">
        <v>8.5846364000000008</v>
      </c>
      <c r="AI1048" t="s">
        <v>0</v>
      </c>
      <c r="AJ1048" t="s">
        <v>1964</v>
      </c>
      <c r="AK1048" t="s">
        <v>2563</v>
      </c>
      <c r="AL1048" t="s">
        <v>6326</v>
      </c>
      <c r="AM1048" t="s">
        <v>2799</v>
      </c>
      <c r="AN1048" t="s">
        <v>6301</v>
      </c>
      <c r="AO1048" t="s">
        <v>11</v>
      </c>
      <c r="AP1048" t="s">
        <v>6306</v>
      </c>
      <c r="AQ1048" t="s">
        <v>5481</v>
      </c>
      <c r="AR1048" t="s">
        <v>206</v>
      </c>
      <c r="AS1048" t="s">
        <v>11</v>
      </c>
      <c r="AT1048" t="s">
        <v>6344</v>
      </c>
      <c r="AU1048" t="s">
        <v>11</v>
      </c>
      <c r="AV1048" t="s">
        <v>11</v>
      </c>
      <c r="AW1048" t="s">
        <v>11</v>
      </c>
      <c r="AX1048" t="s">
        <v>11</v>
      </c>
      <c r="AY1048" t="s">
        <v>11</v>
      </c>
      <c r="AZ1048" t="s">
        <v>11</v>
      </c>
      <c r="BA1048" t="s">
        <v>11</v>
      </c>
      <c r="BB1048" t="s">
        <v>11</v>
      </c>
      <c r="BC1048" t="s">
        <v>11</v>
      </c>
      <c r="BD1048" t="s">
        <v>11</v>
      </c>
      <c r="BE1048" t="s">
        <v>11</v>
      </c>
      <c r="BF1048" t="s">
        <v>11</v>
      </c>
      <c r="BG1048" t="s">
        <v>11</v>
      </c>
      <c r="BH1048" t="s">
        <v>6345</v>
      </c>
      <c r="BI1048" t="s">
        <v>6341</v>
      </c>
      <c r="BJ1048" t="s">
        <v>11</v>
      </c>
    </row>
    <row r="1049" spans="1:62" x14ac:dyDescent="0.3">
      <c r="A1049" t="s">
        <v>5654</v>
      </c>
      <c r="C1049" t="s">
        <v>11</v>
      </c>
      <c r="D1049" t="s">
        <v>6346</v>
      </c>
      <c r="E1049" t="s">
        <v>6347</v>
      </c>
      <c r="F1049">
        <v>1051</v>
      </c>
      <c r="G1049">
        <v>81.5</v>
      </c>
      <c r="I1049">
        <v>9</v>
      </c>
      <c r="K1049">
        <v>7.5</v>
      </c>
      <c r="M1049">
        <v>2</v>
      </c>
      <c r="AF1049">
        <v>9.2732499999999991</v>
      </c>
      <c r="AI1049" t="s">
        <v>0</v>
      </c>
      <c r="AJ1049" t="s">
        <v>128</v>
      </c>
      <c r="AK1049" t="s">
        <v>195</v>
      </c>
      <c r="AL1049" t="s">
        <v>11</v>
      </c>
      <c r="AM1049" t="s">
        <v>11</v>
      </c>
      <c r="AN1049" t="s">
        <v>5243</v>
      </c>
      <c r="AO1049" t="s">
        <v>11</v>
      </c>
      <c r="AP1049" t="s">
        <v>11</v>
      </c>
      <c r="AQ1049" t="s">
        <v>11</v>
      </c>
      <c r="AR1049" t="s">
        <v>11</v>
      </c>
      <c r="AS1049" t="s">
        <v>11</v>
      </c>
      <c r="AT1049" t="s">
        <v>11</v>
      </c>
      <c r="AU1049" t="s">
        <v>11</v>
      </c>
      <c r="AV1049" t="s">
        <v>11</v>
      </c>
      <c r="AW1049" t="s">
        <v>11</v>
      </c>
      <c r="AX1049" t="s">
        <v>11</v>
      </c>
      <c r="AY1049" t="s">
        <v>11</v>
      </c>
      <c r="AZ1049" t="s">
        <v>11</v>
      </c>
      <c r="BA1049" t="s">
        <v>11</v>
      </c>
      <c r="BB1049" t="s">
        <v>11</v>
      </c>
      <c r="BC1049" t="s">
        <v>11</v>
      </c>
      <c r="BD1049" t="s">
        <v>11</v>
      </c>
      <c r="BE1049" t="s">
        <v>11</v>
      </c>
      <c r="BF1049" t="s">
        <v>11</v>
      </c>
      <c r="BG1049" t="s">
        <v>11</v>
      </c>
      <c r="BH1049" t="s">
        <v>6348</v>
      </c>
      <c r="BI1049" t="s">
        <v>5654</v>
      </c>
      <c r="BJ1049" t="s">
        <v>11</v>
      </c>
    </row>
    <row r="1050" spans="1:62" x14ac:dyDescent="0.3">
      <c r="A1050" t="s">
        <v>3489</v>
      </c>
      <c r="C1050" t="s">
        <v>11</v>
      </c>
      <c r="D1050" t="s">
        <v>6349</v>
      </c>
      <c r="E1050" t="s">
        <v>6350</v>
      </c>
      <c r="F1050">
        <v>1052</v>
      </c>
      <c r="G1050">
        <v>81.400000000000006</v>
      </c>
      <c r="I1050">
        <v>8.8000000000000007</v>
      </c>
      <c r="K1050">
        <v>9.8000000000000007</v>
      </c>
      <c r="AF1050">
        <v>9.3687000000000005</v>
      </c>
      <c r="AI1050" t="s">
        <v>0</v>
      </c>
      <c r="AJ1050" t="s">
        <v>261</v>
      </c>
      <c r="AK1050" t="s">
        <v>1737</v>
      </c>
      <c r="AL1050" t="s">
        <v>11</v>
      </c>
      <c r="AM1050" t="s">
        <v>11</v>
      </c>
      <c r="AN1050" t="s">
        <v>11</v>
      </c>
      <c r="AO1050" t="s">
        <v>11</v>
      </c>
      <c r="AP1050" t="s">
        <v>11</v>
      </c>
      <c r="AQ1050" t="s">
        <v>11</v>
      </c>
      <c r="AR1050" t="s">
        <v>11</v>
      </c>
      <c r="AS1050" t="s">
        <v>11</v>
      </c>
      <c r="AT1050" t="s">
        <v>11</v>
      </c>
      <c r="AU1050" t="s">
        <v>11</v>
      </c>
      <c r="AV1050" t="s">
        <v>11</v>
      </c>
      <c r="AW1050" t="s">
        <v>11</v>
      </c>
      <c r="AX1050" t="s">
        <v>11</v>
      </c>
      <c r="AY1050" t="s">
        <v>11</v>
      </c>
      <c r="AZ1050" t="s">
        <v>11</v>
      </c>
      <c r="BA1050" t="s">
        <v>11</v>
      </c>
      <c r="BB1050" t="s">
        <v>11</v>
      </c>
      <c r="BC1050" t="s">
        <v>11</v>
      </c>
      <c r="BD1050" t="s">
        <v>11</v>
      </c>
      <c r="BE1050" t="s">
        <v>11</v>
      </c>
      <c r="BF1050" t="s">
        <v>11</v>
      </c>
      <c r="BG1050" t="s">
        <v>11</v>
      </c>
      <c r="BH1050" t="s">
        <v>6351</v>
      </c>
      <c r="BI1050" t="s">
        <v>3489</v>
      </c>
      <c r="BJ1050" t="s">
        <v>11</v>
      </c>
    </row>
    <row r="1051" spans="1:62" x14ac:dyDescent="0.3">
      <c r="A1051" t="s">
        <v>6352</v>
      </c>
      <c r="C1051" t="s">
        <v>11</v>
      </c>
      <c r="D1051" t="s">
        <v>6353</v>
      </c>
      <c r="E1051" t="s">
        <v>6350</v>
      </c>
      <c r="F1051">
        <v>1053</v>
      </c>
      <c r="G1051">
        <v>81.400000000000006</v>
      </c>
      <c r="I1051">
        <v>8.8000000000000007</v>
      </c>
      <c r="K1051">
        <v>9.8000000000000007</v>
      </c>
      <c r="AE1051">
        <v>0.5</v>
      </c>
      <c r="AF1051">
        <v>9.4037500000000005</v>
      </c>
      <c r="AI1051" t="s">
        <v>0</v>
      </c>
      <c r="AJ1051" t="s">
        <v>261</v>
      </c>
      <c r="AK1051" t="s">
        <v>1737</v>
      </c>
      <c r="AL1051" t="s">
        <v>11</v>
      </c>
      <c r="AM1051" t="s">
        <v>11</v>
      </c>
      <c r="AN1051" t="s">
        <v>11</v>
      </c>
      <c r="AO1051" t="s">
        <v>11</v>
      </c>
      <c r="AP1051" t="s">
        <v>11</v>
      </c>
      <c r="AQ1051" t="s">
        <v>11</v>
      </c>
      <c r="AR1051" t="s">
        <v>11</v>
      </c>
      <c r="AS1051" t="s">
        <v>11</v>
      </c>
      <c r="AT1051" t="s">
        <v>11</v>
      </c>
      <c r="AU1051" t="s">
        <v>11</v>
      </c>
      <c r="AV1051" t="s">
        <v>11</v>
      </c>
      <c r="AW1051" t="s">
        <v>11</v>
      </c>
      <c r="AX1051" t="s">
        <v>11</v>
      </c>
      <c r="AY1051" t="s">
        <v>11</v>
      </c>
      <c r="AZ1051" t="s">
        <v>11</v>
      </c>
      <c r="BA1051" t="s">
        <v>11</v>
      </c>
      <c r="BB1051" t="s">
        <v>11</v>
      </c>
      <c r="BC1051" t="s">
        <v>11</v>
      </c>
      <c r="BD1051" t="s">
        <v>11</v>
      </c>
      <c r="BE1051" t="s">
        <v>11</v>
      </c>
      <c r="BF1051" t="s">
        <v>11</v>
      </c>
      <c r="BG1051" t="s">
        <v>6354</v>
      </c>
      <c r="BH1051" t="s">
        <v>6355</v>
      </c>
      <c r="BI1051" t="s">
        <v>6352</v>
      </c>
      <c r="BJ1051" t="s">
        <v>11</v>
      </c>
    </row>
    <row r="1052" spans="1:62" x14ac:dyDescent="0.3">
      <c r="A1052" t="s">
        <v>6356</v>
      </c>
      <c r="C1052" t="s">
        <v>11</v>
      </c>
      <c r="D1052" t="s">
        <v>6357</v>
      </c>
      <c r="E1052" t="s">
        <v>6350</v>
      </c>
      <c r="F1052">
        <v>1054</v>
      </c>
      <c r="G1052">
        <v>81.900000000000006</v>
      </c>
      <c r="I1052">
        <v>8.6</v>
      </c>
      <c r="K1052">
        <v>9.5</v>
      </c>
      <c r="AE1052">
        <v>2.9</v>
      </c>
      <c r="AF1052">
        <v>9.5533400000000004</v>
      </c>
      <c r="AI1052" t="s">
        <v>0</v>
      </c>
      <c r="AJ1052" t="s">
        <v>234</v>
      </c>
      <c r="AK1052" t="s">
        <v>235</v>
      </c>
      <c r="AL1052" t="s">
        <v>11</v>
      </c>
      <c r="AM1052" t="s">
        <v>11</v>
      </c>
      <c r="AN1052" t="s">
        <v>11</v>
      </c>
      <c r="AO1052" t="s">
        <v>11</v>
      </c>
      <c r="AP1052" t="s">
        <v>11</v>
      </c>
      <c r="AQ1052" t="s">
        <v>11</v>
      </c>
      <c r="AR1052" t="s">
        <v>11</v>
      </c>
      <c r="AS1052" t="s">
        <v>11</v>
      </c>
      <c r="AT1052" t="s">
        <v>11</v>
      </c>
      <c r="AU1052" t="s">
        <v>11</v>
      </c>
      <c r="AV1052" t="s">
        <v>11</v>
      </c>
      <c r="AW1052" t="s">
        <v>11</v>
      </c>
      <c r="AX1052" t="s">
        <v>11</v>
      </c>
      <c r="AY1052" t="s">
        <v>11</v>
      </c>
      <c r="AZ1052" t="s">
        <v>11</v>
      </c>
      <c r="BA1052" t="s">
        <v>11</v>
      </c>
      <c r="BB1052" t="s">
        <v>11</v>
      </c>
      <c r="BC1052" t="s">
        <v>11</v>
      </c>
      <c r="BD1052" t="s">
        <v>11</v>
      </c>
      <c r="BE1052" t="s">
        <v>11</v>
      </c>
      <c r="BF1052" t="s">
        <v>11</v>
      </c>
      <c r="BG1052" t="s">
        <v>6358</v>
      </c>
      <c r="BH1052" t="s">
        <v>6359</v>
      </c>
      <c r="BI1052" t="s">
        <v>6356</v>
      </c>
      <c r="BJ1052" t="s">
        <v>11</v>
      </c>
    </row>
    <row r="1053" spans="1:62" x14ac:dyDescent="0.3">
      <c r="A1053" t="s">
        <v>6360</v>
      </c>
      <c r="C1053" t="s">
        <v>11</v>
      </c>
      <c r="D1053" t="s">
        <v>6361</v>
      </c>
      <c r="E1053" t="s">
        <v>6362</v>
      </c>
      <c r="F1053">
        <v>1055</v>
      </c>
      <c r="G1053">
        <v>80.400000000000006</v>
      </c>
      <c r="I1053">
        <v>12</v>
      </c>
      <c r="K1053">
        <v>7.6</v>
      </c>
      <c r="AF1053">
        <v>8.9426000000000005</v>
      </c>
      <c r="AI1053" t="s">
        <v>0</v>
      </c>
      <c r="AJ1053" t="s">
        <v>881</v>
      </c>
      <c r="AK1053" t="s">
        <v>576</v>
      </c>
      <c r="AL1053" t="s">
        <v>11</v>
      </c>
      <c r="AM1053" t="s">
        <v>11</v>
      </c>
      <c r="AN1053" t="s">
        <v>11</v>
      </c>
      <c r="AO1053" t="s">
        <v>11</v>
      </c>
      <c r="AP1053" t="s">
        <v>11</v>
      </c>
      <c r="AQ1053" t="s">
        <v>11</v>
      </c>
      <c r="AR1053" t="s">
        <v>11</v>
      </c>
      <c r="AS1053" t="s">
        <v>11</v>
      </c>
      <c r="AT1053" t="s">
        <v>11</v>
      </c>
      <c r="AU1053" t="s">
        <v>11</v>
      </c>
      <c r="AV1053" t="s">
        <v>11</v>
      </c>
      <c r="AW1053" t="s">
        <v>11</v>
      </c>
      <c r="AX1053" t="s">
        <v>11</v>
      </c>
      <c r="AY1053" t="s">
        <v>11</v>
      </c>
      <c r="AZ1053" t="s">
        <v>11</v>
      </c>
      <c r="BA1053" t="s">
        <v>11</v>
      </c>
      <c r="BB1053" t="s">
        <v>11</v>
      </c>
      <c r="BC1053" t="s">
        <v>11</v>
      </c>
      <c r="BD1053" t="s">
        <v>11</v>
      </c>
      <c r="BE1053" t="s">
        <v>11</v>
      </c>
      <c r="BF1053" t="s">
        <v>11</v>
      </c>
      <c r="BG1053" t="s">
        <v>11</v>
      </c>
      <c r="BH1053" t="s">
        <v>6363</v>
      </c>
      <c r="BI1053" t="s">
        <v>6360</v>
      </c>
      <c r="BJ1053" t="s">
        <v>11</v>
      </c>
    </row>
    <row r="1054" spans="1:62" x14ac:dyDescent="0.3">
      <c r="A1054" t="s">
        <v>6364</v>
      </c>
      <c r="C1054" t="s">
        <v>11</v>
      </c>
      <c r="D1054" t="s">
        <v>6365</v>
      </c>
      <c r="E1054" t="s">
        <v>6362</v>
      </c>
      <c r="F1054">
        <v>1056</v>
      </c>
      <c r="G1054">
        <v>83.8</v>
      </c>
      <c r="I1054">
        <v>6.7</v>
      </c>
      <c r="K1054">
        <v>9.5</v>
      </c>
      <c r="AF1054">
        <v>9.4678500000000003</v>
      </c>
      <c r="AI1054" t="s">
        <v>0</v>
      </c>
      <c r="AJ1054" t="s">
        <v>1624</v>
      </c>
      <c r="AK1054" t="s">
        <v>235</v>
      </c>
      <c r="AL1054" t="s">
        <v>11</v>
      </c>
      <c r="AM1054" t="s">
        <v>11</v>
      </c>
      <c r="AN1054" t="s">
        <v>11</v>
      </c>
      <c r="AO1054" t="s">
        <v>11</v>
      </c>
      <c r="AP1054" t="s">
        <v>11</v>
      </c>
      <c r="AQ1054" t="s">
        <v>11</v>
      </c>
      <c r="AR1054" t="s">
        <v>11</v>
      </c>
      <c r="AS1054" t="s">
        <v>11</v>
      </c>
      <c r="AT1054" t="s">
        <v>11</v>
      </c>
      <c r="AU1054" t="s">
        <v>11</v>
      </c>
      <c r="AV1054" t="s">
        <v>11</v>
      </c>
      <c r="AW1054" t="s">
        <v>11</v>
      </c>
      <c r="AX1054" t="s">
        <v>11</v>
      </c>
      <c r="AY1054" t="s">
        <v>11</v>
      </c>
      <c r="AZ1054" t="s">
        <v>11</v>
      </c>
      <c r="BA1054" t="s">
        <v>11</v>
      </c>
      <c r="BB1054" t="s">
        <v>11</v>
      </c>
      <c r="BC1054" t="s">
        <v>11</v>
      </c>
      <c r="BD1054" t="s">
        <v>11</v>
      </c>
      <c r="BE1054" t="s">
        <v>11</v>
      </c>
      <c r="BF1054" t="s">
        <v>11</v>
      </c>
      <c r="BG1054" t="s">
        <v>11</v>
      </c>
      <c r="BH1054" t="s">
        <v>6366</v>
      </c>
      <c r="BI1054" t="s">
        <v>6364</v>
      </c>
      <c r="BJ1054" t="s">
        <v>11</v>
      </c>
    </row>
    <row r="1055" spans="1:62" x14ac:dyDescent="0.3">
      <c r="A1055" t="s">
        <v>6367</v>
      </c>
      <c r="C1055" t="s">
        <v>11</v>
      </c>
      <c r="D1055" t="s">
        <v>6368</v>
      </c>
      <c r="E1055" t="s">
        <v>6369</v>
      </c>
      <c r="F1055">
        <v>1057</v>
      </c>
      <c r="G1055">
        <v>42.5</v>
      </c>
      <c r="H1055">
        <v>32</v>
      </c>
      <c r="I1055">
        <v>8</v>
      </c>
      <c r="J1055">
        <v>8</v>
      </c>
      <c r="K1055">
        <v>5</v>
      </c>
      <c r="L1055">
        <v>2.5</v>
      </c>
      <c r="M1055">
        <v>1.5</v>
      </c>
      <c r="V1055">
        <v>0.4</v>
      </c>
      <c r="Y1055">
        <v>0.1</v>
      </c>
      <c r="AF1055">
        <v>8.7718150000000001</v>
      </c>
      <c r="AI1055" t="s">
        <v>0</v>
      </c>
      <c r="AJ1055" t="s">
        <v>164</v>
      </c>
      <c r="AK1055" t="s">
        <v>5588</v>
      </c>
      <c r="AL1055" t="s">
        <v>5354</v>
      </c>
      <c r="AM1055" t="s">
        <v>5616</v>
      </c>
      <c r="AN1055" t="s">
        <v>396</v>
      </c>
      <c r="AO1055" t="s">
        <v>11</v>
      </c>
      <c r="AP1055" t="s">
        <v>11</v>
      </c>
      <c r="AQ1055" t="s">
        <v>1217</v>
      </c>
      <c r="AR1055" t="s">
        <v>11</v>
      </c>
      <c r="AS1055" t="s">
        <v>11</v>
      </c>
      <c r="AT1055" t="s">
        <v>11</v>
      </c>
      <c r="AU1055" t="s">
        <v>11</v>
      </c>
      <c r="AV1055" t="s">
        <v>11</v>
      </c>
      <c r="AW1055" t="s">
        <v>11</v>
      </c>
      <c r="AX1055" t="s">
        <v>1533</v>
      </c>
      <c r="AY1055" t="s">
        <v>11</v>
      </c>
      <c r="AZ1055" t="s">
        <v>11</v>
      </c>
      <c r="BA1055" t="s">
        <v>1534</v>
      </c>
      <c r="BB1055" t="s">
        <v>11</v>
      </c>
      <c r="BC1055" t="s">
        <v>11</v>
      </c>
      <c r="BD1055" t="s">
        <v>11</v>
      </c>
      <c r="BE1055" t="s">
        <v>11</v>
      </c>
      <c r="BF1055" t="s">
        <v>11</v>
      </c>
      <c r="BG1055" t="s">
        <v>11</v>
      </c>
      <c r="BH1055" t="s">
        <v>6370</v>
      </c>
      <c r="BI1055" t="s">
        <v>6367</v>
      </c>
      <c r="BJ1055" t="s">
        <v>11</v>
      </c>
    </row>
    <row r="1056" spans="1:62" x14ac:dyDescent="0.3">
      <c r="A1056" t="s">
        <v>6371</v>
      </c>
      <c r="C1056" t="s">
        <v>11</v>
      </c>
      <c r="D1056" t="s">
        <v>6372</v>
      </c>
      <c r="E1056" t="s">
        <v>6373</v>
      </c>
      <c r="F1056">
        <v>1058</v>
      </c>
      <c r="G1056">
        <v>30</v>
      </c>
      <c r="H1056">
        <v>44.5</v>
      </c>
      <c r="I1056">
        <v>8</v>
      </c>
      <c r="J1056">
        <v>8</v>
      </c>
      <c r="K1056">
        <v>5</v>
      </c>
      <c r="L1056">
        <v>2.5</v>
      </c>
      <c r="M1056">
        <v>1.5</v>
      </c>
      <c r="V1056">
        <v>0.4</v>
      </c>
      <c r="Y1056">
        <v>0.1</v>
      </c>
      <c r="AF1056">
        <v>8.7728150000000014</v>
      </c>
      <c r="AI1056" t="s">
        <v>0</v>
      </c>
      <c r="AJ1056" t="s">
        <v>164</v>
      </c>
      <c r="AK1056" t="s">
        <v>5588</v>
      </c>
      <c r="AL1056" t="s">
        <v>6374</v>
      </c>
      <c r="AM1056" t="s">
        <v>5616</v>
      </c>
      <c r="AN1056" t="s">
        <v>396</v>
      </c>
      <c r="AO1056" t="s">
        <v>11</v>
      </c>
      <c r="AP1056" t="s">
        <v>11</v>
      </c>
      <c r="AQ1056" t="s">
        <v>1217</v>
      </c>
      <c r="AR1056" t="s">
        <v>11</v>
      </c>
      <c r="AS1056" t="s">
        <v>11</v>
      </c>
      <c r="AT1056" t="s">
        <v>11</v>
      </c>
      <c r="AU1056" t="s">
        <v>11</v>
      </c>
      <c r="AV1056" t="s">
        <v>11</v>
      </c>
      <c r="AW1056" t="s">
        <v>11</v>
      </c>
      <c r="AX1056" t="s">
        <v>1533</v>
      </c>
      <c r="AY1056" t="s">
        <v>11</v>
      </c>
      <c r="AZ1056" t="s">
        <v>11</v>
      </c>
      <c r="BA1056" t="s">
        <v>1534</v>
      </c>
      <c r="BB1056" t="s">
        <v>11</v>
      </c>
      <c r="BC1056" t="s">
        <v>11</v>
      </c>
      <c r="BD1056" t="s">
        <v>11</v>
      </c>
      <c r="BE1056" t="s">
        <v>11</v>
      </c>
      <c r="BF1056" t="s">
        <v>11</v>
      </c>
      <c r="BG1056" t="s">
        <v>11</v>
      </c>
      <c r="BH1056" t="s">
        <v>6375</v>
      </c>
      <c r="BI1056" t="s">
        <v>6371</v>
      </c>
      <c r="BJ1056" t="s">
        <v>11</v>
      </c>
    </row>
    <row r="1057" spans="1:62" x14ac:dyDescent="0.3">
      <c r="A1057" t="s">
        <v>6376</v>
      </c>
      <c r="C1057" t="s">
        <v>11</v>
      </c>
      <c r="D1057" t="s">
        <v>1813</v>
      </c>
      <c r="E1057" t="s">
        <v>6377</v>
      </c>
      <c r="F1057">
        <v>1059</v>
      </c>
      <c r="G1057">
        <v>43</v>
      </c>
      <c r="H1057">
        <v>30</v>
      </c>
      <c r="I1057">
        <v>8</v>
      </c>
      <c r="J1057">
        <v>12</v>
      </c>
      <c r="K1057">
        <v>3</v>
      </c>
      <c r="L1057">
        <v>3</v>
      </c>
      <c r="M1057">
        <v>1</v>
      </c>
      <c r="AF1057">
        <v>8.4574099999999994</v>
      </c>
      <c r="AI1057" t="s">
        <v>0</v>
      </c>
      <c r="AJ1057" t="s">
        <v>164</v>
      </c>
      <c r="AK1057" t="s">
        <v>5353</v>
      </c>
      <c r="AL1057" t="s">
        <v>5386</v>
      </c>
      <c r="AM1057" t="s">
        <v>5355</v>
      </c>
      <c r="AN1057" t="s">
        <v>5217</v>
      </c>
      <c r="AO1057" t="s">
        <v>11</v>
      </c>
      <c r="AP1057" t="s">
        <v>11</v>
      </c>
      <c r="AQ1057" t="s">
        <v>5537</v>
      </c>
      <c r="AR1057" t="s">
        <v>11</v>
      </c>
      <c r="AS1057" t="s">
        <v>11</v>
      </c>
      <c r="AT1057" t="s">
        <v>11</v>
      </c>
      <c r="AU1057" t="s">
        <v>11</v>
      </c>
      <c r="AV1057" t="s">
        <v>11</v>
      </c>
      <c r="AW1057" t="s">
        <v>11</v>
      </c>
      <c r="AX1057" t="s">
        <v>11</v>
      </c>
      <c r="AY1057" t="s">
        <v>11</v>
      </c>
      <c r="AZ1057" t="s">
        <v>11</v>
      </c>
      <c r="BA1057" t="s">
        <v>11</v>
      </c>
      <c r="BB1057" t="s">
        <v>11</v>
      </c>
      <c r="BC1057" t="s">
        <v>11</v>
      </c>
      <c r="BD1057" t="s">
        <v>11</v>
      </c>
      <c r="BE1057" t="s">
        <v>11</v>
      </c>
      <c r="BF1057" t="s">
        <v>11</v>
      </c>
      <c r="BG1057" t="s">
        <v>11</v>
      </c>
      <c r="BH1057" t="s">
        <v>6378</v>
      </c>
      <c r="BI1057" t="s">
        <v>6376</v>
      </c>
      <c r="BJ1057" t="s">
        <v>11</v>
      </c>
    </row>
    <row r="1058" spans="1:62" x14ac:dyDescent="0.3">
      <c r="A1058" t="s">
        <v>6379</v>
      </c>
      <c r="C1058" t="s">
        <v>11</v>
      </c>
      <c r="D1058" t="s">
        <v>6380</v>
      </c>
      <c r="E1058" t="s">
        <v>6381</v>
      </c>
      <c r="F1058">
        <v>1060</v>
      </c>
      <c r="G1058">
        <v>33</v>
      </c>
      <c r="H1058">
        <v>40</v>
      </c>
      <c r="I1058">
        <v>8</v>
      </c>
      <c r="J1058">
        <v>12</v>
      </c>
      <c r="K1058">
        <v>3</v>
      </c>
      <c r="L1058">
        <v>3</v>
      </c>
      <c r="M1058">
        <v>1</v>
      </c>
      <c r="AF1058">
        <v>8.4582099999999993</v>
      </c>
      <c r="AI1058" t="s">
        <v>0</v>
      </c>
      <c r="AJ1058" t="s">
        <v>164</v>
      </c>
      <c r="AK1058" t="s">
        <v>5353</v>
      </c>
      <c r="AL1058" t="s">
        <v>5836</v>
      </c>
      <c r="AM1058" t="s">
        <v>5355</v>
      </c>
      <c r="AN1058" t="s">
        <v>5217</v>
      </c>
      <c r="AO1058" t="s">
        <v>11</v>
      </c>
      <c r="AP1058" t="s">
        <v>11</v>
      </c>
      <c r="AQ1058" t="s">
        <v>5537</v>
      </c>
      <c r="AR1058" t="s">
        <v>11</v>
      </c>
      <c r="AS1058" t="s">
        <v>11</v>
      </c>
      <c r="AT1058" t="s">
        <v>11</v>
      </c>
      <c r="AU1058" t="s">
        <v>11</v>
      </c>
      <c r="AV1058" t="s">
        <v>11</v>
      </c>
      <c r="AW1058" t="s">
        <v>11</v>
      </c>
      <c r="AX1058" t="s">
        <v>11</v>
      </c>
      <c r="AY1058" t="s">
        <v>11</v>
      </c>
      <c r="AZ1058" t="s">
        <v>11</v>
      </c>
      <c r="BA1058" t="s">
        <v>11</v>
      </c>
      <c r="BB1058" t="s">
        <v>11</v>
      </c>
      <c r="BC1058" t="s">
        <v>11</v>
      </c>
      <c r="BD1058" t="s">
        <v>11</v>
      </c>
      <c r="BE1058" t="s">
        <v>11</v>
      </c>
      <c r="BF1058" t="s">
        <v>11</v>
      </c>
      <c r="BG1058" t="s">
        <v>11</v>
      </c>
      <c r="BH1058" t="s">
        <v>6382</v>
      </c>
      <c r="BI1058" t="s">
        <v>6379</v>
      </c>
      <c r="BJ1058" t="s">
        <v>11</v>
      </c>
    </row>
    <row r="1059" spans="1:62" x14ac:dyDescent="0.3">
      <c r="A1059" t="s">
        <v>6383</v>
      </c>
      <c r="C1059" t="s">
        <v>11</v>
      </c>
      <c r="D1059" t="s">
        <v>6384</v>
      </c>
      <c r="E1059" t="s">
        <v>6385</v>
      </c>
      <c r="F1059">
        <v>1061</v>
      </c>
      <c r="G1059">
        <v>53</v>
      </c>
      <c r="H1059">
        <v>20</v>
      </c>
      <c r="I1059">
        <v>8</v>
      </c>
      <c r="J1059">
        <v>12</v>
      </c>
      <c r="K1059">
        <v>3</v>
      </c>
      <c r="L1059">
        <v>3</v>
      </c>
      <c r="M1059">
        <v>1</v>
      </c>
      <c r="AF1059">
        <v>8.4566099999999995</v>
      </c>
      <c r="AI1059" t="s">
        <v>0</v>
      </c>
      <c r="AJ1059" t="s">
        <v>164</v>
      </c>
      <c r="AK1059" t="s">
        <v>5353</v>
      </c>
      <c r="AL1059" t="s">
        <v>5401</v>
      </c>
      <c r="AM1059" t="s">
        <v>5355</v>
      </c>
      <c r="AN1059" t="s">
        <v>5217</v>
      </c>
      <c r="AO1059" t="s">
        <v>11</v>
      </c>
      <c r="AP1059" t="s">
        <v>11</v>
      </c>
      <c r="AQ1059" t="s">
        <v>5537</v>
      </c>
      <c r="AR1059" t="s">
        <v>11</v>
      </c>
      <c r="AS1059" t="s">
        <v>11</v>
      </c>
      <c r="AT1059" t="s">
        <v>11</v>
      </c>
      <c r="AU1059" t="s">
        <v>11</v>
      </c>
      <c r="AV1059" t="s">
        <v>11</v>
      </c>
      <c r="AW1059" t="s">
        <v>11</v>
      </c>
      <c r="AX1059" t="s">
        <v>11</v>
      </c>
      <c r="AY1059" t="s">
        <v>11</v>
      </c>
      <c r="AZ1059" t="s">
        <v>11</v>
      </c>
      <c r="BA1059" t="s">
        <v>11</v>
      </c>
      <c r="BB1059" t="s">
        <v>11</v>
      </c>
      <c r="BC1059" t="s">
        <v>11</v>
      </c>
      <c r="BD1059" t="s">
        <v>11</v>
      </c>
      <c r="BE1059" t="s">
        <v>11</v>
      </c>
      <c r="BF1059" t="s">
        <v>11</v>
      </c>
      <c r="BG1059" t="s">
        <v>11</v>
      </c>
      <c r="BH1059" t="s">
        <v>6386</v>
      </c>
      <c r="BI1059" t="s">
        <v>6383</v>
      </c>
      <c r="BJ1059" t="s">
        <v>11</v>
      </c>
    </row>
    <row r="1060" spans="1:62" x14ac:dyDescent="0.3">
      <c r="A1060" t="s">
        <v>6387</v>
      </c>
      <c r="C1060" t="s">
        <v>11</v>
      </c>
      <c r="D1060" t="s">
        <v>6388</v>
      </c>
      <c r="E1060" t="s">
        <v>6389</v>
      </c>
      <c r="F1060">
        <v>1062</v>
      </c>
      <c r="G1060">
        <v>41</v>
      </c>
      <c r="H1060">
        <v>30</v>
      </c>
      <c r="I1060">
        <v>10</v>
      </c>
      <c r="J1060">
        <v>12</v>
      </c>
      <c r="K1060">
        <v>3</v>
      </c>
      <c r="L1060">
        <v>3</v>
      </c>
      <c r="M1060">
        <v>1</v>
      </c>
      <c r="AF1060">
        <v>8.3334100000000007</v>
      </c>
      <c r="AI1060" t="s">
        <v>0</v>
      </c>
      <c r="AJ1060" t="s">
        <v>22</v>
      </c>
      <c r="AK1060" t="s">
        <v>5353</v>
      </c>
      <c r="AL1060" t="s">
        <v>5386</v>
      </c>
      <c r="AM1060" t="s">
        <v>5355</v>
      </c>
      <c r="AN1060" t="s">
        <v>5217</v>
      </c>
      <c r="AO1060" t="s">
        <v>11</v>
      </c>
      <c r="AP1060" t="s">
        <v>11</v>
      </c>
      <c r="AQ1060" t="s">
        <v>5537</v>
      </c>
      <c r="AR1060" t="s">
        <v>11</v>
      </c>
      <c r="AS1060" t="s">
        <v>11</v>
      </c>
      <c r="AT1060" t="s">
        <v>11</v>
      </c>
      <c r="AU1060" t="s">
        <v>11</v>
      </c>
      <c r="AV1060" t="s">
        <v>11</v>
      </c>
      <c r="AW1060" t="s">
        <v>11</v>
      </c>
      <c r="AX1060" t="s">
        <v>11</v>
      </c>
      <c r="AY1060" t="s">
        <v>11</v>
      </c>
      <c r="AZ1060" t="s">
        <v>11</v>
      </c>
      <c r="BA1060" t="s">
        <v>11</v>
      </c>
      <c r="BB1060" t="s">
        <v>11</v>
      </c>
      <c r="BC1060" t="s">
        <v>11</v>
      </c>
      <c r="BD1060" t="s">
        <v>11</v>
      </c>
      <c r="BE1060" t="s">
        <v>11</v>
      </c>
      <c r="BF1060" t="s">
        <v>11</v>
      </c>
      <c r="BG1060" t="s">
        <v>11</v>
      </c>
      <c r="BH1060" t="s">
        <v>6390</v>
      </c>
      <c r="BI1060" t="s">
        <v>6387</v>
      </c>
      <c r="BJ1060" t="s">
        <v>11</v>
      </c>
    </row>
    <row r="1061" spans="1:62" x14ac:dyDescent="0.3">
      <c r="A1061" t="s">
        <v>6391</v>
      </c>
      <c r="C1061" t="s">
        <v>11</v>
      </c>
      <c r="D1061" t="s">
        <v>1688</v>
      </c>
      <c r="E1061" t="s">
        <v>6392</v>
      </c>
      <c r="F1061">
        <v>1063</v>
      </c>
      <c r="G1061">
        <v>39</v>
      </c>
      <c r="H1061">
        <v>30</v>
      </c>
      <c r="I1061">
        <v>8</v>
      </c>
      <c r="J1061">
        <v>16</v>
      </c>
      <c r="K1061">
        <v>3</v>
      </c>
      <c r="L1061">
        <v>3</v>
      </c>
      <c r="M1061">
        <v>1</v>
      </c>
      <c r="AF1061">
        <v>8.389009999999999</v>
      </c>
      <c r="AI1061" t="s">
        <v>0</v>
      </c>
      <c r="AJ1061" t="s">
        <v>164</v>
      </c>
      <c r="AK1061" t="s">
        <v>5353</v>
      </c>
      <c r="AL1061" t="s">
        <v>5386</v>
      </c>
      <c r="AM1061" t="s">
        <v>6393</v>
      </c>
      <c r="AN1061" t="s">
        <v>5217</v>
      </c>
      <c r="AO1061" t="s">
        <v>11</v>
      </c>
      <c r="AP1061" t="s">
        <v>11</v>
      </c>
      <c r="AQ1061" t="s">
        <v>5537</v>
      </c>
      <c r="AR1061" t="s">
        <v>11</v>
      </c>
      <c r="AS1061" t="s">
        <v>11</v>
      </c>
      <c r="AT1061" t="s">
        <v>11</v>
      </c>
      <c r="AU1061" t="s">
        <v>11</v>
      </c>
      <c r="AV1061" t="s">
        <v>11</v>
      </c>
      <c r="AW1061" t="s">
        <v>11</v>
      </c>
      <c r="AX1061" t="s">
        <v>11</v>
      </c>
      <c r="AY1061" t="s">
        <v>11</v>
      </c>
      <c r="AZ1061" t="s">
        <v>11</v>
      </c>
      <c r="BA1061" t="s">
        <v>11</v>
      </c>
      <c r="BB1061" t="s">
        <v>11</v>
      </c>
      <c r="BC1061" t="s">
        <v>11</v>
      </c>
      <c r="BD1061" t="s">
        <v>11</v>
      </c>
      <c r="BE1061" t="s">
        <v>11</v>
      </c>
      <c r="BF1061" t="s">
        <v>11</v>
      </c>
      <c r="BG1061" t="s">
        <v>11</v>
      </c>
      <c r="BH1061" t="s">
        <v>6394</v>
      </c>
      <c r="BI1061" t="s">
        <v>6391</v>
      </c>
      <c r="BJ1061" t="s">
        <v>11</v>
      </c>
    </row>
    <row r="1062" spans="1:62" x14ac:dyDescent="0.3">
      <c r="A1062" t="s">
        <v>6395</v>
      </c>
      <c r="C1062" t="s">
        <v>11</v>
      </c>
      <c r="D1062" t="s">
        <v>6396</v>
      </c>
      <c r="E1062" t="s">
        <v>6397</v>
      </c>
      <c r="F1062">
        <v>1064</v>
      </c>
      <c r="G1062">
        <v>40</v>
      </c>
      <c r="H1062">
        <v>30</v>
      </c>
      <c r="I1062">
        <v>8</v>
      </c>
      <c r="J1062">
        <v>12</v>
      </c>
      <c r="K1062">
        <v>3</v>
      </c>
      <c r="L1062">
        <v>6</v>
      </c>
      <c r="M1062">
        <v>1</v>
      </c>
      <c r="AF1062">
        <v>8.3256200000000007</v>
      </c>
      <c r="AI1062" t="s">
        <v>0</v>
      </c>
      <c r="AJ1062" t="s">
        <v>164</v>
      </c>
      <c r="AK1062" t="s">
        <v>5353</v>
      </c>
      <c r="AL1062" t="s">
        <v>5386</v>
      </c>
      <c r="AM1062" t="s">
        <v>5355</v>
      </c>
      <c r="AN1062" t="s">
        <v>5217</v>
      </c>
      <c r="AO1062" t="s">
        <v>11</v>
      </c>
      <c r="AP1062" t="s">
        <v>11</v>
      </c>
      <c r="AQ1062" t="s">
        <v>6143</v>
      </c>
      <c r="AR1062" t="s">
        <v>11</v>
      </c>
      <c r="AS1062" t="s">
        <v>11</v>
      </c>
      <c r="AT1062" t="s">
        <v>11</v>
      </c>
      <c r="AU1062" t="s">
        <v>11</v>
      </c>
      <c r="AV1062" t="s">
        <v>11</v>
      </c>
      <c r="AW1062" t="s">
        <v>11</v>
      </c>
      <c r="AX1062" t="s">
        <v>11</v>
      </c>
      <c r="AY1062" t="s">
        <v>11</v>
      </c>
      <c r="AZ1062" t="s">
        <v>11</v>
      </c>
      <c r="BA1062" t="s">
        <v>11</v>
      </c>
      <c r="BB1062" t="s">
        <v>11</v>
      </c>
      <c r="BC1062" t="s">
        <v>11</v>
      </c>
      <c r="BD1062" t="s">
        <v>11</v>
      </c>
      <c r="BE1062" t="s">
        <v>11</v>
      </c>
      <c r="BF1062" t="s">
        <v>11</v>
      </c>
      <c r="BG1062" t="s">
        <v>11</v>
      </c>
      <c r="BH1062" t="s">
        <v>6398</v>
      </c>
      <c r="BI1062" t="s">
        <v>6395</v>
      </c>
      <c r="BJ1062" t="s">
        <v>11</v>
      </c>
    </row>
    <row r="1063" spans="1:62" x14ac:dyDescent="0.3">
      <c r="A1063" t="s">
        <v>6399</v>
      </c>
      <c r="C1063" t="s">
        <v>11</v>
      </c>
      <c r="D1063" t="s">
        <v>6400</v>
      </c>
      <c r="E1063" t="s">
        <v>6401</v>
      </c>
      <c r="F1063">
        <v>1065</v>
      </c>
      <c r="G1063">
        <v>41</v>
      </c>
      <c r="H1063">
        <v>30</v>
      </c>
      <c r="I1063">
        <v>8</v>
      </c>
      <c r="J1063">
        <v>12</v>
      </c>
      <c r="K1063">
        <v>3</v>
      </c>
      <c r="L1063">
        <v>3</v>
      </c>
      <c r="M1063">
        <v>3</v>
      </c>
      <c r="AF1063">
        <v>8.6124100000000006</v>
      </c>
      <c r="AI1063" t="s">
        <v>0</v>
      </c>
      <c r="AJ1063" t="s">
        <v>164</v>
      </c>
      <c r="AK1063" t="s">
        <v>5353</v>
      </c>
      <c r="AL1063" t="s">
        <v>5386</v>
      </c>
      <c r="AM1063" t="s">
        <v>5355</v>
      </c>
      <c r="AN1063" t="s">
        <v>6402</v>
      </c>
      <c r="AO1063" t="s">
        <v>11</v>
      </c>
      <c r="AP1063" t="s">
        <v>11</v>
      </c>
      <c r="AQ1063" t="s">
        <v>5537</v>
      </c>
      <c r="AR1063" t="s">
        <v>11</v>
      </c>
      <c r="AS1063" t="s">
        <v>11</v>
      </c>
      <c r="AT1063" t="s">
        <v>11</v>
      </c>
      <c r="AU1063" t="s">
        <v>11</v>
      </c>
      <c r="AV1063" t="s">
        <v>11</v>
      </c>
      <c r="AW1063" t="s">
        <v>11</v>
      </c>
      <c r="AX1063" t="s">
        <v>11</v>
      </c>
      <c r="AY1063" t="s">
        <v>11</v>
      </c>
      <c r="AZ1063" t="s">
        <v>11</v>
      </c>
      <c r="BA1063" t="s">
        <v>11</v>
      </c>
      <c r="BB1063" t="s">
        <v>11</v>
      </c>
      <c r="BC1063" t="s">
        <v>11</v>
      </c>
      <c r="BD1063" t="s">
        <v>11</v>
      </c>
      <c r="BE1063" t="s">
        <v>11</v>
      </c>
      <c r="BF1063" t="s">
        <v>11</v>
      </c>
      <c r="BG1063" t="s">
        <v>11</v>
      </c>
      <c r="BH1063" t="s">
        <v>6403</v>
      </c>
      <c r="BI1063" t="s">
        <v>6399</v>
      </c>
      <c r="BJ1063" t="s">
        <v>11</v>
      </c>
    </row>
    <row r="1064" spans="1:62" x14ac:dyDescent="0.3">
      <c r="A1064" t="s">
        <v>6404</v>
      </c>
      <c r="C1064" t="s">
        <v>11</v>
      </c>
      <c r="D1064" t="s">
        <v>6405</v>
      </c>
      <c r="E1064" t="s">
        <v>6406</v>
      </c>
      <c r="F1064">
        <v>1066</v>
      </c>
      <c r="G1064">
        <v>41</v>
      </c>
      <c r="H1064">
        <v>30</v>
      </c>
      <c r="I1064">
        <v>8</v>
      </c>
      <c r="J1064">
        <v>12</v>
      </c>
      <c r="K1064">
        <v>3</v>
      </c>
      <c r="L1064">
        <v>3</v>
      </c>
      <c r="M1064">
        <v>1</v>
      </c>
      <c r="N1064">
        <v>2</v>
      </c>
      <c r="AF1064">
        <v>8.4508099999999988</v>
      </c>
      <c r="AI1064" t="s">
        <v>0</v>
      </c>
      <c r="AJ1064" t="s">
        <v>164</v>
      </c>
      <c r="AK1064" t="s">
        <v>5353</v>
      </c>
      <c r="AL1064" t="s">
        <v>5386</v>
      </c>
      <c r="AM1064" t="s">
        <v>5355</v>
      </c>
      <c r="AN1064" t="s">
        <v>5217</v>
      </c>
      <c r="AO1064" t="s">
        <v>5528</v>
      </c>
      <c r="AP1064" t="s">
        <v>11</v>
      </c>
      <c r="AQ1064" t="s">
        <v>5537</v>
      </c>
      <c r="AR1064" t="s">
        <v>11</v>
      </c>
      <c r="AS1064" t="s">
        <v>11</v>
      </c>
      <c r="AT1064" t="s">
        <v>11</v>
      </c>
      <c r="AU1064" t="s">
        <v>11</v>
      </c>
      <c r="AV1064" t="s">
        <v>11</v>
      </c>
      <c r="AW1064" t="s">
        <v>11</v>
      </c>
      <c r="AX1064" t="s">
        <v>11</v>
      </c>
      <c r="AY1064" t="s">
        <v>11</v>
      </c>
      <c r="AZ1064" t="s">
        <v>11</v>
      </c>
      <c r="BA1064" t="s">
        <v>11</v>
      </c>
      <c r="BB1064" t="s">
        <v>11</v>
      </c>
      <c r="BC1064" t="s">
        <v>11</v>
      </c>
      <c r="BD1064" t="s">
        <v>11</v>
      </c>
      <c r="BE1064" t="s">
        <v>11</v>
      </c>
      <c r="BF1064" t="s">
        <v>11</v>
      </c>
      <c r="BG1064" t="s">
        <v>11</v>
      </c>
      <c r="BH1064" t="s">
        <v>6407</v>
      </c>
      <c r="BI1064" t="s">
        <v>6404</v>
      </c>
      <c r="BJ1064" t="s">
        <v>11</v>
      </c>
    </row>
    <row r="1065" spans="1:62" x14ac:dyDescent="0.3">
      <c r="A1065" t="s">
        <v>6408</v>
      </c>
      <c r="C1065" t="s">
        <v>11</v>
      </c>
      <c r="D1065" t="s">
        <v>6409</v>
      </c>
      <c r="E1065" t="s">
        <v>6410</v>
      </c>
      <c r="F1065">
        <v>1067</v>
      </c>
      <c r="G1065">
        <v>43</v>
      </c>
      <c r="H1065">
        <v>30</v>
      </c>
      <c r="I1065">
        <v>8</v>
      </c>
      <c r="J1065">
        <v>12</v>
      </c>
      <c r="K1065">
        <v>3</v>
      </c>
      <c r="L1065">
        <v>1</v>
      </c>
      <c r="M1065">
        <v>1</v>
      </c>
      <c r="N1065">
        <v>2</v>
      </c>
      <c r="AF1065">
        <v>8.538669999999998</v>
      </c>
      <c r="AI1065" t="s">
        <v>0</v>
      </c>
      <c r="AJ1065" t="s">
        <v>164</v>
      </c>
      <c r="AK1065" t="s">
        <v>5353</v>
      </c>
      <c r="AL1065" t="s">
        <v>5386</v>
      </c>
      <c r="AM1065" t="s">
        <v>5355</v>
      </c>
      <c r="AN1065" t="s">
        <v>5217</v>
      </c>
      <c r="AO1065" t="s">
        <v>5528</v>
      </c>
      <c r="AP1065" t="s">
        <v>11</v>
      </c>
      <c r="AQ1065" t="s">
        <v>5481</v>
      </c>
      <c r="AR1065" t="s">
        <v>11</v>
      </c>
      <c r="AS1065" t="s">
        <v>11</v>
      </c>
      <c r="AT1065" t="s">
        <v>11</v>
      </c>
      <c r="AU1065" t="s">
        <v>11</v>
      </c>
      <c r="AV1065" t="s">
        <v>11</v>
      </c>
      <c r="AW1065" t="s">
        <v>11</v>
      </c>
      <c r="AX1065" t="s">
        <v>11</v>
      </c>
      <c r="AY1065" t="s">
        <v>11</v>
      </c>
      <c r="AZ1065" t="s">
        <v>11</v>
      </c>
      <c r="BA1065" t="s">
        <v>11</v>
      </c>
      <c r="BB1065" t="s">
        <v>11</v>
      </c>
      <c r="BC1065" t="s">
        <v>11</v>
      </c>
      <c r="BD1065" t="s">
        <v>11</v>
      </c>
      <c r="BE1065" t="s">
        <v>11</v>
      </c>
      <c r="BF1065" t="s">
        <v>11</v>
      </c>
      <c r="BG1065" t="s">
        <v>11</v>
      </c>
      <c r="BH1065" t="s">
        <v>6411</v>
      </c>
      <c r="BI1065" t="s">
        <v>6408</v>
      </c>
      <c r="BJ1065" t="s">
        <v>11</v>
      </c>
    </row>
    <row r="1066" spans="1:62" x14ac:dyDescent="0.3">
      <c r="A1066" t="s">
        <v>6412</v>
      </c>
      <c r="C1066" t="s">
        <v>11</v>
      </c>
      <c r="D1066" t="s">
        <v>6413</v>
      </c>
      <c r="E1066" t="s">
        <v>6414</v>
      </c>
      <c r="F1066">
        <v>1068</v>
      </c>
      <c r="G1066">
        <v>40</v>
      </c>
      <c r="H1066">
        <v>30</v>
      </c>
      <c r="I1066">
        <v>8</v>
      </c>
      <c r="J1066">
        <v>12</v>
      </c>
      <c r="K1066">
        <v>3</v>
      </c>
      <c r="L1066">
        <v>3</v>
      </c>
      <c r="M1066">
        <v>1</v>
      </c>
      <c r="P1066">
        <v>3</v>
      </c>
      <c r="AF1066">
        <v>8.4988099999999989</v>
      </c>
      <c r="AI1066" t="s">
        <v>0</v>
      </c>
      <c r="AJ1066" t="s">
        <v>164</v>
      </c>
      <c r="AK1066" t="s">
        <v>5353</v>
      </c>
      <c r="AL1066" t="s">
        <v>5386</v>
      </c>
      <c r="AM1066" t="s">
        <v>5355</v>
      </c>
      <c r="AN1066" t="s">
        <v>5217</v>
      </c>
      <c r="AO1066" t="s">
        <v>11</v>
      </c>
      <c r="AP1066" t="s">
        <v>11</v>
      </c>
      <c r="AQ1066" t="s">
        <v>5537</v>
      </c>
      <c r="AR1066" t="s">
        <v>5225</v>
      </c>
      <c r="AS1066" t="s">
        <v>11</v>
      </c>
      <c r="AT1066" t="s">
        <v>11</v>
      </c>
      <c r="AU1066" t="s">
        <v>11</v>
      </c>
      <c r="AV1066" t="s">
        <v>11</v>
      </c>
      <c r="AW1066" t="s">
        <v>11</v>
      </c>
      <c r="AX1066" t="s">
        <v>11</v>
      </c>
      <c r="AY1066" t="s">
        <v>11</v>
      </c>
      <c r="AZ1066" t="s">
        <v>11</v>
      </c>
      <c r="BA1066" t="s">
        <v>11</v>
      </c>
      <c r="BB1066" t="s">
        <v>11</v>
      </c>
      <c r="BC1066" t="s">
        <v>11</v>
      </c>
      <c r="BD1066" t="s">
        <v>11</v>
      </c>
      <c r="BE1066" t="s">
        <v>11</v>
      </c>
      <c r="BF1066" t="s">
        <v>11</v>
      </c>
      <c r="BG1066" t="s">
        <v>11</v>
      </c>
      <c r="BH1066" t="s">
        <v>6415</v>
      </c>
      <c r="BI1066" t="s">
        <v>6412</v>
      </c>
      <c r="BJ1066" t="s">
        <v>11</v>
      </c>
    </row>
    <row r="1067" spans="1:62" x14ac:dyDescent="0.3">
      <c r="A1067" t="s">
        <v>6416</v>
      </c>
      <c r="C1067" t="s">
        <v>11</v>
      </c>
      <c r="D1067" t="s">
        <v>6417</v>
      </c>
      <c r="E1067" t="s">
        <v>6418</v>
      </c>
      <c r="F1067">
        <v>1069</v>
      </c>
      <c r="G1067">
        <v>43</v>
      </c>
      <c r="H1067">
        <v>30</v>
      </c>
      <c r="I1067">
        <v>8</v>
      </c>
      <c r="J1067">
        <v>12</v>
      </c>
      <c r="L1067">
        <v>3</v>
      </c>
      <c r="M1067">
        <v>1</v>
      </c>
      <c r="P1067">
        <v>3</v>
      </c>
      <c r="AF1067">
        <v>8.1883099999999995</v>
      </c>
      <c r="AI1067" t="s">
        <v>0</v>
      </c>
      <c r="AJ1067" t="s">
        <v>164</v>
      </c>
      <c r="AK1067" t="s">
        <v>11</v>
      </c>
      <c r="AL1067" t="s">
        <v>5386</v>
      </c>
      <c r="AM1067" t="s">
        <v>5355</v>
      </c>
      <c r="AN1067" t="s">
        <v>5217</v>
      </c>
      <c r="AO1067" t="s">
        <v>11</v>
      </c>
      <c r="AP1067" t="s">
        <v>11</v>
      </c>
      <c r="AQ1067" t="s">
        <v>5537</v>
      </c>
      <c r="AR1067" t="s">
        <v>5225</v>
      </c>
      <c r="AS1067" t="s">
        <v>11</v>
      </c>
      <c r="AT1067" t="s">
        <v>11</v>
      </c>
      <c r="AU1067" t="s">
        <v>11</v>
      </c>
      <c r="AV1067" t="s">
        <v>11</v>
      </c>
      <c r="AW1067" t="s">
        <v>11</v>
      </c>
      <c r="AX1067" t="s">
        <v>11</v>
      </c>
      <c r="AY1067" t="s">
        <v>11</v>
      </c>
      <c r="AZ1067" t="s">
        <v>11</v>
      </c>
      <c r="BA1067" t="s">
        <v>11</v>
      </c>
      <c r="BB1067" t="s">
        <v>11</v>
      </c>
      <c r="BC1067" t="s">
        <v>11</v>
      </c>
      <c r="BD1067" t="s">
        <v>11</v>
      </c>
      <c r="BE1067" t="s">
        <v>11</v>
      </c>
      <c r="BF1067" t="s">
        <v>11</v>
      </c>
      <c r="BG1067" t="s">
        <v>11</v>
      </c>
      <c r="BH1067" t="s">
        <v>6419</v>
      </c>
      <c r="BI1067" t="s">
        <v>6416</v>
      </c>
      <c r="BJ1067" t="s">
        <v>11</v>
      </c>
    </row>
    <row r="1068" spans="1:62" x14ac:dyDescent="0.3">
      <c r="A1068" t="s">
        <v>6420</v>
      </c>
      <c r="C1068" t="s">
        <v>11</v>
      </c>
      <c r="D1068" t="s">
        <v>2772</v>
      </c>
      <c r="E1068" t="s">
        <v>6421</v>
      </c>
      <c r="F1068">
        <v>1070</v>
      </c>
      <c r="G1068">
        <v>37.6</v>
      </c>
      <c r="H1068">
        <v>33.799999999999997</v>
      </c>
      <c r="I1068">
        <v>8.6999999999999993</v>
      </c>
      <c r="J1068">
        <v>13.5</v>
      </c>
      <c r="K1068">
        <v>2.1</v>
      </c>
      <c r="L1068">
        <v>1</v>
      </c>
      <c r="M1068">
        <v>0.9</v>
      </c>
      <c r="N1068">
        <v>0.3</v>
      </c>
      <c r="P1068">
        <v>2.1</v>
      </c>
      <c r="AF1068">
        <v>8.4036139999999993</v>
      </c>
      <c r="AI1068" t="s">
        <v>0</v>
      </c>
      <c r="AJ1068" t="s">
        <v>223</v>
      </c>
      <c r="AK1068" t="s">
        <v>2227</v>
      </c>
      <c r="AL1068" t="s">
        <v>6422</v>
      </c>
      <c r="AM1068" t="s">
        <v>6423</v>
      </c>
      <c r="AN1068" t="s">
        <v>1266</v>
      </c>
      <c r="AO1068" t="s">
        <v>6424</v>
      </c>
      <c r="AP1068" t="s">
        <v>11</v>
      </c>
      <c r="AQ1068" t="s">
        <v>5481</v>
      </c>
      <c r="AR1068" t="s">
        <v>5986</v>
      </c>
      <c r="AS1068" t="s">
        <v>11</v>
      </c>
      <c r="AT1068" t="s">
        <v>11</v>
      </c>
      <c r="AU1068" t="s">
        <v>11</v>
      </c>
      <c r="AV1068" t="s">
        <v>11</v>
      </c>
      <c r="AW1068" t="s">
        <v>11</v>
      </c>
      <c r="AX1068" t="s">
        <v>11</v>
      </c>
      <c r="AY1068" t="s">
        <v>11</v>
      </c>
      <c r="AZ1068" t="s">
        <v>11</v>
      </c>
      <c r="BA1068" t="s">
        <v>11</v>
      </c>
      <c r="BB1068" t="s">
        <v>11</v>
      </c>
      <c r="BC1068" t="s">
        <v>11</v>
      </c>
      <c r="BD1068" t="s">
        <v>11</v>
      </c>
      <c r="BE1068" t="s">
        <v>11</v>
      </c>
      <c r="BF1068" t="s">
        <v>11</v>
      </c>
      <c r="BG1068" t="s">
        <v>11</v>
      </c>
      <c r="BH1068" t="s">
        <v>6425</v>
      </c>
      <c r="BI1068" t="s">
        <v>6420</v>
      </c>
      <c r="BJ1068" t="s">
        <v>11</v>
      </c>
    </row>
    <row r="1069" spans="1:62" x14ac:dyDescent="0.3">
      <c r="A1069" t="s">
        <v>6426</v>
      </c>
      <c r="C1069" t="s">
        <v>11</v>
      </c>
      <c r="D1069" t="s">
        <v>2783</v>
      </c>
      <c r="E1069" t="s">
        <v>6427</v>
      </c>
      <c r="F1069">
        <v>1071</v>
      </c>
      <c r="G1069">
        <v>40.699999999999996</v>
      </c>
      <c r="H1069">
        <v>30</v>
      </c>
      <c r="I1069">
        <v>8.1999999999999993</v>
      </c>
      <c r="J1069">
        <v>14.2</v>
      </c>
      <c r="K1069">
        <v>2</v>
      </c>
      <c r="L1069">
        <v>2.7</v>
      </c>
      <c r="M1069">
        <v>1.3</v>
      </c>
      <c r="N1069">
        <v>0.9</v>
      </c>
      <c r="AF1069">
        <v>8.3373489999999979</v>
      </c>
      <c r="AI1069" t="s">
        <v>0</v>
      </c>
      <c r="AJ1069" t="s">
        <v>194</v>
      </c>
      <c r="AK1069" t="s">
        <v>5223</v>
      </c>
      <c r="AL1069" t="s">
        <v>5386</v>
      </c>
      <c r="AM1069" t="s">
        <v>5714</v>
      </c>
      <c r="AN1069" t="s">
        <v>225</v>
      </c>
      <c r="AO1069" t="s">
        <v>2536</v>
      </c>
      <c r="AP1069" t="s">
        <v>11</v>
      </c>
      <c r="AQ1069" t="s">
        <v>1153</v>
      </c>
      <c r="AR1069" t="s">
        <v>11</v>
      </c>
      <c r="AS1069" t="s">
        <v>11</v>
      </c>
      <c r="AT1069" t="s">
        <v>11</v>
      </c>
      <c r="AU1069" t="s">
        <v>11</v>
      </c>
      <c r="AV1069" t="s">
        <v>11</v>
      </c>
      <c r="AW1069" t="s">
        <v>11</v>
      </c>
      <c r="AX1069" t="s">
        <v>11</v>
      </c>
      <c r="AY1069" t="s">
        <v>11</v>
      </c>
      <c r="AZ1069" t="s">
        <v>11</v>
      </c>
      <c r="BA1069" t="s">
        <v>11</v>
      </c>
      <c r="BB1069" t="s">
        <v>11</v>
      </c>
      <c r="BC1069" t="s">
        <v>11</v>
      </c>
      <c r="BD1069" t="s">
        <v>11</v>
      </c>
      <c r="BE1069" t="s">
        <v>11</v>
      </c>
      <c r="BF1069" t="s">
        <v>11</v>
      </c>
      <c r="BG1069" t="s">
        <v>11</v>
      </c>
      <c r="BH1069" t="s">
        <v>6428</v>
      </c>
      <c r="BI1069" t="s">
        <v>6426</v>
      </c>
      <c r="BJ1069" t="s">
        <v>11</v>
      </c>
    </row>
    <row r="1070" spans="1:62" x14ac:dyDescent="0.3">
      <c r="A1070" t="s">
        <v>6429</v>
      </c>
      <c r="C1070" t="s">
        <v>11</v>
      </c>
      <c r="D1070" t="s">
        <v>6430</v>
      </c>
      <c r="E1070" t="s">
        <v>6431</v>
      </c>
      <c r="F1070">
        <v>1072</v>
      </c>
      <c r="G1070">
        <v>52.410000000000004</v>
      </c>
      <c r="H1070">
        <v>17.489999999999998</v>
      </c>
      <c r="I1070">
        <v>5.42</v>
      </c>
      <c r="J1070">
        <v>4.17</v>
      </c>
      <c r="L1070">
        <v>2.0299999999999998</v>
      </c>
      <c r="M1070">
        <v>1.52</v>
      </c>
      <c r="N1070">
        <v>1.44</v>
      </c>
      <c r="O1070">
        <v>3.08</v>
      </c>
      <c r="S1070">
        <v>0.08</v>
      </c>
      <c r="W1070">
        <v>12.36</v>
      </c>
      <c r="AF1070">
        <v>8.3000247000000016</v>
      </c>
      <c r="AI1070" t="s">
        <v>0</v>
      </c>
      <c r="AJ1070" t="s">
        <v>527</v>
      </c>
      <c r="AK1070" t="s">
        <v>11</v>
      </c>
      <c r="AL1070" t="s">
        <v>5397</v>
      </c>
      <c r="AM1070" t="s">
        <v>2555</v>
      </c>
      <c r="AN1070" t="s">
        <v>396</v>
      </c>
      <c r="AO1070" t="s">
        <v>177</v>
      </c>
      <c r="AP1070" t="s">
        <v>6432</v>
      </c>
      <c r="AQ1070" t="s">
        <v>5559</v>
      </c>
      <c r="AR1070" t="s">
        <v>11</v>
      </c>
      <c r="AS1070" t="s">
        <v>11</v>
      </c>
      <c r="AT1070" t="s">
        <v>11</v>
      </c>
      <c r="AU1070" t="s">
        <v>352</v>
      </c>
      <c r="AV1070" t="s">
        <v>11</v>
      </c>
      <c r="AW1070" t="s">
        <v>11</v>
      </c>
      <c r="AX1070" t="s">
        <v>11</v>
      </c>
      <c r="AY1070" t="s">
        <v>6433</v>
      </c>
      <c r="AZ1070" t="s">
        <v>11</v>
      </c>
      <c r="BA1070" t="s">
        <v>11</v>
      </c>
      <c r="BB1070" t="s">
        <v>11</v>
      </c>
      <c r="BC1070" t="s">
        <v>11</v>
      </c>
      <c r="BD1070" t="s">
        <v>11</v>
      </c>
      <c r="BE1070" t="s">
        <v>11</v>
      </c>
      <c r="BF1070" t="s">
        <v>11</v>
      </c>
      <c r="BG1070" t="s">
        <v>11</v>
      </c>
      <c r="BH1070" t="s">
        <v>6434</v>
      </c>
      <c r="BI1070" t="s">
        <v>6429</v>
      </c>
      <c r="BJ1070" t="s">
        <v>11</v>
      </c>
    </row>
    <row r="1071" spans="1:62" x14ac:dyDescent="0.3">
      <c r="A1071" t="s">
        <v>6435</v>
      </c>
      <c r="C1071" t="s">
        <v>11</v>
      </c>
      <c r="D1071" t="s">
        <v>6436</v>
      </c>
      <c r="E1071" t="s">
        <v>6431</v>
      </c>
      <c r="F1071">
        <v>1073</v>
      </c>
      <c r="G1071">
        <v>52.14</v>
      </c>
      <c r="H1071">
        <v>15.53</v>
      </c>
      <c r="I1071">
        <v>5.63</v>
      </c>
      <c r="J1071">
        <v>4.18</v>
      </c>
      <c r="L1071">
        <v>2.0699999999999998</v>
      </c>
      <c r="M1071">
        <v>1.49</v>
      </c>
      <c r="N1071">
        <v>1.5</v>
      </c>
      <c r="O1071">
        <v>3.07</v>
      </c>
      <c r="S1071">
        <v>0.08</v>
      </c>
      <c r="W1071">
        <v>14.31</v>
      </c>
      <c r="AI1071" t="s">
        <v>0</v>
      </c>
      <c r="AJ1071" t="s">
        <v>1110</v>
      </c>
      <c r="AK1071" t="s">
        <v>11</v>
      </c>
      <c r="AL1071" t="s">
        <v>6437</v>
      </c>
      <c r="AM1071" t="s">
        <v>2555</v>
      </c>
      <c r="AN1071" t="s">
        <v>396</v>
      </c>
      <c r="AO1071" t="s">
        <v>5361</v>
      </c>
      <c r="AP1071" t="s">
        <v>6432</v>
      </c>
      <c r="AQ1071" t="s">
        <v>422</v>
      </c>
      <c r="AR1071" t="s">
        <v>11</v>
      </c>
      <c r="AS1071" t="s">
        <v>11</v>
      </c>
      <c r="AT1071" t="s">
        <v>11</v>
      </c>
      <c r="AU1071" t="s">
        <v>352</v>
      </c>
      <c r="AV1071" t="s">
        <v>11</v>
      </c>
      <c r="AW1071" t="s">
        <v>11</v>
      </c>
      <c r="AX1071" t="s">
        <v>11</v>
      </c>
      <c r="AY1071" t="s">
        <v>6438</v>
      </c>
      <c r="AZ1071" t="s">
        <v>11</v>
      </c>
      <c r="BA1071" t="s">
        <v>11</v>
      </c>
      <c r="BB1071" t="s">
        <v>11</v>
      </c>
      <c r="BC1071" t="s">
        <v>11</v>
      </c>
      <c r="BD1071" t="s">
        <v>11</v>
      </c>
      <c r="BE1071" t="s">
        <v>11</v>
      </c>
      <c r="BF1071" t="s">
        <v>11</v>
      </c>
      <c r="BG1071" t="s">
        <v>11</v>
      </c>
      <c r="BH1071" t="s">
        <v>6439</v>
      </c>
      <c r="BI1071" t="s">
        <v>6435</v>
      </c>
      <c r="BJ1071" t="s">
        <v>11</v>
      </c>
    </row>
    <row r="1072" spans="1:62" x14ac:dyDescent="0.3">
      <c r="A1072" t="s">
        <v>6440</v>
      </c>
      <c r="C1072" t="s">
        <v>11</v>
      </c>
      <c r="D1072" t="s">
        <v>6441</v>
      </c>
      <c r="E1072" t="s">
        <v>6431</v>
      </c>
      <c r="F1072">
        <v>1074</v>
      </c>
      <c r="G1072">
        <v>52.13</v>
      </c>
      <c r="H1072">
        <v>11.78</v>
      </c>
      <c r="I1072">
        <v>5.45</v>
      </c>
      <c r="J1072">
        <v>4.1399999999999997</v>
      </c>
      <c r="L1072">
        <v>2.06</v>
      </c>
      <c r="M1072">
        <v>1.52</v>
      </c>
      <c r="N1072">
        <v>1.51</v>
      </c>
      <c r="O1072">
        <v>3.06</v>
      </c>
      <c r="S1072">
        <v>0.08</v>
      </c>
      <c r="W1072">
        <v>18.27</v>
      </c>
      <c r="AI1072" t="s">
        <v>0</v>
      </c>
      <c r="AJ1072" t="s">
        <v>1142</v>
      </c>
      <c r="AK1072" t="s">
        <v>11</v>
      </c>
      <c r="AL1072" t="s">
        <v>6442</v>
      </c>
      <c r="AM1072" t="s">
        <v>236</v>
      </c>
      <c r="AN1072" t="s">
        <v>396</v>
      </c>
      <c r="AO1072" t="s">
        <v>5361</v>
      </c>
      <c r="AP1072" t="s">
        <v>6432</v>
      </c>
      <c r="AQ1072" t="s">
        <v>422</v>
      </c>
      <c r="AR1072" t="s">
        <v>11</v>
      </c>
      <c r="AS1072" t="s">
        <v>11</v>
      </c>
      <c r="AT1072" t="s">
        <v>11</v>
      </c>
      <c r="AU1072" t="s">
        <v>352</v>
      </c>
      <c r="AV1072" t="s">
        <v>11</v>
      </c>
      <c r="AW1072" t="s">
        <v>11</v>
      </c>
      <c r="AX1072" t="s">
        <v>11</v>
      </c>
      <c r="AY1072" t="s">
        <v>6443</v>
      </c>
      <c r="AZ1072" t="s">
        <v>11</v>
      </c>
      <c r="BA1072" t="s">
        <v>11</v>
      </c>
      <c r="BB1072" t="s">
        <v>11</v>
      </c>
      <c r="BC1072" t="s">
        <v>11</v>
      </c>
      <c r="BD1072" t="s">
        <v>11</v>
      </c>
      <c r="BE1072" t="s">
        <v>11</v>
      </c>
      <c r="BF1072" t="s">
        <v>11</v>
      </c>
      <c r="BG1072" t="s">
        <v>11</v>
      </c>
      <c r="BH1072" t="s">
        <v>6444</v>
      </c>
      <c r="BI1072" t="s">
        <v>6440</v>
      </c>
      <c r="BJ1072" t="s">
        <v>11</v>
      </c>
    </row>
    <row r="1073" spans="1:62" x14ac:dyDescent="0.3">
      <c r="A1073" t="s">
        <v>6445</v>
      </c>
      <c r="C1073" t="s">
        <v>11</v>
      </c>
      <c r="D1073" t="s">
        <v>6446</v>
      </c>
      <c r="E1073" t="s">
        <v>6431</v>
      </c>
      <c r="F1073">
        <v>1075</v>
      </c>
      <c r="G1073">
        <v>48.260000000000005</v>
      </c>
      <c r="H1073">
        <v>17.440000000000001</v>
      </c>
      <c r="I1073">
        <v>5.44</v>
      </c>
      <c r="J1073">
        <v>8.32</v>
      </c>
      <c r="L1073">
        <v>2.08</v>
      </c>
      <c r="M1073">
        <v>1.55</v>
      </c>
      <c r="N1073">
        <v>1.48</v>
      </c>
      <c r="O1073">
        <v>3.11</v>
      </c>
      <c r="S1073">
        <v>0.08</v>
      </c>
      <c r="W1073">
        <v>12.24</v>
      </c>
      <c r="AI1073" t="s">
        <v>0</v>
      </c>
      <c r="AJ1073" t="s">
        <v>527</v>
      </c>
      <c r="AK1073" t="s">
        <v>11</v>
      </c>
      <c r="AL1073" t="s">
        <v>6447</v>
      </c>
      <c r="AM1073" t="s">
        <v>6448</v>
      </c>
      <c r="AN1073" t="s">
        <v>167</v>
      </c>
      <c r="AO1073" t="s">
        <v>5361</v>
      </c>
      <c r="AP1073" t="s">
        <v>6432</v>
      </c>
      <c r="AQ1073" t="s">
        <v>422</v>
      </c>
      <c r="AR1073" t="s">
        <v>11</v>
      </c>
      <c r="AS1073" t="s">
        <v>11</v>
      </c>
      <c r="AT1073" t="s">
        <v>11</v>
      </c>
      <c r="AU1073" t="s">
        <v>352</v>
      </c>
      <c r="AV1073" t="s">
        <v>11</v>
      </c>
      <c r="AW1073" t="s">
        <v>11</v>
      </c>
      <c r="AX1073" t="s">
        <v>11</v>
      </c>
      <c r="AY1073" t="s">
        <v>6449</v>
      </c>
      <c r="AZ1073" t="s">
        <v>11</v>
      </c>
      <c r="BA1073" t="s">
        <v>11</v>
      </c>
      <c r="BB1073" t="s">
        <v>11</v>
      </c>
      <c r="BC1073" t="s">
        <v>11</v>
      </c>
      <c r="BD1073" t="s">
        <v>11</v>
      </c>
      <c r="BE1073" t="s">
        <v>11</v>
      </c>
      <c r="BF1073" t="s">
        <v>11</v>
      </c>
      <c r="BG1073" t="s">
        <v>11</v>
      </c>
      <c r="BH1073" t="s">
        <v>6450</v>
      </c>
      <c r="BI1073" t="s">
        <v>6445</v>
      </c>
      <c r="BJ1073" t="s">
        <v>11</v>
      </c>
    </row>
    <row r="1074" spans="1:62" x14ac:dyDescent="0.3">
      <c r="A1074" t="s">
        <v>6451</v>
      </c>
      <c r="C1074" t="s">
        <v>11</v>
      </c>
      <c r="D1074" t="s">
        <v>6452</v>
      </c>
      <c r="E1074" t="s">
        <v>6431</v>
      </c>
      <c r="F1074">
        <v>1076</v>
      </c>
      <c r="G1074">
        <v>48.25</v>
      </c>
      <c r="H1074">
        <v>15.59</v>
      </c>
      <c r="I1074">
        <v>5.44</v>
      </c>
      <c r="J1074">
        <v>8.2899999999999991</v>
      </c>
      <c r="L1074">
        <v>2.0699999999999998</v>
      </c>
      <c r="M1074">
        <v>1.51</v>
      </c>
      <c r="N1074">
        <v>1.45</v>
      </c>
      <c r="O1074">
        <v>3.1</v>
      </c>
      <c r="S1074">
        <v>0.08</v>
      </c>
      <c r="W1074">
        <v>14.22</v>
      </c>
      <c r="AI1074" t="s">
        <v>0</v>
      </c>
      <c r="AJ1074" t="s">
        <v>527</v>
      </c>
      <c r="AK1074" t="s">
        <v>11</v>
      </c>
      <c r="AL1074" t="s">
        <v>6453</v>
      </c>
      <c r="AM1074" t="s">
        <v>6448</v>
      </c>
      <c r="AN1074" t="s">
        <v>396</v>
      </c>
      <c r="AO1074" t="s">
        <v>5361</v>
      </c>
      <c r="AP1074" t="s">
        <v>6432</v>
      </c>
      <c r="AQ1074" t="s">
        <v>422</v>
      </c>
      <c r="AR1074" t="s">
        <v>11</v>
      </c>
      <c r="AS1074" t="s">
        <v>11</v>
      </c>
      <c r="AT1074" t="s">
        <v>11</v>
      </c>
      <c r="AU1074" t="s">
        <v>352</v>
      </c>
      <c r="AV1074" t="s">
        <v>11</v>
      </c>
      <c r="AW1074" t="s">
        <v>11</v>
      </c>
      <c r="AX1074" t="s">
        <v>11</v>
      </c>
      <c r="AY1074" t="s">
        <v>6454</v>
      </c>
      <c r="AZ1074" t="s">
        <v>11</v>
      </c>
      <c r="BA1074" t="s">
        <v>11</v>
      </c>
      <c r="BB1074" t="s">
        <v>11</v>
      </c>
      <c r="BC1074" t="s">
        <v>11</v>
      </c>
      <c r="BD1074" t="s">
        <v>11</v>
      </c>
      <c r="BE1074" t="s">
        <v>11</v>
      </c>
      <c r="BF1074" t="s">
        <v>11</v>
      </c>
      <c r="BG1074" t="s">
        <v>11</v>
      </c>
      <c r="BH1074" t="s">
        <v>6455</v>
      </c>
      <c r="BI1074" t="s">
        <v>6451</v>
      </c>
      <c r="BJ1074" t="s">
        <v>11</v>
      </c>
    </row>
    <row r="1075" spans="1:62" x14ac:dyDescent="0.3">
      <c r="A1075" t="s">
        <v>6456</v>
      </c>
      <c r="C1075" t="s">
        <v>11</v>
      </c>
      <c r="D1075" t="s">
        <v>6457</v>
      </c>
      <c r="E1075" t="s">
        <v>6431</v>
      </c>
      <c r="F1075">
        <v>1077</v>
      </c>
      <c r="G1075">
        <v>48.05</v>
      </c>
      <c r="H1075">
        <v>11.81</v>
      </c>
      <c r="I1075">
        <v>5.49</v>
      </c>
      <c r="J1075">
        <v>8.3000000000000007</v>
      </c>
      <c r="L1075">
        <v>2.04</v>
      </c>
      <c r="M1075">
        <v>1.44</v>
      </c>
      <c r="N1075">
        <v>1.41</v>
      </c>
      <c r="O1075">
        <v>3.1</v>
      </c>
      <c r="S1075">
        <v>0.08</v>
      </c>
      <c r="W1075">
        <v>18.28</v>
      </c>
      <c r="AI1075" t="s">
        <v>0</v>
      </c>
      <c r="AJ1075" t="s">
        <v>1142</v>
      </c>
      <c r="AK1075" t="s">
        <v>11</v>
      </c>
      <c r="AL1075" t="s">
        <v>6442</v>
      </c>
      <c r="AM1075" t="s">
        <v>6448</v>
      </c>
      <c r="AN1075" t="s">
        <v>176</v>
      </c>
      <c r="AO1075" t="s">
        <v>177</v>
      </c>
      <c r="AP1075" t="s">
        <v>6432</v>
      </c>
      <c r="AQ1075" t="s">
        <v>5559</v>
      </c>
      <c r="AR1075" t="s">
        <v>11</v>
      </c>
      <c r="AS1075" t="s">
        <v>11</v>
      </c>
      <c r="AT1075" t="s">
        <v>11</v>
      </c>
      <c r="AU1075" t="s">
        <v>352</v>
      </c>
      <c r="AV1075" t="s">
        <v>11</v>
      </c>
      <c r="AW1075" t="s">
        <v>11</v>
      </c>
      <c r="AX1075" t="s">
        <v>11</v>
      </c>
      <c r="AY1075" t="s">
        <v>6443</v>
      </c>
      <c r="AZ1075" t="s">
        <v>11</v>
      </c>
      <c r="BA1075" t="s">
        <v>11</v>
      </c>
      <c r="BB1075" t="s">
        <v>11</v>
      </c>
      <c r="BC1075" t="s">
        <v>11</v>
      </c>
      <c r="BD1075" t="s">
        <v>11</v>
      </c>
      <c r="BE1075" t="s">
        <v>11</v>
      </c>
      <c r="BF1075" t="s">
        <v>11</v>
      </c>
      <c r="BG1075" t="s">
        <v>11</v>
      </c>
      <c r="BH1075" t="s">
        <v>6458</v>
      </c>
      <c r="BI1075" t="s">
        <v>6456</v>
      </c>
      <c r="BJ1075" t="s">
        <v>11</v>
      </c>
    </row>
    <row r="1076" spans="1:62" x14ac:dyDescent="0.3">
      <c r="A1076" t="s">
        <v>6459</v>
      </c>
      <c r="C1076" t="s">
        <v>11</v>
      </c>
      <c r="D1076" t="s">
        <v>6460</v>
      </c>
      <c r="E1076" t="s">
        <v>6461</v>
      </c>
      <c r="F1076">
        <v>1078</v>
      </c>
      <c r="G1076">
        <v>72.960000000000008</v>
      </c>
      <c r="H1076">
        <v>10</v>
      </c>
      <c r="I1076">
        <v>5</v>
      </c>
      <c r="L1076">
        <v>6</v>
      </c>
      <c r="N1076">
        <v>3</v>
      </c>
      <c r="O1076">
        <v>3</v>
      </c>
      <c r="S1076">
        <v>0.04</v>
      </c>
      <c r="AI1076" t="s">
        <v>0</v>
      </c>
      <c r="AJ1076" t="s">
        <v>735</v>
      </c>
      <c r="AK1076" t="s">
        <v>11</v>
      </c>
      <c r="AL1076" t="s">
        <v>5598</v>
      </c>
      <c r="AM1076" t="s">
        <v>11</v>
      </c>
      <c r="AN1076" t="s">
        <v>11</v>
      </c>
      <c r="AO1076" t="s">
        <v>5617</v>
      </c>
      <c r="AP1076" t="s">
        <v>6462</v>
      </c>
      <c r="AQ1076" t="s">
        <v>6143</v>
      </c>
      <c r="AR1076" t="s">
        <v>11</v>
      </c>
      <c r="AS1076" t="s">
        <v>11</v>
      </c>
      <c r="AT1076" t="s">
        <v>11</v>
      </c>
      <c r="AU1076" t="s">
        <v>344</v>
      </c>
      <c r="AV1076" t="s">
        <v>11</v>
      </c>
      <c r="AW1076" t="s">
        <v>11</v>
      </c>
      <c r="AX1076" t="s">
        <v>11</v>
      </c>
      <c r="AY1076" t="s">
        <v>11</v>
      </c>
      <c r="AZ1076" t="s">
        <v>11</v>
      </c>
      <c r="BA1076" t="s">
        <v>11</v>
      </c>
      <c r="BB1076" t="s">
        <v>11</v>
      </c>
      <c r="BC1076" t="s">
        <v>11</v>
      </c>
      <c r="BD1076" t="s">
        <v>11</v>
      </c>
      <c r="BE1076" t="s">
        <v>11</v>
      </c>
      <c r="BF1076" t="s">
        <v>11</v>
      </c>
      <c r="BG1076" t="s">
        <v>11</v>
      </c>
      <c r="BH1076" t="s">
        <v>6463</v>
      </c>
      <c r="BI1076" t="s">
        <v>6459</v>
      </c>
      <c r="BJ1076" t="s">
        <v>11</v>
      </c>
    </row>
    <row r="1077" spans="1:62" x14ac:dyDescent="0.3">
      <c r="A1077" t="s">
        <v>6464</v>
      </c>
      <c r="C1077" t="s">
        <v>11</v>
      </c>
      <c r="D1077" t="s">
        <v>6465</v>
      </c>
      <c r="E1077" t="s">
        <v>6466</v>
      </c>
      <c r="F1077">
        <v>1079</v>
      </c>
      <c r="G1077">
        <v>68.960000000000008</v>
      </c>
      <c r="H1077">
        <v>10</v>
      </c>
      <c r="I1077">
        <v>5</v>
      </c>
      <c r="J1077">
        <v>4</v>
      </c>
      <c r="L1077">
        <v>6</v>
      </c>
      <c r="N1077">
        <v>3</v>
      </c>
      <c r="O1077">
        <v>3</v>
      </c>
      <c r="S1077">
        <v>0.04</v>
      </c>
      <c r="AI1077" t="s">
        <v>0</v>
      </c>
      <c r="AJ1077" t="s">
        <v>735</v>
      </c>
      <c r="AK1077" t="s">
        <v>11</v>
      </c>
      <c r="AL1077" t="s">
        <v>5598</v>
      </c>
      <c r="AM1077" t="s">
        <v>5599</v>
      </c>
      <c r="AN1077" t="s">
        <v>11</v>
      </c>
      <c r="AO1077" t="s">
        <v>5617</v>
      </c>
      <c r="AP1077" t="s">
        <v>6462</v>
      </c>
      <c r="AQ1077" t="s">
        <v>6143</v>
      </c>
      <c r="AR1077" t="s">
        <v>11</v>
      </c>
      <c r="AS1077" t="s">
        <v>11</v>
      </c>
      <c r="AT1077" t="s">
        <v>11</v>
      </c>
      <c r="AU1077" t="s">
        <v>344</v>
      </c>
      <c r="AV1077" t="s">
        <v>11</v>
      </c>
      <c r="AW1077" t="s">
        <v>11</v>
      </c>
      <c r="AX1077" t="s">
        <v>11</v>
      </c>
      <c r="AY1077" t="s">
        <v>11</v>
      </c>
      <c r="AZ1077" t="s">
        <v>11</v>
      </c>
      <c r="BA1077" t="s">
        <v>11</v>
      </c>
      <c r="BB1077" t="s">
        <v>11</v>
      </c>
      <c r="BC1077" t="s">
        <v>11</v>
      </c>
      <c r="BD1077" t="s">
        <v>11</v>
      </c>
      <c r="BE1077" t="s">
        <v>11</v>
      </c>
      <c r="BF1077" t="s">
        <v>11</v>
      </c>
      <c r="BG1077" t="s">
        <v>11</v>
      </c>
      <c r="BH1077" t="s">
        <v>6467</v>
      </c>
      <c r="BI1077" t="s">
        <v>6464</v>
      </c>
      <c r="BJ1077" t="s">
        <v>11</v>
      </c>
    </row>
    <row r="1078" spans="1:62" x14ac:dyDescent="0.3">
      <c r="A1078" t="s">
        <v>6468</v>
      </c>
      <c r="C1078" t="s">
        <v>11</v>
      </c>
      <c r="D1078" t="s">
        <v>6469</v>
      </c>
      <c r="E1078" t="s">
        <v>6470</v>
      </c>
      <c r="F1078">
        <v>1080</v>
      </c>
      <c r="G1078">
        <v>72.960000000000008</v>
      </c>
      <c r="H1078">
        <v>10</v>
      </c>
      <c r="I1078">
        <v>5</v>
      </c>
      <c r="J1078">
        <v>4</v>
      </c>
      <c r="L1078">
        <v>2</v>
      </c>
      <c r="N1078">
        <v>3</v>
      </c>
      <c r="O1078">
        <v>3</v>
      </c>
      <c r="S1078">
        <v>0.04</v>
      </c>
      <c r="AI1078" t="s">
        <v>0</v>
      </c>
      <c r="AJ1078" t="s">
        <v>735</v>
      </c>
      <c r="AK1078" t="s">
        <v>11</v>
      </c>
      <c r="AL1078" t="s">
        <v>5598</v>
      </c>
      <c r="AM1078" t="s">
        <v>5599</v>
      </c>
      <c r="AN1078" t="s">
        <v>11</v>
      </c>
      <c r="AO1078" t="s">
        <v>5617</v>
      </c>
      <c r="AP1078" t="s">
        <v>6462</v>
      </c>
      <c r="AQ1078" t="s">
        <v>5559</v>
      </c>
      <c r="AR1078" t="s">
        <v>11</v>
      </c>
      <c r="AS1078" t="s">
        <v>11</v>
      </c>
      <c r="AT1078" t="s">
        <v>11</v>
      </c>
      <c r="AU1078" t="s">
        <v>344</v>
      </c>
      <c r="AV1078" t="s">
        <v>11</v>
      </c>
      <c r="AW1078" t="s">
        <v>11</v>
      </c>
      <c r="AX1078" t="s">
        <v>11</v>
      </c>
      <c r="AY1078" t="s">
        <v>11</v>
      </c>
      <c r="AZ1078" t="s">
        <v>11</v>
      </c>
      <c r="BA1078" t="s">
        <v>11</v>
      </c>
      <c r="BB1078" t="s">
        <v>11</v>
      </c>
      <c r="BC1078" t="s">
        <v>11</v>
      </c>
      <c r="BD1078" t="s">
        <v>11</v>
      </c>
      <c r="BE1078" t="s">
        <v>11</v>
      </c>
      <c r="BF1078" t="s">
        <v>11</v>
      </c>
      <c r="BG1078" t="s">
        <v>11</v>
      </c>
      <c r="BH1078" t="s">
        <v>6471</v>
      </c>
      <c r="BI1078" t="s">
        <v>6468</v>
      </c>
      <c r="BJ1078" t="s">
        <v>11</v>
      </c>
    </row>
    <row r="1079" spans="1:62" x14ac:dyDescent="0.3">
      <c r="A1079" t="s">
        <v>6472</v>
      </c>
      <c r="C1079" t="s">
        <v>11</v>
      </c>
      <c r="D1079" t="s">
        <v>6473</v>
      </c>
      <c r="E1079" t="s">
        <v>6474</v>
      </c>
      <c r="F1079">
        <v>1081</v>
      </c>
      <c r="G1079">
        <v>68.960000000000008</v>
      </c>
      <c r="H1079">
        <v>10</v>
      </c>
      <c r="I1079">
        <v>5</v>
      </c>
      <c r="J1079">
        <v>8</v>
      </c>
      <c r="L1079">
        <v>2</v>
      </c>
      <c r="N1079">
        <v>3</v>
      </c>
      <c r="O1079">
        <v>3</v>
      </c>
      <c r="S1079">
        <v>0.04</v>
      </c>
      <c r="AI1079" t="s">
        <v>0</v>
      </c>
      <c r="AJ1079" t="s">
        <v>735</v>
      </c>
      <c r="AK1079" t="s">
        <v>11</v>
      </c>
      <c r="AL1079" t="s">
        <v>5598</v>
      </c>
      <c r="AM1079" t="s">
        <v>5616</v>
      </c>
      <c r="AN1079" t="s">
        <v>11</v>
      </c>
      <c r="AO1079" t="s">
        <v>5617</v>
      </c>
      <c r="AP1079" t="s">
        <v>6462</v>
      </c>
      <c r="AQ1079" t="s">
        <v>5559</v>
      </c>
      <c r="AR1079" t="s">
        <v>11</v>
      </c>
      <c r="AS1079" t="s">
        <v>11</v>
      </c>
      <c r="AT1079" t="s">
        <v>11</v>
      </c>
      <c r="AU1079" t="s">
        <v>344</v>
      </c>
      <c r="AV1079" t="s">
        <v>11</v>
      </c>
      <c r="AW1079" t="s">
        <v>11</v>
      </c>
      <c r="AX1079" t="s">
        <v>11</v>
      </c>
      <c r="AY1079" t="s">
        <v>11</v>
      </c>
      <c r="AZ1079" t="s">
        <v>11</v>
      </c>
      <c r="BA1079" t="s">
        <v>11</v>
      </c>
      <c r="BB1079" t="s">
        <v>11</v>
      </c>
      <c r="BC1079" t="s">
        <v>11</v>
      </c>
      <c r="BD1079" t="s">
        <v>11</v>
      </c>
      <c r="BE1079" t="s">
        <v>11</v>
      </c>
      <c r="BF1079" t="s">
        <v>11</v>
      </c>
      <c r="BG1079" t="s">
        <v>11</v>
      </c>
      <c r="BH1079" t="s">
        <v>6475</v>
      </c>
      <c r="BI1079" t="s">
        <v>6472</v>
      </c>
      <c r="BJ1079" t="s">
        <v>11</v>
      </c>
    </row>
    <row r="1080" spans="1:62" x14ac:dyDescent="0.3">
      <c r="A1080" t="s">
        <v>6476</v>
      </c>
      <c r="C1080" t="s">
        <v>11</v>
      </c>
      <c r="D1080" t="s">
        <v>6477</v>
      </c>
      <c r="E1080" t="s">
        <v>6478</v>
      </c>
      <c r="F1080">
        <v>1082</v>
      </c>
      <c r="G1080">
        <v>73.03</v>
      </c>
      <c r="H1080">
        <v>9.74</v>
      </c>
      <c r="I1080">
        <v>4.9800000000000004</v>
      </c>
      <c r="J1080">
        <v>4.1500000000000004</v>
      </c>
      <c r="L1080">
        <v>2.04</v>
      </c>
      <c r="M1080">
        <v>1.59</v>
      </c>
      <c r="N1080">
        <v>1.37</v>
      </c>
      <c r="O1080">
        <v>3.02</v>
      </c>
      <c r="S1080">
        <v>0.08</v>
      </c>
      <c r="AI1080" t="s">
        <v>0</v>
      </c>
      <c r="AJ1080" t="s">
        <v>735</v>
      </c>
      <c r="AK1080" t="s">
        <v>11</v>
      </c>
      <c r="AL1080" t="s">
        <v>6479</v>
      </c>
      <c r="AM1080" t="s">
        <v>2555</v>
      </c>
      <c r="AN1080" t="s">
        <v>167</v>
      </c>
      <c r="AO1080" t="s">
        <v>177</v>
      </c>
      <c r="AP1080" t="s">
        <v>6462</v>
      </c>
      <c r="AQ1080" t="s">
        <v>5559</v>
      </c>
      <c r="AR1080" t="s">
        <v>11</v>
      </c>
      <c r="AS1080" t="s">
        <v>11</v>
      </c>
      <c r="AT1080" t="s">
        <v>11</v>
      </c>
      <c r="AU1080" t="s">
        <v>352</v>
      </c>
      <c r="AV1080" t="s">
        <v>11</v>
      </c>
      <c r="AW1080" t="s">
        <v>11</v>
      </c>
      <c r="AX1080" t="s">
        <v>11</v>
      </c>
      <c r="AY1080" t="s">
        <v>11</v>
      </c>
      <c r="AZ1080" t="s">
        <v>11</v>
      </c>
      <c r="BA1080" t="s">
        <v>11</v>
      </c>
      <c r="BB1080" t="s">
        <v>11</v>
      </c>
      <c r="BC1080" t="s">
        <v>11</v>
      </c>
      <c r="BD1080" t="s">
        <v>11</v>
      </c>
      <c r="BE1080" t="s">
        <v>11</v>
      </c>
      <c r="BF1080" t="s">
        <v>11</v>
      </c>
      <c r="BG1080" t="s">
        <v>11</v>
      </c>
      <c r="BH1080" t="s">
        <v>6480</v>
      </c>
      <c r="BI1080" t="s">
        <v>6476</v>
      </c>
      <c r="BJ1080" t="s">
        <v>11</v>
      </c>
    </row>
    <row r="1081" spans="1:62" x14ac:dyDescent="0.3">
      <c r="A1081" t="s">
        <v>6481</v>
      </c>
      <c r="C1081" t="s">
        <v>11</v>
      </c>
      <c r="D1081" t="s">
        <v>6482</v>
      </c>
      <c r="E1081" t="s">
        <v>6483</v>
      </c>
      <c r="F1081">
        <v>1083</v>
      </c>
      <c r="G1081">
        <v>63.180000000000007</v>
      </c>
      <c r="H1081">
        <v>19.43</v>
      </c>
      <c r="I1081">
        <v>5.13</v>
      </c>
      <c r="J1081">
        <v>4.1100000000000003</v>
      </c>
      <c r="L1081">
        <v>2.06</v>
      </c>
      <c r="M1081">
        <v>1.59</v>
      </c>
      <c r="N1081">
        <v>1.37</v>
      </c>
      <c r="O1081">
        <v>3.05</v>
      </c>
      <c r="S1081">
        <v>0.08</v>
      </c>
      <c r="AI1081" t="s">
        <v>0</v>
      </c>
      <c r="AJ1081" t="s">
        <v>6104</v>
      </c>
      <c r="AK1081" t="s">
        <v>11</v>
      </c>
      <c r="AL1081" t="s">
        <v>6484</v>
      </c>
      <c r="AM1081" t="s">
        <v>236</v>
      </c>
      <c r="AN1081" t="s">
        <v>167</v>
      </c>
      <c r="AO1081" t="s">
        <v>177</v>
      </c>
      <c r="AP1081" t="s">
        <v>6432</v>
      </c>
      <c r="AQ1081" t="s">
        <v>422</v>
      </c>
      <c r="AR1081" t="s">
        <v>11</v>
      </c>
      <c r="AS1081" t="s">
        <v>11</v>
      </c>
      <c r="AT1081" t="s">
        <v>11</v>
      </c>
      <c r="AU1081" t="s">
        <v>352</v>
      </c>
      <c r="AV1081" t="s">
        <v>11</v>
      </c>
      <c r="AW1081" t="s">
        <v>11</v>
      </c>
      <c r="AX1081" t="s">
        <v>11</v>
      </c>
      <c r="AY1081" t="s">
        <v>11</v>
      </c>
      <c r="AZ1081" t="s">
        <v>11</v>
      </c>
      <c r="BA1081" t="s">
        <v>11</v>
      </c>
      <c r="BB1081" t="s">
        <v>11</v>
      </c>
      <c r="BC1081" t="s">
        <v>11</v>
      </c>
      <c r="BD1081" t="s">
        <v>11</v>
      </c>
      <c r="BE1081" t="s">
        <v>11</v>
      </c>
      <c r="BF1081" t="s">
        <v>11</v>
      </c>
      <c r="BG1081" t="s">
        <v>11</v>
      </c>
      <c r="BH1081" t="s">
        <v>6485</v>
      </c>
      <c r="BI1081" t="s">
        <v>6481</v>
      </c>
      <c r="BJ1081" t="s">
        <v>11</v>
      </c>
    </row>
    <row r="1082" spans="1:62" x14ac:dyDescent="0.3">
      <c r="A1082" t="s">
        <v>6486</v>
      </c>
      <c r="C1082" t="s">
        <v>11</v>
      </c>
      <c r="D1082" t="s">
        <v>6487</v>
      </c>
      <c r="E1082" t="s">
        <v>6488</v>
      </c>
      <c r="F1082">
        <v>1084</v>
      </c>
      <c r="G1082">
        <v>52.580000000000005</v>
      </c>
      <c r="H1082">
        <v>29.36</v>
      </c>
      <c r="I1082">
        <v>5.44</v>
      </c>
      <c r="J1082">
        <v>4.07</v>
      </c>
      <c r="L1082">
        <v>2.27</v>
      </c>
      <c r="M1082">
        <v>1.69</v>
      </c>
      <c r="N1082">
        <v>1.37</v>
      </c>
      <c r="O1082">
        <v>3.14</v>
      </c>
      <c r="S1082">
        <v>0.08</v>
      </c>
      <c r="AI1082" t="s">
        <v>0</v>
      </c>
      <c r="AJ1082" t="s">
        <v>527</v>
      </c>
      <c r="AK1082" t="s">
        <v>11</v>
      </c>
      <c r="AL1082" t="s">
        <v>2114</v>
      </c>
      <c r="AM1082" t="s">
        <v>236</v>
      </c>
      <c r="AN1082" t="s">
        <v>1515</v>
      </c>
      <c r="AO1082" t="s">
        <v>177</v>
      </c>
      <c r="AP1082" t="s">
        <v>6432</v>
      </c>
      <c r="AQ1082" t="s">
        <v>3987</v>
      </c>
      <c r="AR1082" t="s">
        <v>11</v>
      </c>
      <c r="AS1082" t="s">
        <v>11</v>
      </c>
      <c r="AT1082" t="s">
        <v>11</v>
      </c>
      <c r="AU1082" t="s">
        <v>352</v>
      </c>
      <c r="AV1082" t="s">
        <v>11</v>
      </c>
      <c r="AW1082" t="s">
        <v>11</v>
      </c>
      <c r="AX1082" t="s">
        <v>11</v>
      </c>
      <c r="AY1082" t="s">
        <v>11</v>
      </c>
      <c r="AZ1082" t="s">
        <v>11</v>
      </c>
      <c r="BA1082" t="s">
        <v>11</v>
      </c>
      <c r="BB1082" t="s">
        <v>11</v>
      </c>
      <c r="BC1082" t="s">
        <v>11</v>
      </c>
      <c r="BD1082" t="s">
        <v>11</v>
      </c>
      <c r="BE1082" t="s">
        <v>11</v>
      </c>
      <c r="BF1082" t="s">
        <v>11</v>
      </c>
      <c r="BG1082" t="s">
        <v>11</v>
      </c>
      <c r="BH1082" t="s">
        <v>6489</v>
      </c>
      <c r="BI1082" t="s">
        <v>6486</v>
      </c>
      <c r="BJ1082" t="s">
        <v>11</v>
      </c>
    </row>
    <row r="1083" spans="1:62" x14ac:dyDescent="0.3">
      <c r="A1083" t="s">
        <v>6490</v>
      </c>
      <c r="C1083" t="s">
        <v>11</v>
      </c>
      <c r="D1083" t="s">
        <v>6491</v>
      </c>
      <c r="E1083" t="s">
        <v>6492</v>
      </c>
      <c r="F1083">
        <v>1085</v>
      </c>
      <c r="G1083">
        <v>68.84</v>
      </c>
      <c r="H1083">
        <v>9.74</v>
      </c>
      <c r="I1083">
        <v>5.04</v>
      </c>
      <c r="J1083">
        <v>8.2200000000000006</v>
      </c>
      <c r="L1083">
        <v>2.0699999999999998</v>
      </c>
      <c r="M1083">
        <v>1.58</v>
      </c>
      <c r="N1083">
        <v>1.41</v>
      </c>
      <c r="O1083">
        <v>3.02</v>
      </c>
      <c r="S1083">
        <v>0.08</v>
      </c>
      <c r="AI1083" t="s">
        <v>0</v>
      </c>
      <c r="AJ1083" t="s">
        <v>735</v>
      </c>
      <c r="AK1083" t="s">
        <v>11</v>
      </c>
      <c r="AL1083" t="s">
        <v>6479</v>
      </c>
      <c r="AM1083" t="s">
        <v>244</v>
      </c>
      <c r="AN1083" t="s">
        <v>167</v>
      </c>
      <c r="AO1083" t="s">
        <v>177</v>
      </c>
      <c r="AP1083" t="s">
        <v>6462</v>
      </c>
      <c r="AQ1083" t="s">
        <v>422</v>
      </c>
      <c r="AR1083" t="s">
        <v>11</v>
      </c>
      <c r="AS1083" t="s">
        <v>11</v>
      </c>
      <c r="AT1083" t="s">
        <v>11</v>
      </c>
      <c r="AU1083" t="s">
        <v>352</v>
      </c>
      <c r="AV1083" t="s">
        <v>11</v>
      </c>
      <c r="AW1083" t="s">
        <v>11</v>
      </c>
      <c r="AX1083" t="s">
        <v>11</v>
      </c>
      <c r="AY1083" t="s">
        <v>11</v>
      </c>
      <c r="AZ1083" t="s">
        <v>11</v>
      </c>
      <c r="BA1083" t="s">
        <v>11</v>
      </c>
      <c r="BB1083" t="s">
        <v>11</v>
      </c>
      <c r="BC1083" t="s">
        <v>11</v>
      </c>
      <c r="BD1083" t="s">
        <v>11</v>
      </c>
      <c r="BE1083" t="s">
        <v>11</v>
      </c>
      <c r="BF1083" t="s">
        <v>11</v>
      </c>
      <c r="BG1083" t="s">
        <v>11</v>
      </c>
      <c r="BH1083" t="s">
        <v>6493</v>
      </c>
      <c r="BI1083" t="s">
        <v>6490</v>
      </c>
      <c r="BJ1083" t="s">
        <v>11</v>
      </c>
    </row>
    <row r="1084" spans="1:62" x14ac:dyDescent="0.3">
      <c r="A1084" t="s">
        <v>6494</v>
      </c>
      <c r="C1084" t="s">
        <v>11</v>
      </c>
      <c r="D1084" t="s">
        <v>6495</v>
      </c>
      <c r="E1084" t="s">
        <v>6496</v>
      </c>
      <c r="F1084">
        <v>1086</v>
      </c>
      <c r="G1084">
        <v>59.019999999999996</v>
      </c>
      <c r="H1084">
        <v>19.54</v>
      </c>
      <c r="I1084">
        <v>4.9800000000000004</v>
      </c>
      <c r="J1084">
        <v>8.2899999999999991</v>
      </c>
      <c r="L1084">
        <v>2.0699999999999998</v>
      </c>
      <c r="M1084">
        <v>1.61</v>
      </c>
      <c r="N1084">
        <v>1.38</v>
      </c>
      <c r="O1084">
        <v>3.03</v>
      </c>
      <c r="S1084">
        <v>0.08</v>
      </c>
      <c r="AI1084" t="s">
        <v>0</v>
      </c>
      <c r="AJ1084" t="s">
        <v>735</v>
      </c>
      <c r="AK1084" t="s">
        <v>11</v>
      </c>
      <c r="AL1084" t="s">
        <v>1965</v>
      </c>
      <c r="AM1084" t="s">
        <v>6448</v>
      </c>
      <c r="AN1084" t="s">
        <v>167</v>
      </c>
      <c r="AO1084" t="s">
        <v>177</v>
      </c>
      <c r="AP1084" t="s">
        <v>6462</v>
      </c>
      <c r="AQ1084" t="s">
        <v>422</v>
      </c>
      <c r="AR1084" t="s">
        <v>11</v>
      </c>
      <c r="AS1084" t="s">
        <v>11</v>
      </c>
      <c r="AT1084" t="s">
        <v>11</v>
      </c>
      <c r="AU1084" t="s">
        <v>352</v>
      </c>
      <c r="AV1084" t="s">
        <v>11</v>
      </c>
      <c r="AW1084" t="s">
        <v>11</v>
      </c>
      <c r="AX1084" t="s">
        <v>11</v>
      </c>
      <c r="AY1084" t="s">
        <v>11</v>
      </c>
      <c r="AZ1084" t="s">
        <v>11</v>
      </c>
      <c r="BA1084" t="s">
        <v>11</v>
      </c>
      <c r="BB1084" t="s">
        <v>11</v>
      </c>
      <c r="BC1084" t="s">
        <v>11</v>
      </c>
      <c r="BD1084" t="s">
        <v>11</v>
      </c>
      <c r="BE1084" t="s">
        <v>11</v>
      </c>
      <c r="BF1084" t="s">
        <v>11</v>
      </c>
      <c r="BG1084" t="s">
        <v>11</v>
      </c>
      <c r="BH1084" t="s">
        <v>6497</v>
      </c>
      <c r="BI1084" t="s">
        <v>6494</v>
      </c>
      <c r="BJ1084" t="s">
        <v>11</v>
      </c>
    </row>
    <row r="1085" spans="1:62" x14ac:dyDescent="0.3">
      <c r="A1085" t="s">
        <v>6498</v>
      </c>
      <c r="C1085" t="s">
        <v>11</v>
      </c>
      <c r="D1085" t="s">
        <v>6499</v>
      </c>
      <c r="E1085" t="s">
        <v>6500</v>
      </c>
      <c r="F1085">
        <v>1087</v>
      </c>
      <c r="G1085">
        <v>48.690000000000005</v>
      </c>
      <c r="H1085">
        <v>29.66</v>
      </c>
      <c r="I1085">
        <v>4.9800000000000004</v>
      </c>
      <c r="J1085">
        <v>8.19</v>
      </c>
      <c r="L1085">
        <v>2.08</v>
      </c>
      <c r="M1085">
        <v>1.65</v>
      </c>
      <c r="N1085">
        <v>1.6</v>
      </c>
      <c r="O1085">
        <v>3.07</v>
      </c>
      <c r="S1085">
        <v>0.08</v>
      </c>
      <c r="AI1085" t="s">
        <v>0</v>
      </c>
      <c r="AJ1085" t="s">
        <v>735</v>
      </c>
      <c r="AK1085" t="s">
        <v>11</v>
      </c>
      <c r="AL1085" t="s">
        <v>1569</v>
      </c>
      <c r="AM1085" t="s">
        <v>244</v>
      </c>
      <c r="AN1085" t="s">
        <v>1515</v>
      </c>
      <c r="AO1085" t="s">
        <v>5371</v>
      </c>
      <c r="AP1085" t="s">
        <v>6432</v>
      </c>
      <c r="AQ1085" t="s">
        <v>422</v>
      </c>
      <c r="AR1085" t="s">
        <v>11</v>
      </c>
      <c r="AS1085" t="s">
        <v>11</v>
      </c>
      <c r="AT1085" t="s">
        <v>11</v>
      </c>
      <c r="AU1085" t="s">
        <v>352</v>
      </c>
      <c r="AV1085" t="s">
        <v>11</v>
      </c>
      <c r="AW1085" t="s">
        <v>11</v>
      </c>
      <c r="AX1085" t="s">
        <v>11</v>
      </c>
      <c r="AY1085" t="s">
        <v>11</v>
      </c>
      <c r="AZ1085" t="s">
        <v>11</v>
      </c>
      <c r="BA1085" t="s">
        <v>11</v>
      </c>
      <c r="BB1085" t="s">
        <v>11</v>
      </c>
      <c r="BC1085" t="s">
        <v>11</v>
      </c>
      <c r="BD1085" t="s">
        <v>11</v>
      </c>
      <c r="BE1085" t="s">
        <v>11</v>
      </c>
      <c r="BF1085" t="s">
        <v>11</v>
      </c>
      <c r="BG1085" t="s">
        <v>11</v>
      </c>
      <c r="BH1085" t="s">
        <v>6501</v>
      </c>
      <c r="BI1085" t="s">
        <v>6498</v>
      </c>
      <c r="BJ1085" t="s">
        <v>11</v>
      </c>
    </row>
    <row r="1086" spans="1:62" x14ac:dyDescent="0.3">
      <c r="A1086" t="s">
        <v>6502</v>
      </c>
      <c r="C1086" t="s">
        <v>11</v>
      </c>
      <c r="D1086" t="s">
        <v>6503</v>
      </c>
      <c r="E1086" t="s">
        <v>6504</v>
      </c>
      <c r="F1086">
        <v>1088</v>
      </c>
      <c r="G1086">
        <v>49.7</v>
      </c>
      <c r="H1086">
        <v>29.2</v>
      </c>
      <c r="I1086">
        <v>11.1</v>
      </c>
      <c r="J1086">
        <v>4.2</v>
      </c>
      <c r="K1086">
        <v>5.8</v>
      </c>
      <c r="AI1086" t="s">
        <v>0</v>
      </c>
      <c r="AJ1086" t="s">
        <v>1237</v>
      </c>
      <c r="AK1086" t="s">
        <v>470</v>
      </c>
      <c r="AL1086" t="s">
        <v>1238</v>
      </c>
      <c r="AM1086" t="s">
        <v>2555</v>
      </c>
      <c r="AN1086" t="s">
        <v>11</v>
      </c>
      <c r="AO1086" t="s">
        <v>11</v>
      </c>
      <c r="AP1086" t="s">
        <v>11</v>
      </c>
      <c r="AQ1086" t="s">
        <v>11</v>
      </c>
      <c r="AR1086" t="s">
        <v>11</v>
      </c>
      <c r="AS1086" t="s">
        <v>11</v>
      </c>
      <c r="AT1086" t="s">
        <v>11</v>
      </c>
      <c r="AU1086" t="s">
        <v>11</v>
      </c>
      <c r="AV1086" t="s">
        <v>11</v>
      </c>
      <c r="AW1086" t="s">
        <v>11</v>
      </c>
      <c r="AX1086" t="s">
        <v>11</v>
      </c>
      <c r="AY1086" t="s">
        <v>11</v>
      </c>
      <c r="AZ1086" t="s">
        <v>11</v>
      </c>
      <c r="BA1086" t="s">
        <v>11</v>
      </c>
      <c r="BB1086" t="s">
        <v>11</v>
      </c>
      <c r="BC1086" t="s">
        <v>11</v>
      </c>
      <c r="BD1086" t="s">
        <v>11</v>
      </c>
      <c r="BE1086" t="s">
        <v>11</v>
      </c>
      <c r="BF1086" t="s">
        <v>11</v>
      </c>
      <c r="BG1086" t="s">
        <v>11</v>
      </c>
      <c r="BH1086" t="s">
        <v>6505</v>
      </c>
      <c r="BI1086" t="s">
        <v>6502</v>
      </c>
      <c r="BJ1086" t="s">
        <v>11</v>
      </c>
    </row>
    <row r="1087" spans="1:62" x14ac:dyDescent="0.3">
      <c r="A1087" t="s">
        <v>6506</v>
      </c>
      <c r="C1087" t="s">
        <v>11</v>
      </c>
      <c r="D1087" t="s">
        <v>6507</v>
      </c>
      <c r="E1087" t="s">
        <v>6504</v>
      </c>
      <c r="F1087">
        <v>1089</v>
      </c>
      <c r="G1087">
        <v>45.9</v>
      </c>
      <c r="H1087">
        <v>29.2</v>
      </c>
      <c r="I1087">
        <v>10.9</v>
      </c>
      <c r="J1087">
        <v>4.0999999999999996</v>
      </c>
      <c r="K1087">
        <v>5.8</v>
      </c>
      <c r="W1087">
        <v>4.0999999999999996</v>
      </c>
      <c r="AI1087" t="s">
        <v>0</v>
      </c>
      <c r="AJ1087" t="s">
        <v>5370</v>
      </c>
      <c r="AK1087" t="s">
        <v>470</v>
      </c>
      <c r="AL1087" t="s">
        <v>1238</v>
      </c>
      <c r="AM1087" t="s">
        <v>236</v>
      </c>
      <c r="AN1087" t="s">
        <v>11</v>
      </c>
      <c r="AO1087" t="s">
        <v>11</v>
      </c>
      <c r="AP1087" t="s">
        <v>11</v>
      </c>
      <c r="AQ1087" t="s">
        <v>11</v>
      </c>
      <c r="AR1087" t="s">
        <v>11</v>
      </c>
      <c r="AS1087" t="s">
        <v>11</v>
      </c>
      <c r="AT1087" t="s">
        <v>11</v>
      </c>
      <c r="AU1087" t="s">
        <v>11</v>
      </c>
      <c r="AV1087" t="s">
        <v>11</v>
      </c>
      <c r="AW1087" t="s">
        <v>11</v>
      </c>
      <c r="AX1087" t="s">
        <v>11</v>
      </c>
      <c r="AY1087" t="s">
        <v>6508</v>
      </c>
      <c r="AZ1087" t="s">
        <v>11</v>
      </c>
      <c r="BA1087" t="s">
        <v>11</v>
      </c>
      <c r="BB1087" t="s">
        <v>11</v>
      </c>
      <c r="BC1087" t="s">
        <v>11</v>
      </c>
      <c r="BD1087" t="s">
        <v>11</v>
      </c>
      <c r="BE1087" t="s">
        <v>11</v>
      </c>
      <c r="BF1087" t="s">
        <v>11</v>
      </c>
      <c r="BG1087" t="s">
        <v>11</v>
      </c>
      <c r="BH1087" t="s">
        <v>6509</v>
      </c>
      <c r="BI1087" t="s">
        <v>6506</v>
      </c>
      <c r="BJ1087" t="s">
        <v>11</v>
      </c>
    </row>
    <row r="1088" spans="1:62" x14ac:dyDescent="0.3">
      <c r="A1088" t="s">
        <v>6510</v>
      </c>
      <c r="C1088" t="s">
        <v>11</v>
      </c>
      <c r="D1088" t="s">
        <v>6511</v>
      </c>
      <c r="E1088" t="s">
        <v>6504</v>
      </c>
      <c r="F1088">
        <v>1090</v>
      </c>
      <c r="G1088">
        <v>41.899999999999991</v>
      </c>
      <c r="H1088">
        <v>29.3</v>
      </c>
      <c r="I1088">
        <v>10.8</v>
      </c>
      <c r="J1088">
        <v>4.0999999999999996</v>
      </c>
      <c r="K1088">
        <v>5.7</v>
      </c>
      <c r="W1088">
        <v>8.1999999999999993</v>
      </c>
      <c r="AI1088" t="s">
        <v>0</v>
      </c>
      <c r="AJ1088" t="s">
        <v>85</v>
      </c>
      <c r="AK1088" t="s">
        <v>214</v>
      </c>
      <c r="AL1088" t="s">
        <v>5953</v>
      </c>
      <c r="AM1088" t="s">
        <v>236</v>
      </c>
      <c r="AN1088" t="s">
        <v>11</v>
      </c>
      <c r="AO1088" t="s">
        <v>11</v>
      </c>
      <c r="AP1088" t="s">
        <v>11</v>
      </c>
      <c r="AQ1088" t="s">
        <v>11</v>
      </c>
      <c r="AR1088" t="s">
        <v>11</v>
      </c>
      <c r="AS1088" t="s">
        <v>11</v>
      </c>
      <c r="AT1088" t="s">
        <v>11</v>
      </c>
      <c r="AU1088" t="s">
        <v>11</v>
      </c>
      <c r="AV1088" t="s">
        <v>11</v>
      </c>
      <c r="AW1088" t="s">
        <v>11</v>
      </c>
      <c r="AX1088" t="s">
        <v>11</v>
      </c>
      <c r="AY1088" t="s">
        <v>6512</v>
      </c>
      <c r="AZ1088" t="s">
        <v>11</v>
      </c>
      <c r="BA1088" t="s">
        <v>11</v>
      </c>
      <c r="BB1088" t="s">
        <v>11</v>
      </c>
      <c r="BC1088" t="s">
        <v>11</v>
      </c>
      <c r="BD1088" t="s">
        <v>11</v>
      </c>
      <c r="BE1088" t="s">
        <v>11</v>
      </c>
      <c r="BF1088" t="s">
        <v>11</v>
      </c>
      <c r="BG1088" t="s">
        <v>11</v>
      </c>
      <c r="BH1088" t="s">
        <v>6513</v>
      </c>
      <c r="BI1088" t="s">
        <v>6510</v>
      </c>
      <c r="BJ1088" t="s">
        <v>11</v>
      </c>
    </row>
    <row r="1089" spans="1:62" x14ac:dyDescent="0.3">
      <c r="A1089" t="s">
        <v>6514</v>
      </c>
      <c r="C1089" t="s">
        <v>11</v>
      </c>
      <c r="D1089" t="s">
        <v>6515</v>
      </c>
      <c r="E1089" t="s">
        <v>6504</v>
      </c>
      <c r="F1089">
        <v>1091</v>
      </c>
      <c r="G1089">
        <v>38.199999999999989</v>
      </c>
      <c r="H1089">
        <v>29.3</v>
      </c>
      <c r="I1089">
        <v>10.4</v>
      </c>
      <c r="J1089">
        <v>4.0999999999999996</v>
      </c>
      <c r="K1089">
        <v>5.7</v>
      </c>
      <c r="W1089">
        <v>12.3</v>
      </c>
      <c r="AI1089" t="s">
        <v>0</v>
      </c>
      <c r="AJ1089" t="s">
        <v>2827</v>
      </c>
      <c r="AK1089" t="s">
        <v>214</v>
      </c>
      <c r="AL1089" t="s">
        <v>5953</v>
      </c>
      <c r="AM1089" t="s">
        <v>236</v>
      </c>
      <c r="AN1089" t="s">
        <v>11</v>
      </c>
      <c r="AO1089" t="s">
        <v>11</v>
      </c>
      <c r="AP1089" t="s">
        <v>11</v>
      </c>
      <c r="AQ1089" t="s">
        <v>11</v>
      </c>
      <c r="AR1089" t="s">
        <v>11</v>
      </c>
      <c r="AS1089" t="s">
        <v>11</v>
      </c>
      <c r="AT1089" t="s">
        <v>11</v>
      </c>
      <c r="AU1089" t="s">
        <v>11</v>
      </c>
      <c r="AV1089" t="s">
        <v>11</v>
      </c>
      <c r="AW1089" t="s">
        <v>11</v>
      </c>
      <c r="AX1089" t="s">
        <v>11</v>
      </c>
      <c r="AY1089" t="s">
        <v>6516</v>
      </c>
      <c r="AZ1089" t="s">
        <v>11</v>
      </c>
      <c r="BA1089" t="s">
        <v>11</v>
      </c>
      <c r="BB1089" t="s">
        <v>11</v>
      </c>
      <c r="BC1089" t="s">
        <v>11</v>
      </c>
      <c r="BD1089" t="s">
        <v>11</v>
      </c>
      <c r="BE1089" t="s">
        <v>11</v>
      </c>
      <c r="BF1089" t="s">
        <v>11</v>
      </c>
      <c r="BG1089" t="s">
        <v>11</v>
      </c>
      <c r="BH1089" t="s">
        <v>6517</v>
      </c>
      <c r="BI1089" t="s">
        <v>6514</v>
      </c>
      <c r="BJ1089" t="s">
        <v>11</v>
      </c>
    </row>
  </sheetData>
  <conditionalFormatting sqref="A1:A1048576">
    <cfRule type="duplicateValues" dxfId="28"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C16E-C131-4E7B-AEE2-A579177DE4E0}">
  <dimension ref="A1:AI363"/>
  <sheetViews>
    <sheetView topLeftCell="A340" workbookViewId="0">
      <selection activeCell="W355" sqref="W355"/>
    </sheetView>
  </sheetViews>
  <sheetFormatPr defaultRowHeight="14.4" x14ac:dyDescent="0.3"/>
  <cols>
    <col min="8" max="8" width="10.21875" bestFit="1" customWidth="1"/>
  </cols>
  <sheetData>
    <row r="1" spans="1:35" x14ac:dyDescent="0.3">
      <c r="A1" t="s">
        <v>6527</v>
      </c>
      <c r="B1" t="s">
        <v>6530</v>
      </c>
      <c r="C1" t="s">
        <v>6531</v>
      </c>
      <c r="D1" t="s">
        <v>7173</v>
      </c>
      <c r="E1" t="s">
        <v>6583</v>
      </c>
      <c r="F1" t="s">
        <v>6584</v>
      </c>
      <c r="G1" t="s">
        <v>6585</v>
      </c>
      <c r="H1" t="s">
        <v>6586</v>
      </c>
      <c r="I1" t="s">
        <v>6558</v>
      </c>
      <c r="J1" t="s">
        <v>6532</v>
      </c>
      <c r="K1" t="s">
        <v>0</v>
      </c>
      <c r="L1" t="s">
        <v>6533</v>
      </c>
      <c r="M1" t="s">
        <v>6534</v>
      </c>
      <c r="N1" t="s">
        <v>6535</v>
      </c>
      <c r="O1" t="s">
        <v>6536</v>
      </c>
      <c r="P1" t="s">
        <v>6537</v>
      </c>
      <c r="Q1" t="s">
        <v>6538</v>
      </c>
      <c r="R1" t="s">
        <v>6539</v>
      </c>
      <c r="S1" t="s">
        <v>6540</v>
      </c>
      <c r="T1" t="s">
        <v>6541</v>
      </c>
      <c r="U1" t="s">
        <v>6542</v>
      </c>
      <c r="V1" t="s">
        <v>6543</v>
      </c>
      <c r="W1" t="s">
        <v>5865</v>
      </c>
      <c r="X1" t="s">
        <v>6544</v>
      </c>
      <c r="Y1" t="s">
        <v>6545</v>
      </c>
      <c r="Z1" t="s">
        <v>6546</v>
      </c>
      <c r="AA1" t="s">
        <v>6547</v>
      </c>
      <c r="AB1" t="s">
        <v>6548</v>
      </c>
      <c r="AC1" t="s">
        <v>6549</v>
      </c>
      <c r="AD1" t="s">
        <v>6550</v>
      </c>
      <c r="AE1" t="s">
        <v>6551</v>
      </c>
      <c r="AF1" t="s">
        <v>6552</v>
      </c>
      <c r="AG1" t="s">
        <v>6553</v>
      </c>
      <c r="AH1" t="s">
        <v>6554</v>
      </c>
      <c r="AI1" t="s">
        <v>6555</v>
      </c>
    </row>
    <row r="2" spans="1:35" x14ac:dyDescent="0.3">
      <c r="A2" t="s">
        <v>356</v>
      </c>
      <c r="B2" t="s">
        <v>358</v>
      </c>
      <c r="C2" s="1" t="s">
        <v>6587</v>
      </c>
      <c r="D2" s="1">
        <v>900</v>
      </c>
      <c r="E2">
        <v>25</v>
      </c>
      <c r="F2">
        <v>0.3609</v>
      </c>
      <c r="G2">
        <v>0.35809999999999997</v>
      </c>
      <c r="H2" s="40">
        <f>2*(F2-G2)/(F2+G2)</f>
        <v>7.7885952712100828E-3</v>
      </c>
      <c r="I2" t="s">
        <v>6588</v>
      </c>
      <c r="J2">
        <f>VLOOKUP(Misfit[[#This Row],[Shortname]], Comp[], 6, FALSE)</f>
        <v>44</v>
      </c>
      <c r="K2">
        <f>VLOOKUP(Misfit[[#This Row],[Shortname]], Comp[], 7, FALSE)</f>
        <v>82.179999999999993</v>
      </c>
      <c r="L2">
        <f>VLOOKUP(Misfit[[#This Row],[Shortname]], Comp[], 8, FALSE)</f>
        <v>0</v>
      </c>
      <c r="M2">
        <f>VLOOKUP(Misfit[[#This Row],[Shortname]], Comp[], 9, FALSE)</f>
        <v>8.3000000000000007</v>
      </c>
      <c r="N2">
        <f>VLOOKUP(Misfit[[#This Row],[Shortname]], Comp[], 10, FALSE)</f>
        <v>0</v>
      </c>
      <c r="O2">
        <f>VLOOKUP(Misfit[[#This Row],[Shortname]], Comp[], 11, FALSE)</f>
        <v>9.4</v>
      </c>
      <c r="P2">
        <f>VLOOKUP(Misfit[[#This Row],[Shortname]], Comp[],12, FALSE)</f>
        <v>0</v>
      </c>
      <c r="Q2">
        <f>VLOOKUP(Misfit[[#This Row],[Shortname]], Comp[], 13, FALSE)</f>
        <v>0</v>
      </c>
      <c r="R2">
        <f>VLOOKUP(Misfit[[#This Row],[Shortname]], Comp[], 14, FALSE)</f>
        <v>0</v>
      </c>
      <c r="S2">
        <f>VLOOKUP(Misfit[[#This Row],[Shortname]], Comp[], 15, FALSE)</f>
        <v>0</v>
      </c>
      <c r="T2">
        <f>VLOOKUP(Misfit[[#This Row],[Shortname]], Comp[], 16, FALSE)</f>
        <v>0</v>
      </c>
      <c r="U2">
        <f>VLOOKUP(Misfit[[#This Row],[Shortname]], Comp[], 17, FALSE)</f>
        <v>0</v>
      </c>
      <c r="V2">
        <f>VLOOKUP(Misfit[[#This Row],[Shortname]], Comp[], 18, FALSE)</f>
        <v>0</v>
      </c>
      <c r="W2">
        <f>VLOOKUP(Misfit[[#This Row],[Shortname]], Comp[], 19, FALSE)</f>
        <v>0.12</v>
      </c>
      <c r="X2">
        <f>VLOOKUP(Misfit[[#This Row],[Shortname]], Comp[], 20, FALSE)</f>
        <v>0</v>
      </c>
      <c r="Y2">
        <f>VLOOKUP(Misfit[[#This Row],[Shortname]], Comp[], 21, FALSE)</f>
        <v>0</v>
      </c>
      <c r="Z2">
        <f>VLOOKUP(Misfit[[#This Row],[Shortname]], Comp[], 22, FALSE)</f>
        <v>0</v>
      </c>
      <c r="AA2">
        <f>VLOOKUP(Misfit[[#This Row],[Shortname]], Comp[], 23, FALSE)</f>
        <v>0</v>
      </c>
      <c r="AB2">
        <f>VLOOKUP(Misfit[[#This Row],[Shortname]], Comp[], 24, FALSE)</f>
        <v>0</v>
      </c>
      <c r="AC2">
        <f>VLOOKUP(Misfit[[#This Row],[Shortname]], Comp[], 25, FALSE)</f>
        <v>0</v>
      </c>
      <c r="AD2">
        <f>VLOOKUP(Misfit[[#This Row],[Shortname]], Comp[], 26, FALSE)</f>
        <v>0</v>
      </c>
      <c r="AE2">
        <f>VLOOKUP(Misfit[[#This Row],[Shortname]], Comp[], 27, FALSE)</f>
        <v>0</v>
      </c>
      <c r="AF2">
        <f>VLOOKUP(Misfit[[#This Row],[Shortname]], Comp[], 28, FALSE)</f>
        <v>0</v>
      </c>
      <c r="AG2">
        <f>VLOOKUP(Misfit[[#This Row],[Shortname]], Comp[], 29, FALSE)</f>
        <v>0</v>
      </c>
      <c r="AH2">
        <f>VLOOKUP(Misfit[[#This Row],[Shortname]], Comp[], 30, FALSE)</f>
        <v>0</v>
      </c>
      <c r="AI2">
        <f>VLOOKUP(Misfit[[#This Row],[Shortname]], Comp[], 31, FALSE)</f>
        <v>0</v>
      </c>
    </row>
    <row r="3" spans="1:35" x14ac:dyDescent="0.3">
      <c r="A3" t="s">
        <v>356</v>
      </c>
      <c r="B3" t="s">
        <v>358</v>
      </c>
      <c r="C3" s="1" t="s">
        <v>6589</v>
      </c>
      <c r="D3" s="1">
        <v>900</v>
      </c>
      <c r="E3">
        <v>850</v>
      </c>
      <c r="F3">
        <v>0.36570000000000003</v>
      </c>
      <c r="G3">
        <v>0.3644</v>
      </c>
      <c r="H3" s="40">
        <f>2*(F3-G3)/(F3+G3)</f>
        <v>3.561156006026636E-3</v>
      </c>
      <c r="I3" t="s">
        <v>6588</v>
      </c>
      <c r="J3">
        <f>VLOOKUP(Misfit[[#This Row],[Shortname]], Comp[], 6, FALSE)</f>
        <v>44</v>
      </c>
      <c r="K3">
        <f>VLOOKUP(Misfit[[#This Row],[Shortname]], Comp[], 7, FALSE)</f>
        <v>82.179999999999993</v>
      </c>
      <c r="L3">
        <f>VLOOKUP(Misfit[[#This Row],[Shortname]], Comp[], 8, FALSE)</f>
        <v>0</v>
      </c>
      <c r="M3">
        <f>VLOOKUP(Misfit[[#This Row],[Shortname]], Comp[], 9, FALSE)</f>
        <v>8.3000000000000007</v>
      </c>
      <c r="N3">
        <f>VLOOKUP(Misfit[[#This Row],[Shortname]], Comp[], 10, FALSE)</f>
        <v>0</v>
      </c>
      <c r="O3">
        <f>VLOOKUP(Misfit[[#This Row],[Shortname]], Comp[], 11, FALSE)</f>
        <v>9.4</v>
      </c>
      <c r="P3">
        <f>VLOOKUP(Misfit[[#This Row],[Shortname]], Comp[],12, FALSE)</f>
        <v>0</v>
      </c>
      <c r="Q3">
        <f>VLOOKUP(Misfit[[#This Row],[Shortname]], Comp[], 13, FALSE)</f>
        <v>0</v>
      </c>
      <c r="R3">
        <f>VLOOKUP(Misfit[[#This Row],[Shortname]], Comp[], 14, FALSE)</f>
        <v>0</v>
      </c>
      <c r="S3">
        <f>VLOOKUP(Misfit[[#This Row],[Shortname]], Comp[], 15, FALSE)</f>
        <v>0</v>
      </c>
      <c r="T3">
        <f>VLOOKUP(Misfit[[#This Row],[Shortname]], Comp[], 16, FALSE)</f>
        <v>0</v>
      </c>
      <c r="U3">
        <f>VLOOKUP(Misfit[[#This Row],[Shortname]], Comp[], 17, FALSE)</f>
        <v>0</v>
      </c>
      <c r="V3">
        <f>VLOOKUP(Misfit[[#This Row],[Shortname]], Comp[], 18, FALSE)</f>
        <v>0</v>
      </c>
      <c r="W3">
        <f>VLOOKUP(Misfit[[#This Row],[Shortname]], Comp[], 19, FALSE)</f>
        <v>0.12</v>
      </c>
      <c r="X3">
        <f>VLOOKUP(Misfit[[#This Row],[Shortname]], Comp[], 20, FALSE)</f>
        <v>0</v>
      </c>
      <c r="Y3">
        <f>VLOOKUP(Misfit[[#This Row],[Shortname]], Comp[], 21, FALSE)</f>
        <v>0</v>
      </c>
      <c r="Z3">
        <f>VLOOKUP(Misfit[[#This Row],[Shortname]], Comp[], 22, FALSE)</f>
        <v>0</v>
      </c>
      <c r="AA3">
        <f>VLOOKUP(Misfit[[#This Row],[Shortname]], Comp[], 23, FALSE)</f>
        <v>0</v>
      </c>
      <c r="AB3">
        <f>VLOOKUP(Misfit[[#This Row],[Shortname]], Comp[], 24, FALSE)</f>
        <v>0</v>
      </c>
      <c r="AC3">
        <f>VLOOKUP(Misfit[[#This Row],[Shortname]], Comp[], 25, FALSE)</f>
        <v>0</v>
      </c>
      <c r="AD3">
        <f>VLOOKUP(Misfit[[#This Row],[Shortname]], Comp[], 26, FALSE)</f>
        <v>0</v>
      </c>
      <c r="AE3">
        <f>VLOOKUP(Misfit[[#This Row],[Shortname]], Comp[], 27, FALSE)</f>
        <v>0</v>
      </c>
      <c r="AF3">
        <f>VLOOKUP(Misfit[[#This Row],[Shortname]], Comp[], 28, FALSE)</f>
        <v>0</v>
      </c>
      <c r="AG3">
        <f>VLOOKUP(Misfit[[#This Row],[Shortname]], Comp[], 29, FALSE)</f>
        <v>0</v>
      </c>
      <c r="AH3">
        <f>VLOOKUP(Misfit[[#This Row],[Shortname]], Comp[], 30, FALSE)</f>
        <v>0</v>
      </c>
      <c r="AI3">
        <f>VLOOKUP(Misfit[[#This Row],[Shortname]], Comp[], 31, FALSE)</f>
        <v>0</v>
      </c>
    </row>
    <row r="4" spans="1:35" x14ac:dyDescent="0.3">
      <c r="A4" t="s">
        <v>5315</v>
      </c>
      <c r="B4" t="s">
        <v>5317</v>
      </c>
      <c r="C4" s="2" t="s">
        <v>6590</v>
      </c>
      <c r="D4" s="2">
        <v>900</v>
      </c>
      <c r="E4">
        <v>25</v>
      </c>
      <c r="F4">
        <v>0.3619</v>
      </c>
      <c r="G4">
        <v>0.36009999999999998</v>
      </c>
      <c r="H4" s="40">
        <f>2*(F4-G4)/(F4+G4)</f>
        <v>4.9861495844876012E-3</v>
      </c>
      <c r="I4" t="s">
        <v>6591</v>
      </c>
      <c r="J4">
        <f>VLOOKUP(Misfit[[#This Row],[Shortname]], Comp[], 6, FALSE)</f>
        <v>21000</v>
      </c>
      <c r="K4">
        <f>VLOOKUP(Misfit[[#This Row],[Shortname]], Comp[], 7, FALSE)</f>
        <v>78.599999999999994</v>
      </c>
      <c r="L4">
        <f>VLOOKUP(Misfit[[#This Row],[Shortname]], Comp[], 8, FALSE)</f>
        <v>0</v>
      </c>
      <c r="M4">
        <f>VLOOKUP(Misfit[[#This Row],[Shortname]], Comp[], 9, FALSE)</f>
        <v>8.1</v>
      </c>
      <c r="N4">
        <f>VLOOKUP(Misfit[[#This Row],[Shortname]], Comp[], 10, FALSE)</f>
        <v>0</v>
      </c>
      <c r="O4">
        <f>VLOOKUP(Misfit[[#This Row],[Shortname]], Comp[], 11, FALSE)</f>
        <v>9.1</v>
      </c>
      <c r="P4">
        <f>VLOOKUP(Misfit[[#This Row],[Shortname]], Comp[],12, FALSE)</f>
        <v>0</v>
      </c>
      <c r="Q4">
        <f>VLOOKUP(Misfit[[#This Row],[Shortname]], Comp[], 13, FALSE)</f>
        <v>1.7</v>
      </c>
      <c r="R4">
        <f>VLOOKUP(Misfit[[#This Row],[Shortname]], Comp[], 14, FALSE)</f>
        <v>0</v>
      </c>
      <c r="S4">
        <f>VLOOKUP(Misfit[[#This Row],[Shortname]], Comp[], 15, FALSE)</f>
        <v>0</v>
      </c>
      <c r="T4">
        <f>VLOOKUP(Misfit[[#This Row],[Shortname]], Comp[], 16, FALSE)</f>
        <v>0</v>
      </c>
      <c r="U4">
        <f>VLOOKUP(Misfit[[#This Row],[Shortname]], Comp[], 17, FALSE)</f>
        <v>0</v>
      </c>
      <c r="V4">
        <f>VLOOKUP(Misfit[[#This Row],[Shortname]], Comp[], 18, FALSE)</f>
        <v>0</v>
      </c>
      <c r="W4">
        <f>VLOOKUP(Misfit[[#This Row],[Shortname]], Comp[], 19, FALSE)</f>
        <v>0</v>
      </c>
      <c r="X4">
        <f>VLOOKUP(Misfit[[#This Row],[Shortname]], Comp[], 20, FALSE)</f>
        <v>2.5</v>
      </c>
      <c r="Y4">
        <f>VLOOKUP(Misfit[[#This Row],[Shortname]], Comp[], 21, FALSE)</f>
        <v>0</v>
      </c>
      <c r="Z4">
        <f>VLOOKUP(Misfit[[#This Row],[Shortname]], Comp[], 22, FALSE)</f>
        <v>0</v>
      </c>
      <c r="AA4">
        <f>VLOOKUP(Misfit[[#This Row],[Shortname]], Comp[], 23, FALSE)</f>
        <v>0</v>
      </c>
      <c r="AB4">
        <f>VLOOKUP(Misfit[[#This Row],[Shortname]], Comp[], 24, FALSE)</f>
        <v>0</v>
      </c>
      <c r="AC4">
        <f>VLOOKUP(Misfit[[#This Row],[Shortname]], Comp[], 25, FALSE)</f>
        <v>0</v>
      </c>
      <c r="AD4">
        <f>VLOOKUP(Misfit[[#This Row],[Shortname]], Comp[], 26, FALSE)</f>
        <v>0</v>
      </c>
      <c r="AE4">
        <f>VLOOKUP(Misfit[[#This Row],[Shortname]], Comp[], 27, FALSE)</f>
        <v>0</v>
      </c>
      <c r="AF4">
        <f>VLOOKUP(Misfit[[#This Row],[Shortname]], Comp[], 28, FALSE)</f>
        <v>0</v>
      </c>
      <c r="AG4">
        <f>VLOOKUP(Misfit[[#This Row],[Shortname]], Comp[], 29, FALSE)</f>
        <v>0</v>
      </c>
      <c r="AH4">
        <f>VLOOKUP(Misfit[[#This Row],[Shortname]], Comp[], 30, FALSE)</f>
        <v>0</v>
      </c>
      <c r="AI4">
        <f>VLOOKUP(Misfit[[#This Row],[Shortname]], Comp[], 31, FALSE)</f>
        <v>0</v>
      </c>
    </row>
    <row r="5" spans="1:35" x14ac:dyDescent="0.3">
      <c r="A5" t="s">
        <v>641</v>
      </c>
      <c r="B5" t="s">
        <v>649</v>
      </c>
      <c r="C5" s="3" t="s">
        <v>6592</v>
      </c>
      <c r="D5" s="3">
        <v>900</v>
      </c>
      <c r="E5">
        <v>25</v>
      </c>
      <c r="H5" s="40">
        <v>2.5999999999999999E-3</v>
      </c>
      <c r="I5" t="s">
        <v>6593</v>
      </c>
      <c r="J5">
        <f>VLOOKUP(Misfit[[#This Row],[Shortname]], Comp[], 6, FALSE)</f>
        <v>82</v>
      </c>
      <c r="K5">
        <f>VLOOKUP(Misfit[[#This Row],[Shortname]], Comp[], 7, FALSE)</f>
        <v>82</v>
      </c>
      <c r="L5">
        <f>VLOOKUP(Misfit[[#This Row],[Shortname]], Comp[], 8, FALSE)</f>
        <v>0</v>
      </c>
      <c r="M5">
        <f>VLOOKUP(Misfit[[#This Row],[Shortname]], Comp[], 9, FALSE)</f>
        <v>9</v>
      </c>
      <c r="N5">
        <f>VLOOKUP(Misfit[[#This Row],[Shortname]], Comp[], 10, FALSE)</f>
        <v>0</v>
      </c>
      <c r="O5">
        <f>VLOOKUP(Misfit[[#This Row],[Shortname]], Comp[], 11, FALSE)</f>
        <v>9</v>
      </c>
      <c r="P5">
        <f>VLOOKUP(Misfit[[#This Row],[Shortname]], Comp[],12, FALSE)</f>
        <v>0</v>
      </c>
      <c r="Q5">
        <f>VLOOKUP(Misfit[[#This Row],[Shortname]], Comp[], 13, FALSE)</f>
        <v>0</v>
      </c>
      <c r="R5">
        <f>VLOOKUP(Misfit[[#This Row],[Shortname]], Comp[], 14, FALSE)</f>
        <v>0</v>
      </c>
      <c r="S5">
        <f>VLOOKUP(Misfit[[#This Row],[Shortname]], Comp[], 15, FALSE)</f>
        <v>0</v>
      </c>
      <c r="T5">
        <f>VLOOKUP(Misfit[[#This Row],[Shortname]], Comp[], 16, FALSE)</f>
        <v>0</v>
      </c>
      <c r="U5">
        <f>VLOOKUP(Misfit[[#This Row],[Shortname]], Comp[], 17, FALSE)</f>
        <v>0</v>
      </c>
      <c r="V5">
        <f>VLOOKUP(Misfit[[#This Row],[Shortname]], Comp[], 18, FALSE)</f>
        <v>0</v>
      </c>
      <c r="W5">
        <f>VLOOKUP(Misfit[[#This Row],[Shortname]], Comp[], 19, FALSE)</f>
        <v>0</v>
      </c>
      <c r="X5">
        <f>VLOOKUP(Misfit[[#This Row],[Shortname]], Comp[], 20, FALSE)</f>
        <v>0</v>
      </c>
      <c r="Y5">
        <f>VLOOKUP(Misfit[[#This Row],[Shortname]], Comp[], 21, FALSE)</f>
        <v>0</v>
      </c>
      <c r="Z5">
        <f>VLOOKUP(Misfit[[#This Row],[Shortname]], Comp[], 22, FALSE)</f>
        <v>0</v>
      </c>
      <c r="AA5">
        <f>VLOOKUP(Misfit[[#This Row],[Shortname]], Comp[], 23, FALSE)</f>
        <v>0</v>
      </c>
      <c r="AB5">
        <f>VLOOKUP(Misfit[[#This Row],[Shortname]], Comp[], 24, FALSE)</f>
        <v>0</v>
      </c>
      <c r="AC5">
        <f>VLOOKUP(Misfit[[#This Row],[Shortname]], Comp[], 25, FALSE)</f>
        <v>0</v>
      </c>
      <c r="AD5">
        <f>VLOOKUP(Misfit[[#This Row],[Shortname]], Comp[], 26, FALSE)</f>
        <v>0</v>
      </c>
      <c r="AE5">
        <f>VLOOKUP(Misfit[[#This Row],[Shortname]], Comp[], 27, FALSE)</f>
        <v>0</v>
      </c>
      <c r="AF5">
        <f>VLOOKUP(Misfit[[#This Row],[Shortname]], Comp[], 28, FALSE)</f>
        <v>0</v>
      </c>
      <c r="AG5">
        <f>VLOOKUP(Misfit[[#This Row],[Shortname]], Comp[], 29, FALSE)</f>
        <v>0</v>
      </c>
      <c r="AH5">
        <f>VLOOKUP(Misfit[[#This Row],[Shortname]], Comp[], 30, FALSE)</f>
        <v>0</v>
      </c>
      <c r="AI5">
        <f>VLOOKUP(Misfit[[#This Row],[Shortname]], Comp[], 31, FALSE)</f>
        <v>0</v>
      </c>
    </row>
    <row r="6" spans="1:35" x14ac:dyDescent="0.3">
      <c r="A6" t="s">
        <v>652</v>
      </c>
      <c r="B6" t="s">
        <v>654</v>
      </c>
      <c r="C6" s="3" t="s">
        <v>655</v>
      </c>
      <c r="D6" s="3">
        <v>1250</v>
      </c>
      <c r="E6">
        <v>25</v>
      </c>
      <c r="H6" s="40">
        <v>2.8999999999999998E-3</v>
      </c>
      <c r="I6" t="s">
        <v>6594</v>
      </c>
      <c r="J6">
        <f>VLOOKUP(Misfit[[#This Row],[Shortname]], Comp[], 6, FALSE)</f>
        <v>84</v>
      </c>
      <c r="K6">
        <f>VLOOKUP(Misfit[[#This Row],[Shortname]], Comp[], 7, FALSE)</f>
        <v>73.400000000000006</v>
      </c>
      <c r="L6">
        <f>VLOOKUP(Misfit[[#This Row],[Shortname]], Comp[], 8, FALSE)</f>
        <v>0</v>
      </c>
      <c r="M6">
        <f>VLOOKUP(Misfit[[#This Row],[Shortname]], Comp[], 9, FALSE)</f>
        <v>11.7</v>
      </c>
      <c r="N6">
        <f>VLOOKUP(Misfit[[#This Row],[Shortname]], Comp[], 10, FALSE)</f>
        <v>0</v>
      </c>
      <c r="O6">
        <f>VLOOKUP(Misfit[[#This Row],[Shortname]], Comp[], 11, FALSE)</f>
        <v>14.01</v>
      </c>
      <c r="P6">
        <f>VLOOKUP(Misfit[[#This Row],[Shortname]], Comp[],12, FALSE)</f>
        <v>0.48</v>
      </c>
      <c r="Q6">
        <f>VLOOKUP(Misfit[[#This Row],[Shortname]], Comp[], 13, FALSE)</f>
        <v>0.41</v>
      </c>
      <c r="R6">
        <f>VLOOKUP(Misfit[[#This Row],[Shortname]], Comp[], 14, FALSE)</f>
        <v>0</v>
      </c>
      <c r="S6">
        <f>VLOOKUP(Misfit[[#This Row],[Shortname]], Comp[], 15, FALSE)</f>
        <v>0</v>
      </c>
      <c r="T6">
        <f>VLOOKUP(Misfit[[#This Row],[Shortname]], Comp[], 16, FALSE)</f>
        <v>0</v>
      </c>
      <c r="U6">
        <f>VLOOKUP(Misfit[[#This Row],[Shortname]], Comp[], 17, FALSE)</f>
        <v>0</v>
      </c>
      <c r="V6">
        <f>VLOOKUP(Misfit[[#This Row],[Shortname]], Comp[], 18, FALSE)</f>
        <v>0</v>
      </c>
      <c r="W6">
        <f>VLOOKUP(Misfit[[#This Row],[Shortname]], Comp[], 19, FALSE)</f>
        <v>0</v>
      </c>
      <c r="X6">
        <f>VLOOKUP(Misfit[[#This Row],[Shortname]], Comp[], 20, FALSE)</f>
        <v>0</v>
      </c>
      <c r="Y6">
        <f>VLOOKUP(Misfit[[#This Row],[Shortname]], Comp[], 21, FALSE)</f>
        <v>0</v>
      </c>
      <c r="Z6">
        <f>VLOOKUP(Misfit[[#This Row],[Shortname]], Comp[], 22, FALSE)</f>
        <v>0</v>
      </c>
      <c r="AA6">
        <f>VLOOKUP(Misfit[[#This Row],[Shortname]], Comp[], 23, FALSE)</f>
        <v>0</v>
      </c>
      <c r="AB6">
        <f>VLOOKUP(Misfit[[#This Row],[Shortname]], Comp[], 24, FALSE)</f>
        <v>0</v>
      </c>
      <c r="AC6">
        <f>VLOOKUP(Misfit[[#This Row],[Shortname]], Comp[], 25, FALSE)</f>
        <v>0</v>
      </c>
      <c r="AD6">
        <f>VLOOKUP(Misfit[[#This Row],[Shortname]], Comp[], 26, FALSE)</f>
        <v>0</v>
      </c>
      <c r="AE6">
        <f>VLOOKUP(Misfit[[#This Row],[Shortname]], Comp[], 27, FALSE)</f>
        <v>0</v>
      </c>
      <c r="AF6">
        <f>VLOOKUP(Misfit[[#This Row],[Shortname]], Comp[], 28, FALSE)</f>
        <v>0</v>
      </c>
      <c r="AG6">
        <f>VLOOKUP(Misfit[[#This Row],[Shortname]], Comp[], 29, FALSE)</f>
        <v>0</v>
      </c>
      <c r="AH6">
        <f>VLOOKUP(Misfit[[#This Row],[Shortname]], Comp[], 30, FALSE)</f>
        <v>0</v>
      </c>
      <c r="AI6">
        <f>VLOOKUP(Misfit[[#This Row],[Shortname]], Comp[], 31, FALSE)</f>
        <v>0</v>
      </c>
    </row>
    <row r="7" spans="1:35" x14ac:dyDescent="0.3">
      <c r="A7" t="s">
        <v>652</v>
      </c>
      <c r="B7" t="s">
        <v>654</v>
      </c>
      <c r="C7" s="3" t="s">
        <v>655</v>
      </c>
      <c r="D7" s="3">
        <v>900</v>
      </c>
      <c r="E7">
        <v>25</v>
      </c>
      <c r="H7" s="40">
        <v>4.4999999999999997E-3</v>
      </c>
      <c r="I7" t="s">
        <v>6595</v>
      </c>
      <c r="J7">
        <f>VLOOKUP(Misfit[[#This Row],[Shortname]], Comp[], 6, FALSE)</f>
        <v>84</v>
      </c>
      <c r="K7">
        <f>VLOOKUP(Misfit[[#This Row],[Shortname]], Comp[], 7, FALSE)</f>
        <v>73.400000000000006</v>
      </c>
      <c r="L7">
        <f>VLOOKUP(Misfit[[#This Row],[Shortname]], Comp[], 8, FALSE)</f>
        <v>0</v>
      </c>
      <c r="M7">
        <f>VLOOKUP(Misfit[[#This Row],[Shortname]], Comp[], 9, FALSE)</f>
        <v>11.7</v>
      </c>
      <c r="N7">
        <f>VLOOKUP(Misfit[[#This Row],[Shortname]], Comp[], 10, FALSE)</f>
        <v>0</v>
      </c>
      <c r="O7">
        <f>VLOOKUP(Misfit[[#This Row],[Shortname]], Comp[], 11, FALSE)</f>
        <v>14.01</v>
      </c>
      <c r="P7">
        <f>VLOOKUP(Misfit[[#This Row],[Shortname]], Comp[],12, FALSE)</f>
        <v>0.48</v>
      </c>
      <c r="Q7">
        <f>VLOOKUP(Misfit[[#This Row],[Shortname]], Comp[], 13, FALSE)</f>
        <v>0.41</v>
      </c>
      <c r="R7">
        <f>VLOOKUP(Misfit[[#This Row],[Shortname]], Comp[], 14, FALSE)</f>
        <v>0</v>
      </c>
      <c r="S7">
        <f>VLOOKUP(Misfit[[#This Row],[Shortname]], Comp[], 15, FALSE)</f>
        <v>0</v>
      </c>
      <c r="T7">
        <f>VLOOKUP(Misfit[[#This Row],[Shortname]], Comp[], 16, FALSE)</f>
        <v>0</v>
      </c>
      <c r="U7">
        <f>VLOOKUP(Misfit[[#This Row],[Shortname]], Comp[], 17, FALSE)</f>
        <v>0</v>
      </c>
      <c r="V7">
        <f>VLOOKUP(Misfit[[#This Row],[Shortname]], Comp[], 18, FALSE)</f>
        <v>0</v>
      </c>
      <c r="W7">
        <f>VLOOKUP(Misfit[[#This Row],[Shortname]], Comp[], 19, FALSE)</f>
        <v>0</v>
      </c>
      <c r="X7">
        <f>VLOOKUP(Misfit[[#This Row],[Shortname]], Comp[], 20, FALSE)</f>
        <v>0</v>
      </c>
      <c r="Y7">
        <f>VLOOKUP(Misfit[[#This Row],[Shortname]], Comp[], 21, FALSE)</f>
        <v>0</v>
      </c>
      <c r="Z7">
        <f>VLOOKUP(Misfit[[#This Row],[Shortname]], Comp[], 22, FALSE)</f>
        <v>0</v>
      </c>
      <c r="AA7">
        <f>VLOOKUP(Misfit[[#This Row],[Shortname]], Comp[], 23, FALSE)</f>
        <v>0</v>
      </c>
      <c r="AB7">
        <f>VLOOKUP(Misfit[[#This Row],[Shortname]], Comp[], 24, FALSE)</f>
        <v>0</v>
      </c>
      <c r="AC7">
        <f>VLOOKUP(Misfit[[#This Row],[Shortname]], Comp[], 25, FALSE)</f>
        <v>0</v>
      </c>
      <c r="AD7">
        <f>VLOOKUP(Misfit[[#This Row],[Shortname]], Comp[], 26, FALSE)</f>
        <v>0</v>
      </c>
      <c r="AE7">
        <f>VLOOKUP(Misfit[[#This Row],[Shortname]], Comp[], 27, FALSE)</f>
        <v>0</v>
      </c>
      <c r="AF7">
        <f>VLOOKUP(Misfit[[#This Row],[Shortname]], Comp[], 28, FALSE)</f>
        <v>0</v>
      </c>
      <c r="AG7">
        <f>VLOOKUP(Misfit[[#This Row],[Shortname]], Comp[], 29, FALSE)</f>
        <v>0</v>
      </c>
      <c r="AH7">
        <f>VLOOKUP(Misfit[[#This Row],[Shortname]], Comp[], 30, FALSE)</f>
        <v>0</v>
      </c>
      <c r="AI7">
        <f>VLOOKUP(Misfit[[#This Row],[Shortname]], Comp[], 31, FALSE)</f>
        <v>0</v>
      </c>
    </row>
    <row r="8" spans="1:35" x14ac:dyDescent="0.3">
      <c r="A8" t="s">
        <v>664</v>
      </c>
      <c r="B8" t="s">
        <v>666</v>
      </c>
      <c r="C8" s="3" t="s">
        <v>655</v>
      </c>
      <c r="D8" s="3">
        <v>1250</v>
      </c>
      <c r="E8">
        <v>25</v>
      </c>
      <c r="H8" s="40">
        <v>3.3E-3</v>
      </c>
      <c r="I8" t="s">
        <v>6594</v>
      </c>
      <c r="J8">
        <f>VLOOKUP(Misfit[[#This Row],[Shortname]], Comp[], 6, FALSE)</f>
        <v>85</v>
      </c>
      <c r="K8">
        <f>VLOOKUP(Misfit[[#This Row],[Shortname]], Comp[], 7, FALSE)</f>
        <v>79.569999999999993</v>
      </c>
      <c r="L8">
        <f>VLOOKUP(Misfit[[#This Row],[Shortname]], Comp[], 8, FALSE)</f>
        <v>0</v>
      </c>
      <c r="M8">
        <f>VLOOKUP(Misfit[[#This Row],[Shortname]], Comp[], 9, FALSE)</f>
        <v>8.35</v>
      </c>
      <c r="N8">
        <f>VLOOKUP(Misfit[[#This Row],[Shortname]], Comp[], 10, FALSE)</f>
        <v>0</v>
      </c>
      <c r="O8">
        <f>VLOOKUP(Misfit[[#This Row],[Shortname]], Comp[], 11, FALSE)</f>
        <v>12.08</v>
      </c>
      <c r="P8">
        <f>VLOOKUP(Misfit[[#This Row],[Shortname]], Comp[],12, FALSE)</f>
        <v>0</v>
      </c>
      <c r="Q8">
        <f>VLOOKUP(Misfit[[#This Row],[Shortname]], Comp[], 13, FALSE)</f>
        <v>0</v>
      </c>
      <c r="R8">
        <f>VLOOKUP(Misfit[[#This Row],[Shortname]], Comp[], 14, FALSE)</f>
        <v>0</v>
      </c>
      <c r="S8">
        <f>VLOOKUP(Misfit[[#This Row],[Shortname]], Comp[], 15, FALSE)</f>
        <v>0</v>
      </c>
      <c r="T8">
        <f>VLOOKUP(Misfit[[#This Row],[Shortname]], Comp[], 16, FALSE)</f>
        <v>0</v>
      </c>
      <c r="U8">
        <f>VLOOKUP(Misfit[[#This Row],[Shortname]], Comp[], 17, FALSE)</f>
        <v>0</v>
      </c>
      <c r="V8">
        <f>VLOOKUP(Misfit[[#This Row],[Shortname]], Comp[], 18, FALSE)</f>
        <v>0</v>
      </c>
      <c r="W8">
        <f>VLOOKUP(Misfit[[#This Row],[Shortname]], Comp[], 19, FALSE)</f>
        <v>0</v>
      </c>
      <c r="X8">
        <f>VLOOKUP(Misfit[[#This Row],[Shortname]], Comp[], 20, FALSE)</f>
        <v>0</v>
      </c>
      <c r="Y8">
        <f>VLOOKUP(Misfit[[#This Row],[Shortname]], Comp[], 21, FALSE)</f>
        <v>0</v>
      </c>
      <c r="Z8">
        <f>VLOOKUP(Misfit[[#This Row],[Shortname]], Comp[], 22, FALSE)</f>
        <v>0</v>
      </c>
      <c r="AA8">
        <f>VLOOKUP(Misfit[[#This Row],[Shortname]], Comp[], 23, FALSE)</f>
        <v>0</v>
      </c>
      <c r="AB8">
        <f>VLOOKUP(Misfit[[#This Row],[Shortname]], Comp[], 24, FALSE)</f>
        <v>0</v>
      </c>
      <c r="AC8">
        <f>VLOOKUP(Misfit[[#This Row],[Shortname]], Comp[], 25, FALSE)</f>
        <v>0</v>
      </c>
      <c r="AD8">
        <f>VLOOKUP(Misfit[[#This Row],[Shortname]], Comp[], 26, FALSE)</f>
        <v>0</v>
      </c>
      <c r="AE8">
        <f>VLOOKUP(Misfit[[#This Row],[Shortname]], Comp[], 27, FALSE)</f>
        <v>0</v>
      </c>
      <c r="AF8">
        <f>VLOOKUP(Misfit[[#This Row],[Shortname]], Comp[], 28, FALSE)</f>
        <v>0</v>
      </c>
      <c r="AG8">
        <f>VLOOKUP(Misfit[[#This Row],[Shortname]], Comp[], 29, FALSE)</f>
        <v>0</v>
      </c>
      <c r="AH8">
        <f>VLOOKUP(Misfit[[#This Row],[Shortname]], Comp[], 30, FALSE)</f>
        <v>0</v>
      </c>
      <c r="AI8">
        <f>VLOOKUP(Misfit[[#This Row],[Shortname]], Comp[], 31, FALSE)</f>
        <v>0</v>
      </c>
    </row>
    <row r="9" spans="1:35" x14ac:dyDescent="0.3">
      <c r="A9" t="s">
        <v>664</v>
      </c>
      <c r="B9" t="s">
        <v>666</v>
      </c>
      <c r="C9" s="3" t="s">
        <v>655</v>
      </c>
      <c r="D9" s="3">
        <v>900</v>
      </c>
      <c r="E9">
        <v>25</v>
      </c>
      <c r="H9" s="40">
        <v>3.8999999999999998E-3</v>
      </c>
      <c r="I9" t="s">
        <v>6595</v>
      </c>
      <c r="J9">
        <f>VLOOKUP(Misfit[[#This Row],[Shortname]], Comp[], 6, FALSE)</f>
        <v>85</v>
      </c>
      <c r="K9">
        <f>VLOOKUP(Misfit[[#This Row],[Shortname]], Comp[], 7, FALSE)</f>
        <v>79.569999999999993</v>
      </c>
      <c r="L9">
        <f>VLOOKUP(Misfit[[#This Row],[Shortname]], Comp[], 8, FALSE)</f>
        <v>0</v>
      </c>
      <c r="M9">
        <f>VLOOKUP(Misfit[[#This Row],[Shortname]], Comp[], 9, FALSE)</f>
        <v>8.35</v>
      </c>
      <c r="N9">
        <f>VLOOKUP(Misfit[[#This Row],[Shortname]], Comp[], 10, FALSE)</f>
        <v>0</v>
      </c>
      <c r="O9">
        <f>VLOOKUP(Misfit[[#This Row],[Shortname]], Comp[], 11, FALSE)</f>
        <v>12.08</v>
      </c>
      <c r="P9">
        <f>VLOOKUP(Misfit[[#This Row],[Shortname]], Comp[],12, FALSE)</f>
        <v>0</v>
      </c>
      <c r="Q9">
        <f>VLOOKUP(Misfit[[#This Row],[Shortname]], Comp[], 13, FALSE)</f>
        <v>0</v>
      </c>
      <c r="R9">
        <f>VLOOKUP(Misfit[[#This Row],[Shortname]], Comp[], 14, FALSE)</f>
        <v>0</v>
      </c>
      <c r="S9">
        <f>VLOOKUP(Misfit[[#This Row],[Shortname]], Comp[], 15, FALSE)</f>
        <v>0</v>
      </c>
      <c r="T9">
        <f>VLOOKUP(Misfit[[#This Row],[Shortname]], Comp[], 16, FALSE)</f>
        <v>0</v>
      </c>
      <c r="U9">
        <f>VLOOKUP(Misfit[[#This Row],[Shortname]], Comp[], 17, FALSE)</f>
        <v>0</v>
      </c>
      <c r="V9">
        <f>VLOOKUP(Misfit[[#This Row],[Shortname]], Comp[], 18, FALSE)</f>
        <v>0</v>
      </c>
      <c r="W9">
        <f>VLOOKUP(Misfit[[#This Row],[Shortname]], Comp[], 19, FALSE)</f>
        <v>0</v>
      </c>
      <c r="X9">
        <f>VLOOKUP(Misfit[[#This Row],[Shortname]], Comp[], 20, FALSE)</f>
        <v>0</v>
      </c>
      <c r="Y9">
        <f>VLOOKUP(Misfit[[#This Row],[Shortname]], Comp[], 21, FALSE)</f>
        <v>0</v>
      </c>
      <c r="Z9">
        <f>VLOOKUP(Misfit[[#This Row],[Shortname]], Comp[], 22, FALSE)</f>
        <v>0</v>
      </c>
      <c r="AA9">
        <f>VLOOKUP(Misfit[[#This Row],[Shortname]], Comp[], 23, FALSE)</f>
        <v>0</v>
      </c>
      <c r="AB9">
        <f>VLOOKUP(Misfit[[#This Row],[Shortname]], Comp[], 24, FALSE)</f>
        <v>0</v>
      </c>
      <c r="AC9">
        <f>VLOOKUP(Misfit[[#This Row],[Shortname]], Comp[], 25, FALSE)</f>
        <v>0</v>
      </c>
      <c r="AD9">
        <f>VLOOKUP(Misfit[[#This Row],[Shortname]], Comp[], 26, FALSE)</f>
        <v>0</v>
      </c>
      <c r="AE9">
        <f>VLOOKUP(Misfit[[#This Row],[Shortname]], Comp[], 27, FALSE)</f>
        <v>0</v>
      </c>
      <c r="AF9">
        <f>VLOOKUP(Misfit[[#This Row],[Shortname]], Comp[], 28, FALSE)</f>
        <v>0</v>
      </c>
      <c r="AG9">
        <f>VLOOKUP(Misfit[[#This Row],[Shortname]], Comp[], 29, FALSE)</f>
        <v>0</v>
      </c>
      <c r="AH9">
        <f>VLOOKUP(Misfit[[#This Row],[Shortname]], Comp[], 30, FALSE)</f>
        <v>0</v>
      </c>
      <c r="AI9">
        <f>VLOOKUP(Misfit[[#This Row],[Shortname]], Comp[], 31, FALSE)</f>
        <v>0</v>
      </c>
    </row>
    <row r="10" spans="1:35" x14ac:dyDescent="0.3">
      <c r="A10" t="s">
        <v>952</v>
      </c>
      <c r="B10" t="s">
        <v>954</v>
      </c>
      <c r="C10" s="1" t="s">
        <v>6596</v>
      </c>
      <c r="D10" s="1">
        <v>800</v>
      </c>
      <c r="E10">
        <v>25</v>
      </c>
      <c r="F10">
        <v>0.35980000000000001</v>
      </c>
      <c r="G10">
        <v>0.35630000000000001</v>
      </c>
      <c r="H10" s="40">
        <f t="shared" ref="H10:H44" si="0">2*(F10-G10)/(F10+G10)</f>
        <v>9.7751710654936548E-3</v>
      </c>
      <c r="I10" t="s">
        <v>6597</v>
      </c>
      <c r="J10">
        <f>VLOOKUP(Misfit[[#This Row],[Shortname]], Comp[], 6, FALSE)</f>
        <v>123</v>
      </c>
      <c r="K10">
        <f>VLOOKUP(Misfit[[#This Row],[Shortname]], Comp[], 7, FALSE)</f>
        <v>58</v>
      </c>
      <c r="L10">
        <f>VLOOKUP(Misfit[[#This Row],[Shortname]], Comp[], 8, FALSE)</f>
        <v>30</v>
      </c>
      <c r="M10">
        <f>VLOOKUP(Misfit[[#This Row],[Shortname]], Comp[], 9, FALSE)</f>
        <v>12</v>
      </c>
      <c r="N10">
        <f>VLOOKUP(Misfit[[#This Row],[Shortname]], Comp[], 10, FALSE)</f>
        <v>0</v>
      </c>
      <c r="O10">
        <f>VLOOKUP(Misfit[[#This Row],[Shortname]], Comp[], 11, FALSE)</f>
        <v>0</v>
      </c>
      <c r="P10">
        <f>VLOOKUP(Misfit[[#This Row],[Shortname]], Comp[],12, FALSE)</f>
        <v>0</v>
      </c>
      <c r="Q10">
        <f>VLOOKUP(Misfit[[#This Row],[Shortname]], Comp[], 13, FALSE)</f>
        <v>0</v>
      </c>
      <c r="R10">
        <f>VLOOKUP(Misfit[[#This Row],[Shortname]], Comp[], 14, FALSE)</f>
        <v>0</v>
      </c>
      <c r="S10">
        <f>VLOOKUP(Misfit[[#This Row],[Shortname]], Comp[], 15, FALSE)</f>
        <v>0</v>
      </c>
      <c r="T10">
        <f>VLOOKUP(Misfit[[#This Row],[Shortname]], Comp[], 16, FALSE)</f>
        <v>0</v>
      </c>
      <c r="U10">
        <f>VLOOKUP(Misfit[[#This Row],[Shortname]], Comp[], 17, FALSE)</f>
        <v>0</v>
      </c>
      <c r="V10">
        <f>VLOOKUP(Misfit[[#This Row],[Shortname]], Comp[], 18, FALSE)</f>
        <v>0</v>
      </c>
      <c r="W10">
        <f>VLOOKUP(Misfit[[#This Row],[Shortname]], Comp[], 19, FALSE)</f>
        <v>0</v>
      </c>
      <c r="X10">
        <f>VLOOKUP(Misfit[[#This Row],[Shortname]], Comp[], 20, FALSE)</f>
        <v>0</v>
      </c>
      <c r="Y10">
        <f>VLOOKUP(Misfit[[#This Row],[Shortname]], Comp[], 21, FALSE)</f>
        <v>0</v>
      </c>
      <c r="Z10">
        <f>VLOOKUP(Misfit[[#This Row],[Shortname]], Comp[], 22, FALSE)</f>
        <v>0</v>
      </c>
      <c r="AA10">
        <f>VLOOKUP(Misfit[[#This Row],[Shortname]], Comp[], 23, FALSE)</f>
        <v>0</v>
      </c>
      <c r="AB10">
        <f>VLOOKUP(Misfit[[#This Row],[Shortname]], Comp[], 24, FALSE)</f>
        <v>0</v>
      </c>
      <c r="AC10">
        <f>VLOOKUP(Misfit[[#This Row],[Shortname]], Comp[], 25, FALSE)</f>
        <v>0</v>
      </c>
      <c r="AD10">
        <f>VLOOKUP(Misfit[[#This Row],[Shortname]], Comp[], 26, FALSE)</f>
        <v>0</v>
      </c>
      <c r="AE10">
        <f>VLOOKUP(Misfit[[#This Row],[Shortname]], Comp[], 27, FALSE)</f>
        <v>0</v>
      </c>
      <c r="AF10">
        <f>VLOOKUP(Misfit[[#This Row],[Shortname]], Comp[], 28, FALSE)</f>
        <v>0</v>
      </c>
      <c r="AG10">
        <f>VLOOKUP(Misfit[[#This Row],[Shortname]], Comp[], 29, FALSE)</f>
        <v>0</v>
      </c>
      <c r="AH10">
        <f>VLOOKUP(Misfit[[#This Row],[Shortname]], Comp[], 30, FALSE)</f>
        <v>0</v>
      </c>
      <c r="AI10">
        <f>VLOOKUP(Misfit[[#This Row],[Shortname]], Comp[], 31, FALSE)</f>
        <v>0</v>
      </c>
    </row>
    <row r="11" spans="1:35" x14ac:dyDescent="0.3">
      <c r="A11" t="s">
        <v>975</v>
      </c>
      <c r="B11" t="s">
        <v>977</v>
      </c>
      <c r="C11" s="1" t="s">
        <v>6598</v>
      </c>
      <c r="D11" s="1">
        <v>800</v>
      </c>
      <c r="E11">
        <v>25</v>
      </c>
      <c r="F11">
        <v>0.35930000000000001</v>
      </c>
      <c r="G11">
        <v>0.35809999999999997</v>
      </c>
      <c r="H11" s="40">
        <f t="shared" si="0"/>
        <v>3.3454139949819746E-3</v>
      </c>
      <c r="I11" t="s">
        <v>6593</v>
      </c>
      <c r="J11">
        <f>VLOOKUP(Misfit[[#This Row],[Shortname]], Comp[], 6, FALSE)</f>
        <v>126</v>
      </c>
      <c r="K11">
        <f>VLOOKUP(Misfit[[#This Row],[Shortname]], Comp[], 7, FALSE)</f>
        <v>46</v>
      </c>
      <c r="L11">
        <f>VLOOKUP(Misfit[[#This Row],[Shortname]], Comp[], 8, FALSE)</f>
        <v>30</v>
      </c>
      <c r="M11">
        <f>VLOOKUP(Misfit[[#This Row],[Shortname]], Comp[], 9, FALSE)</f>
        <v>12</v>
      </c>
      <c r="N11">
        <f>VLOOKUP(Misfit[[#This Row],[Shortname]], Comp[], 10, FALSE)</f>
        <v>12</v>
      </c>
      <c r="O11">
        <f>VLOOKUP(Misfit[[#This Row],[Shortname]], Comp[], 11, FALSE)</f>
        <v>0</v>
      </c>
      <c r="P11">
        <f>VLOOKUP(Misfit[[#This Row],[Shortname]], Comp[],12, FALSE)</f>
        <v>0</v>
      </c>
      <c r="Q11">
        <f>VLOOKUP(Misfit[[#This Row],[Shortname]], Comp[], 13, FALSE)</f>
        <v>0</v>
      </c>
      <c r="R11">
        <f>VLOOKUP(Misfit[[#This Row],[Shortname]], Comp[], 14, FALSE)</f>
        <v>0</v>
      </c>
      <c r="S11">
        <f>VLOOKUP(Misfit[[#This Row],[Shortname]], Comp[], 15, FALSE)</f>
        <v>0</v>
      </c>
      <c r="T11">
        <f>VLOOKUP(Misfit[[#This Row],[Shortname]], Comp[], 16, FALSE)</f>
        <v>0</v>
      </c>
      <c r="U11">
        <f>VLOOKUP(Misfit[[#This Row],[Shortname]], Comp[], 17, FALSE)</f>
        <v>0</v>
      </c>
      <c r="V11">
        <f>VLOOKUP(Misfit[[#This Row],[Shortname]], Comp[], 18, FALSE)</f>
        <v>0</v>
      </c>
      <c r="W11">
        <f>VLOOKUP(Misfit[[#This Row],[Shortname]], Comp[], 19, FALSE)</f>
        <v>0</v>
      </c>
      <c r="X11">
        <f>VLOOKUP(Misfit[[#This Row],[Shortname]], Comp[], 20, FALSE)</f>
        <v>0</v>
      </c>
      <c r="Y11">
        <f>VLOOKUP(Misfit[[#This Row],[Shortname]], Comp[], 21, FALSE)</f>
        <v>0</v>
      </c>
      <c r="Z11">
        <f>VLOOKUP(Misfit[[#This Row],[Shortname]], Comp[], 22, FALSE)</f>
        <v>0</v>
      </c>
      <c r="AA11">
        <f>VLOOKUP(Misfit[[#This Row],[Shortname]], Comp[], 23, FALSE)</f>
        <v>0</v>
      </c>
      <c r="AB11">
        <f>VLOOKUP(Misfit[[#This Row],[Shortname]], Comp[], 24, FALSE)</f>
        <v>0</v>
      </c>
      <c r="AC11">
        <f>VLOOKUP(Misfit[[#This Row],[Shortname]], Comp[], 25, FALSE)</f>
        <v>0</v>
      </c>
      <c r="AD11">
        <f>VLOOKUP(Misfit[[#This Row],[Shortname]], Comp[], 26, FALSE)</f>
        <v>0</v>
      </c>
      <c r="AE11">
        <f>VLOOKUP(Misfit[[#This Row],[Shortname]], Comp[], 27, FALSE)</f>
        <v>0</v>
      </c>
      <c r="AF11">
        <f>VLOOKUP(Misfit[[#This Row],[Shortname]], Comp[], 28, FALSE)</f>
        <v>0</v>
      </c>
      <c r="AG11">
        <f>VLOOKUP(Misfit[[#This Row],[Shortname]], Comp[], 29, FALSE)</f>
        <v>0</v>
      </c>
      <c r="AH11">
        <f>VLOOKUP(Misfit[[#This Row],[Shortname]], Comp[], 30, FALSE)</f>
        <v>0</v>
      </c>
      <c r="AI11">
        <f>VLOOKUP(Misfit[[#This Row],[Shortname]], Comp[], 31, FALSE)</f>
        <v>0</v>
      </c>
    </row>
    <row r="12" spans="1:35" x14ac:dyDescent="0.3">
      <c r="A12" t="s">
        <v>959</v>
      </c>
      <c r="B12" t="s">
        <v>961</v>
      </c>
      <c r="C12" s="1" t="s">
        <v>6599</v>
      </c>
      <c r="D12" s="1">
        <v>800</v>
      </c>
      <c r="E12">
        <v>25</v>
      </c>
      <c r="F12">
        <v>0.35970000000000002</v>
      </c>
      <c r="G12">
        <v>0.35699999999999998</v>
      </c>
      <c r="H12" s="40">
        <f t="shared" si="0"/>
        <v>7.5345332775220751E-3</v>
      </c>
      <c r="I12" t="s">
        <v>6593</v>
      </c>
      <c r="J12">
        <f>VLOOKUP(Misfit[[#This Row],[Shortname]], Comp[], 6, FALSE)</f>
        <v>124</v>
      </c>
      <c r="K12">
        <f>VLOOKUP(Misfit[[#This Row],[Shortname]], Comp[], 7, FALSE)</f>
        <v>54</v>
      </c>
      <c r="L12">
        <f>VLOOKUP(Misfit[[#This Row],[Shortname]], Comp[], 8, FALSE)</f>
        <v>30</v>
      </c>
      <c r="M12">
        <f>VLOOKUP(Misfit[[#This Row],[Shortname]], Comp[], 9, FALSE)</f>
        <v>12</v>
      </c>
      <c r="N12">
        <f>VLOOKUP(Misfit[[#This Row],[Shortname]], Comp[], 10, FALSE)</f>
        <v>4</v>
      </c>
      <c r="O12">
        <f>VLOOKUP(Misfit[[#This Row],[Shortname]], Comp[], 11, FALSE)</f>
        <v>0</v>
      </c>
      <c r="P12">
        <f>VLOOKUP(Misfit[[#This Row],[Shortname]], Comp[],12, FALSE)</f>
        <v>0</v>
      </c>
      <c r="Q12">
        <f>VLOOKUP(Misfit[[#This Row],[Shortname]], Comp[], 13, FALSE)</f>
        <v>0</v>
      </c>
      <c r="R12">
        <f>VLOOKUP(Misfit[[#This Row],[Shortname]], Comp[], 14, FALSE)</f>
        <v>0</v>
      </c>
      <c r="S12">
        <f>VLOOKUP(Misfit[[#This Row],[Shortname]], Comp[], 15, FALSE)</f>
        <v>0</v>
      </c>
      <c r="T12">
        <f>VLOOKUP(Misfit[[#This Row],[Shortname]], Comp[], 16, FALSE)</f>
        <v>0</v>
      </c>
      <c r="U12">
        <f>VLOOKUP(Misfit[[#This Row],[Shortname]], Comp[], 17, FALSE)</f>
        <v>0</v>
      </c>
      <c r="V12">
        <f>VLOOKUP(Misfit[[#This Row],[Shortname]], Comp[], 18, FALSE)</f>
        <v>0</v>
      </c>
      <c r="W12">
        <f>VLOOKUP(Misfit[[#This Row],[Shortname]], Comp[], 19, FALSE)</f>
        <v>0</v>
      </c>
      <c r="X12">
        <f>VLOOKUP(Misfit[[#This Row],[Shortname]], Comp[], 20, FALSE)</f>
        <v>0</v>
      </c>
      <c r="Y12">
        <f>VLOOKUP(Misfit[[#This Row],[Shortname]], Comp[], 21, FALSE)</f>
        <v>0</v>
      </c>
      <c r="Z12">
        <f>VLOOKUP(Misfit[[#This Row],[Shortname]], Comp[], 22, FALSE)</f>
        <v>0</v>
      </c>
      <c r="AA12">
        <f>VLOOKUP(Misfit[[#This Row],[Shortname]], Comp[], 23, FALSE)</f>
        <v>0</v>
      </c>
      <c r="AB12">
        <f>VLOOKUP(Misfit[[#This Row],[Shortname]], Comp[], 24, FALSE)</f>
        <v>0</v>
      </c>
      <c r="AC12">
        <f>VLOOKUP(Misfit[[#This Row],[Shortname]], Comp[], 25, FALSE)</f>
        <v>0</v>
      </c>
      <c r="AD12">
        <f>VLOOKUP(Misfit[[#This Row],[Shortname]], Comp[], 26, FALSE)</f>
        <v>0</v>
      </c>
      <c r="AE12">
        <f>VLOOKUP(Misfit[[#This Row],[Shortname]], Comp[], 27, FALSE)</f>
        <v>0</v>
      </c>
      <c r="AF12">
        <f>VLOOKUP(Misfit[[#This Row],[Shortname]], Comp[], 28, FALSE)</f>
        <v>0</v>
      </c>
      <c r="AG12">
        <f>VLOOKUP(Misfit[[#This Row],[Shortname]], Comp[], 29, FALSE)</f>
        <v>0</v>
      </c>
      <c r="AH12">
        <f>VLOOKUP(Misfit[[#This Row],[Shortname]], Comp[], 30, FALSE)</f>
        <v>0</v>
      </c>
      <c r="AI12">
        <f>VLOOKUP(Misfit[[#This Row],[Shortname]], Comp[], 31, FALSE)</f>
        <v>0</v>
      </c>
    </row>
    <row r="13" spans="1:35" x14ac:dyDescent="0.3">
      <c r="A13" t="s">
        <v>967</v>
      </c>
      <c r="B13" t="s">
        <v>969</v>
      </c>
      <c r="C13" s="1" t="s">
        <v>6600</v>
      </c>
      <c r="D13" s="1">
        <v>800</v>
      </c>
      <c r="E13">
        <v>25</v>
      </c>
      <c r="F13">
        <v>0.35970000000000002</v>
      </c>
      <c r="G13">
        <v>0.35759999999999997</v>
      </c>
      <c r="H13" s="40">
        <f t="shared" si="0"/>
        <v>5.8552906733585564E-3</v>
      </c>
      <c r="I13" t="s">
        <v>6593</v>
      </c>
      <c r="J13">
        <f>VLOOKUP(Misfit[[#This Row],[Shortname]], Comp[], 6, FALSE)</f>
        <v>125</v>
      </c>
      <c r="K13">
        <f>VLOOKUP(Misfit[[#This Row],[Shortname]], Comp[], 7, FALSE)</f>
        <v>50</v>
      </c>
      <c r="L13">
        <f>VLOOKUP(Misfit[[#This Row],[Shortname]], Comp[], 8, FALSE)</f>
        <v>30</v>
      </c>
      <c r="M13">
        <f>VLOOKUP(Misfit[[#This Row],[Shortname]], Comp[], 9, FALSE)</f>
        <v>12</v>
      </c>
      <c r="N13">
        <f>VLOOKUP(Misfit[[#This Row],[Shortname]], Comp[], 10, FALSE)</f>
        <v>8</v>
      </c>
      <c r="O13">
        <f>VLOOKUP(Misfit[[#This Row],[Shortname]], Comp[], 11, FALSE)</f>
        <v>0</v>
      </c>
      <c r="P13">
        <f>VLOOKUP(Misfit[[#This Row],[Shortname]], Comp[],12, FALSE)</f>
        <v>0</v>
      </c>
      <c r="Q13">
        <f>VLOOKUP(Misfit[[#This Row],[Shortname]], Comp[], 13, FALSE)</f>
        <v>0</v>
      </c>
      <c r="R13">
        <f>VLOOKUP(Misfit[[#This Row],[Shortname]], Comp[], 14, FALSE)</f>
        <v>0</v>
      </c>
      <c r="S13">
        <f>VLOOKUP(Misfit[[#This Row],[Shortname]], Comp[], 15, FALSE)</f>
        <v>0</v>
      </c>
      <c r="T13">
        <f>VLOOKUP(Misfit[[#This Row],[Shortname]], Comp[], 16, FALSE)</f>
        <v>0</v>
      </c>
      <c r="U13">
        <f>VLOOKUP(Misfit[[#This Row],[Shortname]], Comp[], 17, FALSE)</f>
        <v>0</v>
      </c>
      <c r="V13">
        <f>VLOOKUP(Misfit[[#This Row],[Shortname]], Comp[], 18, FALSE)</f>
        <v>0</v>
      </c>
      <c r="W13">
        <f>VLOOKUP(Misfit[[#This Row],[Shortname]], Comp[], 19, FALSE)</f>
        <v>0</v>
      </c>
      <c r="X13">
        <f>VLOOKUP(Misfit[[#This Row],[Shortname]], Comp[], 20, FALSE)</f>
        <v>0</v>
      </c>
      <c r="Y13">
        <f>VLOOKUP(Misfit[[#This Row],[Shortname]], Comp[], 21, FALSE)</f>
        <v>0</v>
      </c>
      <c r="Z13">
        <f>VLOOKUP(Misfit[[#This Row],[Shortname]], Comp[], 22, FALSE)</f>
        <v>0</v>
      </c>
      <c r="AA13">
        <f>VLOOKUP(Misfit[[#This Row],[Shortname]], Comp[], 23, FALSE)</f>
        <v>0</v>
      </c>
      <c r="AB13">
        <f>VLOOKUP(Misfit[[#This Row],[Shortname]], Comp[], 24, FALSE)</f>
        <v>0</v>
      </c>
      <c r="AC13">
        <f>VLOOKUP(Misfit[[#This Row],[Shortname]], Comp[], 25, FALSE)</f>
        <v>0</v>
      </c>
      <c r="AD13">
        <f>VLOOKUP(Misfit[[#This Row],[Shortname]], Comp[], 26, FALSE)</f>
        <v>0</v>
      </c>
      <c r="AE13">
        <f>VLOOKUP(Misfit[[#This Row],[Shortname]], Comp[], 27, FALSE)</f>
        <v>0</v>
      </c>
      <c r="AF13">
        <f>VLOOKUP(Misfit[[#This Row],[Shortname]], Comp[], 28, FALSE)</f>
        <v>0</v>
      </c>
      <c r="AG13">
        <f>VLOOKUP(Misfit[[#This Row],[Shortname]], Comp[], 29, FALSE)</f>
        <v>0</v>
      </c>
      <c r="AH13">
        <f>VLOOKUP(Misfit[[#This Row],[Shortname]], Comp[], 30, FALSE)</f>
        <v>0</v>
      </c>
      <c r="AI13">
        <f>VLOOKUP(Misfit[[#This Row],[Shortname]], Comp[], 31, FALSE)</f>
        <v>0</v>
      </c>
    </row>
    <row r="14" spans="1:35" x14ac:dyDescent="0.3">
      <c r="A14" t="s">
        <v>1002</v>
      </c>
      <c r="B14" t="s">
        <v>1004</v>
      </c>
      <c r="C14" t="s">
        <v>6601</v>
      </c>
      <c r="D14">
        <v>50</v>
      </c>
      <c r="E14">
        <v>25</v>
      </c>
      <c r="F14">
        <v>0.35849999999999999</v>
      </c>
      <c r="G14">
        <v>0.35659999999999997</v>
      </c>
      <c r="H14" s="40">
        <f t="shared" si="0"/>
        <v>5.3139421059991967E-3</v>
      </c>
      <c r="I14" t="s">
        <v>6602</v>
      </c>
      <c r="J14">
        <f>VLOOKUP(Misfit[[#This Row],[Shortname]], Comp[], 6, FALSE)</f>
        <v>129</v>
      </c>
      <c r="K14">
        <f>VLOOKUP(Misfit[[#This Row],[Shortname]], Comp[], 7, FALSE)</f>
        <v>50.699999999999996</v>
      </c>
      <c r="L14">
        <f>VLOOKUP(Misfit[[#This Row],[Shortname]], Comp[], 8, FALSE)</f>
        <v>27.2</v>
      </c>
      <c r="M14">
        <f>VLOOKUP(Misfit[[#This Row],[Shortname]], Comp[], 9, FALSE)</f>
        <v>3.1</v>
      </c>
      <c r="N14">
        <f>VLOOKUP(Misfit[[#This Row],[Shortname]], Comp[], 10, FALSE)</f>
        <v>10.9</v>
      </c>
      <c r="O14">
        <f>VLOOKUP(Misfit[[#This Row],[Shortname]], Comp[], 11, FALSE)</f>
        <v>0</v>
      </c>
      <c r="P14">
        <f>VLOOKUP(Misfit[[#This Row],[Shortname]], Comp[],12, FALSE)</f>
        <v>8.1</v>
      </c>
      <c r="Q14">
        <f>VLOOKUP(Misfit[[#This Row],[Shortname]], Comp[], 13, FALSE)</f>
        <v>0</v>
      </c>
      <c r="R14">
        <f>VLOOKUP(Misfit[[#This Row],[Shortname]], Comp[], 14, FALSE)</f>
        <v>0</v>
      </c>
      <c r="S14">
        <f>VLOOKUP(Misfit[[#This Row],[Shortname]], Comp[], 15, FALSE)</f>
        <v>0</v>
      </c>
      <c r="T14">
        <f>VLOOKUP(Misfit[[#This Row],[Shortname]], Comp[], 16, FALSE)</f>
        <v>0</v>
      </c>
      <c r="U14">
        <f>VLOOKUP(Misfit[[#This Row],[Shortname]], Comp[], 17, FALSE)</f>
        <v>0</v>
      </c>
      <c r="V14">
        <f>VLOOKUP(Misfit[[#This Row],[Shortname]], Comp[], 18, FALSE)</f>
        <v>0</v>
      </c>
      <c r="W14">
        <f>VLOOKUP(Misfit[[#This Row],[Shortname]], Comp[], 19, FALSE)</f>
        <v>0</v>
      </c>
      <c r="X14">
        <f>VLOOKUP(Misfit[[#This Row],[Shortname]], Comp[], 20, FALSE)</f>
        <v>0</v>
      </c>
      <c r="Y14">
        <f>VLOOKUP(Misfit[[#This Row],[Shortname]], Comp[], 21, FALSE)</f>
        <v>0</v>
      </c>
      <c r="Z14">
        <f>VLOOKUP(Misfit[[#This Row],[Shortname]], Comp[], 22, FALSE)</f>
        <v>0</v>
      </c>
      <c r="AA14">
        <f>VLOOKUP(Misfit[[#This Row],[Shortname]], Comp[], 23, FALSE)</f>
        <v>0</v>
      </c>
      <c r="AB14">
        <f>VLOOKUP(Misfit[[#This Row],[Shortname]], Comp[], 24, FALSE)</f>
        <v>0</v>
      </c>
      <c r="AC14">
        <f>VLOOKUP(Misfit[[#This Row],[Shortname]], Comp[], 25, FALSE)</f>
        <v>0</v>
      </c>
      <c r="AD14">
        <f>VLOOKUP(Misfit[[#This Row],[Shortname]], Comp[], 26, FALSE)</f>
        <v>0</v>
      </c>
      <c r="AE14">
        <f>VLOOKUP(Misfit[[#This Row],[Shortname]], Comp[], 27, FALSE)</f>
        <v>0</v>
      </c>
      <c r="AF14">
        <f>VLOOKUP(Misfit[[#This Row],[Shortname]], Comp[], 28, FALSE)</f>
        <v>0</v>
      </c>
      <c r="AG14">
        <f>VLOOKUP(Misfit[[#This Row],[Shortname]], Comp[], 29, FALSE)</f>
        <v>0</v>
      </c>
      <c r="AH14">
        <f>VLOOKUP(Misfit[[#This Row],[Shortname]], Comp[], 30, FALSE)</f>
        <v>0</v>
      </c>
      <c r="AI14">
        <f>VLOOKUP(Misfit[[#This Row],[Shortname]], Comp[], 31, FALSE)</f>
        <v>0</v>
      </c>
    </row>
    <row r="15" spans="1:35" x14ac:dyDescent="0.3">
      <c r="A15" t="s">
        <v>1090</v>
      </c>
      <c r="B15" t="s">
        <v>1092</v>
      </c>
      <c r="C15" t="s">
        <v>6601</v>
      </c>
      <c r="D15">
        <v>50</v>
      </c>
      <c r="E15">
        <v>25</v>
      </c>
      <c r="F15">
        <v>0.35780000000000001</v>
      </c>
      <c r="G15">
        <v>0.35670000000000002</v>
      </c>
      <c r="H15" s="40">
        <f t="shared" si="0"/>
        <v>3.0790762771168365E-3</v>
      </c>
      <c r="J15">
        <f>VLOOKUP(Misfit[[#This Row],[Shortname]], Comp[], 6, FALSE)</f>
        <v>139</v>
      </c>
      <c r="K15">
        <f>VLOOKUP(Misfit[[#This Row],[Shortname]], Comp[], 7, FALSE)</f>
        <v>58.6</v>
      </c>
      <c r="L15">
        <f>VLOOKUP(Misfit[[#This Row],[Shortname]], Comp[], 8, FALSE)</f>
        <v>19.7</v>
      </c>
      <c r="M15">
        <f>VLOOKUP(Misfit[[#This Row],[Shortname]], Comp[], 9, FALSE)</f>
        <v>5.4</v>
      </c>
      <c r="N15">
        <f>VLOOKUP(Misfit[[#This Row],[Shortname]], Comp[], 10, FALSE)</f>
        <v>11</v>
      </c>
      <c r="O15">
        <f>VLOOKUP(Misfit[[#This Row],[Shortname]], Comp[], 11, FALSE)</f>
        <v>0</v>
      </c>
      <c r="P15">
        <f>VLOOKUP(Misfit[[#This Row],[Shortname]], Comp[],12, FALSE)</f>
        <v>5.3</v>
      </c>
      <c r="Q15">
        <f>VLOOKUP(Misfit[[#This Row],[Shortname]], Comp[], 13, FALSE)</f>
        <v>0</v>
      </c>
      <c r="R15">
        <f>VLOOKUP(Misfit[[#This Row],[Shortname]], Comp[], 14, FALSE)</f>
        <v>0</v>
      </c>
      <c r="S15">
        <f>VLOOKUP(Misfit[[#This Row],[Shortname]], Comp[], 15, FALSE)</f>
        <v>0</v>
      </c>
      <c r="T15">
        <f>VLOOKUP(Misfit[[#This Row],[Shortname]], Comp[], 16, FALSE)</f>
        <v>0</v>
      </c>
      <c r="U15">
        <f>VLOOKUP(Misfit[[#This Row],[Shortname]], Comp[], 17, FALSE)</f>
        <v>0</v>
      </c>
      <c r="V15">
        <f>VLOOKUP(Misfit[[#This Row],[Shortname]], Comp[], 18, FALSE)</f>
        <v>0</v>
      </c>
      <c r="W15">
        <f>VLOOKUP(Misfit[[#This Row],[Shortname]], Comp[], 19, FALSE)</f>
        <v>0</v>
      </c>
      <c r="X15">
        <f>VLOOKUP(Misfit[[#This Row],[Shortname]], Comp[], 20, FALSE)</f>
        <v>0</v>
      </c>
      <c r="Y15">
        <f>VLOOKUP(Misfit[[#This Row],[Shortname]], Comp[], 21, FALSE)</f>
        <v>0</v>
      </c>
      <c r="Z15">
        <f>VLOOKUP(Misfit[[#This Row],[Shortname]], Comp[], 22, FALSE)</f>
        <v>0</v>
      </c>
      <c r="AA15">
        <f>VLOOKUP(Misfit[[#This Row],[Shortname]], Comp[], 23, FALSE)</f>
        <v>0</v>
      </c>
      <c r="AB15">
        <f>VLOOKUP(Misfit[[#This Row],[Shortname]], Comp[], 24, FALSE)</f>
        <v>0</v>
      </c>
      <c r="AC15">
        <f>VLOOKUP(Misfit[[#This Row],[Shortname]], Comp[], 25, FALSE)</f>
        <v>0</v>
      </c>
      <c r="AD15">
        <f>VLOOKUP(Misfit[[#This Row],[Shortname]], Comp[], 26, FALSE)</f>
        <v>0</v>
      </c>
      <c r="AE15">
        <f>VLOOKUP(Misfit[[#This Row],[Shortname]], Comp[], 27, FALSE)</f>
        <v>0</v>
      </c>
      <c r="AF15">
        <f>VLOOKUP(Misfit[[#This Row],[Shortname]], Comp[], 28, FALSE)</f>
        <v>0</v>
      </c>
      <c r="AG15">
        <f>VLOOKUP(Misfit[[#This Row],[Shortname]], Comp[], 29, FALSE)</f>
        <v>0</v>
      </c>
      <c r="AH15">
        <f>VLOOKUP(Misfit[[#This Row],[Shortname]], Comp[], 30, FALSE)</f>
        <v>0</v>
      </c>
      <c r="AI15">
        <f>VLOOKUP(Misfit[[#This Row],[Shortname]], Comp[], 31, FALSE)</f>
        <v>0</v>
      </c>
    </row>
    <row r="16" spans="1:35" x14ac:dyDescent="0.3">
      <c r="A16" t="s">
        <v>1188</v>
      </c>
      <c r="B16" t="s">
        <v>1190</v>
      </c>
      <c r="C16" t="s">
        <v>6601</v>
      </c>
      <c r="D16">
        <v>50</v>
      </c>
      <c r="E16">
        <v>25</v>
      </c>
      <c r="F16">
        <v>0.35709999999999997</v>
      </c>
      <c r="G16">
        <v>0.35620000000000002</v>
      </c>
      <c r="H16" s="40">
        <f t="shared" si="0"/>
        <v>2.5234824057197712E-3</v>
      </c>
      <c r="J16">
        <f>VLOOKUP(Misfit[[#This Row],[Shortname]], Comp[], 6, FALSE)</f>
        <v>151</v>
      </c>
      <c r="K16">
        <f>VLOOKUP(Misfit[[#This Row],[Shortname]], Comp[], 7, FALSE)</f>
        <v>59.1</v>
      </c>
      <c r="L16">
        <f>VLOOKUP(Misfit[[#This Row],[Shortname]], Comp[], 8, FALSE)</f>
        <v>19.7</v>
      </c>
      <c r="M16">
        <f>VLOOKUP(Misfit[[#This Row],[Shortname]], Comp[], 9, FALSE)</f>
        <v>7.5</v>
      </c>
      <c r="N16">
        <f>VLOOKUP(Misfit[[#This Row],[Shortname]], Comp[], 10, FALSE)</f>
        <v>11.1</v>
      </c>
      <c r="O16">
        <f>VLOOKUP(Misfit[[#This Row],[Shortname]], Comp[], 11, FALSE)</f>
        <v>0</v>
      </c>
      <c r="P16">
        <f>VLOOKUP(Misfit[[#This Row],[Shortname]], Comp[],12, FALSE)</f>
        <v>2.6</v>
      </c>
      <c r="Q16">
        <f>VLOOKUP(Misfit[[#This Row],[Shortname]], Comp[], 13, FALSE)</f>
        <v>0</v>
      </c>
      <c r="R16">
        <f>VLOOKUP(Misfit[[#This Row],[Shortname]], Comp[], 14, FALSE)</f>
        <v>0</v>
      </c>
      <c r="S16">
        <f>VLOOKUP(Misfit[[#This Row],[Shortname]], Comp[], 15, FALSE)</f>
        <v>0</v>
      </c>
      <c r="T16">
        <f>VLOOKUP(Misfit[[#This Row],[Shortname]], Comp[], 16, FALSE)</f>
        <v>0</v>
      </c>
      <c r="U16">
        <f>VLOOKUP(Misfit[[#This Row],[Shortname]], Comp[], 17, FALSE)</f>
        <v>0</v>
      </c>
      <c r="V16">
        <f>VLOOKUP(Misfit[[#This Row],[Shortname]], Comp[], 18, FALSE)</f>
        <v>0</v>
      </c>
      <c r="W16">
        <f>VLOOKUP(Misfit[[#This Row],[Shortname]], Comp[], 19, FALSE)</f>
        <v>0</v>
      </c>
      <c r="X16">
        <f>VLOOKUP(Misfit[[#This Row],[Shortname]], Comp[], 20, FALSE)</f>
        <v>0</v>
      </c>
      <c r="Y16">
        <f>VLOOKUP(Misfit[[#This Row],[Shortname]], Comp[], 21, FALSE)</f>
        <v>0</v>
      </c>
      <c r="Z16">
        <f>VLOOKUP(Misfit[[#This Row],[Shortname]], Comp[], 22, FALSE)</f>
        <v>0</v>
      </c>
      <c r="AA16">
        <f>VLOOKUP(Misfit[[#This Row],[Shortname]], Comp[], 23, FALSE)</f>
        <v>0</v>
      </c>
      <c r="AB16">
        <f>VLOOKUP(Misfit[[#This Row],[Shortname]], Comp[], 24, FALSE)</f>
        <v>0</v>
      </c>
      <c r="AC16">
        <f>VLOOKUP(Misfit[[#This Row],[Shortname]], Comp[], 25, FALSE)</f>
        <v>0</v>
      </c>
      <c r="AD16">
        <f>VLOOKUP(Misfit[[#This Row],[Shortname]], Comp[], 26, FALSE)</f>
        <v>0</v>
      </c>
      <c r="AE16">
        <f>VLOOKUP(Misfit[[#This Row],[Shortname]], Comp[], 27, FALSE)</f>
        <v>0</v>
      </c>
      <c r="AF16">
        <f>VLOOKUP(Misfit[[#This Row],[Shortname]], Comp[], 28, FALSE)</f>
        <v>0</v>
      </c>
      <c r="AG16">
        <f>VLOOKUP(Misfit[[#This Row],[Shortname]], Comp[], 29, FALSE)</f>
        <v>0</v>
      </c>
      <c r="AH16">
        <f>VLOOKUP(Misfit[[#This Row],[Shortname]], Comp[], 30, FALSE)</f>
        <v>0</v>
      </c>
      <c r="AI16">
        <f>VLOOKUP(Misfit[[#This Row],[Shortname]], Comp[], 31, FALSE)</f>
        <v>0</v>
      </c>
    </row>
    <row r="17" spans="1:35" x14ac:dyDescent="0.3">
      <c r="A17" t="s">
        <v>1064</v>
      </c>
      <c r="B17" t="s">
        <v>1066</v>
      </c>
      <c r="C17" t="s">
        <v>6601</v>
      </c>
      <c r="D17">
        <v>50</v>
      </c>
      <c r="E17">
        <v>25</v>
      </c>
      <c r="F17">
        <v>0.35859999999999997</v>
      </c>
      <c r="G17">
        <v>0.35630000000000001</v>
      </c>
      <c r="H17" s="40">
        <f t="shared" si="0"/>
        <v>6.4344663589312318E-3</v>
      </c>
      <c r="J17">
        <f>VLOOKUP(Misfit[[#This Row],[Shortname]], Comp[], 6, FALSE)</f>
        <v>136</v>
      </c>
      <c r="K17">
        <f>VLOOKUP(Misfit[[#This Row],[Shortname]], Comp[], 7, FALSE)</f>
        <v>39.000000000000007</v>
      </c>
      <c r="L17">
        <f>VLOOKUP(Misfit[[#This Row],[Shortname]], Comp[], 8, FALSE)</f>
        <v>39.799999999999997</v>
      </c>
      <c r="M17">
        <f>VLOOKUP(Misfit[[#This Row],[Shortname]], Comp[], 9, FALSE)</f>
        <v>2.8</v>
      </c>
      <c r="N17">
        <f>VLOOKUP(Misfit[[#This Row],[Shortname]], Comp[], 10, FALSE)</f>
        <v>10.8</v>
      </c>
      <c r="O17">
        <f>VLOOKUP(Misfit[[#This Row],[Shortname]], Comp[], 11, FALSE)</f>
        <v>0</v>
      </c>
      <c r="P17">
        <f>VLOOKUP(Misfit[[#This Row],[Shortname]], Comp[],12, FALSE)</f>
        <v>7.6</v>
      </c>
      <c r="Q17">
        <f>VLOOKUP(Misfit[[#This Row],[Shortname]], Comp[], 13, FALSE)</f>
        <v>0</v>
      </c>
      <c r="R17">
        <f>VLOOKUP(Misfit[[#This Row],[Shortname]], Comp[], 14, FALSE)</f>
        <v>0</v>
      </c>
      <c r="S17">
        <f>VLOOKUP(Misfit[[#This Row],[Shortname]], Comp[], 15, FALSE)</f>
        <v>0</v>
      </c>
      <c r="T17">
        <f>VLOOKUP(Misfit[[#This Row],[Shortname]], Comp[], 16, FALSE)</f>
        <v>0</v>
      </c>
      <c r="U17">
        <f>VLOOKUP(Misfit[[#This Row],[Shortname]], Comp[], 17, FALSE)</f>
        <v>0</v>
      </c>
      <c r="V17">
        <f>VLOOKUP(Misfit[[#This Row],[Shortname]], Comp[], 18, FALSE)</f>
        <v>0</v>
      </c>
      <c r="W17">
        <f>VLOOKUP(Misfit[[#This Row],[Shortname]], Comp[], 19, FALSE)</f>
        <v>0</v>
      </c>
      <c r="X17">
        <f>VLOOKUP(Misfit[[#This Row],[Shortname]], Comp[], 20, FALSE)</f>
        <v>0</v>
      </c>
      <c r="Y17">
        <f>VLOOKUP(Misfit[[#This Row],[Shortname]], Comp[], 21, FALSE)</f>
        <v>0</v>
      </c>
      <c r="Z17">
        <f>VLOOKUP(Misfit[[#This Row],[Shortname]], Comp[], 22, FALSE)</f>
        <v>0</v>
      </c>
      <c r="AA17">
        <f>VLOOKUP(Misfit[[#This Row],[Shortname]], Comp[], 23, FALSE)</f>
        <v>0</v>
      </c>
      <c r="AB17">
        <f>VLOOKUP(Misfit[[#This Row],[Shortname]], Comp[], 24, FALSE)</f>
        <v>0</v>
      </c>
      <c r="AC17">
        <f>VLOOKUP(Misfit[[#This Row],[Shortname]], Comp[], 25, FALSE)</f>
        <v>0</v>
      </c>
      <c r="AD17">
        <f>VLOOKUP(Misfit[[#This Row],[Shortname]], Comp[], 26, FALSE)</f>
        <v>0</v>
      </c>
      <c r="AE17">
        <f>VLOOKUP(Misfit[[#This Row],[Shortname]], Comp[], 27, FALSE)</f>
        <v>0</v>
      </c>
      <c r="AF17">
        <f>VLOOKUP(Misfit[[#This Row],[Shortname]], Comp[], 28, FALSE)</f>
        <v>0</v>
      </c>
      <c r="AG17">
        <f>VLOOKUP(Misfit[[#This Row],[Shortname]], Comp[], 29, FALSE)</f>
        <v>0</v>
      </c>
      <c r="AH17">
        <f>VLOOKUP(Misfit[[#This Row],[Shortname]], Comp[], 30, FALSE)</f>
        <v>0</v>
      </c>
      <c r="AI17">
        <f>VLOOKUP(Misfit[[#This Row],[Shortname]], Comp[], 31, FALSE)</f>
        <v>0</v>
      </c>
    </row>
    <row r="18" spans="1:35" x14ac:dyDescent="0.3">
      <c r="A18" t="s">
        <v>1099</v>
      </c>
      <c r="B18" t="s">
        <v>1101</v>
      </c>
      <c r="C18" t="s">
        <v>6601</v>
      </c>
      <c r="D18">
        <v>50</v>
      </c>
      <c r="E18">
        <v>25</v>
      </c>
      <c r="F18">
        <v>0.35799999999999998</v>
      </c>
      <c r="G18">
        <v>0.35620000000000002</v>
      </c>
      <c r="H18" s="40">
        <f t="shared" si="0"/>
        <v>5.0406048725846215E-3</v>
      </c>
      <c r="J18">
        <f>VLOOKUP(Misfit[[#This Row],[Shortname]], Comp[], 6, FALSE)</f>
        <v>140</v>
      </c>
      <c r="K18">
        <f>VLOOKUP(Misfit[[#This Row],[Shortname]], Comp[], 7, FALSE)</f>
        <v>39.1</v>
      </c>
      <c r="L18">
        <f>VLOOKUP(Misfit[[#This Row],[Shortname]], Comp[], 8, FALSE)</f>
        <v>39.200000000000003</v>
      </c>
      <c r="M18">
        <f>VLOOKUP(Misfit[[#This Row],[Shortname]], Comp[], 9, FALSE)</f>
        <v>5.9</v>
      </c>
      <c r="N18">
        <f>VLOOKUP(Misfit[[#This Row],[Shortname]], Comp[], 10, FALSE)</f>
        <v>10.5</v>
      </c>
      <c r="O18">
        <f>VLOOKUP(Misfit[[#This Row],[Shortname]], Comp[], 11, FALSE)</f>
        <v>0</v>
      </c>
      <c r="P18">
        <f>VLOOKUP(Misfit[[#This Row],[Shortname]], Comp[],12, FALSE)</f>
        <v>5.3</v>
      </c>
      <c r="Q18">
        <f>VLOOKUP(Misfit[[#This Row],[Shortname]], Comp[], 13, FALSE)</f>
        <v>0</v>
      </c>
      <c r="R18">
        <f>VLOOKUP(Misfit[[#This Row],[Shortname]], Comp[], 14, FALSE)</f>
        <v>0</v>
      </c>
      <c r="S18">
        <f>VLOOKUP(Misfit[[#This Row],[Shortname]], Comp[], 15, FALSE)</f>
        <v>0</v>
      </c>
      <c r="T18">
        <f>VLOOKUP(Misfit[[#This Row],[Shortname]], Comp[], 16, FALSE)</f>
        <v>0</v>
      </c>
      <c r="U18">
        <f>VLOOKUP(Misfit[[#This Row],[Shortname]], Comp[], 17, FALSE)</f>
        <v>0</v>
      </c>
      <c r="V18">
        <f>VLOOKUP(Misfit[[#This Row],[Shortname]], Comp[], 18, FALSE)</f>
        <v>0</v>
      </c>
      <c r="W18">
        <f>VLOOKUP(Misfit[[#This Row],[Shortname]], Comp[], 19, FALSE)</f>
        <v>0</v>
      </c>
      <c r="X18">
        <f>VLOOKUP(Misfit[[#This Row],[Shortname]], Comp[], 20, FALSE)</f>
        <v>0</v>
      </c>
      <c r="Y18">
        <f>VLOOKUP(Misfit[[#This Row],[Shortname]], Comp[], 21, FALSE)</f>
        <v>0</v>
      </c>
      <c r="Z18">
        <f>VLOOKUP(Misfit[[#This Row],[Shortname]], Comp[], 22, FALSE)</f>
        <v>0</v>
      </c>
      <c r="AA18">
        <f>VLOOKUP(Misfit[[#This Row],[Shortname]], Comp[], 23, FALSE)</f>
        <v>0</v>
      </c>
      <c r="AB18">
        <f>VLOOKUP(Misfit[[#This Row],[Shortname]], Comp[], 24, FALSE)</f>
        <v>0</v>
      </c>
      <c r="AC18">
        <f>VLOOKUP(Misfit[[#This Row],[Shortname]], Comp[], 25, FALSE)</f>
        <v>0</v>
      </c>
      <c r="AD18">
        <f>VLOOKUP(Misfit[[#This Row],[Shortname]], Comp[], 26, FALSE)</f>
        <v>0</v>
      </c>
      <c r="AE18">
        <f>VLOOKUP(Misfit[[#This Row],[Shortname]], Comp[], 27, FALSE)</f>
        <v>0</v>
      </c>
      <c r="AF18">
        <f>VLOOKUP(Misfit[[#This Row],[Shortname]], Comp[], 28, FALSE)</f>
        <v>0</v>
      </c>
      <c r="AG18">
        <f>VLOOKUP(Misfit[[#This Row],[Shortname]], Comp[], 29, FALSE)</f>
        <v>0</v>
      </c>
      <c r="AH18">
        <f>VLOOKUP(Misfit[[#This Row],[Shortname]], Comp[], 30, FALSE)</f>
        <v>0</v>
      </c>
      <c r="AI18">
        <f>VLOOKUP(Misfit[[#This Row],[Shortname]], Comp[], 31, FALSE)</f>
        <v>0</v>
      </c>
    </row>
    <row r="19" spans="1:35" x14ac:dyDescent="0.3">
      <c r="A19" t="s">
        <v>1196</v>
      </c>
      <c r="B19" t="s">
        <v>1198</v>
      </c>
      <c r="C19" t="s">
        <v>6601</v>
      </c>
      <c r="D19">
        <v>50</v>
      </c>
      <c r="E19">
        <v>25</v>
      </c>
      <c r="F19">
        <v>0.35720000000000002</v>
      </c>
      <c r="G19">
        <v>0.35580000000000001</v>
      </c>
      <c r="H19" s="40">
        <f t="shared" si="0"/>
        <v>3.927068723702699E-3</v>
      </c>
      <c r="J19">
        <f>VLOOKUP(Misfit[[#This Row],[Shortname]], Comp[], 6, FALSE)</f>
        <v>152</v>
      </c>
      <c r="K19">
        <f>VLOOKUP(Misfit[[#This Row],[Shortname]], Comp[], 7, FALSE)</f>
        <v>39.4</v>
      </c>
      <c r="L19">
        <f>VLOOKUP(Misfit[[#This Row],[Shortname]], Comp[], 8, FALSE)</f>
        <v>39.700000000000003</v>
      </c>
      <c r="M19">
        <f>VLOOKUP(Misfit[[#This Row],[Shortname]], Comp[], 9, FALSE)</f>
        <v>7.5</v>
      </c>
      <c r="N19">
        <f>VLOOKUP(Misfit[[#This Row],[Shortname]], Comp[], 10, FALSE)</f>
        <v>10.8</v>
      </c>
      <c r="O19">
        <f>VLOOKUP(Misfit[[#This Row],[Shortname]], Comp[], 11, FALSE)</f>
        <v>0</v>
      </c>
      <c r="P19">
        <f>VLOOKUP(Misfit[[#This Row],[Shortname]], Comp[],12, FALSE)</f>
        <v>2.6</v>
      </c>
      <c r="Q19">
        <f>VLOOKUP(Misfit[[#This Row],[Shortname]], Comp[], 13, FALSE)</f>
        <v>0</v>
      </c>
      <c r="R19">
        <f>VLOOKUP(Misfit[[#This Row],[Shortname]], Comp[], 14, FALSE)</f>
        <v>0</v>
      </c>
      <c r="S19">
        <f>VLOOKUP(Misfit[[#This Row],[Shortname]], Comp[], 15, FALSE)</f>
        <v>0</v>
      </c>
      <c r="T19">
        <f>VLOOKUP(Misfit[[#This Row],[Shortname]], Comp[], 16, FALSE)</f>
        <v>0</v>
      </c>
      <c r="U19">
        <f>VLOOKUP(Misfit[[#This Row],[Shortname]], Comp[], 17, FALSE)</f>
        <v>0</v>
      </c>
      <c r="V19">
        <f>VLOOKUP(Misfit[[#This Row],[Shortname]], Comp[], 18, FALSE)</f>
        <v>0</v>
      </c>
      <c r="W19">
        <f>VLOOKUP(Misfit[[#This Row],[Shortname]], Comp[], 19, FALSE)</f>
        <v>0</v>
      </c>
      <c r="X19">
        <f>VLOOKUP(Misfit[[#This Row],[Shortname]], Comp[], 20, FALSE)</f>
        <v>0</v>
      </c>
      <c r="Y19">
        <f>VLOOKUP(Misfit[[#This Row],[Shortname]], Comp[], 21, FALSE)</f>
        <v>0</v>
      </c>
      <c r="Z19">
        <f>VLOOKUP(Misfit[[#This Row],[Shortname]], Comp[], 22, FALSE)</f>
        <v>0</v>
      </c>
      <c r="AA19">
        <f>VLOOKUP(Misfit[[#This Row],[Shortname]], Comp[], 23, FALSE)</f>
        <v>0</v>
      </c>
      <c r="AB19">
        <f>VLOOKUP(Misfit[[#This Row],[Shortname]], Comp[], 24, FALSE)</f>
        <v>0</v>
      </c>
      <c r="AC19">
        <f>VLOOKUP(Misfit[[#This Row],[Shortname]], Comp[], 25, FALSE)</f>
        <v>0</v>
      </c>
      <c r="AD19">
        <f>VLOOKUP(Misfit[[#This Row],[Shortname]], Comp[], 26, FALSE)</f>
        <v>0</v>
      </c>
      <c r="AE19">
        <f>VLOOKUP(Misfit[[#This Row],[Shortname]], Comp[], 27, FALSE)</f>
        <v>0</v>
      </c>
      <c r="AF19">
        <f>VLOOKUP(Misfit[[#This Row],[Shortname]], Comp[], 28, FALSE)</f>
        <v>0</v>
      </c>
      <c r="AG19">
        <f>VLOOKUP(Misfit[[#This Row],[Shortname]], Comp[], 29, FALSE)</f>
        <v>0</v>
      </c>
      <c r="AH19">
        <f>VLOOKUP(Misfit[[#This Row],[Shortname]], Comp[], 30, FALSE)</f>
        <v>0</v>
      </c>
      <c r="AI19">
        <f>VLOOKUP(Misfit[[#This Row],[Shortname]], Comp[], 31, FALSE)</f>
        <v>0</v>
      </c>
    </row>
    <row r="20" spans="1:35" x14ac:dyDescent="0.3">
      <c r="A20" t="s">
        <v>992</v>
      </c>
      <c r="B20" t="s">
        <v>994</v>
      </c>
      <c r="C20" t="s">
        <v>6601</v>
      </c>
      <c r="D20">
        <v>50</v>
      </c>
      <c r="E20">
        <v>25</v>
      </c>
      <c r="F20">
        <v>0.3584</v>
      </c>
      <c r="G20">
        <v>0.35630000000000001</v>
      </c>
      <c r="H20" s="40">
        <f t="shared" si="0"/>
        <v>5.8765915768853802E-3</v>
      </c>
      <c r="J20">
        <f>VLOOKUP(Misfit[[#This Row],[Shortname]], Comp[], 6, FALSE)</f>
        <v>128</v>
      </c>
      <c r="K20">
        <f>VLOOKUP(Misfit[[#This Row],[Shortname]], Comp[], 7, FALSE)</f>
        <v>19.5</v>
      </c>
      <c r="L20">
        <f>VLOOKUP(Misfit[[#This Row],[Shortname]], Comp[], 8, FALSE)</f>
        <v>58.3</v>
      </c>
      <c r="M20">
        <f>VLOOKUP(Misfit[[#This Row],[Shortname]], Comp[], 9, FALSE)</f>
        <v>3.2</v>
      </c>
      <c r="N20">
        <f>VLOOKUP(Misfit[[#This Row],[Shortname]], Comp[], 10, FALSE)</f>
        <v>10.8</v>
      </c>
      <c r="O20">
        <f>VLOOKUP(Misfit[[#This Row],[Shortname]], Comp[], 11, FALSE)</f>
        <v>0</v>
      </c>
      <c r="P20">
        <f>VLOOKUP(Misfit[[#This Row],[Shortname]], Comp[],12, FALSE)</f>
        <v>8.1999999999999993</v>
      </c>
      <c r="Q20">
        <f>VLOOKUP(Misfit[[#This Row],[Shortname]], Comp[], 13, FALSE)</f>
        <v>0</v>
      </c>
      <c r="R20">
        <f>VLOOKUP(Misfit[[#This Row],[Shortname]], Comp[], 14, FALSE)</f>
        <v>0</v>
      </c>
      <c r="S20">
        <f>VLOOKUP(Misfit[[#This Row],[Shortname]], Comp[], 15, FALSE)</f>
        <v>0</v>
      </c>
      <c r="T20">
        <f>VLOOKUP(Misfit[[#This Row],[Shortname]], Comp[], 16, FALSE)</f>
        <v>0</v>
      </c>
      <c r="U20">
        <f>VLOOKUP(Misfit[[#This Row],[Shortname]], Comp[], 17, FALSE)</f>
        <v>0</v>
      </c>
      <c r="V20">
        <f>VLOOKUP(Misfit[[#This Row],[Shortname]], Comp[], 18, FALSE)</f>
        <v>0</v>
      </c>
      <c r="W20">
        <f>VLOOKUP(Misfit[[#This Row],[Shortname]], Comp[], 19, FALSE)</f>
        <v>0</v>
      </c>
      <c r="X20">
        <f>VLOOKUP(Misfit[[#This Row],[Shortname]], Comp[], 20, FALSE)</f>
        <v>0</v>
      </c>
      <c r="Y20">
        <f>VLOOKUP(Misfit[[#This Row],[Shortname]], Comp[], 21, FALSE)</f>
        <v>0</v>
      </c>
      <c r="Z20">
        <f>VLOOKUP(Misfit[[#This Row],[Shortname]], Comp[], 22, FALSE)</f>
        <v>0</v>
      </c>
      <c r="AA20">
        <f>VLOOKUP(Misfit[[#This Row],[Shortname]], Comp[], 23, FALSE)</f>
        <v>0</v>
      </c>
      <c r="AB20">
        <f>VLOOKUP(Misfit[[#This Row],[Shortname]], Comp[], 24, FALSE)</f>
        <v>0</v>
      </c>
      <c r="AC20">
        <f>VLOOKUP(Misfit[[#This Row],[Shortname]], Comp[], 25, FALSE)</f>
        <v>0</v>
      </c>
      <c r="AD20">
        <f>VLOOKUP(Misfit[[#This Row],[Shortname]], Comp[], 26, FALSE)</f>
        <v>0</v>
      </c>
      <c r="AE20">
        <f>VLOOKUP(Misfit[[#This Row],[Shortname]], Comp[], 27, FALSE)</f>
        <v>0</v>
      </c>
      <c r="AF20">
        <f>VLOOKUP(Misfit[[#This Row],[Shortname]], Comp[], 28, FALSE)</f>
        <v>0</v>
      </c>
      <c r="AG20">
        <f>VLOOKUP(Misfit[[#This Row],[Shortname]], Comp[], 29, FALSE)</f>
        <v>0</v>
      </c>
      <c r="AH20">
        <f>VLOOKUP(Misfit[[#This Row],[Shortname]], Comp[], 30, FALSE)</f>
        <v>0</v>
      </c>
      <c r="AI20">
        <f>VLOOKUP(Misfit[[#This Row],[Shortname]], Comp[], 31, FALSE)</f>
        <v>0</v>
      </c>
    </row>
    <row r="21" spans="1:35" x14ac:dyDescent="0.3">
      <c r="A21" t="s">
        <v>1073</v>
      </c>
      <c r="B21" t="s">
        <v>1075</v>
      </c>
      <c r="C21" t="s">
        <v>6601</v>
      </c>
      <c r="D21">
        <v>50</v>
      </c>
      <c r="E21">
        <v>25</v>
      </c>
      <c r="F21">
        <v>0.35770000000000002</v>
      </c>
      <c r="G21">
        <v>0.35589999999999999</v>
      </c>
      <c r="H21" s="40">
        <f t="shared" si="0"/>
        <v>5.0448430493274209E-3</v>
      </c>
      <c r="J21">
        <f>VLOOKUP(Misfit[[#This Row],[Shortname]], Comp[], 6, FALSE)</f>
        <v>137</v>
      </c>
      <c r="K21">
        <f>VLOOKUP(Misfit[[#This Row],[Shortname]], Comp[], 7, FALSE)</f>
        <v>19.5</v>
      </c>
      <c r="L21">
        <f>VLOOKUP(Misfit[[#This Row],[Shortname]], Comp[], 8, FALSE)</f>
        <v>59.5</v>
      </c>
      <c r="M21">
        <f>VLOOKUP(Misfit[[#This Row],[Shortname]], Comp[], 9, FALSE)</f>
        <v>4.5</v>
      </c>
      <c r="N21">
        <f>VLOOKUP(Misfit[[#This Row],[Shortname]], Comp[], 10, FALSE)</f>
        <v>10.9</v>
      </c>
      <c r="O21">
        <f>VLOOKUP(Misfit[[#This Row],[Shortname]], Comp[], 11, FALSE)</f>
        <v>0</v>
      </c>
      <c r="P21">
        <f>VLOOKUP(Misfit[[#This Row],[Shortname]], Comp[],12, FALSE)</f>
        <v>5.6</v>
      </c>
      <c r="Q21">
        <f>VLOOKUP(Misfit[[#This Row],[Shortname]], Comp[], 13, FALSE)</f>
        <v>0</v>
      </c>
      <c r="R21">
        <f>VLOOKUP(Misfit[[#This Row],[Shortname]], Comp[], 14, FALSE)</f>
        <v>0</v>
      </c>
      <c r="S21">
        <f>VLOOKUP(Misfit[[#This Row],[Shortname]], Comp[], 15, FALSE)</f>
        <v>0</v>
      </c>
      <c r="T21">
        <f>VLOOKUP(Misfit[[#This Row],[Shortname]], Comp[], 16, FALSE)</f>
        <v>0</v>
      </c>
      <c r="U21">
        <f>VLOOKUP(Misfit[[#This Row],[Shortname]], Comp[], 17, FALSE)</f>
        <v>0</v>
      </c>
      <c r="V21">
        <f>VLOOKUP(Misfit[[#This Row],[Shortname]], Comp[], 18, FALSE)</f>
        <v>0</v>
      </c>
      <c r="W21">
        <f>VLOOKUP(Misfit[[#This Row],[Shortname]], Comp[], 19, FALSE)</f>
        <v>0</v>
      </c>
      <c r="X21">
        <f>VLOOKUP(Misfit[[#This Row],[Shortname]], Comp[], 20, FALSE)</f>
        <v>0</v>
      </c>
      <c r="Y21">
        <f>VLOOKUP(Misfit[[#This Row],[Shortname]], Comp[], 21, FALSE)</f>
        <v>0</v>
      </c>
      <c r="Z21">
        <f>VLOOKUP(Misfit[[#This Row],[Shortname]], Comp[], 22, FALSE)</f>
        <v>0</v>
      </c>
      <c r="AA21">
        <f>VLOOKUP(Misfit[[#This Row],[Shortname]], Comp[], 23, FALSE)</f>
        <v>0</v>
      </c>
      <c r="AB21">
        <f>VLOOKUP(Misfit[[#This Row],[Shortname]], Comp[], 24, FALSE)</f>
        <v>0</v>
      </c>
      <c r="AC21">
        <f>VLOOKUP(Misfit[[#This Row],[Shortname]], Comp[], 25, FALSE)</f>
        <v>0</v>
      </c>
      <c r="AD21">
        <f>VLOOKUP(Misfit[[#This Row],[Shortname]], Comp[], 26, FALSE)</f>
        <v>0</v>
      </c>
      <c r="AE21">
        <f>VLOOKUP(Misfit[[#This Row],[Shortname]], Comp[], 27, FALSE)</f>
        <v>0</v>
      </c>
      <c r="AF21">
        <f>VLOOKUP(Misfit[[#This Row],[Shortname]], Comp[], 28, FALSE)</f>
        <v>0</v>
      </c>
      <c r="AG21">
        <f>VLOOKUP(Misfit[[#This Row],[Shortname]], Comp[], 29, FALSE)</f>
        <v>0</v>
      </c>
      <c r="AH21">
        <f>VLOOKUP(Misfit[[#This Row],[Shortname]], Comp[], 30, FALSE)</f>
        <v>0</v>
      </c>
      <c r="AI21">
        <f>VLOOKUP(Misfit[[#This Row],[Shortname]], Comp[], 31, FALSE)</f>
        <v>0</v>
      </c>
    </row>
    <row r="22" spans="1:35" x14ac:dyDescent="0.3">
      <c r="A22" t="s">
        <v>1149</v>
      </c>
      <c r="B22" t="s">
        <v>1151</v>
      </c>
      <c r="C22" t="s">
        <v>6601</v>
      </c>
      <c r="D22">
        <v>50</v>
      </c>
      <c r="E22">
        <v>25</v>
      </c>
      <c r="F22">
        <v>0.35680000000000001</v>
      </c>
      <c r="G22">
        <v>0.35549999999999998</v>
      </c>
      <c r="H22" s="40">
        <f t="shared" si="0"/>
        <v>3.6501474097993076E-3</v>
      </c>
      <c r="J22">
        <f>VLOOKUP(Misfit[[#This Row],[Shortname]], Comp[], 6, FALSE)</f>
        <v>146</v>
      </c>
      <c r="K22">
        <f>VLOOKUP(Misfit[[#This Row],[Shortname]], Comp[], 7, FALSE)</f>
        <v>19.599999999999994</v>
      </c>
      <c r="L22">
        <f>VLOOKUP(Misfit[[#This Row],[Shortname]], Comp[], 8, FALSE)</f>
        <v>58.4</v>
      </c>
      <c r="M22">
        <f>VLOOKUP(Misfit[[#This Row],[Shortname]], Comp[], 9, FALSE)</f>
        <v>8.6</v>
      </c>
      <c r="N22">
        <f>VLOOKUP(Misfit[[#This Row],[Shortname]], Comp[], 10, FALSE)</f>
        <v>10.7</v>
      </c>
      <c r="O22">
        <f>VLOOKUP(Misfit[[#This Row],[Shortname]], Comp[], 11, FALSE)</f>
        <v>0</v>
      </c>
      <c r="P22">
        <f>VLOOKUP(Misfit[[#This Row],[Shortname]], Comp[],12, FALSE)</f>
        <v>2.7</v>
      </c>
      <c r="Q22">
        <f>VLOOKUP(Misfit[[#This Row],[Shortname]], Comp[], 13, FALSE)</f>
        <v>0</v>
      </c>
      <c r="R22">
        <f>VLOOKUP(Misfit[[#This Row],[Shortname]], Comp[], 14, FALSE)</f>
        <v>0</v>
      </c>
      <c r="S22">
        <f>VLOOKUP(Misfit[[#This Row],[Shortname]], Comp[], 15, FALSE)</f>
        <v>0</v>
      </c>
      <c r="T22">
        <f>VLOOKUP(Misfit[[#This Row],[Shortname]], Comp[], 16, FALSE)</f>
        <v>0</v>
      </c>
      <c r="U22">
        <f>VLOOKUP(Misfit[[#This Row],[Shortname]], Comp[], 17, FALSE)</f>
        <v>0</v>
      </c>
      <c r="V22">
        <f>VLOOKUP(Misfit[[#This Row],[Shortname]], Comp[], 18, FALSE)</f>
        <v>0</v>
      </c>
      <c r="W22">
        <f>VLOOKUP(Misfit[[#This Row],[Shortname]], Comp[], 19, FALSE)</f>
        <v>0</v>
      </c>
      <c r="X22">
        <f>VLOOKUP(Misfit[[#This Row],[Shortname]], Comp[], 20, FALSE)</f>
        <v>0</v>
      </c>
      <c r="Y22">
        <f>VLOOKUP(Misfit[[#This Row],[Shortname]], Comp[], 21, FALSE)</f>
        <v>0</v>
      </c>
      <c r="Z22">
        <f>VLOOKUP(Misfit[[#This Row],[Shortname]], Comp[], 22, FALSE)</f>
        <v>0</v>
      </c>
      <c r="AA22">
        <f>VLOOKUP(Misfit[[#This Row],[Shortname]], Comp[], 23, FALSE)</f>
        <v>0</v>
      </c>
      <c r="AB22">
        <f>VLOOKUP(Misfit[[#This Row],[Shortname]], Comp[], 24, FALSE)</f>
        <v>0</v>
      </c>
      <c r="AC22">
        <f>VLOOKUP(Misfit[[#This Row],[Shortname]], Comp[], 25, FALSE)</f>
        <v>0</v>
      </c>
      <c r="AD22">
        <f>VLOOKUP(Misfit[[#This Row],[Shortname]], Comp[], 26, FALSE)</f>
        <v>0</v>
      </c>
      <c r="AE22">
        <f>VLOOKUP(Misfit[[#This Row],[Shortname]], Comp[], 27, FALSE)</f>
        <v>0</v>
      </c>
      <c r="AF22">
        <f>VLOOKUP(Misfit[[#This Row],[Shortname]], Comp[], 28, FALSE)</f>
        <v>0</v>
      </c>
      <c r="AG22">
        <f>VLOOKUP(Misfit[[#This Row],[Shortname]], Comp[], 29, FALSE)</f>
        <v>0</v>
      </c>
      <c r="AH22">
        <f>VLOOKUP(Misfit[[#This Row],[Shortname]], Comp[], 30, FALSE)</f>
        <v>0</v>
      </c>
      <c r="AI22">
        <f>VLOOKUP(Misfit[[#This Row],[Shortname]], Comp[], 31, FALSE)</f>
        <v>0</v>
      </c>
    </row>
    <row r="23" spans="1:35" x14ac:dyDescent="0.3">
      <c r="A23" t="s">
        <v>1046</v>
      </c>
      <c r="B23" t="s">
        <v>1048</v>
      </c>
      <c r="C23" t="s">
        <v>6601</v>
      </c>
      <c r="D23">
        <v>50</v>
      </c>
      <c r="E23">
        <v>25</v>
      </c>
      <c r="F23">
        <v>0.35849999999999999</v>
      </c>
      <c r="G23">
        <v>0.3569</v>
      </c>
      <c r="H23" s="40">
        <f t="shared" si="0"/>
        <v>4.4730220855465205E-3</v>
      </c>
      <c r="J23">
        <f>VLOOKUP(Misfit[[#This Row],[Shortname]], Comp[], 6, FALSE)</f>
        <v>134</v>
      </c>
      <c r="K23">
        <f>VLOOKUP(Misfit[[#This Row],[Shortname]], Comp[], 7, FALSE)</f>
        <v>54.7</v>
      </c>
      <c r="L23">
        <f>VLOOKUP(Misfit[[#This Row],[Shortname]], Comp[], 8, FALSE)</f>
        <v>18.3</v>
      </c>
      <c r="M23">
        <f>VLOOKUP(Misfit[[#This Row],[Shortname]], Comp[], 9, FALSE)</f>
        <v>3</v>
      </c>
      <c r="N23">
        <f>VLOOKUP(Misfit[[#This Row],[Shortname]], Comp[], 10, FALSE)</f>
        <v>16.2</v>
      </c>
      <c r="O23">
        <f>VLOOKUP(Misfit[[#This Row],[Shortname]], Comp[], 11, FALSE)</f>
        <v>0</v>
      </c>
      <c r="P23">
        <f>VLOOKUP(Misfit[[#This Row],[Shortname]], Comp[],12, FALSE)</f>
        <v>7.8</v>
      </c>
      <c r="Q23">
        <f>VLOOKUP(Misfit[[#This Row],[Shortname]], Comp[], 13, FALSE)</f>
        <v>0</v>
      </c>
      <c r="R23">
        <f>VLOOKUP(Misfit[[#This Row],[Shortname]], Comp[], 14, FALSE)</f>
        <v>0</v>
      </c>
      <c r="S23">
        <f>VLOOKUP(Misfit[[#This Row],[Shortname]], Comp[], 15, FALSE)</f>
        <v>0</v>
      </c>
      <c r="T23">
        <f>VLOOKUP(Misfit[[#This Row],[Shortname]], Comp[], 16, FALSE)</f>
        <v>0</v>
      </c>
      <c r="U23">
        <f>VLOOKUP(Misfit[[#This Row],[Shortname]], Comp[], 17, FALSE)</f>
        <v>0</v>
      </c>
      <c r="V23">
        <f>VLOOKUP(Misfit[[#This Row],[Shortname]], Comp[], 18, FALSE)</f>
        <v>0</v>
      </c>
      <c r="W23">
        <f>VLOOKUP(Misfit[[#This Row],[Shortname]], Comp[], 19, FALSE)</f>
        <v>0</v>
      </c>
      <c r="X23">
        <f>VLOOKUP(Misfit[[#This Row],[Shortname]], Comp[], 20, FALSE)</f>
        <v>0</v>
      </c>
      <c r="Y23">
        <f>VLOOKUP(Misfit[[#This Row],[Shortname]], Comp[], 21, FALSE)</f>
        <v>0</v>
      </c>
      <c r="Z23">
        <f>VLOOKUP(Misfit[[#This Row],[Shortname]], Comp[], 22, FALSE)</f>
        <v>0</v>
      </c>
      <c r="AA23">
        <f>VLOOKUP(Misfit[[#This Row],[Shortname]], Comp[], 23, FALSE)</f>
        <v>0</v>
      </c>
      <c r="AB23">
        <f>VLOOKUP(Misfit[[#This Row],[Shortname]], Comp[], 24, FALSE)</f>
        <v>0</v>
      </c>
      <c r="AC23">
        <f>VLOOKUP(Misfit[[#This Row],[Shortname]], Comp[], 25, FALSE)</f>
        <v>0</v>
      </c>
      <c r="AD23">
        <f>VLOOKUP(Misfit[[#This Row],[Shortname]], Comp[], 26, FALSE)</f>
        <v>0</v>
      </c>
      <c r="AE23">
        <f>VLOOKUP(Misfit[[#This Row],[Shortname]], Comp[], 27, FALSE)</f>
        <v>0</v>
      </c>
      <c r="AF23">
        <f>VLOOKUP(Misfit[[#This Row],[Shortname]], Comp[], 28, FALSE)</f>
        <v>0</v>
      </c>
      <c r="AG23">
        <f>VLOOKUP(Misfit[[#This Row],[Shortname]], Comp[], 29, FALSE)</f>
        <v>0</v>
      </c>
      <c r="AH23">
        <f>VLOOKUP(Misfit[[#This Row],[Shortname]], Comp[], 30, FALSE)</f>
        <v>0</v>
      </c>
      <c r="AI23">
        <f>VLOOKUP(Misfit[[#This Row],[Shortname]], Comp[], 31, FALSE)</f>
        <v>0</v>
      </c>
    </row>
    <row r="24" spans="1:35" x14ac:dyDescent="0.3">
      <c r="A24" t="s">
        <v>1116</v>
      </c>
      <c r="B24" t="s">
        <v>1118</v>
      </c>
      <c r="C24" t="s">
        <v>6601</v>
      </c>
      <c r="D24">
        <v>50</v>
      </c>
      <c r="E24">
        <v>25</v>
      </c>
      <c r="F24">
        <v>0.3579</v>
      </c>
      <c r="G24">
        <v>0.35670000000000002</v>
      </c>
      <c r="H24" s="40">
        <f t="shared" si="0"/>
        <v>3.3585222502098486E-3</v>
      </c>
      <c r="J24">
        <f>VLOOKUP(Misfit[[#This Row],[Shortname]], Comp[], 6, FALSE)</f>
        <v>142</v>
      </c>
      <c r="K24">
        <f>VLOOKUP(Misfit[[#This Row],[Shortname]], Comp[], 7, FALSE)</f>
        <v>55.399999999999991</v>
      </c>
      <c r="L24">
        <f>VLOOKUP(Misfit[[#This Row],[Shortname]], Comp[], 8, FALSE)</f>
        <v>18.3</v>
      </c>
      <c r="M24">
        <f>VLOOKUP(Misfit[[#This Row],[Shortname]], Comp[], 9, FALSE)</f>
        <v>5</v>
      </c>
      <c r="N24">
        <f>VLOOKUP(Misfit[[#This Row],[Shortname]], Comp[], 10, FALSE)</f>
        <v>16.100000000000001</v>
      </c>
      <c r="O24">
        <f>VLOOKUP(Misfit[[#This Row],[Shortname]], Comp[], 11, FALSE)</f>
        <v>0</v>
      </c>
      <c r="P24">
        <f>VLOOKUP(Misfit[[#This Row],[Shortname]], Comp[],12, FALSE)</f>
        <v>5.2</v>
      </c>
      <c r="Q24">
        <f>VLOOKUP(Misfit[[#This Row],[Shortname]], Comp[], 13, FALSE)</f>
        <v>0</v>
      </c>
      <c r="R24">
        <f>VLOOKUP(Misfit[[#This Row],[Shortname]], Comp[], 14, FALSE)</f>
        <v>0</v>
      </c>
      <c r="S24">
        <f>VLOOKUP(Misfit[[#This Row],[Shortname]], Comp[], 15, FALSE)</f>
        <v>0</v>
      </c>
      <c r="T24">
        <f>VLOOKUP(Misfit[[#This Row],[Shortname]], Comp[], 16, FALSE)</f>
        <v>0</v>
      </c>
      <c r="U24">
        <f>VLOOKUP(Misfit[[#This Row],[Shortname]], Comp[], 17, FALSE)</f>
        <v>0</v>
      </c>
      <c r="V24">
        <f>VLOOKUP(Misfit[[#This Row],[Shortname]], Comp[], 18, FALSE)</f>
        <v>0</v>
      </c>
      <c r="W24">
        <f>VLOOKUP(Misfit[[#This Row],[Shortname]], Comp[], 19, FALSE)</f>
        <v>0</v>
      </c>
      <c r="X24">
        <f>VLOOKUP(Misfit[[#This Row],[Shortname]], Comp[], 20, FALSE)</f>
        <v>0</v>
      </c>
      <c r="Y24">
        <f>VLOOKUP(Misfit[[#This Row],[Shortname]], Comp[], 21, FALSE)</f>
        <v>0</v>
      </c>
      <c r="Z24">
        <f>VLOOKUP(Misfit[[#This Row],[Shortname]], Comp[], 22, FALSE)</f>
        <v>0</v>
      </c>
      <c r="AA24">
        <f>VLOOKUP(Misfit[[#This Row],[Shortname]], Comp[], 23, FALSE)</f>
        <v>0</v>
      </c>
      <c r="AB24">
        <f>VLOOKUP(Misfit[[#This Row],[Shortname]], Comp[], 24, FALSE)</f>
        <v>0</v>
      </c>
      <c r="AC24">
        <f>VLOOKUP(Misfit[[#This Row],[Shortname]], Comp[], 25, FALSE)</f>
        <v>0</v>
      </c>
      <c r="AD24">
        <f>VLOOKUP(Misfit[[#This Row],[Shortname]], Comp[], 26, FALSE)</f>
        <v>0</v>
      </c>
      <c r="AE24">
        <f>VLOOKUP(Misfit[[#This Row],[Shortname]], Comp[], 27, FALSE)</f>
        <v>0</v>
      </c>
      <c r="AF24">
        <f>VLOOKUP(Misfit[[#This Row],[Shortname]], Comp[], 28, FALSE)</f>
        <v>0</v>
      </c>
      <c r="AG24">
        <f>VLOOKUP(Misfit[[#This Row],[Shortname]], Comp[], 29, FALSE)</f>
        <v>0</v>
      </c>
      <c r="AH24">
        <f>VLOOKUP(Misfit[[#This Row],[Shortname]], Comp[], 30, FALSE)</f>
        <v>0</v>
      </c>
      <c r="AI24">
        <f>VLOOKUP(Misfit[[#This Row],[Shortname]], Comp[], 31, FALSE)</f>
        <v>0</v>
      </c>
    </row>
    <row r="25" spans="1:35" x14ac:dyDescent="0.3">
      <c r="A25" t="s">
        <v>1157</v>
      </c>
      <c r="B25" t="s">
        <v>1159</v>
      </c>
      <c r="C25" t="s">
        <v>6601</v>
      </c>
      <c r="D25">
        <v>50</v>
      </c>
      <c r="E25">
        <v>25</v>
      </c>
      <c r="F25">
        <v>0.35749999999999998</v>
      </c>
      <c r="G25">
        <v>0.35639999999999999</v>
      </c>
      <c r="H25" s="40">
        <f t="shared" si="0"/>
        <v>3.0816640986132231E-3</v>
      </c>
      <c r="J25">
        <f>VLOOKUP(Misfit[[#This Row],[Shortname]], Comp[], 6, FALSE)</f>
        <v>147</v>
      </c>
      <c r="K25">
        <f>VLOOKUP(Misfit[[#This Row],[Shortname]], Comp[], 7, FALSE)</f>
        <v>54.699999999999996</v>
      </c>
      <c r="L25">
        <f>VLOOKUP(Misfit[[#This Row],[Shortname]], Comp[], 8, FALSE)</f>
        <v>19</v>
      </c>
      <c r="M25">
        <f>VLOOKUP(Misfit[[#This Row],[Shortname]], Comp[], 9, FALSE)</f>
        <v>7.1</v>
      </c>
      <c r="N25">
        <f>VLOOKUP(Misfit[[#This Row],[Shortname]], Comp[], 10, FALSE)</f>
        <v>16.5</v>
      </c>
      <c r="O25">
        <f>VLOOKUP(Misfit[[#This Row],[Shortname]], Comp[], 11, FALSE)</f>
        <v>0</v>
      </c>
      <c r="P25">
        <f>VLOOKUP(Misfit[[#This Row],[Shortname]], Comp[],12, FALSE)</f>
        <v>2.7</v>
      </c>
      <c r="Q25">
        <f>VLOOKUP(Misfit[[#This Row],[Shortname]], Comp[], 13, FALSE)</f>
        <v>0</v>
      </c>
      <c r="R25">
        <f>VLOOKUP(Misfit[[#This Row],[Shortname]], Comp[], 14, FALSE)</f>
        <v>0</v>
      </c>
      <c r="S25">
        <f>VLOOKUP(Misfit[[#This Row],[Shortname]], Comp[], 15, FALSE)</f>
        <v>0</v>
      </c>
      <c r="T25">
        <f>VLOOKUP(Misfit[[#This Row],[Shortname]], Comp[], 16, FALSE)</f>
        <v>0</v>
      </c>
      <c r="U25">
        <f>VLOOKUP(Misfit[[#This Row],[Shortname]], Comp[], 17, FALSE)</f>
        <v>0</v>
      </c>
      <c r="V25">
        <f>VLOOKUP(Misfit[[#This Row],[Shortname]], Comp[], 18, FALSE)</f>
        <v>0</v>
      </c>
      <c r="W25">
        <f>VLOOKUP(Misfit[[#This Row],[Shortname]], Comp[], 19, FALSE)</f>
        <v>0</v>
      </c>
      <c r="X25">
        <f>VLOOKUP(Misfit[[#This Row],[Shortname]], Comp[], 20, FALSE)</f>
        <v>0</v>
      </c>
      <c r="Y25">
        <f>VLOOKUP(Misfit[[#This Row],[Shortname]], Comp[], 21, FALSE)</f>
        <v>0</v>
      </c>
      <c r="Z25">
        <f>VLOOKUP(Misfit[[#This Row],[Shortname]], Comp[], 22, FALSE)</f>
        <v>0</v>
      </c>
      <c r="AA25">
        <f>VLOOKUP(Misfit[[#This Row],[Shortname]], Comp[], 23, FALSE)</f>
        <v>0</v>
      </c>
      <c r="AB25">
        <f>VLOOKUP(Misfit[[#This Row],[Shortname]], Comp[], 24, FALSE)</f>
        <v>0</v>
      </c>
      <c r="AC25">
        <f>VLOOKUP(Misfit[[#This Row],[Shortname]], Comp[], 25, FALSE)</f>
        <v>0</v>
      </c>
      <c r="AD25">
        <f>VLOOKUP(Misfit[[#This Row],[Shortname]], Comp[], 26, FALSE)</f>
        <v>0</v>
      </c>
      <c r="AE25">
        <f>VLOOKUP(Misfit[[#This Row],[Shortname]], Comp[], 27, FALSE)</f>
        <v>0</v>
      </c>
      <c r="AF25">
        <f>VLOOKUP(Misfit[[#This Row],[Shortname]], Comp[], 28, FALSE)</f>
        <v>0</v>
      </c>
      <c r="AG25">
        <f>VLOOKUP(Misfit[[#This Row],[Shortname]], Comp[], 29, FALSE)</f>
        <v>0</v>
      </c>
      <c r="AH25">
        <f>VLOOKUP(Misfit[[#This Row],[Shortname]], Comp[], 30, FALSE)</f>
        <v>0</v>
      </c>
      <c r="AI25">
        <f>VLOOKUP(Misfit[[#This Row],[Shortname]], Comp[], 31, FALSE)</f>
        <v>0</v>
      </c>
    </row>
    <row r="26" spans="1:35" x14ac:dyDescent="0.3">
      <c r="A26" t="s">
        <v>1021</v>
      </c>
      <c r="B26" t="s">
        <v>1023</v>
      </c>
      <c r="C26" t="s">
        <v>6601</v>
      </c>
      <c r="D26">
        <v>50</v>
      </c>
      <c r="E26">
        <v>25</v>
      </c>
      <c r="F26">
        <v>0.3589</v>
      </c>
      <c r="G26">
        <v>0.3569</v>
      </c>
      <c r="H26" s="40">
        <f t="shared" si="0"/>
        <v>5.5881531153953671E-3</v>
      </c>
      <c r="J26">
        <f>VLOOKUP(Misfit[[#This Row],[Shortname]], Comp[], 6, FALSE)</f>
        <v>131</v>
      </c>
      <c r="K26">
        <f>VLOOKUP(Misfit[[#This Row],[Shortname]], Comp[], 7, FALSE)</f>
        <v>35.599999999999994</v>
      </c>
      <c r="L26">
        <f>VLOOKUP(Misfit[[#This Row],[Shortname]], Comp[], 8, FALSE)</f>
        <v>37.1</v>
      </c>
      <c r="M26">
        <f>VLOOKUP(Misfit[[#This Row],[Shortname]], Comp[], 9, FALSE)</f>
        <v>3.1</v>
      </c>
      <c r="N26">
        <f>VLOOKUP(Misfit[[#This Row],[Shortname]], Comp[], 10, FALSE)</f>
        <v>16.3</v>
      </c>
      <c r="O26">
        <f>VLOOKUP(Misfit[[#This Row],[Shortname]], Comp[], 11, FALSE)</f>
        <v>0</v>
      </c>
      <c r="P26">
        <f>VLOOKUP(Misfit[[#This Row],[Shortname]], Comp[],12, FALSE)</f>
        <v>7.9</v>
      </c>
      <c r="Q26">
        <f>VLOOKUP(Misfit[[#This Row],[Shortname]], Comp[], 13, FALSE)</f>
        <v>0</v>
      </c>
      <c r="R26">
        <f>VLOOKUP(Misfit[[#This Row],[Shortname]], Comp[], 14, FALSE)</f>
        <v>0</v>
      </c>
      <c r="S26">
        <f>VLOOKUP(Misfit[[#This Row],[Shortname]], Comp[], 15, FALSE)</f>
        <v>0</v>
      </c>
      <c r="T26">
        <f>VLOOKUP(Misfit[[#This Row],[Shortname]], Comp[], 16, FALSE)</f>
        <v>0</v>
      </c>
      <c r="U26">
        <f>VLOOKUP(Misfit[[#This Row],[Shortname]], Comp[], 17, FALSE)</f>
        <v>0</v>
      </c>
      <c r="V26">
        <f>VLOOKUP(Misfit[[#This Row],[Shortname]], Comp[], 18, FALSE)</f>
        <v>0</v>
      </c>
      <c r="W26">
        <f>VLOOKUP(Misfit[[#This Row],[Shortname]], Comp[], 19, FALSE)</f>
        <v>0</v>
      </c>
      <c r="X26">
        <f>VLOOKUP(Misfit[[#This Row],[Shortname]], Comp[], 20, FALSE)</f>
        <v>0</v>
      </c>
      <c r="Y26">
        <f>VLOOKUP(Misfit[[#This Row],[Shortname]], Comp[], 21, FALSE)</f>
        <v>0</v>
      </c>
      <c r="Z26">
        <f>VLOOKUP(Misfit[[#This Row],[Shortname]], Comp[], 22, FALSE)</f>
        <v>0</v>
      </c>
      <c r="AA26">
        <f>VLOOKUP(Misfit[[#This Row],[Shortname]], Comp[], 23, FALSE)</f>
        <v>0</v>
      </c>
      <c r="AB26">
        <f>VLOOKUP(Misfit[[#This Row],[Shortname]], Comp[], 24, FALSE)</f>
        <v>0</v>
      </c>
      <c r="AC26">
        <f>VLOOKUP(Misfit[[#This Row],[Shortname]], Comp[], 25, FALSE)</f>
        <v>0</v>
      </c>
      <c r="AD26">
        <f>VLOOKUP(Misfit[[#This Row],[Shortname]], Comp[], 26, FALSE)</f>
        <v>0</v>
      </c>
      <c r="AE26">
        <f>VLOOKUP(Misfit[[#This Row],[Shortname]], Comp[], 27, FALSE)</f>
        <v>0</v>
      </c>
      <c r="AF26">
        <f>VLOOKUP(Misfit[[#This Row],[Shortname]], Comp[], 28, FALSE)</f>
        <v>0</v>
      </c>
      <c r="AG26">
        <f>VLOOKUP(Misfit[[#This Row],[Shortname]], Comp[], 29, FALSE)</f>
        <v>0</v>
      </c>
      <c r="AH26">
        <f>VLOOKUP(Misfit[[#This Row],[Shortname]], Comp[], 30, FALSE)</f>
        <v>0</v>
      </c>
      <c r="AI26">
        <f>VLOOKUP(Misfit[[#This Row],[Shortname]], Comp[], 31, FALSE)</f>
        <v>0</v>
      </c>
    </row>
    <row r="27" spans="1:35" x14ac:dyDescent="0.3">
      <c r="A27" t="s">
        <v>1124</v>
      </c>
      <c r="B27" t="s">
        <v>1126</v>
      </c>
      <c r="C27" t="s">
        <v>6601</v>
      </c>
      <c r="D27">
        <v>50</v>
      </c>
      <c r="E27">
        <v>25</v>
      </c>
      <c r="F27">
        <v>0.35809999999999997</v>
      </c>
      <c r="G27">
        <v>0.35639999999999999</v>
      </c>
      <c r="H27" s="40">
        <f t="shared" si="0"/>
        <v>4.7585724282714608E-3</v>
      </c>
      <c r="J27">
        <f>VLOOKUP(Misfit[[#This Row],[Shortname]], Comp[], 6, FALSE)</f>
        <v>143</v>
      </c>
      <c r="K27">
        <f>VLOOKUP(Misfit[[#This Row],[Shortname]], Comp[], 7, FALSE)</f>
        <v>36.5</v>
      </c>
      <c r="L27">
        <f>VLOOKUP(Misfit[[#This Row],[Shortname]], Comp[], 8, FALSE)</f>
        <v>36.799999999999997</v>
      </c>
      <c r="M27">
        <f>VLOOKUP(Misfit[[#This Row],[Shortname]], Comp[], 9, FALSE)</f>
        <v>5.4</v>
      </c>
      <c r="N27">
        <f>VLOOKUP(Misfit[[#This Row],[Shortname]], Comp[], 10, FALSE)</f>
        <v>16.100000000000001</v>
      </c>
      <c r="O27">
        <f>VLOOKUP(Misfit[[#This Row],[Shortname]], Comp[], 11, FALSE)</f>
        <v>0</v>
      </c>
      <c r="P27">
        <f>VLOOKUP(Misfit[[#This Row],[Shortname]], Comp[],12, FALSE)</f>
        <v>5.2</v>
      </c>
      <c r="Q27">
        <f>VLOOKUP(Misfit[[#This Row],[Shortname]], Comp[], 13, FALSE)</f>
        <v>0</v>
      </c>
      <c r="R27">
        <f>VLOOKUP(Misfit[[#This Row],[Shortname]], Comp[], 14, FALSE)</f>
        <v>0</v>
      </c>
      <c r="S27">
        <f>VLOOKUP(Misfit[[#This Row],[Shortname]], Comp[], 15, FALSE)</f>
        <v>0</v>
      </c>
      <c r="T27">
        <f>VLOOKUP(Misfit[[#This Row],[Shortname]], Comp[], 16, FALSE)</f>
        <v>0</v>
      </c>
      <c r="U27">
        <f>VLOOKUP(Misfit[[#This Row],[Shortname]], Comp[], 17, FALSE)</f>
        <v>0</v>
      </c>
      <c r="V27">
        <f>VLOOKUP(Misfit[[#This Row],[Shortname]], Comp[], 18, FALSE)</f>
        <v>0</v>
      </c>
      <c r="W27">
        <f>VLOOKUP(Misfit[[#This Row],[Shortname]], Comp[], 19, FALSE)</f>
        <v>0</v>
      </c>
      <c r="X27">
        <f>VLOOKUP(Misfit[[#This Row],[Shortname]], Comp[], 20, FALSE)</f>
        <v>0</v>
      </c>
      <c r="Y27">
        <f>VLOOKUP(Misfit[[#This Row],[Shortname]], Comp[], 21, FALSE)</f>
        <v>0</v>
      </c>
      <c r="Z27">
        <f>VLOOKUP(Misfit[[#This Row],[Shortname]], Comp[], 22, FALSE)</f>
        <v>0</v>
      </c>
      <c r="AA27">
        <f>VLOOKUP(Misfit[[#This Row],[Shortname]], Comp[], 23, FALSE)</f>
        <v>0</v>
      </c>
      <c r="AB27">
        <f>VLOOKUP(Misfit[[#This Row],[Shortname]], Comp[], 24, FALSE)</f>
        <v>0</v>
      </c>
      <c r="AC27">
        <f>VLOOKUP(Misfit[[#This Row],[Shortname]], Comp[], 25, FALSE)</f>
        <v>0</v>
      </c>
      <c r="AD27">
        <f>VLOOKUP(Misfit[[#This Row],[Shortname]], Comp[], 26, FALSE)</f>
        <v>0</v>
      </c>
      <c r="AE27">
        <f>VLOOKUP(Misfit[[#This Row],[Shortname]], Comp[], 27, FALSE)</f>
        <v>0</v>
      </c>
      <c r="AF27">
        <f>VLOOKUP(Misfit[[#This Row],[Shortname]], Comp[], 28, FALSE)</f>
        <v>0</v>
      </c>
      <c r="AG27">
        <f>VLOOKUP(Misfit[[#This Row],[Shortname]], Comp[], 29, FALSE)</f>
        <v>0</v>
      </c>
      <c r="AH27">
        <f>VLOOKUP(Misfit[[#This Row],[Shortname]], Comp[], 30, FALSE)</f>
        <v>0</v>
      </c>
      <c r="AI27">
        <f>VLOOKUP(Misfit[[#This Row],[Shortname]], Comp[], 31, FALSE)</f>
        <v>0</v>
      </c>
    </row>
    <row r="28" spans="1:35" x14ac:dyDescent="0.3">
      <c r="A28" t="s">
        <v>1165</v>
      </c>
      <c r="B28" t="s">
        <v>1167</v>
      </c>
      <c r="C28" t="s">
        <v>6601</v>
      </c>
      <c r="D28">
        <v>50</v>
      </c>
      <c r="E28">
        <v>25</v>
      </c>
      <c r="F28">
        <v>0.35730000000000001</v>
      </c>
      <c r="G28">
        <v>0.35610000000000003</v>
      </c>
      <c r="H28" s="40">
        <f t="shared" si="0"/>
        <v>3.3641715727501507E-3</v>
      </c>
      <c r="J28">
        <f>VLOOKUP(Misfit[[#This Row],[Shortname]], Comp[], 6, FALSE)</f>
        <v>148</v>
      </c>
      <c r="K28">
        <f>VLOOKUP(Misfit[[#This Row],[Shortname]], Comp[], 7, FALSE)</f>
        <v>36.599999999999994</v>
      </c>
      <c r="L28">
        <f>VLOOKUP(Misfit[[#This Row],[Shortname]], Comp[], 8, FALSE)</f>
        <v>36.1</v>
      </c>
      <c r="M28">
        <f>VLOOKUP(Misfit[[#This Row],[Shortname]], Comp[], 9, FALSE)</f>
        <v>8.6</v>
      </c>
      <c r="N28">
        <f>VLOOKUP(Misfit[[#This Row],[Shortname]], Comp[], 10, FALSE)</f>
        <v>16</v>
      </c>
      <c r="O28">
        <f>VLOOKUP(Misfit[[#This Row],[Shortname]], Comp[], 11, FALSE)</f>
        <v>0</v>
      </c>
      <c r="P28">
        <f>VLOOKUP(Misfit[[#This Row],[Shortname]], Comp[],12, FALSE)</f>
        <v>2.7</v>
      </c>
      <c r="Q28">
        <f>VLOOKUP(Misfit[[#This Row],[Shortname]], Comp[], 13, FALSE)</f>
        <v>0</v>
      </c>
      <c r="R28">
        <f>VLOOKUP(Misfit[[#This Row],[Shortname]], Comp[], 14, FALSE)</f>
        <v>0</v>
      </c>
      <c r="S28">
        <f>VLOOKUP(Misfit[[#This Row],[Shortname]], Comp[], 15, FALSE)</f>
        <v>0</v>
      </c>
      <c r="T28">
        <f>VLOOKUP(Misfit[[#This Row],[Shortname]], Comp[], 16, FALSE)</f>
        <v>0</v>
      </c>
      <c r="U28">
        <f>VLOOKUP(Misfit[[#This Row],[Shortname]], Comp[], 17, FALSE)</f>
        <v>0</v>
      </c>
      <c r="V28">
        <f>VLOOKUP(Misfit[[#This Row],[Shortname]], Comp[], 18, FALSE)</f>
        <v>0</v>
      </c>
      <c r="W28">
        <f>VLOOKUP(Misfit[[#This Row],[Shortname]], Comp[], 19, FALSE)</f>
        <v>0</v>
      </c>
      <c r="X28">
        <f>VLOOKUP(Misfit[[#This Row],[Shortname]], Comp[], 20, FALSE)</f>
        <v>0</v>
      </c>
      <c r="Y28">
        <f>VLOOKUP(Misfit[[#This Row],[Shortname]], Comp[], 21, FALSE)</f>
        <v>0</v>
      </c>
      <c r="Z28">
        <f>VLOOKUP(Misfit[[#This Row],[Shortname]], Comp[], 22, FALSE)</f>
        <v>0</v>
      </c>
      <c r="AA28">
        <f>VLOOKUP(Misfit[[#This Row],[Shortname]], Comp[], 23, FALSE)</f>
        <v>0</v>
      </c>
      <c r="AB28">
        <f>VLOOKUP(Misfit[[#This Row],[Shortname]], Comp[], 24, FALSE)</f>
        <v>0</v>
      </c>
      <c r="AC28">
        <f>VLOOKUP(Misfit[[#This Row],[Shortname]], Comp[], 25, FALSE)</f>
        <v>0</v>
      </c>
      <c r="AD28">
        <f>VLOOKUP(Misfit[[#This Row],[Shortname]], Comp[], 26, FALSE)</f>
        <v>0</v>
      </c>
      <c r="AE28">
        <f>VLOOKUP(Misfit[[#This Row],[Shortname]], Comp[], 27, FALSE)</f>
        <v>0</v>
      </c>
      <c r="AF28">
        <f>VLOOKUP(Misfit[[#This Row],[Shortname]], Comp[], 28, FALSE)</f>
        <v>0</v>
      </c>
      <c r="AG28">
        <f>VLOOKUP(Misfit[[#This Row],[Shortname]], Comp[], 29, FALSE)</f>
        <v>0</v>
      </c>
      <c r="AH28">
        <f>VLOOKUP(Misfit[[#This Row],[Shortname]], Comp[], 30, FALSE)</f>
        <v>0</v>
      </c>
      <c r="AI28">
        <f>VLOOKUP(Misfit[[#This Row],[Shortname]], Comp[], 31, FALSE)</f>
        <v>0</v>
      </c>
    </row>
    <row r="29" spans="1:35" x14ac:dyDescent="0.3">
      <c r="A29" t="s">
        <v>1054</v>
      </c>
      <c r="B29" t="s">
        <v>1056</v>
      </c>
      <c r="C29" t="s">
        <v>6601</v>
      </c>
      <c r="D29">
        <v>50</v>
      </c>
      <c r="E29">
        <v>25</v>
      </c>
      <c r="F29">
        <v>0.35870000000000002</v>
      </c>
      <c r="G29">
        <v>0.3569</v>
      </c>
      <c r="H29" s="40">
        <f t="shared" si="0"/>
        <v>5.0307434320850299E-3</v>
      </c>
      <c r="J29">
        <f>VLOOKUP(Misfit[[#This Row],[Shortname]], Comp[], 6, FALSE)</f>
        <v>135</v>
      </c>
      <c r="K29">
        <f>VLOOKUP(Misfit[[#This Row],[Shortname]], Comp[], 7, FALSE)</f>
        <v>18</v>
      </c>
      <c r="L29">
        <f>VLOOKUP(Misfit[[#This Row],[Shortname]], Comp[], 8, FALSE)</f>
        <v>54.3</v>
      </c>
      <c r="M29">
        <f>VLOOKUP(Misfit[[#This Row],[Shortname]], Comp[], 9, FALSE)</f>
        <v>4.3</v>
      </c>
      <c r="N29">
        <f>VLOOKUP(Misfit[[#This Row],[Shortname]], Comp[], 10, FALSE)</f>
        <v>15.7</v>
      </c>
      <c r="O29">
        <f>VLOOKUP(Misfit[[#This Row],[Shortname]], Comp[], 11, FALSE)</f>
        <v>0</v>
      </c>
      <c r="P29">
        <f>VLOOKUP(Misfit[[#This Row],[Shortname]], Comp[],12, FALSE)</f>
        <v>7.7</v>
      </c>
      <c r="Q29">
        <f>VLOOKUP(Misfit[[#This Row],[Shortname]], Comp[], 13, FALSE)</f>
        <v>0</v>
      </c>
      <c r="R29">
        <f>VLOOKUP(Misfit[[#This Row],[Shortname]], Comp[], 14, FALSE)</f>
        <v>0</v>
      </c>
      <c r="S29">
        <f>VLOOKUP(Misfit[[#This Row],[Shortname]], Comp[], 15, FALSE)</f>
        <v>0</v>
      </c>
      <c r="T29">
        <f>VLOOKUP(Misfit[[#This Row],[Shortname]], Comp[], 16, FALSE)</f>
        <v>0</v>
      </c>
      <c r="U29">
        <f>VLOOKUP(Misfit[[#This Row],[Shortname]], Comp[], 17, FALSE)</f>
        <v>0</v>
      </c>
      <c r="V29">
        <f>VLOOKUP(Misfit[[#This Row],[Shortname]], Comp[], 18, FALSE)</f>
        <v>0</v>
      </c>
      <c r="W29">
        <f>VLOOKUP(Misfit[[#This Row],[Shortname]], Comp[], 19, FALSE)</f>
        <v>0</v>
      </c>
      <c r="X29">
        <f>VLOOKUP(Misfit[[#This Row],[Shortname]], Comp[], 20, FALSE)</f>
        <v>0</v>
      </c>
      <c r="Y29">
        <f>VLOOKUP(Misfit[[#This Row],[Shortname]], Comp[], 21, FALSE)</f>
        <v>0</v>
      </c>
      <c r="Z29">
        <f>VLOOKUP(Misfit[[#This Row],[Shortname]], Comp[], 22, FALSE)</f>
        <v>0</v>
      </c>
      <c r="AA29">
        <f>VLOOKUP(Misfit[[#This Row],[Shortname]], Comp[], 23, FALSE)</f>
        <v>0</v>
      </c>
      <c r="AB29">
        <f>VLOOKUP(Misfit[[#This Row],[Shortname]], Comp[], 24, FALSE)</f>
        <v>0</v>
      </c>
      <c r="AC29">
        <f>VLOOKUP(Misfit[[#This Row],[Shortname]], Comp[], 25, FALSE)</f>
        <v>0</v>
      </c>
      <c r="AD29">
        <f>VLOOKUP(Misfit[[#This Row],[Shortname]], Comp[], 26, FALSE)</f>
        <v>0</v>
      </c>
      <c r="AE29">
        <f>VLOOKUP(Misfit[[#This Row],[Shortname]], Comp[], 27, FALSE)</f>
        <v>0</v>
      </c>
      <c r="AF29">
        <f>VLOOKUP(Misfit[[#This Row],[Shortname]], Comp[], 28, FALSE)</f>
        <v>0</v>
      </c>
      <c r="AG29">
        <f>VLOOKUP(Misfit[[#This Row],[Shortname]], Comp[], 29, FALSE)</f>
        <v>0</v>
      </c>
      <c r="AH29">
        <f>VLOOKUP(Misfit[[#This Row],[Shortname]], Comp[], 30, FALSE)</f>
        <v>0</v>
      </c>
      <c r="AI29">
        <f>VLOOKUP(Misfit[[#This Row],[Shortname]], Comp[], 31, FALSE)</f>
        <v>0</v>
      </c>
    </row>
    <row r="30" spans="1:35" x14ac:dyDescent="0.3">
      <c r="A30" t="s">
        <v>1107</v>
      </c>
      <c r="B30" t="s">
        <v>1109</v>
      </c>
      <c r="C30" t="s">
        <v>6601</v>
      </c>
      <c r="D30">
        <v>50</v>
      </c>
      <c r="E30">
        <v>25</v>
      </c>
      <c r="F30">
        <v>0.35799999999999998</v>
      </c>
      <c r="G30">
        <v>0.35649999999999998</v>
      </c>
      <c r="H30" s="40">
        <f t="shared" si="0"/>
        <v>4.1987403778866381E-3</v>
      </c>
      <c r="J30">
        <f>VLOOKUP(Misfit[[#This Row],[Shortname]], Comp[], 6, FALSE)</f>
        <v>141</v>
      </c>
      <c r="K30">
        <f>VLOOKUP(Misfit[[#This Row],[Shortname]], Comp[], 7, FALSE)</f>
        <v>18.299999999999997</v>
      </c>
      <c r="L30">
        <f>VLOOKUP(Misfit[[#This Row],[Shortname]], Comp[], 8, FALSE)</f>
        <v>54.9</v>
      </c>
      <c r="M30">
        <f>VLOOKUP(Misfit[[#This Row],[Shortname]], Comp[], 9, FALSE)</f>
        <v>5.6</v>
      </c>
      <c r="N30">
        <f>VLOOKUP(Misfit[[#This Row],[Shortname]], Comp[], 10, FALSE)</f>
        <v>15.9</v>
      </c>
      <c r="O30">
        <f>VLOOKUP(Misfit[[#This Row],[Shortname]], Comp[], 11, FALSE)</f>
        <v>0</v>
      </c>
      <c r="P30">
        <f>VLOOKUP(Misfit[[#This Row],[Shortname]], Comp[],12, FALSE)</f>
        <v>5.3</v>
      </c>
      <c r="Q30">
        <f>VLOOKUP(Misfit[[#This Row],[Shortname]], Comp[], 13, FALSE)</f>
        <v>0</v>
      </c>
      <c r="R30">
        <f>VLOOKUP(Misfit[[#This Row],[Shortname]], Comp[], 14, FALSE)</f>
        <v>0</v>
      </c>
      <c r="S30">
        <f>VLOOKUP(Misfit[[#This Row],[Shortname]], Comp[], 15, FALSE)</f>
        <v>0</v>
      </c>
      <c r="T30">
        <f>VLOOKUP(Misfit[[#This Row],[Shortname]], Comp[], 16, FALSE)</f>
        <v>0</v>
      </c>
      <c r="U30">
        <f>VLOOKUP(Misfit[[#This Row],[Shortname]], Comp[], 17, FALSE)</f>
        <v>0</v>
      </c>
      <c r="V30">
        <f>VLOOKUP(Misfit[[#This Row],[Shortname]], Comp[], 18, FALSE)</f>
        <v>0</v>
      </c>
      <c r="W30">
        <f>VLOOKUP(Misfit[[#This Row],[Shortname]], Comp[], 19, FALSE)</f>
        <v>0</v>
      </c>
      <c r="X30">
        <f>VLOOKUP(Misfit[[#This Row],[Shortname]], Comp[], 20, FALSE)</f>
        <v>0</v>
      </c>
      <c r="Y30">
        <f>VLOOKUP(Misfit[[#This Row],[Shortname]], Comp[], 21, FALSE)</f>
        <v>0</v>
      </c>
      <c r="Z30">
        <f>VLOOKUP(Misfit[[#This Row],[Shortname]], Comp[], 22, FALSE)</f>
        <v>0</v>
      </c>
      <c r="AA30">
        <f>VLOOKUP(Misfit[[#This Row],[Shortname]], Comp[], 23, FALSE)</f>
        <v>0</v>
      </c>
      <c r="AB30">
        <f>VLOOKUP(Misfit[[#This Row],[Shortname]], Comp[], 24, FALSE)</f>
        <v>0</v>
      </c>
      <c r="AC30">
        <f>VLOOKUP(Misfit[[#This Row],[Shortname]], Comp[], 25, FALSE)</f>
        <v>0</v>
      </c>
      <c r="AD30">
        <f>VLOOKUP(Misfit[[#This Row],[Shortname]], Comp[], 26, FALSE)</f>
        <v>0</v>
      </c>
      <c r="AE30">
        <f>VLOOKUP(Misfit[[#This Row],[Shortname]], Comp[], 27, FALSE)</f>
        <v>0</v>
      </c>
      <c r="AF30">
        <f>VLOOKUP(Misfit[[#This Row],[Shortname]], Comp[], 28, FALSE)</f>
        <v>0</v>
      </c>
      <c r="AG30">
        <f>VLOOKUP(Misfit[[#This Row],[Shortname]], Comp[], 29, FALSE)</f>
        <v>0</v>
      </c>
      <c r="AH30">
        <f>VLOOKUP(Misfit[[#This Row],[Shortname]], Comp[], 30, FALSE)</f>
        <v>0</v>
      </c>
      <c r="AI30">
        <f>VLOOKUP(Misfit[[#This Row],[Shortname]], Comp[], 31, FALSE)</f>
        <v>0</v>
      </c>
    </row>
    <row r="31" spans="1:35" x14ac:dyDescent="0.3">
      <c r="A31" t="s">
        <v>1173</v>
      </c>
      <c r="B31" t="s">
        <v>1175</v>
      </c>
      <c r="C31" t="s">
        <v>6601</v>
      </c>
      <c r="D31">
        <v>50</v>
      </c>
      <c r="E31">
        <v>25</v>
      </c>
      <c r="F31">
        <v>0.35709999999999997</v>
      </c>
      <c r="G31">
        <v>0.35610000000000003</v>
      </c>
      <c r="H31" s="40">
        <f t="shared" si="0"/>
        <v>2.804262478967878E-3</v>
      </c>
      <c r="J31">
        <f>VLOOKUP(Misfit[[#This Row],[Shortname]], Comp[], 6, FALSE)</f>
        <v>149</v>
      </c>
      <c r="K31">
        <f>VLOOKUP(Misfit[[#This Row],[Shortname]], Comp[], 7, FALSE)</f>
        <v>18.399999999999991</v>
      </c>
      <c r="L31">
        <f>VLOOKUP(Misfit[[#This Row],[Shortname]], Comp[], 8, FALSE)</f>
        <v>54.8</v>
      </c>
      <c r="M31">
        <f>VLOOKUP(Misfit[[#This Row],[Shortname]], Comp[], 9, FALSE)</f>
        <v>8</v>
      </c>
      <c r="N31">
        <f>VLOOKUP(Misfit[[#This Row],[Shortname]], Comp[], 10, FALSE)</f>
        <v>16.100000000000001</v>
      </c>
      <c r="O31">
        <f>VLOOKUP(Misfit[[#This Row],[Shortname]], Comp[], 11, FALSE)</f>
        <v>0</v>
      </c>
      <c r="P31">
        <f>VLOOKUP(Misfit[[#This Row],[Shortname]], Comp[],12, FALSE)</f>
        <v>2.7</v>
      </c>
      <c r="Q31">
        <f>VLOOKUP(Misfit[[#This Row],[Shortname]], Comp[], 13, FALSE)</f>
        <v>0</v>
      </c>
      <c r="R31">
        <f>VLOOKUP(Misfit[[#This Row],[Shortname]], Comp[], 14, FALSE)</f>
        <v>0</v>
      </c>
      <c r="S31">
        <f>VLOOKUP(Misfit[[#This Row],[Shortname]], Comp[], 15, FALSE)</f>
        <v>0</v>
      </c>
      <c r="T31">
        <f>VLOOKUP(Misfit[[#This Row],[Shortname]], Comp[], 16, FALSE)</f>
        <v>0</v>
      </c>
      <c r="U31">
        <f>VLOOKUP(Misfit[[#This Row],[Shortname]], Comp[], 17, FALSE)</f>
        <v>0</v>
      </c>
      <c r="V31">
        <f>VLOOKUP(Misfit[[#This Row],[Shortname]], Comp[], 18, FALSE)</f>
        <v>0</v>
      </c>
      <c r="W31">
        <f>VLOOKUP(Misfit[[#This Row],[Shortname]], Comp[], 19, FALSE)</f>
        <v>0</v>
      </c>
      <c r="X31">
        <f>VLOOKUP(Misfit[[#This Row],[Shortname]], Comp[], 20, FALSE)</f>
        <v>0</v>
      </c>
      <c r="Y31">
        <f>VLOOKUP(Misfit[[#This Row],[Shortname]], Comp[], 21, FALSE)</f>
        <v>0</v>
      </c>
      <c r="Z31">
        <f>VLOOKUP(Misfit[[#This Row],[Shortname]], Comp[], 22, FALSE)</f>
        <v>0</v>
      </c>
      <c r="AA31">
        <f>VLOOKUP(Misfit[[#This Row],[Shortname]], Comp[], 23, FALSE)</f>
        <v>0</v>
      </c>
      <c r="AB31">
        <f>VLOOKUP(Misfit[[#This Row],[Shortname]], Comp[], 24, FALSE)</f>
        <v>0</v>
      </c>
      <c r="AC31">
        <f>VLOOKUP(Misfit[[#This Row],[Shortname]], Comp[], 25, FALSE)</f>
        <v>0</v>
      </c>
      <c r="AD31">
        <f>VLOOKUP(Misfit[[#This Row],[Shortname]], Comp[], 26, FALSE)</f>
        <v>0</v>
      </c>
      <c r="AE31">
        <f>VLOOKUP(Misfit[[#This Row],[Shortname]], Comp[], 27, FALSE)</f>
        <v>0</v>
      </c>
      <c r="AF31">
        <f>VLOOKUP(Misfit[[#This Row],[Shortname]], Comp[], 28, FALSE)</f>
        <v>0</v>
      </c>
      <c r="AG31">
        <f>VLOOKUP(Misfit[[#This Row],[Shortname]], Comp[], 29, FALSE)</f>
        <v>0</v>
      </c>
      <c r="AH31">
        <f>VLOOKUP(Misfit[[#This Row],[Shortname]], Comp[], 30, FALSE)</f>
        <v>0</v>
      </c>
      <c r="AI31">
        <f>VLOOKUP(Misfit[[#This Row],[Shortname]], Comp[], 31, FALSE)</f>
        <v>0</v>
      </c>
    </row>
    <row r="32" spans="1:35" x14ac:dyDescent="0.3">
      <c r="A32" t="s">
        <v>1030</v>
      </c>
      <c r="B32" t="s">
        <v>1032</v>
      </c>
      <c r="C32" t="s">
        <v>6601</v>
      </c>
      <c r="D32">
        <v>50</v>
      </c>
      <c r="E32">
        <v>25</v>
      </c>
      <c r="F32">
        <v>0.35899999999999999</v>
      </c>
      <c r="G32">
        <v>0.35770000000000002</v>
      </c>
      <c r="H32" s="40">
        <f t="shared" si="0"/>
        <v>3.6277382447327134E-3</v>
      </c>
      <c r="J32">
        <f>VLOOKUP(Misfit[[#This Row],[Shortname]], Comp[], 6, FALSE)</f>
        <v>132</v>
      </c>
      <c r="K32">
        <f>VLOOKUP(Misfit[[#This Row],[Shortname]], Comp[], 7, FALSE)</f>
        <v>59.199999999999996</v>
      </c>
      <c r="L32">
        <f>VLOOKUP(Misfit[[#This Row],[Shortname]], Comp[], 8, FALSE)</f>
        <v>17.3</v>
      </c>
      <c r="M32">
        <f>VLOOKUP(Misfit[[#This Row],[Shortname]], Comp[], 9, FALSE)</f>
        <v>3.1</v>
      </c>
      <c r="N32">
        <f>VLOOKUP(Misfit[[#This Row],[Shortname]], Comp[], 10, FALSE)</f>
        <v>12.5</v>
      </c>
      <c r="O32">
        <f>VLOOKUP(Misfit[[#This Row],[Shortname]], Comp[], 11, FALSE)</f>
        <v>0</v>
      </c>
      <c r="P32">
        <f>VLOOKUP(Misfit[[#This Row],[Shortname]], Comp[],12, FALSE)</f>
        <v>7.9</v>
      </c>
      <c r="Q32">
        <f>VLOOKUP(Misfit[[#This Row],[Shortname]], Comp[], 13, FALSE)</f>
        <v>0</v>
      </c>
      <c r="R32">
        <f>VLOOKUP(Misfit[[#This Row],[Shortname]], Comp[], 14, FALSE)</f>
        <v>0</v>
      </c>
      <c r="S32">
        <f>VLOOKUP(Misfit[[#This Row],[Shortname]], Comp[], 15, FALSE)</f>
        <v>0</v>
      </c>
      <c r="T32">
        <f>VLOOKUP(Misfit[[#This Row],[Shortname]], Comp[], 16, FALSE)</f>
        <v>0</v>
      </c>
      <c r="U32">
        <f>VLOOKUP(Misfit[[#This Row],[Shortname]], Comp[], 17, FALSE)</f>
        <v>0</v>
      </c>
      <c r="V32">
        <f>VLOOKUP(Misfit[[#This Row],[Shortname]], Comp[], 18, FALSE)</f>
        <v>0</v>
      </c>
      <c r="W32">
        <f>VLOOKUP(Misfit[[#This Row],[Shortname]], Comp[], 19, FALSE)</f>
        <v>0</v>
      </c>
      <c r="X32">
        <f>VLOOKUP(Misfit[[#This Row],[Shortname]], Comp[], 20, FALSE)</f>
        <v>0</v>
      </c>
      <c r="Y32">
        <f>VLOOKUP(Misfit[[#This Row],[Shortname]], Comp[], 21, FALSE)</f>
        <v>0</v>
      </c>
      <c r="Z32">
        <f>VLOOKUP(Misfit[[#This Row],[Shortname]], Comp[], 22, FALSE)</f>
        <v>0</v>
      </c>
      <c r="AA32">
        <f>VLOOKUP(Misfit[[#This Row],[Shortname]], Comp[], 23, FALSE)</f>
        <v>0</v>
      </c>
      <c r="AB32">
        <f>VLOOKUP(Misfit[[#This Row],[Shortname]], Comp[], 24, FALSE)</f>
        <v>0</v>
      </c>
      <c r="AC32">
        <f>VLOOKUP(Misfit[[#This Row],[Shortname]], Comp[], 25, FALSE)</f>
        <v>0</v>
      </c>
      <c r="AD32">
        <f>VLOOKUP(Misfit[[#This Row],[Shortname]], Comp[], 26, FALSE)</f>
        <v>0</v>
      </c>
      <c r="AE32">
        <f>VLOOKUP(Misfit[[#This Row],[Shortname]], Comp[], 27, FALSE)</f>
        <v>0</v>
      </c>
      <c r="AF32">
        <f>VLOOKUP(Misfit[[#This Row],[Shortname]], Comp[], 28, FALSE)</f>
        <v>0</v>
      </c>
      <c r="AG32">
        <f>VLOOKUP(Misfit[[#This Row],[Shortname]], Comp[], 29, FALSE)</f>
        <v>0</v>
      </c>
      <c r="AH32">
        <f>VLOOKUP(Misfit[[#This Row],[Shortname]], Comp[], 30, FALSE)</f>
        <v>0</v>
      </c>
      <c r="AI32">
        <f>VLOOKUP(Misfit[[#This Row],[Shortname]], Comp[], 31, FALSE)</f>
        <v>0</v>
      </c>
    </row>
    <row r="33" spans="1:35" x14ac:dyDescent="0.3">
      <c r="A33" t="s">
        <v>1139</v>
      </c>
      <c r="B33" t="s">
        <v>1141</v>
      </c>
      <c r="C33" t="s">
        <v>6601</v>
      </c>
      <c r="D33">
        <v>50</v>
      </c>
      <c r="E33">
        <v>25</v>
      </c>
      <c r="F33">
        <v>0.35830000000000001</v>
      </c>
      <c r="G33">
        <v>0.35730000000000001</v>
      </c>
      <c r="H33" s="40">
        <f t="shared" si="0"/>
        <v>2.7948574622694267E-3</v>
      </c>
      <c r="J33">
        <f>VLOOKUP(Misfit[[#This Row],[Shortname]], Comp[], 6, FALSE)</f>
        <v>145</v>
      </c>
      <c r="K33">
        <f>VLOOKUP(Misfit[[#This Row],[Shortname]], Comp[], 7, FALSE)</f>
        <v>51.1</v>
      </c>
      <c r="L33">
        <f>VLOOKUP(Misfit[[#This Row],[Shortname]], Comp[], 8, FALSE)</f>
        <v>17</v>
      </c>
      <c r="M33">
        <f>VLOOKUP(Misfit[[#This Row],[Shortname]], Comp[], 9, FALSE)</f>
        <v>5.5</v>
      </c>
      <c r="N33">
        <f>VLOOKUP(Misfit[[#This Row],[Shortname]], Comp[], 10, FALSE)</f>
        <v>21.4</v>
      </c>
      <c r="O33">
        <f>VLOOKUP(Misfit[[#This Row],[Shortname]], Comp[], 11, FALSE)</f>
        <v>0</v>
      </c>
      <c r="P33">
        <f>VLOOKUP(Misfit[[#This Row],[Shortname]], Comp[],12, FALSE)</f>
        <v>5</v>
      </c>
      <c r="Q33">
        <f>VLOOKUP(Misfit[[#This Row],[Shortname]], Comp[], 13, FALSE)</f>
        <v>0</v>
      </c>
      <c r="R33">
        <f>VLOOKUP(Misfit[[#This Row],[Shortname]], Comp[], 14, FALSE)</f>
        <v>0</v>
      </c>
      <c r="S33">
        <f>VLOOKUP(Misfit[[#This Row],[Shortname]], Comp[], 15, FALSE)</f>
        <v>0</v>
      </c>
      <c r="T33">
        <f>VLOOKUP(Misfit[[#This Row],[Shortname]], Comp[], 16, FALSE)</f>
        <v>0</v>
      </c>
      <c r="U33">
        <f>VLOOKUP(Misfit[[#This Row],[Shortname]], Comp[], 17, FALSE)</f>
        <v>0</v>
      </c>
      <c r="V33">
        <f>VLOOKUP(Misfit[[#This Row],[Shortname]], Comp[], 18, FALSE)</f>
        <v>0</v>
      </c>
      <c r="W33">
        <f>VLOOKUP(Misfit[[#This Row],[Shortname]], Comp[], 19, FALSE)</f>
        <v>0</v>
      </c>
      <c r="X33">
        <f>VLOOKUP(Misfit[[#This Row],[Shortname]], Comp[], 20, FALSE)</f>
        <v>0</v>
      </c>
      <c r="Y33">
        <f>VLOOKUP(Misfit[[#This Row],[Shortname]], Comp[], 21, FALSE)</f>
        <v>0</v>
      </c>
      <c r="Z33">
        <f>VLOOKUP(Misfit[[#This Row],[Shortname]], Comp[], 22, FALSE)</f>
        <v>0</v>
      </c>
      <c r="AA33">
        <f>VLOOKUP(Misfit[[#This Row],[Shortname]], Comp[], 23, FALSE)</f>
        <v>0</v>
      </c>
      <c r="AB33">
        <f>VLOOKUP(Misfit[[#This Row],[Shortname]], Comp[], 24, FALSE)</f>
        <v>0</v>
      </c>
      <c r="AC33">
        <f>VLOOKUP(Misfit[[#This Row],[Shortname]], Comp[], 25, FALSE)</f>
        <v>0</v>
      </c>
      <c r="AD33">
        <f>VLOOKUP(Misfit[[#This Row],[Shortname]], Comp[], 26, FALSE)</f>
        <v>0</v>
      </c>
      <c r="AE33">
        <f>VLOOKUP(Misfit[[#This Row],[Shortname]], Comp[], 27, FALSE)</f>
        <v>0</v>
      </c>
      <c r="AF33">
        <f>VLOOKUP(Misfit[[#This Row],[Shortname]], Comp[], 28, FALSE)</f>
        <v>0</v>
      </c>
      <c r="AG33">
        <f>VLOOKUP(Misfit[[#This Row],[Shortname]], Comp[], 29, FALSE)</f>
        <v>0</v>
      </c>
      <c r="AH33">
        <f>VLOOKUP(Misfit[[#This Row],[Shortname]], Comp[], 30, FALSE)</f>
        <v>0</v>
      </c>
      <c r="AI33">
        <f>VLOOKUP(Misfit[[#This Row],[Shortname]], Comp[], 31, FALSE)</f>
        <v>0</v>
      </c>
    </row>
    <row r="34" spans="1:35" x14ac:dyDescent="0.3">
      <c r="A34" t="s">
        <v>1203</v>
      </c>
      <c r="B34" t="s">
        <v>1205</v>
      </c>
      <c r="C34" t="s">
        <v>6601</v>
      </c>
      <c r="D34">
        <v>50</v>
      </c>
      <c r="E34">
        <v>25</v>
      </c>
      <c r="F34">
        <v>0.35730000000000001</v>
      </c>
      <c r="G34">
        <v>0.35670000000000002</v>
      </c>
      <c r="H34" s="40">
        <f t="shared" si="0"/>
        <v>1.6806722689075334E-3</v>
      </c>
      <c r="J34">
        <f>VLOOKUP(Misfit[[#This Row],[Shortname]], Comp[], 6, FALSE)</f>
        <v>153</v>
      </c>
      <c r="K34">
        <f>VLOOKUP(Misfit[[#This Row],[Shortname]], Comp[], 7, FALSE)</f>
        <v>50.6</v>
      </c>
      <c r="L34">
        <f>VLOOKUP(Misfit[[#This Row],[Shortname]], Comp[], 8, FALSE)</f>
        <v>17.2</v>
      </c>
      <c r="M34">
        <f>VLOOKUP(Misfit[[#This Row],[Shortname]], Comp[], 9, FALSE)</f>
        <v>7.8</v>
      </c>
      <c r="N34">
        <f>VLOOKUP(Misfit[[#This Row],[Shortname]], Comp[], 10, FALSE)</f>
        <v>21.8</v>
      </c>
      <c r="O34">
        <f>VLOOKUP(Misfit[[#This Row],[Shortname]], Comp[], 11, FALSE)</f>
        <v>0</v>
      </c>
      <c r="P34">
        <f>VLOOKUP(Misfit[[#This Row],[Shortname]], Comp[],12, FALSE)</f>
        <v>2.6</v>
      </c>
      <c r="Q34">
        <f>VLOOKUP(Misfit[[#This Row],[Shortname]], Comp[], 13, FALSE)</f>
        <v>0</v>
      </c>
      <c r="R34">
        <f>VLOOKUP(Misfit[[#This Row],[Shortname]], Comp[], 14, FALSE)</f>
        <v>0</v>
      </c>
      <c r="S34">
        <f>VLOOKUP(Misfit[[#This Row],[Shortname]], Comp[], 15, FALSE)</f>
        <v>0</v>
      </c>
      <c r="T34">
        <f>VLOOKUP(Misfit[[#This Row],[Shortname]], Comp[], 16, FALSE)</f>
        <v>0</v>
      </c>
      <c r="U34">
        <f>VLOOKUP(Misfit[[#This Row],[Shortname]], Comp[], 17, FALSE)</f>
        <v>0</v>
      </c>
      <c r="V34">
        <f>VLOOKUP(Misfit[[#This Row],[Shortname]], Comp[], 18, FALSE)</f>
        <v>0</v>
      </c>
      <c r="W34">
        <f>VLOOKUP(Misfit[[#This Row],[Shortname]], Comp[], 19, FALSE)</f>
        <v>0</v>
      </c>
      <c r="X34">
        <f>VLOOKUP(Misfit[[#This Row],[Shortname]], Comp[], 20, FALSE)</f>
        <v>0</v>
      </c>
      <c r="Y34">
        <f>VLOOKUP(Misfit[[#This Row],[Shortname]], Comp[], 21, FALSE)</f>
        <v>0</v>
      </c>
      <c r="Z34">
        <f>VLOOKUP(Misfit[[#This Row],[Shortname]], Comp[], 22, FALSE)</f>
        <v>0</v>
      </c>
      <c r="AA34">
        <f>VLOOKUP(Misfit[[#This Row],[Shortname]], Comp[], 23, FALSE)</f>
        <v>0</v>
      </c>
      <c r="AB34">
        <f>VLOOKUP(Misfit[[#This Row],[Shortname]], Comp[], 24, FALSE)</f>
        <v>0</v>
      </c>
      <c r="AC34">
        <f>VLOOKUP(Misfit[[#This Row],[Shortname]], Comp[], 25, FALSE)</f>
        <v>0</v>
      </c>
      <c r="AD34">
        <f>VLOOKUP(Misfit[[#This Row],[Shortname]], Comp[], 26, FALSE)</f>
        <v>0</v>
      </c>
      <c r="AE34">
        <f>VLOOKUP(Misfit[[#This Row],[Shortname]], Comp[], 27, FALSE)</f>
        <v>0</v>
      </c>
      <c r="AF34">
        <f>VLOOKUP(Misfit[[#This Row],[Shortname]], Comp[], 28, FALSE)</f>
        <v>0</v>
      </c>
      <c r="AG34">
        <f>VLOOKUP(Misfit[[#This Row],[Shortname]], Comp[], 29, FALSE)</f>
        <v>0</v>
      </c>
      <c r="AH34">
        <f>VLOOKUP(Misfit[[#This Row],[Shortname]], Comp[], 30, FALSE)</f>
        <v>0</v>
      </c>
      <c r="AI34">
        <f>VLOOKUP(Misfit[[#This Row],[Shortname]], Comp[], 31, FALSE)</f>
        <v>0</v>
      </c>
    </row>
    <row r="35" spans="1:35" x14ac:dyDescent="0.3">
      <c r="A35" t="s">
        <v>1012</v>
      </c>
      <c r="B35" t="s">
        <v>1014</v>
      </c>
      <c r="C35" t="s">
        <v>6601</v>
      </c>
      <c r="D35">
        <v>50</v>
      </c>
      <c r="E35">
        <v>25</v>
      </c>
      <c r="F35">
        <v>0.35909999999999997</v>
      </c>
      <c r="G35">
        <v>0.35730000000000001</v>
      </c>
      <c r="H35" s="40">
        <f t="shared" si="0"/>
        <v>5.0251256281406151E-3</v>
      </c>
      <c r="J35">
        <f>VLOOKUP(Misfit[[#This Row],[Shortname]], Comp[], 6, FALSE)</f>
        <v>130</v>
      </c>
      <c r="K35">
        <f>VLOOKUP(Misfit[[#This Row],[Shortname]], Comp[], 7, FALSE)</f>
        <v>32.599999999999994</v>
      </c>
      <c r="L35">
        <f>VLOOKUP(Misfit[[#This Row],[Shortname]], Comp[], 8, FALSE)</f>
        <v>34.200000000000003</v>
      </c>
      <c r="M35">
        <f>VLOOKUP(Misfit[[#This Row],[Shortname]], Comp[], 9, FALSE)</f>
        <v>3.6</v>
      </c>
      <c r="N35">
        <f>VLOOKUP(Misfit[[#This Row],[Shortname]], Comp[], 10, FALSE)</f>
        <v>21.5</v>
      </c>
      <c r="O35">
        <f>VLOOKUP(Misfit[[#This Row],[Shortname]], Comp[], 11, FALSE)</f>
        <v>0</v>
      </c>
      <c r="P35">
        <f>VLOOKUP(Misfit[[#This Row],[Shortname]], Comp[],12, FALSE)</f>
        <v>8.1</v>
      </c>
      <c r="Q35">
        <f>VLOOKUP(Misfit[[#This Row],[Shortname]], Comp[], 13, FALSE)</f>
        <v>0</v>
      </c>
      <c r="R35">
        <f>VLOOKUP(Misfit[[#This Row],[Shortname]], Comp[], 14, FALSE)</f>
        <v>0</v>
      </c>
      <c r="S35">
        <f>VLOOKUP(Misfit[[#This Row],[Shortname]], Comp[], 15, FALSE)</f>
        <v>0</v>
      </c>
      <c r="T35">
        <f>VLOOKUP(Misfit[[#This Row],[Shortname]], Comp[], 16, FALSE)</f>
        <v>0</v>
      </c>
      <c r="U35">
        <f>VLOOKUP(Misfit[[#This Row],[Shortname]], Comp[], 17, FALSE)</f>
        <v>0</v>
      </c>
      <c r="V35">
        <f>VLOOKUP(Misfit[[#This Row],[Shortname]], Comp[], 18, FALSE)</f>
        <v>0</v>
      </c>
      <c r="W35">
        <f>VLOOKUP(Misfit[[#This Row],[Shortname]], Comp[], 19, FALSE)</f>
        <v>0</v>
      </c>
      <c r="X35">
        <f>VLOOKUP(Misfit[[#This Row],[Shortname]], Comp[], 20, FALSE)</f>
        <v>0</v>
      </c>
      <c r="Y35">
        <f>VLOOKUP(Misfit[[#This Row],[Shortname]], Comp[], 21, FALSE)</f>
        <v>0</v>
      </c>
      <c r="Z35">
        <f>VLOOKUP(Misfit[[#This Row],[Shortname]], Comp[], 22, FALSE)</f>
        <v>0</v>
      </c>
      <c r="AA35">
        <f>VLOOKUP(Misfit[[#This Row],[Shortname]], Comp[], 23, FALSE)</f>
        <v>0</v>
      </c>
      <c r="AB35">
        <f>VLOOKUP(Misfit[[#This Row],[Shortname]], Comp[], 24, FALSE)</f>
        <v>0</v>
      </c>
      <c r="AC35">
        <f>VLOOKUP(Misfit[[#This Row],[Shortname]], Comp[], 25, FALSE)</f>
        <v>0</v>
      </c>
      <c r="AD35">
        <f>VLOOKUP(Misfit[[#This Row],[Shortname]], Comp[], 26, FALSE)</f>
        <v>0</v>
      </c>
      <c r="AE35">
        <f>VLOOKUP(Misfit[[#This Row],[Shortname]], Comp[], 27, FALSE)</f>
        <v>0</v>
      </c>
      <c r="AF35">
        <f>VLOOKUP(Misfit[[#This Row],[Shortname]], Comp[], 28, FALSE)</f>
        <v>0</v>
      </c>
      <c r="AG35">
        <f>VLOOKUP(Misfit[[#This Row],[Shortname]], Comp[], 29, FALSE)</f>
        <v>0</v>
      </c>
      <c r="AH35">
        <f>VLOOKUP(Misfit[[#This Row],[Shortname]], Comp[], 30, FALSE)</f>
        <v>0</v>
      </c>
      <c r="AI35">
        <f>VLOOKUP(Misfit[[#This Row],[Shortname]], Comp[], 31, FALSE)</f>
        <v>0</v>
      </c>
    </row>
    <row r="36" spans="1:35" x14ac:dyDescent="0.3">
      <c r="A36" t="s">
        <v>1131</v>
      </c>
      <c r="B36" t="s">
        <v>1133</v>
      </c>
      <c r="C36" t="s">
        <v>6601</v>
      </c>
      <c r="D36">
        <v>50</v>
      </c>
      <c r="E36">
        <v>25</v>
      </c>
      <c r="F36">
        <v>0.35770000000000002</v>
      </c>
      <c r="G36">
        <v>0.3569</v>
      </c>
      <c r="H36" s="40">
        <f t="shared" si="0"/>
        <v>2.239014833473336E-3</v>
      </c>
      <c r="J36">
        <f>VLOOKUP(Misfit[[#This Row],[Shortname]], Comp[], 6, FALSE)</f>
        <v>144</v>
      </c>
      <c r="K36">
        <f>VLOOKUP(Misfit[[#This Row],[Shortname]], Comp[], 7, FALSE)</f>
        <v>33.5</v>
      </c>
      <c r="L36">
        <f>VLOOKUP(Misfit[[#This Row],[Shortname]], Comp[], 8, FALSE)</f>
        <v>34.4</v>
      </c>
      <c r="M36">
        <f>VLOOKUP(Misfit[[#This Row],[Shortname]], Comp[], 9, FALSE)</f>
        <v>5.7</v>
      </c>
      <c r="N36">
        <f>VLOOKUP(Misfit[[#This Row],[Shortname]], Comp[], 10, FALSE)</f>
        <v>21.2</v>
      </c>
      <c r="O36">
        <f>VLOOKUP(Misfit[[#This Row],[Shortname]], Comp[], 11, FALSE)</f>
        <v>0</v>
      </c>
      <c r="P36">
        <f>VLOOKUP(Misfit[[#This Row],[Shortname]], Comp[],12, FALSE)</f>
        <v>5.2</v>
      </c>
      <c r="Q36">
        <f>VLOOKUP(Misfit[[#This Row],[Shortname]], Comp[], 13, FALSE)</f>
        <v>0</v>
      </c>
      <c r="R36">
        <f>VLOOKUP(Misfit[[#This Row],[Shortname]], Comp[], 14, FALSE)</f>
        <v>0</v>
      </c>
      <c r="S36">
        <f>VLOOKUP(Misfit[[#This Row],[Shortname]], Comp[], 15, FALSE)</f>
        <v>0</v>
      </c>
      <c r="T36">
        <f>VLOOKUP(Misfit[[#This Row],[Shortname]], Comp[], 16, FALSE)</f>
        <v>0</v>
      </c>
      <c r="U36">
        <f>VLOOKUP(Misfit[[#This Row],[Shortname]], Comp[], 17, FALSE)</f>
        <v>0</v>
      </c>
      <c r="V36">
        <f>VLOOKUP(Misfit[[#This Row],[Shortname]], Comp[], 18, FALSE)</f>
        <v>0</v>
      </c>
      <c r="W36">
        <f>VLOOKUP(Misfit[[#This Row],[Shortname]], Comp[], 19, FALSE)</f>
        <v>0</v>
      </c>
      <c r="X36">
        <f>VLOOKUP(Misfit[[#This Row],[Shortname]], Comp[], 20, FALSE)</f>
        <v>0</v>
      </c>
      <c r="Y36">
        <f>VLOOKUP(Misfit[[#This Row],[Shortname]], Comp[], 21, FALSE)</f>
        <v>0</v>
      </c>
      <c r="Z36">
        <f>VLOOKUP(Misfit[[#This Row],[Shortname]], Comp[], 22, FALSE)</f>
        <v>0</v>
      </c>
      <c r="AA36">
        <f>VLOOKUP(Misfit[[#This Row],[Shortname]], Comp[], 23, FALSE)</f>
        <v>0</v>
      </c>
      <c r="AB36">
        <f>VLOOKUP(Misfit[[#This Row],[Shortname]], Comp[], 24, FALSE)</f>
        <v>0</v>
      </c>
      <c r="AC36">
        <f>VLOOKUP(Misfit[[#This Row],[Shortname]], Comp[], 25, FALSE)</f>
        <v>0</v>
      </c>
      <c r="AD36">
        <f>VLOOKUP(Misfit[[#This Row],[Shortname]], Comp[], 26, FALSE)</f>
        <v>0</v>
      </c>
      <c r="AE36">
        <f>VLOOKUP(Misfit[[#This Row],[Shortname]], Comp[], 27, FALSE)</f>
        <v>0</v>
      </c>
      <c r="AF36">
        <f>VLOOKUP(Misfit[[#This Row],[Shortname]], Comp[], 28, FALSE)</f>
        <v>0</v>
      </c>
      <c r="AG36">
        <f>VLOOKUP(Misfit[[#This Row],[Shortname]], Comp[], 29, FALSE)</f>
        <v>0</v>
      </c>
      <c r="AH36">
        <f>VLOOKUP(Misfit[[#This Row],[Shortname]], Comp[], 30, FALSE)</f>
        <v>0</v>
      </c>
      <c r="AI36">
        <f>VLOOKUP(Misfit[[#This Row],[Shortname]], Comp[], 31, FALSE)</f>
        <v>0</v>
      </c>
    </row>
    <row r="37" spans="1:35" x14ac:dyDescent="0.3">
      <c r="A37" t="s">
        <v>1180</v>
      </c>
      <c r="B37" t="s">
        <v>1182</v>
      </c>
      <c r="C37" t="s">
        <v>6601</v>
      </c>
      <c r="D37">
        <v>50</v>
      </c>
      <c r="E37">
        <v>25</v>
      </c>
      <c r="F37">
        <v>0.3584</v>
      </c>
      <c r="G37">
        <v>0.35709999999999997</v>
      </c>
      <c r="H37" s="40">
        <f t="shared" si="0"/>
        <v>3.6338225017470954E-3</v>
      </c>
      <c r="J37">
        <f>VLOOKUP(Misfit[[#This Row],[Shortname]], Comp[], 6, FALSE)</f>
        <v>150</v>
      </c>
      <c r="K37">
        <f>VLOOKUP(Misfit[[#This Row],[Shortname]], Comp[], 7, FALSE)</f>
        <v>33.5</v>
      </c>
      <c r="L37">
        <f>VLOOKUP(Misfit[[#This Row],[Shortname]], Comp[], 8, FALSE)</f>
        <v>34</v>
      </c>
      <c r="M37">
        <f>VLOOKUP(Misfit[[#This Row],[Shortname]], Comp[], 9, FALSE)</f>
        <v>8.1999999999999993</v>
      </c>
      <c r="N37">
        <f>VLOOKUP(Misfit[[#This Row],[Shortname]], Comp[], 10, FALSE)</f>
        <v>21.6</v>
      </c>
      <c r="O37">
        <f>VLOOKUP(Misfit[[#This Row],[Shortname]], Comp[], 11, FALSE)</f>
        <v>0</v>
      </c>
      <c r="P37">
        <f>VLOOKUP(Misfit[[#This Row],[Shortname]], Comp[],12, FALSE)</f>
        <v>2.7</v>
      </c>
      <c r="Q37">
        <f>VLOOKUP(Misfit[[#This Row],[Shortname]], Comp[], 13, FALSE)</f>
        <v>0</v>
      </c>
      <c r="R37">
        <f>VLOOKUP(Misfit[[#This Row],[Shortname]], Comp[], 14, FALSE)</f>
        <v>0</v>
      </c>
      <c r="S37">
        <f>VLOOKUP(Misfit[[#This Row],[Shortname]], Comp[], 15, FALSE)</f>
        <v>0</v>
      </c>
      <c r="T37">
        <f>VLOOKUP(Misfit[[#This Row],[Shortname]], Comp[], 16, FALSE)</f>
        <v>0</v>
      </c>
      <c r="U37">
        <f>VLOOKUP(Misfit[[#This Row],[Shortname]], Comp[], 17, FALSE)</f>
        <v>0</v>
      </c>
      <c r="V37">
        <f>VLOOKUP(Misfit[[#This Row],[Shortname]], Comp[], 18, FALSE)</f>
        <v>0</v>
      </c>
      <c r="W37">
        <f>VLOOKUP(Misfit[[#This Row],[Shortname]], Comp[], 19, FALSE)</f>
        <v>0</v>
      </c>
      <c r="X37">
        <f>VLOOKUP(Misfit[[#This Row],[Shortname]], Comp[], 20, FALSE)</f>
        <v>0</v>
      </c>
      <c r="Y37">
        <f>VLOOKUP(Misfit[[#This Row],[Shortname]], Comp[], 21, FALSE)</f>
        <v>0</v>
      </c>
      <c r="Z37">
        <f>VLOOKUP(Misfit[[#This Row],[Shortname]], Comp[], 22, FALSE)</f>
        <v>0</v>
      </c>
      <c r="AA37">
        <f>VLOOKUP(Misfit[[#This Row],[Shortname]], Comp[], 23, FALSE)</f>
        <v>0</v>
      </c>
      <c r="AB37">
        <f>VLOOKUP(Misfit[[#This Row],[Shortname]], Comp[], 24, FALSE)</f>
        <v>0</v>
      </c>
      <c r="AC37">
        <f>VLOOKUP(Misfit[[#This Row],[Shortname]], Comp[], 25, FALSE)</f>
        <v>0</v>
      </c>
      <c r="AD37">
        <f>VLOOKUP(Misfit[[#This Row],[Shortname]], Comp[], 26, FALSE)</f>
        <v>0</v>
      </c>
      <c r="AE37">
        <f>VLOOKUP(Misfit[[#This Row],[Shortname]], Comp[], 27, FALSE)</f>
        <v>0</v>
      </c>
      <c r="AF37">
        <f>VLOOKUP(Misfit[[#This Row],[Shortname]], Comp[], 28, FALSE)</f>
        <v>0</v>
      </c>
      <c r="AG37">
        <f>VLOOKUP(Misfit[[#This Row],[Shortname]], Comp[], 29, FALSE)</f>
        <v>0</v>
      </c>
      <c r="AH37">
        <f>VLOOKUP(Misfit[[#This Row],[Shortname]], Comp[], 30, FALSE)</f>
        <v>0</v>
      </c>
      <c r="AI37">
        <f>VLOOKUP(Misfit[[#This Row],[Shortname]], Comp[], 31, FALSE)</f>
        <v>0</v>
      </c>
    </row>
    <row r="38" spans="1:35" x14ac:dyDescent="0.3">
      <c r="A38" t="s">
        <v>1038</v>
      </c>
      <c r="B38" t="s">
        <v>1040</v>
      </c>
      <c r="C38" t="s">
        <v>6601</v>
      </c>
      <c r="D38">
        <v>50</v>
      </c>
      <c r="E38">
        <v>25</v>
      </c>
      <c r="F38">
        <v>0.35899999999999999</v>
      </c>
      <c r="G38">
        <v>0.3574</v>
      </c>
      <c r="H38" s="40">
        <f t="shared" si="0"/>
        <v>4.466778336125043E-3</v>
      </c>
      <c r="J38">
        <f>VLOOKUP(Misfit[[#This Row],[Shortname]], Comp[], 6, FALSE)</f>
        <v>133</v>
      </c>
      <c r="K38">
        <f>VLOOKUP(Misfit[[#This Row],[Shortname]], Comp[], 7, FALSE)</f>
        <v>16.799999999999983</v>
      </c>
      <c r="L38">
        <f>VLOOKUP(Misfit[[#This Row],[Shortname]], Comp[], 8, FALSE)</f>
        <v>50.7</v>
      </c>
      <c r="M38">
        <f>VLOOKUP(Misfit[[#This Row],[Shortname]], Comp[], 9, FALSE)</f>
        <v>2.7</v>
      </c>
      <c r="N38">
        <f>VLOOKUP(Misfit[[#This Row],[Shortname]], Comp[], 10, FALSE)</f>
        <v>21.9</v>
      </c>
      <c r="O38">
        <f>VLOOKUP(Misfit[[#This Row],[Shortname]], Comp[], 11, FALSE)</f>
        <v>0</v>
      </c>
      <c r="P38">
        <f>VLOOKUP(Misfit[[#This Row],[Shortname]], Comp[],12, FALSE)</f>
        <v>7.9</v>
      </c>
      <c r="Q38">
        <f>VLOOKUP(Misfit[[#This Row],[Shortname]], Comp[], 13, FALSE)</f>
        <v>0</v>
      </c>
      <c r="R38">
        <f>VLOOKUP(Misfit[[#This Row],[Shortname]], Comp[], 14, FALSE)</f>
        <v>0</v>
      </c>
      <c r="S38">
        <f>VLOOKUP(Misfit[[#This Row],[Shortname]], Comp[], 15, FALSE)</f>
        <v>0</v>
      </c>
      <c r="T38">
        <f>VLOOKUP(Misfit[[#This Row],[Shortname]], Comp[], 16, FALSE)</f>
        <v>0</v>
      </c>
      <c r="U38">
        <f>VLOOKUP(Misfit[[#This Row],[Shortname]], Comp[], 17, FALSE)</f>
        <v>0</v>
      </c>
      <c r="V38">
        <f>VLOOKUP(Misfit[[#This Row],[Shortname]], Comp[], 18, FALSE)</f>
        <v>0</v>
      </c>
      <c r="W38">
        <f>VLOOKUP(Misfit[[#This Row],[Shortname]], Comp[], 19, FALSE)</f>
        <v>0</v>
      </c>
      <c r="X38">
        <f>VLOOKUP(Misfit[[#This Row],[Shortname]], Comp[], 20, FALSE)</f>
        <v>0</v>
      </c>
      <c r="Y38">
        <f>VLOOKUP(Misfit[[#This Row],[Shortname]], Comp[], 21, FALSE)</f>
        <v>0</v>
      </c>
      <c r="Z38">
        <f>VLOOKUP(Misfit[[#This Row],[Shortname]], Comp[], 22, FALSE)</f>
        <v>0</v>
      </c>
      <c r="AA38">
        <f>VLOOKUP(Misfit[[#This Row],[Shortname]], Comp[], 23, FALSE)</f>
        <v>0</v>
      </c>
      <c r="AB38">
        <f>VLOOKUP(Misfit[[#This Row],[Shortname]], Comp[], 24, FALSE)</f>
        <v>0</v>
      </c>
      <c r="AC38">
        <f>VLOOKUP(Misfit[[#This Row],[Shortname]], Comp[], 25, FALSE)</f>
        <v>0</v>
      </c>
      <c r="AD38">
        <f>VLOOKUP(Misfit[[#This Row],[Shortname]], Comp[], 26, FALSE)</f>
        <v>0</v>
      </c>
      <c r="AE38">
        <f>VLOOKUP(Misfit[[#This Row],[Shortname]], Comp[], 27, FALSE)</f>
        <v>0</v>
      </c>
      <c r="AF38">
        <f>VLOOKUP(Misfit[[#This Row],[Shortname]], Comp[], 28, FALSE)</f>
        <v>0</v>
      </c>
      <c r="AG38">
        <f>VLOOKUP(Misfit[[#This Row],[Shortname]], Comp[], 29, FALSE)</f>
        <v>0</v>
      </c>
      <c r="AH38">
        <f>VLOOKUP(Misfit[[#This Row],[Shortname]], Comp[], 30, FALSE)</f>
        <v>0</v>
      </c>
      <c r="AI38">
        <f>VLOOKUP(Misfit[[#This Row],[Shortname]], Comp[], 31, FALSE)</f>
        <v>0</v>
      </c>
    </row>
    <row r="39" spans="1:35" x14ac:dyDescent="0.3">
      <c r="A39" t="s">
        <v>1081</v>
      </c>
      <c r="B39" t="s">
        <v>1083</v>
      </c>
      <c r="C39" t="s">
        <v>6601</v>
      </c>
      <c r="D39">
        <v>50</v>
      </c>
      <c r="E39">
        <v>25</v>
      </c>
      <c r="F39">
        <v>0.35820000000000002</v>
      </c>
      <c r="G39">
        <v>0.35730000000000001</v>
      </c>
      <c r="H39" s="40">
        <f t="shared" si="0"/>
        <v>2.5157232704402848E-3</v>
      </c>
      <c r="J39">
        <f>VLOOKUP(Misfit[[#This Row],[Shortname]], Comp[], 6, FALSE)</f>
        <v>138</v>
      </c>
      <c r="K39">
        <f>VLOOKUP(Misfit[[#This Row],[Shortname]], Comp[], 7, FALSE)</f>
        <v>24.700000000000003</v>
      </c>
      <c r="L39">
        <f>VLOOKUP(Misfit[[#This Row],[Shortname]], Comp[], 8, FALSE)</f>
        <v>51.2</v>
      </c>
      <c r="M39">
        <f>VLOOKUP(Misfit[[#This Row],[Shortname]], Comp[], 9, FALSE)</f>
        <v>6</v>
      </c>
      <c r="N39">
        <f>VLOOKUP(Misfit[[#This Row],[Shortname]], Comp[], 10, FALSE)</f>
        <v>12.6</v>
      </c>
      <c r="O39">
        <f>VLOOKUP(Misfit[[#This Row],[Shortname]], Comp[], 11, FALSE)</f>
        <v>0</v>
      </c>
      <c r="P39">
        <f>VLOOKUP(Misfit[[#This Row],[Shortname]], Comp[],12, FALSE)</f>
        <v>5.5</v>
      </c>
      <c r="Q39">
        <f>VLOOKUP(Misfit[[#This Row],[Shortname]], Comp[], 13, FALSE)</f>
        <v>0</v>
      </c>
      <c r="R39">
        <f>VLOOKUP(Misfit[[#This Row],[Shortname]], Comp[], 14, FALSE)</f>
        <v>0</v>
      </c>
      <c r="S39">
        <f>VLOOKUP(Misfit[[#This Row],[Shortname]], Comp[], 15, FALSE)</f>
        <v>0</v>
      </c>
      <c r="T39">
        <f>VLOOKUP(Misfit[[#This Row],[Shortname]], Comp[], 16, FALSE)</f>
        <v>0</v>
      </c>
      <c r="U39">
        <f>VLOOKUP(Misfit[[#This Row],[Shortname]], Comp[], 17, FALSE)</f>
        <v>0</v>
      </c>
      <c r="V39">
        <f>VLOOKUP(Misfit[[#This Row],[Shortname]], Comp[], 18, FALSE)</f>
        <v>0</v>
      </c>
      <c r="W39">
        <f>VLOOKUP(Misfit[[#This Row],[Shortname]], Comp[], 19, FALSE)</f>
        <v>0</v>
      </c>
      <c r="X39">
        <f>VLOOKUP(Misfit[[#This Row],[Shortname]], Comp[], 20, FALSE)</f>
        <v>0</v>
      </c>
      <c r="Y39">
        <f>VLOOKUP(Misfit[[#This Row],[Shortname]], Comp[], 21, FALSE)</f>
        <v>0</v>
      </c>
      <c r="Z39">
        <f>VLOOKUP(Misfit[[#This Row],[Shortname]], Comp[], 22, FALSE)</f>
        <v>0</v>
      </c>
      <c r="AA39">
        <f>VLOOKUP(Misfit[[#This Row],[Shortname]], Comp[], 23, FALSE)</f>
        <v>0</v>
      </c>
      <c r="AB39">
        <f>VLOOKUP(Misfit[[#This Row],[Shortname]], Comp[], 24, FALSE)</f>
        <v>0</v>
      </c>
      <c r="AC39">
        <f>VLOOKUP(Misfit[[#This Row],[Shortname]], Comp[], 25, FALSE)</f>
        <v>0</v>
      </c>
      <c r="AD39">
        <f>VLOOKUP(Misfit[[#This Row],[Shortname]], Comp[], 26, FALSE)</f>
        <v>0</v>
      </c>
      <c r="AE39">
        <f>VLOOKUP(Misfit[[#This Row],[Shortname]], Comp[], 27, FALSE)</f>
        <v>0</v>
      </c>
      <c r="AF39">
        <f>VLOOKUP(Misfit[[#This Row],[Shortname]], Comp[], 28, FALSE)</f>
        <v>0</v>
      </c>
      <c r="AG39">
        <f>VLOOKUP(Misfit[[#This Row],[Shortname]], Comp[], 29, FALSE)</f>
        <v>0</v>
      </c>
      <c r="AH39">
        <f>VLOOKUP(Misfit[[#This Row],[Shortname]], Comp[], 30, FALSE)</f>
        <v>0</v>
      </c>
      <c r="AI39">
        <f>VLOOKUP(Misfit[[#This Row],[Shortname]], Comp[], 31, FALSE)</f>
        <v>0</v>
      </c>
    </row>
    <row r="40" spans="1:35" x14ac:dyDescent="0.3">
      <c r="A40" t="s">
        <v>1212</v>
      </c>
      <c r="B40" t="s">
        <v>1214</v>
      </c>
      <c r="C40" t="s">
        <v>6601</v>
      </c>
      <c r="D40">
        <v>50</v>
      </c>
      <c r="E40">
        <v>25</v>
      </c>
      <c r="F40">
        <v>0.35749999999999998</v>
      </c>
      <c r="G40">
        <v>0.35699999999999998</v>
      </c>
      <c r="H40" s="40">
        <f t="shared" si="0"/>
        <v>1.3995801259622128E-3</v>
      </c>
      <c r="J40">
        <f>VLOOKUP(Misfit[[#This Row],[Shortname]], Comp[], 6, FALSE)</f>
        <v>154</v>
      </c>
      <c r="K40">
        <f>VLOOKUP(Misfit[[#This Row],[Shortname]], Comp[], 7, FALSE)</f>
        <v>17.5</v>
      </c>
      <c r="L40">
        <f>VLOOKUP(Misfit[[#This Row],[Shortname]], Comp[], 8, FALSE)</f>
        <v>50.6</v>
      </c>
      <c r="M40">
        <f>VLOOKUP(Misfit[[#This Row],[Shortname]], Comp[], 9, FALSE)</f>
        <v>8.5</v>
      </c>
      <c r="N40">
        <f>VLOOKUP(Misfit[[#This Row],[Shortname]], Comp[], 10, FALSE)</f>
        <v>20.9</v>
      </c>
      <c r="O40">
        <f>VLOOKUP(Misfit[[#This Row],[Shortname]], Comp[], 11, FALSE)</f>
        <v>0</v>
      </c>
      <c r="P40">
        <f>VLOOKUP(Misfit[[#This Row],[Shortname]], Comp[],12, FALSE)</f>
        <v>2.5</v>
      </c>
      <c r="Q40">
        <f>VLOOKUP(Misfit[[#This Row],[Shortname]], Comp[], 13, FALSE)</f>
        <v>0</v>
      </c>
      <c r="R40">
        <f>VLOOKUP(Misfit[[#This Row],[Shortname]], Comp[], 14, FALSE)</f>
        <v>0</v>
      </c>
      <c r="S40">
        <f>VLOOKUP(Misfit[[#This Row],[Shortname]], Comp[], 15, FALSE)</f>
        <v>0</v>
      </c>
      <c r="T40">
        <f>VLOOKUP(Misfit[[#This Row],[Shortname]], Comp[], 16, FALSE)</f>
        <v>0</v>
      </c>
      <c r="U40">
        <f>VLOOKUP(Misfit[[#This Row],[Shortname]], Comp[], 17, FALSE)</f>
        <v>0</v>
      </c>
      <c r="V40">
        <f>VLOOKUP(Misfit[[#This Row],[Shortname]], Comp[], 18, FALSE)</f>
        <v>0</v>
      </c>
      <c r="W40">
        <f>VLOOKUP(Misfit[[#This Row],[Shortname]], Comp[], 19, FALSE)</f>
        <v>0</v>
      </c>
      <c r="X40">
        <f>VLOOKUP(Misfit[[#This Row],[Shortname]], Comp[], 20, FALSE)</f>
        <v>0</v>
      </c>
      <c r="Y40">
        <f>VLOOKUP(Misfit[[#This Row],[Shortname]], Comp[], 21, FALSE)</f>
        <v>0</v>
      </c>
      <c r="Z40">
        <f>VLOOKUP(Misfit[[#This Row],[Shortname]], Comp[], 22, FALSE)</f>
        <v>0</v>
      </c>
      <c r="AA40">
        <f>VLOOKUP(Misfit[[#This Row],[Shortname]], Comp[], 23, FALSE)</f>
        <v>0</v>
      </c>
      <c r="AB40">
        <f>VLOOKUP(Misfit[[#This Row],[Shortname]], Comp[], 24, FALSE)</f>
        <v>0</v>
      </c>
      <c r="AC40">
        <f>VLOOKUP(Misfit[[#This Row],[Shortname]], Comp[], 25, FALSE)</f>
        <v>0</v>
      </c>
      <c r="AD40">
        <f>VLOOKUP(Misfit[[#This Row],[Shortname]], Comp[], 26, FALSE)</f>
        <v>0</v>
      </c>
      <c r="AE40">
        <f>VLOOKUP(Misfit[[#This Row],[Shortname]], Comp[], 27, FALSE)</f>
        <v>0</v>
      </c>
      <c r="AF40">
        <f>VLOOKUP(Misfit[[#This Row],[Shortname]], Comp[], 28, FALSE)</f>
        <v>0</v>
      </c>
      <c r="AG40">
        <f>VLOOKUP(Misfit[[#This Row],[Shortname]], Comp[], 29, FALSE)</f>
        <v>0</v>
      </c>
      <c r="AH40">
        <f>VLOOKUP(Misfit[[#This Row],[Shortname]], Comp[], 30, FALSE)</f>
        <v>0</v>
      </c>
      <c r="AI40">
        <f>VLOOKUP(Misfit[[#This Row],[Shortname]], Comp[], 31, FALSE)</f>
        <v>0</v>
      </c>
    </row>
    <row r="41" spans="1:35" x14ac:dyDescent="0.3">
      <c r="A41" t="s">
        <v>1221</v>
      </c>
      <c r="B41" t="s">
        <v>1223</v>
      </c>
      <c r="C41" s="4" t="s">
        <v>1224</v>
      </c>
      <c r="D41" s="4">
        <v>900</v>
      </c>
      <c r="E41">
        <v>25</v>
      </c>
      <c r="F41">
        <v>0.36099999999999999</v>
      </c>
      <c r="G41">
        <v>0.35870000000000002</v>
      </c>
      <c r="H41" s="40">
        <f t="shared" si="0"/>
        <v>6.3915520355702898E-3</v>
      </c>
      <c r="J41">
        <f>VLOOKUP(Misfit[[#This Row],[Shortname]], Comp[], 6, FALSE)</f>
        <v>155</v>
      </c>
      <c r="K41">
        <f>VLOOKUP(Misfit[[#This Row],[Shortname]], Comp[], 7, FALSE)</f>
        <v>48.1</v>
      </c>
      <c r="L41">
        <f>VLOOKUP(Misfit[[#This Row],[Shortname]], Comp[], 8, FALSE)</f>
        <v>29</v>
      </c>
      <c r="M41">
        <f>VLOOKUP(Misfit[[#This Row],[Shortname]], Comp[], 9, FALSE)</f>
        <v>12.1</v>
      </c>
      <c r="N41">
        <f>VLOOKUP(Misfit[[#This Row],[Shortname]], Comp[], 10, FALSE)</f>
        <v>0</v>
      </c>
      <c r="O41">
        <f>VLOOKUP(Misfit[[#This Row],[Shortname]], Comp[], 11, FALSE)</f>
        <v>5.8</v>
      </c>
      <c r="P41">
        <f>VLOOKUP(Misfit[[#This Row],[Shortname]], Comp[],12, FALSE)</f>
        <v>2.2400000000000002</v>
      </c>
      <c r="Q41">
        <f>VLOOKUP(Misfit[[#This Row],[Shortname]], Comp[], 13, FALSE)</f>
        <v>2.66</v>
      </c>
      <c r="R41">
        <f>VLOOKUP(Misfit[[#This Row],[Shortname]], Comp[], 14, FALSE)</f>
        <v>0</v>
      </c>
      <c r="S41">
        <f>VLOOKUP(Misfit[[#This Row],[Shortname]], Comp[], 15, FALSE)</f>
        <v>0</v>
      </c>
      <c r="T41">
        <f>VLOOKUP(Misfit[[#This Row],[Shortname]], Comp[], 16, FALSE)</f>
        <v>0</v>
      </c>
      <c r="U41">
        <f>VLOOKUP(Misfit[[#This Row],[Shortname]], Comp[], 17, FALSE)</f>
        <v>0</v>
      </c>
      <c r="V41">
        <f>VLOOKUP(Misfit[[#This Row],[Shortname]], Comp[], 18, FALSE)</f>
        <v>0</v>
      </c>
      <c r="W41">
        <f>VLOOKUP(Misfit[[#This Row],[Shortname]], Comp[], 19, FALSE)</f>
        <v>0.1</v>
      </c>
      <c r="X41">
        <f>VLOOKUP(Misfit[[#This Row],[Shortname]], Comp[], 20, FALSE)</f>
        <v>0</v>
      </c>
      <c r="Y41">
        <f>VLOOKUP(Misfit[[#This Row],[Shortname]], Comp[], 21, FALSE)</f>
        <v>0</v>
      </c>
      <c r="Z41">
        <f>VLOOKUP(Misfit[[#This Row],[Shortname]], Comp[], 22, FALSE)</f>
        <v>0</v>
      </c>
      <c r="AA41">
        <f>VLOOKUP(Misfit[[#This Row],[Shortname]], Comp[], 23, FALSE)</f>
        <v>0</v>
      </c>
      <c r="AB41">
        <f>VLOOKUP(Misfit[[#This Row],[Shortname]], Comp[], 24, FALSE)</f>
        <v>0</v>
      </c>
      <c r="AC41">
        <f>VLOOKUP(Misfit[[#This Row],[Shortname]], Comp[], 25, FALSE)</f>
        <v>0</v>
      </c>
      <c r="AD41">
        <f>VLOOKUP(Misfit[[#This Row],[Shortname]], Comp[], 26, FALSE)</f>
        <v>0</v>
      </c>
      <c r="AE41">
        <f>VLOOKUP(Misfit[[#This Row],[Shortname]], Comp[], 27, FALSE)</f>
        <v>0</v>
      </c>
      <c r="AF41">
        <f>VLOOKUP(Misfit[[#This Row],[Shortname]], Comp[], 28, FALSE)</f>
        <v>0</v>
      </c>
      <c r="AG41">
        <f>VLOOKUP(Misfit[[#This Row],[Shortname]], Comp[], 29, FALSE)</f>
        <v>0</v>
      </c>
      <c r="AH41">
        <f>VLOOKUP(Misfit[[#This Row],[Shortname]], Comp[], 30, FALSE)</f>
        <v>0</v>
      </c>
      <c r="AI41">
        <f>VLOOKUP(Misfit[[#This Row],[Shortname]], Comp[], 31, FALSE)</f>
        <v>0</v>
      </c>
    </row>
    <row r="42" spans="1:35" x14ac:dyDescent="0.3">
      <c r="A42" t="s">
        <v>1243</v>
      </c>
      <c r="B42" t="s">
        <v>1245</v>
      </c>
      <c r="C42" s="4" t="s">
        <v>1224</v>
      </c>
      <c r="D42" s="4">
        <v>900</v>
      </c>
      <c r="E42">
        <v>25</v>
      </c>
      <c r="F42">
        <v>0.3594</v>
      </c>
      <c r="G42">
        <v>0.35870000000000002</v>
      </c>
      <c r="H42" s="40">
        <f t="shared" si="0"/>
        <v>1.9495891937055521E-3</v>
      </c>
      <c r="J42">
        <f>VLOOKUP(Misfit[[#This Row],[Shortname]], Comp[], 6, FALSE)</f>
        <v>157</v>
      </c>
      <c r="K42">
        <f>VLOOKUP(Misfit[[#This Row],[Shortname]], Comp[], 7, FALSE)</f>
        <v>39.15</v>
      </c>
      <c r="L42">
        <f>VLOOKUP(Misfit[[#This Row],[Shortname]], Comp[], 8, FALSE)</f>
        <v>28.9</v>
      </c>
      <c r="M42">
        <f>VLOOKUP(Misfit[[#This Row],[Shortname]], Comp[], 9, FALSE)</f>
        <v>10.1</v>
      </c>
      <c r="N42">
        <f>VLOOKUP(Misfit[[#This Row],[Shortname]], Comp[], 10, FALSE)</f>
        <v>12.5</v>
      </c>
      <c r="O42">
        <f>VLOOKUP(Misfit[[#This Row],[Shortname]], Comp[], 11, FALSE)</f>
        <v>5.09</v>
      </c>
      <c r="P42">
        <f>VLOOKUP(Misfit[[#This Row],[Shortname]], Comp[],12, FALSE)</f>
        <v>1.86</v>
      </c>
      <c r="Q42">
        <f>VLOOKUP(Misfit[[#This Row],[Shortname]], Comp[], 13, FALSE)</f>
        <v>2.2999999999999998</v>
      </c>
      <c r="R42">
        <f>VLOOKUP(Misfit[[#This Row],[Shortname]], Comp[], 14, FALSE)</f>
        <v>0</v>
      </c>
      <c r="S42">
        <f>VLOOKUP(Misfit[[#This Row],[Shortname]], Comp[], 15, FALSE)</f>
        <v>0</v>
      </c>
      <c r="T42">
        <f>VLOOKUP(Misfit[[#This Row],[Shortname]], Comp[], 16, FALSE)</f>
        <v>0</v>
      </c>
      <c r="U42">
        <f>VLOOKUP(Misfit[[#This Row],[Shortname]], Comp[], 17, FALSE)</f>
        <v>0</v>
      </c>
      <c r="V42">
        <f>VLOOKUP(Misfit[[#This Row],[Shortname]], Comp[], 18, FALSE)</f>
        <v>0</v>
      </c>
      <c r="W42">
        <f>VLOOKUP(Misfit[[#This Row],[Shortname]], Comp[], 19, FALSE)</f>
        <v>0.1</v>
      </c>
      <c r="X42">
        <f>VLOOKUP(Misfit[[#This Row],[Shortname]], Comp[], 20, FALSE)</f>
        <v>0</v>
      </c>
      <c r="Y42">
        <f>VLOOKUP(Misfit[[#This Row],[Shortname]], Comp[], 21, FALSE)</f>
        <v>0</v>
      </c>
      <c r="Z42">
        <f>VLOOKUP(Misfit[[#This Row],[Shortname]], Comp[], 22, FALSE)</f>
        <v>0</v>
      </c>
      <c r="AA42">
        <f>VLOOKUP(Misfit[[#This Row],[Shortname]], Comp[], 23, FALSE)</f>
        <v>0</v>
      </c>
      <c r="AB42">
        <f>VLOOKUP(Misfit[[#This Row],[Shortname]], Comp[], 24, FALSE)</f>
        <v>0</v>
      </c>
      <c r="AC42">
        <f>VLOOKUP(Misfit[[#This Row],[Shortname]], Comp[], 25, FALSE)</f>
        <v>0</v>
      </c>
      <c r="AD42">
        <f>VLOOKUP(Misfit[[#This Row],[Shortname]], Comp[], 26, FALSE)</f>
        <v>0</v>
      </c>
      <c r="AE42">
        <f>VLOOKUP(Misfit[[#This Row],[Shortname]], Comp[], 27, FALSE)</f>
        <v>0</v>
      </c>
      <c r="AF42">
        <f>VLOOKUP(Misfit[[#This Row],[Shortname]], Comp[], 28, FALSE)</f>
        <v>0</v>
      </c>
      <c r="AG42">
        <f>VLOOKUP(Misfit[[#This Row],[Shortname]], Comp[], 29, FALSE)</f>
        <v>0</v>
      </c>
      <c r="AH42">
        <f>VLOOKUP(Misfit[[#This Row],[Shortname]], Comp[], 30, FALSE)</f>
        <v>0</v>
      </c>
      <c r="AI42">
        <f>VLOOKUP(Misfit[[#This Row],[Shortname]], Comp[], 31, FALSE)</f>
        <v>0</v>
      </c>
    </row>
    <row r="43" spans="1:35" x14ac:dyDescent="0.3">
      <c r="A43" t="s">
        <v>1234</v>
      </c>
      <c r="B43" t="s">
        <v>1236</v>
      </c>
      <c r="C43" s="4" t="s">
        <v>1224</v>
      </c>
      <c r="D43" s="4">
        <v>900</v>
      </c>
      <c r="E43">
        <v>25</v>
      </c>
      <c r="F43">
        <v>0.36059999999999998</v>
      </c>
      <c r="G43">
        <v>0.35930000000000001</v>
      </c>
      <c r="H43" s="40">
        <f t="shared" si="0"/>
        <v>3.6116127239893539E-3</v>
      </c>
      <c r="J43">
        <f>VLOOKUP(Misfit[[#This Row],[Shortname]], Comp[], 6, FALSE)</f>
        <v>156</v>
      </c>
      <c r="K43">
        <f>VLOOKUP(Misfit[[#This Row],[Shortname]], Comp[], 7, FALSE)</f>
        <v>45.5</v>
      </c>
      <c r="L43">
        <f>VLOOKUP(Misfit[[#This Row],[Shortname]], Comp[], 8, FALSE)</f>
        <v>29.2</v>
      </c>
      <c r="M43">
        <f>VLOOKUP(Misfit[[#This Row],[Shortname]], Comp[], 9, FALSE)</f>
        <v>11.1</v>
      </c>
      <c r="N43">
        <f>VLOOKUP(Misfit[[#This Row],[Shortname]], Comp[], 10, FALSE)</f>
        <v>4.0999999999999996</v>
      </c>
      <c r="O43">
        <f>VLOOKUP(Misfit[[#This Row],[Shortname]], Comp[], 11, FALSE)</f>
        <v>5.68</v>
      </c>
      <c r="P43">
        <f>VLOOKUP(Misfit[[#This Row],[Shortname]], Comp[],12, FALSE)</f>
        <v>2.04</v>
      </c>
      <c r="Q43">
        <f>VLOOKUP(Misfit[[#This Row],[Shortname]], Comp[], 13, FALSE)</f>
        <v>2.2799999999999998</v>
      </c>
      <c r="R43">
        <f>VLOOKUP(Misfit[[#This Row],[Shortname]], Comp[], 14, FALSE)</f>
        <v>0</v>
      </c>
      <c r="S43">
        <f>VLOOKUP(Misfit[[#This Row],[Shortname]], Comp[], 15, FALSE)</f>
        <v>0</v>
      </c>
      <c r="T43">
        <f>VLOOKUP(Misfit[[#This Row],[Shortname]], Comp[], 16, FALSE)</f>
        <v>0</v>
      </c>
      <c r="U43">
        <f>VLOOKUP(Misfit[[#This Row],[Shortname]], Comp[], 17, FALSE)</f>
        <v>0</v>
      </c>
      <c r="V43">
        <f>VLOOKUP(Misfit[[#This Row],[Shortname]], Comp[], 18, FALSE)</f>
        <v>0</v>
      </c>
      <c r="W43">
        <f>VLOOKUP(Misfit[[#This Row],[Shortname]], Comp[], 19, FALSE)</f>
        <v>0.1</v>
      </c>
      <c r="X43">
        <f>VLOOKUP(Misfit[[#This Row],[Shortname]], Comp[], 20, FALSE)</f>
        <v>0</v>
      </c>
      <c r="Y43">
        <f>VLOOKUP(Misfit[[#This Row],[Shortname]], Comp[], 21, FALSE)</f>
        <v>0</v>
      </c>
      <c r="Z43">
        <f>VLOOKUP(Misfit[[#This Row],[Shortname]], Comp[], 22, FALSE)</f>
        <v>0</v>
      </c>
      <c r="AA43">
        <f>VLOOKUP(Misfit[[#This Row],[Shortname]], Comp[], 23, FALSE)</f>
        <v>0</v>
      </c>
      <c r="AB43">
        <f>VLOOKUP(Misfit[[#This Row],[Shortname]], Comp[], 24, FALSE)</f>
        <v>0</v>
      </c>
      <c r="AC43">
        <f>VLOOKUP(Misfit[[#This Row],[Shortname]], Comp[], 25, FALSE)</f>
        <v>0</v>
      </c>
      <c r="AD43">
        <f>VLOOKUP(Misfit[[#This Row],[Shortname]], Comp[], 26, FALSE)</f>
        <v>0</v>
      </c>
      <c r="AE43">
        <f>VLOOKUP(Misfit[[#This Row],[Shortname]], Comp[], 27, FALSE)</f>
        <v>0</v>
      </c>
      <c r="AF43">
        <f>VLOOKUP(Misfit[[#This Row],[Shortname]], Comp[], 28, FALSE)</f>
        <v>0</v>
      </c>
      <c r="AG43">
        <f>VLOOKUP(Misfit[[#This Row],[Shortname]], Comp[], 29, FALSE)</f>
        <v>0</v>
      </c>
      <c r="AH43">
        <f>VLOOKUP(Misfit[[#This Row],[Shortname]], Comp[], 30, FALSE)</f>
        <v>0</v>
      </c>
      <c r="AI43">
        <f>VLOOKUP(Misfit[[#This Row],[Shortname]], Comp[], 31, FALSE)</f>
        <v>0</v>
      </c>
    </row>
    <row r="44" spans="1:35" x14ac:dyDescent="0.3">
      <c r="A44" t="s">
        <v>1253</v>
      </c>
      <c r="B44" t="s">
        <v>1255</v>
      </c>
      <c r="C44" s="4" t="s">
        <v>1224</v>
      </c>
      <c r="D44" s="4">
        <v>900</v>
      </c>
      <c r="E44">
        <v>25</v>
      </c>
      <c r="F44">
        <v>0.36030000000000001</v>
      </c>
      <c r="G44">
        <v>0.35920000000000002</v>
      </c>
      <c r="H44" s="40">
        <f t="shared" si="0"/>
        <v>3.0576789437108819E-3</v>
      </c>
      <c r="J44">
        <f>VLOOKUP(Misfit[[#This Row],[Shortname]], Comp[], 6, FALSE)</f>
        <v>158</v>
      </c>
      <c r="K44">
        <f>VLOOKUP(Misfit[[#This Row],[Shortname]], Comp[], 7, FALSE)</f>
        <v>42.2</v>
      </c>
      <c r="L44">
        <f>VLOOKUP(Misfit[[#This Row],[Shortname]], Comp[], 8, FALSE)</f>
        <v>29.5</v>
      </c>
      <c r="M44">
        <f>VLOOKUP(Misfit[[#This Row],[Shortname]], Comp[], 9, FALSE)</f>
        <v>10.5</v>
      </c>
      <c r="N44">
        <f>VLOOKUP(Misfit[[#This Row],[Shortname]], Comp[], 10, FALSE)</f>
        <v>8.02</v>
      </c>
      <c r="O44">
        <f>VLOOKUP(Misfit[[#This Row],[Shortname]], Comp[], 11, FALSE)</f>
        <v>5.14</v>
      </c>
      <c r="P44">
        <f>VLOOKUP(Misfit[[#This Row],[Shortname]], Comp[],12, FALSE)</f>
        <v>1.85</v>
      </c>
      <c r="Q44">
        <f>VLOOKUP(Misfit[[#This Row],[Shortname]], Comp[], 13, FALSE)</f>
        <v>2.69</v>
      </c>
      <c r="R44">
        <f>VLOOKUP(Misfit[[#This Row],[Shortname]], Comp[], 14, FALSE)</f>
        <v>0</v>
      </c>
      <c r="S44">
        <f>VLOOKUP(Misfit[[#This Row],[Shortname]], Comp[], 15, FALSE)</f>
        <v>0</v>
      </c>
      <c r="T44">
        <f>VLOOKUP(Misfit[[#This Row],[Shortname]], Comp[], 16, FALSE)</f>
        <v>0</v>
      </c>
      <c r="U44">
        <f>VLOOKUP(Misfit[[#This Row],[Shortname]], Comp[], 17, FALSE)</f>
        <v>0</v>
      </c>
      <c r="V44">
        <f>VLOOKUP(Misfit[[#This Row],[Shortname]], Comp[], 18, FALSE)</f>
        <v>0</v>
      </c>
      <c r="W44">
        <f>VLOOKUP(Misfit[[#This Row],[Shortname]], Comp[], 19, FALSE)</f>
        <v>0.1</v>
      </c>
      <c r="X44">
        <f>VLOOKUP(Misfit[[#This Row],[Shortname]], Comp[], 20, FALSE)</f>
        <v>0</v>
      </c>
      <c r="Y44">
        <f>VLOOKUP(Misfit[[#This Row],[Shortname]], Comp[], 21, FALSE)</f>
        <v>0</v>
      </c>
      <c r="Z44">
        <f>VLOOKUP(Misfit[[#This Row],[Shortname]], Comp[], 22, FALSE)</f>
        <v>0</v>
      </c>
      <c r="AA44">
        <f>VLOOKUP(Misfit[[#This Row],[Shortname]], Comp[], 23, FALSE)</f>
        <v>0</v>
      </c>
      <c r="AB44">
        <f>VLOOKUP(Misfit[[#This Row],[Shortname]], Comp[], 24, FALSE)</f>
        <v>0</v>
      </c>
      <c r="AC44">
        <f>VLOOKUP(Misfit[[#This Row],[Shortname]], Comp[], 25, FALSE)</f>
        <v>0</v>
      </c>
      <c r="AD44">
        <f>VLOOKUP(Misfit[[#This Row],[Shortname]], Comp[], 26, FALSE)</f>
        <v>0</v>
      </c>
      <c r="AE44">
        <f>VLOOKUP(Misfit[[#This Row],[Shortname]], Comp[], 27, FALSE)</f>
        <v>0</v>
      </c>
      <c r="AF44">
        <f>VLOOKUP(Misfit[[#This Row],[Shortname]], Comp[], 28, FALSE)</f>
        <v>0</v>
      </c>
      <c r="AG44">
        <f>VLOOKUP(Misfit[[#This Row],[Shortname]], Comp[], 29, FALSE)</f>
        <v>0</v>
      </c>
      <c r="AH44">
        <f>VLOOKUP(Misfit[[#This Row],[Shortname]], Comp[], 30, FALSE)</f>
        <v>0</v>
      </c>
      <c r="AI44">
        <f>VLOOKUP(Misfit[[#This Row],[Shortname]], Comp[], 31, FALSE)</f>
        <v>0</v>
      </c>
    </row>
    <row r="45" spans="1:35" x14ac:dyDescent="0.3">
      <c r="A45" t="s">
        <v>1260</v>
      </c>
      <c r="B45" t="s">
        <v>1262</v>
      </c>
      <c r="C45" s="3" t="s">
        <v>1263</v>
      </c>
      <c r="D45" s="3">
        <v>900</v>
      </c>
      <c r="E45">
        <v>650</v>
      </c>
      <c r="H45" s="40">
        <v>5.1999999999999998E-3</v>
      </c>
      <c r="I45" t="s">
        <v>6603</v>
      </c>
      <c r="J45">
        <f>VLOOKUP(Misfit[[#This Row],[Shortname]], Comp[], 6, FALSE)</f>
        <v>160</v>
      </c>
      <c r="K45">
        <f>VLOOKUP(Misfit[[#This Row],[Shortname]], Comp[], 7, FALSE)</f>
        <v>55.800000000000004</v>
      </c>
      <c r="L45">
        <f>VLOOKUP(Misfit[[#This Row],[Shortname]], Comp[], 8, FALSE)</f>
        <v>28.8</v>
      </c>
      <c r="M45">
        <f>VLOOKUP(Misfit[[#This Row],[Shortname]], Comp[], 9, FALSE)</f>
        <v>6.2</v>
      </c>
      <c r="N45">
        <f>VLOOKUP(Misfit[[#This Row],[Shortname]], Comp[], 10, FALSE)</f>
        <v>0</v>
      </c>
      <c r="O45">
        <f>VLOOKUP(Misfit[[#This Row],[Shortname]], Comp[], 11, FALSE)</f>
        <v>2</v>
      </c>
      <c r="P45">
        <f>VLOOKUP(Misfit[[#This Row],[Shortname]], Comp[],12, FALSE)</f>
        <v>1.8</v>
      </c>
      <c r="Q45">
        <f>VLOOKUP(Misfit[[#This Row],[Shortname]], Comp[], 13, FALSE)</f>
        <v>0.9</v>
      </c>
      <c r="R45">
        <f>VLOOKUP(Misfit[[#This Row],[Shortname]], Comp[], 14, FALSE)</f>
        <v>1.8</v>
      </c>
      <c r="S45">
        <f>VLOOKUP(Misfit[[#This Row],[Shortname]], Comp[], 15, FALSE)</f>
        <v>0</v>
      </c>
      <c r="T45">
        <f>VLOOKUP(Misfit[[#This Row],[Shortname]], Comp[], 16, FALSE)</f>
        <v>2.7</v>
      </c>
      <c r="U45">
        <f>VLOOKUP(Misfit[[#This Row],[Shortname]], Comp[], 17, FALSE)</f>
        <v>0</v>
      </c>
      <c r="V45">
        <f>VLOOKUP(Misfit[[#This Row],[Shortname]], Comp[], 18, FALSE)</f>
        <v>0</v>
      </c>
      <c r="W45">
        <f>VLOOKUP(Misfit[[#This Row],[Shortname]], Comp[], 19, FALSE)</f>
        <v>0</v>
      </c>
      <c r="X45">
        <f>VLOOKUP(Misfit[[#This Row],[Shortname]], Comp[], 20, FALSE)</f>
        <v>0</v>
      </c>
      <c r="Y45">
        <f>VLOOKUP(Misfit[[#This Row],[Shortname]], Comp[], 21, FALSE)</f>
        <v>0</v>
      </c>
      <c r="Z45">
        <f>VLOOKUP(Misfit[[#This Row],[Shortname]], Comp[], 22, FALSE)</f>
        <v>0</v>
      </c>
      <c r="AA45">
        <f>VLOOKUP(Misfit[[#This Row],[Shortname]], Comp[], 23, FALSE)</f>
        <v>0</v>
      </c>
      <c r="AB45">
        <f>VLOOKUP(Misfit[[#This Row],[Shortname]], Comp[], 24, FALSE)</f>
        <v>0</v>
      </c>
      <c r="AC45">
        <f>VLOOKUP(Misfit[[#This Row],[Shortname]], Comp[], 25, FALSE)</f>
        <v>0</v>
      </c>
      <c r="AD45">
        <f>VLOOKUP(Misfit[[#This Row],[Shortname]], Comp[], 26, FALSE)</f>
        <v>0</v>
      </c>
      <c r="AE45">
        <f>VLOOKUP(Misfit[[#This Row],[Shortname]], Comp[], 27, FALSE)</f>
        <v>0</v>
      </c>
      <c r="AF45">
        <f>VLOOKUP(Misfit[[#This Row],[Shortname]], Comp[], 28, FALSE)</f>
        <v>0</v>
      </c>
      <c r="AG45">
        <f>VLOOKUP(Misfit[[#This Row],[Shortname]], Comp[], 29, FALSE)</f>
        <v>0</v>
      </c>
      <c r="AH45">
        <f>VLOOKUP(Misfit[[#This Row],[Shortname]], Comp[], 30, FALSE)</f>
        <v>0</v>
      </c>
      <c r="AI45">
        <f>VLOOKUP(Misfit[[#This Row],[Shortname]], Comp[], 31, FALSE)</f>
        <v>0</v>
      </c>
    </row>
    <row r="46" spans="1:35" x14ac:dyDescent="0.3">
      <c r="A46" t="s">
        <v>1260</v>
      </c>
      <c r="B46" t="s">
        <v>1262</v>
      </c>
      <c r="C46" s="3" t="s">
        <v>1263</v>
      </c>
      <c r="D46" s="3">
        <v>900</v>
      </c>
      <c r="E46">
        <v>900</v>
      </c>
      <c r="H46" s="40">
        <v>5.1999999999999998E-3</v>
      </c>
      <c r="I46" t="s">
        <v>6603</v>
      </c>
      <c r="J46">
        <f>VLOOKUP(Misfit[[#This Row],[Shortname]], Comp[], 6, FALSE)</f>
        <v>160</v>
      </c>
      <c r="K46">
        <f>VLOOKUP(Misfit[[#This Row],[Shortname]], Comp[], 7, FALSE)</f>
        <v>55.800000000000004</v>
      </c>
      <c r="L46">
        <f>VLOOKUP(Misfit[[#This Row],[Shortname]], Comp[], 8, FALSE)</f>
        <v>28.8</v>
      </c>
      <c r="M46">
        <f>VLOOKUP(Misfit[[#This Row],[Shortname]], Comp[], 9, FALSE)</f>
        <v>6.2</v>
      </c>
      <c r="N46">
        <f>VLOOKUP(Misfit[[#This Row],[Shortname]], Comp[], 10, FALSE)</f>
        <v>0</v>
      </c>
      <c r="O46">
        <f>VLOOKUP(Misfit[[#This Row],[Shortname]], Comp[], 11, FALSE)</f>
        <v>2</v>
      </c>
      <c r="P46">
        <f>VLOOKUP(Misfit[[#This Row],[Shortname]], Comp[],12, FALSE)</f>
        <v>1.8</v>
      </c>
      <c r="Q46">
        <f>VLOOKUP(Misfit[[#This Row],[Shortname]], Comp[], 13, FALSE)</f>
        <v>0.9</v>
      </c>
      <c r="R46">
        <f>VLOOKUP(Misfit[[#This Row],[Shortname]], Comp[], 14, FALSE)</f>
        <v>1.8</v>
      </c>
      <c r="S46">
        <f>VLOOKUP(Misfit[[#This Row],[Shortname]], Comp[], 15, FALSE)</f>
        <v>0</v>
      </c>
      <c r="T46">
        <f>VLOOKUP(Misfit[[#This Row],[Shortname]], Comp[], 16, FALSE)</f>
        <v>2.7</v>
      </c>
      <c r="U46">
        <f>VLOOKUP(Misfit[[#This Row],[Shortname]], Comp[], 17, FALSE)</f>
        <v>0</v>
      </c>
      <c r="V46">
        <f>VLOOKUP(Misfit[[#This Row],[Shortname]], Comp[], 18, FALSE)</f>
        <v>0</v>
      </c>
      <c r="W46">
        <f>VLOOKUP(Misfit[[#This Row],[Shortname]], Comp[], 19, FALSE)</f>
        <v>0</v>
      </c>
      <c r="X46">
        <f>VLOOKUP(Misfit[[#This Row],[Shortname]], Comp[], 20, FALSE)</f>
        <v>0</v>
      </c>
      <c r="Y46">
        <f>VLOOKUP(Misfit[[#This Row],[Shortname]], Comp[], 21, FALSE)</f>
        <v>0</v>
      </c>
      <c r="Z46">
        <f>VLOOKUP(Misfit[[#This Row],[Shortname]], Comp[], 22, FALSE)</f>
        <v>0</v>
      </c>
      <c r="AA46">
        <f>VLOOKUP(Misfit[[#This Row],[Shortname]], Comp[], 23, FALSE)</f>
        <v>0</v>
      </c>
      <c r="AB46">
        <f>VLOOKUP(Misfit[[#This Row],[Shortname]], Comp[], 24, FALSE)</f>
        <v>0</v>
      </c>
      <c r="AC46">
        <f>VLOOKUP(Misfit[[#This Row],[Shortname]], Comp[], 25, FALSE)</f>
        <v>0</v>
      </c>
      <c r="AD46">
        <f>VLOOKUP(Misfit[[#This Row],[Shortname]], Comp[], 26, FALSE)</f>
        <v>0</v>
      </c>
      <c r="AE46">
        <f>VLOOKUP(Misfit[[#This Row],[Shortname]], Comp[], 27, FALSE)</f>
        <v>0</v>
      </c>
      <c r="AF46">
        <f>VLOOKUP(Misfit[[#This Row],[Shortname]], Comp[], 28, FALSE)</f>
        <v>0</v>
      </c>
      <c r="AG46">
        <f>VLOOKUP(Misfit[[#This Row],[Shortname]], Comp[], 29, FALSE)</f>
        <v>0</v>
      </c>
      <c r="AH46">
        <f>VLOOKUP(Misfit[[#This Row],[Shortname]], Comp[], 30, FALSE)</f>
        <v>0</v>
      </c>
      <c r="AI46">
        <f>VLOOKUP(Misfit[[#This Row],[Shortname]], Comp[], 31, FALSE)</f>
        <v>0</v>
      </c>
    </row>
    <row r="47" spans="1:35" x14ac:dyDescent="0.3">
      <c r="A47" t="s">
        <v>1260</v>
      </c>
      <c r="B47" t="s">
        <v>1262</v>
      </c>
      <c r="C47" s="3" t="s">
        <v>1263</v>
      </c>
      <c r="D47" s="3">
        <v>900</v>
      </c>
      <c r="E47">
        <v>25</v>
      </c>
      <c r="H47" s="40">
        <v>5.4999999999999997E-3</v>
      </c>
      <c r="I47" t="s">
        <v>6603</v>
      </c>
      <c r="J47">
        <f>VLOOKUP(Misfit[[#This Row],[Shortname]], Comp[], 6, FALSE)</f>
        <v>160</v>
      </c>
      <c r="K47">
        <f>VLOOKUP(Misfit[[#This Row],[Shortname]], Comp[], 7, FALSE)</f>
        <v>55.800000000000004</v>
      </c>
      <c r="L47">
        <f>VLOOKUP(Misfit[[#This Row],[Shortname]], Comp[], 8, FALSE)</f>
        <v>28.8</v>
      </c>
      <c r="M47">
        <f>VLOOKUP(Misfit[[#This Row],[Shortname]], Comp[], 9, FALSE)</f>
        <v>6.2</v>
      </c>
      <c r="N47">
        <f>VLOOKUP(Misfit[[#This Row],[Shortname]], Comp[], 10, FALSE)</f>
        <v>0</v>
      </c>
      <c r="O47">
        <f>VLOOKUP(Misfit[[#This Row],[Shortname]], Comp[], 11, FALSE)</f>
        <v>2</v>
      </c>
      <c r="P47">
        <f>VLOOKUP(Misfit[[#This Row],[Shortname]], Comp[],12, FALSE)</f>
        <v>1.8</v>
      </c>
      <c r="Q47">
        <f>VLOOKUP(Misfit[[#This Row],[Shortname]], Comp[], 13, FALSE)</f>
        <v>0.9</v>
      </c>
      <c r="R47">
        <f>VLOOKUP(Misfit[[#This Row],[Shortname]], Comp[], 14, FALSE)</f>
        <v>1.8</v>
      </c>
      <c r="S47">
        <f>VLOOKUP(Misfit[[#This Row],[Shortname]], Comp[], 15, FALSE)</f>
        <v>0</v>
      </c>
      <c r="T47">
        <f>VLOOKUP(Misfit[[#This Row],[Shortname]], Comp[], 16, FALSE)</f>
        <v>2.7</v>
      </c>
      <c r="U47">
        <f>VLOOKUP(Misfit[[#This Row],[Shortname]], Comp[], 17, FALSE)</f>
        <v>0</v>
      </c>
      <c r="V47">
        <f>VLOOKUP(Misfit[[#This Row],[Shortname]], Comp[], 18, FALSE)</f>
        <v>0</v>
      </c>
      <c r="W47">
        <f>VLOOKUP(Misfit[[#This Row],[Shortname]], Comp[], 19, FALSE)</f>
        <v>0</v>
      </c>
      <c r="X47">
        <f>VLOOKUP(Misfit[[#This Row],[Shortname]], Comp[], 20, FALSE)</f>
        <v>0</v>
      </c>
      <c r="Y47">
        <f>VLOOKUP(Misfit[[#This Row],[Shortname]], Comp[], 21, FALSE)</f>
        <v>0</v>
      </c>
      <c r="Z47">
        <f>VLOOKUP(Misfit[[#This Row],[Shortname]], Comp[], 22, FALSE)</f>
        <v>0</v>
      </c>
      <c r="AA47">
        <f>VLOOKUP(Misfit[[#This Row],[Shortname]], Comp[], 23, FALSE)</f>
        <v>0</v>
      </c>
      <c r="AB47">
        <f>VLOOKUP(Misfit[[#This Row],[Shortname]], Comp[], 24, FALSE)</f>
        <v>0</v>
      </c>
      <c r="AC47">
        <f>VLOOKUP(Misfit[[#This Row],[Shortname]], Comp[], 25, FALSE)</f>
        <v>0</v>
      </c>
      <c r="AD47">
        <f>VLOOKUP(Misfit[[#This Row],[Shortname]], Comp[], 26, FALSE)</f>
        <v>0</v>
      </c>
      <c r="AE47">
        <f>VLOOKUP(Misfit[[#This Row],[Shortname]], Comp[], 27, FALSE)</f>
        <v>0</v>
      </c>
      <c r="AF47">
        <f>VLOOKUP(Misfit[[#This Row],[Shortname]], Comp[], 28, FALSE)</f>
        <v>0</v>
      </c>
      <c r="AG47">
        <f>VLOOKUP(Misfit[[#This Row],[Shortname]], Comp[], 29, FALSE)</f>
        <v>0</v>
      </c>
      <c r="AH47">
        <f>VLOOKUP(Misfit[[#This Row],[Shortname]], Comp[], 30, FALSE)</f>
        <v>0</v>
      </c>
      <c r="AI47">
        <f>VLOOKUP(Misfit[[#This Row],[Shortname]], Comp[], 31, FALSE)</f>
        <v>0</v>
      </c>
    </row>
    <row r="48" spans="1:35" x14ac:dyDescent="0.3">
      <c r="A48" t="s">
        <v>1348</v>
      </c>
      <c r="B48" t="s">
        <v>1350</v>
      </c>
      <c r="C48" s="5" t="s">
        <v>1351</v>
      </c>
      <c r="D48" s="5">
        <v>900</v>
      </c>
      <c r="E48">
        <v>25</v>
      </c>
      <c r="F48">
        <v>0.35981999999999997</v>
      </c>
      <c r="G48">
        <v>0.35760999999999998</v>
      </c>
      <c r="H48" s="40">
        <f t="shared" ref="H48:H62" si="1">2*(F48-G48)/(F48+G48)</f>
        <v>6.1608798070891648E-3</v>
      </c>
      <c r="J48">
        <f>VLOOKUP(Misfit[[#This Row],[Shortname]], Comp[], 6, FALSE)</f>
        <v>170</v>
      </c>
      <c r="K48">
        <f>VLOOKUP(Misfit[[#This Row],[Shortname]], Comp[], 7, FALSE)</f>
        <v>79</v>
      </c>
      <c r="L48">
        <f>VLOOKUP(Misfit[[#This Row],[Shortname]], Comp[], 8, FALSE)</f>
        <v>0</v>
      </c>
      <c r="M48">
        <f>VLOOKUP(Misfit[[#This Row],[Shortname]], Comp[], 9, FALSE)</f>
        <v>9</v>
      </c>
      <c r="N48">
        <f>VLOOKUP(Misfit[[#This Row],[Shortname]], Comp[], 10, FALSE)</f>
        <v>0</v>
      </c>
      <c r="O48">
        <f>VLOOKUP(Misfit[[#This Row],[Shortname]], Comp[], 11, FALSE)</f>
        <v>10</v>
      </c>
      <c r="P48">
        <f>VLOOKUP(Misfit[[#This Row],[Shortname]], Comp[],12, FALSE)</f>
        <v>0</v>
      </c>
      <c r="Q48">
        <f>VLOOKUP(Misfit[[#This Row],[Shortname]], Comp[], 13, FALSE)</f>
        <v>2</v>
      </c>
      <c r="R48">
        <f>VLOOKUP(Misfit[[#This Row],[Shortname]], Comp[], 14, FALSE)</f>
        <v>0</v>
      </c>
      <c r="S48">
        <f>VLOOKUP(Misfit[[#This Row],[Shortname]], Comp[], 15, FALSE)</f>
        <v>0</v>
      </c>
      <c r="T48">
        <f>VLOOKUP(Misfit[[#This Row],[Shortname]], Comp[], 16, FALSE)</f>
        <v>0</v>
      </c>
      <c r="U48">
        <f>VLOOKUP(Misfit[[#This Row],[Shortname]], Comp[], 17, FALSE)</f>
        <v>0</v>
      </c>
      <c r="V48">
        <f>VLOOKUP(Misfit[[#This Row],[Shortname]], Comp[], 18, FALSE)</f>
        <v>0</v>
      </c>
      <c r="W48">
        <f>VLOOKUP(Misfit[[#This Row],[Shortname]], Comp[], 19, FALSE)</f>
        <v>0</v>
      </c>
      <c r="X48">
        <f>VLOOKUP(Misfit[[#This Row],[Shortname]], Comp[], 20, FALSE)</f>
        <v>0</v>
      </c>
      <c r="Y48">
        <f>VLOOKUP(Misfit[[#This Row],[Shortname]], Comp[], 21, FALSE)</f>
        <v>0</v>
      </c>
      <c r="Z48">
        <f>VLOOKUP(Misfit[[#This Row],[Shortname]], Comp[], 22, FALSE)</f>
        <v>0</v>
      </c>
      <c r="AA48">
        <f>VLOOKUP(Misfit[[#This Row],[Shortname]], Comp[], 23, FALSE)</f>
        <v>0</v>
      </c>
      <c r="AB48">
        <f>VLOOKUP(Misfit[[#This Row],[Shortname]], Comp[], 24, FALSE)</f>
        <v>0</v>
      </c>
      <c r="AC48">
        <f>VLOOKUP(Misfit[[#This Row],[Shortname]], Comp[], 25, FALSE)</f>
        <v>0</v>
      </c>
      <c r="AD48">
        <f>VLOOKUP(Misfit[[#This Row],[Shortname]], Comp[], 26, FALSE)</f>
        <v>0</v>
      </c>
      <c r="AE48">
        <f>VLOOKUP(Misfit[[#This Row],[Shortname]], Comp[], 27, FALSE)</f>
        <v>0</v>
      </c>
      <c r="AF48">
        <f>VLOOKUP(Misfit[[#This Row],[Shortname]], Comp[], 28, FALSE)</f>
        <v>0</v>
      </c>
      <c r="AG48">
        <f>VLOOKUP(Misfit[[#This Row],[Shortname]], Comp[], 29, FALSE)</f>
        <v>0</v>
      </c>
      <c r="AH48">
        <f>VLOOKUP(Misfit[[#This Row],[Shortname]], Comp[], 30, FALSE)</f>
        <v>0</v>
      </c>
      <c r="AI48">
        <f>VLOOKUP(Misfit[[#This Row],[Shortname]], Comp[], 31, FALSE)</f>
        <v>0</v>
      </c>
    </row>
    <row r="49" spans="1:35" x14ac:dyDescent="0.3">
      <c r="A49" t="s">
        <v>1355</v>
      </c>
      <c r="B49" t="s">
        <v>1357</v>
      </c>
      <c r="C49" s="5" t="s">
        <v>1351</v>
      </c>
      <c r="D49" s="5">
        <v>900</v>
      </c>
      <c r="E49">
        <v>25</v>
      </c>
      <c r="F49">
        <v>0.36025000000000001</v>
      </c>
      <c r="G49">
        <v>0.35949999999999999</v>
      </c>
      <c r="H49" s="40">
        <f t="shared" si="1"/>
        <v>2.0840569642237676E-3</v>
      </c>
      <c r="J49">
        <f>VLOOKUP(Misfit[[#This Row],[Shortname]], Comp[], 6, FALSE)</f>
        <v>171</v>
      </c>
      <c r="K49">
        <f>VLOOKUP(Misfit[[#This Row],[Shortname]], Comp[], 7, FALSE)</f>
        <v>81</v>
      </c>
      <c r="L49">
        <f>VLOOKUP(Misfit[[#This Row],[Shortname]], Comp[], 8, FALSE)</f>
        <v>0</v>
      </c>
      <c r="M49">
        <f>VLOOKUP(Misfit[[#This Row],[Shortname]], Comp[], 9, FALSE)</f>
        <v>7</v>
      </c>
      <c r="N49">
        <f>VLOOKUP(Misfit[[#This Row],[Shortname]], Comp[], 10, FALSE)</f>
        <v>0</v>
      </c>
      <c r="O49">
        <f>VLOOKUP(Misfit[[#This Row],[Shortname]], Comp[], 11, FALSE)</f>
        <v>10</v>
      </c>
      <c r="P49">
        <f>VLOOKUP(Misfit[[#This Row],[Shortname]], Comp[],12, FALSE)</f>
        <v>0</v>
      </c>
      <c r="Q49">
        <f>VLOOKUP(Misfit[[#This Row],[Shortname]], Comp[], 13, FALSE)</f>
        <v>2</v>
      </c>
      <c r="R49">
        <f>VLOOKUP(Misfit[[#This Row],[Shortname]], Comp[], 14, FALSE)</f>
        <v>0</v>
      </c>
      <c r="S49">
        <f>VLOOKUP(Misfit[[#This Row],[Shortname]], Comp[], 15, FALSE)</f>
        <v>0</v>
      </c>
      <c r="T49">
        <f>VLOOKUP(Misfit[[#This Row],[Shortname]], Comp[], 16, FALSE)</f>
        <v>0</v>
      </c>
      <c r="U49">
        <f>VLOOKUP(Misfit[[#This Row],[Shortname]], Comp[], 17, FALSE)</f>
        <v>0</v>
      </c>
      <c r="V49">
        <f>VLOOKUP(Misfit[[#This Row],[Shortname]], Comp[], 18, FALSE)</f>
        <v>0</v>
      </c>
      <c r="W49">
        <f>VLOOKUP(Misfit[[#This Row],[Shortname]], Comp[], 19, FALSE)</f>
        <v>0</v>
      </c>
      <c r="X49">
        <f>VLOOKUP(Misfit[[#This Row],[Shortname]], Comp[], 20, FALSE)</f>
        <v>0</v>
      </c>
      <c r="Y49">
        <f>VLOOKUP(Misfit[[#This Row],[Shortname]], Comp[], 21, FALSE)</f>
        <v>0</v>
      </c>
      <c r="Z49">
        <f>VLOOKUP(Misfit[[#This Row],[Shortname]], Comp[], 22, FALSE)</f>
        <v>0</v>
      </c>
      <c r="AA49">
        <f>VLOOKUP(Misfit[[#This Row],[Shortname]], Comp[], 23, FALSE)</f>
        <v>0</v>
      </c>
      <c r="AB49">
        <f>VLOOKUP(Misfit[[#This Row],[Shortname]], Comp[], 24, FALSE)</f>
        <v>0</v>
      </c>
      <c r="AC49">
        <f>VLOOKUP(Misfit[[#This Row],[Shortname]], Comp[], 25, FALSE)</f>
        <v>0</v>
      </c>
      <c r="AD49">
        <f>VLOOKUP(Misfit[[#This Row],[Shortname]], Comp[], 26, FALSE)</f>
        <v>0</v>
      </c>
      <c r="AE49">
        <f>VLOOKUP(Misfit[[#This Row],[Shortname]], Comp[], 27, FALSE)</f>
        <v>0</v>
      </c>
      <c r="AF49">
        <f>VLOOKUP(Misfit[[#This Row],[Shortname]], Comp[], 28, FALSE)</f>
        <v>0</v>
      </c>
      <c r="AG49">
        <f>VLOOKUP(Misfit[[#This Row],[Shortname]], Comp[], 29, FALSE)</f>
        <v>0</v>
      </c>
      <c r="AH49">
        <f>VLOOKUP(Misfit[[#This Row],[Shortname]], Comp[], 30, FALSE)</f>
        <v>0</v>
      </c>
      <c r="AI49">
        <f>VLOOKUP(Misfit[[#This Row],[Shortname]], Comp[], 31, FALSE)</f>
        <v>0</v>
      </c>
    </row>
    <row r="50" spans="1:35" x14ac:dyDescent="0.3">
      <c r="A50" t="s">
        <v>1412</v>
      </c>
      <c r="B50" t="s">
        <v>1414</v>
      </c>
      <c r="C50" s="5" t="s">
        <v>1351</v>
      </c>
      <c r="D50" s="5">
        <v>900</v>
      </c>
      <c r="E50">
        <v>25</v>
      </c>
      <c r="F50">
        <v>0.36069000000000001</v>
      </c>
      <c r="G50">
        <v>0.35116999999999998</v>
      </c>
      <c r="H50" s="40">
        <f t="shared" si="1"/>
        <v>2.6746832242294915E-2</v>
      </c>
      <c r="J50">
        <f>VLOOKUP(Misfit[[#This Row],[Shortname]], Comp[], 6, FALSE)</f>
        <v>180</v>
      </c>
      <c r="K50">
        <f>VLOOKUP(Misfit[[#This Row],[Shortname]], Comp[], 7, FALSE)</f>
        <v>79</v>
      </c>
      <c r="L50">
        <f>VLOOKUP(Misfit[[#This Row],[Shortname]], Comp[], 8, FALSE)</f>
        <v>0</v>
      </c>
      <c r="M50">
        <f>VLOOKUP(Misfit[[#This Row],[Shortname]], Comp[], 9, FALSE)</f>
        <v>7</v>
      </c>
      <c r="N50">
        <f>VLOOKUP(Misfit[[#This Row],[Shortname]], Comp[], 10, FALSE)</f>
        <v>0</v>
      </c>
      <c r="O50">
        <f>VLOOKUP(Misfit[[#This Row],[Shortname]], Comp[], 11, FALSE)</f>
        <v>10</v>
      </c>
      <c r="P50">
        <f>VLOOKUP(Misfit[[#This Row],[Shortname]], Comp[],12, FALSE)</f>
        <v>0</v>
      </c>
      <c r="Q50">
        <f>VLOOKUP(Misfit[[#This Row],[Shortname]], Comp[], 13, FALSE)</f>
        <v>4</v>
      </c>
      <c r="R50">
        <f>VLOOKUP(Misfit[[#This Row],[Shortname]], Comp[], 14, FALSE)</f>
        <v>0</v>
      </c>
      <c r="S50">
        <f>VLOOKUP(Misfit[[#This Row],[Shortname]], Comp[], 15, FALSE)</f>
        <v>0</v>
      </c>
      <c r="T50">
        <f>VLOOKUP(Misfit[[#This Row],[Shortname]], Comp[], 16, FALSE)</f>
        <v>0</v>
      </c>
      <c r="U50">
        <f>VLOOKUP(Misfit[[#This Row],[Shortname]], Comp[], 17, FALSE)</f>
        <v>0</v>
      </c>
      <c r="V50">
        <f>VLOOKUP(Misfit[[#This Row],[Shortname]], Comp[], 18, FALSE)</f>
        <v>0</v>
      </c>
      <c r="W50">
        <f>VLOOKUP(Misfit[[#This Row],[Shortname]], Comp[], 19, FALSE)</f>
        <v>0</v>
      </c>
      <c r="X50">
        <f>VLOOKUP(Misfit[[#This Row],[Shortname]], Comp[], 20, FALSE)</f>
        <v>0</v>
      </c>
      <c r="Y50">
        <f>VLOOKUP(Misfit[[#This Row],[Shortname]], Comp[], 21, FALSE)</f>
        <v>0</v>
      </c>
      <c r="Z50">
        <f>VLOOKUP(Misfit[[#This Row],[Shortname]], Comp[], 22, FALSE)</f>
        <v>0</v>
      </c>
      <c r="AA50">
        <f>VLOOKUP(Misfit[[#This Row],[Shortname]], Comp[], 23, FALSE)</f>
        <v>0</v>
      </c>
      <c r="AB50">
        <f>VLOOKUP(Misfit[[#This Row],[Shortname]], Comp[], 24, FALSE)</f>
        <v>0</v>
      </c>
      <c r="AC50">
        <f>VLOOKUP(Misfit[[#This Row],[Shortname]], Comp[], 25, FALSE)</f>
        <v>0</v>
      </c>
      <c r="AD50">
        <f>VLOOKUP(Misfit[[#This Row],[Shortname]], Comp[], 26, FALSE)</f>
        <v>0</v>
      </c>
      <c r="AE50">
        <f>VLOOKUP(Misfit[[#This Row],[Shortname]], Comp[], 27, FALSE)</f>
        <v>0</v>
      </c>
      <c r="AF50">
        <f>VLOOKUP(Misfit[[#This Row],[Shortname]], Comp[], 28, FALSE)</f>
        <v>0</v>
      </c>
      <c r="AG50">
        <f>VLOOKUP(Misfit[[#This Row],[Shortname]], Comp[], 29, FALSE)</f>
        <v>0</v>
      </c>
      <c r="AH50">
        <f>VLOOKUP(Misfit[[#This Row],[Shortname]], Comp[], 30, FALSE)</f>
        <v>0</v>
      </c>
      <c r="AI50">
        <f>VLOOKUP(Misfit[[#This Row],[Shortname]], Comp[], 31, FALSE)</f>
        <v>0</v>
      </c>
    </row>
    <row r="51" spans="1:35" x14ac:dyDescent="0.3">
      <c r="A51" t="s">
        <v>1418</v>
      </c>
      <c r="B51" t="s">
        <v>1420</v>
      </c>
      <c r="C51" s="5" t="s">
        <v>1351</v>
      </c>
      <c r="D51" s="5">
        <v>900</v>
      </c>
      <c r="E51">
        <v>25</v>
      </c>
      <c r="F51">
        <v>0.35974</v>
      </c>
      <c r="G51">
        <v>0.35671000000000003</v>
      </c>
      <c r="H51" s="40">
        <f t="shared" si="1"/>
        <v>8.4583711354594936E-3</v>
      </c>
      <c r="J51">
        <f>VLOOKUP(Misfit[[#This Row],[Shortname]], Comp[], 6, FALSE)</f>
        <v>181</v>
      </c>
      <c r="K51">
        <f>VLOOKUP(Misfit[[#This Row],[Shortname]], Comp[], 7, FALSE)</f>
        <v>79</v>
      </c>
      <c r="L51">
        <f>VLOOKUP(Misfit[[#This Row],[Shortname]], Comp[], 8, FALSE)</f>
        <v>0</v>
      </c>
      <c r="M51">
        <f>VLOOKUP(Misfit[[#This Row],[Shortname]], Comp[], 9, FALSE)</f>
        <v>9</v>
      </c>
      <c r="N51">
        <f>VLOOKUP(Misfit[[#This Row],[Shortname]], Comp[], 10, FALSE)</f>
        <v>0</v>
      </c>
      <c r="O51">
        <f>VLOOKUP(Misfit[[#This Row],[Shortname]], Comp[], 11, FALSE)</f>
        <v>12</v>
      </c>
      <c r="P51">
        <f>VLOOKUP(Misfit[[#This Row],[Shortname]], Comp[],12, FALSE)</f>
        <v>0</v>
      </c>
      <c r="Q51">
        <f>VLOOKUP(Misfit[[#This Row],[Shortname]], Comp[], 13, FALSE)</f>
        <v>0</v>
      </c>
      <c r="R51">
        <f>VLOOKUP(Misfit[[#This Row],[Shortname]], Comp[], 14, FALSE)</f>
        <v>0</v>
      </c>
      <c r="S51">
        <f>VLOOKUP(Misfit[[#This Row],[Shortname]], Comp[], 15, FALSE)</f>
        <v>0</v>
      </c>
      <c r="T51">
        <f>VLOOKUP(Misfit[[#This Row],[Shortname]], Comp[], 16, FALSE)</f>
        <v>0</v>
      </c>
      <c r="U51">
        <f>VLOOKUP(Misfit[[#This Row],[Shortname]], Comp[], 17, FALSE)</f>
        <v>0</v>
      </c>
      <c r="V51">
        <f>VLOOKUP(Misfit[[#This Row],[Shortname]], Comp[], 18, FALSE)</f>
        <v>0</v>
      </c>
      <c r="W51">
        <f>VLOOKUP(Misfit[[#This Row],[Shortname]], Comp[], 19, FALSE)</f>
        <v>0</v>
      </c>
      <c r="X51">
        <f>VLOOKUP(Misfit[[#This Row],[Shortname]], Comp[], 20, FALSE)</f>
        <v>0</v>
      </c>
      <c r="Y51">
        <f>VLOOKUP(Misfit[[#This Row],[Shortname]], Comp[], 21, FALSE)</f>
        <v>0</v>
      </c>
      <c r="Z51">
        <f>VLOOKUP(Misfit[[#This Row],[Shortname]], Comp[], 22, FALSE)</f>
        <v>0</v>
      </c>
      <c r="AA51">
        <f>VLOOKUP(Misfit[[#This Row],[Shortname]], Comp[], 23, FALSE)</f>
        <v>0</v>
      </c>
      <c r="AB51">
        <f>VLOOKUP(Misfit[[#This Row],[Shortname]], Comp[], 24, FALSE)</f>
        <v>0</v>
      </c>
      <c r="AC51">
        <f>VLOOKUP(Misfit[[#This Row],[Shortname]], Comp[], 25, FALSE)</f>
        <v>0</v>
      </c>
      <c r="AD51">
        <f>VLOOKUP(Misfit[[#This Row],[Shortname]], Comp[], 26, FALSE)</f>
        <v>0</v>
      </c>
      <c r="AE51">
        <f>VLOOKUP(Misfit[[#This Row],[Shortname]], Comp[], 27, FALSE)</f>
        <v>0</v>
      </c>
      <c r="AF51">
        <f>VLOOKUP(Misfit[[#This Row],[Shortname]], Comp[], 28, FALSE)</f>
        <v>0</v>
      </c>
      <c r="AG51">
        <f>VLOOKUP(Misfit[[#This Row],[Shortname]], Comp[], 29, FALSE)</f>
        <v>0</v>
      </c>
      <c r="AH51">
        <f>VLOOKUP(Misfit[[#This Row],[Shortname]], Comp[], 30, FALSE)</f>
        <v>0</v>
      </c>
      <c r="AI51">
        <f>VLOOKUP(Misfit[[#This Row],[Shortname]], Comp[], 31, FALSE)</f>
        <v>0</v>
      </c>
    </row>
    <row r="52" spans="1:35" x14ac:dyDescent="0.3">
      <c r="A52" t="s">
        <v>1424</v>
      </c>
      <c r="B52" t="s">
        <v>1426</v>
      </c>
      <c r="C52" s="5" t="s">
        <v>1351</v>
      </c>
      <c r="D52" s="5">
        <v>900</v>
      </c>
      <c r="E52">
        <v>25</v>
      </c>
      <c r="F52">
        <v>0.36070999999999998</v>
      </c>
      <c r="G52">
        <v>0.35264000000000001</v>
      </c>
      <c r="H52" s="40">
        <f t="shared" si="1"/>
        <v>2.2625639587860003E-2</v>
      </c>
      <c r="J52">
        <f>VLOOKUP(Misfit[[#This Row],[Shortname]], Comp[], 6, FALSE)</f>
        <v>182</v>
      </c>
      <c r="K52">
        <f>VLOOKUP(Misfit[[#This Row],[Shortname]], Comp[], 7, FALSE)</f>
        <v>79</v>
      </c>
      <c r="L52">
        <f>VLOOKUP(Misfit[[#This Row],[Shortname]], Comp[], 8, FALSE)</f>
        <v>0</v>
      </c>
      <c r="M52">
        <f>VLOOKUP(Misfit[[#This Row],[Shortname]], Comp[], 9, FALSE)</f>
        <v>9</v>
      </c>
      <c r="N52">
        <f>VLOOKUP(Misfit[[#This Row],[Shortname]], Comp[], 10, FALSE)</f>
        <v>0</v>
      </c>
      <c r="O52">
        <f>VLOOKUP(Misfit[[#This Row],[Shortname]], Comp[], 11, FALSE)</f>
        <v>8</v>
      </c>
      <c r="P52">
        <f>VLOOKUP(Misfit[[#This Row],[Shortname]], Comp[],12, FALSE)</f>
        <v>0</v>
      </c>
      <c r="Q52">
        <f>VLOOKUP(Misfit[[#This Row],[Shortname]], Comp[], 13, FALSE)</f>
        <v>4</v>
      </c>
      <c r="R52">
        <f>VLOOKUP(Misfit[[#This Row],[Shortname]], Comp[], 14, FALSE)</f>
        <v>0</v>
      </c>
      <c r="S52">
        <f>VLOOKUP(Misfit[[#This Row],[Shortname]], Comp[], 15, FALSE)</f>
        <v>0</v>
      </c>
      <c r="T52">
        <f>VLOOKUP(Misfit[[#This Row],[Shortname]], Comp[], 16, FALSE)</f>
        <v>0</v>
      </c>
      <c r="U52">
        <f>VLOOKUP(Misfit[[#This Row],[Shortname]], Comp[], 17, FALSE)</f>
        <v>0</v>
      </c>
      <c r="V52">
        <f>VLOOKUP(Misfit[[#This Row],[Shortname]], Comp[], 18, FALSE)</f>
        <v>0</v>
      </c>
      <c r="W52">
        <f>VLOOKUP(Misfit[[#This Row],[Shortname]], Comp[], 19, FALSE)</f>
        <v>0</v>
      </c>
      <c r="X52">
        <f>VLOOKUP(Misfit[[#This Row],[Shortname]], Comp[], 20, FALSE)</f>
        <v>0</v>
      </c>
      <c r="Y52">
        <f>VLOOKUP(Misfit[[#This Row],[Shortname]], Comp[], 21, FALSE)</f>
        <v>0</v>
      </c>
      <c r="Z52">
        <f>VLOOKUP(Misfit[[#This Row],[Shortname]], Comp[], 22, FALSE)</f>
        <v>0</v>
      </c>
      <c r="AA52">
        <f>VLOOKUP(Misfit[[#This Row],[Shortname]], Comp[], 23, FALSE)</f>
        <v>0</v>
      </c>
      <c r="AB52">
        <f>VLOOKUP(Misfit[[#This Row],[Shortname]], Comp[], 24, FALSE)</f>
        <v>0</v>
      </c>
      <c r="AC52">
        <f>VLOOKUP(Misfit[[#This Row],[Shortname]], Comp[], 25, FALSE)</f>
        <v>0</v>
      </c>
      <c r="AD52">
        <f>VLOOKUP(Misfit[[#This Row],[Shortname]], Comp[], 26, FALSE)</f>
        <v>0</v>
      </c>
      <c r="AE52">
        <f>VLOOKUP(Misfit[[#This Row],[Shortname]], Comp[], 27, FALSE)</f>
        <v>0</v>
      </c>
      <c r="AF52">
        <f>VLOOKUP(Misfit[[#This Row],[Shortname]], Comp[], 28, FALSE)</f>
        <v>0</v>
      </c>
      <c r="AG52">
        <f>VLOOKUP(Misfit[[#This Row],[Shortname]], Comp[], 29, FALSE)</f>
        <v>0</v>
      </c>
      <c r="AH52">
        <f>VLOOKUP(Misfit[[#This Row],[Shortname]], Comp[], 30, FALSE)</f>
        <v>0</v>
      </c>
      <c r="AI52">
        <f>VLOOKUP(Misfit[[#This Row],[Shortname]], Comp[], 31, FALSE)</f>
        <v>0</v>
      </c>
    </row>
    <row r="53" spans="1:35" x14ac:dyDescent="0.3">
      <c r="A53" t="s">
        <v>1430</v>
      </c>
      <c r="B53" t="s">
        <v>1432</v>
      </c>
      <c r="C53" s="5" t="s">
        <v>1351</v>
      </c>
      <c r="D53" s="5">
        <v>900</v>
      </c>
      <c r="E53">
        <v>25</v>
      </c>
      <c r="F53">
        <v>0.36042999999999997</v>
      </c>
      <c r="G53">
        <v>0.35860999999999998</v>
      </c>
      <c r="H53" s="40">
        <f t="shared" si="1"/>
        <v>5.0623052959501242E-3</v>
      </c>
      <c r="J53">
        <f>VLOOKUP(Misfit[[#This Row],[Shortname]], Comp[], 6, FALSE)</f>
        <v>183</v>
      </c>
      <c r="K53">
        <f>VLOOKUP(Misfit[[#This Row],[Shortname]], Comp[], 7, FALSE)</f>
        <v>79.599999999999994</v>
      </c>
      <c r="L53">
        <f>VLOOKUP(Misfit[[#This Row],[Shortname]], Comp[], 8, FALSE)</f>
        <v>0</v>
      </c>
      <c r="M53">
        <f>VLOOKUP(Misfit[[#This Row],[Shortname]], Comp[], 9, FALSE)</f>
        <v>13.3</v>
      </c>
      <c r="N53">
        <f>VLOOKUP(Misfit[[#This Row],[Shortname]], Comp[], 10, FALSE)</f>
        <v>0</v>
      </c>
      <c r="O53">
        <f>VLOOKUP(Misfit[[#This Row],[Shortname]], Comp[], 11, FALSE)</f>
        <v>3.9</v>
      </c>
      <c r="P53">
        <f>VLOOKUP(Misfit[[#This Row],[Shortname]], Comp[],12, FALSE)</f>
        <v>0</v>
      </c>
      <c r="Q53">
        <f>VLOOKUP(Misfit[[#This Row],[Shortname]], Comp[], 13, FALSE)</f>
        <v>3.2</v>
      </c>
      <c r="R53">
        <f>VLOOKUP(Misfit[[#This Row],[Shortname]], Comp[], 14, FALSE)</f>
        <v>0</v>
      </c>
      <c r="S53">
        <f>VLOOKUP(Misfit[[#This Row],[Shortname]], Comp[], 15, FALSE)</f>
        <v>0</v>
      </c>
      <c r="T53">
        <f>VLOOKUP(Misfit[[#This Row],[Shortname]], Comp[], 16, FALSE)</f>
        <v>0</v>
      </c>
      <c r="U53">
        <f>VLOOKUP(Misfit[[#This Row],[Shortname]], Comp[], 17, FALSE)</f>
        <v>0</v>
      </c>
      <c r="V53">
        <f>VLOOKUP(Misfit[[#This Row],[Shortname]], Comp[], 18, FALSE)</f>
        <v>0</v>
      </c>
      <c r="W53">
        <f>VLOOKUP(Misfit[[#This Row],[Shortname]], Comp[], 19, FALSE)</f>
        <v>0</v>
      </c>
      <c r="X53">
        <f>VLOOKUP(Misfit[[#This Row],[Shortname]], Comp[], 20, FALSE)</f>
        <v>0</v>
      </c>
      <c r="Y53">
        <f>VLOOKUP(Misfit[[#This Row],[Shortname]], Comp[], 21, FALSE)</f>
        <v>0</v>
      </c>
      <c r="Z53">
        <f>VLOOKUP(Misfit[[#This Row],[Shortname]], Comp[], 22, FALSE)</f>
        <v>0</v>
      </c>
      <c r="AA53">
        <f>VLOOKUP(Misfit[[#This Row],[Shortname]], Comp[], 23, FALSE)</f>
        <v>0</v>
      </c>
      <c r="AB53">
        <f>VLOOKUP(Misfit[[#This Row],[Shortname]], Comp[], 24, FALSE)</f>
        <v>0</v>
      </c>
      <c r="AC53">
        <f>VLOOKUP(Misfit[[#This Row],[Shortname]], Comp[], 25, FALSE)</f>
        <v>0</v>
      </c>
      <c r="AD53">
        <f>VLOOKUP(Misfit[[#This Row],[Shortname]], Comp[], 26, FALSE)</f>
        <v>0</v>
      </c>
      <c r="AE53">
        <f>VLOOKUP(Misfit[[#This Row],[Shortname]], Comp[], 27, FALSE)</f>
        <v>0</v>
      </c>
      <c r="AF53">
        <f>VLOOKUP(Misfit[[#This Row],[Shortname]], Comp[], 28, FALSE)</f>
        <v>0</v>
      </c>
      <c r="AG53">
        <f>VLOOKUP(Misfit[[#This Row],[Shortname]], Comp[], 29, FALSE)</f>
        <v>0</v>
      </c>
      <c r="AH53">
        <f>VLOOKUP(Misfit[[#This Row],[Shortname]], Comp[], 30, FALSE)</f>
        <v>0</v>
      </c>
      <c r="AI53">
        <f>VLOOKUP(Misfit[[#This Row],[Shortname]], Comp[], 31, FALSE)</f>
        <v>0</v>
      </c>
    </row>
    <row r="54" spans="1:35" x14ac:dyDescent="0.3">
      <c r="A54" t="s">
        <v>1438</v>
      </c>
      <c r="B54" t="s">
        <v>1440</v>
      </c>
      <c r="C54" s="5" t="s">
        <v>1351</v>
      </c>
      <c r="D54" s="5">
        <v>900</v>
      </c>
      <c r="E54">
        <v>25</v>
      </c>
      <c r="F54">
        <v>0.36004000000000003</v>
      </c>
      <c r="G54">
        <v>0.35813</v>
      </c>
      <c r="H54" s="40">
        <f t="shared" si="1"/>
        <v>5.3190748708523685E-3</v>
      </c>
      <c r="J54">
        <f>VLOOKUP(Misfit[[#This Row],[Shortname]], Comp[], 6, FALSE)</f>
        <v>184</v>
      </c>
      <c r="K54">
        <f>VLOOKUP(Misfit[[#This Row],[Shortname]], Comp[], 7, FALSE)</f>
        <v>80.5</v>
      </c>
      <c r="L54">
        <f>VLOOKUP(Misfit[[#This Row],[Shortname]], Comp[], 8, FALSE)</f>
        <v>0</v>
      </c>
      <c r="M54">
        <f>VLOOKUP(Misfit[[#This Row],[Shortname]], Comp[], 9, FALSE)</f>
        <v>11</v>
      </c>
      <c r="N54">
        <f>VLOOKUP(Misfit[[#This Row],[Shortname]], Comp[], 10, FALSE)</f>
        <v>0</v>
      </c>
      <c r="O54">
        <f>VLOOKUP(Misfit[[#This Row],[Shortname]], Comp[], 11, FALSE)</f>
        <v>5.9</v>
      </c>
      <c r="P54">
        <f>VLOOKUP(Misfit[[#This Row],[Shortname]], Comp[],12, FALSE)</f>
        <v>0</v>
      </c>
      <c r="Q54">
        <f>VLOOKUP(Misfit[[#This Row],[Shortname]], Comp[], 13, FALSE)</f>
        <v>2.6</v>
      </c>
      <c r="R54">
        <f>VLOOKUP(Misfit[[#This Row],[Shortname]], Comp[], 14, FALSE)</f>
        <v>0</v>
      </c>
      <c r="S54">
        <f>VLOOKUP(Misfit[[#This Row],[Shortname]], Comp[], 15, FALSE)</f>
        <v>0</v>
      </c>
      <c r="T54">
        <f>VLOOKUP(Misfit[[#This Row],[Shortname]], Comp[], 16, FALSE)</f>
        <v>0</v>
      </c>
      <c r="U54">
        <f>VLOOKUP(Misfit[[#This Row],[Shortname]], Comp[], 17, FALSE)</f>
        <v>0</v>
      </c>
      <c r="V54">
        <f>VLOOKUP(Misfit[[#This Row],[Shortname]], Comp[], 18, FALSE)</f>
        <v>0</v>
      </c>
      <c r="W54">
        <f>VLOOKUP(Misfit[[#This Row],[Shortname]], Comp[], 19, FALSE)</f>
        <v>0</v>
      </c>
      <c r="X54">
        <f>VLOOKUP(Misfit[[#This Row],[Shortname]], Comp[], 20, FALSE)</f>
        <v>0</v>
      </c>
      <c r="Y54">
        <f>VLOOKUP(Misfit[[#This Row],[Shortname]], Comp[], 21, FALSE)</f>
        <v>0</v>
      </c>
      <c r="Z54">
        <f>VLOOKUP(Misfit[[#This Row],[Shortname]], Comp[], 22, FALSE)</f>
        <v>0</v>
      </c>
      <c r="AA54">
        <f>VLOOKUP(Misfit[[#This Row],[Shortname]], Comp[], 23, FALSE)</f>
        <v>0</v>
      </c>
      <c r="AB54">
        <f>VLOOKUP(Misfit[[#This Row],[Shortname]], Comp[], 24, FALSE)</f>
        <v>0</v>
      </c>
      <c r="AC54">
        <f>VLOOKUP(Misfit[[#This Row],[Shortname]], Comp[], 25, FALSE)</f>
        <v>0</v>
      </c>
      <c r="AD54">
        <f>VLOOKUP(Misfit[[#This Row],[Shortname]], Comp[], 26, FALSE)</f>
        <v>0</v>
      </c>
      <c r="AE54">
        <f>VLOOKUP(Misfit[[#This Row],[Shortname]], Comp[], 27, FALSE)</f>
        <v>0</v>
      </c>
      <c r="AF54">
        <f>VLOOKUP(Misfit[[#This Row],[Shortname]], Comp[], 28, FALSE)</f>
        <v>0</v>
      </c>
      <c r="AG54">
        <f>VLOOKUP(Misfit[[#This Row],[Shortname]], Comp[], 29, FALSE)</f>
        <v>0</v>
      </c>
      <c r="AH54">
        <f>VLOOKUP(Misfit[[#This Row],[Shortname]], Comp[], 30, FALSE)</f>
        <v>0</v>
      </c>
      <c r="AI54">
        <f>VLOOKUP(Misfit[[#This Row],[Shortname]], Comp[], 31, FALSE)</f>
        <v>0</v>
      </c>
    </row>
    <row r="55" spans="1:35" x14ac:dyDescent="0.3">
      <c r="A55" t="s">
        <v>1362</v>
      </c>
      <c r="B55" t="s">
        <v>1364</v>
      </c>
      <c r="C55" s="5" t="s">
        <v>1351</v>
      </c>
      <c r="D55" s="5">
        <v>900</v>
      </c>
      <c r="E55">
        <v>25</v>
      </c>
      <c r="F55">
        <v>0.35965999999999998</v>
      </c>
      <c r="G55">
        <v>0.35798999999999997</v>
      </c>
      <c r="H55" s="40">
        <f t="shared" si="1"/>
        <v>4.6540792865603147E-3</v>
      </c>
      <c r="J55">
        <f>VLOOKUP(Misfit[[#This Row],[Shortname]], Comp[], 6, FALSE)</f>
        <v>172</v>
      </c>
      <c r="K55">
        <f>VLOOKUP(Misfit[[#This Row],[Shortname]], Comp[], 7, FALSE)</f>
        <v>77</v>
      </c>
      <c r="L55">
        <f>VLOOKUP(Misfit[[#This Row],[Shortname]], Comp[], 8, FALSE)</f>
        <v>0</v>
      </c>
      <c r="M55">
        <f>VLOOKUP(Misfit[[#This Row],[Shortname]], Comp[], 9, FALSE)</f>
        <v>11</v>
      </c>
      <c r="N55">
        <f>VLOOKUP(Misfit[[#This Row],[Shortname]], Comp[], 10, FALSE)</f>
        <v>0</v>
      </c>
      <c r="O55">
        <f>VLOOKUP(Misfit[[#This Row],[Shortname]], Comp[], 11, FALSE)</f>
        <v>10</v>
      </c>
      <c r="P55">
        <f>VLOOKUP(Misfit[[#This Row],[Shortname]], Comp[],12, FALSE)</f>
        <v>0</v>
      </c>
      <c r="Q55">
        <f>VLOOKUP(Misfit[[#This Row],[Shortname]], Comp[], 13, FALSE)</f>
        <v>2</v>
      </c>
      <c r="R55">
        <f>VLOOKUP(Misfit[[#This Row],[Shortname]], Comp[], 14, FALSE)</f>
        <v>0</v>
      </c>
      <c r="S55">
        <f>VLOOKUP(Misfit[[#This Row],[Shortname]], Comp[], 15, FALSE)</f>
        <v>0</v>
      </c>
      <c r="T55">
        <f>VLOOKUP(Misfit[[#This Row],[Shortname]], Comp[], 16, FALSE)</f>
        <v>0</v>
      </c>
      <c r="U55">
        <f>VLOOKUP(Misfit[[#This Row],[Shortname]], Comp[], 17, FALSE)</f>
        <v>0</v>
      </c>
      <c r="V55">
        <f>VLOOKUP(Misfit[[#This Row],[Shortname]], Comp[], 18, FALSE)</f>
        <v>0</v>
      </c>
      <c r="W55">
        <f>VLOOKUP(Misfit[[#This Row],[Shortname]], Comp[], 19, FALSE)</f>
        <v>0</v>
      </c>
      <c r="X55">
        <f>VLOOKUP(Misfit[[#This Row],[Shortname]], Comp[], 20, FALSE)</f>
        <v>0</v>
      </c>
      <c r="Y55">
        <f>VLOOKUP(Misfit[[#This Row],[Shortname]], Comp[], 21, FALSE)</f>
        <v>0</v>
      </c>
      <c r="Z55">
        <f>VLOOKUP(Misfit[[#This Row],[Shortname]], Comp[], 22, FALSE)</f>
        <v>0</v>
      </c>
      <c r="AA55">
        <f>VLOOKUP(Misfit[[#This Row],[Shortname]], Comp[], 23, FALSE)</f>
        <v>0</v>
      </c>
      <c r="AB55">
        <f>VLOOKUP(Misfit[[#This Row],[Shortname]], Comp[], 24, FALSE)</f>
        <v>0</v>
      </c>
      <c r="AC55">
        <f>VLOOKUP(Misfit[[#This Row],[Shortname]], Comp[], 25, FALSE)</f>
        <v>0</v>
      </c>
      <c r="AD55">
        <f>VLOOKUP(Misfit[[#This Row],[Shortname]], Comp[], 26, FALSE)</f>
        <v>0</v>
      </c>
      <c r="AE55">
        <f>VLOOKUP(Misfit[[#This Row],[Shortname]], Comp[], 27, FALSE)</f>
        <v>0</v>
      </c>
      <c r="AF55">
        <f>VLOOKUP(Misfit[[#This Row],[Shortname]], Comp[], 28, FALSE)</f>
        <v>0</v>
      </c>
      <c r="AG55">
        <f>VLOOKUP(Misfit[[#This Row],[Shortname]], Comp[], 29, FALSE)</f>
        <v>0</v>
      </c>
      <c r="AH55">
        <f>VLOOKUP(Misfit[[#This Row],[Shortname]], Comp[], 30, FALSE)</f>
        <v>0</v>
      </c>
      <c r="AI55">
        <f>VLOOKUP(Misfit[[#This Row],[Shortname]], Comp[], 31, FALSE)</f>
        <v>0</v>
      </c>
    </row>
    <row r="56" spans="1:35" x14ac:dyDescent="0.3">
      <c r="A56" t="s">
        <v>1369</v>
      </c>
      <c r="B56" t="s">
        <v>1371</v>
      </c>
      <c r="C56" s="5" t="s">
        <v>1351</v>
      </c>
      <c r="D56" s="5">
        <v>900</v>
      </c>
      <c r="E56">
        <v>25</v>
      </c>
      <c r="F56">
        <v>0.36008000000000001</v>
      </c>
      <c r="G56">
        <v>0.35802</v>
      </c>
      <c r="H56" s="40">
        <f t="shared" si="1"/>
        <v>5.7373624843336758E-3</v>
      </c>
      <c r="J56">
        <f>VLOOKUP(Misfit[[#This Row],[Shortname]], Comp[], 6, FALSE)</f>
        <v>173</v>
      </c>
      <c r="K56">
        <f>VLOOKUP(Misfit[[#This Row],[Shortname]], Comp[], 7, FALSE)</f>
        <v>77</v>
      </c>
      <c r="L56">
        <f>VLOOKUP(Misfit[[#This Row],[Shortname]], Comp[], 8, FALSE)</f>
        <v>0</v>
      </c>
      <c r="M56">
        <f>VLOOKUP(Misfit[[#This Row],[Shortname]], Comp[], 9, FALSE)</f>
        <v>9</v>
      </c>
      <c r="N56">
        <f>VLOOKUP(Misfit[[#This Row],[Shortname]], Comp[], 10, FALSE)</f>
        <v>0</v>
      </c>
      <c r="O56">
        <f>VLOOKUP(Misfit[[#This Row],[Shortname]], Comp[], 11, FALSE)</f>
        <v>12</v>
      </c>
      <c r="P56">
        <f>VLOOKUP(Misfit[[#This Row],[Shortname]], Comp[],12, FALSE)</f>
        <v>0</v>
      </c>
      <c r="Q56">
        <f>VLOOKUP(Misfit[[#This Row],[Shortname]], Comp[], 13, FALSE)</f>
        <v>2</v>
      </c>
      <c r="R56">
        <f>VLOOKUP(Misfit[[#This Row],[Shortname]], Comp[], 14, FALSE)</f>
        <v>0</v>
      </c>
      <c r="S56">
        <f>VLOOKUP(Misfit[[#This Row],[Shortname]], Comp[], 15, FALSE)</f>
        <v>0</v>
      </c>
      <c r="T56">
        <f>VLOOKUP(Misfit[[#This Row],[Shortname]], Comp[], 16, FALSE)</f>
        <v>0</v>
      </c>
      <c r="U56">
        <f>VLOOKUP(Misfit[[#This Row],[Shortname]], Comp[], 17, FALSE)</f>
        <v>0</v>
      </c>
      <c r="V56">
        <f>VLOOKUP(Misfit[[#This Row],[Shortname]], Comp[], 18, FALSE)</f>
        <v>0</v>
      </c>
      <c r="W56">
        <f>VLOOKUP(Misfit[[#This Row],[Shortname]], Comp[], 19, FALSE)</f>
        <v>0</v>
      </c>
      <c r="X56">
        <f>VLOOKUP(Misfit[[#This Row],[Shortname]], Comp[], 20, FALSE)</f>
        <v>0</v>
      </c>
      <c r="Y56">
        <f>VLOOKUP(Misfit[[#This Row],[Shortname]], Comp[], 21, FALSE)</f>
        <v>0</v>
      </c>
      <c r="Z56">
        <f>VLOOKUP(Misfit[[#This Row],[Shortname]], Comp[], 22, FALSE)</f>
        <v>0</v>
      </c>
      <c r="AA56">
        <f>VLOOKUP(Misfit[[#This Row],[Shortname]], Comp[], 23, FALSE)</f>
        <v>0</v>
      </c>
      <c r="AB56">
        <f>VLOOKUP(Misfit[[#This Row],[Shortname]], Comp[], 24, FALSE)</f>
        <v>0</v>
      </c>
      <c r="AC56">
        <f>VLOOKUP(Misfit[[#This Row],[Shortname]], Comp[], 25, FALSE)</f>
        <v>0</v>
      </c>
      <c r="AD56">
        <f>VLOOKUP(Misfit[[#This Row],[Shortname]], Comp[], 26, FALSE)</f>
        <v>0</v>
      </c>
      <c r="AE56">
        <f>VLOOKUP(Misfit[[#This Row],[Shortname]], Comp[], 27, FALSE)</f>
        <v>0</v>
      </c>
      <c r="AF56">
        <f>VLOOKUP(Misfit[[#This Row],[Shortname]], Comp[], 28, FALSE)</f>
        <v>0</v>
      </c>
      <c r="AG56">
        <f>VLOOKUP(Misfit[[#This Row],[Shortname]], Comp[], 29, FALSE)</f>
        <v>0</v>
      </c>
      <c r="AH56">
        <f>VLOOKUP(Misfit[[#This Row],[Shortname]], Comp[], 30, FALSE)</f>
        <v>0</v>
      </c>
      <c r="AI56">
        <f>VLOOKUP(Misfit[[#This Row],[Shortname]], Comp[], 31, FALSE)</f>
        <v>0</v>
      </c>
    </row>
    <row r="57" spans="1:35" x14ac:dyDescent="0.3">
      <c r="A57" t="s">
        <v>1376</v>
      </c>
      <c r="B57" t="s">
        <v>1377</v>
      </c>
      <c r="C57" s="5" t="s">
        <v>1351</v>
      </c>
      <c r="D57" s="5">
        <v>900</v>
      </c>
      <c r="E57">
        <v>25</v>
      </c>
      <c r="F57">
        <v>0.35983999999999999</v>
      </c>
      <c r="G57">
        <v>0.35868</v>
      </c>
      <c r="H57" s="40">
        <f t="shared" si="1"/>
        <v>3.2288593219395264E-3</v>
      </c>
      <c r="J57">
        <f>VLOOKUP(Misfit[[#This Row],[Shortname]], Comp[], 6, FALSE)</f>
        <v>174</v>
      </c>
      <c r="K57">
        <f>VLOOKUP(Misfit[[#This Row],[Shortname]], Comp[], 7, FALSE)</f>
        <v>81</v>
      </c>
      <c r="L57">
        <f>VLOOKUP(Misfit[[#This Row],[Shortname]], Comp[], 8, FALSE)</f>
        <v>0</v>
      </c>
      <c r="M57">
        <f>VLOOKUP(Misfit[[#This Row],[Shortname]], Comp[], 9, FALSE)</f>
        <v>9</v>
      </c>
      <c r="N57">
        <f>VLOOKUP(Misfit[[#This Row],[Shortname]], Comp[], 10, FALSE)</f>
        <v>0</v>
      </c>
      <c r="O57">
        <f>VLOOKUP(Misfit[[#This Row],[Shortname]], Comp[], 11, FALSE)</f>
        <v>8</v>
      </c>
      <c r="P57">
        <f>VLOOKUP(Misfit[[#This Row],[Shortname]], Comp[],12, FALSE)</f>
        <v>0</v>
      </c>
      <c r="Q57">
        <f>VLOOKUP(Misfit[[#This Row],[Shortname]], Comp[], 13, FALSE)</f>
        <v>2</v>
      </c>
      <c r="R57">
        <f>VLOOKUP(Misfit[[#This Row],[Shortname]], Comp[], 14, FALSE)</f>
        <v>0</v>
      </c>
      <c r="S57">
        <f>VLOOKUP(Misfit[[#This Row],[Shortname]], Comp[], 15, FALSE)</f>
        <v>0</v>
      </c>
      <c r="T57">
        <f>VLOOKUP(Misfit[[#This Row],[Shortname]], Comp[], 16, FALSE)</f>
        <v>0</v>
      </c>
      <c r="U57">
        <f>VLOOKUP(Misfit[[#This Row],[Shortname]], Comp[], 17, FALSE)</f>
        <v>0</v>
      </c>
      <c r="V57">
        <f>VLOOKUP(Misfit[[#This Row],[Shortname]], Comp[], 18, FALSE)</f>
        <v>0</v>
      </c>
      <c r="W57">
        <f>VLOOKUP(Misfit[[#This Row],[Shortname]], Comp[], 19, FALSE)</f>
        <v>0</v>
      </c>
      <c r="X57">
        <f>VLOOKUP(Misfit[[#This Row],[Shortname]], Comp[], 20, FALSE)</f>
        <v>0</v>
      </c>
      <c r="Y57">
        <f>VLOOKUP(Misfit[[#This Row],[Shortname]], Comp[], 21, FALSE)</f>
        <v>0</v>
      </c>
      <c r="Z57">
        <f>VLOOKUP(Misfit[[#This Row],[Shortname]], Comp[], 22, FALSE)</f>
        <v>0</v>
      </c>
      <c r="AA57">
        <f>VLOOKUP(Misfit[[#This Row],[Shortname]], Comp[], 23, FALSE)</f>
        <v>0</v>
      </c>
      <c r="AB57">
        <f>VLOOKUP(Misfit[[#This Row],[Shortname]], Comp[], 24, FALSE)</f>
        <v>0</v>
      </c>
      <c r="AC57">
        <f>VLOOKUP(Misfit[[#This Row],[Shortname]], Comp[], 25, FALSE)</f>
        <v>0</v>
      </c>
      <c r="AD57">
        <f>VLOOKUP(Misfit[[#This Row],[Shortname]], Comp[], 26, FALSE)</f>
        <v>0</v>
      </c>
      <c r="AE57">
        <f>VLOOKUP(Misfit[[#This Row],[Shortname]], Comp[], 27, FALSE)</f>
        <v>0</v>
      </c>
      <c r="AF57">
        <f>VLOOKUP(Misfit[[#This Row],[Shortname]], Comp[], 28, FALSE)</f>
        <v>0</v>
      </c>
      <c r="AG57">
        <f>VLOOKUP(Misfit[[#This Row],[Shortname]], Comp[], 29, FALSE)</f>
        <v>0</v>
      </c>
      <c r="AH57">
        <f>VLOOKUP(Misfit[[#This Row],[Shortname]], Comp[], 30, FALSE)</f>
        <v>0</v>
      </c>
      <c r="AI57">
        <f>VLOOKUP(Misfit[[#This Row],[Shortname]], Comp[], 31, FALSE)</f>
        <v>0</v>
      </c>
    </row>
    <row r="58" spans="1:35" x14ac:dyDescent="0.3">
      <c r="A58" t="s">
        <v>1381</v>
      </c>
      <c r="B58" t="s">
        <v>1383</v>
      </c>
      <c r="C58" s="5" t="s">
        <v>1351</v>
      </c>
      <c r="D58" s="5">
        <v>900</v>
      </c>
      <c r="E58">
        <v>25</v>
      </c>
      <c r="F58">
        <v>0.35930000000000001</v>
      </c>
      <c r="G58">
        <v>0.35692000000000002</v>
      </c>
      <c r="H58" s="40">
        <f t="shared" si="1"/>
        <v>6.6460026248917736E-3</v>
      </c>
      <c r="J58">
        <f>VLOOKUP(Misfit[[#This Row],[Shortname]], Comp[], 6, FALSE)</f>
        <v>175</v>
      </c>
      <c r="K58">
        <f>VLOOKUP(Misfit[[#This Row],[Shortname]], Comp[], 7, FALSE)</f>
        <v>81</v>
      </c>
      <c r="L58">
        <f>VLOOKUP(Misfit[[#This Row],[Shortname]], Comp[], 8, FALSE)</f>
        <v>0</v>
      </c>
      <c r="M58">
        <f>VLOOKUP(Misfit[[#This Row],[Shortname]], Comp[], 9, FALSE)</f>
        <v>9</v>
      </c>
      <c r="N58">
        <f>VLOOKUP(Misfit[[#This Row],[Shortname]], Comp[], 10, FALSE)</f>
        <v>0</v>
      </c>
      <c r="O58">
        <f>VLOOKUP(Misfit[[#This Row],[Shortname]], Comp[], 11, FALSE)</f>
        <v>10</v>
      </c>
      <c r="P58">
        <f>VLOOKUP(Misfit[[#This Row],[Shortname]], Comp[],12, FALSE)</f>
        <v>0</v>
      </c>
      <c r="Q58">
        <f>VLOOKUP(Misfit[[#This Row],[Shortname]], Comp[], 13, FALSE)</f>
        <v>0</v>
      </c>
      <c r="R58">
        <f>VLOOKUP(Misfit[[#This Row],[Shortname]], Comp[], 14, FALSE)</f>
        <v>0</v>
      </c>
      <c r="S58">
        <f>VLOOKUP(Misfit[[#This Row],[Shortname]], Comp[], 15, FALSE)</f>
        <v>0</v>
      </c>
      <c r="T58">
        <f>VLOOKUP(Misfit[[#This Row],[Shortname]], Comp[], 16, FALSE)</f>
        <v>0</v>
      </c>
      <c r="U58">
        <f>VLOOKUP(Misfit[[#This Row],[Shortname]], Comp[], 17, FALSE)</f>
        <v>0</v>
      </c>
      <c r="V58">
        <f>VLOOKUP(Misfit[[#This Row],[Shortname]], Comp[], 18, FALSE)</f>
        <v>0</v>
      </c>
      <c r="W58">
        <f>VLOOKUP(Misfit[[#This Row],[Shortname]], Comp[], 19, FALSE)</f>
        <v>0</v>
      </c>
      <c r="X58">
        <f>VLOOKUP(Misfit[[#This Row],[Shortname]], Comp[], 20, FALSE)</f>
        <v>0</v>
      </c>
      <c r="Y58">
        <f>VLOOKUP(Misfit[[#This Row],[Shortname]], Comp[], 21, FALSE)</f>
        <v>0</v>
      </c>
      <c r="Z58">
        <f>VLOOKUP(Misfit[[#This Row],[Shortname]], Comp[], 22, FALSE)</f>
        <v>0</v>
      </c>
      <c r="AA58">
        <f>VLOOKUP(Misfit[[#This Row],[Shortname]], Comp[], 23, FALSE)</f>
        <v>0</v>
      </c>
      <c r="AB58">
        <f>VLOOKUP(Misfit[[#This Row],[Shortname]], Comp[], 24, FALSE)</f>
        <v>0</v>
      </c>
      <c r="AC58">
        <f>VLOOKUP(Misfit[[#This Row],[Shortname]], Comp[], 25, FALSE)</f>
        <v>0</v>
      </c>
      <c r="AD58">
        <f>VLOOKUP(Misfit[[#This Row],[Shortname]], Comp[], 26, FALSE)</f>
        <v>0</v>
      </c>
      <c r="AE58">
        <f>VLOOKUP(Misfit[[#This Row],[Shortname]], Comp[], 27, FALSE)</f>
        <v>0</v>
      </c>
      <c r="AF58">
        <f>VLOOKUP(Misfit[[#This Row],[Shortname]], Comp[], 28, FALSE)</f>
        <v>0</v>
      </c>
      <c r="AG58">
        <f>VLOOKUP(Misfit[[#This Row],[Shortname]], Comp[], 29, FALSE)</f>
        <v>0</v>
      </c>
      <c r="AH58">
        <f>VLOOKUP(Misfit[[#This Row],[Shortname]], Comp[], 30, FALSE)</f>
        <v>0</v>
      </c>
      <c r="AI58">
        <f>VLOOKUP(Misfit[[#This Row],[Shortname]], Comp[], 31, FALSE)</f>
        <v>0</v>
      </c>
    </row>
    <row r="59" spans="1:35" x14ac:dyDescent="0.3">
      <c r="A59" t="s">
        <v>1388</v>
      </c>
      <c r="B59" t="s">
        <v>1390</v>
      </c>
      <c r="C59" s="5" t="s">
        <v>1351</v>
      </c>
      <c r="D59" s="5">
        <v>900</v>
      </c>
      <c r="E59">
        <v>25</v>
      </c>
      <c r="F59">
        <v>0.36059000000000002</v>
      </c>
      <c r="G59">
        <v>0.35747000000000001</v>
      </c>
      <c r="H59" s="40">
        <f t="shared" si="1"/>
        <v>8.6900816087792428E-3</v>
      </c>
      <c r="J59">
        <f>VLOOKUP(Misfit[[#This Row],[Shortname]], Comp[], 6, FALSE)</f>
        <v>176</v>
      </c>
      <c r="K59">
        <f>VLOOKUP(Misfit[[#This Row],[Shortname]], Comp[], 7, FALSE)</f>
        <v>77</v>
      </c>
      <c r="L59">
        <f>VLOOKUP(Misfit[[#This Row],[Shortname]], Comp[], 8, FALSE)</f>
        <v>0</v>
      </c>
      <c r="M59">
        <f>VLOOKUP(Misfit[[#This Row],[Shortname]], Comp[], 9, FALSE)</f>
        <v>9</v>
      </c>
      <c r="N59">
        <f>VLOOKUP(Misfit[[#This Row],[Shortname]], Comp[], 10, FALSE)</f>
        <v>0</v>
      </c>
      <c r="O59">
        <f>VLOOKUP(Misfit[[#This Row],[Shortname]], Comp[], 11, FALSE)</f>
        <v>10</v>
      </c>
      <c r="P59">
        <f>VLOOKUP(Misfit[[#This Row],[Shortname]], Comp[],12, FALSE)</f>
        <v>0</v>
      </c>
      <c r="Q59">
        <f>VLOOKUP(Misfit[[#This Row],[Shortname]], Comp[], 13, FALSE)</f>
        <v>4</v>
      </c>
      <c r="R59">
        <f>VLOOKUP(Misfit[[#This Row],[Shortname]], Comp[], 14, FALSE)</f>
        <v>0</v>
      </c>
      <c r="S59">
        <f>VLOOKUP(Misfit[[#This Row],[Shortname]], Comp[], 15, FALSE)</f>
        <v>0</v>
      </c>
      <c r="T59">
        <f>VLOOKUP(Misfit[[#This Row],[Shortname]], Comp[], 16, FALSE)</f>
        <v>0</v>
      </c>
      <c r="U59">
        <f>VLOOKUP(Misfit[[#This Row],[Shortname]], Comp[], 17, FALSE)</f>
        <v>0</v>
      </c>
      <c r="V59">
        <f>VLOOKUP(Misfit[[#This Row],[Shortname]], Comp[], 18, FALSE)</f>
        <v>0</v>
      </c>
      <c r="W59">
        <f>VLOOKUP(Misfit[[#This Row],[Shortname]], Comp[], 19, FALSE)</f>
        <v>0</v>
      </c>
      <c r="X59">
        <f>VLOOKUP(Misfit[[#This Row],[Shortname]], Comp[], 20, FALSE)</f>
        <v>0</v>
      </c>
      <c r="Y59">
        <f>VLOOKUP(Misfit[[#This Row],[Shortname]], Comp[], 21, FALSE)</f>
        <v>0</v>
      </c>
      <c r="Z59">
        <f>VLOOKUP(Misfit[[#This Row],[Shortname]], Comp[], 22, FALSE)</f>
        <v>0</v>
      </c>
      <c r="AA59">
        <f>VLOOKUP(Misfit[[#This Row],[Shortname]], Comp[], 23, FALSE)</f>
        <v>0</v>
      </c>
      <c r="AB59">
        <f>VLOOKUP(Misfit[[#This Row],[Shortname]], Comp[], 24, FALSE)</f>
        <v>0</v>
      </c>
      <c r="AC59">
        <f>VLOOKUP(Misfit[[#This Row],[Shortname]], Comp[], 25, FALSE)</f>
        <v>0</v>
      </c>
      <c r="AD59">
        <f>VLOOKUP(Misfit[[#This Row],[Shortname]], Comp[], 26, FALSE)</f>
        <v>0</v>
      </c>
      <c r="AE59">
        <f>VLOOKUP(Misfit[[#This Row],[Shortname]], Comp[], 27, FALSE)</f>
        <v>0</v>
      </c>
      <c r="AF59">
        <f>VLOOKUP(Misfit[[#This Row],[Shortname]], Comp[], 28, FALSE)</f>
        <v>0</v>
      </c>
      <c r="AG59">
        <f>VLOOKUP(Misfit[[#This Row],[Shortname]], Comp[], 29, FALSE)</f>
        <v>0</v>
      </c>
      <c r="AH59">
        <f>VLOOKUP(Misfit[[#This Row],[Shortname]], Comp[], 30, FALSE)</f>
        <v>0</v>
      </c>
      <c r="AI59">
        <f>VLOOKUP(Misfit[[#This Row],[Shortname]], Comp[], 31, FALSE)</f>
        <v>0</v>
      </c>
    </row>
    <row r="60" spans="1:35" x14ac:dyDescent="0.3">
      <c r="A60" t="s">
        <v>1394</v>
      </c>
      <c r="B60" t="s">
        <v>1396</v>
      </c>
      <c r="C60" s="5" t="s">
        <v>1351</v>
      </c>
      <c r="D60" s="5">
        <v>900</v>
      </c>
      <c r="E60">
        <v>25</v>
      </c>
      <c r="F60">
        <v>0.36009000000000002</v>
      </c>
      <c r="G60">
        <v>0.35593999999999998</v>
      </c>
      <c r="H60" s="40">
        <f t="shared" si="1"/>
        <v>1.1591693085485365E-2</v>
      </c>
      <c r="J60">
        <f>VLOOKUP(Misfit[[#This Row],[Shortname]], Comp[], 6, FALSE)</f>
        <v>177</v>
      </c>
      <c r="K60">
        <f>VLOOKUP(Misfit[[#This Row],[Shortname]], Comp[], 7, FALSE)</f>
        <v>79</v>
      </c>
      <c r="L60">
        <f>VLOOKUP(Misfit[[#This Row],[Shortname]], Comp[], 8, FALSE)</f>
        <v>0</v>
      </c>
      <c r="M60">
        <f>VLOOKUP(Misfit[[#This Row],[Shortname]], Comp[], 9, FALSE)</f>
        <v>11</v>
      </c>
      <c r="N60">
        <f>VLOOKUP(Misfit[[#This Row],[Shortname]], Comp[], 10, FALSE)</f>
        <v>0</v>
      </c>
      <c r="O60">
        <f>VLOOKUP(Misfit[[#This Row],[Shortname]], Comp[], 11, FALSE)</f>
        <v>8</v>
      </c>
      <c r="P60">
        <f>VLOOKUP(Misfit[[#This Row],[Shortname]], Comp[],12, FALSE)</f>
        <v>0</v>
      </c>
      <c r="Q60">
        <f>VLOOKUP(Misfit[[#This Row],[Shortname]], Comp[], 13, FALSE)</f>
        <v>2</v>
      </c>
      <c r="R60">
        <f>VLOOKUP(Misfit[[#This Row],[Shortname]], Comp[], 14, FALSE)</f>
        <v>0</v>
      </c>
      <c r="S60">
        <f>VLOOKUP(Misfit[[#This Row],[Shortname]], Comp[], 15, FALSE)</f>
        <v>0</v>
      </c>
      <c r="T60">
        <f>VLOOKUP(Misfit[[#This Row],[Shortname]], Comp[], 16, FALSE)</f>
        <v>0</v>
      </c>
      <c r="U60">
        <f>VLOOKUP(Misfit[[#This Row],[Shortname]], Comp[], 17, FALSE)</f>
        <v>0</v>
      </c>
      <c r="V60">
        <f>VLOOKUP(Misfit[[#This Row],[Shortname]], Comp[], 18, FALSE)</f>
        <v>0</v>
      </c>
      <c r="W60">
        <f>VLOOKUP(Misfit[[#This Row],[Shortname]], Comp[], 19, FALSE)</f>
        <v>0</v>
      </c>
      <c r="X60">
        <f>VLOOKUP(Misfit[[#This Row],[Shortname]], Comp[], 20, FALSE)</f>
        <v>0</v>
      </c>
      <c r="Y60">
        <f>VLOOKUP(Misfit[[#This Row],[Shortname]], Comp[], 21, FALSE)</f>
        <v>0</v>
      </c>
      <c r="Z60">
        <f>VLOOKUP(Misfit[[#This Row],[Shortname]], Comp[], 22, FALSE)</f>
        <v>0</v>
      </c>
      <c r="AA60">
        <f>VLOOKUP(Misfit[[#This Row],[Shortname]], Comp[], 23, FALSE)</f>
        <v>0</v>
      </c>
      <c r="AB60">
        <f>VLOOKUP(Misfit[[#This Row],[Shortname]], Comp[], 24, FALSE)</f>
        <v>0</v>
      </c>
      <c r="AC60">
        <f>VLOOKUP(Misfit[[#This Row],[Shortname]], Comp[], 25, FALSE)</f>
        <v>0</v>
      </c>
      <c r="AD60">
        <f>VLOOKUP(Misfit[[#This Row],[Shortname]], Comp[], 26, FALSE)</f>
        <v>0</v>
      </c>
      <c r="AE60">
        <f>VLOOKUP(Misfit[[#This Row],[Shortname]], Comp[], 27, FALSE)</f>
        <v>0</v>
      </c>
      <c r="AF60">
        <f>VLOOKUP(Misfit[[#This Row],[Shortname]], Comp[], 28, FALSE)</f>
        <v>0</v>
      </c>
      <c r="AG60">
        <f>VLOOKUP(Misfit[[#This Row],[Shortname]], Comp[], 29, FALSE)</f>
        <v>0</v>
      </c>
      <c r="AH60">
        <f>VLOOKUP(Misfit[[#This Row],[Shortname]], Comp[], 30, FALSE)</f>
        <v>0</v>
      </c>
      <c r="AI60">
        <f>VLOOKUP(Misfit[[#This Row],[Shortname]], Comp[], 31, FALSE)</f>
        <v>0</v>
      </c>
    </row>
    <row r="61" spans="1:35" x14ac:dyDescent="0.3">
      <c r="A61" t="s">
        <v>1400</v>
      </c>
      <c r="B61" t="s">
        <v>1402</v>
      </c>
      <c r="C61" s="5" t="s">
        <v>1351</v>
      </c>
      <c r="D61" s="5">
        <v>900</v>
      </c>
      <c r="E61">
        <v>25</v>
      </c>
      <c r="F61">
        <v>0.36022999999999999</v>
      </c>
      <c r="G61">
        <v>0.35779</v>
      </c>
      <c r="H61" s="40">
        <f t="shared" si="1"/>
        <v>6.7964680649564013E-3</v>
      </c>
      <c r="J61">
        <f>VLOOKUP(Misfit[[#This Row],[Shortname]], Comp[], 6, FALSE)</f>
        <v>178</v>
      </c>
      <c r="K61">
        <f>VLOOKUP(Misfit[[#This Row],[Shortname]], Comp[], 7, FALSE)</f>
        <v>79</v>
      </c>
      <c r="L61">
        <f>VLOOKUP(Misfit[[#This Row],[Shortname]], Comp[], 8, FALSE)</f>
        <v>0</v>
      </c>
      <c r="M61">
        <f>VLOOKUP(Misfit[[#This Row],[Shortname]], Comp[], 9, FALSE)</f>
        <v>7</v>
      </c>
      <c r="N61">
        <f>VLOOKUP(Misfit[[#This Row],[Shortname]], Comp[], 10, FALSE)</f>
        <v>0</v>
      </c>
      <c r="O61">
        <f>VLOOKUP(Misfit[[#This Row],[Shortname]], Comp[], 11, FALSE)</f>
        <v>12</v>
      </c>
      <c r="P61">
        <f>VLOOKUP(Misfit[[#This Row],[Shortname]], Comp[],12, FALSE)</f>
        <v>0</v>
      </c>
      <c r="Q61">
        <f>VLOOKUP(Misfit[[#This Row],[Shortname]], Comp[], 13, FALSE)</f>
        <v>2</v>
      </c>
      <c r="R61">
        <f>VLOOKUP(Misfit[[#This Row],[Shortname]], Comp[], 14, FALSE)</f>
        <v>0</v>
      </c>
      <c r="S61">
        <f>VLOOKUP(Misfit[[#This Row],[Shortname]], Comp[], 15, FALSE)</f>
        <v>0</v>
      </c>
      <c r="T61">
        <f>VLOOKUP(Misfit[[#This Row],[Shortname]], Comp[], 16, FALSE)</f>
        <v>0</v>
      </c>
      <c r="U61">
        <f>VLOOKUP(Misfit[[#This Row],[Shortname]], Comp[], 17, FALSE)</f>
        <v>0</v>
      </c>
      <c r="V61">
        <f>VLOOKUP(Misfit[[#This Row],[Shortname]], Comp[], 18, FALSE)</f>
        <v>0</v>
      </c>
      <c r="W61">
        <f>VLOOKUP(Misfit[[#This Row],[Shortname]], Comp[], 19, FALSE)</f>
        <v>0</v>
      </c>
      <c r="X61">
        <f>VLOOKUP(Misfit[[#This Row],[Shortname]], Comp[], 20, FALSE)</f>
        <v>0</v>
      </c>
      <c r="Y61">
        <f>VLOOKUP(Misfit[[#This Row],[Shortname]], Comp[], 21, FALSE)</f>
        <v>0</v>
      </c>
      <c r="Z61">
        <f>VLOOKUP(Misfit[[#This Row],[Shortname]], Comp[], 22, FALSE)</f>
        <v>0</v>
      </c>
      <c r="AA61">
        <f>VLOOKUP(Misfit[[#This Row],[Shortname]], Comp[], 23, FALSE)</f>
        <v>0</v>
      </c>
      <c r="AB61">
        <f>VLOOKUP(Misfit[[#This Row],[Shortname]], Comp[], 24, FALSE)</f>
        <v>0</v>
      </c>
      <c r="AC61">
        <f>VLOOKUP(Misfit[[#This Row],[Shortname]], Comp[], 25, FALSE)</f>
        <v>0</v>
      </c>
      <c r="AD61">
        <f>VLOOKUP(Misfit[[#This Row],[Shortname]], Comp[], 26, FALSE)</f>
        <v>0</v>
      </c>
      <c r="AE61">
        <f>VLOOKUP(Misfit[[#This Row],[Shortname]], Comp[], 27, FALSE)</f>
        <v>0</v>
      </c>
      <c r="AF61">
        <f>VLOOKUP(Misfit[[#This Row],[Shortname]], Comp[], 28, FALSE)</f>
        <v>0</v>
      </c>
      <c r="AG61">
        <f>VLOOKUP(Misfit[[#This Row],[Shortname]], Comp[], 29, FALSE)</f>
        <v>0</v>
      </c>
      <c r="AH61">
        <f>VLOOKUP(Misfit[[#This Row],[Shortname]], Comp[], 30, FALSE)</f>
        <v>0</v>
      </c>
      <c r="AI61">
        <f>VLOOKUP(Misfit[[#This Row],[Shortname]], Comp[], 31, FALSE)</f>
        <v>0</v>
      </c>
    </row>
    <row r="62" spans="1:35" x14ac:dyDescent="0.3">
      <c r="A62" t="s">
        <v>1406</v>
      </c>
      <c r="B62" t="s">
        <v>1408</v>
      </c>
      <c r="C62" s="5" t="s">
        <v>1351</v>
      </c>
      <c r="D62" s="5">
        <v>900</v>
      </c>
      <c r="E62">
        <v>25</v>
      </c>
      <c r="F62">
        <v>0.35966999999999999</v>
      </c>
      <c r="G62">
        <v>0.35732000000000003</v>
      </c>
      <c r="H62" s="40">
        <f t="shared" si="1"/>
        <v>6.5551820806425843E-3</v>
      </c>
      <c r="J62">
        <f>VLOOKUP(Misfit[[#This Row],[Shortname]], Comp[], 6, FALSE)</f>
        <v>179</v>
      </c>
      <c r="K62">
        <f>VLOOKUP(Misfit[[#This Row],[Shortname]], Comp[], 7, FALSE)</f>
        <v>79</v>
      </c>
      <c r="L62">
        <f>VLOOKUP(Misfit[[#This Row],[Shortname]], Comp[], 8, FALSE)</f>
        <v>0</v>
      </c>
      <c r="M62">
        <f>VLOOKUP(Misfit[[#This Row],[Shortname]], Comp[], 9, FALSE)</f>
        <v>11</v>
      </c>
      <c r="N62">
        <f>VLOOKUP(Misfit[[#This Row],[Shortname]], Comp[], 10, FALSE)</f>
        <v>0</v>
      </c>
      <c r="O62">
        <f>VLOOKUP(Misfit[[#This Row],[Shortname]], Comp[], 11, FALSE)</f>
        <v>10</v>
      </c>
      <c r="P62">
        <f>VLOOKUP(Misfit[[#This Row],[Shortname]], Comp[],12, FALSE)</f>
        <v>0</v>
      </c>
      <c r="Q62">
        <f>VLOOKUP(Misfit[[#This Row],[Shortname]], Comp[], 13, FALSE)</f>
        <v>0</v>
      </c>
      <c r="R62">
        <f>VLOOKUP(Misfit[[#This Row],[Shortname]], Comp[], 14, FALSE)</f>
        <v>0</v>
      </c>
      <c r="S62">
        <f>VLOOKUP(Misfit[[#This Row],[Shortname]], Comp[], 15, FALSE)</f>
        <v>0</v>
      </c>
      <c r="T62">
        <f>VLOOKUP(Misfit[[#This Row],[Shortname]], Comp[], 16, FALSE)</f>
        <v>0</v>
      </c>
      <c r="U62">
        <f>VLOOKUP(Misfit[[#This Row],[Shortname]], Comp[], 17, FALSE)</f>
        <v>0</v>
      </c>
      <c r="V62">
        <f>VLOOKUP(Misfit[[#This Row],[Shortname]], Comp[], 18, FALSE)</f>
        <v>0</v>
      </c>
      <c r="W62">
        <f>VLOOKUP(Misfit[[#This Row],[Shortname]], Comp[], 19, FALSE)</f>
        <v>0</v>
      </c>
      <c r="X62">
        <f>VLOOKUP(Misfit[[#This Row],[Shortname]], Comp[], 20, FALSE)</f>
        <v>0</v>
      </c>
      <c r="Y62">
        <f>VLOOKUP(Misfit[[#This Row],[Shortname]], Comp[], 21, FALSE)</f>
        <v>0</v>
      </c>
      <c r="Z62">
        <f>VLOOKUP(Misfit[[#This Row],[Shortname]], Comp[], 22, FALSE)</f>
        <v>0</v>
      </c>
      <c r="AA62">
        <f>VLOOKUP(Misfit[[#This Row],[Shortname]], Comp[], 23, FALSE)</f>
        <v>0</v>
      </c>
      <c r="AB62">
        <f>VLOOKUP(Misfit[[#This Row],[Shortname]], Comp[], 24, FALSE)</f>
        <v>0</v>
      </c>
      <c r="AC62">
        <f>VLOOKUP(Misfit[[#This Row],[Shortname]], Comp[], 25, FALSE)</f>
        <v>0</v>
      </c>
      <c r="AD62">
        <f>VLOOKUP(Misfit[[#This Row],[Shortname]], Comp[], 26, FALSE)</f>
        <v>0</v>
      </c>
      <c r="AE62">
        <f>VLOOKUP(Misfit[[#This Row],[Shortname]], Comp[], 27, FALSE)</f>
        <v>0</v>
      </c>
      <c r="AF62">
        <f>VLOOKUP(Misfit[[#This Row],[Shortname]], Comp[], 28, FALSE)</f>
        <v>0</v>
      </c>
      <c r="AG62">
        <f>VLOOKUP(Misfit[[#This Row],[Shortname]], Comp[], 29, FALSE)</f>
        <v>0</v>
      </c>
      <c r="AH62">
        <f>VLOOKUP(Misfit[[#This Row],[Shortname]], Comp[], 30, FALSE)</f>
        <v>0</v>
      </c>
      <c r="AI62">
        <f>VLOOKUP(Misfit[[#This Row],[Shortname]], Comp[], 31, FALSE)</f>
        <v>0</v>
      </c>
    </row>
    <row r="63" spans="1:35" x14ac:dyDescent="0.3">
      <c r="A63" t="s">
        <v>1519</v>
      </c>
      <c r="B63" t="s">
        <v>1521</v>
      </c>
      <c r="C63" s="6" t="s">
        <v>1513</v>
      </c>
      <c r="D63" s="6">
        <v>1250</v>
      </c>
      <c r="E63">
        <v>25</v>
      </c>
      <c r="H63" s="40">
        <v>2.3999999999999998E-3</v>
      </c>
      <c r="I63" t="s">
        <v>6604</v>
      </c>
      <c r="J63">
        <f>VLOOKUP(Misfit[[#This Row],[Shortname]], Comp[], 6, FALSE)</f>
        <v>194</v>
      </c>
      <c r="K63">
        <f>VLOOKUP(Misfit[[#This Row],[Shortname]], Comp[], 7, FALSE)</f>
        <v>78.63</v>
      </c>
      <c r="L63">
        <f>VLOOKUP(Misfit[[#This Row],[Shortname]], Comp[], 8, FALSE)</f>
        <v>0</v>
      </c>
      <c r="M63">
        <f>VLOOKUP(Misfit[[#This Row],[Shortname]], Comp[], 9, FALSE)</f>
        <v>13.66</v>
      </c>
      <c r="N63">
        <f>VLOOKUP(Misfit[[#This Row],[Shortname]], Comp[], 10, FALSE)</f>
        <v>0</v>
      </c>
      <c r="O63">
        <f>VLOOKUP(Misfit[[#This Row],[Shortname]], Comp[], 11, FALSE)</f>
        <v>7.71</v>
      </c>
      <c r="P63">
        <f>VLOOKUP(Misfit[[#This Row],[Shortname]], Comp[],12, FALSE)</f>
        <v>0</v>
      </c>
      <c r="Q63">
        <f>VLOOKUP(Misfit[[#This Row],[Shortname]], Comp[], 13, FALSE)</f>
        <v>0</v>
      </c>
      <c r="R63">
        <f>VLOOKUP(Misfit[[#This Row],[Shortname]], Comp[], 14, FALSE)</f>
        <v>0</v>
      </c>
      <c r="S63">
        <f>VLOOKUP(Misfit[[#This Row],[Shortname]], Comp[], 15, FALSE)</f>
        <v>0</v>
      </c>
      <c r="T63">
        <f>VLOOKUP(Misfit[[#This Row],[Shortname]], Comp[], 16, FALSE)</f>
        <v>0</v>
      </c>
      <c r="U63">
        <f>VLOOKUP(Misfit[[#This Row],[Shortname]], Comp[], 17, FALSE)</f>
        <v>0</v>
      </c>
      <c r="V63">
        <f>VLOOKUP(Misfit[[#This Row],[Shortname]], Comp[], 18, FALSE)</f>
        <v>0</v>
      </c>
      <c r="W63">
        <f>VLOOKUP(Misfit[[#This Row],[Shortname]], Comp[], 19, FALSE)</f>
        <v>0</v>
      </c>
      <c r="X63">
        <f>VLOOKUP(Misfit[[#This Row],[Shortname]], Comp[], 20, FALSE)</f>
        <v>0</v>
      </c>
      <c r="Y63">
        <f>VLOOKUP(Misfit[[#This Row],[Shortname]], Comp[], 21, FALSE)</f>
        <v>0</v>
      </c>
      <c r="Z63">
        <f>VLOOKUP(Misfit[[#This Row],[Shortname]], Comp[], 22, FALSE)</f>
        <v>0</v>
      </c>
      <c r="AA63">
        <f>VLOOKUP(Misfit[[#This Row],[Shortname]], Comp[], 23, FALSE)</f>
        <v>0</v>
      </c>
      <c r="AB63">
        <f>VLOOKUP(Misfit[[#This Row],[Shortname]], Comp[], 24, FALSE)</f>
        <v>0</v>
      </c>
      <c r="AC63">
        <f>VLOOKUP(Misfit[[#This Row],[Shortname]], Comp[], 25, FALSE)</f>
        <v>0</v>
      </c>
      <c r="AD63">
        <f>VLOOKUP(Misfit[[#This Row],[Shortname]], Comp[], 26, FALSE)</f>
        <v>0</v>
      </c>
      <c r="AE63">
        <f>VLOOKUP(Misfit[[#This Row],[Shortname]], Comp[], 27, FALSE)</f>
        <v>0</v>
      </c>
      <c r="AF63">
        <f>VLOOKUP(Misfit[[#This Row],[Shortname]], Comp[], 28, FALSE)</f>
        <v>0</v>
      </c>
      <c r="AG63">
        <f>VLOOKUP(Misfit[[#This Row],[Shortname]], Comp[], 29, FALSE)</f>
        <v>0</v>
      </c>
      <c r="AH63">
        <f>VLOOKUP(Misfit[[#This Row],[Shortname]], Comp[], 30, FALSE)</f>
        <v>0</v>
      </c>
      <c r="AI63">
        <f>VLOOKUP(Misfit[[#This Row],[Shortname]], Comp[], 31, FALSE)</f>
        <v>0</v>
      </c>
    </row>
    <row r="64" spans="1:35" x14ac:dyDescent="0.3">
      <c r="A64" t="s">
        <v>1519</v>
      </c>
      <c r="B64" t="s">
        <v>1521</v>
      </c>
      <c r="C64" s="6" t="s">
        <v>1513</v>
      </c>
      <c r="D64" s="6">
        <v>1300</v>
      </c>
      <c r="E64">
        <v>25</v>
      </c>
      <c r="H64" s="40">
        <v>2.2000000000000001E-3</v>
      </c>
      <c r="I64" t="s">
        <v>6605</v>
      </c>
      <c r="J64">
        <f>VLOOKUP(Misfit[[#This Row],[Shortname]], Comp[], 6, FALSE)</f>
        <v>194</v>
      </c>
      <c r="K64">
        <f>VLOOKUP(Misfit[[#This Row],[Shortname]], Comp[], 7, FALSE)</f>
        <v>78.63</v>
      </c>
      <c r="L64">
        <f>VLOOKUP(Misfit[[#This Row],[Shortname]], Comp[], 8, FALSE)</f>
        <v>0</v>
      </c>
      <c r="M64">
        <f>VLOOKUP(Misfit[[#This Row],[Shortname]], Comp[], 9, FALSE)</f>
        <v>13.66</v>
      </c>
      <c r="N64">
        <f>VLOOKUP(Misfit[[#This Row],[Shortname]], Comp[], 10, FALSE)</f>
        <v>0</v>
      </c>
      <c r="O64">
        <f>VLOOKUP(Misfit[[#This Row],[Shortname]], Comp[], 11, FALSE)</f>
        <v>7.71</v>
      </c>
      <c r="P64">
        <f>VLOOKUP(Misfit[[#This Row],[Shortname]], Comp[],12, FALSE)</f>
        <v>0</v>
      </c>
      <c r="Q64">
        <f>VLOOKUP(Misfit[[#This Row],[Shortname]], Comp[], 13, FALSE)</f>
        <v>0</v>
      </c>
      <c r="R64">
        <f>VLOOKUP(Misfit[[#This Row],[Shortname]], Comp[], 14, FALSE)</f>
        <v>0</v>
      </c>
      <c r="S64">
        <f>VLOOKUP(Misfit[[#This Row],[Shortname]], Comp[], 15, FALSE)</f>
        <v>0</v>
      </c>
      <c r="T64">
        <f>VLOOKUP(Misfit[[#This Row],[Shortname]], Comp[], 16, FALSE)</f>
        <v>0</v>
      </c>
      <c r="U64">
        <f>VLOOKUP(Misfit[[#This Row],[Shortname]], Comp[], 17, FALSE)</f>
        <v>0</v>
      </c>
      <c r="V64">
        <f>VLOOKUP(Misfit[[#This Row],[Shortname]], Comp[], 18, FALSE)</f>
        <v>0</v>
      </c>
      <c r="W64">
        <f>VLOOKUP(Misfit[[#This Row],[Shortname]], Comp[], 19, FALSE)</f>
        <v>0</v>
      </c>
      <c r="X64">
        <f>VLOOKUP(Misfit[[#This Row],[Shortname]], Comp[], 20, FALSE)</f>
        <v>0</v>
      </c>
      <c r="Y64">
        <f>VLOOKUP(Misfit[[#This Row],[Shortname]], Comp[], 21, FALSE)</f>
        <v>0</v>
      </c>
      <c r="Z64">
        <f>VLOOKUP(Misfit[[#This Row],[Shortname]], Comp[], 22, FALSE)</f>
        <v>0</v>
      </c>
      <c r="AA64">
        <f>VLOOKUP(Misfit[[#This Row],[Shortname]], Comp[], 23, FALSE)</f>
        <v>0</v>
      </c>
      <c r="AB64">
        <f>VLOOKUP(Misfit[[#This Row],[Shortname]], Comp[], 24, FALSE)</f>
        <v>0</v>
      </c>
      <c r="AC64">
        <f>VLOOKUP(Misfit[[#This Row],[Shortname]], Comp[], 25, FALSE)</f>
        <v>0</v>
      </c>
      <c r="AD64">
        <f>VLOOKUP(Misfit[[#This Row],[Shortname]], Comp[], 26, FALSE)</f>
        <v>0</v>
      </c>
      <c r="AE64">
        <f>VLOOKUP(Misfit[[#This Row],[Shortname]], Comp[], 27, FALSE)</f>
        <v>0</v>
      </c>
      <c r="AF64">
        <f>VLOOKUP(Misfit[[#This Row],[Shortname]], Comp[], 28, FALSE)</f>
        <v>0</v>
      </c>
      <c r="AG64">
        <f>VLOOKUP(Misfit[[#This Row],[Shortname]], Comp[], 29, FALSE)</f>
        <v>0</v>
      </c>
      <c r="AH64">
        <f>VLOOKUP(Misfit[[#This Row],[Shortname]], Comp[], 30, FALSE)</f>
        <v>0</v>
      </c>
      <c r="AI64">
        <f>VLOOKUP(Misfit[[#This Row],[Shortname]], Comp[], 31, FALSE)</f>
        <v>0</v>
      </c>
    </row>
    <row r="65" spans="1:35" x14ac:dyDescent="0.3">
      <c r="A65" t="s">
        <v>1510</v>
      </c>
      <c r="B65" t="s">
        <v>1512</v>
      </c>
      <c r="C65" s="6" t="s">
        <v>1513</v>
      </c>
      <c r="D65" s="6">
        <v>1250</v>
      </c>
      <c r="E65">
        <v>25</v>
      </c>
      <c r="H65" s="40">
        <v>2.3E-3</v>
      </c>
      <c r="I65" t="s">
        <v>6604</v>
      </c>
      <c r="J65">
        <f>VLOOKUP(Misfit[[#This Row],[Shortname]], Comp[], 6, FALSE)</f>
        <v>193</v>
      </c>
      <c r="K65">
        <f>VLOOKUP(Misfit[[#This Row],[Shortname]], Comp[], 7, FALSE)</f>
        <v>75.489999999999995</v>
      </c>
      <c r="L65">
        <f>VLOOKUP(Misfit[[#This Row],[Shortname]], Comp[], 8, FALSE)</f>
        <v>0</v>
      </c>
      <c r="M65">
        <f>VLOOKUP(Misfit[[#This Row],[Shortname]], Comp[], 9, FALSE)</f>
        <v>11.65</v>
      </c>
      <c r="N65">
        <f>VLOOKUP(Misfit[[#This Row],[Shortname]], Comp[], 10, FALSE)</f>
        <v>0</v>
      </c>
      <c r="O65">
        <f>VLOOKUP(Misfit[[#This Row],[Shortname]], Comp[], 11, FALSE)</f>
        <v>9.0299999999999994</v>
      </c>
      <c r="P65">
        <f>VLOOKUP(Misfit[[#This Row],[Shortname]], Comp[],12, FALSE)</f>
        <v>2.14</v>
      </c>
      <c r="Q65">
        <f>VLOOKUP(Misfit[[#This Row],[Shortname]], Comp[], 13, FALSE)</f>
        <v>1.69</v>
      </c>
      <c r="R65">
        <f>VLOOKUP(Misfit[[#This Row],[Shortname]], Comp[], 14, FALSE)</f>
        <v>0</v>
      </c>
      <c r="S65">
        <f>VLOOKUP(Misfit[[#This Row],[Shortname]], Comp[], 15, FALSE)</f>
        <v>0</v>
      </c>
      <c r="T65">
        <f>VLOOKUP(Misfit[[#This Row],[Shortname]], Comp[], 16, FALSE)</f>
        <v>0</v>
      </c>
      <c r="U65">
        <f>VLOOKUP(Misfit[[#This Row],[Shortname]], Comp[], 17, FALSE)</f>
        <v>0</v>
      </c>
      <c r="V65">
        <f>VLOOKUP(Misfit[[#This Row],[Shortname]], Comp[], 18, FALSE)</f>
        <v>0</v>
      </c>
      <c r="W65">
        <f>VLOOKUP(Misfit[[#This Row],[Shortname]], Comp[], 19, FALSE)</f>
        <v>0</v>
      </c>
      <c r="X65">
        <f>VLOOKUP(Misfit[[#This Row],[Shortname]], Comp[], 20, FALSE)</f>
        <v>0</v>
      </c>
      <c r="Y65">
        <f>VLOOKUP(Misfit[[#This Row],[Shortname]], Comp[], 21, FALSE)</f>
        <v>0</v>
      </c>
      <c r="Z65">
        <f>VLOOKUP(Misfit[[#This Row],[Shortname]], Comp[], 22, FALSE)</f>
        <v>0</v>
      </c>
      <c r="AA65">
        <f>VLOOKUP(Misfit[[#This Row],[Shortname]], Comp[], 23, FALSE)</f>
        <v>0</v>
      </c>
      <c r="AB65">
        <f>VLOOKUP(Misfit[[#This Row],[Shortname]], Comp[], 24, FALSE)</f>
        <v>0</v>
      </c>
      <c r="AC65">
        <f>VLOOKUP(Misfit[[#This Row],[Shortname]], Comp[], 25, FALSE)</f>
        <v>0</v>
      </c>
      <c r="AD65">
        <f>VLOOKUP(Misfit[[#This Row],[Shortname]], Comp[], 26, FALSE)</f>
        <v>0</v>
      </c>
      <c r="AE65">
        <f>VLOOKUP(Misfit[[#This Row],[Shortname]], Comp[], 27, FALSE)</f>
        <v>0</v>
      </c>
      <c r="AF65">
        <f>VLOOKUP(Misfit[[#This Row],[Shortname]], Comp[], 28, FALSE)</f>
        <v>0</v>
      </c>
      <c r="AG65">
        <f>VLOOKUP(Misfit[[#This Row],[Shortname]], Comp[], 29, FALSE)</f>
        <v>0</v>
      </c>
      <c r="AH65">
        <f>VLOOKUP(Misfit[[#This Row],[Shortname]], Comp[], 30, FALSE)</f>
        <v>0</v>
      </c>
      <c r="AI65">
        <f>VLOOKUP(Misfit[[#This Row],[Shortname]], Comp[], 31, FALSE)</f>
        <v>0</v>
      </c>
    </row>
    <row r="66" spans="1:35" x14ac:dyDescent="0.3">
      <c r="A66" t="s">
        <v>1510</v>
      </c>
      <c r="B66" t="s">
        <v>1512</v>
      </c>
      <c r="C66" s="6" t="s">
        <v>1513</v>
      </c>
      <c r="D66" s="6">
        <v>1300</v>
      </c>
      <c r="E66">
        <v>25</v>
      </c>
      <c r="H66" s="40">
        <v>1.6999999999999999E-3</v>
      </c>
      <c r="I66" t="s">
        <v>6605</v>
      </c>
      <c r="J66">
        <f>VLOOKUP(Misfit[[#This Row],[Shortname]], Comp[], 6, FALSE)</f>
        <v>193</v>
      </c>
      <c r="K66">
        <f>VLOOKUP(Misfit[[#This Row],[Shortname]], Comp[], 7, FALSE)</f>
        <v>75.489999999999995</v>
      </c>
      <c r="L66">
        <f>VLOOKUP(Misfit[[#This Row],[Shortname]], Comp[], 8, FALSE)</f>
        <v>0</v>
      </c>
      <c r="M66">
        <f>VLOOKUP(Misfit[[#This Row],[Shortname]], Comp[], 9, FALSE)</f>
        <v>11.65</v>
      </c>
      <c r="N66">
        <f>VLOOKUP(Misfit[[#This Row],[Shortname]], Comp[], 10, FALSE)</f>
        <v>0</v>
      </c>
      <c r="O66">
        <f>VLOOKUP(Misfit[[#This Row],[Shortname]], Comp[], 11, FALSE)</f>
        <v>9.0299999999999994</v>
      </c>
      <c r="P66">
        <f>VLOOKUP(Misfit[[#This Row],[Shortname]], Comp[],12, FALSE)</f>
        <v>2.14</v>
      </c>
      <c r="Q66">
        <f>VLOOKUP(Misfit[[#This Row],[Shortname]], Comp[], 13, FALSE)</f>
        <v>1.69</v>
      </c>
      <c r="R66">
        <f>VLOOKUP(Misfit[[#This Row],[Shortname]], Comp[], 14, FALSE)</f>
        <v>0</v>
      </c>
      <c r="S66">
        <f>VLOOKUP(Misfit[[#This Row],[Shortname]], Comp[], 15, FALSE)</f>
        <v>0</v>
      </c>
      <c r="T66">
        <f>VLOOKUP(Misfit[[#This Row],[Shortname]], Comp[], 16, FALSE)</f>
        <v>0</v>
      </c>
      <c r="U66">
        <f>VLOOKUP(Misfit[[#This Row],[Shortname]], Comp[], 17, FALSE)</f>
        <v>0</v>
      </c>
      <c r="V66">
        <f>VLOOKUP(Misfit[[#This Row],[Shortname]], Comp[], 18, FALSE)</f>
        <v>0</v>
      </c>
      <c r="W66">
        <f>VLOOKUP(Misfit[[#This Row],[Shortname]], Comp[], 19, FALSE)</f>
        <v>0</v>
      </c>
      <c r="X66">
        <f>VLOOKUP(Misfit[[#This Row],[Shortname]], Comp[], 20, FALSE)</f>
        <v>0</v>
      </c>
      <c r="Y66">
        <f>VLOOKUP(Misfit[[#This Row],[Shortname]], Comp[], 21, FALSE)</f>
        <v>0</v>
      </c>
      <c r="Z66">
        <f>VLOOKUP(Misfit[[#This Row],[Shortname]], Comp[], 22, FALSE)</f>
        <v>0</v>
      </c>
      <c r="AA66">
        <f>VLOOKUP(Misfit[[#This Row],[Shortname]], Comp[], 23, FALSE)</f>
        <v>0</v>
      </c>
      <c r="AB66">
        <f>VLOOKUP(Misfit[[#This Row],[Shortname]], Comp[], 24, FALSE)</f>
        <v>0</v>
      </c>
      <c r="AC66">
        <f>VLOOKUP(Misfit[[#This Row],[Shortname]], Comp[], 25, FALSE)</f>
        <v>0</v>
      </c>
      <c r="AD66">
        <f>VLOOKUP(Misfit[[#This Row],[Shortname]], Comp[], 26, FALSE)</f>
        <v>0</v>
      </c>
      <c r="AE66">
        <f>VLOOKUP(Misfit[[#This Row],[Shortname]], Comp[], 27, FALSE)</f>
        <v>0</v>
      </c>
      <c r="AF66">
        <f>VLOOKUP(Misfit[[#This Row],[Shortname]], Comp[], 28, FALSE)</f>
        <v>0</v>
      </c>
      <c r="AG66">
        <f>VLOOKUP(Misfit[[#This Row],[Shortname]], Comp[], 29, FALSE)</f>
        <v>0</v>
      </c>
      <c r="AH66">
        <f>VLOOKUP(Misfit[[#This Row],[Shortname]], Comp[], 30, FALSE)</f>
        <v>0</v>
      </c>
      <c r="AI66">
        <f>VLOOKUP(Misfit[[#This Row],[Shortname]], Comp[], 31, FALSE)</f>
        <v>0</v>
      </c>
    </row>
    <row r="67" spans="1:35" x14ac:dyDescent="0.3">
      <c r="A67" t="s">
        <v>1646</v>
      </c>
      <c r="B67" t="s">
        <v>1648</v>
      </c>
      <c r="C67" s="3" t="s">
        <v>1623</v>
      </c>
      <c r="D67" s="3">
        <v>650</v>
      </c>
      <c r="E67">
        <v>25</v>
      </c>
      <c r="F67">
        <v>0.35709999999999997</v>
      </c>
      <c r="G67">
        <v>0.35499999999999998</v>
      </c>
      <c r="H67" s="40">
        <f t="shared" ref="H67:H81" si="2">2*(F67-G67)/(F67+G67)</f>
        <v>5.8980480269624795E-3</v>
      </c>
      <c r="I67" t="s">
        <v>6606</v>
      </c>
      <c r="J67">
        <f>VLOOKUP(Misfit[[#This Row],[Shortname]], Comp[], 6, FALSE)</f>
        <v>210</v>
      </c>
      <c r="K67">
        <f>VLOOKUP(Misfit[[#This Row],[Shortname]], Comp[], 7, FALSE)</f>
        <v>60</v>
      </c>
      <c r="L67">
        <f>VLOOKUP(Misfit[[#This Row],[Shortname]], Comp[], 8, FALSE)</f>
        <v>30</v>
      </c>
      <c r="M67">
        <f>VLOOKUP(Misfit[[#This Row],[Shortname]], Comp[], 9, FALSE)</f>
        <v>8.3000000000000007</v>
      </c>
      <c r="N67">
        <f>VLOOKUP(Misfit[[#This Row],[Shortname]], Comp[], 10, FALSE)</f>
        <v>0</v>
      </c>
      <c r="O67">
        <f>VLOOKUP(Misfit[[#This Row],[Shortname]], Comp[], 11, FALSE)</f>
        <v>0</v>
      </c>
      <c r="P67">
        <f>VLOOKUP(Misfit[[#This Row],[Shortname]], Comp[],12, FALSE)</f>
        <v>1.7</v>
      </c>
      <c r="Q67">
        <f>VLOOKUP(Misfit[[#This Row],[Shortname]], Comp[], 13, FALSE)</f>
        <v>0</v>
      </c>
      <c r="R67">
        <f>VLOOKUP(Misfit[[#This Row],[Shortname]], Comp[], 14, FALSE)</f>
        <v>0</v>
      </c>
      <c r="S67">
        <f>VLOOKUP(Misfit[[#This Row],[Shortname]], Comp[], 15, FALSE)</f>
        <v>0</v>
      </c>
      <c r="T67">
        <f>VLOOKUP(Misfit[[#This Row],[Shortname]], Comp[], 16, FALSE)</f>
        <v>0</v>
      </c>
      <c r="U67">
        <f>VLOOKUP(Misfit[[#This Row],[Shortname]], Comp[], 17, FALSE)</f>
        <v>0</v>
      </c>
      <c r="V67">
        <f>VLOOKUP(Misfit[[#This Row],[Shortname]], Comp[], 18, FALSE)</f>
        <v>0</v>
      </c>
      <c r="W67">
        <f>VLOOKUP(Misfit[[#This Row],[Shortname]], Comp[], 19, FALSE)</f>
        <v>0</v>
      </c>
      <c r="X67">
        <f>VLOOKUP(Misfit[[#This Row],[Shortname]], Comp[], 20, FALSE)</f>
        <v>0</v>
      </c>
      <c r="Y67">
        <f>VLOOKUP(Misfit[[#This Row],[Shortname]], Comp[], 21, FALSE)</f>
        <v>0</v>
      </c>
      <c r="Z67">
        <f>VLOOKUP(Misfit[[#This Row],[Shortname]], Comp[], 22, FALSE)</f>
        <v>0</v>
      </c>
      <c r="AA67">
        <f>VLOOKUP(Misfit[[#This Row],[Shortname]], Comp[], 23, FALSE)</f>
        <v>0</v>
      </c>
      <c r="AB67">
        <f>VLOOKUP(Misfit[[#This Row],[Shortname]], Comp[], 24, FALSE)</f>
        <v>0</v>
      </c>
      <c r="AC67">
        <f>VLOOKUP(Misfit[[#This Row],[Shortname]], Comp[], 25, FALSE)</f>
        <v>0</v>
      </c>
      <c r="AD67">
        <f>VLOOKUP(Misfit[[#This Row],[Shortname]], Comp[], 26, FALSE)</f>
        <v>0</v>
      </c>
      <c r="AE67">
        <f>VLOOKUP(Misfit[[#This Row],[Shortname]], Comp[], 27, FALSE)</f>
        <v>0</v>
      </c>
      <c r="AF67">
        <f>VLOOKUP(Misfit[[#This Row],[Shortname]], Comp[], 28, FALSE)</f>
        <v>0</v>
      </c>
      <c r="AG67">
        <f>VLOOKUP(Misfit[[#This Row],[Shortname]], Comp[], 29, FALSE)</f>
        <v>0</v>
      </c>
      <c r="AH67">
        <f>VLOOKUP(Misfit[[#This Row],[Shortname]], Comp[], 30, FALSE)</f>
        <v>0</v>
      </c>
      <c r="AI67">
        <f>VLOOKUP(Misfit[[#This Row],[Shortname]], Comp[], 31, FALSE)</f>
        <v>0</v>
      </c>
    </row>
    <row r="68" spans="1:35" x14ac:dyDescent="0.3">
      <c r="A68" t="s">
        <v>1646</v>
      </c>
      <c r="B68" t="s">
        <v>1648</v>
      </c>
      <c r="C68" s="3" t="s">
        <v>1623</v>
      </c>
      <c r="D68" s="3">
        <v>650</v>
      </c>
      <c r="E68">
        <v>25</v>
      </c>
      <c r="F68">
        <v>0.35680000000000001</v>
      </c>
      <c r="G68">
        <v>0.3553</v>
      </c>
      <c r="H68" s="40">
        <f t="shared" si="2"/>
        <v>4.2128914478303647E-3</v>
      </c>
      <c r="I68" t="s">
        <v>6607</v>
      </c>
      <c r="J68">
        <f>VLOOKUP(Misfit[[#This Row],[Shortname]], Comp[], 6, FALSE)</f>
        <v>210</v>
      </c>
      <c r="K68">
        <f>VLOOKUP(Misfit[[#This Row],[Shortname]], Comp[], 7, FALSE)</f>
        <v>60</v>
      </c>
      <c r="L68">
        <f>VLOOKUP(Misfit[[#This Row],[Shortname]], Comp[], 8, FALSE)</f>
        <v>30</v>
      </c>
      <c r="M68">
        <f>VLOOKUP(Misfit[[#This Row],[Shortname]], Comp[], 9, FALSE)</f>
        <v>8.3000000000000007</v>
      </c>
      <c r="N68">
        <f>VLOOKUP(Misfit[[#This Row],[Shortname]], Comp[], 10, FALSE)</f>
        <v>0</v>
      </c>
      <c r="O68">
        <f>VLOOKUP(Misfit[[#This Row],[Shortname]], Comp[], 11, FALSE)</f>
        <v>0</v>
      </c>
      <c r="P68">
        <f>VLOOKUP(Misfit[[#This Row],[Shortname]], Comp[],12, FALSE)</f>
        <v>1.7</v>
      </c>
      <c r="Q68">
        <f>VLOOKUP(Misfit[[#This Row],[Shortname]], Comp[], 13, FALSE)</f>
        <v>0</v>
      </c>
      <c r="R68">
        <f>VLOOKUP(Misfit[[#This Row],[Shortname]], Comp[], 14, FALSE)</f>
        <v>0</v>
      </c>
      <c r="S68">
        <f>VLOOKUP(Misfit[[#This Row],[Shortname]], Comp[], 15, FALSE)</f>
        <v>0</v>
      </c>
      <c r="T68">
        <f>VLOOKUP(Misfit[[#This Row],[Shortname]], Comp[], 16, FALSE)</f>
        <v>0</v>
      </c>
      <c r="U68">
        <f>VLOOKUP(Misfit[[#This Row],[Shortname]], Comp[], 17, FALSE)</f>
        <v>0</v>
      </c>
      <c r="V68">
        <f>VLOOKUP(Misfit[[#This Row],[Shortname]], Comp[], 18, FALSE)</f>
        <v>0</v>
      </c>
      <c r="W68">
        <f>VLOOKUP(Misfit[[#This Row],[Shortname]], Comp[], 19, FALSE)</f>
        <v>0</v>
      </c>
      <c r="X68">
        <f>VLOOKUP(Misfit[[#This Row],[Shortname]], Comp[], 20, FALSE)</f>
        <v>0</v>
      </c>
      <c r="Y68">
        <f>VLOOKUP(Misfit[[#This Row],[Shortname]], Comp[], 21, FALSE)</f>
        <v>0</v>
      </c>
      <c r="Z68">
        <f>VLOOKUP(Misfit[[#This Row],[Shortname]], Comp[], 22, FALSE)</f>
        <v>0</v>
      </c>
      <c r="AA68">
        <f>VLOOKUP(Misfit[[#This Row],[Shortname]], Comp[], 23, FALSE)</f>
        <v>0</v>
      </c>
      <c r="AB68">
        <f>VLOOKUP(Misfit[[#This Row],[Shortname]], Comp[], 24, FALSE)</f>
        <v>0</v>
      </c>
      <c r="AC68">
        <f>VLOOKUP(Misfit[[#This Row],[Shortname]], Comp[], 25, FALSE)</f>
        <v>0</v>
      </c>
      <c r="AD68">
        <f>VLOOKUP(Misfit[[#This Row],[Shortname]], Comp[], 26, FALSE)</f>
        <v>0</v>
      </c>
      <c r="AE68">
        <f>VLOOKUP(Misfit[[#This Row],[Shortname]], Comp[], 27, FALSE)</f>
        <v>0</v>
      </c>
      <c r="AF68">
        <f>VLOOKUP(Misfit[[#This Row],[Shortname]], Comp[], 28, FALSE)</f>
        <v>0</v>
      </c>
      <c r="AG68">
        <f>VLOOKUP(Misfit[[#This Row],[Shortname]], Comp[], 29, FALSE)</f>
        <v>0</v>
      </c>
      <c r="AH68">
        <f>VLOOKUP(Misfit[[#This Row],[Shortname]], Comp[], 30, FALSE)</f>
        <v>0</v>
      </c>
      <c r="AI68">
        <f>VLOOKUP(Misfit[[#This Row],[Shortname]], Comp[], 31, FALSE)</f>
        <v>0</v>
      </c>
    </row>
    <row r="69" spans="1:35" x14ac:dyDescent="0.3">
      <c r="A69" t="s">
        <v>1646</v>
      </c>
      <c r="B69" t="s">
        <v>1648</v>
      </c>
      <c r="C69" s="3" t="s">
        <v>1623</v>
      </c>
      <c r="D69" s="3">
        <v>650</v>
      </c>
      <c r="E69">
        <v>25</v>
      </c>
      <c r="F69">
        <v>0.35639999999999999</v>
      </c>
      <c r="G69">
        <v>0.35570000000000002</v>
      </c>
      <c r="H69" s="40">
        <f t="shared" si="2"/>
        <v>1.9660160089874411E-3</v>
      </c>
      <c r="I69" t="s">
        <v>6608</v>
      </c>
      <c r="J69">
        <f>VLOOKUP(Misfit[[#This Row],[Shortname]], Comp[], 6, FALSE)</f>
        <v>210</v>
      </c>
      <c r="K69">
        <f>VLOOKUP(Misfit[[#This Row],[Shortname]], Comp[], 7, FALSE)</f>
        <v>60</v>
      </c>
      <c r="L69">
        <f>VLOOKUP(Misfit[[#This Row],[Shortname]], Comp[], 8, FALSE)</f>
        <v>30</v>
      </c>
      <c r="M69">
        <f>VLOOKUP(Misfit[[#This Row],[Shortname]], Comp[], 9, FALSE)</f>
        <v>8.3000000000000007</v>
      </c>
      <c r="N69">
        <f>VLOOKUP(Misfit[[#This Row],[Shortname]], Comp[], 10, FALSE)</f>
        <v>0</v>
      </c>
      <c r="O69">
        <f>VLOOKUP(Misfit[[#This Row],[Shortname]], Comp[], 11, FALSE)</f>
        <v>0</v>
      </c>
      <c r="P69">
        <f>VLOOKUP(Misfit[[#This Row],[Shortname]], Comp[],12, FALSE)</f>
        <v>1.7</v>
      </c>
      <c r="Q69">
        <f>VLOOKUP(Misfit[[#This Row],[Shortname]], Comp[], 13, FALSE)</f>
        <v>0</v>
      </c>
      <c r="R69">
        <f>VLOOKUP(Misfit[[#This Row],[Shortname]], Comp[], 14, FALSE)</f>
        <v>0</v>
      </c>
      <c r="S69">
        <f>VLOOKUP(Misfit[[#This Row],[Shortname]], Comp[], 15, FALSE)</f>
        <v>0</v>
      </c>
      <c r="T69">
        <f>VLOOKUP(Misfit[[#This Row],[Shortname]], Comp[], 16, FALSE)</f>
        <v>0</v>
      </c>
      <c r="U69">
        <f>VLOOKUP(Misfit[[#This Row],[Shortname]], Comp[], 17, FALSE)</f>
        <v>0</v>
      </c>
      <c r="V69">
        <f>VLOOKUP(Misfit[[#This Row],[Shortname]], Comp[], 18, FALSE)</f>
        <v>0</v>
      </c>
      <c r="W69">
        <f>VLOOKUP(Misfit[[#This Row],[Shortname]], Comp[], 19, FALSE)</f>
        <v>0</v>
      </c>
      <c r="X69">
        <f>VLOOKUP(Misfit[[#This Row],[Shortname]], Comp[], 20, FALSE)</f>
        <v>0</v>
      </c>
      <c r="Y69">
        <f>VLOOKUP(Misfit[[#This Row],[Shortname]], Comp[], 21, FALSE)</f>
        <v>0</v>
      </c>
      <c r="Z69">
        <f>VLOOKUP(Misfit[[#This Row],[Shortname]], Comp[], 22, FALSE)</f>
        <v>0</v>
      </c>
      <c r="AA69">
        <f>VLOOKUP(Misfit[[#This Row],[Shortname]], Comp[], 23, FALSE)</f>
        <v>0</v>
      </c>
      <c r="AB69">
        <f>VLOOKUP(Misfit[[#This Row],[Shortname]], Comp[], 24, FALSE)</f>
        <v>0</v>
      </c>
      <c r="AC69">
        <f>VLOOKUP(Misfit[[#This Row],[Shortname]], Comp[], 25, FALSE)</f>
        <v>0</v>
      </c>
      <c r="AD69">
        <f>VLOOKUP(Misfit[[#This Row],[Shortname]], Comp[], 26, FALSE)</f>
        <v>0</v>
      </c>
      <c r="AE69">
        <f>VLOOKUP(Misfit[[#This Row],[Shortname]], Comp[], 27, FALSE)</f>
        <v>0</v>
      </c>
      <c r="AF69">
        <f>VLOOKUP(Misfit[[#This Row],[Shortname]], Comp[], 28, FALSE)</f>
        <v>0</v>
      </c>
      <c r="AG69">
        <f>VLOOKUP(Misfit[[#This Row],[Shortname]], Comp[], 29, FALSE)</f>
        <v>0</v>
      </c>
      <c r="AH69">
        <f>VLOOKUP(Misfit[[#This Row],[Shortname]], Comp[], 30, FALSE)</f>
        <v>0</v>
      </c>
      <c r="AI69">
        <f>VLOOKUP(Misfit[[#This Row],[Shortname]], Comp[], 31, FALSE)</f>
        <v>0</v>
      </c>
    </row>
    <row r="70" spans="1:35" x14ac:dyDescent="0.3">
      <c r="A70" t="s">
        <v>1629</v>
      </c>
      <c r="B70" t="s">
        <v>1631</v>
      </c>
      <c r="C70" s="3" t="s">
        <v>1623</v>
      </c>
      <c r="D70" s="3">
        <v>650</v>
      </c>
      <c r="E70">
        <v>25</v>
      </c>
      <c r="F70">
        <v>0.35759999999999997</v>
      </c>
      <c r="G70">
        <v>0.35510000000000003</v>
      </c>
      <c r="H70" s="40">
        <f t="shared" si="2"/>
        <v>7.0155745755575887E-3</v>
      </c>
      <c r="I70" t="s">
        <v>6606</v>
      </c>
      <c r="J70">
        <f>VLOOKUP(Misfit[[#This Row],[Shortname]], Comp[], 6, FALSE)</f>
        <v>207</v>
      </c>
      <c r="K70">
        <f>VLOOKUP(Misfit[[#This Row],[Shortname]], Comp[], 7, FALSE)</f>
        <v>60</v>
      </c>
      <c r="L70">
        <f>VLOOKUP(Misfit[[#This Row],[Shortname]], Comp[], 8, FALSE)</f>
        <v>30</v>
      </c>
      <c r="M70">
        <f>VLOOKUP(Misfit[[#This Row],[Shortname]], Comp[], 9, FALSE)</f>
        <v>7.5</v>
      </c>
      <c r="N70">
        <f>VLOOKUP(Misfit[[#This Row],[Shortname]], Comp[], 10, FALSE)</f>
        <v>0</v>
      </c>
      <c r="O70">
        <f>VLOOKUP(Misfit[[#This Row],[Shortname]], Comp[], 11, FALSE)</f>
        <v>0</v>
      </c>
      <c r="P70">
        <f>VLOOKUP(Misfit[[#This Row],[Shortname]], Comp[],12, FALSE)</f>
        <v>2.5</v>
      </c>
      <c r="Q70">
        <f>VLOOKUP(Misfit[[#This Row],[Shortname]], Comp[], 13, FALSE)</f>
        <v>0</v>
      </c>
      <c r="R70">
        <f>VLOOKUP(Misfit[[#This Row],[Shortname]], Comp[], 14, FALSE)</f>
        <v>0</v>
      </c>
      <c r="S70">
        <f>VLOOKUP(Misfit[[#This Row],[Shortname]], Comp[], 15, FALSE)</f>
        <v>0</v>
      </c>
      <c r="T70">
        <f>VLOOKUP(Misfit[[#This Row],[Shortname]], Comp[], 16, FALSE)</f>
        <v>0</v>
      </c>
      <c r="U70">
        <f>VLOOKUP(Misfit[[#This Row],[Shortname]], Comp[], 17, FALSE)</f>
        <v>0</v>
      </c>
      <c r="V70">
        <f>VLOOKUP(Misfit[[#This Row],[Shortname]], Comp[], 18, FALSE)</f>
        <v>0</v>
      </c>
      <c r="W70">
        <f>VLOOKUP(Misfit[[#This Row],[Shortname]], Comp[], 19, FALSE)</f>
        <v>0</v>
      </c>
      <c r="X70">
        <f>VLOOKUP(Misfit[[#This Row],[Shortname]], Comp[], 20, FALSE)</f>
        <v>0</v>
      </c>
      <c r="Y70">
        <f>VLOOKUP(Misfit[[#This Row],[Shortname]], Comp[], 21, FALSE)</f>
        <v>0</v>
      </c>
      <c r="Z70">
        <f>VLOOKUP(Misfit[[#This Row],[Shortname]], Comp[], 22, FALSE)</f>
        <v>0</v>
      </c>
      <c r="AA70">
        <f>VLOOKUP(Misfit[[#This Row],[Shortname]], Comp[], 23, FALSE)</f>
        <v>0</v>
      </c>
      <c r="AB70">
        <f>VLOOKUP(Misfit[[#This Row],[Shortname]], Comp[], 24, FALSE)</f>
        <v>0</v>
      </c>
      <c r="AC70">
        <f>VLOOKUP(Misfit[[#This Row],[Shortname]], Comp[], 25, FALSE)</f>
        <v>0</v>
      </c>
      <c r="AD70">
        <f>VLOOKUP(Misfit[[#This Row],[Shortname]], Comp[], 26, FALSE)</f>
        <v>0</v>
      </c>
      <c r="AE70">
        <f>VLOOKUP(Misfit[[#This Row],[Shortname]], Comp[], 27, FALSE)</f>
        <v>0</v>
      </c>
      <c r="AF70">
        <f>VLOOKUP(Misfit[[#This Row],[Shortname]], Comp[], 28, FALSE)</f>
        <v>0</v>
      </c>
      <c r="AG70">
        <f>VLOOKUP(Misfit[[#This Row],[Shortname]], Comp[], 29, FALSE)</f>
        <v>0</v>
      </c>
      <c r="AH70">
        <f>VLOOKUP(Misfit[[#This Row],[Shortname]], Comp[], 30, FALSE)</f>
        <v>0</v>
      </c>
      <c r="AI70">
        <f>VLOOKUP(Misfit[[#This Row],[Shortname]], Comp[], 31, FALSE)</f>
        <v>0</v>
      </c>
    </row>
    <row r="71" spans="1:35" x14ac:dyDescent="0.3">
      <c r="A71" t="s">
        <v>1629</v>
      </c>
      <c r="B71" t="s">
        <v>1631</v>
      </c>
      <c r="C71" s="3" t="s">
        <v>1623</v>
      </c>
      <c r="D71" s="3">
        <v>650</v>
      </c>
      <c r="E71">
        <v>25</v>
      </c>
      <c r="F71">
        <v>0.35730000000000001</v>
      </c>
      <c r="G71">
        <v>0.35539999999999999</v>
      </c>
      <c r="H71" s="40">
        <f t="shared" si="2"/>
        <v>5.3318366774239168E-3</v>
      </c>
      <c r="I71" t="s">
        <v>6607</v>
      </c>
      <c r="J71">
        <f>VLOOKUP(Misfit[[#This Row],[Shortname]], Comp[], 6, FALSE)</f>
        <v>207</v>
      </c>
      <c r="K71">
        <f>VLOOKUP(Misfit[[#This Row],[Shortname]], Comp[], 7, FALSE)</f>
        <v>60</v>
      </c>
      <c r="L71">
        <f>VLOOKUP(Misfit[[#This Row],[Shortname]], Comp[], 8, FALSE)</f>
        <v>30</v>
      </c>
      <c r="M71">
        <f>VLOOKUP(Misfit[[#This Row],[Shortname]], Comp[], 9, FALSE)</f>
        <v>7.5</v>
      </c>
      <c r="N71">
        <f>VLOOKUP(Misfit[[#This Row],[Shortname]], Comp[], 10, FALSE)</f>
        <v>0</v>
      </c>
      <c r="O71">
        <f>VLOOKUP(Misfit[[#This Row],[Shortname]], Comp[], 11, FALSE)</f>
        <v>0</v>
      </c>
      <c r="P71">
        <f>VLOOKUP(Misfit[[#This Row],[Shortname]], Comp[],12, FALSE)</f>
        <v>2.5</v>
      </c>
      <c r="Q71">
        <f>VLOOKUP(Misfit[[#This Row],[Shortname]], Comp[], 13, FALSE)</f>
        <v>0</v>
      </c>
      <c r="R71">
        <f>VLOOKUP(Misfit[[#This Row],[Shortname]], Comp[], 14, FALSE)</f>
        <v>0</v>
      </c>
      <c r="S71">
        <f>VLOOKUP(Misfit[[#This Row],[Shortname]], Comp[], 15, FALSE)</f>
        <v>0</v>
      </c>
      <c r="T71">
        <f>VLOOKUP(Misfit[[#This Row],[Shortname]], Comp[], 16, FALSE)</f>
        <v>0</v>
      </c>
      <c r="U71">
        <f>VLOOKUP(Misfit[[#This Row],[Shortname]], Comp[], 17, FALSE)</f>
        <v>0</v>
      </c>
      <c r="V71">
        <f>VLOOKUP(Misfit[[#This Row],[Shortname]], Comp[], 18, FALSE)</f>
        <v>0</v>
      </c>
      <c r="W71">
        <f>VLOOKUP(Misfit[[#This Row],[Shortname]], Comp[], 19, FALSE)</f>
        <v>0</v>
      </c>
      <c r="X71">
        <f>VLOOKUP(Misfit[[#This Row],[Shortname]], Comp[], 20, FALSE)</f>
        <v>0</v>
      </c>
      <c r="Y71">
        <f>VLOOKUP(Misfit[[#This Row],[Shortname]], Comp[], 21, FALSE)</f>
        <v>0</v>
      </c>
      <c r="Z71">
        <f>VLOOKUP(Misfit[[#This Row],[Shortname]], Comp[], 22, FALSE)</f>
        <v>0</v>
      </c>
      <c r="AA71">
        <f>VLOOKUP(Misfit[[#This Row],[Shortname]], Comp[], 23, FALSE)</f>
        <v>0</v>
      </c>
      <c r="AB71">
        <f>VLOOKUP(Misfit[[#This Row],[Shortname]], Comp[], 24, FALSE)</f>
        <v>0</v>
      </c>
      <c r="AC71">
        <f>VLOOKUP(Misfit[[#This Row],[Shortname]], Comp[], 25, FALSE)</f>
        <v>0</v>
      </c>
      <c r="AD71">
        <f>VLOOKUP(Misfit[[#This Row],[Shortname]], Comp[], 26, FALSE)</f>
        <v>0</v>
      </c>
      <c r="AE71">
        <f>VLOOKUP(Misfit[[#This Row],[Shortname]], Comp[], 27, FALSE)</f>
        <v>0</v>
      </c>
      <c r="AF71">
        <f>VLOOKUP(Misfit[[#This Row],[Shortname]], Comp[], 28, FALSE)</f>
        <v>0</v>
      </c>
      <c r="AG71">
        <f>VLOOKUP(Misfit[[#This Row],[Shortname]], Comp[], 29, FALSE)</f>
        <v>0</v>
      </c>
      <c r="AH71">
        <f>VLOOKUP(Misfit[[#This Row],[Shortname]], Comp[], 30, FALSE)</f>
        <v>0</v>
      </c>
      <c r="AI71">
        <f>VLOOKUP(Misfit[[#This Row],[Shortname]], Comp[], 31, FALSE)</f>
        <v>0</v>
      </c>
    </row>
    <row r="72" spans="1:35" x14ac:dyDescent="0.3">
      <c r="A72" t="s">
        <v>1629</v>
      </c>
      <c r="B72" t="s">
        <v>1631</v>
      </c>
      <c r="C72" s="3" t="s">
        <v>1623</v>
      </c>
      <c r="D72" s="3">
        <v>650</v>
      </c>
      <c r="E72">
        <v>25</v>
      </c>
      <c r="F72">
        <v>0.35709999999999997</v>
      </c>
      <c r="G72">
        <v>0.35589999999999999</v>
      </c>
      <c r="H72" s="40">
        <f t="shared" si="2"/>
        <v>3.3660589060307963E-3</v>
      </c>
      <c r="I72" t="s">
        <v>6608</v>
      </c>
      <c r="J72">
        <f>VLOOKUP(Misfit[[#This Row],[Shortname]], Comp[], 6, FALSE)</f>
        <v>207</v>
      </c>
      <c r="K72">
        <f>VLOOKUP(Misfit[[#This Row],[Shortname]], Comp[], 7, FALSE)</f>
        <v>60</v>
      </c>
      <c r="L72">
        <f>VLOOKUP(Misfit[[#This Row],[Shortname]], Comp[], 8, FALSE)</f>
        <v>30</v>
      </c>
      <c r="M72">
        <f>VLOOKUP(Misfit[[#This Row],[Shortname]], Comp[], 9, FALSE)</f>
        <v>7.5</v>
      </c>
      <c r="N72">
        <f>VLOOKUP(Misfit[[#This Row],[Shortname]], Comp[], 10, FALSE)</f>
        <v>0</v>
      </c>
      <c r="O72">
        <f>VLOOKUP(Misfit[[#This Row],[Shortname]], Comp[], 11, FALSE)</f>
        <v>0</v>
      </c>
      <c r="P72">
        <f>VLOOKUP(Misfit[[#This Row],[Shortname]], Comp[],12, FALSE)</f>
        <v>2.5</v>
      </c>
      <c r="Q72">
        <f>VLOOKUP(Misfit[[#This Row],[Shortname]], Comp[], 13, FALSE)</f>
        <v>0</v>
      </c>
      <c r="R72">
        <f>VLOOKUP(Misfit[[#This Row],[Shortname]], Comp[], 14, FALSE)</f>
        <v>0</v>
      </c>
      <c r="S72">
        <f>VLOOKUP(Misfit[[#This Row],[Shortname]], Comp[], 15, FALSE)</f>
        <v>0</v>
      </c>
      <c r="T72">
        <f>VLOOKUP(Misfit[[#This Row],[Shortname]], Comp[], 16, FALSE)</f>
        <v>0</v>
      </c>
      <c r="U72">
        <f>VLOOKUP(Misfit[[#This Row],[Shortname]], Comp[], 17, FALSE)</f>
        <v>0</v>
      </c>
      <c r="V72">
        <f>VLOOKUP(Misfit[[#This Row],[Shortname]], Comp[], 18, FALSE)</f>
        <v>0</v>
      </c>
      <c r="W72">
        <f>VLOOKUP(Misfit[[#This Row],[Shortname]], Comp[], 19, FALSE)</f>
        <v>0</v>
      </c>
      <c r="X72">
        <f>VLOOKUP(Misfit[[#This Row],[Shortname]], Comp[], 20, FALSE)</f>
        <v>0</v>
      </c>
      <c r="Y72">
        <f>VLOOKUP(Misfit[[#This Row],[Shortname]], Comp[], 21, FALSE)</f>
        <v>0</v>
      </c>
      <c r="Z72">
        <f>VLOOKUP(Misfit[[#This Row],[Shortname]], Comp[], 22, FALSE)</f>
        <v>0</v>
      </c>
      <c r="AA72">
        <f>VLOOKUP(Misfit[[#This Row],[Shortname]], Comp[], 23, FALSE)</f>
        <v>0</v>
      </c>
      <c r="AB72">
        <f>VLOOKUP(Misfit[[#This Row],[Shortname]], Comp[], 24, FALSE)</f>
        <v>0</v>
      </c>
      <c r="AC72">
        <f>VLOOKUP(Misfit[[#This Row],[Shortname]], Comp[], 25, FALSE)</f>
        <v>0</v>
      </c>
      <c r="AD72">
        <f>VLOOKUP(Misfit[[#This Row],[Shortname]], Comp[], 26, FALSE)</f>
        <v>0</v>
      </c>
      <c r="AE72">
        <f>VLOOKUP(Misfit[[#This Row],[Shortname]], Comp[], 27, FALSE)</f>
        <v>0</v>
      </c>
      <c r="AF72">
        <f>VLOOKUP(Misfit[[#This Row],[Shortname]], Comp[], 28, FALSE)</f>
        <v>0</v>
      </c>
      <c r="AG72">
        <f>VLOOKUP(Misfit[[#This Row],[Shortname]], Comp[], 29, FALSE)</f>
        <v>0</v>
      </c>
      <c r="AH72">
        <f>VLOOKUP(Misfit[[#This Row],[Shortname]], Comp[], 30, FALSE)</f>
        <v>0</v>
      </c>
      <c r="AI72">
        <f>VLOOKUP(Misfit[[#This Row],[Shortname]], Comp[], 31, FALSE)</f>
        <v>0</v>
      </c>
    </row>
    <row r="73" spans="1:35" x14ac:dyDescent="0.3">
      <c r="A73" t="s">
        <v>1635</v>
      </c>
      <c r="B73" t="s">
        <v>1637</v>
      </c>
      <c r="C73" s="3" t="s">
        <v>1623</v>
      </c>
      <c r="D73" s="3">
        <v>650</v>
      </c>
      <c r="E73">
        <v>25</v>
      </c>
      <c r="F73">
        <v>0.35780000000000001</v>
      </c>
      <c r="G73">
        <v>0.35580000000000001</v>
      </c>
      <c r="H73" s="40">
        <f t="shared" si="2"/>
        <v>5.6053811659192874E-3</v>
      </c>
      <c r="I73" t="s">
        <v>6606</v>
      </c>
      <c r="J73">
        <f>VLOOKUP(Misfit[[#This Row],[Shortname]], Comp[], 6, FALSE)</f>
        <v>208</v>
      </c>
      <c r="K73">
        <f>VLOOKUP(Misfit[[#This Row],[Shortname]], Comp[], 7, FALSE)</f>
        <v>58</v>
      </c>
      <c r="L73">
        <f>VLOOKUP(Misfit[[#This Row],[Shortname]], Comp[], 8, FALSE)</f>
        <v>30</v>
      </c>
      <c r="M73">
        <f>VLOOKUP(Misfit[[#This Row],[Shortname]], Comp[], 9, FALSE)</f>
        <v>7.5</v>
      </c>
      <c r="N73">
        <f>VLOOKUP(Misfit[[#This Row],[Shortname]], Comp[], 10, FALSE)</f>
        <v>2</v>
      </c>
      <c r="O73">
        <f>VLOOKUP(Misfit[[#This Row],[Shortname]], Comp[], 11, FALSE)</f>
        <v>0</v>
      </c>
      <c r="P73">
        <f>VLOOKUP(Misfit[[#This Row],[Shortname]], Comp[],12, FALSE)</f>
        <v>2.5</v>
      </c>
      <c r="Q73">
        <f>VLOOKUP(Misfit[[#This Row],[Shortname]], Comp[], 13, FALSE)</f>
        <v>0</v>
      </c>
      <c r="R73">
        <f>VLOOKUP(Misfit[[#This Row],[Shortname]], Comp[], 14, FALSE)</f>
        <v>0</v>
      </c>
      <c r="S73">
        <f>VLOOKUP(Misfit[[#This Row],[Shortname]], Comp[], 15, FALSE)</f>
        <v>0</v>
      </c>
      <c r="T73">
        <f>VLOOKUP(Misfit[[#This Row],[Shortname]], Comp[], 16, FALSE)</f>
        <v>0</v>
      </c>
      <c r="U73">
        <f>VLOOKUP(Misfit[[#This Row],[Shortname]], Comp[], 17, FALSE)</f>
        <v>0</v>
      </c>
      <c r="V73">
        <f>VLOOKUP(Misfit[[#This Row],[Shortname]], Comp[], 18, FALSE)</f>
        <v>0</v>
      </c>
      <c r="W73">
        <f>VLOOKUP(Misfit[[#This Row],[Shortname]], Comp[], 19, FALSE)</f>
        <v>0</v>
      </c>
      <c r="X73">
        <f>VLOOKUP(Misfit[[#This Row],[Shortname]], Comp[], 20, FALSE)</f>
        <v>0</v>
      </c>
      <c r="Y73">
        <f>VLOOKUP(Misfit[[#This Row],[Shortname]], Comp[], 21, FALSE)</f>
        <v>0</v>
      </c>
      <c r="Z73">
        <f>VLOOKUP(Misfit[[#This Row],[Shortname]], Comp[], 22, FALSE)</f>
        <v>0</v>
      </c>
      <c r="AA73">
        <f>VLOOKUP(Misfit[[#This Row],[Shortname]], Comp[], 23, FALSE)</f>
        <v>0</v>
      </c>
      <c r="AB73">
        <f>VLOOKUP(Misfit[[#This Row],[Shortname]], Comp[], 24, FALSE)</f>
        <v>0</v>
      </c>
      <c r="AC73">
        <f>VLOOKUP(Misfit[[#This Row],[Shortname]], Comp[], 25, FALSE)</f>
        <v>0</v>
      </c>
      <c r="AD73">
        <f>VLOOKUP(Misfit[[#This Row],[Shortname]], Comp[], 26, FALSE)</f>
        <v>0</v>
      </c>
      <c r="AE73">
        <f>VLOOKUP(Misfit[[#This Row],[Shortname]], Comp[], 27, FALSE)</f>
        <v>0</v>
      </c>
      <c r="AF73">
        <f>VLOOKUP(Misfit[[#This Row],[Shortname]], Comp[], 28, FALSE)</f>
        <v>0</v>
      </c>
      <c r="AG73">
        <f>VLOOKUP(Misfit[[#This Row],[Shortname]], Comp[], 29, FALSE)</f>
        <v>0</v>
      </c>
      <c r="AH73">
        <f>VLOOKUP(Misfit[[#This Row],[Shortname]], Comp[], 30, FALSE)</f>
        <v>0</v>
      </c>
      <c r="AI73">
        <f>VLOOKUP(Misfit[[#This Row],[Shortname]], Comp[], 31, FALSE)</f>
        <v>0</v>
      </c>
    </row>
    <row r="74" spans="1:35" x14ac:dyDescent="0.3">
      <c r="A74" t="s">
        <v>1635</v>
      </c>
      <c r="B74" t="s">
        <v>1637</v>
      </c>
      <c r="C74" s="3" t="s">
        <v>1623</v>
      </c>
      <c r="D74" s="3">
        <v>650</v>
      </c>
      <c r="E74">
        <v>25</v>
      </c>
      <c r="F74">
        <v>0.35770000000000002</v>
      </c>
      <c r="G74">
        <v>0.35630000000000001</v>
      </c>
      <c r="H74" s="40">
        <f t="shared" si="2"/>
        <v>3.921568627451015E-3</v>
      </c>
      <c r="I74" t="s">
        <v>6607</v>
      </c>
      <c r="J74">
        <f>VLOOKUP(Misfit[[#This Row],[Shortname]], Comp[], 6, FALSE)</f>
        <v>208</v>
      </c>
      <c r="K74">
        <f>VLOOKUP(Misfit[[#This Row],[Shortname]], Comp[], 7, FALSE)</f>
        <v>58</v>
      </c>
      <c r="L74">
        <f>VLOOKUP(Misfit[[#This Row],[Shortname]], Comp[], 8, FALSE)</f>
        <v>30</v>
      </c>
      <c r="M74">
        <f>VLOOKUP(Misfit[[#This Row],[Shortname]], Comp[], 9, FALSE)</f>
        <v>7.5</v>
      </c>
      <c r="N74">
        <f>VLOOKUP(Misfit[[#This Row],[Shortname]], Comp[], 10, FALSE)</f>
        <v>2</v>
      </c>
      <c r="O74">
        <f>VLOOKUP(Misfit[[#This Row],[Shortname]], Comp[], 11, FALSE)</f>
        <v>0</v>
      </c>
      <c r="P74">
        <f>VLOOKUP(Misfit[[#This Row],[Shortname]], Comp[],12, FALSE)</f>
        <v>2.5</v>
      </c>
      <c r="Q74">
        <f>VLOOKUP(Misfit[[#This Row],[Shortname]], Comp[], 13, FALSE)</f>
        <v>0</v>
      </c>
      <c r="R74">
        <f>VLOOKUP(Misfit[[#This Row],[Shortname]], Comp[], 14, FALSE)</f>
        <v>0</v>
      </c>
      <c r="S74">
        <f>VLOOKUP(Misfit[[#This Row],[Shortname]], Comp[], 15, FALSE)</f>
        <v>0</v>
      </c>
      <c r="T74">
        <f>VLOOKUP(Misfit[[#This Row],[Shortname]], Comp[], 16, FALSE)</f>
        <v>0</v>
      </c>
      <c r="U74">
        <f>VLOOKUP(Misfit[[#This Row],[Shortname]], Comp[], 17, FALSE)</f>
        <v>0</v>
      </c>
      <c r="V74">
        <f>VLOOKUP(Misfit[[#This Row],[Shortname]], Comp[], 18, FALSE)</f>
        <v>0</v>
      </c>
      <c r="W74">
        <f>VLOOKUP(Misfit[[#This Row],[Shortname]], Comp[], 19, FALSE)</f>
        <v>0</v>
      </c>
      <c r="X74">
        <f>VLOOKUP(Misfit[[#This Row],[Shortname]], Comp[], 20, FALSE)</f>
        <v>0</v>
      </c>
      <c r="Y74">
        <f>VLOOKUP(Misfit[[#This Row],[Shortname]], Comp[], 21, FALSE)</f>
        <v>0</v>
      </c>
      <c r="Z74">
        <f>VLOOKUP(Misfit[[#This Row],[Shortname]], Comp[], 22, FALSE)</f>
        <v>0</v>
      </c>
      <c r="AA74">
        <f>VLOOKUP(Misfit[[#This Row],[Shortname]], Comp[], 23, FALSE)</f>
        <v>0</v>
      </c>
      <c r="AB74">
        <f>VLOOKUP(Misfit[[#This Row],[Shortname]], Comp[], 24, FALSE)</f>
        <v>0</v>
      </c>
      <c r="AC74">
        <f>VLOOKUP(Misfit[[#This Row],[Shortname]], Comp[], 25, FALSE)</f>
        <v>0</v>
      </c>
      <c r="AD74">
        <f>VLOOKUP(Misfit[[#This Row],[Shortname]], Comp[], 26, FALSE)</f>
        <v>0</v>
      </c>
      <c r="AE74">
        <f>VLOOKUP(Misfit[[#This Row],[Shortname]], Comp[], 27, FALSE)</f>
        <v>0</v>
      </c>
      <c r="AF74">
        <f>VLOOKUP(Misfit[[#This Row],[Shortname]], Comp[], 28, FALSE)</f>
        <v>0</v>
      </c>
      <c r="AG74">
        <f>VLOOKUP(Misfit[[#This Row],[Shortname]], Comp[], 29, FALSE)</f>
        <v>0</v>
      </c>
      <c r="AH74">
        <f>VLOOKUP(Misfit[[#This Row],[Shortname]], Comp[], 30, FALSE)</f>
        <v>0</v>
      </c>
      <c r="AI74">
        <f>VLOOKUP(Misfit[[#This Row],[Shortname]], Comp[], 31, FALSE)</f>
        <v>0</v>
      </c>
    </row>
    <row r="75" spans="1:35" x14ac:dyDescent="0.3">
      <c r="A75" t="s">
        <v>1635</v>
      </c>
      <c r="B75" t="s">
        <v>1637</v>
      </c>
      <c r="C75" s="3" t="s">
        <v>1623</v>
      </c>
      <c r="D75" s="3">
        <v>650</v>
      </c>
      <c r="E75">
        <v>25</v>
      </c>
      <c r="F75">
        <v>0.35730000000000001</v>
      </c>
      <c r="G75">
        <v>0.35639999999999999</v>
      </c>
      <c r="H75" s="40">
        <f t="shared" si="2"/>
        <v>2.522068095838621E-3</v>
      </c>
      <c r="I75" t="s">
        <v>6608</v>
      </c>
      <c r="J75">
        <f>VLOOKUP(Misfit[[#This Row],[Shortname]], Comp[], 6, FALSE)</f>
        <v>208</v>
      </c>
      <c r="K75">
        <f>VLOOKUP(Misfit[[#This Row],[Shortname]], Comp[], 7, FALSE)</f>
        <v>58</v>
      </c>
      <c r="L75">
        <f>VLOOKUP(Misfit[[#This Row],[Shortname]], Comp[], 8, FALSE)</f>
        <v>30</v>
      </c>
      <c r="M75">
        <f>VLOOKUP(Misfit[[#This Row],[Shortname]], Comp[], 9, FALSE)</f>
        <v>7.5</v>
      </c>
      <c r="N75">
        <f>VLOOKUP(Misfit[[#This Row],[Shortname]], Comp[], 10, FALSE)</f>
        <v>2</v>
      </c>
      <c r="O75">
        <f>VLOOKUP(Misfit[[#This Row],[Shortname]], Comp[], 11, FALSE)</f>
        <v>0</v>
      </c>
      <c r="P75">
        <f>VLOOKUP(Misfit[[#This Row],[Shortname]], Comp[],12, FALSE)</f>
        <v>2.5</v>
      </c>
      <c r="Q75">
        <f>VLOOKUP(Misfit[[#This Row],[Shortname]], Comp[], 13, FALSE)</f>
        <v>0</v>
      </c>
      <c r="R75">
        <f>VLOOKUP(Misfit[[#This Row],[Shortname]], Comp[], 14, FALSE)</f>
        <v>0</v>
      </c>
      <c r="S75">
        <f>VLOOKUP(Misfit[[#This Row],[Shortname]], Comp[], 15, FALSE)</f>
        <v>0</v>
      </c>
      <c r="T75">
        <f>VLOOKUP(Misfit[[#This Row],[Shortname]], Comp[], 16, FALSE)</f>
        <v>0</v>
      </c>
      <c r="U75">
        <f>VLOOKUP(Misfit[[#This Row],[Shortname]], Comp[], 17, FALSE)</f>
        <v>0</v>
      </c>
      <c r="V75">
        <f>VLOOKUP(Misfit[[#This Row],[Shortname]], Comp[], 18, FALSE)</f>
        <v>0</v>
      </c>
      <c r="W75">
        <f>VLOOKUP(Misfit[[#This Row],[Shortname]], Comp[], 19, FALSE)</f>
        <v>0</v>
      </c>
      <c r="X75">
        <f>VLOOKUP(Misfit[[#This Row],[Shortname]], Comp[], 20, FALSE)</f>
        <v>0</v>
      </c>
      <c r="Y75">
        <f>VLOOKUP(Misfit[[#This Row],[Shortname]], Comp[], 21, FALSE)</f>
        <v>0</v>
      </c>
      <c r="Z75">
        <f>VLOOKUP(Misfit[[#This Row],[Shortname]], Comp[], 22, FALSE)</f>
        <v>0</v>
      </c>
      <c r="AA75">
        <f>VLOOKUP(Misfit[[#This Row],[Shortname]], Comp[], 23, FALSE)</f>
        <v>0</v>
      </c>
      <c r="AB75">
        <f>VLOOKUP(Misfit[[#This Row],[Shortname]], Comp[], 24, FALSE)</f>
        <v>0</v>
      </c>
      <c r="AC75">
        <f>VLOOKUP(Misfit[[#This Row],[Shortname]], Comp[], 25, FALSE)</f>
        <v>0</v>
      </c>
      <c r="AD75">
        <f>VLOOKUP(Misfit[[#This Row],[Shortname]], Comp[], 26, FALSE)</f>
        <v>0</v>
      </c>
      <c r="AE75">
        <f>VLOOKUP(Misfit[[#This Row],[Shortname]], Comp[], 27, FALSE)</f>
        <v>0</v>
      </c>
      <c r="AF75">
        <f>VLOOKUP(Misfit[[#This Row],[Shortname]], Comp[], 28, FALSE)</f>
        <v>0</v>
      </c>
      <c r="AG75">
        <f>VLOOKUP(Misfit[[#This Row],[Shortname]], Comp[], 29, FALSE)</f>
        <v>0</v>
      </c>
      <c r="AH75">
        <f>VLOOKUP(Misfit[[#This Row],[Shortname]], Comp[], 30, FALSE)</f>
        <v>0</v>
      </c>
      <c r="AI75">
        <f>VLOOKUP(Misfit[[#This Row],[Shortname]], Comp[], 31, FALSE)</f>
        <v>0</v>
      </c>
    </row>
    <row r="76" spans="1:35" x14ac:dyDescent="0.3">
      <c r="A76" t="s">
        <v>1641</v>
      </c>
      <c r="B76" t="s">
        <v>1484</v>
      </c>
      <c r="C76" s="3" t="s">
        <v>1623</v>
      </c>
      <c r="D76" s="3">
        <v>650</v>
      </c>
      <c r="E76">
        <v>25</v>
      </c>
      <c r="F76">
        <v>0.35830000000000001</v>
      </c>
      <c r="G76">
        <v>0.35549999999999998</v>
      </c>
      <c r="H76" s="40">
        <f t="shared" si="2"/>
        <v>7.8453348276828934E-3</v>
      </c>
      <c r="I76" t="s">
        <v>6606</v>
      </c>
      <c r="J76">
        <f>VLOOKUP(Misfit[[#This Row],[Shortname]], Comp[], 6, FALSE)</f>
        <v>209</v>
      </c>
      <c r="K76">
        <f>VLOOKUP(Misfit[[#This Row],[Shortname]], Comp[], 7, FALSE)</f>
        <v>58</v>
      </c>
      <c r="L76">
        <f>VLOOKUP(Misfit[[#This Row],[Shortname]], Comp[], 8, FALSE)</f>
        <v>30</v>
      </c>
      <c r="M76">
        <f>VLOOKUP(Misfit[[#This Row],[Shortname]], Comp[], 9, FALSE)</f>
        <v>7.5</v>
      </c>
      <c r="N76">
        <f>VLOOKUP(Misfit[[#This Row],[Shortname]], Comp[], 10, FALSE)</f>
        <v>0</v>
      </c>
      <c r="O76">
        <f>VLOOKUP(Misfit[[#This Row],[Shortname]], Comp[], 11, FALSE)</f>
        <v>0</v>
      </c>
      <c r="P76">
        <f>VLOOKUP(Misfit[[#This Row],[Shortname]], Comp[],12, FALSE)</f>
        <v>2.5</v>
      </c>
      <c r="Q76">
        <f>VLOOKUP(Misfit[[#This Row],[Shortname]], Comp[], 13, FALSE)</f>
        <v>0</v>
      </c>
      <c r="R76">
        <f>VLOOKUP(Misfit[[#This Row],[Shortname]], Comp[], 14, FALSE)</f>
        <v>0</v>
      </c>
      <c r="S76">
        <f>VLOOKUP(Misfit[[#This Row],[Shortname]], Comp[], 15, FALSE)</f>
        <v>0</v>
      </c>
      <c r="T76">
        <f>VLOOKUP(Misfit[[#This Row],[Shortname]], Comp[], 16, FALSE)</f>
        <v>2</v>
      </c>
      <c r="U76">
        <f>VLOOKUP(Misfit[[#This Row],[Shortname]], Comp[], 17, FALSE)</f>
        <v>0</v>
      </c>
      <c r="V76">
        <f>VLOOKUP(Misfit[[#This Row],[Shortname]], Comp[], 18, FALSE)</f>
        <v>0</v>
      </c>
      <c r="W76">
        <f>VLOOKUP(Misfit[[#This Row],[Shortname]], Comp[], 19, FALSE)</f>
        <v>0</v>
      </c>
      <c r="X76">
        <f>VLOOKUP(Misfit[[#This Row],[Shortname]], Comp[], 20, FALSE)</f>
        <v>0</v>
      </c>
      <c r="Y76">
        <f>VLOOKUP(Misfit[[#This Row],[Shortname]], Comp[], 21, FALSE)</f>
        <v>0</v>
      </c>
      <c r="Z76">
        <f>VLOOKUP(Misfit[[#This Row],[Shortname]], Comp[], 22, FALSE)</f>
        <v>0</v>
      </c>
      <c r="AA76">
        <f>VLOOKUP(Misfit[[#This Row],[Shortname]], Comp[], 23, FALSE)</f>
        <v>0</v>
      </c>
      <c r="AB76">
        <f>VLOOKUP(Misfit[[#This Row],[Shortname]], Comp[], 24, FALSE)</f>
        <v>0</v>
      </c>
      <c r="AC76">
        <f>VLOOKUP(Misfit[[#This Row],[Shortname]], Comp[], 25, FALSE)</f>
        <v>0</v>
      </c>
      <c r="AD76">
        <f>VLOOKUP(Misfit[[#This Row],[Shortname]], Comp[], 26, FALSE)</f>
        <v>0</v>
      </c>
      <c r="AE76">
        <f>VLOOKUP(Misfit[[#This Row],[Shortname]], Comp[], 27, FALSE)</f>
        <v>0</v>
      </c>
      <c r="AF76">
        <f>VLOOKUP(Misfit[[#This Row],[Shortname]], Comp[], 28, FALSE)</f>
        <v>0</v>
      </c>
      <c r="AG76">
        <f>VLOOKUP(Misfit[[#This Row],[Shortname]], Comp[], 29, FALSE)</f>
        <v>0</v>
      </c>
      <c r="AH76">
        <f>VLOOKUP(Misfit[[#This Row],[Shortname]], Comp[], 30, FALSE)</f>
        <v>0</v>
      </c>
      <c r="AI76">
        <f>VLOOKUP(Misfit[[#This Row],[Shortname]], Comp[], 31, FALSE)</f>
        <v>0</v>
      </c>
    </row>
    <row r="77" spans="1:35" x14ac:dyDescent="0.3">
      <c r="A77" t="s">
        <v>1641</v>
      </c>
      <c r="B77" t="s">
        <v>1484</v>
      </c>
      <c r="C77" s="3" t="s">
        <v>1623</v>
      </c>
      <c r="D77" s="3">
        <v>650</v>
      </c>
      <c r="E77">
        <v>25</v>
      </c>
      <c r="F77">
        <v>0.35830000000000001</v>
      </c>
      <c r="G77">
        <v>0.35599999999999998</v>
      </c>
      <c r="H77" s="40">
        <f t="shared" si="2"/>
        <v>6.4398712025760174E-3</v>
      </c>
      <c r="I77" t="s">
        <v>6607</v>
      </c>
      <c r="J77">
        <f>VLOOKUP(Misfit[[#This Row],[Shortname]], Comp[], 6, FALSE)</f>
        <v>209</v>
      </c>
      <c r="K77">
        <f>VLOOKUP(Misfit[[#This Row],[Shortname]], Comp[], 7, FALSE)</f>
        <v>58</v>
      </c>
      <c r="L77">
        <f>VLOOKUP(Misfit[[#This Row],[Shortname]], Comp[], 8, FALSE)</f>
        <v>30</v>
      </c>
      <c r="M77">
        <f>VLOOKUP(Misfit[[#This Row],[Shortname]], Comp[], 9, FALSE)</f>
        <v>7.5</v>
      </c>
      <c r="N77">
        <f>VLOOKUP(Misfit[[#This Row],[Shortname]], Comp[], 10, FALSE)</f>
        <v>0</v>
      </c>
      <c r="O77">
        <f>VLOOKUP(Misfit[[#This Row],[Shortname]], Comp[], 11, FALSE)</f>
        <v>0</v>
      </c>
      <c r="P77">
        <f>VLOOKUP(Misfit[[#This Row],[Shortname]], Comp[],12, FALSE)</f>
        <v>2.5</v>
      </c>
      <c r="Q77">
        <f>VLOOKUP(Misfit[[#This Row],[Shortname]], Comp[], 13, FALSE)</f>
        <v>0</v>
      </c>
      <c r="R77">
        <f>VLOOKUP(Misfit[[#This Row],[Shortname]], Comp[], 14, FALSE)</f>
        <v>0</v>
      </c>
      <c r="S77">
        <f>VLOOKUP(Misfit[[#This Row],[Shortname]], Comp[], 15, FALSE)</f>
        <v>0</v>
      </c>
      <c r="T77">
        <f>VLOOKUP(Misfit[[#This Row],[Shortname]], Comp[], 16, FALSE)</f>
        <v>2</v>
      </c>
      <c r="U77">
        <f>VLOOKUP(Misfit[[#This Row],[Shortname]], Comp[], 17, FALSE)</f>
        <v>0</v>
      </c>
      <c r="V77">
        <f>VLOOKUP(Misfit[[#This Row],[Shortname]], Comp[], 18, FALSE)</f>
        <v>0</v>
      </c>
      <c r="W77">
        <f>VLOOKUP(Misfit[[#This Row],[Shortname]], Comp[], 19, FALSE)</f>
        <v>0</v>
      </c>
      <c r="X77">
        <f>VLOOKUP(Misfit[[#This Row],[Shortname]], Comp[], 20, FALSE)</f>
        <v>0</v>
      </c>
      <c r="Y77">
        <f>VLOOKUP(Misfit[[#This Row],[Shortname]], Comp[], 21, FALSE)</f>
        <v>0</v>
      </c>
      <c r="Z77">
        <f>VLOOKUP(Misfit[[#This Row],[Shortname]], Comp[], 22, FALSE)</f>
        <v>0</v>
      </c>
      <c r="AA77">
        <f>VLOOKUP(Misfit[[#This Row],[Shortname]], Comp[], 23, FALSE)</f>
        <v>0</v>
      </c>
      <c r="AB77">
        <f>VLOOKUP(Misfit[[#This Row],[Shortname]], Comp[], 24, FALSE)</f>
        <v>0</v>
      </c>
      <c r="AC77">
        <f>VLOOKUP(Misfit[[#This Row],[Shortname]], Comp[], 25, FALSE)</f>
        <v>0</v>
      </c>
      <c r="AD77">
        <f>VLOOKUP(Misfit[[#This Row],[Shortname]], Comp[], 26, FALSE)</f>
        <v>0</v>
      </c>
      <c r="AE77">
        <f>VLOOKUP(Misfit[[#This Row],[Shortname]], Comp[], 27, FALSE)</f>
        <v>0</v>
      </c>
      <c r="AF77">
        <f>VLOOKUP(Misfit[[#This Row],[Shortname]], Comp[], 28, FALSE)</f>
        <v>0</v>
      </c>
      <c r="AG77">
        <f>VLOOKUP(Misfit[[#This Row],[Shortname]], Comp[], 29, FALSE)</f>
        <v>0</v>
      </c>
      <c r="AH77">
        <f>VLOOKUP(Misfit[[#This Row],[Shortname]], Comp[], 30, FALSE)</f>
        <v>0</v>
      </c>
      <c r="AI77">
        <f>VLOOKUP(Misfit[[#This Row],[Shortname]], Comp[], 31, FALSE)</f>
        <v>0</v>
      </c>
    </row>
    <row r="78" spans="1:35" x14ac:dyDescent="0.3">
      <c r="A78" t="s">
        <v>1641</v>
      </c>
      <c r="B78" t="s">
        <v>1484</v>
      </c>
      <c r="C78" s="3" t="s">
        <v>1623</v>
      </c>
      <c r="D78" s="3">
        <v>650</v>
      </c>
      <c r="E78">
        <v>25</v>
      </c>
      <c r="F78">
        <v>0.3579</v>
      </c>
      <c r="G78">
        <v>0.35630000000000001</v>
      </c>
      <c r="H78" s="40">
        <f t="shared" si="2"/>
        <v>4.4805376645197159E-3</v>
      </c>
      <c r="I78" t="s">
        <v>6608</v>
      </c>
      <c r="J78">
        <f>VLOOKUP(Misfit[[#This Row],[Shortname]], Comp[], 6, FALSE)</f>
        <v>209</v>
      </c>
      <c r="K78">
        <f>VLOOKUP(Misfit[[#This Row],[Shortname]], Comp[], 7, FALSE)</f>
        <v>58</v>
      </c>
      <c r="L78">
        <f>VLOOKUP(Misfit[[#This Row],[Shortname]], Comp[], 8, FALSE)</f>
        <v>30</v>
      </c>
      <c r="M78">
        <f>VLOOKUP(Misfit[[#This Row],[Shortname]], Comp[], 9, FALSE)</f>
        <v>7.5</v>
      </c>
      <c r="N78">
        <f>VLOOKUP(Misfit[[#This Row],[Shortname]], Comp[], 10, FALSE)</f>
        <v>0</v>
      </c>
      <c r="O78">
        <f>VLOOKUP(Misfit[[#This Row],[Shortname]], Comp[], 11, FALSE)</f>
        <v>0</v>
      </c>
      <c r="P78">
        <f>VLOOKUP(Misfit[[#This Row],[Shortname]], Comp[],12, FALSE)</f>
        <v>2.5</v>
      </c>
      <c r="Q78">
        <f>VLOOKUP(Misfit[[#This Row],[Shortname]], Comp[], 13, FALSE)</f>
        <v>0</v>
      </c>
      <c r="R78">
        <f>VLOOKUP(Misfit[[#This Row],[Shortname]], Comp[], 14, FALSE)</f>
        <v>0</v>
      </c>
      <c r="S78">
        <f>VLOOKUP(Misfit[[#This Row],[Shortname]], Comp[], 15, FALSE)</f>
        <v>0</v>
      </c>
      <c r="T78">
        <f>VLOOKUP(Misfit[[#This Row],[Shortname]], Comp[], 16, FALSE)</f>
        <v>2</v>
      </c>
      <c r="U78">
        <f>VLOOKUP(Misfit[[#This Row],[Shortname]], Comp[], 17, FALSE)</f>
        <v>0</v>
      </c>
      <c r="V78">
        <f>VLOOKUP(Misfit[[#This Row],[Shortname]], Comp[], 18, FALSE)</f>
        <v>0</v>
      </c>
      <c r="W78">
        <f>VLOOKUP(Misfit[[#This Row],[Shortname]], Comp[], 19, FALSE)</f>
        <v>0</v>
      </c>
      <c r="X78">
        <f>VLOOKUP(Misfit[[#This Row],[Shortname]], Comp[], 20, FALSE)</f>
        <v>0</v>
      </c>
      <c r="Y78">
        <f>VLOOKUP(Misfit[[#This Row],[Shortname]], Comp[], 21, FALSE)</f>
        <v>0</v>
      </c>
      <c r="Z78">
        <f>VLOOKUP(Misfit[[#This Row],[Shortname]], Comp[], 22, FALSE)</f>
        <v>0</v>
      </c>
      <c r="AA78">
        <f>VLOOKUP(Misfit[[#This Row],[Shortname]], Comp[], 23, FALSE)</f>
        <v>0</v>
      </c>
      <c r="AB78">
        <f>VLOOKUP(Misfit[[#This Row],[Shortname]], Comp[], 24, FALSE)</f>
        <v>0</v>
      </c>
      <c r="AC78">
        <f>VLOOKUP(Misfit[[#This Row],[Shortname]], Comp[], 25, FALSE)</f>
        <v>0</v>
      </c>
      <c r="AD78">
        <f>VLOOKUP(Misfit[[#This Row],[Shortname]], Comp[], 26, FALSE)</f>
        <v>0</v>
      </c>
      <c r="AE78">
        <f>VLOOKUP(Misfit[[#This Row],[Shortname]], Comp[], 27, FALSE)</f>
        <v>0</v>
      </c>
      <c r="AF78">
        <f>VLOOKUP(Misfit[[#This Row],[Shortname]], Comp[], 28, FALSE)</f>
        <v>0</v>
      </c>
      <c r="AG78">
        <f>VLOOKUP(Misfit[[#This Row],[Shortname]], Comp[], 29, FALSE)</f>
        <v>0</v>
      </c>
      <c r="AH78">
        <f>VLOOKUP(Misfit[[#This Row],[Shortname]], Comp[], 30, FALSE)</f>
        <v>0</v>
      </c>
      <c r="AI78">
        <f>VLOOKUP(Misfit[[#This Row],[Shortname]], Comp[], 31, FALSE)</f>
        <v>0</v>
      </c>
    </row>
    <row r="79" spans="1:35" x14ac:dyDescent="0.3">
      <c r="A79" t="s">
        <v>1620</v>
      </c>
      <c r="B79" t="s">
        <v>1622</v>
      </c>
      <c r="C79" s="3" t="s">
        <v>1623</v>
      </c>
      <c r="D79" s="3">
        <v>650</v>
      </c>
      <c r="E79">
        <v>25</v>
      </c>
      <c r="F79">
        <v>0.35809999999999997</v>
      </c>
      <c r="G79">
        <v>0.35520000000000002</v>
      </c>
      <c r="H79" s="40">
        <f t="shared" si="2"/>
        <v>8.1312210850973173E-3</v>
      </c>
      <c r="I79" t="s">
        <v>6606</v>
      </c>
      <c r="J79">
        <f>VLOOKUP(Misfit[[#This Row],[Shortname]], Comp[], 6, FALSE)</f>
        <v>206</v>
      </c>
      <c r="K79">
        <f>VLOOKUP(Misfit[[#This Row],[Shortname]], Comp[], 7, FALSE)</f>
        <v>60</v>
      </c>
      <c r="L79">
        <f>VLOOKUP(Misfit[[#This Row],[Shortname]], Comp[], 8, FALSE)</f>
        <v>30</v>
      </c>
      <c r="M79">
        <f>VLOOKUP(Misfit[[#This Row],[Shortname]], Comp[], 9, FALSE)</f>
        <v>6.7</v>
      </c>
      <c r="N79">
        <f>VLOOKUP(Misfit[[#This Row],[Shortname]], Comp[], 10, FALSE)</f>
        <v>0</v>
      </c>
      <c r="O79">
        <f>VLOOKUP(Misfit[[#This Row],[Shortname]], Comp[], 11, FALSE)</f>
        <v>0</v>
      </c>
      <c r="P79">
        <f>VLOOKUP(Misfit[[#This Row],[Shortname]], Comp[],12, FALSE)</f>
        <v>3.3</v>
      </c>
      <c r="Q79">
        <f>VLOOKUP(Misfit[[#This Row],[Shortname]], Comp[], 13, FALSE)</f>
        <v>0</v>
      </c>
      <c r="R79">
        <f>VLOOKUP(Misfit[[#This Row],[Shortname]], Comp[], 14, FALSE)</f>
        <v>0</v>
      </c>
      <c r="S79">
        <f>VLOOKUP(Misfit[[#This Row],[Shortname]], Comp[], 15, FALSE)</f>
        <v>0</v>
      </c>
      <c r="T79">
        <f>VLOOKUP(Misfit[[#This Row],[Shortname]], Comp[], 16, FALSE)</f>
        <v>0</v>
      </c>
      <c r="U79">
        <f>VLOOKUP(Misfit[[#This Row],[Shortname]], Comp[], 17, FALSE)</f>
        <v>0</v>
      </c>
      <c r="V79">
        <f>VLOOKUP(Misfit[[#This Row],[Shortname]], Comp[], 18, FALSE)</f>
        <v>0</v>
      </c>
      <c r="W79">
        <f>VLOOKUP(Misfit[[#This Row],[Shortname]], Comp[], 19, FALSE)</f>
        <v>0</v>
      </c>
      <c r="X79">
        <f>VLOOKUP(Misfit[[#This Row],[Shortname]], Comp[], 20, FALSE)</f>
        <v>0</v>
      </c>
      <c r="Y79">
        <f>VLOOKUP(Misfit[[#This Row],[Shortname]], Comp[], 21, FALSE)</f>
        <v>0</v>
      </c>
      <c r="Z79">
        <f>VLOOKUP(Misfit[[#This Row],[Shortname]], Comp[], 22, FALSE)</f>
        <v>0</v>
      </c>
      <c r="AA79">
        <f>VLOOKUP(Misfit[[#This Row],[Shortname]], Comp[], 23, FALSE)</f>
        <v>0</v>
      </c>
      <c r="AB79">
        <f>VLOOKUP(Misfit[[#This Row],[Shortname]], Comp[], 24, FALSE)</f>
        <v>0</v>
      </c>
      <c r="AC79">
        <f>VLOOKUP(Misfit[[#This Row],[Shortname]], Comp[], 25, FALSE)</f>
        <v>0</v>
      </c>
      <c r="AD79">
        <f>VLOOKUP(Misfit[[#This Row],[Shortname]], Comp[], 26, FALSE)</f>
        <v>0</v>
      </c>
      <c r="AE79">
        <f>VLOOKUP(Misfit[[#This Row],[Shortname]], Comp[], 27, FALSE)</f>
        <v>0</v>
      </c>
      <c r="AF79">
        <f>VLOOKUP(Misfit[[#This Row],[Shortname]], Comp[], 28, FALSE)</f>
        <v>0</v>
      </c>
      <c r="AG79">
        <f>VLOOKUP(Misfit[[#This Row],[Shortname]], Comp[], 29, FALSE)</f>
        <v>0</v>
      </c>
      <c r="AH79">
        <f>VLOOKUP(Misfit[[#This Row],[Shortname]], Comp[], 30, FALSE)</f>
        <v>0</v>
      </c>
      <c r="AI79">
        <f>VLOOKUP(Misfit[[#This Row],[Shortname]], Comp[], 31, FALSE)</f>
        <v>0</v>
      </c>
    </row>
    <row r="80" spans="1:35" x14ac:dyDescent="0.3">
      <c r="A80" t="s">
        <v>1620</v>
      </c>
      <c r="B80" t="s">
        <v>1622</v>
      </c>
      <c r="C80" s="3" t="s">
        <v>1623</v>
      </c>
      <c r="D80" s="3">
        <v>650</v>
      </c>
      <c r="E80">
        <v>25</v>
      </c>
      <c r="F80">
        <v>0.35820000000000002</v>
      </c>
      <c r="G80">
        <v>0.35580000000000001</v>
      </c>
      <c r="H80" s="40">
        <f t="shared" si="2"/>
        <v>6.7226890756302898E-3</v>
      </c>
      <c r="I80" t="s">
        <v>6607</v>
      </c>
      <c r="J80">
        <f>VLOOKUP(Misfit[[#This Row],[Shortname]], Comp[], 6, FALSE)</f>
        <v>206</v>
      </c>
      <c r="K80">
        <f>VLOOKUP(Misfit[[#This Row],[Shortname]], Comp[], 7, FALSE)</f>
        <v>60</v>
      </c>
      <c r="L80">
        <f>VLOOKUP(Misfit[[#This Row],[Shortname]], Comp[], 8, FALSE)</f>
        <v>30</v>
      </c>
      <c r="M80">
        <f>VLOOKUP(Misfit[[#This Row],[Shortname]], Comp[], 9, FALSE)</f>
        <v>6.7</v>
      </c>
      <c r="N80">
        <f>VLOOKUP(Misfit[[#This Row],[Shortname]], Comp[], 10, FALSE)</f>
        <v>0</v>
      </c>
      <c r="O80">
        <f>VLOOKUP(Misfit[[#This Row],[Shortname]], Comp[], 11, FALSE)</f>
        <v>0</v>
      </c>
      <c r="P80">
        <f>VLOOKUP(Misfit[[#This Row],[Shortname]], Comp[],12, FALSE)</f>
        <v>3.3</v>
      </c>
      <c r="Q80">
        <f>VLOOKUP(Misfit[[#This Row],[Shortname]], Comp[], 13, FALSE)</f>
        <v>0</v>
      </c>
      <c r="R80">
        <f>VLOOKUP(Misfit[[#This Row],[Shortname]], Comp[], 14, FALSE)</f>
        <v>0</v>
      </c>
      <c r="S80">
        <f>VLOOKUP(Misfit[[#This Row],[Shortname]], Comp[], 15, FALSE)</f>
        <v>0</v>
      </c>
      <c r="T80">
        <f>VLOOKUP(Misfit[[#This Row],[Shortname]], Comp[], 16, FALSE)</f>
        <v>0</v>
      </c>
      <c r="U80">
        <f>VLOOKUP(Misfit[[#This Row],[Shortname]], Comp[], 17, FALSE)</f>
        <v>0</v>
      </c>
      <c r="V80">
        <f>VLOOKUP(Misfit[[#This Row],[Shortname]], Comp[], 18, FALSE)</f>
        <v>0</v>
      </c>
      <c r="W80">
        <f>VLOOKUP(Misfit[[#This Row],[Shortname]], Comp[], 19, FALSE)</f>
        <v>0</v>
      </c>
      <c r="X80">
        <f>VLOOKUP(Misfit[[#This Row],[Shortname]], Comp[], 20, FALSE)</f>
        <v>0</v>
      </c>
      <c r="Y80">
        <f>VLOOKUP(Misfit[[#This Row],[Shortname]], Comp[], 21, FALSE)</f>
        <v>0</v>
      </c>
      <c r="Z80">
        <f>VLOOKUP(Misfit[[#This Row],[Shortname]], Comp[], 22, FALSE)</f>
        <v>0</v>
      </c>
      <c r="AA80">
        <f>VLOOKUP(Misfit[[#This Row],[Shortname]], Comp[], 23, FALSE)</f>
        <v>0</v>
      </c>
      <c r="AB80">
        <f>VLOOKUP(Misfit[[#This Row],[Shortname]], Comp[], 24, FALSE)</f>
        <v>0</v>
      </c>
      <c r="AC80">
        <f>VLOOKUP(Misfit[[#This Row],[Shortname]], Comp[], 25, FALSE)</f>
        <v>0</v>
      </c>
      <c r="AD80">
        <f>VLOOKUP(Misfit[[#This Row],[Shortname]], Comp[], 26, FALSE)</f>
        <v>0</v>
      </c>
      <c r="AE80">
        <f>VLOOKUP(Misfit[[#This Row],[Shortname]], Comp[], 27, FALSE)</f>
        <v>0</v>
      </c>
      <c r="AF80">
        <f>VLOOKUP(Misfit[[#This Row],[Shortname]], Comp[], 28, FALSE)</f>
        <v>0</v>
      </c>
      <c r="AG80">
        <f>VLOOKUP(Misfit[[#This Row],[Shortname]], Comp[], 29, FALSE)</f>
        <v>0</v>
      </c>
      <c r="AH80">
        <f>VLOOKUP(Misfit[[#This Row],[Shortname]], Comp[], 30, FALSE)</f>
        <v>0</v>
      </c>
      <c r="AI80">
        <f>VLOOKUP(Misfit[[#This Row],[Shortname]], Comp[], 31, FALSE)</f>
        <v>0</v>
      </c>
    </row>
    <row r="81" spans="1:35" x14ac:dyDescent="0.3">
      <c r="A81" t="s">
        <v>1620</v>
      </c>
      <c r="B81" t="s">
        <v>1622</v>
      </c>
      <c r="C81" s="3" t="s">
        <v>1623</v>
      </c>
      <c r="D81" s="3">
        <v>650</v>
      </c>
      <c r="E81">
        <v>25</v>
      </c>
      <c r="F81">
        <v>0.35799999999999998</v>
      </c>
      <c r="G81">
        <v>0.35620000000000002</v>
      </c>
      <c r="H81" s="40">
        <f t="shared" si="2"/>
        <v>5.0406048725846215E-3</v>
      </c>
      <c r="I81" t="s">
        <v>6608</v>
      </c>
      <c r="J81">
        <f>VLOOKUP(Misfit[[#This Row],[Shortname]], Comp[], 6, FALSE)</f>
        <v>206</v>
      </c>
      <c r="K81">
        <f>VLOOKUP(Misfit[[#This Row],[Shortname]], Comp[], 7, FALSE)</f>
        <v>60</v>
      </c>
      <c r="L81">
        <f>VLOOKUP(Misfit[[#This Row],[Shortname]], Comp[], 8, FALSE)</f>
        <v>30</v>
      </c>
      <c r="M81">
        <f>VLOOKUP(Misfit[[#This Row],[Shortname]], Comp[], 9, FALSE)</f>
        <v>6.7</v>
      </c>
      <c r="N81">
        <f>VLOOKUP(Misfit[[#This Row],[Shortname]], Comp[], 10, FALSE)</f>
        <v>0</v>
      </c>
      <c r="O81">
        <f>VLOOKUP(Misfit[[#This Row],[Shortname]], Comp[], 11, FALSE)</f>
        <v>0</v>
      </c>
      <c r="P81">
        <f>VLOOKUP(Misfit[[#This Row],[Shortname]], Comp[],12, FALSE)</f>
        <v>3.3</v>
      </c>
      <c r="Q81">
        <f>VLOOKUP(Misfit[[#This Row],[Shortname]], Comp[], 13, FALSE)</f>
        <v>0</v>
      </c>
      <c r="R81">
        <f>VLOOKUP(Misfit[[#This Row],[Shortname]], Comp[], 14, FALSE)</f>
        <v>0</v>
      </c>
      <c r="S81">
        <f>VLOOKUP(Misfit[[#This Row],[Shortname]], Comp[], 15, FALSE)</f>
        <v>0</v>
      </c>
      <c r="T81">
        <f>VLOOKUP(Misfit[[#This Row],[Shortname]], Comp[], 16, FALSE)</f>
        <v>0</v>
      </c>
      <c r="U81">
        <f>VLOOKUP(Misfit[[#This Row],[Shortname]], Comp[], 17, FALSE)</f>
        <v>0</v>
      </c>
      <c r="V81">
        <f>VLOOKUP(Misfit[[#This Row],[Shortname]], Comp[], 18, FALSE)</f>
        <v>0</v>
      </c>
      <c r="W81">
        <f>VLOOKUP(Misfit[[#This Row],[Shortname]], Comp[], 19, FALSE)</f>
        <v>0</v>
      </c>
      <c r="X81">
        <f>VLOOKUP(Misfit[[#This Row],[Shortname]], Comp[], 20, FALSE)</f>
        <v>0</v>
      </c>
      <c r="Y81">
        <f>VLOOKUP(Misfit[[#This Row],[Shortname]], Comp[], 21, FALSE)</f>
        <v>0</v>
      </c>
      <c r="Z81">
        <f>VLOOKUP(Misfit[[#This Row],[Shortname]], Comp[], 22, FALSE)</f>
        <v>0</v>
      </c>
      <c r="AA81">
        <f>VLOOKUP(Misfit[[#This Row],[Shortname]], Comp[], 23, FALSE)</f>
        <v>0</v>
      </c>
      <c r="AB81">
        <f>VLOOKUP(Misfit[[#This Row],[Shortname]], Comp[], 24, FALSE)</f>
        <v>0</v>
      </c>
      <c r="AC81">
        <f>VLOOKUP(Misfit[[#This Row],[Shortname]], Comp[], 25, FALSE)</f>
        <v>0</v>
      </c>
      <c r="AD81">
        <f>VLOOKUP(Misfit[[#This Row],[Shortname]], Comp[], 26, FALSE)</f>
        <v>0</v>
      </c>
      <c r="AE81">
        <f>VLOOKUP(Misfit[[#This Row],[Shortname]], Comp[], 27, FALSE)</f>
        <v>0</v>
      </c>
      <c r="AF81">
        <f>VLOOKUP(Misfit[[#This Row],[Shortname]], Comp[], 28, FALSE)</f>
        <v>0</v>
      </c>
      <c r="AG81">
        <f>VLOOKUP(Misfit[[#This Row],[Shortname]], Comp[], 29, FALSE)</f>
        <v>0</v>
      </c>
      <c r="AH81">
        <f>VLOOKUP(Misfit[[#This Row],[Shortname]], Comp[], 30, FALSE)</f>
        <v>0</v>
      </c>
      <c r="AI81">
        <f>VLOOKUP(Misfit[[#This Row],[Shortname]], Comp[], 31, FALSE)</f>
        <v>0</v>
      </c>
    </row>
    <row r="82" spans="1:35" x14ac:dyDescent="0.3">
      <c r="A82" t="s">
        <v>1653</v>
      </c>
      <c r="B82" t="s">
        <v>1655</v>
      </c>
      <c r="C82" s="3" t="s">
        <v>1656</v>
      </c>
      <c r="D82" s="3">
        <v>1000</v>
      </c>
      <c r="E82">
        <v>1093</v>
      </c>
      <c r="F82">
        <v>0.3639</v>
      </c>
      <c r="G82">
        <v>0.36380000000000001</v>
      </c>
      <c r="H82" s="40">
        <v>2.4000000000000001E-4</v>
      </c>
      <c r="I82" t="s">
        <v>6609</v>
      </c>
      <c r="J82">
        <f>VLOOKUP(Misfit[[#This Row],[Shortname]], Comp[], 6, FALSE)</f>
        <v>211</v>
      </c>
      <c r="K82">
        <f>VLOOKUP(Misfit[[#This Row],[Shortname]], Comp[], 7, FALSE)</f>
        <v>45</v>
      </c>
      <c r="L82">
        <f>VLOOKUP(Misfit[[#This Row],[Shortname]], Comp[], 8, FALSE)</f>
        <v>30</v>
      </c>
      <c r="M82">
        <f>VLOOKUP(Misfit[[#This Row],[Shortname]], Comp[], 9, FALSE)</f>
        <v>11</v>
      </c>
      <c r="N82">
        <f>VLOOKUP(Misfit[[#This Row],[Shortname]], Comp[], 10, FALSE)</f>
        <v>5</v>
      </c>
      <c r="O82">
        <f>VLOOKUP(Misfit[[#This Row],[Shortname]], Comp[], 11, FALSE)</f>
        <v>4</v>
      </c>
      <c r="P82">
        <f>VLOOKUP(Misfit[[#This Row],[Shortname]], Comp[],12, FALSE)</f>
        <v>4</v>
      </c>
      <c r="Q82">
        <f>VLOOKUP(Misfit[[#This Row],[Shortname]], Comp[], 13, FALSE)</f>
        <v>1</v>
      </c>
      <c r="R82">
        <f>VLOOKUP(Misfit[[#This Row],[Shortname]], Comp[], 14, FALSE)</f>
        <v>0</v>
      </c>
      <c r="S82">
        <f>VLOOKUP(Misfit[[#This Row],[Shortname]], Comp[], 15, FALSE)</f>
        <v>0</v>
      </c>
      <c r="T82">
        <f>VLOOKUP(Misfit[[#This Row],[Shortname]], Comp[], 16, FALSE)</f>
        <v>0</v>
      </c>
      <c r="U82">
        <f>VLOOKUP(Misfit[[#This Row],[Shortname]], Comp[], 17, FALSE)</f>
        <v>0</v>
      </c>
      <c r="V82">
        <f>VLOOKUP(Misfit[[#This Row],[Shortname]], Comp[], 18, FALSE)</f>
        <v>0</v>
      </c>
      <c r="W82">
        <f>VLOOKUP(Misfit[[#This Row],[Shortname]], Comp[], 19, FALSE)</f>
        <v>0</v>
      </c>
      <c r="X82">
        <f>VLOOKUP(Misfit[[#This Row],[Shortname]], Comp[], 20, FALSE)</f>
        <v>0</v>
      </c>
      <c r="Y82">
        <f>VLOOKUP(Misfit[[#This Row],[Shortname]], Comp[], 21, FALSE)</f>
        <v>0</v>
      </c>
      <c r="Z82">
        <f>VLOOKUP(Misfit[[#This Row],[Shortname]], Comp[], 22, FALSE)</f>
        <v>0</v>
      </c>
      <c r="AA82">
        <f>VLOOKUP(Misfit[[#This Row],[Shortname]], Comp[], 23, FALSE)</f>
        <v>0</v>
      </c>
      <c r="AB82">
        <f>VLOOKUP(Misfit[[#This Row],[Shortname]], Comp[], 24, FALSE)</f>
        <v>0</v>
      </c>
      <c r="AC82">
        <f>VLOOKUP(Misfit[[#This Row],[Shortname]], Comp[], 25, FALSE)</f>
        <v>0</v>
      </c>
      <c r="AD82">
        <f>VLOOKUP(Misfit[[#This Row],[Shortname]], Comp[], 26, FALSE)</f>
        <v>0</v>
      </c>
      <c r="AE82">
        <f>VLOOKUP(Misfit[[#This Row],[Shortname]], Comp[], 27, FALSE)</f>
        <v>0</v>
      </c>
      <c r="AF82">
        <f>VLOOKUP(Misfit[[#This Row],[Shortname]], Comp[], 28, FALSE)</f>
        <v>0</v>
      </c>
      <c r="AG82">
        <f>VLOOKUP(Misfit[[#This Row],[Shortname]], Comp[], 29, FALSE)</f>
        <v>0</v>
      </c>
      <c r="AH82">
        <f>VLOOKUP(Misfit[[#This Row],[Shortname]], Comp[], 30, FALSE)</f>
        <v>0</v>
      </c>
      <c r="AI82">
        <f>VLOOKUP(Misfit[[#This Row],[Shortname]], Comp[], 31, FALSE)</f>
        <v>0</v>
      </c>
    </row>
    <row r="83" spans="1:35" x14ac:dyDescent="0.3">
      <c r="A83" t="s">
        <v>2062</v>
      </c>
      <c r="B83" s="7" t="s">
        <v>2064</v>
      </c>
      <c r="C83" t="s">
        <v>6610</v>
      </c>
      <c r="D83">
        <v>800</v>
      </c>
      <c r="E83">
        <v>25</v>
      </c>
      <c r="F83">
        <v>3.5950000000000002</v>
      </c>
      <c r="G83">
        <v>3.569</v>
      </c>
      <c r="H83" s="40">
        <f t="shared" ref="H83:H87" si="3">2*(F83-G83)/(F83+G83)</f>
        <v>7.258514796203307E-3</v>
      </c>
      <c r="J83">
        <f>VLOOKUP(Misfit[[#This Row],[Shortname]], Comp[], 6, FALSE)</f>
        <v>271</v>
      </c>
      <c r="K83">
        <f>VLOOKUP(Misfit[[#This Row],[Shortname]], Comp[], 7, FALSE)</f>
        <v>87</v>
      </c>
      <c r="L83">
        <f>VLOOKUP(Misfit[[#This Row],[Shortname]], Comp[], 8, FALSE)</f>
        <v>0</v>
      </c>
      <c r="M83">
        <f>VLOOKUP(Misfit[[#This Row],[Shortname]], Comp[], 9, FALSE)</f>
        <v>0</v>
      </c>
      <c r="N83">
        <f>VLOOKUP(Misfit[[#This Row],[Shortname]], Comp[], 10, FALSE)</f>
        <v>0</v>
      </c>
      <c r="O83">
        <f>VLOOKUP(Misfit[[#This Row],[Shortname]], Comp[], 11, FALSE)</f>
        <v>0</v>
      </c>
      <c r="P83">
        <f>VLOOKUP(Misfit[[#This Row],[Shortname]], Comp[],12, FALSE)</f>
        <v>12</v>
      </c>
      <c r="Q83">
        <f>VLOOKUP(Misfit[[#This Row],[Shortname]], Comp[], 13, FALSE)</f>
        <v>0</v>
      </c>
      <c r="R83">
        <f>VLOOKUP(Misfit[[#This Row],[Shortname]], Comp[], 14, FALSE)</f>
        <v>0</v>
      </c>
      <c r="S83">
        <f>VLOOKUP(Misfit[[#This Row],[Shortname]], Comp[], 15, FALSE)</f>
        <v>0</v>
      </c>
      <c r="T83">
        <f>VLOOKUP(Misfit[[#This Row],[Shortname]], Comp[], 16, FALSE)</f>
        <v>0</v>
      </c>
      <c r="U83">
        <f>VLOOKUP(Misfit[[#This Row],[Shortname]], Comp[], 17, FALSE)</f>
        <v>0</v>
      </c>
      <c r="V83">
        <f>VLOOKUP(Misfit[[#This Row],[Shortname]], Comp[], 18, FALSE)</f>
        <v>0</v>
      </c>
      <c r="W83">
        <f>VLOOKUP(Misfit[[#This Row],[Shortname]], Comp[], 19, FALSE)</f>
        <v>0</v>
      </c>
      <c r="X83">
        <f>VLOOKUP(Misfit[[#This Row],[Shortname]], Comp[], 20, FALSE)</f>
        <v>0</v>
      </c>
      <c r="Y83">
        <f>VLOOKUP(Misfit[[#This Row],[Shortname]], Comp[], 21, FALSE)</f>
        <v>1</v>
      </c>
      <c r="Z83">
        <f>VLOOKUP(Misfit[[#This Row],[Shortname]], Comp[], 22, FALSE)</f>
        <v>0</v>
      </c>
      <c r="AA83">
        <f>VLOOKUP(Misfit[[#This Row],[Shortname]], Comp[], 23, FALSE)</f>
        <v>0</v>
      </c>
      <c r="AB83">
        <f>VLOOKUP(Misfit[[#This Row],[Shortname]], Comp[], 24, FALSE)</f>
        <v>0</v>
      </c>
      <c r="AC83">
        <f>VLOOKUP(Misfit[[#This Row],[Shortname]], Comp[], 25, FALSE)</f>
        <v>0</v>
      </c>
      <c r="AD83">
        <f>VLOOKUP(Misfit[[#This Row],[Shortname]], Comp[], 26, FALSE)</f>
        <v>0</v>
      </c>
      <c r="AE83">
        <f>VLOOKUP(Misfit[[#This Row],[Shortname]], Comp[], 27, FALSE)</f>
        <v>0</v>
      </c>
      <c r="AF83">
        <f>VLOOKUP(Misfit[[#This Row],[Shortname]], Comp[], 28, FALSE)</f>
        <v>0</v>
      </c>
      <c r="AG83">
        <f>VLOOKUP(Misfit[[#This Row],[Shortname]], Comp[], 29, FALSE)</f>
        <v>0</v>
      </c>
      <c r="AH83">
        <f>VLOOKUP(Misfit[[#This Row],[Shortname]], Comp[], 30, FALSE)</f>
        <v>0</v>
      </c>
      <c r="AI83">
        <f>VLOOKUP(Misfit[[#This Row],[Shortname]], Comp[], 31, FALSE)</f>
        <v>0</v>
      </c>
    </row>
    <row r="84" spans="1:35" x14ac:dyDescent="0.3">
      <c r="A84" t="s">
        <v>2070</v>
      </c>
      <c r="B84" t="s">
        <v>2072</v>
      </c>
      <c r="C84" t="s">
        <v>6610</v>
      </c>
      <c r="D84">
        <v>800</v>
      </c>
      <c r="E84">
        <v>25</v>
      </c>
      <c r="F84">
        <v>3.6349999999999998</v>
      </c>
      <c r="G84">
        <v>3.6139999999999999</v>
      </c>
      <c r="H84" s="40">
        <f t="shared" si="3"/>
        <v>5.7939026072561482E-3</v>
      </c>
      <c r="J84">
        <f>VLOOKUP(Misfit[[#This Row],[Shortname]], Comp[], 6, FALSE)</f>
        <v>272</v>
      </c>
      <c r="K84">
        <f>VLOOKUP(Misfit[[#This Row],[Shortname]], Comp[], 7, FALSE)</f>
        <v>85</v>
      </c>
      <c r="L84">
        <f>VLOOKUP(Misfit[[#This Row],[Shortname]], Comp[], 8, FALSE)</f>
        <v>0</v>
      </c>
      <c r="M84">
        <f>VLOOKUP(Misfit[[#This Row],[Shortname]], Comp[], 9, FALSE)</f>
        <v>0</v>
      </c>
      <c r="N84">
        <f>VLOOKUP(Misfit[[#This Row],[Shortname]], Comp[], 10, FALSE)</f>
        <v>0</v>
      </c>
      <c r="O84">
        <f>VLOOKUP(Misfit[[#This Row],[Shortname]], Comp[], 11, FALSE)</f>
        <v>0</v>
      </c>
      <c r="P84">
        <f>VLOOKUP(Misfit[[#This Row],[Shortname]], Comp[],12, FALSE)</f>
        <v>12</v>
      </c>
      <c r="Q84">
        <f>VLOOKUP(Misfit[[#This Row],[Shortname]], Comp[], 13, FALSE)</f>
        <v>0</v>
      </c>
      <c r="R84">
        <f>VLOOKUP(Misfit[[#This Row],[Shortname]], Comp[], 14, FALSE)</f>
        <v>0</v>
      </c>
      <c r="S84">
        <f>VLOOKUP(Misfit[[#This Row],[Shortname]], Comp[], 15, FALSE)</f>
        <v>0</v>
      </c>
      <c r="T84">
        <f>VLOOKUP(Misfit[[#This Row],[Shortname]], Comp[], 16, FALSE)</f>
        <v>0</v>
      </c>
      <c r="U84">
        <f>VLOOKUP(Misfit[[#This Row],[Shortname]], Comp[], 17, FALSE)</f>
        <v>0</v>
      </c>
      <c r="V84">
        <f>VLOOKUP(Misfit[[#This Row],[Shortname]], Comp[], 18, FALSE)</f>
        <v>0</v>
      </c>
      <c r="W84">
        <f>VLOOKUP(Misfit[[#This Row],[Shortname]], Comp[], 19, FALSE)</f>
        <v>0</v>
      </c>
      <c r="X84">
        <f>VLOOKUP(Misfit[[#This Row],[Shortname]], Comp[], 20, FALSE)</f>
        <v>0</v>
      </c>
      <c r="Y84">
        <f>VLOOKUP(Misfit[[#This Row],[Shortname]], Comp[], 21, FALSE)</f>
        <v>3</v>
      </c>
      <c r="Z84">
        <f>VLOOKUP(Misfit[[#This Row],[Shortname]], Comp[], 22, FALSE)</f>
        <v>0</v>
      </c>
      <c r="AA84">
        <f>VLOOKUP(Misfit[[#This Row],[Shortname]], Comp[], 23, FALSE)</f>
        <v>0</v>
      </c>
      <c r="AB84">
        <f>VLOOKUP(Misfit[[#This Row],[Shortname]], Comp[], 24, FALSE)</f>
        <v>0</v>
      </c>
      <c r="AC84">
        <f>VLOOKUP(Misfit[[#This Row],[Shortname]], Comp[], 25, FALSE)</f>
        <v>0</v>
      </c>
      <c r="AD84">
        <f>VLOOKUP(Misfit[[#This Row],[Shortname]], Comp[], 26, FALSE)</f>
        <v>0</v>
      </c>
      <c r="AE84">
        <f>VLOOKUP(Misfit[[#This Row],[Shortname]], Comp[], 27, FALSE)</f>
        <v>0</v>
      </c>
      <c r="AF84">
        <f>VLOOKUP(Misfit[[#This Row],[Shortname]], Comp[], 28, FALSE)</f>
        <v>0</v>
      </c>
      <c r="AG84">
        <f>VLOOKUP(Misfit[[#This Row],[Shortname]], Comp[], 29, FALSE)</f>
        <v>0</v>
      </c>
      <c r="AH84">
        <f>VLOOKUP(Misfit[[#This Row],[Shortname]], Comp[], 30, FALSE)</f>
        <v>0</v>
      </c>
      <c r="AI84">
        <f>VLOOKUP(Misfit[[#This Row],[Shortname]], Comp[], 31, FALSE)</f>
        <v>0</v>
      </c>
    </row>
    <row r="85" spans="1:35" x14ac:dyDescent="0.3">
      <c r="A85" t="s">
        <v>2077</v>
      </c>
      <c r="B85" t="s">
        <v>2079</v>
      </c>
      <c r="C85" t="s">
        <v>6610</v>
      </c>
      <c r="D85">
        <v>800</v>
      </c>
      <c r="E85">
        <v>25</v>
      </c>
      <c r="F85">
        <v>3.6419999999999999</v>
      </c>
      <c r="G85">
        <v>3.6240000000000001</v>
      </c>
      <c r="H85" s="40">
        <f t="shared" si="3"/>
        <v>4.9545829892650136E-3</v>
      </c>
      <c r="J85">
        <f>VLOOKUP(Misfit[[#This Row],[Shortname]], Comp[], 6, FALSE)</f>
        <v>273</v>
      </c>
      <c r="K85">
        <f>VLOOKUP(Misfit[[#This Row],[Shortname]], Comp[], 7, FALSE)</f>
        <v>83</v>
      </c>
      <c r="L85">
        <f>VLOOKUP(Misfit[[#This Row],[Shortname]], Comp[], 8, FALSE)</f>
        <v>0</v>
      </c>
      <c r="M85">
        <f>VLOOKUP(Misfit[[#This Row],[Shortname]], Comp[], 9, FALSE)</f>
        <v>0</v>
      </c>
      <c r="N85">
        <f>VLOOKUP(Misfit[[#This Row],[Shortname]], Comp[], 10, FALSE)</f>
        <v>0</v>
      </c>
      <c r="O85">
        <f>VLOOKUP(Misfit[[#This Row],[Shortname]], Comp[], 11, FALSE)</f>
        <v>0</v>
      </c>
      <c r="P85">
        <f>VLOOKUP(Misfit[[#This Row],[Shortname]], Comp[],12, FALSE)</f>
        <v>12</v>
      </c>
      <c r="Q85">
        <f>VLOOKUP(Misfit[[#This Row],[Shortname]], Comp[], 13, FALSE)</f>
        <v>0</v>
      </c>
      <c r="R85">
        <f>VLOOKUP(Misfit[[#This Row],[Shortname]], Comp[], 14, FALSE)</f>
        <v>0</v>
      </c>
      <c r="S85">
        <f>VLOOKUP(Misfit[[#This Row],[Shortname]], Comp[], 15, FALSE)</f>
        <v>0</v>
      </c>
      <c r="T85">
        <f>VLOOKUP(Misfit[[#This Row],[Shortname]], Comp[], 16, FALSE)</f>
        <v>0</v>
      </c>
      <c r="U85">
        <f>VLOOKUP(Misfit[[#This Row],[Shortname]], Comp[], 17, FALSE)</f>
        <v>0</v>
      </c>
      <c r="V85">
        <f>VLOOKUP(Misfit[[#This Row],[Shortname]], Comp[], 18, FALSE)</f>
        <v>0</v>
      </c>
      <c r="W85">
        <f>VLOOKUP(Misfit[[#This Row],[Shortname]], Comp[], 19, FALSE)</f>
        <v>0</v>
      </c>
      <c r="X85">
        <f>VLOOKUP(Misfit[[#This Row],[Shortname]], Comp[], 20, FALSE)</f>
        <v>0</v>
      </c>
      <c r="Y85">
        <f>VLOOKUP(Misfit[[#This Row],[Shortname]], Comp[], 21, FALSE)</f>
        <v>5</v>
      </c>
      <c r="Z85">
        <f>VLOOKUP(Misfit[[#This Row],[Shortname]], Comp[], 22, FALSE)</f>
        <v>0</v>
      </c>
      <c r="AA85">
        <f>VLOOKUP(Misfit[[#This Row],[Shortname]], Comp[], 23, FALSE)</f>
        <v>0</v>
      </c>
      <c r="AB85">
        <f>VLOOKUP(Misfit[[#This Row],[Shortname]], Comp[], 24, FALSE)</f>
        <v>0</v>
      </c>
      <c r="AC85">
        <f>VLOOKUP(Misfit[[#This Row],[Shortname]], Comp[], 25, FALSE)</f>
        <v>0</v>
      </c>
      <c r="AD85">
        <f>VLOOKUP(Misfit[[#This Row],[Shortname]], Comp[], 26, FALSE)</f>
        <v>0</v>
      </c>
      <c r="AE85">
        <f>VLOOKUP(Misfit[[#This Row],[Shortname]], Comp[], 27, FALSE)</f>
        <v>0</v>
      </c>
      <c r="AF85">
        <f>VLOOKUP(Misfit[[#This Row],[Shortname]], Comp[], 28, FALSE)</f>
        <v>0</v>
      </c>
      <c r="AG85">
        <f>VLOOKUP(Misfit[[#This Row],[Shortname]], Comp[], 29, FALSE)</f>
        <v>0</v>
      </c>
      <c r="AH85">
        <f>VLOOKUP(Misfit[[#This Row],[Shortname]], Comp[], 30, FALSE)</f>
        <v>0</v>
      </c>
      <c r="AI85">
        <f>VLOOKUP(Misfit[[#This Row],[Shortname]], Comp[], 31, FALSE)</f>
        <v>0</v>
      </c>
    </row>
    <row r="86" spans="1:35" x14ac:dyDescent="0.3">
      <c r="A86" t="s">
        <v>2124</v>
      </c>
      <c r="B86" s="8" t="s">
        <v>2126</v>
      </c>
      <c r="C86" t="s">
        <v>6611</v>
      </c>
      <c r="D86">
        <v>1000</v>
      </c>
      <c r="E86">
        <v>25</v>
      </c>
      <c r="F86">
        <v>0.3584</v>
      </c>
      <c r="G86">
        <v>0.35730000000000001</v>
      </c>
      <c r="H86" s="40">
        <f t="shared" si="3"/>
        <v>3.0739136509710489E-3</v>
      </c>
      <c r="J86">
        <f>VLOOKUP(Misfit[[#This Row],[Shortname]], Comp[], 6, FALSE)</f>
        <v>279</v>
      </c>
      <c r="K86">
        <f>VLOOKUP(Misfit[[#This Row],[Shortname]], Comp[], 7, FALSE)</f>
        <v>45</v>
      </c>
      <c r="L86">
        <f>VLOOKUP(Misfit[[#This Row],[Shortname]], Comp[], 8, FALSE)</f>
        <v>30</v>
      </c>
      <c r="M86">
        <f>VLOOKUP(Misfit[[#This Row],[Shortname]], Comp[], 9, FALSE)</f>
        <v>9</v>
      </c>
      <c r="N86">
        <f>VLOOKUP(Misfit[[#This Row],[Shortname]], Comp[], 10, FALSE)</f>
        <v>5</v>
      </c>
      <c r="O86">
        <f>VLOOKUP(Misfit[[#This Row],[Shortname]], Comp[], 11, FALSE)</f>
        <v>6</v>
      </c>
      <c r="P86">
        <f>VLOOKUP(Misfit[[#This Row],[Shortname]], Comp[],12, FALSE)</f>
        <v>4</v>
      </c>
      <c r="Q86">
        <f>VLOOKUP(Misfit[[#This Row],[Shortname]], Comp[], 13, FALSE)</f>
        <v>1</v>
      </c>
      <c r="R86">
        <f>VLOOKUP(Misfit[[#This Row],[Shortname]], Comp[], 14, FALSE)</f>
        <v>0</v>
      </c>
      <c r="S86">
        <f>VLOOKUP(Misfit[[#This Row],[Shortname]], Comp[], 15, FALSE)</f>
        <v>0</v>
      </c>
      <c r="T86">
        <f>VLOOKUP(Misfit[[#This Row],[Shortname]], Comp[], 16, FALSE)</f>
        <v>0</v>
      </c>
      <c r="U86">
        <f>VLOOKUP(Misfit[[#This Row],[Shortname]], Comp[], 17, FALSE)</f>
        <v>0</v>
      </c>
      <c r="V86">
        <f>VLOOKUP(Misfit[[#This Row],[Shortname]], Comp[], 18, FALSE)</f>
        <v>0</v>
      </c>
      <c r="W86">
        <f>VLOOKUP(Misfit[[#This Row],[Shortname]], Comp[], 19, FALSE)</f>
        <v>0</v>
      </c>
      <c r="X86">
        <f>VLOOKUP(Misfit[[#This Row],[Shortname]], Comp[], 20, FALSE)</f>
        <v>0</v>
      </c>
      <c r="Y86">
        <f>VLOOKUP(Misfit[[#This Row],[Shortname]], Comp[], 21, FALSE)</f>
        <v>0</v>
      </c>
      <c r="Z86">
        <f>VLOOKUP(Misfit[[#This Row],[Shortname]], Comp[], 22, FALSE)</f>
        <v>0</v>
      </c>
      <c r="AA86">
        <f>VLOOKUP(Misfit[[#This Row],[Shortname]], Comp[], 23, FALSE)</f>
        <v>0</v>
      </c>
      <c r="AB86">
        <f>VLOOKUP(Misfit[[#This Row],[Shortname]], Comp[], 24, FALSE)</f>
        <v>0</v>
      </c>
      <c r="AC86">
        <f>VLOOKUP(Misfit[[#This Row],[Shortname]], Comp[], 25, FALSE)</f>
        <v>0</v>
      </c>
      <c r="AD86">
        <f>VLOOKUP(Misfit[[#This Row],[Shortname]], Comp[], 26, FALSE)</f>
        <v>0</v>
      </c>
      <c r="AE86">
        <f>VLOOKUP(Misfit[[#This Row],[Shortname]], Comp[], 27, FALSE)</f>
        <v>0</v>
      </c>
      <c r="AF86">
        <f>VLOOKUP(Misfit[[#This Row],[Shortname]], Comp[], 28, FALSE)</f>
        <v>0</v>
      </c>
      <c r="AG86">
        <f>VLOOKUP(Misfit[[#This Row],[Shortname]], Comp[], 29, FALSE)</f>
        <v>0</v>
      </c>
      <c r="AH86">
        <f>VLOOKUP(Misfit[[#This Row],[Shortname]], Comp[], 30, FALSE)</f>
        <v>0</v>
      </c>
      <c r="AI86">
        <f>VLOOKUP(Misfit[[#This Row],[Shortname]], Comp[], 31, FALSE)</f>
        <v>0</v>
      </c>
    </row>
    <row r="87" spans="1:35" x14ac:dyDescent="0.3">
      <c r="A87" t="s">
        <v>1653</v>
      </c>
      <c r="B87" t="s">
        <v>2139</v>
      </c>
      <c r="C87" t="s">
        <v>6611</v>
      </c>
      <c r="D87">
        <v>1000</v>
      </c>
      <c r="E87">
        <v>25</v>
      </c>
      <c r="F87">
        <v>0.35780000000000001</v>
      </c>
      <c r="G87">
        <v>0.35649999999999998</v>
      </c>
      <c r="H87" s="40">
        <f t="shared" si="3"/>
        <v>3.6399272014560366E-3</v>
      </c>
      <c r="J87">
        <f>VLOOKUP(Misfit[[#This Row],[Shortname]], Comp[], 6, FALSE)</f>
        <v>211</v>
      </c>
      <c r="K87">
        <f>VLOOKUP(Misfit[[#This Row],[Shortname]], Comp[], 7, FALSE)</f>
        <v>45</v>
      </c>
      <c r="L87">
        <f>VLOOKUP(Misfit[[#This Row],[Shortname]], Comp[], 8, FALSE)</f>
        <v>30</v>
      </c>
      <c r="M87">
        <f>VLOOKUP(Misfit[[#This Row],[Shortname]], Comp[], 9, FALSE)</f>
        <v>11</v>
      </c>
      <c r="N87">
        <f>VLOOKUP(Misfit[[#This Row],[Shortname]], Comp[], 10, FALSE)</f>
        <v>5</v>
      </c>
      <c r="O87">
        <f>VLOOKUP(Misfit[[#This Row],[Shortname]], Comp[], 11, FALSE)</f>
        <v>4</v>
      </c>
      <c r="P87">
        <f>VLOOKUP(Misfit[[#This Row],[Shortname]], Comp[],12, FALSE)</f>
        <v>4</v>
      </c>
      <c r="Q87">
        <f>VLOOKUP(Misfit[[#This Row],[Shortname]], Comp[], 13, FALSE)</f>
        <v>1</v>
      </c>
      <c r="R87">
        <f>VLOOKUP(Misfit[[#This Row],[Shortname]], Comp[], 14, FALSE)</f>
        <v>0</v>
      </c>
      <c r="S87">
        <f>VLOOKUP(Misfit[[#This Row],[Shortname]], Comp[], 15, FALSE)</f>
        <v>0</v>
      </c>
      <c r="T87">
        <f>VLOOKUP(Misfit[[#This Row],[Shortname]], Comp[], 16, FALSE)</f>
        <v>0</v>
      </c>
      <c r="U87">
        <f>VLOOKUP(Misfit[[#This Row],[Shortname]], Comp[], 17, FALSE)</f>
        <v>0</v>
      </c>
      <c r="V87">
        <f>VLOOKUP(Misfit[[#This Row],[Shortname]], Comp[], 18, FALSE)</f>
        <v>0</v>
      </c>
      <c r="W87">
        <f>VLOOKUP(Misfit[[#This Row],[Shortname]], Comp[], 19, FALSE)</f>
        <v>0</v>
      </c>
      <c r="X87">
        <f>VLOOKUP(Misfit[[#This Row],[Shortname]], Comp[], 20, FALSE)</f>
        <v>0</v>
      </c>
      <c r="Y87">
        <f>VLOOKUP(Misfit[[#This Row],[Shortname]], Comp[], 21, FALSE)</f>
        <v>0</v>
      </c>
      <c r="Z87">
        <f>VLOOKUP(Misfit[[#This Row],[Shortname]], Comp[], 22, FALSE)</f>
        <v>0</v>
      </c>
      <c r="AA87">
        <f>VLOOKUP(Misfit[[#This Row],[Shortname]], Comp[], 23, FALSE)</f>
        <v>0</v>
      </c>
      <c r="AB87">
        <f>VLOOKUP(Misfit[[#This Row],[Shortname]], Comp[], 24, FALSE)</f>
        <v>0</v>
      </c>
      <c r="AC87">
        <f>VLOOKUP(Misfit[[#This Row],[Shortname]], Comp[], 25, FALSE)</f>
        <v>0</v>
      </c>
      <c r="AD87">
        <f>VLOOKUP(Misfit[[#This Row],[Shortname]], Comp[], 26, FALSE)</f>
        <v>0</v>
      </c>
      <c r="AE87">
        <f>VLOOKUP(Misfit[[#This Row],[Shortname]], Comp[], 27, FALSE)</f>
        <v>0</v>
      </c>
      <c r="AF87">
        <f>VLOOKUP(Misfit[[#This Row],[Shortname]], Comp[], 28, FALSE)</f>
        <v>0</v>
      </c>
      <c r="AG87">
        <f>VLOOKUP(Misfit[[#This Row],[Shortname]], Comp[], 29, FALSE)</f>
        <v>0</v>
      </c>
      <c r="AH87">
        <f>VLOOKUP(Misfit[[#This Row],[Shortname]], Comp[], 30, FALSE)</f>
        <v>0</v>
      </c>
      <c r="AI87">
        <f>VLOOKUP(Misfit[[#This Row],[Shortname]], Comp[], 31, FALSE)</f>
        <v>0</v>
      </c>
    </row>
    <row r="88" spans="1:35" x14ac:dyDescent="0.3">
      <c r="A88" t="s">
        <v>2149</v>
      </c>
      <c r="B88" t="s">
        <v>2150</v>
      </c>
      <c r="C88" t="s">
        <v>6612</v>
      </c>
      <c r="D88">
        <v>20.100000000000001</v>
      </c>
      <c r="E88">
        <v>25</v>
      </c>
      <c r="F88">
        <v>0.36</v>
      </c>
      <c r="G88">
        <v>0.3579</v>
      </c>
      <c r="H88" s="40">
        <v>5.9199999999999999E-3</v>
      </c>
      <c r="J88">
        <f>VLOOKUP(Misfit[[#This Row],[Shortname]], Comp[], 6, FALSE)</f>
        <v>284</v>
      </c>
      <c r="K88">
        <f>VLOOKUP(Misfit[[#This Row],[Shortname]], Comp[], 7, FALSE)</f>
        <v>80</v>
      </c>
      <c r="L88">
        <f>VLOOKUP(Misfit[[#This Row],[Shortname]], Comp[], 8, FALSE)</f>
        <v>0</v>
      </c>
      <c r="M88">
        <f>VLOOKUP(Misfit[[#This Row],[Shortname]], Comp[], 9, FALSE)</f>
        <v>9</v>
      </c>
      <c r="N88">
        <f>VLOOKUP(Misfit[[#This Row],[Shortname]], Comp[], 10, FALSE)</f>
        <v>0</v>
      </c>
      <c r="O88">
        <f>VLOOKUP(Misfit[[#This Row],[Shortname]], Comp[], 11, FALSE)</f>
        <v>11</v>
      </c>
      <c r="P88">
        <f>VLOOKUP(Misfit[[#This Row],[Shortname]], Comp[],12, FALSE)</f>
        <v>0</v>
      </c>
      <c r="Q88">
        <f>VLOOKUP(Misfit[[#This Row],[Shortname]], Comp[], 13, FALSE)</f>
        <v>0</v>
      </c>
      <c r="R88">
        <f>VLOOKUP(Misfit[[#This Row],[Shortname]], Comp[], 14, FALSE)</f>
        <v>0</v>
      </c>
      <c r="S88">
        <f>VLOOKUP(Misfit[[#This Row],[Shortname]], Comp[], 15, FALSE)</f>
        <v>0</v>
      </c>
      <c r="T88">
        <f>VLOOKUP(Misfit[[#This Row],[Shortname]], Comp[], 16, FALSE)</f>
        <v>0</v>
      </c>
      <c r="U88">
        <f>VLOOKUP(Misfit[[#This Row],[Shortname]], Comp[], 17, FALSE)</f>
        <v>0</v>
      </c>
      <c r="V88">
        <f>VLOOKUP(Misfit[[#This Row],[Shortname]], Comp[], 18, FALSE)</f>
        <v>0</v>
      </c>
      <c r="W88">
        <f>VLOOKUP(Misfit[[#This Row],[Shortname]], Comp[], 19, FALSE)</f>
        <v>0</v>
      </c>
      <c r="X88">
        <f>VLOOKUP(Misfit[[#This Row],[Shortname]], Comp[], 20, FALSE)</f>
        <v>0</v>
      </c>
      <c r="Y88">
        <f>VLOOKUP(Misfit[[#This Row],[Shortname]], Comp[], 21, FALSE)</f>
        <v>0</v>
      </c>
      <c r="Z88">
        <f>VLOOKUP(Misfit[[#This Row],[Shortname]], Comp[], 22, FALSE)</f>
        <v>0</v>
      </c>
      <c r="AA88">
        <f>VLOOKUP(Misfit[[#This Row],[Shortname]], Comp[], 23, FALSE)</f>
        <v>0</v>
      </c>
      <c r="AB88">
        <f>VLOOKUP(Misfit[[#This Row],[Shortname]], Comp[], 24, FALSE)</f>
        <v>0</v>
      </c>
      <c r="AC88">
        <f>VLOOKUP(Misfit[[#This Row],[Shortname]], Comp[], 25, FALSE)</f>
        <v>0</v>
      </c>
      <c r="AD88">
        <f>VLOOKUP(Misfit[[#This Row],[Shortname]], Comp[], 26, FALSE)</f>
        <v>0</v>
      </c>
      <c r="AE88">
        <f>VLOOKUP(Misfit[[#This Row],[Shortname]], Comp[], 27, FALSE)</f>
        <v>0</v>
      </c>
      <c r="AF88">
        <f>VLOOKUP(Misfit[[#This Row],[Shortname]], Comp[], 28, FALSE)</f>
        <v>0</v>
      </c>
      <c r="AG88">
        <f>VLOOKUP(Misfit[[#This Row],[Shortname]], Comp[], 29, FALSE)</f>
        <v>0</v>
      </c>
      <c r="AH88">
        <f>VLOOKUP(Misfit[[#This Row],[Shortname]], Comp[], 30, FALSE)</f>
        <v>0</v>
      </c>
      <c r="AI88">
        <f>VLOOKUP(Misfit[[#This Row],[Shortname]], Comp[], 31, FALSE)</f>
        <v>0</v>
      </c>
    </row>
    <row r="89" spans="1:35" x14ac:dyDescent="0.3">
      <c r="A89" t="s">
        <v>2149</v>
      </c>
      <c r="B89" t="s">
        <v>2150</v>
      </c>
      <c r="C89" t="s">
        <v>6612</v>
      </c>
      <c r="D89">
        <v>900</v>
      </c>
      <c r="E89">
        <v>200</v>
      </c>
      <c r="F89">
        <v>0.36080000000000001</v>
      </c>
      <c r="G89">
        <v>0.35880000000000001</v>
      </c>
      <c r="H89" s="40">
        <v>5.8799999999999998E-3</v>
      </c>
      <c r="J89">
        <f>VLOOKUP(Misfit[[#This Row],[Shortname]], Comp[], 6, FALSE)</f>
        <v>284</v>
      </c>
      <c r="K89">
        <f>VLOOKUP(Misfit[[#This Row],[Shortname]], Comp[], 7, FALSE)</f>
        <v>80</v>
      </c>
      <c r="L89">
        <f>VLOOKUP(Misfit[[#This Row],[Shortname]], Comp[], 8, FALSE)</f>
        <v>0</v>
      </c>
      <c r="M89">
        <f>VLOOKUP(Misfit[[#This Row],[Shortname]], Comp[], 9, FALSE)</f>
        <v>9</v>
      </c>
      <c r="N89">
        <f>VLOOKUP(Misfit[[#This Row],[Shortname]], Comp[], 10, FALSE)</f>
        <v>0</v>
      </c>
      <c r="O89">
        <f>VLOOKUP(Misfit[[#This Row],[Shortname]], Comp[], 11, FALSE)</f>
        <v>11</v>
      </c>
      <c r="P89">
        <f>VLOOKUP(Misfit[[#This Row],[Shortname]], Comp[],12, FALSE)</f>
        <v>0</v>
      </c>
      <c r="Q89">
        <f>VLOOKUP(Misfit[[#This Row],[Shortname]], Comp[], 13, FALSE)</f>
        <v>0</v>
      </c>
      <c r="R89">
        <f>VLOOKUP(Misfit[[#This Row],[Shortname]], Comp[], 14, FALSE)</f>
        <v>0</v>
      </c>
      <c r="S89">
        <f>VLOOKUP(Misfit[[#This Row],[Shortname]], Comp[], 15, FALSE)</f>
        <v>0</v>
      </c>
      <c r="T89">
        <f>VLOOKUP(Misfit[[#This Row],[Shortname]], Comp[], 16, FALSE)</f>
        <v>0</v>
      </c>
      <c r="U89">
        <f>VLOOKUP(Misfit[[#This Row],[Shortname]], Comp[], 17, FALSE)</f>
        <v>0</v>
      </c>
      <c r="V89">
        <f>VLOOKUP(Misfit[[#This Row],[Shortname]], Comp[], 18, FALSE)</f>
        <v>0</v>
      </c>
      <c r="W89">
        <f>VLOOKUP(Misfit[[#This Row],[Shortname]], Comp[], 19, FALSE)</f>
        <v>0</v>
      </c>
      <c r="X89">
        <f>VLOOKUP(Misfit[[#This Row],[Shortname]], Comp[], 20, FALSE)</f>
        <v>0</v>
      </c>
      <c r="Y89">
        <f>VLOOKUP(Misfit[[#This Row],[Shortname]], Comp[], 21, FALSE)</f>
        <v>0</v>
      </c>
      <c r="Z89">
        <f>VLOOKUP(Misfit[[#This Row],[Shortname]], Comp[], 22, FALSE)</f>
        <v>0</v>
      </c>
      <c r="AA89">
        <f>VLOOKUP(Misfit[[#This Row],[Shortname]], Comp[], 23, FALSE)</f>
        <v>0</v>
      </c>
      <c r="AB89">
        <f>VLOOKUP(Misfit[[#This Row],[Shortname]], Comp[], 24, FALSE)</f>
        <v>0</v>
      </c>
      <c r="AC89">
        <f>VLOOKUP(Misfit[[#This Row],[Shortname]], Comp[], 25, FALSE)</f>
        <v>0</v>
      </c>
      <c r="AD89">
        <f>VLOOKUP(Misfit[[#This Row],[Shortname]], Comp[], 26, FALSE)</f>
        <v>0</v>
      </c>
      <c r="AE89">
        <f>VLOOKUP(Misfit[[#This Row],[Shortname]], Comp[], 27, FALSE)</f>
        <v>0</v>
      </c>
      <c r="AF89">
        <f>VLOOKUP(Misfit[[#This Row],[Shortname]], Comp[], 28, FALSE)</f>
        <v>0</v>
      </c>
      <c r="AG89">
        <f>VLOOKUP(Misfit[[#This Row],[Shortname]], Comp[], 29, FALSE)</f>
        <v>0</v>
      </c>
      <c r="AH89">
        <f>VLOOKUP(Misfit[[#This Row],[Shortname]], Comp[], 30, FALSE)</f>
        <v>0</v>
      </c>
      <c r="AI89">
        <f>VLOOKUP(Misfit[[#This Row],[Shortname]], Comp[], 31, FALSE)</f>
        <v>0</v>
      </c>
    </row>
    <row r="90" spans="1:35" x14ac:dyDescent="0.3">
      <c r="A90" t="s">
        <v>2149</v>
      </c>
      <c r="B90" t="s">
        <v>2150</v>
      </c>
      <c r="C90" t="s">
        <v>6612</v>
      </c>
      <c r="D90">
        <v>900</v>
      </c>
      <c r="E90">
        <v>400</v>
      </c>
      <c r="F90">
        <v>0.3619</v>
      </c>
      <c r="G90">
        <v>0.35970000000000002</v>
      </c>
      <c r="H90" s="40">
        <v>6.0699999999999999E-3</v>
      </c>
      <c r="J90">
        <f>VLOOKUP(Misfit[[#This Row],[Shortname]], Comp[], 6, FALSE)</f>
        <v>284</v>
      </c>
      <c r="K90">
        <f>VLOOKUP(Misfit[[#This Row],[Shortname]], Comp[], 7, FALSE)</f>
        <v>80</v>
      </c>
      <c r="L90">
        <f>VLOOKUP(Misfit[[#This Row],[Shortname]], Comp[], 8, FALSE)</f>
        <v>0</v>
      </c>
      <c r="M90">
        <f>VLOOKUP(Misfit[[#This Row],[Shortname]], Comp[], 9, FALSE)</f>
        <v>9</v>
      </c>
      <c r="N90">
        <f>VLOOKUP(Misfit[[#This Row],[Shortname]], Comp[], 10, FALSE)</f>
        <v>0</v>
      </c>
      <c r="O90">
        <f>VLOOKUP(Misfit[[#This Row],[Shortname]], Comp[], 11, FALSE)</f>
        <v>11</v>
      </c>
      <c r="P90">
        <f>VLOOKUP(Misfit[[#This Row],[Shortname]], Comp[],12, FALSE)</f>
        <v>0</v>
      </c>
      <c r="Q90">
        <f>VLOOKUP(Misfit[[#This Row],[Shortname]], Comp[], 13, FALSE)</f>
        <v>0</v>
      </c>
      <c r="R90">
        <f>VLOOKUP(Misfit[[#This Row],[Shortname]], Comp[], 14, FALSE)</f>
        <v>0</v>
      </c>
      <c r="S90">
        <f>VLOOKUP(Misfit[[#This Row],[Shortname]], Comp[], 15, FALSE)</f>
        <v>0</v>
      </c>
      <c r="T90">
        <f>VLOOKUP(Misfit[[#This Row],[Shortname]], Comp[], 16, FALSE)</f>
        <v>0</v>
      </c>
      <c r="U90">
        <f>VLOOKUP(Misfit[[#This Row],[Shortname]], Comp[], 17, FALSE)</f>
        <v>0</v>
      </c>
      <c r="V90">
        <f>VLOOKUP(Misfit[[#This Row],[Shortname]], Comp[], 18, FALSE)</f>
        <v>0</v>
      </c>
      <c r="W90">
        <f>VLOOKUP(Misfit[[#This Row],[Shortname]], Comp[], 19, FALSE)</f>
        <v>0</v>
      </c>
      <c r="X90">
        <f>VLOOKUP(Misfit[[#This Row],[Shortname]], Comp[], 20, FALSE)</f>
        <v>0</v>
      </c>
      <c r="Y90">
        <f>VLOOKUP(Misfit[[#This Row],[Shortname]], Comp[], 21, FALSE)</f>
        <v>0</v>
      </c>
      <c r="Z90">
        <f>VLOOKUP(Misfit[[#This Row],[Shortname]], Comp[], 22, FALSE)</f>
        <v>0</v>
      </c>
      <c r="AA90">
        <f>VLOOKUP(Misfit[[#This Row],[Shortname]], Comp[], 23, FALSE)</f>
        <v>0</v>
      </c>
      <c r="AB90">
        <f>VLOOKUP(Misfit[[#This Row],[Shortname]], Comp[], 24, FALSE)</f>
        <v>0</v>
      </c>
      <c r="AC90">
        <f>VLOOKUP(Misfit[[#This Row],[Shortname]], Comp[], 25, FALSE)</f>
        <v>0</v>
      </c>
      <c r="AD90">
        <f>VLOOKUP(Misfit[[#This Row],[Shortname]], Comp[], 26, FALSE)</f>
        <v>0</v>
      </c>
      <c r="AE90">
        <f>VLOOKUP(Misfit[[#This Row],[Shortname]], Comp[], 27, FALSE)</f>
        <v>0</v>
      </c>
      <c r="AF90">
        <f>VLOOKUP(Misfit[[#This Row],[Shortname]], Comp[], 28, FALSE)</f>
        <v>0</v>
      </c>
      <c r="AG90">
        <f>VLOOKUP(Misfit[[#This Row],[Shortname]], Comp[], 29, FALSE)</f>
        <v>0</v>
      </c>
      <c r="AH90">
        <f>VLOOKUP(Misfit[[#This Row],[Shortname]], Comp[], 30, FALSE)</f>
        <v>0</v>
      </c>
      <c r="AI90">
        <f>VLOOKUP(Misfit[[#This Row],[Shortname]], Comp[], 31, FALSE)</f>
        <v>0</v>
      </c>
    </row>
    <row r="91" spans="1:35" x14ac:dyDescent="0.3">
      <c r="A91" t="s">
        <v>2149</v>
      </c>
      <c r="B91" t="s">
        <v>2150</v>
      </c>
      <c r="C91" t="s">
        <v>6612</v>
      </c>
      <c r="D91">
        <v>900</v>
      </c>
      <c r="E91">
        <v>500</v>
      </c>
      <c r="F91">
        <v>0.3624</v>
      </c>
      <c r="G91">
        <v>0.36020000000000002</v>
      </c>
      <c r="H91" s="40">
        <v>6.0699999999999999E-3</v>
      </c>
      <c r="J91">
        <f>VLOOKUP(Misfit[[#This Row],[Shortname]], Comp[], 6, FALSE)</f>
        <v>284</v>
      </c>
      <c r="K91">
        <f>VLOOKUP(Misfit[[#This Row],[Shortname]], Comp[], 7, FALSE)</f>
        <v>80</v>
      </c>
      <c r="L91">
        <f>VLOOKUP(Misfit[[#This Row],[Shortname]], Comp[], 8, FALSE)</f>
        <v>0</v>
      </c>
      <c r="M91">
        <f>VLOOKUP(Misfit[[#This Row],[Shortname]], Comp[], 9, FALSE)</f>
        <v>9</v>
      </c>
      <c r="N91">
        <f>VLOOKUP(Misfit[[#This Row],[Shortname]], Comp[], 10, FALSE)</f>
        <v>0</v>
      </c>
      <c r="O91">
        <f>VLOOKUP(Misfit[[#This Row],[Shortname]], Comp[], 11, FALSE)</f>
        <v>11</v>
      </c>
      <c r="P91">
        <f>VLOOKUP(Misfit[[#This Row],[Shortname]], Comp[],12, FALSE)</f>
        <v>0</v>
      </c>
      <c r="Q91">
        <f>VLOOKUP(Misfit[[#This Row],[Shortname]], Comp[], 13, FALSE)</f>
        <v>0</v>
      </c>
      <c r="R91">
        <f>VLOOKUP(Misfit[[#This Row],[Shortname]], Comp[], 14, FALSE)</f>
        <v>0</v>
      </c>
      <c r="S91">
        <f>VLOOKUP(Misfit[[#This Row],[Shortname]], Comp[], 15, FALSE)</f>
        <v>0</v>
      </c>
      <c r="T91">
        <f>VLOOKUP(Misfit[[#This Row],[Shortname]], Comp[], 16, FALSE)</f>
        <v>0</v>
      </c>
      <c r="U91">
        <f>VLOOKUP(Misfit[[#This Row],[Shortname]], Comp[], 17, FALSE)</f>
        <v>0</v>
      </c>
      <c r="V91">
        <f>VLOOKUP(Misfit[[#This Row],[Shortname]], Comp[], 18, FALSE)</f>
        <v>0</v>
      </c>
      <c r="W91">
        <f>VLOOKUP(Misfit[[#This Row],[Shortname]], Comp[], 19, FALSE)</f>
        <v>0</v>
      </c>
      <c r="X91">
        <f>VLOOKUP(Misfit[[#This Row],[Shortname]], Comp[], 20, FALSE)</f>
        <v>0</v>
      </c>
      <c r="Y91">
        <f>VLOOKUP(Misfit[[#This Row],[Shortname]], Comp[], 21, FALSE)</f>
        <v>0</v>
      </c>
      <c r="Z91">
        <f>VLOOKUP(Misfit[[#This Row],[Shortname]], Comp[], 22, FALSE)</f>
        <v>0</v>
      </c>
      <c r="AA91">
        <f>VLOOKUP(Misfit[[#This Row],[Shortname]], Comp[], 23, FALSE)</f>
        <v>0</v>
      </c>
      <c r="AB91">
        <f>VLOOKUP(Misfit[[#This Row],[Shortname]], Comp[], 24, FALSE)</f>
        <v>0</v>
      </c>
      <c r="AC91">
        <f>VLOOKUP(Misfit[[#This Row],[Shortname]], Comp[], 25, FALSE)</f>
        <v>0</v>
      </c>
      <c r="AD91">
        <f>VLOOKUP(Misfit[[#This Row],[Shortname]], Comp[], 26, FALSE)</f>
        <v>0</v>
      </c>
      <c r="AE91">
        <f>VLOOKUP(Misfit[[#This Row],[Shortname]], Comp[], 27, FALSE)</f>
        <v>0</v>
      </c>
      <c r="AF91">
        <f>VLOOKUP(Misfit[[#This Row],[Shortname]], Comp[], 28, FALSE)</f>
        <v>0</v>
      </c>
      <c r="AG91">
        <f>VLOOKUP(Misfit[[#This Row],[Shortname]], Comp[], 29, FALSE)</f>
        <v>0</v>
      </c>
      <c r="AH91">
        <f>VLOOKUP(Misfit[[#This Row],[Shortname]], Comp[], 30, FALSE)</f>
        <v>0</v>
      </c>
      <c r="AI91">
        <f>VLOOKUP(Misfit[[#This Row],[Shortname]], Comp[], 31, FALSE)</f>
        <v>0</v>
      </c>
    </row>
    <row r="92" spans="1:35" x14ac:dyDescent="0.3">
      <c r="A92" t="s">
        <v>2149</v>
      </c>
      <c r="B92" t="s">
        <v>2150</v>
      </c>
      <c r="C92" t="s">
        <v>6612</v>
      </c>
      <c r="D92">
        <v>900</v>
      </c>
      <c r="E92">
        <v>600</v>
      </c>
      <c r="F92">
        <v>0.36299999999999999</v>
      </c>
      <c r="G92">
        <v>0.3609</v>
      </c>
      <c r="H92" s="40">
        <v>5.8399999999999997E-3</v>
      </c>
      <c r="J92">
        <f>VLOOKUP(Misfit[[#This Row],[Shortname]], Comp[], 6, FALSE)</f>
        <v>284</v>
      </c>
      <c r="K92">
        <f>VLOOKUP(Misfit[[#This Row],[Shortname]], Comp[], 7, FALSE)</f>
        <v>80</v>
      </c>
      <c r="L92">
        <f>VLOOKUP(Misfit[[#This Row],[Shortname]], Comp[], 8, FALSE)</f>
        <v>0</v>
      </c>
      <c r="M92">
        <f>VLOOKUP(Misfit[[#This Row],[Shortname]], Comp[], 9, FALSE)</f>
        <v>9</v>
      </c>
      <c r="N92">
        <f>VLOOKUP(Misfit[[#This Row],[Shortname]], Comp[], 10, FALSE)</f>
        <v>0</v>
      </c>
      <c r="O92">
        <f>VLOOKUP(Misfit[[#This Row],[Shortname]], Comp[], 11, FALSE)</f>
        <v>11</v>
      </c>
      <c r="P92">
        <f>VLOOKUP(Misfit[[#This Row],[Shortname]], Comp[],12, FALSE)</f>
        <v>0</v>
      </c>
      <c r="Q92">
        <f>VLOOKUP(Misfit[[#This Row],[Shortname]], Comp[], 13, FALSE)</f>
        <v>0</v>
      </c>
      <c r="R92">
        <f>VLOOKUP(Misfit[[#This Row],[Shortname]], Comp[], 14, FALSE)</f>
        <v>0</v>
      </c>
      <c r="S92">
        <f>VLOOKUP(Misfit[[#This Row],[Shortname]], Comp[], 15, FALSE)</f>
        <v>0</v>
      </c>
      <c r="T92">
        <f>VLOOKUP(Misfit[[#This Row],[Shortname]], Comp[], 16, FALSE)</f>
        <v>0</v>
      </c>
      <c r="U92">
        <f>VLOOKUP(Misfit[[#This Row],[Shortname]], Comp[], 17, FALSE)</f>
        <v>0</v>
      </c>
      <c r="V92">
        <f>VLOOKUP(Misfit[[#This Row],[Shortname]], Comp[], 18, FALSE)</f>
        <v>0</v>
      </c>
      <c r="W92">
        <f>VLOOKUP(Misfit[[#This Row],[Shortname]], Comp[], 19, FALSE)</f>
        <v>0</v>
      </c>
      <c r="X92">
        <f>VLOOKUP(Misfit[[#This Row],[Shortname]], Comp[], 20, FALSE)</f>
        <v>0</v>
      </c>
      <c r="Y92">
        <f>VLOOKUP(Misfit[[#This Row],[Shortname]], Comp[], 21, FALSE)</f>
        <v>0</v>
      </c>
      <c r="Z92">
        <f>VLOOKUP(Misfit[[#This Row],[Shortname]], Comp[], 22, FALSE)</f>
        <v>0</v>
      </c>
      <c r="AA92">
        <f>VLOOKUP(Misfit[[#This Row],[Shortname]], Comp[], 23, FALSE)</f>
        <v>0</v>
      </c>
      <c r="AB92">
        <f>VLOOKUP(Misfit[[#This Row],[Shortname]], Comp[], 24, FALSE)</f>
        <v>0</v>
      </c>
      <c r="AC92">
        <f>VLOOKUP(Misfit[[#This Row],[Shortname]], Comp[], 25, FALSE)</f>
        <v>0</v>
      </c>
      <c r="AD92">
        <f>VLOOKUP(Misfit[[#This Row],[Shortname]], Comp[], 26, FALSE)</f>
        <v>0</v>
      </c>
      <c r="AE92">
        <f>VLOOKUP(Misfit[[#This Row],[Shortname]], Comp[], 27, FALSE)</f>
        <v>0</v>
      </c>
      <c r="AF92">
        <f>VLOOKUP(Misfit[[#This Row],[Shortname]], Comp[], 28, FALSE)</f>
        <v>0</v>
      </c>
      <c r="AG92">
        <f>VLOOKUP(Misfit[[#This Row],[Shortname]], Comp[], 29, FALSE)</f>
        <v>0</v>
      </c>
      <c r="AH92">
        <f>VLOOKUP(Misfit[[#This Row],[Shortname]], Comp[], 30, FALSE)</f>
        <v>0</v>
      </c>
      <c r="AI92">
        <f>VLOOKUP(Misfit[[#This Row],[Shortname]], Comp[], 31, FALSE)</f>
        <v>0</v>
      </c>
    </row>
    <row r="93" spans="1:35" x14ac:dyDescent="0.3">
      <c r="A93" t="s">
        <v>2149</v>
      </c>
      <c r="B93" t="s">
        <v>2150</v>
      </c>
      <c r="C93" t="s">
        <v>6612</v>
      </c>
      <c r="D93">
        <v>900</v>
      </c>
      <c r="E93">
        <v>700</v>
      </c>
      <c r="F93">
        <v>0.36370000000000002</v>
      </c>
      <c r="G93">
        <v>0.36159999999999998</v>
      </c>
      <c r="H93" s="40">
        <v>5.8199999999999997E-3</v>
      </c>
      <c r="J93">
        <f>VLOOKUP(Misfit[[#This Row],[Shortname]], Comp[], 6, FALSE)</f>
        <v>284</v>
      </c>
      <c r="K93">
        <f>VLOOKUP(Misfit[[#This Row],[Shortname]], Comp[], 7, FALSE)</f>
        <v>80</v>
      </c>
      <c r="L93">
        <f>VLOOKUP(Misfit[[#This Row],[Shortname]], Comp[], 8, FALSE)</f>
        <v>0</v>
      </c>
      <c r="M93">
        <f>VLOOKUP(Misfit[[#This Row],[Shortname]], Comp[], 9, FALSE)</f>
        <v>9</v>
      </c>
      <c r="N93">
        <f>VLOOKUP(Misfit[[#This Row],[Shortname]], Comp[], 10, FALSE)</f>
        <v>0</v>
      </c>
      <c r="O93">
        <f>VLOOKUP(Misfit[[#This Row],[Shortname]], Comp[], 11, FALSE)</f>
        <v>11</v>
      </c>
      <c r="P93">
        <f>VLOOKUP(Misfit[[#This Row],[Shortname]], Comp[],12, FALSE)</f>
        <v>0</v>
      </c>
      <c r="Q93">
        <f>VLOOKUP(Misfit[[#This Row],[Shortname]], Comp[], 13, FALSE)</f>
        <v>0</v>
      </c>
      <c r="R93">
        <f>VLOOKUP(Misfit[[#This Row],[Shortname]], Comp[], 14, FALSE)</f>
        <v>0</v>
      </c>
      <c r="S93">
        <f>VLOOKUP(Misfit[[#This Row],[Shortname]], Comp[], 15, FALSE)</f>
        <v>0</v>
      </c>
      <c r="T93">
        <f>VLOOKUP(Misfit[[#This Row],[Shortname]], Comp[], 16, FALSE)</f>
        <v>0</v>
      </c>
      <c r="U93">
        <f>VLOOKUP(Misfit[[#This Row],[Shortname]], Comp[], 17, FALSE)</f>
        <v>0</v>
      </c>
      <c r="V93">
        <f>VLOOKUP(Misfit[[#This Row],[Shortname]], Comp[], 18, FALSE)</f>
        <v>0</v>
      </c>
      <c r="W93">
        <f>VLOOKUP(Misfit[[#This Row],[Shortname]], Comp[], 19, FALSE)</f>
        <v>0</v>
      </c>
      <c r="X93">
        <f>VLOOKUP(Misfit[[#This Row],[Shortname]], Comp[], 20, FALSE)</f>
        <v>0</v>
      </c>
      <c r="Y93">
        <f>VLOOKUP(Misfit[[#This Row],[Shortname]], Comp[], 21, FALSE)</f>
        <v>0</v>
      </c>
      <c r="Z93">
        <f>VLOOKUP(Misfit[[#This Row],[Shortname]], Comp[], 22, FALSE)</f>
        <v>0</v>
      </c>
      <c r="AA93">
        <f>VLOOKUP(Misfit[[#This Row],[Shortname]], Comp[], 23, FALSE)</f>
        <v>0</v>
      </c>
      <c r="AB93">
        <f>VLOOKUP(Misfit[[#This Row],[Shortname]], Comp[], 24, FALSE)</f>
        <v>0</v>
      </c>
      <c r="AC93">
        <f>VLOOKUP(Misfit[[#This Row],[Shortname]], Comp[], 25, FALSE)</f>
        <v>0</v>
      </c>
      <c r="AD93">
        <f>VLOOKUP(Misfit[[#This Row],[Shortname]], Comp[], 26, FALSE)</f>
        <v>0</v>
      </c>
      <c r="AE93">
        <f>VLOOKUP(Misfit[[#This Row],[Shortname]], Comp[], 27, FALSE)</f>
        <v>0</v>
      </c>
      <c r="AF93">
        <f>VLOOKUP(Misfit[[#This Row],[Shortname]], Comp[], 28, FALSE)</f>
        <v>0</v>
      </c>
      <c r="AG93">
        <f>VLOOKUP(Misfit[[#This Row],[Shortname]], Comp[], 29, FALSE)</f>
        <v>0</v>
      </c>
      <c r="AH93">
        <f>VLOOKUP(Misfit[[#This Row],[Shortname]], Comp[], 30, FALSE)</f>
        <v>0</v>
      </c>
      <c r="AI93">
        <f>VLOOKUP(Misfit[[#This Row],[Shortname]], Comp[], 31, FALSE)</f>
        <v>0</v>
      </c>
    </row>
    <row r="94" spans="1:35" x14ac:dyDescent="0.3">
      <c r="A94" t="s">
        <v>2149</v>
      </c>
      <c r="B94" t="s">
        <v>2150</v>
      </c>
      <c r="C94" t="s">
        <v>6612</v>
      </c>
      <c r="D94">
        <v>900</v>
      </c>
      <c r="E94">
        <v>900</v>
      </c>
      <c r="F94">
        <v>0.36420000000000002</v>
      </c>
      <c r="G94">
        <v>0.36220000000000002</v>
      </c>
      <c r="H94" s="40">
        <v>5.5100000000000001E-3</v>
      </c>
      <c r="J94">
        <f>VLOOKUP(Misfit[[#This Row],[Shortname]], Comp[], 6, FALSE)</f>
        <v>284</v>
      </c>
      <c r="K94">
        <f>VLOOKUP(Misfit[[#This Row],[Shortname]], Comp[], 7, FALSE)</f>
        <v>80</v>
      </c>
      <c r="L94">
        <f>VLOOKUP(Misfit[[#This Row],[Shortname]], Comp[], 8, FALSE)</f>
        <v>0</v>
      </c>
      <c r="M94">
        <f>VLOOKUP(Misfit[[#This Row],[Shortname]], Comp[], 9, FALSE)</f>
        <v>9</v>
      </c>
      <c r="N94">
        <f>VLOOKUP(Misfit[[#This Row],[Shortname]], Comp[], 10, FALSE)</f>
        <v>0</v>
      </c>
      <c r="O94">
        <f>VLOOKUP(Misfit[[#This Row],[Shortname]], Comp[], 11, FALSE)</f>
        <v>11</v>
      </c>
      <c r="P94">
        <f>VLOOKUP(Misfit[[#This Row],[Shortname]], Comp[],12, FALSE)</f>
        <v>0</v>
      </c>
      <c r="Q94">
        <f>VLOOKUP(Misfit[[#This Row],[Shortname]], Comp[], 13, FALSE)</f>
        <v>0</v>
      </c>
      <c r="R94">
        <f>VLOOKUP(Misfit[[#This Row],[Shortname]], Comp[], 14, FALSE)</f>
        <v>0</v>
      </c>
      <c r="S94">
        <f>VLOOKUP(Misfit[[#This Row],[Shortname]], Comp[], 15, FALSE)</f>
        <v>0</v>
      </c>
      <c r="T94">
        <f>VLOOKUP(Misfit[[#This Row],[Shortname]], Comp[], 16, FALSE)</f>
        <v>0</v>
      </c>
      <c r="U94">
        <f>VLOOKUP(Misfit[[#This Row],[Shortname]], Comp[], 17, FALSE)</f>
        <v>0</v>
      </c>
      <c r="V94">
        <f>VLOOKUP(Misfit[[#This Row],[Shortname]], Comp[], 18, FALSE)</f>
        <v>0</v>
      </c>
      <c r="W94">
        <f>VLOOKUP(Misfit[[#This Row],[Shortname]], Comp[], 19, FALSE)</f>
        <v>0</v>
      </c>
      <c r="X94">
        <f>VLOOKUP(Misfit[[#This Row],[Shortname]], Comp[], 20, FALSE)</f>
        <v>0</v>
      </c>
      <c r="Y94">
        <f>VLOOKUP(Misfit[[#This Row],[Shortname]], Comp[], 21, FALSE)</f>
        <v>0</v>
      </c>
      <c r="Z94">
        <f>VLOOKUP(Misfit[[#This Row],[Shortname]], Comp[], 22, FALSE)</f>
        <v>0</v>
      </c>
      <c r="AA94">
        <f>VLOOKUP(Misfit[[#This Row],[Shortname]], Comp[], 23, FALSE)</f>
        <v>0</v>
      </c>
      <c r="AB94">
        <f>VLOOKUP(Misfit[[#This Row],[Shortname]], Comp[], 24, FALSE)</f>
        <v>0</v>
      </c>
      <c r="AC94">
        <f>VLOOKUP(Misfit[[#This Row],[Shortname]], Comp[], 25, FALSE)</f>
        <v>0</v>
      </c>
      <c r="AD94">
        <f>VLOOKUP(Misfit[[#This Row],[Shortname]], Comp[], 26, FALSE)</f>
        <v>0</v>
      </c>
      <c r="AE94">
        <f>VLOOKUP(Misfit[[#This Row],[Shortname]], Comp[], 27, FALSE)</f>
        <v>0</v>
      </c>
      <c r="AF94">
        <f>VLOOKUP(Misfit[[#This Row],[Shortname]], Comp[], 28, FALSE)</f>
        <v>0</v>
      </c>
      <c r="AG94">
        <f>VLOOKUP(Misfit[[#This Row],[Shortname]], Comp[], 29, FALSE)</f>
        <v>0</v>
      </c>
      <c r="AH94">
        <f>VLOOKUP(Misfit[[#This Row],[Shortname]], Comp[], 30, FALSE)</f>
        <v>0</v>
      </c>
      <c r="AI94">
        <f>VLOOKUP(Misfit[[#This Row],[Shortname]], Comp[], 31, FALSE)</f>
        <v>0</v>
      </c>
    </row>
    <row r="95" spans="1:35" x14ac:dyDescent="0.3">
      <c r="A95" t="s">
        <v>2149</v>
      </c>
      <c r="B95" t="s">
        <v>2150</v>
      </c>
      <c r="C95" t="s">
        <v>6612</v>
      </c>
      <c r="D95">
        <v>900</v>
      </c>
      <c r="E95">
        <v>875</v>
      </c>
      <c r="F95">
        <v>0.36470000000000002</v>
      </c>
      <c r="G95">
        <v>0.3629</v>
      </c>
      <c r="H95" s="40">
        <v>4.9300000000000004E-3</v>
      </c>
      <c r="J95">
        <f>VLOOKUP(Misfit[[#This Row],[Shortname]], Comp[], 6, FALSE)</f>
        <v>284</v>
      </c>
      <c r="K95">
        <f>VLOOKUP(Misfit[[#This Row],[Shortname]], Comp[], 7, FALSE)</f>
        <v>80</v>
      </c>
      <c r="L95">
        <f>VLOOKUP(Misfit[[#This Row],[Shortname]], Comp[], 8, FALSE)</f>
        <v>0</v>
      </c>
      <c r="M95">
        <f>VLOOKUP(Misfit[[#This Row],[Shortname]], Comp[], 9, FALSE)</f>
        <v>9</v>
      </c>
      <c r="N95">
        <f>VLOOKUP(Misfit[[#This Row],[Shortname]], Comp[], 10, FALSE)</f>
        <v>0</v>
      </c>
      <c r="O95">
        <f>VLOOKUP(Misfit[[#This Row],[Shortname]], Comp[], 11, FALSE)</f>
        <v>11</v>
      </c>
      <c r="P95">
        <f>VLOOKUP(Misfit[[#This Row],[Shortname]], Comp[],12, FALSE)</f>
        <v>0</v>
      </c>
      <c r="Q95">
        <f>VLOOKUP(Misfit[[#This Row],[Shortname]], Comp[], 13, FALSE)</f>
        <v>0</v>
      </c>
      <c r="R95">
        <f>VLOOKUP(Misfit[[#This Row],[Shortname]], Comp[], 14, FALSE)</f>
        <v>0</v>
      </c>
      <c r="S95">
        <f>VLOOKUP(Misfit[[#This Row],[Shortname]], Comp[], 15, FALSE)</f>
        <v>0</v>
      </c>
      <c r="T95">
        <f>VLOOKUP(Misfit[[#This Row],[Shortname]], Comp[], 16, FALSE)</f>
        <v>0</v>
      </c>
      <c r="U95">
        <f>VLOOKUP(Misfit[[#This Row],[Shortname]], Comp[], 17, FALSE)</f>
        <v>0</v>
      </c>
      <c r="V95">
        <f>VLOOKUP(Misfit[[#This Row],[Shortname]], Comp[], 18, FALSE)</f>
        <v>0</v>
      </c>
      <c r="W95">
        <f>VLOOKUP(Misfit[[#This Row],[Shortname]], Comp[], 19, FALSE)</f>
        <v>0</v>
      </c>
      <c r="X95">
        <f>VLOOKUP(Misfit[[#This Row],[Shortname]], Comp[], 20, FALSE)</f>
        <v>0</v>
      </c>
      <c r="Y95">
        <f>VLOOKUP(Misfit[[#This Row],[Shortname]], Comp[], 21, FALSE)</f>
        <v>0</v>
      </c>
      <c r="Z95">
        <f>VLOOKUP(Misfit[[#This Row],[Shortname]], Comp[], 22, FALSE)</f>
        <v>0</v>
      </c>
      <c r="AA95">
        <f>VLOOKUP(Misfit[[#This Row],[Shortname]], Comp[], 23, FALSE)</f>
        <v>0</v>
      </c>
      <c r="AB95">
        <f>VLOOKUP(Misfit[[#This Row],[Shortname]], Comp[], 24, FALSE)</f>
        <v>0</v>
      </c>
      <c r="AC95">
        <f>VLOOKUP(Misfit[[#This Row],[Shortname]], Comp[], 25, FALSE)</f>
        <v>0</v>
      </c>
      <c r="AD95">
        <f>VLOOKUP(Misfit[[#This Row],[Shortname]], Comp[], 26, FALSE)</f>
        <v>0</v>
      </c>
      <c r="AE95">
        <f>VLOOKUP(Misfit[[#This Row],[Shortname]], Comp[], 27, FALSE)</f>
        <v>0</v>
      </c>
      <c r="AF95">
        <f>VLOOKUP(Misfit[[#This Row],[Shortname]], Comp[], 28, FALSE)</f>
        <v>0</v>
      </c>
      <c r="AG95">
        <f>VLOOKUP(Misfit[[#This Row],[Shortname]], Comp[], 29, FALSE)</f>
        <v>0</v>
      </c>
      <c r="AH95">
        <f>VLOOKUP(Misfit[[#This Row],[Shortname]], Comp[], 30, FALSE)</f>
        <v>0</v>
      </c>
      <c r="AI95">
        <f>VLOOKUP(Misfit[[#This Row],[Shortname]], Comp[], 31, FALSE)</f>
        <v>0</v>
      </c>
    </row>
    <row r="96" spans="1:35" x14ac:dyDescent="0.3">
      <c r="A96" t="s">
        <v>2149</v>
      </c>
      <c r="B96" t="s">
        <v>2150</v>
      </c>
      <c r="C96" t="s">
        <v>6612</v>
      </c>
      <c r="D96">
        <v>900</v>
      </c>
      <c r="E96">
        <v>900</v>
      </c>
      <c r="F96">
        <v>0.36499999999999999</v>
      </c>
      <c r="G96">
        <v>0.36420000000000002</v>
      </c>
      <c r="H96" s="40">
        <v>2.6900000000000001E-3</v>
      </c>
      <c r="J96">
        <f>VLOOKUP(Misfit[[#This Row],[Shortname]], Comp[], 6, FALSE)</f>
        <v>284</v>
      </c>
      <c r="K96">
        <f>VLOOKUP(Misfit[[#This Row],[Shortname]], Comp[], 7, FALSE)</f>
        <v>80</v>
      </c>
      <c r="L96">
        <f>VLOOKUP(Misfit[[#This Row],[Shortname]], Comp[], 8, FALSE)</f>
        <v>0</v>
      </c>
      <c r="M96">
        <f>VLOOKUP(Misfit[[#This Row],[Shortname]], Comp[], 9, FALSE)</f>
        <v>9</v>
      </c>
      <c r="N96">
        <f>VLOOKUP(Misfit[[#This Row],[Shortname]], Comp[], 10, FALSE)</f>
        <v>0</v>
      </c>
      <c r="O96">
        <f>VLOOKUP(Misfit[[#This Row],[Shortname]], Comp[], 11, FALSE)</f>
        <v>11</v>
      </c>
      <c r="P96">
        <f>VLOOKUP(Misfit[[#This Row],[Shortname]], Comp[],12, FALSE)</f>
        <v>0</v>
      </c>
      <c r="Q96">
        <f>VLOOKUP(Misfit[[#This Row],[Shortname]], Comp[], 13, FALSE)</f>
        <v>0</v>
      </c>
      <c r="R96">
        <f>VLOOKUP(Misfit[[#This Row],[Shortname]], Comp[], 14, FALSE)</f>
        <v>0</v>
      </c>
      <c r="S96">
        <f>VLOOKUP(Misfit[[#This Row],[Shortname]], Comp[], 15, FALSE)</f>
        <v>0</v>
      </c>
      <c r="T96">
        <f>VLOOKUP(Misfit[[#This Row],[Shortname]], Comp[], 16, FALSE)</f>
        <v>0</v>
      </c>
      <c r="U96">
        <f>VLOOKUP(Misfit[[#This Row],[Shortname]], Comp[], 17, FALSE)</f>
        <v>0</v>
      </c>
      <c r="V96">
        <f>VLOOKUP(Misfit[[#This Row],[Shortname]], Comp[], 18, FALSE)</f>
        <v>0</v>
      </c>
      <c r="W96">
        <f>VLOOKUP(Misfit[[#This Row],[Shortname]], Comp[], 19, FALSE)</f>
        <v>0</v>
      </c>
      <c r="X96">
        <f>VLOOKUP(Misfit[[#This Row],[Shortname]], Comp[], 20, FALSE)</f>
        <v>0</v>
      </c>
      <c r="Y96">
        <f>VLOOKUP(Misfit[[#This Row],[Shortname]], Comp[], 21, FALSE)</f>
        <v>0</v>
      </c>
      <c r="Z96">
        <f>VLOOKUP(Misfit[[#This Row],[Shortname]], Comp[], 22, FALSE)</f>
        <v>0</v>
      </c>
      <c r="AA96">
        <f>VLOOKUP(Misfit[[#This Row],[Shortname]], Comp[], 23, FALSE)</f>
        <v>0</v>
      </c>
      <c r="AB96">
        <f>VLOOKUP(Misfit[[#This Row],[Shortname]], Comp[], 24, FALSE)</f>
        <v>0</v>
      </c>
      <c r="AC96">
        <f>VLOOKUP(Misfit[[#This Row],[Shortname]], Comp[], 25, FALSE)</f>
        <v>0</v>
      </c>
      <c r="AD96">
        <f>VLOOKUP(Misfit[[#This Row],[Shortname]], Comp[], 26, FALSE)</f>
        <v>0</v>
      </c>
      <c r="AE96">
        <f>VLOOKUP(Misfit[[#This Row],[Shortname]], Comp[], 27, FALSE)</f>
        <v>0</v>
      </c>
      <c r="AF96">
        <f>VLOOKUP(Misfit[[#This Row],[Shortname]], Comp[], 28, FALSE)</f>
        <v>0</v>
      </c>
      <c r="AG96">
        <f>VLOOKUP(Misfit[[#This Row],[Shortname]], Comp[], 29, FALSE)</f>
        <v>0</v>
      </c>
      <c r="AH96">
        <f>VLOOKUP(Misfit[[#This Row],[Shortname]], Comp[], 30, FALSE)</f>
        <v>0</v>
      </c>
      <c r="AI96">
        <f>VLOOKUP(Misfit[[#This Row],[Shortname]], Comp[], 31, FALSE)</f>
        <v>0</v>
      </c>
    </row>
    <row r="97" spans="1:35" x14ac:dyDescent="0.3">
      <c r="A97" t="s">
        <v>2149</v>
      </c>
      <c r="B97" t="s">
        <v>2150</v>
      </c>
      <c r="C97" t="s">
        <v>6612</v>
      </c>
      <c r="D97">
        <v>900</v>
      </c>
      <c r="E97">
        <v>925</v>
      </c>
      <c r="F97">
        <v>0.36509999999999998</v>
      </c>
      <c r="G97">
        <v>0.36430000000000001</v>
      </c>
      <c r="H97" s="40">
        <v>2.6199999999999999E-3</v>
      </c>
      <c r="J97">
        <f>VLOOKUP(Misfit[[#This Row],[Shortname]], Comp[], 6, FALSE)</f>
        <v>284</v>
      </c>
      <c r="K97">
        <f>VLOOKUP(Misfit[[#This Row],[Shortname]], Comp[], 7, FALSE)</f>
        <v>80</v>
      </c>
      <c r="L97">
        <f>VLOOKUP(Misfit[[#This Row],[Shortname]], Comp[], 8, FALSE)</f>
        <v>0</v>
      </c>
      <c r="M97">
        <f>VLOOKUP(Misfit[[#This Row],[Shortname]], Comp[], 9, FALSE)</f>
        <v>9</v>
      </c>
      <c r="N97">
        <f>VLOOKUP(Misfit[[#This Row],[Shortname]], Comp[], 10, FALSE)</f>
        <v>0</v>
      </c>
      <c r="O97">
        <f>VLOOKUP(Misfit[[#This Row],[Shortname]], Comp[], 11, FALSE)</f>
        <v>11</v>
      </c>
      <c r="P97">
        <f>VLOOKUP(Misfit[[#This Row],[Shortname]], Comp[],12, FALSE)</f>
        <v>0</v>
      </c>
      <c r="Q97">
        <f>VLOOKUP(Misfit[[#This Row],[Shortname]], Comp[], 13, FALSE)</f>
        <v>0</v>
      </c>
      <c r="R97">
        <f>VLOOKUP(Misfit[[#This Row],[Shortname]], Comp[], 14, FALSE)</f>
        <v>0</v>
      </c>
      <c r="S97">
        <f>VLOOKUP(Misfit[[#This Row],[Shortname]], Comp[], 15, FALSE)</f>
        <v>0</v>
      </c>
      <c r="T97">
        <f>VLOOKUP(Misfit[[#This Row],[Shortname]], Comp[], 16, FALSE)</f>
        <v>0</v>
      </c>
      <c r="U97">
        <f>VLOOKUP(Misfit[[#This Row],[Shortname]], Comp[], 17, FALSE)</f>
        <v>0</v>
      </c>
      <c r="V97">
        <f>VLOOKUP(Misfit[[#This Row],[Shortname]], Comp[], 18, FALSE)</f>
        <v>0</v>
      </c>
      <c r="W97">
        <f>VLOOKUP(Misfit[[#This Row],[Shortname]], Comp[], 19, FALSE)</f>
        <v>0</v>
      </c>
      <c r="X97">
        <f>VLOOKUP(Misfit[[#This Row],[Shortname]], Comp[], 20, FALSE)</f>
        <v>0</v>
      </c>
      <c r="Y97">
        <f>VLOOKUP(Misfit[[#This Row],[Shortname]], Comp[], 21, FALSE)</f>
        <v>0</v>
      </c>
      <c r="Z97">
        <f>VLOOKUP(Misfit[[#This Row],[Shortname]], Comp[], 22, FALSE)</f>
        <v>0</v>
      </c>
      <c r="AA97">
        <f>VLOOKUP(Misfit[[#This Row],[Shortname]], Comp[], 23, FALSE)</f>
        <v>0</v>
      </c>
      <c r="AB97">
        <f>VLOOKUP(Misfit[[#This Row],[Shortname]], Comp[], 24, FALSE)</f>
        <v>0</v>
      </c>
      <c r="AC97">
        <f>VLOOKUP(Misfit[[#This Row],[Shortname]], Comp[], 25, FALSE)</f>
        <v>0</v>
      </c>
      <c r="AD97">
        <f>VLOOKUP(Misfit[[#This Row],[Shortname]], Comp[], 26, FALSE)</f>
        <v>0</v>
      </c>
      <c r="AE97">
        <f>VLOOKUP(Misfit[[#This Row],[Shortname]], Comp[], 27, FALSE)</f>
        <v>0</v>
      </c>
      <c r="AF97">
        <f>VLOOKUP(Misfit[[#This Row],[Shortname]], Comp[], 28, FALSE)</f>
        <v>0</v>
      </c>
      <c r="AG97">
        <f>VLOOKUP(Misfit[[#This Row],[Shortname]], Comp[], 29, FALSE)</f>
        <v>0</v>
      </c>
      <c r="AH97">
        <f>VLOOKUP(Misfit[[#This Row],[Shortname]], Comp[], 30, FALSE)</f>
        <v>0</v>
      </c>
      <c r="AI97">
        <f>VLOOKUP(Misfit[[#This Row],[Shortname]], Comp[], 31, FALSE)</f>
        <v>0</v>
      </c>
    </row>
    <row r="98" spans="1:35" x14ac:dyDescent="0.3">
      <c r="A98" t="s">
        <v>2149</v>
      </c>
      <c r="B98" t="s">
        <v>2150</v>
      </c>
      <c r="C98" t="s">
        <v>6612</v>
      </c>
      <c r="D98">
        <v>900</v>
      </c>
      <c r="E98">
        <v>950</v>
      </c>
      <c r="F98">
        <v>0.3654</v>
      </c>
      <c r="G98">
        <v>0.36499999999999999</v>
      </c>
      <c r="H98" s="40">
        <v>1.7499999999999998E-3</v>
      </c>
      <c r="J98">
        <f>VLOOKUP(Misfit[[#This Row],[Shortname]], Comp[], 6, FALSE)</f>
        <v>284</v>
      </c>
      <c r="K98">
        <f>VLOOKUP(Misfit[[#This Row],[Shortname]], Comp[], 7, FALSE)</f>
        <v>80</v>
      </c>
      <c r="L98">
        <f>VLOOKUP(Misfit[[#This Row],[Shortname]], Comp[], 8, FALSE)</f>
        <v>0</v>
      </c>
      <c r="M98">
        <f>VLOOKUP(Misfit[[#This Row],[Shortname]], Comp[], 9, FALSE)</f>
        <v>9</v>
      </c>
      <c r="N98">
        <f>VLOOKUP(Misfit[[#This Row],[Shortname]], Comp[], 10, FALSE)</f>
        <v>0</v>
      </c>
      <c r="O98">
        <f>VLOOKUP(Misfit[[#This Row],[Shortname]], Comp[], 11, FALSE)</f>
        <v>11</v>
      </c>
      <c r="P98">
        <f>VLOOKUP(Misfit[[#This Row],[Shortname]], Comp[],12, FALSE)</f>
        <v>0</v>
      </c>
      <c r="Q98">
        <f>VLOOKUP(Misfit[[#This Row],[Shortname]], Comp[], 13, FALSE)</f>
        <v>0</v>
      </c>
      <c r="R98">
        <f>VLOOKUP(Misfit[[#This Row],[Shortname]], Comp[], 14, FALSE)</f>
        <v>0</v>
      </c>
      <c r="S98">
        <f>VLOOKUP(Misfit[[#This Row],[Shortname]], Comp[], 15, FALSE)</f>
        <v>0</v>
      </c>
      <c r="T98">
        <f>VLOOKUP(Misfit[[#This Row],[Shortname]], Comp[], 16, FALSE)</f>
        <v>0</v>
      </c>
      <c r="U98">
        <f>VLOOKUP(Misfit[[#This Row],[Shortname]], Comp[], 17, FALSE)</f>
        <v>0</v>
      </c>
      <c r="V98">
        <f>VLOOKUP(Misfit[[#This Row],[Shortname]], Comp[], 18, FALSE)</f>
        <v>0</v>
      </c>
      <c r="W98">
        <f>VLOOKUP(Misfit[[#This Row],[Shortname]], Comp[], 19, FALSE)</f>
        <v>0</v>
      </c>
      <c r="X98">
        <f>VLOOKUP(Misfit[[#This Row],[Shortname]], Comp[], 20, FALSE)</f>
        <v>0</v>
      </c>
      <c r="Y98">
        <f>VLOOKUP(Misfit[[#This Row],[Shortname]], Comp[], 21, FALSE)</f>
        <v>0</v>
      </c>
      <c r="Z98">
        <f>VLOOKUP(Misfit[[#This Row],[Shortname]], Comp[], 22, FALSE)</f>
        <v>0</v>
      </c>
      <c r="AA98">
        <f>VLOOKUP(Misfit[[#This Row],[Shortname]], Comp[], 23, FALSE)</f>
        <v>0</v>
      </c>
      <c r="AB98">
        <f>VLOOKUP(Misfit[[#This Row],[Shortname]], Comp[], 24, FALSE)</f>
        <v>0</v>
      </c>
      <c r="AC98">
        <f>VLOOKUP(Misfit[[#This Row],[Shortname]], Comp[], 25, FALSE)</f>
        <v>0</v>
      </c>
      <c r="AD98">
        <f>VLOOKUP(Misfit[[#This Row],[Shortname]], Comp[], 26, FALSE)</f>
        <v>0</v>
      </c>
      <c r="AE98">
        <f>VLOOKUP(Misfit[[#This Row],[Shortname]], Comp[], 27, FALSE)</f>
        <v>0</v>
      </c>
      <c r="AF98">
        <f>VLOOKUP(Misfit[[#This Row],[Shortname]], Comp[], 28, FALSE)</f>
        <v>0</v>
      </c>
      <c r="AG98">
        <f>VLOOKUP(Misfit[[#This Row],[Shortname]], Comp[], 29, FALSE)</f>
        <v>0</v>
      </c>
      <c r="AH98">
        <f>VLOOKUP(Misfit[[#This Row],[Shortname]], Comp[], 30, FALSE)</f>
        <v>0</v>
      </c>
      <c r="AI98">
        <f>VLOOKUP(Misfit[[#This Row],[Shortname]], Comp[], 31, FALSE)</f>
        <v>0</v>
      </c>
    </row>
    <row r="99" spans="1:35" x14ac:dyDescent="0.3">
      <c r="A99" t="s">
        <v>2149</v>
      </c>
      <c r="B99" t="s">
        <v>2150</v>
      </c>
      <c r="C99" t="s">
        <v>6612</v>
      </c>
      <c r="D99">
        <v>900</v>
      </c>
      <c r="E99">
        <v>975</v>
      </c>
      <c r="F99">
        <v>0.36580000000000001</v>
      </c>
      <c r="G99">
        <v>0.36559999999999998</v>
      </c>
      <c r="H99" s="40">
        <v>8.1100000000000009E-4</v>
      </c>
      <c r="J99">
        <f>VLOOKUP(Misfit[[#This Row],[Shortname]], Comp[], 6, FALSE)</f>
        <v>284</v>
      </c>
      <c r="K99">
        <f>VLOOKUP(Misfit[[#This Row],[Shortname]], Comp[], 7, FALSE)</f>
        <v>80</v>
      </c>
      <c r="L99">
        <f>VLOOKUP(Misfit[[#This Row],[Shortname]], Comp[], 8, FALSE)</f>
        <v>0</v>
      </c>
      <c r="M99">
        <f>VLOOKUP(Misfit[[#This Row],[Shortname]], Comp[], 9, FALSE)</f>
        <v>9</v>
      </c>
      <c r="N99">
        <f>VLOOKUP(Misfit[[#This Row],[Shortname]], Comp[], 10, FALSE)</f>
        <v>0</v>
      </c>
      <c r="O99">
        <f>VLOOKUP(Misfit[[#This Row],[Shortname]], Comp[], 11, FALSE)</f>
        <v>11</v>
      </c>
      <c r="P99">
        <f>VLOOKUP(Misfit[[#This Row],[Shortname]], Comp[],12, FALSE)</f>
        <v>0</v>
      </c>
      <c r="Q99">
        <f>VLOOKUP(Misfit[[#This Row],[Shortname]], Comp[], 13, FALSE)</f>
        <v>0</v>
      </c>
      <c r="R99">
        <f>VLOOKUP(Misfit[[#This Row],[Shortname]], Comp[], 14, FALSE)</f>
        <v>0</v>
      </c>
      <c r="S99">
        <f>VLOOKUP(Misfit[[#This Row],[Shortname]], Comp[], 15, FALSE)</f>
        <v>0</v>
      </c>
      <c r="T99">
        <f>VLOOKUP(Misfit[[#This Row],[Shortname]], Comp[], 16, FALSE)</f>
        <v>0</v>
      </c>
      <c r="U99">
        <f>VLOOKUP(Misfit[[#This Row],[Shortname]], Comp[], 17, FALSE)</f>
        <v>0</v>
      </c>
      <c r="V99">
        <f>VLOOKUP(Misfit[[#This Row],[Shortname]], Comp[], 18, FALSE)</f>
        <v>0</v>
      </c>
      <c r="W99">
        <f>VLOOKUP(Misfit[[#This Row],[Shortname]], Comp[], 19, FALSE)</f>
        <v>0</v>
      </c>
      <c r="X99">
        <f>VLOOKUP(Misfit[[#This Row],[Shortname]], Comp[], 20, FALSE)</f>
        <v>0</v>
      </c>
      <c r="Y99">
        <f>VLOOKUP(Misfit[[#This Row],[Shortname]], Comp[], 21, FALSE)</f>
        <v>0</v>
      </c>
      <c r="Z99">
        <f>VLOOKUP(Misfit[[#This Row],[Shortname]], Comp[], 22, FALSE)</f>
        <v>0</v>
      </c>
      <c r="AA99">
        <f>VLOOKUP(Misfit[[#This Row],[Shortname]], Comp[], 23, FALSE)</f>
        <v>0</v>
      </c>
      <c r="AB99">
        <f>VLOOKUP(Misfit[[#This Row],[Shortname]], Comp[], 24, FALSE)</f>
        <v>0</v>
      </c>
      <c r="AC99">
        <f>VLOOKUP(Misfit[[#This Row],[Shortname]], Comp[], 25, FALSE)</f>
        <v>0</v>
      </c>
      <c r="AD99">
        <f>VLOOKUP(Misfit[[#This Row],[Shortname]], Comp[], 26, FALSE)</f>
        <v>0</v>
      </c>
      <c r="AE99">
        <f>VLOOKUP(Misfit[[#This Row],[Shortname]], Comp[], 27, FALSE)</f>
        <v>0</v>
      </c>
      <c r="AF99">
        <f>VLOOKUP(Misfit[[#This Row],[Shortname]], Comp[], 28, FALSE)</f>
        <v>0</v>
      </c>
      <c r="AG99">
        <f>VLOOKUP(Misfit[[#This Row],[Shortname]], Comp[], 29, FALSE)</f>
        <v>0</v>
      </c>
      <c r="AH99">
        <f>VLOOKUP(Misfit[[#This Row],[Shortname]], Comp[], 30, FALSE)</f>
        <v>0</v>
      </c>
      <c r="AI99">
        <f>VLOOKUP(Misfit[[#This Row],[Shortname]], Comp[], 31, FALSE)</f>
        <v>0</v>
      </c>
    </row>
    <row r="100" spans="1:35" x14ac:dyDescent="0.3">
      <c r="A100" t="s">
        <v>2149</v>
      </c>
      <c r="B100" t="s">
        <v>2150</v>
      </c>
      <c r="C100" t="s">
        <v>6612</v>
      </c>
      <c r="D100">
        <v>900</v>
      </c>
      <c r="E100">
        <v>1000</v>
      </c>
      <c r="F100">
        <v>0.3664</v>
      </c>
      <c r="G100">
        <v>0.36599999999999999</v>
      </c>
      <c r="H100" s="40">
        <v>1.0499999999999999E-3</v>
      </c>
      <c r="J100">
        <f>VLOOKUP(Misfit[[#This Row],[Shortname]], Comp[], 6, FALSE)</f>
        <v>284</v>
      </c>
      <c r="K100">
        <f>VLOOKUP(Misfit[[#This Row],[Shortname]], Comp[], 7, FALSE)</f>
        <v>80</v>
      </c>
      <c r="L100">
        <f>VLOOKUP(Misfit[[#This Row],[Shortname]], Comp[], 8, FALSE)</f>
        <v>0</v>
      </c>
      <c r="M100">
        <f>VLOOKUP(Misfit[[#This Row],[Shortname]], Comp[], 9, FALSE)</f>
        <v>9</v>
      </c>
      <c r="N100">
        <f>VLOOKUP(Misfit[[#This Row],[Shortname]], Comp[], 10, FALSE)</f>
        <v>0</v>
      </c>
      <c r="O100">
        <f>VLOOKUP(Misfit[[#This Row],[Shortname]], Comp[], 11, FALSE)</f>
        <v>11</v>
      </c>
      <c r="P100">
        <f>VLOOKUP(Misfit[[#This Row],[Shortname]], Comp[],12, FALSE)</f>
        <v>0</v>
      </c>
      <c r="Q100">
        <f>VLOOKUP(Misfit[[#This Row],[Shortname]], Comp[], 13, FALSE)</f>
        <v>0</v>
      </c>
      <c r="R100">
        <f>VLOOKUP(Misfit[[#This Row],[Shortname]], Comp[], 14, FALSE)</f>
        <v>0</v>
      </c>
      <c r="S100">
        <f>VLOOKUP(Misfit[[#This Row],[Shortname]], Comp[], 15, FALSE)</f>
        <v>0</v>
      </c>
      <c r="T100">
        <f>VLOOKUP(Misfit[[#This Row],[Shortname]], Comp[], 16, FALSE)</f>
        <v>0</v>
      </c>
      <c r="U100">
        <f>VLOOKUP(Misfit[[#This Row],[Shortname]], Comp[], 17, FALSE)</f>
        <v>0</v>
      </c>
      <c r="V100">
        <f>VLOOKUP(Misfit[[#This Row],[Shortname]], Comp[], 18, FALSE)</f>
        <v>0</v>
      </c>
      <c r="W100">
        <f>VLOOKUP(Misfit[[#This Row],[Shortname]], Comp[], 19, FALSE)</f>
        <v>0</v>
      </c>
      <c r="X100">
        <f>VLOOKUP(Misfit[[#This Row],[Shortname]], Comp[], 20, FALSE)</f>
        <v>0</v>
      </c>
      <c r="Y100">
        <f>VLOOKUP(Misfit[[#This Row],[Shortname]], Comp[], 21, FALSE)</f>
        <v>0</v>
      </c>
      <c r="Z100">
        <f>VLOOKUP(Misfit[[#This Row],[Shortname]], Comp[], 22, FALSE)</f>
        <v>0</v>
      </c>
      <c r="AA100">
        <f>VLOOKUP(Misfit[[#This Row],[Shortname]], Comp[], 23, FALSE)</f>
        <v>0</v>
      </c>
      <c r="AB100">
        <f>VLOOKUP(Misfit[[#This Row],[Shortname]], Comp[], 24, FALSE)</f>
        <v>0</v>
      </c>
      <c r="AC100">
        <f>VLOOKUP(Misfit[[#This Row],[Shortname]], Comp[], 25, FALSE)</f>
        <v>0</v>
      </c>
      <c r="AD100">
        <f>VLOOKUP(Misfit[[#This Row],[Shortname]], Comp[], 26, FALSE)</f>
        <v>0</v>
      </c>
      <c r="AE100">
        <f>VLOOKUP(Misfit[[#This Row],[Shortname]], Comp[], 27, FALSE)</f>
        <v>0</v>
      </c>
      <c r="AF100">
        <f>VLOOKUP(Misfit[[#This Row],[Shortname]], Comp[], 28, FALSE)</f>
        <v>0</v>
      </c>
      <c r="AG100">
        <f>VLOOKUP(Misfit[[#This Row],[Shortname]], Comp[], 29, FALSE)</f>
        <v>0</v>
      </c>
      <c r="AH100">
        <f>VLOOKUP(Misfit[[#This Row],[Shortname]], Comp[], 30, FALSE)</f>
        <v>0</v>
      </c>
      <c r="AI100">
        <f>VLOOKUP(Misfit[[#This Row],[Shortname]], Comp[], 31, FALSE)</f>
        <v>0</v>
      </c>
    </row>
    <row r="101" spans="1:35" x14ac:dyDescent="0.3">
      <c r="A101" t="s">
        <v>2141</v>
      </c>
      <c r="B101" s="7" t="s">
        <v>2143</v>
      </c>
      <c r="C101" t="s">
        <v>6612</v>
      </c>
      <c r="D101">
        <v>900</v>
      </c>
      <c r="E101">
        <v>25</v>
      </c>
      <c r="F101">
        <v>0.36049999999999999</v>
      </c>
      <c r="G101">
        <v>0.35880000000000001</v>
      </c>
      <c r="H101" s="40">
        <v>4.6899999999999997E-3</v>
      </c>
      <c r="J101">
        <f>VLOOKUP(Misfit[[#This Row],[Shortname]], Comp[], 6, FALSE)</f>
        <v>282</v>
      </c>
      <c r="K101">
        <f>VLOOKUP(Misfit[[#This Row],[Shortname]], Comp[], 7, FALSE)</f>
        <v>83</v>
      </c>
      <c r="L101">
        <f>VLOOKUP(Misfit[[#This Row],[Shortname]], Comp[], 8, FALSE)</f>
        <v>0</v>
      </c>
      <c r="M101">
        <f>VLOOKUP(Misfit[[#This Row],[Shortname]], Comp[], 9, FALSE)</f>
        <v>9</v>
      </c>
      <c r="N101">
        <f>VLOOKUP(Misfit[[#This Row],[Shortname]], Comp[], 10, FALSE)</f>
        <v>0</v>
      </c>
      <c r="O101">
        <f>VLOOKUP(Misfit[[#This Row],[Shortname]], Comp[], 11, FALSE)</f>
        <v>8</v>
      </c>
      <c r="P101">
        <f>VLOOKUP(Misfit[[#This Row],[Shortname]], Comp[],12, FALSE)</f>
        <v>0</v>
      </c>
      <c r="Q101">
        <f>VLOOKUP(Misfit[[#This Row],[Shortname]], Comp[], 13, FALSE)</f>
        <v>0</v>
      </c>
      <c r="R101">
        <f>VLOOKUP(Misfit[[#This Row],[Shortname]], Comp[], 14, FALSE)</f>
        <v>0</v>
      </c>
      <c r="S101">
        <f>VLOOKUP(Misfit[[#This Row],[Shortname]], Comp[], 15, FALSE)</f>
        <v>0</v>
      </c>
      <c r="T101">
        <f>VLOOKUP(Misfit[[#This Row],[Shortname]], Comp[], 16, FALSE)</f>
        <v>0</v>
      </c>
      <c r="U101">
        <f>VLOOKUP(Misfit[[#This Row],[Shortname]], Comp[], 17, FALSE)</f>
        <v>0</v>
      </c>
      <c r="V101">
        <f>VLOOKUP(Misfit[[#This Row],[Shortname]], Comp[], 18, FALSE)</f>
        <v>0</v>
      </c>
      <c r="W101">
        <f>VLOOKUP(Misfit[[#This Row],[Shortname]], Comp[], 19, FALSE)</f>
        <v>0</v>
      </c>
      <c r="X101">
        <f>VLOOKUP(Misfit[[#This Row],[Shortname]], Comp[], 20, FALSE)</f>
        <v>0</v>
      </c>
      <c r="Y101">
        <f>VLOOKUP(Misfit[[#This Row],[Shortname]], Comp[], 21, FALSE)</f>
        <v>0</v>
      </c>
      <c r="Z101">
        <f>VLOOKUP(Misfit[[#This Row],[Shortname]], Comp[], 22, FALSE)</f>
        <v>0</v>
      </c>
      <c r="AA101">
        <f>VLOOKUP(Misfit[[#This Row],[Shortname]], Comp[], 23, FALSE)</f>
        <v>0</v>
      </c>
      <c r="AB101">
        <f>VLOOKUP(Misfit[[#This Row],[Shortname]], Comp[], 24, FALSE)</f>
        <v>0</v>
      </c>
      <c r="AC101">
        <f>VLOOKUP(Misfit[[#This Row],[Shortname]], Comp[], 25, FALSE)</f>
        <v>0</v>
      </c>
      <c r="AD101">
        <f>VLOOKUP(Misfit[[#This Row],[Shortname]], Comp[], 26, FALSE)</f>
        <v>0</v>
      </c>
      <c r="AE101">
        <f>VLOOKUP(Misfit[[#This Row],[Shortname]], Comp[], 27, FALSE)</f>
        <v>0</v>
      </c>
      <c r="AF101">
        <f>VLOOKUP(Misfit[[#This Row],[Shortname]], Comp[], 28, FALSE)</f>
        <v>0</v>
      </c>
      <c r="AG101">
        <f>VLOOKUP(Misfit[[#This Row],[Shortname]], Comp[], 29, FALSE)</f>
        <v>0</v>
      </c>
      <c r="AH101">
        <f>VLOOKUP(Misfit[[#This Row],[Shortname]], Comp[], 30, FALSE)</f>
        <v>0</v>
      </c>
      <c r="AI101">
        <f>VLOOKUP(Misfit[[#This Row],[Shortname]], Comp[], 31, FALSE)</f>
        <v>0</v>
      </c>
    </row>
    <row r="102" spans="1:35" x14ac:dyDescent="0.3">
      <c r="A102" t="s">
        <v>2141</v>
      </c>
      <c r="B102" s="7" t="s">
        <v>2143</v>
      </c>
      <c r="C102" t="s">
        <v>6612</v>
      </c>
      <c r="D102">
        <v>900</v>
      </c>
      <c r="E102">
        <v>200</v>
      </c>
      <c r="F102">
        <v>0.36149999999999999</v>
      </c>
      <c r="G102">
        <v>0.35970000000000002</v>
      </c>
      <c r="H102" s="40">
        <v>4.7199999999999994E-3</v>
      </c>
      <c r="J102">
        <f>VLOOKUP(Misfit[[#This Row],[Shortname]], Comp[], 6, FALSE)</f>
        <v>282</v>
      </c>
      <c r="K102">
        <f>VLOOKUP(Misfit[[#This Row],[Shortname]], Comp[], 7, FALSE)</f>
        <v>83</v>
      </c>
      <c r="L102">
        <f>VLOOKUP(Misfit[[#This Row],[Shortname]], Comp[], 8, FALSE)</f>
        <v>0</v>
      </c>
      <c r="M102">
        <f>VLOOKUP(Misfit[[#This Row],[Shortname]], Comp[], 9, FALSE)</f>
        <v>9</v>
      </c>
      <c r="N102">
        <f>VLOOKUP(Misfit[[#This Row],[Shortname]], Comp[], 10, FALSE)</f>
        <v>0</v>
      </c>
      <c r="O102">
        <f>VLOOKUP(Misfit[[#This Row],[Shortname]], Comp[], 11, FALSE)</f>
        <v>8</v>
      </c>
      <c r="P102">
        <f>VLOOKUP(Misfit[[#This Row],[Shortname]], Comp[],12, FALSE)</f>
        <v>0</v>
      </c>
      <c r="Q102">
        <f>VLOOKUP(Misfit[[#This Row],[Shortname]], Comp[], 13, FALSE)</f>
        <v>0</v>
      </c>
      <c r="R102">
        <f>VLOOKUP(Misfit[[#This Row],[Shortname]], Comp[], 14, FALSE)</f>
        <v>0</v>
      </c>
      <c r="S102">
        <f>VLOOKUP(Misfit[[#This Row],[Shortname]], Comp[], 15, FALSE)</f>
        <v>0</v>
      </c>
      <c r="T102">
        <f>VLOOKUP(Misfit[[#This Row],[Shortname]], Comp[], 16, FALSE)</f>
        <v>0</v>
      </c>
      <c r="U102">
        <f>VLOOKUP(Misfit[[#This Row],[Shortname]], Comp[], 17, FALSE)</f>
        <v>0</v>
      </c>
      <c r="V102">
        <f>VLOOKUP(Misfit[[#This Row],[Shortname]], Comp[], 18, FALSE)</f>
        <v>0</v>
      </c>
      <c r="W102">
        <f>VLOOKUP(Misfit[[#This Row],[Shortname]], Comp[], 19, FALSE)</f>
        <v>0</v>
      </c>
      <c r="X102">
        <f>VLOOKUP(Misfit[[#This Row],[Shortname]], Comp[], 20, FALSE)</f>
        <v>0</v>
      </c>
      <c r="Y102">
        <f>VLOOKUP(Misfit[[#This Row],[Shortname]], Comp[], 21, FALSE)</f>
        <v>0</v>
      </c>
      <c r="Z102">
        <f>VLOOKUP(Misfit[[#This Row],[Shortname]], Comp[], 22, FALSE)</f>
        <v>0</v>
      </c>
      <c r="AA102">
        <f>VLOOKUP(Misfit[[#This Row],[Shortname]], Comp[], 23, FALSE)</f>
        <v>0</v>
      </c>
      <c r="AB102">
        <f>VLOOKUP(Misfit[[#This Row],[Shortname]], Comp[], 24, FALSE)</f>
        <v>0</v>
      </c>
      <c r="AC102">
        <f>VLOOKUP(Misfit[[#This Row],[Shortname]], Comp[], 25, FALSE)</f>
        <v>0</v>
      </c>
      <c r="AD102">
        <f>VLOOKUP(Misfit[[#This Row],[Shortname]], Comp[], 26, FALSE)</f>
        <v>0</v>
      </c>
      <c r="AE102">
        <f>VLOOKUP(Misfit[[#This Row],[Shortname]], Comp[], 27, FALSE)</f>
        <v>0</v>
      </c>
      <c r="AF102">
        <f>VLOOKUP(Misfit[[#This Row],[Shortname]], Comp[], 28, FALSE)</f>
        <v>0</v>
      </c>
      <c r="AG102">
        <f>VLOOKUP(Misfit[[#This Row],[Shortname]], Comp[], 29, FALSE)</f>
        <v>0</v>
      </c>
      <c r="AH102">
        <f>VLOOKUP(Misfit[[#This Row],[Shortname]], Comp[], 30, FALSE)</f>
        <v>0</v>
      </c>
      <c r="AI102">
        <f>VLOOKUP(Misfit[[#This Row],[Shortname]], Comp[], 31, FALSE)</f>
        <v>0</v>
      </c>
    </row>
    <row r="103" spans="1:35" x14ac:dyDescent="0.3">
      <c r="A103" t="s">
        <v>2141</v>
      </c>
      <c r="B103" s="7" t="s">
        <v>2143</v>
      </c>
      <c r="C103" t="s">
        <v>6612</v>
      </c>
      <c r="D103">
        <v>900</v>
      </c>
      <c r="E103">
        <v>400</v>
      </c>
      <c r="F103">
        <v>0.36199999999999999</v>
      </c>
      <c r="G103">
        <v>0.36020000000000002</v>
      </c>
      <c r="H103" s="40">
        <v>4.96E-3</v>
      </c>
      <c r="J103">
        <f>VLOOKUP(Misfit[[#This Row],[Shortname]], Comp[], 6, FALSE)</f>
        <v>282</v>
      </c>
      <c r="K103">
        <f>VLOOKUP(Misfit[[#This Row],[Shortname]], Comp[], 7, FALSE)</f>
        <v>83</v>
      </c>
      <c r="L103">
        <f>VLOOKUP(Misfit[[#This Row],[Shortname]], Comp[], 8, FALSE)</f>
        <v>0</v>
      </c>
      <c r="M103">
        <f>VLOOKUP(Misfit[[#This Row],[Shortname]], Comp[], 9, FALSE)</f>
        <v>9</v>
      </c>
      <c r="N103">
        <f>VLOOKUP(Misfit[[#This Row],[Shortname]], Comp[], 10, FALSE)</f>
        <v>0</v>
      </c>
      <c r="O103">
        <f>VLOOKUP(Misfit[[#This Row],[Shortname]], Comp[], 11, FALSE)</f>
        <v>8</v>
      </c>
      <c r="P103">
        <f>VLOOKUP(Misfit[[#This Row],[Shortname]], Comp[],12, FALSE)</f>
        <v>0</v>
      </c>
      <c r="Q103">
        <f>VLOOKUP(Misfit[[#This Row],[Shortname]], Comp[], 13, FALSE)</f>
        <v>0</v>
      </c>
      <c r="R103">
        <f>VLOOKUP(Misfit[[#This Row],[Shortname]], Comp[], 14, FALSE)</f>
        <v>0</v>
      </c>
      <c r="S103">
        <f>VLOOKUP(Misfit[[#This Row],[Shortname]], Comp[], 15, FALSE)</f>
        <v>0</v>
      </c>
      <c r="T103">
        <f>VLOOKUP(Misfit[[#This Row],[Shortname]], Comp[], 16, FALSE)</f>
        <v>0</v>
      </c>
      <c r="U103">
        <f>VLOOKUP(Misfit[[#This Row],[Shortname]], Comp[], 17, FALSE)</f>
        <v>0</v>
      </c>
      <c r="V103">
        <f>VLOOKUP(Misfit[[#This Row],[Shortname]], Comp[], 18, FALSE)</f>
        <v>0</v>
      </c>
      <c r="W103">
        <f>VLOOKUP(Misfit[[#This Row],[Shortname]], Comp[], 19, FALSE)</f>
        <v>0</v>
      </c>
      <c r="X103">
        <f>VLOOKUP(Misfit[[#This Row],[Shortname]], Comp[], 20, FALSE)</f>
        <v>0</v>
      </c>
      <c r="Y103">
        <f>VLOOKUP(Misfit[[#This Row],[Shortname]], Comp[], 21, FALSE)</f>
        <v>0</v>
      </c>
      <c r="Z103">
        <f>VLOOKUP(Misfit[[#This Row],[Shortname]], Comp[], 22, FALSE)</f>
        <v>0</v>
      </c>
      <c r="AA103">
        <f>VLOOKUP(Misfit[[#This Row],[Shortname]], Comp[], 23, FALSE)</f>
        <v>0</v>
      </c>
      <c r="AB103">
        <f>VLOOKUP(Misfit[[#This Row],[Shortname]], Comp[], 24, FALSE)</f>
        <v>0</v>
      </c>
      <c r="AC103">
        <f>VLOOKUP(Misfit[[#This Row],[Shortname]], Comp[], 25, FALSE)</f>
        <v>0</v>
      </c>
      <c r="AD103">
        <f>VLOOKUP(Misfit[[#This Row],[Shortname]], Comp[], 26, FALSE)</f>
        <v>0</v>
      </c>
      <c r="AE103">
        <f>VLOOKUP(Misfit[[#This Row],[Shortname]], Comp[], 27, FALSE)</f>
        <v>0</v>
      </c>
      <c r="AF103">
        <f>VLOOKUP(Misfit[[#This Row],[Shortname]], Comp[], 28, FALSE)</f>
        <v>0</v>
      </c>
      <c r="AG103">
        <f>VLOOKUP(Misfit[[#This Row],[Shortname]], Comp[], 29, FALSE)</f>
        <v>0</v>
      </c>
      <c r="AH103">
        <f>VLOOKUP(Misfit[[#This Row],[Shortname]], Comp[], 30, FALSE)</f>
        <v>0</v>
      </c>
      <c r="AI103">
        <f>VLOOKUP(Misfit[[#This Row],[Shortname]], Comp[], 31, FALSE)</f>
        <v>0</v>
      </c>
    </row>
    <row r="104" spans="1:35" x14ac:dyDescent="0.3">
      <c r="A104" t="s">
        <v>2141</v>
      </c>
      <c r="B104" s="7" t="s">
        <v>2143</v>
      </c>
      <c r="C104" t="s">
        <v>6612</v>
      </c>
      <c r="D104">
        <v>900</v>
      </c>
      <c r="E104">
        <v>500</v>
      </c>
      <c r="F104">
        <v>0.36259999999999998</v>
      </c>
      <c r="G104">
        <v>0.36080000000000001</v>
      </c>
      <c r="H104" s="40">
        <v>5.0800000000000003E-3</v>
      </c>
      <c r="J104">
        <f>VLOOKUP(Misfit[[#This Row],[Shortname]], Comp[], 6, FALSE)</f>
        <v>282</v>
      </c>
      <c r="K104">
        <f>VLOOKUP(Misfit[[#This Row],[Shortname]], Comp[], 7, FALSE)</f>
        <v>83</v>
      </c>
      <c r="L104">
        <f>VLOOKUP(Misfit[[#This Row],[Shortname]], Comp[], 8, FALSE)</f>
        <v>0</v>
      </c>
      <c r="M104">
        <f>VLOOKUP(Misfit[[#This Row],[Shortname]], Comp[], 9, FALSE)</f>
        <v>9</v>
      </c>
      <c r="N104">
        <f>VLOOKUP(Misfit[[#This Row],[Shortname]], Comp[], 10, FALSE)</f>
        <v>0</v>
      </c>
      <c r="O104">
        <f>VLOOKUP(Misfit[[#This Row],[Shortname]], Comp[], 11, FALSE)</f>
        <v>8</v>
      </c>
      <c r="P104">
        <f>VLOOKUP(Misfit[[#This Row],[Shortname]], Comp[],12, FALSE)</f>
        <v>0</v>
      </c>
      <c r="Q104">
        <f>VLOOKUP(Misfit[[#This Row],[Shortname]], Comp[], 13, FALSE)</f>
        <v>0</v>
      </c>
      <c r="R104">
        <f>VLOOKUP(Misfit[[#This Row],[Shortname]], Comp[], 14, FALSE)</f>
        <v>0</v>
      </c>
      <c r="S104">
        <f>VLOOKUP(Misfit[[#This Row],[Shortname]], Comp[], 15, FALSE)</f>
        <v>0</v>
      </c>
      <c r="T104">
        <f>VLOOKUP(Misfit[[#This Row],[Shortname]], Comp[], 16, FALSE)</f>
        <v>0</v>
      </c>
      <c r="U104">
        <f>VLOOKUP(Misfit[[#This Row],[Shortname]], Comp[], 17, FALSE)</f>
        <v>0</v>
      </c>
      <c r="V104">
        <f>VLOOKUP(Misfit[[#This Row],[Shortname]], Comp[], 18, FALSE)</f>
        <v>0</v>
      </c>
      <c r="W104">
        <f>VLOOKUP(Misfit[[#This Row],[Shortname]], Comp[], 19, FALSE)</f>
        <v>0</v>
      </c>
      <c r="X104">
        <f>VLOOKUP(Misfit[[#This Row],[Shortname]], Comp[], 20, FALSE)</f>
        <v>0</v>
      </c>
      <c r="Y104">
        <f>VLOOKUP(Misfit[[#This Row],[Shortname]], Comp[], 21, FALSE)</f>
        <v>0</v>
      </c>
      <c r="Z104">
        <f>VLOOKUP(Misfit[[#This Row],[Shortname]], Comp[], 22, FALSE)</f>
        <v>0</v>
      </c>
      <c r="AA104">
        <f>VLOOKUP(Misfit[[#This Row],[Shortname]], Comp[], 23, FALSE)</f>
        <v>0</v>
      </c>
      <c r="AB104">
        <f>VLOOKUP(Misfit[[#This Row],[Shortname]], Comp[], 24, FALSE)</f>
        <v>0</v>
      </c>
      <c r="AC104">
        <f>VLOOKUP(Misfit[[#This Row],[Shortname]], Comp[], 25, FALSE)</f>
        <v>0</v>
      </c>
      <c r="AD104">
        <f>VLOOKUP(Misfit[[#This Row],[Shortname]], Comp[], 26, FALSE)</f>
        <v>0</v>
      </c>
      <c r="AE104">
        <f>VLOOKUP(Misfit[[#This Row],[Shortname]], Comp[], 27, FALSE)</f>
        <v>0</v>
      </c>
      <c r="AF104">
        <f>VLOOKUP(Misfit[[#This Row],[Shortname]], Comp[], 28, FALSE)</f>
        <v>0</v>
      </c>
      <c r="AG104">
        <f>VLOOKUP(Misfit[[#This Row],[Shortname]], Comp[], 29, FALSE)</f>
        <v>0</v>
      </c>
      <c r="AH104">
        <f>VLOOKUP(Misfit[[#This Row],[Shortname]], Comp[], 30, FALSE)</f>
        <v>0</v>
      </c>
      <c r="AI104">
        <f>VLOOKUP(Misfit[[#This Row],[Shortname]], Comp[], 31, FALSE)</f>
        <v>0</v>
      </c>
    </row>
    <row r="105" spans="1:35" x14ac:dyDescent="0.3">
      <c r="A105" t="s">
        <v>2141</v>
      </c>
      <c r="B105" s="7" t="s">
        <v>2143</v>
      </c>
      <c r="C105" t="s">
        <v>6612</v>
      </c>
      <c r="D105">
        <v>900</v>
      </c>
      <c r="E105">
        <v>600</v>
      </c>
      <c r="F105">
        <v>0.36299999999999999</v>
      </c>
      <c r="G105">
        <v>0.36149999999999999</v>
      </c>
      <c r="H105" s="40">
        <v>5.0000000000000001E-3</v>
      </c>
      <c r="J105">
        <f>VLOOKUP(Misfit[[#This Row],[Shortname]], Comp[], 6, FALSE)</f>
        <v>282</v>
      </c>
      <c r="K105">
        <f>VLOOKUP(Misfit[[#This Row],[Shortname]], Comp[], 7, FALSE)</f>
        <v>83</v>
      </c>
      <c r="L105">
        <f>VLOOKUP(Misfit[[#This Row],[Shortname]], Comp[], 8, FALSE)</f>
        <v>0</v>
      </c>
      <c r="M105">
        <f>VLOOKUP(Misfit[[#This Row],[Shortname]], Comp[], 9, FALSE)</f>
        <v>9</v>
      </c>
      <c r="N105">
        <f>VLOOKUP(Misfit[[#This Row],[Shortname]], Comp[], 10, FALSE)</f>
        <v>0</v>
      </c>
      <c r="O105">
        <f>VLOOKUP(Misfit[[#This Row],[Shortname]], Comp[], 11, FALSE)</f>
        <v>8</v>
      </c>
      <c r="P105">
        <f>VLOOKUP(Misfit[[#This Row],[Shortname]], Comp[],12, FALSE)</f>
        <v>0</v>
      </c>
      <c r="Q105">
        <f>VLOOKUP(Misfit[[#This Row],[Shortname]], Comp[], 13, FALSE)</f>
        <v>0</v>
      </c>
      <c r="R105">
        <f>VLOOKUP(Misfit[[#This Row],[Shortname]], Comp[], 14, FALSE)</f>
        <v>0</v>
      </c>
      <c r="S105">
        <f>VLOOKUP(Misfit[[#This Row],[Shortname]], Comp[], 15, FALSE)</f>
        <v>0</v>
      </c>
      <c r="T105">
        <f>VLOOKUP(Misfit[[#This Row],[Shortname]], Comp[], 16, FALSE)</f>
        <v>0</v>
      </c>
      <c r="U105">
        <f>VLOOKUP(Misfit[[#This Row],[Shortname]], Comp[], 17, FALSE)</f>
        <v>0</v>
      </c>
      <c r="V105">
        <f>VLOOKUP(Misfit[[#This Row],[Shortname]], Comp[], 18, FALSE)</f>
        <v>0</v>
      </c>
      <c r="W105">
        <f>VLOOKUP(Misfit[[#This Row],[Shortname]], Comp[], 19, FALSE)</f>
        <v>0</v>
      </c>
      <c r="X105">
        <f>VLOOKUP(Misfit[[#This Row],[Shortname]], Comp[], 20, FALSE)</f>
        <v>0</v>
      </c>
      <c r="Y105">
        <f>VLOOKUP(Misfit[[#This Row],[Shortname]], Comp[], 21, FALSE)</f>
        <v>0</v>
      </c>
      <c r="Z105">
        <f>VLOOKUP(Misfit[[#This Row],[Shortname]], Comp[], 22, FALSE)</f>
        <v>0</v>
      </c>
      <c r="AA105">
        <f>VLOOKUP(Misfit[[#This Row],[Shortname]], Comp[], 23, FALSE)</f>
        <v>0</v>
      </c>
      <c r="AB105">
        <f>VLOOKUP(Misfit[[#This Row],[Shortname]], Comp[], 24, FALSE)</f>
        <v>0</v>
      </c>
      <c r="AC105">
        <f>VLOOKUP(Misfit[[#This Row],[Shortname]], Comp[], 25, FALSE)</f>
        <v>0</v>
      </c>
      <c r="AD105">
        <f>VLOOKUP(Misfit[[#This Row],[Shortname]], Comp[], 26, FALSE)</f>
        <v>0</v>
      </c>
      <c r="AE105">
        <f>VLOOKUP(Misfit[[#This Row],[Shortname]], Comp[], 27, FALSE)</f>
        <v>0</v>
      </c>
      <c r="AF105">
        <f>VLOOKUP(Misfit[[#This Row],[Shortname]], Comp[], 28, FALSE)</f>
        <v>0</v>
      </c>
      <c r="AG105">
        <f>VLOOKUP(Misfit[[#This Row],[Shortname]], Comp[], 29, FALSE)</f>
        <v>0</v>
      </c>
      <c r="AH105">
        <f>VLOOKUP(Misfit[[#This Row],[Shortname]], Comp[], 30, FALSE)</f>
        <v>0</v>
      </c>
      <c r="AI105">
        <f>VLOOKUP(Misfit[[#This Row],[Shortname]], Comp[], 31, FALSE)</f>
        <v>0</v>
      </c>
    </row>
    <row r="106" spans="1:35" x14ac:dyDescent="0.3">
      <c r="A106" t="s">
        <v>2141</v>
      </c>
      <c r="B106" s="7" t="s">
        <v>2143</v>
      </c>
      <c r="C106" t="s">
        <v>6612</v>
      </c>
      <c r="D106">
        <v>900</v>
      </c>
      <c r="E106">
        <v>700</v>
      </c>
      <c r="F106">
        <v>0.36370000000000002</v>
      </c>
      <c r="G106">
        <v>0.36199999999999999</v>
      </c>
      <c r="H106" s="40">
        <v>4.7799999999999995E-3</v>
      </c>
      <c r="J106">
        <f>VLOOKUP(Misfit[[#This Row],[Shortname]], Comp[], 6, FALSE)</f>
        <v>282</v>
      </c>
      <c r="K106">
        <f>VLOOKUP(Misfit[[#This Row],[Shortname]], Comp[], 7, FALSE)</f>
        <v>83</v>
      </c>
      <c r="L106">
        <f>VLOOKUP(Misfit[[#This Row],[Shortname]], Comp[], 8, FALSE)</f>
        <v>0</v>
      </c>
      <c r="M106">
        <f>VLOOKUP(Misfit[[#This Row],[Shortname]], Comp[], 9, FALSE)</f>
        <v>9</v>
      </c>
      <c r="N106">
        <f>VLOOKUP(Misfit[[#This Row],[Shortname]], Comp[], 10, FALSE)</f>
        <v>0</v>
      </c>
      <c r="O106">
        <f>VLOOKUP(Misfit[[#This Row],[Shortname]], Comp[], 11, FALSE)</f>
        <v>8</v>
      </c>
      <c r="P106">
        <f>VLOOKUP(Misfit[[#This Row],[Shortname]], Comp[],12, FALSE)</f>
        <v>0</v>
      </c>
      <c r="Q106">
        <f>VLOOKUP(Misfit[[#This Row],[Shortname]], Comp[], 13, FALSE)</f>
        <v>0</v>
      </c>
      <c r="R106">
        <f>VLOOKUP(Misfit[[#This Row],[Shortname]], Comp[], 14, FALSE)</f>
        <v>0</v>
      </c>
      <c r="S106">
        <f>VLOOKUP(Misfit[[#This Row],[Shortname]], Comp[], 15, FALSE)</f>
        <v>0</v>
      </c>
      <c r="T106">
        <f>VLOOKUP(Misfit[[#This Row],[Shortname]], Comp[], 16, FALSE)</f>
        <v>0</v>
      </c>
      <c r="U106">
        <f>VLOOKUP(Misfit[[#This Row],[Shortname]], Comp[], 17, FALSE)</f>
        <v>0</v>
      </c>
      <c r="V106">
        <f>VLOOKUP(Misfit[[#This Row],[Shortname]], Comp[], 18, FALSE)</f>
        <v>0</v>
      </c>
      <c r="W106">
        <f>VLOOKUP(Misfit[[#This Row],[Shortname]], Comp[], 19, FALSE)</f>
        <v>0</v>
      </c>
      <c r="X106">
        <f>VLOOKUP(Misfit[[#This Row],[Shortname]], Comp[], 20, FALSE)</f>
        <v>0</v>
      </c>
      <c r="Y106">
        <f>VLOOKUP(Misfit[[#This Row],[Shortname]], Comp[], 21, FALSE)</f>
        <v>0</v>
      </c>
      <c r="Z106">
        <f>VLOOKUP(Misfit[[#This Row],[Shortname]], Comp[], 22, FALSE)</f>
        <v>0</v>
      </c>
      <c r="AA106">
        <f>VLOOKUP(Misfit[[#This Row],[Shortname]], Comp[], 23, FALSE)</f>
        <v>0</v>
      </c>
      <c r="AB106">
        <f>VLOOKUP(Misfit[[#This Row],[Shortname]], Comp[], 24, FALSE)</f>
        <v>0</v>
      </c>
      <c r="AC106">
        <f>VLOOKUP(Misfit[[#This Row],[Shortname]], Comp[], 25, FALSE)</f>
        <v>0</v>
      </c>
      <c r="AD106">
        <f>VLOOKUP(Misfit[[#This Row],[Shortname]], Comp[], 26, FALSE)</f>
        <v>0</v>
      </c>
      <c r="AE106">
        <f>VLOOKUP(Misfit[[#This Row],[Shortname]], Comp[], 27, FALSE)</f>
        <v>0</v>
      </c>
      <c r="AF106">
        <f>VLOOKUP(Misfit[[#This Row],[Shortname]], Comp[], 28, FALSE)</f>
        <v>0</v>
      </c>
      <c r="AG106">
        <f>VLOOKUP(Misfit[[#This Row],[Shortname]], Comp[], 29, FALSE)</f>
        <v>0</v>
      </c>
      <c r="AH106">
        <f>VLOOKUP(Misfit[[#This Row],[Shortname]], Comp[], 30, FALSE)</f>
        <v>0</v>
      </c>
      <c r="AI106">
        <f>VLOOKUP(Misfit[[#This Row],[Shortname]], Comp[], 31, FALSE)</f>
        <v>0</v>
      </c>
    </row>
    <row r="107" spans="1:35" x14ac:dyDescent="0.3">
      <c r="A107" t="s">
        <v>2141</v>
      </c>
      <c r="B107" s="7" t="s">
        <v>2143</v>
      </c>
      <c r="C107" t="s">
        <v>6612</v>
      </c>
      <c r="D107">
        <v>900</v>
      </c>
      <c r="E107">
        <v>800</v>
      </c>
      <c r="F107">
        <v>0.36430000000000001</v>
      </c>
      <c r="G107">
        <v>0.36320000000000002</v>
      </c>
      <c r="H107" s="40">
        <v>4.5900000000000003E-3</v>
      </c>
      <c r="J107">
        <f>VLOOKUP(Misfit[[#This Row],[Shortname]], Comp[], 6, FALSE)</f>
        <v>282</v>
      </c>
      <c r="K107">
        <f>VLOOKUP(Misfit[[#This Row],[Shortname]], Comp[], 7, FALSE)</f>
        <v>83</v>
      </c>
      <c r="L107">
        <f>VLOOKUP(Misfit[[#This Row],[Shortname]], Comp[], 8, FALSE)</f>
        <v>0</v>
      </c>
      <c r="M107">
        <f>VLOOKUP(Misfit[[#This Row],[Shortname]], Comp[], 9, FALSE)</f>
        <v>9</v>
      </c>
      <c r="N107">
        <f>VLOOKUP(Misfit[[#This Row],[Shortname]], Comp[], 10, FALSE)</f>
        <v>0</v>
      </c>
      <c r="O107">
        <f>VLOOKUP(Misfit[[#This Row],[Shortname]], Comp[], 11, FALSE)</f>
        <v>8</v>
      </c>
      <c r="P107">
        <f>VLOOKUP(Misfit[[#This Row],[Shortname]], Comp[],12, FALSE)</f>
        <v>0</v>
      </c>
      <c r="Q107">
        <f>VLOOKUP(Misfit[[#This Row],[Shortname]], Comp[], 13, FALSE)</f>
        <v>0</v>
      </c>
      <c r="R107">
        <f>VLOOKUP(Misfit[[#This Row],[Shortname]], Comp[], 14, FALSE)</f>
        <v>0</v>
      </c>
      <c r="S107">
        <f>VLOOKUP(Misfit[[#This Row],[Shortname]], Comp[], 15, FALSE)</f>
        <v>0</v>
      </c>
      <c r="T107">
        <f>VLOOKUP(Misfit[[#This Row],[Shortname]], Comp[], 16, FALSE)</f>
        <v>0</v>
      </c>
      <c r="U107">
        <f>VLOOKUP(Misfit[[#This Row],[Shortname]], Comp[], 17, FALSE)</f>
        <v>0</v>
      </c>
      <c r="V107">
        <f>VLOOKUP(Misfit[[#This Row],[Shortname]], Comp[], 18, FALSE)</f>
        <v>0</v>
      </c>
      <c r="W107">
        <f>VLOOKUP(Misfit[[#This Row],[Shortname]], Comp[], 19, FALSE)</f>
        <v>0</v>
      </c>
      <c r="X107">
        <f>VLOOKUP(Misfit[[#This Row],[Shortname]], Comp[], 20, FALSE)</f>
        <v>0</v>
      </c>
      <c r="Y107">
        <f>VLOOKUP(Misfit[[#This Row],[Shortname]], Comp[], 21, FALSE)</f>
        <v>0</v>
      </c>
      <c r="Z107">
        <f>VLOOKUP(Misfit[[#This Row],[Shortname]], Comp[], 22, FALSE)</f>
        <v>0</v>
      </c>
      <c r="AA107">
        <f>VLOOKUP(Misfit[[#This Row],[Shortname]], Comp[], 23, FALSE)</f>
        <v>0</v>
      </c>
      <c r="AB107">
        <f>VLOOKUP(Misfit[[#This Row],[Shortname]], Comp[], 24, FALSE)</f>
        <v>0</v>
      </c>
      <c r="AC107">
        <f>VLOOKUP(Misfit[[#This Row],[Shortname]], Comp[], 25, FALSE)</f>
        <v>0</v>
      </c>
      <c r="AD107">
        <f>VLOOKUP(Misfit[[#This Row],[Shortname]], Comp[], 26, FALSE)</f>
        <v>0</v>
      </c>
      <c r="AE107">
        <f>VLOOKUP(Misfit[[#This Row],[Shortname]], Comp[], 27, FALSE)</f>
        <v>0</v>
      </c>
      <c r="AF107">
        <f>VLOOKUP(Misfit[[#This Row],[Shortname]], Comp[], 28, FALSE)</f>
        <v>0</v>
      </c>
      <c r="AG107">
        <f>VLOOKUP(Misfit[[#This Row],[Shortname]], Comp[], 29, FALSE)</f>
        <v>0</v>
      </c>
      <c r="AH107">
        <f>VLOOKUP(Misfit[[#This Row],[Shortname]], Comp[], 30, FALSE)</f>
        <v>0</v>
      </c>
      <c r="AI107">
        <f>VLOOKUP(Misfit[[#This Row],[Shortname]], Comp[], 31, FALSE)</f>
        <v>0</v>
      </c>
    </row>
    <row r="108" spans="1:35" x14ac:dyDescent="0.3">
      <c r="A108" t="s">
        <v>2141</v>
      </c>
      <c r="B108" s="7" t="s">
        <v>2143</v>
      </c>
      <c r="C108" t="s">
        <v>6612</v>
      </c>
      <c r="D108">
        <v>900</v>
      </c>
      <c r="E108">
        <v>875</v>
      </c>
      <c r="F108">
        <v>0.36459999999999998</v>
      </c>
      <c r="G108">
        <v>0.36330000000000001</v>
      </c>
      <c r="H108" s="40">
        <v>3.0499999999999998E-3</v>
      </c>
      <c r="J108">
        <f>VLOOKUP(Misfit[[#This Row],[Shortname]], Comp[], 6, FALSE)</f>
        <v>282</v>
      </c>
      <c r="K108">
        <f>VLOOKUP(Misfit[[#This Row],[Shortname]], Comp[], 7, FALSE)</f>
        <v>83</v>
      </c>
      <c r="L108">
        <f>VLOOKUP(Misfit[[#This Row],[Shortname]], Comp[], 8, FALSE)</f>
        <v>0</v>
      </c>
      <c r="M108">
        <f>VLOOKUP(Misfit[[#This Row],[Shortname]], Comp[], 9, FALSE)</f>
        <v>9</v>
      </c>
      <c r="N108">
        <f>VLOOKUP(Misfit[[#This Row],[Shortname]], Comp[], 10, FALSE)</f>
        <v>0</v>
      </c>
      <c r="O108">
        <f>VLOOKUP(Misfit[[#This Row],[Shortname]], Comp[], 11, FALSE)</f>
        <v>8</v>
      </c>
      <c r="P108">
        <f>VLOOKUP(Misfit[[#This Row],[Shortname]], Comp[],12, FALSE)</f>
        <v>0</v>
      </c>
      <c r="Q108">
        <f>VLOOKUP(Misfit[[#This Row],[Shortname]], Comp[], 13, FALSE)</f>
        <v>0</v>
      </c>
      <c r="R108">
        <f>VLOOKUP(Misfit[[#This Row],[Shortname]], Comp[], 14, FALSE)</f>
        <v>0</v>
      </c>
      <c r="S108">
        <f>VLOOKUP(Misfit[[#This Row],[Shortname]], Comp[], 15, FALSE)</f>
        <v>0</v>
      </c>
      <c r="T108">
        <f>VLOOKUP(Misfit[[#This Row],[Shortname]], Comp[], 16, FALSE)</f>
        <v>0</v>
      </c>
      <c r="U108">
        <f>VLOOKUP(Misfit[[#This Row],[Shortname]], Comp[], 17, FALSE)</f>
        <v>0</v>
      </c>
      <c r="V108">
        <f>VLOOKUP(Misfit[[#This Row],[Shortname]], Comp[], 18, FALSE)</f>
        <v>0</v>
      </c>
      <c r="W108">
        <f>VLOOKUP(Misfit[[#This Row],[Shortname]], Comp[], 19, FALSE)</f>
        <v>0</v>
      </c>
      <c r="X108">
        <f>VLOOKUP(Misfit[[#This Row],[Shortname]], Comp[], 20, FALSE)</f>
        <v>0</v>
      </c>
      <c r="Y108">
        <f>VLOOKUP(Misfit[[#This Row],[Shortname]], Comp[], 21, FALSE)</f>
        <v>0</v>
      </c>
      <c r="Z108">
        <f>VLOOKUP(Misfit[[#This Row],[Shortname]], Comp[], 22, FALSE)</f>
        <v>0</v>
      </c>
      <c r="AA108">
        <f>VLOOKUP(Misfit[[#This Row],[Shortname]], Comp[], 23, FALSE)</f>
        <v>0</v>
      </c>
      <c r="AB108">
        <f>VLOOKUP(Misfit[[#This Row],[Shortname]], Comp[], 24, FALSE)</f>
        <v>0</v>
      </c>
      <c r="AC108">
        <f>VLOOKUP(Misfit[[#This Row],[Shortname]], Comp[], 25, FALSE)</f>
        <v>0</v>
      </c>
      <c r="AD108">
        <f>VLOOKUP(Misfit[[#This Row],[Shortname]], Comp[], 26, FALSE)</f>
        <v>0</v>
      </c>
      <c r="AE108">
        <f>VLOOKUP(Misfit[[#This Row],[Shortname]], Comp[], 27, FALSE)</f>
        <v>0</v>
      </c>
      <c r="AF108">
        <f>VLOOKUP(Misfit[[#This Row],[Shortname]], Comp[], 28, FALSE)</f>
        <v>0</v>
      </c>
      <c r="AG108">
        <f>VLOOKUP(Misfit[[#This Row],[Shortname]], Comp[], 29, FALSE)</f>
        <v>0</v>
      </c>
      <c r="AH108">
        <f>VLOOKUP(Misfit[[#This Row],[Shortname]], Comp[], 30, FALSE)</f>
        <v>0</v>
      </c>
      <c r="AI108">
        <f>VLOOKUP(Misfit[[#This Row],[Shortname]], Comp[], 31, FALSE)</f>
        <v>0</v>
      </c>
    </row>
    <row r="109" spans="1:35" x14ac:dyDescent="0.3">
      <c r="A109" t="s">
        <v>2141</v>
      </c>
      <c r="B109" s="7" t="s">
        <v>2143</v>
      </c>
      <c r="C109" t="s">
        <v>6612</v>
      </c>
      <c r="D109">
        <v>900</v>
      </c>
      <c r="E109">
        <v>900</v>
      </c>
      <c r="F109">
        <v>0.36470000000000002</v>
      </c>
      <c r="G109">
        <v>0.36409999999999998</v>
      </c>
      <c r="H109" s="40">
        <v>2.2300000000000002E-3</v>
      </c>
      <c r="J109">
        <f>VLOOKUP(Misfit[[#This Row],[Shortname]], Comp[], 6, FALSE)</f>
        <v>282</v>
      </c>
      <c r="K109">
        <f>VLOOKUP(Misfit[[#This Row],[Shortname]], Comp[], 7, FALSE)</f>
        <v>83</v>
      </c>
      <c r="L109">
        <f>VLOOKUP(Misfit[[#This Row],[Shortname]], Comp[], 8, FALSE)</f>
        <v>0</v>
      </c>
      <c r="M109">
        <f>VLOOKUP(Misfit[[#This Row],[Shortname]], Comp[], 9, FALSE)</f>
        <v>9</v>
      </c>
      <c r="N109">
        <f>VLOOKUP(Misfit[[#This Row],[Shortname]], Comp[], 10, FALSE)</f>
        <v>0</v>
      </c>
      <c r="O109">
        <f>VLOOKUP(Misfit[[#This Row],[Shortname]], Comp[], 11, FALSE)</f>
        <v>8</v>
      </c>
      <c r="P109">
        <f>VLOOKUP(Misfit[[#This Row],[Shortname]], Comp[],12, FALSE)</f>
        <v>0</v>
      </c>
      <c r="Q109">
        <f>VLOOKUP(Misfit[[#This Row],[Shortname]], Comp[], 13, FALSE)</f>
        <v>0</v>
      </c>
      <c r="R109">
        <f>VLOOKUP(Misfit[[#This Row],[Shortname]], Comp[], 14, FALSE)</f>
        <v>0</v>
      </c>
      <c r="S109">
        <f>VLOOKUP(Misfit[[#This Row],[Shortname]], Comp[], 15, FALSE)</f>
        <v>0</v>
      </c>
      <c r="T109">
        <f>VLOOKUP(Misfit[[#This Row],[Shortname]], Comp[], 16, FALSE)</f>
        <v>0</v>
      </c>
      <c r="U109">
        <f>VLOOKUP(Misfit[[#This Row],[Shortname]], Comp[], 17, FALSE)</f>
        <v>0</v>
      </c>
      <c r="V109">
        <f>VLOOKUP(Misfit[[#This Row],[Shortname]], Comp[], 18, FALSE)</f>
        <v>0</v>
      </c>
      <c r="W109">
        <f>VLOOKUP(Misfit[[#This Row],[Shortname]], Comp[], 19, FALSE)</f>
        <v>0</v>
      </c>
      <c r="X109">
        <f>VLOOKUP(Misfit[[#This Row],[Shortname]], Comp[], 20, FALSE)</f>
        <v>0</v>
      </c>
      <c r="Y109">
        <f>VLOOKUP(Misfit[[#This Row],[Shortname]], Comp[], 21, FALSE)</f>
        <v>0</v>
      </c>
      <c r="Z109">
        <f>VLOOKUP(Misfit[[#This Row],[Shortname]], Comp[], 22, FALSE)</f>
        <v>0</v>
      </c>
      <c r="AA109">
        <f>VLOOKUP(Misfit[[#This Row],[Shortname]], Comp[], 23, FALSE)</f>
        <v>0</v>
      </c>
      <c r="AB109">
        <f>VLOOKUP(Misfit[[#This Row],[Shortname]], Comp[], 24, FALSE)</f>
        <v>0</v>
      </c>
      <c r="AC109">
        <f>VLOOKUP(Misfit[[#This Row],[Shortname]], Comp[], 25, FALSE)</f>
        <v>0</v>
      </c>
      <c r="AD109">
        <f>VLOOKUP(Misfit[[#This Row],[Shortname]], Comp[], 26, FALSE)</f>
        <v>0</v>
      </c>
      <c r="AE109">
        <f>VLOOKUP(Misfit[[#This Row],[Shortname]], Comp[], 27, FALSE)</f>
        <v>0</v>
      </c>
      <c r="AF109">
        <f>VLOOKUP(Misfit[[#This Row],[Shortname]], Comp[], 28, FALSE)</f>
        <v>0</v>
      </c>
      <c r="AG109">
        <f>VLOOKUP(Misfit[[#This Row],[Shortname]], Comp[], 29, FALSE)</f>
        <v>0</v>
      </c>
      <c r="AH109">
        <f>VLOOKUP(Misfit[[#This Row],[Shortname]], Comp[], 30, FALSE)</f>
        <v>0</v>
      </c>
      <c r="AI109">
        <f>VLOOKUP(Misfit[[#This Row],[Shortname]], Comp[], 31, FALSE)</f>
        <v>0</v>
      </c>
    </row>
    <row r="110" spans="1:35" x14ac:dyDescent="0.3">
      <c r="A110" t="s">
        <v>2141</v>
      </c>
      <c r="B110" s="7" t="s">
        <v>2143</v>
      </c>
      <c r="C110" t="s">
        <v>6612</v>
      </c>
      <c r="D110">
        <v>900</v>
      </c>
      <c r="E110">
        <v>925</v>
      </c>
      <c r="G110">
        <v>0.3644</v>
      </c>
      <c r="H110" s="40">
        <v>1.6800000000000001E-3</v>
      </c>
      <c r="J110">
        <f>VLOOKUP(Misfit[[#This Row],[Shortname]], Comp[], 6, FALSE)</f>
        <v>282</v>
      </c>
      <c r="K110">
        <f>VLOOKUP(Misfit[[#This Row],[Shortname]], Comp[], 7, FALSE)</f>
        <v>83</v>
      </c>
      <c r="L110">
        <f>VLOOKUP(Misfit[[#This Row],[Shortname]], Comp[], 8, FALSE)</f>
        <v>0</v>
      </c>
      <c r="M110">
        <f>VLOOKUP(Misfit[[#This Row],[Shortname]], Comp[], 9, FALSE)</f>
        <v>9</v>
      </c>
      <c r="N110">
        <f>VLOOKUP(Misfit[[#This Row],[Shortname]], Comp[], 10, FALSE)</f>
        <v>0</v>
      </c>
      <c r="O110">
        <f>VLOOKUP(Misfit[[#This Row],[Shortname]], Comp[], 11, FALSE)</f>
        <v>8</v>
      </c>
      <c r="P110">
        <f>VLOOKUP(Misfit[[#This Row],[Shortname]], Comp[],12, FALSE)</f>
        <v>0</v>
      </c>
      <c r="Q110">
        <f>VLOOKUP(Misfit[[#This Row],[Shortname]], Comp[], 13, FALSE)</f>
        <v>0</v>
      </c>
      <c r="R110">
        <f>VLOOKUP(Misfit[[#This Row],[Shortname]], Comp[], 14, FALSE)</f>
        <v>0</v>
      </c>
      <c r="S110">
        <f>VLOOKUP(Misfit[[#This Row],[Shortname]], Comp[], 15, FALSE)</f>
        <v>0</v>
      </c>
      <c r="T110">
        <f>VLOOKUP(Misfit[[#This Row],[Shortname]], Comp[], 16, FALSE)</f>
        <v>0</v>
      </c>
      <c r="U110">
        <f>VLOOKUP(Misfit[[#This Row],[Shortname]], Comp[], 17, FALSE)</f>
        <v>0</v>
      </c>
      <c r="V110">
        <f>VLOOKUP(Misfit[[#This Row],[Shortname]], Comp[], 18, FALSE)</f>
        <v>0</v>
      </c>
      <c r="W110">
        <f>VLOOKUP(Misfit[[#This Row],[Shortname]], Comp[], 19, FALSE)</f>
        <v>0</v>
      </c>
      <c r="X110">
        <f>VLOOKUP(Misfit[[#This Row],[Shortname]], Comp[], 20, FALSE)</f>
        <v>0</v>
      </c>
      <c r="Y110">
        <f>VLOOKUP(Misfit[[#This Row],[Shortname]], Comp[], 21, FALSE)</f>
        <v>0</v>
      </c>
      <c r="Z110">
        <f>VLOOKUP(Misfit[[#This Row],[Shortname]], Comp[], 22, FALSE)</f>
        <v>0</v>
      </c>
      <c r="AA110">
        <f>VLOOKUP(Misfit[[#This Row],[Shortname]], Comp[], 23, FALSE)</f>
        <v>0</v>
      </c>
      <c r="AB110">
        <f>VLOOKUP(Misfit[[#This Row],[Shortname]], Comp[], 24, FALSE)</f>
        <v>0</v>
      </c>
      <c r="AC110">
        <f>VLOOKUP(Misfit[[#This Row],[Shortname]], Comp[], 25, FALSE)</f>
        <v>0</v>
      </c>
      <c r="AD110">
        <f>VLOOKUP(Misfit[[#This Row],[Shortname]], Comp[], 26, FALSE)</f>
        <v>0</v>
      </c>
      <c r="AE110">
        <f>VLOOKUP(Misfit[[#This Row],[Shortname]], Comp[], 27, FALSE)</f>
        <v>0</v>
      </c>
      <c r="AF110">
        <f>VLOOKUP(Misfit[[#This Row],[Shortname]], Comp[], 28, FALSE)</f>
        <v>0</v>
      </c>
      <c r="AG110">
        <f>VLOOKUP(Misfit[[#This Row],[Shortname]], Comp[], 29, FALSE)</f>
        <v>0</v>
      </c>
      <c r="AH110">
        <f>VLOOKUP(Misfit[[#This Row],[Shortname]], Comp[], 30, FALSE)</f>
        <v>0</v>
      </c>
      <c r="AI110">
        <f>VLOOKUP(Misfit[[#This Row],[Shortname]], Comp[], 31, FALSE)</f>
        <v>0</v>
      </c>
    </row>
    <row r="111" spans="1:35" x14ac:dyDescent="0.3">
      <c r="A111" t="s">
        <v>2141</v>
      </c>
      <c r="B111" s="7" t="s">
        <v>2143</v>
      </c>
      <c r="C111" t="s">
        <v>6612</v>
      </c>
      <c r="D111">
        <v>900</v>
      </c>
      <c r="E111">
        <v>25</v>
      </c>
      <c r="F111">
        <v>0.35959999999999998</v>
      </c>
      <c r="G111">
        <v>0.35799999999999998</v>
      </c>
      <c r="H111" s="40">
        <f t="shared" ref="H111" si="4">2*(F111-G111)/(F111+G111)</f>
        <v>4.4593088071348671E-3</v>
      </c>
      <c r="J111">
        <f>VLOOKUP(Misfit[[#This Row],[Shortname]], Comp[], 6, FALSE)</f>
        <v>282</v>
      </c>
      <c r="K111">
        <f>VLOOKUP(Misfit[[#This Row],[Shortname]], Comp[], 7, FALSE)</f>
        <v>83</v>
      </c>
      <c r="L111">
        <f>VLOOKUP(Misfit[[#This Row],[Shortname]], Comp[], 8, FALSE)</f>
        <v>0</v>
      </c>
      <c r="M111">
        <f>VLOOKUP(Misfit[[#This Row],[Shortname]], Comp[], 9, FALSE)</f>
        <v>9</v>
      </c>
      <c r="N111">
        <f>VLOOKUP(Misfit[[#This Row],[Shortname]], Comp[], 10, FALSE)</f>
        <v>0</v>
      </c>
      <c r="O111">
        <f>VLOOKUP(Misfit[[#This Row],[Shortname]], Comp[], 11, FALSE)</f>
        <v>8</v>
      </c>
      <c r="P111">
        <f>VLOOKUP(Misfit[[#This Row],[Shortname]], Comp[],12, FALSE)</f>
        <v>0</v>
      </c>
      <c r="Q111">
        <f>VLOOKUP(Misfit[[#This Row],[Shortname]], Comp[], 13, FALSE)</f>
        <v>0</v>
      </c>
      <c r="R111">
        <f>VLOOKUP(Misfit[[#This Row],[Shortname]], Comp[], 14, FALSE)</f>
        <v>0</v>
      </c>
      <c r="S111">
        <f>VLOOKUP(Misfit[[#This Row],[Shortname]], Comp[], 15, FALSE)</f>
        <v>0</v>
      </c>
      <c r="T111">
        <f>VLOOKUP(Misfit[[#This Row],[Shortname]], Comp[], 16, FALSE)</f>
        <v>0</v>
      </c>
      <c r="U111">
        <f>VLOOKUP(Misfit[[#This Row],[Shortname]], Comp[], 17, FALSE)</f>
        <v>0</v>
      </c>
      <c r="V111">
        <f>VLOOKUP(Misfit[[#This Row],[Shortname]], Comp[], 18, FALSE)</f>
        <v>0</v>
      </c>
      <c r="W111">
        <f>VLOOKUP(Misfit[[#This Row],[Shortname]], Comp[], 19, FALSE)</f>
        <v>0</v>
      </c>
      <c r="X111">
        <f>VLOOKUP(Misfit[[#This Row],[Shortname]], Comp[], 20, FALSE)</f>
        <v>0</v>
      </c>
      <c r="Y111">
        <f>VLOOKUP(Misfit[[#This Row],[Shortname]], Comp[], 21, FALSE)</f>
        <v>0</v>
      </c>
      <c r="Z111">
        <f>VLOOKUP(Misfit[[#This Row],[Shortname]], Comp[], 22, FALSE)</f>
        <v>0</v>
      </c>
      <c r="AA111">
        <f>VLOOKUP(Misfit[[#This Row],[Shortname]], Comp[], 23, FALSE)</f>
        <v>0</v>
      </c>
      <c r="AB111">
        <f>VLOOKUP(Misfit[[#This Row],[Shortname]], Comp[], 24, FALSE)</f>
        <v>0</v>
      </c>
      <c r="AC111">
        <f>VLOOKUP(Misfit[[#This Row],[Shortname]], Comp[], 25, FALSE)</f>
        <v>0</v>
      </c>
      <c r="AD111">
        <f>VLOOKUP(Misfit[[#This Row],[Shortname]], Comp[], 26, FALSE)</f>
        <v>0</v>
      </c>
      <c r="AE111">
        <f>VLOOKUP(Misfit[[#This Row],[Shortname]], Comp[], 27, FALSE)</f>
        <v>0</v>
      </c>
      <c r="AF111">
        <f>VLOOKUP(Misfit[[#This Row],[Shortname]], Comp[], 28, FALSE)</f>
        <v>0</v>
      </c>
      <c r="AG111">
        <f>VLOOKUP(Misfit[[#This Row],[Shortname]], Comp[], 29, FALSE)</f>
        <v>0</v>
      </c>
      <c r="AH111">
        <f>VLOOKUP(Misfit[[#This Row],[Shortname]], Comp[], 30, FALSE)</f>
        <v>0</v>
      </c>
      <c r="AI111">
        <f>VLOOKUP(Misfit[[#This Row],[Shortname]], Comp[], 31, FALSE)</f>
        <v>0</v>
      </c>
    </row>
    <row r="112" spans="1:35" x14ac:dyDescent="0.3">
      <c r="A112" t="s">
        <v>641</v>
      </c>
      <c r="B112" t="s">
        <v>97</v>
      </c>
      <c r="C112" t="s">
        <v>6612</v>
      </c>
      <c r="D112">
        <v>900</v>
      </c>
      <c r="E112">
        <v>25</v>
      </c>
      <c r="F112">
        <v>0.3594</v>
      </c>
      <c r="G112">
        <v>0.35749999999999998</v>
      </c>
      <c r="H112" s="40">
        <v>5.4900000000000001E-3</v>
      </c>
      <c r="J112">
        <f>VLOOKUP(Misfit[[#This Row],[Shortname]], Comp[], 6, FALSE)</f>
        <v>82</v>
      </c>
      <c r="K112">
        <f>VLOOKUP(Misfit[[#This Row],[Shortname]], Comp[], 7, FALSE)</f>
        <v>82</v>
      </c>
      <c r="L112">
        <f>VLOOKUP(Misfit[[#This Row],[Shortname]], Comp[], 8, FALSE)</f>
        <v>0</v>
      </c>
      <c r="M112">
        <f>VLOOKUP(Misfit[[#This Row],[Shortname]], Comp[], 9, FALSE)</f>
        <v>9</v>
      </c>
      <c r="N112">
        <f>VLOOKUP(Misfit[[#This Row],[Shortname]], Comp[], 10, FALSE)</f>
        <v>0</v>
      </c>
      <c r="O112">
        <f>VLOOKUP(Misfit[[#This Row],[Shortname]], Comp[], 11, FALSE)</f>
        <v>9</v>
      </c>
      <c r="P112">
        <f>VLOOKUP(Misfit[[#This Row],[Shortname]], Comp[],12, FALSE)</f>
        <v>0</v>
      </c>
      <c r="Q112">
        <f>VLOOKUP(Misfit[[#This Row],[Shortname]], Comp[], 13, FALSE)</f>
        <v>0</v>
      </c>
      <c r="R112">
        <f>VLOOKUP(Misfit[[#This Row],[Shortname]], Comp[], 14, FALSE)</f>
        <v>0</v>
      </c>
      <c r="S112">
        <f>VLOOKUP(Misfit[[#This Row],[Shortname]], Comp[], 15, FALSE)</f>
        <v>0</v>
      </c>
      <c r="T112">
        <f>VLOOKUP(Misfit[[#This Row],[Shortname]], Comp[], 16, FALSE)</f>
        <v>0</v>
      </c>
      <c r="U112">
        <f>VLOOKUP(Misfit[[#This Row],[Shortname]], Comp[], 17, FALSE)</f>
        <v>0</v>
      </c>
      <c r="V112">
        <f>VLOOKUP(Misfit[[#This Row],[Shortname]], Comp[], 18, FALSE)</f>
        <v>0</v>
      </c>
      <c r="W112">
        <f>VLOOKUP(Misfit[[#This Row],[Shortname]], Comp[], 19, FALSE)</f>
        <v>0</v>
      </c>
      <c r="X112">
        <f>VLOOKUP(Misfit[[#This Row],[Shortname]], Comp[], 20, FALSE)</f>
        <v>0</v>
      </c>
      <c r="Y112">
        <f>VLOOKUP(Misfit[[#This Row],[Shortname]], Comp[], 21, FALSE)</f>
        <v>0</v>
      </c>
      <c r="Z112">
        <f>VLOOKUP(Misfit[[#This Row],[Shortname]], Comp[], 22, FALSE)</f>
        <v>0</v>
      </c>
      <c r="AA112">
        <f>VLOOKUP(Misfit[[#This Row],[Shortname]], Comp[], 23, FALSE)</f>
        <v>0</v>
      </c>
      <c r="AB112">
        <f>VLOOKUP(Misfit[[#This Row],[Shortname]], Comp[], 24, FALSE)</f>
        <v>0</v>
      </c>
      <c r="AC112">
        <f>VLOOKUP(Misfit[[#This Row],[Shortname]], Comp[], 25, FALSE)</f>
        <v>0</v>
      </c>
      <c r="AD112">
        <f>VLOOKUP(Misfit[[#This Row],[Shortname]], Comp[], 26, FALSE)</f>
        <v>0</v>
      </c>
      <c r="AE112">
        <f>VLOOKUP(Misfit[[#This Row],[Shortname]], Comp[], 27, FALSE)</f>
        <v>0</v>
      </c>
      <c r="AF112">
        <f>VLOOKUP(Misfit[[#This Row],[Shortname]], Comp[], 28, FALSE)</f>
        <v>0</v>
      </c>
      <c r="AG112">
        <f>VLOOKUP(Misfit[[#This Row],[Shortname]], Comp[], 29, FALSE)</f>
        <v>0</v>
      </c>
      <c r="AH112">
        <f>VLOOKUP(Misfit[[#This Row],[Shortname]], Comp[], 30, FALSE)</f>
        <v>0</v>
      </c>
      <c r="AI112">
        <f>VLOOKUP(Misfit[[#This Row],[Shortname]], Comp[], 31, FALSE)</f>
        <v>0</v>
      </c>
    </row>
    <row r="113" spans="1:35" x14ac:dyDescent="0.3">
      <c r="A113" t="s">
        <v>641</v>
      </c>
      <c r="B113" t="s">
        <v>97</v>
      </c>
      <c r="C113" t="s">
        <v>6612</v>
      </c>
      <c r="D113">
        <v>900</v>
      </c>
      <c r="E113">
        <v>200</v>
      </c>
      <c r="F113">
        <v>0.36020000000000002</v>
      </c>
      <c r="G113">
        <v>0.35820000000000002</v>
      </c>
      <c r="H113" s="40">
        <v>5.5500000000000002E-3</v>
      </c>
      <c r="J113">
        <f>VLOOKUP(Misfit[[#This Row],[Shortname]], Comp[], 6, FALSE)</f>
        <v>82</v>
      </c>
      <c r="K113">
        <f>VLOOKUP(Misfit[[#This Row],[Shortname]], Comp[], 7, FALSE)</f>
        <v>82</v>
      </c>
      <c r="L113">
        <f>VLOOKUP(Misfit[[#This Row],[Shortname]], Comp[], 8, FALSE)</f>
        <v>0</v>
      </c>
      <c r="M113">
        <f>VLOOKUP(Misfit[[#This Row],[Shortname]], Comp[], 9, FALSE)</f>
        <v>9</v>
      </c>
      <c r="N113">
        <f>VLOOKUP(Misfit[[#This Row],[Shortname]], Comp[], 10, FALSE)</f>
        <v>0</v>
      </c>
      <c r="O113">
        <f>VLOOKUP(Misfit[[#This Row],[Shortname]], Comp[], 11, FALSE)</f>
        <v>9</v>
      </c>
      <c r="P113">
        <f>VLOOKUP(Misfit[[#This Row],[Shortname]], Comp[],12, FALSE)</f>
        <v>0</v>
      </c>
      <c r="Q113">
        <f>VLOOKUP(Misfit[[#This Row],[Shortname]], Comp[], 13, FALSE)</f>
        <v>0</v>
      </c>
      <c r="R113">
        <f>VLOOKUP(Misfit[[#This Row],[Shortname]], Comp[], 14, FALSE)</f>
        <v>0</v>
      </c>
      <c r="S113">
        <f>VLOOKUP(Misfit[[#This Row],[Shortname]], Comp[], 15, FALSE)</f>
        <v>0</v>
      </c>
      <c r="T113">
        <f>VLOOKUP(Misfit[[#This Row],[Shortname]], Comp[], 16, FALSE)</f>
        <v>0</v>
      </c>
      <c r="U113">
        <f>VLOOKUP(Misfit[[#This Row],[Shortname]], Comp[], 17, FALSE)</f>
        <v>0</v>
      </c>
      <c r="V113">
        <f>VLOOKUP(Misfit[[#This Row],[Shortname]], Comp[], 18, FALSE)</f>
        <v>0</v>
      </c>
      <c r="W113">
        <f>VLOOKUP(Misfit[[#This Row],[Shortname]], Comp[], 19, FALSE)</f>
        <v>0</v>
      </c>
      <c r="X113">
        <f>VLOOKUP(Misfit[[#This Row],[Shortname]], Comp[], 20, FALSE)</f>
        <v>0</v>
      </c>
      <c r="Y113">
        <f>VLOOKUP(Misfit[[#This Row],[Shortname]], Comp[], 21, FALSE)</f>
        <v>0</v>
      </c>
      <c r="Z113">
        <f>VLOOKUP(Misfit[[#This Row],[Shortname]], Comp[], 22, FALSE)</f>
        <v>0</v>
      </c>
      <c r="AA113">
        <f>VLOOKUP(Misfit[[#This Row],[Shortname]], Comp[], 23, FALSE)</f>
        <v>0</v>
      </c>
      <c r="AB113">
        <f>VLOOKUP(Misfit[[#This Row],[Shortname]], Comp[], 24, FALSE)</f>
        <v>0</v>
      </c>
      <c r="AC113">
        <f>VLOOKUP(Misfit[[#This Row],[Shortname]], Comp[], 25, FALSE)</f>
        <v>0</v>
      </c>
      <c r="AD113">
        <f>VLOOKUP(Misfit[[#This Row],[Shortname]], Comp[], 26, FALSE)</f>
        <v>0</v>
      </c>
      <c r="AE113">
        <f>VLOOKUP(Misfit[[#This Row],[Shortname]], Comp[], 27, FALSE)</f>
        <v>0</v>
      </c>
      <c r="AF113">
        <f>VLOOKUP(Misfit[[#This Row],[Shortname]], Comp[], 28, FALSE)</f>
        <v>0</v>
      </c>
      <c r="AG113">
        <f>VLOOKUP(Misfit[[#This Row],[Shortname]], Comp[], 29, FALSE)</f>
        <v>0</v>
      </c>
      <c r="AH113">
        <f>VLOOKUP(Misfit[[#This Row],[Shortname]], Comp[], 30, FALSE)</f>
        <v>0</v>
      </c>
      <c r="AI113">
        <f>VLOOKUP(Misfit[[#This Row],[Shortname]], Comp[], 31, FALSE)</f>
        <v>0</v>
      </c>
    </row>
    <row r="114" spans="1:35" x14ac:dyDescent="0.3">
      <c r="A114" t="s">
        <v>641</v>
      </c>
      <c r="B114" t="s">
        <v>97</v>
      </c>
      <c r="C114" t="s">
        <v>6612</v>
      </c>
      <c r="D114">
        <v>900</v>
      </c>
      <c r="E114">
        <v>400</v>
      </c>
      <c r="F114">
        <v>0.36130000000000001</v>
      </c>
      <c r="G114">
        <v>0.35930000000000001</v>
      </c>
      <c r="H114" s="40">
        <v>5.6499999999999996E-3</v>
      </c>
      <c r="J114">
        <f>VLOOKUP(Misfit[[#This Row],[Shortname]], Comp[], 6, FALSE)</f>
        <v>82</v>
      </c>
      <c r="K114">
        <f>VLOOKUP(Misfit[[#This Row],[Shortname]], Comp[], 7, FALSE)</f>
        <v>82</v>
      </c>
      <c r="L114">
        <f>VLOOKUP(Misfit[[#This Row],[Shortname]], Comp[], 8, FALSE)</f>
        <v>0</v>
      </c>
      <c r="M114">
        <f>VLOOKUP(Misfit[[#This Row],[Shortname]], Comp[], 9, FALSE)</f>
        <v>9</v>
      </c>
      <c r="N114">
        <f>VLOOKUP(Misfit[[#This Row],[Shortname]], Comp[], 10, FALSE)</f>
        <v>0</v>
      </c>
      <c r="O114">
        <f>VLOOKUP(Misfit[[#This Row],[Shortname]], Comp[], 11, FALSE)</f>
        <v>9</v>
      </c>
      <c r="P114">
        <f>VLOOKUP(Misfit[[#This Row],[Shortname]], Comp[],12, FALSE)</f>
        <v>0</v>
      </c>
      <c r="Q114">
        <f>VLOOKUP(Misfit[[#This Row],[Shortname]], Comp[], 13, FALSE)</f>
        <v>0</v>
      </c>
      <c r="R114">
        <f>VLOOKUP(Misfit[[#This Row],[Shortname]], Comp[], 14, FALSE)</f>
        <v>0</v>
      </c>
      <c r="S114">
        <f>VLOOKUP(Misfit[[#This Row],[Shortname]], Comp[], 15, FALSE)</f>
        <v>0</v>
      </c>
      <c r="T114">
        <f>VLOOKUP(Misfit[[#This Row],[Shortname]], Comp[], 16, FALSE)</f>
        <v>0</v>
      </c>
      <c r="U114">
        <f>VLOOKUP(Misfit[[#This Row],[Shortname]], Comp[], 17, FALSE)</f>
        <v>0</v>
      </c>
      <c r="V114">
        <f>VLOOKUP(Misfit[[#This Row],[Shortname]], Comp[], 18, FALSE)</f>
        <v>0</v>
      </c>
      <c r="W114">
        <f>VLOOKUP(Misfit[[#This Row],[Shortname]], Comp[], 19, FALSE)</f>
        <v>0</v>
      </c>
      <c r="X114">
        <f>VLOOKUP(Misfit[[#This Row],[Shortname]], Comp[], 20, FALSE)</f>
        <v>0</v>
      </c>
      <c r="Y114">
        <f>VLOOKUP(Misfit[[#This Row],[Shortname]], Comp[], 21, FALSE)</f>
        <v>0</v>
      </c>
      <c r="Z114">
        <f>VLOOKUP(Misfit[[#This Row],[Shortname]], Comp[], 22, FALSE)</f>
        <v>0</v>
      </c>
      <c r="AA114">
        <f>VLOOKUP(Misfit[[#This Row],[Shortname]], Comp[], 23, FALSE)</f>
        <v>0</v>
      </c>
      <c r="AB114">
        <f>VLOOKUP(Misfit[[#This Row],[Shortname]], Comp[], 24, FALSE)</f>
        <v>0</v>
      </c>
      <c r="AC114">
        <f>VLOOKUP(Misfit[[#This Row],[Shortname]], Comp[], 25, FALSE)</f>
        <v>0</v>
      </c>
      <c r="AD114">
        <f>VLOOKUP(Misfit[[#This Row],[Shortname]], Comp[], 26, FALSE)</f>
        <v>0</v>
      </c>
      <c r="AE114">
        <f>VLOOKUP(Misfit[[#This Row],[Shortname]], Comp[], 27, FALSE)</f>
        <v>0</v>
      </c>
      <c r="AF114">
        <f>VLOOKUP(Misfit[[#This Row],[Shortname]], Comp[], 28, FALSE)</f>
        <v>0</v>
      </c>
      <c r="AG114">
        <f>VLOOKUP(Misfit[[#This Row],[Shortname]], Comp[], 29, FALSE)</f>
        <v>0</v>
      </c>
      <c r="AH114">
        <f>VLOOKUP(Misfit[[#This Row],[Shortname]], Comp[], 30, FALSE)</f>
        <v>0</v>
      </c>
      <c r="AI114">
        <f>VLOOKUP(Misfit[[#This Row],[Shortname]], Comp[], 31, FALSE)</f>
        <v>0</v>
      </c>
    </row>
    <row r="115" spans="1:35" x14ac:dyDescent="0.3">
      <c r="A115" t="s">
        <v>641</v>
      </c>
      <c r="B115" t="s">
        <v>97</v>
      </c>
      <c r="C115" t="s">
        <v>6612</v>
      </c>
      <c r="D115">
        <v>900</v>
      </c>
      <c r="E115">
        <v>500</v>
      </c>
      <c r="F115">
        <v>0.36180000000000001</v>
      </c>
      <c r="G115">
        <v>0.35970000000000002</v>
      </c>
      <c r="H115" s="40">
        <v>5.7799999999999995E-3</v>
      </c>
      <c r="J115">
        <f>VLOOKUP(Misfit[[#This Row],[Shortname]], Comp[], 6, FALSE)</f>
        <v>82</v>
      </c>
      <c r="K115">
        <f>VLOOKUP(Misfit[[#This Row],[Shortname]], Comp[], 7, FALSE)</f>
        <v>82</v>
      </c>
      <c r="L115">
        <f>VLOOKUP(Misfit[[#This Row],[Shortname]], Comp[], 8, FALSE)</f>
        <v>0</v>
      </c>
      <c r="M115">
        <f>VLOOKUP(Misfit[[#This Row],[Shortname]], Comp[], 9, FALSE)</f>
        <v>9</v>
      </c>
      <c r="N115">
        <f>VLOOKUP(Misfit[[#This Row],[Shortname]], Comp[], 10, FALSE)</f>
        <v>0</v>
      </c>
      <c r="O115">
        <f>VLOOKUP(Misfit[[#This Row],[Shortname]], Comp[], 11, FALSE)</f>
        <v>9</v>
      </c>
      <c r="P115">
        <f>VLOOKUP(Misfit[[#This Row],[Shortname]], Comp[],12, FALSE)</f>
        <v>0</v>
      </c>
      <c r="Q115">
        <f>VLOOKUP(Misfit[[#This Row],[Shortname]], Comp[], 13, FALSE)</f>
        <v>0</v>
      </c>
      <c r="R115">
        <f>VLOOKUP(Misfit[[#This Row],[Shortname]], Comp[], 14, FALSE)</f>
        <v>0</v>
      </c>
      <c r="S115">
        <f>VLOOKUP(Misfit[[#This Row],[Shortname]], Comp[], 15, FALSE)</f>
        <v>0</v>
      </c>
      <c r="T115">
        <f>VLOOKUP(Misfit[[#This Row],[Shortname]], Comp[], 16, FALSE)</f>
        <v>0</v>
      </c>
      <c r="U115">
        <f>VLOOKUP(Misfit[[#This Row],[Shortname]], Comp[], 17, FALSE)</f>
        <v>0</v>
      </c>
      <c r="V115">
        <f>VLOOKUP(Misfit[[#This Row],[Shortname]], Comp[], 18, FALSE)</f>
        <v>0</v>
      </c>
      <c r="W115">
        <f>VLOOKUP(Misfit[[#This Row],[Shortname]], Comp[], 19, FALSE)</f>
        <v>0</v>
      </c>
      <c r="X115">
        <f>VLOOKUP(Misfit[[#This Row],[Shortname]], Comp[], 20, FALSE)</f>
        <v>0</v>
      </c>
      <c r="Y115">
        <f>VLOOKUP(Misfit[[#This Row],[Shortname]], Comp[], 21, FALSE)</f>
        <v>0</v>
      </c>
      <c r="Z115">
        <f>VLOOKUP(Misfit[[#This Row],[Shortname]], Comp[], 22, FALSE)</f>
        <v>0</v>
      </c>
      <c r="AA115">
        <f>VLOOKUP(Misfit[[#This Row],[Shortname]], Comp[], 23, FALSE)</f>
        <v>0</v>
      </c>
      <c r="AB115">
        <f>VLOOKUP(Misfit[[#This Row],[Shortname]], Comp[], 24, FALSE)</f>
        <v>0</v>
      </c>
      <c r="AC115">
        <f>VLOOKUP(Misfit[[#This Row],[Shortname]], Comp[], 25, FALSE)</f>
        <v>0</v>
      </c>
      <c r="AD115">
        <f>VLOOKUP(Misfit[[#This Row],[Shortname]], Comp[], 26, FALSE)</f>
        <v>0</v>
      </c>
      <c r="AE115">
        <f>VLOOKUP(Misfit[[#This Row],[Shortname]], Comp[], 27, FALSE)</f>
        <v>0</v>
      </c>
      <c r="AF115">
        <f>VLOOKUP(Misfit[[#This Row],[Shortname]], Comp[], 28, FALSE)</f>
        <v>0</v>
      </c>
      <c r="AG115">
        <f>VLOOKUP(Misfit[[#This Row],[Shortname]], Comp[], 29, FALSE)</f>
        <v>0</v>
      </c>
      <c r="AH115">
        <f>VLOOKUP(Misfit[[#This Row],[Shortname]], Comp[], 30, FALSE)</f>
        <v>0</v>
      </c>
      <c r="AI115">
        <f>VLOOKUP(Misfit[[#This Row],[Shortname]], Comp[], 31, FALSE)</f>
        <v>0</v>
      </c>
    </row>
    <row r="116" spans="1:35" x14ac:dyDescent="0.3">
      <c r="A116" t="s">
        <v>641</v>
      </c>
      <c r="B116" t="s">
        <v>97</v>
      </c>
      <c r="C116" t="s">
        <v>6612</v>
      </c>
      <c r="D116">
        <v>900</v>
      </c>
      <c r="E116">
        <v>600</v>
      </c>
      <c r="F116">
        <v>0.36230000000000001</v>
      </c>
      <c r="G116">
        <v>0.36030000000000001</v>
      </c>
      <c r="H116" s="40">
        <v>5.7299999999999999E-3</v>
      </c>
      <c r="J116">
        <f>VLOOKUP(Misfit[[#This Row],[Shortname]], Comp[], 6, FALSE)</f>
        <v>82</v>
      </c>
      <c r="K116">
        <f>VLOOKUP(Misfit[[#This Row],[Shortname]], Comp[], 7, FALSE)</f>
        <v>82</v>
      </c>
      <c r="L116">
        <f>VLOOKUP(Misfit[[#This Row],[Shortname]], Comp[], 8, FALSE)</f>
        <v>0</v>
      </c>
      <c r="M116">
        <f>VLOOKUP(Misfit[[#This Row],[Shortname]], Comp[], 9, FALSE)</f>
        <v>9</v>
      </c>
      <c r="N116">
        <f>VLOOKUP(Misfit[[#This Row],[Shortname]], Comp[], 10, FALSE)</f>
        <v>0</v>
      </c>
      <c r="O116">
        <f>VLOOKUP(Misfit[[#This Row],[Shortname]], Comp[], 11, FALSE)</f>
        <v>9</v>
      </c>
      <c r="P116">
        <f>VLOOKUP(Misfit[[#This Row],[Shortname]], Comp[],12, FALSE)</f>
        <v>0</v>
      </c>
      <c r="Q116">
        <f>VLOOKUP(Misfit[[#This Row],[Shortname]], Comp[], 13, FALSE)</f>
        <v>0</v>
      </c>
      <c r="R116">
        <f>VLOOKUP(Misfit[[#This Row],[Shortname]], Comp[], 14, FALSE)</f>
        <v>0</v>
      </c>
      <c r="S116">
        <f>VLOOKUP(Misfit[[#This Row],[Shortname]], Comp[], 15, FALSE)</f>
        <v>0</v>
      </c>
      <c r="T116">
        <f>VLOOKUP(Misfit[[#This Row],[Shortname]], Comp[], 16, FALSE)</f>
        <v>0</v>
      </c>
      <c r="U116">
        <f>VLOOKUP(Misfit[[#This Row],[Shortname]], Comp[], 17, FALSE)</f>
        <v>0</v>
      </c>
      <c r="V116">
        <f>VLOOKUP(Misfit[[#This Row],[Shortname]], Comp[], 18, FALSE)</f>
        <v>0</v>
      </c>
      <c r="W116">
        <f>VLOOKUP(Misfit[[#This Row],[Shortname]], Comp[], 19, FALSE)</f>
        <v>0</v>
      </c>
      <c r="X116">
        <f>VLOOKUP(Misfit[[#This Row],[Shortname]], Comp[], 20, FALSE)</f>
        <v>0</v>
      </c>
      <c r="Y116">
        <f>VLOOKUP(Misfit[[#This Row],[Shortname]], Comp[], 21, FALSE)</f>
        <v>0</v>
      </c>
      <c r="Z116">
        <f>VLOOKUP(Misfit[[#This Row],[Shortname]], Comp[], 22, FALSE)</f>
        <v>0</v>
      </c>
      <c r="AA116">
        <f>VLOOKUP(Misfit[[#This Row],[Shortname]], Comp[], 23, FALSE)</f>
        <v>0</v>
      </c>
      <c r="AB116">
        <f>VLOOKUP(Misfit[[#This Row],[Shortname]], Comp[], 24, FALSE)</f>
        <v>0</v>
      </c>
      <c r="AC116">
        <f>VLOOKUP(Misfit[[#This Row],[Shortname]], Comp[], 25, FALSE)</f>
        <v>0</v>
      </c>
      <c r="AD116">
        <f>VLOOKUP(Misfit[[#This Row],[Shortname]], Comp[], 26, FALSE)</f>
        <v>0</v>
      </c>
      <c r="AE116">
        <f>VLOOKUP(Misfit[[#This Row],[Shortname]], Comp[], 27, FALSE)</f>
        <v>0</v>
      </c>
      <c r="AF116">
        <f>VLOOKUP(Misfit[[#This Row],[Shortname]], Comp[], 28, FALSE)</f>
        <v>0</v>
      </c>
      <c r="AG116">
        <f>VLOOKUP(Misfit[[#This Row],[Shortname]], Comp[], 29, FALSE)</f>
        <v>0</v>
      </c>
      <c r="AH116">
        <f>VLOOKUP(Misfit[[#This Row],[Shortname]], Comp[], 30, FALSE)</f>
        <v>0</v>
      </c>
      <c r="AI116">
        <f>VLOOKUP(Misfit[[#This Row],[Shortname]], Comp[], 31, FALSE)</f>
        <v>0</v>
      </c>
    </row>
    <row r="117" spans="1:35" x14ac:dyDescent="0.3">
      <c r="A117" t="s">
        <v>641</v>
      </c>
      <c r="B117" t="s">
        <v>97</v>
      </c>
      <c r="C117" t="s">
        <v>6612</v>
      </c>
      <c r="D117">
        <v>900</v>
      </c>
      <c r="E117">
        <v>700</v>
      </c>
      <c r="F117">
        <v>0.3629</v>
      </c>
      <c r="G117">
        <v>0.36080000000000001</v>
      </c>
      <c r="H117" s="40">
        <v>5.79E-3</v>
      </c>
      <c r="J117">
        <f>VLOOKUP(Misfit[[#This Row],[Shortname]], Comp[], 6, FALSE)</f>
        <v>82</v>
      </c>
      <c r="K117">
        <f>VLOOKUP(Misfit[[#This Row],[Shortname]], Comp[], 7, FALSE)</f>
        <v>82</v>
      </c>
      <c r="L117">
        <f>VLOOKUP(Misfit[[#This Row],[Shortname]], Comp[], 8, FALSE)</f>
        <v>0</v>
      </c>
      <c r="M117">
        <f>VLOOKUP(Misfit[[#This Row],[Shortname]], Comp[], 9, FALSE)</f>
        <v>9</v>
      </c>
      <c r="N117">
        <f>VLOOKUP(Misfit[[#This Row],[Shortname]], Comp[], 10, FALSE)</f>
        <v>0</v>
      </c>
      <c r="O117">
        <f>VLOOKUP(Misfit[[#This Row],[Shortname]], Comp[], 11, FALSE)</f>
        <v>9</v>
      </c>
      <c r="P117">
        <f>VLOOKUP(Misfit[[#This Row],[Shortname]], Comp[],12, FALSE)</f>
        <v>0</v>
      </c>
      <c r="Q117">
        <f>VLOOKUP(Misfit[[#This Row],[Shortname]], Comp[], 13, FALSE)</f>
        <v>0</v>
      </c>
      <c r="R117">
        <f>VLOOKUP(Misfit[[#This Row],[Shortname]], Comp[], 14, FALSE)</f>
        <v>0</v>
      </c>
      <c r="S117">
        <f>VLOOKUP(Misfit[[#This Row],[Shortname]], Comp[], 15, FALSE)</f>
        <v>0</v>
      </c>
      <c r="T117">
        <f>VLOOKUP(Misfit[[#This Row],[Shortname]], Comp[], 16, FALSE)</f>
        <v>0</v>
      </c>
      <c r="U117">
        <f>VLOOKUP(Misfit[[#This Row],[Shortname]], Comp[], 17, FALSE)</f>
        <v>0</v>
      </c>
      <c r="V117">
        <f>VLOOKUP(Misfit[[#This Row],[Shortname]], Comp[], 18, FALSE)</f>
        <v>0</v>
      </c>
      <c r="W117">
        <f>VLOOKUP(Misfit[[#This Row],[Shortname]], Comp[], 19, FALSE)</f>
        <v>0</v>
      </c>
      <c r="X117">
        <f>VLOOKUP(Misfit[[#This Row],[Shortname]], Comp[], 20, FALSE)</f>
        <v>0</v>
      </c>
      <c r="Y117">
        <f>VLOOKUP(Misfit[[#This Row],[Shortname]], Comp[], 21, FALSE)</f>
        <v>0</v>
      </c>
      <c r="Z117">
        <f>VLOOKUP(Misfit[[#This Row],[Shortname]], Comp[], 22, FALSE)</f>
        <v>0</v>
      </c>
      <c r="AA117">
        <f>VLOOKUP(Misfit[[#This Row],[Shortname]], Comp[], 23, FALSE)</f>
        <v>0</v>
      </c>
      <c r="AB117">
        <f>VLOOKUP(Misfit[[#This Row],[Shortname]], Comp[], 24, FALSE)</f>
        <v>0</v>
      </c>
      <c r="AC117">
        <f>VLOOKUP(Misfit[[#This Row],[Shortname]], Comp[], 25, FALSE)</f>
        <v>0</v>
      </c>
      <c r="AD117">
        <f>VLOOKUP(Misfit[[#This Row],[Shortname]], Comp[], 26, FALSE)</f>
        <v>0</v>
      </c>
      <c r="AE117">
        <f>VLOOKUP(Misfit[[#This Row],[Shortname]], Comp[], 27, FALSE)</f>
        <v>0</v>
      </c>
      <c r="AF117">
        <f>VLOOKUP(Misfit[[#This Row],[Shortname]], Comp[], 28, FALSE)</f>
        <v>0</v>
      </c>
      <c r="AG117">
        <f>VLOOKUP(Misfit[[#This Row],[Shortname]], Comp[], 29, FALSE)</f>
        <v>0</v>
      </c>
      <c r="AH117">
        <f>VLOOKUP(Misfit[[#This Row],[Shortname]], Comp[], 30, FALSE)</f>
        <v>0</v>
      </c>
      <c r="AI117">
        <f>VLOOKUP(Misfit[[#This Row],[Shortname]], Comp[], 31, FALSE)</f>
        <v>0</v>
      </c>
    </row>
    <row r="118" spans="1:35" x14ac:dyDescent="0.3">
      <c r="A118" t="s">
        <v>641</v>
      </c>
      <c r="B118" t="s">
        <v>97</v>
      </c>
      <c r="C118" t="s">
        <v>6612</v>
      </c>
      <c r="D118">
        <v>900</v>
      </c>
      <c r="E118">
        <v>800</v>
      </c>
      <c r="F118">
        <v>0.36359999999999998</v>
      </c>
      <c r="G118">
        <v>0.3614</v>
      </c>
      <c r="H118" s="40">
        <v>6.0499999999999998E-3</v>
      </c>
      <c r="J118">
        <f>VLOOKUP(Misfit[[#This Row],[Shortname]], Comp[], 6, FALSE)</f>
        <v>82</v>
      </c>
      <c r="K118">
        <f>VLOOKUP(Misfit[[#This Row],[Shortname]], Comp[], 7, FALSE)</f>
        <v>82</v>
      </c>
      <c r="L118">
        <f>VLOOKUP(Misfit[[#This Row],[Shortname]], Comp[], 8, FALSE)</f>
        <v>0</v>
      </c>
      <c r="M118">
        <f>VLOOKUP(Misfit[[#This Row],[Shortname]], Comp[], 9, FALSE)</f>
        <v>9</v>
      </c>
      <c r="N118">
        <f>VLOOKUP(Misfit[[#This Row],[Shortname]], Comp[], 10, FALSE)</f>
        <v>0</v>
      </c>
      <c r="O118">
        <f>VLOOKUP(Misfit[[#This Row],[Shortname]], Comp[], 11, FALSE)</f>
        <v>9</v>
      </c>
      <c r="P118">
        <f>VLOOKUP(Misfit[[#This Row],[Shortname]], Comp[],12, FALSE)</f>
        <v>0</v>
      </c>
      <c r="Q118">
        <f>VLOOKUP(Misfit[[#This Row],[Shortname]], Comp[], 13, FALSE)</f>
        <v>0</v>
      </c>
      <c r="R118">
        <f>VLOOKUP(Misfit[[#This Row],[Shortname]], Comp[], 14, FALSE)</f>
        <v>0</v>
      </c>
      <c r="S118">
        <f>VLOOKUP(Misfit[[#This Row],[Shortname]], Comp[], 15, FALSE)</f>
        <v>0</v>
      </c>
      <c r="T118">
        <f>VLOOKUP(Misfit[[#This Row],[Shortname]], Comp[], 16, FALSE)</f>
        <v>0</v>
      </c>
      <c r="U118">
        <f>VLOOKUP(Misfit[[#This Row],[Shortname]], Comp[], 17, FALSE)</f>
        <v>0</v>
      </c>
      <c r="V118">
        <f>VLOOKUP(Misfit[[#This Row],[Shortname]], Comp[], 18, FALSE)</f>
        <v>0</v>
      </c>
      <c r="W118">
        <f>VLOOKUP(Misfit[[#This Row],[Shortname]], Comp[], 19, FALSE)</f>
        <v>0</v>
      </c>
      <c r="X118">
        <f>VLOOKUP(Misfit[[#This Row],[Shortname]], Comp[], 20, FALSE)</f>
        <v>0</v>
      </c>
      <c r="Y118">
        <f>VLOOKUP(Misfit[[#This Row],[Shortname]], Comp[], 21, FALSE)</f>
        <v>0</v>
      </c>
      <c r="Z118">
        <f>VLOOKUP(Misfit[[#This Row],[Shortname]], Comp[], 22, FALSE)</f>
        <v>0</v>
      </c>
      <c r="AA118">
        <f>VLOOKUP(Misfit[[#This Row],[Shortname]], Comp[], 23, FALSE)</f>
        <v>0</v>
      </c>
      <c r="AB118">
        <f>VLOOKUP(Misfit[[#This Row],[Shortname]], Comp[], 24, FALSE)</f>
        <v>0</v>
      </c>
      <c r="AC118">
        <f>VLOOKUP(Misfit[[#This Row],[Shortname]], Comp[], 25, FALSE)</f>
        <v>0</v>
      </c>
      <c r="AD118">
        <f>VLOOKUP(Misfit[[#This Row],[Shortname]], Comp[], 26, FALSE)</f>
        <v>0</v>
      </c>
      <c r="AE118">
        <f>VLOOKUP(Misfit[[#This Row],[Shortname]], Comp[], 27, FALSE)</f>
        <v>0</v>
      </c>
      <c r="AF118">
        <f>VLOOKUP(Misfit[[#This Row],[Shortname]], Comp[], 28, FALSE)</f>
        <v>0</v>
      </c>
      <c r="AG118">
        <f>VLOOKUP(Misfit[[#This Row],[Shortname]], Comp[], 29, FALSE)</f>
        <v>0</v>
      </c>
      <c r="AH118">
        <f>VLOOKUP(Misfit[[#This Row],[Shortname]], Comp[], 30, FALSE)</f>
        <v>0</v>
      </c>
      <c r="AI118">
        <f>VLOOKUP(Misfit[[#This Row],[Shortname]], Comp[], 31, FALSE)</f>
        <v>0</v>
      </c>
    </row>
    <row r="119" spans="1:35" x14ac:dyDescent="0.3">
      <c r="A119" t="s">
        <v>641</v>
      </c>
      <c r="B119" t="s">
        <v>97</v>
      </c>
      <c r="C119" t="s">
        <v>6612</v>
      </c>
      <c r="D119">
        <v>900</v>
      </c>
      <c r="E119">
        <v>875</v>
      </c>
      <c r="F119">
        <v>0.36409999999999998</v>
      </c>
      <c r="G119">
        <v>0.36230000000000001</v>
      </c>
      <c r="H119" s="40">
        <v>5.0800000000000003E-3</v>
      </c>
      <c r="J119">
        <f>VLOOKUP(Misfit[[#This Row],[Shortname]], Comp[], 6, FALSE)</f>
        <v>82</v>
      </c>
      <c r="K119">
        <f>VLOOKUP(Misfit[[#This Row],[Shortname]], Comp[], 7, FALSE)</f>
        <v>82</v>
      </c>
      <c r="L119">
        <f>VLOOKUP(Misfit[[#This Row],[Shortname]], Comp[], 8, FALSE)</f>
        <v>0</v>
      </c>
      <c r="M119">
        <f>VLOOKUP(Misfit[[#This Row],[Shortname]], Comp[], 9, FALSE)</f>
        <v>9</v>
      </c>
      <c r="N119">
        <f>VLOOKUP(Misfit[[#This Row],[Shortname]], Comp[], 10, FALSE)</f>
        <v>0</v>
      </c>
      <c r="O119">
        <f>VLOOKUP(Misfit[[#This Row],[Shortname]], Comp[], 11, FALSE)</f>
        <v>9</v>
      </c>
      <c r="P119">
        <f>VLOOKUP(Misfit[[#This Row],[Shortname]], Comp[],12, FALSE)</f>
        <v>0</v>
      </c>
      <c r="Q119">
        <f>VLOOKUP(Misfit[[#This Row],[Shortname]], Comp[], 13, FALSE)</f>
        <v>0</v>
      </c>
      <c r="R119">
        <f>VLOOKUP(Misfit[[#This Row],[Shortname]], Comp[], 14, FALSE)</f>
        <v>0</v>
      </c>
      <c r="S119">
        <f>VLOOKUP(Misfit[[#This Row],[Shortname]], Comp[], 15, FALSE)</f>
        <v>0</v>
      </c>
      <c r="T119">
        <f>VLOOKUP(Misfit[[#This Row],[Shortname]], Comp[], 16, FALSE)</f>
        <v>0</v>
      </c>
      <c r="U119">
        <f>VLOOKUP(Misfit[[#This Row],[Shortname]], Comp[], 17, FALSE)</f>
        <v>0</v>
      </c>
      <c r="V119">
        <f>VLOOKUP(Misfit[[#This Row],[Shortname]], Comp[], 18, FALSE)</f>
        <v>0</v>
      </c>
      <c r="W119">
        <f>VLOOKUP(Misfit[[#This Row],[Shortname]], Comp[], 19, FALSE)</f>
        <v>0</v>
      </c>
      <c r="X119">
        <f>VLOOKUP(Misfit[[#This Row],[Shortname]], Comp[], 20, FALSE)</f>
        <v>0</v>
      </c>
      <c r="Y119">
        <f>VLOOKUP(Misfit[[#This Row],[Shortname]], Comp[], 21, FALSE)</f>
        <v>0</v>
      </c>
      <c r="Z119">
        <f>VLOOKUP(Misfit[[#This Row],[Shortname]], Comp[], 22, FALSE)</f>
        <v>0</v>
      </c>
      <c r="AA119">
        <f>VLOOKUP(Misfit[[#This Row],[Shortname]], Comp[], 23, FALSE)</f>
        <v>0</v>
      </c>
      <c r="AB119">
        <f>VLOOKUP(Misfit[[#This Row],[Shortname]], Comp[], 24, FALSE)</f>
        <v>0</v>
      </c>
      <c r="AC119">
        <f>VLOOKUP(Misfit[[#This Row],[Shortname]], Comp[], 25, FALSE)</f>
        <v>0</v>
      </c>
      <c r="AD119">
        <f>VLOOKUP(Misfit[[#This Row],[Shortname]], Comp[], 26, FALSE)</f>
        <v>0</v>
      </c>
      <c r="AE119">
        <f>VLOOKUP(Misfit[[#This Row],[Shortname]], Comp[], 27, FALSE)</f>
        <v>0</v>
      </c>
      <c r="AF119">
        <f>VLOOKUP(Misfit[[#This Row],[Shortname]], Comp[], 28, FALSE)</f>
        <v>0</v>
      </c>
      <c r="AG119">
        <f>VLOOKUP(Misfit[[#This Row],[Shortname]], Comp[], 29, FALSE)</f>
        <v>0</v>
      </c>
      <c r="AH119">
        <f>VLOOKUP(Misfit[[#This Row],[Shortname]], Comp[], 30, FALSE)</f>
        <v>0</v>
      </c>
      <c r="AI119">
        <f>VLOOKUP(Misfit[[#This Row],[Shortname]], Comp[], 31, FALSE)</f>
        <v>0</v>
      </c>
    </row>
    <row r="120" spans="1:35" x14ac:dyDescent="0.3">
      <c r="A120" t="s">
        <v>641</v>
      </c>
      <c r="B120" t="s">
        <v>97</v>
      </c>
      <c r="C120" t="s">
        <v>6612</v>
      </c>
      <c r="D120">
        <v>900</v>
      </c>
      <c r="E120">
        <v>900</v>
      </c>
      <c r="F120">
        <v>0.36430000000000001</v>
      </c>
      <c r="G120">
        <v>0.36280000000000001</v>
      </c>
      <c r="H120" s="40">
        <v>4.1099999999999999E-3</v>
      </c>
      <c r="J120">
        <f>VLOOKUP(Misfit[[#This Row],[Shortname]], Comp[], 6, FALSE)</f>
        <v>82</v>
      </c>
      <c r="K120">
        <f>VLOOKUP(Misfit[[#This Row],[Shortname]], Comp[], 7, FALSE)</f>
        <v>82</v>
      </c>
      <c r="L120">
        <f>VLOOKUP(Misfit[[#This Row],[Shortname]], Comp[], 8, FALSE)</f>
        <v>0</v>
      </c>
      <c r="M120">
        <f>VLOOKUP(Misfit[[#This Row],[Shortname]], Comp[], 9, FALSE)</f>
        <v>9</v>
      </c>
      <c r="N120">
        <f>VLOOKUP(Misfit[[#This Row],[Shortname]], Comp[], 10, FALSE)</f>
        <v>0</v>
      </c>
      <c r="O120">
        <f>VLOOKUP(Misfit[[#This Row],[Shortname]], Comp[], 11, FALSE)</f>
        <v>9</v>
      </c>
      <c r="P120">
        <f>VLOOKUP(Misfit[[#This Row],[Shortname]], Comp[],12, FALSE)</f>
        <v>0</v>
      </c>
      <c r="Q120">
        <f>VLOOKUP(Misfit[[#This Row],[Shortname]], Comp[], 13, FALSE)</f>
        <v>0</v>
      </c>
      <c r="R120">
        <f>VLOOKUP(Misfit[[#This Row],[Shortname]], Comp[], 14, FALSE)</f>
        <v>0</v>
      </c>
      <c r="S120">
        <f>VLOOKUP(Misfit[[#This Row],[Shortname]], Comp[], 15, FALSE)</f>
        <v>0</v>
      </c>
      <c r="T120">
        <f>VLOOKUP(Misfit[[#This Row],[Shortname]], Comp[], 16, FALSE)</f>
        <v>0</v>
      </c>
      <c r="U120">
        <f>VLOOKUP(Misfit[[#This Row],[Shortname]], Comp[], 17, FALSE)</f>
        <v>0</v>
      </c>
      <c r="V120">
        <f>VLOOKUP(Misfit[[#This Row],[Shortname]], Comp[], 18, FALSE)</f>
        <v>0</v>
      </c>
      <c r="W120">
        <f>VLOOKUP(Misfit[[#This Row],[Shortname]], Comp[], 19, FALSE)</f>
        <v>0</v>
      </c>
      <c r="X120">
        <f>VLOOKUP(Misfit[[#This Row],[Shortname]], Comp[], 20, FALSE)</f>
        <v>0</v>
      </c>
      <c r="Y120">
        <f>VLOOKUP(Misfit[[#This Row],[Shortname]], Comp[], 21, FALSE)</f>
        <v>0</v>
      </c>
      <c r="Z120">
        <f>VLOOKUP(Misfit[[#This Row],[Shortname]], Comp[], 22, FALSE)</f>
        <v>0</v>
      </c>
      <c r="AA120">
        <f>VLOOKUP(Misfit[[#This Row],[Shortname]], Comp[], 23, FALSE)</f>
        <v>0</v>
      </c>
      <c r="AB120">
        <f>VLOOKUP(Misfit[[#This Row],[Shortname]], Comp[], 24, FALSE)</f>
        <v>0</v>
      </c>
      <c r="AC120">
        <f>VLOOKUP(Misfit[[#This Row],[Shortname]], Comp[], 25, FALSE)</f>
        <v>0</v>
      </c>
      <c r="AD120">
        <f>VLOOKUP(Misfit[[#This Row],[Shortname]], Comp[], 26, FALSE)</f>
        <v>0</v>
      </c>
      <c r="AE120">
        <f>VLOOKUP(Misfit[[#This Row],[Shortname]], Comp[], 27, FALSE)</f>
        <v>0</v>
      </c>
      <c r="AF120">
        <f>VLOOKUP(Misfit[[#This Row],[Shortname]], Comp[], 28, FALSE)</f>
        <v>0</v>
      </c>
      <c r="AG120">
        <f>VLOOKUP(Misfit[[#This Row],[Shortname]], Comp[], 29, FALSE)</f>
        <v>0</v>
      </c>
      <c r="AH120">
        <f>VLOOKUP(Misfit[[#This Row],[Shortname]], Comp[], 30, FALSE)</f>
        <v>0</v>
      </c>
      <c r="AI120">
        <f>VLOOKUP(Misfit[[#This Row],[Shortname]], Comp[], 31, FALSE)</f>
        <v>0</v>
      </c>
    </row>
    <row r="121" spans="1:35" x14ac:dyDescent="0.3">
      <c r="A121" t="s">
        <v>641</v>
      </c>
      <c r="B121" t="s">
        <v>97</v>
      </c>
      <c r="C121" t="s">
        <v>6612</v>
      </c>
      <c r="D121">
        <v>900</v>
      </c>
      <c r="E121">
        <v>925</v>
      </c>
      <c r="F121">
        <v>0.36459999999999998</v>
      </c>
      <c r="G121">
        <v>0.36349999999999999</v>
      </c>
      <c r="H121" s="40">
        <v>2.8299999999999996E-3</v>
      </c>
      <c r="J121">
        <f>VLOOKUP(Misfit[[#This Row],[Shortname]], Comp[], 6, FALSE)</f>
        <v>82</v>
      </c>
      <c r="K121">
        <f>VLOOKUP(Misfit[[#This Row],[Shortname]], Comp[], 7, FALSE)</f>
        <v>82</v>
      </c>
      <c r="L121">
        <f>VLOOKUP(Misfit[[#This Row],[Shortname]], Comp[], 8, FALSE)</f>
        <v>0</v>
      </c>
      <c r="M121">
        <f>VLOOKUP(Misfit[[#This Row],[Shortname]], Comp[], 9, FALSE)</f>
        <v>9</v>
      </c>
      <c r="N121">
        <f>VLOOKUP(Misfit[[#This Row],[Shortname]], Comp[], 10, FALSE)</f>
        <v>0</v>
      </c>
      <c r="O121">
        <f>VLOOKUP(Misfit[[#This Row],[Shortname]], Comp[], 11, FALSE)</f>
        <v>9</v>
      </c>
      <c r="P121">
        <f>VLOOKUP(Misfit[[#This Row],[Shortname]], Comp[],12, FALSE)</f>
        <v>0</v>
      </c>
      <c r="Q121">
        <f>VLOOKUP(Misfit[[#This Row],[Shortname]], Comp[], 13, FALSE)</f>
        <v>0</v>
      </c>
      <c r="R121">
        <f>VLOOKUP(Misfit[[#This Row],[Shortname]], Comp[], 14, FALSE)</f>
        <v>0</v>
      </c>
      <c r="S121">
        <f>VLOOKUP(Misfit[[#This Row],[Shortname]], Comp[], 15, FALSE)</f>
        <v>0</v>
      </c>
      <c r="T121">
        <f>VLOOKUP(Misfit[[#This Row],[Shortname]], Comp[], 16, FALSE)</f>
        <v>0</v>
      </c>
      <c r="U121">
        <f>VLOOKUP(Misfit[[#This Row],[Shortname]], Comp[], 17, FALSE)</f>
        <v>0</v>
      </c>
      <c r="V121">
        <f>VLOOKUP(Misfit[[#This Row],[Shortname]], Comp[], 18, FALSE)</f>
        <v>0</v>
      </c>
      <c r="W121">
        <f>VLOOKUP(Misfit[[#This Row],[Shortname]], Comp[], 19, FALSE)</f>
        <v>0</v>
      </c>
      <c r="X121">
        <f>VLOOKUP(Misfit[[#This Row],[Shortname]], Comp[], 20, FALSE)</f>
        <v>0</v>
      </c>
      <c r="Y121">
        <f>VLOOKUP(Misfit[[#This Row],[Shortname]], Comp[], 21, FALSE)</f>
        <v>0</v>
      </c>
      <c r="Z121">
        <f>VLOOKUP(Misfit[[#This Row],[Shortname]], Comp[], 22, FALSE)</f>
        <v>0</v>
      </c>
      <c r="AA121">
        <f>VLOOKUP(Misfit[[#This Row],[Shortname]], Comp[], 23, FALSE)</f>
        <v>0</v>
      </c>
      <c r="AB121">
        <f>VLOOKUP(Misfit[[#This Row],[Shortname]], Comp[], 24, FALSE)</f>
        <v>0</v>
      </c>
      <c r="AC121">
        <f>VLOOKUP(Misfit[[#This Row],[Shortname]], Comp[], 25, FALSE)</f>
        <v>0</v>
      </c>
      <c r="AD121">
        <f>VLOOKUP(Misfit[[#This Row],[Shortname]], Comp[], 26, FALSE)</f>
        <v>0</v>
      </c>
      <c r="AE121">
        <f>VLOOKUP(Misfit[[#This Row],[Shortname]], Comp[], 27, FALSE)</f>
        <v>0</v>
      </c>
      <c r="AF121">
        <f>VLOOKUP(Misfit[[#This Row],[Shortname]], Comp[], 28, FALSE)</f>
        <v>0</v>
      </c>
      <c r="AG121">
        <f>VLOOKUP(Misfit[[#This Row],[Shortname]], Comp[], 29, FALSE)</f>
        <v>0</v>
      </c>
      <c r="AH121">
        <f>VLOOKUP(Misfit[[#This Row],[Shortname]], Comp[], 30, FALSE)</f>
        <v>0</v>
      </c>
      <c r="AI121">
        <f>VLOOKUP(Misfit[[#This Row],[Shortname]], Comp[], 31, FALSE)</f>
        <v>0</v>
      </c>
    </row>
    <row r="122" spans="1:35" x14ac:dyDescent="0.3">
      <c r="A122" t="s">
        <v>641</v>
      </c>
      <c r="B122" t="s">
        <v>97</v>
      </c>
      <c r="C122" t="s">
        <v>6612</v>
      </c>
      <c r="D122">
        <v>900</v>
      </c>
      <c r="E122">
        <v>950</v>
      </c>
      <c r="F122">
        <v>0.36480000000000001</v>
      </c>
      <c r="G122">
        <v>0.36409999999999998</v>
      </c>
      <c r="H122" s="40">
        <v>2.2699999999999999E-3</v>
      </c>
      <c r="J122">
        <f>VLOOKUP(Misfit[[#This Row],[Shortname]], Comp[], 6, FALSE)</f>
        <v>82</v>
      </c>
      <c r="K122">
        <f>VLOOKUP(Misfit[[#This Row],[Shortname]], Comp[], 7, FALSE)</f>
        <v>82</v>
      </c>
      <c r="L122">
        <f>VLOOKUP(Misfit[[#This Row],[Shortname]], Comp[], 8, FALSE)</f>
        <v>0</v>
      </c>
      <c r="M122">
        <f>VLOOKUP(Misfit[[#This Row],[Shortname]], Comp[], 9, FALSE)</f>
        <v>9</v>
      </c>
      <c r="N122">
        <f>VLOOKUP(Misfit[[#This Row],[Shortname]], Comp[], 10, FALSE)</f>
        <v>0</v>
      </c>
      <c r="O122">
        <f>VLOOKUP(Misfit[[#This Row],[Shortname]], Comp[], 11, FALSE)</f>
        <v>9</v>
      </c>
      <c r="P122">
        <f>VLOOKUP(Misfit[[#This Row],[Shortname]], Comp[],12, FALSE)</f>
        <v>0</v>
      </c>
      <c r="Q122">
        <f>VLOOKUP(Misfit[[#This Row],[Shortname]], Comp[], 13, FALSE)</f>
        <v>0</v>
      </c>
      <c r="R122">
        <f>VLOOKUP(Misfit[[#This Row],[Shortname]], Comp[], 14, FALSE)</f>
        <v>0</v>
      </c>
      <c r="S122">
        <f>VLOOKUP(Misfit[[#This Row],[Shortname]], Comp[], 15, FALSE)</f>
        <v>0</v>
      </c>
      <c r="T122">
        <f>VLOOKUP(Misfit[[#This Row],[Shortname]], Comp[], 16, FALSE)</f>
        <v>0</v>
      </c>
      <c r="U122">
        <f>VLOOKUP(Misfit[[#This Row],[Shortname]], Comp[], 17, FALSE)</f>
        <v>0</v>
      </c>
      <c r="V122">
        <f>VLOOKUP(Misfit[[#This Row],[Shortname]], Comp[], 18, FALSE)</f>
        <v>0</v>
      </c>
      <c r="W122">
        <f>VLOOKUP(Misfit[[#This Row],[Shortname]], Comp[], 19, FALSE)</f>
        <v>0</v>
      </c>
      <c r="X122">
        <f>VLOOKUP(Misfit[[#This Row],[Shortname]], Comp[], 20, FALSE)</f>
        <v>0</v>
      </c>
      <c r="Y122">
        <f>VLOOKUP(Misfit[[#This Row],[Shortname]], Comp[], 21, FALSE)</f>
        <v>0</v>
      </c>
      <c r="Z122">
        <f>VLOOKUP(Misfit[[#This Row],[Shortname]], Comp[], 22, FALSE)</f>
        <v>0</v>
      </c>
      <c r="AA122">
        <f>VLOOKUP(Misfit[[#This Row],[Shortname]], Comp[], 23, FALSE)</f>
        <v>0</v>
      </c>
      <c r="AB122">
        <f>VLOOKUP(Misfit[[#This Row],[Shortname]], Comp[], 24, FALSE)</f>
        <v>0</v>
      </c>
      <c r="AC122">
        <f>VLOOKUP(Misfit[[#This Row],[Shortname]], Comp[], 25, FALSE)</f>
        <v>0</v>
      </c>
      <c r="AD122">
        <f>VLOOKUP(Misfit[[#This Row],[Shortname]], Comp[], 26, FALSE)</f>
        <v>0</v>
      </c>
      <c r="AE122">
        <f>VLOOKUP(Misfit[[#This Row],[Shortname]], Comp[], 27, FALSE)</f>
        <v>0</v>
      </c>
      <c r="AF122">
        <f>VLOOKUP(Misfit[[#This Row],[Shortname]], Comp[], 28, FALSE)</f>
        <v>0</v>
      </c>
      <c r="AG122">
        <f>VLOOKUP(Misfit[[#This Row],[Shortname]], Comp[], 29, FALSE)</f>
        <v>0</v>
      </c>
      <c r="AH122">
        <f>VLOOKUP(Misfit[[#This Row],[Shortname]], Comp[], 30, FALSE)</f>
        <v>0</v>
      </c>
      <c r="AI122">
        <f>VLOOKUP(Misfit[[#This Row],[Shortname]], Comp[], 31, FALSE)</f>
        <v>0</v>
      </c>
    </row>
    <row r="123" spans="1:35" x14ac:dyDescent="0.3">
      <c r="A123" t="s">
        <v>2200</v>
      </c>
      <c r="B123" t="s">
        <v>2202</v>
      </c>
      <c r="C123" t="s">
        <v>6613</v>
      </c>
      <c r="D123">
        <v>900</v>
      </c>
      <c r="E123">
        <v>25</v>
      </c>
      <c r="F123">
        <v>0.35870000000000002</v>
      </c>
      <c r="G123">
        <v>0.35749999999999998</v>
      </c>
      <c r="H123" s="40">
        <v>3.2000000000000002E-3</v>
      </c>
      <c r="I123" t="s">
        <v>6614</v>
      </c>
      <c r="J123">
        <f>VLOOKUP(Misfit[[#This Row],[Shortname]], Comp[], 6, FALSE)</f>
        <v>290</v>
      </c>
      <c r="K123">
        <f>VLOOKUP(Misfit[[#This Row],[Shortname]], Comp[], 7, FALSE)</f>
        <v>53.1</v>
      </c>
      <c r="L123">
        <f>VLOOKUP(Misfit[[#This Row],[Shortname]], Comp[], 8, FALSE)</f>
        <v>30</v>
      </c>
      <c r="M123">
        <f>VLOOKUP(Misfit[[#This Row],[Shortname]], Comp[], 9, FALSE)</f>
        <v>9.9</v>
      </c>
      <c r="N123">
        <f>VLOOKUP(Misfit[[#This Row],[Shortname]], Comp[], 10, FALSE)</f>
        <v>0</v>
      </c>
      <c r="O123">
        <f>VLOOKUP(Misfit[[#This Row],[Shortname]], Comp[], 11, FALSE)</f>
        <v>0</v>
      </c>
      <c r="P123">
        <f>VLOOKUP(Misfit[[#This Row],[Shortname]], Comp[],12, FALSE)</f>
        <v>0</v>
      </c>
      <c r="Q123">
        <f>VLOOKUP(Misfit[[#This Row],[Shortname]], Comp[], 13, FALSE)</f>
        <v>0</v>
      </c>
      <c r="R123">
        <f>VLOOKUP(Misfit[[#This Row],[Shortname]], Comp[], 14, FALSE)</f>
        <v>1.9</v>
      </c>
      <c r="S123">
        <f>VLOOKUP(Misfit[[#This Row],[Shortname]], Comp[], 15, FALSE)</f>
        <v>0</v>
      </c>
      <c r="T123">
        <f>VLOOKUP(Misfit[[#This Row],[Shortname]], Comp[], 16, FALSE)</f>
        <v>5.0999999999999996</v>
      </c>
      <c r="U123">
        <f>VLOOKUP(Misfit[[#This Row],[Shortname]], Comp[], 17, FALSE)</f>
        <v>0</v>
      </c>
      <c r="V123">
        <f>VLOOKUP(Misfit[[#This Row],[Shortname]], Comp[], 18, FALSE)</f>
        <v>0</v>
      </c>
      <c r="W123">
        <f>VLOOKUP(Misfit[[#This Row],[Shortname]], Comp[], 19, FALSE)</f>
        <v>0</v>
      </c>
      <c r="X123">
        <f>VLOOKUP(Misfit[[#This Row],[Shortname]], Comp[], 20, FALSE)</f>
        <v>0</v>
      </c>
      <c r="Y123">
        <f>VLOOKUP(Misfit[[#This Row],[Shortname]], Comp[], 21, FALSE)</f>
        <v>0</v>
      </c>
      <c r="Z123">
        <f>VLOOKUP(Misfit[[#This Row],[Shortname]], Comp[], 22, FALSE)</f>
        <v>0</v>
      </c>
      <c r="AA123">
        <f>VLOOKUP(Misfit[[#This Row],[Shortname]], Comp[], 23, FALSE)</f>
        <v>0</v>
      </c>
      <c r="AB123">
        <f>VLOOKUP(Misfit[[#This Row],[Shortname]], Comp[], 24, FALSE)</f>
        <v>0</v>
      </c>
      <c r="AC123">
        <f>VLOOKUP(Misfit[[#This Row],[Shortname]], Comp[], 25, FALSE)</f>
        <v>0</v>
      </c>
      <c r="AD123">
        <f>VLOOKUP(Misfit[[#This Row],[Shortname]], Comp[], 26, FALSE)</f>
        <v>0</v>
      </c>
      <c r="AE123">
        <f>VLOOKUP(Misfit[[#This Row],[Shortname]], Comp[], 27, FALSE)</f>
        <v>0</v>
      </c>
      <c r="AF123">
        <f>VLOOKUP(Misfit[[#This Row],[Shortname]], Comp[], 28, FALSE)</f>
        <v>0</v>
      </c>
      <c r="AG123">
        <f>VLOOKUP(Misfit[[#This Row],[Shortname]], Comp[], 29, FALSE)</f>
        <v>0</v>
      </c>
      <c r="AH123">
        <f>VLOOKUP(Misfit[[#This Row],[Shortname]], Comp[], 30, FALSE)</f>
        <v>0</v>
      </c>
      <c r="AI123">
        <f>VLOOKUP(Misfit[[#This Row],[Shortname]], Comp[], 31, FALSE)</f>
        <v>0</v>
      </c>
    </row>
    <row r="124" spans="1:35" x14ac:dyDescent="0.3">
      <c r="A124" t="s">
        <v>2461</v>
      </c>
      <c r="B124" s="7" t="s">
        <v>2463</v>
      </c>
      <c r="C124" t="s">
        <v>6615</v>
      </c>
      <c r="D124">
        <v>700</v>
      </c>
      <c r="E124">
        <v>25</v>
      </c>
      <c r="H124" s="40">
        <v>2.7000000000000001E-3</v>
      </c>
      <c r="J124">
        <f>VLOOKUP(Misfit[[#This Row],[Shortname]], Comp[], 6, FALSE)</f>
        <v>325</v>
      </c>
      <c r="K124">
        <f>VLOOKUP(Misfit[[#This Row],[Shortname]], Comp[], 7, FALSE)</f>
        <v>67</v>
      </c>
      <c r="L124">
        <f>VLOOKUP(Misfit[[#This Row],[Shortname]], Comp[], 8, FALSE)</f>
        <v>15.9</v>
      </c>
      <c r="M124">
        <f>VLOOKUP(Misfit[[#This Row],[Shortname]], Comp[], 9, FALSE)</f>
        <v>13.6</v>
      </c>
      <c r="N124">
        <f>VLOOKUP(Misfit[[#This Row],[Shortname]], Comp[], 10, FALSE)</f>
        <v>0</v>
      </c>
      <c r="O124">
        <f>VLOOKUP(Misfit[[#This Row],[Shortname]], Comp[], 11, FALSE)</f>
        <v>1.9</v>
      </c>
      <c r="P124">
        <f>VLOOKUP(Misfit[[#This Row],[Shortname]], Comp[],12, FALSE)</f>
        <v>0</v>
      </c>
      <c r="Q124">
        <f>VLOOKUP(Misfit[[#This Row],[Shortname]], Comp[], 13, FALSE)</f>
        <v>0.7</v>
      </c>
      <c r="R124">
        <f>VLOOKUP(Misfit[[#This Row],[Shortname]], Comp[], 14, FALSE)</f>
        <v>0</v>
      </c>
      <c r="S124">
        <f>VLOOKUP(Misfit[[#This Row],[Shortname]], Comp[], 15, FALSE)</f>
        <v>0</v>
      </c>
      <c r="T124">
        <f>VLOOKUP(Misfit[[#This Row],[Shortname]], Comp[], 16, FALSE)</f>
        <v>0.6</v>
      </c>
      <c r="U124">
        <f>VLOOKUP(Misfit[[#This Row],[Shortname]], Comp[], 17, FALSE)</f>
        <v>0</v>
      </c>
      <c r="V124">
        <f>VLOOKUP(Misfit[[#This Row],[Shortname]], Comp[], 18, FALSE)</f>
        <v>0</v>
      </c>
      <c r="W124">
        <f>VLOOKUP(Misfit[[#This Row],[Shortname]], Comp[], 19, FALSE)</f>
        <v>0</v>
      </c>
      <c r="X124">
        <f>VLOOKUP(Misfit[[#This Row],[Shortname]], Comp[], 20, FALSE)</f>
        <v>0</v>
      </c>
      <c r="Y124">
        <f>VLOOKUP(Misfit[[#This Row],[Shortname]], Comp[], 21, FALSE)</f>
        <v>0.3</v>
      </c>
      <c r="Z124">
        <f>VLOOKUP(Misfit[[#This Row],[Shortname]], Comp[], 22, FALSE)</f>
        <v>0</v>
      </c>
      <c r="AA124">
        <f>VLOOKUP(Misfit[[#This Row],[Shortname]], Comp[], 23, FALSE)</f>
        <v>0</v>
      </c>
      <c r="AB124">
        <f>VLOOKUP(Misfit[[#This Row],[Shortname]], Comp[], 24, FALSE)</f>
        <v>0</v>
      </c>
      <c r="AC124">
        <f>VLOOKUP(Misfit[[#This Row],[Shortname]], Comp[], 25, FALSE)</f>
        <v>0</v>
      </c>
      <c r="AD124">
        <f>VLOOKUP(Misfit[[#This Row],[Shortname]], Comp[], 26, FALSE)</f>
        <v>0</v>
      </c>
      <c r="AE124">
        <f>VLOOKUP(Misfit[[#This Row],[Shortname]], Comp[], 27, FALSE)</f>
        <v>0</v>
      </c>
      <c r="AF124">
        <f>VLOOKUP(Misfit[[#This Row],[Shortname]], Comp[], 28, FALSE)</f>
        <v>0</v>
      </c>
      <c r="AG124">
        <f>VLOOKUP(Misfit[[#This Row],[Shortname]], Comp[], 29, FALSE)</f>
        <v>0</v>
      </c>
      <c r="AH124">
        <f>VLOOKUP(Misfit[[#This Row],[Shortname]], Comp[], 30, FALSE)</f>
        <v>0</v>
      </c>
      <c r="AI124">
        <f>VLOOKUP(Misfit[[#This Row],[Shortname]], Comp[], 31, FALSE)</f>
        <v>0</v>
      </c>
    </row>
    <row r="125" spans="1:35" x14ac:dyDescent="0.3">
      <c r="A125" t="s">
        <v>2450</v>
      </c>
      <c r="B125" s="7" t="s">
        <v>2452</v>
      </c>
      <c r="C125" t="s">
        <v>6615</v>
      </c>
      <c r="D125">
        <v>700</v>
      </c>
      <c r="E125">
        <v>25</v>
      </c>
      <c r="H125" s="40">
        <v>0</v>
      </c>
      <c r="J125">
        <f>VLOOKUP(Misfit[[#This Row],[Shortname]], Comp[], 6, FALSE)</f>
        <v>324</v>
      </c>
      <c r="K125">
        <f>VLOOKUP(Misfit[[#This Row],[Shortname]], Comp[], 7, FALSE)</f>
        <v>52.9</v>
      </c>
      <c r="L125">
        <f>VLOOKUP(Misfit[[#This Row],[Shortname]], Comp[], 8, FALSE)</f>
        <v>15.9</v>
      </c>
      <c r="M125">
        <f>VLOOKUP(Misfit[[#This Row],[Shortname]], Comp[], 9, FALSE)</f>
        <v>14.9</v>
      </c>
      <c r="N125">
        <f>VLOOKUP(Misfit[[#This Row],[Shortname]], Comp[], 10, FALSE)</f>
        <v>8.6999999999999993</v>
      </c>
      <c r="O125">
        <f>VLOOKUP(Misfit[[#This Row],[Shortname]], Comp[], 11, FALSE)</f>
        <v>2.5</v>
      </c>
      <c r="P125">
        <f>VLOOKUP(Misfit[[#This Row],[Shortname]], Comp[],12, FALSE)</f>
        <v>2.6</v>
      </c>
      <c r="Q125">
        <f>VLOOKUP(Misfit[[#This Row],[Shortname]], Comp[], 13, FALSE)</f>
        <v>0.9</v>
      </c>
      <c r="R125">
        <f>VLOOKUP(Misfit[[#This Row],[Shortname]], Comp[], 14, FALSE)</f>
        <v>0</v>
      </c>
      <c r="S125">
        <f>VLOOKUP(Misfit[[#This Row],[Shortname]], Comp[], 15, FALSE)</f>
        <v>0</v>
      </c>
      <c r="T125">
        <f>VLOOKUP(Misfit[[#This Row],[Shortname]], Comp[], 16, FALSE)</f>
        <v>1.1000000000000001</v>
      </c>
      <c r="U125">
        <f>VLOOKUP(Misfit[[#This Row],[Shortname]], Comp[], 17, FALSE)</f>
        <v>0</v>
      </c>
      <c r="V125">
        <f>VLOOKUP(Misfit[[#This Row],[Shortname]], Comp[], 18, FALSE)</f>
        <v>0</v>
      </c>
      <c r="W125">
        <f>VLOOKUP(Misfit[[#This Row],[Shortname]], Comp[], 19, FALSE)</f>
        <v>0</v>
      </c>
      <c r="X125">
        <f>VLOOKUP(Misfit[[#This Row],[Shortname]], Comp[], 20, FALSE)</f>
        <v>0</v>
      </c>
      <c r="Y125">
        <f>VLOOKUP(Misfit[[#This Row],[Shortname]], Comp[], 21, FALSE)</f>
        <v>0.5</v>
      </c>
      <c r="Z125">
        <f>VLOOKUP(Misfit[[#This Row],[Shortname]], Comp[], 22, FALSE)</f>
        <v>0</v>
      </c>
      <c r="AA125">
        <f>VLOOKUP(Misfit[[#This Row],[Shortname]], Comp[], 23, FALSE)</f>
        <v>0</v>
      </c>
      <c r="AB125">
        <f>VLOOKUP(Misfit[[#This Row],[Shortname]], Comp[], 24, FALSE)</f>
        <v>0</v>
      </c>
      <c r="AC125">
        <f>VLOOKUP(Misfit[[#This Row],[Shortname]], Comp[], 25, FALSE)</f>
        <v>0</v>
      </c>
      <c r="AD125">
        <f>VLOOKUP(Misfit[[#This Row],[Shortname]], Comp[], 26, FALSE)</f>
        <v>0</v>
      </c>
      <c r="AE125">
        <f>VLOOKUP(Misfit[[#This Row],[Shortname]], Comp[], 27, FALSE)</f>
        <v>0</v>
      </c>
      <c r="AF125">
        <f>VLOOKUP(Misfit[[#This Row],[Shortname]], Comp[], 28, FALSE)</f>
        <v>0</v>
      </c>
      <c r="AG125">
        <f>VLOOKUP(Misfit[[#This Row],[Shortname]], Comp[], 29, FALSE)</f>
        <v>0</v>
      </c>
      <c r="AH125">
        <f>VLOOKUP(Misfit[[#This Row],[Shortname]], Comp[], 30, FALSE)</f>
        <v>0</v>
      </c>
      <c r="AI125">
        <f>VLOOKUP(Misfit[[#This Row],[Shortname]], Comp[], 31, FALSE)</f>
        <v>0</v>
      </c>
    </row>
    <row r="126" spans="1:35" x14ac:dyDescent="0.3">
      <c r="A126" t="s">
        <v>2502</v>
      </c>
      <c r="B126" s="7" t="s">
        <v>2504</v>
      </c>
      <c r="C126" t="s">
        <v>6616</v>
      </c>
      <c r="D126">
        <v>750</v>
      </c>
      <c r="E126">
        <v>25</v>
      </c>
      <c r="F126">
        <v>0.35709999999999997</v>
      </c>
      <c r="G126">
        <v>0.35439999999999999</v>
      </c>
      <c r="H126" s="40">
        <f>2*(F126-G126)/(F126+G126)</f>
        <v>7.5895994378073935E-3</v>
      </c>
      <c r="I126" t="s">
        <v>6617</v>
      </c>
      <c r="J126">
        <f>VLOOKUP(Misfit[[#This Row],[Shortname]], Comp[], 6, FALSE)</f>
        <v>331</v>
      </c>
      <c r="K126">
        <f>VLOOKUP(Misfit[[#This Row],[Shortname]], Comp[], 7, FALSE)</f>
        <v>42.5</v>
      </c>
      <c r="L126">
        <f>VLOOKUP(Misfit[[#This Row],[Shortname]], Comp[], 8, FALSE)</f>
        <v>42.5</v>
      </c>
      <c r="M126">
        <f>VLOOKUP(Misfit[[#This Row],[Shortname]], Comp[], 9, FALSE)</f>
        <v>7.5</v>
      </c>
      <c r="N126">
        <f>VLOOKUP(Misfit[[#This Row],[Shortname]], Comp[], 10, FALSE)</f>
        <v>0</v>
      </c>
      <c r="O126">
        <f>VLOOKUP(Misfit[[#This Row],[Shortname]], Comp[], 11, FALSE)</f>
        <v>0</v>
      </c>
      <c r="P126">
        <f>VLOOKUP(Misfit[[#This Row],[Shortname]], Comp[],12, FALSE)</f>
        <v>7.5</v>
      </c>
      <c r="Q126">
        <f>VLOOKUP(Misfit[[#This Row],[Shortname]], Comp[], 13, FALSE)</f>
        <v>0</v>
      </c>
      <c r="R126">
        <f>VLOOKUP(Misfit[[#This Row],[Shortname]], Comp[], 14, FALSE)</f>
        <v>0</v>
      </c>
      <c r="S126">
        <f>VLOOKUP(Misfit[[#This Row],[Shortname]], Comp[], 15, FALSE)</f>
        <v>0</v>
      </c>
      <c r="T126">
        <f>VLOOKUP(Misfit[[#This Row],[Shortname]], Comp[], 16, FALSE)</f>
        <v>0</v>
      </c>
      <c r="U126">
        <f>VLOOKUP(Misfit[[#This Row],[Shortname]], Comp[], 17, FALSE)</f>
        <v>0</v>
      </c>
      <c r="V126">
        <f>VLOOKUP(Misfit[[#This Row],[Shortname]], Comp[], 18, FALSE)</f>
        <v>0</v>
      </c>
      <c r="W126">
        <f>VLOOKUP(Misfit[[#This Row],[Shortname]], Comp[], 19, FALSE)</f>
        <v>0</v>
      </c>
      <c r="X126">
        <f>VLOOKUP(Misfit[[#This Row],[Shortname]], Comp[], 20, FALSE)</f>
        <v>0</v>
      </c>
      <c r="Y126">
        <f>VLOOKUP(Misfit[[#This Row],[Shortname]], Comp[], 21, FALSE)</f>
        <v>0</v>
      </c>
      <c r="Z126">
        <f>VLOOKUP(Misfit[[#This Row],[Shortname]], Comp[], 22, FALSE)</f>
        <v>0</v>
      </c>
      <c r="AA126">
        <f>VLOOKUP(Misfit[[#This Row],[Shortname]], Comp[], 23, FALSE)</f>
        <v>0</v>
      </c>
      <c r="AB126">
        <f>VLOOKUP(Misfit[[#This Row],[Shortname]], Comp[], 24, FALSE)</f>
        <v>0</v>
      </c>
      <c r="AC126">
        <f>VLOOKUP(Misfit[[#This Row],[Shortname]], Comp[], 25, FALSE)</f>
        <v>0</v>
      </c>
      <c r="AD126">
        <f>VLOOKUP(Misfit[[#This Row],[Shortname]], Comp[], 26, FALSE)</f>
        <v>0</v>
      </c>
      <c r="AE126">
        <f>VLOOKUP(Misfit[[#This Row],[Shortname]], Comp[], 27, FALSE)</f>
        <v>0</v>
      </c>
      <c r="AF126">
        <f>VLOOKUP(Misfit[[#This Row],[Shortname]], Comp[], 28, FALSE)</f>
        <v>0</v>
      </c>
      <c r="AG126">
        <f>VLOOKUP(Misfit[[#This Row],[Shortname]], Comp[], 29, FALSE)</f>
        <v>0</v>
      </c>
      <c r="AH126">
        <f>VLOOKUP(Misfit[[#This Row],[Shortname]], Comp[], 30, FALSE)</f>
        <v>0</v>
      </c>
      <c r="AI126">
        <f>VLOOKUP(Misfit[[#This Row],[Shortname]], Comp[], 31, FALSE)</f>
        <v>0</v>
      </c>
    </row>
    <row r="127" spans="1:35" x14ac:dyDescent="0.3">
      <c r="A127" t="s">
        <v>2494</v>
      </c>
      <c r="B127" t="s">
        <v>2496</v>
      </c>
      <c r="C127" t="s">
        <v>6616</v>
      </c>
      <c r="D127">
        <v>750</v>
      </c>
      <c r="E127">
        <v>25</v>
      </c>
      <c r="F127">
        <v>0.35799999999999998</v>
      </c>
      <c r="G127">
        <v>0.35510000000000003</v>
      </c>
      <c r="H127" s="40">
        <f>2*(F127-G127)/(F127+G127)</f>
        <v>8.1335016126769261E-3</v>
      </c>
      <c r="I127" t="s">
        <v>6617</v>
      </c>
      <c r="J127">
        <f>VLOOKUP(Misfit[[#This Row],[Shortname]], Comp[], 6, FALSE)</f>
        <v>330</v>
      </c>
      <c r="K127">
        <f>VLOOKUP(Misfit[[#This Row],[Shortname]], Comp[], 7, FALSE)</f>
        <v>55</v>
      </c>
      <c r="L127">
        <f>VLOOKUP(Misfit[[#This Row],[Shortname]], Comp[], 8, FALSE)</f>
        <v>30</v>
      </c>
      <c r="M127">
        <f>VLOOKUP(Misfit[[#This Row],[Shortname]], Comp[], 9, FALSE)</f>
        <v>5.29</v>
      </c>
      <c r="N127">
        <f>VLOOKUP(Misfit[[#This Row],[Shortname]], Comp[], 10, FALSE)</f>
        <v>0</v>
      </c>
      <c r="O127">
        <f>VLOOKUP(Misfit[[#This Row],[Shortname]], Comp[], 11, FALSE)</f>
        <v>0</v>
      </c>
      <c r="P127">
        <f>VLOOKUP(Misfit[[#This Row],[Shortname]], Comp[],12, FALSE)</f>
        <v>9.7100000000000009</v>
      </c>
      <c r="Q127">
        <f>VLOOKUP(Misfit[[#This Row],[Shortname]], Comp[], 13, FALSE)</f>
        <v>0</v>
      </c>
      <c r="R127">
        <f>VLOOKUP(Misfit[[#This Row],[Shortname]], Comp[], 14, FALSE)</f>
        <v>0</v>
      </c>
      <c r="S127">
        <f>VLOOKUP(Misfit[[#This Row],[Shortname]], Comp[], 15, FALSE)</f>
        <v>0</v>
      </c>
      <c r="T127">
        <f>VLOOKUP(Misfit[[#This Row],[Shortname]], Comp[], 16, FALSE)</f>
        <v>0</v>
      </c>
      <c r="U127">
        <f>VLOOKUP(Misfit[[#This Row],[Shortname]], Comp[], 17, FALSE)</f>
        <v>0</v>
      </c>
      <c r="V127">
        <f>VLOOKUP(Misfit[[#This Row],[Shortname]], Comp[], 18, FALSE)</f>
        <v>0</v>
      </c>
      <c r="W127">
        <f>VLOOKUP(Misfit[[#This Row],[Shortname]], Comp[], 19, FALSE)</f>
        <v>0</v>
      </c>
      <c r="X127">
        <f>VLOOKUP(Misfit[[#This Row],[Shortname]], Comp[], 20, FALSE)</f>
        <v>0</v>
      </c>
      <c r="Y127">
        <f>VLOOKUP(Misfit[[#This Row],[Shortname]], Comp[], 21, FALSE)</f>
        <v>0</v>
      </c>
      <c r="Z127">
        <f>VLOOKUP(Misfit[[#This Row],[Shortname]], Comp[], 22, FALSE)</f>
        <v>0</v>
      </c>
      <c r="AA127">
        <f>VLOOKUP(Misfit[[#This Row],[Shortname]], Comp[], 23, FALSE)</f>
        <v>0</v>
      </c>
      <c r="AB127">
        <f>VLOOKUP(Misfit[[#This Row],[Shortname]], Comp[], 24, FALSE)</f>
        <v>0</v>
      </c>
      <c r="AC127">
        <f>VLOOKUP(Misfit[[#This Row],[Shortname]], Comp[], 25, FALSE)</f>
        <v>0</v>
      </c>
      <c r="AD127">
        <f>VLOOKUP(Misfit[[#This Row],[Shortname]], Comp[], 26, FALSE)</f>
        <v>0</v>
      </c>
      <c r="AE127">
        <f>VLOOKUP(Misfit[[#This Row],[Shortname]], Comp[], 27, FALSE)</f>
        <v>0</v>
      </c>
      <c r="AF127">
        <f>VLOOKUP(Misfit[[#This Row],[Shortname]], Comp[], 28, FALSE)</f>
        <v>0</v>
      </c>
      <c r="AG127">
        <f>VLOOKUP(Misfit[[#This Row],[Shortname]], Comp[], 29, FALSE)</f>
        <v>0</v>
      </c>
      <c r="AH127">
        <f>VLOOKUP(Misfit[[#This Row],[Shortname]], Comp[], 30, FALSE)</f>
        <v>0</v>
      </c>
      <c r="AI127">
        <f>VLOOKUP(Misfit[[#This Row],[Shortname]], Comp[], 31, FALSE)</f>
        <v>0</v>
      </c>
    </row>
    <row r="128" spans="1:35" x14ac:dyDescent="0.3">
      <c r="A128" t="s">
        <v>2486</v>
      </c>
      <c r="B128" t="s">
        <v>2488</v>
      </c>
      <c r="C128" t="s">
        <v>6616</v>
      </c>
      <c r="D128">
        <v>750</v>
      </c>
      <c r="E128">
        <v>25</v>
      </c>
      <c r="F128">
        <v>0.35830000000000001</v>
      </c>
      <c r="G128">
        <v>0.35539999999999999</v>
      </c>
      <c r="H128" s="40">
        <f>2*(F128-G128)/(F128+G128)</f>
        <v>8.1266638643688206E-3</v>
      </c>
      <c r="I128" t="s">
        <v>6617</v>
      </c>
      <c r="J128">
        <f>VLOOKUP(Misfit[[#This Row],[Shortname]], Comp[], 6, FALSE)</f>
        <v>329</v>
      </c>
      <c r="K128">
        <f>VLOOKUP(Misfit[[#This Row],[Shortname]], Comp[], 7, FALSE)</f>
        <v>70.009999999999991</v>
      </c>
      <c r="L128">
        <f>VLOOKUP(Misfit[[#This Row],[Shortname]], Comp[], 8, FALSE)</f>
        <v>15</v>
      </c>
      <c r="M128">
        <f>VLOOKUP(Misfit[[#This Row],[Shortname]], Comp[], 9, FALSE)</f>
        <v>2.64</v>
      </c>
      <c r="N128">
        <f>VLOOKUP(Misfit[[#This Row],[Shortname]], Comp[], 10, FALSE)</f>
        <v>0</v>
      </c>
      <c r="O128">
        <f>VLOOKUP(Misfit[[#This Row],[Shortname]], Comp[], 11, FALSE)</f>
        <v>0</v>
      </c>
      <c r="P128">
        <f>VLOOKUP(Misfit[[#This Row],[Shortname]], Comp[],12, FALSE)</f>
        <v>12.35</v>
      </c>
      <c r="Q128">
        <f>VLOOKUP(Misfit[[#This Row],[Shortname]], Comp[], 13, FALSE)</f>
        <v>0</v>
      </c>
      <c r="R128">
        <f>VLOOKUP(Misfit[[#This Row],[Shortname]], Comp[], 14, FALSE)</f>
        <v>0</v>
      </c>
      <c r="S128">
        <f>VLOOKUP(Misfit[[#This Row],[Shortname]], Comp[], 15, FALSE)</f>
        <v>0</v>
      </c>
      <c r="T128">
        <f>VLOOKUP(Misfit[[#This Row],[Shortname]], Comp[], 16, FALSE)</f>
        <v>0</v>
      </c>
      <c r="U128">
        <f>VLOOKUP(Misfit[[#This Row],[Shortname]], Comp[], 17, FALSE)</f>
        <v>0</v>
      </c>
      <c r="V128">
        <f>VLOOKUP(Misfit[[#This Row],[Shortname]], Comp[], 18, FALSE)</f>
        <v>0</v>
      </c>
      <c r="W128">
        <f>VLOOKUP(Misfit[[#This Row],[Shortname]], Comp[], 19, FALSE)</f>
        <v>0</v>
      </c>
      <c r="X128">
        <f>VLOOKUP(Misfit[[#This Row],[Shortname]], Comp[], 20, FALSE)</f>
        <v>0</v>
      </c>
      <c r="Y128">
        <f>VLOOKUP(Misfit[[#This Row],[Shortname]], Comp[], 21, FALSE)</f>
        <v>0</v>
      </c>
      <c r="Z128">
        <f>VLOOKUP(Misfit[[#This Row],[Shortname]], Comp[], 22, FALSE)</f>
        <v>0</v>
      </c>
      <c r="AA128">
        <f>VLOOKUP(Misfit[[#This Row],[Shortname]], Comp[], 23, FALSE)</f>
        <v>0</v>
      </c>
      <c r="AB128">
        <f>VLOOKUP(Misfit[[#This Row],[Shortname]], Comp[], 24, FALSE)</f>
        <v>0</v>
      </c>
      <c r="AC128">
        <f>VLOOKUP(Misfit[[#This Row],[Shortname]], Comp[], 25, FALSE)</f>
        <v>0</v>
      </c>
      <c r="AD128">
        <f>VLOOKUP(Misfit[[#This Row],[Shortname]], Comp[], 26, FALSE)</f>
        <v>0</v>
      </c>
      <c r="AE128">
        <f>VLOOKUP(Misfit[[#This Row],[Shortname]], Comp[], 27, FALSE)</f>
        <v>0</v>
      </c>
      <c r="AF128">
        <f>VLOOKUP(Misfit[[#This Row],[Shortname]], Comp[], 28, FALSE)</f>
        <v>0</v>
      </c>
      <c r="AG128">
        <f>VLOOKUP(Misfit[[#This Row],[Shortname]], Comp[], 29, FALSE)</f>
        <v>0</v>
      </c>
      <c r="AH128">
        <f>VLOOKUP(Misfit[[#This Row],[Shortname]], Comp[], 30, FALSE)</f>
        <v>0</v>
      </c>
      <c r="AI128">
        <f>VLOOKUP(Misfit[[#This Row],[Shortname]], Comp[], 31, FALSE)</f>
        <v>0</v>
      </c>
    </row>
    <row r="129" spans="1:35" x14ac:dyDescent="0.3">
      <c r="A129" t="s">
        <v>2479</v>
      </c>
      <c r="B129" t="s">
        <v>2481</v>
      </c>
      <c r="C129" t="s">
        <v>6616</v>
      </c>
      <c r="D129">
        <v>750</v>
      </c>
      <c r="E129">
        <v>25</v>
      </c>
      <c r="F129">
        <v>0.3604</v>
      </c>
      <c r="G129">
        <v>0.35699999999999998</v>
      </c>
      <c r="H129" s="40">
        <f>2*(F129-G129)/(F129+G129)</f>
        <v>9.4786729857820294E-3</v>
      </c>
      <c r="I129" t="s">
        <v>6617</v>
      </c>
      <c r="J129">
        <f>VLOOKUP(Misfit[[#This Row],[Shortname]], Comp[], 6, FALSE)</f>
        <v>328</v>
      </c>
      <c r="K129">
        <f>VLOOKUP(Misfit[[#This Row],[Shortname]], Comp[], 7, FALSE)</f>
        <v>85</v>
      </c>
      <c r="L129">
        <f>VLOOKUP(Misfit[[#This Row],[Shortname]], Comp[], 8, FALSE)</f>
        <v>0</v>
      </c>
      <c r="M129">
        <f>VLOOKUP(Misfit[[#This Row],[Shortname]], Comp[], 9, FALSE)</f>
        <v>0</v>
      </c>
      <c r="N129">
        <f>VLOOKUP(Misfit[[#This Row],[Shortname]], Comp[], 10, FALSE)</f>
        <v>0</v>
      </c>
      <c r="O129">
        <f>VLOOKUP(Misfit[[#This Row],[Shortname]], Comp[], 11, FALSE)</f>
        <v>0</v>
      </c>
      <c r="P129">
        <f>VLOOKUP(Misfit[[#This Row],[Shortname]], Comp[],12, FALSE)</f>
        <v>15</v>
      </c>
      <c r="Q129">
        <f>VLOOKUP(Misfit[[#This Row],[Shortname]], Comp[], 13, FALSE)</f>
        <v>0</v>
      </c>
      <c r="R129">
        <f>VLOOKUP(Misfit[[#This Row],[Shortname]], Comp[], 14, FALSE)</f>
        <v>0</v>
      </c>
      <c r="S129">
        <f>VLOOKUP(Misfit[[#This Row],[Shortname]], Comp[], 15, FALSE)</f>
        <v>0</v>
      </c>
      <c r="T129">
        <f>VLOOKUP(Misfit[[#This Row],[Shortname]], Comp[], 16, FALSE)</f>
        <v>0</v>
      </c>
      <c r="U129">
        <f>VLOOKUP(Misfit[[#This Row],[Shortname]], Comp[], 17, FALSE)</f>
        <v>0</v>
      </c>
      <c r="V129">
        <f>VLOOKUP(Misfit[[#This Row],[Shortname]], Comp[], 18, FALSE)</f>
        <v>0</v>
      </c>
      <c r="W129">
        <f>VLOOKUP(Misfit[[#This Row],[Shortname]], Comp[], 19, FALSE)</f>
        <v>0</v>
      </c>
      <c r="X129">
        <f>VLOOKUP(Misfit[[#This Row],[Shortname]], Comp[], 20, FALSE)</f>
        <v>0</v>
      </c>
      <c r="Y129">
        <f>VLOOKUP(Misfit[[#This Row],[Shortname]], Comp[], 21, FALSE)</f>
        <v>0</v>
      </c>
      <c r="Z129">
        <f>VLOOKUP(Misfit[[#This Row],[Shortname]], Comp[], 22, FALSE)</f>
        <v>0</v>
      </c>
      <c r="AA129">
        <f>VLOOKUP(Misfit[[#This Row],[Shortname]], Comp[], 23, FALSE)</f>
        <v>0</v>
      </c>
      <c r="AB129">
        <f>VLOOKUP(Misfit[[#This Row],[Shortname]], Comp[], 24, FALSE)</f>
        <v>0</v>
      </c>
      <c r="AC129">
        <f>VLOOKUP(Misfit[[#This Row],[Shortname]], Comp[], 25, FALSE)</f>
        <v>0</v>
      </c>
      <c r="AD129">
        <f>VLOOKUP(Misfit[[#This Row],[Shortname]], Comp[], 26, FALSE)</f>
        <v>0</v>
      </c>
      <c r="AE129">
        <f>VLOOKUP(Misfit[[#This Row],[Shortname]], Comp[], 27, FALSE)</f>
        <v>0</v>
      </c>
      <c r="AF129">
        <f>VLOOKUP(Misfit[[#This Row],[Shortname]], Comp[], 28, FALSE)</f>
        <v>0</v>
      </c>
      <c r="AG129">
        <f>VLOOKUP(Misfit[[#This Row],[Shortname]], Comp[], 29, FALSE)</f>
        <v>0</v>
      </c>
      <c r="AH129">
        <f>VLOOKUP(Misfit[[#This Row],[Shortname]], Comp[], 30, FALSE)</f>
        <v>0</v>
      </c>
      <c r="AI129">
        <f>VLOOKUP(Misfit[[#This Row],[Shortname]], Comp[], 31, FALSE)</f>
        <v>0</v>
      </c>
    </row>
    <row r="130" spans="1:35" x14ac:dyDescent="0.3">
      <c r="A130" t="s">
        <v>2831</v>
      </c>
      <c r="B130" s="7" t="s">
        <v>2833</v>
      </c>
      <c r="C130" t="s">
        <v>6618</v>
      </c>
      <c r="D130">
        <v>900</v>
      </c>
      <c r="E130">
        <v>25</v>
      </c>
      <c r="F130">
        <v>0.35639999999999999</v>
      </c>
      <c r="G130">
        <v>0.35470000000000002</v>
      </c>
      <c r="H130" s="40">
        <v>4.7999999999999996E-3</v>
      </c>
      <c r="J130">
        <f>VLOOKUP(Misfit[[#This Row],[Shortname]], Comp[], 6, FALSE)</f>
        <v>383</v>
      </c>
      <c r="K130">
        <f>VLOOKUP(Misfit[[#This Row],[Shortname]], Comp[], 7, FALSE)</f>
        <v>51</v>
      </c>
      <c r="L130">
        <f>VLOOKUP(Misfit[[#This Row],[Shortname]], Comp[], 8, FALSE)</f>
        <v>30.5</v>
      </c>
      <c r="M130">
        <f>VLOOKUP(Misfit[[#This Row],[Shortname]], Comp[], 9, FALSE)</f>
        <v>9.6999999999999993</v>
      </c>
      <c r="N130">
        <f>VLOOKUP(Misfit[[#This Row],[Shortname]], Comp[], 10, FALSE)</f>
        <v>0</v>
      </c>
      <c r="O130">
        <f>VLOOKUP(Misfit[[#This Row],[Shortname]], Comp[], 11, FALSE)</f>
        <v>0</v>
      </c>
      <c r="P130">
        <f>VLOOKUP(Misfit[[#This Row],[Shortname]], Comp[],12, FALSE)</f>
        <v>1.9</v>
      </c>
      <c r="Q130">
        <f>VLOOKUP(Misfit[[#This Row],[Shortname]], Comp[], 13, FALSE)</f>
        <v>2.1</v>
      </c>
      <c r="R130">
        <f>VLOOKUP(Misfit[[#This Row],[Shortname]], Comp[], 14, FALSE)</f>
        <v>0</v>
      </c>
      <c r="S130">
        <f>VLOOKUP(Misfit[[#This Row],[Shortname]], Comp[], 15, FALSE)</f>
        <v>0</v>
      </c>
      <c r="T130">
        <f>VLOOKUP(Misfit[[#This Row],[Shortname]], Comp[], 16, FALSE)</f>
        <v>4.8</v>
      </c>
      <c r="U130">
        <f>VLOOKUP(Misfit[[#This Row],[Shortname]], Comp[], 17, FALSE)</f>
        <v>0</v>
      </c>
      <c r="V130">
        <f>VLOOKUP(Misfit[[#This Row],[Shortname]], Comp[], 18, FALSE)</f>
        <v>0</v>
      </c>
      <c r="W130">
        <f>VLOOKUP(Misfit[[#This Row],[Shortname]], Comp[], 19, FALSE)</f>
        <v>0</v>
      </c>
      <c r="X130">
        <f>VLOOKUP(Misfit[[#This Row],[Shortname]], Comp[], 20, FALSE)</f>
        <v>0</v>
      </c>
      <c r="Y130">
        <f>VLOOKUP(Misfit[[#This Row],[Shortname]], Comp[], 21, FALSE)</f>
        <v>0</v>
      </c>
      <c r="Z130">
        <f>VLOOKUP(Misfit[[#This Row],[Shortname]], Comp[], 22, FALSE)</f>
        <v>0</v>
      </c>
      <c r="AA130">
        <f>VLOOKUP(Misfit[[#This Row],[Shortname]], Comp[], 23, FALSE)</f>
        <v>0</v>
      </c>
      <c r="AB130">
        <f>VLOOKUP(Misfit[[#This Row],[Shortname]], Comp[], 24, FALSE)</f>
        <v>0</v>
      </c>
      <c r="AC130">
        <f>VLOOKUP(Misfit[[#This Row],[Shortname]], Comp[], 25, FALSE)</f>
        <v>0</v>
      </c>
      <c r="AD130">
        <f>VLOOKUP(Misfit[[#This Row],[Shortname]], Comp[], 26, FALSE)</f>
        <v>0</v>
      </c>
      <c r="AE130">
        <f>VLOOKUP(Misfit[[#This Row],[Shortname]], Comp[], 27, FALSE)</f>
        <v>0</v>
      </c>
      <c r="AF130">
        <f>VLOOKUP(Misfit[[#This Row],[Shortname]], Comp[], 28, FALSE)</f>
        <v>0</v>
      </c>
      <c r="AG130">
        <f>VLOOKUP(Misfit[[#This Row],[Shortname]], Comp[], 29, FALSE)</f>
        <v>0</v>
      </c>
      <c r="AH130">
        <f>VLOOKUP(Misfit[[#This Row],[Shortname]], Comp[], 30, FALSE)</f>
        <v>0</v>
      </c>
      <c r="AI130">
        <f>VLOOKUP(Misfit[[#This Row],[Shortname]], Comp[], 31, FALSE)</f>
        <v>0</v>
      </c>
    </row>
    <row r="131" spans="1:35" x14ac:dyDescent="0.3">
      <c r="A131" t="s">
        <v>2817</v>
      </c>
      <c r="B131" s="7" t="s">
        <v>2811</v>
      </c>
      <c r="C131" t="s">
        <v>6618</v>
      </c>
      <c r="D131">
        <v>900</v>
      </c>
      <c r="E131">
        <v>25</v>
      </c>
      <c r="F131">
        <v>0.35610000000000003</v>
      </c>
      <c r="G131">
        <v>0.35470000000000002</v>
      </c>
      <c r="H131" s="40">
        <v>4.0000000000000001E-3</v>
      </c>
      <c r="J131">
        <f>VLOOKUP(Misfit[[#This Row],[Shortname]], Comp[], 6, FALSE)</f>
        <v>381</v>
      </c>
      <c r="K131">
        <f>VLOOKUP(Misfit[[#This Row],[Shortname]], Comp[], 7, FALSE)</f>
        <v>46.3</v>
      </c>
      <c r="L131">
        <f>VLOOKUP(Misfit[[#This Row],[Shortname]], Comp[], 8, FALSE)</f>
        <v>30.1</v>
      </c>
      <c r="M131">
        <f>VLOOKUP(Misfit[[#This Row],[Shortname]], Comp[], 9, FALSE)</f>
        <v>9.8000000000000007</v>
      </c>
      <c r="N131">
        <f>VLOOKUP(Misfit[[#This Row],[Shortname]], Comp[], 10, FALSE)</f>
        <v>4.9000000000000004</v>
      </c>
      <c r="O131">
        <f>VLOOKUP(Misfit[[#This Row],[Shortname]], Comp[], 11, FALSE)</f>
        <v>0</v>
      </c>
      <c r="P131">
        <f>VLOOKUP(Misfit[[#This Row],[Shortname]], Comp[],12, FALSE)</f>
        <v>2</v>
      </c>
      <c r="Q131">
        <f>VLOOKUP(Misfit[[#This Row],[Shortname]], Comp[], 13, FALSE)</f>
        <v>2</v>
      </c>
      <c r="R131">
        <f>VLOOKUP(Misfit[[#This Row],[Shortname]], Comp[], 14, FALSE)</f>
        <v>0</v>
      </c>
      <c r="S131">
        <f>VLOOKUP(Misfit[[#This Row],[Shortname]], Comp[], 15, FALSE)</f>
        <v>0</v>
      </c>
      <c r="T131">
        <f>VLOOKUP(Misfit[[#This Row],[Shortname]], Comp[], 16, FALSE)</f>
        <v>4.9000000000000004</v>
      </c>
      <c r="U131">
        <f>VLOOKUP(Misfit[[#This Row],[Shortname]], Comp[], 17, FALSE)</f>
        <v>0</v>
      </c>
      <c r="V131">
        <f>VLOOKUP(Misfit[[#This Row],[Shortname]], Comp[], 18, FALSE)</f>
        <v>0</v>
      </c>
      <c r="W131">
        <f>VLOOKUP(Misfit[[#This Row],[Shortname]], Comp[], 19, FALSE)</f>
        <v>0</v>
      </c>
      <c r="X131">
        <f>VLOOKUP(Misfit[[#This Row],[Shortname]], Comp[], 20, FALSE)</f>
        <v>0</v>
      </c>
      <c r="Y131">
        <f>VLOOKUP(Misfit[[#This Row],[Shortname]], Comp[], 21, FALSE)</f>
        <v>0</v>
      </c>
      <c r="Z131">
        <f>VLOOKUP(Misfit[[#This Row],[Shortname]], Comp[], 22, FALSE)</f>
        <v>0</v>
      </c>
      <c r="AA131">
        <f>VLOOKUP(Misfit[[#This Row],[Shortname]], Comp[], 23, FALSE)</f>
        <v>0</v>
      </c>
      <c r="AB131">
        <f>VLOOKUP(Misfit[[#This Row],[Shortname]], Comp[], 24, FALSE)</f>
        <v>0</v>
      </c>
      <c r="AC131">
        <f>VLOOKUP(Misfit[[#This Row],[Shortname]], Comp[], 25, FALSE)</f>
        <v>0</v>
      </c>
      <c r="AD131">
        <f>VLOOKUP(Misfit[[#This Row],[Shortname]], Comp[], 26, FALSE)</f>
        <v>0</v>
      </c>
      <c r="AE131">
        <f>VLOOKUP(Misfit[[#This Row],[Shortname]], Comp[], 27, FALSE)</f>
        <v>0</v>
      </c>
      <c r="AF131">
        <f>VLOOKUP(Misfit[[#This Row],[Shortname]], Comp[], 28, FALSE)</f>
        <v>0</v>
      </c>
      <c r="AG131">
        <f>VLOOKUP(Misfit[[#This Row],[Shortname]], Comp[], 29, FALSE)</f>
        <v>0</v>
      </c>
      <c r="AH131">
        <f>VLOOKUP(Misfit[[#This Row],[Shortname]], Comp[], 30, FALSE)</f>
        <v>0</v>
      </c>
      <c r="AI131">
        <f>VLOOKUP(Misfit[[#This Row],[Shortname]], Comp[], 31, FALSE)</f>
        <v>0</v>
      </c>
    </row>
    <row r="132" spans="1:35" x14ac:dyDescent="0.3">
      <c r="A132" t="s">
        <v>2817</v>
      </c>
      <c r="B132" s="7" t="s">
        <v>2818</v>
      </c>
      <c r="C132" t="s">
        <v>6618</v>
      </c>
      <c r="D132">
        <v>900</v>
      </c>
      <c r="E132">
        <v>25</v>
      </c>
      <c r="F132">
        <v>0.3574</v>
      </c>
      <c r="G132">
        <v>0.35620000000000002</v>
      </c>
      <c r="H132" s="40">
        <v>3.3999999999999998E-3</v>
      </c>
      <c r="J132">
        <f>VLOOKUP(Misfit[[#This Row],[Shortname]], Comp[], 6, FALSE)</f>
        <v>381</v>
      </c>
      <c r="K132">
        <f>VLOOKUP(Misfit[[#This Row],[Shortname]], Comp[], 7, FALSE)</f>
        <v>46.3</v>
      </c>
      <c r="L132">
        <f>VLOOKUP(Misfit[[#This Row],[Shortname]], Comp[], 8, FALSE)</f>
        <v>30.1</v>
      </c>
      <c r="M132">
        <f>VLOOKUP(Misfit[[#This Row],[Shortname]], Comp[], 9, FALSE)</f>
        <v>9.8000000000000007</v>
      </c>
      <c r="N132">
        <f>VLOOKUP(Misfit[[#This Row],[Shortname]], Comp[], 10, FALSE)</f>
        <v>4.9000000000000004</v>
      </c>
      <c r="O132">
        <f>VLOOKUP(Misfit[[#This Row],[Shortname]], Comp[], 11, FALSE)</f>
        <v>0</v>
      </c>
      <c r="P132">
        <f>VLOOKUP(Misfit[[#This Row],[Shortname]], Comp[],12, FALSE)</f>
        <v>2</v>
      </c>
      <c r="Q132">
        <f>VLOOKUP(Misfit[[#This Row],[Shortname]], Comp[], 13, FALSE)</f>
        <v>2</v>
      </c>
      <c r="R132">
        <f>VLOOKUP(Misfit[[#This Row],[Shortname]], Comp[], 14, FALSE)</f>
        <v>0</v>
      </c>
      <c r="S132">
        <f>VLOOKUP(Misfit[[#This Row],[Shortname]], Comp[], 15, FALSE)</f>
        <v>0</v>
      </c>
      <c r="T132">
        <f>VLOOKUP(Misfit[[#This Row],[Shortname]], Comp[], 16, FALSE)</f>
        <v>4.9000000000000004</v>
      </c>
      <c r="U132">
        <f>VLOOKUP(Misfit[[#This Row],[Shortname]], Comp[], 17, FALSE)</f>
        <v>0</v>
      </c>
      <c r="V132">
        <f>VLOOKUP(Misfit[[#This Row],[Shortname]], Comp[], 18, FALSE)</f>
        <v>0</v>
      </c>
      <c r="W132">
        <f>VLOOKUP(Misfit[[#This Row],[Shortname]], Comp[], 19, FALSE)</f>
        <v>0</v>
      </c>
      <c r="X132">
        <f>VLOOKUP(Misfit[[#This Row],[Shortname]], Comp[], 20, FALSE)</f>
        <v>0</v>
      </c>
      <c r="Y132">
        <f>VLOOKUP(Misfit[[#This Row],[Shortname]], Comp[], 21, FALSE)</f>
        <v>0</v>
      </c>
      <c r="Z132">
        <f>VLOOKUP(Misfit[[#This Row],[Shortname]], Comp[], 22, FALSE)</f>
        <v>0</v>
      </c>
      <c r="AA132">
        <f>VLOOKUP(Misfit[[#This Row],[Shortname]], Comp[], 23, FALSE)</f>
        <v>0</v>
      </c>
      <c r="AB132">
        <f>VLOOKUP(Misfit[[#This Row],[Shortname]], Comp[], 24, FALSE)</f>
        <v>0</v>
      </c>
      <c r="AC132">
        <f>VLOOKUP(Misfit[[#This Row],[Shortname]], Comp[], 25, FALSE)</f>
        <v>0</v>
      </c>
      <c r="AD132">
        <f>VLOOKUP(Misfit[[#This Row],[Shortname]], Comp[], 26, FALSE)</f>
        <v>0</v>
      </c>
      <c r="AE132">
        <f>VLOOKUP(Misfit[[#This Row],[Shortname]], Comp[], 27, FALSE)</f>
        <v>0</v>
      </c>
      <c r="AF132">
        <f>VLOOKUP(Misfit[[#This Row],[Shortname]], Comp[], 28, FALSE)</f>
        <v>0</v>
      </c>
      <c r="AG132">
        <f>VLOOKUP(Misfit[[#This Row],[Shortname]], Comp[], 29, FALSE)</f>
        <v>0</v>
      </c>
      <c r="AH132">
        <f>VLOOKUP(Misfit[[#This Row],[Shortname]], Comp[], 30, FALSE)</f>
        <v>0</v>
      </c>
      <c r="AI132">
        <f>VLOOKUP(Misfit[[#This Row],[Shortname]], Comp[], 31, FALSE)</f>
        <v>0</v>
      </c>
    </row>
    <row r="133" spans="1:35" x14ac:dyDescent="0.3">
      <c r="A133" t="s">
        <v>2824</v>
      </c>
      <c r="B133" s="7" t="s">
        <v>2826</v>
      </c>
      <c r="C133" t="s">
        <v>6618</v>
      </c>
      <c r="D133">
        <v>900</v>
      </c>
      <c r="E133">
        <v>25</v>
      </c>
      <c r="F133">
        <v>0.35849999999999999</v>
      </c>
      <c r="G133">
        <v>0.35780000000000001</v>
      </c>
      <c r="H133" s="40">
        <v>1.9E-3</v>
      </c>
      <c r="J133">
        <f>VLOOKUP(Misfit[[#This Row],[Shortname]], Comp[], 6, FALSE)</f>
        <v>382</v>
      </c>
      <c r="K133">
        <f>VLOOKUP(Misfit[[#This Row],[Shortname]], Comp[], 7, FALSE)</f>
        <v>43.2</v>
      </c>
      <c r="L133">
        <f>VLOOKUP(Misfit[[#This Row],[Shortname]], Comp[], 8, FALSE)</f>
        <v>29.5</v>
      </c>
      <c r="M133">
        <f>VLOOKUP(Misfit[[#This Row],[Shortname]], Comp[], 9, FALSE)</f>
        <v>10.4</v>
      </c>
      <c r="N133">
        <f>VLOOKUP(Misfit[[#This Row],[Shortname]], Comp[], 10, FALSE)</f>
        <v>8</v>
      </c>
      <c r="O133">
        <f>VLOOKUP(Misfit[[#This Row],[Shortname]], Comp[], 11, FALSE)</f>
        <v>0</v>
      </c>
      <c r="P133">
        <f>VLOOKUP(Misfit[[#This Row],[Shortname]], Comp[],12, FALSE)</f>
        <v>2</v>
      </c>
      <c r="Q133">
        <f>VLOOKUP(Misfit[[#This Row],[Shortname]], Comp[], 13, FALSE)</f>
        <v>2</v>
      </c>
      <c r="R133">
        <f>VLOOKUP(Misfit[[#This Row],[Shortname]], Comp[], 14, FALSE)</f>
        <v>0</v>
      </c>
      <c r="S133">
        <f>VLOOKUP(Misfit[[#This Row],[Shortname]], Comp[], 15, FALSE)</f>
        <v>0</v>
      </c>
      <c r="T133">
        <f>VLOOKUP(Misfit[[#This Row],[Shortname]], Comp[], 16, FALSE)</f>
        <v>4.9000000000000004</v>
      </c>
      <c r="U133">
        <f>VLOOKUP(Misfit[[#This Row],[Shortname]], Comp[], 17, FALSE)</f>
        <v>0</v>
      </c>
      <c r="V133">
        <f>VLOOKUP(Misfit[[#This Row],[Shortname]], Comp[], 18, FALSE)</f>
        <v>0</v>
      </c>
      <c r="W133">
        <f>VLOOKUP(Misfit[[#This Row],[Shortname]], Comp[], 19, FALSE)</f>
        <v>0</v>
      </c>
      <c r="X133">
        <f>VLOOKUP(Misfit[[#This Row],[Shortname]], Comp[], 20, FALSE)</f>
        <v>0</v>
      </c>
      <c r="Y133">
        <f>VLOOKUP(Misfit[[#This Row],[Shortname]], Comp[], 21, FALSE)</f>
        <v>0</v>
      </c>
      <c r="Z133">
        <f>VLOOKUP(Misfit[[#This Row],[Shortname]], Comp[], 22, FALSE)</f>
        <v>0</v>
      </c>
      <c r="AA133">
        <f>VLOOKUP(Misfit[[#This Row],[Shortname]], Comp[], 23, FALSE)</f>
        <v>0</v>
      </c>
      <c r="AB133">
        <f>VLOOKUP(Misfit[[#This Row],[Shortname]], Comp[], 24, FALSE)</f>
        <v>0</v>
      </c>
      <c r="AC133">
        <f>VLOOKUP(Misfit[[#This Row],[Shortname]], Comp[], 25, FALSE)</f>
        <v>0</v>
      </c>
      <c r="AD133">
        <f>VLOOKUP(Misfit[[#This Row],[Shortname]], Comp[], 26, FALSE)</f>
        <v>0</v>
      </c>
      <c r="AE133">
        <f>VLOOKUP(Misfit[[#This Row],[Shortname]], Comp[], 27, FALSE)</f>
        <v>0</v>
      </c>
      <c r="AF133">
        <f>VLOOKUP(Misfit[[#This Row],[Shortname]], Comp[], 28, FALSE)</f>
        <v>0</v>
      </c>
      <c r="AG133">
        <f>VLOOKUP(Misfit[[#This Row],[Shortname]], Comp[], 29, FALSE)</f>
        <v>0</v>
      </c>
      <c r="AH133">
        <f>VLOOKUP(Misfit[[#This Row],[Shortname]], Comp[], 30, FALSE)</f>
        <v>0</v>
      </c>
      <c r="AI133">
        <f>VLOOKUP(Misfit[[#This Row],[Shortname]], Comp[], 31, FALSE)</f>
        <v>0</v>
      </c>
    </row>
    <row r="134" spans="1:35" x14ac:dyDescent="0.3">
      <c r="A134" t="s">
        <v>2839</v>
      </c>
      <c r="B134" s="7" t="s">
        <v>2841</v>
      </c>
      <c r="C134" t="s">
        <v>6619</v>
      </c>
      <c r="D134">
        <v>900</v>
      </c>
      <c r="E134">
        <v>25</v>
      </c>
      <c r="F134">
        <v>0.3594</v>
      </c>
      <c r="G134">
        <v>0.35870000000000002</v>
      </c>
      <c r="H134" s="40">
        <f t="shared" ref="H134:H140" si="5">2*(F134-G134)/(F134+G134)</f>
        <v>1.9495891937055521E-3</v>
      </c>
      <c r="J134">
        <f>VLOOKUP(Misfit[[#This Row],[Shortname]], Comp[], 6, FALSE)</f>
        <v>384</v>
      </c>
      <c r="K134">
        <f>VLOOKUP(Misfit[[#This Row],[Shortname]], Comp[], 7, FALSE)</f>
        <v>50.400000000000006</v>
      </c>
      <c r="L134">
        <f>VLOOKUP(Misfit[[#This Row],[Shortname]], Comp[], 8, FALSE)</f>
        <v>30.4</v>
      </c>
      <c r="M134">
        <f>VLOOKUP(Misfit[[#This Row],[Shortname]], Comp[], 9, FALSE)</f>
        <v>9.5</v>
      </c>
      <c r="N134">
        <f>VLOOKUP(Misfit[[#This Row],[Shortname]], Comp[], 10, FALSE)</f>
        <v>0</v>
      </c>
      <c r="O134">
        <f>VLOOKUP(Misfit[[#This Row],[Shortname]], Comp[], 11, FALSE)</f>
        <v>0</v>
      </c>
      <c r="P134">
        <f>VLOOKUP(Misfit[[#This Row],[Shortname]], Comp[],12, FALSE)</f>
        <v>0</v>
      </c>
      <c r="Q134">
        <f>VLOOKUP(Misfit[[#This Row],[Shortname]], Comp[], 13, FALSE)</f>
        <v>0</v>
      </c>
      <c r="R134">
        <f>VLOOKUP(Misfit[[#This Row],[Shortname]], Comp[], 14, FALSE)</f>
        <v>2.4</v>
      </c>
      <c r="S134">
        <f>VLOOKUP(Misfit[[#This Row],[Shortname]], Comp[], 15, FALSE)</f>
        <v>0</v>
      </c>
      <c r="T134">
        <f>VLOOKUP(Misfit[[#This Row],[Shortname]], Comp[], 16, FALSE)</f>
        <v>5.3</v>
      </c>
      <c r="U134">
        <f>VLOOKUP(Misfit[[#This Row],[Shortname]], Comp[], 17, FALSE)</f>
        <v>0</v>
      </c>
      <c r="V134">
        <f>VLOOKUP(Misfit[[#This Row],[Shortname]], Comp[], 18, FALSE)</f>
        <v>0</v>
      </c>
      <c r="W134">
        <f>VLOOKUP(Misfit[[#This Row],[Shortname]], Comp[], 19, FALSE)</f>
        <v>0</v>
      </c>
      <c r="X134">
        <f>VLOOKUP(Misfit[[#This Row],[Shortname]], Comp[], 20, FALSE)</f>
        <v>0</v>
      </c>
      <c r="Y134">
        <f>VLOOKUP(Misfit[[#This Row],[Shortname]], Comp[], 21, FALSE)</f>
        <v>2</v>
      </c>
      <c r="Z134">
        <f>VLOOKUP(Misfit[[#This Row],[Shortname]], Comp[], 22, FALSE)</f>
        <v>0</v>
      </c>
      <c r="AA134">
        <f>VLOOKUP(Misfit[[#This Row],[Shortname]], Comp[], 23, FALSE)</f>
        <v>0</v>
      </c>
      <c r="AB134">
        <f>VLOOKUP(Misfit[[#This Row],[Shortname]], Comp[], 24, FALSE)</f>
        <v>0</v>
      </c>
      <c r="AC134">
        <f>VLOOKUP(Misfit[[#This Row],[Shortname]], Comp[], 25, FALSE)</f>
        <v>0</v>
      </c>
      <c r="AD134">
        <f>VLOOKUP(Misfit[[#This Row],[Shortname]], Comp[], 26, FALSE)</f>
        <v>0</v>
      </c>
      <c r="AE134">
        <f>VLOOKUP(Misfit[[#This Row],[Shortname]], Comp[], 27, FALSE)</f>
        <v>0</v>
      </c>
      <c r="AF134">
        <f>VLOOKUP(Misfit[[#This Row],[Shortname]], Comp[], 28, FALSE)</f>
        <v>0</v>
      </c>
      <c r="AG134">
        <f>VLOOKUP(Misfit[[#This Row],[Shortname]], Comp[], 29, FALSE)</f>
        <v>0</v>
      </c>
      <c r="AH134">
        <f>VLOOKUP(Misfit[[#This Row],[Shortname]], Comp[], 30, FALSE)</f>
        <v>0</v>
      </c>
      <c r="AI134">
        <f>VLOOKUP(Misfit[[#This Row],[Shortname]], Comp[], 31, FALSE)</f>
        <v>0</v>
      </c>
    </row>
    <row r="135" spans="1:35" x14ac:dyDescent="0.3">
      <c r="A135" t="s">
        <v>2848</v>
      </c>
      <c r="B135" s="7" t="s">
        <v>2850</v>
      </c>
      <c r="C135" s="3" t="s">
        <v>2851</v>
      </c>
      <c r="D135" s="3">
        <v>900</v>
      </c>
      <c r="E135">
        <v>25</v>
      </c>
      <c r="F135">
        <v>0.36030000000000001</v>
      </c>
      <c r="G135">
        <v>0.35949999999999999</v>
      </c>
      <c r="H135" s="40">
        <f t="shared" si="5"/>
        <v>2.2228396776883103E-3</v>
      </c>
      <c r="J135">
        <f>VLOOKUP(Misfit[[#This Row],[Shortname]], Comp[], 6, FALSE)</f>
        <v>385</v>
      </c>
      <c r="K135">
        <f>VLOOKUP(Misfit[[#This Row],[Shortname]], Comp[], 7, FALSE)</f>
        <v>37.900000000000013</v>
      </c>
      <c r="L135">
        <f>VLOOKUP(Misfit[[#This Row],[Shortname]], Comp[], 8, FALSE)</f>
        <v>35.4</v>
      </c>
      <c r="M135">
        <f>VLOOKUP(Misfit[[#This Row],[Shortname]], Comp[], 9, FALSE)</f>
        <v>9.6999999999999993</v>
      </c>
      <c r="N135">
        <f>VLOOKUP(Misfit[[#This Row],[Shortname]], Comp[], 10, FALSE)</f>
        <v>6</v>
      </c>
      <c r="O135">
        <f>VLOOKUP(Misfit[[#This Row],[Shortname]], Comp[], 11, FALSE)</f>
        <v>0</v>
      </c>
      <c r="P135">
        <f>VLOOKUP(Misfit[[#This Row],[Shortname]], Comp[],12, FALSE)</f>
        <v>3.4</v>
      </c>
      <c r="Q135">
        <f>VLOOKUP(Misfit[[#This Row],[Shortname]], Comp[], 13, FALSE)</f>
        <v>2.8</v>
      </c>
      <c r="R135">
        <f>VLOOKUP(Misfit[[#This Row],[Shortname]], Comp[], 14, FALSE)</f>
        <v>0</v>
      </c>
      <c r="S135">
        <f>VLOOKUP(Misfit[[#This Row],[Shortname]], Comp[], 15, FALSE)</f>
        <v>0</v>
      </c>
      <c r="T135">
        <f>VLOOKUP(Misfit[[#This Row],[Shortname]], Comp[], 16, FALSE)</f>
        <v>4.8</v>
      </c>
      <c r="U135">
        <f>VLOOKUP(Misfit[[#This Row],[Shortname]], Comp[], 17, FALSE)</f>
        <v>0</v>
      </c>
      <c r="V135">
        <f>VLOOKUP(Misfit[[#This Row],[Shortname]], Comp[], 18, FALSE)</f>
        <v>0</v>
      </c>
      <c r="W135">
        <f>VLOOKUP(Misfit[[#This Row],[Shortname]], Comp[], 19, FALSE)</f>
        <v>0</v>
      </c>
      <c r="X135">
        <f>VLOOKUP(Misfit[[#This Row],[Shortname]], Comp[], 20, FALSE)</f>
        <v>0</v>
      </c>
      <c r="Y135">
        <f>VLOOKUP(Misfit[[#This Row],[Shortname]], Comp[], 21, FALSE)</f>
        <v>0</v>
      </c>
      <c r="Z135">
        <f>VLOOKUP(Misfit[[#This Row],[Shortname]], Comp[], 22, FALSE)</f>
        <v>0</v>
      </c>
      <c r="AA135">
        <f>VLOOKUP(Misfit[[#This Row],[Shortname]], Comp[], 23, FALSE)</f>
        <v>0</v>
      </c>
      <c r="AB135">
        <f>VLOOKUP(Misfit[[#This Row],[Shortname]], Comp[], 24, FALSE)</f>
        <v>0</v>
      </c>
      <c r="AC135">
        <f>VLOOKUP(Misfit[[#This Row],[Shortname]], Comp[], 25, FALSE)</f>
        <v>0</v>
      </c>
      <c r="AD135">
        <f>VLOOKUP(Misfit[[#This Row],[Shortname]], Comp[], 26, FALSE)</f>
        <v>0</v>
      </c>
      <c r="AE135">
        <f>VLOOKUP(Misfit[[#This Row],[Shortname]], Comp[], 27, FALSE)</f>
        <v>0</v>
      </c>
      <c r="AF135">
        <f>VLOOKUP(Misfit[[#This Row],[Shortname]], Comp[], 28, FALSE)</f>
        <v>0</v>
      </c>
      <c r="AG135">
        <f>VLOOKUP(Misfit[[#This Row],[Shortname]], Comp[], 29, FALSE)</f>
        <v>0</v>
      </c>
      <c r="AH135">
        <f>VLOOKUP(Misfit[[#This Row],[Shortname]], Comp[], 30, FALSE)</f>
        <v>0</v>
      </c>
      <c r="AI135">
        <f>VLOOKUP(Misfit[[#This Row],[Shortname]], Comp[], 31, FALSE)</f>
        <v>0</v>
      </c>
    </row>
    <row r="136" spans="1:35" x14ac:dyDescent="0.3">
      <c r="A136" t="s">
        <v>2951</v>
      </c>
      <c r="B136" s="7" t="s">
        <v>2953</v>
      </c>
      <c r="C136" s="3" t="s">
        <v>2932</v>
      </c>
      <c r="D136" s="3">
        <v>900</v>
      </c>
      <c r="E136">
        <v>25</v>
      </c>
      <c r="F136">
        <v>0.35899999999999999</v>
      </c>
      <c r="G136">
        <v>0.35770000000000002</v>
      </c>
      <c r="H136" s="40">
        <f t="shared" si="5"/>
        <v>3.6277382447327134E-3</v>
      </c>
      <c r="J136">
        <f>VLOOKUP(Misfit[[#This Row],[Shortname]], Comp[], 6, FALSE)</f>
        <v>404</v>
      </c>
      <c r="K136">
        <f>VLOOKUP(Misfit[[#This Row],[Shortname]], Comp[], 7, FALSE)</f>
        <v>64</v>
      </c>
      <c r="L136">
        <f>VLOOKUP(Misfit[[#This Row],[Shortname]], Comp[], 8, FALSE)</f>
        <v>18</v>
      </c>
      <c r="M136">
        <f>VLOOKUP(Misfit[[#This Row],[Shortname]], Comp[], 9, FALSE)</f>
        <v>9</v>
      </c>
      <c r="N136">
        <f>VLOOKUP(Misfit[[#This Row],[Shortname]], Comp[], 10, FALSE)</f>
        <v>0</v>
      </c>
      <c r="O136">
        <f>VLOOKUP(Misfit[[#This Row],[Shortname]], Comp[], 11, FALSE)</f>
        <v>9</v>
      </c>
      <c r="P136">
        <f>VLOOKUP(Misfit[[#This Row],[Shortname]], Comp[],12, FALSE)</f>
        <v>0</v>
      </c>
      <c r="Q136">
        <f>VLOOKUP(Misfit[[#This Row],[Shortname]], Comp[], 13, FALSE)</f>
        <v>0</v>
      </c>
      <c r="R136">
        <f>VLOOKUP(Misfit[[#This Row],[Shortname]], Comp[], 14, FALSE)</f>
        <v>0</v>
      </c>
      <c r="S136">
        <f>VLOOKUP(Misfit[[#This Row],[Shortname]], Comp[], 15, FALSE)</f>
        <v>0</v>
      </c>
      <c r="T136">
        <f>VLOOKUP(Misfit[[#This Row],[Shortname]], Comp[], 16, FALSE)</f>
        <v>0</v>
      </c>
      <c r="U136">
        <f>VLOOKUP(Misfit[[#This Row],[Shortname]], Comp[], 17, FALSE)</f>
        <v>0</v>
      </c>
      <c r="V136">
        <f>VLOOKUP(Misfit[[#This Row],[Shortname]], Comp[], 18, FALSE)</f>
        <v>0</v>
      </c>
      <c r="W136">
        <f>VLOOKUP(Misfit[[#This Row],[Shortname]], Comp[], 19, FALSE)</f>
        <v>0</v>
      </c>
      <c r="X136">
        <f>VLOOKUP(Misfit[[#This Row],[Shortname]], Comp[], 20, FALSE)</f>
        <v>0</v>
      </c>
      <c r="Y136">
        <f>VLOOKUP(Misfit[[#This Row],[Shortname]], Comp[], 21, FALSE)</f>
        <v>0</v>
      </c>
      <c r="Z136">
        <f>VLOOKUP(Misfit[[#This Row],[Shortname]], Comp[], 22, FALSE)</f>
        <v>0</v>
      </c>
      <c r="AA136">
        <f>VLOOKUP(Misfit[[#This Row],[Shortname]], Comp[], 23, FALSE)</f>
        <v>0</v>
      </c>
      <c r="AB136">
        <f>VLOOKUP(Misfit[[#This Row],[Shortname]], Comp[], 24, FALSE)</f>
        <v>0</v>
      </c>
      <c r="AC136">
        <f>VLOOKUP(Misfit[[#This Row],[Shortname]], Comp[], 25, FALSE)</f>
        <v>0</v>
      </c>
      <c r="AD136">
        <f>VLOOKUP(Misfit[[#This Row],[Shortname]], Comp[], 26, FALSE)</f>
        <v>0</v>
      </c>
      <c r="AE136">
        <f>VLOOKUP(Misfit[[#This Row],[Shortname]], Comp[], 27, FALSE)</f>
        <v>0</v>
      </c>
      <c r="AF136">
        <f>VLOOKUP(Misfit[[#This Row],[Shortname]], Comp[], 28, FALSE)</f>
        <v>0</v>
      </c>
      <c r="AG136">
        <f>VLOOKUP(Misfit[[#This Row],[Shortname]], Comp[], 29, FALSE)</f>
        <v>0</v>
      </c>
      <c r="AH136">
        <f>VLOOKUP(Misfit[[#This Row],[Shortname]], Comp[], 30, FALSE)</f>
        <v>0</v>
      </c>
      <c r="AI136">
        <f>VLOOKUP(Misfit[[#This Row],[Shortname]], Comp[], 31, FALSE)</f>
        <v>0</v>
      </c>
    </row>
    <row r="137" spans="1:35" x14ac:dyDescent="0.3">
      <c r="A137" t="s">
        <v>2963</v>
      </c>
      <c r="B137" s="7" t="s">
        <v>2964</v>
      </c>
      <c r="C137" s="3" t="s">
        <v>2932</v>
      </c>
      <c r="D137" s="3">
        <v>900</v>
      </c>
      <c r="E137">
        <v>25</v>
      </c>
      <c r="F137">
        <v>0.35870000000000002</v>
      </c>
      <c r="G137">
        <v>0.35830000000000001</v>
      </c>
      <c r="H137" s="40">
        <f t="shared" si="5"/>
        <v>1.115760111576043E-3</v>
      </c>
      <c r="J137">
        <f>VLOOKUP(Misfit[[#This Row],[Shortname]], Comp[], 6, FALSE)</f>
        <v>406</v>
      </c>
      <c r="K137">
        <f>VLOOKUP(Misfit[[#This Row],[Shortname]], Comp[], 7, FALSE)</f>
        <v>56</v>
      </c>
      <c r="L137">
        <f>VLOOKUP(Misfit[[#This Row],[Shortname]], Comp[], 8, FALSE)</f>
        <v>18</v>
      </c>
      <c r="M137">
        <f>VLOOKUP(Misfit[[#This Row],[Shortname]], Comp[], 9, FALSE)</f>
        <v>9</v>
      </c>
      <c r="N137">
        <f>VLOOKUP(Misfit[[#This Row],[Shortname]], Comp[], 10, FALSE)</f>
        <v>8</v>
      </c>
      <c r="O137">
        <f>VLOOKUP(Misfit[[#This Row],[Shortname]], Comp[], 11, FALSE)</f>
        <v>9</v>
      </c>
      <c r="P137">
        <f>VLOOKUP(Misfit[[#This Row],[Shortname]], Comp[],12, FALSE)</f>
        <v>0</v>
      </c>
      <c r="Q137">
        <f>VLOOKUP(Misfit[[#This Row],[Shortname]], Comp[], 13, FALSE)</f>
        <v>0</v>
      </c>
      <c r="R137">
        <f>VLOOKUP(Misfit[[#This Row],[Shortname]], Comp[], 14, FALSE)</f>
        <v>0</v>
      </c>
      <c r="S137">
        <f>VLOOKUP(Misfit[[#This Row],[Shortname]], Comp[], 15, FALSE)</f>
        <v>0</v>
      </c>
      <c r="T137">
        <f>VLOOKUP(Misfit[[#This Row],[Shortname]], Comp[], 16, FALSE)</f>
        <v>0</v>
      </c>
      <c r="U137">
        <f>VLOOKUP(Misfit[[#This Row],[Shortname]], Comp[], 17, FALSE)</f>
        <v>0</v>
      </c>
      <c r="V137">
        <f>VLOOKUP(Misfit[[#This Row],[Shortname]], Comp[], 18, FALSE)</f>
        <v>0</v>
      </c>
      <c r="W137">
        <f>VLOOKUP(Misfit[[#This Row],[Shortname]], Comp[], 19, FALSE)</f>
        <v>0</v>
      </c>
      <c r="X137">
        <f>VLOOKUP(Misfit[[#This Row],[Shortname]], Comp[], 20, FALSE)</f>
        <v>0</v>
      </c>
      <c r="Y137">
        <f>VLOOKUP(Misfit[[#This Row],[Shortname]], Comp[], 21, FALSE)</f>
        <v>0</v>
      </c>
      <c r="Z137">
        <f>VLOOKUP(Misfit[[#This Row],[Shortname]], Comp[], 22, FALSE)</f>
        <v>0</v>
      </c>
      <c r="AA137">
        <f>VLOOKUP(Misfit[[#This Row],[Shortname]], Comp[], 23, FALSE)</f>
        <v>0</v>
      </c>
      <c r="AB137">
        <f>VLOOKUP(Misfit[[#This Row],[Shortname]], Comp[], 24, FALSE)</f>
        <v>0</v>
      </c>
      <c r="AC137">
        <f>VLOOKUP(Misfit[[#This Row],[Shortname]], Comp[], 25, FALSE)</f>
        <v>0</v>
      </c>
      <c r="AD137">
        <f>VLOOKUP(Misfit[[#This Row],[Shortname]], Comp[], 26, FALSE)</f>
        <v>0</v>
      </c>
      <c r="AE137">
        <f>VLOOKUP(Misfit[[#This Row],[Shortname]], Comp[], 27, FALSE)</f>
        <v>0</v>
      </c>
      <c r="AF137">
        <f>VLOOKUP(Misfit[[#This Row],[Shortname]], Comp[], 28, FALSE)</f>
        <v>0</v>
      </c>
      <c r="AG137">
        <f>VLOOKUP(Misfit[[#This Row],[Shortname]], Comp[], 29, FALSE)</f>
        <v>0</v>
      </c>
      <c r="AH137">
        <f>VLOOKUP(Misfit[[#This Row],[Shortname]], Comp[], 30, FALSE)</f>
        <v>0</v>
      </c>
      <c r="AI137">
        <f>VLOOKUP(Misfit[[#This Row],[Shortname]], Comp[], 31, FALSE)</f>
        <v>0</v>
      </c>
    </row>
    <row r="138" spans="1:35" x14ac:dyDescent="0.3">
      <c r="A138" t="s">
        <v>2939</v>
      </c>
      <c r="B138" s="7" t="s">
        <v>2941</v>
      </c>
      <c r="C138" s="3" t="s">
        <v>2932</v>
      </c>
      <c r="D138" s="3">
        <v>900</v>
      </c>
      <c r="E138">
        <v>25</v>
      </c>
      <c r="F138">
        <v>0.35870000000000002</v>
      </c>
      <c r="G138">
        <v>0.35780000000000001</v>
      </c>
      <c r="H138" s="40">
        <f t="shared" si="5"/>
        <v>2.5122121423587214E-3</v>
      </c>
      <c r="J138">
        <f>VLOOKUP(Misfit[[#This Row],[Shortname]], Comp[], 6, FALSE)</f>
        <v>402</v>
      </c>
      <c r="K138">
        <f>VLOOKUP(Misfit[[#This Row],[Shortname]], Comp[], 7, FALSE)</f>
        <v>74</v>
      </c>
      <c r="L138">
        <f>VLOOKUP(Misfit[[#This Row],[Shortname]], Comp[], 8, FALSE)</f>
        <v>0</v>
      </c>
      <c r="M138">
        <f>VLOOKUP(Misfit[[#This Row],[Shortname]], Comp[], 9, FALSE)</f>
        <v>9</v>
      </c>
      <c r="N138">
        <f>VLOOKUP(Misfit[[#This Row],[Shortname]], Comp[], 10, FALSE)</f>
        <v>8</v>
      </c>
      <c r="O138">
        <f>VLOOKUP(Misfit[[#This Row],[Shortname]], Comp[], 11, FALSE)</f>
        <v>9</v>
      </c>
      <c r="P138">
        <f>VLOOKUP(Misfit[[#This Row],[Shortname]], Comp[],12, FALSE)</f>
        <v>0</v>
      </c>
      <c r="Q138">
        <f>VLOOKUP(Misfit[[#This Row],[Shortname]], Comp[], 13, FALSE)</f>
        <v>0</v>
      </c>
      <c r="R138">
        <f>VLOOKUP(Misfit[[#This Row],[Shortname]], Comp[], 14, FALSE)</f>
        <v>0</v>
      </c>
      <c r="S138">
        <f>VLOOKUP(Misfit[[#This Row],[Shortname]], Comp[], 15, FALSE)</f>
        <v>0</v>
      </c>
      <c r="T138">
        <f>VLOOKUP(Misfit[[#This Row],[Shortname]], Comp[], 16, FALSE)</f>
        <v>0</v>
      </c>
      <c r="U138">
        <f>VLOOKUP(Misfit[[#This Row],[Shortname]], Comp[], 17, FALSE)</f>
        <v>0</v>
      </c>
      <c r="V138">
        <f>VLOOKUP(Misfit[[#This Row],[Shortname]], Comp[], 18, FALSE)</f>
        <v>0</v>
      </c>
      <c r="W138">
        <f>VLOOKUP(Misfit[[#This Row],[Shortname]], Comp[], 19, FALSE)</f>
        <v>0</v>
      </c>
      <c r="X138">
        <f>VLOOKUP(Misfit[[#This Row],[Shortname]], Comp[], 20, FALSE)</f>
        <v>0</v>
      </c>
      <c r="Y138">
        <f>VLOOKUP(Misfit[[#This Row],[Shortname]], Comp[], 21, FALSE)</f>
        <v>0</v>
      </c>
      <c r="Z138">
        <f>VLOOKUP(Misfit[[#This Row],[Shortname]], Comp[], 22, FALSE)</f>
        <v>0</v>
      </c>
      <c r="AA138">
        <f>VLOOKUP(Misfit[[#This Row],[Shortname]], Comp[], 23, FALSE)</f>
        <v>0</v>
      </c>
      <c r="AB138">
        <f>VLOOKUP(Misfit[[#This Row],[Shortname]], Comp[], 24, FALSE)</f>
        <v>0</v>
      </c>
      <c r="AC138">
        <f>VLOOKUP(Misfit[[#This Row],[Shortname]], Comp[], 25, FALSE)</f>
        <v>0</v>
      </c>
      <c r="AD138">
        <f>VLOOKUP(Misfit[[#This Row],[Shortname]], Comp[], 26, FALSE)</f>
        <v>0</v>
      </c>
      <c r="AE138">
        <f>VLOOKUP(Misfit[[#This Row],[Shortname]], Comp[], 27, FALSE)</f>
        <v>0</v>
      </c>
      <c r="AF138">
        <f>VLOOKUP(Misfit[[#This Row],[Shortname]], Comp[], 28, FALSE)</f>
        <v>0</v>
      </c>
      <c r="AG138">
        <f>VLOOKUP(Misfit[[#This Row],[Shortname]], Comp[], 29, FALSE)</f>
        <v>0</v>
      </c>
      <c r="AH138">
        <f>VLOOKUP(Misfit[[#This Row],[Shortname]], Comp[], 30, FALSE)</f>
        <v>0</v>
      </c>
      <c r="AI138">
        <f>VLOOKUP(Misfit[[#This Row],[Shortname]], Comp[], 31, FALSE)</f>
        <v>0</v>
      </c>
    </row>
    <row r="139" spans="1:35" x14ac:dyDescent="0.3">
      <c r="A139" t="s">
        <v>2945</v>
      </c>
      <c r="B139" s="7" t="s">
        <v>2947</v>
      </c>
      <c r="C139" s="3" t="s">
        <v>2932</v>
      </c>
      <c r="D139" s="3">
        <v>900</v>
      </c>
      <c r="E139">
        <v>25</v>
      </c>
      <c r="F139">
        <v>0.35909999999999997</v>
      </c>
      <c r="G139">
        <v>0.35770000000000002</v>
      </c>
      <c r="H139" s="40">
        <f t="shared" si="5"/>
        <v>3.9062499999998794E-3</v>
      </c>
      <c r="J139">
        <f>VLOOKUP(Misfit[[#This Row],[Shortname]], Comp[], 6, FALSE)</f>
        <v>403</v>
      </c>
      <c r="K139">
        <f>VLOOKUP(Misfit[[#This Row],[Shortname]], Comp[], 7, FALSE)</f>
        <v>73</v>
      </c>
      <c r="L139">
        <f>VLOOKUP(Misfit[[#This Row],[Shortname]], Comp[], 8, FALSE)</f>
        <v>9</v>
      </c>
      <c r="M139">
        <f>VLOOKUP(Misfit[[#This Row],[Shortname]], Comp[], 9, FALSE)</f>
        <v>9</v>
      </c>
      <c r="N139">
        <f>VLOOKUP(Misfit[[#This Row],[Shortname]], Comp[], 10, FALSE)</f>
        <v>0</v>
      </c>
      <c r="O139">
        <f>VLOOKUP(Misfit[[#This Row],[Shortname]], Comp[], 11, FALSE)</f>
        <v>9</v>
      </c>
      <c r="P139">
        <f>VLOOKUP(Misfit[[#This Row],[Shortname]], Comp[],12, FALSE)</f>
        <v>0</v>
      </c>
      <c r="Q139">
        <f>VLOOKUP(Misfit[[#This Row],[Shortname]], Comp[], 13, FALSE)</f>
        <v>0</v>
      </c>
      <c r="R139">
        <f>VLOOKUP(Misfit[[#This Row],[Shortname]], Comp[], 14, FALSE)</f>
        <v>0</v>
      </c>
      <c r="S139">
        <f>VLOOKUP(Misfit[[#This Row],[Shortname]], Comp[], 15, FALSE)</f>
        <v>0</v>
      </c>
      <c r="T139">
        <f>VLOOKUP(Misfit[[#This Row],[Shortname]], Comp[], 16, FALSE)</f>
        <v>0</v>
      </c>
      <c r="U139">
        <f>VLOOKUP(Misfit[[#This Row],[Shortname]], Comp[], 17, FALSE)</f>
        <v>0</v>
      </c>
      <c r="V139">
        <f>VLOOKUP(Misfit[[#This Row],[Shortname]], Comp[], 18, FALSE)</f>
        <v>0</v>
      </c>
      <c r="W139">
        <f>VLOOKUP(Misfit[[#This Row],[Shortname]], Comp[], 19, FALSE)</f>
        <v>0</v>
      </c>
      <c r="X139">
        <f>VLOOKUP(Misfit[[#This Row],[Shortname]], Comp[], 20, FALSE)</f>
        <v>0</v>
      </c>
      <c r="Y139">
        <f>VLOOKUP(Misfit[[#This Row],[Shortname]], Comp[], 21, FALSE)</f>
        <v>0</v>
      </c>
      <c r="Z139">
        <f>VLOOKUP(Misfit[[#This Row],[Shortname]], Comp[], 22, FALSE)</f>
        <v>0</v>
      </c>
      <c r="AA139">
        <f>VLOOKUP(Misfit[[#This Row],[Shortname]], Comp[], 23, FALSE)</f>
        <v>0</v>
      </c>
      <c r="AB139">
        <f>VLOOKUP(Misfit[[#This Row],[Shortname]], Comp[], 24, FALSE)</f>
        <v>0</v>
      </c>
      <c r="AC139">
        <f>VLOOKUP(Misfit[[#This Row],[Shortname]], Comp[], 25, FALSE)</f>
        <v>0</v>
      </c>
      <c r="AD139">
        <f>VLOOKUP(Misfit[[#This Row],[Shortname]], Comp[], 26, FALSE)</f>
        <v>0</v>
      </c>
      <c r="AE139">
        <f>VLOOKUP(Misfit[[#This Row],[Shortname]], Comp[], 27, FALSE)</f>
        <v>0</v>
      </c>
      <c r="AF139">
        <f>VLOOKUP(Misfit[[#This Row],[Shortname]], Comp[], 28, FALSE)</f>
        <v>0</v>
      </c>
      <c r="AG139">
        <f>VLOOKUP(Misfit[[#This Row],[Shortname]], Comp[], 29, FALSE)</f>
        <v>0</v>
      </c>
      <c r="AH139">
        <f>VLOOKUP(Misfit[[#This Row],[Shortname]], Comp[], 30, FALSE)</f>
        <v>0</v>
      </c>
      <c r="AI139">
        <f>VLOOKUP(Misfit[[#This Row],[Shortname]], Comp[], 31, FALSE)</f>
        <v>0</v>
      </c>
    </row>
    <row r="140" spans="1:35" x14ac:dyDescent="0.3">
      <c r="A140" t="s">
        <v>2957</v>
      </c>
      <c r="B140" s="7" t="s">
        <v>2959</v>
      </c>
      <c r="C140" s="3" t="s">
        <v>2932</v>
      </c>
      <c r="D140" s="3">
        <v>900</v>
      </c>
      <c r="E140">
        <v>25</v>
      </c>
      <c r="F140">
        <v>0.35870000000000002</v>
      </c>
      <c r="G140">
        <v>0.35809999999999997</v>
      </c>
      <c r="H140" s="40">
        <f t="shared" si="5"/>
        <v>1.6741071428572683E-3</v>
      </c>
      <c r="J140">
        <f>VLOOKUP(Misfit[[#This Row],[Shortname]], Comp[], 6, FALSE)</f>
        <v>405</v>
      </c>
      <c r="K140">
        <f>VLOOKUP(Misfit[[#This Row],[Shortname]], Comp[], 7, FALSE)</f>
        <v>65</v>
      </c>
      <c r="L140">
        <f>VLOOKUP(Misfit[[#This Row],[Shortname]], Comp[], 8, FALSE)</f>
        <v>9</v>
      </c>
      <c r="M140">
        <f>VLOOKUP(Misfit[[#This Row],[Shortname]], Comp[], 9, FALSE)</f>
        <v>9</v>
      </c>
      <c r="N140">
        <f>VLOOKUP(Misfit[[#This Row],[Shortname]], Comp[], 10, FALSE)</f>
        <v>8</v>
      </c>
      <c r="O140">
        <f>VLOOKUP(Misfit[[#This Row],[Shortname]], Comp[], 11, FALSE)</f>
        <v>9</v>
      </c>
      <c r="P140">
        <f>VLOOKUP(Misfit[[#This Row],[Shortname]], Comp[],12, FALSE)</f>
        <v>0</v>
      </c>
      <c r="Q140">
        <f>VLOOKUP(Misfit[[#This Row],[Shortname]], Comp[], 13, FALSE)</f>
        <v>0</v>
      </c>
      <c r="R140">
        <f>VLOOKUP(Misfit[[#This Row],[Shortname]], Comp[], 14, FALSE)</f>
        <v>0</v>
      </c>
      <c r="S140">
        <f>VLOOKUP(Misfit[[#This Row],[Shortname]], Comp[], 15, FALSE)</f>
        <v>0</v>
      </c>
      <c r="T140">
        <f>VLOOKUP(Misfit[[#This Row],[Shortname]], Comp[], 16, FALSE)</f>
        <v>0</v>
      </c>
      <c r="U140">
        <f>VLOOKUP(Misfit[[#This Row],[Shortname]], Comp[], 17, FALSE)</f>
        <v>0</v>
      </c>
      <c r="V140">
        <f>VLOOKUP(Misfit[[#This Row],[Shortname]], Comp[], 18, FALSE)</f>
        <v>0</v>
      </c>
      <c r="W140">
        <f>VLOOKUP(Misfit[[#This Row],[Shortname]], Comp[], 19, FALSE)</f>
        <v>0</v>
      </c>
      <c r="X140">
        <f>VLOOKUP(Misfit[[#This Row],[Shortname]], Comp[], 20, FALSE)</f>
        <v>0</v>
      </c>
      <c r="Y140">
        <f>VLOOKUP(Misfit[[#This Row],[Shortname]], Comp[], 21, FALSE)</f>
        <v>0</v>
      </c>
      <c r="Z140">
        <f>VLOOKUP(Misfit[[#This Row],[Shortname]], Comp[], 22, FALSE)</f>
        <v>0</v>
      </c>
      <c r="AA140">
        <f>VLOOKUP(Misfit[[#This Row],[Shortname]], Comp[], 23, FALSE)</f>
        <v>0</v>
      </c>
      <c r="AB140">
        <f>VLOOKUP(Misfit[[#This Row],[Shortname]], Comp[], 24, FALSE)</f>
        <v>0</v>
      </c>
      <c r="AC140">
        <f>VLOOKUP(Misfit[[#This Row],[Shortname]], Comp[], 25, FALSE)</f>
        <v>0</v>
      </c>
      <c r="AD140">
        <f>VLOOKUP(Misfit[[#This Row],[Shortname]], Comp[], 26, FALSE)</f>
        <v>0</v>
      </c>
      <c r="AE140">
        <f>VLOOKUP(Misfit[[#This Row],[Shortname]], Comp[], 27, FALSE)</f>
        <v>0</v>
      </c>
      <c r="AF140">
        <f>VLOOKUP(Misfit[[#This Row],[Shortname]], Comp[], 28, FALSE)</f>
        <v>0</v>
      </c>
      <c r="AG140">
        <f>VLOOKUP(Misfit[[#This Row],[Shortname]], Comp[], 29, FALSE)</f>
        <v>0</v>
      </c>
      <c r="AH140">
        <f>VLOOKUP(Misfit[[#This Row],[Shortname]], Comp[], 30, FALSE)</f>
        <v>0</v>
      </c>
      <c r="AI140">
        <f>VLOOKUP(Misfit[[#This Row],[Shortname]], Comp[], 31, FALSE)</f>
        <v>0</v>
      </c>
    </row>
    <row r="141" spans="1:35" x14ac:dyDescent="0.3">
      <c r="A141" t="s">
        <v>641</v>
      </c>
      <c r="B141" s="7" t="s">
        <v>97</v>
      </c>
      <c r="C141" s="3" t="s">
        <v>2932</v>
      </c>
      <c r="D141" s="3">
        <v>900</v>
      </c>
      <c r="E141">
        <v>25</v>
      </c>
      <c r="F141">
        <v>0.35930000000000001</v>
      </c>
      <c r="G141">
        <v>0.35780000000000001</v>
      </c>
      <c r="H141" s="40">
        <v>4.3E-3</v>
      </c>
      <c r="J141">
        <f>VLOOKUP(Misfit[[#This Row],[Shortname]], Comp[], 6, FALSE)</f>
        <v>82</v>
      </c>
      <c r="K141">
        <f>VLOOKUP(Misfit[[#This Row],[Shortname]], Comp[], 7, FALSE)</f>
        <v>82</v>
      </c>
      <c r="L141">
        <f>VLOOKUP(Misfit[[#This Row],[Shortname]], Comp[], 8, FALSE)</f>
        <v>0</v>
      </c>
      <c r="M141">
        <f>VLOOKUP(Misfit[[#This Row],[Shortname]], Comp[], 9, FALSE)</f>
        <v>9</v>
      </c>
      <c r="N141">
        <f>VLOOKUP(Misfit[[#This Row],[Shortname]], Comp[], 10, FALSE)</f>
        <v>0</v>
      </c>
      <c r="O141">
        <f>VLOOKUP(Misfit[[#This Row],[Shortname]], Comp[], 11, FALSE)</f>
        <v>9</v>
      </c>
      <c r="P141">
        <f>VLOOKUP(Misfit[[#This Row],[Shortname]], Comp[],12, FALSE)</f>
        <v>0</v>
      </c>
      <c r="Q141">
        <f>VLOOKUP(Misfit[[#This Row],[Shortname]], Comp[], 13, FALSE)</f>
        <v>0</v>
      </c>
      <c r="R141">
        <f>VLOOKUP(Misfit[[#This Row],[Shortname]], Comp[], 14, FALSE)</f>
        <v>0</v>
      </c>
      <c r="S141">
        <f>VLOOKUP(Misfit[[#This Row],[Shortname]], Comp[], 15, FALSE)</f>
        <v>0</v>
      </c>
      <c r="T141">
        <f>VLOOKUP(Misfit[[#This Row],[Shortname]], Comp[], 16, FALSE)</f>
        <v>0</v>
      </c>
      <c r="U141">
        <f>VLOOKUP(Misfit[[#This Row],[Shortname]], Comp[], 17, FALSE)</f>
        <v>0</v>
      </c>
      <c r="V141">
        <f>VLOOKUP(Misfit[[#This Row],[Shortname]], Comp[], 18, FALSE)</f>
        <v>0</v>
      </c>
      <c r="W141">
        <f>VLOOKUP(Misfit[[#This Row],[Shortname]], Comp[], 19, FALSE)</f>
        <v>0</v>
      </c>
      <c r="X141">
        <f>VLOOKUP(Misfit[[#This Row],[Shortname]], Comp[], 20, FALSE)</f>
        <v>0</v>
      </c>
      <c r="Y141">
        <f>VLOOKUP(Misfit[[#This Row],[Shortname]], Comp[], 21, FALSE)</f>
        <v>0</v>
      </c>
      <c r="Z141">
        <f>VLOOKUP(Misfit[[#This Row],[Shortname]], Comp[], 22, FALSE)</f>
        <v>0</v>
      </c>
      <c r="AA141">
        <f>VLOOKUP(Misfit[[#This Row],[Shortname]], Comp[], 23, FALSE)</f>
        <v>0</v>
      </c>
      <c r="AB141">
        <f>VLOOKUP(Misfit[[#This Row],[Shortname]], Comp[], 24, FALSE)</f>
        <v>0</v>
      </c>
      <c r="AC141">
        <f>VLOOKUP(Misfit[[#This Row],[Shortname]], Comp[], 25, FALSE)</f>
        <v>0</v>
      </c>
      <c r="AD141">
        <f>VLOOKUP(Misfit[[#This Row],[Shortname]], Comp[], 26, FALSE)</f>
        <v>0</v>
      </c>
      <c r="AE141">
        <f>VLOOKUP(Misfit[[#This Row],[Shortname]], Comp[], 27, FALSE)</f>
        <v>0</v>
      </c>
      <c r="AF141">
        <f>VLOOKUP(Misfit[[#This Row],[Shortname]], Comp[], 28, FALSE)</f>
        <v>0</v>
      </c>
      <c r="AG141">
        <f>VLOOKUP(Misfit[[#This Row],[Shortname]], Comp[], 29, FALSE)</f>
        <v>0</v>
      </c>
      <c r="AH141">
        <f>VLOOKUP(Misfit[[#This Row],[Shortname]], Comp[], 30, FALSE)</f>
        <v>0</v>
      </c>
      <c r="AI141">
        <f>VLOOKUP(Misfit[[#This Row],[Shortname]], Comp[], 31, FALSE)</f>
        <v>0</v>
      </c>
    </row>
    <row r="142" spans="1:35" x14ac:dyDescent="0.3">
      <c r="A142" t="s">
        <v>2968</v>
      </c>
      <c r="B142" s="7" t="s">
        <v>2969</v>
      </c>
      <c r="C142" t="s">
        <v>6620</v>
      </c>
      <c r="D142">
        <v>900</v>
      </c>
      <c r="E142">
        <v>25</v>
      </c>
      <c r="F142">
        <v>0.3609</v>
      </c>
      <c r="G142">
        <v>0.35809999999999997</v>
      </c>
      <c r="H142" s="40">
        <f>2*(F142-G142)/(F142+G142)</f>
        <v>7.7885952712100828E-3</v>
      </c>
      <c r="J142">
        <f>VLOOKUP(Misfit[[#This Row],[Shortname]], Comp[], 6, FALSE)</f>
        <v>407</v>
      </c>
      <c r="K142">
        <f>VLOOKUP(Misfit[[#This Row],[Shortname]], Comp[], 7, FALSE)</f>
        <v>82.199999999999989</v>
      </c>
      <c r="L142">
        <f>VLOOKUP(Misfit[[#This Row],[Shortname]], Comp[], 8, FALSE)</f>
        <v>0</v>
      </c>
      <c r="M142">
        <f>VLOOKUP(Misfit[[#This Row],[Shortname]], Comp[], 9, FALSE)</f>
        <v>8.3000000000000007</v>
      </c>
      <c r="N142">
        <f>VLOOKUP(Misfit[[#This Row],[Shortname]], Comp[], 10, FALSE)</f>
        <v>0</v>
      </c>
      <c r="O142">
        <f>VLOOKUP(Misfit[[#This Row],[Shortname]], Comp[], 11, FALSE)</f>
        <v>9.4</v>
      </c>
      <c r="P142">
        <f>VLOOKUP(Misfit[[#This Row],[Shortname]], Comp[],12, FALSE)</f>
        <v>0</v>
      </c>
      <c r="Q142">
        <f>VLOOKUP(Misfit[[#This Row],[Shortname]], Comp[], 13, FALSE)</f>
        <v>0</v>
      </c>
      <c r="R142">
        <f>VLOOKUP(Misfit[[#This Row],[Shortname]], Comp[], 14, FALSE)</f>
        <v>0</v>
      </c>
      <c r="S142">
        <f>VLOOKUP(Misfit[[#This Row],[Shortname]], Comp[], 15, FALSE)</f>
        <v>0</v>
      </c>
      <c r="T142">
        <f>VLOOKUP(Misfit[[#This Row],[Shortname]], Comp[], 16, FALSE)</f>
        <v>0</v>
      </c>
      <c r="U142">
        <f>VLOOKUP(Misfit[[#This Row],[Shortname]], Comp[], 17, FALSE)</f>
        <v>0</v>
      </c>
      <c r="V142">
        <f>VLOOKUP(Misfit[[#This Row],[Shortname]], Comp[], 18, FALSE)</f>
        <v>0</v>
      </c>
      <c r="W142">
        <f>VLOOKUP(Misfit[[#This Row],[Shortname]], Comp[], 19, FALSE)</f>
        <v>0.1</v>
      </c>
      <c r="X142">
        <f>VLOOKUP(Misfit[[#This Row],[Shortname]], Comp[], 20, FALSE)</f>
        <v>0</v>
      </c>
      <c r="Y142">
        <f>VLOOKUP(Misfit[[#This Row],[Shortname]], Comp[], 21, FALSE)</f>
        <v>0</v>
      </c>
      <c r="Z142">
        <f>VLOOKUP(Misfit[[#This Row],[Shortname]], Comp[], 22, FALSE)</f>
        <v>0</v>
      </c>
      <c r="AA142">
        <f>VLOOKUP(Misfit[[#This Row],[Shortname]], Comp[], 23, FALSE)</f>
        <v>0</v>
      </c>
      <c r="AB142">
        <f>VLOOKUP(Misfit[[#This Row],[Shortname]], Comp[], 24, FALSE)</f>
        <v>0</v>
      </c>
      <c r="AC142">
        <f>VLOOKUP(Misfit[[#This Row],[Shortname]], Comp[], 25, FALSE)</f>
        <v>0</v>
      </c>
      <c r="AD142">
        <f>VLOOKUP(Misfit[[#This Row],[Shortname]], Comp[], 26, FALSE)</f>
        <v>0</v>
      </c>
      <c r="AE142">
        <f>VLOOKUP(Misfit[[#This Row],[Shortname]], Comp[], 27, FALSE)</f>
        <v>0</v>
      </c>
      <c r="AF142">
        <f>VLOOKUP(Misfit[[#This Row],[Shortname]], Comp[], 28, FALSE)</f>
        <v>0</v>
      </c>
      <c r="AG142">
        <f>VLOOKUP(Misfit[[#This Row],[Shortname]], Comp[], 29, FALSE)</f>
        <v>0</v>
      </c>
      <c r="AH142">
        <f>VLOOKUP(Misfit[[#This Row],[Shortname]], Comp[], 30, FALSE)</f>
        <v>0</v>
      </c>
      <c r="AI142">
        <f>VLOOKUP(Misfit[[#This Row],[Shortname]], Comp[], 31, FALSE)</f>
        <v>0</v>
      </c>
    </row>
    <row r="143" spans="1:35" x14ac:dyDescent="0.3">
      <c r="A143" t="s">
        <v>2968</v>
      </c>
      <c r="B143" s="7" t="s">
        <v>2969</v>
      </c>
      <c r="C143" t="s">
        <v>6620</v>
      </c>
      <c r="D143">
        <v>900</v>
      </c>
      <c r="E143">
        <v>850</v>
      </c>
      <c r="F143">
        <v>0.36580000000000001</v>
      </c>
      <c r="G143">
        <v>0.36449999999999999</v>
      </c>
      <c r="H143" s="40">
        <v>3.5000000000000001E-3</v>
      </c>
      <c r="J143">
        <f>VLOOKUP(Misfit[[#This Row],[Shortname]], Comp[], 6, FALSE)</f>
        <v>407</v>
      </c>
      <c r="K143">
        <f>VLOOKUP(Misfit[[#This Row],[Shortname]], Comp[], 7, FALSE)</f>
        <v>82.199999999999989</v>
      </c>
      <c r="L143">
        <f>VLOOKUP(Misfit[[#This Row],[Shortname]], Comp[], 8, FALSE)</f>
        <v>0</v>
      </c>
      <c r="M143">
        <f>VLOOKUP(Misfit[[#This Row],[Shortname]], Comp[], 9, FALSE)</f>
        <v>8.3000000000000007</v>
      </c>
      <c r="N143">
        <f>VLOOKUP(Misfit[[#This Row],[Shortname]], Comp[], 10, FALSE)</f>
        <v>0</v>
      </c>
      <c r="O143">
        <f>VLOOKUP(Misfit[[#This Row],[Shortname]], Comp[], 11, FALSE)</f>
        <v>9.4</v>
      </c>
      <c r="P143">
        <f>VLOOKUP(Misfit[[#This Row],[Shortname]], Comp[],12, FALSE)</f>
        <v>0</v>
      </c>
      <c r="Q143">
        <f>VLOOKUP(Misfit[[#This Row],[Shortname]], Comp[], 13, FALSE)</f>
        <v>0</v>
      </c>
      <c r="R143">
        <f>VLOOKUP(Misfit[[#This Row],[Shortname]], Comp[], 14, FALSE)</f>
        <v>0</v>
      </c>
      <c r="S143">
        <f>VLOOKUP(Misfit[[#This Row],[Shortname]], Comp[], 15, FALSE)</f>
        <v>0</v>
      </c>
      <c r="T143">
        <f>VLOOKUP(Misfit[[#This Row],[Shortname]], Comp[], 16, FALSE)</f>
        <v>0</v>
      </c>
      <c r="U143">
        <f>VLOOKUP(Misfit[[#This Row],[Shortname]], Comp[], 17, FALSE)</f>
        <v>0</v>
      </c>
      <c r="V143">
        <f>VLOOKUP(Misfit[[#This Row],[Shortname]], Comp[], 18, FALSE)</f>
        <v>0</v>
      </c>
      <c r="W143">
        <f>VLOOKUP(Misfit[[#This Row],[Shortname]], Comp[], 19, FALSE)</f>
        <v>0.1</v>
      </c>
      <c r="X143">
        <f>VLOOKUP(Misfit[[#This Row],[Shortname]], Comp[], 20, FALSE)</f>
        <v>0</v>
      </c>
      <c r="Y143">
        <f>VLOOKUP(Misfit[[#This Row],[Shortname]], Comp[], 21, FALSE)</f>
        <v>0</v>
      </c>
      <c r="Z143">
        <f>VLOOKUP(Misfit[[#This Row],[Shortname]], Comp[], 22, FALSE)</f>
        <v>0</v>
      </c>
      <c r="AA143">
        <f>VLOOKUP(Misfit[[#This Row],[Shortname]], Comp[], 23, FALSE)</f>
        <v>0</v>
      </c>
      <c r="AB143">
        <f>VLOOKUP(Misfit[[#This Row],[Shortname]], Comp[], 24, FALSE)</f>
        <v>0</v>
      </c>
      <c r="AC143">
        <f>VLOOKUP(Misfit[[#This Row],[Shortname]], Comp[], 25, FALSE)</f>
        <v>0</v>
      </c>
      <c r="AD143">
        <f>VLOOKUP(Misfit[[#This Row],[Shortname]], Comp[], 26, FALSE)</f>
        <v>0</v>
      </c>
      <c r="AE143">
        <f>VLOOKUP(Misfit[[#This Row],[Shortname]], Comp[], 27, FALSE)</f>
        <v>0</v>
      </c>
      <c r="AF143">
        <f>VLOOKUP(Misfit[[#This Row],[Shortname]], Comp[], 28, FALSE)</f>
        <v>0</v>
      </c>
      <c r="AG143">
        <f>VLOOKUP(Misfit[[#This Row],[Shortname]], Comp[], 29, FALSE)</f>
        <v>0</v>
      </c>
      <c r="AH143">
        <f>VLOOKUP(Misfit[[#This Row],[Shortname]], Comp[], 30, FALSE)</f>
        <v>0</v>
      </c>
      <c r="AI143">
        <f>VLOOKUP(Misfit[[#This Row],[Shortname]], Comp[], 31, FALSE)</f>
        <v>0</v>
      </c>
    </row>
    <row r="144" spans="1:35" x14ac:dyDescent="0.3">
      <c r="A144" t="s">
        <v>2968</v>
      </c>
      <c r="B144" s="7" t="s">
        <v>2969</v>
      </c>
      <c r="C144" t="s">
        <v>6620</v>
      </c>
      <c r="D144">
        <v>900</v>
      </c>
      <c r="E144">
        <v>900</v>
      </c>
      <c r="F144">
        <v>0.36580000000000001</v>
      </c>
      <c r="G144">
        <v>0.36559999999999998</v>
      </c>
      <c r="H144" s="40">
        <v>1E-3</v>
      </c>
      <c r="J144">
        <f>VLOOKUP(Misfit[[#This Row],[Shortname]], Comp[], 6, FALSE)</f>
        <v>407</v>
      </c>
      <c r="K144">
        <f>VLOOKUP(Misfit[[#This Row],[Shortname]], Comp[], 7, FALSE)</f>
        <v>82.199999999999989</v>
      </c>
      <c r="L144">
        <f>VLOOKUP(Misfit[[#This Row],[Shortname]], Comp[], 8, FALSE)</f>
        <v>0</v>
      </c>
      <c r="M144">
        <f>VLOOKUP(Misfit[[#This Row],[Shortname]], Comp[], 9, FALSE)</f>
        <v>8.3000000000000007</v>
      </c>
      <c r="N144">
        <f>VLOOKUP(Misfit[[#This Row],[Shortname]], Comp[], 10, FALSE)</f>
        <v>0</v>
      </c>
      <c r="O144">
        <f>VLOOKUP(Misfit[[#This Row],[Shortname]], Comp[], 11, FALSE)</f>
        <v>9.4</v>
      </c>
      <c r="P144">
        <f>VLOOKUP(Misfit[[#This Row],[Shortname]], Comp[],12, FALSE)</f>
        <v>0</v>
      </c>
      <c r="Q144">
        <f>VLOOKUP(Misfit[[#This Row],[Shortname]], Comp[], 13, FALSE)</f>
        <v>0</v>
      </c>
      <c r="R144">
        <f>VLOOKUP(Misfit[[#This Row],[Shortname]], Comp[], 14, FALSE)</f>
        <v>0</v>
      </c>
      <c r="S144">
        <f>VLOOKUP(Misfit[[#This Row],[Shortname]], Comp[], 15, FALSE)</f>
        <v>0</v>
      </c>
      <c r="T144">
        <f>VLOOKUP(Misfit[[#This Row],[Shortname]], Comp[], 16, FALSE)</f>
        <v>0</v>
      </c>
      <c r="U144">
        <f>VLOOKUP(Misfit[[#This Row],[Shortname]], Comp[], 17, FALSE)</f>
        <v>0</v>
      </c>
      <c r="V144">
        <f>VLOOKUP(Misfit[[#This Row],[Shortname]], Comp[], 18, FALSE)</f>
        <v>0</v>
      </c>
      <c r="W144">
        <f>VLOOKUP(Misfit[[#This Row],[Shortname]], Comp[], 19, FALSE)</f>
        <v>0.1</v>
      </c>
      <c r="X144">
        <f>VLOOKUP(Misfit[[#This Row],[Shortname]], Comp[], 20, FALSE)</f>
        <v>0</v>
      </c>
      <c r="Y144">
        <f>VLOOKUP(Misfit[[#This Row],[Shortname]], Comp[], 21, FALSE)</f>
        <v>0</v>
      </c>
      <c r="Z144">
        <f>VLOOKUP(Misfit[[#This Row],[Shortname]], Comp[], 22, FALSE)</f>
        <v>0</v>
      </c>
      <c r="AA144">
        <f>VLOOKUP(Misfit[[#This Row],[Shortname]], Comp[], 23, FALSE)</f>
        <v>0</v>
      </c>
      <c r="AB144">
        <f>VLOOKUP(Misfit[[#This Row],[Shortname]], Comp[], 24, FALSE)</f>
        <v>0</v>
      </c>
      <c r="AC144">
        <f>VLOOKUP(Misfit[[#This Row],[Shortname]], Comp[], 25, FALSE)</f>
        <v>0</v>
      </c>
      <c r="AD144">
        <f>VLOOKUP(Misfit[[#This Row],[Shortname]], Comp[], 26, FALSE)</f>
        <v>0</v>
      </c>
      <c r="AE144">
        <f>VLOOKUP(Misfit[[#This Row],[Shortname]], Comp[], 27, FALSE)</f>
        <v>0</v>
      </c>
      <c r="AF144">
        <f>VLOOKUP(Misfit[[#This Row],[Shortname]], Comp[], 28, FALSE)</f>
        <v>0</v>
      </c>
      <c r="AG144">
        <f>VLOOKUP(Misfit[[#This Row],[Shortname]], Comp[], 29, FALSE)</f>
        <v>0</v>
      </c>
      <c r="AH144">
        <f>VLOOKUP(Misfit[[#This Row],[Shortname]], Comp[], 30, FALSE)</f>
        <v>0</v>
      </c>
      <c r="AI144">
        <f>VLOOKUP(Misfit[[#This Row],[Shortname]], Comp[], 31, FALSE)</f>
        <v>0</v>
      </c>
    </row>
    <row r="145" spans="1:35" x14ac:dyDescent="0.3">
      <c r="A145" t="s">
        <v>2984</v>
      </c>
      <c r="B145" s="7" t="s">
        <v>2985</v>
      </c>
      <c r="C145" s="9" t="s">
        <v>6621</v>
      </c>
      <c r="D145">
        <v>900</v>
      </c>
      <c r="E145">
        <v>25</v>
      </c>
      <c r="F145">
        <v>0.35949999999999999</v>
      </c>
      <c r="G145">
        <v>0.35859999999999997</v>
      </c>
      <c r="H145" s="40">
        <f>2*(F145-G145)/(F145+G145)</f>
        <v>2.5066146776215343E-3</v>
      </c>
      <c r="J145">
        <f>VLOOKUP(Misfit[[#This Row],[Shortname]], Comp[], 6, FALSE)</f>
        <v>410</v>
      </c>
      <c r="K145">
        <f>VLOOKUP(Misfit[[#This Row],[Shortname]], Comp[], 7, FALSE)</f>
        <v>80.699999999999989</v>
      </c>
      <c r="L145">
        <f>VLOOKUP(Misfit[[#This Row],[Shortname]], Comp[], 8, FALSE)</f>
        <v>0</v>
      </c>
      <c r="M145">
        <f>VLOOKUP(Misfit[[#This Row],[Shortname]], Comp[], 9, FALSE)</f>
        <v>8.9</v>
      </c>
      <c r="N145">
        <f>VLOOKUP(Misfit[[#This Row],[Shortname]], Comp[], 10, FALSE)</f>
        <v>0</v>
      </c>
      <c r="O145">
        <f>VLOOKUP(Misfit[[#This Row],[Shortname]], Comp[], 11, FALSE)</f>
        <v>10.3</v>
      </c>
      <c r="P145">
        <f>VLOOKUP(Misfit[[#This Row],[Shortname]], Comp[],12, FALSE)</f>
        <v>0</v>
      </c>
      <c r="Q145">
        <f>VLOOKUP(Misfit[[#This Row],[Shortname]], Comp[], 13, FALSE)</f>
        <v>0</v>
      </c>
      <c r="R145">
        <f>VLOOKUP(Misfit[[#This Row],[Shortname]], Comp[], 14, FALSE)</f>
        <v>0</v>
      </c>
      <c r="S145">
        <f>VLOOKUP(Misfit[[#This Row],[Shortname]], Comp[], 15, FALSE)</f>
        <v>0</v>
      </c>
      <c r="T145">
        <f>VLOOKUP(Misfit[[#This Row],[Shortname]], Comp[], 16, FALSE)</f>
        <v>0</v>
      </c>
      <c r="U145">
        <f>VLOOKUP(Misfit[[#This Row],[Shortname]], Comp[], 17, FALSE)</f>
        <v>0</v>
      </c>
      <c r="V145">
        <f>VLOOKUP(Misfit[[#This Row],[Shortname]], Comp[], 18, FALSE)</f>
        <v>0</v>
      </c>
      <c r="W145">
        <f>VLOOKUP(Misfit[[#This Row],[Shortname]], Comp[], 19, FALSE)</f>
        <v>0.1</v>
      </c>
      <c r="X145">
        <f>VLOOKUP(Misfit[[#This Row],[Shortname]], Comp[], 20, FALSE)</f>
        <v>0</v>
      </c>
      <c r="Y145">
        <f>VLOOKUP(Misfit[[#This Row],[Shortname]], Comp[], 21, FALSE)</f>
        <v>0</v>
      </c>
      <c r="Z145">
        <f>VLOOKUP(Misfit[[#This Row],[Shortname]], Comp[], 22, FALSE)</f>
        <v>0</v>
      </c>
      <c r="AA145">
        <f>VLOOKUP(Misfit[[#This Row],[Shortname]], Comp[], 23, FALSE)</f>
        <v>0</v>
      </c>
      <c r="AB145">
        <f>VLOOKUP(Misfit[[#This Row],[Shortname]], Comp[], 24, FALSE)</f>
        <v>0</v>
      </c>
      <c r="AC145">
        <f>VLOOKUP(Misfit[[#This Row],[Shortname]], Comp[], 25, FALSE)</f>
        <v>0</v>
      </c>
      <c r="AD145">
        <f>VLOOKUP(Misfit[[#This Row],[Shortname]], Comp[], 26, FALSE)</f>
        <v>0</v>
      </c>
      <c r="AE145">
        <f>VLOOKUP(Misfit[[#This Row],[Shortname]], Comp[], 27, FALSE)</f>
        <v>0</v>
      </c>
      <c r="AF145">
        <f>VLOOKUP(Misfit[[#This Row],[Shortname]], Comp[], 28, FALSE)</f>
        <v>0</v>
      </c>
      <c r="AG145">
        <f>VLOOKUP(Misfit[[#This Row],[Shortname]], Comp[], 29, FALSE)</f>
        <v>0</v>
      </c>
      <c r="AH145">
        <f>VLOOKUP(Misfit[[#This Row],[Shortname]], Comp[], 30, FALSE)</f>
        <v>0</v>
      </c>
      <c r="AI145">
        <f>VLOOKUP(Misfit[[#This Row],[Shortname]], Comp[], 31, FALSE)</f>
        <v>0</v>
      </c>
    </row>
    <row r="146" spans="1:35" x14ac:dyDescent="0.3">
      <c r="A146" t="s">
        <v>2974</v>
      </c>
      <c r="B146" s="7" t="s">
        <v>2975</v>
      </c>
      <c r="C146" s="9" t="s">
        <v>6621</v>
      </c>
      <c r="D146">
        <v>900</v>
      </c>
      <c r="E146">
        <v>25</v>
      </c>
      <c r="F146">
        <v>0.3589</v>
      </c>
      <c r="G146">
        <v>0.35759999999999997</v>
      </c>
      <c r="H146" s="40">
        <f>2*(F146-G146)/(F146+G146)</f>
        <v>3.6287508722959486E-3</v>
      </c>
      <c r="J146">
        <f>VLOOKUP(Misfit[[#This Row],[Shortname]], Comp[], 6, FALSE)</f>
        <v>408</v>
      </c>
      <c r="K146">
        <f>VLOOKUP(Misfit[[#This Row],[Shortname]], Comp[], 7, FALSE)</f>
        <v>84</v>
      </c>
      <c r="L146">
        <f>VLOOKUP(Misfit[[#This Row],[Shortname]], Comp[], 8, FALSE)</f>
        <v>0</v>
      </c>
      <c r="M146">
        <f>VLOOKUP(Misfit[[#This Row],[Shortname]], Comp[], 9, FALSE)</f>
        <v>8.5</v>
      </c>
      <c r="N146">
        <f>VLOOKUP(Misfit[[#This Row],[Shortname]], Comp[], 10, FALSE)</f>
        <v>0</v>
      </c>
      <c r="O146">
        <f>VLOOKUP(Misfit[[#This Row],[Shortname]], Comp[], 11, FALSE)</f>
        <v>7.4</v>
      </c>
      <c r="P146">
        <f>VLOOKUP(Misfit[[#This Row],[Shortname]], Comp[],12, FALSE)</f>
        <v>0</v>
      </c>
      <c r="Q146">
        <f>VLOOKUP(Misfit[[#This Row],[Shortname]], Comp[], 13, FALSE)</f>
        <v>0</v>
      </c>
      <c r="R146">
        <f>VLOOKUP(Misfit[[#This Row],[Shortname]], Comp[], 14, FALSE)</f>
        <v>0</v>
      </c>
      <c r="S146">
        <f>VLOOKUP(Misfit[[#This Row],[Shortname]], Comp[], 15, FALSE)</f>
        <v>0</v>
      </c>
      <c r="T146">
        <f>VLOOKUP(Misfit[[#This Row],[Shortname]], Comp[], 16, FALSE)</f>
        <v>0</v>
      </c>
      <c r="U146">
        <f>VLOOKUP(Misfit[[#This Row],[Shortname]], Comp[], 17, FALSE)</f>
        <v>0</v>
      </c>
      <c r="V146">
        <f>VLOOKUP(Misfit[[#This Row],[Shortname]], Comp[], 18, FALSE)</f>
        <v>0</v>
      </c>
      <c r="W146">
        <f>VLOOKUP(Misfit[[#This Row],[Shortname]], Comp[], 19, FALSE)</f>
        <v>0.1</v>
      </c>
      <c r="X146">
        <f>VLOOKUP(Misfit[[#This Row],[Shortname]], Comp[], 20, FALSE)</f>
        <v>0</v>
      </c>
      <c r="Y146">
        <f>VLOOKUP(Misfit[[#This Row],[Shortname]], Comp[], 21, FALSE)</f>
        <v>0</v>
      </c>
      <c r="Z146">
        <f>VLOOKUP(Misfit[[#This Row],[Shortname]], Comp[], 22, FALSE)</f>
        <v>0</v>
      </c>
      <c r="AA146">
        <f>VLOOKUP(Misfit[[#This Row],[Shortname]], Comp[], 23, FALSE)</f>
        <v>0</v>
      </c>
      <c r="AB146">
        <f>VLOOKUP(Misfit[[#This Row],[Shortname]], Comp[], 24, FALSE)</f>
        <v>0</v>
      </c>
      <c r="AC146">
        <f>VLOOKUP(Misfit[[#This Row],[Shortname]], Comp[], 25, FALSE)</f>
        <v>0</v>
      </c>
      <c r="AD146">
        <f>VLOOKUP(Misfit[[#This Row],[Shortname]], Comp[], 26, FALSE)</f>
        <v>0</v>
      </c>
      <c r="AE146">
        <f>VLOOKUP(Misfit[[#This Row],[Shortname]], Comp[], 27, FALSE)</f>
        <v>0</v>
      </c>
      <c r="AF146">
        <f>VLOOKUP(Misfit[[#This Row],[Shortname]], Comp[], 28, FALSE)</f>
        <v>0</v>
      </c>
      <c r="AG146">
        <f>VLOOKUP(Misfit[[#This Row],[Shortname]], Comp[], 29, FALSE)</f>
        <v>0</v>
      </c>
      <c r="AH146">
        <f>VLOOKUP(Misfit[[#This Row],[Shortname]], Comp[], 30, FALSE)</f>
        <v>0</v>
      </c>
      <c r="AI146">
        <f>VLOOKUP(Misfit[[#This Row],[Shortname]], Comp[], 31, FALSE)</f>
        <v>0</v>
      </c>
    </row>
    <row r="147" spans="1:35" x14ac:dyDescent="0.3">
      <c r="A147" t="s">
        <v>2980</v>
      </c>
      <c r="B147" s="7" t="s">
        <v>2969</v>
      </c>
      <c r="C147" s="9" t="s">
        <v>6621</v>
      </c>
      <c r="D147">
        <v>900</v>
      </c>
      <c r="E147">
        <v>25</v>
      </c>
      <c r="F147">
        <v>0.3594</v>
      </c>
      <c r="G147">
        <v>0.35799999999999998</v>
      </c>
      <c r="H147" s="40">
        <f>2*(F147-G147)/(F147+G147)</f>
        <v>3.9029829941455599E-3</v>
      </c>
      <c r="J147">
        <f>VLOOKUP(Misfit[[#This Row],[Shortname]], Comp[], 6, FALSE)</f>
        <v>409</v>
      </c>
      <c r="K147">
        <f>VLOOKUP(Misfit[[#This Row],[Shortname]], Comp[], 7, FALSE)</f>
        <v>82.7</v>
      </c>
      <c r="L147">
        <f>VLOOKUP(Misfit[[#This Row],[Shortname]], Comp[], 8, FALSE)</f>
        <v>0</v>
      </c>
      <c r="M147">
        <f>VLOOKUP(Misfit[[#This Row],[Shortname]], Comp[], 9, FALSE)</f>
        <v>8.5</v>
      </c>
      <c r="N147">
        <f>VLOOKUP(Misfit[[#This Row],[Shortname]], Comp[], 10, FALSE)</f>
        <v>0</v>
      </c>
      <c r="O147">
        <f>VLOOKUP(Misfit[[#This Row],[Shortname]], Comp[], 11, FALSE)</f>
        <v>8.6999999999999993</v>
      </c>
      <c r="P147">
        <f>VLOOKUP(Misfit[[#This Row],[Shortname]], Comp[],12, FALSE)</f>
        <v>0</v>
      </c>
      <c r="Q147">
        <f>VLOOKUP(Misfit[[#This Row],[Shortname]], Comp[], 13, FALSE)</f>
        <v>0</v>
      </c>
      <c r="R147">
        <f>VLOOKUP(Misfit[[#This Row],[Shortname]], Comp[], 14, FALSE)</f>
        <v>0</v>
      </c>
      <c r="S147">
        <f>VLOOKUP(Misfit[[#This Row],[Shortname]], Comp[], 15, FALSE)</f>
        <v>0</v>
      </c>
      <c r="T147">
        <f>VLOOKUP(Misfit[[#This Row],[Shortname]], Comp[], 16, FALSE)</f>
        <v>0</v>
      </c>
      <c r="U147">
        <f>VLOOKUP(Misfit[[#This Row],[Shortname]], Comp[], 17, FALSE)</f>
        <v>0</v>
      </c>
      <c r="V147">
        <f>VLOOKUP(Misfit[[#This Row],[Shortname]], Comp[], 18, FALSE)</f>
        <v>0</v>
      </c>
      <c r="W147">
        <f>VLOOKUP(Misfit[[#This Row],[Shortname]], Comp[], 19, FALSE)</f>
        <v>0.1</v>
      </c>
      <c r="X147">
        <f>VLOOKUP(Misfit[[#This Row],[Shortname]], Comp[], 20, FALSE)</f>
        <v>0</v>
      </c>
      <c r="Y147">
        <f>VLOOKUP(Misfit[[#This Row],[Shortname]], Comp[], 21, FALSE)</f>
        <v>0</v>
      </c>
      <c r="Z147">
        <f>VLOOKUP(Misfit[[#This Row],[Shortname]], Comp[], 22, FALSE)</f>
        <v>0</v>
      </c>
      <c r="AA147">
        <f>VLOOKUP(Misfit[[#This Row],[Shortname]], Comp[], 23, FALSE)</f>
        <v>0</v>
      </c>
      <c r="AB147">
        <f>VLOOKUP(Misfit[[#This Row],[Shortname]], Comp[], 24, FALSE)</f>
        <v>0</v>
      </c>
      <c r="AC147">
        <f>VLOOKUP(Misfit[[#This Row],[Shortname]], Comp[], 25, FALSE)</f>
        <v>0</v>
      </c>
      <c r="AD147">
        <f>VLOOKUP(Misfit[[#This Row],[Shortname]], Comp[], 26, FALSE)</f>
        <v>0</v>
      </c>
      <c r="AE147">
        <f>VLOOKUP(Misfit[[#This Row],[Shortname]], Comp[], 27, FALSE)</f>
        <v>0</v>
      </c>
      <c r="AF147">
        <f>VLOOKUP(Misfit[[#This Row],[Shortname]], Comp[], 28, FALSE)</f>
        <v>0</v>
      </c>
      <c r="AG147">
        <f>VLOOKUP(Misfit[[#This Row],[Shortname]], Comp[], 29, FALSE)</f>
        <v>0</v>
      </c>
      <c r="AH147">
        <f>VLOOKUP(Misfit[[#This Row],[Shortname]], Comp[], 30, FALSE)</f>
        <v>0</v>
      </c>
      <c r="AI147">
        <f>VLOOKUP(Misfit[[#This Row],[Shortname]], Comp[], 31, FALSE)</f>
        <v>0</v>
      </c>
    </row>
    <row r="148" spans="1:35" x14ac:dyDescent="0.3">
      <c r="A148" t="s">
        <v>2989</v>
      </c>
      <c r="B148" t="s">
        <v>2991</v>
      </c>
      <c r="C148" s="10" t="s">
        <v>2992</v>
      </c>
      <c r="D148" s="10">
        <v>900</v>
      </c>
      <c r="E148">
        <v>25</v>
      </c>
      <c r="H148" s="40">
        <v>4.3E-3</v>
      </c>
      <c r="J148">
        <f>VLOOKUP(Misfit[[#This Row],[Shortname]], Comp[], 6, FALSE)</f>
        <v>411</v>
      </c>
      <c r="K148">
        <f>VLOOKUP(Misfit[[#This Row],[Shortname]], Comp[], 7, FALSE)</f>
        <v>84</v>
      </c>
      <c r="L148">
        <f>VLOOKUP(Misfit[[#This Row],[Shortname]], Comp[], 8, FALSE)</f>
        <v>0</v>
      </c>
      <c r="M148">
        <f>VLOOKUP(Misfit[[#This Row],[Shortname]], Comp[], 9, FALSE)</f>
        <v>0</v>
      </c>
      <c r="N148">
        <f>VLOOKUP(Misfit[[#This Row],[Shortname]], Comp[], 10, FALSE)</f>
        <v>0</v>
      </c>
      <c r="O148">
        <f>VLOOKUP(Misfit[[#This Row],[Shortname]], Comp[], 11, FALSE)</f>
        <v>0</v>
      </c>
      <c r="P148">
        <f>VLOOKUP(Misfit[[#This Row],[Shortname]], Comp[],12, FALSE)</f>
        <v>2</v>
      </c>
      <c r="Q148">
        <f>VLOOKUP(Misfit[[#This Row],[Shortname]], Comp[], 13, FALSE)</f>
        <v>2</v>
      </c>
      <c r="R148">
        <f>VLOOKUP(Misfit[[#This Row],[Shortname]], Comp[], 14, FALSE)</f>
        <v>0</v>
      </c>
      <c r="S148">
        <f>VLOOKUP(Misfit[[#This Row],[Shortname]], Comp[], 15, FALSE)</f>
        <v>12</v>
      </c>
      <c r="T148">
        <f>VLOOKUP(Misfit[[#This Row],[Shortname]], Comp[], 16, FALSE)</f>
        <v>0</v>
      </c>
      <c r="U148">
        <f>VLOOKUP(Misfit[[#This Row],[Shortname]], Comp[], 17, FALSE)</f>
        <v>0</v>
      </c>
      <c r="V148">
        <f>VLOOKUP(Misfit[[#This Row],[Shortname]], Comp[], 18, FALSE)</f>
        <v>0</v>
      </c>
      <c r="W148">
        <f>VLOOKUP(Misfit[[#This Row],[Shortname]], Comp[], 19, FALSE)</f>
        <v>0</v>
      </c>
      <c r="X148">
        <f>VLOOKUP(Misfit[[#This Row],[Shortname]], Comp[], 20, FALSE)</f>
        <v>0</v>
      </c>
      <c r="Y148">
        <f>VLOOKUP(Misfit[[#This Row],[Shortname]], Comp[], 21, FALSE)</f>
        <v>0</v>
      </c>
      <c r="Z148">
        <f>VLOOKUP(Misfit[[#This Row],[Shortname]], Comp[], 22, FALSE)</f>
        <v>0</v>
      </c>
      <c r="AA148">
        <f>VLOOKUP(Misfit[[#This Row],[Shortname]], Comp[], 23, FALSE)</f>
        <v>0</v>
      </c>
      <c r="AB148">
        <f>VLOOKUP(Misfit[[#This Row],[Shortname]], Comp[], 24, FALSE)</f>
        <v>0</v>
      </c>
      <c r="AC148">
        <f>VLOOKUP(Misfit[[#This Row],[Shortname]], Comp[], 25, FALSE)</f>
        <v>0</v>
      </c>
      <c r="AD148">
        <f>VLOOKUP(Misfit[[#This Row],[Shortname]], Comp[], 26, FALSE)</f>
        <v>0</v>
      </c>
      <c r="AE148">
        <f>VLOOKUP(Misfit[[#This Row],[Shortname]], Comp[], 27, FALSE)</f>
        <v>0</v>
      </c>
      <c r="AF148">
        <f>VLOOKUP(Misfit[[#This Row],[Shortname]], Comp[], 28, FALSE)</f>
        <v>0</v>
      </c>
      <c r="AG148">
        <f>VLOOKUP(Misfit[[#This Row],[Shortname]], Comp[], 29, FALSE)</f>
        <v>0</v>
      </c>
      <c r="AH148">
        <f>VLOOKUP(Misfit[[#This Row],[Shortname]], Comp[], 30, FALSE)</f>
        <v>0</v>
      </c>
      <c r="AI148">
        <f>VLOOKUP(Misfit[[#This Row],[Shortname]], Comp[], 31, FALSE)</f>
        <v>0</v>
      </c>
    </row>
    <row r="149" spans="1:35" x14ac:dyDescent="0.3">
      <c r="A149" t="s">
        <v>2996</v>
      </c>
      <c r="B149" s="7" t="s">
        <v>2998</v>
      </c>
      <c r="C149" t="s">
        <v>6622</v>
      </c>
      <c r="D149">
        <v>900</v>
      </c>
      <c r="E149">
        <v>25</v>
      </c>
      <c r="F149">
        <v>0.3594</v>
      </c>
      <c r="G149">
        <v>0.35830000000000001</v>
      </c>
      <c r="H149" s="40">
        <v>3.0699999999999998E-3</v>
      </c>
      <c r="I149" t="s">
        <v>6623</v>
      </c>
      <c r="J149">
        <f>VLOOKUP(Misfit[[#This Row],[Shortname]], Comp[], 6, FALSE)</f>
        <v>412</v>
      </c>
      <c r="K149">
        <f>VLOOKUP(Misfit[[#This Row],[Shortname]], Comp[], 7, FALSE)</f>
        <v>49.82</v>
      </c>
      <c r="L149">
        <f>VLOOKUP(Misfit[[#This Row],[Shortname]], Comp[], 8, FALSE)</f>
        <v>30.83</v>
      </c>
      <c r="M149">
        <f>VLOOKUP(Misfit[[#This Row],[Shortname]], Comp[], 9, FALSE)</f>
        <v>9.16</v>
      </c>
      <c r="N149">
        <f>VLOOKUP(Misfit[[#This Row],[Shortname]], Comp[], 10, FALSE)</f>
        <v>0</v>
      </c>
      <c r="O149">
        <f>VLOOKUP(Misfit[[#This Row],[Shortname]], Comp[], 11, FALSE)</f>
        <v>5.09</v>
      </c>
      <c r="P149">
        <f>VLOOKUP(Misfit[[#This Row],[Shortname]], Comp[],12, FALSE)</f>
        <v>4.0999999999999996</v>
      </c>
      <c r="Q149">
        <f>VLOOKUP(Misfit[[#This Row],[Shortname]], Comp[], 13, FALSE)</f>
        <v>1</v>
      </c>
      <c r="R149">
        <f>VLOOKUP(Misfit[[#This Row],[Shortname]], Comp[], 14, FALSE)</f>
        <v>0</v>
      </c>
      <c r="S149">
        <f>VLOOKUP(Misfit[[#This Row],[Shortname]], Comp[], 15, FALSE)</f>
        <v>0</v>
      </c>
      <c r="T149">
        <f>VLOOKUP(Misfit[[#This Row],[Shortname]], Comp[], 16, FALSE)</f>
        <v>0</v>
      </c>
      <c r="U149">
        <f>VLOOKUP(Misfit[[#This Row],[Shortname]], Comp[], 17, FALSE)</f>
        <v>0</v>
      </c>
      <c r="V149">
        <f>VLOOKUP(Misfit[[#This Row],[Shortname]], Comp[], 18, FALSE)</f>
        <v>0</v>
      </c>
      <c r="W149">
        <f>VLOOKUP(Misfit[[#This Row],[Shortname]], Comp[], 19, FALSE)</f>
        <v>0</v>
      </c>
      <c r="X149">
        <f>VLOOKUP(Misfit[[#This Row],[Shortname]], Comp[], 20, FALSE)</f>
        <v>0</v>
      </c>
      <c r="Y149">
        <f>VLOOKUP(Misfit[[#This Row],[Shortname]], Comp[], 21, FALSE)</f>
        <v>0</v>
      </c>
      <c r="Z149">
        <f>VLOOKUP(Misfit[[#This Row],[Shortname]], Comp[], 22, FALSE)</f>
        <v>0</v>
      </c>
      <c r="AA149">
        <f>VLOOKUP(Misfit[[#This Row],[Shortname]], Comp[], 23, FALSE)</f>
        <v>0</v>
      </c>
      <c r="AB149">
        <f>VLOOKUP(Misfit[[#This Row],[Shortname]], Comp[], 24, FALSE)</f>
        <v>0</v>
      </c>
      <c r="AC149">
        <f>VLOOKUP(Misfit[[#This Row],[Shortname]], Comp[], 25, FALSE)</f>
        <v>0</v>
      </c>
      <c r="AD149">
        <f>VLOOKUP(Misfit[[#This Row],[Shortname]], Comp[], 26, FALSE)</f>
        <v>0</v>
      </c>
      <c r="AE149">
        <f>VLOOKUP(Misfit[[#This Row],[Shortname]], Comp[], 27, FALSE)</f>
        <v>0</v>
      </c>
      <c r="AF149">
        <f>VLOOKUP(Misfit[[#This Row],[Shortname]], Comp[], 28, FALSE)</f>
        <v>0</v>
      </c>
      <c r="AG149">
        <f>VLOOKUP(Misfit[[#This Row],[Shortname]], Comp[], 29, FALSE)</f>
        <v>0</v>
      </c>
      <c r="AH149">
        <f>VLOOKUP(Misfit[[#This Row],[Shortname]], Comp[], 30, FALSE)</f>
        <v>0</v>
      </c>
      <c r="AI149">
        <f>VLOOKUP(Misfit[[#This Row],[Shortname]], Comp[], 31, FALSE)</f>
        <v>0</v>
      </c>
    </row>
    <row r="150" spans="1:35" x14ac:dyDescent="0.3">
      <c r="A150" t="s">
        <v>3182</v>
      </c>
      <c r="B150" s="7" t="s">
        <v>2897</v>
      </c>
      <c r="C150" t="s">
        <v>6624</v>
      </c>
      <c r="D150">
        <v>900</v>
      </c>
      <c r="E150">
        <v>25</v>
      </c>
      <c r="F150">
        <v>0.3599</v>
      </c>
      <c r="G150">
        <v>0.35799999999999998</v>
      </c>
      <c r="H150" s="40">
        <f>2*(F150-G150)/(F150+G150)</f>
        <v>5.2932163253935445E-3</v>
      </c>
      <c r="J150">
        <f>VLOOKUP(Misfit[[#This Row],[Shortname]], Comp[], 6, FALSE)</f>
        <v>446</v>
      </c>
      <c r="K150">
        <f>VLOOKUP(Misfit[[#This Row],[Shortname]], Comp[], 7, FALSE)</f>
        <v>81.8</v>
      </c>
      <c r="L150">
        <f>VLOOKUP(Misfit[[#This Row],[Shortname]], Comp[], 8, FALSE)</f>
        <v>0</v>
      </c>
      <c r="M150">
        <f>VLOOKUP(Misfit[[#This Row],[Shortname]], Comp[], 9, FALSE)</f>
        <v>9.1999999999999993</v>
      </c>
      <c r="N150">
        <f>VLOOKUP(Misfit[[#This Row],[Shortname]], Comp[], 10, FALSE)</f>
        <v>0</v>
      </c>
      <c r="O150">
        <f>VLOOKUP(Misfit[[#This Row],[Shortname]], Comp[], 11, FALSE)</f>
        <v>9</v>
      </c>
      <c r="P150">
        <f>VLOOKUP(Misfit[[#This Row],[Shortname]], Comp[],12, FALSE)</f>
        <v>0</v>
      </c>
      <c r="Q150">
        <f>VLOOKUP(Misfit[[#This Row],[Shortname]], Comp[], 13, FALSE)</f>
        <v>0</v>
      </c>
      <c r="R150">
        <f>VLOOKUP(Misfit[[#This Row],[Shortname]], Comp[], 14, FALSE)</f>
        <v>0</v>
      </c>
      <c r="S150">
        <f>VLOOKUP(Misfit[[#This Row],[Shortname]], Comp[], 15, FALSE)</f>
        <v>0</v>
      </c>
      <c r="T150">
        <f>VLOOKUP(Misfit[[#This Row],[Shortname]], Comp[], 16, FALSE)</f>
        <v>0</v>
      </c>
      <c r="U150">
        <f>VLOOKUP(Misfit[[#This Row],[Shortname]], Comp[], 17, FALSE)</f>
        <v>0</v>
      </c>
      <c r="V150">
        <f>VLOOKUP(Misfit[[#This Row],[Shortname]], Comp[], 18, FALSE)</f>
        <v>0</v>
      </c>
      <c r="W150">
        <f>VLOOKUP(Misfit[[#This Row],[Shortname]], Comp[], 19, FALSE)</f>
        <v>0</v>
      </c>
      <c r="X150">
        <f>VLOOKUP(Misfit[[#This Row],[Shortname]], Comp[], 20, FALSE)</f>
        <v>0</v>
      </c>
      <c r="Y150">
        <f>VLOOKUP(Misfit[[#This Row],[Shortname]], Comp[], 21, FALSE)</f>
        <v>0</v>
      </c>
      <c r="Z150">
        <f>VLOOKUP(Misfit[[#This Row],[Shortname]], Comp[], 22, FALSE)</f>
        <v>0</v>
      </c>
      <c r="AA150">
        <f>VLOOKUP(Misfit[[#This Row],[Shortname]], Comp[], 23, FALSE)</f>
        <v>0</v>
      </c>
      <c r="AB150">
        <f>VLOOKUP(Misfit[[#This Row],[Shortname]], Comp[], 24, FALSE)</f>
        <v>0</v>
      </c>
      <c r="AC150">
        <f>VLOOKUP(Misfit[[#This Row],[Shortname]], Comp[], 25, FALSE)</f>
        <v>0</v>
      </c>
      <c r="AD150">
        <f>VLOOKUP(Misfit[[#This Row],[Shortname]], Comp[], 26, FALSE)</f>
        <v>0</v>
      </c>
      <c r="AE150">
        <f>VLOOKUP(Misfit[[#This Row],[Shortname]], Comp[], 27, FALSE)</f>
        <v>0</v>
      </c>
      <c r="AF150">
        <f>VLOOKUP(Misfit[[#This Row],[Shortname]], Comp[], 28, FALSE)</f>
        <v>0</v>
      </c>
      <c r="AG150">
        <f>VLOOKUP(Misfit[[#This Row],[Shortname]], Comp[], 29, FALSE)</f>
        <v>0</v>
      </c>
      <c r="AH150">
        <f>VLOOKUP(Misfit[[#This Row],[Shortname]], Comp[], 30, FALSE)</f>
        <v>0</v>
      </c>
      <c r="AI150">
        <f>VLOOKUP(Misfit[[#This Row],[Shortname]], Comp[], 31, FALSE)</f>
        <v>0</v>
      </c>
    </row>
    <row r="151" spans="1:35" x14ac:dyDescent="0.3">
      <c r="A151" t="s">
        <v>3236</v>
      </c>
      <c r="B151" s="7" t="s">
        <v>1567</v>
      </c>
      <c r="C151" t="s">
        <v>6625</v>
      </c>
      <c r="D151">
        <v>750</v>
      </c>
      <c r="E151">
        <v>25</v>
      </c>
      <c r="F151">
        <v>0.35955999999999999</v>
      </c>
      <c r="G151">
        <v>0.35808000000000001</v>
      </c>
      <c r="H151" s="40">
        <f>2*(F151-G151)/(F151+G151)</f>
        <v>4.1246307340727416E-3</v>
      </c>
      <c r="J151">
        <f>VLOOKUP(Misfit[[#This Row],[Shortname]], Comp[], 6, FALSE)</f>
        <v>455</v>
      </c>
      <c r="K151">
        <f>VLOOKUP(Misfit[[#This Row],[Shortname]], Comp[], 7, FALSE)</f>
        <v>59.3</v>
      </c>
      <c r="L151">
        <f>VLOOKUP(Misfit[[#This Row],[Shortname]], Comp[], 8, FALSE)</f>
        <v>17</v>
      </c>
      <c r="M151">
        <f>VLOOKUP(Misfit[[#This Row],[Shortname]], Comp[], 9, FALSE)</f>
        <v>10</v>
      </c>
      <c r="N151">
        <f>VLOOKUP(Misfit[[#This Row],[Shortname]], Comp[], 10, FALSE)</f>
        <v>6</v>
      </c>
      <c r="O151">
        <f>VLOOKUP(Misfit[[#This Row],[Shortname]], Comp[], 11, FALSE)</f>
        <v>5</v>
      </c>
      <c r="P151">
        <f>VLOOKUP(Misfit[[#This Row],[Shortname]], Comp[],12, FALSE)</f>
        <v>0</v>
      </c>
      <c r="Q151">
        <f>VLOOKUP(Misfit[[#This Row],[Shortname]], Comp[], 13, FALSE)</f>
        <v>2.7</v>
      </c>
      <c r="R151">
        <f>VLOOKUP(Misfit[[#This Row],[Shortname]], Comp[], 14, FALSE)</f>
        <v>0</v>
      </c>
      <c r="S151">
        <f>VLOOKUP(Misfit[[#This Row],[Shortname]], Comp[], 15, FALSE)</f>
        <v>0</v>
      </c>
      <c r="T151">
        <f>VLOOKUP(Misfit[[#This Row],[Shortname]], Comp[], 16, FALSE)</f>
        <v>0</v>
      </c>
      <c r="U151">
        <f>VLOOKUP(Misfit[[#This Row],[Shortname]], Comp[], 17, FALSE)</f>
        <v>0</v>
      </c>
      <c r="V151">
        <f>VLOOKUP(Misfit[[#This Row],[Shortname]], Comp[], 18, FALSE)</f>
        <v>0</v>
      </c>
      <c r="W151">
        <f>VLOOKUP(Misfit[[#This Row],[Shortname]], Comp[], 19, FALSE)</f>
        <v>0</v>
      </c>
      <c r="X151">
        <f>VLOOKUP(Misfit[[#This Row],[Shortname]], Comp[], 20, FALSE)</f>
        <v>0</v>
      </c>
      <c r="Y151">
        <f>VLOOKUP(Misfit[[#This Row],[Shortname]], Comp[], 21, FALSE)</f>
        <v>0</v>
      </c>
      <c r="Z151">
        <f>VLOOKUP(Misfit[[#This Row],[Shortname]], Comp[], 22, FALSE)</f>
        <v>0</v>
      </c>
      <c r="AA151">
        <f>VLOOKUP(Misfit[[#This Row],[Shortname]], Comp[], 23, FALSE)</f>
        <v>0</v>
      </c>
      <c r="AB151">
        <f>VLOOKUP(Misfit[[#This Row],[Shortname]], Comp[], 24, FALSE)</f>
        <v>0</v>
      </c>
      <c r="AC151">
        <f>VLOOKUP(Misfit[[#This Row],[Shortname]], Comp[], 25, FALSE)</f>
        <v>0</v>
      </c>
      <c r="AD151">
        <f>VLOOKUP(Misfit[[#This Row],[Shortname]], Comp[], 26, FALSE)</f>
        <v>0</v>
      </c>
      <c r="AE151">
        <f>VLOOKUP(Misfit[[#This Row],[Shortname]], Comp[], 27, FALSE)</f>
        <v>0</v>
      </c>
      <c r="AF151">
        <f>VLOOKUP(Misfit[[#This Row],[Shortname]], Comp[], 28, FALSE)</f>
        <v>0</v>
      </c>
      <c r="AG151">
        <f>VLOOKUP(Misfit[[#This Row],[Shortname]], Comp[], 29, FALSE)</f>
        <v>0</v>
      </c>
      <c r="AH151">
        <f>VLOOKUP(Misfit[[#This Row],[Shortname]], Comp[], 30, FALSE)</f>
        <v>0</v>
      </c>
      <c r="AI151">
        <f>VLOOKUP(Misfit[[#This Row],[Shortname]], Comp[], 31, FALSE)</f>
        <v>0</v>
      </c>
    </row>
    <row r="152" spans="1:35" x14ac:dyDescent="0.3">
      <c r="A152" t="s">
        <v>3293</v>
      </c>
      <c r="B152" s="7" t="s">
        <v>3295</v>
      </c>
      <c r="C152" t="s">
        <v>6626</v>
      </c>
      <c r="D152">
        <v>900</v>
      </c>
      <c r="E152">
        <v>25</v>
      </c>
      <c r="F152">
        <v>0.35870000000000002</v>
      </c>
      <c r="G152">
        <v>0.35759999999999997</v>
      </c>
      <c r="H152" s="40">
        <f>2*(F152-G152)/(F152+G152)</f>
        <v>3.0713388245149952E-3</v>
      </c>
      <c r="J152">
        <f>VLOOKUP(Misfit[[#This Row],[Shortname]], Comp[], 6, FALSE)</f>
        <v>464</v>
      </c>
      <c r="K152">
        <f>VLOOKUP(Misfit[[#This Row],[Shortname]], Comp[], 7, FALSE)</f>
        <v>52.5</v>
      </c>
      <c r="L152">
        <f>VLOOKUP(Misfit[[#This Row],[Shortname]], Comp[], 8, FALSE)</f>
        <v>30</v>
      </c>
      <c r="M152">
        <f>VLOOKUP(Misfit[[#This Row],[Shortname]], Comp[], 9, FALSE)</f>
        <v>10</v>
      </c>
      <c r="N152">
        <f>VLOOKUP(Misfit[[#This Row],[Shortname]], Comp[], 10, FALSE)</f>
        <v>0</v>
      </c>
      <c r="O152">
        <f>VLOOKUP(Misfit[[#This Row],[Shortname]], Comp[], 11, FALSE)</f>
        <v>7.5</v>
      </c>
      <c r="P152">
        <f>VLOOKUP(Misfit[[#This Row],[Shortname]], Comp[],12, FALSE)</f>
        <v>0</v>
      </c>
      <c r="Q152">
        <f>VLOOKUP(Misfit[[#This Row],[Shortname]], Comp[], 13, FALSE)</f>
        <v>0</v>
      </c>
      <c r="R152">
        <f>VLOOKUP(Misfit[[#This Row],[Shortname]], Comp[], 14, FALSE)</f>
        <v>0</v>
      </c>
      <c r="S152">
        <f>VLOOKUP(Misfit[[#This Row],[Shortname]], Comp[], 15, FALSE)</f>
        <v>0</v>
      </c>
      <c r="T152">
        <f>VLOOKUP(Misfit[[#This Row],[Shortname]], Comp[], 16, FALSE)</f>
        <v>0</v>
      </c>
      <c r="U152">
        <f>VLOOKUP(Misfit[[#This Row],[Shortname]], Comp[], 17, FALSE)</f>
        <v>0</v>
      </c>
      <c r="V152">
        <f>VLOOKUP(Misfit[[#This Row],[Shortname]], Comp[], 18, FALSE)</f>
        <v>0</v>
      </c>
      <c r="W152">
        <f>VLOOKUP(Misfit[[#This Row],[Shortname]], Comp[], 19, FALSE)</f>
        <v>0</v>
      </c>
      <c r="X152">
        <f>VLOOKUP(Misfit[[#This Row],[Shortname]], Comp[], 20, FALSE)</f>
        <v>0</v>
      </c>
      <c r="Y152">
        <f>VLOOKUP(Misfit[[#This Row],[Shortname]], Comp[], 21, FALSE)</f>
        <v>0</v>
      </c>
      <c r="Z152">
        <f>VLOOKUP(Misfit[[#This Row],[Shortname]], Comp[], 22, FALSE)</f>
        <v>0</v>
      </c>
      <c r="AA152">
        <f>VLOOKUP(Misfit[[#This Row],[Shortname]], Comp[], 23, FALSE)</f>
        <v>0</v>
      </c>
      <c r="AB152">
        <f>VLOOKUP(Misfit[[#This Row],[Shortname]], Comp[], 24, FALSE)</f>
        <v>0</v>
      </c>
      <c r="AC152">
        <f>VLOOKUP(Misfit[[#This Row],[Shortname]], Comp[], 25, FALSE)</f>
        <v>0</v>
      </c>
      <c r="AD152">
        <f>VLOOKUP(Misfit[[#This Row],[Shortname]], Comp[], 26, FALSE)</f>
        <v>0</v>
      </c>
      <c r="AE152">
        <f>VLOOKUP(Misfit[[#This Row],[Shortname]], Comp[], 27, FALSE)</f>
        <v>0</v>
      </c>
      <c r="AF152">
        <f>VLOOKUP(Misfit[[#This Row],[Shortname]], Comp[], 28, FALSE)</f>
        <v>0</v>
      </c>
      <c r="AG152">
        <f>VLOOKUP(Misfit[[#This Row],[Shortname]], Comp[], 29, FALSE)</f>
        <v>0</v>
      </c>
      <c r="AH152">
        <f>VLOOKUP(Misfit[[#This Row],[Shortname]], Comp[], 30, FALSE)</f>
        <v>0</v>
      </c>
      <c r="AI152">
        <f>VLOOKUP(Misfit[[#This Row],[Shortname]], Comp[], 31, FALSE)</f>
        <v>0</v>
      </c>
    </row>
    <row r="153" spans="1:35" x14ac:dyDescent="0.3">
      <c r="A153" t="s">
        <v>3523</v>
      </c>
      <c r="B153" s="7" t="s">
        <v>3525</v>
      </c>
      <c r="C153" s="11" t="s">
        <v>6627</v>
      </c>
      <c r="D153" s="11">
        <v>1000</v>
      </c>
      <c r="E153">
        <v>25</v>
      </c>
      <c r="F153">
        <v>0.36</v>
      </c>
      <c r="G153">
        <v>0.3574</v>
      </c>
      <c r="H153" s="40">
        <v>7.3000000000000001E-3</v>
      </c>
      <c r="J153">
        <f>VLOOKUP(Misfit[[#This Row],[Shortname]], Comp[], 6, FALSE)</f>
        <v>509</v>
      </c>
      <c r="K153">
        <f>VLOOKUP(Misfit[[#This Row],[Shortname]], Comp[], 7, FALSE)</f>
        <v>62</v>
      </c>
      <c r="L153">
        <f>VLOOKUP(Misfit[[#This Row],[Shortname]], Comp[], 8, FALSE)</f>
        <v>20</v>
      </c>
      <c r="M153">
        <f>VLOOKUP(Misfit[[#This Row],[Shortname]], Comp[], 9, FALSE)</f>
        <v>9</v>
      </c>
      <c r="N153">
        <f>VLOOKUP(Misfit[[#This Row],[Shortname]], Comp[], 10, FALSE)</f>
        <v>0</v>
      </c>
      <c r="O153">
        <f>VLOOKUP(Misfit[[#This Row],[Shortname]], Comp[], 11, FALSE)</f>
        <v>7</v>
      </c>
      <c r="P153">
        <f>VLOOKUP(Misfit[[#This Row],[Shortname]], Comp[],12, FALSE)</f>
        <v>0</v>
      </c>
      <c r="Q153">
        <f>VLOOKUP(Misfit[[#This Row],[Shortname]], Comp[], 13, FALSE)</f>
        <v>2</v>
      </c>
      <c r="R153">
        <f>VLOOKUP(Misfit[[#This Row],[Shortname]], Comp[], 14, FALSE)</f>
        <v>0</v>
      </c>
      <c r="S153">
        <f>VLOOKUP(Misfit[[#This Row],[Shortname]], Comp[], 15, FALSE)</f>
        <v>0</v>
      </c>
      <c r="T153">
        <f>VLOOKUP(Misfit[[#This Row],[Shortname]], Comp[], 16, FALSE)</f>
        <v>0</v>
      </c>
      <c r="U153">
        <f>VLOOKUP(Misfit[[#This Row],[Shortname]], Comp[], 17, FALSE)</f>
        <v>0</v>
      </c>
      <c r="V153">
        <f>VLOOKUP(Misfit[[#This Row],[Shortname]], Comp[], 18, FALSE)</f>
        <v>0</v>
      </c>
      <c r="W153">
        <f>VLOOKUP(Misfit[[#This Row],[Shortname]], Comp[], 19, FALSE)</f>
        <v>0</v>
      </c>
      <c r="X153">
        <f>VLOOKUP(Misfit[[#This Row],[Shortname]], Comp[], 20, FALSE)</f>
        <v>0</v>
      </c>
      <c r="Y153">
        <f>VLOOKUP(Misfit[[#This Row],[Shortname]], Comp[], 21, FALSE)</f>
        <v>0</v>
      </c>
      <c r="Z153">
        <f>VLOOKUP(Misfit[[#This Row],[Shortname]], Comp[], 22, FALSE)</f>
        <v>0</v>
      </c>
      <c r="AA153">
        <f>VLOOKUP(Misfit[[#This Row],[Shortname]], Comp[], 23, FALSE)</f>
        <v>0</v>
      </c>
      <c r="AB153">
        <f>VLOOKUP(Misfit[[#This Row],[Shortname]], Comp[], 24, FALSE)</f>
        <v>0</v>
      </c>
      <c r="AC153">
        <f>VLOOKUP(Misfit[[#This Row],[Shortname]], Comp[], 25, FALSE)</f>
        <v>0</v>
      </c>
      <c r="AD153">
        <f>VLOOKUP(Misfit[[#This Row],[Shortname]], Comp[], 26, FALSE)</f>
        <v>0</v>
      </c>
      <c r="AE153">
        <f>VLOOKUP(Misfit[[#This Row],[Shortname]], Comp[], 27, FALSE)</f>
        <v>0</v>
      </c>
      <c r="AF153">
        <f>VLOOKUP(Misfit[[#This Row],[Shortname]], Comp[], 28, FALSE)</f>
        <v>0</v>
      </c>
      <c r="AG153">
        <f>VLOOKUP(Misfit[[#This Row],[Shortname]], Comp[], 29, FALSE)</f>
        <v>0</v>
      </c>
      <c r="AH153">
        <f>VLOOKUP(Misfit[[#This Row],[Shortname]], Comp[], 30, FALSE)</f>
        <v>0</v>
      </c>
      <c r="AI153">
        <f>VLOOKUP(Misfit[[#This Row],[Shortname]], Comp[], 31, FALSE)</f>
        <v>0</v>
      </c>
    </row>
    <row r="154" spans="1:35" x14ac:dyDescent="0.3">
      <c r="A154" t="s">
        <v>3523</v>
      </c>
      <c r="B154" s="7" t="s">
        <v>3525</v>
      </c>
      <c r="C154" s="11" t="s">
        <v>6627</v>
      </c>
      <c r="D154" s="11">
        <v>1000</v>
      </c>
      <c r="E154">
        <v>100</v>
      </c>
      <c r="F154">
        <v>0.36030000000000001</v>
      </c>
      <c r="G154">
        <v>0.35770000000000002</v>
      </c>
      <c r="H154" s="40">
        <f t="shared" ref="H154:H161" si="6">2*(F154-G154)/(F154+G154)</f>
        <v>7.2423398328690563E-3</v>
      </c>
      <c r="J154">
        <f>VLOOKUP(Misfit[[#This Row],[Shortname]], Comp[], 6, FALSE)</f>
        <v>509</v>
      </c>
      <c r="K154">
        <f>VLOOKUP(Misfit[[#This Row],[Shortname]], Comp[], 7, FALSE)</f>
        <v>62</v>
      </c>
      <c r="L154">
        <f>VLOOKUP(Misfit[[#This Row],[Shortname]], Comp[], 8, FALSE)</f>
        <v>20</v>
      </c>
      <c r="M154">
        <f>VLOOKUP(Misfit[[#This Row],[Shortname]], Comp[], 9, FALSE)</f>
        <v>9</v>
      </c>
      <c r="N154">
        <f>VLOOKUP(Misfit[[#This Row],[Shortname]], Comp[], 10, FALSE)</f>
        <v>0</v>
      </c>
      <c r="O154">
        <f>VLOOKUP(Misfit[[#This Row],[Shortname]], Comp[], 11, FALSE)</f>
        <v>7</v>
      </c>
      <c r="P154">
        <f>VLOOKUP(Misfit[[#This Row],[Shortname]], Comp[],12, FALSE)</f>
        <v>0</v>
      </c>
      <c r="Q154">
        <f>VLOOKUP(Misfit[[#This Row],[Shortname]], Comp[], 13, FALSE)</f>
        <v>2</v>
      </c>
      <c r="R154">
        <f>VLOOKUP(Misfit[[#This Row],[Shortname]], Comp[], 14, FALSE)</f>
        <v>0</v>
      </c>
      <c r="S154">
        <f>VLOOKUP(Misfit[[#This Row],[Shortname]], Comp[], 15, FALSE)</f>
        <v>0</v>
      </c>
      <c r="T154">
        <f>VLOOKUP(Misfit[[#This Row],[Shortname]], Comp[], 16, FALSE)</f>
        <v>0</v>
      </c>
      <c r="U154">
        <f>VLOOKUP(Misfit[[#This Row],[Shortname]], Comp[], 17, FALSE)</f>
        <v>0</v>
      </c>
      <c r="V154">
        <f>VLOOKUP(Misfit[[#This Row],[Shortname]], Comp[], 18, FALSE)</f>
        <v>0</v>
      </c>
      <c r="W154">
        <f>VLOOKUP(Misfit[[#This Row],[Shortname]], Comp[], 19, FALSE)</f>
        <v>0</v>
      </c>
      <c r="X154">
        <f>VLOOKUP(Misfit[[#This Row],[Shortname]], Comp[], 20, FALSE)</f>
        <v>0</v>
      </c>
      <c r="Y154">
        <f>VLOOKUP(Misfit[[#This Row],[Shortname]], Comp[], 21, FALSE)</f>
        <v>0</v>
      </c>
      <c r="Z154">
        <f>VLOOKUP(Misfit[[#This Row],[Shortname]], Comp[], 22, FALSE)</f>
        <v>0</v>
      </c>
      <c r="AA154">
        <f>VLOOKUP(Misfit[[#This Row],[Shortname]], Comp[], 23, FALSE)</f>
        <v>0</v>
      </c>
      <c r="AB154">
        <f>VLOOKUP(Misfit[[#This Row],[Shortname]], Comp[], 24, FALSE)</f>
        <v>0</v>
      </c>
      <c r="AC154">
        <f>VLOOKUP(Misfit[[#This Row],[Shortname]], Comp[], 25, FALSE)</f>
        <v>0</v>
      </c>
      <c r="AD154">
        <f>VLOOKUP(Misfit[[#This Row],[Shortname]], Comp[], 26, FALSE)</f>
        <v>0</v>
      </c>
      <c r="AE154">
        <f>VLOOKUP(Misfit[[#This Row],[Shortname]], Comp[], 27, FALSE)</f>
        <v>0</v>
      </c>
      <c r="AF154">
        <f>VLOOKUP(Misfit[[#This Row],[Shortname]], Comp[], 28, FALSE)</f>
        <v>0</v>
      </c>
      <c r="AG154">
        <f>VLOOKUP(Misfit[[#This Row],[Shortname]], Comp[], 29, FALSE)</f>
        <v>0</v>
      </c>
      <c r="AH154">
        <f>VLOOKUP(Misfit[[#This Row],[Shortname]], Comp[], 30, FALSE)</f>
        <v>0</v>
      </c>
      <c r="AI154">
        <f>VLOOKUP(Misfit[[#This Row],[Shortname]], Comp[], 31, FALSE)</f>
        <v>0</v>
      </c>
    </row>
    <row r="155" spans="1:35" x14ac:dyDescent="0.3">
      <c r="A155" t="s">
        <v>3523</v>
      </c>
      <c r="B155" s="7" t="s">
        <v>3525</v>
      </c>
      <c r="C155" s="11" t="s">
        <v>6627</v>
      </c>
      <c r="D155" s="11">
        <v>1000</v>
      </c>
      <c r="E155">
        <v>200</v>
      </c>
      <c r="F155">
        <v>0.36070000000000002</v>
      </c>
      <c r="G155">
        <v>0.35830000000000001</v>
      </c>
      <c r="H155" s="40">
        <f t="shared" si="6"/>
        <v>6.6759388038943341E-3</v>
      </c>
      <c r="J155">
        <f>VLOOKUP(Misfit[[#This Row],[Shortname]], Comp[], 6, FALSE)</f>
        <v>509</v>
      </c>
      <c r="K155">
        <f>VLOOKUP(Misfit[[#This Row],[Shortname]], Comp[], 7, FALSE)</f>
        <v>62</v>
      </c>
      <c r="L155">
        <f>VLOOKUP(Misfit[[#This Row],[Shortname]], Comp[], 8, FALSE)</f>
        <v>20</v>
      </c>
      <c r="M155">
        <f>VLOOKUP(Misfit[[#This Row],[Shortname]], Comp[], 9, FALSE)</f>
        <v>9</v>
      </c>
      <c r="N155">
        <f>VLOOKUP(Misfit[[#This Row],[Shortname]], Comp[], 10, FALSE)</f>
        <v>0</v>
      </c>
      <c r="O155">
        <f>VLOOKUP(Misfit[[#This Row],[Shortname]], Comp[], 11, FALSE)</f>
        <v>7</v>
      </c>
      <c r="P155">
        <f>VLOOKUP(Misfit[[#This Row],[Shortname]], Comp[],12, FALSE)</f>
        <v>0</v>
      </c>
      <c r="Q155">
        <f>VLOOKUP(Misfit[[#This Row],[Shortname]], Comp[], 13, FALSE)</f>
        <v>2</v>
      </c>
      <c r="R155">
        <f>VLOOKUP(Misfit[[#This Row],[Shortname]], Comp[], 14, FALSE)</f>
        <v>0</v>
      </c>
      <c r="S155">
        <f>VLOOKUP(Misfit[[#This Row],[Shortname]], Comp[], 15, FALSE)</f>
        <v>0</v>
      </c>
      <c r="T155">
        <f>VLOOKUP(Misfit[[#This Row],[Shortname]], Comp[], 16, FALSE)</f>
        <v>0</v>
      </c>
      <c r="U155">
        <f>VLOOKUP(Misfit[[#This Row],[Shortname]], Comp[], 17, FALSE)</f>
        <v>0</v>
      </c>
      <c r="V155">
        <f>VLOOKUP(Misfit[[#This Row],[Shortname]], Comp[], 18, FALSE)</f>
        <v>0</v>
      </c>
      <c r="W155">
        <f>VLOOKUP(Misfit[[#This Row],[Shortname]], Comp[], 19, FALSE)</f>
        <v>0</v>
      </c>
      <c r="X155">
        <f>VLOOKUP(Misfit[[#This Row],[Shortname]], Comp[], 20, FALSE)</f>
        <v>0</v>
      </c>
      <c r="Y155">
        <f>VLOOKUP(Misfit[[#This Row],[Shortname]], Comp[], 21, FALSE)</f>
        <v>0</v>
      </c>
      <c r="Z155">
        <f>VLOOKUP(Misfit[[#This Row],[Shortname]], Comp[], 22, FALSE)</f>
        <v>0</v>
      </c>
      <c r="AA155">
        <f>VLOOKUP(Misfit[[#This Row],[Shortname]], Comp[], 23, FALSE)</f>
        <v>0</v>
      </c>
      <c r="AB155">
        <f>VLOOKUP(Misfit[[#This Row],[Shortname]], Comp[], 24, FALSE)</f>
        <v>0</v>
      </c>
      <c r="AC155">
        <f>VLOOKUP(Misfit[[#This Row],[Shortname]], Comp[], 25, FALSE)</f>
        <v>0</v>
      </c>
      <c r="AD155">
        <f>VLOOKUP(Misfit[[#This Row],[Shortname]], Comp[], 26, FALSE)</f>
        <v>0</v>
      </c>
      <c r="AE155">
        <f>VLOOKUP(Misfit[[#This Row],[Shortname]], Comp[], 27, FALSE)</f>
        <v>0</v>
      </c>
      <c r="AF155">
        <f>VLOOKUP(Misfit[[#This Row],[Shortname]], Comp[], 28, FALSE)</f>
        <v>0</v>
      </c>
      <c r="AG155">
        <f>VLOOKUP(Misfit[[#This Row],[Shortname]], Comp[], 29, FALSE)</f>
        <v>0</v>
      </c>
      <c r="AH155">
        <f>VLOOKUP(Misfit[[#This Row],[Shortname]], Comp[], 30, FALSE)</f>
        <v>0</v>
      </c>
      <c r="AI155">
        <f>VLOOKUP(Misfit[[#This Row],[Shortname]], Comp[], 31, FALSE)</f>
        <v>0</v>
      </c>
    </row>
    <row r="156" spans="1:35" x14ac:dyDescent="0.3">
      <c r="A156" t="s">
        <v>3523</v>
      </c>
      <c r="B156" s="7" t="s">
        <v>3525</v>
      </c>
      <c r="C156" s="11" t="s">
        <v>6627</v>
      </c>
      <c r="D156" s="11">
        <v>1000</v>
      </c>
      <c r="E156">
        <v>300</v>
      </c>
      <c r="F156">
        <v>0.36109999999999998</v>
      </c>
      <c r="G156">
        <v>0.35880000000000001</v>
      </c>
      <c r="H156" s="40">
        <f t="shared" si="6"/>
        <v>6.389776357827389E-3</v>
      </c>
      <c r="J156">
        <f>VLOOKUP(Misfit[[#This Row],[Shortname]], Comp[], 6, FALSE)</f>
        <v>509</v>
      </c>
      <c r="K156">
        <f>VLOOKUP(Misfit[[#This Row],[Shortname]], Comp[], 7, FALSE)</f>
        <v>62</v>
      </c>
      <c r="L156">
        <f>VLOOKUP(Misfit[[#This Row],[Shortname]], Comp[], 8, FALSE)</f>
        <v>20</v>
      </c>
      <c r="M156">
        <f>VLOOKUP(Misfit[[#This Row],[Shortname]], Comp[], 9, FALSE)</f>
        <v>9</v>
      </c>
      <c r="N156">
        <f>VLOOKUP(Misfit[[#This Row],[Shortname]], Comp[], 10, FALSE)</f>
        <v>0</v>
      </c>
      <c r="O156">
        <f>VLOOKUP(Misfit[[#This Row],[Shortname]], Comp[], 11, FALSE)</f>
        <v>7</v>
      </c>
      <c r="P156">
        <f>VLOOKUP(Misfit[[#This Row],[Shortname]], Comp[],12, FALSE)</f>
        <v>0</v>
      </c>
      <c r="Q156">
        <f>VLOOKUP(Misfit[[#This Row],[Shortname]], Comp[], 13, FALSE)</f>
        <v>2</v>
      </c>
      <c r="R156">
        <f>VLOOKUP(Misfit[[#This Row],[Shortname]], Comp[], 14, FALSE)</f>
        <v>0</v>
      </c>
      <c r="S156">
        <f>VLOOKUP(Misfit[[#This Row],[Shortname]], Comp[], 15, FALSE)</f>
        <v>0</v>
      </c>
      <c r="T156">
        <f>VLOOKUP(Misfit[[#This Row],[Shortname]], Comp[], 16, FALSE)</f>
        <v>0</v>
      </c>
      <c r="U156">
        <f>VLOOKUP(Misfit[[#This Row],[Shortname]], Comp[], 17, FALSE)</f>
        <v>0</v>
      </c>
      <c r="V156">
        <f>VLOOKUP(Misfit[[#This Row],[Shortname]], Comp[], 18, FALSE)</f>
        <v>0</v>
      </c>
      <c r="W156">
        <f>VLOOKUP(Misfit[[#This Row],[Shortname]], Comp[], 19, FALSE)</f>
        <v>0</v>
      </c>
      <c r="X156">
        <f>VLOOKUP(Misfit[[#This Row],[Shortname]], Comp[], 20, FALSE)</f>
        <v>0</v>
      </c>
      <c r="Y156">
        <f>VLOOKUP(Misfit[[#This Row],[Shortname]], Comp[], 21, FALSE)</f>
        <v>0</v>
      </c>
      <c r="Z156">
        <f>VLOOKUP(Misfit[[#This Row],[Shortname]], Comp[], 22, FALSE)</f>
        <v>0</v>
      </c>
      <c r="AA156">
        <f>VLOOKUP(Misfit[[#This Row],[Shortname]], Comp[], 23, FALSE)</f>
        <v>0</v>
      </c>
      <c r="AB156">
        <f>VLOOKUP(Misfit[[#This Row],[Shortname]], Comp[], 24, FALSE)</f>
        <v>0</v>
      </c>
      <c r="AC156">
        <f>VLOOKUP(Misfit[[#This Row],[Shortname]], Comp[], 25, FALSE)</f>
        <v>0</v>
      </c>
      <c r="AD156">
        <f>VLOOKUP(Misfit[[#This Row],[Shortname]], Comp[], 26, FALSE)</f>
        <v>0</v>
      </c>
      <c r="AE156">
        <f>VLOOKUP(Misfit[[#This Row],[Shortname]], Comp[], 27, FALSE)</f>
        <v>0</v>
      </c>
      <c r="AF156">
        <f>VLOOKUP(Misfit[[#This Row],[Shortname]], Comp[], 28, FALSE)</f>
        <v>0</v>
      </c>
      <c r="AG156">
        <f>VLOOKUP(Misfit[[#This Row],[Shortname]], Comp[], 29, FALSE)</f>
        <v>0</v>
      </c>
      <c r="AH156">
        <f>VLOOKUP(Misfit[[#This Row],[Shortname]], Comp[], 30, FALSE)</f>
        <v>0</v>
      </c>
      <c r="AI156">
        <f>VLOOKUP(Misfit[[#This Row],[Shortname]], Comp[], 31, FALSE)</f>
        <v>0</v>
      </c>
    </row>
    <row r="157" spans="1:35" x14ac:dyDescent="0.3">
      <c r="A157" t="s">
        <v>3523</v>
      </c>
      <c r="B157" s="7" t="s">
        <v>3525</v>
      </c>
      <c r="C157" s="11" t="s">
        <v>6627</v>
      </c>
      <c r="D157" s="11">
        <v>1000</v>
      </c>
      <c r="E157">
        <v>400</v>
      </c>
      <c r="F157">
        <v>0.36159999999999998</v>
      </c>
      <c r="G157">
        <v>0.35930000000000001</v>
      </c>
      <c r="H157" s="40">
        <f t="shared" si="6"/>
        <v>6.3809127479538602E-3</v>
      </c>
      <c r="J157">
        <f>VLOOKUP(Misfit[[#This Row],[Shortname]], Comp[], 6, FALSE)</f>
        <v>509</v>
      </c>
      <c r="K157">
        <f>VLOOKUP(Misfit[[#This Row],[Shortname]], Comp[], 7, FALSE)</f>
        <v>62</v>
      </c>
      <c r="L157">
        <f>VLOOKUP(Misfit[[#This Row],[Shortname]], Comp[], 8, FALSE)</f>
        <v>20</v>
      </c>
      <c r="M157">
        <f>VLOOKUP(Misfit[[#This Row],[Shortname]], Comp[], 9, FALSE)</f>
        <v>9</v>
      </c>
      <c r="N157">
        <f>VLOOKUP(Misfit[[#This Row],[Shortname]], Comp[], 10, FALSE)</f>
        <v>0</v>
      </c>
      <c r="O157">
        <f>VLOOKUP(Misfit[[#This Row],[Shortname]], Comp[], 11, FALSE)</f>
        <v>7</v>
      </c>
      <c r="P157">
        <f>VLOOKUP(Misfit[[#This Row],[Shortname]], Comp[],12, FALSE)</f>
        <v>0</v>
      </c>
      <c r="Q157">
        <f>VLOOKUP(Misfit[[#This Row],[Shortname]], Comp[], 13, FALSE)</f>
        <v>2</v>
      </c>
      <c r="R157">
        <f>VLOOKUP(Misfit[[#This Row],[Shortname]], Comp[], 14, FALSE)</f>
        <v>0</v>
      </c>
      <c r="S157">
        <f>VLOOKUP(Misfit[[#This Row],[Shortname]], Comp[], 15, FALSE)</f>
        <v>0</v>
      </c>
      <c r="T157">
        <f>VLOOKUP(Misfit[[#This Row],[Shortname]], Comp[], 16, FALSE)</f>
        <v>0</v>
      </c>
      <c r="U157">
        <f>VLOOKUP(Misfit[[#This Row],[Shortname]], Comp[], 17, FALSE)</f>
        <v>0</v>
      </c>
      <c r="V157">
        <f>VLOOKUP(Misfit[[#This Row],[Shortname]], Comp[], 18, FALSE)</f>
        <v>0</v>
      </c>
      <c r="W157">
        <f>VLOOKUP(Misfit[[#This Row],[Shortname]], Comp[], 19, FALSE)</f>
        <v>0</v>
      </c>
      <c r="X157">
        <f>VLOOKUP(Misfit[[#This Row],[Shortname]], Comp[], 20, FALSE)</f>
        <v>0</v>
      </c>
      <c r="Y157">
        <f>VLOOKUP(Misfit[[#This Row],[Shortname]], Comp[], 21, FALSE)</f>
        <v>0</v>
      </c>
      <c r="Z157">
        <f>VLOOKUP(Misfit[[#This Row],[Shortname]], Comp[], 22, FALSE)</f>
        <v>0</v>
      </c>
      <c r="AA157">
        <f>VLOOKUP(Misfit[[#This Row],[Shortname]], Comp[], 23, FALSE)</f>
        <v>0</v>
      </c>
      <c r="AB157">
        <f>VLOOKUP(Misfit[[#This Row],[Shortname]], Comp[], 24, FALSE)</f>
        <v>0</v>
      </c>
      <c r="AC157">
        <f>VLOOKUP(Misfit[[#This Row],[Shortname]], Comp[], 25, FALSE)</f>
        <v>0</v>
      </c>
      <c r="AD157">
        <f>VLOOKUP(Misfit[[#This Row],[Shortname]], Comp[], 26, FALSE)</f>
        <v>0</v>
      </c>
      <c r="AE157">
        <f>VLOOKUP(Misfit[[#This Row],[Shortname]], Comp[], 27, FALSE)</f>
        <v>0</v>
      </c>
      <c r="AF157">
        <f>VLOOKUP(Misfit[[#This Row],[Shortname]], Comp[], 28, FALSE)</f>
        <v>0</v>
      </c>
      <c r="AG157">
        <f>VLOOKUP(Misfit[[#This Row],[Shortname]], Comp[], 29, FALSE)</f>
        <v>0</v>
      </c>
      <c r="AH157">
        <f>VLOOKUP(Misfit[[#This Row],[Shortname]], Comp[], 30, FALSE)</f>
        <v>0</v>
      </c>
      <c r="AI157">
        <f>VLOOKUP(Misfit[[#This Row],[Shortname]], Comp[], 31, FALSE)</f>
        <v>0</v>
      </c>
    </row>
    <row r="158" spans="1:35" x14ac:dyDescent="0.3">
      <c r="A158" t="s">
        <v>3523</v>
      </c>
      <c r="B158" s="7" t="s">
        <v>3525</v>
      </c>
      <c r="C158" s="11" t="s">
        <v>6627</v>
      </c>
      <c r="D158" s="11">
        <v>1000</v>
      </c>
      <c r="E158">
        <v>500</v>
      </c>
      <c r="F158">
        <v>0.36220000000000002</v>
      </c>
      <c r="G158">
        <v>0.35970000000000002</v>
      </c>
      <c r="H158" s="40">
        <f t="shared" si="6"/>
        <v>6.9261670591494731E-3</v>
      </c>
      <c r="J158">
        <f>VLOOKUP(Misfit[[#This Row],[Shortname]], Comp[], 6, FALSE)</f>
        <v>509</v>
      </c>
      <c r="K158">
        <f>VLOOKUP(Misfit[[#This Row],[Shortname]], Comp[], 7, FALSE)</f>
        <v>62</v>
      </c>
      <c r="L158">
        <f>VLOOKUP(Misfit[[#This Row],[Shortname]], Comp[], 8, FALSE)</f>
        <v>20</v>
      </c>
      <c r="M158">
        <f>VLOOKUP(Misfit[[#This Row],[Shortname]], Comp[], 9, FALSE)</f>
        <v>9</v>
      </c>
      <c r="N158">
        <f>VLOOKUP(Misfit[[#This Row],[Shortname]], Comp[], 10, FALSE)</f>
        <v>0</v>
      </c>
      <c r="O158">
        <f>VLOOKUP(Misfit[[#This Row],[Shortname]], Comp[], 11, FALSE)</f>
        <v>7</v>
      </c>
      <c r="P158">
        <f>VLOOKUP(Misfit[[#This Row],[Shortname]], Comp[],12, FALSE)</f>
        <v>0</v>
      </c>
      <c r="Q158">
        <f>VLOOKUP(Misfit[[#This Row],[Shortname]], Comp[], 13, FALSE)</f>
        <v>2</v>
      </c>
      <c r="R158">
        <f>VLOOKUP(Misfit[[#This Row],[Shortname]], Comp[], 14, FALSE)</f>
        <v>0</v>
      </c>
      <c r="S158">
        <f>VLOOKUP(Misfit[[#This Row],[Shortname]], Comp[], 15, FALSE)</f>
        <v>0</v>
      </c>
      <c r="T158">
        <f>VLOOKUP(Misfit[[#This Row],[Shortname]], Comp[], 16, FALSE)</f>
        <v>0</v>
      </c>
      <c r="U158">
        <f>VLOOKUP(Misfit[[#This Row],[Shortname]], Comp[], 17, FALSE)</f>
        <v>0</v>
      </c>
      <c r="V158">
        <f>VLOOKUP(Misfit[[#This Row],[Shortname]], Comp[], 18, FALSE)</f>
        <v>0</v>
      </c>
      <c r="W158">
        <f>VLOOKUP(Misfit[[#This Row],[Shortname]], Comp[], 19, FALSE)</f>
        <v>0</v>
      </c>
      <c r="X158">
        <f>VLOOKUP(Misfit[[#This Row],[Shortname]], Comp[], 20, FALSE)</f>
        <v>0</v>
      </c>
      <c r="Y158">
        <f>VLOOKUP(Misfit[[#This Row],[Shortname]], Comp[], 21, FALSE)</f>
        <v>0</v>
      </c>
      <c r="Z158">
        <f>VLOOKUP(Misfit[[#This Row],[Shortname]], Comp[], 22, FALSE)</f>
        <v>0</v>
      </c>
      <c r="AA158">
        <f>VLOOKUP(Misfit[[#This Row],[Shortname]], Comp[], 23, FALSE)</f>
        <v>0</v>
      </c>
      <c r="AB158">
        <f>VLOOKUP(Misfit[[#This Row],[Shortname]], Comp[], 24, FALSE)</f>
        <v>0</v>
      </c>
      <c r="AC158">
        <f>VLOOKUP(Misfit[[#This Row],[Shortname]], Comp[], 25, FALSE)</f>
        <v>0</v>
      </c>
      <c r="AD158">
        <f>VLOOKUP(Misfit[[#This Row],[Shortname]], Comp[], 26, FALSE)</f>
        <v>0</v>
      </c>
      <c r="AE158">
        <f>VLOOKUP(Misfit[[#This Row],[Shortname]], Comp[], 27, FALSE)</f>
        <v>0</v>
      </c>
      <c r="AF158">
        <f>VLOOKUP(Misfit[[#This Row],[Shortname]], Comp[], 28, FALSE)</f>
        <v>0</v>
      </c>
      <c r="AG158">
        <f>VLOOKUP(Misfit[[#This Row],[Shortname]], Comp[], 29, FALSE)</f>
        <v>0</v>
      </c>
      <c r="AH158">
        <f>VLOOKUP(Misfit[[#This Row],[Shortname]], Comp[], 30, FALSE)</f>
        <v>0</v>
      </c>
      <c r="AI158">
        <f>VLOOKUP(Misfit[[#This Row],[Shortname]], Comp[], 31, FALSE)</f>
        <v>0</v>
      </c>
    </row>
    <row r="159" spans="1:35" x14ac:dyDescent="0.3">
      <c r="A159" t="s">
        <v>3523</v>
      </c>
      <c r="B159" s="7" t="s">
        <v>3525</v>
      </c>
      <c r="C159" s="11" t="s">
        <v>6627</v>
      </c>
      <c r="D159" s="11">
        <v>1000</v>
      </c>
      <c r="E159">
        <v>600</v>
      </c>
      <c r="F159">
        <v>0.36259999999999998</v>
      </c>
      <c r="G159">
        <v>0.36020000000000002</v>
      </c>
      <c r="H159" s="40">
        <f t="shared" si="6"/>
        <v>6.6408411732151573E-3</v>
      </c>
      <c r="J159">
        <f>VLOOKUP(Misfit[[#This Row],[Shortname]], Comp[], 6, FALSE)</f>
        <v>509</v>
      </c>
      <c r="K159">
        <f>VLOOKUP(Misfit[[#This Row],[Shortname]], Comp[], 7, FALSE)</f>
        <v>62</v>
      </c>
      <c r="L159">
        <f>VLOOKUP(Misfit[[#This Row],[Shortname]], Comp[], 8, FALSE)</f>
        <v>20</v>
      </c>
      <c r="M159">
        <f>VLOOKUP(Misfit[[#This Row],[Shortname]], Comp[], 9, FALSE)</f>
        <v>9</v>
      </c>
      <c r="N159">
        <f>VLOOKUP(Misfit[[#This Row],[Shortname]], Comp[], 10, FALSE)</f>
        <v>0</v>
      </c>
      <c r="O159">
        <f>VLOOKUP(Misfit[[#This Row],[Shortname]], Comp[], 11, FALSE)</f>
        <v>7</v>
      </c>
      <c r="P159">
        <f>VLOOKUP(Misfit[[#This Row],[Shortname]], Comp[],12, FALSE)</f>
        <v>0</v>
      </c>
      <c r="Q159">
        <f>VLOOKUP(Misfit[[#This Row],[Shortname]], Comp[], 13, FALSE)</f>
        <v>2</v>
      </c>
      <c r="R159">
        <f>VLOOKUP(Misfit[[#This Row],[Shortname]], Comp[], 14, FALSE)</f>
        <v>0</v>
      </c>
      <c r="S159">
        <f>VLOOKUP(Misfit[[#This Row],[Shortname]], Comp[], 15, FALSE)</f>
        <v>0</v>
      </c>
      <c r="T159">
        <f>VLOOKUP(Misfit[[#This Row],[Shortname]], Comp[], 16, FALSE)</f>
        <v>0</v>
      </c>
      <c r="U159">
        <f>VLOOKUP(Misfit[[#This Row],[Shortname]], Comp[], 17, FALSE)</f>
        <v>0</v>
      </c>
      <c r="V159">
        <f>VLOOKUP(Misfit[[#This Row],[Shortname]], Comp[], 18, FALSE)</f>
        <v>0</v>
      </c>
      <c r="W159">
        <f>VLOOKUP(Misfit[[#This Row],[Shortname]], Comp[], 19, FALSE)</f>
        <v>0</v>
      </c>
      <c r="X159">
        <f>VLOOKUP(Misfit[[#This Row],[Shortname]], Comp[], 20, FALSE)</f>
        <v>0</v>
      </c>
      <c r="Y159">
        <f>VLOOKUP(Misfit[[#This Row],[Shortname]], Comp[], 21, FALSE)</f>
        <v>0</v>
      </c>
      <c r="Z159">
        <f>VLOOKUP(Misfit[[#This Row],[Shortname]], Comp[], 22, FALSE)</f>
        <v>0</v>
      </c>
      <c r="AA159">
        <f>VLOOKUP(Misfit[[#This Row],[Shortname]], Comp[], 23, FALSE)</f>
        <v>0</v>
      </c>
      <c r="AB159">
        <f>VLOOKUP(Misfit[[#This Row],[Shortname]], Comp[], 24, FALSE)</f>
        <v>0</v>
      </c>
      <c r="AC159">
        <f>VLOOKUP(Misfit[[#This Row],[Shortname]], Comp[], 25, FALSE)</f>
        <v>0</v>
      </c>
      <c r="AD159">
        <f>VLOOKUP(Misfit[[#This Row],[Shortname]], Comp[], 26, FALSE)</f>
        <v>0</v>
      </c>
      <c r="AE159">
        <f>VLOOKUP(Misfit[[#This Row],[Shortname]], Comp[], 27, FALSE)</f>
        <v>0</v>
      </c>
      <c r="AF159">
        <f>VLOOKUP(Misfit[[#This Row],[Shortname]], Comp[], 28, FALSE)</f>
        <v>0</v>
      </c>
      <c r="AG159">
        <f>VLOOKUP(Misfit[[#This Row],[Shortname]], Comp[], 29, FALSE)</f>
        <v>0</v>
      </c>
      <c r="AH159">
        <f>VLOOKUP(Misfit[[#This Row],[Shortname]], Comp[], 30, FALSE)</f>
        <v>0</v>
      </c>
      <c r="AI159">
        <f>VLOOKUP(Misfit[[#This Row],[Shortname]], Comp[], 31, FALSE)</f>
        <v>0</v>
      </c>
    </row>
    <row r="160" spans="1:35" x14ac:dyDescent="0.3">
      <c r="A160" t="s">
        <v>3523</v>
      </c>
      <c r="B160" s="7" t="s">
        <v>3525</v>
      </c>
      <c r="C160" s="11" t="s">
        <v>6627</v>
      </c>
      <c r="D160" s="11">
        <v>1000</v>
      </c>
      <c r="E160">
        <v>700</v>
      </c>
      <c r="F160">
        <v>0.36330000000000001</v>
      </c>
      <c r="G160">
        <v>0.36120000000000002</v>
      </c>
      <c r="H160" s="40">
        <f t="shared" si="6"/>
        <v>5.7971014492753364E-3</v>
      </c>
      <c r="J160">
        <f>VLOOKUP(Misfit[[#This Row],[Shortname]], Comp[], 6, FALSE)</f>
        <v>509</v>
      </c>
      <c r="K160">
        <f>VLOOKUP(Misfit[[#This Row],[Shortname]], Comp[], 7, FALSE)</f>
        <v>62</v>
      </c>
      <c r="L160">
        <f>VLOOKUP(Misfit[[#This Row],[Shortname]], Comp[], 8, FALSE)</f>
        <v>20</v>
      </c>
      <c r="M160">
        <f>VLOOKUP(Misfit[[#This Row],[Shortname]], Comp[], 9, FALSE)</f>
        <v>9</v>
      </c>
      <c r="N160">
        <f>VLOOKUP(Misfit[[#This Row],[Shortname]], Comp[], 10, FALSE)</f>
        <v>0</v>
      </c>
      <c r="O160">
        <f>VLOOKUP(Misfit[[#This Row],[Shortname]], Comp[], 11, FALSE)</f>
        <v>7</v>
      </c>
      <c r="P160">
        <f>VLOOKUP(Misfit[[#This Row],[Shortname]], Comp[],12, FALSE)</f>
        <v>0</v>
      </c>
      <c r="Q160">
        <f>VLOOKUP(Misfit[[#This Row],[Shortname]], Comp[], 13, FALSE)</f>
        <v>2</v>
      </c>
      <c r="R160">
        <f>VLOOKUP(Misfit[[#This Row],[Shortname]], Comp[], 14, FALSE)</f>
        <v>0</v>
      </c>
      <c r="S160">
        <f>VLOOKUP(Misfit[[#This Row],[Shortname]], Comp[], 15, FALSE)</f>
        <v>0</v>
      </c>
      <c r="T160">
        <f>VLOOKUP(Misfit[[#This Row],[Shortname]], Comp[], 16, FALSE)</f>
        <v>0</v>
      </c>
      <c r="U160">
        <f>VLOOKUP(Misfit[[#This Row],[Shortname]], Comp[], 17, FALSE)</f>
        <v>0</v>
      </c>
      <c r="V160">
        <f>VLOOKUP(Misfit[[#This Row],[Shortname]], Comp[], 18, FALSE)</f>
        <v>0</v>
      </c>
      <c r="W160">
        <f>VLOOKUP(Misfit[[#This Row],[Shortname]], Comp[], 19, FALSE)</f>
        <v>0</v>
      </c>
      <c r="X160">
        <f>VLOOKUP(Misfit[[#This Row],[Shortname]], Comp[], 20, FALSE)</f>
        <v>0</v>
      </c>
      <c r="Y160">
        <f>VLOOKUP(Misfit[[#This Row],[Shortname]], Comp[], 21, FALSE)</f>
        <v>0</v>
      </c>
      <c r="Z160">
        <f>VLOOKUP(Misfit[[#This Row],[Shortname]], Comp[], 22, FALSE)</f>
        <v>0</v>
      </c>
      <c r="AA160">
        <f>VLOOKUP(Misfit[[#This Row],[Shortname]], Comp[], 23, FALSE)</f>
        <v>0</v>
      </c>
      <c r="AB160">
        <f>VLOOKUP(Misfit[[#This Row],[Shortname]], Comp[], 24, FALSE)</f>
        <v>0</v>
      </c>
      <c r="AC160">
        <f>VLOOKUP(Misfit[[#This Row],[Shortname]], Comp[], 25, FALSE)</f>
        <v>0</v>
      </c>
      <c r="AD160">
        <f>VLOOKUP(Misfit[[#This Row],[Shortname]], Comp[], 26, FALSE)</f>
        <v>0</v>
      </c>
      <c r="AE160">
        <f>VLOOKUP(Misfit[[#This Row],[Shortname]], Comp[], 27, FALSE)</f>
        <v>0</v>
      </c>
      <c r="AF160">
        <f>VLOOKUP(Misfit[[#This Row],[Shortname]], Comp[], 28, FALSE)</f>
        <v>0</v>
      </c>
      <c r="AG160">
        <f>VLOOKUP(Misfit[[#This Row],[Shortname]], Comp[], 29, FALSE)</f>
        <v>0</v>
      </c>
      <c r="AH160">
        <f>VLOOKUP(Misfit[[#This Row],[Shortname]], Comp[], 30, FALSE)</f>
        <v>0</v>
      </c>
      <c r="AI160">
        <f>VLOOKUP(Misfit[[#This Row],[Shortname]], Comp[], 31, FALSE)</f>
        <v>0</v>
      </c>
    </row>
    <row r="161" spans="1:35" x14ac:dyDescent="0.3">
      <c r="A161" t="s">
        <v>3523</v>
      </c>
      <c r="B161" s="7" t="s">
        <v>3525</v>
      </c>
      <c r="C161" s="11" t="s">
        <v>6627</v>
      </c>
      <c r="D161" s="11">
        <v>1000</v>
      </c>
      <c r="E161">
        <v>800</v>
      </c>
      <c r="F161">
        <v>0.36399999999999999</v>
      </c>
      <c r="G161">
        <v>0.36159999999999998</v>
      </c>
      <c r="H161" s="40">
        <f t="shared" si="6"/>
        <v>6.6152149944873574E-3</v>
      </c>
      <c r="J161">
        <f>VLOOKUP(Misfit[[#This Row],[Shortname]], Comp[], 6, FALSE)</f>
        <v>509</v>
      </c>
      <c r="K161">
        <f>VLOOKUP(Misfit[[#This Row],[Shortname]], Comp[], 7, FALSE)</f>
        <v>62</v>
      </c>
      <c r="L161">
        <f>VLOOKUP(Misfit[[#This Row],[Shortname]], Comp[], 8, FALSE)</f>
        <v>20</v>
      </c>
      <c r="M161">
        <f>VLOOKUP(Misfit[[#This Row],[Shortname]], Comp[], 9, FALSE)</f>
        <v>9</v>
      </c>
      <c r="N161">
        <f>VLOOKUP(Misfit[[#This Row],[Shortname]], Comp[], 10, FALSE)</f>
        <v>0</v>
      </c>
      <c r="O161">
        <f>VLOOKUP(Misfit[[#This Row],[Shortname]], Comp[], 11, FALSE)</f>
        <v>7</v>
      </c>
      <c r="P161">
        <f>VLOOKUP(Misfit[[#This Row],[Shortname]], Comp[],12, FALSE)</f>
        <v>0</v>
      </c>
      <c r="Q161">
        <f>VLOOKUP(Misfit[[#This Row],[Shortname]], Comp[], 13, FALSE)</f>
        <v>2</v>
      </c>
      <c r="R161">
        <f>VLOOKUP(Misfit[[#This Row],[Shortname]], Comp[], 14, FALSE)</f>
        <v>0</v>
      </c>
      <c r="S161">
        <f>VLOOKUP(Misfit[[#This Row],[Shortname]], Comp[], 15, FALSE)</f>
        <v>0</v>
      </c>
      <c r="T161">
        <f>VLOOKUP(Misfit[[#This Row],[Shortname]], Comp[], 16, FALSE)</f>
        <v>0</v>
      </c>
      <c r="U161">
        <f>VLOOKUP(Misfit[[#This Row],[Shortname]], Comp[], 17, FALSE)</f>
        <v>0</v>
      </c>
      <c r="V161">
        <f>VLOOKUP(Misfit[[#This Row],[Shortname]], Comp[], 18, FALSE)</f>
        <v>0</v>
      </c>
      <c r="W161">
        <f>VLOOKUP(Misfit[[#This Row],[Shortname]], Comp[], 19, FALSE)</f>
        <v>0</v>
      </c>
      <c r="X161">
        <f>VLOOKUP(Misfit[[#This Row],[Shortname]], Comp[], 20, FALSE)</f>
        <v>0</v>
      </c>
      <c r="Y161">
        <f>VLOOKUP(Misfit[[#This Row],[Shortname]], Comp[], 21, FALSE)</f>
        <v>0</v>
      </c>
      <c r="Z161">
        <f>VLOOKUP(Misfit[[#This Row],[Shortname]], Comp[], 22, FALSE)</f>
        <v>0</v>
      </c>
      <c r="AA161">
        <f>VLOOKUP(Misfit[[#This Row],[Shortname]], Comp[], 23, FALSE)</f>
        <v>0</v>
      </c>
      <c r="AB161">
        <f>VLOOKUP(Misfit[[#This Row],[Shortname]], Comp[], 24, FALSE)</f>
        <v>0</v>
      </c>
      <c r="AC161">
        <f>VLOOKUP(Misfit[[#This Row],[Shortname]], Comp[], 25, FALSE)</f>
        <v>0</v>
      </c>
      <c r="AD161">
        <f>VLOOKUP(Misfit[[#This Row],[Shortname]], Comp[], 26, FALSE)</f>
        <v>0</v>
      </c>
      <c r="AE161">
        <f>VLOOKUP(Misfit[[#This Row],[Shortname]], Comp[], 27, FALSE)</f>
        <v>0</v>
      </c>
      <c r="AF161">
        <f>VLOOKUP(Misfit[[#This Row],[Shortname]], Comp[], 28, FALSE)</f>
        <v>0</v>
      </c>
      <c r="AG161">
        <f>VLOOKUP(Misfit[[#This Row],[Shortname]], Comp[], 29, FALSE)</f>
        <v>0</v>
      </c>
      <c r="AH161">
        <f>VLOOKUP(Misfit[[#This Row],[Shortname]], Comp[], 30, FALSE)</f>
        <v>0</v>
      </c>
      <c r="AI161">
        <f>VLOOKUP(Misfit[[#This Row],[Shortname]], Comp[], 31, FALSE)</f>
        <v>0</v>
      </c>
    </row>
    <row r="162" spans="1:35" x14ac:dyDescent="0.3">
      <c r="A162" t="s">
        <v>3523</v>
      </c>
      <c r="B162" s="7" t="s">
        <v>3525</v>
      </c>
      <c r="C162" s="11" t="s">
        <v>6627</v>
      </c>
      <c r="D162" s="11">
        <v>1000</v>
      </c>
      <c r="E162">
        <v>900</v>
      </c>
      <c r="F162">
        <v>0.36449999999999999</v>
      </c>
      <c r="G162">
        <v>0.36249999999999999</v>
      </c>
      <c r="H162" s="40">
        <v>5.0000000000000001E-3</v>
      </c>
      <c r="J162">
        <f>VLOOKUP(Misfit[[#This Row],[Shortname]], Comp[], 6, FALSE)</f>
        <v>509</v>
      </c>
      <c r="K162">
        <f>VLOOKUP(Misfit[[#This Row],[Shortname]], Comp[], 7, FALSE)</f>
        <v>62</v>
      </c>
      <c r="L162">
        <f>VLOOKUP(Misfit[[#This Row],[Shortname]], Comp[], 8, FALSE)</f>
        <v>20</v>
      </c>
      <c r="M162">
        <f>VLOOKUP(Misfit[[#This Row],[Shortname]], Comp[], 9, FALSE)</f>
        <v>9</v>
      </c>
      <c r="N162">
        <f>VLOOKUP(Misfit[[#This Row],[Shortname]], Comp[], 10, FALSE)</f>
        <v>0</v>
      </c>
      <c r="O162">
        <f>VLOOKUP(Misfit[[#This Row],[Shortname]], Comp[], 11, FALSE)</f>
        <v>7</v>
      </c>
      <c r="P162">
        <f>VLOOKUP(Misfit[[#This Row],[Shortname]], Comp[],12, FALSE)</f>
        <v>0</v>
      </c>
      <c r="Q162">
        <f>VLOOKUP(Misfit[[#This Row],[Shortname]], Comp[], 13, FALSE)</f>
        <v>2</v>
      </c>
      <c r="R162">
        <f>VLOOKUP(Misfit[[#This Row],[Shortname]], Comp[], 14, FALSE)</f>
        <v>0</v>
      </c>
      <c r="S162">
        <f>VLOOKUP(Misfit[[#This Row],[Shortname]], Comp[], 15, FALSE)</f>
        <v>0</v>
      </c>
      <c r="T162">
        <f>VLOOKUP(Misfit[[#This Row],[Shortname]], Comp[], 16, FALSE)</f>
        <v>0</v>
      </c>
      <c r="U162">
        <f>VLOOKUP(Misfit[[#This Row],[Shortname]], Comp[], 17, FALSE)</f>
        <v>0</v>
      </c>
      <c r="V162">
        <f>VLOOKUP(Misfit[[#This Row],[Shortname]], Comp[], 18, FALSE)</f>
        <v>0</v>
      </c>
      <c r="W162">
        <f>VLOOKUP(Misfit[[#This Row],[Shortname]], Comp[], 19, FALSE)</f>
        <v>0</v>
      </c>
      <c r="X162">
        <f>VLOOKUP(Misfit[[#This Row],[Shortname]], Comp[], 20, FALSE)</f>
        <v>0</v>
      </c>
      <c r="Y162">
        <f>VLOOKUP(Misfit[[#This Row],[Shortname]], Comp[], 21, FALSE)</f>
        <v>0</v>
      </c>
      <c r="Z162">
        <f>VLOOKUP(Misfit[[#This Row],[Shortname]], Comp[], 22, FALSE)</f>
        <v>0</v>
      </c>
      <c r="AA162">
        <f>VLOOKUP(Misfit[[#This Row],[Shortname]], Comp[], 23, FALSE)</f>
        <v>0</v>
      </c>
      <c r="AB162">
        <f>VLOOKUP(Misfit[[#This Row],[Shortname]], Comp[], 24, FALSE)</f>
        <v>0</v>
      </c>
      <c r="AC162">
        <f>VLOOKUP(Misfit[[#This Row],[Shortname]], Comp[], 25, FALSE)</f>
        <v>0</v>
      </c>
      <c r="AD162">
        <f>VLOOKUP(Misfit[[#This Row],[Shortname]], Comp[], 26, FALSE)</f>
        <v>0</v>
      </c>
      <c r="AE162">
        <f>VLOOKUP(Misfit[[#This Row],[Shortname]], Comp[], 27, FALSE)</f>
        <v>0</v>
      </c>
      <c r="AF162">
        <f>VLOOKUP(Misfit[[#This Row],[Shortname]], Comp[], 28, FALSE)</f>
        <v>0</v>
      </c>
      <c r="AG162">
        <f>VLOOKUP(Misfit[[#This Row],[Shortname]], Comp[], 29, FALSE)</f>
        <v>0</v>
      </c>
      <c r="AH162">
        <f>VLOOKUP(Misfit[[#This Row],[Shortname]], Comp[], 30, FALSE)</f>
        <v>0</v>
      </c>
      <c r="AI162">
        <f>VLOOKUP(Misfit[[#This Row],[Shortname]], Comp[], 31, FALSE)</f>
        <v>0</v>
      </c>
    </row>
    <row r="163" spans="1:35" x14ac:dyDescent="0.3">
      <c r="A163" t="s">
        <v>3665</v>
      </c>
      <c r="B163" s="7" t="s">
        <v>3667</v>
      </c>
      <c r="C163" s="6" t="s">
        <v>3629</v>
      </c>
      <c r="D163" s="6">
        <v>900</v>
      </c>
      <c r="E163">
        <v>25</v>
      </c>
      <c r="H163" s="40">
        <v>1.7899999999999999E-2</v>
      </c>
      <c r="J163">
        <f>VLOOKUP(Misfit[[#This Row],[Shortname]], Comp[], 6, FALSE)</f>
        <v>540</v>
      </c>
      <c r="K163">
        <f>VLOOKUP(Misfit[[#This Row],[Shortname]], Comp[], 7, FALSE)</f>
        <v>79.53</v>
      </c>
      <c r="L163">
        <f>VLOOKUP(Misfit[[#This Row],[Shortname]], Comp[], 8, FALSE)</f>
        <v>0</v>
      </c>
      <c r="M163">
        <f>VLOOKUP(Misfit[[#This Row],[Shortname]], Comp[], 9, FALSE)</f>
        <v>17.25</v>
      </c>
      <c r="N163">
        <f>VLOOKUP(Misfit[[#This Row],[Shortname]], Comp[], 10, FALSE)</f>
        <v>0</v>
      </c>
      <c r="O163">
        <f>VLOOKUP(Misfit[[#This Row],[Shortname]], Comp[], 11, FALSE)</f>
        <v>3.22</v>
      </c>
      <c r="P163">
        <f>VLOOKUP(Misfit[[#This Row],[Shortname]], Comp[],12, FALSE)</f>
        <v>0</v>
      </c>
      <c r="Q163">
        <f>VLOOKUP(Misfit[[#This Row],[Shortname]], Comp[], 13, FALSE)</f>
        <v>0</v>
      </c>
      <c r="R163">
        <f>VLOOKUP(Misfit[[#This Row],[Shortname]], Comp[], 14, FALSE)</f>
        <v>0</v>
      </c>
      <c r="S163">
        <f>VLOOKUP(Misfit[[#This Row],[Shortname]], Comp[], 15, FALSE)</f>
        <v>0</v>
      </c>
      <c r="T163">
        <f>VLOOKUP(Misfit[[#This Row],[Shortname]], Comp[], 16, FALSE)</f>
        <v>0</v>
      </c>
      <c r="U163">
        <f>VLOOKUP(Misfit[[#This Row],[Shortname]], Comp[], 17, FALSE)</f>
        <v>0</v>
      </c>
      <c r="V163">
        <f>VLOOKUP(Misfit[[#This Row],[Shortname]], Comp[], 18, FALSE)</f>
        <v>0</v>
      </c>
      <c r="W163">
        <f>VLOOKUP(Misfit[[#This Row],[Shortname]], Comp[], 19, FALSE)</f>
        <v>0</v>
      </c>
      <c r="X163">
        <f>VLOOKUP(Misfit[[#This Row],[Shortname]], Comp[], 20, FALSE)</f>
        <v>0</v>
      </c>
      <c r="Y163">
        <f>VLOOKUP(Misfit[[#This Row],[Shortname]], Comp[], 21, FALSE)</f>
        <v>0</v>
      </c>
      <c r="Z163">
        <f>VLOOKUP(Misfit[[#This Row],[Shortname]], Comp[], 22, FALSE)</f>
        <v>0</v>
      </c>
      <c r="AA163">
        <f>VLOOKUP(Misfit[[#This Row],[Shortname]], Comp[], 23, FALSE)</f>
        <v>0</v>
      </c>
      <c r="AB163">
        <f>VLOOKUP(Misfit[[#This Row],[Shortname]], Comp[], 24, FALSE)</f>
        <v>0</v>
      </c>
      <c r="AC163">
        <f>VLOOKUP(Misfit[[#This Row],[Shortname]], Comp[], 25, FALSE)</f>
        <v>0</v>
      </c>
      <c r="AD163">
        <f>VLOOKUP(Misfit[[#This Row],[Shortname]], Comp[], 26, FALSE)</f>
        <v>0</v>
      </c>
      <c r="AE163">
        <f>VLOOKUP(Misfit[[#This Row],[Shortname]], Comp[], 27, FALSE)</f>
        <v>0</v>
      </c>
      <c r="AF163">
        <f>VLOOKUP(Misfit[[#This Row],[Shortname]], Comp[], 28, FALSE)</f>
        <v>0</v>
      </c>
      <c r="AG163">
        <f>VLOOKUP(Misfit[[#This Row],[Shortname]], Comp[], 29, FALSE)</f>
        <v>0</v>
      </c>
      <c r="AH163">
        <f>VLOOKUP(Misfit[[#This Row],[Shortname]], Comp[], 30, FALSE)</f>
        <v>0</v>
      </c>
      <c r="AI163">
        <f>VLOOKUP(Misfit[[#This Row],[Shortname]], Comp[], 31, FALSE)</f>
        <v>0</v>
      </c>
    </row>
    <row r="164" spans="1:35" x14ac:dyDescent="0.3">
      <c r="A164" t="s">
        <v>3657</v>
      </c>
      <c r="B164" s="7" t="s">
        <v>3659</v>
      </c>
      <c r="C164" s="6" t="s">
        <v>3629</v>
      </c>
      <c r="D164" s="6">
        <v>900</v>
      </c>
      <c r="E164">
        <v>25</v>
      </c>
      <c r="H164" s="40">
        <v>1.6500000000000001E-2</v>
      </c>
      <c r="J164">
        <f>VLOOKUP(Misfit[[#This Row],[Shortname]], Comp[], 6, FALSE)</f>
        <v>539</v>
      </c>
      <c r="K164">
        <f>VLOOKUP(Misfit[[#This Row],[Shortname]], Comp[], 7, FALSE)</f>
        <v>78.39</v>
      </c>
      <c r="L164">
        <f>VLOOKUP(Misfit[[#This Row],[Shortname]], Comp[], 8, FALSE)</f>
        <v>0</v>
      </c>
      <c r="M164">
        <f>VLOOKUP(Misfit[[#This Row],[Shortname]], Comp[], 9, FALSE)</f>
        <v>17.2</v>
      </c>
      <c r="N164">
        <f>VLOOKUP(Misfit[[#This Row],[Shortname]], Comp[], 10, FALSE)</f>
        <v>0</v>
      </c>
      <c r="O164">
        <f>VLOOKUP(Misfit[[#This Row],[Shortname]], Comp[], 11, FALSE)</f>
        <v>3.21</v>
      </c>
      <c r="P164">
        <f>VLOOKUP(Misfit[[#This Row],[Shortname]], Comp[],12, FALSE)</f>
        <v>1.2</v>
      </c>
      <c r="Q164">
        <f>VLOOKUP(Misfit[[#This Row],[Shortname]], Comp[], 13, FALSE)</f>
        <v>0</v>
      </c>
      <c r="R164">
        <f>VLOOKUP(Misfit[[#This Row],[Shortname]], Comp[], 14, FALSE)</f>
        <v>0</v>
      </c>
      <c r="S164">
        <f>VLOOKUP(Misfit[[#This Row],[Shortname]], Comp[], 15, FALSE)</f>
        <v>0</v>
      </c>
      <c r="T164">
        <f>VLOOKUP(Misfit[[#This Row],[Shortname]], Comp[], 16, FALSE)</f>
        <v>0</v>
      </c>
      <c r="U164">
        <f>VLOOKUP(Misfit[[#This Row],[Shortname]], Comp[], 17, FALSE)</f>
        <v>0</v>
      </c>
      <c r="V164">
        <f>VLOOKUP(Misfit[[#This Row],[Shortname]], Comp[], 18, FALSE)</f>
        <v>0</v>
      </c>
      <c r="W164">
        <f>VLOOKUP(Misfit[[#This Row],[Shortname]], Comp[], 19, FALSE)</f>
        <v>0</v>
      </c>
      <c r="X164">
        <f>VLOOKUP(Misfit[[#This Row],[Shortname]], Comp[], 20, FALSE)</f>
        <v>0</v>
      </c>
      <c r="Y164">
        <f>VLOOKUP(Misfit[[#This Row],[Shortname]], Comp[], 21, FALSE)</f>
        <v>0</v>
      </c>
      <c r="Z164">
        <f>VLOOKUP(Misfit[[#This Row],[Shortname]], Comp[], 22, FALSE)</f>
        <v>0</v>
      </c>
      <c r="AA164">
        <f>VLOOKUP(Misfit[[#This Row],[Shortname]], Comp[], 23, FALSE)</f>
        <v>0</v>
      </c>
      <c r="AB164">
        <f>VLOOKUP(Misfit[[#This Row],[Shortname]], Comp[], 24, FALSE)</f>
        <v>0</v>
      </c>
      <c r="AC164">
        <f>VLOOKUP(Misfit[[#This Row],[Shortname]], Comp[], 25, FALSE)</f>
        <v>0</v>
      </c>
      <c r="AD164">
        <f>VLOOKUP(Misfit[[#This Row],[Shortname]], Comp[], 26, FALSE)</f>
        <v>0</v>
      </c>
      <c r="AE164">
        <f>VLOOKUP(Misfit[[#This Row],[Shortname]], Comp[], 27, FALSE)</f>
        <v>0</v>
      </c>
      <c r="AF164">
        <f>VLOOKUP(Misfit[[#This Row],[Shortname]], Comp[], 28, FALSE)</f>
        <v>0</v>
      </c>
      <c r="AG164">
        <f>VLOOKUP(Misfit[[#This Row],[Shortname]], Comp[], 29, FALSE)</f>
        <v>0</v>
      </c>
      <c r="AH164">
        <f>VLOOKUP(Misfit[[#This Row],[Shortname]], Comp[], 30, FALSE)</f>
        <v>0</v>
      </c>
      <c r="AI164">
        <f>VLOOKUP(Misfit[[#This Row],[Shortname]], Comp[], 31, FALSE)</f>
        <v>0</v>
      </c>
    </row>
    <row r="165" spans="1:35" x14ac:dyDescent="0.3">
      <c r="A165" t="s">
        <v>3650</v>
      </c>
      <c r="B165" s="7" t="s">
        <v>3231</v>
      </c>
      <c r="C165" s="6" t="s">
        <v>3629</v>
      </c>
      <c r="D165" s="6">
        <v>900</v>
      </c>
      <c r="E165">
        <v>25</v>
      </c>
      <c r="H165" s="40">
        <v>1.46E-2</v>
      </c>
      <c r="J165">
        <f>VLOOKUP(Misfit[[#This Row],[Shortname]], Comp[], 6, FALSE)</f>
        <v>538</v>
      </c>
      <c r="K165">
        <f>VLOOKUP(Misfit[[#This Row],[Shortname]], Comp[], 7, FALSE)</f>
        <v>76.099999999999994</v>
      </c>
      <c r="L165">
        <f>VLOOKUP(Misfit[[#This Row],[Shortname]], Comp[], 8, FALSE)</f>
        <v>0</v>
      </c>
      <c r="M165">
        <f>VLOOKUP(Misfit[[#This Row],[Shortname]], Comp[], 9, FALSE)</f>
        <v>17.13</v>
      </c>
      <c r="N165">
        <f>VLOOKUP(Misfit[[#This Row],[Shortname]], Comp[], 10, FALSE)</f>
        <v>0</v>
      </c>
      <c r="O165">
        <f>VLOOKUP(Misfit[[#This Row],[Shortname]], Comp[], 11, FALSE)</f>
        <v>3.2</v>
      </c>
      <c r="P165">
        <f>VLOOKUP(Misfit[[#This Row],[Shortname]], Comp[],12, FALSE)</f>
        <v>3.57</v>
      </c>
      <c r="Q165">
        <f>VLOOKUP(Misfit[[#This Row],[Shortname]], Comp[], 13, FALSE)</f>
        <v>0</v>
      </c>
      <c r="R165">
        <f>VLOOKUP(Misfit[[#This Row],[Shortname]], Comp[], 14, FALSE)</f>
        <v>0</v>
      </c>
      <c r="S165">
        <f>VLOOKUP(Misfit[[#This Row],[Shortname]], Comp[], 15, FALSE)</f>
        <v>0</v>
      </c>
      <c r="T165">
        <f>VLOOKUP(Misfit[[#This Row],[Shortname]], Comp[], 16, FALSE)</f>
        <v>0</v>
      </c>
      <c r="U165">
        <f>VLOOKUP(Misfit[[#This Row],[Shortname]], Comp[], 17, FALSE)</f>
        <v>0</v>
      </c>
      <c r="V165">
        <f>VLOOKUP(Misfit[[#This Row],[Shortname]], Comp[], 18, FALSE)</f>
        <v>0</v>
      </c>
      <c r="W165">
        <f>VLOOKUP(Misfit[[#This Row],[Shortname]], Comp[], 19, FALSE)</f>
        <v>0</v>
      </c>
      <c r="X165">
        <f>VLOOKUP(Misfit[[#This Row],[Shortname]], Comp[], 20, FALSE)</f>
        <v>0</v>
      </c>
      <c r="Y165">
        <f>VLOOKUP(Misfit[[#This Row],[Shortname]], Comp[], 21, FALSE)</f>
        <v>0</v>
      </c>
      <c r="Z165">
        <f>VLOOKUP(Misfit[[#This Row],[Shortname]], Comp[], 22, FALSE)</f>
        <v>0</v>
      </c>
      <c r="AA165">
        <f>VLOOKUP(Misfit[[#This Row],[Shortname]], Comp[], 23, FALSE)</f>
        <v>0</v>
      </c>
      <c r="AB165">
        <f>VLOOKUP(Misfit[[#This Row],[Shortname]], Comp[], 24, FALSE)</f>
        <v>0</v>
      </c>
      <c r="AC165">
        <f>VLOOKUP(Misfit[[#This Row],[Shortname]], Comp[], 25, FALSE)</f>
        <v>0</v>
      </c>
      <c r="AD165">
        <f>VLOOKUP(Misfit[[#This Row],[Shortname]], Comp[], 26, FALSE)</f>
        <v>0</v>
      </c>
      <c r="AE165">
        <f>VLOOKUP(Misfit[[#This Row],[Shortname]], Comp[], 27, FALSE)</f>
        <v>0</v>
      </c>
      <c r="AF165">
        <f>VLOOKUP(Misfit[[#This Row],[Shortname]], Comp[], 28, FALSE)</f>
        <v>0</v>
      </c>
      <c r="AG165">
        <f>VLOOKUP(Misfit[[#This Row],[Shortname]], Comp[], 29, FALSE)</f>
        <v>0</v>
      </c>
      <c r="AH165">
        <f>VLOOKUP(Misfit[[#This Row],[Shortname]], Comp[], 30, FALSE)</f>
        <v>0</v>
      </c>
      <c r="AI165">
        <f>VLOOKUP(Misfit[[#This Row],[Shortname]], Comp[], 31, FALSE)</f>
        <v>0</v>
      </c>
    </row>
    <row r="166" spans="1:35" x14ac:dyDescent="0.3">
      <c r="A166" t="s">
        <v>3642</v>
      </c>
      <c r="B166" s="7" t="s">
        <v>3644</v>
      </c>
      <c r="C166" s="6" t="s">
        <v>3629</v>
      </c>
      <c r="D166" s="6">
        <v>900</v>
      </c>
      <c r="E166">
        <v>25</v>
      </c>
      <c r="H166" s="40">
        <v>9.3600000000000003E-3</v>
      </c>
      <c r="J166">
        <f>VLOOKUP(Misfit[[#This Row],[Shortname]], Comp[], 6, FALSE)</f>
        <v>537</v>
      </c>
      <c r="K166">
        <f>VLOOKUP(Misfit[[#This Row],[Shortname]], Comp[], 7, FALSE)</f>
        <v>72.710000000000008</v>
      </c>
      <c r="L166">
        <f>VLOOKUP(Misfit[[#This Row],[Shortname]], Comp[], 8, FALSE)</f>
        <v>0</v>
      </c>
      <c r="M166">
        <f>VLOOKUP(Misfit[[#This Row],[Shortname]], Comp[], 9, FALSE)</f>
        <v>17.02</v>
      </c>
      <c r="N166">
        <f>VLOOKUP(Misfit[[#This Row],[Shortname]], Comp[], 10, FALSE)</f>
        <v>0</v>
      </c>
      <c r="O166">
        <f>VLOOKUP(Misfit[[#This Row],[Shortname]], Comp[], 11, FALSE)</f>
        <v>3.18</v>
      </c>
      <c r="P166">
        <f>VLOOKUP(Misfit[[#This Row],[Shortname]], Comp[],12, FALSE)</f>
        <v>7.09</v>
      </c>
      <c r="Q166">
        <f>VLOOKUP(Misfit[[#This Row],[Shortname]], Comp[], 13, FALSE)</f>
        <v>0</v>
      </c>
      <c r="R166">
        <f>VLOOKUP(Misfit[[#This Row],[Shortname]], Comp[], 14, FALSE)</f>
        <v>0</v>
      </c>
      <c r="S166">
        <f>VLOOKUP(Misfit[[#This Row],[Shortname]], Comp[], 15, FALSE)</f>
        <v>0</v>
      </c>
      <c r="T166">
        <f>VLOOKUP(Misfit[[#This Row],[Shortname]], Comp[], 16, FALSE)</f>
        <v>0</v>
      </c>
      <c r="U166">
        <f>VLOOKUP(Misfit[[#This Row],[Shortname]], Comp[], 17, FALSE)</f>
        <v>0</v>
      </c>
      <c r="V166">
        <f>VLOOKUP(Misfit[[#This Row],[Shortname]], Comp[], 18, FALSE)</f>
        <v>0</v>
      </c>
      <c r="W166">
        <f>VLOOKUP(Misfit[[#This Row],[Shortname]], Comp[], 19, FALSE)</f>
        <v>0</v>
      </c>
      <c r="X166">
        <f>VLOOKUP(Misfit[[#This Row],[Shortname]], Comp[], 20, FALSE)</f>
        <v>0</v>
      </c>
      <c r="Y166">
        <f>VLOOKUP(Misfit[[#This Row],[Shortname]], Comp[], 21, FALSE)</f>
        <v>0</v>
      </c>
      <c r="Z166">
        <f>VLOOKUP(Misfit[[#This Row],[Shortname]], Comp[], 22, FALSE)</f>
        <v>0</v>
      </c>
      <c r="AA166">
        <f>VLOOKUP(Misfit[[#This Row],[Shortname]], Comp[], 23, FALSE)</f>
        <v>0</v>
      </c>
      <c r="AB166">
        <f>VLOOKUP(Misfit[[#This Row],[Shortname]], Comp[], 24, FALSE)</f>
        <v>0</v>
      </c>
      <c r="AC166">
        <f>VLOOKUP(Misfit[[#This Row],[Shortname]], Comp[], 25, FALSE)</f>
        <v>0</v>
      </c>
      <c r="AD166">
        <f>VLOOKUP(Misfit[[#This Row],[Shortname]], Comp[], 26, FALSE)</f>
        <v>0</v>
      </c>
      <c r="AE166">
        <f>VLOOKUP(Misfit[[#This Row],[Shortname]], Comp[], 27, FALSE)</f>
        <v>0</v>
      </c>
      <c r="AF166">
        <f>VLOOKUP(Misfit[[#This Row],[Shortname]], Comp[], 28, FALSE)</f>
        <v>0</v>
      </c>
      <c r="AG166">
        <f>VLOOKUP(Misfit[[#This Row],[Shortname]], Comp[], 29, FALSE)</f>
        <v>0</v>
      </c>
      <c r="AH166">
        <f>VLOOKUP(Misfit[[#This Row],[Shortname]], Comp[], 30, FALSE)</f>
        <v>0</v>
      </c>
      <c r="AI166">
        <f>VLOOKUP(Misfit[[#This Row],[Shortname]], Comp[], 31, FALSE)</f>
        <v>0</v>
      </c>
    </row>
    <row r="167" spans="1:35" x14ac:dyDescent="0.3">
      <c r="A167" t="s">
        <v>3635</v>
      </c>
      <c r="B167" s="7" t="s">
        <v>3637</v>
      </c>
      <c r="C167" s="6" t="s">
        <v>3629</v>
      </c>
      <c r="D167" s="6">
        <v>900</v>
      </c>
      <c r="E167">
        <v>25</v>
      </c>
      <c r="H167" s="40">
        <v>1.5E-3</v>
      </c>
      <c r="J167">
        <f>VLOOKUP(Misfit[[#This Row],[Shortname]], Comp[], 6, FALSE)</f>
        <v>536</v>
      </c>
      <c r="K167">
        <f>VLOOKUP(Misfit[[#This Row],[Shortname]], Comp[], 7, FALSE)</f>
        <v>70.47999999999999</v>
      </c>
      <c r="L167">
        <f>VLOOKUP(Misfit[[#This Row],[Shortname]], Comp[], 8, FALSE)</f>
        <v>0</v>
      </c>
      <c r="M167">
        <f>VLOOKUP(Misfit[[#This Row],[Shortname]], Comp[], 9, FALSE)</f>
        <v>16.940000000000001</v>
      </c>
      <c r="N167">
        <f>VLOOKUP(Misfit[[#This Row],[Shortname]], Comp[], 10, FALSE)</f>
        <v>0</v>
      </c>
      <c r="O167">
        <f>VLOOKUP(Misfit[[#This Row],[Shortname]], Comp[], 11, FALSE)</f>
        <v>3.16</v>
      </c>
      <c r="P167">
        <f>VLOOKUP(Misfit[[#This Row],[Shortname]], Comp[],12, FALSE)</f>
        <v>9.42</v>
      </c>
      <c r="Q167">
        <f>VLOOKUP(Misfit[[#This Row],[Shortname]], Comp[], 13, FALSE)</f>
        <v>0</v>
      </c>
      <c r="R167">
        <f>VLOOKUP(Misfit[[#This Row],[Shortname]], Comp[], 14, FALSE)</f>
        <v>0</v>
      </c>
      <c r="S167">
        <f>VLOOKUP(Misfit[[#This Row],[Shortname]], Comp[], 15, FALSE)</f>
        <v>0</v>
      </c>
      <c r="T167">
        <f>VLOOKUP(Misfit[[#This Row],[Shortname]], Comp[], 16, FALSE)</f>
        <v>0</v>
      </c>
      <c r="U167">
        <f>VLOOKUP(Misfit[[#This Row],[Shortname]], Comp[], 17, FALSE)</f>
        <v>0</v>
      </c>
      <c r="V167">
        <f>VLOOKUP(Misfit[[#This Row],[Shortname]], Comp[], 18, FALSE)</f>
        <v>0</v>
      </c>
      <c r="W167">
        <f>VLOOKUP(Misfit[[#This Row],[Shortname]], Comp[], 19, FALSE)</f>
        <v>0</v>
      </c>
      <c r="X167">
        <f>VLOOKUP(Misfit[[#This Row],[Shortname]], Comp[], 20, FALSE)</f>
        <v>0</v>
      </c>
      <c r="Y167">
        <f>VLOOKUP(Misfit[[#This Row],[Shortname]], Comp[], 21, FALSE)</f>
        <v>0</v>
      </c>
      <c r="Z167">
        <f>VLOOKUP(Misfit[[#This Row],[Shortname]], Comp[], 22, FALSE)</f>
        <v>0</v>
      </c>
      <c r="AA167">
        <f>VLOOKUP(Misfit[[#This Row],[Shortname]], Comp[], 23, FALSE)</f>
        <v>0</v>
      </c>
      <c r="AB167">
        <f>VLOOKUP(Misfit[[#This Row],[Shortname]], Comp[], 24, FALSE)</f>
        <v>0</v>
      </c>
      <c r="AC167">
        <f>VLOOKUP(Misfit[[#This Row],[Shortname]], Comp[], 25, FALSE)</f>
        <v>0</v>
      </c>
      <c r="AD167">
        <f>VLOOKUP(Misfit[[#This Row],[Shortname]], Comp[], 26, FALSE)</f>
        <v>0</v>
      </c>
      <c r="AE167">
        <f>VLOOKUP(Misfit[[#This Row],[Shortname]], Comp[], 27, FALSE)</f>
        <v>0</v>
      </c>
      <c r="AF167">
        <f>VLOOKUP(Misfit[[#This Row],[Shortname]], Comp[], 28, FALSE)</f>
        <v>0</v>
      </c>
      <c r="AG167">
        <f>VLOOKUP(Misfit[[#This Row],[Shortname]], Comp[], 29, FALSE)</f>
        <v>0</v>
      </c>
      <c r="AH167">
        <f>VLOOKUP(Misfit[[#This Row],[Shortname]], Comp[], 30, FALSE)</f>
        <v>0</v>
      </c>
      <c r="AI167">
        <f>VLOOKUP(Misfit[[#This Row],[Shortname]], Comp[], 31, FALSE)</f>
        <v>0</v>
      </c>
    </row>
    <row r="168" spans="1:35" x14ac:dyDescent="0.3">
      <c r="A168" t="s">
        <v>3768</v>
      </c>
      <c r="B168" s="7" t="s">
        <v>3770</v>
      </c>
      <c r="C168" t="s">
        <v>6628</v>
      </c>
      <c r="D168">
        <v>900</v>
      </c>
      <c r="E168">
        <v>25</v>
      </c>
      <c r="H168" s="40">
        <v>6.7000000000000002E-3</v>
      </c>
      <c r="J168">
        <f>VLOOKUP(Misfit[[#This Row],[Shortname]], Comp[], 6, FALSE)</f>
        <v>563</v>
      </c>
      <c r="K168">
        <f>VLOOKUP(Misfit[[#This Row],[Shortname]], Comp[], 7, FALSE)</f>
        <v>85.3</v>
      </c>
      <c r="L168">
        <f>VLOOKUP(Misfit[[#This Row],[Shortname]], Comp[], 8, FALSE)</f>
        <v>0</v>
      </c>
      <c r="M168">
        <f>VLOOKUP(Misfit[[#This Row],[Shortname]], Comp[], 9, FALSE)</f>
        <v>9.9</v>
      </c>
      <c r="N168">
        <f>VLOOKUP(Misfit[[#This Row],[Shortname]], Comp[], 10, FALSE)</f>
        <v>0</v>
      </c>
      <c r="O168">
        <f>VLOOKUP(Misfit[[#This Row],[Shortname]], Comp[], 11, FALSE)</f>
        <v>4.8</v>
      </c>
      <c r="P168">
        <f>VLOOKUP(Misfit[[#This Row],[Shortname]], Comp[],12, FALSE)</f>
        <v>0</v>
      </c>
      <c r="Q168">
        <f>VLOOKUP(Misfit[[#This Row],[Shortname]], Comp[], 13, FALSE)</f>
        <v>0</v>
      </c>
      <c r="R168">
        <f>VLOOKUP(Misfit[[#This Row],[Shortname]], Comp[], 14, FALSE)</f>
        <v>0</v>
      </c>
      <c r="S168">
        <f>VLOOKUP(Misfit[[#This Row],[Shortname]], Comp[], 15, FALSE)</f>
        <v>0</v>
      </c>
      <c r="T168">
        <f>VLOOKUP(Misfit[[#This Row],[Shortname]], Comp[], 16, FALSE)</f>
        <v>0</v>
      </c>
      <c r="U168">
        <f>VLOOKUP(Misfit[[#This Row],[Shortname]], Comp[], 17, FALSE)</f>
        <v>0</v>
      </c>
      <c r="V168">
        <f>VLOOKUP(Misfit[[#This Row],[Shortname]], Comp[], 18, FALSE)</f>
        <v>0</v>
      </c>
      <c r="W168">
        <f>VLOOKUP(Misfit[[#This Row],[Shortname]], Comp[], 19, FALSE)</f>
        <v>0</v>
      </c>
      <c r="X168">
        <f>VLOOKUP(Misfit[[#This Row],[Shortname]], Comp[], 20, FALSE)</f>
        <v>0</v>
      </c>
      <c r="Y168">
        <f>VLOOKUP(Misfit[[#This Row],[Shortname]], Comp[], 21, FALSE)</f>
        <v>0</v>
      </c>
      <c r="Z168">
        <f>VLOOKUP(Misfit[[#This Row],[Shortname]], Comp[], 22, FALSE)</f>
        <v>0</v>
      </c>
      <c r="AA168">
        <f>VLOOKUP(Misfit[[#This Row],[Shortname]], Comp[], 23, FALSE)</f>
        <v>0</v>
      </c>
      <c r="AB168">
        <f>VLOOKUP(Misfit[[#This Row],[Shortname]], Comp[], 24, FALSE)</f>
        <v>0</v>
      </c>
      <c r="AC168">
        <f>VLOOKUP(Misfit[[#This Row],[Shortname]], Comp[], 25, FALSE)</f>
        <v>0</v>
      </c>
      <c r="AD168">
        <f>VLOOKUP(Misfit[[#This Row],[Shortname]], Comp[], 26, FALSE)</f>
        <v>0</v>
      </c>
      <c r="AE168">
        <f>VLOOKUP(Misfit[[#This Row],[Shortname]], Comp[], 27, FALSE)</f>
        <v>0</v>
      </c>
      <c r="AF168">
        <f>VLOOKUP(Misfit[[#This Row],[Shortname]], Comp[], 28, FALSE)</f>
        <v>0</v>
      </c>
      <c r="AG168">
        <f>VLOOKUP(Misfit[[#This Row],[Shortname]], Comp[], 29, FALSE)</f>
        <v>0</v>
      </c>
      <c r="AH168">
        <f>VLOOKUP(Misfit[[#This Row],[Shortname]], Comp[], 30, FALSE)</f>
        <v>0</v>
      </c>
      <c r="AI168">
        <f>VLOOKUP(Misfit[[#This Row],[Shortname]], Comp[], 31, FALSE)</f>
        <v>0</v>
      </c>
    </row>
    <row r="169" spans="1:35" x14ac:dyDescent="0.3">
      <c r="A169" t="s">
        <v>2430</v>
      </c>
      <c r="B169" s="7" t="s">
        <v>5277</v>
      </c>
      <c r="C169" t="s">
        <v>6628</v>
      </c>
      <c r="D169">
        <v>765</v>
      </c>
      <c r="E169">
        <v>25</v>
      </c>
      <c r="H169" s="40">
        <v>5.7000000000000002E-3</v>
      </c>
      <c r="J169">
        <f>VLOOKUP(Misfit[[#This Row],[Shortname]], Comp[], 6, FALSE)</f>
        <v>321</v>
      </c>
      <c r="K169">
        <f>VLOOKUP(Misfit[[#This Row],[Shortname]], Comp[], 7, FALSE)</f>
        <v>85.9</v>
      </c>
      <c r="L169">
        <f>VLOOKUP(Misfit[[#This Row],[Shortname]], Comp[], 8, FALSE)</f>
        <v>0</v>
      </c>
      <c r="M169">
        <f>VLOOKUP(Misfit[[#This Row],[Shortname]], Comp[], 9, FALSE)</f>
        <v>7.3</v>
      </c>
      <c r="N169">
        <f>VLOOKUP(Misfit[[#This Row],[Shortname]], Comp[], 10, FALSE)</f>
        <v>0</v>
      </c>
      <c r="O169">
        <f>VLOOKUP(Misfit[[#This Row],[Shortname]], Comp[], 11, FALSE)</f>
        <v>6.8</v>
      </c>
      <c r="P169">
        <f>VLOOKUP(Misfit[[#This Row],[Shortname]], Comp[],12, FALSE)</f>
        <v>0</v>
      </c>
      <c r="Q169">
        <f>VLOOKUP(Misfit[[#This Row],[Shortname]], Comp[], 13, FALSE)</f>
        <v>0</v>
      </c>
      <c r="R169">
        <f>VLOOKUP(Misfit[[#This Row],[Shortname]], Comp[], 14, FALSE)</f>
        <v>0</v>
      </c>
      <c r="S169">
        <f>VLOOKUP(Misfit[[#This Row],[Shortname]], Comp[], 15, FALSE)</f>
        <v>0</v>
      </c>
      <c r="T169">
        <f>VLOOKUP(Misfit[[#This Row],[Shortname]], Comp[], 16, FALSE)</f>
        <v>0</v>
      </c>
      <c r="U169">
        <f>VLOOKUP(Misfit[[#This Row],[Shortname]], Comp[], 17, FALSE)</f>
        <v>0</v>
      </c>
      <c r="V169">
        <f>VLOOKUP(Misfit[[#This Row],[Shortname]], Comp[], 18, FALSE)</f>
        <v>0</v>
      </c>
      <c r="W169">
        <f>VLOOKUP(Misfit[[#This Row],[Shortname]], Comp[], 19, FALSE)</f>
        <v>0</v>
      </c>
      <c r="X169">
        <f>VLOOKUP(Misfit[[#This Row],[Shortname]], Comp[], 20, FALSE)</f>
        <v>0</v>
      </c>
      <c r="Y169">
        <f>VLOOKUP(Misfit[[#This Row],[Shortname]], Comp[], 21, FALSE)</f>
        <v>0</v>
      </c>
      <c r="Z169">
        <f>VLOOKUP(Misfit[[#This Row],[Shortname]], Comp[], 22, FALSE)</f>
        <v>0</v>
      </c>
      <c r="AA169">
        <f>VLOOKUP(Misfit[[#This Row],[Shortname]], Comp[], 23, FALSE)</f>
        <v>0</v>
      </c>
      <c r="AB169">
        <f>VLOOKUP(Misfit[[#This Row],[Shortname]], Comp[], 24, FALSE)</f>
        <v>0</v>
      </c>
      <c r="AC169">
        <f>VLOOKUP(Misfit[[#This Row],[Shortname]], Comp[], 25, FALSE)</f>
        <v>0</v>
      </c>
      <c r="AD169">
        <f>VLOOKUP(Misfit[[#This Row],[Shortname]], Comp[], 26, FALSE)</f>
        <v>0</v>
      </c>
      <c r="AE169">
        <f>VLOOKUP(Misfit[[#This Row],[Shortname]], Comp[], 27, FALSE)</f>
        <v>0</v>
      </c>
      <c r="AF169">
        <f>VLOOKUP(Misfit[[#This Row],[Shortname]], Comp[], 28, FALSE)</f>
        <v>0</v>
      </c>
      <c r="AG169">
        <f>VLOOKUP(Misfit[[#This Row],[Shortname]], Comp[], 29, FALSE)</f>
        <v>0</v>
      </c>
      <c r="AH169">
        <f>VLOOKUP(Misfit[[#This Row],[Shortname]], Comp[], 30, FALSE)</f>
        <v>0</v>
      </c>
      <c r="AI169">
        <f>VLOOKUP(Misfit[[#This Row],[Shortname]], Comp[], 31, FALSE)</f>
        <v>0</v>
      </c>
    </row>
    <row r="170" spans="1:35" x14ac:dyDescent="0.3">
      <c r="A170" t="s">
        <v>3775</v>
      </c>
      <c r="B170" s="7" t="s">
        <v>3777</v>
      </c>
      <c r="C170" t="s">
        <v>6628</v>
      </c>
      <c r="D170">
        <v>790</v>
      </c>
      <c r="E170">
        <v>25</v>
      </c>
      <c r="H170" s="40">
        <v>3.5000000000000001E-3</v>
      </c>
      <c r="J170">
        <f>VLOOKUP(Misfit[[#This Row],[Shortname]], Comp[], 6, FALSE)</f>
        <v>564</v>
      </c>
      <c r="K170">
        <f>VLOOKUP(Misfit[[#This Row],[Shortname]], Comp[], 7, FALSE)</f>
        <v>65.5</v>
      </c>
      <c r="L170">
        <f>VLOOKUP(Misfit[[#This Row],[Shortname]], Comp[], 8, FALSE)</f>
        <v>20.2</v>
      </c>
      <c r="M170">
        <f>VLOOKUP(Misfit[[#This Row],[Shortname]], Comp[], 9, FALSE)</f>
        <v>7.3</v>
      </c>
      <c r="N170">
        <f>VLOOKUP(Misfit[[#This Row],[Shortname]], Comp[], 10, FALSE)</f>
        <v>0</v>
      </c>
      <c r="O170">
        <f>VLOOKUP(Misfit[[#This Row],[Shortname]], Comp[], 11, FALSE)</f>
        <v>7</v>
      </c>
      <c r="P170">
        <f>VLOOKUP(Misfit[[#This Row],[Shortname]], Comp[],12, FALSE)</f>
        <v>0</v>
      </c>
      <c r="Q170">
        <f>VLOOKUP(Misfit[[#This Row],[Shortname]], Comp[], 13, FALSE)</f>
        <v>0</v>
      </c>
      <c r="R170">
        <f>VLOOKUP(Misfit[[#This Row],[Shortname]], Comp[], 14, FALSE)</f>
        <v>0</v>
      </c>
      <c r="S170">
        <f>VLOOKUP(Misfit[[#This Row],[Shortname]], Comp[], 15, FALSE)</f>
        <v>0</v>
      </c>
      <c r="T170">
        <f>VLOOKUP(Misfit[[#This Row],[Shortname]], Comp[], 16, FALSE)</f>
        <v>0</v>
      </c>
      <c r="U170">
        <f>VLOOKUP(Misfit[[#This Row],[Shortname]], Comp[], 17, FALSE)</f>
        <v>0</v>
      </c>
      <c r="V170">
        <f>VLOOKUP(Misfit[[#This Row],[Shortname]], Comp[], 18, FALSE)</f>
        <v>0</v>
      </c>
      <c r="W170">
        <f>VLOOKUP(Misfit[[#This Row],[Shortname]], Comp[], 19, FALSE)</f>
        <v>0</v>
      </c>
      <c r="X170">
        <f>VLOOKUP(Misfit[[#This Row],[Shortname]], Comp[], 20, FALSE)</f>
        <v>0</v>
      </c>
      <c r="Y170">
        <f>VLOOKUP(Misfit[[#This Row],[Shortname]], Comp[], 21, FALSE)</f>
        <v>0</v>
      </c>
      <c r="Z170">
        <f>VLOOKUP(Misfit[[#This Row],[Shortname]], Comp[], 22, FALSE)</f>
        <v>0</v>
      </c>
      <c r="AA170">
        <f>VLOOKUP(Misfit[[#This Row],[Shortname]], Comp[], 23, FALSE)</f>
        <v>0</v>
      </c>
      <c r="AB170">
        <f>VLOOKUP(Misfit[[#This Row],[Shortname]], Comp[], 24, FALSE)</f>
        <v>0</v>
      </c>
      <c r="AC170">
        <f>VLOOKUP(Misfit[[#This Row],[Shortname]], Comp[], 25, FALSE)</f>
        <v>0</v>
      </c>
      <c r="AD170">
        <f>VLOOKUP(Misfit[[#This Row],[Shortname]], Comp[], 26, FALSE)</f>
        <v>0</v>
      </c>
      <c r="AE170">
        <f>VLOOKUP(Misfit[[#This Row],[Shortname]], Comp[], 27, FALSE)</f>
        <v>0</v>
      </c>
      <c r="AF170">
        <f>VLOOKUP(Misfit[[#This Row],[Shortname]], Comp[], 28, FALSE)</f>
        <v>0</v>
      </c>
      <c r="AG170">
        <f>VLOOKUP(Misfit[[#This Row],[Shortname]], Comp[], 29, FALSE)</f>
        <v>0</v>
      </c>
      <c r="AH170">
        <f>VLOOKUP(Misfit[[#This Row],[Shortname]], Comp[], 30, FALSE)</f>
        <v>0</v>
      </c>
      <c r="AI170">
        <f>VLOOKUP(Misfit[[#This Row],[Shortname]], Comp[], 31, FALSE)</f>
        <v>0</v>
      </c>
    </row>
    <row r="171" spans="1:35" x14ac:dyDescent="0.3">
      <c r="A171" t="s">
        <v>641</v>
      </c>
      <c r="B171" s="7" t="s">
        <v>3680</v>
      </c>
      <c r="C171" s="3" t="s">
        <v>3784</v>
      </c>
      <c r="D171" s="3">
        <v>900</v>
      </c>
      <c r="E171">
        <v>25</v>
      </c>
      <c r="F171">
        <v>0.36009999999999998</v>
      </c>
      <c r="G171">
        <v>0.35770000000000002</v>
      </c>
      <c r="H171" s="40">
        <v>6.7000000000000002E-3</v>
      </c>
      <c r="J171">
        <f>VLOOKUP(Misfit[[#This Row],[Shortname]], Comp[], 6, FALSE)</f>
        <v>82</v>
      </c>
      <c r="K171">
        <f>VLOOKUP(Misfit[[#This Row],[Shortname]], Comp[], 7, FALSE)</f>
        <v>82</v>
      </c>
      <c r="L171">
        <f>VLOOKUP(Misfit[[#This Row],[Shortname]], Comp[], 8, FALSE)</f>
        <v>0</v>
      </c>
      <c r="M171">
        <f>VLOOKUP(Misfit[[#This Row],[Shortname]], Comp[], 9, FALSE)</f>
        <v>9</v>
      </c>
      <c r="N171">
        <f>VLOOKUP(Misfit[[#This Row],[Shortname]], Comp[], 10, FALSE)</f>
        <v>0</v>
      </c>
      <c r="O171">
        <f>VLOOKUP(Misfit[[#This Row],[Shortname]], Comp[], 11, FALSE)</f>
        <v>9</v>
      </c>
      <c r="P171">
        <f>VLOOKUP(Misfit[[#This Row],[Shortname]], Comp[],12, FALSE)</f>
        <v>0</v>
      </c>
      <c r="Q171">
        <f>VLOOKUP(Misfit[[#This Row],[Shortname]], Comp[], 13, FALSE)</f>
        <v>0</v>
      </c>
      <c r="R171">
        <f>VLOOKUP(Misfit[[#This Row],[Shortname]], Comp[], 14, FALSE)</f>
        <v>0</v>
      </c>
      <c r="S171">
        <f>VLOOKUP(Misfit[[#This Row],[Shortname]], Comp[], 15, FALSE)</f>
        <v>0</v>
      </c>
      <c r="T171">
        <f>VLOOKUP(Misfit[[#This Row],[Shortname]], Comp[], 16, FALSE)</f>
        <v>0</v>
      </c>
      <c r="U171">
        <f>VLOOKUP(Misfit[[#This Row],[Shortname]], Comp[], 17, FALSE)</f>
        <v>0</v>
      </c>
      <c r="V171">
        <f>VLOOKUP(Misfit[[#This Row],[Shortname]], Comp[], 18, FALSE)</f>
        <v>0</v>
      </c>
      <c r="W171">
        <f>VLOOKUP(Misfit[[#This Row],[Shortname]], Comp[], 19, FALSE)</f>
        <v>0</v>
      </c>
      <c r="X171">
        <f>VLOOKUP(Misfit[[#This Row],[Shortname]], Comp[], 20, FALSE)</f>
        <v>0</v>
      </c>
      <c r="Y171">
        <f>VLOOKUP(Misfit[[#This Row],[Shortname]], Comp[], 21, FALSE)</f>
        <v>0</v>
      </c>
      <c r="Z171">
        <f>VLOOKUP(Misfit[[#This Row],[Shortname]], Comp[], 22, FALSE)</f>
        <v>0</v>
      </c>
      <c r="AA171">
        <f>VLOOKUP(Misfit[[#This Row],[Shortname]], Comp[], 23, FALSE)</f>
        <v>0</v>
      </c>
      <c r="AB171">
        <f>VLOOKUP(Misfit[[#This Row],[Shortname]], Comp[], 24, FALSE)</f>
        <v>0</v>
      </c>
      <c r="AC171">
        <f>VLOOKUP(Misfit[[#This Row],[Shortname]], Comp[], 25, FALSE)</f>
        <v>0</v>
      </c>
      <c r="AD171">
        <f>VLOOKUP(Misfit[[#This Row],[Shortname]], Comp[], 26, FALSE)</f>
        <v>0</v>
      </c>
      <c r="AE171">
        <f>VLOOKUP(Misfit[[#This Row],[Shortname]], Comp[], 27, FALSE)</f>
        <v>0</v>
      </c>
      <c r="AF171">
        <f>VLOOKUP(Misfit[[#This Row],[Shortname]], Comp[], 28, FALSE)</f>
        <v>0</v>
      </c>
      <c r="AG171">
        <f>VLOOKUP(Misfit[[#This Row],[Shortname]], Comp[], 29, FALSE)</f>
        <v>0</v>
      </c>
      <c r="AH171">
        <f>VLOOKUP(Misfit[[#This Row],[Shortname]], Comp[], 30, FALSE)</f>
        <v>0</v>
      </c>
      <c r="AI171">
        <f>VLOOKUP(Misfit[[#This Row],[Shortname]], Comp[], 31, FALSE)</f>
        <v>0</v>
      </c>
    </row>
    <row r="172" spans="1:35" x14ac:dyDescent="0.3">
      <c r="A172" t="s">
        <v>3789</v>
      </c>
      <c r="B172" s="7" t="s">
        <v>3791</v>
      </c>
      <c r="C172" s="3" t="s">
        <v>3784</v>
      </c>
      <c r="D172" s="3">
        <v>900</v>
      </c>
      <c r="E172">
        <v>25</v>
      </c>
      <c r="F172">
        <v>0.35830000000000001</v>
      </c>
      <c r="G172">
        <v>0.35610000000000003</v>
      </c>
      <c r="H172" s="40">
        <v>6.3E-3</v>
      </c>
      <c r="J172">
        <f>VLOOKUP(Misfit[[#This Row],[Shortname]], Comp[], 6, FALSE)</f>
        <v>567</v>
      </c>
      <c r="K172">
        <f>VLOOKUP(Misfit[[#This Row],[Shortname]], Comp[], 7, FALSE)</f>
        <v>80</v>
      </c>
      <c r="L172">
        <f>VLOOKUP(Misfit[[#This Row],[Shortname]], Comp[], 8, FALSE)</f>
        <v>0</v>
      </c>
      <c r="M172">
        <f>VLOOKUP(Misfit[[#This Row],[Shortname]], Comp[], 9, FALSE)</f>
        <v>9</v>
      </c>
      <c r="N172">
        <f>VLOOKUP(Misfit[[#This Row],[Shortname]], Comp[], 10, FALSE)</f>
        <v>2</v>
      </c>
      <c r="O172">
        <f>VLOOKUP(Misfit[[#This Row],[Shortname]], Comp[], 11, FALSE)</f>
        <v>9</v>
      </c>
      <c r="P172">
        <f>VLOOKUP(Misfit[[#This Row],[Shortname]], Comp[],12, FALSE)</f>
        <v>0</v>
      </c>
      <c r="Q172">
        <f>VLOOKUP(Misfit[[#This Row],[Shortname]], Comp[], 13, FALSE)</f>
        <v>0</v>
      </c>
      <c r="R172">
        <f>VLOOKUP(Misfit[[#This Row],[Shortname]], Comp[], 14, FALSE)</f>
        <v>0</v>
      </c>
      <c r="S172">
        <f>VLOOKUP(Misfit[[#This Row],[Shortname]], Comp[], 15, FALSE)</f>
        <v>0</v>
      </c>
      <c r="T172">
        <f>VLOOKUP(Misfit[[#This Row],[Shortname]], Comp[], 16, FALSE)</f>
        <v>0</v>
      </c>
      <c r="U172">
        <f>VLOOKUP(Misfit[[#This Row],[Shortname]], Comp[], 17, FALSE)</f>
        <v>0</v>
      </c>
      <c r="V172">
        <f>VLOOKUP(Misfit[[#This Row],[Shortname]], Comp[], 18, FALSE)</f>
        <v>0</v>
      </c>
      <c r="W172">
        <f>VLOOKUP(Misfit[[#This Row],[Shortname]], Comp[], 19, FALSE)</f>
        <v>0</v>
      </c>
      <c r="X172">
        <f>VLOOKUP(Misfit[[#This Row],[Shortname]], Comp[], 20, FALSE)</f>
        <v>0</v>
      </c>
      <c r="Y172">
        <f>VLOOKUP(Misfit[[#This Row],[Shortname]], Comp[], 21, FALSE)</f>
        <v>0</v>
      </c>
      <c r="Z172">
        <f>VLOOKUP(Misfit[[#This Row],[Shortname]], Comp[], 22, FALSE)</f>
        <v>0</v>
      </c>
      <c r="AA172">
        <f>VLOOKUP(Misfit[[#This Row],[Shortname]], Comp[], 23, FALSE)</f>
        <v>0</v>
      </c>
      <c r="AB172">
        <f>VLOOKUP(Misfit[[#This Row],[Shortname]], Comp[], 24, FALSE)</f>
        <v>0</v>
      </c>
      <c r="AC172">
        <f>VLOOKUP(Misfit[[#This Row],[Shortname]], Comp[], 25, FALSE)</f>
        <v>0</v>
      </c>
      <c r="AD172">
        <f>VLOOKUP(Misfit[[#This Row],[Shortname]], Comp[], 26, FALSE)</f>
        <v>0</v>
      </c>
      <c r="AE172">
        <f>VLOOKUP(Misfit[[#This Row],[Shortname]], Comp[], 27, FALSE)</f>
        <v>0</v>
      </c>
      <c r="AF172">
        <f>VLOOKUP(Misfit[[#This Row],[Shortname]], Comp[], 28, FALSE)</f>
        <v>0</v>
      </c>
      <c r="AG172">
        <f>VLOOKUP(Misfit[[#This Row],[Shortname]], Comp[], 29, FALSE)</f>
        <v>0</v>
      </c>
      <c r="AH172">
        <f>VLOOKUP(Misfit[[#This Row],[Shortname]], Comp[], 30, FALSE)</f>
        <v>0</v>
      </c>
      <c r="AI172">
        <f>VLOOKUP(Misfit[[#This Row],[Shortname]], Comp[], 31, FALSE)</f>
        <v>0</v>
      </c>
    </row>
    <row r="173" spans="1:35" x14ac:dyDescent="0.3">
      <c r="A173" t="s">
        <v>3801</v>
      </c>
      <c r="B173" s="7" t="s">
        <v>3803</v>
      </c>
      <c r="C173" s="3" t="s">
        <v>3784</v>
      </c>
      <c r="D173" s="3">
        <v>900</v>
      </c>
      <c r="E173">
        <v>25</v>
      </c>
      <c r="F173">
        <v>0.36159999999999998</v>
      </c>
      <c r="G173">
        <v>0.35749999999999998</v>
      </c>
      <c r="H173" s="40">
        <v>1.1299999999999999E-2</v>
      </c>
      <c r="J173">
        <f>VLOOKUP(Misfit[[#This Row],[Shortname]], Comp[], 6, FALSE)</f>
        <v>569</v>
      </c>
      <c r="K173">
        <f>VLOOKUP(Misfit[[#This Row],[Shortname]], Comp[], 7, FALSE)</f>
        <v>80</v>
      </c>
      <c r="L173">
        <f>VLOOKUP(Misfit[[#This Row],[Shortname]], Comp[], 8, FALSE)</f>
        <v>0</v>
      </c>
      <c r="M173">
        <f>VLOOKUP(Misfit[[#This Row],[Shortname]], Comp[], 9, FALSE)</f>
        <v>9</v>
      </c>
      <c r="N173">
        <f>VLOOKUP(Misfit[[#This Row],[Shortname]], Comp[], 10, FALSE)</f>
        <v>0</v>
      </c>
      <c r="O173">
        <f>VLOOKUP(Misfit[[#This Row],[Shortname]], Comp[], 11, FALSE)</f>
        <v>9</v>
      </c>
      <c r="P173">
        <f>VLOOKUP(Misfit[[#This Row],[Shortname]], Comp[],12, FALSE)</f>
        <v>0</v>
      </c>
      <c r="Q173">
        <f>VLOOKUP(Misfit[[#This Row],[Shortname]], Comp[], 13, FALSE)</f>
        <v>0</v>
      </c>
      <c r="R173">
        <f>VLOOKUP(Misfit[[#This Row],[Shortname]], Comp[], 14, FALSE)</f>
        <v>0</v>
      </c>
      <c r="S173">
        <f>VLOOKUP(Misfit[[#This Row],[Shortname]], Comp[], 15, FALSE)</f>
        <v>0</v>
      </c>
      <c r="T173">
        <f>VLOOKUP(Misfit[[#This Row],[Shortname]], Comp[], 16, FALSE)</f>
        <v>2</v>
      </c>
      <c r="U173">
        <f>VLOOKUP(Misfit[[#This Row],[Shortname]], Comp[], 17, FALSE)</f>
        <v>0</v>
      </c>
      <c r="V173">
        <f>VLOOKUP(Misfit[[#This Row],[Shortname]], Comp[], 18, FALSE)</f>
        <v>0</v>
      </c>
      <c r="W173">
        <f>VLOOKUP(Misfit[[#This Row],[Shortname]], Comp[], 19, FALSE)</f>
        <v>0</v>
      </c>
      <c r="X173">
        <f>VLOOKUP(Misfit[[#This Row],[Shortname]], Comp[], 20, FALSE)</f>
        <v>0</v>
      </c>
      <c r="Y173">
        <f>VLOOKUP(Misfit[[#This Row],[Shortname]], Comp[], 21, FALSE)</f>
        <v>0</v>
      </c>
      <c r="Z173">
        <f>VLOOKUP(Misfit[[#This Row],[Shortname]], Comp[], 22, FALSE)</f>
        <v>0</v>
      </c>
      <c r="AA173">
        <f>VLOOKUP(Misfit[[#This Row],[Shortname]], Comp[], 23, FALSE)</f>
        <v>0</v>
      </c>
      <c r="AB173">
        <f>VLOOKUP(Misfit[[#This Row],[Shortname]], Comp[], 24, FALSE)</f>
        <v>0</v>
      </c>
      <c r="AC173">
        <f>VLOOKUP(Misfit[[#This Row],[Shortname]], Comp[], 25, FALSE)</f>
        <v>0</v>
      </c>
      <c r="AD173">
        <f>VLOOKUP(Misfit[[#This Row],[Shortname]], Comp[], 26, FALSE)</f>
        <v>0</v>
      </c>
      <c r="AE173">
        <f>VLOOKUP(Misfit[[#This Row],[Shortname]], Comp[], 27, FALSE)</f>
        <v>0</v>
      </c>
      <c r="AF173">
        <f>VLOOKUP(Misfit[[#This Row],[Shortname]], Comp[], 28, FALSE)</f>
        <v>0</v>
      </c>
      <c r="AG173">
        <f>VLOOKUP(Misfit[[#This Row],[Shortname]], Comp[], 29, FALSE)</f>
        <v>0</v>
      </c>
      <c r="AH173">
        <f>VLOOKUP(Misfit[[#This Row],[Shortname]], Comp[], 30, FALSE)</f>
        <v>0</v>
      </c>
      <c r="AI173">
        <f>VLOOKUP(Misfit[[#This Row],[Shortname]], Comp[], 31, FALSE)</f>
        <v>0</v>
      </c>
    </row>
    <row r="174" spans="1:35" x14ac:dyDescent="0.3">
      <c r="A174" t="s">
        <v>3819</v>
      </c>
      <c r="B174" s="7" t="s">
        <v>3821</v>
      </c>
      <c r="C174" s="3" t="s">
        <v>3784</v>
      </c>
      <c r="D174" s="3">
        <v>900</v>
      </c>
      <c r="E174">
        <v>25</v>
      </c>
      <c r="F174">
        <v>0.35909999999999997</v>
      </c>
      <c r="G174">
        <v>0.35570000000000002</v>
      </c>
      <c r="H174" s="40">
        <v>9.5999999999999992E-3</v>
      </c>
      <c r="J174">
        <f>VLOOKUP(Misfit[[#This Row],[Shortname]], Comp[], 6, FALSE)</f>
        <v>572</v>
      </c>
      <c r="K174">
        <f>VLOOKUP(Misfit[[#This Row],[Shortname]], Comp[], 7, FALSE)</f>
        <v>80</v>
      </c>
      <c r="L174">
        <f>VLOOKUP(Misfit[[#This Row],[Shortname]], Comp[], 8, FALSE)</f>
        <v>0</v>
      </c>
      <c r="M174">
        <f>VLOOKUP(Misfit[[#This Row],[Shortname]], Comp[], 9, FALSE)</f>
        <v>9</v>
      </c>
      <c r="N174">
        <f>VLOOKUP(Misfit[[#This Row],[Shortname]], Comp[], 10, FALSE)</f>
        <v>0</v>
      </c>
      <c r="O174">
        <f>VLOOKUP(Misfit[[#This Row],[Shortname]], Comp[], 11, FALSE)</f>
        <v>9</v>
      </c>
      <c r="P174">
        <f>VLOOKUP(Misfit[[#This Row],[Shortname]], Comp[],12, FALSE)</f>
        <v>0</v>
      </c>
      <c r="Q174">
        <f>VLOOKUP(Misfit[[#This Row],[Shortname]], Comp[], 13, FALSE)</f>
        <v>0</v>
      </c>
      <c r="R174">
        <f>VLOOKUP(Misfit[[#This Row],[Shortname]], Comp[], 14, FALSE)</f>
        <v>2</v>
      </c>
      <c r="S174">
        <f>VLOOKUP(Misfit[[#This Row],[Shortname]], Comp[], 15, FALSE)</f>
        <v>0</v>
      </c>
      <c r="T174">
        <f>VLOOKUP(Misfit[[#This Row],[Shortname]], Comp[], 16, FALSE)</f>
        <v>0</v>
      </c>
      <c r="U174">
        <f>VLOOKUP(Misfit[[#This Row],[Shortname]], Comp[], 17, FALSE)</f>
        <v>0</v>
      </c>
      <c r="V174">
        <f>VLOOKUP(Misfit[[#This Row],[Shortname]], Comp[], 18, FALSE)</f>
        <v>0</v>
      </c>
      <c r="W174">
        <f>VLOOKUP(Misfit[[#This Row],[Shortname]], Comp[], 19, FALSE)</f>
        <v>0</v>
      </c>
      <c r="X174">
        <f>VLOOKUP(Misfit[[#This Row],[Shortname]], Comp[], 20, FALSE)</f>
        <v>0</v>
      </c>
      <c r="Y174">
        <f>VLOOKUP(Misfit[[#This Row],[Shortname]], Comp[], 21, FALSE)</f>
        <v>0</v>
      </c>
      <c r="Z174">
        <f>VLOOKUP(Misfit[[#This Row],[Shortname]], Comp[], 22, FALSE)</f>
        <v>0</v>
      </c>
      <c r="AA174">
        <f>VLOOKUP(Misfit[[#This Row],[Shortname]], Comp[], 23, FALSE)</f>
        <v>0</v>
      </c>
      <c r="AB174">
        <f>VLOOKUP(Misfit[[#This Row],[Shortname]], Comp[], 24, FALSE)</f>
        <v>0</v>
      </c>
      <c r="AC174">
        <f>VLOOKUP(Misfit[[#This Row],[Shortname]], Comp[], 25, FALSE)</f>
        <v>0</v>
      </c>
      <c r="AD174">
        <f>VLOOKUP(Misfit[[#This Row],[Shortname]], Comp[], 26, FALSE)</f>
        <v>0</v>
      </c>
      <c r="AE174">
        <f>VLOOKUP(Misfit[[#This Row],[Shortname]], Comp[], 27, FALSE)</f>
        <v>0</v>
      </c>
      <c r="AF174">
        <f>VLOOKUP(Misfit[[#This Row],[Shortname]], Comp[], 28, FALSE)</f>
        <v>0</v>
      </c>
      <c r="AG174">
        <f>VLOOKUP(Misfit[[#This Row],[Shortname]], Comp[], 29, FALSE)</f>
        <v>0</v>
      </c>
      <c r="AH174">
        <f>VLOOKUP(Misfit[[#This Row],[Shortname]], Comp[], 30, FALSE)</f>
        <v>0</v>
      </c>
      <c r="AI174">
        <f>VLOOKUP(Misfit[[#This Row],[Shortname]], Comp[], 31, FALSE)</f>
        <v>0</v>
      </c>
    </row>
    <row r="175" spans="1:35" x14ac:dyDescent="0.3">
      <c r="A175" t="s">
        <v>3795</v>
      </c>
      <c r="B175" s="7" t="s">
        <v>3797</v>
      </c>
      <c r="C175" s="3" t="s">
        <v>3784</v>
      </c>
      <c r="D175" s="3">
        <v>900</v>
      </c>
      <c r="E175">
        <v>25</v>
      </c>
      <c r="F175">
        <v>0.35949999999999999</v>
      </c>
      <c r="G175">
        <v>0.35730000000000001</v>
      </c>
      <c r="H175" s="40">
        <v>6.0000000000000001E-3</v>
      </c>
      <c r="J175">
        <f>VLOOKUP(Misfit[[#This Row],[Shortname]], Comp[], 6, FALSE)</f>
        <v>568</v>
      </c>
      <c r="K175">
        <f>VLOOKUP(Misfit[[#This Row],[Shortname]], Comp[], 7, FALSE)</f>
        <v>80</v>
      </c>
      <c r="L175">
        <f>VLOOKUP(Misfit[[#This Row],[Shortname]], Comp[], 8, FALSE)</f>
        <v>2</v>
      </c>
      <c r="M175">
        <f>VLOOKUP(Misfit[[#This Row],[Shortname]], Comp[], 9, FALSE)</f>
        <v>9</v>
      </c>
      <c r="N175">
        <f>VLOOKUP(Misfit[[#This Row],[Shortname]], Comp[], 10, FALSE)</f>
        <v>0</v>
      </c>
      <c r="O175">
        <f>VLOOKUP(Misfit[[#This Row],[Shortname]], Comp[], 11, FALSE)</f>
        <v>9</v>
      </c>
      <c r="P175">
        <f>VLOOKUP(Misfit[[#This Row],[Shortname]], Comp[],12, FALSE)</f>
        <v>0</v>
      </c>
      <c r="Q175">
        <f>VLOOKUP(Misfit[[#This Row],[Shortname]], Comp[], 13, FALSE)</f>
        <v>0</v>
      </c>
      <c r="R175">
        <f>VLOOKUP(Misfit[[#This Row],[Shortname]], Comp[], 14, FALSE)</f>
        <v>0</v>
      </c>
      <c r="S175">
        <f>VLOOKUP(Misfit[[#This Row],[Shortname]], Comp[], 15, FALSE)</f>
        <v>0</v>
      </c>
      <c r="T175">
        <f>VLOOKUP(Misfit[[#This Row],[Shortname]], Comp[], 16, FALSE)</f>
        <v>0</v>
      </c>
      <c r="U175">
        <f>VLOOKUP(Misfit[[#This Row],[Shortname]], Comp[], 17, FALSE)</f>
        <v>0</v>
      </c>
      <c r="V175">
        <f>VLOOKUP(Misfit[[#This Row],[Shortname]], Comp[], 18, FALSE)</f>
        <v>0</v>
      </c>
      <c r="W175">
        <f>VLOOKUP(Misfit[[#This Row],[Shortname]], Comp[], 19, FALSE)</f>
        <v>0</v>
      </c>
      <c r="X175">
        <f>VLOOKUP(Misfit[[#This Row],[Shortname]], Comp[], 20, FALSE)</f>
        <v>0</v>
      </c>
      <c r="Y175">
        <f>VLOOKUP(Misfit[[#This Row],[Shortname]], Comp[], 21, FALSE)</f>
        <v>0</v>
      </c>
      <c r="Z175">
        <f>VLOOKUP(Misfit[[#This Row],[Shortname]], Comp[], 22, FALSE)</f>
        <v>0</v>
      </c>
      <c r="AA175">
        <f>VLOOKUP(Misfit[[#This Row],[Shortname]], Comp[], 23, FALSE)</f>
        <v>0</v>
      </c>
      <c r="AB175">
        <f>VLOOKUP(Misfit[[#This Row],[Shortname]], Comp[], 24, FALSE)</f>
        <v>0</v>
      </c>
      <c r="AC175">
        <f>VLOOKUP(Misfit[[#This Row],[Shortname]], Comp[], 25, FALSE)</f>
        <v>0</v>
      </c>
      <c r="AD175">
        <f>VLOOKUP(Misfit[[#This Row],[Shortname]], Comp[], 26, FALSE)</f>
        <v>0</v>
      </c>
      <c r="AE175">
        <f>VLOOKUP(Misfit[[#This Row],[Shortname]], Comp[], 27, FALSE)</f>
        <v>0</v>
      </c>
      <c r="AF175">
        <f>VLOOKUP(Misfit[[#This Row],[Shortname]], Comp[], 28, FALSE)</f>
        <v>0</v>
      </c>
      <c r="AG175">
        <f>VLOOKUP(Misfit[[#This Row],[Shortname]], Comp[], 29, FALSE)</f>
        <v>0</v>
      </c>
      <c r="AH175">
        <f>VLOOKUP(Misfit[[#This Row],[Shortname]], Comp[], 30, FALSE)</f>
        <v>0</v>
      </c>
      <c r="AI175">
        <f>VLOOKUP(Misfit[[#This Row],[Shortname]], Comp[], 31, FALSE)</f>
        <v>0</v>
      </c>
    </row>
    <row r="176" spans="1:35" x14ac:dyDescent="0.3">
      <c r="A176" t="s">
        <v>3497</v>
      </c>
      <c r="B176" s="7" t="s">
        <v>3825</v>
      </c>
      <c r="C176" s="3" t="s">
        <v>3784</v>
      </c>
      <c r="D176" s="3">
        <v>900</v>
      </c>
      <c r="E176">
        <v>25</v>
      </c>
      <c r="F176">
        <v>0.3619</v>
      </c>
      <c r="G176">
        <v>0.35630000000000001</v>
      </c>
      <c r="H176" s="40">
        <v>1.54E-2</v>
      </c>
      <c r="J176">
        <f>VLOOKUP(Misfit[[#This Row],[Shortname]], Comp[], 6, FALSE)</f>
        <v>503</v>
      </c>
      <c r="K176">
        <f>VLOOKUP(Misfit[[#This Row],[Shortname]], Comp[], 7, FALSE)</f>
        <v>80</v>
      </c>
      <c r="L176">
        <f>VLOOKUP(Misfit[[#This Row],[Shortname]], Comp[], 8, FALSE)</f>
        <v>0</v>
      </c>
      <c r="M176">
        <f>VLOOKUP(Misfit[[#This Row],[Shortname]], Comp[], 9, FALSE)</f>
        <v>9</v>
      </c>
      <c r="N176">
        <f>VLOOKUP(Misfit[[#This Row],[Shortname]], Comp[], 10, FALSE)</f>
        <v>0</v>
      </c>
      <c r="O176">
        <f>VLOOKUP(Misfit[[#This Row],[Shortname]], Comp[], 11, FALSE)</f>
        <v>9</v>
      </c>
      <c r="P176">
        <f>VLOOKUP(Misfit[[#This Row],[Shortname]], Comp[],12, FALSE)</f>
        <v>0</v>
      </c>
      <c r="Q176">
        <f>VLOOKUP(Misfit[[#This Row],[Shortname]], Comp[], 13, FALSE)</f>
        <v>2</v>
      </c>
      <c r="R176">
        <f>VLOOKUP(Misfit[[#This Row],[Shortname]], Comp[], 14, FALSE)</f>
        <v>0</v>
      </c>
      <c r="S176">
        <f>VLOOKUP(Misfit[[#This Row],[Shortname]], Comp[], 15, FALSE)</f>
        <v>0</v>
      </c>
      <c r="T176">
        <f>VLOOKUP(Misfit[[#This Row],[Shortname]], Comp[], 16, FALSE)</f>
        <v>0</v>
      </c>
      <c r="U176">
        <f>VLOOKUP(Misfit[[#This Row],[Shortname]], Comp[], 17, FALSE)</f>
        <v>0</v>
      </c>
      <c r="V176">
        <f>VLOOKUP(Misfit[[#This Row],[Shortname]], Comp[], 18, FALSE)</f>
        <v>0</v>
      </c>
      <c r="W176">
        <f>VLOOKUP(Misfit[[#This Row],[Shortname]], Comp[], 19, FALSE)</f>
        <v>0</v>
      </c>
      <c r="X176">
        <f>VLOOKUP(Misfit[[#This Row],[Shortname]], Comp[], 20, FALSE)</f>
        <v>0</v>
      </c>
      <c r="Y176">
        <f>VLOOKUP(Misfit[[#This Row],[Shortname]], Comp[], 21, FALSE)</f>
        <v>0</v>
      </c>
      <c r="Z176">
        <f>VLOOKUP(Misfit[[#This Row],[Shortname]], Comp[], 22, FALSE)</f>
        <v>0</v>
      </c>
      <c r="AA176">
        <f>VLOOKUP(Misfit[[#This Row],[Shortname]], Comp[], 23, FALSE)</f>
        <v>0</v>
      </c>
      <c r="AB176">
        <f>VLOOKUP(Misfit[[#This Row],[Shortname]], Comp[], 24, FALSE)</f>
        <v>0</v>
      </c>
      <c r="AC176">
        <f>VLOOKUP(Misfit[[#This Row],[Shortname]], Comp[], 25, FALSE)</f>
        <v>0</v>
      </c>
      <c r="AD176">
        <f>VLOOKUP(Misfit[[#This Row],[Shortname]], Comp[], 26, FALSE)</f>
        <v>0</v>
      </c>
      <c r="AE176">
        <f>VLOOKUP(Misfit[[#This Row],[Shortname]], Comp[], 27, FALSE)</f>
        <v>0</v>
      </c>
      <c r="AF176">
        <f>VLOOKUP(Misfit[[#This Row],[Shortname]], Comp[], 28, FALSE)</f>
        <v>0</v>
      </c>
      <c r="AG176">
        <f>VLOOKUP(Misfit[[#This Row],[Shortname]], Comp[], 29, FALSE)</f>
        <v>0</v>
      </c>
      <c r="AH176">
        <f>VLOOKUP(Misfit[[#This Row],[Shortname]], Comp[], 30, FALSE)</f>
        <v>0</v>
      </c>
      <c r="AI176">
        <f>VLOOKUP(Misfit[[#This Row],[Shortname]], Comp[], 31, FALSE)</f>
        <v>0</v>
      </c>
    </row>
    <row r="177" spans="1:35" x14ac:dyDescent="0.3">
      <c r="A177" t="s">
        <v>3781</v>
      </c>
      <c r="B177" s="7" t="s">
        <v>3783</v>
      </c>
      <c r="C177" s="3" t="s">
        <v>3784</v>
      </c>
      <c r="D177" s="3">
        <v>900</v>
      </c>
      <c r="E177">
        <v>25</v>
      </c>
      <c r="F177">
        <v>0.36020000000000002</v>
      </c>
      <c r="G177">
        <v>0.35510000000000003</v>
      </c>
      <c r="H177" s="40">
        <v>1.43E-2</v>
      </c>
      <c r="J177">
        <f>VLOOKUP(Misfit[[#This Row],[Shortname]], Comp[], 6, FALSE)</f>
        <v>565</v>
      </c>
      <c r="K177">
        <f>VLOOKUP(Misfit[[#This Row],[Shortname]], Comp[], 7, FALSE)</f>
        <v>80</v>
      </c>
      <c r="L177">
        <f>VLOOKUP(Misfit[[#This Row],[Shortname]], Comp[], 8, FALSE)</f>
        <v>0</v>
      </c>
      <c r="M177">
        <f>VLOOKUP(Misfit[[#This Row],[Shortname]], Comp[], 9, FALSE)</f>
        <v>9</v>
      </c>
      <c r="N177">
        <f>VLOOKUP(Misfit[[#This Row],[Shortname]], Comp[], 10, FALSE)</f>
        <v>0</v>
      </c>
      <c r="O177">
        <f>VLOOKUP(Misfit[[#This Row],[Shortname]], Comp[], 11, FALSE)</f>
        <v>9</v>
      </c>
      <c r="P177">
        <f>VLOOKUP(Misfit[[#This Row],[Shortname]], Comp[],12, FALSE)</f>
        <v>2</v>
      </c>
      <c r="Q177">
        <f>VLOOKUP(Misfit[[#This Row],[Shortname]], Comp[], 13, FALSE)</f>
        <v>0</v>
      </c>
      <c r="R177">
        <f>VLOOKUP(Misfit[[#This Row],[Shortname]], Comp[], 14, FALSE)</f>
        <v>0</v>
      </c>
      <c r="S177">
        <f>VLOOKUP(Misfit[[#This Row],[Shortname]], Comp[], 15, FALSE)</f>
        <v>0</v>
      </c>
      <c r="T177">
        <f>VLOOKUP(Misfit[[#This Row],[Shortname]], Comp[], 16, FALSE)</f>
        <v>0</v>
      </c>
      <c r="U177">
        <f>VLOOKUP(Misfit[[#This Row],[Shortname]], Comp[], 17, FALSE)</f>
        <v>0</v>
      </c>
      <c r="V177">
        <f>VLOOKUP(Misfit[[#This Row],[Shortname]], Comp[], 18, FALSE)</f>
        <v>0</v>
      </c>
      <c r="W177">
        <f>VLOOKUP(Misfit[[#This Row],[Shortname]], Comp[], 19, FALSE)</f>
        <v>0</v>
      </c>
      <c r="X177">
        <f>VLOOKUP(Misfit[[#This Row],[Shortname]], Comp[], 20, FALSE)</f>
        <v>0</v>
      </c>
      <c r="Y177">
        <f>VLOOKUP(Misfit[[#This Row],[Shortname]], Comp[], 21, FALSE)</f>
        <v>0</v>
      </c>
      <c r="Z177">
        <f>VLOOKUP(Misfit[[#This Row],[Shortname]], Comp[], 22, FALSE)</f>
        <v>0</v>
      </c>
      <c r="AA177">
        <f>VLOOKUP(Misfit[[#This Row],[Shortname]], Comp[], 23, FALSE)</f>
        <v>0</v>
      </c>
      <c r="AB177">
        <f>VLOOKUP(Misfit[[#This Row],[Shortname]], Comp[], 24, FALSE)</f>
        <v>0</v>
      </c>
      <c r="AC177">
        <f>VLOOKUP(Misfit[[#This Row],[Shortname]], Comp[], 25, FALSE)</f>
        <v>0</v>
      </c>
      <c r="AD177">
        <f>VLOOKUP(Misfit[[#This Row],[Shortname]], Comp[], 26, FALSE)</f>
        <v>0</v>
      </c>
      <c r="AE177">
        <f>VLOOKUP(Misfit[[#This Row],[Shortname]], Comp[], 27, FALSE)</f>
        <v>0</v>
      </c>
      <c r="AF177">
        <f>VLOOKUP(Misfit[[#This Row],[Shortname]], Comp[], 28, FALSE)</f>
        <v>0</v>
      </c>
      <c r="AG177">
        <f>VLOOKUP(Misfit[[#This Row],[Shortname]], Comp[], 29, FALSE)</f>
        <v>0</v>
      </c>
      <c r="AH177">
        <f>VLOOKUP(Misfit[[#This Row],[Shortname]], Comp[], 30, FALSE)</f>
        <v>0</v>
      </c>
      <c r="AI177">
        <f>VLOOKUP(Misfit[[#This Row],[Shortname]], Comp[], 31, FALSE)</f>
        <v>0</v>
      </c>
    </row>
    <row r="178" spans="1:35" x14ac:dyDescent="0.3">
      <c r="A178" t="s">
        <v>3813</v>
      </c>
      <c r="B178" s="7" t="s">
        <v>3815</v>
      </c>
      <c r="C178" s="3" t="s">
        <v>3784</v>
      </c>
      <c r="D178" s="3">
        <v>900</v>
      </c>
      <c r="E178">
        <v>25</v>
      </c>
      <c r="F178">
        <v>0.36020000000000002</v>
      </c>
      <c r="G178">
        <v>0.35639999999999999</v>
      </c>
      <c r="H178" s="40">
        <v>1.0699999999999999E-2</v>
      </c>
      <c r="J178">
        <f>VLOOKUP(Misfit[[#This Row],[Shortname]], Comp[], 6, FALSE)</f>
        <v>571</v>
      </c>
      <c r="K178">
        <f>VLOOKUP(Misfit[[#This Row],[Shortname]], Comp[], 7, FALSE)</f>
        <v>80</v>
      </c>
      <c r="L178">
        <f>VLOOKUP(Misfit[[#This Row],[Shortname]], Comp[], 8, FALSE)</f>
        <v>0</v>
      </c>
      <c r="M178">
        <f>VLOOKUP(Misfit[[#This Row],[Shortname]], Comp[], 9, FALSE)</f>
        <v>9</v>
      </c>
      <c r="N178">
        <f>VLOOKUP(Misfit[[#This Row],[Shortname]], Comp[], 10, FALSE)</f>
        <v>0</v>
      </c>
      <c r="O178">
        <f>VLOOKUP(Misfit[[#This Row],[Shortname]], Comp[], 11, FALSE)</f>
        <v>9</v>
      </c>
      <c r="P178">
        <f>VLOOKUP(Misfit[[#This Row],[Shortname]], Comp[],12, FALSE)</f>
        <v>0</v>
      </c>
      <c r="Q178">
        <f>VLOOKUP(Misfit[[#This Row],[Shortname]], Comp[], 13, FALSE)</f>
        <v>0</v>
      </c>
      <c r="R178">
        <f>VLOOKUP(Misfit[[#This Row],[Shortname]], Comp[], 14, FALSE)</f>
        <v>0</v>
      </c>
      <c r="S178">
        <f>VLOOKUP(Misfit[[#This Row],[Shortname]], Comp[], 15, FALSE)</f>
        <v>2</v>
      </c>
      <c r="T178">
        <f>VLOOKUP(Misfit[[#This Row],[Shortname]], Comp[], 16, FALSE)</f>
        <v>0</v>
      </c>
      <c r="U178">
        <f>VLOOKUP(Misfit[[#This Row],[Shortname]], Comp[], 17, FALSE)</f>
        <v>0</v>
      </c>
      <c r="V178">
        <f>VLOOKUP(Misfit[[#This Row],[Shortname]], Comp[], 18, FALSE)</f>
        <v>0</v>
      </c>
      <c r="W178">
        <f>VLOOKUP(Misfit[[#This Row],[Shortname]], Comp[], 19, FALSE)</f>
        <v>0</v>
      </c>
      <c r="X178">
        <f>VLOOKUP(Misfit[[#This Row],[Shortname]], Comp[], 20, FALSE)</f>
        <v>0</v>
      </c>
      <c r="Y178">
        <f>VLOOKUP(Misfit[[#This Row],[Shortname]], Comp[], 21, FALSE)</f>
        <v>0</v>
      </c>
      <c r="Z178">
        <f>VLOOKUP(Misfit[[#This Row],[Shortname]], Comp[], 22, FALSE)</f>
        <v>0</v>
      </c>
      <c r="AA178">
        <f>VLOOKUP(Misfit[[#This Row],[Shortname]], Comp[], 23, FALSE)</f>
        <v>0</v>
      </c>
      <c r="AB178">
        <f>VLOOKUP(Misfit[[#This Row],[Shortname]], Comp[], 24, FALSE)</f>
        <v>0</v>
      </c>
      <c r="AC178">
        <f>VLOOKUP(Misfit[[#This Row],[Shortname]], Comp[], 25, FALSE)</f>
        <v>0</v>
      </c>
      <c r="AD178">
        <f>VLOOKUP(Misfit[[#This Row],[Shortname]], Comp[], 26, FALSE)</f>
        <v>0</v>
      </c>
      <c r="AE178">
        <f>VLOOKUP(Misfit[[#This Row],[Shortname]], Comp[], 27, FALSE)</f>
        <v>0</v>
      </c>
      <c r="AF178">
        <f>VLOOKUP(Misfit[[#This Row],[Shortname]], Comp[], 28, FALSE)</f>
        <v>0</v>
      </c>
      <c r="AG178">
        <f>VLOOKUP(Misfit[[#This Row],[Shortname]], Comp[], 29, FALSE)</f>
        <v>0</v>
      </c>
      <c r="AH178">
        <f>VLOOKUP(Misfit[[#This Row],[Shortname]], Comp[], 30, FALSE)</f>
        <v>0</v>
      </c>
      <c r="AI178">
        <f>VLOOKUP(Misfit[[#This Row],[Shortname]], Comp[], 31, FALSE)</f>
        <v>0</v>
      </c>
    </row>
    <row r="179" spans="1:35" x14ac:dyDescent="0.3">
      <c r="A179" t="s">
        <v>2118</v>
      </c>
      <c r="B179" s="7" t="s">
        <v>5288</v>
      </c>
      <c r="C179" s="11" t="s">
        <v>6629</v>
      </c>
      <c r="D179" s="11">
        <v>900</v>
      </c>
      <c r="E179">
        <v>1000</v>
      </c>
      <c r="F179">
        <v>0.36570000000000003</v>
      </c>
      <c r="G179">
        <v>0.36409999999999998</v>
      </c>
      <c r="H179" s="40">
        <f>2*(F179-G179)/(F179+G179)</f>
        <v>4.3847629487532083E-3</v>
      </c>
      <c r="J179">
        <f>VLOOKUP(Misfit[[#This Row],[Shortname]], Comp[], 6, FALSE)</f>
        <v>278</v>
      </c>
      <c r="K179">
        <f>VLOOKUP(Misfit[[#This Row],[Shortname]], Comp[], 7, FALSE)</f>
        <v>80</v>
      </c>
      <c r="L179">
        <f>VLOOKUP(Misfit[[#This Row],[Shortname]], Comp[], 8, FALSE)</f>
        <v>0</v>
      </c>
      <c r="M179">
        <f>VLOOKUP(Misfit[[#This Row],[Shortname]], Comp[], 9, FALSE)</f>
        <v>7</v>
      </c>
      <c r="N179">
        <f>VLOOKUP(Misfit[[#This Row],[Shortname]], Comp[], 10, FALSE)</f>
        <v>0</v>
      </c>
      <c r="O179">
        <f>VLOOKUP(Misfit[[#This Row],[Shortname]], Comp[], 11, FALSE)</f>
        <v>8</v>
      </c>
      <c r="P179">
        <f>VLOOKUP(Misfit[[#This Row],[Shortname]], Comp[],12, FALSE)</f>
        <v>4</v>
      </c>
      <c r="Q179">
        <f>VLOOKUP(Misfit[[#This Row],[Shortname]], Comp[], 13, FALSE)</f>
        <v>1</v>
      </c>
      <c r="R179">
        <f>VLOOKUP(Misfit[[#This Row],[Shortname]], Comp[], 14, FALSE)</f>
        <v>0</v>
      </c>
      <c r="S179">
        <f>VLOOKUP(Misfit[[#This Row],[Shortname]], Comp[], 15, FALSE)</f>
        <v>0</v>
      </c>
      <c r="T179">
        <f>VLOOKUP(Misfit[[#This Row],[Shortname]], Comp[], 16, FALSE)</f>
        <v>0</v>
      </c>
      <c r="U179">
        <f>VLOOKUP(Misfit[[#This Row],[Shortname]], Comp[], 17, FALSE)</f>
        <v>0</v>
      </c>
      <c r="V179">
        <f>VLOOKUP(Misfit[[#This Row],[Shortname]], Comp[], 18, FALSE)</f>
        <v>0</v>
      </c>
      <c r="W179">
        <f>VLOOKUP(Misfit[[#This Row],[Shortname]], Comp[], 19, FALSE)</f>
        <v>0</v>
      </c>
      <c r="X179">
        <f>VLOOKUP(Misfit[[#This Row],[Shortname]], Comp[], 20, FALSE)</f>
        <v>0</v>
      </c>
      <c r="Y179">
        <f>VLOOKUP(Misfit[[#This Row],[Shortname]], Comp[], 21, FALSE)</f>
        <v>0</v>
      </c>
      <c r="Z179">
        <f>VLOOKUP(Misfit[[#This Row],[Shortname]], Comp[], 22, FALSE)</f>
        <v>0</v>
      </c>
      <c r="AA179">
        <f>VLOOKUP(Misfit[[#This Row],[Shortname]], Comp[], 23, FALSE)</f>
        <v>0</v>
      </c>
      <c r="AB179">
        <f>VLOOKUP(Misfit[[#This Row],[Shortname]], Comp[], 24, FALSE)</f>
        <v>0</v>
      </c>
      <c r="AC179">
        <f>VLOOKUP(Misfit[[#This Row],[Shortname]], Comp[], 25, FALSE)</f>
        <v>0</v>
      </c>
      <c r="AD179">
        <f>VLOOKUP(Misfit[[#This Row],[Shortname]], Comp[], 26, FALSE)</f>
        <v>0</v>
      </c>
      <c r="AE179">
        <f>VLOOKUP(Misfit[[#This Row],[Shortname]], Comp[], 27, FALSE)</f>
        <v>0</v>
      </c>
      <c r="AF179">
        <f>VLOOKUP(Misfit[[#This Row],[Shortname]], Comp[], 28, FALSE)</f>
        <v>0</v>
      </c>
      <c r="AG179">
        <f>VLOOKUP(Misfit[[#This Row],[Shortname]], Comp[], 29, FALSE)</f>
        <v>0</v>
      </c>
      <c r="AH179">
        <f>VLOOKUP(Misfit[[#This Row],[Shortname]], Comp[], 30, FALSE)</f>
        <v>0</v>
      </c>
      <c r="AI179">
        <f>VLOOKUP(Misfit[[#This Row],[Shortname]], Comp[], 31, FALSE)</f>
        <v>0</v>
      </c>
    </row>
    <row r="180" spans="1:35" x14ac:dyDescent="0.3">
      <c r="A180" t="s">
        <v>3884</v>
      </c>
      <c r="B180" s="7" t="s">
        <v>3885</v>
      </c>
      <c r="C180" t="s">
        <v>6630</v>
      </c>
      <c r="D180">
        <v>900</v>
      </c>
      <c r="E180">
        <v>25</v>
      </c>
      <c r="F180">
        <v>0.36020000000000002</v>
      </c>
      <c r="G180">
        <v>0.35759999999999997</v>
      </c>
      <c r="H180" s="40">
        <v>7.4000000000000003E-3</v>
      </c>
      <c r="J180">
        <f>VLOOKUP(Misfit[[#This Row],[Shortname]], Comp[], 6, FALSE)</f>
        <v>583</v>
      </c>
      <c r="K180">
        <f>VLOOKUP(Misfit[[#This Row],[Shortname]], Comp[], 7, FALSE)</f>
        <v>81.5</v>
      </c>
      <c r="L180">
        <f>VLOOKUP(Misfit[[#This Row],[Shortname]], Comp[], 8, FALSE)</f>
        <v>2</v>
      </c>
      <c r="M180">
        <f>VLOOKUP(Misfit[[#This Row],[Shortname]], Comp[], 9, FALSE)</f>
        <v>9</v>
      </c>
      <c r="N180">
        <f>VLOOKUP(Misfit[[#This Row],[Shortname]], Comp[], 10, FALSE)</f>
        <v>0</v>
      </c>
      <c r="O180">
        <f>VLOOKUP(Misfit[[#This Row],[Shortname]], Comp[], 11, FALSE)</f>
        <v>7.5</v>
      </c>
      <c r="P180">
        <f>VLOOKUP(Misfit[[#This Row],[Shortname]], Comp[],12, FALSE)</f>
        <v>0</v>
      </c>
      <c r="Q180">
        <f>VLOOKUP(Misfit[[#This Row],[Shortname]], Comp[], 13, FALSE)</f>
        <v>0</v>
      </c>
      <c r="R180">
        <f>VLOOKUP(Misfit[[#This Row],[Shortname]], Comp[], 14, FALSE)</f>
        <v>0</v>
      </c>
      <c r="S180">
        <f>VLOOKUP(Misfit[[#This Row],[Shortname]], Comp[], 15, FALSE)</f>
        <v>0</v>
      </c>
      <c r="T180">
        <f>VLOOKUP(Misfit[[#This Row],[Shortname]], Comp[], 16, FALSE)</f>
        <v>0</v>
      </c>
      <c r="U180">
        <f>VLOOKUP(Misfit[[#This Row],[Shortname]], Comp[], 17, FALSE)</f>
        <v>0</v>
      </c>
      <c r="V180">
        <f>VLOOKUP(Misfit[[#This Row],[Shortname]], Comp[], 18, FALSE)</f>
        <v>0</v>
      </c>
      <c r="W180">
        <f>VLOOKUP(Misfit[[#This Row],[Shortname]], Comp[], 19, FALSE)</f>
        <v>0</v>
      </c>
      <c r="X180">
        <f>VLOOKUP(Misfit[[#This Row],[Shortname]], Comp[], 20, FALSE)</f>
        <v>0</v>
      </c>
      <c r="Y180">
        <f>VLOOKUP(Misfit[[#This Row],[Shortname]], Comp[], 21, FALSE)</f>
        <v>0</v>
      </c>
      <c r="Z180">
        <f>VLOOKUP(Misfit[[#This Row],[Shortname]], Comp[], 22, FALSE)</f>
        <v>0</v>
      </c>
      <c r="AA180">
        <f>VLOOKUP(Misfit[[#This Row],[Shortname]], Comp[], 23, FALSE)</f>
        <v>0</v>
      </c>
      <c r="AB180">
        <f>VLOOKUP(Misfit[[#This Row],[Shortname]], Comp[], 24, FALSE)</f>
        <v>0</v>
      </c>
      <c r="AC180">
        <f>VLOOKUP(Misfit[[#This Row],[Shortname]], Comp[], 25, FALSE)</f>
        <v>0</v>
      </c>
      <c r="AD180">
        <f>VLOOKUP(Misfit[[#This Row],[Shortname]], Comp[], 26, FALSE)</f>
        <v>0</v>
      </c>
      <c r="AE180">
        <f>VLOOKUP(Misfit[[#This Row],[Shortname]], Comp[], 27, FALSE)</f>
        <v>0</v>
      </c>
      <c r="AF180">
        <f>VLOOKUP(Misfit[[#This Row],[Shortname]], Comp[], 28, FALSE)</f>
        <v>0</v>
      </c>
      <c r="AG180">
        <f>VLOOKUP(Misfit[[#This Row],[Shortname]], Comp[], 29, FALSE)</f>
        <v>0</v>
      </c>
      <c r="AH180">
        <f>VLOOKUP(Misfit[[#This Row],[Shortname]], Comp[], 30, FALSE)</f>
        <v>0</v>
      </c>
      <c r="AI180">
        <f>VLOOKUP(Misfit[[#This Row],[Shortname]], Comp[], 31, FALSE)</f>
        <v>0</v>
      </c>
    </row>
    <row r="181" spans="1:35" x14ac:dyDescent="0.3">
      <c r="A181" t="s">
        <v>3884</v>
      </c>
      <c r="B181" s="7" t="s">
        <v>3885</v>
      </c>
      <c r="C181" t="s">
        <v>6630</v>
      </c>
      <c r="D181">
        <v>900</v>
      </c>
      <c r="E181">
        <v>700</v>
      </c>
      <c r="F181">
        <v>0.36349999999999999</v>
      </c>
      <c r="G181">
        <v>0.36130000000000001</v>
      </c>
      <c r="H181" s="40">
        <f>2*(F181-G181)/(F181+G181)</f>
        <v>6.0706401766003858E-3</v>
      </c>
      <c r="J181">
        <f>VLOOKUP(Misfit[[#This Row],[Shortname]], Comp[], 6, FALSE)</f>
        <v>583</v>
      </c>
      <c r="K181">
        <f>VLOOKUP(Misfit[[#This Row],[Shortname]], Comp[], 7, FALSE)</f>
        <v>81.5</v>
      </c>
      <c r="L181">
        <f>VLOOKUP(Misfit[[#This Row],[Shortname]], Comp[], 8, FALSE)</f>
        <v>2</v>
      </c>
      <c r="M181">
        <f>VLOOKUP(Misfit[[#This Row],[Shortname]], Comp[], 9, FALSE)</f>
        <v>9</v>
      </c>
      <c r="N181">
        <f>VLOOKUP(Misfit[[#This Row],[Shortname]], Comp[], 10, FALSE)</f>
        <v>0</v>
      </c>
      <c r="O181">
        <f>VLOOKUP(Misfit[[#This Row],[Shortname]], Comp[], 11, FALSE)</f>
        <v>7.5</v>
      </c>
      <c r="P181">
        <f>VLOOKUP(Misfit[[#This Row],[Shortname]], Comp[],12, FALSE)</f>
        <v>0</v>
      </c>
      <c r="Q181">
        <f>VLOOKUP(Misfit[[#This Row],[Shortname]], Comp[], 13, FALSE)</f>
        <v>0</v>
      </c>
      <c r="R181">
        <f>VLOOKUP(Misfit[[#This Row],[Shortname]], Comp[], 14, FALSE)</f>
        <v>0</v>
      </c>
      <c r="S181">
        <f>VLOOKUP(Misfit[[#This Row],[Shortname]], Comp[], 15, FALSE)</f>
        <v>0</v>
      </c>
      <c r="T181">
        <f>VLOOKUP(Misfit[[#This Row],[Shortname]], Comp[], 16, FALSE)</f>
        <v>0</v>
      </c>
      <c r="U181">
        <f>VLOOKUP(Misfit[[#This Row],[Shortname]], Comp[], 17, FALSE)</f>
        <v>0</v>
      </c>
      <c r="V181">
        <f>VLOOKUP(Misfit[[#This Row],[Shortname]], Comp[], 18, FALSE)</f>
        <v>0</v>
      </c>
      <c r="W181">
        <f>VLOOKUP(Misfit[[#This Row],[Shortname]], Comp[], 19, FALSE)</f>
        <v>0</v>
      </c>
      <c r="X181">
        <f>VLOOKUP(Misfit[[#This Row],[Shortname]], Comp[], 20, FALSE)</f>
        <v>0</v>
      </c>
      <c r="Y181">
        <f>VLOOKUP(Misfit[[#This Row],[Shortname]], Comp[], 21, FALSE)</f>
        <v>0</v>
      </c>
      <c r="Z181">
        <f>VLOOKUP(Misfit[[#This Row],[Shortname]], Comp[], 22, FALSE)</f>
        <v>0</v>
      </c>
      <c r="AA181">
        <f>VLOOKUP(Misfit[[#This Row],[Shortname]], Comp[], 23, FALSE)</f>
        <v>0</v>
      </c>
      <c r="AB181">
        <f>VLOOKUP(Misfit[[#This Row],[Shortname]], Comp[], 24, FALSE)</f>
        <v>0</v>
      </c>
      <c r="AC181">
        <f>VLOOKUP(Misfit[[#This Row],[Shortname]], Comp[], 25, FALSE)</f>
        <v>0</v>
      </c>
      <c r="AD181">
        <f>VLOOKUP(Misfit[[#This Row],[Shortname]], Comp[], 26, FALSE)</f>
        <v>0</v>
      </c>
      <c r="AE181">
        <f>VLOOKUP(Misfit[[#This Row],[Shortname]], Comp[], 27, FALSE)</f>
        <v>0</v>
      </c>
      <c r="AF181">
        <f>VLOOKUP(Misfit[[#This Row],[Shortname]], Comp[], 28, FALSE)</f>
        <v>0</v>
      </c>
      <c r="AG181">
        <f>VLOOKUP(Misfit[[#This Row],[Shortname]], Comp[], 29, FALSE)</f>
        <v>0</v>
      </c>
      <c r="AH181">
        <f>VLOOKUP(Misfit[[#This Row],[Shortname]], Comp[], 30, FALSE)</f>
        <v>0</v>
      </c>
      <c r="AI181">
        <f>VLOOKUP(Misfit[[#This Row],[Shortname]], Comp[], 31, FALSE)</f>
        <v>0</v>
      </c>
    </row>
    <row r="182" spans="1:35" x14ac:dyDescent="0.3">
      <c r="A182" t="s">
        <v>3884</v>
      </c>
      <c r="B182" s="7" t="s">
        <v>3885</v>
      </c>
      <c r="C182" t="s">
        <v>6630</v>
      </c>
      <c r="D182">
        <v>900</v>
      </c>
      <c r="E182">
        <v>800</v>
      </c>
      <c r="F182">
        <v>0.36449999999999999</v>
      </c>
      <c r="G182">
        <v>0.36230000000000001</v>
      </c>
      <c r="H182" s="40">
        <f>2*(F182-G182)/(F182+G182)</f>
        <v>6.0539350577875064E-3</v>
      </c>
      <c r="J182">
        <f>VLOOKUP(Misfit[[#This Row],[Shortname]], Comp[], 6, FALSE)</f>
        <v>583</v>
      </c>
      <c r="K182">
        <f>VLOOKUP(Misfit[[#This Row],[Shortname]], Comp[], 7, FALSE)</f>
        <v>81.5</v>
      </c>
      <c r="L182">
        <f>VLOOKUP(Misfit[[#This Row],[Shortname]], Comp[], 8, FALSE)</f>
        <v>2</v>
      </c>
      <c r="M182">
        <f>VLOOKUP(Misfit[[#This Row],[Shortname]], Comp[], 9, FALSE)</f>
        <v>9</v>
      </c>
      <c r="N182">
        <f>VLOOKUP(Misfit[[#This Row],[Shortname]], Comp[], 10, FALSE)</f>
        <v>0</v>
      </c>
      <c r="O182">
        <f>VLOOKUP(Misfit[[#This Row],[Shortname]], Comp[], 11, FALSE)</f>
        <v>7.5</v>
      </c>
      <c r="P182">
        <f>VLOOKUP(Misfit[[#This Row],[Shortname]], Comp[],12, FALSE)</f>
        <v>0</v>
      </c>
      <c r="Q182">
        <f>VLOOKUP(Misfit[[#This Row],[Shortname]], Comp[], 13, FALSE)</f>
        <v>0</v>
      </c>
      <c r="R182">
        <f>VLOOKUP(Misfit[[#This Row],[Shortname]], Comp[], 14, FALSE)</f>
        <v>0</v>
      </c>
      <c r="S182">
        <f>VLOOKUP(Misfit[[#This Row],[Shortname]], Comp[], 15, FALSE)</f>
        <v>0</v>
      </c>
      <c r="T182">
        <f>VLOOKUP(Misfit[[#This Row],[Shortname]], Comp[], 16, FALSE)</f>
        <v>0</v>
      </c>
      <c r="U182">
        <f>VLOOKUP(Misfit[[#This Row],[Shortname]], Comp[], 17, FALSE)</f>
        <v>0</v>
      </c>
      <c r="V182">
        <f>VLOOKUP(Misfit[[#This Row],[Shortname]], Comp[], 18, FALSE)</f>
        <v>0</v>
      </c>
      <c r="W182">
        <f>VLOOKUP(Misfit[[#This Row],[Shortname]], Comp[], 19, FALSE)</f>
        <v>0</v>
      </c>
      <c r="X182">
        <f>VLOOKUP(Misfit[[#This Row],[Shortname]], Comp[], 20, FALSE)</f>
        <v>0</v>
      </c>
      <c r="Y182">
        <f>VLOOKUP(Misfit[[#This Row],[Shortname]], Comp[], 21, FALSE)</f>
        <v>0</v>
      </c>
      <c r="Z182">
        <f>VLOOKUP(Misfit[[#This Row],[Shortname]], Comp[], 22, FALSE)</f>
        <v>0</v>
      </c>
      <c r="AA182">
        <f>VLOOKUP(Misfit[[#This Row],[Shortname]], Comp[], 23, FALSE)</f>
        <v>0</v>
      </c>
      <c r="AB182">
        <f>VLOOKUP(Misfit[[#This Row],[Shortname]], Comp[], 24, FALSE)</f>
        <v>0</v>
      </c>
      <c r="AC182">
        <f>VLOOKUP(Misfit[[#This Row],[Shortname]], Comp[], 25, FALSE)</f>
        <v>0</v>
      </c>
      <c r="AD182">
        <f>VLOOKUP(Misfit[[#This Row],[Shortname]], Comp[], 26, FALSE)</f>
        <v>0</v>
      </c>
      <c r="AE182">
        <f>VLOOKUP(Misfit[[#This Row],[Shortname]], Comp[], 27, FALSE)</f>
        <v>0</v>
      </c>
      <c r="AF182">
        <f>VLOOKUP(Misfit[[#This Row],[Shortname]], Comp[], 28, FALSE)</f>
        <v>0</v>
      </c>
      <c r="AG182">
        <f>VLOOKUP(Misfit[[#This Row],[Shortname]], Comp[], 29, FALSE)</f>
        <v>0</v>
      </c>
      <c r="AH182">
        <f>VLOOKUP(Misfit[[#This Row],[Shortname]], Comp[], 30, FALSE)</f>
        <v>0</v>
      </c>
      <c r="AI182">
        <f>VLOOKUP(Misfit[[#This Row],[Shortname]], Comp[], 31, FALSE)</f>
        <v>0</v>
      </c>
    </row>
    <row r="183" spans="1:35" x14ac:dyDescent="0.3">
      <c r="A183" t="s">
        <v>3884</v>
      </c>
      <c r="B183" s="7" t="s">
        <v>3885</v>
      </c>
      <c r="C183" t="s">
        <v>6630</v>
      </c>
      <c r="D183">
        <v>900</v>
      </c>
      <c r="E183">
        <v>900</v>
      </c>
      <c r="F183">
        <v>0.3654</v>
      </c>
      <c r="G183">
        <v>0.36349999999999999</v>
      </c>
      <c r="H183" s="40">
        <f>2*(F183-G183)/(F183+G183)</f>
        <v>5.213335162573776E-3</v>
      </c>
      <c r="J183">
        <f>VLOOKUP(Misfit[[#This Row],[Shortname]], Comp[], 6, FALSE)</f>
        <v>583</v>
      </c>
      <c r="K183">
        <f>VLOOKUP(Misfit[[#This Row],[Shortname]], Comp[], 7, FALSE)</f>
        <v>81.5</v>
      </c>
      <c r="L183">
        <f>VLOOKUP(Misfit[[#This Row],[Shortname]], Comp[], 8, FALSE)</f>
        <v>2</v>
      </c>
      <c r="M183">
        <f>VLOOKUP(Misfit[[#This Row],[Shortname]], Comp[], 9, FALSE)</f>
        <v>9</v>
      </c>
      <c r="N183">
        <f>VLOOKUP(Misfit[[#This Row],[Shortname]], Comp[], 10, FALSE)</f>
        <v>0</v>
      </c>
      <c r="O183">
        <f>VLOOKUP(Misfit[[#This Row],[Shortname]], Comp[], 11, FALSE)</f>
        <v>7.5</v>
      </c>
      <c r="P183">
        <f>VLOOKUP(Misfit[[#This Row],[Shortname]], Comp[],12, FALSE)</f>
        <v>0</v>
      </c>
      <c r="Q183">
        <f>VLOOKUP(Misfit[[#This Row],[Shortname]], Comp[], 13, FALSE)</f>
        <v>0</v>
      </c>
      <c r="R183">
        <f>VLOOKUP(Misfit[[#This Row],[Shortname]], Comp[], 14, FALSE)</f>
        <v>0</v>
      </c>
      <c r="S183">
        <f>VLOOKUP(Misfit[[#This Row],[Shortname]], Comp[], 15, FALSE)</f>
        <v>0</v>
      </c>
      <c r="T183">
        <f>VLOOKUP(Misfit[[#This Row],[Shortname]], Comp[], 16, FALSE)</f>
        <v>0</v>
      </c>
      <c r="U183">
        <f>VLOOKUP(Misfit[[#This Row],[Shortname]], Comp[], 17, FALSE)</f>
        <v>0</v>
      </c>
      <c r="V183">
        <f>VLOOKUP(Misfit[[#This Row],[Shortname]], Comp[], 18, FALSE)</f>
        <v>0</v>
      </c>
      <c r="W183">
        <f>VLOOKUP(Misfit[[#This Row],[Shortname]], Comp[], 19, FALSE)</f>
        <v>0</v>
      </c>
      <c r="X183">
        <f>VLOOKUP(Misfit[[#This Row],[Shortname]], Comp[], 20, FALSE)</f>
        <v>0</v>
      </c>
      <c r="Y183">
        <f>VLOOKUP(Misfit[[#This Row],[Shortname]], Comp[], 21, FALSE)</f>
        <v>0</v>
      </c>
      <c r="Z183">
        <f>VLOOKUP(Misfit[[#This Row],[Shortname]], Comp[], 22, FALSE)</f>
        <v>0</v>
      </c>
      <c r="AA183">
        <f>VLOOKUP(Misfit[[#This Row],[Shortname]], Comp[], 23, FALSE)</f>
        <v>0</v>
      </c>
      <c r="AB183">
        <f>VLOOKUP(Misfit[[#This Row],[Shortname]], Comp[], 24, FALSE)</f>
        <v>0</v>
      </c>
      <c r="AC183">
        <f>VLOOKUP(Misfit[[#This Row],[Shortname]], Comp[], 25, FALSE)</f>
        <v>0</v>
      </c>
      <c r="AD183">
        <f>VLOOKUP(Misfit[[#This Row],[Shortname]], Comp[], 26, FALSE)</f>
        <v>0</v>
      </c>
      <c r="AE183">
        <f>VLOOKUP(Misfit[[#This Row],[Shortname]], Comp[], 27, FALSE)</f>
        <v>0</v>
      </c>
      <c r="AF183">
        <f>VLOOKUP(Misfit[[#This Row],[Shortname]], Comp[], 28, FALSE)</f>
        <v>0</v>
      </c>
      <c r="AG183">
        <f>VLOOKUP(Misfit[[#This Row],[Shortname]], Comp[], 29, FALSE)</f>
        <v>0</v>
      </c>
      <c r="AH183">
        <f>VLOOKUP(Misfit[[#This Row],[Shortname]], Comp[], 30, FALSE)</f>
        <v>0</v>
      </c>
      <c r="AI183">
        <f>VLOOKUP(Misfit[[#This Row],[Shortname]], Comp[], 31, FALSE)</f>
        <v>0</v>
      </c>
    </row>
    <row r="184" spans="1:35" x14ac:dyDescent="0.3">
      <c r="A184" t="s">
        <v>3884</v>
      </c>
      <c r="B184" s="7" t="s">
        <v>3885</v>
      </c>
      <c r="C184" t="s">
        <v>6630</v>
      </c>
      <c r="D184">
        <v>900</v>
      </c>
      <c r="E184">
        <v>1000</v>
      </c>
      <c r="F184">
        <v>0.36520000000000002</v>
      </c>
      <c r="G184">
        <v>0.36370000000000002</v>
      </c>
      <c r="H184" s="40">
        <v>4.0000000000000001E-3</v>
      </c>
      <c r="J184">
        <f>VLOOKUP(Misfit[[#This Row],[Shortname]], Comp[], 6, FALSE)</f>
        <v>583</v>
      </c>
      <c r="K184">
        <f>VLOOKUP(Misfit[[#This Row],[Shortname]], Comp[], 7, FALSE)</f>
        <v>81.5</v>
      </c>
      <c r="L184">
        <f>VLOOKUP(Misfit[[#This Row],[Shortname]], Comp[], 8, FALSE)</f>
        <v>2</v>
      </c>
      <c r="M184">
        <f>VLOOKUP(Misfit[[#This Row],[Shortname]], Comp[], 9, FALSE)</f>
        <v>9</v>
      </c>
      <c r="N184">
        <f>VLOOKUP(Misfit[[#This Row],[Shortname]], Comp[], 10, FALSE)</f>
        <v>0</v>
      </c>
      <c r="O184">
        <f>VLOOKUP(Misfit[[#This Row],[Shortname]], Comp[], 11, FALSE)</f>
        <v>7.5</v>
      </c>
      <c r="P184">
        <f>VLOOKUP(Misfit[[#This Row],[Shortname]], Comp[],12, FALSE)</f>
        <v>0</v>
      </c>
      <c r="Q184">
        <f>VLOOKUP(Misfit[[#This Row],[Shortname]], Comp[], 13, FALSE)</f>
        <v>0</v>
      </c>
      <c r="R184">
        <f>VLOOKUP(Misfit[[#This Row],[Shortname]], Comp[], 14, FALSE)</f>
        <v>0</v>
      </c>
      <c r="S184">
        <f>VLOOKUP(Misfit[[#This Row],[Shortname]], Comp[], 15, FALSE)</f>
        <v>0</v>
      </c>
      <c r="T184">
        <f>VLOOKUP(Misfit[[#This Row],[Shortname]], Comp[], 16, FALSE)</f>
        <v>0</v>
      </c>
      <c r="U184">
        <f>VLOOKUP(Misfit[[#This Row],[Shortname]], Comp[], 17, FALSE)</f>
        <v>0</v>
      </c>
      <c r="V184">
        <f>VLOOKUP(Misfit[[#This Row],[Shortname]], Comp[], 18, FALSE)</f>
        <v>0</v>
      </c>
      <c r="W184">
        <f>VLOOKUP(Misfit[[#This Row],[Shortname]], Comp[], 19, FALSE)</f>
        <v>0</v>
      </c>
      <c r="X184">
        <f>VLOOKUP(Misfit[[#This Row],[Shortname]], Comp[], 20, FALSE)</f>
        <v>0</v>
      </c>
      <c r="Y184">
        <f>VLOOKUP(Misfit[[#This Row],[Shortname]], Comp[], 21, FALSE)</f>
        <v>0</v>
      </c>
      <c r="Z184">
        <f>VLOOKUP(Misfit[[#This Row],[Shortname]], Comp[], 22, FALSE)</f>
        <v>0</v>
      </c>
      <c r="AA184">
        <f>VLOOKUP(Misfit[[#This Row],[Shortname]], Comp[], 23, FALSE)</f>
        <v>0</v>
      </c>
      <c r="AB184">
        <f>VLOOKUP(Misfit[[#This Row],[Shortname]], Comp[], 24, FALSE)</f>
        <v>0</v>
      </c>
      <c r="AC184">
        <f>VLOOKUP(Misfit[[#This Row],[Shortname]], Comp[], 25, FALSE)</f>
        <v>0</v>
      </c>
      <c r="AD184">
        <f>VLOOKUP(Misfit[[#This Row],[Shortname]], Comp[], 26, FALSE)</f>
        <v>0</v>
      </c>
      <c r="AE184">
        <f>VLOOKUP(Misfit[[#This Row],[Shortname]], Comp[], 27, FALSE)</f>
        <v>0</v>
      </c>
      <c r="AF184">
        <f>VLOOKUP(Misfit[[#This Row],[Shortname]], Comp[], 28, FALSE)</f>
        <v>0</v>
      </c>
      <c r="AG184">
        <f>VLOOKUP(Misfit[[#This Row],[Shortname]], Comp[], 29, FALSE)</f>
        <v>0</v>
      </c>
      <c r="AH184">
        <f>VLOOKUP(Misfit[[#This Row],[Shortname]], Comp[], 30, FALSE)</f>
        <v>0</v>
      </c>
      <c r="AI184">
        <f>VLOOKUP(Misfit[[#This Row],[Shortname]], Comp[], 31, FALSE)</f>
        <v>0</v>
      </c>
    </row>
    <row r="185" spans="1:35" x14ac:dyDescent="0.3">
      <c r="A185" t="s">
        <v>3991</v>
      </c>
      <c r="B185" s="7" t="s">
        <v>3992</v>
      </c>
      <c r="C185" s="6" t="s">
        <v>3985</v>
      </c>
      <c r="D185" s="6">
        <v>900</v>
      </c>
      <c r="E185">
        <v>25</v>
      </c>
      <c r="H185" s="40">
        <v>6.7000000000000002E-3</v>
      </c>
      <c r="I185" t="s">
        <v>6631</v>
      </c>
      <c r="J185">
        <f>VLOOKUP(Misfit[[#This Row],[Shortname]], Comp[], 6, FALSE)</f>
        <v>607</v>
      </c>
      <c r="K185">
        <f>VLOOKUP(Misfit[[#This Row],[Shortname]], Comp[], 7, FALSE)</f>
        <v>83.3</v>
      </c>
      <c r="L185">
        <f>VLOOKUP(Misfit[[#This Row],[Shortname]], Comp[], 8, FALSE)</f>
        <v>0</v>
      </c>
      <c r="M185">
        <f>VLOOKUP(Misfit[[#This Row],[Shortname]], Comp[], 9, FALSE)</f>
        <v>10.1</v>
      </c>
      <c r="N185">
        <f>VLOOKUP(Misfit[[#This Row],[Shortname]], Comp[], 10, FALSE)</f>
        <v>0</v>
      </c>
      <c r="O185">
        <f>VLOOKUP(Misfit[[#This Row],[Shortname]], Comp[], 11, FALSE)</f>
        <v>4.9000000000000004</v>
      </c>
      <c r="P185">
        <f>VLOOKUP(Misfit[[#This Row],[Shortname]], Comp[],12, FALSE)</f>
        <v>0</v>
      </c>
      <c r="Q185">
        <f>VLOOKUP(Misfit[[#This Row],[Shortname]], Comp[], 13, FALSE)</f>
        <v>1.7</v>
      </c>
      <c r="R185">
        <f>VLOOKUP(Misfit[[#This Row],[Shortname]], Comp[], 14, FALSE)</f>
        <v>0</v>
      </c>
      <c r="S185">
        <f>VLOOKUP(Misfit[[#This Row],[Shortname]], Comp[], 15, FALSE)</f>
        <v>0</v>
      </c>
      <c r="T185">
        <f>VLOOKUP(Misfit[[#This Row],[Shortname]], Comp[], 16, FALSE)</f>
        <v>0</v>
      </c>
      <c r="U185">
        <f>VLOOKUP(Misfit[[#This Row],[Shortname]], Comp[], 17, FALSE)</f>
        <v>0</v>
      </c>
      <c r="V185">
        <f>VLOOKUP(Misfit[[#This Row],[Shortname]], Comp[], 18, FALSE)</f>
        <v>0</v>
      </c>
      <c r="W185">
        <f>VLOOKUP(Misfit[[#This Row],[Shortname]], Comp[], 19, FALSE)</f>
        <v>0</v>
      </c>
      <c r="X185">
        <f>VLOOKUP(Misfit[[#This Row],[Shortname]], Comp[], 20, FALSE)</f>
        <v>0</v>
      </c>
      <c r="Y185">
        <f>VLOOKUP(Misfit[[#This Row],[Shortname]], Comp[], 21, FALSE)</f>
        <v>0</v>
      </c>
      <c r="Z185">
        <f>VLOOKUP(Misfit[[#This Row],[Shortname]], Comp[], 22, FALSE)</f>
        <v>0</v>
      </c>
      <c r="AA185">
        <f>VLOOKUP(Misfit[[#This Row],[Shortname]], Comp[], 23, FALSE)</f>
        <v>0</v>
      </c>
      <c r="AB185">
        <f>VLOOKUP(Misfit[[#This Row],[Shortname]], Comp[], 24, FALSE)</f>
        <v>0</v>
      </c>
      <c r="AC185">
        <f>VLOOKUP(Misfit[[#This Row],[Shortname]], Comp[], 25, FALSE)</f>
        <v>0</v>
      </c>
      <c r="AD185">
        <f>VLOOKUP(Misfit[[#This Row],[Shortname]], Comp[], 26, FALSE)</f>
        <v>0</v>
      </c>
      <c r="AE185">
        <f>VLOOKUP(Misfit[[#This Row],[Shortname]], Comp[], 27, FALSE)</f>
        <v>0</v>
      </c>
      <c r="AF185">
        <f>VLOOKUP(Misfit[[#This Row],[Shortname]], Comp[], 28, FALSE)</f>
        <v>0</v>
      </c>
      <c r="AG185">
        <f>VLOOKUP(Misfit[[#This Row],[Shortname]], Comp[], 29, FALSE)</f>
        <v>0</v>
      </c>
      <c r="AH185">
        <f>VLOOKUP(Misfit[[#This Row],[Shortname]], Comp[], 30, FALSE)</f>
        <v>0</v>
      </c>
      <c r="AI185">
        <f>VLOOKUP(Misfit[[#This Row],[Shortname]], Comp[], 31, FALSE)</f>
        <v>0</v>
      </c>
    </row>
    <row r="186" spans="1:35" x14ac:dyDescent="0.3">
      <c r="A186" t="s">
        <v>3991</v>
      </c>
      <c r="B186" s="7" t="s">
        <v>3992</v>
      </c>
      <c r="C186" s="6" t="s">
        <v>3985</v>
      </c>
      <c r="D186" s="6">
        <v>900</v>
      </c>
      <c r="E186">
        <v>300</v>
      </c>
      <c r="H186" s="40">
        <v>6.9799999999999992E-3</v>
      </c>
      <c r="I186" t="s">
        <v>6631</v>
      </c>
      <c r="J186">
        <f>VLOOKUP(Misfit[[#This Row],[Shortname]], Comp[], 6, FALSE)</f>
        <v>607</v>
      </c>
      <c r="K186">
        <f>VLOOKUP(Misfit[[#This Row],[Shortname]], Comp[], 7, FALSE)</f>
        <v>83.3</v>
      </c>
      <c r="L186">
        <f>VLOOKUP(Misfit[[#This Row],[Shortname]], Comp[], 8, FALSE)</f>
        <v>0</v>
      </c>
      <c r="M186">
        <f>VLOOKUP(Misfit[[#This Row],[Shortname]], Comp[], 9, FALSE)</f>
        <v>10.1</v>
      </c>
      <c r="N186">
        <f>VLOOKUP(Misfit[[#This Row],[Shortname]], Comp[], 10, FALSE)</f>
        <v>0</v>
      </c>
      <c r="O186">
        <f>VLOOKUP(Misfit[[#This Row],[Shortname]], Comp[], 11, FALSE)</f>
        <v>4.9000000000000004</v>
      </c>
      <c r="P186">
        <f>VLOOKUP(Misfit[[#This Row],[Shortname]], Comp[],12, FALSE)</f>
        <v>0</v>
      </c>
      <c r="Q186">
        <f>VLOOKUP(Misfit[[#This Row],[Shortname]], Comp[], 13, FALSE)</f>
        <v>1.7</v>
      </c>
      <c r="R186">
        <f>VLOOKUP(Misfit[[#This Row],[Shortname]], Comp[], 14, FALSE)</f>
        <v>0</v>
      </c>
      <c r="S186">
        <f>VLOOKUP(Misfit[[#This Row],[Shortname]], Comp[], 15, FALSE)</f>
        <v>0</v>
      </c>
      <c r="T186">
        <f>VLOOKUP(Misfit[[#This Row],[Shortname]], Comp[], 16, FALSE)</f>
        <v>0</v>
      </c>
      <c r="U186">
        <f>VLOOKUP(Misfit[[#This Row],[Shortname]], Comp[], 17, FALSE)</f>
        <v>0</v>
      </c>
      <c r="V186">
        <f>VLOOKUP(Misfit[[#This Row],[Shortname]], Comp[], 18, FALSE)</f>
        <v>0</v>
      </c>
      <c r="W186">
        <f>VLOOKUP(Misfit[[#This Row],[Shortname]], Comp[], 19, FALSE)</f>
        <v>0</v>
      </c>
      <c r="X186">
        <f>VLOOKUP(Misfit[[#This Row],[Shortname]], Comp[], 20, FALSE)</f>
        <v>0</v>
      </c>
      <c r="Y186">
        <f>VLOOKUP(Misfit[[#This Row],[Shortname]], Comp[], 21, FALSE)</f>
        <v>0</v>
      </c>
      <c r="Z186">
        <f>VLOOKUP(Misfit[[#This Row],[Shortname]], Comp[], 22, FALSE)</f>
        <v>0</v>
      </c>
      <c r="AA186">
        <f>VLOOKUP(Misfit[[#This Row],[Shortname]], Comp[], 23, FALSE)</f>
        <v>0</v>
      </c>
      <c r="AB186">
        <f>VLOOKUP(Misfit[[#This Row],[Shortname]], Comp[], 24, FALSE)</f>
        <v>0</v>
      </c>
      <c r="AC186">
        <f>VLOOKUP(Misfit[[#This Row],[Shortname]], Comp[], 25, FALSE)</f>
        <v>0</v>
      </c>
      <c r="AD186">
        <f>VLOOKUP(Misfit[[#This Row],[Shortname]], Comp[], 26, FALSE)</f>
        <v>0</v>
      </c>
      <c r="AE186">
        <f>VLOOKUP(Misfit[[#This Row],[Shortname]], Comp[], 27, FALSE)</f>
        <v>0</v>
      </c>
      <c r="AF186">
        <f>VLOOKUP(Misfit[[#This Row],[Shortname]], Comp[], 28, FALSE)</f>
        <v>0</v>
      </c>
      <c r="AG186">
        <f>VLOOKUP(Misfit[[#This Row],[Shortname]], Comp[], 29, FALSE)</f>
        <v>0</v>
      </c>
      <c r="AH186">
        <f>VLOOKUP(Misfit[[#This Row],[Shortname]], Comp[], 30, FALSE)</f>
        <v>0</v>
      </c>
      <c r="AI186">
        <f>VLOOKUP(Misfit[[#This Row],[Shortname]], Comp[], 31, FALSE)</f>
        <v>0</v>
      </c>
    </row>
    <row r="187" spans="1:35" x14ac:dyDescent="0.3">
      <c r="A187" t="s">
        <v>3991</v>
      </c>
      <c r="B187" s="7" t="s">
        <v>3992</v>
      </c>
      <c r="C187" s="6" t="s">
        <v>3985</v>
      </c>
      <c r="D187" s="6">
        <v>900</v>
      </c>
      <c r="E187">
        <v>400</v>
      </c>
      <c r="H187" s="40">
        <v>7.0199999999999993E-3</v>
      </c>
      <c r="I187" t="s">
        <v>6631</v>
      </c>
      <c r="J187">
        <f>VLOOKUP(Misfit[[#This Row],[Shortname]], Comp[], 6, FALSE)</f>
        <v>607</v>
      </c>
      <c r="K187">
        <f>VLOOKUP(Misfit[[#This Row],[Shortname]], Comp[], 7, FALSE)</f>
        <v>83.3</v>
      </c>
      <c r="L187">
        <f>VLOOKUP(Misfit[[#This Row],[Shortname]], Comp[], 8, FALSE)</f>
        <v>0</v>
      </c>
      <c r="M187">
        <f>VLOOKUP(Misfit[[#This Row],[Shortname]], Comp[], 9, FALSE)</f>
        <v>10.1</v>
      </c>
      <c r="N187">
        <f>VLOOKUP(Misfit[[#This Row],[Shortname]], Comp[], 10, FALSE)</f>
        <v>0</v>
      </c>
      <c r="O187">
        <f>VLOOKUP(Misfit[[#This Row],[Shortname]], Comp[], 11, FALSE)</f>
        <v>4.9000000000000004</v>
      </c>
      <c r="P187">
        <f>VLOOKUP(Misfit[[#This Row],[Shortname]], Comp[],12, FALSE)</f>
        <v>0</v>
      </c>
      <c r="Q187">
        <f>VLOOKUP(Misfit[[#This Row],[Shortname]], Comp[], 13, FALSE)</f>
        <v>1.7</v>
      </c>
      <c r="R187">
        <f>VLOOKUP(Misfit[[#This Row],[Shortname]], Comp[], 14, FALSE)</f>
        <v>0</v>
      </c>
      <c r="S187">
        <f>VLOOKUP(Misfit[[#This Row],[Shortname]], Comp[], 15, FALSE)</f>
        <v>0</v>
      </c>
      <c r="T187">
        <f>VLOOKUP(Misfit[[#This Row],[Shortname]], Comp[], 16, FALSE)</f>
        <v>0</v>
      </c>
      <c r="U187">
        <f>VLOOKUP(Misfit[[#This Row],[Shortname]], Comp[], 17, FALSE)</f>
        <v>0</v>
      </c>
      <c r="V187">
        <f>VLOOKUP(Misfit[[#This Row],[Shortname]], Comp[], 18, FALSE)</f>
        <v>0</v>
      </c>
      <c r="W187">
        <f>VLOOKUP(Misfit[[#This Row],[Shortname]], Comp[], 19, FALSE)</f>
        <v>0</v>
      </c>
      <c r="X187">
        <f>VLOOKUP(Misfit[[#This Row],[Shortname]], Comp[], 20, FALSE)</f>
        <v>0</v>
      </c>
      <c r="Y187">
        <f>VLOOKUP(Misfit[[#This Row],[Shortname]], Comp[], 21, FALSE)</f>
        <v>0</v>
      </c>
      <c r="Z187">
        <f>VLOOKUP(Misfit[[#This Row],[Shortname]], Comp[], 22, FALSE)</f>
        <v>0</v>
      </c>
      <c r="AA187">
        <f>VLOOKUP(Misfit[[#This Row],[Shortname]], Comp[], 23, FALSE)</f>
        <v>0</v>
      </c>
      <c r="AB187">
        <f>VLOOKUP(Misfit[[#This Row],[Shortname]], Comp[], 24, FALSE)</f>
        <v>0</v>
      </c>
      <c r="AC187">
        <f>VLOOKUP(Misfit[[#This Row],[Shortname]], Comp[], 25, FALSE)</f>
        <v>0</v>
      </c>
      <c r="AD187">
        <f>VLOOKUP(Misfit[[#This Row],[Shortname]], Comp[], 26, FALSE)</f>
        <v>0</v>
      </c>
      <c r="AE187">
        <f>VLOOKUP(Misfit[[#This Row],[Shortname]], Comp[], 27, FALSE)</f>
        <v>0</v>
      </c>
      <c r="AF187">
        <f>VLOOKUP(Misfit[[#This Row],[Shortname]], Comp[], 28, FALSE)</f>
        <v>0</v>
      </c>
      <c r="AG187">
        <f>VLOOKUP(Misfit[[#This Row],[Shortname]], Comp[], 29, FALSE)</f>
        <v>0</v>
      </c>
      <c r="AH187">
        <f>VLOOKUP(Misfit[[#This Row],[Shortname]], Comp[], 30, FALSE)</f>
        <v>0</v>
      </c>
      <c r="AI187">
        <f>VLOOKUP(Misfit[[#This Row],[Shortname]], Comp[], 31, FALSE)</f>
        <v>0</v>
      </c>
    </row>
    <row r="188" spans="1:35" x14ac:dyDescent="0.3">
      <c r="A188" t="s">
        <v>3991</v>
      </c>
      <c r="B188" s="7" t="s">
        <v>3992</v>
      </c>
      <c r="C188" s="6" t="s">
        <v>3985</v>
      </c>
      <c r="D188" s="6">
        <v>900</v>
      </c>
      <c r="E188">
        <v>500</v>
      </c>
      <c r="H188" s="40">
        <v>6.9799999999999992E-3</v>
      </c>
      <c r="I188" t="s">
        <v>6631</v>
      </c>
      <c r="J188">
        <f>VLOOKUP(Misfit[[#This Row],[Shortname]], Comp[], 6, FALSE)</f>
        <v>607</v>
      </c>
      <c r="K188">
        <f>VLOOKUP(Misfit[[#This Row],[Shortname]], Comp[], 7, FALSE)</f>
        <v>83.3</v>
      </c>
      <c r="L188">
        <f>VLOOKUP(Misfit[[#This Row],[Shortname]], Comp[], 8, FALSE)</f>
        <v>0</v>
      </c>
      <c r="M188">
        <f>VLOOKUP(Misfit[[#This Row],[Shortname]], Comp[], 9, FALSE)</f>
        <v>10.1</v>
      </c>
      <c r="N188">
        <f>VLOOKUP(Misfit[[#This Row],[Shortname]], Comp[], 10, FALSE)</f>
        <v>0</v>
      </c>
      <c r="O188">
        <f>VLOOKUP(Misfit[[#This Row],[Shortname]], Comp[], 11, FALSE)</f>
        <v>4.9000000000000004</v>
      </c>
      <c r="P188">
        <f>VLOOKUP(Misfit[[#This Row],[Shortname]], Comp[],12, FALSE)</f>
        <v>0</v>
      </c>
      <c r="Q188">
        <f>VLOOKUP(Misfit[[#This Row],[Shortname]], Comp[], 13, FALSE)</f>
        <v>1.7</v>
      </c>
      <c r="R188">
        <f>VLOOKUP(Misfit[[#This Row],[Shortname]], Comp[], 14, FALSE)</f>
        <v>0</v>
      </c>
      <c r="S188">
        <f>VLOOKUP(Misfit[[#This Row],[Shortname]], Comp[], 15, FALSE)</f>
        <v>0</v>
      </c>
      <c r="T188">
        <f>VLOOKUP(Misfit[[#This Row],[Shortname]], Comp[], 16, FALSE)</f>
        <v>0</v>
      </c>
      <c r="U188">
        <f>VLOOKUP(Misfit[[#This Row],[Shortname]], Comp[], 17, FALSE)</f>
        <v>0</v>
      </c>
      <c r="V188">
        <f>VLOOKUP(Misfit[[#This Row],[Shortname]], Comp[], 18, FALSE)</f>
        <v>0</v>
      </c>
      <c r="W188">
        <f>VLOOKUP(Misfit[[#This Row],[Shortname]], Comp[], 19, FALSE)</f>
        <v>0</v>
      </c>
      <c r="X188">
        <f>VLOOKUP(Misfit[[#This Row],[Shortname]], Comp[], 20, FALSE)</f>
        <v>0</v>
      </c>
      <c r="Y188">
        <f>VLOOKUP(Misfit[[#This Row],[Shortname]], Comp[], 21, FALSE)</f>
        <v>0</v>
      </c>
      <c r="Z188">
        <f>VLOOKUP(Misfit[[#This Row],[Shortname]], Comp[], 22, FALSE)</f>
        <v>0</v>
      </c>
      <c r="AA188">
        <f>VLOOKUP(Misfit[[#This Row],[Shortname]], Comp[], 23, FALSE)</f>
        <v>0</v>
      </c>
      <c r="AB188">
        <f>VLOOKUP(Misfit[[#This Row],[Shortname]], Comp[], 24, FALSE)</f>
        <v>0</v>
      </c>
      <c r="AC188">
        <f>VLOOKUP(Misfit[[#This Row],[Shortname]], Comp[], 25, FALSE)</f>
        <v>0</v>
      </c>
      <c r="AD188">
        <f>VLOOKUP(Misfit[[#This Row],[Shortname]], Comp[], 26, FALSE)</f>
        <v>0</v>
      </c>
      <c r="AE188">
        <f>VLOOKUP(Misfit[[#This Row],[Shortname]], Comp[], 27, FALSE)</f>
        <v>0</v>
      </c>
      <c r="AF188">
        <f>VLOOKUP(Misfit[[#This Row],[Shortname]], Comp[], 28, FALSE)</f>
        <v>0</v>
      </c>
      <c r="AG188">
        <f>VLOOKUP(Misfit[[#This Row],[Shortname]], Comp[], 29, FALSE)</f>
        <v>0</v>
      </c>
      <c r="AH188">
        <f>VLOOKUP(Misfit[[#This Row],[Shortname]], Comp[], 30, FALSE)</f>
        <v>0</v>
      </c>
      <c r="AI188">
        <f>VLOOKUP(Misfit[[#This Row],[Shortname]], Comp[], 31, FALSE)</f>
        <v>0</v>
      </c>
    </row>
    <row r="189" spans="1:35" x14ac:dyDescent="0.3">
      <c r="A189" t="s">
        <v>3991</v>
      </c>
      <c r="B189" s="7" t="s">
        <v>3992</v>
      </c>
      <c r="C189" s="6" t="s">
        <v>3985</v>
      </c>
      <c r="D189" s="6">
        <v>900</v>
      </c>
      <c r="E189">
        <v>600</v>
      </c>
      <c r="H189" s="40">
        <v>7.0799999999999995E-3</v>
      </c>
      <c r="I189" t="s">
        <v>6631</v>
      </c>
      <c r="J189">
        <f>VLOOKUP(Misfit[[#This Row],[Shortname]], Comp[], 6, FALSE)</f>
        <v>607</v>
      </c>
      <c r="K189">
        <f>VLOOKUP(Misfit[[#This Row],[Shortname]], Comp[], 7, FALSE)</f>
        <v>83.3</v>
      </c>
      <c r="L189">
        <f>VLOOKUP(Misfit[[#This Row],[Shortname]], Comp[], 8, FALSE)</f>
        <v>0</v>
      </c>
      <c r="M189">
        <f>VLOOKUP(Misfit[[#This Row],[Shortname]], Comp[], 9, FALSE)</f>
        <v>10.1</v>
      </c>
      <c r="N189">
        <f>VLOOKUP(Misfit[[#This Row],[Shortname]], Comp[], 10, FALSE)</f>
        <v>0</v>
      </c>
      <c r="O189">
        <f>VLOOKUP(Misfit[[#This Row],[Shortname]], Comp[], 11, FALSE)</f>
        <v>4.9000000000000004</v>
      </c>
      <c r="P189">
        <f>VLOOKUP(Misfit[[#This Row],[Shortname]], Comp[],12, FALSE)</f>
        <v>0</v>
      </c>
      <c r="Q189">
        <f>VLOOKUP(Misfit[[#This Row],[Shortname]], Comp[], 13, FALSE)</f>
        <v>1.7</v>
      </c>
      <c r="R189">
        <f>VLOOKUP(Misfit[[#This Row],[Shortname]], Comp[], 14, FALSE)</f>
        <v>0</v>
      </c>
      <c r="S189">
        <f>VLOOKUP(Misfit[[#This Row],[Shortname]], Comp[], 15, FALSE)</f>
        <v>0</v>
      </c>
      <c r="T189">
        <f>VLOOKUP(Misfit[[#This Row],[Shortname]], Comp[], 16, FALSE)</f>
        <v>0</v>
      </c>
      <c r="U189">
        <f>VLOOKUP(Misfit[[#This Row],[Shortname]], Comp[], 17, FALSE)</f>
        <v>0</v>
      </c>
      <c r="V189">
        <f>VLOOKUP(Misfit[[#This Row],[Shortname]], Comp[], 18, FALSE)</f>
        <v>0</v>
      </c>
      <c r="W189">
        <f>VLOOKUP(Misfit[[#This Row],[Shortname]], Comp[], 19, FALSE)</f>
        <v>0</v>
      </c>
      <c r="X189">
        <f>VLOOKUP(Misfit[[#This Row],[Shortname]], Comp[], 20, FALSE)</f>
        <v>0</v>
      </c>
      <c r="Y189">
        <f>VLOOKUP(Misfit[[#This Row],[Shortname]], Comp[], 21, FALSE)</f>
        <v>0</v>
      </c>
      <c r="Z189">
        <f>VLOOKUP(Misfit[[#This Row],[Shortname]], Comp[], 22, FALSE)</f>
        <v>0</v>
      </c>
      <c r="AA189">
        <f>VLOOKUP(Misfit[[#This Row],[Shortname]], Comp[], 23, FALSE)</f>
        <v>0</v>
      </c>
      <c r="AB189">
        <f>VLOOKUP(Misfit[[#This Row],[Shortname]], Comp[], 24, FALSE)</f>
        <v>0</v>
      </c>
      <c r="AC189">
        <f>VLOOKUP(Misfit[[#This Row],[Shortname]], Comp[], 25, FALSE)</f>
        <v>0</v>
      </c>
      <c r="AD189">
        <f>VLOOKUP(Misfit[[#This Row],[Shortname]], Comp[], 26, FALSE)</f>
        <v>0</v>
      </c>
      <c r="AE189">
        <f>VLOOKUP(Misfit[[#This Row],[Shortname]], Comp[], 27, FALSE)</f>
        <v>0</v>
      </c>
      <c r="AF189">
        <f>VLOOKUP(Misfit[[#This Row],[Shortname]], Comp[], 28, FALSE)</f>
        <v>0</v>
      </c>
      <c r="AG189">
        <f>VLOOKUP(Misfit[[#This Row],[Shortname]], Comp[], 29, FALSE)</f>
        <v>0</v>
      </c>
      <c r="AH189">
        <f>VLOOKUP(Misfit[[#This Row],[Shortname]], Comp[], 30, FALSE)</f>
        <v>0</v>
      </c>
      <c r="AI189">
        <f>VLOOKUP(Misfit[[#This Row],[Shortname]], Comp[], 31, FALSE)</f>
        <v>0</v>
      </c>
    </row>
    <row r="190" spans="1:35" x14ac:dyDescent="0.3">
      <c r="A190" t="s">
        <v>3991</v>
      </c>
      <c r="B190" s="7" t="s">
        <v>3992</v>
      </c>
      <c r="C190" s="6" t="s">
        <v>3985</v>
      </c>
      <c r="D190" s="6">
        <v>900</v>
      </c>
      <c r="E190">
        <v>700</v>
      </c>
      <c r="H190" s="40">
        <v>7.0399999999999994E-3</v>
      </c>
      <c r="I190" t="s">
        <v>6631</v>
      </c>
      <c r="J190">
        <f>VLOOKUP(Misfit[[#This Row],[Shortname]], Comp[], 6, FALSE)</f>
        <v>607</v>
      </c>
      <c r="K190">
        <f>VLOOKUP(Misfit[[#This Row],[Shortname]], Comp[], 7, FALSE)</f>
        <v>83.3</v>
      </c>
      <c r="L190">
        <f>VLOOKUP(Misfit[[#This Row],[Shortname]], Comp[], 8, FALSE)</f>
        <v>0</v>
      </c>
      <c r="M190">
        <f>VLOOKUP(Misfit[[#This Row],[Shortname]], Comp[], 9, FALSE)</f>
        <v>10.1</v>
      </c>
      <c r="N190">
        <f>VLOOKUP(Misfit[[#This Row],[Shortname]], Comp[], 10, FALSE)</f>
        <v>0</v>
      </c>
      <c r="O190">
        <f>VLOOKUP(Misfit[[#This Row],[Shortname]], Comp[], 11, FALSE)</f>
        <v>4.9000000000000004</v>
      </c>
      <c r="P190">
        <f>VLOOKUP(Misfit[[#This Row],[Shortname]], Comp[],12, FALSE)</f>
        <v>0</v>
      </c>
      <c r="Q190">
        <f>VLOOKUP(Misfit[[#This Row],[Shortname]], Comp[], 13, FALSE)</f>
        <v>1.7</v>
      </c>
      <c r="R190">
        <f>VLOOKUP(Misfit[[#This Row],[Shortname]], Comp[], 14, FALSE)</f>
        <v>0</v>
      </c>
      <c r="S190">
        <f>VLOOKUP(Misfit[[#This Row],[Shortname]], Comp[], 15, FALSE)</f>
        <v>0</v>
      </c>
      <c r="T190">
        <f>VLOOKUP(Misfit[[#This Row],[Shortname]], Comp[], 16, FALSE)</f>
        <v>0</v>
      </c>
      <c r="U190">
        <f>VLOOKUP(Misfit[[#This Row],[Shortname]], Comp[], 17, FALSE)</f>
        <v>0</v>
      </c>
      <c r="V190">
        <f>VLOOKUP(Misfit[[#This Row],[Shortname]], Comp[], 18, FALSE)</f>
        <v>0</v>
      </c>
      <c r="W190">
        <f>VLOOKUP(Misfit[[#This Row],[Shortname]], Comp[], 19, FALSE)</f>
        <v>0</v>
      </c>
      <c r="X190">
        <f>VLOOKUP(Misfit[[#This Row],[Shortname]], Comp[], 20, FALSE)</f>
        <v>0</v>
      </c>
      <c r="Y190">
        <f>VLOOKUP(Misfit[[#This Row],[Shortname]], Comp[], 21, FALSE)</f>
        <v>0</v>
      </c>
      <c r="Z190">
        <f>VLOOKUP(Misfit[[#This Row],[Shortname]], Comp[], 22, FALSE)</f>
        <v>0</v>
      </c>
      <c r="AA190">
        <f>VLOOKUP(Misfit[[#This Row],[Shortname]], Comp[], 23, FALSE)</f>
        <v>0</v>
      </c>
      <c r="AB190">
        <f>VLOOKUP(Misfit[[#This Row],[Shortname]], Comp[], 24, FALSE)</f>
        <v>0</v>
      </c>
      <c r="AC190">
        <f>VLOOKUP(Misfit[[#This Row],[Shortname]], Comp[], 25, FALSE)</f>
        <v>0</v>
      </c>
      <c r="AD190">
        <f>VLOOKUP(Misfit[[#This Row],[Shortname]], Comp[], 26, FALSE)</f>
        <v>0</v>
      </c>
      <c r="AE190">
        <f>VLOOKUP(Misfit[[#This Row],[Shortname]], Comp[], 27, FALSE)</f>
        <v>0</v>
      </c>
      <c r="AF190">
        <f>VLOOKUP(Misfit[[#This Row],[Shortname]], Comp[], 28, FALSE)</f>
        <v>0</v>
      </c>
      <c r="AG190">
        <f>VLOOKUP(Misfit[[#This Row],[Shortname]], Comp[], 29, FALSE)</f>
        <v>0</v>
      </c>
      <c r="AH190">
        <f>VLOOKUP(Misfit[[#This Row],[Shortname]], Comp[], 30, FALSE)</f>
        <v>0</v>
      </c>
      <c r="AI190">
        <f>VLOOKUP(Misfit[[#This Row],[Shortname]], Comp[], 31, FALSE)</f>
        <v>0</v>
      </c>
    </row>
    <row r="191" spans="1:35" x14ac:dyDescent="0.3">
      <c r="A191" t="s">
        <v>3991</v>
      </c>
      <c r="B191" s="7" t="s">
        <v>3992</v>
      </c>
      <c r="C191" s="6" t="s">
        <v>3985</v>
      </c>
      <c r="D191" s="6">
        <v>900</v>
      </c>
      <c r="E191">
        <v>900</v>
      </c>
      <c r="H191" s="40">
        <v>6.9499999999999996E-3</v>
      </c>
      <c r="I191" t="s">
        <v>6631</v>
      </c>
      <c r="J191">
        <f>VLOOKUP(Misfit[[#This Row],[Shortname]], Comp[], 6, FALSE)</f>
        <v>607</v>
      </c>
      <c r="K191">
        <f>VLOOKUP(Misfit[[#This Row],[Shortname]], Comp[], 7, FALSE)</f>
        <v>83.3</v>
      </c>
      <c r="L191">
        <f>VLOOKUP(Misfit[[#This Row],[Shortname]], Comp[], 8, FALSE)</f>
        <v>0</v>
      </c>
      <c r="M191">
        <f>VLOOKUP(Misfit[[#This Row],[Shortname]], Comp[], 9, FALSE)</f>
        <v>10.1</v>
      </c>
      <c r="N191">
        <f>VLOOKUP(Misfit[[#This Row],[Shortname]], Comp[], 10, FALSE)</f>
        <v>0</v>
      </c>
      <c r="O191">
        <f>VLOOKUP(Misfit[[#This Row],[Shortname]], Comp[], 11, FALSE)</f>
        <v>4.9000000000000004</v>
      </c>
      <c r="P191">
        <f>VLOOKUP(Misfit[[#This Row],[Shortname]], Comp[],12, FALSE)</f>
        <v>0</v>
      </c>
      <c r="Q191">
        <f>VLOOKUP(Misfit[[#This Row],[Shortname]], Comp[], 13, FALSE)</f>
        <v>1.7</v>
      </c>
      <c r="R191">
        <f>VLOOKUP(Misfit[[#This Row],[Shortname]], Comp[], 14, FALSE)</f>
        <v>0</v>
      </c>
      <c r="S191">
        <f>VLOOKUP(Misfit[[#This Row],[Shortname]], Comp[], 15, FALSE)</f>
        <v>0</v>
      </c>
      <c r="T191">
        <f>VLOOKUP(Misfit[[#This Row],[Shortname]], Comp[], 16, FALSE)</f>
        <v>0</v>
      </c>
      <c r="U191">
        <f>VLOOKUP(Misfit[[#This Row],[Shortname]], Comp[], 17, FALSE)</f>
        <v>0</v>
      </c>
      <c r="V191">
        <f>VLOOKUP(Misfit[[#This Row],[Shortname]], Comp[], 18, FALSE)</f>
        <v>0</v>
      </c>
      <c r="W191">
        <f>VLOOKUP(Misfit[[#This Row],[Shortname]], Comp[], 19, FALSE)</f>
        <v>0</v>
      </c>
      <c r="X191">
        <f>VLOOKUP(Misfit[[#This Row],[Shortname]], Comp[], 20, FALSE)</f>
        <v>0</v>
      </c>
      <c r="Y191">
        <f>VLOOKUP(Misfit[[#This Row],[Shortname]], Comp[], 21, FALSE)</f>
        <v>0</v>
      </c>
      <c r="Z191">
        <f>VLOOKUP(Misfit[[#This Row],[Shortname]], Comp[], 22, FALSE)</f>
        <v>0</v>
      </c>
      <c r="AA191">
        <f>VLOOKUP(Misfit[[#This Row],[Shortname]], Comp[], 23, FALSE)</f>
        <v>0</v>
      </c>
      <c r="AB191">
        <f>VLOOKUP(Misfit[[#This Row],[Shortname]], Comp[], 24, FALSE)</f>
        <v>0</v>
      </c>
      <c r="AC191">
        <f>VLOOKUP(Misfit[[#This Row],[Shortname]], Comp[], 25, FALSE)</f>
        <v>0</v>
      </c>
      <c r="AD191">
        <f>VLOOKUP(Misfit[[#This Row],[Shortname]], Comp[], 26, FALSE)</f>
        <v>0</v>
      </c>
      <c r="AE191">
        <f>VLOOKUP(Misfit[[#This Row],[Shortname]], Comp[], 27, FALSE)</f>
        <v>0</v>
      </c>
      <c r="AF191">
        <f>VLOOKUP(Misfit[[#This Row],[Shortname]], Comp[], 28, FALSE)</f>
        <v>0</v>
      </c>
      <c r="AG191">
        <f>VLOOKUP(Misfit[[#This Row],[Shortname]], Comp[], 29, FALSE)</f>
        <v>0</v>
      </c>
      <c r="AH191">
        <f>VLOOKUP(Misfit[[#This Row],[Shortname]], Comp[], 30, FALSE)</f>
        <v>0</v>
      </c>
      <c r="AI191">
        <f>VLOOKUP(Misfit[[#This Row],[Shortname]], Comp[], 31, FALSE)</f>
        <v>0</v>
      </c>
    </row>
    <row r="192" spans="1:35" x14ac:dyDescent="0.3">
      <c r="A192" t="s">
        <v>3991</v>
      </c>
      <c r="B192" s="7" t="s">
        <v>3992</v>
      </c>
      <c r="C192" s="6" t="s">
        <v>3985</v>
      </c>
      <c r="D192" s="6">
        <v>900</v>
      </c>
      <c r="E192">
        <v>850</v>
      </c>
      <c r="H192" s="40">
        <v>6.8300000000000001E-3</v>
      </c>
      <c r="I192" t="s">
        <v>6631</v>
      </c>
      <c r="J192">
        <f>VLOOKUP(Misfit[[#This Row],[Shortname]], Comp[], 6, FALSE)</f>
        <v>607</v>
      </c>
      <c r="K192">
        <f>VLOOKUP(Misfit[[#This Row],[Shortname]], Comp[], 7, FALSE)</f>
        <v>83.3</v>
      </c>
      <c r="L192">
        <f>VLOOKUP(Misfit[[#This Row],[Shortname]], Comp[], 8, FALSE)</f>
        <v>0</v>
      </c>
      <c r="M192">
        <f>VLOOKUP(Misfit[[#This Row],[Shortname]], Comp[], 9, FALSE)</f>
        <v>10.1</v>
      </c>
      <c r="N192">
        <f>VLOOKUP(Misfit[[#This Row],[Shortname]], Comp[], 10, FALSE)</f>
        <v>0</v>
      </c>
      <c r="O192">
        <f>VLOOKUP(Misfit[[#This Row],[Shortname]], Comp[], 11, FALSE)</f>
        <v>4.9000000000000004</v>
      </c>
      <c r="P192">
        <f>VLOOKUP(Misfit[[#This Row],[Shortname]], Comp[],12, FALSE)</f>
        <v>0</v>
      </c>
      <c r="Q192">
        <f>VLOOKUP(Misfit[[#This Row],[Shortname]], Comp[], 13, FALSE)</f>
        <v>1.7</v>
      </c>
      <c r="R192">
        <f>VLOOKUP(Misfit[[#This Row],[Shortname]], Comp[], 14, FALSE)</f>
        <v>0</v>
      </c>
      <c r="S192">
        <f>VLOOKUP(Misfit[[#This Row],[Shortname]], Comp[], 15, FALSE)</f>
        <v>0</v>
      </c>
      <c r="T192">
        <f>VLOOKUP(Misfit[[#This Row],[Shortname]], Comp[], 16, FALSE)</f>
        <v>0</v>
      </c>
      <c r="U192">
        <f>VLOOKUP(Misfit[[#This Row],[Shortname]], Comp[], 17, FALSE)</f>
        <v>0</v>
      </c>
      <c r="V192">
        <f>VLOOKUP(Misfit[[#This Row],[Shortname]], Comp[], 18, FALSE)</f>
        <v>0</v>
      </c>
      <c r="W192">
        <f>VLOOKUP(Misfit[[#This Row],[Shortname]], Comp[], 19, FALSE)</f>
        <v>0</v>
      </c>
      <c r="X192">
        <f>VLOOKUP(Misfit[[#This Row],[Shortname]], Comp[], 20, FALSE)</f>
        <v>0</v>
      </c>
      <c r="Y192">
        <f>VLOOKUP(Misfit[[#This Row],[Shortname]], Comp[], 21, FALSE)</f>
        <v>0</v>
      </c>
      <c r="Z192">
        <f>VLOOKUP(Misfit[[#This Row],[Shortname]], Comp[], 22, FALSE)</f>
        <v>0</v>
      </c>
      <c r="AA192">
        <f>VLOOKUP(Misfit[[#This Row],[Shortname]], Comp[], 23, FALSE)</f>
        <v>0</v>
      </c>
      <c r="AB192">
        <f>VLOOKUP(Misfit[[#This Row],[Shortname]], Comp[], 24, FALSE)</f>
        <v>0</v>
      </c>
      <c r="AC192">
        <f>VLOOKUP(Misfit[[#This Row],[Shortname]], Comp[], 25, FALSE)</f>
        <v>0</v>
      </c>
      <c r="AD192">
        <f>VLOOKUP(Misfit[[#This Row],[Shortname]], Comp[], 26, FALSE)</f>
        <v>0</v>
      </c>
      <c r="AE192">
        <f>VLOOKUP(Misfit[[#This Row],[Shortname]], Comp[], 27, FALSE)</f>
        <v>0</v>
      </c>
      <c r="AF192">
        <f>VLOOKUP(Misfit[[#This Row],[Shortname]], Comp[], 28, FALSE)</f>
        <v>0</v>
      </c>
      <c r="AG192">
        <f>VLOOKUP(Misfit[[#This Row],[Shortname]], Comp[], 29, FALSE)</f>
        <v>0</v>
      </c>
      <c r="AH192">
        <f>VLOOKUP(Misfit[[#This Row],[Shortname]], Comp[], 30, FALSE)</f>
        <v>0</v>
      </c>
      <c r="AI192">
        <f>VLOOKUP(Misfit[[#This Row],[Shortname]], Comp[], 31, FALSE)</f>
        <v>0</v>
      </c>
    </row>
    <row r="193" spans="1:35" x14ac:dyDescent="0.3">
      <c r="A193" t="s">
        <v>2443</v>
      </c>
      <c r="B193" s="7" t="s">
        <v>2354</v>
      </c>
      <c r="C193" s="6" t="s">
        <v>3985</v>
      </c>
      <c r="D193" s="6">
        <v>900</v>
      </c>
      <c r="E193">
        <v>25</v>
      </c>
      <c r="H193" s="40">
        <v>5.1700000000000001E-3</v>
      </c>
      <c r="I193" t="s">
        <v>6632</v>
      </c>
      <c r="J193">
        <f>VLOOKUP(Misfit[[#This Row],[Shortname]], Comp[], 6, FALSE)</f>
        <v>323</v>
      </c>
      <c r="K193">
        <f>VLOOKUP(Misfit[[#This Row],[Shortname]], Comp[], 7, FALSE)</f>
        <v>83.5</v>
      </c>
      <c r="L193">
        <f>VLOOKUP(Misfit[[#This Row],[Shortname]], Comp[], 8, FALSE)</f>
        <v>0</v>
      </c>
      <c r="M193">
        <f>VLOOKUP(Misfit[[#This Row],[Shortname]], Comp[], 9, FALSE)</f>
        <v>9.9</v>
      </c>
      <c r="N193">
        <f>VLOOKUP(Misfit[[#This Row],[Shortname]], Comp[], 10, FALSE)</f>
        <v>0</v>
      </c>
      <c r="O193">
        <f>VLOOKUP(Misfit[[#This Row],[Shortname]], Comp[], 11, FALSE)</f>
        <v>4.8</v>
      </c>
      <c r="P193">
        <f>VLOOKUP(Misfit[[#This Row],[Shortname]], Comp[],12, FALSE)</f>
        <v>0</v>
      </c>
      <c r="Q193">
        <f>VLOOKUP(Misfit[[#This Row],[Shortname]], Comp[], 13, FALSE)</f>
        <v>1.8</v>
      </c>
      <c r="R193">
        <f>VLOOKUP(Misfit[[#This Row],[Shortname]], Comp[], 14, FALSE)</f>
        <v>0</v>
      </c>
      <c r="S193">
        <f>VLOOKUP(Misfit[[#This Row],[Shortname]], Comp[], 15, FALSE)</f>
        <v>0</v>
      </c>
      <c r="T193">
        <f>VLOOKUP(Misfit[[#This Row],[Shortname]], Comp[], 16, FALSE)</f>
        <v>0</v>
      </c>
      <c r="U193">
        <f>VLOOKUP(Misfit[[#This Row],[Shortname]], Comp[], 17, FALSE)</f>
        <v>0</v>
      </c>
      <c r="V193">
        <f>VLOOKUP(Misfit[[#This Row],[Shortname]], Comp[], 18, FALSE)</f>
        <v>0</v>
      </c>
      <c r="W193">
        <f>VLOOKUP(Misfit[[#This Row],[Shortname]], Comp[], 19, FALSE)</f>
        <v>0</v>
      </c>
      <c r="X193">
        <f>VLOOKUP(Misfit[[#This Row],[Shortname]], Comp[], 20, FALSE)</f>
        <v>0</v>
      </c>
      <c r="Y193">
        <f>VLOOKUP(Misfit[[#This Row],[Shortname]], Comp[], 21, FALSE)</f>
        <v>0</v>
      </c>
      <c r="Z193">
        <f>VLOOKUP(Misfit[[#This Row],[Shortname]], Comp[], 22, FALSE)</f>
        <v>0</v>
      </c>
      <c r="AA193">
        <f>VLOOKUP(Misfit[[#This Row],[Shortname]], Comp[], 23, FALSE)</f>
        <v>0</v>
      </c>
      <c r="AB193">
        <f>VLOOKUP(Misfit[[#This Row],[Shortname]], Comp[], 24, FALSE)</f>
        <v>0</v>
      </c>
      <c r="AC193">
        <f>VLOOKUP(Misfit[[#This Row],[Shortname]], Comp[], 25, FALSE)</f>
        <v>0</v>
      </c>
      <c r="AD193">
        <f>VLOOKUP(Misfit[[#This Row],[Shortname]], Comp[], 26, FALSE)</f>
        <v>0</v>
      </c>
      <c r="AE193">
        <f>VLOOKUP(Misfit[[#This Row],[Shortname]], Comp[], 27, FALSE)</f>
        <v>0</v>
      </c>
      <c r="AF193">
        <f>VLOOKUP(Misfit[[#This Row],[Shortname]], Comp[], 28, FALSE)</f>
        <v>0</v>
      </c>
      <c r="AG193">
        <f>VLOOKUP(Misfit[[#This Row],[Shortname]], Comp[], 29, FALSE)</f>
        <v>0</v>
      </c>
      <c r="AH193">
        <f>VLOOKUP(Misfit[[#This Row],[Shortname]], Comp[], 30, FALSE)</f>
        <v>0</v>
      </c>
      <c r="AI193">
        <f>VLOOKUP(Misfit[[#This Row],[Shortname]], Comp[], 31, FALSE)</f>
        <v>0</v>
      </c>
    </row>
    <row r="194" spans="1:35" x14ac:dyDescent="0.3">
      <c r="A194" t="s">
        <v>2443</v>
      </c>
      <c r="B194" s="7" t="s">
        <v>2354</v>
      </c>
      <c r="C194" s="6" t="s">
        <v>3985</v>
      </c>
      <c r="D194" s="6">
        <v>900</v>
      </c>
      <c r="E194">
        <v>100</v>
      </c>
      <c r="H194" s="40">
        <v>5.1999999999999998E-3</v>
      </c>
      <c r="I194" t="s">
        <v>6632</v>
      </c>
      <c r="J194">
        <f>VLOOKUP(Misfit[[#This Row],[Shortname]], Comp[], 6, FALSE)</f>
        <v>323</v>
      </c>
      <c r="K194">
        <f>VLOOKUP(Misfit[[#This Row],[Shortname]], Comp[], 7, FALSE)</f>
        <v>83.5</v>
      </c>
      <c r="L194">
        <f>VLOOKUP(Misfit[[#This Row],[Shortname]], Comp[], 8, FALSE)</f>
        <v>0</v>
      </c>
      <c r="M194">
        <f>VLOOKUP(Misfit[[#This Row],[Shortname]], Comp[], 9, FALSE)</f>
        <v>9.9</v>
      </c>
      <c r="N194">
        <f>VLOOKUP(Misfit[[#This Row],[Shortname]], Comp[], 10, FALSE)</f>
        <v>0</v>
      </c>
      <c r="O194">
        <f>VLOOKUP(Misfit[[#This Row],[Shortname]], Comp[], 11, FALSE)</f>
        <v>4.8</v>
      </c>
      <c r="P194">
        <f>VLOOKUP(Misfit[[#This Row],[Shortname]], Comp[],12, FALSE)</f>
        <v>0</v>
      </c>
      <c r="Q194">
        <f>VLOOKUP(Misfit[[#This Row],[Shortname]], Comp[], 13, FALSE)</f>
        <v>1.8</v>
      </c>
      <c r="R194">
        <f>VLOOKUP(Misfit[[#This Row],[Shortname]], Comp[], 14, FALSE)</f>
        <v>0</v>
      </c>
      <c r="S194">
        <f>VLOOKUP(Misfit[[#This Row],[Shortname]], Comp[], 15, FALSE)</f>
        <v>0</v>
      </c>
      <c r="T194">
        <f>VLOOKUP(Misfit[[#This Row],[Shortname]], Comp[], 16, FALSE)</f>
        <v>0</v>
      </c>
      <c r="U194">
        <f>VLOOKUP(Misfit[[#This Row],[Shortname]], Comp[], 17, FALSE)</f>
        <v>0</v>
      </c>
      <c r="V194">
        <f>VLOOKUP(Misfit[[#This Row],[Shortname]], Comp[], 18, FALSE)</f>
        <v>0</v>
      </c>
      <c r="W194">
        <f>VLOOKUP(Misfit[[#This Row],[Shortname]], Comp[], 19, FALSE)</f>
        <v>0</v>
      </c>
      <c r="X194">
        <f>VLOOKUP(Misfit[[#This Row],[Shortname]], Comp[], 20, FALSE)</f>
        <v>0</v>
      </c>
      <c r="Y194">
        <f>VLOOKUP(Misfit[[#This Row],[Shortname]], Comp[], 21, FALSE)</f>
        <v>0</v>
      </c>
      <c r="Z194">
        <f>VLOOKUP(Misfit[[#This Row],[Shortname]], Comp[], 22, FALSE)</f>
        <v>0</v>
      </c>
      <c r="AA194">
        <f>VLOOKUP(Misfit[[#This Row],[Shortname]], Comp[], 23, FALSE)</f>
        <v>0</v>
      </c>
      <c r="AB194">
        <f>VLOOKUP(Misfit[[#This Row],[Shortname]], Comp[], 24, FALSE)</f>
        <v>0</v>
      </c>
      <c r="AC194">
        <f>VLOOKUP(Misfit[[#This Row],[Shortname]], Comp[], 25, FALSE)</f>
        <v>0</v>
      </c>
      <c r="AD194">
        <f>VLOOKUP(Misfit[[#This Row],[Shortname]], Comp[], 26, FALSE)</f>
        <v>0</v>
      </c>
      <c r="AE194">
        <f>VLOOKUP(Misfit[[#This Row],[Shortname]], Comp[], 27, FALSE)</f>
        <v>0</v>
      </c>
      <c r="AF194">
        <f>VLOOKUP(Misfit[[#This Row],[Shortname]], Comp[], 28, FALSE)</f>
        <v>0</v>
      </c>
      <c r="AG194">
        <f>VLOOKUP(Misfit[[#This Row],[Shortname]], Comp[], 29, FALSE)</f>
        <v>0</v>
      </c>
      <c r="AH194">
        <f>VLOOKUP(Misfit[[#This Row],[Shortname]], Comp[], 30, FALSE)</f>
        <v>0</v>
      </c>
      <c r="AI194">
        <f>VLOOKUP(Misfit[[#This Row],[Shortname]], Comp[], 31, FALSE)</f>
        <v>0</v>
      </c>
    </row>
    <row r="195" spans="1:35" x14ac:dyDescent="0.3">
      <c r="A195" t="s">
        <v>2443</v>
      </c>
      <c r="B195" s="7" t="s">
        <v>2354</v>
      </c>
      <c r="C195" s="6" t="s">
        <v>3985</v>
      </c>
      <c r="D195" s="6">
        <v>900</v>
      </c>
      <c r="E195">
        <v>150</v>
      </c>
      <c r="H195" s="40">
        <v>5.3899999999999998E-3</v>
      </c>
      <c r="I195" t="s">
        <v>6632</v>
      </c>
      <c r="J195">
        <f>VLOOKUP(Misfit[[#This Row],[Shortname]], Comp[], 6, FALSE)</f>
        <v>323</v>
      </c>
      <c r="K195">
        <f>VLOOKUP(Misfit[[#This Row],[Shortname]], Comp[], 7, FALSE)</f>
        <v>83.5</v>
      </c>
      <c r="L195">
        <f>VLOOKUP(Misfit[[#This Row],[Shortname]], Comp[], 8, FALSE)</f>
        <v>0</v>
      </c>
      <c r="M195">
        <f>VLOOKUP(Misfit[[#This Row],[Shortname]], Comp[], 9, FALSE)</f>
        <v>9.9</v>
      </c>
      <c r="N195">
        <f>VLOOKUP(Misfit[[#This Row],[Shortname]], Comp[], 10, FALSE)</f>
        <v>0</v>
      </c>
      <c r="O195">
        <f>VLOOKUP(Misfit[[#This Row],[Shortname]], Comp[], 11, FALSE)</f>
        <v>4.8</v>
      </c>
      <c r="P195">
        <f>VLOOKUP(Misfit[[#This Row],[Shortname]], Comp[],12, FALSE)</f>
        <v>0</v>
      </c>
      <c r="Q195">
        <f>VLOOKUP(Misfit[[#This Row],[Shortname]], Comp[], 13, FALSE)</f>
        <v>1.8</v>
      </c>
      <c r="R195">
        <f>VLOOKUP(Misfit[[#This Row],[Shortname]], Comp[], 14, FALSE)</f>
        <v>0</v>
      </c>
      <c r="S195">
        <f>VLOOKUP(Misfit[[#This Row],[Shortname]], Comp[], 15, FALSE)</f>
        <v>0</v>
      </c>
      <c r="T195">
        <f>VLOOKUP(Misfit[[#This Row],[Shortname]], Comp[], 16, FALSE)</f>
        <v>0</v>
      </c>
      <c r="U195">
        <f>VLOOKUP(Misfit[[#This Row],[Shortname]], Comp[], 17, FALSE)</f>
        <v>0</v>
      </c>
      <c r="V195">
        <f>VLOOKUP(Misfit[[#This Row],[Shortname]], Comp[], 18, FALSE)</f>
        <v>0</v>
      </c>
      <c r="W195">
        <f>VLOOKUP(Misfit[[#This Row],[Shortname]], Comp[], 19, FALSE)</f>
        <v>0</v>
      </c>
      <c r="X195">
        <f>VLOOKUP(Misfit[[#This Row],[Shortname]], Comp[], 20, FALSE)</f>
        <v>0</v>
      </c>
      <c r="Y195">
        <f>VLOOKUP(Misfit[[#This Row],[Shortname]], Comp[], 21, FALSE)</f>
        <v>0</v>
      </c>
      <c r="Z195">
        <f>VLOOKUP(Misfit[[#This Row],[Shortname]], Comp[], 22, FALSE)</f>
        <v>0</v>
      </c>
      <c r="AA195">
        <f>VLOOKUP(Misfit[[#This Row],[Shortname]], Comp[], 23, FALSE)</f>
        <v>0</v>
      </c>
      <c r="AB195">
        <f>VLOOKUP(Misfit[[#This Row],[Shortname]], Comp[], 24, FALSE)</f>
        <v>0</v>
      </c>
      <c r="AC195">
        <f>VLOOKUP(Misfit[[#This Row],[Shortname]], Comp[], 25, FALSE)</f>
        <v>0</v>
      </c>
      <c r="AD195">
        <f>VLOOKUP(Misfit[[#This Row],[Shortname]], Comp[], 26, FALSE)</f>
        <v>0</v>
      </c>
      <c r="AE195">
        <f>VLOOKUP(Misfit[[#This Row],[Shortname]], Comp[], 27, FALSE)</f>
        <v>0</v>
      </c>
      <c r="AF195">
        <f>VLOOKUP(Misfit[[#This Row],[Shortname]], Comp[], 28, FALSE)</f>
        <v>0</v>
      </c>
      <c r="AG195">
        <f>VLOOKUP(Misfit[[#This Row],[Shortname]], Comp[], 29, FALSE)</f>
        <v>0</v>
      </c>
      <c r="AH195">
        <f>VLOOKUP(Misfit[[#This Row],[Shortname]], Comp[], 30, FALSE)</f>
        <v>0</v>
      </c>
      <c r="AI195">
        <f>VLOOKUP(Misfit[[#This Row],[Shortname]], Comp[], 31, FALSE)</f>
        <v>0</v>
      </c>
    </row>
    <row r="196" spans="1:35" x14ac:dyDescent="0.3">
      <c r="A196" t="s">
        <v>2443</v>
      </c>
      <c r="B196" s="7" t="s">
        <v>2354</v>
      </c>
      <c r="C196" s="6" t="s">
        <v>3985</v>
      </c>
      <c r="D196" s="6">
        <v>900</v>
      </c>
      <c r="E196">
        <v>200</v>
      </c>
      <c r="H196" s="40">
        <v>5.1500000000000001E-3</v>
      </c>
      <c r="I196" t="s">
        <v>6632</v>
      </c>
      <c r="J196">
        <f>VLOOKUP(Misfit[[#This Row],[Shortname]], Comp[], 6, FALSE)</f>
        <v>323</v>
      </c>
      <c r="K196">
        <f>VLOOKUP(Misfit[[#This Row],[Shortname]], Comp[], 7, FALSE)</f>
        <v>83.5</v>
      </c>
      <c r="L196">
        <f>VLOOKUP(Misfit[[#This Row],[Shortname]], Comp[], 8, FALSE)</f>
        <v>0</v>
      </c>
      <c r="M196">
        <f>VLOOKUP(Misfit[[#This Row],[Shortname]], Comp[], 9, FALSE)</f>
        <v>9.9</v>
      </c>
      <c r="N196">
        <f>VLOOKUP(Misfit[[#This Row],[Shortname]], Comp[], 10, FALSE)</f>
        <v>0</v>
      </c>
      <c r="O196">
        <f>VLOOKUP(Misfit[[#This Row],[Shortname]], Comp[], 11, FALSE)</f>
        <v>4.8</v>
      </c>
      <c r="P196">
        <f>VLOOKUP(Misfit[[#This Row],[Shortname]], Comp[],12, FALSE)</f>
        <v>0</v>
      </c>
      <c r="Q196">
        <f>VLOOKUP(Misfit[[#This Row],[Shortname]], Comp[], 13, FALSE)</f>
        <v>1.8</v>
      </c>
      <c r="R196">
        <f>VLOOKUP(Misfit[[#This Row],[Shortname]], Comp[], 14, FALSE)</f>
        <v>0</v>
      </c>
      <c r="S196">
        <f>VLOOKUP(Misfit[[#This Row],[Shortname]], Comp[], 15, FALSE)</f>
        <v>0</v>
      </c>
      <c r="T196">
        <f>VLOOKUP(Misfit[[#This Row],[Shortname]], Comp[], 16, FALSE)</f>
        <v>0</v>
      </c>
      <c r="U196">
        <f>VLOOKUP(Misfit[[#This Row],[Shortname]], Comp[], 17, FALSE)</f>
        <v>0</v>
      </c>
      <c r="V196">
        <f>VLOOKUP(Misfit[[#This Row],[Shortname]], Comp[], 18, FALSE)</f>
        <v>0</v>
      </c>
      <c r="W196">
        <f>VLOOKUP(Misfit[[#This Row],[Shortname]], Comp[], 19, FALSE)</f>
        <v>0</v>
      </c>
      <c r="X196">
        <f>VLOOKUP(Misfit[[#This Row],[Shortname]], Comp[], 20, FALSE)</f>
        <v>0</v>
      </c>
      <c r="Y196">
        <f>VLOOKUP(Misfit[[#This Row],[Shortname]], Comp[], 21, FALSE)</f>
        <v>0</v>
      </c>
      <c r="Z196">
        <f>VLOOKUP(Misfit[[#This Row],[Shortname]], Comp[], 22, FALSE)</f>
        <v>0</v>
      </c>
      <c r="AA196">
        <f>VLOOKUP(Misfit[[#This Row],[Shortname]], Comp[], 23, FALSE)</f>
        <v>0</v>
      </c>
      <c r="AB196">
        <f>VLOOKUP(Misfit[[#This Row],[Shortname]], Comp[], 24, FALSE)</f>
        <v>0</v>
      </c>
      <c r="AC196">
        <f>VLOOKUP(Misfit[[#This Row],[Shortname]], Comp[], 25, FALSE)</f>
        <v>0</v>
      </c>
      <c r="AD196">
        <f>VLOOKUP(Misfit[[#This Row],[Shortname]], Comp[], 26, FALSE)</f>
        <v>0</v>
      </c>
      <c r="AE196">
        <f>VLOOKUP(Misfit[[#This Row],[Shortname]], Comp[], 27, FALSE)</f>
        <v>0</v>
      </c>
      <c r="AF196">
        <f>VLOOKUP(Misfit[[#This Row],[Shortname]], Comp[], 28, FALSE)</f>
        <v>0</v>
      </c>
      <c r="AG196">
        <f>VLOOKUP(Misfit[[#This Row],[Shortname]], Comp[], 29, FALSE)</f>
        <v>0</v>
      </c>
      <c r="AH196">
        <f>VLOOKUP(Misfit[[#This Row],[Shortname]], Comp[], 30, FALSE)</f>
        <v>0</v>
      </c>
      <c r="AI196">
        <f>VLOOKUP(Misfit[[#This Row],[Shortname]], Comp[], 31, FALSE)</f>
        <v>0</v>
      </c>
    </row>
    <row r="197" spans="1:35" x14ac:dyDescent="0.3">
      <c r="A197" t="s">
        <v>2443</v>
      </c>
      <c r="B197" s="7" t="s">
        <v>2354</v>
      </c>
      <c r="C197" s="6" t="s">
        <v>3985</v>
      </c>
      <c r="D197" s="6">
        <v>900</v>
      </c>
      <c r="E197">
        <v>250</v>
      </c>
      <c r="H197" s="40">
        <v>5.4200000000000003E-3</v>
      </c>
      <c r="I197" t="s">
        <v>6632</v>
      </c>
      <c r="J197">
        <f>VLOOKUP(Misfit[[#This Row],[Shortname]], Comp[], 6, FALSE)</f>
        <v>323</v>
      </c>
      <c r="K197">
        <f>VLOOKUP(Misfit[[#This Row],[Shortname]], Comp[], 7, FALSE)</f>
        <v>83.5</v>
      </c>
      <c r="L197">
        <f>VLOOKUP(Misfit[[#This Row],[Shortname]], Comp[], 8, FALSE)</f>
        <v>0</v>
      </c>
      <c r="M197">
        <f>VLOOKUP(Misfit[[#This Row],[Shortname]], Comp[], 9, FALSE)</f>
        <v>9.9</v>
      </c>
      <c r="N197">
        <f>VLOOKUP(Misfit[[#This Row],[Shortname]], Comp[], 10, FALSE)</f>
        <v>0</v>
      </c>
      <c r="O197">
        <f>VLOOKUP(Misfit[[#This Row],[Shortname]], Comp[], 11, FALSE)</f>
        <v>4.8</v>
      </c>
      <c r="P197">
        <f>VLOOKUP(Misfit[[#This Row],[Shortname]], Comp[],12, FALSE)</f>
        <v>0</v>
      </c>
      <c r="Q197">
        <f>VLOOKUP(Misfit[[#This Row],[Shortname]], Comp[], 13, FALSE)</f>
        <v>1.8</v>
      </c>
      <c r="R197">
        <f>VLOOKUP(Misfit[[#This Row],[Shortname]], Comp[], 14, FALSE)</f>
        <v>0</v>
      </c>
      <c r="S197">
        <f>VLOOKUP(Misfit[[#This Row],[Shortname]], Comp[], 15, FALSE)</f>
        <v>0</v>
      </c>
      <c r="T197">
        <f>VLOOKUP(Misfit[[#This Row],[Shortname]], Comp[], 16, FALSE)</f>
        <v>0</v>
      </c>
      <c r="U197">
        <f>VLOOKUP(Misfit[[#This Row],[Shortname]], Comp[], 17, FALSE)</f>
        <v>0</v>
      </c>
      <c r="V197">
        <f>VLOOKUP(Misfit[[#This Row],[Shortname]], Comp[], 18, FALSE)</f>
        <v>0</v>
      </c>
      <c r="W197">
        <f>VLOOKUP(Misfit[[#This Row],[Shortname]], Comp[], 19, FALSE)</f>
        <v>0</v>
      </c>
      <c r="X197">
        <f>VLOOKUP(Misfit[[#This Row],[Shortname]], Comp[], 20, FALSE)</f>
        <v>0</v>
      </c>
      <c r="Y197">
        <f>VLOOKUP(Misfit[[#This Row],[Shortname]], Comp[], 21, FALSE)</f>
        <v>0</v>
      </c>
      <c r="Z197">
        <f>VLOOKUP(Misfit[[#This Row],[Shortname]], Comp[], 22, FALSE)</f>
        <v>0</v>
      </c>
      <c r="AA197">
        <f>VLOOKUP(Misfit[[#This Row],[Shortname]], Comp[], 23, FALSE)</f>
        <v>0</v>
      </c>
      <c r="AB197">
        <f>VLOOKUP(Misfit[[#This Row],[Shortname]], Comp[], 24, FALSE)</f>
        <v>0</v>
      </c>
      <c r="AC197">
        <f>VLOOKUP(Misfit[[#This Row],[Shortname]], Comp[], 25, FALSE)</f>
        <v>0</v>
      </c>
      <c r="AD197">
        <f>VLOOKUP(Misfit[[#This Row],[Shortname]], Comp[], 26, FALSE)</f>
        <v>0</v>
      </c>
      <c r="AE197">
        <f>VLOOKUP(Misfit[[#This Row],[Shortname]], Comp[], 27, FALSE)</f>
        <v>0</v>
      </c>
      <c r="AF197">
        <f>VLOOKUP(Misfit[[#This Row],[Shortname]], Comp[], 28, FALSE)</f>
        <v>0</v>
      </c>
      <c r="AG197">
        <f>VLOOKUP(Misfit[[#This Row],[Shortname]], Comp[], 29, FALSE)</f>
        <v>0</v>
      </c>
      <c r="AH197">
        <f>VLOOKUP(Misfit[[#This Row],[Shortname]], Comp[], 30, FALSE)</f>
        <v>0</v>
      </c>
      <c r="AI197">
        <f>VLOOKUP(Misfit[[#This Row],[Shortname]], Comp[], 31, FALSE)</f>
        <v>0</v>
      </c>
    </row>
    <row r="198" spans="1:35" x14ac:dyDescent="0.3">
      <c r="A198" t="s">
        <v>2443</v>
      </c>
      <c r="B198" s="7" t="s">
        <v>2354</v>
      </c>
      <c r="C198" s="6" t="s">
        <v>3985</v>
      </c>
      <c r="D198" s="6">
        <v>900</v>
      </c>
      <c r="E198">
        <v>300</v>
      </c>
      <c r="H198" s="40">
        <v>5.5199999999999997E-3</v>
      </c>
      <c r="I198" t="s">
        <v>6632</v>
      </c>
      <c r="J198">
        <f>VLOOKUP(Misfit[[#This Row],[Shortname]], Comp[], 6, FALSE)</f>
        <v>323</v>
      </c>
      <c r="K198">
        <f>VLOOKUP(Misfit[[#This Row],[Shortname]], Comp[], 7, FALSE)</f>
        <v>83.5</v>
      </c>
      <c r="L198">
        <f>VLOOKUP(Misfit[[#This Row],[Shortname]], Comp[], 8, FALSE)</f>
        <v>0</v>
      </c>
      <c r="M198">
        <f>VLOOKUP(Misfit[[#This Row],[Shortname]], Comp[], 9, FALSE)</f>
        <v>9.9</v>
      </c>
      <c r="N198">
        <f>VLOOKUP(Misfit[[#This Row],[Shortname]], Comp[], 10, FALSE)</f>
        <v>0</v>
      </c>
      <c r="O198">
        <f>VLOOKUP(Misfit[[#This Row],[Shortname]], Comp[], 11, FALSE)</f>
        <v>4.8</v>
      </c>
      <c r="P198">
        <f>VLOOKUP(Misfit[[#This Row],[Shortname]], Comp[],12, FALSE)</f>
        <v>0</v>
      </c>
      <c r="Q198">
        <f>VLOOKUP(Misfit[[#This Row],[Shortname]], Comp[], 13, FALSE)</f>
        <v>1.8</v>
      </c>
      <c r="R198">
        <f>VLOOKUP(Misfit[[#This Row],[Shortname]], Comp[], 14, FALSE)</f>
        <v>0</v>
      </c>
      <c r="S198">
        <f>VLOOKUP(Misfit[[#This Row],[Shortname]], Comp[], 15, FALSE)</f>
        <v>0</v>
      </c>
      <c r="T198">
        <f>VLOOKUP(Misfit[[#This Row],[Shortname]], Comp[], 16, FALSE)</f>
        <v>0</v>
      </c>
      <c r="U198">
        <f>VLOOKUP(Misfit[[#This Row],[Shortname]], Comp[], 17, FALSE)</f>
        <v>0</v>
      </c>
      <c r="V198">
        <f>VLOOKUP(Misfit[[#This Row],[Shortname]], Comp[], 18, FALSE)</f>
        <v>0</v>
      </c>
      <c r="W198">
        <f>VLOOKUP(Misfit[[#This Row],[Shortname]], Comp[], 19, FALSE)</f>
        <v>0</v>
      </c>
      <c r="X198">
        <f>VLOOKUP(Misfit[[#This Row],[Shortname]], Comp[], 20, FALSE)</f>
        <v>0</v>
      </c>
      <c r="Y198">
        <f>VLOOKUP(Misfit[[#This Row],[Shortname]], Comp[], 21, FALSE)</f>
        <v>0</v>
      </c>
      <c r="Z198">
        <f>VLOOKUP(Misfit[[#This Row],[Shortname]], Comp[], 22, FALSE)</f>
        <v>0</v>
      </c>
      <c r="AA198">
        <f>VLOOKUP(Misfit[[#This Row],[Shortname]], Comp[], 23, FALSE)</f>
        <v>0</v>
      </c>
      <c r="AB198">
        <f>VLOOKUP(Misfit[[#This Row],[Shortname]], Comp[], 24, FALSE)</f>
        <v>0</v>
      </c>
      <c r="AC198">
        <f>VLOOKUP(Misfit[[#This Row],[Shortname]], Comp[], 25, FALSE)</f>
        <v>0</v>
      </c>
      <c r="AD198">
        <f>VLOOKUP(Misfit[[#This Row],[Shortname]], Comp[], 26, FALSE)</f>
        <v>0</v>
      </c>
      <c r="AE198">
        <f>VLOOKUP(Misfit[[#This Row],[Shortname]], Comp[], 27, FALSE)</f>
        <v>0</v>
      </c>
      <c r="AF198">
        <f>VLOOKUP(Misfit[[#This Row],[Shortname]], Comp[], 28, FALSE)</f>
        <v>0</v>
      </c>
      <c r="AG198">
        <f>VLOOKUP(Misfit[[#This Row],[Shortname]], Comp[], 29, FALSE)</f>
        <v>0</v>
      </c>
      <c r="AH198">
        <f>VLOOKUP(Misfit[[#This Row],[Shortname]], Comp[], 30, FALSE)</f>
        <v>0</v>
      </c>
      <c r="AI198">
        <f>VLOOKUP(Misfit[[#This Row],[Shortname]], Comp[], 31, FALSE)</f>
        <v>0</v>
      </c>
    </row>
    <row r="199" spans="1:35" x14ac:dyDescent="0.3">
      <c r="A199" t="s">
        <v>2443</v>
      </c>
      <c r="B199" s="7" t="s">
        <v>2354</v>
      </c>
      <c r="C199" s="6" t="s">
        <v>3985</v>
      </c>
      <c r="D199" s="6">
        <v>900</v>
      </c>
      <c r="E199">
        <v>350</v>
      </c>
      <c r="H199" s="40">
        <v>5.5199999999999997E-3</v>
      </c>
      <c r="I199" t="s">
        <v>6632</v>
      </c>
      <c r="J199">
        <f>VLOOKUP(Misfit[[#This Row],[Shortname]], Comp[], 6, FALSE)</f>
        <v>323</v>
      </c>
      <c r="K199">
        <f>VLOOKUP(Misfit[[#This Row],[Shortname]], Comp[], 7, FALSE)</f>
        <v>83.5</v>
      </c>
      <c r="L199">
        <f>VLOOKUP(Misfit[[#This Row],[Shortname]], Comp[], 8, FALSE)</f>
        <v>0</v>
      </c>
      <c r="M199">
        <f>VLOOKUP(Misfit[[#This Row],[Shortname]], Comp[], 9, FALSE)</f>
        <v>9.9</v>
      </c>
      <c r="N199">
        <f>VLOOKUP(Misfit[[#This Row],[Shortname]], Comp[], 10, FALSE)</f>
        <v>0</v>
      </c>
      <c r="O199">
        <f>VLOOKUP(Misfit[[#This Row],[Shortname]], Comp[], 11, FALSE)</f>
        <v>4.8</v>
      </c>
      <c r="P199">
        <f>VLOOKUP(Misfit[[#This Row],[Shortname]], Comp[],12, FALSE)</f>
        <v>0</v>
      </c>
      <c r="Q199">
        <f>VLOOKUP(Misfit[[#This Row],[Shortname]], Comp[], 13, FALSE)</f>
        <v>1.8</v>
      </c>
      <c r="R199">
        <f>VLOOKUP(Misfit[[#This Row],[Shortname]], Comp[], 14, FALSE)</f>
        <v>0</v>
      </c>
      <c r="S199">
        <f>VLOOKUP(Misfit[[#This Row],[Shortname]], Comp[], 15, FALSE)</f>
        <v>0</v>
      </c>
      <c r="T199">
        <f>VLOOKUP(Misfit[[#This Row],[Shortname]], Comp[], 16, FALSE)</f>
        <v>0</v>
      </c>
      <c r="U199">
        <f>VLOOKUP(Misfit[[#This Row],[Shortname]], Comp[], 17, FALSE)</f>
        <v>0</v>
      </c>
      <c r="V199">
        <f>VLOOKUP(Misfit[[#This Row],[Shortname]], Comp[], 18, FALSE)</f>
        <v>0</v>
      </c>
      <c r="W199">
        <f>VLOOKUP(Misfit[[#This Row],[Shortname]], Comp[], 19, FALSE)</f>
        <v>0</v>
      </c>
      <c r="X199">
        <f>VLOOKUP(Misfit[[#This Row],[Shortname]], Comp[], 20, FALSE)</f>
        <v>0</v>
      </c>
      <c r="Y199">
        <f>VLOOKUP(Misfit[[#This Row],[Shortname]], Comp[], 21, FALSE)</f>
        <v>0</v>
      </c>
      <c r="Z199">
        <f>VLOOKUP(Misfit[[#This Row],[Shortname]], Comp[], 22, FALSE)</f>
        <v>0</v>
      </c>
      <c r="AA199">
        <f>VLOOKUP(Misfit[[#This Row],[Shortname]], Comp[], 23, FALSE)</f>
        <v>0</v>
      </c>
      <c r="AB199">
        <f>VLOOKUP(Misfit[[#This Row],[Shortname]], Comp[], 24, FALSE)</f>
        <v>0</v>
      </c>
      <c r="AC199">
        <f>VLOOKUP(Misfit[[#This Row],[Shortname]], Comp[], 25, FALSE)</f>
        <v>0</v>
      </c>
      <c r="AD199">
        <f>VLOOKUP(Misfit[[#This Row],[Shortname]], Comp[], 26, FALSE)</f>
        <v>0</v>
      </c>
      <c r="AE199">
        <f>VLOOKUP(Misfit[[#This Row],[Shortname]], Comp[], 27, FALSE)</f>
        <v>0</v>
      </c>
      <c r="AF199">
        <f>VLOOKUP(Misfit[[#This Row],[Shortname]], Comp[], 28, FALSE)</f>
        <v>0</v>
      </c>
      <c r="AG199">
        <f>VLOOKUP(Misfit[[#This Row],[Shortname]], Comp[], 29, FALSE)</f>
        <v>0</v>
      </c>
      <c r="AH199">
        <f>VLOOKUP(Misfit[[#This Row],[Shortname]], Comp[], 30, FALSE)</f>
        <v>0</v>
      </c>
      <c r="AI199">
        <f>VLOOKUP(Misfit[[#This Row],[Shortname]], Comp[], 31, FALSE)</f>
        <v>0</v>
      </c>
    </row>
    <row r="200" spans="1:35" x14ac:dyDescent="0.3">
      <c r="A200" t="s">
        <v>2443</v>
      </c>
      <c r="B200" s="7" t="s">
        <v>2354</v>
      </c>
      <c r="C200" s="6" t="s">
        <v>3985</v>
      </c>
      <c r="D200" s="6">
        <v>900</v>
      </c>
      <c r="E200">
        <v>400</v>
      </c>
      <c r="H200" s="40">
        <v>5.5799999999999999E-3</v>
      </c>
      <c r="I200" t="s">
        <v>6632</v>
      </c>
      <c r="J200">
        <f>VLOOKUP(Misfit[[#This Row],[Shortname]], Comp[], 6, FALSE)</f>
        <v>323</v>
      </c>
      <c r="K200">
        <f>VLOOKUP(Misfit[[#This Row],[Shortname]], Comp[], 7, FALSE)</f>
        <v>83.5</v>
      </c>
      <c r="L200">
        <f>VLOOKUP(Misfit[[#This Row],[Shortname]], Comp[], 8, FALSE)</f>
        <v>0</v>
      </c>
      <c r="M200">
        <f>VLOOKUP(Misfit[[#This Row],[Shortname]], Comp[], 9, FALSE)</f>
        <v>9.9</v>
      </c>
      <c r="N200">
        <f>VLOOKUP(Misfit[[#This Row],[Shortname]], Comp[], 10, FALSE)</f>
        <v>0</v>
      </c>
      <c r="O200">
        <f>VLOOKUP(Misfit[[#This Row],[Shortname]], Comp[], 11, FALSE)</f>
        <v>4.8</v>
      </c>
      <c r="P200">
        <f>VLOOKUP(Misfit[[#This Row],[Shortname]], Comp[],12, FALSE)</f>
        <v>0</v>
      </c>
      <c r="Q200">
        <f>VLOOKUP(Misfit[[#This Row],[Shortname]], Comp[], 13, FALSE)</f>
        <v>1.8</v>
      </c>
      <c r="R200">
        <f>VLOOKUP(Misfit[[#This Row],[Shortname]], Comp[], 14, FALSE)</f>
        <v>0</v>
      </c>
      <c r="S200">
        <f>VLOOKUP(Misfit[[#This Row],[Shortname]], Comp[], 15, FALSE)</f>
        <v>0</v>
      </c>
      <c r="T200">
        <f>VLOOKUP(Misfit[[#This Row],[Shortname]], Comp[], 16, FALSE)</f>
        <v>0</v>
      </c>
      <c r="U200">
        <f>VLOOKUP(Misfit[[#This Row],[Shortname]], Comp[], 17, FALSE)</f>
        <v>0</v>
      </c>
      <c r="V200">
        <f>VLOOKUP(Misfit[[#This Row],[Shortname]], Comp[], 18, FALSE)</f>
        <v>0</v>
      </c>
      <c r="W200">
        <f>VLOOKUP(Misfit[[#This Row],[Shortname]], Comp[], 19, FALSE)</f>
        <v>0</v>
      </c>
      <c r="X200">
        <f>VLOOKUP(Misfit[[#This Row],[Shortname]], Comp[], 20, FALSE)</f>
        <v>0</v>
      </c>
      <c r="Y200">
        <f>VLOOKUP(Misfit[[#This Row],[Shortname]], Comp[], 21, FALSE)</f>
        <v>0</v>
      </c>
      <c r="Z200">
        <f>VLOOKUP(Misfit[[#This Row],[Shortname]], Comp[], 22, FALSE)</f>
        <v>0</v>
      </c>
      <c r="AA200">
        <f>VLOOKUP(Misfit[[#This Row],[Shortname]], Comp[], 23, FALSE)</f>
        <v>0</v>
      </c>
      <c r="AB200">
        <f>VLOOKUP(Misfit[[#This Row],[Shortname]], Comp[], 24, FALSE)</f>
        <v>0</v>
      </c>
      <c r="AC200">
        <f>VLOOKUP(Misfit[[#This Row],[Shortname]], Comp[], 25, FALSE)</f>
        <v>0</v>
      </c>
      <c r="AD200">
        <f>VLOOKUP(Misfit[[#This Row],[Shortname]], Comp[], 26, FALSE)</f>
        <v>0</v>
      </c>
      <c r="AE200">
        <f>VLOOKUP(Misfit[[#This Row],[Shortname]], Comp[], 27, FALSE)</f>
        <v>0</v>
      </c>
      <c r="AF200">
        <f>VLOOKUP(Misfit[[#This Row],[Shortname]], Comp[], 28, FALSE)</f>
        <v>0</v>
      </c>
      <c r="AG200">
        <f>VLOOKUP(Misfit[[#This Row],[Shortname]], Comp[], 29, FALSE)</f>
        <v>0</v>
      </c>
      <c r="AH200">
        <f>VLOOKUP(Misfit[[#This Row],[Shortname]], Comp[], 30, FALSE)</f>
        <v>0</v>
      </c>
      <c r="AI200">
        <f>VLOOKUP(Misfit[[#This Row],[Shortname]], Comp[], 31, FALSE)</f>
        <v>0</v>
      </c>
    </row>
    <row r="201" spans="1:35" x14ac:dyDescent="0.3">
      <c r="A201" t="s">
        <v>2443</v>
      </c>
      <c r="B201" s="7" t="s">
        <v>2354</v>
      </c>
      <c r="C201" s="6" t="s">
        <v>3985</v>
      </c>
      <c r="D201" s="6">
        <v>900</v>
      </c>
      <c r="E201">
        <v>450</v>
      </c>
      <c r="H201" s="40">
        <v>5.64E-3</v>
      </c>
      <c r="I201" t="s">
        <v>6632</v>
      </c>
      <c r="J201">
        <f>VLOOKUP(Misfit[[#This Row],[Shortname]], Comp[], 6, FALSE)</f>
        <v>323</v>
      </c>
      <c r="K201">
        <f>VLOOKUP(Misfit[[#This Row],[Shortname]], Comp[], 7, FALSE)</f>
        <v>83.5</v>
      </c>
      <c r="L201">
        <f>VLOOKUP(Misfit[[#This Row],[Shortname]], Comp[], 8, FALSE)</f>
        <v>0</v>
      </c>
      <c r="M201">
        <f>VLOOKUP(Misfit[[#This Row],[Shortname]], Comp[], 9, FALSE)</f>
        <v>9.9</v>
      </c>
      <c r="N201">
        <f>VLOOKUP(Misfit[[#This Row],[Shortname]], Comp[], 10, FALSE)</f>
        <v>0</v>
      </c>
      <c r="O201">
        <f>VLOOKUP(Misfit[[#This Row],[Shortname]], Comp[], 11, FALSE)</f>
        <v>4.8</v>
      </c>
      <c r="P201">
        <f>VLOOKUP(Misfit[[#This Row],[Shortname]], Comp[],12, FALSE)</f>
        <v>0</v>
      </c>
      <c r="Q201">
        <f>VLOOKUP(Misfit[[#This Row],[Shortname]], Comp[], 13, FALSE)</f>
        <v>1.8</v>
      </c>
      <c r="R201">
        <f>VLOOKUP(Misfit[[#This Row],[Shortname]], Comp[], 14, FALSE)</f>
        <v>0</v>
      </c>
      <c r="S201">
        <f>VLOOKUP(Misfit[[#This Row],[Shortname]], Comp[], 15, FALSE)</f>
        <v>0</v>
      </c>
      <c r="T201">
        <f>VLOOKUP(Misfit[[#This Row],[Shortname]], Comp[], 16, FALSE)</f>
        <v>0</v>
      </c>
      <c r="U201">
        <f>VLOOKUP(Misfit[[#This Row],[Shortname]], Comp[], 17, FALSE)</f>
        <v>0</v>
      </c>
      <c r="V201">
        <f>VLOOKUP(Misfit[[#This Row],[Shortname]], Comp[], 18, FALSE)</f>
        <v>0</v>
      </c>
      <c r="W201">
        <f>VLOOKUP(Misfit[[#This Row],[Shortname]], Comp[], 19, FALSE)</f>
        <v>0</v>
      </c>
      <c r="X201">
        <f>VLOOKUP(Misfit[[#This Row],[Shortname]], Comp[], 20, FALSE)</f>
        <v>0</v>
      </c>
      <c r="Y201">
        <f>VLOOKUP(Misfit[[#This Row],[Shortname]], Comp[], 21, FALSE)</f>
        <v>0</v>
      </c>
      <c r="Z201">
        <f>VLOOKUP(Misfit[[#This Row],[Shortname]], Comp[], 22, FALSE)</f>
        <v>0</v>
      </c>
      <c r="AA201">
        <f>VLOOKUP(Misfit[[#This Row],[Shortname]], Comp[], 23, FALSE)</f>
        <v>0</v>
      </c>
      <c r="AB201">
        <f>VLOOKUP(Misfit[[#This Row],[Shortname]], Comp[], 24, FALSE)</f>
        <v>0</v>
      </c>
      <c r="AC201">
        <f>VLOOKUP(Misfit[[#This Row],[Shortname]], Comp[], 25, FALSE)</f>
        <v>0</v>
      </c>
      <c r="AD201">
        <f>VLOOKUP(Misfit[[#This Row],[Shortname]], Comp[], 26, FALSE)</f>
        <v>0</v>
      </c>
      <c r="AE201">
        <f>VLOOKUP(Misfit[[#This Row],[Shortname]], Comp[], 27, FALSE)</f>
        <v>0</v>
      </c>
      <c r="AF201">
        <f>VLOOKUP(Misfit[[#This Row],[Shortname]], Comp[], 28, FALSE)</f>
        <v>0</v>
      </c>
      <c r="AG201">
        <f>VLOOKUP(Misfit[[#This Row],[Shortname]], Comp[], 29, FALSE)</f>
        <v>0</v>
      </c>
      <c r="AH201">
        <f>VLOOKUP(Misfit[[#This Row],[Shortname]], Comp[], 30, FALSE)</f>
        <v>0</v>
      </c>
      <c r="AI201">
        <f>VLOOKUP(Misfit[[#This Row],[Shortname]], Comp[], 31, FALSE)</f>
        <v>0</v>
      </c>
    </row>
    <row r="202" spans="1:35" x14ac:dyDescent="0.3">
      <c r="A202" t="s">
        <v>2443</v>
      </c>
      <c r="B202" s="7" t="s">
        <v>2354</v>
      </c>
      <c r="C202" s="6" t="s">
        <v>3985</v>
      </c>
      <c r="D202" s="6">
        <v>900</v>
      </c>
      <c r="E202">
        <v>500</v>
      </c>
      <c r="H202" s="40">
        <v>5.64E-3</v>
      </c>
      <c r="I202" t="s">
        <v>6632</v>
      </c>
      <c r="J202">
        <f>VLOOKUP(Misfit[[#This Row],[Shortname]], Comp[], 6, FALSE)</f>
        <v>323</v>
      </c>
      <c r="K202">
        <f>VLOOKUP(Misfit[[#This Row],[Shortname]], Comp[], 7, FALSE)</f>
        <v>83.5</v>
      </c>
      <c r="L202">
        <f>VLOOKUP(Misfit[[#This Row],[Shortname]], Comp[], 8, FALSE)</f>
        <v>0</v>
      </c>
      <c r="M202">
        <f>VLOOKUP(Misfit[[#This Row],[Shortname]], Comp[], 9, FALSE)</f>
        <v>9.9</v>
      </c>
      <c r="N202">
        <f>VLOOKUP(Misfit[[#This Row],[Shortname]], Comp[], 10, FALSE)</f>
        <v>0</v>
      </c>
      <c r="O202">
        <f>VLOOKUP(Misfit[[#This Row],[Shortname]], Comp[], 11, FALSE)</f>
        <v>4.8</v>
      </c>
      <c r="P202">
        <f>VLOOKUP(Misfit[[#This Row],[Shortname]], Comp[],12, FALSE)</f>
        <v>0</v>
      </c>
      <c r="Q202">
        <f>VLOOKUP(Misfit[[#This Row],[Shortname]], Comp[], 13, FALSE)</f>
        <v>1.8</v>
      </c>
      <c r="R202">
        <f>VLOOKUP(Misfit[[#This Row],[Shortname]], Comp[], 14, FALSE)</f>
        <v>0</v>
      </c>
      <c r="S202">
        <f>VLOOKUP(Misfit[[#This Row],[Shortname]], Comp[], 15, FALSE)</f>
        <v>0</v>
      </c>
      <c r="T202">
        <f>VLOOKUP(Misfit[[#This Row],[Shortname]], Comp[], 16, FALSE)</f>
        <v>0</v>
      </c>
      <c r="U202">
        <f>VLOOKUP(Misfit[[#This Row],[Shortname]], Comp[], 17, FALSE)</f>
        <v>0</v>
      </c>
      <c r="V202">
        <f>VLOOKUP(Misfit[[#This Row],[Shortname]], Comp[], 18, FALSE)</f>
        <v>0</v>
      </c>
      <c r="W202">
        <f>VLOOKUP(Misfit[[#This Row],[Shortname]], Comp[], 19, FALSE)</f>
        <v>0</v>
      </c>
      <c r="X202">
        <f>VLOOKUP(Misfit[[#This Row],[Shortname]], Comp[], 20, FALSE)</f>
        <v>0</v>
      </c>
      <c r="Y202">
        <f>VLOOKUP(Misfit[[#This Row],[Shortname]], Comp[], 21, FALSE)</f>
        <v>0</v>
      </c>
      <c r="Z202">
        <f>VLOOKUP(Misfit[[#This Row],[Shortname]], Comp[], 22, FALSE)</f>
        <v>0</v>
      </c>
      <c r="AA202">
        <f>VLOOKUP(Misfit[[#This Row],[Shortname]], Comp[], 23, FALSE)</f>
        <v>0</v>
      </c>
      <c r="AB202">
        <f>VLOOKUP(Misfit[[#This Row],[Shortname]], Comp[], 24, FALSE)</f>
        <v>0</v>
      </c>
      <c r="AC202">
        <f>VLOOKUP(Misfit[[#This Row],[Shortname]], Comp[], 25, FALSE)</f>
        <v>0</v>
      </c>
      <c r="AD202">
        <f>VLOOKUP(Misfit[[#This Row],[Shortname]], Comp[], 26, FALSE)</f>
        <v>0</v>
      </c>
      <c r="AE202">
        <f>VLOOKUP(Misfit[[#This Row],[Shortname]], Comp[], 27, FALSE)</f>
        <v>0</v>
      </c>
      <c r="AF202">
        <f>VLOOKUP(Misfit[[#This Row],[Shortname]], Comp[], 28, FALSE)</f>
        <v>0</v>
      </c>
      <c r="AG202">
        <f>VLOOKUP(Misfit[[#This Row],[Shortname]], Comp[], 29, FALSE)</f>
        <v>0</v>
      </c>
      <c r="AH202">
        <f>VLOOKUP(Misfit[[#This Row],[Shortname]], Comp[], 30, FALSE)</f>
        <v>0</v>
      </c>
      <c r="AI202">
        <f>VLOOKUP(Misfit[[#This Row],[Shortname]], Comp[], 31, FALSE)</f>
        <v>0</v>
      </c>
    </row>
    <row r="203" spans="1:35" x14ac:dyDescent="0.3">
      <c r="A203" t="s">
        <v>2443</v>
      </c>
      <c r="B203" s="7" t="s">
        <v>2354</v>
      </c>
      <c r="C203" s="6" t="s">
        <v>3985</v>
      </c>
      <c r="D203" s="6">
        <v>900</v>
      </c>
      <c r="E203">
        <v>550</v>
      </c>
      <c r="H203" s="40">
        <v>5.7099999999999998E-3</v>
      </c>
      <c r="I203" t="s">
        <v>6632</v>
      </c>
      <c r="J203">
        <f>VLOOKUP(Misfit[[#This Row],[Shortname]], Comp[], 6, FALSE)</f>
        <v>323</v>
      </c>
      <c r="K203">
        <f>VLOOKUP(Misfit[[#This Row],[Shortname]], Comp[], 7, FALSE)</f>
        <v>83.5</v>
      </c>
      <c r="L203">
        <f>VLOOKUP(Misfit[[#This Row],[Shortname]], Comp[], 8, FALSE)</f>
        <v>0</v>
      </c>
      <c r="M203">
        <f>VLOOKUP(Misfit[[#This Row],[Shortname]], Comp[], 9, FALSE)</f>
        <v>9.9</v>
      </c>
      <c r="N203">
        <f>VLOOKUP(Misfit[[#This Row],[Shortname]], Comp[], 10, FALSE)</f>
        <v>0</v>
      </c>
      <c r="O203">
        <f>VLOOKUP(Misfit[[#This Row],[Shortname]], Comp[], 11, FALSE)</f>
        <v>4.8</v>
      </c>
      <c r="P203">
        <f>VLOOKUP(Misfit[[#This Row],[Shortname]], Comp[],12, FALSE)</f>
        <v>0</v>
      </c>
      <c r="Q203">
        <f>VLOOKUP(Misfit[[#This Row],[Shortname]], Comp[], 13, FALSE)</f>
        <v>1.8</v>
      </c>
      <c r="R203">
        <f>VLOOKUP(Misfit[[#This Row],[Shortname]], Comp[], 14, FALSE)</f>
        <v>0</v>
      </c>
      <c r="S203">
        <f>VLOOKUP(Misfit[[#This Row],[Shortname]], Comp[], 15, FALSE)</f>
        <v>0</v>
      </c>
      <c r="T203">
        <f>VLOOKUP(Misfit[[#This Row],[Shortname]], Comp[], 16, FALSE)</f>
        <v>0</v>
      </c>
      <c r="U203">
        <f>VLOOKUP(Misfit[[#This Row],[Shortname]], Comp[], 17, FALSE)</f>
        <v>0</v>
      </c>
      <c r="V203">
        <f>VLOOKUP(Misfit[[#This Row],[Shortname]], Comp[], 18, FALSE)</f>
        <v>0</v>
      </c>
      <c r="W203">
        <f>VLOOKUP(Misfit[[#This Row],[Shortname]], Comp[], 19, FALSE)</f>
        <v>0</v>
      </c>
      <c r="X203">
        <f>VLOOKUP(Misfit[[#This Row],[Shortname]], Comp[], 20, FALSE)</f>
        <v>0</v>
      </c>
      <c r="Y203">
        <f>VLOOKUP(Misfit[[#This Row],[Shortname]], Comp[], 21, FALSE)</f>
        <v>0</v>
      </c>
      <c r="Z203">
        <f>VLOOKUP(Misfit[[#This Row],[Shortname]], Comp[], 22, FALSE)</f>
        <v>0</v>
      </c>
      <c r="AA203">
        <f>VLOOKUP(Misfit[[#This Row],[Shortname]], Comp[], 23, FALSE)</f>
        <v>0</v>
      </c>
      <c r="AB203">
        <f>VLOOKUP(Misfit[[#This Row],[Shortname]], Comp[], 24, FALSE)</f>
        <v>0</v>
      </c>
      <c r="AC203">
        <f>VLOOKUP(Misfit[[#This Row],[Shortname]], Comp[], 25, FALSE)</f>
        <v>0</v>
      </c>
      <c r="AD203">
        <f>VLOOKUP(Misfit[[#This Row],[Shortname]], Comp[], 26, FALSE)</f>
        <v>0</v>
      </c>
      <c r="AE203">
        <f>VLOOKUP(Misfit[[#This Row],[Shortname]], Comp[], 27, FALSE)</f>
        <v>0</v>
      </c>
      <c r="AF203">
        <f>VLOOKUP(Misfit[[#This Row],[Shortname]], Comp[], 28, FALSE)</f>
        <v>0</v>
      </c>
      <c r="AG203">
        <f>VLOOKUP(Misfit[[#This Row],[Shortname]], Comp[], 29, FALSE)</f>
        <v>0</v>
      </c>
      <c r="AH203">
        <f>VLOOKUP(Misfit[[#This Row],[Shortname]], Comp[], 30, FALSE)</f>
        <v>0</v>
      </c>
      <c r="AI203">
        <f>VLOOKUP(Misfit[[#This Row],[Shortname]], Comp[], 31, FALSE)</f>
        <v>0</v>
      </c>
    </row>
    <row r="204" spans="1:35" x14ac:dyDescent="0.3">
      <c r="A204" t="s">
        <v>2443</v>
      </c>
      <c r="B204" s="7" t="s">
        <v>2354</v>
      </c>
      <c r="C204" s="6" t="s">
        <v>3985</v>
      </c>
      <c r="D204" s="6">
        <v>900</v>
      </c>
      <c r="E204">
        <v>600</v>
      </c>
      <c r="H204" s="40">
        <v>5.7400000000000003E-3</v>
      </c>
      <c r="I204" t="s">
        <v>6632</v>
      </c>
      <c r="J204">
        <f>VLOOKUP(Misfit[[#This Row],[Shortname]], Comp[], 6, FALSE)</f>
        <v>323</v>
      </c>
      <c r="K204">
        <f>VLOOKUP(Misfit[[#This Row],[Shortname]], Comp[], 7, FALSE)</f>
        <v>83.5</v>
      </c>
      <c r="L204">
        <f>VLOOKUP(Misfit[[#This Row],[Shortname]], Comp[], 8, FALSE)</f>
        <v>0</v>
      </c>
      <c r="M204">
        <f>VLOOKUP(Misfit[[#This Row],[Shortname]], Comp[], 9, FALSE)</f>
        <v>9.9</v>
      </c>
      <c r="N204">
        <f>VLOOKUP(Misfit[[#This Row],[Shortname]], Comp[], 10, FALSE)</f>
        <v>0</v>
      </c>
      <c r="O204">
        <f>VLOOKUP(Misfit[[#This Row],[Shortname]], Comp[], 11, FALSE)</f>
        <v>4.8</v>
      </c>
      <c r="P204">
        <f>VLOOKUP(Misfit[[#This Row],[Shortname]], Comp[],12, FALSE)</f>
        <v>0</v>
      </c>
      <c r="Q204">
        <f>VLOOKUP(Misfit[[#This Row],[Shortname]], Comp[], 13, FALSE)</f>
        <v>1.8</v>
      </c>
      <c r="R204">
        <f>VLOOKUP(Misfit[[#This Row],[Shortname]], Comp[], 14, FALSE)</f>
        <v>0</v>
      </c>
      <c r="S204">
        <f>VLOOKUP(Misfit[[#This Row],[Shortname]], Comp[], 15, FALSE)</f>
        <v>0</v>
      </c>
      <c r="T204">
        <f>VLOOKUP(Misfit[[#This Row],[Shortname]], Comp[], 16, FALSE)</f>
        <v>0</v>
      </c>
      <c r="U204">
        <f>VLOOKUP(Misfit[[#This Row],[Shortname]], Comp[], 17, FALSE)</f>
        <v>0</v>
      </c>
      <c r="V204">
        <f>VLOOKUP(Misfit[[#This Row],[Shortname]], Comp[], 18, FALSE)</f>
        <v>0</v>
      </c>
      <c r="W204">
        <f>VLOOKUP(Misfit[[#This Row],[Shortname]], Comp[], 19, FALSE)</f>
        <v>0</v>
      </c>
      <c r="X204">
        <f>VLOOKUP(Misfit[[#This Row],[Shortname]], Comp[], 20, FALSE)</f>
        <v>0</v>
      </c>
      <c r="Y204">
        <f>VLOOKUP(Misfit[[#This Row],[Shortname]], Comp[], 21, FALSE)</f>
        <v>0</v>
      </c>
      <c r="Z204">
        <f>VLOOKUP(Misfit[[#This Row],[Shortname]], Comp[], 22, FALSE)</f>
        <v>0</v>
      </c>
      <c r="AA204">
        <f>VLOOKUP(Misfit[[#This Row],[Shortname]], Comp[], 23, FALSE)</f>
        <v>0</v>
      </c>
      <c r="AB204">
        <f>VLOOKUP(Misfit[[#This Row],[Shortname]], Comp[], 24, FALSE)</f>
        <v>0</v>
      </c>
      <c r="AC204">
        <f>VLOOKUP(Misfit[[#This Row],[Shortname]], Comp[], 25, FALSE)</f>
        <v>0</v>
      </c>
      <c r="AD204">
        <f>VLOOKUP(Misfit[[#This Row],[Shortname]], Comp[], 26, FALSE)</f>
        <v>0</v>
      </c>
      <c r="AE204">
        <f>VLOOKUP(Misfit[[#This Row],[Shortname]], Comp[], 27, FALSE)</f>
        <v>0</v>
      </c>
      <c r="AF204">
        <f>VLOOKUP(Misfit[[#This Row],[Shortname]], Comp[], 28, FALSE)</f>
        <v>0</v>
      </c>
      <c r="AG204">
        <f>VLOOKUP(Misfit[[#This Row],[Shortname]], Comp[], 29, FALSE)</f>
        <v>0</v>
      </c>
      <c r="AH204">
        <f>VLOOKUP(Misfit[[#This Row],[Shortname]], Comp[], 30, FALSE)</f>
        <v>0</v>
      </c>
      <c r="AI204">
        <f>VLOOKUP(Misfit[[#This Row],[Shortname]], Comp[], 31, FALSE)</f>
        <v>0</v>
      </c>
    </row>
    <row r="205" spans="1:35" x14ac:dyDescent="0.3">
      <c r="A205" t="s">
        <v>2443</v>
      </c>
      <c r="B205" s="7" t="s">
        <v>2354</v>
      </c>
      <c r="C205" s="6" t="s">
        <v>3985</v>
      </c>
      <c r="D205" s="6">
        <v>900</v>
      </c>
      <c r="E205">
        <v>650</v>
      </c>
      <c r="H205" s="40">
        <v>5.7999999999999996E-3</v>
      </c>
      <c r="I205" t="s">
        <v>6632</v>
      </c>
      <c r="J205">
        <f>VLOOKUP(Misfit[[#This Row],[Shortname]], Comp[], 6, FALSE)</f>
        <v>323</v>
      </c>
      <c r="K205">
        <f>VLOOKUP(Misfit[[#This Row],[Shortname]], Comp[], 7, FALSE)</f>
        <v>83.5</v>
      </c>
      <c r="L205">
        <f>VLOOKUP(Misfit[[#This Row],[Shortname]], Comp[], 8, FALSE)</f>
        <v>0</v>
      </c>
      <c r="M205">
        <f>VLOOKUP(Misfit[[#This Row],[Shortname]], Comp[], 9, FALSE)</f>
        <v>9.9</v>
      </c>
      <c r="N205">
        <f>VLOOKUP(Misfit[[#This Row],[Shortname]], Comp[], 10, FALSE)</f>
        <v>0</v>
      </c>
      <c r="O205">
        <f>VLOOKUP(Misfit[[#This Row],[Shortname]], Comp[], 11, FALSE)</f>
        <v>4.8</v>
      </c>
      <c r="P205">
        <f>VLOOKUP(Misfit[[#This Row],[Shortname]], Comp[],12, FALSE)</f>
        <v>0</v>
      </c>
      <c r="Q205">
        <f>VLOOKUP(Misfit[[#This Row],[Shortname]], Comp[], 13, FALSE)</f>
        <v>1.8</v>
      </c>
      <c r="R205">
        <f>VLOOKUP(Misfit[[#This Row],[Shortname]], Comp[], 14, FALSE)</f>
        <v>0</v>
      </c>
      <c r="S205">
        <f>VLOOKUP(Misfit[[#This Row],[Shortname]], Comp[], 15, FALSE)</f>
        <v>0</v>
      </c>
      <c r="T205">
        <f>VLOOKUP(Misfit[[#This Row],[Shortname]], Comp[], 16, FALSE)</f>
        <v>0</v>
      </c>
      <c r="U205">
        <f>VLOOKUP(Misfit[[#This Row],[Shortname]], Comp[], 17, FALSE)</f>
        <v>0</v>
      </c>
      <c r="V205">
        <f>VLOOKUP(Misfit[[#This Row],[Shortname]], Comp[], 18, FALSE)</f>
        <v>0</v>
      </c>
      <c r="W205">
        <f>VLOOKUP(Misfit[[#This Row],[Shortname]], Comp[], 19, FALSE)</f>
        <v>0</v>
      </c>
      <c r="X205">
        <f>VLOOKUP(Misfit[[#This Row],[Shortname]], Comp[], 20, FALSE)</f>
        <v>0</v>
      </c>
      <c r="Y205">
        <f>VLOOKUP(Misfit[[#This Row],[Shortname]], Comp[], 21, FALSE)</f>
        <v>0</v>
      </c>
      <c r="Z205">
        <f>VLOOKUP(Misfit[[#This Row],[Shortname]], Comp[], 22, FALSE)</f>
        <v>0</v>
      </c>
      <c r="AA205">
        <f>VLOOKUP(Misfit[[#This Row],[Shortname]], Comp[], 23, FALSE)</f>
        <v>0</v>
      </c>
      <c r="AB205">
        <f>VLOOKUP(Misfit[[#This Row],[Shortname]], Comp[], 24, FALSE)</f>
        <v>0</v>
      </c>
      <c r="AC205">
        <f>VLOOKUP(Misfit[[#This Row],[Shortname]], Comp[], 25, FALSE)</f>
        <v>0</v>
      </c>
      <c r="AD205">
        <f>VLOOKUP(Misfit[[#This Row],[Shortname]], Comp[], 26, FALSE)</f>
        <v>0</v>
      </c>
      <c r="AE205">
        <f>VLOOKUP(Misfit[[#This Row],[Shortname]], Comp[], 27, FALSE)</f>
        <v>0</v>
      </c>
      <c r="AF205">
        <f>VLOOKUP(Misfit[[#This Row],[Shortname]], Comp[], 28, FALSE)</f>
        <v>0</v>
      </c>
      <c r="AG205">
        <f>VLOOKUP(Misfit[[#This Row],[Shortname]], Comp[], 29, FALSE)</f>
        <v>0</v>
      </c>
      <c r="AH205">
        <f>VLOOKUP(Misfit[[#This Row],[Shortname]], Comp[], 30, FALSE)</f>
        <v>0</v>
      </c>
      <c r="AI205">
        <f>VLOOKUP(Misfit[[#This Row],[Shortname]], Comp[], 31, FALSE)</f>
        <v>0</v>
      </c>
    </row>
    <row r="206" spans="1:35" x14ac:dyDescent="0.3">
      <c r="A206" t="s">
        <v>2443</v>
      </c>
      <c r="B206" s="7" t="s">
        <v>2354</v>
      </c>
      <c r="C206" s="6" t="s">
        <v>3985</v>
      </c>
      <c r="D206" s="6">
        <v>900</v>
      </c>
      <c r="E206">
        <v>700</v>
      </c>
      <c r="H206" s="40">
        <v>5.8199999999999997E-3</v>
      </c>
      <c r="I206" t="s">
        <v>6632</v>
      </c>
      <c r="J206">
        <f>VLOOKUP(Misfit[[#This Row],[Shortname]], Comp[], 6, FALSE)</f>
        <v>323</v>
      </c>
      <c r="K206">
        <f>VLOOKUP(Misfit[[#This Row],[Shortname]], Comp[], 7, FALSE)</f>
        <v>83.5</v>
      </c>
      <c r="L206">
        <f>VLOOKUP(Misfit[[#This Row],[Shortname]], Comp[], 8, FALSE)</f>
        <v>0</v>
      </c>
      <c r="M206">
        <f>VLOOKUP(Misfit[[#This Row],[Shortname]], Comp[], 9, FALSE)</f>
        <v>9.9</v>
      </c>
      <c r="N206">
        <f>VLOOKUP(Misfit[[#This Row],[Shortname]], Comp[], 10, FALSE)</f>
        <v>0</v>
      </c>
      <c r="O206">
        <f>VLOOKUP(Misfit[[#This Row],[Shortname]], Comp[], 11, FALSE)</f>
        <v>4.8</v>
      </c>
      <c r="P206">
        <f>VLOOKUP(Misfit[[#This Row],[Shortname]], Comp[],12, FALSE)</f>
        <v>0</v>
      </c>
      <c r="Q206">
        <f>VLOOKUP(Misfit[[#This Row],[Shortname]], Comp[], 13, FALSE)</f>
        <v>1.8</v>
      </c>
      <c r="R206">
        <f>VLOOKUP(Misfit[[#This Row],[Shortname]], Comp[], 14, FALSE)</f>
        <v>0</v>
      </c>
      <c r="S206">
        <f>VLOOKUP(Misfit[[#This Row],[Shortname]], Comp[], 15, FALSE)</f>
        <v>0</v>
      </c>
      <c r="T206">
        <f>VLOOKUP(Misfit[[#This Row],[Shortname]], Comp[], 16, FALSE)</f>
        <v>0</v>
      </c>
      <c r="U206">
        <f>VLOOKUP(Misfit[[#This Row],[Shortname]], Comp[], 17, FALSE)</f>
        <v>0</v>
      </c>
      <c r="V206">
        <f>VLOOKUP(Misfit[[#This Row],[Shortname]], Comp[], 18, FALSE)</f>
        <v>0</v>
      </c>
      <c r="W206">
        <f>VLOOKUP(Misfit[[#This Row],[Shortname]], Comp[], 19, FALSE)</f>
        <v>0</v>
      </c>
      <c r="X206">
        <f>VLOOKUP(Misfit[[#This Row],[Shortname]], Comp[], 20, FALSE)</f>
        <v>0</v>
      </c>
      <c r="Y206">
        <f>VLOOKUP(Misfit[[#This Row],[Shortname]], Comp[], 21, FALSE)</f>
        <v>0</v>
      </c>
      <c r="Z206">
        <f>VLOOKUP(Misfit[[#This Row],[Shortname]], Comp[], 22, FALSE)</f>
        <v>0</v>
      </c>
      <c r="AA206">
        <f>VLOOKUP(Misfit[[#This Row],[Shortname]], Comp[], 23, FALSE)</f>
        <v>0</v>
      </c>
      <c r="AB206">
        <f>VLOOKUP(Misfit[[#This Row],[Shortname]], Comp[], 24, FALSE)</f>
        <v>0</v>
      </c>
      <c r="AC206">
        <f>VLOOKUP(Misfit[[#This Row],[Shortname]], Comp[], 25, FALSE)</f>
        <v>0</v>
      </c>
      <c r="AD206">
        <f>VLOOKUP(Misfit[[#This Row],[Shortname]], Comp[], 26, FALSE)</f>
        <v>0</v>
      </c>
      <c r="AE206">
        <f>VLOOKUP(Misfit[[#This Row],[Shortname]], Comp[], 27, FALSE)</f>
        <v>0</v>
      </c>
      <c r="AF206">
        <f>VLOOKUP(Misfit[[#This Row],[Shortname]], Comp[], 28, FALSE)</f>
        <v>0</v>
      </c>
      <c r="AG206">
        <f>VLOOKUP(Misfit[[#This Row],[Shortname]], Comp[], 29, FALSE)</f>
        <v>0</v>
      </c>
      <c r="AH206">
        <f>VLOOKUP(Misfit[[#This Row],[Shortname]], Comp[], 30, FALSE)</f>
        <v>0</v>
      </c>
      <c r="AI206">
        <f>VLOOKUP(Misfit[[#This Row],[Shortname]], Comp[], 31, FALSE)</f>
        <v>0</v>
      </c>
    </row>
    <row r="207" spans="1:35" x14ac:dyDescent="0.3">
      <c r="A207" t="s">
        <v>2443</v>
      </c>
      <c r="B207" s="7" t="s">
        <v>2354</v>
      </c>
      <c r="C207" s="6" t="s">
        <v>3985</v>
      </c>
      <c r="D207" s="6">
        <v>900</v>
      </c>
      <c r="E207">
        <v>750</v>
      </c>
      <c r="H207" s="40">
        <v>5.79E-3</v>
      </c>
      <c r="I207" t="s">
        <v>6632</v>
      </c>
      <c r="J207">
        <f>VLOOKUP(Misfit[[#This Row],[Shortname]], Comp[], 6, FALSE)</f>
        <v>323</v>
      </c>
      <c r="K207">
        <f>VLOOKUP(Misfit[[#This Row],[Shortname]], Comp[], 7, FALSE)</f>
        <v>83.5</v>
      </c>
      <c r="L207">
        <f>VLOOKUP(Misfit[[#This Row],[Shortname]], Comp[], 8, FALSE)</f>
        <v>0</v>
      </c>
      <c r="M207">
        <f>VLOOKUP(Misfit[[#This Row],[Shortname]], Comp[], 9, FALSE)</f>
        <v>9.9</v>
      </c>
      <c r="N207">
        <f>VLOOKUP(Misfit[[#This Row],[Shortname]], Comp[], 10, FALSE)</f>
        <v>0</v>
      </c>
      <c r="O207">
        <f>VLOOKUP(Misfit[[#This Row],[Shortname]], Comp[], 11, FALSE)</f>
        <v>4.8</v>
      </c>
      <c r="P207">
        <f>VLOOKUP(Misfit[[#This Row],[Shortname]], Comp[],12, FALSE)</f>
        <v>0</v>
      </c>
      <c r="Q207">
        <f>VLOOKUP(Misfit[[#This Row],[Shortname]], Comp[], 13, FALSE)</f>
        <v>1.8</v>
      </c>
      <c r="R207">
        <f>VLOOKUP(Misfit[[#This Row],[Shortname]], Comp[], 14, FALSE)</f>
        <v>0</v>
      </c>
      <c r="S207">
        <f>VLOOKUP(Misfit[[#This Row],[Shortname]], Comp[], 15, FALSE)</f>
        <v>0</v>
      </c>
      <c r="T207">
        <f>VLOOKUP(Misfit[[#This Row],[Shortname]], Comp[], 16, FALSE)</f>
        <v>0</v>
      </c>
      <c r="U207">
        <f>VLOOKUP(Misfit[[#This Row],[Shortname]], Comp[], 17, FALSE)</f>
        <v>0</v>
      </c>
      <c r="V207">
        <f>VLOOKUP(Misfit[[#This Row],[Shortname]], Comp[], 18, FALSE)</f>
        <v>0</v>
      </c>
      <c r="W207">
        <f>VLOOKUP(Misfit[[#This Row],[Shortname]], Comp[], 19, FALSE)</f>
        <v>0</v>
      </c>
      <c r="X207">
        <f>VLOOKUP(Misfit[[#This Row],[Shortname]], Comp[], 20, FALSE)</f>
        <v>0</v>
      </c>
      <c r="Y207">
        <f>VLOOKUP(Misfit[[#This Row],[Shortname]], Comp[], 21, FALSE)</f>
        <v>0</v>
      </c>
      <c r="Z207">
        <f>VLOOKUP(Misfit[[#This Row],[Shortname]], Comp[], 22, FALSE)</f>
        <v>0</v>
      </c>
      <c r="AA207">
        <f>VLOOKUP(Misfit[[#This Row],[Shortname]], Comp[], 23, FALSE)</f>
        <v>0</v>
      </c>
      <c r="AB207">
        <f>VLOOKUP(Misfit[[#This Row],[Shortname]], Comp[], 24, FALSE)</f>
        <v>0</v>
      </c>
      <c r="AC207">
        <f>VLOOKUP(Misfit[[#This Row],[Shortname]], Comp[], 25, FALSE)</f>
        <v>0</v>
      </c>
      <c r="AD207">
        <f>VLOOKUP(Misfit[[#This Row],[Shortname]], Comp[], 26, FALSE)</f>
        <v>0</v>
      </c>
      <c r="AE207">
        <f>VLOOKUP(Misfit[[#This Row],[Shortname]], Comp[], 27, FALSE)</f>
        <v>0</v>
      </c>
      <c r="AF207">
        <f>VLOOKUP(Misfit[[#This Row],[Shortname]], Comp[], 28, FALSE)</f>
        <v>0</v>
      </c>
      <c r="AG207">
        <f>VLOOKUP(Misfit[[#This Row],[Shortname]], Comp[], 29, FALSE)</f>
        <v>0</v>
      </c>
      <c r="AH207">
        <f>VLOOKUP(Misfit[[#This Row],[Shortname]], Comp[], 30, FALSE)</f>
        <v>0</v>
      </c>
      <c r="AI207">
        <f>VLOOKUP(Misfit[[#This Row],[Shortname]], Comp[], 31, FALSE)</f>
        <v>0</v>
      </c>
    </row>
    <row r="208" spans="1:35" x14ac:dyDescent="0.3">
      <c r="A208" t="s">
        <v>3982</v>
      </c>
      <c r="B208" s="7" t="s">
        <v>3984</v>
      </c>
      <c r="C208" s="6" t="s">
        <v>3985</v>
      </c>
      <c r="D208" s="6">
        <v>830</v>
      </c>
      <c r="E208">
        <v>25</v>
      </c>
      <c r="H208" s="40">
        <v>5.8999999999999999E-3</v>
      </c>
      <c r="I208" t="s">
        <v>6631</v>
      </c>
      <c r="J208">
        <f>VLOOKUP(Misfit[[#This Row],[Shortname]], Comp[], 6, FALSE)</f>
        <v>606</v>
      </c>
      <c r="K208">
        <f>VLOOKUP(Misfit[[#This Row],[Shortname]], Comp[], 7, FALSE)</f>
        <v>85.2</v>
      </c>
      <c r="L208">
        <f>VLOOKUP(Misfit[[#This Row],[Shortname]], Comp[], 8, FALSE)</f>
        <v>0</v>
      </c>
      <c r="M208">
        <f>VLOOKUP(Misfit[[#This Row],[Shortname]], Comp[], 9, FALSE)</f>
        <v>6.5</v>
      </c>
      <c r="N208">
        <f>VLOOKUP(Misfit[[#This Row],[Shortname]], Comp[], 10, FALSE)</f>
        <v>0</v>
      </c>
      <c r="O208">
        <f>VLOOKUP(Misfit[[#This Row],[Shortname]], Comp[], 11, FALSE)</f>
        <v>6</v>
      </c>
      <c r="P208">
        <f>VLOOKUP(Misfit[[#This Row],[Shortname]], Comp[],12, FALSE)</f>
        <v>2.2999999999999998</v>
      </c>
      <c r="Q208">
        <f>VLOOKUP(Misfit[[#This Row],[Shortname]], Comp[], 13, FALSE)</f>
        <v>0</v>
      </c>
      <c r="R208">
        <f>VLOOKUP(Misfit[[#This Row],[Shortname]], Comp[], 14, FALSE)</f>
        <v>0</v>
      </c>
      <c r="S208">
        <f>VLOOKUP(Misfit[[#This Row],[Shortname]], Comp[], 15, FALSE)</f>
        <v>0</v>
      </c>
      <c r="T208">
        <f>VLOOKUP(Misfit[[#This Row],[Shortname]], Comp[], 16, FALSE)</f>
        <v>0</v>
      </c>
      <c r="U208">
        <f>VLOOKUP(Misfit[[#This Row],[Shortname]], Comp[], 17, FALSE)</f>
        <v>0</v>
      </c>
      <c r="V208">
        <f>VLOOKUP(Misfit[[#This Row],[Shortname]], Comp[], 18, FALSE)</f>
        <v>0</v>
      </c>
      <c r="W208">
        <f>VLOOKUP(Misfit[[#This Row],[Shortname]], Comp[], 19, FALSE)</f>
        <v>0</v>
      </c>
      <c r="X208">
        <f>VLOOKUP(Misfit[[#This Row],[Shortname]], Comp[], 20, FALSE)</f>
        <v>0</v>
      </c>
      <c r="Y208">
        <f>VLOOKUP(Misfit[[#This Row],[Shortname]], Comp[], 21, FALSE)</f>
        <v>0</v>
      </c>
      <c r="Z208">
        <f>VLOOKUP(Misfit[[#This Row],[Shortname]], Comp[], 22, FALSE)</f>
        <v>0</v>
      </c>
      <c r="AA208">
        <f>VLOOKUP(Misfit[[#This Row],[Shortname]], Comp[], 23, FALSE)</f>
        <v>0</v>
      </c>
      <c r="AB208">
        <f>VLOOKUP(Misfit[[#This Row],[Shortname]], Comp[], 24, FALSE)</f>
        <v>0</v>
      </c>
      <c r="AC208">
        <f>VLOOKUP(Misfit[[#This Row],[Shortname]], Comp[], 25, FALSE)</f>
        <v>0</v>
      </c>
      <c r="AD208">
        <f>VLOOKUP(Misfit[[#This Row],[Shortname]], Comp[], 26, FALSE)</f>
        <v>0</v>
      </c>
      <c r="AE208">
        <f>VLOOKUP(Misfit[[#This Row],[Shortname]], Comp[], 27, FALSE)</f>
        <v>0</v>
      </c>
      <c r="AF208">
        <f>VLOOKUP(Misfit[[#This Row],[Shortname]], Comp[], 28, FALSE)</f>
        <v>0</v>
      </c>
      <c r="AG208">
        <f>VLOOKUP(Misfit[[#This Row],[Shortname]], Comp[], 29, FALSE)</f>
        <v>0</v>
      </c>
      <c r="AH208">
        <f>VLOOKUP(Misfit[[#This Row],[Shortname]], Comp[], 30, FALSE)</f>
        <v>0</v>
      </c>
      <c r="AI208">
        <f>VLOOKUP(Misfit[[#This Row],[Shortname]], Comp[], 31, FALSE)</f>
        <v>0</v>
      </c>
    </row>
    <row r="209" spans="1:35" x14ac:dyDescent="0.3">
      <c r="A209" t="s">
        <v>3982</v>
      </c>
      <c r="B209" s="7" t="s">
        <v>3984</v>
      </c>
      <c r="C209" s="6" t="s">
        <v>3985</v>
      </c>
      <c r="D209" s="6">
        <v>830</v>
      </c>
      <c r="E209" s="6">
        <v>300</v>
      </c>
      <c r="H209" s="40">
        <v>6.1700000000000001E-3</v>
      </c>
      <c r="I209" t="s">
        <v>6631</v>
      </c>
      <c r="J209">
        <f>VLOOKUP(Misfit[[#This Row],[Shortname]], Comp[], 6, FALSE)</f>
        <v>606</v>
      </c>
      <c r="K209">
        <f>VLOOKUP(Misfit[[#This Row],[Shortname]], Comp[], 7, FALSE)</f>
        <v>85.2</v>
      </c>
      <c r="L209">
        <f>VLOOKUP(Misfit[[#This Row],[Shortname]], Comp[], 8, FALSE)</f>
        <v>0</v>
      </c>
      <c r="M209">
        <f>VLOOKUP(Misfit[[#This Row],[Shortname]], Comp[], 9, FALSE)</f>
        <v>6.5</v>
      </c>
      <c r="N209">
        <f>VLOOKUP(Misfit[[#This Row],[Shortname]], Comp[], 10, FALSE)</f>
        <v>0</v>
      </c>
      <c r="O209">
        <f>VLOOKUP(Misfit[[#This Row],[Shortname]], Comp[], 11, FALSE)</f>
        <v>6</v>
      </c>
      <c r="P209">
        <f>VLOOKUP(Misfit[[#This Row],[Shortname]], Comp[],12, FALSE)</f>
        <v>2.2999999999999998</v>
      </c>
      <c r="Q209">
        <f>VLOOKUP(Misfit[[#This Row],[Shortname]], Comp[], 13, FALSE)</f>
        <v>0</v>
      </c>
      <c r="R209">
        <f>VLOOKUP(Misfit[[#This Row],[Shortname]], Comp[], 14, FALSE)</f>
        <v>0</v>
      </c>
      <c r="S209">
        <f>VLOOKUP(Misfit[[#This Row],[Shortname]], Comp[], 15, FALSE)</f>
        <v>0</v>
      </c>
      <c r="T209">
        <f>VLOOKUP(Misfit[[#This Row],[Shortname]], Comp[], 16, FALSE)</f>
        <v>0</v>
      </c>
      <c r="U209">
        <f>VLOOKUP(Misfit[[#This Row],[Shortname]], Comp[], 17, FALSE)</f>
        <v>0</v>
      </c>
      <c r="V209">
        <f>VLOOKUP(Misfit[[#This Row],[Shortname]], Comp[], 18, FALSE)</f>
        <v>0</v>
      </c>
      <c r="W209">
        <f>VLOOKUP(Misfit[[#This Row],[Shortname]], Comp[], 19, FALSE)</f>
        <v>0</v>
      </c>
      <c r="X209">
        <f>VLOOKUP(Misfit[[#This Row],[Shortname]], Comp[], 20, FALSE)</f>
        <v>0</v>
      </c>
      <c r="Y209">
        <f>VLOOKUP(Misfit[[#This Row],[Shortname]], Comp[], 21, FALSE)</f>
        <v>0</v>
      </c>
      <c r="Z209">
        <f>VLOOKUP(Misfit[[#This Row],[Shortname]], Comp[], 22, FALSE)</f>
        <v>0</v>
      </c>
      <c r="AA209">
        <f>VLOOKUP(Misfit[[#This Row],[Shortname]], Comp[], 23, FALSE)</f>
        <v>0</v>
      </c>
      <c r="AB209">
        <f>VLOOKUP(Misfit[[#This Row],[Shortname]], Comp[], 24, FALSE)</f>
        <v>0</v>
      </c>
      <c r="AC209">
        <f>VLOOKUP(Misfit[[#This Row],[Shortname]], Comp[], 25, FALSE)</f>
        <v>0</v>
      </c>
      <c r="AD209">
        <f>VLOOKUP(Misfit[[#This Row],[Shortname]], Comp[], 26, FALSE)</f>
        <v>0</v>
      </c>
      <c r="AE209">
        <f>VLOOKUP(Misfit[[#This Row],[Shortname]], Comp[], 27, FALSE)</f>
        <v>0</v>
      </c>
      <c r="AF209">
        <f>VLOOKUP(Misfit[[#This Row],[Shortname]], Comp[], 28, FALSE)</f>
        <v>0</v>
      </c>
      <c r="AG209">
        <f>VLOOKUP(Misfit[[#This Row],[Shortname]], Comp[], 29, FALSE)</f>
        <v>0</v>
      </c>
      <c r="AH209">
        <f>VLOOKUP(Misfit[[#This Row],[Shortname]], Comp[], 30, FALSE)</f>
        <v>0</v>
      </c>
      <c r="AI209">
        <f>VLOOKUP(Misfit[[#This Row],[Shortname]], Comp[], 31, FALSE)</f>
        <v>0</v>
      </c>
    </row>
    <row r="210" spans="1:35" x14ac:dyDescent="0.3">
      <c r="A210" t="s">
        <v>3982</v>
      </c>
      <c r="B210" s="7" t="s">
        <v>3984</v>
      </c>
      <c r="C210" s="6" t="s">
        <v>3985</v>
      </c>
      <c r="D210" s="6">
        <v>830</v>
      </c>
      <c r="E210" s="6">
        <v>400</v>
      </c>
      <c r="H210" s="40">
        <v>6.1700000000000001E-3</v>
      </c>
      <c r="I210" t="s">
        <v>6631</v>
      </c>
      <c r="J210">
        <f>VLOOKUP(Misfit[[#This Row],[Shortname]], Comp[], 6, FALSE)</f>
        <v>606</v>
      </c>
      <c r="K210">
        <f>VLOOKUP(Misfit[[#This Row],[Shortname]], Comp[], 7, FALSE)</f>
        <v>85.2</v>
      </c>
      <c r="L210">
        <f>VLOOKUP(Misfit[[#This Row],[Shortname]], Comp[], 8, FALSE)</f>
        <v>0</v>
      </c>
      <c r="M210">
        <f>VLOOKUP(Misfit[[#This Row],[Shortname]], Comp[], 9, FALSE)</f>
        <v>6.5</v>
      </c>
      <c r="N210">
        <f>VLOOKUP(Misfit[[#This Row],[Shortname]], Comp[], 10, FALSE)</f>
        <v>0</v>
      </c>
      <c r="O210">
        <f>VLOOKUP(Misfit[[#This Row],[Shortname]], Comp[], 11, FALSE)</f>
        <v>6</v>
      </c>
      <c r="P210">
        <f>VLOOKUP(Misfit[[#This Row],[Shortname]], Comp[],12, FALSE)</f>
        <v>2.2999999999999998</v>
      </c>
      <c r="Q210">
        <f>VLOOKUP(Misfit[[#This Row],[Shortname]], Comp[], 13, FALSE)</f>
        <v>0</v>
      </c>
      <c r="R210">
        <f>VLOOKUP(Misfit[[#This Row],[Shortname]], Comp[], 14, FALSE)</f>
        <v>0</v>
      </c>
      <c r="S210">
        <f>VLOOKUP(Misfit[[#This Row],[Shortname]], Comp[], 15, FALSE)</f>
        <v>0</v>
      </c>
      <c r="T210">
        <f>VLOOKUP(Misfit[[#This Row],[Shortname]], Comp[], 16, FALSE)</f>
        <v>0</v>
      </c>
      <c r="U210">
        <f>VLOOKUP(Misfit[[#This Row],[Shortname]], Comp[], 17, FALSE)</f>
        <v>0</v>
      </c>
      <c r="V210">
        <f>VLOOKUP(Misfit[[#This Row],[Shortname]], Comp[], 18, FALSE)</f>
        <v>0</v>
      </c>
      <c r="W210">
        <f>VLOOKUP(Misfit[[#This Row],[Shortname]], Comp[], 19, FALSE)</f>
        <v>0</v>
      </c>
      <c r="X210">
        <f>VLOOKUP(Misfit[[#This Row],[Shortname]], Comp[], 20, FALSE)</f>
        <v>0</v>
      </c>
      <c r="Y210">
        <f>VLOOKUP(Misfit[[#This Row],[Shortname]], Comp[], 21, FALSE)</f>
        <v>0</v>
      </c>
      <c r="Z210">
        <f>VLOOKUP(Misfit[[#This Row],[Shortname]], Comp[], 22, FALSE)</f>
        <v>0</v>
      </c>
      <c r="AA210">
        <f>VLOOKUP(Misfit[[#This Row],[Shortname]], Comp[], 23, FALSE)</f>
        <v>0</v>
      </c>
      <c r="AB210">
        <f>VLOOKUP(Misfit[[#This Row],[Shortname]], Comp[], 24, FALSE)</f>
        <v>0</v>
      </c>
      <c r="AC210">
        <f>VLOOKUP(Misfit[[#This Row],[Shortname]], Comp[], 25, FALSE)</f>
        <v>0</v>
      </c>
      <c r="AD210">
        <f>VLOOKUP(Misfit[[#This Row],[Shortname]], Comp[], 26, FALSE)</f>
        <v>0</v>
      </c>
      <c r="AE210">
        <f>VLOOKUP(Misfit[[#This Row],[Shortname]], Comp[], 27, FALSE)</f>
        <v>0</v>
      </c>
      <c r="AF210">
        <f>VLOOKUP(Misfit[[#This Row],[Shortname]], Comp[], 28, FALSE)</f>
        <v>0</v>
      </c>
      <c r="AG210">
        <f>VLOOKUP(Misfit[[#This Row],[Shortname]], Comp[], 29, FALSE)</f>
        <v>0</v>
      </c>
      <c r="AH210">
        <f>VLOOKUP(Misfit[[#This Row],[Shortname]], Comp[], 30, FALSE)</f>
        <v>0</v>
      </c>
      <c r="AI210">
        <f>VLOOKUP(Misfit[[#This Row],[Shortname]], Comp[], 31, FALSE)</f>
        <v>0</v>
      </c>
    </row>
    <row r="211" spans="1:35" x14ac:dyDescent="0.3">
      <c r="A211" t="s">
        <v>3982</v>
      </c>
      <c r="B211" s="7" t="s">
        <v>3984</v>
      </c>
      <c r="C211" s="6" t="s">
        <v>3985</v>
      </c>
      <c r="D211" s="6">
        <v>830</v>
      </c>
      <c r="E211" s="6">
        <v>500</v>
      </c>
      <c r="H211" s="40">
        <v>6.1700000000000001E-3</v>
      </c>
      <c r="I211" t="s">
        <v>6631</v>
      </c>
      <c r="J211">
        <f>VLOOKUP(Misfit[[#This Row],[Shortname]], Comp[], 6, FALSE)</f>
        <v>606</v>
      </c>
      <c r="K211">
        <f>VLOOKUP(Misfit[[#This Row],[Shortname]], Comp[], 7, FALSE)</f>
        <v>85.2</v>
      </c>
      <c r="L211">
        <f>VLOOKUP(Misfit[[#This Row],[Shortname]], Comp[], 8, FALSE)</f>
        <v>0</v>
      </c>
      <c r="M211">
        <f>VLOOKUP(Misfit[[#This Row],[Shortname]], Comp[], 9, FALSE)</f>
        <v>6.5</v>
      </c>
      <c r="N211">
        <f>VLOOKUP(Misfit[[#This Row],[Shortname]], Comp[], 10, FALSE)</f>
        <v>0</v>
      </c>
      <c r="O211">
        <f>VLOOKUP(Misfit[[#This Row],[Shortname]], Comp[], 11, FALSE)</f>
        <v>6</v>
      </c>
      <c r="P211">
        <f>VLOOKUP(Misfit[[#This Row],[Shortname]], Comp[],12, FALSE)</f>
        <v>2.2999999999999998</v>
      </c>
      <c r="Q211">
        <f>VLOOKUP(Misfit[[#This Row],[Shortname]], Comp[], 13, FALSE)</f>
        <v>0</v>
      </c>
      <c r="R211">
        <f>VLOOKUP(Misfit[[#This Row],[Shortname]], Comp[], 14, FALSE)</f>
        <v>0</v>
      </c>
      <c r="S211">
        <f>VLOOKUP(Misfit[[#This Row],[Shortname]], Comp[], 15, FALSE)</f>
        <v>0</v>
      </c>
      <c r="T211">
        <f>VLOOKUP(Misfit[[#This Row],[Shortname]], Comp[], 16, FALSE)</f>
        <v>0</v>
      </c>
      <c r="U211">
        <f>VLOOKUP(Misfit[[#This Row],[Shortname]], Comp[], 17, FALSE)</f>
        <v>0</v>
      </c>
      <c r="V211">
        <f>VLOOKUP(Misfit[[#This Row],[Shortname]], Comp[], 18, FALSE)</f>
        <v>0</v>
      </c>
      <c r="W211">
        <f>VLOOKUP(Misfit[[#This Row],[Shortname]], Comp[], 19, FALSE)</f>
        <v>0</v>
      </c>
      <c r="X211">
        <f>VLOOKUP(Misfit[[#This Row],[Shortname]], Comp[], 20, FALSE)</f>
        <v>0</v>
      </c>
      <c r="Y211">
        <f>VLOOKUP(Misfit[[#This Row],[Shortname]], Comp[], 21, FALSE)</f>
        <v>0</v>
      </c>
      <c r="Z211">
        <f>VLOOKUP(Misfit[[#This Row],[Shortname]], Comp[], 22, FALSE)</f>
        <v>0</v>
      </c>
      <c r="AA211">
        <f>VLOOKUP(Misfit[[#This Row],[Shortname]], Comp[], 23, FALSE)</f>
        <v>0</v>
      </c>
      <c r="AB211">
        <f>VLOOKUP(Misfit[[#This Row],[Shortname]], Comp[], 24, FALSE)</f>
        <v>0</v>
      </c>
      <c r="AC211">
        <f>VLOOKUP(Misfit[[#This Row],[Shortname]], Comp[], 25, FALSE)</f>
        <v>0</v>
      </c>
      <c r="AD211">
        <f>VLOOKUP(Misfit[[#This Row],[Shortname]], Comp[], 26, FALSE)</f>
        <v>0</v>
      </c>
      <c r="AE211">
        <f>VLOOKUP(Misfit[[#This Row],[Shortname]], Comp[], 27, FALSE)</f>
        <v>0</v>
      </c>
      <c r="AF211">
        <f>VLOOKUP(Misfit[[#This Row],[Shortname]], Comp[], 28, FALSE)</f>
        <v>0</v>
      </c>
      <c r="AG211">
        <f>VLOOKUP(Misfit[[#This Row],[Shortname]], Comp[], 29, FALSE)</f>
        <v>0</v>
      </c>
      <c r="AH211">
        <f>VLOOKUP(Misfit[[#This Row],[Shortname]], Comp[], 30, FALSE)</f>
        <v>0</v>
      </c>
      <c r="AI211">
        <f>VLOOKUP(Misfit[[#This Row],[Shortname]], Comp[], 31, FALSE)</f>
        <v>0</v>
      </c>
    </row>
    <row r="212" spans="1:35" x14ac:dyDescent="0.3">
      <c r="A212" t="s">
        <v>3982</v>
      </c>
      <c r="B212" s="7" t="s">
        <v>3984</v>
      </c>
      <c r="C212" s="6" t="s">
        <v>3985</v>
      </c>
      <c r="D212" s="6">
        <v>830</v>
      </c>
      <c r="E212" s="6">
        <v>600</v>
      </c>
      <c r="H212" s="40">
        <v>6.1700000000000001E-3</v>
      </c>
      <c r="I212" t="s">
        <v>6631</v>
      </c>
      <c r="J212">
        <f>VLOOKUP(Misfit[[#This Row],[Shortname]], Comp[], 6, FALSE)</f>
        <v>606</v>
      </c>
      <c r="K212">
        <f>VLOOKUP(Misfit[[#This Row],[Shortname]], Comp[], 7, FALSE)</f>
        <v>85.2</v>
      </c>
      <c r="L212">
        <f>VLOOKUP(Misfit[[#This Row],[Shortname]], Comp[], 8, FALSE)</f>
        <v>0</v>
      </c>
      <c r="M212">
        <f>VLOOKUP(Misfit[[#This Row],[Shortname]], Comp[], 9, FALSE)</f>
        <v>6.5</v>
      </c>
      <c r="N212">
        <f>VLOOKUP(Misfit[[#This Row],[Shortname]], Comp[], 10, FALSE)</f>
        <v>0</v>
      </c>
      <c r="O212">
        <f>VLOOKUP(Misfit[[#This Row],[Shortname]], Comp[], 11, FALSE)</f>
        <v>6</v>
      </c>
      <c r="P212">
        <f>VLOOKUP(Misfit[[#This Row],[Shortname]], Comp[],12, FALSE)</f>
        <v>2.2999999999999998</v>
      </c>
      <c r="Q212">
        <f>VLOOKUP(Misfit[[#This Row],[Shortname]], Comp[], 13, FALSE)</f>
        <v>0</v>
      </c>
      <c r="R212">
        <f>VLOOKUP(Misfit[[#This Row],[Shortname]], Comp[], 14, FALSE)</f>
        <v>0</v>
      </c>
      <c r="S212">
        <f>VLOOKUP(Misfit[[#This Row],[Shortname]], Comp[], 15, FALSE)</f>
        <v>0</v>
      </c>
      <c r="T212">
        <f>VLOOKUP(Misfit[[#This Row],[Shortname]], Comp[], 16, FALSE)</f>
        <v>0</v>
      </c>
      <c r="U212">
        <f>VLOOKUP(Misfit[[#This Row],[Shortname]], Comp[], 17, FALSE)</f>
        <v>0</v>
      </c>
      <c r="V212">
        <f>VLOOKUP(Misfit[[#This Row],[Shortname]], Comp[], 18, FALSE)</f>
        <v>0</v>
      </c>
      <c r="W212">
        <f>VLOOKUP(Misfit[[#This Row],[Shortname]], Comp[], 19, FALSE)</f>
        <v>0</v>
      </c>
      <c r="X212">
        <f>VLOOKUP(Misfit[[#This Row],[Shortname]], Comp[], 20, FALSE)</f>
        <v>0</v>
      </c>
      <c r="Y212">
        <f>VLOOKUP(Misfit[[#This Row],[Shortname]], Comp[], 21, FALSE)</f>
        <v>0</v>
      </c>
      <c r="Z212">
        <f>VLOOKUP(Misfit[[#This Row],[Shortname]], Comp[], 22, FALSE)</f>
        <v>0</v>
      </c>
      <c r="AA212">
        <f>VLOOKUP(Misfit[[#This Row],[Shortname]], Comp[], 23, FALSE)</f>
        <v>0</v>
      </c>
      <c r="AB212">
        <f>VLOOKUP(Misfit[[#This Row],[Shortname]], Comp[], 24, FALSE)</f>
        <v>0</v>
      </c>
      <c r="AC212">
        <f>VLOOKUP(Misfit[[#This Row],[Shortname]], Comp[], 25, FALSE)</f>
        <v>0</v>
      </c>
      <c r="AD212">
        <f>VLOOKUP(Misfit[[#This Row],[Shortname]], Comp[], 26, FALSE)</f>
        <v>0</v>
      </c>
      <c r="AE212">
        <f>VLOOKUP(Misfit[[#This Row],[Shortname]], Comp[], 27, FALSE)</f>
        <v>0</v>
      </c>
      <c r="AF212">
        <f>VLOOKUP(Misfit[[#This Row],[Shortname]], Comp[], 28, FALSE)</f>
        <v>0</v>
      </c>
      <c r="AG212">
        <f>VLOOKUP(Misfit[[#This Row],[Shortname]], Comp[], 29, FALSE)</f>
        <v>0</v>
      </c>
      <c r="AH212">
        <f>VLOOKUP(Misfit[[#This Row],[Shortname]], Comp[], 30, FALSE)</f>
        <v>0</v>
      </c>
      <c r="AI212">
        <f>VLOOKUP(Misfit[[#This Row],[Shortname]], Comp[], 31, FALSE)</f>
        <v>0</v>
      </c>
    </row>
    <row r="213" spans="1:35" x14ac:dyDescent="0.3">
      <c r="A213" t="s">
        <v>3982</v>
      </c>
      <c r="B213" s="7" t="s">
        <v>3984</v>
      </c>
      <c r="C213" s="6" t="s">
        <v>3985</v>
      </c>
      <c r="D213" s="6">
        <v>830</v>
      </c>
      <c r="E213" s="6">
        <v>700</v>
      </c>
      <c r="H213" s="40">
        <v>6.1700000000000001E-3</v>
      </c>
      <c r="I213" t="s">
        <v>6631</v>
      </c>
      <c r="J213">
        <f>VLOOKUP(Misfit[[#This Row],[Shortname]], Comp[], 6, FALSE)</f>
        <v>606</v>
      </c>
      <c r="K213">
        <f>VLOOKUP(Misfit[[#This Row],[Shortname]], Comp[], 7, FALSE)</f>
        <v>85.2</v>
      </c>
      <c r="L213">
        <f>VLOOKUP(Misfit[[#This Row],[Shortname]], Comp[], 8, FALSE)</f>
        <v>0</v>
      </c>
      <c r="M213">
        <f>VLOOKUP(Misfit[[#This Row],[Shortname]], Comp[], 9, FALSE)</f>
        <v>6.5</v>
      </c>
      <c r="N213">
        <f>VLOOKUP(Misfit[[#This Row],[Shortname]], Comp[], 10, FALSE)</f>
        <v>0</v>
      </c>
      <c r="O213">
        <f>VLOOKUP(Misfit[[#This Row],[Shortname]], Comp[], 11, FALSE)</f>
        <v>6</v>
      </c>
      <c r="P213">
        <f>VLOOKUP(Misfit[[#This Row],[Shortname]], Comp[],12, FALSE)</f>
        <v>2.2999999999999998</v>
      </c>
      <c r="Q213">
        <f>VLOOKUP(Misfit[[#This Row],[Shortname]], Comp[], 13, FALSE)</f>
        <v>0</v>
      </c>
      <c r="R213">
        <f>VLOOKUP(Misfit[[#This Row],[Shortname]], Comp[], 14, FALSE)</f>
        <v>0</v>
      </c>
      <c r="S213">
        <f>VLOOKUP(Misfit[[#This Row],[Shortname]], Comp[], 15, FALSE)</f>
        <v>0</v>
      </c>
      <c r="T213">
        <f>VLOOKUP(Misfit[[#This Row],[Shortname]], Comp[], 16, FALSE)</f>
        <v>0</v>
      </c>
      <c r="U213">
        <f>VLOOKUP(Misfit[[#This Row],[Shortname]], Comp[], 17, FALSE)</f>
        <v>0</v>
      </c>
      <c r="V213">
        <f>VLOOKUP(Misfit[[#This Row],[Shortname]], Comp[], 18, FALSE)</f>
        <v>0</v>
      </c>
      <c r="W213">
        <f>VLOOKUP(Misfit[[#This Row],[Shortname]], Comp[], 19, FALSE)</f>
        <v>0</v>
      </c>
      <c r="X213">
        <f>VLOOKUP(Misfit[[#This Row],[Shortname]], Comp[], 20, FALSE)</f>
        <v>0</v>
      </c>
      <c r="Y213">
        <f>VLOOKUP(Misfit[[#This Row],[Shortname]], Comp[], 21, FALSE)</f>
        <v>0</v>
      </c>
      <c r="Z213">
        <f>VLOOKUP(Misfit[[#This Row],[Shortname]], Comp[], 22, FALSE)</f>
        <v>0</v>
      </c>
      <c r="AA213">
        <f>VLOOKUP(Misfit[[#This Row],[Shortname]], Comp[], 23, FALSE)</f>
        <v>0</v>
      </c>
      <c r="AB213">
        <f>VLOOKUP(Misfit[[#This Row],[Shortname]], Comp[], 24, FALSE)</f>
        <v>0</v>
      </c>
      <c r="AC213">
        <f>VLOOKUP(Misfit[[#This Row],[Shortname]], Comp[], 25, FALSE)</f>
        <v>0</v>
      </c>
      <c r="AD213">
        <f>VLOOKUP(Misfit[[#This Row],[Shortname]], Comp[], 26, FALSE)</f>
        <v>0</v>
      </c>
      <c r="AE213">
        <f>VLOOKUP(Misfit[[#This Row],[Shortname]], Comp[], 27, FALSE)</f>
        <v>0</v>
      </c>
      <c r="AF213">
        <f>VLOOKUP(Misfit[[#This Row],[Shortname]], Comp[], 28, FALSE)</f>
        <v>0</v>
      </c>
      <c r="AG213">
        <f>VLOOKUP(Misfit[[#This Row],[Shortname]], Comp[], 29, FALSE)</f>
        <v>0</v>
      </c>
      <c r="AH213">
        <f>VLOOKUP(Misfit[[#This Row],[Shortname]], Comp[], 30, FALSE)</f>
        <v>0</v>
      </c>
      <c r="AI213">
        <f>VLOOKUP(Misfit[[#This Row],[Shortname]], Comp[], 31, FALSE)</f>
        <v>0</v>
      </c>
    </row>
    <row r="214" spans="1:35" x14ac:dyDescent="0.3">
      <c r="A214" t="s">
        <v>3982</v>
      </c>
      <c r="B214" s="7" t="s">
        <v>3984</v>
      </c>
      <c r="C214" s="6" t="s">
        <v>3985</v>
      </c>
      <c r="D214" s="6">
        <v>830</v>
      </c>
      <c r="E214" s="6">
        <v>800</v>
      </c>
      <c r="H214" s="40">
        <v>5.1800000000000006E-3</v>
      </c>
      <c r="I214" t="s">
        <v>6631</v>
      </c>
      <c r="J214">
        <f>VLOOKUP(Misfit[[#This Row],[Shortname]], Comp[], 6, FALSE)</f>
        <v>606</v>
      </c>
      <c r="K214">
        <f>VLOOKUP(Misfit[[#This Row],[Shortname]], Comp[], 7, FALSE)</f>
        <v>85.2</v>
      </c>
      <c r="L214">
        <f>VLOOKUP(Misfit[[#This Row],[Shortname]], Comp[], 8, FALSE)</f>
        <v>0</v>
      </c>
      <c r="M214">
        <f>VLOOKUP(Misfit[[#This Row],[Shortname]], Comp[], 9, FALSE)</f>
        <v>6.5</v>
      </c>
      <c r="N214">
        <f>VLOOKUP(Misfit[[#This Row],[Shortname]], Comp[], 10, FALSE)</f>
        <v>0</v>
      </c>
      <c r="O214">
        <f>VLOOKUP(Misfit[[#This Row],[Shortname]], Comp[], 11, FALSE)</f>
        <v>6</v>
      </c>
      <c r="P214">
        <f>VLOOKUP(Misfit[[#This Row],[Shortname]], Comp[],12, FALSE)</f>
        <v>2.2999999999999998</v>
      </c>
      <c r="Q214">
        <f>VLOOKUP(Misfit[[#This Row],[Shortname]], Comp[], 13, FALSE)</f>
        <v>0</v>
      </c>
      <c r="R214">
        <f>VLOOKUP(Misfit[[#This Row],[Shortname]], Comp[], 14, FALSE)</f>
        <v>0</v>
      </c>
      <c r="S214">
        <f>VLOOKUP(Misfit[[#This Row],[Shortname]], Comp[], 15, FALSE)</f>
        <v>0</v>
      </c>
      <c r="T214">
        <f>VLOOKUP(Misfit[[#This Row],[Shortname]], Comp[], 16, FALSE)</f>
        <v>0</v>
      </c>
      <c r="U214">
        <f>VLOOKUP(Misfit[[#This Row],[Shortname]], Comp[], 17, FALSE)</f>
        <v>0</v>
      </c>
      <c r="V214">
        <f>VLOOKUP(Misfit[[#This Row],[Shortname]], Comp[], 18, FALSE)</f>
        <v>0</v>
      </c>
      <c r="W214">
        <f>VLOOKUP(Misfit[[#This Row],[Shortname]], Comp[], 19, FALSE)</f>
        <v>0</v>
      </c>
      <c r="X214">
        <f>VLOOKUP(Misfit[[#This Row],[Shortname]], Comp[], 20, FALSE)</f>
        <v>0</v>
      </c>
      <c r="Y214">
        <f>VLOOKUP(Misfit[[#This Row],[Shortname]], Comp[], 21, FALSE)</f>
        <v>0</v>
      </c>
      <c r="Z214">
        <f>VLOOKUP(Misfit[[#This Row],[Shortname]], Comp[], 22, FALSE)</f>
        <v>0</v>
      </c>
      <c r="AA214">
        <f>VLOOKUP(Misfit[[#This Row],[Shortname]], Comp[], 23, FALSE)</f>
        <v>0</v>
      </c>
      <c r="AB214">
        <f>VLOOKUP(Misfit[[#This Row],[Shortname]], Comp[], 24, FALSE)</f>
        <v>0</v>
      </c>
      <c r="AC214">
        <f>VLOOKUP(Misfit[[#This Row],[Shortname]], Comp[], 25, FALSE)</f>
        <v>0</v>
      </c>
      <c r="AD214">
        <f>VLOOKUP(Misfit[[#This Row],[Shortname]], Comp[], 26, FALSE)</f>
        <v>0</v>
      </c>
      <c r="AE214">
        <f>VLOOKUP(Misfit[[#This Row],[Shortname]], Comp[], 27, FALSE)</f>
        <v>0</v>
      </c>
      <c r="AF214">
        <f>VLOOKUP(Misfit[[#This Row],[Shortname]], Comp[], 28, FALSE)</f>
        <v>0</v>
      </c>
      <c r="AG214">
        <f>VLOOKUP(Misfit[[#This Row],[Shortname]], Comp[], 29, FALSE)</f>
        <v>0</v>
      </c>
      <c r="AH214">
        <f>VLOOKUP(Misfit[[#This Row],[Shortname]], Comp[], 30, FALSE)</f>
        <v>0</v>
      </c>
      <c r="AI214">
        <f>VLOOKUP(Misfit[[#This Row],[Shortname]], Comp[], 31, FALSE)</f>
        <v>0</v>
      </c>
    </row>
    <row r="215" spans="1:35" x14ac:dyDescent="0.3">
      <c r="A215" t="s">
        <v>3997</v>
      </c>
      <c r="B215" s="7" t="s">
        <v>3899</v>
      </c>
      <c r="C215" s="6" t="s">
        <v>3985</v>
      </c>
      <c r="D215" s="6">
        <v>830</v>
      </c>
      <c r="E215">
        <v>25</v>
      </c>
      <c r="H215" s="40">
        <v>3.3300000000000001E-3</v>
      </c>
      <c r="I215" t="s">
        <v>6632</v>
      </c>
      <c r="J215">
        <f>VLOOKUP(Misfit[[#This Row],[Shortname]], Comp[], 6, FALSE)</f>
        <v>608</v>
      </c>
      <c r="K215">
        <f>VLOOKUP(Misfit[[#This Row],[Shortname]], Comp[], 7, FALSE)</f>
        <v>85.4</v>
      </c>
      <c r="L215">
        <f>VLOOKUP(Misfit[[#This Row],[Shortname]], Comp[], 8, FALSE)</f>
        <v>0</v>
      </c>
      <c r="M215">
        <f>VLOOKUP(Misfit[[#This Row],[Shortname]], Comp[], 9, FALSE)</f>
        <v>6.4</v>
      </c>
      <c r="N215">
        <f>VLOOKUP(Misfit[[#This Row],[Shortname]], Comp[], 10, FALSE)</f>
        <v>0</v>
      </c>
      <c r="O215">
        <f>VLOOKUP(Misfit[[#This Row],[Shortname]], Comp[], 11, FALSE)</f>
        <v>6</v>
      </c>
      <c r="P215">
        <f>VLOOKUP(Misfit[[#This Row],[Shortname]], Comp[],12, FALSE)</f>
        <v>2.2000000000000002</v>
      </c>
      <c r="Q215">
        <f>VLOOKUP(Misfit[[#This Row],[Shortname]], Comp[], 13, FALSE)</f>
        <v>0</v>
      </c>
      <c r="R215">
        <f>VLOOKUP(Misfit[[#This Row],[Shortname]], Comp[], 14, FALSE)</f>
        <v>0</v>
      </c>
      <c r="S215">
        <f>VLOOKUP(Misfit[[#This Row],[Shortname]], Comp[], 15, FALSE)</f>
        <v>0</v>
      </c>
      <c r="T215">
        <f>VLOOKUP(Misfit[[#This Row],[Shortname]], Comp[], 16, FALSE)</f>
        <v>0</v>
      </c>
      <c r="U215">
        <f>VLOOKUP(Misfit[[#This Row],[Shortname]], Comp[], 17, FALSE)</f>
        <v>0</v>
      </c>
      <c r="V215">
        <f>VLOOKUP(Misfit[[#This Row],[Shortname]], Comp[], 18, FALSE)</f>
        <v>0</v>
      </c>
      <c r="W215">
        <f>VLOOKUP(Misfit[[#This Row],[Shortname]], Comp[], 19, FALSE)</f>
        <v>0</v>
      </c>
      <c r="X215">
        <f>VLOOKUP(Misfit[[#This Row],[Shortname]], Comp[], 20, FALSE)</f>
        <v>0</v>
      </c>
      <c r="Y215">
        <f>VLOOKUP(Misfit[[#This Row],[Shortname]], Comp[], 21, FALSE)</f>
        <v>0</v>
      </c>
      <c r="Z215">
        <f>VLOOKUP(Misfit[[#This Row],[Shortname]], Comp[], 22, FALSE)</f>
        <v>0</v>
      </c>
      <c r="AA215">
        <f>VLOOKUP(Misfit[[#This Row],[Shortname]], Comp[], 23, FALSE)</f>
        <v>0</v>
      </c>
      <c r="AB215">
        <f>VLOOKUP(Misfit[[#This Row],[Shortname]], Comp[], 24, FALSE)</f>
        <v>0</v>
      </c>
      <c r="AC215">
        <f>VLOOKUP(Misfit[[#This Row],[Shortname]], Comp[], 25, FALSE)</f>
        <v>0</v>
      </c>
      <c r="AD215">
        <f>VLOOKUP(Misfit[[#This Row],[Shortname]], Comp[], 26, FALSE)</f>
        <v>0</v>
      </c>
      <c r="AE215">
        <f>VLOOKUP(Misfit[[#This Row],[Shortname]], Comp[], 27, FALSE)</f>
        <v>0</v>
      </c>
      <c r="AF215">
        <f>VLOOKUP(Misfit[[#This Row],[Shortname]], Comp[], 28, FALSE)</f>
        <v>0</v>
      </c>
      <c r="AG215">
        <f>VLOOKUP(Misfit[[#This Row],[Shortname]], Comp[], 29, FALSE)</f>
        <v>0</v>
      </c>
      <c r="AH215">
        <f>VLOOKUP(Misfit[[#This Row],[Shortname]], Comp[], 30, FALSE)</f>
        <v>0</v>
      </c>
      <c r="AI215">
        <f>VLOOKUP(Misfit[[#This Row],[Shortname]], Comp[], 31, FALSE)</f>
        <v>0</v>
      </c>
    </row>
    <row r="216" spans="1:35" x14ac:dyDescent="0.3">
      <c r="A216" t="s">
        <v>3997</v>
      </c>
      <c r="B216" s="7" t="s">
        <v>3899</v>
      </c>
      <c r="C216" s="6" t="s">
        <v>3985</v>
      </c>
      <c r="D216" s="6">
        <v>830</v>
      </c>
      <c r="E216">
        <v>100</v>
      </c>
      <c r="H216" s="40">
        <v>3.4299999999999999E-3</v>
      </c>
      <c r="I216" t="s">
        <v>6632</v>
      </c>
      <c r="J216">
        <f>VLOOKUP(Misfit[[#This Row],[Shortname]], Comp[], 6, FALSE)</f>
        <v>608</v>
      </c>
      <c r="K216">
        <f>VLOOKUP(Misfit[[#This Row],[Shortname]], Comp[], 7, FALSE)</f>
        <v>85.4</v>
      </c>
      <c r="L216">
        <f>VLOOKUP(Misfit[[#This Row],[Shortname]], Comp[], 8, FALSE)</f>
        <v>0</v>
      </c>
      <c r="M216">
        <f>VLOOKUP(Misfit[[#This Row],[Shortname]], Comp[], 9, FALSE)</f>
        <v>6.4</v>
      </c>
      <c r="N216">
        <f>VLOOKUP(Misfit[[#This Row],[Shortname]], Comp[], 10, FALSE)</f>
        <v>0</v>
      </c>
      <c r="O216">
        <f>VLOOKUP(Misfit[[#This Row],[Shortname]], Comp[], 11, FALSE)</f>
        <v>6</v>
      </c>
      <c r="P216">
        <f>VLOOKUP(Misfit[[#This Row],[Shortname]], Comp[],12, FALSE)</f>
        <v>2.2000000000000002</v>
      </c>
      <c r="Q216">
        <f>VLOOKUP(Misfit[[#This Row],[Shortname]], Comp[], 13, FALSE)</f>
        <v>0</v>
      </c>
      <c r="R216">
        <f>VLOOKUP(Misfit[[#This Row],[Shortname]], Comp[], 14, FALSE)</f>
        <v>0</v>
      </c>
      <c r="S216">
        <f>VLOOKUP(Misfit[[#This Row],[Shortname]], Comp[], 15, FALSE)</f>
        <v>0</v>
      </c>
      <c r="T216">
        <f>VLOOKUP(Misfit[[#This Row],[Shortname]], Comp[], 16, FALSE)</f>
        <v>0</v>
      </c>
      <c r="U216">
        <f>VLOOKUP(Misfit[[#This Row],[Shortname]], Comp[], 17, FALSE)</f>
        <v>0</v>
      </c>
      <c r="V216">
        <f>VLOOKUP(Misfit[[#This Row],[Shortname]], Comp[], 18, FALSE)</f>
        <v>0</v>
      </c>
      <c r="W216">
        <f>VLOOKUP(Misfit[[#This Row],[Shortname]], Comp[], 19, FALSE)</f>
        <v>0</v>
      </c>
      <c r="X216">
        <f>VLOOKUP(Misfit[[#This Row],[Shortname]], Comp[], 20, FALSE)</f>
        <v>0</v>
      </c>
      <c r="Y216">
        <f>VLOOKUP(Misfit[[#This Row],[Shortname]], Comp[], 21, FALSE)</f>
        <v>0</v>
      </c>
      <c r="Z216">
        <f>VLOOKUP(Misfit[[#This Row],[Shortname]], Comp[], 22, FALSE)</f>
        <v>0</v>
      </c>
      <c r="AA216">
        <f>VLOOKUP(Misfit[[#This Row],[Shortname]], Comp[], 23, FALSE)</f>
        <v>0</v>
      </c>
      <c r="AB216">
        <f>VLOOKUP(Misfit[[#This Row],[Shortname]], Comp[], 24, FALSE)</f>
        <v>0</v>
      </c>
      <c r="AC216">
        <f>VLOOKUP(Misfit[[#This Row],[Shortname]], Comp[], 25, FALSE)</f>
        <v>0</v>
      </c>
      <c r="AD216">
        <f>VLOOKUP(Misfit[[#This Row],[Shortname]], Comp[], 26, FALSE)</f>
        <v>0</v>
      </c>
      <c r="AE216">
        <f>VLOOKUP(Misfit[[#This Row],[Shortname]], Comp[], 27, FALSE)</f>
        <v>0</v>
      </c>
      <c r="AF216">
        <f>VLOOKUP(Misfit[[#This Row],[Shortname]], Comp[], 28, FALSE)</f>
        <v>0</v>
      </c>
      <c r="AG216">
        <f>VLOOKUP(Misfit[[#This Row],[Shortname]], Comp[], 29, FALSE)</f>
        <v>0</v>
      </c>
      <c r="AH216">
        <f>VLOOKUP(Misfit[[#This Row],[Shortname]], Comp[], 30, FALSE)</f>
        <v>0</v>
      </c>
      <c r="AI216">
        <f>VLOOKUP(Misfit[[#This Row],[Shortname]], Comp[], 31, FALSE)</f>
        <v>0</v>
      </c>
    </row>
    <row r="217" spans="1:35" x14ac:dyDescent="0.3">
      <c r="A217" t="s">
        <v>3997</v>
      </c>
      <c r="B217" s="7" t="s">
        <v>3899</v>
      </c>
      <c r="C217" s="6" t="s">
        <v>3985</v>
      </c>
      <c r="D217" s="6">
        <v>830</v>
      </c>
      <c r="E217">
        <v>150</v>
      </c>
      <c r="H217" s="40">
        <v>3.6099999999999999E-3</v>
      </c>
      <c r="I217" t="s">
        <v>6632</v>
      </c>
      <c r="J217">
        <f>VLOOKUP(Misfit[[#This Row],[Shortname]], Comp[], 6, FALSE)</f>
        <v>608</v>
      </c>
      <c r="K217">
        <f>VLOOKUP(Misfit[[#This Row],[Shortname]], Comp[], 7, FALSE)</f>
        <v>85.4</v>
      </c>
      <c r="L217">
        <f>VLOOKUP(Misfit[[#This Row],[Shortname]], Comp[], 8, FALSE)</f>
        <v>0</v>
      </c>
      <c r="M217">
        <f>VLOOKUP(Misfit[[#This Row],[Shortname]], Comp[], 9, FALSE)</f>
        <v>6.4</v>
      </c>
      <c r="N217">
        <f>VLOOKUP(Misfit[[#This Row],[Shortname]], Comp[], 10, FALSE)</f>
        <v>0</v>
      </c>
      <c r="O217">
        <f>VLOOKUP(Misfit[[#This Row],[Shortname]], Comp[], 11, FALSE)</f>
        <v>6</v>
      </c>
      <c r="P217">
        <f>VLOOKUP(Misfit[[#This Row],[Shortname]], Comp[],12, FALSE)</f>
        <v>2.2000000000000002</v>
      </c>
      <c r="Q217">
        <f>VLOOKUP(Misfit[[#This Row],[Shortname]], Comp[], 13, FALSE)</f>
        <v>0</v>
      </c>
      <c r="R217">
        <f>VLOOKUP(Misfit[[#This Row],[Shortname]], Comp[], 14, FALSE)</f>
        <v>0</v>
      </c>
      <c r="S217">
        <f>VLOOKUP(Misfit[[#This Row],[Shortname]], Comp[], 15, FALSE)</f>
        <v>0</v>
      </c>
      <c r="T217">
        <f>VLOOKUP(Misfit[[#This Row],[Shortname]], Comp[], 16, FALSE)</f>
        <v>0</v>
      </c>
      <c r="U217">
        <f>VLOOKUP(Misfit[[#This Row],[Shortname]], Comp[], 17, FALSE)</f>
        <v>0</v>
      </c>
      <c r="V217">
        <f>VLOOKUP(Misfit[[#This Row],[Shortname]], Comp[], 18, FALSE)</f>
        <v>0</v>
      </c>
      <c r="W217">
        <f>VLOOKUP(Misfit[[#This Row],[Shortname]], Comp[], 19, FALSE)</f>
        <v>0</v>
      </c>
      <c r="X217">
        <f>VLOOKUP(Misfit[[#This Row],[Shortname]], Comp[], 20, FALSE)</f>
        <v>0</v>
      </c>
      <c r="Y217">
        <f>VLOOKUP(Misfit[[#This Row],[Shortname]], Comp[], 21, FALSE)</f>
        <v>0</v>
      </c>
      <c r="Z217">
        <f>VLOOKUP(Misfit[[#This Row],[Shortname]], Comp[], 22, FALSE)</f>
        <v>0</v>
      </c>
      <c r="AA217">
        <f>VLOOKUP(Misfit[[#This Row],[Shortname]], Comp[], 23, FALSE)</f>
        <v>0</v>
      </c>
      <c r="AB217">
        <f>VLOOKUP(Misfit[[#This Row],[Shortname]], Comp[], 24, FALSE)</f>
        <v>0</v>
      </c>
      <c r="AC217">
        <f>VLOOKUP(Misfit[[#This Row],[Shortname]], Comp[], 25, FALSE)</f>
        <v>0</v>
      </c>
      <c r="AD217">
        <f>VLOOKUP(Misfit[[#This Row],[Shortname]], Comp[], 26, FALSE)</f>
        <v>0</v>
      </c>
      <c r="AE217">
        <f>VLOOKUP(Misfit[[#This Row],[Shortname]], Comp[], 27, FALSE)</f>
        <v>0</v>
      </c>
      <c r="AF217">
        <f>VLOOKUP(Misfit[[#This Row],[Shortname]], Comp[], 28, FALSE)</f>
        <v>0</v>
      </c>
      <c r="AG217">
        <f>VLOOKUP(Misfit[[#This Row],[Shortname]], Comp[], 29, FALSE)</f>
        <v>0</v>
      </c>
      <c r="AH217">
        <f>VLOOKUP(Misfit[[#This Row],[Shortname]], Comp[], 30, FALSE)</f>
        <v>0</v>
      </c>
      <c r="AI217">
        <f>VLOOKUP(Misfit[[#This Row],[Shortname]], Comp[], 31, FALSE)</f>
        <v>0</v>
      </c>
    </row>
    <row r="218" spans="1:35" x14ac:dyDescent="0.3">
      <c r="A218" t="s">
        <v>3997</v>
      </c>
      <c r="B218" s="7" t="s">
        <v>3899</v>
      </c>
      <c r="C218" s="6" t="s">
        <v>3985</v>
      </c>
      <c r="D218" s="6">
        <v>830</v>
      </c>
      <c r="E218">
        <v>200</v>
      </c>
      <c r="H218" s="40">
        <v>3.8400000000000001E-3</v>
      </c>
      <c r="I218" t="s">
        <v>6632</v>
      </c>
      <c r="J218">
        <f>VLOOKUP(Misfit[[#This Row],[Shortname]], Comp[], 6, FALSE)</f>
        <v>608</v>
      </c>
      <c r="K218">
        <f>VLOOKUP(Misfit[[#This Row],[Shortname]], Comp[], 7, FALSE)</f>
        <v>85.4</v>
      </c>
      <c r="L218">
        <f>VLOOKUP(Misfit[[#This Row],[Shortname]], Comp[], 8, FALSE)</f>
        <v>0</v>
      </c>
      <c r="M218">
        <f>VLOOKUP(Misfit[[#This Row],[Shortname]], Comp[], 9, FALSE)</f>
        <v>6.4</v>
      </c>
      <c r="N218">
        <f>VLOOKUP(Misfit[[#This Row],[Shortname]], Comp[], 10, FALSE)</f>
        <v>0</v>
      </c>
      <c r="O218">
        <f>VLOOKUP(Misfit[[#This Row],[Shortname]], Comp[], 11, FALSE)</f>
        <v>6</v>
      </c>
      <c r="P218">
        <f>VLOOKUP(Misfit[[#This Row],[Shortname]], Comp[],12, FALSE)</f>
        <v>2.2000000000000002</v>
      </c>
      <c r="Q218">
        <f>VLOOKUP(Misfit[[#This Row],[Shortname]], Comp[], 13, FALSE)</f>
        <v>0</v>
      </c>
      <c r="R218">
        <f>VLOOKUP(Misfit[[#This Row],[Shortname]], Comp[], 14, FALSE)</f>
        <v>0</v>
      </c>
      <c r="S218">
        <f>VLOOKUP(Misfit[[#This Row],[Shortname]], Comp[], 15, FALSE)</f>
        <v>0</v>
      </c>
      <c r="T218">
        <f>VLOOKUP(Misfit[[#This Row],[Shortname]], Comp[], 16, FALSE)</f>
        <v>0</v>
      </c>
      <c r="U218">
        <f>VLOOKUP(Misfit[[#This Row],[Shortname]], Comp[], 17, FALSE)</f>
        <v>0</v>
      </c>
      <c r="V218">
        <f>VLOOKUP(Misfit[[#This Row],[Shortname]], Comp[], 18, FALSE)</f>
        <v>0</v>
      </c>
      <c r="W218">
        <f>VLOOKUP(Misfit[[#This Row],[Shortname]], Comp[], 19, FALSE)</f>
        <v>0</v>
      </c>
      <c r="X218">
        <f>VLOOKUP(Misfit[[#This Row],[Shortname]], Comp[], 20, FALSE)</f>
        <v>0</v>
      </c>
      <c r="Y218">
        <f>VLOOKUP(Misfit[[#This Row],[Shortname]], Comp[], 21, FALSE)</f>
        <v>0</v>
      </c>
      <c r="Z218">
        <f>VLOOKUP(Misfit[[#This Row],[Shortname]], Comp[], 22, FALSE)</f>
        <v>0</v>
      </c>
      <c r="AA218">
        <f>VLOOKUP(Misfit[[#This Row],[Shortname]], Comp[], 23, FALSE)</f>
        <v>0</v>
      </c>
      <c r="AB218">
        <f>VLOOKUP(Misfit[[#This Row],[Shortname]], Comp[], 24, FALSE)</f>
        <v>0</v>
      </c>
      <c r="AC218">
        <f>VLOOKUP(Misfit[[#This Row],[Shortname]], Comp[], 25, FALSE)</f>
        <v>0</v>
      </c>
      <c r="AD218">
        <f>VLOOKUP(Misfit[[#This Row],[Shortname]], Comp[], 26, FALSE)</f>
        <v>0</v>
      </c>
      <c r="AE218">
        <f>VLOOKUP(Misfit[[#This Row],[Shortname]], Comp[], 27, FALSE)</f>
        <v>0</v>
      </c>
      <c r="AF218">
        <f>VLOOKUP(Misfit[[#This Row],[Shortname]], Comp[], 28, FALSE)</f>
        <v>0</v>
      </c>
      <c r="AG218">
        <f>VLOOKUP(Misfit[[#This Row],[Shortname]], Comp[], 29, FALSE)</f>
        <v>0</v>
      </c>
      <c r="AH218">
        <f>VLOOKUP(Misfit[[#This Row],[Shortname]], Comp[], 30, FALSE)</f>
        <v>0</v>
      </c>
      <c r="AI218">
        <f>VLOOKUP(Misfit[[#This Row],[Shortname]], Comp[], 31, FALSE)</f>
        <v>0</v>
      </c>
    </row>
    <row r="219" spans="1:35" x14ac:dyDescent="0.3">
      <c r="A219" t="s">
        <v>3997</v>
      </c>
      <c r="B219" s="7" t="s">
        <v>3899</v>
      </c>
      <c r="C219" s="6" t="s">
        <v>3985</v>
      </c>
      <c r="D219" s="6">
        <v>830</v>
      </c>
      <c r="E219">
        <v>250</v>
      </c>
      <c r="H219" s="40">
        <v>3.8899999999999998E-3</v>
      </c>
      <c r="I219" t="s">
        <v>6632</v>
      </c>
      <c r="J219">
        <f>VLOOKUP(Misfit[[#This Row],[Shortname]], Comp[], 6, FALSE)</f>
        <v>608</v>
      </c>
      <c r="K219">
        <f>VLOOKUP(Misfit[[#This Row],[Shortname]], Comp[], 7, FALSE)</f>
        <v>85.4</v>
      </c>
      <c r="L219">
        <f>VLOOKUP(Misfit[[#This Row],[Shortname]], Comp[], 8, FALSE)</f>
        <v>0</v>
      </c>
      <c r="M219">
        <f>VLOOKUP(Misfit[[#This Row],[Shortname]], Comp[], 9, FALSE)</f>
        <v>6.4</v>
      </c>
      <c r="N219">
        <f>VLOOKUP(Misfit[[#This Row],[Shortname]], Comp[], 10, FALSE)</f>
        <v>0</v>
      </c>
      <c r="O219">
        <f>VLOOKUP(Misfit[[#This Row],[Shortname]], Comp[], 11, FALSE)</f>
        <v>6</v>
      </c>
      <c r="P219">
        <f>VLOOKUP(Misfit[[#This Row],[Shortname]], Comp[],12, FALSE)</f>
        <v>2.2000000000000002</v>
      </c>
      <c r="Q219">
        <f>VLOOKUP(Misfit[[#This Row],[Shortname]], Comp[], 13, FALSE)</f>
        <v>0</v>
      </c>
      <c r="R219">
        <f>VLOOKUP(Misfit[[#This Row],[Shortname]], Comp[], 14, FALSE)</f>
        <v>0</v>
      </c>
      <c r="S219">
        <f>VLOOKUP(Misfit[[#This Row],[Shortname]], Comp[], 15, FALSE)</f>
        <v>0</v>
      </c>
      <c r="T219">
        <f>VLOOKUP(Misfit[[#This Row],[Shortname]], Comp[], 16, FALSE)</f>
        <v>0</v>
      </c>
      <c r="U219">
        <f>VLOOKUP(Misfit[[#This Row],[Shortname]], Comp[], 17, FALSE)</f>
        <v>0</v>
      </c>
      <c r="V219">
        <f>VLOOKUP(Misfit[[#This Row],[Shortname]], Comp[], 18, FALSE)</f>
        <v>0</v>
      </c>
      <c r="W219">
        <f>VLOOKUP(Misfit[[#This Row],[Shortname]], Comp[], 19, FALSE)</f>
        <v>0</v>
      </c>
      <c r="X219">
        <f>VLOOKUP(Misfit[[#This Row],[Shortname]], Comp[], 20, FALSE)</f>
        <v>0</v>
      </c>
      <c r="Y219">
        <f>VLOOKUP(Misfit[[#This Row],[Shortname]], Comp[], 21, FALSE)</f>
        <v>0</v>
      </c>
      <c r="Z219">
        <f>VLOOKUP(Misfit[[#This Row],[Shortname]], Comp[], 22, FALSE)</f>
        <v>0</v>
      </c>
      <c r="AA219">
        <f>VLOOKUP(Misfit[[#This Row],[Shortname]], Comp[], 23, FALSE)</f>
        <v>0</v>
      </c>
      <c r="AB219">
        <f>VLOOKUP(Misfit[[#This Row],[Shortname]], Comp[], 24, FALSE)</f>
        <v>0</v>
      </c>
      <c r="AC219">
        <f>VLOOKUP(Misfit[[#This Row],[Shortname]], Comp[], 25, FALSE)</f>
        <v>0</v>
      </c>
      <c r="AD219">
        <f>VLOOKUP(Misfit[[#This Row],[Shortname]], Comp[], 26, FALSE)</f>
        <v>0</v>
      </c>
      <c r="AE219">
        <f>VLOOKUP(Misfit[[#This Row],[Shortname]], Comp[], 27, FALSE)</f>
        <v>0</v>
      </c>
      <c r="AF219">
        <f>VLOOKUP(Misfit[[#This Row],[Shortname]], Comp[], 28, FALSE)</f>
        <v>0</v>
      </c>
      <c r="AG219">
        <f>VLOOKUP(Misfit[[#This Row],[Shortname]], Comp[], 29, FALSE)</f>
        <v>0</v>
      </c>
      <c r="AH219">
        <f>VLOOKUP(Misfit[[#This Row],[Shortname]], Comp[], 30, FALSE)</f>
        <v>0</v>
      </c>
      <c r="AI219">
        <f>VLOOKUP(Misfit[[#This Row],[Shortname]], Comp[], 31, FALSE)</f>
        <v>0</v>
      </c>
    </row>
    <row r="220" spans="1:35" x14ac:dyDescent="0.3">
      <c r="A220" t="s">
        <v>3997</v>
      </c>
      <c r="B220" s="7" t="s">
        <v>3899</v>
      </c>
      <c r="C220" s="6" t="s">
        <v>3985</v>
      </c>
      <c r="D220" s="6">
        <v>830</v>
      </c>
      <c r="E220">
        <v>300</v>
      </c>
      <c r="H220" s="40">
        <v>4.0000000000000001E-3</v>
      </c>
      <c r="I220" t="s">
        <v>6632</v>
      </c>
      <c r="J220">
        <f>VLOOKUP(Misfit[[#This Row],[Shortname]], Comp[], 6, FALSE)</f>
        <v>608</v>
      </c>
      <c r="K220">
        <f>VLOOKUP(Misfit[[#This Row],[Shortname]], Comp[], 7, FALSE)</f>
        <v>85.4</v>
      </c>
      <c r="L220">
        <f>VLOOKUP(Misfit[[#This Row],[Shortname]], Comp[], 8, FALSE)</f>
        <v>0</v>
      </c>
      <c r="M220">
        <f>VLOOKUP(Misfit[[#This Row],[Shortname]], Comp[], 9, FALSE)</f>
        <v>6.4</v>
      </c>
      <c r="N220">
        <f>VLOOKUP(Misfit[[#This Row],[Shortname]], Comp[], 10, FALSE)</f>
        <v>0</v>
      </c>
      <c r="O220">
        <f>VLOOKUP(Misfit[[#This Row],[Shortname]], Comp[], 11, FALSE)</f>
        <v>6</v>
      </c>
      <c r="P220">
        <f>VLOOKUP(Misfit[[#This Row],[Shortname]], Comp[],12, FALSE)</f>
        <v>2.2000000000000002</v>
      </c>
      <c r="Q220">
        <f>VLOOKUP(Misfit[[#This Row],[Shortname]], Comp[], 13, FALSE)</f>
        <v>0</v>
      </c>
      <c r="R220">
        <f>VLOOKUP(Misfit[[#This Row],[Shortname]], Comp[], 14, FALSE)</f>
        <v>0</v>
      </c>
      <c r="S220">
        <f>VLOOKUP(Misfit[[#This Row],[Shortname]], Comp[], 15, FALSE)</f>
        <v>0</v>
      </c>
      <c r="T220">
        <f>VLOOKUP(Misfit[[#This Row],[Shortname]], Comp[], 16, FALSE)</f>
        <v>0</v>
      </c>
      <c r="U220">
        <f>VLOOKUP(Misfit[[#This Row],[Shortname]], Comp[], 17, FALSE)</f>
        <v>0</v>
      </c>
      <c r="V220">
        <f>VLOOKUP(Misfit[[#This Row],[Shortname]], Comp[], 18, FALSE)</f>
        <v>0</v>
      </c>
      <c r="W220">
        <f>VLOOKUP(Misfit[[#This Row],[Shortname]], Comp[], 19, FALSE)</f>
        <v>0</v>
      </c>
      <c r="X220">
        <f>VLOOKUP(Misfit[[#This Row],[Shortname]], Comp[], 20, FALSE)</f>
        <v>0</v>
      </c>
      <c r="Y220">
        <f>VLOOKUP(Misfit[[#This Row],[Shortname]], Comp[], 21, FALSE)</f>
        <v>0</v>
      </c>
      <c r="Z220">
        <f>VLOOKUP(Misfit[[#This Row],[Shortname]], Comp[], 22, FALSE)</f>
        <v>0</v>
      </c>
      <c r="AA220">
        <f>VLOOKUP(Misfit[[#This Row],[Shortname]], Comp[], 23, FALSE)</f>
        <v>0</v>
      </c>
      <c r="AB220">
        <f>VLOOKUP(Misfit[[#This Row],[Shortname]], Comp[], 24, FALSE)</f>
        <v>0</v>
      </c>
      <c r="AC220">
        <f>VLOOKUP(Misfit[[#This Row],[Shortname]], Comp[], 25, FALSE)</f>
        <v>0</v>
      </c>
      <c r="AD220">
        <f>VLOOKUP(Misfit[[#This Row],[Shortname]], Comp[], 26, FALSE)</f>
        <v>0</v>
      </c>
      <c r="AE220">
        <f>VLOOKUP(Misfit[[#This Row],[Shortname]], Comp[], 27, FALSE)</f>
        <v>0</v>
      </c>
      <c r="AF220">
        <f>VLOOKUP(Misfit[[#This Row],[Shortname]], Comp[], 28, FALSE)</f>
        <v>0</v>
      </c>
      <c r="AG220">
        <f>VLOOKUP(Misfit[[#This Row],[Shortname]], Comp[], 29, FALSE)</f>
        <v>0</v>
      </c>
      <c r="AH220">
        <f>VLOOKUP(Misfit[[#This Row],[Shortname]], Comp[], 30, FALSE)</f>
        <v>0</v>
      </c>
      <c r="AI220">
        <f>VLOOKUP(Misfit[[#This Row],[Shortname]], Comp[], 31, FALSE)</f>
        <v>0</v>
      </c>
    </row>
    <row r="221" spans="1:35" x14ac:dyDescent="0.3">
      <c r="A221" t="s">
        <v>3997</v>
      </c>
      <c r="B221" s="7" t="s">
        <v>3899</v>
      </c>
      <c r="C221" s="6" t="s">
        <v>3985</v>
      </c>
      <c r="D221" s="6">
        <v>830</v>
      </c>
      <c r="E221">
        <v>350</v>
      </c>
      <c r="H221" s="40">
        <v>4.0400000000000002E-3</v>
      </c>
      <c r="I221" t="s">
        <v>6632</v>
      </c>
      <c r="J221">
        <f>VLOOKUP(Misfit[[#This Row],[Shortname]], Comp[], 6, FALSE)</f>
        <v>608</v>
      </c>
      <c r="K221">
        <f>VLOOKUP(Misfit[[#This Row],[Shortname]], Comp[], 7, FALSE)</f>
        <v>85.4</v>
      </c>
      <c r="L221">
        <f>VLOOKUP(Misfit[[#This Row],[Shortname]], Comp[], 8, FALSE)</f>
        <v>0</v>
      </c>
      <c r="M221">
        <f>VLOOKUP(Misfit[[#This Row],[Shortname]], Comp[], 9, FALSE)</f>
        <v>6.4</v>
      </c>
      <c r="N221">
        <f>VLOOKUP(Misfit[[#This Row],[Shortname]], Comp[], 10, FALSE)</f>
        <v>0</v>
      </c>
      <c r="O221">
        <f>VLOOKUP(Misfit[[#This Row],[Shortname]], Comp[], 11, FALSE)</f>
        <v>6</v>
      </c>
      <c r="P221">
        <f>VLOOKUP(Misfit[[#This Row],[Shortname]], Comp[],12, FALSE)</f>
        <v>2.2000000000000002</v>
      </c>
      <c r="Q221">
        <f>VLOOKUP(Misfit[[#This Row],[Shortname]], Comp[], 13, FALSE)</f>
        <v>0</v>
      </c>
      <c r="R221">
        <f>VLOOKUP(Misfit[[#This Row],[Shortname]], Comp[], 14, FALSE)</f>
        <v>0</v>
      </c>
      <c r="S221">
        <f>VLOOKUP(Misfit[[#This Row],[Shortname]], Comp[], 15, FALSE)</f>
        <v>0</v>
      </c>
      <c r="T221">
        <f>VLOOKUP(Misfit[[#This Row],[Shortname]], Comp[], 16, FALSE)</f>
        <v>0</v>
      </c>
      <c r="U221">
        <f>VLOOKUP(Misfit[[#This Row],[Shortname]], Comp[], 17, FALSE)</f>
        <v>0</v>
      </c>
      <c r="V221">
        <f>VLOOKUP(Misfit[[#This Row],[Shortname]], Comp[], 18, FALSE)</f>
        <v>0</v>
      </c>
      <c r="W221">
        <f>VLOOKUP(Misfit[[#This Row],[Shortname]], Comp[], 19, FALSE)</f>
        <v>0</v>
      </c>
      <c r="X221">
        <f>VLOOKUP(Misfit[[#This Row],[Shortname]], Comp[], 20, FALSE)</f>
        <v>0</v>
      </c>
      <c r="Y221">
        <f>VLOOKUP(Misfit[[#This Row],[Shortname]], Comp[], 21, FALSE)</f>
        <v>0</v>
      </c>
      <c r="Z221">
        <f>VLOOKUP(Misfit[[#This Row],[Shortname]], Comp[], 22, FALSE)</f>
        <v>0</v>
      </c>
      <c r="AA221">
        <f>VLOOKUP(Misfit[[#This Row],[Shortname]], Comp[], 23, FALSE)</f>
        <v>0</v>
      </c>
      <c r="AB221">
        <f>VLOOKUP(Misfit[[#This Row],[Shortname]], Comp[], 24, FALSE)</f>
        <v>0</v>
      </c>
      <c r="AC221">
        <f>VLOOKUP(Misfit[[#This Row],[Shortname]], Comp[], 25, FALSE)</f>
        <v>0</v>
      </c>
      <c r="AD221">
        <f>VLOOKUP(Misfit[[#This Row],[Shortname]], Comp[], 26, FALSE)</f>
        <v>0</v>
      </c>
      <c r="AE221">
        <f>VLOOKUP(Misfit[[#This Row],[Shortname]], Comp[], 27, FALSE)</f>
        <v>0</v>
      </c>
      <c r="AF221">
        <f>VLOOKUP(Misfit[[#This Row],[Shortname]], Comp[], 28, FALSE)</f>
        <v>0</v>
      </c>
      <c r="AG221">
        <f>VLOOKUP(Misfit[[#This Row],[Shortname]], Comp[], 29, FALSE)</f>
        <v>0</v>
      </c>
      <c r="AH221">
        <f>VLOOKUP(Misfit[[#This Row],[Shortname]], Comp[], 30, FALSE)</f>
        <v>0</v>
      </c>
      <c r="AI221">
        <f>VLOOKUP(Misfit[[#This Row],[Shortname]], Comp[], 31, FALSE)</f>
        <v>0</v>
      </c>
    </row>
    <row r="222" spans="1:35" x14ac:dyDescent="0.3">
      <c r="A222" t="s">
        <v>3997</v>
      </c>
      <c r="B222" s="7" t="s">
        <v>3899</v>
      </c>
      <c r="C222" s="6" t="s">
        <v>3985</v>
      </c>
      <c r="D222" s="6">
        <v>830</v>
      </c>
      <c r="E222">
        <v>400</v>
      </c>
      <c r="H222" s="40">
        <v>4.3899999999999998E-3</v>
      </c>
      <c r="I222" t="s">
        <v>6632</v>
      </c>
      <c r="J222">
        <f>VLOOKUP(Misfit[[#This Row],[Shortname]], Comp[], 6, FALSE)</f>
        <v>608</v>
      </c>
      <c r="K222">
        <f>VLOOKUP(Misfit[[#This Row],[Shortname]], Comp[], 7, FALSE)</f>
        <v>85.4</v>
      </c>
      <c r="L222">
        <f>VLOOKUP(Misfit[[#This Row],[Shortname]], Comp[], 8, FALSE)</f>
        <v>0</v>
      </c>
      <c r="M222">
        <f>VLOOKUP(Misfit[[#This Row],[Shortname]], Comp[], 9, FALSE)</f>
        <v>6.4</v>
      </c>
      <c r="N222">
        <f>VLOOKUP(Misfit[[#This Row],[Shortname]], Comp[], 10, FALSE)</f>
        <v>0</v>
      </c>
      <c r="O222">
        <f>VLOOKUP(Misfit[[#This Row],[Shortname]], Comp[], 11, FALSE)</f>
        <v>6</v>
      </c>
      <c r="P222">
        <f>VLOOKUP(Misfit[[#This Row],[Shortname]], Comp[],12, FALSE)</f>
        <v>2.2000000000000002</v>
      </c>
      <c r="Q222">
        <f>VLOOKUP(Misfit[[#This Row],[Shortname]], Comp[], 13, FALSE)</f>
        <v>0</v>
      </c>
      <c r="R222">
        <f>VLOOKUP(Misfit[[#This Row],[Shortname]], Comp[], 14, FALSE)</f>
        <v>0</v>
      </c>
      <c r="S222">
        <f>VLOOKUP(Misfit[[#This Row],[Shortname]], Comp[], 15, FALSE)</f>
        <v>0</v>
      </c>
      <c r="T222">
        <f>VLOOKUP(Misfit[[#This Row],[Shortname]], Comp[], 16, FALSE)</f>
        <v>0</v>
      </c>
      <c r="U222">
        <f>VLOOKUP(Misfit[[#This Row],[Shortname]], Comp[], 17, FALSE)</f>
        <v>0</v>
      </c>
      <c r="V222">
        <f>VLOOKUP(Misfit[[#This Row],[Shortname]], Comp[], 18, FALSE)</f>
        <v>0</v>
      </c>
      <c r="W222">
        <f>VLOOKUP(Misfit[[#This Row],[Shortname]], Comp[], 19, FALSE)</f>
        <v>0</v>
      </c>
      <c r="X222">
        <f>VLOOKUP(Misfit[[#This Row],[Shortname]], Comp[], 20, FALSE)</f>
        <v>0</v>
      </c>
      <c r="Y222">
        <f>VLOOKUP(Misfit[[#This Row],[Shortname]], Comp[], 21, FALSE)</f>
        <v>0</v>
      </c>
      <c r="Z222">
        <f>VLOOKUP(Misfit[[#This Row],[Shortname]], Comp[], 22, FALSE)</f>
        <v>0</v>
      </c>
      <c r="AA222">
        <f>VLOOKUP(Misfit[[#This Row],[Shortname]], Comp[], 23, FALSE)</f>
        <v>0</v>
      </c>
      <c r="AB222">
        <f>VLOOKUP(Misfit[[#This Row],[Shortname]], Comp[], 24, FALSE)</f>
        <v>0</v>
      </c>
      <c r="AC222">
        <f>VLOOKUP(Misfit[[#This Row],[Shortname]], Comp[], 25, FALSE)</f>
        <v>0</v>
      </c>
      <c r="AD222">
        <f>VLOOKUP(Misfit[[#This Row],[Shortname]], Comp[], 26, FALSE)</f>
        <v>0</v>
      </c>
      <c r="AE222">
        <f>VLOOKUP(Misfit[[#This Row],[Shortname]], Comp[], 27, FALSE)</f>
        <v>0</v>
      </c>
      <c r="AF222">
        <f>VLOOKUP(Misfit[[#This Row],[Shortname]], Comp[], 28, FALSE)</f>
        <v>0</v>
      </c>
      <c r="AG222">
        <f>VLOOKUP(Misfit[[#This Row],[Shortname]], Comp[], 29, FALSE)</f>
        <v>0</v>
      </c>
      <c r="AH222">
        <f>VLOOKUP(Misfit[[#This Row],[Shortname]], Comp[], 30, FALSE)</f>
        <v>0</v>
      </c>
      <c r="AI222">
        <f>VLOOKUP(Misfit[[#This Row],[Shortname]], Comp[], 31, FALSE)</f>
        <v>0</v>
      </c>
    </row>
    <row r="223" spans="1:35" x14ac:dyDescent="0.3">
      <c r="A223" t="s">
        <v>3997</v>
      </c>
      <c r="B223" s="7" t="s">
        <v>3899</v>
      </c>
      <c r="C223" s="6" t="s">
        <v>3985</v>
      </c>
      <c r="D223" s="6">
        <v>830</v>
      </c>
      <c r="E223">
        <v>450</v>
      </c>
      <c r="H223" s="40">
        <v>4.4200000000000003E-3</v>
      </c>
      <c r="I223" t="s">
        <v>6632</v>
      </c>
      <c r="J223">
        <f>VLOOKUP(Misfit[[#This Row],[Shortname]], Comp[], 6, FALSE)</f>
        <v>608</v>
      </c>
      <c r="K223">
        <f>VLOOKUP(Misfit[[#This Row],[Shortname]], Comp[], 7, FALSE)</f>
        <v>85.4</v>
      </c>
      <c r="L223">
        <f>VLOOKUP(Misfit[[#This Row],[Shortname]], Comp[], 8, FALSE)</f>
        <v>0</v>
      </c>
      <c r="M223">
        <f>VLOOKUP(Misfit[[#This Row],[Shortname]], Comp[], 9, FALSE)</f>
        <v>6.4</v>
      </c>
      <c r="N223">
        <f>VLOOKUP(Misfit[[#This Row],[Shortname]], Comp[], 10, FALSE)</f>
        <v>0</v>
      </c>
      <c r="O223">
        <f>VLOOKUP(Misfit[[#This Row],[Shortname]], Comp[], 11, FALSE)</f>
        <v>6</v>
      </c>
      <c r="P223">
        <f>VLOOKUP(Misfit[[#This Row],[Shortname]], Comp[],12, FALSE)</f>
        <v>2.2000000000000002</v>
      </c>
      <c r="Q223">
        <f>VLOOKUP(Misfit[[#This Row],[Shortname]], Comp[], 13, FALSE)</f>
        <v>0</v>
      </c>
      <c r="R223">
        <f>VLOOKUP(Misfit[[#This Row],[Shortname]], Comp[], 14, FALSE)</f>
        <v>0</v>
      </c>
      <c r="S223">
        <f>VLOOKUP(Misfit[[#This Row],[Shortname]], Comp[], 15, FALSE)</f>
        <v>0</v>
      </c>
      <c r="T223">
        <f>VLOOKUP(Misfit[[#This Row],[Shortname]], Comp[], 16, FALSE)</f>
        <v>0</v>
      </c>
      <c r="U223">
        <f>VLOOKUP(Misfit[[#This Row],[Shortname]], Comp[], 17, FALSE)</f>
        <v>0</v>
      </c>
      <c r="V223">
        <f>VLOOKUP(Misfit[[#This Row],[Shortname]], Comp[], 18, FALSE)</f>
        <v>0</v>
      </c>
      <c r="W223">
        <f>VLOOKUP(Misfit[[#This Row],[Shortname]], Comp[], 19, FALSE)</f>
        <v>0</v>
      </c>
      <c r="X223">
        <f>VLOOKUP(Misfit[[#This Row],[Shortname]], Comp[], 20, FALSE)</f>
        <v>0</v>
      </c>
      <c r="Y223">
        <f>VLOOKUP(Misfit[[#This Row],[Shortname]], Comp[], 21, FALSE)</f>
        <v>0</v>
      </c>
      <c r="Z223">
        <f>VLOOKUP(Misfit[[#This Row],[Shortname]], Comp[], 22, FALSE)</f>
        <v>0</v>
      </c>
      <c r="AA223">
        <f>VLOOKUP(Misfit[[#This Row],[Shortname]], Comp[], 23, FALSE)</f>
        <v>0</v>
      </c>
      <c r="AB223">
        <f>VLOOKUP(Misfit[[#This Row],[Shortname]], Comp[], 24, FALSE)</f>
        <v>0</v>
      </c>
      <c r="AC223">
        <f>VLOOKUP(Misfit[[#This Row],[Shortname]], Comp[], 25, FALSE)</f>
        <v>0</v>
      </c>
      <c r="AD223">
        <f>VLOOKUP(Misfit[[#This Row],[Shortname]], Comp[], 26, FALSE)</f>
        <v>0</v>
      </c>
      <c r="AE223">
        <f>VLOOKUP(Misfit[[#This Row],[Shortname]], Comp[], 27, FALSE)</f>
        <v>0</v>
      </c>
      <c r="AF223">
        <f>VLOOKUP(Misfit[[#This Row],[Shortname]], Comp[], 28, FALSE)</f>
        <v>0</v>
      </c>
      <c r="AG223">
        <f>VLOOKUP(Misfit[[#This Row],[Shortname]], Comp[], 29, FALSE)</f>
        <v>0</v>
      </c>
      <c r="AH223">
        <f>VLOOKUP(Misfit[[#This Row],[Shortname]], Comp[], 30, FALSE)</f>
        <v>0</v>
      </c>
      <c r="AI223">
        <f>VLOOKUP(Misfit[[#This Row],[Shortname]], Comp[], 31, FALSE)</f>
        <v>0</v>
      </c>
    </row>
    <row r="224" spans="1:35" x14ac:dyDescent="0.3">
      <c r="A224" t="s">
        <v>3997</v>
      </c>
      <c r="B224" s="7" t="s">
        <v>3899</v>
      </c>
      <c r="C224" s="6" t="s">
        <v>3985</v>
      </c>
      <c r="D224" s="6">
        <v>830</v>
      </c>
      <c r="E224">
        <v>500</v>
      </c>
      <c r="H224" s="40">
        <v>4.5599999999999998E-3</v>
      </c>
      <c r="I224" t="s">
        <v>6632</v>
      </c>
      <c r="J224">
        <f>VLOOKUP(Misfit[[#This Row],[Shortname]], Comp[], 6, FALSE)</f>
        <v>608</v>
      </c>
      <c r="K224">
        <f>VLOOKUP(Misfit[[#This Row],[Shortname]], Comp[], 7, FALSE)</f>
        <v>85.4</v>
      </c>
      <c r="L224">
        <f>VLOOKUP(Misfit[[#This Row],[Shortname]], Comp[], 8, FALSE)</f>
        <v>0</v>
      </c>
      <c r="M224">
        <f>VLOOKUP(Misfit[[#This Row],[Shortname]], Comp[], 9, FALSE)</f>
        <v>6.4</v>
      </c>
      <c r="N224">
        <f>VLOOKUP(Misfit[[#This Row],[Shortname]], Comp[], 10, FALSE)</f>
        <v>0</v>
      </c>
      <c r="O224">
        <f>VLOOKUP(Misfit[[#This Row],[Shortname]], Comp[], 11, FALSE)</f>
        <v>6</v>
      </c>
      <c r="P224">
        <f>VLOOKUP(Misfit[[#This Row],[Shortname]], Comp[],12, FALSE)</f>
        <v>2.2000000000000002</v>
      </c>
      <c r="Q224">
        <f>VLOOKUP(Misfit[[#This Row],[Shortname]], Comp[], 13, FALSE)</f>
        <v>0</v>
      </c>
      <c r="R224">
        <f>VLOOKUP(Misfit[[#This Row],[Shortname]], Comp[], 14, FALSE)</f>
        <v>0</v>
      </c>
      <c r="S224">
        <f>VLOOKUP(Misfit[[#This Row],[Shortname]], Comp[], 15, FALSE)</f>
        <v>0</v>
      </c>
      <c r="T224">
        <f>VLOOKUP(Misfit[[#This Row],[Shortname]], Comp[], 16, FALSE)</f>
        <v>0</v>
      </c>
      <c r="U224">
        <f>VLOOKUP(Misfit[[#This Row],[Shortname]], Comp[], 17, FALSE)</f>
        <v>0</v>
      </c>
      <c r="V224">
        <f>VLOOKUP(Misfit[[#This Row],[Shortname]], Comp[], 18, FALSE)</f>
        <v>0</v>
      </c>
      <c r="W224">
        <f>VLOOKUP(Misfit[[#This Row],[Shortname]], Comp[], 19, FALSE)</f>
        <v>0</v>
      </c>
      <c r="X224">
        <f>VLOOKUP(Misfit[[#This Row],[Shortname]], Comp[], 20, FALSE)</f>
        <v>0</v>
      </c>
      <c r="Y224">
        <f>VLOOKUP(Misfit[[#This Row],[Shortname]], Comp[], 21, FALSE)</f>
        <v>0</v>
      </c>
      <c r="Z224">
        <f>VLOOKUP(Misfit[[#This Row],[Shortname]], Comp[], 22, FALSE)</f>
        <v>0</v>
      </c>
      <c r="AA224">
        <f>VLOOKUP(Misfit[[#This Row],[Shortname]], Comp[], 23, FALSE)</f>
        <v>0</v>
      </c>
      <c r="AB224">
        <f>VLOOKUP(Misfit[[#This Row],[Shortname]], Comp[], 24, FALSE)</f>
        <v>0</v>
      </c>
      <c r="AC224">
        <f>VLOOKUP(Misfit[[#This Row],[Shortname]], Comp[], 25, FALSE)</f>
        <v>0</v>
      </c>
      <c r="AD224">
        <f>VLOOKUP(Misfit[[#This Row],[Shortname]], Comp[], 26, FALSE)</f>
        <v>0</v>
      </c>
      <c r="AE224">
        <f>VLOOKUP(Misfit[[#This Row],[Shortname]], Comp[], 27, FALSE)</f>
        <v>0</v>
      </c>
      <c r="AF224">
        <f>VLOOKUP(Misfit[[#This Row],[Shortname]], Comp[], 28, FALSE)</f>
        <v>0</v>
      </c>
      <c r="AG224">
        <f>VLOOKUP(Misfit[[#This Row],[Shortname]], Comp[], 29, FALSE)</f>
        <v>0</v>
      </c>
      <c r="AH224">
        <f>VLOOKUP(Misfit[[#This Row],[Shortname]], Comp[], 30, FALSE)</f>
        <v>0</v>
      </c>
      <c r="AI224">
        <f>VLOOKUP(Misfit[[#This Row],[Shortname]], Comp[], 31, FALSE)</f>
        <v>0</v>
      </c>
    </row>
    <row r="225" spans="1:35" x14ac:dyDescent="0.3">
      <c r="A225" t="s">
        <v>3997</v>
      </c>
      <c r="B225" s="7" t="s">
        <v>3899</v>
      </c>
      <c r="C225" s="6" t="s">
        <v>3985</v>
      </c>
      <c r="D225" s="6">
        <v>830</v>
      </c>
      <c r="E225">
        <v>550</v>
      </c>
      <c r="H225" s="40">
        <v>4.6699999999999997E-3</v>
      </c>
      <c r="I225" t="s">
        <v>6632</v>
      </c>
      <c r="J225">
        <f>VLOOKUP(Misfit[[#This Row],[Shortname]], Comp[], 6, FALSE)</f>
        <v>608</v>
      </c>
      <c r="K225">
        <f>VLOOKUP(Misfit[[#This Row],[Shortname]], Comp[], 7, FALSE)</f>
        <v>85.4</v>
      </c>
      <c r="L225">
        <f>VLOOKUP(Misfit[[#This Row],[Shortname]], Comp[], 8, FALSE)</f>
        <v>0</v>
      </c>
      <c r="M225">
        <f>VLOOKUP(Misfit[[#This Row],[Shortname]], Comp[], 9, FALSE)</f>
        <v>6.4</v>
      </c>
      <c r="N225">
        <f>VLOOKUP(Misfit[[#This Row],[Shortname]], Comp[], 10, FALSE)</f>
        <v>0</v>
      </c>
      <c r="O225">
        <f>VLOOKUP(Misfit[[#This Row],[Shortname]], Comp[], 11, FALSE)</f>
        <v>6</v>
      </c>
      <c r="P225">
        <f>VLOOKUP(Misfit[[#This Row],[Shortname]], Comp[],12, FALSE)</f>
        <v>2.2000000000000002</v>
      </c>
      <c r="Q225">
        <f>VLOOKUP(Misfit[[#This Row],[Shortname]], Comp[], 13, FALSE)</f>
        <v>0</v>
      </c>
      <c r="R225">
        <f>VLOOKUP(Misfit[[#This Row],[Shortname]], Comp[], 14, FALSE)</f>
        <v>0</v>
      </c>
      <c r="S225">
        <f>VLOOKUP(Misfit[[#This Row],[Shortname]], Comp[], 15, FALSE)</f>
        <v>0</v>
      </c>
      <c r="T225">
        <f>VLOOKUP(Misfit[[#This Row],[Shortname]], Comp[], 16, FALSE)</f>
        <v>0</v>
      </c>
      <c r="U225">
        <f>VLOOKUP(Misfit[[#This Row],[Shortname]], Comp[], 17, FALSE)</f>
        <v>0</v>
      </c>
      <c r="V225">
        <f>VLOOKUP(Misfit[[#This Row],[Shortname]], Comp[], 18, FALSE)</f>
        <v>0</v>
      </c>
      <c r="W225">
        <f>VLOOKUP(Misfit[[#This Row],[Shortname]], Comp[], 19, FALSE)</f>
        <v>0</v>
      </c>
      <c r="X225">
        <f>VLOOKUP(Misfit[[#This Row],[Shortname]], Comp[], 20, FALSE)</f>
        <v>0</v>
      </c>
      <c r="Y225">
        <f>VLOOKUP(Misfit[[#This Row],[Shortname]], Comp[], 21, FALSE)</f>
        <v>0</v>
      </c>
      <c r="Z225">
        <f>VLOOKUP(Misfit[[#This Row],[Shortname]], Comp[], 22, FALSE)</f>
        <v>0</v>
      </c>
      <c r="AA225">
        <f>VLOOKUP(Misfit[[#This Row],[Shortname]], Comp[], 23, FALSE)</f>
        <v>0</v>
      </c>
      <c r="AB225">
        <f>VLOOKUP(Misfit[[#This Row],[Shortname]], Comp[], 24, FALSE)</f>
        <v>0</v>
      </c>
      <c r="AC225">
        <f>VLOOKUP(Misfit[[#This Row],[Shortname]], Comp[], 25, FALSE)</f>
        <v>0</v>
      </c>
      <c r="AD225">
        <f>VLOOKUP(Misfit[[#This Row],[Shortname]], Comp[], 26, FALSE)</f>
        <v>0</v>
      </c>
      <c r="AE225">
        <f>VLOOKUP(Misfit[[#This Row],[Shortname]], Comp[], 27, FALSE)</f>
        <v>0</v>
      </c>
      <c r="AF225">
        <f>VLOOKUP(Misfit[[#This Row],[Shortname]], Comp[], 28, FALSE)</f>
        <v>0</v>
      </c>
      <c r="AG225">
        <f>VLOOKUP(Misfit[[#This Row],[Shortname]], Comp[], 29, FALSE)</f>
        <v>0</v>
      </c>
      <c r="AH225">
        <f>VLOOKUP(Misfit[[#This Row],[Shortname]], Comp[], 30, FALSE)</f>
        <v>0</v>
      </c>
      <c r="AI225">
        <f>VLOOKUP(Misfit[[#This Row],[Shortname]], Comp[], 31, FALSE)</f>
        <v>0</v>
      </c>
    </row>
    <row r="226" spans="1:35" x14ac:dyDescent="0.3">
      <c r="A226" t="s">
        <v>3997</v>
      </c>
      <c r="B226" s="7" t="s">
        <v>3899</v>
      </c>
      <c r="C226" s="6" t="s">
        <v>3985</v>
      </c>
      <c r="D226" s="6">
        <v>830</v>
      </c>
      <c r="E226">
        <v>600</v>
      </c>
      <c r="H226" s="40">
        <v>4.7800000000000004E-3</v>
      </c>
      <c r="I226" t="s">
        <v>6632</v>
      </c>
      <c r="J226">
        <f>VLOOKUP(Misfit[[#This Row],[Shortname]], Comp[], 6, FALSE)</f>
        <v>608</v>
      </c>
      <c r="K226">
        <f>VLOOKUP(Misfit[[#This Row],[Shortname]], Comp[], 7, FALSE)</f>
        <v>85.4</v>
      </c>
      <c r="L226">
        <f>VLOOKUP(Misfit[[#This Row],[Shortname]], Comp[], 8, FALSE)</f>
        <v>0</v>
      </c>
      <c r="M226">
        <f>VLOOKUP(Misfit[[#This Row],[Shortname]], Comp[], 9, FALSE)</f>
        <v>6.4</v>
      </c>
      <c r="N226">
        <f>VLOOKUP(Misfit[[#This Row],[Shortname]], Comp[], 10, FALSE)</f>
        <v>0</v>
      </c>
      <c r="O226">
        <f>VLOOKUP(Misfit[[#This Row],[Shortname]], Comp[], 11, FALSE)</f>
        <v>6</v>
      </c>
      <c r="P226">
        <f>VLOOKUP(Misfit[[#This Row],[Shortname]], Comp[],12, FALSE)</f>
        <v>2.2000000000000002</v>
      </c>
      <c r="Q226">
        <f>VLOOKUP(Misfit[[#This Row],[Shortname]], Comp[], 13, FALSE)</f>
        <v>0</v>
      </c>
      <c r="R226">
        <f>VLOOKUP(Misfit[[#This Row],[Shortname]], Comp[], 14, FALSE)</f>
        <v>0</v>
      </c>
      <c r="S226">
        <f>VLOOKUP(Misfit[[#This Row],[Shortname]], Comp[], 15, FALSE)</f>
        <v>0</v>
      </c>
      <c r="T226">
        <f>VLOOKUP(Misfit[[#This Row],[Shortname]], Comp[], 16, FALSE)</f>
        <v>0</v>
      </c>
      <c r="U226">
        <f>VLOOKUP(Misfit[[#This Row],[Shortname]], Comp[], 17, FALSE)</f>
        <v>0</v>
      </c>
      <c r="V226">
        <f>VLOOKUP(Misfit[[#This Row],[Shortname]], Comp[], 18, FALSE)</f>
        <v>0</v>
      </c>
      <c r="W226">
        <f>VLOOKUP(Misfit[[#This Row],[Shortname]], Comp[], 19, FALSE)</f>
        <v>0</v>
      </c>
      <c r="X226">
        <f>VLOOKUP(Misfit[[#This Row],[Shortname]], Comp[], 20, FALSE)</f>
        <v>0</v>
      </c>
      <c r="Y226">
        <f>VLOOKUP(Misfit[[#This Row],[Shortname]], Comp[], 21, FALSE)</f>
        <v>0</v>
      </c>
      <c r="Z226">
        <f>VLOOKUP(Misfit[[#This Row],[Shortname]], Comp[], 22, FALSE)</f>
        <v>0</v>
      </c>
      <c r="AA226">
        <f>VLOOKUP(Misfit[[#This Row],[Shortname]], Comp[], 23, FALSE)</f>
        <v>0</v>
      </c>
      <c r="AB226">
        <f>VLOOKUP(Misfit[[#This Row],[Shortname]], Comp[], 24, FALSE)</f>
        <v>0</v>
      </c>
      <c r="AC226">
        <f>VLOOKUP(Misfit[[#This Row],[Shortname]], Comp[], 25, FALSE)</f>
        <v>0</v>
      </c>
      <c r="AD226">
        <f>VLOOKUP(Misfit[[#This Row],[Shortname]], Comp[], 26, FALSE)</f>
        <v>0</v>
      </c>
      <c r="AE226">
        <f>VLOOKUP(Misfit[[#This Row],[Shortname]], Comp[], 27, FALSE)</f>
        <v>0</v>
      </c>
      <c r="AF226">
        <f>VLOOKUP(Misfit[[#This Row],[Shortname]], Comp[], 28, FALSE)</f>
        <v>0</v>
      </c>
      <c r="AG226">
        <f>VLOOKUP(Misfit[[#This Row],[Shortname]], Comp[], 29, FALSE)</f>
        <v>0</v>
      </c>
      <c r="AH226">
        <f>VLOOKUP(Misfit[[#This Row],[Shortname]], Comp[], 30, FALSE)</f>
        <v>0</v>
      </c>
      <c r="AI226">
        <f>VLOOKUP(Misfit[[#This Row],[Shortname]], Comp[], 31, FALSE)</f>
        <v>0</v>
      </c>
    </row>
    <row r="227" spans="1:35" x14ac:dyDescent="0.3">
      <c r="A227" t="s">
        <v>3997</v>
      </c>
      <c r="B227" s="7" t="s">
        <v>3899</v>
      </c>
      <c r="C227" s="6" t="s">
        <v>3985</v>
      </c>
      <c r="D227" s="6">
        <v>830</v>
      </c>
      <c r="E227">
        <v>650</v>
      </c>
      <c r="H227" s="40">
        <v>4.8599999999999997E-3</v>
      </c>
      <c r="I227" t="s">
        <v>6632</v>
      </c>
      <c r="J227">
        <f>VLOOKUP(Misfit[[#This Row],[Shortname]], Comp[], 6, FALSE)</f>
        <v>608</v>
      </c>
      <c r="K227">
        <f>VLOOKUP(Misfit[[#This Row],[Shortname]], Comp[], 7, FALSE)</f>
        <v>85.4</v>
      </c>
      <c r="L227">
        <f>VLOOKUP(Misfit[[#This Row],[Shortname]], Comp[], 8, FALSE)</f>
        <v>0</v>
      </c>
      <c r="M227">
        <f>VLOOKUP(Misfit[[#This Row],[Shortname]], Comp[], 9, FALSE)</f>
        <v>6.4</v>
      </c>
      <c r="N227">
        <f>VLOOKUP(Misfit[[#This Row],[Shortname]], Comp[], 10, FALSE)</f>
        <v>0</v>
      </c>
      <c r="O227">
        <f>VLOOKUP(Misfit[[#This Row],[Shortname]], Comp[], 11, FALSE)</f>
        <v>6</v>
      </c>
      <c r="P227">
        <f>VLOOKUP(Misfit[[#This Row],[Shortname]], Comp[],12, FALSE)</f>
        <v>2.2000000000000002</v>
      </c>
      <c r="Q227">
        <f>VLOOKUP(Misfit[[#This Row],[Shortname]], Comp[], 13, FALSE)</f>
        <v>0</v>
      </c>
      <c r="R227">
        <f>VLOOKUP(Misfit[[#This Row],[Shortname]], Comp[], 14, FALSE)</f>
        <v>0</v>
      </c>
      <c r="S227">
        <f>VLOOKUP(Misfit[[#This Row],[Shortname]], Comp[], 15, FALSE)</f>
        <v>0</v>
      </c>
      <c r="T227">
        <f>VLOOKUP(Misfit[[#This Row],[Shortname]], Comp[], 16, FALSE)</f>
        <v>0</v>
      </c>
      <c r="U227">
        <f>VLOOKUP(Misfit[[#This Row],[Shortname]], Comp[], 17, FALSE)</f>
        <v>0</v>
      </c>
      <c r="V227">
        <f>VLOOKUP(Misfit[[#This Row],[Shortname]], Comp[], 18, FALSE)</f>
        <v>0</v>
      </c>
      <c r="W227">
        <f>VLOOKUP(Misfit[[#This Row],[Shortname]], Comp[], 19, FALSE)</f>
        <v>0</v>
      </c>
      <c r="X227">
        <f>VLOOKUP(Misfit[[#This Row],[Shortname]], Comp[], 20, FALSE)</f>
        <v>0</v>
      </c>
      <c r="Y227">
        <f>VLOOKUP(Misfit[[#This Row],[Shortname]], Comp[], 21, FALSE)</f>
        <v>0</v>
      </c>
      <c r="Z227">
        <f>VLOOKUP(Misfit[[#This Row],[Shortname]], Comp[], 22, FALSE)</f>
        <v>0</v>
      </c>
      <c r="AA227">
        <f>VLOOKUP(Misfit[[#This Row],[Shortname]], Comp[], 23, FALSE)</f>
        <v>0</v>
      </c>
      <c r="AB227">
        <f>VLOOKUP(Misfit[[#This Row],[Shortname]], Comp[], 24, FALSE)</f>
        <v>0</v>
      </c>
      <c r="AC227">
        <f>VLOOKUP(Misfit[[#This Row],[Shortname]], Comp[], 25, FALSE)</f>
        <v>0</v>
      </c>
      <c r="AD227">
        <f>VLOOKUP(Misfit[[#This Row],[Shortname]], Comp[], 26, FALSE)</f>
        <v>0</v>
      </c>
      <c r="AE227">
        <f>VLOOKUP(Misfit[[#This Row],[Shortname]], Comp[], 27, FALSE)</f>
        <v>0</v>
      </c>
      <c r="AF227">
        <f>VLOOKUP(Misfit[[#This Row],[Shortname]], Comp[], 28, FALSE)</f>
        <v>0</v>
      </c>
      <c r="AG227">
        <f>VLOOKUP(Misfit[[#This Row],[Shortname]], Comp[], 29, FALSE)</f>
        <v>0</v>
      </c>
      <c r="AH227">
        <f>VLOOKUP(Misfit[[#This Row],[Shortname]], Comp[], 30, FALSE)</f>
        <v>0</v>
      </c>
      <c r="AI227">
        <f>VLOOKUP(Misfit[[#This Row],[Shortname]], Comp[], 31, FALSE)</f>
        <v>0</v>
      </c>
    </row>
    <row r="228" spans="1:35" x14ac:dyDescent="0.3">
      <c r="A228" t="s">
        <v>3997</v>
      </c>
      <c r="B228" s="7" t="s">
        <v>3899</v>
      </c>
      <c r="C228" s="6" t="s">
        <v>3985</v>
      </c>
      <c r="D228" s="6">
        <v>830</v>
      </c>
      <c r="E228">
        <v>700</v>
      </c>
      <c r="H228" s="40">
        <v>4.9300000000000004E-3</v>
      </c>
      <c r="I228" t="s">
        <v>6632</v>
      </c>
      <c r="J228">
        <f>VLOOKUP(Misfit[[#This Row],[Shortname]], Comp[], 6, FALSE)</f>
        <v>608</v>
      </c>
      <c r="K228">
        <f>VLOOKUP(Misfit[[#This Row],[Shortname]], Comp[], 7, FALSE)</f>
        <v>85.4</v>
      </c>
      <c r="L228">
        <f>VLOOKUP(Misfit[[#This Row],[Shortname]], Comp[], 8, FALSE)</f>
        <v>0</v>
      </c>
      <c r="M228">
        <f>VLOOKUP(Misfit[[#This Row],[Shortname]], Comp[], 9, FALSE)</f>
        <v>6.4</v>
      </c>
      <c r="N228">
        <f>VLOOKUP(Misfit[[#This Row],[Shortname]], Comp[], 10, FALSE)</f>
        <v>0</v>
      </c>
      <c r="O228">
        <f>VLOOKUP(Misfit[[#This Row],[Shortname]], Comp[], 11, FALSE)</f>
        <v>6</v>
      </c>
      <c r="P228">
        <f>VLOOKUP(Misfit[[#This Row],[Shortname]], Comp[],12, FALSE)</f>
        <v>2.2000000000000002</v>
      </c>
      <c r="Q228">
        <f>VLOOKUP(Misfit[[#This Row],[Shortname]], Comp[], 13, FALSE)</f>
        <v>0</v>
      </c>
      <c r="R228">
        <f>VLOOKUP(Misfit[[#This Row],[Shortname]], Comp[], 14, FALSE)</f>
        <v>0</v>
      </c>
      <c r="S228">
        <f>VLOOKUP(Misfit[[#This Row],[Shortname]], Comp[], 15, FALSE)</f>
        <v>0</v>
      </c>
      <c r="T228">
        <f>VLOOKUP(Misfit[[#This Row],[Shortname]], Comp[], 16, FALSE)</f>
        <v>0</v>
      </c>
      <c r="U228">
        <f>VLOOKUP(Misfit[[#This Row],[Shortname]], Comp[], 17, FALSE)</f>
        <v>0</v>
      </c>
      <c r="V228">
        <f>VLOOKUP(Misfit[[#This Row],[Shortname]], Comp[], 18, FALSE)</f>
        <v>0</v>
      </c>
      <c r="W228">
        <f>VLOOKUP(Misfit[[#This Row],[Shortname]], Comp[], 19, FALSE)</f>
        <v>0</v>
      </c>
      <c r="X228">
        <f>VLOOKUP(Misfit[[#This Row],[Shortname]], Comp[], 20, FALSE)</f>
        <v>0</v>
      </c>
      <c r="Y228">
        <f>VLOOKUP(Misfit[[#This Row],[Shortname]], Comp[], 21, FALSE)</f>
        <v>0</v>
      </c>
      <c r="Z228">
        <f>VLOOKUP(Misfit[[#This Row],[Shortname]], Comp[], 22, FALSE)</f>
        <v>0</v>
      </c>
      <c r="AA228">
        <f>VLOOKUP(Misfit[[#This Row],[Shortname]], Comp[], 23, FALSE)</f>
        <v>0</v>
      </c>
      <c r="AB228">
        <f>VLOOKUP(Misfit[[#This Row],[Shortname]], Comp[], 24, FALSE)</f>
        <v>0</v>
      </c>
      <c r="AC228">
        <f>VLOOKUP(Misfit[[#This Row],[Shortname]], Comp[], 25, FALSE)</f>
        <v>0</v>
      </c>
      <c r="AD228">
        <f>VLOOKUP(Misfit[[#This Row],[Shortname]], Comp[], 26, FALSE)</f>
        <v>0</v>
      </c>
      <c r="AE228">
        <f>VLOOKUP(Misfit[[#This Row],[Shortname]], Comp[], 27, FALSE)</f>
        <v>0</v>
      </c>
      <c r="AF228">
        <f>VLOOKUP(Misfit[[#This Row],[Shortname]], Comp[], 28, FALSE)</f>
        <v>0</v>
      </c>
      <c r="AG228">
        <f>VLOOKUP(Misfit[[#This Row],[Shortname]], Comp[], 29, FALSE)</f>
        <v>0</v>
      </c>
      <c r="AH228">
        <f>VLOOKUP(Misfit[[#This Row],[Shortname]], Comp[], 30, FALSE)</f>
        <v>0</v>
      </c>
      <c r="AI228">
        <f>VLOOKUP(Misfit[[#This Row],[Shortname]], Comp[], 31, FALSE)</f>
        <v>0</v>
      </c>
    </row>
    <row r="229" spans="1:35" x14ac:dyDescent="0.3">
      <c r="A229" t="s">
        <v>3997</v>
      </c>
      <c r="B229" s="7" t="s">
        <v>3899</v>
      </c>
      <c r="C229" s="6" t="s">
        <v>3985</v>
      </c>
      <c r="D229" s="6">
        <v>830</v>
      </c>
      <c r="E229">
        <v>750</v>
      </c>
      <c r="H229" s="40">
        <v>5.1000000000000004E-3</v>
      </c>
      <c r="I229" t="s">
        <v>6632</v>
      </c>
      <c r="J229">
        <f>VLOOKUP(Misfit[[#This Row],[Shortname]], Comp[], 6, FALSE)</f>
        <v>608</v>
      </c>
      <c r="K229">
        <f>VLOOKUP(Misfit[[#This Row],[Shortname]], Comp[], 7, FALSE)</f>
        <v>85.4</v>
      </c>
      <c r="L229">
        <f>VLOOKUP(Misfit[[#This Row],[Shortname]], Comp[], 8, FALSE)</f>
        <v>0</v>
      </c>
      <c r="M229">
        <f>VLOOKUP(Misfit[[#This Row],[Shortname]], Comp[], 9, FALSE)</f>
        <v>6.4</v>
      </c>
      <c r="N229">
        <f>VLOOKUP(Misfit[[#This Row],[Shortname]], Comp[], 10, FALSE)</f>
        <v>0</v>
      </c>
      <c r="O229">
        <f>VLOOKUP(Misfit[[#This Row],[Shortname]], Comp[], 11, FALSE)</f>
        <v>6</v>
      </c>
      <c r="P229">
        <f>VLOOKUP(Misfit[[#This Row],[Shortname]], Comp[],12, FALSE)</f>
        <v>2.2000000000000002</v>
      </c>
      <c r="Q229">
        <f>VLOOKUP(Misfit[[#This Row],[Shortname]], Comp[], 13, FALSE)</f>
        <v>0</v>
      </c>
      <c r="R229">
        <f>VLOOKUP(Misfit[[#This Row],[Shortname]], Comp[], 14, FALSE)</f>
        <v>0</v>
      </c>
      <c r="S229">
        <f>VLOOKUP(Misfit[[#This Row],[Shortname]], Comp[], 15, FALSE)</f>
        <v>0</v>
      </c>
      <c r="T229">
        <f>VLOOKUP(Misfit[[#This Row],[Shortname]], Comp[], 16, FALSE)</f>
        <v>0</v>
      </c>
      <c r="U229">
        <f>VLOOKUP(Misfit[[#This Row],[Shortname]], Comp[], 17, FALSE)</f>
        <v>0</v>
      </c>
      <c r="V229">
        <f>VLOOKUP(Misfit[[#This Row],[Shortname]], Comp[], 18, FALSE)</f>
        <v>0</v>
      </c>
      <c r="W229">
        <f>VLOOKUP(Misfit[[#This Row],[Shortname]], Comp[], 19, FALSE)</f>
        <v>0</v>
      </c>
      <c r="X229">
        <f>VLOOKUP(Misfit[[#This Row],[Shortname]], Comp[], 20, FALSE)</f>
        <v>0</v>
      </c>
      <c r="Y229">
        <f>VLOOKUP(Misfit[[#This Row],[Shortname]], Comp[], 21, FALSE)</f>
        <v>0</v>
      </c>
      <c r="Z229">
        <f>VLOOKUP(Misfit[[#This Row],[Shortname]], Comp[], 22, FALSE)</f>
        <v>0</v>
      </c>
      <c r="AA229">
        <f>VLOOKUP(Misfit[[#This Row],[Shortname]], Comp[], 23, FALSE)</f>
        <v>0</v>
      </c>
      <c r="AB229">
        <f>VLOOKUP(Misfit[[#This Row],[Shortname]], Comp[], 24, FALSE)</f>
        <v>0</v>
      </c>
      <c r="AC229">
        <f>VLOOKUP(Misfit[[#This Row],[Shortname]], Comp[], 25, FALSE)</f>
        <v>0</v>
      </c>
      <c r="AD229">
        <f>VLOOKUP(Misfit[[#This Row],[Shortname]], Comp[], 26, FALSE)</f>
        <v>0</v>
      </c>
      <c r="AE229">
        <f>VLOOKUP(Misfit[[#This Row],[Shortname]], Comp[], 27, FALSE)</f>
        <v>0</v>
      </c>
      <c r="AF229">
        <f>VLOOKUP(Misfit[[#This Row],[Shortname]], Comp[], 28, FALSE)</f>
        <v>0</v>
      </c>
      <c r="AG229">
        <f>VLOOKUP(Misfit[[#This Row],[Shortname]], Comp[], 29, FALSE)</f>
        <v>0</v>
      </c>
      <c r="AH229">
        <f>VLOOKUP(Misfit[[#This Row],[Shortname]], Comp[], 30, FALSE)</f>
        <v>0</v>
      </c>
      <c r="AI229">
        <f>VLOOKUP(Misfit[[#This Row],[Shortname]], Comp[], 31, FALSE)</f>
        <v>0</v>
      </c>
    </row>
    <row r="230" spans="1:35" x14ac:dyDescent="0.3">
      <c r="A230" t="s">
        <v>4178</v>
      </c>
      <c r="B230" s="7" t="s">
        <v>4180</v>
      </c>
      <c r="C230" s="3" t="s">
        <v>4158</v>
      </c>
      <c r="D230" s="3">
        <v>900</v>
      </c>
      <c r="E230">
        <v>25</v>
      </c>
      <c r="F230">
        <v>0.36070000000000002</v>
      </c>
      <c r="G230">
        <v>0.35870000000000002</v>
      </c>
      <c r="H230" s="40">
        <v>5.3E-3</v>
      </c>
      <c r="J230">
        <f>VLOOKUP(Misfit[[#This Row],[Shortname]], Comp[], 6, FALSE)</f>
        <v>637</v>
      </c>
      <c r="K230">
        <f>VLOOKUP(Misfit[[#This Row],[Shortname]], Comp[], 7, FALSE)</f>
        <v>82</v>
      </c>
      <c r="L230">
        <f>VLOOKUP(Misfit[[#This Row],[Shortname]], Comp[], 8, FALSE)</f>
        <v>2.1</v>
      </c>
      <c r="M230">
        <f>VLOOKUP(Misfit[[#This Row],[Shortname]], Comp[], 9, FALSE)</f>
        <v>0</v>
      </c>
      <c r="N230">
        <f>VLOOKUP(Misfit[[#This Row],[Shortname]], Comp[], 10, FALSE)</f>
        <v>0</v>
      </c>
      <c r="O230">
        <f>VLOOKUP(Misfit[[#This Row],[Shortname]], Comp[], 11, FALSE)</f>
        <v>2.7</v>
      </c>
      <c r="P230">
        <f>VLOOKUP(Misfit[[#This Row],[Shortname]], Comp[],12, FALSE)</f>
        <v>13.2</v>
      </c>
      <c r="Q230">
        <f>VLOOKUP(Misfit[[#This Row],[Shortname]], Comp[], 13, FALSE)</f>
        <v>0</v>
      </c>
      <c r="R230">
        <f>VLOOKUP(Misfit[[#This Row],[Shortname]], Comp[], 14, FALSE)</f>
        <v>0</v>
      </c>
      <c r="S230">
        <f>VLOOKUP(Misfit[[#This Row],[Shortname]], Comp[], 15, FALSE)</f>
        <v>0</v>
      </c>
      <c r="T230">
        <f>VLOOKUP(Misfit[[#This Row],[Shortname]], Comp[], 16, FALSE)</f>
        <v>0</v>
      </c>
      <c r="U230">
        <f>VLOOKUP(Misfit[[#This Row],[Shortname]], Comp[], 17, FALSE)</f>
        <v>0</v>
      </c>
      <c r="V230">
        <f>VLOOKUP(Misfit[[#This Row],[Shortname]], Comp[], 18, FALSE)</f>
        <v>0</v>
      </c>
      <c r="W230">
        <f>VLOOKUP(Misfit[[#This Row],[Shortname]], Comp[], 19, FALSE)</f>
        <v>0</v>
      </c>
      <c r="X230">
        <f>VLOOKUP(Misfit[[#This Row],[Shortname]], Comp[], 20, FALSE)</f>
        <v>0</v>
      </c>
      <c r="Y230">
        <f>VLOOKUP(Misfit[[#This Row],[Shortname]], Comp[], 21, FALSE)</f>
        <v>0</v>
      </c>
      <c r="Z230">
        <f>VLOOKUP(Misfit[[#This Row],[Shortname]], Comp[], 22, FALSE)</f>
        <v>0</v>
      </c>
      <c r="AA230">
        <f>VLOOKUP(Misfit[[#This Row],[Shortname]], Comp[], 23, FALSE)</f>
        <v>0</v>
      </c>
      <c r="AB230">
        <f>VLOOKUP(Misfit[[#This Row],[Shortname]], Comp[], 24, FALSE)</f>
        <v>0</v>
      </c>
      <c r="AC230">
        <f>VLOOKUP(Misfit[[#This Row],[Shortname]], Comp[], 25, FALSE)</f>
        <v>0</v>
      </c>
      <c r="AD230">
        <f>VLOOKUP(Misfit[[#This Row],[Shortname]], Comp[], 26, FALSE)</f>
        <v>0</v>
      </c>
      <c r="AE230">
        <f>VLOOKUP(Misfit[[#This Row],[Shortname]], Comp[], 27, FALSE)</f>
        <v>0</v>
      </c>
      <c r="AF230">
        <f>VLOOKUP(Misfit[[#This Row],[Shortname]], Comp[], 28, FALSE)</f>
        <v>0</v>
      </c>
      <c r="AG230">
        <f>VLOOKUP(Misfit[[#This Row],[Shortname]], Comp[], 29, FALSE)</f>
        <v>0</v>
      </c>
      <c r="AH230">
        <f>VLOOKUP(Misfit[[#This Row],[Shortname]], Comp[], 30, FALSE)</f>
        <v>0</v>
      </c>
      <c r="AI230">
        <f>VLOOKUP(Misfit[[#This Row],[Shortname]], Comp[], 31, FALSE)</f>
        <v>0</v>
      </c>
    </row>
    <row r="231" spans="1:35" x14ac:dyDescent="0.3">
      <c r="A231" t="s">
        <v>4163</v>
      </c>
      <c r="B231" s="7" t="s">
        <v>4165</v>
      </c>
      <c r="C231" s="3" t="s">
        <v>4158</v>
      </c>
      <c r="D231" s="3">
        <v>900</v>
      </c>
      <c r="E231">
        <v>25</v>
      </c>
      <c r="F231">
        <v>0.36159999999999998</v>
      </c>
      <c r="G231">
        <v>0.35959999999999998</v>
      </c>
      <c r="H231" s="40">
        <v>5.7000000000000002E-3</v>
      </c>
      <c r="J231">
        <f>VLOOKUP(Misfit[[#This Row],[Shortname]], Comp[], 6, FALSE)</f>
        <v>635</v>
      </c>
      <c r="K231">
        <f>VLOOKUP(Misfit[[#This Row],[Shortname]], Comp[], 7, FALSE)</f>
        <v>80.900000000000006</v>
      </c>
      <c r="L231">
        <f>VLOOKUP(Misfit[[#This Row],[Shortname]], Comp[], 8, FALSE)</f>
        <v>0</v>
      </c>
      <c r="M231">
        <f>VLOOKUP(Misfit[[#This Row],[Shortname]], Comp[], 9, FALSE)</f>
        <v>3</v>
      </c>
      <c r="N231">
        <f>VLOOKUP(Misfit[[#This Row],[Shortname]], Comp[], 10, FALSE)</f>
        <v>0</v>
      </c>
      <c r="O231">
        <f>VLOOKUP(Misfit[[#This Row],[Shortname]], Comp[], 11, FALSE)</f>
        <v>2.6</v>
      </c>
      <c r="P231">
        <f>VLOOKUP(Misfit[[#This Row],[Shortname]], Comp[],12, FALSE)</f>
        <v>13.5</v>
      </c>
      <c r="Q231">
        <f>VLOOKUP(Misfit[[#This Row],[Shortname]], Comp[], 13, FALSE)</f>
        <v>0</v>
      </c>
      <c r="R231">
        <f>VLOOKUP(Misfit[[#This Row],[Shortname]], Comp[], 14, FALSE)</f>
        <v>0</v>
      </c>
      <c r="S231">
        <f>VLOOKUP(Misfit[[#This Row],[Shortname]], Comp[], 15, FALSE)</f>
        <v>0</v>
      </c>
      <c r="T231">
        <f>VLOOKUP(Misfit[[#This Row],[Shortname]], Comp[], 16, FALSE)</f>
        <v>0</v>
      </c>
      <c r="U231">
        <f>VLOOKUP(Misfit[[#This Row],[Shortname]], Comp[], 17, FALSE)</f>
        <v>0</v>
      </c>
      <c r="V231">
        <f>VLOOKUP(Misfit[[#This Row],[Shortname]], Comp[], 18, FALSE)</f>
        <v>0</v>
      </c>
      <c r="W231">
        <f>VLOOKUP(Misfit[[#This Row],[Shortname]], Comp[], 19, FALSE)</f>
        <v>0</v>
      </c>
      <c r="X231">
        <f>VLOOKUP(Misfit[[#This Row],[Shortname]], Comp[], 20, FALSE)</f>
        <v>0</v>
      </c>
      <c r="Y231">
        <f>VLOOKUP(Misfit[[#This Row],[Shortname]], Comp[], 21, FALSE)</f>
        <v>0</v>
      </c>
      <c r="Z231">
        <f>VLOOKUP(Misfit[[#This Row],[Shortname]], Comp[], 22, FALSE)</f>
        <v>0</v>
      </c>
      <c r="AA231">
        <f>VLOOKUP(Misfit[[#This Row],[Shortname]], Comp[], 23, FALSE)</f>
        <v>0</v>
      </c>
      <c r="AB231">
        <f>VLOOKUP(Misfit[[#This Row],[Shortname]], Comp[], 24, FALSE)</f>
        <v>0</v>
      </c>
      <c r="AC231">
        <f>VLOOKUP(Misfit[[#This Row],[Shortname]], Comp[], 25, FALSE)</f>
        <v>0</v>
      </c>
      <c r="AD231">
        <f>VLOOKUP(Misfit[[#This Row],[Shortname]], Comp[], 26, FALSE)</f>
        <v>0</v>
      </c>
      <c r="AE231">
        <f>VLOOKUP(Misfit[[#This Row],[Shortname]], Comp[], 27, FALSE)</f>
        <v>0</v>
      </c>
      <c r="AF231">
        <f>VLOOKUP(Misfit[[#This Row],[Shortname]], Comp[], 28, FALSE)</f>
        <v>0</v>
      </c>
      <c r="AG231">
        <f>VLOOKUP(Misfit[[#This Row],[Shortname]], Comp[], 29, FALSE)</f>
        <v>0</v>
      </c>
      <c r="AH231">
        <f>VLOOKUP(Misfit[[#This Row],[Shortname]], Comp[], 30, FALSE)</f>
        <v>0</v>
      </c>
      <c r="AI231">
        <f>VLOOKUP(Misfit[[#This Row],[Shortname]], Comp[], 31, FALSE)</f>
        <v>0</v>
      </c>
    </row>
    <row r="232" spans="1:35" x14ac:dyDescent="0.3">
      <c r="A232" t="s">
        <v>4186</v>
      </c>
      <c r="B232" s="7" t="s">
        <v>4188</v>
      </c>
      <c r="C232" s="3" t="s">
        <v>4158</v>
      </c>
      <c r="D232" s="3">
        <v>900</v>
      </c>
      <c r="E232">
        <v>25</v>
      </c>
      <c r="F232">
        <v>0.36080000000000001</v>
      </c>
      <c r="G232">
        <v>0.35899999999999999</v>
      </c>
      <c r="H232" s="40">
        <v>4.8999999999999998E-3</v>
      </c>
      <c r="J232">
        <f>VLOOKUP(Misfit[[#This Row],[Shortname]], Comp[], 6, FALSE)</f>
        <v>638</v>
      </c>
      <c r="K232">
        <f>VLOOKUP(Misfit[[#This Row],[Shortname]], Comp[], 7, FALSE)</f>
        <v>78.2</v>
      </c>
      <c r="L232">
        <f>VLOOKUP(Misfit[[#This Row],[Shortname]], Comp[], 8, FALSE)</f>
        <v>4.2</v>
      </c>
      <c r="M232">
        <f>VLOOKUP(Misfit[[#This Row],[Shortname]], Comp[], 9, FALSE)</f>
        <v>0</v>
      </c>
      <c r="N232">
        <f>VLOOKUP(Misfit[[#This Row],[Shortname]], Comp[], 10, FALSE)</f>
        <v>0</v>
      </c>
      <c r="O232">
        <f>VLOOKUP(Misfit[[#This Row],[Shortname]], Comp[], 11, FALSE)</f>
        <v>4.9000000000000004</v>
      </c>
      <c r="P232">
        <f>VLOOKUP(Misfit[[#This Row],[Shortname]], Comp[],12, FALSE)</f>
        <v>12.7</v>
      </c>
      <c r="Q232">
        <f>VLOOKUP(Misfit[[#This Row],[Shortname]], Comp[], 13, FALSE)</f>
        <v>0</v>
      </c>
      <c r="R232">
        <f>VLOOKUP(Misfit[[#This Row],[Shortname]], Comp[], 14, FALSE)</f>
        <v>0</v>
      </c>
      <c r="S232">
        <f>VLOOKUP(Misfit[[#This Row],[Shortname]], Comp[], 15, FALSE)</f>
        <v>0</v>
      </c>
      <c r="T232">
        <f>VLOOKUP(Misfit[[#This Row],[Shortname]], Comp[], 16, FALSE)</f>
        <v>0</v>
      </c>
      <c r="U232">
        <f>VLOOKUP(Misfit[[#This Row],[Shortname]], Comp[], 17, FALSE)</f>
        <v>0</v>
      </c>
      <c r="V232">
        <f>VLOOKUP(Misfit[[#This Row],[Shortname]], Comp[], 18, FALSE)</f>
        <v>0</v>
      </c>
      <c r="W232">
        <f>VLOOKUP(Misfit[[#This Row],[Shortname]], Comp[], 19, FALSE)</f>
        <v>0</v>
      </c>
      <c r="X232">
        <f>VLOOKUP(Misfit[[#This Row],[Shortname]], Comp[], 20, FALSE)</f>
        <v>0</v>
      </c>
      <c r="Y232">
        <f>VLOOKUP(Misfit[[#This Row],[Shortname]], Comp[], 21, FALSE)</f>
        <v>0</v>
      </c>
      <c r="Z232">
        <f>VLOOKUP(Misfit[[#This Row],[Shortname]], Comp[], 22, FALSE)</f>
        <v>0</v>
      </c>
      <c r="AA232">
        <f>VLOOKUP(Misfit[[#This Row],[Shortname]], Comp[], 23, FALSE)</f>
        <v>0</v>
      </c>
      <c r="AB232">
        <f>VLOOKUP(Misfit[[#This Row],[Shortname]], Comp[], 24, FALSE)</f>
        <v>0</v>
      </c>
      <c r="AC232">
        <f>VLOOKUP(Misfit[[#This Row],[Shortname]], Comp[], 25, FALSE)</f>
        <v>0</v>
      </c>
      <c r="AD232">
        <f>VLOOKUP(Misfit[[#This Row],[Shortname]], Comp[], 26, FALSE)</f>
        <v>0</v>
      </c>
      <c r="AE232">
        <f>VLOOKUP(Misfit[[#This Row],[Shortname]], Comp[], 27, FALSE)</f>
        <v>0</v>
      </c>
      <c r="AF232">
        <f>VLOOKUP(Misfit[[#This Row],[Shortname]], Comp[], 28, FALSE)</f>
        <v>0</v>
      </c>
      <c r="AG232">
        <f>VLOOKUP(Misfit[[#This Row],[Shortname]], Comp[], 29, FALSE)</f>
        <v>0</v>
      </c>
      <c r="AH232">
        <f>VLOOKUP(Misfit[[#This Row],[Shortname]], Comp[], 30, FALSE)</f>
        <v>0</v>
      </c>
      <c r="AI232">
        <f>VLOOKUP(Misfit[[#This Row],[Shortname]], Comp[], 31, FALSE)</f>
        <v>0</v>
      </c>
    </row>
    <row r="233" spans="1:35" x14ac:dyDescent="0.3">
      <c r="A233" t="s">
        <v>4171</v>
      </c>
      <c r="B233" s="7" t="s">
        <v>4173</v>
      </c>
      <c r="C233" s="3" t="s">
        <v>4158</v>
      </c>
      <c r="D233" s="3">
        <v>900</v>
      </c>
      <c r="E233">
        <v>25</v>
      </c>
      <c r="F233">
        <v>0.36170000000000002</v>
      </c>
      <c r="G233">
        <v>0.36009999999999998</v>
      </c>
      <c r="H233" s="40">
        <f>2*(F233-G233)/(F233+G233)</f>
        <v>4.4333610418399718E-3</v>
      </c>
      <c r="J233">
        <f>VLOOKUP(Misfit[[#This Row],[Shortname]], Comp[], 6, FALSE)</f>
        <v>636</v>
      </c>
      <c r="K233">
        <f>VLOOKUP(Misfit[[#This Row],[Shortname]], Comp[], 7, FALSE)</f>
        <v>78.5</v>
      </c>
      <c r="L233">
        <f>VLOOKUP(Misfit[[#This Row],[Shortname]], Comp[], 8, FALSE)</f>
        <v>0</v>
      </c>
      <c r="M233">
        <f>VLOOKUP(Misfit[[#This Row],[Shortname]], Comp[], 9, FALSE)</f>
        <v>5.6</v>
      </c>
      <c r="N233">
        <f>VLOOKUP(Misfit[[#This Row],[Shortname]], Comp[], 10, FALSE)</f>
        <v>0</v>
      </c>
      <c r="O233">
        <f>VLOOKUP(Misfit[[#This Row],[Shortname]], Comp[], 11, FALSE)</f>
        <v>2.6</v>
      </c>
      <c r="P233">
        <f>VLOOKUP(Misfit[[#This Row],[Shortname]], Comp[],12, FALSE)</f>
        <v>13.3</v>
      </c>
      <c r="Q233">
        <f>VLOOKUP(Misfit[[#This Row],[Shortname]], Comp[], 13, FALSE)</f>
        <v>0</v>
      </c>
      <c r="R233">
        <f>VLOOKUP(Misfit[[#This Row],[Shortname]], Comp[], 14, FALSE)</f>
        <v>0</v>
      </c>
      <c r="S233">
        <f>VLOOKUP(Misfit[[#This Row],[Shortname]], Comp[], 15, FALSE)</f>
        <v>0</v>
      </c>
      <c r="T233">
        <f>VLOOKUP(Misfit[[#This Row],[Shortname]], Comp[], 16, FALSE)</f>
        <v>0</v>
      </c>
      <c r="U233">
        <f>VLOOKUP(Misfit[[#This Row],[Shortname]], Comp[], 17, FALSE)</f>
        <v>0</v>
      </c>
      <c r="V233">
        <f>VLOOKUP(Misfit[[#This Row],[Shortname]], Comp[], 18, FALSE)</f>
        <v>0</v>
      </c>
      <c r="W233">
        <f>VLOOKUP(Misfit[[#This Row],[Shortname]], Comp[], 19, FALSE)</f>
        <v>0</v>
      </c>
      <c r="X233">
        <f>VLOOKUP(Misfit[[#This Row],[Shortname]], Comp[], 20, FALSE)</f>
        <v>0</v>
      </c>
      <c r="Y233">
        <f>VLOOKUP(Misfit[[#This Row],[Shortname]], Comp[], 21, FALSE)</f>
        <v>0</v>
      </c>
      <c r="Z233">
        <f>VLOOKUP(Misfit[[#This Row],[Shortname]], Comp[], 22, FALSE)</f>
        <v>0</v>
      </c>
      <c r="AA233">
        <f>VLOOKUP(Misfit[[#This Row],[Shortname]], Comp[], 23, FALSE)</f>
        <v>0</v>
      </c>
      <c r="AB233">
        <f>VLOOKUP(Misfit[[#This Row],[Shortname]], Comp[], 24, FALSE)</f>
        <v>0</v>
      </c>
      <c r="AC233">
        <f>VLOOKUP(Misfit[[#This Row],[Shortname]], Comp[], 25, FALSE)</f>
        <v>0</v>
      </c>
      <c r="AD233">
        <f>VLOOKUP(Misfit[[#This Row],[Shortname]], Comp[], 26, FALSE)</f>
        <v>0</v>
      </c>
      <c r="AE233">
        <f>VLOOKUP(Misfit[[#This Row],[Shortname]], Comp[], 27, FALSE)</f>
        <v>0</v>
      </c>
      <c r="AF233">
        <f>VLOOKUP(Misfit[[#This Row],[Shortname]], Comp[], 28, FALSE)</f>
        <v>0</v>
      </c>
      <c r="AG233">
        <f>VLOOKUP(Misfit[[#This Row],[Shortname]], Comp[], 29, FALSE)</f>
        <v>0</v>
      </c>
      <c r="AH233">
        <f>VLOOKUP(Misfit[[#This Row],[Shortname]], Comp[], 30, FALSE)</f>
        <v>0</v>
      </c>
      <c r="AI233">
        <f>VLOOKUP(Misfit[[#This Row],[Shortname]], Comp[], 31, FALSE)</f>
        <v>0</v>
      </c>
    </row>
    <row r="234" spans="1:35" x14ac:dyDescent="0.3">
      <c r="A234" t="s">
        <v>4155</v>
      </c>
      <c r="B234" s="7" t="s">
        <v>4157</v>
      </c>
      <c r="C234" s="3" t="s">
        <v>4158</v>
      </c>
      <c r="D234" s="3">
        <v>900</v>
      </c>
      <c r="E234">
        <v>25</v>
      </c>
      <c r="F234">
        <v>0.36149999999999999</v>
      </c>
      <c r="G234">
        <v>0.35899999999999999</v>
      </c>
      <c r="H234" s="40">
        <v>6.8999999999999999E-3</v>
      </c>
      <c r="J234">
        <f>VLOOKUP(Misfit[[#This Row],[Shortname]], Comp[], 6, FALSE)</f>
        <v>634</v>
      </c>
      <c r="K234">
        <f>VLOOKUP(Misfit[[#This Row],[Shortname]], Comp[], 7, FALSE)</f>
        <v>82.2</v>
      </c>
      <c r="L234">
        <f>VLOOKUP(Misfit[[#This Row],[Shortname]], Comp[], 8, FALSE)</f>
        <v>0</v>
      </c>
      <c r="M234">
        <f>VLOOKUP(Misfit[[#This Row],[Shortname]], Comp[], 9, FALSE)</f>
        <v>0</v>
      </c>
      <c r="N234">
        <f>VLOOKUP(Misfit[[#This Row],[Shortname]], Comp[], 10, FALSE)</f>
        <v>0</v>
      </c>
      <c r="O234">
        <f>VLOOKUP(Misfit[[#This Row],[Shortname]], Comp[], 11, FALSE)</f>
        <v>3.1</v>
      </c>
      <c r="P234">
        <f>VLOOKUP(Misfit[[#This Row],[Shortname]], Comp[],12, FALSE)</f>
        <v>14.7</v>
      </c>
      <c r="Q234">
        <f>VLOOKUP(Misfit[[#This Row],[Shortname]], Comp[], 13, FALSE)</f>
        <v>0</v>
      </c>
      <c r="R234">
        <f>VLOOKUP(Misfit[[#This Row],[Shortname]], Comp[], 14, FALSE)</f>
        <v>0</v>
      </c>
      <c r="S234">
        <f>VLOOKUP(Misfit[[#This Row],[Shortname]], Comp[], 15, FALSE)</f>
        <v>0</v>
      </c>
      <c r="T234">
        <f>VLOOKUP(Misfit[[#This Row],[Shortname]], Comp[], 16, FALSE)</f>
        <v>0</v>
      </c>
      <c r="U234">
        <f>VLOOKUP(Misfit[[#This Row],[Shortname]], Comp[], 17, FALSE)</f>
        <v>0</v>
      </c>
      <c r="V234">
        <f>VLOOKUP(Misfit[[#This Row],[Shortname]], Comp[], 18, FALSE)</f>
        <v>0</v>
      </c>
      <c r="W234">
        <f>VLOOKUP(Misfit[[#This Row],[Shortname]], Comp[], 19, FALSE)</f>
        <v>0</v>
      </c>
      <c r="X234">
        <f>VLOOKUP(Misfit[[#This Row],[Shortname]], Comp[], 20, FALSE)</f>
        <v>0</v>
      </c>
      <c r="Y234">
        <f>VLOOKUP(Misfit[[#This Row],[Shortname]], Comp[], 21, FALSE)</f>
        <v>0</v>
      </c>
      <c r="Z234">
        <f>VLOOKUP(Misfit[[#This Row],[Shortname]], Comp[], 22, FALSE)</f>
        <v>0</v>
      </c>
      <c r="AA234">
        <f>VLOOKUP(Misfit[[#This Row],[Shortname]], Comp[], 23, FALSE)</f>
        <v>0</v>
      </c>
      <c r="AB234">
        <f>VLOOKUP(Misfit[[#This Row],[Shortname]], Comp[], 24, FALSE)</f>
        <v>0</v>
      </c>
      <c r="AC234">
        <f>VLOOKUP(Misfit[[#This Row],[Shortname]], Comp[], 25, FALSE)</f>
        <v>0</v>
      </c>
      <c r="AD234">
        <f>VLOOKUP(Misfit[[#This Row],[Shortname]], Comp[], 26, FALSE)</f>
        <v>0</v>
      </c>
      <c r="AE234">
        <f>VLOOKUP(Misfit[[#This Row],[Shortname]], Comp[], 27, FALSE)</f>
        <v>0</v>
      </c>
      <c r="AF234">
        <f>VLOOKUP(Misfit[[#This Row],[Shortname]], Comp[], 28, FALSE)</f>
        <v>0</v>
      </c>
      <c r="AG234">
        <f>VLOOKUP(Misfit[[#This Row],[Shortname]], Comp[], 29, FALSE)</f>
        <v>0</v>
      </c>
      <c r="AH234">
        <f>VLOOKUP(Misfit[[#This Row],[Shortname]], Comp[], 30, FALSE)</f>
        <v>0</v>
      </c>
      <c r="AI234">
        <f>VLOOKUP(Misfit[[#This Row],[Shortname]], Comp[], 31, FALSE)</f>
        <v>0</v>
      </c>
    </row>
    <row r="235" spans="1:35" x14ac:dyDescent="0.3">
      <c r="A235" t="s">
        <v>4232</v>
      </c>
      <c r="B235" s="7" t="s">
        <v>4234</v>
      </c>
      <c r="C235" s="11" t="s">
        <v>6633</v>
      </c>
      <c r="D235" s="11">
        <v>900</v>
      </c>
      <c r="E235">
        <v>25</v>
      </c>
      <c r="F235">
        <v>0.35892000000000002</v>
      </c>
      <c r="G235">
        <v>0.35699999999999998</v>
      </c>
      <c r="H235" s="40">
        <f>2*(F235-G235)/(F235+G235)</f>
        <v>5.3637277908147075E-3</v>
      </c>
      <c r="J235">
        <f>VLOOKUP(Misfit[[#This Row],[Shortname]], Comp[], 6, FALSE)</f>
        <v>644</v>
      </c>
      <c r="K235">
        <f>VLOOKUP(Misfit[[#This Row],[Shortname]], Comp[], 7, FALSE)</f>
        <v>74</v>
      </c>
      <c r="L235">
        <f>VLOOKUP(Misfit[[#This Row],[Shortname]], Comp[], 8, FALSE)</f>
        <v>0</v>
      </c>
      <c r="M235">
        <f>VLOOKUP(Misfit[[#This Row],[Shortname]], Comp[], 9, FALSE)</f>
        <v>0</v>
      </c>
      <c r="N235">
        <f>VLOOKUP(Misfit[[#This Row],[Shortname]], Comp[], 10, FALSE)</f>
        <v>15</v>
      </c>
      <c r="O235">
        <f>VLOOKUP(Misfit[[#This Row],[Shortname]], Comp[], 11, FALSE)</f>
        <v>0</v>
      </c>
      <c r="P235">
        <f>VLOOKUP(Misfit[[#This Row],[Shortname]], Comp[],12, FALSE)</f>
        <v>11</v>
      </c>
      <c r="Q235">
        <f>VLOOKUP(Misfit[[#This Row],[Shortname]], Comp[], 13, FALSE)</f>
        <v>0</v>
      </c>
      <c r="R235">
        <f>VLOOKUP(Misfit[[#This Row],[Shortname]], Comp[], 14, FALSE)</f>
        <v>0</v>
      </c>
      <c r="S235">
        <f>VLOOKUP(Misfit[[#This Row],[Shortname]], Comp[], 15, FALSE)</f>
        <v>0</v>
      </c>
      <c r="T235">
        <f>VLOOKUP(Misfit[[#This Row],[Shortname]], Comp[], 16, FALSE)</f>
        <v>0</v>
      </c>
      <c r="U235">
        <f>VLOOKUP(Misfit[[#This Row],[Shortname]], Comp[], 17, FALSE)</f>
        <v>0</v>
      </c>
      <c r="V235">
        <f>VLOOKUP(Misfit[[#This Row],[Shortname]], Comp[], 18, FALSE)</f>
        <v>0</v>
      </c>
      <c r="W235">
        <f>VLOOKUP(Misfit[[#This Row],[Shortname]], Comp[], 19, FALSE)</f>
        <v>0</v>
      </c>
      <c r="X235">
        <f>VLOOKUP(Misfit[[#This Row],[Shortname]], Comp[], 20, FALSE)</f>
        <v>0</v>
      </c>
      <c r="Y235">
        <f>VLOOKUP(Misfit[[#This Row],[Shortname]], Comp[], 21, FALSE)</f>
        <v>0</v>
      </c>
      <c r="Z235">
        <f>VLOOKUP(Misfit[[#This Row],[Shortname]], Comp[], 22, FALSE)</f>
        <v>0</v>
      </c>
      <c r="AA235">
        <f>VLOOKUP(Misfit[[#This Row],[Shortname]], Comp[], 23, FALSE)</f>
        <v>0</v>
      </c>
      <c r="AB235">
        <f>VLOOKUP(Misfit[[#This Row],[Shortname]], Comp[], 24, FALSE)</f>
        <v>0</v>
      </c>
      <c r="AC235">
        <f>VLOOKUP(Misfit[[#This Row],[Shortname]], Comp[], 25, FALSE)</f>
        <v>0</v>
      </c>
      <c r="AD235">
        <f>VLOOKUP(Misfit[[#This Row],[Shortname]], Comp[], 26, FALSE)</f>
        <v>0</v>
      </c>
      <c r="AE235">
        <f>VLOOKUP(Misfit[[#This Row],[Shortname]], Comp[], 27, FALSE)</f>
        <v>0</v>
      </c>
      <c r="AF235">
        <f>VLOOKUP(Misfit[[#This Row],[Shortname]], Comp[], 28, FALSE)</f>
        <v>0</v>
      </c>
      <c r="AG235">
        <f>VLOOKUP(Misfit[[#This Row],[Shortname]], Comp[], 29, FALSE)</f>
        <v>0</v>
      </c>
      <c r="AH235">
        <f>VLOOKUP(Misfit[[#This Row],[Shortname]], Comp[], 30, FALSE)</f>
        <v>0</v>
      </c>
      <c r="AI235">
        <f>VLOOKUP(Misfit[[#This Row],[Shortname]], Comp[], 31, FALSE)</f>
        <v>0</v>
      </c>
    </row>
    <row r="236" spans="1:35" x14ac:dyDescent="0.3">
      <c r="A236" t="s">
        <v>4248</v>
      </c>
      <c r="B236" s="7" t="s">
        <v>4250</v>
      </c>
      <c r="C236" s="3" t="s">
        <v>4243</v>
      </c>
      <c r="D236" s="3">
        <v>900</v>
      </c>
      <c r="E236">
        <v>25</v>
      </c>
      <c r="F236">
        <v>0.35866999999999999</v>
      </c>
      <c r="G236">
        <v>0.35808000000000001</v>
      </c>
      <c r="H236" s="40">
        <v>1.1000000000000001E-3</v>
      </c>
      <c r="J236">
        <f>VLOOKUP(Misfit[[#This Row],[Shortname]], Comp[], 6, FALSE)</f>
        <v>646</v>
      </c>
      <c r="K236">
        <f>VLOOKUP(Misfit[[#This Row],[Shortname]], Comp[], 7, FALSE)</f>
        <v>55.160000000000004</v>
      </c>
      <c r="L236">
        <f>VLOOKUP(Misfit[[#This Row],[Shortname]], Comp[], 8, FALSE)</f>
        <v>18.8</v>
      </c>
      <c r="M236">
        <f>VLOOKUP(Misfit[[#This Row],[Shortname]], Comp[], 9, FALSE)</f>
        <v>9</v>
      </c>
      <c r="N236">
        <f>VLOOKUP(Misfit[[#This Row],[Shortname]], Comp[], 10, FALSE)</f>
        <v>8</v>
      </c>
      <c r="O236">
        <f>VLOOKUP(Misfit[[#This Row],[Shortname]], Comp[], 11, FALSE)</f>
        <v>9</v>
      </c>
      <c r="P236">
        <f>VLOOKUP(Misfit[[#This Row],[Shortname]], Comp[],12, FALSE)</f>
        <v>0</v>
      </c>
      <c r="Q236">
        <f>VLOOKUP(Misfit[[#This Row],[Shortname]], Comp[], 13, FALSE)</f>
        <v>0</v>
      </c>
      <c r="R236">
        <f>VLOOKUP(Misfit[[#This Row],[Shortname]], Comp[], 14, FALSE)</f>
        <v>0</v>
      </c>
      <c r="S236">
        <f>VLOOKUP(Misfit[[#This Row],[Shortname]], Comp[], 15, FALSE)</f>
        <v>0</v>
      </c>
      <c r="T236">
        <f>VLOOKUP(Misfit[[#This Row],[Shortname]], Comp[], 16, FALSE)</f>
        <v>0</v>
      </c>
      <c r="U236">
        <f>VLOOKUP(Misfit[[#This Row],[Shortname]], Comp[], 17, FALSE)</f>
        <v>0</v>
      </c>
      <c r="V236">
        <f>VLOOKUP(Misfit[[#This Row],[Shortname]], Comp[], 18, FALSE)</f>
        <v>0</v>
      </c>
      <c r="W236">
        <f>VLOOKUP(Misfit[[#This Row],[Shortname]], Comp[], 19, FALSE)</f>
        <v>0.04</v>
      </c>
      <c r="X236">
        <f>VLOOKUP(Misfit[[#This Row],[Shortname]], Comp[], 20, FALSE)</f>
        <v>0</v>
      </c>
      <c r="Y236">
        <f>VLOOKUP(Misfit[[#This Row],[Shortname]], Comp[], 21, FALSE)</f>
        <v>0</v>
      </c>
      <c r="Z236">
        <f>VLOOKUP(Misfit[[#This Row],[Shortname]], Comp[], 22, FALSE)</f>
        <v>0</v>
      </c>
      <c r="AA236">
        <f>VLOOKUP(Misfit[[#This Row],[Shortname]], Comp[], 23, FALSE)</f>
        <v>0</v>
      </c>
      <c r="AB236">
        <f>VLOOKUP(Misfit[[#This Row],[Shortname]], Comp[], 24, FALSE)</f>
        <v>0</v>
      </c>
      <c r="AC236">
        <f>VLOOKUP(Misfit[[#This Row],[Shortname]], Comp[], 25, FALSE)</f>
        <v>0</v>
      </c>
      <c r="AD236">
        <f>VLOOKUP(Misfit[[#This Row],[Shortname]], Comp[], 26, FALSE)</f>
        <v>0</v>
      </c>
      <c r="AE236">
        <f>VLOOKUP(Misfit[[#This Row],[Shortname]], Comp[], 27, FALSE)</f>
        <v>0</v>
      </c>
      <c r="AF236">
        <f>VLOOKUP(Misfit[[#This Row],[Shortname]], Comp[], 28, FALSE)</f>
        <v>0</v>
      </c>
      <c r="AG236">
        <f>VLOOKUP(Misfit[[#This Row],[Shortname]], Comp[], 29, FALSE)</f>
        <v>0</v>
      </c>
      <c r="AH236">
        <f>VLOOKUP(Misfit[[#This Row],[Shortname]], Comp[], 30, FALSE)</f>
        <v>0</v>
      </c>
      <c r="AI236">
        <f>VLOOKUP(Misfit[[#This Row],[Shortname]], Comp[], 31, FALSE)</f>
        <v>0</v>
      </c>
    </row>
    <row r="237" spans="1:35" x14ac:dyDescent="0.3">
      <c r="A237" t="s">
        <v>4292</v>
      </c>
      <c r="B237" s="7" t="s">
        <v>4294</v>
      </c>
      <c r="C237" t="s">
        <v>6634</v>
      </c>
      <c r="D237">
        <v>900</v>
      </c>
      <c r="E237">
        <v>25</v>
      </c>
      <c r="H237" s="40">
        <v>1.8699999999999999E-3</v>
      </c>
      <c r="J237">
        <f>VLOOKUP(Misfit[[#This Row],[Shortname]], Comp[], 6, FALSE)</f>
        <v>653</v>
      </c>
      <c r="K237">
        <f>VLOOKUP(Misfit[[#This Row],[Shortname]], Comp[], 7, FALSE)</f>
        <v>75.36</v>
      </c>
      <c r="L237">
        <f>VLOOKUP(Misfit[[#This Row],[Shortname]], Comp[], 8, FALSE)</f>
        <v>0</v>
      </c>
      <c r="M237">
        <f>VLOOKUP(Misfit[[#This Row],[Shortname]], Comp[], 9, FALSE)</f>
        <v>8.6999999999999993</v>
      </c>
      <c r="N237">
        <f>VLOOKUP(Misfit[[#This Row],[Shortname]], Comp[], 10, FALSE)</f>
        <v>8</v>
      </c>
      <c r="O237">
        <f>VLOOKUP(Misfit[[#This Row],[Shortname]], Comp[], 11, FALSE)</f>
        <v>7.9</v>
      </c>
      <c r="P237">
        <f>VLOOKUP(Misfit[[#This Row],[Shortname]], Comp[],12, FALSE)</f>
        <v>0</v>
      </c>
      <c r="Q237">
        <f>VLOOKUP(Misfit[[#This Row],[Shortname]], Comp[], 13, FALSE)</f>
        <v>0</v>
      </c>
      <c r="R237">
        <f>VLOOKUP(Misfit[[#This Row],[Shortname]], Comp[], 14, FALSE)</f>
        <v>0</v>
      </c>
      <c r="S237">
        <f>VLOOKUP(Misfit[[#This Row],[Shortname]], Comp[], 15, FALSE)</f>
        <v>0</v>
      </c>
      <c r="T237">
        <f>VLOOKUP(Misfit[[#This Row],[Shortname]], Comp[], 16, FALSE)</f>
        <v>0</v>
      </c>
      <c r="U237">
        <f>VLOOKUP(Misfit[[#This Row],[Shortname]], Comp[], 17, FALSE)</f>
        <v>0</v>
      </c>
      <c r="V237">
        <f>VLOOKUP(Misfit[[#This Row],[Shortname]], Comp[], 18, FALSE)</f>
        <v>0</v>
      </c>
      <c r="W237">
        <f>VLOOKUP(Misfit[[#This Row],[Shortname]], Comp[], 19, FALSE)</f>
        <v>0.04</v>
      </c>
      <c r="X237">
        <f>VLOOKUP(Misfit[[#This Row],[Shortname]], Comp[], 20, FALSE)</f>
        <v>0</v>
      </c>
      <c r="Y237">
        <f>VLOOKUP(Misfit[[#This Row],[Shortname]], Comp[], 21, FALSE)</f>
        <v>0</v>
      </c>
      <c r="Z237">
        <f>VLOOKUP(Misfit[[#This Row],[Shortname]], Comp[], 22, FALSE)</f>
        <v>0</v>
      </c>
      <c r="AA237">
        <f>VLOOKUP(Misfit[[#This Row],[Shortname]], Comp[], 23, FALSE)</f>
        <v>0</v>
      </c>
      <c r="AB237">
        <f>VLOOKUP(Misfit[[#This Row],[Shortname]], Comp[], 24, FALSE)</f>
        <v>0</v>
      </c>
      <c r="AC237">
        <f>VLOOKUP(Misfit[[#This Row],[Shortname]], Comp[], 25, FALSE)</f>
        <v>0</v>
      </c>
      <c r="AD237">
        <f>VLOOKUP(Misfit[[#This Row],[Shortname]], Comp[], 26, FALSE)</f>
        <v>0</v>
      </c>
      <c r="AE237">
        <f>VLOOKUP(Misfit[[#This Row],[Shortname]], Comp[], 27, FALSE)</f>
        <v>0</v>
      </c>
      <c r="AF237">
        <f>VLOOKUP(Misfit[[#This Row],[Shortname]], Comp[], 28, FALSE)</f>
        <v>0</v>
      </c>
      <c r="AG237">
        <f>VLOOKUP(Misfit[[#This Row],[Shortname]], Comp[], 29, FALSE)</f>
        <v>0</v>
      </c>
      <c r="AH237">
        <f>VLOOKUP(Misfit[[#This Row],[Shortname]], Comp[], 30, FALSE)</f>
        <v>0</v>
      </c>
      <c r="AI237">
        <f>VLOOKUP(Misfit[[#This Row],[Shortname]], Comp[], 31, FALSE)</f>
        <v>0</v>
      </c>
    </row>
    <row r="238" spans="1:35" x14ac:dyDescent="0.3">
      <c r="A238" t="s">
        <v>4280</v>
      </c>
      <c r="B238" s="7" t="s">
        <v>4282</v>
      </c>
      <c r="C238" t="s">
        <v>6634</v>
      </c>
      <c r="D238">
        <v>900</v>
      </c>
      <c r="E238">
        <v>25</v>
      </c>
      <c r="H238" s="40">
        <v>4.0999999999999999E-4</v>
      </c>
      <c r="J238">
        <f>VLOOKUP(Misfit[[#This Row],[Shortname]], Comp[], 6, FALSE)</f>
        <v>651</v>
      </c>
      <c r="K238">
        <f>VLOOKUP(Misfit[[#This Row],[Shortname]], Comp[], 7, FALSE)</f>
        <v>38.160000000000004</v>
      </c>
      <c r="L238">
        <f>VLOOKUP(Misfit[[#This Row],[Shortname]], Comp[], 8, FALSE)</f>
        <v>37.5</v>
      </c>
      <c r="M238">
        <f>VLOOKUP(Misfit[[#This Row],[Shortname]], Comp[], 9, FALSE)</f>
        <v>9</v>
      </c>
      <c r="N238">
        <f>VLOOKUP(Misfit[[#This Row],[Shortname]], Comp[], 10, FALSE)</f>
        <v>8</v>
      </c>
      <c r="O238">
        <f>VLOOKUP(Misfit[[#This Row],[Shortname]], Comp[], 11, FALSE)</f>
        <v>7.3</v>
      </c>
      <c r="P238">
        <f>VLOOKUP(Misfit[[#This Row],[Shortname]], Comp[],12, FALSE)</f>
        <v>0</v>
      </c>
      <c r="Q238">
        <f>VLOOKUP(Misfit[[#This Row],[Shortname]], Comp[], 13, FALSE)</f>
        <v>0</v>
      </c>
      <c r="R238">
        <f>VLOOKUP(Misfit[[#This Row],[Shortname]], Comp[], 14, FALSE)</f>
        <v>0</v>
      </c>
      <c r="S238">
        <f>VLOOKUP(Misfit[[#This Row],[Shortname]], Comp[], 15, FALSE)</f>
        <v>0</v>
      </c>
      <c r="T238">
        <f>VLOOKUP(Misfit[[#This Row],[Shortname]], Comp[], 16, FALSE)</f>
        <v>0</v>
      </c>
      <c r="U238">
        <f>VLOOKUP(Misfit[[#This Row],[Shortname]], Comp[], 17, FALSE)</f>
        <v>0</v>
      </c>
      <c r="V238">
        <f>VLOOKUP(Misfit[[#This Row],[Shortname]], Comp[], 18, FALSE)</f>
        <v>0</v>
      </c>
      <c r="W238">
        <f>VLOOKUP(Misfit[[#This Row],[Shortname]], Comp[], 19, FALSE)</f>
        <v>0.04</v>
      </c>
      <c r="X238">
        <f>VLOOKUP(Misfit[[#This Row],[Shortname]], Comp[], 20, FALSE)</f>
        <v>0</v>
      </c>
      <c r="Y238">
        <f>VLOOKUP(Misfit[[#This Row],[Shortname]], Comp[], 21, FALSE)</f>
        <v>0</v>
      </c>
      <c r="Z238">
        <f>VLOOKUP(Misfit[[#This Row],[Shortname]], Comp[], 22, FALSE)</f>
        <v>0</v>
      </c>
      <c r="AA238">
        <f>VLOOKUP(Misfit[[#This Row],[Shortname]], Comp[], 23, FALSE)</f>
        <v>0</v>
      </c>
      <c r="AB238">
        <f>VLOOKUP(Misfit[[#This Row],[Shortname]], Comp[], 24, FALSE)</f>
        <v>0</v>
      </c>
      <c r="AC238">
        <f>VLOOKUP(Misfit[[#This Row],[Shortname]], Comp[], 25, FALSE)</f>
        <v>0</v>
      </c>
      <c r="AD238">
        <f>VLOOKUP(Misfit[[#This Row],[Shortname]], Comp[], 26, FALSE)</f>
        <v>0</v>
      </c>
      <c r="AE238">
        <f>VLOOKUP(Misfit[[#This Row],[Shortname]], Comp[], 27, FALSE)</f>
        <v>0</v>
      </c>
      <c r="AF238">
        <f>VLOOKUP(Misfit[[#This Row],[Shortname]], Comp[], 28, FALSE)</f>
        <v>0</v>
      </c>
      <c r="AG238">
        <f>VLOOKUP(Misfit[[#This Row],[Shortname]], Comp[], 29, FALSE)</f>
        <v>0</v>
      </c>
      <c r="AH238">
        <f>VLOOKUP(Misfit[[#This Row],[Shortname]], Comp[], 30, FALSE)</f>
        <v>0</v>
      </c>
      <c r="AI238">
        <f>VLOOKUP(Misfit[[#This Row],[Shortname]], Comp[], 31, FALSE)</f>
        <v>0</v>
      </c>
    </row>
    <row r="239" spans="1:35" x14ac:dyDescent="0.3">
      <c r="A239" t="s">
        <v>4286</v>
      </c>
      <c r="B239" s="7" t="s">
        <v>4288</v>
      </c>
      <c r="C239" t="s">
        <v>6634</v>
      </c>
      <c r="D239">
        <v>900</v>
      </c>
      <c r="E239">
        <v>25</v>
      </c>
      <c r="H239" s="40">
        <v>1.09E-3</v>
      </c>
      <c r="J239">
        <f>VLOOKUP(Misfit[[#This Row],[Shortname]], Comp[], 6, FALSE)</f>
        <v>652</v>
      </c>
      <c r="K239">
        <f>VLOOKUP(Misfit[[#This Row],[Shortname]], Comp[], 7, FALSE)</f>
        <v>56.41</v>
      </c>
      <c r="L239">
        <f>VLOOKUP(Misfit[[#This Row],[Shortname]], Comp[], 8, FALSE)</f>
        <v>18.75</v>
      </c>
      <c r="M239">
        <f>VLOOKUP(Misfit[[#This Row],[Shortname]], Comp[], 9, FALSE)</f>
        <v>9.1999999999999993</v>
      </c>
      <c r="N239">
        <f>VLOOKUP(Misfit[[#This Row],[Shortname]], Comp[], 10, FALSE)</f>
        <v>8</v>
      </c>
      <c r="O239">
        <f>VLOOKUP(Misfit[[#This Row],[Shortname]], Comp[], 11, FALSE)</f>
        <v>7.6</v>
      </c>
      <c r="P239">
        <f>VLOOKUP(Misfit[[#This Row],[Shortname]], Comp[],12, FALSE)</f>
        <v>0</v>
      </c>
      <c r="Q239">
        <f>VLOOKUP(Misfit[[#This Row],[Shortname]], Comp[], 13, FALSE)</f>
        <v>0</v>
      </c>
      <c r="R239">
        <f>VLOOKUP(Misfit[[#This Row],[Shortname]], Comp[], 14, FALSE)</f>
        <v>0</v>
      </c>
      <c r="S239">
        <f>VLOOKUP(Misfit[[#This Row],[Shortname]], Comp[], 15, FALSE)</f>
        <v>0</v>
      </c>
      <c r="T239">
        <f>VLOOKUP(Misfit[[#This Row],[Shortname]], Comp[], 16, FALSE)</f>
        <v>0</v>
      </c>
      <c r="U239">
        <f>VLOOKUP(Misfit[[#This Row],[Shortname]], Comp[], 17, FALSE)</f>
        <v>0</v>
      </c>
      <c r="V239">
        <f>VLOOKUP(Misfit[[#This Row],[Shortname]], Comp[], 18, FALSE)</f>
        <v>0</v>
      </c>
      <c r="W239">
        <f>VLOOKUP(Misfit[[#This Row],[Shortname]], Comp[], 19, FALSE)</f>
        <v>0.04</v>
      </c>
      <c r="X239">
        <f>VLOOKUP(Misfit[[#This Row],[Shortname]], Comp[], 20, FALSE)</f>
        <v>0</v>
      </c>
      <c r="Y239">
        <f>VLOOKUP(Misfit[[#This Row],[Shortname]], Comp[], 21, FALSE)</f>
        <v>0</v>
      </c>
      <c r="Z239">
        <f>VLOOKUP(Misfit[[#This Row],[Shortname]], Comp[], 22, FALSE)</f>
        <v>0</v>
      </c>
      <c r="AA239">
        <f>VLOOKUP(Misfit[[#This Row],[Shortname]], Comp[], 23, FALSE)</f>
        <v>0</v>
      </c>
      <c r="AB239">
        <f>VLOOKUP(Misfit[[#This Row],[Shortname]], Comp[], 24, FALSE)</f>
        <v>0</v>
      </c>
      <c r="AC239">
        <f>VLOOKUP(Misfit[[#This Row],[Shortname]], Comp[], 25, FALSE)</f>
        <v>0</v>
      </c>
      <c r="AD239">
        <f>VLOOKUP(Misfit[[#This Row],[Shortname]], Comp[], 26, FALSE)</f>
        <v>0</v>
      </c>
      <c r="AE239">
        <f>VLOOKUP(Misfit[[#This Row],[Shortname]], Comp[], 27, FALSE)</f>
        <v>0</v>
      </c>
      <c r="AF239">
        <f>VLOOKUP(Misfit[[#This Row],[Shortname]], Comp[], 28, FALSE)</f>
        <v>0</v>
      </c>
      <c r="AG239">
        <f>VLOOKUP(Misfit[[#This Row],[Shortname]], Comp[], 29, FALSE)</f>
        <v>0</v>
      </c>
      <c r="AH239">
        <f>VLOOKUP(Misfit[[#This Row],[Shortname]], Comp[], 30, FALSE)</f>
        <v>0</v>
      </c>
      <c r="AI239">
        <f>VLOOKUP(Misfit[[#This Row],[Shortname]], Comp[], 31, FALSE)</f>
        <v>0</v>
      </c>
    </row>
    <row r="240" spans="1:35" x14ac:dyDescent="0.3">
      <c r="A240" t="s">
        <v>4378</v>
      </c>
      <c r="B240" s="7" t="s">
        <v>4380</v>
      </c>
      <c r="C240" s="11" t="s">
        <v>6635</v>
      </c>
      <c r="D240">
        <v>900</v>
      </c>
      <c r="E240">
        <v>25</v>
      </c>
      <c r="H240" s="40">
        <v>3.0000000000000001E-3</v>
      </c>
      <c r="I240" t="s">
        <v>6593</v>
      </c>
      <c r="J240">
        <f>VLOOKUP(Misfit[[#This Row],[Shortname]], Comp[], 6, FALSE)</f>
        <v>666</v>
      </c>
      <c r="K240">
        <f>VLOOKUP(Misfit[[#This Row],[Shortname]], Comp[], 7, FALSE)</f>
        <v>81.3</v>
      </c>
      <c r="L240">
        <f>VLOOKUP(Misfit[[#This Row],[Shortname]], Comp[], 8, FALSE)</f>
        <v>0</v>
      </c>
      <c r="M240">
        <f>VLOOKUP(Misfit[[#This Row],[Shortname]], Comp[], 9, FALSE)</f>
        <v>9.9</v>
      </c>
      <c r="N240">
        <f>VLOOKUP(Misfit[[#This Row],[Shortname]], Comp[], 10, FALSE)</f>
        <v>0</v>
      </c>
      <c r="O240">
        <f>VLOOKUP(Misfit[[#This Row],[Shortname]], Comp[], 11, FALSE)</f>
        <v>8.8000000000000007</v>
      </c>
      <c r="P240">
        <f>VLOOKUP(Misfit[[#This Row],[Shortname]], Comp[],12, FALSE)</f>
        <v>0</v>
      </c>
      <c r="Q240">
        <f>VLOOKUP(Misfit[[#This Row],[Shortname]], Comp[], 13, FALSE)</f>
        <v>0</v>
      </c>
      <c r="R240">
        <f>VLOOKUP(Misfit[[#This Row],[Shortname]], Comp[], 14, FALSE)</f>
        <v>0</v>
      </c>
      <c r="S240">
        <f>VLOOKUP(Misfit[[#This Row],[Shortname]], Comp[], 15, FALSE)</f>
        <v>0</v>
      </c>
      <c r="T240">
        <f>VLOOKUP(Misfit[[#This Row],[Shortname]], Comp[], 16, FALSE)</f>
        <v>0</v>
      </c>
      <c r="U240">
        <f>VLOOKUP(Misfit[[#This Row],[Shortname]], Comp[], 17, FALSE)</f>
        <v>0</v>
      </c>
      <c r="V240">
        <f>VLOOKUP(Misfit[[#This Row],[Shortname]], Comp[], 18, FALSE)</f>
        <v>0</v>
      </c>
      <c r="W240">
        <f>VLOOKUP(Misfit[[#This Row],[Shortname]], Comp[], 19, FALSE)</f>
        <v>0</v>
      </c>
      <c r="X240">
        <f>VLOOKUP(Misfit[[#This Row],[Shortname]], Comp[], 20, FALSE)</f>
        <v>0</v>
      </c>
      <c r="Y240">
        <f>VLOOKUP(Misfit[[#This Row],[Shortname]], Comp[], 21, FALSE)</f>
        <v>0</v>
      </c>
      <c r="Z240">
        <f>VLOOKUP(Misfit[[#This Row],[Shortname]], Comp[], 22, FALSE)</f>
        <v>0</v>
      </c>
      <c r="AA240">
        <f>VLOOKUP(Misfit[[#This Row],[Shortname]], Comp[], 23, FALSE)</f>
        <v>0</v>
      </c>
      <c r="AB240">
        <f>VLOOKUP(Misfit[[#This Row],[Shortname]], Comp[], 24, FALSE)</f>
        <v>0</v>
      </c>
      <c r="AC240">
        <f>VLOOKUP(Misfit[[#This Row],[Shortname]], Comp[], 25, FALSE)</f>
        <v>0</v>
      </c>
      <c r="AD240">
        <f>VLOOKUP(Misfit[[#This Row],[Shortname]], Comp[], 26, FALSE)</f>
        <v>0</v>
      </c>
      <c r="AE240">
        <f>VLOOKUP(Misfit[[#This Row],[Shortname]], Comp[], 27, FALSE)</f>
        <v>0</v>
      </c>
      <c r="AF240">
        <f>VLOOKUP(Misfit[[#This Row],[Shortname]], Comp[], 28, FALSE)</f>
        <v>0</v>
      </c>
      <c r="AG240">
        <f>VLOOKUP(Misfit[[#This Row],[Shortname]], Comp[], 29, FALSE)</f>
        <v>0</v>
      </c>
      <c r="AH240">
        <f>VLOOKUP(Misfit[[#This Row],[Shortname]], Comp[], 30, FALSE)</f>
        <v>0</v>
      </c>
      <c r="AI240">
        <f>VLOOKUP(Misfit[[#This Row],[Shortname]], Comp[], 31, FALSE)</f>
        <v>0</v>
      </c>
    </row>
    <row r="241" spans="1:35" x14ac:dyDescent="0.3">
      <c r="A241" t="s">
        <v>4372</v>
      </c>
      <c r="B241" s="7" t="s">
        <v>4374</v>
      </c>
      <c r="C241" s="11" t="s">
        <v>6635</v>
      </c>
      <c r="D241">
        <v>900</v>
      </c>
      <c r="E241">
        <v>25</v>
      </c>
      <c r="H241" s="40">
        <v>3.9899999999999996E-3</v>
      </c>
      <c r="I241" t="s">
        <v>6593</v>
      </c>
      <c r="J241">
        <f>VLOOKUP(Misfit[[#This Row],[Shortname]], Comp[], 6, FALSE)</f>
        <v>665</v>
      </c>
      <c r="K241">
        <f>VLOOKUP(Misfit[[#This Row],[Shortname]], Comp[], 7, FALSE)</f>
        <v>82.2</v>
      </c>
      <c r="L241">
        <f>VLOOKUP(Misfit[[#This Row],[Shortname]], Comp[], 8, FALSE)</f>
        <v>0</v>
      </c>
      <c r="M241">
        <f>VLOOKUP(Misfit[[#This Row],[Shortname]], Comp[], 9, FALSE)</f>
        <v>8.4</v>
      </c>
      <c r="N241">
        <f>VLOOKUP(Misfit[[#This Row],[Shortname]], Comp[], 10, FALSE)</f>
        <v>0</v>
      </c>
      <c r="O241">
        <f>VLOOKUP(Misfit[[#This Row],[Shortname]], Comp[], 11, FALSE)</f>
        <v>7.5</v>
      </c>
      <c r="P241">
        <f>VLOOKUP(Misfit[[#This Row],[Shortname]], Comp[],12, FALSE)</f>
        <v>1.9</v>
      </c>
      <c r="Q241">
        <f>VLOOKUP(Misfit[[#This Row],[Shortname]], Comp[], 13, FALSE)</f>
        <v>0</v>
      </c>
      <c r="R241">
        <f>VLOOKUP(Misfit[[#This Row],[Shortname]], Comp[], 14, FALSE)</f>
        <v>0</v>
      </c>
      <c r="S241">
        <f>VLOOKUP(Misfit[[#This Row],[Shortname]], Comp[], 15, FALSE)</f>
        <v>0</v>
      </c>
      <c r="T241">
        <f>VLOOKUP(Misfit[[#This Row],[Shortname]], Comp[], 16, FALSE)</f>
        <v>0</v>
      </c>
      <c r="U241">
        <f>VLOOKUP(Misfit[[#This Row],[Shortname]], Comp[], 17, FALSE)</f>
        <v>0</v>
      </c>
      <c r="V241">
        <f>VLOOKUP(Misfit[[#This Row],[Shortname]], Comp[], 18, FALSE)</f>
        <v>0</v>
      </c>
      <c r="W241">
        <f>VLOOKUP(Misfit[[#This Row],[Shortname]], Comp[], 19, FALSE)</f>
        <v>0</v>
      </c>
      <c r="X241">
        <f>VLOOKUP(Misfit[[#This Row],[Shortname]], Comp[], 20, FALSE)</f>
        <v>0</v>
      </c>
      <c r="Y241">
        <f>VLOOKUP(Misfit[[#This Row],[Shortname]], Comp[], 21, FALSE)</f>
        <v>0</v>
      </c>
      <c r="Z241">
        <f>VLOOKUP(Misfit[[#This Row],[Shortname]], Comp[], 22, FALSE)</f>
        <v>0</v>
      </c>
      <c r="AA241">
        <f>VLOOKUP(Misfit[[#This Row],[Shortname]], Comp[], 23, FALSE)</f>
        <v>0</v>
      </c>
      <c r="AB241">
        <f>VLOOKUP(Misfit[[#This Row],[Shortname]], Comp[], 24, FALSE)</f>
        <v>0</v>
      </c>
      <c r="AC241">
        <f>VLOOKUP(Misfit[[#This Row],[Shortname]], Comp[], 25, FALSE)</f>
        <v>0</v>
      </c>
      <c r="AD241">
        <f>VLOOKUP(Misfit[[#This Row],[Shortname]], Comp[], 26, FALSE)</f>
        <v>0</v>
      </c>
      <c r="AE241">
        <f>VLOOKUP(Misfit[[#This Row],[Shortname]], Comp[], 27, FALSE)</f>
        <v>0</v>
      </c>
      <c r="AF241">
        <f>VLOOKUP(Misfit[[#This Row],[Shortname]], Comp[], 28, FALSE)</f>
        <v>0</v>
      </c>
      <c r="AG241">
        <f>VLOOKUP(Misfit[[#This Row],[Shortname]], Comp[], 29, FALSE)</f>
        <v>0</v>
      </c>
      <c r="AH241">
        <f>VLOOKUP(Misfit[[#This Row],[Shortname]], Comp[], 30, FALSE)</f>
        <v>0</v>
      </c>
      <c r="AI241">
        <f>VLOOKUP(Misfit[[#This Row],[Shortname]], Comp[], 31, FALSE)</f>
        <v>0</v>
      </c>
    </row>
    <row r="242" spans="1:35" x14ac:dyDescent="0.3">
      <c r="A242" t="s">
        <v>4359</v>
      </c>
      <c r="B242" s="7" t="s">
        <v>4361</v>
      </c>
      <c r="C242" s="11" t="s">
        <v>6635</v>
      </c>
      <c r="D242">
        <v>900</v>
      </c>
      <c r="E242">
        <v>25</v>
      </c>
      <c r="H242" s="40">
        <v>4.5999999999999999E-3</v>
      </c>
      <c r="I242" t="s">
        <v>6593</v>
      </c>
      <c r="J242">
        <f>VLOOKUP(Misfit[[#This Row],[Shortname]], Comp[], 6, FALSE)</f>
        <v>663</v>
      </c>
      <c r="K242">
        <f>VLOOKUP(Misfit[[#This Row],[Shortname]], Comp[], 7, FALSE)</f>
        <v>83.2</v>
      </c>
      <c r="L242">
        <f>VLOOKUP(Misfit[[#This Row],[Shortname]], Comp[], 8, FALSE)</f>
        <v>0</v>
      </c>
      <c r="M242">
        <f>VLOOKUP(Misfit[[#This Row],[Shortname]], Comp[], 9, FALSE)</f>
        <v>7</v>
      </c>
      <c r="N242">
        <f>VLOOKUP(Misfit[[#This Row],[Shortname]], Comp[], 10, FALSE)</f>
        <v>0</v>
      </c>
      <c r="O242">
        <f>VLOOKUP(Misfit[[#This Row],[Shortname]], Comp[], 11, FALSE)</f>
        <v>6.1</v>
      </c>
      <c r="P242">
        <f>VLOOKUP(Misfit[[#This Row],[Shortname]], Comp[],12, FALSE)</f>
        <v>3.7</v>
      </c>
      <c r="Q242">
        <f>VLOOKUP(Misfit[[#This Row],[Shortname]], Comp[], 13, FALSE)</f>
        <v>0</v>
      </c>
      <c r="R242">
        <f>VLOOKUP(Misfit[[#This Row],[Shortname]], Comp[], 14, FALSE)</f>
        <v>0</v>
      </c>
      <c r="S242">
        <f>VLOOKUP(Misfit[[#This Row],[Shortname]], Comp[], 15, FALSE)</f>
        <v>0</v>
      </c>
      <c r="T242">
        <f>VLOOKUP(Misfit[[#This Row],[Shortname]], Comp[], 16, FALSE)</f>
        <v>0</v>
      </c>
      <c r="U242">
        <f>VLOOKUP(Misfit[[#This Row],[Shortname]], Comp[], 17, FALSE)</f>
        <v>0</v>
      </c>
      <c r="V242">
        <f>VLOOKUP(Misfit[[#This Row],[Shortname]], Comp[], 18, FALSE)</f>
        <v>0</v>
      </c>
      <c r="W242">
        <f>VLOOKUP(Misfit[[#This Row],[Shortname]], Comp[], 19, FALSE)</f>
        <v>0</v>
      </c>
      <c r="X242">
        <f>VLOOKUP(Misfit[[#This Row],[Shortname]], Comp[], 20, FALSE)</f>
        <v>0</v>
      </c>
      <c r="Y242">
        <f>VLOOKUP(Misfit[[#This Row],[Shortname]], Comp[], 21, FALSE)</f>
        <v>0</v>
      </c>
      <c r="Z242">
        <f>VLOOKUP(Misfit[[#This Row],[Shortname]], Comp[], 22, FALSE)</f>
        <v>0</v>
      </c>
      <c r="AA242">
        <f>VLOOKUP(Misfit[[#This Row],[Shortname]], Comp[], 23, FALSE)</f>
        <v>0</v>
      </c>
      <c r="AB242">
        <f>VLOOKUP(Misfit[[#This Row],[Shortname]], Comp[], 24, FALSE)</f>
        <v>0</v>
      </c>
      <c r="AC242">
        <f>VLOOKUP(Misfit[[#This Row],[Shortname]], Comp[], 25, FALSE)</f>
        <v>0</v>
      </c>
      <c r="AD242">
        <f>VLOOKUP(Misfit[[#This Row],[Shortname]], Comp[], 26, FALSE)</f>
        <v>0</v>
      </c>
      <c r="AE242">
        <f>VLOOKUP(Misfit[[#This Row],[Shortname]], Comp[], 27, FALSE)</f>
        <v>0</v>
      </c>
      <c r="AF242">
        <f>VLOOKUP(Misfit[[#This Row],[Shortname]], Comp[], 28, FALSE)</f>
        <v>0</v>
      </c>
      <c r="AG242">
        <f>VLOOKUP(Misfit[[#This Row],[Shortname]], Comp[], 29, FALSE)</f>
        <v>0</v>
      </c>
      <c r="AH242">
        <f>VLOOKUP(Misfit[[#This Row],[Shortname]], Comp[], 30, FALSE)</f>
        <v>0</v>
      </c>
      <c r="AI242">
        <f>VLOOKUP(Misfit[[#This Row],[Shortname]], Comp[], 31, FALSE)</f>
        <v>0</v>
      </c>
    </row>
    <row r="243" spans="1:35" x14ac:dyDescent="0.3">
      <c r="A243" t="s">
        <v>4347</v>
      </c>
      <c r="B243" s="7" t="s">
        <v>4349</v>
      </c>
      <c r="C243" s="11" t="s">
        <v>6635</v>
      </c>
      <c r="D243">
        <v>900</v>
      </c>
      <c r="E243">
        <v>25</v>
      </c>
      <c r="H243" s="40">
        <v>6.6800000000000002E-3</v>
      </c>
      <c r="I243" t="s">
        <v>6593</v>
      </c>
      <c r="J243">
        <f>VLOOKUP(Misfit[[#This Row],[Shortname]], Comp[], 6, FALSE)</f>
        <v>661</v>
      </c>
      <c r="K243">
        <f>VLOOKUP(Misfit[[#This Row],[Shortname]], Comp[], 7, FALSE)</f>
        <v>85.3</v>
      </c>
      <c r="L243">
        <f>VLOOKUP(Misfit[[#This Row],[Shortname]], Comp[], 8, FALSE)</f>
        <v>0</v>
      </c>
      <c r="M243">
        <f>VLOOKUP(Misfit[[#This Row],[Shortname]], Comp[], 9, FALSE)</f>
        <v>4.5</v>
      </c>
      <c r="N243">
        <f>VLOOKUP(Misfit[[#This Row],[Shortname]], Comp[], 10, FALSE)</f>
        <v>0</v>
      </c>
      <c r="O243">
        <f>VLOOKUP(Misfit[[#This Row],[Shortname]], Comp[], 11, FALSE)</f>
        <v>4.0999999999999996</v>
      </c>
      <c r="P243">
        <f>VLOOKUP(Misfit[[#This Row],[Shortname]], Comp[],12, FALSE)</f>
        <v>6.1</v>
      </c>
      <c r="Q243">
        <f>VLOOKUP(Misfit[[#This Row],[Shortname]], Comp[], 13, FALSE)</f>
        <v>0</v>
      </c>
      <c r="R243">
        <f>VLOOKUP(Misfit[[#This Row],[Shortname]], Comp[], 14, FALSE)</f>
        <v>0</v>
      </c>
      <c r="S243">
        <f>VLOOKUP(Misfit[[#This Row],[Shortname]], Comp[], 15, FALSE)</f>
        <v>0</v>
      </c>
      <c r="T243">
        <f>VLOOKUP(Misfit[[#This Row],[Shortname]], Comp[], 16, FALSE)</f>
        <v>0</v>
      </c>
      <c r="U243">
        <f>VLOOKUP(Misfit[[#This Row],[Shortname]], Comp[], 17, FALSE)</f>
        <v>0</v>
      </c>
      <c r="V243">
        <f>VLOOKUP(Misfit[[#This Row],[Shortname]], Comp[], 18, FALSE)</f>
        <v>0</v>
      </c>
      <c r="W243">
        <f>VLOOKUP(Misfit[[#This Row],[Shortname]], Comp[], 19, FALSE)</f>
        <v>0</v>
      </c>
      <c r="X243">
        <f>VLOOKUP(Misfit[[#This Row],[Shortname]], Comp[], 20, FALSE)</f>
        <v>0</v>
      </c>
      <c r="Y243">
        <f>VLOOKUP(Misfit[[#This Row],[Shortname]], Comp[], 21, FALSE)</f>
        <v>0</v>
      </c>
      <c r="Z243">
        <f>VLOOKUP(Misfit[[#This Row],[Shortname]], Comp[], 22, FALSE)</f>
        <v>0</v>
      </c>
      <c r="AA243">
        <f>VLOOKUP(Misfit[[#This Row],[Shortname]], Comp[], 23, FALSE)</f>
        <v>0</v>
      </c>
      <c r="AB243">
        <f>VLOOKUP(Misfit[[#This Row],[Shortname]], Comp[], 24, FALSE)</f>
        <v>0</v>
      </c>
      <c r="AC243">
        <f>VLOOKUP(Misfit[[#This Row],[Shortname]], Comp[], 25, FALSE)</f>
        <v>0</v>
      </c>
      <c r="AD243">
        <f>VLOOKUP(Misfit[[#This Row],[Shortname]], Comp[], 26, FALSE)</f>
        <v>0</v>
      </c>
      <c r="AE243">
        <f>VLOOKUP(Misfit[[#This Row],[Shortname]], Comp[], 27, FALSE)</f>
        <v>0</v>
      </c>
      <c r="AF243">
        <f>VLOOKUP(Misfit[[#This Row],[Shortname]], Comp[], 28, FALSE)</f>
        <v>0</v>
      </c>
      <c r="AG243">
        <f>VLOOKUP(Misfit[[#This Row],[Shortname]], Comp[], 29, FALSE)</f>
        <v>0</v>
      </c>
      <c r="AH243">
        <f>VLOOKUP(Misfit[[#This Row],[Shortname]], Comp[], 30, FALSE)</f>
        <v>0</v>
      </c>
      <c r="AI243">
        <f>VLOOKUP(Misfit[[#This Row],[Shortname]], Comp[], 31, FALSE)</f>
        <v>0</v>
      </c>
    </row>
    <row r="244" spans="1:35" x14ac:dyDescent="0.3">
      <c r="A244" t="s">
        <v>4333</v>
      </c>
      <c r="B244" s="7" t="s">
        <v>4334</v>
      </c>
      <c r="C244" s="11" t="s">
        <v>6635</v>
      </c>
      <c r="D244">
        <v>900</v>
      </c>
      <c r="E244">
        <v>25</v>
      </c>
      <c r="H244" s="40">
        <v>6.4999999999999997E-3</v>
      </c>
      <c r="I244" t="s">
        <v>6593</v>
      </c>
      <c r="J244">
        <f>VLOOKUP(Misfit[[#This Row],[Shortname]], Comp[], 6, FALSE)</f>
        <v>659</v>
      </c>
      <c r="K244">
        <f>VLOOKUP(Misfit[[#This Row],[Shortname]], Comp[], 7, FALSE)</f>
        <v>86.2</v>
      </c>
      <c r="L244">
        <f>VLOOKUP(Misfit[[#This Row],[Shortname]], Comp[], 8, FALSE)</f>
        <v>0</v>
      </c>
      <c r="M244">
        <f>VLOOKUP(Misfit[[#This Row],[Shortname]], Comp[], 9, FALSE)</f>
        <v>2.8</v>
      </c>
      <c r="N244">
        <f>VLOOKUP(Misfit[[#This Row],[Shortname]], Comp[], 10, FALSE)</f>
        <v>0</v>
      </c>
      <c r="O244">
        <f>VLOOKUP(Misfit[[#This Row],[Shortname]], Comp[], 11, FALSE)</f>
        <v>2.5</v>
      </c>
      <c r="P244">
        <f>VLOOKUP(Misfit[[#This Row],[Shortname]], Comp[],12, FALSE)</f>
        <v>8.5</v>
      </c>
      <c r="Q244">
        <f>VLOOKUP(Misfit[[#This Row],[Shortname]], Comp[], 13, FALSE)</f>
        <v>0</v>
      </c>
      <c r="R244">
        <f>VLOOKUP(Misfit[[#This Row],[Shortname]], Comp[], 14, FALSE)</f>
        <v>0</v>
      </c>
      <c r="S244">
        <f>VLOOKUP(Misfit[[#This Row],[Shortname]], Comp[], 15, FALSE)</f>
        <v>0</v>
      </c>
      <c r="T244">
        <f>VLOOKUP(Misfit[[#This Row],[Shortname]], Comp[], 16, FALSE)</f>
        <v>0</v>
      </c>
      <c r="U244">
        <f>VLOOKUP(Misfit[[#This Row],[Shortname]], Comp[], 17, FALSE)</f>
        <v>0</v>
      </c>
      <c r="V244">
        <f>VLOOKUP(Misfit[[#This Row],[Shortname]], Comp[], 18, FALSE)</f>
        <v>0</v>
      </c>
      <c r="W244">
        <f>VLOOKUP(Misfit[[#This Row],[Shortname]], Comp[], 19, FALSE)</f>
        <v>0</v>
      </c>
      <c r="X244">
        <f>VLOOKUP(Misfit[[#This Row],[Shortname]], Comp[], 20, FALSE)</f>
        <v>0</v>
      </c>
      <c r="Y244">
        <f>VLOOKUP(Misfit[[#This Row],[Shortname]], Comp[], 21, FALSE)</f>
        <v>0</v>
      </c>
      <c r="Z244">
        <f>VLOOKUP(Misfit[[#This Row],[Shortname]], Comp[], 22, FALSE)</f>
        <v>0</v>
      </c>
      <c r="AA244">
        <f>VLOOKUP(Misfit[[#This Row],[Shortname]], Comp[], 23, FALSE)</f>
        <v>0</v>
      </c>
      <c r="AB244">
        <f>VLOOKUP(Misfit[[#This Row],[Shortname]], Comp[], 24, FALSE)</f>
        <v>0</v>
      </c>
      <c r="AC244">
        <f>VLOOKUP(Misfit[[#This Row],[Shortname]], Comp[], 25, FALSE)</f>
        <v>0</v>
      </c>
      <c r="AD244">
        <f>VLOOKUP(Misfit[[#This Row],[Shortname]], Comp[], 26, FALSE)</f>
        <v>0</v>
      </c>
      <c r="AE244">
        <f>VLOOKUP(Misfit[[#This Row],[Shortname]], Comp[], 27, FALSE)</f>
        <v>0</v>
      </c>
      <c r="AF244">
        <f>VLOOKUP(Misfit[[#This Row],[Shortname]], Comp[], 28, FALSE)</f>
        <v>0</v>
      </c>
      <c r="AG244">
        <f>VLOOKUP(Misfit[[#This Row],[Shortname]], Comp[], 29, FALSE)</f>
        <v>0</v>
      </c>
      <c r="AH244">
        <f>VLOOKUP(Misfit[[#This Row],[Shortname]], Comp[], 30, FALSE)</f>
        <v>0</v>
      </c>
      <c r="AI244">
        <f>VLOOKUP(Misfit[[#This Row],[Shortname]], Comp[], 31, FALSE)</f>
        <v>0</v>
      </c>
    </row>
    <row r="245" spans="1:35" x14ac:dyDescent="0.3">
      <c r="A245" t="s">
        <v>4318</v>
      </c>
      <c r="B245" s="7" t="s">
        <v>4320</v>
      </c>
      <c r="C245" s="11" t="s">
        <v>6635</v>
      </c>
      <c r="D245">
        <v>900</v>
      </c>
      <c r="E245">
        <v>25</v>
      </c>
      <c r="H245" s="40">
        <v>6.8799999999999998E-3</v>
      </c>
      <c r="I245" t="s">
        <v>6593</v>
      </c>
      <c r="J245">
        <f>VLOOKUP(Misfit[[#This Row],[Shortname]], Comp[], 6, FALSE)</f>
        <v>657</v>
      </c>
      <c r="K245">
        <f>VLOOKUP(Misfit[[#This Row],[Shortname]], Comp[], 7, FALSE)</f>
        <v>87</v>
      </c>
      <c r="L245">
        <f>VLOOKUP(Misfit[[#This Row],[Shortname]], Comp[], 8, FALSE)</f>
        <v>0</v>
      </c>
      <c r="M245">
        <f>VLOOKUP(Misfit[[#This Row],[Shortname]], Comp[], 9, FALSE)</f>
        <v>1.4</v>
      </c>
      <c r="N245">
        <f>VLOOKUP(Misfit[[#This Row],[Shortname]], Comp[], 10, FALSE)</f>
        <v>0</v>
      </c>
      <c r="O245">
        <f>VLOOKUP(Misfit[[#This Row],[Shortname]], Comp[], 11, FALSE)</f>
        <v>1.3</v>
      </c>
      <c r="P245">
        <f>VLOOKUP(Misfit[[#This Row],[Shortname]], Comp[],12, FALSE)</f>
        <v>10.3</v>
      </c>
      <c r="Q245">
        <f>VLOOKUP(Misfit[[#This Row],[Shortname]], Comp[], 13, FALSE)</f>
        <v>0</v>
      </c>
      <c r="R245">
        <f>VLOOKUP(Misfit[[#This Row],[Shortname]], Comp[], 14, FALSE)</f>
        <v>0</v>
      </c>
      <c r="S245">
        <f>VLOOKUP(Misfit[[#This Row],[Shortname]], Comp[], 15, FALSE)</f>
        <v>0</v>
      </c>
      <c r="T245">
        <f>VLOOKUP(Misfit[[#This Row],[Shortname]], Comp[], 16, FALSE)</f>
        <v>0</v>
      </c>
      <c r="U245">
        <f>VLOOKUP(Misfit[[#This Row],[Shortname]], Comp[], 17, FALSE)</f>
        <v>0</v>
      </c>
      <c r="V245">
        <f>VLOOKUP(Misfit[[#This Row],[Shortname]], Comp[], 18, FALSE)</f>
        <v>0</v>
      </c>
      <c r="W245">
        <f>VLOOKUP(Misfit[[#This Row],[Shortname]], Comp[], 19, FALSE)</f>
        <v>0</v>
      </c>
      <c r="X245">
        <f>VLOOKUP(Misfit[[#This Row],[Shortname]], Comp[], 20, FALSE)</f>
        <v>0</v>
      </c>
      <c r="Y245">
        <f>VLOOKUP(Misfit[[#This Row],[Shortname]], Comp[], 21, FALSE)</f>
        <v>0</v>
      </c>
      <c r="Z245">
        <f>VLOOKUP(Misfit[[#This Row],[Shortname]], Comp[], 22, FALSE)</f>
        <v>0</v>
      </c>
      <c r="AA245">
        <f>VLOOKUP(Misfit[[#This Row],[Shortname]], Comp[], 23, FALSE)</f>
        <v>0</v>
      </c>
      <c r="AB245">
        <f>VLOOKUP(Misfit[[#This Row],[Shortname]], Comp[], 24, FALSE)</f>
        <v>0</v>
      </c>
      <c r="AC245">
        <f>VLOOKUP(Misfit[[#This Row],[Shortname]], Comp[], 25, FALSE)</f>
        <v>0</v>
      </c>
      <c r="AD245">
        <f>VLOOKUP(Misfit[[#This Row],[Shortname]], Comp[], 26, FALSE)</f>
        <v>0</v>
      </c>
      <c r="AE245">
        <f>VLOOKUP(Misfit[[#This Row],[Shortname]], Comp[], 27, FALSE)</f>
        <v>0</v>
      </c>
      <c r="AF245">
        <f>VLOOKUP(Misfit[[#This Row],[Shortname]], Comp[], 28, FALSE)</f>
        <v>0</v>
      </c>
      <c r="AG245">
        <f>VLOOKUP(Misfit[[#This Row],[Shortname]], Comp[], 29, FALSE)</f>
        <v>0</v>
      </c>
      <c r="AH245">
        <f>VLOOKUP(Misfit[[#This Row],[Shortname]], Comp[], 30, FALSE)</f>
        <v>0</v>
      </c>
      <c r="AI245">
        <f>VLOOKUP(Misfit[[#This Row],[Shortname]], Comp[], 31, FALSE)</f>
        <v>0</v>
      </c>
    </row>
    <row r="246" spans="1:35" x14ac:dyDescent="0.3">
      <c r="A246" t="s">
        <v>4305</v>
      </c>
      <c r="B246" s="7" t="s">
        <v>4306</v>
      </c>
      <c r="C246" s="11" t="s">
        <v>6635</v>
      </c>
      <c r="D246">
        <v>900</v>
      </c>
      <c r="E246">
        <v>25</v>
      </c>
      <c r="H246" s="40">
        <v>7.3000000000000001E-3</v>
      </c>
      <c r="I246" t="s">
        <v>6593</v>
      </c>
      <c r="J246">
        <f>VLOOKUP(Misfit[[#This Row],[Shortname]], Comp[], 6, FALSE)</f>
        <v>655</v>
      </c>
      <c r="K246">
        <f>VLOOKUP(Misfit[[#This Row],[Shortname]], Comp[], 7, FALSE)</f>
        <v>87.8</v>
      </c>
      <c r="L246">
        <f>VLOOKUP(Misfit[[#This Row],[Shortname]], Comp[], 8, FALSE)</f>
        <v>0</v>
      </c>
      <c r="M246">
        <f>VLOOKUP(Misfit[[#This Row],[Shortname]], Comp[], 9, FALSE)</f>
        <v>0</v>
      </c>
      <c r="N246">
        <f>VLOOKUP(Misfit[[#This Row],[Shortname]], Comp[], 10, FALSE)</f>
        <v>0</v>
      </c>
      <c r="O246">
        <f>VLOOKUP(Misfit[[#This Row],[Shortname]], Comp[], 11, FALSE)</f>
        <v>0</v>
      </c>
      <c r="P246">
        <f>VLOOKUP(Misfit[[#This Row],[Shortname]], Comp[],12, FALSE)</f>
        <v>12.2</v>
      </c>
      <c r="Q246">
        <f>VLOOKUP(Misfit[[#This Row],[Shortname]], Comp[], 13, FALSE)</f>
        <v>0</v>
      </c>
      <c r="R246">
        <f>VLOOKUP(Misfit[[#This Row],[Shortname]], Comp[], 14, FALSE)</f>
        <v>0</v>
      </c>
      <c r="S246">
        <f>VLOOKUP(Misfit[[#This Row],[Shortname]], Comp[], 15, FALSE)</f>
        <v>0</v>
      </c>
      <c r="T246">
        <f>VLOOKUP(Misfit[[#This Row],[Shortname]], Comp[], 16, FALSE)</f>
        <v>0</v>
      </c>
      <c r="U246">
        <f>VLOOKUP(Misfit[[#This Row],[Shortname]], Comp[], 17, FALSE)</f>
        <v>0</v>
      </c>
      <c r="V246">
        <f>VLOOKUP(Misfit[[#This Row],[Shortname]], Comp[], 18, FALSE)</f>
        <v>0</v>
      </c>
      <c r="W246">
        <f>VLOOKUP(Misfit[[#This Row],[Shortname]], Comp[], 19, FALSE)</f>
        <v>0</v>
      </c>
      <c r="X246">
        <f>VLOOKUP(Misfit[[#This Row],[Shortname]], Comp[], 20, FALSE)</f>
        <v>0</v>
      </c>
      <c r="Y246">
        <f>VLOOKUP(Misfit[[#This Row],[Shortname]], Comp[], 21, FALSE)</f>
        <v>0</v>
      </c>
      <c r="Z246">
        <f>VLOOKUP(Misfit[[#This Row],[Shortname]], Comp[], 22, FALSE)</f>
        <v>0</v>
      </c>
      <c r="AA246">
        <f>VLOOKUP(Misfit[[#This Row],[Shortname]], Comp[], 23, FALSE)</f>
        <v>0</v>
      </c>
      <c r="AB246">
        <f>VLOOKUP(Misfit[[#This Row],[Shortname]], Comp[], 24, FALSE)</f>
        <v>0</v>
      </c>
      <c r="AC246">
        <f>VLOOKUP(Misfit[[#This Row],[Shortname]], Comp[], 25, FALSE)</f>
        <v>0</v>
      </c>
      <c r="AD246">
        <f>VLOOKUP(Misfit[[#This Row],[Shortname]], Comp[], 26, FALSE)</f>
        <v>0</v>
      </c>
      <c r="AE246">
        <f>VLOOKUP(Misfit[[#This Row],[Shortname]], Comp[], 27, FALSE)</f>
        <v>0</v>
      </c>
      <c r="AF246">
        <f>VLOOKUP(Misfit[[#This Row],[Shortname]], Comp[], 28, FALSE)</f>
        <v>0</v>
      </c>
      <c r="AG246">
        <f>VLOOKUP(Misfit[[#This Row],[Shortname]], Comp[], 29, FALSE)</f>
        <v>0</v>
      </c>
      <c r="AH246">
        <f>VLOOKUP(Misfit[[#This Row],[Shortname]], Comp[], 30, FALSE)</f>
        <v>0</v>
      </c>
      <c r="AI246">
        <f>VLOOKUP(Misfit[[#This Row],[Shortname]], Comp[], 31, FALSE)</f>
        <v>0</v>
      </c>
    </row>
    <row r="247" spans="1:35" x14ac:dyDescent="0.3">
      <c r="A247" t="s">
        <v>4389</v>
      </c>
      <c r="B247" s="7" t="s">
        <v>4391</v>
      </c>
      <c r="C247" t="s">
        <v>6636</v>
      </c>
      <c r="D247">
        <v>1000</v>
      </c>
      <c r="E247">
        <v>25</v>
      </c>
      <c r="F247">
        <v>0.36169000000000001</v>
      </c>
      <c r="G247">
        <v>0.35975000000000001</v>
      </c>
      <c r="H247" s="40">
        <f>2*(F247-G247)/(F247+G247)</f>
        <v>5.3781326236415974E-3</v>
      </c>
      <c r="J247">
        <f>VLOOKUP(Misfit[[#This Row],[Shortname]], Comp[], 6, FALSE)</f>
        <v>668</v>
      </c>
      <c r="K247">
        <f>VLOOKUP(Misfit[[#This Row],[Shortname]], Comp[], 7, FALSE)</f>
        <v>43.830000000000013</v>
      </c>
      <c r="L247">
        <f>VLOOKUP(Misfit[[#This Row],[Shortname]], Comp[], 8, FALSE)</f>
        <v>30.04</v>
      </c>
      <c r="M247">
        <f>VLOOKUP(Misfit[[#This Row],[Shortname]], Comp[], 9, FALSE)</f>
        <v>4.08</v>
      </c>
      <c r="N247">
        <f>VLOOKUP(Misfit[[#This Row],[Shortname]], Comp[], 10, FALSE)</f>
        <v>11.95</v>
      </c>
      <c r="O247">
        <f>VLOOKUP(Misfit[[#This Row],[Shortname]], Comp[], 11, FALSE)</f>
        <v>1.98</v>
      </c>
      <c r="P247">
        <f>VLOOKUP(Misfit[[#This Row],[Shortname]], Comp[],12, FALSE)</f>
        <v>4.8499999999999996</v>
      </c>
      <c r="Q247">
        <f>VLOOKUP(Misfit[[#This Row],[Shortname]], Comp[], 13, FALSE)</f>
        <v>1.04</v>
      </c>
      <c r="R247">
        <f>VLOOKUP(Misfit[[#This Row],[Shortname]], Comp[], 14, FALSE)</f>
        <v>0</v>
      </c>
      <c r="S247">
        <f>VLOOKUP(Misfit[[#This Row],[Shortname]], Comp[], 15, FALSE)</f>
        <v>0</v>
      </c>
      <c r="T247">
        <f>VLOOKUP(Misfit[[#This Row],[Shortname]], Comp[], 16, FALSE)</f>
        <v>1.55</v>
      </c>
      <c r="U247">
        <f>VLOOKUP(Misfit[[#This Row],[Shortname]], Comp[], 17, FALSE)</f>
        <v>7.0000000000000007E-2</v>
      </c>
      <c r="V247">
        <f>VLOOKUP(Misfit[[#This Row],[Shortname]], Comp[], 18, FALSE)</f>
        <v>0.01</v>
      </c>
      <c r="W247">
        <f>VLOOKUP(Misfit[[#This Row],[Shortname]], Comp[], 19, FALSE)</f>
        <v>0.09</v>
      </c>
      <c r="X247">
        <f>VLOOKUP(Misfit[[#This Row],[Shortname]], Comp[], 20, FALSE)</f>
        <v>0</v>
      </c>
      <c r="Y247">
        <f>VLOOKUP(Misfit[[#This Row],[Shortname]], Comp[], 21, FALSE)</f>
        <v>0</v>
      </c>
      <c r="Z247">
        <f>VLOOKUP(Misfit[[#This Row],[Shortname]], Comp[], 22, FALSE)</f>
        <v>0.41</v>
      </c>
      <c r="AA247">
        <f>VLOOKUP(Misfit[[#This Row],[Shortname]], Comp[], 23, FALSE)</f>
        <v>0</v>
      </c>
      <c r="AB247">
        <f>VLOOKUP(Misfit[[#This Row],[Shortname]], Comp[], 24, FALSE)</f>
        <v>0</v>
      </c>
      <c r="AC247">
        <f>VLOOKUP(Misfit[[#This Row],[Shortname]], Comp[], 25, FALSE)</f>
        <v>0.1</v>
      </c>
      <c r="AD247">
        <f>VLOOKUP(Misfit[[#This Row],[Shortname]], Comp[], 26, FALSE)</f>
        <v>0</v>
      </c>
      <c r="AE247">
        <f>VLOOKUP(Misfit[[#This Row],[Shortname]], Comp[], 27, FALSE)</f>
        <v>0</v>
      </c>
      <c r="AF247">
        <f>VLOOKUP(Misfit[[#This Row],[Shortname]], Comp[], 28, FALSE)</f>
        <v>0</v>
      </c>
      <c r="AG247">
        <f>VLOOKUP(Misfit[[#This Row],[Shortname]], Comp[], 29, FALSE)</f>
        <v>0</v>
      </c>
      <c r="AH247">
        <f>VLOOKUP(Misfit[[#This Row],[Shortname]], Comp[], 30, FALSE)</f>
        <v>0</v>
      </c>
      <c r="AI247">
        <f>VLOOKUP(Misfit[[#This Row],[Shortname]], Comp[], 31, FALSE)</f>
        <v>0</v>
      </c>
    </row>
    <row r="248" spans="1:35" x14ac:dyDescent="0.3">
      <c r="A248" t="s">
        <v>4400</v>
      </c>
      <c r="B248" s="7" t="s">
        <v>4402</v>
      </c>
      <c r="C248" t="s">
        <v>6636</v>
      </c>
      <c r="D248">
        <v>1000</v>
      </c>
      <c r="E248">
        <v>25</v>
      </c>
      <c r="F248">
        <v>0.36120000000000002</v>
      </c>
      <c r="G248">
        <v>0.3594</v>
      </c>
      <c r="H248" s="40">
        <f>2*(F248-G248)/(F248+G248)</f>
        <v>4.9958368026645121E-3</v>
      </c>
      <c r="J248">
        <f>VLOOKUP(Misfit[[#This Row],[Shortname]], Comp[], 6, FALSE)</f>
        <v>669</v>
      </c>
      <c r="K248">
        <f>VLOOKUP(Misfit[[#This Row],[Shortname]], Comp[], 7, FALSE)</f>
        <v>42.794999999999995</v>
      </c>
      <c r="L248">
        <f>VLOOKUP(Misfit[[#This Row],[Shortname]], Comp[], 8, FALSE)</f>
        <v>30.1</v>
      </c>
      <c r="M248">
        <f>VLOOKUP(Misfit[[#This Row],[Shortname]], Comp[], 9, FALSE)</f>
        <v>5.59</v>
      </c>
      <c r="N248">
        <f>VLOOKUP(Misfit[[#This Row],[Shortname]], Comp[], 10, FALSE)</f>
        <v>11.89</v>
      </c>
      <c r="O248">
        <f>VLOOKUP(Misfit[[#This Row],[Shortname]], Comp[], 11, FALSE)</f>
        <v>2.1</v>
      </c>
      <c r="P248">
        <f>VLOOKUP(Misfit[[#This Row],[Shortname]], Comp[],12, FALSE)</f>
        <v>4.3099999999999996</v>
      </c>
      <c r="Q248">
        <f>VLOOKUP(Misfit[[#This Row],[Shortname]], Comp[], 13, FALSE)</f>
        <v>0.95</v>
      </c>
      <c r="R248">
        <f>VLOOKUP(Misfit[[#This Row],[Shortname]], Comp[], 14, FALSE)</f>
        <v>0</v>
      </c>
      <c r="S248">
        <f>VLOOKUP(Misfit[[#This Row],[Shortname]], Comp[], 15, FALSE)</f>
        <v>0</v>
      </c>
      <c r="T248">
        <f>VLOOKUP(Misfit[[#This Row],[Shortname]], Comp[], 16, FALSE)</f>
        <v>1.6</v>
      </c>
      <c r="U248">
        <f>VLOOKUP(Misfit[[#This Row],[Shortname]], Comp[], 17, FALSE)</f>
        <v>7.0999999999999994E-2</v>
      </c>
      <c r="V248">
        <f>VLOOKUP(Misfit[[#This Row],[Shortname]], Comp[], 18, FALSE)</f>
        <v>8.9999999999999993E-3</v>
      </c>
      <c r="W248">
        <f>VLOOKUP(Misfit[[#This Row],[Shortname]], Comp[], 19, FALSE)</f>
        <v>8.5000000000000006E-2</v>
      </c>
      <c r="X248">
        <f>VLOOKUP(Misfit[[#This Row],[Shortname]], Comp[], 20, FALSE)</f>
        <v>0</v>
      </c>
      <c r="Y248">
        <f>VLOOKUP(Misfit[[#This Row],[Shortname]], Comp[], 21, FALSE)</f>
        <v>0</v>
      </c>
      <c r="Z248">
        <f>VLOOKUP(Misfit[[#This Row],[Shortname]], Comp[], 22, FALSE)</f>
        <v>0.39</v>
      </c>
      <c r="AA248">
        <f>VLOOKUP(Misfit[[#This Row],[Shortname]], Comp[], 23, FALSE)</f>
        <v>0</v>
      </c>
      <c r="AB248">
        <f>VLOOKUP(Misfit[[#This Row],[Shortname]], Comp[], 24, FALSE)</f>
        <v>0</v>
      </c>
      <c r="AC248">
        <f>VLOOKUP(Misfit[[#This Row],[Shortname]], Comp[], 25, FALSE)</f>
        <v>0.11</v>
      </c>
      <c r="AD248">
        <f>VLOOKUP(Misfit[[#This Row],[Shortname]], Comp[], 26, FALSE)</f>
        <v>0</v>
      </c>
      <c r="AE248">
        <f>VLOOKUP(Misfit[[#This Row],[Shortname]], Comp[], 27, FALSE)</f>
        <v>0</v>
      </c>
      <c r="AF248">
        <f>VLOOKUP(Misfit[[#This Row],[Shortname]], Comp[], 28, FALSE)</f>
        <v>0</v>
      </c>
      <c r="AG248">
        <f>VLOOKUP(Misfit[[#This Row],[Shortname]], Comp[], 29, FALSE)</f>
        <v>0</v>
      </c>
      <c r="AH248">
        <f>VLOOKUP(Misfit[[#This Row],[Shortname]], Comp[], 30, FALSE)</f>
        <v>0</v>
      </c>
      <c r="AI248">
        <f>VLOOKUP(Misfit[[#This Row],[Shortname]], Comp[], 31, FALSE)</f>
        <v>0</v>
      </c>
    </row>
    <row r="249" spans="1:35" x14ac:dyDescent="0.3">
      <c r="A249" t="s">
        <v>4407</v>
      </c>
      <c r="B249" s="7" t="s">
        <v>4409</v>
      </c>
      <c r="C249" t="s">
        <v>6636</v>
      </c>
      <c r="D249">
        <v>1000</v>
      </c>
      <c r="E249">
        <v>25</v>
      </c>
      <c r="F249">
        <v>0.35985</v>
      </c>
      <c r="G249">
        <v>0.35857</v>
      </c>
      <c r="H249" s="40">
        <f>2*(F249-G249)/(F249+G249)</f>
        <v>3.5633751844325137E-3</v>
      </c>
      <c r="J249">
        <f>VLOOKUP(Misfit[[#This Row],[Shortname]], Comp[], 6, FALSE)</f>
        <v>670</v>
      </c>
      <c r="K249">
        <f>VLOOKUP(Misfit[[#This Row],[Shortname]], Comp[], 7, FALSE)</f>
        <v>42.246000000000002</v>
      </c>
      <c r="L249">
        <f>VLOOKUP(Misfit[[#This Row],[Shortname]], Comp[], 8, FALSE)</f>
        <v>30.08</v>
      </c>
      <c r="M249">
        <f>VLOOKUP(Misfit[[#This Row],[Shortname]], Comp[], 9, FALSE)</f>
        <v>7.1</v>
      </c>
      <c r="N249">
        <f>VLOOKUP(Misfit[[#This Row],[Shortname]], Comp[], 10, FALSE)</f>
        <v>12.1</v>
      </c>
      <c r="O249">
        <f>VLOOKUP(Misfit[[#This Row],[Shortname]], Comp[], 11, FALSE)</f>
        <v>2.04</v>
      </c>
      <c r="P249">
        <f>VLOOKUP(Misfit[[#This Row],[Shortname]], Comp[],12, FALSE)</f>
        <v>3.47</v>
      </c>
      <c r="Q249">
        <f>VLOOKUP(Misfit[[#This Row],[Shortname]], Comp[], 13, FALSE)</f>
        <v>1.03</v>
      </c>
      <c r="R249">
        <f>VLOOKUP(Misfit[[#This Row],[Shortname]], Comp[], 14, FALSE)</f>
        <v>0</v>
      </c>
      <c r="S249">
        <f>VLOOKUP(Misfit[[#This Row],[Shortname]], Comp[], 15, FALSE)</f>
        <v>0</v>
      </c>
      <c r="T249">
        <f>VLOOKUP(Misfit[[#This Row],[Shortname]], Comp[], 16, FALSE)</f>
        <v>1.26</v>
      </c>
      <c r="U249">
        <f>VLOOKUP(Misfit[[#This Row],[Shortname]], Comp[], 17, FALSE)</f>
        <v>0.08</v>
      </c>
      <c r="V249">
        <f>VLOOKUP(Misfit[[#This Row],[Shortname]], Comp[], 18, FALSE)</f>
        <v>8.9999999999999993E-3</v>
      </c>
      <c r="W249">
        <f>VLOOKUP(Misfit[[#This Row],[Shortname]], Comp[], 19, FALSE)</f>
        <v>8.5000000000000006E-2</v>
      </c>
      <c r="X249">
        <f>VLOOKUP(Misfit[[#This Row],[Shortname]], Comp[], 20, FALSE)</f>
        <v>0</v>
      </c>
      <c r="Y249">
        <f>VLOOKUP(Misfit[[#This Row],[Shortname]], Comp[], 21, FALSE)</f>
        <v>0</v>
      </c>
      <c r="Z249">
        <f>VLOOKUP(Misfit[[#This Row],[Shortname]], Comp[], 22, FALSE)</f>
        <v>0.39</v>
      </c>
      <c r="AA249">
        <f>VLOOKUP(Misfit[[#This Row],[Shortname]], Comp[], 23, FALSE)</f>
        <v>0</v>
      </c>
      <c r="AB249">
        <f>VLOOKUP(Misfit[[#This Row],[Shortname]], Comp[], 24, FALSE)</f>
        <v>0</v>
      </c>
      <c r="AC249">
        <f>VLOOKUP(Misfit[[#This Row],[Shortname]], Comp[], 25, FALSE)</f>
        <v>0.11</v>
      </c>
      <c r="AD249">
        <f>VLOOKUP(Misfit[[#This Row],[Shortname]], Comp[], 26, FALSE)</f>
        <v>0</v>
      </c>
      <c r="AE249">
        <f>VLOOKUP(Misfit[[#This Row],[Shortname]], Comp[], 27, FALSE)</f>
        <v>0</v>
      </c>
      <c r="AF249">
        <f>VLOOKUP(Misfit[[#This Row],[Shortname]], Comp[], 28, FALSE)</f>
        <v>0</v>
      </c>
      <c r="AG249">
        <f>VLOOKUP(Misfit[[#This Row],[Shortname]], Comp[], 29, FALSE)</f>
        <v>0</v>
      </c>
      <c r="AH249">
        <f>VLOOKUP(Misfit[[#This Row],[Shortname]], Comp[], 30, FALSE)</f>
        <v>0</v>
      </c>
      <c r="AI249">
        <f>VLOOKUP(Misfit[[#This Row],[Shortname]], Comp[], 31, FALSE)</f>
        <v>0</v>
      </c>
    </row>
    <row r="250" spans="1:35" x14ac:dyDescent="0.3">
      <c r="A250" t="s">
        <v>4853</v>
      </c>
      <c r="B250" s="7" t="s">
        <v>4855</v>
      </c>
      <c r="C250" s="11" t="s">
        <v>6637</v>
      </c>
      <c r="D250" s="11">
        <v>900</v>
      </c>
      <c r="E250">
        <v>900</v>
      </c>
      <c r="F250">
        <v>0.3649</v>
      </c>
      <c r="G250">
        <v>0.36149999999999999</v>
      </c>
      <c r="H250" s="40">
        <v>9.4999999999999998E-3</v>
      </c>
      <c r="J250">
        <f>VLOOKUP(Misfit[[#This Row],[Shortname]], Comp[], 6, FALSE)</f>
        <v>740</v>
      </c>
      <c r="K250">
        <f>VLOOKUP(Misfit[[#This Row],[Shortname]], Comp[], 7, FALSE)</f>
        <v>79.61</v>
      </c>
      <c r="L250">
        <f>VLOOKUP(Misfit[[#This Row],[Shortname]], Comp[], 8, FALSE)</f>
        <v>0</v>
      </c>
      <c r="M250">
        <f>VLOOKUP(Misfit[[#This Row],[Shortname]], Comp[], 9, FALSE)</f>
        <v>7.98</v>
      </c>
      <c r="N250">
        <f>VLOOKUP(Misfit[[#This Row],[Shortname]], Comp[], 10, FALSE)</f>
        <v>0</v>
      </c>
      <c r="O250">
        <f>VLOOKUP(Misfit[[#This Row],[Shortname]], Comp[], 11, FALSE)</f>
        <v>7.08</v>
      </c>
      <c r="P250">
        <f>VLOOKUP(Misfit[[#This Row],[Shortname]], Comp[],12, FALSE)</f>
        <v>4.22</v>
      </c>
      <c r="Q250">
        <f>VLOOKUP(Misfit[[#This Row],[Shortname]], Comp[], 13, FALSE)</f>
        <v>1.1100000000000001</v>
      </c>
      <c r="R250">
        <f>VLOOKUP(Misfit[[#This Row],[Shortname]], Comp[], 14, FALSE)</f>
        <v>0</v>
      </c>
      <c r="S250">
        <f>VLOOKUP(Misfit[[#This Row],[Shortname]], Comp[], 15, FALSE)</f>
        <v>0</v>
      </c>
      <c r="T250">
        <f>VLOOKUP(Misfit[[#This Row],[Shortname]], Comp[], 16, FALSE)</f>
        <v>0</v>
      </c>
      <c r="U250">
        <f>VLOOKUP(Misfit[[#This Row],[Shortname]], Comp[], 17, FALSE)</f>
        <v>0</v>
      </c>
      <c r="V250">
        <f>VLOOKUP(Misfit[[#This Row],[Shortname]], Comp[], 18, FALSE)</f>
        <v>0</v>
      </c>
      <c r="W250">
        <f>VLOOKUP(Misfit[[#This Row],[Shortname]], Comp[], 19, FALSE)</f>
        <v>0</v>
      </c>
      <c r="X250">
        <f>VLOOKUP(Misfit[[#This Row],[Shortname]], Comp[], 20, FALSE)</f>
        <v>0</v>
      </c>
      <c r="Y250">
        <f>VLOOKUP(Misfit[[#This Row],[Shortname]], Comp[], 21, FALSE)</f>
        <v>0</v>
      </c>
      <c r="Z250">
        <f>VLOOKUP(Misfit[[#This Row],[Shortname]], Comp[], 22, FALSE)</f>
        <v>0</v>
      </c>
      <c r="AA250">
        <f>VLOOKUP(Misfit[[#This Row],[Shortname]], Comp[], 23, FALSE)</f>
        <v>0</v>
      </c>
      <c r="AB250">
        <f>VLOOKUP(Misfit[[#This Row],[Shortname]], Comp[], 24, FALSE)</f>
        <v>0</v>
      </c>
      <c r="AC250">
        <f>VLOOKUP(Misfit[[#This Row],[Shortname]], Comp[], 25, FALSE)</f>
        <v>0</v>
      </c>
      <c r="AD250">
        <f>VLOOKUP(Misfit[[#This Row],[Shortname]], Comp[], 26, FALSE)</f>
        <v>0</v>
      </c>
      <c r="AE250">
        <f>VLOOKUP(Misfit[[#This Row],[Shortname]], Comp[], 27, FALSE)</f>
        <v>0</v>
      </c>
      <c r="AF250">
        <f>VLOOKUP(Misfit[[#This Row],[Shortname]], Comp[], 28, FALSE)</f>
        <v>0</v>
      </c>
      <c r="AG250">
        <f>VLOOKUP(Misfit[[#This Row],[Shortname]], Comp[], 29, FALSE)</f>
        <v>0</v>
      </c>
      <c r="AH250">
        <f>VLOOKUP(Misfit[[#This Row],[Shortname]], Comp[], 30, FALSE)</f>
        <v>0</v>
      </c>
      <c r="AI250">
        <f>VLOOKUP(Misfit[[#This Row],[Shortname]], Comp[], 31, FALSE)</f>
        <v>0</v>
      </c>
    </row>
    <row r="251" spans="1:35" x14ac:dyDescent="0.3">
      <c r="A251" t="s">
        <v>4853</v>
      </c>
      <c r="B251" s="7" t="s">
        <v>4855</v>
      </c>
      <c r="C251" s="11" t="s">
        <v>6637</v>
      </c>
      <c r="D251" s="11">
        <v>900</v>
      </c>
      <c r="E251">
        <v>1000</v>
      </c>
      <c r="H251" s="40">
        <v>4.4000000000000003E-3</v>
      </c>
      <c r="I251" t="s">
        <v>6623</v>
      </c>
      <c r="J251">
        <f>VLOOKUP(Misfit[[#This Row],[Shortname]], Comp[], 6, FALSE)</f>
        <v>740</v>
      </c>
      <c r="K251">
        <f>VLOOKUP(Misfit[[#This Row],[Shortname]], Comp[], 7, FALSE)</f>
        <v>79.61</v>
      </c>
      <c r="L251">
        <f>VLOOKUP(Misfit[[#This Row],[Shortname]], Comp[], 8, FALSE)</f>
        <v>0</v>
      </c>
      <c r="M251">
        <f>VLOOKUP(Misfit[[#This Row],[Shortname]], Comp[], 9, FALSE)</f>
        <v>7.98</v>
      </c>
      <c r="N251">
        <f>VLOOKUP(Misfit[[#This Row],[Shortname]], Comp[], 10, FALSE)</f>
        <v>0</v>
      </c>
      <c r="O251">
        <f>VLOOKUP(Misfit[[#This Row],[Shortname]], Comp[], 11, FALSE)</f>
        <v>7.08</v>
      </c>
      <c r="P251">
        <f>VLOOKUP(Misfit[[#This Row],[Shortname]], Comp[],12, FALSE)</f>
        <v>4.22</v>
      </c>
      <c r="Q251">
        <f>VLOOKUP(Misfit[[#This Row],[Shortname]], Comp[], 13, FALSE)</f>
        <v>1.1100000000000001</v>
      </c>
      <c r="R251">
        <f>VLOOKUP(Misfit[[#This Row],[Shortname]], Comp[], 14, FALSE)</f>
        <v>0</v>
      </c>
      <c r="S251">
        <f>VLOOKUP(Misfit[[#This Row],[Shortname]], Comp[], 15, FALSE)</f>
        <v>0</v>
      </c>
      <c r="T251">
        <f>VLOOKUP(Misfit[[#This Row],[Shortname]], Comp[], 16, FALSE)</f>
        <v>0</v>
      </c>
      <c r="U251">
        <f>VLOOKUP(Misfit[[#This Row],[Shortname]], Comp[], 17, FALSE)</f>
        <v>0</v>
      </c>
      <c r="V251">
        <f>VLOOKUP(Misfit[[#This Row],[Shortname]], Comp[], 18, FALSE)</f>
        <v>0</v>
      </c>
      <c r="W251">
        <f>VLOOKUP(Misfit[[#This Row],[Shortname]], Comp[], 19, FALSE)</f>
        <v>0</v>
      </c>
      <c r="X251">
        <f>VLOOKUP(Misfit[[#This Row],[Shortname]], Comp[], 20, FALSE)</f>
        <v>0</v>
      </c>
      <c r="Y251">
        <f>VLOOKUP(Misfit[[#This Row],[Shortname]], Comp[], 21, FALSE)</f>
        <v>0</v>
      </c>
      <c r="Z251">
        <f>VLOOKUP(Misfit[[#This Row],[Shortname]], Comp[], 22, FALSE)</f>
        <v>0</v>
      </c>
      <c r="AA251">
        <f>VLOOKUP(Misfit[[#This Row],[Shortname]], Comp[], 23, FALSE)</f>
        <v>0</v>
      </c>
      <c r="AB251">
        <f>VLOOKUP(Misfit[[#This Row],[Shortname]], Comp[], 24, FALSE)</f>
        <v>0</v>
      </c>
      <c r="AC251">
        <f>VLOOKUP(Misfit[[#This Row],[Shortname]], Comp[], 25, FALSE)</f>
        <v>0</v>
      </c>
      <c r="AD251">
        <f>VLOOKUP(Misfit[[#This Row],[Shortname]], Comp[], 26, FALSE)</f>
        <v>0</v>
      </c>
      <c r="AE251">
        <f>VLOOKUP(Misfit[[#This Row],[Shortname]], Comp[], 27, FALSE)</f>
        <v>0</v>
      </c>
      <c r="AF251">
        <f>VLOOKUP(Misfit[[#This Row],[Shortname]], Comp[], 28, FALSE)</f>
        <v>0</v>
      </c>
      <c r="AG251">
        <f>VLOOKUP(Misfit[[#This Row],[Shortname]], Comp[], 29, FALSE)</f>
        <v>0</v>
      </c>
      <c r="AH251">
        <f>VLOOKUP(Misfit[[#This Row],[Shortname]], Comp[], 30, FALSE)</f>
        <v>0</v>
      </c>
      <c r="AI251">
        <f>VLOOKUP(Misfit[[#This Row],[Shortname]], Comp[], 31, FALSE)</f>
        <v>0</v>
      </c>
    </row>
    <row r="252" spans="1:35" x14ac:dyDescent="0.3">
      <c r="A252" t="s">
        <v>1673</v>
      </c>
      <c r="B252" t="s">
        <v>1675</v>
      </c>
      <c r="C252" s="3" t="s">
        <v>4959</v>
      </c>
      <c r="D252" s="3">
        <v>800</v>
      </c>
      <c r="E252">
        <v>25</v>
      </c>
      <c r="H252" s="40">
        <v>1.2E-2</v>
      </c>
      <c r="J252">
        <f>VLOOKUP(Misfit[[#This Row],[Shortname]], Comp[], 6, FALSE)</f>
        <v>213</v>
      </c>
      <c r="K252">
        <f>VLOOKUP(Misfit[[#This Row],[Shortname]], Comp[], 7, FALSE)</f>
        <v>88</v>
      </c>
      <c r="L252">
        <f>VLOOKUP(Misfit[[#This Row],[Shortname]], Comp[], 8, FALSE)</f>
        <v>0</v>
      </c>
      <c r="M252">
        <f>VLOOKUP(Misfit[[#This Row],[Shortname]], Comp[], 9, FALSE)</f>
        <v>0</v>
      </c>
      <c r="N252">
        <f>VLOOKUP(Misfit[[#This Row],[Shortname]], Comp[], 10, FALSE)</f>
        <v>0</v>
      </c>
      <c r="O252">
        <f>VLOOKUP(Misfit[[#This Row],[Shortname]], Comp[], 11, FALSE)</f>
        <v>0</v>
      </c>
      <c r="P252">
        <f>VLOOKUP(Misfit[[#This Row],[Shortname]], Comp[],12, FALSE)</f>
        <v>12</v>
      </c>
      <c r="Q252">
        <f>VLOOKUP(Misfit[[#This Row],[Shortname]], Comp[], 13, FALSE)</f>
        <v>0</v>
      </c>
      <c r="R252">
        <f>VLOOKUP(Misfit[[#This Row],[Shortname]], Comp[], 14, FALSE)</f>
        <v>0</v>
      </c>
      <c r="S252">
        <f>VLOOKUP(Misfit[[#This Row],[Shortname]], Comp[], 15, FALSE)</f>
        <v>0</v>
      </c>
      <c r="T252">
        <f>VLOOKUP(Misfit[[#This Row],[Shortname]], Comp[], 16, FALSE)</f>
        <v>0</v>
      </c>
      <c r="U252">
        <f>VLOOKUP(Misfit[[#This Row],[Shortname]], Comp[], 17, FALSE)</f>
        <v>0</v>
      </c>
      <c r="V252">
        <f>VLOOKUP(Misfit[[#This Row],[Shortname]], Comp[], 18, FALSE)</f>
        <v>0</v>
      </c>
      <c r="W252">
        <f>VLOOKUP(Misfit[[#This Row],[Shortname]], Comp[], 19, FALSE)</f>
        <v>0</v>
      </c>
      <c r="X252">
        <f>VLOOKUP(Misfit[[#This Row],[Shortname]], Comp[], 20, FALSE)</f>
        <v>0</v>
      </c>
      <c r="Y252">
        <f>VLOOKUP(Misfit[[#This Row],[Shortname]], Comp[], 21, FALSE)</f>
        <v>0</v>
      </c>
      <c r="Z252">
        <f>VLOOKUP(Misfit[[#This Row],[Shortname]], Comp[], 22, FALSE)</f>
        <v>0</v>
      </c>
      <c r="AA252">
        <f>VLOOKUP(Misfit[[#This Row],[Shortname]], Comp[], 23, FALSE)</f>
        <v>0</v>
      </c>
      <c r="AB252">
        <f>VLOOKUP(Misfit[[#This Row],[Shortname]], Comp[], 24, FALSE)</f>
        <v>0</v>
      </c>
      <c r="AC252">
        <f>VLOOKUP(Misfit[[#This Row],[Shortname]], Comp[], 25, FALSE)</f>
        <v>0</v>
      </c>
      <c r="AD252">
        <f>VLOOKUP(Misfit[[#This Row],[Shortname]], Comp[], 26, FALSE)</f>
        <v>0</v>
      </c>
      <c r="AE252">
        <f>VLOOKUP(Misfit[[#This Row],[Shortname]], Comp[], 27, FALSE)</f>
        <v>0</v>
      </c>
      <c r="AF252">
        <f>VLOOKUP(Misfit[[#This Row],[Shortname]], Comp[], 28, FALSE)</f>
        <v>0</v>
      </c>
      <c r="AG252">
        <f>VLOOKUP(Misfit[[#This Row],[Shortname]], Comp[], 29, FALSE)</f>
        <v>0</v>
      </c>
      <c r="AH252">
        <f>VLOOKUP(Misfit[[#This Row],[Shortname]], Comp[], 30, FALSE)</f>
        <v>0</v>
      </c>
      <c r="AI252">
        <f>VLOOKUP(Misfit[[#This Row],[Shortname]], Comp[], 31, FALSE)</f>
        <v>0</v>
      </c>
    </row>
    <row r="253" spans="1:35" x14ac:dyDescent="0.3">
      <c r="A253" t="s">
        <v>1680</v>
      </c>
      <c r="B253" t="s">
        <v>4962</v>
      </c>
      <c r="C253" s="3" t="s">
        <v>4959</v>
      </c>
      <c r="D253" s="3">
        <v>800</v>
      </c>
      <c r="E253">
        <v>25</v>
      </c>
      <c r="H253" s="40">
        <v>0.01</v>
      </c>
      <c r="J253">
        <f>VLOOKUP(Misfit[[#This Row],[Shortname]], Comp[], 6, FALSE)</f>
        <v>214</v>
      </c>
      <c r="K253">
        <f>VLOOKUP(Misfit[[#This Row],[Shortname]], Comp[], 7, FALSE)</f>
        <v>84</v>
      </c>
      <c r="L253">
        <f>VLOOKUP(Misfit[[#This Row],[Shortname]], Comp[], 8, FALSE)</f>
        <v>0</v>
      </c>
      <c r="M253">
        <f>VLOOKUP(Misfit[[#This Row],[Shortname]], Comp[], 9, FALSE)</f>
        <v>0</v>
      </c>
      <c r="N253">
        <f>VLOOKUP(Misfit[[#This Row],[Shortname]], Comp[], 10, FALSE)</f>
        <v>0</v>
      </c>
      <c r="O253">
        <f>VLOOKUP(Misfit[[#This Row],[Shortname]], Comp[], 11, FALSE)</f>
        <v>0</v>
      </c>
      <c r="P253">
        <f>VLOOKUP(Misfit[[#This Row],[Shortname]], Comp[],12, FALSE)</f>
        <v>12</v>
      </c>
      <c r="Q253">
        <f>VLOOKUP(Misfit[[#This Row],[Shortname]], Comp[], 13, FALSE)</f>
        <v>0</v>
      </c>
      <c r="R253">
        <f>VLOOKUP(Misfit[[#This Row],[Shortname]], Comp[], 14, FALSE)</f>
        <v>0</v>
      </c>
      <c r="S253">
        <f>VLOOKUP(Misfit[[#This Row],[Shortname]], Comp[], 15, FALSE)</f>
        <v>0</v>
      </c>
      <c r="T253">
        <f>VLOOKUP(Misfit[[#This Row],[Shortname]], Comp[], 16, FALSE)</f>
        <v>4</v>
      </c>
      <c r="U253">
        <f>VLOOKUP(Misfit[[#This Row],[Shortname]], Comp[], 17, FALSE)</f>
        <v>0</v>
      </c>
      <c r="V253">
        <f>VLOOKUP(Misfit[[#This Row],[Shortname]], Comp[], 18, FALSE)</f>
        <v>0</v>
      </c>
      <c r="W253">
        <f>VLOOKUP(Misfit[[#This Row],[Shortname]], Comp[], 19, FALSE)</f>
        <v>0</v>
      </c>
      <c r="X253">
        <f>VLOOKUP(Misfit[[#This Row],[Shortname]], Comp[], 20, FALSE)</f>
        <v>0</v>
      </c>
      <c r="Y253">
        <f>VLOOKUP(Misfit[[#This Row],[Shortname]], Comp[], 21, FALSE)</f>
        <v>0</v>
      </c>
      <c r="Z253">
        <f>VLOOKUP(Misfit[[#This Row],[Shortname]], Comp[], 22, FALSE)</f>
        <v>0</v>
      </c>
      <c r="AA253">
        <f>VLOOKUP(Misfit[[#This Row],[Shortname]], Comp[], 23, FALSE)</f>
        <v>0</v>
      </c>
      <c r="AB253">
        <f>VLOOKUP(Misfit[[#This Row],[Shortname]], Comp[], 24, FALSE)</f>
        <v>0</v>
      </c>
      <c r="AC253">
        <f>VLOOKUP(Misfit[[#This Row],[Shortname]], Comp[], 25, FALSE)</f>
        <v>0</v>
      </c>
      <c r="AD253">
        <f>VLOOKUP(Misfit[[#This Row],[Shortname]], Comp[], 26, FALSE)</f>
        <v>0</v>
      </c>
      <c r="AE253">
        <f>VLOOKUP(Misfit[[#This Row],[Shortname]], Comp[], 27, FALSE)</f>
        <v>0</v>
      </c>
      <c r="AF253">
        <f>VLOOKUP(Misfit[[#This Row],[Shortname]], Comp[], 28, FALSE)</f>
        <v>0</v>
      </c>
      <c r="AG253">
        <f>VLOOKUP(Misfit[[#This Row],[Shortname]], Comp[], 29, FALSE)</f>
        <v>0</v>
      </c>
      <c r="AH253">
        <f>VLOOKUP(Misfit[[#This Row],[Shortname]], Comp[], 30, FALSE)</f>
        <v>0</v>
      </c>
      <c r="AI253">
        <f>VLOOKUP(Misfit[[#This Row],[Shortname]], Comp[], 31, FALSE)</f>
        <v>0</v>
      </c>
    </row>
    <row r="254" spans="1:35" x14ac:dyDescent="0.3">
      <c r="A254" t="s">
        <v>3249</v>
      </c>
      <c r="B254" t="s">
        <v>5129</v>
      </c>
      <c r="C254" s="3" t="s">
        <v>3245</v>
      </c>
      <c r="D254" s="3">
        <v>900</v>
      </c>
      <c r="E254">
        <v>25</v>
      </c>
      <c r="F254">
        <v>0.35930000000000001</v>
      </c>
      <c r="G254">
        <v>0.35780000000000001</v>
      </c>
      <c r="H254" s="40">
        <v>4.1840000000000002E-3</v>
      </c>
      <c r="J254">
        <f>VLOOKUP(Misfit[[#This Row],[Shortname]], Comp[], 6, FALSE)</f>
        <v>457</v>
      </c>
      <c r="K254">
        <f>VLOOKUP(Misfit[[#This Row],[Shortname]], Comp[], 7, FALSE)</f>
        <v>72.5</v>
      </c>
      <c r="L254">
        <f>VLOOKUP(Misfit[[#This Row],[Shortname]], Comp[], 8, FALSE)</f>
        <v>10</v>
      </c>
      <c r="M254">
        <f>VLOOKUP(Misfit[[#This Row],[Shortname]], Comp[], 9, FALSE)</f>
        <v>10</v>
      </c>
      <c r="N254">
        <f>VLOOKUP(Misfit[[#This Row],[Shortname]], Comp[], 10, FALSE)</f>
        <v>0</v>
      </c>
      <c r="O254">
        <f>VLOOKUP(Misfit[[#This Row],[Shortname]], Comp[], 11, FALSE)</f>
        <v>7.5</v>
      </c>
      <c r="P254">
        <f>VLOOKUP(Misfit[[#This Row],[Shortname]], Comp[],12, FALSE)</f>
        <v>0</v>
      </c>
      <c r="Q254">
        <f>VLOOKUP(Misfit[[#This Row],[Shortname]], Comp[], 13, FALSE)</f>
        <v>0</v>
      </c>
      <c r="R254">
        <f>VLOOKUP(Misfit[[#This Row],[Shortname]], Comp[], 14, FALSE)</f>
        <v>0</v>
      </c>
      <c r="S254">
        <f>VLOOKUP(Misfit[[#This Row],[Shortname]], Comp[], 15, FALSE)</f>
        <v>0</v>
      </c>
      <c r="T254">
        <f>VLOOKUP(Misfit[[#This Row],[Shortname]], Comp[], 16, FALSE)</f>
        <v>0</v>
      </c>
      <c r="U254">
        <f>VLOOKUP(Misfit[[#This Row],[Shortname]], Comp[], 17, FALSE)</f>
        <v>0</v>
      </c>
      <c r="V254">
        <f>VLOOKUP(Misfit[[#This Row],[Shortname]], Comp[], 18, FALSE)</f>
        <v>0</v>
      </c>
      <c r="W254">
        <f>VLOOKUP(Misfit[[#This Row],[Shortname]], Comp[], 19, FALSE)</f>
        <v>0</v>
      </c>
      <c r="X254">
        <f>VLOOKUP(Misfit[[#This Row],[Shortname]], Comp[], 20, FALSE)</f>
        <v>0</v>
      </c>
      <c r="Y254">
        <f>VLOOKUP(Misfit[[#This Row],[Shortname]], Comp[], 21, FALSE)</f>
        <v>0</v>
      </c>
      <c r="Z254">
        <f>VLOOKUP(Misfit[[#This Row],[Shortname]], Comp[], 22, FALSE)</f>
        <v>0</v>
      </c>
      <c r="AA254">
        <f>VLOOKUP(Misfit[[#This Row],[Shortname]], Comp[], 23, FALSE)</f>
        <v>0</v>
      </c>
      <c r="AB254">
        <f>VLOOKUP(Misfit[[#This Row],[Shortname]], Comp[], 24, FALSE)</f>
        <v>0</v>
      </c>
      <c r="AC254">
        <f>VLOOKUP(Misfit[[#This Row],[Shortname]], Comp[], 25, FALSE)</f>
        <v>0</v>
      </c>
      <c r="AD254">
        <f>VLOOKUP(Misfit[[#This Row],[Shortname]], Comp[], 26, FALSE)</f>
        <v>0</v>
      </c>
      <c r="AE254">
        <f>VLOOKUP(Misfit[[#This Row],[Shortname]], Comp[], 27, FALSE)</f>
        <v>0</v>
      </c>
      <c r="AF254">
        <f>VLOOKUP(Misfit[[#This Row],[Shortname]], Comp[], 28, FALSE)</f>
        <v>0</v>
      </c>
      <c r="AG254">
        <f>VLOOKUP(Misfit[[#This Row],[Shortname]], Comp[], 29, FALSE)</f>
        <v>0</v>
      </c>
      <c r="AH254">
        <f>VLOOKUP(Misfit[[#This Row],[Shortname]], Comp[], 30, FALSE)</f>
        <v>0</v>
      </c>
      <c r="AI254">
        <f>VLOOKUP(Misfit[[#This Row],[Shortname]], Comp[], 31, FALSE)</f>
        <v>0</v>
      </c>
    </row>
    <row r="255" spans="1:35" x14ac:dyDescent="0.3">
      <c r="A255" t="s">
        <v>3293</v>
      </c>
      <c r="B255" t="s">
        <v>5133</v>
      </c>
      <c r="C255" s="3" t="s">
        <v>3245</v>
      </c>
      <c r="D255" s="3">
        <v>900</v>
      </c>
      <c r="E255">
        <v>25</v>
      </c>
      <c r="F255">
        <v>0.35870000000000002</v>
      </c>
      <c r="G255">
        <v>0.35759999999999997</v>
      </c>
      <c r="H255" s="40">
        <v>3.0709999999999999E-3</v>
      </c>
      <c r="J255">
        <f>VLOOKUP(Misfit[[#This Row],[Shortname]], Comp[], 6, FALSE)</f>
        <v>464</v>
      </c>
      <c r="K255">
        <f>VLOOKUP(Misfit[[#This Row],[Shortname]], Comp[], 7, FALSE)</f>
        <v>52.5</v>
      </c>
      <c r="L255">
        <f>VLOOKUP(Misfit[[#This Row],[Shortname]], Comp[], 8, FALSE)</f>
        <v>30</v>
      </c>
      <c r="M255">
        <f>VLOOKUP(Misfit[[#This Row],[Shortname]], Comp[], 9, FALSE)</f>
        <v>10</v>
      </c>
      <c r="N255">
        <f>VLOOKUP(Misfit[[#This Row],[Shortname]], Comp[], 10, FALSE)</f>
        <v>0</v>
      </c>
      <c r="O255">
        <f>VLOOKUP(Misfit[[#This Row],[Shortname]], Comp[], 11, FALSE)</f>
        <v>7.5</v>
      </c>
      <c r="P255">
        <f>VLOOKUP(Misfit[[#This Row],[Shortname]], Comp[],12, FALSE)</f>
        <v>0</v>
      </c>
      <c r="Q255">
        <f>VLOOKUP(Misfit[[#This Row],[Shortname]], Comp[], 13, FALSE)</f>
        <v>0</v>
      </c>
      <c r="R255">
        <f>VLOOKUP(Misfit[[#This Row],[Shortname]], Comp[], 14, FALSE)</f>
        <v>0</v>
      </c>
      <c r="S255">
        <f>VLOOKUP(Misfit[[#This Row],[Shortname]], Comp[], 15, FALSE)</f>
        <v>0</v>
      </c>
      <c r="T255">
        <f>VLOOKUP(Misfit[[#This Row],[Shortname]], Comp[], 16, FALSE)</f>
        <v>0</v>
      </c>
      <c r="U255">
        <f>VLOOKUP(Misfit[[#This Row],[Shortname]], Comp[], 17, FALSE)</f>
        <v>0</v>
      </c>
      <c r="V255">
        <f>VLOOKUP(Misfit[[#This Row],[Shortname]], Comp[], 18, FALSE)</f>
        <v>0</v>
      </c>
      <c r="W255">
        <f>VLOOKUP(Misfit[[#This Row],[Shortname]], Comp[], 19, FALSE)</f>
        <v>0</v>
      </c>
      <c r="X255">
        <f>VLOOKUP(Misfit[[#This Row],[Shortname]], Comp[], 20, FALSE)</f>
        <v>0</v>
      </c>
      <c r="Y255">
        <f>VLOOKUP(Misfit[[#This Row],[Shortname]], Comp[], 21, FALSE)</f>
        <v>0</v>
      </c>
      <c r="Z255">
        <f>VLOOKUP(Misfit[[#This Row],[Shortname]], Comp[], 22, FALSE)</f>
        <v>0</v>
      </c>
      <c r="AA255">
        <f>VLOOKUP(Misfit[[#This Row],[Shortname]], Comp[], 23, FALSE)</f>
        <v>0</v>
      </c>
      <c r="AB255">
        <f>VLOOKUP(Misfit[[#This Row],[Shortname]], Comp[], 24, FALSE)</f>
        <v>0</v>
      </c>
      <c r="AC255">
        <f>VLOOKUP(Misfit[[#This Row],[Shortname]], Comp[], 25, FALSE)</f>
        <v>0</v>
      </c>
      <c r="AD255">
        <f>VLOOKUP(Misfit[[#This Row],[Shortname]], Comp[], 26, FALSE)</f>
        <v>0</v>
      </c>
      <c r="AE255">
        <f>VLOOKUP(Misfit[[#This Row],[Shortname]], Comp[], 27, FALSE)</f>
        <v>0</v>
      </c>
      <c r="AF255">
        <f>VLOOKUP(Misfit[[#This Row],[Shortname]], Comp[], 28, FALSE)</f>
        <v>0</v>
      </c>
      <c r="AG255">
        <f>VLOOKUP(Misfit[[#This Row],[Shortname]], Comp[], 29, FALSE)</f>
        <v>0</v>
      </c>
      <c r="AH255">
        <f>VLOOKUP(Misfit[[#This Row],[Shortname]], Comp[], 30, FALSE)</f>
        <v>0</v>
      </c>
      <c r="AI255">
        <f>VLOOKUP(Misfit[[#This Row],[Shortname]], Comp[], 31, FALSE)</f>
        <v>0</v>
      </c>
    </row>
    <row r="256" spans="1:35" x14ac:dyDescent="0.3">
      <c r="A256" t="s">
        <v>5137</v>
      </c>
      <c r="B256" t="s">
        <v>5139</v>
      </c>
      <c r="C256" s="3" t="s">
        <v>3245</v>
      </c>
      <c r="D256" s="3">
        <v>900</v>
      </c>
      <c r="E256">
        <v>25</v>
      </c>
      <c r="F256">
        <v>0.35820000000000002</v>
      </c>
      <c r="G256">
        <v>0.35730000000000001</v>
      </c>
      <c r="H256" s="40">
        <v>2.516E-3</v>
      </c>
      <c r="J256">
        <f>VLOOKUP(Misfit[[#This Row],[Shortname]], Comp[], 6, FALSE)</f>
        <v>800</v>
      </c>
      <c r="K256">
        <f>VLOOKUP(Misfit[[#This Row],[Shortname]], Comp[], 7, FALSE)</f>
        <v>32.5</v>
      </c>
      <c r="L256">
        <f>VLOOKUP(Misfit[[#This Row],[Shortname]], Comp[], 8, FALSE)</f>
        <v>50</v>
      </c>
      <c r="M256">
        <f>VLOOKUP(Misfit[[#This Row],[Shortname]], Comp[], 9, FALSE)</f>
        <v>10</v>
      </c>
      <c r="N256">
        <f>VLOOKUP(Misfit[[#This Row],[Shortname]], Comp[], 10, FALSE)</f>
        <v>0</v>
      </c>
      <c r="O256">
        <f>VLOOKUP(Misfit[[#This Row],[Shortname]], Comp[], 11, FALSE)</f>
        <v>7.5</v>
      </c>
      <c r="P256">
        <f>VLOOKUP(Misfit[[#This Row],[Shortname]], Comp[],12, FALSE)</f>
        <v>0</v>
      </c>
      <c r="Q256">
        <f>VLOOKUP(Misfit[[#This Row],[Shortname]], Comp[], 13, FALSE)</f>
        <v>0</v>
      </c>
      <c r="R256">
        <f>VLOOKUP(Misfit[[#This Row],[Shortname]], Comp[], 14, FALSE)</f>
        <v>0</v>
      </c>
      <c r="S256">
        <f>VLOOKUP(Misfit[[#This Row],[Shortname]], Comp[], 15, FALSE)</f>
        <v>0</v>
      </c>
      <c r="T256">
        <f>VLOOKUP(Misfit[[#This Row],[Shortname]], Comp[], 16, FALSE)</f>
        <v>0</v>
      </c>
      <c r="U256">
        <f>VLOOKUP(Misfit[[#This Row],[Shortname]], Comp[], 17, FALSE)</f>
        <v>0</v>
      </c>
      <c r="V256">
        <f>VLOOKUP(Misfit[[#This Row],[Shortname]], Comp[], 18, FALSE)</f>
        <v>0</v>
      </c>
      <c r="W256">
        <f>VLOOKUP(Misfit[[#This Row],[Shortname]], Comp[], 19, FALSE)</f>
        <v>0</v>
      </c>
      <c r="X256">
        <f>VLOOKUP(Misfit[[#This Row],[Shortname]], Comp[], 20, FALSE)</f>
        <v>0</v>
      </c>
      <c r="Y256">
        <f>VLOOKUP(Misfit[[#This Row],[Shortname]], Comp[], 21, FALSE)</f>
        <v>0</v>
      </c>
      <c r="Z256">
        <f>VLOOKUP(Misfit[[#This Row],[Shortname]], Comp[], 22, FALSE)</f>
        <v>0</v>
      </c>
      <c r="AA256">
        <f>VLOOKUP(Misfit[[#This Row],[Shortname]], Comp[], 23, FALSE)</f>
        <v>0</v>
      </c>
      <c r="AB256">
        <f>VLOOKUP(Misfit[[#This Row],[Shortname]], Comp[], 24, FALSE)</f>
        <v>0</v>
      </c>
      <c r="AC256">
        <f>VLOOKUP(Misfit[[#This Row],[Shortname]], Comp[], 25, FALSE)</f>
        <v>0</v>
      </c>
      <c r="AD256">
        <f>VLOOKUP(Misfit[[#This Row],[Shortname]], Comp[], 26, FALSE)</f>
        <v>0</v>
      </c>
      <c r="AE256">
        <f>VLOOKUP(Misfit[[#This Row],[Shortname]], Comp[], 27, FALSE)</f>
        <v>0</v>
      </c>
      <c r="AF256">
        <f>VLOOKUP(Misfit[[#This Row],[Shortname]], Comp[], 28, FALSE)</f>
        <v>0</v>
      </c>
      <c r="AG256">
        <f>VLOOKUP(Misfit[[#This Row],[Shortname]], Comp[], 29, FALSE)</f>
        <v>0</v>
      </c>
      <c r="AH256">
        <f>VLOOKUP(Misfit[[#This Row],[Shortname]], Comp[], 30, FALSE)</f>
        <v>0</v>
      </c>
      <c r="AI256">
        <f>VLOOKUP(Misfit[[#This Row],[Shortname]], Comp[], 31, FALSE)</f>
        <v>0</v>
      </c>
    </row>
    <row r="257" spans="1:35" x14ac:dyDescent="0.3">
      <c r="A257" t="s">
        <v>5147</v>
      </c>
      <c r="B257" t="s">
        <v>5149</v>
      </c>
      <c r="C257" s="3" t="s">
        <v>3245</v>
      </c>
      <c r="D257" s="3">
        <v>900</v>
      </c>
      <c r="E257">
        <v>25</v>
      </c>
      <c r="F257">
        <v>0.3579</v>
      </c>
      <c r="G257">
        <v>0.35720000000000002</v>
      </c>
      <c r="H257" s="40">
        <v>1.9580000000000001E-3</v>
      </c>
      <c r="J257">
        <f>VLOOKUP(Misfit[[#This Row],[Shortname]], Comp[], 6, FALSE)</f>
        <v>802</v>
      </c>
      <c r="K257">
        <f>VLOOKUP(Misfit[[#This Row],[Shortname]], Comp[], 7, FALSE)</f>
        <v>12.5</v>
      </c>
      <c r="L257">
        <f>VLOOKUP(Misfit[[#This Row],[Shortname]], Comp[], 8, FALSE)</f>
        <v>70</v>
      </c>
      <c r="M257">
        <f>VLOOKUP(Misfit[[#This Row],[Shortname]], Comp[], 9, FALSE)</f>
        <v>10</v>
      </c>
      <c r="N257">
        <f>VLOOKUP(Misfit[[#This Row],[Shortname]], Comp[], 10, FALSE)</f>
        <v>0</v>
      </c>
      <c r="O257">
        <f>VLOOKUP(Misfit[[#This Row],[Shortname]], Comp[], 11, FALSE)</f>
        <v>7.5</v>
      </c>
      <c r="P257">
        <f>VLOOKUP(Misfit[[#This Row],[Shortname]], Comp[],12, FALSE)</f>
        <v>0</v>
      </c>
      <c r="Q257">
        <f>VLOOKUP(Misfit[[#This Row],[Shortname]], Comp[], 13, FALSE)</f>
        <v>0</v>
      </c>
      <c r="R257">
        <f>VLOOKUP(Misfit[[#This Row],[Shortname]], Comp[], 14, FALSE)</f>
        <v>0</v>
      </c>
      <c r="S257">
        <f>VLOOKUP(Misfit[[#This Row],[Shortname]], Comp[], 15, FALSE)</f>
        <v>0</v>
      </c>
      <c r="T257">
        <f>VLOOKUP(Misfit[[#This Row],[Shortname]], Comp[], 16, FALSE)</f>
        <v>0</v>
      </c>
      <c r="U257">
        <f>VLOOKUP(Misfit[[#This Row],[Shortname]], Comp[], 17, FALSE)</f>
        <v>0</v>
      </c>
      <c r="V257">
        <f>VLOOKUP(Misfit[[#This Row],[Shortname]], Comp[], 18, FALSE)</f>
        <v>0</v>
      </c>
      <c r="W257">
        <f>VLOOKUP(Misfit[[#This Row],[Shortname]], Comp[], 19, FALSE)</f>
        <v>0</v>
      </c>
      <c r="X257">
        <f>VLOOKUP(Misfit[[#This Row],[Shortname]], Comp[], 20, FALSE)</f>
        <v>0</v>
      </c>
      <c r="Y257">
        <f>VLOOKUP(Misfit[[#This Row],[Shortname]], Comp[], 21, FALSE)</f>
        <v>0</v>
      </c>
      <c r="Z257">
        <f>VLOOKUP(Misfit[[#This Row],[Shortname]], Comp[], 22, FALSE)</f>
        <v>0</v>
      </c>
      <c r="AA257">
        <f>VLOOKUP(Misfit[[#This Row],[Shortname]], Comp[], 23, FALSE)</f>
        <v>0</v>
      </c>
      <c r="AB257">
        <f>VLOOKUP(Misfit[[#This Row],[Shortname]], Comp[], 24, FALSE)</f>
        <v>0</v>
      </c>
      <c r="AC257">
        <f>VLOOKUP(Misfit[[#This Row],[Shortname]], Comp[], 25, FALSE)</f>
        <v>0</v>
      </c>
      <c r="AD257">
        <f>VLOOKUP(Misfit[[#This Row],[Shortname]], Comp[], 26, FALSE)</f>
        <v>0</v>
      </c>
      <c r="AE257">
        <f>VLOOKUP(Misfit[[#This Row],[Shortname]], Comp[], 27, FALSE)</f>
        <v>0</v>
      </c>
      <c r="AF257">
        <f>VLOOKUP(Misfit[[#This Row],[Shortname]], Comp[], 28, FALSE)</f>
        <v>0</v>
      </c>
      <c r="AG257">
        <f>VLOOKUP(Misfit[[#This Row],[Shortname]], Comp[], 29, FALSE)</f>
        <v>0</v>
      </c>
      <c r="AH257">
        <f>VLOOKUP(Misfit[[#This Row],[Shortname]], Comp[], 30, FALSE)</f>
        <v>0</v>
      </c>
      <c r="AI257">
        <f>VLOOKUP(Misfit[[#This Row],[Shortname]], Comp[], 31, FALSE)</f>
        <v>0</v>
      </c>
    </row>
    <row r="258" spans="1:35" x14ac:dyDescent="0.3">
      <c r="A258" s="12" t="s">
        <v>5416</v>
      </c>
      <c r="B258" s="12" t="s">
        <v>5417</v>
      </c>
      <c r="C258" s="12" t="s">
        <v>5418</v>
      </c>
      <c r="D258" s="12">
        <v>800</v>
      </c>
      <c r="E258" s="12">
        <v>25</v>
      </c>
      <c r="F258" s="12">
        <v>0.36049999999999999</v>
      </c>
      <c r="G258" s="12">
        <v>0.35709999999999997</v>
      </c>
      <c r="H258" s="41">
        <v>0.01</v>
      </c>
      <c r="I258" s="12"/>
      <c r="J258">
        <f>VLOOKUP(Misfit[[#This Row],[Shortname]], Comp[], 6, FALSE)</f>
        <v>829</v>
      </c>
      <c r="K258">
        <f>VLOOKUP(Misfit[[#This Row],[Shortname]], Comp[], 7, FALSE)</f>
        <v>84</v>
      </c>
      <c r="L258">
        <f>VLOOKUP(Misfit[[#This Row],[Shortname]], Comp[], 8, FALSE)</f>
        <v>0</v>
      </c>
      <c r="M258">
        <f>VLOOKUP(Misfit[[#This Row],[Shortname]], Comp[], 9, FALSE)</f>
        <v>0</v>
      </c>
      <c r="N258">
        <f>VLOOKUP(Misfit[[#This Row],[Shortname]], Comp[], 10, FALSE)</f>
        <v>0</v>
      </c>
      <c r="O258">
        <f>VLOOKUP(Misfit[[#This Row],[Shortname]], Comp[], 11, FALSE)</f>
        <v>0</v>
      </c>
      <c r="P258">
        <f>VLOOKUP(Misfit[[#This Row],[Shortname]], Comp[],12, FALSE)</f>
        <v>12</v>
      </c>
      <c r="Q258">
        <f>VLOOKUP(Misfit[[#This Row],[Shortname]], Comp[], 13, FALSE)</f>
        <v>0</v>
      </c>
      <c r="R258">
        <f>VLOOKUP(Misfit[[#This Row],[Shortname]], Comp[], 14, FALSE)</f>
        <v>0</v>
      </c>
      <c r="S258">
        <f>VLOOKUP(Misfit[[#This Row],[Shortname]], Comp[], 15, FALSE)</f>
        <v>0</v>
      </c>
      <c r="T258">
        <f>VLOOKUP(Misfit[[#This Row],[Shortname]], Comp[], 16, FALSE)</f>
        <v>4</v>
      </c>
      <c r="U258">
        <f>VLOOKUP(Misfit[[#This Row],[Shortname]], Comp[], 17, FALSE)</f>
        <v>0</v>
      </c>
      <c r="V258">
        <f>VLOOKUP(Misfit[[#This Row],[Shortname]], Comp[], 18, FALSE)</f>
        <v>0</v>
      </c>
      <c r="W258">
        <f>VLOOKUP(Misfit[[#This Row],[Shortname]], Comp[], 19, FALSE)</f>
        <v>0</v>
      </c>
      <c r="X258">
        <f>VLOOKUP(Misfit[[#This Row],[Shortname]], Comp[], 20, FALSE)</f>
        <v>0</v>
      </c>
      <c r="Y258">
        <f>VLOOKUP(Misfit[[#This Row],[Shortname]], Comp[], 21, FALSE)</f>
        <v>0</v>
      </c>
      <c r="Z258">
        <f>VLOOKUP(Misfit[[#This Row],[Shortname]], Comp[], 22, FALSE)</f>
        <v>0</v>
      </c>
      <c r="AA258">
        <f>VLOOKUP(Misfit[[#This Row],[Shortname]], Comp[], 23, FALSE)</f>
        <v>0</v>
      </c>
      <c r="AB258">
        <f>VLOOKUP(Misfit[[#This Row],[Shortname]], Comp[], 24, FALSE)</f>
        <v>0</v>
      </c>
      <c r="AC258">
        <f>VLOOKUP(Misfit[[#This Row],[Shortname]], Comp[], 25, FALSE)</f>
        <v>0</v>
      </c>
      <c r="AD258">
        <f>VLOOKUP(Misfit[[#This Row],[Shortname]], Comp[], 26, FALSE)</f>
        <v>0</v>
      </c>
      <c r="AE258">
        <f>VLOOKUP(Misfit[[#This Row],[Shortname]], Comp[], 27, FALSE)</f>
        <v>0</v>
      </c>
      <c r="AF258">
        <f>VLOOKUP(Misfit[[#This Row],[Shortname]], Comp[], 28, FALSE)</f>
        <v>0</v>
      </c>
      <c r="AG258">
        <f>VLOOKUP(Misfit[[#This Row],[Shortname]], Comp[], 29, FALSE)</f>
        <v>0</v>
      </c>
      <c r="AH258">
        <f>VLOOKUP(Misfit[[#This Row],[Shortname]], Comp[], 30, FALSE)</f>
        <v>0</v>
      </c>
      <c r="AI258">
        <f>VLOOKUP(Misfit[[#This Row],[Shortname]], Comp[], 31, FALSE)</f>
        <v>0</v>
      </c>
    </row>
    <row r="259" spans="1:35" x14ac:dyDescent="0.3">
      <c r="A259" s="12" t="s">
        <v>5421</v>
      </c>
      <c r="B259" s="12" t="s">
        <v>5422</v>
      </c>
      <c r="C259" s="12" t="s">
        <v>5423</v>
      </c>
      <c r="D259" s="12">
        <v>800</v>
      </c>
      <c r="E259" s="12">
        <v>25</v>
      </c>
      <c r="F259" s="12">
        <v>0.3599</v>
      </c>
      <c r="G259" s="12">
        <v>0.35709999999999997</v>
      </c>
      <c r="H259" s="41">
        <v>8.0000000000000002E-3</v>
      </c>
      <c r="I259" s="12"/>
      <c r="J259">
        <f>VLOOKUP(Misfit[[#This Row],[Shortname]], Comp[], 6, FALSE)</f>
        <v>830</v>
      </c>
      <c r="K259">
        <f>VLOOKUP(Misfit[[#This Row],[Shortname]], Comp[], 7, FALSE)</f>
        <v>82</v>
      </c>
      <c r="L259">
        <f>VLOOKUP(Misfit[[#This Row],[Shortname]], Comp[], 8, FALSE)</f>
        <v>0</v>
      </c>
      <c r="M259">
        <f>VLOOKUP(Misfit[[#This Row],[Shortname]], Comp[], 9, FALSE)</f>
        <v>2</v>
      </c>
      <c r="N259">
        <f>VLOOKUP(Misfit[[#This Row],[Shortname]], Comp[], 10, FALSE)</f>
        <v>0</v>
      </c>
      <c r="O259">
        <f>VLOOKUP(Misfit[[#This Row],[Shortname]], Comp[], 11, FALSE)</f>
        <v>0</v>
      </c>
      <c r="P259">
        <f>VLOOKUP(Misfit[[#This Row],[Shortname]], Comp[],12, FALSE)</f>
        <v>12</v>
      </c>
      <c r="Q259">
        <f>VLOOKUP(Misfit[[#This Row],[Shortname]], Comp[], 13, FALSE)</f>
        <v>0</v>
      </c>
      <c r="R259">
        <f>VLOOKUP(Misfit[[#This Row],[Shortname]], Comp[], 14, FALSE)</f>
        <v>0</v>
      </c>
      <c r="S259">
        <f>VLOOKUP(Misfit[[#This Row],[Shortname]], Comp[], 15, FALSE)</f>
        <v>0</v>
      </c>
      <c r="T259">
        <f>VLOOKUP(Misfit[[#This Row],[Shortname]], Comp[], 16, FALSE)</f>
        <v>4</v>
      </c>
      <c r="U259">
        <f>VLOOKUP(Misfit[[#This Row],[Shortname]], Comp[], 17, FALSE)</f>
        <v>0</v>
      </c>
      <c r="V259">
        <f>VLOOKUP(Misfit[[#This Row],[Shortname]], Comp[], 18, FALSE)</f>
        <v>0</v>
      </c>
      <c r="W259">
        <f>VLOOKUP(Misfit[[#This Row],[Shortname]], Comp[], 19, FALSE)</f>
        <v>0</v>
      </c>
      <c r="X259">
        <f>VLOOKUP(Misfit[[#This Row],[Shortname]], Comp[], 20, FALSE)</f>
        <v>0</v>
      </c>
      <c r="Y259">
        <f>VLOOKUP(Misfit[[#This Row],[Shortname]], Comp[], 21, FALSE)</f>
        <v>0</v>
      </c>
      <c r="Z259">
        <f>VLOOKUP(Misfit[[#This Row],[Shortname]], Comp[], 22, FALSE)</f>
        <v>0</v>
      </c>
      <c r="AA259">
        <f>VLOOKUP(Misfit[[#This Row],[Shortname]], Comp[], 23, FALSE)</f>
        <v>0</v>
      </c>
      <c r="AB259">
        <f>VLOOKUP(Misfit[[#This Row],[Shortname]], Comp[], 24, FALSE)</f>
        <v>0</v>
      </c>
      <c r="AC259">
        <f>VLOOKUP(Misfit[[#This Row],[Shortname]], Comp[], 25, FALSE)</f>
        <v>0</v>
      </c>
      <c r="AD259">
        <f>VLOOKUP(Misfit[[#This Row],[Shortname]], Comp[], 26, FALSE)</f>
        <v>0</v>
      </c>
      <c r="AE259">
        <f>VLOOKUP(Misfit[[#This Row],[Shortname]], Comp[], 27, FALSE)</f>
        <v>0</v>
      </c>
      <c r="AF259">
        <f>VLOOKUP(Misfit[[#This Row],[Shortname]], Comp[], 28, FALSE)</f>
        <v>0</v>
      </c>
      <c r="AG259">
        <f>VLOOKUP(Misfit[[#This Row],[Shortname]], Comp[], 29, FALSE)</f>
        <v>0</v>
      </c>
      <c r="AH259">
        <f>VLOOKUP(Misfit[[#This Row],[Shortname]], Comp[], 30, FALSE)</f>
        <v>0</v>
      </c>
      <c r="AI259">
        <f>VLOOKUP(Misfit[[#This Row],[Shortname]], Comp[], 31, FALSE)</f>
        <v>0</v>
      </c>
    </row>
    <row r="260" spans="1:35" x14ac:dyDescent="0.3">
      <c r="A260" s="12" t="s">
        <v>5425</v>
      </c>
      <c r="B260" s="12" t="s">
        <v>5426</v>
      </c>
      <c r="C260" s="12" t="s">
        <v>5427</v>
      </c>
      <c r="D260" s="12">
        <v>800</v>
      </c>
      <c r="E260" s="12">
        <v>25</v>
      </c>
      <c r="F260" s="12">
        <v>0.36149999999999999</v>
      </c>
      <c r="G260" s="12">
        <v>0.36059999999999998</v>
      </c>
      <c r="H260" s="41">
        <v>3.0000000000000001E-3</v>
      </c>
      <c r="I260" s="12"/>
      <c r="J260">
        <f>VLOOKUP(Misfit[[#This Row],[Shortname]], Comp[], 6, FALSE)</f>
        <v>831</v>
      </c>
      <c r="K260">
        <f>VLOOKUP(Misfit[[#This Row],[Shortname]], Comp[], 7, FALSE)</f>
        <v>80</v>
      </c>
      <c r="L260">
        <f>VLOOKUP(Misfit[[#This Row],[Shortname]], Comp[], 8, FALSE)</f>
        <v>0</v>
      </c>
      <c r="M260">
        <f>VLOOKUP(Misfit[[#This Row],[Shortname]], Comp[], 9, FALSE)</f>
        <v>4</v>
      </c>
      <c r="N260">
        <f>VLOOKUP(Misfit[[#This Row],[Shortname]], Comp[], 10, FALSE)</f>
        <v>0</v>
      </c>
      <c r="O260">
        <f>VLOOKUP(Misfit[[#This Row],[Shortname]], Comp[], 11, FALSE)</f>
        <v>0</v>
      </c>
      <c r="P260">
        <f>VLOOKUP(Misfit[[#This Row],[Shortname]], Comp[],12, FALSE)</f>
        <v>12</v>
      </c>
      <c r="Q260">
        <f>VLOOKUP(Misfit[[#This Row],[Shortname]], Comp[], 13, FALSE)</f>
        <v>0</v>
      </c>
      <c r="R260">
        <f>VLOOKUP(Misfit[[#This Row],[Shortname]], Comp[], 14, FALSE)</f>
        <v>0</v>
      </c>
      <c r="S260">
        <f>VLOOKUP(Misfit[[#This Row],[Shortname]], Comp[], 15, FALSE)</f>
        <v>0</v>
      </c>
      <c r="T260">
        <f>VLOOKUP(Misfit[[#This Row],[Shortname]], Comp[], 16, FALSE)</f>
        <v>4</v>
      </c>
      <c r="U260">
        <f>VLOOKUP(Misfit[[#This Row],[Shortname]], Comp[], 17, FALSE)</f>
        <v>0</v>
      </c>
      <c r="V260">
        <f>VLOOKUP(Misfit[[#This Row],[Shortname]], Comp[], 18, FALSE)</f>
        <v>0</v>
      </c>
      <c r="W260">
        <f>VLOOKUP(Misfit[[#This Row],[Shortname]], Comp[], 19, FALSE)</f>
        <v>0</v>
      </c>
      <c r="X260">
        <f>VLOOKUP(Misfit[[#This Row],[Shortname]], Comp[], 20, FALSE)</f>
        <v>0</v>
      </c>
      <c r="Y260">
        <f>VLOOKUP(Misfit[[#This Row],[Shortname]], Comp[], 21, FALSE)</f>
        <v>0</v>
      </c>
      <c r="Z260">
        <f>VLOOKUP(Misfit[[#This Row],[Shortname]], Comp[], 22, FALSE)</f>
        <v>0</v>
      </c>
      <c r="AA260">
        <f>VLOOKUP(Misfit[[#This Row],[Shortname]], Comp[], 23, FALSE)</f>
        <v>0</v>
      </c>
      <c r="AB260">
        <f>VLOOKUP(Misfit[[#This Row],[Shortname]], Comp[], 24, FALSE)</f>
        <v>0</v>
      </c>
      <c r="AC260">
        <f>VLOOKUP(Misfit[[#This Row],[Shortname]], Comp[], 25, FALSE)</f>
        <v>0</v>
      </c>
      <c r="AD260">
        <f>VLOOKUP(Misfit[[#This Row],[Shortname]], Comp[], 26, FALSE)</f>
        <v>0</v>
      </c>
      <c r="AE260">
        <f>VLOOKUP(Misfit[[#This Row],[Shortname]], Comp[], 27, FALSE)</f>
        <v>0</v>
      </c>
      <c r="AF260">
        <f>VLOOKUP(Misfit[[#This Row],[Shortname]], Comp[], 28, FALSE)</f>
        <v>0</v>
      </c>
      <c r="AG260">
        <f>VLOOKUP(Misfit[[#This Row],[Shortname]], Comp[], 29, FALSE)</f>
        <v>0</v>
      </c>
      <c r="AH260">
        <f>VLOOKUP(Misfit[[#This Row],[Shortname]], Comp[], 30, FALSE)</f>
        <v>0</v>
      </c>
      <c r="AI260">
        <f>VLOOKUP(Misfit[[#This Row],[Shortname]], Comp[], 31, FALSE)</f>
        <v>0</v>
      </c>
    </row>
    <row r="261" spans="1:35" x14ac:dyDescent="0.3">
      <c r="A261" s="12" t="s">
        <v>5429</v>
      </c>
      <c r="B261" s="12" t="s">
        <v>5430</v>
      </c>
      <c r="C261" s="12" t="s">
        <v>5431</v>
      </c>
      <c r="D261" s="12">
        <v>800</v>
      </c>
      <c r="E261" s="12">
        <v>25</v>
      </c>
      <c r="F261" s="12">
        <v>0.3604</v>
      </c>
      <c r="G261" s="12">
        <v>0.35799999999999998</v>
      </c>
      <c r="H261" s="41">
        <v>7.0000000000000001E-3</v>
      </c>
      <c r="I261" s="12"/>
      <c r="J261">
        <f>VLOOKUP(Misfit[[#This Row],[Shortname]], Comp[], 6, FALSE)</f>
        <v>832</v>
      </c>
      <c r="K261">
        <f>VLOOKUP(Misfit[[#This Row],[Shortname]], Comp[], 7, FALSE)</f>
        <v>84</v>
      </c>
      <c r="L261">
        <f>VLOOKUP(Misfit[[#This Row],[Shortname]], Comp[], 8, FALSE)</f>
        <v>0</v>
      </c>
      <c r="M261">
        <f>VLOOKUP(Misfit[[#This Row],[Shortname]], Comp[], 9, FALSE)</f>
        <v>2</v>
      </c>
      <c r="N261">
        <f>VLOOKUP(Misfit[[#This Row],[Shortname]], Comp[], 10, FALSE)</f>
        <v>0</v>
      </c>
      <c r="O261">
        <f>VLOOKUP(Misfit[[#This Row],[Shortname]], Comp[], 11, FALSE)</f>
        <v>0</v>
      </c>
      <c r="P261">
        <f>VLOOKUP(Misfit[[#This Row],[Shortname]], Comp[],12, FALSE)</f>
        <v>10</v>
      </c>
      <c r="Q261">
        <f>VLOOKUP(Misfit[[#This Row],[Shortname]], Comp[], 13, FALSE)</f>
        <v>0</v>
      </c>
      <c r="R261">
        <f>VLOOKUP(Misfit[[#This Row],[Shortname]], Comp[], 14, FALSE)</f>
        <v>0</v>
      </c>
      <c r="S261">
        <f>VLOOKUP(Misfit[[#This Row],[Shortname]], Comp[], 15, FALSE)</f>
        <v>0</v>
      </c>
      <c r="T261">
        <f>VLOOKUP(Misfit[[#This Row],[Shortname]], Comp[], 16, FALSE)</f>
        <v>4</v>
      </c>
      <c r="U261">
        <f>VLOOKUP(Misfit[[#This Row],[Shortname]], Comp[], 17, FALSE)</f>
        <v>0</v>
      </c>
      <c r="V261">
        <f>VLOOKUP(Misfit[[#This Row],[Shortname]], Comp[], 18, FALSE)</f>
        <v>0</v>
      </c>
      <c r="W261">
        <f>VLOOKUP(Misfit[[#This Row],[Shortname]], Comp[], 19, FALSE)</f>
        <v>0</v>
      </c>
      <c r="X261">
        <f>VLOOKUP(Misfit[[#This Row],[Shortname]], Comp[], 20, FALSE)</f>
        <v>0</v>
      </c>
      <c r="Y261">
        <f>VLOOKUP(Misfit[[#This Row],[Shortname]], Comp[], 21, FALSE)</f>
        <v>0</v>
      </c>
      <c r="Z261">
        <f>VLOOKUP(Misfit[[#This Row],[Shortname]], Comp[], 22, FALSE)</f>
        <v>0</v>
      </c>
      <c r="AA261">
        <f>VLOOKUP(Misfit[[#This Row],[Shortname]], Comp[], 23, FALSE)</f>
        <v>0</v>
      </c>
      <c r="AB261">
        <f>VLOOKUP(Misfit[[#This Row],[Shortname]], Comp[], 24, FALSE)</f>
        <v>0</v>
      </c>
      <c r="AC261">
        <f>VLOOKUP(Misfit[[#This Row],[Shortname]], Comp[], 25, FALSE)</f>
        <v>0</v>
      </c>
      <c r="AD261">
        <f>VLOOKUP(Misfit[[#This Row],[Shortname]], Comp[], 26, FALSE)</f>
        <v>0</v>
      </c>
      <c r="AE261">
        <f>VLOOKUP(Misfit[[#This Row],[Shortname]], Comp[], 27, FALSE)</f>
        <v>0</v>
      </c>
      <c r="AF261">
        <f>VLOOKUP(Misfit[[#This Row],[Shortname]], Comp[], 28, FALSE)</f>
        <v>0</v>
      </c>
      <c r="AG261">
        <f>VLOOKUP(Misfit[[#This Row],[Shortname]], Comp[], 29, FALSE)</f>
        <v>0</v>
      </c>
      <c r="AH261">
        <f>VLOOKUP(Misfit[[#This Row],[Shortname]], Comp[], 30, FALSE)</f>
        <v>0</v>
      </c>
      <c r="AI261">
        <f>VLOOKUP(Misfit[[#This Row],[Shortname]], Comp[], 31, FALSE)</f>
        <v>0</v>
      </c>
    </row>
    <row r="262" spans="1:35" x14ac:dyDescent="0.3">
      <c r="A262" s="12" t="s">
        <v>5434</v>
      </c>
      <c r="B262" s="12" t="s">
        <v>5435</v>
      </c>
      <c r="C262" s="12" t="s">
        <v>5436</v>
      </c>
      <c r="D262" s="12">
        <v>800</v>
      </c>
      <c r="E262" s="12">
        <v>25</v>
      </c>
      <c r="F262" s="12">
        <v>0.3604</v>
      </c>
      <c r="G262" s="12">
        <v>0.35870000000000002</v>
      </c>
      <c r="H262" s="41">
        <v>5.0000000000000001E-3</v>
      </c>
      <c r="I262" s="12"/>
      <c r="J262">
        <f>VLOOKUP(Misfit[[#This Row],[Shortname]], Comp[], 6, FALSE)</f>
        <v>833</v>
      </c>
      <c r="K262">
        <f>VLOOKUP(Misfit[[#This Row],[Shortname]], Comp[], 7, FALSE)</f>
        <v>84</v>
      </c>
      <c r="L262">
        <f>VLOOKUP(Misfit[[#This Row],[Shortname]], Comp[], 8, FALSE)</f>
        <v>0</v>
      </c>
      <c r="M262">
        <f>VLOOKUP(Misfit[[#This Row],[Shortname]], Comp[], 9, FALSE)</f>
        <v>4</v>
      </c>
      <c r="N262">
        <f>VLOOKUP(Misfit[[#This Row],[Shortname]], Comp[], 10, FALSE)</f>
        <v>0</v>
      </c>
      <c r="O262">
        <f>VLOOKUP(Misfit[[#This Row],[Shortname]], Comp[], 11, FALSE)</f>
        <v>0</v>
      </c>
      <c r="P262">
        <f>VLOOKUP(Misfit[[#This Row],[Shortname]], Comp[],12, FALSE)</f>
        <v>8</v>
      </c>
      <c r="Q262">
        <f>VLOOKUP(Misfit[[#This Row],[Shortname]], Comp[], 13, FALSE)</f>
        <v>0</v>
      </c>
      <c r="R262">
        <f>VLOOKUP(Misfit[[#This Row],[Shortname]], Comp[], 14, FALSE)</f>
        <v>0</v>
      </c>
      <c r="S262">
        <f>VLOOKUP(Misfit[[#This Row],[Shortname]], Comp[], 15, FALSE)</f>
        <v>0</v>
      </c>
      <c r="T262">
        <f>VLOOKUP(Misfit[[#This Row],[Shortname]], Comp[], 16, FALSE)</f>
        <v>4</v>
      </c>
      <c r="U262">
        <f>VLOOKUP(Misfit[[#This Row],[Shortname]], Comp[], 17, FALSE)</f>
        <v>0</v>
      </c>
      <c r="V262">
        <f>VLOOKUP(Misfit[[#This Row],[Shortname]], Comp[], 18, FALSE)</f>
        <v>0</v>
      </c>
      <c r="W262">
        <f>VLOOKUP(Misfit[[#This Row],[Shortname]], Comp[], 19, FALSE)</f>
        <v>0</v>
      </c>
      <c r="X262">
        <f>VLOOKUP(Misfit[[#This Row],[Shortname]], Comp[], 20, FALSE)</f>
        <v>0</v>
      </c>
      <c r="Y262">
        <f>VLOOKUP(Misfit[[#This Row],[Shortname]], Comp[], 21, FALSE)</f>
        <v>0</v>
      </c>
      <c r="Z262">
        <f>VLOOKUP(Misfit[[#This Row],[Shortname]], Comp[], 22, FALSE)</f>
        <v>0</v>
      </c>
      <c r="AA262">
        <f>VLOOKUP(Misfit[[#This Row],[Shortname]], Comp[], 23, FALSE)</f>
        <v>0</v>
      </c>
      <c r="AB262">
        <f>VLOOKUP(Misfit[[#This Row],[Shortname]], Comp[], 24, FALSE)</f>
        <v>0</v>
      </c>
      <c r="AC262">
        <f>VLOOKUP(Misfit[[#This Row],[Shortname]], Comp[], 25, FALSE)</f>
        <v>0</v>
      </c>
      <c r="AD262">
        <f>VLOOKUP(Misfit[[#This Row],[Shortname]], Comp[], 26, FALSE)</f>
        <v>0</v>
      </c>
      <c r="AE262">
        <f>VLOOKUP(Misfit[[#This Row],[Shortname]], Comp[], 27, FALSE)</f>
        <v>0</v>
      </c>
      <c r="AF262">
        <f>VLOOKUP(Misfit[[#This Row],[Shortname]], Comp[], 28, FALSE)</f>
        <v>0</v>
      </c>
      <c r="AG262">
        <f>VLOOKUP(Misfit[[#This Row],[Shortname]], Comp[], 29, FALSE)</f>
        <v>0</v>
      </c>
      <c r="AH262">
        <f>VLOOKUP(Misfit[[#This Row],[Shortname]], Comp[], 30, FALSE)</f>
        <v>0</v>
      </c>
      <c r="AI262">
        <f>VLOOKUP(Misfit[[#This Row],[Shortname]], Comp[], 31, FALSE)</f>
        <v>0</v>
      </c>
    </row>
    <row r="263" spans="1:35" x14ac:dyDescent="0.3">
      <c r="A263" s="12" t="s">
        <v>5475</v>
      </c>
      <c r="B263" s="12" t="s">
        <v>5477</v>
      </c>
      <c r="C263" s="12" t="s">
        <v>5478</v>
      </c>
      <c r="D263" s="12">
        <v>800</v>
      </c>
      <c r="E263" s="12">
        <v>25</v>
      </c>
      <c r="F263" s="12">
        <v>0.35949999999999999</v>
      </c>
      <c r="G263" s="12">
        <v>0.36</v>
      </c>
      <c r="H263" s="41">
        <f>2*(F263-G263)/(F263+G263)</f>
        <v>-1.3898540653231423E-3</v>
      </c>
      <c r="I263" s="12" t="s">
        <v>6638</v>
      </c>
      <c r="J263">
        <f>VLOOKUP(Misfit[[#This Row],[Shortname]], Comp[], 6, FALSE)</f>
        <v>843</v>
      </c>
      <c r="K263">
        <f>VLOOKUP(Misfit[[#This Row],[Shortname]], Comp[], 7, FALSE)</f>
        <v>31.5</v>
      </c>
      <c r="L263">
        <f>VLOOKUP(Misfit[[#This Row],[Shortname]], Comp[], 8, FALSE)</f>
        <v>34.6</v>
      </c>
      <c r="M263">
        <f>VLOOKUP(Misfit[[#This Row],[Shortname]], Comp[], 9, FALSE)</f>
        <v>4.3</v>
      </c>
      <c r="N263">
        <f>VLOOKUP(Misfit[[#This Row],[Shortname]], Comp[], 10, FALSE)</f>
        <v>19.5</v>
      </c>
      <c r="O263">
        <f>VLOOKUP(Misfit[[#This Row],[Shortname]], Comp[], 11, FALSE)</f>
        <v>0</v>
      </c>
      <c r="P263">
        <f>VLOOKUP(Misfit[[#This Row],[Shortname]], Comp[],12, FALSE)</f>
        <v>1</v>
      </c>
      <c r="Q263">
        <f>VLOOKUP(Misfit[[#This Row],[Shortname]], Comp[], 13, FALSE)</f>
        <v>0</v>
      </c>
      <c r="R263">
        <f>VLOOKUP(Misfit[[#This Row],[Shortname]], Comp[], 14, FALSE)</f>
        <v>1.9</v>
      </c>
      <c r="S263">
        <f>VLOOKUP(Misfit[[#This Row],[Shortname]], Comp[], 15, FALSE)</f>
        <v>0</v>
      </c>
      <c r="T263">
        <f>VLOOKUP(Misfit[[#This Row],[Shortname]], Comp[], 16, FALSE)</f>
        <v>4.8</v>
      </c>
      <c r="U263">
        <f>VLOOKUP(Misfit[[#This Row],[Shortname]], Comp[], 17, FALSE)</f>
        <v>0.7</v>
      </c>
      <c r="V263">
        <f>VLOOKUP(Misfit[[#This Row],[Shortname]], Comp[], 18, FALSE)</f>
        <v>0</v>
      </c>
      <c r="W263">
        <f>VLOOKUP(Misfit[[#This Row],[Shortname]], Comp[], 19, FALSE)</f>
        <v>0</v>
      </c>
      <c r="X263">
        <f>VLOOKUP(Misfit[[#This Row],[Shortname]], Comp[], 20, FALSE)</f>
        <v>0</v>
      </c>
      <c r="Y263">
        <f>VLOOKUP(Misfit[[#This Row],[Shortname]], Comp[], 21, FALSE)</f>
        <v>0</v>
      </c>
      <c r="Z263">
        <f>VLOOKUP(Misfit[[#This Row],[Shortname]], Comp[], 22, FALSE)</f>
        <v>0</v>
      </c>
      <c r="AA263">
        <f>VLOOKUP(Misfit[[#This Row],[Shortname]], Comp[], 23, FALSE)</f>
        <v>1.7</v>
      </c>
      <c r="AB263">
        <f>VLOOKUP(Misfit[[#This Row],[Shortname]], Comp[], 24, FALSE)</f>
        <v>0</v>
      </c>
      <c r="AC263">
        <f>VLOOKUP(Misfit[[#This Row],[Shortname]], Comp[], 25, FALSE)</f>
        <v>0</v>
      </c>
      <c r="AD263">
        <f>VLOOKUP(Misfit[[#This Row],[Shortname]], Comp[], 26, FALSE)</f>
        <v>0</v>
      </c>
      <c r="AE263">
        <f>VLOOKUP(Misfit[[#This Row],[Shortname]], Comp[], 27, FALSE)</f>
        <v>0</v>
      </c>
      <c r="AF263">
        <f>VLOOKUP(Misfit[[#This Row],[Shortname]], Comp[], 28, FALSE)</f>
        <v>0</v>
      </c>
      <c r="AG263">
        <f>VLOOKUP(Misfit[[#This Row],[Shortname]], Comp[], 29, FALSE)</f>
        <v>0</v>
      </c>
      <c r="AH263">
        <f>VLOOKUP(Misfit[[#This Row],[Shortname]], Comp[], 30, FALSE)</f>
        <v>0</v>
      </c>
      <c r="AI263">
        <f>VLOOKUP(Misfit[[#This Row],[Shortname]], Comp[], 31, FALSE)</f>
        <v>0</v>
      </c>
    </row>
    <row r="264" spans="1:35" x14ac:dyDescent="0.3">
      <c r="A264" s="12" t="s">
        <v>5487</v>
      </c>
      <c r="B264" s="12" t="s">
        <v>3667</v>
      </c>
      <c r="C264" s="12" t="s">
        <v>5488</v>
      </c>
      <c r="D264" s="12"/>
      <c r="E264" s="12">
        <v>25</v>
      </c>
      <c r="F264" s="12"/>
      <c r="G264" s="12"/>
      <c r="H264" s="41">
        <v>5.5999999999999999E-3</v>
      </c>
      <c r="I264" s="12"/>
      <c r="J264">
        <f>VLOOKUP(Misfit[[#This Row],[Shortname]], Comp[], 6, FALSE)</f>
        <v>845</v>
      </c>
      <c r="K264">
        <f>VLOOKUP(Misfit[[#This Row],[Shortname]], Comp[], 7, FALSE)</f>
        <v>51.699999999999996</v>
      </c>
      <c r="L264">
        <f>VLOOKUP(Misfit[[#This Row],[Shortname]], Comp[], 8, FALSE)</f>
        <v>31</v>
      </c>
      <c r="M264">
        <f>VLOOKUP(Misfit[[#This Row],[Shortname]], Comp[], 9, FALSE)</f>
        <v>10.1</v>
      </c>
      <c r="N264">
        <f>VLOOKUP(Misfit[[#This Row],[Shortname]], Comp[], 10, FALSE)</f>
        <v>0</v>
      </c>
      <c r="O264">
        <f>VLOOKUP(Misfit[[#This Row],[Shortname]], Comp[], 11, FALSE)</f>
        <v>0</v>
      </c>
      <c r="P264">
        <f>VLOOKUP(Misfit[[#This Row],[Shortname]], Comp[],12, FALSE)</f>
        <v>0</v>
      </c>
      <c r="Q264">
        <f>VLOOKUP(Misfit[[#This Row],[Shortname]], Comp[], 13, FALSE)</f>
        <v>2.1</v>
      </c>
      <c r="R264">
        <f>VLOOKUP(Misfit[[#This Row],[Shortname]], Comp[], 14, FALSE)</f>
        <v>0</v>
      </c>
      <c r="S264">
        <f>VLOOKUP(Misfit[[#This Row],[Shortname]], Comp[], 15, FALSE)</f>
        <v>0</v>
      </c>
      <c r="T264">
        <f>VLOOKUP(Misfit[[#This Row],[Shortname]], Comp[], 16, FALSE)</f>
        <v>5.0999999999999996</v>
      </c>
      <c r="U264">
        <f>VLOOKUP(Misfit[[#This Row],[Shortname]], Comp[], 17, FALSE)</f>
        <v>0</v>
      </c>
      <c r="V264">
        <f>VLOOKUP(Misfit[[#This Row],[Shortname]], Comp[], 18, FALSE)</f>
        <v>0</v>
      </c>
      <c r="W264">
        <f>VLOOKUP(Misfit[[#This Row],[Shortname]], Comp[], 19, FALSE)</f>
        <v>0</v>
      </c>
      <c r="X264">
        <f>VLOOKUP(Misfit[[#This Row],[Shortname]], Comp[], 20, FALSE)</f>
        <v>0</v>
      </c>
      <c r="Y264">
        <f>VLOOKUP(Misfit[[#This Row],[Shortname]], Comp[], 21, FALSE)</f>
        <v>0</v>
      </c>
      <c r="Z264">
        <f>VLOOKUP(Misfit[[#This Row],[Shortname]], Comp[], 22, FALSE)</f>
        <v>0</v>
      </c>
      <c r="AA264">
        <f>VLOOKUP(Misfit[[#This Row],[Shortname]], Comp[], 23, FALSE)</f>
        <v>0</v>
      </c>
      <c r="AB264">
        <f>VLOOKUP(Misfit[[#This Row],[Shortname]], Comp[], 24, FALSE)</f>
        <v>0</v>
      </c>
      <c r="AC264">
        <f>VLOOKUP(Misfit[[#This Row],[Shortname]], Comp[], 25, FALSE)</f>
        <v>0</v>
      </c>
      <c r="AD264">
        <f>VLOOKUP(Misfit[[#This Row],[Shortname]], Comp[], 26, FALSE)</f>
        <v>0</v>
      </c>
      <c r="AE264">
        <f>VLOOKUP(Misfit[[#This Row],[Shortname]], Comp[], 27, FALSE)</f>
        <v>0</v>
      </c>
      <c r="AF264">
        <f>VLOOKUP(Misfit[[#This Row],[Shortname]], Comp[], 28, FALSE)</f>
        <v>0</v>
      </c>
      <c r="AG264">
        <f>VLOOKUP(Misfit[[#This Row],[Shortname]], Comp[], 29, FALSE)</f>
        <v>0</v>
      </c>
      <c r="AH264">
        <f>VLOOKUP(Misfit[[#This Row],[Shortname]], Comp[], 30, FALSE)</f>
        <v>0</v>
      </c>
      <c r="AI264">
        <f>VLOOKUP(Misfit[[#This Row],[Shortname]], Comp[], 31, FALSE)</f>
        <v>0</v>
      </c>
    </row>
    <row r="265" spans="1:35" x14ac:dyDescent="0.3">
      <c r="A265" s="12" t="s">
        <v>5490</v>
      </c>
      <c r="B265" s="12" t="s">
        <v>3899</v>
      </c>
      <c r="C265" s="12" t="s">
        <v>5491</v>
      </c>
      <c r="D265" s="12"/>
      <c r="E265" s="12">
        <v>25</v>
      </c>
      <c r="F265" s="12"/>
      <c r="G265" s="12"/>
      <c r="H265" s="41">
        <v>4.7999999999999996E-3</v>
      </c>
      <c r="I265" s="12"/>
      <c r="J265">
        <f>VLOOKUP(Misfit[[#This Row],[Shortname]], Comp[], 6, FALSE)</f>
        <v>846</v>
      </c>
      <c r="K265">
        <f>VLOOKUP(Misfit[[#This Row],[Shortname]], Comp[], 7, FALSE)</f>
        <v>50.4</v>
      </c>
      <c r="L265">
        <f>VLOOKUP(Misfit[[#This Row],[Shortname]], Comp[], 8, FALSE)</f>
        <v>32</v>
      </c>
      <c r="M265">
        <f>VLOOKUP(Misfit[[#This Row],[Shortname]], Comp[], 9, FALSE)</f>
        <v>9.9</v>
      </c>
      <c r="N265">
        <f>VLOOKUP(Misfit[[#This Row],[Shortname]], Comp[], 10, FALSE)</f>
        <v>0</v>
      </c>
      <c r="O265">
        <f>VLOOKUP(Misfit[[#This Row],[Shortname]], Comp[], 11, FALSE)</f>
        <v>0</v>
      </c>
      <c r="P265">
        <f>VLOOKUP(Misfit[[#This Row],[Shortname]], Comp[],12, FALSE)</f>
        <v>1.4</v>
      </c>
      <c r="Q265">
        <f>VLOOKUP(Misfit[[#This Row],[Shortname]], Comp[], 13, FALSE)</f>
        <v>1.7</v>
      </c>
      <c r="R265">
        <f>VLOOKUP(Misfit[[#This Row],[Shortname]], Comp[], 14, FALSE)</f>
        <v>0</v>
      </c>
      <c r="S265">
        <f>VLOOKUP(Misfit[[#This Row],[Shortname]], Comp[], 15, FALSE)</f>
        <v>0</v>
      </c>
      <c r="T265">
        <f>VLOOKUP(Misfit[[#This Row],[Shortname]], Comp[], 16, FALSE)</f>
        <v>4.5999999999999996</v>
      </c>
      <c r="U265">
        <f>VLOOKUP(Misfit[[#This Row],[Shortname]], Comp[], 17, FALSE)</f>
        <v>0</v>
      </c>
      <c r="V265">
        <f>VLOOKUP(Misfit[[#This Row],[Shortname]], Comp[], 18, FALSE)</f>
        <v>0</v>
      </c>
      <c r="W265">
        <f>VLOOKUP(Misfit[[#This Row],[Shortname]], Comp[], 19, FALSE)</f>
        <v>0</v>
      </c>
      <c r="X265">
        <f>VLOOKUP(Misfit[[#This Row],[Shortname]], Comp[], 20, FALSE)</f>
        <v>0</v>
      </c>
      <c r="Y265">
        <f>VLOOKUP(Misfit[[#This Row],[Shortname]], Comp[], 21, FALSE)</f>
        <v>0</v>
      </c>
      <c r="Z265">
        <f>VLOOKUP(Misfit[[#This Row],[Shortname]], Comp[], 22, FALSE)</f>
        <v>0</v>
      </c>
      <c r="AA265">
        <f>VLOOKUP(Misfit[[#This Row],[Shortname]], Comp[], 23, FALSE)</f>
        <v>0</v>
      </c>
      <c r="AB265">
        <f>VLOOKUP(Misfit[[#This Row],[Shortname]], Comp[], 24, FALSE)</f>
        <v>0</v>
      </c>
      <c r="AC265">
        <f>VLOOKUP(Misfit[[#This Row],[Shortname]], Comp[], 25, FALSE)</f>
        <v>0</v>
      </c>
      <c r="AD265">
        <f>VLOOKUP(Misfit[[#This Row],[Shortname]], Comp[], 26, FALSE)</f>
        <v>0</v>
      </c>
      <c r="AE265">
        <f>VLOOKUP(Misfit[[#This Row],[Shortname]], Comp[], 27, FALSE)</f>
        <v>0</v>
      </c>
      <c r="AF265">
        <f>VLOOKUP(Misfit[[#This Row],[Shortname]], Comp[], 28, FALSE)</f>
        <v>0</v>
      </c>
      <c r="AG265">
        <f>VLOOKUP(Misfit[[#This Row],[Shortname]], Comp[], 29, FALSE)</f>
        <v>0</v>
      </c>
      <c r="AH265">
        <f>VLOOKUP(Misfit[[#This Row],[Shortname]], Comp[], 30, FALSE)</f>
        <v>0</v>
      </c>
      <c r="AI265">
        <f>VLOOKUP(Misfit[[#This Row],[Shortname]], Comp[], 31, FALSE)</f>
        <v>0</v>
      </c>
    </row>
    <row r="266" spans="1:35" x14ac:dyDescent="0.3">
      <c r="A266" s="12" t="s">
        <v>5493</v>
      </c>
      <c r="B266" s="12" t="s">
        <v>3231</v>
      </c>
      <c r="C266" s="12" t="s">
        <v>5494</v>
      </c>
      <c r="D266" s="12"/>
      <c r="E266" s="12">
        <v>25</v>
      </c>
      <c r="F266" s="12"/>
      <c r="G266" s="12"/>
      <c r="H266" s="41">
        <v>4.1999999999999997E-3</v>
      </c>
      <c r="I266" s="12"/>
      <c r="J266">
        <f>VLOOKUP(Misfit[[#This Row],[Shortname]], Comp[], 6, FALSE)</f>
        <v>847</v>
      </c>
      <c r="K266">
        <f>VLOOKUP(Misfit[[#This Row],[Shortname]], Comp[], 7, FALSE)</f>
        <v>49.8</v>
      </c>
      <c r="L266">
        <f>VLOOKUP(Misfit[[#This Row],[Shortname]], Comp[], 8, FALSE)</f>
        <v>30.6</v>
      </c>
      <c r="M266">
        <f>VLOOKUP(Misfit[[#This Row],[Shortname]], Comp[], 9, FALSE)</f>
        <v>9.1999999999999993</v>
      </c>
      <c r="N266">
        <f>VLOOKUP(Misfit[[#This Row],[Shortname]], Comp[], 10, FALSE)</f>
        <v>0</v>
      </c>
      <c r="O266">
        <f>VLOOKUP(Misfit[[#This Row],[Shortname]], Comp[], 11, FALSE)</f>
        <v>0</v>
      </c>
      <c r="P266">
        <f>VLOOKUP(Misfit[[#This Row],[Shortname]], Comp[],12, FALSE)</f>
        <v>3.2</v>
      </c>
      <c r="Q266">
        <f>VLOOKUP(Misfit[[#This Row],[Shortname]], Comp[], 13, FALSE)</f>
        <v>2.1</v>
      </c>
      <c r="R266">
        <f>VLOOKUP(Misfit[[#This Row],[Shortname]], Comp[], 14, FALSE)</f>
        <v>0</v>
      </c>
      <c r="S266">
        <f>VLOOKUP(Misfit[[#This Row],[Shortname]], Comp[], 15, FALSE)</f>
        <v>0</v>
      </c>
      <c r="T266">
        <f>VLOOKUP(Misfit[[#This Row],[Shortname]], Comp[], 16, FALSE)</f>
        <v>5.0999999999999996</v>
      </c>
      <c r="U266">
        <f>VLOOKUP(Misfit[[#This Row],[Shortname]], Comp[], 17, FALSE)</f>
        <v>0</v>
      </c>
      <c r="V266">
        <f>VLOOKUP(Misfit[[#This Row],[Shortname]], Comp[], 18, FALSE)</f>
        <v>0</v>
      </c>
      <c r="W266">
        <f>VLOOKUP(Misfit[[#This Row],[Shortname]], Comp[], 19, FALSE)</f>
        <v>0</v>
      </c>
      <c r="X266">
        <f>VLOOKUP(Misfit[[#This Row],[Shortname]], Comp[], 20, FALSE)</f>
        <v>0</v>
      </c>
      <c r="Y266">
        <f>VLOOKUP(Misfit[[#This Row],[Shortname]], Comp[], 21, FALSE)</f>
        <v>0</v>
      </c>
      <c r="Z266">
        <f>VLOOKUP(Misfit[[#This Row],[Shortname]], Comp[], 22, FALSE)</f>
        <v>0</v>
      </c>
      <c r="AA266">
        <f>VLOOKUP(Misfit[[#This Row],[Shortname]], Comp[], 23, FALSE)</f>
        <v>0</v>
      </c>
      <c r="AB266">
        <f>VLOOKUP(Misfit[[#This Row],[Shortname]], Comp[], 24, FALSE)</f>
        <v>0</v>
      </c>
      <c r="AC266">
        <f>VLOOKUP(Misfit[[#This Row],[Shortname]], Comp[], 25, FALSE)</f>
        <v>0</v>
      </c>
      <c r="AD266">
        <f>VLOOKUP(Misfit[[#This Row],[Shortname]], Comp[], 26, FALSE)</f>
        <v>0</v>
      </c>
      <c r="AE266">
        <f>VLOOKUP(Misfit[[#This Row],[Shortname]], Comp[], 27, FALSE)</f>
        <v>0</v>
      </c>
      <c r="AF266">
        <f>VLOOKUP(Misfit[[#This Row],[Shortname]], Comp[], 28, FALSE)</f>
        <v>0</v>
      </c>
      <c r="AG266">
        <f>VLOOKUP(Misfit[[#This Row],[Shortname]], Comp[], 29, FALSE)</f>
        <v>0</v>
      </c>
      <c r="AH266">
        <f>VLOOKUP(Misfit[[#This Row],[Shortname]], Comp[], 30, FALSE)</f>
        <v>0</v>
      </c>
      <c r="AI266">
        <f>VLOOKUP(Misfit[[#This Row],[Shortname]], Comp[], 31, FALSE)</f>
        <v>0</v>
      </c>
    </row>
    <row r="267" spans="1:35" x14ac:dyDescent="0.3">
      <c r="A267" s="12" t="s">
        <v>5498</v>
      </c>
      <c r="B267" s="12" t="s">
        <v>3893</v>
      </c>
      <c r="C267" s="12" t="s">
        <v>5499</v>
      </c>
      <c r="D267" s="12"/>
      <c r="E267" s="12">
        <v>25</v>
      </c>
      <c r="F267" s="12"/>
      <c r="G267" s="12"/>
      <c r="H267" s="41">
        <v>2.8E-3</v>
      </c>
      <c r="I267" s="12"/>
      <c r="J267">
        <f>VLOOKUP(Misfit[[#This Row],[Shortname]], Comp[], 6, FALSE)</f>
        <v>848</v>
      </c>
      <c r="K267">
        <f>VLOOKUP(Misfit[[#This Row],[Shortname]], Comp[], 7, FALSE)</f>
        <v>49.1</v>
      </c>
      <c r="L267">
        <f>VLOOKUP(Misfit[[#This Row],[Shortname]], Comp[], 8, FALSE)</f>
        <v>30.5</v>
      </c>
      <c r="M267">
        <f>VLOOKUP(Misfit[[#This Row],[Shortname]], Comp[], 9, FALSE)</f>
        <v>9.3000000000000007</v>
      </c>
      <c r="N267">
        <f>VLOOKUP(Misfit[[#This Row],[Shortname]], Comp[], 10, FALSE)</f>
        <v>0</v>
      </c>
      <c r="O267">
        <f>VLOOKUP(Misfit[[#This Row],[Shortname]], Comp[], 11, FALSE)</f>
        <v>0</v>
      </c>
      <c r="P267">
        <f>VLOOKUP(Misfit[[#This Row],[Shortname]], Comp[],12, FALSE)</f>
        <v>3.9</v>
      </c>
      <c r="Q267">
        <f>VLOOKUP(Misfit[[#This Row],[Shortname]], Comp[], 13, FALSE)</f>
        <v>2.2000000000000002</v>
      </c>
      <c r="R267">
        <f>VLOOKUP(Misfit[[#This Row],[Shortname]], Comp[], 14, FALSE)</f>
        <v>0</v>
      </c>
      <c r="S267">
        <f>VLOOKUP(Misfit[[#This Row],[Shortname]], Comp[], 15, FALSE)</f>
        <v>0</v>
      </c>
      <c r="T267">
        <f>VLOOKUP(Misfit[[#This Row],[Shortname]], Comp[], 16, FALSE)</f>
        <v>5</v>
      </c>
      <c r="U267">
        <f>VLOOKUP(Misfit[[#This Row],[Shortname]], Comp[], 17, FALSE)</f>
        <v>0</v>
      </c>
      <c r="V267">
        <f>VLOOKUP(Misfit[[#This Row],[Shortname]], Comp[], 18, FALSE)</f>
        <v>0</v>
      </c>
      <c r="W267">
        <f>VLOOKUP(Misfit[[#This Row],[Shortname]], Comp[], 19, FALSE)</f>
        <v>0</v>
      </c>
      <c r="X267">
        <f>VLOOKUP(Misfit[[#This Row],[Shortname]], Comp[], 20, FALSE)</f>
        <v>0</v>
      </c>
      <c r="Y267">
        <f>VLOOKUP(Misfit[[#This Row],[Shortname]], Comp[], 21, FALSE)</f>
        <v>0</v>
      </c>
      <c r="Z267">
        <f>VLOOKUP(Misfit[[#This Row],[Shortname]], Comp[], 22, FALSE)</f>
        <v>0</v>
      </c>
      <c r="AA267">
        <f>VLOOKUP(Misfit[[#This Row],[Shortname]], Comp[], 23, FALSE)</f>
        <v>0</v>
      </c>
      <c r="AB267">
        <f>VLOOKUP(Misfit[[#This Row],[Shortname]], Comp[], 24, FALSE)</f>
        <v>0</v>
      </c>
      <c r="AC267">
        <f>VLOOKUP(Misfit[[#This Row],[Shortname]], Comp[], 25, FALSE)</f>
        <v>0</v>
      </c>
      <c r="AD267">
        <f>VLOOKUP(Misfit[[#This Row],[Shortname]], Comp[], 26, FALSE)</f>
        <v>0</v>
      </c>
      <c r="AE267">
        <f>VLOOKUP(Misfit[[#This Row],[Shortname]], Comp[], 27, FALSE)</f>
        <v>0</v>
      </c>
      <c r="AF267">
        <f>VLOOKUP(Misfit[[#This Row],[Shortname]], Comp[], 28, FALSE)</f>
        <v>0</v>
      </c>
      <c r="AG267">
        <f>VLOOKUP(Misfit[[#This Row],[Shortname]], Comp[], 29, FALSE)</f>
        <v>0</v>
      </c>
      <c r="AH267">
        <f>VLOOKUP(Misfit[[#This Row],[Shortname]], Comp[], 30, FALSE)</f>
        <v>0</v>
      </c>
      <c r="AI267">
        <f>VLOOKUP(Misfit[[#This Row],[Shortname]], Comp[], 31, FALSE)</f>
        <v>0</v>
      </c>
    </row>
    <row r="268" spans="1:35" x14ac:dyDescent="0.3">
      <c r="A268" s="12" t="s">
        <v>5576</v>
      </c>
      <c r="B268" s="12" t="s">
        <v>5577</v>
      </c>
      <c r="C268" s="12" t="s">
        <v>5578</v>
      </c>
      <c r="D268" s="12">
        <v>900</v>
      </c>
      <c r="E268" s="12">
        <v>25</v>
      </c>
      <c r="F268" s="12">
        <v>0.35698999999999997</v>
      </c>
      <c r="G268" s="12">
        <v>0.35962</v>
      </c>
      <c r="H268" s="41">
        <v>-7.3000000000000001E-3</v>
      </c>
      <c r="I268" s="12"/>
      <c r="J268">
        <f>VLOOKUP(Misfit[[#This Row],[Shortname]], Comp[], 6, FALSE)</f>
        <v>863</v>
      </c>
      <c r="K268">
        <f>VLOOKUP(Misfit[[#This Row],[Shortname]], Comp[], 7, FALSE)</f>
        <v>42.3</v>
      </c>
      <c r="L268">
        <f>VLOOKUP(Misfit[[#This Row],[Shortname]], Comp[], 8, FALSE)</f>
        <v>29.8</v>
      </c>
      <c r="M268">
        <f>VLOOKUP(Misfit[[#This Row],[Shortname]], Comp[], 9, FALSE)</f>
        <v>9.4</v>
      </c>
      <c r="N268">
        <f>VLOOKUP(Misfit[[#This Row],[Shortname]], Comp[], 10, FALSE)</f>
        <v>12.8</v>
      </c>
      <c r="O268">
        <f>VLOOKUP(Misfit[[#This Row],[Shortname]], Comp[], 11, FALSE)</f>
        <v>0</v>
      </c>
      <c r="P268">
        <f>VLOOKUP(Misfit[[#This Row],[Shortname]], Comp[],12, FALSE)</f>
        <v>3.7</v>
      </c>
      <c r="Q268">
        <f>VLOOKUP(Misfit[[#This Row],[Shortname]], Comp[], 13, FALSE)</f>
        <v>0</v>
      </c>
      <c r="R268">
        <f>VLOOKUP(Misfit[[#This Row],[Shortname]], Comp[], 14, FALSE)</f>
        <v>2</v>
      </c>
      <c r="S268">
        <f>VLOOKUP(Misfit[[#This Row],[Shortname]], Comp[], 15, FALSE)</f>
        <v>0</v>
      </c>
      <c r="T268">
        <f>VLOOKUP(Misfit[[#This Row],[Shortname]], Comp[], 16, FALSE)</f>
        <v>0</v>
      </c>
      <c r="U268">
        <f>VLOOKUP(Misfit[[#This Row],[Shortname]], Comp[], 17, FALSE)</f>
        <v>0</v>
      </c>
      <c r="V268">
        <f>VLOOKUP(Misfit[[#This Row],[Shortname]], Comp[], 18, FALSE)</f>
        <v>0</v>
      </c>
      <c r="W268">
        <f>VLOOKUP(Misfit[[#This Row],[Shortname]], Comp[], 19, FALSE)</f>
        <v>0</v>
      </c>
      <c r="X268">
        <f>VLOOKUP(Misfit[[#This Row],[Shortname]], Comp[], 20, FALSE)</f>
        <v>0</v>
      </c>
      <c r="Y268">
        <f>VLOOKUP(Misfit[[#This Row],[Shortname]], Comp[], 21, FALSE)</f>
        <v>0</v>
      </c>
      <c r="Z268">
        <f>VLOOKUP(Misfit[[#This Row],[Shortname]], Comp[], 22, FALSE)</f>
        <v>0</v>
      </c>
      <c r="AA268">
        <f>VLOOKUP(Misfit[[#This Row],[Shortname]], Comp[], 23, FALSE)</f>
        <v>0</v>
      </c>
      <c r="AB268">
        <f>VLOOKUP(Misfit[[#This Row],[Shortname]], Comp[], 24, FALSE)</f>
        <v>0</v>
      </c>
      <c r="AC268">
        <f>VLOOKUP(Misfit[[#This Row],[Shortname]], Comp[], 25, FALSE)</f>
        <v>0</v>
      </c>
      <c r="AD268">
        <f>VLOOKUP(Misfit[[#This Row],[Shortname]], Comp[], 26, FALSE)</f>
        <v>0</v>
      </c>
      <c r="AE268">
        <f>VLOOKUP(Misfit[[#This Row],[Shortname]], Comp[], 27, FALSE)</f>
        <v>0</v>
      </c>
      <c r="AF268">
        <f>VLOOKUP(Misfit[[#This Row],[Shortname]], Comp[], 28, FALSE)</f>
        <v>0</v>
      </c>
      <c r="AG268">
        <f>VLOOKUP(Misfit[[#This Row],[Shortname]], Comp[], 29, FALSE)</f>
        <v>0</v>
      </c>
      <c r="AH268">
        <f>VLOOKUP(Misfit[[#This Row],[Shortname]], Comp[], 30, FALSE)</f>
        <v>0</v>
      </c>
      <c r="AI268">
        <f>VLOOKUP(Misfit[[#This Row],[Shortname]], Comp[], 31, FALSE)</f>
        <v>0</v>
      </c>
    </row>
    <row r="269" spans="1:35" x14ac:dyDescent="0.3">
      <c r="A269" s="12" t="s">
        <v>5591</v>
      </c>
      <c r="B269" s="12" t="s">
        <v>5592</v>
      </c>
      <c r="C269" s="12" t="s">
        <v>5593</v>
      </c>
      <c r="D269" s="12">
        <v>900</v>
      </c>
      <c r="E269" s="12">
        <v>25</v>
      </c>
      <c r="F269" s="12"/>
      <c r="G269" s="12"/>
      <c r="H269" s="41">
        <v>4.1799999999999997E-3</v>
      </c>
      <c r="I269" s="12"/>
      <c r="J269">
        <f>VLOOKUP(Misfit[[#This Row],[Shortname]], Comp[], 6, FALSE)</f>
        <v>866</v>
      </c>
      <c r="K269">
        <f>VLOOKUP(Misfit[[#This Row],[Shortname]], Comp[], 7, FALSE)</f>
        <v>50.120000000000005</v>
      </c>
      <c r="L269">
        <f>VLOOKUP(Misfit[[#This Row],[Shortname]], Comp[], 8, FALSE)</f>
        <v>30.2</v>
      </c>
      <c r="M269">
        <f>VLOOKUP(Misfit[[#This Row],[Shortname]], Comp[], 9, FALSE)</f>
        <v>9.83</v>
      </c>
      <c r="N269">
        <f>VLOOKUP(Misfit[[#This Row],[Shortname]], Comp[], 10, FALSE)</f>
        <v>0</v>
      </c>
      <c r="O269">
        <f>VLOOKUP(Misfit[[#This Row],[Shortname]], Comp[], 11, FALSE)</f>
        <v>4.0199999999999996</v>
      </c>
      <c r="P269">
        <f>VLOOKUP(Misfit[[#This Row],[Shortname]], Comp[],12, FALSE)</f>
        <v>3.93</v>
      </c>
      <c r="Q269">
        <f>VLOOKUP(Misfit[[#This Row],[Shortname]], Comp[], 13, FALSE)</f>
        <v>1.9</v>
      </c>
      <c r="R269">
        <f>VLOOKUP(Misfit[[#This Row],[Shortname]], Comp[], 14, FALSE)</f>
        <v>0</v>
      </c>
      <c r="S269">
        <f>VLOOKUP(Misfit[[#This Row],[Shortname]], Comp[], 15, FALSE)</f>
        <v>0</v>
      </c>
      <c r="T269">
        <f>VLOOKUP(Misfit[[#This Row],[Shortname]], Comp[], 16, FALSE)</f>
        <v>0</v>
      </c>
      <c r="U269">
        <f>VLOOKUP(Misfit[[#This Row],[Shortname]], Comp[], 17, FALSE)</f>
        <v>0</v>
      </c>
      <c r="V269">
        <f>VLOOKUP(Misfit[[#This Row],[Shortname]], Comp[], 18, FALSE)</f>
        <v>0</v>
      </c>
      <c r="W269">
        <f>VLOOKUP(Misfit[[#This Row],[Shortname]], Comp[], 19, FALSE)</f>
        <v>0</v>
      </c>
      <c r="X269">
        <f>VLOOKUP(Misfit[[#This Row],[Shortname]], Comp[], 20, FALSE)</f>
        <v>0</v>
      </c>
      <c r="Y269">
        <f>VLOOKUP(Misfit[[#This Row],[Shortname]], Comp[], 21, FALSE)</f>
        <v>0</v>
      </c>
      <c r="Z269">
        <f>VLOOKUP(Misfit[[#This Row],[Shortname]], Comp[], 22, FALSE)</f>
        <v>0</v>
      </c>
      <c r="AA269">
        <f>VLOOKUP(Misfit[[#This Row],[Shortname]], Comp[], 23, FALSE)</f>
        <v>0</v>
      </c>
      <c r="AB269">
        <f>VLOOKUP(Misfit[[#This Row],[Shortname]], Comp[], 24, FALSE)</f>
        <v>0</v>
      </c>
      <c r="AC269">
        <f>VLOOKUP(Misfit[[#This Row],[Shortname]], Comp[], 25, FALSE)</f>
        <v>0</v>
      </c>
      <c r="AD269">
        <f>VLOOKUP(Misfit[[#This Row],[Shortname]], Comp[], 26, FALSE)</f>
        <v>0</v>
      </c>
      <c r="AE269">
        <f>VLOOKUP(Misfit[[#This Row],[Shortname]], Comp[], 27, FALSE)</f>
        <v>0</v>
      </c>
      <c r="AF269">
        <f>VLOOKUP(Misfit[[#This Row],[Shortname]], Comp[], 28, FALSE)</f>
        <v>0</v>
      </c>
      <c r="AG269">
        <f>VLOOKUP(Misfit[[#This Row],[Shortname]], Comp[], 29, FALSE)</f>
        <v>0</v>
      </c>
      <c r="AH269">
        <f>VLOOKUP(Misfit[[#This Row],[Shortname]], Comp[], 30, FALSE)</f>
        <v>0</v>
      </c>
      <c r="AI269">
        <f>VLOOKUP(Misfit[[#This Row],[Shortname]], Comp[], 31, FALSE)</f>
        <v>0</v>
      </c>
    </row>
    <row r="270" spans="1:35" x14ac:dyDescent="0.3">
      <c r="A270" s="12" t="s">
        <v>5636</v>
      </c>
      <c r="B270" s="12" t="s">
        <v>2361</v>
      </c>
      <c r="C270" s="12" t="s">
        <v>5637</v>
      </c>
      <c r="D270" s="12">
        <v>900</v>
      </c>
      <c r="E270" s="12">
        <v>25</v>
      </c>
      <c r="F270" s="12">
        <v>0.35520000000000002</v>
      </c>
      <c r="G270" s="12">
        <v>0.35320000000000001</v>
      </c>
      <c r="H270" s="41">
        <f t="shared" ref="H270:H274" si="7">2*(F270-G270)/(F270+G270)</f>
        <v>5.6465273856578253E-3</v>
      </c>
      <c r="I270" s="12"/>
      <c r="J270">
        <f>VLOOKUP(Misfit[[#This Row],[Shortname]], Comp[], 6, FALSE)</f>
        <v>875</v>
      </c>
      <c r="K270">
        <f>VLOOKUP(Misfit[[#This Row],[Shortname]], Comp[], 7, FALSE)</f>
        <v>53.1</v>
      </c>
      <c r="L270">
        <f>VLOOKUP(Misfit[[#This Row],[Shortname]], Comp[], 8, FALSE)</f>
        <v>30.4</v>
      </c>
      <c r="M270">
        <f>VLOOKUP(Misfit[[#This Row],[Shortname]], Comp[], 9, FALSE)</f>
        <v>9.6999999999999993</v>
      </c>
      <c r="N270">
        <f>VLOOKUP(Misfit[[#This Row],[Shortname]], Comp[], 10, FALSE)</f>
        <v>0</v>
      </c>
      <c r="O270">
        <f>VLOOKUP(Misfit[[#This Row],[Shortname]], Comp[], 11, FALSE)</f>
        <v>0</v>
      </c>
      <c r="P270">
        <f>VLOOKUP(Misfit[[#This Row],[Shortname]], Comp[],12, FALSE)</f>
        <v>0</v>
      </c>
      <c r="Q270">
        <f>VLOOKUP(Misfit[[#This Row],[Shortname]], Comp[], 13, FALSE)</f>
        <v>2.1</v>
      </c>
      <c r="R270">
        <f>VLOOKUP(Misfit[[#This Row],[Shortname]], Comp[], 14, FALSE)</f>
        <v>0</v>
      </c>
      <c r="S270">
        <f>VLOOKUP(Misfit[[#This Row],[Shortname]], Comp[], 15, FALSE)</f>
        <v>0</v>
      </c>
      <c r="T270">
        <f>VLOOKUP(Misfit[[#This Row],[Shortname]], Comp[], 16, FALSE)</f>
        <v>4.7</v>
      </c>
      <c r="U270">
        <f>VLOOKUP(Misfit[[#This Row],[Shortname]], Comp[], 17, FALSE)</f>
        <v>0</v>
      </c>
      <c r="V270">
        <f>VLOOKUP(Misfit[[#This Row],[Shortname]], Comp[], 18, FALSE)</f>
        <v>0</v>
      </c>
      <c r="W270">
        <f>VLOOKUP(Misfit[[#This Row],[Shortname]], Comp[], 19, FALSE)</f>
        <v>0</v>
      </c>
      <c r="X270">
        <f>VLOOKUP(Misfit[[#This Row],[Shortname]], Comp[], 20, FALSE)</f>
        <v>0</v>
      </c>
      <c r="Y270">
        <f>VLOOKUP(Misfit[[#This Row],[Shortname]], Comp[], 21, FALSE)</f>
        <v>0</v>
      </c>
      <c r="Z270">
        <f>VLOOKUP(Misfit[[#This Row],[Shortname]], Comp[], 22, FALSE)</f>
        <v>0</v>
      </c>
      <c r="AA270">
        <f>VLOOKUP(Misfit[[#This Row],[Shortname]], Comp[], 23, FALSE)</f>
        <v>0</v>
      </c>
      <c r="AB270">
        <f>VLOOKUP(Misfit[[#This Row],[Shortname]], Comp[], 24, FALSE)</f>
        <v>0</v>
      </c>
      <c r="AC270">
        <f>VLOOKUP(Misfit[[#This Row],[Shortname]], Comp[], 25, FALSE)</f>
        <v>0</v>
      </c>
      <c r="AD270">
        <f>VLOOKUP(Misfit[[#This Row],[Shortname]], Comp[], 26, FALSE)</f>
        <v>0</v>
      </c>
      <c r="AE270">
        <f>VLOOKUP(Misfit[[#This Row],[Shortname]], Comp[], 27, FALSE)</f>
        <v>0</v>
      </c>
      <c r="AF270">
        <f>VLOOKUP(Misfit[[#This Row],[Shortname]], Comp[], 28, FALSE)</f>
        <v>0</v>
      </c>
      <c r="AG270">
        <f>VLOOKUP(Misfit[[#This Row],[Shortname]], Comp[], 29, FALSE)</f>
        <v>0</v>
      </c>
      <c r="AH270">
        <f>VLOOKUP(Misfit[[#This Row],[Shortname]], Comp[], 30, FALSE)</f>
        <v>0</v>
      </c>
      <c r="AI270">
        <f>VLOOKUP(Misfit[[#This Row],[Shortname]], Comp[], 31, FALSE)</f>
        <v>0</v>
      </c>
    </row>
    <row r="271" spans="1:35" x14ac:dyDescent="0.3">
      <c r="A271" s="12" t="s">
        <v>2831</v>
      </c>
      <c r="B271" s="12" t="s">
        <v>2345</v>
      </c>
      <c r="C271" s="12" t="s">
        <v>5639</v>
      </c>
      <c r="D271" s="12">
        <v>900</v>
      </c>
      <c r="E271" s="12">
        <v>25</v>
      </c>
      <c r="F271" s="12">
        <v>0.35639999999999999</v>
      </c>
      <c r="G271" s="12">
        <v>0.35470000000000002</v>
      </c>
      <c r="H271" s="41">
        <f t="shared" si="7"/>
        <v>4.7813247081985068E-3</v>
      </c>
      <c r="I271" s="12"/>
      <c r="J271">
        <f>VLOOKUP(Misfit[[#This Row],[Shortname]], Comp[], 6, FALSE)</f>
        <v>383</v>
      </c>
      <c r="K271">
        <f>VLOOKUP(Misfit[[#This Row],[Shortname]], Comp[], 7, FALSE)</f>
        <v>51</v>
      </c>
      <c r="L271">
        <f>VLOOKUP(Misfit[[#This Row],[Shortname]], Comp[], 8, FALSE)</f>
        <v>30.5</v>
      </c>
      <c r="M271">
        <f>VLOOKUP(Misfit[[#This Row],[Shortname]], Comp[], 9, FALSE)</f>
        <v>9.6999999999999993</v>
      </c>
      <c r="N271">
        <f>VLOOKUP(Misfit[[#This Row],[Shortname]], Comp[], 10, FALSE)</f>
        <v>0</v>
      </c>
      <c r="O271">
        <f>VLOOKUP(Misfit[[#This Row],[Shortname]], Comp[], 11, FALSE)</f>
        <v>0</v>
      </c>
      <c r="P271">
        <f>VLOOKUP(Misfit[[#This Row],[Shortname]], Comp[],12, FALSE)</f>
        <v>1.9</v>
      </c>
      <c r="Q271">
        <f>VLOOKUP(Misfit[[#This Row],[Shortname]], Comp[], 13, FALSE)</f>
        <v>2.1</v>
      </c>
      <c r="R271">
        <f>VLOOKUP(Misfit[[#This Row],[Shortname]], Comp[], 14, FALSE)</f>
        <v>0</v>
      </c>
      <c r="S271">
        <f>VLOOKUP(Misfit[[#This Row],[Shortname]], Comp[], 15, FALSE)</f>
        <v>0</v>
      </c>
      <c r="T271">
        <f>VLOOKUP(Misfit[[#This Row],[Shortname]], Comp[], 16, FALSE)</f>
        <v>4.8</v>
      </c>
      <c r="U271">
        <f>VLOOKUP(Misfit[[#This Row],[Shortname]], Comp[], 17, FALSE)</f>
        <v>0</v>
      </c>
      <c r="V271">
        <f>VLOOKUP(Misfit[[#This Row],[Shortname]], Comp[], 18, FALSE)</f>
        <v>0</v>
      </c>
      <c r="W271">
        <f>VLOOKUP(Misfit[[#This Row],[Shortname]], Comp[], 19, FALSE)</f>
        <v>0</v>
      </c>
      <c r="X271">
        <f>VLOOKUP(Misfit[[#This Row],[Shortname]], Comp[], 20, FALSE)</f>
        <v>0</v>
      </c>
      <c r="Y271">
        <f>VLOOKUP(Misfit[[#This Row],[Shortname]], Comp[], 21, FALSE)</f>
        <v>0</v>
      </c>
      <c r="Z271">
        <f>VLOOKUP(Misfit[[#This Row],[Shortname]], Comp[], 22, FALSE)</f>
        <v>0</v>
      </c>
      <c r="AA271">
        <f>VLOOKUP(Misfit[[#This Row],[Shortname]], Comp[], 23, FALSE)</f>
        <v>0</v>
      </c>
      <c r="AB271">
        <f>VLOOKUP(Misfit[[#This Row],[Shortname]], Comp[], 24, FALSE)</f>
        <v>0</v>
      </c>
      <c r="AC271">
        <f>VLOOKUP(Misfit[[#This Row],[Shortname]], Comp[], 25, FALSE)</f>
        <v>0</v>
      </c>
      <c r="AD271">
        <f>VLOOKUP(Misfit[[#This Row],[Shortname]], Comp[], 26, FALSE)</f>
        <v>0</v>
      </c>
      <c r="AE271">
        <f>VLOOKUP(Misfit[[#This Row],[Shortname]], Comp[], 27, FALSE)</f>
        <v>0</v>
      </c>
      <c r="AF271">
        <f>VLOOKUP(Misfit[[#This Row],[Shortname]], Comp[], 28, FALSE)</f>
        <v>0</v>
      </c>
      <c r="AG271">
        <f>VLOOKUP(Misfit[[#This Row],[Shortname]], Comp[], 29, FALSE)</f>
        <v>0</v>
      </c>
      <c r="AH271">
        <f>VLOOKUP(Misfit[[#This Row],[Shortname]], Comp[], 30, FALSE)</f>
        <v>0</v>
      </c>
      <c r="AI271">
        <f>VLOOKUP(Misfit[[#This Row],[Shortname]], Comp[], 31, FALSE)</f>
        <v>0</v>
      </c>
    </row>
    <row r="272" spans="1:35" x14ac:dyDescent="0.3">
      <c r="A272" s="12" t="s">
        <v>5641</v>
      </c>
      <c r="B272" s="12" t="s">
        <v>5642</v>
      </c>
      <c r="C272" s="12" t="s">
        <v>5643</v>
      </c>
      <c r="D272" s="12">
        <v>900</v>
      </c>
      <c r="E272" s="12">
        <v>25</v>
      </c>
      <c r="F272" s="12">
        <v>0.35610000000000003</v>
      </c>
      <c r="G272" s="12">
        <v>0.35470000000000002</v>
      </c>
      <c r="H272" s="41">
        <f t="shared" si="7"/>
        <v>3.9392234102420152E-3</v>
      </c>
      <c r="I272" s="12"/>
      <c r="J272">
        <f>VLOOKUP(Misfit[[#This Row],[Shortname]], Comp[], 6, FALSE)</f>
        <v>877</v>
      </c>
      <c r="K272">
        <f>VLOOKUP(Misfit[[#This Row],[Shortname]], Comp[], 7, FALSE)</f>
        <v>49.5</v>
      </c>
      <c r="L272">
        <f>VLOOKUP(Misfit[[#This Row],[Shortname]], Comp[], 8, FALSE)</f>
        <v>30.2</v>
      </c>
      <c r="M272">
        <f>VLOOKUP(Misfit[[#This Row],[Shortname]], Comp[], 9, FALSE)</f>
        <v>9.8000000000000007</v>
      </c>
      <c r="N272">
        <f>VLOOKUP(Misfit[[#This Row],[Shortname]], Comp[], 10, FALSE)</f>
        <v>2</v>
      </c>
      <c r="O272">
        <f>VLOOKUP(Misfit[[#This Row],[Shortname]], Comp[], 11, FALSE)</f>
        <v>0</v>
      </c>
      <c r="P272">
        <f>VLOOKUP(Misfit[[#This Row],[Shortname]], Comp[],12, FALSE)</f>
        <v>2</v>
      </c>
      <c r="Q272">
        <f>VLOOKUP(Misfit[[#This Row],[Shortname]], Comp[], 13, FALSE)</f>
        <v>1.9</v>
      </c>
      <c r="R272">
        <f>VLOOKUP(Misfit[[#This Row],[Shortname]], Comp[], 14, FALSE)</f>
        <v>0</v>
      </c>
      <c r="S272">
        <f>VLOOKUP(Misfit[[#This Row],[Shortname]], Comp[], 15, FALSE)</f>
        <v>0</v>
      </c>
      <c r="T272">
        <f>VLOOKUP(Misfit[[#This Row],[Shortname]], Comp[], 16, FALSE)</f>
        <v>4.5999999999999996</v>
      </c>
      <c r="U272">
        <f>VLOOKUP(Misfit[[#This Row],[Shortname]], Comp[], 17, FALSE)</f>
        <v>0</v>
      </c>
      <c r="V272">
        <f>VLOOKUP(Misfit[[#This Row],[Shortname]], Comp[], 18, FALSE)</f>
        <v>0</v>
      </c>
      <c r="W272">
        <f>VLOOKUP(Misfit[[#This Row],[Shortname]], Comp[], 19, FALSE)</f>
        <v>0</v>
      </c>
      <c r="X272">
        <f>VLOOKUP(Misfit[[#This Row],[Shortname]], Comp[], 20, FALSE)</f>
        <v>0</v>
      </c>
      <c r="Y272">
        <f>VLOOKUP(Misfit[[#This Row],[Shortname]], Comp[], 21, FALSE)</f>
        <v>0</v>
      </c>
      <c r="Z272">
        <f>VLOOKUP(Misfit[[#This Row],[Shortname]], Comp[], 22, FALSE)</f>
        <v>0</v>
      </c>
      <c r="AA272">
        <f>VLOOKUP(Misfit[[#This Row],[Shortname]], Comp[], 23, FALSE)</f>
        <v>0</v>
      </c>
      <c r="AB272">
        <f>VLOOKUP(Misfit[[#This Row],[Shortname]], Comp[], 24, FALSE)</f>
        <v>0</v>
      </c>
      <c r="AC272">
        <f>VLOOKUP(Misfit[[#This Row],[Shortname]], Comp[], 25, FALSE)</f>
        <v>0</v>
      </c>
      <c r="AD272">
        <f>VLOOKUP(Misfit[[#This Row],[Shortname]], Comp[], 26, FALSE)</f>
        <v>0</v>
      </c>
      <c r="AE272">
        <f>VLOOKUP(Misfit[[#This Row],[Shortname]], Comp[], 27, FALSE)</f>
        <v>0</v>
      </c>
      <c r="AF272">
        <f>VLOOKUP(Misfit[[#This Row],[Shortname]], Comp[], 28, FALSE)</f>
        <v>0</v>
      </c>
      <c r="AG272">
        <f>VLOOKUP(Misfit[[#This Row],[Shortname]], Comp[], 29, FALSE)</f>
        <v>0</v>
      </c>
      <c r="AH272">
        <f>VLOOKUP(Misfit[[#This Row],[Shortname]], Comp[], 30, FALSE)</f>
        <v>0</v>
      </c>
      <c r="AI272">
        <f>VLOOKUP(Misfit[[#This Row],[Shortname]], Comp[], 31, FALSE)</f>
        <v>0</v>
      </c>
    </row>
    <row r="273" spans="1:35" x14ac:dyDescent="0.3">
      <c r="A273" s="12" t="s">
        <v>5646</v>
      </c>
      <c r="B273" s="12" t="s">
        <v>5647</v>
      </c>
      <c r="C273" s="12" t="s">
        <v>5648</v>
      </c>
      <c r="D273" s="12">
        <v>900</v>
      </c>
      <c r="E273" s="12">
        <v>25</v>
      </c>
      <c r="F273" s="12">
        <v>0.3574</v>
      </c>
      <c r="G273" s="12">
        <v>0.35620000000000002</v>
      </c>
      <c r="H273" s="41">
        <f t="shared" si="7"/>
        <v>3.3632286995515103E-3</v>
      </c>
      <c r="I273" s="12"/>
      <c r="J273">
        <f>VLOOKUP(Misfit[[#This Row],[Shortname]], Comp[], 6, FALSE)</f>
        <v>878</v>
      </c>
      <c r="K273">
        <f>VLOOKUP(Misfit[[#This Row],[Shortname]], Comp[], 7, FALSE)</f>
        <v>46.3</v>
      </c>
      <c r="L273">
        <f>VLOOKUP(Misfit[[#This Row],[Shortname]], Comp[], 8, FALSE)</f>
        <v>30.1</v>
      </c>
      <c r="M273">
        <f>VLOOKUP(Misfit[[#This Row],[Shortname]], Comp[], 9, FALSE)</f>
        <v>9.8000000000000007</v>
      </c>
      <c r="N273">
        <f>VLOOKUP(Misfit[[#This Row],[Shortname]], Comp[], 10, FALSE)</f>
        <v>4.9000000000000004</v>
      </c>
      <c r="O273">
        <f>VLOOKUP(Misfit[[#This Row],[Shortname]], Comp[], 11, FALSE)</f>
        <v>0</v>
      </c>
      <c r="P273">
        <f>VLOOKUP(Misfit[[#This Row],[Shortname]], Comp[],12, FALSE)</f>
        <v>2</v>
      </c>
      <c r="Q273">
        <f>VLOOKUP(Misfit[[#This Row],[Shortname]], Comp[], 13, FALSE)</f>
        <v>2</v>
      </c>
      <c r="R273">
        <f>VLOOKUP(Misfit[[#This Row],[Shortname]], Comp[], 14, FALSE)</f>
        <v>0</v>
      </c>
      <c r="S273">
        <f>VLOOKUP(Misfit[[#This Row],[Shortname]], Comp[], 15, FALSE)</f>
        <v>0</v>
      </c>
      <c r="T273">
        <f>VLOOKUP(Misfit[[#This Row],[Shortname]], Comp[], 16, FALSE)</f>
        <v>4.9000000000000004</v>
      </c>
      <c r="U273">
        <f>VLOOKUP(Misfit[[#This Row],[Shortname]], Comp[], 17, FALSE)</f>
        <v>0</v>
      </c>
      <c r="V273">
        <f>VLOOKUP(Misfit[[#This Row],[Shortname]], Comp[], 18, FALSE)</f>
        <v>0</v>
      </c>
      <c r="W273">
        <f>VLOOKUP(Misfit[[#This Row],[Shortname]], Comp[], 19, FALSE)</f>
        <v>0</v>
      </c>
      <c r="X273">
        <f>VLOOKUP(Misfit[[#This Row],[Shortname]], Comp[], 20, FALSE)</f>
        <v>0</v>
      </c>
      <c r="Y273">
        <f>VLOOKUP(Misfit[[#This Row],[Shortname]], Comp[], 21, FALSE)</f>
        <v>0</v>
      </c>
      <c r="Z273">
        <f>VLOOKUP(Misfit[[#This Row],[Shortname]], Comp[], 22, FALSE)</f>
        <v>0</v>
      </c>
      <c r="AA273">
        <f>VLOOKUP(Misfit[[#This Row],[Shortname]], Comp[], 23, FALSE)</f>
        <v>0</v>
      </c>
      <c r="AB273">
        <f>VLOOKUP(Misfit[[#This Row],[Shortname]], Comp[], 24, FALSE)</f>
        <v>0</v>
      </c>
      <c r="AC273">
        <f>VLOOKUP(Misfit[[#This Row],[Shortname]], Comp[], 25, FALSE)</f>
        <v>0</v>
      </c>
      <c r="AD273">
        <f>VLOOKUP(Misfit[[#This Row],[Shortname]], Comp[], 26, FALSE)</f>
        <v>0</v>
      </c>
      <c r="AE273">
        <f>VLOOKUP(Misfit[[#This Row],[Shortname]], Comp[], 27, FALSE)</f>
        <v>0</v>
      </c>
      <c r="AF273">
        <f>VLOOKUP(Misfit[[#This Row],[Shortname]], Comp[], 28, FALSE)</f>
        <v>0</v>
      </c>
      <c r="AG273">
        <f>VLOOKUP(Misfit[[#This Row],[Shortname]], Comp[], 29, FALSE)</f>
        <v>0</v>
      </c>
      <c r="AH273">
        <f>VLOOKUP(Misfit[[#This Row],[Shortname]], Comp[], 30, FALSE)</f>
        <v>0</v>
      </c>
      <c r="AI273">
        <f>VLOOKUP(Misfit[[#This Row],[Shortname]], Comp[], 31, FALSE)</f>
        <v>0</v>
      </c>
    </row>
    <row r="274" spans="1:35" x14ac:dyDescent="0.3">
      <c r="A274" s="12" t="s">
        <v>5650</v>
      </c>
      <c r="B274" s="12" t="s">
        <v>5651</v>
      </c>
      <c r="C274" s="12" t="s">
        <v>5652</v>
      </c>
      <c r="D274" s="12">
        <v>900</v>
      </c>
      <c r="E274" s="12">
        <v>25</v>
      </c>
      <c r="F274" s="12">
        <v>0.35980000000000001</v>
      </c>
      <c r="G274" s="12">
        <v>0.36020000000000002</v>
      </c>
      <c r="H274" s="41">
        <f t="shared" si="7"/>
        <v>-1.111111111111143E-3</v>
      </c>
      <c r="I274" s="12" t="s">
        <v>6639</v>
      </c>
      <c r="J274">
        <f>VLOOKUP(Misfit[[#This Row],[Shortname]], Comp[], 6, FALSE)</f>
        <v>879</v>
      </c>
      <c r="K274">
        <f>VLOOKUP(Misfit[[#This Row],[Shortname]], Comp[], 7, FALSE)</f>
        <v>40.999999999999993</v>
      </c>
      <c r="L274">
        <f>VLOOKUP(Misfit[[#This Row],[Shortname]], Comp[], 8, FALSE)</f>
        <v>29.5</v>
      </c>
      <c r="M274">
        <f>VLOOKUP(Misfit[[#This Row],[Shortname]], Comp[], 9, FALSE)</f>
        <v>10.199999999999999</v>
      </c>
      <c r="N274">
        <f>VLOOKUP(Misfit[[#This Row],[Shortname]], Comp[], 10, FALSE)</f>
        <v>10.199999999999999</v>
      </c>
      <c r="O274">
        <f>VLOOKUP(Misfit[[#This Row],[Shortname]], Comp[], 11, FALSE)</f>
        <v>0</v>
      </c>
      <c r="P274">
        <f>VLOOKUP(Misfit[[#This Row],[Shortname]], Comp[],12, FALSE)</f>
        <v>1.9</v>
      </c>
      <c r="Q274">
        <f>VLOOKUP(Misfit[[#This Row],[Shortname]], Comp[], 13, FALSE)</f>
        <v>2.1</v>
      </c>
      <c r="R274">
        <f>VLOOKUP(Misfit[[#This Row],[Shortname]], Comp[], 14, FALSE)</f>
        <v>0</v>
      </c>
      <c r="S274">
        <f>VLOOKUP(Misfit[[#This Row],[Shortname]], Comp[], 15, FALSE)</f>
        <v>0</v>
      </c>
      <c r="T274">
        <f>VLOOKUP(Misfit[[#This Row],[Shortname]], Comp[], 16, FALSE)</f>
        <v>5.0999999999999996</v>
      </c>
      <c r="U274">
        <f>VLOOKUP(Misfit[[#This Row],[Shortname]], Comp[], 17, FALSE)</f>
        <v>0</v>
      </c>
      <c r="V274">
        <f>VLOOKUP(Misfit[[#This Row],[Shortname]], Comp[], 18, FALSE)</f>
        <v>0</v>
      </c>
      <c r="W274">
        <f>VLOOKUP(Misfit[[#This Row],[Shortname]], Comp[], 19, FALSE)</f>
        <v>0</v>
      </c>
      <c r="X274">
        <f>VLOOKUP(Misfit[[#This Row],[Shortname]], Comp[], 20, FALSE)</f>
        <v>0</v>
      </c>
      <c r="Y274">
        <f>VLOOKUP(Misfit[[#This Row],[Shortname]], Comp[], 21, FALSE)</f>
        <v>0</v>
      </c>
      <c r="Z274">
        <f>VLOOKUP(Misfit[[#This Row],[Shortname]], Comp[], 22, FALSE)</f>
        <v>0</v>
      </c>
      <c r="AA274">
        <f>VLOOKUP(Misfit[[#This Row],[Shortname]], Comp[], 23, FALSE)</f>
        <v>0</v>
      </c>
      <c r="AB274">
        <f>VLOOKUP(Misfit[[#This Row],[Shortname]], Comp[], 24, FALSE)</f>
        <v>0</v>
      </c>
      <c r="AC274">
        <f>VLOOKUP(Misfit[[#This Row],[Shortname]], Comp[], 25, FALSE)</f>
        <v>0</v>
      </c>
      <c r="AD274">
        <f>VLOOKUP(Misfit[[#This Row],[Shortname]], Comp[], 26, FALSE)</f>
        <v>0</v>
      </c>
      <c r="AE274">
        <f>VLOOKUP(Misfit[[#This Row],[Shortname]], Comp[], 27, FALSE)</f>
        <v>0</v>
      </c>
      <c r="AF274">
        <f>VLOOKUP(Misfit[[#This Row],[Shortname]], Comp[], 28, FALSE)</f>
        <v>0</v>
      </c>
      <c r="AG274">
        <f>VLOOKUP(Misfit[[#This Row],[Shortname]], Comp[], 29, FALSE)</f>
        <v>0</v>
      </c>
      <c r="AH274">
        <f>VLOOKUP(Misfit[[#This Row],[Shortname]], Comp[], 30, FALSE)</f>
        <v>0</v>
      </c>
      <c r="AI274">
        <f>VLOOKUP(Misfit[[#This Row],[Shortname]], Comp[], 31, FALSE)</f>
        <v>0</v>
      </c>
    </row>
    <row r="275" spans="1:35" x14ac:dyDescent="0.3">
      <c r="A275" s="12" t="s">
        <v>5687</v>
      </c>
      <c r="B275" s="12" t="s">
        <v>5688</v>
      </c>
      <c r="C275" s="12" t="s">
        <v>5689</v>
      </c>
      <c r="D275" s="12">
        <v>870</v>
      </c>
      <c r="E275" s="12">
        <v>25</v>
      </c>
      <c r="F275" s="12">
        <v>0.36109999999999998</v>
      </c>
      <c r="G275" s="12">
        <v>0.3584</v>
      </c>
      <c r="H275" s="41">
        <v>7.4000000000000003E-3</v>
      </c>
      <c r="I275" s="12" t="s">
        <v>6640</v>
      </c>
      <c r="J275">
        <f>VLOOKUP(Misfit[[#This Row],[Shortname]], Comp[], 6, FALSE)</f>
        <v>890</v>
      </c>
      <c r="K275">
        <f>VLOOKUP(Misfit[[#This Row],[Shortname]], Comp[], 7, FALSE)</f>
        <v>81</v>
      </c>
      <c r="L275">
        <f>VLOOKUP(Misfit[[#This Row],[Shortname]], Comp[], 8, FALSE)</f>
        <v>0</v>
      </c>
      <c r="M275">
        <f>VLOOKUP(Misfit[[#This Row],[Shortname]], Comp[], 9, FALSE)</f>
        <v>0</v>
      </c>
      <c r="N275">
        <f>VLOOKUP(Misfit[[#This Row],[Shortname]], Comp[], 10, FALSE)</f>
        <v>0</v>
      </c>
      <c r="O275">
        <f>VLOOKUP(Misfit[[#This Row],[Shortname]], Comp[], 11, FALSE)</f>
        <v>0</v>
      </c>
      <c r="P275">
        <f>VLOOKUP(Misfit[[#This Row],[Shortname]], Comp[],12, FALSE)</f>
        <v>8</v>
      </c>
      <c r="Q275">
        <f>VLOOKUP(Misfit[[#This Row],[Shortname]], Comp[], 13, FALSE)</f>
        <v>0</v>
      </c>
      <c r="R275">
        <f>VLOOKUP(Misfit[[#This Row],[Shortname]], Comp[], 14, FALSE)</f>
        <v>0</v>
      </c>
      <c r="S275">
        <f>VLOOKUP(Misfit[[#This Row],[Shortname]], Comp[], 15, FALSE)</f>
        <v>11</v>
      </c>
      <c r="T275">
        <f>VLOOKUP(Misfit[[#This Row],[Shortname]], Comp[], 16, FALSE)</f>
        <v>0</v>
      </c>
      <c r="U275">
        <f>VLOOKUP(Misfit[[#This Row],[Shortname]], Comp[], 17, FALSE)</f>
        <v>0</v>
      </c>
      <c r="V275">
        <f>VLOOKUP(Misfit[[#This Row],[Shortname]], Comp[], 18, FALSE)</f>
        <v>0</v>
      </c>
      <c r="W275">
        <f>VLOOKUP(Misfit[[#This Row],[Shortname]], Comp[], 19, FALSE)</f>
        <v>0</v>
      </c>
      <c r="X275">
        <f>VLOOKUP(Misfit[[#This Row],[Shortname]], Comp[], 20, FALSE)</f>
        <v>0</v>
      </c>
      <c r="Y275">
        <f>VLOOKUP(Misfit[[#This Row],[Shortname]], Comp[], 21, FALSE)</f>
        <v>0</v>
      </c>
      <c r="Z275">
        <f>VLOOKUP(Misfit[[#This Row],[Shortname]], Comp[], 22, FALSE)</f>
        <v>0</v>
      </c>
      <c r="AA275">
        <f>VLOOKUP(Misfit[[#This Row],[Shortname]], Comp[], 23, FALSE)</f>
        <v>0</v>
      </c>
      <c r="AB275">
        <f>VLOOKUP(Misfit[[#This Row],[Shortname]], Comp[], 24, FALSE)</f>
        <v>0</v>
      </c>
      <c r="AC275">
        <f>VLOOKUP(Misfit[[#This Row],[Shortname]], Comp[], 25, FALSE)</f>
        <v>0</v>
      </c>
      <c r="AD275">
        <f>VLOOKUP(Misfit[[#This Row],[Shortname]], Comp[], 26, FALSE)</f>
        <v>0</v>
      </c>
      <c r="AE275">
        <f>VLOOKUP(Misfit[[#This Row],[Shortname]], Comp[], 27, FALSE)</f>
        <v>0</v>
      </c>
      <c r="AF275">
        <f>VLOOKUP(Misfit[[#This Row],[Shortname]], Comp[], 28, FALSE)</f>
        <v>0</v>
      </c>
      <c r="AG275">
        <f>VLOOKUP(Misfit[[#This Row],[Shortname]], Comp[], 29, FALSE)</f>
        <v>0</v>
      </c>
      <c r="AH275">
        <f>VLOOKUP(Misfit[[#This Row],[Shortname]], Comp[], 30, FALSE)</f>
        <v>0</v>
      </c>
      <c r="AI275">
        <f>VLOOKUP(Misfit[[#This Row],[Shortname]], Comp[], 31, FALSE)</f>
        <v>0</v>
      </c>
    </row>
    <row r="276" spans="1:35" x14ac:dyDescent="0.3">
      <c r="A276" s="12" t="s">
        <v>5692</v>
      </c>
      <c r="B276" s="12" t="s">
        <v>5693</v>
      </c>
      <c r="C276" s="12" t="s">
        <v>5694</v>
      </c>
      <c r="D276" s="12">
        <v>870</v>
      </c>
      <c r="E276" s="12">
        <v>25</v>
      </c>
      <c r="F276" s="12">
        <v>0.36070000000000002</v>
      </c>
      <c r="G276" s="12">
        <v>0.35830000000000001</v>
      </c>
      <c r="H276" s="41">
        <v>6.7999999999999996E-3</v>
      </c>
      <c r="I276" s="12" t="s">
        <v>6640</v>
      </c>
      <c r="J276">
        <f>VLOOKUP(Misfit[[#This Row],[Shortname]], Comp[], 6, FALSE)</f>
        <v>891</v>
      </c>
      <c r="K276">
        <f>VLOOKUP(Misfit[[#This Row],[Shortname]], Comp[], 7, FALSE)</f>
        <v>76</v>
      </c>
      <c r="L276">
        <f>VLOOKUP(Misfit[[#This Row],[Shortname]], Comp[], 8, FALSE)</f>
        <v>5</v>
      </c>
      <c r="M276">
        <f>VLOOKUP(Misfit[[#This Row],[Shortname]], Comp[], 9, FALSE)</f>
        <v>0</v>
      </c>
      <c r="N276">
        <f>VLOOKUP(Misfit[[#This Row],[Shortname]], Comp[], 10, FALSE)</f>
        <v>0</v>
      </c>
      <c r="O276">
        <f>VLOOKUP(Misfit[[#This Row],[Shortname]], Comp[], 11, FALSE)</f>
        <v>0</v>
      </c>
      <c r="P276">
        <f>VLOOKUP(Misfit[[#This Row],[Shortname]], Comp[],12, FALSE)</f>
        <v>8</v>
      </c>
      <c r="Q276">
        <f>VLOOKUP(Misfit[[#This Row],[Shortname]], Comp[], 13, FALSE)</f>
        <v>0</v>
      </c>
      <c r="R276">
        <f>VLOOKUP(Misfit[[#This Row],[Shortname]], Comp[], 14, FALSE)</f>
        <v>0</v>
      </c>
      <c r="S276">
        <f>VLOOKUP(Misfit[[#This Row],[Shortname]], Comp[], 15, FALSE)</f>
        <v>11</v>
      </c>
      <c r="T276">
        <f>VLOOKUP(Misfit[[#This Row],[Shortname]], Comp[], 16, FALSE)</f>
        <v>0</v>
      </c>
      <c r="U276">
        <f>VLOOKUP(Misfit[[#This Row],[Shortname]], Comp[], 17, FALSE)</f>
        <v>0</v>
      </c>
      <c r="V276">
        <f>VLOOKUP(Misfit[[#This Row],[Shortname]], Comp[], 18, FALSE)</f>
        <v>0</v>
      </c>
      <c r="W276">
        <f>VLOOKUP(Misfit[[#This Row],[Shortname]], Comp[], 19, FALSE)</f>
        <v>0</v>
      </c>
      <c r="X276">
        <f>VLOOKUP(Misfit[[#This Row],[Shortname]], Comp[], 20, FALSE)</f>
        <v>0</v>
      </c>
      <c r="Y276">
        <f>VLOOKUP(Misfit[[#This Row],[Shortname]], Comp[], 21, FALSE)</f>
        <v>0</v>
      </c>
      <c r="Z276">
        <f>VLOOKUP(Misfit[[#This Row],[Shortname]], Comp[], 22, FALSE)</f>
        <v>0</v>
      </c>
      <c r="AA276">
        <f>VLOOKUP(Misfit[[#This Row],[Shortname]], Comp[], 23, FALSE)</f>
        <v>0</v>
      </c>
      <c r="AB276">
        <f>VLOOKUP(Misfit[[#This Row],[Shortname]], Comp[], 24, FALSE)</f>
        <v>0</v>
      </c>
      <c r="AC276">
        <f>VLOOKUP(Misfit[[#This Row],[Shortname]], Comp[], 25, FALSE)</f>
        <v>0</v>
      </c>
      <c r="AD276">
        <f>VLOOKUP(Misfit[[#This Row],[Shortname]], Comp[], 26, FALSE)</f>
        <v>0</v>
      </c>
      <c r="AE276">
        <f>VLOOKUP(Misfit[[#This Row],[Shortname]], Comp[], 27, FALSE)</f>
        <v>0</v>
      </c>
      <c r="AF276">
        <f>VLOOKUP(Misfit[[#This Row],[Shortname]], Comp[], 28, FALSE)</f>
        <v>0</v>
      </c>
      <c r="AG276">
        <f>VLOOKUP(Misfit[[#This Row],[Shortname]], Comp[], 29, FALSE)</f>
        <v>0</v>
      </c>
      <c r="AH276">
        <f>VLOOKUP(Misfit[[#This Row],[Shortname]], Comp[], 30, FALSE)</f>
        <v>0</v>
      </c>
      <c r="AI276">
        <f>VLOOKUP(Misfit[[#This Row],[Shortname]], Comp[], 31, FALSE)</f>
        <v>0</v>
      </c>
    </row>
    <row r="277" spans="1:35" x14ac:dyDescent="0.3">
      <c r="A277" s="12" t="s">
        <v>5697</v>
      </c>
      <c r="B277" s="12" t="s">
        <v>5698</v>
      </c>
      <c r="C277" s="12" t="s">
        <v>5699</v>
      </c>
      <c r="D277" s="12">
        <v>870</v>
      </c>
      <c r="E277" s="12">
        <v>25</v>
      </c>
      <c r="F277" s="12">
        <v>0.35930000000000001</v>
      </c>
      <c r="G277" s="12">
        <v>0.35709999999999997</v>
      </c>
      <c r="H277" s="41">
        <v>6.1000000000000004E-3</v>
      </c>
      <c r="I277" s="12" t="s">
        <v>6640</v>
      </c>
      <c r="J277">
        <f>VLOOKUP(Misfit[[#This Row],[Shortname]], Comp[], 6, FALSE)</f>
        <v>892</v>
      </c>
      <c r="K277">
        <f>VLOOKUP(Misfit[[#This Row],[Shortname]], Comp[], 7, FALSE)</f>
        <v>71</v>
      </c>
      <c r="L277">
        <f>VLOOKUP(Misfit[[#This Row],[Shortname]], Comp[], 8, FALSE)</f>
        <v>10</v>
      </c>
      <c r="M277">
        <f>VLOOKUP(Misfit[[#This Row],[Shortname]], Comp[], 9, FALSE)</f>
        <v>0</v>
      </c>
      <c r="N277">
        <f>VLOOKUP(Misfit[[#This Row],[Shortname]], Comp[], 10, FALSE)</f>
        <v>0</v>
      </c>
      <c r="O277">
        <f>VLOOKUP(Misfit[[#This Row],[Shortname]], Comp[], 11, FALSE)</f>
        <v>0</v>
      </c>
      <c r="P277">
        <f>VLOOKUP(Misfit[[#This Row],[Shortname]], Comp[],12, FALSE)</f>
        <v>8</v>
      </c>
      <c r="Q277">
        <f>VLOOKUP(Misfit[[#This Row],[Shortname]], Comp[], 13, FALSE)</f>
        <v>0</v>
      </c>
      <c r="R277">
        <f>VLOOKUP(Misfit[[#This Row],[Shortname]], Comp[], 14, FALSE)</f>
        <v>0</v>
      </c>
      <c r="S277">
        <f>VLOOKUP(Misfit[[#This Row],[Shortname]], Comp[], 15, FALSE)</f>
        <v>11</v>
      </c>
      <c r="T277">
        <f>VLOOKUP(Misfit[[#This Row],[Shortname]], Comp[], 16, FALSE)</f>
        <v>0</v>
      </c>
      <c r="U277">
        <f>VLOOKUP(Misfit[[#This Row],[Shortname]], Comp[], 17, FALSE)</f>
        <v>0</v>
      </c>
      <c r="V277">
        <f>VLOOKUP(Misfit[[#This Row],[Shortname]], Comp[], 18, FALSE)</f>
        <v>0</v>
      </c>
      <c r="W277">
        <f>VLOOKUP(Misfit[[#This Row],[Shortname]], Comp[], 19, FALSE)</f>
        <v>0</v>
      </c>
      <c r="X277">
        <f>VLOOKUP(Misfit[[#This Row],[Shortname]], Comp[], 20, FALSE)</f>
        <v>0</v>
      </c>
      <c r="Y277">
        <f>VLOOKUP(Misfit[[#This Row],[Shortname]], Comp[], 21, FALSE)</f>
        <v>0</v>
      </c>
      <c r="Z277">
        <f>VLOOKUP(Misfit[[#This Row],[Shortname]], Comp[], 22, FALSE)</f>
        <v>0</v>
      </c>
      <c r="AA277">
        <f>VLOOKUP(Misfit[[#This Row],[Shortname]], Comp[], 23, FALSE)</f>
        <v>0</v>
      </c>
      <c r="AB277">
        <f>VLOOKUP(Misfit[[#This Row],[Shortname]], Comp[], 24, FALSE)</f>
        <v>0</v>
      </c>
      <c r="AC277">
        <f>VLOOKUP(Misfit[[#This Row],[Shortname]], Comp[], 25, FALSE)</f>
        <v>0</v>
      </c>
      <c r="AD277">
        <f>VLOOKUP(Misfit[[#This Row],[Shortname]], Comp[], 26, FALSE)</f>
        <v>0</v>
      </c>
      <c r="AE277">
        <f>VLOOKUP(Misfit[[#This Row],[Shortname]], Comp[], 27, FALSE)</f>
        <v>0</v>
      </c>
      <c r="AF277">
        <f>VLOOKUP(Misfit[[#This Row],[Shortname]], Comp[], 28, FALSE)</f>
        <v>0</v>
      </c>
      <c r="AG277">
        <f>VLOOKUP(Misfit[[#This Row],[Shortname]], Comp[], 29, FALSE)</f>
        <v>0</v>
      </c>
      <c r="AH277">
        <f>VLOOKUP(Misfit[[#This Row],[Shortname]], Comp[], 30, FALSE)</f>
        <v>0</v>
      </c>
      <c r="AI277">
        <f>VLOOKUP(Misfit[[#This Row],[Shortname]], Comp[], 31, FALSE)</f>
        <v>0</v>
      </c>
    </row>
    <row r="278" spans="1:35" x14ac:dyDescent="0.3">
      <c r="A278" s="12" t="s">
        <v>5701</v>
      </c>
      <c r="B278" s="12" t="s">
        <v>2120</v>
      </c>
      <c r="C278" s="12" t="s">
        <v>5702</v>
      </c>
      <c r="D278" s="12">
        <v>850</v>
      </c>
      <c r="E278" s="12">
        <v>25</v>
      </c>
      <c r="F278" s="12">
        <v>0.35949999999999999</v>
      </c>
      <c r="G278" s="12">
        <v>0.35820000000000002</v>
      </c>
      <c r="H278" s="41">
        <v>3.5999999999999999E-3</v>
      </c>
      <c r="I278" s="12"/>
      <c r="J278">
        <f>VLOOKUP(Misfit[[#This Row],[Shortname]], Comp[], 6, FALSE)</f>
        <v>893</v>
      </c>
      <c r="K278">
        <f>VLOOKUP(Misfit[[#This Row],[Shortname]], Comp[], 7, FALSE)</f>
        <v>40.800000000000004</v>
      </c>
      <c r="L278">
        <f>VLOOKUP(Misfit[[#This Row],[Shortname]], Comp[], 8, FALSE)</f>
        <v>29.8</v>
      </c>
      <c r="M278">
        <f>VLOOKUP(Misfit[[#This Row],[Shortname]], Comp[], 9, FALSE)</f>
        <v>7.8</v>
      </c>
      <c r="N278">
        <f>VLOOKUP(Misfit[[#This Row],[Shortname]], Comp[], 10, FALSE)</f>
        <v>14.4</v>
      </c>
      <c r="O278">
        <f>VLOOKUP(Misfit[[#This Row],[Shortname]], Comp[], 11, FALSE)</f>
        <v>2</v>
      </c>
      <c r="P278">
        <f>VLOOKUP(Misfit[[#This Row],[Shortname]], Comp[],12, FALSE)</f>
        <v>4.3</v>
      </c>
      <c r="Q278">
        <f>VLOOKUP(Misfit[[#This Row],[Shortname]], Comp[], 13, FALSE)</f>
        <v>0.9</v>
      </c>
      <c r="R278">
        <f>VLOOKUP(Misfit[[#This Row],[Shortname]], Comp[], 14, FALSE)</f>
        <v>0</v>
      </c>
      <c r="S278">
        <f>VLOOKUP(Misfit[[#This Row],[Shortname]], Comp[], 15, FALSE)</f>
        <v>0</v>
      </c>
      <c r="T278">
        <f>VLOOKUP(Misfit[[#This Row],[Shortname]], Comp[], 16, FALSE)</f>
        <v>0</v>
      </c>
      <c r="U278">
        <f>VLOOKUP(Misfit[[#This Row],[Shortname]], Comp[], 17, FALSE)</f>
        <v>0</v>
      </c>
      <c r="V278">
        <f>VLOOKUP(Misfit[[#This Row],[Shortname]], Comp[], 18, FALSE)</f>
        <v>0</v>
      </c>
      <c r="W278">
        <f>VLOOKUP(Misfit[[#This Row],[Shortname]], Comp[], 19, FALSE)</f>
        <v>0</v>
      </c>
      <c r="X278">
        <f>VLOOKUP(Misfit[[#This Row],[Shortname]], Comp[], 20, FALSE)</f>
        <v>0</v>
      </c>
      <c r="Y278">
        <f>VLOOKUP(Misfit[[#This Row],[Shortname]], Comp[], 21, FALSE)</f>
        <v>0</v>
      </c>
      <c r="Z278">
        <f>VLOOKUP(Misfit[[#This Row],[Shortname]], Comp[], 22, FALSE)</f>
        <v>0</v>
      </c>
      <c r="AA278">
        <f>VLOOKUP(Misfit[[#This Row],[Shortname]], Comp[], 23, FALSE)</f>
        <v>0</v>
      </c>
      <c r="AB278">
        <f>VLOOKUP(Misfit[[#This Row],[Shortname]], Comp[], 24, FALSE)</f>
        <v>0</v>
      </c>
      <c r="AC278">
        <f>VLOOKUP(Misfit[[#This Row],[Shortname]], Comp[], 25, FALSE)</f>
        <v>0</v>
      </c>
      <c r="AD278">
        <f>VLOOKUP(Misfit[[#This Row],[Shortname]], Comp[], 26, FALSE)</f>
        <v>0</v>
      </c>
      <c r="AE278">
        <f>VLOOKUP(Misfit[[#This Row],[Shortname]], Comp[], 27, FALSE)</f>
        <v>0</v>
      </c>
      <c r="AF278">
        <f>VLOOKUP(Misfit[[#This Row],[Shortname]], Comp[], 28, FALSE)</f>
        <v>0</v>
      </c>
      <c r="AG278">
        <f>VLOOKUP(Misfit[[#This Row],[Shortname]], Comp[], 29, FALSE)</f>
        <v>0</v>
      </c>
      <c r="AH278">
        <f>VLOOKUP(Misfit[[#This Row],[Shortname]], Comp[], 30, FALSE)</f>
        <v>0</v>
      </c>
      <c r="AI278">
        <f>VLOOKUP(Misfit[[#This Row],[Shortname]], Comp[], 31, FALSE)</f>
        <v>0</v>
      </c>
    </row>
    <row r="279" spans="1:35" x14ac:dyDescent="0.3">
      <c r="A279" s="12" t="s">
        <v>5705</v>
      </c>
      <c r="B279" s="13" t="s">
        <v>5706</v>
      </c>
      <c r="C279" s="12" t="s">
        <v>5707</v>
      </c>
      <c r="D279" s="12">
        <v>850</v>
      </c>
      <c r="E279" s="12">
        <v>25</v>
      </c>
      <c r="F279" s="12">
        <v>0.35899999999999999</v>
      </c>
      <c r="G279" s="12">
        <v>0.35799999999999998</v>
      </c>
      <c r="H279" s="41">
        <v>2.5999999999999999E-3</v>
      </c>
      <c r="I279" s="12"/>
      <c r="J279">
        <f>VLOOKUP(Misfit[[#This Row],[Shortname]], Comp[], 6, FALSE)</f>
        <v>894</v>
      </c>
      <c r="K279">
        <f>VLOOKUP(Misfit[[#This Row],[Shortname]], Comp[], 7, FALSE)</f>
        <v>39.800000000000004</v>
      </c>
      <c r="L279">
        <f>VLOOKUP(Misfit[[#This Row],[Shortname]], Comp[], 8, FALSE)</f>
        <v>29.8</v>
      </c>
      <c r="M279">
        <f>VLOOKUP(Misfit[[#This Row],[Shortname]], Comp[], 9, FALSE)</f>
        <v>8</v>
      </c>
      <c r="N279">
        <f>VLOOKUP(Misfit[[#This Row],[Shortname]], Comp[], 10, FALSE)</f>
        <v>14.3</v>
      </c>
      <c r="O279">
        <f>VLOOKUP(Misfit[[#This Row],[Shortname]], Comp[], 11, FALSE)</f>
        <v>2.9</v>
      </c>
      <c r="P279">
        <f>VLOOKUP(Misfit[[#This Row],[Shortname]], Comp[],12, FALSE)</f>
        <v>4.2</v>
      </c>
      <c r="Q279">
        <f>VLOOKUP(Misfit[[#This Row],[Shortname]], Comp[], 13, FALSE)</f>
        <v>1</v>
      </c>
      <c r="R279">
        <f>VLOOKUP(Misfit[[#This Row],[Shortname]], Comp[], 14, FALSE)</f>
        <v>0</v>
      </c>
      <c r="S279">
        <f>VLOOKUP(Misfit[[#This Row],[Shortname]], Comp[], 15, FALSE)</f>
        <v>0</v>
      </c>
      <c r="T279">
        <f>VLOOKUP(Misfit[[#This Row],[Shortname]], Comp[], 16, FALSE)</f>
        <v>0</v>
      </c>
      <c r="U279">
        <f>VLOOKUP(Misfit[[#This Row],[Shortname]], Comp[], 17, FALSE)</f>
        <v>0</v>
      </c>
      <c r="V279">
        <f>VLOOKUP(Misfit[[#This Row],[Shortname]], Comp[], 18, FALSE)</f>
        <v>0</v>
      </c>
      <c r="W279">
        <f>VLOOKUP(Misfit[[#This Row],[Shortname]], Comp[], 19, FALSE)</f>
        <v>0</v>
      </c>
      <c r="X279">
        <f>VLOOKUP(Misfit[[#This Row],[Shortname]], Comp[], 20, FALSE)</f>
        <v>0</v>
      </c>
      <c r="Y279">
        <f>VLOOKUP(Misfit[[#This Row],[Shortname]], Comp[], 21, FALSE)</f>
        <v>0</v>
      </c>
      <c r="Z279">
        <f>VLOOKUP(Misfit[[#This Row],[Shortname]], Comp[], 22, FALSE)</f>
        <v>0</v>
      </c>
      <c r="AA279">
        <f>VLOOKUP(Misfit[[#This Row],[Shortname]], Comp[], 23, FALSE)</f>
        <v>0</v>
      </c>
      <c r="AB279">
        <f>VLOOKUP(Misfit[[#This Row],[Shortname]], Comp[], 24, FALSE)</f>
        <v>0</v>
      </c>
      <c r="AC279">
        <f>VLOOKUP(Misfit[[#This Row],[Shortname]], Comp[], 25, FALSE)</f>
        <v>0</v>
      </c>
      <c r="AD279">
        <f>VLOOKUP(Misfit[[#This Row],[Shortname]], Comp[], 26, FALSE)</f>
        <v>0</v>
      </c>
      <c r="AE279">
        <f>VLOOKUP(Misfit[[#This Row],[Shortname]], Comp[], 27, FALSE)</f>
        <v>0</v>
      </c>
      <c r="AF279">
        <f>VLOOKUP(Misfit[[#This Row],[Shortname]], Comp[], 28, FALSE)</f>
        <v>0</v>
      </c>
      <c r="AG279">
        <f>VLOOKUP(Misfit[[#This Row],[Shortname]], Comp[], 29, FALSE)</f>
        <v>0</v>
      </c>
      <c r="AH279">
        <f>VLOOKUP(Misfit[[#This Row],[Shortname]], Comp[], 30, FALSE)</f>
        <v>0</v>
      </c>
      <c r="AI279">
        <f>VLOOKUP(Misfit[[#This Row],[Shortname]], Comp[], 31, FALSE)</f>
        <v>0</v>
      </c>
    </row>
    <row r="280" spans="1:35" x14ac:dyDescent="0.3">
      <c r="A280" s="12" t="s">
        <v>5711</v>
      </c>
      <c r="B280" s="13" t="s">
        <v>5712</v>
      </c>
      <c r="C280" s="12" t="s">
        <v>5713</v>
      </c>
      <c r="D280" s="12">
        <v>850</v>
      </c>
      <c r="E280" s="12">
        <v>25</v>
      </c>
      <c r="F280" s="12">
        <v>0.35539999999999999</v>
      </c>
      <c r="G280" s="12">
        <v>0.35510000000000003</v>
      </c>
      <c r="H280" s="41">
        <v>1E-3</v>
      </c>
      <c r="I280" s="12"/>
      <c r="J280">
        <f>VLOOKUP(Misfit[[#This Row],[Shortname]], Comp[], 6, FALSE)</f>
        <v>895</v>
      </c>
      <c r="K280">
        <f>VLOOKUP(Misfit[[#This Row],[Shortname]], Comp[], 7, FALSE)</f>
        <v>39.899999999999991</v>
      </c>
      <c r="L280">
        <f>VLOOKUP(Misfit[[#This Row],[Shortname]], Comp[], 8, FALSE)</f>
        <v>29.8</v>
      </c>
      <c r="M280">
        <f>VLOOKUP(Misfit[[#This Row],[Shortname]], Comp[], 9, FALSE)</f>
        <v>7.9</v>
      </c>
      <c r="N280">
        <f>VLOOKUP(Misfit[[#This Row],[Shortname]], Comp[], 10, FALSE)</f>
        <v>14.2</v>
      </c>
      <c r="O280">
        <f>VLOOKUP(Misfit[[#This Row],[Shortname]], Comp[], 11, FALSE)</f>
        <v>2</v>
      </c>
      <c r="P280">
        <f>VLOOKUP(Misfit[[#This Row],[Shortname]], Comp[],12, FALSE)</f>
        <v>4.2</v>
      </c>
      <c r="Q280">
        <f>VLOOKUP(Misfit[[#This Row],[Shortname]], Comp[], 13, FALSE)</f>
        <v>1</v>
      </c>
      <c r="R280">
        <f>VLOOKUP(Misfit[[#This Row],[Shortname]], Comp[], 14, FALSE)</f>
        <v>0</v>
      </c>
      <c r="S280">
        <f>VLOOKUP(Misfit[[#This Row],[Shortname]], Comp[], 15, FALSE)</f>
        <v>0</v>
      </c>
      <c r="T280">
        <f>VLOOKUP(Misfit[[#This Row],[Shortname]], Comp[], 16, FALSE)</f>
        <v>1</v>
      </c>
      <c r="U280">
        <f>VLOOKUP(Misfit[[#This Row],[Shortname]], Comp[], 17, FALSE)</f>
        <v>0</v>
      </c>
      <c r="V280">
        <f>VLOOKUP(Misfit[[#This Row],[Shortname]], Comp[], 18, FALSE)</f>
        <v>0</v>
      </c>
      <c r="W280">
        <f>VLOOKUP(Misfit[[#This Row],[Shortname]], Comp[], 19, FALSE)</f>
        <v>0</v>
      </c>
      <c r="X280">
        <f>VLOOKUP(Misfit[[#This Row],[Shortname]], Comp[], 20, FALSE)</f>
        <v>0</v>
      </c>
      <c r="Y280">
        <f>VLOOKUP(Misfit[[#This Row],[Shortname]], Comp[], 21, FALSE)</f>
        <v>0</v>
      </c>
      <c r="Z280">
        <f>VLOOKUP(Misfit[[#This Row],[Shortname]], Comp[], 22, FALSE)</f>
        <v>0</v>
      </c>
      <c r="AA280">
        <f>VLOOKUP(Misfit[[#This Row],[Shortname]], Comp[], 23, FALSE)</f>
        <v>0</v>
      </c>
      <c r="AB280">
        <f>VLOOKUP(Misfit[[#This Row],[Shortname]], Comp[], 24, FALSE)</f>
        <v>0</v>
      </c>
      <c r="AC280">
        <f>VLOOKUP(Misfit[[#This Row],[Shortname]], Comp[], 25, FALSE)</f>
        <v>0</v>
      </c>
      <c r="AD280">
        <f>VLOOKUP(Misfit[[#This Row],[Shortname]], Comp[], 26, FALSE)</f>
        <v>0</v>
      </c>
      <c r="AE280">
        <f>VLOOKUP(Misfit[[#This Row],[Shortname]], Comp[], 27, FALSE)</f>
        <v>0</v>
      </c>
      <c r="AF280">
        <f>VLOOKUP(Misfit[[#This Row],[Shortname]], Comp[], 28, FALSE)</f>
        <v>0</v>
      </c>
      <c r="AG280">
        <f>VLOOKUP(Misfit[[#This Row],[Shortname]], Comp[], 29, FALSE)</f>
        <v>0</v>
      </c>
      <c r="AH280">
        <f>VLOOKUP(Misfit[[#This Row],[Shortname]], Comp[], 30, FALSE)</f>
        <v>0</v>
      </c>
      <c r="AI280">
        <f>VLOOKUP(Misfit[[#This Row],[Shortname]], Comp[], 31, FALSE)</f>
        <v>0</v>
      </c>
    </row>
    <row r="281" spans="1:35" x14ac:dyDescent="0.3">
      <c r="A281" s="12" t="s">
        <v>5716</v>
      </c>
      <c r="B281" s="13" t="s">
        <v>5717</v>
      </c>
      <c r="C281" s="12" t="s">
        <v>5718</v>
      </c>
      <c r="D281" s="12">
        <v>850</v>
      </c>
      <c r="E281" s="12">
        <v>25</v>
      </c>
      <c r="F281" s="12">
        <v>0.36049999999999999</v>
      </c>
      <c r="G281" s="12">
        <v>0.3589</v>
      </c>
      <c r="H281" s="41">
        <v>4.4999999999999997E-3</v>
      </c>
      <c r="I281" s="12"/>
      <c r="J281">
        <f>VLOOKUP(Misfit[[#This Row],[Shortname]], Comp[], 6, FALSE)</f>
        <v>896</v>
      </c>
      <c r="K281">
        <f>VLOOKUP(Misfit[[#This Row],[Shortname]], Comp[], 7, FALSE)</f>
        <v>39.70000000000001</v>
      </c>
      <c r="L281">
        <f>VLOOKUP(Misfit[[#This Row],[Shortname]], Comp[], 8, FALSE)</f>
        <v>30</v>
      </c>
      <c r="M281">
        <f>VLOOKUP(Misfit[[#This Row],[Shortname]], Comp[], 9, FALSE)</f>
        <v>7.8</v>
      </c>
      <c r="N281">
        <f>VLOOKUP(Misfit[[#This Row],[Shortname]], Comp[], 10, FALSE)</f>
        <v>14.3</v>
      </c>
      <c r="O281">
        <f>VLOOKUP(Misfit[[#This Row],[Shortname]], Comp[], 11, FALSE)</f>
        <v>2</v>
      </c>
      <c r="P281">
        <f>VLOOKUP(Misfit[[#This Row],[Shortname]], Comp[],12, FALSE)</f>
        <v>5.3</v>
      </c>
      <c r="Q281">
        <f>VLOOKUP(Misfit[[#This Row],[Shortname]], Comp[], 13, FALSE)</f>
        <v>0.9</v>
      </c>
      <c r="R281">
        <f>VLOOKUP(Misfit[[#This Row],[Shortname]], Comp[], 14, FALSE)</f>
        <v>0</v>
      </c>
      <c r="S281">
        <f>VLOOKUP(Misfit[[#This Row],[Shortname]], Comp[], 15, FALSE)</f>
        <v>0</v>
      </c>
      <c r="T281">
        <f>VLOOKUP(Misfit[[#This Row],[Shortname]], Comp[], 16, FALSE)</f>
        <v>0</v>
      </c>
      <c r="U281">
        <f>VLOOKUP(Misfit[[#This Row],[Shortname]], Comp[], 17, FALSE)</f>
        <v>0</v>
      </c>
      <c r="V281">
        <f>VLOOKUP(Misfit[[#This Row],[Shortname]], Comp[], 18, FALSE)</f>
        <v>0</v>
      </c>
      <c r="W281">
        <f>VLOOKUP(Misfit[[#This Row],[Shortname]], Comp[], 19, FALSE)</f>
        <v>0</v>
      </c>
      <c r="X281">
        <f>VLOOKUP(Misfit[[#This Row],[Shortname]], Comp[], 20, FALSE)</f>
        <v>0</v>
      </c>
      <c r="Y281">
        <f>VLOOKUP(Misfit[[#This Row],[Shortname]], Comp[], 21, FALSE)</f>
        <v>0</v>
      </c>
      <c r="Z281">
        <f>VLOOKUP(Misfit[[#This Row],[Shortname]], Comp[], 22, FALSE)</f>
        <v>0</v>
      </c>
      <c r="AA281">
        <f>VLOOKUP(Misfit[[#This Row],[Shortname]], Comp[], 23, FALSE)</f>
        <v>0</v>
      </c>
      <c r="AB281">
        <f>VLOOKUP(Misfit[[#This Row],[Shortname]], Comp[], 24, FALSE)</f>
        <v>0</v>
      </c>
      <c r="AC281">
        <f>VLOOKUP(Misfit[[#This Row],[Shortname]], Comp[], 25, FALSE)</f>
        <v>0</v>
      </c>
      <c r="AD281">
        <f>VLOOKUP(Misfit[[#This Row],[Shortname]], Comp[], 26, FALSE)</f>
        <v>0</v>
      </c>
      <c r="AE281">
        <f>VLOOKUP(Misfit[[#This Row],[Shortname]], Comp[], 27, FALSE)</f>
        <v>0</v>
      </c>
      <c r="AF281">
        <f>VLOOKUP(Misfit[[#This Row],[Shortname]], Comp[], 28, FALSE)</f>
        <v>0</v>
      </c>
      <c r="AG281">
        <f>VLOOKUP(Misfit[[#This Row],[Shortname]], Comp[], 29, FALSE)</f>
        <v>0</v>
      </c>
      <c r="AH281">
        <f>VLOOKUP(Misfit[[#This Row],[Shortname]], Comp[], 30, FALSE)</f>
        <v>0</v>
      </c>
      <c r="AI281">
        <f>VLOOKUP(Misfit[[#This Row],[Shortname]], Comp[], 31, FALSE)</f>
        <v>0</v>
      </c>
    </row>
    <row r="282" spans="1:35" x14ac:dyDescent="0.3">
      <c r="A282" s="12" t="s">
        <v>5246</v>
      </c>
      <c r="B282" s="12" t="s">
        <v>5720</v>
      </c>
      <c r="C282" s="12" t="s">
        <v>5721</v>
      </c>
      <c r="D282" s="12">
        <v>840</v>
      </c>
      <c r="E282" s="12">
        <v>25</v>
      </c>
      <c r="F282" s="12">
        <v>0.36162699999999998</v>
      </c>
      <c r="G282" s="12">
        <v>0.35891600000000001</v>
      </c>
      <c r="H282" s="41">
        <v>7.4999999999999997E-3</v>
      </c>
      <c r="I282" s="12" t="s">
        <v>6641</v>
      </c>
      <c r="J282">
        <f>VLOOKUP(Misfit[[#This Row],[Shortname]], Comp[], 6, FALSE)</f>
        <v>4430</v>
      </c>
      <c r="K282">
        <f>VLOOKUP(Misfit[[#This Row],[Shortname]], Comp[], 7, FALSE)</f>
        <v>59.199999999999996</v>
      </c>
      <c r="L282">
        <f>VLOOKUP(Misfit[[#This Row],[Shortname]], Comp[], 8, FALSE)</f>
        <v>20.399999999999999</v>
      </c>
      <c r="M282">
        <f>VLOOKUP(Misfit[[#This Row],[Shortname]], Comp[], 9, FALSE)</f>
        <v>9.8000000000000007</v>
      </c>
      <c r="N282">
        <f>VLOOKUP(Misfit[[#This Row],[Shortname]], Comp[], 10, FALSE)</f>
        <v>0</v>
      </c>
      <c r="O282">
        <f>VLOOKUP(Misfit[[#This Row],[Shortname]], Comp[], 11, FALSE)</f>
        <v>7.4</v>
      </c>
      <c r="P282">
        <f>VLOOKUP(Misfit[[#This Row],[Shortname]], Comp[],12, FALSE)</f>
        <v>2.7</v>
      </c>
      <c r="Q282">
        <f>VLOOKUP(Misfit[[#This Row],[Shortname]], Comp[], 13, FALSE)</f>
        <v>0</v>
      </c>
      <c r="R282">
        <f>VLOOKUP(Misfit[[#This Row],[Shortname]], Comp[], 14, FALSE)</f>
        <v>0</v>
      </c>
      <c r="S282">
        <f>VLOOKUP(Misfit[[#This Row],[Shortname]], Comp[], 15, FALSE)</f>
        <v>0</v>
      </c>
      <c r="T282">
        <f>VLOOKUP(Misfit[[#This Row],[Shortname]], Comp[], 16, FALSE)</f>
        <v>0</v>
      </c>
      <c r="U282">
        <f>VLOOKUP(Misfit[[#This Row],[Shortname]], Comp[], 17, FALSE)</f>
        <v>0.4</v>
      </c>
      <c r="V282">
        <f>VLOOKUP(Misfit[[#This Row],[Shortname]], Comp[], 18, FALSE)</f>
        <v>0</v>
      </c>
      <c r="W282">
        <f>VLOOKUP(Misfit[[#This Row],[Shortname]], Comp[], 19, FALSE)</f>
        <v>0.1</v>
      </c>
      <c r="X282">
        <f>VLOOKUP(Misfit[[#This Row],[Shortname]], Comp[], 20, FALSE)</f>
        <v>0</v>
      </c>
      <c r="Y282">
        <f>VLOOKUP(Misfit[[#This Row],[Shortname]], Comp[], 21, FALSE)</f>
        <v>0</v>
      </c>
      <c r="Z282">
        <f>VLOOKUP(Misfit[[#This Row],[Shortname]], Comp[], 22, FALSE)</f>
        <v>0</v>
      </c>
      <c r="AA282">
        <f>VLOOKUP(Misfit[[#This Row],[Shortname]], Comp[], 23, FALSE)</f>
        <v>0</v>
      </c>
      <c r="AB282">
        <f>VLOOKUP(Misfit[[#This Row],[Shortname]], Comp[], 24, FALSE)</f>
        <v>0</v>
      </c>
      <c r="AC282">
        <f>VLOOKUP(Misfit[[#This Row],[Shortname]], Comp[], 25, FALSE)</f>
        <v>0</v>
      </c>
      <c r="AD282">
        <f>VLOOKUP(Misfit[[#This Row],[Shortname]], Comp[], 26, FALSE)</f>
        <v>0</v>
      </c>
      <c r="AE282">
        <f>VLOOKUP(Misfit[[#This Row],[Shortname]], Comp[], 27, FALSE)</f>
        <v>0</v>
      </c>
      <c r="AF282">
        <f>VLOOKUP(Misfit[[#This Row],[Shortname]], Comp[], 28, FALSE)</f>
        <v>0</v>
      </c>
      <c r="AG282">
        <f>VLOOKUP(Misfit[[#This Row],[Shortname]], Comp[], 29, FALSE)</f>
        <v>0</v>
      </c>
      <c r="AH282">
        <f>VLOOKUP(Misfit[[#This Row],[Shortname]], Comp[], 30, FALSE)</f>
        <v>0</v>
      </c>
      <c r="AI282">
        <f>VLOOKUP(Misfit[[#This Row],[Shortname]], Comp[], 31, FALSE)</f>
        <v>0</v>
      </c>
    </row>
    <row r="283" spans="1:35" x14ac:dyDescent="0.3">
      <c r="A283" s="12" t="s">
        <v>5743</v>
      </c>
      <c r="B283" s="12" t="s">
        <v>5744</v>
      </c>
      <c r="C283" s="12" t="s">
        <v>5745</v>
      </c>
      <c r="D283" s="12">
        <v>800</v>
      </c>
      <c r="E283" s="12">
        <v>25</v>
      </c>
      <c r="F283" s="12">
        <v>0.36009999999999998</v>
      </c>
      <c r="G283" s="12">
        <v>0.35970000000000002</v>
      </c>
      <c r="H283" s="41">
        <v>1.2999999999999999E-3</v>
      </c>
      <c r="I283" s="12" t="s">
        <v>6642</v>
      </c>
      <c r="J283">
        <f>VLOOKUP(Misfit[[#This Row],[Shortname]], Comp[], 6, FALSE)</f>
        <v>904</v>
      </c>
      <c r="K283">
        <f>VLOOKUP(Misfit[[#This Row],[Shortname]], Comp[], 7, FALSE)</f>
        <v>31.799999999999997</v>
      </c>
      <c r="L283">
        <f>VLOOKUP(Misfit[[#This Row],[Shortname]], Comp[], 8, FALSE)</f>
        <v>34.82</v>
      </c>
      <c r="M283">
        <f>VLOOKUP(Misfit[[#This Row],[Shortname]], Comp[], 9, FALSE)</f>
        <v>4.33</v>
      </c>
      <c r="N283">
        <f>VLOOKUP(Misfit[[#This Row],[Shortname]], Comp[], 10, FALSE)</f>
        <v>19.649999999999999</v>
      </c>
      <c r="O283">
        <f>VLOOKUP(Misfit[[#This Row],[Shortname]], Comp[], 11, FALSE)</f>
        <v>0</v>
      </c>
      <c r="P283">
        <f>VLOOKUP(Misfit[[#This Row],[Shortname]], Comp[],12, FALSE)</f>
        <v>0.97</v>
      </c>
      <c r="Q283">
        <f>VLOOKUP(Misfit[[#This Row],[Shortname]], Comp[], 13, FALSE)</f>
        <v>0</v>
      </c>
      <c r="R283">
        <f>VLOOKUP(Misfit[[#This Row],[Shortname]], Comp[], 14, FALSE)</f>
        <v>1.89</v>
      </c>
      <c r="S283">
        <f>VLOOKUP(Misfit[[#This Row],[Shortname]], Comp[], 15, FALSE)</f>
        <v>0</v>
      </c>
      <c r="T283">
        <f>VLOOKUP(Misfit[[#This Row],[Shortname]], Comp[], 16, FALSE)</f>
        <v>4.87</v>
      </c>
      <c r="U283">
        <f>VLOOKUP(Misfit[[#This Row],[Shortname]], Comp[], 17, FALSE)</f>
        <v>0</v>
      </c>
      <c r="V283">
        <f>VLOOKUP(Misfit[[#This Row],[Shortname]], Comp[], 18, FALSE)</f>
        <v>0</v>
      </c>
      <c r="W283">
        <f>VLOOKUP(Misfit[[#This Row],[Shortname]], Comp[], 19, FALSE)</f>
        <v>0</v>
      </c>
      <c r="X283">
        <f>VLOOKUP(Misfit[[#This Row],[Shortname]], Comp[], 20, FALSE)</f>
        <v>0</v>
      </c>
      <c r="Y283">
        <f>VLOOKUP(Misfit[[#This Row],[Shortname]], Comp[], 21, FALSE)</f>
        <v>0</v>
      </c>
      <c r="Z283">
        <f>VLOOKUP(Misfit[[#This Row],[Shortname]], Comp[], 22, FALSE)</f>
        <v>0</v>
      </c>
      <c r="AA283">
        <f>VLOOKUP(Misfit[[#This Row],[Shortname]], Comp[], 23, FALSE)</f>
        <v>1.67</v>
      </c>
      <c r="AB283">
        <f>VLOOKUP(Misfit[[#This Row],[Shortname]], Comp[], 24, FALSE)</f>
        <v>0</v>
      </c>
      <c r="AC283">
        <f>VLOOKUP(Misfit[[#This Row],[Shortname]], Comp[], 25, FALSE)</f>
        <v>0</v>
      </c>
      <c r="AD283">
        <f>VLOOKUP(Misfit[[#This Row],[Shortname]], Comp[], 26, FALSE)</f>
        <v>0</v>
      </c>
      <c r="AE283">
        <f>VLOOKUP(Misfit[[#This Row],[Shortname]], Comp[], 27, FALSE)</f>
        <v>0</v>
      </c>
      <c r="AF283">
        <f>VLOOKUP(Misfit[[#This Row],[Shortname]], Comp[], 28, FALSE)</f>
        <v>0</v>
      </c>
      <c r="AG283">
        <f>VLOOKUP(Misfit[[#This Row],[Shortname]], Comp[], 29, FALSE)</f>
        <v>0</v>
      </c>
      <c r="AH283">
        <f>VLOOKUP(Misfit[[#This Row],[Shortname]], Comp[], 30, FALSE)</f>
        <v>0</v>
      </c>
      <c r="AI283">
        <f>VLOOKUP(Misfit[[#This Row],[Shortname]], Comp[], 31, FALSE)</f>
        <v>0</v>
      </c>
    </row>
    <row r="284" spans="1:35" x14ac:dyDescent="0.3">
      <c r="A284" s="12" t="s">
        <v>5765</v>
      </c>
      <c r="B284" s="12" t="s">
        <v>5766</v>
      </c>
      <c r="C284" s="12" t="s">
        <v>5767</v>
      </c>
      <c r="D284" s="12">
        <v>700</v>
      </c>
      <c r="E284" s="12">
        <v>25</v>
      </c>
      <c r="F284" s="12">
        <v>0.35849999999999999</v>
      </c>
      <c r="G284" s="12">
        <v>0.3644</v>
      </c>
      <c r="H284" s="41">
        <v>1.6400000000000001E-2</v>
      </c>
      <c r="I284" s="12"/>
      <c r="J284">
        <f>VLOOKUP(Misfit[[#This Row],[Shortname]], Comp[], 6, FALSE)</f>
        <v>909</v>
      </c>
      <c r="K284">
        <f>VLOOKUP(Misfit[[#This Row],[Shortname]], Comp[], 7, FALSE)</f>
        <v>87</v>
      </c>
      <c r="L284">
        <f>VLOOKUP(Misfit[[#This Row],[Shortname]], Comp[], 8, FALSE)</f>
        <v>0</v>
      </c>
      <c r="M284">
        <f>VLOOKUP(Misfit[[#This Row],[Shortname]], Comp[], 9, FALSE)</f>
        <v>10</v>
      </c>
      <c r="N284">
        <f>VLOOKUP(Misfit[[#This Row],[Shortname]], Comp[], 10, FALSE)</f>
        <v>0</v>
      </c>
      <c r="O284">
        <f>VLOOKUP(Misfit[[#This Row],[Shortname]], Comp[], 11, FALSE)</f>
        <v>0</v>
      </c>
      <c r="P284">
        <f>VLOOKUP(Misfit[[#This Row],[Shortname]], Comp[],12, FALSE)</f>
        <v>0</v>
      </c>
      <c r="Q284">
        <f>VLOOKUP(Misfit[[#This Row],[Shortname]], Comp[], 13, FALSE)</f>
        <v>0</v>
      </c>
      <c r="R284">
        <f>VLOOKUP(Misfit[[#This Row],[Shortname]], Comp[], 14, FALSE)</f>
        <v>3</v>
      </c>
      <c r="S284">
        <f>VLOOKUP(Misfit[[#This Row],[Shortname]], Comp[], 15, FALSE)</f>
        <v>0</v>
      </c>
      <c r="T284">
        <f>VLOOKUP(Misfit[[#This Row],[Shortname]], Comp[], 16, FALSE)</f>
        <v>0</v>
      </c>
      <c r="U284">
        <f>VLOOKUP(Misfit[[#This Row],[Shortname]], Comp[], 17, FALSE)</f>
        <v>0</v>
      </c>
      <c r="V284">
        <f>VLOOKUP(Misfit[[#This Row],[Shortname]], Comp[], 18, FALSE)</f>
        <v>0</v>
      </c>
      <c r="W284">
        <f>VLOOKUP(Misfit[[#This Row],[Shortname]], Comp[], 19, FALSE)</f>
        <v>0</v>
      </c>
      <c r="X284">
        <f>VLOOKUP(Misfit[[#This Row],[Shortname]], Comp[], 20, FALSE)</f>
        <v>0</v>
      </c>
      <c r="Y284">
        <f>VLOOKUP(Misfit[[#This Row],[Shortname]], Comp[], 21, FALSE)</f>
        <v>0</v>
      </c>
      <c r="Z284">
        <f>VLOOKUP(Misfit[[#This Row],[Shortname]], Comp[], 22, FALSE)</f>
        <v>0</v>
      </c>
      <c r="AA284">
        <f>VLOOKUP(Misfit[[#This Row],[Shortname]], Comp[], 23, FALSE)</f>
        <v>0</v>
      </c>
      <c r="AB284">
        <f>VLOOKUP(Misfit[[#This Row],[Shortname]], Comp[], 24, FALSE)</f>
        <v>0</v>
      </c>
      <c r="AC284">
        <f>VLOOKUP(Misfit[[#This Row],[Shortname]], Comp[], 25, FALSE)</f>
        <v>0</v>
      </c>
      <c r="AD284">
        <f>VLOOKUP(Misfit[[#This Row],[Shortname]], Comp[], 26, FALSE)</f>
        <v>0</v>
      </c>
      <c r="AE284">
        <f>VLOOKUP(Misfit[[#This Row],[Shortname]], Comp[], 27, FALSE)</f>
        <v>0</v>
      </c>
      <c r="AF284">
        <f>VLOOKUP(Misfit[[#This Row],[Shortname]], Comp[], 28, FALSE)</f>
        <v>0</v>
      </c>
      <c r="AG284">
        <f>VLOOKUP(Misfit[[#This Row],[Shortname]], Comp[], 29, FALSE)</f>
        <v>0</v>
      </c>
      <c r="AH284">
        <f>VLOOKUP(Misfit[[#This Row],[Shortname]], Comp[], 30, FALSE)</f>
        <v>0</v>
      </c>
      <c r="AI284">
        <f>VLOOKUP(Misfit[[#This Row],[Shortname]], Comp[], 31, FALSE)</f>
        <v>0</v>
      </c>
    </row>
    <row r="285" spans="1:35" x14ac:dyDescent="0.3">
      <c r="A285" s="12" t="s">
        <v>1519</v>
      </c>
      <c r="B285" s="12" t="s">
        <v>5769</v>
      </c>
      <c r="C285" s="12" t="s">
        <v>5770</v>
      </c>
      <c r="D285" s="12">
        <v>900</v>
      </c>
      <c r="E285" s="12">
        <v>25</v>
      </c>
      <c r="F285" s="12">
        <v>0.35849999999999999</v>
      </c>
      <c r="G285" s="12">
        <v>0.35709999999999997</v>
      </c>
      <c r="H285" s="41">
        <v>3.8999999999999998E-3</v>
      </c>
      <c r="I285" s="12" t="s">
        <v>6643</v>
      </c>
      <c r="J285">
        <f>VLOOKUP(Misfit[[#This Row],[Shortname]], Comp[], 6, FALSE)</f>
        <v>194</v>
      </c>
      <c r="K285">
        <f>VLOOKUP(Misfit[[#This Row],[Shortname]], Comp[], 7, FALSE)</f>
        <v>78.63</v>
      </c>
      <c r="L285">
        <f>VLOOKUP(Misfit[[#This Row],[Shortname]], Comp[], 8, FALSE)</f>
        <v>0</v>
      </c>
      <c r="M285">
        <f>VLOOKUP(Misfit[[#This Row],[Shortname]], Comp[], 9, FALSE)</f>
        <v>13.66</v>
      </c>
      <c r="N285">
        <f>VLOOKUP(Misfit[[#This Row],[Shortname]], Comp[], 10, FALSE)</f>
        <v>0</v>
      </c>
      <c r="O285">
        <f>VLOOKUP(Misfit[[#This Row],[Shortname]], Comp[], 11, FALSE)</f>
        <v>7.71</v>
      </c>
      <c r="P285">
        <f>VLOOKUP(Misfit[[#This Row],[Shortname]], Comp[],12, FALSE)</f>
        <v>0</v>
      </c>
      <c r="Q285">
        <f>VLOOKUP(Misfit[[#This Row],[Shortname]], Comp[], 13, FALSE)</f>
        <v>0</v>
      </c>
      <c r="R285">
        <f>VLOOKUP(Misfit[[#This Row],[Shortname]], Comp[], 14, FALSE)</f>
        <v>0</v>
      </c>
      <c r="S285">
        <f>VLOOKUP(Misfit[[#This Row],[Shortname]], Comp[], 15, FALSE)</f>
        <v>0</v>
      </c>
      <c r="T285">
        <f>VLOOKUP(Misfit[[#This Row],[Shortname]], Comp[], 16, FALSE)</f>
        <v>0</v>
      </c>
      <c r="U285">
        <f>VLOOKUP(Misfit[[#This Row],[Shortname]], Comp[], 17, FALSE)</f>
        <v>0</v>
      </c>
      <c r="V285">
        <f>VLOOKUP(Misfit[[#This Row],[Shortname]], Comp[], 18, FALSE)</f>
        <v>0</v>
      </c>
      <c r="W285">
        <f>VLOOKUP(Misfit[[#This Row],[Shortname]], Comp[], 19, FALSE)</f>
        <v>0</v>
      </c>
      <c r="X285">
        <f>VLOOKUP(Misfit[[#This Row],[Shortname]], Comp[], 20, FALSE)</f>
        <v>0</v>
      </c>
      <c r="Y285">
        <f>VLOOKUP(Misfit[[#This Row],[Shortname]], Comp[], 21, FALSE)</f>
        <v>0</v>
      </c>
      <c r="Z285">
        <f>VLOOKUP(Misfit[[#This Row],[Shortname]], Comp[], 22, FALSE)</f>
        <v>0</v>
      </c>
      <c r="AA285">
        <f>VLOOKUP(Misfit[[#This Row],[Shortname]], Comp[], 23, FALSE)</f>
        <v>0</v>
      </c>
      <c r="AB285">
        <f>VLOOKUP(Misfit[[#This Row],[Shortname]], Comp[], 24, FALSE)</f>
        <v>0</v>
      </c>
      <c r="AC285">
        <f>VLOOKUP(Misfit[[#This Row],[Shortname]], Comp[], 25, FALSE)</f>
        <v>0</v>
      </c>
      <c r="AD285">
        <f>VLOOKUP(Misfit[[#This Row],[Shortname]], Comp[], 26, FALSE)</f>
        <v>0</v>
      </c>
      <c r="AE285">
        <f>VLOOKUP(Misfit[[#This Row],[Shortname]], Comp[], 27, FALSE)</f>
        <v>0</v>
      </c>
      <c r="AF285">
        <f>VLOOKUP(Misfit[[#This Row],[Shortname]], Comp[], 28, FALSE)</f>
        <v>0</v>
      </c>
      <c r="AG285">
        <f>VLOOKUP(Misfit[[#This Row],[Shortname]], Comp[], 29, FALSE)</f>
        <v>0</v>
      </c>
      <c r="AH285">
        <f>VLOOKUP(Misfit[[#This Row],[Shortname]], Comp[], 30, FALSE)</f>
        <v>0</v>
      </c>
      <c r="AI285">
        <f>VLOOKUP(Misfit[[#This Row],[Shortname]], Comp[], 31, FALSE)</f>
        <v>0</v>
      </c>
    </row>
    <row r="286" spans="1:35" x14ac:dyDescent="0.3">
      <c r="A286" s="12" t="s">
        <v>5772</v>
      </c>
      <c r="B286" s="12" t="s">
        <v>5773</v>
      </c>
      <c r="C286" s="12" t="s">
        <v>5770</v>
      </c>
      <c r="D286" s="12">
        <v>900</v>
      </c>
      <c r="E286" s="12">
        <v>25</v>
      </c>
      <c r="F286" s="12">
        <v>0.35899999999999999</v>
      </c>
      <c r="G286" s="12">
        <v>0.35749999999999998</v>
      </c>
      <c r="H286" s="41">
        <v>4.4999999999999997E-3</v>
      </c>
      <c r="I286" s="12" t="s">
        <v>6643</v>
      </c>
      <c r="J286">
        <f>VLOOKUP(Misfit[[#This Row],[Shortname]], Comp[], 6, FALSE)</f>
        <v>911</v>
      </c>
      <c r="K286">
        <f>VLOOKUP(Misfit[[#This Row],[Shortname]], Comp[], 7, FALSE)</f>
        <v>75.489999999999995</v>
      </c>
      <c r="L286">
        <f>VLOOKUP(Misfit[[#This Row],[Shortname]], Comp[], 8, FALSE)</f>
        <v>0</v>
      </c>
      <c r="M286">
        <f>VLOOKUP(Misfit[[#This Row],[Shortname]], Comp[], 9, FALSE)</f>
        <v>11.65</v>
      </c>
      <c r="N286">
        <f>VLOOKUP(Misfit[[#This Row],[Shortname]], Comp[], 10, FALSE)</f>
        <v>0</v>
      </c>
      <c r="O286">
        <f>VLOOKUP(Misfit[[#This Row],[Shortname]], Comp[], 11, FALSE)</f>
        <v>9.0299999999999994</v>
      </c>
      <c r="P286">
        <f>VLOOKUP(Misfit[[#This Row],[Shortname]], Comp[],12, FALSE)</f>
        <v>2.14</v>
      </c>
      <c r="Q286">
        <f>VLOOKUP(Misfit[[#This Row],[Shortname]], Comp[], 13, FALSE)</f>
        <v>1.69</v>
      </c>
      <c r="R286">
        <f>VLOOKUP(Misfit[[#This Row],[Shortname]], Comp[], 14, FALSE)</f>
        <v>0</v>
      </c>
      <c r="S286">
        <f>VLOOKUP(Misfit[[#This Row],[Shortname]], Comp[], 15, FALSE)</f>
        <v>0</v>
      </c>
      <c r="T286">
        <f>VLOOKUP(Misfit[[#This Row],[Shortname]], Comp[], 16, FALSE)</f>
        <v>0</v>
      </c>
      <c r="U286">
        <f>VLOOKUP(Misfit[[#This Row],[Shortname]], Comp[], 17, FALSE)</f>
        <v>0</v>
      </c>
      <c r="V286">
        <f>VLOOKUP(Misfit[[#This Row],[Shortname]], Comp[], 18, FALSE)</f>
        <v>0</v>
      </c>
      <c r="W286">
        <f>VLOOKUP(Misfit[[#This Row],[Shortname]], Comp[], 19, FALSE)</f>
        <v>0</v>
      </c>
      <c r="X286">
        <f>VLOOKUP(Misfit[[#This Row],[Shortname]], Comp[], 20, FALSE)</f>
        <v>0</v>
      </c>
      <c r="Y286">
        <f>VLOOKUP(Misfit[[#This Row],[Shortname]], Comp[], 21, FALSE)</f>
        <v>0</v>
      </c>
      <c r="Z286">
        <f>VLOOKUP(Misfit[[#This Row],[Shortname]], Comp[], 22, FALSE)</f>
        <v>0</v>
      </c>
      <c r="AA286">
        <f>VLOOKUP(Misfit[[#This Row],[Shortname]], Comp[], 23, FALSE)</f>
        <v>0</v>
      </c>
      <c r="AB286">
        <f>VLOOKUP(Misfit[[#This Row],[Shortname]], Comp[], 24, FALSE)</f>
        <v>0</v>
      </c>
      <c r="AC286">
        <f>VLOOKUP(Misfit[[#This Row],[Shortname]], Comp[], 25, FALSE)</f>
        <v>0</v>
      </c>
      <c r="AD286">
        <f>VLOOKUP(Misfit[[#This Row],[Shortname]], Comp[], 26, FALSE)</f>
        <v>0</v>
      </c>
      <c r="AE286">
        <f>VLOOKUP(Misfit[[#This Row],[Shortname]], Comp[], 27, FALSE)</f>
        <v>0</v>
      </c>
      <c r="AF286">
        <f>VLOOKUP(Misfit[[#This Row],[Shortname]], Comp[], 28, FALSE)</f>
        <v>0</v>
      </c>
      <c r="AG286">
        <f>VLOOKUP(Misfit[[#This Row],[Shortname]], Comp[], 29, FALSE)</f>
        <v>0</v>
      </c>
      <c r="AH286">
        <f>VLOOKUP(Misfit[[#This Row],[Shortname]], Comp[], 30, FALSE)</f>
        <v>0</v>
      </c>
      <c r="AI286">
        <f>VLOOKUP(Misfit[[#This Row],[Shortname]], Comp[], 31, FALSE)</f>
        <v>0</v>
      </c>
    </row>
    <row r="287" spans="1:35" x14ac:dyDescent="0.3">
      <c r="A287" s="12" t="s">
        <v>5951</v>
      </c>
      <c r="B287" s="12" t="s">
        <v>5952</v>
      </c>
      <c r="C287" s="12" t="s">
        <v>5939</v>
      </c>
      <c r="D287" s="12">
        <v>900</v>
      </c>
      <c r="E287" s="12">
        <v>25</v>
      </c>
      <c r="F287" s="12"/>
      <c r="G287" s="12">
        <v>0.35414000000000001</v>
      </c>
      <c r="H287" s="41">
        <v>1.2999999999999999E-2</v>
      </c>
      <c r="I287" s="12"/>
      <c r="J287">
        <f>VLOOKUP(Misfit[[#This Row],[Shortname]], Comp[], 6, FALSE)</f>
        <v>959</v>
      </c>
      <c r="K287">
        <f>VLOOKUP(Misfit[[#This Row],[Shortname]], Comp[], 7, FALSE)</f>
        <v>45.2</v>
      </c>
      <c r="L287">
        <f>VLOOKUP(Misfit[[#This Row],[Shortname]], Comp[], 8, FALSE)</f>
        <v>29.3</v>
      </c>
      <c r="M287">
        <f>VLOOKUP(Misfit[[#This Row],[Shortname]], Comp[], 9, FALSE)</f>
        <v>4.7</v>
      </c>
      <c r="N287">
        <f>VLOOKUP(Misfit[[#This Row],[Shortname]], Comp[], 10, FALSE)</f>
        <v>15.5</v>
      </c>
      <c r="O287">
        <f>VLOOKUP(Misfit[[#This Row],[Shortname]], Comp[], 11, FALSE)</f>
        <v>0</v>
      </c>
      <c r="P287">
        <f>VLOOKUP(Misfit[[#This Row],[Shortname]], Comp[],12, FALSE)</f>
        <v>5.3</v>
      </c>
      <c r="Q287">
        <f>VLOOKUP(Misfit[[#This Row],[Shortname]], Comp[], 13, FALSE)</f>
        <v>0</v>
      </c>
      <c r="R287">
        <f>VLOOKUP(Misfit[[#This Row],[Shortname]], Comp[], 14, FALSE)</f>
        <v>0</v>
      </c>
      <c r="S287">
        <f>VLOOKUP(Misfit[[#This Row],[Shortname]], Comp[], 15, FALSE)</f>
        <v>0</v>
      </c>
      <c r="T287">
        <f>VLOOKUP(Misfit[[#This Row],[Shortname]], Comp[], 16, FALSE)</f>
        <v>0</v>
      </c>
      <c r="U287">
        <f>VLOOKUP(Misfit[[#This Row],[Shortname]], Comp[], 17, FALSE)</f>
        <v>0</v>
      </c>
      <c r="V287">
        <f>VLOOKUP(Misfit[[#This Row],[Shortname]], Comp[], 18, FALSE)</f>
        <v>0</v>
      </c>
      <c r="W287">
        <f>VLOOKUP(Misfit[[#This Row],[Shortname]], Comp[], 19, FALSE)</f>
        <v>0</v>
      </c>
      <c r="X287">
        <f>VLOOKUP(Misfit[[#This Row],[Shortname]], Comp[], 20, FALSE)</f>
        <v>0</v>
      </c>
      <c r="Y287">
        <f>VLOOKUP(Misfit[[#This Row],[Shortname]], Comp[], 21, FALSE)</f>
        <v>0</v>
      </c>
      <c r="Z287">
        <f>VLOOKUP(Misfit[[#This Row],[Shortname]], Comp[], 22, FALSE)</f>
        <v>0</v>
      </c>
      <c r="AA287">
        <f>VLOOKUP(Misfit[[#This Row],[Shortname]], Comp[], 23, FALSE)</f>
        <v>0</v>
      </c>
      <c r="AB287">
        <f>VLOOKUP(Misfit[[#This Row],[Shortname]], Comp[], 24, FALSE)</f>
        <v>0</v>
      </c>
      <c r="AC287">
        <f>VLOOKUP(Misfit[[#This Row],[Shortname]], Comp[], 25, FALSE)</f>
        <v>0</v>
      </c>
      <c r="AD287">
        <f>VLOOKUP(Misfit[[#This Row],[Shortname]], Comp[], 26, FALSE)</f>
        <v>0</v>
      </c>
      <c r="AE287">
        <f>VLOOKUP(Misfit[[#This Row],[Shortname]], Comp[], 27, FALSE)</f>
        <v>0</v>
      </c>
      <c r="AF287">
        <f>VLOOKUP(Misfit[[#This Row],[Shortname]], Comp[], 28, FALSE)</f>
        <v>0</v>
      </c>
      <c r="AG287">
        <f>VLOOKUP(Misfit[[#This Row],[Shortname]], Comp[], 29, FALSE)</f>
        <v>0</v>
      </c>
      <c r="AH287">
        <f>VLOOKUP(Misfit[[#This Row],[Shortname]], Comp[], 30, FALSE)</f>
        <v>0</v>
      </c>
      <c r="AI287">
        <f>VLOOKUP(Misfit[[#This Row],[Shortname]], Comp[], 31, FALSE)</f>
        <v>0</v>
      </c>
    </row>
    <row r="288" spans="1:35" x14ac:dyDescent="0.3">
      <c r="A288" s="12" t="s">
        <v>5956</v>
      </c>
      <c r="B288" s="12" t="s">
        <v>5957</v>
      </c>
      <c r="C288" s="12" t="s">
        <v>5939</v>
      </c>
      <c r="D288" s="12">
        <v>900</v>
      </c>
      <c r="E288" s="12">
        <v>25</v>
      </c>
      <c r="F288" s="12"/>
      <c r="G288" s="12">
        <v>0.35466999999999999</v>
      </c>
      <c r="H288" s="41">
        <v>1.4E-2</v>
      </c>
      <c r="I288" s="12"/>
      <c r="J288">
        <f>VLOOKUP(Misfit[[#This Row],[Shortname]], Comp[], 6, FALSE)</f>
        <v>960</v>
      </c>
      <c r="K288">
        <f>VLOOKUP(Misfit[[#This Row],[Shortname]], Comp[], 7, FALSE)</f>
        <v>41.899999999999991</v>
      </c>
      <c r="L288">
        <f>VLOOKUP(Misfit[[#This Row],[Shortname]], Comp[], 8, FALSE)</f>
        <v>29.3</v>
      </c>
      <c r="M288">
        <f>VLOOKUP(Misfit[[#This Row],[Shortname]], Comp[], 9, FALSE)</f>
        <v>6.4</v>
      </c>
      <c r="N288">
        <f>VLOOKUP(Misfit[[#This Row],[Shortname]], Comp[], 10, FALSE)</f>
        <v>15.2</v>
      </c>
      <c r="O288">
        <f>VLOOKUP(Misfit[[#This Row],[Shortname]], Comp[], 11, FALSE)</f>
        <v>0</v>
      </c>
      <c r="P288">
        <f>VLOOKUP(Misfit[[#This Row],[Shortname]], Comp[],12, FALSE)</f>
        <v>5.0999999999999996</v>
      </c>
      <c r="Q288">
        <f>VLOOKUP(Misfit[[#This Row],[Shortname]], Comp[], 13, FALSE)</f>
        <v>2.1</v>
      </c>
      <c r="R288">
        <f>VLOOKUP(Misfit[[#This Row],[Shortname]], Comp[], 14, FALSE)</f>
        <v>0</v>
      </c>
      <c r="S288">
        <f>VLOOKUP(Misfit[[#This Row],[Shortname]], Comp[], 15, FALSE)</f>
        <v>0</v>
      </c>
      <c r="T288">
        <f>VLOOKUP(Misfit[[#This Row],[Shortname]], Comp[], 16, FALSE)</f>
        <v>0</v>
      </c>
      <c r="U288">
        <f>VLOOKUP(Misfit[[#This Row],[Shortname]], Comp[], 17, FALSE)</f>
        <v>0</v>
      </c>
      <c r="V288">
        <f>VLOOKUP(Misfit[[#This Row],[Shortname]], Comp[], 18, FALSE)</f>
        <v>0</v>
      </c>
      <c r="W288">
        <f>VLOOKUP(Misfit[[#This Row],[Shortname]], Comp[], 19, FALSE)</f>
        <v>0</v>
      </c>
      <c r="X288">
        <f>VLOOKUP(Misfit[[#This Row],[Shortname]], Comp[], 20, FALSE)</f>
        <v>0</v>
      </c>
      <c r="Y288">
        <f>VLOOKUP(Misfit[[#This Row],[Shortname]], Comp[], 21, FALSE)</f>
        <v>0</v>
      </c>
      <c r="Z288">
        <f>VLOOKUP(Misfit[[#This Row],[Shortname]], Comp[], 22, FALSE)</f>
        <v>0</v>
      </c>
      <c r="AA288">
        <f>VLOOKUP(Misfit[[#This Row],[Shortname]], Comp[], 23, FALSE)</f>
        <v>0</v>
      </c>
      <c r="AB288">
        <f>VLOOKUP(Misfit[[#This Row],[Shortname]], Comp[], 24, FALSE)</f>
        <v>0</v>
      </c>
      <c r="AC288">
        <f>VLOOKUP(Misfit[[#This Row],[Shortname]], Comp[], 25, FALSE)</f>
        <v>0</v>
      </c>
      <c r="AD288">
        <f>VLOOKUP(Misfit[[#This Row],[Shortname]], Comp[], 26, FALSE)</f>
        <v>0</v>
      </c>
      <c r="AE288">
        <f>VLOOKUP(Misfit[[#This Row],[Shortname]], Comp[], 27, FALSE)</f>
        <v>0</v>
      </c>
      <c r="AF288">
        <f>VLOOKUP(Misfit[[#This Row],[Shortname]], Comp[], 28, FALSE)</f>
        <v>0</v>
      </c>
      <c r="AG288">
        <f>VLOOKUP(Misfit[[#This Row],[Shortname]], Comp[], 29, FALSE)</f>
        <v>0</v>
      </c>
      <c r="AH288">
        <f>VLOOKUP(Misfit[[#This Row],[Shortname]], Comp[], 30, FALSE)</f>
        <v>0</v>
      </c>
      <c r="AI288">
        <f>VLOOKUP(Misfit[[#This Row],[Shortname]], Comp[], 31, FALSE)</f>
        <v>0</v>
      </c>
    </row>
    <row r="289" spans="1:35" x14ac:dyDescent="0.3">
      <c r="A289" s="12" t="s">
        <v>5959</v>
      </c>
      <c r="B289" s="12" t="s">
        <v>5960</v>
      </c>
      <c r="C289" s="12" t="s">
        <v>5961</v>
      </c>
      <c r="D289" s="12">
        <v>900</v>
      </c>
      <c r="E289" s="12">
        <v>25</v>
      </c>
      <c r="F289" s="12">
        <v>0.35872000000000004</v>
      </c>
      <c r="G289" s="12">
        <v>0.35486000000000001</v>
      </c>
      <c r="H289" s="41">
        <f t="shared" ref="H289:H295" si="8">2*(F289-G289)/(F289+G289)</f>
        <v>1.0818688864598306E-2</v>
      </c>
      <c r="I289" s="12"/>
      <c r="J289">
        <f>VLOOKUP(Misfit[[#This Row],[Shortname]], Comp[], 6, FALSE)</f>
        <v>961</v>
      </c>
      <c r="K289">
        <f>VLOOKUP(Misfit[[#This Row],[Shortname]], Comp[], 7, FALSE)</f>
        <v>40.4</v>
      </c>
      <c r="L289">
        <f>VLOOKUP(Misfit[[#This Row],[Shortname]], Comp[], 8, FALSE)</f>
        <v>34</v>
      </c>
      <c r="M289">
        <f>VLOOKUP(Misfit[[#This Row],[Shortname]], Comp[], 9, FALSE)</f>
        <v>4.5</v>
      </c>
      <c r="N289">
        <f>VLOOKUP(Misfit[[#This Row],[Shortname]], Comp[], 10, FALSE)</f>
        <v>15.6</v>
      </c>
      <c r="O289">
        <f>VLOOKUP(Misfit[[#This Row],[Shortname]], Comp[], 11, FALSE)</f>
        <v>0</v>
      </c>
      <c r="P289">
        <f>VLOOKUP(Misfit[[#This Row],[Shortname]], Comp[],12, FALSE)</f>
        <v>5.5</v>
      </c>
      <c r="Q289">
        <f>VLOOKUP(Misfit[[#This Row],[Shortname]], Comp[], 13, FALSE)</f>
        <v>0</v>
      </c>
      <c r="R289">
        <f>VLOOKUP(Misfit[[#This Row],[Shortname]], Comp[], 14, FALSE)</f>
        <v>0</v>
      </c>
      <c r="S289">
        <f>VLOOKUP(Misfit[[#This Row],[Shortname]], Comp[], 15, FALSE)</f>
        <v>0</v>
      </c>
      <c r="T289">
        <f>VLOOKUP(Misfit[[#This Row],[Shortname]], Comp[], 16, FALSE)</f>
        <v>0</v>
      </c>
      <c r="U289">
        <f>VLOOKUP(Misfit[[#This Row],[Shortname]], Comp[], 17, FALSE)</f>
        <v>0</v>
      </c>
      <c r="V289">
        <f>VLOOKUP(Misfit[[#This Row],[Shortname]], Comp[], 18, FALSE)</f>
        <v>0</v>
      </c>
      <c r="W289">
        <f>VLOOKUP(Misfit[[#This Row],[Shortname]], Comp[], 19, FALSE)</f>
        <v>0</v>
      </c>
      <c r="X289">
        <f>VLOOKUP(Misfit[[#This Row],[Shortname]], Comp[], 20, FALSE)</f>
        <v>0</v>
      </c>
      <c r="Y289">
        <f>VLOOKUP(Misfit[[#This Row],[Shortname]], Comp[], 21, FALSE)</f>
        <v>0</v>
      </c>
      <c r="Z289">
        <f>VLOOKUP(Misfit[[#This Row],[Shortname]], Comp[], 22, FALSE)</f>
        <v>0</v>
      </c>
      <c r="AA289">
        <f>VLOOKUP(Misfit[[#This Row],[Shortname]], Comp[], 23, FALSE)</f>
        <v>0</v>
      </c>
      <c r="AB289">
        <f>VLOOKUP(Misfit[[#This Row],[Shortname]], Comp[], 24, FALSE)</f>
        <v>0</v>
      </c>
      <c r="AC289">
        <f>VLOOKUP(Misfit[[#This Row],[Shortname]], Comp[], 25, FALSE)</f>
        <v>0</v>
      </c>
      <c r="AD289">
        <f>VLOOKUP(Misfit[[#This Row],[Shortname]], Comp[], 26, FALSE)</f>
        <v>0</v>
      </c>
      <c r="AE289">
        <f>VLOOKUP(Misfit[[#This Row],[Shortname]], Comp[], 27, FALSE)</f>
        <v>0</v>
      </c>
      <c r="AF289">
        <f>VLOOKUP(Misfit[[#This Row],[Shortname]], Comp[], 28, FALSE)</f>
        <v>0</v>
      </c>
      <c r="AG289">
        <f>VLOOKUP(Misfit[[#This Row],[Shortname]], Comp[], 29, FALSE)</f>
        <v>0</v>
      </c>
      <c r="AH289">
        <f>VLOOKUP(Misfit[[#This Row],[Shortname]], Comp[], 30, FALSE)</f>
        <v>0</v>
      </c>
      <c r="AI289">
        <f>VLOOKUP(Misfit[[#This Row],[Shortname]], Comp[], 31, FALSE)</f>
        <v>0</v>
      </c>
    </row>
    <row r="290" spans="1:35" x14ac:dyDescent="0.3">
      <c r="A290" s="12" t="s">
        <v>5965</v>
      </c>
      <c r="B290" s="12" t="s">
        <v>5966</v>
      </c>
      <c r="C290" s="12" t="s">
        <v>5961</v>
      </c>
      <c r="D290" s="12">
        <v>900</v>
      </c>
      <c r="E290" s="12">
        <v>25</v>
      </c>
      <c r="F290" s="12">
        <v>0.35943000000000003</v>
      </c>
      <c r="G290" s="12">
        <v>0.35533000000000003</v>
      </c>
      <c r="H290" s="41">
        <f t="shared" si="8"/>
        <v>1.1472382338127462E-2</v>
      </c>
      <c r="I290" s="12"/>
      <c r="J290">
        <f>VLOOKUP(Misfit[[#This Row],[Shortname]], Comp[], 6, FALSE)</f>
        <v>962</v>
      </c>
      <c r="K290">
        <f>VLOOKUP(Misfit[[#This Row],[Shortname]], Comp[], 7, FALSE)</f>
        <v>38.4</v>
      </c>
      <c r="L290">
        <f>VLOOKUP(Misfit[[#This Row],[Shortname]], Comp[], 8, FALSE)</f>
        <v>34.299999999999997</v>
      </c>
      <c r="M290">
        <f>VLOOKUP(Misfit[[#This Row],[Shortname]], Comp[], 9, FALSE)</f>
        <v>4.7</v>
      </c>
      <c r="N290">
        <f>VLOOKUP(Misfit[[#This Row],[Shortname]], Comp[], 10, FALSE)</f>
        <v>15.6</v>
      </c>
      <c r="O290">
        <f>VLOOKUP(Misfit[[#This Row],[Shortname]], Comp[], 11, FALSE)</f>
        <v>0</v>
      </c>
      <c r="P290">
        <f>VLOOKUP(Misfit[[#This Row],[Shortname]], Comp[],12, FALSE)</f>
        <v>5.0999999999999996</v>
      </c>
      <c r="Q290">
        <f>VLOOKUP(Misfit[[#This Row],[Shortname]], Comp[], 13, FALSE)</f>
        <v>1.9</v>
      </c>
      <c r="R290">
        <f>VLOOKUP(Misfit[[#This Row],[Shortname]], Comp[], 14, FALSE)</f>
        <v>0</v>
      </c>
      <c r="S290">
        <f>VLOOKUP(Misfit[[#This Row],[Shortname]], Comp[], 15, FALSE)</f>
        <v>0</v>
      </c>
      <c r="T290">
        <f>VLOOKUP(Misfit[[#This Row],[Shortname]], Comp[], 16, FALSE)</f>
        <v>0</v>
      </c>
      <c r="U290">
        <f>VLOOKUP(Misfit[[#This Row],[Shortname]], Comp[], 17, FALSE)</f>
        <v>0</v>
      </c>
      <c r="V290">
        <f>VLOOKUP(Misfit[[#This Row],[Shortname]], Comp[], 18, FALSE)</f>
        <v>0</v>
      </c>
      <c r="W290">
        <f>VLOOKUP(Misfit[[#This Row],[Shortname]], Comp[], 19, FALSE)</f>
        <v>0</v>
      </c>
      <c r="X290">
        <f>VLOOKUP(Misfit[[#This Row],[Shortname]], Comp[], 20, FALSE)</f>
        <v>0</v>
      </c>
      <c r="Y290">
        <f>VLOOKUP(Misfit[[#This Row],[Shortname]], Comp[], 21, FALSE)</f>
        <v>0</v>
      </c>
      <c r="Z290">
        <f>VLOOKUP(Misfit[[#This Row],[Shortname]], Comp[], 22, FALSE)</f>
        <v>0</v>
      </c>
      <c r="AA290">
        <f>VLOOKUP(Misfit[[#This Row],[Shortname]], Comp[], 23, FALSE)</f>
        <v>0</v>
      </c>
      <c r="AB290">
        <f>VLOOKUP(Misfit[[#This Row],[Shortname]], Comp[], 24, FALSE)</f>
        <v>0</v>
      </c>
      <c r="AC290">
        <f>VLOOKUP(Misfit[[#This Row],[Shortname]], Comp[], 25, FALSE)</f>
        <v>0</v>
      </c>
      <c r="AD290">
        <f>VLOOKUP(Misfit[[#This Row],[Shortname]], Comp[], 26, FALSE)</f>
        <v>0</v>
      </c>
      <c r="AE290">
        <f>VLOOKUP(Misfit[[#This Row],[Shortname]], Comp[], 27, FALSE)</f>
        <v>0</v>
      </c>
      <c r="AF290">
        <f>VLOOKUP(Misfit[[#This Row],[Shortname]], Comp[], 28, FALSE)</f>
        <v>0</v>
      </c>
      <c r="AG290">
        <f>VLOOKUP(Misfit[[#This Row],[Shortname]], Comp[], 29, FALSE)</f>
        <v>0</v>
      </c>
      <c r="AH290">
        <f>VLOOKUP(Misfit[[#This Row],[Shortname]], Comp[], 30, FALSE)</f>
        <v>0</v>
      </c>
      <c r="AI290">
        <f>VLOOKUP(Misfit[[#This Row],[Shortname]], Comp[], 31, FALSE)</f>
        <v>0</v>
      </c>
    </row>
    <row r="291" spans="1:35" x14ac:dyDescent="0.3">
      <c r="A291" s="12" t="s">
        <v>5969</v>
      </c>
      <c r="B291" s="12" t="s">
        <v>5970</v>
      </c>
      <c r="C291" s="12" t="s">
        <v>5961</v>
      </c>
      <c r="D291" s="12">
        <v>900</v>
      </c>
      <c r="E291" s="12">
        <v>25</v>
      </c>
      <c r="F291" s="12">
        <v>0.35951</v>
      </c>
      <c r="G291" s="12">
        <v>0.35544999999999999</v>
      </c>
      <c r="H291" s="41">
        <f t="shared" si="8"/>
        <v>1.135727872887996E-2</v>
      </c>
      <c r="I291" s="12"/>
      <c r="J291">
        <f>VLOOKUP(Misfit[[#This Row],[Shortname]], Comp[], 6, FALSE)</f>
        <v>963</v>
      </c>
      <c r="K291">
        <f>VLOOKUP(Misfit[[#This Row],[Shortname]], Comp[], 7, FALSE)</f>
        <v>38.6</v>
      </c>
      <c r="L291">
        <f>VLOOKUP(Misfit[[#This Row],[Shortname]], Comp[], 8, FALSE)</f>
        <v>34.700000000000003</v>
      </c>
      <c r="M291">
        <f>VLOOKUP(Misfit[[#This Row],[Shortname]], Comp[], 9, FALSE)</f>
        <v>4.5</v>
      </c>
      <c r="N291">
        <f>VLOOKUP(Misfit[[#This Row],[Shortname]], Comp[], 10, FALSE)</f>
        <v>15.5</v>
      </c>
      <c r="O291">
        <f>VLOOKUP(Misfit[[#This Row],[Shortname]], Comp[], 11, FALSE)</f>
        <v>0</v>
      </c>
      <c r="P291">
        <f>VLOOKUP(Misfit[[#This Row],[Shortname]], Comp[],12, FALSE)</f>
        <v>4.9000000000000004</v>
      </c>
      <c r="Q291">
        <f>VLOOKUP(Misfit[[#This Row],[Shortname]], Comp[], 13, FALSE)</f>
        <v>0</v>
      </c>
      <c r="R291">
        <f>VLOOKUP(Misfit[[#This Row],[Shortname]], Comp[], 14, FALSE)</f>
        <v>1.8</v>
      </c>
      <c r="S291">
        <f>VLOOKUP(Misfit[[#This Row],[Shortname]], Comp[], 15, FALSE)</f>
        <v>0</v>
      </c>
      <c r="T291">
        <f>VLOOKUP(Misfit[[#This Row],[Shortname]], Comp[], 16, FALSE)</f>
        <v>0</v>
      </c>
      <c r="U291">
        <f>VLOOKUP(Misfit[[#This Row],[Shortname]], Comp[], 17, FALSE)</f>
        <v>0</v>
      </c>
      <c r="V291">
        <f>VLOOKUP(Misfit[[#This Row],[Shortname]], Comp[], 18, FALSE)</f>
        <v>0</v>
      </c>
      <c r="W291">
        <f>VLOOKUP(Misfit[[#This Row],[Shortname]], Comp[], 19, FALSE)</f>
        <v>0</v>
      </c>
      <c r="X291">
        <f>VLOOKUP(Misfit[[#This Row],[Shortname]], Comp[], 20, FALSE)</f>
        <v>0</v>
      </c>
      <c r="Y291">
        <f>VLOOKUP(Misfit[[#This Row],[Shortname]], Comp[], 21, FALSE)</f>
        <v>0</v>
      </c>
      <c r="Z291">
        <f>VLOOKUP(Misfit[[#This Row],[Shortname]], Comp[], 22, FALSE)</f>
        <v>0</v>
      </c>
      <c r="AA291">
        <f>VLOOKUP(Misfit[[#This Row],[Shortname]], Comp[], 23, FALSE)</f>
        <v>0</v>
      </c>
      <c r="AB291">
        <f>VLOOKUP(Misfit[[#This Row],[Shortname]], Comp[], 24, FALSE)</f>
        <v>0</v>
      </c>
      <c r="AC291">
        <f>VLOOKUP(Misfit[[#This Row],[Shortname]], Comp[], 25, FALSE)</f>
        <v>0</v>
      </c>
      <c r="AD291">
        <f>VLOOKUP(Misfit[[#This Row],[Shortname]], Comp[], 26, FALSE)</f>
        <v>0</v>
      </c>
      <c r="AE291">
        <f>VLOOKUP(Misfit[[#This Row],[Shortname]], Comp[], 27, FALSE)</f>
        <v>0</v>
      </c>
      <c r="AF291">
        <f>VLOOKUP(Misfit[[#This Row],[Shortname]], Comp[], 28, FALSE)</f>
        <v>0</v>
      </c>
      <c r="AG291">
        <f>VLOOKUP(Misfit[[#This Row],[Shortname]], Comp[], 29, FALSE)</f>
        <v>0</v>
      </c>
      <c r="AH291">
        <f>VLOOKUP(Misfit[[#This Row],[Shortname]], Comp[], 30, FALSE)</f>
        <v>0</v>
      </c>
      <c r="AI291">
        <f>VLOOKUP(Misfit[[#This Row],[Shortname]], Comp[], 31, FALSE)</f>
        <v>0</v>
      </c>
    </row>
    <row r="292" spans="1:35" x14ac:dyDescent="0.3">
      <c r="A292" s="12" t="s">
        <v>5973</v>
      </c>
      <c r="B292" s="12" t="s">
        <v>5974</v>
      </c>
      <c r="C292" s="12" t="s">
        <v>5961</v>
      </c>
      <c r="D292" s="12">
        <v>900</v>
      </c>
      <c r="E292" s="12">
        <v>25</v>
      </c>
      <c r="F292" s="12">
        <v>0.35920000000000002</v>
      </c>
      <c r="G292" s="12">
        <v>0.35636999999999996</v>
      </c>
      <c r="H292" s="41">
        <f t="shared" si="8"/>
        <v>7.9097782187628179E-3</v>
      </c>
      <c r="I292" s="12"/>
      <c r="J292">
        <f>VLOOKUP(Misfit[[#This Row],[Shortname]], Comp[], 6, FALSE)</f>
        <v>964</v>
      </c>
      <c r="K292">
        <f>VLOOKUP(Misfit[[#This Row],[Shortname]], Comp[], 7, FALSE)</f>
        <v>37.5</v>
      </c>
      <c r="L292">
        <f>VLOOKUP(Misfit[[#This Row],[Shortname]], Comp[], 8, FALSE)</f>
        <v>34.6</v>
      </c>
      <c r="M292">
        <f>VLOOKUP(Misfit[[#This Row],[Shortname]], Comp[], 9, FALSE)</f>
        <v>4.4000000000000004</v>
      </c>
      <c r="N292">
        <f>VLOOKUP(Misfit[[#This Row],[Shortname]], Comp[], 10, FALSE)</f>
        <v>15.4</v>
      </c>
      <c r="O292">
        <f>VLOOKUP(Misfit[[#This Row],[Shortname]], Comp[], 11, FALSE)</f>
        <v>0.9</v>
      </c>
      <c r="P292">
        <f>VLOOKUP(Misfit[[#This Row],[Shortname]], Comp[],12, FALSE)</f>
        <v>5.2</v>
      </c>
      <c r="Q292">
        <f>VLOOKUP(Misfit[[#This Row],[Shortname]], Comp[], 13, FALSE)</f>
        <v>0</v>
      </c>
      <c r="R292">
        <f>VLOOKUP(Misfit[[#This Row],[Shortname]], Comp[], 14, FALSE)</f>
        <v>0</v>
      </c>
      <c r="S292">
        <f>VLOOKUP(Misfit[[#This Row],[Shortname]], Comp[], 15, FALSE)</f>
        <v>0</v>
      </c>
      <c r="T292">
        <f>VLOOKUP(Misfit[[#This Row],[Shortname]], Comp[], 16, FALSE)</f>
        <v>2</v>
      </c>
      <c r="U292">
        <f>VLOOKUP(Misfit[[#This Row],[Shortname]], Comp[], 17, FALSE)</f>
        <v>0</v>
      </c>
      <c r="V292">
        <f>VLOOKUP(Misfit[[#This Row],[Shortname]], Comp[], 18, FALSE)</f>
        <v>0</v>
      </c>
      <c r="W292">
        <f>VLOOKUP(Misfit[[#This Row],[Shortname]], Comp[], 19, FALSE)</f>
        <v>0</v>
      </c>
      <c r="X292">
        <f>VLOOKUP(Misfit[[#This Row],[Shortname]], Comp[], 20, FALSE)</f>
        <v>0</v>
      </c>
      <c r="Y292">
        <f>VLOOKUP(Misfit[[#This Row],[Shortname]], Comp[], 21, FALSE)</f>
        <v>0</v>
      </c>
      <c r="Z292">
        <f>VLOOKUP(Misfit[[#This Row],[Shortname]], Comp[], 22, FALSE)</f>
        <v>0</v>
      </c>
      <c r="AA292">
        <f>VLOOKUP(Misfit[[#This Row],[Shortname]], Comp[], 23, FALSE)</f>
        <v>0</v>
      </c>
      <c r="AB292">
        <f>VLOOKUP(Misfit[[#This Row],[Shortname]], Comp[], 24, FALSE)</f>
        <v>0</v>
      </c>
      <c r="AC292">
        <f>VLOOKUP(Misfit[[#This Row],[Shortname]], Comp[], 25, FALSE)</f>
        <v>0</v>
      </c>
      <c r="AD292">
        <f>VLOOKUP(Misfit[[#This Row],[Shortname]], Comp[], 26, FALSE)</f>
        <v>0</v>
      </c>
      <c r="AE292">
        <f>VLOOKUP(Misfit[[#This Row],[Shortname]], Comp[], 27, FALSE)</f>
        <v>0</v>
      </c>
      <c r="AF292">
        <f>VLOOKUP(Misfit[[#This Row],[Shortname]], Comp[], 28, FALSE)</f>
        <v>0</v>
      </c>
      <c r="AG292">
        <f>VLOOKUP(Misfit[[#This Row],[Shortname]], Comp[], 29, FALSE)</f>
        <v>0</v>
      </c>
      <c r="AH292">
        <f>VLOOKUP(Misfit[[#This Row],[Shortname]], Comp[], 30, FALSE)</f>
        <v>0</v>
      </c>
      <c r="AI292">
        <f>VLOOKUP(Misfit[[#This Row],[Shortname]], Comp[], 31, FALSE)</f>
        <v>0</v>
      </c>
    </row>
    <row r="293" spans="1:35" x14ac:dyDescent="0.3">
      <c r="A293" s="12" t="s">
        <v>5979</v>
      </c>
      <c r="B293" s="12" t="s">
        <v>5980</v>
      </c>
      <c r="C293" s="12" t="s">
        <v>5961</v>
      </c>
      <c r="D293" s="12">
        <v>900</v>
      </c>
      <c r="E293" s="12">
        <v>25</v>
      </c>
      <c r="F293" s="12">
        <v>0.35794999999999999</v>
      </c>
      <c r="G293" s="12">
        <v>0.35655000000000003</v>
      </c>
      <c r="H293" s="41">
        <f t="shared" si="8"/>
        <v>3.9188243526940706E-3</v>
      </c>
      <c r="I293" s="12"/>
      <c r="J293">
        <f>VLOOKUP(Misfit[[#This Row],[Shortname]], Comp[], 6, FALSE)</f>
        <v>965</v>
      </c>
      <c r="K293">
        <f>VLOOKUP(Misfit[[#This Row],[Shortname]], Comp[], 7, FALSE)</f>
        <v>37</v>
      </c>
      <c r="L293">
        <f>VLOOKUP(Misfit[[#This Row],[Shortname]], Comp[], 8, FALSE)</f>
        <v>34.799999999999997</v>
      </c>
      <c r="M293">
        <f>VLOOKUP(Misfit[[#This Row],[Shortname]], Comp[], 9, FALSE)</f>
        <v>4.7</v>
      </c>
      <c r="N293">
        <f>VLOOKUP(Misfit[[#This Row],[Shortname]], Comp[], 10, FALSE)</f>
        <v>15.3</v>
      </c>
      <c r="O293">
        <f>VLOOKUP(Misfit[[#This Row],[Shortname]], Comp[], 11, FALSE)</f>
        <v>3.1</v>
      </c>
      <c r="P293">
        <f>VLOOKUP(Misfit[[#This Row],[Shortname]], Comp[],12, FALSE)</f>
        <v>5.0999999999999996</v>
      </c>
      <c r="Q293">
        <f>VLOOKUP(Misfit[[#This Row],[Shortname]], Comp[], 13, FALSE)</f>
        <v>0</v>
      </c>
      <c r="R293">
        <f>VLOOKUP(Misfit[[#This Row],[Shortname]], Comp[], 14, FALSE)</f>
        <v>0</v>
      </c>
      <c r="S293">
        <f>VLOOKUP(Misfit[[#This Row],[Shortname]], Comp[], 15, FALSE)</f>
        <v>0</v>
      </c>
      <c r="T293">
        <f>VLOOKUP(Misfit[[#This Row],[Shortname]], Comp[], 16, FALSE)</f>
        <v>0</v>
      </c>
      <c r="U293">
        <f>VLOOKUP(Misfit[[#This Row],[Shortname]], Comp[], 17, FALSE)</f>
        <v>0</v>
      </c>
      <c r="V293">
        <f>VLOOKUP(Misfit[[#This Row],[Shortname]], Comp[], 18, FALSE)</f>
        <v>0</v>
      </c>
      <c r="W293">
        <f>VLOOKUP(Misfit[[#This Row],[Shortname]], Comp[], 19, FALSE)</f>
        <v>0</v>
      </c>
      <c r="X293">
        <f>VLOOKUP(Misfit[[#This Row],[Shortname]], Comp[], 20, FALSE)</f>
        <v>0</v>
      </c>
      <c r="Y293">
        <f>VLOOKUP(Misfit[[#This Row],[Shortname]], Comp[], 21, FALSE)</f>
        <v>0</v>
      </c>
      <c r="Z293">
        <f>VLOOKUP(Misfit[[#This Row],[Shortname]], Comp[], 22, FALSE)</f>
        <v>0</v>
      </c>
      <c r="AA293">
        <f>VLOOKUP(Misfit[[#This Row],[Shortname]], Comp[], 23, FALSE)</f>
        <v>0</v>
      </c>
      <c r="AB293">
        <f>VLOOKUP(Misfit[[#This Row],[Shortname]], Comp[], 24, FALSE)</f>
        <v>0</v>
      </c>
      <c r="AC293">
        <f>VLOOKUP(Misfit[[#This Row],[Shortname]], Comp[], 25, FALSE)</f>
        <v>0</v>
      </c>
      <c r="AD293">
        <f>VLOOKUP(Misfit[[#This Row],[Shortname]], Comp[], 26, FALSE)</f>
        <v>0</v>
      </c>
      <c r="AE293">
        <f>VLOOKUP(Misfit[[#This Row],[Shortname]], Comp[], 27, FALSE)</f>
        <v>0</v>
      </c>
      <c r="AF293">
        <f>VLOOKUP(Misfit[[#This Row],[Shortname]], Comp[], 28, FALSE)</f>
        <v>0</v>
      </c>
      <c r="AG293">
        <f>VLOOKUP(Misfit[[#This Row],[Shortname]], Comp[], 29, FALSE)</f>
        <v>0</v>
      </c>
      <c r="AH293">
        <f>VLOOKUP(Misfit[[#This Row],[Shortname]], Comp[], 30, FALSE)</f>
        <v>0</v>
      </c>
      <c r="AI293">
        <f>VLOOKUP(Misfit[[#This Row],[Shortname]], Comp[], 31, FALSE)</f>
        <v>0</v>
      </c>
    </row>
    <row r="294" spans="1:35" x14ac:dyDescent="0.3">
      <c r="A294" s="12" t="s">
        <v>5983</v>
      </c>
      <c r="B294" s="12" t="s">
        <v>5984</v>
      </c>
      <c r="C294" s="12" t="s">
        <v>5961</v>
      </c>
      <c r="D294" s="12">
        <v>900</v>
      </c>
      <c r="E294" s="12">
        <v>25</v>
      </c>
      <c r="F294" s="12">
        <v>0.35991000000000001</v>
      </c>
      <c r="G294" s="12">
        <v>0.35792999999999997</v>
      </c>
      <c r="H294" s="41">
        <f t="shared" si="8"/>
        <v>5.5165496489469439E-3</v>
      </c>
      <c r="I294" s="12"/>
      <c r="J294">
        <f>VLOOKUP(Misfit[[#This Row],[Shortname]], Comp[], 6, FALSE)</f>
        <v>966</v>
      </c>
      <c r="K294">
        <f>VLOOKUP(Misfit[[#This Row],[Shortname]], Comp[], 7, FALSE)</f>
        <v>34.200000000000003</v>
      </c>
      <c r="L294">
        <f>VLOOKUP(Misfit[[#This Row],[Shortname]], Comp[], 8, FALSE)</f>
        <v>36.4</v>
      </c>
      <c r="M294">
        <f>VLOOKUP(Misfit[[#This Row],[Shortname]], Comp[], 9, FALSE)</f>
        <v>4.7</v>
      </c>
      <c r="N294">
        <f>VLOOKUP(Misfit[[#This Row],[Shortname]], Comp[], 10, FALSE)</f>
        <v>15.2</v>
      </c>
      <c r="O294">
        <f>VLOOKUP(Misfit[[#This Row],[Shortname]], Comp[], 11, FALSE)</f>
        <v>1.2</v>
      </c>
      <c r="P294">
        <f>VLOOKUP(Misfit[[#This Row],[Shortname]], Comp[],12, FALSE)</f>
        <v>5.2</v>
      </c>
      <c r="Q294">
        <f>VLOOKUP(Misfit[[#This Row],[Shortname]], Comp[], 13, FALSE)</f>
        <v>1</v>
      </c>
      <c r="R294">
        <f>VLOOKUP(Misfit[[#This Row],[Shortname]], Comp[], 14, FALSE)</f>
        <v>0</v>
      </c>
      <c r="S294">
        <f>VLOOKUP(Misfit[[#This Row],[Shortname]], Comp[], 15, FALSE)</f>
        <v>0</v>
      </c>
      <c r="T294">
        <f>VLOOKUP(Misfit[[#This Row],[Shortname]], Comp[], 16, FALSE)</f>
        <v>2.1</v>
      </c>
      <c r="U294">
        <f>VLOOKUP(Misfit[[#This Row],[Shortname]], Comp[], 17, FALSE)</f>
        <v>0</v>
      </c>
      <c r="V294">
        <f>VLOOKUP(Misfit[[#This Row],[Shortname]], Comp[], 18, FALSE)</f>
        <v>0</v>
      </c>
      <c r="W294">
        <f>VLOOKUP(Misfit[[#This Row],[Shortname]], Comp[], 19, FALSE)</f>
        <v>0</v>
      </c>
      <c r="X294">
        <f>VLOOKUP(Misfit[[#This Row],[Shortname]], Comp[], 20, FALSE)</f>
        <v>0</v>
      </c>
      <c r="Y294">
        <f>VLOOKUP(Misfit[[#This Row],[Shortname]], Comp[], 21, FALSE)</f>
        <v>0</v>
      </c>
      <c r="Z294">
        <f>VLOOKUP(Misfit[[#This Row],[Shortname]], Comp[], 22, FALSE)</f>
        <v>0</v>
      </c>
      <c r="AA294">
        <f>VLOOKUP(Misfit[[#This Row],[Shortname]], Comp[], 23, FALSE)</f>
        <v>0</v>
      </c>
      <c r="AB294">
        <f>VLOOKUP(Misfit[[#This Row],[Shortname]], Comp[], 24, FALSE)</f>
        <v>0</v>
      </c>
      <c r="AC294">
        <f>VLOOKUP(Misfit[[#This Row],[Shortname]], Comp[], 25, FALSE)</f>
        <v>0</v>
      </c>
      <c r="AD294">
        <f>VLOOKUP(Misfit[[#This Row],[Shortname]], Comp[], 26, FALSE)</f>
        <v>0</v>
      </c>
      <c r="AE294">
        <f>VLOOKUP(Misfit[[#This Row],[Shortname]], Comp[], 27, FALSE)</f>
        <v>0</v>
      </c>
      <c r="AF294">
        <f>VLOOKUP(Misfit[[#This Row],[Shortname]], Comp[], 28, FALSE)</f>
        <v>0</v>
      </c>
      <c r="AG294">
        <f>VLOOKUP(Misfit[[#This Row],[Shortname]], Comp[], 29, FALSE)</f>
        <v>0</v>
      </c>
      <c r="AH294">
        <f>VLOOKUP(Misfit[[#This Row],[Shortname]], Comp[], 30, FALSE)</f>
        <v>0</v>
      </c>
      <c r="AI294">
        <f>VLOOKUP(Misfit[[#This Row],[Shortname]], Comp[], 31, FALSE)</f>
        <v>0</v>
      </c>
    </row>
    <row r="295" spans="1:35" x14ac:dyDescent="0.3">
      <c r="A295" s="12" t="s">
        <v>5988</v>
      </c>
      <c r="B295" s="12" t="s">
        <v>5989</v>
      </c>
      <c r="C295" s="12" t="s">
        <v>5961</v>
      </c>
      <c r="D295" s="12">
        <v>900</v>
      </c>
      <c r="E295" s="12">
        <v>25</v>
      </c>
      <c r="F295" s="12">
        <v>0.36016999999999999</v>
      </c>
      <c r="G295" s="12">
        <v>0.35719000000000001</v>
      </c>
      <c r="H295" s="41">
        <f t="shared" si="8"/>
        <v>8.3082413293185647E-3</v>
      </c>
      <c r="I295" s="12"/>
      <c r="J295">
        <f>VLOOKUP(Misfit[[#This Row],[Shortname]], Comp[], 6, FALSE)</f>
        <v>967</v>
      </c>
      <c r="K295">
        <f>VLOOKUP(Misfit[[#This Row],[Shortname]], Comp[], 7, FALSE)</f>
        <v>35.100000000000009</v>
      </c>
      <c r="L295">
        <f>VLOOKUP(Misfit[[#This Row],[Shortname]], Comp[], 8, FALSE)</f>
        <v>34.4</v>
      </c>
      <c r="M295">
        <f>VLOOKUP(Misfit[[#This Row],[Shortname]], Comp[], 9, FALSE)</f>
        <v>4.5</v>
      </c>
      <c r="N295">
        <f>VLOOKUP(Misfit[[#This Row],[Shortname]], Comp[], 10, FALSE)</f>
        <v>15.7</v>
      </c>
      <c r="O295">
        <f>VLOOKUP(Misfit[[#This Row],[Shortname]], Comp[], 11, FALSE)</f>
        <v>1.1000000000000001</v>
      </c>
      <c r="P295">
        <f>VLOOKUP(Misfit[[#This Row],[Shortname]], Comp[],12, FALSE)</f>
        <v>7.4</v>
      </c>
      <c r="Q295">
        <f>VLOOKUP(Misfit[[#This Row],[Shortname]], Comp[], 13, FALSE)</f>
        <v>0</v>
      </c>
      <c r="R295">
        <f>VLOOKUP(Misfit[[#This Row],[Shortname]], Comp[], 14, FALSE)</f>
        <v>0</v>
      </c>
      <c r="S295">
        <f>VLOOKUP(Misfit[[#This Row],[Shortname]], Comp[], 15, FALSE)</f>
        <v>0</v>
      </c>
      <c r="T295">
        <f>VLOOKUP(Misfit[[#This Row],[Shortname]], Comp[], 16, FALSE)</f>
        <v>1.8</v>
      </c>
      <c r="U295">
        <f>VLOOKUP(Misfit[[#This Row],[Shortname]], Comp[], 17, FALSE)</f>
        <v>0</v>
      </c>
      <c r="V295">
        <f>VLOOKUP(Misfit[[#This Row],[Shortname]], Comp[], 18, FALSE)</f>
        <v>0</v>
      </c>
      <c r="W295">
        <f>VLOOKUP(Misfit[[#This Row],[Shortname]], Comp[], 19, FALSE)</f>
        <v>0</v>
      </c>
      <c r="X295">
        <f>VLOOKUP(Misfit[[#This Row],[Shortname]], Comp[], 20, FALSE)</f>
        <v>0</v>
      </c>
      <c r="Y295">
        <f>VLOOKUP(Misfit[[#This Row],[Shortname]], Comp[], 21, FALSE)</f>
        <v>0</v>
      </c>
      <c r="Z295">
        <f>VLOOKUP(Misfit[[#This Row],[Shortname]], Comp[], 22, FALSE)</f>
        <v>0</v>
      </c>
      <c r="AA295">
        <f>VLOOKUP(Misfit[[#This Row],[Shortname]], Comp[], 23, FALSE)</f>
        <v>0</v>
      </c>
      <c r="AB295">
        <f>VLOOKUP(Misfit[[#This Row],[Shortname]], Comp[], 24, FALSE)</f>
        <v>0</v>
      </c>
      <c r="AC295">
        <f>VLOOKUP(Misfit[[#This Row],[Shortname]], Comp[], 25, FALSE)</f>
        <v>0</v>
      </c>
      <c r="AD295">
        <f>VLOOKUP(Misfit[[#This Row],[Shortname]], Comp[], 26, FALSE)</f>
        <v>0</v>
      </c>
      <c r="AE295">
        <f>VLOOKUP(Misfit[[#This Row],[Shortname]], Comp[], 27, FALSE)</f>
        <v>0</v>
      </c>
      <c r="AF295">
        <f>VLOOKUP(Misfit[[#This Row],[Shortname]], Comp[], 28, FALSE)</f>
        <v>0</v>
      </c>
      <c r="AG295">
        <f>VLOOKUP(Misfit[[#This Row],[Shortname]], Comp[], 29, FALSE)</f>
        <v>0</v>
      </c>
      <c r="AH295">
        <f>VLOOKUP(Misfit[[#This Row],[Shortname]], Comp[], 30, FALSE)</f>
        <v>0</v>
      </c>
      <c r="AI295">
        <f>VLOOKUP(Misfit[[#This Row],[Shortname]], Comp[], 31, FALSE)</f>
        <v>0</v>
      </c>
    </row>
    <row r="296" spans="1:35" x14ac:dyDescent="0.3">
      <c r="A296" s="12" t="s">
        <v>6033</v>
      </c>
      <c r="B296" s="12" t="s">
        <v>6034</v>
      </c>
      <c r="C296" s="12" t="s">
        <v>6035</v>
      </c>
      <c r="D296" s="12">
        <v>900</v>
      </c>
      <c r="E296" s="12">
        <v>25</v>
      </c>
      <c r="F296" s="12">
        <v>0.36059999999999998</v>
      </c>
      <c r="G296" s="12">
        <v>0.35949999999999999</v>
      </c>
      <c r="H296" s="41">
        <v>3.3E-3</v>
      </c>
      <c r="I296" s="12" t="s">
        <v>6644</v>
      </c>
      <c r="J296">
        <f>VLOOKUP(Misfit[[#This Row],[Shortname]], Comp[], 6, FALSE)</f>
        <v>978</v>
      </c>
      <c r="K296">
        <f>VLOOKUP(Misfit[[#This Row],[Shortname]], Comp[], 7, FALSE)</f>
        <v>82</v>
      </c>
      <c r="L296">
        <f>VLOOKUP(Misfit[[#This Row],[Shortname]], Comp[], 8, FALSE)</f>
        <v>0</v>
      </c>
      <c r="M296">
        <f>VLOOKUP(Misfit[[#This Row],[Shortname]], Comp[], 9, FALSE)</f>
        <v>0</v>
      </c>
      <c r="N296">
        <f>VLOOKUP(Misfit[[#This Row],[Shortname]], Comp[], 10, FALSE)</f>
        <v>0</v>
      </c>
      <c r="O296">
        <f>VLOOKUP(Misfit[[#This Row],[Shortname]], Comp[], 11, FALSE)</f>
        <v>2</v>
      </c>
      <c r="P296">
        <f>VLOOKUP(Misfit[[#This Row],[Shortname]], Comp[],12, FALSE)</f>
        <v>4</v>
      </c>
      <c r="Q296">
        <f>VLOOKUP(Misfit[[#This Row],[Shortname]], Comp[], 13, FALSE)</f>
        <v>2</v>
      </c>
      <c r="R296">
        <f>VLOOKUP(Misfit[[#This Row],[Shortname]], Comp[], 14, FALSE)</f>
        <v>0</v>
      </c>
      <c r="S296">
        <f>VLOOKUP(Misfit[[#This Row],[Shortname]], Comp[], 15, FALSE)</f>
        <v>10</v>
      </c>
      <c r="T296">
        <f>VLOOKUP(Misfit[[#This Row],[Shortname]], Comp[], 16, FALSE)</f>
        <v>0</v>
      </c>
      <c r="U296">
        <f>VLOOKUP(Misfit[[#This Row],[Shortname]], Comp[], 17, FALSE)</f>
        <v>0</v>
      </c>
      <c r="V296">
        <f>VLOOKUP(Misfit[[#This Row],[Shortname]], Comp[], 18, FALSE)</f>
        <v>0</v>
      </c>
      <c r="W296">
        <f>VLOOKUP(Misfit[[#This Row],[Shortname]], Comp[], 19, FALSE)</f>
        <v>0</v>
      </c>
      <c r="X296">
        <f>VLOOKUP(Misfit[[#This Row],[Shortname]], Comp[], 20, FALSE)</f>
        <v>0</v>
      </c>
      <c r="Y296">
        <f>VLOOKUP(Misfit[[#This Row],[Shortname]], Comp[], 21, FALSE)</f>
        <v>0</v>
      </c>
      <c r="Z296">
        <f>VLOOKUP(Misfit[[#This Row],[Shortname]], Comp[], 22, FALSE)</f>
        <v>0</v>
      </c>
      <c r="AA296">
        <f>VLOOKUP(Misfit[[#This Row],[Shortname]], Comp[], 23, FALSE)</f>
        <v>0</v>
      </c>
      <c r="AB296">
        <f>VLOOKUP(Misfit[[#This Row],[Shortname]], Comp[], 24, FALSE)</f>
        <v>0</v>
      </c>
      <c r="AC296">
        <f>VLOOKUP(Misfit[[#This Row],[Shortname]], Comp[], 25, FALSE)</f>
        <v>0</v>
      </c>
      <c r="AD296">
        <f>VLOOKUP(Misfit[[#This Row],[Shortname]], Comp[], 26, FALSE)</f>
        <v>0</v>
      </c>
      <c r="AE296">
        <f>VLOOKUP(Misfit[[#This Row],[Shortname]], Comp[], 27, FALSE)</f>
        <v>0</v>
      </c>
      <c r="AF296">
        <f>VLOOKUP(Misfit[[#This Row],[Shortname]], Comp[], 28, FALSE)</f>
        <v>0</v>
      </c>
      <c r="AG296">
        <f>VLOOKUP(Misfit[[#This Row],[Shortname]], Comp[], 29, FALSE)</f>
        <v>0</v>
      </c>
      <c r="AH296">
        <f>VLOOKUP(Misfit[[#This Row],[Shortname]], Comp[], 30, FALSE)</f>
        <v>0</v>
      </c>
      <c r="AI296">
        <f>VLOOKUP(Misfit[[#This Row],[Shortname]], Comp[], 31, FALSE)</f>
        <v>0</v>
      </c>
    </row>
    <row r="297" spans="1:35" x14ac:dyDescent="0.3">
      <c r="A297" s="12" t="s">
        <v>6086</v>
      </c>
      <c r="B297" s="12" t="s">
        <v>2120</v>
      </c>
      <c r="C297" s="12" t="s">
        <v>6087</v>
      </c>
      <c r="D297" s="12">
        <v>900</v>
      </c>
      <c r="E297" s="12">
        <v>25</v>
      </c>
      <c r="F297" s="12">
        <v>0.3548</v>
      </c>
      <c r="G297" s="12">
        <v>0.3533</v>
      </c>
      <c r="H297" s="41">
        <f t="shared" ref="H297:H331" si="9">2*(F297-G297)/(F297+G297)</f>
        <v>4.2366897330885509E-3</v>
      </c>
      <c r="I297" s="12"/>
      <c r="J297">
        <f>VLOOKUP(Misfit[[#This Row],[Shortname]], Comp[], 6, FALSE)</f>
        <v>989</v>
      </c>
      <c r="K297">
        <f>VLOOKUP(Misfit[[#This Row],[Shortname]], Comp[], 7, FALSE)</f>
        <v>53</v>
      </c>
      <c r="L297">
        <f>VLOOKUP(Misfit[[#This Row],[Shortname]], Comp[], 8, FALSE)</f>
        <v>30</v>
      </c>
      <c r="M297">
        <f>VLOOKUP(Misfit[[#This Row],[Shortname]], Comp[], 9, FALSE)</f>
        <v>10</v>
      </c>
      <c r="N297">
        <f>VLOOKUP(Misfit[[#This Row],[Shortname]], Comp[], 10, FALSE)</f>
        <v>0</v>
      </c>
      <c r="O297">
        <f>VLOOKUP(Misfit[[#This Row],[Shortname]], Comp[], 11, FALSE)</f>
        <v>0</v>
      </c>
      <c r="P297">
        <f>VLOOKUP(Misfit[[#This Row],[Shortname]], Comp[],12, FALSE)</f>
        <v>0</v>
      </c>
      <c r="Q297">
        <f>VLOOKUP(Misfit[[#This Row],[Shortname]], Comp[], 13, FALSE)</f>
        <v>2</v>
      </c>
      <c r="R297">
        <f>VLOOKUP(Misfit[[#This Row],[Shortname]], Comp[], 14, FALSE)</f>
        <v>0</v>
      </c>
      <c r="S297">
        <f>VLOOKUP(Misfit[[#This Row],[Shortname]], Comp[], 15, FALSE)</f>
        <v>5</v>
      </c>
      <c r="T297">
        <f>VLOOKUP(Misfit[[#This Row],[Shortname]], Comp[], 16, FALSE)</f>
        <v>0</v>
      </c>
      <c r="U297">
        <f>VLOOKUP(Misfit[[#This Row],[Shortname]], Comp[], 17, FALSE)</f>
        <v>0</v>
      </c>
      <c r="V297">
        <f>VLOOKUP(Misfit[[#This Row],[Shortname]], Comp[], 18, FALSE)</f>
        <v>0</v>
      </c>
      <c r="W297">
        <f>VLOOKUP(Misfit[[#This Row],[Shortname]], Comp[], 19, FALSE)</f>
        <v>0</v>
      </c>
      <c r="X297">
        <f>VLOOKUP(Misfit[[#This Row],[Shortname]], Comp[], 20, FALSE)</f>
        <v>0</v>
      </c>
      <c r="Y297">
        <f>VLOOKUP(Misfit[[#This Row],[Shortname]], Comp[], 21, FALSE)</f>
        <v>0</v>
      </c>
      <c r="Z297">
        <f>VLOOKUP(Misfit[[#This Row],[Shortname]], Comp[], 22, FALSE)</f>
        <v>0</v>
      </c>
      <c r="AA297">
        <f>VLOOKUP(Misfit[[#This Row],[Shortname]], Comp[], 23, FALSE)</f>
        <v>0</v>
      </c>
      <c r="AB297">
        <f>VLOOKUP(Misfit[[#This Row],[Shortname]], Comp[], 24, FALSE)</f>
        <v>0</v>
      </c>
      <c r="AC297">
        <f>VLOOKUP(Misfit[[#This Row],[Shortname]], Comp[], 25, FALSE)</f>
        <v>0</v>
      </c>
      <c r="AD297">
        <f>VLOOKUP(Misfit[[#This Row],[Shortname]], Comp[], 26, FALSE)</f>
        <v>0</v>
      </c>
      <c r="AE297">
        <f>VLOOKUP(Misfit[[#This Row],[Shortname]], Comp[], 27, FALSE)</f>
        <v>0</v>
      </c>
      <c r="AF297">
        <f>VLOOKUP(Misfit[[#This Row],[Shortname]], Comp[], 28, FALSE)</f>
        <v>0</v>
      </c>
      <c r="AG297">
        <f>VLOOKUP(Misfit[[#This Row],[Shortname]], Comp[], 29, FALSE)</f>
        <v>0</v>
      </c>
      <c r="AH297">
        <f>VLOOKUP(Misfit[[#This Row],[Shortname]], Comp[], 30, FALSE)</f>
        <v>0</v>
      </c>
      <c r="AI297">
        <f>VLOOKUP(Misfit[[#This Row],[Shortname]], Comp[], 31, FALSE)</f>
        <v>0</v>
      </c>
    </row>
    <row r="298" spans="1:35" x14ac:dyDescent="0.3">
      <c r="A298" s="12" t="s">
        <v>6089</v>
      </c>
      <c r="B298" s="12" t="s">
        <v>3899</v>
      </c>
      <c r="C298" s="12" t="s">
        <v>6087</v>
      </c>
      <c r="D298" s="12">
        <v>900</v>
      </c>
      <c r="E298" s="12">
        <v>25</v>
      </c>
      <c r="F298" s="12">
        <v>0.35630000000000001</v>
      </c>
      <c r="G298" s="12">
        <v>0.35439999999999999</v>
      </c>
      <c r="H298" s="41">
        <f t="shared" si="9"/>
        <v>5.3468411425355647E-3</v>
      </c>
      <c r="I298" s="12"/>
      <c r="J298">
        <f>VLOOKUP(Misfit[[#This Row],[Shortname]], Comp[], 6, FALSE)</f>
        <v>990</v>
      </c>
      <c r="K298">
        <f>VLOOKUP(Misfit[[#This Row],[Shortname]], Comp[], 7, FALSE)</f>
        <v>51</v>
      </c>
      <c r="L298">
        <f>VLOOKUP(Misfit[[#This Row],[Shortname]], Comp[], 8, FALSE)</f>
        <v>30</v>
      </c>
      <c r="M298">
        <f>VLOOKUP(Misfit[[#This Row],[Shortname]], Comp[], 9, FALSE)</f>
        <v>10</v>
      </c>
      <c r="N298">
        <f>VLOOKUP(Misfit[[#This Row],[Shortname]], Comp[], 10, FALSE)</f>
        <v>0</v>
      </c>
      <c r="O298">
        <f>VLOOKUP(Misfit[[#This Row],[Shortname]], Comp[], 11, FALSE)</f>
        <v>0</v>
      </c>
      <c r="P298">
        <f>VLOOKUP(Misfit[[#This Row],[Shortname]], Comp[],12, FALSE)</f>
        <v>2</v>
      </c>
      <c r="Q298">
        <f>VLOOKUP(Misfit[[#This Row],[Shortname]], Comp[], 13, FALSE)</f>
        <v>2</v>
      </c>
      <c r="R298">
        <f>VLOOKUP(Misfit[[#This Row],[Shortname]], Comp[], 14, FALSE)</f>
        <v>0</v>
      </c>
      <c r="S298">
        <f>VLOOKUP(Misfit[[#This Row],[Shortname]], Comp[], 15, FALSE)</f>
        <v>5</v>
      </c>
      <c r="T298">
        <f>VLOOKUP(Misfit[[#This Row],[Shortname]], Comp[], 16, FALSE)</f>
        <v>0</v>
      </c>
      <c r="U298">
        <f>VLOOKUP(Misfit[[#This Row],[Shortname]], Comp[], 17, FALSE)</f>
        <v>0</v>
      </c>
      <c r="V298">
        <f>VLOOKUP(Misfit[[#This Row],[Shortname]], Comp[], 18, FALSE)</f>
        <v>0</v>
      </c>
      <c r="W298">
        <f>VLOOKUP(Misfit[[#This Row],[Shortname]], Comp[], 19, FALSE)</f>
        <v>0</v>
      </c>
      <c r="X298">
        <f>VLOOKUP(Misfit[[#This Row],[Shortname]], Comp[], 20, FALSE)</f>
        <v>0</v>
      </c>
      <c r="Y298">
        <f>VLOOKUP(Misfit[[#This Row],[Shortname]], Comp[], 21, FALSE)</f>
        <v>0</v>
      </c>
      <c r="Z298">
        <f>VLOOKUP(Misfit[[#This Row],[Shortname]], Comp[], 22, FALSE)</f>
        <v>0</v>
      </c>
      <c r="AA298">
        <f>VLOOKUP(Misfit[[#This Row],[Shortname]], Comp[], 23, FALSE)</f>
        <v>0</v>
      </c>
      <c r="AB298">
        <f>VLOOKUP(Misfit[[#This Row],[Shortname]], Comp[], 24, FALSE)</f>
        <v>0</v>
      </c>
      <c r="AC298">
        <f>VLOOKUP(Misfit[[#This Row],[Shortname]], Comp[], 25, FALSE)</f>
        <v>0</v>
      </c>
      <c r="AD298">
        <f>VLOOKUP(Misfit[[#This Row],[Shortname]], Comp[], 26, FALSE)</f>
        <v>0</v>
      </c>
      <c r="AE298">
        <f>VLOOKUP(Misfit[[#This Row],[Shortname]], Comp[], 27, FALSE)</f>
        <v>0</v>
      </c>
      <c r="AF298">
        <f>VLOOKUP(Misfit[[#This Row],[Shortname]], Comp[], 28, FALSE)</f>
        <v>0</v>
      </c>
      <c r="AG298">
        <f>VLOOKUP(Misfit[[#This Row],[Shortname]], Comp[], 29, FALSE)</f>
        <v>0</v>
      </c>
      <c r="AH298">
        <f>VLOOKUP(Misfit[[#This Row],[Shortname]], Comp[], 30, FALSE)</f>
        <v>0</v>
      </c>
      <c r="AI298">
        <f>VLOOKUP(Misfit[[#This Row],[Shortname]], Comp[], 31, FALSE)</f>
        <v>0</v>
      </c>
    </row>
    <row r="299" spans="1:35" x14ac:dyDescent="0.3">
      <c r="A299" s="12" t="s">
        <v>6091</v>
      </c>
      <c r="B299" s="12" t="s">
        <v>3927</v>
      </c>
      <c r="C299" s="12" t="s">
        <v>6087</v>
      </c>
      <c r="D299" s="12">
        <v>900</v>
      </c>
      <c r="E299" s="12">
        <v>25</v>
      </c>
      <c r="F299" s="12">
        <v>0.35659999999999997</v>
      </c>
      <c r="G299" s="12">
        <v>0.35449999999999998</v>
      </c>
      <c r="H299" s="41">
        <f t="shared" si="9"/>
        <v>5.9063422865982028E-3</v>
      </c>
      <c r="I299" s="12"/>
      <c r="J299">
        <f>VLOOKUP(Misfit[[#This Row],[Shortname]], Comp[], 6, FALSE)</f>
        <v>991</v>
      </c>
      <c r="K299">
        <f>VLOOKUP(Misfit[[#This Row],[Shortname]], Comp[], 7, FALSE)</f>
        <v>51</v>
      </c>
      <c r="L299">
        <f>VLOOKUP(Misfit[[#This Row],[Shortname]], Comp[], 8, FALSE)</f>
        <v>30</v>
      </c>
      <c r="M299">
        <f>VLOOKUP(Misfit[[#This Row],[Shortname]], Comp[], 9, FALSE)</f>
        <v>10</v>
      </c>
      <c r="N299">
        <f>VLOOKUP(Misfit[[#This Row],[Shortname]], Comp[], 10, FALSE)</f>
        <v>0</v>
      </c>
      <c r="O299">
        <f>VLOOKUP(Misfit[[#This Row],[Shortname]], Comp[], 11, FALSE)</f>
        <v>0</v>
      </c>
      <c r="P299">
        <f>VLOOKUP(Misfit[[#This Row],[Shortname]], Comp[],12, FALSE)</f>
        <v>0</v>
      </c>
      <c r="Q299">
        <f>VLOOKUP(Misfit[[#This Row],[Shortname]], Comp[], 13, FALSE)</f>
        <v>2</v>
      </c>
      <c r="R299">
        <f>VLOOKUP(Misfit[[#This Row],[Shortname]], Comp[], 14, FALSE)</f>
        <v>2</v>
      </c>
      <c r="S299">
        <f>VLOOKUP(Misfit[[#This Row],[Shortname]], Comp[], 15, FALSE)</f>
        <v>5</v>
      </c>
      <c r="T299">
        <f>VLOOKUP(Misfit[[#This Row],[Shortname]], Comp[], 16, FALSE)</f>
        <v>0</v>
      </c>
      <c r="U299">
        <f>VLOOKUP(Misfit[[#This Row],[Shortname]], Comp[], 17, FALSE)</f>
        <v>0</v>
      </c>
      <c r="V299">
        <f>VLOOKUP(Misfit[[#This Row],[Shortname]], Comp[], 18, FALSE)</f>
        <v>0</v>
      </c>
      <c r="W299">
        <f>VLOOKUP(Misfit[[#This Row],[Shortname]], Comp[], 19, FALSE)</f>
        <v>0</v>
      </c>
      <c r="X299">
        <f>VLOOKUP(Misfit[[#This Row],[Shortname]], Comp[], 20, FALSE)</f>
        <v>0</v>
      </c>
      <c r="Y299">
        <f>VLOOKUP(Misfit[[#This Row],[Shortname]], Comp[], 21, FALSE)</f>
        <v>0</v>
      </c>
      <c r="Z299">
        <f>VLOOKUP(Misfit[[#This Row],[Shortname]], Comp[], 22, FALSE)</f>
        <v>0</v>
      </c>
      <c r="AA299">
        <f>VLOOKUP(Misfit[[#This Row],[Shortname]], Comp[], 23, FALSE)</f>
        <v>0</v>
      </c>
      <c r="AB299">
        <f>VLOOKUP(Misfit[[#This Row],[Shortname]], Comp[], 24, FALSE)</f>
        <v>0</v>
      </c>
      <c r="AC299">
        <f>VLOOKUP(Misfit[[#This Row],[Shortname]], Comp[], 25, FALSE)</f>
        <v>0</v>
      </c>
      <c r="AD299">
        <f>VLOOKUP(Misfit[[#This Row],[Shortname]], Comp[], 26, FALSE)</f>
        <v>0</v>
      </c>
      <c r="AE299">
        <f>VLOOKUP(Misfit[[#This Row],[Shortname]], Comp[], 27, FALSE)</f>
        <v>0</v>
      </c>
      <c r="AF299">
        <f>VLOOKUP(Misfit[[#This Row],[Shortname]], Comp[], 28, FALSE)</f>
        <v>0</v>
      </c>
      <c r="AG299">
        <f>VLOOKUP(Misfit[[#This Row],[Shortname]], Comp[], 29, FALSE)</f>
        <v>0</v>
      </c>
      <c r="AH299">
        <f>VLOOKUP(Misfit[[#This Row],[Shortname]], Comp[], 30, FALSE)</f>
        <v>0</v>
      </c>
      <c r="AI299">
        <f>VLOOKUP(Misfit[[#This Row],[Shortname]], Comp[], 31, FALSE)</f>
        <v>0</v>
      </c>
    </row>
    <row r="300" spans="1:35" x14ac:dyDescent="0.3">
      <c r="A300" s="12" t="s">
        <v>6093</v>
      </c>
      <c r="B300" s="12" t="s">
        <v>1484</v>
      </c>
      <c r="C300" s="12" t="s">
        <v>6087</v>
      </c>
      <c r="D300" s="12">
        <v>900</v>
      </c>
      <c r="E300" s="12">
        <v>25</v>
      </c>
      <c r="F300" s="12">
        <v>0.35580000000000001</v>
      </c>
      <c r="G300" s="12">
        <v>0.3543</v>
      </c>
      <c r="H300" s="41">
        <f t="shared" si="9"/>
        <v>4.224757076468107E-3</v>
      </c>
      <c r="I300" s="12"/>
      <c r="J300">
        <f>VLOOKUP(Misfit[[#This Row],[Shortname]], Comp[], 6, FALSE)</f>
        <v>992</v>
      </c>
      <c r="K300">
        <f>VLOOKUP(Misfit[[#This Row],[Shortname]], Comp[], 7, FALSE)</f>
        <v>51</v>
      </c>
      <c r="L300">
        <f>VLOOKUP(Misfit[[#This Row],[Shortname]], Comp[], 8, FALSE)</f>
        <v>30</v>
      </c>
      <c r="M300">
        <f>VLOOKUP(Misfit[[#This Row],[Shortname]], Comp[], 9, FALSE)</f>
        <v>10</v>
      </c>
      <c r="N300">
        <f>VLOOKUP(Misfit[[#This Row],[Shortname]], Comp[], 10, FALSE)</f>
        <v>0</v>
      </c>
      <c r="O300">
        <f>VLOOKUP(Misfit[[#This Row],[Shortname]], Comp[], 11, FALSE)</f>
        <v>0</v>
      </c>
      <c r="P300">
        <f>VLOOKUP(Misfit[[#This Row],[Shortname]], Comp[],12, FALSE)</f>
        <v>0</v>
      </c>
      <c r="Q300">
        <f>VLOOKUP(Misfit[[#This Row],[Shortname]], Comp[], 13, FALSE)</f>
        <v>2</v>
      </c>
      <c r="R300">
        <f>VLOOKUP(Misfit[[#This Row],[Shortname]], Comp[], 14, FALSE)</f>
        <v>0</v>
      </c>
      <c r="S300">
        <f>VLOOKUP(Misfit[[#This Row],[Shortname]], Comp[], 15, FALSE)</f>
        <v>5</v>
      </c>
      <c r="T300">
        <f>VLOOKUP(Misfit[[#This Row],[Shortname]], Comp[], 16, FALSE)</f>
        <v>2</v>
      </c>
      <c r="U300">
        <f>VLOOKUP(Misfit[[#This Row],[Shortname]], Comp[], 17, FALSE)</f>
        <v>0</v>
      </c>
      <c r="V300">
        <f>VLOOKUP(Misfit[[#This Row],[Shortname]], Comp[], 18, FALSE)</f>
        <v>0</v>
      </c>
      <c r="W300">
        <f>VLOOKUP(Misfit[[#This Row],[Shortname]], Comp[], 19, FALSE)</f>
        <v>0</v>
      </c>
      <c r="X300">
        <f>VLOOKUP(Misfit[[#This Row],[Shortname]], Comp[], 20, FALSE)</f>
        <v>0</v>
      </c>
      <c r="Y300">
        <f>VLOOKUP(Misfit[[#This Row],[Shortname]], Comp[], 21, FALSE)</f>
        <v>0</v>
      </c>
      <c r="Z300">
        <f>VLOOKUP(Misfit[[#This Row],[Shortname]], Comp[], 22, FALSE)</f>
        <v>0</v>
      </c>
      <c r="AA300">
        <f>VLOOKUP(Misfit[[#This Row],[Shortname]], Comp[], 23, FALSE)</f>
        <v>0</v>
      </c>
      <c r="AB300">
        <f>VLOOKUP(Misfit[[#This Row],[Shortname]], Comp[], 24, FALSE)</f>
        <v>0</v>
      </c>
      <c r="AC300">
        <f>VLOOKUP(Misfit[[#This Row],[Shortname]], Comp[], 25, FALSE)</f>
        <v>0</v>
      </c>
      <c r="AD300">
        <f>VLOOKUP(Misfit[[#This Row],[Shortname]], Comp[], 26, FALSE)</f>
        <v>0</v>
      </c>
      <c r="AE300">
        <f>VLOOKUP(Misfit[[#This Row],[Shortname]], Comp[], 27, FALSE)</f>
        <v>0</v>
      </c>
      <c r="AF300">
        <f>VLOOKUP(Misfit[[#This Row],[Shortname]], Comp[], 28, FALSE)</f>
        <v>0</v>
      </c>
      <c r="AG300">
        <f>VLOOKUP(Misfit[[#This Row],[Shortname]], Comp[], 29, FALSE)</f>
        <v>0</v>
      </c>
      <c r="AH300">
        <f>VLOOKUP(Misfit[[#This Row],[Shortname]], Comp[], 30, FALSE)</f>
        <v>0</v>
      </c>
      <c r="AI300">
        <f>VLOOKUP(Misfit[[#This Row],[Shortname]], Comp[], 31, FALSE)</f>
        <v>0</v>
      </c>
    </row>
    <row r="301" spans="1:35" x14ac:dyDescent="0.3">
      <c r="A301" s="12" t="s">
        <v>6095</v>
      </c>
      <c r="B301" s="12" t="s">
        <v>5803</v>
      </c>
      <c r="C301" s="12" t="s">
        <v>6087</v>
      </c>
      <c r="D301" s="12">
        <v>900</v>
      </c>
      <c r="E301" s="12">
        <v>25</v>
      </c>
      <c r="F301" s="12">
        <v>0.35560000000000003</v>
      </c>
      <c r="G301" s="12">
        <v>0.35420000000000001</v>
      </c>
      <c r="H301" s="41">
        <f t="shared" si="9"/>
        <v>3.9447731755424412E-3</v>
      </c>
      <c r="I301" s="12"/>
      <c r="J301">
        <f>VLOOKUP(Misfit[[#This Row],[Shortname]], Comp[], 6, FALSE)</f>
        <v>993</v>
      </c>
      <c r="K301">
        <f>VLOOKUP(Misfit[[#This Row],[Shortname]], Comp[], 7, FALSE)</f>
        <v>51</v>
      </c>
      <c r="L301">
        <f>VLOOKUP(Misfit[[#This Row],[Shortname]], Comp[], 8, FALSE)</f>
        <v>30</v>
      </c>
      <c r="M301">
        <f>VLOOKUP(Misfit[[#This Row],[Shortname]], Comp[], 9, FALSE)</f>
        <v>10</v>
      </c>
      <c r="N301">
        <f>VLOOKUP(Misfit[[#This Row],[Shortname]], Comp[], 10, FALSE)</f>
        <v>0</v>
      </c>
      <c r="O301">
        <f>VLOOKUP(Misfit[[#This Row],[Shortname]], Comp[], 11, FALSE)</f>
        <v>2</v>
      </c>
      <c r="P301">
        <f>VLOOKUP(Misfit[[#This Row],[Shortname]], Comp[],12, FALSE)</f>
        <v>0</v>
      </c>
      <c r="Q301">
        <f>VLOOKUP(Misfit[[#This Row],[Shortname]], Comp[], 13, FALSE)</f>
        <v>2</v>
      </c>
      <c r="R301">
        <f>VLOOKUP(Misfit[[#This Row],[Shortname]], Comp[], 14, FALSE)</f>
        <v>0</v>
      </c>
      <c r="S301">
        <f>VLOOKUP(Misfit[[#This Row],[Shortname]], Comp[], 15, FALSE)</f>
        <v>5</v>
      </c>
      <c r="T301">
        <f>VLOOKUP(Misfit[[#This Row],[Shortname]], Comp[], 16, FALSE)</f>
        <v>0</v>
      </c>
      <c r="U301">
        <f>VLOOKUP(Misfit[[#This Row],[Shortname]], Comp[], 17, FALSE)</f>
        <v>0</v>
      </c>
      <c r="V301">
        <f>VLOOKUP(Misfit[[#This Row],[Shortname]], Comp[], 18, FALSE)</f>
        <v>0</v>
      </c>
      <c r="W301">
        <f>VLOOKUP(Misfit[[#This Row],[Shortname]], Comp[], 19, FALSE)</f>
        <v>0</v>
      </c>
      <c r="X301">
        <f>VLOOKUP(Misfit[[#This Row],[Shortname]], Comp[], 20, FALSE)</f>
        <v>0</v>
      </c>
      <c r="Y301">
        <f>VLOOKUP(Misfit[[#This Row],[Shortname]], Comp[], 21, FALSE)</f>
        <v>0</v>
      </c>
      <c r="Z301">
        <f>VLOOKUP(Misfit[[#This Row],[Shortname]], Comp[], 22, FALSE)</f>
        <v>0</v>
      </c>
      <c r="AA301">
        <f>VLOOKUP(Misfit[[#This Row],[Shortname]], Comp[], 23, FALSE)</f>
        <v>0</v>
      </c>
      <c r="AB301">
        <f>VLOOKUP(Misfit[[#This Row],[Shortname]], Comp[], 24, FALSE)</f>
        <v>0</v>
      </c>
      <c r="AC301">
        <f>VLOOKUP(Misfit[[#This Row],[Shortname]], Comp[], 25, FALSE)</f>
        <v>0</v>
      </c>
      <c r="AD301">
        <f>VLOOKUP(Misfit[[#This Row],[Shortname]], Comp[], 26, FALSE)</f>
        <v>0</v>
      </c>
      <c r="AE301">
        <f>VLOOKUP(Misfit[[#This Row],[Shortname]], Comp[], 27, FALSE)</f>
        <v>0</v>
      </c>
      <c r="AF301">
        <f>VLOOKUP(Misfit[[#This Row],[Shortname]], Comp[], 28, FALSE)</f>
        <v>0</v>
      </c>
      <c r="AG301">
        <f>VLOOKUP(Misfit[[#This Row],[Shortname]], Comp[], 29, FALSE)</f>
        <v>0</v>
      </c>
      <c r="AH301">
        <f>VLOOKUP(Misfit[[#This Row],[Shortname]], Comp[], 30, FALSE)</f>
        <v>0</v>
      </c>
      <c r="AI301">
        <f>VLOOKUP(Misfit[[#This Row],[Shortname]], Comp[], 31, FALSE)</f>
        <v>0</v>
      </c>
    </row>
    <row r="302" spans="1:35" x14ac:dyDescent="0.3">
      <c r="A302" s="12" t="s">
        <v>6097</v>
      </c>
      <c r="B302" s="12" t="s">
        <v>6098</v>
      </c>
      <c r="C302" s="12" t="s">
        <v>6099</v>
      </c>
      <c r="D302" s="12">
        <v>800</v>
      </c>
      <c r="E302" s="12">
        <v>25</v>
      </c>
      <c r="F302" s="12">
        <v>0.35720999999999997</v>
      </c>
      <c r="G302" s="12">
        <v>0.35552</v>
      </c>
      <c r="H302" s="41">
        <f t="shared" si="9"/>
        <v>4.7423287921091279E-3</v>
      </c>
      <c r="I302" s="12"/>
      <c r="J302">
        <f>VLOOKUP(Misfit[[#This Row],[Shortname]], Comp[], 6, FALSE)</f>
        <v>994</v>
      </c>
      <c r="K302">
        <f>VLOOKUP(Misfit[[#This Row],[Shortname]], Comp[], 7, FALSE)</f>
        <v>1.9999999999996021E-2</v>
      </c>
      <c r="L302">
        <f>VLOOKUP(Misfit[[#This Row],[Shortname]], Comp[], 8, FALSE)</f>
        <v>74.88</v>
      </c>
      <c r="M302">
        <f>VLOOKUP(Misfit[[#This Row],[Shortname]], Comp[], 9, FALSE)</f>
        <v>4.93</v>
      </c>
      <c r="N302">
        <f>VLOOKUP(Misfit[[#This Row],[Shortname]], Comp[], 10, FALSE)</f>
        <v>14.9</v>
      </c>
      <c r="O302">
        <f>VLOOKUP(Misfit[[#This Row],[Shortname]], Comp[], 11, FALSE)</f>
        <v>0</v>
      </c>
      <c r="P302">
        <f>VLOOKUP(Misfit[[#This Row],[Shortname]], Comp[],12, FALSE)</f>
        <v>5.27</v>
      </c>
      <c r="Q302">
        <f>VLOOKUP(Misfit[[#This Row],[Shortname]], Comp[], 13, FALSE)</f>
        <v>0</v>
      </c>
      <c r="R302">
        <f>VLOOKUP(Misfit[[#This Row],[Shortname]], Comp[], 14, FALSE)</f>
        <v>0</v>
      </c>
      <c r="S302">
        <f>VLOOKUP(Misfit[[#This Row],[Shortname]], Comp[], 15, FALSE)</f>
        <v>0</v>
      </c>
      <c r="T302">
        <f>VLOOKUP(Misfit[[#This Row],[Shortname]], Comp[], 16, FALSE)</f>
        <v>0</v>
      </c>
      <c r="U302">
        <f>VLOOKUP(Misfit[[#This Row],[Shortname]], Comp[], 17, FALSE)</f>
        <v>0</v>
      </c>
      <c r="V302">
        <f>VLOOKUP(Misfit[[#This Row],[Shortname]], Comp[], 18, FALSE)</f>
        <v>0</v>
      </c>
      <c r="W302">
        <f>VLOOKUP(Misfit[[#This Row],[Shortname]], Comp[], 19, FALSE)</f>
        <v>0</v>
      </c>
      <c r="X302">
        <f>VLOOKUP(Misfit[[#This Row],[Shortname]], Comp[], 20, FALSE)</f>
        <v>0</v>
      </c>
      <c r="Y302">
        <f>VLOOKUP(Misfit[[#This Row],[Shortname]], Comp[], 21, FALSE)</f>
        <v>0</v>
      </c>
      <c r="Z302">
        <f>VLOOKUP(Misfit[[#This Row],[Shortname]], Comp[], 22, FALSE)</f>
        <v>0</v>
      </c>
      <c r="AA302">
        <f>VLOOKUP(Misfit[[#This Row],[Shortname]], Comp[], 23, FALSE)</f>
        <v>0</v>
      </c>
      <c r="AB302">
        <f>VLOOKUP(Misfit[[#This Row],[Shortname]], Comp[], 24, FALSE)</f>
        <v>0</v>
      </c>
      <c r="AC302">
        <f>VLOOKUP(Misfit[[#This Row],[Shortname]], Comp[], 25, FALSE)</f>
        <v>0</v>
      </c>
      <c r="AD302">
        <f>VLOOKUP(Misfit[[#This Row],[Shortname]], Comp[], 26, FALSE)</f>
        <v>0</v>
      </c>
      <c r="AE302">
        <f>VLOOKUP(Misfit[[#This Row],[Shortname]], Comp[], 27, FALSE)</f>
        <v>0</v>
      </c>
      <c r="AF302">
        <f>VLOOKUP(Misfit[[#This Row],[Shortname]], Comp[], 28, FALSE)</f>
        <v>0</v>
      </c>
      <c r="AG302">
        <f>VLOOKUP(Misfit[[#This Row],[Shortname]], Comp[], 29, FALSE)</f>
        <v>0</v>
      </c>
      <c r="AH302">
        <f>VLOOKUP(Misfit[[#This Row],[Shortname]], Comp[], 30, FALSE)</f>
        <v>0</v>
      </c>
      <c r="AI302">
        <f>VLOOKUP(Misfit[[#This Row],[Shortname]], Comp[], 31, FALSE)</f>
        <v>0</v>
      </c>
    </row>
    <row r="303" spans="1:35" x14ac:dyDescent="0.3">
      <c r="A303" s="12" t="s">
        <v>6097</v>
      </c>
      <c r="B303" s="12" t="s">
        <v>6098</v>
      </c>
      <c r="C303" s="12" t="s">
        <v>6099</v>
      </c>
      <c r="D303" s="12">
        <v>800</v>
      </c>
      <c r="E303" s="12">
        <v>400</v>
      </c>
      <c r="F303" s="12">
        <v>0.35892000000000002</v>
      </c>
      <c r="G303" s="12">
        <v>0.35733999999999999</v>
      </c>
      <c r="H303" s="41">
        <f t="shared" si="9"/>
        <v>4.4118057688549575E-3</v>
      </c>
      <c r="I303" s="12"/>
      <c r="J303">
        <f>VLOOKUP(Misfit[[#This Row],[Shortname]], Comp[], 6, FALSE)</f>
        <v>994</v>
      </c>
      <c r="K303">
        <f>VLOOKUP(Misfit[[#This Row],[Shortname]], Comp[], 7, FALSE)</f>
        <v>1.9999999999996021E-2</v>
      </c>
      <c r="L303">
        <f>VLOOKUP(Misfit[[#This Row],[Shortname]], Comp[], 8, FALSE)</f>
        <v>74.88</v>
      </c>
      <c r="M303">
        <f>VLOOKUP(Misfit[[#This Row],[Shortname]], Comp[], 9, FALSE)</f>
        <v>4.93</v>
      </c>
      <c r="N303">
        <f>VLOOKUP(Misfit[[#This Row],[Shortname]], Comp[], 10, FALSE)</f>
        <v>14.9</v>
      </c>
      <c r="O303">
        <f>VLOOKUP(Misfit[[#This Row],[Shortname]], Comp[], 11, FALSE)</f>
        <v>0</v>
      </c>
      <c r="P303">
        <f>VLOOKUP(Misfit[[#This Row],[Shortname]], Comp[],12, FALSE)</f>
        <v>5.27</v>
      </c>
      <c r="Q303">
        <f>VLOOKUP(Misfit[[#This Row],[Shortname]], Comp[], 13, FALSE)</f>
        <v>0</v>
      </c>
      <c r="R303">
        <f>VLOOKUP(Misfit[[#This Row],[Shortname]], Comp[], 14, FALSE)</f>
        <v>0</v>
      </c>
      <c r="S303">
        <f>VLOOKUP(Misfit[[#This Row],[Shortname]], Comp[], 15, FALSE)</f>
        <v>0</v>
      </c>
      <c r="T303">
        <f>VLOOKUP(Misfit[[#This Row],[Shortname]], Comp[], 16, FALSE)</f>
        <v>0</v>
      </c>
      <c r="U303">
        <f>VLOOKUP(Misfit[[#This Row],[Shortname]], Comp[], 17, FALSE)</f>
        <v>0</v>
      </c>
      <c r="V303">
        <f>VLOOKUP(Misfit[[#This Row],[Shortname]], Comp[], 18, FALSE)</f>
        <v>0</v>
      </c>
      <c r="W303">
        <f>VLOOKUP(Misfit[[#This Row],[Shortname]], Comp[], 19, FALSE)</f>
        <v>0</v>
      </c>
      <c r="X303">
        <f>VLOOKUP(Misfit[[#This Row],[Shortname]], Comp[], 20, FALSE)</f>
        <v>0</v>
      </c>
      <c r="Y303">
        <f>VLOOKUP(Misfit[[#This Row],[Shortname]], Comp[], 21, FALSE)</f>
        <v>0</v>
      </c>
      <c r="Z303">
        <f>VLOOKUP(Misfit[[#This Row],[Shortname]], Comp[], 22, FALSE)</f>
        <v>0</v>
      </c>
      <c r="AA303">
        <f>VLOOKUP(Misfit[[#This Row],[Shortname]], Comp[], 23, FALSE)</f>
        <v>0</v>
      </c>
      <c r="AB303">
        <f>VLOOKUP(Misfit[[#This Row],[Shortname]], Comp[], 24, FALSE)</f>
        <v>0</v>
      </c>
      <c r="AC303">
        <f>VLOOKUP(Misfit[[#This Row],[Shortname]], Comp[], 25, FALSE)</f>
        <v>0</v>
      </c>
      <c r="AD303">
        <f>VLOOKUP(Misfit[[#This Row],[Shortname]], Comp[], 26, FALSE)</f>
        <v>0</v>
      </c>
      <c r="AE303">
        <f>VLOOKUP(Misfit[[#This Row],[Shortname]], Comp[], 27, FALSE)</f>
        <v>0</v>
      </c>
      <c r="AF303">
        <f>VLOOKUP(Misfit[[#This Row],[Shortname]], Comp[], 28, FALSE)</f>
        <v>0</v>
      </c>
      <c r="AG303">
        <f>VLOOKUP(Misfit[[#This Row],[Shortname]], Comp[], 29, FALSE)</f>
        <v>0</v>
      </c>
      <c r="AH303">
        <f>VLOOKUP(Misfit[[#This Row],[Shortname]], Comp[], 30, FALSE)</f>
        <v>0</v>
      </c>
      <c r="AI303">
        <f>VLOOKUP(Misfit[[#This Row],[Shortname]], Comp[], 31, FALSE)</f>
        <v>0</v>
      </c>
    </row>
    <row r="304" spans="1:35" x14ac:dyDescent="0.3">
      <c r="A304" s="12" t="s">
        <v>6097</v>
      </c>
      <c r="B304" s="12" t="s">
        <v>6098</v>
      </c>
      <c r="C304" s="12" t="s">
        <v>6099</v>
      </c>
      <c r="D304" s="12">
        <v>800</v>
      </c>
      <c r="E304" s="12">
        <v>600</v>
      </c>
      <c r="F304" s="12">
        <v>0.36007</v>
      </c>
      <c r="G304" s="12">
        <v>0.35861999999999999</v>
      </c>
      <c r="H304" s="41">
        <f t="shared" si="9"/>
        <v>4.0351194534500459E-3</v>
      </c>
      <c r="I304" s="12"/>
      <c r="J304">
        <f>VLOOKUP(Misfit[[#This Row],[Shortname]], Comp[], 6, FALSE)</f>
        <v>994</v>
      </c>
      <c r="K304">
        <f>VLOOKUP(Misfit[[#This Row],[Shortname]], Comp[], 7, FALSE)</f>
        <v>1.9999999999996021E-2</v>
      </c>
      <c r="L304">
        <f>VLOOKUP(Misfit[[#This Row],[Shortname]], Comp[], 8, FALSE)</f>
        <v>74.88</v>
      </c>
      <c r="M304">
        <f>VLOOKUP(Misfit[[#This Row],[Shortname]], Comp[], 9, FALSE)</f>
        <v>4.93</v>
      </c>
      <c r="N304">
        <f>VLOOKUP(Misfit[[#This Row],[Shortname]], Comp[], 10, FALSE)</f>
        <v>14.9</v>
      </c>
      <c r="O304">
        <f>VLOOKUP(Misfit[[#This Row],[Shortname]], Comp[], 11, FALSE)</f>
        <v>0</v>
      </c>
      <c r="P304">
        <f>VLOOKUP(Misfit[[#This Row],[Shortname]], Comp[],12, FALSE)</f>
        <v>5.27</v>
      </c>
      <c r="Q304">
        <f>VLOOKUP(Misfit[[#This Row],[Shortname]], Comp[], 13, FALSE)</f>
        <v>0</v>
      </c>
      <c r="R304">
        <f>VLOOKUP(Misfit[[#This Row],[Shortname]], Comp[], 14, FALSE)</f>
        <v>0</v>
      </c>
      <c r="S304">
        <f>VLOOKUP(Misfit[[#This Row],[Shortname]], Comp[], 15, FALSE)</f>
        <v>0</v>
      </c>
      <c r="T304">
        <f>VLOOKUP(Misfit[[#This Row],[Shortname]], Comp[], 16, FALSE)</f>
        <v>0</v>
      </c>
      <c r="U304">
        <f>VLOOKUP(Misfit[[#This Row],[Shortname]], Comp[], 17, FALSE)</f>
        <v>0</v>
      </c>
      <c r="V304">
        <f>VLOOKUP(Misfit[[#This Row],[Shortname]], Comp[], 18, FALSE)</f>
        <v>0</v>
      </c>
      <c r="W304">
        <f>VLOOKUP(Misfit[[#This Row],[Shortname]], Comp[], 19, FALSE)</f>
        <v>0</v>
      </c>
      <c r="X304">
        <f>VLOOKUP(Misfit[[#This Row],[Shortname]], Comp[], 20, FALSE)</f>
        <v>0</v>
      </c>
      <c r="Y304">
        <f>VLOOKUP(Misfit[[#This Row],[Shortname]], Comp[], 21, FALSE)</f>
        <v>0</v>
      </c>
      <c r="Z304">
        <f>VLOOKUP(Misfit[[#This Row],[Shortname]], Comp[], 22, FALSE)</f>
        <v>0</v>
      </c>
      <c r="AA304">
        <f>VLOOKUP(Misfit[[#This Row],[Shortname]], Comp[], 23, FALSE)</f>
        <v>0</v>
      </c>
      <c r="AB304">
        <f>VLOOKUP(Misfit[[#This Row],[Shortname]], Comp[], 24, FALSE)</f>
        <v>0</v>
      </c>
      <c r="AC304">
        <f>VLOOKUP(Misfit[[#This Row],[Shortname]], Comp[], 25, FALSE)</f>
        <v>0</v>
      </c>
      <c r="AD304">
        <f>VLOOKUP(Misfit[[#This Row],[Shortname]], Comp[], 26, FALSE)</f>
        <v>0</v>
      </c>
      <c r="AE304">
        <f>VLOOKUP(Misfit[[#This Row],[Shortname]], Comp[], 27, FALSE)</f>
        <v>0</v>
      </c>
      <c r="AF304">
        <f>VLOOKUP(Misfit[[#This Row],[Shortname]], Comp[], 28, FALSE)</f>
        <v>0</v>
      </c>
      <c r="AG304">
        <f>VLOOKUP(Misfit[[#This Row],[Shortname]], Comp[], 29, FALSE)</f>
        <v>0</v>
      </c>
      <c r="AH304">
        <f>VLOOKUP(Misfit[[#This Row],[Shortname]], Comp[], 30, FALSE)</f>
        <v>0</v>
      </c>
      <c r="AI304">
        <f>VLOOKUP(Misfit[[#This Row],[Shortname]], Comp[], 31, FALSE)</f>
        <v>0</v>
      </c>
    </row>
    <row r="305" spans="1:35" x14ac:dyDescent="0.3">
      <c r="A305" s="12" t="s">
        <v>6097</v>
      </c>
      <c r="B305" s="12" t="s">
        <v>6098</v>
      </c>
      <c r="C305" s="12" t="s">
        <v>6099</v>
      </c>
      <c r="D305" s="12">
        <v>800</v>
      </c>
      <c r="E305" s="12">
        <v>700</v>
      </c>
      <c r="F305" s="12">
        <v>0.36063999999999996</v>
      </c>
      <c r="G305" s="12">
        <v>0.35927999999999999</v>
      </c>
      <c r="H305" s="41">
        <f t="shared" si="9"/>
        <v>3.7781975775085359E-3</v>
      </c>
      <c r="I305" s="12"/>
      <c r="J305">
        <f>VLOOKUP(Misfit[[#This Row],[Shortname]], Comp[], 6, FALSE)</f>
        <v>994</v>
      </c>
      <c r="K305">
        <f>VLOOKUP(Misfit[[#This Row],[Shortname]], Comp[], 7, FALSE)</f>
        <v>1.9999999999996021E-2</v>
      </c>
      <c r="L305">
        <f>VLOOKUP(Misfit[[#This Row],[Shortname]], Comp[], 8, FALSE)</f>
        <v>74.88</v>
      </c>
      <c r="M305">
        <f>VLOOKUP(Misfit[[#This Row],[Shortname]], Comp[], 9, FALSE)</f>
        <v>4.93</v>
      </c>
      <c r="N305">
        <f>VLOOKUP(Misfit[[#This Row],[Shortname]], Comp[], 10, FALSE)</f>
        <v>14.9</v>
      </c>
      <c r="O305">
        <f>VLOOKUP(Misfit[[#This Row],[Shortname]], Comp[], 11, FALSE)</f>
        <v>0</v>
      </c>
      <c r="P305">
        <f>VLOOKUP(Misfit[[#This Row],[Shortname]], Comp[],12, FALSE)</f>
        <v>5.27</v>
      </c>
      <c r="Q305">
        <f>VLOOKUP(Misfit[[#This Row],[Shortname]], Comp[], 13, FALSE)</f>
        <v>0</v>
      </c>
      <c r="R305">
        <f>VLOOKUP(Misfit[[#This Row],[Shortname]], Comp[], 14, FALSE)</f>
        <v>0</v>
      </c>
      <c r="S305">
        <f>VLOOKUP(Misfit[[#This Row],[Shortname]], Comp[], 15, FALSE)</f>
        <v>0</v>
      </c>
      <c r="T305">
        <f>VLOOKUP(Misfit[[#This Row],[Shortname]], Comp[], 16, FALSE)</f>
        <v>0</v>
      </c>
      <c r="U305">
        <f>VLOOKUP(Misfit[[#This Row],[Shortname]], Comp[], 17, FALSE)</f>
        <v>0</v>
      </c>
      <c r="V305">
        <f>VLOOKUP(Misfit[[#This Row],[Shortname]], Comp[], 18, FALSE)</f>
        <v>0</v>
      </c>
      <c r="W305">
        <f>VLOOKUP(Misfit[[#This Row],[Shortname]], Comp[], 19, FALSE)</f>
        <v>0</v>
      </c>
      <c r="X305">
        <f>VLOOKUP(Misfit[[#This Row],[Shortname]], Comp[], 20, FALSE)</f>
        <v>0</v>
      </c>
      <c r="Y305">
        <f>VLOOKUP(Misfit[[#This Row],[Shortname]], Comp[], 21, FALSE)</f>
        <v>0</v>
      </c>
      <c r="Z305">
        <f>VLOOKUP(Misfit[[#This Row],[Shortname]], Comp[], 22, FALSE)</f>
        <v>0</v>
      </c>
      <c r="AA305">
        <f>VLOOKUP(Misfit[[#This Row],[Shortname]], Comp[], 23, FALSE)</f>
        <v>0</v>
      </c>
      <c r="AB305">
        <f>VLOOKUP(Misfit[[#This Row],[Shortname]], Comp[], 24, FALSE)</f>
        <v>0</v>
      </c>
      <c r="AC305">
        <f>VLOOKUP(Misfit[[#This Row],[Shortname]], Comp[], 25, FALSE)</f>
        <v>0</v>
      </c>
      <c r="AD305">
        <f>VLOOKUP(Misfit[[#This Row],[Shortname]], Comp[], 26, FALSE)</f>
        <v>0</v>
      </c>
      <c r="AE305">
        <f>VLOOKUP(Misfit[[#This Row],[Shortname]], Comp[], 27, FALSE)</f>
        <v>0</v>
      </c>
      <c r="AF305">
        <f>VLOOKUP(Misfit[[#This Row],[Shortname]], Comp[], 28, FALSE)</f>
        <v>0</v>
      </c>
      <c r="AG305">
        <f>VLOOKUP(Misfit[[#This Row],[Shortname]], Comp[], 29, FALSE)</f>
        <v>0</v>
      </c>
      <c r="AH305">
        <f>VLOOKUP(Misfit[[#This Row],[Shortname]], Comp[], 30, FALSE)</f>
        <v>0</v>
      </c>
      <c r="AI305">
        <f>VLOOKUP(Misfit[[#This Row],[Shortname]], Comp[], 31, FALSE)</f>
        <v>0</v>
      </c>
    </row>
    <row r="306" spans="1:35" x14ac:dyDescent="0.3">
      <c r="A306" s="12" t="s">
        <v>6097</v>
      </c>
      <c r="B306" s="12" t="s">
        <v>6098</v>
      </c>
      <c r="C306" s="12" t="s">
        <v>6099</v>
      </c>
      <c r="D306" s="12">
        <v>800</v>
      </c>
      <c r="E306" s="12">
        <v>800</v>
      </c>
      <c r="F306" s="12">
        <v>0.36121999999999999</v>
      </c>
      <c r="G306" s="12">
        <v>0.36002999999999996</v>
      </c>
      <c r="H306" s="41">
        <f t="shared" si="9"/>
        <v>3.2998266897747647E-3</v>
      </c>
      <c r="I306" s="12"/>
      <c r="J306">
        <f>VLOOKUP(Misfit[[#This Row],[Shortname]], Comp[], 6, FALSE)</f>
        <v>994</v>
      </c>
      <c r="K306">
        <f>VLOOKUP(Misfit[[#This Row],[Shortname]], Comp[], 7, FALSE)</f>
        <v>1.9999999999996021E-2</v>
      </c>
      <c r="L306">
        <f>VLOOKUP(Misfit[[#This Row],[Shortname]], Comp[], 8, FALSE)</f>
        <v>74.88</v>
      </c>
      <c r="M306">
        <f>VLOOKUP(Misfit[[#This Row],[Shortname]], Comp[], 9, FALSE)</f>
        <v>4.93</v>
      </c>
      <c r="N306">
        <f>VLOOKUP(Misfit[[#This Row],[Shortname]], Comp[], 10, FALSE)</f>
        <v>14.9</v>
      </c>
      <c r="O306">
        <f>VLOOKUP(Misfit[[#This Row],[Shortname]], Comp[], 11, FALSE)</f>
        <v>0</v>
      </c>
      <c r="P306">
        <f>VLOOKUP(Misfit[[#This Row],[Shortname]], Comp[],12, FALSE)</f>
        <v>5.27</v>
      </c>
      <c r="Q306">
        <f>VLOOKUP(Misfit[[#This Row],[Shortname]], Comp[], 13, FALSE)</f>
        <v>0</v>
      </c>
      <c r="R306">
        <f>VLOOKUP(Misfit[[#This Row],[Shortname]], Comp[], 14, FALSE)</f>
        <v>0</v>
      </c>
      <c r="S306">
        <f>VLOOKUP(Misfit[[#This Row],[Shortname]], Comp[], 15, FALSE)</f>
        <v>0</v>
      </c>
      <c r="T306">
        <f>VLOOKUP(Misfit[[#This Row],[Shortname]], Comp[], 16, FALSE)</f>
        <v>0</v>
      </c>
      <c r="U306">
        <f>VLOOKUP(Misfit[[#This Row],[Shortname]], Comp[], 17, FALSE)</f>
        <v>0</v>
      </c>
      <c r="V306">
        <f>VLOOKUP(Misfit[[#This Row],[Shortname]], Comp[], 18, FALSE)</f>
        <v>0</v>
      </c>
      <c r="W306">
        <f>VLOOKUP(Misfit[[#This Row],[Shortname]], Comp[], 19, FALSE)</f>
        <v>0</v>
      </c>
      <c r="X306">
        <f>VLOOKUP(Misfit[[#This Row],[Shortname]], Comp[], 20, FALSE)</f>
        <v>0</v>
      </c>
      <c r="Y306">
        <f>VLOOKUP(Misfit[[#This Row],[Shortname]], Comp[], 21, FALSE)</f>
        <v>0</v>
      </c>
      <c r="Z306">
        <f>VLOOKUP(Misfit[[#This Row],[Shortname]], Comp[], 22, FALSE)</f>
        <v>0</v>
      </c>
      <c r="AA306">
        <f>VLOOKUP(Misfit[[#This Row],[Shortname]], Comp[], 23, FALSE)</f>
        <v>0</v>
      </c>
      <c r="AB306">
        <f>VLOOKUP(Misfit[[#This Row],[Shortname]], Comp[], 24, FALSE)</f>
        <v>0</v>
      </c>
      <c r="AC306">
        <f>VLOOKUP(Misfit[[#This Row],[Shortname]], Comp[], 25, FALSE)</f>
        <v>0</v>
      </c>
      <c r="AD306">
        <f>VLOOKUP(Misfit[[#This Row],[Shortname]], Comp[], 26, FALSE)</f>
        <v>0</v>
      </c>
      <c r="AE306">
        <f>VLOOKUP(Misfit[[#This Row],[Shortname]], Comp[], 27, FALSE)</f>
        <v>0</v>
      </c>
      <c r="AF306">
        <f>VLOOKUP(Misfit[[#This Row],[Shortname]], Comp[], 28, FALSE)</f>
        <v>0</v>
      </c>
      <c r="AG306">
        <f>VLOOKUP(Misfit[[#This Row],[Shortname]], Comp[], 29, FALSE)</f>
        <v>0</v>
      </c>
      <c r="AH306">
        <f>VLOOKUP(Misfit[[#This Row],[Shortname]], Comp[], 30, FALSE)</f>
        <v>0</v>
      </c>
      <c r="AI306">
        <f>VLOOKUP(Misfit[[#This Row],[Shortname]], Comp[], 31, FALSE)</f>
        <v>0</v>
      </c>
    </row>
    <row r="307" spans="1:35" x14ac:dyDescent="0.3">
      <c r="A307" s="12" t="s">
        <v>6102</v>
      </c>
      <c r="B307" s="12" t="s">
        <v>6103</v>
      </c>
      <c r="C307" s="12" t="s">
        <v>6099</v>
      </c>
      <c r="D307" s="12">
        <v>800</v>
      </c>
      <c r="E307" s="12">
        <v>25</v>
      </c>
      <c r="F307" s="12">
        <v>0.35760000000000003</v>
      </c>
      <c r="G307" s="12">
        <v>0.35575999999999997</v>
      </c>
      <c r="H307" s="41">
        <f t="shared" si="9"/>
        <v>5.1586856566111471E-3</v>
      </c>
      <c r="I307" s="12"/>
      <c r="J307">
        <f>VLOOKUP(Misfit[[#This Row],[Shortname]], Comp[], 6, FALSE)</f>
        <v>995</v>
      </c>
      <c r="K307">
        <f>VLOOKUP(Misfit[[#This Row],[Shortname]], Comp[], 7, FALSE)</f>
        <v>9.6099999999999852</v>
      </c>
      <c r="L307">
        <f>VLOOKUP(Misfit[[#This Row],[Shortname]], Comp[], 8, FALSE)</f>
        <v>65.2</v>
      </c>
      <c r="M307">
        <f>VLOOKUP(Misfit[[#This Row],[Shortname]], Comp[], 9, FALSE)</f>
        <v>5.09</v>
      </c>
      <c r="N307">
        <f>VLOOKUP(Misfit[[#This Row],[Shortname]], Comp[], 10, FALSE)</f>
        <v>14.9</v>
      </c>
      <c r="O307">
        <f>VLOOKUP(Misfit[[#This Row],[Shortname]], Comp[], 11, FALSE)</f>
        <v>0</v>
      </c>
      <c r="P307">
        <f>VLOOKUP(Misfit[[#This Row],[Shortname]], Comp[],12, FALSE)</f>
        <v>5.2</v>
      </c>
      <c r="Q307">
        <f>VLOOKUP(Misfit[[#This Row],[Shortname]], Comp[], 13, FALSE)</f>
        <v>0</v>
      </c>
      <c r="R307">
        <f>VLOOKUP(Misfit[[#This Row],[Shortname]], Comp[], 14, FALSE)</f>
        <v>0</v>
      </c>
      <c r="S307">
        <f>VLOOKUP(Misfit[[#This Row],[Shortname]], Comp[], 15, FALSE)</f>
        <v>0</v>
      </c>
      <c r="T307">
        <f>VLOOKUP(Misfit[[#This Row],[Shortname]], Comp[], 16, FALSE)</f>
        <v>0</v>
      </c>
      <c r="U307">
        <f>VLOOKUP(Misfit[[#This Row],[Shortname]], Comp[], 17, FALSE)</f>
        <v>0</v>
      </c>
      <c r="V307">
        <f>VLOOKUP(Misfit[[#This Row],[Shortname]], Comp[], 18, FALSE)</f>
        <v>0</v>
      </c>
      <c r="W307">
        <f>VLOOKUP(Misfit[[#This Row],[Shortname]], Comp[], 19, FALSE)</f>
        <v>0</v>
      </c>
      <c r="X307">
        <f>VLOOKUP(Misfit[[#This Row],[Shortname]], Comp[], 20, FALSE)</f>
        <v>0</v>
      </c>
      <c r="Y307">
        <f>VLOOKUP(Misfit[[#This Row],[Shortname]], Comp[], 21, FALSE)</f>
        <v>0</v>
      </c>
      <c r="Z307">
        <f>VLOOKUP(Misfit[[#This Row],[Shortname]], Comp[], 22, FALSE)</f>
        <v>0</v>
      </c>
      <c r="AA307">
        <f>VLOOKUP(Misfit[[#This Row],[Shortname]], Comp[], 23, FALSE)</f>
        <v>0</v>
      </c>
      <c r="AB307">
        <f>VLOOKUP(Misfit[[#This Row],[Shortname]], Comp[], 24, FALSE)</f>
        <v>0</v>
      </c>
      <c r="AC307">
        <f>VLOOKUP(Misfit[[#This Row],[Shortname]], Comp[], 25, FALSE)</f>
        <v>0</v>
      </c>
      <c r="AD307">
        <f>VLOOKUP(Misfit[[#This Row],[Shortname]], Comp[], 26, FALSE)</f>
        <v>0</v>
      </c>
      <c r="AE307">
        <f>VLOOKUP(Misfit[[#This Row],[Shortname]], Comp[], 27, FALSE)</f>
        <v>0</v>
      </c>
      <c r="AF307">
        <f>VLOOKUP(Misfit[[#This Row],[Shortname]], Comp[], 28, FALSE)</f>
        <v>0</v>
      </c>
      <c r="AG307">
        <f>VLOOKUP(Misfit[[#This Row],[Shortname]], Comp[], 29, FALSE)</f>
        <v>0</v>
      </c>
      <c r="AH307">
        <f>VLOOKUP(Misfit[[#This Row],[Shortname]], Comp[], 30, FALSE)</f>
        <v>0</v>
      </c>
      <c r="AI307">
        <f>VLOOKUP(Misfit[[#This Row],[Shortname]], Comp[], 31, FALSE)</f>
        <v>0</v>
      </c>
    </row>
    <row r="308" spans="1:35" x14ac:dyDescent="0.3">
      <c r="A308" s="12" t="s">
        <v>6102</v>
      </c>
      <c r="B308" s="12" t="s">
        <v>6103</v>
      </c>
      <c r="C308" s="12" t="s">
        <v>6099</v>
      </c>
      <c r="D308" s="12">
        <v>800</v>
      </c>
      <c r="E308" s="12">
        <v>400</v>
      </c>
      <c r="F308" s="12">
        <v>0.35937999999999998</v>
      </c>
      <c r="G308" s="12">
        <v>0.35767000000000004</v>
      </c>
      <c r="H308" s="41">
        <f t="shared" si="9"/>
        <v>4.7695418729514927E-3</v>
      </c>
      <c r="I308" s="12"/>
      <c r="J308">
        <f>VLOOKUP(Misfit[[#This Row],[Shortname]], Comp[], 6, FALSE)</f>
        <v>995</v>
      </c>
      <c r="K308">
        <f>VLOOKUP(Misfit[[#This Row],[Shortname]], Comp[], 7, FALSE)</f>
        <v>9.6099999999999852</v>
      </c>
      <c r="L308">
        <f>VLOOKUP(Misfit[[#This Row],[Shortname]], Comp[], 8, FALSE)</f>
        <v>65.2</v>
      </c>
      <c r="M308">
        <f>VLOOKUP(Misfit[[#This Row],[Shortname]], Comp[], 9, FALSE)</f>
        <v>5.09</v>
      </c>
      <c r="N308">
        <f>VLOOKUP(Misfit[[#This Row],[Shortname]], Comp[], 10, FALSE)</f>
        <v>14.9</v>
      </c>
      <c r="O308">
        <f>VLOOKUP(Misfit[[#This Row],[Shortname]], Comp[], 11, FALSE)</f>
        <v>0</v>
      </c>
      <c r="P308">
        <f>VLOOKUP(Misfit[[#This Row],[Shortname]], Comp[],12, FALSE)</f>
        <v>5.2</v>
      </c>
      <c r="Q308">
        <f>VLOOKUP(Misfit[[#This Row],[Shortname]], Comp[], 13, FALSE)</f>
        <v>0</v>
      </c>
      <c r="R308">
        <f>VLOOKUP(Misfit[[#This Row],[Shortname]], Comp[], 14, FALSE)</f>
        <v>0</v>
      </c>
      <c r="S308">
        <f>VLOOKUP(Misfit[[#This Row],[Shortname]], Comp[], 15, FALSE)</f>
        <v>0</v>
      </c>
      <c r="T308">
        <f>VLOOKUP(Misfit[[#This Row],[Shortname]], Comp[], 16, FALSE)</f>
        <v>0</v>
      </c>
      <c r="U308">
        <f>VLOOKUP(Misfit[[#This Row],[Shortname]], Comp[], 17, FALSE)</f>
        <v>0</v>
      </c>
      <c r="V308">
        <f>VLOOKUP(Misfit[[#This Row],[Shortname]], Comp[], 18, FALSE)</f>
        <v>0</v>
      </c>
      <c r="W308">
        <f>VLOOKUP(Misfit[[#This Row],[Shortname]], Comp[], 19, FALSE)</f>
        <v>0</v>
      </c>
      <c r="X308">
        <f>VLOOKUP(Misfit[[#This Row],[Shortname]], Comp[], 20, FALSE)</f>
        <v>0</v>
      </c>
      <c r="Y308">
        <f>VLOOKUP(Misfit[[#This Row],[Shortname]], Comp[], 21, FALSE)</f>
        <v>0</v>
      </c>
      <c r="Z308">
        <f>VLOOKUP(Misfit[[#This Row],[Shortname]], Comp[], 22, FALSE)</f>
        <v>0</v>
      </c>
      <c r="AA308">
        <f>VLOOKUP(Misfit[[#This Row],[Shortname]], Comp[], 23, FALSE)</f>
        <v>0</v>
      </c>
      <c r="AB308">
        <f>VLOOKUP(Misfit[[#This Row],[Shortname]], Comp[], 24, FALSE)</f>
        <v>0</v>
      </c>
      <c r="AC308">
        <f>VLOOKUP(Misfit[[#This Row],[Shortname]], Comp[], 25, FALSE)</f>
        <v>0</v>
      </c>
      <c r="AD308">
        <f>VLOOKUP(Misfit[[#This Row],[Shortname]], Comp[], 26, FALSE)</f>
        <v>0</v>
      </c>
      <c r="AE308">
        <f>VLOOKUP(Misfit[[#This Row],[Shortname]], Comp[], 27, FALSE)</f>
        <v>0</v>
      </c>
      <c r="AF308">
        <f>VLOOKUP(Misfit[[#This Row],[Shortname]], Comp[], 28, FALSE)</f>
        <v>0</v>
      </c>
      <c r="AG308">
        <f>VLOOKUP(Misfit[[#This Row],[Shortname]], Comp[], 29, FALSE)</f>
        <v>0</v>
      </c>
      <c r="AH308">
        <f>VLOOKUP(Misfit[[#This Row],[Shortname]], Comp[], 30, FALSE)</f>
        <v>0</v>
      </c>
      <c r="AI308">
        <f>VLOOKUP(Misfit[[#This Row],[Shortname]], Comp[], 31, FALSE)</f>
        <v>0</v>
      </c>
    </row>
    <row r="309" spans="1:35" x14ac:dyDescent="0.3">
      <c r="A309" s="12" t="s">
        <v>6102</v>
      </c>
      <c r="B309" s="12" t="s">
        <v>6103</v>
      </c>
      <c r="C309" s="12" t="s">
        <v>6099</v>
      </c>
      <c r="D309" s="12">
        <v>800</v>
      </c>
      <c r="E309" s="12">
        <v>600</v>
      </c>
      <c r="F309" s="12">
        <v>0.36048000000000002</v>
      </c>
      <c r="G309" s="12">
        <v>0.35889000000000004</v>
      </c>
      <c r="H309" s="41">
        <f t="shared" si="9"/>
        <v>4.420534634471774E-3</v>
      </c>
      <c r="I309" s="12"/>
      <c r="J309">
        <f>VLOOKUP(Misfit[[#This Row],[Shortname]], Comp[], 6, FALSE)</f>
        <v>995</v>
      </c>
      <c r="K309">
        <f>VLOOKUP(Misfit[[#This Row],[Shortname]], Comp[], 7, FALSE)</f>
        <v>9.6099999999999852</v>
      </c>
      <c r="L309">
        <f>VLOOKUP(Misfit[[#This Row],[Shortname]], Comp[], 8, FALSE)</f>
        <v>65.2</v>
      </c>
      <c r="M309">
        <f>VLOOKUP(Misfit[[#This Row],[Shortname]], Comp[], 9, FALSE)</f>
        <v>5.09</v>
      </c>
      <c r="N309">
        <f>VLOOKUP(Misfit[[#This Row],[Shortname]], Comp[], 10, FALSE)</f>
        <v>14.9</v>
      </c>
      <c r="O309">
        <f>VLOOKUP(Misfit[[#This Row],[Shortname]], Comp[], 11, FALSE)</f>
        <v>0</v>
      </c>
      <c r="P309">
        <f>VLOOKUP(Misfit[[#This Row],[Shortname]], Comp[],12, FALSE)</f>
        <v>5.2</v>
      </c>
      <c r="Q309">
        <f>VLOOKUP(Misfit[[#This Row],[Shortname]], Comp[], 13, FALSE)</f>
        <v>0</v>
      </c>
      <c r="R309">
        <f>VLOOKUP(Misfit[[#This Row],[Shortname]], Comp[], 14, FALSE)</f>
        <v>0</v>
      </c>
      <c r="S309">
        <f>VLOOKUP(Misfit[[#This Row],[Shortname]], Comp[], 15, FALSE)</f>
        <v>0</v>
      </c>
      <c r="T309">
        <f>VLOOKUP(Misfit[[#This Row],[Shortname]], Comp[], 16, FALSE)</f>
        <v>0</v>
      </c>
      <c r="U309">
        <f>VLOOKUP(Misfit[[#This Row],[Shortname]], Comp[], 17, FALSE)</f>
        <v>0</v>
      </c>
      <c r="V309">
        <f>VLOOKUP(Misfit[[#This Row],[Shortname]], Comp[], 18, FALSE)</f>
        <v>0</v>
      </c>
      <c r="W309">
        <f>VLOOKUP(Misfit[[#This Row],[Shortname]], Comp[], 19, FALSE)</f>
        <v>0</v>
      </c>
      <c r="X309">
        <f>VLOOKUP(Misfit[[#This Row],[Shortname]], Comp[], 20, FALSE)</f>
        <v>0</v>
      </c>
      <c r="Y309">
        <f>VLOOKUP(Misfit[[#This Row],[Shortname]], Comp[], 21, FALSE)</f>
        <v>0</v>
      </c>
      <c r="Z309">
        <f>VLOOKUP(Misfit[[#This Row],[Shortname]], Comp[], 22, FALSE)</f>
        <v>0</v>
      </c>
      <c r="AA309">
        <f>VLOOKUP(Misfit[[#This Row],[Shortname]], Comp[], 23, FALSE)</f>
        <v>0</v>
      </c>
      <c r="AB309">
        <f>VLOOKUP(Misfit[[#This Row],[Shortname]], Comp[], 24, FALSE)</f>
        <v>0</v>
      </c>
      <c r="AC309">
        <f>VLOOKUP(Misfit[[#This Row],[Shortname]], Comp[], 25, FALSE)</f>
        <v>0</v>
      </c>
      <c r="AD309">
        <f>VLOOKUP(Misfit[[#This Row],[Shortname]], Comp[], 26, FALSE)</f>
        <v>0</v>
      </c>
      <c r="AE309">
        <f>VLOOKUP(Misfit[[#This Row],[Shortname]], Comp[], 27, FALSE)</f>
        <v>0</v>
      </c>
      <c r="AF309">
        <f>VLOOKUP(Misfit[[#This Row],[Shortname]], Comp[], 28, FALSE)</f>
        <v>0</v>
      </c>
      <c r="AG309">
        <f>VLOOKUP(Misfit[[#This Row],[Shortname]], Comp[], 29, FALSE)</f>
        <v>0</v>
      </c>
      <c r="AH309">
        <f>VLOOKUP(Misfit[[#This Row],[Shortname]], Comp[], 30, FALSE)</f>
        <v>0</v>
      </c>
      <c r="AI309">
        <f>VLOOKUP(Misfit[[#This Row],[Shortname]], Comp[], 31, FALSE)</f>
        <v>0</v>
      </c>
    </row>
    <row r="310" spans="1:35" x14ac:dyDescent="0.3">
      <c r="A310" s="12" t="s">
        <v>6102</v>
      </c>
      <c r="B310" s="12" t="s">
        <v>6103</v>
      </c>
      <c r="C310" s="12" t="s">
        <v>6099</v>
      </c>
      <c r="D310" s="12">
        <v>800</v>
      </c>
      <c r="E310" s="12">
        <v>700</v>
      </c>
      <c r="F310" s="12">
        <v>0.36105999999999999</v>
      </c>
      <c r="G310" s="12">
        <v>0.35955999999999999</v>
      </c>
      <c r="H310" s="41">
        <f t="shared" si="9"/>
        <v>4.1630817906802512E-3</v>
      </c>
      <c r="I310" s="12"/>
      <c r="J310">
        <f>VLOOKUP(Misfit[[#This Row],[Shortname]], Comp[], 6, FALSE)</f>
        <v>995</v>
      </c>
      <c r="K310">
        <f>VLOOKUP(Misfit[[#This Row],[Shortname]], Comp[], 7, FALSE)</f>
        <v>9.6099999999999852</v>
      </c>
      <c r="L310">
        <f>VLOOKUP(Misfit[[#This Row],[Shortname]], Comp[], 8, FALSE)</f>
        <v>65.2</v>
      </c>
      <c r="M310">
        <f>VLOOKUP(Misfit[[#This Row],[Shortname]], Comp[], 9, FALSE)</f>
        <v>5.09</v>
      </c>
      <c r="N310">
        <f>VLOOKUP(Misfit[[#This Row],[Shortname]], Comp[], 10, FALSE)</f>
        <v>14.9</v>
      </c>
      <c r="O310">
        <f>VLOOKUP(Misfit[[#This Row],[Shortname]], Comp[], 11, FALSE)</f>
        <v>0</v>
      </c>
      <c r="P310">
        <f>VLOOKUP(Misfit[[#This Row],[Shortname]], Comp[],12, FALSE)</f>
        <v>5.2</v>
      </c>
      <c r="Q310">
        <f>VLOOKUP(Misfit[[#This Row],[Shortname]], Comp[], 13, FALSE)</f>
        <v>0</v>
      </c>
      <c r="R310">
        <f>VLOOKUP(Misfit[[#This Row],[Shortname]], Comp[], 14, FALSE)</f>
        <v>0</v>
      </c>
      <c r="S310">
        <f>VLOOKUP(Misfit[[#This Row],[Shortname]], Comp[], 15, FALSE)</f>
        <v>0</v>
      </c>
      <c r="T310">
        <f>VLOOKUP(Misfit[[#This Row],[Shortname]], Comp[], 16, FALSE)</f>
        <v>0</v>
      </c>
      <c r="U310">
        <f>VLOOKUP(Misfit[[#This Row],[Shortname]], Comp[], 17, FALSE)</f>
        <v>0</v>
      </c>
      <c r="V310">
        <f>VLOOKUP(Misfit[[#This Row],[Shortname]], Comp[], 18, FALSE)</f>
        <v>0</v>
      </c>
      <c r="W310">
        <f>VLOOKUP(Misfit[[#This Row],[Shortname]], Comp[], 19, FALSE)</f>
        <v>0</v>
      </c>
      <c r="X310">
        <f>VLOOKUP(Misfit[[#This Row],[Shortname]], Comp[], 20, FALSE)</f>
        <v>0</v>
      </c>
      <c r="Y310">
        <f>VLOOKUP(Misfit[[#This Row],[Shortname]], Comp[], 21, FALSE)</f>
        <v>0</v>
      </c>
      <c r="Z310">
        <f>VLOOKUP(Misfit[[#This Row],[Shortname]], Comp[], 22, FALSE)</f>
        <v>0</v>
      </c>
      <c r="AA310">
        <f>VLOOKUP(Misfit[[#This Row],[Shortname]], Comp[], 23, FALSE)</f>
        <v>0</v>
      </c>
      <c r="AB310">
        <f>VLOOKUP(Misfit[[#This Row],[Shortname]], Comp[], 24, FALSE)</f>
        <v>0</v>
      </c>
      <c r="AC310">
        <f>VLOOKUP(Misfit[[#This Row],[Shortname]], Comp[], 25, FALSE)</f>
        <v>0</v>
      </c>
      <c r="AD310">
        <f>VLOOKUP(Misfit[[#This Row],[Shortname]], Comp[], 26, FALSE)</f>
        <v>0</v>
      </c>
      <c r="AE310">
        <f>VLOOKUP(Misfit[[#This Row],[Shortname]], Comp[], 27, FALSE)</f>
        <v>0</v>
      </c>
      <c r="AF310">
        <f>VLOOKUP(Misfit[[#This Row],[Shortname]], Comp[], 28, FALSE)</f>
        <v>0</v>
      </c>
      <c r="AG310">
        <f>VLOOKUP(Misfit[[#This Row],[Shortname]], Comp[], 29, FALSE)</f>
        <v>0</v>
      </c>
      <c r="AH310">
        <f>VLOOKUP(Misfit[[#This Row],[Shortname]], Comp[], 30, FALSE)</f>
        <v>0</v>
      </c>
      <c r="AI310">
        <f>VLOOKUP(Misfit[[#This Row],[Shortname]], Comp[], 31, FALSE)</f>
        <v>0</v>
      </c>
    </row>
    <row r="311" spans="1:35" x14ac:dyDescent="0.3">
      <c r="A311" s="12" t="s">
        <v>6102</v>
      </c>
      <c r="B311" s="12" t="s">
        <v>6103</v>
      </c>
      <c r="C311" s="12" t="s">
        <v>6099</v>
      </c>
      <c r="D311" s="12">
        <v>800</v>
      </c>
      <c r="E311" s="12">
        <v>800</v>
      </c>
      <c r="F311" s="12">
        <v>0.36168</v>
      </c>
      <c r="G311" s="12">
        <v>0.36036000000000001</v>
      </c>
      <c r="H311" s="41">
        <f t="shared" si="9"/>
        <v>3.6563071297988693E-3</v>
      </c>
      <c r="I311" s="12"/>
      <c r="J311">
        <f>VLOOKUP(Misfit[[#This Row],[Shortname]], Comp[], 6, FALSE)</f>
        <v>995</v>
      </c>
      <c r="K311">
        <f>VLOOKUP(Misfit[[#This Row],[Shortname]], Comp[], 7, FALSE)</f>
        <v>9.6099999999999852</v>
      </c>
      <c r="L311">
        <f>VLOOKUP(Misfit[[#This Row],[Shortname]], Comp[], 8, FALSE)</f>
        <v>65.2</v>
      </c>
      <c r="M311">
        <f>VLOOKUP(Misfit[[#This Row],[Shortname]], Comp[], 9, FALSE)</f>
        <v>5.09</v>
      </c>
      <c r="N311">
        <f>VLOOKUP(Misfit[[#This Row],[Shortname]], Comp[], 10, FALSE)</f>
        <v>14.9</v>
      </c>
      <c r="O311">
        <f>VLOOKUP(Misfit[[#This Row],[Shortname]], Comp[], 11, FALSE)</f>
        <v>0</v>
      </c>
      <c r="P311">
        <f>VLOOKUP(Misfit[[#This Row],[Shortname]], Comp[],12, FALSE)</f>
        <v>5.2</v>
      </c>
      <c r="Q311">
        <f>VLOOKUP(Misfit[[#This Row],[Shortname]], Comp[], 13, FALSE)</f>
        <v>0</v>
      </c>
      <c r="R311">
        <f>VLOOKUP(Misfit[[#This Row],[Shortname]], Comp[], 14, FALSE)</f>
        <v>0</v>
      </c>
      <c r="S311">
        <f>VLOOKUP(Misfit[[#This Row],[Shortname]], Comp[], 15, FALSE)</f>
        <v>0</v>
      </c>
      <c r="T311">
        <f>VLOOKUP(Misfit[[#This Row],[Shortname]], Comp[], 16, FALSE)</f>
        <v>0</v>
      </c>
      <c r="U311">
        <f>VLOOKUP(Misfit[[#This Row],[Shortname]], Comp[], 17, FALSE)</f>
        <v>0</v>
      </c>
      <c r="V311">
        <f>VLOOKUP(Misfit[[#This Row],[Shortname]], Comp[], 18, FALSE)</f>
        <v>0</v>
      </c>
      <c r="W311">
        <f>VLOOKUP(Misfit[[#This Row],[Shortname]], Comp[], 19, FALSE)</f>
        <v>0</v>
      </c>
      <c r="X311">
        <f>VLOOKUP(Misfit[[#This Row],[Shortname]], Comp[], 20, FALSE)</f>
        <v>0</v>
      </c>
      <c r="Y311">
        <f>VLOOKUP(Misfit[[#This Row],[Shortname]], Comp[], 21, FALSE)</f>
        <v>0</v>
      </c>
      <c r="Z311">
        <f>VLOOKUP(Misfit[[#This Row],[Shortname]], Comp[], 22, FALSE)</f>
        <v>0</v>
      </c>
      <c r="AA311">
        <f>VLOOKUP(Misfit[[#This Row],[Shortname]], Comp[], 23, FALSE)</f>
        <v>0</v>
      </c>
      <c r="AB311">
        <f>VLOOKUP(Misfit[[#This Row],[Shortname]], Comp[], 24, FALSE)</f>
        <v>0</v>
      </c>
      <c r="AC311">
        <f>VLOOKUP(Misfit[[#This Row],[Shortname]], Comp[], 25, FALSE)</f>
        <v>0</v>
      </c>
      <c r="AD311">
        <f>VLOOKUP(Misfit[[#This Row],[Shortname]], Comp[], 26, FALSE)</f>
        <v>0</v>
      </c>
      <c r="AE311">
        <f>VLOOKUP(Misfit[[#This Row],[Shortname]], Comp[], 27, FALSE)</f>
        <v>0</v>
      </c>
      <c r="AF311">
        <f>VLOOKUP(Misfit[[#This Row],[Shortname]], Comp[], 28, FALSE)</f>
        <v>0</v>
      </c>
      <c r="AG311">
        <f>VLOOKUP(Misfit[[#This Row],[Shortname]], Comp[], 29, FALSE)</f>
        <v>0</v>
      </c>
      <c r="AH311">
        <f>VLOOKUP(Misfit[[#This Row],[Shortname]], Comp[], 30, FALSE)</f>
        <v>0</v>
      </c>
      <c r="AI311">
        <f>VLOOKUP(Misfit[[#This Row],[Shortname]], Comp[], 31, FALSE)</f>
        <v>0</v>
      </c>
    </row>
    <row r="312" spans="1:35" x14ac:dyDescent="0.3">
      <c r="A312" s="12" t="s">
        <v>6107</v>
      </c>
      <c r="B312" s="12" t="s">
        <v>6108</v>
      </c>
      <c r="C312" s="12" t="s">
        <v>6099</v>
      </c>
      <c r="D312" s="12">
        <v>800</v>
      </c>
      <c r="E312" s="12">
        <v>25</v>
      </c>
      <c r="F312" s="12">
        <v>0.35788000000000003</v>
      </c>
      <c r="G312" s="12">
        <v>0.35588999999999998</v>
      </c>
      <c r="H312" s="41">
        <f t="shared" si="9"/>
        <v>5.5760258906932128E-3</v>
      </c>
      <c r="I312" s="12"/>
      <c r="J312">
        <f>VLOOKUP(Misfit[[#This Row],[Shortname]], Comp[], 6, FALSE)</f>
        <v>996</v>
      </c>
      <c r="K312">
        <f>VLOOKUP(Misfit[[#This Row],[Shortname]], Comp[], 7, FALSE)</f>
        <v>18.64</v>
      </c>
      <c r="L312">
        <f>VLOOKUP(Misfit[[#This Row],[Shortname]], Comp[], 8, FALSE)</f>
        <v>56.21</v>
      </c>
      <c r="M312">
        <f>VLOOKUP(Misfit[[#This Row],[Shortname]], Comp[], 9, FALSE)</f>
        <v>5.08</v>
      </c>
      <c r="N312">
        <f>VLOOKUP(Misfit[[#This Row],[Shortname]], Comp[], 10, FALSE)</f>
        <v>14.8</v>
      </c>
      <c r="O312">
        <f>VLOOKUP(Misfit[[#This Row],[Shortname]], Comp[], 11, FALSE)</f>
        <v>0</v>
      </c>
      <c r="P312">
        <f>VLOOKUP(Misfit[[#This Row],[Shortname]], Comp[],12, FALSE)</f>
        <v>5.27</v>
      </c>
      <c r="Q312">
        <f>VLOOKUP(Misfit[[#This Row],[Shortname]], Comp[], 13, FALSE)</f>
        <v>0</v>
      </c>
      <c r="R312">
        <f>VLOOKUP(Misfit[[#This Row],[Shortname]], Comp[], 14, FALSE)</f>
        <v>0</v>
      </c>
      <c r="S312">
        <f>VLOOKUP(Misfit[[#This Row],[Shortname]], Comp[], 15, FALSE)</f>
        <v>0</v>
      </c>
      <c r="T312">
        <f>VLOOKUP(Misfit[[#This Row],[Shortname]], Comp[], 16, FALSE)</f>
        <v>0</v>
      </c>
      <c r="U312">
        <f>VLOOKUP(Misfit[[#This Row],[Shortname]], Comp[], 17, FALSE)</f>
        <v>0</v>
      </c>
      <c r="V312">
        <f>VLOOKUP(Misfit[[#This Row],[Shortname]], Comp[], 18, FALSE)</f>
        <v>0</v>
      </c>
      <c r="W312">
        <f>VLOOKUP(Misfit[[#This Row],[Shortname]], Comp[], 19, FALSE)</f>
        <v>0</v>
      </c>
      <c r="X312">
        <f>VLOOKUP(Misfit[[#This Row],[Shortname]], Comp[], 20, FALSE)</f>
        <v>0</v>
      </c>
      <c r="Y312">
        <f>VLOOKUP(Misfit[[#This Row],[Shortname]], Comp[], 21, FALSE)</f>
        <v>0</v>
      </c>
      <c r="Z312">
        <f>VLOOKUP(Misfit[[#This Row],[Shortname]], Comp[], 22, FALSE)</f>
        <v>0</v>
      </c>
      <c r="AA312">
        <f>VLOOKUP(Misfit[[#This Row],[Shortname]], Comp[], 23, FALSE)</f>
        <v>0</v>
      </c>
      <c r="AB312">
        <f>VLOOKUP(Misfit[[#This Row],[Shortname]], Comp[], 24, FALSE)</f>
        <v>0</v>
      </c>
      <c r="AC312">
        <f>VLOOKUP(Misfit[[#This Row],[Shortname]], Comp[], 25, FALSE)</f>
        <v>0</v>
      </c>
      <c r="AD312">
        <f>VLOOKUP(Misfit[[#This Row],[Shortname]], Comp[], 26, FALSE)</f>
        <v>0</v>
      </c>
      <c r="AE312">
        <f>VLOOKUP(Misfit[[#This Row],[Shortname]], Comp[], 27, FALSE)</f>
        <v>0</v>
      </c>
      <c r="AF312">
        <f>VLOOKUP(Misfit[[#This Row],[Shortname]], Comp[], 28, FALSE)</f>
        <v>0</v>
      </c>
      <c r="AG312">
        <f>VLOOKUP(Misfit[[#This Row],[Shortname]], Comp[], 29, FALSE)</f>
        <v>0</v>
      </c>
      <c r="AH312">
        <f>VLOOKUP(Misfit[[#This Row],[Shortname]], Comp[], 30, FALSE)</f>
        <v>0</v>
      </c>
      <c r="AI312">
        <f>VLOOKUP(Misfit[[#This Row],[Shortname]], Comp[], 31, FALSE)</f>
        <v>0</v>
      </c>
    </row>
    <row r="313" spans="1:35" x14ac:dyDescent="0.3">
      <c r="A313" s="12" t="s">
        <v>6107</v>
      </c>
      <c r="B313" s="12" t="s">
        <v>6108</v>
      </c>
      <c r="C313" s="12" t="s">
        <v>6099</v>
      </c>
      <c r="D313" s="12">
        <v>800</v>
      </c>
      <c r="E313" s="12">
        <v>400</v>
      </c>
      <c r="F313" s="12">
        <v>0.35958999999999997</v>
      </c>
      <c r="G313" s="12">
        <v>0.35771999999999998</v>
      </c>
      <c r="H313" s="41">
        <f t="shared" si="9"/>
        <v>5.2139242447476909E-3</v>
      </c>
      <c r="I313" s="12"/>
      <c r="J313">
        <f>VLOOKUP(Misfit[[#This Row],[Shortname]], Comp[], 6, FALSE)</f>
        <v>996</v>
      </c>
      <c r="K313">
        <f>VLOOKUP(Misfit[[#This Row],[Shortname]], Comp[], 7, FALSE)</f>
        <v>18.64</v>
      </c>
      <c r="L313">
        <f>VLOOKUP(Misfit[[#This Row],[Shortname]], Comp[], 8, FALSE)</f>
        <v>56.21</v>
      </c>
      <c r="M313">
        <f>VLOOKUP(Misfit[[#This Row],[Shortname]], Comp[], 9, FALSE)</f>
        <v>5.08</v>
      </c>
      <c r="N313">
        <f>VLOOKUP(Misfit[[#This Row],[Shortname]], Comp[], 10, FALSE)</f>
        <v>14.8</v>
      </c>
      <c r="O313">
        <f>VLOOKUP(Misfit[[#This Row],[Shortname]], Comp[], 11, FALSE)</f>
        <v>0</v>
      </c>
      <c r="P313">
        <f>VLOOKUP(Misfit[[#This Row],[Shortname]], Comp[],12, FALSE)</f>
        <v>5.27</v>
      </c>
      <c r="Q313">
        <f>VLOOKUP(Misfit[[#This Row],[Shortname]], Comp[], 13, FALSE)</f>
        <v>0</v>
      </c>
      <c r="R313">
        <f>VLOOKUP(Misfit[[#This Row],[Shortname]], Comp[], 14, FALSE)</f>
        <v>0</v>
      </c>
      <c r="S313">
        <f>VLOOKUP(Misfit[[#This Row],[Shortname]], Comp[], 15, FALSE)</f>
        <v>0</v>
      </c>
      <c r="T313">
        <f>VLOOKUP(Misfit[[#This Row],[Shortname]], Comp[], 16, FALSE)</f>
        <v>0</v>
      </c>
      <c r="U313">
        <f>VLOOKUP(Misfit[[#This Row],[Shortname]], Comp[], 17, FALSE)</f>
        <v>0</v>
      </c>
      <c r="V313">
        <f>VLOOKUP(Misfit[[#This Row],[Shortname]], Comp[], 18, FALSE)</f>
        <v>0</v>
      </c>
      <c r="W313">
        <f>VLOOKUP(Misfit[[#This Row],[Shortname]], Comp[], 19, FALSE)</f>
        <v>0</v>
      </c>
      <c r="X313">
        <f>VLOOKUP(Misfit[[#This Row],[Shortname]], Comp[], 20, FALSE)</f>
        <v>0</v>
      </c>
      <c r="Y313">
        <f>VLOOKUP(Misfit[[#This Row],[Shortname]], Comp[], 21, FALSE)</f>
        <v>0</v>
      </c>
      <c r="Z313">
        <f>VLOOKUP(Misfit[[#This Row],[Shortname]], Comp[], 22, FALSE)</f>
        <v>0</v>
      </c>
      <c r="AA313">
        <f>VLOOKUP(Misfit[[#This Row],[Shortname]], Comp[], 23, FALSE)</f>
        <v>0</v>
      </c>
      <c r="AB313">
        <f>VLOOKUP(Misfit[[#This Row],[Shortname]], Comp[], 24, FALSE)</f>
        <v>0</v>
      </c>
      <c r="AC313">
        <f>VLOOKUP(Misfit[[#This Row],[Shortname]], Comp[], 25, FALSE)</f>
        <v>0</v>
      </c>
      <c r="AD313">
        <f>VLOOKUP(Misfit[[#This Row],[Shortname]], Comp[], 26, FALSE)</f>
        <v>0</v>
      </c>
      <c r="AE313">
        <f>VLOOKUP(Misfit[[#This Row],[Shortname]], Comp[], 27, FALSE)</f>
        <v>0</v>
      </c>
      <c r="AF313">
        <f>VLOOKUP(Misfit[[#This Row],[Shortname]], Comp[], 28, FALSE)</f>
        <v>0</v>
      </c>
      <c r="AG313">
        <f>VLOOKUP(Misfit[[#This Row],[Shortname]], Comp[], 29, FALSE)</f>
        <v>0</v>
      </c>
      <c r="AH313">
        <f>VLOOKUP(Misfit[[#This Row],[Shortname]], Comp[], 30, FALSE)</f>
        <v>0</v>
      </c>
      <c r="AI313">
        <f>VLOOKUP(Misfit[[#This Row],[Shortname]], Comp[], 31, FALSE)</f>
        <v>0</v>
      </c>
    </row>
    <row r="314" spans="1:35" x14ac:dyDescent="0.3">
      <c r="A314" s="12" t="s">
        <v>6107</v>
      </c>
      <c r="B314" s="12" t="s">
        <v>6108</v>
      </c>
      <c r="C314" s="12" t="s">
        <v>6099</v>
      </c>
      <c r="D314" s="12">
        <v>800</v>
      </c>
      <c r="E314" s="12">
        <v>600</v>
      </c>
      <c r="F314" s="12">
        <v>0.36077999999999999</v>
      </c>
      <c r="G314" s="12">
        <v>0.35904999999999998</v>
      </c>
      <c r="H314" s="41">
        <f t="shared" si="9"/>
        <v>4.8066904685828858E-3</v>
      </c>
      <c r="I314" s="12"/>
      <c r="J314">
        <f>VLOOKUP(Misfit[[#This Row],[Shortname]], Comp[], 6, FALSE)</f>
        <v>996</v>
      </c>
      <c r="K314">
        <f>VLOOKUP(Misfit[[#This Row],[Shortname]], Comp[], 7, FALSE)</f>
        <v>18.64</v>
      </c>
      <c r="L314">
        <f>VLOOKUP(Misfit[[#This Row],[Shortname]], Comp[], 8, FALSE)</f>
        <v>56.21</v>
      </c>
      <c r="M314">
        <f>VLOOKUP(Misfit[[#This Row],[Shortname]], Comp[], 9, FALSE)</f>
        <v>5.08</v>
      </c>
      <c r="N314">
        <f>VLOOKUP(Misfit[[#This Row],[Shortname]], Comp[], 10, FALSE)</f>
        <v>14.8</v>
      </c>
      <c r="O314">
        <f>VLOOKUP(Misfit[[#This Row],[Shortname]], Comp[], 11, FALSE)</f>
        <v>0</v>
      </c>
      <c r="P314">
        <f>VLOOKUP(Misfit[[#This Row],[Shortname]], Comp[],12, FALSE)</f>
        <v>5.27</v>
      </c>
      <c r="Q314">
        <f>VLOOKUP(Misfit[[#This Row],[Shortname]], Comp[], 13, FALSE)</f>
        <v>0</v>
      </c>
      <c r="R314">
        <f>VLOOKUP(Misfit[[#This Row],[Shortname]], Comp[], 14, FALSE)</f>
        <v>0</v>
      </c>
      <c r="S314">
        <f>VLOOKUP(Misfit[[#This Row],[Shortname]], Comp[], 15, FALSE)</f>
        <v>0</v>
      </c>
      <c r="T314">
        <f>VLOOKUP(Misfit[[#This Row],[Shortname]], Comp[], 16, FALSE)</f>
        <v>0</v>
      </c>
      <c r="U314">
        <f>VLOOKUP(Misfit[[#This Row],[Shortname]], Comp[], 17, FALSE)</f>
        <v>0</v>
      </c>
      <c r="V314">
        <f>VLOOKUP(Misfit[[#This Row],[Shortname]], Comp[], 18, FALSE)</f>
        <v>0</v>
      </c>
      <c r="W314">
        <f>VLOOKUP(Misfit[[#This Row],[Shortname]], Comp[], 19, FALSE)</f>
        <v>0</v>
      </c>
      <c r="X314">
        <f>VLOOKUP(Misfit[[#This Row],[Shortname]], Comp[], 20, FALSE)</f>
        <v>0</v>
      </c>
      <c r="Y314">
        <f>VLOOKUP(Misfit[[#This Row],[Shortname]], Comp[], 21, FALSE)</f>
        <v>0</v>
      </c>
      <c r="Z314">
        <f>VLOOKUP(Misfit[[#This Row],[Shortname]], Comp[], 22, FALSE)</f>
        <v>0</v>
      </c>
      <c r="AA314">
        <f>VLOOKUP(Misfit[[#This Row],[Shortname]], Comp[], 23, FALSE)</f>
        <v>0</v>
      </c>
      <c r="AB314">
        <f>VLOOKUP(Misfit[[#This Row],[Shortname]], Comp[], 24, FALSE)</f>
        <v>0</v>
      </c>
      <c r="AC314">
        <f>VLOOKUP(Misfit[[#This Row],[Shortname]], Comp[], 25, FALSE)</f>
        <v>0</v>
      </c>
      <c r="AD314">
        <f>VLOOKUP(Misfit[[#This Row],[Shortname]], Comp[], 26, FALSE)</f>
        <v>0</v>
      </c>
      <c r="AE314">
        <f>VLOOKUP(Misfit[[#This Row],[Shortname]], Comp[], 27, FALSE)</f>
        <v>0</v>
      </c>
      <c r="AF314">
        <f>VLOOKUP(Misfit[[#This Row],[Shortname]], Comp[], 28, FALSE)</f>
        <v>0</v>
      </c>
      <c r="AG314">
        <f>VLOOKUP(Misfit[[#This Row],[Shortname]], Comp[], 29, FALSE)</f>
        <v>0</v>
      </c>
      <c r="AH314">
        <f>VLOOKUP(Misfit[[#This Row],[Shortname]], Comp[], 30, FALSE)</f>
        <v>0</v>
      </c>
      <c r="AI314">
        <f>VLOOKUP(Misfit[[#This Row],[Shortname]], Comp[], 31, FALSE)</f>
        <v>0</v>
      </c>
    </row>
    <row r="315" spans="1:35" x14ac:dyDescent="0.3">
      <c r="A315" s="12" t="s">
        <v>6107</v>
      </c>
      <c r="B315" s="12" t="s">
        <v>6108</v>
      </c>
      <c r="C315" s="12" t="s">
        <v>6099</v>
      </c>
      <c r="D315" s="12">
        <v>800</v>
      </c>
      <c r="E315" s="12">
        <v>700</v>
      </c>
      <c r="F315" s="12">
        <v>0.36137000000000002</v>
      </c>
      <c r="G315" s="12">
        <v>0.35971999999999998</v>
      </c>
      <c r="H315" s="41">
        <f t="shared" si="9"/>
        <v>4.5764051644040004E-3</v>
      </c>
      <c r="I315" s="12"/>
      <c r="J315">
        <f>VLOOKUP(Misfit[[#This Row],[Shortname]], Comp[], 6, FALSE)</f>
        <v>996</v>
      </c>
      <c r="K315">
        <f>VLOOKUP(Misfit[[#This Row],[Shortname]], Comp[], 7, FALSE)</f>
        <v>18.64</v>
      </c>
      <c r="L315">
        <f>VLOOKUP(Misfit[[#This Row],[Shortname]], Comp[], 8, FALSE)</f>
        <v>56.21</v>
      </c>
      <c r="M315">
        <f>VLOOKUP(Misfit[[#This Row],[Shortname]], Comp[], 9, FALSE)</f>
        <v>5.08</v>
      </c>
      <c r="N315">
        <f>VLOOKUP(Misfit[[#This Row],[Shortname]], Comp[], 10, FALSE)</f>
        <v>14.8</v>
      </c>
      <c r="O315">
        <f>VLOOKUP(Misfit[[#This Row],[Shortname]], Comp[], 11, FALSE)</f>
        <v>0</v>
      </c>
      <c r="P315">
        <f>VLOOKUP(Misfit[[#This Row],[Shortname]], Comp[],12, FALSE)</f>
        <v>5.27</v>
      </c>
      <c r="Q315">
        <f>VLOOKUP(Misfit[[#This Row],[Shortname]], Comp[], 13, FALSE)</f>
        <v>0</v>
      </c>
      <c r="R315">
        <f>VLOOKUP(Misfit[[#This Row],[Shortname]], Comp[], 14, FALSE)</f>
        <v>0</v>
      </c>
      <c r="S315">
        <f>VLOOKUP(Misfit[[#This Row],[Shortname]], Comp[], 15, FALSE)</f>
        <v>0</v>
      </c>
      <c r="T315">
        <f>VLOOKUP(Misfit[[#This Row],[Shortname]], Comp[], 16, FALSE)</f>
        <v>0</v>
      </c>
      <c r="U315">
        <f>VLOOKUP(Misfit[[#This Row],[Shortname]], Comp[], 17, FALSE)</f>
        <v>0</v>
      </c>
      <c r="V315">
        <f>VLOOKUP(Misfit[[#This Row],[Shortname]], Comp[], 18, FALSE)</f>
        <v>0</v>
      </c>
      <c r="W315">
        <f>VLOOKUP(Misfit[[#This Row],[Shortname]], Comp[], 19, FALSE)</f>
        <v>0</v>
      </c>
      <c r="X315">
        <f>VLOOKUP(Misfit[[#This Row],[Shortname]], Comp[], 20, FALSE)</f>
        <v>0</v>
      </c>
      <c r="Y315">
        <f>VLOOKUP(Misfit[[#This Row],[Shortname]], Comp[], 21, FALSE)</f>
        <v>0</v>
      </c>
      <c r="Z315">
        <f>VLOOKUP(Misfit[[#This Row],[Shortname]], Comp[], 22, FALSE)</f>
        <v>0</v>
      </c>
      <c r="AA315">
        <f>VLOOKUP(Misfit[[#This Row],[Shortname]], Comp[], 23, FALSE)</f>
        <v>0</v>
      </c>
      <c r="AB315">
        <f>VLOOKUP(Misfit[[#This Row],[Shortname]], Comp[], 24, FALSE)</f>
        <v>0</v>
      </c>
      <c r="AC315">
        <f>VLOOKUP(Misfit[[#This Row],[Shortname]], Comp[], 25, FALSE)</f>
        <v>0</v>
      </c>
      <c r="AD315">
        <f>VLOOKUP(Misfit[[#This Row],[Shortname]], Comp[], 26, FALSE)</f>
        <v>0</v>
      </c>
      <c r="AE315">
        <f>VLOOKUP(Misfit[[#This Row],[Shortname]], Comp[], 27, FALSE)</f>
        <v>0</v>
      </c>
      <c r="AF315">
        <f>VLOOKUP(Misfit[[#This Row],[Shortname]], Comp[], 28, FALSE)</f>
        <v>0</v>
      </c>
      <c r="AG315">
        <f>VLOOKUP(Misfit[[#This Row],[Shortname]], Comp[], 29, FALSE)</f>
        <v>0</v>
      </c>
      <c r="AH315">
        <f>VLOOKUP(Misfit[[#This Row],[Shortname]], Comp[], 30, FALSE)</f>
        <v>0</v>
      </c>
      <c r="AI315">
        <f>VLOOKUP(Misfit[[#This Row],[Shortname]], Comp[], 31, FALSE)</f>
        <v>0</v>
      </c>
    </row>
    <row r="316" spans="1:35" x14ac:dyDescent="0.3">
      <c r="A316" s="12" t="s">
        <v>6107</v>
      </c>
      <c r="B316" s="12" t="s">
        <v>6108</v>
      </c>
      <c r="C316" s="12" t="s">
        <v>6099</v>
      </c>
      <c r="D316" s="12">
        <v>800</v>
      </c>
      <c r="E316" s="12">
        <v>800</v>
      </c>
      <c r="F316" s="12">
        <v>0.36198999999999998</v>
      </c>
      <c r="G316" s="12">
        <v>0.36052000000000001</v>
      </c>
      <c r="H316" s="41">
        <f t="shared" si="9"/>
        <v>4.0691478318638395E-3</v>
      </c>
      <c r="I316" s="12"/>
      <c r="J316">
        <f>VLOOKUP(Misfit[[#This Row],[Shortname]], Comp[], 6, FALSE)</f>
        <v>996</v>
      </c>
      <c r="K316">
        <f>VLOOKUP(Misfit[[#This Row],[Shortname]], Comp[], 7, FALSE)</f>
        <v>18.64</v>
      </c>
      <c r="L316">
        <f>VLOOKUP(Misfit[[#This Row],[Shortname]], Comp[], 8, FALSE)</f>
        <v>56.21</v>
      </c>
      <c r="M316">
        <f>VLOOKUP(Misfit[[#This Row],[Shortname]], Comp[], 9, FALSE)</f>
        <v>5.08</v>
      </c>
      <c r="N316">
        <f>VLOOKUP(Misfit[[#This Row],[Shortname]], Comp[], 10, FALSE)</f>
        <v>14.8</v>
      </c>
      <c r="O316">
        <f>VLOOKUP(Misfit[[#This Row],[Shortname]], Comp[], 11, FALSE)</f>
        <v>0</v>
      </c>
      <c r="P316">
        <f>VLOOKUP(Misfit[[#This Row],[Shortname]], Comp[],12, FALSE)</f>
        <v>5.27</v>
      </c>
      <c r="Q316">
        <f>VLOOKUP(Misfit[[#This Row],[Shortname]], Comp[], 13, FALSE)</f>
        <v>0</v>
      </c>
      <c r="R316">
        <f>VLOOKUP(Misfit[[#This Row],[Shortname]], Comp[], 14, FALSE)</f>
        <v>0</v>
      </c>
      <c r="S316">
        <f>VLOOKUP(Misfit[[#This Row],[Shortname]], Comp[], 15, FALSE)</f>
        <v>0</v>
      </c>
      <c r="T316">
        <f>VLOOKUP(Misfit[[#This Row],[Shortname]], Comp[], 16, FALSE)</f>
        <v>0</v>
      </c>
      <c r="U316">
        <f>VLOOKUP(Misfit[[#This Row],[Shortname]], Comp[], 17, FALSE)</f>
        <v>0</v>
      </c>
      <c r="V316">
        <f>VLOOKUP(Misfit[[#This Row],[Shortname]], Comp[], 18, FALSE)</f>
        <v>0</v>
      </c>
      <c r="W316">
        <f>VLOOKUP(Misfit[[#This Row],[Shortname]], Comp[], 19, FALSE)</f>
        <v>0</v>
      </c>
      <c r="X316">
        <f>VLOOKUP(Misfit[[#This Row],[Shortname]], Comp[], 20, FALSE)</f>
        <v>0</v>
      </c>
      <c r="Y316">
        <f>VLOOKUP(Misfit[[#This Row],[Shortname]], Comp[], 21, FALSE)</f>
        <v>0</v>
      </c>
      <c r="Z316">
        <f>VLOOKUP(Misfit[[#This Row],[Shortname]], Comp[], 22, FALSE)</f>
        <v>0</v>
      </c>
      <c r="AA316">
        <f>VLOOKUP(Misfit[[#This Row],[Shortname]], Comp[], 23, FALSE)</f>
        <v>0</v>
      </c>
      <c r="AB316">
        <f>VLOOKUP(Misfit[[#This Row],[Shortname]], Comp[], 24, FALSE)</f>
        <v>0</v>
      </c>
      <c r="AC316">
        <f>VLOOKUP(Misfit[[#This Row],[Shortname]], Comp[], 25, FALSE)</f>
        <v>0</v>
      </c>
      <c r="AD316">
        <f>VLOOKUP(Misfit[[#This Row],[Shortname]], Comp[], 26, FALSE)</f>
        <v>0</v>
      </c>
      <c r="AE316">
        <f>VLOOKUP(Misfit[[#This Row],[Shortname]], Comp[], 27, FALSE)</f>
        <v>0</v>
      </c>
      <c r="AF316">
        <f>VLOOKUP(Misfit[[#This Row],[Shortname]], Comp[], 28, FALSE)</f>
        <v>0</v>
      </c>
      <c r="AG316">
        <f>VLOOKUP(Misfit[[#This Row],[Shortname]], Comp[], 29, FALSE)</f>
        <v>0</v>
      </c>
      <c r="AH316">
        <f>VLOOKUP(Misfit[[#This Row],[Shortname]], Comp[], 30, FALSE)</f>
        <v>0</v>
      </c>
      <c r="AI316">
        <f>VLOOKUP(Misfit[[#This Row],[Shortname]], Comp[], 31, FALSE)</f>
        <v>0</v>
      </c>
    </row>
    <row r="317" spans="1:35" x14ac:dyDescent="0.3">
      <c r="A317" s="12" t="s">
        <v>6111</v>
      </c>
      <c r="B317" s="12" t="s">
        <v>6112</v>
      </c>
      <c r="C317" s="12" t="s">
        <v>6099</v>
      </c>
      <c r="D317" s="12">
        <v>800</v>
      </c>
      <c r="E317" s="12">
        <v>25</v>
      </c>
      <c r="F317" s="12">
        <v>0.3579</v>
      </c>
      <c r="G317" s="12">
        <v>0.35580000000000001</v>
      </c>
      <c r="H317" s="41">
        <f t="shared" si="9"/>
        <v>5.8848255569566785E-3</v>
      </c>
      <c r="I317" s="12"/>
      <c r="J317">
        <f>VLOOKUP(Misfit[[#This Row],[Shortname]], Comp[], 6, FALSE)</f>
        <v>997</v>
      </c>
      <c r="K317">
        <f>VLOOKUP(Misfit[[#This Row],[Shortname]], Comp[], 7, FALSE)</f>
        <v>27.759999999999991</v>
      </c>
      <c r="L317">
        <f>VLOOKUP(Misfit[[#This Row],[Shortname]], Comp[], 8, FALSE)</f>
        <v>47.2</v>
      </c>
      <c r="M317">
        <f>VLOOKUP(Misfit[[#This Row],[Shortname]], Comp[], 9, FALSE)</f>
        <v>5.01</v>
      </c>
      <c r="N317">
        <f>VLOOKUP(Misfit[[#This Row],[Shortname]], Comp[], 10, FALSE)</f>
        <v>14.8</v>
      </c>
      <c r="O317">
        <f>VLOOKUP(Misfit[[#This Row],[Shortname]], Comp[], 11, FALSE)</f>
        <v>0</v>
      </c>
      <c r="P317">
        <f>VLOOKUP(Misfit[[#This Row],[Shortname]], Comp[],12, FALSE)</f>
        <v>5.23</v>
      </c>
      <c r="Q317">
        <f>VLOOKUP(Misfit[[#This Row],[Shortname]], Comp[], 13, FALSE)</f>
        <v>0</v>
      </c>
      <c r="R317">
        <f>VLOOKUP(Misfit[[#This Row],[Shortname]], Comp[], 14, FALSE)</f>
        <v>0</v>
      </c>
      <c r="S317">
        <f>VLOOKUP(Misfit[[#This Row],[Shortname]], Comp[], 15, FALSE)</f>
        <v>0</v>
      </c>
      <c r="T317">
        <f>VLOOKUP(Misfit[[#This Row],[Shortname]], Comp[], 16, FALSE)</f>
        <v>0</v>
      </c>
      <c r="U317">
        <f>VLOOKUP(Misfit[[#This Row],[Shortname]], Comp[], 17, FALSE)</f>
        <v>0</v>
      </c>
      <c r="V317">
        <f>VLOOKUP(Misfit[[#This Row],[Shortname]], Comp[], 18, FALSE)</f>
        <v>0</v>
      </c>
      <c r="W317">
        <f>VLOOKUP(Misfit[[#This Row],[Shortname]], Comp[], 19, FALSE)</f>
        <v>0</v>
      </c>
      <c r="X317">
        <f>VLOOKUP(Misfit[[#This Row],[Shortname]], Comp[], 20, FALSE)</f>
        <v>0</v>
      </c>
      <c r="Y317">
        <f>VLOOKUP(Misfit[[#This Row],[Shortname]], Comp[], 21, FALSE)</f>
        <v>0</v>
      </c>
      <c r="Z317">
        <f>VLOOKUP(Misfit[[#This Row],[Shortname]], Comp[], 22, FALSE)</f>
        <v>0</v>
      </c>
      <c r="AA317">
        <f>VLOOKUP(Misfit[[#This Row],[Shortname]], Comp[], 23, FALSE)</f>
        <v>0</v>
      </c>
      <c r="AB317">
        <f>VLOOKUP(Misfit[[#This Row],[Shortname]], Comp[], 24, FALSE)</f>
        <v>0</v>
      </c>
      <c r="AC317">
        <f>VLOOKUP(Misfit[[#This Row],[Shortname]], Comp[], 25, FALSE)</f>
        <v>0</v>
      </c>
      <c r="AD317">
        <f>VLOOKUP(Misfit[[#This Row],[Shortname]], Comp[], 26, FALSE)</f>
        <v>0</v>
      </c>
      <c r="AE317">
        <f>VLOOKUP(Misfit[[#This Row],[Shortname]], Comp[], 27, FALSE)</f>
        <v>0</v>
      </c>
      <c r="AF317">
        <f>VLOOKUP(Misfit[[#This Row],[Shortname]], Comp[], 28, FALSE)</f>
        <v>0</v>
      </c>
      <c r="AG317">
        <f>VLOOKUP(Misfit[[#This Row],[Shortname]], Comp[], 29, FALSE)</f>
        <v>0</v>
      </c>
      <c r="AH317">
        <f>VLOOKUP(Misfit[[#This Row],[Shortname]], Comp[], 30, FALSE)</f>
        <v>0</v>
      </c>
      <c r="AI317">
        <f>VLOOKUP(Misfit[[#This Row],[Shortname]], Comp[], 31, FALSE)</f>
        <v>0</v>
      </c>
    </row>
    <row r="318" spans="1:35" x14ac:dyDescent="0.3">
      <c r="A318" s="12" t="s">
        <v>6111</v>
      </c>
      <c r="B318" s="12" t="s">
        <v>6112</v>
      </c>
      <c r="C318" s="12" t="s">
        <v>6099</v>
      </c>
      <c r="D318" s="12">
        <v>800</v>
      </c>
      <c r="E318" s="12">
        <v>400</v>
      </c>
      <c r="F318" s="12">
        <v>0.35958999999999997</v>
      </c>
      <c r="G318" s="12">
        <v>0.35760000000000003</v>
      </c>
      <c r="H318" s="41">
        <f t="shared" si="9"/>
        <v>5.5494359932512618E-3</v>
      </c>
      <c r="I318" s="12"/>
      <c r="J318">
        <f>VLOOKUP(Misfit[[#This Row],[Shortname]], Comp[], 6, FALSE)</f>
        <v>997</v>
      </c>
      <c r="K318">
        <f>VLOOKUP(Misfit[[#This Row],[Shortname]], Comp[], 7, FALSE)</f>
        <v>27.759999999999991</v>
      </c>
      <c r="L318">
        <f>VLOOKUP(Misfit[[#This Row],[Shortname]], Comp[], 8, FALSE)</f>
        <v>47.2</v>
      </c>
      <c r="M318">
        <f>VLOOKUP(Misfit[[#This Row],[Shortname]], Comp[], 9, FALSE)</f>
        <v>5.01</v>
      </c>
      <c r="N318">
        <f>VLOOKUP(Misfit[[#This Row],[Shortname]], Comp[], 10, FALSE)</f>
        <v>14.8</v>
      </c>
      <c r="O318">
        <f>VLOOKUP(Misfit[[#This Row],[Shortname]], Comp[], 11, FALSE)</f>
        <v>0</v>
      </c>
      <c r="P318">
        <f>VLOOKUP(Misfit[[#This Row],[Shortname]], Comp[],12, FALSE)</f>
        <v>5.23</v>
      </c>
      <c r="Q318">
        <f>VLOOKUP(Misfit[[#This Row],[Shortname]], Comp[], 13, FALSE)</f>
        <v>0</v>
      </c>
      <c r="R318">
        <f>VLOOKUP(Misfit[[#This Row],[Shortname]], Comp[], 14, FALSE)</f>
        <v>0</v>
      </c>
      <c r="S318">
        <f>VLOOKUP(Misfit[[#This Row],[Shortname]], Comp[], 15, FALSE)</f>
        <v>0</v>
      </c>
      <c r="T318">
        <f>VLOOKUP(Misfit[[#This Row],[Shortname]], Comp[], 16, FALSE)</f>
        <v>0</v>
      </c>
      <c r="U318">
        <f>VLOOKUP(Misfit[[#This Row],[Shortname]], Comp[], 17, FALSE)</f>
        <v>0</v>
      </c>
      <c r="V318">
        <f>VLOOKUP(Misfit[[#This Row],[Shortname]], Comp[], 18, FALSE)</f>
        <v>0</v>
      </c>
      <c r="W318">
        <f>VLOOKUP(Misfit[[#This Row],[Shortname]], Comp[], 19, FALSE)</f>
        <v>0</v>
      </c>
      <c r="X318">
        <f>VLOOKUP(Misfit[[#This Row],[Shortname]], Comp[], 20, FALSE)</f>
        <v>0</v>
      </c>
      <c r="Y318">
        <f>VLOOKUP(Misfit[[#This Row],[Shortname]], Comp[], 21, FALSE)</f>
        <v>0</v>
      </c>
      <c r="Z318">
        <f>VLOOKUP(Misfit[[#This Row],[Shortname]], Comp[], 22, FALSE)</f>
        <v>0</v>
      </c>
      <c r="AA318">
        <f>VLOOKUP(Misfit[[#This Row],[Shortname]], Comp[], 23, FALSE)</f>
        <v>0</v>
      </c>
      <c r="AB318">
        <f>VLOOKUP(Misfit[[#This Row],[Shortname]], Comp[], 24, FALSE)</f>
        <v>0</v>
      </c>
      <c r="AC318">
        <f>VLOOKUP(Misfit[[#This Row],[Shortname]], Comp[], 25, FALSE)</f>
        <v>0</v>
      </c>
      <c r="AD318">
        <f>VLOOKUP(Misfit[[#This Row],[Shortname]], Comp[], 26, FALSE)</f>
        <v>0</v>
      </c>
      <c r="AE318">
        <f>VLOOKUP(Misfit[[#This Row],[Shortname]], Comp[], 27, FALSE)</f>
        <v>0</v>
      </c>
      <c r="AF318">
        <f>VLOOKUP(Misfit[[#This Row],[Shortname]], Comp[], 28, FALSE)</f>
        <v>0</v>
      </c>
      <c r="AG318">
        <f>VLOOKUP(Misfit[[#This Row],[Shortname]], Comp[], 29, FALSE)</f>
        <v>0</v>
      </c>
      <c r="AH318">
        <f>VLOOKUP(Misfit[[#This Row],[Shortname]], Comp[], 30, FALSE)</f>
        <v>0</v>
      </c>
      <c r="AI318">
        <f>VLOOKUP(Misfit[[#This Row],[Shortname]], Comp[], 31, FALSE)</f>
        <v>0</v>
      </c>
    </row>
    <row r="319" spans="1:35" x14ac:dyDescent="0.3">
      <c r="A319" s="12" t="s">
        <v>6111</v>
      </c>
      <c r="B319" s="12" t="s">
        <v>6112</v>
      </c>
      <c r="C319" s="12" t="s">
        <v>6099</v>
      </c>
      <c r="D319" s="12">
        <v>800</v>
      </c>
      <c r="E319" s="12">
        <v>600</v>
      </c>
      <c r="F319" s="12">
        <v>0.36082000000000003</v>
      </c>
      <c r="G319" s="12">
        <v>0.35894999999999999</v>
      </c>
      <c r="H319" s="41">
        <f t="shared" si="9"/>
        <v>5.1961043110994856E-3</v>
      </c>
      <c r="I319" s="12"/>
      <c r="J319">
        <f>VLOOKUP(Misfit[[#This Row],[Shortname]], Comp[], 6, FALSE)</f>
        <v>997</v>
      </c>
      <c r="K319">
        <f>VLOOKUP(Misfit[[#This Row],[Shortname]], Comp[], 7, FALSE)</f>
        <v>27.759999999999991</v>
      </c>
      <c r="L319">
        <f>VLOOKUP(Misfit[[#This Row],[Shortname]], Comp[], 8, FALSE)</f>
        <v>47.2</v>
      </c>
      <c r="M319">
        <f>VLOOKUP(Misfit[[#This Row],[Shortname]], Comp[], 9, FALSE)</f>
        <v>5.01</v>
      </c>
      <c r="N319">
        <f>VLOOKUP(Misfit[[#This Row],[Shortname]], Comp[], 10, FALSE)</f>
        <v>14.8</v>
      </c>
      <c r="O319">
        <f>VLOOKUP(Misfit[[#This Row],[Shortname]], Comp[], 11, FALSE)</f>
        <v>0</v>
      </c>
      <c r="P319">
        <f>VLOOKUP(Misfit[[#This Row],[Shortname]], Comp[],12, FALSE)</f>
        <v>5.23</v>
      </c>
      <c r="Q319">
        <f>VLOOKUP(Misfit[[#This Row],[Shortname]], Comp[], 13, FALSE)</f>
        <v>0</v>
      </c>
      <c r="R319">
        <f>VLOOKUP(Misfit[[#This Row],[Shortname]], Comp[], 14, FALSE)</f>
        <v>0</v>
      </c>
      <c r="S319">
        <f>VLOOKUP(Misfit[[#This Row],[Shortname]], Comp[], 15, FALSE)</f>
        <v>0</v>
      </c>
      <c r="T319">
        <f>VLOOKUP(Misfit[[#This Row],[Shortname]], Comp[], 16, FALSE)</f>
        <v>0</v>
      </c>
      <c r="U319">
        <f>VLOOKUP(Misfit[[#This Row],[Shortname]], Comp[], 17, FALSE)</f>
        <v>0</v>
      </c>
      <c r="V319">
        <f>VLOOKUP(Misfit[[#This Row],[Shortname]], Comp[], 18, FALSE)</f>
        <v>0</v>
      </c>
      <c r="W319">
        <f>VLOOKUP(Misfit[[#This Row],[Shortname]], Comp[], 19, FALSE)</f>
        <v>0</v>
      </c>
      <c r="X319">
        <f>VLOOKUP(Misfit[[#This Row],[Shortname]], Comp[], 20, FALSE)</f>
        <v>0</v>
      </c>
      <c r="Y319">
        <f>VLOOKUP(Misfit[[#This Row],[Shortname]], Comp[], 21, FALSE)</f>
        <v>0</v>
      </c>
      <c r="Z319">
        <f>VLOOKUP(Misfit[[#This Row],[Shortname]], Comp[], 22, FALSE)</f>
        <v>0</v>
      </c>
      <c r="AA319">
        <f>VLOOKUP(Misfit[[#This Row],[Shortname]], Comp[], 23, FALSE)</f>
        <v>0</v>
      </c>
      <c r="AB319">
        <f>VLOOKUP(Misfit[[#This Row],[Shortname]], Comp[], 24, FALSE)</f>
        <v>0</v>
      </c>
      <c r="AC319">
        <f>VLOOKUP(Misfit[[#This Row],[Shortname]], Comp[], 25, FALSE)</f>
        <v>0</v>
      </c>
      <c r="AD319">
        <f>VLOOKUP(Misfit[[#This Row],[Shortname]], Comp[], 26, FALSE)</f>
        <v>0</v>
      </c>
      <c r="AE319">
        <f>VLOOKUP(Misfit[[#This Row],[Shortname]], Comp[], 27, FALSE)</f>
        <v>0</v>
      </c>
      <c r="AF319">
        <f>VLOOKUP(Misfit[[#This Row],[Shortname]], Comp[], 28, FALSE)</f>
        <v>0</v>
      </c>
      <c r="AG319">
        <f>VLOOKUP(Misfit[[#This Row],[Shortname]], Comp[], 29, FALSE)</f>
        <v>0</v>
      </c>
      <c r="AH319">
        <f>VLOOKUP(Misfit[[#This Row],[Shortname]], Comp[], 30, FALSE)</f>
        <v>0</v>
      </c>
      <c r="AI319">
        <f>VLOOKUP(Misfit[[#This Row],[Shortname]], Comp[], 31, FALSE)</f>
        <v>0</v>
      </c>
    </row>
    <row r="320" spans="1:35" x14ac:dyDescent="0.3">
      <c r="A320" s="12" t="s">
        <v>6111</v>
      </c>
      <c r="B320" s="12" t="s">
        <v>6112</v>
      </c>
      <c r="C320" s="12" t="s">
        <v>6099</v>
      </c>
      <c r="D320" s="12">
        <v>800</v>
      </c>
      <c r="E320" s="12">
        <v>700</v>
      </c>
      <c r="F320" s="12">
        <v>0.36141000000000001</v>
      </c>
      <c r="G320" s="12">
        <v>0.35963000000000001</v>
      </c>
      <c r="H320" s="41">
        <f t="shared" si="9"/>
        <v>4.9373127704427046E-3</v>
      </c>
      <c r="I320" s="12"/>
      <c r="J320">
        <f>VLOOKUP(Misfit[[#This Row],[Shortname]], Comp[], 6, FALSE)</f>
        <v>997</v>
      </c>
      <c r="K320">
        <f>VLOOKUP(Misfit[[#This Row],[Shortname]], Comp[], 7, FALSE)</f>
        <v>27.759999999999991</v>
      </c>
      <c r="L320">
        <f>VLOOKUP(Misfit[[#This Row],[Shortname]], Comp[], 8, FALSE)</f>
        <v>47.2</v>
      </c>
      <c r="M320">
        <f>VLOOKUP(Misfit[[#This Row],[Shortname]], Comp[], 9, FALSE)</f>
        <v>5.01</v>
      </c>
      <c r="N320">
        <f>VLOOKUP(Misfit[[#This Row],[Shortname]], Comp[], 10, FALSE)</f>
        <v>14.8</v>
      </c>
      <c r="O320">
        <f>VLOOKUP(Misfit[[#This Row],[Shortname]], Comp[], 11, FALSE)</f>
        <v>0</v>
      </c>
      <c r="P320">
        <f>VLOOKUP(Misfit[[#This Row],[Shortname]], Comp[],12, FALSE)</f>
        <v>5.23</v>
      </c>
      <c r="Q320">
        <f>VLOOKUP(Misfit[[#This Row],[Shortname]], Comp[], 13, FALSE)</f>
        <v>0</v>
      </c>
      <c r="R320">
        <f>VLOOKUP(Misfit[[#This Row],[Shortname]], Comp[], 14, FALSE)</f>
        <v>0</v>
      </c>
      <c r="S320">
        <f>VLOOKUP(Misfit[[#This Row],[Shortname]], Comp[], 15, FALSE)</f>
        <v>0</v>
      </c>
      <c r="T320">
        <f>VLOOKUP(Misfit[[#This Row],[Shortname]], Comp[], 16, FALSE)</f>
        <v>0</v>
      </c>
      <c r="U320">
        <f>VLOOKUP(Misfit[[#This Row],[Shortname]], Comp[], 17, FALSE)</f>
        <v>0</v>
      </c>
      <c r="V320">
        <f>VLOOKUP(Misfit[[#This Row],[Shortname]], Comp[], 18, FALSE)</f>
        <v>0</v>
      </c>
      <c r="W320">
        <f>VLOOKUP(Misfit[[#This Row],[Shortname]], Comp[], 19, FALSE)</f>
        <v>0</v>
      </c>
      <c r="X320">
        <f>VLOOKUP(Misfit[[#This Row],[Shortname]], Comp[], 20, FALSE)</f>
        <v>0</v>
      </c>
      <c r="Y320">
        <f>VLOOKUP(Misfit[[#This Row],[Shortname]], Comp[], 21, FALSE)</f>
        <v>0</v>
      </c>
      <c r="Z320">
        <f>VLOOKUP(Misfit[[#This Row],[Shortname]], Comp[], 22, FALSE)</f>
        <v>0</v>
      </c>
      <c r="AA320">
        <f>VLOOKUP(Misfit[[#This Row],[Shortname]], Comp[], 23, FALSE)</f>
        <v>0</v>
      </c>
      <c r="AB320">
        <f>VLOOKUP(Misfit[[#This Row],[Shortname]], Comp[], 24, FALSE)</f>
        <v>0</v>
      </c>
      <c r="AC320">
        <f>VLOOKUP(Misfit[[#This Row],[Shortname]], Comp[], 25, FALSE)</f>
        <v>0</v>
      </c>
      <c r="AD320">
        <f>VLOOKUP(Misfit[[#This Row],[Shortname]], Comp[], 26, FALSE)</f>
        <v>0</v>
      </c>
      <c r="AE320">
        <f>VLOOKUP(Misfit[[#This Row],[Shortname]], Comp[], 27, FALSE)</f>
        <v>0</v>
      </c>
      <c r="AF320">
        <f>VLOOKUP(Misfit[[#This Row],[Shortname]], Comp[], 28, FALSE)</f>
        <v>0</v>
      </c>
      <c r="AG320">
        <f>VLOOKUP(Misfit[[#This Row],[Shortname]], Comp[], 29, FALSE)</f>
        <v>0</v>
      </c>
      <c r="AH320">
        <f>VLOOKUP(Misfit[[#This Row],[Shortname]], Comp[], 30, FALSE)</f>
        <v>0</v>
      </c>
      <c r="AI320">
        <f>VLOOKUP(Misfit[[#This Row],[Shortname]], Comp[], 31, FALSE)</f>
        <v>0</v>
      </c>
    </row>
    <row r="321" spans="1:35" x14ac:dyDescent="0.3">
      <c r="A321" s="12" t="s">
        <v>6111</v>
      </c>
      <c r="B321" s="12" t="s">
        <v>6112</v>
      </c>
      <c r="C321" s="12" t="s">
        <v>6099</v>
      </c>
      <c r="D321" s="12">
        <v>800</v>
      </c>
      <c r="E321" s="12">
        <v>800</v>
      </c>
      <c r="F321" s="12">
        <v>0.36202999999999996</v>
      </c>
      <c r="G321" s="12">
        <v>0.36042000000000002</v>
      </c>
      <c r="H321" s="41">
        <f t="shared" si="9"/>
        <v>4.4570558516158756E-3</v>
      </c>
      <c r="I321" s="12"/>
      <c r="J321">
        <f>VLOOKUP(Misfit[[#This Row],[Shortname]], Comp[], 6, FALSE)</f>
        <v>997</v>
      </c>
      <c r="K321">
        <f>VLOOKUP(Misfit[[#This Row],[Shortname]], Comp[], 7, FALSE)</f>
        <v>27.759999999999991</v>
      </c>
      <c r="L321">
        <f>VLOOKUP(Misfit[[#This Row],[Shortname]], Comp[], 8, FALSE)</f>
        <v>47.2</v>
      </c>
      <c r="M321">
        <f>VLOOKUP(Misfit[[#This Row],[Shortname]], Comp[], 9, FALSE)</f>
        <v>5.01</v>
      </c>
      <c r="N321">
        <f>VLOOKUP(Misfit[[#This Row],[Shortname]], Comp[], 10, FALSE)</f>
        <v>14.8</v>
      </c>
      <c r="O321">
        <f>VLOOKUP(Misfit[[#This Row],[Shortname]], Comp[], 11, FALSE)</f>
        <v>0</v>
      </c>
      <c r="P321">
        <f>VLOOKUP(Misfit[[#This Row],[Shortname]], Comp[],12, FALSE)</f>
        <v>5.23</v>
      </c>
      <c r="Q321">
        <f>VLOOKUP(Misfit[[#This Row],[Shortname]], Comp[], 13, FALSE)</f>
        <v>0</v>
      </c>
      <c r="R321">
        <f>VLOOKUP(Misfit[[#This Row],[Shortname]], Comp[], 14, FALSE)</f>
        <v>0</v>
      </c>
      <c r="S321">
        <f>VLOOKUP(Misfit[[#This Row],[Shortname]], Comp[], 15, FALSE)</f>
        <v>0</v>
      </c>
      <c r="T321">
        <f>VLOOKUP(Misfit[[#This Row],[Shortname]], Comp[], 16, FALSE)</f>
        <v>0</v>
      </c>
      <c r="U321">
        <f>VLOOKUP(Misfit[[#This Row],[Shortname]], Comp[], 17, FALSE)</f>
        <v>0</v>
      </c>
      <c r="V321">
        <f>VLOOKUP(Misfit[[#This Row],[Shortname]], Comp[], 18, FALSE)</f>
        <v>0</v>
      </c>
      <c r="W321">
        <f>VLOOKUP(Misfit[[#This Row],[Shortname]], Comp[], 19, FALSE)</f>
        <v>0</v>
      </c>
      <c r="X321">
        <f>VLOOKUP(Misfit[[#This Row],[Shortname]], Comp[], 20, FALSE)</f>
        <v>0</v>
      </c>
      <c r="Y321">
        <f>VLOOKUP(Misfit[[#This Row],[Shortname]], Comp[], 21, FALSE)</f>
        <v>0</v>
      </c>
      <c r="Z321">
        <f>VLOOKUP(Misfit[[#This Row],[Shortname]], Comp[], 22, FALSE)</f>
        <v>0</v>
      </c>
      <c r="AA321">
        <f>VLOOKUP(Misfit[[#This Row],[Shortname]], Comp[], 23, FALSE)</f>
        <v>0</v>
      </c>
      <c r="AB321">
        <f>VLOOKUP(Misfit[[#This Row],[Shortname]], Comp[], 24, FALSE)</f>
        <v>0</v>
      </c>
      <c r="AC321">
        <f>VLOOKUP(Misfit[[#This Row],[Shortname]], Comp[], 25, FALSE)</f>
        <v>0</v>
      </c>
      <c r="AD321">
        <f>VLOOKUP(Misfit[[#This Row],[Shortname]], Comp[], 26, FALSE)</f>
        <v>0</v>
      </c>
      <c r="AE321">
        <f>VLOOKUP(Misfit[[#This Row],[Shortname]], Comp[], 27, FALSE)</f>
        <v>0</v>
      </c>
      <c r="AF321">
        <f>VLOOKUP(Misfit[[#This Row],[Shortname]], Comp[], 28, FALSE)</f>
        <v>0</v>
      </c>
      <c r="AG321">
        <f>VLOOKUP(Misfit[[#This Row],[Shortname]], Comp[], 29, FALSE)</f>
        <v>0</v>
      </c>
      <c r="AH321">
        <f>VLOOKUP(Misfit[[#This Row],[Shortname]], Comp[], 30, FALSE)</f>
        <v>0</v>
      </c>
      <c r="AI321">
        <f>VLOOKUP(Misfit[[#This Row],[Shortname]], Comp[], 31, FALSE)</f>
        <v>0</v>
      </c>
    </row>
    <row r="322" spans="1:35" x14ac:dyDescent="0.3">
      <c r="A322" s="12" t="s">
        <v>6115</v>
      </c>
      <c r="B322" s="12" t="s">
        <v>6116</v>
      </c>
      <c r="C322" s="12" t="s">
        <v>6099</v>
      </c>
      <c r="D322" s="12">
        <v>800</v>
      </c>
      <c r="E322" s="12">
        <v>25</v>
      </c>
      <c r="F322" s="12">
        <v>0.3579</v>
      </c>
      <c r="G322" s="12">
        <v>0.35580000000000001</v>
      </c>
      <c r="H322" s="41">
        <f t="shared" si="9"/>
        <v>5.8848255569566785E-3</v>
      </c>
      <c r="I322" s="12"/>
      <c r="J322">
        <f>VLOOKUP(Misfit[[#This Row],[Shortname]], Comp[], 6, FALSE)</f>
        <v>998</v>
      </c>
      <c r="K322">
        <f>VLOOKUP(Misfit[[#This Row],[Shortname]], Comp[], 7, FALSE)</f>
        <v>37.21</v>
      </c>
      <c r="L322">
        <f>VLOOKUP(Misfit[[#This Row],[Shortname]], Comp[], 8, FALSE)</f>
        <v>37.700000000000003</v>
      </c>
      <c r="M322">
        <f>VLOOKUP(Misfit[[#This Row],[Shortname]], Comp[], 9, FALSE)</f>
        <v>5.01</v>
      </c>
      <c r="N322">
        <f>VLOOKUP(Misfit[[#This Row],[Shortname]], Comp[], 10, FALSE)</f>
        <v>15</v>
      </c>
      <c r="O322">
        <f>VLOOKUP(Misfit[[#This Row],[Shortname]], Comp[], 11, FALSE)</f>
        <v>0</v>
      </c>
      <c r="P322">
        <f>VLOOKUP(Misfit[[#This Row],[Shortname]], Comp[],12, FALSE)</f>
        <v>5.08</v>
      </c>
      <c r="Q322">
        <f>VLOOKUP(Misfit[[#This Row],[Shortname]], Comp[], 13, FALSE)</f>
        <v>0</v>
      </c>
      <c r="R322">
        <f>VLOOKUP(Misfit[[#This Row],[Shortname]], Comp[], 14, FALSE)</f>
        <v>0</v>
      </c>
      <c r="S322">
        <f>VLOOKUP(Misfit[[#This Row],[Shortname]], Comp[], 15, FALSE)</f>
        <v>0</v>
      </c>
      <c r="T322">
        <f>VLOOKUP(Misfit[[#This Row],[Shortname]], Comp[], 16, FALSE)</f>
        <v>0</v>
      </c>
      <c r="U322">
        <f>VLOOKUP(Misfit[[#This Row],[Shortname]], Comp[], 17, FALSE)</f>
        <v>0</v>
      </c>
      <c r="V322">
        <f>VLOOKUP(Misfit[[#This Row],[Shortname]], Comp[], 18, FALSE)</f>
        <v>0</v>
      </c>
      <c r="W322">
        <f>VLOOKUP(Misfit[[#This Row],[Shortname]], Comp[], 19, FALSE)</f>
        <v>0</v>
      </c>
      <c r="X322">
        <f>VLOOKUP(Misfit[[#This Row],[Shortname]], Comp[], 20, FALSE)</f>
        <v>0</v>
      </c>
      <c r="Y322">
        <f>VLOOKUP(Misfit[[#This Row],[Shortname]], Comp[], 21, FALSE)</f>
        <v>0</v>
      </c>
      <c r="Z322">
        <f>VLOOKUP(Misfit[[#This Row],[Shortname]], Comp[], 22, FALSE)</f>
        <v>0</v>
      </c>
      <c r="AA322">
        <f>VLOOKUP(Misfit[[#This Row],[Shortname]], Comp[], 23, FALSE)</f>
        <v>0</v>
      </c>
      <c r="AB322">
        <f>VLOOKUP(Misfit[[#This Row],[Shortname]], Comp[], 24, FALSE)</f>
        <v>0</v>
      </c>
      <c r="AC322">
        <f>VLOOKUP(Misfit[[#This Row],[Shortname]], Comp[], 25, FALSE)</f>
        <v>0</v>
      </c>
      <c r="AD322">
        <f>VLOOKUP(Misfit[[#This Row],[Shortname]], Comp[], 26, FALSE)</f>
        <v>0</v>
      </c>
      <c r="AE322">
        <f>VLOOKUP(Misfit[[#This Row],[Shortname]], Comp[], 27, FALSE)</f>
        <v>0</v>
      </c>
      <c r="AF322">
        <f>VLOOKUP(Misfit[[#This Row],[Shortname]], Comp[], 28, FALSE)</f>
        <v>0</v>
      </c>
      <c r="AG322">
        <f>VLOOKUP(Misfit[[#This Row],[Shortname]], Comp[], 29, FALSE)</f>
        <v>0</v>
      </c>
      <c r="AH322">
        <f>VLOOKUP(Misfit[[#This Row],[Shortname]], Comp[], 30, FALSE)</f>
        <v>0</v>
      </c>
      <c r="AI322">
        <f>VLOOKUP(Misfit[[#This Row],[Shortname]], Comp[], 31, FALSE)</f>
        <v>0</v>
      </c>
    </row>
    <row r="323" spans="1:35" x14ac:dyDescent="0.3">
      <c r="A323" s="12" t="s">
        <v>6115</v>
      </c>
      <c r="B323" s="12" t="s">
        <v>6116</v>
      </c>
      <c r="C323" s="12" t="s">
        <v>6099</v>
      </c>
      <c r="D323" s="12">
        <v>800</v>
      </c>
      <c r="E323" s="12">
        <v>400</v>
      </c>
      <c r="F323" s="12">
        <v>0.35975000000000001</v>
      </c>
      <c r="G323" s="12">
        <v>0.35770000000000002</v>
      </c>
      <c r="H323" s="41">
        <f t="shared" si="9"/>
        <v>5.714683950101042E-3</v>
      </c>
      <c r="I323" s="12"/>
      <c r="J323">
        <f>VLOOKUP(Misfit[[#This Row],[Shortname]], Comp[], 6, FALSE)</f>
        <v>998</v>
      </c>
      <c r="K323">
        <f>VLOOKUP(Misfit[[#This Row],[Shortname]], Comp[], 7, FALSE)</f>
        <v>37.21</v>
      </c>
      <c r="L323">
        <f>VLOOKUP(Misfit[[#This Row],[Shortname]], Comp[], 8, FALSE)</f>
        <v>37.700000000000003</v>
      </c>
      <c r="M323">
        <f>VLOOKUP(Misfit[[#This Row],[Shortname]], Comp[], 9, FALSE)</f>
        <v>5.01</v>
      </c>
      <c r="N323">
        <f>VLOOKUP(Misfit[[#This Row],[Shortname]], Comp[], 10, FALSE)</f>
        <v>15</v>
      </c>
      <c r="O323">
        <f>VLOOKUP(Misfit[[#This Row],[Shortname]], Comp[], 11, FALSE)</f>
        <v>0</v>
      </c>
      <c r="P323">
        <f>VLOOKUP(Misfit[[#This Row],[Shortname]], Comp[],12, FALSE)</f>
        <v>5.08</v>
      </c>
      <c r="Q323">
        <f>VLOOKUP(Misfit[[#This Row],[Shortname]], Comp[], 13, FALSE)</f>
        <v>0</v>
      </c>
      <c r="R323">
        <f>VLOOKUP(Misfit[[#This Row],[Shortname]], Comp[], 14, FALSE)</f>
        <v>0</v>
      </c>
      <c r="S323">
        <f>VLOOKUP(Misfit[[#This Row],[Shortname]], Comp[], 15, FALSE)</f>
        <v>0</v>
      </c>
      <c r="T323">
        <f>VLOOKUP(Misfit[[#This Row],[Shortname]], Comp[], 16, FALSE)</f>
        <v>0</v>
      </c>
      <c r="U323">
        <f>VLOOKUP(Misfit[[#This Row],[Shortname]], Comp[], 17, FALSE)</f>
        <v>0</v>
      </c>
      <c r="V323">
        <f>VLOOKUP(Misfit[[#This Row],[Shortname]], Comp[], 18, FALSE)</f>
        <v>0</v>
      </c>
      <c r="W323">
        <f>VLOOKUP(Misfit[[#This Row],[Shortname]], Comp[], 19, FALSE)</f>
        <v>0</v>
      </c>
      <c r="X323">
        <f>VLOOKUP(Misfit[[#This Row],[Shortname]], Comp[], 20, FALSE)</f>
        <v>0</v>
      </c>
      <c r="Y323">
        <f>VLOOKUP(Misfit[[#This Row],[Shortname]], Comp[], 21, FALSE)</f>
        <v>0</v>
      </c>
      <c r="Z323">
        <f>VLOOKUP(Misfit[[#This Row],[Shortname]], Comp[], 22, FALSE)</f>
        <v>0</v>
      </c>
      <c r="AA323">
        <f>VLOOKUP(Misfit[[#This Row],[Shortname]], Comp[], 23, FALSE)</f>
        <v>0</v>
      </c>
      <c r="AB323">
        <f>VLOOKUP(Misfit[[#This Row],[Shortname]], Comp[], 24, FALSE)</f>
        <v>0</v>
      </c>
      <c r="AC323">
        <f>VLOOKUP(Misfit[[#This Row],[Shortname]], Comp[], 25, FALSE)</f>
        <v>0</v>
      </c>
      <c r="AD323">
        <f>VLOOKUP(Misfit[[#This Row],[Shortname]], Comp[], 26, FALSE)</f>
        <v>0</v>
      </c>
      <c r="AE323">
        <f>VLOOKUP(Misfit[[#This Row],[Shortname]], Comp[], 27, FALSE)</f>
        <v>0</v>
      </c>
      <c r="AF323">
        <f>VLOOKUP(Misfit[[#This Row],[Shortname]], Comp[], 28, FALSE)</f>
        <v>0</v>
      </c>
      <c r="AG323">
        <f>VLOOKUP(Misfit[[#This Row],[Shortname]], Comp[], 29, FALSE)</f>
        <v>0</v>
      </c>
      <c r="AH323">
        <f>VLOOKUP(Misfit[[#This Row],[Shortname]], Comp[], 30, FALSE)</f>
        <v>0</v>
      </c>
      <c r="AI323">
        <f>VLOOKUP(Misfit[[#This Row],[Shortname]], Comp[], 31, FALSE)</f>
        <v>0</v>
      </c>
    </row>
    <row r="324" spans="1:35" x14ac:dyDescent="0.3">
      <c r="A324" s="12" t="s">
        <v>6115</v>
      </c>
      <c r="B324" s="12" t="s">
        <v>6116</v>
      </c>
      <c r="C324" s="12" t="s">
        <v>6099</v>
      </c>
      <c r="D324" s="12">
        <v>800</v>
      </c>
      <c r="E324" s="12">
        <v>600</v>
      </c>
      <c r="F324" s="12">
        <v>0.36089000000000004</v>
      </c>
      <c r="G324" s="12">
        <v>0.35896</v>
      </c>
      <c r="H324" s="41">
        <f t="shared" si="9"/>
        <v>5.362228241994978E-3</v>
      </c>
      <c r="I324" s="12"/>
      <c r="J324">
        <f>VLOOKUP(Misfit[[#This Row],[Shortname]], Comp[], 6, FALSE)</f>
        <v>998</v>
      </c>
      <c r="K324">
        <f>VLOOKUP(Misfit[[#This Row],[Shortname]], Comp[], 7, FALSE)</f>
        <v>37.21</v>
      </c>
      <c r="L324">
        <f>VLOOKUP(Misfit[[#This Row],[Shortname]], Comp[], 8, FALSE)</f>
        <v>37.700000000000003</v>
      </c>
      <c r="M324">
        <f>VLOOKUP(Misfit[[#This Row],[Shortname]], Comp[], 9, FALSE)</f>
        <v>5.01</v>
      </c>
      <c r="N324">
        <f>VLOOKUP(Misfit[[#This Row],[Shortname]], Comp[], 10, FALSE)</f>
        <v>15</v>
      </c>
      <c r="O324">
        <f>VLOOKUP(Misfit[[#This Row],[Shortname]], Comp[], 11, FALSE)</f>
        <v>0</v>
      </c>
      <c r="P324">
        <f>VLOOKUP(Misfit[[#This Row],[Shortname]], Comp[],12, FALSE)</f>
        <v>5.08</v>
      </c>
      <c r="Q324">
        <f>VLOOKUP(Misfit[[#This Row],[Shortname]], Comp[], 13, FALSE)</f>
        <v>0</v>
      </c>
      <c r="R324">
        <f>VLOOKUP(Misfit[[#This Row],[Shortname]], Comp[], 14, FALSE)</f>
        <v>0</v>
      </c>
      <c r="S324">
        <f>VLOOKUP(Misfit[[#This Row],[Shortname]], Comp[], 15, FALSE)</f>
        <v>0</v>
      </c>
      <c r="T324">
        <f>VLOOKUP(Misfit[[#This Row],[Shortname]], Comp[], 16, FALSE)</f>
        <v>0</v>
      </c>
      <c r="U324">
        <f>VLOOKUP(Misfit[[#This Row],[Shortname]], Comp[], 17, FALSE)</f>
        <v>0</v>
      </c>
      <c r="V324">
        <f>VLOOKUP(Misfit[[#This Row],[Shortname]], Comp[], 18, FALSE)</f>
        <v>0</v>
      </c>
      <c r="W324">
        <f>VLOOKUP(Misfit[[#This Row],[Shortname]], Comp[], 19, FALSE)</f>
        <v>0</v>
      </c>
      <c r="X324">
        <f>VLOOKUP(Misfit[[#This Row],[Shortname]], Comp[], 20, FALSE)</f>
        <v>0</v>
      </c>
      <c r="Y324">
        <f>VLOOKUP(Misfit[[#This Row],[Shortname]], Comp[], 21, FALSE)</f>
        <v>0</v>
      </c>
      <c r="Z324">
        <f>VLOOKUP(Misfit[[#This Row],[Shortname]], Comp[], 22, FALSE)</f>
        <v>0</v>
      </c>
      <c r="AA324">
        <f>VLOOKUP(Misfit[[#This Row],[Shortname]], Comp[], 23, FALSE)</f>
        <v>0</v>
      </c>
      <c r="AB324">
        <f>VLOOKUP(Misfit[[#This Row],[Shortname]], Comp[], 24, FALSE)</f>
        <v>0</v>
      </c>
      <c r="AC324">
        <f>VLOOKUP(Misfit[[#This Row],[Shortname]], Comp[], 25, FALSE)</f>
        <v>0</v>
      </c>
      <c r="AD324">
        <f>VLOOKUP(Misfit[[#This Row],[Shortname]], Comp[], 26, FALSE)</f>
        <v>0</v>
      </c>
      <c r="AE324">
        <f>VLOOKUP(Misfit[[#This Row],[Shortname]], Comp[], 27, FALSE)</f>
        <v>0</v>
      </c>
      <c r="AF324">
        <f>VLOOKUP(Misfit[[#This Row],[Shortname]], Comp[], 28, FALSE)</f>
        <v>0</v>
      </c>
      <c r="AG324">
        <f>VLOOKUP(Misfit[[#This Row],[Shortname]], Comp[], 29, FALSE)</f>
        <v>0</v>
      </c>
      <c r="AH324">
        <f>VLOOKUP(Misfit[[#This Row],[Shortname]], Comp[], 30, FALSE)</f>
        <v>0</v>
      </c>
      <c r="AI324">
        <f>VLOOKUP(Misfit[[#This Row],[Shortname]], Comp[], 31, FALSE)</f>
        <v>0</v>
      </c>
    </row>
    <row r="325" spans="1:35" x14ac:dyDescent="0.3">
      <c r="A325" s="12" t="s">
        <v>6115</v>
      </c>
      <c r="B325" s="12" t="s">
        <v>6116</v>
      </c>
      <c r="C325" s="12" t="s">
        <v>6099</v>
      </c>
      <c r="D325" s="12">
        <v>800</v>
      </c>
      <c r="E325" s="12">
        <v>700</v>
      </c>
      <c r="F325" s="12">
        <v>0.36151</v>
      </c>
      <c r="G325" s="12">
        <v>0.35964000000000002</v>
      </c>
      <c r="H325" s="41">
        <f t="shared" si="9"/>
        <v>5.1861609928585814E-3</v>
      </c>
      <c r="I325" s="12"/>
      <c r="J325">
        <f>VLOOKUP(Misfit[[#This Row],[Shortname]], Comp[], 6, FALSE)</f>
        <v>998</v>
      </c>
      <c r="K325">
        <f>VLOOKUP(Misfit[[#This Row],[Shortname]], Comp[], 7, FALSE)</f>
        <v>37.21</v>
      </c>
      <c r="L325">
        <f>VLOOKUP(Misfit[[#This Row],[Shortname]], Comp[], 8, FALSE)</f>
        <v>37.700000000000003</v>
      </c>
      <c r="M325">
        <f>VLOOKUP(Misfit[[#This Row],[Shortname]], Comp[], 9, FALSE)</f>
        <v>5.01</v>
      </c>
      <c r="N325">
        <f>VLOOKUP(Misfit[[#This Row],[Shortname]], Comp[], 10, FALSE)</f>
        <v>15</v>
      </c>
      <c r="O325">
        <f>VLOOKUP(Misfit[[#This Row],[Shortname]], Comp[], 11, FALSE)</f>
        <v>0</v>
      </c>
      <c r="P325">
        <f>VLOOKUP(Misfit[[#This Row],[Shortname]], Comp[],12, FALSE)</f>
        <v>5.08</v>
      </c>
      <c r="Q325">
        <f>VLOOKUP(Misfit[[#This Row],[Shortname]], Comp[], 13, FALSE)</f>
        <v>0</v>
      </c>
      <c r="R325">
        <f>VLOOKUP(Misfit[[#This Row],[Shortname]], Comp[], 14, FALSE)</f>
        <v>0</v>
      </c>
      <c r="S325">
        <f>VLOOKUP(Misfit[[#This Row],[Shortname]], Comp[], 15, FALSE)</f>
        <v>0</v>
      </c>
      <c r="T325">
        <f>VLOOKUP(Misfit[[#This Row],[Shortname]], Comp[], 16, FALSE)</f>
        <v>0</v>
      </c>
      <c r="U325">
        <f>VLOOKUP(Misfit[[#This Row],[Shortname]], Comp[], 17, FALSE)</f>
        <v>0</v>
      </c>
      <c r="V325">
        <f>VLOOKUP(Misfit[[#This Row],[Shortname]], Comp[], 18, FALSE)</f>
        <v>0</v>
      </c>
      <c r="W325">
        <f>VLOOKUP(Misfit[[#This Row],[Shortname]], Comp[], 19, FALSE)</f>
        <v>0</v>
      </c>
      <c r="X325">
        <f>VLOOKUP(Misfit[[#This Row],[Shortname]], Comp[], 20, FALSE)</f>
        <v>0</v>
      </c>
      <c r="Y325">
        <f>VLOOKUP(Misfit[[#This Row],[Shortname]], Comp[], 21, FALSE)</f>
        <v>0</v>
      </c>
      <c r="Z325">
        <f>VLOOKUP(Misfit[[#This Row],[Shortname]], Comp[], 22, FALSE)</f>
        <v>0</v>
      </c>
      <c r="AA325">
        <f>VLOOKUP(Misfit[[#This Row],[Shortname]], Comp[], 23, FALSE)</f>
        <v>0</v>
      </c>
      <c r="AB325">
        <f>VLOOKUP(Misfit[[#This Row],[Shortname]], Comp[], 24, FALSE)</f>
        <v>0</v>
      </c>
      <c r="AC325">
        <f>VLOOKUP(Misfit[[#This Row],[Shortname]], Comp[], 25, FALSE)</f>
        <v>0</v>
      </c>
      <c r="AD325">
        <f>VLOOKUP(Misfit[[#This Row],[Shortname]], Comp[], 26, FALSE)</f>
        <v>0</v>
      </c>
      <c r="AE325">
        <f>VLOOKUP(Misfit[[#This Row],[Shortname]], Comp[], 27, FALSE)</f>
        <v>0</v>
      </c>
      <c r="AF325">
        <f>VLOOKUP(Misfit[[#This Row],[Shortname]], Comp[], 28, FALSE)</f>
        <v>0</v>
      </c>
      <c r="AG325">
        <f>VLOOKUP(Misfit[[#This Row],[Shortname]], Comp[], 29, FALSE)</f>
        <v>0</v>
      </c>
      <c r="AH325">
        <f>VLOOKUP(Misfit[[#This Row],[Shortname]], Comp[], 30, FALSE)</f>
        <v>0</v>
      </c>
      <c r="AI325">
        <f>VLOOKUP(Misfit[[#This Row],[Shortname]], Comp[], 31, FALSE)</f>
        <v>0</v>
      </c>
    </row>
    <row r="326" spans="1:35" x14ac:dyDescent="0.3">
      <c r="A326" s="12" t="s">
        <v>6115</v>
      </c>
      <c r="B326" s="12" t="s">
        <v>6116</v>
      </c>
      <c r="C326" s="12" t="s">
        <v>6099</v>
      </c>
      <c r="D326" s="12">
        <v>800</v>
      </c>
      <c r="E326" s="12">
        <v>800</v>
      </c>
      <c r="F326" s="12">
        <v>0.36216999999999999</v>
      </c>
      <c r="G326" s="12">
        <v>0.36046</v>
      </c>
      <c r="H326" s="41">
        <f t="shared" si="9"/>
        <v>4.7327124531225916E-3</v>
      </c>
      <c r="I326" s="12"/>
      <c r="J326">
        <f>VLOOKUP(Misfit[[#This Row],[Shortname]], Comp[], 6, FALSE)</f>
        <v>998</v>
      </c>
      <c r="K326">
        <f>VLOOKUP(Misfit[[#This Row],[Shortname]], Comp[], 7, FALSE)</f>
        <v>37.21</v>
      </c>
      <c r="L326">
        <f>VLOOKUP(Misfit[[#This Row],[Shortname]], Comp[], 8, FALSE)</f>
        <v>37.700000000000003</v>
      </c>
      <c r="M326">
        <f>VLOOKUP(Misfit[[#This Row],[Shortname]], Comp[], 9, FALSE)</f>
        <v>5.01</v>
      </c>
      <c r="N326">
        <f>VLOOKUP(Misfit[[#This Row],[Shortname]], Comp[], 10, FALSE)</f>
        <v>15</v>
      </c>
      <c r="O326">
        <f>VLOOKUP(Misfit[[#This Row],[Shortname]], Comp[], 11, FALSE)</f>
        <v>0</v>
      </c>
      <c r="P326">
        <f>VLOOKUP(Misfit[[#This Row],[Shortname]], Comp[],12, FALSE)</f>
        <v>5.08</v>
      </c>
      <c r="Q326">
        <f>VLOOKUP(Misfit[[#This Row],[Shortname]], Comp[], 13, FALSE)</f>
        <v>0</v>
      </c>
      <c r="R326">
        <f>VLOOKUP(Misfit[[#This Row],[Shortname]], Comp[], 14, FALSE)</f>
        <v>0</v>
      </c>
      <c r="S326">
        <f>VLOOKUP(Misfit[[#This Row],[Shortname]], Comp[], 15, FALSE)</f>
        <v>0</v>
      </c>
      <c r="T326">
        <f>VLOOKUP(Misfit[[#This Row],[Shortname]], Comp[], 16, FALSE)</f>
        <v>0</v>
      </c>
      <c r="U326">
        <f>VLOOKUP(Misfit[[#This Row],[Shortname]], Comp[], 17, FALSE)</f>
        <v>0</v>
      </c>
      <c r="V326">
        <f>VLOOKUP(Misfit[[#This Row],[Shortname]], Comp[], 18, FALSE)</f>
        <v>0</v>
      </c>
      <c r="W326">
        <f>VLOOKUP(Misfit[[#This Row],[Shortname]], Comp[], 19, FALSE)</f>
        <v>0</v>
      </c>
      <c r="X326">
        <f>VLOOKUP(Misfit[[#This Row],[Shortname]], Comp[], 20, FALSE)</f>
        <v>0</v>
      </c>
      <c r="Y326">
        <f>VLOOKUP(Misfit[[#This Row],[Shortname]], Comp[], 21, FALSE)</f>
        <v>0</v>
      </c>
      <c r="Z326">
        <f>VLOOKUP(Misfit[[#This Row],[Shortname]], Comp[], 22, FALSE)</f>
        <v>0</v>
      </c>
      <c r="AA326">
        <f>VLOOKUP(Misfit[[#This Row],[Shortname]], Comp[], 23, FALSE)</f>
        <v>0</v>
      </c>
      <c r="AB326">
        <f>VLOOKUP(Misfit[[#This Row],[Shortname]], Comp[], 24, FALSE)</f>
        <v>0</v>
      </c>
      <c r="AC326">
        <f>VLOOKUP(Misfit[[#This Row],[Shortname]], Comp[], 25, FALSE)</f>
        <v>0</v>
      </c>
      <c r="AD326">
        <f>VLOOKUP(Misfit[[#This Row],[Shortname]], Comp[], 26, FALSE)</f>
        <v>0</v>
      </c>
      <c r="AE326">
        <f>VLOOKUP(Misfit[[#This Row],[Shortname]], Comp[], 27, FALSE)</f>
        <v>0</v>
      </c>
      <c r="AF326">
        <f>VLOOKUP(Misfit[[#This Row],[Shortname]], Comp[], 28, FALSE)</f>
        <v>0</v>
      </c>
      <c r="AG326">
        <f>VLOOKUP(Misfit[[#This Row],[Shortname]], Comp[], 29, FALSE)</f>
        <v>0</v>
      </c>
      <c r="AH326">
        <f>VLOOKUP(Misfit[[#This Row],[Shortname]], Comp[], 30, FALSE)</f>
        <v>0</v>
      </c>
      <c r="AI326">
        <f>VLOOKUP(Misfit[[#This Row],[Shortname]], Comp[], 31, FALSE)</f>
        <v>0</v>
      </c>
    </row>
    <row r="327" spans="1:35" x14ac:dyDescent="0.3">
      <c r="A327" s="12" t="s">
        <v>6119</v>
      </c>
      <c r="B327" s="12" t="s">
        <v>2317</v>
      </c>
      <c r="C327" s="12" t="s">
        <v>6099</v>
      </c>
      <c r="D327" s="12">
        <v>800</v>
      </c>
      <c r="E327" s="12">
        <v>25</v>
      </c>
      <c r="F327" s="12">
        <v>0.35583999999999999</v>
      </c>
      <c r="G327" s="12">
        <v>0.35388000000000003</v>
      </c>
      <c r="H327" s="41">
        <f t="shared" si="9"/>
        <v>5.5233049653383359E-3</v>
      </c>
      <c r="I327" s="12"/>
      <c r="J327">
        <f>VLOOKUP(Misfit[[#This Row],[Shortname]], Comp[], 6, FALSE)</f>
        <v>999</v>
      </c>
      <c r="K327">
        <f>VLOOKUP(Misfit[[#This Row],[Shortname]], Comp[], 7, FALSE)</f>
        <v>46.37</v>
      </c>
      <c r="L327">
        <f>VLOOKUP(Misfit[[#This Row],[Shortname]], Comp[], 8, FALSE)</f>
        <v>28.43</v>
      </c>
      <c r="M327">
        <f>VLOOKUP(Misfit[[#This Row],[Shortname]], Comp[], 9, FALSE)</f>
        <v>5</v>
      </c>
      <c r="N327">
        <f>VLOOKUP(Misfit[[#This Row],[Shortname]], Comp[], 10, FALSE)</f>
        <v>15</v>
      </c>
      <c r="O327">
        <f>VLOOKUP(Misfit[[#This Row],[Shortname]], Comp[], 11, FALSE)</f>
        <v>0</v>
      </c>
      <c r="P327">
        <f>VLOOKUP(Misfit[[#This Row],[Shortname]], Comp[],12, FALSE)</f>
        <v>5.2</v>
      </c>
      <c r="Q327">
        <f>VLOOKUP(Misfit[[#This Row],[Shortname]], Comp[], 13, FALSE)</f>
        <v>0</v>
      </c>
      <c r="R327">
        <f>VLOOKUP(Misfit[[#This Row],[Shortname]], Comp[], 14, FALSE)</f>
        <v>0</v>
      </c>
      <c r="S327">
        <f>VLOOKUP(Misfit[[#This Row],[Shortname]], Comp[], 15, FALSE)</f>
        <v>0</v>
      </c>
      <c r="T327">
        <f>VLOOKUP(Misfit[[#This Row],[Shortname]], Comp[], 16, FALSE)</f>
        <v>0</v>
      </c>
      <c r="U327">
        <f>VLOOKUP(Misfit[[#This Row],[Shortname]], Comp[], 17, FALSE)</f>
        <v>0</v>
      </c>
      <c r="V327">
        <f>VLOOKUP(Misfit[[#This Row],[Shortname]], Comp[], 18, FALSE)</f>
        <v>0</v>
      </c>
      <c r="W327">
        <f>VLOOKUP(Misfit[[#This Row],[Shortname]], Comp[], 19, FALSE)</f>
        <v>0</v>
      </c>
      <c r="X327">
        <f>VLOOKUP(Misfit[[#This Row],[Shortname]], Comp[], 20, FALSE)</f>
        <v>0</v>
      </c>
      <c r="Y327">
        <f>VLOOKUP(Misfit[[#This Row],[Shortname]], Comp[], 21, FALSE)</f>
        <v>0</v>
      </c>
      <c r="Z327">
        <f>VLOOKUP(Misfit[[#This Row],[Shortname]], Comp[], 22, FALSE)</f>
        <v>0</v>
      </c>
      <c r="AA327">
        <f>VLOOKUP(Misfit[[#This Row],[Shortname]], Comp[], 23, FALSE)</f>
        <v>0</v>
      </c>
      <c r="AB327">
        <f>VLOOKUP(Misfit[[#This Row],[Shortname]], Comp[], 24, FALSE)</f>
        <v>0</v>
      </c>
      <c r="AC327">
        <f>VLOOKUP(Misfit[[#This Row],[Shortname]], Comp[], 25, FALSE)</f>
        <v>0</v>
      </c>
      <c r="AD327">
        <f>VLOOKUP(Misfit[[#This Row],[Shortname]], Comp[], 26, FALSE)</f>
        <v>0</v>
      </c>
      <c r="AE327">
        <f>VLOOKUP(Misfit[[#This Row],[Shortname]], Comp[], 27, FALSE)</f>
        <v>0</v>
      </c>
      <c r="AF327">
        <f>VLOOKUP(Misfit[[#This Row],[Shortname]], Comp[], 28, FALSE)</f>
        <v>0</v>
      </c>
      <c r="AG327">
        <f>VLOOKUP(Misfit[[#This Row],[Shortname]], Comp[], 29, FALSE)</f>
        <v>0</v>
      </c>
      <c r="AH327">
        <f>VLOOKUP(Misfit[[#This Row],[Shortname]], Comp[], 30, FALSE)</f>
        <v>0</v>
      </c>
      <c r="AI327">
        <f>VLOOKUP(Misfit[[#This Row],[Shortname]], Comp[], 31, FALSE)</f>
        <v>0</v>
      </c>
    </row>
    <row r="328" spans="1:35" x14ac:dyDescent="0.3">
      <c r="A328" s="12" t="s">
        <v>6119</v>
      </c>
      <c r="B328" s="12" t="s">
        <v>2317</v>
      </c>
      <c r="C328" s="12" t="s">
        <v>6099</v>
      </c>
      <c r="D328" s="12">
        <v>800</v>
      </c>
      <c r="E328" s="12">
        <v>400</v>
      </c>
      <c r="F328" s="12">
        <v>0.35760000000000003</v>
      </c>
      <c r="G328" s="12">
        <v>0.35568</v>
      </c>
      <c r="H328" s="41">
        <f t="shared" si="9"/>
        <v>5.3835800807537932E-3</v>
      </c>
      <c r="I328" s="12"/>
      <c r="J328">
        <f>VLOOKUP(Misfit[[#This Row],[Shortname]], Comp[], 6, FALSE)</f>
        <v>999</v>
      </c>
      <c r="K328">
        <f>VLOOKUP(Misfit[[#This Row],[Shortname]], Comp[], 7, FALSE)</f>
        <v>46.37</v>
      </c>
      <c r="L328">
        <f>VLOOKUP(Misfit[[#This Row],[Shortname]], Comp[], 8, FALSE)</f>
        <v>28.43</v>
      </c>
      <c r="M328">
        <f>VLOOKUP(Misfit[[#This Row],[Shortname]], Comp[], 9, FALSE)</f>
        <v>5</v>
      </c>
      <c r="N328">
        <f>VLOOKUP(Misfit[[#This Row],[Shortname]], Comp[], 10, FALSE)</f>
        <v>15</v>
      </c>
      <c r="O328">
        <f>VLOOKUP(Misfit[[#This Row],[Shortname]], Comp[], 11, FALSE)</f>
        <v>0</v>
      </c>
      <c r="P328">
        <f>VLOOKUP(Misfit[[#This Row],[Shortname]], Comp[],12, FALSE)</f>
        <v>5.2</v>
      </c>
      <c r="Q328">
        <f>VLOOKUP(Misfit[[#This Row],[Shortname]], Comp[], 13, FALSE)</f>
        <v>0</v>
      </c>
      <c r="R328">
        <f>VLOOKUP(Misfit[[#This Row],[Shortname]], Comp[], 14, FALSE)</f>
        <v>0</v>
      </c>
      <c r="S328">
        <f>VLOOKUP(Misfit[[#This Row],[Shortname]], Comp[], 15, FALSE)</f>
        <v>0</v>
      </c>
      <c r="T328">
        <f>VLOOKUP(Misfit[[#This Row],[Shortname]], Comp[], 16, FALSE)</f>
        <v>0</v>
      </c>
      <c r="U328">
        <f>VLOOKUP(Misfit[[#This Row],[Shortname]], Comp[], 17, FALSE)</f>
        <v>0</v>
      </c>
      <c r="V328">
        <f>VLOOKUP(Misfit[[#This Row],[Shortname]], Comp[], 18, FALSE)</f>
        <v>0</v>
      </c>
      <c r="W328">
        <f>VLOOKUP(Misfit[[#This Row],[Shortname]], Comp[], 19, FALSE)</f>
        <v>0</v>
      </c>
      <c r="X328">
        <f>VLOOKUP(Misfit[[#This Row],[Shortname]], Comp[], 20, FALSE)</f>
        <v>0</v>
      </c>
      <c r="Y328">
        <f>VLOOKUP(Misfit[[#This Row],[Shortname]], Comp[], 21, FALSE)</f>
        <v>0</v>
      </c>
      <c r="Z328">
        <f>VLOOKUP(Misfit[[#This Row],[Shortname]], Comp[], 22, FALSE)</f>
        <v>0</v>
      </c>
      <c r="AA328">
        <f>VLOOKUP(Misfit[[#This Row],[Shortname]], Comp[], 23, FALSE)</f>
        <v>0</v>
      </c>
      <c r="AB328">
        <f>VLOOKUP(Misfit[[#This Row],[Shortname]], Comp[], 24, FALSE)</f>
        <v>0</v>
      </c>
      <c r="AC328">
        <f>VLOOKUP(Misfit[[#This Row],[Shortname]], Comp[], 25, FALSE)</f>
        <v>0</v>
      </c>
      <c r="AD328">
        <f>VLOOKUP(Misfit[[#This Row],[Shortname]], Comp[], 26, FALSE)</f>
        <v>0</v>
      </c>
      <c r="AE328">
        <f>VLOOKUP(Misfit[[#This Row],[Shortname]], Comp[], 27, FALSE)</f>
        <v>0</v>
      </c>
      <c r="AF328">
        <f>VLOOKUP(Misfit[[#This Row],[Shortname]], Comp[], 28, FALSE)</f>
        <v>0</v>
      </c>
      <c r="AG328">
        <f>VLOOKUP(Misfit[[#This Row],[Shortname]], Comp[], 29, FALSE)</f>
        <v>0</v>
      </c>
      <c r="AH328">
        <f>VLOOKUP(Misfit[[#This Row],[Shortname]], Comp[], 30, FALSE)</f>
        <v>0</v>
      </c>
      <c r="AI328">
        <f>VLOOKUP(Misfit[[#This Row],[Shortname]], Comp[], 31, FALSE)</f>
        <v>0</v>
      </c>
    </row>
    <row r="329" spans="1:35" x14ac:dyDescent="0.3">
      <c r="A329" s="12" t="s">
        <v>6119</v>
      </c>
      <c r="B329" s="12" t="s">
        <v>2317</v>
      </c>
      <c r="C329" s="12" t="s">
        <v>6099</v>
      </c>
      <c r="D329" s="12">
        <v>800</v>
      </c>
      <c r="E329" s="12">
        <v>600</v>
      </c>
      <c r="F329" s="12">
        <v>0.35882999999999998</v>
      </c>
      <c r="G329" s="12">
        <v>0.35697000000000001</v>
      </c>
      <c r="H329" s="41">
        <f t="shared" si="9"/>
        <v>5.1969823973176104E-3</v>
      </c>
      <c r="I329" s="12"/>
      <c r="J329">
        <f>VLOOKUP(Misfit[[#This Row],[Shortname]], Comp[], 6, FALSE)</f>
        <v>999</v>
      </c>
      <c r="K329">
        <f>VLOOKUP(Misfit[[#This Row],[Shortname]], Comp[], 7, FALSE)</f>
        <v>46.37</v>
      </c>
      <c r="L329">
        <f>VLOOKUP(Misfit[[#This Row],[Shortname]], Comp[], 8, FALSE)</f>
        <v>28.43</v>
      </c>
      <c r="M329">
        <f>VLOOKUP(Misfit[[#This Row],[Shortname]], Comp[], 9, FALSE)</f>
        <v>5</v>
      </c>
      <c r="N329">
        <f>VLOOKUP(Misfit[[#This Row],[Shortname]], Comp[], 10, FALSE)</f>
        <v>15</v>
      </c>
      <c r="O329">
        <f>VLOOKUP(Misfit[[#This Row],[Shortname]], Comp[], 11, FALSE)</f>
        <v>0</v>
      </c>
      <c r="P329">
        <f>VLOOKUP(Misfit[[#This Row],[Shortname]], Comp[],12, FALSE)</f>
        <v>5.2</v>
      </c>
      <c r="Q329">
        <f>VLOOKUP(Misfit[[#This Row],[Shortname]], Comp[], 13, FALSE)</f>
        <v>0</v>
      </c>
      <c r="R329">
        <f>VLOOKUP(Misfit[[#This Row],[Shortname]], Comp[], 14, FALSE)</f>
        <v>0</v>
      </c>
      <c r="S329">
        <f>VLOOKUP(Misfit[[#This Row],[Shortname]], Comp[], 15, FALSE)</f>
        <v>0</v>
      </c>
      <c r="T329">
        <f>VLOOKUP(Misfit[[#This Row],[Shortname]], Comp[], 16, FALSE)</f>
        <v>0</v>
      </c>
      <c r="U329">
        <f>VLOOKUP(Misfit[[#This Row],[Shortname]], Comp[], 17, FALSE)</f>
        <v>0</v>
      </c>
      <c r="V329">
        <f>VLOOKUP(Misfit[[#This Row],[Shortname]], Comp[], 18, FALSE)</f>
        <v>0</v>
      </c>
      <c r="W329">
        <f>VLOOKUP(Misfit[[#This Row],[Shortname]], Comp[], 19, FALSE)</f>
        <v>0</v>
      </c>
      <c r="X329">
        <f>VLOOKUP(Misfit[[#This Row],[Shortname]], Comp[], 20, FALSE)</f>
        <v>0</v>
      </c>
      <c r="Y329">
        <f>VLOOKUP(Misfit[[#This Row],[Shortname]], Comp[], 21, FALSE)</f>
        <v>0</v>
      </c>
      <c r="Z329">
        <f>VLOOKUP(Misfit[[#This Row],[Shortname]], Comp[], 22, FALSE)</f>
        <v>0</v>
      </c>
      <c r="AA329">
        <f>VLOOKUP(Misfit[[#This Row],[Shortname]], Comp[], 23, FALSE)</f>
        <v>0</v>
      </c>
      <c r="AB329">
        <f>VLOOKUP(Misfit[[#This Row],[Shortname]], Comp[], 24, FALSE)</f>
        <v>0</v>
      </c>
      <c r="AC329">
        <f>VLOOKUP(Misfit[[#This Row],[Shortname]], Comp[], 25, FALSE)</f>
        <v>0</v>
      </c>
      <c r="AD329">
        <f>VLOOKUP(Misfit[[#This Row],[Shortname]], Comp[], 26, FALSE)</f>
        <v>0</v>
      </c>
      <c r="AE329">
        <f>VLOOKUP(Misfit[[#This Row],[Shortname]], Comp[], 27, FALSE)</f>
        <v>0</v>
      </c>
      <c r="AF329">
        <f>VLOOKUP(Misfit[[#This Row],[Shortname]], Comp[], 28, FALSE)</f>
        <v>0</v>
      </c>
      <c r="AG329">
        <f>VLOOKUP(Misfit[[#This Row],[Shortname]], Comp[], 29, FALSE)</f>
        <v>0</v>
      </c>
      <c r="AH329">
        <f>VLOOKUP(Misfit[[#This Row],[Shortname]], Comp[], 30, FALSE)</f>
        <v>0</v>
      </c>
      <c r="AI329">
        <f>VLOOKUP(Misfit[[#This Row],[Shortname]], Comp[], 31, FALSE)</f>
        <v>0</v>
      </c>
    </row>
    <row r="330" spans="1:35" x14ac:dyDescent="0.3">
      <c r="A330" s="12" t="s">
        <v>6119</v>
      </c>
      <c r="B330" s="12" t="s">
        <v>2317</v>
      </c>
      <c r="C330" s="12" t="s">
        <v>6099</v>
      </c>
      <c r="D330" s="12">
        <v>800</v>
      </c>
      <c r="E330" s="12">
        <v>700</v>
      </c>
      <c r="F330" s="12">
        <v>0.35954999999999998</v>
      </c>
      <c r="G330" s="12">
        <v>0.35771999999999998</v>
      </c>
      <c r="H330" s="41">
        <f t="shared" si="9"/>
        <v>5.1026809987870635E-3</v>
      </c>
      <c r="I330" s="12"/>
      <c r="J330">
        <f>VLOOKUP(Misfit[[#This Row],[Shortname]], Comp[], 6, FALSE)</f>
        <v>999</v>
      </c>
      <c r="K330">
        <f>VLOOKUP(Misfit[[#This Row],[Shortname]], Comp[], 7, FALSE)</f>
        <v>46.37</v>
      </c>
      <c r="L330">
        <f>VLOOKUP(Misfit[[#This Row],[Shortname]], Comp[], 8, FALSE)</f>
        <v>28.43</v>
      </c>
      <c r="M330">
        <f>VLOOKUP(Misfit[[#This Row],[Shortname]], Comp[], 9, FALSE)</f>
        <v>5</v>
      </c>
      <c r="N330">
        <f>VLOOKUP(Misfit[[#This Row],[Shortname]], Comp[], 10, FALSE)</f>
        <v>15</v>
      </c>
      <c r="O330">
        <f>VLOOKUP(Misfit[[#This Row],[Shortname]], Comp[], 11, FALSE)</f>
        <v>0</v>
      </c>
      <c r="P330">
        <f>VLOOKUP(Misfit[[#This Row],[Shortname]], Comp[],12, FALSE)</f>
        <v>5.2</v>
      </c>
      <c r="Q330">
        <f>VLOOKUP(Misfit[[#This Row],[Shortname]], Comp[], 13, FALSE)</f>
        <v>0</v>
      </c>
      <c r="R330">
        <f>VLOOKUP(Misfit[[#This Row],[Shortname]], Comp[], 14, FALSE)</f>
        <v>0</v>
      </c>
      <c r="S330">
        <f>VLOOKUP(Misfit[[#This Row],[Shortname]], Comp[], 15, FALSE)</f>
        <v>0</v>
      </c>
      <c r="T330">
        <f>VLOOKUP(Misfit[[#This Row],[Shortname]], Comp[], 16, FALSE)</f>
        <v>0</v>
      </c>
      <c r="U330">
        <f>VLOOKUP(Misfit[[#This Row],[Shortname]], Comp[], 17, FALSE)</f>
        <v>0</v>
      </c>
      <c r="V330">
        <f>VLOOKUP(Misfit[[#This Row],[Shortname]], Comp[], 18, FALSE)</f>
        <v>0</v>
      </c>
      <c r="W330">
        <f>VLOOKUP(Misfit[[#This Row],[Shortname]], Comp[], 19, FALSE)</f>
        <v>0</v>
      </c>
      <c r="X330">
        <f>VLOOKUP(Misfit[[#This Row],[Shortname]], Comp[], 20, FALSE)</f>
        <v>0</v>
      </c>
      <c r="Y330">
        <f>VLOOKUP(Misfit[[#This Row],[Shortname]], Comp[], 21, FALSE)</f>
        <v>0</v>
      </c>
      <c r="Z330">
        <f>VLOOKUP(Misfit[[#This Row],[Shortname]], Comp[], 22, FALSE)</f>
        <v>0</v>
      </c>
      <c r="AA330">
        <f>VLOOKUP(Misfit[[#This Row],[Shortname]], Comp[], 23, FALSE)</f>
        <v>0</v>
      </c>
      <c r="AB330">
        <f>VLOOKUP(Misfit[[#This Row],[Shortname]], Comp[], 24, FALSE)</f>
        <v>0</v>
      </c>
      <c r="AC330">
        <f>VLOOKUP(Misfit[[#This Row],[Shortname]], Comp[], 25, FALSE)</f>
        <v>0</v>
      </c>
      <c r="AD330">
        <f>VLOOKUP(Misfit[[#This Row],[Shortname]], Comp[], 26, FALSE)</f>
        <v>0</v>
      </c>
      <c r="AE330">
        <f>VLOOKUP(Misfit[[#This Row],[Shortname]], Comp[], 27, FALSE)</f>
        <v>0</v>
      </c>
      <c r="AF330">
        <f>VLOOKUP(Misfit[[#This Row],[Shortname]], Comp[], 28, FALSE)</f>
        <v>0</v>
      </c>
      <c r="AG330">
        <f>VLOOKUP(Misfit[[#This Row],[Shortname]], Comp[], 29, FALSE)</f>
        <v>0</v>
      </c>
      <c r="AH330">
        <f>VLOOKUP(Misfit[[#This Row],[Shortname]], Comp[], 30, FALSE)</f>
        <v>0</v>
      </c>
      <c r="AI330">
        <f>VLOOKUP(Misfit[[#This Row],[Shortname]], Comp[], 31, FALSE)</f>
        <v>0</v>
      </c>
    </row>
    <row r="331" spans="1:35" x14ac:dyDescent="0.3">
      <c r="A331" s="12" t="s">
        <v>6119</v>
      </c>
      <c r="B331" s="12" t="s">
        <v>2317</v>
      </c>
      <c r="C331" s="12" t="s">
        <v>6099</v>
      </c>
      <c r="D331" s="12">
        <v>800</v>
      </c>
      <c r="E331" s="12">
        <v>800</v>
      </c>
      <c r="F331" s="12">
        <v>0.36024</v>
      </c>
      <c r="G331" s="12">
        <v>0.35853000000000002</v>
      </c>
      <c r="H331" s="41">
        <f t="shared" si="9"/>
        <v>4.7581284694686457E-3</v>
      </c>
      <c r="I331" s="12"/>
      <c r="J331">
        <f>VLOOKUP(Misfit[[#This Row],[Shortname]], Comp[], 6, FALSE)</f>
        <v>999</v>
      </c>
      <c r="K331">
        <f>VLOOKUP(Misfit[[#This Row],[Shortname]], Comp[], 7, FALSE)</f>
        <v>46.37</v>
      </c>
      <c r="L331">
        <f>VLOOKUP(Misfit[[#This Row],[Shortname]], Comp[], 8, FALSE)</f>
        <v>28.43</v>
      </c>
      <c r="M331">
        <f>VLOOKUP(Misfit[[#This Row],[Shortname]], Comp[], 9, FALSE)</f>
        <v>5</v>
      </c>
      <c r="N331">
        <f>VLOOKUP(Misfit[[#This Row],[Shortname]], Comp[], 10, FALSE)</f>
        <v>15</v>
      </c>
      <c r="O331">
        <f>VLOOKUP(Misfit[[#This Row],[Shortname]], Comp[], 11, FALSE)</f>
        <v>0</v>
      </c>
      <c r="P331">
        <f>VLOOKUP(Misfit[[#This Row],[Shortname]], Comp[],12, FALSE)</f>
        <v>5.2</v>
      </c>
      <c r="Q331">
        <f>VLOOKUP(Misfit[[#This Row],[Shortname]], Comp[], 13, FALSE)</f>
        <v>0</v>
      </c>
      <c r="R331">
        <f>VLOOKUP(Misfit[[#This Row],[Shortname]], Comp[], 14, FALSE)</f>
        <v>0</v>
      </c>
      <c r="S331">
        <f>VLOOKUP(Misfit[[#This Row],[Shortname]], Comp[], 15, FALSE)</f>
        <v>0</v>
      </c>
      <c r="T331">
        <f>VLOOKUP(Misfit[[#This Row],[Shortname]], Comp[], 16, FALSE)</f>
        <v>0</v>
      </c>
      <c r="U331">
        <f>VLOOKUP(Misfit[[#This Row],[Shortname]], Comp[], 17, FALSE)</f>
        <v>0</v>
      </c>
      <c r="V331">
        <f>VLOOKUP(Misfit[[#This Row],[Shortname]], Comp[], 18, FALSE)</f>
        <v>0</v>
      </c>
      <c r="W331">
        <f>VLOOKUP(Misfit[[#This Row],[Shortname]], Comp[], 19, FALSE)</f>
        <v>0</v>
      </c>
      <c r="X331">
        <f>VLOOKUP(Misfit[[#This Row],[Shortname]], Comp[], 20, FALSE)</f>
        <v>0</v>
      </c>
      <c r="Y331">
        <f>VLOOKUP(Misfit[[#This Row],[Shortname]], Comp[], 21, FALSE)</f>
        <v>0</v>
      </c>
      <c r="Z331">
        <f>VLOOKUP(Misfit[[#This Row],[Shortname]], Comp[], 22, FALSE)</f>
        <v>0</v>
      </c>
      <c r="AA331">
        <f>VLOOKUP(Misfit[[#This Row],[Shortname]], Comp[], 23, FALSE)</f>
        <v>0</v>
      </c>
      <c r="AB331">
        <f>VLOOKUP(Misfit[[#This Row],[Shortname]], Comp[], 24, FALSE)</f>
        <v>0</v>
      </c>
      <c r="AC331">
        <f>VLOOKUP(Misfit[[#This Row],[Shortname]], Comp[], 25, FALSE)</f>
        <v>0</v>
      </c>
      <c r="AD331">
        <f>VLOOKUP(Misfit[[#This Row],[Shortname]], Comp[], 26, FALSE)</f>
        <v>0</v>
      </c>
      <c r="AE331">
        <f>VLOOKUP(Misfit[[#This Row],[Shortname]], Comp[], 27, FALSE)</f>
        <v>0</v>
      </c>
      <c r="AF331">
        <f>VLOOKUP(Misfit[[#This Row],[Shortname]], Comp[], 28, FALSE)</f>
        <v>0</v>
      </c>
      <c r="AG331">
        <f>VLOOKUP(Misfit[[#This Row],[Shortname]], Comp[], 29, FALSE)</f>
        <v>0</v>
      </c>
      <c r="AH331">
        <f>VLOOKUP(Misfit[[#This Row],[Shortname]], Comp[], 30, FALSE)</f>
        <v>0</v>
      </c>
      <c r="AI331">
        <f>VLOOKUP(Misfit[[#This Row],[Shortname]], Comp[], 31, FALSE)</f>
        <v>0</v>
      </c>
    </row>
    <row r="332" spans="1:35" x14ac:dyDescent="0.3">
      <c r="A332" s="12" t="s">
        <v>6145</v>
      </c>
      <c r="B332" s="12" t="s">
        <v>6146</v>
      </c>
      <c r="C332" s="12" t="s">
        <v>6147</v>
      </c>
      <c r="D332" s="12">
        <v>900</v>
      </c>
      <c r="E332" s="12">
        <v>25</v>
      </c>
      <c r="F332" s="12">
        <v>0.36</v>
      </c>
      <c r="G332" s="12">
        <v>0.35870000000000002</v>
      </c>
      <c r="H332" s="42">
        <v>3.7000000000000002E-3</v>
      </c>
      <c r="I332" s="12"/>
      <c r="J332">
        <f>VLOOKUP(Misfit[[#This Row],[Shortname]], Comp[], 6, FALSE)</f>
        <v>1007</v>
      </c>
      <c r="K332">
        <f>VLOOKUP(Misfit[[#This Row],[Shortname]], Comp[], 7, FALSE)</f>
        <v>50.800000000000004</v>
      </c>
      <c r="L332">
        <f>VLOOKUP(Misfit[[#This Row],[Shortname]], Comp[], 8, FALSE)</f>
        <v>30.2</v>
      </c>
      <c r="M332">
        <f>VLOOKUP(Misfit[[#This Row],[Shortname]], Comp[], 9, FALSE)</f>
        <v>9.1</v>
      </c>
      <c r="N332">
        <f>VLOOKUP(Misfit[[#This Row],[Shortname]], Comp[], 10, FALSE)</f>
        <v>0</v>
      </c>
      <c r="O332">
        <f>VLOOKUP(Misfit[[#This Row],[Shortname]], Comp[], 11, FALSE)</f>
        <v>0</v>
      </c>
      <c r="P332">
        <f>VLOOKUP(Misfit[[#This Row],[Shortname]], Comp[],12, FALSE)</f>
        <v>0</v>
      </c>
      <c r="Q332">
        <f>VLOOKUP(Misfit[[#This Row],[Shortname]], Comp[], 13, FALSE)</f>
        <v>0</v>
      </c>
      <c r="R332">
        <f>VLOOKUP(Misfit[[#This Row],[Shortname]], Comp[], 14, FALSE)</f>
        <v>2.2999999999999998</v>
      </c>
      <c r="S332">
        <f>VLOOKUP(Misfit[[#This Row],[Shortname]], Comp[], 15, FALSE)</f>
        <v>0</v>
      </c>
      <c r="T332">
        <f>VLOOKUP(Misfit[[#This Row],[Shortname]], Comp[], 16, FALSE)</f>
        <v>5.5</v>
      </c>
      <c r="U332">
        <f>VLOOKUP(Misfit[[#This Row],[Shortname]], Comp[], 17, FALSE)</f>
        <v>0</v>
      </c>
      <c r="V332">
        <f>VLOOKUP(Misfit[[#This Row],[Shortname]], Comp[], 18, FALSE)</f>
        <v>0</v>
      </c>
      <c r="W332">
        <f>VLOOKUP(Misfit[[#This Row],[Shortname]], Comp[], 19, FALSE)</f>
        <v>0</v>
      </c>
      <c r="X332">
        <f>VLOOKUP(Misfit[[#This Row],[Shortname]], Comp[], 20, FALSE)</f>
        <v>0</v>
      </c>
      <c r="Y332">
        <f>VLOOKUP(Misfit[[#This Row],[Shortname]], Comp[], 21, FALSE)</f>
        <v>0</v>
      </c>
      <c r="Z332">
        <f>VLOOKUP(Misfit[[#This Row],[Shortname]], Comp[], 22, FALSE)</f>
        <v>0</v>
      </c>
      <c r="AA332">
        <f>VLOOKUP(Misfit[[#This Row],[Shortname]], Comp[], 23, FALSE)</f>
        <v>0</v>
      </c>
      <c r="AB332">
        <f>VLOOKUP(Misfit[[#This Row],[Shortname]], Comp[], 24, FALSE)</f>
        <v>0</v>
      </c>
      <c r="AC332">
        <f>VLOOKUP(Misfit[[#This Row],[Shortname]], Comp[], 25, FALSE)</f>
        <v>0</v>
      </c>
      <c r="AD332">
        <f>VLOOKUP(Misfit[[#This Row],[Shortname]], Comp[], 26, FALSE)</f>
        <v>0</v>
      </c>
      <c r="AE332">
        <f>VLOOKUP(Misfit[[#This Row],[Shortname]], Comp[], 27, FALSE)</f>
        <v>0</v>
      </c>
      <c r="AF332">
        <f>VLOOKUP(Misfit[[#This Row],[Shortname]], Comp[], 28, FALSE)</f>
        <v>0</v>
      </c>
      <c r="AG332">
        <f>VLOOKUP(Misfit[[#This Row],[Shortname]], Comp[], 29, FALSE)</f>
        <v>2.1</v>
      </c>
      <c r="AH332">
        <f>VLOOKUP(Misfit[[#This Row],[Shortname]], Comp[], 30, FALSE)</f>
        <v>0</v>
      </c>
      <c r="AI332">
        <f>VLOOKUP(Misfit[[#This Row],[Shortname]], Comp[], 31, FALSE)</f>
        <v>0</v>
      </c>
    </row>
    <row r="333" spans="1:35" x14ac:dyDescent="0.3">
      <c r="A333" s="12" t="s">
        <v>6190</v>
      </c>
      <c r="B333" s="12" t="s">
        <v>6191</v>
      </c>
      <c r="C333" s="12" t="s">
        <v>6192</v>
      </c>
      <c r="D333" s="12">
        <v>800</v>
      </c>
      <c r="E333" s="12">
        <v>25</v>
      </c>
      <c r="F333" s="12"/>
      <c r="G333" s="12"/>
      <c r="H333" s="41">
        <v>2.7000000000000001E-3</v>
      </c>
      <c r="I333" s="12"/>
      <c r="J333">
        <f>VLOOKUP(Misfit[[#This Row],[Shortname]], Comp[], 6, FALSE)</f>
        <v>1018</v>
      </c>
      <c r="K333">
        <f>VLOOKUP(Misfit[[#This Row],[Shortname]], Comp[], 7, FALSE)</f>
        <v>83.05</v>
      </c>
      <c r="L333">
        <f>VLOOKUP(Misfit[[#This Row],[Shortname]], Comp[], 8, FALSE)</f>
        <v>0</v>
      </c>
      <c r="M333">
        <f>VLOOKUP(Misfit[[#This Row],[Shortname]], Comp[], 9, FALSE)</f>
        <v>10.1</v>
      </c>
      <c r="N333">
        <f>VLOOKUP(Misfit[[#This Row],[Shortname]], Comp[], 10, FALSE)</f>
        <v>0</v>
      </c>
      <c r="O333">
        <f>VLOOKUP(Misfit[[#This Row],[Shortname]], Comp[], 11, FALSE)</f>
        <v>0</v>
      </c>
      <c r="P333">
        <f>VLOOKUP(Misfit[[#This Row],[Shortname]], Comp[],12, FALSE)</f>
        <v>0</v>
      </c>
      <c r="Q333">
        <f>VLOOKUP(Misfit[[#This Row],[Shortname]], Comp[], 13, FALSE)</f>
        <v>0</v>
      </c>
      <c r="R333">
        <f>VLOOKUP(Misfit[[#This Row],[Shortname]], Comp[], 14, FALSE)</f>
        <v>2.1</v>
      </c>
      <c r="S333">
        <f>VLOOKUP(Misfit[[#This Row],[Shortname]], Comp[], 15, FALSE)</f>
        <v>0.95</v>
      </c>
      <c r="T333">
        <f>VLOOKUP(Misfit[[#This Row],[Shortname]], Comp[], 16, FALSE)</f>
        <v>3.8</v>
      </c>
      <c r="U333">
        <f>VLOOKUP(Misfit[[#This Row],[Shortname]], Comp[], 17, FALSE)</f>
        <v>0</v>
      </c>
      <c r="V333">
        <f>VLOOKUP(Misfit[[#This Row],[Shortname]], Comp[], 18, FALSE)</f>
        <v>0</v>
      </c>
      <c r="W333">
        <f>VLOOKUP(Misfit[[#This Row],[Shortname]], Comp[], 19, FALSE)</f>
        <v>0</v>
      </c>
      <c r="X333">
        <f>VLOOKUP(Misfit[[#This Row],[Shortname]], Comp[], 20, FALSE)</f>
        <v>0</v>
      </c>
      <c r="Y333">
        <f>VLOOKUP(Misfit[[#This Row],[Shortname]], Comp[], 21, FALSE)</f>
        <v>0</v>
      </c>
      <c r="Z333">
        <f>VLOOKUP(Misfit[[#This Row],[Shortname]], Comp[], 22, FALSE)</f>
        <v>0</v>
      </c>
      <c r="AA333">
        <f>VLOOKUP(Misfit[[#This Row],[Shortname]], Comp[], 23, FALSE)</f>
        <v>0</v>
      </c>
      <c r="AB333">
        <f>VLOOKUP(Misfit[[#This Row],[Shortname]], Comp[], 24, FALSE)</f>
        <v>0</v>
      </c>
      <c r="AC333">
        <f>VLOOKUP(Misfit[[#This Row],[Shortname]], Comp[], 25, FALSE)</f>
        <v>0</v>
      </c>
      <c r="AD333">
        <f>VLOOKUP(Misfit[[#This Row],[Shortname]], Comp[], 26, FALSE)</f>
        <v>0</v>
      </c>
      <c r="AE333">
        <f>VLOOKUP(Misfit[[#This Row],[Shortname]], Comp[], 27, FALSE)</f>
        <v>0</v>
      </c>
      <c r="AF333">
        <f>VLOOKUP(Misfit[[#This Row],[Shortname]], Comp[], 28, FALSE)</f>
        <v>0</v>
      </c>
      <c r="AG333">
        <f>VLOOKUP(Misfit[[#This Row],[Shortname]], Comp[], 29, FALSE)</f>
        <v>0</v>
      </c>
      <c r="AH333">
        <f>VLOOKUP(Misfit[[#This Row],[Shortname]], Comp[], 30, FALSE)</f>
        <v>0</v>
      </c>
      <c r="AI333">
        <f>VLOOKUP(Misfit[[#This Row],[Shortname]], Comp[], 31, FALSE)</f>
        <v>0</v>
      </c>
    </row>
    <row r="334" spans="1:35" x14ac:dyDescent="0.3">
      <c r="A334" s="12" t="s">
        <v>6195</v>
      </c>
      <c r="B334" s="12" t="s">
        <v>6196</v>
      </c>
      <c r="C334" s="12" t="s">
        <v>6197</v>
      </c>
      <c r="D334" s="12">
        <v>800</v>
      </c>
      <c r="E334" s="12">
        <v>25</v>
      </c>
      <c r="F334" s="12"/>
      <c r="G334" s="12"/>
      <c r="H334" s="41">
        <v>2.3999999999999998E-3</v>
      </c>
      <c r="I334" s="12"/>
      <c r="J334">
        <f>VLOOKUP(Misfit[[#This Row],[Shortname]], Comp[], 6, FALSE)</f>
        <v>1019</v>
      </c>
      <c r="K334">
        <f>VLOOKUP(Misfit[[#This Row],[Shortname]], Comp[], 7, FALSE)</f>
        <v>83.8</v>
      </c>
      <c r="L334">
        <f>VLOOKUP(Misfit[[#This Row],[Shortname]], Comp[], 8, FALSE)</f>
        <v>0</v>
      </c>
      <c r="M334">
        <f>VLOOKUP(Misfit[[#This Row],[Shortname]], Comp[], 9, FALSE)</f>
        <v>9.3000000000000007</v>
      </c>
      <c r="N334">
        <f>VLOOKUP(Misfit[[#This Row],[Shortname]], Comp[], 10, FALSE)</f>
        <v>0</v>
      </c>
      <c r="O334">
        <f>VLOOKUP(Misfit[[#This Row],[Shortname]], Comp[], 11, FALSE)</f>
        <v>0</v>
      </c>
      <c r="P334">
        <f>VLOOKUP(Misfit[[#This Row],[Shortname]], Comp[],12, FALSE)</f>
        <v>0</v>
      </c>
      <c r="Q334">
        <f>VLOOKUP(Misfit[[#This Row],[Shortname]], Comp[], 13, FALSE)</f>
        <v>0</v>
      </c>
      <c r="R334">
        <f>VLOOKUP(Misfit[[#This Row],[Shortname]], Comp[], 14, FALSE)</f>
        <v>1.9</v>
      </c>
      <c r="S334">
        <f>VLOOKUP(Misfit[[#This Row],[Shortname]], Comp[], 15, FALSE)</f>
        <v>2.1</v>
      </c>
      <c r="T334">
        <f>VLOOKUP(Misfit[[#This Row],[Shortname]], Comp[], 16, FALSE)</f>
        <v>2.9</v>
      </c>
      <c r="U334">
        <f>VLOOKUP(Misfit[[#This Row],[Shortname]], Comp[], 17, FALSE)</f>
        <v>0</v>
      </c>
      <c r="V334">
        <f>VLOOKUP(Misfit[[#This Row],[Shortname]], Comp[], 18, FALSE)</f>
        <v>0</v>
      </c>
      <c r="W334">
        <f>VLOOKUP(Misfit[[#This Row],[Shortname]], Comp[], 19, FALSE)</f>
        <v>0</v>
      </c>
      <c r="X334">
        <f>VLOOKUP(Misfit[[#This Row],[Shortname]], Comp[], 20, FALSE)</f>
        <v>0</v>
      </c>
      <c r="Y334">
        <f>VLOOKUP(Misfit[[#This Row],[Shortname]], Comp[], 21, FALSE)</f>
        <v>0</v>
      </c>
      <c r="Z334">
        <f>VLOOKUP(Misfit[[#This Row],[Shortname]], Comp[], 22, FALSE)</f>
        <v>0</v>
      </c>
      <c r="AA334">
        <f>VLOOKUP(Misfit[[#This Row],[Shortname]], Comp[], 23, FALSE)</f>
        <v>0</v>
      </c>
      <c r="AB334">
        <f>VLOOKUP(Misfit[[#This Row],[Shortname]], Comp[], 24, FALSE)</f>
        <v>0</v>
      </c>
      <c r="AC334">
        <f>VLOOKUP(Misfit[[#This Row],[Shortname]], Comp[], 25, FALSE)</f>
        <v>0</v>
      </c>
      <c r="AD334">
        <f>VLOOKUP(Misfit[[#This Row],[Shortname]], Comp[], 26, FALSE)</f>
        <v>0</v>
      </c>
      <c r="AE334">
        <f>VLOOKUP(Misfit[[#This Row],[Shortname]], Comp[], 27, FALSE)</f>
        <v>0</v>
      </c>
      <c r="AF334">
        <f>VLOOKUP(Misfit[[#This Row],[Shortname]], Comp[], 28, FALSE)</f>
        <v>0</v>
      </c>
      <c r="AG334">
        <f>VLOOKUP(Misfit[[#This Row],[Shortname]], Comp[], 29, FALSE)</f>
        <v>0</v>
      </c>
      <c r="AH334">
        <f>VLOOKUP(Misfit[[#This Row],[Shortname]], Comp[], 30, FALSE)</f>
        <v>0</v>
      </c>
      <c r="AI334">
        <f>VLOOKUP(Misfit[[#This Row],[Shortname]], Comp[], 31, FALSE)</f>
        <v>0</v>
      </c>
    </row>
    <row r="335" spans="1:35" x14ac:dyDescent="0.3">
      <c r="A335" s="12" t="s">
        <v>6199</v>
      </c>
      <c r="B335" s="12" t="s">
        <v>6200</v>
      </c>
      <c r="C335" s="12" t="s">
        <v>6201</v>
      </c>
      <c r="D335" s="12">
        <v>800</v>
      </c>
      <c r="E335" s="12">
        <v>25</v>
      </c>
      <c r="F335" s="12"/>
      <c r="G335" s="12"/>
      <c r="H335" s="41">
        <v>2E-3</v>
      </c>
      <c r="I335" s="12"/>
      <c r="J335">
        <f>VLOOKUP(Misfit[[#This Row],[Shortname]], Comp[], 6, FALSE)</f>
        <v>1020</v>
      </c>
      <c r="K335">
        <f>VLOOKUP(Misfit[[#This Row],[Shortname]], Comp[], 7, FALSE)</f>
        <v>83.3</v>
      </c>
      <c r="L335">
        <f>VLOOKUP(Misfit[[#This Row],[Shortname]], Comp[], 8, FALSE)</f>
        <v>0</v>
      </c>
      <c r="M335">
        <f>VLOOKUP(Misfit[[#This Row],[Shortname]], Comp[], 9, FALSE)</f>
        <v>9.8000000000000007</v>
      </c>
      <c r="N335">
        <f>VLOOKUP(Misfit[[#This Row],[Shortname]], Comp[], 10, FALSE)</f>
        <v>0</v>
      </c>
      <c r="O335">
        <f>VLOOKUP(Misfit[[#This Row],[Shortname]], Comp[], 11, FALSE)</f>
        <v>0</v>
      </c>
      <c r="P335">
        <f>VLOOKUP(Misfit[[#This Row],[Shortname]], Comp[],12, FALSE)</f>
        <v>0</v>
      </c>
      <c r="Q335">
        <f>VLOOKUP(Misfit[[#This Row],[Shortname]], Comp[], 13, FALSE)</f>
        <v>0</v>
      </c>
      <c r="R335">
        <f>VLOOKUP(Misfit[[#This Row],[Shortname]], Comp[], 14, FALSE)</f>
        <v>2</v>
      </c>
      <c r="S335">
        <f>VLOOKUP(Misfit[[#This Row],[Shortname]], Comp[], 15, FALSE)</f>
        <v>2.9</v>
      </c>
      <c r="T335">
        <f>VLOOKUP(Misfit[[#This Row],[Shortname]], Comp[], 16, FALSE)</f>
        <v>2</v>
      </c>
      <c r="U335">
        <f>VLOOKUP(Misfit[[#This Row],[Shortname]], Comp[], 17, FALSE)</f>
        <v>0</v>
      </c>
      <c r="V335">
        <f>VLOOKUP(Misfit[[#This Row],[Shortname]], Comp[], 18, FALSE)</f>
        <v>0</v>
      </c>
      <c r="W335">
        <f>VLOOKUP(Misfit[[#This Row],[Shortname]], Comp[], 19, FALSE)</f>
        <v>0</v>
      </c>
      <c r="X335">
        <f>VLOOKUP(Misfit[[#This Row],[Shortname]], Comp[], 20, FALSE)</f>
        <v>0</v>
      </c>
      <c r="Y335">
        <f>VLOOKUP(Misfit[[#This Row],[Shortname]], Comp[], 21, FALSE)</f>
        <v>0</v>
      </c>
      <c r="Z335">
        <f>VLOOKUP(Misfit[[#This Row],[Shortname]], Comp[], 22, FALSE)</f>
        <v>0</v>
      </c>
      <c r="AA335">
        <f>VLOOKUP(Misfit[[#This Row],[Shortname]], Comp[], 23, FALSE)</f>
        <v>0</v>
      </c>
      <c r="AB335">
        <f>VLOOKUP(Misfit[[#This Row],[Shortname]], Comp[], 24, FALSE)</f>
        <v>0</v>
      </c>
      <c r="AC335">
        <f>VLOOKUP(Misfit[[#This Row],[Shortname]], Comp[], 25, FALSE)</f>
        <v>0</v>
      </c>
      <c r="AD335">
        <f>VLOOKUP(Misfit[[#This Row],[Shortname]], Comp[], 26, FALSE)</f>
        <v>0</v>
      </c>
      <c r="AE335">
        <f>VLOOKUP(Misfit[[#This Row],[Shortname]], Comp[], 27, FALSE)</f>
        <v>0</v>
      </c>
      <c r="AF335">
        <f>VLOOKUP(Misfit[[#This Row],[Shortname]], Comp[], 28, FALSE)</f>
        <v>0</v>
      </c>
      <c r="AG335">
        <f>VLOOKUP(Misfit[[#This Row],[Shortname]], Comp[], 29, FALSE)</f>
        <v>0</v>
      </c>
      <c r="AH335">
        <f>VLOOKUP(Misfit[[#This Row],[Shortname]], Comp[], 30, FALSE)</f>
        <v>0</v>
      </c>
      <c r="AI335">
        <f>VLOOKUP(Misfit[[#This Row],[Shortname]], Comp[], 31, FALSE)</f>
        <v>0</v>
      </c>
    </row>
    <row r="336" spans="1:35" x14ac:dyDescent="0.3">
      <c r="A336" s="12" t="s">
        <v>6204</v>
      </c>
      <c r="B336" s="12" t="s">
        <v>6205</v>
      </c>
      <c r="C336" s="12" t="s">
        <v>6206</v>
      </c>
      <c r="D336" s="12">
        <v>800</v>
      </c>
      <c r="E336" s="12">
        <v>25</v>
      </c>
      <c r="F336" s="12"/>
      <c r="G336" s="12"/>
      <c r="H336" s="41">
        <v>1.9E-3</v>
      </c>
      <c r="I336" s="12"/>
      <c r="J336">
        <f>VLOOKUP(Misfit[[#This Row],[Shortname]], Comp[], 6, FALSE)</f>
        <v>1021</v>
      </c>
      <c r="K336">
        <f>VLOOKUP(Misfit[[#This Row],[Shortname]], Comp[], 7, FALSE)</f>
        <v>83.4</v>
      </c>
      <c r="L336">
        <f>VLOOKUP(Misfit[[#This Row],[Shortname]], Comp[], 8, FALSE)</f>
        <v>0</v>
      </c>
      <c r="M336">
        <f>VLOOKUP(Misfit[[#This Row],[Shortname]], Comp[], 9, FALSE)</f>
        <v>9.6999999999999993</v>
      </c>
      <c r="N336">
        <f>VLOOKUP(Misfit[[#This Row],[Shortname]], Comp[], 10, FALSE)</f>
        <v>0</v>
      </c>
      <c r="O336">
        <f>VLOOKUP(Misfit[[#This Row],[Shortname]], Comp[], 11, FALSE)</f>
        <v>0</v>
      </c>
      <c r="P336">
        <f>VLOOKUP(Misfit[[#This Row],[Shortname]], Comp[],12, FALSE)</f>
        <v>0</v>
      </c>
      <c r="Q336">
        <f>VLOOKUP(Misfit[[#This Row],[Shortname]], Comp[], 13, FALSE)</f>
        <v>0</v>
      </c>
      <c r="R336">
        <f>VLOOKUP(Misfit[[#This Row],[Shortname]], Comp[], 14, FALSE)</f>
        <v>1.9</v>
      </c>
      <c r="S336">
        <f>VLOOKUP(Misfit[[#This Row],[Shortname]], Comp[], 15, FALSE)</f>
        <v>3.9</v>
      </c>
      <c r="T336">
        <f>VLOOKUP(Misfit[[#This Row],[Shortname]], Comp[], 16, FALSE)</f>
        <v>1.1000000000000001</v>
      </c>
      <c r="U336">
        <f>VLOOKUP(Misfit[[#This Row],[Shortname]], Comp[], 17, FALSE)</f>
        <v>0</v>
      </c>
      <c r="V336">
        <f>VLOOKUP(Misfit[[#This Row],[Shortname]], Comp[], 18, FALSE)</f>
        <v>0</v>
      </c>
      <c r="W336">
        <f>VLOOKUP(Misfit[[#This Row],[Shortname]], Comp[], 19, FALSE)</f>
        <v>0</v>
      </c>
      <c r="X336">
        <f>VLOOKUP(Misfit[[#This Row],[Shortname]], Comp[], 20, FALSE)</f>
        <v>0</v>
      </c>
      <c r="Y336">
        <f>VLOOKUP(Misfit[[#This Row],[Shortname]], Comp[], 21, FALSE)</f>
        <v>0</v>
      </c>
      <c r="Z336">
        <f>VLOOKUP(Misfit[[#This Row],[Shortname]], Comp[], 22, FALSE)</f>
        <v>0</v>
      </c>
      <c r="AA336">
        <f>VLOOKUP(Misfit[[#This Row],[Shortname]], Comp[], 23, FALSE)</f>
        <v>0</v>
      </c>
      <c r="AB336">
        <f>VLOOKUP(Misfit[[#This Row],[Shortname]], Comp[], 24, FALSE)</f>
        <v>0</v>
      </c>
      <c r="AC336">
        <f>VLOOKUP(Misfit[[#This Row],[Shortname]], Comp[], 25, FALSE)</f>
        <v>0</v>
      </c>
      <c r="AD336">
        <f>VLOOKUP(Misfit[[#This Row],[Shortname]], Comp[], 26, FALSE)</f>
        <v>0</v>
      </c>
      <c r="AE336">
        <f>VLOOKUP(Misfit[[#This Row],[Shortname]], Comp[], 27, FALSE)</f>
        <v>0</v>
      </c>
      <c r="AF336">
        <f>VLOOKUP(Misfit[[#This Row],[Shortname]], Comp[], 28, FALSE)</f>
        <v>0</v>
      </c>
      <c r="AG336">
        <f>VLOOKUP(Misfit[[#This Row],[Shortname]], Comp[], 29, FALSE)</f>
        <v>0</v>
      </c>
      <c r="AH336">
        <f>VLOOKUP(Misfit[[#This Row],[Shortname]], Comp[], 30, FALSE)</f>
        <v>0</v>
      </c>
      <c r="AI336">
        <f>VLOOKUP(Misfit[[#This Row],[Shortname]], Comp[], 31, FALSE)</f>
        <v>0</v>
      </c>
    </row>
    <row r="337" spans="1:35" x14ac:dyDescent="0.3">
      <c r="A337" s="12" t="s">
        <v>6209</v>
      </c>
      <c r="B337" s="12" t="s">
        <v>6210</v>
      </c>
      <c r="C337" s="12" t="s">
        <v>6211</v>
      </c>
      <c r="D337" s="12">
        <v>800</v>
      </c>
      <c r="E337" s="12">
        <v>25</v>
      </c>
      <c r="F337" s="12"/>
      <c r="G337" s="12"/>
      <c r="H337" s="41">
        <v>1.6000000000000001E-3</v>
      </c>
      <c r="I337" s="12"/>
      <c r="J337">
        <f>VLOOKUP(Misfit[[#This Row],[Shortname]], Comp[], 6, FALSE)</f>
        <v>1022</v>
      </c>
      <c r="K337">
        <f>VLOOKUP(Misfit[[#This Row],[Shortname]], Comp[], 7, FALSE)</f>
        <v>82.9</v>
      </c>
      <c r="L337">
        <f>VLOOKUP(Misfit[[#This Row],[Shortname]], Comp[], 8, FALSE)</f>
        <v>0</v>
      </c>
      <c r="M337">
        <f>VLOOKUP(Misfit[[#This Row],[Shortname]], Comp[], 9, FALSE)</f>
        <v>9.8000000000000007</v>
      </c>
      <c r="N337">
        <f>VLOOKUP(Misfit[[#This Row],[Shortname]], Comp[], 10, FALSE)</f>
        <v>0</v>
      </c>
      <c r="O337">
        <f>VLOOKUP(Misfit[[#This Row],[Shortname]], Comp[], 11, FALSE)</f>
        <v>0</v>
      </c>
      <c r="P337">
        <f>VLOOKUP(Misfit[[#This Row],[Shortname]], Comp[],12, FALSE)</f>
        <v>0</v>
      </c>
      <c r="Q337">
        <f>VLOOKUP(Misfit[[#This Row],[Shortname]], Comp[], 13, FALSE)</f>
        <v>0</v>
      </c>
      <c r="R337">
        <f>VLOOKUP(Misfit[[#This Row],[Shortname]], Comp[], 14, FALSE)</f>
        <v>2</v>
      </c>
      <c r="S337">
        <f>VLOOKUP(Misfit[[#This Row],[Shortname]], Comp[], 15, FALSE)</f>
        <v>5.3</v>
      </c>
      <c r="T337">
        <f>VLOOKUP(Misfit[[#This Row],[Shortname]], Comp[], 16, FALSE)</f>
        <v>0</v>
      </c>
      <c r="U337">
        <f>VLOOKUP(Misfit[[#This Row],[Shortname]], Comp[], 17, FALSE)</f>
        <v>0</v>
      </c>
      <c r="V337">
        <f>VLOOKUP(Misfit[[#This Row],[Shortname]], Comp[], 18, FALSE)</f>
        <v>0</v>
      </c>
      <c r="W337">
        <f>VLOOKUP(Misfit[[#This Row],[Shortname]], Comp[], 19, FALSE)</f>
        <v>0</v>
      </c>
      <c r="X337">
        <f>VLOOKUP(Misfit[[#This Row],[Shortname]], Comp[], 20, FALSE)</f>
        <v>0</v>
      </c>
      <c r="Y337">
        <f>VLOOKUP(Misfit[[#This Row],[Shortname]], Comp[], 21, FALSE)</f>
        <v>0</v>
      </c>
      <c r="Z337">
        <f>VLOOKUP(Misfit[[#This Row],[Shortname]], Comp[], 22, FALSE)</f>
        <v>0</v>
      </c>
      <c r="AA337">
        <f>VLOOKUP(Misfit[[#This Row],[Shortname]], Comp[], 23, FALSE)</f>
        <v>0</v>
      </c>
      <c r="AB337">
        <f>VLOOKUP(Misfit[[#This Row],[Shortname]], Comp[], 24, FALSE)</f>
        <v>0</v>
      </c>
      <c r="AC337">
        <f>VLOOKUP(Misfit[[#This Row],[Shortname]], Comp[], 25, FALSE)</f>
        <v>0</v>
      </c>
      <c r="AD337">
        <f>VLOOKUP(Misfit[[#This Row],[Shortname]], Comp[], 26, FALSE)</f>
        <v>0</v>
      </c>
      <c r="AE337">
        <f>VLOOKUP(Misfit[[#This Row],[Shortname]], Comp[], 27, FALSE)</f>
        <v>0</v>
      </c>
      <c r="AF337">
        <f>VLOOKUP(Misfit[[#This Row],[Shortname]], Comp[], 28, FALSE)</f>
        <v>0</v>
      </c>
      <c r="AG337">
        <f>VLOOKUP(Misfit[[#This Row],[Shortname]], Comp[], 29, FALSE)</f>
        <v>0</v>
      </c>
      <c r="AH337">
        <f>VLOOKUP(Misfit[[#This Row],[Shortname]], Comp[], 30, FALSE)</f>
        <v>0</v>
      </c>
      <c r="AI337">
        <f>VLOOKUP(Misfit[[#This Row],[Shortname]], Comp[], 31, FALSE)</f>
        <v>0</v>
      </c>
    </row>
    <row r="338" spans="1:35" x14ac:dyDescent="0.3">
      <c r="A338" s="12" t="s">
        <v>6214</v>
      </c>
      <c r="B338" s="12" t="s">
        <v>6215</v>
      </c>
      <c r="C338" s="12" t="s">
        <v>6216</v>
      </c>
      <c r="D338" s="12">
        <v>900</v>
      </c>
      <c r="E338" s="12">
        <v>25</v>
      </c>
      <c r="F338" s="12"/>
      <c r="G338" s="12"/>
      <c r="H338" s="41">
        <v>3.3999999999999998E-3</v>
      </c>
      <c r="I338" s="12"/>
      <c r="J338">
        <f>VLOOKUP(Misfit[[#This Row],[Shortname]], Comp[], 6, FALSE)</f>
        <v>1023</v>
      </c>
      <c r="K338">
        <f>VLOOKUP(Misfit[[#This Row],[Shortname]], Comp[], 7, FALSE)</f>
        <v>52.900000000000006</v>
      </c>
      <c r="L338">
        <f>VLOOKUP(Misfit[[#This Row],[Shortname]], Comp[], 8, FALSE)</f>
        <v>30</v>
      </c>
      <c r="M338">
        <f>VLOOKUP(Misfit[[#This Row],[Shortname]], Comp[], 9, FALSE)</f>
        <v>9.8000000000000007</v>
      </c>
      <c r="N338">
        <f>VLOOKUP(Misfit[[#This Row],[Shortname]], Comp[], 10, FALSE)</f>
        <v>0</v>
      </c>
      <c r="O338">
        <f>VLOOKUP(Misfit[[#This Row],[Shortname]], Comp[], 11, FALSE)</f>
        <v>0</v>
      </c>
      <c r="P338">
        <f>VLOOKUP(Misfit[[#This Row],[Shortname]], Comp[],12, FALSE)</f>
        <v>0</v>
      </c>
      <c r="Q338">
        <f>VLOOKUP(Misfit[[#This Row],[Shortname]], Comp[], 13, FALSE)</f>
        <v>0</v>
      </c>
      <c r="R338">
        <f>VLOOKUP(Misfit[[#This Row],[Shortname]], Comp[], 14, FALSE)</f>
        <v>2</v>
      </c>
      <c r="S338">
        <f>VLOOKUP(Misfit[[#This Row],[Shortname]], Comp[], 15, FALSE)</f>
        <v>5.3</v>
      </c>
      <c r="T338">
        <f>VLOOKUP(Misfit[[#This Row],[Shortname]], Comp[], 16, FALSE)</f>
        <v>0</v>
      </c>
      <c r="U338">
        <f>VLOOKUP(Misfit[[#This Row],[Shortname]], Comp[], 17, FALSE)</f>
        <v>0</v>
      </c>
      <c r="V338">
        <f>VLOOKUP(Misfit[[#This Row],[Shortname]], Comp[], 18, FALSE)</f>
        <v>0</v>
      </c>
      <c r="W338">
        <f>VLOOKUP(Misfit[[#This Row],[Shortname]], Comp[], 19, FALSE)</f>
        <v>0</v>
      </c>
      <c r="X338">
        <f>VLOOKUP(Misfit[[#This Row],[Shortname]], Comp[], 20, FALSE)</f>
        <v>0</v>
      </c>
      <c r="Y338">
        <f>VLOOKUP(Misfit[[#This Row],[Shortname]], Comp[], 21, FALSE)</f>
        <v>0</v>
      </c>
      <c r="Z338">
        <f>VLOOKUP(Misfit[[#This Row],[Shortname]], Comp[], 22, FALSE)</f>
        <v>0</v>
      </c>
      <c r="AA338">
        <f>VLOOKUP(Misfit[[#This Row],[Shortname]], Comp[], 23, FALSE)</f>
        <v>0</v>
      </c>
      <c r="AB338">
        <f>VLOOKUP(Misfit[[#This Row],[Shortname]], Comp[], 24, FALSE)</f>
        <v>0</v>
      </c>
      <c r="AC338">
        <f>VLOOKUP(Misfit[[#This Row],[Shortname]], Comp[], 25, FALSE)</f>
        <v>0</v>
      </c>
      <c r="AD338">
        <f>VLOOKUP(Misfit[[#This Row],[Shortname]], Comp[], 26, FALSE)</f>
        <v>0</v>
      </c>
      <c r="AE338">
        <f>VLOOKUP(Misfit[[#This Row],[Shortname]], Comp[], 27, FALSE)</f>
        <v>0</v>
      </c>
      <c r="AF338">
        <f>VLOOKUP(Misfit[[#This Row],[Shortname]], Comp[], 28, FALSE)</f>
        <v>0</v>
      </c>
      <c r="AG338">
        <f>VLOOKUP(Misfit[[#This Row],[Shortname]], Comp[], 29, FALSE)</f>
        <v>0</v>
      </c>
      <c r="AH338">
        <f>VLOOKUP(Misfit[[#This Row],[Shortname]], Comp[], 30, FALSE)</f>
        <v>0</v>
      </c>
      <c r="AI338">
        <f>VLOOKUP(Misfit[[#This Row],[Shortname]], Comp[], 31, FALSE)</f>
        <v>0</v>
      </c>
    </row>
    <row r="339" spans="1:35" x14ac:dyDescent="0.3">
      <c r="A339" s="12" t="s">
        <v>5411</v>
      </c>
      <c r="B339" s="12" t="s">
        <v>6222</v>
      </c>
      <c r="C339" s="12" t="s">
        <v>6223</v>
      </c>
      <c r="D339" s="12">
        <v>800</v>
      </c>
      <c r="E339" s="12">
        <v>25</v>
      </c>
      <c r="F339" s="12">
        <v>0.36080000000000001</v>
      </c>
      <c r="G339" s="12">
        <v>0.35752</v>
      </c>
      <c r="H339" s="41">
        <v>9.1000000000000004E-3</v>
      </c>
      <c r="I339" s="12"/>
      <c r="J339">
        <f>VLOOKUP(Misfit[[#This Row],[Shortname]], Comp[], 6, FALSE)</f>
        <v>828</v>
      </c>
      <c r="K339">
        <f>VLOOKUP(Misfit[[#This Row],[Shortname]], Comp[], 7, FALSE)</f>
        <v>88</v>
      </c>
      <c r="L339">
        <f>VLOOKUP(Misfit[[#This Row],[Shortname]], Comp[], 8, FALSE)</f>
        <v>0</v>
      </c>
      <c r="M339">
        <f>VLOOKUP(Misfit[[#This Row],[Shortname]], Comp[], 9, FALSE)</f>
        <v>0</v>
      </c>
      <c r="N339">
        <f>VLOOKUP(Misfit[[#This Row],[Shortname]], Comp[], 10, FALSE)</f>
        <v>0</v>
      </c>
      <c r="O339">
        <f>VLOOKUP(Misfit[[#This Row],[Shortname]], Comp[], 11, FALSE)</f>
        <v>0</v>
      </c>
      <c r="P339">
        <f>VLOOKUP(Misfit[[#This Row],[Shortname]], Comp[],12, FALSE)</f>
        <v>12</v>
      </c>
      <c r="Q339">
        <f>VLOOKUP(Misfit[[#This Row],[Shortname]], Comp[], 13, FALSE)</f>
        <v>0</v>
      </c>
      <c r="R339">
        <f>VLOOKUP(Misfit[[#This Row],[Shortname]], Comp[], 14, FALSE)</f>
        <v>0</v>
      </c>
      <c r="S339">
        <f>VLOOKUP(Misfit[[#This Row],[Shortname]], Comp[], 15, FALSE)</f>
        <v>0</v>
      </c>
      <c r="T339">
        <f>VLOOKUP(Misfit[[#This Row],[Shortname]], Comp[], 16, FALSE)</f>
        <v>0</v>
      </c>
      <c r="U339">
        <f>VLOOKUP(Misfit[[#This Row],[Shortname]], Comp[], 17, FALSE)</f>
        <v>0</v>
      </c>
      <c r="V339">
        <f>VLOOKUP(Misfit[[#This Row],[Shortname]], Comp[], 18, FALSE)</f>
        <v>0</v>
      </c>
      <c r="W339">
        <f>VLOOKUP(Misfit[[#This Row],[Shortname]], Comp[], 19, FALSE)</f>
        <v>0</v>
      </c>
      <c r="X339">
        <f>VLOOKUP(Misfit[[#This Row],[Shortname]], Comp[], 20, FALSE)</f>
        <v>0</v>
      </c>
      <c r="Y339">
        <f>VLOOKUP(Misfit[[#This Row],[Shortname]], Comp[], 21, FALSE)</f>
        <v>0</v>
      </c>
      <c r="Z339">
        <f>VLOOKUP(Misfit[[#This Row],[Shortname]], Comp[], 22, FALSE)</f>
        <v>0</v>
      </c>
      <c r="AA339">
        <f>VLOOKUP(Misfit[[#This Row],[Shortname]], Comp[], 23, FALSE)</f>
        <v>0</v>
      </c>
      <c r="AB339">
        <f>VLOOKUP(Misfit[[#This Row],[Shortname]], Comp[], 24, FALSE)</f>
        <v>0</v>
      </c>
      <c r="AC339">
        <f>VLOOKUP(Misfit[[#This Row],[Shortname]], Comp[], 25, FALSE)</f>
        <v>0</v>
      </c>
      <c r="AD339">
        <f>VLOOKUP(Misfit[[#This Row],[Shortname]], Comp[], 26, FALSE)</f>
        <v>0</v>
      </c>
      <c r="AE339">
        <f>VLOOKUP(Misfit[[#This Row],[Shortname]], Comp[], 27, FALSE)</f>
        <v>0</v>
      </c>
      <c r="AF339">
        <f>VLOOKUP(Misfit[[#This Row],[Shortname]], Comp[], 28, FALSE)</f>
        <v>0</v>
      </c>
      <c r="AG339">
        <f>VLOOKUP(Misfit[[#This Row],[Shortname]], Comp[], 29, FALSE)</f>
        <v>0</v>
      </c>
      <c r="AH339">
        <f>VLOOKUP(Misfit[[#This Row],[Shortname]], Comp[], 30, FALSE)</f>
        <v>0</v>
      </c>
      <c r="AI339">
        <f>VLOOKUP(Misfit[[#This Row],[Shortname]], Comp[], 31, FALSE)</f>
        <v>0</v>
      </c>
    </row>
    <row r="340" spans="1:35" x14ac:dyDescent="0.3">
      <c r="A340" s="12" t="s">
        <v>6225</v>
      </c>
      <c r="B340" s="12" t="s">
        <v>6226</v>
      </c>
      <c r="C340" s="12" t="s">
        <v>6223</v>
      </c>
      <c r="D340" s="12">
        <v>800</v>
      </c>
      <c r="E340" s="12">
        <v>25</v>
      </c>
      <c r="F340" s="12">
        <v>0.35854000000000003</v>
      </c>
      <c r="G340" s="12">
        <v>0.35741000000000001</v>
      </c>
      <c r="H340" s="41">
        <v>3.2000000000000002E-3</v>
      </c>
      <c r="I340" s="12"/>
      <c r="J340">
        <f>VLOOKUP(Misfit[[#This Row],[Shortname]], Comp[], 6, FALSE)</f>
        <v>1026</v>
      </c>
      <c r="K340">
        <f>VLOOKUP(Misfit[[#This Row],[Shortname]], Comp[], 7, FALSE)</f>
        <v>83.61</v>
      </c>
      <c r="L340">
        <f>VLOOKUP(Misfit[[#This Row],[Shortname]], Comp[], 8, FALSE)</f>
        <v>0</v>
      </c>
      <c r="M340">
        <f>VLOOKUP(Misfit[[#This Row],[Shortname]], Comp[], 9, FALSE)</f>
        <v>0</v>
      </c>
      <c r="N340">
        <f>VLOOKUP(Misfit[[#This Row],[Shortname]], Comp[], 10, FALSE)</f>
        <v>0</v>
      </c>
      <c r="O340">
        <f>VLOOKUP(Misfit[[#This Row],[Shortname]], Comp[], 11, FALSE)</f>
        <v>0</v>
      </c>
      <c r="P340">
        <f>VLOOKUP(Misfit[[#This Row],[Shortname]], Comp[],12, FALSE)</f>
        <v>10.199999999999999</v>
      </c>
      <c r="Q340">
        <f>VLOOKUP(Misfit[[#This Row],[Shortname]], Comp[], 13, FALSE)</f>
        <v>0</v>
      </c>
      <c r="R340">
        <f>VLOOKUP(Misfit[[#This Row],[Shortname]], Comp[], 14, FALSE)</f>
        <v>0</v>
      </c>
      <c r="S340">
        <f>VLOOKUP(Misfit[[#This Row],[Shortname]], Comp[], 15, FALSE)</f>
        <v>6.19</v>
      </c>
      <c r="T340">
        <f>VLOOKUP(Misfit[[#This Row],[Shortname]], Comp[], 16, FALSE)</f>
        <v>0</v>
      </c>
      <c r="U340">
        <f>VLOOKUP(Misfit[[#This Row],[Shortname]], Comp[], 17, FALSE)</f>
        <v>0</v>
      </c>
      <c r="V340">
        <f>VLOOKUP(Misfit[[#This Row],[Shortname]], Comp[], 18, FALSE)</f>
        <v>0</v>
      </c>
      <c r="W340">
        <f>VLOOKUP(Misfit[[#This Row],[Shortname]], Comp[], 19, FALSE)</f>
        <v>0</v>
      </c>
      <c r="X340">
        <f>VLOOKUP(Misfit[[#This Row],[Shortname]], Comp[], 20, FALSE)</f>
        <v>0</v>
      </c>
      <c r="Y340">
        <f>VLOOKUP(Misfit[[#This Row],[Shortname]], Comp[], 21, FALSE)</f>
        <v>0</v>
      </c>
      <c r="Z340">
        <f>VLOOKUP(Misfit[[#This Row],[Shortname]], Comp[], 22, FALSE)</f>
        <v>0</v>
      </c>
      <c r="AA340">
        <f>VLOOKUP(Misfit[[#This Row],[Shortname]], Comp[], 23, FALSE)</f>
        <v>0</v>
      </c>
      <c r="AB340">
        <f>VLOOKUP(Misfit[[#This Row],[Shortname]], Comp[], 24, FALSE)</f>
        <v>0</v>
      </c>
      <c r="AC340">
        <f>VLOOKUP(Misfit[[#This Row],[Shortname]], Comp[], 25, FALSE)</f>
        <v>0</v>
      </c>
      <c r="AD340">
        <f>VLOOKUP(Misfit[[#This Row],[Shortname]], Comp[], 26, FALSE)</f>
        <v>0</v>
      </c>
      <c r="AE340">
        <f>VLOOKUP(Misfit[[#This Row],[Shortname]], Comp[], 27, FALSE)</f>
        <v>0</v>
      </c>
      <c r="AF340">
        <f>VLOOKUP(Misfit[[#This Row],[Shortname]], Comp[], 28, FALSE)</f>
        <v>0</v>
      </c>
      <c r="AG340">
        <f>VLOOKUP(Misfit[[#This Row],[Shortname]], Comp[], 29, FALSE)</f>
        <v>0</v>
      </c>
      <c r="AH340">
        <f>VLOOKUP(Misfit[[#This Row],[Shortname]], Comp[], 30, FALSE)</f>
        <v>0</v>
      </c>
      <c r="AI340">
        <f>VLOOKUP(Misfit[[#This Row],[Shortname]], Comp[], 31, FALSE)</f>
        <v>0</v>
      </c>
    </row>
    <row r="341" spans="1:35" x14ac:dyDescent="0.3">
      <c r="A341" s="12" t="s">
        <v>6230</v>
      </c>
      <c r="B341" s="12" t="s">
        <v>6231</v>
      </c>
      <c r="C341" s="12" t="s">
        <v>6223</v>
      </c>
      <c r="D341" s="12">
        <v>800</v>
      </c>
      <c r="E341" s="12">
        <v>25</v>
      </c>
      <c r="F341" s="12">
        <v>0.35596</v>
      </c>
      <c r="G341" s="12">
        <v>0.3574</v>
      </c>
      <c r="H341" s="41">
        <v>-4.0000000000000001E-3</v>
      </c>
      <c r="I341" s="12"/>
      <c r="J341">
        <f>VLOOKUP(Misfit[[#This Row],[Shortname]], Comp[], 6, FALSE)</f>
        <v>1027</v>
      </c>
      <c r="K341">
        <f>VLOOKUP(Misfit[[#This Row],[Shortname]], Comp[], 7, FALSE)</f>
        <v>82.31</v>
      </c>
      <c r="L341">
        <f>VLOOKUP(Misfit[[#This Row],[Shortname]], Comp[], 8, FALSE)</f>
        <v>0</v>
      </c>
      <c r="M341">
        <f>VLOOKUP(Misfit[[#This Row],[Shortname]], Comp[], 9, FALSE)</f>
        <v>0</v>
      </c>
      <c r="N341">
        <f>VLOOKUP(Misfit[[#This Row],[Shortname]], Comp[], 10, FALSE)</f>
        <v>0</v>
      </c>
      <c r="O341">
        <f>VLOOKUP(Misfit[[#This Row],[Shortname]], Comp[], 11, FALSE)</f>
        <v>0</v>
      </c>
      <c r="P341">
        <f>VLOOKUP(Misfit[[#This Row],[Shortname]], Comp[],12, FALSE)</f>
        <v>6.28</v>
      </c>
      <c r="Q341">
        <f>VLOOKUP(Misfit[[#This Row],[Shortname]], Comp[], 13, FALSE)</f>
        <v>0</v>
      </c>
      <c r="R341">
        <f>VLOOKUP(Misfit[[#This Row],[Shortname]], Comp[], 14, FALSE)</f>
        <v>0</v>
      </c>
      <c r="S341">
        <f>VLOOKUP(Misfit[[#This Row],[Shortname]], Comp[], 15, FALSE)</f>
        <v>11.41</v>
      </c>
      <c r="T341">
        <f>VLOOKUP(Misfit[[#This Row],[Shortname]], Comp[], 16, FALSE)</f>
        <v>0</v>
      </c>
      <c r="U341">
        <f>VLOOKUP(Misfit[[#This Row],[Shortname]], Comp[], 17, FALSE)</f>
        <v>0</v>
      </c>
      <c r="V341">
        <f>VLOOKUP(Misfit[[#This Row],[Shortname]], Comp[], 18, FALSE)</f>
        <v>0</v>
      </c>
      <c r="W341">
        <f>VLOOKUP(Misfit[[#This Row],[Shortname]], Comp[], 19, FALSE)</f>
        <v>0</v>
      </c>
      <c r="X341">
        <f>VLOOKUP(Misfit[[#This Row],[Shortname]], Comp[], 20, FALSE)</f>
        <v>0</v>
      </c>
      <c r="Y341">
        <f>VLOOKUP(Misfit[[#This Row],[Shortname]], Comp[], 21, FALSE)</f>
        <v>0</v>
      </c>
      <c r="Z341">
        <f>VLOOKUP(Misfit[[#This Row],[Shortname]], Comp[], 22, FALSE)</f>
        <v>0</v>
      </c>
      <c r="AA341">
        <f>VLOOKUP(Misfit[[#This Row],[Shortname]], Comp[], 23, FALSE)</f>
        <v>0</v>
      </c>
      <c r="AB341">
        <f>VLOOKUP(Misfit[[#This Row],[Shortname]], Comp[], 24, FALSE)</f>
        <v>0</v>
      </c>
      <c r="AC341">
        <f>VLOOKUP(Misfit[[#This Row],[Shortname]], Comp[], 25, FALSE)</f>
        <v>0</v>
      </c>
      <c r="AD341">
        <f>VLOOKUP(Misfit[[#This Row],[Shortname]], Comp[], 26, FALSE)</f>
        <v>0</v>
      </c>
      <c r="AE341">
        <f>VLOOKUP(Misfit[[#This Row],[Shortname]], Comp[], 27, FALSE)</f>
        <v>0</v>
      </c>
      <c r="AF341">
        <f>VLOOKUP(Misfit[[#This Row],[Shortname]], Comp[], 28, FALSE)</f>
        <v>0</v>
      </c>
      <c r="AG341">
        <f>VLOOKUP(Misfit[[#This Row],[Shortname]], Comp[], 29, FALSE)</f>
        <v>0</v>
      </c>
      <c r="AH341">
        <f>VLOOKUP(Misfit[[#This Row],[Shortname]], Comp[], 30, FALSE)</f>
        <v>0</v>
      </c>
      <c r="AI341">
        <f>VLOOKUP(Misfit[[#This Row],[Shortname]], Comp[], 31, FALSE)</f>
        <v>0</v>
      </c>
    </row>
    <row r="342" spans="1:35" x14ac:dyDescent="0.3">
      <c r="A342" s="12" t="s">
        <v>6235</v>
      </c>
      <c r="B342" s="12" t="s">
        <v>6236</v>
      </c>
      <c r="C342" s="12" t="s">
        <v>6237</v>
      </c>
      <c r="D342" s="12">
        <v>900</v>
      </c>
      <c r="E342" s="12">
        <v>25</v>
      </c>
      <c r="F342" s="12"/>
      <c r="G342" s="12"/>
      <c r="H342" s="41">
        <v>-1.1000000000000001E-3</v>
      </c>
      <c r="I342" s="12"/>
      <c r="J342">
        <f>VLOOKUP(Misfit[[#This Row],[Shortname]], Comp[], 6, FALSE)</f>
        <v>1028</v>
      </c>
      <c r="K342">
        <f>VLOOKUP(Misfit[[#This Row],[Shortname]], Comp[], 7, FALSE)</f>
        <v>0</v>
      </c>
      <c r="L342">
        <f>VLOOKUP(Misfit[[#This Row],[Shortname]], Comp[], 8, FALSE)</f>
        <v>75</v>
      </c>
      <c r="M342">
        <f>VLOOKUP(Misfit[[#This Row],[Shortname]], Comp[], 9, FALSE)</f>
        <v>9</v>
      </c>
      <c r="N342">
        <f>VLOOKUP(Misfit[[#This Row],[Shortname]], Comp[], 10, FALSE)</f>
        <v>8</v>
      </c>
      <c r="O342">
        <f>VLOOKUP(Misfit[[#This Row],[Shortname]], Comp[], 11, FALSE)</f>
        <v>8</v>
      </c>
      <c r="P342">
        <f>VLOOKUP(Misfit[[#This Row],[Shortname]], Comp[],12, FALSE)</f>
        <v>0</v>
      </c>
      <c r="Q342">
        <f>VLOOKUP(Misfit[[#This Row],[Shortname]], Comp[], 13, FALSE)</f>
        <v>0</v>
      </c>
      <c r="R342">
        <f>VLOOKUP(Misfit[[#This Row],[Shortname]], Comp[], 14, FALSE)</f>
        <v>0</v>
      </c>
      <c r="S342">
        <f>VLOOKUP(Misfit[[#This Row],[Shortname]], Comp[], 15, FALSE)</f>
        <v>0</v>
      </c>
      <c r="T342">
        <f>VLOOKUP(Misfit[[#This Row],[Shortname]], Comp[], 16, FALSE)</f>
        <v>0</v>
      </c>
      <c r="U342">
        <f>VLOOKUP(Misfit[[#This Row],[Shortname]], Comp[], 17, FALSE)</f>
        <v>0</v>
      </c>
      <c r="V342">
        <f>VLOOKUP(Misfit[[#This Row],[Shortname]], Comp[], 18, FALSE)</f>
        <v>0</v>
      </c>
      <c r="W342">
        <f>VLOOKUP(Misfit[[#This Row],[Shortname]], Comp[], 19, FALSE)</f>
        <v>0</v>
      </c>
      <c r="X342">
        <f>VLOOKUP(Misfit[[#This Row],[Shortname]], Comp[], 20, FALSE)</f>
        <v>0</v>
      </c>
      <c r="Y342">
        <f>VLOOKUP(Misfit[[#This Row],[Shortname]], Comp[], 21, FALSE)</f>
        <v>0</v>
      </c>
      <c r="Z342">
        <f>VLOOKUP(Misfit[[#This Row],[Shortname]], Comp[], 22, FALSE)</f>
        <v>0</v>
      </c>
      <c r="AA342">
        <f>VLOOKUP(Misfit[[#This Row],[Shortname]], Comp[], 23, FALSE)</f>
        <v>0</v>
      </c>
      <c r="AB342">
        <f>VLOOKUP(Misfit[[#This Row],[Shortname]], Comp[], 24, FALSE)</f>
        <v>0</v>
      </c>
      <c r="AC342">
        <f>VLOOKUP(Misfit[[#This Row],[Shortname]], Comp[], 25, FALSE)</f>
        <v>0</v>
      </c>
      <c r="AD342">
        <f>VLOOKUP(Misfit[[#This Row],[Shortname]], Comp[], 26, FALSE)</f>
        <v>0</v>
      </c>
      <c r="AE342">
        <f>VLOOKUP(Misfit[[#This Row],[Shortname]], Comp[], 27, FALSE)</f>
        <v>0</v>
      </c>
      <c r="AF342">
        <f>VLOOKUP(Misfit[[#This Row],[Shortname]], Comp[], 28, FALSE)</f>
        <v>0</v>
      </c>
      <c r="AG342">
        <f>VLOOKUP(Misfit[[#This Row],[Shortname]], Comp[], 29, FALSE)</f>
        <v>0</v>
      </c>
      <c r="AH342">
        <f>VLOOKUP(Misfit[[#This Row],[Shortname]], Comp[], 30, FALSE)</f>
        <v>0</v>
      </c>
      <c r="AI342">
        <f>VLOOKUP(Misfit[[#This Row],[Shortname]], Comp[], 31, FALSE)</f>
        <v>0</v>
      </c>
    </row>
    <row r="343" spans="1:35" x14ac:dyDescent="0.3">
      <c r="A343" s="12" t="s">
        <v>6240</v>
      </c>
      <c r="B343" s="12" t="s">
        <v>6241</v>
      </c>
      <c r="C343" s="12" t="s">
        <v>6242</v>
      </c>
      <c r="D343" s="12">
        <v>900</v>
      </c>
      <c r="E343" s="12">
        <v>25</v>
      </c>
      <c r="F343" s="12"/>
      <c r="G343" s="12"/>
      <c r="H343" s="41">
        <v>-6.9999999999999999E-4</v>
      </c>
      <c r="I343" s="12"/>
      <c r="J343">
        <f>VLOOKUP(Misfit[[#This Row],[Shortname]], Comp[], 6, FALSE)</f>
        <v>1029</v>
      </c>
      <c r="K343">
        <f>VLOOKUP(Misfit[[#This Row],[Shortname]], Comp[], 7, FALSE)</f>
        <v>18.75</v>
      </c>
      <c r="L343">
        <f>VLOOKUP(Misfit[[#This Row],[Shortname]], Comp[], 8, FALSE)</f>
        <v>56.25</v>
      </c>
      <c r="M343">
        <f>VLOOKUP(Misfit[[#This Row],[Shortname]], Comp[], 9, FALSE)</f>
        <v>9</v>
      </c>
      <c r="N343">
        <f>VLOOKUP(Misfit[[#This Row],[Shortname]], Comp[], 10, FALSE)</f>
        <v>8</v>
      </c>
      <c r="O343">
        <f>VLOOKUP(Misfit[[#This Row],[Shortname]], Comp[], 11, FALSE)</f>
        <v>8</v>
      </c>
      <c r="P343">
        <f>VLOOKUP(Misfit[[#This Row],[Shortname]], Comp[],12, FALSE)</f>
        <v>0</v>
      </c>
      <c r="Q343">
        <f>VLOOKUP(Misfit[[#This Row],[Shortname]], Comp[], 13, FALSE)</f>
        <v>0</v>
      </c>
      <c r="R343">
        <f>VLOOKUP(Misfit[[#This Row],[Shortname]], Comp[], 14, FALSE)</f>
        <v>0</v>
      </c>
      <c r="S343">
        <f>VLOOKUP(Misfit[[#This Row],[Shortname]], Comp[], 15, FALSE)</f>
        <v>0</v>
      </c>
      <c r="T343">
        <f>VLOOKUP(Misfit[[#This Row],[Shortname]], Comp[], 16, FALSE)</f>
        <v>0</v>
      </c>
      <c r="U343">
        <f>VLOOKUP(Misfit[[#This Row],[Shortname]], Comp[], 17, FALSE)</f>
        <v>0</v>
      </c>
      <c r="V343">
        <f>VLOOKUP(Misfit[[#This Row],[Shortname]], Comp[], 18, FALSE)</f>
        <v>0</v>
      </c>
      <c r="W343">
        <f>VLOOKUP(Misfit[[#This Row],[Shortname]], Comp[], 19, FALSE)</f>
        <v>0</v>
      </c>
      <c r="X343">
        <f>VLOOKUP(Misfit[[#This Row],[Shortname]], Comp[], 20, FALSE)</f>
        <v>0</v>
      </c>
      <c r="Y343">
        <f>VLOOKUP(Misfit[[#This Row],[Shortname]], Comp[], 21, FALSE)</f>
        <v>0</v>
      </c>
      <c r="Z343">
        <f>VLOOKUP(Misfit[[#This Row],[Shortname]], Comp[], 22, FALSE)</f>
        <v>0</v>
      </c>
      <c r="AA343">
        <f>VLOOKUP(Misfit[[#This Row],[Shortname]], Comp[], 23, FALSE)</f>
        <v>0</v>
      </c>
      <c r="AB343">
        <f>VLOOKUP(Misfit[[#This Row],[Shortname]], Comp[], 24, FALSE)</f>
        <v>0</v>
      </c>
      <c r="AC343">
        <f>VLOOKUP(Misfit[[#This Row],[Shortname]], Comp[], 25, FALSE)</f>
        <v>0</v>
      </c>
      <c r="AD343">
        <f>VLOOKUP(Misfit[[#This Row],[Shortname]], Comp[], 26, FALSE)</f>
        <v>0</v>
      </c>
      <c r="AE343">
        <f>VLOOKUP(Misfit[[#This Row],[Shortname]], Comp[], 27, FALSE)</f>
        <v>0</v>
      </c>
      <c r="AF343">
        <f>VLOOKUP(Misfit[[#This Row],[Shortname]], Comp[], 28, FALSE)</f>
        <v>0</v>
      </c>
      <c r="AG343">
        <f>VLOOKUP(Misfit[[#This Row],[Shortname]], Comp[], 29, FALSE)</f>
        <v>0</v>
      </c>
      <c r="AH343">
        <f>VLOOKUP(Misfit[[#This Row],[Shortname]], Comp[], 30, FALSE)</f>
        <v>0</v>
      </c>
      <c r="AI343">
        <f>VLOOKUP(Misfit[[#This Row],[Shortname]], Comp[], 31, FALSE)</f>
        <v>0</v>
      </c>
    </row>
    <row r="344" spans="1:35" x14ac:dyDescent="0.3">
      <c r="A344" s="12" t="s">
        <v>6245</v>
      </c>
      <c r="B344" s="12" t="s">
        <v>4242</v>
      </c>
      <c r="C344" s="12" t="s">
        <v>6246</v>
      </c>
      <c r="D344" s="12">
        <v>900</v>
      </c>
      <c r="E344" s="12">
        <v>25</v>
      </c>
      <c r="F344" s="12"/>
      <c r="G344" s="12"/>
      <c r="H344" s="41">
        <v>4.0000000000000002E-4</v>
      </c>
      <c r="I344" s="12"/>
      <c r="J344">
        <f>VLOOKUP(Misfit[[#This Row],[Shortname]], Comp[], 6, FALSE)</f>
        <v>1030</v>
      </c>
      <c r="K344">
        <f>VLOOKUP(Misfit[[#This Row],[Shortname]], Comp[], 7, FALSE)</f>
        <v>37.5</v>
      </c>
      <c r="L344">
        <f>VLOOKUP(Misfit[[#This Row],[Shortname]], Comp[], 8, FALSE)</f>
        <v>37.5</v>
      </c>
      <c r="M344">
        <f>VLOOKUP(Misfit[[#This Row],[Shortname]], Comp[], 9, FALSE)</f>
        <v>9</v>
      </c>
      <c r="N344">
        <f>VLOOKUP(Misfit[[#This Row],[Shortname]], Comp[], 10, FALSE)</f>
        <v>8</v>
      </c>
      <c r="O344">
        <f>VLOOKUP(Misfit[[#This Row],[Shortname]], Comp[], 11, FALSE)</f>
        <v>8</v>
      </c>
      <c r="P344">
        <f>VLOOKUP(Misfit[[#This Row],[Shortname]], Comp[],12, FALSE)</f>
        <v>0</v>
      </c>
      <c r="Q344">
        <f>VLOOKUP(Misfit[[#This Row],[Shortname]], Comp[], 13, FALSE)</f>
        <v>0</v>
      </c>
      <c r="R344">
        <f>VLOOKUP(Misfit[[#This Row],[Shortname]], Comp[], 14, FALSE)</f>
        <v>0</v>
      </c>
      <c r="S344">
        <f>VLOOKUP(Misfit[[#This Row],[Shortname]], Comp[], 15, FALSE)</f>
        <v>0</v>
      </c>
      <c r="T344">
        <f>VLOOKUP(Misfit[[#This Row],[Shortname]], Comp[], 16, FALSE)</f>
        <v>0</v>
      </c>
      <c r="U344">
        <f>VLOOKUP(Misfit[[#This Row],[Shortname]], Comp[], 17, FALSE)</f>
        <v>0</v>
      </c>
      <c r="V344">
        <f>VLOOKUP(Misfit[[#This Row],[Shortname]], Comp[], 18, FALSE)</f>
        <v>0</v>
      </c>
      <c r="W344">
        <f>VLOOKUP(Misfit[[#This Row],[Shortname]], Comp[], 19, FALSE)</f>
        <v>0</v>
      </c>
      <c r="X344">
        <f>VLOOKUP(Misfit[[#This Row],[Shortname]], Comp[], 20, FALSE)</f>
        <v>0</v>
      </c>
      <c r="Y344">
        <f>VLOOKUP(Misfit[[#This Row],[Shortname]], Comp[], 21, FALSE)</f>
        <v>0</v>
      </c>
      <c r="Z344">
        <f>VLOOKUP(Misfit[[#This Row],[Shortname]], Comp[], 22, FALSE)</f>
        <v>0</v>
      </c>
      <c r="AA344">
        <f>VLOOKUP(Misfit[[#This Row],[Shortname]], Comp[], 23, FALSE)</f>
        <v>0</v>
      </c>
      <c r="AB344">
        <f>VLOOKUP(Misfit[[#This Row],[Shortname]], Comp[], 24, FALSE)</f>
        <v>0</v>
      </c>
      <c r="AC344">
        <f>VLOOKUP(Misfit[[#This Row],[Shortname]], Comp[], 25, FALSE)</f>
        <v>0</v>
      </c>
      <c r="AD344">
        <f>VLOOKUP(Misfit[[#This Row],[Shortname]], Comp[], 26, FALSE)</f>
        <v>0</v>
      </c>
      <c r="AE344">
        <f>VLOOKUP(Misfit[[#This Row],[Shortname]], Comp[], 27, FALSE)</f>
        <v>0</v>
      </c>
      <c r="AF344">
        <f>VLOOKUP(Misfit[[#This Row],[Shortname]], Comp[], 28, FALSE)</f>
        <v>0</v>
      </c>
      <c r="AG344">
        <f>VLOOKUP(Misfit[[#This Row],[Shortname]], Comp[], 29, FALSE)</f>
        <v>0</v>
      </c>
      <c r="AH344">
        <f>VLOOKUP(Misfit[[#This Row],[Shortname]], Comp[], 30, FALSE)</f>
        <v>0</v>
      </c>
      <c r="AI344">
        <f>VLOOKUP(Misfit[[#This Row],[Shortname]], Comp[], 31, FALSE)</f>
        <v>0</v>
      </c>
    </row>
    <row r="345" spans="1:35" x14ac:dyDescent="0.3">
      <c r="A345" s="12" t="s">
        <v>6248</v>
      </c>
      <c r="B345" s="12" t="s">
        <v>4250</v>
      </c>
      <c r="C345" s="12" t="s">
        <v>6249</v>
      </c>
      <c r="D345" s="12">
        <v>900</v>
      </c>
      <c r="E345" s="12">
        <v>25</v>
      </c>
      <c r="F345" s="12"/>
      <c r="G345" s="12"/>
      <c r="H345" s="41">
        <v>1.1000000000000001E-3</v>
      </c>
      <c r="I345" s="12"/>
      <c r="J345">
        <f>VLOOKUP(Misfit[[#This Row],[Shortname]], Comp[], 6, FALSE)</f>
        <v>1031</v>
      </c>
      <c r="K345">
        <f>VLOOKUP(Misfit[[#This Row],[Shortname]], Comp[], 7, FALSE)</f>
        <v>56.25</v>
      </c>
      <c r="L345">
        <f>VLOOKUP(Misfit[[#This Row],[Shortname]], Comp[], 8, FALSE)</f>
        <v>18.75</v>
      </c>
      <c r="M345">
        <f>VLOOKUP(Misfit[[#This Row],[Shortname]], Comp[], 9, FALSE)</f>
        <v>9</v>
      </c>
      <c r="N345">
        <f>VLOOKUP(Misfit[[#This Row],[Shortname]], Comp[], 10, FALSE)</f>
        <v>8</v>
      </c>
      <c r="O345">
        <f>VLOOKUP(Misfit[[#This Row],[Shortname]], Comp[], 11, FALSE)</f>
        <v>8</v>
      </c>
      <c r="P345">
        <f>VLOOKUP(Misfit[[#This Row],[Shortname]], Comp[],12, FALSE)</f>
        <v>0</v>
      </c>
      <c r="Q345">
        <f>VLOOKUP(Misfit[[#This Row],[Shortname]], Comp[], 13, FALSE)</f>
        <v>0</v>
      </c>
      <c r="R345">
        <f>VLOOKUP(Misfit[[#This Row],[Shortname]], Comp[], 14, FALSE)</f>
        <v>0</v>
      </c>
      <c r="S345">
        <f>VLOOKUP(Misfit[[#This Row],[Shortname]], Comp[], 15, FALSE)</f>
        <v>0</v>
      </c>
      <c r="T345">
        <f>VLOOKUP(Misfit[[#This Row],[Shortname]], Comp[], 16, FALSE)</f>
        <v>0</v>
      </c>
      <c r="U345">
        <f>VLOOKUP(Misfit[[#This Row],[Shortname]], Comp[], 17, FALSE)</f>
        <v>0</v>
      </c>
      <c r="V345">
        <f>VLOOKUP(Misfit[[#This Row],[Shortname]], Comp[], 18, FALSE)</f>
        <v>0</v>
      </c>
      <c r="W345">
        <f>VLOOKUP(Misfit[[#This Row],[Shortname]], Comp[], 19, FALSE)</f>
        <v>0</v>
      </c>
      <c r="X345">
        <f>VLOOKUP(Misfit[[#This Row],[Shortname]], Comp[], 20, FALSE)</f>
        <v>0</v>
      </c>
      <c r="Y345">
        <f>VLOOKUP(Misfit[[#This Row],[Shortname]], Comp[], 21, FALSE)</f>
        <v>0</v>
      </c>
      <c r="Z345">
        <f>VLOOKUP(Misfit[[#This Row],[Shortname]], Comp[], 22, FALSE)</f>
        <v>0</v>
      </c>
      <c r="AA345">
        <f>VLOOKUP(Misfit[[#This Row],[Shortname]], Comp[], 23, FALSE)</f>
        <v>0</v>
      </c>
      <c r="AB345">
        <f>VLOOKUP(Misfit[[#This Row],[Shortname]], Comp[], 24, FALSE)</f>
        <v>0</v>
      </c>
      <c r="AC345">
        <f>VLOOKUP(Misfit[[#This Row],[Shortname]], Comp[], 25, FALSE)</f>
        <v>0</v>
      </c>
      <c r="AD345">
        <f>VLOOKUP(Misfit[[#This Row],[Shortname]], Comp[], 26, FALSE)</f>
        <v>0</v>
      </c>
      <c r="AE345">
        <f>VLOOKUP(Misfit[[#This Row],[Shortname]], Comp[], 27, FALSE)</f>
        <v>0</v>
      </c>
      <c r="AF345">
        <f>VLOOKUP(Misfit[[#This Row],[Shortname]], Comp[], 28, FALSE)</f>
        <v>0</v>
      </c>
      <c r="AG345">
        <f>VLOOKUP(Misfit[[#This Row],[Shortname]], Comp[], 29, FALSE)</f>
        <v>0</v>
      </c>
      <c r="AH345">
        <f>VLOOKUP(Misfit[[#This Row],[Shortname]], Comp[], 30, FALSE)</f>
        <v>0</v>
      </c>
      <c r="AI345">
        <f>VLOOKUP(Misfit[[#This Row],[Shortname]], Comp[], 31, FALSE)</f>
        <v>0</v>
      </c>
    </row>
    <row r="346" spans="1:35" x14ac:dyDescent="0.3">
      <c r="A346" s="12" t="s">
        <v>6251</v>
      </c>
      <c r="B346" s="12" t="s">
        <v>4256</v>
      </c>
      <c r="C346" s="12" t="s">
        <v>6252</v>
      </c>
      <c r="D346" s="12">
        <v>900</v>
      </c>
      <c r="E346" s="12">
        <v>25</v>
      </c>
      <c r="F346" s="12"/>
      <c r="G346" s="12"/>
      <c r="H346" s="41">
        <v>1.9E-3</v>
      </c>
      <c r="I346" s="12"/>
      <c r="J346">
        <f>VLOOKUP(Misfit[[#This Row],[Shortname]], Comp[], 6, FALSE)</f>
        <v>1032</v>
      </c>
      <c r="K346">
        <f>VLOOKUP(Misfit[[#This Row],[Shortname]], Comp[], 7, FALSE)</f>
        <v>75</v>
      </c>
      <c r="L346">
        <f>VLOOKUP(Misfit[[#This Row],[Shortname]], Comp[], 8, FALSE)</f>
        <v>0</v>
      </c>
      <c r="M346">
        <f>VLOOKUP(Misfit[[#This Row],[Shortname]], Comp[], 9, FALSE)</f>
        <v>9</v>
      </c>
      <c r="N346">
        <f>VLOOKUP(Misfit[[#This Row],[Shortname]], Comp[], 10, FALSE)</f>
        <v>8</v>
      </c>
      <c r="O346">
        <f>VLOOKUP(Misfit[[#This Row],[Shortname]], Comp[], 11, FALSE)</f>
        <v>8</v>
      </c>
      <c r="P346">
        <f>VLOOKUP(Misfit[[#This Row],[Shortname]], Comp[],12, FALSE)</f>
        <v>0</v>
      </c>
      <c r="Q346">
        <f>VLOOKUP(Misfit[[#This Row],[Shortname]], Comp[], 13, FALSE)</f>
        <v>0</v>
      </c>
      <c r="R346">
        <f>VLOOKUP(Misfit[[#This Row],[Shortname]], Comp[], 14, FALSE)</f>
        <v>0</v>
      </c>
      <c r="S346">
        <f>VLOOKUP(Misfit[[#This Row],[Shortname]], Comp[], 15, FALSE)</f>
        <v>0</v>
      </c>
      <c r="T346">
        <f>VLOOKUP(Misfit[[#This Row],[Shortname]], Comp[], 16, FALSE)</f>
        <v>0</v>
      </c>
      <c r="U346">
        <f>VLOOKUP(Misfit[[#This Row],[Shortname]], Comp[], 17, FALSE)</f>
        <v>0</v>
      </c>
      <c r="V346">
        <f>VLOOKUP(Misfit[[#This Row],[Shortname]], Comp[], 18, FALSE)</f>
        <v>0</v>
      </c>
      <c r="W346">
        <f>VLOOKUP(Misfit[[#This Row],[Shortname]], Comp[], 19, FALSE)</f>
        <v>0</v>
      </c>
      <c r="X346">
        <f>VLOOKUP(Misfit[[#This Row],[Shortname]], Comp[], 20, FALSE)</f>
        <v>0</v>
      </c>
      <c r="Y346">
        <f>VLOOKUP(Misfit[[#This Row],[Shortname]], Comp[], 21, FALSE)</f>
        <v>0</v>
      </c>
      <c r="Z346">
        <f>VLOOKUP(Misfit[[#This Row],[Shortname]], Comp[], 22, FALSE)</f>
        <v>0</v>
      </c>
      <c r="AA346">
        <f>VLOOKUP(Misfit[[#This Row],[Shortname]], Comp[], 23, FALSE)</f>
        <v>0</v>
      </c>
      <c r="AB346">
        <f>VLOOKUP(Misfit[[#This Row],[Shortname]], Comp[], 24, FALSE)</f>
        <v>0</v>
      </c>
      <c r="AC346">
        <f>VLOOKUP(Misfit[[#This Row],[Shortname]], Comp[], 25, FALSE)</f>
        <v>0</v>
      </c>
      <c r="AD346">
        <f>VLOOKUP(Misfit[[#This Row],[Shortname]], Comp[], 26, FALSE)</f>
        <v>0</v>
      </c>
      <c r="AE346">
        <f>VLOOKUP(Misfit[[#This Row],[Shortname]], Comp[], 27, FALSE)</f>
        <v>0</v>
      </c>
      <c r="AF346">
        <f>VLOOKUP(Misfit[[#This Row],[Shortname]], Comp[], 28, FALSE)</f>
        <v>0</v>
      </c>
      <c r="AG346">
        <f>VLOOKUP(Misfit[[#This Row],[Shortname]], Comp[], 29, FALSE)</f>
        <v>0</v>
      </c>
      <c r="AH346">
        <f>VLOOKUP(Misfit[[#This Row],[Shortname]], Comp[], 30, FALSE)</f>
        <v>0</v>
      </c>
      <c r="AI346">
        <f>VLOOKUP(Misfit[[#This Row],[Shortname]], Comp[], 31, FALSE)</f>
        <v>0</v>
      </c>
    </row>
    <row r="347" spans="1:35" x14ac:dyDescent="0.3">
      <c r="A347" s="12" t="s">
        <v>6360</v>
      </c>
      <c r="B347" s="12" t="s">
        <v>6361</v>
      </c>
      <c r="C347" s="12" t="s">
        <v>6362</v>
      </c>
      <c r="D347" s="12">
        <v>900</v>
      </c>
      <c r="E347" s="12">
        <v>25</v>
      </c>
      <c r="F347" s="12">
        <v>0.36</v>
      </c>
      <c r="G347" s="12">
        <v>0.35899999999999999</v>
      </c>
      <c r="H347" s="41">
        <v>3.0000000000000001E-3</v>
      </c>
      <c r="I347" s="12"/>
      <c r="J347">
        <f>VLOOKUP(Misfit[[#This Row],[Shortname]], Comp[], 6, FALSE)</f>
        <v>1055</v>
      </c>
      <c r="K347">
        <f>VLOOKUP(Misfit[[#This Row],[Shortname]], Comp[], 7, FALSE)</f>
        <v>80.400000000000006</v>
      </c>
      <c r="L347">
        <f>VLOOKUP(Misfit[[#This Row],[Shortname]], Comp[], 8, FALSE)</f>
        <v>0</v>
      </c>
      <c r="M347">
        <f>VLOOKUP(Misfit[[#This Row],[Shortname]], Comp[], 9, FALSE)</f>
        <v>12</v>
      </c>
      <c r="N347">
        <f>VLOOKUP(Misfit[[#This Row],[Shortname]], Comp[], 10, FALSE)</f>
        <v>0</v>
      </c>
      <c r="O347">
        <f>VLOOKUP(Misfit[[#This Row],[Shortname]], Comp[], 11, FALSE)</f>
        <v>7.6</v>
      </c>
      <c r="P347">
        <f>VLOOKUP(Misfit[[#This Row],[Shortname]], Comp[],12, FALSE)</f>
        <v>0</v>
      </c>
      <c r="Q347">
        <f>VLOOKUP(Misfit[[#This Row],[Shortname]], Comp[], 13, FALSE)</f>
        <v>0</v>
      </c>
      <c r="R347">
        <f>VLOOKUP(Misfit[[#This Row],[Shortname]], Comp[], 14, FALSE)</f>
        <v>0</v>
      </c>
      <c r="S347">
        <f>VLOOKUP(Misfit[[#This Row],[Shortname]], Comp[], 15, FALSE)</f>
        <v>0</v>
      </c>
      <c r="T347">
        <f>VLOOKUP(Misfit[[#This Row],[Shortname]], Comp[], 16, FALSE)</f>
        <v>0</v>
      </c>
      <c r="U347">
        <f>VLOOKUP(Misfit[[#This Row],[Shortname]], Comp[], 17, FALSE)</f>
        <v>0</v>
      </c>
      <c r="V347">
        <f>VLOOKUP(Misfit[[#This Row],[Shortname]], Comp[], 18, FALSE)</f>
        <v>0</v>
      </c>
      <c r="W347">
        <f>VLOOKUP(Misfit[[#This Row],[Shortname]], Comp[], 19, FALSE)</f>
        <v>0</v>
      </c>
      <c r="X347">
        <f>VLOOKUP(Misfit[[#This Row],[Shortname]], Comp[], 20, FALSE)</f>
        <v>0</v>
      </c>
      <c r="Y347">
        <f>VLOOKUP(Misfit[[#This Row],[Shortname]], Comp[], 21, FALSE)</f>
        <v>0</v>
      </c>
      <c r="Z347">
        <f>VLOOKUP(Misfit[[#This Row],[Shortname]], Comp[], 22, FALSE)</f>
        <v>0</v>
      </c>
      <c r="AA347">
        <f>VLOOKUP(Misfit[[#This Row],[Shortname]], Comp[], 23, FALSE)</f>
        <v>0</v>
      </c>
      <c r="AB347">
        <f>VLOOKUP(Misfit[[#This Row],[Shortname]], Comp[], 24, FALSE)</f>
        <v>0</v>
      </c>
      <c r="AC347">
        <f>VLOOKUP(Misfit[[#This Row],[Shortname]], Comp[], 25, FALSE)</f>
        <v>0</v>
      </c>
      <c r="AD347">
        <f>VLOOKUP(Misfit[[#This Row],[Shortname]], Comp[], 26, FALSE)</f>
        <v>0</v>
      </c>
      <c r="AE347">
        <f>VLOOKUP(Misfit[[#This Row],[Shortname]], Comp[], 27, FALSE)</f>
        <v>0</v>
      </c>
      <c r="AF347">
        <f>VLOOKUP(Misfit[[#This Row],[Shortname]], Comp[], 28, FALSE)</f>
        <v>0</v>
      </c>
      <c r="AG347">
        <f>VLOOKUP(Misfit[[#This Row],[Shortname]], Comp[], 29, FALSE)</f>
        <v>0</v>
      </c>
      <c r="AH347">
        <f>VLOOKUP(Misfit[[#This Row],[Shortname]], Comp[], 30, FALSE)</f>
        <v>0</v>
      </c>
      <c r="AI347">
        <f>VLOOKUP(Misfit[[#This Row],[Shortname]], Comp[], 31, FALSE)</f>
        <v>0</v>
      </c>
    </row>
    <row r="348" spans="1:35" x14ac:dyDescent="0.3">
      <c r="A348" s="12" t="s">
        <v>6476</v>
      </c>
      <c r="B348" s="12" t="s">
        <v>6477</v>
      </c>
      <c r="C348" s="12" t="s">
        <v>6478</v>
      </c>
      <c r="D348" s="12">
        <v>850</v>
      </c>
      <c r="E348" s="12">
        <v>25</v>
      </c>
      <c r="F348" s="12"/>
      <c r="G348" s="12"/>
      <c r="H348" s="41">
        <v>3.5501E-3</v>
      </c>
      <c r="I348" s="12"/>
      <c r="J348">
        <f>VLOOKUP(Misfit[[#This Row],[Shortname]], Comp[], 6, FALSE)</f>
        <v>1082</v>
      </c>
      <c r="K348">
        <f>VLOOKUP(Misfit[[#This Row],[Shortname]], Comp[], 7, FALSE)</f>
        <v>73.03</v>
      </c>
      <c r="L348">
        <f>VLOOKUP(Misfit[[#This Row],[Shortname]], Comp[], 8, FALSE)</f>
        <v>9.74</v>
      </c>
      <c r="M348">
        <f>VLOOKUP(Misfit[[#This Row],[Shortname]], Comp[], 9, FALSE)</f>
        <v>4.9800000000000004</v>
      </c>
      <c r="N348">
        <f>VLOOKUP(Misfit[[#This Row],[Shortname]], Comp[], 10, FALSE)</f>
        <v>4.1500000000000004</v>
      </c>
      <c r="O348">
        <f>VLOOKUP(Misfit[[#This Row],[Shortname]], Comp[], 11, FALSE)</f>
        <v>0</v>
      </c>
      <c r="P348">
        <f>VLOOKUP(Misfit[[#This Row],[Shortname]], Comp[],12, FALSE)</f>
        <v>2.04</v>
      </c>
      <c r="Q348">
        <f>VLOOKUP(Misfit[[#This Row],[Shortname]], Comp[], 13, FALSE)</f>
        <v>1.59</v>
      </c>
      <c r="R348">
        <f>VLOOKUP(Misfit[[#This Row],[Shortname]], Comp[], 14, FALSE)</f>
        <v>1.37</v>
      </c>
      <c r="S348">
        <f>VLOOKUP(Misfit[[#This Row],[Shortname]], Comp[], 15, FALSE)</f>
        <v>3.02</v>
      </c>
      <c r="T348">
        <f>VLOOKUP(Misfit[[#This Row],[Shortname]], Comp[], 16, FALSE)</f>
        <v>0</v>
      </c>
      <c r="U348">
        <f>VLOOKUP(Misfit[[#This Row],[Shortname]], Comp[], 17, FALSE)</f>
        <v>0</v>
      </c>
      <c r="V348">
        <f>VLOOKUP(Misfit[[#This Row],[Shortname]], Comp[], 18, FALSE)</f>
        <v>0</v>
      </c>
      <c r="W348">
        <f>VLOOKUP(Misfit[[#This Row],[Shortname]], Comp[], 19, FALSE)</f>
        <v>0.08</v>
      </c>
      <c r="X348">
        <f>VLOOKUP(Misfit[[#This Row],[Shortname]], Comp[], 20, FALSE)</f>
        <v>0</v>
      </c>
      <c r="Y348">
        <f>VLOOKUP(Misfit[[#This Row],[Shortname]], Comp[], 21, FALSE)</f>
        <v>0</v>
      </c>
      <c r="Z348">
        <f>VLOOKUP(Misfit[[#This Row],[Shortname]], Comp[], 22, FALSE)</f>
        <v>0</v>
      </c>
      <c r="AA348">
        <f>VLOOKUP(Misfit[[#This Row],[Shortname]], Comp[], 23, FALSE)</f>
        <v>0</v>
      </c>
      <c r="AB348">
        <f>VLOOKUP(Misfit[[#This Row],[Shortname]], Comp[], 24, FALSE)</f>
        <v>0</v>
      </c>
      <c r="AC348">
        <f>VLOOKUP(Misfit[[#This Row],[Shortname]], Comp[], 25, FALSE)</f>
        <v>0</v>
      </c>
      <c r="AD348">
        <f>VLOOKUP(Misfit[[#This Row],[Shortname]], Comp[], 26, FALSE)</f>
        <v>0</v>
      </c>
      <c r="AE348">
        <f>VLOOKUP(Misfit[[#This Row],[Shortname]], Comp[], 27, FALSE)</f>
        <v>0</v>
      </c>
      <c r="AF348">
        <f>VLOOKUP(Misfit[[#This Row],[Shortname]], Comp[], 28, FALSE)</f>
        <v>0</v>
      </c>
      <c r="AG348">
        <f>VLOOKUP(Misfit[[#This Row],[Shortname]], Comp[], 29, FALSE)</f>
        <v>0</v>
      </c>
      <c r="AH348">
        <f>VLOOKUP(Misfit[[#This Row],[Shortname]], Comp[], 30, FALSE)</f>
        <v>0</v>
      </c>
      <c r="AI348">
        <f>VLOOKUP(Misfit[[#This Row],[Shortname]], Comp[], 31, FALSE)</f>
        <v>0</v>
      </c>
    </row>
    <row r="349" spans="1:35" x14ac:dyDescent="0.3">
      <c r="A349" s="12" t="s">
        <v>6481</v>
      </c>
      <c r="B349" s="12" t="s">
        <v>6482</v>
      </c>
      <c r="C349" s="12" t="s">
        <v>6483</v>
      </c>
      <c r="D349" s="12">
        <v>850</v>
      </c>
      <c r="E349" s="12">
        <v>25</v>
      </c>
      <c r="F349" s="12"/>
      <c r="G349" s="12"/>
      <c r="H349" s="41">
        <v>8.227400000000001E-3</v>
      </c>
      <c r="I349" s="12"/>
      <c r="J349">
        <f>VLOOKUP(Misfit[[#This Row],[Shortname]], Comp[], 6, FALSE)</f>
        <v>1083</v>
      </c>
      <c r="K349">
        <f>VLOOKUP(Misfit[[#This Row],[Shortname]], Comp[], 7, FALSE)</f>
        <v>63.180000000000007</v>
      </c>
      <c r="L349">
        <f>VLOOKUP(Misfit[[#This Row],[Shortname]], Comp[], 8, FALSE)</f>
        <v>19.43</v>
      </c>
      <c r="M349">
        <f>VLOOKUP(Misfit[[#This Row],[Shortname]], Comp[], 9, FALSE)</f>
        <v>5.13</v>
      </c>
      <c r="N349">
        <f>VLOOKUP(Misfit[[#This Row],[Shortname]], Comp[], 10, FALSE)</f>
        <v>4.1100000000000003</v>
      </c>
      <c r="O349">
        <f>VLOOKUP(Misfit[[#This Row],[Shortname]], Comp[], 11, FALSE)</f>
        <v>0</v>
      </c>
      <c r="P349">
        <f>VLOOKUP(Misfit[[#This Row],[Shortname]], Comp[],12, FALSE)</f>
        <v>2.06</v>
      </c>
      <c r="Q349">
        <f>VLOOKUP(Misfit[[#This Row],[Shortname]], Comp[], 13, FALSE)</f>
        <v>1.59</v>
      </c>
      <c r="R349">
        <f>VLOOKUP(Misfit[[#This Row],[Shortname]], Comp[], 14, FALSE)</f>
        <v>1.37</v>
      </c>
      <c r="S349">
        <f>VLOOKUP(Misfit[[#This Row],[Shortname]], Comp[], 15, FALSE)</f>
        <v>3.05</v>
      </c>
      <c r="T349">
        <f>VLOOKUP(Misfit[[#This Row],[Shortname]], Comp[], 16, FALSE)</f>
        <v>0</v>
      </c>
      <c r="U349">
        <f>VLOOKUP(Misfit[[#This Row],[Shortname]], Comp[], 17, FALSE)</f>
        <v>0</v>
      </c>
      <c r="V349">
        <f>VLOOKUP(Misfit[[#This Row],[Shortname]], Comp[], 18, FALSE)</f>
        <v>0</v>
      </c>
      <c r="W349">
        <f>VLOOKUP(Misfit[[#This Row],[Shortname]], Comp[], 19, FALSE)</f>
        <v>0.08</v>
      </c>
      <c r="X349">
        <f>VLOOKUP(Misfit[[#This Row],[Shortname]], Comp[], 20, FALSE)</f>
        <v>0</v>
      </c>
      <c r="Y349">
        <f>VLOOKUP(Misfit[[#This Row],[Shortname]], Comp[], 21, FALSE)</f>
        <v>0</v>
      </c>
      <c r="Z349">
        <f>VLOOKUP(Misfit[[#This Row],[Shortname]], Comp[], 22, FALSE)</f>
        <v>0</v>
      </c>
      <c r="AA349">
        <f>VLOOKUP(Misfit[[#This Row],[Shortname]], Comp[], 23, FALSE)</f>
        <v>0</v>
      </c>
      <c r="AB349">
        <f>VLOOKUP(Misfit[[#This Row],[Shortname]], Comp[], 24, FALSE)</f>
        <v>0</v>
      </c>
      <c r="AC349">
        <f>VLOOKUP(Misfit[[#This Row],[Shortname]], Comp[], 25, FALSE)</f>
        <v>0</v>
      </c>
      <c r="AD349">
        <f>VLOOKUP(Misfit[[#This Row],[Shortname]], Comp[], 26, FALSE)</f>
        <v>0</v>
      </c>
      <c r="AE349">
        <f>VLOOKUP(Misfit[[#This Row],[Shortname]], Comp[], 27, FALSE)</f>
        <v>0</v>
      </c>
      <c r="AF349">
        <f>VLOOKUP(Misfit[[#This Row],[Shortname]], Comp[], 28, FALSE)</f>
        <v>0</v>
      </c>
      <c r="AG349">
        <f>VLOOKUP(Misfit[[#This Row],[Shortname]], Comp[], 29, FALSE)</f>
        <v>0</v>
      </c>
      <c r="AH349">
        <f>VLOOKUP(Misfit[[#This Row],[Shortname]], Comp[], 30, FALSE)</f>
        <v>0</v>
      </c>
      <c r="AI349">
        <f>VLOOKUP(Misfit[[#This Row],[Shortname]], Comp[], 31, FALSE)</f>
        <v>0</v>
      </c>
    </row>
    <row r="350" spans="1:35" x14ac:dyDescent="0.3">
      <c r="A350" s="12" t="s">
        <v>6486</v>
      </c>
      <c r="B350" s="12" t="s">
        <v>6487</v>
      </c>
      <c r="C350" s="12" t="s">
        <v>6488</v>
      </c>
      <c r="D350" s="12">
        <v>850</v>
      </c>
      <c r="E350" s="12">
        <v>25</v>
      </c>
      <c r="F350" s="12"/>
      <c r="G350" s="12"/>
      <c r="H350" s="41">
        <v>8.5824999999999999E-3</v>
      </c>
      <c r="I350" s="12"/>
      <c r="J350">
        <f>VLOOKUP(Misfit[[#This Row],[Shortname]], Comp[], 6, FALSE)</f>
        <v>1084</v>
      </c>
      <c r="K350">
        <f>VLOOKUP(Misfit[[#This Row],[Shortname]], Comp[], 7, FALSE)</f>
        <v>52.580000000000005</v>
      </c>
      <c r="L350">
        <f>VLOOKUP(Misfit[[#This Row],[Shortname]], Comp[], 8, FALSE)</f>
        <v>29.36</v>
      </c>
      <c r="M350">
        <f>VLOOKUP(Misfit[[#This Row],[Shortname]], Comp[], 9, FALSE)</f>
        <v>5.44</v>
      </c>
      <c r="N350">
        <f>VLOOKUP(Misfit[[#This Row],[Shortname]], Comp[], 10, FALSE)</f>
        <v>4.07</v>
      </c>
      <c r="O350">
        <f>VLOOKUP(Misfit[[#This Row],[Shortname]], Comp[], 11, FALSE)</f>
        <v>0</v>
      </c>
      <c r="P350">
        <f>VLOOKUP(Misfit[[#This Row],[Shortname]], Comp[],12, FALSE)</f>
        <v>2.27</v>
      </c>
      <c r="Q350">
        <f>VLOOKUP(Misfit[[#This Row],[Shortname]], Comp[], 13, FALSE)</f>
        <v>1.69</v>
      </c>
      <c r="R350">
        <f>VLOOKUP(Misfit[[#This Row],[Shortname]], Comp[], 14, FALSE)</f>
        <v>1.37</v>
      </c>
      <c r="S350">
        <f>VLOOKUP(Misfit[[#This Row],[Shortname]], Comp[], 15, FALSE)</f>
        <v>3.14</v>
      </c>
      <c r="T350">
        <f>VLOOKUP(Misfit[[#This Row],[Shortname]], Comp[], 16, FALSE)</f>
        <v>0</v>
      </c>
      <c r="U350">
        <f>VLOOKUP(Misfit[[#This Row],[Shortname]], Comp[], 17, FALSE)</f>
        <v>0</v>
      </c>
      <c r="V350">
        <f>VLOOKUP(Misfit[[#This Row],[Shortname]], Comp[], 18, FALSE)</f>
        <v>0</v>
      </c>
      <c r="W350">
        <f>VLOOKUP(Misfit[[#This Row],[Shortname]], Comp[], 19, FALSE)</f>
        <v>0.08</v>
      </c>
      <c r="X350">
        <f>VLOOKUP(Misfit[[#This Row],[Shortname]], Comp[], 20, FALSE)</f>
        <v>0</v>
      </c>
      <c r="Y350">
        <f>VLOOKUP(Misfit[[#This Row],[Shortname]], Comp[], 21, FALSE)</f>
        <v>0</v>
      </c>
      <c r="Z350">
        <f>VLOOKUP(Misfit[[#This Row],[Shortname]], Comp[], 22, FALSE)</f>
        <v>0</v>
      </c>
      <c r="AA350">
        <f>VLOOKUP(Misfit[[#This Row],[Shortname]], Comp[], 23, FALSE)</f>
        <v>0</v>
      </c>
      <c r="AB350">
        <f>VLOOKUP(Misfit[[#This Row],[Shortname]], Comp[], 24, FALSE)</f>
        <v>0</v>
      </c>
      <c r="AC350">
        <f>VLOOKUP(Misfit[[#This Row],[Shortname]], Comp[], 25, FALSE)</f>
        <v>0</v>
      </c>
      <c r="AD350">
        <f>VLOOKUP(Misfit[[#This Row],[Shortname]], Comp[], 26, FALSE)</f>
        <v>0</v>
      </c>
      <c r="AE350">
        <f>VLOOKUP(Misfit[[#This Row],[Shortname]], Comp[], 27, FALSE)</f>
        <v>0</v>
      </c>
      <c r="AF350">
        <f>VLOOKUP(Misfit[[#This Row],[Shortname]], Comp[], 28, FALSE)</f>
        <v>0</v>
      </c>
      <c r="AG350">
        <f>VLOOKUP(Misfit[[#This Row],[Shortname]], Comp[], 29, FALSE)</f>
        <v>0</v>
      </c>
      <c r="AH350">
        <f>VLOOKUP(Misfit[[#This Row],[Shortname]], Comp[], 30, FALSE)</f>
        <v>0</v>
      </c>
      <c r="AI350">
        <f>VLOOKUP(Misfit[[#This Row],[Shortname]], Comp[], 31, FALSE)</f>
        <v>0</v>
      </c>
    </row>
    <row r="351" spans="1:35" x14ac:dyDescent="0.3">
      <c r="A351" s="12" t="s">
        <v>6490</v>
      </c>
      <c r="B351" s="12" t="s">
        <v>6491</v>
      </c>
      <c r="C351" s="12" t="s">
        <v>6492</v>
      </c>
      <c r="D351" s="12">
        <v>850</v>
      </c>
      <c r="E351" s="12">
        <v>25</v>
      </c>
      <c r="F351" s="12"/>
      <c r="G351" s="12"/>
      <c r="H351" s="41">
        <v>6.5466000000000005E-3</v>
      </c>
      <c r="I351" s="12"/>
      <c r="J351">
        <f>VLOOKUP(Misfit[[#This Row],[Shortname]], Comp[], 6, FALSE)</f>
        <v>1085</v>
      </c>
      <c r="K351">
        <f>VLOOKUP(Misfit[[#This Row],[Shortname]], Comp[], 7, FALSE)</f>
        <v>68.84</v>
      </c>
      <c r="L351">
        <f>VLOOKUP(Misfit[[#This Row],[Shortname]], Comp[], 8, FALSE)</f>
        <v>9.74</v>
      </c>
      <c r="M351">
        <f>VLOOKUP(Misfit[[#This Row],[Shortname]], Comp[], 9, FALSE)</f>
        <v>5.04</v>
      </c>
      <c r="N351">
        <f>VLOOKUP(Misfit[[#This Row],[Shortname]], Comp[], 10, FALSE)</f>
        <v>8.2200000000000006</v>
      </c>
      <c r="O351">
        <f>VLOOKUP(Misfit[[#This Row],[Shortname]], Comp[], 11, FALSE)</f>
        <v>0</v>
      </c>
      <c r="P351">
        <f>VLOOKUP(Misfit[[#This Row],[Shortname]], Comp[],12, FALSE)</f>
        <v>2.0699999999999998</v>
      </c>
      <c r="Q351">
        <f>VLOOKUP(Misfit[[#This Row],[Shortname]], Comp[], 13, FALSE)</f>
        <v>1.58</v>
      </c>
      <c r="R351">
        <f>VLOOKUP(Misfit[[#This Row],[Shortname]], Comp[], 14, FALSE)</f>
        <v>1.41</v>
      </c>
      <c r="S351">
        <f>VLOOKUP(Misfit[[#This Row],[Shortname]], Comp[], 15, FALSE)</f>
        <v>3.02</v>
      </c>
      <c r="T351">
        <f>VLOOKUP(Misfit[[#This Row],[Shortname]], Comp[], 16, FALSE)</f>
        <v>0</v>
      </c>
      <c r="U351">
        <f>VLOOKUP(Misfit[[#This Row],[Shortname]], Comp[], 17, FALSE)</f>
        <v>0</v>
      </c>
      <c r="V351">
        <f>VLOOKUP(Misfit[[#This Row],[Shortname]], Comp[], 18, FALSE)</f>
        <v>0</v>
      </c>
      <c r="W351">
        <f>VLOOKUP(Misfit[[#This Row],[Shortname]], Comp[], 19, FALSE)</f>
        <v>0.08</v>
      </c>
      <c r="X351">
        <f>VLOOKUP(Misfit[[#This Row],[Shortname]], Comp[], 20, FALSE)</f>
        <v>0</v>
      </c>
      <c r="Y351">
        <f>VLOOKUP(Misfit[[#This Row],[Shortname]], Comp[], 21, FALSE)</f>
        <v>0</v>
      </c>
      <c r="Z351">
        <f>VLOOKUP(Misfit[[#This Row],[Shortname]], Comp[], 22, FALSE)</f>
        <v>0</v>
      </c>
      <c r="AA351">
        <f>VLOOKUP(Misfit[[#This Row],[Shortname]], Comp[], 23, FALSE)</f>
        <v>0</v>
      </c>
      <c r="AB351">
        <f>VLOOKUP(Misfit[[#This Row],[Shortname]], Comp[], 24, FALSE)</f>
        <v>0</v>
      </c>
      <c r="AC351">
        <f>VLOOKUP(Misfit[[#This Row],[Shortname]], Comp[], 25, FALSE)</f>
        <v>0</v>
      </c>
      <c r="AD351">
        <f>VLOOKUP(Misfit[[#This Row],[Shortname]], Comp[], 26, FALSE)</f>
        <v>0</v>
      </c>
      <c r="AE351">
        <f>VLOOKUP(Misfit[[#This Row],[Shortname]], Comp[], 27, FALSE)</f>
        <v>0</v>
      </c>
      <c r="AF351">
        <f>VLOOKUP(Misfit[[#This Row],[Shortname]], Comp[], 28, FALSE)</f>
        <v>0</v>
      </c>
      <c r="AG351">
        <f>VLOOKUP(Misfit[[#This Row],[Shortname]], Comp[], 29, FALSE)</f>
        <v>0</v>
      </c>
      <c r="AH351">
        <f>VLOOKUP(Misfit[[#This Row],[Shortname]], Comp[], 30, FALSE)</f>
        <v>0</v>
      </c>
      <c r="AI351">
        <f>VLOOKUP(Misfit[[#This Row],[Shortname]], Comp[], 31, FALSE)</f>
        <v>0</v>
      </c>
    </row>
    <row r="352" spans="1:35" x14ac:dyDescent="0.3">
      <c r="A352" s="12" t="s">
        <v>6494</v>
      </c>
      <c r="B352" s="12" t="s">
        <v>6495</v>
      </c>
      <c r="C352" s="12" t="s">
        <v>6496</v>
      </c>
      <c r="D352" s="12">
        <v>850</v>
      </c>
      <c r="E352" s="12">
        <v>25</v>
      </c>
      <c r="F352" s="12"/>
      <c r="G352" s="12"/>
      <c r="H352" s="41">
        <v>9.3670999999999997E-3</v>
      </c>
      <c r="I352" s="12"/>
      <c r="J352">
        <f>VLOOKUP(Misfit[[#This Row],[Shortname]], Comp[], 6, FALSE)</f>
        <v>1086</v>
      </c>
      <c r="K352">
        <f>VLOOKUP(Misfit[[#This Row],[Shortname]], Comp[], 7, FALSE)</f>
        <v>59.019999999999996</v>
      </c>
      <c r="L352">
        <f>VLOOKUP(Misfit[[#This Row],[Shortname]], Comp[], 8, FALSE)</f>
        <v>19.54</v>
      </c>
      <c r="M352">
        <f>VLOOKUP(Misfit[[#This Row],[Shortname]], Comp[], 9, FALSE)</f>
        <v>4.9800000000000004</v>
      </c>
      <c r="N352">
        <f>VLOOKUP(Misfit[[#This Row],[Shortname]], Comp[], 10, FALSE)</f>
        <v>8.2899999999999991</v>
      </c>
      <c r="O352">
        <f>VLOOKUP(Misfit[[#This Row],[Shortname]], Comp[], 11, FALSE)</f>
        <v>0</v>
      </c>
      <c r="P352">
        <f>VLOOKUP(Misfit[[#This Row],[Shortname]], Comp[],12, FALSE)</f>
        <v>2.0699999999999998</v>
      </c>
      <c r="Q352">
        <f>VLOOKUP(Misfit[[#This Row],[Shortname]], Comp[], 13, FALSE)</f>
        <v>1.61</v>
      </c>
      <c r="R352">
        <f>VLOOKUP(Misfit[[#This Row],[Shortname]], Comp[], 14, FALSE)</f>
        <v>1.38</v>
      </c>
      <c r="S352">
        <f>VLOOKUP(Misfit[[#This Row],[Shortname]], Comp[], 15, FALSE)</f>
        <v>3.03</v>
      </c>
      <c r="T352">
        <f>VLOOKUP(Misfit[[#This Row],[Shortname]], Comp[], 16, FALSE)</f>
        <v>0</v>
      </c>
      <c r="U352">
        <f>VLOOKUP(Misfit[[#This Row],[Shortname]], Comp[], 17, FALSE)</f>
        <v>0</v>
      </c>
      <c r="V352">
        <f>VLOOKUP(Misfit[[#This Row],[Shortname]], Comp[], 18, FALSE)</f>
        <v>0</v>
      </c>
      <c r="W352">
        <f>VLOOKUP(Misfit[[#This Row],[Shortname]], Comp[], 19, FALSE)</f>
        <v>0.08</v>
      </c>
      <c r="X352">
        <f>VLOOKUP(Misfit[[#This Row],[Shortname]], Comp[], 20, FALSE)</f>
        <v>0</v>
      </c>
      <c r="Y352">
        <f>VLOOKUP(Misfit[[#This Row],[Shortname]], Comp[], 21, FALSE)</f>
        <v>0</v>
      </c>
      <c r="Z352">
        <f>VLOOKUP(Misfit[[#This Row],[Shortname]], Comp[], 22, FALSE)</f>
        <v>0</v>
      </c>
      <c r="AA352">
        <f>VLOOKUP(Misfit[[#This Row],[Shortname]], Comp[], 23, FALSE)</f>
        <v>0</v>
      </c>
      <c r="AB352">
        <f>VLOOKUP(Misfit[[#This Row],[Shortname]], Comp[], 24, FALSE)</f>
        <v>0</v>
      </c>
      <c r="AC352">
        <f>VLOOKUP(Misfit[[#This Row],[Shortname]], Comp[], 25, FALSE)</f>
        <v>0</v>
      </c>
      <c r="AD352">
        <f>VLOOKUP(Misfit[[#This Row],[Shortname]], Comp[], 26, FALSE)</f>
        <v>0</v>
      </c>
      <c r="AE352">
        <f>VLOOKUP(Misfit[[#This Row],[Shortname]], Comp[], 27, FALSE)</f>
        <v>0</v>
      </c>
      <c r="AF352">
        <f>VLOOKUP(Misfit[[#This Row],[Shortname]], Comp[], 28, FALSE)</f>
        <v>0</v>
      </c>
      <c r="AG352">
        <f>VLOOKUP(Misfit[[#This Row],[Shortname]], Comp[], 29, FALSE)</f>
        <v>0</v>
      </c>
      <c r="AH352">
        <f>VLOOKUP(Misfit[[#This Row],[Shortname]], Comp[], 30, FALSE)</f>
        <v>0</v>
      </c>
      <c r="AI352">
        <f>VLOOKUP(Misfit[[#This Row],[Shortname]], Comp[], 31, FALSE)</f>
        <v>0</v>
      </c>
    </row>
    <row r="353" spans="1:35" x14ac:dyDescent="0.3">
      <c r="A353" s="12" t="s">
        <v>6498</v>
      </c>
      <c r="B353" s="12" t="s">
        <v>6499</v>
      </c>
      <c r="C353" s="12" t="s">
        <v>6500</v>
      </c>
      <c r="D353" s="12">
        <v>850</v>
      </c>
      <c r="E353" s="12">
        <v>25</v>
      </c>
      <c r="F353" s="12"/>
      <c r="G353" s="12"/>
      <c r="H353" s="41">
        <v>7.6953999999999998E-3</v>
      </c>
      <c r="I353" s="12"/>
      <c r="J353">
        <f>VLOOKUP(Misfit[[#This Row],[Shortname]], Comp[], 6, FALSE)</f>
        <v>1087</v>
      </c>
      <c r="K353">
        <f>VLOOKUP(Misfit[[#This Row],[Shortname]], Comp[], 7, FALSE)</f>
        <v>48.690000000000005</v>
      </c>
      <c r="L353">
        <f>VLOOKUP(Misfit[[#This Row],[Shortname]], Comp[], 8, FALSE)</f>
        <v>29.66</v>
      </c>
      <c r="M353">
        <f>VLOOKUP(Misfit[[#This Row],[Shortname]], Comp[], 9, FALSE)</f>
        <v>4.9800000000000004</v>
      </c>
      <c r="N353">
        <f>VLOOKUP(Misfit[[#This Row],[Shortname]], Comp[], 10, FALSE)</f>
        <v>8.19</v>
      </c>
      <c r="O353">
        <f>VLOOKUP(Misfit[[#This Row],[Shortname]], Comp[], 11, FALSE)</f>
        <v>0</v>
      </c>
      <c r="P353">
        <f>VLOOKUP(Misfit[[#This Row],[Shortname]], Comp[],12, FALSE)</f>
        <v>2.08</v>
      </c>
      <c r="Q353">
        <f>VLOOKUP(Misfit[[#This Row],[Shortname]], Comp[], 13, FALSE)</f>
        <v>1.65</v>
      </c>
      <c r="R353">
        <f>VLOOKUP(Misfit[[#This Row],[Shortname]], Comp[], 14, FALSE)</f>
        <v>1.6</v>
      </c>
      <c r="S353">
        <f>VLOOKUP(Misfit[[#This Row],[Shortname]], Comp[], 15, FALSE)</f>
        <v>3.07</v>
      </c>
      <c r="T353">
        <f>VLOOKUP(Misfit[[#This Row],[Shortname]], Comp[], 16, FALSE)</f>
        <v>0</v>
      </c>
      <c r="U353">
        <f>VLOOKUP(Misfit[[#This Row],[Shortname]], Comp[], 17, FALSE)</f>
        <v>0</v>
      </c>
      <c r="V353">
        <f>VLOOKUP(Misfit[[#This Row],[Shortname]], Comp[], 18, FALSE)</f>
        <v>0</v>
      </c>
      <c r="W353">
        <f>VLOOKUP(Misfit[[#This Row],[Shortname]], Comp[], 19, FALSE)</f>
        <v>0.08</v>
      </c>
      <c r="X353">
        <f>VLOOKUP(Misfit[[#This Row],[Shortname]], Comp[], 20, FALSE)</f>
        <v>0</v>
      </c>
      <c r="Y353">
        <f>VLOOKUP(Misfit[[#This Row],[Shortname]], Comp[], 21, FALSE)</f>
        <v>0</v>
      </c>
      <c r="Z353">
        <f>VLOOKUP(Misfit[[#This Row],[Shortname]], Comp[], 22, FALSE)</f>
        <v>0</v>
      </c>
      <c r="AA353">
        <f>VLOOKUP(Misfit[[#This Row],[Shortname]], Comp[], 23, FALSE)</f>
        <v>0</v>
      </c>
      <c r="AB353">
        <f>VLOOKUP(Misfit[[#This Row],[Shortname]], Comp[], 24, FALSE)</f>
        <v>0</v>
      </c>
      <c r="AC353">
        <f>VLOOKUP(Misfit[[#This Row],[Shortname]], Comp[], 25, FALSE)</f>
        <v>0</v>
      </c>
      <c r="AD353">
        <f>VLOOKUP(Misfit[[#This Row],[Shortname]], Comp[], 26, FALSE)</f>
        <v>0</v>
      </c>
      <c r="AE353">
        <f>VLOOKUP(Misfit[[#This Row],[Shortname]], Comp[], 27, FALSE)</f>
        <v>0</v>
      </c>
      <c r="AF353">
        <f>VLOOKUP(Misfit[[#This Row],[Shortname]], Comp[], 28, FALSE)</f>
        <v>0</v>
      </c>
      <c r="AG353">
        <f>VLOOKUP(Misfit[[#This Row],[Shortname]], Comp[], 29, FALSE)</f>
        <v>0</v>
      </c>
      <c r="AH353">
        <f>VLOOKUP(Misfit[[#This Row],[Shortname]], Comp[], 30, FALSE)</f>
        <v>0</v>
      </c>
      <c r="AI353">
        <f>VLOOKUP(Misfit[[#This Row],[Shortname]], Comp[], 31, FALSE)</f>
        <v>0</v>
      </c>
    </row>
    <row r="354" spans="1:35" x14ac:dyDescent="0.3">
      <c r="A354" s="12" t="s">
        <v>6502</v>
      </c>
      <c r="B354" s="12" t="s">
        <v>6503</v>
      </c>
      <c r="C354" s="12" t="s">
        <v>6504</v>
      </c>
      <c r="D354" s="12">
        <v>900</v>
      </c>
      <c r="E354" s="12">
        <v>25</v>
      </c>
      <c r="F354" s="12">
        <v>3.5830000000000002</v>
      </c>
      <c r="G354" s="12">
        <v>3.5760000000000001</v>
      </c>
      <c r="H354" s="41">
        <v>2.0999999999999999E-3</v>
      </c>
      <c r="I354" s="12"/>
      <c r="J354">
        <f>VLOOKUP(Misfit[[#This Row],[Shortname]], Comp[], 6, FALSE)</f>
        <v>1088</v>
      </c>
      <c r="K354">
        <f>VLOOKUP(Misfit[[#This Row],[Shortname]], Comp[], 7, FALSE)</f>
        <v>49.7</v>
      </c>
      <c r="L354">
        <f>VLOOKUP(Misfit[[#This Row],[Shortname]], Comp[], 8, FALSE)</f>
        <v>29.2</v>
      </c>
      <c r="M354">
        <f>VLOOKUP(Misfit[[#This Row],[Shortname]], Comp[], 9, FALSE)</f>
        <v>11.1</v>
      </c>
      <c r="N354">
        <f>VLOOKUP(Misfit[[#This Row],[Shortname]], Comp[], 10, FALSE)</f>
        <v>4.2</v>
      </c>
      <c r="O354">
        <f>VLOOKUP(Misfit[[#This Row],[Shortname]], Comp[], 11, FALSE)</f>
        <v>5.8</v>
      </c>
      <c r="P354">
        <f>VLOOKUP(Misfit[[#This Row],[Shortname]], Comp[],12, FALSE)</f>
        <v>0</v>
      </c>
      <c r="Q354">
        <f>VLOOKUP(Misfit[[#This Row],[Shortname]], Comp[], 13, FALSE)</f>
        <v>0</v>
      </c>
      <c r="R354">
        <f>VLOOKUP(Misfit[[#This Row],[Shortname]], Comp[], 14, FALSE)</f>
        <v>0</v>
      </c>
      <c r="S354">
        <f>VLOOKUP(Misfit[[#This Row],[Shortname]], Comp[], 15, FALSE)</f>
        <v>0</v>
      </c>
      <c r="T354">
        <f>VLOOKUP(Misfit[[#This Row],[Shortname]], Comp[], 16, FALSE)</f>
        <v>0</v>
      </c>
      <c r="U354">
        <f>VLOOKUP(Misfit[[#This Row],[Shortname]], Comp[], 17, FALSE)</f>
        <v>0</v>
      </c>
      <c r="V354">
        <f>VLOOKUP(Misfit[[#This Row],[Shortname]], Comp[], 18, FALSE)</f>
        <v>0</v>
      </c>
      <c r="W354">
        <f>VLOOKUP(Misfit[[#This Row],[Shortname]], Comp[], 19, FALSE)</f>
        <v>0</v>
      </c>
      <c r="X354">
        <f>VLOOKUP(Misfit[[#This Row],[Shortname]], Comp[], 20, FALSE)</f>
        <v>0</v>
      </c>
      <c r="Y354">
        <f>VLOOKUP(Misfit[[#This Row],[Shortname]], Comp[], 21, FALSE)</f>
        <v>0</v>
      </c>
      <c r="Z354">
        <f>VLOOKUP(Misfit[[#This Row],[Shortname]], Comp[], 22, FALSE)</f>
        <v>0</v>
      </c>
      <c r="AA354">
        <f>VLOOKUP(Misfit[[#This Row],[Shortname]], Comp[], 23, FALSE)</f>
        <v>0</v>
      </c>
      <c r="AB354">
        <f>VLOOKUP(Misfit[[#This Row],[Shortname]], Comp[], 24, FALSE)</f>
        <v>0</v>
      </c>
      <c r="AC354">
        <f>VLOOKUP(Misfit[[#This Row],[Shortname]], Comp[], 25, FALSE)</f>
        <v>0</v>
      </c>
      <c r="AD354">
        <f>VLOOKUP(Misfit[[#This Row],[Shortname]], Comp[], 26, FALSE)</f>
        <v>0</v>
      </c>
      <c r="AE354">
        <f>VLOOKUP(Misfit[[#This Row],[Shortname]], Comp[], 27, FALSE)</f>
        <v>0</v>
      </c>
      <c r="AF354">
        <f>VLOOKUP(Misfit[[#This Row],[Shortname]], Comp[], 28, FALSE)</f>
        <v>0</v>
      </c>
      <c r="AG354">
        <f>VLOOKUP(Misfit[[#This Row],[Shortname]], Comp[], 29, FALSE)</f>
        <v>0</v>
      </c>
      <c r="AH354">
        <f>VLOOKUP(Misfit[[#This Row],[Shortname]], Comp[], 30, FALSE)</f>
        <v>0</v>
      </c>
      <c r="AI354">
        <f>VLOOKUP(Misfit[[#This Row],[Shortname]], Comp[], 31, FALSE)</f>
        <v>0</v>
      </c>
    </row>
    <row r="355" spans="1:35" x14ac:dyDescent="0.3">
      <c r="A355" s="12" t="s">
        <v>6506</v>
      </c>
      <c r="B355" s="12" t="s">
        <v>6507</v>
      </c>
      <c r="C355" s="12" t="s">
        <v>6504</v>
      </c>
      <c r="D355" s="12">
        <v>900</v>
      </c>
      <c r="E355" s="12">
        <v>25</v>
      </c>
      <c r="F355" s="12">
        <v>3.585</v>
      </c>
      <c r="G355" s="12">
        <v>3.581</v>
      </c>
      <c r="H355" s="41">
        <f t="shared" ref="H355:H356" si="10">2*(F355-G355)/(F355+G355)</f>
        <v>1.116382919341335E-3</v>
      </c>
      <c r="I355" s="12"/>
      <c r="J355">
        <f>VLOOKUP(Misfit[[#This Row],[Shortname]], Comp[], 6, FALSE)</f>
        <v>1089</v>
      </c>
      <c r="K355">
        <f>VLOOKUP(Misfit[[#This Row],[Shortname]], Comp[], 7, FALSE)</f>
        <v>45.9</v>
      </c>
      <c r="L355">
        <f>VLOOKUP(Misfit[[#This Row],[Shortname]], Comp[], 8, FALSE)</f>
        <v>29.2</v>
      </c>
      <c r="M355">
        <f>VLOOKUP(Misfit[[#This Row],[Shortname]], Comp[], 9, FALSE)</f>
        <v>10.9</v>
      </c>
      <c r="N355">
        <f>VLOOKUP(Misfit[[#This Row],[Shortname]], Comp[], 10, FALSE)</f>
        <v>4.0999999999999996</v>
      </c>
      <c r="O355">
        <f>VLOOKUP(Misfit[[#This Row],[Shortname]], Comp[], 11, FALSE)</f>
        <v>5.8</v>
      </c>
      <c r="P355">
        <f>VLOOKUP(Misfit[[#This Row],[Shortname]], Comp[],12, FALSE)</f>
        <v>0</v>
      </c>
      <c r="Q355">
        <f>VLOOKUP(Misfit[[#This Row],[Shortname]], Comp[], 13, FALSE)</f>
        <v>0</v>
      </c>
      <c r="R355">
        <f>VLOOKUP(Misfit[[#This Row],[Shortname]], Comp[], 14, FALSE)</f>
        <v>0</v>
      </c>
      <c r="S355">
        <f>VLOOKUP(Misfit[[#This Row],[Shortname]], Comp[], 15, FALSE)</f>
        <v>0</v>
      </c>
      <c r="T355">
        <f>VLOOKUP(Misfit[[#This Row],[Shortname]], Comp[], 16, FALSE)</f>
        <v>0</v>
      </c>
      <c r="U355">
        <f>VLOOKUP(Misfit[[#This Row],[Shortname]], Comp[], 17, FALSE)</f>
        <v>0</v>
      </c>
      <c r="V355">
        <f>VLOOKUP(Misfit[[#This Row],[Shortname]], Comp[], 18, FALSE)</f>
        <v>0</v>
      </c>
      <c r="W355">
        <f>VLOOKUP(Misfit[[#This Row],[Shortname]], Comp[], 19, FALSE)</f>
        <v>0</v>
      </c>
      <c r="X355">
        <f>VLOOKUP(Misfit[[#This Row],[Shortname]], Comp[], 20, FALSE)</f>
        <v>0</v>
      </c>
      <c r="Y355">
        <f>VLOOKUP(Misfit[[#This Row],[Shortname]], Comp[], 21, FALSE)</f>
        <v>0</v>
      </c>
      <c r="Z355">
        <f>VLOOKUP(Misfit[[#This Row],[Shortname]], Comp[], 22, FALSE)</f>
        <v>0</v>
      </c>
      <c r="AA355">
        <f>VLOOKUP(Misfit[[#This Row],[Shortname]], Comp[], 23, FALSE)</f>
        <v>4.0999999999999996</v>
      </c>
      <c r="AB355">
        <f>VLOOKUP(Misfit[[#This Row],[Shortname]], Comp[], 24, FALSE)</f>
        <v>0</v>
      </c>
      <c r="AC355">
        <f>VLOOKUP(Misfit[[#This Row],[Shortname]], Comp[], 25, FALSE)</f>
        <v>0</v>
      </c>
      <c r="AD355">
        <f>VLOOKUP(Misfit[[#This Row],[Shortname]], Comp[], 26, FALSE)</f>
        <v>0</v>
      </c>
      <c r="AE355">
        <f>VLOOKUP(Misfit[[#This Row],[Shortname]], Comp[], 27, FALSE)</f>
        <v>0</v>
      </c>
      <c r="AF355">
        <f>VLOOKUP(Misfit[[#This Row],[Shortname]], Comp[], 28, FALSE)</f>
        <v>0</v>
      </c>
      <c r="AG355">
        <f>VLOOKUP(Misfit[[#This Row],[Shortname]], Comp[], 29, FALSE)</f>
        <v>0</v>
      </c>
      <c r="AH355">
        <f>VLOOKUP(Misfit[[#This Row],[Shortname]], Comp[], 30, FALSE)</f>
        <v>0</v>
      </c>
      <c r="AI355">
        <f>VLOOKUP(Misfit[[#This Row],[Shortname]], Comp[], 31, FALSE)</f>
        <v>0</v>
      </c>
    </row>
    <row r="356" spans="1:35" x14ac:dyDescent="0.3">
      <c r="A356" s="12" t="s">
        <v>6510</v>
      </c>
      <c r="B356" s="12" t="s">
        <v>6511</v>
      </c>
      <c r="C356" s="12" t="s">
        <v>6504</v>
      </c>
      <c r="D356" s="12">
        <v>900</v>
      </c>
      <c r="E356" s="12">
        <v>25</v>
      </c>
      <c r="F356" s="12">
        <v>3.5880000000000001</v>
      </c>
      <c r="G356" s="12">
        <v>3.5859999999999999</v>
      </c>
      <c r="H356" s="41">
        <f t="shared" si="10"/>
        <v>5.5756899916370895E-4</v>
      </c>
      <c r="I356" s="12"/>
      <c r="J356">
        <f>VLOOKUP(Misfit[[#This Row],[Shortname]], Comp[], 6, FALSE)</f>
        <v>1090</v>
      </c>
      <c r="K356">
        <f>VLOOKUP(Misfit[[#This Row],[Shortname]], Comp[], 7, FALSE)</f>
        <v>41.899999999999991</v>
      </c>
      <c r="L356">
        <f>VLOOKUP(Misfit[[#This Row],[Shortname]], Comp[], 8, FALSE)</f>
        <v>29.3</v>
      </c>
      <c r="M356">
        <f>VLOOKUP(Misfit[[#This Row],[Shortname]], Comp[], 9, FALSE)</f>
        <v>10.8</v>
      </c>
      <c r="N356">
        <f>VLOOKUP(Misfit[[#This Row],[Shortname]], Comp[], 10, FALSE)</f>
        <v>4.0999999999999996</v>
      </c>
      <c r="O356">
        <f>VLOOKUP(Misfit[[#This Row],[Shortname]], Comp[], 11, FALSE)</f>
        <v>5.7</v>
      </c>
      <c r="P356">
        <f>VLOOKUP(Misfit[[#This Row],[Shortname]], Comp[],12, FALSE)</f>
        <v>0</v>
      </c>
      <c r="Q356">
        <f>VLOOKUP(Misfit[[#This Row],[Shortname]], Comp[], 13, FALSE)</f>
        <v>0</v>
      </c>
      <c r="R356">
        <f>VLOOKUP(Misfit[[#This Row],[Shortname]], Comp[], 14, FALSE)</f>
        <v>0</v>
      </c>
      <c r="S356">
        <f>VLOOKUP(Misfit[[#This Row],[Shortname]], Comp[], 15, FALSE)</f>
        <v>0</v>
      </c>
      <c r="T356">
        <f>VLOOKUP(Misfit[[#This Row],[Shortname]], Comp[], 16, FALSE)</f>
        <v>0</v>
      </c>
      <c r="U356">
        <f>VLOOKUP(Misfit[[#This Row],[Shortname]], Comp[], 17, FALSE)</f>
        <v>0</v>
      </c>
      <c r="V356">
        <f>VLOOKUP(Misfit[[#This Row],[Shortname]], Comp[], 18, FALSE)</f>
        <v>0</v>
      </c>
      <c r="W356">
        <f>VLOOKUP(Misfit[[#This Row],[Shortname]], Comp[], 19, FALSE)</f>
        <v>0</v>
      </c>
      <c r="X356">
        <f>VLOOKUP(Misfit[[#This Row],[Shortname]], Comp[], 20, FALSE)</f>
        <v>0</v>
      </c>
      <c r="Y356">
        <f>VLOOKUP(Misfit[[#This Row],[Shortname]], Comp[], 21, FALSE)</f>
        <v>0</v>
      </c>
      <c r="Z356">
        <f>VLOOKUP(Misfit[[#This Row],[Shortname]], Comp[], 22, FALSE)</f>
        <v>0</v>
      </c>
      <c r="AA356">
        <f>VLOOKUP(Misfit[[#This Row],[Shortname]], Comp[], 23, FALSE)</f>
        <v>8.1999999999999993</v>
      </c>
      <c r="AB356">
        <f>VLOOKUP(Misfit[[#This Row],[Shortname]], Comp[], 24, FALSE)</f>
        <v>0</v>
      </c>
      <c r="AC356">
        <f>VLOOKUP(Misfit[[#This Row],[Shortname]], Comp[], 25, FALSE)</f>
        <v>0</v>
      </c>
      <c r="AD356">
        <f>VLOOKUP(Misfit[[#This Row],[Shortname]], Comp[], 26, FALSE)</f>
        <v>0</v>
      </c>
      <c r="AE356">
        <f>VLOOKUP(Misfit[[#This Row],[Shortname]], Comp[], 27, FALSE)</f>
        <v>0</v>
      </c>
      <c r="AF356">
        <f>VLOOKUP(Misfit[[#This Row],[Shortname]], Comp[], 28, FALSE)</f>
        <v>0</v>
      </c>
      <c r="AG356">
        <f>VLOOKUP(Misfit[[#This Row],[Shortname]], Comp[], 29, FALSE)</f>
        <v>0</v>
      </c>
      <c r="AH356">
        <f>VLOOKUP(Misfit[[#This Row],[Shortname]], Comp[], 30, FALSE)</f>
        <v>0</v>
      </c>
      <c r="AI356">
        <f>VLOOKUP(Misfit[[#This Row],[Shortname]], Comp[], 31, FALSE)</f>
        <v>0</v>
      </c>
    </row>
    <row r="357" spans="1:35" x14ac:dyDescent="0.3">
      <c r="A357" s="12" t="s">
        <v>6514</v>
      </c>
      <c r="B357" s="12" t="s">
        <v>6515</v>
      </c>
      <c r="C357" s="12" t="s">
        <v>6504</v>
      </c>
      <c r="D357" s="12">
        <v>900</v>
      </c>
      <c r="E357" s="12">
        <v>25</v>
      </c>
      <c r="F357" s="12">
        <v>3.5910000000000002</v>
      </c>
      <c r="G357" s="12">
        <v>3.59</v>
      </c>
      <c r="H357" s="41">
        <v>2.0000000000000001E-4</v>
      </c>
      <c r="I357" s="12"/>
      <c r="J357">
        <f>VLOOKUP(Misfit[[#This Row],[Shortname]], Comp[], 6, FALSE)</f>
        <v>1091</v>
      </c>
      <c r="K357">
        <f>VLOOKUP(Misfit[[#This Row],[Shortname]], Comp[], 7, FALSE)</f>
        <v>38.199999999999989</v>
      </c>
      <c r="L357">
        <f>VLOOKUP(Misfit[[#This Row],[Shortname]], Comp[], 8, FALSE)</f>
        <v>29.3</v>
      </c>
      <c r="M357">
        <f>VLOOKUP(Misfit[[#This Row],[Shortname]], Comp[], 9, FALSE)</f>
        <v>10.4</v>
      </c>
      <c r="N357">
        <f>VLOOKUP(Misfit[[#This Row],[Shortname]], Comp[], 10, FALSE)</f>
        <v>4.0999999999999996</v>
      </c>
      <c r="O357">
        <f>VLOOKUP(Misfit[[#This Row],[Shortname]], Comp[], 11, FALSE)</f>
        <v>5.7</v>
      </c>
      <c r="P357">
        <f>VLOOKUP(Misfit[[#This Row],[Shortname]], Comp[],12, FALSE)</f>
        <v>0</v>
      </c>
      <c r="Q357">
        <f>VLOOKUP(Misfit[[#This Row],[Shortname]], Comp[], 13, FALSE)</f>
        <v>0</v>
      </c>
      <c r="R357">
        <f>VLOOKUP(Misfit[[#This Row],[Shortname]], Comp[], 14, FALSE)</f>
        <v>0</v>
      </c>
      <c r="S357">
        <f>VLOOKUP(Misfit[[#This Row],[Shortname]], Comp[], 15, FALSE)</f>
        <v>0</v>
      </c>
      <c r="T357">
        <f>VLOOKUP(Misfit[[#This Row],[Shortname]], Comp[], 16, FALSE)</f>
        <v>0</v>
      </c>
      <c r="U357">
        <f>VLOOKUP(Misfit[[#This Row],[Shortname]], Comp[], 17, FALSE)</f>
        <v>0</v>
      </c>
      <c r="V357">
        <f>VLOOKUP(Misfit[[#This Row],[Shortname]], Comp[], 18, FALSE)</f>
        <v>0</v>
      </c>
      <c r="W357">
        <f>VLOOKUP(Misfit[[#This Row],[Shortname]], Comp[], 19, FALSE)</f>
        <v>0</v>
      </c>
      <c r="X357">
        <f>VLOOKUP(Misfit[[#This Row],[Shortname]], Comp[], 20, FALSE)</f>
        <v>0</v>
      </c>
      <c r="Y357">
        <f>VLOOKUP(Misfit[[#This Row],[Shortname]], Comp[], 21, FALSE)</f>
        <v>0</v>
      </c>
      <c r="Z357">
        <f>VLOOKUP(Misfit[[#This Row],[Shortname]], Comp[], 22, FALSE)</f>
        <v>0</v>
      </c>
      <c r="AA357">
        <f>VLOOKUP(Misfit[[#This Row],[Shortname]], Comp[], 23, FALSE)</f>
        <v>12.3</v>
      </c>
      <c r="AB357">
        <f>VLOOKUP(Misfit[[#This Row],[Shortname]], Comp[], 24, FALSE)</f>
        <v>0</v>
      </c>
      <c r="AC357">
        <f>VLOOKUP(Misfit[[#This Row],[Shortname]], Comp[], 25, FALSE)</f>
        <v>0</v>
      </c>
      <c r="AD357">
        <f>VLOOKUP(Misfit[[#This Row],[Shortname]], Comp[], 26, FALSE)</f>
        <v>0</v>
      </c>
      <c r="AE357">
        <f>VLOOKUP(Misfit[[#This Row],[Shortname]], Comp[], 27, FALSE)</f>
        <v>0</v>
      </c>
      <c r="AF357">
        <f>VLOOKUP(Misfit[[#This Row],[Shortname]], Comp[], 28, FALSE)</f>
        <v>0</v>
      </c>
      <c r="AG357">
        <f>VLOOKUP(Misfit[[#This Row],[Shortname]], Comp[], 29, FALSE)</f>
        <v>0</v>
      </c>
      <c r="AH357">
        <f>VLOOKUP(Misfit[[#This Row],[Shortname]], Comp[], 30, FALSE)</f>
        <v>0</v>
      </c>
      <c r="AI357">
        <f>VLOOKUP(Misfit[[#This Row],[Shortname]], Comp[], 31, FALSE)</f>
        <v>0</v>
      </c>
    </row>
    <row r="358" spans="1:35" x14ac:dyDescent="0.3">
      <c r="A358" s="12" t="s">
        <v>6429</v>
      </c>
      <c r="B358" s="12" t="s">
        <v>6430</v>
      </c>
      <c r="C358" s="12" t="s">
        <v>6431</v>
      </c>
      <c r="D358" s="12">
        <v>850</v>
      </c>
      <c r="E358" s="12">
        <v>25</v>
      </c>
      <c r="F358" s="12"/>
      <c r="G358" s="12"/>
      <c r="H358" s="41">
        <v>5.5764105500000008E-3</v>
      </c>
      <c r="I358" s="12"/>
      <c r="J358">
        <f>VLOOKUP(Misfit[[#This Row],[Shortname]], Comp[], 6, FALSE)</f>
        <v>1072</v>
      </c>
      <c r="K358">
        <f>VLOOKUP(Misfit[[#This Row],[Shortname]], Comp[], 7, FALSE)</f>
        <v>52.410000000000004</v>
      </c>
      <c r="L358">
        <f>VLOOKUP(Misfit[[#This Row],[Shortname]], Comp[], 8, FALSE)</f>
        <v>17.489999999999998</v>
      </c>
      <c r="M358">
        <f>VLOOKUP(Misfit[[#This Row],[Shortname]], Comp[], 9, FALSE)</f>
        <v>5.42</v>
      </c>
      <c r="N358">
        <f>VLOOKUP(Misfit[[#This Row],[Shortname]], Comp[], 10, FALSE)</f>
        <v>4.17</v>
      </c>
      <c r="O358">
        <f>VLOOKUP(Misfit[[#This Row],[Shortname]], Comp[], 11, FALSE)</f>
        <v>0</v>
      </c>
      <c r="P358">
        <f>VLOOKUP(Misfit[[#This Row],[Shortname]], Comp[],12, FALSE)</f>
        <v>2.0299999999999998</v>
      </c>
      <c r="Q358">
        <f>VLOOKUP(Misfit[[#This Row],[Shortname]], Comp[], 13, FALSE)</f>
        <v>1.52</v>
      </c>
      <c r="R358">
        <f>VLOOKUP(Misfit[[#This Row],[Shortname]], Comp[], 14, FALSE)</f>
        <v>1.44</v>
      </c>
      <c r="S358">
        <f>VLOOKUP(Misfit[[#This Row],[Shortname]], Comp[], 15, FALSE)</f>
        <v>3.08</v>
      </c>
      <c r="T358">
        <f>VLOOKUP(Misfit[[#This Row],[Shortname]], Comp[], 16, FALSE)</f>
        <v>0</v>
      </c>
      <c r="U358">
        <f>VLOOKUP(Misfit[[#This Row],[Shortname]], Comp[], 17, FALSE)</f>
        <v>0</v>
      </c>
      <c r="V358">
        <f>VLOOKUP(Misfit[[#This Row],[Shortname]], Comp[], 18, FALSE)</f>
        <v>0</v>
      </c>
      <c r="W358">
        <f>VLOOKUP(Misfit[[#This Row],[Shortname]], Comp[], 19, FALSE)</f>
        <v>0.08</v>
      </c>
      <c r="X358">
        <f>VLOOKUP(Misfit[[#This Row],[Shortname]], Comp[], 20, FALSE)</f>
        <v>0</v>
      </c>
      <c r="Y358">
        <f>VLOOKUP(Misfit[[#This Row],[Shortname]], Comp[], 21, FALSE)</f>
        <v>0</v>
      </c>
      <c r="Z358">
        <f>VLOOKUP(Misfit[[#This Row],[Shortname]], Comp[], 22, FALSE)</f>
        <v>0</v>
      </c>
      <c r="AA358">
        <f>VLOOKUP(Misfit[[#This Row],[Shortname]], Comp[], 23, FALSE)</f>
        <v>12.36</v>
      </c>
      <c r="AB358">
        <f>VLOOKUP(Misfit[[#This Row],[Shortname]], Comp[], 24, FALSE)</f>
        <v>0</v>
      </c>
      <c r="AC358">
        <f>VLOOKUP(Misfit[[#This Row],[Shortname]], Comp[], 25, FALSE)</f>
        <v>0</v>
      </c>
      <c r="AD358">
        <f>VLOOKUP(Misfit[[#This Row],[Shortname]], Comp[], 26, FALSE)</f>
        <v>0</v>
      </c>
      <c r="AE358">
        <f>VLOOKUP(Misfit[[#This Row],[Shortname]], Comp[], 27, FALSE)</f>
        <v>0</v>
      </c>
      <c r="AF358">
        <f>VLOOKUP(Misfit[[#This Row],[Shortname]], Comp[], 28, FALSE)</f>
        <v>0</v>
      </c>
      <c r="AG358">
        <f>VLOOKUP(Misfit[[#This Row],[Shortname]], Comp[], 29, FALSE)</f>
        <v>0</v>
      </c>
      <c r="AH358">
        <f>VLOOKUP(Misfit[[#This Row],[Shortname]], Comp[], 30, FALSE)</f>
        <v>0</v>
      </c>
      <c r="AI358">
        <f>VLOOKUP(Misfit[[#This Row],[Shortname]], Comp[], 31, FALSE)</f>
        <v>0</v>
      </c>
    </row>
    <row r="359" spans="1:35" x14ac:dyDescent="0.3">
      <c r="A359" s="12" t="s">
        <v>6435</v>
      </c>
      <c r="B359" s="12" t="s">
        <v>6436</v>
      </c>
      <c r="C359" s="12" t="s">
        <v>6431</v>
      </c>
      <c r="D359" s="12">
        <v>850</v>
      </c>
      <c r="E359" s="12">
        <v>25</v>
      </c>
      <c r="F359" s="12"/>
      <c r="G359" s="12"/>
      <c r="H359" s="41">
        <v>5.3877750899999997E-3</v>
      </c>
      <c r="I359" s="12"/>
      <c r="J359">
        <f>VLOOKUP(Misfit[[#This Row],[Shortname]], Comp[], 6, FALSE)</f>
        <v>1073</v>
      </c>
      <c r="K359">
        <f>VLOOKUP(Misfit[[#This Row],[Shortname]], Comp[], 7, FALSE)</f>
        <v>52.14</v>
      </c>
      <c r="L359">
        <f>VLOOKUP(Misfit[[#This Row],[Shortname]], Comp[], 8, FALSE)</f>
        <v>15.53</v>
      </c>
      <c r="M359">
        <f>VLOOKUP(Misfit[[#This Row],[Shortname]], Comp[], 9, FALSE)</f>
        <v>5.63</v>
      </c>
      <c r="N359">
        <f>VLOOKUP(Misfit[[#This Row],[Shortname]], Comp[], 10, FALSE)</f>
        <v>4.18</v>
      </c>
      <c r="O359">
        <f>VLOOKUP(Misfit[[#This Row],[Shortname]], Comp[], 11, FALSE)</f>
        <v>0</v>
      </c>
      <c r="P359">
        <f>VLOOKUP(Misfit[[#This Row],[Shortname]], Comp[],12, FALSE)</f>
        <v>2.0699999999999998</v>
      </c>
      <c r="Q359">
        <f>VLOOKUP(Misfit[[#This Row],[Shortname]], Comp[], 13, FALSE)</f>
        <v>1.49</v>
      </c>
      <c r="R359">
        <f>VLOOKUP(Misfit[[#This Row],[Shortname]], Comp[], 14, FALSE)</f>
        <v>1.5</v>
      </c>
      <c r="S359">
        <f>VLOOKUP(Misfit[[#This Row],[Shortname]], Comp[], 15, FALSE)</f>
        <v>3.07</v>
      </c>
      <c r="T359">
        <f>VLOOKUP(Misfit[[#This Row],[Shortname]], Comp[], 16, FALSE)</f>
        <v>0</v>
      </c>
      <c r="U359">
        <f>VLOOKUP(Misfit[[#This Row],[Shortname]], Comp[], 17, FALSE)</f>
        <v>0</v>
      </c>
      <c r="V359">
        <f>VLOOKUP(Misfit[[#This Row],[Shortname]], Comp[], 18, FALSE)</f>
        <v>0</v>
      </c>
      <c r="W359">
        <f>VLOOKUP(Misfit[[#This Row],[Shortname]], Comp[], 19, FALSE)</f>
        <v>0.08</v>
      </c>
      <c r="X359">
        <f>VLOOKUP(Misfit[[#This Row],[Shortname]], Comp[], 20, FALSE)</f>
        <v>0</v>
      </c>
      <c r="Y359">
        <f>VLOOKUP(Misfit[[#This Row],[Shortname]], Comp[], 21, FALSE)</f>
        <v>0</v>
      </c>
      <c r="Z359">
        <f>VLOOKUP(Misfit[[#This Row],[Shortname]], Comp[], 22, FALSE)</f>
        <v>0</v>
      </c>
      <c r="AA359">
        <f>VLOOKUP(Misfit[[#This Row],[Shortname]], Comp[], 23, FALSE)</f>
        <v>14.31</v>
      </c>
      <c r="AB359">
        <f>VLOOKUP(Misfit[[#This Row],[Shortname]], Comp[], 24, FALSE)</f>
        <v>0</v>
      </c>
      <c r="AC359">
        <f>VLOOKUP(Misfit[[#This Row],[Shortname]], Comp[], 25, FALSE)</f>
        <v>0</v>
      </c>
      <c r="AD359">
        <f>VLOOKUP(Misfit[[#This Row],[Shortname]], Comp[], 26, FALSE)</f>
        <v>0</v>
      </c>
      <c r="AE359">
        <f>VLOOKUP(Misfit[[#This Row],[Shortname]], Comp[], 27, FALSE)</f>
        <v>0</v>
      </c>
      <c r="AF359">
        <f>VLOOKUP(Misfit[[#This Row],[Shortname]], Comp[], 28, FALSE)</f>
        <v>0</v>
      </c>
      <c r="AG359">
        <f>VLOOKUP(Misfit[[#This Row],[Shortname]], Comp[], 29, FALSE)</f>
        <v>0</v>
      </c>
      <c r="AH359">
        <f>VLOOKUP(Misfit[[#This Row],[Shortname]], Comp[], 30, FALSE)</f>
        <v>0</v>
      </c>
      <c r="AI359">
        <f>VLOOKUP(Misfit[[#This Row],[Shortname]], Comp[], 31, FALSE)</f>
        <v>0</v>
      </c>
    </row>
    <row r="360" spans="1:35" x14ac:dyDescent="0.3">
      <c r="A360" s="12" t="s">
        <v>6440</v>
      </c>
      <c r="B360" s="12" t="s">
        <v>6441</v>
      </c>
      <c r="C360" s="12" t="s">
        <v>6431</v>
      </c>
      <c r="D360" s="12">
        <v>850</v>
      </c>
      <c r="E360" s="12">
        <v>25</v>
      </c>
      <c r="F360" s="12"/>
      <c r="G360" s="12"/>
      <c r="H360" s="41">
        <v>4.3057334899999997E-3</v>
      </c>
      <c r="I360" s="12"/>
      <c r="J360">
        <f>VLOOKUP(Misfit[[#This Row],[Shortname]], Comp[], 6, FALSE)</f>
        <v>1074</v>
      </c>
      <c r="K360">
        <f>VLOOKUP(Misfit[[#This Row],[Shortname]], Comp[], 7, FALSE)</f>
        <v>52.13</v>
      </c>
      <c r="L360">
        <f>VLOOKUP(Misfit[[#This Row],[Shortname]], Comp[], 8, FALSE)</f>
        <v>11.78</v>
      </c>
      <c r="M360">
        <f>VLOOKUP(Misfit[[#This Row],[Shortname]], Comp[], 9, FALSE)</f>
        <v>5.45</v>
      </c>
      <c r="N360">
        <f>VLOOKUP(Misfit[[#This Row],[Shortname]], Comp[], 10, FALSE)</f>
        <v>4.1399999999999997</v>
      </c>
      <c r="O360">
        <f>VLOOKUP(Misfit[[#This Row],[Shortname]], Comp[], 11, FALSE)</f>
        <v>0</v>
      </c>
      <c r="P360">
        <f>VLOOKUP(Misfit[[#This Row],[Shortname]], Comp[],12, FALSE)</f>
        <v>2.06</v>
      </c>
      <c r="Q360">
        <f>VLOOKUP(Misfit[[#This Row],[Shortname]], Comp[], 13, FALSE)</f>
        <v>1.52</v>
      </c>
      <c r="R360">
        <f>VLOOKUP(Misfit[[#This Row],[Shortname]], Comp[], 14, FALSE)</f>
        <v>1.51</v>
      </c>
      <c r="S360">
        <f>VLOOKUP(Misfit[[#This Row],[Shortname]], Comp[], 15, FALSE)</f>
        <v>3.06</v>
      </c>
      <c r="T360">
        <f>VLOOKUP(Misfit[[#This Row],[Shortname]], Comp[], 16, FALSE)</f>
        <v>0</v>
      </c>
      <c r="U360">
        <f>VLOOKUP(Misfit[[#This Row],[Shortname]], Comp[], 17, FALSE)</f>
        <v>0</v>
      </c>
      <c r="V360">
        <f>VLOOKUP(Misfit[[#This Row],[Shortname]], Comp[], 18, FALSE)</f>
        <v>0</v>
      </c>
      <c r="W360">
        <f>VLOOKUP(Misfit[[#This Row],[Shortname]], Comp[], 19, FALSE)</f>
        <v>0.08</v>
      </c>
      <c r="X360">
        <f>VLOOKUP(Misfit[[#This Row],[Shortname]], Comp[], 20, FALSE)</f>
        <v>0</v>
      </c>
      <c r="Y360">
        <f>VLOOKUP(Misfit[[#This Row],[Shortname]], Comp[], 21, FALSE)</f>
        <v>0</v>
      </c>
      <c r="Z360">
        <f>VLOOKUP(Misfit[[#This Row],[Shortname]], Comp[], 22, FALSE)</f>
        <v>0</v>
      </c>
      <c r="AA360">
        <f>VLOOKUP(Misfit[[#This Row],[Shortname]], Comp[], 23, FALSE)</f>
        <v>18.27</v>
      </c>
      <c r="AB360">
        <f>VLOOKUP(Misfit[[#This Row],[Shortname]], Comp[], 24, FALSE)</f>
        <v>0</v>
      </c>
      <c r="AC360">
        <f>VLOOKUP(Misfit[[#This Row],[Shortname]], Comp[], 25, FALSE)</f>
        <v>0</v>
      </c>
      <c r="AD360">
        <f>VLOOKUP(Misfit[[#This Row],[Shortname]], Comp[], 26, FALSE)</f>
        <v>0</v>
      </c>
      <c r="AE360">
        <f>VLOOKUP(Misfit[[#This Row],[Shortname]], Comp[], 27, FALSE)</f>
        <v>0</v>
      </c>
      <c r="AF360">
        <f>VLOOKUP(Misfit[[#This Row],[Shortname]], Comp[], 28, FALSE)</f>
        <v>0</v>
      </c>
      <c r="AG360">
        <f>VLOOKUP(Misfit[[#This Row],[Shortname]], Comp[], 29, FALSE)</f>
        <v>0</v>
      </c>
      <c r="AH360">
        <f>VLOOKUP(Misfit[[#This Row],[Shortname]], Comp[], 30, FALSE)</f>
        <v>0</v>
      </c>
      <c r="AI360">
        <f>VLOOKUP(Misfit[[#This Row],[Shortname]], Comp[], 31, FALSE)</f>
        <v>0</v>
      </c>
    </row>
    <row r="361" spans="1:35" x14ac:dyDescent="0.3">
      <c r="A361" s="12" t="s">
        <v>6445</v>
      </c>
      <c r="B361" s="12" t="s">
        <v>6446</v>
      </c>
      <c r="C361" s="12" t="s">
        <v>6431</v>
      </c>
      <c r="D361" s="12">
        <v>850</v>
      </c>
      <c r="E361" s="12">
        <v>25</v>
      </c>
      <c r="F361" s="12"/>
      <c r="G361" s="12"/>
      <c r="H361" s="41">
        <v>5.5671923599999997E-3</v>
      </c>
      <c r="I361" s="12"/>
      <c r="J361">
        <f>VLOOKUP(Misfit[[#This Row],[Shortname]], Comp[], 6, FALSE)</f>
        <v>1075</v>
      </c>
      <c r="K361">
        <f>VLOOKUP(Misfit[[#This Row],[Shortname]], Comp[], 7, FALSE)</f>
        <v>48.260000000000005</v>
      </c>
      <c r="L361">
        <f>VLOOKUP(Misfit[[#This Row],[Shortname]], Comp[], 8, FALSE)</f>
        <v>17.440000000000001</v>
      </c>
      <c r="M361">
        <f>VLOOKUP(Misfit[[#This Row],[Shortname]], Comp[], 9, FALSE)</f>
        <v>5.44</v>
      </c>
      <c r="N361">
        <f>VLOOKUP(Misfit[[#This Row],[Shortname]], Comp[], 10, FALSE)</f>
        <v>8.32</v>
      </c>
      <c r="O361">
        <f>VLOOKUP(Misfit[[#This Row],[Shortname]], Comp[], 11, FALSE)</f>
        <v>0</v>
      </c>
      <c r="P361">
        <f>VLOOKUP(Misfit[[#This Row],[Shortname]], Comp[],12, FALSE)</f>
        <v>2.08</v>
      </c>
      <c r="Q361">
        <f>VLOOKUP(Misfit[[#This Row],[Shortname]], Comp[], 13, FALSE)</f>
        <v>1.55</v>
      </c>
      <c r="R361">
        <f>VLOOKUP(Misfit[[#This Row],[Shortname]], Comp[], 14, FALSE)</f>
        <v>1.48</v>
      </c>
      <c r="S361">
        <f>VLOOKUP(Misfit[[#This Row],[Shortname]], Comp[], 15, FALSE)</f>
        <v>3.11</v>
      </c>
      <c r="T361">
        <f>VLOOKUP(Misfit[[#This Row],[Shortname]], Comp[], 16, FALSE)</f>
        <v>0</v>
      </c>
      <c r="U361">
        <f>VLOOKUP(Misfit[[#This Row],[Shortname]], Comp[], 17, FALSE)</f>
        <v>0</v>
      </c>
      <c r="V361">
        <f>VLOOKUP(Misfit[[#This Row],[Shortname]], Comp[], 18, FALSE)</f>
        <v>0</v>
      </c>
      <c r="W361">
        <f>VLOOKUP(Misfit[[#This Row],[Shortname]], Comp[], 19, FALSE)</f>
        <v>0.08</v>
      </c>
      <c r="X361">
        <f>VLOOKUP(Misfit[[#This Row],[Shortname]], Comp[], 20, FALSE)</f>
        <v>0</v>
      </c>
      <c r="Y361">
        <f>VLOOKUP(Misfit[[#This Row],[Shortname]], Comp[], 21, FALSE)</f>
        <v>0</v>
      </c>
      <c r="Z361">
        <f>VLOOKUP(Misfit[[#This Row],[Shortname]], Comp[], 22, FALSE)</f>
        <v>0</v>
      </c>
      <c r="AA361">
        <f>VLOOKUP(Misfit[[#This Row],[Shortname]], Comp[], 23, FALSE)</f>
        <v>12.24</v>
      </c>
      <c r="AB361">
        <f>VLOOKUP(Misfit[[#This Row],[Shortname]], Comp[], 24, FALSE)</f>
        <v>0</v>
      </c>
      <c r="AC361">
        <f>VLOOKUP(Misfit[[#This Row],[Shortname]], Comp[], 25, FALSE)</f>
        <v>0</v>
      </c>
      <c r="AD361">
        <f>VLOOKUP(Misfit[[#This Row],[Shortname]], Comp[], 26, FALSE)</f>
        <v>0</v>
      </c>
      <c r="AE361">
        <f>VLOOKUP(Misfit[[#This Row],[Shortname]], Comp[], 27, FALSE)</f>
        <v>0</v>
      </c>
      <c r="AF361">
        <f>VLOOKUP(Misfit[[#This Row],[Shortname]], Comp[], 28, FALSE)</f>
        <v>0</v>
      </c>
      <c r="AG361">
        <f>VLOOKUP(Misfit[[#This Row],[Shortname]], Comp[], 29, FALSE)</f>
        <v>0</v>
      </c>
      <c r="AH361">
        <f>VLOOKUP(Misfit[[#This Row],[Shortname]], Comp[], 30, FALSE)</f>
        <v>0</v>
      </c>
      <c r="AI361">
        <f>VLOOKUP(Misfit[[#This Row],[Shortname]], Comp[], 31, FALSE)</f>
        <v>0</v>
      </c>
    </row>
    <row r="362" spans="1:35" x14ac:dyDescent="0.3">
      <c r="A362" s="12" t="s">
        <v>6451</v>
      </c>
      <c r="B362" s="12" t="s">
        <v>6452</v>
      </c>
      <c r="C362" s="12" t="s">
        <v>6431</v>
      </c>
      <c r="D362" s="12">
        <v>850</v>
      </c>
      <c r="E362" s="12">
        <v>25</v>
      </c>
      <c r="F362" s="12"/>
      <c r="G362" s="12"/>
      <c r="H362" s="41">
        <v>5.3268561499999999E-3</v>
      </c>
      <c r="I362" s="12"/>
      <c r="J362">
        <f>VLOOKUP(Misfit[[#This Row],[Shortname]], Comp[], 6, FALSE)</f>
        <v>1076</v>
      </c>
      <c r="K362">
        <f>VLOOKUP(Misfit[[#This Row],[Shortname]], Comp[], 7, FALSE)</f>
        <v>48.25</v>
      </c>
      <c r="L362">
        <f>VLOOKUP(Misfit[[#This Row],[Shortname]], Comp[], 8, FALSE)</f>
        <v>15.59</v>
      </c>
      <c r="M362">
        <f>VLOOKUP(Misfit[[#This Row],[Shortname]], Comp[], 9, FALSE)</f>
        <v>5.44</v>
      </c>
      <c r="N362">
        <f>VLOOKUP(Misfit[[#This Row],[Shortname]], Comp[], 10, FALSE)</f>
        <v>8.2899999999999991</v>
      </c>
      <c r="O362">
        <f>VLOOKUP(Misfit[[#This Row],[Shortname]], Comp[], 11, FALSE)</f>
        <v>0</v>
      </c>
      <c r="P362">
        <f>VLOOKUP(Misfit[[#This Row],[Shortname]], Comp[],12, FALSE)</f>
        <v>2.0699999999999998</v>
      </c>
      <c r="Q362">
        <f>VLOOKUP(Misfit[[#This Row],[Shortname]], Comp[], 13, FALSE)</f>
        <v>1.51</v>
      </c>
      <c r="R362">
        <f>VLOOKUP(Misfit[[#This Row],[Shortname]], Comp[], 14, FALSE)</f>
        <v>1.45</v>
      </c>
      <c r="S362">
        <f>VLOOKUP(Misfit[[#This Row],[Shortname]], Comp[], 15, FALSE)</f>
        <v>3.1</v>
      </c>
      <c r="T362">
        <f>VLOOKUP(Misfit[[#This Row],[Shortname]], Comp[], 16, FALSE)</f>
        <v>0</v>
      </c>
      <c r="U362">
        <f>VLOOKUP(Misfit[[#This Row],[Shortname]], Comp[], 17, FALSE)</f>
        <v>0</v>
      </c>
      <c r="V362">
        <f>VLOOKUP(Misfit[[#This Row],[Shortname]], Comp[], 18, FALSE)</f>
        <v>0</v>
      </c>
      <c r="W362">
        <f>VLOOKUP(Misfit[[#This Row],[Shortname]], Comp[], 19, FALSE)</f>
        <v>0.08</v>
      </c>
      <c r="X362">
        <f>VLOOKUP(Misfit[[#This Row],[Shortname]], Comp[], 20, FALSE)</f>
        <v>0</v>
      </c>
      <c r="Y362">
        <f>VLOOKUP(Misfit[[#This Row],[Shortname]], Comp[], 21, FALSE)</f>
        <v>0</v>
      </c>
      <c r="Z362">
        <f>VLOOKUP(Misfit[[#This Row],[Shortname]], Comp[], 22, FALSE)</f>
        <v>0</v>
      </c>
      <c r="AA362">
        <f>VLOOKUP(Misfit[[#This Row],[Shortname]], Comp[], 23, FALSE)</f>
        <v>14.22</v>
      </c>
      <c r="AB362">
        <f>VLOOKUP(Misfit[[#This Row],[Shortname]], Comp[], 24, FALSE)</f>
        <v>0</v>
      </c>
      <c r="AC362">
        <f>VLOOKUP(Misfit[[#This Row],[Shortname]], Comp[], 25, FALSE)</f>
        <v>0</v>
      </c>
      <c r="AD362">
        <f>VLOOKUP(Misfit[[#This Row],[Shortname]], Comp[], 26, FALSE)</f>
        <v>0</v>
      </c>
      <c r="AE362">
        <f>VLOOKUP(Misfit[[#This Row],[Shortname]], Comp[], 27, FALSE)</f>
        <v>0</v>
      </c>
      <c r="AF362">
        <f>VLOOKUP(Misfit[[#This Row],[Shortname]], Comp[], 28, FALSE)</f>
        <v>0</v>
      </c>
      <c r="AG362">
        <f>VLOOKUP(Misfit[[#This Row],[Shortname]], Comp[], 29, FALSE)</f>
        <v>0</v>
      </c>
      <c r="AH362">
        <f>VLOOKUP(Misfit[[#This Row],[Shortname]], Comp[], 30, FALSE)</f>
        <v>0</v>
      </c>
      <c r="AI362">
        <f>VLOOKUP(Misfit[[#This Row],[Shortname]], Comp[], 31, FALSE)</f>
        <v>0</v>
      </c>
    </row>
    <row r="363" spans="1:35" x14ac:dyDescent="0.3">
      <c r="A363" s="12" t="s">
        <v>6456</v>
      </c>
      <c r="B363" s="12" t="s">
        <v>6457</v>
      </c>
      <c r="C363" s="12" t="s">
        <v>6431</v>
      </c>
      <c r="D363" s="12">
        <v>850</v>
      </c>
      <c r="E363" s="12">
        <v>25</v>
      </c>
      <c r="F363" s="12"/>
      <c r="G363" s="12"/>
      <c r="H363" s="41">
        <v>3.3600155899999999E-3</v>
      </c>
      <c r="I363" s="12"/>
      <c r="J363">
        <f>VLOOKUP(Misfit[[#This Row],[Shortname]], Comp[], 6, FALSE)</f>
        <v>1077</v>
      </c>
      <c r="K363">
        <f>VLOOKUP(Misfit[[#This Row],[Shortname]], Comp[], 7, FALSE)</f>
        <v>48.05</v>
      </c>
      <c r="L363">
        <f>VLOOKUP(Misfit[[#This Row],[Shortname]], Comp[], 8, FALSE)</f>
        <v>11.81</v>
      </c>
      <c r="M363">
        <f>VLOOKUP(Misfit[[#This Row],[Shortname]], Comp[], 9, FALSE)</f>
        <v>5.49</v>
      </c>
      <c r="N363">
        <f>VLOOKUP(Misfit[[#This Row],[Shortname]], Comp[], 10, FALSE)</f>
        <v>8.3000000000000007</v>
      </c>
      <c r="O363">
        <f>VLOOKUP(Misfit[[#This Row],[Shortname]], Comp[], 11, FALSE)</f>
        <v>0</v>
      </c>
      <c r="P363">
        <f>VLOOKUP(Misfit[[#This Row],[Shortname]], Comp[],12, FALSE)</f>
        <v>2.04</v>
      </c>
      <c r="Q363">
        <f>VLOOKUP(Misfit[[#This Row],[Shortname]], Comp[], 13, FALSE)</f>
        <v>1.44</v>
      </c>
      <c r="R363">
        <f>VLOOKUP(Misfit[[#This Row],[Shortname]], Comp[], 14, FALSE)</f>
        <v>1.41</v>
      </c>
      <c r="S363">
        <f>VLOOKUP(Misfit[[#This Row],[Shortname]], Comp[], 15, FALSE)</f>
        <v>3.1</v>
      </c>
      <c r="T363">
        <f>VLOOKUP(Misfit[[#This Row],[Shortname]], Comp[], 16, FALSE)</f>
        <v>0</v>
      </c>
      <c r="U363">
        <f>VLOOKUP(Misfit[[#This Row],[Shortname]], Comp[], 17, FALSE)</f>
        <v>0</v>
      </c>
      <c r="V363">
        <f>VLOOKUP(Misfit[[#This Row],[Shortname]], Comp[], 18, FALSE)</f>
        <v>0</v>
      </c>
      <c r="W363">
        <f>VLOOKUP(Misfit[[#This Row],[Shortname]], Comp[], 19, FALSE)</f>
        <v>0.08</v>
      </c>
      <c r="X363">
        <f>VLOOKUP(Misfit[[#This Row],[Shortname]], Comp[], 20, FALSE)</f>
        <v>0</v>
      </c>
      <c r="Y363">
        <f>VLOOKUP(Misfit[[#This Row],[Shortname]], Comp[], 21, FALSE)</f>
        <v>0</v>
      </c>
      <c r="Z363">
        <f>VLOOKUP(Misfit[[#This Row],[Shortname]], Comp[], 22, FALSE)</f>
        <v>0</v>
      </c>
      <c r="AA363">
        <f>VLOOKUP(Misfit[[#This Row],[Shortname]], Comp[], 23, FALSE)</f>
        <v>18.28</v>
      </c>
      <c r="AB363">
        <f>VLOOKUP(Misfit[[#This Row],[Shortname]], Comp[], 24, FALSE)</f>
        <v>0</v>
      </c>
      <c r="AC363">
        <f>VLOOKUP(Misfit[[#This Row],[Shortname]], Comp[], 25, FALSE)</f>
        <v>0</v>
      </c>
      <c r="AD363">
        <f>VLOOKUP(Misfit[[#This Row],[Shortname]], Comp[], 26, FALSE)</f>
        <v>0</v>
      </c>
      <c r="AE363">
        <f>VLOOKUP(Misfit[[#This Row],[Shortname]], Comp[], 27, FALSE)</f>
        <v>0</v>
      </c>
      <c r="AF363">
        <f>VLOOKUP(Misfit[[#This Row],[Shortname]], Comp[], 28, FALSE)</f>
        <v>0</v>
      </c>
      <c r="AG363">
        <f>VLOOKUP(Misfit[[#This Row],[Shortname]], Comp[], 29, FALSE)</f>
        <v>0</v>
      </c>
      <c r="AH363">
        <f>VLOOKUP(Misfit[[#This Row],[Shortname]], Comp[], 30, FALSE)</f>
        <v>0</v>
      </c>
      <c r="AI363">
        <f>VLOOKUP(Misfit[[#This Row],[Shortname]], Comp[], 31, FALSE)</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6F6E-1C83-4CCC-935F-695CC76AD664}">
  <dimension ref="A1:AH693"/>
  <sheetViews>
    <sheetView topLeftCell="A671" workbookViewId="0">
      <selection activeCell="O690" sqref="O690"/>
    </sheetView>
  </sheetViews>
  <sheetFormatPr defaultRowHeight="14.4" x14ac:dyDescent="0.3"/>
  <sheetData>
    <row r="1" spans="1:34" x14ac:dyDescent="0.3">
      <c r="A1" t="s">
        <v>6527</v>
      </c>
      <c r="B1" t="s">
        <v>6773</v>
      </c>
      <c r="C1" t="s">
        <v>6528</v>
      </c>
      <c r="D1" t="s">
        <v>6530</v>
      </c>
      <c r="E1" t="s">
        <v>6531</v>
      </c>
      <c r="F1" t="s">
        <v>6774</v>
      </c>
      <c r="G1" t="s">
        <v>6775</v>
      </c>
      <c r="H1" t="s">
        <v>6776</v>
      </c>
      <c r="I1" t="s">
        <v>6532</v>
      </c>
      <c r="J1" t="s">
        <v>0</v>
      </c>
      <c r="K1" t="s">
        <v>6533</v>
      </c>
      <c r="L1" t="s">
        <v>6534</v>
      </c>
      <c r="M1" t="s">
        <v>6535</v>
      </c>
      <c r="N1" t="s">
        <v>6536</v>
      </c>
      <c r="O1" t="s">
        <v>6537</v>
      </c>
      <c r="P1" t="s">
        <v>6538</v>
      </c>
      <c r="Q1" t="s">
        <v>6539</v>
      </c>
      <c r="R1" t="s">
        <v>6540</v>
      </c>
      <c r="S1" t="s">
        <v>6541</v>
      </c>
      <c r="T1" t="s">
        <v>6542</v>
      </c>
      <c r="U1" t="s">
        <v>6543</v>
      </c>
      <c r="V1" t="s">
        <v>5865</v>
      </c>
      <c r="W1" t="s">
        <v>6544</v>
      </c>
      <c r="X1" t="s">
        <v>6545</v>
      </c>
      <c r="Y1" t="s">
        <v>6546</v>
      </c>
      <c r="Z1" t="s">
        <v>6547</v>
      </c>
      <c r="AA1" t="s">
        <v>6548</v>
      </c>
      <c r="AB1" t="s">
        <v>6549</v>
      </c>
      <c r="AC1" t="s">
        <v>6550</v>
      </c>
      <c r="AD1" t="s">
        <v>6551</v>
      </c>
      <c r="AE1" t="s">
        <v>6552</v>
      </c>
      <c r="AF1" t="s">
        <v>6553</v>
      </c>
      <c r="AG1" t="s">
        <v>6554</v>
      </c>
      <c r="AH1" t="s">
        <v>6555</v>
      </c>
    </row>
    <row r="2" spans="1:34" x14ac:dyDescent="0.3">
      <c r="A2" t="s">
        <v>4</v>
      </c>
      <c r="B2">
        <v>1</v>
      </c>
      <c r="C2" t="str">
        <f>VLOOKUP(Table5[[#This Row],[Shortname]], [1]!comp[#Data], 2, FALSE)</f>
        <v>W-free</v>
      </c>
      <c r="D2" t="s">
        <v>7</v>
      </c>
      <c r="E2" t="s">
        <v>8</v>
      </c>
      <c r="F2">
        <v>1053</v>
      </c>
      <c r="I2">
        <f>VLOOKUP(Table5[[#This Row],[Shortname]], Comp[], 6, FALSE)</f>
        <v>1</v>
      </c>
      <c r="J2" s="14">
        <f>VLOOKUP(Table5[[#This Row],[Shortname]], Comp[], 7, FALSE)</f>
        <v>41.800000000000004</v>
      </c>
      <c r="K2">
        <f>VLOOKUP(Table5[[#This Row],[Shortname]], Comp[], 8, FALSE)</f>
        <v>29.5</v>
      </c>
      <c r="L2">
        <f>VLOOKUP(Table5[[#This Row],[Shortname]], Comp[], 9, FALSE)</f>
        <v>9.6</v>
      </c>
      <c r="M2">
        <f>VLOOKUP(Table5[[#This Row],[Shortname]], Comp[], 10, FALSE)</f>
        <v>12.7</v>
      </c>
      <c r="N2">
        <f>VLOOKUP(Table5[[#This Row],[Shortname]], Comp[], 11, FALSE)</f>
        <v>0</v>
      </c>
      <c r="O2">
        <f>VLOOKUP(Table5[[#This Row],[Shortname]], Comp[],12, FALSE)</f>
        <v>4.5</v>
      </c>
      <c r="P2">
        <f>VLOOKUP(Table5[[#This Row],[Shortname]], Comp[], 13, FALSE)</f>
        <v>0</v>
      </c>
      <c r="Q2">
        <f>VLOOKUP(Table5[[#This Row],[Shortname]], Comp[], 14, FALSE)</f>
        <v>1.9</v>
      </c>
      <c r="R2">
        <f>VLOOKUP(Table5[[#This Row],[Shortname]], Comp[], 15, FALSE)</f>
        <v>0</v>
      </c>
      <c r="S2">
        <f>VLOOKUP(Table5[[#This Row],[Shortname]], Comp[], 16, FALSE)</f>
        <v>0</v>
      </c>
      <c r="T2">
        <f>VLOOKUP(Table5[[#This Row],[Shortname]], Comp[], 17, FALSE)</f>
        <v>0</v>
      </c>
      <c r="U2">
        <f>VLOOKUP(Table5[[#This Row],[Shortname]], Comp[], 18, FALSE)</f>
        <v>0</v>
      </c>
      <c r="V2">
        <f>VLOOKUP(Table5[[#This Row],[Shortname]], Comp[], 19, FALSE)</f>
        <v>0</v>
      </c>
      <c r="W2">
        <f>VLOOKUP(Table5[[#This Row],[Shortname]], Comp[], 20, FALSE)</f>
        <v>0</v>
      </c>
      <c r="X2">
        <f>VLOOKUP(Table5[[#This Row],[Shortname]], Comp[], 21, FALSE)</f>
        <v>0</v>
      </c>
      <c r="Y2">
        <f>VLOOKUP(Table5[[#This Row],[Shortname]], Comp[], 22, FALSE)</f>
        <v>0</v>
      </c>
      <c r="Z2">
        <f>VLOOKUP(Table5[[#This Row],[Shortname]], Comp[], 23, FALSE)</f>
        <v>0</v>
      </c>
      <c r="AA2">
        <f>VLOOKUP(Table5[[#This Row],[Shortname]], Comp[], 24, FALSE)</f>
        <v>0</v>
      </c>
      <c r="AB2">
        <f>VLOOKUP(Table5[[#This Row],[Shortname]], Comp[], 25, FALSE)</f>
        <v>0</v>
      </c>
      <c r="AC2">
        <f>VLOOKUP(Table5[[#This Row],[Shortname]], Comp[], 26, FALSE)</f>
        <v>0</v>
      </c>
      <c r="AD2">
        <f>VLOOKUP(Table5[[#This Row],[Shortname]], Comp[], 27, FALSE)</f>
        <v>0</v>
      </c>
      <c r="AE2">
        <f>VLOOKUP(Table5[[#This Row],[Shortname]], Comp[], 28, FALSE)</f>
        <v>0</v>
      </c>
      <c r="AF2">
        <f>VLOOKUP(Table5[[#This Row],[Shortname]], Comp[], 29, FALSE)</f>
        <v>0</v>
      </c>
      <c r="AG2">
        <f>VLOOKUP(Table5[[#This Row],[Shortname]], Comp[], 30, FALSE)</f>
        <v>0</v>
      </c>
      <c r="AH2">
        <f>VLOOKUP(Table5[[#This Row],[Shortname]], Comp[], 31, FALSE)</f>
        <v>0</v>
      </c>
    </row>
    <row r="3" spans="1:34" x14ac:dyDescent="0.3">
      <c r="A3" t="s">
        <v>58</v>
      </c>
      <c r="B3">
        <v>2</v>
      </c>
      <c r="C3" t="str">
        <f>VLOOKUP(Table5[[#This Row],[Shortname]], [1]!comp[#Data], 2, FALSE)</f>
        <v>Low-W</v>
      </c>
      <c r="D3" t="s">
        <v>60</v>
      </c>
      <c r="E3" t="s">
        <v>43</v>
      </c>
      <c r="F3">
        <v>1130</v>
      </c>
      <c r="I3">
        <f>VLOOKUP(Table5[[#This Row],[Shortname]], Comp[], 6, FALSE)</f>
        <v>6</v>
      </c>
      <c r="J3" s="14">
        <f>VLOOKUP(Table5[[#This Row],[Shortname]], Comp[], 7, FALSE)</f>
        <v>51</v>
      </c>
      <c r="K3">
        <f>VLOOKUP(Table5[[#This Row],[Shortname]], Comp[], 8, FALSE)</f>
        <v>30</v>
      </c>
      <c r="L3">
        <f>VLOOKUP(Table5[[#This Row],[Shortname]], Comp[], 9, FALSE)</f>
        <v>10</v>
      </c>
      <c r="M3">
        <f>VLOOKUP(Table5[[#This Row],[Shortname]], Comp[], 10, FALSE)</f>
        <v>0</v>
      </c>
      <c r="N3">
        <f>VLOOKUP(Table5[[#This Row],[Shortname]], Comp[], 11, FALSE)</f>
        <v>2</v>
      </c>
      <c r="O3">
        <f>VLOOKUP(Table5[[#This Row],[Shortname]], Comp[],12, FALSE)</f>
        <v>2</v>
      </c>
      <c r="P3">
        <f>VLOOKUP(Table5[[#This Row],[Shortname]], Comp[], 13, FALSE)</f>
        <v>2</v>
      </c>
      <c r="Q3">
        <f>VLOOKUP(Table5[[#This Row],[Shortname]], Comp[], 14, FALSE)</f>
        <v>0</v>
      </c>
      <c r="R3">
        <f>VLOOKUP(Table5[[#This Row],[Shortname]], Comp[], 15, FALSE)</f>
        <v>0</v>
      </c>
      <c r="S3">
        <f>VLOOKUP(Table5[[#This Row],[Shortname]], Comp[], 16, FALSE)</f>
        <v>3</v>
      </c>
      <c r="T3">
        <f>VLOOKUP(Table5[[#This Row],[Shortname]], Comp[], 17, FALSE)</f>
        <v>0</v>
      </c>
      <c r="U3">
        <f>VLOOKUP(Table5[[#This Row],[Shortname]], Comp[], 18, FALSE)</f>
        <v>0</v>
      </c>
      <c r="V3">
        <f>VLOOKUP(Table5[[#This Row],[Shortname]], Comp[], 19, FALSE)</f>
        <v>0</v>
      </c>
      <c r="W3">
        <f>VLOOKUP(Table5[[#This Row],[Shortname]], Comp[], 20, FALSE)</f>
        <v>0</v>
      </c>
      <c r="X3">
        <f>VLOOKUP(Table5[[#This Row],[Shortname]], Comp[], 21, FALSE)</f>
        <v>0</v>
      </c>
      <c r="Y3">
        <f>VLOOKUP(Table5[[#This Row],[Shortname]], Comp[], 22, FALSE)</f>
        <v>0</v>
      </c>
      <c r="Z3">
        <f>VLOOKUP(Table5[[#This Row],[Shortname]], Comp[], 23, FALSE)</f>
        <v>0</v>
      </c>
      <c r="AA3">
        <f>VLOOKUP(Table5[[#This Row],[Shortname]], Comp[], 24, FALSE)</f>
        <v>0</v>
      </c>
      <c r="AB3">
        <f>VLOOKUP(Table5[[#This Row],[Shortname]], Comp[], 25, FALSE)</f>
        <v>0</v>
      </c>
      <c r="AC3">
        <f>VLOOKUP(Table5[[#This Row],[Shortname]], Comp[], 26, FALSE)</f>
        <v>0</v>
      </c>
      <c r="AD3">
        <f>VLOOKUP(Table5[[#This Row],[Shortname]], Comp[], 27, FALSE)</f>
        <v>0</v>
      </c>
      <c r="AE3">
        <f>VLOOKUP(Table5[[#This Row],[Shortname]], Comp[], 28, FALSE)</f>
        <v>0</v>
      </c>
      <c r="AF3">
        <f>VLOOKUP(Table5[[#This Row],[Shortname]], Comp[], 29, FALSE)</f>
        <v>0</v>
      </c>
      <c r="AG3">
        <f>VLOOKUP(Table5[[#This Row],[Shortname]], Comp[], 30, FALSE)</f>
        <v>0</v>
      </c>
      <c r="AH3">
        <f>VLOOKUP(Table5[[#This Row],[Shortname]], Comp[], 31, FALSE)</f>
        <v>0</v>
      </c>
    </row>
    <row r="4" spans="1:34" x14ac:dyDescent="0.3">
      <c r="A4" t="s">
        <v>49</v>
      </c>
      <c r="B4">
        <v>3</v>
      </c>
      <c r="C4" t="str">
        <f>VLOOKUP(Table5[[#This Row],[Shortname]], [1]!comp[#Data], 2, FALSE)</f>
        <v>Low-W</v>
      </c>
      <c r="D4" t="s">
        <v>51</v>
      </c>
      <c r="E4" t="s">
        <v>34</v>
      </c>
      <c r="F4">
        <v>1118</v>
      </c>
      <c r="I4">
        <f>VLOOKUP(Table5[[#This Row],[Shortname]], Comp[], 6, FALSE)</f>
        <v>5</v>
      </c>
      <c r="J4" s="14">
        <f>VLOOKUP(Table5[[#This Row],[Shortname]], Comp[], 7, FALSE)</f>
        <v>51</v>
      </c>
      <c r="K4">
        <f>VLOOKUP(Table5[[#This Row],[Shortname]], Comp[], 8, FALSE)</f>
        <v>30</v>
      </c>
      <c r="L4">
        <f>VLOOKUP(Table5[[#This Row],[Shortname]], Comp[], 9, FALSE)</f>
        <v>10</v>
      </c>
      <c r="M4">
        <f>VLOOKUP(Table5[[#This Row],[Shortname]], Comp[], 10, FALSE)</f>
        <v>0</v>
      </c>
      <c r="N4">
        <f>VLOOKUP(Table5[[#This Row],[Shortname]], Comp[], 11, FALSE)</f>
        <v>1.5</v>
      </c>
      <c r="O4">
        <f>VLOOKUP(Table5[[#This Row],[Shortname]], Comp[],12, FALSE)</f>
        <v>2</v>
      </c>
      <c r="P4">
        <f>VLOOKUP(Table5[[#This Row],[Shortname]], Comp[], 13, FALSE)</f>
        <v>2</v>
      </c>
      <c r="Q4">
        <f>VLOOKUP(Table5[[#This Row],[Shortname]], Comp[], 14, FALSE)</f>
        <v>0</v>
      </c>
      <c r="R4">
        <f>VLOOKUP(Table5[[#This Row],[Shortname]], Comp[], 15, FALSE)</f>
        <v>0</v>
      </c>
      <c r="S4">
        <f>VLOOKUP(Table5[[#This Row],[Shortname]], Comp[], 16, FALSE)</f>
        <v>3.5</v>
      </c>
      <c r="T4">
        <f>VLOOKUP(Table5[[#This Row],[Shortname]], Comp[], 17, FALSE)</f>
        <v>0</v>
      </c>
      <c r="U4">
        <f>VLOOKUP(Table5[[#This Row],[Shortname]], Comp[], 18, FALSE)</f>
        <v>0</v>
      </c>
      <c r="V4">
        <f>VLOOKUP(Table5[[#This Row],[Shortname]], Comp[], 19, FALSE)</f>
        <v>0</v>
      </c>
      <c r="W4">
        <f>VLOOKUP(Table5[[#This Row],[Shortname]], Comp[], 20, FALSE)</f>
        <v>0</v>
      </c>
      <c r="X4">
        <f>VLOOKUP(Table5[[#This Row],[Shortname]], Comp[], 21, FALSE)</f>
        <v>0</v>
      </c>
      <c r="Y4">
        <f>VLOOKUP(Table5[[#This Row],[Shortname]], Comp[], 22, FALSE)</f>
        <v>0</v>
      </c>
      <c r="Z4">
        <f>VLOOKUP(Table5[[#This Row],[Shortname]], Comp[], 23, FALSE)</f>
        <v>0</v>
      </c>
      <c r="AA4">
        <f>VLOOKUP(Table5[[#This Row],[Shortname]], Comp[], 24, FALSE)</f>
        <v>0</v>
      </c>
      <c r="AB4">
        <f>VLOOKUP(Table5[[#This Row],[Shortname]], Comp[], 25, FALSE)</f>
        <v>0</v>
      </c>
      <c r="AC4">
        <f>VLOOKUP(Table5[[#This Row],[Shortname]], Comp[], 26, FALSE)</f>
        <v>0</v>
      </c>
      <c r="AD4">
        <f>VLOOKUP(Table5[[#This Row],[Shortname]], Comp[], 27, FALSE)</f>
        <v>0</v>
      </c>
      <c r="AE4">
        <f>VLOOKUP(Table5[[#This Row],[Shortname]], Comp[], 28, FALSE)</f>
        <v>0</v>
      </c>
      <c r="AF4">
        <f>VLOOKUP(Table5[[#This Row],[Shortname]], Comp[], 29, FALSE)</f>
        <v>0</v>
      </c>
      <c r="AG4">
        <f>VLOOKUP(Table5[[#This Row],[Shortname]], Comp[], 30, FALSE)</f>
        <v>0</v>
      </c>
      <c r="AH4">
        <f>VLOOKUP(Table5[[#This Row],[Shortname]], Comp[], 31, FALSE)</f>
        <v>0</v>
      </c>
    </row>
    <row r="5" spans="1:34" x14ac:dyDescent="0.3">
      <c r="A5" t="s">
        <v>40</v>
      </c>
      <c r="B5">
        <v>4</v>
      </c>
      <c r="C5" t="str">
        <f>VLOOKUP(Table5[[#This Row],[Shortname]], [1]!comp[#Data], 2, FALSE)</f>
        <v>Low-W</v>
      </c>
      <c r="D5" t="s">
        <v>42</v>
      </c>
      <c r="E5" t="s">
        <v>61</v>
      </c>
      <c r="F5">
        <v>1112</v>
      </c>
      <c r="I5">
        <f>VLOOKUP(Table5[[#This Row],[Shortname]], Comp[], 6, FALSE)</f>
        <v>4</v>
      </c>
      <c r="J5" s="14">
        <f>VLOOKUP(Table5[[#This Row],[Shortname]], Comp[], 7, FALSE)</f>
        <v>51</v>
      </c>
      <c r="K5">
        <f>VLOOKUP(Table5[[#This Row],[Shortname]], Comp[], 8, FALSE)</f>
        <v>30</v>
      </c>
      <c r="L5">
        <f>VLOOKUP(Table5[[#This Row],[Shortname]], Comp[], 9, FALSE)</f>
        <v>10</v>
      </c>
      <c r="M5">
        <f>VLOOKUP(Table5[[#This Row],[Shortname]], Comp[], 10, FALSE)</f>
        <v>0</v>
      </c>
      <c r="N5">
        <f>VLOOKUP(Table5[[#This Row],[Shortname]], Comp[], 11, FALSE)</f>
        <v>1</v>
      </c>
      <c r="O5">
        <f>VLOOKUP(Table5[[#This Row],[Shortname]], Comp[],12, FALSE)</f>
        <v>2</v>
      </c>
      <c r="P5">
        <f>VLOOKUP(Table5[[#This Row],[Shortname]], Comp[], 13, FALSE)</f>
        <v>2</v>
      </c>
      <c r="Q5">
        <f>VLOOKUP(Table5[[#This Row],[Shortname]], Comp[], 14, FALSE)</f>
        <v>0</v>
      </c>
      <c r="R5">
        <f>VLOOKUP(Table5[[#This Row],[Shortname]], Comp[], 15, FALSE)</f>
        <v>0</v>
      </c>
      <c r="S5">
        <f>VLOOKUP(Table5[[#This Row],[Shortname]], Comp[], 16, FALSE)</f>
        <v>4</v>
      </c>
      <c r="T5">
        <f>VLOOKUP(Table5[[#This Row],[Shortname]], Comp[], 17, FALSE)</f>
        <v>0</v>
      </c>
      <c r="U5">
        <f>VLOOKUP(Table5[[#This Row],[Shortname]], Comp[], 18, FALSE)</f>
        <v>0</v>
      </c>
      <c r="V5">
        <f>VLOOKUP(Table5[[#This Row],[Shortname]], Comp[], 19, FALSE)</f>
        <v>0</v>
      </c>
      <c r="W5">
        <f>VLOOKUP(Table5[[#This Row],[Shortname]], Comp[], 20, FALSE)</f>
        <v>0</v>
      </c>
      <c r="X5">
        <f>VLOOKUP(Table5[[#This Row],[Shortname]], Comp[], 21, FALSE)</f>
        <v>0</v>
      </c>
      <c r="Y5">
        <f>VLOOKUP(Table5[[#This Row],[Shortname]], Comp[], 22, FALSE)</f>
        <v>0</v>
      </c>
      <c r="Z5">
        <f>VLOOKUP(Table5[[#This Row],[Shortname]], Comp[], 23, FALSE)</f>
        <v>0</v>
      </c>
      <c r="AA5">
        <f>VLOOKUP(Table5[[#This Row],[Shortname]], Comp[], 24, FALSE)</f>
        <v>0</v>
      </c>
      <c r="AB5">
        <f>VLOOKUP(Table5[[#This Row],[Shortname]], Comp[], 25, FALSE)</f>
        <v>0</v>
      </c>
      <c r="AC5">
        <f>VLOOKUP(Table5[[#This Row],[Shortname]], Comp[], 26, FALSE)</f>
        <v>0</v>
      </c>
      <c r="AD5">
        <f>VLOOKUP(Table5[[#This Row],[Shortname]], Comp[], 27, FALSE)</f>
        <v>0</v>
      </c>
      <c r="AE5">
        <f>VLOOKUP(Table5[[#This Row],[Shortname]], Comp[], 28, FALSE)</f>
        <v>0</v>
      </c>
      <c r="AF5">
        <f>VLOOKUP(Table5[[#This Row],[Shortname]], Comp[], 29, FALSE)</f>
        <v>0</v>
      </c>
      <c r="AG5">
        <f>VLOOKUP(Table5[[#This Row],[Shortname]], Comp[], 30, FALSE)</f>
        <v>0</v>
      </c>
      <c r="AH5">
        <f>VLOOKUP(Table5[[#This Row],[Shortname]], Comp[], 31, FALSE)</f>
        <v>0</v>
      </c>
    </row>
    <row r="6" spans="1:34" x14ac:dyDescent="0.3">
      <c r="A6" t="s">
        <v>30</v>
      </c>
      <c r="B6">
        <v>5</v>
      </c>
      <c r="C6" t="str">
        <f>VLOOKUP(Table5[[#This Row],[Shortname]], [1]!comp[#Data], 2, FALSE)</f>
        <v>Low-W</v>
      </c>
      <c r="D6" t="s">
        <v>33</v>
      </c>
      <c r="E6" t="s">
        <v>52</v>
      </c>
      <c r="F6">
        <v>1100</v>
      </c>
      <c r="I6">
        <f>VLOOKUP(Table5[[#This Row],[Shortname]], Comp[], 6, FALSE)</f>
        <v>3</v>
      </c>
      <c r="J6" s="14">
        <f>VLOOKUP(Table5[[#This Row],[Shortname]], Comp[], 7, FALSE)</f>
        <v>51</v>
      </c>
      <c r="K6">
        <f>VLOOKUP(Table5[[#This Row],[Shortname]], Comp[], 8, FALSE)</f>
        <v>30</v>
      </c>
      <c r="L6">
        <f>VLOOKUP(Table5[[#This Row],[Shortname]], Comp[], 9, FALSE)</f>
        <v>10</v>
      </c>
      <c r="M6">
        <f>VLOOKUP(Table5[[#This Row],[Shortname]], Comp[], 10, FALSE)</f>
        <v>0</v>
      </c>
      <c r="N6">
        <f>VLOOKUP(Table5[[#This Row],[Shortname]], Comp[], 11, FALSE)</f>
        <v>0.5</v>
      </c>
      <c r="O6">
        <f>VLOOKUP(Table5[[#This Row],[Shortname]], Comp[],12, FALSE)</f>
        <v>2</v>
      </c>
      <c r="P6">
        <f>VLOOKUP(Table5[[#This Row],[Shortname]], Comp[], 13, FALSE)</f>
        <v>2</v>
      </c>
      <c r="Q6">
        <f>VLOOKUP(Table5[[#This Row],[Shortname]], Comp[], 14, FALSE)</f>
        <v>0</v>
      </c>
      <c r="R6">
        <f>VLOOKUP(Table5[[#This Row],[Shortname]], Comp[], 15, FALSE)</f>
        <v>0</v>
      </c>
      <c r="S6">
        <f>VLOOKUP(Table5[[#This Row],[Shortname]], Comp[], 16, FALSE)</f>
        <v>4.5</v>
      </c>
      <c r="T6">
        <f>VLOOKUP(Table5[[#This Row],[Shortname]], Comp[], 17, FALSE)</f>
        <v>0</v>
      </c>
      <c r="U6">
        <f>VLOOKUP(Table5[[#This Row],[Shortname]], Comp[], 18, FALSE)</f>
        <v>0</v>
      </c>
      <c r="V6">
        <f>VLOOKUP(Table5[[#This Row],[Shortname]], Comp[], 19, FALSE)</f>
        <v>0</v>
      </c>
      <c r="W6">
        <f>VLOOKUP(Table5[[#This Row],[Shortname]], Comp[], 20, FALSE)</f>
        <v>0</v>
      </c>
      <c r="X6">
        <f>VLOOKUP(Table5[[#This Row],[Shortname]], Comp[], 21, FALSE)</f>
        <v>0</v>
      </c>
      <c r="Y6">
        <f>VLOOKUP(Table5[[#This Row],[Shortname]], Comp[], 22, FALSE)</f>
        <v>0</v>
      </c>
      <c r="Z6">
        <f>VLOOKUP(Table5[[#This Row],[Shortname]], Comp[], 23, FALSE)</f>
        <v>0</v>
      </c>
      <c r="AA6">
        <f>VLOOKUP(Table5[[#This Row],[Shortname]], Comp[], 24, FALSE)</f>
        <v>0</v>
      </c>
      <c r="AB6">
        <f>VLOOKUP(Table5[[#This Row],[Shortname]], Comp[], 25, FALSE)</f>
        <v>0</v>
      </c>
      <c r="AC6">
        <f>VLOOKUP(Table5[[#This Row],[Shortname]], Comp[], 26, FALSE)</f>
        <v>0</v>
      </c>
      <c r="AD6">
        <f>VLOOKUP(Table5[[#This Row],[Shortname]], Comp[], 27, FALSE)</f>
        <v>0</v>
      </c>
      <c r="AE6">
        <f>VLOOKUP(Table5[[#This Row],[Shortname]], Comp[], 28, FALSE)</f>
        <v>0</v>
      </c>
      <c r="AF6">
        <f>VLOOKUP(Table5[[#This Row],[Shortname]], Comp[], 29, FALSE)</f>
        <v>0</v>
      </c>
      <c r="AG6">
        <f>VLOOKUP(Table5[[#This Row],[Shortname]], Comp[], 30, FALSE)</f>
        <v>0</v>
      </c>
      <c r="AH6">
        <f>VLOOKUP(Table5[[#This Row],[Shortname]], Comp[], 31, FALSE)</f>
        <v>0</v>
      </c>
    </row>
    <row r="7" spans="1:34" x14ac:dyDescent="0.3">
      <c r="A7" t="s">
        <v>82</v>
      </c>
      <c r="B7">
        <v>6</v>
      </c>
      <c r="C7" t="str">
        <f>VLOOKUP(Table5[[#This Row],[Shortname]], [1]!comp[#Data], 2, FALSE)</f>
        <v>W-free</v>
      </c>
      <c r="D7" t="s">
        <v>84</v>
      </c>
      <c r="E7" t="s">
        <v>21</v>
      </c>
      <c r="F7">
        <v>1082</v>
      </c>
      <c r="I7">
        <f>VLOOKUP(Table5[[#This Row],[Shortname]], Comp[], 6, FALSE)</f>
        <v>8</v>
      </c>
      <c r="J7" s="14">
        <f>VLOOKUP(Table5[[#This Row],[Shortname]], Comp[], 7, FALSE)</f>
        <v>40.210000000000008</v>
      </c>
      <c r="K7">
        <f>VLOOKUP(Table5[[#This Row],[Shortname]], Comp[], 8, FALSE)</f>
        <v>31.14</v>
      </c>
      <c r="L7">
        <f>VLOOKUP(Table5[[#This Row],[Shortname]], Comp[], 9, FALSE)</f>
        <v>10.76</v>
      </c>
      <c r="M7">
        <f>VLOOKUP(Table5[[#This Row],[Shortname]], Comp[], 10, FALSE)</f>
        <v>10.83</v>
      </c>
      <c r="N7">
        <f>VLOOKUP(Table5[[#This Row],[Shortname]], Comp[], 11, FALSE)</f>
        <v>0</v>
      </c>
      <c r="O7">
        <f>VLOOKUP(Table5[[#This Row],[Shortname]], Comp[],12, FALSE)</f>
        <v>0</v>
      </c>
      <c r="P7">
        <f>VLOOKUP(Table5[[#This Row],[Shortname]], Comp[], 13, FALSE)</f>
        <v>2.54</v>
      </c>
      <c r="Q7">
        <f>VLOOKUP(Table5[[#This Row],[Shortname]], Comp[], 14, FALSE)</f>
        <v>0</v>
      </c>
      <c r="R7">
        <f>VLOOKUP(Table5[[#This Row],[Shortname]], Comp[], 15, FALSE)</f>
        <v>0</v>
      </c>
      <c r="S7">
        <f>VLOOKUP(Table5[[#This Row],[Shortname]], Comp[], 16, FALSE)</f>
        <v>4.03</v>
      </c>
      <c r="T7">
        <f>VLOOKUP(Table5[[#This Row],[Shortname]], Comp[], 17, FALSE)</f>
        <v>0.22</v>
      </c>
      <c r="U7">
        <f>VLOOKUP(Table5[[#This Row],[Shortname]], Comp[], 18, FALSE)</f>
        <v>0.05</v>
      </c>
      <c r="V7">
        <f>VLOOKUP(Table5[[#This Row],[Shortname]], Comp[], 19, FALSE)</f>
        <v>0.22</v>
      </c>
      <c r="W7">
        <f>VLOOKUP(Table5[[#This Row],[Shortname]], Comp[], 20, FALSE)</f>
        <v>0</v>
      </c>
      <c r="X7">
        <f>VLOOKUP(Table5[[#This Row],[Shortname]], Comp[], 21, FALSE)</f>
        <v>0</v>
      </c>
      <c r="Y7">
        <f>VLOOKUP(Table5[[#This Row],[Shortname]], Comp[], 22, FALSE)</f>
        <v>0</v>
      </c>
      <c r="Z7">
        <f>VLOOKUP(Table5[[#This Row],[Shortname]], Comp[], 23, FALSE)</f>
        <v>0</v>
      </c>
      <c r="AA7">
        <f>VLOOKUP(Table5[[#This Row],[Shortname]], Comp[], 24, FALSE)</f>
        <v>0</v>
      </c>
      <c r="AB7">
        <f>VLOOKUP(Table5[[#This Row],[Shortname]], Comp[], 25, FALSE)</f>
        <v>0</v>
      </c>
      <c r="AC7">
        <f>VLOOKUP(Table5[[#This Row],[Shortname]], Comp[], 26, FALSE)</f>
        <v>0</v>
      </c>
      <c r="AD7">
        <f>VLOOKUP(Table5[[#This Row],[Shortname]], Comp[], 27, FALSE)</f>
        <v>0</v>
      </c>
      <c r="AE7">
        <f>VLOOKUP(Table5[[#This Row],[Shortname]], Comp[], 28, FALSE)</f>
        <v>0</v>
      </c>
      <c r="AF7">
        <f>VLOOKUP(Table5[[#This Row],[Shortname]], Comp[], 29, FALSE)</f>
        <v>0</v>
      </c>
      <c r="AG7">
        <f>VLOOKUP(Table5[[#This Row],[Shortname]], Comp[], 30, FALSE)</f>
        <v>0</v>
      </c>
      <c r="AH7">
        <f>VLOOKUP(Table5[[#This Row],[Shortname]], Comp[], 31, FALSE)</f>
        <v>0</v>
      </c>
    </row>
    <row r="8" spans="1:34" x14ac:dyDescent="0.3">
      <c r="A8" t="s">
        <v>18</v>
      </c>
      <c r="B8">
        <v>7</v>
      </c>
      <c r="C8" t="str">
        <f>VLOOKUP(Table5[[#This Row],[Shortname]], [1]!comp[#Data], 2, FALSE)</f>
        <v>W-free</v>
      </c>
      <c r="D8" t="s">
        <v>20</v>
      </c>
      <c r="E8" t="s">
        <v>6645</v>
      </c>
      <c r="F8">
        <v>1070</v>
      </c>
      <c r="I8">
        <f>VLOOKUP(Table5[[#This Row],[Shortname]], Comp[], 6, FALSE)</f>
        <v>2</v>
      </c>
      <c r="J8" s="14">
        <f>VLOOKUP(Table5[[#This Row],[Shortname]], Comp[], 7, FALSE)</f>
        <v>51</v>
      </c>
      <c r="K8">
        <f>VLOOKUP(Table5[[#This Row],[Shortname]], Comp[], 8, FALSE)</f>
        <v>30</v>
      </c>
      <c r="L8">
        <f>VLOOKUP(Table5[[#This Row],[Shortname]], Comp[], 9, FALSE)</f>
        <v>10</v>
      </c>
      <c r="M8">
        <f>VLOOKUP(Table5[[#This Row],[Shortname]], Comp[], 10, FALSE)</f>
        <v>0</v>
      </c>
      <c r="N8">
        <f>VLOOKUP(Table5[[#This Row],[Shortname]], Comp[], 11, FALSE)</f>
        <v>0</v>
      </c>
      <c r="O8">
        <f>VLOOKUP(Table5[[#This Row],[Shortname]], Comp[],12, FALSE)</f>
        <v>2</v>
      </c>
      <c r="P8">
        <f>VLOOKUP(Table5[[#This Row],[Shortname]], Comp[], 13, FALSE)</f>
        <v>2</v>
      </c>
      <c r="Q8">
        <f>VLOOKUP(Table5[[#This Row],[Shortname]], Comp[], 14, FALSE)</f>
        <v>0</v>
      </c>
      <c r="R8">
        <f>VLOOKUP(Table5[[#This Row],[Shortname]], Comp[], 15, FALSE)</f>
        <v>0</v>
      </c>
      <c r="S8">
        <f>VLOOKUP(Table5[[#This Row],[Shortname]], Comp[], 16, FALSE)</f>
        <v>5</v>
      </c>
      <c r="T8">
        <f>VLOOKUP(Table5[[#This Row],[Shortname]], Comp[], 17, FALSE)</f>
        <v>0</v>
      </c>
      <c r="U8">
        <f>VLOOKUP(Table5[[#This Row],[Shortname]], Comp[], 18, FALSE)</f>
        <v>0</v>
      </c>
      <c r="V8">
        <f>VLOOKUP(Table5[[#This Row],[Shortname]], Comp[], 19, FALSE)</f>
        <v>0</v>
      </c>
      <c r="W8">
        <f>VLOOKUP(Table5[[#This Row],[Shortname]], Comp[], 20, FALSE)</f>
        <v>0</v>
      </c>
      <c r="X8">
        <f>VLOOKUP(Table5[[#This Row],[Shortname]], Comp[], 21, FALSE)</f>
        <v>0</v>
      </c>
      <c r="Y8">
        <f>VLOOKUP(Table5[[#This Row],[Shortname]], Comp[], 22, FALSE)</f>
        <v>0</v>
      </c>
      <c r="Z8">
        <f>VLOOKUP(Table5[[#This Row],[Shortname]], Comp[], 23, FALSE)</f>
        <v>0</v>
      </c>
      <c r="AA8">
        <f>VLOOKUP(Table5[[#This Row],[Shortname]], Comp[], 24, FALSE)</f>
        <v>0</v>
      </c>
      <c r="AB8">
        <f>VLOOKUP(Table5[[#This Row],[Shortname]], Comp[], 25, FALSE)</f>
        <v>0</v>
      </c>
      <c r="AC8">
        <f>VLOOKUP(Table5[[#This Row],[Shortname]], Comp[], 26, FALSE)</f>
        <v>0</v>
      </c>
      <c r="AD8">
        <f>VLOOKUP(Table5[[#This Row],[Shortname]], Comp[], 27, FALSE)</f>
        <v>0</v>
      </c>
      <c r="AE8">
        <f>VLOOKUP(Table5[[#This Row],[Shortname]], Comp[], 28, FALSE)</f>
        <v>0</v>
      </c>
      <c r="AF8">
        <f>VLOOKUP(Table5[[#This Row],[Shortname]], Comp[], 29, FALSE)</f>
        <v>0</v>
      </c>
      <c r="AG8">
        <f>VLOOKUP(Table5[[#This Row],[Shortname]], Comp[], 30, FALSE)</f>
        <v>0</v>
      </c>
      <c r="AH8">
        <f>VLOOKUP(Table5[[#This Row],[Shortname]], Comp[], 31, FALSE)</f>
        <v>0</v>
      </c>
    </row>
    <row r="9" spans="1:34" x14ac:dyDescent="0.3">
      <c r="A9" t="s">
        <v>67</v>
      </c>
      <c r="B9">
        <v>8</v>
      </c>
      <c r="C9" t="str">
        <f>VLOOKUP(Table5[[#This Row],[Shortname]], [1]!comp[#Data], 2, FALSE)</f>
        <v>W-free</v>
      </c>
      <c r="D9" t="s">
        <v>69</v>
      </c>
      <c r="E9" t="s">
        <v>21</v>
      </c>
      <c r="F9">
        <v>1065</v>
      </c>
      <c r="I9">
        <f>VLOOKUP(Table5[[#This Row],[Shortname]], Comp[], 6, FALSE)</f>
        <v>7</v>
      </c>
      <c r="J9" s="14">
        <f>VLOOKUP(Table5[[#This Row],[Shortname]], Comp[], 7, FALSE)</f>
        <v>40.259999999999991</v>
      </c>
      <c r="K9">
        <f>VLOOKUP(Table5[[#This Row],[Shortname]], Comp[], 8, FALSE)</f>
        <v>31.07</v>
      </c>
      <c r="L9">
        <f>VLOOKUP(Table5[[#This Row],[Shortname]], Comp[], 9, FALSE)</f>
        <v>10.6</v>
      </c>
      <c r="M9">
        <f>VLOOKUP(Table5[[#This Row],[Shortname]], Comp[], 10, FALSE)</f>
        <v>10.67</v>
      </c>
      <c r="N9">
        <f>VLOOKUP(Table5[[#This Row],[Shortname]], Comp[], 11, FALSE)</f>
        <v>0</v>
      </c>
      <c r="O9">
        <f>VLOOKUP(Table5[[#This Row],[Shortname]], Comp[],12, FALSE)</f>
        <v>0</v>
      </c>
      <c r="P9">
        <f>VLOOKUP(Table5[[#This Row],[Shortname]], Comp[], 13, FALSE)</f>
        <v>1.88</v>
      </c>
      <c r="Q9">
        <f>VLOOKUP(Table5[[#This Row],[Shortname]], Comp[], 14, FALSE)</f>
        <v>0.99</v>
      </c>
      <c r="R9">
        <f>VLOOKUP(Table5[[#This Row],[Shortname]], Comp[], 15, FALSE)</f>
        <v>0</v>
      </c>
      <c r="S9">
        <f>VLOOKUP(Table5[[#This Row],[Shortname]], Comp[], 16, FALSE)</f>
        <v>3.99</v>
      </c>
      <c r="T9">
        <f>VLOOKUP(Table5[[#This Row],[Shortname]], Comp[], 17, FALSE)</f>
        <v>0.31</v>
      </c>
      <c r="U9">
        <f>VLOOKUP(Table5[[#This Row],[Shortname]], Comp[], 18, FALSE)</f>
        <v>0.04</v>
      </c>
      <c r="V9">
        <f>VLOOKUP(Table5[[#This Row],[Shortname]], Comp[], 19, FALSE)</f>
        <v>0.19</v>
      </c>
      <c r="W9">
        <f>VLOOKUP(Table5[[#This Row],[Shortname]], Comp[], 20, FALSE)</f>
        <v>0</v>
      </c>
      <c r="X9">
        <f>VLOOKUP(Table5[[#This Row],[Shortname]], Comp[], 21, FALSE)</f>
        <v>0</v>
      </c>
      <c r="Y9">
        <f>VLOOKUP(Table5[[#This Row],[Shortname]], Comp[], 22, FALSE)</f>
        <v>0</v>
      </c>
      <c r="Z9">
        <f>VLOOKUP(Table5[[#This Row],[Shortname]], Comp[], 23, FALSE)</f>
        <v>0</v>
      </c>
      <c r="AA9">
        <f>VLOOKUP(Table5[[#This Row],[Shortname]], Comp[], 24, FALSE)</f>
        <v>0</v>
      </c>
      <c r="AB9">
        <f>VLOOKUP(Table5[[#This Row],[Shortname]], Comp[], 25, FALSE)</f>
        <v>0</v>
      </c>
      <c r="AC9">
        <f>VLOOKUP(Table5[[#This Row],[Shortname]], Comp[], 26, FALSE)</f>
        <v>0</v>
      </c>
      <c r="AD9">
        <f>VLOOKUP(Table5[[#This Row],[Shortname]], Comp[], 27, FALSE)</f>
        <v>0</v>
      </c>
      <c r="AE9">
        <f>VLOOKUP(Table5[[#This Row],[Shortname]], Comp[], 28, FALSE)</f>
        <v>0</v>
      </c>
      <c r="AF9">
        <f>VLOOKUP(Table5[[#This Row],[Shortname]], Comp[], 29, FALSE)</f>
        <v>0</v>
      </c>
      <c r="AG9">
        <f>VLOOKUP(Table5[[#This Row],[Shortname]], Comp[], 30, FALSE)</f>
        <v>0</v>
      </c>
      <c r="AH9">
        <f>VLOOKUP(Table5[[#This Row],[Shortname]], Comp[], 31, FALSE)</f>
        <v>0</v>
      </c>
    </row>
    <row r="10" spans="1:34" x14ac:dyDescent="0.3">
      <c r="A10" s="7" t="s">
        <v>5067</v>
      </c>
      <c r="B10">
        <v>9</v>
      </c>
      <c r="C10" s="7" t="str">
        <f>VLOOKUP(Table5[[#This Row],[Shortname]], [1]!comp[#Data], 2, FALSE)</f>
        <v>W-free</v>
      </c>
      <c r="D10" t="s">
        <v>5069</v>
      </c>
      <c r="E10" s="3" t="s">
        <v>5054</v>
      </c>
      <c r="F10">
        <v>1045</v>
      </c>
      <c r="I10">
        <f>VLOOKUP(Table5[[#This Row],[Shortname]], Comp[], 6, FALSE)</f>
        <v>782</v>
      </c>
      <c r="J10" s="14">
        <f>VLOOKUP(Table5[[#This Row],[Shortname]], Comp[], 7, FALSE)</f>
        <v>41</v>
      </c>
      <c r="K10">
        <f>VLOOKUP(Table5[[#This Row],[Shortname]], Comp[], 8, FALSE)</f>
        <v>30</v>
      </c>
      <c r="L10">
        <f>VLOOKUP(Table5[[#This Row],[Shortname]], Comp[], 9, FALSE)</f>
        <v>10</v>
      </c>
      <c r="M10">
        <f>VLOOKUP(Table5[[#This Row],[Shortname]], Comp[], 10, FALSE)</f>
        <v>10</v>
      </c>
      <c r="N10">
        <f>VLOOKUP(Table5[[#This Row],[Shortname]], Comp[], 11, FALSE)</f>
        <v>0</v>
      </c>
      <c r="O10">
        <f>VLOOKUP(Table5[[#This Row],[Shortname]], Comp[],12, FALSE)</f>
        <v>0</v>
      </c>
      <c r="P10">
        <f>VLOOKUP(Table5[[#This Row],[Shortname]], Comp[], 13, FALSE)</f>
        <v>2</v>
      </c>
      <c r="Q10">
        <f>VLOOKUP(Table5[[#This Row],[Shortname]], Comp[], 14, FALSE)</f>
        <v>2</v>
      </c>
      <c r="R10">
        <f>VLOOKUP(Table5[[#This Row],[Shortname]], Comp[], 15, FALSE)</f>
        <v>0</v>
      </c>
      <c r="S10">
        <f>VLOOKUP(Table5[[#This Row],[Shortname]], Comp[], 16, FALSE)</f>
        <v>5</v>
      </c>
      <c r="T10">
        <f>VLOOKUP(Table5[[#This Row],[Shortname]], Comp[], 17, FALSE)</f>
        <v>0</v>
      </c>
      <c r="U10">
        <f>VLOOKUP(Table5[[#This Row],[Shortname]], Comp[], 18, FALSE)</f>
        <v>0</v>
      </c>
      <c r="V10">
        <f>VLOOKUP(Table5[[#This Row],[Shortname]], Comp[], 19, FALSE)</f>
        <v>0</v>
      </c>
      <c r="W10">
        <f>VLOOKUP(Table5[[#This Row],[Shortname]], Comp[], 20, FALSE)</f>
        <v>0</v>
      </c>
      <c r="X10">
        <f>VLOOKUP(Table5[[#This Row],[Shortname]], Comp[], 21, FALSE)</f>
        <v>0</v>
      </c>
      <c r="Y10">
        <f>VLOOKUP(Table5[[#This Row],[Shortname]], Comp[], 22, FALSE)</f>
        <v>0</v>
      </c>
      <c r="Z10">
        <f>VLOOKUP(Table5[[#This Row],[Shortname]], Comp[], 23, FALSE)</f>
        <v>0</v>
      </c>
      <c r="AA10">
        <f>VLOOKUP(Table5[[#This Row],[Shortname]], Comp[], 24, FALSE)</f>
        <v>0</v>
      </c>
      <c r="AB10">
        <f>VLOOKUP(Table5[[#This Row],[Shortname]], Comp[], 25, FALSE)</f>
        <v>0</v>
      </c>
      <c r="AC10">
        <f>VLOOKUP(Table5[[#This Row],[Shortname]], Comp[], 26, FALSE)</f>
        <v>0</v>
      </c>
      <c r="AD10">
        <f>VLOOKUP(Table5[[#This Row],[Shortname]], Comp[], 27, FALSE)</f>
        <v>0</v>
      </c>
      <c r="AE10">
        <f>VLOOKUP(Table5[[#This Row],[Shortname]], Comp[], 28, FALSE)</f>
        <v>0</v>
      </c>
      <c r="AF10">
        <f>VLOOKUP(Table5[[#This Row],[Shortname]], Comp[], 29, FALSE)</f>
        <v>0</v>
      </c>
      <c r="AG10">
        <f>VLOOKUP(Table5[[#This Row],[Shortname]], Comp[], 30, FALSE)</f>
        <v>0</v>
      </c>
      <c r="AH10">
        <f>VLOOKUP(Table5[[#This Row],[Shortname]], Comp[], 31, FALSE)</f>
        <v>0</v>
      </c>
    </row>
    <row r="11" spans="1:34" x14ac:dyDescent="0.3">
      <c r="A11" s="7" t="s">
        <v>5057</v>
      </c>
      <c r="B11">
        <v>10</v>
      </c>
      <c r="C11" s="7" t="str">
        <f>VLOOKUP(Table5[[#This Row],[Shortname]], [1]!comp[#Data], 2, FALSE)</f>
        <v>W-free</v>
      </c>
      <c r="D11" t="s">
        <v>5059</v>
      </c>
      <c r="E11" s="3" t="s">
        <v>5054</v>
      </c>
      <c r="F11">
        <v>1030</v>
      </c>
      <c r="I11">
        <f>VLOOKUP(Table5[[#This Row],[Shortname]], Comp[], 6, FALSE)</f>
        <v>780</v>
      </c>
      <c r="J11" s="14">
        <f>VLOOKUP(Table5[[#This Row],[Shortname]], Comp[], 7, FALSE)</f>
        <v>43</v>
      </c>
      <c r="K11">
        <f>VLOOKUP(Table5[[#This Row],[Shortname]], Comp[], 8, FALSE)</f>
        <v>30</v>
      </c>
      <c r="L11">
        <f>VLOOKUP(Table5[[#This Row],[Shortname]], Comp[], 9, FALSE)</f>
        <v>10</v>
      </c>
      <c r="M11">
        <f>VLOOKUP(Table5[[#This Row],[Shortname]], Comp[], 10, FALSE)</f>
        <v>10</v>
      </c>
      <c r="N11">
        <f>VLOOKUP(Table5[[#This Row],[Shortname]], Comp[], 11, FALSE)</f>
        <v>0</v>
      </c>
      <c r="O11">
        <f>VLOOKUP(Table5[[#This Row],[Shortname]], Comp[],12, FALSE)</f>
        <v>0</v>
      </c>
      <c r="P11">
        <f>VLOOKUP(Table5[[#This Row],[Shortname]], Comp[], 13, FALSE)</f>
        <v>0</v>
      </c>
      <c r="Q11">
        <f>VLOOKUP(Table5[[#This Row],[Shortname]], Comp[], 14, FALSE)</f>
        <v>2</v>
      </c>
      <c r="R11">
        <f>VLOOKUP(Table5[[#This Row],[Shortname]], Comp[], 15, FALSE)</f>
        <v>0</v>
      </c>
      <c r="S11">
        <f>VLOOKUP(Table5[[#This Row],[Shortname]], Comp[], 16, FALSE)</f>
        <v>5</v>
      </c>
      <c r="T11">
        <f>VLOOKUP(Table5[[#This Row],[Shortname]], Comp[], 17, FALSE)</f>
        <v>0</v>
      </c>
      <c r="U11">
        <f>VLOOKUP(Table5[[#This Row],[Shortname]], Comp[], 18, FALSE)</f>
        <v>0</v>
      </c>
      <c r="V11">
        <f>VLOOKUP(Table5[[#This Row],[Shortname]], Comp[], 19, FALSE)</f>
        <v>0</v>
      </c>
      <c r="W11">
        <f>VLOOKUP(Table5[[#This Row],[Shortname]], Comp[], 20, FALSE)</f>
        <v>0</v>
      </c>
      <c r="X11">
        <f>VLOOKUP(Table5[[#This Row],[Shortname]], Comp[], 21, FALSE)</f>
        <v>0</v>
      </c>
      <c r="Y11">
        <f>VLOOKUP(Table5[[#This Row],[Shortname]], Comp[], 22, FALSE)</f>
        <v>0</v>
      </c>
      <c r="Z11">
        <f>VLOOKUP(Table5[[#This Row],[Shortname]], Comp[], 23, FALSE)</f>
        <v>0</v>
      </c>
      <c r="AA11">
        <f>VLOOKUP(Table5[[#This Row],[Shortname]], Comp[], 24, FALSE)</f>
        <v>0</v>
      </c>
      <c r="AB11">
        <f>VLOOKUP(Table5[[#This Row],[Shortname]], Comp[], 25, FALSE)</f>
        <v>0</v>
      </c>
      <c r="AC11">
        <f>VLOOKUP(Table5[[#This Row],[Shortname]], Comp[], 26, FALSE)</f>
        <v>0</v>
      </c>
      <c r="AD11">
        <f>VLOOKUP(Table5[[#This Row],[Shortname]], Comp[], 27, FALSE)</f>
        <v>0</v>
      </c>
      <c r="AE11">
        <f>VLOOKUP(Table5[[#This Row],[Shortname]], Comp[], 28, FALSE)</f>
        <v>0</v>
      </c>
      <c r="AF11">
        <f>VLOOKUP(Table5[[#This Row],[Shortname]], Comp[], 29, FALSE)</f>
        <v>0</v>
      </c>
      <c r="AG11">
        <f>VLOOKUP(Table5[[#This Row],[Shortname]], Comp[], 30, FALSE)</f>
        <v>0</v>
      </c>
      <c r="AH11">
        <f>VLOOKUP(Table5[[#This Row],[Shortname]], Comp[], 31, FALSE)</f>
        <v>0</v>
      </c>
    </row>
    <row r="12" spans="1:34" x14ac:dyDescent="0.3">
      <c r="A12" s="7" t="s">
        <v>5062</v>
      </c>
      <c r="B12">
        <v>11</v>
      </c>
      <c r="C12" s="7" t="str">
        <f>VLOOKUP(Table5[[#This Row],[Shortname]], [1]!comp[#Data], 2, FALSE)</f>
        <v>W-free</v>
      </c>
      <c r="D12" t="s">
        <v>5064</v>
      </c>
      <c r="E12" s="3" t="s">
        <v>5054</v>
      </c>
      <c r="F12">
        <v>1005</v>
      </c>
      <c r="I12">
        <f>VLOOKUP(Table5[[#This Row],[Shortname]], Comp[], 6, FALSE)</f>
        <v>781</v>
      </c>
      <c r="J12" s="14">
        <f>VLOOKUP(Table5[[#This Row],[Shortname]], Comp[], 7, FALSE)</f>
        <v>53</v>
      </c>
      <c r="K12">
        <f>VLOOKUP(Table5[[#This Row],[Shortname]], Comp[], 8, FALSE)</f>
        <v>30</v>
      </c>
      <c r="L12">
        <f>VLOOKUP(Table5[[#This Row],[Shortname]], Comp[], 9, FALSE)</f>
        <v>10</v>
      </c>
      <c r="M12">
        <f>VLOOKUP(Table5[[#This Row],[Shortname]], Comp[], 10, FALSE)</f>
        <v>0</v>
      </c>
      <c r="N12">
        <f>VLOOKUP(Table5[[#This Row],[Shortname]], Comp[], 11, FALSE)</f>
        <v>0</v>
      </c>
      <c r="O12">
        <f>VLOOKUP(Table5[[#This Row],[Shortname]], Comp[],12, FALSE)</f>
        <v>2</v>
      </c>
      <c r="P12">
        <f>VLOOKUP(Table5[[#This Row],[Shortname]], Comp[], 13, FALSE)</f>
        <v>0</v>
      </c>
      <c r="Q12">
        <f>VLOOKUP(Table5[[#This Row],[Shortname]], Comp[], 14, FALSE)</f>
        <v>0</v>
      </c>
      <c r="R12">
        <f>VLOOKUP(Table5[[#This Row],[Shortname]], Comp[], 15, FALSE)</f>
        <v>0</v>
      </c>
      <c r="S12">
        <f>VLOOKUP(Table5[[#This Row],[Shortname]], Comp[], 16, FALSE)</f>
        <v>5</v>
      </c>
      <c r="T12">
        <f>VLOOKUP(Table5[[#This Row],[Shortname]], Comp[], 17, FALSE)</f>
        <v>0</v>
      </c>
      <c r="U12">
        <f>VLOOKUP(Table5[[#This Row],[Shortname]], Comp[], 18, FALSE)</f>
        <v>0</v>
      </c>
      <c r="V12">
        <f>VLOOKUP(Table5[[#This Row],[Shortname]], Comp[], 19, FALSE)</f>
        <v>0</v>
      </c>
      <c r="W12">
        <f>VLOOKUP(Table5[[#This Row],[Shortname]], Comp[], 20, FALSE)</f>
        <v>0</v>
      </c>
      <c r="X12">
        <f>VLOOKUP(Table5[[#This Row],[Shortname]], Comp[], 21, FALSE)</f>
        <v>0</v>
      </c>
      <c r="Y12">
        <f>VLOOKUP(Table5[[#This Row],[Shortname]], Comp[], 22, FALSE)</f>
        <v>0</v>
      </c>
      <c r="Z12">
        <f>VLOOKUP(Table5[[#This Row],[Shortname]], Comp[], 23, FALSE)</f>
        <v>0</v>
      </c>
      <c r="AA12">
        <f>VLOOKUP(Table5[[#This Row],[Shortname]], Comp[], 24, FALSE)</f>
        <v>0</v>
      </c>
      <c r="AB12">
        <f>VLOOKUP(Table5[[#This Row],[Shortname]], Comp[], 25, FALSE)</f>
        <v>0</v>
      </c>
      <c r="AC12">
        <f>VLOOKUP(Table5[[#This Row],[Shortname]], Comp[], 26, FALSE)</f>
        <v>0</v>
      </c>
      <c r="AD12">
        <f>VLOOKUP(Table5[[#This Row],[Shortname]], Comp[], 27, FALSE)</f>
        <v>0</v>
      </c>
      <c r="AE12">
        <f>VLOOKUP(Table5[[#This Row],[Shortname]], Comp[], 28, FALSE)</f>
        <v>0</v>
      </c>
      <c r="AF12">
        <f>VLOOKUP(Table5[[#This Row],[Shortname]], Comp[], 29, FALSE)</f>
        <v>0</v>
      </c>
      <c r="AG12">
        <f>VLOOKUP(Table5[[#This Row],[Shortname]], Comp[], 30, FALSE)</f>
        <v>0</v>
      </c>
      <c r="AH12">
        <f>VLOOKUP(Table5[[#This Row],[Shortname]], Comp[], 31, FALSE)</f>
        <v>0</v>
      </c>
    </row>
    <row r="13" spans="1:34" x14ac:dyDescent="0.3">
      <c r="A13" s="7" t="s">
        <v>5053</v>
      </c>
      <c r="B13">
        <v>12</v>
      </c>
      <c r="C13" s="7" t="str">
        <f>VLOOKUP(Table5[[#This Row],[Shortname]], [1]!comp[#Data], 2, FALSE)</f>
        <v>W-free</v>
      </c>
      <c r="D13" t="s">
        <v>3927</v>
      </c>
      <c r="E13" s="3" t="s">
        <v>5054</v>
      </c>
      <c r="F13">
        <v>990</v>
      </c>
      <c r="I13">
        <f>VLOOKUP(Table5[[#This Row],[Shortname]], Comp[], 6, FALSE)</f>
        <v>779</v>
      </c>
      <c r="J13" s="14">
        <f>VLOOKUP(Table5[[#This Row],[Shortname]], Comp[], 7, FALSE)</f>
        <v>53</v>
      </c>
      <c r="K13">
        <f>VLOOKUP(Table5[[#This Row],[Shortname]], Comp[], 8, FALSE)</f>
        <v>30</v>
      </c>
      <c r="L13">
        <f>VLOOKUP(Table5[[#This Row],[Shortname]], Comp[], 9, FALSE)</f>
        <v>10</v>
      </c>
      <c r="M13">
        <f>VLOOKUP(Table5[[#This Row],[Shortname]], Comp[], 10, FALSE)</f>
        <v>0</v>
      </c>
      <c r="N13">
        <f>VLOOKUP(Table5[[#This Row],[Shortname]], Comp[], 11, FALSE)</f>
        <v>0</v>
      </c>
      <c r="O13">
        <f>VLOOKUP(Table5[[#This Row],[Shortname]], Comp[],12, FALSE)</f>
        <v>0</v>
      </c>
      <c r="P13">
        <f>VLOOKUP(Table5[[#This Row],[Shortname]], Comp[], 13, FALSE)</f>
        <v>0</v>
      </c>
      <c r="Q13">
        <f>VLOOKUP(Table5[[#This Row],[Shortname]], Comp[], 14, FALSE)</f>
        <v>2</v>
      </c>
      <c r="R13">
        <f>VLOOKUP(Table5[[#This Row],[Shortname]], Comp[], 15, FALSE)</f>
        <v>0</v>
      </c>
      <c r="S13">
        <f>VLOOKUP(Table5[[#This Row],[Shortname]], Comp[], 16, FALSE)</f>
        <v>5</v>
      </c>
      <c r="T13">
        <f>VLOOKUP(Table5[[#This Row],[Shortname]], Comp[], 17, FALSE)</f>
        <v>0</v>
      </c>
      <c r="U13">
        <f>VLOOKUP(Table5[[#This Row],[Shortname]], Comp[], 18, FALSE)</f>
        <v>0</v>
      </c>
      <c r="V13">
        <f>VLOOKUP(Table5[[#This Row],[Shortname]], Comp[], 19, FALSE)</f>
        <v>0</v>
      </c>
      <c r="W13">
        <f>VLOOKUP(Table5[[#This Row],[Shortname]], Comp[], 20, FALSE)</f>
        <v>0</v>
      </c>
      <c r="X13">
        <f>VLOOKUP(Table5[[#This Row],[Shortname]], Comp[], 21, FALSE)</f>
        <v>0</v>
      </c>
      <c r="Y13">
        <f>VLOOKUP(Table5[[#This Row],[Shortname]], Comp[], 22, FALSE)</f>
        <v>0</v>
      </c>
      <c r="Z13">
        <f>VLOOKUP(Table5[[#This Row],[Shortname]], Comp[], 23, FALSE)</f>
        <v>0</v>
      </c>
      <c r="AA13">
        <f>VLOOKUP(Table5[[#This Row],[Shortname]], Comp[], 24, FALSE)</f>
        <v>0</v>
      </c>
      <c r="AB13">
        <f>VLOOKUP(Table5[[#This Row],[Shortname]], Comp[], 25, FALSE)</f>
        <v>0</v>
      </c>
      <c r="AC13">
        <f>VLOOKUP(Table5[[#This Row],[Shortname]], Comp[], 26, FALSE)</f>
        <v>0</v>
      </c>
      <c r="AD13">
        <f>VLOOKUP(Table5[[#This Row],[Shortname]], Comp[], 27, FALSE)</f>
        <v>0</v>
      </c>
      <c r="AE13">
        <f>VLOOKUP(Table5[[#This Row],[Shortname]], Comp[], 28, FALSE)</f>
        <v>0</v>
      </c>
      <c r="AF13">
        <f>VLOOKUP(Table5[[#This Row],[Shortname]], Comp[], 29, FALSE)</f>
        <v>0</v>
      </c>
      <c r="AG13">
        <f>VLOOKUP(Table5[[#This Row],[Shortname]], Comp[], 30, FALSE)</f>
        <v>0</v>
      </c>
      <c r="AH13">
        <f>VLOOKUP(Table5[[#This Row],[Shortname]], Comp[], 31, FALSE)</f>
        <v>0</v>
      </c>
    </row>
    <row r="14" spans="1:34" x14ac:dyDescent="0.3">
      <c r="A14" t="s">
        <v>94</v>
      </c>
      <c r="B14">
        <v>13</v>
      </c>
      <c r="C14" t="str">
        <f>VLOOKUP(Table5[[#This Row],[Shortname]], [1]!comp[#Data], 2, FALSE)</f>
        <v>CoAlW-X</v>
      </c>
      <c r="D14" t="s">
        <v>97</v>
      </c>
      <c r="E14" s="15" t="s">
        <v>6646</v>
      </c>
      <c r="F14">
        <v>960</v>
      </c>
      <c r="G14">
        <v>1442</v>
      </c>
      <c r="H14">
        <v>1467</v>
      </c>
      <c r="I14">
        <f>VLOOKUP(Table5[[#This Row],[Shortname]], Comp[], 6, FALSE)</f>
        <v>9</v>
      </c>
      <c r="J14" s="14">
        <f>VLOOKUP(Table5[[#This Row],[Shortname]], Comp[], 7, FALSE)</f>
        <v>83.5</v>
      </c>
      <c r="K14">
        <f>VLOOKUP(Table5[[#This Row],[Shortname]], Comp[], 8, FALSE)</f>
        <v>0</v>
      </c>
      <c r="L14">
        <f>VLOOKUP(Table5[[#This Row],[Shortname]], Comp[], 9, FALSE)</f>
        <v>8.1</v>
      </c>
      <c r="M14">
        <f>VLOOKUP(Table5[[#This Row],[Shortname]], Comp[], 10, FALSE)</f>
        <v>0</v>
      </c>
      <c r="N14">
        <f>VLOOKUP(Table5[[#This Row],[Shortname]], Comp[], 11, FALSE)</f>
        <v>8.4</v>
      </c>
      <c r="O14">
        <f>VLOOKUP(Table5[[#This Row],[Shortname]], Comp[],12, FALSE)</f>
        <v>0</v>
      </c>
      <c r="P14">
        <f>VLOOKUP(Table5[[#This Row],[Shortname]], Comp[], 13, FALSE)</f>
        <v>0</v>
      </c>
      <c r="Q14">
        <f>VLOOKUP(Table5[[#This Row],[Shortname]], Comp[], 14, FALSE)</f>
        <v>0</v>
      </c>
      <c r="R14">
        <f>VLOOKUP(Table5[[#This Row],[Shortname]], Comp[], 15, FALSE)</f>
        <v>0</v>
      </c>
      <c r="S14">
        <f>VLOOKUP(Table5[[#This Row],[Shortname]], Comp[], 16, FALSE)</f>
        <v>0</v>
      </c>
      <c r="T14">
        <f>VLOOKUP(Table5[[#This Row],[Shortname]], Comp[], 17, FALSE)</f>
        <v>0</v>
      </c>
      <c r="U14">
        <f>VLOOKUP(Table5[[#This Row],[Shortname]], Comp[], 18, FALSE)</f>
        <v>0</v>
      </c>
      <c r="V14">
        <f>VLOOKUP(Table5[[#This Row],[Shortname]], Comp[], 19, FALSE)</f>
        <v>0</v>
      </c>
      <c r="W14">
        <f>VLOOKUP(Table5[[#This Row],[Shortname]], Comp[], 20, FALSE)</f>
        <v>0</v>
      </c>
      <c r="X14">
        <f>VLOOKUP(Table5[[#This Row],[Shortname]], Comp[], 21, FALSE)</f>
        <v>0</v>
      </c>
      <c r="Y14">
        <f>VLOOKUP(Table5[[#This Row],[Shortname]], Comp[], 22, FALSE)</f>
        <v>0</v>
      </c>
      <c r="Z14">
        <f>VLOOKUP(Table5[[#This Row],[Shortname]], Comp[], 23, FALSE)</f>
        <v>0</v>
      </c>
      <c r="AA14">
        <f>VLOOKUP(Table5[[#This Row],[Shortname]], Comp[], 24, FALSE)</f>
        <v>0</v>
      </c>
      <c r="AB14">
        <f>VLOOKUP(Table5[[#This Row],[Shortname]], Comp[], 25, FALSE)</f>
        <v>0</v>
      </c>
      <c r="AC14">
        <f>VLOOKUP(Table5[[#This Row],[Shortname]], Comp[], 26, FALSE)</f>
        <v>0</v>
      </c>
      <c r="AD14">
        <f>VLOOKUP(Table5[[#This Row],[Shortname]], Comp[], 27, FALSE)</f>
        <v>0</v>
      </c>
      <c r="AE14">
        <f>VLOOKUP(Table5[[#This Row],[Shortname]], Comp[], 28, FALSE)</f>
        <v>0</v>
      </c>
      <c r="AF14">
        <f>VLOOKUP(Table5[[#This Row],[Shortname]], Comp[], 29, FALSE)</f>
        <v>0</v>
      </c>
      <c r="AG14">
        <f>VLOOKUP(Table5[[#This Row],[Shortname]], Comp[], 30, FALSE)</f>
        <v>0</v>
      </c>
      <c r="AH14">
        <f>VLOOKUP(Table5[[#This Row],[Shortname]], Comp[], 31, FALSE)</f>
        <v>0</v>
      </c>
    </row>
    <row r="15" spans="1:34" x14ac:dyDescent="0.3">
      <c r="A15" t="s">
        <v>104</v>
      </c>
      <c r="B15">
        <v>14</v>
      </c>
      <c r="C15" t="str">
        <f>VLOOKUP(Table5[[#This Row],[Shortname]], [1]!comp[#Data], 2, FALSE)</f>
        <v>CoAlW-X</v>
      </c>
      <c r="D15" t="s">
        <v>106</v>
      </c>
      <c r="E15" s="15" t="s">
        <v>6647</v>
      </c>
      <c r="F15">
        <v>1065</v>
      </c>
      <c r="G15">
        <v>1373</v>
      </c>
      <c r="H15">
        <v>1422</v>
      </c>
      <c r="I15">
        <f>VLOOKUP(Table5[[#This Row],[Shortname]], Comp[], 6, FALSE)</f>
        <v>10</v>
      </c>
      <c r="J15" s="14">
        <f>VLOOKUP(Table5[[#This Row],[Shortname]], Comp[], 7, FALSE)</f>
        <v>78.599999999999994</v>
      </c>
      <c r="K15">
        <f>VLOOKUP(Table5[[#This Row],[Shortname]], Comp[], 8, FALSE)</f>
        <v>0</v>
      </c>
      <c r="L15">
        <f>VLOOKUP(Table5[[#This Row],[Shortname]], Comp[], 9, FALSE)</f>
        <v>9.4</v>
      </c>
      <c r="M15">
        <f>VLOOKUP(Table5[[#This Row],[Shortname]], Comp[], 10, FALSE)</f>
        <v>0</v>
      </c>
      <c r="N15">
        <f>VLOOKUP(Table5[[#This Row],[Shortname]], Comp[], 11, FALSE)</f>
        <v>10.199999999999999</v>
      </c>
      <c r="O15">
        <f>VLOOKUP(Table5[[#This Row],[Shortname]], Comp[],12, FALSE)</f>
        <v>0</v>
      </c>
      <c r="P15">
        <f>VLOOKUP(Table5[[#This Row],[Shortname]], Comp[], 13, FALSE)</f>
        <v>0</v>
      </c>
      <c r="Q15">
        <f>VLOOKUP(Table5[[#This Row],[Shortname]], Comp[], 14, FALSE)</f>
        <v>1.8</v>
      </c>
      <c r="R15">
        <f>VLOOKUP(Table5[[#This Row],[Shortname]], Comp[], 15, FALSE)</f>
        <v>0</v>
      </c>
      <c r="S15">
        <f>VLOOKUP(Table5[[#This Row],[Shortname]], Comp[], 16, FALSE)</f>
        <v>0</v>
      </c>
      <c r="T15">
        <f>VLOOKUP(Table5[[#This Row],[Shortname]], Comp[], 17, FALSE)</f>
        <v>0</v>
      </c>
      <c r="U15">
        <f>VLOOKUP(Table5[[#This Row],[Shortname]], Comp[], 18, FALSE)</f>
        <v>0</v>
      </c>
      <c r="V15">
        <f>VLOOKUP(Table5[[#This Row],[Shortname]], Comp[], 19, FALSE)</f>
        <v>0</v>
      </c>
      <c r="W15">
        <f>VLOOKUP(Table5[[#This Row],[Shortname]], Comp[], 20, FALSE)</f>
        <v>0</v>
      </c>
      <c r="X15">
        <f>VLOOKUP(Table5[[#This Row],[Shortname]], Comp[], 21, FALSE)</f>
        <v>0</v>
      </c>
      <c r="Y15">
        <f>VLOOKUP(Table5[[#This Row],[Shortname]], Comp[], 22, FALSE)</f>
        <v>0</v>
      </c>
      <c r="Z15">
        <f>VLOOKUP(Table5[[#This Row],[Shortname]], Comp[], 23, FALSE)</f>
        <v>0</v>
      </c>
      <c r="AA15">
        <f>VLOOKUP(Table5[[#This Row],[Shortname]], Comp[], 24, FALSE)</f>
        <v>0</v>
      </c>
      <c r="AB15">
        <f>VLOOKUP(Table5[[#This Row],[Shortname]], Comp[], 25, FALSE)</f>
        <v>0</v>
      </c>
      <c r="AC15">
        <f>VLOOKUP(Table5[[#This Row],[Shortname]], Comp[], 26, FALSE)</f>
        <v>0</v>
      </c>
      <c r="AD15">
        <f>VLOOKUP(Table5[[#This Row],[Shortname]], Comp[], 27, FALSE)</f>
        <v>0</v>
      </c>
      <c r="AE15">
        <f>VLOOKUP(Table5[[#This Row],[Shortname]], Comp[], 28, FALSE)</f>
        <v>0</v>
      </c>
      <c r="AF15">
        <f>VLOOKUP(Table5[[#This Row],[Shortname]], Comp[], 29, FALSE)</f>
        <v>0</v>
      </c>
      <c r="AG15">
        <f>VLOOKUP(Table5[[#This Row],[Shortname]], Comp[], 30, FALSE)</f>
        <v>0</v>
      </c>
      <c r="AH15">
        <f>VLOOKUP(Table5[[#This Row],[Shortname]], Comp[], 31, FALSE)</f>
        <v>0</v>
      </c>
    </row>
    <row r="16" spans="1:34" x14ac:dyDescent="0.3">
      <c r="A16" t="s">
        <v>114</v>
      </c>
      <c r="B16">
        <v>15</v>
      </c>
      <c r="C16" t="str">
        <f>VLOOKUP(Table5[[#This Row],[Shortname]], [1]!comp[#Data], 2, FALSE)</f>
        <v>CoAlW-X</v>
      </c>
      <c r="D16" t="s">
        <v>116</v>
      </c>
      <c r="E16" s="15" t="s">
        <v>6648</v>
      </c>
      <c r="F16">
        <v>1081</v>
      </c>
      <c r="G16">
        <v>1399</v>
      </c>
      <c r="H16">
        <v>1432</v>
      </c>
      <c r="I16">
        <f>VLOOKUP(Table5[[#This Row],[Shortname]], Comp[], 6, FALSE)</f>
        <v>11</v>
      </c>
      <c r="J16" s="14">
        <f>VLOOKUP(Table5[[#This Row],[Shortname]], Comp[], 7, FALSE)</f>
        <v>79.099999999999994</v>
      </c>
      <c r="K16">
        <f>VLOOKUP(Table5[[#This Row],[Shortname]], Comp[], 8, FALSE)</f>
        <v>0</v>
      </c>
      <c r="L16">
        <f>VLOOKUP(Table5[[#This Row],[Shortname]], Comp[], 9, FALSE)</f>
        <v>8.4</v>
      </c>
      <c r="M16">
        <f>VLOOKUP(Table5[[#This Row],[Shortname]], Comp[], 10, FALSE)</f>
        <v>0</v>
      </c>
      <c r="N16">
        <f>VLOOKUP(Table5[[#This Row],[Shortname]], Comp[], 11, FALSE)</f>
        <v>10.3</v>
      </c>
      <c r="O16">
        <f>VLOOKUP(Table5[[#This Row],[Shortname]], Comp[],12, FALSE)</f>
        <v>2.2000000000000002</v>
      </c>
      <c r="P16">
        <f>VLOOKUP(Table5[[#This Row],[Shortname]], Comp[], 13, FALSE)</f>
        <v>0</v>
      </c>
      <c r="Q16">
        <f>VLOOKUP(Table5[[#This Row],[Shortname]], Comp[], 14, FALSE)</f>
        <v>0</v>
      </c>
      <c r="R16">
        <f>VLOOKUP(Table5[[#This Row],[Shortname]], Comp[], 15, FALSE)</f>
        <v>0</v>
      </c>
      <c r="S16">
        <f>VLOOKUP(Table5[[#This Row],[Shortname]], Comp[], 16, FALSE)</f>
        <v>0</v>
      </c>
      <c r="T16">
        <f>VLOOKUP(Table5[[#This Row],[Shortname]], Comp[], 17, FALSE)</f>
        <v>0</v>
      </c>
      <c r="U16">
        <f>VLOOKUP(Table5[[#This Row],[Shortname]], Comp[], 18, FALSE)</f>
        <v>0</v>
      </c>
      <c r="V16">
        <f>VLOOKUP(Table5[[#This Row],[Shortname]], Comp[], 19, FALSE)</f>
        <v>0</v>
      </c>
      <c r="W16">
        <f>VLOOKUP(Table5[[#This Row],[Shortname]], Comp[], 20, FALSE)</f>
        <v>0</v>
      </c>
      <c r="X16">
        <f>VLOOKUP(Table5[[#This Row],[Shortname]], Comp[], 21, FALSE)</f>
        <v>0</v>
      </c>
      <c r="Y16">
        <f>VLOOKUP(Table5[[#This Row],[Shortname]], Comp[], 22, FALSE)</f>
        <v>0</v>
      </c>
      <c r="Z16">
        <f>VLOOKUP(Table5[[#This Row],[Shortname]], Comp[], 23, FALSE)</f>
        <v>0</v>
      </c>
      <c r="AA16">
        <f>VLOOKUP(Table5[[#This Row],[Shortname]], Comp[], 24, FALSE)</f>
        <v>0</v>
      </c>
      <c r="AB16">
        <f>VLOOKUP(Table5[[#This Row],[Shortname]], Comp[], 25, FALSE)</f>
        <v>0</v>
      </c>
      <c r="AC16">
        <f>VLOOKUP(Table5[[#This Row],[Shortname]], Comp[], 26, FALSE)</f>
        <v>0</v>
      </c>
      <c r="AD16">
        <f>VLOOKUP(Table5[[#This Row],[Shortname]], Comp[], 27, FALSE)</f>
        <v>0</v>
      </c>
      <c r="AE16">
        <f>VLOOKUP(Table5[[#This Row],[Shortname]], Comp[], 28, FALSE)</f>
        <v>0</v>
      </c>
      <c r="AF16">
        <f>VLOOKUP(Table5[[#This Row],[Shortname]], Comp[], 29, FALSE)</f>
        <v>0</v>
      </c>
      <c r="AG16">
        <f>VLOOKUP(Table5[[#This Row],[Shortname]], Comp[], 30, FALSE)</f>
        <v>0</v>
      </c>
      <c r="AH16">
        <f>VLOOKUP(Table5[[#This Row],[Shortname]], Comp[], 31, FALSE)</f>
        <v>0</v>
      </c>
    </row>
    <row r="17" spans="1:34" x14ac:dyDescent="0.3">
      <c r="A17" t="s">
        <v>124</v>
      </c>
      <c r="B17">
        <v>16</v>
      </c>
      <c r="C17" t="str">
        <f>VLOOKUP(Table5[[#This Row],[Shortname]], [1]!comp[#Data], 2, FALSE)</f>
        <v>CoAlW-X</v>
      </c>
      <c r="D17" t="s">
        <v>126</v>
      </c>
      <c r="E17" s="15" t="s">
        <v>6649</v>
      </c>
      <c r="F17">
        <v>1030</v>
      </c>
      <c r="G17">
        <v>1420</v>
      </c>
      <c r="H17">
        <v>1451</v>
      </c>
      <c r="I17">
        <f>VLOOKUP(Table5[[#This Row],[Shortname]], Comp[], 6, FALSE)</f>
        <v>12</v>
      </c>
      <c r="J17" s="14">
        <f>VLOOKUP(Table5[[#This Row],[Shortname]], Comp[], 7, FALSE)</f>
        <v>77.5</v>
      </c>
      <c r="K17">
        <f>VLOOKUP(Table5[[#This Row],[Shortname]], Comp[], 8, FALSE)</f>
        <v>0</v>
      </c>
      <c r="L17">
        <f>VLOOKUP(Table5[[#This Row],[Shortname]], Comp[], 9, FALSE)</f>
        <v>9</v>
      </c>
      <c r="M17">
        <f>VLOOKUP(Table5[[#This Row],[Shortname]], Comp[], 10, FALSE)</f>
        <v>0</v>
      </c>
      <c r="N17">
        <f>VLOOKUP(Table5[[#This Row],[Shortname]], Comp[], 11, FALSE)</f>
        <v>11.4</v>
      </c>
      <c r="O17">
        <f>VLOOKUP(Table5[[#This Row],[Shortname]], Comp[],12, FALSE)</f>
        <v>0</v>
      </c>
      <c r="P17">
        <f>VLOOKUP(Table5[[#This Row],[Shortname]], Comp[], 13, FALSE)</f>
        <v>0</v>
      </c>
      <c r="Q17">
        <f>VLOOKUP(Table5[[#This Row],[Shortname]], Comp[], 14, FALSE)</f>
        <v>0</v>
      </c>
      <c r="R17">
        <f>VLOOKUP(Table5[[#This Row],[Shortname]], Comp[], 15, FALSE)</f>
        <v>2.1</v>
      </c>
      <c r="S17">
        <f>VLOOKUP(Table5[[#This Row],[Shortname]], Comp[], 16, FALSE)</f>
        <v>0</v>
      </c>
      <c r="T17">
        <f>VLOOKUP(Table5[[#This Row],[Shortname]], Comp[], 17, FALSE)</f>
        <v>0</v>
      </c>
      <c r="U17">
        <f>VLOOKUP(Table5[[#This Row],[Shortname]], Comp[], 18, FALSE)</f>
        <v>0</v>
      </c>
      <c r="V17">
        <f>VLOOKUP(Table5[[#This Row],[Shortname]], Comp[], 19, FALSE)</f>
        <v>0</v>
      </c>
      <c r="W17">
        <f>VLOOKUP(Table5[[#This Row],[Shortname]], Comp[], 20, FALSE)</f>
        <v>0</v>
      </c>
      <c r="X17">
        <f>VLOOKUP(Table5[[#This Row],[Shortname]], Comp[], 21, FALSE)</f>
        <v>0</v>
      </c>
      <c r="Y17">
        <f>VLOOKUP(Table5[[#This Row],[Shortname]], Comp[], 22, FALSE)</f>
        <v>0</v>
      </c>
      <c r="Z17">
        <f>VLOOKUP(Table5[[#This Row],[Shortname]], Comp[], 23, FALSE)</f>
        <v>0</v>
      </c>
      <c r="AA17">
        <f>VLOOKUP(Table5[[#This Row],[Shortname]], Comp[], 24, FALSE)</f>
        <v>0</v>
      </c>
      <c r="AB17">
        <f>VLOOKUP(Table5[[#This Row],[Shortname]], Comp[], 25, FALSE)</f>
        <v>0</v>
      </c>
      <c r="AC17">
        <f>VLOOKUP(Table5[[#This Row],[Shortname]], Comp[], 26, FALSE)</f>
        <v>0</v>
      </c>
      <c r="AD17">
        <f>VLOOKUP(Table5[[#This Row],[Shortname]], Comp[], 27, FALSE)</f>
        <v>0</v>
      </c>
      <c r="AE17">
        <f>VLOOKUP(Table5[[#This Row],[Shortname]], Comp[], 28, FALSE)</f>
        <v>0</v>
      </c>
      <c r="AF17">
        <f>VLOOKUP(Table5[[#This Row],[Shortname]], Comp[], 29, FALSE)</f>
        <v>0</v>
      </c>
      <c r="AG17">
        <f>VLOOKUP(Table5[[#This Row],[Shortname]], Comp[], 30, FALSE)</f>
        <v>0</v>
      </c>
      <c r="AH17">
        <f>VLOOKUP(Table5[[#This Row],[Shortname]], Comp[], 31, FALSE)</f>
        <v>0</v>
      </c>
    </row>
    <row r="18" spans="1:34" x14ac:dyDescent="0.3">
      <c r="A18" t="s">
        <v>134</v>
      </c>
      <c r="B18">
        <v>17</v>
      </c>
      <c r="C18" t="str">
        <f>VLOOKUP(Table5[[#This Row],[Shortname]], [1]!comp[#Data], 2, FALSE)</f>
        <v>CoAlW-X</v>
      </c>
      <c r="D18" t="s">
        <v>136</v>
      </c>
      <c r="E18" s="15" t="s">
        <v>6650</v>
      </c>
      <c r="F18">
        <v>1102</v>
      </c>
      <c r="G18">
        <v>1377</v>
      </c>
      <c r="H18">
        <v>1416</v>
      </c>
      <c r="I18">
        <f>VLOOKUP(Table5[[#This Row],[Shortname]], Comp[], 6, FALSE)</f>
        <v>13</v>
      </c>
      <c r="J18" s="14">
        <f>VLOOKUP(Table5[[#This Row],[Shortname]], Comp[], 7, FALSE)</f>
        <v>81.300000000000011</v>
      </c>
      <c r="K18">
        <f>VLOOKUP(Table5[[#This Row],[Shortname]], Comp[], 8, FALSE)</f>
        <v>0</v>
      </c>
      <c r="L18">
        <f>VLOOKUP(Table5[[#This Row],[Shortname]], Comp[], 9, FALSE)</f>
        <v>7.6</v>
      </c>
      <c r="M18">
        <f>VLOOKUP(Table5[[#This Row],[Shortname]], Comp[], 10, FALSE)</f>
        <v>0</v>
      </c>
      <c r="N18">
        <f>VLOOKUP(Table5[[#This Row],[Shortname]], Comp[], 11, FALSE)</f>
        <v>9.1999999999999993</v>
      </c>
      <c r="O18">
        <f>VLOOKUP(Table5[[#This Row],[Shortname]], Comp[],12, FALSE)</f>
        <v>0</v>
      </c>
      <c r="P18">
        <f>VLOOKUP(Table5[[#This Row],[Shortname]], Comp[], 13, FALSE)</f>
        <v>1.9</v>
      </c>
      <c r="Q18">
        <f>VLOOKUP(Table5[[#This Row],[Shortname]], Comp[], 14, FALSE)</f>
        <v>0</v>
      </c>
      <c r="R18">
        <f>VLOOKUP(Table5[[#This Row],[Shortname]], Comp[], 15, FALSE)</f>
        <v>0</v>
      </c>
      <c r="S18">
        <f>VLOOKUP(Table5[[#This Row],[Shortname]], Comp[], 16, FALSE)</f>
        <v>0</v>
      </c>
      <c r="T18">
        <f>VLOOKUP(Table5[[#This Row],[Shortname]], Comp[], 17, FALSE)</f>
        <v>0</v>
      </c>
      <c r="U18">
        <f>VLOOKUP(Table5[[#This Row],[Shortname]], Comp[], 18, FALSE)</f>
        <v>0</v>
      </c>
      <c r="V18">
        <f>VLOOKUP(Table5[[#This Row],[Shortname]], Comp[], 19, FALSE)</f>
        <v>0</v>
      </c>
      <c r="W18">
        <f>VLOOKUP(Table5[[#This Row],[Shortname]], Comp[], 20, FALSE)</f>
        <v>0</v>
      </c>
      <c r="X18">
        <f>VLOOKUP(Table5[[#This Row],[Shortname]], Comp[], 21, FALSE)</f>
        <v>0</v>
      </c>
      <c r="Y18">
        <f>VLOOKUP(Table5[[#This Row],[Shortname]], Comp[], 22, FALSE)</f>
        <v>0</v>
      </c>
      <c r="Z18">
        <f>VLOOKUP(Table5[[#This Row],[Shortname]], Comp[], 23, FALSE)</f>
        <v>0</v>
      </c>
      <c r="AA18">
        <f>VLOOKUP(Table5[[#This Row],[Shortname]], Comp[], 24, FALSE)</f>
        <v>0</v>
      </c>
      <c r="AB18">
        <f>VLOOKUP(Table5[[#This Row],[Shortname]], Comp[], 25, FALSE)</f>
        <v>0</v>
      </c>
      <c r="AC18">
        <f>VLOOKUP(Table5[[#This Row],[Shortname]], Comp[], 26, FALSE)</f>
        <v>0</v>
      </c>
      <c r="AD18">
        <f>VLOOKUP(Table5[[#This Row],[Shortname]], Comp[], 27, FALSE)</f>
        <v>0</v>
      </c>
      <c r="AE18">
        <f>VLOOKUP(Table5[[#This Row],[Shortname]], Comp[], 28, FALSE)</f>
        <v>0</v>
      </c>
      <c r="AF18">
        <f>VLOOKUP(Table5[[#This Row],[Shortname]], Comp[], 29, FALSE)</f>
        <v>0</v>
      </c>
      <c r="AG18">
        <f>VLOOKUP(Table5[[#This Row],[Shortname]], Comp[], 30, FALSE)</f>
        <v>0</v>
      </c>
      <c r="AH18">
        <f>VLOOKUP(Table5[[#This Row],[Shortname]], Comp[], 31, FALSE)</f>
        <v>0</v>
      </c>
    </row>
    <row r="19" spans="1:34" x14ac:dyDescent="0.3">
      <c r="A19" t="s">
        <v>152</v>
      </c>
      <c r="B19">
        <v>18</v>
      </c>
      <c r="C19" t="str">
        <f>VLOOKUP(Table5[[#This Row],[Shortname]], [1]!comp[#Data], 2, FALSE)</f>
        <v>CoAlW-X</v>
      </c>
      <c r="D19" t="s">
        <v>154</v>
      </c>
      <c r="E19" s="15" t="s">
        <v>6651</v>
      </c>
      <c r="F19">
        <v>1101</v>
      </c>
      <c r="G19">
        <v>1410</v>
      </c>
      <c r="H19">
        <v>1438</v>
      </c>
      <c r="I19">
        <f>VLOOKUP(Table5[[#This Row],[Shortname]], Comp[], 6, FALSE)</f>
        <v>15</v>
      </c>
      <c r="J19" s="14">
        <f>VLOOKUP(Table5[[#This Row],[Shortname]], Comp[], 7, FALSE)</f>
        <v>81.5</v>
      </c>
      <c r="K19">
        <f>VLOOKUP(Table5[[#This Row],[Shortname]], Comp[], 8, FALSE)</f>
        <v>0</v>
      </c>
      <c r="L19">
        <f>VLOOKUP(Table5[[#This Row],[Shortname]], Comp[], 9, FALSE)</f>
        <v>8.1</v>
      </c>
      <c r="M19">
        <f>VLOOKUP(Table5[[#This Row],[Shortname]], Comp[], 10, FALSE)</f>
        <v>0</v>
      </c>
      <c r="N19">
        <f>VLOOKUP(Table5[[#This Row],[Shortname]], Comp[], 11, FALSE)</f>
        <v>8.4</v>
      </c>
      <c r="O19">
        <f>VLOOKUP(Table5[[#This Row],[Shortname]], Comp[],12, FALSE)</f>
        <v>0</v>
      </c>
      <c r="P19">
        <f>VLOOKUP(Table5[[#This Row],[Shortname]], Comp[], 13, FALSE)</f>
        <v>2</v>
      </c>
      <c r="Q19">
        <f>VLOOKUP(Table5[[#This Row],[Shortname]], Comp[], 14, FALSE)</f>
        <v>0</v>
      </c>
      <c r="R19">
        <f>VLOOKUP(Table5[[#This Row],[Shortname]], Comp[], 15, FALSE)</f>
        <v>0</v>
      </c>
      <c r="S19">
        <f>VLOOKUP(Table5[[#This Row],[Shortname]], Comp[], 16, FALSE)</f>
        <v>0</v>
      </c>
      <c r="T19">
        <f>VLOOKUP(Table5[[#This Row],[Shortname]], Comp[], 17, FALSE)</f>
        <v>0</v>
      </c>
      <c r="U19">
        <f>VLOOKUP(Table5[[#This Row],[Shortname]], Comp[], 18, FALSE)</f>
        <v>0</v>
      </c>
      <c r="V19">
        <f>VLOOKUP(Table5[[#This Row],[Shortname]], Comp[], 19, FALSE)</f>
        <v>0</v>
      </c>
      <c r="W19">
        <f>VLOOKUP(Table5[[#This Row],[Shortname]], Comp[], 20, FALSE)</f>
        <v>0</v>
      </c>
      <c r="X19">
        <f>VLOOKUP(Table5[[#This Row],[Shortname]], Comp[], 21, FALSE)</f>
        <v>0</v>
      </c>
      <c r="Y19">
        <f>VLOOKUP(Table5[[#This Row],[Shortname]], Comp[], 22, FALSE)</f>
        <v>0</v>
      </c>
      <c r="Z19">
        <f>VLOOKUP(Table5[[#This Row],[Shortname]], Comp[], 23, FALSE)</f>
        <v>0</v>
      </c>
      <c r="AA19">
        <f>VLOOKUP(Table5[[#This Row],[Shortname]], Comp[], 24, FALSE)</f>
        <v>0</v>
      </c>
      <c r="AB19">
        <f>VLOOKUP(Table5[[#This Row],[Shortname]], Comp[], 25, FALSE)</f>
        <v>0</v>
      </c>
      <c r="AC19">
        <f>VLOOKUP(Table5[[#This Row],[Shortname]], Comp[], 26, FALSE)</f>
        <v>0</v>
      </c>
      <c r="AD19">
        <f>VLOOKUP(Table5[[#This Row],[Shortname]], Comp[], 27, FALSE)</f>
        <v>0</v>
      </c>
      <c r="AE19">
        <f>VLOOKUP(Table5[[#This Row],[Shortname]], Comp[], 28, FALSE)</f>
        <v>0</v>
      </c>
      <c r="AF19">
        <f>VLOOKUP(Table5[[#This Row],[Shortname]], Comp[], 29, FALSE)</f>
        <v>0</v>
      </c>
      <c r="AG19">
        <f>VLOOKUP(Table5[[#This Row],[Shortname]], Comp[], 30, FALSE)</f>
        <v>0</v>
      </c>
      <c r="AH19">
        <f>VLOOKUP(Table5[[#This Row],[Shortname]], Comp[], 31, FALSE)</f>
        <v>0</v>
      </c>
    </row>
    <row r="20" spans="1:34" x14ac:dyDescent="0.3">
      <c r="A20" t="s">
        <v>159</v>
      </c>
      <c r="B20">
        <v>19</v>
      </c>
      <c r="C20" t="str">
        <f>VLOOKUP(Table5[[#This Row],[Shortname]], [1]!comp[#Data], 2, FALSE)</f>
        <v>CoAlWX+</v>
      </c>
      <c r="D20" t="s">
        <v>162</v>
      </c>
      <c r="E20" s="15" t="s">
        <v>6652</v>
      </c>
      <c r="F20">
        <v>1081</v>
      </c>
      <c r="G20">
        <v>1403</v>
      </c>
      <c r="H20">
        <v>1430</v>
      </c>
      <c r="I20">
        <f>VLOOKUP(Table5[[#This Row],[Shortname]], Comp[], 6, FALSE)</f>
        <v>16</v>
      </c>
      <c r="J20" s="14">
        <f>VLOOKUP(Table5[[#This Row],[Shortname]], Comp[], 7, FALSE)</f>
        <v>81.3</v>
      </c>
      <c r="K20">
        <f>VLOOKUP(Table5[[#This Row],[Shortname]], Comp[], 8, FALSE)</f>
        <v>0</v>
      </c>
      <c r="L20">
        <f>VLOOKUP(Table5[[#This Row],[Shortname]], Comp[], 9, FALSE)</f>
        <v>8</v>
      </c>
      <c r="M20">
        <f>VLOOKUP(Table5[[#This Row],[Shortname]], Comp[], 10, FALSE)</f>
        <v>1.9</v>
      </c>
      <c r="N20">
        <f>VLOOKUP(Table5[[#This Row],[Shortname]], Comp[], 11, FALSE)</f>
        <v>7.2</v>
      </c>
      <c r="O20">
        <f>VLOOKUP(Table5[[#This Row],[Shortname]], Comp[],12, FALSE)</f>
        <v>0</v>
      </c>
      <c r="P20">
        <f>VLOOKUP(Table5[[#This Row],[Shortname]], Comp[], 13, FALSE)</f>
        <v>1.6</v>
      </c>
      <c r="Q20">
        <f>VLOOKUP(Table5[[#This Row],[Shortname]], Comp[], 14, FALSE)</f>
        <v>0</v>
      </c>
      <c r="R20">
        <f>VLOOKUP(Table5[[#This Row],[Shortname]], Comp[], 15, FALSE)</f>
        <v>0</v>
      </c>
      <c r="S20">
        <f>VLOOKUP(Table5[[#This Row],[Shortname]], Comp[], 16, FALSE)</f>
        <v>0</v>
      </c>
      <c r="T20">
        <f>VLOOKUP(Table5[[#This Row],[Shortname]], Comp[], 17, FALSE)</f>
        <v>0</v>
      </c>
      <c r="U20">
        <f>VLOOKUP(Table5[[#This Row],[Shortname]], Comp[], 18, FALSE)</f>
        <v>0</v>
      </c>
      <c r="V20">
        <f>VLOOKUP(Table5[[#This Row],[Shortname]], Comp[], 19, FALSE)</f>
        <v>0</v>
      </c>
      <c r="W20">
        <f>VLOOKUP(Table5[[#This Row],[Shortname]], Comp[], 20, FALSE)</f>
        <v>0</v>
      </c>
      <c r="X20">
        <f>VLOOKUP(Table5[[#This Row],[Shortname]], Comp[], 21, FALSE)</f>
        <v>0</v>
      </c>
      <c r="Y20">
        <f>VLOOKUP(Table5[[#This Row],[Shortname]], Comp[], 22, FALSE)</f>
        <v>0</v>
      </c>
      <c r="Z20">
        <f>VLOOKUP(Table5[[#This Row],[Shortname]], Comp[], 23, FALSE)</f>
        <v>0</v>
      </c>
      <c r="AA20">
        <f>VLOOKUP(Table5[[#This Row],[Shortname]], Comp[], 24, FALSE)</f>
        <v>0</v>
      </c>
      <c r="AB20">
        <f>VLOOKUP(Table5[[#This Row],[Shortname]], Comp[], 25, FALSE)</f>
        <v>0</v>
      </c>
      <c r="AC20">
        <f>VLOOKUP(Table5[[#This Row],[Shortname]], Comp[], 26, FALSE)</f>
        <v>0</v>
      </c>
      <c r="AD20">
        <f>VLOOKUP(Table5[[#This Row],[Shortname]], Comp[], 27, FALSE)</f>
        <v>0</v>
      </c>
      <c r="AE20">
        <f>VLOOKUP(Table5[[#This Row],[Shortname]], Comp[], 28, FALSE)</f>
        <v>0</v>
      </c>
      <c r="AF20">
        <f>VLOOKUP(Table5[[#This Row],[Shortname]], Comp[], 29, FALSE)</f>
        <v>0</v>
      </c>
      <c r="AG20">
        <f>VLOOKUP(Table5[[#This Row],[Shortname]], Comp[], 30, FALSE)</f>
        <v>0</v>
      </c>
      <c r="AH20">
        <f>VLOOKUP(Table5[[#This Row],[Shortname]], Comp[], 31, FALSE)</f>
        <v>0</v>
      </c>
    </row>
    <row r="21" spans="1:34" x14ac:dyDescent="0.3">
      <c r="A21" t="s">
        <v>171</v>
      </c>
      <c r="B21">
        <v>20</v>
      </c>
      <c r="C21" t="str">
        <f>VLOOKUP(Table5[[#This Row],[Shortname]], [1]!comp[#Data], 2, FALSE)</f>
        <v>CoAlWX+</v>
      </c>
      <c r="D21" t="s">
        <v>173</v>
      </c>
      <c r="E21" s="15" t="s">
        <v>6653</v>
      </c>
      <c r="F21">
        <v>1078</v>
      </c>
      <c r="G21">
        <v>1387</v>
      </c>
      <c r="H21">
        <v>1409</v>
      </c>
      <c r="I21">
        <f>VLOOKUP(Table5[[#This Row],[Shortname]], Comp[], 6, FALSE)</f>
        <v>17</v>
      </c>
      <c r="J21" s="14">
        <f>VLOOKUP(Table5[[#This Row],[Shortname]], Comp[], 7, FALSE)</f>
        <v>82.4</v>
      </c>
      <c r="K21">
        <f>VLOOKUP(Table5[[#This Row],[Shortname]], Comp[], 8, FALSE)</f>
        <v>0</v>
      </c>
      <c r="L21">
        <f>VLOOKUP(Table5[[#This Row],[Shortname]], Comp[], 9, FALSE)</f>
        <v>8.1</v>
      </c>
      <c r="M21">
        <f>VLOOKUP(Table5[[#This Row],[Shortname]], Comp[], 10, FALSE)</f>
        <v>0</v>
      </c>
      <c r="N21">
        <f>VLOOKUP(Table5[[#This Row],[Shortname]], Comp[], 11, FALSE)</f>
        <v>6.7</v>
      </c>
      <c r="O21">
        <f>VLOOKUP(Table5[[#This Row],[Shortname]], Comp[],12, FALSE)</f>
        <v>0</v>
      </c>
      <c r="P21">
        <f>VLOOKUP(Table5[[#This Row],[Shortname]], Comp[], 13, FALSE)</f>
        <v>1.4</v>
      </c>
      <c r="Q21">
        <f>VLOOKUP(Table5[[#This Row],[Shortname]], Comp[], 14, FALSE)</f>
        <v>1.4</v>
      </c>
      <c r="R21">
        <f>VLOOKUP(Table5[[#This Row],[Shortname]], Comp[], 15, FALSE)</f>
        <v>0</v>
      </c>
      <c r="S21">
        <f>VLOOKUP(Table5[[#This Row],[Shortname]], Comp[], 16, FALSE)</f>
        <v>0</v>
      </c>
      <c r="T21">
        <f>VLOOKUP(Table5[[#This Row],[Shortname]], Comp[], 17, FALSE)</f>
        <v>0</v>
      </c>
      <c r="U21">
        <f>VLOOKUP(Table5[[#This Row],[Shortname]], Comp[], 18, FALSE)</f>
        <v>0</v>
      </c>
      <c r="V21">
        <f>VLOOKUP(Table5[[#This Row],[Shortname]], Comp[], 19, FALSE)</f>
        <v>0</v>
      </c>
      <c r="W21">
        <f>VLOOKUP(Table5[[#This Row],[Shortname]], Comp[], 20, FALSE)</f>
        <v>0</v>
      </c>
      <c r="X21">
        <f>VLOOKUP(Table5[[#This Row],[Shortname]], Comp[], 21, FALSE)</f>
        <v>0</v>
      </c>
      <c r="Y21">
        <f>VLOOKUP(Table5[[#This Row],[Shortname]], Comp[], 22, FALSE)</f>
        <v>0</v>
      </c>
      <c r="Z21">
        <f>VLOOKUP(Table5[[#This Row],[Shortname]], Comp[], 23, FALSE)</f>
        <v>0</v>
      </c>
      <c r="AA21">
        <f>VLOOKUP(Table5[[#This Row],[Shortname]], Comp[], 24, FALSE)</f>
        <v>0</v>
      </c>
      <c r="AB21">
        <f>VLOOKUP(Table5[[#This Row],[Shortname]], Comp[], 25, FALSE)</f>
        <v>0</v>
      </c>
      <c r="AC21">
        <f>VLOOKUP(Table5[[#This Row],[Shortname]], Comp[], 26, FALSE)</f>
        <v>0</v>
      </c>
      <c r="AD21">
        <f>VLOOKUP(Table5[[#This Row],[Shortname]], Comp[], 27, FALSE)</f>
        <v>0</v>
      </c>
      <c r="AE21">
        <f>VLOOKUP(Table5[[#This Row],[Shortname]], Comp[], 28, FALSE)</f>
        <v>0</v>
      </c>
      <c r="AF21">
        <f>VLOOKUP(Table5[[#This Row],[Shortname]], Comp[], 29, FALSE)</f>
        <v>0</v>
      </c>
      <c r="AG21">
        <f>VLOOKUP(Table5[[#This Row],[Shortname]], Comp[], 30, FALSE)</f>
        <v>0</v>
      </c>
      <c r="AH21">
        <f>VLOOKUP(Table5[[#This Row],[Shortname]], Comp[], 31, FALSE)</f>
        <v>0</v>
      </c>
    </row>
    <row r="22" spans="1:34" x14ac:dyDescent="0.3">
      <c r="A22" t="s">
        <v>181</v>
      </c>
      <c r="B22">
        <v>21</v>
      </c>
      <c r="C22" t="str">
        <f>VLOOKUP(Table5[[#This Row],[Shortname]], [1]!comp[#Data], 2, FALSE)</f>
        <v>CoAlWX+</v>
      </c>
      <c r="D22" t="s">
        <v>183</v>
      </c>
      <c r="E22" s="15" t="s">
        <v>6654</v>
      </c>
      <c r="F22">
        <v>1055</v>
      </c>
      <c r="G22">
        <v>1389</v>
      </c>
      <c r="H22">
        <v>1410</v>
      </c>
      <c r="I22">
        <f>VLOOKUP(Table5[[#This Row],[Shortname]], Comp[], 6, FALSE)</f>
        <v>18</v>
      </c>
      <c r="J22" s="14">
        <f>VLOOKUP(Table5[[#This Row],[Shortname]], Comp[], 7, FALSE)</f>
        <v>80.8</v>
      </c>
      <c r="K22">
        <f>VLOOKUP(Table5[[#This Row],[Shortname]], Comp[], 8, FALSE)</f>
        <v>0</v>
      </c>
      <c r="L22">
        <f>VLOOKUP(Table5[[#This Row],[Shortname]], Comp[], 9, FALSE)</f>
        <v>8.1</v>
      </c>
      <c r="M22">
        <f>VLOOKUP(Table5[[#This Row],[Shortname]], Comp[], 10, FALSE)</f>
        <v>0</v>
      </c>
      <c r="N22">
        <f>VLOOKUP(Table5[[#This Row],[Shortname]], Comp[], 11, FALSE)</f>
        <v>7.7</v>
      </c>
      <c r="O22">
        <f>VLOOKUP(Table5[[#This Row],[Shortname]], Comp[],12, FALSE)</f>
        <v>0</v>
      </c>
      <c r="P22">
        <f>VLOOKUP(Table5[[#This Row],[Shortname]], Comp[], 13, FALSE)</f>
        <v>1.6</v>
      </c>
      <c r="Q22">
        <f>VLOOKUP(Table5[[#This Row],[Shortname]], Comp[], 14, FALSE)</f>
        <v>0</v>
      </c>
      <c r="R22">
        <f>VLOOKUP(Table5[[#This Row],[Shortname]], Comp[], 15, FALSE)</f>
        <v>0</v>
      </c>
      <c r="S22">
        <f>VLOOKUP(Table5[[#This Row],[Shortname]], Comp[], 16, FALSE)</f>
        <v>0</v>
      </c>
      <c r="T22">
        <f>VLOOKUP(Table5[[#This Row],[Shortname]], Comp[], 17, FALSE)</f>
        <v>0</v>
      </c>
      <c r="U22">
        <f>VLOOKUP(Table5[[#This Row],[Shortname]], Comp[], 18, FALSE)</f>
        <v>0</v>
      </c>
      <c r="V22">
        <f>VLOOKUP(Table5[[#This Row],[Shortname]], Comp[], 19, FALSE)</f>
        <v>0</v>
      </c>
      <c r="W22">
        <f>VLOOKUP(Table5[[#This Row],[Shortname]], Comp[], 20, FALSE)</f>
        <v>0</v>
      </c>
      <c r="X22">
        <f>VLOOKUP(Table5[[#This Row],[Shortname]], Comp[], 21, FALSE)</f>
        <v>0</v>
      </c>
      <c r="Y22">
        <f>VLOOKUP(Table5[[#This Row],[Shortname]], Comp[], 22, FALSE)</f>
        <v>1.8</v>
      </c>
      <c r="Z22">
        <f>VLOOKUP(Table5[[#This Row],[Shortname]], Comp[], 23, FALSE)</f>
        <v>0</v>
      </c>
      <c r="AA22">
        <f>VLOOKUP(Table5[[#This Row],[Shortname]], Comp[], 24, FALSE)</f>
        <v>0</v>
      </c>
      <c r="AB22">
        <f>VLOOKUP(Table5[[#This Row],[Shortname]], Comp[], 25, FALSE)</f>
        <v>0</v>
      </c>
      <c r="AC22">
        <f>VLOOKUP(Table5[[#This Row],[Shortname]], Comp[], 26, FALSE)</f>
        <v>0</v>
      </c>
      <c r="AD22">
        <f>VLOOKUP(Table5[[#This Row],[Shortname]], Comp[], 27, FALSE)</f>
        <v>0</v>
      </c>
      <c r="AE22">
        <f>VLOOKUP(Table5[[#This Row],[Shortname]], Comp[], 28, FALSE)</f>
        <v>0</v>
      </c>
      <c r="AF22">
        <f>VLOOKUP(Table5[[#This Row],[Shortname]], Comp[], 29, FALSE)</f>
        <v>0</v>
      </c>
      <c r="AG22">
        <f>VLOOKUP(Table5[[#This Row],[Shortname]], Comp[], 30, FALSE)</f>
        <v>0</v>
      </c>
      <c r="AH22">
        <f>VLOOKUP(Table5[[#This Row],[Shortname]], Comp[], 31, FALSE)</f>
        <v>0</v>
      </c>
    </row>
    <row r="23" spans="1:34" x14ac:dyDescent="0.3">
      <c r="A23" t="s">
        <v>190</v>
      </c>
      <c r="B23">
        <v>22</v>
      </c>
      <c r="C23" t="str">
        <f>VLOOKUP(Table5[[#This Row],[Shortname]], [1]!comp[#Data], 2, FALSE)</f>
        <v>CoAlWX+</v>
      </c>
      <c r="D23" t="s">
        <v>192</v>
      </c>
      <c r="E23" s="15" t="s">
        <v>6655</v>
      </c>
      <c r="F23">
        <v>1115</v>
      </c>
      <c r="G23">
        <v>1399</v>
      </c>
      <c r="H23">
        <v>1425</v>
      </c>
      <c r="I23">
        <f>VLOOKUP(Table5[[#This Row],[Shortname]], Comp[], 6, FALSE)</f>
        <v>19</v>
      </c>
      <c r="J23" s="14">
        <f>VLOOKUP(Table5[[#This Row],[Shortname]], Comp[], 7, FALSE)</f>
        <v>80.400000000000006</v>
      </c>
      <c r="K23">
        <f>VLOOKUP(Table5[[#This Row],[Shortname]], Comp[], 8, FALSE)</f>
        <v>0</v>
      </c>
      <c r="L23">
        <f>VLOOKUP(Table5[[#This Row],[Shortname]], Comp[], 9, FALSE)</f>
        <v>8.1999999999999993</v>
      </c>
      <c r="M23">
        <f>VLOOKUP(Table5[[#This Row],[Shortname]], Comp[], 10, FALSE)</f>
        <v>0</v>
      </c>
      <c r="N23">
        <f>VLOOKUP(Table5[[#This Row],[Shortname]], Comp[], 11, FALSE)</f>
        <v>7.5</v>
      </c>
      <c r="O23">
        <f>VLOOKUP(Table5[[#This Row],[Shortname]], Comp[],12, FALSE)</f>
        <v>0</v>
      </c>
      <c r="P23">
        <f>VLOOKUP(Table5[[#This Row],[Shortname]], Comp[], 13, FALSE)</f>
        <v>1.9</v>
      </c>
      <c r="Q23">
        <f>VLOOKUP(Table5[[#This Row],[Shortname]], Comp[], 14, FALSE)</f>
        <v>0</v>
      </c>
      <c r="R23">
        <f>VLOOKUP(Table5[[#This Row],[Shortname]], Comp[], 15, FALSE)</f>
        <v>2</v>
      </c>
      <c r="S23">
        <f>VLOOKUP(Table5[[#This Row],[Shortname]], Comp[], 16, FALSE)</f>
        <v>0</v>
      </c>
      <c r="T23">
        <f>VLOOKUP(Table5[[#This Row],[Shortname]], Comp[], 17, FALSE)</f>
        <v>0</v>
      </c>
      <c r="U23">
        <f>VLOOKUP(Table5[[#This Row],[Shortname]], Comp[], 18, FALSE)</f>
        <v>0</v>
      </c>
      <c r="V23">
        <f>VLOOKUP(Table5[[#This Row],[Shortname]], Comp[], 19, FALSE)</f>
        <v>0</v>
      </c>
      <c r="W23">
        <f>VLOOKUP(Table5[[#This Row],[Shortname]], Comp[], 20, FALSE)</f>
        <v>0</v>
      </c>
      <c r="X23">
        <f>VLOOKUP(Table5[[#This Row],[Shortname]], Comp[], 21, FALSE)</f>
        <v>0</v>
      </c>
      <c r="Y23">
        <f>VLOOKUP(Table5[[#This Row],[Shortname]], Comp[], 22, FALSE)</f>
        <v>0</v>
      </c>
      <c r="Z23">
        <f>VLOOKUP(Table5[[#This Row],[Shortname]], Comp[], 23, FALSE)</f>
        <v>0</v>
      </c>
      <c r="AA23">
        <f>VLOOKUP(Table5[[#This Row],[Shortname]], Comp[], 24, FALSE)</f>
        <v>0</v>
      </c>
      <c r="AB23">
        <f>VLOOKUP(Table5[[#This Row],[Shortname]], Comp[], 25, FALSE)</f>
        <v>0</v>
      </c>
      <c r="AC23">
        <f>VLOOKUP(Table5[[#This Row],[Shortname]], Comp[], 26, FALSE)</f>
        <v>0</v>
      </c>
      <c r="AD23">
        <f>VLOOKUP(Table5[[#This Row],[Shortname]], Comp[], 27, FALSE)</f>
        <v>0</v>
      </c>
      <c r="AE23">
        <f>VLOOKUP(Table5[[#This Row],[Shortname]], Comp[], 28, FALSE)</f>
        <v>0</v>
      </c>
      <c r="AF23">
        <f>VLOOKUP(Table5[[#This Row],[Shortname]], Comp[], 29, FALSE)</f>
        <v>0</v>
      </c>
      <c r="AG23">
        <f>VLOOKUP(Table5[[#This Row],[Shortname]], Comp[], 30, FALSE)</f>
        <v>0</v>
      </c>
      <c r="AH23">
        <f>VLOOKUP(Table5[[#This Row],[Shortname]], Comp[], 31, FALSE)</f>
        <v>0</v>
      </c>
    </row>
    <row r="24" spans="1:34" x14ac:dyDescent="0.3">
      <c r="A24" t="s">
        <v>200</v>
      </c>
      <c r="B24">
        <v>23</v>
      </c>
      <c r="C24" t="str">
        <f>VLOOKUP(Table5[[#This Row],[Shortname]], [1]!comp[#Data], 2, FALSE)</f>
        <v>CoAlWX+</v>
      </c>
      <c r="D24" t="s">
        <v>202</v>
      </c>
      <c r="E24" s="15" t="s">
        <v>6656</v>
      </c>
      <c r="F24">
        <v>1082</v>
      </c>
      <c r="G24">
        <v>1397</v>
      </c>
      <c r="H24">
        <v>1416</v>
      </c>
      <c r="I24">
        <f>VLOOKUP(Table5[[#This Row],[Shortname]], Comp[], 6, FALSE)</f>
        <v>20</v>
      </c>
      <c r="J24" s="14">
        <f>VLOOKUP(Table5[[#This Row],[Shortname]], Comp[], 7, FALSE)</f>
        <v>78.599999999999994</v>
      </c>
      <c r="K24">
        <f>VLOOKUP(Table5[[#This Row],[Shortname]], Comp[], 8, FALSE)</f>
        <v>0</v>
      </c>
      <c r="L24">
        <f>VLOOKUP(Table5[[#This Row],[Shortname]], Comp[], 9, FALSE)</f>
        <v>8.1999999999999993</v>
      </c>
      <c r="M24">
        <f>VLOOKUP(Table5[[#This Row],[Shortname]], Comp[], 10, FALSE)</f>
        <v>0</v>
      </c>
      <c r="N24">
        <f>VLOOKUP(Table5[[#This Row],[Shortname]], Comp[], 11, FALSE)</f>
        <v>9.6</v>
      </c>
      <c r="O24">
        <f>VLOOKUP(Table5[[#This Row],[Shortname]], Comp[],12, FALSE)</f>
        <v>0</v>
      </c>
      <c r="P24">
        <f>VLOOKUP(Table5[[#This Row],[Shortname]], Comp[], 13, FALSE)</f>
        <v>1.8</v>
      </c>
      <c r="Q24">
        <f>VLOOKUP(Table5[[#This Row],[Shortname]], Comp[], 14, FALSE)</f>
        <v>0</v>
      </c>
      <c r="R24">
        <f>VLOOKUP(Table5[[#This Row],[Shortname]], Comp[], 15, FALSE)</f>
        <v>0</v>
      </c>
      <c r="S24">
        <f>VLOOKUP(Table5[[#This Row],[Shortname]], Comp[], 16, FALSE)</f>
        <v>1.8</v>
      </c>
      <c r="T24">
        <f>VLOOKUP(Table5[[#This Row],[Shortname]], Comp[], 17, FALSE)</f>
        <v>0</v>
      </c>
      <c r="U24">
        <f>VLOOKUP(Table5[[#This Row],[Shortname]], Comp[], 18, FALSE)</f>
        <v>0</v>
      </c>
      <c r="V24">
        <f>VLOOKUP(Table5[[#This Row],[Shortname]], Comp[], 19, FALSE)</f>
        <v>0</v>
      </c>
      <c r="W24">
        <f>VLOOKUP(Table5[[#This Row],[Shortname]], Comp[], 20, FALSE)</f>
        <v>0</v>
      </c>
      <c r="X24">
        <f>VLOOKUP(Table5[[#This Row],[Shortname]], Comp[], 21, FALSE)</f>
        <v>0</v>
      </c>
      <c r="Y24">
        <f>VLOOKUP(Table5[[#This Row],[Shortname]], Comp[], 22, FALSE)</f>
        <v>0</v>
      </c>
      <c r="Z24">
        <f>VLOOKUP(Table5[[#This Row],[Shortname]], Comp[], 23, FALSE)</f>
        <v>0</v>
      </c>
      <c r="AA24">
        <f>VLOOKUP(Table5[[#This Row],[Shortname]], Comp[], 24, FALSE)</f>
        <v>0</v>
      </c>
      <c r="AB24">
        <f>VLOOKUP(Table5[[#This Row],[Shortname]], Comp[], 25, FALSE)</f>
        <v>0</v>
      </c>
      <c r="AC24">
        <f>VLOOKUP(Table5[[#This Row],[Shortname]], Comp[], 26, FALSE)</f>
        <v>0</v>
      </c>
      <c r="AD24">
        <f>VLOOKUP(Table5[[#This Row],[Shortname]], Comp[], 27, FALSE)</f>
        <v>0</v>
      </c>
      <c r="AE24">
        <f>VLOOKUP(Table5[[#This Row],[Shortname]], Comp[], 28, FALSE)</f>
        <v>0</v>
      </c>
      <c r="AF24">
        <f>VLOOKUP(Table5[[#This Row],[Shortname]], Comp[], 29, FALSE)</f>
        <v>0</v>
      </c>
      <c r="AG24">
        <f>VLOOKUP(Table5[[#This Row],[Shortname]], Comp[], 30, FALSE)</f>
        <v>0</v>
      </c>
      <c r="AH24">
        <f>VLOOKUP(Table5[[#This Row],[Shortname]], Comp[], 31, FALSE)</f>
        <v>0</v>
      </c>
    </row>
    <row r="25" spans="1:34" x14ac:dyDescent="0.3">
      <c r="A25" t="s">
        <v>5315</v>
      </c>
      <c r="B25">
        <v>24</v>
      </c>
      <c r="C25" t="str">
        <f>VLOOKUP(Table5[[#This Row],[Shortname]], [1]!comp[#Data], 2, FALSE)</f>
        <v>CoAlWX+</v>
      </c>
      <c r="D25" t="s">
        <v>5317</v>
      </c>
      <c r="E25" s="15" t="s">
        <v>6657</v>
      </c>
      <c r="F25">
        <v>1137</v>
      </c>
      <c r="G25">
        <v>1492</v>
      </c>
      <c r="H25">
        <v>1452</v>
      </c>
      <c r="I25">
        <f>VLOOKUP(Table5[[#This Row],[Shortname]], Comp[], 6, FALSE)</f>
        <v>21000</v>
      </c>
      <c r="J25" s="14">
        <f>VLOOKUP(Table5[[#This Row],[Shortname]], Comp[], 7, FALSE)</f>
        <v>78.599999999999994</v>
      </c>
      <c r="K25">
        <f>VLOOKUP(Table5[[#This Row],[Shortname]], Comp[], 8, FALSE)</f>
        <v>0</v>
      </c>
      <c r="L25">
        <f>VLOOKUP(Table5[[#This Row],[Shortname]], Comp[], 9, FALSE)</f>
        <v>8.1</v>
      </c>
      <c r="M25">
        <f>VLOOKUP(Table5[[#This Row],[Shortname]], Comp[], 10, FALSE)</f>
        <v>0</v>
      </c>
      <c r="N25">
        <f>VLOOKUP(Table5[[#This Row],[Shortname]], Comp[], 11, FALSE)</f>
        <v>9.1</v>
      </c>
      <c r="O25">
        <f>VLOOKUP(Table5[[#This Row],[Shortname]], Comp[],12, FALSE)</f>
        <v>0</v>
      </c>
      <c r="P25">
        <f>VLOOKUP(Table5[[#This Row],[Shortname]], Comp[], 13, FALSE)</f>
        <v>1.7</v>
      </c>
      <c r="Q25">
        <f>VLOOKUP(Table5[[#This Row],[Shortname]], Comp[], 14, FALSE)</f>
        <v>0</v>
      </c>
      <c r="R25">
        <f>VLOOKUP(Table5[[#This Row],[Shortname]], Comp[], 15, FALSE)</f>
        <v>0</v>
      </c>
      <c r="S25">
        <f>VLOOKUP(Table5[[#This Row],[Shortname]], Comp[], 16, FALSE)</f>
        <v>0</v>
      </c>
      <c r="T25">
        <f>VLOOKUP(Table5[[#This Row],[Shortname]], Comp[], 17, FALSE)</f>
        <v>0</v>
      </c>
      <c r="U25">
        <f>VLOOKUP(Table5[[#This Row],[Shortname]], Comp[], 18, FALSE)</f>
        <v>0</v>
      </c>
      <c r="V25">
        <f>VLOOKUP(Table5[[#This Row],[Shortname]], Comp[], 19, FALSE)</f>
        <v>0</v>
      </c>
      <c r="W25">
        <f>VLOOKUP(Table5[[#This Row],[Shortname]], Comp[], 20, FALSE)</f>
        <v>2.5</v>
      </c>
      <c r="X25">
        <f>VLOOKUP(Table5[[#This Row],[Shortname]], Comp[], 21, FALSE)</f>
        <v>0</v>
      </c>
      <c r="Y25">
        <f>VLOOKUP(Table5[[#This Row],[Shortname]], Comp[], 22, FALSE)</f>
        <v>0</v>
      </c>
      <c r="Z25">
        <f>VLOOKUP(Table5[[#This Row],[Shortname]], Comp[], 23, FALSE)</f>
        <v>0</v>
      </c>
      <c r="AA25">
        <f>VLOOKUP(Table5[[#This Row],[Shortname]], Comp[], 24, FALSE)</f>
        <v>0</v>
      </c>
      <c r="AB25">
        <f>VLOOKUP(Table5[[#This Row],[Shortname]], Comp[], 25, FALSE)</f>
        <v>0</v>
      </c>
      <c r="AC25">
        <f>VLOOKUP(Table5[[#This Row],[Shortname]], Comp[], 26, FALSE)</f>
        <v>0</v>
      </c>
      <c r="AD25">
        <f>VLOOKUP(Table5[[#This Row],[Shortname]], Comp[], 27, FALSE)</f>
        <v>0</v>
      </c>
      <c r="AE25">
        <f>VLOOKUP(Table5[[#This Row],[Shortname]], Comp[], 28, FALSE)</f>
        <v>0</v>
      </c>
      <c r="AF25">
        <f>VLOOKUP(Table5[[#This Row],[Shortname]], Comp[], 29, FALSE)</f>
        <v>0</v>
      </c>
      <c r="AG25">
        <f>VLOOKUP(Table5[[#This Row],[Shortname]], Comp[], 30, FALSE)</f>
        <v>0</v>
      </c>
      <c r="AH25">
        <f>VLOOKUP(Table5[[#This Row],[Shortname]], Comp[], 31, FALSE)</f>
        <v>0</v>
      </c>
    </row>
    <row r="26" spans="1:34" x14ac:dyDescent="0.3">
      <c r="A26" t="s">
        <v>210</v>
      </c>
      <c r="B26">
        <v>25</v>
      </c>
      <c r="C26" t="str">
        <f>VLOOKUP(Table5[[#This Row],[Shortname]], [1]!comp[#Data], 2, FALSE)</f>
        <v>CoAlWX+</v>
      </c>
      <c r="D26" t="s">
        <v>212</v>
      </c>
      <c r="E26" s="15" t="s">
        <v>6658</v>
      </c>
      <c r="F26">
        <v>1077</v>
      </c>
      <c r="G26">
        <v>1403</v>
      </c>
      <c r="H26">
        <v>1428</v>
      </c>
      <c r="I26">
        <f>VLOOKUP(Table5[[#This Row],[Shortname]], Comp[], 6, FALSE)</f>
        <v>22</v>
      </c>
      <c r="J26" s="14">
        <f>VLOOKUP(Table5[[#This Row],[Shortname]], Comp[], 7, FALSE)</f>
        <v>82.8</v>
      </c>
      <c r="K26">
        <f>VLOOKUP(Table5[[#This Row],[Shortname]], Comp[], 8, FALSE)</f>
        <v>0</v>
      </c>
      <c r="L26">
        <f>VLOOKUP(Table5[[#This Row],[Shortname]], Comp[], 9, FALSE)</f>
        <v>8</v>
      </c>
      <c r="M26">
        <f>VLOOKUP(Table5[[#This Row],[Shortname]], Comp[], 10, FALSE)</f>
        <v>0</v>
      </c>
      <c r="N26">
        <f>VLOOKUP(Table5[[#This Row],[Shortname]], Comp[], 11, FALSE)</f>
        <v>5.7</v>
      </c>
      <c r="O26">
        <f>VLOOKUP(Table5[[#This Row],[Shortname]], Comp[],12, FALSE)</f>
        <v>0</v>
      </c>
      <c r="P26">
        <f>VLOOKUP(Table5[[#This Row],[Shortname]], Comp[], 13, FALSE)</f>
        <v>2</v>
      </c>
      <c r="Q26">
        <f>VLOOKUP(Table5[[#This Row],[Shortname]], Comp[], 14, FALSE)</f>
        <v>0</v>
      </c>
      <c r="R26">
        <f>VLOOKUP(Table5[[#This Row],[Shortname]], Comp[], 15, FALSE)</f>
        <v>0</v>
      </c>
      <c r="S26">
        <f>VLOOKUP(Table5[[#This Row],[Shortname]], Comp[], 16, FALSE)</f>
        <v>1.5</v>
      </c>
      <c r="T26">
        <f>VLOOKUP(Table5[[#This Row],[Shortname]], Comp[], 17, FALSE)</f>
        <v>0</v>
      </c>
      <c r="U26">
        <f>VLOOKUP(Table5[[#This Row],[Shortname]], Comp[], 18, FALSE)</f>
        <v>0</v>
      </c>
      <c r="V26">
        <f>VLOOKUP(Table5[[#This Row],[Shortname]], Comp[], 19, FALSE)</f>
        <v>0</v>
      </c>
      <c r="W26">
        <f>VLOOKUP(Table5[[#This Row],[Shortname]], Comp[], 20, FALSE)</f>
        <v>0</v>
      </c>
      <c r="X26">
        <f>VLOOKUP(Table5[[#This Row],[Shortname]], Comp[], 21, FALSE)</f>
        <v>0</v>
      </c>
      <c r="Y26">
        <f>VLOOKUP(Table5[[#This Row],[Shortname]], Comp[], 22, FALSE)</f>
        <v>0</v>
      </c>
      <c r="Z26">
        <f>VLOOKUP(Table5[[#This Row],[Shortname]], Comp[], 23, FALSE)</f>
        <v>0</v>
      </c>
      <c r="AA26">
        <f>VLOOKUP(Table5[[#This Row],[Shortname]], Comp[], 24, FALSE)</f>
        <v>0</v>
      </c>
      <c r="AB26">
        <f>VLOOKUP(Table5[[#This Row],[Shortname]], Comp[], 25, FALSE)</f>
        <v>0</v>
      </c>
      <c r="AC26">
        <f>VLOOKUP(Table5[[#This Row],[Shortname]], Comp[], 26, FALSE)</f>
        <v>0</v>
      </c>
      <c r="AD26">
        <f>VLOOKUP(Table5[[#This Row],[Shortname]], Comp[], 27, FALSE)</f>
        <v>0</v>
      </c>
      <c r="AE26">
        <f>VLOOKUP(Table5[[#This Row],[Shortname]], Comp[], 28, FALSE)</f>
        <v>0</v>
      </c>
      <c r="AF26">
        <f>VLOOKUP(Table5[[#This Row],[Shortname]], Comp[], 29, FALSE)</f>
        <v>0</v>
      </c>
      <c r="AG26">
        <f>VLOOKUP(Table5[[#This Row],[Shortname]], Comp[], 30, FALSE)</f>
        <v>0</v>
      </c>
      <c r="AH26">
        <f>VLOOKUP(Table5[[#This Row],[Shortname]], Comp[], 31, FALSE)</f>
        <v>0</v>
      </c>
    </row>
    <row r="27" spans="1:34" x14ac:dyDescent="0.3">
      <c r="A27" t="s">
        <v>219</v>
      </c>
      <c r="B27">
        <v>26</v>
      </c>
      <c r="C27" t="str">
        <f>VLOOKUP(Table5[[#This Row],[Shortname]], [1]!comp[#Data], 2, FALSE)</f>
        <v>CoAlWX+</v>
      </c>
      <c r="D27" t="s">
        <v>221</v>
      </c>
      <c r="E27" s="15" t="s">
        <v>6659</v>
      </c>
      <c r="F27">
        <v>1058</v>
      </c>
      <c r="G27">
        <v>1415</v>
      </c>
      <c r="H27">
        <v>1449</v>
      </c>
      <c r="I27">
        <f>VLOOKUP(Table5[[#This Row],[Shortname]], Comp[], 6, FALSE)</f>
        <v>23</v>
      </c>
      <c r="J27" s="14">
        <f>VLOOKUP(Table5[[#This Row],[Shortname]], Comp[], 7, FALSE)</f>
        <v>83.6</v>
      </c>
      <c r="K27">
        <f>VLOOKUP(Table5[[#This Row],[Shortname]], Comp[], 8, FALSE)</f>
        <v>0</v>
      </c>
      <c r="L27">
        <f>VLOOKUP(Table5[[#This Row],[Shortname]], Comp[], 9, FALSE)</f>
        <v>8.6999999999999993</v>
      </c>
      <c r="M27">
        <f>VLOOKUP(Table5[[#This Row],[Shortname]], Comp[], 10, FALSE)</f>
        <v>0</v>
      </c>
      <c r="N27">
        <f>VLOOKUP(Table5[[#This Row],[Shortname]], Comp[], 11, FALSE)</f>
        <v>5.5</v>
      </c>
      <c r="O27">
        <f>VLOOKUP(Table5[[#This Row],[Shortname]], Comp[],12, FALSE)</f>
        <v>0</v>
      </c>
      <c r="P27">
        <f>VLOOKUP(Table5[[#This Row],[Shortname]], Comp[], 13, FALSE)</f>
        <v>1.3</v>
      </c>
      <c r="Q27">
        <f>VLOOKUP(Table5[[#This Row],[Shortname]], Comp[], 14, FALSE)</f>
        <v>0</v>
      </c>
      <c r="R27">
        <f>VLOOKUP(Table5[[#This Row],[Shortname]], Comp[], 15, FALSE)</f>
        <v>0</v>
      </c>
      <c r="S27">
        <f>VLOOKUP(Table5[[#This Row],[Shortname]], Comp[], 16, FALSE)</f>
        <v>0</v>
      </c>
      <c r="T27">
        <f>VLOOKUP(Table5[[#This Row],[Shortname]], Comp[], 17, FALSE)</f>
        <v>0</v>
      </c>
      <c r="U27">
        <f>VLOOKUP(Table5[[#This Row],[Shortname]], Comp[], 18, FALSE)</f>
        <v>0</v>
      </c>
      <c r="V27">
        <f>VLOOKUP(Table5[[#This Row],[Shortname]], Comp[], 19, FALSE)</f>
        <v>0</v>
      </c>
      <c r="W27">
        <f>VLOOKUP(Table5[[#This Row],[Shortname]], Comp[], 20, FALSE)</f>
        <v>0.9</v>
      </c>
      <c r="X27">
        <f>VLOOKUP(Table5[[#This Row],[Shortname]], Comp[], 21, FALSE)</f>
        <v>0</v>
      </c>
      <c r="Y27">
        <f>VLOOKUP(Table5[[#This Row],[Shortname]], Comp[], 22, FALSE)</f>
        <v>0</v>
      </c>
      <c r="Z27">
        <f>VLOOKUP(Table5[[#This Row],[Shortname]], Comp[], 23, FALSE)</f>
        <v>0</v>
      </c>
      <c r="AA27">
        <f>VLOOKUP(Table5[[#This Row],[Shortname]], Comp[], 24, FALSE)</f>
        <v>0</v>
      </c>
      <c r="AB27">
        <f>VLOOKUP(Table5[[#This Row],[Shortname]], Comp[], 25, FALSE)</f>
        <v>0</v>
      </c>
      <c r="AC27">
        <f>VLOOKUP(Table5[[#This Row],[Shortname]], Comp[], 26, FALSE)</f>
        <v>0</v>
      </c>
      <c r="AD27">
        <f>VLOOKUP(Table5[[#This Row],[Shortname]], Comp[], 27, FALSE)</f>
        <v>0</v>
      </c>
      <c r="AE27">
        <f>VLOOKUP(Table5[[#This Row],[Shortname]], Comp[], 28, FALSE)</f>
        <v>0</v>
      </c>
      <c r="AF27">
        <f>VLOOKUP(Table5[[#This Row],[Shortname]], Comp[], 29, FALSE)</f>
        <v>0</v>
      </c>
      <c r="AG27">
        <f>VLOOKUP(Table5[[#This Row],[Shortname]], Comp[], 30, FALSE)</f>
        <v>0</v>
      </c>
      <c r="AH27">
        <f>VLOOKUP(Table5[[#This Row],[Shortname]], Comp[], 31, FALSE)</f>
        <v>0</v>
      </c>
    </row>
    <row r="28" spans="1:34" x14ac:dyDescent="0.3">
      <c r="A28" t="s">
        <v>230</v>
      </c>
      <c r="B28">
        <v>27</v>
      </c>
      <c r="C28" t="str">
        <f>VLOOKUP(Table5[[#This Row],[Shortname]], [1]!comp[#Data], 2, FALSE)</f>
        <v>CoAlW-X</v>
      </c>
      <c r="D28" t="s">
        <v>232</v>
      </c>
      <c r="E28" s="1" t="s">
        <v>6660</v>
      </c>
      <c r="F28">
        <v>977</v>
      </c>
      <c r="G28">
        <v>1425</v>
      </c>
      <c r="H28">
        <v>1454</v>
      </c>
      <c r="I28">
        <f>VLOOKUP(Table5[[#This Row],[Shortname]], Comp[], 6, FALSE)</f>
        <v>24</v>
      </c>
      <c r="J28" s="14">
        <f>VLOOKUP(Table5[[#This Row],[Shortname]], Comp[], 7, FALSE)</f>
        <v>77.8</v>
      </c>
      <c r="K28">
        <f>VLOOKUP(Table5[[#This Row],[Shortname]], Comp[], 8, FALSE)</f>
        <v>0</v>
      </c>
      <c r="L28">
        <f>VLOOKUP(Table5[[#This Row],[Shortname]], Comp[], 9, FALSE)</f>
        <v>8.6</v>
      </c>
      <c r="M28">
        <f>VLOOKUP(Table5[[#This Row],[Shortname]], Comp[], 10, FALSE)</f>
        <v>4.0999999999999996</v>
      </c>
      <c r="N28">
        <f>VLOOKUP(Table5[[#This Row],[Shortname]], Comp[], 11, FALSE)</f>
        <v>9.5</v>
      </c>
      <c r="O28">
        <f>VLOOKUP(Table5[[#This Row],[Shortname]], Comp[],12, FALSE)</f>
        <v>0</v>
      </c>
      <c r="P28">
        <f>VLOOKUP(Table5[[#This Row],[Shortname]], Comp[], 13, FALSE)</f>
        <v>0</v>
      </c>
      <c r="Q28">
        <f>VLOOKUP(Table5[[#This Row],[Shortname]], Comp[], 14, FALSE)</f>
        <v>0</v>
      </c>
      <c r="R28">
        <f>VLOOKUP(Table5[[#This Row],[Shortname]], Comp[], 15, FALSE)</f>
        <v>0</v>
      </c>
      <c r="S28">
        <f>VLOOKUP(Table5[[#This Row],[Shortname]], Comp[], 16, FALSE)</f>
        <v>0</v>
      </c>
      <c r="T28">
        <f>VLOOKUP(Table5[[#This Row],[Shortname]], Comp[], 17, FALSE)</f>
        <v>0</v>
      </c>
      <c r="U28">
        <f>VLOOKUP(Table5[[#This Row],[Shortname]], Comp[], 18, FALSE)</f>
        <v>0</v>
      </c>
      <c r="V28">
        <f>VLOOKUP(Table5[[#This Row],[Shortname]], Comp[], 19, FALSE)</f>
        <v>0</v>
      </c>
      <c r="W28">
        <f>VLOOKUP(Table5[[#This Row],[Shortname]], Comp[], 20, FALSE)</f>
        <v>0</v>
      </c>
      <c r="X28">
        <f>VLOOKUP(Table5[[#This Row],[Shortname]], Comp[], 21, FALSE)</f>
        <v>0</v>
      </c>
      <c r="Y28">
        <f>VLOOKUP(Table5[[#This Row],[Shortname]], Comp[], 22, FALSE)</f>
        <v>0</v>
      </c>
      <c r="Z28">
        <f>VLOOKUP(Table5[[#This Row],[Shortname]], Comp[], 23, FALSE)</f>
        <v>0</v>
      </c>
      <c r="AA28">
        <f>VLOOKUP(Table5[[#This Row],[Shortname]], Comp[], 24, FALSE)</f>
        <v>0</v>
      </c>
      <c r="AB28">
        <f>VLOOKUP(Table5[[#This Row],[Shortname]], Comp[], 25, FALSE)</f>
        <v>0</v>
      </c>
      <c r="AC28">
        <f>VLOOKUP(Table5[[#This Row],[Shortname]], Comp[], 26, FALSE)</f>
        <v>0</v>
      </c>
      <c r="AD28">
        <f>VLOOKUP(Table5[[#This Row],[Shortname]], Comp[], 27, FALSE)</f>
        <v>0</v>
      </c>
      <c r="AE28">
        <f>VLOOKUP(Table5[[#This Row],[Shortname]], Comp[], 28, FALSE)</f>
        <v>0</v>
      </c>
      <c r="AF28">
        <f>VLOOKUP(Table5[[#This Row],[Shortname]], Comp[], 29, FALSE)</f>
        <v>0</v>
      </c>
      <c r="AG28">
        <f>VLOOKUP(Table5[[#This Row],[Shortname]], Comp[], 30, FALSE)</f>
        <v>0</v>
      </c>
      <c r="AH28">
        <f>VLOOKUP(Table5[[#This Row],[Shortname]], Comp[], 31, FALSE)</f>
        <v>0</v>
      </c>
    </row>
    <row r="29" spans="1:34" x14ac:dyDescent="0.3">
      <c r="A29" t="s">
        <v>240</v>
      </c>
      <c r="B29">
        <v>28</v>
      </c>
      <c r="C29" t="str">
        <f>VLOOKUP(Table5[[#This Row],[Shortname]], [1]!comp[#Data], 2, FALSE)</f>
        <v>CoAlW-X</v>
      </c>
      <c r="D29" t="s">
        <v>242</v>
      </c>
      <c r="E29" s="1" t="s">
        <v>6589</v>
      </c>
      <c r="F29">
        <v>947</v>
      </c>
      <c r="G29">
        <v>1412</v>
      </c>
      <c r="H29">
        <v>1440</v>
      </c>
      <c r="I29">
        <f>VLOOKUP(Table5[[#This Row],[Shortname]], Comp[], 6, FALSE)</f>
        <v>25</v>
      </c>
      <c r="J29" s="14">
        <f>VLOOKUP(Table5[[#This Row],[Shortname]], Comp[], 7, FALSE)</f>
        <v>73.5</v>
      </c>
      <c r="K29">
        <f>VLOOKUP(Table5[[#This Row],[Shortname]], Comp[], 8, FALSE)</f>
        <v>0</v>
      </c>
      <c r="L29">
        <f>VLOOKUP(Table5[[#This Row],[Shortname]], Comp[], 9, FALSE)</f>
        <v>8.6999999999999993</v>
      </c>
      <c r="M29">
        <f>VLOOKUP(Table5[[#This Row],[Shortname]], Comp[], 10, FALSE)</f>
        <v>8.1999999999999993</v>
      </c>
      <c r="N29">
        <f>VLOOKUP(Table5[[#This Row],[Shortname]], Comp[], 11, FALSE)</f>
        <v>9.6</v>
      </c>
      <c r="O29">
        <f>VLOOKUP(Table5[[#This Row],[Shortname]], Comp[],12, FALSE)</f>
        <v>0</v>
      </c>
      <c r="P29">
        <f>VLOOKUP(Table5[[#This Row],[Shortname]], Comp[], 13, FALSE)</f>
        <v>0</v>
      </c>
      <c r="Q29">
        <f>VLOOKUP(Table5[[#This Row],[Shortname]], Comp[], 14, FALSE)</f>
        <v>0</v>
      </c>
      <c r="R29">
        <f>VLOOKUP(Table5[[#This Row],[Shortname]], Comp[], 15, FALSE)</f>
        <v>0</v>
      </c>
      <c r="S29">
        <f>VLOOKUP(Table5[[#This Row],[Shortname]], Comp[], 16, FALSE)</f>
        <v>0</v>
      </c>
      <c r="T29">
        <f>VLOOKUP(Table5[[#This Row],[Shortname]], Comp[], 17, FALSE)</f>
        <v>0</v>
      </c>
      <c r="U29">
        <f>VLOOKUP(Table5[[#This Row],[Shortname]], Comp[], 18, FALSE)</f>
        <v>0</v>
      </c>
      <c r="V29">
        <f>VLOOKUP(Table5[[#This Row],[Shortname]], Comp[], 19, FALSE)</f>
        <v>0</v>
      </c>
      <c r="W29">
        <f>VLOOKUP(Table5[[#This Row],[Shortname]], Comp[], 20, FALSE)</f>
        <v>0</v>
      </c>
      <c r="X29">
        <f>VLOOKUP(Table5[[#This Row],[Shortname]], Comp[], 21, FALSE)</f>
        <v>0</v>
      </c>
      <c r="Y29">
        <f>VLOOKUP(Table5[[#This Row],[Shortname]], Comp[], 22, FALSE)</f>
        <v>0</v>
      </c>
      <c r="Z29">
        <f>VLOOKUP(Table5[[#This Row],[Shortname]], Comp[], 23, FALSE)</f>
        <v>0</v>
      </c>
      <c r="AA29">
        <f>VLOOKUP(Table5[[#This Row],[Shortname]], Comp[], 24, FALSE)</f>
        <v>0</v>
      </c>
      <c r="AB29">
        <f>VLOOKUP(Table5[[#This Row],[Shortname]], Comp[], 25, FALSE)</f>
        <v>0</v>
      </c>
      <c r="AC29">
        <f>VLOOKUP(Table5[[#This Row],[Shortname]], Comp[], 26, FALSE)</f>
        <v>0</v>
      </c>
      <c r="AD29">
        <f>VLOOKUP(Table5[[#This Row],[Shortname]], Comp[], 27, FALSE)</f>
        <v>0</v>
      </c>
      <c r="AE29">
        <f>VLOOKUP(Table5[[#This Row],[Shortname]], Comp[], 28, FALSE)</f>
        <v>0</v>
      </c>
      <c r="AF29">
        <f>VLOOKUP(Table5[[#This Row],[Shortname]], Comp[], 29, FALSE)</f>
        <v>0</v>
      </c>
      <c r="AG29">
        <f>VLOOKUP(Table5[[#This Row],[Shortname]], Comp[], 30, FALSE)</f>
        <v>0</v>
      </c>
      <c r="AH29">
        <f>VLOOKUP(Table5[[#This Row],[Shortname]], Comp[], 31, FALSE)</f>
        <v>0</v>
      </c>
    </row>
    <row r="30" spans="1:34" x14ac:dyDescent="0.3">
      <c r="A30" t="s">
        <v>248</v>
      </c>
      <c r="B30">
        <v>29</v>
      </c>
      <c r="C30" t="str">
        <f>VLOOKUP(Table5[[#This Row],[Shortname]], [1]!comp[#Data], 2, FALSE)</f>
        <v>CoAlW-X</v>
      </c>
      <c r="D30" t="s">
        <v>250</v>
      </c>
      <c r="E30" s="1" t="s">
        <v>6661</v>
      </c>
      <c r="F30">
        <v>860</v>
      </c>
      <c r="G30">
        <v>1372</v>
      </c>
      <c r="H30">
        <v>1409</v>
      </c>
      <c r="I30">
        <f>VLOOKUP(Table5[[#This Row],[Shortname]], Comp[], 6, FALSE)</f>
        <v>26</v>
      </c>
      <c r="J30" s="14">
        <f>VLOOKUP(Table5[[#This Row],[Shortname]], Comp[], 7, FALSE)</f>
        <v>66.099999999999994</v>
      </c>
      <c r="K30">
        <f>VLOOKUP(Table5[[#This Row],[Shortname]], Comp[], 8, FALSE)</f>
        <v>0</v>
      </c>
      <c r="L30">
        <f>VLOOKUP(Table5[[#This Row],[Shortname]], Comp[], 9, FALSE)</f>
        <v>8.4</v>
      </c>
      <c r="M30">
        <f>VLOOKUP(Table5[[#This Row],[Shortname]], Comp[], 10, FALSE)</f>
        <v>16.5</v>
      </c>
      <c r="N30">
        <f>VLOOKUP(Table5[[#This Row],[Shortname]], Comp[], 11, FALSE)</f>
        <v>9</v>
      </c>
      <c r="O30">
        <f>VLOOKUP(Table5[[#This Row],[Shortname]], Comp[],12, FALSE)</f>
        <v>0</v>
      </c>
      <c r="P30">
        <f>VLOOKUP(Table5[[#This Row],[Shortname]], Comp[], 13, FALSE)</f>
        <v>0</v>
      </c>
      <c r="Q30">
        <f>VLOOKUP(Table5[[#This Row],[Shortname]], Comp[], 14, FALSE)</f>
        <v>0</v>
      </c>
      <c r="R30">
        <f>VLOOKUP(Table5[[#This Row],[Shortname]], Comp[], 15, FALSE)</f>
        <v>0</v>
      </c>
      <c r="S30">
        <f>VLOOKUP(Table5[[#This Row],[Shortname]], Comp[], 16, FALSE)</f>
        <v>0</v>
      </c>
      <c r="T30">
        <f>VLOOKUP(Table5[[#This Row],[Shortname]], Comp[], 17, FALSE)</f>
        <v>0</v>
      </c>
      <c r="U30">
        <f>VLOOKUP(Table5[[#This Row],[Shortname]], Comp[], 18, FALSE)</f>
        <v>0</v>
      </c>
      <c r="V30">
        <f>VLOOKUP(Table5[[#This Row],[Shortname]], Comp[], 19, FALSE)</f>
        <v>0</v>
      </c>
      <c r="W30">
        <f>VLOOKUP(Table5[[#This Row],[Shortname]], Comp[], 20, FALSE)</f>
        <v>0</v>
      </c>
      <c r="X30">
        <f>VLOOKUP(Table5[[#This Row],[Shortname]], Comp[], 21, FALSE)</f>
        <v>0</v>
      </c>
      <c r="Y30">
        <f>VLOOKUP(Table5[[#This Row],[Shortname]], Comp[], 22, FALSE)</f>
        <v>0</v>
      </c>
      <c r="Z30">
        <f>VLOOKUP(Table5[[#This Row],[Shortname]], Comp[], 23, FALSE)</f>
        <v>0</v>
      </c>
      <c r="AA30">
        <f>VLOOKUP(Table5[[#This Row],[Shortname]], Comp[], 24, FALSE)</f>
        <v>0</v>
      </c>
      <c r="AB30">
        <f>VLOOKUP(Table5[[#This Row],[Shortname]], Comp[], 25, FALSE)</f>
        <v>0</v>
      </c>
      <c r="AC30">
        <f>VLOOKUP(Table5[[#This Row],[Shortname]], Comp[], 26, FALSE)</f>
        <v>0</v>
      </c>
      <c r="AD30">
        <f>VLOOKUP(Table5[[#This Row],[Shortname]], Comp[], 27, FALSE)</f>
        <v>0</v>
      </c>
      <c r="AE30">
        <f>VLOOKUP(Table5[[#This Row],[Shortname]], Comp[], 28, FALSE)</f>
        <v>0</v>
      </c>
      <c r="AF30">
        <f>VLOOKUP(Table5[[#This Row],[Shortname]], Comp[], 29, FALSE)</f>
        <v>0</v>
      </c>
      <c r="AG30">
        <f>VLOOKUP(Table5[[#This Row],[Shortname]], Comp[], 30, FALSE)</f>
        <v>0</v>
      </c>
      <c r="AH30">
        <f>VLOOKUP(Table5[[#This Row],[Shortname]], Comp[], 31, FALSE)</f>
        <v>0</v>
      </c>
    </row>
    <row r="31" spans="1:34" x14ac:dyDescent="0.3">
      <c r="A31" t="s">
        <v>274</v>
      </c>
      <c r="B31">
        <v>30</v>
      </c>
      <c r="C31" t="str">
        <f>VLOOKUP(Table5[[#This Row],[Shortname]], [1]!comp[#Data], 2, FALSE)</f>
        <v>CoAlWX+</v>
      </c>
      <c r="D31" t="s">
        <v>276</v>
      </c>
      <c r="E31" s="1" t="s">
        <v>6662</v>
      </c>
      <c r="F31">
        <v>958</v>
      </c>
      <c r="G31">
        <v>1418</v>
      </c>
      <c r="H31">
        <v>1439</v>
      </c>
      <c r="I31">
        <f>VLOOKUP(Table5[[#This Row],[Shortname]], Comp[], 6, FALSE)</f>
        <v>29</v>
      </c>
      <c r="J31" s="14">
        <f>VLOOKUP(Table5[[#This Row],[Shortname]], Comp[], 7, FALSE)</f>
        <v>63.870000000000005</v>
      </c>
      <c r="K31">
        <f>VLOOKUP(Table5[[#This Row],[Shortname]], Comp[], 8, FALSE)</f>
        <v>9.1999999999999993</v>
      </c>
      <c r="L31">
        <f>VLOOKUP(Table5[[#This Row],[Shortname]], Comp[], 9, FALSE)</f>
        <v>9.1</v>
      </c>
      <c r="M31">
        <f>VLOOKUP(Table5[[#This Row],[Shortname]], Comp[], 10, FALSE)</f>
        <v>8.1999999999999993</v>
      </c>
      <c r="N31">
        <f>VLOOKUP(Table5[[#This Row],[Shortname]], Comp[], 11, FALSE)</f>
        <v>9.6300000000000008</v>
      </c>
      <c r="O31">
        <f>VLOOKUP(Table5[[#This Row],[Shortname]], Comp[],12, FALSE)</f>
        <v>0</v>
      </c>
      <c r="P31">
        <f>VLOOKUP(Table5[[#This Row],[Shortname]], Comp[], 13, FALSE)</f>
        <v>0</v>
      </c>
      <c r="Q31">
        <f>VLOOKUP(Table5[[#This Row],[Shortname]], Comp[], 14, FALSE)</f>
        <v>0</v>
      </c>
      <c r="R31">
        <f>VLOOKUP(Table5[[#This Row],[Shortname]], Comp[], 15, FALSE)</f>
        <v>0</v>
      </c>
      <c r="S31">
        <f>VLOOKUP(Table5[[#This Row],[Shortname]], Comp[], 16, FALSE)</f>
        <v>0</v>
      </c>
      <c r="T31">
        <f>VLOOKUP(Table5[[#This Row],[Shortname]], Comp[], 17, FALSE)</f>
        <v>0</v>
      </c>
      <c r="U31">
        <f>VLOOKUP(Table5[[#This Row],[Shortname]], Comp[], 18, FALSE)</f>
        <v>0</v>
      </c>
      <c r="V31">
        <f>VLOOKUP(Table5[[#This Row],[Shortname]], Comp[], 19, FALSE)</f>
        <v>0</v>
      </c>
      <c r="W31">
        <f>VLOOKUP(Table5[[#This Row],[Shortname]], Comp[], 20, FALSE)</f>
        <v>0</v>
      </c>
      <c r="X31">
        <f>VLOOKUP(Table5[[#This Row],[Shortname]], Comp[], 21, FALSE)</f>
        <v>0</v>
      </c>
      <c r="Y31">
        <f>VLOOKUP(Table5[[#This Row],[Shortname]], Comp[], 22, FALSE)</f>
        <v>0</v>
      </c>
      <c r="Z31">
        <f>VLOOKUP(Table5[[#This Row],[Shortname]], Comp[], 23, FALSE)</f>
        <v>0</v>
      </c>
      <c r="AA31">
        <f>VLOOKUP(Table5[[#This Row],[Shortname]], Comp[], 24, FALSE)</f>
        <v>0</v>
      </c>
      <c r="AB31">
        <f>VLOOKUP(Table5[[#This Row],[Shortname]], Comp[], 25, FALSE)</f>
        <v>0</v>
      </c>
      <c r="AC31">
        <f>VLOOKUP(Table5[[#This Row],[Shortname]], Comp[], 26, FALSE)</f>
        <v>0</v>
      </c>
      <c r="AD31">
        <f>VLOOKUP(Table5[[#This Row],[Shortname]], Comp[], 27, FALSE)</f>
        <v>0</v>
      </c>
      <c r="AE31">
        <f>VLOOKUP(Table5[[#This Row],[Shortname]], Comp[], 28, FALSE)</f>
        <v>0</v>
      </c>
      <c r="AF31">
        <f>VLOOKUP(Table5[[#This Row],[Shortname]], Comp[], 29, FALSE)</f>
        <v>0</v>
      </c>
      <c r="AG31">
        <f>VLOOKUP(Table5[[#This Row],[Shortname]], Comp[], 30, FALSE)</f>
        <v>0</v>
      </c>
      <c r="AH31">
        <f>VLOOKUP(Table5[[#This Row],[Shortname]], Comp[], 31, FALSE)</f>
        <v>0</v>
      </c>
    </row>
    <row r="32" spans="1:34" x14ac:dyDescent="0.3">
      <c r="A32" t="s">
        <v>283</v>
      </c>
      <c r="B32">
        <v>31</v>
      </c>
      <c r="C32" t="str">
        <f>VLOOKUP(Table5[[#This Row],[Shortname]], [1]!comp[#Data], 2, FALSE)</f>
        <v>CoAlWX+</v>
      </c>
      <c r="D32" t="s">
        <v>285</v>
      </c>
      <c r="E32" s="1" t="s">
        <v>6663</v>
      </c>
      <c r="F32">
        <v>978</v>
      </c>
      <c r="G32">
        <v>1420</v>
      </c>
      <c r="H32">
        <v>1441</v>
      </c>
      <c r="I32">
        <f>VLOOKUP(Table5[[#This Row],[Shortname]], Comp[], 6, FALSE)</f>
        <v>30</v>
      </c>
      <c r="J32" s="14">
        <f>VLOOKUP(Table5[[#This Row],[Shortname]], Comp[], 7, FALSE)</f>
        <v>56.5</v>
      </c>
      <c r="K32">
        <f>VLOOKUP(Table5[[#This Row],[Shortname]], Comp[], 8, FALSE)</f>
        <v>18</v>
      </c>
      <c r="L32">
        <f>VLOOKUP(Table5[[#This Row],[Shortname]], Comp[], 9, FALSE)</f>
        <v>8.6</v>
      </c>
      <c r="M32">
        <f>VLOOKUP(Table5[[#This Row],[Shortname]], Comp[], 10, FALSE)</f>
        <v>8.1</v>
      </c>
      <c r="N32">
        <f>VLOOKUP(Table5[[#This Row],[Shortname]], Comp[], 11, FALSE)</f>
        <v>8.8000000000000007</v>
      </c>
      <c r="O32">
        <f>VLOOKUP(Table5[[#This Row],[Shortname]], Comp[],12, FALSE)</f>
        <v>0</v>
      </c>
      <c r="P32">
        <f>VLOOKUP(Table5[[#This Row],[Shortname]], Comp[], 13, FALSE)</f>
        <v>0</v>
      </c>
      <c r="Q32">
        <f>VLOOKUP(Table5[[#This Row],[Shortname]], Comp[], 14, FALSE)</f>
        <v>0</v>
      </c>
      <c r="R32">
        <f>VLOOKUP(Table5[[#This Row],[Shortname]], Comp[], 15, FALSE)</f>
        <v>0</v>
      </c>
      <c r="S32">
        <f>VLOOKUP(Table5[[#This Row],[Shortname]], Comp[], 16, FALSE)</f>
        <v>0</v>
      </c>
      <c r="T32">
        <f>VLOOKUP(Table5[[#This Row],[Shortname]], Comp[], 17, FALSE)</f>
        <v>0</v>
      </c>
      <c r="U32">
        <f>VLOOKUP(Table5[[#This Row],[Shortname]], Comp[], 18, FALSE)</f>
        <v>0</v>
      </c>
      <c r="V32">
        <f>VLOOKUP(Table5[[#This Row],[Shortname]], Comp[], 19, FALSE)</f>
        <v>0</v>
      </c>
      <c r="W32">
        <f>VLOOKUP(Table5[[#This Row],[Shortname]], Comp[], 20, FALSE)</f>
        <v>0</v>
      </c>
      <c r="X32">
        <f>VLOOKUP(Table5[[#This Row],[Shortname]], Comp[], 21, FALSE)</f>
        <v>0</v>
      </c>
      <c r="Y32">
        <f>VLOOKUP(Table5[[#This Row],[Shortname]], Comp[], 22, FALSE)</f>
        <v>0</v>
      </c>
      <c r="Z32">
        <f>VLOOKUP(Table5[[#This Row],[Shortname]], Comp[], 23, FALSE)</f>
        <v>0</v>
      </c>
      <c r="AA32">
        <f>VLOOKUP(Table5[[#This Row],[Shortname]], Comp[], 24, FALSE)</f>
        <v>0</v>
      </c>
      <c r="AB32">
        <f>VLOOKUP(Table5[[#This Row],[Shortname]], Comp[], 25, FALSE)</f>
        <v>0</v>
      </c>
      <c r="AC32">
        <f>VLOOKUP(Table5[[#This Row],[Shortname]], Comp[], 26, FALSE)</f>
        <v>0</v>
      </c>
      <c r="AD32">
        <f>VLOOKUP(Table5[[#This Row],[Shortname]], Comp[], 27, FALSE)</f>
        <v>0</v>
      </c>
      <c r="AE32">
        <f>VLOOKUP(Table5[[#This Row],[Shortname]], Comp[], 28, FALSE)</f>
        <v>0</v>
      </c>
      <c r="AF32">
        <f>VLOOKUP(Table5[[#This Row],[Shortname]], Comp[], 29, FALSE)</f>
        <v>0</v>
      </c>
      <c r="AG32">
        <f>VLOOKUP(Table5[[#This Row],[Shortname]], Comp[], 30, FALSE)</f>
        <v>0</v>
      </c>
      <c r="AH32">
        <f>VLOOKUP(Table5[[#This Row],[Shortname]], Comp[], 31, FALSE)</f>
        <v>0</v>
      </c>
    </row>
    <row r="33" spans="1:34" x14ac:dyDescent="0.3">
      <c r="A33" t="s">
        <v>5315</v>
      </c>
      <c r="B33">
        <v>32</v>
      </c>
      <c r="C33" t="str">
        <f>VLOOKUP(Table5[[#This Row],[Shortname]], [1]!comp[#Data], 2, FALSE)</f>
        <v>CoAlWX+</v>
      </c>
      <c r="D33" t="s">
        <v>5323</v>
      </c>
      <c r="E33" s="1" t="s">
        <v>6664</v>
      </c>
      <c r="F33">
        <v>1137</v>
      </c>
      <c r="G33">
        <v>1426</v>
      </c>
      <c r="H33">
        <v>1454</v>
      </c>
      <c r="I33">
        <f>VLOOKUP(Table5[[#This Row],[Shortname]], Comp[], 6, FALSE)</f>
        <v>21000</v>
      </c>
      <c r="J33" s="14">
        <f>VLOOKUP(Table5[[#This Row],[Shortname]], Comp[], 7, FALSE)</f>
        <v>78.599999999999994</v>
      </c>
      <c r="K33">
        <f>VLOOKUP(Table5[[#This Row],[Shortname]], Comp[], 8, FALSE)</f>
        <v>0</v>
      </c>
      <c r="L33">
        <f>VLOOKUP(Table5[[#This Row],[Shortname]], Comp[], 9, FALSE)</f>
        <v>8.1</v>
      </c>
      <c r="M33">
        <f>VLOOKUP(Table5[[#This Row],[Shortname]], Comp[], 10, FALSE)</f>
        <v>0</v>
      </c>
      <c r="N33">
        <f>VLOOKUP(Table5[[#This Row],[Shortname]], Comp[], 11, FALSE)</f>
        <v>9.1</v>
      </c>
      <c r="O33">
        <f>VLOOKUP(Table5[[#This Row],[Shortname]], Comp[],12, FALSE)</f>
        <v>0</v>
      </c>
      <c r="P33">
        <f>VLOOKUP(Table5[[#This Row],[Shortname]], Comp[], 13, FALSE)</f>
        <v>1.7</v>
      </c>
      <c r="Q33">
        <f>VLOOKUP(Table5[[#This Row],[Shortname]], Comp[], 14, FALSE)</f>
        <v>0</v>
      </c>
      <c r="R33">
        <f>VLOOKUP(Table5[[#This Row],[Shortname]], Comp[], 15, FALSE)</f>
        <v>0</v>
      </c>
      <c r="S33">
        <f>VLOOKUP(Table5[[#This Row],[Shortname]], Comp[], 16, FALSE)</f>
        <v>0</v>
      </c>
      <c r="T33">
        <f>VLOOKUP(Table5[[#This Row],[Shortname]], Comp[], 17, FALSE)</f>
        <v>0</v>
      </c>
      <c r="U33">
        <f>VLOOKUP(Table5[[#This Row],[Shortname]], Comp[], 18, FALSE)</f>
        <v>0</v>
      </c>
      <c r="V33">
        <f>VLOOKUP(Table5[[#This Row],[Shortname]], Comp[], 19, FALSE)</f>
        <v>0</v>
      </c>
      <c r="W33">
        <f>VLOOKUP(Table5[[#This Row],[Shortname]], Comp[], 20, FALSE)</f>
        <v>2.5</v>
      </c>
      <c r="X33">
        <f>VLOOKUP(Table5[[#This Row],[Shortname]], Comp[], 21, FALSE)</f>
        <v>0</v>
      </c>
      <c r="Y33">
        <f>VLOOKUP(Table5[[#This Row],[Shortname]], Comp[], 22, FALSE)</f>
        <v>0</v>
      </c>
      <c r="Z33">
        <f>VLOOKUP(Table5[[#This Row],[Shortname]], Comp[], 23, FALSE)</f>
        <v>0</v>
      </c>
      <c r="AA33">
        <f>VLOOKUP(Table5[[#This Row],[Shortname]], Comp[], 24, FALSE)</f>
        <v>0</v>
      </c>
      <c r="AB33">
        <f>VLOOKUP(Table5[[#This Row],[Shortname]], Comp[], 25, FALSE)</f>
        <v>0</v>
      </c>
      <c r="AC33">
        <f>VLOOKUP(Table5[[#This Row],[Shortname]], Comp[], 26, FALSE)</f>
        <v>0</v>
      </c>
      <c r="AD33">
        <f>VLOOKUP(Table5[[#This Row],[Shortname]], Comp[], 27, FALSE)</f>
        <v>0</v>
      </c>
      <c r="AE33">
        <f>VLOOKUP(Table5[[#This Row],[Shortname]], Comp[], 28, FALSE)</f>
        <v>0</v>
      </c>
      <c r="AF33">
        <f>VLOOKUP(Table5[[#This Row],[Shortname]], Comp[], 29, FALSE)</f>
        <v>0</v>
      </c>
      <c r="AG33">
        <f>VLOOKUP(Table5[[#This Row],[Shortname]], Comp[], 30, FALSE)</f>
        <v>0</v>
      </c>
      <c r="AH33">
        <f>VLOOKUP(Table5[[#This Row],[Shortname]], Comp[], 31, FALSE)</f>
        <v>0</v>
      </c>
    </row>
    <row r="34" spans="1:34" x14ac:dyDescent="0.3">
      <c r="A34" t="s">
        <v>219</v>
      </c>
      <c r="B34">
        <v>33</v>
      </c>
      <c r="C34" t="str">
        <f>VLOOKUP(Table5[[#This Row],[Shortname]], [1]!comp[#Data], 2, FALSE)</f>
        <v>CoAlWX+</v>
      </c>
      <c r="D34" t="s">
        <v>5326</v>
      </c>
      <c r="E34" s="1" t="s">
        <v>6665</v>
      </c>
      <c r="F34">
        <v>1060</v>
      </c>
      <c r="G34">
        <v>1418</v>
      </c>
      <c r="H34">
        <v>1452</v>
      </c>
      <c r="I34">
        <f>VLOOKUP(Table5[[#This Row],[Shortname]], Comp[], 6, FALSE)</f>
        <v>23</v>
      </c>
      <c r="J34" s="14">
        <f>VLOOKUP(Table5[[#This Row],[Shortname]], Comp[], 7, FALSE)</f>
        <v>83.6</v>
      </c>
      <c r="K34">
        <f>VLOOKUP(Table5[[#This Row],[Shortname]], Comp[], 8, FALSE)</f>
        <v>0</v>
      </c>
      <c r="L34">
        <f>VLOOKUP(Table5[[#This Row],[Shortname]], Comp[], 9, FALSE)</f>
        <v>8.6999999999999993</v>
      </c>
      <c r="M34">
        <f>VLOOKUP(Table5[[#This Row],[Shortname]], Comp[], 10, FALSE)</f>
        <v>0</v>
      </c>
      <c r="N34">
        <f>VLOOKUP(Table5[[#This Row],[Shortname]], Comp[], 11, FALSE)</f>
        <v>5.5</v>
      </c>
      <c r="O34">
        <f>VLOOKUP(Table5[[#This Row],[Shortname]], Comp[],12, FALSE)</f>
        <v>0</v>
      </c>
      <c r="P34">
        <f>VLOOKUP(Table5[[#This Row],[Shortname]], Comp[], 13, FALSE)</f>
        <v>1.3</v>
      </c>
      <c r="Q34">
        <f>VLOOKUP(Table5[[#This Row],[Shortname]], Comp[], 14, FALSE)</f>
        <v>0</v>
      </c>
      <c r="R34">
        <f>VLOOKUP(Table5[[#This Row],[Shortname]], Comp[], 15, FALSE)</f>
        <v>0</v>
      </c>
      <c r="S34">
        <f>VLOOKUP(Table5[[#This Row],[Shortname]], Comp[], 16, FALSE)</f>
        <v>0</v>
      </c>
      <c r="T34">
        <f>VLOOKUP(Table5[[#This Row],[Shortname]], Comp[], 17, FALSE)</f>
        <v>0</v>
      </c>
      <c r="U34">
        <f>VLOOKUP(Table5[[#This Row],[Shortname]], Comp[], 18, FALSE)</f>
        <v>0</v>
      </c>
      <c r="V34">
        <f>VLOOKUP(Table5[[#This Row],[Shortname]], Comp[], 19, FALSE)</f>
        <v>0</v>
      </c>
      <c r="W34">
        <f>VLOOKUP(Table5[[#This Row],[Shortname]], Comp[], 20, FALSE)</f>
        <v>0.9</v>
      </c>
      <c r="X34">
        <f>VLOOKUP(Table5[[#This Row],[Shortname]], Comp[], 21, FALSE)</f>
        <v>0</v>
      </c>
      <c r="Y34">
        <f>VLOOKUP(Table5[[#This Row],[Shortname]], Comp[], 22, FALSE)</f>
        <v>0</v>
      </c>
      <c r="Z34">
        <f>VLOOKUP(Table5[[#This Row],[Shortname]], Comp[], 23, FALSE)</f>
        <v>0</v>
      </c>
      <c r="AA34">
        <f>VLOOKUP(Table5[[#This Row],[Shortname]], Comp[], 24, FALSE)</f>
        <v>0</v>
      </c>
      <c r="AB34">
        <f>VLOOKUP(Table5[[#This Row],[Shortname]], Comp[], 25, FALSE)</f>
        <v>0</v>
      </c>
      <c r="AC34">
        <f>VLOOKUP(Table5[[#This Row],[Shortname]], Comp[], 26, FALSE)</f>
        <v>0</v>
      </c>
      <c r="AD34">
        <f>VLOOKUP(Table5[[#This Row],[Shortname]], Comp[], 27, FALSE)</f>
        <v>0</v>
      </c>
      <c r="AE34">
        <f>VLOOKUP(Table5[[#This Row],[Shortname]], Comp[], 28, FALSE)</f>
        <v>0</v>
      </c>
      <c r="AF34">
        <f>VLOOKUP(Table5[[#This Row],[Shortname]], Comp[], 29, FALSE)</f>
        <v>0</v>
      </c>
      <c r="AG34">
        <f>VLOOKUP(Table5[[#This Row],[Shortname]], Comp[], 30, FALSE)</f>
        <v>0</v>
      </c>
      <c r="AH34">
        <f>VLOOKUP(Table5[[#This Row],[Shortname]], Comp[], 31, FALSE)</f>
        <v>0</v>
      </c>
    </row>
    <row r="35" spans="1:34" x14ac:dyDescent="0.3">
      <c r="A35" t="s">
        <v>293</v>
      </c>
      <c r="B35">
        <v>34</v>
      </c>
      <c r="C35" t="str">
        <f>VLOOKUP(Table5[[#This Row],[Shortname]], [1]!comp[#Data], 2, FALSE)</f>
        <v>CoAlW-X</v>
      </c>
      <c r="D35" t="s">
        <v>295</v>
      </c>
      <c r="E35" s="1" t="s">
        <v>6666</v>
      </c>
      <c r="F35">
        <v>932</v>
      </c>
      <c r="G35">
        <v>1431</v>
      </c>
      <c r="H35">
        <v>1453</v>
      </c>
      <c r="I35">
        <f>VLOOKUP(Table5[[#This Row],[Shortname]], Comp[], 6, FALSE)</f>
        <v>33</v>
      </c>
      <c r="J35" s="14">
        <f>VLOOKUP(Table5[[#This Row],[Shortname]], Comp[], 7, FALSE)</f>
        <v>75.7</v>
      </c>
      <c r="K35">
        <f>VLOOKUP(Table5[[#This Row],[Shortname]], Comp[], 8, FALSE)</f>
        <v>0</v>
      </c>
      <c r="L35">
        <f>VLOOKUP(Table5[[#This Row],[Shortname]], Comp[], 9, FALSE)</f>
        <v>7.5</v>
      </c>
      <c r="M35">
        <f>VLOOKUP(Table5[[#This Row],[Shortname]], Comp[], 10, FALSE)</f>
        <v>0</v>
      </c>
      <c r="N35">
        <f>VLOOKUP(Table5[[#This Row],[Shortname]], Comp[], 11, FALSE)</f>
        <v>8.8000000000000007</v>
      </c>
      <c r="O35">
        <f>VLOOKUP(Table5[[#This Row],[Shortname]], Comp[],12, FALSE)</f>
        <v>0</v>
      </c>
      <c r="P35">
        <f>VLOOKUP(Table5[[#This Row],[Shortname]], Comp[], 13, FALSE)</f>
        <v>0</v>
      </c>
      <c r="Q35">
        <f>VLOOKUP(Table5[[#This Row],[Shortname]], Comp[], 14, FALSE)</f>
        <v>0</v>
      </c>
      <c r="R35">
        <f>VLOOKUP(Table5[[#This Row],[Shortname]], Comp[], 15, FALSE)</f>
        <v>0</v>
      </c>
      <c r="S35">
        <f>VLOOKUP(Table5[[#This Row],[Shortname]], Comp[], 16, FALSE)</f>
        <v>0</v>
      </c>
      <c r="T35">
        <f>VLOOKUP(Table5[[#This Row],[Shortname]], Comp[], 17, FALSE)</f>
        <v>0</v>
      </c>
      <c r="U35">
        <f>VLOOKUP(Table5[[#This Row],[Shortname]], Comp[], 18, FALSE)</f>
        <v>0</v>
      </c>
      <c r="V35">
        <f>VLOOKUP(Table5[[#This Row],[Shortname]], Comp[], 19, FALSE)</f>
        <v>0</v>
      </c>
      <c r="W35">
        <f>VLOOKUP(Table5[[#This Row],[Shortname]], Comp[], 20, FALSE)</f>
        <v>0</v>
      </c>
      <c r="X35">
        <f>VLOOKUP(Table5[[#This Row],[Shortname]], Comp[], 21, FALSE)</f>
        <v>0</v>
      </c>
      <c r="Y35">
        <f>VLOOKUP(Table5[[#This Row],[Shortname]], Comp[], 22, FALSE)</f>
        <v>0</v>
      </c>
      <c r="Z35">
        <f>VLOOKUP(Table5[[#This Row],[Shortname]], Comp[], 23, FALSE)</f>
        <v>8</v>
      </c>
      <c r="AA35">
        <f>VLOOKUP(Table5[[#This Row],[Shortname]], Comp[], 24, FALSE)</f>
        <v>0</v>
      </c>
      <c r="AB35">
        <f>VLOOKUP(Table5[[#This Row],[Shortname]], Comp[], 25, FALSE)</f>
        <v>0</v>
      </c>
      <c r="AC35">
        <f>VLOOKUP(Table5[[#This Row],[Shortname]], Comp[], 26, FALSE)</f>
        <v>0</v>
      </c>
      <c r="AD35">
        <f>VLOOKUP(Table5[[#This Row],[Shortname]], Comp[], 27, FALSE)</f>
        <v>0</v>
      </c>
      <c r="AE35">
        <f>VLOOKUP(Table5[[#This Row],[Shortname]], Comp[], 28, FALSE)</f>
        <v>0</v>
      </c>
      <c r="AF35">
        <f>VLOOKUP(Table5[[#This Row],[Shortname]], Comp[], 29, FALSE)</f>
        <v>0</v>
      </c>
      <c r="AG35">
        <f>VLOOKUP(Table5[[#This Row],[Shortname]], Comp[], 30, FALSE)</f>
        <v>0</v>
      </c>
      <c r="AH35">
        <f>VLOOKUP(Table5[[#This Row],[Shortname]], Comp[], 31, FALSE)</f>
        <v>0</v>
      </c>
    </row>
    <row r="36" spans="1:34" x14ac:dyDescent="0.3">
      <c r="A36" t="s">
        <v>302</v>
      </c>
      <c r="B36">
        <v>35</v>
      </c>
      <c r="C36" t="str">
        <f>VLOOKUP(Table5[[#This Row],[Shortname]], [1]!comp[#Data], 2, FALSE)</f>
        <v>CoAlW-X</v>
      </c>
      <c r="D36" t="s">
        <v>304</v>
      </c>
      <c r="E36" s="1" t="s">
        <v>6667</v>
      </c>
      <c r="F36">
        <v>877</v>
      </c>
      <c r="G36">
        <v>1427</v>
      </c>
      <c r="H36">
        <v>1450</v>
      </c>
      <c r="I36">
        <f>VLOOKUP(Table5[[#This Row],[Shortname]], Comp[], 6, FALSE)</f>
        <v>34</v>
      </c>
      <c r="J36" s="14">
        <f>VLOOKUP(Table5[[#This Row],[Shortname]], Comp[], 7, FALSE)</f>
        <v>66.099999999999994</v>
      </c>
      <c r="K36">
        <f>VLOOKUP(Table5[[#This Row],[Shortname]], Comp[], 8, FALSE)</f>
        <v>0</v>
      </c>
      <c r="L36">
        <f>VLOOKUP(Table5[[#This Row],[Shortname]], Comp[], 9, FALSE)</f>
        <v>8.6</v>
      </c>
      <c r="M36">
        <f>VLOOKUP(Table5[[#This Row],[Shortname]], Comp[], 10, FALSE)</f>
        <v>0</v>
      </c>
      <c r="N36">
        <f>VLOOKUP(Table5[[#This Row],[Shortname]], Comp[], 11, FALSE)</f>
        <v>8.6</v>
      </c>
      <c r="O36">
        <f>VLOOKUP(Table5[[#This Row],[Shortname]], Comp[],12, FALSE)</f>
        <v>0</v>
      </c>
      <c r="P36">
        <f>VLOOKUP(Table5[[#This Row],[Shortname]], Comp[], 13, FALSE)</f>
        <v>0</v>
      </c>
      <c r="Q36">
        <f>VLOOKUP(Table5[[#This Row],[Shortname]], Comp[], 14, FALSE)</f>
        <v>0</v>
      </c>
      <c r="R36">
        <f>VLOOKUP(Table5[[#This Row],[Shortname]], Comp[], 15, FALSE)</f>
        <v>0</v>
      </c>
      <c r="S36">
        <f>VLOOKUP(Table5[[#This Row],[Shortname]], Comp[], 16, FALSE)</f>
        <v>0</v>
      </c>
      <c r="T36">
        <f>VLOOKUP(Table5[[#This Row],[Shortname]], Comp[], 17, FALSE)</f>
        <v>0</v>
      </c>
      <c r="U36">
        <f>VLOOKUP(Table5[[#This Row],[Shortname]], Comp[], 18, FALSE)</f>
        <v>0</v>
      </c>
      <c r="V36">
        <f>VLOOKUP(Table5[[#This Row],[Shortname]], Comp[], 19, FALSE)</f>
        <v>0</v>
      </c>
      <c r="W36">
        <f>VLOOKUP(Table5[[#This Row],[Shortname]], Comp[], 20, FALSE)</f>
        <v>0</v>
      </c>
      <c r="X36">
        <f>VLOOKUP(Table5[[#This Row],[Shortname]], Comp[], 21, FALSE)</f>
        <v>0</v>
      </c>
      <c r="Y36">
        <f>VLOOKUP(Table5[[#This Row],[Shortname]], Comp[], 22, FALSE)</f>
        <v>0</v>
      </c>
      <c r="Z36">
        <f>VLOOKUP(Table5[[#This Row],[Shortname]], Comp[], 23, FALSE)</f>
        <v>16.7</v>
      </c>
      <c r="AA36">
        <f>VLOOKUP(Table5[[#This Row],[Shortname]], Comp[], 24, FALSE)</f>
        <v>0</v>
      </c>
      <c r="AB36">
        <f>VLOOKUP(Table5[[#This Row],[Shortname]], Comp[], 25, FALSE)</f>
        <v>0</v>
      </c>
      <c r="AC36">
        <f>VLOOKUP(Table5[[#This Row],[Shortname]], Comp[], 26, FALSE)</f>
        <v>0</v>
      </c>
      <c r="AD36">
        <f>VLOOKUP(Table5[[#This Row],[Shortname]], Comp[], 27, FALSE)</f>
        <v>0</v>
      </c>
      <c r="AE36">
        <f>VLOOKUP(Table5[[#This Row],[Shortname]], Comp[], 28, FALSE)</f>
        <v>0</v>
      </c>
      <c r="AF36">
        <f>VLOOKUP(Table5[[#This Row],[Shortname]], Comp[], 29, FALSE)</f>
        <v>0</v>
      </c>
      <c r="AG36">
        <f>VLOOKUP(Table5[[#This Row],[Shortname]], Comp[], 30, FALSE)</f>
        <v>0</v>
      </c>
      <c r="AH36">
        <f>VLOOKUP(Table5[[#This Row],[Shortname]], Comp[], 31, FALSE)</f>
        <v>0</v>
      </c>
    </row>
    <row r="37" spans="1:34" x14ac:dyDescent="0.3">
      <c r="A37" t="s">
        <v>152</v>
      </c>
      <c r="B37">
        <v>36</v>
      </c>
      <c r="C37" t="str">
        <f>VLOOKUP(Table5[[#This Row],[Shortname]], [1]!comp[#Data], 2, FALSE)</f>
        <v>CoAlW-X</v>
      </c>
      <c r="D37" t="s">
        <v>2354</v>
      </c>
      <c r="E37" s="2" t="s">
        <v>6668</v>
      </c>
      <c r="F37">
        <v>1101</v>
      </c>
      <c r="G37">
        <v>1414</v>
      </c>
      <c r="H37">
        <v>1439</v>
      </c>
      <c r="I37">
        <f>VLOOKUP(Table5[[#This Row],[Shortname]], Comp[], 6, FALSE)</f>
        <v>15</v>
      </c>
      <c r="J37" s="14">
        <f>VLOOKUP(Table5[[#This Row],[Shortname]], Comp[], 7, FALSE)</f>
        <v>81.5</v>
      </c>
      <c r="K37">
        <f>VLOOKUP(Table5[[#This Row],[Shortname]], Comp[], 8, FALSE)</f>
        <v>0</v>
      </c>
      <c r="L37">
        <f>VLOOKUP(Table5[[#This Row],[Shortname]], Comp[], 9, FALSE)</f>
        <v>8.1</v>
      </c>
      <c r="M37">
        <f>VLOOKUP(Table5[[#This Row],[Shortname]], Comp[], 10, FALSE)</f>
        <v>0</v>
      </c>
      <c r="N37">
        <f>VLOOKUP(Table5[[#This Row],[Shortname]], Comp[], 11, FALSE)</f>
        <v>8.4</v>
      </c>
      <c r="O37">
        <f>VLOOKUP(Table5[[#This Row],[Shortname]], Comp[],12, FALSE)</f>
        <v>0</v>
      </c>
      <c r="P37">
        <f>VLOOKUP(Table5[[#This Row],[Shortname]], Comp[], 13, FALSE)</f>
        <v>2</v>
      </c>
      <c r="Q37">
        <f>VLOOKUP(Table5[[#This Row],[Shortname]], Comp[], 14, FALSE)</f>
        <v>0</v>
      </c>
      <c r="R37">
        <f>VLOOKUP(Table5[[#This Row],[Shortname]], Comp[], 15, FALSE)</f>
        <v>0</v>
      </c>
      <c r="S37">
        <f>VLOOKUP(Table5[[#This Row],[Shortname]], Comp[], 16, FALSE)</f>
        <v>0</v>
      </c>
      <c r="T37">
        <f>VLOOKUP(Table5[[#This Row],[Shortname]], Comp[], 17, FALSE)</f>
        <v>0</v>
      </c>
      <c r="U37">
        <f>VLOOKUP(Table5[[#This Row],[Shortname]], Comp[], 18, FALSE)</f>
        <v>0</v>
      </c>
      <c r="V37">
        <f>VLOOKUP(Table5[[#This Row],[Shortname]], Comp[], 19, FALSE)</f>
        <v>0</v>
      </c>
      <c r="W37">
        <f>VLOOKUP(Table5[[#This Row],[Shortname]], Comp[], 20, FALSE)</f>
        <v>0</v>
      </c>
      <c r="X37">
        <f>VLOOKUP(Table5[[#This Row],[Shortname]], Comp[], 21, FALSE)</f>
        <v>0</v>
      </c>
      <c r="Y37">
        <f>VLOOKUP(Table5[[#This Row],[Shortname]], Comp[], 22, FALSE)</f>
        <v>0</v>
      </c>
      <c r="Z37">
        <f>VLOOKUP(Table5[[#This Row],[Shortname]], Comp[], 23, FALSE)</f>
        <v>0</v>
      </c>
      <c r="AA37">
        <f>VLOOKUP(Table5[[#This Row],[Shortname]], Comp[], 24, FALSE)</f>
        <v>0</v>
      </c>
      <c r="AB37">
        <f>VLOOKUP(Table5[[#This Row],[Shortname]], Comp[], 25, FALSE)</f>
        <v>0</v>
      </c>
      <c r="AC37">
        <f>VLOOKUP(Table5[[#This Row],[Shortname]], Comp[], 26, FALSE)</f>
        <v>0</v>
      </c>
      <c r="AD37">
        <f>VLOOKUP(Table5[[#This Row],[Shortname]], Comp[], 27, FALSE)</f>
        <v>0</v>
      </c>
      <c r="AE37">
        <f>VLOOKUP(Table5[[#This Row],[Shortname]], Comp[], 28, FALSE)</f>
        <v>0</v>
      </c>
      <c r="AF37">
        <f>VLOOKUP(Table5[[#This Row],[Shortname]], Comp[], 29, FALSE)</f>
        <v>0</v>
      </c>
      <c r="AG37">
        <f>VLOOKUP(Table5[[#This Row],[Shortname]], Comp[], 30, FALSE)</f>
        <v>0</v>
      </c>
      <c r="AH37">
        <f>VLOOKUP(Table5[[#This Row],[Shortname]], Comp[], 31, FALSE)</f>
        <v>0</v>
      </c>
    </row>
    <row r="38" spans="1:34" x14ac:dyDescent="0.3">
      <c r="A38" t="s">
        <v>5315</v>
      </c>
      <c r="B38">
        <v>37</v>
      </c>
      <c r="C38" t="str">
        <f>VLOOKUP(Table5[[#This Row],[Shortname]], [1]!comp[#Data], 2, FALSE)</f>
        <v>CoAlWX+</v>
      </c>
      <c r="D38" t="s">
        <v>5317</v>
      </c>
      <c r="E38" s="2" t="s">
        <v>6669</v>
      </c>
      <c r="F38">
        <v>1137</v>
      </c>
      <c r="G38">
        <v>1426</v>
      </c>
      <c r="H38">
        <v>1454</v>
      </c>
      <c r="I38">
        <f>VLOOKUP(Table5[[#This Row],[Shortname]], Comp[], 6, FALSE)</f>
        <v>21000</v>
      </c>
      <c r="J38" s="14">
        <f>VLOOKUP(Table5[[#This Row],[Shortname]], Comp[], 7, FALSE)</f>
        <v>78.599999999999994</v>
      </c>
      <c r="K38">
        <f>VLOOKUP(Table5[[#This Row],[Shortname]], Comp[], 8, FALSE)</f>
        <v>0</v>
      </c>
      <c r="L38">
        <f>VLOOKUP(Table5[[#This Row],[Shortname]], Comp[], 9, FALSE)</f>
        <v>8.1</v>
      </c>
      <c r="M38">
        <f>VLOOKUP(Table5[[#This Row],[Shortname]], Comp[], 10, FALSE)</f>
        <v>0</v>
      </c>
      <c r="N38">
        <f>VLOOKUP(Table5[[#This Row],[Shortname]], Comp[], 11, FALSE)</f>
        <v>9.1</v>
      </c>
      <c r="O38">
        <f>VLOOKUP(Table5[[#This Row],[Shortname]], Comp[],12, FALSE)</f>
        <v>0</v>
      </c>
      <c r="P38">
        <f>VLOOKUP(Table5[[#This Row],[Shortname]], Comp[], 13, FALSE)</f>
        <v>1.7</v>
      </c>
      <c r="Q38">
        <f>VLOOKUP(Table5[[#This Row],[Shortname]], Comp[], 14, FALSE)</f>
        <v>0</v>
      </c>
      <c r="R38">
        <f>VLOOKUP(Table5[[#This Row],[Shortname]], Comp[], 15, FALSE)</f>
        <v>0</v>
      </c>
      <c r="S38">
        <f>VLOOKUP(Table5[[#This Row],[Shortname]], Comp[], 16, FALSE)</f>
        <v>0</v>
      </c>
      <c r="T38">
        <f>VLOOKUP(Table5[[#This Row],[Shortname]], Comp[], 17, FALSE)</f>
        <v>0</v>
      </c>
      <c r="U38">
        <f>VLOOKUP(Table5[[#This Row],[Shortname]], Comp[], 18, FALSE)</f>
        <v>0</v>
      </c>
      <c r="V38">
        <f>VLOOKUP(Table5[[#This Row],[Shortname]], Comp[], 19, FALSE)</f>
        <v>0</v>
      </c>
      <c r="W38">
        <f>VLOOKUP(Table5[[#This Row],[Shortname]], Comp[], 20, FALSE)</f>
        <v>2.5</v>
      </c>
      <c r="X38">
        <f>VLOOKUP(Table5[[#This Row],[Shortname]], Comp[], 21, FALSE)</f>
        <v>0</v>
      </c>
      <c r="Y38">
        <f>VLOOKUP(Table5[[#This Row],[Shortname]], Comp[], 22, FALSE)</f>
        <v>0</v>
      </c>
      <c r="Z38">
        <f>VLOOKUP(Table5[[#This Row],[Shortname]], Comp[], 23, FALSE)</f>
        <v>0</v>
      </c>
      <c r="AA38">
        <f>VLOOKUP(Table5[[#This Row],[Shortname]], Comp[], 24, FALSE)</f>
        <v>0</v>
      </c>
      <c r="AB38">
        <f>VLOOKUP(Table5[[#This Row],[Shortname]], Comp[], 25, FALSE)</f>
        <v>0</v>
      </c>
      <c r="AC38">
        <f>VLOOKUP(Table5[[#This Row],[Shortname]], Comp[], 26, FALSE)</f>
        <v>0</v>
      </c>
      <c r="AD38">
        <f>VLOOKUP(Table5[[#This Row],[Shortname]], Comp[], 27, FALSE)</f>
        <v>0</v>
      </c>
      <c r="AE38">
        <f>VLOOKUP(Table5[[#This Row],[Shortname]], Comp[], 28, FALSE)</f>
        <v>0</v>
      </c>
      <c r="AF38">
        <f>VLOOKUP(Table5[[#This Row],[Shortname]], Comp[], 29, FALSE)</f>
        <v>0</v>
      </c>
      <c r="AG38">
        <f>VLOOKUP(Table5[[#This Row],[Shortname]], Comp[], 30, FALSE)</f>
        <v>0</v>
      </c>
      <c r="AH38">
        <f>VLOOKUP(Table5[[#This Row],[Shortname]], Comp[], 31, FALSE)</f>
        <v>0</v>
      </c>
    </row>
    <row r="39" spans="1:34" x14ac:dyDescent="0.3">
      <c r="A39" t="s">
        <v>219</v>
      </c>
      <c r="B39">
        <v>38</v>
      </c>
      <c r="C39" t="str">
        <f>VLOOKUP(Table5[[#This Row],[Shortname]], [1]!comp[#Data], 2, FALSE)</f>
        <v>CoAlWX+</v>
      </c>
      <c r="D39" t="s">
        <v>5335</v>
      </c>
      <c r="E39" s="2" t="s">
        <v>6670</v>
      </c>
      <c r="F39">
        <v>1060</v>
      </c>
      <c r="G39">
        <v>1418</v>
      </c>
      <c r="H39">
        <v>1452</v>
      </c>
      <c r="I39">
        <f>VLOOKUP(Table5[[#This Row],[Shortname]], Comp[], 6, FALSE)</f>
        <v>23</v>
      </c>
      <c r="J39" s="14">
        <f>VLOOKUP(Table5[[#This Row],[Shortname]], Comp[], 7, FALSE)</f>
        <v>83.6</v>
      </c>
      <c r="K39">
        <f>VLOOKUP(Table5[[#This Row],[Shortname]], Comp[], 8, FALSE)</f>
        <v>0</v>
      </c>
      <c r="L39">
        <f>VLOOKUP(Table5[[#This Row],[Shortname]], Comp[], 9, FALSE)</f>
        <v>8.6999999999999993</v>
      </c>
      <c r="M39">
        <f>VLOOKUP(Table5[[#This Row],[Shortname]], Comp[], 10, FALSE)</f>
        <v>0</v>
      </c>
      <c r="N39">
        <f>VLOOKUP(Table5[[#This Row],[Shortname]], Comp[], 11, FALSE)</f>
        <v>5.5</v>
      </c>
      <c r="O39">
        <f>VLOOKUP(Table5[[#This Row],[Shortname]], Comp[],12, FALSE)</f>
        <v>0</v>
      </c>
      <c r="P39">
        <f>VLOOKUP(Table5[[#This Row],[Shortname]], Comp[], 13, FALSE)</f>
        <v>1.3</v>
      </c>
      <c r="Q39">
        <f>VLOOKUP(Table5[[#This Row],[Shortname]], Comp[], 14, FALSE)</f>
        <v>0</v>
      </c>
      <c r="R39">
        <f>VLOOKUP(Table5[[#This Row],[Shortname]], Comp[], 15, FALSE)</f>
        <v>0</v>
      </c>
      <c r="S39">
        <f>VLOOKUP(Table5[[#This Row],[Shortname]], Comp[], 16, FALSE)</f>
        <v>0</v>
      </c>
      <c r="T39">
        <f>VLOOKUP(Table5[[#This Row],[Shortname]], Comp[], 17, FALSE)</f>
        <v>0</v>
      </c>
      <c r="U39">
        <f>VLOOKUP(Table5[[#This Row],[Shortname]], Comp[], 18, FALSE)</f>
        <v>0</v>
      </c>
      <c r="V39">
        <f>VLOOKUP(Table5[[#This Row],[Shortname]], Comp[], 19, FALSE)</f>
        <v>0</v>
      </c>
      <c r="W39">
        <f>VLOOKUP(Table5[[#This Row],[Shortname]], Comp[], 20, FALSE)</f>
        <v>0.9</v>
      </c>
      <c r="X39">
        <f>VLOOKUP(Table5[[#This Row],[Shortname]], Comp[], 21, FALSE)</f>
        <v>0</v>
      </c>
      <c r="Y39">
        <f>VLOOKUP(Table5[[#This Row],[Shortname]], Comp[], 22, FALSE)</f>
        <v>0</v>
      </c>
      <c r="Z39">
        <f>VLOOKUP(Table5[[#This Row],[Shortname]], Comp[], 23, FALSE)</f>
        <v>0</v>
      </c>
      <c r="AA39">
        <f>VLOOKUP(Table5[[#This Row],[Shortname]], Comp[], 24, FALSE)</f>
        <v>0</v>
      </c>
      <c r="AB39">
        <f>VLOOKUP(Table5[[#This Row],[Shortname]], Comp[], 25, FALSE)</f>
        <v>0</v>
      </c>
      <c r="AC39">
        <f>VLOOKUP(Table5[[#This Row],[Shortname]], Comp[], 26, FALSE)</f>
        <v>0</v>
      </c>
      <c r="AD39">
        <f>VLOOKUP(Table5[[#This Row],[Shortname]], Comp[], 27, FALSE)</f>
        <v>0</v>
      </c>
      <c r="AE39">
        <f>VLOOKUP(Table5[[#This Row],[Shortname]], Comp[], 28, FALSE)</f>
        <v>0</v>
      </c>
      <c r="AF39">
        <f>VLOOKUP(Table5[[#This Row],[Shortname]], Comp[], 29, FALSE)</f>
        <v>0</v>
      </c>
      <c r="AG39">
        <f>VLOOKUP(Table5[[#This Row],[Shortname]], Comp[], 30, FALSE)</f>
        <v>0</v>
      </c>
      <c r="AH39">
        <f>VLOOKUP(Table5[[#This Row],[Shortname]], Comp[], 31, FALSE)</f>
        <v>0</v>
      </c>
    </row>
    <row r="40" spans="1:34" x14ac:dyDescent="0.3">
      <c r="A40" t="s">
        <v>322</v>
      </c>
      <c r="B40">
        <v>39</v>
      </c>
      <c r="C40" t="str">
        <f>VLOOKUP(Table5[[#This Row],[Shortname]], [1]!comp[#Data], 2, FALSE)</f>
        <v>CoAlW-X</v>
      </c>
      <c r="D40" t="s">
        <v>324</v>
      </c>
      <c r="E40" s="2" t="s">
        <v>6671</v>
      </c>
      <c r="F40">
        <v>1097</v>
      </c>
      <c r="G40">
        <v>1410</v>
      </c>
      <c r="H40">
        <v>1434</v>
      </c>
      <c r="I40">
        <f>VLOOKUP(Table5[[#This Row],[Shortname]], Comp[], 6, FALSE)</f>
        <v>39</v>
      </c>
      <c r="J40" s="14">
        <f>VLOOKUP(Table5[[#This Row],[Shortname]], Comp[], 7, FALSE)</f>
        <v>79.679999999999993</v>
      </c>
      <c r="K40">
        <f>VLOOKUP(Table5[[#This Row],[Shortname]], Comp[], 8, FALSE)</f>
        <v>0</v>
      </c>
      <c r="L40">
        <f>VLOOKUP(Table5[[#This Row],[Shortname]], Comp[], 9, FALSE)</f>
        <v>8.9</v>
      </c>
      <c r="M40">
        <f>VLOOKUP(Table5[[#This Row],[Shortname]], Comp[], 10, FALSE)</f>
        <v>0</v>
      </c>
      <c r="N40">
        <f>VLOOKUP(Table5[[#This Row],[Shortname]], Comp[], 11, FALSE)</f>
        <v>9.3000000000000007</v>
      </c>
      <c r="O40">
        <f>VLOOKUP(Table5[[#This Row],[Shortname]], Comp[],12, FALSE)</f>
        <v>0</v>
      </c>
      <c r="P40">
        <f>VLOOKUP(Table5[[#This Row],[Shortname]], Comp[], 13, FALSE)</f>
        <v>2</v>
      </c>
      <c r="Q40">
        <f>VLOOKUP(Table5[[#This Row],[Shortname]], Comp[], 14, FALSE)</f>
        <v>0</v>
      </c>
      <c r="R40">
        <f>VLOOKUP(Table5[[#This Row],[Shortname]], Comp[], 15, FALSE)</f>
        <v>0</v>
      </c>
      <c r="S40">
        <f>VLOOKUP(Table5[[#This Row],[Shortname]], Comp[], 16, FALSE)</f>
        <v>0</v>
      </c>
      <c r="T40">
        <f>VLOOKUP(Table5[[#This Row],[Shortname]], Comp[], 17, FALSE)</f>
        <v>0</v>
      </c>
      <c r="U40">
        <f>VLOOKUP(Table5[[#This Row],[Shortname]], Comp[], 18, FALSE)</f>
        <v>0</v>
      </c>
      <c r="V40">
        <f>VLOOKUP(Table5[[#This Row],[Shortname]], Comp[], 19, FALSE)</f>
        <v>0.12</v>
      </c>
      <c r="W40">
        <f>VLOOKUP(Table5[[#This Row],[Shortname]], Comp[], 20, FALSE)</f>
        <v>0</v>
      </c>
      <c r="X40">
        <f>VLOOKUP(Table5[[#This Row],[Shortname]], Comp[], 21, FALSE)</f>
        <v>0</v>
      </c>
      <c r="Y40">
        <f>VLOOKUP(Table5[[#This Row],[Shortname]], Comp[], 22, FALSE)</f>
        <v>0</v>
      </c>
      <c r="Z40">
        <f>VLOOKUP(Table5[[#This Row],[Shortname]], Comp[], 23, FALSE)</f>
        <v>0</v>
      </c>
      <c r="AA40">
        <f>VLOOKUP(Table5[[#This Row],[Shortname]], Comp[], 24, FALSE)</f>
        <v>0</v>
      </c>
      <c r="AB40">
        <f>VLOOKUP(Table5[[#This Row],[Shortname]], Comp[], 25, FALSE)</f>
        <v>0</v>
      </c>
      <c r="AC40">
        <f>VLOOKUP(Table5[[#This Row],[Shortname]], Comp[], 26, FALSE)</f>
        <v>0</v>
      </c>
      <c r="AD40">
        <f>VLOOKUP(Table5[[#This Row],[Shortname]], Comp[], 27, FALSE)</f>
        <v>0</v>
      </c>
      <c r="AE40">
        <f>VLOOKUP(Table5[[#This Row],[Shortname]], Comp[], 28, FALSE)</f>
        <v>0</v>
      </c>
      <c r="AF40">
        <f>VLOOKUP(Table5[[#This Row],[Shortname]], Comp[], 29, FALSE)</f>
        <v>0</v>
      </c>
      <c r="AG40">
        <f>VLOOKUP(Table5[[#This Row],[Shortname]], Comp[], 30, FALSE)</f>
        <v>0</v>
      </c>
      <c r="AH40">
        <f>VLOOKUP(Table5[[#This Row],[Shortname]], Comp[], 31, FALSE)</f>
        <v>0</v>
      </c>
    </row>
    <row r="41" spans="1:34" x14ac:dyDescent="0.3">
      <c r="A41" t="s">
        <v>94</v>
      </c>
      <c r="B41">
        <v>40</v>
      </c>
      <c r="C41" t="str">
        <f>VLOOKUP(Table5[[#This Row],[Shortname]], [1]!comp[#Data], 2, FALSE)</f>
        <v>CoAlW-X</v>
      </c>
      <c r="D41" t="s">
        <v>97</v>
      </c>
      <c r="E41" s="15" t="s">
        <v>6672</v>
      </c>
      <c r="F41">
        <v>963</v>
      </c>
      <c r="G41">
        <v>1445</v>
      </c>
      <c r="H41">
        <v>1469</v>
      </c>
      <c r="I41">
        <f>VLOOKUP(Table5[[#This Row],[Shortname]], Comp[], 6, FALSE)</f>
        <v>9</v>
      </c>
      <c r="J41" s="14">
        <f>VLOOKUP(Table5[[#This Row],[Shortname]], Comp[], 7, FALSE)</f>
        <v>83.5</v>
      </c>
      <c r="K41">
        <f>VLOOKUP(Table5[[#This Row],[Shortname]], Comp[], 8, FALSE)</f>
        <v>0</v>
      </c>
      <c r="L41">
        <f>VLOOKUP(Table5[[#This Row],[Shortname]], Comp[], 9, FALSE)</f>
        <v>8.1</v>
      </c>
      <c r="M41">
        <f>VLOOKUP(Table5[[#This Row],[Shortname]], Comp[], 10, FALSE)</f>
        <v>0</v>
      </c>
      <c r="N41">
        <f>VLOOKUP(Table5[[#This Row],[Shortname]], Comp[], 11, FALSE)</f>
        <v>8.4</v>
      </c>
      <c r="O41">
        <f>VLOOKUP(Table5[[#This Row],[Shortname]], Comp[],12, FALSE)</f>
        <v>0</v>
      </c>
      <c r="P41">
        <f>VLOOKUP(Table5[[#This Row],[Shortname]], Comp[], 13, FALSE)</f>
        <v>0</v>
      </c>
      <c r="Q41">
        <f>VLOOKUP(Table5[[#This Row],[Shortname]], Comp[], 14, FALSE)</f>
        <v>0</v>
      </c>
      <c r="R41">
        <f>VLOOKUP(Table5[[#This Row],[Shortname]], Comp[], 15, FALSE)</f>
        <v>0</v>
      </c>
      <c r="S41">
        <f>VLOOKUP(Table5[[#This Row],[Shortname]], Comp[], 16, FALSE)</f>
        <v>0</v>
      </c>
      <c r="T41">
        <f>VLOOKUP(Table5[[#This Row],[Shortname]], Comp[], 17, FALSE)</f>
        <v>0</v>
      </c>
      <c r="U41">
        <f>VLOOKUP(Table5[[#This Row],[Shortname]], Comp[], 18, FALSE)</f>
        <v>0</v>
      </c>
      <c r="V41">
        <f>VLOOKUP(Table5[[#This Row],[Shortname]], Comp[], 19, FALSE)</f>
        <v>0</v>
      </c>
      <c r="W41">
        <f>VLOOKUP(Table5[[#This Row],[Shortname]], Comp[], 20, FALSE)</f>
        <v>0</v>
      </c>
      <c r="X41">
        <f>VLOOKUP(Table5[[#This Row],[Shortname]], Comp[], 21, FALSE)</f>
        <v>0</v>
      </c>
      <c r="Y41">
        <f>VLOOKUP(Table5[[#This Row],[Shortname]], Comp[], 22, FALSE)</f>
        <v>0</v>
      </c>
      <c r="Z41">
        <f>VLOOKUP(Table5[[#This Row],[Shortname]], Comp[], 23, FALSE)</f>
        <v>0</v>
      </c>
      <c r="AA41">
        <f>VLOOKUP(Table5[[#This Row],[Shortname]], Comp[], 24, FALSE)</f>
        <v>0</v>
      </c>
      <c r="AB41">
        <f>VLOOKUP(Table5[[#This Row],[Shortname]], Comp[], 25, FALSE)</f>
        <v>0</v>
      </c>
      <c r="AC41">
        <f>VLOOKUP(Table5[[#This Row],[Shortname]], Comp[], 26, FALSE)</f>
        <v>0</v>
      </c>
      <c r="AD41">
        <f>VLOOKUP(Table5[[#This Row],[Shortname]], Comp[], 27, FALSE)</f>
        <v>0</v>
      </c>
      <c r="AE41">
        <f>VLOOKUP(Table5[[#This Row],[Shortname]], Comp[], 28, FALSE)</f>
        <v>0</v>
      </c>
      <c r="AF41">
        <f>VLOOKUP(Table5[[#This Row],[Shortname]], Comp[], 29, FALSE)</f>
        <v>0</v>
      </c>
      <c r="AG41">
        <f>VLOOKUP(Table5[[#This Row],[Shortname]], Comp[], 30, FALSE)</f>
        <v>0</v>
      </c>
      <c r="AH41">
        <f>VLOOKUP(Table5[[#This Row],[Shortname]], Comp[], 31, FALSE)</f>
        <v>0</v>
      </c>
    </row>
    <row r="42" spans="1:34" x14ac:dyDescent="0.3">
      <c r="A42" t="s">
        <v>331</v>
      </c>
      <c r="B42">
        <v>41</v>
      </c>
      <c r="C42" t="str">
        <f>VLOOKUP(Table5[[#This Row],[Shortname]], [1]!comp[#Data], 2, FALSE)</f>
        <v>CoAlW-X</v>
      </c>
      <c r="D42" t="s">
        <v>333</v>
      </c>
      <c r="E42" s="15" t="s">
        <v>6673</v>
      </c>
      <c r="F42">
        <v>985</v>
      </c>
      <c r="G42">
        <v>1441</v>
      </c>
      <c r="H42">
        <v>1466</v>
      </c>
      <c r="I42">
        <f>VLOOKUP(Table5[[#This Row],[Shortname]], Comp[], 6, FALSE)</f>
        <v>41</v>
      </c>
      <c r="J42" s="14">
        <f>VLOOKUP(Table5[[#This Row],[Shortname]], Comp[], 7, FALSE)</f>
        <v>81.900000000000006</v>
      </c>
      <c r="K42">
        <f>VLOOKUP(Table5[[#This Row],[Shortname]], Comp[], 8, FALSE)</f>
        <v>0</v>
      </c>
      <c r="L42">
        <f>VLOOKUP(Table5[[#This Row],[Shortname]], Comp[], 9, FALSE)</f>
        <v>8.5</v>
      </c>
      <c r="M42">
        <f>VLOOKUP(Table5[[#This Row],[Shortname]], Comp[], 10, FALSE)</f>
        <v>0</v>
      </c>
      <c r="N42">
        <f>VLOOKUP(Table5[[#This Row],[Shortname]], Comp[], 11, FALSE)</f>
        <v>9.6</v>
      </c>
      <c r="O42">
        <f>VLOOKUP(Table5[[#This Row],[Shortname]], Comp[],12, FALSE)</f>
        <v>0</v>
      </c>
      <c r="P42">
        <f>VLOOKUP(Table5[[#This Row],[Shortname]], Comp[], 13, FALSE)</f>
        <v>0</v>
      </c>
      <c r="Q42">
        <f>VLOOKUP(Table5[[#This Row],[Shortname]], Comp[], 14, FALSE)</f>
        <v>0</v>
      </c>
      <c r="R42">
        <f>VLOOKUP(Table5[[#This Row],[Shortname]], Comp[], 15, FALSE)</f>
        <v>0</v>
      </c>
      <c r="S42">
        <f>VLOOKUP(Table5[[#This Row],[Shortname]], Comp[], 16, FALSE)</f>
        <v>0</v>
      </c>
      <c r="T42">
        <f>VLOOKUP(Table5[[#This Row],[Shortname]], Comp[], 17, FALSE)</f>
        <v>0</v>
      </c>
      <c r="U42">
        <f>VLOOKUP(Table5[[#This Row],[Shortname]], Comp[], 18, FALSE)</f>
        <v>0</v>
      </c>
      <c r="V42">
        <f>VLOOKUP(Table5[[#This Row],[Shortname]], Comp[], 19, FALSE)</f>
        <v>0</v>
      </c>
      <c r="W42">
        <f>VLOOKUP(Table5[[#This Row],[Shortname]], Comp[], 20, FALSE)</f>
        <v>0</v>
      </c>
      <c r="X42">
        <f>VLOOKUP(Table5[[#This Row],[Shortname]], Comp[], 21, FALSE)</f>
        <v>0</v>
      </c>
      <c r="Y42">
        <f>VLOOKUP(Table5[[#This Row],[Shortname]], Comp[], 22, FALSE)</f>
        <v>0</v>
      </c>
      <c r="Z42">
        <f>VLOOKUP(Table5[[#This Row],[Shortname]], Comp[], 23, FALSE)</f>
        <v>0</v>
      </c>
      <c r="AA42">
        <f>VLOOKUP(Table5[[#This Row],[Shortname]], Comp[], 24, FALSE)</f>
        <v>0</v>
      </c>
      <c r="AB42">
        <f>VLOOKUP(Table5[[#This Row],[Shortname]], Comp[], 25, FALSE)</f>
        <v>0</v>
      </c>
      <c r="AC42">
        <f>VLOOKUP(Table5[[#This Row],[Shortname]], Comp[], 26, FALSE)</f>
        <v>0</v>
      </c>
      <c r="AD42">
        <f>VLOOKUP(Table5[[#This Row],[Shortname]], Comp[], 27, FALSE)</f>
        <v>0</v>
      </c>
      <c r="AE42">
        <f>VLOOKUP(Table5[[#This Row],[Shortname]], Comp[], 28, FALSE)</f>
        <v>0</v>
      </c>
      <c r="AF42">
        <f>VLOOKUP(Table5[[#This Row],[Shortname]], Comp[], 29, FALSE)</f>
        <v>0</v>
      </c>
      <c r="AG42">
        <f>VLOOKUP(Table5[[#This Row],[Shortname]], Comp[], 30, FALSE)</f>
        <v>0</v>
      </c>
      <c r="AH42">
        <f>VLOOKUP(Table5[[#This Row],[Shortname]], Comp[], 31, FALSE)</f>
        <v>0</v>
      </c>
    </row>
    <row r="43" spans="1:34" x14ac:dyDescent="0.3">
      <c r="A43" t="s">
        <v>339</v>
      </c>
      <c r="B43">
        <v>42</v>
      </c>
      <c r="C43" t="str">
        <f>VLOOKUP(Table5[[#This Row],[Shortname]], [1]!comp[#Data], 2, FALSE)</f>
        <v>CoAlW-X</v>
      </c>
      <c r="D43" t="s">
        <v>341</v>
      </c>
      <c r="E43" s="15" t="s">
        <v>6674</v>
      </c>
      <c r="F43">
        <v>986</v>
      </c>
      <c r="G43">
        <v>1440</v>
      </c>
      <c r="H43">
        <v>1467</v>
      </c>
      <c r="I43">
        <f>VLOOKUP(Table5[[#This Row],[Shortname]], Comp[], 6, FALSE)</f>
        <v>42</v>
      </c>
      <c r="J43" s="14">
        <f>VLOOKUP(Table5[[#This Row],[Shortname]], Comp[], 7, FALSE)</f>
        <v>81.86</v>
      </c>
      <c r="K43">
        <f>VLOOKUP(Table5[[#This Row],[Shortname]], Comp[], 8, FALSE)</f>
        <v>0</v>
      </c>
      <c r="L43">
        <f>VLOOKUP(Table5[[#This Row],[Shortname]], Comp[], 9, FALSE)</f>
        <v>8.4</v>
      </c>
      <c r="M43">
        <f>VLOOKUP(Table5[[#This Row],[Shortname]], Comp[], 10, FALSE)</f>
        <v>0</v>
      </c>
      <c r="N43">
        <f>VLOOKUP(Table5[[#This Row],[Shortname]], Comp[], 11, FALSE)</f>
        <v>9.6999999999999993</v>
      </c>
      <c r="O43">
        <f>VLOOKUP(Table5[[#This Row],[Shortname]], Comp[],12, FALSE)</f>
        <v>0</v>
      </c>
      <c r="P43">
        <f>VLOOKUP(Table5[[#This Row],[Shortname]], Comp[], 13, FALSE)</f>
        <v>0</v>
      </c>
      <c r="Q43">
        <f>VLOOKUP(Table5[[#This Row],[Shortname]], Comp[], 14, FALSE)</f>
        <v>0</v>
      </c>
      <c r="R43">
        <f>VLOOKUP(Table5[[#This Row],[Shortname]], Comp[], 15, FALSE)</f>
        <v>0</v>
      </c>
      <c r="S43">
        <f>VLOOKUP(Table5[[#This Row],[Shortname]], Comp[], 16, FALSE)</f>
        <v>0</v>
      </c>
      <c r="T43">
        <f>VLOOKUP(Table5[[#This Row],[Shortname]], Comp[], 17, FALSE)</f>
        <v>0</v>
      </c>
      <c r="U43">
        <f>VLOOKUP(Table5[[#This Row],[Shortname]], Comp[], 18, FALSE)</f>
        <v>0</v>
      </c>
      <c r="V43">
        <f>VLOOKUP(Table5[[#This Row],[Shortname]], Comp[], 19, FALSE)</f>
        <v>0.04</v>
      </c>
      <c r="W43">
        <f>VLOOKUP(Table5[[#This Row],[Shortname]], Comp[], 20, FALSE)</f>
        <v>0</v>
      </c>
      <c r="X43">
        <f>VLOOKUP(Table5[[#This Row],[Shortname]], Comp[], 21, FALSE)</f>
        <v>0</v>
      </c>
      <c r="Y43">
        <f>VLOOKUP(Table5[[#This Row],[Shortname]], Comp[], 22, FALSE)</f>
        <v>0</v>
      </c>
      <c r="Z43">
        <f>VLOOKUP(Table5[[#This Row],[Shortname]], Comp[], 23, FALSE)</f>
        <v>0</v>
      </c>
      <c r="AA43">
        <f>VLOOKUP(Table5[[#This Row],[Shortname]], Comp[], 24, FALSE)</f>
        <v>0</v>
      </c>
      <c r="AB43">
        <f>VLOOKUP(Table5[[#This Row],[Shortname]], Comp[], 25, FALSE)</f>
        <v>0</v>
      </c>
      <c r="AC43">
        <f>VLOOKUP(Table5[[#This Row],[Shortname]], Comp[], 26, FALSE)</f>
        <v>0</v>
      </c>
      <c r="AD43">
        <f>VLOOKUP(Table5[[#This Row],[Shortname]], Comp[], 27, FALSE)</f>
        <v>0</v>
      </c>
      <c r="AE43">
        <f>VLOOKUP(Table5[[#This Row],[Shortname]], Comp[], 28, FALSE)</f>
        <v>0</v>
      </c>
      <c r="AF43">
        <f>VLOOKUP(Table5[[#This Row],[Shortname]], Comp[], 29, FALSE)</f>
        <v>0</v>
      </c>
      <c r="AG43">
        <f>VLOOKUP(Table5[[#This Row],[Shortname]], Comp[], 30, FALSE)</f>
        <v>0</v>
      </c>
      <c r="AH43">
        <f>VLOOKUP(Table5[[#This Row],[Shortname]], Comp[], 31, FALSE)</f>
        <v>0</v>
      </c>
    </row>
    <row r="44" spans="1:34" x14ac:dyDescent="0.3">
      <c r="A44" t="s">
        <v>348</v>
      </c>
      <c r="B44">
        <v>43</v>
      </c>
      <c r="C44" t="str">
        <f>VLOOKUP(Table5[[#This Row],[Shortname]], [1]!comp[#Data], 2, FALSE)</f>
        <v>CoAlW-X</v>
      </c>
      <c r="D44" t="s">
        <v>350</v>
      </c>
      <c r="E44" s="15" t="s">
        <v>6675</v>
      </c>
      <c r="F44">
        <v>984</v>
      </c>
      <c r="G44">
        <v>1439</v>
      </c>
      <c r="H44">
        <v>1465</v>
      </c>
      <c r="I44">
        <f>VLOOKUP(Table5[[#This Row],[Shortname]], Comp[], 6, FALSE)</f>
        <v>43</v>
      </c>
      <c r="J44" s="14">
        <f>VLOOKUP(Table5[[#This Row],[Shortname]], Comp[], 7, FALSE)</f>
        <v>81.52000000000001</v>
      </c>
      <c r="K44">
        <f>VLOOKUP(Table5[[#This Row],[Shortname]], Comp[], 8, FALSE)</f>
        <v>0</v>
      </c>
      <c r="L44">
        <f>VLOOKUP(Table5[[#This Row],[Shortname]], Comp[], 9, FALSE)</f>
        <v>8.9</v>
      </c>
      <c r="M44">
        <f>VLOOKUP(Table5[[#This Row],[Shortname]], Comp[], 10, FALSE)</f>
        <v>0</v>
      </c>
      <c r="N44">
        <f>VLOOKUP(Table5[[#This Row],[Shortname]], Comp[], 11, FALSE)</f>
        <v>9.5</v>
      </c>
      <c r="O44">
        <f>VLOOKUP(Table5[[#This Row],[Shortname]], Comp[],12, FALSE)</f>
        <v>0</v>
      </c>
      <c r="P44">
        <f>VLOOKUP(Table5[[#This Row],[Shortname]], Comp[], 13, FALSE)</f>
        <v>0</v>
      </c>
      <c r="Q44">
        <f>VLOOKUP(Table5[[#This Row],[Shortname]], Comp[], 14, FALSE)</f>
        <v>0</v>
      </c>
      <c r="R44">
        <f>VLOOKUP(Table5[[#This Row],[Shortname]], Comp[], 15, FALSE)</f>
        <v>0</v>
      </c>
      <c r="S44">
        <f>VLOOKUP(Table5[[#This Row],[Shortname]], Comp[], 16, FALSE)</f>
        <v>0</v>
      </c>
      <c r="T44">
        <f>VLOOKUP(Table5[[#This Row],[Shortname]], Comp[], 17, FALSE)</f>
        <v>0</v>
      </c>
      <c r="U44">
        <f>VLOOKUP(Table5[[#This Row],[Shortname]], Comp[], 18, FALSE)</f>
        <v>0</v>
      </c>
      <c r="V44">
        <f>VLOOKUP(Table5[[#This Row],[Shortname]], Comp[], 19, FALSE)</f>
        <v>0.08</v>
      </c>
      <c r="W44">
        <f>VLOOKUP(Table5[[#This Row],[Shortname]], Comp[], 20, FALSE)</f>
        <v>0</v>
      </c>
      <c r="X44">
        <f>VLOOKUP(Table5[[#This Row],[Shortname]], Comp[], 21, FALSE)</f>
        <v>0</v>
      </c>
      <c r="Y44">
        <f>VLOOKUP(Table5[[#This Row],[Shortname]], Comp[], 22, FALSE)</f>
        <v>0</v>
      </c>
      <c r="Z44">
        <f>VLOOKUP(Table5[[#This Row],[Shortname]], Comp[], 23, FALSE)</f>
        <v>0</v>
      </c>
      <c r="AA44">
        <f>VLOOKUP(Table5[[#This Row],[Shortname]], Comp[], 24, FALSE)</f>
        <v>0</v>
      </c>
      <c r="AB44">
        <f>VLOOKUP(Table5[[#This Row],[Shortname]], Comp[], 25, FALSE)</f>
        <v>0</v>
      </c>
      <c r="AC44">
        <f>VLOOKUP(Table5[[#This Row],[Shortname]], Comp[], 26, FALSE)</f>
        <v>0</v>
      </c>
      <c r="AD44">
        <f>VLOOKUP(Table5[[#This Row],[Shortname]], Comp[], 27, FALSE)</f>
        <v>0</v>
      </c>
      <c r="AE44">
        <f>VLOOKUP(Table5[[#This Row],[Shortname]], Comp[], 28, FALSE)</f>
        <v>0</v>
      </c>
      <c r="AF44">
        <f>VLOOKUP(Table5[[#This Row],[Shortname]], Comp[], 29, FALSE)</f>
        <v>0</v>
      </c>
      <c r="AG44">
        <f>VLOOKUP(Table5[[#This Row],[Shortname]], Comp[], 30, FALSE)</f>
        <v>0</v>
      </c>
      <c r="AH44">
        <f>VLOOKUP(Table5[[#This Row],[Shortname]], Comp[], 31, FALSE)</f>
        <v>0</v>
      </c>
    </row>
    <row r="45" spans="1:34" x14ac:dyDescent="0.3">
      <c r="A45" t="s">
        <v>356</v>
      </c>
      <c r="B45">
        <v>44</v>
      </c>
      <c r="C45" t="str">
        <f>VLOOKUP(Table5[[#This Row],[Shortname]], [1]!comp[#Data], 2, FALSE)</f>
        <v>CoAlW-X</v>
      </c>
      <c r="D45" t="s">
        <v>358</v>
      </c>
      <c r="E45" s="15" t="s">
        <v>6676</v>
      </c>
      <c r="F45">
        <v>982</v>
      </c>
      <c r="G45">
        <v>1444</v>
      </c>
      <c r="H45">
        <v>1469</v>
      </c>
      <c r="I45">
        <f>VLOOKUP(Table5[[#This Row],[Shortname]], Comp[], 6, FALSE)</f>
        <v>44</v>
      </c>
      <c r="J45" s="14">
        <f>VLOOKUP(Table5[[#This Row],[Shortname]], Comp[], 7, FALSE)</f>
        <v>82.179999999999993</v>
      </c>
      <c r="K45">
        <f>VLOOKUP(Table5[[#This Row],[Shortname]], Comp[], 8, FALSE)</f>
        <v>0</v>
      </c>
      <c r="L45">
        <f>VLOOKUP(Table5[[#This Row],[Shortname]], Comp[], 9, FALSE)</f>
        <v>8.3000000000000007</v>
      </c>
      <c r="M45">
        <f>VLOOKUP(Table5[[#This Row],[Shortname]], Comp[], 10, FALSE)</f>
        <v>0</v>
      </c>
      <c r="N45">
        <f>VLOOKUP(Table5[[#This Row],[Shortname]], Comp[], 11, FALSE)</f>
        <v>9.4</v>
      </c>
      <c r="O45">
        <f>VLOOKUP(Table5[[#This Row],[Shortname]], Comp[],12, FALSE)</f>
        <v>0</v>
      </c>
      <c r="P45">
        <f>VLOOKUP(Table5[[#This Row],[Shortname]], Comp[], 13, FALSE)</f>
        <v>0</v>
      </c>
      <c r="Q45">
        <f>VLOOKUP(Table5[[#This Row],[Shortname]], Comp[], 14, FALSE)</f>
        <v>0</v>
      </c>
      <c r="R45">
        <f>VLOOKUP(Table5[[#This Row],[Shortname]], Comp[], 15, FALSE)</f>
        <v>0</v>
      </c>
      <c r="S45">
        <f>VLOOKUP(Table5[[#This Row],[Shortname]], Comp[], 16, FALSE)</f>
        <v>0</v>
      </c>
      <c r="T45">
        <f>VLOOKUP(Table5[[#This Row],[Shortname]], Comp[], 17, FALSE)</f>
        <v>0</v>
      </c>
      <c r="U45">
        <f>VLOOKUP(Table5[[#This Row],[Shortname]], Comp[], 18, FALSE)</f>
        <v>0</v>
      </c>
      <c r="V45">
        <f>VLOOKUP(Table5[[#This Row],[Shortname]], Comp[], 19, FALSE)</f>
        <v>0.12</v>
      </c>
      <c r="W45">
        <f>VLOOKUP(Table5[[#This Row],[Shortname]], Comp[], 20, FALSE)</f>
        <v>0</v>
      </c>
      <c r="X45">
        <f>VLOOKUP(Table5[[#This Row],[Shortname]], Comp[], 21, FALSE)</f>
        <v>0</v>
      </c>
      <c r="Y45">
        <f>VLOOKUP(Table5[[#This Row],[Shortname]], Comp[], 22, FALSE)</f>
        <v>0</v>
      </c>
      <c r="Z45">
        <f>VLOOKUP(Table5[[#This Row],[Shortname]], Comp[], 23, FALSE)</f>
        <v>0</v>
      </c>
      <c r="AA45">
        <f>VLOOKUP(Table5[[#This Row],[Shortname]], Comp[], 24, FALSE)</f>
        <v>0</v>
      </c>
      <c r="AB45">
        <f>VLOOKUP(Table5[[#This Row],[Shortname]], Comp[], 25, FALSE)</f>
        <v>0</v>
      </c>
      <c r="AC45">
        <f>VLOOKUP(Table5[[#This Row],[Shortname]], Comp[], 26, FALSE)</f>
        <v>0</v>
      </c>
      <c r="AD45">
        <f>VLOOKUP(Table5[[#This Row],[Shortname]], Comp[], 27, FALSE)</f>
        <v>0</v>
      </c>
      <c r="AE45">
        <f>VLOOKUP(Table5[[#This Row],[Shortname]], Comp[], 28, FALSE)</f>
        <v>0</v>
      </c>
      <c r="AF45">
        <f>VLOOKUP(Table5[[#This Row],[Shortname]], Comp[], 29, FALSE)</f>
        <v>0</v>
      </c>
      <c r="AG45">
        <f>VLOOKUP(Table5[[#This Row],[Shortname]], Comp[], 30, FALSE)</f>
        <v>0</v>
      </c>
      <c r="AH45">
        <f>VLOOKUP(Table5[[#This Row],[Shortname]], Comp[], 31, FALSE)</f>
        <v>0</v>
      </c>
    </row>
    <row r="46" spans="1:34" x14ac:dyDescent="0.3">
      <c r="A46" t="s">
        <v>363</v>
      </c>
      <c r="B46">
        <v>45</v>
      </c>
      <c r="C46" t="str">
        <f>VLOOKUP(Table5[[#This Row],[Shortname]], [1]!comp[#Data], 2, FALSE)</f>
        <v>CoAlWX+</v>
      </c>
      <c r="D46" t="s">
        <v>364</v>
      </c>
      <c r="E46" s="15" t="s">
        <v>6677</v>
      </c>
      <c r="F46">
        <v>1101</v>
      </c>
      <c r="G46">
        <v>1414</v>
      </c>
      <c r="H46">
        <v>1439</v>
      </c>
      <c r="I46">
        <f>VLOOKUP(Table5[[#This Row],[Shortname]], Comp[], 6, FALSE)</f>
        <v>45</v>
      </c>
      <c r="J46" s="14">
        <f>VLOOKUP(Table5[[#This Row],[Shortname]], Comp[], 7, FALSE)</f>
        <v>80.320000000000007</v>
      </c>
      <c r="K46">
        <f>VLOOKUP(Table5[[#This Row],[Shortname]], Comp[], 8, FALSE)</f>
        <v>0</v>
      </c>
      <c r="L46">
        <f>VLOOKUP(Table5[[#This Row],[Shortname]], Comp[], 9, FALSE)</f>
        <v>8.9</v>
      </c>
      <c r="M46">
        <f>VLOOKUP(Table5[[#This Row],[Shortname]], Comp[], 10, FALSE)</f>
        <v>0</v>
      </c>
      <c r="N46">
        <f>VLOOKUP(Table5[[#This Row],[Shortname]], Comp[], 11, FALSE)</f>
        <v>8.5</v>
      </c>
      <c r="O46">
        <f>VLOOKUP(Table5[[#This Row],[Shortname]], Comp[],12, FALSE)</f>
        <v>0</v>
      </c>
      <c r="P46">
        <f>VLOOKUP(Table5[[#This Row],[Shortname]], Comp[], 13, FALSE)</f>
        <v>2.2000000000000002</v>
      </c>
      <c r="Q46">
        <f>VLOOKUP(Table5[[#This Row],[Shortname]], Comp[], 14, FALSE)</f>
        <v>0</v>
      </c>
      <c r="R46">
        <f>VLOOKUP(Table5[[#This Row],[Shortname]], Comp[], 15, FALSE)</f>
        <v>0</v>
      </c>
      <c r="S46">
        <f>VLOOKUP(Table5[[#This Row],[Shortname]], Comp[], 16, FALSE)</f>
        <v>0</v>
      </c>
      <c r="T46">
        <f>VLOOKUP(Table5[[#This Row],[Shortname]], Comp[], 17, FALSE)</f>
        <v>0</v>
      </c>
      <c r="U46">
        <f>VLOOKUP(Table5[[#This Row],[Shortname]], Comp[], 18, FALSE)</f>
        <v>0</v>
      </c>
      <c r="V46">
        <f>VLOOKUP(Table5[[#This Row],[Shortname]], Comp[], 19, FALSE)</f>
        <v>0.08</v>
      </c>
      <c r="W46">
        <f>VLOOKUP(Table5[[#This Row],[Shortname]], Comp[], 20, FALSE)</f>
        <v>0</v>
      </c>
      <c r="X46">
        <f>VLOOKUP(Table5[[#This Row],[Shortname]], Comp[], 21, FALSE)</f>
        <v>0</v>
      </c>
      <c r="Y46">
        <f>VLOOKUP(Table5[[#This Row],[Shortname]], Comp[], 22, FALSE)</f>
        <v>0</v>
      </c>
      <c r="Z46">
        <f>VLOOKUP(Table5[[#This Row],[Shortname]], Comp[], 23, FALSE)</f>
        <v>0</v>
      </c>
      <c r="AA46">
        <f>VLOOKUP(Table5[[#This Row],[Shortname]], Comp[], 24, FALSE)</f>
        <v>0</v>
      </c>
      <c r="AB46">
        <f>VLOOKUP(Table5[[#This Row],[Shortname]], Comp[], 25, FALSE)</f>
        <v>0</v>
      </c>
      <c r="AC46">
        <f>VLOOKUP(Table5[[#This Row],[Shortname]], Comp[], 26, FALSE)</f>
        <v>0</v>
      </c>
      <c r="AD46">
        <f>VLOOKUP(Table5[[#This Row],[Shortname]], Comp[], 27, FALSE)</f>
        <v>0</v>
      </c>
      <c r="AE46">
        <f>VLOOKUP(Table5[[#This Row],[Shortname]], Comp[], 28, FALSE)</f>
        <v>0</v>
      </c>
      <c r="AF46">
        <f>VLOOKUP(Table5[[#This Row],[Shortname]], Comp[], 29, FALSE)</f>
        <v>0</v>
      </c>
      <c r="AG46">
        <f>VLOOKUP(Table5[[#This Row],[Shortname]], Comp[], 30, FALSE)</f>
        <v>0</v>
      </c>
      <c r="AH46">
        <f>VLOOKUP(Table5[[#This Row],[Shortname]], Comp[], 31, FALSE)</f>
        <v>0</v>
      </c>
    </row>
    <row r="47" spans="1:34" x14ac:dyDescent="0.3">
      <c r="A47" t="s">
        <v>322</v>
      </c>
      <c r="B47">
        <v>46</v>
      </c>
      <c r="C47" t="str">
        <f>VLOOKUP(Table5[[#This Row],[Shortname]], [1]!comp[#Data], 2, FALSE)</f>
        <v>CoAlW-X</v>
      </c>
      <c r="D47" t="s">
        <v>5339</v>
      </c>
      <c r="E47" s="15" t="s">
        <v>6678</v>
      </c>
      <c r="F47">
        <v>1097</v>
      </c>
      <c r="G47">
        <v>1410</v>
      </c>
      <c r="H47">
        <v>1434</v>
      </c>
      <c r="I47">
        <f>VLOOKUP(Table5[[#This Row],[Shortname]], Comp[], 6, FALSE)</f>
        <v>39</v>
      </c>
      <c r="J47" s="14">
        <f>VLOOKUP(Table5[[#This Row],[Shortname]], Comp[], 7, FALSE)</f>
        <v>79.679999999999993</v>
      </c>
      <c r="K47">
        <f>VLOOKUP(Table5[[#This Row],[Shortname]], Comp[], 8, FALSE)</f>
        <v>0</v>
      </c>
      <c r="L47">
        <f>VLOOKUP(Table5[[#This Row],[Shortname]], Comp[], 9, FALSE)</f>
        <v>8.9</v>
      </c>
      <c r="M47">
        <f>VLOOKUP(Table5[[#This Row],[Shortname]], Comp[], 10, FALSE)</f>
        <v>0</v>
      </c>
      <c r="N47">
        <f>VLOOKUP(Table5[[#This Row],[Shortname]], Comp[], 11, FALSE)</f>
        <v>9.3000000000000007</v>
      </c>
      <c r="O47">
        <f>VLOOKUP(Table5[[#This Row],[Shortname]], Comp[],12, FALSE)</f>
        <v>0</v>
      </c>
      <c r="P47">
        <f>VLOOKUP(Table5[[#This Row],[Shortname]], Comp[], 13, FALSE)</f>
        <v>2</v>
      </c>
      <c r="Q47">
        <f>VLOOKUP(Table5[[#This Row],[Shortname]], Comp[], 14, FALSE)</f>
        <v>0</v>
      </c>
      <c r="R47">
        <f>VLOOKUP(Table5[[#This Row],[Shortname]], Comp[], 15, FALSE)</f>
        <v>0</v>
      </c>
      <c r="S47">
        <f>VLOOKUP(Table5[[#This Row],[Shortname]], Comp[], 16, FALSE)</f>
        <v>0</v>
      </c>
      <c r="T47">
        <f>VLOOKUP(Table5[[#This Row],[Shortname]], Comp[], 17, FALSE)</f>
        <v>0</v>
      </c>
      <c r="U47">
        <f>VLOOKUP(Table5[[#This Row],[Shortname]], Comp[], 18, FALSE)</f>
        <v>0</v>
      </c>
      <c r="V47">
        <f>VLOOKUP(Table5[[#This Row],[Shortname]], Comp[], 19, FALSE)</f>
        <v>0.12</v>
      </c>
      <c r="W47">
        <f>VLOOKUP(Table5[[#This Row],[Shortname]], Comp[], 20, FALSE)</f>
        <v>0</v>
      </c>
      <c r="X47">
        <f>VLOOKUP(Table5[[#This Row],[Shortname]], Comp[], 21, FALSE)</f>
        <v>0</v>
      </c>
      <c r="Y47">
        <f>VLOOKUP(Table5[[#This Row],[Shortname]], Comp[], 22, FALSE)</f>
        <v>0</v>
      </c>
      <c r="Z47">
        <f>VLOOKUP(Table5[[#This Row],[Shortname]], Comp[], 23, FALSE)</f>
        <v>0</v>
      </c>
      <c r="AA47">
        <f>VLOOKUP(Table5[[#This Row],[Shortname]], Comp[], 24, FALSE)</f>
        <v>0</v>
      </c>
      <c r="AB47">
        <f>VLOOKUP(Table5[[#This Row],[Shortname]], Comp[], 25, FALSE)</f>
        <v>0</v>
      </c>
      <c r="AC47">
        <f>VLOOKUP(Table5[[#This Row],[Shortname]], Comp[], 26, FALSE)</f>
        <v>0</v>
      </c>
      <c r="AD47">
        <f>VLOOKUP(Table5[[#This Row],[Shortname]], Comp[], 27, FALSE)</f>
        <v>0</v>
      </c>
      <c r="AE47">
        <f>VLOOKUP(Table5[[#This Row],[Shortname]], Comp[], 28, FALSE)</f>
        <v>0</v>
      </c>
      <c r="AF47">
        <f>VLOOKUP(Table5[[#This Row],[Shortname]], Comp[], 29, FALSE)</f>
        <v>0</v>
      </c>
      <c r="AG47">
        <f>VLOOKUP(Table5[[#This Row],[Shortname]], Comp[], 30, FALSE)</f>
        <v>0</v>
      </c>
      <c r="AH47">
        <f>VLOOKUP(Table5[[#This Row],[Shortname]], Comp[], 31, FALSE)</f>
        <v>0</v>
      </c>
    </row>
    <row r="48" spans="1:34" x14ac:dyDescent="0.3">
      <c r="A48" t="s">
        <v>371</v>
      </c>
      <c r="B48">
        <v>47</v>
      </c>
      <c r="C48" t="str">
        <f>VLOOKUP(Table5[[#This Row],[Shortname]], [1]!comp[#Data], 2, FALSE)</f>
        <v>CoAlWX+</v>
      </c>
      <c r="D48" t="s">
        <v>372</v>
      </c>
      <c r="E48" s="15" t="s">
        <v>6679</v>
      </c>
      <c r="F48">
        <v>1079</v>
      </c>
      <c r="G48">
        <v>1390</v>
      </c>
      <c r="H48">
        <v>1411</v>
      </c>
      <c r="I48">
        <f>VLOOKUP(Table5[[#This Row],[Shortname]], Comp[], 6, FALSE)</f>
        <v>47</v>
      </c>
      <c r="J48" s="14">
        <f>VLOOKUP(Table5[[#This Row],[Shortname]], Comp[], 7, FALSE)</f>
        <v>82.5</v>
      </c>
      <c r="K48">
        <f>VLOOKUP(Table5[[#This Row],[Shortname]], Comp[], 8, FALSE)</f>
        <v>0</v>
      </c>
      <c r="L48">
        <f>VLOOKUP(Table5[[#This Row],[Shortname]], Comp[], 9, FALSE)</f>
        <v>8</v>
      </c>
      <c r="M48">
        <f>VLOOKUP(Table5[[#This Row],[Shortname]], Comp[], 10, FALSE)</f>
        <v>0</v>
      </c>
      <c r="N48">
        <f>VLOOKUP(Table5[[#This Row],[Shortname]], Comp[], 11, FALSE)</f>
        <v>6.7</v>
      </c>
      <c r="O48">
        <f>VLOOKUP(Table5[[#This Row],[Shortname]], Comp[],12, FALSE)</f>
        <v>0</v>
      </c>
      <c r="P48">
        <f>VLOOKUP(Table5[[#This Row],[Shortname]], Comp[], 13, FALSE)</f>
        <v>1.4</v>
      </c>
      <c r="Q48">
        <f>VLOOKUP(Table5[[#This Row],[Shortname]], Comp[], 14, FALSE)</f>
        <v>1.4</v>
      </c>
      <c r="R48">
        <f>VLOOKUP(Table5[[#This Row],[Shortname]], Comp[], 15, FALSE)</f>
        <v>0</v>
      </c>
      <c r="S48">
        <f>VLOOKUP(Table5[[#This Row],[Shortname]], Comp[], 16, FALSE)</f>
        <v>0</v>
      </c>
      <c r="T48">
        <f>VLOOKUP(Table5[[#This Row],[Shortname]], Comp[], 17, FALSE)</f>
        <v>0</v>
      </c>
      <c r="U48">
        <f>VLOOKUP(Table5[[#This Row],[Shortname]], Comp[], 18, FALSE)</f>
        <v>0</v>
      </c>
      <c r="V48">
        <f>VLOOKUP(Table5[[#This Row],[Shortname]], Comp[], 19, FALSE)</f>
        <v>0</v>
      </c>
      <c r="W48">
        <f>VLOOKUP(Table5[[#This Row],[Shortname]], Comp[], 20, FALSE)</f>
        <v>0</v>
      </c>
      <c r="X48">
        <f>VLOOKUP(Table5[[#This Row],[Shortname]], Comp[], 21, FALSE)</f>
        <v>0</v>
      </c>
      <c r="Y48">
        <f>VLOOKUP(Table5[[#This Row],[Shortname]], Comp[], 22, FALSE)</f>
        <v>0</v>
      </c>
      <c r="Z48">
        <f>VLOOKUP(Table5[[#This Row],[Shortname]], Comp[], 23, FALSE)</f>
        <v>0</v>
      </c>
      <c r="AA48">
        <f>VLOOKUP(Table5[[#This Row],[Shortname]], Comp[], 24, FALSE)</f>
        <v>0</v>
      </c>
      <c r="AB48">
        <f>VLOOKUP(Table5[[#This Row],[Shortname]], Comp[], 25, FALSE)</f>
        <v>0</v>
      </c>
      <c r="AC48">
        <f>VLOOKUP(Table5[[#This Row],[Shortname]], Comp[], 26, FALSE)</f>
        <v>0</v>
      </c>
      <c r="AD48">
        <f>VLOOKUP(Table5[[#This Row],[Shortname]], Comp[], 27, FALSE)</f>
        <v>0</v>
      </c>
      <c r="AE48">
        <f>VLOOKUP(Table5[[#This Row],[Shortname]], Comp[], 28, FALSE)</f>
        <v>0</v>
      </c>
      <c r="AF48">
        <f>VLOOKUP(Table5[[#This Row],[Shortname]], Comp[], 29, FALSE)</f>
        <v>0</v>
      </c>
      <c r="AG48">
        <f>VLOOKUP(Table5[[#This Row],[Shortname]], Comp[], 30, FALSE)</f>
        <v>0</v>
      </c>
      <c r="AH48">
        <f>VLOOKUP(Table5[[#This Row],[Shortname]], Comp[], 31, FALSE)</f>
        <v>0</v>
      </c>
    </row>
    <row r="49" spans="1:34" x14ac:dyDescent="0.3">
      <c r="A49" t="s">
        <v>377</v>
      </c>
      <c r="B49">
        <v>48</v>
      </c>
      <c r="C49" t="str">
        <f>VLOOKUP(Table5[[#This Row],[Shortname]], [1]!comp[#Data], 2, FALSE)</f>
        <v>CoAlW-X</v>
      </c>
      <c r="D49" t="s">
        <v>379</v>
      </c>
      <c r="E49" s="15" t="s">
        <v>6680</v>
      </c>
      <c r="F49">
        <v>1011</v>
      </c>
      <c r="G49">
        <v>1430</v>
      </c>
      <c r="H49">
        <v>1459</v>
      </c>
      <c r="I49">
        <f>VLOOKUP(Table5[[#This Row],[Shortname]], Comp[], 6, FALSE)</f>
        <v>48</v>
      </c>
      <c r="J49" s="14">
        <f>VLOOKUP(Table5[[#This Row],[Shortname]], Comp[], 7, FALSE)</f>
        <v>82</v>
      </c>
      <c r="K49">
        <f>VLOOKUP(Table5[[#This Row],[Shortname]], Comp[], 8, FALSE)</f>
        <v>0</v>
      </c>
      <c r="L49">
        <f>VLOOKUP(Table5[[#This Row],[Shortname]], Comp[], 9, FALSE)</f>
        <v>8.1999999999999993</v>
      </c>
      <c r="M49">
        <f>VLOOKUP(Table5[[#This Row],[Shortname]], Comp[], 10, FALSE)</f>
        <v>0</v>
      </c>
      <c r="N49">
        <f>VLOOKUP(Table5[[#This Row],[Shortname]], Comp[], 11, FALSE)</f>
        <v>9.4</v>
      </c>
      <c r="O49">
        <f>VLOOKUP(Table5[[#This Row],[Shortname]], Comp[],12, FALSE)</f>
        <v>0</v>
      </c>
      <c r="P49">
        <f>VLOOKUP(Table5[[#This Row],[Shortname]], Comp[], 13, FALSE)</f>
        <v>0</v>
      </c>
      <c r="Q49">
        <f>VLOOKUP(Table5[[#This Row],[Shortname]], Comp[], 14, FALSE)</f>
        <v>0.4</v>
      </c>
      <c r="R49">
        <f>VLOOKUP(Table5[[#This Row],[Shortname]], Comp[], 15, FALSE)</f>
        <v>0</v>
      </c>
      <c r="S49">
        <f>VLOOKUP(Table5[[#This Row],[Shortname]], Comp[], 16, FALSE)</f>
        <v>0</v>
      </c>
      <c r="T49">
        <f>VLOOKUP(Table5[[#This Row],[Shortname]], Comp[], 17, FALSE)</f>
        <v>0</v>
      </c>
      <c r="U49">
        <f>VLOOKUP(Table5[[#This Row],[Shortname]], Comp[], 18, FALSE)</f>
        <v>0</v>
      </c>
      <c r="V49">
        <f>VLOOKUP(Table5[[#This Row],[Shortname]], Comp[], 19, FALSE)</f>
        <v>0</v>
      </c>
      <c r="W49">
        <f>VLOOKUP(Table5[[#This Row],[Shortname]], Comp[], 20, FALSE)</f>
        <v>0</v>
      </c>
      <c r="X49">
        <f>VLOOKUP(Table5[[#This Row],[Shortname]], Comp[], 21, FALSE)</f>
        <v>0</v>
      </c>
      <c r="Y49">
        <f>VLOOKUP(Table5[[#This Row],[Shortname]], Comp[], 22, FALSE)</f>
        <v>0</v>
      </c>
      <c r="Z49">
        <f>VLOOKUP(Table5[[#This Row],[Shortname]], Comp[], 23, FALSE)</f>
        <v>0</v>
      </c>
      <c r="AA49">
        <f>VLOOKUP(Table5[[#This Row],[Shortname]], Comp[], 24, FALSE)</f>
        <v>0</v>
      </c>
      <c r="AB49">
        <f>VLOOKUP(Table5[[#This Row],[Shortname]], Comp[], 25, FALSE)</f>
        <v>0</v>
      </c>
      <c r="AC49">
        <f>VLOOKUP(Table5[[#This Row],[Shortname]], Comp[], 26, FALSE)</f>
        <v>0</v>
      </c>
      <c r="AD49">
        <f>VLOOKUP(Table5[[#This Row],[Shortname]], Comp[], 27, FALSE)</f>
        <v>0</v>
      </c>
      <c r="AE49">
        <f>VLOOKUP(Table5[[#This Row],[Shortname]], Comp[], 28, FALSE)</f>
        <v>0</v>
      </c>
      <c r="AF49">
        <f>VLOOKUP(Table5[[#This Row],[Shortname]], Comp[], 29, FALSE)</f>
        <v>0</v>
      </c>
      <c r="AG49">
        <f>VLOOKUP(Table5[[#This Row],[Shortname]], Comp[], 30, FALSE)</f>
        <v>0</v>
      </c>
      <c r="AH49">
        <f>VLOOKUP(Table5[[#This Row],[Shortname]], Comp[], 31, FALSE)</f>
        <v>0</v>
      </c>
    </row>
    <row r="50" spans="1:34" x14ac:dyDescent="0.3">
      <c r="A50" t="s">
        <v>104</v>
      </c>
      <c r="B50">
        <v>49</v>
      </c>
      <c r="C50" t="str">
        <f>VLOOKUP(Table5[[#This Row],[Shortname]], [1]!comp[#Data], 2, FALSE)</f>
        <v>CoAlW-X</v>
      </c>
      <c r="D50" t="s">
        <v>5343</v>
      </c>
      <c r="E50" s="15" t="s">
        <v>6681</v>
      </c>
      <c r="F50">
        <v>1064</v>
      </c>
      <c r="G50">
        <v>1377</v>
      </c>
      <c r="H50">
        <v>1426</v>
      </c>
      <c r="I50">
        <f>VLOOKUP(Table5[[#This Row],[Shortname]], Comp[], 6, FALSE)</f>
        <v>10</v>
      </c>
      <c r="J50" s="14">
        <f>VLOOKUP(Table5[[#This Row],[Shortname]], Comp[], 7, FALSE)</f>
        <v>78.599999999999994</v>
      </c>
      <c r="K50">
        <f>VLOOKUP(Table5[[#This Row],[Shortname]], Comp[], 8, FALSE)</f>
        <v>0</v>
      </c>
      <c r="L50">
        <f>VLOOKUP(Table5[[#This Row],[Shortname]], Comp[], 9, FALSE)</f>
        <v>9.4</v>
      </c>
      <c r="M50">
        <f>VLOOKUP(Table5[[#This Row],[Shortname]], Comp[], 10, FALSE)</f>
        <v>0</v>
      </c>
      <c r="N50">
        <f>VLOOKUP(Table5[[#This Row],[Shortname]], Comp[], 11, FALSE)</f>
        <v>10.199999999999999</v>
      </c>
      <c r="O50">
        <f>VLOOKUP(Table5[[#This Row],[Shortname]], Comp[],12, FALSE)</f>
        <v>0</v>
      </c>
      <c r="P50">
        <f>VLOOKUP(Table5[[#This Row],[Shortname]], Comp[], 13, FALSE)</f>
        <v>0</v>
      </c>
      <c r="Q50">
        <f>VLOOKUP(Table5[[#This Row],[Shortname]], Comp[], 14, FALSE)</f>
        <v>1.8</v>
      </c>
      <c r="R50">
        <f>VLOOKUP(Table5[[#This Row],[Shortname]], Comp[], 15, FALSE)</f>
        <v>0</v>
      </c>
      <c r="S50">
        <f>VLOOKUP(Table5[[#This Row],[Shortname]], Comp[], 16, FALSE)</f>
        <v>0</v>
      </c>
      <c r="T50">
        <f>VLOOKUP(Table5[[#This Row],[Shortname]], Comp[], 17, FALSE)</f>
        <v>0</v>
      </c>
      <c r="U50">
        <f>VLOOKUP(Table5[[#This Row],[Shortname]], Comp[], 18, FALSE)</f>
        <v>0</v>
      </c>
      <c r="V50">
        <f>VLOOKUP(Table5[[#This Row],[Shortname]], Comp[], 19, FALSE)</f>
        <v>0</v>
      </c>
      <c r="W50">
        <f>VLOOKUP(Table5[[#This Row],[Shortname]], Comp[], 20, FALSE)</f>
        <v>0</v>
      </c>
      <c r="X50">
        <f>VLOOKUP(Table5[[#This Row],[Shortname]], Comp[], 21, FALSE)</f>
        <v>0</v>
      </c>
      <c r="Y50">
        <f>VLOOKUP(Table5[[#This Row],[Shortname]], Comp[], 22, FALSE)</f>
        <v>0</v>
      </c>
      <c r="Z50">
        <f>VLOOKUP(Table5[[#This Row],[Shortname]], Comp[], 23, FALSE)</f>
        <v>0</v>
      </c>
      <c r="AA50">
        <f>VLOOKUP(Table5[[#This Row],[Shortname]], Comp[], 24, FALSE)</f>
        <v>0</v>
      </c>
      <c r="AB50">
        <f>VLOOKUP(Table5[[#This Row],[Shortname]], Comp[], 25, FALSE)</f>
        <v>0</v>
      </c>
      <c r="AC50">
        <f>VLOOKUP(Table5[[#This Row],[Shortname]], Comp[], 26, FALSE)</f>
        <v>0</v>
      </c>
      <c r="AD50">
        <f>VLOOKUP(Table5[[#This Row],[Shortname]], Comp[], 27, FALSE)</f>
        <v>0</v>
      </c>
      <c r="AE50">
        <f>VLOOKUP(Table5[[#This Row],[Shortname]], Comp[], 28, FALSE)</f>
        <v>0</v>
      </c>
      <c r="AF50">
        <f>VLOOKUP(Table5[[#This Row],[Shortname]], Comp[], 29, FALSE)</f>
        <v>0</v>
      </c>
      <c r="AG50">
        <f>VLOOKUP(Table5[[#This Row],[Shortname]], Comp[], 30, FALSE)</f>
        <v>0</v>
      </c>
      <c r="AH50">
        <f>VLOOKUP(Table5[[#This Row],[Shortname]], Comp[], 31, FALSE)</f>
        <v>0</v>
      </c>
    </row>
    <row r="51" spans="1:34" x14ac:dyDescent="0.3">
      <c r="A51" t="s">
        <v>385</v>
      </c>
      <c r="B51">
        <v>50</v>
      </c>
      <c r="C51" t="str">
        <f>VLOOKUP(Table5[[#This Row],[Shortname]], [1]!comp[#Data], 2, FALSE)</f>
        <v>CoAlW-X</v>
      </c>
      <c r="D51" t="s">
        <v>387</v>
      </c>
      <c r="E51" s="15" t="s">
        <v>6682</v>
      </c>
      <c r="F51">
        <v>994</v>
      </c>
      <c r="G51">
        <v>1436</v>
      </c>
      <c r="H51">
        <v>1461</v>
      </c>
      <c r="I51">
        <f>VLOOKUP(Table5[[#This Row],[Shortname]], Comp[], 6, FALSE)</f>
        <v>50</v>
      </c>
      <c r="J51" s="14">
        <f>VLOOKUP(Table5[[#This Row],[Shortname]], Comp[], 7, FALSE)</f>
        <v>81.259999999999991</v>
      </c>
      <c r="K51">
        <f>VLOOKUP(Table5[[#This Row],[Shortname]], Comp[], 8, FALSE)</f>
        <v>0</v>
      </c>
      <c r="L51">
        <f>VLOOKUP(Table5[[#This Row],[Shortname]], Comp[], 9, FALSE)</f>
        <v>8.1999999999999993</v>
      </c>
      <c r="M51">
        <f>VLOOKUP(Table5[[#This Row],[Shortname]], Comp[], 10, FALSE)</f>
        <v>0</v>
      </c>
      <c r="N51">
        <f>VLOOKUP(Table5[[#This Row],[Shortname]], Comp[], 11, FALSE)</f>
        <v>9.4</v>
      </c>
      <c r="O51">
        <f>VLOOKUP(Table5[[#This Row],[Shortname]], Comp[],12, FALSE)</f>
        <v>0</v>
      </c>
      <c r="P51">
        <f>VLOOKUP(Table5[[#This Row],[Shortname]], Comp[], 13, FALSE)</f>
        <v>0</v>
      </c>
      <c r="Q51">
        <f>VLOOKUP(Table5[[#This Row],[Shortname]], Comp[], 14, FALSE)</f>
        <v>0</v>
      </c>
      <c r="R51">
        <f>VLOOKUP(Table5[[#This Row],[Shortname]], Comp[], 15, FALSE)</f>
        <v>0</v>
      </c>
      <c r="S51">
        <f>VLOOKUP(Table5[[#This Row],[Shortname]], Comp[], 16, FALSE)</f>
        <v>1.1000000000000001</v>
      </c>
      <c r="T51">
        <f>VLOOKUP(Table5[[#This Row],[Shortname]], Comp[], 17, FALSE)</f>
        <v>0</v>
      </c>
      <c r="U51">
        <f>VLOOKUP(Table5[[#This Row],[Shortname]], Comp[], 18, FALSE)</f>
        <v>0</v>
      </c>
      <c r="V51">
        <f>VLOOKUP(Table5[[#This Row],[Shortname]], Comp[], 19, FALSE)</f>
        <v>0.04</v>
      </c>
      <c r="W51">
        <f>VLOOKUP(Table5[[#This Row],[Shortname]], Comp[], 20, FALSE)</f>
        <v>0</v>
      </c>
      <c r="X51">
        <f>VLOOKUP(Table5[[#This Row],[Shortname]], Comp[], 21, FALSE)</f>
        <v>0</v>
      </c>
      <c r="Y51">
        <f>VLOOKUP(Table5[[#This Row],[Shortname]], Comp[], 22, FALSE)</f>
        <v>0</v>
      </c>
      <c r="Z51">
        <f>VLOOKUP(Table5[[#This Row],[Shortname]], Comp[], 23, FALSE)</f>
        <v>0</v>
      </c>
      <c r="AA51">
        <f>VLOOKUP(Table5[[#This Row],[Shortname]], Comp[], 24, FALSE)</f>
        <v>0</v>
      </c>
      <c r="AB51">
        <f>VLOOKUP(Table5[[#This Row],[Shortname]], Comp[], 25, FALSE)</f>
        <v>0</v>
      </c>
      <c r="AC51">
        <f>VLOOKUP(Table5[[#This Row],[Shortname]], Comp[], 26, FALSE)</f>
        <v>0</v>
      </c>
      <c r="AD51">
        <f>VLOOKUP(Table5[[#This Row],[Shortname]], Comp[], 27, FALSE)</f>
        <v>0</v>
      </c>
      <c r="AE51">
        <f>VLOOKUP(Table5[[#This Row],[Shortname]], Comp[], 28, FALSE)</f>
        <v>0</v>
      </c>
      <c r="AF51">
        <f>VLOOKUP(Table5[[#This Row],[Shortname]], Comp[], 29, FALSE)</f>
        <v>0</v>
      </c>
      <c r="AG51">
        <f>VLOOKUP(Table5[[#This Row],[Shortname]], Comp[], 30, FALSE)</f>
        <v>0</v>
      </c>
      <c r="AH51">
        <f>VLOOKUP(Table5[[#This Row],[Shortname]], Comp[], 31, FALSE)</f>
        <v>0</v>
      </c>
    </row>
    <row r="52" spans="1:34" x14ac:dyDescent="0.3">
      <c r="A52" t="s">
        <v>393</v>
      </c>
      <c r="B52">
        <v>51</v>
      </c>
      <c r="C52" t="str">
        <f>VLOOKUP(Table5[[#This Row],[Shortname]], [1]!comp[#Data], 2, FALSE)</f>
        <v>CoAlWX+</v>
      </c>
      <c r="D52" t="s">
        <v>394</v>
      </c>
      <c r="E52" s="15" t="s">
        <v>6683</v>
      </c>
      <c r="F52">
        <v>1082</v>
      </c>
      <c r="G52">
        <v>1398</v>
      </c>
      <c r="H52">
        <v>1417</v>
      </c>
      <c r="I52">
        <f>VLOOKUP(Table5[[#This Row],[Shortname]], Comp[], 6, FALSE)</f>
        <v>51</v>
      </c>
      <c r="J52" s="14">
        <f>VLOOKUP(Table5[[#This Row],[Shortname]], Comp[], 7, FALSE)</f>
        <v>78.900000000000006</v>
      </c>
      <c r="K52">
        <f>VLOOKUP(Table5[[#This Row],[Shortname]], Comp[], 8, FALSE)</f>
        <v>0</v>
      </c>
      <c r="L52">
        <f>VLOOKUP(Table5[[#This Row],[Shortname]], Comp[], 9, FALSE)</f>
        <v>8.1999999999999993</v>
      </c>
      <c r="M52">
        <f>VLOOKUP(Table5[[#This Row],[Shortname]], Comp[], 10, FALSE)</f>
        <v>0</v>
      </c>
      <c r="N52">
        <f>VLOOKUP(Table5[[#This Row],[Shortname]], Comp[], 11, FALSE)</f>
        <v>9.6</v>
      </c>
      <c r="O52">
        <f>VLOOKUP(Table5[[#This Row],[Shortname]], Comp[],12, FALSE)</f>
        <v>0</v>
      </c>
      <c r="P52">
        <f>VLOOKUP(Table5[[#This Row],[Shortname]], Comp[], 13, FALSE)</f>
        <v>1.5</v>
      </c>
      <c r="Q52">
        <f>VLOOKUP(Table5[[#This Row],[Shortname]], Comp[], 14, FALSE)</f>
        <v>0</v>
      </c>
      <c r="R52">
        <f>VLOOKUP(Table5[[#This Row],[Shortname]], Comp[], 15, FALSE)</f>
        <v>0</v>
      </c>
      <c r="S52">
        <f>VLOOKUP(Table5[[#This Row],[Shortname]], Comp[], 16, FALSE)</f>
        <v>1.8</v>
      </c>
      <c r="T52">
        <f>VLOOKUP(Table5[[#This Row],[Shortname]], Comp[], 17, FALSE)</f>
        <v>0</v>
      </c>
      <c r="U52">
        <f>VLOOKUP(Table5[[#This Row],[Shortname]], Comp[], 18, FALSE)</f>
        <v>0</v>
      </c>
      <c r="V52">
        <f>VLOOKUP(Table5[[#This Row],[Shortname]], Comp[], 19, FALSE)</f>
        <v>0</v>
      </c>
      <c r="W52">
        <f>VLOOKUP(Table5[[#This Row],[Shortname]], Comp[], 20, FALSE)</f>
        <v>0</v>
      </c>
      <c r="X52">
        <f>VLOOKUP(Table5[[#This Row],[Shortname]], Comp[], 21, FALSE)</f>
        <v>0</v>
      </c>
      <c r="Y52">
        <f>VLOOKUP(Table5[[#This Row],[Shortname]], Comp[], 22, FALSE)</f>
        <v>0</v>
      </c>
      <c r="Z52">
        <f>VLOOKUP(Table5[[#This Row],[Shortname]], Comp[], 23, FALSE)</f>
        <v>0</v>
      </c>
      <c r="AA52">
        <f>VLOOKUP(Table5[[#This Row],[Shortname]], Comp[], 24, FALSE)</f>
        <v>0</v>
      </c>
      <c r="AB52">
        <f>VLOOKUP(Table5[[#This Row],[Shortname]], Comp[], 25, FALSE)</f>
        <v>0</v>
      </c>
      <c r="AC52">
        <f>VLOOKUP(Table5[[#This Row],[Shortname]], Comp[], 26, FALSE)</f>
        <v>0</v>
      </c>
      <c r="AD52">
        <f>VLOOKUP(Table5[[#This Row],[Shortname]], Comp[], 27, FALSE)</f>
        <v>0</v>
      </c>
      <c r="AE52">
        <f>VLOOKUP(Table5[[#This Row],[Shortname]], Comp[], 28, FALSE)</f>
        <v>0</v>
      </c>
      <c r="AF52">
        <f>VLOOKUP(Table5[[#This Row],[Shortname]], Comp[], 29, FALSE)</f>
        <v>0</v>
      </c>
      <c r="AG52">
        <f>VLOOKUP(Table5[[#This Row],[Shortname]], Comp[], 30, FALSE)</f>
        <v>0</v>
      </c>
      <c r="AH52">
        <f>VLOOKUP(Table5[[#This Row],[Shortname]], Comp[], 31, FALSE)</f>
        <v>0</v>
      </c>
    </row>
    <row r="53" spans="1:34" x14ac:dyDescent="0.3">
      <c r="A53" t="s">
        <v>400</v>
      </c>
      <c r="B53">
        <v>52</v>
      </c>
      <c r="C53" t="str">
        <f>VLOOKUP(Table5[[#This Row],[Shortname]], [1]!comp[#Data], 2, FALSE)</f>
        <v>CoAlW-X</v>
      </c>
      <c r="D53" t="s">
        <v>402</v>
      </c>
      <c r="E53" s="15" t="s">
        <v>6684</v>
      </c>
      <c r="F53">
        <v>989</v>
      </c>
      <c r="G53">
        <v>1434</v>
      </c>
      <c r="H53">
        <v>1462</v>
      </c>
      <c r="I53">
        <f>VLOOKUP(Table5[[#This Row],[Shortname]], Comp[], 6, FALSE)</f>
        <v>52</v>
      </c>
      <c r="J53" s="14">
        <f>VLOOKUP(Table5[[#This Row],[Shortname]], Comp[], 7, FALSE)</f>
        <v>81</v>
      </c>
      <c r="K53">
        <f>VLOOKUP(Table5[[#This Row],[Shortname]], Comp[], 8, FALSE)</f>
        <v>0</v>
      </c>
      <c r="L53">
        <f>VLOOKUP(Table5[[#This Row],[Shortname]], Comp[], 9, FALSE)</f>
        <v>8.4</v>
      </c>
      <c r="M53">
        <f>VLOOKUP(Table5[[#This Row],[Shortname]], Comp[], 10, FALSE)</f>
        <v>0</v>
      </c>
      <c r="N53">
        <f>VLOOKUP(Table5[[#This Row],[Shortname]], Comp[], 11, FALSE)</f>
        <v>10.1</v>
      </c>
      <c r="O53">
        <f>VLOOKUP(Table5[[#This Row],[Shortname]], Comp[],12, FALSE)</f>
        <v>0</v>
      </c>
      <c r="P53">
        <f>VLOOKUP(Table5[[#This Row],[Shortname]], Comp[], 13, FALSE)</f>
        <v>0</v>
      </c>
      <c r="Q53">
        <f>VLOOKUP(Table5[[#This Row],[Shortname]], Comp[], 14, FALSE)</f>
        <v>0</v>
      </c>
      <c r="R53">
        <f>VLOOKUP(Table5[[#This Row],[Shortname]], Comp[], 15, FALSE)</f>
        <v>0</v>
      </c>
      <c r="S53">
        <f>VLOOKUP(Table5[[#This Row],[Shortname]], Comp[], 16, FALSE)</f>
        <v>0</v>
      </c>
      <c r="T53">
        <f>VLOOKUP(Table5[[#This Row],[Shortname]], Comp[], 17, FALSE)</f>
        <v>0</v>
      </c>
      <c r="U53">
        <f>VLOOKUP(Table5[[#This Row],[Shortname]], Comp[], 18, FALSE)</f>
        <v>0</v>
      </c>
      <c r="V53">
        <f>VLOOKUP(Table5[[#This Row],[Shortname]], Comp[], 19, FALSE)</f>
        <v>0</v>
      </c>
      <c r="W53">
        <f>VLOOKUP(Table5[[#This Row],[Shortname]], Comp[], 20, FALSE)</f>
        <v>0</v>
      </c>
      <c r="X53">
        <f>VLOOKUP(Table5[[#This Row],[Shortname]], Comp[], 21, FALSE)</f>
        <v>0</v>
      </c>
      <c r="Y53">
        <f>VLOOKUP(Table5[[#This Row],[Shortname]], Comp[], 22, FALSE)</f>
        <v>0.5</v>
      </c>
      <c r="Z53">
        <f>VLOOKUP(Table5[[#This Row],[Shortname]], Comp[], 23, FALSE)</f>
        <v>0</v>
      </c>
      <c r="AA53">
        <f>VLOOKUP(Table5[[#This Row],[Shortname]], Comp[], 24, FALSE)</f>
        <v>0</v>
      </c>
      <c r="AB53">
        <f>VLOOKUP(Table5[[#This Row],[Shortname]], Comp[], 25, FALSE)</f>
        <v>0</v>
      </c>
      <c r="AC53">
        <f>VLOOKUP(Table5[[#This Row],[Shortname]], Comp[], 26, FALSE)</f>
        <v>0</v>
      </c>
      <c r="AD53">
        <f>VLOOKUP(Table5[[#This Row],[Shortname]], Comp[], 27, FALSE)</f>
        <v>0</v>
      </c>
      <c r="AE53">
        <f>VLOOKUP(Table5[[#This Row],[Shortname]], Comp[], 28, FALSE)</f>
        <v>0</v>
      </c>
      <c r="AF53">
        <f>VLOOKUP(Table5[[#This Row],[Shortname]], Comp[], 29, FALSE)</f>
        <v>0</v>
      </c>
      <c r="AG53">
        <f>VLOOKUP(Table5[[#This Row],[Shortname]], Comp[], 30, FALSE)</f>
        <v>0</v>
      </c>
      <c r="AH53">
        <f>VLOOKUP(Table5[[#This Row],[Shortname]], Comp[], 31, FALSE)</f>
        <v>0</v>
      </c>
    </row>
    <row r="54" spans="1:34" x14ac:dyDescent="0.3">
      <c r="A54" t="s">
        <v>410</v>
      </c>
      <c r="B54">
        <v>53</v>
      </c>
      <c r="C54" t="str">
        <f>VLOOKUP(Table5[[#This Row],[Shortname]], [1]!comp[#Data], 2, FALSE)</f>
        <v>CoAlW-X</v>
      </c>
      <c r="D54" t="s">
        <v>412</v>
      </c>
      <c r="E54" s="15" t="s">
        <v>6685</v>
      </c>
      <c r="F54">
        <v>998</v>
      </c>
      <c r="G54">
        <v>1414</v>
      </c>
      <c r="H54">
        <v>1449</v>
      </c>
      <c r="I54">
        <f>VLOOKUP(Table5[[#This Row],[Shortname]], Comp[], 6, FALSE)</f>
        <v>53</v>
      </c>
      <c r="J54" s="14">
        <f>VLOOKUP(Table5[[#This Row],[Shortname]], Comp[], 7, FALSE)</f>
        <v>79</v>
      </c>
      <c r="K54">
        <f>VLOOKUP(Table5[[#This Row],[Shortname]], Comp[], 8, FALSE)</f>
        <v>0</v>
      </c>
      <c r="L54">
        <f>VLOOKUP(Table5[[#This Row],[Shortname]], Comp[], 9, FALSE)</f>
        <v>8.6999999999999993</v>
      </c>
      <c r="M54">
        <f>VLOOKUP(Table5[[#This Row],[Shortname]], Comp[], 10, FALSE)</f>
        <v>0</v>
      </c>
      <c r="N54">
        <f>VLOOKUP(Table5[[#This Row],[Shortname]], Comp[], 11, FALSE)</f>
        <v>10.3</v>
      </c>
      <c r="O54">
        <f>VLOOKUP(Table5[[#This Row],[Shortname]], Comp[],12, FALSE)</f>
        <v>0</v>
      </c>
      <c r="P54">
        <f>VLOOKUP(Table5[[#This Row],[Shortname]], Comp[], 13, FALSE)</f>
        <v>0</v>
      </c>
      <c r="Q54">
        <f>VLOOKUP(Table5[[#This Row],[Shortname]], Comp[], 14, FALSE)</f>
        <v>0</v>
      </c>
      <c r="R54">
        <f>VLOOKUP(Table5[[#This Row],[Shortname]], Comp[], 15, FALSE)</f>
        <v>0</v>
      </c>
      <c r="S54">
        <f>VLOOKUP(Table5[[#This Row],[Shortname]], Comp[], 16, FALSE)</f>
        <v>0</v>
      </c>
      <c r="T54">
        <f>VLOOKUP(Table5[[#This Row],[Shortname]], Comp[], 17, FALSE)</f>
        <v>0</v>
      </c>
      <c r="U54">
        <f>VLOOKUP(Table5[[#This Row],[Shortname]], Comp[], 18, FALSE)</f>
        <v>0</v>
      </c>
      <c r="V54">
        <f>VLOOKUP(Table5[[#This Row],[Shortname]], Comp[], 19, FALSE)</f>
        <v>0</v>
      </c>
      <c r="W54">
        <f>VLOOKUP(Table5[[#This Row],[Shortname]], Comp[], 20, FALSE)</f>
        <v>0</v>
      </c>
      <c r="X54">
        <f>VLOOKUP(Table5[[#This Row],[Shortname]], Comp[], 21, FALSE)</f>
        <v>0</v>
      </c>
      <c r="Y54">
        <f>VLOOKUP(Table5[[#This Row],[Shortname]], Comp[], 22, FALSE)</f>
        <v>2</v>
      </c>
      <c r="Z54">
        <f>VLOOKUP(Table5[[#This Row],[Shortname]], Comp[], 23, FALSE)</f>
        <v>0</v>
      </c>
      <c r="AA54">
        <f>VLOOKUP(Table5[[#This Row],[Shortname]], Comp[], 24, FALSE)</f>
        <v>0</v>
      </c>
      <c r="AB54">
        <f>VLOOKUP(Table5[[#This Row],[Shortname]], Comp[], 25, FALSE)</f>
        <v>0</v>
      </c>
      <c r="AC54">
        <f>VLOOKUP(Table5[[#This Row],[Shortname]], Comp[], 26, FALSE)</f>
        <v>0</v>
      </c>
      <c r="AD54">
        <f>VLOOKUP(Table5[[#This Row],[Shortname]], Comp[], 27, FALSE)</f>
        <v>0</v>
      </c>
      <c r="AE54">
        <f>VLOOKUP(Table5[[#This Row],[Shortname]], Comp[], 28, FALSE)</f>
        <v>0</v>
      </c>
      <c r="AF54">
        <f>VLOOKUP(Table5[[#This Row],[Shortname]], Comp[], 29, FALSE)</f>
        <v>0</v>
      </c>
      <c r="AG54">
        <f>VLOOKUP(Table5[[#This Row],[Shortname]], Comp[], 30, FALSE)</f>
        <v>0</v>
      </c>
      <c r="AH54">
        <f>VLOOKUP(Table5[[#This Row],[Shortname]], Comp[], 31, FALSE)</f>
        <v>0</v>
      </c>
    </row>
    <row r="55" spans="1:34" x14ac:dyDescent="0.3">
      <c r="A55" t="s">
        <v>181</v>
      </c>
      <c r="B55">
        <v>54</v>
      </c>
      <c r="C55" t="str">
        <f>VLOOKUP(Table5[[#This Row],[Shortname]], [1]!comp[#Data], 2, FALSE)</f>
        <v>CoAlWX+</v>
      </c>
      <c r="D55" t="s">
        <v>5346</v>
      </c>
      <c r="E55" s="15" t="s">
        <v>6686</v>
      </c>
      <c r="F55">
        <v>1054</v>
      </c>
      <c r="G55">
        <v>1392</v>
      </c>
      <c r="H55">
        <v>1413</v>
      </c>
      <c r="I55">
        <f>VLOOKUP(Table5[[#This Row],[Shortname]], Comp[], 6, FALSE)</f>
        <v>18</v>
      </c>
      <c r="J55" s="14">
        <f>VLOOKUP(Table5[[#This Row],[Shortname]], Comp[], 7, FALSE)</f>
        <v>80.8</v>
      </c>
      <c r="K55">
        <f>VLOOKUP(Table5[[#This Row],[Shortname]], Comp[], 8, FALSE)</f>
        <v>0</v>
      </c>
      <c r="L55">
        <f>VLOOKUP(Table5[[#This Row],[Shortname]], Comp[], 9, FALSE)</f>
        <v>8.1</v>
      </c>
      <c r="M55">
        <f>VLOOKUP(Table5[[#This Row],[Shortname]], Comp[], 10, FALSE)</f>
        <v>0</v>
      </c>
      <c r="N55">
        <f>VLOOKUP(Table5[[#This Row],[Shortname]], Comp[], 11, FALSE)</f>
        <v>7.7</v>
      </c>
      <c r="O55">
        <f>VLOOKUP(Table5[[#This Row],[Shortname]], Comp[],12, FALSE)</f>
        <v>0</v>
      </c>
      <c r="P55">
        <f>VLOOKUP(Table5[[#This Row],[Shortname]], Comp[], 13, FALSE)</f>
        <v>1.6</v>
      </c>
      <c r="Q55">
        <f>VLOOKUP(Table5[[#This Row],[Shortname]], Comp[], 14, FALSE)</f>
        <v>0</v>
      </c>
      <c r="R55">
        <f>VLOOKUP(Table5[[#This Row],[Shortname]], Comp[], 15, FALSE)</f>
        <v>0</v>
      </c>
      <c r="S55">
        <f>VLOOKUP(Table5[[#This Row],[Shortname]], Comp[], 16, FALSE)</f>
        <v>0</v>
      </c>
      <c r="T55">
        <f>VLOOKUP(Table5[[#This Row],[Shortname]], Comp[], 17, FALSE)</f>
        <v>0</v>
      </c>
      <c r="U55">
        <f>VLOOKUP(Table5[[#This Row],[Shortname]], Comp[], 18, FALSE)</f>
        <v>0</v>
      </c>
      <c r="V55">
        <f>VLOOKUP(Table5[[#This Row],[Shortname]], Comp[], 19, FALSE)</f>
        <v>0</v>
      </c>
      <c r="W55">
        <f>VLOOKUP(Table5[[#This Row],[Shortname]], Comp[], 20, FALSE)</f>
        <v>0</v>
      </c>
      <c r="X55">
        <f>VLOOKUP(Table5[[#This Row],[Shortname]], Comp[], 21, FALSE)</f>
        <v>0</v>
      </c>
      <c r="Y55">
        <f>VLOOKUP(Table5[[#This Row],[Shortname]], Comp[], 22, FALSE)</f>
        <v>1.8</v>
      </c>
      <c r="Z55">
        <f>VLOOKUP(Table5[[#This Row],[Shortname]], Comp[], 23, FALSE)</f>
        <v>0</v>
      </c>
      <c r="AA55">
        <f>VLOOKUP(Table5[[#This Row],[Shortname]], Comp[], 24, FALSE)</f>
        <v>0</v>
      </c>
      <c r="AB55">
        <f>VLOOKUP(Table5[[#This Row],[Shortname]], Comp[], 25, FALSE)</f>
        <v>0</v>
      </c>
      <c r="AC55">
        <f>VLOOKUP(Table5[[#This Row],[Shortname]], Comp[], 26, FALSE)</f>
        <v>0</v>
      </c>
      <c r="AD55">
        <f>VLOOKUP(Table5[[#This Row],[Shortname]], Comp[], 27, FALSE)</f>
        <v>0</v>
      </c>
      <c r="AE55">
        <f>VLOOKUP(Table5[[#This Row],[Shortname]], Comp[], 28, FALSE)</f>
        <v>0</v>
      </c>
      <c r="AF55">
        <f>VLOOKUP(Table5[[#This Row],[Shortname]], Comp[], 29, FALSE)</f>
        <v>0</v>
      </c>
      <c r="AG55">
        <f>VLOOKUP(Table5[[#This Row],[Shortname]], Comp[], 30, FALSE)</f>
        <v>0</v>
      </c>
      <c r="AH55">
        <f>VLOOKUP(Table5[[#This Row],[Shortname]], Comp[], 31, FALSE)</f>
        <v>0</v>
      </c>
    </row>
    <row r="56" spans="1:34" x14ac:dyDescent="0.3">
      <c r="A56" t="s">
        <v>418</v>
      </c>
      <c r="B56">
        <v>55</v>
      </c>
      <c r="C56" t="str">
        <f>VLOOKUP(Table5[[#This Row],[Shortname]], [1]!comp[#Data], 2, FALSE)</f>
        <v>CoAlWX+</v>
      </c>
      <c r="D56" t="s">
        <v>420</v>
      </c>
      <c r="E56" s="15" t="s">
        <v>6687</v>
      </c>
      <c r="F56">
        <v>1153</v>
      </c>
      <c r="G56">
        <v>1392</v>
      </c>
      <c r="H56">
        <v>1411</v>
      </c>
      <c r="I56">
        <f>VLOOKUP(Table5[[#This Row],[Shortname]], Comp[], 6, FALSE)</f>
        <v>55</v>
      </c>
      <c r="J56" s="14">
        <f>VLOOKUP(Table5[[#This Row],[Shortname]], Comp[], 7, FALSE)</f>
        <v>79.2</v>
      </c>
      <c r="K56">
        <f>VLOOKUP(Table5[[#This Row],[Shortname]], Comp[], 8, FALSE)</f>
        <v>0</v>
      </c>
      <c r="L56">
        <f>VLOOKUP(Table5[[#This Row],[Shortname]], Comp[], 9, FALSE)</f>
        <v>7.6</v>
      </c>
      <c r="M56">
        <f>VLOOKUP(Table5[[#This Row],[Shortname]], Comp[], 10, FALSE)</f>
        <v>0</v>
      </c>
      <c r="N56">
        <f>VLOOKUP(Table5[[#This Row],[Shortname]], Comp[], 11, FALSE)</f>
        <v>9.1999999999999993</v>
      </c>
      <c r="O56">
        <f>VLOOKUP(Table5[[#This Row],[Shortname]], Comp[],12, FALSE)</f>
        <v>2.1</v>
      </c>
      <c r="P56">
        <f>VLOOKUP(Table5[[#This Row],[Shortname]], Comp[], 13, FALSE)</f>
        <v>1.9</v>
      </c>
      <c r="Q56">
        <f>VLOOKUP(Table5[[#This Row],[Shortname]], Comp[], 14, FALSE)</f>
        <v>0</v>
      </c>
      <c r="R56">
        <f>VLOOKUP(Table5[[#This Row],[Shortname]], Comp[], 15, FALSE)</f>
        <v>0</v>
      </c>
      <c r="S56">
        <f>VLOOKUP(Table5[[#This Row],[Shortname]], Comp[], 16, FALSE)</f>
        <v>0</v>
      </c>
      <c r="T56">
        <f>VLOOKUP(Table5[[#This Row],[Shortname]], Comp[], 17, FALSE)</f>
        <v>0</v>
      </c>
      <c r="U56">
        <f>VLOOKUP(Table5[[#This Row],[Shortname]], Comp[], 18, FALSE)</f>
        <v>0</v>
      </c>
      <c r="V56">
        <f>VLOOKUP(Table5[[#This Row],[Shortname]], Comp[], 19, FALSE)</f>
        <v>0</v>
      </c>
      <c r="W56">
        <f>VLOOKUP(Table5[[#This Row],[Shortname]], Comp[], 20, FALSE)</f>
        <v>0</v>
      </c>
      <c r="X56">
        <f>VLOOKUP(Table5[[#This Row],[Shortname]], Comp[], 21, FALSE)</f>
        <v>0</v>
      </c>
      <c r="Y56">
        <f>VLOOKUP(Table5[[#This Row],[Shortname]], Comp[], 22, FALSE)</f>
        <v>0</v>
      </c>
      <c r="Z56">
        <f>VLOOKUP(Table5[[#This Row],[Shortname]], Comp[], 23, FALSE)</f>
        <v>0</v>
      </c>
      <c r="AA56">
        <f>VLOOKUP(Table5[[#This Row],[Shortname]], Comp[], 24, FALSE)</f>
        <v>0</v>
      </c>
      <c r="AB56">
        <f>VLOOKUP(Table5[[#This Row],[Shortname]], Comp[], 25, FALSE)</f>
        <v>0</v>
      </c>
      <c r="AC56">
        <f>VLOOKUP(Table5[[#This Row],[Shortname]], Comp[], 26, FALSE)</f>
        <v>0</v>
      </c>
      <c r="AD56">
        <f>VLOOKUP(Table5[[#This Row],[Shortname]], Comp[], 27, FALSE)</f>
        <v>0</v>
      </c>
      <c r="AE56">
        <f>VLOOKUP(Table5[[#This Row],[Shortname]], Comp[], 28, FALSE)</f>
        <v>0</v>
      </c>
      <c r="AF56">
        <f>VLOOKUP(Table5[[#This Row],[Shortname]], Comp[], 29, FALSE)</f>
        <v>0</v>
      </c>
      <c r="AG56">
        <f>VLOOKUP(Table5[[#This Row],[Shortname]], Comp[], 30, FALSE)</f>
        <v>0</v>
      </c>
      <c r="AH56">
        <f>VLOOKUP(Table5[[#This Row],[Shortname]], Comp[], 31, FALSE)</f>
        <v>0</v>
      </c>
    </row>
    <row r="57" spans="1:34" x14ac:dyDescent="0.3">
      <c r="A57" t="s">
        <v>426</v>
      </c>
      <c r="B57">
        <v>56</v>
      </c>
      <c r="C57" t="str">
        <f>VLOOKUP(Table5[[#This Row],[Shortname]], [1]!comp[#Data], 2, FALSE)</f>
        <v>CoAlW-X</v>
      </c>
      <c r="D57" t="s">
        <v>428</v>
      </c>
      <c r="E57" s="15" t="s">
        <v>6688</v>
      </c>
      <c r="F57">
        <v>1075</v>
      </c>
      <c r="G57">
        <v>1413</v>
      </c>
      <c r="H57">
        <v>1438</v>
      </c>
      <c r="I57">
        <f>VLOOKUP(Table5[[#This Row],[Shortname]], Comp[], 6, FALSE)</f>
        <v>56</v>
      </c>
      <c r="J57" s="14">
        <f>VLOOKUP(Table5[[#This Row],[Shortname]], Comp[], 7, FALSE)</f>
        <v>80.86</v>
      </c>
      <c r="K57">
        <f>VLOOKUP(Table5[[#This Row],[Shortname]], Comp[], 8, FALSE)</f>
        <v>0</v>
      </c>
      <c r="L57">
        <f>VLOOKUP(Table5[[#This Row],[Shortname]], Comp[], 9, FALSE)</f>
        <v>7.9</v>
      </c>
      <c r="M57">
        <f>VLOOKUP(Table5[[#This Row],[Shortname]], Comp[], 10, FALSE)</f>
        <v>0</v>
      </c>
      <c r="N57">
        <f>VLOOKUP(Table5[[#This Row],[Shortname]], Comp[], 11, FALSE)</f>
        <v>9.1</v>
      </c>
      <c r="O57">
        <f>VLOOKUP(Table5[[#This Row],[Shortname]], Comp[],12, FALSE)</f>
        <v>2.1</v>
      </c>
      <c r="P57">
        <f>VLOOKUP(Table5[[#This Row],[Shortname]], Comp[], 13, FALSE)</f>
        <v>0</v>
      </c>
      <c r="Q57">
        <f>VLOOKUP(Table5[[#This Row],[Shortname]], Comp[], 14, FALSE)</f>
        <v>0</v>
      </c>
      <c r="R57">
        <f>VLOOKUP(Table5[[#This Row],[Shortname]], Comp[], 15, FALSE)</f>
        <v>0</v>
      </c>
      <c r="S57">
        <f>VLOOKUP(Table5[[#This Row],[Shortname]], Comp[], 16, FALSE)</f>
        <v>0</v>
      </c>
      <c r="T57">
        <f>VLOOKUP(Table5[[#This Row],[Shortname]], Comp[], 17, FALSE)</f>
        <v>0</v>
      </c>
      <c r="U57">
        <f>VLOOKUP(Table5[[#This Row],[Shortname]], Comp[], 18, FALSE)</f>
        <v>0</v>
      </c>
      <c r="V57">
        <f>VLOOKUP(Table5[[#This Row],[Shortname]], Comp[], 19, FALSE)</f>
        <v>0.04</v>
      </c>
      <c r="W57">
        <f>VLOOKUP(Table5[[#This Row],[Shortname]], Comp[], 20, FALSE)</f>
        <v>0</v>
      </c>
      <c r="X57">
        <f>VLOOKUP(Table5[[#This Row],[Shortname]], Comp[], 21, FALSE)</f>
        <v>0</v>
      </c>
      <c r="Y57">
        <f>VLOOKUP(Table5[[#This Row],[Shortname]], Comp[], 22, FALSE)</f>
        <v>0</v>
      </c>
      <c r="Z57">
        <f>VLOOKUP(Table5[[#This Row],[Shortname]], Comp[], 23, FALSE)</f>
        <v>0</v>
      </c>
      <c r="AA57">
        <f>VLOOKUP(Table5[[#This Row],[Shortname]], Comp[], 24, FALSE)</f>
        <v>0</v>
      </c>
      <c r="AB57">
        <f>VLOOKUP(Table5[[#This Row],[Shortname]], Comp[], 25, FALSE)</f>
        <v>0</v>
      </c>
      <c r="AC57">
        <f>VLOOKUP(Table5[[#This Row],[Shortname]], Comp[], 26, FALSE)</f>
        <v>0</v>
      </c>
      <c r="AD57">
        <f>VLOOKUP(Table5[[#This Row],[Shortname]], Comp[], 27, FALSE)</f>
        <v>0</v>
      </c>
      <c r="AE57">
        <f>VLOOKUP(Table5[[#This Row],[Shortname]], Comp[], 28, FALSE)</f>
        <v>0</v>
      </c>
      <c r="AF57">
        <f>VLOOKUP(Table5[[#This Row],[Shortname]], Comp[], 29, FALSE)</f>
        <v>0</v>
      </c>
      <c r="AG57">
        <f>VLOOKUP(Table5[[#This Row],[Shortname]], Comp[], 30, FALSE)</f>
        <v>0</v>
      </c>
      <c r="AH57">
        <f>VLOOKUP(Table5[[#This Row],[Shortname]], Comp[], 31, FALSE)</f>
        <v>0</v>
      </c>
    </row>
    <row r="58" spans="1:34" x14ac:dyDescent="0.3">
      <c r="A58" t="s">
        <v>435</v>
      </c>
      <c r="B58">
        <v>57</v>
      </c>
      <c r="C58" t="str">
        <f>VLOOKUP(Table5[[#This Row],[Shortname]], [1]!comp[#Data], 2, FALSE)</f>
        <v>CoAlW-X</v>
      </c>
      <c r="D58" t="s">
        <v>437</v>
      </c>
      <c r="E58" s="15" t="s">
        <v>6689</v>
      </c>
      <c r="F58">
        <v>1080</v>
      </c>
      <c r="G58">
        <v>1414</v>
      </c>
      <c r="H58">
        <v>1434</v>
      </c>
      <c r="I58">
        <f>VLOOKUP(Table5[[#This Row],[Shortname]], Comp[], 6, FALSE)</f>
        <v>57</v>
      </c>
      <c r="J58" s="14">
        <f>VLOOKUP(Table5[[#This Row],[Shortname]], Comp[], 7, FALSE)</f>
        <v>79.680000000000007</v>
      </c>
      <c r="K58">
        <f>VLOOKUP(Table5[[#This Row],[Shortname]], Comp[], 8, FALSE)</f>
        <v>0</v>
      </c>
      <c r="L58">
        <f>VLOOKUP(Table5[[#This Row],[Shortname]], Comp[], 9, FALSE)</f>
        <v>8.4</v>
      </c>
      <c r="M58">
        <f>VLOOKUP(Table5[[#This Row],[Shortname]], Comp[], 10, FALSE)</f>
        <v>0</v>
      </c>
      <c r="N58">
        <f>VLOOKUP(Table5[[#This Row],[Shortname]], Comp[], 11, FALSE)</f>
        <v>9.6</v>
      </c>
      <c r="O58">
        <f>VLOOKUP(Table5[[#This Row],[Shortname]], Comp[],12, FALSE)</f>
        <v>2.2000000000000002</v>
      </c>
      <c r="P58">
        <f>VLOOKUP(Table5[[#This Row],[Shortname]], Comp[], 13, FALSE)</f>
        <v>0</v>
      </c>
      <c r="Q58">
        <f>VLOOKUP(Table5[[#This Row],[Shortname]], Comp[], 14, FALSE)</f>
        <v>0</v>
      </c>
      <c r="R58">
        <f>VLOOKUP(Table5[[#This Row],[Shortname]], Comp[], 15, FALSE)</f>
        <v>0</v>
      </c>
      <c r="S58">
        <f>VLOOKUP(Table5[[#This Row],[Shortname]], Comp[], 16, FALSE)</f>
        <v>0</v>
      </c>
      <c r="T58">
        <f>VLOOKUP(Table5[[#This Row],[Shortname]], Comp[], 17, FALSE)</f>
        <v>0</v>
      </c>
      <c r="U58">
        <f>VLOOKUP(Table5[[#This Row],[Shortname]], Comp[], 18, FALSE)</f>
        <v>0</v>
      </c>
      <c r="V58">
        <f>VLOOKUP(Table5[[#This Row],[Shortname]], Comp[], 19, FALSE)</f>
        <v>0.12</v>
      </c>
      <c r="W58">
        <f>VLOOKUP(Table5[[#This Row],[Shortname]], Comp[], 20, FALSE)</f>
        <v>0</v>
      </c>
      <c r="X58">
        <f>VLOOKUP(Table5[[#This Row],[Shortname]], Comp[], 21, FALSE)</f>
        <v>0</v>
      </c>
      <c r="Y58">
        <f>VLOOKUP(Table5[[#This Row],[Shortname]], Comp[], 22, FALSE)</f>
        <v>0</v>
      </c>
      <c r="Z58">
        <f>VLOOKUP(Table5[[#This Row],[Shortname]], Comp[], 23, FALSE)</f>
        <v>0</v>
      </c>
      <c r="AA58">
        <f>VLOOKUP(Table5[[#This Row],[Shortname]], Comp[], 24, FALSE)</f>
        <v>0</v>
      </c>
      <c r="AB58">
        <f>VLOOKUP(Table5[[#This Row],[Shortname]], Comp[], 25, FALSE)</f>
        <v>0</v>
      </c>
      <c r="AC58">
        <f>VLOOKUP(Table5[[#This Row],[Shortname]], Comp[], 26, FALSE)</f>
        <v>0</v>
      </c>
      <c r="AD58">
        <f>VLOOKUP(Table5[[#This Row],[Shortname]], Comp[], 27, FALSE)</f>
        <v>0</v>
      </c>
      <c r="AE58">
        <f>VLOOKUP(Table5[[#This Row],[Shortname]], Comp[], 28, FALSE)</f>
        <v>0</v>
      </c>
      <c r="AF58">
        <f>VLOOKUP(Table5[[#This Row],[Shortname]], Comp[], 29, FALSE)</f>
        <v>0</v>
      </c>
      <c r="AG58">
        <f>VLOOKUP(Table5[[#This Row],[Shortname]], Comp[], 30, FALSE)</f>
        <v>0</v>
      </c>
      <c r="AH58">
        <f>VLOOKUP(Table5[[#This Row],[Shortname]], Comp[], 31, FALSE)</f>
        <v>0</v>
      </c>
    </row>
    <row r="59" spans="1:34" x14ac:dyDescent="0.3">
      <c r="A59" t="s">
        <v>442</v>
      </c>
      <c r="B59">
        <v>58</v>
      </c>
      <c r="C59" t="str">
        <f>VLOOKUP(Table5[[#This Row],[Shortname]], [1]!comp[#Data], 2, FALSE)</f>
        <v>CoAlW-X</v>
      </c>
      <c r="D59" t="s">
        <v>444</v>
      </c>
      <c r="E59" s="15" t="s">
        <v>6690</v>
      </c>
      <c r="F59">
        <v>1016</v>
      </c>
      <c r="G59">
        <v>1430</v>
      </c>
      <c r="H59">
        <v>1456</v>
      </c>
      <c r="I59">
        <f>VLOOKUP(Table5[[#This Row],[Shortname]], Comp[], 6, FALSE)</f>
        <v>58</v>
      </c>
      <c r="J59" s="14">
        <f>VLOOKUP(Table5[[#This Row],[Shortname]], Comp[], 7, FALSE)</f>
        <v>80.56</v>
      </c>
      <c r="K59">
        <f>VLOOKUP(Table5[[#This Row],[Shortname]], Comp[], 8, FALSE)</f>
        <v>0</v>
      </c>
      <c r="L59">
        <f>VLOOKUP(Table5[[#This Row],[Shortname]], Comp[], 9, FALSE)</f>
        <v>8</v>
      </c>
      <c r="M59">
        <f>VLOOKUP(Table5[[#This Row],[Shortname]], Comp[], 10, FALSE)</f>
        <v>0</v>
      </c>
      <c r="N59">
        <f>VLOOKUP(Table5[[#This Row],[Shortname]], Comp[], 11, FALSE)</f>
        <v>9.3000000000000007</v>
      </c>
      <c r="O59">
        <f>VLOOKUP(Table5[[#This Row],[Shortname]], Comp[],12, FALSE)</f>
        <v>0</v>
      </c>
      <c r="P59">
        <f>VLOOKUP(Table5[[#This Row],[Shortname]], Comp[], 13, FALSE)</f>
        <v>0</v>
      </c>
      <c r="Q59">
        <f>VLOOKUP(Table5[[#This Row],[Shortname]], Comp[], 14, FALSE)</f>
        <v>0</v>
      </c>
      <c r="R59">
        <f>VLOOKUP(Table5[[#This Row],[Shortname]], Comp[], 15, FALSE)</f>
        <v>2.1</v>
      </c>
      <c r="S59">
        <f>VLOOKUP(Table5[[#This Row],[Shortname]], Comp[], 16, FALSE)</f>
        <v>0</v>
      </c>
      <c r="T59">
        <f>VLOOKUP(Table5[[#This Row],[Shortname]], Comp[], 17, FALSE)</f>
        <v>0</v>
      </c>
      <c r="U59">
        <f>VLOOKUP(Table5[[#This Row],[Shortname]], Comp[], 18, FALSE)</f>
        <v>0</v>
      </c>
      <c r="V59">
        <f>VLOOKUP(Table5[[#This Row],[Shortname]], Comp[], 19, FALSE)</f>
        <v>0.04</v>
      </c>
      <c r="W59">
        <f>VLOOKUP(Table5[[#This Row],[Shortname]], Comp[], 20, FALSE)</f>
        <v>0</v>
      </c>
      <c r="X59">
        <f>VLOOKUP(Table5[[#This Row],[Shortname]], Comp[], 21, FALSE)</f>
        <v>0</v>
      </c>
      <c r="Y59">
        <f>VLOOKUP(Table5[[#This Row],[Shortname]], Comp[], 22, FALSE)</f>
        <v>0</v>
      </c>
      <c r="Z59">
        <f>VLOOKUP(Table5[[#This Row],[Shortname]], Comp[], 23, FALSE)</f>
        <v>0</v>
      </c>
      <c r="AA59">
        <f>VLOOKUP(Table5[[#This Row],[Shortname]], Comp[], 24, FALSE)</f>
        <v>0</v>
      </c>
      <c r="AB59">
        <f>VLOOKUP(Table5[[#This Row],[Shortname]], Comp[], 25, FALSE)</f>
        <v>0</v>
      </c>
      <c r="AC59">
        <f>VLOOKUP(Table5[[#This Row],[Shortname]], Comp[], 26, FALSE)</f>
        <v>0</v>
      </c>
      <c r="AD59">
        <f>VLOOKUP(Table5[[#This Row],[Shortname]], Comp[], 27, FALSE)</f>
        <v>0</v>
      </c>
      <c r="AE59">
        <f>VLOOKUP(Table5[[#This Row],[Shortname]], Comp[], 28, FALSE)</f>
        <v>0</v>
      </c>
      <c r="AF59">
        <f>VLOOKUP(Table5[[#This Row],[Shortname]], Comp[], 29, FALSE)</f>
        <v>0</v>
      </c>
      <c r="AG59">
        <f>VLOOKUP(Table5[[#This Row],[Shortname]], Comp[], 30, FALSE)</f>
        <v>0</v>
      </c>
      <c r="AH59">
        <f>VLOOKUP(Table5[[#This Row],[Shortname]], Comp[], 31, FALSE)</f>
        <v>0</v>
      </c>
    </row>
    <row r="60" spans="1:34" x14ac:dyDescent="0.3">
      <c r="A60" t="s">
        <v>449</v>
      </c>
      <c r="B60">
        <v>59</v>
      </c>
      <c r="C60" t="str">
        <f>VLOOKUP(Table5[[#This Row],[Shortname]], [1]!comp[#Data], 2, FALSE)</f>
        <v>CoAlW-X</v>
      </c>
      <c r="D60" t="s">
        <v>451</v>
      </c>
      <c r="E60" s="15" t="s">
        <v>6691</v>
      </c>
      <c r="F60">
        <v>975</v>
      </c>
      <c r="G60">
        <v>1439</v>
      </c>
      <c r="H60">
        <v>1464</v>
      </c>
      <c r="I60">
        <f>VLOOKUP(Table5[[#This Row],[Shortname]], Comp[], 6, FALSE)</f>
        <v>59</v>
      </c>
      <c r="J60" s="14">
        <f>VLOOKUP(Table5[[#This Row],[Shortname]], Comp[], 7, FALSE)</f>
        <v>80.460000000000008</v>
      </c>
      <c r="K60">
        <f>VLOOKUP(Table5[[#This Row],[Shortname]], Comp[], 8, FALSE)</f>
        <v>0</v>
      </c>
      <c r="L60">
        <f>VLOOKUP(Table5[[#This Row],[Shortname]], Comp[], 9, FALSE)</f>
        <v>8.1</v>
      </c>
      <c r="M60">
        <f>VLOOKUP(Table5[[#This Row],[Shortname]], Comp[], 10, FALSE)</f>
        <v>2</v>
      </c>
      <c r="N60">
        <f>VLOOKUP(Table5[[#This Row],[Shortname]], Comp[], 11, FALSE)</f>
        <v>9.4</v>
      </c>
      <c r="O60">
        <f>VLOOKUP(Table5[[#This Row],[Shortname]], Comp[],12, FALSE)</f>
        <v>0</v>
      </c>
      <c r="P60">
        <f>VLOOKUP(Table5[[#This Row],[Shortname]], Comp[], 13, FALSE)</f>
        <v>0</v>
      </c>
      <c r="Q60">
        <f>VLOOKUP(Table5[[#This Row],[Shortname]], Comp[], 14, FALSE)</f>
        <v>0</v>
      </c>
      <c r="R60">
        <f>VLOOKUP(Table5[[#This Row],[Shortname]], Comp[], 15, FALSE)</f>
        <v>0</v>
      </c>
      <c r="S60">
        <f>VLOOKUP(Table5[[#This Row],[Shortname]], Comp[], 16, FALSE)</f>
        <v>0</v>
      </c>
      <c r="T60">
        <f>VLOOKUP(Table5[[#This Row],[Shortname]], Comp[], 17, FALSE)</f>
        <v>0</v>
      </c>
      <c r="U60">
        <f>VLOOKUP(Table5[[#This Row],[Shortname]], Comp[], 18, FALSE)</f>
        <v>0</v>
      </c>
      <c r="V60">
        <f>VLOOKUP(Table5[[#This Row],[Shortname]], Comp[], 19, FALSE)</f>
        <v>0.04</v>
      </c>
      <c r="W60">
        <f>VLOOKUP(Table5[[#This Row],[Shortname]], Comp[], 20, FALSE)</f>
        <v>0</v>
      </c>
      <c r="X60">
        <f>VLOOKUP(Table5[[#This Row],[Shortname]], Comp[], 21, FALSE)</f>
        <v>0</v>
      </c>
      <c r="Y60">
        <f>VLOOKUP(Table5[[#This Row],[Shortname]], Comp[], 22, FALSE)</f>
        <v>0</v>
      </c>
      <c r="Z60">
        <f>VLOOKUP(Table5[[#This Row],[Shortname]], Comp[], 23, FALSE)</f>
        <v>0</v>
      </c>
      <c r="AA60">
        <f>VLOOKUP(Table5[[#This Row],[Shortname]], Comp[], 24, FALSE)</f>
        <v>0</v>
      </c>
      <c r="AB60">
        <f>VLOOKUP(Table5[[#This Row],[Shortname]], Comp[], 25, FALSE)</f>
        <v>0</v>
      </c>
      <c r="AC60">
        <f>VLOOKUP(Table5[[#This Row],[Shortname]], Comp[], 26, FALSE)</f>
        <v>0</v>
      </c>
      <c r="AD60">
        <f>VLOOKUP(Table5[[#This Row],[Shortname]], Comp[], 27, FALSE)</f>
        <v>0</v>
      </c>
      <c r="AE60">
        <f>VLOOKUP(Table5[[#This Row],[Shortname]], Comp[], 28, FALSE)</f>
        <v>0</v>
      </c>
      <c r="AF60">
        <f>VLOOKUP(Table5[[#This Row],[Shortname]], Comp[], 29, FALSE)</f>
        <v>0</v>
      </c>
      <c r="AG60">
        <f>VLOOKUP(Table5[[#This Row],[Shortname]], Comp[], 30, FALSE)</f>
        <v>0</v>
      </c>
      <c r="AH60">
        <f>VLOOKUP(Table5[[#This Row],[Shortname]], Comp[], 31, FALSE)</f>
        <v>0</v>
      </c>
    </row>
    <row r="61" spans="1:34" x14ac:dyDescent="0.3">
      <c r="A61" t="s">
        <v>513</v>
      </c>
      <c r="B61">
        <v>60</v>
      </c>
      <c r="C61" t="str">
        <f>VLOOKUP(Table5[[#This Row],[Shortname]], [1]!comp[#Data], 2, FALSE)</f>
        <v>Co3Ti</v>
      </c>
      <c r="D61" t="s">
        <v>6692</v>
      </c>
      <c r="E61" s="1" t="s">
        <v>6693</v>
      </c>
      <c r="F61">
        <v>1137</v>
      </c>
      <c r="G61">
        <v>1277</v>
      </c>
      <c r="H61">
        <v>1383</v>
      </c>
      <c r="I61">
        <f>VLOOKUP(Table5[[#This Row],[Shortname]], Comp[], 6, FALSE)</f>
        <v>67</v>
      </c>
      <c r="J61" s="14">
        <f>VLOOKUP(Table5[[#This Row],[Shortname]], Comp[], 7, FALSE)</f>
        <v>72.5</v>
      </c>
      <c r="K61">
        <f>VLOOKUP(Table5[[#This Row],[Shortname]], Comp[], 8, FALSE)</f>
        <v>10</v>
      </c>
      <c r="L61">
        <f>VLOOKUP(Table5[[#This Row],[Shortname]], Comp[], 9, FALSE)</f>
        <v>4.5</v>
      </c>
      <c r="M61">
        <f>VLOOKUP(Table5[[#This Row],[Shortname]], Comp[], 10, FALSE)</f>
        <v>0</v>
      </c>
      <c r="N61">
        <f>VLOOKUP(Table5[[#This Row],[Shortname]], Comp[], 11, FALSE)</f>
        <v>5.2</v>
      </c>
      <c r="O61">
        <f>VLOOKUP(Table5[[#This Row],[Shortname]], Comp[],12, FALSE)</f>
        <v>7.8</v>
      </c>
      <c r="P61">
        <f>VLOOKUP(Table5[[#This Row],[Shortname]], Comp[], 13, FALSE)</f>
        <v>0</v>
      </c>
      <c r="Q61">
        <f>VLOOKUP(Table5[[#This Row],[Shortname]], Comp[], 14, FALSE)</f>
        <v>0</v>
      </c>
      <c r="R61">
        <f>VLOOKUP(Table5[[#This Row],[Shortname]], Comp[], 15, FALSE)</f>
        <v>0</v>
      </c>
      <c r="S61">
        <f>VLOOKUP(Table5[[#This Row],[Shortname]], Comp[], 16, FALSE)</f>
        <v>0</v>
      </c>
      <c r="T61">
        <f>VLOOKUP(Table5[[#This Row],[Shortname]], Comp[], 17, FALSE)</f>
        <v>0</v>
      </c>
      <c r="U61">
        <f>VLOOKUP(Table5[[#This Row],[Shortname]], Comp[], 18, FALSE)</f>
        <v>0</v>
      </c>
      <c r="V61">
        <f>VLOOKUP(Table5[[#This Row],[Shortname]], Comp[], 19, FALSE)</f>
        <v>0</v>
      </c>
      <c r="W61">
        <f>VLOOKUP(Table5[[#This Row],[Shortname]], Comp[], 20, FALSE)</f>
        <v>0</v>
      </c>
      <c r="X61">
        <f>VLOOKUP(Table5[[#This Row],[Shortname]], Comp[], 21, FALSE)</f>
        <v>0</v>
      </c>
      <c r="Y61">
        <f>VLOOKUP(Table5[[#This Row],[Shortname]], Comp[], 22, FALSE)</f>
        <v>0</v>
      </c>
      <c r="Z61">
        <f>VLOOKUP(Table5[[#This Row],[Shortname]], Comp[], 23, FALSE)</f>
        <v>0</v>
      </c>
      <c r="AA61">
        <f>VLOOKUP(Table5[[#This Row],[Shortname]], Comp[], 24, FALSE)</f>
        <v>0</v>
      </c>
      <c r="AB61">
        <f>VLOOKUP(Table5[[#This Row],[Shortname]], Comp[], 25, FALSE)</f>
        <v>0</v>
      </c>
      <c r="AC61">
        <f>VLOOKUP(Table5[[#This Row],[Shortname]], Comp[], 26, FALSE)</f>
        <v>0</v>
      </c>
      <c r="AD61">
        <f>VLOOKUP(Table5[[#This Row],[Shortname]], Comp[], 27, FALSE)</f>
        <v>0</v>
      </c>
      <c r="AE61">
        <f>VLOOKUP(Table5[[#This Row],[Shortname]], Comp[], 28, FALSE)</f>
        <v>0</v>
      </c>
      <c r="AF61">
        <f>VLOOKUP(Table5[[#This Row],[Shortname]], Comp[], 29, FALSE)</f>
        <v>0</v>
      </c>
      <c r="AG61">
        <f>VLOOKUP(Table5[[#This Row],[Shortname]], Comp[], 30, FALSE)</f>
        <v>0</v>
      </c>
      <c r="AH61">
        <f>VLOOKUP(Table5[[#This Row],[Shortname]], Comp[], 31, FALSE)</f>
        <v>0</v>
      </c>
    </row>
    <row r="62" spans="1:34" x14ac:dyDescent="0.3">
      <c r="A62" t="s">
        <v>525</v>
      </c>
      <c r="B62">
        <v>61</v>
      </c>
      <c r="C62" t="str">
        <f>VLOOKUP(Table5[[#This Row],[Shortname]], [1]!comp[#Data], 2, FALSE)</f>
        <v>CoAlWX+</v>
      </c>
      <c r="D62" t="s">
        <v>6694</v>
      </c>
      <c r="E62" s="1" t="s">
        <v>6693</v>
      </c>
      <c r="F62">
        <v>1109</v>
      </c>
      <c r="G62">
        <v>1322</v>
      </c>
      <c r="H62">
        <v>1409</v>
      </c>
      <c r="I62">
        <f>VLOOKUP(Table5[[#This Row],[Shortname]], Comp[], 6, FALSE)</f>
        <v>68</v>
      </c>
      <c r="J62" s="14">
        <f>VLOOKUP(Table5[[#This Row],[Shortname]], Comp[], 7, FALSE)</f>
        <v>72.400000000000006</v>
      </c>
      <c r="K62">
        <f>VLOOKUP(Table5[[#This Row],[Shortname]], Comp[], 8, FALSE)</f>
        <v>10.199999999999999</v>
      </c>
      <c r="L62">
        <f>VLOOKUP(Table5[[#This Row],[Shortname]], Comp[], 9, FALSE)</f>
        <v>5.4</v>
      </c>
      <c r="M62">
        <f>VLOOKUP(Table5[[#This Row],[Shortname]], Comp[], 10, FALSE)</f>
        <v>0</v>
      </c>
      <c r="N62">
        <f>VLOOKUP(Table5[[#This Row],[Shortname]], Comp[], 11, FALSE)</f>
        <v>6.1</v>
      </c>
      <c r="O62">
        <f>VLOOKUP(Table5[[#This Row],[Shortname]], Comp[],12, FALSE)</f>
        <v>5.9</v>
      </c>
      <c r="P62">
        <f>VLOOKUP(Table5[[#This Row],[Shortname]], Comp[], 13, FALSE)</f>
        <v>0</v>
      </c>
      <c r="Q62">
        <f>VLOOKUP(Table5[[#This Row],[Shortname]], Comp[], 14, FALSE)</f>
        <v>0</v>
      </c>
      <c r="R62">
        <f>VLOOKUP(Table5[[#This Row],[Shortname]], Comp[], 15, FALSE)</f>
        <v>0</v>
      </c>
      <c r="S62">
        <f>VLOOKUP(Table5[[#This Row],[Shortname]], Comp[], 16, FALSE)</f>
        <v>0</v>
      </c>
      <c r="T62">
        <f>VLOOKUP(Table5[[#This Row],[Shortname]], Comp[], 17, FALSE)</f>
        <v>0</v>
      </c>
      <c r="U62">
        <f>VLOOKUP(Table5[[#This Row],[Shortname]], Comp[], 18, FALSE)</f>
        <v>0</v>
      </c>
      <c r="V62">
        <f>VLOOKUP(Table5[[#This Row],[Shortname]], Comp[], 19, FALSE)</f>
        <v>0</v>
      </c>
      <c r="W62">
        <f>VLOOKUP(Table5[[#This Row],[Shortname]], Comp[], 20, FALSE)</f>
        <v>0</v>
      </c>
      <c r="X62">
        <f>VLOOKUP(Table5[[#This Row],[Shortname]], Comp[], 21, FALSE)</f>
        <v>0</v>
      </c>
      <c r="Y62">
        <f>VLOOKUP(Table5[[#This Row],[Shortname]], Comp[], 22, FALSE)</f>
        <v>0</v>
      </c>
      <c r="Z62">
        <f>VLOOKUP(Table5[[#This Row],[Shortname]], Comp[], 23, FALSE)</f>
        <v>0</v>
      </c>
      <c r="AA62">
        <f>VLOOKUP(Table5[[#This Row],[Shortname]], Comp[], 24, FALSE)</f>
        <v>0</v>
      </c>
      <c r="AB62">
        <f>VLOOKUP(Table5[[#This Row],[Shortname]], Comp[], 25, FALSE)</f>
        <v>0</v>
      </c>
      <c r="AC62">
        <f>VLOOKUP(Table5[[#This Row],[Shortname]], Comp[], 26, FALSE)</f>
        <v>0</v>
      </c>
      <c r="AD62">
        <f>VLOOKUP(Table5[[#This Row],[Shortname]], Comp[], 27, FALSE)</f>
        <v>0</v>
      </c>
      <c r="AE62">
        <f>VLOOKUP(Table5[[#This Row],[Shortname]], Comp[], 28, FALSE)</f>
        <v>0</v>
      </c>
      <c r="AF62">
        <f>VLOOKUP(Table5[[#This Row],[Shortname]], Comp[], 29, FALSE)</f>
        <v>0</v>
      </c>
      <c r="AG62">
        <f>VLOOKUP(Table5[[#This Row],[Shortname]], Comp[], 30, FALSE)</f>
        <v>0</v>
      </c>
      <c r="AH62">
        <f>VLOOKUP(Table5[[#This Row],[Shortname]], Comp[], 31, FALSE)</f>
        <v>0</v>
      </c>
    </row>
    <row r="63" spans="1:34" x14ac:dyDescent="0.3">
      <c r="A63" t="s">
        <v>496</v>
      </c>
      <c r="B63">
        <v>62</v>
      </c>
      <c r="C63" t="str">
        <f>VLOOKUP(Table5[[#This Row],[Shortname]], [1]!comp[#Data], 2, FALSE)</f>
        <v>CoAlWX+</v>
      </c>
      <c r="D63" t="s">
        <v>498</v>
      </c>
      <c r="E63" s="1" t="s">
        <v>6693</v>
      </c>
      <c r="F63">
        <v>1109</v>
      </c>
      <c r="G63">
        <v>1322</v>
      </c>
      <c r="H63">
        <v>1409</v>
      </c>
      <c r="I63">
        <f>VLOOKUP(Table5[[#This Row],[Shortname]], Comp[], 6, FALSE)</f>
        <v>65</v>
      </c>
      <c r="J63" s="14">
        <f>VLOOKUP(Table5[[#This Row],[Shortname]], Comp[], 7, FALSE)</f>
        <v>71.599999999999994</v>
      </c>
      <c r="K63">
        <f>VLOOKUP(Table5[[#This Row],[Shortname]], Comp[], 8, FALSE)</f>
        <v>10.1</v>
      </c>
      <c r="L63">
        <f>VLOOKUP(Table5[[#This Row],[Shortname]], Comp[], 9, FALSE)</f>
        <v>5.2</v>
      </c>
      <c r="M63">
        <f>VLOOKUP(Table5[[#This Row],[Shortname]], Comp[], 10, FALSE)</f>
        <v>0</v>
      </c>
      <c r="N63">
        <f>VLOOKUP(Table5[[#This Row],[Shortname]], Comp[], 11, FALSE)</f>
        <v>6.7</v>
      </c>
      <c r="O63">
        <f>VLOOKUP(Table5[[#This Row],[Shortname]], Comp[],12, FALSE)</f>
        <v>6.4</v>
      </c>
      <c r="P63">
        <f>VLOOKUP(Table5[[#This Row],[Shortname]], Comp[], 13, FALSE)</f>
        <v>0</v>
      </c>
      <c r="Q63">
        <f>VLOOKUP(Table5[[#This Row],[Shortname]], Comp[], 14, FALSE)</f>
        <v>0</v>
      </c>
      <c r="R63">
        <f>VLOOKUP(Table5[[#This Row],[Shortname]], Comp[], 15, FALSE)</f>
        <v>0</v>
      </c>
      <c r="S63">
        <f>VLOOKUP(Table5[[#This Row],[Shortname]], Comp[], 16, FALSE)</f>
        <v>0</v>
      </c>
      <c r="T63">
        <f>VLOOKUP(Table5[[#This Row],[Shortname]], Comp[], 17, FALSE)</f>
        <v>0</v>
      </c>
      <c r="U63">
        <f>VLOOKUP(Table5[[#This Row],[Shortname]], Comp[], 18, FALSE)</f>
        <v>0</v>
      </c>
      <c r="V63">
        <f>VLOOKUP(Table5[[#This Row],[Shortname]], Comp[], 19, FALSE)</f>
        <v>0</v>
      </c>
      <c r="W63">
        <f>VLOOKUP(Table5[[#This Row],[Shortname]], Comp[], 20, FALSE)</f>
        <v>0</v>
      </c>
      <c r="X63">
        <f>VLOOKUP(Table5[[#This Row],[Shortname]], Comp[], 21, FALSE)</f>
        <v>0</v>
      </c>
      <c r="Y63">
        <f>VLOOKUP(Table5[[#This Row],[Shortname]], Comp[], 22, FALSE)</f>
        <v>0</v>
      </c>
      <c r="Z63">
        <f>VLOOKUP(Table5[[#This Row],[Shortname]], Comp[], 23, FALSE)</f>
        <v>0</v>
      </c>
      <c r="AA63">
        <f>VLOOKUP(Table5[[#This Row],[Shortname]], Comp[], 24, FALSE)</f>
        <v>0</v>
      </c>
      <c r="AB63">
        <f>VLOOKUP(Table5[[#This Row],[Shortname]], Comp[], 25, FALSE)</f>
        <v>0</v>
      </c>
      <c r="AC63">
        <f>VLOOKUP(Table5[[#This Row],[Shortname]], Comp[], 26, FALSE)</f>
        <v>0</v>
      </c>
      <c r="AD63">
        <f>VLOOKUP(Table5[[#This Row],[Shortname]], Comp[], 27, FALSE)</f>
        <v>0</v>
      </c>
      <c r="AE63">
        <f>VLOOKUP(Table5[[#This Row],[Shortname]], Comp[], 28, FALSE)</f>
        <v>0</v>
      </c>
      <c r="AF63">
        <f>VLOOKUP(Table5[[#This Row],[Shortname]], Comp[], 29, FALSE)</f>
        <v>0</v>
      </c>
      <c r="AG63">
        <f>VLOOKUP(Table5[[#This Row],[Shortname]], Comp[], 30, FALSE)</f>
        <v>0</v>
      </c>
      <c r="AH63">
        <f>VLOOKUP(Table5[[#This Row],[Shortname]], Comp[], 31, FALSE)</f>
        <v>0</v>
      </c>
    </row>
    <row r="64" spans="1:34" x14ac:dyDescent="0.3">
      <c r="A64" t="s">
        <v>534</v>
      </c>
      <c r="B64">
        <v>63</v>
      </c>
      <c r="C64" t="str">
        <f>VLOOKUP(Table5[[#This Row],[Shortname]], [1]!comp[#Data], 2, FALSE)</f>
        <v>CoAlWX+</v>
      </c>
      <c r="D64" t="s">
        <v>6695</v>
      </c>
      <c r="E64" s="1" t="s">
        <v>6693</v>
      </c>
      <c r="F64">
        <v>1060</v>
      </c>
      <c r="G64">
        <v>1371</v>
      </c>
      <c r="H64">
        <v>1436</v>
      </c>
      <c r="I64">
        <f>VLOOKUP(Table5[[#This Row],[Shortname]], Comp[], 6, FALSE)</f>
        <v>69</v>
      </c>
      <c r="J64" s="14">
        <f>VLOOKUP(Table5[[#This Row],[Shortname]], Comp[], 7, FALSE)</f>
        <v>72.3</v>
      </c>
      <c r="K64">
        <f>VLOOKUP(Table5[[#This Row],[Shortname]], Comp[], 8, FALSE)</f>
        <v>10.3</v>
      </c>
      <c r="L64">
        <f>VLOOKUP(Table5[[#This Row],[Shortname]], Comp[], 9, FALSE)</f>
        <v>6.3</v>
      </c>
      <c r="M64">
        <f>VLOOKUP(Table5[[#This Row],[Shortname]], Comp[], 10, FALSE)</f>
        <v>0</v>
      </c>
      <c r="N64">
        <f>VLOOKUP(Table5[[#This Row],[Shortname]], Comp[], 11, FALSE)</f>
        <v>7</v>
      </c>
      <c r="O64">
        <f>VLOOKUP(Table5[[#This Row],[Shortname]], Comp[],12, FALSE)</f>
        <v>4.0999999999999996</v>
      </c>
      <c r="P64">
        <f>VLOOKUP(Table5[[#This Row],[Shortname]], Comp[], 13, FALSE)</f>
        <v>0</v>
      </c>
      <c r="Q64">
        <f>VLOOKUP(Table5[[#This Row],[Shortname]], Comp[], 14, FALSE)</f>
        <v>0</v>
      </c>
      <c r="R64">
        <f>VLOOKUP(Table5[[#This Row],[Shortname]], Comp[], 15, FALSE)</f>
        <v>0</v>
      </c>
      <c r="S64">
        <f>VLOOKUP(Table5[[#This Row],[Shortname]], Comp[], 16, FALSE)</f>
        <v>0</v>
      </c>
      <c r="T64">
        <f>VLOOKUP(Table5[[#This Row],[Shortname]], Comp[], 17, FALSE)</f>
        <v>0</v>
      </c>
      <c r="U64">
        <f>VLOOKUP(Table5[[#This Row],[Shortname]], Comp[], 18, FALSE)</f>
        <v>0</v>
      </c>
      <c r="V64">
        <f>VLOOKUP(Table5[[#This Row],[Shortname]], Comp[], 19, FALSE)</f>
        <v>0</v>
      </c>
      <c r="W64">
        <f>VLOOKUP(Table5[[#This Row],[Shortname]], Comp[], 20, FALSE)</f>
        <v>0</v>
      </c>
      <c r="X64">
        <f>VLOOKUP(Table5[[#This Row],[Shortname]], Comp[], 21, FALSE)</f>
        <v>0</v>
      </c>
      <c r="Y64">
        <f>VLOOKUP(Table5[[#This Row],[Shortname]], Comp[], 22, FALSE)</f>
        <v>0</v>
      </c>
      <c r="Z64">
        <f>VLOOKUP(Table5[[#This Row],[Shortname]], Comp[], 23, FALSE)</f>
        <v>0</v>
      </c>
      <c r="AA64">
        <f>VLOOKUP(Table5[[#This Row],[Shortname]], Comp[], 24, FALSE)</f>
        <v>0</v>
      </c>
      <c r="AB64">
        <f>VLOOKUP(Table5[[#This Row],[Shortname]], Comp[], 25, FALSE)</f>
        <v>0</v>
      </c>
      <c r="AC64">
        <f>VLOOKUP(Table5[[#This Row],[Shortname]], Comp[], 26, FALSE)</f>
        <v>0</v>
      </c>
      <c r="AD64">
        <f>VLOOKUP(Table5[[#This Row],[Shortname]], Comp[], 27, FALSE)</f>
        <v>0</v>
      </c>
      <c r="AE64">
        <f>VLOOKUP(Table5[[#This Row],[Shortname]], Comp[], 28, FALSE)</f>
        <v>0</v>
      </c>
      <c r="AF64">
        <f>VLOOKUP(Table5[[#This Row],[Shortname]], Comp[], 29, FALSE)</f>
        <v>0</v>
      </c>
      <c r="AG64">
        <f>VLOOKUP(Table5[[#This Row],[Shortname]], Comp[], 30, FALSE)</f>
        <v>0</v>
      </c>
      <c r="AH64">
        <f>VLOOKUP(Table5[[#This Row],[Shortname]], Comp[], 31, FALSE)</f>
        <v>0</v>
      </c>
    </row>
    <row r="65" spans="1:34" x14ac:dyDescent="0.3">
      <c r="A65" t="s">
        <v>544</v>
      </c>
      <c r="B65">
        <v>64</v>
      </c>
      <c r="C65" t="str">
        <f>VLOOKUP(Table5[[#This Row],[Shortname]], [1]!comp[#Data], 2, FALSE)</f>
        <v>CoAlWX+</v>
      </c>
      <c r="D65" t="s">
        <v>6696</v>
      </c>
      <c r="E65" s="1" t="s">
        <v>6693</v>
      </c>
      <c r="F65">
        <v>1035</v>
      </c>
      <c r="G65">
        <v>1398</v>
      </c>
      <c r="H65">
        <v>1458</v>
      </c>
      <c r="I65">
        <f>VLOOKUP(Table5[[#This Row],[Shortname]], Comp[], 6, FALSE)</f>
        <v>70</v>
      </c>
      <c r="J65" s="14">
        <f>VLOOKUP(Table5[[#This Row],[Shortname]], Comp[], 7, FALSE)</f>
        <v>72.3</v>
      </c>
      <c r="K65">
        <f>VLOOKUP(Table5[[#This Row],[Shortname]], Comp[], 8, FALSE)</f>
        <v>10.199999999999999</v>
      </c>
      <c r="L65">
        <f>VLOOKUP(Table5[[#This Row],[Shortname]], Comp[], 9, FALSE)</f>
        <v>7.3</v>
      </c>
      <c r="M65">
        <f>VLOOKUP(Table5[[#This Row],[Shortname]], Comp[], 10, FALSE)</f>
        <v>0</v>
      </c>
      <c r="N65">
        <f>VLOOKUP(Table5[[#This Row],[Shortname]], Comp[], 11, FALSE)</f>
        <v>8</v>
      </c>
      <c r="O65">
        <f>VLOOKUP(Table5[[#This Row],[Shortname]], Comp[],12, FALSE)</f>
        <v>2.2000000000000002</v>
      </c>
      <c r="P65">
        <f>VLOOKUP(Table5[[#This Row],[Shortname]], Comp[], 13, FALSE)</f>
        <v>0</v>
      </c>
      <c r="Q65">
        <f>VLOOKUP(Table5[[#This Row],[Shortname]], Comp[], 14, FALSE)</f>
        <v>0</v>
      </c>
      <c r="R65">
        <f>VLOOKUP(Table5[[#This Row],[Shortname]], Comp[], 15, FALSE)</f>
        <v>0</v>
      </c>
      <c r="S65">
        <f>VLOOKUP(Table5[[#This Row],[Shortname]], Comp[], 16, FALSE)</f>
        <v>0</v>
      </c>
      <c r="T65">
        <f>VLOOKUP(Table5[[#This Row],[Shortname]], Comp[], 17, FALSE)</f>
        <v>0</v>
      </c>
      <c r="U65">
        <f>VLOOKUP(Table5[[#This Row],[Shortname]], Comp[], 18, FALSE)</f>
        <v>0</v>
      </c>
      <c r="V65">
        <f>VLOOKUP(Table5[[#This Row],[Shortname]], Comp[], 19, FALSE)</f>
        <v>0</v>
      </c>
      <c r="W65">
        <f>VLOOKUP(Table5[[#This Row],[Shortname]], Comp[], 20, FALSE)</f>
        <v>0</v>
      </c>
      <c r="X65">
        <f>VLOOKUP(Table5[[#This Row],[Shortname]], Comp[], 21, FALSE)</f>
        <v>0</v>
      </c>
      <c r="Y65">
        <f>VLOOKUP(Table5[[#This Row],[Shortname]], Comp[], 22, FALSE)</f>
        <v>0</v>
      </c>
      <c r="Z65">
        <f>VLOOKUP(Table5[[#This Row],[Shortname]], Comp[], 23, FALSE)</f>
        <v>0</v>
      </c>
      <c r="AA65">
        <f>VLOOKUP(Table5[[#This Row],[Shortname]], Comp[], 24, FALSE)</f>
        <v>0</v>
      </c>
      <c r="AB65">
        <f>VLOOKUP(Table5[[#This Row],[Shortname]], Comp[], 25, FALSE)</f>
        <v>0</v>
      </c>
      <c r="AC65">
        <f>VLOOKUP(Table5[[#This Row],[Shortname]], Comp[], 26, FALSE)</f>
        <v>0</v>
      </c>
      <c r="AD65">
        <f>VLOOKUP(Table5[[#This Row],[Shortname]], Comp[], 27, FALSE)</f>
        <v>0</v>
      </c>
      <c r="AE65">
        <f>VLOOKUP(Table5[[#This Row],[Shortname]], Comp[], 28, FALSE)</f>
        <v>0</v>
      </c>
      <c r="AF65">
        <f>VLOOKUP(Table5[[#This Row],[Shortname]], Comp[], 29, FALSE)</f>
        <v>0</v>
      </c>
      <c r="AG65">
        <f>VLOOKUP(Table5[[#This Row],[Shortname]], Comp[], 30, FALSE)</f>
        <v>0</v>
      </c>
      <c r="AH65">
        <f>VLOOKUP(Table5[[#This Row],[Shortname]], Comp[], 31, FALSE)</f>
        <v>0</v>
      </c>
    </row>
    <row r="66" spans="1:34" x14ac:dyDescent="0.3">
      <c r="A66" t="s">
        <v>604</v>
      </c>
      <c r="B66">
        <v>65</v>
      </c>
      <c r="C66" t="str">
        <f>VLOOKUP(Table5[[#This Row],[Shortname]], [1]!comp[#Data], 2, FALSE)</f>
        <v>Co3Ti</v>
      </c>
      <c r="D66" t="s">
        <v>606</v>
      </c>
      <c r="E66" s="1" t="s">
        <v>6693</v>
      </c>
      <c r="F66">
        <v>1031</v>
      </c>
      <c r="G66">
        <v>1316</v>
      </c>
      <c r="H66">
        <v>1382</v>
      </c>
      <c r="I66">
        <f>VLOOKUP(Table5[[#This Row],[Shortname]], Comp[], 6, FALSE)</f>
        <v>78</v>
      </c>
      <c r="J66" s="14">
        <f>VLOOKUP(Table5[[#This Row],[Shortname]], Comp[], 7, FALSE)</f>
        <v>74.099999999999994</v>
      </c>
      <c r="K66">
        <f>VLOOKUP(Table5[[#This Row],[Shortname]], Comp[], 8, FALSE)</f>
        <v>10.1</v>
      </c>
      <c r="L66">
        <f>VLOOKUP(Table5[[#This Row],[Shortname]], Comp[], 9, FALSE)</f>
        <v>5.7</v>
      </c>
      <c r="M66">
        <f>VLOOKUP(Table5[[#This Row],[Shortname]], Comp[], 10, FALSE)</f>
        <v>0</v>
      </c>
      <c r="N66">
        <f>VLOOKUP(Table5[[#This Row],[Shortname]], Comp[], 11, FALSE)</f>
        <v>3.9</v>
      </c>
      <c r="O66">
        <f>VLOOKUP(Table5[[#This Row],[Shortname]], Comp[],12, FALSE)</f>
        <v>6.2</v>
      </c>
      <c r="P66">
        <f>VLOOKUP(Table5[[#This Row],[Shortname]], Comp[], 13, FALSE)</f>
        <v>0</v>
      </c>
      <c r="Q66">
        <f>VLOOKUP(Table5[[#This Row],[Shortname]], Comp[], 14, FALSE)</f>
        <v>0</v>
      </c>
      <c r="R66">
        <f>VLOOKUP(Table5[[#This Row],[Shortname]], Comp[], 15, FALSE)</f>
        <v>0</v>
      </c>
      <c r="S66">
        <f>VLOOKUP(Table5[[#This Row],[Shortname]], Comp[], 16, FALSE)</f>
        <v>0</v>
      </c>
      <c r="T66">
        <f>VLOOKUP(Table5[[#This Row],[Shortname]], Comp[], 17, FALSE)</f>
        <v>0</v>
      </c>
      <c r="U66">
        <f>VLOOKUP(Table5[[#This Row],[Shortname]], Comp[], 18, FALSE)</f>
        <v>0</v>
      </c>
      <c r="V66">
        <f>VLOOKUP(Table5[[#This Row],[Shortname]], Comp[], 19, FALSE)</f>
        <v>0</v>
      </c>
      <c r="W66">
        <f>VLOOKUP(Table5[[#This Row],[Shortname]], Comp[], 20, FALSE)</f>
        <v>0</v>
      </c>
      <c r="X66">
        <f>VLOOKUP(Table5[[#This Row],[Shortname]], Comp[], 21, FALSE)</f>
        <v>0</v>
      </c>
      <c r="Y66">
        <f>VLOOKUP(Table5[[#This Row],[Shortname]], Comp[], 22, FALSE)</f>
        <v>0</v>
      </c>
      <c r="Z66">
        <f>VLOOKUP(Table5[[#This Row],[Shortname]], Comp[], 23, FALSE)</f>
        <v>0</v>
      </c>
      <c r="AA66">
        <f>VLOOKUP(Table5[[#This Row],[Shortname]], Comp[], 24, FALSE)</f>
        <v>0</v>
      </c>
      <c r="AB66">
        <f>VLOOKUP(Table5[[#This Row],[Shortname]], Comp[], 25, FALSE)</f>
        <v>0</v>
      </c>
      <c r="AC66">
        <f>VLOOKUP(Table5[[#This Row],[Shortname]], Comp[], 26, FALSE)</f>
        <v>0</v>
      </c>
      <c r="AD66">
        <f>VLOOKUP(Table5[[#This Row],[Shortname]], Comp[], 27, FALSE)</f>
        <v>0</v>
      </c>
      <c r="AE66">
        <f>VLOOKUP(Table5[[#This Row],[Shortname]], Comp[], 28, FALSE)</f>
        <v>0</v>
      </c>
      <c r="AF66">
        <f>VLOOKUP(Table5[[#This Row],[Shortname]], Comp[], 29, FALSE)</f>
        <v>0</v>
      </c>
      <c r="AG66">
        <f>VLOOKUP(Table5[[#This Row],[Shortname]], Comp[], 30, FALSE)</f>
        <v>0</v>
      </c>
      <c r="AH66">
        <f>VLOOKUP(Table5[[#This Row],[Shortname]], Comp[], 31, FALSE)</f>
        <v>0</v>
      </c>
    </row>
    <row r="67" spans="1:34" x14ac:dyDescent="0.3">
      <c r="A67" t="s">
        <v>552</v>
      </c>
      <c r="B67">
        <v>66</v>
      </c>
      <c r="C67" t="str">
        <f>VLOOKUP(Table5[[#This Row],[Shortname]], [1]!comp[#Data], 2, FALSE)</f>
        <v>CoAlWX+</v>
      </c>
      <c r="D67" t="s">
        <v>6697</v>
      </c>
      <c r="E67" s="1" t="s">
        <v>6693</v>
      </c>
      <c r="F67">
        <v>982</v>
      </c>
      <c r="G67">
        <v>1459</v>
      </c>
      <c r="H67">
        <v>1489</v>
      </c>
      <c r="I67">
        <f>VLOOKUP(Table5[[#This Row],[Shortname]], Comp[], 6, FALSE)</f>
        <v>71</v>
      </c>
      <c r="J67" s="14">
        <f>VLOOKUP(Table5[[#This Row],[Shortname]], Comp[], 7, FALSE)</f>
        <v>72.800000000000011</v>
      </c>
      <c r="K67">
        <f>VLOOKUP(Table5[[#This Row],[Shortname]], Comp[], 8, FALSE)</f>
        <v>10.199999999999999</v>
      </c>
      <c r="L67">
        <f>VLOOKUP(Table5[[#This Row],[Shortname]], Comp[], 9, FALSE)</f>
        <v>8.1</v>
      </c>
      <c r="M67">
        <f>VLOOKUP(Table5[[#This Row],[Shortname]], Comp[], 10, FALSE)</f>
        <v>0</v>
      </c>
      <c r="N67">
        <f>VLOOKUP(Table5[[#This Row],[Shortname]], Comp[], 11, FALSE)</f>
        <v>8.9</v>
      </c>
      <c r="O67">
        <f>VLOOKUP(Table5[[#This Row],[Shortname]], Comp[],12, FALSE)</f>
        <v>0</v>
      </c>
      <c r="P67">
        <f>VLOOKUP(Table5[[#This Row],[Shortname]], Comp[], 13, FALSE)</f>
        <v>0</v>
      </c>
      <c r="Q67">
        <f>VLOOKUP(Table5[[#This Row],[Shortname]], Comp[], 14, FALSE)</f>
        <v>0</v>
      </c>
      <c r="R67">
        <f>VLOOKUP(Table5[[#This Row],[Shortname]], Comp[], 15, FALSE)</f>
        <v>0</v>
      </c>
      <c r="S67">
        <f>VLOOKUP(Table5[[#This Row],[Shortname]], Comp[], 16, FALSE)</f>
        <v>0</v>
      </c>
      <c r="T67">
        <f>VLOOKUP(Table5[[#This Row],[Shortname]], Comp[], 17, FALSE)</f>
        <v>0</v>
      </c>
      <c r="U67">
        <f>VLOOKUP(Table5[[#This Row],[Shortname]], Comp[], 18, FALSE)</f>
        <v>0</v>
      </c>
      <c r="V67">
        <f>VLOOKUP(Table5[[#This Row],[Shortname]], Comp[], 19, FALSE)</f>
        <v>0</v>
      </c>
      <c r="W67">
        <f>VLOOKUP(Table5[[#This Row],[Shortname]], Comp[], 20, FALSE)</f>
        <v>0</v>
      </c>
      <c r="X67">
        <f>VLOOKUP(Table5[[#This Row],[Shortname]], Comp[], 21, FALSE)</f>
        <v>0</v>
      </c>
      <c r="Y67">
        <f>VLOOKUP(Table5[[#This Row],[Shortname]], Comp[], 22, FALSE)</f>
        <v>0</v>
      </c>
      <c r="Z67">
        <f>VLOOKUP(Table5[[#This Row],[Shortname]], Comp[], 23, FALSE)</f>
        <v>0</v>
      </c>
      <c r="AA67">
        <f>VLOOKUP(Table5[[#This Row],[Shortname]], Comp[], 24, FALSE)</f>
        <v>0</v>
      </c>
      <c r="AB67">
        <f>VLOOKUP(Table5[[#This Row],[Shortname]], Comp[], 25, FALSE)</f>
        <v>0</v>
      </c>
      <c r="AC67">
        <f>VLOOKUP(Table5[[#This Row],[Shortname]], Comp[], 26, FALSE)</f>
        <v>0</v>
      </c>
      <c r="AD67">
        <f>VLOOKUP(Table5[[#This Row],[Shortname]], Comp[], 27, FALSE)</f>
        <v>0</v>
      </c>
      <c r="AE67">
        <f>VLOOKUP(Table5[[#This Row],[Shortname]], Comp[], 28, FALSE)</f>
        <v>0</v>
      </c>
      <c r="AF67">
        <f>VLOOKUP(Table5[[#This Row],[Shortname]], Comp[], 29, FALSE)</f>
        <v>0</v>
      </c>
      <c r="AG67">
        <f>VLOOKUP(Table5[[#This Row],[Shortname]], Comp[], 30, FALSE)</f>
        <v>0</v>
      </c>
      <c r="AH67">
        <f>VLOOKUP(Table5[[#This Row],[Shortname]], Comp[], 31, FALSE)</f>
        <v>0</v>
      </c>
    </row>
    <row r="68" spans="1:34" x14ac:dyDescent="0.3">
      <c r="A68" t="s">
        <v>506</v>
      </c>
      <c r="B68">
        <v>67</v>
      </c>
      <c r="C68" t="str">
        <f>VLOOKUP(Table5[[#This Row],[Shortname]], [1]!comp[#Data], 2, FALSE)</f>
        <v>CoAlW-X</v>
      </c>
      <c r="D68" t="s">
        <v>506</v>
      </c>
      <c r="E68" s="1" t="s">
        <v>6693</v>
      </c>
      <c r="F68">
        <v>948.8</v>
      </c>
      <c r="I68">
        <f>VLOOKUP(Table5[[#This Row],[Shortname]], Comp[], 6, FALSE)</f>
        <v>66</v>
      </c>
      <c r="J68" s="14">
        <f>VLOOKUP(Table5[[#This Row],[Shortname]], Comp[], 7, FALSE)</f>
        <v>83.8</v>
      </c>
      <c r="K68">
        <f>VLOOKUP(Table5[[#This Row],[Shortname]], Comp[], 8, FALSE)</f>
        <v>0</v>
      </c>
      <c r="L68">
        <f>VLOOKUP(Table5[[#This Row],[Shortname]], Comp[], 9, FALSE)</f>
        <v>8.9</v>
      </c>
      <c r="M68">
        <f>VLOOKUP(Table5[[#This Row],[Shortname]], Comp[], 10, FALSE)</f>
        <v>0</v>
      </c>
      <c r="N68">
        <f>VLOOKUP(Table5[[#This Row],[Shortname]], Comp[], 11, FALSE)</f>
        <v>7.3</v>
      </c>
      <c r="O68">
        <f>VLOOKUP(Table5[[#This Row],[Shortname]], Comp[],12, FALSE)</f>
        <v>0</v>
      </c>
      <c r="P68">
        <f>VLOOKUP(Table5[[#This Row],[Shortname]], Comp[], 13, FALSE)</f>
        <v>0</v>
      </c>
      <c r="Q68">
        <f>VLOOKUP(Table5[[#This Row],[Shortname]], Comp[], 14, FALSE)</f>
        <v>0</v>
      </c>
      <c r="R68">
        <f>VLOOKUP(Table5[[#This Row],[Shortname]], Comp[], 15, FALSE)</f>
        <v>0</v>
      </c>
      <c r="S68">
        <f>VLOOKUP(Table5[[#This Row],[Shortname]], Comp[], 16, FALSE)</f>
        <v>0</v>
      </c>
      <c r="T68">
        <f>VLOOKUP(Table5[[#This Row],[Shortname]], Comp[], 17, FALSE)</f>
        <v>0</v>
      </c>
      <c r="U68">
        <f>VLOOKUP(Table5[[#This Row],[Shortname]], Comp[], 18, FALSE)</f>
        <v>0</v>
      </c>
      <c r="V68">
        <f>VLOOKUP(Table5[[#This Row],[Shortname]], Comp[], 19, FALSE)</f>
        <v>0</v>
      </c>
      <c r="W68">
        <f>VLOOKUP(Table5[[#This Row],[Shortname]], Comp[], 20, FALSE)</f>
        <v>0</v>
      </c>
      <c r="X68">
        <f>VLOOKUP(Table5[[#This Row],[Shortname]], Comp[], 21, FALSE)</f>
        <v>0</v>
      </c>
      <c r="Y68">
        <f>VLOOKUP(Table5[[#This Row],[Shortname]], Comp[], 22, FALSE)</f>
        <v>0</v>
      </c>
      <c r="Z68">
        <f>VLOOKUP(Table5[[#This Row],[Shortname]], Comp[], 23, FALSE)</f>
        <v>0</v>
      </c>
      <c r="AA68">
        <f>VLOOKUP(Table5[[#This Row],[Shortname]], Comp[], 24, FALSE)</f>
        <v>0</v>
      </c>
      <c r="AB68">
        <f>VLOOKUP(Table5[[#This Row],[Shortname]], Comp[], 25, FALSE)</f>
        <v>0</v>
      </c>
      <c r="AC68">
        <f>VLOOKUP(Table5[[#This Row],[Shortname]], Comp[], 26, FALSE)</f>
        <v>0</v>
      </c>
      <c r="AD68">
        <f>VLOOKUP(Table5[[#This Row],[Shortname]], Comp[], 27, FALSE)</f>
        <v>0</v>
      </c>
      <c r="AE68">
        <f>VLOOKUP(Table5[[#This Row],[Shortname]], Comp[], 28, FALSE)</f>
        <v>0</v>
      </c>
      <c r="AF68">
        <f>VLOOKUP(Table5[[#This Row],[Shortname]], Comp[], 29, FALSE)</f>
        <v>0</v>
      </c>
      <c r="AG68">
        <f>VLOOKUP(Table5[[#This Row],[Shortname]], Comp[], 30, FALSE)</f>
        <v>0</v>
      </c>
      <c r="AH68">
        <f>VLOOKUP(Table5[[#This Row],[Shortname]], Comp[], 31, FALSE)</f>
        <v>0</v>
      </c>
    </row>
    <row r="69" spans="1:34" x14ac:dyDescent="0.3">
      <c r="A69" t="s">
        <v>612</v>
      </c>
      <c r="B69">
        <v>68</v>
      </c>
      <c r="C69" t="str">
        <f>VLOOKUP(Table5[[#This Row],[Shortname]], [1]!comp[#Data], 2, FALSE)</f>
        <v>Co3Ti</v>
      </c>
      <c r="D69" t="s">
        <v>614</v>
      </c>
      <c r="E69" s="1" t="s">
        <v>6693</v>
      </c>
      <c r="F69">
        <v>927</v>
      </c>
      <c r="G69">
        <v>1312</v>
      </c>
      <c r="H69">
        <v>1380</v>
      </c>
      <c r="I69">
        <f>VLOOKUP(Table5[[#This Row],[Shortname]], Comp[], 6, FALSE)</f>
        <v>79</v>
      </c>
      <c r="J69" s="14">
        <f>VLOOKUP(Table5[[#This Row],[Shortname]], Comp[], 7, FALSE)</f>
        <v>76</v>
      </c>
      <c r="K69">
        <f>VLOOKUP(Table5[[#This Row],[Shortname]], Comp[], 8, FALSE)</f>
        <v>10</v>
      </c>
      <c r="L69">
        <f>VLOOKUP(Table5[[#This Row],[Shortname]], Comp[], 9, FALSE)</f>
        <v>5.9</v>
      </c>
      <c r="M69">
        <f>VLOOKUP(Table5[[#This Row],[Shortname]], Comp[], 10, FALSE)</f>
        <v>0</v>
      </c>
      <c r="N69">
        <f>VLOOKUP(Table5[[#This Row],[Shortname]], Comp[], 11, FALSE)</f>
        <v>2</v>
      </c>
      <c r="O69">
        <f>VLOOKUP(Table5[[#This Row],[Shortname]], Comp[],12, FALSE)</f>
        <v>6.1</v>
      </c>
      <c r="P69">
        <f>VLOOKUP(Table5[[#This Row],[Shortname]], Comp[], 13, FALSE)</f>
        <v>0</v>
      </c>
      <c r="Q69">
        <f>VLOOKUP(Table5[[#This Row],[Shortname]], Comp[], 14, FALSE)</f>
        <v>0</v>
      </c>
      <c r="R69">
        <f>VLOOKUP(Table5[[#This Row],[Shortname]], Comp[], 15, FALSE)</f>
        <v>0</v>
      </c>
      <c r="S69">
        <f>VLOOKUP(Table5[[#This Row],[Shortname]], Comp[], 16, FALSE)</f>
        <v>0</v>
      </c>
      <c r="T69">
        <f>VLOOKUP(Table5[[#This Row],[Shortname]], Comp[], 17, FALSE)</f>
        <v>0</v>
      </c>
      <c r="U69">
        <f>VLOOKUP(Table5[[#This Row],[Shortname]], Comp[], 18, FALSE)</f>
        <v>0</v>
      </c>
      <c r="V69">
        <f>VLOOKUP(Table5[[#This Row],[Shortname]], Comp[], 19, FALSE)</f>
        <v>0</v>
      </c>
      <c r="W69">
        <f>VLOOKUP(Table5[[#This Row],[Shortname]], Comp[], 20, FALSE)</f>
        <v>0</v>
      </c>
      <c r="X69">
        <f>VLOOKUP(Table5[[#This Row],[Shortname]], Comp[], 21, FALSE)</f>
        <v>0</v>
      </c>
      <c r="Y69">
        <f>VLOOKUP(Table5[[#This Row],[Shortname]], Comp[], 22, FALSE)</f>
        <v>0</v>
      </c>
      <c r="Z69">
        <f>VLOOKUP(Table5[[#This Row],[Shortname]], Comp[], 23, FALSE)</f>
        <v>0</v>
      </c>
      <c r="AA69">
        <f>VLOOKUP(Table5[[#This Row],[Shortname]], Comp[], 24, FALSE)</f>
        <v>0</v>
      </c>
      <c r="AB69">
        <f>VLOOKUP(Table5[[#This Row],[Shortname]], Comp[], 25, FALSE)</f>
        <v>0</v>
      </c>
      <c r="AC69">
        <f>VLOOKUP(Table5[[#This Row],[Shortname]], Comp[], 26, FALSE)</f>
        <v>0</v>
      </c>
      <c r="AD69">
        <f>VLOOKUP(Table5[[#This Row],[Shortname]], Comp[], 27, FALSE)</f>
        <v>0</v>
      </c>
      <c r="AE69">
        <f>VLOOKUP(Table5[[#This Row],[Shortname]], Comp[], 28, FALSE)</f>
        <v>0</v>
      </c>
      <c r="AF69">
        <f>VLOOKUP(Table5[[#This Row],[Shortname]], Comp[], 29, FALSE)</f>
        <v>0</v>
      </c>
      <c r="AG69">
        <f>VLOOKUP(Table5[[#This Row],[Shortname]], Comp[], 30, FALSE)</f>
        <v>0</v>
      </c>
      <c r="AH69">
        <f>VLOOKUP(Table5[[#This Row],[Shortname]], Comp[], 31, FALSE)</f>
        <v>0</v>
      </c>
    </row>
    <row r="70" spans="1:34" x14ac:dyDescent="0.3">
      <c r="A70" t="s">
        <v>595</v>
      </c>
      <c r="B70">
        <v>69</v>
      </c>
      <c r="C70" t="str">
        <f>VLOOKUP(Table5[[#This Row],[Shortname]], [1]!comp[#Data], 2, FALSE)</f>
        <v>Co3Ti</v>
      </c>
      <c r="D70" t="s">
        <v>597</v>
      </c>
      <c r="E70" s="1" t="s">
        <v>6693</v>
      </c>
      <c r="F70">
        <v>850</v>
      </c>
      <c r="G70">
        <v>1310</v>
      </c>
      <c r="H70">
        <v>1378</v>
      </c>
      <c r="I70">
        <f>VLOOKUP(Table5[[#This Row],[Shortname]], Comp[], 6, FALSE)</f>
        <v>77</v>
      </c>
      <c r="J70" s="14">
        <f>VLOOKUP(Table5[[#This Row],[Shortname]], Comp[], 7, FALSE)</f>
        <v>78</v>
      </c>
      <c r="K70">
        <f>VLOOKUP(Table5[[#This Row],[Shortname]], Comp[], 8, FALSE)</f>
        <v>10</v>
      </c>
      <c r="L70">
        <f>VLOOKUP(Table5[[#This Row],[Shortname]], Comp[], 9, FALSE)</f>
        <v>5.8</v>
      </c>
      <c r="M70">
        <f>VLOOKUP(Table5[[#This Row],[Shortname]], Comp[], 10, FALSE)</f>
        <v>0</v>
      </c>
      <c r="N70">
        <f>VLOOKUP(Table5[[#This Row],[Shortname]], Comp[], 11, FALSE)</f>
        <v>0</v>
      </c>
      <c r="O70">
        <f>VLOOKUP(Table5[[#This Row],[Shortname]], Comp[],12, FALSE)</f>
        <v>6.2</v>
      </c>
      <c r="P70">
        <f>VLOOKUP(Table5[[#This Row],[Shortname]], Comp[], 13, FALSE)</f>
        <v>0</v>
      </c>
      <c r="Q70">
        <f>VLOOKUP(Table5[[#This Row],[Shortname]], Comp[], 14, FALSE)</f>
        <v>0</v>
      </c>
      <c r="R70">
        <f>VLOOKUP(Table5[[#This Row],[Shortname]], Comp[], 15, FALSE)</f>
        <v>0</v>
      </c>
      <c r="S70">
        <f>VLOOKUP(Table5[[#This Row],[Shortname]], Comp[], 16, FALSE)</f>
        <v>0</v>
      </c>
      <c r="T70">
        <f>VLOOKUP(Table5[[#This Row],[Shortname]], Comp[], 17, FALSE)</f>
        <v>0</v>
      </c>
      <c r="U70">
        <f>VLOOKUP(Table5[[#This Row],[Shortname]], Comp[], 18, FALSE)</f>
        <v>0</v>
      </c>
      <c r="V70">
        <f>VLOOKUP(Table5[[#This Row],[Shortname]], Comp[], 19, FALSE)</f>
        <v>0</v>
      </c>
      <c r="W70">
        <f>VLOOKUP(Table5[[#This Row],[Shortname]], Comp[], 20, FALSE)</f>
        <v>0</v>
      </c>
      <c r="X70">
        <f>VLOOKUP(Table5[[#This Row],[Shortname]], Comp[], 21, FALSE)</f>
        <v>0</v>
      </c>
      <c r="Y70">
        <f>VLOOKUP(Table5[[#This Row],[Shortname]], Comp[], 22, FALSE)</f>
        <v>0</v>
      </c>
      <c r="Z70">
        <f>VLOOKUP(Table5[[#This Row],[Shortname]], Comp[], 23, FALSE)</f>
        <v>0</v>
      </c>
      <c r="AA70">
        <f>VLOOKUP(Table5[[#This Row],[Shortname]], Comp[], 24, FALSE)</f>
        <v>0</v>
      </c>
      <c r="AB70">
        <f>VLOOKUP(Table5[[#This Row],[Shortname]], Comp[], 25, FALSE)</f>
        <v>0</v>
      </c>
      <c r="AC70">
        <f>VLOOKUP(Table5[[#This Row],[Shortname]], Comp[], 26, FALSE)</f>
        <v>0</v>
      </c>
      <c r="AD70">
        <f>VLOOKUP(Table5[[#This Row],[Shortname]], Comp[], 27, FALSE)</f>
        <v>0</v>
      </c>
      <c r="AE70">
        <f>VLOOKUP(Table5[[#This Row],[Shortname]], Comp[], 28, FALSE)</f>
        <v>0</v>
      </c>
      <c r="AF70">
        <f>VLOOKUP(Table5[[#This Row],[Shortname]], Comp[], 29, FALSE)</f>
        <v>0</v>
      </c>
      <c r="AG70">
        <f>VLOOKUP(Table5[[#This Row],[Shortname]], Comp[], 30, FALSE)</f>
        <v>0</v>
      </c>
      <c r="AH70">
        <f>VLOOKUP(Table5[[#This Row],[Shortname]], Comp[], 31, FALSE)</f>
        <v>0</v>
      </c>
    </row>
    <row r="71" spans="1:34" x14ac:dyDescent="0.3">
      <c r="A71" t="s">
        <v>652</v>
      </c>
      <c r="B71">
        <v>70</v>
      </c>
      <c r="C71" t="str">
        <f>VLOOKUP(Table5[[#This Row],[Shortname]], [1]!comp[#Data], 2, FALSE)</f>
        <v>CoAlWX+</v>
      </c>
      <c r="D71" t="s">
        <v>654</v>
      </c>
      <c r="E71" s="16" t="s">
        <v>6698</v>
      </c>
      <c r="F71">
        <v>1100</v>
      </c>
      <c r="H71">
        <v>1372</v>
      </c>
      <c r="I71">
        <f>VLOOKUP(Table5[[#This Row],[Shortname]], Comp[], 6, FALSE)</f>
        <v>84</v>
      </c>
      <c r="J71" s="14">
        <f>VLOOKUP(Table5[[#This Row],[Shortname]], Comp[], 7, FALSE)</f>
        <v>73.400000000000006</v>
      </c>
      <c r="K71">
        <f>VLOOKUP(Table5[[#This Row],[Shortname]], Comp[], 8, FALSE)</f>
        <v>0</v>
      </c>
      <c r="L71">
        <f>VLOOKUP(Table5[[#This Row],[Shortname]], Comp[], 9, FALSE)</f>
        <v>11.7</v>
      </c>
      <c r="M71">
        <f>VLOOKUP(Table5[[#This Row],[Shortname]], Comp[], 10, FALSE)</f>
        <v>0</v>
      </c>
      <c r="N71">
        <f>VLOOKUP(Table5[[#This Row],[Shortname]], Comp[], 11, FALSE)</f>
        <v>14.01</v>
      </c>
      <c r="O71">
        <f>VLOOKUP(Table5[[#This Row],[Shortname]], Comp[],12, FALSE)</f>
        <v>0.48</v>
      </c>
      <c r="P71">
        <f>VLOOKUP(Table5[[#This Row],[Shortname]], Comp[], 13, FALSE)</f>
        <v>0.41</v>
      </c>
      <c r="Q71">
        <f>VLOOKUP(Table5[[#This Row],[Shortname]], Comp[], 14, FALSE)</f>
        <v>0</v>
      </c>
      <c r="R71">
        <f>VLOOKUP(Table5[[#This Row],[Shortname]], Comp[], 15, FALSE)</f>
        <v>0</v>
      </c>
      <c r="S71">
        <f>VLOOKUP(Table5[[#This Row],[Shortname]], Comp[], 16, FALSE)</f>
        <v>0</v>
      </c>
      <c r="T71">
        <f>VLOOKUP(Table5[[#This Row],[Shortname]], Comp[], 17, FALSE)</f>
        <v>0</v>
      </c>
      <c r="U71">
        <f>VLOOKUP(Table5[[#This Row],[Shortname]], Comp[], 18, FALSE)</f>
        <v>0</v>
      </c>
      <c r="V71">
        <f>VLOOKUP(Table5[[#This Row],[Shortname]], Comp[], 19, FALSE)</f>
        <v>0</v>
      </c>
      <c r="W71">
        <f>VLOOKUP(Table5[[#This Row],[Shortname]], Comp[], 20, FALSE)</f>
        <v>0</v>
      </c>
      <c r="X71">
        <f>VLOOKUP(Table5[[#This Row],[Shortname]], Comp[], 21, FALSE)</f>
        <v>0</v>
      </c>
      <c r="Y71">
        <f>VLOOKUP(Table5[[#This Row],[Shortname]], Comp[], 22, FALSE)</f>
        <v>0</v>
      </c>
      <c r="Z71">
        <f>VLOOKUP(Table5[[#This Row],[Shortname]], Comp[], 23, FALSE)</f>
        <v>0</v>
      </c>
      <c r="AA71">
        <f>VLOOKUP(Table5[[#This Row],[Shortname]], Comp[], 24, FALSE)</f>
        <v>0</v>
      </c>
      <c r="AB71">
        <f>VLOOKUP(Table5[[#This Row],[Shortname]], Comp[], 25, FALSE)</f>
        <v>0</v>
      </c>
      <c r="AC71">
        <f>VLOOKUP(Table5[[#This Row],[Shortname]], Comp[], 26, FALSE)</f>
        <v>0</v>
      </c>
      <c r="AD71">
        <f>VLOOKUP(Table5[[#This Row],[Shortname]], Comp[], 27, FALSE)</f>
        <v>0</v>
      </c>
      <c r="AE71">
        <f>VLOOKUP(Table5[[#This Row],[Shortname]], Comp[], 28, FALSE)</f>
        <v>0</v>
      </c>
      <c r="AF71">
        <f>VLOOKUP(Table5[[#This Row],[Shortname]], Comp[], 29, FALSE)</f>
        <v>0</v>
      </c>
      <c r="AG71">
        <f>VLOOKUP(Table5[[#This Row],[Shortname]], Comp[], 30, FALSE)</f>
        <v>0</v>
      </c>
      <c r="AH71">
        <f>VLOOKUP(Table5[[#This Row],[Shortname]], Comp[], 31, FALSE)</f>
        <v>0</v>
      </c>
    </row>
    <row r="72" spans="1:34" x14ac:dyDescent="0.3">
      <c r="A72" t="s">
        <v>664</v>
      </c>
      <c r="B72">
        <v>71</v>
      </c>
      <c r="C72" t="str">
        <f>VLOOKUP(Table5[[#This Row],[Shortname]], [1]!comp[#Data], 2, FALSE)</f>
        <v>CoAlW-X</v>
      </c>
      <c r="D72" t="s">
        <v>666</v>
      </c>
      <c r="E72" s="16" t="s">
        <v>6699</v>
      </c>
      <c r="F72">
        <v>1010</v>
      </c>
      <c r="H72">
        <v>1445</v>
      </c>
      <c r="I72">
        <f>VLOOKUP(Table5[[#This Row],[Shortname]], Comp[], 6, FALSE)</f>
        <v>85</v>
      </c>
      <c r="J72" s="14">
        <f>VLOOKUP(Table5[[#This Row],[Shortname]], Comp[], 7, FALSE)</f>
        <v>79.569999999999993</v>
      </c>
      <c r="K72">
        <f>VLOOKUP(Table5[[#This Row],[Shortname]], Comp[], 8, FALSE)</f>
        <v>0</v>
      </c>
      <c r="L72">
        <f>VLOOKUP(Table5[[#This Row],[Shortname]], Comp[], 9, FALSE)</f>
        <v>8.35</v>
      </c>
      <c r="M72">
        <f>VLOOKUP(Table5[[#This Row],[Shortname]], Comp[], 10, FALSE)</f>
        <v>0</v>
      </c>
      <c r="N72">
        <f>VLOOKUP(Table5[[#This Row],[Shortname]], Comp[], 11, FALSE)</f>
        <v>12.08</v>
      </c>
      <c r="O72">
        <f>VLOOKUP(Table5[[#This Row],[Shortname]], Comp[],12, FALSE)</f>
        <v>0</v>
      </c>
      <c r="P72">
        <f>VLOOKUP(Table5[[#This Row],[Shortname]], Comp[], 13, FALSE)</f>
        <v>0</v>
      </c>
      <c r="Q72">
        <f>VLOOKUP(Table5[[#This Row],[Shortname]], Comp[], 14, FALSE)</f>
        <v>0</v>
      </c>
      <c r="R72">
        <f>VLOOKUP(Table5[[#This Row],[Shortname]], Comp[], 15, FALSE)</f>
        <v>0</v>
      </c>
      <c r="S72">
        <f>VLOOKUP(Table5[[#This Row],[Shortname]], Comp[], 16, FALSE)</f>
        <v>0</v>
      </c>
      <c r="T72">
        <f>VLOOKUP(Table5[[#This Row],[Shortname]], Comp[], 17, FALSE)</f>
        <v>0</v>
      </c>
      <c r="U72">
        <f>VLOOKUP(Table5[[#This Row],[Shortname]], Comp[], 18, FALSE)</f>
        <v>0</v>
      </c>
      <c r="V72">
        <f>VLOOKUP(Table5[[#This Row],[Shortname]], Comp[], 19, FALSE)</f>
        <v>0</v>
      </c>
      <c r="W72">
        <f>VLOOKUP(Table5[[#This Row],[Shortname]], Comp[], 20, FALSE)</f>
        <v>0</v>
      </c>
      <c r="X72">
        <f>VLOOKUP(Table5[[#This Row],[Shortname]], Comp[], 21, FALSE)</f>
        <v>0</v>
      </c>
      <c r="Y72">
        <f>VLOOKUP(Table5[[#This Row],[Shortname]], Comp[], 22, FALSE)</f>
        <v>0</v>
      </c>
      <c r="Z72">
        <f>VLOOKUP(Table5[[#This Row],[Shortname]], Comp[], 23, FALSE)</f>
        <v>0</v>
      </c>
      <c r="AA72">
        <f>VLOOKUP(Table5[[#This Row],[Shortname]], Comp[], 24, FALSE)</f>
        <v>0</v>
      </c>
      <c r="AB72">
        <f>VLOOKUP(Table5[[#This Row],[Shortname]], Comp[], 25, FALSE)</f>
        <v>0</v>
      </c>
      <c r="AC72">
        <f>VLOOKUP(Table5[[#This Row],[Shortname]], Comp[], 26, FALSE)</f>
        <v>0</v>
      </c>
      <c r="AD72">
        <f>VLOOKUP(Table5[[#This Row],[Shortname]], Comp[], 27, FALSE)</f>
        <v>0</v>
      </c>
      <c r="AE72">
        <f>VLOOKUP(Table5[[#This Row],[Shortname]], Comp[], 28, FALSE)</f>
        <v>0</v>
      </c>
      <c r="AF72">
        <f>VLOOKUP(Table5[[#This Row],[Shortname]], Comp[], 29, FALSE)</f>
        <v>0</v>
      </c>
      <c r="AG72">
        <f>VLOOKUP(Table5[[#This Row],[Shortname]], Comp[], 30, FALSE)</f>
        <v>0</v>
      </c>
      <c r="AH72">
        <f>VLOOKUP(Table5[[#This Row],[Shortname]], Comp[], 31, FALSE)</f>
        <v>0</v>
      </c>
    </row>
    <row r="73" spans="1:34" x14ac:dyDescent="0.3">
      <c r="A73" t="s">
        <v>870</v>
      </c>
      <c r="B73">
        <v>72</v>
      </c>
      <c r="C73" t="str">
        <f>VLOOKUP(Table5[[#This Row],[Shortname]], [1]!comp[#Data], 2, FALSE)</f>
        <v>W-free</v>
      </c>
      <c r="D73" t="s">
        <v>872</v>
      </c>
      <c r="E73" s="17" t="s">
        <v>873</v>
      </c>
      <c r="F73">
        <v>1242</v>
      </c>
      <c r="G73">
        <v>1313</v>
      </c>
      <c r="H73">
        <v>1367</v>
      </c>
      <c r="I73">
        <f>VLOOKUP(Table5[[#This Row],[Shortname]], Comp[], 6, FALSE)</f>
        <v>112</v>
      </c>
      <c r="J73" s="14">
        <f>VLOOKUP(Table5[[#This Row],[Shortname]], Comp[], 7, FALSE)</f>
        <v>49</v>
      </c>
      <c r="K73">
        <f>VLOOKUP(Table5[[#This Row],[Shortname]], Comp[], 8, FALSE)</f>
        <v>30</v>
      </c>
      <c r="L73">
        <f>VLOOKUP(Table5[[#This Row],[Shortname]], Comp[], 9, FALSE)</f>
        <v>10</v>
      </c>
      <c r="M73">
        <f>VLOOKUP(Table5[[#This Row],[Shortname]], Comp[], 10, FALSE)</f>
        <v>0</v>
      </c>
      <c r="N73">
        <f>VLOOKUP(Table5[[#This Row],[Shortname]], Comp[], 11, FALSE)</f>
        <v>0</v>
      </c>
      <c r="O73">
        <f>VLOOKUP(Table5[[#This Row],[Shortname]], Comp[],12, FALSE)</f>
        <v>2</v>
      </c>
      <c r="P73">
        <f>VLOOKUP(Table5[[#This Row],[Shortname]], Comp[], 13, FALSE)</f>
        <v>4</v>
      </c>
      <c r="Q73">
        <f>VLOOKUP(Table5[[#This Row],[Shortname]], Comp[], 14, FALSE)</f>
        <v>0</v>
      </c>
      <c r="R73">
        <f>VLOOKUP(Table5[[#This Row],[Shortname]], Comp[], 15, FALSE)</f>
        <v>5</v>
      </c>
      <c r="S73">
        <f>VLOOKUP(Table5[[#This Row],[Shortname]], Comp[], 16, FALSE)</f>
        <v>0</v>
      </c>
      <c r="T73">
        <f>VLOOKUP(Table5[[#This Row],[Shortname]], Comp[], 17, FALSE)</f>
        <v>0</v>
      </c>
      <c r="U73">
        <f>VLOOKUP(Table5[[#This Row],[Shortname]], Comp[], 18, FALSE)</f>
        <v>0</v>
      </c>
      <c r="V73">
        <f>VLOOKUP(Table5[[#This Row],[Shortname]], Comp[], 19, FALSE)</f>
        <v>0</v>
      </c>
      <c r="W73">
        <f>VLOOKUP(Table5[[#This Row],[Shortname]], Comp[], 20, FALSE)</f>
        <v>0</v>
      </c>
      <c r="X73">
        <f>VLOOKUP(Table5[[#This Row],[Shortname]], Comp[], 21, FALSE)</f>
        <v>0</v>
      </c>
      <c r="Y73">
        <f>VLOOKUP(Table5[[#This Row],[Shortname]], Comp[], 22, FALSE)</f>
        <v>0</v>
      </c>
      <c r="Z73">
        <f>VLOOKUP(Table5[[#This Row],[Shortname]], Comp[], 23, FALSE)</f>
        <v>0</v>
      </c>
      <c r="AA73">
        <f>VLOOKUP(Table5[[#This Row],[Shortname]], Comp[], 24, FALSE)</f>
        <v>0</v>
      </c>
      <c r="AB73">
        <f>VLOOKUP(Table5[[#This Row],[Shortname]], Comp[], 25, FALSE)</f>
        <v>0</v>
      </c>
      <c r="AC73">
        <f>VLOOKUP(Table5[[#This Row],[Shortname]], Comp[], 26, FALSE)</f>
        <v>0</v>
      </c>
      <c r="AD73">
        <f>VLOOKUP(Table5[[#This Row],[Shortname]], Comp[], 27, FALSE)</f>
        <v>0</v>
      </c>
      <c r="AE73">
        <f>VLOOKUP(Table5[[#This Row],[Shortname]], Comp[], 28, FALSE)</f>
        <v>0</v>
      </c>
      <c r="AF73">
        <f>VLOOKUP(Table5[[#This Row],[Shortname]], Comp[], 29, FALSE)</f>
        <v>0</v>
      </c>
      <c r="AG73">
        <f>VLOOKUP(Table5[[#This Row],[Shortname]], Comp[], 30, FALSE)</f>
        <v>0</v>
      </c>
      <c r="AH73">
        <f>VLOOKUP(Table5[[#This Row],[Shortname]], Comp[], 31, FALSE)</f>
        <v>0</v>
      </c>
    </row>
    <row r="74" spans="1:34" x14ac:dyDescent="0.3">
      <c r="A74" t="s">
        <v>870</v>
      </c>
      <c r="B74">
        <v>73</v>
      </c>
      <c r="C74" t="str">
        <f>VLOOKUP(Table5[[#This Row],[Shortname]], [1]!comp[#Data], 2, FALSE)</f>
        <v>W-free</v>
      </c>
      <c r="D74" t="s">
        <v>864</v>
      </c>
      <c r="E74" s="17" t="s">
        <v>865</v>
      </c>
      <c r="F74">
        <v>1172</v>
      </c>
      <c r="G74">
        <v>1349</v>
      </c>
      <c r="H74">
        <v>1395</v>
      </c>
      <c r="I74">
        <f>VLOOKUP(Table5[[#This Row],[Shortname]], Comp[], 6, FALSE)</f>
        <v>112</v>
      </c>
      <c r="J74" s="14">
        <f>VLOOKUP(Table5[[#This Row],[Shortname]], Comp[], 7, FALSE)</f>
        <v>49</v>
      </c>
      <c r="K74">
        <f>VLOOKUP(Table5[[#This Row],[Shortname]], Comp[], 8, FALSE)</f>
        <v>30</v>
      </c>
      <c r="L74">
        <f>VLOOKUP(Table5[[#This Row],[Shortname]], Comp[], 9, FALSE)</f>
        <v>10</v>
      </c>
      <c r="M74">
        <f>VLOOKUP(Table5[[#This Row],[Shortname]], Comp[], 10, FALSE)</f>
        <v>0</v>
      </c>
      <c r="N74">
        <f>VLOOKUP(Table5[[#This Row],[Shortname]], Comp[], 11, FALSE)</f>
        <v>0</v>
      </c>
      <c r="O74">
        <f>VLOOKUP(Table5[[#This Row],[Shortname]], Comp[],12, FALSE)</f>
        <v>2</v>
      </c>
      <c r="P74">
        <f>VLOOKUP(Table5[[#This Row],[Shortname]], Comp[], 13, FALSE)</f>
        <v>4</v>
      </c>
      <c r="Q74">
        <f>VLOOKUP(Table5[[#This Row],[Shortname]], Comp[], 14, FALSE)</f>
        <v>0</v>
      </c>
      <c r="R74">
        <f>VLOOKUP(Table5[[#This Row],[Shortname]], Comp[], 15, FALSE)</f>
        <v>5</v>
      </c>
      <c r="S74">
        <f>VLOOKUP(Table5[[#This Row],[Shortname]], Comp[], 16, FALSE)</f>
        <v>0</v>
      </c>
      <c r="T74">
        <f>VLOOKUP(Table5[[#This Row],[Shortname]], Comp[], 17, FALSE)</f>
        <v>0</v>
      </c>
      <c r="U74">
        <f>VLOOKUP(Table5[[#This Row],[Shortname]], Comp[], 18, FALSE)</f>
        <v>0</v>
      </c>
      <c r="V74">
        <f>VLOOKUP(Table5[[#This Row],[Shortname]], Comp[], 19, FALSE)</f>
        <v>0</v>
      </c>
      <c r="W74">
        <f>VLOOKUP(Table5[[#This Row],[Shortname]], Comp[], 20, FALSE)</f>
        <v>0</v>
      </c>
      <c r="X74">
        <f>VLOOKUP(Table5[[#This Row],[Shortname]], Comp[], 21, FALSE)</f>
        <v>0</v>
      </c>
      <c r="Y74">
        <f>VLOOKUP(Table5[[#This Row],[Shortname]], Comp[], 22, FALSE)</f>
        <v>0</v>
      </c>
      <c r="Z74">
        <f>VLOOKUP(Table5[[#This Row],[Shortname]], Comp[], 23, FALSE)</f>
        <v>0</v>
      </c>
      <c r="AA74">
        <f>VLOOKUP(Table5[[#This Row],[Shortname]], Comp[], 24, FALSE)</f>
        <v>0</v>
      </c>
      <c r="AB74">
        <f>VLOOKUP(Table5[[#This Row],[Shortname]], Comp[], 25, FALSE)</f>
        <v>0</v>
      </c>
      <c r="AC74">
        <f>VLOOKUP(Table5[[#This Row],[Shortname]], Comp[], 26, FALSE)</f>
        <v>0</v>
      </c>
      <c r="AD74">
        <f>VLOOKUP(Table5[[#This Row],[Shortname]], Comp[], 27, FALSE)</f>
        <v>0</v>
      </c>
      <c r="AE74">
        <f>VLOOKUP(Table5[[#This Row],[Shortname]], Comp[], 28, FALSE)</f>
        <v>0</v>
      </c>
      <c r="AF74">
        <f>VLOOKUP(Table5[[#This Row],[Shortname]], Comp[], 29, FALSE)</f>
        <v>0</v>
      </c>
      <c r="AG74">
        <f>VLOOKUP(Table5[[#This Row],[Shortname]], Comp[], 30, FALSE)</f>
        <v>0</v>
      </c>
      <c r="AH74">
        <f>VLOOKUP(Table5[[#This Row],[Shortname]], Comp[], 31, FALSE)</f>
        <v>0</v>
      </c>
    </row>
    <row r="75" spans="1:34" x14ac:dyDescent="0.3">
      <c r="A75" t="s">
        <v>854</v>
      </c>
      <c r="B75">
        <v>74</v>
      </c>
      <c r="C75" t="str">
        <f>VLOOKUP(Table5[[#This Row],[Shortname]], [1]!comp[#Data], 2, FALSE)</f>
        <v>W-free</v>
      </c>
      <c r="D75" t="s">
        <v>856</v>
      </c>
      <c r="E75" s="17" t="s">
        <v>857</v>
      </c>
      <c r="F75">
        <v>1148</v>
      </c>
      <c r="G75">
        <v>1349</v>
      </c>
      <c r="H75">
        <v>1395</v>
      </c>
      <c r="I75">
        <f>VLOOKUP(Table5[[#This Row],[Shortname]], Comp[], 6, FALSE)</f>
        <v>110</v>
      </c>
      <c r="J75" s="14">
        <f>VLOOKUP(Table5[[#This Row],[Shortname]], Comp[], 7, FALSE)</f>
        <v>51</v>
      </c>
      <c r="K75">
        <f>VLOOKUP(Table5[[#This Row],[Shortname]], Comp[], 8, FALSE)</f>
        <v>30</v>
      </c>
      <c r="L75">
        <f>VLOOKUP(Table5[[#This Row],[Shortname]], Comp[], 9, FALSE)</f>
        <v>7.5</v>
      </c>
      <c r="M75">
        <f>VLOOKUP(Table5[[#This Row],[Shortname]], Comp[], 10, FALSE)</f>
        <v>0</v>
      </c>
      <c r="N75">
        <f>VLOOKUP(Table5[[#This Row],[Shortname]], Comp[], 11, FALSE)</f>
        <v>0</v>
      </c>
      <c r="O75">
        <f>VLOOKUP(Table5[[#This Row],[Shortname]], Comp[],12, FALSE)</f>
        <v>0</v>
      </c>
      <c r="P75">
        <f>VLOOKUP(Table5[[#This Row],[Shortname]], Comp[], 13, FALSE)</f>
        <v>4</v>
      </c>
      <c r="Q75">
        <f>VLOOKUP(Table5[[#This Row],[Shortname]], Comp[], 14, FALSE)</f>
        <v>0</v>
      </c>
      <c r="R75">
        <f>VLOOKUP(Table5[[#This Row],[Shortname]], Comp[], 15, FALSE)</f>
        <v>7.5</v>
      </c>
      <c r="S75">
        <f>VLOOKUP(Table5[[#This Row],[Shortname]], Comp[], 16, FALSE)</f>
        <v>0</v>
      </c>
      <c r="T75">
        <f>VLOOKUP(Table5[[#This Row],[Shortname]], Comp[], 17, FALSE)</f>
        <v>0</v>
      </c>
      <c r="U75">
        <f>VLOOKUP(Table5[[#This Row],[Shortname]], Comp[], 18, FALSE)</f>
        <v>0</v>
      </c>
      <c r="V75">
        <f>VLOOKUP(Table5[[#This Row],[Shortname]], Comp[], 19, FALSE)</f>
        <v>0</v>
      </c>
      <c r="W75">
        <f>VLOOKUP(Table5[[#This Row],[Shortname]], Comp[], 20, FALSE)</f>
        <v>0</v>
      </c>
      <c r="X75">
        <f>VLOOKUP(Table5[[#This Row],[Shortname]], Comp[], 21, FALSE)</f>
        <v>0</v>
      </c>
      <c r="Y75">
        <f>VLOOKUP(Table5[[#This Row],[Shortname]], Comp[], 22, FALSE)</f>
        <v>0</v>
      </c>
      <c r="Z75">
        <f>VLOOKUP(Table5[[#This Row],[Shortname]], Comp[], 23, FALSE)</f>
        <v>0</v>
      </c>
      <c r="AA75">
        <f>VLOOKUP(Table5[[#This Row],[Shortname]], Comp[], 24, FALSE)</f>
        <v>0</v>
      </c>
      <c r="AB75">
        <f>VLOOKUP(Table5[[#This Row],[Shortname]], Comp[], 25, FALSE)</f>
        <v>0</v>
      </c>
      <c r="AC75">
        <f>VLOOKUP(Table5[[#This Row],[Shortname]], Comp[], 26, FALSE)</f>
        <v>0</v>
      </c>
      <c r="AD75">
        <f>VLOOKUP(Table5[[#This Row],[Shortname]], Comp[], 27, FALSE)</f>
        <v>0</v>
      </c>
      <c r="AE75">
        <f>VLOOKUP(Table5[[#This Row],[Shortname]], Comp[], 28, FALSE)</f>
        <v>0</v>
      </c>
      <c r="AF75">
        <f>VLOOKUP(Table5[[#This Row],[Shortname]], Comp[], 29, FALSE)</f>
        <v>0</v>
      </c>
      <c r="AG75">
        <f>VLOOKUP(Table5[[#This Row],[Shortname]], Comp[], 30, FALSE)</f>
        <v>0</v>
      </c>
      <c r="AH75">
        <f>VLOOKUP(Table5[[#This Row],[Shortname]], Comp[], 31, FALSE)</f>
        <v>0</v>
      </c>
    </row>
    <row r="76" spans="1:34" x14ac:dyDescent="0.3">
      <c r="A76" t="s">
        <v>845</v>
      </c>
      <c r="B76">
        <v>75</v>
      </c>
      <c r="C76" t="str">
        <f>VLOOKUP(Table5[[#This Row],[Shortname]], [1]!comp[#Data], 2, FALSE)</f>
        <v>W-free</v>
      </c>
      <c r="D76" t="s">
        <v>847</v>
      </c>
      <c r="E76" s="17" t="s">
        <v>848</v>
      </c>
      <c r="F76">
        <v>1119</v>
      </c>
      <c r="G76">
        <v>1349</v>
      </c>
      <c r="H76">
        <v>1395</v>
      </c>
      <c r="I76">
        <f>VLOOKUP(Table5[[#This Row],[Shortname]], Comp[], 6, FALSE)</f>
        <v>109</v>
      </c>
      <c r="J76" s="14">
        <f>VLOOKUP(Table5[[#This Row],[Shortname]], Comp[], 7, FALSE)</f>
        <v>51</v>
      </c>
      <c r="K76">
        <f>VLOOKUP(Table5[[#This Row],[Shortname]], Comp[], 8, FALSE)</f>
        <v>30</v>
      </c>
      <c r="L76">
        <f>VLOOKUP(Table5[[#This Row],[Shortname]], Comp[], 9, FALSE)</f>
        <v>5</v>
      </c>
      <c r="M76">
        <f>VLOOKUP(Table5[[#This Row],[Shortname]], Comp[], 10, FALSE)</f>
        <v>0</v>
      </c>
      <c r="N76">
        <f>VLOOKUP(Table5[[#This Row],[Shortname]], Comp[], 11, FALSE)</f>
        <v>0</v>
      </c>
      <c r="O76">
        <f>VLOOKUP(Table5[[#This Row],[Shortname]], Comp[],12, FALSE)</f>
        <v>0</v>
      </c>
      <c r="P76">
        <f>VLOOKUP(Table5[[#This Row],[Shortname]], Comp[], 13, FALSE)</f>
        <v>4</v>
      </c>
      <c r="Q76">
        <f>VLOOKUP(Table5[[#This Row],[Shortname]], Comp[], 14, FALSE)</f>
        <v>0</v>
      </c>
      <c r="R76">
        <f>VLOOKUP(Table5[[#This Row],[Shortname]], Comp[], 15, FALSE)</f>
        <v>10</v>
      </c>
      <c r="S76">
        <f>VLOOKUP(Table5[[#This Row],[Shortname]], Comp[], 16, FALSE)</f>
        <v>0</v>
      </c>
      <c r="T76">
        <f>VLOOKUP(Table5[[#This Row],[Shortname]], Comp[], 17, FALSE)</f>
        <v>0</v>
      </c>
      <c r="U76">
        <f>VLOOKUP(Table5[[#This Row],[Shortname]], Comp[], 18, FALSE)</f>
        <v>0</v>
      </c>
      <c r="V76">
        <f>VLOOKUP(Table5[[#This Row],[Shortname]], Comp[], 19, FALSE)</f>
        <v>0</v>
      </c>
      <c r="W76">
        <f>VLOOKUP(Table5[[#This Row],[Shortname]], Comp[], 20, FALSE)</f>
        <v>0</v>
      </c>
      <c r="X76">
        <f>VLOOKUP(Table5[[#This Row],[Shortname]], Comp[], 21, FALSE)</f>
        <v>0</v>
      </c>
      <c r="Y76">
        <f>VLOOKUP(Table5[[#This Row],[Shortname]], Comp[], 22, FALSE)</f>
        <v>0</v>
      </c>
      <c r="Z76">
        <f>VLOOKUP(Table5[[#This Row],[Shortname]], Comp[], 23, FALSE)</f>
        <v>0</v>
      </c>
      <c r="AA76">
        <f>VLOOKUP(Table5[[#This Row],[Shortname]], Comp[], 24, FALSE)</f>
        <v>0</v>
      </c>
      <c r="AB76">
        <f>VLOOKUP(Table5[[#This Row],[Shortname]], Comp[], 25, FALSE)</f>
        <v>0</v>
      </c>
      <c r="AC76">
        <f>VLOOKUP(Table5[[#This Row],[Shortname]], Comp[], 26, FALSE)</f>
        <v>0</v>
      </c>
      <c r="AD76">
        <f>VLOOKUP(Table5[[#This Row],[Shortname]], Comp[], 27, FALSE)</f>
        <v>0</v>
      </c>
      <c r="AE76">
        <f>VLOOKUP(Table5[[#This Row],[Shortname]], Comp[], 28, FALSE)</f>
        <v>0</v>
      </c>
      <c r="AF76">
        <f>VLOOKUP(Table5[[#This Row],[Shortname]], Comp[], 29, FALSE)</f>
        <v>0</v>
      </c>
      <c r="AG76">
        <f>VLOOKUP(Table5[[#This Row],[Shortname]], Comp[], 30, FALSE)</f>
        <v>0</v>
      </c>
      <c r="AH76">
        <f>VLOOKUP(Table5[[#This Row],[Shortname]], Comp[], 31, FALSE)</f>
        <v>0</v>
      </c>
    </row>
    <row r="77" spans="1:34" x14ac:dyDescent="0.3">
      <c r="A77" t="s">
        <v>802</v>
      </c>
      <c r="B77">
        <v>76</v>
      </c>
      <c r="C77" t="str">
        <f>VLOOKUP(Table5[[#This Row],[Shortname]], [1]!comp[#Data], 2, FALSE)</f>
        <v>W-free</v>
      </c>
      <c r="D77" t="s">
        <v>804</v>
      </c>
      <c r="E77" s="17" t="s">
        <v>805</v>
      </c>
      <c r="F77">
        <v>1070</v>
      </c>
      <c r="G77">
        <v>1354</v>
      </c>
      <c r="H77">
        <v>1411</v>
      </c>
      <c r="I77">
        <f>VLOOKUP(Table5[[#This Row],[Shortname]], Comp[], 6, FALSE)</f>
        <v>103</v>
      </c>
      <c r="J77" s="14">
        <f>VLOOKUP(Table5[[#This Row],[Shortname]], Comp[], 7, FALSE)</f>
        <v>79</v>
      </c>
      <c r="K77">
        <f>VLOOKUP(Table5[[#This Row],[Shortname]], Comp[], 8, FALSE)</f>
        <v>0</v>
      </c>
      <c r="L77">
        <f>VLOOKUP(Table5[[#This Row],[Shortname]], Comp[], 9, FALSE)</f>
        <v>5</v>
      </c>
      <c r="M77">
        <f>VLOOKUP(Table5[[#This Row],[Shortname]], Comp[], 10, FALSE)</f>
        <v>0</v>
      </c>
      <c r="N77">
        <f>VLOOKUP(Table5[[#This Row],[Shortname]], Comp[], 11, FALSE)</f>
        <v>0</v>
      </c>
      <c r="O77">
        <f>VLOOKUP(Table5[[#This Row],[Shortname]], Comp[],12, FALSE)</f>
        <v>0</v>
      </c>
      <c r="P77">
        <f>VLOOKUP(Table5[[#This Row],[Shortname]], Comp[], 13, FALSE)</f>
        <v>2</v>
      </c>
      <c r="Q77">
        <f>VLOOKUP(Table5[[#This Row],[Shortname]], Comp[], 14, FALSE)</f>
        <v>0</v>
      </c>
      <c r="R77">
        <f>VLOOKUP(Table5[[#This Row],[Shortname]], Comp[], 15, FALSE)</f>
        <v>14</v>
      </c>
      <c r="S77">
        <f>VLOOKUP(Table5[[#This Row],[Shortname]], Comp[], 16, FALSE)</f>
        <v>0</v>
      </c>
      <c r="T77">
        <f>VLOOKUP(Table5[[#This Row],[Shortname]], Comp[], 17, FALSE)</f>
        <v>0</v>
      </c>
      <c r="U77">
        <f>VLOOKUP(Table5[[#This Row],[Shortname]], Comp[], 18, FALSE)</f>
        <v>0</v>
      </c>
      <c r="V77">
        <f>VLOOKUP(Table5[[#This Row],[Shortname]], Comp[], 19, FALSE)</f>
        <v>0</v>
      </c>
      <c r="W77">
        <f>VLOOKUP(Table5[[#This Row],[Shortname]], Comp[], 20, FALSE)</f>
        <v>0</v>
      </c>
      <c r="X77">
        <f>VLOOKUP(Table5[[#This Row],[Shortname]], Comp[], 21, FALSE)</f>
        <v>0</v>
      </c>
      <c r="Y77">
        <f>VLOOKUP(Table5[[#This Row],[Shortname]], Comp[], 22, FALSE)</f>
        <v>0</v>
      </c>
      <c r="Z77">
        <f>VLOOKUP(Table5[[#This Row],[Shortname]], Comp[], 23, FALSE)</f>
        <v>0</v>
      </c>
      <c r="AA77">
        <f>VLOOKUP(Table5[[#This Row],[Shortname]], Comp[], 24, FALSE)</f>
        <v>0</v>
      </c>
      <c r="AB77">
        <f>VLOOKUP(Table5[[#This Row],[Shortname]], Comp[], 25, FALSE)</f>
        <v>0</v>
      </c>
      <c r="AC77">
        <f>VLOOKUP(Table5[[#This Row],[Shortname]], Comp[], 26, FALSE)</f>
        <v>0</v>
      </c>
      <c r="AD77">
        <f>VLOOKUP(Table5[[#This Row],[Shortname]], Comp[], 27, FALSE)</f>
        <v>0</v>
      </c>
      <c r="AE77">
        <f>VLOOKUP(Table5[[#This Row],[Shortname]], Comp[], 28, FALSE)</f>
        <v>0</v>
      </c>
      <c r="AF77">
        <f>VLOOKUP(Table5[[#This Row],[Shortname]], Comp[], 29, FALSE)</f>
        <v>0</v>
      </c>
      <c r="AG77">
        <f>VLOOKUP(Table5[[#This Row],[Shortname]], Comp[], 30, FALSE)</f>
        <v>0</v>
      </c>
      <c r="AH77">
        <f>VLOOKUP(Table5[[#This Row],[Shortname]], Comp[], 31, FALSE)</f>
        <v>0</v>
      </c>
    </row>
    <row r="78" spans="1:34" x14ac:dyDescent="0.3">
      <c r="A78" t="s">
        <v>838</v>
      </c>
      <c r="B78">
        <v>77</v>
      </c>
      <c r="C78" t="str">
        <f>VLOOKUP(Table5[[#This Row],[Shortname]], [1]!comp[#Data], 2, FALSE)</f>
        <v>W-free</v>
      </c>
      <c r="D78" t="s">
        <v>840</v>
      </c>
      <c r="E78" s="17" t="s">
        <v>841</v>
      </c>
      <c r="F78">
        <v>1032</v>
      </c>
      <c r="G78">
        <v>1408</v>
      </c>
      <c r="H78">
        <v>1429</v>
      </c>
      <c r="I78">
        <f>VLOOKUP(Table5[[#This Row],[Shortname]], Comp[], 6, FALSE)</f>
        <v>108</v>
      </c>
      <c r="J78" s="14">
        <f>VLOOKUP(Table5[[#This Row],[Shortname]], Comp[], 7, FALSE)</f>
        <v>50</v>
      </c>
      <c r="K78">
        <f>VLOOKUP(Table5[[#This Row],[Shortname]], Comp[], 8, FALSE)</f>
        <v>30</v>
      </c>
      <c r="L78">
        <f>VLOOKUP(Table5[[#This Row],[Shortname]], Comp[], 9, FALSE)</f>
        <v>8</v>
      </c>
      <c r="M78">
        <f>VLOOKUP(Table5[[#This Row],[Shortname]], Comp[], 10, FALSE)</f>
        <v>0</v>
      </c>
      <c r="N78">
        <f>VLOOKUP(Table5[[#This Row],[Shortname]], Comp[], 11, FALSE)</f>
        <v>0</v>
      </c>
      <c r="O78">
        <f>VLOOKUP(Table5[[#This Row],[Shortname]], Comp[],12, FALSE)</f>
        <v>0</v>
      </c>
      <c r="P78">
        <f>VLOOKUP(Table5[[#This Row],[Shortname]], Comp[], 13, FALSE)</f>
        <v>0</v>
      </c>
      <c r="Q78">
        <f>VLOOKUP(Table5[[#This Row],[Shortname]], Comp[], 14, FALSE)</f>
        <v>0</v>
      </c>
      <c r="R78">
        <f>VLOOKUP(Table5[[#This Row],[Shortname]], Comp[], 15, FALSE)</f>
        <v>12</v>
      </c>
      <c r="S78">
        <f>VLOOKUP(Table5[[#This Row],[Shortname]], Comp[], 16, FALSE)</f>
        <v>0</v>
      </c>
      <c r="T78">
        <f>VLOOKUP(Table5[[#This Row],[Shortname]], Comp[], 17, FALSE)</f>
        <v>0</v>
      </c>
      <c r="U78">
        <f>VLOOKUP(Table5[[#This Row],[Shortname]], Comp[], 18, FALSE)</f>
        <v>0</v>
      </c>
      <c r="V78">
        <f>VLOOKUP(Table5[[#This Row],[Shortname]], Comp[], 19, FALSE)</f>
        <v>0</v>
      </c>
      <c r="W78">
        <f>VLOOKUP(Table5[[#This Row],[Shortname]], Comp[], 20, FALSE)</f>
        <v>0</v>
      </c>
      <c r="X78">
        <f>VLOOKUP(Table5[[#This Row],[Shortname]], Comp[], 21, FALSE)</f>
        <v>0</v>
      </c>
      <c r="Y78">
        <f>VLOOKUP(Table5[[#This Row],[Shortname]], Comp[], 22, FALSE)</f>
        <v>0</v>
      </c>
      <c r="Z78">
        <f>VLOOKUP(Table5[[#This Row],[Shortname]], Comp[], 23, FALSE)</f>
        <v>0</v>
      </c>
      <c r="AA78">
        <f>VLOOKUP(Table5[[#This Row],[Shortname]], Comp[], 24, FALSE)</f>
        <v>0</v>
      </c>
      <c r="AB78">
        <f>VLOOKUP(Table5[[#This Row],[Shortname]], Comp[], 25, FALSE)</f>
        <v>0</v>
      </c>
      <c r="AC78">
        <f>VLOOKUP(Table5[[#This Row],[Shortname]], Comp[], 26, FALSE)</f>
        <v>0</v>
      </c>
      <c r="AD78">
        <f>VLOOKUP(Table5[[#This Row],[Shortname]], Comp[], 27, FALSE)</f>
        <v>0</v>
      </c>
      <c r="AE78">
        <f>VLOOKUP(Table5[[#This Row],[Shortname]], Comp[], 28, FALSE)</f>
        <v>0</v>
      </c>
      <c r="AF78">
        <f>VLOOKUP(Table5[[#This Row],[Shortname]], Comp[], 29, FALSE)</f>
        <v>0</v>
      </c>
      <c r="AG78">
        <f>VLOOKUP(Table5[[#This Row],[Shortname]], Comp[], 30, FALSE)</f>
        <v>0</v>
      </c>
      <c r="AH78">
        <f>VLOOKUP(Table5[[#This Row],[Shortname]], Comp[], 31, FALSE)</f>
        <v>0</v>
      </c>
    </row>
    <row r="79" spans="1:34" x14ac:dyDescent="0.3">
      <c r="A79" t="s">
        <v>786</v>
      </c>
      <c r="B79">
        <v>78</v>
      </c>
      <c r="C79" t="str">
        <f>VLOOKUP(Table5[[#This Row],[Shortname]], [1]!comp[#Data], 2, FALSE)</f>
        <v>W-free</v>
      </c>
      <c r="D79" t="s">
        <v>788</v>
      </c>
      <c r="E79" s="17" t="s">
        <v>789</v>
      </c>
      <c r="F79">
        <v>1032</v>
      </c>
      <c r="G79">
        <v>1309</v>
      </c>
      <c r="H79">
        <v>1309</v>
      </c>
      <c r="I79">
        <f>VLOOKUP(Table5[[#This Row],[Shortname]], Comp[], 6, FALSE)</f>
        <v>101</v>
      </c>
      <c r="J79" s="14">
        <f>VLOOKUP(Table5[[#This Row],[Shortname]], Comp[], 7, FALSE)</f>
        <v>79</v>
      </c>
      <c r="K79">
        <f>VLOOKUP(Table5[[#This Row],[Shortname]], Comp[], 8, FALSE)</f>
        <v>0</v>
      </c>
      <c r="L79">
        <f>VLOOKUP(Table5[[#This Row],[Shortname]], Comp[], 9, FALSE)</f>
        <v>5</v>
      </c>
      <c r="M79">
        <f>VLOOKUP(Table5[[#This Row],[Shortname]], Comp[], 10, FALSE)</f>
        <v>0</v>
      </c>
      <c r="N79">
        <f>VLOOKUP(Table5[[#This Row],[Shortname]], Comp[], 11, FALSE)</f>
        <v>0</v>
      </c>
      <c r="O79">
        <f>VLOOKUP(Table5[[#This Row],[Shortname]], Comp[],12, FALSE)</f>
        <v>0</v>
      </c>
      <c r="P79">
        <f>VLOOKUP(Table5[[#This Row],[Shortname]], Comp[], 13, FALSE)</f>
        <v>0</v>
      </c>
      <c r="Q79">
        <f>VLOOKUP(Table5[[#This Row],[Shortname]], Comp[], 14, FALSE)</f>
        <v>2</v>
      </c>
      <c r="R79">
        <f>VLOOKUP(Table5[[#This Row],[Shortname]], Comp[], 15, FALSE)</f>
        <v>14</v>
      </c>
      <c r="S79">
        <f>VLOOKUP(Table5[[#This Row],[Shortname]], Comp[], 16, FALSE)</f>
        <v>0</v>
      </c>
      <c r="T79">
        <f>VLOOKUP(Table5[[#This Row],[Shortname]], Comp[], 17, FALSE)</f>
        <v>0</v>
      </c>
      <c r="U79">
        <f>VLOOKUP(Table5[[#This Row],[Shortname]], Comp[], 18, FALSE)</f>
        <v>0</v>
      </c>
      <c r="V79">
        <f>VLOOKUP(Table5[[#This Row],[Shortname]], Comp[], 19, FALSE)</f>
        <v>0</v>
      </c>
      <c r="W79">
        <f>VLOOKUP(Table5[[#This Row],[Shortname]], Comp[], 20, FALSE)</f>
        <v>0</v>
      </c>
      <c r="X79">
        <f>VLOOKUP(Table5[[#This Row],[Shortname]], Comp[], 21, FALSE)</f>
        <v>0</v>
      </c>
      <c r="Y79">
        <f>VLOOKUP(Table5[[#This Row],[Shortname]], Comp[], 22, FALSE)</f>
        <v>0</v>
      </c>
      <c r="Z79">
        <f>VLOOKUP(Table5[[#This Row],[Shortname]], Comp[], 23, FALSE)</f>
        <v>0</v>
      </c>
      <c r="AA79">
        <f>VLOOKUP(Table5[[#This Row],[Shortname]], Comp[], 24, FALSE)</f>
        <v>0</v>
      </c>
      <c r="AB79">
        <f>VLOOKUP(Table5[[#This Row],[Shortname]], Comp[], 25, FALSE)</f>
        <v>0</v>
      </c>
      <c r="AC79">
        <f>VLOOKUP(Table5[[#This Row],[Shortname]], Comp[], 26, FALSE)</f>
        <v>0</v>
      </c>
      <c r="AD79">
        <f>VLOOKUP(Table5[[#This Row],[Shortname]], Comp[], 27, FALSE)</f>
        <v>0</v>
      </c>
      <c r="AE79">
        <f>VLOOKUP(Table5[[#This Row],[Shortname]], Comp[], 28, FALSE)</f>
        <v>0</v>
      </c>
      <c r="AF79">
        <f>VLOOKUP(Table5[[#This Row],[Shortname]], Comp[], 29, FALSE)</f>
        <v>0</v>
      </c>
      <c r="AG79">
        <f>VLOOKUP(Table5[[#This Row],[Shortname]], Comp[], 30, FALSE)</f>
        <v>0</v>
      </c>
      <c r="AH79">
        <f>VLOOKUP(Table5[[#This Row],[Shortname]], Comp[], 31, FALSE)</f>
        <v>0</v>
      </c>
    </row>
    <row r="80" spans="1:34" x14ac:dyDescent="0.3">
      <c r="A80" t="s">
        <v>730</v>
      </c>
      <c r="B80">
        <v>79</v>
      </c>
      <c r="C80" t="str">
        <f>VLOOKUP(Table5[[#This Row],[Shortname]], [1]!comp[#Data], 2, FALSE)</f>
        <v>W-free</v>
      </c>
      <c r="D80" t="s">
        <v>732</v>
      </c>
      <c r="E80" s="17" t="s">
        <v>733</v>
      </c>
      <c r="F80">
        <v>1022</v>
      </c>
      <c r="G80">
        <v>1338</v>
      </c>
      <c r="H80">
        <v>1394</v>
      </c>
      <c r="I80">
        <f>VLOOKUP(Table5[[#This Row],[Shortname]], Comp[], 6, FALSE)</f>
        <v>93</v>
      </c>
      <c r="J80" s="14">
        <f>VLOOKUP(Table5[[#This Row],[Shortname]], Comp[], 7, FALSE)</f>
        <v>79</v>
      </c>
      <c r="K80">
        <f>VLOOKUP(Table5[[#This Row],[Shortname]], Comp[], 8, FALSE)</f>
        <v>0</v>
      </c>
      <c r="L80">
        <f>VLOOKUP(Table5[[#This Row],[Shortname]], Comp[], 9, FALSE)</f>
        <v>5</v>
      </c>
      <c r="M80">
        <f>VLOOKUP(Table5[[#This Row],[Shortname]], Comp[], 10, FALSE)</f>
        <v>0</v>
      </c>
      <c r="N80">
        <f>VLOOKUP(Table5[[#This Row],[Shortname]], Comp[], 11, FALSE)</f>
        <v>0</v>
      </c>
      <c r="O80">
        <f>VLOOKUP(Table5[[#This Row],[Shortname]], Comp[],12, FALSE)</f>
        <v>2</v>
      </c>
      <c r="P80">
        <f>VLOOKUP(Table5[[#This Row],[Shortname]], Comp[], 13, FALSE)</f>
        <v>0</v>
      </c>
      <c r="Q80">
        <f>VLOOKUP(Table5[[#This Row],[Shortname]], Comp[], 14, FALSE)</f>
        <v>0</v>
      </c>
      <c r="R80">
        <f>VLOOKUP(Table5[[#This Row],[Shortname]], Comp[], 15, FALSE)</f>
        <v>14</v>
      </c>
      <c r="S80">
        <f>VLOOKUP(Table5[[#This Row],[Shortname]], Comp[], 16, FALSE)</f>
        <v>0</v>
      </c>
      <c r="T80">
        <f>VLOOKUP(Table5[[#This Row],[Shortname]], Comp[], 17, FALSE)</f>
        <v>0</v>
      </c>
      <c r="U80">
        <f>VLOOKUP(Table5[[#This Row],[Shortname]], Comp[], 18, FALSE)</f>
        <v>0</v>
      </c>
      <c r="V80">
        <f>VLOOKUP(Table5[[#This Row],[Shortname]], Comp[], 19, FALSE)</f>
        <v>0</v>
      </c>
      <c r="W80">
        <f>VLOOKUP(Table5[[#This Row],[Shortname]], Comp[], 20, FALSE)</f>
        <v>0</v>
      </c>
      <c r="X80">
        <f>VLOOKUP(Table5[[#This Row],[Shortname]], Comp[], 21, FALSE)</f>
        <v>0</v>
      </c>
      <c r="Y80">
        <f>VLOOKUP(Table5[[#This Row],[Shortname]], Comp[], 22, FALSE)</f>
        <v>0</v>
      </c>
      <c r="Z80">
        <f>VLOOKUP(Table5[[#This Row],[Shortname]], Comp[], 23, FALSE)</f>
        <v>0</v>
      </c>
      <c r="AA80">
        <f>VLOOKUP(Table5[[#This Row],[Shortname]], Comp[], 24, FALSE)</f>
        <v>0</v>
      </c>
      <c r="AB80">
        <f>VLOOKUP(Table5[[#This Row],[Shortname]], Comp[], 25, FALSE)</f>
        <v>0</v>
      </c>
      <c r="AC80">
        <f>VLOOKUP(Table5[[#This Row],[Shortname]], Comp[], 26, FALSE)</f>
        <v>0</v>
      </c>
      <c r="AD80">
        <f>VLOOKUP(Table5[[#This Row],[Shortname]], Comp[], 27, FALSE)</f>
        <v>0</v>
      </c>
      <c r="AE80">
        <f>VLOOKUP(Table5[[#This Row],[Shortname]], Comp[], 28, FALSE)</f>
        <v>0</v>
      </c>
      <c r="AF80">
        <f>VLOOKUP(Table5[[#This Row],[Shortname]], Comp[], 29, FALSE)</f>
        <v>0</v>
      </c>
      <c r="AG80">
        <f>VLOOKUP(Table5[[#This Row],[Shortname]], Comp[], 30, FALSE)</f>
        <v>0</v>
      </c>
      <c r="AH80">
        <f>VLOOKUP(Table5[[#This Row],[Shortname]], Comp[], 31, FALSE)</f>
        <v>0</v>
      </c>
    </row>
    <row r="81" spans="1:34" x14ac:dyDescent="0.3">
      <c r="A81" t="s">
        <v>809</v>
      </c>
      <c r="B81">
        <v>80</v>
      </c>
      <c r="C81" t="str">
        <f>VLOOKUP(Table5[[#This Row],[Shortname]], [1]!comp[#Data], 2, FALSE)</f>
        <v>Low-W</v>
      </c>
      <c r="D81" t="s">
        <v>811</v>
      </c>
      <c r="E81" s="17" t="s">
        <v>812</v>
      </c>
      <c r="F81">
        <v>1003</v>
      </c>
      <c r="G81">
        <v>1412</v>
      </c>
      <c r="H81">
        <v>1445</v>
      </c>
      <c r="I81">
        <f>VLOOKUP(Table5[[#This Row],[Shortname]], Comp[], 6, FALSE)</f>
        <v>104</v>
      </c>
      <c r="J81" s="14">
        <f>VLOOKUP(Table5[[#This Row],[Shortname]], Comp[], 7, FALSE)</f>
        <v>79</v>
      </c>
      <c r="K81">
        <f>VLOOKUP(Table5[[#This Row],[Shortname]], Comp[], 8, FALSE)</f>
        <v>0</v>
      </c>
      <c r="L81">
        <f>VLOOKUP(Table5[[#This Row],[Shortname]], Comp[], 9, FALSE)</f>
        <v>5</v>
      </c>
      <c r="M81">
        <f>VLOOKUP(Table5[[#This Row],[Shortname]], Comp[], 10, FALSE)</f>
        <v>0</v>
      </c>
      <c r="N81">
        <f>VLOOKUP(Table5[[#This Row],[Shortname]], Comp[], 11, FALSE)</f>
        <v>2</v>
      </c>
      <c r="O81">
        <f>VLOOKUP(Table5[[#This Row],[Shortname]], Comp[],12, FALSE)</f>
        <v>0</v>
      </c>
      <c r="P81">
        <f>VLOOKUP(Table5[[#This Row],[Shortname]], Comp[], 13, FALSE)</f>
        <v>0</v>
      </c>
      <c r="Q81">
        <f>VLOOKUP(Table5[[#This Row],[Shortname]], Comp[], 14, FALSE)</f>
        <v>0</v>
      </c>
      <c r="R81">
        <f>VLOOKUP(Table5[[#This Row],[Shortname]], Comp[], 15, FALSE)</f>
        <v>14</v>
      </c>
      <c r="S81">
        <f>VLOOKUP(Table5[[#This Row],[Shortname]], Comp[], 16, FALSE)</f>
        <v>0</v>
      </c>
      <c r="T81">
        <f>VLOOKUP(Table5[[#This Row],[Shortname]], Comp[], 17, FALSE)</f>
        <v>0</v>
      </c>
      <c r="U81">
        <f>VLOOKUP(Table5[[#This Row],[Shortname]], Comp[], 18, FALSE)</f>
        <v>0</v>
      </c>
      <c r="V81">
        <f>VLOOKUP(Table5[[#This Row],[Shortname]], Comp[], 19, FALSE)</f>
        <v>0</v>
      </c>
      <c r="W81">
        <f>VLOOKUP(Table5[[#This Row],[Shortname]], Comp[], 20, FALSE)</f>
        <v>0</v>
      </c>
      <c r="X81">
        <f>VLOOKUP(Table5[[#This Row],[Shortname]], Comp[], 21, FALSE)</f>
        <v>0</v>
      </c>
      <c r="Y81">
        <f>VLOOKUP(Table5[[#This Row],[Shortname]], Comp[], 22, FALSE)</f>
        <v>0</v>
      </c>
      <c r="Z81">
        <f>VLOOKUP(Table5[[#This Row],[Shortname]], Comp[], 23, FALSE)</f>
        <v>0</v>
      </c>
      <c r="AA81">
        <f>VLOOKUP(Table5[[#This Row],[Shortname]], Comp[], 24, FALSE)</f>
        <v>0</v>
      </c>
      <c r="AB81">
        <f>VLOOKUP(Table5[[#This Row],[Shortname]], Comp[], 25, FALSE)</f>
        <v>0</v>
      </c>
      <c r="AC81">
        <f>VLOOKUP(Table5[[#This Row],[Shortname]], Comp[], 26, FALSE)</f>
        <v>0</v>
      </c>
      <c r="AD81">
        <f>VLOOKUP(Table5[[#This Row],[Shortname]], Comp[], 27, FALSE)</f>
        <v>0</v>
      </c>
      <c r="AE81">
        <f>VLOOKUP(Table5[[#This Row],[Shortname]], Comp[], 28, FALSE)</f>
        <v>0</v>
      </c>
      <c r="AF81">
        <f>VLOOKUP(Table5[[#This Row],[Shortname]], Comp[], 29, FALSE)</f>
        <v>0</v>
      </c>
      <c r="AG81">
        <f>VLOOKUP(Table5[[#This Row],[Shortname]], Comp[], 30, FALSE)</f>
        <v>0</v>
      </c>
      <c r="AH81">
        <f>VLOOKUP(Table5[[#This Row],[Shortname]], Comp[], 31, FALSE)</f>
        <v>0</v>
      </c>
    </row>
    <row r="82" spans="1:34" x14ac:dyDescent="0.3">
      <c r="A82" t="s">
        <v>830</v>
      </c>
      <c r="B82">
        <v>81</v>
      </c>
      <c r="C82" t="str">
        <f>VLOOKUP(Table5[[#This Row],[Shortname]], [1]!comp[#Data], 2, FALSE)</f>
        <v>W-free</v>
      </c>
      <c r="D82" t="s">
        <v>832</v>
      </c>
      <c r="E82" s="17" t="s">
        <v>833</v>
      </c>
      <c r="F82">
        <v>1000</v>
      </c>
      <c r="G82">
        <v>1409</v>
      </c>
      <c r="H82">
        <v>1431</v>
      </c>
      <c r="I82">
        <f>VLOOKUP(Table5[[#This Row],[Shortname]], Comp[], 6, FALSE)</f>
        <v>107</v>
      </c>
      <c r="J82" s="14">
        <f>VLOOKUP(Table5[[#This Row],[Shortname]], Comp[], 7, FALSE)</f>
        <v>60</v>
      </c>
      <c r="K82">
        <f>VLOOKUP(Table5[[#This Row],[Shortname]], Comp[], 8, FALSE)</f>
        <v>20</v>
      </c>
      <c r="L82">
        <f>VLOOKUP(Table5[[#This Row],[Shortname]], Comp[], 9, FALSE)</f>
        <v>8</v>
      </c>
      <c r="M82">
        <f>VLOOKUP(Table5[[#This Row],[Shortname]], Comp[], 10, FALSE)</f>
        <v>0</v>
      </c>
      <c r="N82">
        <f>VLOOKUP(Table5[[#This Row],[Shortname]], Comp[], 11, FALSE)</f>
        <v>0</v>
      </c>
      <c r="O82">
        <f>VLOOKUP(Table5[[#This Row],[Shortname]], Comp[],12, FALSE)</f>
        <v>0</v>
      </c>
      <c r="P82">
        <f>VLOOKUP(Table5[[#This Row],[Shortname]], Comp[], 13, FALSE)</f>
        <v>0</v>
      </c>
      <c r="Q82">
        <f>VLOOKUP(Table5[[#This Row],[Shortname]], Comp[], 14, FALSE)</f>
        <v>0</v>
      </c>
      <c r="R82">
        <f>VLOOKUP(Table5[[#This Row],[Shortname]], Comp[], 15, FALSE)</f>
        <v>12</v>
      </c>
      <c r="S82">
        <f>VLOOKUP(Table5[[#This Row],[Shortname]], Comp[], 16, FALSE)</f>
        <v>0</v>
      </c>
      <c r="T82">
        <f>VLOOKUP(Table5[[#This Row],[Shortname]], Comp[], 17, FALSE)</f>
        <v>0</v>
      </c>
      <c r="U82">
        <f>VLOOKUP(Table5[[#This Row],[Shortname]], Comp[], 18, FALSE)</f>
        <v>0</v>
      </c>
      <c r="V82">
        <f>VLOOKUP(Table5[[#This Row],[Shortname]], Comp[], 19, FALSE)</f>
        <v>0</v>
      </c>
      <c r="W82">
        <f>VLOOKUP(Table5[[#This Row],[Shortname]], Comp[], 20, FALSE)</f>
        <v>0</v>
      </c>
      <c r="X82">
        <f>VLOOKUP(Table5[[#This Row],[Shortname]], Comp[], 21, FALSE)</f>
        <v>0</v>
      </c>
      <c r="Y82">
        <f>VLOOKUP(Table5[[#This Row],[Shortname]], Comp[], 22, FALSE)</f>
        <v>0</v>
      </c>
      <c r="Z82">
        <f>VLOOKUP(Table5[[#This Row],[Shortname]], Comp[], 23, FALSE)</f>
        <v>0</v>
      </c>
      <c r="AA82">
        <f>VLOOKUP(Table5[[#This Row],[Shortname]], Comp[], 24, FALSE)</f>
        <v>0</v>
      </c>
      <c r="AB82">
        <f>VLOOKUP(Table5[[#This Row],[Shortname]], Comp[], 25, FALSE)</f>
        <v>0</v>
      </c>
      <c r="AC82">
        <f>VLOOKUP(Table5[[#This Row],[Shortname]], Comp[], 26, FALSE)</f>
        <v>0</v>
      </c>
      <c r="AD82">
        <f>VLOOKUP(Table5[[#This Row],[Shortname]], Comp[], 27, FALSE)</f>
        <v>0</v>
      </c>
      <c r="AE82">
        <f>VLOOKUP(Table5[[#This Row],[Shortname]], Comp[], 28, FALSE)</f>
        <v>0</v>
      </c>
      <c r="AF82">
        <f>VLOOKUP(Table5[[#This Row],[Shortname]], Comp[], 29, FALSE)</f>
        <v>0</v>
      </c>
      <c r="AG82">
        <f>VLOOKUP(Table5[[#This Row],[Shortname]], Comp[], 30, FALSE)</f>
        <v>0</v>
      </c>
      <c r="AH82">
        <f>VLOOKUP(Table5[[#This Row],[Shortname]], Comp[], 31, FALSE)</f>
        <v>0</v>
      </c>
    </row>
    <row r="83" spans="1:34" x14ac:dyDescent="0.3">
      <c r="A83" t="s">
        <v>824</v>
      </c>
      <c r="B83">
        <v>82</v>
      </c>
      <c r="C83" t="str">
        <f>VLOOKUP(Table5[[#This Row],[Shortname]], [1]!comp[#Data], 2, FALSE)</f>
        <v>W-free</v>
      </c>
      <c r="D83" t="s">
        <v>826</v>
      </c>
      <c r="E83" s="17" t="s">
        <v>819</v>
      </c>
      <c r="F83">
        <v>979</v>
      </c>
      <c r="G83">
        <v>1409</v>
      </c>
      <c r="H83">
        <v>1433</v>
      </c>
      <c r="I83">
        <f>VLOOKUP(Table5[[#This Row],[Shortname]], Comp[], 6, FALSE)</f>
        <v>106</v>
      </c>
      <c r="J83" s="14">
        <f>VLOOKUP(Table5[[#This Row],[Shortname]], Comp[], 7, FALSE)</f>
        <v>70</v>
      </c>
      <c r="K83">
        <f>VLOOKUP(Table5[[#This Row],[Shortname]], Comp[], 8, FALSE)</f>
        <v>10</v>
      </c>
      <c r="L83">
        <f>VLOOKUP(Table5[[#This Row],[Shortname]], Comp[], 9, FALSE)</f>
        <v>8</v>
      </c>
      <c r="M83">
        <f>VLOOKUP(Table5[[#This Row],[Shortname]], Comp[], 10, FALSE)</f>
        <v>0</v>
      </c>
      <c r="N83">
        <f>VLOOKUP(Table5[[#This Row],[Shortname]], Comp[], 11, FALSE)</f>
        <v>0</v>
      </c>
      <c r="O83">
        <f>VLOOKUP(Table5[[#This Row],[Shortname]], Comp[],12, FALSE)</f>
        <v>0</v>
      </c>
      <c r="P83">
        <f>VLOOKUP(Table5[[#This Row],[Shortname]], Comp[], 13, FALSE)</f>
        <v>0</v>
      </c>
      <c r="Q83">
        <f>VLOOKUP(Table5[[#This Row],[Shortname]], Comp[], 14, FALSE)</f>
        <v>0</v>
      </c>
      <c r="R83">
        <f>VLOOKUP(Table5[[#This Row],[Shortname]], Comp[], 15, FALSE)</f>
        <v>12</v>
      </c>
      <c r="S83">
        <f>VLOOKUP(Table5[[#This Row],[Shortname]], Comp[], 16, FALSE)</f>
        <v>0</v>
      </c>
      <c r="T83">
        <f>VLOOKUP(Table5[[#This Row],[Shortname]], Comp[], 17, FALSE)</f>
        <v>0</v>
      </c>
      <c r="U83">
        <f>VLOOKUP(Table5[[#This Row],[Shortname]], Comp[], 18, FALSE)</f>
        <v>0</v>
      </c>
      <c r="V83">
        <f>VLOOKUP(Table5[[#This Row],[Shortname]], Comp[], 19, FALSE)</f>
        <v>0</v>
      </c>
      <c r="W83">
        <f>VLOOKUP(Table5[[#This Row],[Shortname]], Comp[], 20, FALSE)</f>
        <v>0</v>
      </c>
      <c r="X83">
        <f>VLOOKUP(Table5[[#This Row],[Shortname]], Comp[], 21, FALSE)</f>
        <v>0</v>
      </c>
      <c r="Y83">
        <f>VLOOKUP(Table5[[#This Row],[Shortname]], Comp[], 22, FALSE)</f>
        <v>0</v>
      </c>
      <c r="Z83">
        <f>VLOOKUP(Table5[[#This Row],[Shortname]], Comp[], 23, FALSE)</f>
        <v>0</v>
      </c>
      <c r="AA83">
        <f>VLOOKUP(Table5[[#This Row],[Shortname]], Comp[], 24, FALSE)</f>
        <v>0</v>
      </c>
      <c r="AB83">
        <f>VLOOKUP(Table5[[#This Row],[Shortname]], Comp[], 25, FALSE)</f>
        <v>0</v>
      </c>
      <c r="AC83">
        <f>VLOOKUP(Table5[[#This Row],[Shortname]], Comp[], 26, FALSE)</f>
        <v>0</v>
      </c>
      <c r="AD83">
        <f>VLOOKUP(Table5[[#This Row],[Shortname]], Comp[], 27, FALSE)</f>
        <v>0</v>
      </c>
      <c r="AE83">
        <f>VLOOKUP(Table5[[#This Row],[Shortname]], Comp[], 28, FALSE)</f>
        <v>0</v>
      </c>
      <c r="AF83">
        <f>VLOOKUP(Table5[[#This Row],[Shortname]], Comp[], 29, FALSE)</f>
        <v>0</v>
      </c>
      <c r="AG83">
        <f>VLOOKUP(Table5[[#This Row],[Shortname]], Comp[], 30, FALSE)</f>
        <v>0</v>
      </c>
      <c r="AH83">
        <f>VLOOKUP(Table5[[#This Row],[Shortname]], Comp[], 31, FALSE)</f>
        <v>0</v>
      </c>
    </row>
    <row r="84" spans="1:34" x14ac:dyDescent="0.3">
      <c r="A84" t="s">
        <v>794</v>
      </c>
      <c r="B84">
        <v>83</v>
      </c>
      <c r="C84" t="str">
        <f>VLOOKUP(Table5[[#This Row],[Shortname]], [1]!comp[#Data], 2, FALSE)</f>
        <v>W-free</v>
      </c>
      <c r="D84" t="s">
        <v>796</v>
      </c>
      <c r="E84" s="17" t="s">
        <v>797</v>
      </c>
      <c r="F84">
        <v>971</v>
      </c>
      <c r="G84">
        <v>1399</v>
      </c>
      <c r="H84">
        <v>1399</v>
      </c>
      <c r="I84">
        <f>VLOOKUP(Table5[[#This Row],[Shortname]], Comp[], 6, FALSE)</f>
        <v>102</v>
      </c>
      <c r="J84" s="14">
        <f>VLOOKUP(Table5[[#This Row],[Shortname]], Comp[], 7, FALSE)</f>
        <v>79</v>
      </c>
      <c r="K84">
        <f>VLOOKUP(Table5[[#This Row],[Shortname]], Comp[], 8, FALSE)</f>
        <v>0</v>
      </c>
      <c r="L84">
        <f>VLOOKUP(Table5[[#This Row],[Shortname]], Comp[], 9, FALSE)</f>
        <v>5</v>
      </c>
      <c r="M84">
        <f>VLOOKUP(Table5[[#This Row],[Shortname]], Comp[], 10, FALSE)</f>
        <v>0</v>
      </c>
      <c r="N84">
        <f>VLOOKUP(Table5[[#This Row],[Shortname]], Comp[], 11, FALSE)</f>
        <v>0</v>
      </c>
      <c r="O84">
        <f>VLOOKUP(Table5[[#This Row],[Shortname]], Comp[],12, FALSE)</f>
        <v>0</v>
      </c>
      <c r="P84">
        <f>VLOOKUP(Table5[[#This Row],[Shortname]], Comp[], 13, FALSE)</f>
        <v>0</v>
      </c>
      <c r="Q84">
        <f>VLOOKUP(Table5[[#This Row],[Shortname]], Comp[], 14, FALSE)</f>
        <v>0</v>
      </c>
      <c r="R84">
        <f>VLOOKUP(Table5[[#This Row],[Shortname]], Comp[], 15, FALSE)</f>
        <v>14</v>
      </c>
      <c r="S84">
        <f>VLOOKUP(Table5[[#This Row],[Shortname]], Comp[], 16, FALSE)</f>
        <v>2</v>
      </c>
      <c r="T84">
        <f>VLOOKUP(Table5[[#This Row],[Shortname]], Comp[], 17, FALSE)</f>
        <v>0</v>
      </c>
      <c r="U84">
        <f>VLOOKUP(Table5[[#This Row],[Shortname]], Comp[], 18, FALSE)</f>
        <v>0</v>
      </c>
      <c r="V84">
        <f>VLOOKUP(Table5[[#This Row],[Shortname]], Comp[], 19, FALSE)</f>
        <v>0</v>
      </c>
      <c r="W84">
        <f>VLOOKUP(Table5[[#This Row],[Shortname]], Comp[], 20, FALSE)</f>
        <v>0</v>
      </c>
      <c r="X84">
        <f>VLOOKUP(Table5[[#This Row],[Shortname]], Comp[], 21, FALSE)</f>
        <v>0</v>
      </c>
      <c r="Y84">
        <f>VLOOKUP(Table5[[#This Row],[Shortname]], Comp[], 22, FALSE)</f>
        <v>0</v>
      </c>
      <c r="Z84">
        <f>VLOOKUP(Table5[[#This Row],[Shortname]], Comp[], 23, FALSE)</f>
        <v>0</v>
      </c>
      <c r="AA84">
        <f>VLOOKUP(Table5[[#This Row],[Shortname]], Comp[], 24, FALSE)</f>
        <v>0</v>
      </c>
      <c r="AB84">
        <f>VLOOKUP(Table5[[#This Row],[Shortname]], Comp[], 25, FALSE)</f>
        <v>0</v>
      </c>
      <c r="AC84">
        <f>VLOOKUP(Table5[[#This Row],[Shortname]], Comp[], 26, FALSE)</f>
        <v>0</v>
      </c>
      <c r="AD84">
        <f>VLOOKUP(Table5[[#This Row],[Shortname]], Comp[], 27, FALSE)</f>
        <v>0</v>
      </c>
      <c r="AE84">
        <f>VLOOKUP(Table5[[#This Row],[Shortname]], Comp[], 28, FALSE)</f>
        <v>0</v>
      </c>
      <c r="AF84">
        <f>VLOOKUP(Table5[[#This Row],[Shortname]], Comp[], 29, FALSE)</f>
        <v>0</v>
      </c>
      <c r="AG84">
        <f>VLOOKUP(Table5[[#This Row],[Shortname]], Comp[], 30, FALSE)</f>
        <v>0</v>
      </c>
      <c r="AH84">
        <f>VLOOKUP(Table5[[#This Row],[Shortname]], Comp[], 31, FALSE)</f>
        <v>0</v>
      </c>
    </row>
    <row r="85" spans="1:34" x14ac:dyDescent="0.3">
      <c r="A85" t="s">
        <v>816</v>
      </c>
      <c r="B85">
        <v>84</v>
      </c>
      <c r="C85" t="str">
        <f>VLOOKUP(Table5[[#This Row],[Shortname]], [1]!comp[#Data], 2, FALSE)</f>
        <v>W-free</v>
      </c>
      <c r="D85" t="s">
        <v>818</v>
      </c>
      <c r="E85" s="17" t="s">
        <v>819</v>
      </c>
      <c r="F85">
        <v>964</v>
      </c>
      <c r="G85">
        <v>1409</v>
      </c>
      <c r="H85">
        <v>1440</v>
      </c>
      <c r="I85">
        <f>VLOOKUP(Table5[[#This Row],[Shortname]], Comp[], 6, FALSE)</f>
        <v>105</v>
      </c>
      <c r="J85" s="14">
        <f>VLOOKUP(Table5[[#This Row],[Shortname]], Comp[], 7, FALSE)</f>
        <v>80</v>
      </c>
      <c r="K85">
        <f>VLOOKUP(Table5[[#This Row],[Shortname]], Comp[], 8, FALSE)</f>
        <v>0</v>
      </c>
      <c r="L85">
        <f>VLOOKUP(Table5[[#This Row],[Shortname]], Comp[], 9, FALSE)</f>
        <v>8</v>
      </c>
      <c r="M85">
        <f>VLOOKUP(Table5[[#This Row],[Shortname]], Comp[], 10, FALSE)</f>
        <v>0</v>
      </c>
      <c r="N85">
        <f>VLOOKUP(Table5[[#This Row],[Shortname]], Comp[], 11, FALSE)</f>
        <v>0</v>
      </c>
      <c r="O85">
        <f>VLOOKUP(Table5[[#This Row],[Shortname]], Comp[],12, FALSE)</f>
        <v>0</v>
      </c>
      <c r="P85">
        <f>VLOOKUP(Table5[[#This Row],[Shortname]], Comp[], 13, FALSE)</f>
        <v>0</v>
      </c>
      <c r="Q85">
        <f>VLOOKUP(Table5[[#This Row],[Shortname]], Comp[], 14, FALSE)</f>
        <v>0</v>
      </c>
      <c r="R85">
        <f>VLOOKUP(Table5[[#This Row],[Shortname]], Comp[], 15, FALSE)</f>
        <v>12</v>
      </c>
      <c r="S85">
        <f>VLOOKUP(Table5[[#This Row],[Shortname]], Comp[], 16, FALSE)</f>
        <v>0</v>
      </c>
      <c r="T85">
        <f>VLOOKUP(Table5[[#This Row],[Shortname]], Comp[], 17, FALSE)</f>
        <v>0</v>
      </c>
      <c r="U85">
        <f>VLOOKUP(Table5[[#This Row],[Shortname]], Comp[], 18, FALSE)</f>
        <v>0</v>
      </c>
      <c r="V85">
        <f>VLOOKUP(Table5[[#This Row],[Shortname]], Comp[], 19, FALSE)</f>
        <v>0</v>
      </c>
      <c r="W85">
        <f>VLOOKUP(Table5[[#This Row],[Shortname]], Comp[], 20, FALSE)</f>
        <v>0</v>
      </c>
      <c r="X85">
        <f>VLOOKUP(Table5[[#This Row],[Shortname]], Comp[], 21, FALSE)</f>
        <v>0</v>
      </c>
      <c r="Y85">
        <f>VLOOKUP(Table5[[#This Row],[Shortname]], Comp[], 22, FALSE)</f>
        <v>0</v>
      </c>
      <c r="Z85">
        <f>VLOOKUP(Table5[[#This Row],[Shortname]], Comp[], 23, FALSE)</f>
        <v>0</v>
      </c>
      <c r="AA85">
        <f>VLOOKUP(Table5[[#This Row],[Shortname]], Comp[], 24, FALSE)</f>
        <v>0</v>
      </c>
      <c r="AB85">
        <f>VLOOKUP(Table5[[#This Row],[Shortname]], Comp[], 25, FALSE)</f>
        <v>0</v>
      </c>
      <c r="AC85">
        <f>VLOOKUP(Table5[[#This Row],[Shortname]], Comp[], 26, FALSE)</f>
        <v>0</v>
      </c>
      <c r="AD85">
        <f>VLOOKUP(Table5[[#This Row],[Shortname]], Comp[], 27, FALSE)</f>
        <v>0</v>
      </c>
      <c r="AE85">
        <f>VLOOKUP(Table5[[#This Row],[Shortname]], Comp[], 28, FALSE)</f>
        <v>0</v>
      </c>
      <c r="AF85">
        <f>VLOOKUP(Table5[[#This Row],[Shortname]], Comp[], 29, FALSE)</f>
        <v>0</v>
      </c>
      <c r="AG85">
        <f>VLOOKUP(Table5[[#This Row],[Shortname]], Comp[], 30, FALSE)</f>
        <v>0</v>
      </c>
      <c r="AH85">
        <f>VLOOKUP(Table5[[#This Row],[Shortname]], Comp[], 31, FALSE)</f>
        <v>0</v>
      </c>
    </row>
    <row r="86" spans="1:34" x14ac:dyDescent="0.3">
      <c r="A86" t="s">
        <v>779</v>
      </c>
      <c r="B86">
        <v>85</v>
      </c>
      <c r="C86" t="str">
        <f>VLOOKUP(Table5[[#This Row],[Shortname]], [1]!comp[#Data], 2, FALSE)</f>
        <v>W-free</v>
      </c>
      <c r="D86" t="s">
        <v>781</v>
      </c>
      <c r="E86" s="17" t="s">
        <v>782</v>
      </c>
      <c r="F86">
        <v>948</v>
      </c>
      <c r="G86">
        <v>1410</v>
      </c>
      <c r="H86">
        <v>1444</v>
      </c>
      <c r="I86">
        <f>VLOOKUP(Table5[[#This Row],[Shortname]], Comp[], 6, FALSE)</f>
        <v>100</v>
      </c>
      <c r="J86" s="14">
        <f>VLOOKUP(Table5[[#This Row],[Shortname]], Comp[], 7, FALSE)</f>
        <v>79</v>
      </c>
      <c r="K86">
        <f>VLOOKUP(Table5[[#This Row],[Shortname]], Comp[], 8, FALSE)</f>
        <v>0</v>
      </c>
      <c r="L86">
        <f>VLOOKUP(Table5[[#This Row],[Shortname]], Comp[], 9, FALSE)</f>
        <v>5</v>
      </c>
      <c r="M86">
        <f>VLOOKUP(Table5[[#This Row],[Shortname]], Comp[], 10, FALSE)</f>
        <v>2</v>
      </c>
      <c r="N86">
        <f>VLOOKUP(Table5[[#This Row],[Shortname]], Comp[], 11, FALSE)</f>
        <v>0</v>
      </c>
      <c r="O86">
        <f>VLOOKUP(Table5[[#This Row],[Shortname]], Comp[],12, FALSE)</f>
        <v>0</v>
      </c>
      <c r="P86">
        <f>VLOOKUP(Table5[[#This Row],[Shortname]], Comp[], 13, FALSE)</f>
        <v>0</v>
      </c>
      <c r="Q86">
        <f>VLOOKUP(Table5[[#This Row],[Shortname]], Comp[], 14, FALSE)</f>
        <v>0</v>
      </c>
      <c r="R86">
        <f>VLOOKUP(Table5[[#This Row],[Shortname]], Comp[], 15, FALSE)</f>
        <v>14</v>
      </c>
      <c r="S86">
        <f>VLOOKUP(Table5[[#This Row],[Shortname]], Comp[], 16, FALSE)</f>
        <v>0</v>
      </c>
      <c r="T86">
        <f>VLOOKUP(Table5[[#This Row],[Shortname]], Comp[], 17, FALSE)</f>
        <v>0</v>
      </c>
      <c r="U86">
        <f>VLOOKUP(Table5[[#This Row],[Shortname]], Comp[], 18, FALSE)</f>
        <v>0</v>
      </c>
      <c r="V86">
        <f>VLOOKUP(Table5[[#This Row],[Shortname]], Comp[], 19, FALSE)</f>
        <v>0</v>
      </c>
      <c r="W86">
        <f>VLOOKUP(Table5[[#This Row],[Shortname]], Comp[], 20, FALSE)</f>
        <v>0</v>
      </c>
      <c r="X86">
        <f>VLOOKUP(Table5[[#This Row],[Shortname]], Comp[], 21, FALSE)</f>
        <v>0</v>
      </c>
      <c r="Y86">
        <f>VLOOKUP(Table5[[#This Row],[Shortname]], Comp[], 22, FALSE)</f>
        <v>0</v>
      </c>
      <c r="Z86">
        <f>VLOOKUP(Table5[[#This Row],[Shortname]], Comp[], 23, FALSE)</f>
        <v>0</v>
      </c>
      <c r="AA86">
        <f>VLOOKUP(Table5[[#This Row],[Shortname]], Comp[], 24, FALSE)</f>
        <v>0</v>
      </c>
      <c r="AB86">
        <f>VLOOKUP(Table5[[#This Row],[Shortname]], Comp[], 25, FALSE)</f>
        <v>0</v>
      </c>
      <c r="AC86">
        <f>VLOOKUP(Table5[[#This Row],[Shortname]], Comp[], 26, FALSE)</f>
        <v>0</v>
      </c>
      <c r="AD86">
        <f>VLOOKUP(Table5[[#This Row],[Shortname]], Comp[], 27, FALSE)</f>
        <v>0</v>
      </c>
      <c r="AE86">
        <f>VLOOKUP(Table5[[#This Row],[Shortname]], Comp[], 28, FALSE)</f>
        <v>0</v>
      </c>
      <c r="AF86">
        <f>VLOOKUP(Table5[[#This Row],[Shortname]], Comp[], 29, FALSE)</f>
        <v>0</v>
      </c>
      <c r="AG86">
        <f>VLOOKUP(Table5[[#This Row],[Shortname]], Comp[], 30, FALSE)</f>
        <v>0</v>
      </c>
      <c r="AH86">
        <f>VLOOKUP(Table5[[#This Row],[Shortname]], Comp[], 31, FALSE)</f>
        <v>0</v>
      </c>
    </row>
    <row r="87" spans="1:34" x14ac:dyDescent="0.3">
      <c r="A87" t="s">
        <v>945</v>
      </c>
      <c r="B87">
        <v>86</v>
      </c>
      <c r="C87" t="str">
        <f>VLOOKUP(Table5[[#This Row],[Shortname]], [1]!comp[#Data], 2, FALSE)</f>
        <v>W-free</v>
      </c>
      <c r="D87" t="s">
        <v>6700</v>
      </c>
      <c r="E87" s="15" t="s">
        <v>6701</v>
      </c>
      <c r="F87">
        <v>1286</v>
      </c>
      <c r="G87">
        <v>1310</v>
      </c>
      <c r="H87">
        <v>1351</v>
      </c>
      <c r="I87">
        <f>VLOOKUP(Table5[[#This Row],[Shortname]], Comp[], 6, FALSE)</f>
        <v>122</v>
      </c>
      <c r="J87" s="14">
        <f>VLOOKUP(Table5[[#This Row],[Shortname]], Comp[], 7, FALSE)</f>
        <v>50</v>
      </c>
      <c r="K87">
        <f>VLOOKUP(Table5[[#This Row],[Shortname]], Comp[], 8, FALSE)</f>
        <v>30</v>
      </c>
      <c r="L87">
        <f>VLOOKUP(Table5[[#This Row],[Shortname]], Comp[], 9, FALSE)</f>
        <v>12</v>
      </c>
      <c r="M87">
        <f>VLOOKUP(Table5[[#This Row],[Shortname]], Comp[], 10, FALSE)</f>
        <v>0</v>
      </c>
      <c r="N87">
        <f>VLOOKUP(Table5[[#This Row],[Shortname]], Comp[], 11, FALSE)</f>
        <v>0</v>
      </c>
      <c r="O87">
        <f>VLOOKUP(Table5[[#This Row],[Shortname]], Comp[],12, FALSE)</f>
        <v>0</v>
      </c>
      <c r="P87">
        <f>VLOOKUP(Table5[[#This Row],[Shortname]], Comp[], 13, FALSE)</f>
        <v>8</v>
      </c>
      <c r="Q87">
        <f>VLOOKUP(Table5[[#This Row],[Shortname]], Comp[], 14, FALSE)</f>
        <v>0</v>
      </c>
      <c r="R87">
        <f>VLOOKUP(Table5[[#This Row],[Shortname]], Comp[], 15, FALSE)</f>
        <v>0</v>
      </c>
      <c r="S87">
        <f>VLOOKUP(Table5[[#This Row],[Shortname]], Comp[], 16, FALSE)</f>
        <v>0</v>
      </c>
      <c r="T87">
        <f>VLOOKUP(Table5[[#This Row],[Shortname]], Comp[], 17, FALSE)</f>
        <v>0</v>
      </c>
      <c r="U87">
        <f>VLOOKUP(Table5[[#This Row],[Shortname]], Comp[], 18, FALSE)</f>
        <v>0</v>
      </c>
      <c r="V87">
        <f>VLOOKUP(Table5[[#This Row],[Shortname]], Comp[], 19, FALSE)</f>
        <v>0</v>
      </c>
      <c r="W87">
        <f>VLOOKUP(Table5[[#This Row],[Shortname]], Comp[], 20, FALSE)</f>
        <v>0</v>
      </c>
      <c r="X87">
        <f>VLOOKUP(Table5[[#This Row],[Shortname]], Comp[], 21, FALSE)</f>
        <v>0</v>
      </c>
      <c r="Y87">
        <f>VLOOKUP(Table5[[#This Row],[Shortname]], Comp[], 22, FALSE)</f>
        <v>0</v>
      </c>
      <c r="Z87">
        <f>VLOOKUP(Table5[[#This Row],[Shortname]], Comp[], 23, FALSE)</f>
        <v>0</v>
      </c>
      <c r="AA87">
        <f>VLOOKUP(Table5[[#This Row],[Shortname]], Comp[], 24, FALSE)</f>
        <v>0</v>
      </c>
      <c r="AB87">
        <f>VLOOKUP(Table5[[#This Row],[Shortname]], Comp[], 25, FALSE)</f>
        <v>0</v>
      </c>
      <c r="AC87">
        <f>VLOOKUP(Table5[[#This Row],[Shortname]], Comp[], 26, FALSE)</f>
        <v>0</v>
      </c>
      <c r="AD87">
        <f>VLOOKUP(Table5[[#This Row],[Shortname]], Comp[], 27, FALSE)</f>
        <v>0</v>
      </c>
      <c r="AE87">
        <f>VLOOKUP(Table5[[#This Row],[Shortname]], Comp[], 28, FALSE)</f>
        <v>0</v>
      </c>
      <c r="AF87">
        <f>VLOOKUP(Table5[[#This Row],[Shortname]], Comp[], 29, FALSE)</f>
        <v>0</v>
      </c>
      <c r="AG87">
        <f>VLOOKUP(Table5[[#This Row],[Shortname]], Comp[], 30, FALSE)</f>
        <v>0</v>
      </c>
      <c r="AH87">
        <f>VLOOKUP(Table5[[#This Row],[Shortname]], Comp[], 31, FALSE)</f>
        <v>0</v>
      </c>
    </row>
    <row r="88" spans="1:34" x14ac:dyDescent="0.3">
      <c r="A88" t="s">
        <v>938</v>
      </c>
      <c r="B88">
        <v>87</v>
      </c>
      <c r="C88" t="str">
        <f>VLOOKUP(Table5[[#This Row],[Shortname]], [1]!comp[#Data], 2, FALSE)</f>
        <v>W-free</v>
      </c>
      <c r="D88" t="s">
        <v>6702</v>
      </c>
      <c r="E88" s="15" t="s">
        <v>6703</v>
      </c>
      <c r="F88">
        <v>1237</v>
      </c>
      <c r="G88">
        <v>1336</v>
      </c>
      <c r="H88">
        <v>1379</v>
      </c>
      <c r="I88">
        <f>VLOOKUP(Table5[[#This Row],[Shortname]], Comp[], 6, FALSE)</f>
        <v>121</v>
      </c>
      <c r="J88" s="14">
        <f>VLOOKUP(Table5[[#This Row],[Shortname]], Comp[], 7, FALSE)</f>
        <v>52</v>
      </c>
      <c r="K88">
        <f>VLOOKUP(Table5[[#This Row],[Shortname]], Comp[], 8, FALSE)</f>
        <v>30</v>
      </c>
      <c r="L88">
        <f>VLOOKUP(Table5[[#This Row],[Shortname]], Comp[], 9, FALSE)</f>
        <v>12</v>
      </c>
      <c r="M88">
        <f>VLOOKUP(Table5[[#This Row],[Shortname]], Comp[], 10, FALSE)</f>
        <v>0</v>
      </c>
      <c r="N88">
        <f>VLOOKUP(Table5[[#This Row],[Shortname]], Comp[], 11, FALSE)</f>
        <v>0</v>
      </c>
      <c r="O88">
        <f>VLOOKUP(Table5[[#This Row],[Shortname]], Comp[],12, FALSE)</f>
        <v>0</v>
      </c>
      <c r="P88">
        <f>VLOOKUP(Table5[[#This Row],[Shortname]], Comp[], 13, FALSE)</f>
        <v>6</v>
      </c>
      <c r="Q88">
        <f>VLOOKUP(Table5[[#This Row],[Shortname]], Comp[], 14, FALSE)</f>
        <v>0</v>
      </c>
      <c r="R88">
        <f>VLOOKUP(Table5[[#This Row],[Shortname]], Comp[], 15, FALSE)</f>
        <v>0</v>
      </c>
      <c r="S88">
        <f>VLOOKUP(Table5[[#This Row],[Shortname]], Comp[], 16, FALSE)</f>
        <v>0</v>
      </c>
      <c r="T88">
        <f>VLOOKUP(Table5[[#This Row],[Shortname]], Comp[], 17, FALSE)</f>
        <v>0</v>
      </c>
      <c r="U88">
        <f>VLOOKUP(Table5[[#This Row],[Shortname]], Comp[], 18, FALSE)</f>
        <v>0</v>
      </c>
      <c r="V88">
        <f>VLOOKUP(Table5[[#This Row],[Shortname]], Comp[], 19, FALSE)</f>
        <v>0</v>
      </c>
      <c r="W88">
        <f>VLOOKUP(Table5[[#This Row],[Shortname]], Comp[], 20, FALSE)</f>
        <v>0</v>
      </c>
      <c r="X88">
        <f>VLOOKUP(Table5[[#This Row],[Shortname]], Comp[], 21, FALSE)</f>
        <v>0</v>
      </c>
      <c r="Y88">
        <f>VLOOKUP(Table5[[#This Row],[Shortname]], Comp[], 22, FALSE)</f>
        <v>0</v>
      </c>
      <c r="Z88">
        <f>VLOOKUP(Table5[[#This Row],[Shortname]], Comp[], 23, FALSE)</f>
        <v>0</v>
      </c>
      <c r="AA88">
        <f>VLOOKUP(Table5[[#This Row],[Shortname]], Comp[], 24, FALSE)</f>
        <v>0</v>
      </c>
      <c r="AB88">
        <f>VLOOKUP(Table5[[#This Row],[Shortname]], Comp[], 25, FALSE)</f>
        <v>0</v>
      </c>
      <c r="AC88">
        <f>VLOOKUP(Table5[[#This Row],[Shortname]], Comp[], 26, FALSE)</f>
        <v>0</v>
      </c>
      <c r="AD88">
        <f>VLOOKUP(Table5[[#This Row],[Shortname]], Comp[], 27, FALSE)</f>
        <v>0</v>
      </c>
      <c r="AE88">
        <f>VLOOKUP(Table5[[#This Row],[Shortname]], Comp[], 28, FALSE)</f>
        <v>0</v>
      </c>
      <c r="AF88">
        <f>VLOOKUP(Table5[[#This Row],[Shortname]], Comp[], 29, FALSE)</f>
        <v>0</v>
      </c>
      <c r="AG88">
        <f>VLOOKUP(Table5[[#This Row],[Shortname]], Comp[], 30, FALSE)</f>
        <v>0</v>
      </c>
      <c r="AH88">
        <f>VLOOKUP(Table5[[#This Row],[Shortname]], Comp[], 31, FALSE)</f>
        <v>0</v>
      </c>
    </row>
    <row r="89" spans="1:34" x14ac:dyDescent="0.3">
      <c r="A89" t="s">
        <v>931</v>
      </c>
      <c r="B89">
        <v>88</v>
      </c>
      <c r="C89" t="str">
        <f>VLOOKUP(Table5[[#This Row],[Shortname]], [1]!comp[#Data], 2, FALSE)</f>
        <v>W-free</v>
      </c>
      <c r="D89" t="s">
        <v>6704</v>
      </c>
      <c r="E89" s="15" t="s">
        <v>6705</v>
      </c>
      <c r="F89">
        <v>1161</v>
      </c>
      <c r="G89">
        <v>1364</v>
      </c>
      <c r="H89">
        <v>1402</v>
      </c>
      <c r="I89">
        <f>VLOOKUP(Table5[[#This Row],[Shortname]], Comp[], 6, FALSE)</f>
        <v>120</v>
      </c>
      <c r="J89" s="14">
        <f>VLOOKUP(Table5[[#This Row],[Shortname]], Comp[], 7, FALSE)</f>
        <v>54</v>
      </c>
      <c r="K89">
        <f>VLOOKUP(Table5[[#This Row],[Shortname]], Comp[], 8, FALSE)</f>
        <v>30</v>
      </c>
      <c r="L89">
        <f>VLOOKUP(Table5[[#This Row],[Shortname]], Comp[], 9, FALSE)</f>
        <v>12</v>
      </c>
      <c r="M89">
        <f>VLOOKUP(Table5[[#This Row],[Shortname]], Comp[], 10, FALSE)</f>
        <v>0</v>
      </c>
      <c r="N89">
        <f>VLOOKUP(Table5[[#This Row],[Shortname]], Comp[], 11, FALSE)</f>
        <v>0</v>
      </c>
      <c r="O89">
        <f>VLOOKUP(Table5[[#This Row],[Shortname]], Comp[],12, FALSE)</f>
        <v>0</v>
      </c>
      <c r="P89">
        <f>VLOOKUP(Table5[[#This Row],[Shortname]], Comp[], 13, FALSE)</f>
        <v>4</v>
      </c>
      <c r="Q89">
        <f>VLOOKUP(Table5[[#This Row],[Shortname]], Comp[], 14, FALSE)</f>
        <v>0</v>
      </c>
      <c r="R89">
        <f>VLOOKUP(Table5[[#This Row],[Shortname]], Comp[], 15, FALSE)</f>
        <v>0</v>
      </c>
      <c r="S89">
        <f>VLOOKUP(Table5[[#This Row],[Shortname]], Comp[], 16, FALSE)</f>
        <v>0</v>
      </c>
      <c r="T89">
        <f>VLOOKUP(Table5[[#This Row],[Shortname]], Comp[], 17, FALSE)</f>
        <v>0</v>
      </c>
      <c r="U89">
        <f>VLOOKUP(Table5[[#This Row],[Shortname]], Comp[], 18, FALSE)</f>
        <v>0</v>
      </c>
      <c r="V89">
        <f>VLOOKUP(Table5[[#This Row],[Shortname]], Comp[], 19, FALSE)</f>
        <v>0</v>
      </c>
      <c r="W89">
        <f>VLOOKUP(Table5[[#This Row],[Shortname]], Comp[], 20, FALSE)</f>
        <v>0</v>
      </c>
      <c r="X89">
        <f>VLOOKUP(Table5[[#This Row],[Shortname]], Comp[], 21, FALSE)</f>
        <v>0</v>
      </c>
      <c r="Y89">
        <f>VLOOKUP(Table5[[#This Row],[Shortname]], Comp[], 22, FALSE)</f>
        <v>0</v>
      </c>
      <c r="Z89">
        <f>VLOOKUP(Table5[[#This Row],[Shortname]], Comp[], 23, FALSE)</f>
        <v>0</v>
      </c>
      <c r="AA89">
        <f>VLOOKUP(Table5[[#This Row],[Shortname]], Comp[], 24, FALSE)</f>
        <v>0</v>
      </c>
      <c r="AB89">
        <f>VLOOKUP(Table5[[#This Row],[Shortname]], Comp[], 25, FALSE)</f>
        <v>0</v>
      </c>
      <c r="AC89">
        <f>VLOOKUP(Table5[[#This Row],[Shortname]], Comp[], 26, FALSE)</f>
        <v>0</v>
      </c>
      <c r="AD89">
        <f>VLOOKUP(Table5[[#This Row],[Shortname]], Comp[], 27, FALSE)</f>
        <v>0</v>
      </c>
      <c r="AE89">
        <f>VLOOKUP(Table5[[#This Row],[Shortname]], Comp[], 28, FALSE)</f>
        <v>0</v>
      </c>
      <c r="AF89">
        <f>VLOOKUP(Table5[[#This Row],[Shortname]], Comp[], 29, FALSE)</f>
        <v>0</v>
      </c>
      <c r="AG89">
        <f>VLOOKUP(Table5[[#This Row],[Shortname]], Comp[], 30, FALSE)</f>
        <v>0</v>
      </c>
      <c r="AH89">
        <f>VLOOKUP(Table5[[#This Row],[Shortname]], Comp[], 31, FALSE)</f>
        <v>0</v>
      </c>
    </row>
    <row r="90" spans="1:34" x14ac:dyDescent="0.3">
      <c r="A90" t="s">
        <v>975</v>
      </c>
      <c r="B90">
        <v>89</v>
      </c>
      <c r="C90" t="str">
        <f>VLOOKUP(Table5[[#This Row],[Shortname]], [1]!comp[#Data], 2, FALSE)</f>
        <v>W-free</v>
      </c>
      <c r="D90" t="s">
        <v>977</v>
      </c>
      <c r="E90" s="15" t="s">
        <v>6598</v>
      </c>
      <c r="F90">
        <v>1152</v>
      </c>
      <c r="I90">
        <f>VLOOKUP(Table5[[#This Row],[Shortname]], Comp[], 6, FALSE)</f>
        <v>126</v>
      </c>
      <c r="J90" s="14">
        <f>VLOOKUP(Table5[[#This Row],[Shortname]], Comp[], 7, FALSE)</f>
        <v>46</v>
      </c>
      <c r="K90">
        <f>VLOOKUP(Table5[[#This Row],[Shortname]], Comp[], 8, FALSE)</f>
        <v>30</v>
      </c>
      <c r="L90">
        <f>VLOOKUP(Table5[[#This Row],[Shortname]], Comp[], 9, FALSE)</f>
        <v>12</v>
      </c>
      <c r="M90">
        <f>VLOOKUP(Table5[[#This Row],[Shortname]], Comp[], 10, FALSE)</f>
        <v>12</v>
      </c>
      <c r="N90">
        <f>VLOOKUP(Table5[[#This Row],[Shortname]], Comp[], 11, FALSE)</f>
        <v>0</v>
      </c>
      <c r="O90">
        <f>VLOOKUP(Table5[[#This Row],[Shortname]], Comp[],12, FALSE)</f>
        <v>0</v>
      </c>
      <c r="P90">
        <f>VLOOKUP(Table5[[#This Row],[Shortname]], Comp[], 13, FALSE)</f>
        <v>0</v>
      </c>
      <c r="Q90">
        <f>VLOOKUP(Table5[[#This Row],[Shortname]], Comp[], 14, FALSE)</f>
        <v>0</v>
      </c>
      <c r="R90">
        <f>VLOOKUP(Table5[[#This Row],[Shortname]], Comp[], 15, FALSE)</f>
        <v>0</v>
      </c>
      <c r="S90">
        <f>VLOOKUP(Table5[[#This Row],[Shortname]], Comp[], 16, FALSE)</f>
        <v>0</v>
      </c>
      <c r="T90">
        <f>VLOOKUP(Table5[[#This Row],[Shortname]], Comp[], 17, FALSE)</f>
        <v>0</v>
      </c>
      <c r="U90">
        <f>VLOOKUP(Table5[[#This Row],[Shortname]], Comp[], 18, FALSE)</f>
        <v>0</v>
      </c>
      <c r="V90">
        <f>VLOOKUP(Table5[[#This Row],[Shortname]], Comp[], 19, FALSE)</f>
        <v>0</v>
      </c>
      <c r="W90">
        <f>VLOOKUP(Table5[[#This Row],[Shortname]], Comp[], 20, FALSE)</f>
        <v>0</v>
      </c>
      <c r="X90">
        <f>VLOOKUP(Table5[[#This Row],[Shortname]], Comp[], 21, FALSE)</f>
        <v>0</v>
      </c>
      <c r="Y90">
        <f>VLOOKUP(Table5[[#This Row],[Shortname]], Comp[], 22, FALSE)</f>
        <v>0</v>
      </c>
      <c r="Z90">
        <f>VLOOKUP(Table5[[#This Row],[Shortname]], Comp[], 23, FALSE)</f>
        <v>0</v>
      </c>
      <c r="AA90">
        <f>VLOOKUP(Table5[[#This Row],[Shortname]], Comp[], 24, FALSE)</f>
        <v>0</v>
      </c>
      <c r="AB90">
        <f>VLOOKUP(Table5[[#This Row],[Shortname]], Comp[], 25, FALSE)</f>
        <v>0</v>
      </c>
      <c r="AC90">
        <f>VLOOKUP(Table5[[#This Row],[Shortname]], Comp[], 26, FALSE)</f>
        <v>0</v>
      </c>
      <c r="AD90">
        <f>VLOOKUP(Table5[[#This Row],[Shortname]], Comp[], 27, FALSE)</f>
        <v>0</v>
      </c>
      <c r="AE90">
        <f>VLOOKUP(Table5[[#This Row],[Shortname]], Comp[], 28, FALSE)</f>
        <v>0</v>
      </c>
      <c r="AF90">
        <f>VLOOKUP(Table5[[#This Row],[Shortname]], Comp[], 29, FALSE)</f>
        <v>0</v>
      </c>
      <c r="AG90">
        <f>VLOOKUP(Table5[[#This Row],[Shortname]], Comp[], 30, FALSE)</f>
        <v>0</v>
      </c>
      <c r="AH90">
        <f>VLOOKUP(Table5[[#This Row],[Shortname]], Comp[], 31, FALSE)</f>
        <v>0</v>
      </c>
    </row>
    <row r="91" spans="1:34" x14ac:dyDescent="0.3">
      <c r="A91" t="s">
        <v>899</v>
      </c>
      <c r="B91">
        <v>90</v>
      </c>
      <c r="C91" t="str">
        <f>VLOOKUP(Table5[[#This Row],[Shortname]], [1]!comp[#Data], 2, FALSE)</f>
        <v>W-free</v>
      </c>
      <c r="D91" t="s">
        <v>901</v>
      </c>
      <c r="E91" s="1" t="s">
        <v>6706</v>
      </c>
      <c r="F91">
        <v>1048</v>
      </c>
      <c r="G91">
        <v>1395</v>
      </c>
      <c r="H91">
        <v>1428</v>
      </c>
      <c r="I91">
        <f>VLOOKUP(Table5[[#This Row],[Shortname]], Comp[], 6, FALSE)</f>
        <v>116</v>
      </c>
      <c r="J91" s="14">
        <f>VLOOKUP(Table5[[#This Row],[Shortname]], Comp[], 7, FALSE)</f>
        <v>56</v>
      </c>
      <c r="K91">
        <f>VLOOKUP(Table5[[#This Row],[Shortname]], Comp[], 8, FALSE)</f>
        <v>30</v>
      </c>
      <c r="L91">
        <f>VLOOKUP(Table5[[#This Row],[Shortname]], Comp[], 9, FALSE)</f>
        <v>12</v>
      </c>
      <c r="M91">
        <f>VLOOKUP(Table5[[#This Row],[Shortname]], Comp[], 10, FALSE)</f>
        <v>0</v>
      </c>
      <c r="N91">
        <f>VLOOKUP(Table5[[#This Row],[Shortname]], Comp[], 11, FALSE)</f>
        <v>0</v>
      </c>
      <c r="O91">
        <f>VLOOKUP(Table5[[#This Row],[Shortname]], Comp[],12, FALSE)</f>
        <v>0</v>
      </c>
      <c r="P91">
        <f>VLOOKUP(Table5[[#This Row],[Shortname]], Comp[], 13, FALSE)</f>
        <v>2</v>
      </c>
      <c r="Q91">
        <f>VLOOKUP(Table5[[#This Row],[Shortname]], Comp[], 14, FALSE)</f>
        <v>0</v>
      </c>
      <c r="R91">
        <f>VLOOKUP(Table5[[#This Row],[Shortname]], Comp[], 15, FALSE)</f>
        <v>0</v>
      </c>
      <c r="S91">
        <f>VLOOKUP(Table5[[#This Row],[Shortname]], Comp[], 16, FALSE)</f>
        <v>0</v>
      </c>
      <c r="T91">
        <f>VLOOKUP(Table5[[#This Row],[Shortname]], Comp[], 17, FALSE)</f>
        <v>0</v>
      </c>
      <c r="U91">
        <f>VLOOKUP(Table5[[#This Row],[Shortname]], Comp[], 18, FALSE)</f>
        <v>0</v>
      </c>
      <c r="V91">
        <f>VLOOKUP(Table5[[#This Row],[Shortname]], Comp[], 19, FALSE)</f>
        <v>0</v>
      </c>
      <c r="W91">
        <f>VLOOKUP(Table5[[#This Row],[Shortname]], Comp[], 20, FALSE)</f>
        <v>0</v>
      </c>
      <c r="X91">
        <f>VLOOKUP(Table5[[#This Row],[Shortname]], Comp[], 21, FALSE)</f>
        <v>0</v>
      </c>
      <c r="Y91">
        <f>VLOOKUP(Table5[[#This Row],[Shortname]], Comp[], 22, FALSE)</f>
        <v>0</v>
      </c>
      <c r="Z91">
        <f>VLOOKUP(Table5[[#This Row],[Shortname]], Comp[], 23, FALSE)</f>
        <v>0</v>
      </c>
      <c r="AA91">
        <f>VLOOKUP(Table5[[#This Row],[Shortname]], Comp[], 24, FALSE)</f>
        <v>0</v>
      </c>
      <c r="AB91">
        <f>VLOOKUP(Table5[[#This Row],[Shortname]], Comp[], 25, FALSE)</f>
        <v>0</v>
      </c>
      <c r="AC91">
        <f>VLOOKUP(Table5[[#This Row],[Shortname]], Comp[], 26, FALSE)</f>
        <v>0</v>
      </c>
      <c r="AD91">
        <f>VLOOKUP(Table5[[#This Row],[Shortname]], Comp[], 27, FALSE)</f>
        <v>0</v>
      </c>
      <c r="AE91">
        <f>VLOOKUP(Table5[[#This Row],[Shortname]], Comp[], 28, FALSE)</f>
        <v>0</v>
      </c>
      <c r="AF91">
        <f>VLOOKUP(Table5[[#This Row],[Shortname]], Comp[], 29, FALSE)</f>
        <v>0</v>
      </c>
      <c r="AG91">
        <f>VLOOKUP(Table5[[#This Row],[Shortname]], Comp[], 30, FALSE)</f>
        <v>0</v>
      </c>
      <c r="AH91">
        <f>VLOOKUP(Table5[[#This Row],[Shortname]], Comp[], 31, FALSE)</f>
        <v>0</v>
      </c>
    </row>
    <row r="92" spans="1:34" x14ac:dyDescent="0.3">
      <c r="A92" t="s">
        <v>892</v>
      </c>
      <c r="B92">
        <v>91</v>
      </c>
      <c r="C92" t="str">
        <f>VLOOKUP(Table5[[#This Row],[Shortname]], [1]!comp[#Data], 2, FALSE)</f>
        <v>W-free</v>
      </c>
      <c r="D92" t="s">
        <v>894</v>
      </c>
      <c r="E92" s="1" t="s">
        <v>6707</v>
      </c>
      <c r="F92">
        <v>1003</v>
      </c>
      <c r="G92">
        <v>1396</v>
      </c>
      <c r="H92">
        <v>1442</v>
      </c>
      <c r="I92">
        <f>VLOOKUP(Table5[[#This Row],[Shortname]], Comp[], 6, FALSE)</f>
        <v>115</v>
      </c>
      <c r="J92" s="14">
        <f>VLOOKUP(Table5[[#This Row],[Shortname]], Comp[], 7, FALSE)</f>
        <v>66</v>
      </c>
      <c r="K92">
        <f>VLOOKUP(Table5[[#This Row],[Shortname]], Comp[], 8, FALSE)</f>
        <v>20</v>
      </c>
      <c r="L92">
        <f>VLOOKUP(Table5[[#This Row],[Shortname]], Comp[], 9, FALSE)</f>
        <v>12</v>
      </c>
      <c r="M92">
        <f>VLOOKUP(Table5[[#This Row],[Shortname]], Comp[], 10, FALSE)</f>
        <v>0</v>
      </c>
      <c r="N92">
        <f>VLOOKUP(Table5[[#This Row],[Shortname]], Comp[], 11, FALSE)</f>
        <v>0</v>
      </c>
      <c r="O92">
        <f>VLOOKUP(Table5[[#This Row],[Shortname]], Comp[],12, FALSE)</f>
        <v>0</v>
      </c>
      <c r="P92">
        <f>VLOOKUP(Table5[[#This Row],[Shortname]], Comp[], 13, FALSE)</f>
        <v>2</v>
      </c>
      <c r="Q92">
        <f>VLOOKUP(Table5[[#This Row],[Shortname]], Comp[], 14, FALSE)</f>
        <v>0</v>
      </c>
      <c r="R92">
        <f>VLOOKUP(Table5[[#This Row],[Shortname]], Comp[], 15, FALSE)</f>
        <v>0</v>
      </c>
      <c r="S92">
        <f>VLOOKUP(Table5[[#This Row],[Shortname]], Comp[], 16, FALSE)</f>
        <v>0</v>
      </c>
      <c r="T92">
        <f>VLOOKUP(Table5[[#This Row],[Shortname]], Comp[], 17, FALSE)</f>
        <v>0</v>
      </c>
      <c r="U92">
        <f>VLOOKUP(Table5[[#This Row],[Shortname]], Comp[], 18, FALSE)</f>
        <v>0</v>
      </c>
      <c r="V92">
        <f>VLOOKUP(Table5[[#This Row],[Shortname]], Comp[], 19, FALSE)</f>
        <v>0</v>
      </c>
      <c r="W92">
        <f>VLOOKUP(Table5[[#This Row],[Shortname]], Comp[], 20, FALSE)</f>
        <v>0</v>
      </c>
      <c r="X92">
        <f>VLOOKUP(Table5[[#This Row],[Shortname]], Comp[], 21, FALSE)</f>
        <v>0</v>
      </c>
      <c r="Y92">
        <f>VLOOKUP(Table5[[#This Row],[Shortname]], Comp[], 22, FALSE)</f>
        <v>0</v>
      </c>
      <c r="Z92">
        <f>VLOOKUP(Table5[[#This Row],[Shortname]], Comp[], 23, FALSE)</f>
        <v>0</v>
      </c>
      <c r="AA92">
        <f>VLOOKUP(Table5[[#This Row],[Shortname]], Comp[], 24, FALSE)</f>
        <v>0</v>
      </c>
      <c r="AB92">
        <f>VLOOKUP(Table5[[#This Row],[Shortname]], Comp[], 25, FALSE)</f>
        <v>0</v>
      </c>
      <c r="AC92">
        <f>VLOOKUP(Table5[[#This Row],[Shortname]], Comp[], 26, FALSE)</f>
        <v>0</v>
      </c>
      <c r="AD92">
        <f>VLOOKUP(Table5[[#This Row],[Shortname]], Comp[], 27, FALSE)</f>
        <v>0</v>
      </c>
      <c r="AE92">
        <f>VLOOKUP(Table5[[#This Row],[Shortname]], Comp[], 28, FALSE)</f>
        <v>0</v>
      </c>
      <c r="AF92">
        <f>VLOOKUP(Table5[[#This Row],[Shortname]], Comp[], 29, FALSE)</f>
        <v>0</v>
      </c>
      <c r="AG92">
        <f>VLOOKUP(Table5[[#This Row],[Shortname]], Comp[], 30, FALSE)</f>
        <v>0</v>
      </c>
      <c r="AH92">
        <f>VLOOKUP(Table5[[#This Row],[Shortname]], Comp[], 31, FALSE)</f>
        <v>0</v>
      </c>
    </row>
    <row r="93" spans="1:34" x14ac:dyDescent="0.3">
      <c r="A93" t="s">
        <v>885</v>
      </c>
      <c r="B93">
        <v>92</v>
      </c>
      <c r="C93" t="str">
        <f>VLOOKUP(Table5[[#This Row],[Shortname]], [1]!comp[#Data], 2, FALSE)</f>
        <v>W-free</v>
      </c>
      <c r="D93" t="s">
        <v>887</v>
      </c>
      <c r="E93" s="1" t="s">
        <v>6708</v>
      </c>
      <c r="F93">
        <v>974</v>
      </c>
      <c r="G93">
        <v>1396</v>
      </c>
      <c r="H93">
        <v>1446</v>
      </c>
      <c r="I93">
        <f>VLOOKUP(Table5[[#This Row],[Shortname]], Comp[], 6, FALSE)</f>
        <v>114</v>
      </c>
      <c r="J93" s="14">
        <f>VLOOKUP(Table5[[#This Row],[Shortname]], Comp[], 7, FALSE)</f>
        <v>76</v>
      </c>
      <c r="K93">
        <f>VLOOKUP(Table5[[#This Row],[Shortname]], Comp[], 8, FALSE)</f>
        <v>10</v>
      </c>
      <c r="L93">
        <f>VLOOKUP(Table5[[#This Row],[Shortname]], Comp[], 9, FALSE)</f>
        <v>12</v>
      </c>
      <c r="M93">
        <f>VLOOKUP(Table5[[#This Row],[Shortname]], Comp[], 10, FALSE)</f>
        <v>0</v>
      </c>
      <c r="N93">
        <f>VLOOKUP(Table5[[#This Row],[Shortname]], Comp[], 11, FALSE)</f>
        <v>0</v>
      </c>
      <c r="O93">
        <f>VLOOKUP(Table5[[#This Row],[Shortname]], Comp[],12, FALSE)</f>
        <v>0</v>
      </c>
      <c r="P93">
        <f>VLOOKUP(Table5[[#This Row],[Shortname]], Comp[], 13, FALSE)</f>
        <v>2</v>
      </c>
      <c r="Q93">
        <f>VLOOKUP(Table5[[#This Row],[Shortname]], Comp[], 14, FALSE)</f>
        <v>0</v>
      </c>
      <c r="R93">
        <f>VLOOKUP(Table5[[#This Row],[Shortname]], Comp[], 15, FALSE)</f>
        <v>0</v>
      </c>
      <c r="S93">
        <f>VLOOKUP(Table5[[#This Row],[Shortname]], Comp[], 16, FALSE)</f>
        <v>0</v>
      </c>
      <c r="T93">
        <f>VLOOKUP(Table5[[#This Row],[Shortname]], Comp[], 17, FALSE)</f>
        <v>0</v>
      </c>
      <c r="U93">
        <f>VLOOKUP(Table5[[#This Row],[Shortname]], Comp[], 18, FALSE)</f>
        <v>0</v>
      </c>
      <c r="V93">
        <f>VLOOKUP(Table5[[#This Row],[Shortname]], Comp[], 19, FALSE)</f>
        <v>0</v>
      </c>
      <c r="W93">
        <f>VLOOKUP(Table5[[#This Row],[Shortname]], Comp[], 20, FALSE)</f>
        <v>0</v>
      </c>
      <c r="X93">
        <f>VLOOKUP(Table5[[#This Row],[Shortname]], Comp[], 21, FALSE)</f>
        <v>0</v>
      </c>
      <c r="Y93">
        <f>VLOOKUP(Table5[[#This Row],[Shortname]], Comp[], 22, FALSE)</f>
        <v>0</v>
      </c>
      <c r="Z93">
        <f>VLOOKUP(Table5[[#This Row],[Shortname]], Comp[], 23, FALSE)</f>
        <v>0</v>
      </c>
      <c r="AA93">
        <f>VLOOKUP(Table5[[#This Row],[Shortname]], Comp[], 24, FALSE)</f>
        <v>0</v>
      </c>
      <c r="AB93">
        <f>VLOOKUP(Table5[[#This Row],[Shortname]], Comp[], 25, FALSE)</f>
        <v>0</v>
      </c>
      <c r="AC93">
        <f>VLOOKUP(Table5[[#This Row],[Shortname]], Comp[], 26, FALSE)</f>
        <v>0</v>
      </c>
      <c r="AD93">
        <f>VLOOKUP(Table5[[#This Row],[Shortname]], Comp[], 27, FALSE)</f>
        <v>0</v>
      </c>
      <c r="AE93">
        <f>VLOOKUP(Table5[[#This Row],[Shortname]], Comp[], 28, FALSE)</f>
        <v>0</v>
      </c>
      <c r="AF93">
        <f>VLOOKUP(Table5[[#This Row],[Shortname]], Comp[], 29, FALSE)</f>
        <v>0</v>
      </c>
      <c r="AG93">
        <f>VLOOKUP(Table5[[#This Row],[Shortname]], Comp[], 30, FALSE)</f>
        <v>0</v>
      </c>
      <c r="AH93">
        <f>VLOOKUP(Table5[[#This Row],[Shortname]], Comp[], 31, FALSE)</f>
        <v>0</v>
      </c>
    </row>
    <row r="94" spans="1:34" x14ac:dyDescent="0.3">
      <c r="A94" t="s">
        <v>877</v>
      </c>
      <c r="B94">
        <v>93</v>
      </c>
      <c r="C94" t="str">
        <f>VLOOKUP(Table5[[#This Row],[Shortname]], [1]!comp[#Data], 2, FALSE)</f>
        <v>W-free</v>
      </c>
      <c r="D94" t="s">
        <v>879</v>
      </c>
      <c r="E94" s="1" t="s">
        <v>6709</v>
      </c>
      <c r="F94">
        <v>949</v>
      </c>
      <c r="G94">
        <v>1396</v>
      </c>
      <c r="H94">
        <v>1448</v>
      </c>
      <c r="I94">
        <f>VLOOKUP(Table5[[#This Row],[Shortname]], Comp[], 6, FALSE)</f>
        <v>113</v>
      </c>
      <c r="J94" s="14">
        <f>VLOOKUP(Table5[[#This Row],[Shortname]], Comp[], 7, FALSE)</f>
        <v>86</v>
      </c>
      <c r="K94">
        <f>VLOOKUP(Table5[[#This Row],[Shortname]], Comp[], 8, FALSE)</f>
        <v>0</v>
      </c>
      <c r="L94">
        <f>VLOOKUP(Table5[[#This Row],[Shortname]], Comp[], 9, FALSE)</f>
        <v>12</v>
      </c>
      <c r="M94">
        <f>VLOOKUP(Table5[[#This Row],[Shortname]], Comp[], 10, FALSE)</f>
        <v>0</v>
      </c>
      <c r="N94">
        <f>VLOOKUP(Table5[[#This Row],[Shortname]], Comp[], 11, FALSE)</f>
        <v>0</v>
      </c>
      <c r="O94">
        <f>VLOOKUP(Table5[[#This Row],[Shortname]], Comp[],12, FALSE)</f>
        <v>0</v>
      </c>
      <c r="P94">
        <f>VLOOKUP(Table5[[#This Row],[Shortname]], Comp[], 13, FALSE)</f>
        <v>2</v>
      </c>
      <c r="Q94">
        <f>VLOOKUP(Table5[[#This Row],[Shortname]], Comp[], 14, FALSE)</f>
        <v>0</v>
      </c>
      <c r="R94">
        <f>VLOOKUP(Table5[[#This Row],[Shortname]], Comp[], 15, FALSE)</f>
        <v>0</v>
      </c>
      <c r="S94">
        <f>VLOOKUP(Table5[[#This Row],[Shortname]], Comp[], 16, FALSE)</f>
        <v>0</v>
      </c>
      <c r="T94">
        <f>VLOOKUP(Table5[[#This Row],[Shortname]], Comp[], 17, FALSE)</f>
        <v>0</v>
      </c>
      <c r="U94">
        <f>VLOOKUP(Table5[[#This Row],[Shortname]], Comp[], 18, FALSE)</f>
        <v>0</v>
      </c>
      <c r="V94">
        <f>VLOOKUP(Table5[[#This Row],[Shortname]], Comp[], 19, FALSE)</f>
        <v>0</v>
      </c>
      <c r="W94">
        <f>VLOOKUP(Table5[[#This Row],[Shortname]], Comp[], 20, FALSE)</f>
        <v>0</v>
      </c>
      <c r="X94">
        <f>VLOOKUP(Table5[[#This Row],[Shortname]], Comp[], 21, FALSE)</f>
        <v>0</v>
      </c>
      <c r="Y94">
        <f>VLOOKUP(Table5[[#This Row],[Shortname]], Comp[], 22, FALSE)</f>
        <v>0</v>
      </c>
      <c r="Z94">
        <f>VLOOKUP(Table5[[#This Row],[Shortname]], Comp[], 23, FALSE)</f>
        <v>0</v>
      </c>
      <c r="AA94">
        <f>VLOOKUP(Table5[[#This Row],[Shortname]], Comp[], 24, FALSE)</f>
        <v>0</v>
      </c>
      <c r="AB94">
        <f>VLOOKUP(Table5[[#This Row],[Shortname]], Comp[], 25, FALSE)</f>
        <v>0</v>
      </c>
      <c r="AC94">
        <f>VLOOKUP(Table5[[#This Row],[Shortname]], Comp[], 26, FALSE)</f>
        <v>0</v>
      </c>
      <c r="AD94">
        <f>VLOOKUP(Table5[[#This Row],[Shortname]], Comp[], 27, FALSE)</f>
        <v>0</v>
      </c>
      <c r="AE94">
        <f>VLOOKUP(Table5[[#This Row],[Shortname]], Comp[], 28, FALSE)</f>
        <v>0</v>
      </c>
      <c r="AF94">
        <f>VLOOKUP(Table5[[#This Row],[Shortname]], Comp[], 29, FALSE)</f>
        <v>0</v>
      </c>
      <c r="AG94">
        <f>VLOOKUP(Table5[[#This Row],[Shortname]], Comp[], 30, FALSE)</f>
        <v>0</v>
      </c>
      <c r="AH94">
        <f>VLOOKUP(Table5[[#This Row],[Shortname]], Comp[], 31, FALSE)</f>
        <v>0</v>
      </c>
    </row>
    <row r="95" spans="1:34" x14ac:dyDescent="0.3">
      <c r="A95" t="s">
        <v>1038</v>
      </c>
      <c r="B95">
        <v>94</v>
      </c>
      <c r="C95" t="str">
        <f>VLOOKUP(Table5[[#This Row],[Shortname]], [1]!comp[#Data], 2, FALSE)</f>
        <v>Co3Ti</v>
      </c>
      <c r="D95" t="s">
        <v>1040</v>
      </c>
      <c r="E95" t="s">
        <v>6601</v>
      </c>
      <c r="F95">
        <v>1154</v>
      </c>
      <c r="G95">
        <v>1261</v>
      </c>
      <c r="H95">
        <v>1341</v>
      </c>
      <c r="I95">
        <f>VLOOKUP(Table5[[#This Row],[Shortname]], Comp[], 6, FALSE)</f>
        <v>133</v>
      </c>
      <c r="J95" s="14">
        <f>VLOOKUP(Table5[[#This Row],[Shortname]], Comp[], 7, FALSE)</f>
        <v>16.799999999999983</v>
      </c>
      <c r="K95">
        <f>VLOOKUP(Table5[[#This Row],[Shortname]], Comp[], 8, FALSE)</f>
        <v>50.7</v>
      </c>
      <c r="L95">
        <f>VLOOKUP(Table5[[#This Row],[Shortname]], Comp[], 9, FALSE)</f>
        <v>2.7</v>
      </c>
      <c r="M95">
        <f>VLOOKUP(Table5[[#This Row],[Shortname]], Comp[], 10, FALSE)</f>
        <v>21.9</v>
      </c>
      <c r="N95">
        <f>VLOOKUP(Table5[[#This Row],[Shortname]], Comp[], 11, FALSE)</f>
        <v>0</v>
      </c>
      <c r="O95">
        <f>VLOOKUP(Table5[[#This Row],[Shortname]], Comp[],12, FALSE)</f>
        <v>7.9</v>
      </c>
      <c r="P95">
        <f>VLOOKUP(Table5[[#This Row],[Shortname]], Comp[], 13, FALSE)</f>
        <v>0</v>
      </c>
      <c r="Q95">
        <f>VLOOKUP(Table5[[#This Row],[Shortname]], Comp[], 14, FALSE)</f>
        <v>0</v>
      </c>
      <c r="R95">
        <f>VLOOKUP(Table5[[#This Row],[Shortname]], Comp[], 15, FALSE)</f>
        <v>0</v>
      </c>
      <c r="S95">
        <f>VLOOKUP(Table5[[#This Row],[Shortname]], Comp[], 16, FALSE)</f>
        <v>0</v>
      </c>
      <c r="T95">
        <f>VLOOKUP(Table5[[#This Row],[Shortname]], Comp[], 17, FALSE)</f>
        <v>0</v>
      </c>
      <c r="U95">
        <f>VLOOKUP(Table5[[#This Row],[Shortname]], Comp[], 18, FALSE)</f>
        <v>0</v>
      </c>
      <c r="V95">
        <f>VLOOKUP(Table5[[#This Row],[Shortname]], Comp[], 19, FALSE)</f>
        <v>0</v>
      </c>
      <c r="W95">
        <f>VLOOKUP(Table5[[#This Row],[Shortname]], Comp[], 20, FALSE)</f>
        <v>0</v>
      </c>
      <c r="X95">
        <f>VLOOKUP(Table5[[#This Row],[Shortname]], Comp[], 21, FALSE)</f>
        <v>0</v>
      </c>
      <c r="Y95">
        <f>VLOOKUP(Table5[[#This Row],[Shortname]], Comp[], 22, FALSE)</f>
        <v>0</v>
      </c>
      <c r="Z95">
        <f>VLOOKUP(Table5[[#This Row],[Shortname]], Comp[], 23, FALSE)</f>
        <v>0</v>
      </c>
      <c r="AA95">
        <f>VLOOKUP(Table5[[#This Row],[Shortname]], Comp[], 24, FALSE)</f>
        <v>0</v>
      </c>
      <c r="AB95">
        <f>VLOOKUP(Table5[[#This Row],[Shortname]], Comp[], 25, FALSE)</f>
        <v>0</v>
      </c>
      <c r="AC95">
        <f>VLOOKUP(Table5[[#This Row],[Shortname]], Comp[], 26, FALSE)</f>
        <v>0</v>
      </c>
      <c r="AD95">
        <f>VLOOKUP(Table5[[#This Row],[Shortname]], Comp[], 27, FALSE)</f>
        <v>0</v>
      </c>
      <c r="AE95">
        <f>VLOOKUP(Table5[[#This Row],[Shortname]], Comp[], 28, FALSE)</f>
        <v>0</v>
      </c>
      <c r="AF95">
        <f>VLOOKUP(Table5[[#This Row],[Shortname]], Comp[], 29, FALSE)</f>
        <v>0</v>
      </c>
      <c r="AG95">
        <f>VLOOKUP(Table5[[#This Row],[Shortname]], Comp[], 30, FALSE)</f>
        <v>0</v>
      </c>
      <c r="AH95">
        <f>VLOOKUP(Table5[[#This Row],[Shortname]], Comp[], 31, FALSE)</f>
        <v>0</v>
      </c>
    </row>
    <row r="96" spans="1:34" x14ac:dyDescent="0.3">
      <c r="A96" t="s">
        <v>1081</v>
      </c>
      <c r="B96">
        <v>95</v>
      </c>
      <c r="C96" t="str">
        <f>VLOOKUP(Table5[[#This Row],[Shortname]], [1]!comp[#Data], 2, FALSE)</f>
        <v>Co3Ti</v>
      </c>
      <c r="D96" t="s">
        <v>1083</v>
      </c>
      <c r="E96" t="s">
        <v>6601</v>
      </c>
      <c r="F96">
        <v>1152</v>
      </c>
      <c r="G96">
        <v>1273</v>
      </c>
      <c r="H96">
        <v>1359</v>
      </c>
      <c r="I96">
        <f>VLOOKUP(Table5[[#This Row],[Shortname]], Comp[], 6, FALSE)</f>
        <v>138</v>
      </c>
      <c r="J96" s="14">
        <f>VLOOKUP(Table5[[#This Row],[Shortname]], Comp[], 7, FALSE)</f>
        <v>24.700000000000003</v>
      </c>
      <c r="K96">
        <f>VLOOKUP(Table5[[#This Row],[Shortname]], Comp[], 8, FALSE)</f>
        <v>51.2</v>
      </c>
      <c r="L96">
        <f>VLOOKUP(Table5[[#This Row],[Shortname]], Comp[], 9, FALSE)</f>
        <v>6</v>
      </c>
      <c r="M96">
        <f>VLOOKUP(Table5[[#This Row],[Shortname]], Comp[], 10, FALSE)</f>
        <v>12.6</v>
      </c>
      <c r="N96">
        <f>VLOOKUP(Table5[[#This Row],[Shortname]], Comp[], 11, FALSE)</f>
        <v>0</v>
      </c>
      <c r="O96">
        <f>VLOOKUP(Table5[[#This Row],[Shortname]], Comp[],12, FALSE)</f>
        <v>5.5</v>
      </c>
      <c r="P96">
        <f>VLOOKUP(Table5[[#This Row],[Shortname]], Comp[], 13, FALSE)</f>
        <v>0</v>
      </c>
      <c r="Q96">
        <f>VLOOKUP(Table5[[#This Row],[Shortname]], Comp[], 14, FALSE)</f>
        <v>0</v>
      </c>
      <c r="R96">
        <f>VLOOKUP(Table5[[#This Row],[Shortname]], Comp[], 15, FALSE)</f>
        <v>0</v>
      </c>
      <c r="S96">
        <f>VLOOKUP(Table5[[#This Row],[Shortname]], Comp[], 16, FALSE)</f>
        <v>0</v>
      </c>
      <c r="T96">
        <f>VLOOKUP(Table5[[#This Row],[Shortname]], Comp[], 17, FALSE)</f>
        <v>0</v>
      </c>
      <c r="U96">
        <f>VLOOKUP(Table5[[#This Row],[Shortname]], Comp[], 18, FALSE)</f>
        <v>0</v>
      </c>
      <c r="V96">
        <f>VLOOKUP(Table5[[#This Row],[Shortname]], Comp[], 19, FALSE)</f>
        <v>0</v>
      </c>
      <c r="W96">
        <f>VLOOKUP(Table5[[#This Row],[Shortname]], Comp[], 20, FALSE)</f>
        <v>0</v>
      </c>
      <c r="X96">
        <f>VLOOKUP(Table5[[#This Row],[Shortname]], Comp[], 21, FALSE)</f>
        <v>0</v>
      </c>
      <c r="Y96">
        <f>VLOOKUP(Table5[[#This Row],[Shortname]], Comp[], 22, FALSE)</f>
        <v>0</v>
      </c>
      <c r="Z96">
        <f>VLOOKUP(Table5[[#This Row],[Shortname]], Comp[], 23, FALSE)</f>
        <v>0</v>
      </c>
      <c r="AA96">
        <f>VLOOKUP(Table5[[#This Row],[Shortname]], Comp[], 24, FALSE)</f>
        <v>0</v>
      </c>
      <c r="AB96">
        <f>VLOOKUP(Table5[[#This Row],[Shortname]], Comp[], 25, FALSE)</f>
        <v>0</v>
      </c>
      <c r="AC96">
        <f>VLOOKUP(Table5[[#This Row],[Shortname]], Comp[], 26, FALSE)</f>
        <v>0</v>
      </c>
      <c r="AD96">
        <f>VLOOKUP(Table5[[#This Row],[Shortname]], Comp[], 27, FALSE)</f>
        <v>0</v>
      </c>
      <c r="AE96">
        <f>VLOOKUP(Table5[[#This Row],[Shortname]], Comp[], 28, FALSE)</f>
        <v>0</v>
      </c>
      <c r="AF96">
        <f>VLOOKUP(Table5[[#This Row],[Shortname]], Comp[], 29, FALSE)</f>
        <v>0</v>
      </c>
      <c r="AG96">
        <f>VLOOKUP(Table5[[#This Row],[Shortname]], Comp[], 30, FALSE)</f>
        <v>0</v>
      </c>
      <c r="AH96">
        <f>VLOOKUP(Table5[[#This Row],[Shortname]], Comp[], 31, FALSE)</f>
        <v>0</v>
      </c>
    </row>
    <row r="97" spans="1:34" x14ac:dyDescent="0.3">
      <c r="A97" t="s">
        <v>1021</v>
      </c>
      <c r="B97">
        <v>96</v>
      </c>
      <c r="C97" t="str">
        <f>VLOOKUP(Table5[[#This Row],[Shortname]], [1]!comp[#Data], 2, FALSE)</f>
        <v>Co3Ti</v>
      </c>
      <c r="D97" t="s">
        <v>1023</v>
      </c>
      <c r="E97" t="s">
        <v>6601</v>
      </c>
      <c r="F97">
        <v>1147</v>
      </c>
      <c r="G97">
        <v>1264</v>
      </c>
      <c r="H97">
        <v>1359</v>
      </c>
      <c r="I97">
        <f>VLOOKUP(Table5[[#This Row],[Shortname]], Comp[], 6, FALSE)</f>
        <v>131</v>
      </c>
      <c r="J97" s="14">
        <f>VLOOKUP(Table5[[#This Row],[Shortname]], Comp[], 7, FALSE)</f>
        <v>35.599999999999994</v>
      </c>
      <c r="K97">
        <f>VLOOKUP(Table5[[#This Row],[Shortname]], Comp[], 8, FALSE)</f>
        <v>37.1</v>
      </c>
      <c r="L97">
        <f>VLOOKUP(Table5[[#This Row],[Shortname]], Comp[], 9, FALSE)</f>
        <v>3.1</v>
      </c>
      <c r="M97">
        <f>VLOOKUP(Table5[[#This Row],[Shortname]], Comp[], 10, FALSE)</f>
        <v>16.3</v>
      </c>
      <c r="N97">
        <f>VLOOKUP(Table5[[#This Row],[Shortname]], Comp[], 11, FALSE)</f>
        <v>0</v>
      </c>
      <c r="O97">
        <f>VLOOKUP(Table5[[#This Row],[Shortname]], Comp[],12, FALSE)</f>
        <v>7.9</v>
      </c>
      <c r="P97">
        <f>VLOOKUP(Table5[[#This Row],[Shortname]], Comp[], 13, FALSE)</f>
        <v>0</v>
      </c>
      <c r="Q97">
        <f>VLOOKUP(Table5[[#This Row],[Shortname]], Comp[], 14, FALSE)</f>
        <v>0</v>
      </c>
      <c r="R97">
        <f>VLOOKUP(Table5[[#This Row],[Shortname]], Comp[], 15, FALSE)</f>
        <v>0</v>
      </c>
      <c r="S97">
        <f>VLOOKUP(Table5[[#This Row],[Shortname]], Comp[], 16, FALSE)</f>
        <v>0</v>
      </c>
      <c r="T97">
        <f>VLOOKUP(Table5[[#This Row],[Shortname]], Comp[], 17, FALSE)</f>
        <v>0</v>
      </c>
      <c r="U97">
        <f>VLOOKUP(Table5[[#This Row],[Shortname]], Comp[], 18, FALSE)</f>
        <v>0</v>
      </c>
      <c r="V97">
        <f>VLOOKUP(Table5[[#This Row],[Shortname]], Comp[], 19, FALSE)</f>
        <v>0</v>
      </c>
      <c r="W97">
        <f>VLOOKUP(Table5[[#This Row],[Shortname]], Comp[], 20, FALSE)</f>
        <v>0</v>
      </c>
      <c r="X97">
        <f>VLOOKUP(Table5[[#This Row],[Shortname]], Comp[], 21, FALSE)</f>
        <v>0</v>
      </c>
      <c r="Y97">
        <f>VLOOKUP(Table5[[#This Row],[Shortname]], Comp[], 22, FALSE)</f>
        <v>0</v>
      </c>
      <c r="Z97">
        <f>VLOOKUP(Table5[[#This Row],[Shortname]], Comp[], 23, FALSE)</f>
        <v>0</v>
      </c>
      <c r="AA97">
        <f>VLOOKUP(Table5[[#This Row],[Shortname]], Comp[], 24, FALSE)</f>
        <v>0</v>
      </c>
      <c r="AB97">
        <f>VLOOKUP(Table5[[#This Row],[Shortname]], Comp[], 25, FALSE)</f>
        <v>0</v>
      </c>
      <c r="AC97">
        <f>VLOOKUP(Table5[[#This Row],[Shortname]], Comp[], 26, FALSE)</f>
        <v>0</v>
      </c>
      <c r="AD97">
        <f>VLOOKUP(Table5[[#This Row],[Shortname]], Comp[], 27, FALSE)</f>
        <v>0</v>
      </c>
      <c r="AE97">
        <f>VLOOKUP(Table5[[#This Row],[Shortname]], Comp[], 28, FALSE)</f>
        <v>0</v>
      </c>
      <c r="AF97">
        <f>VLOOKUP(Table5[[#This Row],[Shortname]], Comp[], 29, FALSE)</f>
        <v>0</v>
      </c>
      <c r="AG97">
        <f>VLOOKUP(Table5[[#This Row],[Shortname]], Comp[], 30, FALSE)</f>
        <v>0</v>
      </c>
      <c r="AH97">
        <f>VLOOKUP(Table5[[#This Row],[Shortname]], Comp[], 31, FALSE)</f>
        <v>0</v>
      </c>
    </row>
    <row r="98" spans="1:34" x14ac:dyDescent="0.3">
      <c r="A98" t="s">
        <v>1054</v>
      </c>
      <c r="B98">
        <v>97</v>
      </c>
      <c r="C98" t="str">
        <f>VLOOKUP(Table5[[#This Row],[Shortname]], [1]!comp[#Data], 2, FALSE)</f>
        <v>Co3Ti</v>
      </c>
      <c r="D98" t="s">
        <v>1056</v>
      </c>
      <c r="E98" t="s">
        <v>6601</v>
      </c>
      <c r="F98">
        <v>1135</v>
      </c>
      <c r="G98">
        <v>1294</v>
      </c>
      <c r="H98">
        <v>1371</v>
      </c>
      <c r="I98">
        <f>VLOOKUP(Table5[[#This Row],[Shortname]], Comp[], 6, FALSE)</f>
        <v>135</v>
      </c>
      <c r="J98" s="14">
        <f>VLOOKUP(Table5[[#This Row],[Shortname]], Comp[], 7, FALSE)</f>
        <v>18</v>
      </c>
      <c r="K98">
        <f>VLOOKUP(Table5[[#This Row],[Shortname]], Comp[], 8, FALSE)</f>
        <v>54.3</v>
      </c>
      <c r="L98">
        <f>VLOOKUP(Table5[[#This Row],[Shortname]], Comp[], 9, FALSE)</f>
        <v>4.3</v>
      </c>
      <c r="M98">
        <f>VLOOKUP(Table5[[#This Row],[Shortname]], Comp[], 10, FALSE)</f>
        <v>15.7</v>
      </c>
      <c r="N98">
        <f>VLOOKUP(Table5[[#This Row],[Shortname]], Comp[], 11, FALSE)</f>
        <v>0</v>
      </c>
      <c r="O98">
        <f>VLOOKUP(Table5[[#This Row],[Shortname]], Comp[],12, FALSE)</f>
        <v>7.7</v>
      </c>
      <c r="P98">
        <f>VLOOKUP(Table5[[#This Row],[Shortname]], Comp[], 13, FALSE)</f>
        <v>0</v>
      </c>
      <c r="Q98">
        <f>VLOOKUP(Table5[[#This Row],[Shortname]], Comp[], 14, FALSE)</f>
        <v>0</v>
      </c>
      <c r="R98">
        <f>VLOOKUP(Table5[[#This Row],[Shortname]], Comp[], 15, FALSE)</f>
        <v>0</v>
      </c>
      <c r="S98">
        <f>VLOOKUP(Table5[[#This Row],[Shortname]], Comp[], 16, FALSE)</f>
        <v>0</v>
      </c>
      <c r="T98">
        <f>VLOOKUP(Table5[[#This Row],[Shortname]], Comp[], 17, FALSE)</f>
        <v>0</v>
      </c>
      <c r="U98">
        <f>VLOOKUP(Table5[[#This Row],[Shortname]], Comp[], 18, FALSE)</f>
        <v>0</v>
      </c>
      <c r="V98">
        <f>VLOOKUP(Table5[[#This Row],[Shortname]], Comp[], 19, FALSE)</f>
        <v>0</v>
      </c>
      <c r="W98">
        <f>VLOOKUP(Table5[[#This Row],[Shortname]], Comp[], 20, FALSE)</f>
        <v>0</v>
      </c>
      <c r="X98">
        <f>VLOOKUP(Table5[[#This Row],[Shortname]], Comp[], 21, FALSE)</f>
        <v>0</v>
      </c>
      <c r="Y98">
        <f>VLOOKUP(Table5[[#This Row],[Shortname]], Comp[], 22, FALSE)</f>
        <v>0</v>
      </c>
      <c r="Z98">
        <f>VLOOKUP(Table5[[#This Row],[Shortname]], Comp[], 23, FALSE)</f>
        <v>0</v>
      </c>
      <c r="AA98">
        <f>VLOOKUP(Table5[[#This Row],[Shortname]], Comp[], 24, FALSE)</f>
        <v>0</v>
      </c>
      <c r="AB98">
        <f>VLOOKUP(Table5[[#This Row],[Shortname]], Comp[], 25, FALSE)</f>
        <v>0</v>
      </c>
      <c r="AC98">
        <f>VLOOKUP(Table5[[#This Row],[Shortname]], Comp[], 26, FALSE)</f>
        <v>0</v>
      </c>
      <c r="AD98">
        <f>VLOOKUP(Table5[[#This Row],[Shortname]], Comp[], 27, FALSE)</f>
        <v>0</v>
      </c>
      <c r="AE98">
        <f>VLOOKUP(Table5[[#This Row],[Shortname]], Comp[], 28, FALSE)</f>
        <v>0</v>
      </c>
      <c r="AF98">
        <f>VLOOKUP(Table5[[#This Row],[Shortname]], Comp[], 29, FALSE)</f>
        <v>0</v>
      </c>
      <c r="AG98">
        <f>VLOOKUP(Table5[[#This Row],[Shortname]], Comp[], 30, FALSE)</f>
        <v>0</v>
      </c>
      <c r="AH98">
        <f>VLOOKUP(Table5[[#This Row],[Shortname]], Comp[], 31, FALSE)</f>
        <v>0</v>
      </c>
    </row>
    <row r="99" spans="1:34" x14ac:dyDescent="0.3">
      <c r="A99" t="s">
        <v>1012</v>
      </c>
      <c r="B99">
        <v>98</v>
      </c>
      <c r="C99" t="str">
        <f>VLOOKUP(Table5[[#This Row],[Shortname]], [1]!comp[#Data], 2, FALSE)</f>
        <v>Co3Ti</v>
      </c>
      <c r="D99" t="s">
        <v>1014</v>
      </c>
      <c r="E99" t="s">
        <v>6601</v>
      </c>
      <c r="F99">
        <v>1135</v>
      </c>
      <c r="G99">
        <v>1248</v>
      </c>
      <c r="H99">
        <v>1349</v>
      </c>
      <c r="I99">
        <f>VLOOKUP(Table5[[#This Row],[Shortname]], Comp[], 6, FALSE)</f>
        <v>130</v>
      </c>
      <c r="J99" s="14">
        <f>VLOOKUP(Table5[[#This Row],[Shortname]], Comp[], 7, FALSE)</f>
        <v>32.599999999999994</v>
      </c>
      <c r="K99">
        <f>VLOOKUP(Table5[[#This Row],[Shortname]], Comp[], 8, FALSE)</f>
        <v>34.200000000000003</v>
      </c>
      <c r="L99">
        <f>VLOOKUP(Table5[[#This Row],[Shortname]], Comp[], 9, FALSE)</f>
        <v>3.6</v>
      </c>
      <c r="M99">
        <f>VLOOKUP(Table5[[#This Row],[Shortname]], Comp[], 10, FALSE)</f>
        <v>21.5</v>
      </c>
      <c r="N99">
        <f>VLOOKUP(Table5[[#This Row],[Shortname]], Comp[], 11, FALSE)</f>
        <v>0</v>
      </c>
      <c r="O99">
        <f>VLOOKUP(Table5[[#This Row],[Shortname]], Comp[],12, FALSE)</f>
        <v>8.1</v>
      </c>
      <c r="P99">
        <f>VLOOKUP(Table5[[#This Row],[Shortname]], Comp[], 13, FALSE)</f>
        <v>0</v>
      </c>
      <c r="Q99">
        <f>VLOOKUP(Table5[[#This Row],[Shortname]], Comp[], 14, FALSE)</f>
        <v>0</v>
      </c>
      <c r="R99">
        <f>VLOOKUP(Table5[[#This Row],[Shortname]], Comp[], 15, FALSE)</f>
        <v>0</v>
      </c>
      <c r="S99">
        <f>VLOOKUP(Table5[[#This Row],[Shortname]], Comp[], 16, FALSE)</f>
        <v>0</v>
      </c>
      <c r="T99">
        <f>VLOOKUP(Table5[[#This Row],[Shortname]], Comp[], 17, FALSE)</f>
        <v>0</v>
      </c>
      <c r="U99">
        <f>VLOOKUP(Table5[[#This Row],[Shortname]], Comp[], 18, FALSE)</f>
        <v>0</v>
      </c>
      <c r="V99">
        <f>VLOOKUP(Table5[[#This Row],[Shortname]], Comp[], 19, FALSE)</f>
        <v>0</v>
      </c>
      <c r="W99">
        <f>VLOOKUP(Table5[[#This Row],[Shortname]], Comp[], 20, FALSE)</f>
        <v>0</v>
      </c>
      <c r="X99">
        <f>VLOOKUP(Table5[[#This Row],[Shortname]], Comp[], 21, FALSE)</f>
        <v>0</v>
      </c>
      <c r="Y99">
        <f>VLOOKUP(Table5[[#This Row],[Shortname]], Comp[], 22, FALSE)</f>
        <v>0</v>
      </c>
      <c r="Z99">
        <f>VLOOKUP(Table5[[#This Row],[Shortname]], Comp[], 23, FALSE)</f>
        <v>0</v>
      </c>
      <c r="AA99">
        <f>VLOOKUP(Table5[[#This Row],[Shortname]], Comp[], 24, FALSE)</f>
        <v>0</v>
      </c>
      <c r="AB99">
        <f>VLOOKUP(Table5[[#This Row],[Shortname]], Comp[], 25, FALSE)</f>
        <v>0</v>
      </c>
      <c r="AC99">
        <f>VLOOKUP(Table5[[#This Row],[Shortname]], Comp[], 26, FALSE)</f>
        <v>0</v>
      </c>
      <c r="AD99">
        <f>VLOOKUP(Table5[[#This Row],[Shortname]], Comp[], 27, FALSE)</f>
        <v>0</v>
      </c>
      <c r="AE99">
        <f>VLOOKUP(Table5[[#This Row],[Shortname]], Comp[], 28, FALSE)</f>
        <v>0</v>
      </c>
      <c r="AF99">
        <f>VLOOKUP(Table5[[#This Row],[Shortname]], Comp[], 29, FALSE)</f>
        <v>0</v>
      </c>
      <c r="AG99">
        <f>VLOOKUP(Table5[[#This Row],[Shortname]], Comp[], 30, FALSE)</f>
        <v>0</v>
      </c>
      <c r="AH99">
        <f>VLOOKUP(Table5[[#This Row],[Shortname]], Comp[], 31, FALSE)</f>
        <v>0</v>
      </c>
    </row>
    <row r="100" spans="1:34" x14ac:dyDescent="0.3">
      <c r="A100" t="s">
        <v>992</v>
      </c>
      <c r="B100">
        <v>99</v>
      </c>
      <c r="C100" t="str">
        <f>VLOOKUP(Table5[[#This Row],[Shortname]], [1]!comp[#Data], 2, FALSE)</f>
        <v>Co3Ti</v>
      </c>
      <c r="D100" t="s">
        <v>994</v>
      </c>
      <c r="E100" t="s">
        <v>6601</v>
      </c>
      <c r="F100">
        <v>1122</v>
      </c>
      <c r="G100">
        <v>1302</v>
      </c>
      <c r="H100">
        <v>1371</v>
      </c>
      <c r="I100">
        <f>VLOOKUP(Table5[[#This Row],[Shortname]], Comp[], 6, FALSE)</f>
        <v>128</v>
      </c>
      <c r="J100" s="14">
        <f>VLOOKUP(Table5[[#This Row],[Shortname]], Comp[], 7, FALSE)</f>
        <v>19.5</v>
      </c>
      <c r="K100">
        <f>VLOOKUP(Table5[[#This Row],[Shortname]], Comp[], 8, FALSE)</f>
        <v>58.3</v>
      </c>
      <c r="L100">
        <f>VLOOKUP(Table5[[#This Row],[Shortname]], Comp[], 9, FALSE)</f>
        <v>3.2</v>
      </c>
      <c r="M100">
        <f>VLOOKUP(Table5[[#This Row],[Shortname]], Comp[], 10, FALSE)</f>
        <v>10.8</v>
      </c>
      <c r="N100">
        <f>VLOOKUP(Table5[[#This Row],[Shortname]], Comp[], 11, FALSE)</f>
        <v>0</v>
      </c>
      <c r="O100">
        <f>VLOOKUP(Table5[[#This Row],[Shortname]], Comp[],12, FALSE)</f>
        <v>8.1999999999999993</v>
      </c>
      <c r="P100">
        <f>VLOOKUP(Table5[[#This Row],[Shortname]], Comp[], 13, FALSE)</f>
        <v>0</v>
      </c>
      <c r="Q100">
        <f>VLOOKUP(Table5[[#This Row],[Shortname]], Comp[], 14, FALSE)</f>
        <v>0</v>
      </c>
      <c r="R100">
        <f>VLOOKUP(Table5[[#This Row],[Shortname]], Comp[], 15, FALSE)</f>
        <v>0</v>
      </c>
      <c r="S100">
        <f>VLOOKUP(Table5[[#This Row],[Shortname]], Comp[], 16, FALSE)</f>
        <v>0</v>
      </c>
      <c r="T100">
        <f>VLOOKUP(Table5[[#This Row],[Shortname]], Comp[], 17, FALSE)</f>
        <v>0</v>
      </c>
      <c r="U100">
        <f>VLOOKUP(Table5[[#This Row],[Shortname]], Comp[], 18, FALSE)</f>
        <v>0</v>
      </c>
      <c r="V100">
        <f>VLOOKUP(Table5[[#This Row],[Shortname]], Comp[], 19, FALSE)</f>
        <v>0</v>
      </c>
      <c r="W100">
        <f>VLOOKUP(Table5[[#This Row],[Shortname]], Comp[], 20, FALSE)</f>
        <v>0</v>
      </c>
      <c r="X100">
        <f>VLOOKUP(Table5[[#This Row],[Shortname]], Comp[], 21, FALSE)</f>
        <v>0</v>
      </c>
      <c r="Y100">
        <f>VLOOKUP(Table5[[#This Row],[Shortname]], Comp[], 22, FALSE)</f>
        <v>0</v>
      </c>
      <c r="Z100">
        <f>VLOOKUP(Table5[[#This Row],[Shortname]], Comp[], 23, FALSE)</f>
        <v>0</v>
      </c>
      <c r="AA100">
        <f>VLOOKUP(Table5[[#This Row],[Shortname]], Comp[], 24, FALSE)</f>
        <v>0</v>
      </c>
      <c r="AB100">
        <f>VLOOKUP(Table5[[#This Row],[Shortname]], Comp[], 25, FALSE)</f>
        <v>0</v>
      </c>
      <c r="AC100">
        <f>VLOOKUP(Table5[[#This Row],[Shortname]], Comp[], 26, FALSE)</f>
        <v>0</v>
      </c>
      <c r="AD100">
        <f>VLOOKUP(Table5[[#This Row],[Shortname]], Comp[], 27, FALSE)</f>
        <v>0</v>
      </c>
      <c r="AE100">
        <f>VLOOKUP(Table5[[#This Row],[Shortname]], Comp[], 28, FALSE)</f>
        <v>0</v>
      </c>
      <c r="AF100">
        <f>VLOOKUP(Table5[[#This Row],[Shortname]], Comp[], 29, FALSE)</f>
        <v>0</v>
      </c>
      <c r="AG100">
        <f>VLOOKUP(Table5[[#This Row],[Shortname]], Comp[], 30, FALSE)</f>
        <v>0</v>
      </c>
      <c r="AH100">
        <f>VLOOKUP(Table5[[#This Row],[Shortname]], Comp[], 31, FALSE)</f>
        <v>0</v>
      </c>
    </row>
    <row r="101" spans="1:34" x14ac:dyDescent="0.3">
      <c r="A101" t="s">
        <v>1107</v>
      </c>
      <c r="B101">
        <v>100</v>
      </c>
      <c r="C101" t="str">
        <f>VLOOKUP(Table5[[#This Row],[Shortname]], [1]!comp[#Data], 2, FALSE)</f>
        <v>Co3Ti</v>
      </c>
      <c r="D101" t="s">
        <v>1109</v>
      </c>
      <c r="E101" t="s">
        <v>6601</v>
      </c>
      <c r="F101">
        <v>1120</v>
      </c>
      <c r="G101">
        <v>1301</v>
      </c>
      <c r="H101">
        <v>1379</v>
      </c>
      <c r="I101">
        <f>VLOOKUP(Table5[[#This Row],[Shortname]], Comp[], 6, FALSE)</f>
        <v>141</v>
      </c>
      <c r="J101" s="14">
        <f>VLOOKUP(Table5[[#This Row],[Shortname]], Comp[], 7, FALSE)</f>
        <v>18.299999999999997</v>
      </c>
      <c r="K101">
        <f>VLOOKUP(Table5[[#This Row],[Shortname]], Comp[], 8, FALSE)</f>
        <v>54.9</v>
      </c>
      <c r="L101">
        <f>VLOOKUP(Table5[[#This Row],[Shortname]], Comp[], 9, FALSE)</f>
        <v>5.6</v>
      </c>
      <c r="M101">
        <f>VLOOKUP(Table5[[#This Row],[Shortname]], Comp[], 10, FALSE)</f>
        <v>15.9</v>
      </c>
      <c r="N101">
        <f>VLOOKUP(Table5[[#This Row],[Shortname]], Comp[], 11, FALSE)</f>
        <v>0</v>
      </c>
      <c r="O101">
        <f>VLOOKUP(Table5[[#This Row],[Shortname]], Comp[],12, FALSE)</f>
        <v>5.3</v>
      </c>
      <c r="P101">
        <f>VLOOKUP(Table5[[#This Row],[Shortname]], Comp[], 13, FALSE)</f>
        <v>0</v>
      </c>
      <c r="Q101">
        <f>VLOOKUP(Table5[[#This Row],[Shortname]], Comp[], 14, FALSE)</f>
        <v>0</v>
      </c>
      <c r="R101">
        <f>VLOOKUP(Table5[[#This Row],[Shortname]], Comp[], 15, FALSE)</f>
        <v>0</v>
      </c>
      <c r="S101">
        <f>VLOOKUP(Table5[[#This Row],[Shortname]], Comp[], 16, FALSE)</f>
        <v>0</v>
      </c>
      <c r="T101">
        <f>VLOOKUP(Table5[[#This Row],[Shortname]], Comp[], 17, FALSE)</f>
        <v>0</v>
      </c>
      <c r="U101">
        <f>VLOOKUP(Table5[[#This Row],[Shortname]], Comp[], 18, FALSE)</f>
        <v>0</v>
      </c>
      <c r="V101">
        <f>VLOOKUP(Table5[[#This Row],[Shortname]], Comp[], 19, FALSE)</f>
        <v>0</v>
      </c>
      <c r="W101">
        <f>VLOOKUP(Table5[[#This Row],[Shortname]], Comp[], 20, FALSE)</f>
        <v>0</v>
      </c>
      <c r="X101">
        <f>VLOOKUP(Table5[[#This Row],[Shortname]], Comp[], 21, FALSE)</f>
        <v>0</v>
      </c>
      <c r="Y101">
        <f>VLOOKUP(Table5[[#This Row],[Shortname]], Comp[], 22, FALSE)</f>
        <v>0</v>
      </c>
      <c r="Z101">
        <f>VLOOKUP(Table5[[#This Row],[Shortname]], Comp[], 23, FALSE)</f>
        <v>0</v>
      </c>
      <c r="AA101">
        <f>VLOOKUP(Table5[[#This Row],[Shortname]], Comp[], 24, FALSE)</f>
        <v>0</v>
      </c>
      <c r="AB101">
        <f>VLOOKUP(Table5[[#This Row],[Shortname]], Comp[], 25, FALSE)</f>
        <v>0</v>
      </c>
      <c r="AC101">
        <f>VLOOKUP(Table5[[#This Row],[Shortname]], Comp[], 26, FALSE)</f>
        <v>0</v>
      </c>
      <c r="AD101">
        <f>VLOOKUP(Table5[[#This Row],[Shortname]], Comp[], 27, FALSE)</f>
        <v>0</v>
      </c>
      <c r="AE101">
        <f>VLOOKUP(Table5[[#This Row],[Shortname]], Comp[], 28, FALSE)</f>
        <v>0</v>
      </c>
      <c r="AF101">
        <f>VLOOKUP(Table5[[#This Row],[Shortname]], Comp[], 29, FALSE)</f>
        <v>0</v>
      </c>
      <c r="AG101">
        <f>VLOOKUP(Table5[[#This Row],[Shortname]], Comp[], 30, FALSE)</f>
        <v>0</v>
      </c>
      <c r="AH101">
        <f>VLOOKUP(Table5[[#This Row],[Shortname]], Comp[], 31, FALSE)</f>
        <v>0</v>
      </c>
    </row>
    <row r="102" spans="1:34" x14ac:dyDescent="0.3">
      <c r="A102" t="s">
        <v>1073</v>
      </c>
      <c r="B102">
        <v>101</v>
      </c>
      <c r="C102" t="str">
        <f>VLOOKUP(Table5[[#This Row],[Shortname]], [1]!comp[#Data], 2, FALSE)</f>
        <v>Co3Ti</v>
      </c>
      <c r="D102" t="s">
        <v>1075</v>
      </c>
      <c r="E102" t="s">
        <v>6601</v>
      </c>
      <c r="F102">
        <v>1099</v>
      </c>
      <c r="G102">
        <v>1337</v>
      </c>
      <c r="H102">
        <v>1392</v>
      </c>
      <c r="I102">
        <f>VLOOKUP(Table5[[#This Row],[Shortname]], Comp[], 6, FALSE)</f>
        <v>137</v>
      </c>
      <c r="J102" s="14">
        <f>VLOOKUP(Table5[[#This Row],[Shortname]], Comp[], 7, FALSE)</f>
        <v>19.5</v>
      </c>
      <c r="K102">
        <f>VLOOKUP(Table5[[#This Row],[Shortname]], Comp[], 8, FALSE)</f>
        <v>59.5</v>
      </c>
      <c r="L102">
        <f>VLOOKUP(Table5[[#This Row],[Shortname]], Comp[], 9, FALSE)</f>
        <v>4.5</v>
      </c>
      <c r="M102">
        <f>VLOOKUP(Table5[[#This Row],[Shortname]], Comp[], 10, FALSE)</f>
        <v>10.9</v>
      </c>
      <c r="N102">
        <f>VLOOKUP(Table5[[#This Row],[Shortname]], Comp[], 11, FALSE)</f>
        <v>0</v>
      </c>
      <c r="O102">
        <f>VLOOKUP(Table5[[#This Row],[Shortname]], Comp[],12, FALSE)</f>
        <v>5.6</v>
      </c>
      <c r="P102">
        <f>VLOOKUP(Table5[[#This Row],[Shortname]], Comp[], 13, FALSE)</f>
        <v>0</v>
      </c>
      <c r="Q102">
        <f>VLOOKUP(Table5[[#This Row],[Shortname]], Comp[], 14, FALSE)</f>
        <v>0</v>
      </c>
      <c r="R102">
        <f>VLOOKUP(Table5[[#This Row],[Shortname]], Comp[], 15, FALSE)</f>
        <v>0</v>
      </c>
      <c r="S102">
        <f>VLOOKUP(Table5[[#This Row],[Shortname]], Comp[], 16, FALSE)</f>
        <v>0</v>
      </c>
      <c r="T102">
        <f>VLOOKUP(Table5[[#This Row],[Shortname]], Comp[], 17, FALSE)</f>
        <v>0</v>
      </c>
      <c r="U102">
        <f>VLOOKUP(Table5[[#This Row],[Shortname]], Comp[], 18, FALSE)</f>
        <v>0</v>
      </c>
      <c r="V102">
        <f>VLOOKUP(Table5[[#This Row],[Shortname]], Comp[], 19, FALSE)</f>
        <v>0</v>
      </c>
      <c r="W102">
        <f>VLOOKUP(Table5[[#This Row],[Shortname]], Comp[], 20, FALSE)</f>
        <v>0</v>
      </c>
      <c r="X102">
        <f>VLOOKUP(Table5[[#This Row],[Shortname]], Comp[], 21, FALSE)</f>
        <v>0</v>
      </c>
      <c r="Y102">
        <f>VLOOKUP(Table5[[#This Row],[Shortname]], Comp[], 22, FALSE)</f>
        <v>0</v>
      </c>
      <c r="Z102">
        <f>VLOOKUP(Table5[[#This Row],[Shortname]], Comp[], 23, FALSE)</f>
        <v>0</v>
      </c>
      <c r="AA102">
        <f>VLOOKUP(Table5[[#This Row],[Shortname]], Comp[], 24, FALSE)</f>
        <v>0</v>
      </c>
      <c r="AB102">
        <f>VLOOKUP(Table5[[#This Row],[Shortname]], Comp[], 25, FALSE)</f>
        <v>0</v>
      </c>
      <c r="AC102">
        <f>VLOOKUP(Table5[[#This Row],[Shortname]], Comp[], 26, FALSE)</f>
        <v>0</v>
      </c>
      <c r="AD102">
        <f>VLOOKUP(Table5[[#This Row],[Shortname]], Comp[], 27, FALSE)</f>
        <v>0</v>
      </c>
      <c r="AE102">
        <f>VLOOKUP(Table5[[#This Row],[Shortname]], Comp[], 28, FALSE)</f>
        <v>0</v>
      </c>
      <c r="AF102">
        <f>VLOOKUP(Table5[[#This Row],[Shortname]], Comp[], 29, FALSE)</f>
        <v>0</v>
      </c>
      <c r="AG102">
        <f>VLOOKUP(Table5[[#This Row],[Shortname]], Comp[], 30, FALSE)</f>
        <v>0</v>
      </c>
      <c r="AH102">
        <f>VLOOKUP(Table5[[#This Row],[Shortname]], Comp[], 31, FALSE)</f>
        <v>0</v>
      </c>
    </row>
    <row r="103" spans="1:34" x14ac:dyDescent="0.3">
      <c r="A103" t="s">
        <v>1124</v>
      </c>
      <c r="B103">
        <v>102</v>
      </c>
      <c r="C103" t="str">
        <f>VLOOKUP(Table5[[#This Row],[Shortname]], [1]!comp[#Data], 2, FALSE)</f>
        <v>Co3Ti</v>
      </c>
      <c r="D103" t="s">
        <v>1126</v>
      </c>
      <c r="E103" t="s">
        <v>6601</v>
      </c>
      <c r="F103">
        <v>1094</v>
      </c>
      <c r="G103">
        <v>1305</v>
      </c>
      <c r="H103">
        <v>1385</v>
      </c>
      <c r="I103">
        <f>VLOOKUP(Table5[[#This Row],[Shortname]], Comp[], 6, FALSE)</f>
        <v>143</v>
      </c>
      <c r="J103" s="14">
        <f>VLOOKUP(Table5[[#This Row],[Shortname]], Comp[], 7, FALSE)</f>
        <v>36.5</v>
      </c>
      <c r="K103">
        <f>VLOOKUP(Table5[[#This Row],[Shortname]], Comp[], 8, FALSE)</f>
        <v>36.799999999999997</v>
      </c>
      <c r="L103">
        <f>VLOOKUP(Table5[[#This Row],[Shortname]], Comp[], 9, FALSE)</f>
        <v>5.4</v>
      </c>
      <c r="M103">
        <f>VLOOKUP(Table5[[#This Row],[Shortname]], Comp[], 10, FALSE)</f>
        <v>16.100000000000001</v>
      </c>
      <c r="N103">
        <f>VLOOKUP(Table5[[#This Row],[Shortname]], Comp[], 11, FALSE)</f>
        <v>0</v>
      </c>
      <c r="O103">
        <f>VLOOKUP(Table5[[#This Row],[Shortname]], Comp[],12, FALSE)</f>
        <v>5.2</v>
      </c>
      <c r="P103">
        <f>VLOOKUP(Table5[[#This Row],[Shortname]], Comp[], 13, FALSE)</f>
        <v>0</v>
      </c>
      <c r="Q103">
        <f>VLOOKUP(Table5[[#This Row],[Shortname]], Comp[], 14, FALSE)</f>
        <v>0</v>
      </c>
      <c r="R103">
        <f>VLOOKUP(Table5[[#This Row],[Shortname]], Comp[], 15, FALSE)</f>
        <v>0</v>
      </c>
      <c r="S103">
        <f>VLOOKUP(Table5[[#This Row],[Shortname]], Comp[], 16, FALSE)</f>
        <v>0</v>
      </c>
      <c r="T103">
        <f>VLOOKUP(Table5[[#This Row],[Shortname]], Comp[], 17, FALSE)</f>
        <v>0</v>
      </c>
      <c r="U103">
        <f>VLOOKUP(Table5[[#This Row],[Shortname]], Comp[], 18, FALSE)</f>
        <v>0</v>
      </c>
      <c r="V103">
        <f>VLOOKUP(Table5[[#This Row],[Shortname]], Comp[], 19, FALSE)</f>
        <v>0</v>
      </c>
      <c r="W103">
        <f>VLOOKUP(Table5[[#This Row],[Shortname]], Comp[], 20, FALSE)</f>
        <v>0</v>
      </c>
      <c r="X103">
        <f>VLOOKUP(Table5[[#This Row],[Shortname]], Comp[], 21, FALSE)</f>
        <v>0</v>
      </c>
      <c r="Y103">
        <f>VLOOKUP(Table5[[#This Row],[Shortname]], Comp[], 22, FALSE)</f>
        <v>0</v>
      </c>
      <c r="Z103">
        <f>VLOOKUP(Table5[[#This Row],[Shortname]], Comp[], 23, FALSE)</f>
        <v>0</v>
      </c>
      <c r="AA103">
        <f>VLOOKUP(Table5[[#This Row],[Shortname]], Comp[], 24, FALSE)</f>
        <v>0</v>
      </c>
      <c r="AB103">
        <f>VLOOKUP(Table5[[#This Row],[Shortname]], Comp[], 25, FALSE)</f>
        <v>0</v>
      </c>
      <c r="AC103">
        <f>VLOOKUP(Table5[[#This Row],[Shortname]], Comp[], 26, FALSE)</f>
        <v>0</v>
      </c>
      <c r="AD103">
        <f>VLOOKUP(Table5[[#This Row],[Shortname]], Comp[], 27, FALSE)</f>
        <v>0</v>
      </c>
      <c r="AE103">
        <f>VLOOKUP(Table5[[#This Row],[Shortname]], Comp[], 28, FALSE)</f>
        <v>0</v>
      </c>
      <c r="AF103">
        <f>VLOOKUP(Table5[[#This Row],[Shortname]], Comp[], 29, FALSE)</f>
        <v>0</v>
      </c>
      <c r="AG103">
        <f>VLOOKUP(Table5[[#This Row],[Shortname]], Comp[], 30, FALSE)</f>
        <v>0</v>
      </c>
      <c r="AH103">
        <f>VLOOKUP(Table5[[#This Row],[Shortname]], Comp[], 31, FALSE)</f>
        <v>0</v>
      </c>
    </row>
    <row r="104" spans="1:34" x14ac:dyDescent="0.3">
      <c r="A104" t="s">
        <v>1212</v>
      </c>
      <c r="B104">
        <v>103</v>
      </c>
      <c r="C104" t="str">
        <f>VLOOKUP(Table5[[#This Row],[Shortname]], [1]!comp[#Data], 2, FALSE)</f>
        <v>W-free</v>
      </c>
      <c r="D104" t="s">
        <v>1214</v>
      </c>
      <c r="E104" t="s">
        <v>6601</v>
      </c>
      <c r="F104">
        <v>1088</v>
      </c>
      <c r="G104">
        <v>1324</v>
      </c>
      <c r="H104">
        <v>1392</v>
      </c>
      <c r="I104">
        <f>VLOOKUP(Table5[[#This Row],[Shortname]], Comp[], 6, FALSE)</f>
        <v>154</v>
      </c>
      <c r="J104" s="14">
        <f>VLOOKUP(Table5[[#This Row],[Shortname]], Comp[], 7, FALSE)</f>
        <v>17.5</v>
      </c>
      <c r="K104">
        <f>VLOOKUP(Table5[[#This Row],[Shortname]], Comp[], 8, FALSE)</f>
        <v>50.6</v>
      </c>
      <c r="L104">
        <f>VLOOKUP(Table5[[#This Row],[Shortname]], Comp[], 9, FALSE)</f>
        <v>8.5</v>
      </c>
      <c r="M104">
        <f>VLOOKUP(Table5[[#This Row],[Shortname]], Comp[], 10, FALSE)</f>
        <v>20.9</v>
      </c>
      <c r="N104">
        <f>VLOOKUP(Table5[[#This Row],[Shortname]], Comp[], 11, FALSE)</f>
        <v>0</v>
      </c>
      <c r="O104">
        <f>VLOOKUP(Table5[[#This Row],[Shortname]], Comp[],12, FALSE)</f>
        <v>2.5</v>
      </c>
      <c r="P104">
        <f>VLOOKUP(Table5[[#This Row],[Shortname]], Comp[], 13, FALSE)</f>
        <v>0</v>
      </c>
      <c r="Q104">
        <f>VLOOKUP(Table5[[#This Row],[Shortname]], Comp[], 14, FALSE)</f>
        <v>0</v>
      </c>
      <c r="R104">
        <f>VLOOKUP(Table5[[#This Row],[Shortname]], Comp[], 15, FALSE)</f>
        <v>0</v>
      </c>
      <c r="S104">
        <f>VLOOKUP(Table5[[#This Row],[Shortname]], Comp[], 16, FALSE)</f>
        <v>0</v>
      </c>
      <c r="T104">
        <f>VLOOKUP(Table5[[#This Row],[Shortname]], Comp[], 17, FALSE)</f>
        <v>0</v>
      </c>
      <c r="U104">
        <f>VLOOKUP(Table5[[#This Row],[Shortname]], Comp[], 18, FALSE)</f>
        <v>0</v>
      </c>
      <c r="V104">
        <f>VLOOKUP(Table5[[#This Row],[Shortname]], Comp[], 19, FALSE)</f>
        <v>0</v>
      </c>
      <c r="W104">
        <f>VLOOKUP(Table5[[#This Row],[Shortname]], Comp[], 20, FALSE)</f>
        <v>0</v>
      </c>
      <c r="X104">
        <f>VLOOKUP(Table5[[#This Row],[Shortname]], Comp[], 21, FALSE)</f>
        <v>0</v>
      </c>
      <c r="Y104">
        <f>VLOOKUP(Table5[[#This Row],[Shortname]], Comp[], 22, FALSE)</f>
        <v>0</v>
      </c>
      <c r="Z104">
        <f>VLOOKUP(Table5[[#This Row],[Shortname]], Comp[], 23, FALSE)</f>
        <v>0</v>
      </c>
      <c r="AA104">
        <f>VLOOKUP(Table5[[#This Row],[Shortname]], Comp[], 24, FALSE)</f>
        <v>0</v>
      </c>
      <c r="AB104">
        <f>VLOOKUP(Table5[[#This Row],[Shortname]], Comp[], 25, FALSE)</f>
        <v>0</v>
      </c>
      <c r="AC104">
        <f>VLOOKUP(Table5[[#This Row],[Shortname]], Comp[], 26, FALSE)</f>
        <v>0</v>
      </c>
      <c r="AD104">
        <f>VLOOKUP(Table5[[#This Row],[Shortname]], Comp[], 27, FALSE)</f>
        <v>0</v>
      </c>
      <c r="AE104">
        <f>VLOOKUP(Table5[[#This Row],[Shortname]], Comp[], 28, FALSE)</f>
        <v>0</v>
      </c>
      <c r="AF104">
        <f>VLOOKUP(Table5[[#This Row],[Shortname]], Comp[], 29, FALSE)</f>
        <v>0</v>
      </c>
      <c r="AG104">
        <f>VLOOKUP(Table5[[#This Row],[Shortname]], Comp[], 30, FALSE)</f>
        <v>0</v>
      </c>
      <c r="AH104">
        <f>VLOOKUP(Table5[[#This Row],[Shortname]], Comp[], 31, FALSE)</f>
        <v>0</v>
      </c>
    </row>
    <row r="105" spans="1:34" x14ac:dyDescent="0.3">
      <c r="A105" t="s">
        <v>1064</v>
      </c>
      <c r="B105">
        <v>104</v>
      </c>
      <c r="C105" t="str">
        <f>VLOOKUP(Table5[[#This Row],[Shortname]], [1]!comp[#Data], 2, FALSE)</f>
        <v>Co3Ti</v>
      </c>
      <c r="D105" t="s">
        <v>1066</v>
      </c>
      <c r="E105" t="s">
        <v>6601</v>
      </c>
      <c r="F105">
        <v>1082</v>
      </c>
      <c r="G105">
        <v>1298</v>
      </c>
      <c r="H105">
        <v>1378</v>
      </c>
      <c r="I105">
        <f>VLOOKUP(Table5[[#This Row],[Shortname]], Comp[], 6, FALSE)</f>
        <v>136</v>
      </c>
      <c r="J105" s="14">
        <f>VLOOKUP(Table5[[#This Row],[Shortname]], Comp[], 7, FALSE)</f>
        <v>39.000000000000007</v>
      </c>
      <c r="K105">
        <f>VLOOKUP(Table5[[#This Row],[Shortname]], Comp[], 8, FALSE)</f>
        <v>39.799999999999997</v>
      </c>
      <c r="L105">
        <f>VLOOKUP(Table5[[#This Row],[Shortname]], Comp[], 9, FALSE)</f>
        <v>2.8</v>
      </c>
      <c r="M105">
        <f>VLOOKUP(Table5[[#This Row],[Shortname]], Comp[], 10, FALSE)</f>
        <v>10.8</v>
      </c>
      <c r="N105">
        <f>VLOOKUP(Table5[[#This Row],[Shortname]], Comp[], 11, FALSE)</f>
        <v>0</v>
      </c>
      <c r="O105">
        <f>VLOOKUP(Table5[[#This Row],[Shortname]], Comp[],12, FALSE)</f>
        <v>7.6</v>
      </c>
      <c r="P105">
        <f>VLOOKUP(Table5[[#This Row],[Shortname]], Comp[], 13, FALSE)</f>
        <v>0</v>
      </c>
      <c r="Q105">
        <f>VLOOKUP(Table5[[#This Row],[Shortname]], Comp[], 14, FALSE)</f>
        <v>0</v>
      </c>
      <c r="R105">
        <f>VLOOKUP(Table5[[#This Row],[Shortname]], Comp[], 15, FALSE)</f>
        <v>0</v>
      </c>
      <c r="S105">
        <f>VLOOKUP(Table5[[#This Row],[Shortname]], Comp[], 16, FALSE)</f>
        <v>0</v>
      </c>
      <c r="T105">
        <f>VLOOKUP(Table5[[#This Row],[Shortname]], Comp[], 17, FALSE)</f>
        <v>0</v>
      </c>
      <c r="U105">
        <f>VLOOKUP(Table5[[#This Row],[Shortname]], Comp[], 18, FALSE)</f>
        <v>0</v>
      </c>
      <c r="V105">
        <f>VLOOKUP(Table5[[#This Row],[Shortname]], Comp[], 19, FALSE)</f>
        <v>0</v>
      </c>
      <c r="W105">
        <f>VLOOKUP(Table5[[#This Row],[Shortname]], Comp[], 20, FALSE)</f>
        <v>0</v>
      </c>
      <c r="X105">
        <f>VLOOKUP(Table5[[#This Row],[Shortname]], Comp[], 21, FALSE)</f>
        <v>0</v>
      </c>
      <c r="Y105">
        <f>VLOOKUP(Table5[[#This Row],[Shortname]], Comp[], 22, FALSE)</f>
        <v>0</v>
      </c>
      <c r="Z105">
        <f>VLOOKUP(Table5[[#This Row],[Shortname]], Comp[], 23, FALSE)</f>
        <v>0</v>
      </c>
      <c r="AA105">
        <f>VLOOKUP(Table5[[#This Row],[Shortname]], Comp[], 24, FALSE)</f>
        <v>0</v>
      </c>
      <c r="AB105">
        <f>VLOOKUP(Table5[[#This Row],[Shortname]], Comp[], 25, FALSE)</f>
        <v>0</v>
      </c>
      <c r="AC105">
        <f>VLOOKUP(Table5[[#This Row],[Shortname]], Comp[], 26, FALSE)</f>
        <v>0</v>
      </c>
      <c r="AD105">
        <f>VLOOKUP(Table5[[#This Row],[Shortname]], Comp[], 27, FALSE)</f>
        <v>0</v>
      </c>
      <c r="AE105">
        <f>VLOOKUP(Table5[[#This Row],[Shortname]], Comp[], 28, FALSE)</f>
        <v>0</v>
      </c>
      <c r="AF105">
        <f>VLOOKUP(Table5[[#This Row],[Shortname]], Comp[], 29, FALSE)</f>
        <v>0</v>
      </c>
      <c r="AG105">
        <f>VLOOKUP(Table5[[#This Row],[Shortname]], Comp[], 30, FALSE)</f>
        <v>0</v>
      </c>
      <c r="AH105">
        <f>VLOOKUP(Table5[[#This Row],[Shortname]], Comp[], 31, FALSE)</f>
        <v>0</v>
      </c>
    </row>
    <row r="106" spans="1:34" x14ac:dyDescent="0.3">
      <c r="A106" t="s">
        <v>1139</v>
      </c>
      <c r="B106">
        <v>105</v>
      </c>
      <c r="C106" t="str">
        <f>VLOOKUP(Table5[[#This Row],[Shortname]], [1]!comp[#Data], 2, FALSE)</f>
        <v>W-free</v>
      </c>
      <c r="D106" t="s">
        <v>1141</v>
      </c>
      <c r="E106" t="s">
        <v>6601</v>
      </c>
      <c r="F106">
        <v>1080</v>
      </c>
      <c r="G106">
        <v>1351</v>
      </c>
      <c r="H106">
        <v>1400</v>
      </c>
      <c r="I106">
        <f>VLOOKUP(Table5[[#This Row],[Shortname]], Comp[], 6, FALSE)</f>
        <v>145</v>
      </c>
      <c r="J106" s="14">
        <f>VLOOKUP(Table5[[#This Row],[Shortname]], Comp[], 7, FALSE)</f>
        <v>51.1</v>
      </c>
      <c r="K106">
        <f>VLOOKUP(Table5[[#This Row],[Shortname]], Comp[], 8, FALSE)</f>
        <v>17</v>
      </c>
      <c r="L106">
        <f>VLOOKUP(Table5[[#This Row],[Shortname]], Comp[], 9, FALSE)</f>
        <v>5.5</v>
      </c>
      <c r="M106">
        <f>VLOOKUP(Table5[[#This Row],[Shortname]], Comp[], 10, FALSE)</f>
        <v>21.4</v>
      </c>
      <c r="N106">
        <f>VLOOKUP(Table5[[#This Row],[Shortname]], Comp[], 11, FALSE)</f>
        <v>0</v>
      </c>
      <c r="O106">
        <f>VLOOKUP(Table5[[#This Row],[Shortname]], Comp[],12, FALSE)</f>
        <v>5</v>
      </c>
      <c r="P106">
        <f>VLOOKUP(Table5[[#This Row],[Shortname]], Comp[], 13, FALSE)</f>
        <v>0</v>
      </c>
      <c r="Q106">
        <f>VLOOKUP(Table5[[#This Row],[Shortname]], Comp[], 14, FALSE)</f>
        <v>0</v>
      </c>
      <c r="R106">
        <f>VLOOKUP(Table5[[#This Row],[Shortname]], Comp[], 15, FALSE)</f>
        <v>0</v>
      </c>
      <c r="S106">
        <f>VLOOKUP(Table5[[#This Row],[Shortname]], Comp[], 16, FALSE)</f>
        <v>0</v>
      </c>
      <c r="T106">
        <f>VLOOKUP(Table5[[#This Row],[Shortname]], Comp[], 17, FALSE)</f>
        <v>0</v>
      </c>
      <c r="U106">
        <f>VLOOKUP(Table5[[#This Row],[Shortname]], Comp[], 18, FALSE)</f>
        <v>0</v>
      </c>
      <c r="V106">
        <f>VLOOKUP(Table5[[#This Row],[Shortname]], Comp[], 19, FALSE)</f>
        <v>0</v>
      </c>
      <c r="W106">
        <f>VLOOKUP(Table5[[#This Row],[Shortname]], Comp[], 20, FALSE)</f>
        <v>0</v>
      </c>
      <c r="X106">
        <f>VLOOKUP(Table5[[#This Row],[Shortname]], Comp[], 21, FALSE)</f>
        <v>0</v>
      </c>
      <c r="Y106">
        <f>VLOOKUP(Table5[[#This Row],[Shortname]], Comp[], 22, FALSE)</f>
        <v>0</v>
      </c>
      <c r="Z106">
        <f>VLOOKUP(Table5[[#This Row],[Shortname]], Comp[], 23, FALSE)</f>
        <v>0</v>
      </c>
      <c r="AA106">
        <f>VLOOKUP(Table5[[#This Row],[Shortname]], Comp[], 24, FALSE)</f>
        <v>0</v>
      </c>
      <c r="AB106">
        <f>VLOOKUP(Table5[[#This Row],[Shortname]], Comp[], 25, FALSE)</f>
        <v>0</v>
      </c>
      <c r="AC106">
        <f>VLOOKUP(Table5[[#This Row],[Shortname]], Comp[], 26, FALSE)</f>
        <v>0</v>
      </c>
      <c r="AD106">
        <f>VLOOKUP(Table5[[#This Row],[Shortname]], Comp[], 27, FALSE)</f>
        <v>0</v>
      </c>
      <c r="AE106">
        <f>VLOOKUP(Table5[[#This Row],[Shortname]], Comp[], 28, FALSE)</f>
        <v>0</v>
      </c>
      <c r="AF106">
        <f>VLOOKUP(Table5[[#This Row],[Shortname]], Comp[], 29, FALSE)</f>
        <v>0</v>
      </c>
      <c r="AG106">
        <f>VLOOKUP(Table5[[#This Row],[Shortname]], Comp[], 30, FALSE)</f>
        <v>0</v>
      </c>
      <c r="AH106">
        <f>VLOOKUP(Table5[[#This Row],[Shortname]], Comp[], 31, FALSE)</f>
        <v>0</v>
      </c>
    </row>
    <row r="107" spans="1:34" x14ac:dyDescent="0.3">
      <c r="A107" t="s">
        <v>1030</v>
      </c>
      <c r="B107">
        <v>106</v>
      </c>
      <c r="C107" t="str">
        <f>VLOOKUP(Table5[[#This Row],[Shortname]], [1]!comp[#Data], 2, FALSE)</f>
        <v>Co3Ti</v>
      </c>
      <c r="D107" t="s">
        <v>1032</v>
      </c>
      <c r="E107" t="s">
        <v>6601</v>
      </c>
      <c r="F107">
        <v>1078</v>
      </c>
      <c r="G107">
        <v>1225</v>
      </c>
      <c r="H107">
        <v>1361</v>
      </c>
      <c r="I107">
        <f>VLOOKUP(Table5[[#This Row],[Shortname]], Comp[], 6, FALSE)</f>
        <v>132</v>
      </c>
      <c r="J107" s="14">
        <f>VLOOKUP(Table5[[#This Row],[Shortname]], Comp[], 7, FALSE)</f>
        <v>59.199999999999996</v>
      </c>
      <c r="K107">
        <f>VLOOKUP(Table5[[#This Row],[Shortname]], Comp[], 8, FALSE)</f>
        <v>17.3</v>
      </c>
      <c r="L107">
        <f>VLOOKUP(Table5[[#This Row],[Shortname]], Comp[], 9, FALSE)</f>
        <v>3.1</v>
      </c>
      <c r="M107">
        <f>VLOOKUP(Table5[[#This Row],[Shortname]], Comp[], 10, FALSE)</f>
        <v>12.5</v>
      </c>
      <c r="N107">
        <f>VLOOKUP(Table5[[#This Row],[Shortname]], Comp[], 11, FALSE)</f>
        <v>0</v>
      </c>
      <c r="O107">
        <f>VLOOKUP(Table5[[#This Row],[Shortname]], Comp[],12, FALSE)</f>
        <v>7.9</v>
      </c>
      <c r="P107">
        <f>VLOOKUP(Table5[[#This Row],[Shortname]], Comp[], 13, FALSE)</f>
        <v>0</v>
      </c>
      <c r="Q107">
        <f>VLOOKUP(Table5[[#This Row],[Shortname]], Comp[], 14, FALSE)</f>
        <v>0</v>
      </c>
      <c r="R107">
        <f>VLOOKUP(Table5[[#This Row],[Shortname]], Comp[], 15, FALSE)</f>
        <v>0</v>
      </c>
      <c r="S107">
        <f>VLOOKUP(Table5[[#This Row],[Shortname]], Comp[], 16, FALSE)</f>
        <v>0</v>
      </c>
      <c r="T107">
        <f>VLOOKUP(Table5[[#This Row],[Shortname]], Comp[], 17, FALSE)</f>
        <v>0</v>
      </c>
      <c r="U107">
        <f>VLOOKUP(Table5[[#This Row],[Shortname]], Comp[], 18, FALSE)</f>
        <v>0</v>
      </c>
      <c r="V107">
        <f>VLOOKUP(Table5[[#This Row],[Shortname]], Comp[], 19, FALSE)</f>
        <v>0</v>
      </c>
      <c r="W107">
        <f>VLOOKUP(Table5[[#This Row],[Shortname]], Comp[], 20, FALSE)</f>
        <v>0</v>
      </c>
      <c r="X107">
        <f>VLOOKUP(Table5[[#This Row],[Shortname]], Comp[], 21, FALSE)</f>
        <v>0</v>
      </c>
      <c r="Y107">
        <f>VLOOKUP(Table5[[#This Row],[Shortname]], Comp[], 22, FALSE)</f>
        <v>0</v>
      </c>
      <c r="Z107">
        <f>VLOOKUP(Table5[[#This Row],[Shortname]], Comp[], 23, FALSE)</f>
        <v>0</v>
      </c>
      <c r="AA107">
        <f>VLOOKUP(Table5[[#This Row],[Shortname]], Comp[], 24, FALSE)</f>
        <v>0</v>
      </c>
      <c r="AB107">
        <f>VLOOKUP(Table5[[#This Row],[Shortname]], Comp[], 25, FALSE)</f>
        <v>0</v>
      </c>
      <c r="AC107">
        <f>VLOOKUP(Table5[[#This Row],[Shortname]], Comp[], 26, FALSE)</f>
        <v>0</v>
      </c>
      <c r="AD107">
        <f>VLOOKUP(Table5[[#This Row],[Shortname]], Comp[], 27, FALSE)</f>
        <v>0</v>
      </c>
      <c r="AE107">
        <f>VLOOKUP(Table5[[#This Row],[Shortname]], Comp[], 28, FALSE)</f>
        <v>0</v>
      </c>
      <c r="AF107">
        <f>VLOOKUP(Table5[[#This Row],[Shortname]], Comp[], 29, FALSE)</f>
        <v>0</v>
      </c>
      <c r="AG107">
        <f>VLOOKUP(Table5[[#This Row],[Shortname]], Comp[], 30, FALSE)</f>
        <v>0</v>
      </c>
      <c r="AH107">
        <f>VLOOKUP(Table5[[#This Row],[Shortname]], Comp[], 31, FALSE)</f>
        <v>0</v>
      </c>
    </row>
    <row r="108" spans="1:34" x14ac:dyDescent="0.3">
      <c r="A108" t="s">
        <v>1149</v>
      </c>
      <c r="B108">
        <v>107</v>
      </c>
      <c r="C108" t="str">
        <f>VLOOKUP(Table5[[#This Row],[Shortname]], [1]!comp[#Data], 2, FALSE)</f>
        <v>W-free</v>
      </c>
      <c r="D108" t="s">
        <v>1151</v>
      </c>
      <c r="E108" t="s">
        <v>6601</v>
      </c>
      <c r="F108">
        <v>1077</v>
      </c>
      <c r="G108">
        <v>1357</v>
      </c>
      <c r="H108">
        <v>1410</v>
      </c>
      <c r="I108">
        <f>VLOOKUP(Table5[[#This Row],[Shortname]], Comp[], 6, FALSE)</f>
        <v>146</v>
      </c>
      <c r="J108" s="14">
        <f>VLOOKUP(Table5[[#This Row],[Shortname]], Comp[], 7, FALSE)</f>
        <v>19.599999999999994</v>
      </c>
      <c r="K108">
        <f>VLOOKUP(Table5[[#This Row],[Shortname]], Comp[], 8, FALSE)</f>
        <v>58.4</v>
      </c>
      <c r="L108">
        <f>VLOOKUP(Table5[[#This Row],[Shortname]], Comp[], 9, FALSE)</f>
        <v>8.6</v>
      </c>
      <c r="M108">
        <f>VLOOKUP(Table5[[#This Row],[Shortname]], Comp[], 10, FALSE)</f>
        <v>10.7</v>
      </c>
      <c r="N108">
        <f>VLOOKUP(Table5[[#This Row],[Shortname]], Comp[], 11, FALSE)</f>
        <v>0</v>
      </c>
      <c r="O108">
        <f>VLOOKUP(Table5[[#This Row],[Shortname]], Comp[],12, FALSE)</f>
        <v>2.7</v>
      </c>
      <c r="P108">
        <f>VLOOKUP(Table5[[#This Row],[Shortname]], Comp[], 13, FALSE)</f>
        <v>0</v>
      </c>
      <c r="Q108">
        <f>VLOOKUP(Table5[[#This Row],[Shortname]], Comp[], 14, FALSE)</f>
        <v>0</v>
      </c>
      <c r="R108">
        <f>VLOOKUP(Table5[[#This Row],[Shortname]], Comp[], 15, FALSE)</f>
        <v>0</v>
      </c>
      <c r="S108">
        <f>VLOOKUP(Table5[[#This Row],[Shortname]], Comp[], 16, FALSE)</f>
        <v>0</v>
      </c>
      <c r="T108">
        <f>VLOOKUP(Table5[[#This Row],[Shortname]], Comp[], 17, FALSE)</f>
        <v>0</v>
      </c>
      <c r="U108">
        <f>VLOOKUP(Table5[[#This Row],[Shortname]], Comp[], 18, FALSE)</f>
        <v>0</v>
      </c>
      <c r="V108">
        <f>VLOOKUP(Table5[[#This Row],[Shortname]], Comp[], 19, FALSE)</f>
        <v>0</v>
      </c>
      <c r="W108">
        <f>VLOOKUP(Table5[[#This Row],[Shortname]], Comp[], 20, FALSE)</f>
        <v>0</v>
      </c>
      <c r="X108">
        <f>VLOOKUP(Table5[[#This Row],[Shortname]], Comp[], 21, FALSE)</f>
        <v>0</v>
      </c>
      <c r="Y108">
        <f>VLOOKUP(Table5[[#This Row],[Shortname]], Comp[], 22, FALSE)</f>
        <v>0</v>
      </c>
      <c r="Z108">
        <f>VLOOKUP(Table5[[#This Row],[Shortname]], Comp[], 23, FALSE)</f>
        <v>0</v>
      </c>
      <c r="AA108">
        <f>VLOOKUP(Table5[[#This Row],[Shortname]], Comp[], 24, FALSE)</f>
        <v>0</v>
      </c>
      <c r="AB108">
        <f>VLOOKUP(Table5[[#This Row],[Shortname]], Comp[], 25, FALSE)</f>
        <v>0</v>
      </c>
      <c r="AC108">
        <f>VLOOKUP(Table5[[#This Row],[Shortname]], Comp[], 26, FALSE)</f>
        <v>0</v>
      </c>
      <c r="AD108">
        <f>VLOOKUP(Table5[[#This Row],[Shortname]], Comp[], 27, FALSE)</f>
        <v>0</v>
      </c>
      <c r="AE108">
        <f>VLOOKUP(Table5[[#This Row],[Shortname]], Comp[], 28, FALSE)</f>
        <v>0</v>
      </c>
      <c r="AF108">
        <f>VLOOKUP(Table5[[#This Row],[Shortname]], Comp[], 29, FALSE)</f>
        <v>0</v>
      </c>
      <c r="AG108">
        <f>VLOOKUP(Table5[[#This Row],[Shortname]], Comp[], 30, FALSE)</f>
        <v>0</v>
      </c>
      <c r="AH108">
        <f>VLOOKUP(Table5[[#This Row],[Shortname]], Comp[], 31, FALSE)</f>
        <v>0</v>
      </c>
    </row>
    <row r="109" spans="1:34" x14ac:dyDescent="0.3">
      <c r="A109" t="s">
        <v>1173</v>
      </c>
      <c r="B109">
        <v>108</v>
      </c>
      <c r="C109" t="str">
        <f>VLOOKUP(Table5[[#This Row],[Shortname]], [1]!comp[#Data], 2, FALSE)</f>
        <v>W-free</v>
      </c>
      <c r="D109" t="s">
        <v>1175</v>
      </c>
      <c r="E109" t="s">
        <v>6601</v>
      </c>
      <c r="F109">
        <v>1074</v>
      </c>
      <c r="G109">
        <v>1342</v>
      </c>
      <c r="H109">
        <v>1399</v>
      </c>
      <c r="I109">
        <f>VLOOKUP(Table5[[#This Row],[Shortname]], Comp[], 6, FALSE)</f>
        <v>149</v>
      </c>
      <c r="J109" s="14">
        <f>VLOOKUP(Table5[[#This Row],[Shortname]], Comp[], 7, FALSE)</f>
        <v>18.399999999999991</v>
      </c>
      <c r="K109">
        <f>VLOOKUP(Table5[[#This Row],[Shortname]], Comp[], 8, FALSE)</f>
        <v>54.8</v>
      </c>
      <c r="L109">
        <f>VLOOKUP(Table5[[#This Row],[Shortname]], Comp[], 9, FALSE)</f>
        <v>8</v>
      </c>
      <c r="M109">
        <f>VLOOKUP(Table5[[#This Row],[Shortname]], Comp[], 10, FALSE)</f>
        <v>16.100000000000001</v>
      </c>
      <c r="N109">
        <f>VLOOKUP(Table5[[#This Row],[Shortname]], Comp[], 11, FALSE)</f>
        <v>0</v>
      </c>
      <c r="O109">
        <f>VLOOKUP(Table5[[#This Row],[Shortname]], Comp[],12, FALSE)</f>
        <v>2.7</v>
      </c>
      <c r="P109">
        <f>VLOOKUP(Table5[[#This Row],[Shortname]], Comp[], 13, FALSE)</f>
        <v>0</v>
      </c>
      <c r="Q109">
        <f>VLOOKUP(Table5[[#This Row],[Shortname]], Comp[], 14, FALSE)</f>
        <v>0</v>
      </c>
      <c r="R109">
        <f>VLOOKUP(Table5[[#This Row],[Shortname]], Comp[], 15, FALSE)</f>
        <v>0</v>
      </c>
      <c r="S109">
        <f>VLOOKUP(Table5[[#This Row],[Shortname]], Comp[], 16, FALSE)</f>
        <v>0</v>
      </c>
      <c r="T109">
        <f>VLOOKUP(Table5[[#This Row],[Shortname]], Comp[], 17, FALSE)</f>
        <v>0</v>
      </c>
      <c r="U109">
        <f>VLOOKUP(Table5[[#This Row],[Shortname]], Comp[], 18, FALSE)</f>
        <v>0</v>
      </c>
      <c r="V109">
        <f>VLOOKUP(Table5[[#This Row],[Shortname]], Comp[], 19, FALSE)</f>
        <v>0</v>
      </c>
      <c r="W109">
        <f>VLOOKUP(Table5[[#This Row],[Shortname]], Comp[], 20, FALSE)</f>
        <v>0</v>
      </c>
      <c r="X109">
        <f>VLOOKUP(Table5[[#This Row],[Shortname]], Comp[], 21, FALSE)</f>
        <v>0</v>
      </c>
      <c r="Y109">
        <f>VLOOKUP(Table5[[#This Row],[Shortname]], Comp[], 22, FALSE)</f>
        <v>0</v>
      </c>
      <c r="Z109">
        <f>VLOOKUP(Table5[[#This Row],[Shortname]], Comp[], 23, FALSE)</f>
        <v>0</v>
      </c>
      <c r="AA109">
        <f>VLOOKUP(Table5[[#This Row],[Shortname]], Comp[], 24, FALSE)</f>
        <v>0</v>
      </c>
      <c r="AB109">
        <f>VLOOKUP(Table5[[#This Row],[Shortname]], Comp[], 25, FALSE)</f>
        <v>0</v>
      </c>
      <c r="AC109">
        <f>VLOOKUP(Table5[[#This Row],[Shortname]], Comp[], 26, FALSE)</f>
        <v>0</v>
      </c>
      <c r="AD109">
        <f>VLOOKUP(Table5[[#This Row],[Shortname]], Comp[], 27, FALSE)</f>
        <v>0</v>
      </c>
      <c r="AE109">
        <f>VLOOKUP(Table5[[#This Row],[Shortname]], Comp[], 28, FALSE)</f>
        <v>0</v>
      </c>
      <c r="AF109">
        <f>VLOOKUP(Table5[[#This Row],[Shortname]], Comp[], 29, FALSE)</f>
        <v>0</v>
      </c>
      <c r="AG109">
        <f>VLOOKUP(Table5[[#This Row],[Shortname]], Comp[], 30, FALSE)</f>
        <v>0</v>
      </c>
      <c r="AH109">
        <f>VLOOKUP(Table5[[#This Row],[Shortname]], Comp[], 31, FALSE)</f>
        <v>0</v>
      </c>
    </row>
    <row r="110" spans="1:34" x14ac:dyDescent="0.3">
      <c r="A110" t="s">
        <v>1131</v>
      </c>
      <c r="B110">
        <v>109</v>
      </c>
      <c r="C110" t="str">
        <f>VLOOKUP(Table5[[#This Row],[Shortname]], [1]!comp[#Data], 2, FALSE)</f>
        <v>Co3Ti</v>
      </c>
      <c r="D110" t="s">
        <v>1133</v>
      </c>
      <c r="E110" t="s">
        <v>6601</v>
      </c>
      <c r="F110">
        <v>1071</v>
      </c>
      <c r="G110">
        <v>1284</v>
      </c>
      <c r="H110">
        <v>1370</v>
      </c>
      <c r="I110">
        <f>VLOOKUP(Table5[[#This Row],[Shortname]], Comp[], 6, FALSE)</f>
        <v>144</v>
      </c>
      <c r="J110" s="14">
        <f>VLOOKUP(Table5[[#This Row],[Shortname]], Comp[], 7, FALSE)</f>
        <v>33.5</v>
      </c>
      <c r="K110">
        <f>VLOOKUP(Table5[[#This Row],[Shortname]], Comp[], 8, FALSE)</f>
        <v>34.4</v>
      </c>
      <c r="L110">
        <f>VLOOKUP(Table5[[#This Row],[Shortname]], Comp[], 9, FALSE)</f>
        <v>5.7</v>
      </c>
      <c r="M110">
        <f>VLOOKUP(Table5[[#This Row],[Shortname]], Comp[], 10, FALSE)</f>
        <v>21.2</v>
      </c>
      <c r="N110">
        <f>VLOOKUP(Table5[[#This Row],[Shortname]], Comp[], 11, FALSE)</f>
        <v>0</v>
      </c>
      <c r="O110">
        <f>VLOOKUP(Table5[[#This Row],[Shortname]], Comp[],12, FALSE)</f>
        <v>5.2</v>
      </c>
      <c r="P110">
        <f>VLOOKUP(Table5[[#This Row],[Shortname]], Comp[], 13, FALSE)</f>
        <v>0</v>
      </c>
      <c r="Q110">
        <f>VLOOKUP(Table5[[#This Row],[Shortname]], Comp[], 14, FALSE)</f>
        <v>0</v>
      </c>
      <c r="R110">
        <f>VLOOKUP(Table5[[#This Row],[Shortname]], Comp[], 15, FALSE)</f>
        <v>0</v>
      </c>
      <c r="S110">
        <f>VLOOKUP(Table5[[#This Row],[Shortname]], Comp[], 16, FALSE)</f>
        <v>0</v>
      </c>
      <c r="T110">
        <f>VLOOKUP(Table5[[#This Row],[Shortname]], Comp[], 17, FALSE)</f>
        <v>0</v>
      </c>
      <c r="U110">
        <f>VLOOKUP(Table5[[#This Row],[Shortname]], Comp[], 18, FALSE)</f>
        <v>0</v>
      </c>
      <c r="V110">
        <f>VLOOKUP(Table5[[#This Row],[Shortname]], Comp[], 19, FALSE)</f>
        <v>0</v>
      </c>
      <c r="W110">
        <f>VLOOKUP(Table5[[#This Row],[Shortname]], Comp[], 20, FALSE)</f>
        <v>0</v>
      </c>
      <c r="X110">
        <f>VLOOKUP(Table5[[#This Row],[Shortname]], Comp[], 21, FALSE)</f>
        <v>0</v>
      </c>
      <c r="Y110">
        <f>VLOOKUP(Table5[[#This Row],[Shortname]], Comp[], 22, FALSE)</f>
        <v>0</v>
      </c>
      <c r="Z110">
        <f>VLOOKUP(Table5[[#This Row],[Shortname]], Comp[], 23, FALSE)</f>
        <v>0</v>
      </c>
      <c r="AA110">
        <f>VLOOKUP(Table5[[#This Row],[Shortname]], Comp[], 24, FALSE)</f>
        <v>0</v>
      </c>
      <c r="AB110">
        <f>VLOOKUP(Table5[[#This Row],[Shortname]], Comp[], 25, FALSE)</f>
        <v>0</v>
      </c>
      <c r="AC110">
        <f>VLOOKUP(Table5[[#This Row],[Shortname]], Comp[], 26, FALSE)</f>
        <v>0</v>
      </c>
      <c r="AD110">
        <f>VLOOKUP(Table5[[#This Row],[Shortname]], Comp[], 27, FALSE)</f>
        <v>0</v>
      </c>
      <c r="AE110">
        <f>VLOOKUP(Table5[[#This Row],[Shortname]], Comp[], 28, FALSE)</f>
        <v>0</v>
      </c>
      <c r="AF110">
        <f>VLOOKUP(Table5[[#This Row],[Shortname]], Comp[], 29, FALSE)</f>
        <v>0</v>
      </c>
      <c r="AG110">
        <f>VLOOKUP(Table5[[#This Row],[Shortname]], Comp[], 30, FALSE)</f>
        <v>0</v>
      </c>
      <c r="AH110">
        <f>VLOOKUP(Table5[[#This Row],[Shortname]], Comp[], 31, FALSE)</f>
        <v>0</v>
      </c>
    </row>
    <row r="111" spans="1:34" x14ac:dyDescent="0.3">
      <c r="A111" t="s">
        <v>1099</v>
      </c>
      <c r="B111">
        <v>110</v>
      </c>
      <c r="C111" t="str">
        <f>VLOOKUP(Table5[[#This Row],[Shortname]], [1]!comp[#Data], 2, FALSE)</f>
        <v>Co3Ti</v>
      </c>
      <c r="D111" t="s">
        <v>1101</v>
      </c>
      <c r="E111" t="s">
        <v>6601</v>
      </c>
      <c r="F111">
        <v>1064</v>
      </c>
      <c r="G111">
        <v>1307</v>
      </c>
      <c r="H111">
        <v>1396</v>
      </c>
      <c r="I111">
        <f>VLOOKUP(Table5[[#This Row],[Shortname]], Comp[], 6, FALSE)</f>
        <v>140</v>
      </c>
      <c r="J111" s="14">
        <f>VLOOKUP(Table5[[#This Row],[Shortname]], Comp[], 7, FALSE)</f>
        <v>39.1</v>
      </c>
      <c r="K111">
        <f>VLOOKUP(Table5[[#This Row],[Shortname]], Comp[], 8, FALSE)</f>
        <v>39.200000000000003</v>
      </c>
      <c r="L111">
        <f>VLOOKUP(Table5[[#This Row],[Shortname]], Comp[], 9, FALSE)</f>
        <v>5.9</v>
      </c>
      <c r="M111">
        <f>VLOOKUP(Table5[[#This Row],[Shortname]], Comp[], 10, FALSE)</f>
        <v>10.5</v>
      </c>
      <c r="N111">
        <f>VLOOKUP(Table5[[#This Row],[Shortname]], Comp[], 11, FALSE)</f>
        <v>0</v>
      </c>
      <c r="O111">
        <f>VLOOKUP(Table5[[#This Row],[Shortname]], Comp[],12, FALSE)</f>
        <v>5.3</v>
      </c>
      <c r="P111">
        <f>VLOOKUP(Table5[[#This Row],[Shortname]], Comp[], 13, FALSE)</f>
        <v>0</v>
      </c>
      <c r="Q111">
        <f>VLOOKUP(Table5[[#This Row],[Shortname]], Comp[], 14, FALSE)</f>
        <v>0</v>
      </c>
      <c r="R111">
        <f>VLOOKUP(Table5[[#This Row],[Shortname]], Comp[], 15, FALSE)</f>
        <v>0</v>
      </c>
      <c r="S111">
        <f>VLOOKUP(Table5[[#This Row],[Shortname]], Comp[], 16, FALSE)</f>
        <v>0</v>
      </c>
      <c r="T111">
        <f>VLOOKUP(Table5[[#This Row],[Shortname]], Comp[], 17, FALSE)</f>
        <v>0</v>
      </c>
      <c r="U111">
        <f>VLOOKUP(Table5[[#This Row],[Shortname]], Comp[], 18, FALSE)</f>
        <v>0</v>
      </c>
      <c r="V111">
        <f>VLOOKUP(Table5[[#This Row],[Shortname]], Comp[], 19, FALSE)</f>
        <v>0</v>
      </c>
      <c r="W111">
        <f>VLOOKUP(Table5[[#This Row],[Shortname]], Comp[], 20, FALSE)</f>
        <v>0</v>
      </c>
      <c r="X111">
        <f>VLOOKUP(Table5[[#This Row],[Shortname]], Comp[], 21, FALSE)</f>
        <v>0</v>
      </c>
      <c r="Y111">
        <f>VLOOKUP(Table5[[#This Row],[Shortname]], Comp[], 22, FALSE)</f>
        <v>0</v>
      </c>
      <c r="Z111">
        <f>VLOOKUP(Table5[[#This Row],[Shortname]], Comp[], 23, FALSE)</f>
        <v>0</v>
      </c>
      <c r="AA111">
        <f>VLOOKUP(Table5[[#This Row],[Shortname]], Comp[], 24, FALSE)</f>
        <v>0</v>
      </c>
      <c r="AB111">
        <f>VLOOKUP(Table5[[#This Row],[Shortname]], Comp[], 25, FALSE)</f>
        <v>0</v>
      </c>
      <c r="AC111">
        <f>VLOOKUP(Table5[[#This Row],[Shortname]], Comp[], 26, FALSE)</f>
        <v>0</v>
      </c>
      <c r="AD111">
        <f>VLOOKUP(Table5[[#This Row],[Shortname]], Comp[], 27, FALSE)</f>
        <v>0</v>
      </c>
      <c r="AE111">
        <f>VLOOKUP(Table5[[#This Row],[Shortname]], Comp[], 28, FALSE)</f>
        <v>0</v>
      </c>
      <c r="AF111">
        <f>VLOOKUP(Table5[[#This Row],[Shortname]], Comp[], 29, FALSE)</f>
        <v>0</v>
      </c>
      <c r="AG111">
        <f>VLOOKUP(Table5[[#This Row],[Shortname]], Comp[], 30, FALSE)</f>
        <v>0</v>
      </c>
      <c r="AH111">
        <f>VLOOKUP(Table5[[#This Row],[Shortname]], Comp[], 31, FALSE)</f>
        <v>0</v>
      </c>
    </row>
    <row r="112" spans="1:34" x14ac:dyDescent="0.3">
      <c r="A112" t="s">
        <v>1002</v>
      </c>
      <c r="B112">
        <v>111</v>
      </c>
      <c r="C112" t="str">
        <f>VLOOKUP(Table5[[#This Row],[Shortname]], [1]!comp[#Data], 2, FALSE)</f>
        <v>Co3Ti</v>
      </c>
      <c r="D112" t="s">
        <v>1004</v>
      </c>
      <c r="E112" t="s">
        <v>6601</v>
      </c>
      <c r="F112">
        <v>1062</v>
      </c>
      <c r="G112">
        <v>1278</v>
      </c>
      <c r="H112">
        <v>1376</v>
      </c>
      <c r="I112">
        <f>VLOOKUP(Table5[[#This Row],[Shortname]], Comp[], 6, FALSE)</f>
        <v>129</v>
      </c>
      <c r="J112" s="14">
        <f>VLOOKUP(Table5[[#This Row],[Shortname]], Comp[], 7, FALSE)</f>
        <v>50.699999999999996</v>
      </c>
      <c r="K112">
        <f>VLOOKUP(Table5[[#This Row],[Shortname]], Comp[], 8, FALSE)</f>
        <v>27.2</v>
      </c>
      <c r="L112">
        <f>VLOOKUP(Table5[[#This Row],[Shortname]], Comp[], 9, FALSE)</f>
        <v>3.1</v>
      </c>
      <c r="M112">
        <f>VLOOKUP(Table5[[#This Row],[Shortname]], Comp[], 10, FALSE)</f>
        <v>10.9</v>
      </c>
      <c r="N112">
        <f>VLOOKUP(Table5[[#This Row],[Shortname]], Comp[], 11, FALSE)</f>
        <v>0</v>
      </c>
      <c r="O112">
        <f>VLOOKUP(Table5[[#This Row],[Shortname]], Comp[],12, FALSE)</f>
        <v>8.1</v>
      </c>
      <c r="P112">
        <f>VLOOKUP(Table5[[#This Row],[Shortname]], Comp[], 13, FALSE)</f>
        <v>0</v>
      </c>
      <c r="Q112">
        <f>VLOOKUP(Table5[[#This Row],[Shortname]], Comp[], 14, FALSE)</f>
        <v>0</v>
      </c>
      <c r="R112">
        <f>VLOOKUP(Table5[[#This Row],[Shortname]], Comp[], 15, FALSE)</f>
        <v>0</v>
      </c>
      <c r="S112">
        <f>VLOOKUP(Table5[[#This Row],[Shortname]], Comp[], 16, FALSE)</f>
        <v>0</v>
      </c>
      <c r="T112">
        <f>VLOOKUP(Table5[[#This Row],[Shortname]], Comp[], 17, FALSE)</f>
        <v>0</v>
      </c>
      <c r="U112">
        <f>VLOOKUP(Table5[[#This Row],[Shortname]], Comp[], 18, FALSE)</f>
        <v>0</v>
      </c>
      <c r="V112">
        <f>VLOOKUP(Table5[[#This Row],[Shortname]], Comp[], 19, FALSE)</f>
        <v>0</v>
      </c>
      <c r="W112">
        <f>VLOOKUP(Table5[[#This Row],[Shortname]], Comp[], 20, FALSE)</f>
        <v>0</v>
      </c>
      <c r="X112">
        <f>VLOOKUP(Table5[[#This Row],[Shortname]], Comp[], 21, FALSE)</f>
        <v>0</v>
      </c>
      <c r="Y112">
        <f>VLOOKUP(Table5[[#This Row],[Shortname]], Comp[], 22, FALSE)</f>
        <v>0</v>
      </c>
      <c r="Z112">
        <f>VLOOKUP(Table5[[#This Row],[Shortname]], Comp[], 23, FALSE)</f>
        <v>0</v>
      </c>
      <c r="AA112">
        <f>VLOOKUP(Table5[[#This Row],[Shortname]], Comp[], 24, FALSE)</f>
        <v>0</v>
      </c>
      <c r="AB112">
        <f>VLOOKUP(Table5[[#This Row],[Shortname]], Comp[], 25, FALSE)</f>
        <v>0</v>
      </c>
      <c r="AC112">
        <f>VLOOKUP(Table5[[#This Row],[Shortname]], Comp[], 26, FALSE)</f>
        <v>0</v>
      </c>
      <c r="AD112">
        <f>VLOOKUP(Table5[[#This Row],[Shortname]], Comp[], 27, FALSE)</f>
        <v>0</v>
      </c>
      <c r="AE112">
        <f>VLOOKUP(Table5[[#This Row],[Shortname]], Comp[], 28, FALSE)</f>
        <v>0</v>
      </c>
      <c r="AF112">
        <f>VLOOKUP(Table5[[#This Row],[Shortname]], Comp[], 29, FALSE)</f>
        <v>0</v>
      </c>
      <c r="AG112">
        <f>VLOOKUP(Table5[[#This Row],[Shortname]], Comp[], 30, FALSE)</f>
        <v>0</v>
      </c>
      <c r="AH112">
        <f>VLOOKUP(Table5[[#This Row],[Shortname]], Comp[], 31, FALSE)</f>
        <v>0</v>
      </c>
    </row>
    <row r="113" spans="1:34" x14ac:dyDescent="0.3">
      <c r="A113" t="s">
        <v>1046</v>
      </c>
      <c r="B113">
        <v>112</v>
      </c>
      <c r="C113" t="str">
        <f>VLOOKUP(Table5[[#This Row],[Shortname]], [1]!comp[#Data], 2, FALSE)</f>
        <v>Co3Ti</v>
      </c>
      <c r="D113" t="s">
        <v>1048</v>
      </c>
      <c r="E113" t="s">
        <v>6601</v>
      </c>
      <c r="F113">
        <v>1055</v>
      </c>
      <c r="G113">
        <v>1251</v>
      </c>
      <c r="H113">
        <v>1375</v>
      </c>
      <c r="I113">
        <f>VLOOKUP(Table5[[#This Row],[Shortname]], Comp[], 6, FALSE)</f>
        <v>134</v>
      </c>
      <c r="J113" s="14">
        <f>VLOOKUP(Table5[[#This Row],[Shortname]], Comp[], 7, FALSE)</f>
        <v>54.7</v>
      </c>
      <c r="K113">
        <f>VLOOKUP(Table5[[#This Row],[Shortname]], Comp[], 8, FALSE)</f>
        <v>18.3</v>
      </c>
      <c r="L113">
        <f>VLOOKUP(Table5[[#This Row],[Shortname]], Comp[], 9, FALSE)</f>
        <v>3</v>
      </c>
      <c r="M113">
        <f>VLOOKUP(Table5[[#This Row],[Shortname]], Comp[], 10, FALSE)</f>
        <v>16.2</v>
      </c>
      <c r="N113">
        <f>VLOOKUP(Table5[[#This Row],[Shortname]], Comp[], 11, FALSE)</f>
        <v>0</v>
      </c>
      <c r="O113">
        <f>VLOOKUP(Table5[[#This Row],[Shortname]], Comp[],12, FALSE)</f>
        <v>7.8</v>
      </c>
      <c r="P113">
        <f>VLOOKUP(Table5[[#This Row],[Shortname]], Comp[], 13, FALSE)</f>
        <v>0</v>
      </c>
      <c r="Q113">
        <f>VLOOKUP(Table5[[#This Row],[Shortname]], Comp[], 14, FALSE)</f>
        <v>0</v>
      </c>
      <c r="R113">
        <f>VLOOKUP(Table5[[#This Row],[Shortname]], Comp[], 15, FALSE)</f>
        <v>0</v>
      </c>
      <c r="S113">
        <f>VLOOKUP(Table5[[#This Row],[Shortname]], Comp[], 16, FALSE)</f>
        <v>0</v>
      </c>
      <c r="T113">
        <f>VLOOKUP(Table5[[#This Row],[Shortname]], Comp[], 17, FALSE)</f>
        <v>0</v>
      </c>
      <c r="U113">
        <f>VLOOKUP(Table5[[#This Row],[Shortname]], Comp[], 18, FALSE)</f>
        <v>0</v>
      </c>
      <c r="V113">
        <f>VLOOKUP(Table5[[#This Row],[Shortname]], Comp[], 19, FALSE)</f>
        <v>0</v>
      </c>
      <c r="W113">
        <f>VLOOKUP(Table5[[#This Row],[Shortname]], Comp[], 20, FALSE)</f>
        <v>0</v>
      </c>
      <c r="X113">
        <f>VLOOKUP(Table5[[#This Row],[Shortname]], Comp[], 21, FALSE)</f>
        <v>0</v>
      </c>
      <c r="Y113">
        <f>VLOOKUP(Table5[[#This Row],[Shortname]], Comp[], 22, FALSE)</f>
        <v>0</v>
      </c>
      <c r="Z113">
        <f>VLOOKUP(Table5[[#This Row],[Shortname]], Comp[], 23, FALSE)</f>
        <v>0</v>
      </c>
      <c r="AA113">
        <f>VLOOKUP(Table5[[#This Row],[Shortname]], Comp[], 24, FALSE)</f>
        <v>0</v>
      </c>
      <c r="AB113">
        <f>VLOOKUP(Table5[[#This Row],[Shortname]], Comp[], 25, FALSE)</f>
        <v>0</v>
      </c>
      <c r="AC113">
        <f>VLOOKUP(Table5[[#This Row],[Shortname]], Comp[], 26, FALSE)</f>
        <v>0</v>
      </c>
      <c r="AD113">
        <f>VLOOKUP(Table5[[#This Row],[Shortname]], Comp[], 27, FALSE)</f>
        <v>0</v>
      </c>
      <c r="AE113">
        <f>VLOOKUP(Table5[[#This Row],[Shortname]], Comp[], 28, FALSE)</f>
        <v>0</v>
      </c>
      <c r="AF113">
        <f>VLOOKUP(Table5[[#This Row],[Shortname]], Comp[], 29, FALSE)</f>
        <v>0</v>
      </c>
      <c r="AG113">
        <f>VLOOKUP(Table5[[#This Row],[Shortname]], Comp[], 30, FALSE)</f>
        <v>0</v>
      </c>
      <c r="AH113">
        <f>VLOOKUP(Table5[[#This Row],[Shortname]], Comp[], 31, FALSE)</f>
        <v>0</v>
      </c>
    </row>
    <row r="114" spans="1:34" x14ac:dyDescent="0.3">
      <c r="A114" t="s">
        <v>1165</v>
      </c>
      <c r="B114">
        <v>113</v>
      </c>
      <c r="C114" t="str">
        <f>VLOOKUP(Table5[[#This Row],[Shortname]], [1]!comp[#Data], 2, FALSE)</f>
        <v>W-free</v>
      </c>
      <c r="D114" t="s">
        <v>1167</v>
      </c>
      <c r="E114" t="s">
        <v>6601</v>
      </c>
      <c r="F114">
        <v>1014</v>
      </c>
      <c r="G114">
        <v>1350</v>
      </c>
      <c r="H114">
        <v>1406</v>
      </c>
      <c r="I114">
        <f>VLOOKUP(Table5[[#This Row],[Shortname]], Comp[], 6, FALSE)</f>
        <v>148</v>
      </c>
      <c r="J114" s="14">
        <f>VLOOKUP(Table5[[#This Row],[Shortname]], Comp[], 7, FALSE)</f>
        <v>36.599999999999994</v>
      </c>
      <c r="K114">
        <f>VLOOKUP(Table5[[#This Row],[Shortname]], Comp[], 8, FALSE)</f>
        <v>36.1</v>
      </c>
      <c r="L114">
        <f>VLOOKUP(Table5[[#This Row],[Shortname]], Comp[], 9, FALSE)</f>
        <v>8.6</v>
      </c>
      <c r="M114">
        <f>VLOOKUP(Table5[[#This Row],[Shortname]], Comp[], 10, FALSE)</f>
        <v>16</v>
      </c>
      <c r="N114">
        <f>VLOOKUP(Table5[[#This Row],[Shortname]], Comp[], 11, FALSE)</f>
        <v>0</v>
      </c>
      <c r="O114">
        <f>VLOOKUP(Table5[[#This Row],[Shortname]], Comp[],12, FALSE)</f>
        <v>2.7</v>
      </c>
      <c r="P114">
        <f>VLOOKUP(Table5[[#This Row],[Shortname]], Comp[], 13, FALSE)</f>
        <v>0</v>
      </c>
      <c r="Q114">
        <f>VLOOKUP(Table5[[#This Row],[Shortname]], Comp[], 14, FALSE)</f>
        <v>0</v>
      </c>
      <c r="R114">
        <f>VLOOKUP(Table5[[#This Row],[Shortname]], Comp[], 15, FALSE)</f>
        <v>0</v>
      </c>
      <c r="S114">
        <f>VLOOKUP(Table5[[#This Row],[Shortname]], Comp[], 16, FALSE)</f>
        <v>0</v>
      </c>
      <c r="T114">
        <f>VLOOKUP(Table5[[#This Row],[Shortname]], Comp[], 17, FALSE)</f>
        <v>0</v>
      </c>
      <c r="U114">
        <f>VLOOKUP(Table5[[#This Row],[Shortname]], Comp[], 18, FALSE)</f>
        <v>0</v>
      </c>
      <c r="V114">
        <f>VLOOKUP(Table5[[#This Row],[Shortname]], Comp[], 19, FALSE)</f>
        <v>0</v>
      </c>
      <c r="W114">
        <f>VLOOKUP(Table5[[#This Row],[Shortname]], Comp[], 20, FALSE)</f>
        <v>0</v>
      </c>
      <c r="X114">
        <f>VLOOKUP(Table5[[#This Row],[Shortname]], Comp[], 21, FALSE)</f>
        <v>0</v>
      </c>
      <c r="Y114">
        <f>VLOOKUP(Table5[[#This Row],[Shortname]], Comp[], 22, FALSE)</f>
        <v>0</v>
      </c>
      <c r="Z114">
        <f>VLOOKUP(Table5[[#This Row],[Shortname]], Comp[], 23, FALSE)</f>
        <v>0</v>
      </c>
      <c r="AA114">
        <f>VLOOKUP(Table5[[#This Row],[Shortname]], Comp[], 24, FALSE)</f>
        <v>0</v>
      </c>
      <c r="AB114">
        <f>VLOOKUP(Table5[[#This Row],[Shortname]], Comp[], 25, FALSE)</f>
        <v>0</v>
      </c>
      <c r="AC114">
        <f>VLOOKUP(Table5[[#This Row],[Shortname]], Comp[], 26, FALSE)</f>
        <v>0</v>
      </c>
      <c r="AD114">
        <f>VLOOKUP(Table5[[#This Row],[Shortname]], Comp[], 27, FALSE)</f>
        <v>0</v>
      </c>
      <c r="AE114">
        <f>VLOOKUP(Table5[[#This Row],[Shortname]], Comp[], 28, FALSE)</f>
        <v>0</v>
      </c>
      <c r="AF114">
        <f>VLOOKUP(Table5[[#This Row],[Shortname]], Comp[], 29, FALSE)</f>
        <v>0</v>
      </c>
      <c r="AG114">
        <f>VLOOKUP(Table5[[#This Row],[Shortname]], Comp[], 30, FALSE)</f>
        <v>0</v>
      </c>
      <c r="AH114">
        <f>VLOOKUP(Table5[[#This Row],[Shortname]], Comp[], 31, FALSE)</f>
        <v>0</v>
      </c>
    </row>
    <row r="115" spans="1:34" x14ac:dyDescent="0.3">
      <c r="A115" t="s">
        <v>1180</v>
      </c>
      <c r="B115">
        <v>114</v>
      </c>
      <c r="C115" t="str">
        <f>VLOOKUP(Table5[[#This Row],[Shortname]], [1]!comp[#Data], 2, FALSE)</f>
        <v>W-free</v>
      </c>
      <c r="D115" t="s">
        <v>1182</v>
      </c>
      <c r="E115" t="s">
        <v>6601</v>
      </c>
      <c r="F115">
        <v>1011</v>
      </c>
      <c r="G115">
        <v>1302</v>
      </c>
      <c r="H115">
        <v>1392</v>
      </c>
      <c r="I115">
        <f>VLOOKUP(Table5[[#This Row],[Shortname]], Comp[], 6, FALSE)</f>
        <v>150</v>
      </c>
      <c r="J115" s="14">
        <f>VLOOKUP(Table5[[#This Row],[Shortname]], Comp[], 7, FALSE)</f>
        <v>33.5</v>
      </c>
      <c r="K115">
        <f>VLOOKUP(Table5[[#This Row],[Shortname]], Comp[], 8, FALSE)</f>
        <v>34</v>
      </c>
      <c r="L115">
        <f>VLOOKUP(Table5[[#This Row],[Shortname]], Comp[], 9, FALSE)</f>
        <v>8.1999999999999993</v>
      </c>
      <c r="M115">
        <f>VLOOKUP(Table5[[#This Row],[Shortname]], Comp[], 10, FALSE)</f>
        <v>21.6</v>
      </c>
      <c r="N115">
        <f>VLOOKUP(Table5[[#This Row],[Shortname]], Comp[], 11, FALSE)</f>
        <v>0</v>
      </c>
      <c r="O115">
        <f>VLOOKUP(Table5[[#This Row],[Shortname]], Comp[],12, FALSE)</f>
        <v>2.7</v>
      </c>
      <c r="P115">
        <f>VLOOKUP(Table5[[#This Row],[Shortname]], Comp[], 13, FALSE)</f>
        <v>0</v>
      </c>
      <c r="Q115">
        <f>VLOOKUP(Table5[[#This Row],[Shortname]], Comp[], 14, FALSE)</f>
        <v>0</v>
      </c>
      <c r="R115">
        <f>VLOOKUP(Table5[[#This Row],[Shortname]], Comp[], 15, FALSE)</f>
        <v>0</v>
      </c>
      <c r="S115">
        <f>VLOOKUP(Table5[[#This Row],[Shortname]], Comp[], 16, FALSE)</f>
        <v>0</v>
      </c>
      <c r="T115">
        <f>VLOOKUP(Table5[[#This Row],[Shortname]], Comp[], 17, FALSE)</f>
        <v>0</v>
      </c>
      <c r="U115">
        <f>VLOOKUP(Table5[[#This Row],[Shortname]], Comp[], 18, FALSE)</f>
        <v>0</v>
      </c>
      <c r="V115">
        <f>VLOOKUP(Table5[[#This Row],[Shortname]], Comp[], 19, FALSE)</f>
        <v>0</v>
      </c>
      <c r="W115">
        <f>VLOOKUP(Table5[[#This Row],[Shortname]], Comp[], 20, FALSE)</f>
        <v>0</v>
      </c>
      <c r="X115">
        <f>VLOOKUP(Table5[[#This Row],[Shortname]], Comp[], 21, FALSE)</f>
        <v>0</v>
      </c>
      <c r="Y115">
        <f>VLOOKUP(Table5[[#This Row],[Shortname]], Comp[], 22, FALSE)</f>
        <v>0</v>
      </c>
      <c r="Z115">
        <f>VLOOKUP(Table5[[#This Row],[Shortname]], Comp[], 23, FALSE)</f>
        <v>0</v>
      </c>
      <c r="AA115">
        <f>VLOOKUP(Table5[[#This Row],[Shortname]], Comp[], 24, FALSE)</f>
        <v>0</v>
      </c>
      <c r="AB115">
        <f>VLOOKUP(Table5[[#This Row],[Shortname]], Comp[], 25, FALSE)</f>
        <v>0</v>
      </c>
      <c r="AC115">
        <f>VLOOKUP(Table5[[#This Row],[Shortname]], Comp[], 26, FALSE)</f>
        <v>0</v>
      </c>
      <c r="AD115">
        <f>VLOOKUP(Table5[[#This Row],[Shortname]], Comp[], 27, FALSE)</f>
        <v>0</v>
      </c>
      <c r="AE115">
        <f>VLOOKUP(Table5[[#This Row],[Shortname]], Comp[], 28, FALSE)</f>
        <v>0</v>
      </c>
      <c r="AF115">
        <f>VLOOKUP(Table5[[#This Row],[Shortname]], Comp[], 29, FALSE)</f>
        <v>0</v>
      </c>
      <c r="AG115">
        <f>VLOOKUP(Table5[[#This Row],[Shortname]], Comp[], 30, FALSE)</f>
        <v>0</v>
      </c>
      <c r="AH115">
        <f>VLOOKUP(Table5[[#This Row],[Shortname]], Comp[], 31, FALSE)</f>
        <v>0</v>
      </c>
    </row>
    <row r="116" spans="1:34" x14ac:dyDescent="0.3">
      <c r="A116" t="s">
        <v>1196</v>
      </c>
      <c r="B116">
        <v>115</v>
      </c>
      <c r="C116" t="str">
        <f>VLOOKUP(Table5[[#This Row],[Shortname]], [1]!comp[#Data], 2, FALSE)</f>
        <v>W-free</v>
      </c>
      <c r="D116" t="s">
        <v>1198</v>
      </c>
      <c r="E116" t="s">
        <v>6601</v>
      </c>
      <c r="F116">
        <v>999</v>
      </c>
      <c r="G116">
        <v>1364</v>
      </c>
      <c r="H116" t="s">
        <v>6710</v>
      </c>
      <c r="I116">
        <f>VLOOKUP(Table5[[#This Row],[Shortname]], Comp[], 6, FALSE)</f>
        <v>152</v>
      </c>
      <c r="J116" s="14">
        <f>VLOOKUP(Table5[[#This Row],[Shortname]], Comp[], 7, FALSE)</f>
        <v>39.4</v>
      </c>
      <c r="K116">
        <f>VLOOKUP(Table5[[#This Row],[Shortname]], Comp[], 8, FALSE)</f>
        <v>39.700000000000003</v>
      </c>
      <c r="L116">
        <f>VLOOKUP(Table5[[#This Row],[Shortname]], Comp[], 9, FALSE)</f>
        <v>7.5</v>
      </c>
      <c r="M116">
        <f>VLOOKUP(Table5[[#This Row],[Shortname]], Comp[], 10, FALSE)</f>
        <v>10.8</v>
      </c>
      <c r="N116">
        <f>VLOOKUP(Table5[[#This Row],[Shortname]], Comp[], 11, FALSE)</f>
        <v>0</v>
      </c>
      <c r="O116">
        <f>VLOOKUP(Table5[[#This Row],[Shortname]], Comp[],12, FALSE)</f>
        <v>2.6</v>
      </c>
      <c r="P116">
        <f>VLOOKUP(Table5[[#This Row],[Shortname]], Comp[], 13, FALSE)</f>
        <v>0</v>
      </c>
      <c r="Q116">
        <f>VLOOKUP(Table5[[#This Row],[Shortname]], Comp[], 14, FALSE)</f>
        <v>0</v>
      </c>
      <c r="R116">
        <f>VLOOKUP(Table5[[#This Row],[Shortname]], Comp[], 15, FALSE)</f>
        <v>0</v>
      </c>
      <c r="S116">
        <f>VLOOKUP(Table5[[#This Row],[Shortname]], Comp[], 16, FALSE)</f>
        <v>0</v>
      </c>
      <c r="T116">
        <f>VLOOKUP(Table5[[#This Row],[Shortname]], Comp[], 17, FALSE)</f>
        <v>0</v>
      </c>
      <c r="U116">
        <f>VLOOKUP(Table5[[#This Row],[Shortname]], Comp[], 18, FALSE)</f>
        <v>0</v>
      </c>
      <c r="V116">
        <f>VLOOKUP(Table5[[#This Row],[Shortname]], Comp[], 19, FALSE)</f>
        <v>0</v>
      </c>
      <c r="W116">
        <f>VLOOKUP(Table5[[#This Row],[Shortname]], Comp[], 20, FALSE)</f>
        <v>0</v>
      </c>
      <c r="X116">
        <f>VLOOKUP(Table5[[#This Row],[Shortname]], Comp[], 21, FALSE)</f>
        <v>0</v>
      </c>
      <c r="Y116">
        <f>VLOOKUP(Table5[[#This Row],[Shortname]], Comp[], 22, FALSE)</f>
        <v>0</v>
      </c>
      <c r="Z116">
        <f>VLOOKUP(Table5[[#This Row],[Shortname]], Comp[], 23, FALSE)</f>
        <v>0</v>
      </c>
      <c r="AA116">
        <f>VLOOKUP(Table5[[#This Row],[Shortname]], Comp[], 24, FALSE)</f>
        <v>0</v>
      </c>
      <c r="AB116">
        <f>VLOOKUP(Table5[[#This Row],[Shortname]], Comp[], 25, FALSE)</f>
        <v>0</v>
      </c>
      <c r="AC116">
        <f>VLOOKUP(Table5[[#This Row],[Shortname]], Comp[], 26, FALSE)</f>
        <v>0</v>
      </c>
      <c r="AD116">
        <f>VLOOKUP(Table5[[#This Row],[Shortname]], Comp[], 27, FALSE)</f>
        <v>0</v>
      </c>
      <c r="AE116">
        <f>VLOOKUP(Table5[[#This Row],[Shortname]], Comp[], 28, FALSE)</f>
        <v>0</v>
      </c>
      <c r="AF116">
        <f>VLOOKUP(Table5[[#This Row],[Shortname]], Comp[], 29, FALSE)</f>
        <v>0</v>
      </c>
      <c r="AG116">
        <f>VLOOKUP(Table5[[#This Row],[Shortname]], Comp[], 30, FALSE)</f>
        <v>0</v>
      </c>
      <c r="AH116">
        <f>VLOOKUP(Table5[[#This Row],[Shortname]], Comp[], 31, FALSE)</f>
        <v>0</v>
      </c>
    </row>
    <row r="117" spans="1:34" x14ac:dyDescent="0.3">
      <c r="A117" t="s">
        <v>1116</v>
      </c>
      <c r="B117">
        <v>116</v>
      </c>
      <c r="C117" t="str">
        <f>VLOOKUP(Table5[[#This Row],[Shortname]], [1]!comp[#Data], 2, FALSE)</f>
        <v>Co3Ti</v>
      </c>
      <c r="D117" t="s">
        <v>1118</v>
      </c>
      <c r="E117" t="s">
        <v>6601</v>
      </c>
      <c r="F117">
        <v>985</v>
      </c>
      <c r="G117">
        <v>1295</v>
      </c>
      <c r="H117">
        <v>1392</v>
      </c>
      <c r="I117">
        <f>VLOOKUP(Table5[[#This Row],[Shortname]], Comp[], 6, FALSE)</f>
        <v>142</v>
      </c>
      <c r="J117" s="14">
        <f>VLOOKUP(Table5[[#This Row],[Shortname]], Comp[], 7, FALSE)</f>
        <v>55.399999999999991</v>
      </c>
      <c r="K117">
        <f>VLOOKUP(Table5[[#This Row],[Shortname]], Comp[], 8, FALSE)</f>
        <v>18.3</v>
      </c>
      <c r="L117">
        <f>VLOOKUP(Table5[[#This Row],[Shortname]], Comp[], 9, FALSE)</f>
        <v>5</v>
      </c>
      <c r="M117">
        <f>VLOOKUP(Table5[[#This Row],[Shortname]], Comp[], 10, FALSE)</f>
        <v>16.100000000000001</v>
      </c>
      <c r="N117">
        <f>VLOOKUP(Table5[[#This Row],[Shortname]], Comp[], 11, FALSE)</f>
        <v>0</v>
      </c>
      <c r="O117">
        <f>VLOOKUP(Table5[[#This Row],[Shortname]], Comp[],12, FALSE)</f>
        <v>5.2</v>
      </c>
      <c r="P117">
        <f>VLOOKUP(Table5[[#This Row],[Shortname]], Comp[], 13, FALSE)</f>
        <v>0</v>
      </c>
      <c r="Q117">
        <f>VLOOKUP(Table5[[#This Row],[Shortname]], Comp[], 14, FALSE)</f>
        <v>0</v>
      </c>
      <c r="R117">
        <f>VLOOKUP(Table5[[#This Row],[Shortname]], Comp[], 15, FALSE)</f>
        <v>0</v>
      </c>
      <c r="S117">
        <f>VLOOKUP(Table5[[#This Row],[Shortname]], Comp[], 16, FALSE)</f>
        <v>0</v>
      </c>
      <c r="T117">
        <f>VLOOKUP(Table5[[#This Row],[Shortname]], Comp[], 17, FALSE)</f>
        <v>0</v>
      </c>
      <c r="U117">
        <f>VLOOKUP(Table5[[#This Row],[Shortname]], Comp[], 18, FALSE)</f>
        <v>0</v>
      </c>
      <c r="V117">
        <f>VLOOKUP(Table5[[#This Row],[Shortname]], Comp[], 19, FALSE)</f>
        <v>0</v>
      </c>
      <c r="W117">
        <f>VLOOKUP(Table5[[#This Row],[Shortname]], Comp[], 20, FALSE)</f>
        <v>0</v>
      </c>
      <c r="X117">
        <f>VLOOKUP(Table5[[#This Row],[Shortname]], Comp[], 21, FALSE)</f>
        <v>0</v>
      </c>
      <c r="Y117">
        <f>VLOOKUP(Table5[[#This Row],[Shortname]], Comp[], 22, FALSE)</f>
        <v>0</v>
      </c>
      <c r="Z117">
        <f>VLOOKUP(Table5[[#This Row],[Shortname]], Comp[], 23, FALSE)</f>
        <v>0</v>
      </c>
      <c r="AA117">
        <f>VLOOKUP(Table5[[#This Row],[Shortname]], Comp[], 24, FALSE)</f>
        <v>0</v>
      </c>
      <c r="AB117">
        <f>VLOOKUP(Table5[[#This Row],[Shortname]], Comp[], 25, FALSE)</f>
        <v>0</v>
      </c>
      <c r="AC117">
        <f>VLOOKUP(Table5[[#This Row],[Shortname]], Comp[], 26, FALSE)</f>
        <v>0</v>
      </c>
      <c r="AD117">
        <f>VLOOKUP(Table5[[#This Row],[Shortname]], Comp[], 27, FALSE)</f>
        <v>0</v>
      </c>
      <c r="AE117">
        <f>VLOOKUP(Table5[[#This Row],[Shortname]], Comp[], 28, FALSE)</f>
        <v>0</v>
      </c>
      <c r="AF117">
        <f>VLOOKUP(Table5[[#This Row],[Shortname]], Comp[], 29, FALSE)</f>
        <v>0</v>
      </c>
      <c r="AG117">
        <f>VLOOKUP(Table5[[#This Row],[Shortname]], Comp[], 30, FALSE)</f>
        <v>0</v>
      </c>
      <c r="AH117">
        <f>VLOOKUP(Table5[[#This Row],[Shortname]], Comp[], 31, FALSE)</f>
        <v>0</v>
      </c>
    </row>
    <row r="118" spans="1:34" x14ac:dyDescent="0.3">
      <c r="A118" t="s">
        <v>1090</v>
      </c>
      <c r="B118">
        <v>117</v>
      </c>
      <c r="C118" t="str">
        <f>VLOOKUP(Table5[[#This Row],[Shortname]], [1]!comp[#Data], 2, FALSE)</f>
        <v>Co3Ti</v>
      </c>
      <c r="D118" t="s">
        <v>1092</v>
      </c>
      <c r="E118" t="s">
        <v>6601</v>
      </c>
      <c r="F118">
        <v>963</v>
      </c>
      <c r="G118">
        <v>1288</v>
      </c>
      <c r="H118">
        <v>1402</v>
      </c>
      <c r="I118">
        <f>VLOOKUP(Table5[[#This Row],[Shortname]], Comp[], 6, FALSE)</f>
        <v>139</v>
      </c>
      <c r="J118" s="14">
        <f>VLOOKUP(Table5[[#This Row],[Shortname]], Comp[], 7, FALSE)</f>
        <v>58.6</v>
      </c>
      <c r="K118">
        <f>VLOOKUP(Table5[[#This Row],[Shortname]], Comp[], 8, FALSE)</f>
        <v>19.7</v>
      </c>
      <c r="L118">
        <f>VLOOKUP(Table5[[#This Row],[Shortname]], Comp[], 9, FALSE)</f>
        <v>5.4</v>
      </c>
      <c r="M118">
        <f>VLOOKUP(Table5[[#This Row],[Shortname]], Comp[], 10, FALSE)</f>
        <v>11</v>
      </c>
      <c r="N118">
        <f>VLOOKUP(Table5[[#This Row],[Shortname]], Comp[], 11, FALSE)</f>
        <v>0</v>
      </c>
      <c r="O118">
        <f>VLOOKUP(Table5[[#This Row],[Shortname]], Comp[],12, FALSE)</f>
        <v>5.3</v>
      </c>
      <c r="P118">
        <f>VLOOKUP(Table5[[#This Row],[Shortname]], Comp[], 13, FALSE)</f>
        <v>0</v>
      </c>
      <c r="Q118">
        <f>VLOOKUP(Table5[[#This Row],[Shortname]], Comp[], 14, FALSE)</f>
        <v>0</v>
      </c>
      <c r="R118">
        <f>VLOOKUP(Table5[[#This Row],[Shortname]], Comp[], 15, FALSE)</f>
        <v>0</v>
      </c>
      <c r="S118">
        <f>VLOOKUP(Table5[[#This Row],[Shortname]], Comp[], 16, FALSE)</f>
        <v>0</v>
      </c>
      <c r="T118">
        <f>VLOOKUP(Table5[[#This Row],[Shortname]], Comp[], 17, FALSE)</f>
        <v>0</v>
      </c>
      <c r="U118">
        <f>VLOOKUP(Table5[[#This Row],[Shortname]], Comp[], 18, FALSE)</f>
        <v>0</v>
      </c>
      <c r="V118">
        <f>VLOOKUP(Table5[[#This Row],[Shortname]], Comp[], 19, FALSE)</f>
        <v>0</v>
      </c>
      <c r="W118">
        <f>VLOOKUP(Table5[[#This Row],[Shortname]], Comp[], 20, FALSE)</f>
        <v>0</v>
      </c>
      <c r="X118">
        <f>VLOOKUP(Table5[[#This Row],[Shortname]], Comp[], 21, FALSE)</f>
        <v>0</v>
      </c>
      <c r="Y118">
        <f>VLOOKUP(Table5[[#This Row],[Shortname]], Comp[], 22, FALSE)</f>
        <v>0</v>
      </c>
      <c r="Z118">
        <f>VLOOKUP(Table5[[#This Row],[Shortname]], Comp[], 23, FALSE)</f>
        <v>0</v>
      </c>
      <c r="AA118">
        <f>VLOOKUP(Table5[[#This Row],[Shortname]], Comp[], 24, FALSE)</f>
        <v>0</v>
      </c>
      <c r="AB118">
        <f>VLOOKUP(Table5[[#This Row],[Shortname]], Comp[], 25, FALSE)</f>
        <v>0</v>
      </c>
      <c r="AC118">
        <f>VLOOKUP(Table5[[#This Row],[Shortname]], Comp[], 26, FALSE)</f>
        <v>0</v>
      </c>
      <c r="AD118">
        <f>VLOOKUP(Table5[[#This Row],[Shortname]], Comp[], 27, FALSE)</f>
        <v>0</v>
      </c>
      <c r="AE118">
        <f>VLOOKUP(Table5[[#This Row],[Shortname]], Comp[], 28, FALSE)</f>
        <v>0</v>
      </c>
      <c r="AF118">
        <f>VLOOKUP(Table5[[#This Row],[Shortname]], Comp[], 29, FALSE)</f>
        <v>0</v>
      </c>
      <c r="AG118">
        <f>VLOOKUP(Table5[[#This Row],[Shortname]], Comp[], 30, FALSE)</f>
        <v>0</v>
      </c>
      <c r="AH118">
        <f>VLOOKUP(Table5[[#This Row],[Shortname]], Comp[], 31, FALSE)</f>
        <v>0</v>
      </c>
    </row>
    <row r="119" spans="1:34" x14ac:dyDescent="0.3">
      <c r="A119" t="s">
        <v>1157</v>
      </c>
      <c r="B119">
        <v>118</v>
      </c>
      <c r="C119" t="str">
        <f>VLOOKUP(Table5[[#This Row],[Shortname]], [1]!comp[#Data], 2, FALSE)</f>
        <v>W-free</v>
      </c>
      <c r="D119" t="s">
        <v>1159</v>
      </c>
      <c r="E119" t="s">
        <v>6601</v>
      </c>
      <c r="F119">
        <v>916</v>
      </c>
      <c r="G119">
        <v>1342</v>
      </c>
      <c r="H119">
        <v>1411</v>
      </c>
      <c r="I119">
        <f>VLOOKUP(Table5[[#This Row],[Shortname]], Comp[], 6, FALSE)</f>
        <v>147</v>
      </c>
      <c r="J119" s="14">
        <f>VLOOKUP(Table5[[#This Row],[Shortname]], Comp[], 7, FALSE)</f>
        <v>54.699999999999996</v>
      </c>
      <c r="K119">
        <f>VLOOKUP(Table5[[#This Row],[Shortname]], Comp[], 8, FALSE)</f>
        <v>19</v>
      </c>
      <c r="L119">
        <f>VLOOKUP(Table5[[#This Row],[Shortname]], Comp[], 9, FALSE)</f>
        <v>7.1</v>
      </c>
      <c r="M119">
        <f>VLOOKUP(Table5[[#This Row],[Shortname]], Comp[], 10, FALSE)</f>
        <v>16.5</v>
      </c>
      <c r="N119">
        <f>VLOOKUP(Table5[[#This Row],[Shortname]], Comp[], 11, FALSE)</f>
        <v>0</v>
      </c>
      <c r="O119">
        <f>VLOOKUP(Table5[[#This Row],[Shortname]], Comp[],12, FALSE)</f>
        <v>2.7</v>
      </c>
      <c r="P119">
        <f>VLOOKUP(Table5[[#This Row],[Shortname]], Comp[], 13, FALSE)</f>
        <v>0</v>
      </c>
      <c r="Q119">
        <f>VLOOKUP(Table5[[#This Row],[Shortname]], Comp[], 14, FALSE)</f>
        <v>0</v>
      </c>
      <c r="R119">
        <f>VLOOKUP(Table5[[#This Row],[Shortname]], Comp[], 15, FALSE)</f>
        <v>0</v>
      </c>
      <c r="S119">
        <f>VLOOKUP(Table5[[#This Row],[Shortname]], Comp[], 16, FALSE)</f>
        <v>0</v>
      </c>
      <c r="T119">
        <f>VLOOKUP(Table5[[#This Row],[Shortname]], Comp[], 17, FALSE)</f>
        <v>0</v>
      </c>
      <c r="U119">
        <f>VLOOKUP(Table5[[#This Row],[Shortname]], Comp[], 18, FALSE)</f>
        <v>0</v>
      </c>
      <c r="V119">
        <f>VLOOKUP(Table5[[#This Row],[Shortname]], Comp[], 19, FALSE)</f>
        <v>0</v>
      </c>
      <c r="W119">
        <f>VLOOKUP(Table5[[#This Row],[Shortname]], Comp[], 20, FALSE)</f>
        <v>0</v>
      </c>
      <c r="X119">
        <f>VLOOKUP(Table5[[#This Row],[Shortname]], Comp[], 21, FALSE)</f>
        <v>0</v>
      </c>
      <c r="Y119">
        <f>VLOOKUP(Table5[[#This Row],[Shortname]], Comp[], 22, FALSE)</f>
        <v>0</v>
      </c>
      <c r="Z119">
        <f>VLOOKUP(Table5[[#This Row],[Shortname]], Comp[], 23, FALSE)</f>
        <v>0</v>
      </c>
      <c r="AA119">
        <f>VLOOKUP(Table5[[#This Row],[Shortname]], Comp[], 24, FALSE)</f>
        <v>0</v>
      </c>
      <c r="AB119">
        <f>VLOOKUP(Table5[[#This Row],[Shortname]], Comp[], 25, FALSE)</f>
        <v>0</v>
      </c>
      <c r="AC119">
        <f>VLOOKUP(Table5[[#This Row],[Shortname]], Comp[], 26, FALSE)</f>
        <v>0</v>
      </c>
      <c r="AD119">
        <f>VLOOKUP(Table5[[#This Row],[Shortname]], Comp[], 27, FALSE)</f>
        <v>0</v>
      </c>
      <c r="AE119">
        <f>VLOOKUP(Table5[[#This Row],[Shortname]], Comp[], 28, FALSE)</f>
        <v>0</v>
      </c>
      <c r="AF119">
        <f>VLOOKUP(Table5[[#This Row],[Shortname]], Comp[], 29, FALSE)</f>
        <v>0</v>
      </c>
      <c r="AG119">
        <f>VLOOKUP(Table5[[#This Row],[Shortname]], Comp[], 30, FALSE)</f>
        <v>0</v>
      </c>
      <c r="AH119">
        <f>VLOOKUP(Table5[[#This Row],[Shortname]], Comp[], 31, FALSE)</f>
        <v>0</v>
      </c>
    </row>
    <row r="120" spans="1:34" x14ac:dyDescent="0.3">
      <c r="A120" t="s">
        <v>1188</v>
      </c>
      <c r="B120">
        <v>119</v>
      </c>
      <c r="C120" t="str">
        <f>VLOOKUP(Table5[[#This Row],[Shortname]], [1]!comp[#Data], 2, FALSE)</f>
        <v>W-free</v>
      </c>
      <c r="D120" t="s">
        <v>1190</v>
      </c>
      <c r="E120" t="s">
        <v>6601</v>
      </c>
      <c r="F120">
        <v>903</v>
      </c>
      <c r="G120">
        <v>1361</v>
      </c>
      <c r="H120" t="s">
        <v>6710</v>
      </c>
      <c r="I120">
        <f>VLOOKUP(Table5[[#This Row],[Shortname]], Comp[], 6, FALSE)</f>
        <v>151</v>
      </c>
      <c r="J120" s="14">
        <f>VLOOKUP(Table5[[#This Row],[Shortname]], Comp[], 7, FALSE)</f>
        <v>59.1</v>
      </c>
      <c r="K120">
        <f>VLOOKUP(Table5[[#This Row],[Shortname]], Comp[], 8, FALSE)</f>
        <v>19.7</v>
      </c>
      <c r="L120">
        <f>VLOOKUP(Table5[[#This Row],[Shortname]], Comp[], 9, FALSE)</f>
        <v>7.5</v>
      </c>
      <c r="M120">
        <f>VLOOKUP(Table5[[#This Row],[Shortname]], Comp[], 10, FALSE)</f>
        <v>11.1</v>
      </c>
      <c r="N120">
        <f>VLOOKUP(Table5[[#This Row],[Shortname]], Comp[], 11, FALSE)</f>
        <v>0</v>
      </c>
      <c r="O120">
        <f>VLOOKUP(Table5[[#This Row],[Shortname]], Comp[],12, FALSE)</f>
        <v>2.6</v>
      </c>
      <c r="P120">
        <f>VLOOKUP(Table5[[#This Row],[Shortname]], Comp[], 13, FALSE)</f>
        <v>0</v>
      </c>
      <c r="Q120">
        <f>VLOOKUP(Table5[[#This Row],[Shortname]], Comp[], 14, FALSE)</f>
        <v>0</v>
      </c>
      <c r="R120">
        <f>VLOOKUP(Table5[[#This Row],[Shortname]], Comp[], 15, FALSE)</f>
        <v>0</v>
      </c>
      <c r="S120">
        <f>VLOOKUP(Table5[[#This Row],[Shortname]], Comp[], 16, FALSE)</f>
        <v>0</v>
      </c>
      <c r="T120">
        <f>VLOOKUP(Table5[[#This Row],[Shortname]], Comp[], 17, FALSE)</f>
        <v>0</v>
      </c>
      <c r="U120">
        <f>VLOOKUP(Table5[[#This Row],[Shortname]], Comp[], 18, FALSE)</f>
        <v>0</v>
      </c>
      <c r="V120">
        <f>VLOOKUP(Table5[[#This Row],[Shortname]], Comp[], 19, FALSE)</f>
        <v>0</v>
      </c>
      <c r="W120">
        <f>VLOOKUP(Table5[[#This Row],[Shortname]], Comp[], 20, FALSE)</f>
        <v>0</v>
      </c>
      <c r="X120">
        <f>VLOOKUP(Table5[[#This Row],[Shortname]], Comp[], 21, FALSE)</f>
        <v>0</v>
      </c>
      <c r="Y120">
        <f>VLOOKUP(Table5[[#This Row],[Shortname]], Comp[], 22, FALSE)</f>
        <v>0</v>
      </c>
      <c r="Z120">
        <f>VLOOKUP(Table5[[#This Row],[Shortname]], Comp[], 23, FALSE)</f>
        <v>0</v>
      </c>
      <c r="AA120">
        <f>VLOOKUP(Table5[[#This Row],[Shortname]], Comp[], 24, FALSE)</f>
        <v>0</v>
      </c>
      <c r="AB120">
        <f>VLOOKUP(Table5[[#This Row],[Shortname]], Comp[], 25, FALSE)</f>
        <v>0</v>
      </c>
      <c r="AC120">
        <f>VLOOKUP(Table5[[#This Row],[Shortname]], Comp[], 26, FALSE)</f>
        <v>0</v>
      </c>
      <c r="AD120">
        <f>VLOOKUP(Table5[[#This Row],[Shortname]], Comp[], 27, FALSE)</f>
        <v>0</v>
      </c>
      <c r="AE120">
        <f>VLOOKUP(Table5[[#This Row],[Shortname]], Comp[], 28, FALSE)</f>
        <v>0</v>
      </c>
      <c r="AF120">
        <f>VLOOKUP(Table5[[#This Row],[Shortname]], Comp[], 29, FALSE)</f>
        <v>0</v>
      </c>
      <c r="AG120">
        <f>VLOOKUP(Table5[[#This Row],[Shortname]], Comp[], 30, FALSE)</f>
        <v>0</v>
      </c>
      <c r="AH120">
        <f>VLOOKUP(Table5[[#This Row],[Shortname]], Comp[], 31, FALSE)</f>
        <v>0</v>
      </c>
    </row>
    <row r="121" spans="1:34" x14ac:dyDescent="0.3">
      <c r="A121" t="s">
        <v>1203</v>
      </c>
      <c r="B121">
        <v>120</v>
      </c>
      <c r="C121" t="str">
        <f>VLOOKUP(Table5[[#This Row],[Shortname]], [1]!comp[#Data], 2, FALSE)</f>
        <v>W-free</v>
      </c>
      <c r="D121" t="s">
        <v>1205</v>
      </c>
      <c r="E121" t="s">
        <v>6601</v>
      </c>
      <c r="F121">
        <v>899</v>
      </c>
      <c r="G121">
        <v>1311</v>
      </c>
      <c r="H121">
        <v>1401</v>
      </c>
      <c r="I121">
        <f>VLOOKUP(Table5[[#This Row],[Shortname]], Comp[], 6, FALSE)</f>
        <v>153</v>
      </c>
      <c r="J121" s="14">
        <f>VLOOKUP(Table5[[#This Row],[Shortname]], Comp[], 7, FALSE)</f>
        <v>50.6</v>
      </c>
      <c r="K121">
        <f>VLOOKUP(Table5[[#This Row],[Shortname]], Comp[], 8, FALSE)</f>
        <v>17.2</v>
      </c>
      <c r="L121">
        <f>VLOOKUP(Table5[[#This Row],[Shortname]], Comp[], 9, FALSE)</f>
        <v>7.8</v>
      </c>
      <c r="M121">
        <f>VLOOKUP(Table5[[#This Row],[Shortname]], Comp[], 10, FALSE)</f>
        <v>21.8</v>
      </c>
      <c r="N121">
        <f>VLOOKUP(Table5[[#This Row],[Shortname]], Comp[], 11, FALSE)</f>
        <v>0</v>
      </c>
      <c r="O121">
        <f>VLOOKUP(Table5[[#This Row],[Shortname]], Comp[],12, FALSE)</f>
        <v>2.6</v>
      </c>
      <c r="P121">
        <f>VLOOKUP(Table5[[#This Row],[Shortname]], Comp[], 13, FALSE)</f>
        <v>0</v>
      </c>
      <c r="Q121">
        <f>VLOOKUP(Table5[[#This Row],[Shortname]], Comp[], 14, FALSE)</f>
        <v>0</v>
      </c>
      <c r="R121">
        <f>VLOOKUP(Table5[[#This Row],[Shortname]], Comp[], 15, FALSE)</f>
        <v>0</v>
      </c>
      <c r="S121">
        <f>VLOOKUP(Table5[[#This Row],[Shortname]], Comp[], 16, FALSE)</f>
        <v>0</v>
      </c>
      <c r="T121">
        <f>VLOOKUP(Table5[[#This Row],[Shortname]], Comp[], 17, FALSE)</f>
        <v>0</v>
      </c>
      <c r="U121">
        <f>VLOOKUP(Table5[[#This Row],[Shortname]], Comp[], 18, FALSE)</f>
        <v>0</v>
      </c>
      <c r="V121">
        <f>VLOOKUP(Table5[[#This Row],[Shortname]], Comp[], 19, FALSE)</f>
        <v>0</v>
      </c>
      <c r="W121">
        <f>VLOOKUP(Table5[[#This Row],[Shortname]], Comp[], 20, FALSE)</f>
        <v>0</v>
      </c>
      <c r="X121">
        <f>VLOOKUP(Table5[[#This Row],[Shortname]], Comp[], 21, FALSE)</f>
        <v>0</v>
      </c>
      <c r="Y121">
        <f>VLOOKUP(Table5[[#This Row],[Shortname]], Comp[], 22, FALSE)</f>
        <v>0</v>
      </c>
      <c r="Z121">
        <f>VLOOKUP(Table5[[#This Row],[Shortname]], Comp[], 23, FALSE)</f>
        <v>0</v>
      </c>
      <c r="AA121">
        <f>VLOOKUP(Table5[[#This Row],[Shortname]], Comp[], 24, FALSE)</f>
        <v>0</v>
      </c>
      <c r="AB121">
        <f>VLOOKUP(Table5[[#This Row],[Shortname]], Comp[], 25, FALSE)</f>
        <v>0</v>
      </c>
      <c r="AC121">
        <f>VLOOKUP(Table5[[#This Row],[Shortname]], Comp[], 26, FALSE)</f>
        <v>0</v>
      </c>
      <c r="AD121">
        <f>VLOOKUP(Table5[[#This Row],[Shortname]], Comp[], 27, FALSE)</f>
        <v>0</v>
      </c>
      <c r="AE121">
        <f>VLOOKUP(Table5[[#This Row],[Shortname]], Comp[], 28, FALSE)</f>
        <v>0</v>
      </c>
      <c r="AF121">
        <f>VLOOKUP(Table5[[#This Row],[Shortname]], Comp[], 29, FALSE)</f>
        <v>0</v>
      </c>
      <c r="AG121">
        <f>VLOOKUP(Table5[[#This Row],[Shortname]], Comp[], 30, FALSE)</f>
        <v>0</v>
      </c>
      <c r="AH121">
        <f>VLOOKUP(Table5[[#This Row],[Shortname]], Comp[], 31, FALSE)</f>
        <v>0</v>
      </c>
    </row>
    <row r="122" spans="1:34" x14ac:dyDescent="0.3">
      <c r="A122" t="s">
        <v>1221</v>
      </c>
      <c r="B122">
        <v>121</v>
      </c>
      <c r="C122" t="str">
        <f>VLOOKUP(Table5[[#This Row],[Shortname]], [1]!comp[#Data], 2, FALSE)</f>
        <v>CoAlWX+</v>
      </c>
      <c r="D122" t="s">
        <v>1223</v>
      </c>
      <c r="E122" s="4" t="s">
        <v>1224</v>
      </c>
      <c r="F122">
        <v>1225</v>
      </c>
      <c r="G122">
        <v>1337</v>
      </c>
      <c r="H122">
        <v>1399</v>
      </c>
      <c r="I122">
        <f>VLOOKUP(Table5[[#This Row],[Shortname]], Comp[], 6, FALSE)</f>
        <v>155</v>
      </c>
      <c r="J122" s="14">
        <f>VLOOKUP(Table5[[#This Row],[Shortname]], Comp[], 7, FALSE)</f>
        <v>48.1</v>
      </c>
      <c r="K122">
        <f>VLOOKUP(Table5[[#This Row],[Shortname]], Comp[], 8, FALSE)</f>
        <v>29</v>
      </c>
      <c r="L122">
        <f>VLOOKUP(Table5[[#This Row],[Shortname]], Comp[], 9, FALSE)</f>
        <v>12.1</v>
      </c>
      <c r="M122">
        <f>VLOOKUP(Table5[[#This Row],[Shortname]], Comp[], 10, FALSE)</f>
        <v>0</v>
      </c>
      <c r="N122">
        <f>VLOOKUP(Table5[[#This Row],[Shortname]], Comp[], 11, FALSE)</f>
        <v>5.8</v>
      </c>
      <c r="O122">
        <f>VLOOKUP(Table5[[#This Row],[Shortname]], Comp[],12, FALSE)</f>
        <v>2.2400000000000002</v>
      </c>
      <c r="P122">
        <f>VLOOKUP(Table5[[#This Row],[Shortname]], Comp[], 13, FALSE)</f>
        <v>2.66</v>
      </c>
      <c r="Q122">
        <f>VLOOKUP(Table5[[#This Row],[Shortname]], Comp[], 14, FALSE)</f>
        <v>0</v>
      </c>
      <c r="R122">
        <f>VLOOKUP(Table5[[#This Row],[Shortname]], Comp[], 15, FALSE)</f>
        <v>0</v>
      </c>
      <c r="S122">
        <f>VLOOKUP(Table5[[#This Row],[Shortname]], Comp[], 16, FALSE)</f>
        <v>0</v>
      </c>
      <c r="T122">
        <f>VLOOKUP(Table5[[#This Row],[Shortname]], Comp[], 17, FALSE)</f>
        <v>0</v>
      </c>
      <c r="U122">
        <f>VLOOKUP(Table5[[#This Row],[Shortname]], Comp[], 18, FALSE)</f>
        <v>0</v>
      </c>
      <c r="V122">
        <f>VLOOKUP(Table5[[#This Row],[Shortname]], Comp[], 19, FALSE)</f>
        <v>0.1</v>
      </c>
      <c r="W122">
        <f>VLOOKUP(Table5[[#This Row],[Shortname]], Comp[], 20, FALSE)</f>
        <v>0</v>
      </c>
      <c r="X122">
        <f>VLOOKUP(Table5[[#This Row],[Shortname]], Comp[], 21, FALSE)</f>
        <v>0</v>
      </c>
      <c r="Y122">
        <f>VLOOKUP(Table5[[#This Row],[Shortname]], Comp[], 22, FALSE)</f>
        <v>0</v>
      </c>
      <c r="Z122">
        <f>VLOOKUP(Table5[[#This Row],[Shortname]], Comp[], 23, FALSE)</f>
        <v>0</v>
      </c>
      <c r="AA122">
        <f>VLOOKUP(Table5[[#This Row],[Shortname]], Comp[], 24, FALSE)</f>
        <v>0</v>
      </c>
      <c r="AB122">
        <f>VLOOKUP(Table5[[#This Row],[Shortname]], Comp[], 25, FALSE)</f>
        <v>0</v>
      </c>
      <c r="AC122">
        <f>VLOOKUP(Table5[[#This Row],[Shortname]], Comp[], 26, FALSE)</f>
        <v>0</v>
      </c>
      <c r="AD122">
        <f>VLOOKUP(Table5[[#This Row],[Shortname]], Comp[], 27, FALSE)</f>
        <v>0</v>
      </c>
      <c r="AE122">
        <f>VLOOKUP(Table5[[#This Row],[Shortname]], Comp[], 28, FALSE)</f>
        <v>0</v>
      </c>
      <c r="AF122">
        <f>VLOOKUP(Table5[[#This Row],[Shortname]], Comp[], 29, FALSE)</f>
        <v>0</v>
      </c>
      <c r="AG122">
        <f>VLOOKUP(Table5[[#This Row],[Shortname]], Comp[], 30, FALSE)</f>
        <v>0</v>
      </c>
      <c r="AH122">
        <f>VLOOKUP(Table5[[#This Row],[Shortname]], Comp[], 31, FALSE)</f>
        <v>0</v>
      </c>
    </row>
    <row r="123" spans="1:34" x14ac:dyDescent="0.3">
      <c r="A123" t="s">
        <v>1234</v>
      </c>
      <c r="B123">
        <v>122</v>
      </c>
      <c r="C123" t="str">
        <f>VLOOKUP(Table5[[#This Row],[Shortname]], [1]!comp[#Data], 2, FALSE)</f>
        <v>CoAlWX+</v>
      </c>
      <c r="D123" t="s">
        <v>1236</v>
      </c>
      <c r="E123" s="4" t="s">
        <v>1224</v>
      </c>
      <c r="F123">
        <v>1188</v>
      </c>
      <c r="G123">
        <v>1318</v>
      </c>
      <c r="H123">
        <v>1390</v>
      </c>
      <c r="I123">
        <f>VLOOKUP(Table5[[#This Row],[Shortname]], Comp[], 6, FALSE)</f>
        <v>156</v>
      </c>
      <c r="J123" s="14">
        <f>VLOOKUP(Table5[[#This Row],[Shortname]], Comp[], 7, FALSE)</f>
        <v>45.5</v>
      </c>
      <c r="K123">
        <f>VLOOKUP(Table5[[#This Row],[Shortname]], Comp[], 8, FALSE)</f>
        <v>29.2</v>
      </c>
      <c r="L123">
        <f>VLOOKUP(Table5[[#This Row],[Shortname]], Comp[], 9, FALSE)</f>
        <v>11.1</v>
      </c>
      <c r="M123">
        <f>VLOOKUP(Table5[[#This Row],[Shortname]], Comp[], 10, FALSE)</f>
        <v>4.0999999999999996</v>
      </c>
      <c r="N123">
        <f>VLOOKUP(Table5[[#This Row],[Shortname]], Comp[], 11, FALSE)</f>
        <v>5.68</v>
      </c>
      <c r="O123">
        <f>VLOOKUP(Table5[[#This Row],[Shortname]], Comp[],12, FALSE)</f>
        <v>2.04</v>
      </c>
      <c r="P123">
        <f>VLOOKUP(Table5[[#This Row],[Shortname]], Comp[], 13, FALSE)</f>
        <v>2.2799999999999998</v>
      </c>
      <c r="Q123">
        <f>VLOOKUP(Table5[[#This Row],[Shortname]], Comp[], 14, FALSE)</f>
        <v>0</v>
      </c>
      <c r="R123">
        <f>VLOOKUP(Table5[[#This Row],[Shortname]], Comp[], 15, FALSE)</f>
        <v>0</v>
      </c>
      <c r="S123">
        <f>VLOOKUP(Table5[[#This Row],[Shortname]], Comp[], 16, FALSE)</f>
        <v>0</v>
      </c>
      <c r="T123">
        <f>VLOOKUP(Table5[[#This Row],[Shortname]], Comp[], 17, FALSE)</f>
        <v>0</v>
      </c>
      <c r="U123">
        <f>VLOOKUP(Table5[[#This Row],[Shortname]], Comp[], 18, FALSE)</f>
        <v>0</v>
      </c>
      <c r="V123">
        <f>VLOOKUP(Table5[[#This Row],[Shortname]], Comp[], 19, FALSE)</f>
        <v>0.1</v>
      </c>
      <c r="W123">
        <f>VLOOKUP(Table5[[#This Row],[Shortname]], Comp[], 20, FALSE)</f>
        <v>0</v>
      </c>
      <c r="X123">
        <f>VLOOKUP(Table5[[#This Row],[Shortname]], Comp[], 21, FALSE)</f>
        <v>0</v>
      </c>
      <c r="Y123">
        <f>VLOOKUP(Table5[[#This Row],[Shortname]], Comp[], 22, FALSE)</f>
        <v>0</v>
      </c>
      <c r="Z123">
        <f>VLOOKUP(Table5[[#This Row],[Shortname]], Comp[], 23, FALSE)</f>
        <v>0</v>
      </c>
      <c r="AA123">
        <f>VLOOKUP(Table5[[#This Row],[Shortname]], Comp[], 24, FALSE)</f>
        <v>0</v>
      </c>
      <c r="AB123">
        <f>VLOOKUP(Table5[[#This Row],[Shortname]], Comp[], 25, FALSE)</f>
        <v>0</v>
      </c>
      <c r="AC123">
        <f>VLOOKUP(Table5[[#This Row],[Shortname]], Comp[], 26, FALSE)</f>
        <v>0</v>
      </c>
      <c r="AD123">
        <f>VLOOKUP(Table5[[#This Row],[Shortname]], Comp[], 27, FALSE)</f>
        <v>0</v>
      </c>
      <c r="AE123">
        <f>VLOOKUP(Table5[[#This Row],[Shortname]], Comp[], 28, FALSE)</f>
        <v>0</v>
      </c>
      <c r="AF123">
        <f>VLOOKUP(Table5[[#This Row],[Shortname]], Comp[], 29, FALSE)</f>
        <v>0</v>
      </c>
      <c r="AG123">
        <f>VLOOKUP(Table5[[#This Row],[Shortname]], Comp[], 30, FALSE)</f>
        <v>0</v>
      </c>
      <c r="AH123">
        <f>VLOOKUP(Table5[[#This Row],[Shortname]], Comp[], 31, FALSE)</f>
        <v>0</v>
      </c>
    </row>
    <row r="124" spans="1:34" x14ac:dyDescent="0.3">
      <c r="A124" t="s">
        <v>1253</v>
      </c>
      <c r="B124">
        <v>123</v>
      </c>
      <c r="C124" t="str">
        <f>VLOOKUP(Table5[[#This Row],[Shortname]], [1]!comp[#Data], 2, FALSE)</f>
        <v>Co3Ti</v>
      </c>
      <c r="D124" t="s">
        <v>1255</v>
      </c>
      <c r="E124" s="4" t="s">
        <v>1224</v>
      </c>
      <c r="F124">
        <v>1152</v>
      </c>
      <c r="G124">
        <v>1308</v>
      </c>
      <c r="H124">
        <v>1380</v>
      </c>
      <c r="I124">
        <f>VLOOKUP(Table5[[#This Row],[Shortname]], Comp[], 6, FALSE)</f>
        <v>158</v>
      </c>
      <c r="J124" s="14">
        <f>VLOOKUP(Table5[[#This Row],[Shortname]], Comp[], 7, FALSE)</f>
        <v>42.2</v>
      </c>
      <c r="K124">
        <f>VLOOKUP(Table5[[#This Row],[Shortname]], Comp[], 8, FALSE)</f>
        <v>29.5</v>
      </c>
      <c r="L124">
        <f>VLOOKUP(Table5[[#This Row],[Shortname]], Comp[], 9, FALSE)</f>
        <v>10.5</v>
      </c>
      <c r="M124">
        <f>VLOOKUP(Table5[[#This Row],[Shortname]], Comp[], 10, FALSE)</f>
        <v>8.02</v>
      </c>
      <c r="N124">
        <f>VLOOKUP(Table5[[#This Row],[Shortname]], Comp[], 11, FALSE)</f>
        <v>5.14</v>
      </c>
      <c r="O124">
        <f>VLOOKUP(Table5[[#This Row],[Shortname]], Comp[],12, FALSE)</f>
        <v>1.85</v>
      </c>
      <c r="P124">
        <f>VLOOKUP(Table5[[#This Row],[Shortname]], Comp[], 13, FALSE)</f>
        <v>2.69</v>
      </c>
      <c r="Q124">
        <f>VLOOKUP(Table5[[#This Row],[Shortname]], Comp[], 14, FALSE)</f>
        <v>0</v>
      </c>
      <c r="R124">
        <f>VLOOKUP(Table5[[#This Row],[Shortname]], Comp[], 15, FALSE)</f>
        <v>0</v>
      </c>
      <c r="S124">
        <f>VLOOKUP(Table5[[#This Row],[Shortname]], Comp[], 16, FALSE)</f>
        <v>0</v>
      </c>
      <c r="T124">
        <f>VLOOKUP(Table5[[#This Row],[Shortname]], Comp[], 17, FALSE)</f>
        <v>0</v>
      </c>
      <c r="U124">
        <f>VLOOKUP(Table5[[#This Row],[Shortname]], Comp[], 18, FALSE)</f>
        <v>0</v>
      </c>
      <c r="V124">
        <f>VLOOKUP(Table5[[#This Row],[Shortname]], Comp[], 19, FALSE)</f>
        <v>0.1</v>
      </c>
      <c r="W124">
        <f>VLOOKUP(Table5[[#This Row],[Shortname]], Comp[], 20, FALSE)</f>
        <v>0</v>
      </c>
      <c r="X124">
        <f>VLOOKUP(Table5[[#This Row],[Shortname]], Comp[], 21, FALSE)</f>
        <v>0</v>
      </c>
      <c r="Y124">
        <f>VLOOKUP(Table5[[#This Row],[Shortname]], Comp[], 22, FALSE)</f>
        <v>0</v>
      </c>
      <c r="Z124">
        <f>VLOOKUP(Table5[[#This Row],[Shortname]], Comp[], 23, FALSE)</f>
        <v>0</v>
      </c>
      <c r="AA124">
        <f>VLOOKUP(Table5[[#This Row],[Shortname]], Comp[], 24, FALSE)</f>
        <v>0</v>
      </c>
      <c r="AB124">
        <f>VLOOKUP(Table5[[#This Row],[Shortname]], Comp[], 25, FALSE)</f>
        <v>0</v>
      </c>
      <c r="AC124">
        <f>VLOOKUP(Table5[[#This Row],[Shortname]], Comp[], 26, FALSE)</f>
        <v>0</v>
      </c>
      <c r="AD124">
        <f>VLOOKUP(Table5[[#This Row],[Shortname]], Comp[], 27, FALSE)</f>
        <v>0</v>
      </c>
      <c r="AE124">
        <f>VLOOKUP(Table5[[#This Row],[Shortname]], Comp[], 28, FALSE)</f>
        <v>0</v>
      </c>
      <c r="AF124">
        <f>VLOOKUP(Table5[[#This Row],[Shortname]], Comp[], 29, FALSE)</f>
        <v>0</v>
      </c>
      <c r="AG124">
        <f>VLOOKUP(Table5[[#This Row],[Shortname]], Comp[], 30, FALSE)</f>
        <v>0</v>
      </c>
      <c r="AH124">
        <f>VLOOKUP(Table5[[#This Row],[Shortname]], Comp[], 31, FALSE)</f>
        <v>0</v>
      </c>
    </row>
    <row r="125" spans="1:34" x14ac:dyDescent="0.3">
      <c r="A125" t="s">
        <v>1243</v>
      </c>
      <c r="B125">
        <v>124</v>
      </c>
      <c r="C125" t="str">
        <f>VLOOKUP(Table5[[#This Row],[Shortname]], [1]!comp[#Data], 2, FALSE)</f>
        <v>Co3Ti</v>
      </c>
      <c r="D125" t="s">
        <v>1245</v>
      </c>
      <c r="E125" s="4" t="s">
        <v>1224</v>
      </c>
      <c r="F125">
        <v>1118</v>
      </c>
      <c r="G125">
        <v>1299</v>
      </c>
      <c r="H125">
        <v>1368</v>
      </c>
      <c r="I125">
        <f>VLOOKUP(Table5[[#This Row],[Shortname]], Comp[], 6, FALSE)</f>
        <v>157</v>
      </c>
      <c r="J125" s="14">
        <f>VLOOKUP(Table5[[#This Row],[Shortname]], Comp[], 7, FALSE)</f>
        <v>39.15</v>
      </c>
      <c r="K125">
        <f>VLOOKUP(Table5[[#This Row],[Shortname]], Comp[], 8, FALSE)</f>
        <v>28.9</v>
      </c>
      <c r="L125">
        <f>VLOOKUP(Table5[[#This Row],[Shortname]], Comp[], 9, FALSE)</f>
        <v>10.1</v>
      </c>
      <c r="M125">
        <f>VLOOKUP(Table5[[#This Row],[Shortname]], Comp[], 10, FALSE)</f>
        <v>12.5</v>
      </c>
      <c r="N125">
        <f>VLOOKUP(Table5[[#This Row],[Shortname]], Comp[], 11, FALSE)</f>
        <v>5.09</v>
      </c>
      <c r="O125">
        <f>VLOOKUP(Table5[[#This Row],[Shortname]], Comp[],12, FALSE)</f>
        <v>1.86</v>
      </c>
      <c r="P125">
        <f>VLOOKUP(Table5[[#This Row],[Shortname]], Comp[], 13, FALSE)</f>
        <v>2.2999999999999998</v>
      </c>
      <c r="Q125">
        <f>VLOOKUP(Table5[[#This Row],[Shortname]], Comp[], 14, FALSE)</f>
        <v>0</v>
      </c>
      <c r="R125">
        <f>VLOOKUP(Table5[[#This Row],[Shortname]], Comp[], 15, FALSE)</f>
        <v>0</v>
      </c>
      <c r="S125">
        <f>VLOOKUP(Table5[[#This Row],[Shortname]], Comp[], 16, FALSE)</f>
        <v>0</v>
      </c>
      <c r="T125">
        <f>VLOOKUP(Table5[[#This Row],[Shortname]], Comp[], 17, FALSE)</f>
        <v>0</v>
      </c>
      <c r="U125">
        <f>VLOOKUP(Table5[[#This Row],[Shortname]], Comp[], 18, FALSE)</f>
        <v>0</v>
      </c>
      <c r="V125">
        <f>VLOOKUP(Table5[[#This Row],[Shortname]], Comp[], 19, FALSE)</f>
        <v>0.1</v>
      </c>
      <c r="W125">
        <f>VLOOKUP(Table5[[#This Row],[Shortname]], Comp[], 20, FALSE)</f>
        <v>0</v>
      </c>
      <c r="X125">
        <f>VLOOKUP(Table5[[#This Row],[Shortname]], Comp[], 21, FALSE)</f>
        <v>0</v>
      </c>
      <c r="Y125">
        <f>VLOOKUP(Table5[[#This Row],[Shortname]], Comp[], 22, FALSE)</f>
        <v>0</v>
      </c>
      <c r="Z125">
        <f>VLOOKUP(Table5[[#This Row],[Shortname]], Comp[], 23, FALSE)</f>
        <v>0</v>
      </c>
      <c r="AA125">
        <f>VLOOKUP(Table5[[#This Row],[Shortname]], Comp[], 24, FALSE)</f>
        <v>0</v>
      </c>
      <c r="AB125">
        <f>VLOOKUP(Table5[[#This Row],[Shortname]], Comp[], 25, FALSE)</f>
        <v>0</v>
      </c>
      <c r="AC125">
        <f>VLOOKUP(Table5[[#This Row],[Shortname]], Comp[], 26, FALSE)</f>
        <v>0</v>
      </c>
      <c r="AD125">
        <f>VLOOKUP(Table5[[#This Row],[Shortname]], Comp[], 27, FALSE)</f>
        <v>0</v>
      </c>
      <c r="AE125">
        <f>VLOOKUP(Table5[[#This Row],[Shortname]], Comp[], 28, FALSE)</f>
        <v>0</v>
      </c>
      <c r="AF125">
        <f>VLOOKUP(Table5[[#This Row],[Shortname]], Comp[], 29, FALSE)</f>
        <v>0</v>
      </c>
      <c r="AG125">
        <f>VLOOKUP(Table5[[#This Row],[Shortname]], Comp[], 30, FALSE)</f>
        <v>0</v>
      </c>
      <c r="AH125">
        <f>VLOOKUP(Table5[[#This Row],[Shortname]], Comp[], 31, FALSE)</f>
        <v>0</v>
      </c>
    </row>
    <row r="126" spans="1:34" x14ac:dyDescent="0.3">
      <c r="A126" t="s">
        <v>1279</v>
      </c>
      <c r="B126">
        <v>125</v>
      </c>
      <c r="C126" t="str">
        <f>VLOOKUP(Table5[[#This Row],[Shortname]], [1]!comp[#Data], 2, FALSE)</f>
        <v>CoAlWX+</v>
      </c>
      <c r="D126" t="s">
        <v>1281</v>
      </c>
      <c r="E126" s="3" t="s">
        <v>1282</v>
      </c>
      <c r="F126">
        <v>1143</v>
      </c>
      <c r="H126">
        <v>1378</v>
      </c>
      <c r="I126">
        <f>VLOOKUP(Table5[[#This Row],[Shortname]], Comp[], 6, FALSE)</f>
        <v>163</v>
      </c>
      <c r="J126" s="14">
        <f>VLOOKUP(Table5[[#This Row],[Shortname]], Comp[], 7, FALSE)</f>
        <v>29.379999999999995</v>
      </c>
      <c r="K126">
        <f>VLOOKUP(Table5[[#This Row],[Shortname]], Comp[], 8, FALSE)</f>
        <v>40</v>
      </c>
      <c r="L126">
        <f>VLOOKUP(Table5[[#This Row],[Shortname]], Comp[], 9, FALSE)</f>
        <v>10</v>
      </c>
      <c r="M126">
        <f>VLOOKUP(Table5[[#This Row],[Shortname]], Comp[], 10, FALSE)</f>
        <v>10</v>
      </c>
      <c r="N126">
        <f>VLOOKUP(Table5[[#This Row],[Shortname]], Comp[], 11, FALSE)</f>
        <v>7.5</v>
      </c>
      <c r="O126">
        <f>VLOOKUP(Table5[[#This Row],[Shortname]], Comp[],12, FALSE)</f>
        <v>0</v>
      </c>
      <c r="P126">
        <f>VLOOKUP(Table5[[#This Row],[Shortname]], Comp[], 13, FALSE)</f>
        <v>3</v>
      </c>
      <c r="Q126">
        <f>VLOOKUP(Table5[[#This Row],[Shortname]], Comp[], 14, FALSE)</f>
        <v>0</v>
      </c>
      <c r="R126">
        <f>VLOOKUP(Table5[[#This Row],[Shortname]], Comp[], 15, FALSE)</f>
        <v>0</v>
      </c>
      <c r="S126">
        <f>VLOOKUP(Table5[[#This Row],[Shortname]], Comp[], 16, FALSE)</f>
        <v>0</v>
      </c>
      <c r="T126">
        <f>VLOOKUP(Table5[[#This Row],[Shortname]], Comp[], 17, FALSE)</f>
        <v>0.06</v>
      </c>
      <c r="U126">
        <f>VLOOKUP(Table5[[#This Row],[Shortname]], Comp[], 18, FALSE)</f>
        <v>0</v>
      </c>
      <c r="V126">
        <f>VLOOKUP(Table5[[#This Row],[Shortname]], Comp[], 19, FALSE)</f>
        <v>0.06</v>
      </c>
      <c r="W126">
        <f>VLOOKUP(Table5[[#This Row],[Shortname]], Comp[], 20, FALSE)</f>
        <v>0</v>
      </c>
      <c r="X126">
        <f>VLOOKUP(Table5[[#This Row],[Shortname]], Comp[], 21, FALSE)</f>
        <v>0</v>
      </c>
      <c r="Y126">
        <f>VLOOKUP(Table5[[#This Row],[Shortname]], Comp[], 22, FALSE)</f>
        <v>0</v>
      </c>
      <c r="Z126">
        <f>VLOOKUP(Table5[[#This Row],[Shortname]], Comp[], 23, FALSE)</f>
        <v>0</v>
      </c>
      <c r="AA126">
        <f>VLOOKUP(Table5[[#This Row],[Shortname]], Comp[], 24, FALSE)</f>
        <v>0</v>
      </c>
      <c r="AB126">
        <f>VLOOKUP(Table5[[#This Row],[Shortname]], Comp[], 25, FALSE)</f>
        <v>0</v>
      </c>
      <c r="AC126">
        <f>VLOOKUP(Table5[[#This Row],[Shortname]], Comp[], 26, FALSE)</f>
        <v>0</v>
      </c>
      <c r="AD126">
        <f>VLOOKUP(Table5[[#This Row],[Shortname]], Comp[], 27, FALSE)</f>
        <v>0</v>
      </c>
      <c r="AE126">
        <f>VLOOKUP(Table5[[#This Row],[Shortname]], Comp[], 28, FALSE)</f>
        <v>0</v>
      </c>
      <c r="AF126">
        <f>VLOOKUP(Table5[[#This Row],[Shortname]], Comp[], 29, FALSE)</f>
        <v>0</v>
      </c>
      <c r="AG126">
        <f>VLOOKUP(Table5[[#This Row],[Shortname]], Comp[], 30, FALSE)</f>
        <v>0</v>
      </c>
      <c r="AH126">
        <f>VLOOKUP(Table5[[#This Row],[Shortname]], Comp[], 31, FALSE)</f>
        <v>0</v>
      </c>
    </row>
    <row r="127" spans="1:34" x14ac:dyDescent="0.3">
      <c r="A127" t="s">
        <v>1291</v>
      </c>
      <c r="B127">
        <v>126</v>
      </c>
      <c r="C127" t="str">
        <f>VLOOKUP(Table5[[#This Row],[Shortname]], [1]!comp[#Data], 2, FALSE)</f>
        <v>CoAlWX+</v>
      </c>
      <c r="D127" t="s">
        <v>1293</v>
      </c>
      <c r="E127" s="3" t="s">
        <v>1282</v>
      </c>
      <c r="F127">
        <v>1100</v>
      </c>
      <c r="H127">
        <v>1378</v>
      </c>
      <c r="I127">
        <f>VLOOKUP(Table5[[#This Row],[Shortname]], Comp[], 6, FALSE)</f>
        <v>164</v>
      </c>
      <c r="J127" s="14">
        <f>VLOOKUP(Table5[[#This Row],[Shortname]], Comp[], 7, FALSE)</f>
        <v>29.379999999999995</v>
      </c>
      <c r="K127">
        <f>VLOOKUP(Table5[[#This Row],[Shortname]], Comp[], 8, FALSE)</f>
        <v>40</v>
      </c>
      <c r="L127">
        <f>VLOOKUP(Table5[[#This Row],[Shortname]], Comp[], 9, FALSE)</f>
        <v>10</v>
      </c>
      <c r="M127">
        <f>VLOOKUP(Table5[[#This Row],[Shortname]], Comp[], 10, FALSE)</f>
        <v>10</v>
      </c>
      <c r="N127">
        <f>VLOOKUP(Table5[[#This Row],[Shortname]], Comp[], 11, FALSE)</f>
        <v>7.5</v>
      </c>
      <c r="O127">
        <f>VLOOKUP(Table5[[#This Row],[Shortname]], Comp[],12, FALSE)</f>
        <v>0</v>
      </c>
      <c r="P127">
        <f>VLOOKUP(Table5[[#This Row],[Shortname]], Comp[], 13, FALSE)</f>
        <v>0</v>
      </c>
      <c r="Q127">
        <f>VLOOKUP(Table5[[#This Row],[Shortname]], Comp[], 14, FALSE)</f>
        <v>3</v>
      </c>
      <c r="R127">
        <f>VLOOKUP(Table5[[#This Row],[Shortname]], Comp[], 15, FALSE)</f>
        <v>0</v>
      </c>
      <c r="S127">
        <f>VLOOKUP(Table5[[#This Row],[Shortname]], Comp[], 16, FALSE)</f>
        <v>0</v>
      </c>
      <c r="T127">
        <f>VLOOKUP(Table5[[#This Row],[Shortname]], Comp[], 17, FALSE)</f>
        <v>0.06</v>
      </c>
      <c r="U127">
        <f>VLOOKUP(Table5[[#This Row],[Shortname]], Comp[], 18, FALSE)</f>
        <v>0</v>
      </c>
      <c r="V127">
        <f>VLOOKUP(Table5[[#This Row],[Shortname]], Comp[], 19, FALSE)</f>
        <v>0.06</v>
      </c>
      <c r="W127">
        <f>VLOOKUP(Table5[[#This Row],[Shortname]], Comp[], 20, FALSE)</f>
        <v>0</v>
      </c>
      <c r="X127">
        <f>VLOOKUP(Table5[[#This Row],[Shortname]], Comp[], 21, FALSE)</f>
        <v>0</v>
      </c>
      <c r="Y127">
        <f>VLOOKUP(Table5[[#This Row],[Shortname]], Comp[], 22, FALSE)</f>
        <v>0</v>
      </c>
      <c r="Z127">
        <f>VLOOKUP(Table5[[#This Row],[Shortname]], Comp[], 23, FALSE)</f>
        <v>0</v>
      </c>
      <c r="AA127">
        <f>VLOOKUP(Table5[[#This Row],[Shortname]], Comp[], 24, FALSE)</f>
        <v>0</v>
      </c>
      <c r="AB127">
        <f>VLOOKUP(Table5[[#This Row],[Shortname]], Comp[], 25, FALSE)</f>
        <v>0</v>
      </c>
      <c r="AC127">
        <f>VLOOKUP(Table5[[#This Row],[Shortname]], Comp[], 26, FALSE)</f>
        <v>0</v>
      </c>
      <c r="AD127">
        <f>VLOOKUP(Table5[[#This Row],[Shortname]], Comp[], 27, FALSE)</f>
        <v>0</v>
      </c>
      <c r="AE127">
        <f>VLOOKUP(Table5[[#This Row],[Shortname]], Comp[], 28, FALSE)</f>
        <v>0</v>
      </c>
      <c r="AF127">
        <f>VLOOKUP(Table5[[#This Row],[Shortname]], Comp[], 29, FALSE)</f>
        <v>0</v>
      </c>
      <c r="AG127">
        <f>VLOOKUP(Table5[[#This Row],[Shortname]], Comp[], 30, FALSE)</f>
        <v>0</v>
      </c>
      <c r="AH127">
        <f>VLOOKUP(Table5[[#This Row],[Shortname]], Comp[], 31, FALSE)</f>
        <v>0</v>
      </c>
    </row>
    <row r="128" spans="1:34" x14ac:dyDescent="0.3">
      <c r="A128" t="s">
        <v>1298</v>
      </c>
      <c r="B128">
        <v>127</v>
      </c>
      <c r="C128" t="str">
        <f>VLOOKUP(Table5[[#This Row],[Shortname]], [1]!comp[#Data], 2, FALSE)</f>
        <v>CoAlW-X</v>
      </c>
      <c r="D128" t="s">
        <v>1300</v>
      </c>
      <c r="E128" s="3" t="s">
        <v>1301</v>
      </c>
      <c r="F128">
        <v>1100</v>
      </c>
      <c r="G128">
        <v>1419</v>
      </c>
      <c r="H128">
        <v>1427</v>
      </c>
      <c r="I128">
        <f>VLOOKUP(Table5[[#This Row],[Shortname]], Comp[], 6, FALSE)</f>
        <v>165</v>
      </c>
      <c r="J128" s="14">
        <f>VLOOKUP(Table5[[#This Row],[Shortname]], Comp[], 7, FALSE)</f>
        <v>80.06</v>
      </c>
      <c r="K128">
        <f>VLOOKUP(Table5[[#This Row],[Shortname]], Comp[], 8, FALSE)</f>
        <v>0</v>
      </c>
      <c r="L128">
        <f>VLOOKUP(Table5[[#This Row],[Shortname]], Comp[], 9, FALSE)</f>
        <v>6.76</v>
      </c>
      <c r="M128">
        <f>VLOOKUP(Table5[[#This Row],[Shortname]], Comp[], 10, FALSE)</f>
        <v>0</v>
      </c>
      <c r="N128">
        <f>VLOOKUP(Table5[[#This Row],[Shortname]], Comp[], 11, FALSE)</f>
        <v>8.89</v>
      </c>
      <c r="O128">
        <f>VLOOKUP(Table5[[#This Row],[Shortname]], Comp[],12, FALSE)</f>
        <v>0</v>
      </c>
      <c r="P128">
        <f>VLOOKUP(Table5[[#This Row],[Shortname]], Comp[], 13, FALSE)</f>
        <v>0</v>
      </c>
      <c r="Q128">
        <f>VLOOKUP(Table5[[#This Row],[Shortname]], Comp[], 14, FALSE)</f>
        <v>0</v>
      </c>
      <c r="R128">
        <f>VLOOKUP(Table5[[#This Row],[Shortname]], Comp[], 15, FALSE)</f>
        <v>4.29</v>
      </c>
      <c r="S128">
        <f>VLOOKUP(Table5[[#This Row],[Shortname]], Comp[], 16, FALSE)</f>
        <v>0</v>
      </c>
      <c r="T128">
        <f>VLOOKUP(Table5[[#This Row],[Shortname]], Comp[], 17, FALSE)</f>
        <v>0</v>
      </c>
      <c r="U128">
        <f>VLOOKUP(Table5[[#This Row],[Shortname]], Comp[], 18, FALSE)</f>
        <v>0</v>
      </c>
      <c r="V128">
        <f>VLOOKUP(Table5[[#This Row],[Shortname]], Comp[], 19, FALSE)</f>
        <v>0</v>
      </c>
      <c r="W128">
        <f>VLOOKUP(Table5[[#This Row],[Shortname]], Comp[], 20, FALSE)</f>
        <v>0</v>
      </c>
      <c r="X128">
        <f>VLOOKUP(Table5[[#This Row],[Shortname]], Comp[], 21, FALSE)</f>
        <v>0</v>
      </c>
      <c r="Y128">
        <f>VLOOKUP(Table5[[#This Row],[Shortname]], Comp[], 22, FALSE)</f>
        <v>0</v>
      </c>
      <c r="Z128">
        <f>VLOOKUP(Table5[[#This Row],[Shortname]], Comp[], 23, FALSE)</f>
        <v>0</v>
      </c>
      <c r="AA128">
        <f>VLOOKUP(Table5[[#This Row],[Shortname]], Comp[], 24, FALSE)</f>
        <v>0</v>
      </c>
      <c r="AB128">
        <f>VLOOKUP(Table5[[#This Row],[Shortname]], Comp[], 25, FALSE)</f>
        <v>0</v>
      </c>
      <c r="AC128">
        <f>VLOOKUP(Table5[[#This Row],[Shortname]], Comp[], 26, FALSE)</f>
        <v>0</v>
      </c>
      <c r="AD128">
        <f>VLOOKUP(Table5[[#This Row],[Shortname]], Comp[], 27, FALSE)</f>
        <v>0</v>
      </c>
      <c r="AE128">
        <f>VLOOKUP(Table5[[#This Row],[Shortname]], Comp[], 28, FALSE)</f>
        <v>0</v>
      </c>
      <c r="AF128">
        <f>VLOOKUP(Table5[[#This Row],[Shortname]], Comp[], 29, FALSE)</f>
        <v>0</v>
      </c>
      <c r="AG128">
        <f>VLOOKUP(Table5[[#This Row],[Shortname]], Comp[], 30, FALSE)</f>
        <v>0</v>
      </c>
      <c r="AH128">
        <f>VLOOKUP(Table5[[#This Row],[Shortname]], Comp[], 31, FALSE)</f>
        <v>0</v>
      </c>
    </row>
    <row r="129" spans="1:34" x14ac:dyDescent="0.3">
      <c r="A129" t="s">
        <v>1326</v>
      </c>
      <c r="B129">
        <v>128</v>
      </c>
      <c r="C129" t="str">
        <f>VLOOKUP(Table5[[#This Row],[Shortname]], [1]!comp[#Data], 2, FALSE)</f>
        <v>CoAlW-X</v>
      </c>
      <c r="D129" t="s">
        <v>1328</v>
      </c>
      <c r="E129" s="10" t="s">
        <v>1329</v>
      </c>
      <c r="F129">
        <v>1085</v>
      </c>
      <c r="G129">
        <v>1379</v>
      </c>
      <c r="H129">
        <v>1448</v>
      </c>
      <c r="I129">
        <f>VLOOKUP(Table5[[#This Row],[Shortname]], Comp[], 6, FALSE)</f>
        <v>168</v>
      </c>
      <c r="J129" s="14">
        <f>VLOOKUP(Table5[[#This Row],[Shortname]], Comp[], 7, FALSE)</f>
        <v>81.8</v>
      </c>
      <c r="K129">
        <f>VLOOKUP(Table5[[#This Row],[Shortname]], Comp[], 8, FALSE)</f>
        <v>0</v>
      </c>
      <c r="L129">
        <f>VLOOKUP(Table5[[#This Row],[Shortname]], Comp[], 9, FALSE)</f>
        <v>8.75</v>
      </c>
      <c r="M129">
        <f>VLOOKUP(Table5[[#This Row],[Shortname]], Comp[], 10, FALSE)</f>
        <v>0</v>
      </c>
      <c r="N129">
        <f>VLOOKUP(Table5[[#This Row],[Shortname]], Comp[], 11, FALSE)</f>
        <v>7.56</v>
      </c>
      <c r="O129">
        <f>VLOOKUP(Table5[[#This Row],[Shortname]], Comp[],12, FALSE)</f>
        <v>0</v>
      </c>
      <c r="P129">
        <f>VLOOKUP(Table5[[#This Row],[Shortname]], Comp[], 13, FALSE)</f>
        <v>1.89</v>
      </c>
      <c r="Q129">
        <f>VLOOKUP(Table5[[#This Row],[Shortname]], Comp[], 14, FALSE)</f>
        <v>0</v>
      </c>
      <c r="R129">
        <f>VLOOKUP(Table5[[#This Row],[Shortname]], Comp[], 15, FALSE)</f>
        <v>0</v>
      </c>
      <c r="S129">
        <f>VLOOKUP(Table5[[#This Row],[Shortname]], Comp[], 16, FALSE)</f>
        <v>0</v>
      </c>
      <c r="T129">
        <f>VLOOKUP(Table5[[#This Row],[Shortname]], Comp[], 17, FALSE)</f>
        <v>0</v>
      </c>
      <c r="U129">
        <f>VLOOKUP(Table5[[#This Row],[Shortname]], Comp[], 18, FALSE)</f>
        <v>0</v>
      </c>
      <c r="V129">
        <f>VLOOKUP(Table5[[#This Row],[Shortname]], Comp[], 19, FALSE)</f>
        <v>0</v>
      </c>
      <c r="W129">
        <f>VLOOKUP(Table5[[#This Row],[Shortname]], Comp[], 20, FALSE)</f>
        <v>0</v>
      </c>
      <c r="X129">
        <f>VLOOKUP(Table5[[#This Row],[Shortname]], Comp[], 21, FALSE)</f>
        <v>0</v>
      </c>
      <c r="Y129">
        <f>VLOOKUP(Table5[[#This Row],[Shortname]], Comp[], 22, FALSE)</f>
        <v>0</v>
      </c>
      <c r="Z129">
        <f>VLOOKUP(Table5[[#This Row],[Shortname]], Comp[], 23, FALSE)</f>
        <v>0</v>
      </c>
      <c r="AA129">
        <f>VLOOKUP(Table5[[#This Row],[Shortname]], Comp[], 24, FALSE)</f>
        <v>0</v>
      </c>
      <c r="AB129">
        <f>VLOOKUP(Table5[[#This Row],[Shortname]], Comp[], 25, FALSE)</f>
        <v>0</v>
      </c>
      <c r="AC129">
        <f>VLOOKUP(Table5[[#This Row],[Shortname]], Comp[], 26, FALSE)</f>
        <v>0</v>
      </c>
      <c r="AD129">
        <f>VLOOKUP(Table5[[#This Row],[Shortname]], Comp[], 27, FALSE)</f>
        <v>0</v>
      </c>
      <c r="AE129">
        <f>VLOOKUP(Table5[[#This Row],[Shortname]], Comp[], 28, FALSE)</f>
        <v>0</v>
      </c>
      <c r="AF129">
        <f>VLOOKUP(Table5[[#This Row],[Shortname]], Comp[], 29, FALSE)</f>
        <v>0</v>
      </c>
      <c r="AG129">
        <f>VLOOKUP(Table5[[#This Row],[Shortname]], Comp[], 30, FALSE)</f>
        <v>0</v>
      </c>
      <c r="AH129">
        <f>VLOOKUP(Table5[[#This Row],[Shortname]], Comp[], 31, FALSE)</f>
        <v>0</v>
      </c>
    </row>
    <row r="130" spans="1:34" x14ac:dyDescent="0.3">
      <c r="A130" t="s">
        <v>1334</v>
      </c>
      <c r="B130">
        <v>129</v>
      </c>
      <c r="C130" t="str">
        <f>VLOOKUP(Table5[[#This Row],[Shortname]], [1]!comp[#Data], 2, FALSE)</f>
        <v>CoAlWX+</v>
      </c>
      <c r="D130" t="s">
        <v>1336</v>
      </c>
      <c r="E130" s="10" t="s">
        <v>1337</v>
      </c>
      <c r="F130">
        <v>1005</v>
      </c>
      <c r="G130">
        <v>1389</v>
      </c>
      <c r="H130">
        <v>1439</v>
      </c>
      <c r="I130">
        <f>VLOOKUP(Table5[[#This Row],[Shortname]], Comp[], 6, FALSE)</f>
        <v>169</v>
      </c>
      <c r="J130" s="14">
        <f>VLOOKUP(Table5[[#This Row],[Shortname]], Comp[], 7, FALSE)</f>
        <v>49.9</v>
      </c>
      <c r="K130">
        <f>VLOOKUP(Table5[[#This Row],[Shortname]], Comp[], 8, FALSE)</f>
        <v>15.9</v>
      </c>
      <c r="L130">
        <f>VLOOKUP(Table5[[#This Row],[Shortname]], Comp[], 9, FALSE)</f>
        <v>13.6</v>
      </c>
      <c r="M130">
        <f>VLOOKUP(Table5[[#This Row],[Shortname]], Comp[], 10, FALSE)</f>
        <v>0</v>
      </c>
      <c r="N130">
        <f>VLOOKUP(Table5[[#This Row],[Shortname]], Comp[], 11, FALSE)</f>
        <v>19</v>
      </c>
      <c r="O130">
        <f>VLOOKUP(Table5[[#This Row],[Shortname]], Comp[],12, FALSE)</f>
        <v>0</v>
      </c>
      <c r="P130">
        <f>VLOOKUP(Table5[[#This Row],[Shortname]], Comp[], 13, FALSE)</f>
        <v>0.7</v>
      </c>
      <c r="Q130">
        <f>VLOOKUP(Table5[[#This Row],[Shortname]], Comp[], 14, FALSE)</f>
        <v>0</v>
      </c>
      <c r="R130">
        <f>VLOOKUP(Table5[[#This Row],[Shortname]], Comp[], 15, FALSE)</f>
        <v>0</v>
      </c>
      <c r="S130">
        <f>VLOOKUP(Table5[[#This Row],[Shortname]], Comp[], 16, FALSE)</f>
        <v>0.6</v>
      </c>
      <c r="T130">
        <f>VLOOKUP(Table5[[#This Row],[Shortname]], Comp[], 17, FALSE)</f>
        <v>0</v>
      </c>
      <c r="U130">
        <f>VLOOKUP(Table5[[#This Row],[Shortname]], Comp[], 18, FALSE)</f>
        <v>0</v>
      </c>
      <c r="V130">
        <f>VLOOKUP(Table5[[#This Row],[Shortname]], Comp[], 19, FALSE)</f>
        <v>0</v>
      </c>
      <c r="W130">
        <f>VLOOKUP(Table5[[#This Row],[Shortname]], Comp[], 20, FALSE)</f>
        <v>0</v>
      </c>
      <c r="X130">
        <f>VLOOKUP(Table5[[#This Row],[Shortname]], Comp[], 21, FALSE)</f>
        <v>0.3</v>
      </c>
      <c r="Y130">
        <f>VLOOKUP(Table5[[#This Row],[Shortname]], Comp[], 22, FALSE)</f>
        <v>0</v>
      </c>
      <c r="Z130">
        <f>VLOOKUP(Table5[[#This Row],[Shortname]], Comp[], 23, FALSE)</f>
        <v>0</v>
      </c>
      <c r="AA130">
        <f>VLOOKUP(Table5[[#This Row],[Shortname]], Comp[], 24, FALSE)</f>
        <v>0</v>
      </c>
      <c r="AB130">
        <f>VLOOKUP(Table5[[#This Row],[Shortname]], Comp[], 25, FALSE)</f>
        <v>0</v>
      </c>
      <c r="AC130">
        <f>VLOOKUP(Table5[[#This Row],[Shortname]], Comp[], 26, FALSE)</f>
        <v>0</v>
      </c>
      <c r="AD130">
        <f>VLOOKUP(Table5[[#This Row],[Shortname]], Comp[], 27, FALSE)</f>
        <v>0</v>
      </c>
      <c r="AE130">
        <f>VLOOKUP(Table5[[#This Row],[Shortname]], Comp[], 28, FALSE)</f>
        <v>0</v>
      </c>
      <c r="AF130">
        <f>VLOOKUP(Table5[[#This Row],[Shortname]], Comp[], 29, FALSE)</f>
        <v>0</v>
      </c>
      <c r="AG130">
        <f>VLOOKUP(Table5[[#This Row],[Shortname]], Comp[], 30, FALSE)</f>
        <v>0</v>
      </c>
      <c r="AH130">
        <f>VLOOKUP(Table5[[#This Row],[Shortname]], Comp[], 31, FALSE)</f>
        <v>0</v>
      </c>
    </row>
    <row r="131" spans="1:34" x14ac:dyDescent="0.3">
      <c r="A131" t="s">
        <v>1424</v>
      </c>
      <c r="B131">
        <v>130</v>
      </c>
      <c r="C131" t="str">
        <f>VLOOKUP(Table5[[#This Row],[Shortname]], [1]!comp[#Data], 2, FALSE)</f>
        <v>CoAlW-X</v>
      </c>
      <c r="D131" t="s">
        <v>1426</v>
      </c>
      <c r="E131" s="5" t="s">
        <v>1351</v>
      </c>
      <c r="F131">
        <v>1128</v>
      </c>
      <c r="G131">
        <v>1340</v>
      </c>
      <c r="H131">
        <v>1413</v>
      </c>
      <c r="I131">
        <f>VLOOKUP(Table5[[#This Row],[Shortname]], Comp[], 6, FALSE)</f>
        <v>182</v>
      </c>
      <c r="J131" s="14">
        <f>VLOOKUP(Table5[[#This Row],[Shortname]], Comp[], 7, FALSE)</f>
        <v>79</v>
      </c>
      <c r="K131">
        <f>VLOOKUP(Table5[[#This Row],[Shortname]], Comp[], 8, FALSE)</f>
        <v>0</v>
      </c>
      <c r="L131">
        <f>VLOOKUP(Table5[[#This Row],[Shortname]], Comp[], 9, FALSE)</f>
        <v>9</v>
      </c>
      <c r="M131">
        <f>VLOOKUP(Table5[[#This Row],[Shortname]], Comp[], 10, FALSE)</f>
        <v>0</v>
      </c>
      <c r="N131">
        <f>VLOOKUP(Table5[[#This Row],[Shortname]], Comp[], 11, FALSE)</f>
        <v>8</v>
      </c>
      <c r="O131">
        <f>VLOOKUP(Table5[[#This Row],[Shortname]], Comp[],12, FALSE)</f>
        <v>0</v>
      </c>
      <c r="P131">
        <f>VLOOKUP(Table5[[#This Row],[Shortname]], Comp[], 13, FALSE)</f>
        <v>4</v>
      </c>
      <c r="Q131">
        <f>VLOOKUP(Table5[[#This Row],[Shortname]], Comp[], 14, FALSE)</f>
        <v>0</v>
      </c>
      <c r="R131">
        <f>VLOOKUP(Table5[[#This Row],[Shortname]], Comp[], 15, FALSE)</f>
        <v>0</v>
      </c>
      <c r="S131">
        <f>VLOOKUP(Table5[[#This Row],[Shortname]], Comp[], 16, FALSE)</f>
        <v>0</v>
      </c>
      <c r="T131">
        <f>VLOOKUP(Table5[[#This Row],[Shortname]], Comp[], 17, FALSE)</f>
        <v>0</v>
      </c>
      <c r="U131">
        <f>VLOOKUP(Table5[[#This Row],[Shortname]], Comp[], 18, FALSE)</f>
        <v>0</v>
      </c>
      <c r="V131">
        <f>VLOOKUP(Table5[[#This Row],[Shortname]], Comp[], 19, FALSE)</f>
        <v>0</v>
      </c>
      <c r="W131">
        <f>VLOOKUP(Table5[[#This Row],[Shortname]], Comp[], 20, FALSE)</f>
        <v>0</v>
      </c>
      <c r="X131">
        <f>VLOOKUP(Table5[[#This Row],[Shortname]], Comp[], 21, FALSE)</f>
        <v>0</v>
      </c>
      <c r="Y131">
        <f>VLOOKUP(Table5[[#This Row],[Shortname]], Comp[], 22, FALSE)</f>
        <v>0</v>
      </c>
      <c r="Z131">
        <f>VLOOKUP(Table5[[#This Row],[Shortname]], Comp[], 23, FALSE)</f>
        <v>0</v>
      </c>
      <c r="AA131">
        <f>VLOOKUP(Table5[[#This Row],[Shortname]], Comp[], 24, FALSE)</f>
        <v>0</v>
      </c>
      <c r="AB131">
        <f>VLOOKUP(Table5[[#This Row],[Shortname]], Comp[], 25, FALSE)</f>
        <v>0</v>
      </c>
      <c r="AC131">
        <f>VLOOKUP(Table5[[#This Row],[Shortname]], Comp[], 26, FALSE)</f>
        <v>0</v>
      </c>
      <c r="AD131">
        <f>VLOOKUP(Table5[[#This Row],[Shortname]], Comp[], 27, FALSE)</f>
        <v>0</v>
      </c>
      <c r="AE131">
        <f>VLOOKUP(Table5[[#This Row],[Shortname]], Comp[], 28, FALSE)</f>
        <v>0</v>
      </c>
      <c r="AF131">
        <f>VLOOKUP(Table5[[#This Row],[Shortname]], Comp[], 29, FALSE)</f>
        <v>0</v>
      </c>
      <c r="AG131">
        <f>VLOOKUP(Table5[[#This Row],[Shortname]], Comp[], 30, FALSE)</f>
        <v>0</v>
      </c>
      <c r="AH131">
        <f>VLOOKUP(Table5[[#This Row],[Shortname]], Comp[], 31, FALSE)</f>
        <v>0</v>
      </c>
    </row>
    <row r="132" spans="1:34" x14ac:dyDescent="0.3">
      <c r="A132" t="s">
        <v>1388</v>
      </c>
      <c r="B132">
        <v>131</v>
      </c>
      <c r="C132" t="str">
        <f>VLOOKUP(Table5[[#This Row],[Shortname]], [1]!comp[#Data], 2, FALSE)</f>
        <v>CoAlW-X</v>
      </c>
      <c r="D132" t="s">
        <v>1390</v>
      </c>
      <c r="E132" s="5" t="s">
        <v>1351</v>
      </c>
      <c r="F132">
        <v>1128</v>
      </c>
      <c r="G132">
        <v>1351</v>
      </c>
      <c r="H132">
        <v>1407</v>
      </c>
      <c r="I132">
        <f>VLOOKUP(Table5[[#This Row],[Shortname]], Comp[], 6, FALSE)</f>
        <v>176</v>
      </c>
      <c r="J132" s="14">
        <f>VLOOKUP(Table5[[#This Row],[Shortname]], Comp[], 7, FALSE)</f>
        <v>77</v>
      </c>
      <c r="K132">
        <f>VLOOKUP(Table5[[#This Row],[Shortname]], Comp[], 8, FALSE)</f>
        <v>0</v>
      </c>
      <c r="L132">
        <f>VLOOKUP(Table5[[#This Row],[Shortname]], Comp[], 9, FALSE)</f>
        <v>9</v>
      </c>
      <c r="M132">
        <f>VLOOKUP(Table5[[#This Row],[Shortname]], Comp[], 10, FALSE)</f>
        <v>0</v>
      </c>
      <c r="N132">
        <f>VLOOKUP(Table5[[#This Row],[Shortname]], Comp[], 11, FALSE)</f>
        <v>10</v>
      </c>
      <c r="O132">
        <f>VLOOKUP(Table5[[#This Row],[Shortname]], Comp[],12, FALSE)</f>
        <v>0</v>
      </c>
      <c r="P132">
        <f>VLOOKUP(Table5[[#This Row],[Shortname]], Comp[], 13, FALSE)</f>
        <v>4</v>
      </c>
      <c r="Q132">
        <f>VLOOKUP(Table5[[#This Row],[Shortname]], Comp[], 14, FALSE)</f>
        <v>0</v>
      </c>
      <c r="R132">
        <f>VLOOKUP(Table5[[#This Row],[Shortname]], Comp[], 15, FALSE)</f>
        <v>0</v>
      </c>
      <c r="S132">
        <f>VLOOKUP(Table5[[#This Row],[Shortname]], Comp[], 16, FALSE)</f>
        <v>0</v>
      </c>
      <c r="T132">
        <f>VLOOKUP(Table5[[#This Row],[Shortname]], Comp[], 17, FALSE)</f>
        <v>0</v>
      </c>
      <c r="U132">
        <f>VLOOKUP(Table5[[#This Row],[Shortname]], Comp[], 18, FALSE)</f>
        <v>0</v>
      </c>
      <c r="V132">
        <f>VLOOKUP(Table5[[#This Row],[Shortname]], Comp[], 19, FALSE)</f>
        <v>0</v>
      </c>
      <c r="W132">
        <f>VLOOKUP(Table5[[#This Row],[Shortname]], Comp[], 20, FALSE)</f>
        <v>0</v>
      </c>
      <c r="X132">
        <f>VLOOKUP(Table5[[#This Row],[Shortname]], Comp[], 21, FALSE)</f>
        <v>0</v>
      </c>
      <c r="Y132">
        <f>VLOOKUP(Table5[[#This Row],[Shortname]], Comp[], 22, FALSE)</f>
        <v>0</v>
      </c>
      <c r="Z132">
        <f>VLOOKUP(Table5[[#This Row],[Shortname]], Comp[], 23, FALSE)</f>
        <v>0</v>
      </c>
      <c r="AA132">
        <f>VLOOKUP(Table5[[#This Row],[Shortname]], Comp[], 24, FALSE)</f>
        <v>0</v>
      </c>
      <c r="AB132">
        <f>VLOOKUP(Table5[[#This Row],[Shortname]], Comp[], 25, FALSE)</f>
        <v>0</v>
      </c>
      <c r="AC132">
        <f>VLOOKUP(Table5[[#This Row],[Shortname]], Comp[], 26, FALSE)</f>
        <v>0</v>
      </c>
      <c r="AD132">
        <f>VLOOKUP(Table5[[#This Row],[Shortname]], Comp[], 27, FALSE)</f>
        <v>0</v>
      </c>
      <c r="AE132">
        <f>VLOOKUP(Table5[[#This Row],[Shortname]], Comp[], 28, FALSE)</f>
        <v>0</v>
      </c>
      <c r="AF132">
        <f>VLOOKUP(Table5[[#This Row],[Shortname]], Comp[], 29, FALSE)</f>
        <v>0</v>
      </c>
      <c r="AG132">
        <f>VLOOKUP(Table5[[#This Row],[Shortname]], Comp[], 30, FALSE)</f>
        <v>0</v>
      </c>
      <c r="AH132">
        <f>VLOOKUP(Table5[[#This Row],[Shortname]], Comp[], 31, FALSE)</f>
        <v>0</v>
      </c>
    </row>
    <row r="133" spans="1:34" x14ac:dyDescent="0.3">
      <c r="A133" t="s">
        <v>1412</v>
      </c>
      <c r="B133">
        <v>132</v>
      </c>
      <c r="C133" t="str">
        <f>VLOOKUP(Table5[[#This Row],[Shortname]], [1]!comp[#Data], 2, FALSE)</f>
        <v>CoAlW-X</v>
      </c>
      <c r="D133" t="s">
        <v>1414</v>
      </c>
      <c r="E133" s="5" t="s">
        <v>1351</v>
      </c>
      <c r="F133">
        <v>1126</v>
      </c>
      <c r="G133">
        <v>1352</v>
      </c>
      <c r="H133">
        <v>1412</v>
      </c>
      <c r="I133">
        <f>VLOOKUP(Table5[[#This Row],[Shortname]], Comp[], 6, FALSE)</f>
        <v>180</v>
      </c>
      <c r="J133" s="14">
        <f>VLOOKUP(Table5[[#This Row],[Shortname]], Comp[], 7, FALSE)</f>
        <v>79</v>
      </c>
      <c r="K133">
        <f>VLOOKUP(Table5[[#This Row],[Shortname]], Comp[], 8, FALSE)</f>
        <v>0</v>
      </c>
      <c r="L133">
        <f>VLOOKUP(Table5[[#This Row],[Shortname]], Comp[], 9, FALSE)</f>
        <v>7</v>
      </c>
      <c r="M133">
        <f>VLOOKUP(Table5[[#This Row],[Shortname]], Comp[], 10, FALSE)</f>
        <v>0</v>
      </c>
      <c r="N133">
        <f>VLOOKUP(Table5[[#This Row],[Shortname]], Comp[], 11, FALSE)</f>
        <v>10</v>
      </c>
      <c r="O133">
        <f>VLOOKUP(Table5[[#This Row],[Shortname]], Comp[],12, FALSE)</f>
        <v>0</v>
      </c>
      <c r="P133">
        <f>VLOOKUP(Table5[[#This Row],[Shortname]], Comp[], 13, FALSE)</f>
        <v>4</v>
      </c>
      <c r="Q133">
        <f>VLOOKUP(Table5[[#This Row],[Shortname]], Comp[], 14, FALSE)</f>
        <v>0</v>
      </c>
      <c r="R133">
        <f>VLOOKUP(Table5[[#This Row],[Shortname]], Comp[], 15, FALSE)</f>
        <v>0</v>
      </c>
      <c r="S133">
        <f>VLOOKUP(Table5[[#This Row],[Shortname]], Comp[], 16, FALSE)</f>
        <v>0</v>
      </c>
      <c r="T133">
        <f>VLOOKUP(Table5[[#This Row],[Shortname]], Comp[], 17, FALSE)</f>
        <v>0</v>
      </c>
      <c r="U133">
        <f>VLOOKUP(Table5[[#This Row],[Shortname]], Comp[], 18, FALSE)</f>
        <v>0</v>
      </c>
      <c r="V133">
        <f>VLOOKUP(Table5[[#This Row],[Shortname]], Comp[], 19, FALSE)</f>
        <v>0</v>
      </c>
      <c r="W133">
        <f>VLOOKUP(Table5[[#This Row],[Shortname]], Comp[], 20, FALSE)</f>
        <v>0</v>
      </c>
      <c r="X133">
        <f>VLOOKUP(Table5[[#This Row],[Shortname]], Comp[], 21, FALSE)</f>
        <v>0</v>
      </c>
      <c r="Y133">
        <f>VLOOKUP(Table5[[#This Row],[Shortname]], Comp[], 22, FALSE)</f>
        <v>0</v>
      </c>
      <c r="Z133">
        <f>VLOOKUP(Table5[[#This Row],[Shortname]], Comp[], 23, FALSE)</f>
        <v>0</v>
      </c>
      <c r="AA133">
        <f>VLOOKUP(Table5[[#This Row],[Shortname]], Comp[], 24, FALSE)</f>
        <v>0</v>
      </c>
      <c r="AB133">
        <f>VLOOKUP(Table5[[#This Row],[Shortname]], Comp[], 25, FALSE)</f>
        <v>0</v>
      </c>
      <c r="AC133">
        <f>VLOOKUP(Table5[[#This Row],[Shortname]], Comp[], 26, FALSE)</f>
        <v>0</v>
      </c>
      <c r="AD133">
        <f>VLOOKUP(Table5[[#This Row],[Shortname]], Comp[], 27, FALSE)</f>
        <v>0</v>
      </c>
      <c r="AE133">
        <f>VLOOKUP(Table5[[#This Row],[Shortname]], Comp[], 28, FALSE)</f>
        <v>0</v>
      </c>
      <c r="AF133">
        <f>VLOOKUP(Table5[[#This Row],[Shortname]], Comp[], 29, FALSE)</f>
        <v>0</v>
      </c>
      <c r="AG133">
        <f>VLOOKUP(Table5[[#This Row],[Shortname]], Comp[], 30, FALSE)</f>
        <v>0</v>
      </c>
      <c r="AH133">
        <f>VLOOKUP(Table5[[#This Row],[Shortname]], Comp[], 31, FALSE)</f>
        <v>0</v>
      </c>
    </row>
    <row r="134" spans="1:34" x14ac:dyDescent="0.3">
      <c r="A134" t="s">
        <v>1369</v>
      </c>
      <c r="B134">
        <v>133</v>
      </c>
      <c r="C134" t="str">
        <f>VLOOKUP(Table5[[#This Row],[Shortname]], [1]!comp[#Data], 2, FALSE)</f>
        <v>CoAlW-X</v>
      </c>
      <c r="D134" t="s">
        <v>1371</v>
      </c>
      <c r="E134" s="5" t="s">
        <v>1351</v>
      </c>
      <c r="F134">
        <v>1115</v>
      </c>
      <c r="G134">
        <v>1366</v>
      </c>
      <c r="H134">
        <v>1435</v>
      </c>
      <c r="I134">
        <f>VLOOKUP(Table5[[#This Row],[Shortname]], Comp[], 6, FALSE)</f>
        <v>173</v>
      </c>
      <c r="J134" s="14">
        <f>VLOOKUP(Table5[[#This Row],[Shortname]], Comp[], 7, FALSE)</f>
        <v>77</v>
      </c>
      <c r="K134">
        <f>VLOOKUP(Table5[[#This Row],[Shortname]], Comp[], 8, FALSE)</f>
        <v>0</v>
      </c>
      <c r="L134">
        <f>VLOOKUP(Table5[[#This Row],[Shortname]], Comp[], 9, FALSE)</f>
        <v>9</v>
      </c>
      <c r="M134">
        <f>VLOOKUP(Table5[[#This Row],[Shortname]], Comp[], 10, FALSE)</f>
        <v>0</v>
      </c>
      <c r="N134">
        <f>VLOOKUP(Table5[[#This Row],[Shortname]], Comp[], 11, FALSE)</f>
        <v>12</v>
      </c>
      <c r="O134">
        <f>VLOOKUP(Table5[[#This Row],[Shortname]], Comp[],12, FALSE)</f>
        <v>0</v>
      </c>
      <c r="P134">
        <f>VLOOKUP(Table5[[#This Row],[Shortname]], Comp[], 13, FALSE)</f>
        <v>2</v>
      </c>
      <c r="Q134">
        <f>VLOOKUP(Table5[[#This Row],[Shortname]], Comp[], 14, FALSE)</f>
        <v>0</v>
      </c>
      <c r="R134">
        <f>VLOOKUP(Table5[[#This Row],[Shortname]], Comp[], 15, FALSE)</f>
        <v>0</v>
      </c>
      <c r="S134">
        <f>VLOOKUP(Table5[[#This Row],[Shortname]], Comp[], 16, FALSE)</f>
        <v>0</v>
      </c>
      <c r="T134">
        <f>VLOOKUP(Table5[[#This Row],[Shortname]], Comp[], 17, FALSE)</f>
        <v>0</v>
      </c>
      <c r="U134">
        <f>VLOOKUP(Table5[[#This Row],[Shortname]], Comp[], 18, FALSE)</f>
        <v>0</v>
      </c>
      <c r="V134">
        <f>VLOOKUP(Table5[[#This Row],[Shortname]], Comp[], 19, FALSE)</f>
        <v>0</v>
      </c>
      <c r="W134">
        <f>VLOOKUP(Table5[[#This Row],[Shortname]], Comp[], 20, FALSE)</f>
        <v>0</v>
      </c>
      <c r="X134">
        <f>VLOOKUP(Table5[[#This Row],[Shortname]], Comp[], 21, FALSE)</f>
        <v>0</v>
      </c>
      <c r="Y134">
        <f>VLOOKUP(Table5[[#This Row],[Shortname]], Comp[], 22, FALSE)</f>
        <v>0</v>
      </c>
      <c r="Z134">
        <f>VLOOKUP(Table5[[#This Row],[Shortname]], Comp[], 23, FALSE)</f>
        <v>0</v>
      </c>
      <c r="AA134">
        <f>VLOOKUP(Table5[[#This Row],[Shortname]], Comp[], 24, FALSE)</f>
        <v>0</v>
      </c>
      <c r="AB134">
        <f>VLOOKUP(Table5[[#This Row],[Shortname]], Comp[], 25, FALSE)</f>
        <v>0</v>
      </c>
      <c r="AC134">
        <f>VLOOKUP(Table5[[#This Row],[Shortname]], Comp[], 26, FALSE)</f>
        <v>0</v>
      </c>
      <c r="AD134">
        <f>VLOOKUP(Table5[[#This Row],[Shortname]], Comp[], 27, FALSE)</f>
        <v>0</v>
      </c>
      <c r="AE134">
        <f>VLOOKUP(Table5[[#This Row],[Shortname]], Comp[], 28, FALSE)</f>
        <v>0</v>
      </c>
      <c r="AF134">
        <f>VLOOKUP(Table5[[#This Row],[Shortname]], Comp[], 29, FALSE)</f>
        <v>0</v>
      </c>
      <c r="AG134">
        <f>VLOOKUP(Table5[[#This Row],[Shortname]], Comp[], 30, FALSE)</f>
        <v>0</v>
      </c>
      <c r="AH134">
        <f>VLOOKUP(Table5[[#This Row],[Shortname]], Comp[], 31, FALSE)</f>
        <v>0</v>
      </c>
    </row>
    <row r="135" spans="1:34" x14ac:dyDescent="0.3">
      <c r="A135" t="s">
        <v>1348</v>
      </c>
      <c r="B135">
        <v>134</v>
      </c>
      <c r="C135" t="str">
        <f>VLOOKUP(Table5[[#This Row],[Shortname]], [1]!comp[#Data], 2, FALSE)</f>
        <v>CoAlW-X</v>
      </c>
      <c r="D135" t="s">
        <v>1350</v>
      </c>
      <c r="E135" s="5" t="s">
        <v>1351</v>
      </c>
      <c r="F135">
        <v>1114</v>
      </c>
      <c r="G135">
        <v>1380</v>
      </c>
      <c r="H135">
        <v>1444</v>
      </c>
      <c r="I135">
        <f>VLOOKUP(Table5[[#This Row],[Shortname]], Comp[], 6, FALSE)</f>
        <v>170</v>
      </c>
      <c r="J135" s="14">
        <f>VLOOKUP(Table5[[#This Row],[Shortname]], Comp[], 7, FALSE)</f>
        <v>79</v>
      </c>
      <c r="K135">
        <f>VLOOKUP(Table5[[#This Row],[Shortname]], Comp[], 8, FALSE)</f>
        <v>0</v>
      </c>
      <c r="L135">
        <f>VLOOKUP(Table5[[#This Row],[Shortname]], Comp[], 9, FALSE)</f>
        <v>9</v>
      </c>
      <c r="M135">
        <f>VLOOKUP(Table5[[#This Row],[Shortname]], Comp[], 10, FALSE)</f>
        <v>0</v>
      </c>
      <c r="N135">
        <f>VLOOKUP(Table5[[#This Row],[Shortname]], Comp[], 11, FALSE)</f>
        <v>10</v>
      </c>
      <c r="O135">
        <f>VLOOKUP(Table5[[#This Row],[Shortname]], Comp[],12, FALSE)</f>
        <v>0</v>
      </c>
      <c r="P135">
        <f>VLOOKUP(Table5[[#This Row],[Shortname]], Comp[], 13, FALSE)</f>
        <v>2</v>
      </c>
      <c r="Q135">
        <f>VLOOKUP(Table5[[#This Row],[Shortname]], Comp[], 14, FALSE)</f>
        <v>0</v>
      </c>
      <c r="R135">
        <f>VLOOKUP(Table5[[#This Row],[Shortname]], Comp[], 15, FALSE)</f>
        <v>0</v>
      </c>
      <c r="S135">
        <f>VLOOKUP(Table5[[#This Row],[Shortname]], Comp[], 16, FALSE)</f>
        <v>0</v>
      </c>
      <c r="T135">
        <f>VLOOKUP(Table5[[#This Row],[Shortname]], Comp[], 17, FALSE)</f>
        <v>0</v>
      </c>
      <c r="U135">
        <f>VLOOKUP(Table5[[#This Row],[Shortname]], Comp[], 18, FALSE)</f>
        <v>0</v>
      </c>
      <c r="V135">
        <f>VLOOKUP(Table5[[#This Row],[Shortname]], Comp[], 19, FALSE)</f>
        <v>0</v>
      </c>
      <c r="W135">
        <f>VLOOKUP(Table5[[#This Row],[Shortname]], Comp[], 20, FALSE)</f>
        <v>0</v>
      </c>
      <c r="X135">
        <f>VLOOKUP(Table5[[#This Row],[Shortname]], Comp[], 21, FALSE)</f>
        <v>0</v>
      </c>
      <c r="Y135">
        <f>VLOOKUP(Table5[[#This Row],[Shortname]], Comp[], 22, FALSE)</f>
        <v>0</v>
      </c>
      <c r="Z135">
        <f>VLOOKUP(Table5[[#This Row],[Shortname]], Comp[], 23, FALSE)</f>
        <v>0</v>
      </c>
      <c r="AA135">
        <f>VLOOKUP(Table5[[#This Row],[Shortname]], Comp[], 24, FALSE)</f>
        <v>0</v>
      </c>
      <c r="AB135">
        <f>VLOOKUP(Table5[[#This Row],[Shortname]], Comp[], 25, FALSE)</f>
        <v>0</v>
      </c>
      <c r="AC135">
        <f>VLOOKUP(Table5[[#This Row],[Shortname]], Comp[], 26, FALSE)</f>
        <v>0</v>
      </c>
      <c r="AD135">
        <f>VLOOKUP(Table5[[#This Row],[Shortname]], Comp[], 27, FALSE)</f>
        <v>0</v>
      </c>
      <c r="AE135">
        <f>VLOOKUP(Table5[[#This Row],[Shortname]], Comp[], 28, FALSE)</f>
        <v>0</v>
      </c>
      <c r="AF135">
        <f>VLOOKUP(Table5[[#This Row],[Shortname]], Comp[], 29, FALSE)</f>
        <v>0</v>
      </c>
      <c r="AG135">
        <f>VLOOKUP(Table5[[#This Row],[Shortname]], Comp[], 30, FALSE)</f>
        <v>0</v>
      </c>
      <c r="AH135">
        <f>VLOOKUP(Table5[[#This Row],[Shortname]], Comp[], 31, FALSE)</f>
        <v>0</v>
      </c>
    </row>
    <row r="136" spans="1:34" x14ac:dyDescent="0.3">
      <c r="A136" t="s">
        <v>1400</v>
      </c>
      <c r="B136">
        <v>135</v>
      </c>
      <c r="C136" t="str">
        <f>VLOOKUP(Table5[[#This Row],[Shortname]], [1]!comp[#Data], 2, FALSE)</f>
        <v>CoAlW-X</v>
      </c>
      <c r="D136" t="s">
        <v>1402</v>
      </c>
      <c r="E136" s="5" t="s">
        <v>1351</v>
      </c>
      <c r="F136">
        <v>1112</v>
      </c>
      <c r="G136">
        <v>1380</v>
      </c>
      <c r="H136">
        <v>1446</v>
      </c>
      <c r="I136">
        <f>VLOOKUP(Table5[[#This Row],[Shortname]], Comp[], 6, FALSE)</f>
        <v>178</v>
      </c>
      <c r="J136" s="14">
        <f>VLOOKUP(Table5[[#This Row],[Shortname]], Comp[], 7, FALSE)</f>
        <v>79</v>
      </c>
      <c r="K136">
        <f>VLOOKUP(Table5[[#This Row],[Shortname]], Comp[], 8, FALSE)</f>
        <v>0</v>
      </c>
      <c r="L136">
        <f>VLOOKUP(Table5[[#This Row],[Shortname]], Comp[], 9, FALSE)</f>
        <v>7</v>
      </c>
      <c r="M136">
        <f>VLOOKUP(Table5[[#This Row],[Shortname]], Comp[], 10, FALSE)</f>
        <v>0</v>
      </c>
      <c r="N136">
        <f>VLOOKUP(Table5[[#This Row],[Shortname]], Comp[], 11, FALSE)</f>
        <v>12</v>
      </c>
      <c r="O136">
        <f>VLOOKUP(Table5[[#This Row],[Shortname]], Comp[],12, FALSE)</f>
        <v>0</v>
      </c>
      <c r="P136">
        <f>VLOOKUP(Table5[[#This Row],[Shortname]], Comp[], 13, FALSE)</f>
        <v>2</v>
      </c>
      <c r="Q136">
        <f>VLOOKUP(Table5[[#This Row],[Shortname]], Comp[], 14, FALSE)</f>
        <v>0</v>
      </c>
      <c r="R136">
        <f>VLOOKUP(Table5[[#This Row],[Shortname]], Comp[], 15, FALSE)</f>
        <v>0</v>
      </c>
      <c r="S136">
        <f>VLOOKUP(Table5[[#This Row],[Shortname]], Comp[], 16, FALSE)</f>
        <v>0</v>
      </c>
      <c r="T136">
        <f>VLOOKUP(Table5[[#This Row],[Shortname]], Comp[], 17, FALSE)</f>
        <v>0</v>
      </c>
      <c r="U136">
        <f>VLOOKUP(Table5[[#This Row],[Shortname]], Comp[], 18, FALSE)</f>
        <v>0</v>
      </c>
      <c r="V136">
        <f>VLOOKUP(Table5[[#This Row],[Shortname]], Comp[], 19, FALSE)</f>
        <v>0</v>
      </c>
      <c r="W136">
        <f>VLOOKUP(Table5[[#This Row],[Shortname]], Comp[], 20, FALSE)</f>
        <v>0</v>
      </c>
      <c r="X136">
        <f>VLOOKUP(Table5[[#This Row],[Shortname]], Comp[], 21, FALSE)</f>
        <v>0</v>
      </c>
      <c r="Y136">
        <f>VLOOKUP(Table5[[#This Row],[Shortname]], Comp[], 22, FALSE)</f>
        <v>0</v>
      </c>
      <c r="Z136">
        <f>VLOOKUP(Table5[[#This Row],[Shortname]], Comp[], 23, FALSE)</f>
        <v>0</v>
      </c>
      <c r="AA136">
        <f>VLOOKUP(Table5[[#This Row],[Shortname]], Comp[], 24, FALSE)</f>
        <v>0</v>
      </c>
      <c r="AB136">
        <f>VLOOKUP(Table5[[#This Row],[Shortname]], Comp[], 25, FALSE)</f>
        <v>0</v>
      </c>
      <c r="AC136">
        <f>VLOOKUP(Table5[[#This Row],[Shortname]], Comp[], 26, FALSE)</f>
        <v>0</v>
      </c>
      <c r="AD136">
        <f>VLOOKUP(Table5[[#This Row],[Shortname]], Comp[], 27, FALSE)</f>
        <v>0</v>
      </c>
      <c r="AE136">
        <f>VLOOKUP(Table5[[#This Row],[Shortname]], Comp[], 28, FALSE)</f>
        <v>0</v>
      </c>
      <c r="AF136">
        <f>VLOOKUP(Table5[[#This Row],[Shortname]], Comp[], 29, FALSE)</f>
        <v>0</v>
      </c>
      <c r="AG136">
        <f>VLOOKUP(Table5[[#This Row],[Shortname]], Comp[], 30, FALSE)</f>
        <v>0</v>
      </c>
      <c r="AH136">
        <f>VLOOKUP(Table5[[#This Row],[Shortname]], Comp[], 31, FALSE)</f>
        <v>0</v>
      </c>
    </row>
    <row r="137" spans="1:34" x14ac:dyDescent="0.3">
      <c r="A137" t="s">
        <v>1362</v>
      </c>
      <c r="B137">
        <v>136</v>
      </c>
      <c r="C137" t="str">
        <f>VLOOKUP(Table5[[#This Row],[Shortname]], [1]!comp[#Data], 2, FALSE)</f>
        <v>CoAlW-X</v>
      </c>
      <c r="D137" t="s">
        <v>1364</v>
      </c>
      <c r="E137" s="5" t="s">
        <v>1351</v>
      </c>
      <c r="F137">
        <v>1106</v>
      </c>
      <c r="G137">
        <v>1373</v>
      </c>
      <c r="H137">
        <v>1428</v>
      </c>
      <c r="I137">
        <f>VLOOKUP(Table5[[#This Row],[Shortname]], Comp[], 6, FALSE)</f>
        <v>172</v>
      </c>
      <c r="J137" s="14">
        <f>VLOOKUP(Table5[[#This Row],[Shortname]], Comp[], 7, FALSE)</f>
        <v>77</v>
      </c>
      <c r="K137">
        <f>VLOOKUP(Table5[[#This Row],[Shortname]], Comp[], 8, FALSE)</f>
        <v>0</v>
      </c>
      <c r="L137">
        <f>VLOOKUP(Table5[[#This Row],[Shortname]], Comp[], 9, FALSE)</f>
        <v>11</v>
      </c>
      <c r="M137">
        <f>VLOOKUP(Table5[[#This Row],[Shortname]], Comp[], 10, FALSE)</f>
        <v>0</v>
      </c>
      <c r="N137">
        <f>VLOOKUP(Table5[[#This Row],[Shortname]], Comp[], 11, FALSE)</f>
        <v>10</v>
      </c>
      <c r="O137">
        <f>VLOOKUP(Table5[[#This Row],[Shortname]], Comp[],12, FALSE)</f>
        <v>0</v>
      </c>
      <c r="P137">
        <f>VLOOKUP(Table5[[#This Row],[Shortname]], Comp[], 13, FALSE)</f>
        <v>2</v>
      </c>
      <c r="Q137">
        <f>VLOOKUP(Table5[[#This Row],[Shortname]], Comp[], 14, FALSE)</f>
        <v>0</v>
      </c>
      <c r="R137">
        <f>VLOOKUP(Table5[[#This Row],[Shortname]], Comp[], 15, FALSE)</f>
        <v>0</v>
      </c>
      <c r="S137">
        <f>VLOOKUP(Table5[[#This Row],[Shortname]], Comp[], 16, FALSE)</f>
        <v>0</v>
      </c>
      <c r="T137">
        <f>VLOOKUP(Table5[[#This Row],[Shortname]], Comp[], 17, FALSE)</f>
        <v>0</v>
      </c>
      <c r="U137">
        <f>VLOOKUP(Table5[[#This Row],[Shortname]], Comp[], 18, FALSE)</f>
        <v>0</v>
      </c>
      <c r="V137">
        <f>VLOOKUP(Table5[[#This Row],[Shortname]], Comp[], 19, FALSE)</f>
        <v>0</v>
      </c>
      <c r="W137">
        <f>VLOOKUP(Table5[[#This Row],[Shortname]], Comp[], 20, FALSE)</f>
        <v>0</v>
      </c>
      <c r="X137">
        <f>VLOOKUP(Table5[[#This Row],[Shortname]], Comp[], 21, FALSE)</f>
        <v>0</v>
      </c>
      <c r="Y137">
        <f>VLOOKUP(Table5[[#This Row],[Shortname]], Comp[], 22, FALSE)</f>
        <v>0</v>
      </c>
      <c r="Z137">
        <f>VLOOKUP(Table5[[#This Row],[Shortname]], Comp[], 23, FALSE)</f>
        <v>0</v>
      </c>
      <c r="AA137">
        <f>VLOOKUP(Table5[[#This Row],[Shortname]], Comp[], 24, FALSE)</f>
        <v>0</v>
      </c>
      <c r="AB137">
        <f>VLOOKUP(Table5[[#This Row],[Shortname]], Comp[], 25, FALSE)</f>
        <v>0</v>
      </c>
      <c r="AC137">
        <f>VLOOKUP(Table5[[#This Row],[Shortname]], Comp[], 26, FALSE)</f>
        <v>0</v>
      </c>
      <c r="AD137">
        <f>VLOOKUP(Table5[[#This Row],[Shortname]], Comp[], 27, FALSE)</f>
        <v>0</v>
      </c>
      <c r="AE137">
        <f>VLOOKUP(Table5[[#This Row],[Shortname]], Comp[], 28, FALSE)</f>
        <v>0</v>
      </c>
      <c r="AF137">
        <f>VLOOKUP(Table5[[#This Row],[Shortname]], Comp[], 29, FALSE)</f>
        <v>0</v>
      </c>
      <c r="AG137">
        <f>VLOOKUP(Table5[[#This Row],[Shortname]], Comp[], 30, FALSE)</f>
        <v>0</v>
      </c>
      <c r="AH137">
        <f>VLOOKUP(Table5[[#This Row],[Shortname]], Comp[], 31, FALSE)</f>
        <v>0</v>
      </c>
    </row>
    <row r="138" spans="1:34" x14ac:dyDescent="0.3">
      <c r="A138" t="s">
        <v>1394</v>
      </c>
      <c r="B138">
        <v>137</v>
      </c>
      <c r="C138" t="str">
        <f>VLOOKUP(Table5[[#This Row],[Shortname]], [1]!comp[#Data], 2, FALSE)</f>
        <v>CoAlW-X</v>
      </c>
      <c r="D138" t="s">
        <v>1396</v>
      </c>
      <c r="E138" s="5" t="s">
        <v>1351</v>
      </c>
      <c r="F138">
        <v>1104</v>
      </c>
      <c r="G138">
        <v>1365</v>
      </c>
      <c r="H138">
        <v>1435</v>
      </c>
      <c r="I138">
        <f>VLOOKUP(Table5[[#This Row],[Shortname]], Comp[], 6, FALSE)</f>
        <v>177</v>
      </c>
      <c r="J138" s="14">
        <f>VLOOKUP(Table5[[#This Row],[Shortname]], Comp[], 7, FALSE)</f>
        <v>79</v>
      </c>
      <c r="K138">
        <f>VLOOKUP(Table5[[#This Row],[Shortname]], Comp[], 8, FALSE)</f>
        <v>0</v>
      </c>
      <c r="L138">
        <f>VLOOKUP(Table5[[#This Row],[Shortname]], Comp[], 9, FALSE)</f>
        <v>11</v>
      </c>
      <c r="M138">
        <f>VLOOKUP(Table5[[#This Row],[Shortname]], Comp[], 10, FALSE)</f>
        <v>0</v>
      </c>
      <c r="N138">
        <f>VLOOKUP(Table5[[#This Row],[Shortname]], Comp[], 11, FALSE)</f>
        <v>8</v>
      </c>
      <c r="O138">
        <f>VLOOKUP(Table5[[#This Row],[Shortname]], Comp[],12, FALSE)</f>
        <v>0</v>
      </c>
      <c r="P138">
        <f>VLOOKUP(Table5[[#This Row],[Shortname]], Comp[], 13, FALSE)</f>
        <v>2</v>
      </c>
      <c r="Q138">
        <f>VLOOKUP(Table5[[#This Row],[Shortname]], Comp[], 14, FALSE)</f>
        <v>0</v>
      </c>
      <c r="R138">
        <f>VLOOKUP(Table5[[#This Row],[Shortname]], Comp[], 15, FALSE)</f>
        <v>0</v>
      </c>
      <c r="S138">
        <f>VLOOKUP(Table5[[#This Row],[Shortname]], Comp[], 16, FALSE)</f>
        <v>0</v>
      </c>
      <c r="T138">
        <f>VLOOKUP(Table5[[#This Row],[Shortname]], Comp[], 17, FALSE)</f>
        <v>0</v>
      </c>
      <c r="U138">
        <f>VLOOKUP(Table5[[#This Row],[Shortname]], Comp[], 18, FALSE)</f>
        <v>0</v>
      </c>
      <c r="V138">
        <f>VLOOKUP(Table5[[#This Row],[Shortname]], Comp[], 19, FALSE)</f>
        <v>0</v>
      </c>
      <c r="W138">
        <f>VLOOKUP(Table5[[#This Row],[Shortname]], Comp[], 20, FALSE)</f>
        <v>0</v>
      </c>
      <c r="X138">
        <f>VLOOKUP(Table5[[#This Row],[Shortname]], Comp[], 21, FALSE)</f>
        <v>0</v>
      </c>
      <c r="Y138">
        <f>VLOOKUP(Table5[[#This Row],[Shortname]], Comp[], 22, FALSE)</f>
        <v>0</v>
      </c>
      <c r="Z138">
        <f>VLOOKUP(Table5[[#This Row],[Shortname]], Comp[], 23, FALSE)</f>
        <v>0</v>
      </c>
      <c r="AA138">
        <f>VLOOKUP(Table5[[#This Row],[Shortname]], Comp[], 24, FALSE)</f>
        <v>0</v>
      </c>
      <c r="AB138">
        <f>VLOOKUP(Table5[[#This Row],[Shortname]], Comp[], 25, FALSE)</f>
        <v>0</v>
      </c>
      <c r="AC138">
        <f>VLOOKUP(Table5[[#This Row],[Shortname]], Comp[], 26, FALSE)</f>
        <v>0</v>
      </c>
      <c r="AD138">
        <f>VLOOKUP(Table5[[#This Row],[Shortname]], Comp[], 27, FALSE)</f>
        <v>0</v>
      </c>
      <c r="AE138">
        <f>VLOOKUP(Table5[[#This Row],[Shortname]], Comp[], 28, FALSE)</f>
        <v>0</v>
      </c>
      <c r="AF138">
        <f>VLOOKUP(Table5[[#This Row],[Shortname]], Comp[], 29, FALSE)</f>
        <v>0</v>
      </c>
      <c r="AG138">
        <f>VLOOKUP(Table5[[#This Row],[Shortname]], Comp[], 30, FALSE)</f>
        <v>0</v>
      </c>
      <c r="AH138">
        <f>VLOOKUP(Table5[[#This Row],[Shortname]], Comp[], 31, FALSE)</f>
        <v>0</v>
      </c>
    </row>
    <row r="139" spans="1:34" x14ac:dyDescent="0.3">
      <c r="A139" t="s">
        <v>1376</v>
      </c>
      <c r="B139">
        <v>138</v>
      </c>
      <c r="C139" t="str">
        <f>VLOOKUP(Table5[[#This Row],[Shortname]], [1]!comp[#Data], 2, FALSE)</f>
        <v>CoAlW-X</v>
      </c>
      <c r="D139" t="s">
        <v>1377</v>
      </c>
      <c r="E139" s="5" t="s">
        <v>1351</v>
      </c>
      <c r="F139">
        <v>1085</v>
      </c>
      <c r="G139">
        <v>1377</v>
      </c>
      <c r="H139">
        <v>1448</v>
      </c>
      <c r="I139">
        <f>VLOOKUP(Table5[[#This Row],[Shortname]], Comp[], 6, FALSE)</f>
        <v>174</v>
      </c>
      <c r="J139" s="14">
        <f>VLOOKUP(Table5[[#This Row],[Shortname]], Comp[], 7, FALSE)</f>
        <v>81</v>
      </c>
      <c r="K139">
        <f>VLOOKUP(Table5[[#This Row],[Shortname]], Comp[], 8, FALSE)</f>
        <v>0</v>
      </c>
      <c r="L139">
        <f>VLOOKUP(Table5[[#This Row],[Shortname]], Comp[], 9, FALSE)</f>
        <v>9</v>
      </c>
      <c r="M139">
        <f>VLOOKUP(Table5[[#This Row],[Shortname]], Comp[], 10, FALSE)</f>
        <v>0</v>
      </c>
      <c r="N139">
        <f>VLOOKUP(Table5[[#This Row],[Shortname]], Comp[], 11, FALSE)</f>
        <v>8</v>
      </c>
      <c r="O139">
        <f>VLOOKUP(Table5[[#This Row],[Shortname]], Comp[],12, FALSE)</f>
        <v>0</v>
      </c>
      <c r="P139">
        <f>VLOOKUP(Table5[[#This Row],[Shortname]], Comp[], 13, FALSE)</f>
        <v>2</v>
      </c>
      <c r="Q139">
        <f>VLOOKUP(Table5[[#This Row],[Shortname]], Comp[], 14, FALSE)</f>
        <v>0</v>
      </c>
      <c r="R139">
        <f>VLOOKUP(Table5[[#This Row],[Shortname]], Comp[], 15, FALSE)</f>
        <v>0</v>
      </c>
      <c r="S139">
        <f>VLOOKUP(Table5[[#This Row],[Shortname]], Comp[], 16, FALSE)</f>
        <v>0</v>
      </c>
      <c r="T139">
        <f>VLOOKUP(Table5[[#This Row],[Shortname]], Comp[], 17, FALSE)</f>
        <v>0</v>
      </c>
      <c r="U139">
        <f>VLOOKUP(Table5[[#This Row],[Shortname]], Comp[], 18, FALSE)</f>
        <v>0</v>
      </c>
      <c r="V139">
        <f>VLOOKUP(Table5[[#This Row],[Shortname]], Comp[], 19, FALSE)</f>
        <v>0</v>
      </c>
      <c r="W139">
        <f>VLOOKUP(Table5[[#This Row],[Shortname]], Comp[], 20, FALSE)</f>
        <v>0</v>
      </c>
      <c r="X139">
        <f>VLOOKUP(Table5[[#This Row],[Shortname]], Comp[], 21, FALSE)</f>
        <v>0</v>
      </c>
      <c r="Y139">
        <f>VLOOKUP(Table5[[#This Row],[Shortname]], Comp[], 22, FALSE)</f>
        <v>0</v>
      </c>
      <c r="Z139">
        <f>VLOOKUP(Table5[[#This Row],[Shortname]], Comp[], 23, FALSE)</f>
        <v>0</v>
      </c>
      <c r="AA139">
        <f>VLOOKUP(Table5[[#This Row],[Shortname]], Comp[], 24, FALSE)</f>
        <v>0</v>
      </c>
      <c r="AB139">
        <f>VLOOKUP(Table5[[#This Row],[Shortname]], Comp[], 25, FALSE)</f>
        <v>0</v>
      </c>
      <c r="AC139">
        <f>VLOOKUP(Table5[[#This Row],[Shortname]], Comp[], 26, FALSE)</f>
        <v>0</v>
      </c>
      <c r="AD139">
        <f>VLOOKUP(Table5[[#This Row],[Shortname]], Comp[], 27, FALSE)</f>
        <v>0</v>
      </c>
      <c r="AE139">
        <f>VLOOKUP(Table5[[#This Row],[Shortname]], Comp[], 28, FALSE)</f>
        <v>0</v>
      </c>
      <c r="AF139">
        <f>VLOOKUP(Table5[[#This Row],[Shortname]], Comp[], 29, FALSE)</f>
        <v>0</v>
      </c>
      <c r="AG139">
        <f>VLOOKUP(Table5[[#This Row],[Shortname]], Comp[], 30, FALSE)</f>
        <v>0</v>
      </c>
      <c r="AH139">
        <f>VLOOKUP(Table5[[#This Row],[Shortname]], Comp[], 31, FALSE)</f>
        <v>0</v>
      </c>
    </row>
    <row r="140" spans="1:34" x14ac:dyDescent="0.3">
      <c r="A140" t="s">
        <v>1438</v>
      </c>
      <c r="B140">
        <v>139</v>
      </c>
      <c r="C140" t="str">
        <f>VLOOKUP(Table5[[#This Row],[Shortname]], [1]!comp[#Data], 2, FALSE)</f>
        <v>CoAlW-X</v>
      </c>
      <c r="D140" t="s">
        <v>1440</v>
      </c>
      <c r="E140" s="5" t="s">
        <v>1351</v>
      </c>
      <c r="F140">
        <v>1083</v>
      </c>
      <c r="G140">
        <v>1346</v>
      </c>
      <c r="H140">
        <v>1425</v>
      </c>
      <c r="I140">
        <f>VLOOKUP(Table5[[#This Row],[Shortname]], Comp[], 6, FALSE)</f>
        <v>184</v>
      </c>
      <c r="J140" s="14">
        <f>VLOOKUP(Table5[[#This Row],[Shortname]], Comp[], 7, FALSE)</f>
        <v>80.5</v>
      </c>
      <c r="K140">
        <f>VLOOKUP(Table5[[#This Row],[Shortname]], Comp[], 8, FALSE)</f>
        <v>0</v>
      </c>
      <c r="L140">
        <f>VLOOKUP(Table5[[#This Row],[Shortname]], Comp[], 9, FALSE)</f>
        <v>11</v>
      </c>
      <c r="M140">
        <f>VLOOKUP(Table5[[#This Row],[Shortname]], Comp[], 10, FALSE)</f>
        <v>0</v>
      </c>
      <c r="N140">
        <f>VLOOKUP(Table5[[#This Row],[Shortname]], Comp[], 11, FALSE)</f>
        <v>5.9</v>
      </c>
      <c r="O140">
        <f>VLOOKUP(Table5[[#This Row],[Shortname]], Comp[],12, FALSE)</f>
        <v>0</v>
      </c>
      <c r="P140">
        <f>VLOOKUP(Table5[[#This Row],[Shortname]], Comp[], 13, FALSE)</f>
        <v>2.6</v>
      </c>
      <c r="Q140">
        <f>VLOOKUP(Table5[[#This Row],[Shortname]], Comp[], 14, FALSE)</f>
        <v>0</v>
      </c>
      <c r="R140">
        <f>VLOOKUP(Table5[[#This Row],[Shortname]], Comp[], 15, FALSE)</f>
        <v>0</v>
      </c>
      <c r="S140">
        <f>VLOOKUP(Table5[[#This Row],[Shortname]], Comp[], 16, FALSE)</f>
        <v>0</v>
      </c>
      <c r="T140">
        <f>VLOOKUP(Table5[[#This Row],[Shortname]], Comp[], 17, FALSE)</f>
        <v>0</v>
      </c>
      <c r="U140">
        <f>VLOOKUP(Table5[[#This Row],[Shortname]], Comp[], 18, FALSE)</f>
        <v>0</v>
      </c>
      <c r="V140">
        <f>VLOOKUP(Table5[[#This Row],[Shortname]], Comp[], 19, FALSE)</f>
        <v>0</v>
      </c>
      <c r="W140">
        <f>VLOOKUP(Table5[[#This Row],[Shortname]], Comp[], 20, FALSE)</f>
        <v>0</v>
      </c>
      <c r="X140">
        <f>VLOOKUP(Table5[[#This Row],[Shortname]], Comp[], 21, FALSE)</f>
        <v>0</v>
      </c>
      <c r="Y140">
        <f>VLOOKUP(Table5[[#This Row],[Shortname]], Comp[], 22, FALSE)</f>
        <v>0</v>
      </c>
      <c r="Z140">
        <f>VLOOKUP(Table5[[#This Row],[Shortname]], Comp[], 23, FALSE)</f>
        <v>0</v>
      </c>
      <c r="AA140">
        <f>VLOOKUP(Table5[[#This Row],[Shortname]], Comp[], 24, FALSE)</f>
        <v>0</v>
      </c>
      <c r="AB140">
        <f>VLOOKUP(Table5[[#This Row],[Shortname]], Comp[], 25, FALSE)</f>
        <v>0</v>
      </c>
      <c r="AC140">
        <f>VLOOKUP(Table5[[#This Row],[Shortname]], Comp[], 26, FALSE)</f>
        <v>0</v>
      </c>
      <c r="AD140">
        <f>VLOOKUP(Table5[[#This Row],[Shortname]], Comp[], 27, FALSE)</f>
        <v>0</v>
      </c>
      <c r="AE140">
        <f>VLOOKUP(Table5[[#This Row],[Shortname]], Comp[], 28, FALSE)</f>
        <v>0</v>
      </c>
      <c r="AF140">
        <f>VLOOKUP(Table5[[#This Row],[Shortname]], Comp[], 29, FALSE)</f>
        <v>0</v>
      </c>
      <c r="AG140">
        <f>VLOOKUP(Table5[[#This Row],[Shortname]], Comp[], 30, FALSE)</f>
        <v>0</v>
      </c>
      <c r="AH140">
        <f>VLOOKUP(Table5[[#This Row],[Shortname]], Comp[], 31, FALSE)</f>
        <v>0</v>
      </c>
    </row>
    <row r="141" spans="1:34" x14ac:dyDescent="0.3">
      <c r="A141" t="s">
        <v>1418</v>
      </c>
      <c r="B141">
        <v>140</v>
      </c>
      <c r="C141" t="str">
        <f>VLOOKUP(Table5[[#This Row],[Shortname]], [1]!comp[#Data], 2, FALSE)</f>
        <v>CoAlW-X</v>
      </c>
      <c r="D141" t="s">
        <v>1420</v>
      </c>
      <c r="E141" s="5" t="s">
        <v>1351</v>
      </c>
      <c r="F141">
        <v>1080</v>
      </c>
      <c r="G141">
        <v>1439</v>
      </c>
      <c r="H141">
        <v>1474</v>
      </c>
      <c r="I141">
        <f>VLOOKUP(Table5[[#This Row],[Shortname]], Comp[], 6, FALSE)</f>
        <v>181</v>
      </c>
      <c r="J141" s="14">
        <f>VLOOKUP(Table5[[#This Row],[Shortname]], Comp[], 7, FALSE)</f>
        <v>79</v>
      </c>
      <c r="K141">
        <f>VLOOKUP(Table5[[#This Row],[Shortname]], Comp[], 8, FALSE)</f>
        <v>0</v>
      </c>
      <c r="L141">
        <f>VLOOKUP(Table5[[#This Row],[Shortname]], Comp[], 9, FALSE)</f>
        <v>9</v>
      </c>
      <c r="M141">
        <f>VLOOKUP(Table5[[#This Row],[Shortname]], Comp[], 10, FALSE)</f>
        <v>0</v>
      </c>
      <c r="N141">
        <f>VLOOKUP(Table5[[#This Row],[Shortname]], Comp[], 11, FALSE)</f>
        <v>12</v>
      </c>
      <c r="O141">
        <f>VLOOKUP(Table5[[#This Row],[Shortname]], Comp[],12, FALSE)</f>
        <v>0</v>
      </c>
      <c r="P141">
        <f>VLOOKUP(Table5[[#This Row],[Shortname]], Comp[], 13, FALSE)</f>
        <v>0</v>
      </c>
      <c r="Q141">
        <f>VLOOKUP(Table5[[#This Row],[Shortname]], Comp[], 14, FALSE)</f>
        <v>0</v>
      </c>
      <c r="R141">
        <f>VLOOKUP(Table5[[#This Row],[Shortname]], Comp[], 15, FALSE)</f>
        <v>0</v>
      </c>
      <c r="S141">
        <f>VLOOKUP(Table5[[#This Row],[Shortname]], Comp[], 16, FALSE)</f>
        <v>0</v>
      </c>
      <c r="T141">
        <f>VLOOKUP(Table5[[#This Row],[Shortname]], Comp[], 17, FALSE)</f>
        <v>0</v>
      </c>
      <c r="U141">
        <f>VLOOKUP(Table5[[#This Row],[Shortname]], Comp[], 18, FALSE)</f>
        <v>0</v>
      </c>
      <c r="V141">
        <f>VLOOKUP(Table5[[#This Row],[Shortname]], Comp[], 19, FALSE)</f>
        <v>0</v>
      </c>
      <c r="W141">
        <f>VLOOKUP(Table5[[#This Row],[Shortname]], Comp[], 20, FALSE)</f>
        <v>0</v>
      </c>
      <c r="X141">
        <f>VLOOKUP(Table5[[#This Row],[Shortname]], Comp[], 21, FALSE)</f>
        <v>0</v>
      </c>
      <c r="Y141">
        <f>VLOOKUP(Table5[[#This Row],[Shortname]], Comp[], 22, FALSE)</f>
        <v>0</v>
      </c>
      <c r="Z141">
        <f>VLOOKUP(Table5[[#This Row],[Shortname]], Comp[], 23, FALSE)</f>
        <v>0</v>
      </c>
      <c r="AA141">
        <f>VLOOKUP(Table5[[#This Row],[Shortname]], Comp[], 24, FALSE)</f>
        <v>0</v>
      </c>
      <c r="AB141">
        <f>VLOOKUP(Table5[[#This Row],[Shortname]], Comp[], 25, FALSE)</f>
        <v>0</v>
      </c>
      <c r="AC141">
        <f>VLOOKUP(Table5[[#This Row],[Shortname]], Comp[], 26, FALSE)</f>
        <v>0</v>
      </c>
      <c r="AD141">
        <f>VLOOKUP(Table5[[#This Row],[Shortname]], Comp[], 27, FALSE)</f>
        <v>0</v>
      </c>
      <c r="AE141">
        <f>VLOOKUP(Table5[[#This Row],[Shortname]], Comp[], 28, FALSE)</f>
        <v>0</v>
      </c>
      <c r="AF141">
        <f>VLOOKUP(Table5[[#This Row],[Shortname]], Comp[], 29, FALSE)</f>
        <v>0</v>
      </c>
      <c r="AG141">
        <f>VLOOKUP(Table5[[#This Row],[Shortname]], Comp[], 30, FALSE)</f>
        <v>0</v>
      </c>
      <c r="AH141">
        <f>VLOOKUP(Table5[[#This Row],[Shortname]], Comp[], 31, FALSE)</f>
        <v>0</v>
      </c>
    </row>
    <row r="142" spans="1:34" x14ac:dyDescent="0.3">
      <c r="A142" t="s">
        <v>1430</v>
      </c>
      <c r="B142">
        <v>141</v>
      </c>
      <c r="C142" t="str">
        <f>VLOOKUP(Table5[[#This Row],[Shortname]], [1]!comp[#Data], 2, FALSE)</f>
        <v>CoAlW-X</v>
      </c>
      <c r="D142" t="s">
        <v>1432</v>
      </c>
      <c r="E142" s="5" t="s">
        <v>1351</v>
      </c>
      <c r="F142">
        <v>1080</v>
      </c>
      <c r="G142">
        <v>1306</v>
      </c>
      <c r="H142">
        <v>1398</v>
      </c>
      <c r="I142">
        <f>VLOOKUP(Table5[[#This Row],[Shortname]], Comp[], 6, FALSE)</f>
        <v>183</v>
      </c>
      <c r="J142" s="14">
        <f>VLOOKUP(Table5[[#This Row],[Shortname]], Comp[], 7, FALSE)</f>
        <v>79.599999999999994</v>
      </c>
      <c r="K142">
        <f>VLOOKUP(Table5[[#This Row],[Shortname]], Comp[], 8, FALSE)</f>
        <v>0</v>
      </c>
      <c r="L142">
        <f>VLOOKUP(Table5[[#This Row],[Shortname]], Comp[], 9, FALSE)</f>
        <v>13.3</v>
      </c>
      <c r="M142">
        <f>VLOOKUP(Table5[[#This Row],[Shortname]], Comp[], 10, FALSE)</f>
        <v>0</v>
      </c>
      <c r="N142">
        <f>VLOOKUP(Table5[[#This Row],[Shortname]], Comp[], 11, FALSE)</f>
        <v>3.9</v>
      </c>
      <c r="O142">
        <f>VLOOKUP(Table5[[#This Row],[Shortname]], Comp[],12, FALSE)</f>
        <v>0</v>
      </c>
      <c r="P142">
        <f>VLOOKUP(Table5[[#This Row],[Shortname]], Comp[], 13, FALSE)</f>
        <v>3.2</v>
      </c>
      <c r="Q142">
        <f>VLOOKUP(Table5[[#This Row],[Shortname]], Comp[], 14, FALSE)</f>
        <v>0</v>
      </c>
      <c r="R142">
        <f>VLOOKUP(Table5[[#This Row],[Shortname]], Comp[], 15, FALSE)</f>
        <v>0</v>
      </c>
      <c r="S142">
        <f>VLOOKUP(Table5[[#This Row],[Shortname]], Comp[], 16, FALSE)</f>
        <v>0</v>
      </c>
      <c r="T142">
        <f>VLOOKUP(Table5[[#This Row],[Shortname]], Comp[], 17, FALSE)</f>
        <v>0</v>
      </c>
      <c r="U142">
        <f>VLOOKUP(Table5[[#This Row],[Shortname]], Comp[], 18, FALSE)</f>
        <v>0</v>
      </c>
      <c r="V142">
        <f>VLOOKUP(Table5[[#This Row],[Shortname]], Comp[], 19, FALSE)</f>
        <v>0</v>
      </c>
      <c r="W142">
        <f>VLOOKUP(Table5[[#This Row],[Shortname]], Comp[], 20, FALSE)</f>
        <v>0</v>
      </c>
      <c r="X142">
        <f>VLOOKUP(Table5[[#This Row],[Shortname]], Comp[], 21, FALSE)</f>
        <v>0</v>
      </c>
      <c r="Y142">
        <f>VLOOKUP(Table5[[#This Row],[Shortname]], Comp[], 22, FALSE)</f>
        <v>0</v>
      </c>
      <c r="Z142">
        <f>VLOOKUP(Table5[[#This Row],[Shortname]], Comp[], 23, FALSE)</f>
        <v>0</v>
      </c>
      <c r="AA142">
        <f>VLOOKUP(Table5[[#This Row],[Shortname]], Comp[], 24, FALSE)</f>
        <v>0</v>
      </c>
      <c r="AB142">
        <f>VLOOKUP(Table5[[#This Row],[Shortname]], Comp[], 25, FALSE)</f>
        <v>0</v>
      </c>
      <c r="AC142">
        <f>VLOOKUP(Table5[[#This Row],[Shortname]], Comp[], 26, FALSE)</f>
        <v>0</v>
      </c>
      <c r="AD142">
        <f>VLOOKUP(Table5[[#This Row],[Shortname]], Comp[], 27, FALSE)</f>
        <v>0</v>
      </c>
      <c r="AE142">
        <f>VLOOKUP(Table5[[#This Row],[Shortname]], Comp[], 28, FALSE)</f>
        <v>0</v>
      </c>
      <c r="AF142">
        <f>VLOOKUP(Table5[[#This Row],[Shortname]], Comp[], 29, FALSE)</f>
        <v>0</v>
      </c>
      <c r="AG142">
        <f>VLOOKUP(Table5[[#This Row],[Shortname]], Comp[], 30, FALSE)</f>
        <v>0</v>
      </c>
      <c r="AH142">
        <f>VLOOKUP(Table5[[#This Row],[Shortname]], Comp[], 31, FALSE)</f>
        <v>0</v>
      </c>
    </row>
    <row r="143" spans="1:34" x14ac:dyDescent="0.3">
      <c r="A143" t="s">
        <v>1355</v>
      </c>
      <c r="B143">
        <v>142</v>
      </c>
      <c r="C143" t="str">
        <f>VLOOKUP(Table5[[#This Row],[Shortname]], [1]!comp[#Data], 2, FALSE)</f>
        <v>CoAlW-X</v>
      </c>
      <c r="D143" t="s">
        <v>1357</v>
      </c>
      <c r="E143" s="5" t="s">
        <v>1351</v>
      </c>
      <c r="F143">
        <v>1073</v>
      </c>
      <c r="G143">
        <v>1391</v>
      </c>
      <c r="H143">
        <v>1455</v>
      </c>
      <c r="I143">
        <f>VLOOKUP(Table5[[#This Row],[Shortname]], Comp[], 6, FALSE)</f>
        <v>171</v>
      </c>
      <c r="J143" s="14">
        <f>VLOOKUP(Table5[[#This Row],[Shortname]], Comp[], 7, FALSE)</f>
        <v>81</v>
      </c>
      <c r="K143">
        <f>VLOOKUP(Table5[[#This Row],[Shortname]], Comp[], 8, FALSE)</f>
        <v>0</v>
      </c>
      <c r="L143">
        <f>VLOOKUP(Table5[[#This Row],[Shortname]], Comp[], 9, FALSE)</f>
        <v>7</v>
      </c>
      <c r="M143">
        <f>VLOOKUP(Table5[[#This Row],[Shortname]], Comp[], 10, FALSE)</f>
        <v>0</v>
      </c>
      <c r="N143">
        <f>VLOOKUP(Table5[[#This Row],[Shortname]], Comp[], 11, FALSE)</f>
        <v>10</v>
      </c>
      <c r="O143">
        <f>VLOOKUP(Table5[[#This Row],[Shortname]], Comp[],12, FALSE)</f>
        <v>0</v>
      </c>
      <c r="P143">
        <f>VLOOKUP(Table5[[#This Row],[Shortname]], Comp[], 13, FALSE)</f>
        <v>2</v>
      </c>
      <c r="Q143">
        <f>VLOOKUP(Table5[[#This Row],[Shortname]], Comp[], 14, FALSE)</f>
        <v>0</v>
      </c>
      <c r="R143">
        <f>VLOOKUP(Table5[[#This Row],[Shortname]], Comp[], 15, FALSE)</f>
        <v>0</v>
      </c>
      <c r="S143">
        <f>VLOOKUP(Table5[[#This Row],[Shortname]], Comp[], 16, FALSE)</f>
        <v>0</v>
      </c>
      <c r="T143">
        <f>VLOOKUP(Table5[[#This Row],[Shortname]], Comp[], 17, FALSE)</f>
        <v>0</v>
      </c>
      <c r="U143">
        <f>VLOOKUP(Table5[[#This Row],[Shortname]], Comp[], 18, FALSE)</f>
        <v>0</v>
      </c>
      <c r="V143">
        <f>VLOOKUP(Table5[[#This Row],[Shortname]], Comp[], 19, FALSE)</f>
        <v>0</v>
      </c>
      <c r="W143">
        <f>VLOOKUP(Table5[[#This Row],[Shortname]], Comp[], 20, FALSE)</f>
        <v>0</v>
      </c>
      <c r="X143">
        <f>VLOOKUP(Table5[[#This Row],[Shortname]], Comp[], 21, FALSE)</f>
        <v>0</v>
      </c>
      <c r="Y143">
        <f>VLOOKUP(Table5[[#This Row],[Shortname]], Comp[], 22, FALSE)</f>
        <v>0</v>
      </c>
      <c r="Z143">
        <f>VLOOKUP(Table5[[#This Row],[Shortname]], Comp[], 23, FALSE)</f>
        <v>0</v>
      </c>
      <c r="AA143">
        <f>VLOOKUP(Table5[[#This Row],[Shortname]], Comp[], 24, FALSE)</f>
        <v>0</v>
      </c>
      <c r="AB143">
        <f>VLOOKUP(Table5[[#This Row],[Shortname]], Comp[], 25, FALSE)</f>
        <v>0</v>
      </c>
      <c r="AC143">
        <f>VLOOKUP(Table5[[#This Row],[Shortname]], Comp[], 26, FALSE)</f>
        <v>0</v>
      </c>
      <c r="AD143">
        <f>VLOOKUP(Table5[[#This Row],[Shortname]], Comp[], 27, FALSE)</f>
        <v>0</v>
      </c>
      <c r="AE143">
        <f>VLOOKUP(Table5[[#This Row],[Shortname]], Comp[], 28, FALSE)</f>
        <v>0</v>
      </c>
      <c r="AF143">
        <f>VLOOKUP(Table5[[#This Row],[Shortname]], Comp[], 29, FALSE)</f>
        <v>0</v>
      </c>
      <c r="AG143">
        <f>VLOOKUP(Table5[[#This Row],[Shortname]], Comp[], 30, FALSE)</f>
        <v>0</v>
      </c>
      <c r="AH143">
        <f>VLOOKUP(Table5[[#This Row],[Shortname]], Comp[], 31, FALSE)</f>
        <v>0</v>
      </c>
    </row>
    <row r="144" spans="1:34" x14ac:dyDescent="0.3">
      <c r="A144" t="s">
        <v>1406</v>
      </c>
      <c r="B144">
        <v>143</v>
      </c>
      <c r="C144" t="str">
        <f>VLOOKUP(Table5[[#This Row],[Shortname]], [1]!comp[#Data], 2, FALSE)</f>
        <v>CoAlW-X</v>
      </c>
      <c r="D144" t="s">
        <v>1408</v>
      </c>
      <c r="E144" s="5" t="s">
        <v>1351</v>
      </c>
      <c r="F144">
        <v>1055</v>
      </c>
      <c r="G144">
        <v>1437</v>
      </c>
      <c r="H144">
        <v>1467</v>
      </c>
      <c r="I144">
        <f>VLOOKUP(Table5[[#This Row],[Shortname]], Comp[], 6, FALSE)</f>
        <v>179</v>
      </c>
      <c r="J144" s="14">
        <f>VLOOKUP(Table5[[#This Row],[Shortname]], Comp[], 7, FALSE)</f>
        <v>79</v>
      </c>
      <c r="K144">
        <f>VLOOKUP(Table5[[#This Row],[Shortname]], Comp[], 8, FALSE)</f>
        <v>0</v>
      </c>
      <c r="L144">
        <f>VLOOKUP(Table5[[#This Row],[Shortname]], Comp[], 9, FALSE)</f>
        <v>11</v>
      </c>
      <c r="M144">
        <f>VLOOKUP(Table5[[#This Row],[Shortname]], Comp[], 10, FALSE)</f>
        <v>0</v>
      </c>
      <c r="N144">
        <f>VLOOKUP(Table5[[#This Row],[Shortname]], Comp[], 11, FALSE)</f>
        <v>10</v>
      </c>
      <c r="O144">
        <f>VLOOKUP(Table5[[#This Row],[Shortname]], Comp[],12, FALSE)</f>
        <v>0</v>
      </c>
      <c r="P144">
        <f>VLOOKUP(Table5[[#This Row],[Shortname]], Comp[], 13, FALSE)</f>
        <v>0</v>
      </c>
      <c r="Q144">
        <f>VLOOKUP(Table5[[#This Row],[Shortname]], Comp[], 14, FALSE)</f>
        <v>0</v>
      </c>
      <c r="R144">
        <f>VLOOKUP(Table5[[#This Row],[Shortname]], Comp[], 15, FALSE)</f>
        <v>0</v>
      </c>
      <c r="S144">
        <f>VLOOKUP(Table5[[#This Row],[Shortname]], Comp[], 16, FALSE)</f>
        <v>0</v>
      </c>
      <c r="T144">
        <f>VLOOKUP(Table5[[#This Row],[Shortname]], Comp[], 17, FALSE)</f>
        <v>0</v>
      </c>
      <c r="U144">
        <f>VLOOKUP(Table5[[#This Row],[Shortname]], Comp[], 18, FALSE)</f>
        <v>0</v>
      </c>
      <c r="V144">
        <f>VLOOKUP(Table5[[#This Row],[Shortname]], Comp[], 19, FALSE)</f>
        <v>0</v>
      </c>
      <c r="W144">
        <f>VLOOKUP(Table5[[#This Row],[Shortname]], Comp[], 20, FALSE)</f>
        <v>0</v>
      </c>
      <c r="X144">
        <f>VLOOKUP(Table5[[#This Row],[Shortname]], Comp[], 21, FALSE)</f>
        <v>0</v>
      </c>
      <c r="Y144">
        <f>VLOOKUP(Table5[[#This Row],[Shortname]], Comp[], 22, FALSE)</f>
        <v>0</v>
      </c>
      <c r="Z144">
        <f>VLOOKUP(Table5[[#This Row],[Shortname]], Comp[], 23, FALSE)</f>
        <v>0</v>
      </c>
      <c r="AA144">
        <f>VLOOKUP(Table5[[#This Row],[Shortname]], Comp[], 24, FALSE)</f>
        <v>0</v>
      </c>
      <c r="AB144">
        <f>VLOOKUP(Table5[[#This Row],[Shortname]], Comp[], 25, FALSE)</f>
        <v>0</v>
      </c>
      <c r="AC144">
        <f>VLOOKUP(Table5[[#This Row],[Shortname]], Comp[], 26, FALSE)</f>
        <v>0</v>
      </c>
      <c r="AD144">
        <f>VLOOKUP(Table5[[#This Row],[Shortname]], Comp[], 27, FALSE)</f>
        <v>0</v>
      </c>
      <c r="AE144">
        <f>VLOOKUP(Table5[[#This Row],[Shortname]], Comp[], 28, FALSE)</f>
        <v>0</v>
      </c>
      <c r="AF144">
        <f>VLOOKUP(Table5[[#This Row],[Shortname]], Comp[], 29, FALSE)</f>
        <v>0</v>
      </c>
      <c r="AG144">
        <f>VLOOKUP(Table5[[#This Row],[Shortname]], Comp[], 30, FALSE)</f>
        <v>0</v>
      </c>
      <c r="AH144">
        <f>VLOOKUP(Table5[[#This Row],[Shortname]], Comp[], 31, FALSE)</f>
        <v>0</v>
      </c>
    </row>
    <row r="145" spans="1:34" x14ac:dyDescent="0.3">
      <c r="A145" t="s">
        <v>1381</v>
      </c>
      <c r="B145">
        <v>144</v>
      </c>
      <c r="C145" t="str">
        <f>VLOOKUP(Table5[[#This Row],[Shortname]], [1]!comp[#Data], 2, FALSE)</f>
        <v>CoAlW-X</v>
      </c>
      <c r="D145" t="s">
        <v>1383</v>
      </c>
      <c r="E145" s="5" t="s">
        <v>1351</v>
      </c>
      <c r="F145">
        <v>1034</v>
      </c>
      <c r="G145">
        <v>1449</v>
      </c>
      <c r="H145">
        <v>1482</v>
      </c>
      <c r="I145">
        <f>VLOOKUP(Table5[[#This Row],[Shortname]], Comp[], 6, FALSE)</f>
        <v>175</v>
      </c>
      <c r="J145" s="14">
        <f>VLOOKUP(Table5[[#This Row],[Shortname]], Comp[], 7, FALSE)</f>
        <v>81</v>
      </c>
      <c r="K145">
        <f>VLOOKUP(Table5[[#This Row],[Shortname]], Comp[], 8, FALSE)</f>
        <v>0</v>
      </c>
      <c r="L145">
        <f>VLOOKUP(Table5[[#This Row],[Shortname]], Comp[], 9, FALSE)</f>
        <v>9</v>
      </c>
      <c r="M145">
        <f>VLOOKUP(Table5[[#This Row],[Shortname]], Comp[], 10, FALSE)</f>
        <v>0</v>
      </c>
      <c r="N145">
        <f>VLOOKUP(Table5[[#This Row],[Shortname]], Comp[], 11, FALSE)</f>
        <v>10</v>
      </c>
      <c r="O145">
        <f>VLOOKUP(Table5[[#This Row],[Shortname]], Comp[],12, FALSE)</f>
        <v>0</v>
      </c>
      <c r="P145">
        <f>VLOOKUP(Table5[[#This Row],[Shortname]], Comp[], 13, FALSE)</f>
        <v>0</v>
      </c>
      <c r="Q145">
        <f>VLOOKUP(Table5[[#This Row],[Shortname]], Comp[], 14, FALSE)</f>
        <v>0</v>
      </c>
      <c r="R145">
        <f>VLOOKUP(Table5[[#This Row],[Shortname]], Comp[], 15, FALSE)</f>
        <v>0</v>
      </c>
      <c r="S145">
        <f>VLOOKUP(Table5[[#This Row],[Shortname]], Comp[], 16, FALSE)</f>
        <v>0</v>
      </c>
      <c r="T145">
        <f>VLOOKUP(Table5[[#This Row],[Shortname]], Comp[], 17, FALSE)</f>
        <v>0</v>
      </c>
      <c r="U145">
        <f>VLOOKUP(Table5[[#This Row],[Shortname]], Comp[], 18, FALSE)</f>
        <v>0</v>
      </c>
      <c r="V145">
        <f>VLOOKUP(Table5[[#This Row],[Shortname]], Comp[], 19, FALSE)</f>
        <v>0</v>
      </c>
      <c r="W145">
        <f>VLOOKUP(Table5[[#This Row],[Shortname]], Comp[], 20, FALSE)</f>
        <v>0</v>
      </c>
      <c r="X145">
        <f>VLOOKUP(Table5[[#This Row],[Shortname]], Comp[], 21, FALSE)</f>
        <v>0</v>
      </c>
      <c r="Y145">
        <f>VLOOKUP(Table5[[#This Row],[Shortname]], Comp[], 22, FALSE)</f>
        <v>0</v>
      </c>
      <c r="Z145">
        <f>VLOOKUP(Table5[[#This Row],[Shortname]], Comp[], 23, FALSE)</f>
        <v>0</v>
      </c>
      <c r="AA145">
        <f>VLOOKUP(Table5[[#This Row],[Shortname]], Comp[], 24, FALSE)</f>
        <v>0</v>
      </c>
      <c r="AB145">
        <f>VLOOKUP(Table5[[#This Row],[Shortname]], Comp[], 25, FALSE)</f>
        <v>0</v>
      </c>
      <c r="AC145">
        <f>VLOOKUP(Table5[[#This Row],[Shortname]], Comp[], 26, FALSE)</f>
        <v>0</v>
      </c>
      <c r="AD145">
        <f>VLOOKUP(Table5[[#This Row],[Shortname]], Comp[], 27, FALSE)</f>
        <v>0</v>
      </c>
      <c r="AE145">
        <f>VLOOKUP(Table5[[#This Row],[Shortname]], Comp[], 28, FALSE)</f>
        <v>0</v>
      </c>
      <c r="AF145">
        <f>VLOOKUP(Table5[[#This Row],[Shortname]], Comp[], 29, FALSE)</f>
        <v>0</v>
      </c>
      <c r="AG145">
        <f>VLOOKUP(Table5[[#This Row],[Shortname]], Comp[], 30, FALSE)</f>
        <v>0</v>
      </c>
      <c r="AH145">
        <f>VLOOKUP(Table5[[#This Row],[Shortname]], Comp[], 31, FALSE)</f>
        <v>0</v>
      </c>
    </row>
    <row r="146" spans="1:34" x14ac:dyDescent="0.3">
      <c r="A146" t="s">
        <v>1446</v>
      </c>
      <c r="B146">
        <v>145</v>
      </c>
      <c r="C146" t="str">
        <f>VLOOKUP(Table5[[#This Row],[Shortname]], [1]!comp[#Data], 2, FALSE)</f>
        <v>CoAlWX+</v>
      </c>
      <c r="D146" t="s">
        <v>1448</v>
      </c>
      <c r="E146" s="5" t="s">
        <v>1449</v>
      </c>
      <c r="F146">
        <v>1247</v>
      </c>
      <c r="I146">
        <f>VLOOKUP(Table5[[#This Row],[Shortname]], Comp[], 6, FALSE)</f>
        <v>185</v>
      </c>
      <c r="J146" s="14">
        <f>VLOOKUP(Table5[[#This Row],[Shortname]], Comp[], 7, FALSE)</f>
        <v>48.800000000000004</v>
      </c>
      <c r="K146">
        <f>VLOOKUP(Table5[[#This Row],[Shortname]], Comp[], 8, FALSE)</f>
        <v>30.8</v>
      </c>
      <c r="L146">
        <f>VLOOKUP(Table5[[#This Row],[Shortname]], Comp[], 9, FALSE)</f>
        <v>9.5</v>
      </c>
      <c r="M146">
        <f>VLOOKUP(Table5[[#This Row],[Shortname]], Comp[], 10, FALSE)</f>
        <v>0</v>
      </c>
      <c r="N146">
        <f>VLOOKUP(Table5[[#This Row],[Shortname]], Comp[], 11, FALSE)</f>
        <v>4.4000000000000004</v>
      </c>
      <c r="O146">
        <f>VLOOKUP(Table5[[#This Row],[Shortname]], Comp[],12, FALSE)</f>
        <v>3.8</v>
      </c>
      <c r="P146">
        <f>VLOOKUP(Table5[[#This Row],[Shortname]], Comp[], 13, FALSE)</f>
        <v>2.7</v>
      </c>
      <c r="Q146">
        <f>VLOOKUP(Table5[[#This Row],[Shortname]], Comp[], 14, FALSE)</f>
        <v>0</v>
      </c>
      <c r="R146">
        <f>VLOOKUP(Table5[[#This Row],[Shortname]], Comp[], 15, FALSE)</f>
        <v>0</v>
      </c>
      <c r="S146">
        <f>VLOOKUP(Table5[[#This Row],[Shortname]], Comp[], 16, FALSE)</f>
        <v>0</v>
      </c>
      <c r="T146">
        <f>VLOOKUP(Table5[[#This Row],[Shortname]], Comp[], 17, FALSE)</f>
        <v>0</v>
      </c>
      <c r="U146">
        <f>VLOOKUP(Table5[[#This Row],[Shortname]], Comp[], 18, FALSE)</f>
        <v>0</v>
      </c>
      <c r="V146">
        <f>VLOOKUP(Table5[[#This Row],[Shortname]], Comp[], 19, FALSE)</f>
        <v>0</v>
      </c>
      <c r="W146">
        <f>VLOOKUP(Table5[[#This Row],[Shortname]], Comp[], 20, FALSE)</f>
        <v>0</v>
      </c>
      <c r="X146">
        <f>VLOOKUP(Table5[[#This Row],[Shortname]], Comp[], 21, FALSE)</f>
        <v>0</v>
      </c>
      <c r="Y146">
        <f>VLOOKUP(Table5[[#This Row],[Shortname]], Comp[], 22, FALSE)</f>
        <v>0</v>
      </c>
      <c r="Z146">
        <f>VLOOKUP(Table5[[#This Row],[Shortname]], Comp[], 23, FALSE)</f>
        <v>0</v>
      </c>
      <c r="AA146">
        <f>VLOOKUP(Table5[[#This Row],[Shortname]], Comp[], 24, FALSE)</f>
        <v>0</v>
      </c>
      <c r="AB146">
        <f>VLOOKUP(Table5[[#This Row],[Shortname]], Comp[], 25, FALSE)</f>
        <v>0</v>
      </c>
      <c r="AC146">
        <f>VLOOKUP(Table5[[#This Row],[Shortname]], Comp[], 26, FALSE)</f>
        <v>0</v>
      </c>
      <c r="AD146">
        <f>VLOOKUP(Table5[[#This Row],[Shortname]], Comp[], 27, FALSE)</f>
        <v>0</v>
      </c>
      <c r="AE146">
        <f>VLOOKUP(Table5[[#This Row],[Shortname]], Comp[], 28, FALSE)</f>
        <v>0</v>
      </c>
      <c r="AF146">
        <f>VLOOKUP(Table5[[#This Row],[Shortname]], Comp[], 29, FALSE)</f>
        <v>0</v>
      </c>
      <c r="AG146">
        <f>VLOOKUP(Table5[[#This Row],[Shortname]], Comp[], 30, FALSE)</f>
        <v>0</v>
      </c>
      <c r="AH146">
        <f>VLOOKUP(Table5[[#This Row],[Shortname]], Comp[], 31, FALSE)</f>
        <v>0</v>
      </c>
    </row>
    <row r="147" spans="1:34" x14ac:dyDescent="0.3">
      <c r="A147" t="s">
        <v>1456</v>
      </c>
      <c r="B147">
        <v>146</v>
      </c>
      <c r="C147" t="str">
        <f>VLOOKUP(Table5[[#This Row],[Shortname]], [1]!comp[#Data], 2, FALSE)</f>
        <v>CoAlWX+</v>
      </c>
      <c r="D147" t="s">
        <v>1458</v>
      </c>
      <c r="E147" s="3" t="s">
        <v>1459</v>
      </c>
      <c r="F147">
        <v>1236</v>
      </c>
      <c r="I147">
        <f>VLOOKUP(Table5[[#This Row],[Shortname]], Comp[], 6, FALSE)</f>
        <v>186</v>
      </c>
      <c r="J147" s="14">
        <f>VLOOKUP(Table5[[#This Row],[Shortname]], Comp[], 7, FALSE)</f>
        <v>47.5</v>
      </c>
      <c r="K147">
        <f>VLOOKUP(Table5[[#This Row],[Shortname]], Comp[], 8, FALSE)</f>
        <v>31.2</v>
      </c>
      <c r="L147">
        <f>VLOOKUP(Table5[[#This Row],[Shortname]], Comp[], 9, FALSE)</f>
        <v>9.5</v>
      </c>
      <c r="M147">
        <f>VLOOKUP(Table5[[#This Row],[Shortname]], Comp[], 10, FALSE)</f>
        <v>0</v>
      </c>
      <c r="N147">
        <f>VLOOKUP(Table5[[#This Row],[Shortname]], Comp[], 11, FALSE)</f>
        <v>7.2</v>
      </c>
      <c r="O147">
        <f>VLOOKUP(Table5[[#This Row],[Shortname]], Comp[],12, FALSE)</f>
        <v>2.8</v>
      </c>
      <c r="P147">
        <f>VLOOKUP(Table5[[#This Row],[Shortname]], Comp[], 13, FALSE)</f>
        <v>1.8</v>
      </c>
      <c r="Q147">
        <f>VLOOKUP(Table5[[#This Row],[Shortname]], Comp[], 14, FALSE)</f>
        <v>0</v>
      </c>
      <c r="R147">
        <f>VLOOKUP(Table5[[#This Row],[Shortname]], Comp[], 15, FALSE)</f>
        <v>0</v>
      </c>
      <c r="S147">
        <f>VLOOKUP(Table5[[#This Row],[Shortname]], Comp[], 16, FALSE)</f>
        <v>0</v>
      </c>
      <c r="T147">
        <f>VLOOKUP(Table5[[#This Row],[Shortname]], Comp[], 17, FALSE)</f>
        <v>0</v>
      </c>
      <c r="U147">
        <f>VLOOKUP(Table5[[#This Row],[Shortname]], Comp[], 18, FALSE)</f>
        <v>0</v>
      </c>
      <c r="V147">
        <f>VLOOKUP(Table5[[#This Row],[Shortname]], Comp[], 19, FALSE)</f>
        <v>0</v>
      </c>
      <c r="W147">
        <f>VLOOKUP(Table5[[#This Row],[Shortname]], Comp[], 20, FALSE)</f>
        <v>0</v>
      </c>
      <c r="X147">
        <f>VLOOKUP(Table5[[#This Row],[Shortname]], Comp[], 21, FALSE)</f>
        <v>0</v>
      </c>
      <c r="Y147">
        <f>VLOOKUP(Table5[[#This Row],[Shortname]], Comp[], 22, FALSE)</f>
        <v>0</v>
      </c>
      <c r="Z147">
        <f>VLOOKUP(Table5[[#This Row],[Shortname]], Comp[], 23, FALSE)</f>
        <v>0</v>
      </c>
      <c r="AA147">
        <f>VLOOKUP(Table5[[#This Row],[Shortname]], Comp[], 24, FALSE)</f>
        <v>0</v>
      </c>
      <c r="AB147">
        <f>VLOOKUP(Table5[[#This Row],[Shortname]], Comp[], 25, FALSE)</f>
        <v>0</v>
      </c>
      <c r="AC147">
        <f>VLOOKUP(Table5[[#This Row],[Shortname]], Comp[], 26, FALSE)</f>
        <v>0</v>
      </c>
      <c r="AD147">
        <f>VLOOKUP(Table5[[#This Row],[Shortname]], Comp[], 27, FALSE)</f>
        <v>0</v>
      </c>
      <c r="AE147">
        <f>VLOOKUP(Table5[[#This Row],[Shortname]], Comp[], 28, FALSE)</f>
        <v>0</v>
      </c>
      <c r="AF147">
        <f>VLOOKUP(Table5[[#This Row],[Shortname]], Comp[], 29, FALSE)</f>
        <v>0</v>
      </c>
      <c r="AG147">
        <f>VLOOKUP(Table5[[#This Row],[Shortname]], Comp[], 30, FALSE)</f>
        <v>0</v>
      </c>
      <c r="AH147">
        <f>VLOOKUP(Table5[[#This Row],[Shortname]], Comp[], 31, FALSE)</f>
        <v>0</v>
      </c>
    </row>
    <row r="148" spans="1:34" x14ac:dyDescent="0.3">
      <c r="A148" t="s">
        <v>1465</v>
      </c>
      <c r="B148">
        <v>147</v>
      </c>
      <c r="C148" t="str">
        <f>VLOOKUP(Table5[[#This Row],[Shortname]], [1]!comp[#Data], 2, FALSE)</f>
        <v>CoAlW-X</v>
      </c>
      <c r="D148" t="s">
        <v>1467</v>
      </c>
      <c r="E148" s="3" t="s">
        <v>1459</v>
      </c>
      <c r="F148">
        <v>1049</v>
      </c>
      <c r="I148">
        <f>VLOOKUP(Table5[[#This Row],[Shortname]], Comp[], 6, FALSE)</f>
        <v>187</v>
      </c>
      <c r="J148" s="14">
        <f>VLOOKUP(Table5[[#This Row],[Shortname]], Comp[], 7, FALSE)</f>
        <v>52.8</v>
      </c>
      <c r="K148">
        <f>VLOOKUP(Table5[[#This Row],[Shortname]], Comp[], 8, FALSE)</f>
        <v>30.5</v>
      </c>
      <c r="L148">
        <f>VLOOKUP(Table5[[#This Row],[Shortname]], Comp[], 9, FALSE)</f>
        <v>9.6</v>
      </c>
      <c r="M148">
        <f>VLOOKUP(Table5[[#This Row],[Shortname]], Comp[], 10, FALSE)</f>
        <v>0</v>
      </c>
      <c r="N148">
        <f>VLOOKUP(Table5[[#This Row],[Shortname]], Comp[], 11, FALSE)</f>
        <v>7.1</v>
      </c>
      <c r="O148">
        <f>VLOOKUP(Table5[[#This Row],[Shortname]], Comp[],12, FALSE)</f>
        <v>0</v>
      </c>
      <c r="P148">
        <f>VLOOKUP(Table5[[#This Row],[Shortname]], Comp[], 13, FALSE)</f>
        <v>0</v>
      </c>
      <c r="Q148">
        <f>VLOOKUP(Table5[[#This Row],[Shortname]], Comp[], 14, FALSE)</f>
        <v>0</v>
      </c>
      <c r="R148">
        <f>VLOOKUP(Table5[[#This Row],[Shortname]], Comp[], 15, FALSE)</f>
        <v>0</v>
      </c>
      <c r="S148">
        <f>VLOOKUP(Table5[[#This Row],[Shortname]], Comp[], 16, FALSE)</f>
        <v>0</v>
      </c>
      <c r="T148">
        <f>VLOOKUP(Table5[[#This Row],[Shortname]], Comp[], 17, FALSE)</f>
        <v>0</v>
      </c>
      <c r="U148">
        <f>VLOOKUP(Table5[[#This Row],[Shortname]], Comp[], 18, FALSE)</f>
        <v>0</v>
      </c>
      <c r="V148">
        <f>VLOOKUP(Table5[[#This Row],[Shortname]], Comp[], 19, FALSE)</f>
        <v>0</v>
      </c>
      <c r="W148">
        <f>VLOOKUP(Table5[[#This Row],[Shortname]], Comp[], 20, FALSE)</f>
        <v>0</v>
      </c>
      <c r="X148">
        <f>VLOOKUP(Table5[[#This Row],[Shortname]], Comp[], 21, FALSE)</f>
        <v>0</v>
      </c>
      <c r="Y148">
        <f>VLOOKUP(Table5[[#This Row],[Shortname]], Comp[], 22, FALSE)</f>
        <v>0</v>
      </c>
      <c r="Z148">
        <f>VLOOKUP(Table5[[#This Row],[Shortname]], Comp[], 23, FALSE)</f>
        <v>0</v>
      </c>
      <c r="AA148">
        <f>VLOOKUP(Table5[[#This Row],[Shortname]], Comp[], 24, FALSE)</f>
        <v>0</v>
      </c>
      <c r="AB148">
        <f>VLOOKUP(Table5[[#This Row],[Shortname]], Comp[], 25, FALSE)</f>
        <v>0</v>
      </c>
      <c r="AC148">
        <f>VLOOKUP(Table5[[#This Row],[Shortname]], Comp[], 26, FALSE)</f>
        <v>0</v>
      </c>
      <c r="AD148">
        <f>VLOOKUP(Table5[[#This Row],[Shortname]], Comp[], 27, FALSE)</f>
        <v>0</v>
      </c>
      <c r="AE148">
        <f>VLOOKUP(Table5[[#This Row],[Shortname]], Comp[], 28, FALSE)</f>
        <v>0</v>
      </c>
      <c r="AF148">
        <f>VLOOKUP(Table5[[#This Row],[Shortname]], Comp[], 29, FALSE)</f>
        <v>0</v>
      </c>
      <c r="AG148">
        <f>VLOOKUP(Table5[[#This Row],[Shortname]], Comp[], 30, FALSE)</f>
        <v>0</v>
      </c>
      <c r="AH148">
        <f>VLOOKUP(Table5[[#This Row],[Shortname]], Comp[], 31, FALSE)</f>
        <v>0</v>
      </c>
    </row>
    <row r="149" spans="1:34" x14ac:dyDescent="0.3">
      <c r="A149" t="s">
        <v>1510</v>
      </c>
      <c r="B149">
        <v>148</v>
      </c>
      <c r="C149" t="str">
        <f>VLOOKUP(Table5[[#This Row],[Shortname]], [1]!comp[#Data], 2, FALSE)</f>
        <v>CoAlWX+</v>
      </c>
      <c r="D149" t="s">
        <v>1512</v>
      </c>
      <c r="E149" s="6" t="s">
        <v>1513</v>
      </c>
      <c r="F149">
        <v>712</v>
      </c>
      <c r="G149">
        <v>1100</v>
      </c>
      <c r="H149">
        <v>1372</v>
      </c>
      <c r="I149">
        <f>VLOOKUP(Table5[[#This Row],[Shortname]], Comp[], 6, FALSE)</f>
        <v>193</v>
      </c>
      <c r="J149" s="14">
        <f>VLOOKUP(Table5[[#This Row],[Shortname]], Comp[], 7, FALSE)</f>
        <v>75.489999999999995</v>
      </c>
      <c r="K149">
        <f>VLOOKUP(Table5[[#This Row],[Shortname]], Comp[], 8, FALSE)</f>
        <v>0</v>
      </c>
      <c r="L149">
        <f>VLOOKUP(Table5[[#This Row],[Shortname]], Comp[], 9, FALSE)</f>
        <v>11.65</v>
      </c>
      <c r="M149">
        <f>VLOOKUP(Table5[[#This Row],[Shortname]], Comp[], 10, FALSE)</f>
        <v>0</v>
      </c>
      <c r="N149">
        <f>VLOOKUP(Table5[[#This Row],[Shortname]], Comp[], 11, FALSE)</f>
        <v>9.0299999999999994</v>
      </c>
      <c r="O149">
        <f>VLOOKUP(Table5[[#This Row],[Shortname]], Comp[],12, FALSE)</f>
        <v>2.14</v>
      </c>
      <c r="P149">
        <f>VLOOKUP(Table5[[#This Row],[Shortname]], Comp[], 13, FALSE)</f>
        <v>1.69</v>
      </c>
      <c r="Q149">
        <f>VLOOKUP(Table5[[#This Row],[Shortname]], Comp[], 14, FALSE)</f>
        <v>0</v>
      </c>
      <c r="R149">
        <f>VLOOKUP(Table5[[#This Row],[Shortname]], Comp[], 15, FALSE)</f>
        <v>0</v>
      </c>
      <c r="S149">
        <f>VLOOKUP(Table5[[#This Row],[Shortname]], Comp[], 16, FALSE)</f>
        <v>0</v>
      </c>
      <c r="T149">
        <f>VLOOKUP(Table5[[#This Row],[Shortname]], Comp[], 17, FALSE)</f>
        <v>0</v>
      </c>
      <c r="U149">
        <f>VLOOKUP(Table5[[#This Row],[Shortname]], Comp[], 18, FALSE)</f>
        <v>0</v>
      </c>
      <c r="V149">
        <f>VLOOKUP(Table5[[#This Row],[Shortname]], Comp[], 19, FALSE)</f>
        <v>0</v>
      </c>
      <c r="W149">
        <f>VLOOKUP(Table5[[#This Row],[Shortname]], Comp[], 20, FALSE)</f>
        <v>0</v>
      </c>
      <c r="X149">
        <f>VLOOKUP(Table5[[#This Row],[Shortname]], Comp[], 21, FALSE)</f>
        <v>0</v>
      </c>
      <c r="Y149">
        <f>VLOOKUP(Table5[[#This Row],[Shortname]], Comp[], 22, FALSE)</f>
        <v>0</v>
      </c>
      <c r="Z149">
        <f>VLOOKUP(Table5[[#This Row],[Shortname]], Comp[], 23, FALSE)</f>
        <v>0</v>
      </c>
      <c r="AA149">
        <f>VLOOKUP(Table5[[#This Row],[Shortname]], Comp[], 24, FALSE)</f>
        <v>0</v>
      </c>
      <c r="AB149">
        <f>VLOOKUP(Table5[[#This Row],[Shortname]], Comp[], 25, FALSE)</f>
        <v>0</v>
      </c>
      <c r="AC149">
        <f>VLOOKUP(Table5[[#This Row],[Shortname]], Comp[], 26, FALSE)</f>
        <v>0</v>
      </c>
      <c r="AD149">
        <f>VLOOKUP(Table5[[#This Row],[Shortname]], Comp[], 27, FALSE)</f>
        <v>0</v>
      </c>
      <c r="AE149">
        <f>VLOOKUP(Table5[[#This Row],[Shortname]], Comp[], 28, FALSE)</f>
        <v>0</v>
      </c>
      <c r="AF149">
        <f>VLOOKUP(Table5[[#This Row],[Shortname]], Comp[], 29, FALSE)</f>
        <v>0</v>
      </c>
      <c r="AG149">
        <f>VLOOKUP(Table5[[#This Row],[Shortname]], Comp[], 30, FALSE)</f>
        <v>0</v>
      </c>
      <c r="AH149">
        <f>VLOOKUP(Table5[[#This Row],[Shortname]], Comp[], 31, FALSE)</f>
        <v>0</v>
      </c>
    </row>
    <row r="150" spans="1:34" x14ac:dyDescent="0.3">
      <c r="A150" t="s">
        <v>1519</v>
      </c>
      <c r="B150">
        <v>149</v>
      </c>
      <c r="C150" t="str">
        <f>VLOOKUP(Table5[[#This Row],[Shortname]], [1]!comp[#Data], 2, FALSE)</f>
        <v>CoAlW-X</v>
      </c>
      <c r="D150" t="s">
        <v>1521</v>
      </c>
      <c r="E150" s="6" t="s">
        <v>1513</v>
      </c>
      <c r="F150">
        <v>710</v>
      </c>
      <c r="G150">
        <v>1010</v>
      </c>
      <c r="H150">
        <v>1443</v>
      </c>
      <c r="I150">
        <f>VLOOKUP(Table5[[#This Row],[Shortname]], Comp[], 6, FALSE)</f>
        <v>194</v>
      </c>
      <c r="J150" s="14">
        <f>VLOOKUP(Table5[[#This Row],[Shortname]], Comp[], 7, FALSE)</f>
        <v>78.63</v>
      </c>
      <c r="K150">
        <f>VLOOKUP(Table5[[#This Row],[Shortname]], Comp[], 8, FALSE)</f>
        <v>0</v>
      </c>
      <c r="L150">
        <f>VLOOKUP(Table5[[#This Row],[Shortname]], Comp[], 9, FALSE)</f>
        <v>13.66</v>
      </c>
      <c r="M150">
        <f>VLOOKUP(Table5[[#This Row],[Shortname]], Comp[], 10, FALSE)</f>
        <v>0</v>
      </c>
      <c r="N150">
        <f>VLOOKUP(Table5[[#This Row],[Shortname]], Comp[], 11, FALSE)</f>
        <v>7.71</v>
      </c>
      <c r="O150">
        <f>VLOOKUP(Table5[[#This Row],[Shortname]], Comp[],12, FALSE)</f>
        <v>0</v>
      </c>
      <c r="P150">
        <f>VLOOKUP(Table5[[#This Row],[Shortname]], Comp[], 13, FALSE)</f>
        <v>0</v>
      </c>
      <c r="Q150">
        <f>VLOOKUP(Table5[[#This Row],[Shortname]], Comp[], 14, FALSE)</f>
        <v>0</v>
      </c>
      <c r="R150">
        <f>VLOOKUP(Table5[[#This Row],[Shortname]], Comp[], 15, FALSE)</f>
        <v>0</v>
      </c>
      <c r="S150">
        <f>VLOOKUP(Table5[[#This Row],[Shortname]], Comp[], 16, FALSE)</f>
        <v>0</v>
      </c>
      <c r="T150">
        <f>VLOOKUP(Table5[[#This Row],[Shortname]], Comp[], 17, FALSE)</f>
        <v>0</v>
      </c>
      <c r="U150">
        <f>VLOOKUP(Table5[[#This Row],[Shortname]], Comp[], 18, FALSE)</f>
        <v>0</v>
      </c>
      <c r="V150">
        <f>VLOOKUP(Table5[[#This Row],[Shortname]], Comp[], 19, FALSE)</f>
        <v>0</v>
      </c>
      <c r="W150">
        <f>VLOOKUP(Table5[[#This Row],[Shortname]], Comp[], 20, FALSE)</f>
        <v>0</v>
      </c>
      <c r="X150">
        <f>VLOOKUP(Table5[[#This Row],[Shortname]], Comp[], 21, FALSE)</f>
        <v>0</v>
      </c>
      <c r="Y150">
        <f>VLOOKUP(Table5[[#This Row],[Shortname]], Comp[], 22, FALSE)</f>
        <v>0</v>
      </c>
      <c r="Z150">
        <f>VLOOKUP(Table5[[#This Row],[Shortname]], Comp[], 23, FALSE)</f>
        <v>0</v>
      </c>
      <c r="AA150">
        <f>VLOOKUP(Table5[[#This Row],[Shortname]], Comp[], 24, FALSE)</f>
        <v>0</v>
      </c>
      <c r="AB150">
        <f>VLOOKUP(Table5[[#This Row],[Shortname]], Comp[], 25, FALSE)</f>
        <v>0</v>
      </c>
      <c r="AC150">
        <f>VLOOKUP(Table5[[#This Row],[Shortname]], Comp[], 26, FALSE)</f>
        <v>0</v>
      </c>
      <c r="AD150">
        <f>VLOOKUP(Table5[[#This Row],[Shortname]], Comp[], 27, FALSE)</f>
        <v>0</v>
      </c>
      <c r="AE150">
        <f>VLOOKUP(Table5[[#This Row],[Shortname]], Comp[], 28, FALSE)</f>
        <v>0</v>
      </c>
      <c r="AF150">
        <f>VLOOKUP(Table5[[#This Row],[Shortname]], Comp[], 29, FALSE)</f>
        <v>0</v>
      </c>
      <c r="AG150">
        <f>VLOOKUP(Table5[[#This Row],[Shortname]], Comp[], 30, FALSE)</f>
        <v>0</v>
      </c>
      <c r="AH150">
        <f>VLOOKUP(Table5[[#This Row],[Shortname]], Comp[], 31, FALSE)</f>
        <v>0</v>
      </c>
    </row>
    <row r="151" spans="1:34" x14ac:dyDescent="0.3">
      <c r="A151" s="7" t="s">
        <v>4980</v>
      </c>
      <c r="B151">
        <v>150</v>
      </c>
      <c r="C151" s="7" t="str">
        <f>VLOOKUP(Table5[[#This Row],[Shortname]], [1]!comp[#Data], 2, FALSE)</f>
        <v>CoAlWX+</v>
      </c>
      <c r="D151" t="s">
        <v>4982</v>
      </c>
      <c r="E151" s="6" t="s">
        <v>4983</v>
      </c>
      <c r="F151" s="6">
        <v>1060</v>
      </c>
      <c r="G151">
        <v>1363</v>
      </c>
      <c r="H151">
        <v>1428</v>
      </c>
      <c r="I151">
        <f>VLOOKUP(Table5[[#This Row],[Shortname]], Comp[], 6, FALSE)</f>
        <v>764</v>
      </c>
      <c r="J151" s="14">
        <f>VLOOKUP(Table5[[#This Row],[Shortname]], Comp[], 7, FALSE)</f>
        <v>32.38000000000001</v>
      </c>
      <c r="K151">
        <f>VLOOKUP(Table5[[#This Row],[Shortname]], Comp[], 8, FALSE)</f>
        <v>37.6</v>
      </c>
      <c r="L151">
        <f>VLOOKUP(Table5[[#This Row],[Shortname]], Comp[], 9, FALSE)</f>
        <v>8.9</v>
      </c>
      <c r="M151">
        <f>VLOOKUP(Table5[[#This Row],[Shortname]], Comp[], 10, FALSE)</f>
        <v>15.8</v>
      </c>
      <c r="N151">
        <f>VLOOKUP(Table5[[#This Row],[Shortname]], Comp[], 11, FALSE)</f>
        <v>2.8</v>
      </c>
      <c r="O151">
        <f>VLOOKUP(Table5[[#This Row],[Shortname]], Comp[],12, FALSE)</f>
        <v>1.8</v>
      </c>
      <c r="P151">
        <f>VLOOKUP(Table5[[#This Row],[Shortname]], Comp[], 13, FALSE)</f>
        <v>0.5</v>
      </c>
      <c r="Q151">
        <f>VLOOKUP(Table5[[#This Row],[Shortname]], Comp[], 14, FALSE)</f>
        <v>0</v>
      </c>
      <c r="R151">
        <f>VLOOKUP(Table5[[#This Row],[Shortname]], Comp[], 15, FALSE)</f>
        <v>0</v>
      </c>
      <c r="S151">
        <f>VLOOKUP(Table5[[#This Row],[Shortname]], Comp[], 16, FALSE)</f>
        <v>0</v>
      </c>
      <c r="T151">
        <f>VLOOKUP(Table5[[#This Row],[Shortname]], Comp[], 17, FALSE)</f>
        <v>0.14000000000000001</v>
      </c>
      <c r="U151">
        <f>VLOOKUP(Table5[[#This Row],[Shortname]], Comp[], 18, FALSE)</f>
        <v>0.03</v>
      </c>
      <c r="V151">
        <f>VLOOKUP(Table5[[#This Row],[Shortname]], Comp[], 19, FALSE)</f>
        <v>0.05</v>
      </c>
      <c r="W151">
        <f>VLOOKUP(Table5[[#This Row],[Shortname]], Comp[], 20, FALSE)</f>
        <v>0</v>
      </c>
      <c r="X151">
        <f>VLOOKUP(Table5[[#This Row],[Shortname]], Comp[], 21, FALSE)</f>
        <v>0</v>
      </c>
      <c r="Y151">
        <f>VLOOKUP(Table5[[#This Row],[Shortname]], Comp[], 22, FALSE)</f>
        <v>0</v>
      </c>
      <c r="Z151">
        <f>VLOOKUP(Table5[[#This Row],[Shortname]], Comp[], 23, FALSE)</f>
        <v>0</v>
      </c>
      <c r="AA151">
        <f>VLOOKUP(Table5[[#This Row],[Shortname]], Comp[], 24, FALSE)</f>
        <v>0</v>
      </c>
      <c r="AB151">
        <f>VLOOKUP(Table5[[#This Row],[Shortname]], Comp[], 25, FALSE)</f>
        <v>0</v>
      </c>
      <c r="AC151">
        <f>VLOOKUP(Table5[[#This Row],[Shortname]], Comp[], 26, FALSE)</f>
        <v>0</v>
      </c>
      <c r="AD151">
        <f>VLOOKUP(Table5[[#This Row],[Shortname]], Comp[], 27, FALSE)</f>
        <v>0</v>
      </c>
      <c r="AE151">
        <f>VLOOKUP(Table5[[#This Row],[Shortname]], Comp[], 28, FALSE)</f>
        <v>0</v>
      </c>
      <c r="AF151">
        <f>VLOOKUP(Table5[[#This Row],[Shortname]], Comp[], 29, FALSE)</f>
        <v>0</v>
      </c>
      <c r="AG151">
        <f>VLOOKUP(Table5[[#This Row],[Shortname]], Comp[], 30, FALSE)</f>
        <v>0</v>
      </c>
      <c r="AH151">
        <f>VLOOKUP(Table5[[#This Row],[Shortname]], Comp[], 31, FALSE)</f>
        <v>0</v>
      </c>
    </row>
    <row r="152" spans="1:34" x14ac:dyDescent="0.3">
      <c r="A152" t="s">
        <v>1526</v>
      </c>
      <c r="B152">
        <v>151</v>
      </c>
      <c r="C152" t="str">
        <f>VLOOKUP(Table5[[#This Row],[Shortname]], [1]!comp[#Data], 2, FALSE)</f>
        <v>CoAlWX+</v>
      </c>
      <c r="D152" t="s">
        <v>1528</v>
      </c>
      <c r="E152" s="17" t="s">
        <v>1529</v>
      </c>
      <c r="F152">
        <v>1070</v>
      </c>
      <c r="G152">
        <v>1305</v>
      </c>
      <c r="I152">
        <f>VLOOKUP(Table5[[#This Row],[Shortname]], Comp[], 6, FALSE)</f>
        <v>195</v>
      </c>
      <c r="J152" s="14">
        <f>VLOOKUP(Table5[[#This Row],[Shortname]], Comp[], 7, FALSE)</f>
        <v>42.330000000000005</v>
      </c>
      <c r="K152">
        <f>VLOOKUP(Table5[[#This Row],[Shortname]], Comp[], 8, FALSE)</f>
        <v>32</v>
      </c>
      <c r="L152">
        <f>VLOOKUP(Table5[[#This Row],[Shortname]], Comp[], 9, FALSE)</f>
        <v>6</v>
      </c>
      <c r="M152">
        <f>VLOOKUP(Table5[[#This Row],[Shortname]], Comp[], 10, FALSE)</f>
        <v>12</v>
      </c>
      <c r="N152">
        <f>VLOOKUP(Table5[[#This Row],[Shortname]], Comp[], 11, FALSE)</f>
        <v>3</v>
      </c>
      <c r="O152">
        <f>VLOOKUP(Table5[[#This Row],[Shortname]], Comp[],12, FALSE)</f>
        <v>2.5</v>
      </c>
      <c r="P152">
        <f>VLOOKUP(Table5[[#This Row],[Shortname]], Comp[], 13, FALSE)</f>
        <v>1.5</v>
      </c>
      <c r="Q152">
        <f>VLOOKUP(Table5[[#This Row],[Shortname]], Comp[], 14, FALSE)</f>
        <v>0</v>
      </c>
      <c r="R152">
        <f>VLOOKUP(Table5[[#This Row],[Shortname]], Comp[], 15, FALSE)</f>
        <v>0</v>
      </c>
      <c r="S152">
        <f>VLOOKUP(Table5[[#This Row],[Shortname]], Comp[], 16, FALSE)</f>
        <v>0</v>
      </c>
      <c r="T152">
        <f>VLOOKUP(Table5[[#This Row],[Shortname]], Comp[], 17, FALSE)</f>
        <v>0.08</v>
      </c>
      <c r="U152">
        <f>VLOOKUP(Table5[[#This Row],[Shortname]], Comp[], 18, FALSE)</f>
        <v>0.01</v>
      </c>
      <c r="V152">
        <f>VLOOKUP(Table5[[#This Row],[Shortname]], Comp[], 19, FALSE)</f>
        <v>0.08</v>
      </c>
      <c r="W152">
        <f>VLOOKUP(Table5[[#This Row],[Shortname]], Comp[], 20, FALSE)</f>
        <v>0</v>
      </c>
      <c r="X152">
        <f>VLOOKUP(Table5[[#This Row],[Shortname]], Comp[], 21, FALSE)</f>
        <v>0</v>
      </c>
      <c r="Y152">
        <f>VLOOKUP(Table5[[#This Row],[Shortname]], Comp[], 22, FALSE)</f>
        <v>0.4</v>
      </c>
      <c r="Z152">
        <f>VLOOKUP(Table5[[#This Row],[Shortname]], Comp[], 23, FALSE)</f>
        <v>0</v>
      </c>
      <c r="AA152">
        <f>VLOOKUP(Table5[[#This Row],[Shortname]], Comp[], 24, FALSE)</f>
        <v>0</v>
      </c>
      <c r="AB152">
        <f>VLOOKUP(Table5[[#This Row],[Shortname]], Comp[], 25, FALSE)</f>
        <v>0.1</v>
      </c>
      <c r="AC152">
        <f>VLOOKUP(Table5[[#This Row],[Shortname]], Comp[], 26, FALSE)</f>
        <v>0</v>
      </c>
      <c r="AD152">
        <f>VLOOKUP(Table5[[#This Row],[Shortname]], Comp[], 27, FALSE)</f>
        <v>0</v>
      </c>
      <c r="AE152">
        <f>VLOOKUP(Table5[[#This Row],[Shortname]], Comp[], 28, FALSE)</f>
        <v>0</v>
      </c>
      <c r="AF152">
        <f>VLOOKUP(Table5[[#This Row],[Shortname]], Comp[], 29, FALSE)</f>
        <v>0</v>
      </c>
      <c r="AG152">
        <f>VLOOKUP(Table5[[#This Row],[Shortname]], Comp[], 30, FALSE)</f>
        <v>0</v>
      </c>
      <c r="AH152">
        <f>VLOOKUP(Table5[[#This Row],[Shortname]], Comp[], 31, FALSE)</f>
        <v>0</v>
      </c>
    </row>
    <row r="153" spans="1:34" x14ac:dyDescent="0.3">
      <c r="A153" t="s">
        <v>1538</v>
      </c>
      <c r="B153">
        <v>152</v>
      </c>
      <c r="C153" t="str">
        <f>VLOOKUP(Table5[[#This Row],[Shortname]], [1]!comp[#Data], 2, FALSE)</f>
        <v>CoAlWX+</v>
      </c>
      <c r="D153" t="s">
        <v>1540</v>
      </c>
      <c r="E153" s="17" t="s">
        <v>1529</v>
      </c>
      <c r="F153">
        <v>1030</v>
      </c>
      <c r="G153">
        <v>1365</v>
      </c>
      <c r="I153">
        <f>VLOOKUP(Table5[[#This Row],[Shortname]], Comp[], 6, FALSE)</f>
        <v>196</v>
      </c>
      <c r="J153" s="14">
        <f>VLOOKUP(Table5[[#This Row],[Shortname]], Comp[], 7, FALSE)</f>
        <v>41.03</v>
      </c>
      <c r="K153">
        <f>VLOOKUP(Table5[[#This Row],[Shortname]], Comp[], 8, FALSE)</f>
        <v>31.8</v>
      </c>
      <c r="L153">
        <f>VLOOKUP(Table5[[#This Row],[Shortname]], Comp[], 9, FALSE)</f>
        <v>8.6999999999999993</v>
      </c>
      <c r="M153">
        <f>VLOOKUP(Table5[[#This Row],[Shortname]], Comp[], 10, FALSE)</f>
        <v>12.6</v>
      </c>
      <c r="N153">
        <f>VLOOKUP(Table5[[#This Row],[Shortname]], Comp[], 11, FALSE)</f>
        <v>4.7</v>
      </c>
      <c r="O153">
        <f>VLOOKUP(Table5[[#This Row],[Shortname]], Comp[],12, FALSE)</f>
        <v>0.3</v>
      </c>
      <c r="P153">
        <f>VLOOKUP(Table5[[#This Row],[Shortname]], Comp[], 13, FALSE)</f>
        <v>0.2</v>
      </c>
      <c r="Q153">
        <f>VLOOKUP(Table5[[#This Row],[Shortname]], Comp[], 14, FALSE)</f>
        <v>0</v>
      </c>
      <c r="R153">
        <f>VLOOKUP(Table5[[#This Row],[Shortname]], Comp[], 15, FALSE)</f>
        <v>0</v>
      </c>
      <c r="S153">
        <f>VLOOKUP(Table5[[#This Row],[Shortname]], Comp[], 16, FALSE)</f>
        <v>0</v>
      </c>
      <c r="T153">
        <f>VLOOKUP(Table5[[#This Row],[Shortname]], Comp[], 17, FALSE)</f>
        <v>0.08</v>
      </c>
      <c r="U153">
        <f>VLOOKUP(Table5[[#This Row],[Shortname]], Comp[], 18, FALSE)</f>
        <v>0.01</v>
      </c>
      <c r="V153">
        <f>VLOOKUP(Table5[[#This Row],[Shortname]], Comp[], 19, FALSE)</f>
        <v>0.08</v>
      </c>
      <c r="W153">
        <f>VLOOKUP(Table5[[#This Row],[Shortname]], Comp[], 20, FALSE)</f>
        <v>0</v>
      </c>
      <c r="X153">
        <f>VLOOKUP(Table5[[#This Row],[Shortname]], Comp[], 21, FALSE)</f>
        <v>0</v>
      </c>
      <c r="Y153">
        <f>VLOOKUP(Table5[[#This Row],[Shortname]], Comp[], 22, FALSE)</f>
        <v>0.4</v>
      </c>
      <c r="Z153">
        <f>VLOOKUP(Table5[[#This Row],[Shortname]], Comp[], 23, FALSE)</f>
        <v>0</v>
      </c>
      <c r="AA153">
        <f>VLOOKUP(Table5[[#This Row],[Shortname]], Comp[], 24, FALSE)</f>
        <v>0</v>
      </c>
      <c r="AB153">
        <f>VLOOKUP(Table5[[#This Row],[Shortname]], Comp[], 25, FALSE)</f>
        <v>0.1</v>
      </c>
      <c r="AC153">
        <f>VLOOKUP(Table5[[#This Row],[Shortname]], Comp[], 26, FALSE)</f>
        <v>0</v>
      </c>
      <c r="AD153">
        <f>VLOOKUP(Table5[[#This Row],[Shortname]], Comp[], 27, FALSE)</f>
        <v>0</v>
      </c>
      <c r="AE153">
        <f>VLOOKUP(Table5[[#This Row],[Shortname]], Comp[], 28, FALSE)</f>
        <v>0</v>
      </c>
      <c r="AF153">
        <f>VLOOKUP(Table5[[#This Row],[Shortname]], Comp[], 29, FALSE)</f>
        <v>0</v>
      </c>
      <c r="AG153">
        <f>VLOOKUP(Table5[[#This Row],[Shortname]], Comp[], 30, FALSE)</f>
        <v>0</v>
      </c>
      <c r="AH153">
        <f>VLOOKUP(Table5[[#This Row],[Shortname]], Comp[], 31, FALSE)</f>
        <v>0</v>
      </c>
    </row>
    <row r="154" spans="1:34" x14ac:dyDescent="0.3">
      <c r="A154" t="s">
        <v>1557</v>
      </c>
      <c r="B154">
        <v>153</v>
      </c>
      <c r="C154" t="str">
        <f>VLOOKUP(Table5[[#This Row],[Shortname]], [1]!comp[#Data], 2, FALSE)</f>
        <v>CoAlWX+</v>
      </c>
      <c r="D154" t="s">
        <v>1559</v>
      </c>
      <c r="E154" s="3" t="s">
        <v>1560</v>
      </c>
      <c r="F154">
        <v>1006</v>
      </c>
      <c r="I154">
        <f>VLOOKUP(Table5[[#This Row],[Shortname]], Comp[], 6, FALSE)</f>
        <v>198</v>
      </c>
      <c r="J154" s="14">
        <f>VLOOKUP(Table5[[#This Row],[Shortname]], Comp[], 7, FALSE)</f>
        <v>39.830000000000005</v>
      </c>
      <c r="K154">
        <f>VLOOKUP(Table5[[#This Row],[Shortname]], Comp[], 8, FALSE)</f>
        <v>32</v>
      </c>
      <c r="L154">
        <f>VLOOKUP(Table5[[#This Row],[Shortname]], Comp[], 9, FALSE)</f>
        <v>9</v>
      </c>
      <c r="M154">
        <f>VLOOKUP(Table5[[#This Row],[Shortname]], Comp[], 10, FALSE)</f>
        <v>12</v>
      </c>
      <c r="N154">
        <f>VLOOKUP(Table5[[#This Row],[Shortname]], Comp[], 11, FALSE)</f>
        <v>5</v>
      </c>
      <c r="O154">
        <f>VLOOKUP(Table5[[#This Row],[Shortname]], Comp[],12, FALSE)</f>
        <v>0.3</v>
      </c>
      <c r="P154">
        <f>VLOOKUP(Table5[[#This Row],[Shortname]], Comp[], 13, FALSE)</f>
        <v>0.2</v>
      </c>
      <c r="Q154">
        <f>VLOOKUP(Table5[[#This Row],[Shortname]], Comp[], 14, FALSE)</f>
        <v>0</v>
      </c>
      <c r="R154">
        <f>VLOOKUP(Table5[[#This Row],[Shortname]], Comp[], 15, FALSE)</f>
        <v>0</v>
      </c>
      <c r="S154">
        <f>VLOOKUP(Table5[[#This Row],[Shortname]], Comp[], 16, FALSE)</f>
        <v>1</v>
      </c>
      <c r="T154">
        <f>VLOOKUP(Table5[[#This Row],[Shortname]], Comp[], 17, FALSE)</f>
        <v>0.08</v>
      </c>
      <c r="U154">
        <f>VLOOKUP(Table5[[#This Row],[Shortname]], Comp[], 18, FALSE)</f>
        <v>0.01</v>
      </c>
      <c r="V154">
        <f>VLOOKUP(Table5[[#This Row],[Shortname]], Comp[], 19, FALSE)</f>
        <v>0.08</v>
      </c>
      <c r="W154">
        <f>VLOOKUP(Table5[[#This Row],[Shortname]], Comp[], 20, FALSE)</f>
        <v>0</v>
      </c>
      <c r="X154">
        <f>VLOOKUP(Table5[[#This Row],[Shortname]], Comp[], 21, FALSE)</f>
        <v>0</v>
      </c>
      <c r="Y154">
        <f>VLOOKUP(Table5[[#This Row],[Shortname]], Comp[], 22, FALSE)</f>
        <v>0.4</v>
      </c>
      <c r="Z154">
        <f>VLOOKUP(Table5[[#This Row],[Shortname]], Comp[], 23, FALSE)</f>
        <v>0</v>
      </c>
      <c r="AA154">
        <f>VLOOKUP(Table5[[#This Row],[Shortname]], Comp[], 24, FALSE)</f>
        <v>0</v>
      </c>
      <c r="AB154">
        <f>VLOOKUP(Table5[[#This Row],[Shortname]], Comp[], 25, FALSE)</f>
        <v>0.1</v>
      </c>
      <c r="AC154">
        <f>VLOOKUP(Table5[[#This Row],[Shortname]], Comp[], 26, FALSE)</f>
        <v>0</v>
      </c>
      <c r="AD154">
        <f>VLOOKUP(Table5[[#This Row],[Shortname]], Comp[], 27, FALSE)</f>
        <v>0</v>
      </c>
      <c r="AE154">
        <f>VLOOKUP(Table5[[#This Row],[Shortname]], Comp[], 28, FALSE)</f>
        <v>0</v>
      </c>
      <c r="AF154">
        <f>VLOOKUP(Table5[[#This Row],[Shortname]], Comp[], 29, FALSE)</f>
        <v>0</v>
      </c>
      <c r="AG154">
        <f>VLOOKUP(Table5[[#This Row],[Shortname]], Comp[], 30, FALSE)</f>
        <v>0</v>
      </c>
      <c r="AH154">
        <f>VLOOKUP(Table5[[#This Row],[Shortname]], Comp[], 31, FALSE)</f>
        <v>0</v>
      </c>
    </row>
    <row r="155" spans="1:34" x14ac:dyDescent="0.3">
      <c r="A155" t="s">
        <v>1613</v>
      </c>
      <c r="B155">
        <v>154</v>
      </c>
      <c r="C155" t="str">
        <f>VLOOKUP(Table5[[#This Row],[Shortname]], [1]!comp[#Data], 2, FALSE)</f>
        <v>Low-W</v>
      </c>
      <c r="D155" t="s">
        <v>1615</v>
      </c>
      <c r="E155" s="3" t="s">
        <v>1568</v>
      </c>
      <c r="F155">
        <v>1035</v>
      </c>
      <c r="G155">
        <v>1274</v>
      </c>
      <c r="H155">
        <v>1370</v>
      </c>
      <c r="I155">
        <f>VLOOKUP(Table5[[#This Row],[Shortname]], Comp[], 6, FALSE)</f>
        <v>205</v>
      </c>
      <c r="J155" s="14">
        <f>VLOOKUP(Table5[[#This Row],[Shortname]], Comp[], 7, FALSE)</f>
        <v>43.83</v>
      </c>
      <c r="K155">
        <f>VLOOKUP(Table5[[#This Row],[Shortname]], Comp[], 8, FALSE)</f>
        <v>29.69</v>
      </c>
      <c r="L155">
        <f>VLOOKUP(Table5[[#This Row],[Shortname]], Comp[], 9, FALSE)</f>
        <v>9.0500000000000007</v>
      </c>
      <c r="M155">
        <f>VLOOKUP(Table5[[#This Row],[Shortname]], Comp[], 10, FALSE)</f>
        <v>12.43</v>
      </c>
      <c r="N155">
        <f>VLOOKUP(Table5[[#This Row],[Shortname]], Comp[], 11, FALSE)</f>
        <v>1.26</v>
      </c>
      <c r="O155">
        <f>VLOOKUP(Table5[[#This Row],[Shortname]], Comp[],12, FALSE)</f>
        <v>0</v>
      </c>
      <c r="P155">
        <f>VLOOKUP(Table5[[#This Row],[Shortname]], Comp[], 13, FALSE)</f>
        <v>0</v>
      </c>
      <c r="Q155">
        <f>VLOOKUP(Table5[[#This Row],[Shortname]], Comp[], 14, FALSE)</f>
        <v>3.74</v>
      </c>
      <c r="R155">
        <f>VLOOKUP(Table5[[#This Row],[Shortname]], Comp[], 15, FALSE)</f>
        <v>0</v>
      </c>
      <c r="S155">
        <f>VLOOKUP(Table5[[#This Row],[Shortname]], Comp[], 16, FALSE)</f>
        <v>0</v>
      </c>
      <c r="T155">
        <f>VLOOKUP(Table5[[#This Row],[Shortname]], Comp[], 17, FALSE)</f>
        <v>0</v>
      </c>
      <c r="U155">
        <f>VLOOKUP(Table5[[#This Row],[Shortname]], Comp[], 18, FALSE)</f>
        <v>0</v>
      </c>
      <c r="V155">
        <f>VLOOKUP(Table5[[#This Row],[Shortname]], Comp[], 19, FALSE)</f>
        <v>0</v>
      </c>
      <c r="W155">
        <f>VLOOKUP(Table5[[#This Row],[Shortname]], Comp[], 20, FALSE)</f>
        <v>0</v>
      </c>
      <c r="X155">
        <f>VLOOKUP(Table5[[#This Row],[Shortname]], Comp[], 21, FALSE)</f>
        <v>0</v>
      </c>
      <c r="Y155">
        <f>VLOOKUP(Table5[[#This Row],[Shortname]], Comp[], 22, FALSE)</f>
        <v>0</v>
      </c>
      <c r="Z155">
        <f>VLOOKUP(Table5[[#This Row],[Shortname]], Comp[], 23, FALSE)</f>
        <v>0</v>
      </c>
      <c r="AA155">
        <f>VLOOKUP(Table5[[#This Row],[Shortname]], Comp[], 24, FALSE)</f>
        <v>0</v>
      </c>
      <c r="AB155">
        <f>VLOOKUP(Table5[[#This Row],[Shortname]], Comp[], 25, FALSE)</f>
        <v>0</v>
      </c>
      <c r="AC155">
        <f>VLOOKUP(Table5[[#This Row],[Shortname]], Comp[], 26, FALSE)</f>
        <v>0</v>
      </c>
      <c r="AD155">
        <f>VLOOKUP(Table5[[#This Row],[Shortname]], Comp[], 27, FALSE)</f>
        <v>0</v>
      </c>
      <c r="AE155">
        <f>VLOOKUP(Table5[[#This Row],[Shortname]], Comp[], 28, FALSE)</f>
        <v>0</v>
      </c>
      <c r="AF155">
        <f>VLOOKUP(Table5[[#This Row],[Shortname]], Comp[], 29, FALSE)</f>
        <v>0</v>
      </c>
      <c r="AG155">
        <f>VLOOKUP(Table5[[#This Row],[Shortname]], Comp[], 30, FALSE)</f>
        <v>0</v>
      </c>
      <c r="AH155">
        <f>VLOOKUP(Table5[[#This Row],[Shortname]], Comp[], 31, FALSE)</f>
        <v>0</v>
      </c>
    </row>
    <row r="156" spans="1:34" x14ac:dyDescent="0.3">
      <c r="A156" t="s">
        <v>1607</v>
      </c>
      <c r="B156">
        <v>155</v>
      </c>
      <c r="C156" t="str">
        <f>VLOOKUP(Table5[[#This Row],[Shortname]], [1]!comp[#Data], 2, FALSE)</f>
        <v>Low-W</v>
      </c>
      <c r="D156" t="s">
        <v>1609</v>
      </c>
      <c r="E156" s="3" t="s">
        <v>1568</v>
      </c>
      <c r="F156">
        <v>1005</v>
      </c>
      <c r="G156">
        <v>1342</v>
      </c>
      <c r="H156">
        <v>1403</v>
      </c>
      <c r="I156">
        <f>VLOOKUP(Table5[[#This Row],[Shortname]], Comp[], 6, FALSE)</f>
        <v>204</v>
      </c>
      <c r="J156" s="14">
        <f>VLOOKUP(Table5[[#This Row],[Shortname]], Comp[], 7, FALSE)</f>
        <v>44.41</v>
      </c>
      <c r="K156">
        <f>VLOOKUP(Table5[[#This Row],[Shortname]], Comp[], 8, FALSE)</f>
        <v>29.89</v>
      </c>
      <c r="L156">
        <f>VLOOKUP(Table5[[#This Row],[Shortname]], Comp[], 9, FALSE)</f>
        <v>8.69</v>
      </c>
      <c r="M156">
        <f>VLOOKUP(Table5[[#This Row],[Shortname]], Comp[], 10, FALSE)</f>
        <v>12.11</v>
      </c>
      <c r="N156">
        <f>VLOOKUP(Table5[[#This Row],[Shortname]], Comp[], 11, FALSE)</f>
        <v>3.09</v>
      </c>
      <c r="O156">
        <f>VLOOKUP(Table5[[#This Row],[Shortname]], Comp[],12, FALSE)</f>
        <v>0</v>
      </c>
      <c r="P156">
        <f>VLOOKUP(Table5[[#This Row],[Shortname]], Comp[], 13, FALSE)</f>
        <v>0</v>
      </c>
      <c r="Q156">
        <f>VLOOKUP(Table5[[#This Row],[Shortname]], Comp[], 14, FALSE)</f>
        <v>1.81</v>
      </c>
      <c r="R156">
        <f>VLOOKUP(Table5[[#This Row],[Shortname]], Comp[], 15, FALSE)</f>
        <v>0</v>
      </c>
      <c r="S156">
        <f>VLOOKUP(Table5[[#This Row],[Shortname]], Comp[], 16, FALSE)</f>
        <v>0</v>
      </c>
      <c r="T156">
        <f>VLOOKUP(Table5[[#This Row],[Shortname]], Comp[], 17, FALSE)</f>
        <v>0</v>
      </c>
      <c r="U156">
        <f>VLOOKUP(Table5[[#This Row],[Shortname]], Comp[], 18, FALSE)</f>
        <v>0</v>
      </c>
      <c r="V156">
        <f>VLOOKUP(Table5[[#This Row],[Shortname]], Comp[], 19, FALSE)</f>
        <v>0</v>
      </c>
      <c r="W156">
        <f>VLOOKUP(Table5[[#This Row],[Shortname]], Comp[], 20, FALSE)</f>
        <v>0</v>
      </c>
      <c r="X156">
        <f>VLOOKUP(Table5[[#This Row],[Shortname]], Comp[], 21, FALSE)</f>
        <v>0</v>
      </c>
      <c r="Y156">
        <f>VLOOKUP(Table5[[#This Row],[Shortname]], Comp[], 22, FALSE)</f>
        <v>0</v>
      </c>
      <c r="Z156">
        <f>VLOOKUP(Table5[[#This Row],[Shortname]], Comp[], 23, FALSE)</f>
        <v>0</v>
      </c>
      <c r="AA156">
        <f>VLOOKUP(Table5[[#This Row],[Shortname]], Comp[], 24, FALSE)</f>
        <v>0</v>
      </c>
      <c r="AB156">
        <f>VLOOKUP(Table5[[#This Row],[Shortname]], Comp[], 25, FALSE)</f>
        <v>0</v>
      </c>
      <c r="AC156">
        <f>VLOOKUP(Table5[[#This Row],[Shortname]], Comp[], 26, FALSE)</f>
        <v>0</v>
      </c>
      <c r="AD156">
        <f>VLOOKUP(Table5[[#This Row],[Shortname]], Comp[], 27, FALSE)</f>
        <v>0</v>
      </c>
      <c r="AE156">
        <f>VLOOKUP(Table5[[#This Row],[Shortname]], Comp[], 28, FALSE)</f>
        <v>0</v>
      </c>
      <c r="AF156">
        <f>VLOOKUP(Table5[[#This Row],[Shortname]], Comp[], 29, FALSE)</f>
        <v>0</v>
      </c>
      <c r="AG156">
        <f>VLOOKUP(Table5[[#This Row],[Shortname]], Comp[], 30, FALSE)</f>
        <v>0</v>
      </c>
      <c r="AH156">
        <f>VLOOKUP(Table5[[#This Row],[Shortname]], Comp[], 31, FALSE)</f>
        <v>0</v>
      </c>
    </row>
    <row r="157" spans="1:34" x14ac:dyDescent="0.3">
      <c r="A157" t="s">
        <v>1599</v>
      </c>
      <c r="B157">
        <v>156</v>
      </c>
      <c r="C157" t="str">
        <f>VLOOKUP(Table5[[#This Row],[Shortname]], [1]!comp[#Data], 2, FALSE)</f>
        <v>CoAlWX+</v>
      </c>
      <c r="D157" t="s">
        <v>1601</v>
      </c>
      <c r="E157" s="3" t="s">
        <v>1568</v>
      </c>
      <c r="F157">
        <v>996</v>
      </c>
      <c r="G157">
        <v>1380</v>
      </c>
      <c r="H157">
        <v>1422</v>
      </c>
      <c r="I157">
        <f>VLOOKUP(Table5[[#This Row],[Shortname]], Comp[], 6, FALSE)</f>
        <v>203</v>
      </c>
      <c r="J157" s="14">
        <f>VLOOKUP(Table5[[#This Row],[Shortname]], Comp[], 7, FALSE)</f>
        <v>43.760000000000005</v>
      </c>
      <c r="K157">
        <f>VLOOKUP(Table5[[#This Row],[Shortname]], Comp[], 8, FALSE)</f>
        <v>29.91</v>
      </c>
      <c r="L157">
        <f>VLOOKUP(Table5[[#This Row],[Shortname]], Comp[], 9, FALSE)</f>
        <v>9.0299999999999994</v>
      </c>
      <c r="M157">
        <f>VLOOKUP(Table5[[#This Row],[Shortname]], Comp[], 10, FALSE)</f>
        <v>12.19</v>
      </c>
      <c r="N157">
        <f>VLOOKUP(Table5[[#This Row],[Shortname]], Comp[], 11, FALSE)</f>
        <v>4.07</v>
      </c>
      <c r="O157">
        <f>VLOOKUP(Table5[[#This Row],[Shortname]], Comp[],12, FALSE)</f>
        <v>0</v>
      </c>
      <c r="P157">
        <f>VLOOKUP(Table5[[#This Row],[Shortname]], Comp[], 13, FALSE)</f>
        <v>0</v>
      </c>
      <c r="Q157">
        <f>VLOOKUP(Table5[[#This Row],[Shortname]], Comp[], 14, FALSE)</f>
        <v>1.04</v>
      </c>
      <c r="R157">
        <f>VLOOKUP(Table5[[#This Row],[Shortname]], Comp[], 15, FALSE)</f>
        <v>0</v>
      </c>
      <c r="S157">
        <f>VLOOKUP(Table5[[#This Row],[Shortname]], Comp[], 16, FALSE)</f>
        <v>0</v>
      </c>
      <c r="T157">
        <f>VLOOKUP(Table5[[#This Row],[Shortname]], Comp[], 17, FALSE)</f>
        <v>0</v>
      </c>
      <c r="U157">
        <f>VLOOKUP(Table5[[#This Row],[Shortname]], Comp[], 18, FALSE)</f>
        <v>0</v>
      </c>
      <c r="V157">
        <f>VLOOKUP(Table5[[#This Row],[Shortname]], Comp[], 19, FALSE)</f>
        <v>0</v>
      </c>
      <c r="W157">
        <f>VLOOKUP(Table5[[#This Row],[Shortname]], Comp[], 20, FALSE)</f>
        <v>0</v>
      </c>
      <c r="X157">
        <f>VLOOKUP(Table5[[#This Row],[Shortname]], Comp[], 21, FALSE)</f>
        <v>0</v>
      </c>
      <c r="Y157">
        <f>VLOOKUP(Table5[[#This Row],[Shortname]], Comp[], 22, FALSE)</f>
        <v>0</v>
      </c>
      <c r="Z157">
        <f>VLOOKUP(Table5[[#This Row],[Shortname]], Comp[], 23, FALSE)</f>
        <v>0</v>
      </c>
      <c r="AA157">
        <f>VLOOKUP(Table5[[#This Row],[Shortname]], Comp[], 24, FALSE)</f>
        <v>0</v>
      </c>
      <c r="AB157">
        <f>VLOOKUP(Table5[[#This Row],[Shortname]], Comp[], 25, FALSE)</f>
        <v>0</v>
      </c>
      <c r="AC157">
        <f>VLOOKUP(Table5[[#This Row],[Shortname]], Comp[], 26, FALSE)</f>
        <v>0</v>
      </c>
      <c r="AD157">
        <f>VLOOKUP(Table5[[#This Row],[Shortname]], Comp[], 27, FALSE)</f>
        <v>0</v>
      </c>
      <c r="AE157">
        <f>VLOOKUP(Table5[[#This Row],[Shortname]], Comp[], 28, FALSE)</f>
        <v>0</v>
      </c>
      <c r="AF157">
        <f>VLOOKUP(Table5[[#This Row],[Shortname]], Comp[], 29, FALSE)</f>
        <v>0</v>
      </c>
      <c r="AG157">
        <f>VLOOKUP(Table5[[#This Row],[Shortname]], Comp[], 30, FALSE)</f>
        <v>0</v>
      </c>
      <c r="AH157">
        <f>VLOOKUP(Table5[[#This Row],[Shortname]], Comp[], 31, FALSE)</f>
        <v>0</v>
      </c>
    </row>
    <row r="158" spans="1:34" x14ac:dyDescent="0.3">
      <c r="A158" t="s">
        <v>1565</v>
      </c>
      <c r="B158">
        <v>157</v>
      </c>
      <c r="C158" t="str">
        <f>VLOOKUP(Table5[[#This Row],[Shortname]], [1]!comp[#Data], 2, FALSE)</f>
        <v>CoAlWX+</v>
      </c>
      <c r="D158" t="s">
        <v>1567</v>
      </c>
      <c r="E158" s="3" t="s">
        <v>1568</v>
      </c>
      <c r="F158">
        <v>973</v>
      </c>
      <c r="G158">
        <v>1415</v>
      </c>
      <c r="H158">
        <v>1440</v>
      </c>
      <c r="I158">
        <f>VLOOKUP(Table5[[#This Row],[Shortname]], Comp[], 6, FALSE)</f>
        <v>199</v>
      </c>
      <c r="J158" s="14">
        <f>VLOOKUP(Table5[[#This Row],[Shortname]], Comp[], 7, FALSE)</f>
        <v>44.04</v>
      </c>
      <c r="K158">
        <f>VLOOKUP(Table5[[#This Row],[Shortname]], Comp[], 8, FALSE)</f>
        <v>29.71</v>
      </c>
      <c r="L158">
        <f>VLOOKUP(Table5[[#This Row],[Shortname]], Comp[], 9, FALSE)</f>
        <v>8.86</v>
      </c>
      <c r="M158">
        <f>VLOOKUP(Table5[[#This Row],[Shortname]], Comp[], 10, FALSE)</f>
        <v>12.32</v>
      </c>
      <c r="N158">
        <f>VLOOKUP(Table5[[#This Row],[Shortname]], Comp[], 11, FALSE)</f>
        <v>5.07</v>
      </c>
      <c r="O158">
        <f>VLOOKUP(Table5[[#This Row],[Shortname]], Comp[],12, FALSE)</f>
        <v>0</v>
      </c>
      <c r="P158">
        <f>VLOOKUP(Table5[[#This Row],[Shortname]], Comp[], 13, FALSE)</f>
        <v>0</v>
      </c>
      <c r="Q158">
        <f>VLOOKUP(Table5[[#This Row],[Shortname]], Comp[], 14, FALSE)</f>
        <v>0</v>
      </c>
      <c r="R158">
        <f>VLOOKUP(Table5[[#This Row],[Shortname]], Comp[], 15, FALSE)</f>
        <v>0</v>
      </c>
      <c r="S158">
        <f>VLOOKUP(Table5[[#This Row],[Shortname]], Comp[], 16, FALSE)</f>
        <v>0</v>
      </c>
      <c r="T158">
        <f>VLOOKUP(Table5[[#This Row],[Shortname]], Comp[], 17, FALSE)</f>
        <v>0</v>
      </c>
      <c r="U158">
        <f>VLOOKUP(Table5[[#This Row],[Shortname]], Comp[], 18, FALSE)</f>
        <v>0</v>
      </c>
      <c r="V158">
        <f>VLOOKUP(Table5[[#This Row],[Shortname]], Comp[], 19, FALSE)</f>
        <v>0</v>
      </c>
      <c r="W158">
        <f>VLOOKUP(Table5[[#This Row],[Shortname]], Comp[], 20, FALSE)</f>
        <v>0</v>
      </c>
      <c r="X158">
        <f>VLOOKUP(Table5[[#This Row],[Shortname]], Comp[], 21, FALSE)</f>
        <v>0</v>
      </c>
      <c r="Y158">
        <f>VLOOKUP(Table5[[#This Row],[Shortname]], Comp[], 22, FALSE)</f>
        <v>0</v>
      </c>
      <c r="Z158">
        <f>VLOOKUP(Table5[[#This Row],[Shortname]], Comp[], 23, FALSE)</f>
        <v>0</v>
      </c>
      <c r="AA158">
        <f>VLOOKUP(Table5[[#This Row],[Shortname]], Comp[], 24, FALSE)</f>
        <v>0</v>
      </c>
      <c r="AB158">
        <f>VLOOKUP(Table5[[#This Row],[Shortname]], Comp[], 25, FALSE)</f>
        <v>0</v>
      </c>
      <c r="AC158">
        <f>VLOOKUP(Table5[[#This Row],[Shortname]], Comp[], 26, FALSE)</f>
        <v>0</v>
      </c>
      <c r="AD158">
        <f>VLOOKUP(Table5[[#This Row],[Shortname]], Comp[], 27, FALSE)</f>
        <v>0</v>
      </c>
      <c r="AE158">
        <f>VLOOKUP(Table5[[#This Row],[Shortname]], Comp[], 28, FALSE)</f>
        <v>0</v>
      </c>
      <c r="AF158">
        <f>VLOOKUP(Table5[[#This Row],[Shortname]], Comp[], 29, FALSE)</f>
        <v>0</v>
      </c>
      <c r="AG158">
        <f>VLOOKUP(Table5[[#This Row],[Shortname]], Comp[], 30, FALSE)</f>
        <v>0</v>
      </c>
      <c r="AH158">
        <f>VLOOKUP(Table5[[#This Row],[Shortname]], Comp[], 31, FALSE)</f>
        <v>0</v>
      </c>
    </row>
    <row r="159" spans="1:34" x14ac:dyDescent="0.3">
      <c r="A159" t="s">
        <v>1574</v>
      </c>
      <c r="B159">
        <v>158</v>
      </c>
      <c r="C159" t="str">
        <f>VLOOKUP(Table5[[#This Row],[Shortname]], [1]!comp[#Data], 2, FALSE)</f>
        <v>CoAlWX+</v>
      </c>
      <c r="D159" t="s">
        <v>1576</v>
      </c>
      <c r="E159" s="3" t="s">
        <v>1568</v>
      </c>
      <c r="F159">
        <v>964</v>
      </c>
      <c r="G159">
        <v>1409</v>
      </c>
      <c r="H159">
        <v>1433</v>
      </c>
      <c r="I159">
        <f>VLOOKUP(Table5[[#This Row],[Shortname]], Comp[], 6, FALSE)</f>
        <v>200</v>
      </c>
      <c r="J159" s="14">
        <f>VLOOKUP(Table5[[#This Row],[Shortname]], Comp[], 7, FALSE)</f>
        <v>44.07</v>
      </c>
      <c r="K159">
        <f>VLOOKUP(Table5[[#This Row],[Shortname]], Comp[], 8, FALSE)</f>
        <v>29.49</v>
      </c>
      <c r="L159">
        <f>VLOOKUP(Table5[[#This Row],[Shortname]], Comp[], 9, FALSE)</f>
        <v>8.9</v>
      </c>
      <c r="M159">
        <f>VLOOKUP(Table5[[#This Row],[Shortname]], Comp[], 10, FALSE)</f>
        <v>12.58</v>
      </c>
      <c r="N159">
        <f>VLOOKUP(Table5[[#This Row],[Shortname]], Comp[], 11, FALSE)</f>
        <v>3.92</v>
      </c>
      <c r="O159">
        <f>VLOOKUP(Table5[[#This Row],[Shortname]], Comp[],12, FALSE)</f>
        <v>0</v>
      </c>
      <c r="P159">
        <f>VLOOKUP(Table5[[#This Row],[Shortname]], Comp[], 13, FALSE)</f>
        <v>0</v>
      </c>
      <c r="Q159">
        <f>VLOOKUP(Table5[[#This Row],[Shortname]], Comp[], 14, FALSE)</f>
        <v>0</v>
      </c>
      <c r="R159">
        <f>VLOOKUP(Table5[[#This Row],[Shortname]], Comp[], 15, FALSE)</f>
        <v>0</v>
      </c>
      <c r="S159">
        <f>VLOOKUP(Table5[[#This Row],[Shortname]], Comp[], 16, FALSE)</f>
        <v>1.04</v>
      </c>
      <c r="T159">
        <f>VLOOKUP(Table5[[#This Row],[Shortname]], Comp[], 17, FALSE)</f>
        <v>0</v>
      </c>
      <c r="U159">
        <f>VLOOKUP(Table5[[#This Row],[Shortname]], Comp[], 18, FALSE)</f>
        <v>0</v>
      </c>
      <c r="V159">
        <f>VLOOKUP(Table5[[#This Row],[Shortname]], Comp[], 19, FALSE)</f>
        <v>0</v>
      </c>
      <c r="W159">
        <f>VLOOKUP(Table5[[#This Row],[Shortname]], Comp[], 20, FALSE)</f>
        <v>0</v>
      </c>
      <c r="X159">
        <f>VLOOKUP(Table5[[#This Row],[Shortname]], Comp[], 21, FALSE)</f>
        <v>0</v>
      </c>
      <c r="Y159">
        <f>VLOOKUP(Table5[[#This Row],[Shortname]], Comp[], 22, FALSE)</f>
        <v>0</v>
      </c>
      <c r="Z159">
        <f>VLOOKUP(Table5[[#This Row],[Shortname]], Comp[], 23, FALSE)</f>
        <v>0</v>
      </c>
      <c r="AA159">
        <f>VLOOKUP(Table5[[#This Row],[Shortname]], Comp[], 24, FALSE)</f>
        <v>0</v>
      </c>
      <c r="AB159">
        <f>VLOOKUP(Table5[[#This Row],[Shortname]], Comp[], 25, FALSE)</f>
        <v>0</v>
      </c>
      <c r="AC159">
        <f>VLOOKUP(Table5[[#This Row],[Shortname]], Comp[], 26, FALSE)</f>
        <v>0</v>
      </c>
      <c r="AD159">
        <f>VLOOKUP(Table5[[#This Row],[Shortname]], Comp[], 27, FALSE)</f>
        <v>0</v>
      </c>
      <c r="AE159">
        <f>VLOOKUP(Table5[[#This Row],[Shortname]], Comp[], 28, FALSE)</f>
        <v>0</v>
      </c>
      <c r="AF159">
        <f>VLOOKUP(Table5[[#This Row],[Shortname]], Comp[], 29, FALSE)</f>
        <v>0</v>
      </c>
      <c r="AG159">
        <f>VLOOKUP(Table5[[#This Row],[Shortname]], Comp[], 30, FALSE)</f>
        <v>0</v>
      </c>
      <c r="AH159">
        <f>VLOOKUP(Table5[[#This Row],[Shortname]], Comp[], 31, FALSE)</f>
        <v>0</v>
      </c>
    </row>
    <row r="160" spans="1:34" x14ac:dyDescent="0.3">
      <c r="A160" t="s">
        <v>1580</v>
      </c>
      <c r="B160">
        <v>159</v>
      </c>
      <c r="C160" t="str">
        <f>VLOOKUP(Table5[[#This Row],[Shortname]], [1]!comp[#Data], 2, FALSE)</f>
        <v>Low-W</v>
      </c>
      <c r="D160" t="s">
        <v>1582</v>
      </c>
      <c r="E160" s="3" t="s">
        <v>1568</v>
      </c>
      <c r="F160">
        <v>949</v>
      </c>
      <c r="G160">
        <v>1410</v>
      </c>
      <c r="H160">
        <v>1433</v>
      </c>
      <c r="I160">
        <f>VLOOKUP(Table5[[#This Row],[Shortname]], Comp[], 6, FALSE)</f>
        <v>201</v>
      </c>
      <c r="J160" s="14">
        <f>VLOOKUP(Table5[[#This Row],[Shortname]], Comp[], 7, FALSE)</f>
        <v>44.220000000000006</v>
      </c>
      <c r="K160">
        <f>VLOOKUP(Table5[[#This Row],[Shortname]], Comp[], 8, FALSE)</f>
        <v>29.89</v>
      </c>
      <c r="L160">
        <f>VLOOKUP(Table5[[#This Row],[Shortname]], Comp[], 9, FALSE)</f>
        <v>8.91</v>
      </c>
      <c r="M160">
        <f>VLOOKUP(Table5[[#This Row],[Shortname]], Comp[], 10, FALSE)</f>
        <v>12.1</v>
      </c>
      <c r="N160">
        <f>VLOOKUP(Table5[[#This Row],[Shortname]], Comp[], 11, FALSE)</f>
        <v>3.09</v>
      </c>
      <c r="O160">
        <f>VLOOKUP(Table5[[#This Row],[Shortname]], Comp[],12, FALSE)</f>
        <v>0</v>
      </c>
      <c r="P160">
        <f>VLOOKUP(Table5[[#This Row],[Shortname]], Comp[], 13, FALSE)</f>
        <v>0</v>
      </c>
      <c r="Q160">
        <f>VLOOKUP(Table5[[#This Row],[Shortname]], Comp[], 14, FALSE)</f>
        <v>0</v>
      </c>
      <c r="R160">
        <f>VLOOKUP(Table5[[#This Row],[Shortname]], Comp[], 15, FALSE)</f>
        <v>0</v>
      </c>
      <c r="S160">
        <f>VLOOKUP(Table5[[#This Row],[Shortname]], Comp[], 16, FALSE)</f>
        <v>1.79</v>
      </c>
      <c r="T160">
        <f>VLOOKUP(Table5[[#This Row],[Shortname]], Comp[], 17, FALSE)</f>
        <v>0</v>
      </c>
      <c r="U160">
        <f>VLOOKUP(Table5[[#This Row],[Shortname]], Comp[], 18, FALSE)</f>
        <v>0</v>
      </c>
      <c r="V160">
        <f>VLOOKUP(Table5[[#This Row],[Shortname]], Comp[], 19, FALSE)</f>
        <v>0</v>
      </c>
      <c r="W160">
        <f>VLOOKUP(Table5[[#This Row],[Shortname]], Comp[], 20, FALSE)</f>
        <v>0</v>
      </c>
      <c r="X160">
        <f>VLOOKUP(Table5[[#This Row],[Shortname]], Comp[], 21, FALSE)</f>
        <v>0</v>
      </c>
      <c r="Y160">
        <f>VLOOKUP(Table5[[#This Row],[Shortname]], Comp[], 22, FALSE)</f>
        <v>0</v>
      </c>
      <c r="Z160">
        <f>VLOOKUP(Table5[[#This Row],[Shortname]], Comp[], 23, FALSE)</f>
        <v>0</v>
      </c>
      <c r="AA160">
        <f>VLOOKUP(Table5[[#This Row],[Shortname]], Comp[], 24, FALSE)</f>
        <v>0</v>
      </c>
      <c r="AB160">
        <f>VLOOKUP(Table5[[#This Row],[Shortname]], Comp[], 25, FALSE)</f>
        <v>0</v>
      </c>
      <c r="AC160">
        <f>VLOOKUP(Table5[[#This Row],[Shortname]], Comp[], 26, FALSE)</f>
        <v>0</v>
      </c>
      <c r="AD160">
        <f>VLOOKUP(Table5[[#This Row],[Shortname]], Comp[], 27, FALSE)</f>
        <v>0</v>
      </c>
      <c r="AE160">
        <f>VLOOKUP(Table5[[#This Row],[Shortname]], Comp[], 28, FALSE)</f>
        <v>0</v>
      </c>
      <c r="AF160">
        <f>VLOOKUP(Table5[[#This Row],[Shortname]], Comp[], 29, FALSE)</f>
        <v>0</v>
      </c>
      <c r="AG160">
        <f>VLOOKUP(Table5[[#This Row],[Shortname]], Comp[], 30, FALSE)</f>
        <v>0</v>
      </c>
      <c r="AH160">
        <f>VLOOKUP(Table5[[#This Row],[Shortname]], Comp[], 31, FALSE)</f>
        <v>0</v>
      </c>
    </row>
    <row r="161" spans="1:34" x14ac:dyDescent="0.3">
      <c r="A161" t="s">
        <v>1620</v>
      </c>
      <c r="B161">
        <v>161</v>
      </c>
      <c r="C161" t="str">
        <f>VLOOKUP(Table5[[#This Row],[Shortname]], [1]!comp[#Data], 2, FALSE)</f>
        <v>Co3Ti</v>
      </c>
      <c r="D161" t="s">
        <v>1622</v>
      </c>
      <c r="E161" s="3" t="s">
        <v>1623</v>
      </c>
      <c r="F161">
        <v>778</v>
      </c>
      <c r="G161">
        <v>1365</v>
      </c>
      <c r="H161">
        <v>1425</v>
      </c>
      <c r="I161">
        <f>VLOOKUP(Table5[[#This Row],[Shortname]], Comp[], 6, FALSE)</f>
        <v>206</v>
      </c>
      <c r="J161" s="14">
        <f>VLOOKUP(Table5[[#This Row],[Shortname]], Comp[], 7, FALSE)</f>
        <v>60</v>
      </c>
      <c r="K161">
        <f>VLOOKUP(Table5[[#This Row],[Shortname]], Comp[], 8, FALSE)</f>
        <v>30</v>
      </c>
      <c r="L161">
        <f>VLOOKUP(Table5[[#This Row],[Shortname]], Comp[], 9, FALSE)</f>
        <v>6.7</v>
      </c>
      <c r="M161">
        <f>VLOOKUP(Table5[[#This Row],[Shortname]], Comp[], 10, FALSE)</f>
        <v>0</v>
      </c>
      <c r="N161">
        <f>VLOOKUP(Table5[[#This Row],[Shortname]], Comp[], 11, FALSE)</f>
        <v>0</v>
      </c>
      <c r="O161">
        <f>VLOOKUP(Table5[[#This Row],[Shortname]], Comp[],12, FALSE)</f>
        <v>3.3</v>
      </c>
      <c r="P161">
        <f>VLOOKUP(Table5[[#This Row],[Shortname]], Comp[], 13, FALSE)</f>
        <v>0</v>
      </c>
      <c r="Q161">
        <f>VLOOKUP(Table5[[#This Row],[Shortname]], Comp[], 14, FALSE)</f>
        <v>0</v>
      </c>
      <c r="R161">
        <f>VLOOKUP(Table5[[#This Row],[Shortname]], Comp[], 15, FALSE)</f>
        <v>0</v>
      </c>
      <c r="S161">
        <f>VLOOKUP(Table5[[#This Row],[Shortname]], Comp[], 16, FALSE)</f>
        <v>0</v>
      </c>
      <c r="T161">
        <f>VLOOKUP(Table5[[#This Row],[Shortname]], Comp[], 17, FALSE)</f>
        <v>0</v>
      </c>
      <c r="U161">
        <f>VLOOKUP(Table5[[#This Row],[Shortname]], Comp[], 18, FALSE)</f>
        <v>0</v>
      </c>
      <c r="V161">
        <f>VLOOKUP(Table5[[#This Row],[Shortname]], Comp[], 19, FALSE)</f>
        <v>0</v>
      </c>
      <c r="W161">
        <f>VLOOKUP(Table5[[#This Row],[Shortname]], Comp[], 20, FALSE)</f>
        <v>0</v>
      </c>
      <c r="X161">
        <f>VLOOKUP(Table5[[#This Row],[Shortname]], Comp[], 21, FALSE)</f>
        <v>0</v>
      </c>
      <c r="Y161">
        <f>VLOOKUP(Table5[[#This Row],[Shortname]], Comp[], 22, FALSE)</f>
        <v>0</v>
      </c>
      <c r="Z161">
        <f>VLOOKUP(Table5[[#This Row],[Shortname]], Comp[], 23, FALSE)</f>
        <v>0</v>
      </c>
      <c r="AA161">
        <f>VLOOKUP(Table5[[#This Row],[Shortname]], Comp[], 24, FALSE)</f>
        <v>0</v>
      </c>
      <c r="AB161">
        <f>VLOOKUP(Table5[[#This Row],[Shortname]], Comp[], 25, FALSE)</f>
        <v>0</v>
      </c>
      <c r="AC161">
        <f>VLOOKUP(Table5[[#This Row],[Shortname]], Comp[], 26, FALSE)</f>
        <v>0</v>
      </c>
      <c r="AD161">
        <f>VLOOKUP(Table5[[#This Row],[Shortname]], Comp[], 27, FALSE)</f>
        <v>0</v>
      </c>
      <c r="AE161">
        <f>VLOOKUP(Table5[[#This Row],[Shortname]], Comp[], 28, FALSE)</f>
        <v>0</v>
      </c>
      <c r="AF161">
        <f>VLOOKUP(Table5[[#This Row],[Shortname]], Comp[], 29, FALSE)</f>
        <v>0</v>
      </c>
      <c r="AG161">
        <f>VLOOKUP(Table5[[#This Row],[Shortname]], Comp[], 30, FALSE)</f>
        <v>0</v>
      </c>
      <c r="AH161">
        <f>VLOOKUP(Table5[[#This Row],[Shortname]], Comp[], 31, FALSE)</f>
        <v>0</v>
      </c>
    </row>
    <row r="162" spans="1:34" x14ac:dyDescent="0.3">
      <c r="A162" t="s">
        <v>1629</v>
      </c>
      <c r="B162">
        <v>162</v>
      </c>
      <c r="C162" t="str">
        <f>VLOOKUP(Table5[[#This Row],[Shortname]], [1]!comp[#Data], 2, FALSE)</f>
        <v>W-free</v>
      </c>
      <c r="D162" t="s">
        <v>1631</v>
      </c>
      <c r="E162" s="3" t="s">
        <v>1623</v>
      </c>
      <c r="F162">
        <v>775</v>
      </c>
      <c r="G162">
        <v>1399</v>
      </c>
      <c r="H162">
        <v>1443</v>
      </c>
      <c r="I162">
        <f>VLOOKUP(Table5[[#This Row],[Shortname]], Comp[], 6, FALSE)</f>
        <v>207</v>
      </c>
      <c r="J162" s="14">
        <f>VLOOKUP(Table5[[#This Row],[Shortname]], Comp[], 7, FALSE)</f>
        <v>60</v>
      </c>
      <c r="K162">
        <f>VLOOKUP(Table5[[#This Row],[Shortname]], Comp[], 8, FALSE)</f>
        <v>30</v>
      </c>
      <c r="L162">
        <f>VLOOKUP(Table5[[#This Row],[Shortname]], Comp[], 9, FALSE)</f>
        <v>7.5</v>
      </c>
      <c r="M162">
        <f>VLOOKUP(Table5[[#This Row],[Shortname]], Comp[], 10, FALSE)</f>
        <v>0</v>
      </c>
      <c r="N162">
        <f>VLOOKUP(Table5[[#This Row],[Shortname]], Comp[], 11, FALSE)</f>
        <v>0</v>
      </c>
      <c r="O162">
        <f>VLOOKUP(Table5[[#This Row],[Shortname]], Comp[],12, FALSE)</f>
        <v>2.5</v>
      </c>
      <c r="P162">
        <f>VLOOKUP(Table5[[#This Row],[Shortname]], Comp[], 13, FALSE)</f>
        <v>0</v>
      </c>
      <c r="Q162">
        <f>VLOOKUP(Table5[[#This Row],[Shortname]], Comp[], 14, FALSE)</f>
        <v>0</v>
      </c>
      <c r="R162">
        <f>VLOOKUP(Table5[[#This Row],[Shortname]], Comp[], 15, FALSE)</f>
        <v>0</v>
      </c>
      <c r="S162">
        <f>VLOOKUP(Table5[[#This Row],[Shortname]], Comp[], 16, FALSE)</f>
        <v>0</v>
      </c>
      <c r="T162">
        <f>VLOOKUP(Table5[[#This Row],[Shortname]], Comp[], 17, FALSE)</f>
        <v>0</v>
      </c>
      <c r="U162">
        <f>VLOOKUP(Table5[[#This Row],[Shortname]], Comp[], 18, FALSE)</f>
        <v>0</v>
      </c>
      <c r="V162">
        <f>VLOOKUP(Table5[[#This Row],[Shortname]], Comp[], 19, FALSE)</f>
        <v>0</v>
      </c>
      <c r="W162">
        <f>VLOOKUP(Table5[[#This Row],[Shortname]], Comp[], 20, FALSE)</f>
        <v>0</v>
      </c>
      <c r="X162">
        <f>VLOOKUP(Table5[[#This Row],[Shortname]], Comp[], 21, FALSE)</f>
        <v>0</v>
      </c>
      <c r="Y162">
        <f>VLOOKUP(Table5[[#This Row],[Shortname]], Comp[], 22, FALSE)</f>
        <v>0</v>
      </c>
      <c r="Z162">
        <f>VLOOKUP(Table5[[#This Row],[Shortname]], Comp[], 23, FALSE)</f>
        <v>0</v>
      </c>
      <c r="AA162">
        <f>VLOOKUP(Table5[[#This Row],[Shortname]], Comp[], 24, FALSE)</f>
        <v>0</v>
      </c>
      <c r="AB162">
        <f>VLOOKUP(Table5[[#This Row],[Shortname]], Comp[], 25, FALSE)</f>
        <v>0</v>
      </c>
      <c r="AC162">
        <f>VLOOKUP(Table5[[#This Row],[Shortname]], Comp[], 26, FALSE)</f>
        <v>0</v>
      </c>
      <c r="AD162">
        <f>VLOOKUP(Table5[[#This Row],[Shortname]], Comp[], 27, FALSE)</f>
        <v>0</v>
      </c>
      <c r="AE162">
        <f>VLOOKUP(Table5[[#This Row],[Shortname]], Comp[], 28, FALSE)</f>
        <v>0</v>
      </c>
      <c r="AF162">
        <f>VLOOKUP(Table5[[#This Row],[Shortname]], Comp[], 29, FALSE)</f>
        <v>0</v>
      </c>
      <c r="AG162">
        <f>VLOOKUP(Table5[[#This Row],[Shortname]], Comp[], 30, FALSE)</f>
        <v>0</v>
      </c>
      <c r="AH162">
        <f>VLOOKUP(Table5[[#This Row],[Shortname]], Comp[], 31, FALSE)</f>
        <v>0</v>
      </c>
    </row>
    <row r="163" spans="1:34" x14ac:dyDescent="0.3">
      <c r="A163" t="s">
        <v>1646</v>
      </c>
      <c r="B163">
        <v>163</v>
      </c>
      <c r="C163" t="str">
        <f>VLOOKUP(Table5[[#This Row],[Shortname]], [1]!comp[#Data], 2, FALSE)</f>
        <v>Co3Ti</v>
      </c>
      <c r="D163" t="s">
        <v>1648</v>
      </c>
      <c r="E163" s="3" t="s">
        <v>1623</v>
      </c>
      <c r="F163">
        <v>766</v>
      </c>
      <c r="G163">
        <v>1397</v>
      </c>
      <c r="H163">
        <v>1442</v>
      </c>
      <c r="I163">
        <f>VLOOKUP(Table5[[#This Row],[Shortname]], Comp[], 6, FALSE)</f>
        <v>210</v>
      </c>
      <c r="J163" s="14">
        <f>VLOOKUP(Table5[[#This Row],[Shortname]], Comp[], 7, FALSE)</f>
        <v>60</v>
      </c>
      <c r="K163">
        <f>VLOOKUP(Table5[[#This Row],[Shortname]], Comp[], 8, FALSE)</f>
        <v>30</v>
      </c>
      <c r="L163">
        <f>VLOOKUP(Table5[[#This Row],[Shortname]], Comp[], 9, FALSE)</f>
        <v>8.3000000000000007</v>
      </c>
      <c r="M163">
        <f>VLOOKUP(Table5[[#This Row],[Shortname]], Comp[], 10, FALSE)</f>
        <v>0</v>
      </c>
      <c r="N163">
        <f>VLOOKUP(Table5[[#This Row],[Shortname]], Comp[], 11, FALSE)</f>
        <v>0</v>
      </c>
      <c r="O163">
        <f>VLOOKUP(Table5[[#This Row],[Shortname]], Comp[],12, FALSE)</f>
        <v>1.7</v>
      </c>
      <c r="P163">
        <f>VLOOKUP(Table5[[#This Row],[Shortname]], Comp[], 13, FALSE)</f>
        <v>0</v>
      </c>
      <c r="Q163">
        <f>VLOOKUP(Table5[[#This Row],[Shortname]], Comp[], 14, FALSE)</f>
        <v>0</v>
      </c>
      <c r="R163">
        <f>VLOOKUP(Table5[[#This Row],[Shortname]], Comp[], 15, FALSE)</f>
        <v>0</v>
      </c>
      <c r="S163">
        <f>VLOOKUP(Table5[[#This Row],[Shortname]], Comp[], 16, FALSE)</f>
        <v>0</v>
      </c>
      <c r="T163">
        <f>VLOOKUP(Table5[[#This Row],[Shortname]], Comp[], 17, FALSE)</f>
        <v>0</v>
      </c>
      <c r="U163">
        <f>VLOOKUP(Table5[[#This Row],[Shortname]], Comp[], 18, FALSE)</f>
        <v>0</v>
      </c>
      <c r="V163">
        <f>VLOOKUP(Table5[[#This Row],[Shortname]], Comp[], 19, FALSE)</f>
        <v>0</v>
      </c>
      <c r="W163">
        <f>VLOOKUP(Table5[[#This Row],[Shortname]], Comp[], 20, FALSE)</f>
        <v>0</v>
      </c>
      <c r="X163">
        <f>VLOOKUP(Table5[[#This Row],[Shortname]], Comp[], 21, FALSE)</f>
        <v>0</v>
      </c>
      <c r="Y163">
        <f>VLOOKUP(Table5[[#This Row],[Shortname]], Comp[], 22, FALSE)</f>
        <v>0</v>
      </c>
      <c r="Z163">
        <f>VLOOKUP(Table5[[#This Row],[Shortname]], Comp[], 23, FALSE)</f>
        <v>0</v>
      </c>
      <c r="AA163">
        <f>VLOOKUP(Table5[[#This Row],[Shortname]], Comp[], 24, FALSE)</f>
        <v>0</v>
      </c>
      <c r="AB163">
        <f>VLOOKUP(Table5[[#This Row],[Shortname]], Comp[], 25, FALSE)</f>
        <v>0</v>
      </c>
      <c r="AC163">
        <f>VLOOKUP(Table5[[#This Row],[Shortname]], Comp[], 26, FALSE)</f>
        <v>0</v>
      </c>
      <c r="AD163">
        <f>VLOOKUP(Table5[[#This Row],[Shortname]], Comp[], 27, FALSE)</f>
        <v>0</v>
      </c>
      <c r="AE163">
        <f>VLOOKUP(Table5[[#This Row],[Shortname]], Comp[], 28, FALSE)</f>
        <v>0</v>
      </c>
      <c r="AF163">
        <f>VLOOKUP(Table5[[#This Row],[Shortname]], Comp[], 29, FALSE)</f>
        <v>0</v>
      </c>
      <c r="AG163">
        <f>VLOOKUP(Table5[[#This Row],[Shortname]], Comp[], 30, FALSE)</f>
        <v>0</v>
      </c>
      <c r="AH163">
        <f>VLOOKUP(Table5[[#This Row],[Shortname]], Comp[], 31, FALSE)</f>
        <v>0</v>
      </c>
    </row>
    <row r="164" spans="1:34" x14ac:dyDescent="0.3">
      <c r="A164" t="s">
        <v>1641</v>
      </c>
      <c r="B164">
        <v>164</v>
      </c>
      <c r="C164" t="str">
        <f>VLOOKUP(Table5[[#This Row],[Shortname]], [1]!comp[#Data], 2, FALSE)</f>
        <v>W-free</v>
      </c>
      <c r="D164" t="s">
        <v>1484</v>
      </c>
      <c r="E164" s="3" t="s">
        <v>1623</v>
      </c>
      <c r="F164">
        <v>732</v>
      </c>
      <c r="G164">
        <v>1419</v>
      </c>
      <c r="H164">
        <v>1454</v>
      </c>
      <c r="I164">
        <f>VLOOKUP(Table5[[#This Row],[Shortname]], Comp[], 6, FALSE)</f>
        <v>209</v>
      </c>
      <c r="J164" s="14">
        <f>VLOOKUP(Table5[[#This Row],[Shortname]], Comp[], 7, FALSE)</f>
        <v>58</v>
      </c>
      <c r="K164">
        <f>VLOOKUP(Table5[[#This Row],[Shortname]], Comp[], 8, FALSE)</f>
        <v>30</v>
      </c>
      <c r="L164">
        <f>VLOOKUP(Table5[[#This Row],[Shortname]], Comp[], 9, FALSE)</f>
        <v>7.5</v>
      </c>
      <c r="M164">
        <f>VLOOKUP(Table5[[#This Row],[Shortname]], Comp[], 10, FALSE)</f>
        <v>0</v>
      </c>
      <c r="N164">
        <f>VLOOKUP(Table5[[#This Row],[Shortname]], Comp[], 11, FALSE)</f>
        <v>0</v>
      </c>
      <c r="O164">
        <f>VLOOKUP(Table5[[#This Row],[Shortname]], Comp[],12, FALSE)</f>
        <v>2.5</v>
      </c>
      <c r="P164">
        <f>VLOOKUP(Table5[[#This Row],[Shortname]], Comp[], 13, FALSE)</f>
        <v>0</v>
      </c>
      <c r="Q164">
        <f>VLOOKUP(Table5[[#This Row],[Shortname]], Comp[], 14, FALSE)</f>
        <v>0</v>
      </c>
      <c r="R164">
        <f>VLOOKUP(Table5[[#This Row],[Shortname]], Comp[], 15, FALSE)</f>
        <v>0</v>
      </c>
      <c r="S164">
        <f>VLOOKUP(Table5[[#This Row],[Shortname]], Comp[], 16, FALSE)</f>
        <v>2</v>
      </c>
      <c r="T164">
        <f>VLOOKUP(Table5[[#This Row],[Shortname]], Comp[], 17, FALSE)</f>
        <v>0</v>
      </c>
      <c r="U164">
        <f>VLOOKUP(Table5[[#This Row],[Shortname]], Comp[], 18, FALSE)</f>
        <v>0</v>
      </c>
      <c r="V164">
        <f>VLOOKUP(Table5[[#This Row],[Shortname]], Comp[], 19, FALSE)</f>
        <v>0</v>
      </c>
      <c r="W164">
        <f>VLOOKUP(Table5[[#This Row],[Shortname]], Comp[], 20, FALSE)</f>
        <v>0</v>
      </c>
      <c r="X164">
        <f>VLOOKUP(Table5[[#This Row],[Shortname]], Comp[], 21, FALSE)</f>
        <v>0</v>
      </c>
      <c r="Y164">
        <f>VLOOKUP(Table5[[#This Row],[Shortname]], Comp[], 22, FALSE)</f>
        <v>0</v>
      </c>
      <c r="Z164">
        <f>VLOOKUP(Table5[[#This Row],[Shortname]], Comp[], 23, FALSE)</f>
        <v>0</v>
      </c>
      <c r="AA164">
        <f>VLOOKUP(Table5[[#This Row],[Shortname]], Comp[], 24, FALSE)</f>
        <v>0</v>
      </c>
      <c r="AB164">
        <f>VLOOKUP(Table5[[#This Row],[Shortname]], Comp[], 25, FALSE)</f>
        <v>0</v>
      </c>
      <c r="AC164">
        <f>VLOOKUP(Table5[[#This Row],[Shortname]], Comp[], 26, FALSE)</f>
        <v>0</v>
      </c>
      <c r="AD164">
        <f>VLOOKUP(Table5[[#This Row],[Shortname]], Comp[], 27, FALSE)</f>
        <v>0</v>
      </c>
      <c r="AE164">
        <f>VLOOKUP(Table5[[#This Row],[Shortname]], Comp[], 28, FALSE)</f>
        <v>0</v>
      </c>
      <c r="AF164">
        <f>VLOOKUP(Table5[[#This Row],[Shortname]], Comp[], 29, FALSE)</f>
        <v>0</v>
      </c>
      <c r="AG164">
        <f>VLOOKUP(Table5[[#This Row],[Shortname]], Comp[], 30, FALSE)</f>
        <v>0</v>
      </c>
      <c r="AH164">
        <f>VLOOKUP(Table5[[#This Row],[Shortname]], Comp[], 31, FALSE)</f>
        <v>0</v>
      </c>
    </row>
    <row r="165" spans="1:34" x14ac:dyDescent="0.3">
      <c r="A165" t="s">
        <v>1635</v>
      </c>
      <c r="B165">
        <v>165</v>
      </c>
      <c r="C165" t="str">
        <f>VLOOKUP(Table5[[#This Row],[Shortname]], [1]!comp[#Data], 2, FALSE)</f>
        <v>W-free</v>
      </c>
      <c r="D165" t="s">
        <v>1637</v>
      </c>
      <c r="E165" s="3" t="s">
        <v>1623</v>
      </c>
      <c r="F165">
        <v>730</v>
      </c>
      <c r="G165">
        <v>1400</v>
      </c>
      <c r="H165">
        <v>1445</v>
      </c>
      <c r="I165">
        <f>VLOOKUP(Table5[[#This Row],[Shortname]], Comp[], 6, FALSE)</f>
        <v>208</v>
      </c>
      <c r="J165" s="14">
        <f>VLOOKUP(Table5[[#This Row],[Shortname]], Comp[], 7, FALSE)</f>
        <v>58</v>
      </c>
      <c r="K165">
        <f>VLOOKUP(Table5[[#This Row],[Shortname]], Comp[], 8, FALSE)</f>
        <v>30</v>
      </c>
      <c r="L165">
        <f>VLOOKUP(Table5[[#This Row],[Shortname]], Comp[], 9, FALSE)</f>
        <v>7.5</v>
      </c>
      <c r="M165">
        <f>VLOOKUP(Table5[[#This Row],[Shortname]], Comp[], 10, FALSE)</f>
        <v>2</v>
      </c>
      <c r="N165">
        <f>VLOOKUP(Table5[[#This Row],[Shortname]], Comp[], 11, FALSE)</f>
        <v>0</v>
      </c>
      <c r="O165">
        <f>VLOOKUP(Table5[[#This Row],[Shortname]], Comp[],12, FALSE)</f>
        <v>2.5</v>
      </c>
      <c r="P165">
        <f>VLOOKUP(Table5[[#This Row],[Shortname]], Comp[], 13, FALSE)</f>
        <v>0</v>
      </c>
      <c r="Q165">
        <f>VLOOKUP(Table5[[#This Row],[Shortname]], Comp[], 14, FALSE)</f>
        <v>0</v>
      </c>
      <c r="R165">
        <f>VLOOKUP(Table5[[#This Row],[Shortname]], Comp[], 15, FALSE)</f>
        <v>0</v>
      </c>
      <c r="S165">
        <f>VLOOKUP(Table5[[#This Row],[Shortname]], Comp[], 16, FALSE)</f>
        <v>0</v>
      </c>
      <c r="T165">
        <f>VLOOKUP(Table5[[#This Row],[Shortname]], Comp[], 17, FALSE)</f>
        <v>0</v>
      </c>
      <c r="U165">
        <f>VLOOKUP(Table5[[#This Row],[Shortname]], Comp[], 18, FALSE)</f>
        <v>0</v>
      </c>
      <c r="V165">
        <f>VLOOKUP(Table5[[#This Row],[Shortname]], Comp[], 19, FALSE)</f>
        <v>0</v>
      </c>
      <c r="W165">
        <f>VLOOKUP(Table5[[#This Row],[Shortname]], Comp[], 20, FALSE)</f>
        <v>0</v>
      </c>
      <c r="X165">
        <f>VLOOKUP(Table5[[#This Row],[Shortname]], Comp[], 21, FALSE)</f>
        <v>0</v>
      </c>
      <c r="Y165">
        <f>VLOOKUP(Table5[[#This Row],[Shortname]], Comp[], 22, FALSE)</f>
        <v>0</v>
      </c>
      <c r="Z165">
        <f>VLOOKUP(Table5[[#This Row],[Shortname]], Comp[], 23, FALSE)</f>
        <v>0</v>
      </c>
      <c r="AA165">
        <f>VLOOKUP(Table5[[#This Row],[Shortname]], Comp[], 24, FALSE)</f>
        <v>0</v>
      </c>
      <c r="AB165">
        <f>VLOOKUP(Table5[[#This Row],[Shortname]], Comp[], 25, FALSE)</f>
        <v>0</v>
      </c>
      <c r="AC165">
        <f>VLOOKUP(Table5[[#This Row],[Shortname]], Comp[], 26, FALSE)</f>
        <v>0</v>
      </c>
      <c r="AD165">
        <f>VLOOKUP(Table5[[#This Row],[Shortname]], Comp[], 27, FALSE)</f>
        <v>0</v>
      </c>
      <c r="AE165">
        <f>VLOOKUP(Table5[[#This Row],[Shortname]], Comp[], 28, FALSE)</f>
        <v>0</v>
      </c>
      <c r="AF165">
        <f>VLOOKUP(Table5[[#This Row],[Shortname]], Comp[], 29, FALSE)</f>
        <v>0</v>
      </c>
      <c r="AG165">
        <f>VLOOKUP(Table5[[#This Row],[Shortname]], Comp[], 30, FALSE)</f>
        <v>0</v>
      </c>
      <c r="AH165">
        <f>VLOOKUP(Table5[[#This Row],[Shortname]], Comp[], 31, FALSE)</f>
        <v>0</v>
      </c>
    </row>
    <row r="166" spans="1:34" x14ac:dyDescent="0.3">
      <c r="A166" t="s">
        <v>1663</v>
      </c>
      <c r="B166">
        <v>166</v>
      </c>
      <c r="C166" t="str">
        <f>VLOOKUP(Table5[[#This Row],[Shortname]], [1]!comp[#Data], 2, FALSE)</f>
        <v>CoAlWX+</v>
      </c>
      <c r="D166" t="s">
        <v>1665</v>
      </c>
      <c r="E166" s="3" t="s">
        <v>1666</v>
      </c>
      <c r="F166">
        <v>1079</v>
      </c>
      <c r="I166">
        <f>VLOOKUP(Table5[[#This Row],[Shortname]], Comp[], 6, FALSE)</f>
        <v>212</v>
      </c>
      <c r="J166" s="14">
        <f>VLOOKUP(Table5[[#This Row],[Shortname]], Comp[], 7, FALSE)</f>
        <v>59.199999999999996</v>
      </c>
      <c r="K166">
        <f>VLOOKUP(Table5[[#This Row],[Shortname]], Comp[], 8, FALSE)</f>
        <v>20.399999999999999</v>
      </c>
      <c r="L166">
        <f>VLOOKUP(Table5[[#This Row],[Shortname]], Comp[], 9, FALSE)</f>
        <v>9.8000000000000007</v>
      </c>
      <c r="M166">
        <f>VLOOKUP(Table5[[#This Row],[Shortname]], Comp[], 10, FALSE)</f>
        <v>0</v>
      </c>
      <c r="N166">
        <f>VLOOKUP(Table5[[#This Row],[Shortname]], Comp[], 11, FALSE)</f>
        <v>7.4</v>
      </c>
      <c r="O166">
        <f>VLOOKUP(Table5[[#This Row],[Shortname]], Comp[],12, FALSE)</f>
        <v>2.7</v>
      </c>
      <c r="P166">
        <f>VLOOKUP(Table5[[#This Row],[Shortname]], Comp[], 13, FALSE)</f>
        <v>0</v>
      </c>
      <c r="Q166">
        <f>VLOOKUP(Table5[[#This Row],[Shortname]], Comp[], 14, FALSE)</f>
        <v>0</v>
      </c>
      <c r="R166">
        <f>VLOOKUP(Table5[[#This Row],[Shortname]], Comp[], 15, FALSE)</f>
        <v>0</v>
      </c>
      <c r="S166">
        <f>VLOOKUP(Table5[[#This Row],[Shortname]], Comp[], 16, FALSE)</f>
        <v>0</v>
      </c>
      <c r="T166">
        <f>VLOOKUP(Table5[[#This Row],[Shortname]], Comp[], 17, FALSE)</f>
        <v>0.4</v>
      </c>
      <c r="U166">
        <f>VLOOKUP(Table5[[#This Row],[Shortname]], Comp[], 18, FALSE)</f>
        <v>0</v>
      </c>
      <c r="V166">
        <f>VLOOKUP(Table5[[#This Row],[Shortname]], Comp[], 19, FALSE)</f>
        <v>0.1</v>
      </c>
      <c r="W166">
        <f>VLOOKUP(Table5[[#This Row],[Shortname]], Comp[], 20, FALSE)</f>
        <v>0</v>
      </c>
      <c r="X166">
        <f>VLOOKUP(Table5[[#This Row],[Shortname]], Comp[], 21, FALSE)</f>
        <v>0</v>
      </c>
      <c r="Y166">
        <f>VLOOKUP(Table5[[#This Row],[Shortname]], Comp[], 22, FALSE)</f>
        <v>0</v>
      </c>
      <c r="Z166">
        <f>VLOOKUP(Table5[[#This Row],[Shortname]], Comp[], 23, FALSE)</f>
        <v>0</v>
      </c>
      <c r="AA166">
        <f>VLOOKUP(Table5[[#This Row],[Shortname]], Comp[], 24, FALSE)</f>
        <v>0</v>
      </c>
      <c r="AB166">
        <f>VLOOKUP(Table5[[#This Row],[Shortname]], Comp[], 25, FALSE)</f>
        <v>0</v>
      </c>
      <c r="AC166">
        <f>VLOOKUP(Table5[[#This Row],[Shortname]], Comp[], 26, FALSE)</f>
        <v>0</v>
      </c>
      <c r="AD166">
        <f>VLOOKUP(Table5[[#This Row],[Shortname]], Comp[], 27, FALSE)</f>
        <v>0</v>
      </c>
      <c r="AE166">
        <f>VLOOKUP(Table5[[#This Row],[Shortname]], Comp[], 28, FALSE)</f>
        <v>0</v>
      </c>
      <c r="AF166">
        <f>VLOOKUP(Table5[[#This Row],[Shortname]], Comp[], 29, FALSE)</f>
        <v>0</v>
      </c>
      <c r="AG166">
        <f>VLOOKUP(Table5[[#This Row],[Shortname]], Comp[], 30, FALSE)</f>
        <v>0</v>
      </c>
      <c r="AH166">
        <f>VLOOKUP(Table5[[#This Row],[Shortname]], Comp[], 31, FALSE)</f>
        <v>0</v>
      </c>
    </row>
    <row r="167" spans="1:34" x14ac:dyDescent="0.3">
      <c r="A167" s="18" t="s">
        <v>1680</v>
      </c>
      <c r="B167">
        <v>167</v>
      </c>
      <c r="C167" s="18" t="str">
        <f>VLOOKUP(Table5[[#This Row],[Shortname]], [1]!comp[#Data], 2, FALSE)</f>
        <v>Co3Ti</v>
      </c>
      <c r="D167" s="18" t="s">
        <v>1682</v>
      </c>
      <c r="E167" s="3" t="s">
        <v>1676</v>
      </c>
      <c r="F167">
        <v>1119</v>
      </c>
      <c r="G167">
        <v>1193</v>
      </c>
      <c r="H167">
        <v>1290</v>
      </c>
      <c r="I167">
        <f>VLOOKUP(Table5[[#This Row],[Shortname]], Comp[], 6, FALSE)</f>
        <v>214</v>
      </c>
      <c r="J167" s="14">
        <f>VLOOKUP(Table5[[#This Row],[Shortname]], Comp[], 7, FALSE)</f>
        <v>84</v>
      </c>
      <c r="K167">
        <f>VLOOKUP(Table5[[#This Row],[Shortname]], Comp[], 8, FALSE)</f>
        <v>0</v>
      </c>
      <c r="L167">
        <f>VLOOKUP(Table5[[#This Row],[Shortname]], Comp[], 9, FALSE)</f>
        <v>0</v>
      </c>
      <c r="M167">
        <f>VLOOKUP(Table5[[#This Row],[Shortname]], Comp[], 10, FALSE)</f>
        <v>0</v>
      </c>
      <c r="N167">
        <f>VLOOKUP(Table5[[#This Row],[Shortname]], Comp[], 11, FALSE)</f>
        <v>0</v>
      </c>
      <c r="O167">
        <f>VLOOKUP(Table5[[#This Row],[Shortname]], Comp[],12, FALSE)</f>
        <v>12</v>
      </c>
      <c r="P167">
        <f>VLOOKUP(Table5[[#This Row],[Shortname]], Comp[], 13, FALSE)</f>
        <v>0</v>
      </c>
      <c r="Q167">
        <f>VLOOKUP(Table5[[#This Row],[Shortname]], Comp[], 14, FALSE)</f>
        <v>0</v>
      </c>
      <c r="R167">
        <f>VLOOKUP(Table5[[#This Row],[Shortname]], Comp[], 15, FALSE)</f>
        <v>0</v>
      </c>
      <c r="S167">
        <f>VLOOKUP(Table5[[#This Row],[Shortname]], Comp[], 16, FALSE)</f>
        <v>4</v>
      </c>
      <c r="T167">
        <f>VLOOKUP(Table5[[#This Row],[Shortname]], Comp[], 17, FALSE)</f>
        <v>0</v>
      </c>
      <c r="U167">
        <f>VLOOKUP(Table5[[#This Row],[Shortname]], Comp[], 18, FALSE)</f>
        <v>0</v>
      </c>
      <c r="V167">
        <f>VLOOKUP(Table5[[#This Row],[Shortname]], Comp[], 19, FALSE)</f>
        <v>0</v>
      </c>
      <c r="W167">
        <f>VLOOKUP(Table5[[#This Row],[Shortname]], Comp[], 20, FALSE)</f>
        <v>0</v>
      </c>
      <c r="X167">
        <f>VLOOKUP(Table5[[#This Row],[Shortname]], Comp[], 21, FALSE)</f>
        <v>0</v>
      </c>
      <c r="Y167">
        <f>VLOOKUP(Table5[[#This Row],[Shortname]], Comp[], 22, FALSE)</f>
        <v>0</v>
      </c>
      <c r="Z167">
        <f>VLOOKUP(Table5[[#This Row],[Shortname]], Comp[], 23, FALSE)</f>
        <v>0</v>
      </c>
      <c r="AA167">
        <f>VLOOKUP(Table5[[#This Row],[Shortname]], Comp[], 24, FALSE)</f>
        <v>0</v>
      </c>
      <c r="AB167">
        <f>VLOOKUP(Table5[[#This Row],[Shortname]], Comp[], 25, FALSE)</f>
        <v>0</v>
      </c>
      <c r="AC167">
        <f>VLOOKUP(Table5[[#This Row],[Shortname]], Comp[], 26, FALSE)</f>
        <v>0</v>
      </c>
      <c r="AD167">
        <f>VLOOKUP(Table5[[#This Row],[Shortname]], Comp[], 27, FALSE)</f>
        <v>0</v>
      </c>
      <c r="AE167">
        <f>VLOOKUP(Table5[[#This Row],[Shortname]], Comp[], 28, FALSE)</f>
        <v>0</v>
      </c>
      <c r="AF167">
        <f>VLOOKUP(Table5[[#This Row],[Shortname]], Comp[], 29, FALSE)</f>
        <v>0</v>
      </c>
      <c r="AG167">
        <f>VLOOKUP(Table5[[#This Row],[Shortname]], Comp[], 30, FALSE)</f>
        <v>0</v>
      </c>
      <c r="AH167">
        <f>VLOOKUP(Table5[[#This Row],[Shortname]], Comp[], 31, FALSE)</f>
        <v>0</v>
      </c>
    </row>
    <row r="168" spans="1:34" x14ac:dyDescent="0.3">
      <c r="A168" s="18" t="s">
        <v>1686</v>
      </c>
      <c r="B168">
        <v>168</v>
      </c>
      <c r="C168" s="18" t="str">
        <f>VLOOKUP(Table5[[#This Row],[Shortname]], [1]!comp[#Data], 2, FALSE)</f>
        <v>Co3Ti</v>
      </c>
      <c r="D168" s="18" t="s">
        <v>1688</v>
      </c>
      <c r="E168" s="3" t="s">
        <v>1676</v>
      </c>
      <c r="F168">
        <v>1062</v>
      </c>
      <c r="G168">
        <v>1205</v>
      </c>
      <c r="H168">
        <v>1321</v>
      </c>
      <c r="I168">
        <f>VLOOKUP(Table5[[#This Row],[Shortname]], Comp[], 6, FALSE)</f>
        <v>215</v>
      </c>
      <c r="J168" s="14">
        <f>VLOOKUP(Table5[[#This Row],[Shortname]], Comp[], 7, FALSE)</f>
        <v>84</v>
      </c>
      <c r="K168">
        <f>VLOOKUP(Table5[[#This Row],[Shortname]], Comp[], 8, FALSE)</f>
        <v>0</v>
      </c>
      <c r="L168">
        <f>VLOOKUP(Table5[[#This Row],[Shortname]], Comp[], 9, FALSE)</f>
        <v>0</v>
      </c>
      <c r="M168">
        <f>VLOOKUP(Table5[[#This Row],[Shortname]], Comp[], 10, FALSE)</f>
        <v>4</v>
      </c>
      <c r="N168">
        <f>VLOOKUP(Table5[[#This Row],[Shortname]], Comp[], 11, FALSE)</f>
        <v>0</v>
      </c>
      <c r="O168">
        <f>VLOOKUP(Table5[[#This Row],[Shortname]], Comp[],12, FALSE)</f>
        <v>12</v>
      </c>
      <c r="P168">
        <f>VLOOKUP(Table5[[#This Row],[Shortname]], Comp[], 13, FALSE)</f>
        <v>0</v>
      </c>
      <c r="Q168">
        <f>VLOOKUP(Table5[[#This Row],[Shortname]], Comp[], 14, FALSE)</f>
        <v>0</v>
      </c>
      <c r="R168">
        <f>VLOOKUP(Table5[[#This Row],[Shortname]], Comp[], 15, FALSE)</f>
        <v>0</v>
      </c>
      <c r="S168">
        <f>VLOOKUP(Table5[[#This Row],[Shortname]], Comp[], 16, FALSE)</f>
        <v>0</v>
      </c>
      <c r="T168">
        <f>VLOOKUP(Table5[[#This Row],[Shortname]], Comp[], 17, FALSE)</f>
        <v>0</v>
      </c>
      <c r="U168">
        <f>VLOOKUP(Table5[[#This Row],[Shortname]], Comp[], 18, FALSE)</f>
        <v>0</v>
      </c>
      <c r="V168">
        <f>VLOOKUP(Table5[[#This Row],[Shortname]], Comp[], 19, FALSE)</f>
        <v>0</v>
      </c>
      <c r="W168">
        <f>VLOOKUP(Table5[[#This Row],[Shortname]], Comp[], 20, FALSE)</f>
        <v>0</v>
      </c>
      <c r="X168">
        <f>VLOOKUP(Table5[[#This Row],[Shortname]], Comp[], 21, FALSE)</f>
        <v>0</v>
      </c>
      <c r="Y168">
        <f>VLOOKUP(Table5[[#This Row],[Shortname]], Comp[], 22, FALSE)</f>
        <v>0</v>
      </c>
      <c r="Z168">
        <f>VLOOKUP(Table5[[#This Row],[Shortname]], Comp[], 23, FALSE)</f>
        <v>0</v>
      </c>
      <c r="AA168">
        <f>VLOOKUP(Table5[[#This Row],[Shortname]], Comp[], 24, FALSE)</f>
        <v>0</v>
      </c>
      <c r="AB168">
        <f>VLOOKUP(Table5[[#This Row],[Shortname]], Comp[], 25, FALSE)</f>
        <v>0</v>
      </c>
      <c r="AC168">
        <f>VLOOKUP(Table5[[#This Row],[Shortname]], Comp[], 26, FALSE)</f>
        <v>0</v>
      </c>
      <c r="AD168">
        <f>VLOOKUP(Table5[[#This Row],[Shortname]], Comp[], 27, FALSE)</f>
        <v>0</v>
      </c>
      <c r="AE168">
        <f>VLOOKUP(Table5[[#This Row],[Shortname]], Comp[], 28, FALSE)</f>
        <v>0</v>
      </c>
      <c r="AF168">
        <f>VLOOKUP(Table5[[#This Row],[Shortname]], Comp[], 29, FALSE)</f>
        <v>0</v>
      </c>
      <c r="AG168">
        <f>VLOOKUP(Table5[[#This Row],[Shortname]], Comp[], 30, FALSE)</f>
        <v>0</v>
      </c>
      <c r="AH168">
        <f>VLOOKUP(Table5[[#This Row],[Shortname]], Comp[], 31, FALSE)</f>
        <v>0</v>
      </c>
    </row>
    <row r="169" spans="1:34" x14ac:dyDescent="0.3">
      <c r="A169" t="s">
        <v>1673</v>
      </c>
      <c r="B169">
        <v>169</v>
      </c>
      <c r="C169" t="str">
        <f>VLOOKUP(Table5[[#This Row],[Shortname]], [1]!comp[#Data], 2, FALSE)</f>
        <v>Co3Ti</v>
      </c>
      <c r="D169" t="s">
        <v>1675</v>
      </c>
      <c r="E169" s="3" t="s">
        <v>1676</v>
      </c>
      <c r="F169">
        <v>1005</v>
      </c>
      <c r="G169">
        <v>1219</v>
      </c>
      <c r="H169">
        <v>1318</v>
      </c>
      <c r="I169">
        <f>VLOOKUP(Table5[[#This Row],[Shortname]], Comp[], 6, FALSE)</f>
        <v>213</v>
      </c>
      <c r="J169" s="14">
        <f>VLOOKUP(Table5[[#This Row],[Shortname]], Comp[], 7, FALSE)</f>
        <v>88</v>
      </c>
      <c r="K169">
        <f>VLOOKUP(Table5[[#This Row],[Shortname]], Comp[], 8, FALSE)</f>
        <v>0</v>
      </c>
      <c r="L169">
        <f>VLOOKUP(Table5[[#This Row],[Shortname]], Comp[], 9, FALSE)</f>
        <v>0</v>
      </c>
      <c r="M169">
        <f>VLOOKUP(Table5[[#This Row],[Shortname]], Comp[], 10, FALSE)</f>
        <v>0</v>
      </c>
      <c r="N169">
        <f>VLOOKUP(Table5[[#This Row],[Shortname]], Comp[], 11, FALSE)</f>
        <v>0</v>
      </c>
      <c r="O169">
        <f>VLOOKUP(Table5[[#This Row],[Shortname]], Comp[],12, FALSE)</f>
        <v>12</v>
      </c>
      <c r="P169">
        <f>VLOOKUP(Table5[[#This Row],[Shortname]], Comp[], 13, FALSE)</f>
        <v>0</v>
      </c>
      <c r="Q169">
        <f>VLOOKUP(Table5[[#This Row],[Shortname]], Comp[], 14, FALSE)</f>
        <v>0</v>
      </c>
      <c r="R169">
        <f>VLOOKUP(Table5[[#This Row],[Shortname]], Comp[], 15, FALSE)</f>
        <v>0</v>
      </c>
      <c r="S169">
        <f>VLOOKUP(Table5[[#This Row],[Shortname]], Comp[], 16, FALSE)</f>
        <v>0</v>
      </c>
      <c r="T169">
        <f>VLOOKUP(Table5[[#This Row],[Shortname]], Comp[], 17, FALSE)</f>
        <v>0</v>
      </c>
      <c r="U169">
        <f>VLOOKUP(Table5[[#This Row],[Shortname]], Comp[], 18, FALSE)</f>
        <v>0</v>
      </c>
      <c r="V169">
        <f>VLOOKUP(Table5[[#This Row],[Shortname]], Comp[], 19, FALSE)</f>
        <v>0</v>
      </c>
      <c r="W169">
        <f>VLOOKUP(Table5[[#This Row],[Shortname]], Comp[], 20, FALSE)</f>
        <v>0</v>
      </c>
      <c r="X169">
        <f>VLOOKUP(Table5[[#This Row],[Shortname]], Comp[], 21, FALSE)</f>
        <v>0</v>
      </c>
      <c r="Y169">
        <f>VLOOKUP(Table5[[#This Row],[Shortname]], Comp[], 22, FALSE)</f>
        <v>0</v>
      </c>
      <c r="Z169">
        <f>VLOOKUP(Table5[[#This Row],[Shortname]], Comp[], 23, FALSE)</f>
        <v>0</v>
      </c>
      <c r="AA169">
        <f>VLOOKUP(Table5[[#This Row],[Shortname]], Comp[], 24, FALSE)</f>
        <v>0</v>
      </c>
      <c r="AB169">
        <f>VLOOKUP(Table5[[#This Row],[Shortname]], Comp[], 25, FALSE)</f>
        <v>0</v>
      </c>
      <c r="AC169">
        <f>VLOOKUP(Table5[[#This Row],[Shortname]], Comp[], 26, FALSE)</f>
        <v>0</v>
      </c>
      <c r="AD169">
        <f>VLOOKUP(Table5[[#This Row],[Shortname]], Comp[], 27, FALSE)</f>
        <v>0</v>
      </c>
      <c r="AE169">
        <f>VLOOKUP(Table5[[#This Row],[Shortname]], Comp[], 28, FALSE)</f>
        <v>0</v>
      </c>
      <c r="AF169">
        <f>VLOOKUP(Table5[[#This Row],[Shortname]], Comp[], 29, FALSE)</f>
        <v>0</v>
      </c>
      <c r="AG169">
        <f>VLOOKUP(Table5[[#This Row],[Shortname]], Comp[], 30, FALSE)</f>
        <v>0</v>
      </c>
      <c r="AH169">
        <f>VLOOKUP(Table5[[#This Row],[Shortname]], Comp[], 31, FALSE)</f>
        <v>0</v>
      </c>
    </row>
    <row r="170" spans="1:34" x14ac:dyDescent="0.3">
      <c r="A170" t="s">
        <v>1715</v>
      </c>
      <c r="B170">
        <v>170</v>
      </c>
      <c r="C170" t="str">
        <f>VLOOKUP(Table5[[#This Row],[Shortname]], [1]!comp[#Data], 2, FALSE)</f>
        <v>CoAlWX+</v>
      </c>
      <c r="D170" t="s">
        <v>1717</v>
      </c>
      <c r="E170" t="s">
        <v>6711</v>
      </c>
      <c r="F170">
        <v>1010</v>
      </c>
      <c r="I170">
        <f>VLOOKUP(Table5[[#This Row],[Shortname]], Comp[], 6, FALSE)</f>
        <v>219</v>
      </c>
      <c r="J170" s="14">
        <f>VLOOKUP(Table5[[#This Row],[Shortname]], Comp[], 7, FALSE)</f>
        <v>40</v>
      </c>
      <c r="K170">
        <f>VLOOKUP(Table5[[#This Row],[Shortname]], Comp[], 8, FALSE)</f>
        <v>29</v>
      </c>
      <c r="L170">
        <f>VLOOKUP(Table5[[#This Row],[Shortname]], Comp[], 9, FALSE)</f>
        <v>10</v>
      </c>
      <c r="M170">
        <f>VLOOKUP(Table5[[#This Row],[Shortname]], Comp[], 10, FALSE)</f>
        <v>17</v>
      </c>
      <c r="N170">
        <f>VLOOKUP(Table5[[#This Row],[Shortname]], Comp[], 11, FALSE)</f>
        <v>3</v>
      </c>
      <c r="O170">
        <f>VLOOKUP(Table5[[#This Row],[Shortname]], Comp[],12, FALSE)</f>
        <v>0</v>
      </c>
      <c r="P170">
        <f>VLOOKUP(Table5[[#This Row],[Shortname]], Comp[], 13, FALSE)</f>
        <v>1</v>
      </c>
      <c r="Q170">
        <f>VLOOKUP(Table5[[#This Row],[Shortname]], Comp[], 14, FALSE)</f>
        <v>0</v>
      </c>
      <c r="R170">
        <f>VLOOKUP(Table5[[#This Row],[Shortname]], Comp[], 15, FALSE)</f>
        <v>0</v>
      </c>
      <c r="S170">
        <f>VLOOKUP(Table5[[#This Row],[Shortname]], Comp[], 16, FALSE)</f>
        <v>0</v>
      </c>
      <c r="T170">
        <f>VLOOKUP(Table5[[#This Row],[Shortname]], Comp[], 17, FALSE)</f>
        <v>0</v>
      </c>
      <c r="U170">
        <f>VLOOKUP(Table5[[#This Row],[Shortname]], Comp[], 18, FALSE)</f>
        <v>0</v>
      </c>
      <c r="V170">
        <f>VLOOKUP(Table5[[#This Row],[Shortname]], Comp[], 19, FALSE)</f>
        <v>0</v>
      </c>
      <c r="W170">
        <f>VLOOKUP(Table5[[#This Row],[Shortname]], Comp[], 20, FALSE)</f>
        <v>0</v>
      </c>
      <c r="X170">
        <f>VLOOKUP(Table5[[#This Row],[Shortname]], Comp[], 21, FALSE)</f>
        <v>0</v>
      </c>
      <c r="Y170">
        <f>VLOOKUP(Table5[[#This Row],[Shortname]], Comp[], 22, FALSE)</f>
        <v>0</v>
      </c>
      <c r="Z170">
        <f>VLOOKUP(Table5[[#This Row],[Shortname]], Comp[], 23, FALSE)</f>
        <v>0</v>
      </c>
      <c r="AA170">
        <f>VLOOKUP(Table5[[#This Row],[Shortname]], Comp[], 24, FALSE)</f>
        <v>0</v>
      </c>
      <c r="AB170">
        <f>VLOOKUP(Table5[[#This Row],[Shortname]], Comp[], 25, FALSE)</f>
        <v>0</v>
      </c>
      <c r="AC170">
        <f>VLOOKUP(Table5[[#This Row],[Shortname]], Comp[], 26, FALSE)</f>
        <v>0</v>
      </c>
      <c r="AD170">
        <f>VLOOKUP(Table5[[#This Row],[Shortname]], Comp[], 27, FALSE)</f>
        <v>0</v>
      </c>
      <c r="AE170">
        <f>VLOOKUP(Table5[[#This Row],[Shortname]], Comp[], 28, FALSE)</f>
        <v>0</v>
      </c>
      <c r="AF170">
        <f>VLOOKUP(Table5[[#This Row],[Shortname]], Comp[], 29, FALSE)</f>
        <v>0</v>
      </c>
      <c r="AG170">
        <f>VLOOKUP(Table5[[#This Row],[Shortname]], Comp[], 30, FALSE)</f>
        <v>0</v>
      </c>
      <c r="AH170">
        <f>VLOOKUP(Table5[[#This Row],[Shortname]], Comp[], 31, FALSE)</f>
        <v>0</v>
      </c>
    </row>
    <row r="171" spans="1:34" x14ac:dyDescent="0.3">
      <c r="A171" t="s">
        <v>1708</v>
      </c>
      <c r="B171">
        <v>171</v>
      </c>
      <c r="C171" t="str">
        <f>VLOOKUP(Table5[[#This Row],[Shortname]], [1]!comp[#Data], 2, FALSE)</f>
        <v>CoAlWX+</v>
      </c>
      <c r="D171" t="s">
        <v>1710</v>
      </c>
      <c r="E171" t="s">
        <v>6711</v>
      </c>
      <c r="F171">
        <v>1000</v>
      </c>
      <c r="I171">
        <f>VLOOKUP(Table5[[#This Row],[Shortname]], Comp[], 6, FALSE)</f>
        <v>218</v>
      </c>
      <c r="J171" s="14">
        <f>VLOOKUP(Table5[[#This Row],[Shortname]], Comp[], 7, FALSE)</f>
        <v>36</v>
      </c>
      <c r="K171">
        <f>VLOOKUP(Table5[[#This Row],[Shortname]], Comp[], 8, FALSE)</f>
        <v>35</v>
      </c>
      <c r="L171">
        <f>VLOOKUP(Table5[[#This Row],[Shortname]], Comp[], 9, FALSE)</f>
        <v>10</v>
      </c>
      <c r="M171">
        <f>VLOOKUP(Table5[[#This Row],[Shortname]], Comp[], 10, FALSE)</f>
        <v>15</v>
      </c>
      <c r="N171">
        <f>VLOOKUP(Table5[[#This Row],[Shortname]], Comp[], 11, FALSE)</f>
        <v>3</v>
      </c>
      <c r="O171">
        <f>VLOOKUP(Table5[[#This Row],[Shortname]], Comp[],12, FALSE)</f>
        <v>0</v>
      </c>
      <c r="P171">
        <f>VLOOKUP(Table5[[#This Row],[Shortname]], Comp[], 13, FALSE)</f>
        <v>1</v>
      </c>
      <c r="Q171">
        <f>VLOOKUP(Table5[[#This Row],[Shortname]], Comp[], 14, FALSE)</f>
        <v>0</v>
      </c>
      <c r="R171">
        <f>VLOOKUP(Table5[[#This Row],[Shortname]], Comp[], 15, FALSE)</f>
        <v>0</v>
      </c>
      <c r="S171">
        <f>VLOOKUP(Table5[[#This Row],[Shortname]], Comp[], 16, FALSE)</f>
        <v>0</v>
      </c>
      <c r="T171">
        <f>VLOOKUP(Table5[[#This Row],[Shortname]], Comp[], 17, FALSE)</f>
        <v>0</v>
      </c>
      <c r="U171">
        <f>VLOOKUP(Table5[[#This Row],[Shortname]], Comp[], 18, FALSE)</f>
        <v>0</v>
      </c>
      <c r="V171">
        <f>VLOOKUP(Table5[[#This Row],[Shortname]], Comp[], 19, FALSE)</f>
        <v>0</v>
      </c>
      <c r="W171">
        <f>VLOOKUP(Table5[[#This Row],[Shortname]], Comp[], 20, FALSE)</f>
        <v>0</v>
      </c>
      <c r="X171">
        <f>VLOOKUP(Table5[[#This Row],[Shortname]], Comp[], 21, FALSE)</f>
        <v>0</v>
      </c>
      <c r="Y171">
        <f>VLOOKUP(Table5[[#This Row],[Shortname]], Comp[], 22, FALSE)</f>
        <v>0</v>
      </c>
      <c r="Z171">
        <f>VLOOKUP(Table5[[#This Row],[Shortname]], Comp[], 23, FALSE)</f>
        <v>0</v>
      </c>
      <c r="AA171">
        <f>VLOOKUP(Table5[[#This Row],[Shortname]], Comp[], 24, FALSE)</f>
        <v>0</v>
      </c>
      <c r="AB171">
        <f>VLOOKUP(Table5[[#This Row],[Shortname]], Comp[], 25, FALSE)</f>
        <v>0</v>
      </c>
      <c r="AC171">
        <f>VLOOKUP(Table5[[#This Row],[Shortname]], Comp[], 26, FALSE)</f>
        <v>0</v>
      </c>
      <c r="AD171">
        <f>VLOOKUP(Table5[[#This Row],[Shortname]], Comp[], 27, FALSE)</f>
        <v>0</v>
      </c>
      <c r="AE171">
        <f>VLOOKUP(Table5[[#This Row],[Shortname]], Comp[], 28, FALSE)</f>
        <v>0</v>
      </c>
      <c r="AF171">
        <f>VLOOKUP(Table5[[#This Row],[Shortname]], Comp[], 29, FALSE)</f>
        <v>0</v>
      </c>
      <c r="AG171">
        <f>VLOOKUP(Table5[[#This Row],[Shortname]], Comp[], 30, FALSE)</f>
        <v>0</v>
      </c>
      <c r="AH171">
        <f>VLOOKUP(Table5[[#This Row],[Shortname]], Comp[], 31, FALSE)</f>
        <v>0</v>
      </c>
    </row>
    <row r="172" spans="1:34" x14ac:dyDescent="0.3">
      <c r="A172" s="19" t="s">
        <v>1698</v>
      </c>
      <c r="B172">
        <v>172</v>
      </c>
      <c r="C172" s="19" t="str">
        <f>VLOOKUP(Table5[[#This Row],[Shortname]], [1]!comp[#Data], 2, FALSE)</f>
        <v>CoAlWX+</v>
      </c>
      <c r="D172" s="19" t="s">
        <v>1700</v>
      </c>
      <c r="E172" t="s">
        <v>6711</v>
      </c>
      <c r="F172">
        <v>990</v>
      </c>
      <c r="I172">
        <f>VLOOKUP(Table5[[#This Row],[Shortname]], Comp[], 6, FALSE)</f>
        <v>217</v>
      </c>
      <c r="J172" s="14">
        <f>VLOOKUP(Table5[[#This Row],[Shortname]], Comp[], 7, FALSE)</f>
        <v>33.5</v>
      </c>
      <c r="K172">
        <f>VLOOKUP(Table5[[#This Row],[Shortname]], Comp[], 8, FALSE)</f>
        <v>33.5</v>
      </c>
      <c r="L172">
        <f>VLOOKUP(Table5[[#This Row],[Shortname]], Comp[], 9, FALSE)</f>
        <v>12</v>
      </c>
      <c r="M172">
        <f>VLOOKUP(Table5[[#This Row],[Shortname]], Comp[], 10, FALSE)</f>
        <v>17</v>
      </c>
      <c r="N172">
        <f>VLOOKUP(Table5[[#This Row],[Shortname]], Comp[], 11, FALSE)</f>
        <v>3</v>
      </c>
      <c r="O172">
        <f>VLOOKUP(Table5[[#This Row],[Shortname]], Comp[],12, FALSE)</f>
        <v>0</v>
      </c>
      <c r="P172">
        <f>VLOOKUP(Table5[[#This Row],[Shortname]], Comp[], 13, FALSE)</f>
        <v>1</v>
      </c>
      <c r="Q172">
        <f>VLOOKUP(Table5[[#This Row],[Shortname]], Comp[], 14, FALSE)</f>
        <v>0</v>
      </c>
      <c r="R172">
        <f>VLOOKUP(Table5[[#This Row],[Shortname]], Comp[], 15, FALSE)</f>
        <v>0</v>
      </c>
      <c r="S172">
        <f>VLOOKUP(Table5[[#This Row],[Shortname]], Comp[], 16, FALSE)</f>
        <v>0</v>
      </c>
      <c r="T172">
        <f>VLOOKUP(Table5[[#This Row],[Shortname]], Comp[], 17, FALSE)</f>
        <v>0</v>
      </c>
      <c r="U172">
        <f>VLOOKUP(Table5[[#This Row],[Shortname]], Comp[], 18, FALSE)</f>
        <v>0</v>
      </c>
      <c r="V172">
        <f>VLOOKUP(Table5[[#This Row],[Shortname]], Comp[], 19, FALSE)</f>
        <v>0</v>
      </c>
      <c r="W172">
        <f>VLOOKUP(Table5[[#This Row],[Shortname]], Comp[], 20, FALSE)</f>
        <v>0</v>
      </c>
      <c r="X172">
        <f>VLOOKUP(Table5[[#This Row],[Shortname]], Comp[], 21, FALSE)</f>
        <v>0</v>
      </c>
      <c r="Y172">
        <f>VLOOKUP(Table5[[#This Row],[Shortname]], Comp[], 22, FALSE)</f>
        <v>0</v>
      </c>
      <c r="Z172">
        <f>VLOOKUP(Table5[[#This Row],[Shortname]], Comp[], 23, FALSE)</f>
        <v>0</v>
      </c>
      <c r="AA172">
        <f>VLOOKUP(Table5[[#This Row],[Shortname]], Comp[], 24, FALSE)</f>
        <v>0</v>
      </c>
      <c r="AB172">
        <f>VLOOKUP(Table5[[#This Row],[Shortname]], Comp[], 25, FALSE)</f>
        <v>0</v>
      </c>
      <c r="AC172">
        <f>VLOOKUP(Table5[[#This Row],[Shortname]], Comp[], 26, FALSE)</f>
        <v>0</v>
      </c>
      <c r="AD172">
        <f>VLOOKUP(Table5[[#This Row],[Shortname]], Comp[], 27, FALSE)</f>
        <v>0</v>
      </c>
      <c r="AE172">
        <f>VLOOKUP(Table5[[#This Row],[Shortname]], Comp[], 28, FALSE)</f>
        <v>0</v>
      </c>
      <c r="AF172">
        <f>VLOOKUP(Table5[[#This Row],[Shortname]], Comp[], 29, FALSE)</f>
        <v>0</v>
      </c>
      <c r="AG172">
        <f>VLOOKUP(Table5[[#This Row],[Shortname]], Comp[], 30, FALSE)</f>
        <v>0</v>
      </c>
      <c r="AH172">
        <f>VLOOKUP(Table5[[#This Row],[Shortname]], Comp[], 31, FALSE)</f>
        <v>0</v>
      </c>
    </row>
    <row r="173" spans="1:34" x14ac:dyDescent="0.3">
      <c r="A173" t="s">
        <v>1741</v>
      </c>
      <c r="B173">
        <v>173</v>
      </c>
      <c r="C173" t="str">
        <f>VLOOKUP(Table5[[#This Row],[Shortname]], [1]!comp[#Data], 2, FALSE)</f>
        <v>CoAlWX+</v>
      </c>
      <c r="D173" t="s">
        <v>1743</v>
      </c>
      <c r="E173" s="6" t="s">
        <v>1724</v>
      </c>
      <c r="F173">
        <v>1182</v>
      </c>
      <c r="H173">
        <v>1396</v>
      </c>
      <c r="I173" t="s">
        <v>6712</v>
      </c>
      <c r="J173" s="14">
        <f>VLOOKUP(Table5[[#This Row],[Shortname]], Comp[], 7, FALSE)</f>
        <v>49.900000000000006</v>
      </c>
      <c r="K173">
        <f>VLOOKUP(Table5[[#This Row],[Shortname]], Comp[], 8, FALSE)</f>
        <v>29.6</v>
      </c>
      <c r="L173">
        <f>VLOOKUP(Table5[[#This Row],[Shortname]], Comp[], 9, FALSE)</f>
        <v>11.2</v>
      </c>
      <c r="M173">
        <f>VLOOKUP(Table5[[#This Row],[Shortname]], Comp[], 10, FALSE)</f>
        <v>0</v>
      </c>
      <c r="N173">
        <f>VLOOKUP(Table5[[#This Row],[Shortname]], Comp[], 11, FALSE)</f>
        <v>6.5</v>
      </c>
      <c r="O173">
        <f>VLOOKUP(Table5[[#This Row],[Shortname]], Comp[],12, FALSE)</f>
        <v>0</v>
      </c>
      <c r="P173">
        <f>VLOOKUP(Table5[[#This Row],[Shortname]], Comp[], 13, FALSE)</f>
        <v>2.8</v>
      </c>
      <c r="Q173">
        <f>VLOOKUP(Table5[[#This Row],[Shortname]], Comp[], 14, FALSE)</f>
        <v>0</v>
      </c>
      <c r="R173">
        <f>VLOOKUP(Table5[[#This Row],[Shortname]], Comp[], 15, FALSE)</f>
        <v>0</v>
      </c>
      <c r="S173">
        <f>VLOOKUP(Table5[[#This Row],[Shortname]], Comp[], 16, FALSE)</f>
        <v>0</v>
      </c>
      <c r="T173">
        <f>VLOOKUP(Table5[[#This Row],[Shortname]], Comp[], 17, FALSE)</f>
        <v>0</v>
      </c>
      <c r="U173">
        <f>VLOOKUP(Table5[[#This Row],[Shortname]], Comp[], 18, FALSE)</f>
        <v>0</v>
      </c>
      <c r="V173">
        <f>VLOOKUP(Table5[[#This Row],[Shortname]], Comp[], 19, FALSE)</f>
        <v>0</v>
      </c>
      <c r="W173">
        <f>VLOOKUP(Table5[[#This Row],[Shortname]], Comp[], 20, FALSE)</f>
        <v>0</v>
      </c>
      <c r="X173">
        <f>VLOOKUP(Table5[[#This Row],[Shortname]], Comp[], 21, FALSE)</f>
        <v>0</v>
      </c>
      <c r="Y173">
        <f>VLOOKUP(Table5[[#This Row],[Shortname]], Comp[], 22, FALSE)</f>
        <v>0</v>
      </c>
      <c r="Z173">
        <f>VLOOKUP(Table5[[#This Row],[Shortname]], Comp[], 23, FALSE)</f>
        <v>0</v>
      </c>
      <c r="AA173">
        <f>VLOOKUP(Table5[[#This Row],[Shortname]], Comp[], 24, FALSE)</f>
        <v>0</v>
      </c>
      <c r="AB173">
        <f>VLOOKUP(Table5[[#This Row],[Shortname]], Comp[], 25, FALSE)</f>
        <v>0</v>
      </c>
      <c r="AC173">
        <f>VLOOKUP(Table5[[#This Row],[Shortname]], Comp[], 26, FALSE)</f>
        <v>0</v>
      </c>
      <c r="AD173">
        <f>VLOOKUP(Table5[[#This Row],[Shortname]], Comp[], 27, FALSE)</f>
        <v>0</v>
      </c>
      <c r="AE173">
        <f>VLOOKUP(Table5[[#This Row],[Shortname]], Comp[], 28, FALSE)</f>
        <v>0</v>
      </c>
      <c r="AF173">
        <f>VLOOKUP(Table5[[#This Row],[Shortname]], Comp[], 29, FALSE)</f>
        <v>0</v>
      </c>
      <c r="AG173">
        <f>VLOOKUP(Table5[[#This Row],[Shortname]], Comp[], 30, FALSE)</f>
        <v>0</v>
      </c>
      <c r="AH173">
        <f>VLOOKUP(Table5[[#This Row],[Shortname]], Comp[], 31, FALSE)</f>
        <v>0</v>
      </c>
    </row>
    <row r="174" spans="1:34" x14ac:dyDescent="0.3">
      <c r="A174" t="s">
        <v>1721</v>
      </c>
      <c r="B174">
        <v>174</v>
      </c>
      <c r="C174" t="str">
        <f>VLOOKUP(Table5[[#This Row],[Shortname]], [1]!comp[#Data], 2, FALSE)</f>
        <v>CoAlW-X</v>
      </c>
      <c r="D174" t="s">
        <v>1723</v>
      </c>
      <c r="E174" s="6" t="s">
        <v>1724</v>
      </c>
      <c r="F174">
        <v>1163</v>
      </c>
      <c r="H174">
        <v>1231</v>
      </c>
      <c r="I174" t="s">
        <v>6712</v>
      </c>
      <c r="J174" s="14">
        <f>VLOOKUP(Table5[[#This Row],[Shortname]], Comp[], 7, FALSE)</f>
        <v>79</v>
      </c>
      <c r="K174">
        <f>VLOOKUP(Table5[[#This Row],[Shortname]], Comp[], 8, FALSE)</f>
        <v>0</v>
      </c>
      <c r="L174">
        <f>VLOOKUP(Table5[[#This Row],[Shortname]], Comp[], 9, FALSE)</f>
        <v>6.7</v>
      </c>
      <c r="M174">
        <f>VLOOKUP(Table5[[#This Row],[Shortname]], Comp[], 10, FALSE)</f>
        <v>0</v>
      </c>
      <c r="N174">
        <f>VLOOKUP(Table5[[#This Row],[Shortname]], Comp[], 11, FALSE)</f>
        <v>8.1</v>
      </c>
      <c r="O174">
        <f>VLOOKUP(Table5[[#This Row],[Shortname]], Comp[],12, FALSE)</f>
        <v>6.2</v>
      </c>
      <c r="P174">
        <f>VLOOKUP(Table5[[#This Row],[Shortname]], Comp[], 13, FALSE)</f>
        <v>0</v>
      </c>
      <c r="Q174">
        <f>VLOOKUP(Table5[[#This Row],[Shortname]], Comp[], 14, FALSE)</f>
        <v>0</v>
      </c>
      <c r="R174">
        <f>VLOOKUP(Table5[[#This Row],[Shortname]], Comp[], 15, FALSE)</f>
        <v>0</v>
      </c>
      <c r="S174">
        <f>VLOOKUP(Table5[[#This Row],[Shortname]], Comp[], 16, FALSE)</f>
        <v>0</v>
      </c>
      <c r="T174">
        <f>VLOOKUP(Table5[[#This Row],[Shortname]], Comp[], 17, FALSE)</f>
        <v>0</v>
      </c>
      <c r="U174">
        <f>VLOOKUP(Table5[[#This Row],[Shortname]], Comp[], 18, FALSE)</f>
        <v>0</v>
      </c>
      <c r="V174">
        <f>VLOOKUP(Table5[[#This Row],[Shortname]], Comp[], 19, FALSE)</f>
        <v>0</v>
      </c>
      <c r="W174">
        <f>VLOOKUP(Table5[[#This Row],[Shortname]], Comp[], 20, FALSE)</f>
        <v>0</v>
      </c>
      <c r="X174">
        <f>VLOOKUP(Table5[[#This Row],[Shortname]], Comp[], 21, FALSE)</f>
        <v>0</v>
      </c>
      <c r="Y174">
        <f>VLOOKUP(Table5[[#This Row],[Shortname]], Comp[], 22, FALSE)</f>
        <v>0</v>
      </c>
      <c r="Z174">
        <f>VLOOKUP(Table5[[#This Row],[Shortname]], Comp[], 23, FALSE)</f>
        <v>0</v>
      </c>
      <c r="AA174">
        <f>VLOOKUP(Table5[[#This Row],[Shortname]], Comp[], 24, FALSE)</f>
        <v>0</v>
      </c>
      <c r="AB174">
        <f>VLOOKUP(Table5[[#This Row],[Shortname]], Comp[], 25, FALSE)</f>
        <v>0</v>
      </c>
      <c r="AC174">
        <f>VLOOKUP(Table5[[#This Row],[Shortname]], Comp[], 26, FALSE)</f>
        <v>0</v>
      </c>
      <c r="AD174">
        <f>VLOOKUP(Table5[[#This Row],[Shortname]], Comp[], 27, FALSE)</f>
        <v>0</v>
      </c>
      <c r="AE174">
        <f>VLOOKUP(Table5[[#This Row],[Shortname]], Comp[], 28, FALSE)</f>
        <v>0</v>
      </c>
      <c r="AF174">
        <f>VLOOKUP(Table5[[#This Row],[Shortname]], Comp[], 29, FALSE)</f>
        <v>0</v>
      </c>
      <c r="AG174">
        <f>VLOOKUP(Table5[[#This Row],[Shortname]], Comp[], 30, FALSE)</f>
        <v>0</v>
      </c>
      <c r="AH174">
        <f>VLOOKUP(Table5[[#This Row],[Shortname]], Comp[], 31, FALSE)</f>
        <v>0</v>
      </c>
    </row>
    <row r="175" spans="1:34" x14ac:dyDescent="0.3">
      <c r="A175" t="s">
        <v>1315</v>
      </c>
      <c r="B175">
        <v>175</v>
      </c>
      <c r="C175" t="str">
        <f>VLOOKUP(Table5[[#This Row],[Shortname]], [1]!comp[#Data], 2, FALSE)</f>
        <v>CoAlWX+</v>
      </c>
      <c r="D175" t="s">
        <v>1317</v>
      </c>
      <c r="E175" s="6" t="s">
        <v>1724</v>
      </c>
      <c r="F175">
        <v>1147</v>
      </c>
      <c r="H175">
        <v>1380</v>
      </c>
      <c r="I175" t="s">
        <v>6712</v>
      </c>
      <c r="J175" s="14">
        <f>VLOOKUP(Table5[[#This Row],[Shortname]], Comp[], 7, FALSE)</f>
        <v>45.900000000000006</v>
      </c>
      <c r="K175">
        <f>VLOOKUP(Table5[[#This Row],[Shortname]], Comp[], 8, FALSE)</f>
        <v>29.2</v>
      </c>
      <c r="L175">
        <f>VLOOKUP(Table5[[#This Row],[Shortname]], Comp[], 9, FALSE)</f>
        <v>9.8000000000000007</v>
      </c>
      <c r="M175">
        <f>VLOOKUP(Table5[[#This Row],[Shortname]], Comp[], 10, FALSE)</f>
        <v>6.4</v>
      </c>
      <c r="N175">
        <f>VLOOKUP(Table5[[#This Row],[Shortname]], Comp[], 11, FALSE)</f>
        <v>6.3</v>
      </c>
      <c r="O175">
        <f>VLOOKUP(Table5[[#This Row],[Shortname]], Comp[],12, FALSE)</f>
        <v>0</v>
      </c>
      <c r="P175">
        <f>VLOOKUP(Table5[[#This Row],[Shortname]], Comp[], 13, FALSE)</f>
        <v>2.4</v>
      </c>
      <c r="Q175">
        <f>VLOOKUP(Table5[[#This Row],[Shortname]], Comp[], 14, FALSE)</f>
        <v>0</v>
      </c>
      <c r="R175">
        <f>VLOOKUP(Table5[[#This Row],[Shortname]], Comp[], 15, FALSE)</f>
        <v>0</v>
      </c>
      <c r="S175">
        <f>VLOOKUP(Table5[[#This Row],[Shortname]], Comp[], 16, FALSE)</f>
        <v>0</v>
      </c>
      <c r="T175">
        <f>VLOOKUP(Table5[[#This Row],[Shortname]], Comp[], 17, FALSE)</f>
        <v>0</v>
      </c>
      <c r="U175">
        <f>VLOOKUP(Table5[[#This Row],[Shortname]], Comp[], 18, FALSE)</f>
        <v>0</v>
      </c>
      <c r="V175">
        <f>VLOOKUP(Table5[[#This Row],[Shortname]], Comp[], 19, FALSE)</f>
        <v>0</v>
      </c>
      <c r="W175">
        <f>VLOOKUP(Table5[[#This Row],[Shortname]], Comp[], 20, FALSE)</f>
        <v>0</v>
      </c>
      <c r="X175">
        <f>VLOOKUP(Table5[[#This Row],[Shortname]], Comp[], 21, FALSE)</f>
        <v>0</v>
      </c>
      <c r="Y175">
        <f>VLOOKUP(Table5[[#This Row],[Shortname]], Comp[], 22, FALSE)</f>
        <v>0</v>
      </c>
      <c r="Z175">
        <f>VLOOKUP(Table5[[#This Row],[Shortname]], Comp[], 23, FALSE)</f>
        <v>0</v>
      </c>
      <c r="AA175">
        <f>VLOOKUP(Table5[[#This Row],[Shortname]], Comp[], 24, FALSE)</f>
        <v>0</v>
      </c>
      <c r="AB175">
        <f>VLOOKUP(Table5[[#This Row],[Shortname]], Comp[], 25, FALSE)</f>
        <v>0</v>
      </c>
      <c r="AC175">
        <f>VLOOKUP(Table5[[#This Row],[Shortname]], Comp[], 26, FALSE)</f>
        <v>0</v>
      </c>
      <c r="AD175">
        <f>VLOOKUP(Table5[[#This Row],[Shortname]], Comp[], 27, FALSE)</f>
        <v>0</v>
      </c>
      <c r="AE175">
        <f>VLOOKUP(Table5[[#This Row],[Shortname]], Comp[], 28, FALSE)</f>
        <v>0</v>
      </c>
      <c r="AF175">
        <f>VLOOKUP(Table5[[#This Row],[Shortname]], Comp[], 29, FALSE)</f>
        <v>0</v>
      </c>
      <c r="AG175">
        <f>VLOOKUP(Table5[[#This Row],[Shortname]], Comp[], 30, FALSE)</f>
        <v>0</v>
      </c>
      <c r="AH175">
        <f>VLOOKUP(Table5[[#This Row],[Shortname]], Comp[], 31, FALSE)</f>
        <v>0</v>
      </c>
    </row>
    <row r="176" spans="1:34" x14ac:dyDescent="0.3">
      <c r="A176" t="s">
        <v>1735</v>
      </c>
      <c r="B176">
        <v>176</v>
      </c>
      <c r="C176" t="str">
        <f>VLOOKUP(Table5[[#This Row],[Shortname]], [1]!comp[#Data], 2, FALSE)</f>
        <v>CoAlW-X</v>
      </c>
      <c r="D176" t="s">
        <v>1736</v>
      </c>
      <c r="E176" s="6" t="s">
        <v>1724</v>
      </c>
      <c r="F176">
        <v>1103</v>
      </c>
      <c r="H176">
        <v>1407</v>
      </c>
      <c r="I176" t="s">
        <v>6712</v>
      </c>
      <c r="J176" s="14">
        <f>VLOOKUP(Table5[[#This Row],[Shortname]], Comp[], 7, FALSE)</f>
        <v>79.400000000000006</v>
      </c>
      <c r="K176">
        <f>VLOOKUP(Table5[[#This Row],[Shortname]], Comp[], 8, FALSE)</f>
        <v>0</v>
      </c>
      <c r="L176">
        <f>VLOOKUP(Table5[[#This Row],[Shortname]], Comp[], 9, FALSE)</f>
        <v>8.8000000000000007</v>
      </c>
      <c r="M176">
        <f>VLOOKUP(Table5[[#This Row],[Shortname]], Comp[], 10, FALSE)</f>
        <v>0</v>
      </c>
      <c r="N176">
        <f>VLOOKUP(Table5[[#This Row],[Shortname]], Comp[], 11, FALSE)</f>
        <v>9.8000000000000007</v>
      </c>
      <c r="O176">
        <f>VLOOKUP(Table5[[#This Row],[Shortname]], Comp[],12, FALSE)</f>
        <v>0</v>
      </c>
      <c r="P176">
        <f>VLOOKUP(Table5[[#This Row],[Shortname]], Comp[], 13, FALSE)</f>
        <v>2</v>
      </c>
      <c r="Q176">
        <f>VLOOKUP(Table5[[#This Row],[Shortname]], Comp[], 14, FALSE)</f>
        <v>0</v>
      </c>
      <c r="R176">
        <f>VLOOKUP(Table5[[#This Row],[Shortname]], Comp[], 15, FALSE)</f>
        <v>0</v>
      </c>
      <c r="S176">
        <f>VLOOKUP(Table5[[#This Row],[Shortname]], Comp[], 16, FALSE)</f>
        <v>0</v>
      </c>
      <c r="T176">
        <f>VLOOKUP(Table5[[#This Row],[Shortname]], Comp[], 17, FALSE)</f>
        <v>0</v>
      </c>
      <c r="U176">
        <f>VLOOKUP(Table5[[#This Row],[Shortname]], Comp[], 18, FALSE)</f>
        <v>0</v>
      </c>
      <c r="V176">
        <f>VLOOKUP(Table5[[#This Row],[Shortname]], Comp[], 19, FALSE)</f>
        <v>0</v>
      </c>
      <c r="W176">
        <f>VLOOKUP(Table5[[#This Row],[Shortname]], Comp[], 20, FALSE)</f>
        <v>0</v>
      </c>
      <c r="X176">
        <f>VLOOKUP(Table5[[#This Row],[Shortname]], Comp[], 21, FALSE)</f>
        <v>0</v>
      </c>
      <c r="Y176">
        <f>VLOOKUP(Table5[[#This Row],[Shortname]], Comp[], 22, FALSE)</f>
        <v>0</v>
      </c>
      <c r="Z176">
        <f>VLOOKUP(Table5[[#This Row],[Shortname]], Comp[], 23, FALSE)</f>
        <v>0</v>
      </c>
      <c r="AA176">
        <f>VLOOKUP(Table5[[#This Row],[Shortname]], Comp[], 24, FALSE)</f>
        <v>0</v>
      </c>
      <c r="AB176">
        <f>VLOOKUP(Table5[[#This Row],[Shortname]], Comp[], 25, FALSE)</f>
        <v>0</v>
      </c>
      <c r="AC176">
        <f>VLOOKUP(Table5[[#This Row],[Shortname]], Comp[], 26, FALSE)</f>
        <v>0</v>
      </c>
      <c r="AD176">
        <f>VLOOKUP(Table5[[#This Row],[Shortname]], Comp[], 27, FALSE)</f>
        <v>0</v>
      </c>
      <c r="AE176">
        <f>VLOOKUP(Table5[[#This Row],[Shortname]], Comp[], 28, FALSE)</f>
        <v>0</v>
      </c>
      <c r="AF176">
        <f>VLOOKUP(Table5[[#This Row],[Shortname]], Comp[], 29, FALSE)</f>
        <v>0</v>
      </c>
      <c r="AG176">
        <f>VLOOKUP(Table5[[#This Row],[Shortname]], Comp[], 30, FALSE)</f>
        <v>0</v>
      </c>
      <c r="AH176">
        <f>VLOOKUP(Table5[[#This Row],[Shortname]], Comp[], 31, FALSE)</f>
        <v>0</v>
      </c>
    </row>
    <row r="177" spans="1:34" x14ac:dyDescent="0.3">
      <c r="A177" t="s">
        <v>1728</v>
      </c>
      <c r="B177">
        <v>177</v>
      </c>
      <c r="C177" t="str">
        <f>VLOOKUP(Table5[[#This Row],[Shortname]], [1]!comp[#Data], 2, FALSE)</f>
        <v>CoAlW-X</v>
      </c>
      <c r="D177" t="s">
        <v>1730</v>
      </c>
      <c r="E177" s="6" t="s">
        <v>1724</v>
      </c>
      <c r="F177">
        <v>1039</v>
      </c>
      <c r="H177">
        <v>1447</v>
      </c>
      <c r="I177" t="s">
        <v>6712</v>
      </c>
      <c r="J177" s="14">
        <f>VLOOKUP(Table5[[#This Row],[Shortname]], Comp[], 7, FALSE)</f>
        <v>79.900000000000006</v>
      </c>
      <c r="K177">
        <f>VLOOKUP(Table5[[#This Row],[Shortname]], Comp[], 8, FALSE)</f>
        <v>0</v>
      </c>
      <c r="L177">
        <f>VLOOKUP(Table5[[#This Row],[Shortname]], Comp[], 9, FALSE)</f>
        <v>9.4</v>
      </c>
      <c r="M177">
        <f>VLOOKUP(Table5[[#This Row],[Shortname]], Comp[], 10, FALSE)</f>
        <v>0</v>
      </c>
      <c r="N177">
        <f>VLOOKUP(Table5[[#This Row],[Shortname]], Comp[], 11, FALSE)</f>
        <v>10.7</v>
      </c>
      <c r="O177">
        <f>VLOOKUP(Table5[[#This Row],[Shortname]], Comp[],12, FALSE)</f>
        <v>0</v>
      </c>
      <c r="P177">
        <f>VLOOKUP(Table5[[#This Row],[Shortname]], Comp[], 13, FALSE)</f>
        <v>0</v>
      </c>
      <c r="Q177">
        <f>VLOOKUP(Table5[[#This Row],[Shortname]], Comp[], 14, FALSE)</f>
        <v>0</v>
      </c>
      <c r="R177">
        <f>VLOOKUP(Table5[[#This Row],[Shortname]], Comp[], 15, FALSE)</f>
        <v>0</v>
      </c>
      <c r="S177">
        <f>VLOOKUP(Table5[[#This Row],[Shortname]], Comp[], 16, FALSE)</f>
        <v>0</v>
      </c>
      <c r="T177">
        <f>VLOOKUP(Table5[[#This Row],[Shortname]], Comp[], 17, FALSE)</f>
        <v>0</v>
      </c>
      <c r="U177">
        <f>VLOOKUP(Table5[[#This Row],[Shortname]], Comp[], 18, FALSE)</f>
        <v>0</v>
      </c>
      <c r="V177">
        <f>VLOOKUP(Table5[[#This Row],[Shortname]], Comp[], 19, FALSE)</f>
        <v>0</v>
      </c>
      <c r="W177">
        <f>VLOOKUP(Table5[[#This Row],[Shortname]], Comp[], 20, FALSE)</f>
        <v>0</v>
      </c>
      <c r="X177">
        <f>VLOOKUP(Table5[[#This Row],[Shortname]], Comp[], 21, FALSE)</f>
        <v>0</v>
      </c>
      <c r="Y177">
        <f>VLOOKUP(Table5[[#This Row],[Shortname]], Comp[], 22, FALSE)</f>
        <v>0</v>
      </c>
      <c r="Z177">
        <f>VLOOKUP(Table5[[#This Row],[Shortname]], Comp[], 23, FALSE)</f>
        <v>0</v>
      </c>
      <c r="AA177">
        <f>VLOOKUP(Table5[[#This Row],[Shortname]], Comp[], 24, FALSE)</f>
        <v>0</v>
      </c>
      <c r="AB177">
        <f>VLOOKUP(Table5[[#This Row],[Shortname]], Comp[], 25, FALSE)</f>
        <v>0</v>
      </c>
      <c r="AC177">
        <f>VLOOKUP(Table5[[#This Row],[Shortname]], Comp[], 26, FALSE)</f>
        <v>0</v>
      </c>
      <c r="AD177">
        <f>VLOOKUP(Table5[[#This Row],[Shortname]], Comp[], 27, FALSE)</f>
        <v>0</v>
      </c>
      <c r="AE177">
        <f>VLOOKUP(Table5[[#This Row],[Shortname]], Comp[], 28, FALSE)</f>
        <v>0</v>
      </c>
      <c r="AF177">
        <f>VLOOKUP(Table5[[#This Row],[Shortname]], Comp[], 29, FALSE)</f>
        <v>0</v>
      </c>
      <c r="AG177">
        <f>VLOOKUP(Table5[[#This Row],[Shortname]], Comp[], 30, FALSE)</f>
        <v>0</v>
      </c>
      <c r="AH177">
        <f>VLOOKUP(Table5[[#This Row],[Shortname]], Comp[], 31, FALSE)</f>
        <v>0</v>
      </c>
    </row>
    <row r="178" spans="1:34" x14ac:dyDescent="0.3">
      <c r="A178" t="s">
        <v>1751</v>
      </c>
      <c r="B178">
        <v>178</v>
      </c>
      <c r="C178" t="str">
        <f>VLOOKUP(Table5[[#This Row],[Shortname]], [1]!comp[#Data], 2, FALSE)</f>
        <v>CoAlWX+</v>
      </c>
      <c r="D178" t="s">
        <v>1753</v>
      </c>
      <c r="E178" s="3" t="s">
        <v>1754</v>
      </c>
      <c r="F178">
        <v>1137</v>
      </c>
      <c r="G178">
        <v>1369</v>
      </c>
      <c r="H178">
        <v>1421</v>
      </c>
      <c r="J178" s="14">
        <f>VLOOKUP(Table5[[#This Row],[Shortname]], Comp[], 7, FALSE)</f>
        <v>59.289999999999992</v>
      </c>
      <c r="K178">
        <f>VLOOKUP(Table5[[#This Row],[Shortname]], Comp[], 8, FALSE)</f>
        <v>23.42</v>
      </c>
      <c r="L178">
        <f>VLOOKUP(Table5[[#This Row],[Shortname]], Comp[], 9, FALSE)</f>
        <v>9.49</v>
      </c>
      <c r="M178">
        <f>VLOOKUP(Table5[[#This Row],[Shortname]], Comp[], 10, FALSE)</f>
        <v>1.89</v>
      </c>
      <c r="N178">
        <f>VLOOKUP(Table5[[#This Row],[Shortname]], Comp[], 11, FALSE)</f>
        <v>4.0999999999999996</v>
      </c>
      <c r="O178">
        <f>VLOOKUP(Table5[[#This Row],[Shortname]], Comp[],12, FALSE)</f>
        <v>0</v>
      </c>
      <c r="P178">
        <f>VLOOKUP(Table5[[#This Row],[Shortname]], Comp[], 13, FALSE)</f>
        <v>1.81</v>
      </c>
      <c r="Q178">
        <f>VLOOKUP(Table5[[#This Row],[Shortname]], Comp[], 14, FALSE)</f>
        <v>0</v>
      </c>
      <c r="R178">
        <f>VLOOKUP(Table5[[#This Row],[Shortname]], Comp[], 15, FALSE)</f>
        <v>0</v>
      </c>
      <c r="S178">
        <f>VLOOKUP(Table5[[#This Row],[Shortname]], Comp[], 16, FALSE)</f>
        <v>0</v>
      </c>
      <c r="T178">
        <f>VLOOKUP(Table5[[#This Row],[Shortname]], Comp[], 17, FALSE)</f>
        <v>0</v>
      </c>
      <c r="U178">
        <f>VLOOKUP(Table5[[#This Row],[Shortname]], Comp[], 18, FALSE)</f>
        <v>0</v>
      </c>
      <c r="V178">
        <f>VLOOKUP(Table5[[#This Row],[Shortname]], Comp[], 19, FALSE)</f>
        <v>0</v>
      </c>
      <c r="W178">
        <f>VLOOKUP(Table5[[#This Row],[Shortname]], Comp[], 20, FALSE)</f>
        <v>0</v>
      </c>
      <c r="X178">
        <f>VLOOKUP(Table5[[#This Row],[Shortname]], Comp[], 21, FALSE)</f>
        <v>0</v>
      </c>
      <c r="Y178">
        <f>VLOOKUP(Table5[[#This Row],[Shortname]], Comp[], 22, FALSE)</f>
        <v>0</v>
      </c>
      <c r="Z178">
        <f>VLOOKUP(Table5[[#This Row],[Shortname]], Comp[], 23, FALSE)</f>
        <v>0</v>
      </c>
      <c r="AA178">
        <f>VLOOKUP(Table5[[#This Row],[Shortname]], Comp[], 24, FALSE)</f>
        <v>0</v>
      </c>
      <c r="AB178">
        <f>VLOOKUP(Table5[[#This Row],[Shortname]], Comp[], 25, FALSE)</f>
        <v>0</v>
      </c>
      <c r="AC178">
        <f>VLOOKUP(Table5[[#This Row],[Shortname]], Comp[], 26, FALSE)</f>
        <v>0</v>
      </c>
      <c r="AD178">
        <f>VLOOKUP(Table5[[#This Row],[Shortname]], Comp[], 27, FALSE)</f>
        <v>0</v>
      </c>
      <c r="AE178">
        <f>VLOOKUP(Table5[[#This Row],[Shortname]], Comp[], 28, FALSE)</f>
        <v>0</v>
      </c>
      <c r="AF178">
        <f>VLOOKUP(Table5[[#This Row],[Shortname]], Comp[], 29, FALSE)</f>
        <v>0</v>
      </c>
      <c r="AG178">
        <f>VLOOKUP(Table5[[#This Row],[Shortname]], Comp[], 30, FALSE)</f>
        <v>0</v>
      </c>
      <c r="AH178">
        <f>VLOOKUP(Table5[[#This Row],[Shortname]], Comp[], 31, FALSE)</f>
        <v>0</v>
      </c>
    </row>
    <row r="179" spans="1:34" x14ac:dyDescent="0.3">
      <c r="A179" t="s">
        <v>1782</v>
      </c>
      <c r="B179">
        <v>179</v>
      </c>
      <c r="C179" t="str">
        <f>VLOOKUP(Table5[[#This Row],[Shortname]], [1]!comp[#Data], 2, FALSE)</f>
        <v>CoAlW-X</v>
      </c>
      <c r="D179" t="s">
        <v>1782</v>
      </c>
      <c r="E179" t="s">
        <v>6713</v>
      </c>
      <c r="F179">
        <v>1044</v>
      </c>
      <c r="J179" s="14">
        <f>VLOOKUP(Table5[[#This Row],[Shortname]], Comp[], 7, FALSE)</f>
        <v>79.2</v>
      </c>
      <c r="K179">
        <f>VLOOKUP(Table5[[#This Row],[Shortname]], Comp[], 8, FALSE)</f>
        <v>0</v>
      </c>
      <c r="L179">
        <f>VLOOKUP(Table5[[#This Row],[Shortname]], Comp[], 9, FALSE)</f>
        <v>8.1999999999999993</v>
      </c>
      <c r="M179">
        <f>VLOOKUP(Table5[[#This Row],[Shortname]], Comp[], 10, FALSE)</f>
        <v>0</v>
      </c>
      <c r="N179">
        <f>VLOOKUP(Table5[[#This Row],[Shortname]], Comp[], 11, FALSE)</f>
        <v>12.6</v>
      </c>
      <c r="O179">
        <f>VLOOKUP(Table5[[#This Row],[Shortname]], Comp[],12, FALSE)</f>
        <v>0</v>
      </c>
      <c r="P179">
        <f>VLOOKUP(Table5[[#This Row],[Shortname]], Comp[], 13, FALSE)</f>
        <v>0</v>
      </c>
      <c r="Q179">
        <f>VLOOKUP(Table5[[#This Row],[Shortname]], Comp[], 14, FALSE)</f>
        <v>0</v>
      </c>
      <c r="R179">
        <f>VLOOKUP(Table5[[#This Row],[Shortname]], Comp[], 15, FALSE)</f>
        <v>0</v>
      </c>
      <c r="S179">
        <f>VLOOKUP(Table5[[#This Row],[Shortname]], Comp[], 16, FALSE)</f>
        <v>0</v>
      </c>
      <c r="T179">
        <f>VLOOKUP(Table5[[#This Row],[Shortname]], Comp[], 17, FALSE)</f>
        <v>0</v>
      </c>
      <c r="U179">
        <f>VLOOKUP(Table5[[#This Row],[Shortname]], Comp[], 18, FALSE)</f>
        <v>0</v>
      </c>
      <c r="V179">
        <f>VLOOKUP(Table5[[#This Row],[Shortname]], Comp[], 19, FALSE)</f>
        <v>0</v>
      </c>
      <c r="W179">
        <f>VLOOKUP(Table5[[#This Row],[Shortname]], Comp[], 20, FALSE)</f>
        <v>0</v>
      </c>
      <c r="X179">
        <f>VLOOKUP(Table5[[#This Row],[Shortname]], Comp[], 21, FALSE)</f>
        <v>0</v>
      </c>
      <c r="Y179">
        <f>VLOOKUP(Table5[[#This Row],[Shortname]], Comp[], 22, FALSE)</f>
        <v>0</v>
      </c>
      <c r="Z179">
        <f>VLOOKUP(Table5[[#This Row],[Shortname]], Comp[], 23, FALSE)</f>
        <v>0</v>
      </c>
      <c r="AA179">
        <f>VLOOKUP(Table5[[#This Row],[Shortname]], Comp[], 24, FALSE)</f>
        <v>0</v>
      </c>
      <c r="AB179">
        <f>VLOOKUP(Table5[[#This Row],[Shortname]], Comp[], 25, FALSE)</f>
        <v>0</v>
      </c>
      <c r="AC179">
        <f>VLOOKUP(Table5[[#This Row],[Shortname]], Comp[], 26, FALSE)</f>
        <v>0</v>
      </c>
      <c r="AD179">
        <f>VLOOKUP(Table5[[#This Row],[Shortname]], Comp[], 27, FALSE)</f>
        <v>0</v>
      </c>
      <c r="AE179">
        <f>VLOOKUP(Table5[[#This Row],[Shortname]], Comp[], 28, FALSE)</f>
        <v>0</v>
      </c>
      <c r="AF179">
        <f>VLOOKUP(Table5[[#This Row],[Shortname]], Comp[], 29, FALSE)</f>
        <v>0</v>
      </c>
      <c r="AG179">
        <f>VLOOKUP(Table5[[#This Row],[Shortname]], Comp[], 30, FALSE)</f>
        <v>0</v>
      </c>
      <c r="AH179">
        <f>VLOOKUP(Table5[[#This Row],[Shortname]], Comp[], 31, FALSE)</f>
        <v>0</v>
      </c>
    </row>
    <row r="180" spans="1:34" x14ac:dyDescent="0.3">
      <c r="A180" t="s">
        <v>1777</v>
      </c>
      <c r="B180">
        <v>180</v>
      </c>
      <c r="C180" t="str">
        <f>VLOOKUP(Table5[[#This Row],[Shortname]], [1]!comp[#Data], 2, FALSE)</f>
        <v>CoAlW-X</v>
      </c>
      <c r="D180" t="s">
        <v>1778</v>
      </c>
      <c r="E180" t="s">
        <v>6713</v>
      </c>
      <c r="F180">
        <v>1021</v>
      </c>
      <c r="J180" s="14">
        <f>VLOOKUP(Table5[[#This Row],[Shortname]], Comp[], 7, FALSE)</f>
        <v>81.3</v>
      </c>
      <c r="K180">
        <f>VLOOKUP(Table5[[#This Row],[Shortname]], Comp[], 8, FALSE)</f>
        <v>0</v>
      </c>
      <c r="L180">
        <f>VLOOKUP(Table5[[#This Row],[Shortname]], Comp[], 9, FALSE)</f>
        <v>8.6999999999999993</v>
      </c>
      <c r="M180">
        <f>VLOOKUP(Table5[[#This Row],[Shortname]], Comp[], 10, FALSE)</f>
        <v>0</v>
      </c>
      <c r="N180">
        <f>VLOOKUP(Table5[[#This Row],[Shortname]], Comp[], 11, FALSE)</f>
        <v>10</v>
      </c>
      <c r="O180">
        <f>VLOOKUP(Table5[[#This Row],[Shortname]], Comp[],12, FALSE)</f>
        <v>0</v>
      </c>
      <c r="P180">
        <f>VLOOKUP(Table5[[#This Row],[Shortname]], Comp[], 13, FALSE)</f>
        <v>0</v>
      </c>
      <c r="Q180">
        <f>VLOOKUP(Table5[[#This Row],[Shortname]], Comp[], 14, FALSE)</f>
        <v>0</v>
      </c>
      <c r="R180">
        <f>VLOOKUP(Table5[[#This Row],[Shortname]], Comp[], 15, FALSE)</f>
        <v>0</v>
      </c>
      <c r="S180">
        <f>VLOOKUP(Table5[[#This Row],[Shortname]], Comp[], 16, FALSE)</f>
        <v>0</v>
      </c>
      <c r="T180">
        <f>VLOOKUP(Table5[[#This Row],[Shortname]], Comp[], 17, FALSE)</f>
        <v>0</v>
      </c>
      <c r="U180">
        <f>VLOOKUP(Table5[[#This Row],[Shortname]], Comp[], 18, FALSE)</f>
        <v>0</v>
      </c>
      <c r="V180">
        <f>VLOOKUP(Table5[[#This Row],[Shortname]], Comp[], 19, FALSE)</f>
        <v>0</v>
      </c>
      <c r="W180">
        <f>VLOOKUP(Table5[[#This Row],[Shortname]], Comp[], 20, FALSE)</f>
        <v>0</v>
      </c>
      <c r="X180">
        <f>VLOOKUP(Table5[[#This Row],[Shortname]], Comp[], 21, FALSE)</f>
        <v>0</v>
      </c>
      <c r="Y180">
        <f>VLOOKUP(Table5[[#This Row],[Shortname]], Comp[], 22, FALSE)</f>
        <v>0</v>
      </c>
      <c r="Z180">
        <f>VLOOKUP(Table5[[#This Row],[Shortname]], Comp[], 23, FALSE)</f>
        <v>0</v>
      </c>
      <c r="AA180">
        <f>VLOOKUP(Table5[[#This Row],[Shortname]], Comp[], 24, FALSE)</f>
        <v>0</v>
      </c>
      <c r="AB180">
        <f>VLOOKUP(Table5[[#This Row],[Shortname]], Comp[], 25, FALSE)</f>
        <v>0</v>
      </c>
      <c r="AC180">
        <f>VLOOKUP(Table5[[#This Row],[Shortname]], Comp[], 26, FALSE)</f>
        <v>0</v>
      </c>
      <c r="AD180">
        <f>VLOOKUP(Table5[[#This Row],[Shortname]], Comp[], 27, FALSE)</f>
        <v>0</v>
      </c>
      <c r="AE180">
        <f>VLOOKUP(Table5[[#This Row],[Shortname]], Comp[], 28, FALSE)</f>
        <v>0</v>
      </c>
      <c r="AF180">
        <f>VLOOKUP(Table5[[#This Row],[Shortname]], Comp[], 29, FALSE)</f>
        <v>0</v>
      </c>
      <c r="AG180">
        <f>VLOOKUP(Table5[[#This Row],[Shortname]], Comp[], 30, FALSE)</f>
        <v>0</v>
      </c>
      <c r="AH180">
        <f>VLOOKUP(Table5[[#This Row],[Shortname]], Comp[], 31, FALSE)</f>
        <v>0</v>
      </c>
    </row>
    <row r="181" spans="1:34" x14ac:dyDescent="0.3">
      <c r="A181" t="s">
        <v>1773</v>
      </c>
      <c r="B181">
        <v>181</v>
      </c>
      <c r="C181" t="str">
        <f>VLOOKUP(Table5[[#This Row],[Shortname]], [1]!comp[#Data], 2, FALSE)</f>
        <v>CoAlW-X</v>
      </c>
      <c r="D181" t="s">
        <v>1773</v>
      </c>
      <c r="E181" t="s">
        <v>6713</v>
      </c>
      <c r="F181">
        <v>1014</v>
      </c>
      <c r="J181" s="14">
        <f>VLOOKUP(Table5[[#This Row],[Shortname]], Comp[], 7, FALSE)</f>
        <v>83.3</v>
      </c>
      <c r="K181">
        <f>VLOOKUP(Table5[[#This Row],[Shortname]], Comp[], 8, FALSE)</f>
        <v>0</v>
      </c>
      <c r="L181">
        <f>VLOOKUP(Table5[[#This Row],[Shortname]], Comp[], 9, FALSE)</f>
        <v>8.1999999999999993</v>
      </c>
      <c r="M181">
        <f>VLOOKUP(Table5[[#This Row],[Shortname]], Comp[], 10, FALSE)</f>
        <v>0</v>
      </c>
      <c r="N181">
        <f>VLOOKUP(Table5[[#This Row],[Shortname]], Comp[], 11, FALSE)</f>
        <v>8.5</v>
      </c>
      <c r="O181">
        <f>VLOOKUP(Table5[[#This Row],[Shortname]], Comp[],12, FALSE)</f>
        <v>0</v>
      </c>
      <c r="P181">
        <f>VLOOKUP(Table5[[#This Row],[Shortname]], Comp[], 13, FALSE)</f>
        <v>0</v>
      </c>
      <c r="Q181">
        <f>VLOOKUP(Table5[[#This Row],[Shortname]], Comp[], 14, FALSE)</f>
        <v>0</v>
      </c>
      <c r="R181">
        <f>VLOOKUP(Table5[[#This Row],[Shortname]], Comp[], 15, FALSE)</f>
        <v>0</v>
      </c>
      <c r="S181">
        <f>VLOOKUP(Table5[[#This Row],[Shortname]], Comp[], 16, FALSE)</f>
        <v>0</v>
      </c>
      <c r="T181">
        <f>VLOOKUP(Table5[[#This Row],[Shortname]], Comp[], 17, FALSE)</f>
        <v>0</v>
      </c>
      <c r="U181">
        <f>VLOOKUP(Table5[[#This Row],[Shortname]], Comp[], 18, FALSE)</f>
        <v>0</v>
      </c>
      <c r="V181">
        <f>VLOOKUP(Table5[[#This Row],[Shortname]], Comp[], 19, FALSE)</f>
        <v>0</v>
      </c>
      <c r="W181">
        <f>VLOOKUP(Table5[[#This Row],[Shortname]], Comp[], 20, FALSE)</f>
        <v>0</v>
      </c>
      <c r="X181">
        <f>VLOOKUP(Table5[[#This Row],[Shortname]], Comp[], 21, FALSE)</f>
        <v>0</v>
      </c>
      <c r="Y181">
        <f>VLOOKUP(Table5[[#This Row],[Shortname]], Comp[], 22, FALSE)</f>
        <v>0</v>
      </c>
      <c r="Z181">
        <f>VLOOKUP(Table5[[#This Row],[Shortname]], Comp[], 23, FALSE)</f>
        <v>0</v>
      </c>
      <c r="AA181">
        <f>VLOOKUP(Table5[[#This Row],[Shortname]], Comp[], 24, FALSE)</f>
        <v>0</v>
      </c>
      <c r="AB181">
        <f>VLOOKUP(Table5[[#This Row],[Shortname]], Comp[], 25, FALSE)</f>
        <v>0</v>
      </c>
      <c r="AC181">
        <f>VLOOKUP(Table5[[#This Row],[Shortname]], Comp[], 26, FALSE)</f>
        <v>0</v>
      </c>
      <c r="AD181">
        <f>VLOOKUP(Table5[[#This Row],[Shortname]], Comp[], 27, FALSE)</f>
        <v>0</v>
      </c>
      <c r="AE181">
        <f>VLOOKUP(Table5[[#This Row],[Shortname]], Comp[], 28, FALSE)</f>
        <v>0</v>
      </c>
      <c r="AF181">
        <f>VLOOKUP(Table5[[#This Row],[Shortname]], Comp[], 29, FALSE)</f>
        <v>0</v>
      </c>
      <c r="AG181">
        <f>VLOOKUP(Table5[[#This Row],[Shortname]], Comp[], 30, FALSE)</f>
        <v>0</v>
      </c>
      <c r="AH181">
        <f>VLOOKUP(Table5[[#This Row],[Shortname]], Comp[], 31, FALSE)</f>
        <v>0</v>
      </c>
    </row>
    <row r="182" spans="1:34" x14ac:dyDescent="0.3">
      <c r="A182" t="s">
        <v>1759</v>
      </c>
      <c r="B182">
        <v>182</v>
      </c>
      <c r="C182" t="str">
        <f>VLOOKUP(Table5[[#This Row],[Shortname]], [1]!comp[#Data], 2, FALSE)</f>
        <v>CoAlW-X</v>
      </c>
      <c r="D182" t="s">
        <v>1761</v>
      </c>
      <c r="E182" t="s">
        <v>6713</v>
      </c>
      <c r="F182">
        <v>1009</v>
      </c>
      <c r="J182" s="14">
        <f>VLOOKUP(Table5[[#This Row],[Shortname]], Comp[], 7, FALSE)</f>
        <v>86.4</v>
      </c>
      <c r="K182">
        <f>VLOOKUP(Table5[[#This Row],[Shortname]], Comp[], 8, FALSE)</f>
        <v>0</v>
      </c>
      <c r="L182">
        <f>VLOOKUP(Table5[[#This Row],[Shortname]], Comp[], 9, FALSE)</f>
        <v>9</v>
      </c>
      <c r="M182">
        <f>VLOOKUP(Table5[[#This Row],[Shortname]], Comp[], 10, FALSE)</f>
        <v>0</v>
      </c>
      <c r="N182">
        <f>VLOOKUP(Table5[[#This Row],[Shortname]], Comp[], 11, FALSE)</f>
        <v>4.5999999999999996</v>
      </c>
      <c r="O182">
        <f>VLOOKUP(Table5[[#This Row],[Shortname]], Comp[],12, FALSE)</f>
        <v>0</v>
      </c>
      <c r="P182">
        <f>VLOOKUP(Table5[[#This Row],[Shortname]], Comp[], 13, FALSE)</f>
        <v>0</v>
      </c>
      <c r="Q182">
        <f>VLOOKUP(Table5[[#This Row],[Shortname]], Comp[], 14, FALSE)</f>
        <v>0</v>
      </c>
      <c r="R182">
        <f>VLOOKUP(Table5[[#This Row],[Shortname]], Comp[], 15, FALSE)</f>
        <v>0</v>
      </c>
      <c r="S182">
        <f>VLOOKUP(Table5[[#This Row],[Shortname]], Comp[], 16, FALSE)</f>
        <v>0</v>
      </c>
      <c r="T182">
        <f>VLOOKUP(Table5[[#This Row],[Shortname]], Comp[], 17, FALSE)</f>
        <v>0</v>
      </c>
      <c r="U182">
        <f>VLOOKUP(Table5[[#This Row],[Shortname]], Comp[], 18, FALSE)</f>
        <v>0</v>
      </c>
      <c r="V182">
        <f>VLOOKUP(Table5[[#This Row],[Shortname]], Comp[], 19, FALSE)</f>
        <v>0</v>
      </c>
      <c r="W182">
        <f>VLOOKUP(Table5[[#This Row],[Shortname]], Comp[], 20, FALSE)</f>
        <v>0</v>
      </c>
      <c r="X182">
        <f>VLOOKUP(Table5[[#This Row],[Shortname]], Comp[], 21, FALSE)</f>
        <v>0</v>
      </c>
      <c r="Y182">
        <f>VLOOKUP(Table5[[#This Row],[Shortname]], Comp[], 22, FALSE)</f>
        <v>0</v>
      </c>
      <c r="Z182">
        <f>VLOOKUP(Table5[[#This Row],[Shortname]], Comp[], 23, FALSE)</f>
        <v>0</v>
      </c>
      <c r="AA182">
        <f>VLOOKUP(Table5[[#This Row],[Shortname]], Comp[], 24, FALSE)</f>
        <v>0</v>
      </c>
      <c r="AB182">
        <f>VLOOKUP(Table5[[#This Row],[Shortname]], Comp[], 25, FALSE)</f>
        <v>0</v>
      </c>
      <c r="AC182">
        <f>VLOOKUP(Table5[[#This Row],[Shortname]], Comp[], 26, FALSE)</f>
        <v>0</v>
      </c>
      <c r="AD182">
        <f>VLOOKUP(Table5[[#This Row],[Shortname]], Comp[], 27, FALSE)</f>
        <v>0</v>
      </c>
      <c r="AE182">
        <f>VLOOKUP(Table5[[#This Row],[Shortname]], Comp[], 28, FALSE)</f>
        <v>0</v>
      </c>
      <c r="AF182">
        <f>VLOOKUP(Table5[[#This Row],[Shortname]], Comp[], 29, FALSE)</f>
        <v>0</v>
      </c>
      <c r="AG182">
        <f>VLOOKUP(Table5[[#This Row],[Shortname]], Comp[], 30, FALSE)</f>
        <v>0</v>
      </c>
      <c r="AH182">
        <f>VLOOKUP(Table5[[#This Row],[Shortname]], Comp[], 31, FALSE)</f>
        <v>0</v>
      </c>
    </row>
    <row r="183" spans="1:34" x14ac:dyDescent="0.3">
      <c r="A183" t="s">
        <v>1767</v>
      </c>
      <c r="B183">
        <v>183</v>
      </c>
      <c r="C183" t="str">
        <f>VLOOKUP(Table5[[#This Row],[Shortname]], [1]!comp[#Data], 2, FALSE)</f>
        <v>CoAlW-X</v>
      </c>
      <c r="D183" t="s">
        <v>1767</v>
      </c>
      <c r="E183" t="s">
        <v>6713</v>
      </c>
      <c r="F183">
        <v>1000</v>
      </c>
      <c r="J183" s="14">
        <f>VLOOKUP(Table5[[#This Row],[Shortname]], Comp[], 7, FALSE)</f>
        <v>85.3</v>
      </c>
      <c r="K183">
        <f>VLOOKUP(Table5[[#This Row],[Shortname]], Comp[], 8, FALSE)</f>
        <v>0</v>
      </c>
      <c r="L183">
        <f>VLOOKUP(Table5[[#This Row],[Shortname]], Comp[], 9, FALSE)</f>
        <v>7.9</v>
      </c>
      <c r="M183">
        <f>VLOOKUP(Table5[[#This Row],[Shortname]], Comp[], 10, FALSE)</f>
        <v>0</v>
      </c>
      <c r="N183">
        <f>VLOOKUP(Table5[[#This Row],[Shortname]], Comp[], 11, FALSE)</f>
        <v>6.8</v>
      </c>
      <c r="O183">
        <f>VLOOKUP(Table5[[#This Row],[Shortname]], Comp[],12, FALSE)</f>
        <v>0</v>
      </c>
      <c r="P183">
        <f>VLOOKUP(Table5[[#This Row],[Shortname]], Comp[], 13, FALSE)</f>
        <v>0</v>
      </c>
      <c r="Q183">
        <f>VLOOKUP(Table5[[#This Row],[Shortname]], Comp[], 14, FALSE)</f>
        <v>0</v>
      </c>
      <c r="R183">
        <f>VLOOKUP(Table5[[#This Row],[Shortname]], Comp[], 15, FALSE)</f>
        <v>0</v>
      </c>
      <c r="S183">
        <f>VLOOKUP(Table5[[#This Row],[Shortname]], Comp[], 16, FALSE)</f>
        <v>0</v>
      </c>
      <c r="T183">
        <f>VLOOKUP(Table5[[#This Row],[Shortname]], Comp[], 17, FALSE)</f>
        <v>0</v>
      </c>
      <c r="U183">
        <f>VLOOKUP(Table5[[#This Row],[Shortname]], Comp[], 18, FALSE)</f>
        <v>0</v>
      </c>
      <c r="V183">
        <f>VLOOKUP(Table5[[#This Row],[Shortname]], Comp[], 19, FALSE)</f>
        <v>0</v>
      </c>
      <c r="W183">
        <f>VLOOKUP(Table5[[#This Row],[Shortname]], Comp[], 20, FALSE)</f>
        <v>0</v>
      </c>
      <c r="X183">
        <f>VLOOKUP(Table5[[#This Row],[Shortname]], Comp[], 21, FALSE)</f>
        <v>0</v>
      </c>
      <c r="Y183">
        <f>VLOOKUP(Table5[[#This Row],[Shortname]], Comp[], 22, FALSE)</f>
        <v>0</v>
      </c>
      <c r="Z183">
        <f>VLOOKUP(Table5[[#This Row],[Shortname]], Comp[], 23, FALSE)</f>
        <v>0</v>
      </c>
      <c r="AA183">
        <f>VLOOKUP(Table5[[#This Row],[Shortname]], Comp[], 24, FALSE)</f>
        <v>0</v>
      </c>
      <c r="AB183">
        <f>VLOOKUP(Table5[[#This Row],[Shortname]], Comp[], 25, FALSE)</f>
        <v>0</v>
      </c>
      <c r="AC183">
        <f>VLOOKUP(Table5[[#This Row],[Shortname]], Comp[], 26, FALSE)</f>
        <v>0</v>
      </c>
      <c r="AD183">
        <f>VLOOKUP(Table5[[#This Row],[Shortname]], Comp[], 27, FALSE)</f>
        <v>0</v>
      </c>
      <c r="AE183">
        <f>VLOOKUP(Table5[[#This Row],[Shortname]], Comp[], 28, FALSE)</f>
        <v>0</v>
      </c>
      <c r="AF183">
        <f>VLOOKUP(Table5[[#This Row],[Shortname]], Comp[], 29, FALSE)</f>
        <v>0</v>
      </c>
      <c r="AG183">
        <f>VLOOKUP(Table5[[#This Row],[Shortname]], Comp[], 30, FALSE)</f>
        <v>0</v>
      </c>
      <c r="AH183">
        <f>VLOOKUP(Table5[[#This Row],[Shortname]], Comp[], 31, FALSE)</f>
        <v>0</v>
      </c>
    </row>
    <row r="184" spans="1:34" x14ac:dyDescent="0.3">
      <c r="A184" t="s">
        <v>1788</v>
      </c>
      <c r="B184">
        <v>184</v>
      </c>
      <c r="C184" t="str">
        <f>VLOOKUP(Table5[[#This Row],[Shortname]], [1]!comp[#Data], 2, FALSE)</f>
        <v>CoAlWX+</v>
      </c>
      <c r="D184" t="s">
        <v>1790</v>
      </c>
      <c r="E184" s="3" t="s">
        <v>1791</v>
      </c>
      <c r="F184">
        <v>1000</v>
      </c>
      <c r="J184" s="14">
        <f>VLOOKUP(Table5[[#This Row],[Shortname]], Comp[], 7, FALSE)</f>
        <v>36.11</v>
      </c>
      <c r="K184">
        <f>VLOOKUP(Table5[[#This Row],[Shortname]], Comp[], 8, FALSE)</f>
        <v>34.200000000000003</v>
      </c>
      <c r="L184">
        <f>VLOOKUP(Table5[[#This Row],[Shortname]], Comp[], 9, FALSE)</f>
        <v>10.5</v>
      </c>
      <c r="M184">
        <f>VLOOKUP(Table5[[#This Row],[Shortname]], Comp[], 10, FALSE)</f>
        <v>14.8</v>
      </c>
      <c r="N184">
        <f>VLOOKUP(Table5[[#This Row],[Shortname]], Comp[], 11, FALSE)</f>
        <v>3</v>
      </c>
      <c r="O184">
        <f>VLOOKUP(Table5[[#This Row],[Shortname]], Comp[],12, FALSE)</f>
        <v>0</v>
      </c>
      <c r="P184">
        <f>VLOOKUP(Table5[[#This Row],[Shortname]], Comp[], 13, FALSE)</f>
        <v>1</v>
      </c>
      <c r="Q184">
        <f>VLOOKUP(Table5[[#This Row],[Shortname]], Comp[], 14, FALSE)</f>
        <v>0</v>
      </c>
      <c r="R184">
        <f>VLOOKUP(Table5[[#This Row],[Shortname]], Comp[], 15, FALSE)</f>
        <v>0</v>
      </c>
      <c r="S184">
        <f>VLOOKUP(Table5[[#This Row],[Shortname]], Comp[], 16, FALSE)</f>
        <v>0</v>
      </c>
      <c r="T184">
        <f>VLOOKUP(Table5[[#This Row],[Shortname]], Comp[], 17, FALSE)</f>
        <v>0.15</v>
      </c>
      <c r="U184">
        <f>VLOOKUP(Table5[[#This Row],[Shortname]], Comp[], 18, FALSE)</f>
        <v>0.04</v>
      </c>
      <c r="V184">
        <f>VLOOKUP(Table5[[#This Row],[Shortname]], Comp[], 19, FALSE)</f>
        <v>0.2</v>
      </c>
      <c r="W184">
        <f>VLOOKUP(Table5[[#This Row],[Shortname]], Comp[], 20, FALSE)</f>
        <v>0</v>
      </c>
      <c r="X184">
        <f>VLOOKUP(Table5[[#This Row],[Shortname]], Comp[], 21, FALSE)</f>
        <v>0</v>
      </c>
      <c r="Y184">
        <f>VLOOKUP(Table5[[#This Row],[Shortname]], Comp[], 22, FALSE)</f>
        <v>0</v>
      </c>
      <c r="Z184">
        <f>VLOOKUP(Table5[[#This Row],[Shortname]], Comp[], 23, FALSE)</f>
        <v>0</v>
      </c>
      <c r="AA184">
        <f>VLOOKUP(Table5[[#This Row],[Shortname]], Comp[], 24, FALSE)</f>
        <v>0</v>
      </c>
      <c r="AB184">
        <f>VLOOKUP(Table5[[#This Row],[Shortname]], Comp[], 25, FALSE)</f>
        <v>0</v>
      </c>
      <c r="AC184">
        <f>VLOOKUP(Table5[[#This Row],[Shortname]], Comp[], 26, FALSE)</f>
        <v>0</v>
      </c>
      <c r="AD184">
        <f>VLOOKUP(Table5[[#This Row],[Shortname]], Comp[], 27, FALSE)</f>
        <v>0</v>
      </c>
      <c r="AE184">
        <f>VLOOKUP(Table5[[#This Row],[Shortname]], Comp[], 28, FALSE)</f>
        <v>0</v>
      </c>
      <c r="AF184">
        <f>VLOOKUP(Table5[[#This Row],[Shortname]], Comp[], 29, FALSE)</f>
        <v>0</v>
      </c>
      <c r="AG184">
        <f>VLOOKUP(Table5[[#This Row],[Shortname]], Comp[], 30, FALSE)</f>
        <v>0</v>
      </c>
      <c r="AH184">
        <f>VLOOKUP(Table5[[#This Row],[Shortname]], Comp[], 31, FALSE)</f>
        <v>0</v>
      </c>
    </row>
    <row r="185" spans="1:34" x14ac:dyDescent="0.3">
      <c r="A185" t="s">
        <v>1812</v>
      </c>
      <c r="B185">
        <v>185</v>
      </c>
      <c r="C185" t="str">
        <f>VLOOKUP(Table5[[#This Row],[Shortname]], [1]!comp[#Data], 2, FALSE)</f>
        <v>CoAlW-X</v>
      </c>
      <c r="D185" t="s">
        <v>1801</v>
      </c>
      <c r="E185" s="3" t="s">
        <v>1802</v>
      </c>
      <c r="F185">
        <v>1010</v>
      </c>
      <c r="J185" s="14">
        <f>VLOOKUP(Table5[[#This Row],[Shortname]], Comp[], 7, FALSE)</f>
        <v>81</v>
      </c>
      <c r="K185">
        <f>VLOOKUP(Table5[[#This Row],[Shortname]], Comp[], 8, FALSE)</f>
        <v>0</v>
      </c>
      <c r="L185">
        <f>VLOOKUP(Table5[[#This Row],[Shortname]], Comp[], 9, FALSE)</f>
        <v>9.4</v>
      </c>
      <c r="M185">
        <f>VLOOKUP(Table5[[#This Row],[Shortname]], Comp[], 10, FALSE)</f>
        <v>0</v>
      </c>
      <c r="N185">
        <f>VLOOKUP(Table5[[#This Row],[Shortname]], Comp[], 11, FALSE)</f>
        <v>9.6</v>
      </c>
      <c r="O185">
        <f>VLOOKUP(Table5[[#This Row],[Shortname]], Comp[],12, FALSE)</f>
        <v>0</v>
      </c>
      <c r="P185">
        <f>VLOOKUP(Table5[[#This Row],[Shortname]], Comp[], 13, FALSE)</f>
        <v>0</v>
      </c>
      <c r="Q185">
        <f>VLOOKUP(Table5[[#This Row],[Shortname]], Comp[], 14, FALSE)</f>
        <v>0</v>
      </c>
      <c r="R185">
        <f>VLOOKUP(Table5[[#This Row],[Shortname]], Comp[], 15, FALSE)</f>
        <v>0</v>
      </c>
      <c r="S185">
        <f>VLOOKUP(Table5[[#This Row],[Shortname]], Comp[], 16, FALSE)</f>
        <v>0</v>
      </c>
      <c r="T185">
        <f>VLOOKUP(Table5[[#This Row],[Shortname]], Comp[], 17, FALSE)</f>
        <v>0</v>
      </c>
      <c r="U185">
        <f>VLOOKUP(Table5[[#This Row],[Shortname]], Comp[], 18, FALSE)</f>
        <v>0</v>
      </c>
      <c r="V185">
        <f>VLOOKUP(Table5[[#This Row],[Shortname]], Comp[], 19, FALSE)</f>
        <v>0</v>
      </c>
      <c r="W185">
        <f>VLOOKUP(Table5[[#This Row],[Shortname]], Comp[], 20, FALSE)</f>
        <v>0</v>
      </c>
      <c r="X185">
        <f>VLOOKUP(Table5[[#This Row],[Shortname]], Comp[], 21, FALSE)</f>
        <v>0</v>
      </c>
      <c r="Y185">
        <f>VLOOKUP(Table5[[#This Row],[Shortname]], Comp[], 22, FALSE)</f>
        <v>0</v>
      </c>
      <c r="Z185">
        <f>VLOOKUP(Table5[[#This Row],[Shortname]], Comp[], 23, FALSE)</f>
        <v>0</v>
      </c>
      <c r="AA185">
        <f>VLOOKUP(Table5[[#This Row],[Shortname]], Comp[], 24, FALSE)</f>
        <v>0</v>
      </c>
      <c r="AB185">
        <f>VLOOKUP(Table5[[#This Row],[Shortname]], Comp[], 25, FALSE)</f>
        <v>0</v>
      </c>
      <c r="AC185">
        <f>VLOOKUP(Table5[[#This Row],[Shortname]], Comp[], 26, FALSE)</f>
        <v>0</v>
      </c>
      <c r="AD185">
        <f>VLOOKUP(Table5[[#This Row],[Shortname]], Comp[], 27, FALSE)</f>
        <v>0</v>
      </c>
      <c r="AE185">
        <f>VLOOKUP(Table5[[#This Row],[Shortname]], Comp[], 28, FALSE)</f>
        <v>0</v>
      </c>
      <c r="AF185">
        <f>VLOOKUP(Table5[[#This Row],[Shortname]], Comp[], 29, FALSE)</f>
        <v>0</v>
      </c>
      <c r="AG185">
        <f>VLOOKUP(Table5[[#This Row],[Shortname]], Comp[], 30, FALSE)</f>
        <v>0</v>
      </c>
      <c r="AH185">
        <f>VLOOKUP(Table5[[#This Row],[Shortname]], Comp[], 31, FALSE)</f>
        <v>0</v>
      </c>
    </row>
    <row r="186" spans="1:34" x14ac:dyDescent="0.3">
      <c r="A186" t="s">
        <v>1823</v>
      </c>
      <c r="B186">
        <v>186</v>
      </c>
      <c r="C186" t="str">
        <f>VLOOKUP(Table5[[#This Row],[Shortname]], [1]!comp[#Data], 2, FALSE)</f>
        <v>CoAlW-X</v>
      </c>
      <c r="D186" t="s">
        <v>1825</v>
      </c>
      <c r="E186" t="s">
        <v>6714</v>
      </c>
      <c r="F186">
        <v>1200</v>
      </c>
      <c r="G186">
        <v>1304</v>
      </c>
      <c r="H186">
        <v>1400</v>
      </c>
      <c r="J186" s="14">
        <f>VLOOKUP(Table5[[#This Row],[Shortname]], Comp[], 7, FALSE)</f>
        <v>82</v>
      </c>
      <c r="K186">
        <f>VLOOKUP(Table5[[#This Row],[Shortname]], Comp[], 8, FALSE)</f>
        <v>0</v>
      </c>
      <c r="L186">
        <f>VLOOKUP(Table5[[#This Row],[Shortname]], Comp[], 9, FALSE)</f>
        <v>5.6</v>
      </c>
      <c r="M186">
        <f>VLOOKUP(Table5[[#This Row],[Shortname]], Comp[], 10, FALSE)</f>
        <v>0</v>
      </c>
      <c r="N186">
        <f>VLOOKUP(Table5[[#This Row],[Shortname]], Comp[], 11, FALSE)</f>
        <v>5.8</v>
      </c>
      <c r="O186">
        <f>VLOOKUP(Table5[[#This Row],[Shortname]], Comp[],12, FALSE)</f>
        <v>6.6</v>
      </c>
      <c r="P186">
        <f>VLOOKUP(Table5[[#This Row],[Shortname]], Comp[], 13, FALSE)</f>
        <v>0</v>
      </c>
      <c r="Q186">
        <f>VLOOKUP(Table5[[#This Row],[Shortname]], Comp[], 14, FALSE)</f>
        <v>0</v>
      </c>
      <c r="R186">
        <f>VLOOKUP(Table5[[#This Row],[Shortname]], Comp[], 15, FALSE)</f>
        <v>0</v>
      </c>
      <c r="S186">
        <f>VLOOKUP(Table5[[#This Row],[Shortname]], Comp[], 16, FALSE)</f>
        <v>0</v>
      </c>
      <c r="T186">
        <f>VLOOKUP(Table5[[#This Row],[Shortname]], Comp[], 17, FALSE)</f>
        <v>0</v>
      </c>
      <c r="U186">
        <f>VLOOKUP(Table5[[#This Row],[Shortname]], Comp[], 18, FALSE)</f>
        <v>0</v>
      </c>
      <c r="V186">
        <f>VLOOKUP(Table5[[#This Row],[Shortname]], Comp[], 19, FALSE)</f>
        <v>0</v>
      </c>
      <c r="W186">
        <f>VLOOKUP(Table5[[#This Row],[Shortname]], Comp[], 20, FALSE)</f>
        <v>0</v>
      </c>
      <c r="X186">
        <f>VLOOKUP(Table5[[#This Row],[Shortname]], Comp[], 21, FALSE)</f>
        <v>0</v>
      </c>
      <c r="Y186">
        <f>VLOOKUP(Table5[[#This Row],[Shortname]], Comp[], 22, FALSE)</f>
        <v>0</v>
      </c>
      <c r="Z186">
        <f>VLOOKUP(Table5[[#This Row],[Shortname]], Comp[], 23, FALSE)</f>
        <v>0</v>
      </c>
      <c r="AA186">
        <f>VLOOKUP(Table5[[#This Row],[Shortname]], Comp[], 24, FALSE)</f>
        <v>0</v>
      </c>
      <c r="AB186">
        <f>VLOOKUP(Table5[[#This Row],[Shortname]], Comp[], 25, FALSE)</f>
        <v>0</v>
      </c>
      <c r="AC186">
        <f>VLOOKUP(Table5[[#This Row],[Shortname]], Comp[], 26, FALSE)</f>
        <v>0</v>
      </c>
      <c r="AD186">
        <f>VLOOKUP(Table5[[#This Row],[Shortname]], Comp[], 27, FALSE)</f>
        <v>0</v>
      </c>
      <c r="AE186">
        <f>VLOOKUP(Table5[[#This Row],[Shortname]], Comp[], 28, FALSE)</f>
        <v>0</v>
      </c>
      <c r="AF186">
        <f>VLOOKUP(Table5[[#This Row],[Shortname]], Comp[], 29, FALSE)</f>
        <v>0</v>
      </c>
      <c r="AG186">
        <f>VLOOKUP(Table5[[#This Row],[Shortname]], Comp[], 30, FALSE)</f>
        <v>0</v>
      </c>
      <c r="AH186">
        <f>VLOOKUP(Table5[[#This Row],[Shortname]], Comp[], 31, FALSE)</f>
        <v>0</v>
      </c>
    </row>
    <row r="187" spans="1:34" x14ac:dyDescent="0.3">
      <c r="A187" t="s">
        <v>1839</v>
      </c>
      <c r="B187">
        <v>187</v>
      </c>
      <c r="C187" t="str">
        <f>VLOOKUP(Table5[[#This Row],[Shortname]], [1]!comp[#Data], 2, FALSE)</f>
        <v>Co3Ti</v>
      </c>
      <c r="D187" t="s">
        <v>1841</v>
      </c>
      <c r="E187" t="s">
        <v>6714</v>
      </c>
      <c r="F187">
        <v>1159</v>
      </c>
      <c r="G187">
        <v>1200</v>
      </c>
      <c r="H187">
        <v>1298</v>
      </c>
      <c r="J187" s="14">
        <f>VLOOKUP(Table5[[#This Row],[Shortname]], Comp[], 7, FALSE)</f>
        <v>83</v>
      </c>
      <c r="K187">
        <f>VLOOKUP(Table5[[#This Row],[Shortname]], Comp[], 8, FALSE)</f>
        <v>0</v>
      </c>
      <c r="L187">
        <f>VLOOKUP(Table5[[#This Row],[Shortname]], Comp[], 9, FALSE)</f>
        <v>1.9</v>
      </c>
      <c r="M187">
        <f>VLOOKUP(Table5[[#This Row],[Shortname]], Comp[], 10, FALSE)</f>
        <v>0</v>
      </c>
      <c r="N187">
        <f>VLOOKUP(Table5[[#This Row],[Shortname]], Comp[], 11, FALSE)</f>
        <v>1.9</v>
      </c>
      <c r="O187">
        <f>VLOOKUP(Table5[[#This Row],[Shortname]], Comp[],12, FALSE)</f>
        <v>13.2</v>
      </c>
      <c r="P187">
        <f>VLOOKUP(Table5[[#This Row],[Shortname]], Comp[], 13, FALSE)</f>
        <v>0</v>
      </c>
      <c r="Q187">
        <f>VLOOKUP(Table5[[#This Row],[Shortname]], Comp[], 14, FALSE)</f>
        <v>0</v>
      </c>
      <c r="R187">
        <f>VLOOKUP(Table5[[#This Row],[Shortname]], Comp[], 15, FALSE)</f>
        <v>0</v>
      </c>
      <c r="S187">
        <f>VLOOKUP(Table5[[#This Row],[Shortname]], Comp[], 16, FALSE)</f>
        <v>0</v>
      </c>
      <c r="T187">
        <f>VLOOKUP(Table5[[#This Row],[Shortname]], Comp[], 17, FALSE)</f>
        <v>0</v>
      </c>
      <c r="U187">
        <f>VLOOKUP(Table5[[#This Row],[Shortname]], Comp[], 18, FALSE)</f>
        <v>0</v>
      </c>
      <c r="V187">
        <f>VLOOKUP(Table5[[#This Row],[Shortname]], Comp[], 19, FALSE)</f>
        <v>0</v>
      </c>
      <c r="W187">
        <f>VLOOKUP(Table5[[#This Row],[Shortname]], Comp[], 20, FALSE)</f>
        <v>0</v>
      </c>
      <c r="X187">
        <f>VLOOKUP(Table5[[#This Row],[Shortname]], Comp[], 21, FALSE)</f>
        <v>0</v>
      </c>
      <c r="Y187">
        <f>VLOOKUP(Table5[[#This Row],[Shortname]], Comp[], 22, FALSE)</f>
        <v>0</v>
      </c>
      <c r="Z187">
        <f>VLOOKUP(Table5[[#This Row],[Shortname]], Comp[], 23, FALSE)</f>
        <v>0</v>
      </c>
      <c r="AA187">
        <f>VLOOKUP(Table5[[#This Row],[Shortname]], Comp[], 24, FALSE)</f>
        <v>0</v>
      </c>
      <c r="AB187">
        <f>VLOOKUP(Table5[[#This Row],[Shortname]], Comp[], 25, FALSE)</f>
        <v>0</v>
      </c>
      <c r="AC187">
        <f>VLOOKUP(Table5[[#This Row],[Shortname]], Comp[], 26, FALSE)</f>
        <v>0</v>
      </c>
      <c r="AD187">
        <f>VLOOKUP(Table5[[#This Row],[Shortname]], Comp[], 27, FALSE)</f>
        <v>0</v>
      </c>
      <c r="AE187">
        <f>VLOOKUP(Table5[[#This Row],[Shortname]], Comp[], 28, FALSE)</f>
        <v>0</v>
      </c>
      <c r="AF187">
        <f>VLOOKUP(Table5[[#This Row],[Shortname]], Comp[], 29, FALSE)</f>
        <v>0</v>
      </c>
      <c r="AG187">
        <f>VLOOKUP(Table5[[#This Row],[Shortname]], Comp[], 30, FALSE)</f>
        <v>0</v>
      </c>
      <c r="AH187">
        <f>VLOOKUP(Table5[[#This Row],[Shortname]], Comp[], 31, FALSE)</f>
        <v>0</v>
      </c>
    </row>
    <row r="188" spans="1:34" x14ac:dyDescent="0.3">
      <c r="A188" t="s">
        <v>1830</v>
      </c>
      <c r="B188">
        <v>188</v>
      </c>
      <c r="C188" t="str">
        <f>VLOOKUP(Table5[[#This Row],[Shortname]], [1]!comp[#Data], 2, FALSE)</f>
        <v>Co3Ti</v>
      </c>
      <c r="D188" t="s">
        <v>1832</v>
      </c>
      <c r="E188" t="s">
        <v>6714</v>
      </c>
      <c r="F188">
        <v>1157</v>
      </c>
      <c r="G188">
        <v>1241</v>
      </c>
      <c r="H188">
        <v>1356</v>
      </c>
      <c r="J188" s="14">
        <f>VLOOKUP(Table5[[#This Row],[Shortname]], Comp[], 7, FALSE)</f>
        <v>82.5</v>
      </c>
      <c r="K188">
        <f>VLOOKUP(Table5[[#This Row],[Shortname]], Comp[], 8, FALSE)</f>
        <v>0</v>
      </c>
      <c r="L188">
        <f>VLOOKUP(Table5[[#This Row],[Shortname]], Comp[], 9, FALSE)</f>
        <v>3.8</v>
      </c>
      <c r="M188">
        <f>VLOOKUP(Table5[[#This Row],[Shortname]], Comp[], 10, FALSE)</f>
        <v>0</v>
      </c>
      <c r="N188">
        <f>VLOOKUP(Table5[[#This Row],[Shortname]], Comp[], 11, FALSE)</f>
        <v>3.8</v>
      </c>
      <c r="O188">
        <f>VLOOKUP(Table5[[#This Row],[Shortname]], Comp[],12, FALSE)</f>
        <v>9.9</v>
      </c>
      <c r="P188">
        <f>VLOOKUP(Table5[[#This Row],[Shortname]], Comp[], 13, FALSE)</f>
        <v>0</v>
      </c>
      <c r="Q188">
        <f>VLOOKUP(Table5[[#This Row],[Shortname]], Comp[], 14, FALSE)</f>
        <v>0</v>
      </c>
      <c r="R188">
        <f>VLOOKUP(Table5[[#This Row],[Shortname]], Comp[], 15, FALSE)</f>
        <v>0</v>
      </c>
      <c r="S188">
        <f>VLOOKUP(Table5[[#This Row],[Shortname]], Comp[], 16, FALSE)</f>
        <v>0</v>
      </c>
      <c r="T188">
        <f>VLOOKUP(Table5[[#This Row],[Shortname]], Comp[], 17, FALSE)</f>
        <v>0</v>
      </c>
      <c r="U188">
        <f>VLOOKUP(Table5[[#This Row],[Shortname]], Comp[], 18, FALSE)</f>
        <v>0</v>
      </c>
      <c r="V188">
        <f>VLOOKUP(Table5[[#This Row],[Shortname]], Comp[], 19, FALSE)</f>
        <v>0</v>
      </c>
      <c r="W188">
        <f>VLOOKUP(Table5[[#This Row],[Shortname]], Comp[], 20, FALSE)</f>
        <v>0</v>
      </c>
      <c r="X188">
        <f>VLOOKUP(Table5[[#This Row],[Shortname]], Comp[], 21, FALSE)</f>
        <v>0</v>
      </c>
      <c r="Y188">
        <f>VLOOKUP(Table5[[#This Row],[Shortname]], Comp[], 22, FALSE)</f>
        <v>0</v>
      </c>
      <c r="Z188">
        <f>VLOOKUP(Table5[[#This Row],[Shortname]], Comp[], 23, FALSE)</f>
        <v>0</v>
      </c>
      <c r="AA188">
        <f>VLOOKUP(Table5[[#This Row],[Shortname]], Comp[], 24, FALSE)</f>
        <v>0</v>
      </c>
      <c r="AB188">
        <f>VLOOKUP(Table5[[#This Row],[Shortname]], Comp[], 25, FALSE)</f>
        <v>0</v>
      </c>
      <c r="AC188">
        <f>VLOOKUP(Table5[[#This Row],[Shortname]], Comp[], 26, FALSE)</f>
        <v>0</v>
      </c>
      <c r="AD188">
        <f>VLOOKUP(Table5[[#This Row],[Shortname]], Comp[], 27, FALSE)</f>
        <v>0</v>
      </c>
      <c r="AE188">
        <f>VLOOKUP(Table5[[#This Row],[Shortname]], Comp[], 28, FALSE)</f>
        <v>0</v>
      </c>
      <c r="AF188">
        <f>VLOOKUP(Table5[[#This Row],[Shortname]], Comp[], 29, FALSE)</f>
        <v>0</v>
      </c>
      <c r="AG188">
        <f>VLOOKUP(Table5[[#This Row],[Shortname]], Comp[], 30, FALSE)</f>
        <v>0</v>
      </c>
      <c r="AH188">
        <f>VLOOKUP(Table5[[#This Row],[Shortname]], Comp[], 31, FALSE)</f>
        <v>0</v>
      </c>
    </row>
    <row r="189" spans="1:34" x14ac:dyDescent="0.3">
      <c r="A189" t="s">
        <v>1848</v>
      </c>
      <c r="B189">
        <v>189</v>
      </c>
      <c r="C189" t="str">
        <f>VLOOKUP(Table5[[#This Row],[Shortname]], [1]!comp[#Data], 2, FALSE)</f>
        <v>Co3Ti</v>
      </c>
      <c r="D189" t="s">
        <v>1850</v>
      </c>
      <c r="E189" t="s">
        <v>6714</v>
      </c>
      <c r="F189">
        <v>1156</v>
      </c>
      <c r="G189">
        <v>1156</v>
      </c>
      <c r="H189">
        <v>1175</v>
      </c>
      <c r="J189" s="14">
        <f>VLOOKUP(Table5[[#This Row],[Shortname]], Comp[], 7, FALSE)</f>
        <v>83.5</v>
      </c>
      <c r="K189">
        <f>VLOOKUP(Table5[[#This Row],[Shortname]], Comp[], 8, FALSE)</f>
        <v>0</v>
      </c>
      <c r="L189">
        <f>VLOOKUP(Table5[[#This Row],[Shortname]], Comp[], 9, FALSE)</f>
        <v>0</v>
      </c>
      <c r="M189">
        <f>VLOOKUP(Table5[[#This Row],[Shortname]], Comp[], 10, FALSE)</f>
        <v>0</v>
      </c>
      <c r="N189">
        <f>VLOOKUP(Table5[[#This Row],[Shortname]], Comp[], 11, FALSE)</f>
        <v>0</v>
      </c>
      <c r="O189">
        <f>VLOOKUP(Table5[[#This Row],[Shortname]], Comp[],12, FALSE)</f>
        <v>16.5</v>
      </c>
      <c r="P189">
        <f>VLOOKUP(Table5[[#This Row],[Shortname]], Comp[], 13, FALSE)</f>
        <v>0</v>
      </c>
      <c r="Q189">
        <f>VLOOKUP(Table5[[#This Row],[Shortname]], Comp[], 14, FALSE)</f>
        <v>0</v>
      </c>
      <c r="R189">
        <f>VLOOKUP(Table5[[#This Row],[Shortname]], Comp[], 15, FALSE)</f>
        <v>0</v>
      </c>
      <c r="S189">
        <f>VLOOKUP(Table5[[#This Row],[Shortname]], Comp[], 16, FALSE)</f>
        <v>0</v>
      </c>
      <c r="T189">
        <f>VLOOKUP(Table5[[#This Row],[Shortname]], Comp[], 17, FALSE)</f>
        <v>0</v>
      </c>
      <c r="U189">
        <f>VLOOKUP(Table5[[#This Row],[Shortname]], Comp[], 18, FALSE)</f>
        <v>0</v>
      </c>
      <c r="V189">
        <f>VLOOKUP(Table5[[#This Row],[Shortname]], Comp[], 19, FALSE)</f>
        <v>0</v>
      </c>
      <c r="W189">
        <f>VLOOKUP(Table5[[#This Row],[Shortname]], Comp[], 20, FALSE)</f>
        <v>0</v>
      </c>
      <c r="X189">
        <f>VLOOKUP(Table5[[#This Row],[Shortname]], Comp[], 21, FALSE)</f>
        <v>0</v>
      </c>
      <c r="Y189">
        <f>VLOOKUP(Table5[[#This Row],[Shortname]], Comp[], 22, FALSE)</f>
        <v>0</v>
      </c>
      <c r="Z189">
        <f>VLOOKUP(Table5[[#This Row],[Shortname]], Comp[], 23, FALSE)</f>
        <v>0</v>
      </c>
      <c r="AA189">
        <f>VLOOKUP(Table5[[#This Row],[Shortname]], Comp[], 24, FALSE)</f>
        <v>0</v>
      </c>
      <c r="AB189">
        <f>VLOOKUP(Table5[[#This Row],[Shortname]], Comp[], 25, FALSE)</f>
        <v>0</v>
      </c>
      <c r="AC189">
        <f>VLOOKUP(Table5[[#This Row],[Shortname]], Comp[], 26, FALSE)</f>
        <v>0</v>
      </c>
      <c r="AD189">
        <f>VLOOKUP(Table5[[#This Row],[Shortname]], Comp[], 27, FALSE)</f>
        <v>0</v>
      </c>
      <c r="AE189">
        <f>VLOOKUP(Table5[[#This Row],[Shortname]], Comp[], 28, FALSE)</f>
        <v>0</v>
      </c>
      <c r="AF189">
        <f>VLOOKUP(Table5[[#This Row],[Shortname]], Comp[], 29, FALSE)</f>
        <v>0</v>
      </c>
      <c r="AG189">
        <f>VLOOKUP(Table5[[#This Row],[Shortname]], Comp[], 30, FALSE)</f>
        <v>0</v>
      </c>
      <c r="AH189">
        <f>VLOOKUP(Table5[[#This Row],[Shortname]], Comp[], 31, FALSE)</f>
        <v>0</v>
      </c>
    </row>
    <row r="190" spans="1:34" x14ac:dyDescent="0.3">
      <c r="A190" t="s">
        <v>1818</v>
      </c>
      <c r="B190">
        <v>190</v>
      </c>
      <c r="C190" t="str">
        <f>VLOOKUP(Table5[[#This Row],[Shortname]], [1]!comp[#Data], 2, FALSE)</f>
        <v>CoAlW-X</v>
      </c>
      <c r="D190" t="s">
        <v>1622</v>
      </c>
      <c r="E190" t="s">
        <v>6714</v>
      </c>
      <c r="F190">
        <v>1118</v>
      </c>
      <c r="G190">
        <v>1378</v>
      </c>
      <c r="H190">
        <v>1441</v>
      </c>
      <c r="J190" s="14">
        <f>VLOOKUP(Table5[[#This Row],[Shortname]], Comp[], 7, FALSE)</f>
        <v>81.5</v>
      </c>
      <c r="K190">
        <f>VLOOKUP(Table5[[#This Row],[Shortname]], Comp[], 8, FALSE)</f>
        <v>0</v>
      </c>
      <c r="L190">
        <f>VLOOKUP(Table5[[#This Row],[Shortname]], Comp[], 9, FALSE)</f>
        <v>7.5</v>
      </c>
      <c r="M190">
        <f>VLOOKUP(Table5[[#This Row],[Shortname]], Comp[], 10, FALSE)</f>
        <v>0</v>
      </c>
      <c r="N190">
        <f>VLOOKUP(Table5[[#This Row],[Shortname]], Comp[], 11, FALSE)</f>
        <v>7.7</v>
      </c>
      <c r="O190">
        <f>VLOOKUP(Table5[[#This Row],[Shortname]], Comp[],12, FALSE)</f>
        <v>3.3</v>
      </c>
      <c r="P190">
        <f>VLOOKUP(Table5[[#This Row],[Shortname]], Comp[], 13, FALSE)</f>
        <v>0</v>
      </c>
      <c r="Q190">
        <f>VLOOKUP(Table5[[#This Row],[Shortname]], Comp[], 14, FALSE)</f>
        <v>0</v>
      </c>
      <c r="R190">
        <f>VLOOKUP(Table5[[#This Row],[Shortname]], Comp[], 15, FALSE)</f>
        <v>0</v>
      </c>
      <c r="S190">
        <f>VLOOKUP(Table5[[#This Row],[Shortname]], Comp[], 16, FALSE)</f>
        <v>0</v>
      </c>
      <c r="T190">
        <f>VLOOKUP(Table5[[#This Row],[Shortname]], Comp[], 17, FALSE)</f>
        <v>0</v>
      </c>
      <c r="U190">
        <f>VLOOKUP(Table5[[#This Row],[Shortname]], Comp[], 18, FALSE)</f>
        <v>0</v>
      </c>
      <c r="V190">
        <f>VLOOKUP(Table5[[#This Row],[Shortname]], Comp[], 19, FALSE)</f>
        <v>0</v>
      </c>
      <c r="W190">
        <f>VLOOKUP(Table5[[#This Row],[Shortname]], Comp[], 20, FALSE)</f>
        <v>0</v>
      </c>
      <c r="X190">
        <f>VLOOKUP(Table5[[#This Row],[Shortname]], Comp[], 21, FALSE)</f>
        <v>0</v>
      </c>
      <c r="Y190">
        <f>VLOOKUP(Table5[[#This Row],[Shortname]], Comp[], 22, FALSE)</f>
        <v>0</v>
      </c>
      <c r="Z190">
        <f>VLOOKUP(Table5[[#This Row],[Shortname]], Comp[], 23, FALSE)</f>
        <v>0</v>
      </c>
      <c r="AA190">
        <f>VLOOKUP(Table5[[#This Row],[Shortname]], Comp[], 24, FALSE)</f>
        <v>0</v>
      </c>
      <c r="AB190">
        <f>VLOOKUP(Table5[[#This Row],[Shortname]], Comp[], 25, FALSE)</f>
        <v>0</v>
      </c>
      <c r="AC190">
        <f>VLOOKUP(Table5[[#This Row],[Shortname]], Comp[], 26, FALSE)</f>
        <v>0</v>
      </c>
      <c r="AD190">
        <f>VLOOKUP(Table5[[#This Row],[Shortname]], Comp[], 27, FALSE)</f>
        <v>0</v>
      </c>
      <c r="AE190">
        <f>VLOOKUP(Table5[[#This Row],[Shortname]], Comp[], 28, FALSE)</f>
        <v>0</v>
      </c>
      <c r="AF190">
        <f>VLOOKUP(Table5[[#This Row],[Shortname]], Comp[], 29, FALSE)</f>
        <v>0</v>
      </c>
      <c r="AG190">
        <f>VLOOKUP(Table5[[#This Row],[Shortname]], Comp[], 30, FALSE)</f>
        <v>0</v>
      </c>
      <c r="AH190">
        <f>VLOOKUP(Table5[[#This Row],[Shortname]], Comp[], 31, FALSE)</f>
        <v>0</v>
      </c>
    </row>
    <row r="191" spans="1:34" x14ac:dyDescent="0.3">
      <c r="A191" t="s">
        <v>1812</v>
      </c>
      <c r="B191">
        <v>191</v>
      </c>
      <c r="C191" t="str">
        <f>VLOOKUP(Table5[[#This Row],[Shortname]], [1]!comp[#Data], 2, FALSE)</f>
        <v>CoAlW-X</v>
      </c>
      <c r="D191" t="s">
        <v>1813</v>
      </c>
      <c r="E191" t="s">
        <v>6714</v>
      </c>
      <c r="F191">
        <v>1025</v>
      </c>
      <c r="G191">
        <v>1455</v>
      </c>
      <c r="H191">
        <v>1480</v>
      </c>
      <c r="J191" s="14">
        <f>VLOOKUP(Table5[[#This Row],[Shortname]], Comp[], 7, FALSE)</f>
        <v>81</v>
      </c>
      <c r="K191">
        <f>VLOOKUP(Table5[[#This Row],[Shortname]], Comp[], 8, FALSE)</f>
        <v>0</v>
      </c>
      <c r="L191">
        <f>VLOOKUP(Table5[[#This Row],[Shortname]], Comp[], 9, FALSE)</f>
        <v>9.4</v>
      </c>
      <c r="M191">
        <f>VLOOKUP(Table5[[#This Row],[Shortname]], Comp[], 10, FALSE)</f>
        <v>0</v>
      </c>
      <c r="N191">
        <f>VLOOKUP(Table5[[#This Row],[Shortname]], Comp[], 11, FALSE)</f>
        <v>9.6</v>
      </c>
      <c r="O191">
        <f>VLOOKUP(Table5[[#This Row],[Shortname]], Comp[],12, FALSE)</f>
        <v>0</v>
      </c>
      <c r="P191">
        <f>VLOOKUP(Table5[[#This Row],[Shortname]], Comp[], 13, FALSE)</f>
        <v>0</v>
      </c>
      <c r="Q191">
        <f>VLOOKUP(Table5[[#This Row],[Shortname]], Comp[], 14, FALSE)</f>
        <v>0</v>
      </c>
      <c r="R191">
        <f>VLOOKUP(Table5[[#This Row],[Shortname]], Comp[], 15, FALSE)</f>
        <v>0</v>
      </c>
      <c r="S191">
        <f>VLOOKUP(Table5[[#This Row],[Shortname]], Comp[], 16, FALSE)</f>
        <v>0</v>
      </c>
      <c r="T191">
        <f>VLOOKUP(Table5[[#This Row],[Shortname]], Comp[], 17, FALSE)</f>
        <v>0</v>
      </c>
      <c r="U191">
        <f>VLOOKUP(Table5[[#This Row],[Shortname]], Comp[], 18, FALSE)</f>
        <v>0</v>
      </c>
      <c r="V191">
        <f>VLOOKUP(Table5[[#This Row],[Shortname]], Comp[], 19, FALSE)</f>
        <v>0</v>
      </c>
      <c r="W191">
        <f>VLOOKUP(Table5[[#This Row],[Shortname]], Comp[], 20, FALSE)</f>
        <v>0</v>
      </c>
      <c r="X191">
        <f>VLOOKUP(Table5[[#This Row],[Shortname]], Comp[], 21, FALSE)</f>
        <v>0</v>
      </c>
      <c r="Y191">
        <f>VLOOKUP(Table5[[#This Row],[Shortname]], Comp[], 22, FALSE)</f>
        <v>0</v>
      </c>
      <c r="Z191">
        <f>VLOOKUP(Table5[[#This Row],[Shortname]], Comp[], 23, FALSE)</f>
        <v>0</v>
      </c>
      <c r="AA191">
        <f>VLOOKUP(Table5[[#This Row],[Shortname]], Comp[], 24, FALSE)</f>
        <v>0</v>
      </c>
      <c r="AB191">
        <f>VLOOKUP(Table5[[#This Row],[Shortname]], Comp[], 25, FALSE)</f>
        <v>0</v>
      </c>
      <c r="AC191">
        <f>VLOOKUP(Table5[[#This Row],[Shortname]], Comp[], 26, FALSE)</f>
        <v>0</v>
      </c>
      <c r="AD191">
        <f>VLOOKUP(Table5[[#This Row],[Shortname]], Comp[], 27, FALSE)</f>
        <v>0</v>
      </c>
      <c r="AE191">
        <f>VLOOKUP(Table5[[#This Row],[Shortname]], Comp[], 28, FALSE)</f>
        <v>0</v>
      </c>
      <c r="AF191">
        <f>VLOOKUP(Table5[[#This Row],[Shortname]], Comp[], 29, FALSE)</f>
        <v>0</v>
      </c>
      <c r="AG191">
        <f>VLOOKUP(Table5[[#This Row],[Shortname]], Comp[], 30, FALSE)</f>
        <v>0</v>
      </c>
      <c r="AH191">
        <f>VLOOKUP(Table5[[#This Row],[Shortname]], Comp[], 31, FALSE)</f>
        <v>0</v>
      </c>
    </row>
    <row r="192" spans="1:34" x14ac:dyDescent="0.3">
      <c r="A192" t="s">
        <v>1876</v>
      </c>
      <c r="B192">
        <v>192</v>
      </c>
      <c r="C192" t="str">
        <f>VLOOKUP(Table5[[#This Row],[Shortname]], [1]!comp[#Data], 2, FALSE)</f>
        <v>CoAlWX+</v>
      </c>
      <c r="D192" t="s">
        <v>1878</v>
      </c>
      <c r="E192" t="s">
        <v>6715</v>
      </c>
      <c r="F192">
        <v>1150</v>
      </c>
      <c r="J192" s="14">
        <f>VLOOKUP(Table5[[#This Row],[Shortname]], Comp[], 7, FALSE)</f>
        <v>59.2</v>
      </c>
      <c r="K192">
        <f>VLOOKUP(Table5[[#This Row],[Shortname]], Comp[], 8, FALSE)</f>
        <v>20.3</v>
      </c>
      <c r="L192">
        <f>VLOOKUP(Table5[[#This Row],[Shortname]], Comp[], 9, FALSE)</f>
        <v>8.5</v>
      </c>
      <c r="M192">
        <f>VLOOKUP(Table5[[#This Row],[Shortname]], Comp[], 10, FALSE)</f>
        <v>0</v>
      </c>
      <c r="N192">
        <f>VLOOKUP(Table5[[#This Row],[Shortname]], Comp[], 11, FALSE)</f>
        <v>7.1</v>
      </c>
      <c r="O192">
        <f>VLOOKUP(Table5[[#This Row],[Shortname]], Comp[],12, FALSE)</f>
        <v>2</v>
      </c>
      <c r="P192">
        <f>VLOOKUP(Table5[[#This Row],[Shortname]], Comp[], 13, FALSE)</f>
        <v>1.5</v>
      </c>
      <c r="Q192">
        <f>VLOOKUP(Table5[[#This Row],[Shortname]], Comp[], 14, FALSE)</f>
        <v>0</v>
      </c>
      <c r="R192">
        <f>VLOOKUP(Table5[[#This Row],[Shortname]], Comp[], 15, FALSE)</f>
        <v>0</v>
      </c>
      <c r="S192">
        <f>VLOOKUP(Table5[[#This Row],[Shortname]], Comp[], 16, FALSE)</f>
        <v>0</v>
      </c>
      <c r="T192">
        <f>VLOOKUP(Table5[[#This Row],[Shortname]], Comp[], 17, FALSE)</f>
        <v>0</v>
      </c>
      <c r="U192">
        <f>VLOOKUP(Table5[[#This Row],[Shortname]], Comp[], 18, FALSE)</f>
        <v>0</v>
      </c>
      <c r="V192">
        <f>VLOOKUP(Table5[[#This Row],[Shortname]], Comp[], 19, FALSE)</f>
        <v>0</v>
      </c>
      <c r="W192">
        <f>VLOOKUP(Table5[[#This Row],[Shortname]], Comp[], 20, FALSE)</f>
        <v>0</v>
      </c>
      <c r="X192">
        <f>VLOOKUP(Table5[[#This Row],[Shortname]], Comp[], 21, FALSE)</f>
        <v>1.4</v>
      </c>
      <c r="Y192">
        <f>VLOOKUP(Table5[[#This Row],[Shortname]], Comp[], 22, FALSE)</f>
        <v>0</v>
      </c>
      <c r="Z192">
        <f>VLOOKUP(Table5[[#This Row],[Shortname]], Comp[], 23, FALSE)</f>
        <v>0</v>
      </c>
      <c r="AA192">
        <f>VLOOKUP(Table5[[#This Row],[Shortname]], Comp[], 24, FALSE)</f>
        <v>0</v>
      </c>
      <c r="AB192">
        <f>VLOOKUP(Table5[[#This Row],[Shortname]], Comp[], 25, FALSE)</f>
        <v>0</v>
      </c>
      <c r="AC192">
        <f>VLOOKUP(Table5[[#This Row],[Shortname]], Comp[], 26, FALSE)</f>
        <v>0</v>
      </c>
      <c r="AD192">
        <f>VLOOKUP(Table5[[#This Row],[Shortname]], Comp[], 27, FALSE)</f>
        <v>0</v>
      </c>
      <c r="AE192">
        <f>VLOOKUP(Table5[[#This Row],[Shortname]], Comp[], 28, FALSE)</f>
        <v>0</v>
      </c>
      <c r="AF192">
        <f>VLOOKUP(Table5[[#This Row],[Shortname]], Comp[], 29, FALSE)</f>
        <v>0</v>
      </c>
      <c r="AG192">
        <f>VLOOKUP(Table5[[#This Row],[Shortname]], Comp[], 30, FALSE)</f>
        <v>0</v>
      </c>
      <c r="AH192">
        <f>VLOOKUP(Table5[[#This Row],[Shortname]], Comp[], 31, FALSE)</f>
        <v>0</v>
      </c>
    </row>
    <row r="193" spans="1:34" x14ac:dyDescent="0.3">
      <c r="A193" s="7" t="s">
        <v>1868</v>
      </c>
      <c r="B193">
        <v>193</v>
      </c>
      <c r="C193" s="7" t="str">
        <f>VLOOKUP(Table5[[#This Row],[Shortname]], [1]!comp[#Data], 2, FALSE)</f>
        <v>CoAlWX+</v>
      </c>
      <c r="D193" s="7" t="s">
        <v>1870</v>
      </c>
      <c r="E193" t="s">
        <v>6715</v>
      </c>
      <c r="F193">
        <v>1150</v>
      </c>
      <c r="J193" s="14">
        <f>VLOOKUP(Table5[[#This Row],[Shortname]], Comp[], 7, FALSE)</f>
        <v>60.4</v>
      </c>
      <c r="K193">
        <f>VLOOKUP(Table5[[#This Row],[Shortname]], Comp[], 8, FALSE)</f>
        <v>20.100000000000001</v>
      </c>
      <c r="L193">
        <f>VLOOKUP(Table5[[#This Row],[Shortname]], Comp[], 9, FALSE)</f>
        <v>8.6999999999999993</v>
      </c>
      <c r="M193">
        <f>VLOOKUP(Table5[[#This Row],[Shortname]], Comp[], 10, FALSE)</f>
        <v>0</v>
      </c>
      <c r="N193">
        <f>VLOOKUP(Table5[[#This Row],[Shortname]], Comp[], 11, FALSE)</f>
        <v>7.3</v>
      </c>
      <c r="O193">
        <f>VLOOKUP(Table5[[#This Row],[Shortname]], Comp[],12, FALSE)</f>
        <v>2</v>
      </c>
      <c r="P193">
        <f>VLOOKUP(Table5[[#This Row],[Shortname]], Comp[], 13, FALSE)</f>
        <v>1.5</v>
      </c>
      <c r="Q193">
        <f>VLOOKUP(Table5[[#This Row],[Shortname]], Comp[], 14, FALSE)</f>
        <v>0</v>
      </c>
      <c r="R193">
        <f>VLOOKUP(Table5[[#This Row],[Shortname]], Comp[], 15, FALSE)</f>
        <v>0</v>
      </c>
      <c r="S193">
        <f>VLOOKUP(Table5[[#This Row],[Shortname]], Comp[], 16, FALSE)</f>
        <v>0</v>
      </c>
      <c r="T193">
        <f>VLOOKUP(Table5[[#This Row],[Shortname]], Comp[], 17, FALSE)</f>
        <v>0</v>
      </c>
      <c r="U193">
        <f>VLOOKUP(Table5[[#This Row],[Shortname]], Comp[], 18, FALSE)</f>
        <v>0</v>
      </c>
      <c r="V193">
        <f>VLOOKUP(Table5[[#This Row],[Shortname]], Comp[], 19, FALSE)</f>
        <v>0</v>
      </c>
      <c r="W193">
        <f>VLOOKUP(Table5[[#This Row],[Shortname]], Comp[], 20, FALSE)</f>
        <v>0</v>
      </c>
      <c r="X193">
        <f>VLOOKUP(Table5[[#This Row],[Shortname]], Comp[], 21, FALSE)</f>
        <v>0</v>
      </c>
      <c r="Y193">
        <f>VLOOKUP(Table5[[#This Row],[Shortname]], Comp[], 22, FALSE)</f>
        <v>0</v>
      </c>
      <c r="Z193">
        <f>VLOOKUP(Table5[[#This Row],[Shortname]], Comp[], 23, FALSE)</f>
        <v>0</v>
      </c>
      <c r="AA193">
        <f>VLOOKUP(Table5[[#This Row],[Shortname]], Comp[], 24, FALSE)</f>
        <v>0</v>
      </c>
      <c r="AB193">
        <f>VLOOKUP(Table5[[#This Row],[Shortname]], Comp[], 25, FALSE)</f>
        <v>0</v>
      </c>
      <c r="AC193">
        <f>VLOOKUP(Table5[[#This Row],[Shortname]], Comp[], 26, FALSE)</f>
        <v>0</v>
      </c>
      <c r="AD193">
        <f>VLOOKUP(Table5[[#This Row],[Shortname]], Comp[], 27, FALSE)</f>
        <v>0</v>
      </c>
      <c r="AE193">
        <f>VLOOKUP(Table5[[#This Row],[Shortname]], Comp[], 28, FALSE)</f>
        <v>0</v>
      </c>
      <c r="AF193">
        <f>VLOOKUP(Table5[[#This Row],[Shortname]], Comp[], 29, FALSE)</f>
        <v>0</v>
      </c>
      <c r="AG193">
        <f>VLOOKUP(Table5[[#This Row],[Shortname]], Comp[], 30, FALSE)</f>
        <v>0</v>
      </c>
      <c r="AH193">
        <f>VLOOKUP(Table5[[#This Row],[Shortname]], Comp[], 31, FALSE)</f>
        <v>0</v>
      </c>
    </row>
    <row r="194" spans="1:34" x14ac:dyDescent="0.3">
      <c r="A194" s="20" t="s">
        <v>1940</v>
      </c>
      <c r="B194">
        <v>194</v>
      </c>
      <c r="C194" s="20" t="str">
        <f>VLOOKUP(Table5[[#This Row],[Shortname]], [1]!comp[#Data], 2, FALSE)</f>
        <v>CoAlWX+</v>
      </c>
      <c r="D194" s="20" t="s">
        <v>1942</v>
      </c>
      <c r="E194" t="s">
        <v>6716</v>
      </c>
      <c r="F194">
        <v>1218</v>
      </c>
      <c r="G194">
        <v>1359</v>
      </c>
      <c r="H194">
        <v>1411</v>
      </c>
      <c r="J194" s="14">
        <f>VLOOKUP(Table5[[#This Row],[Shortname]], Comp[], 7, FALSE)</f>
        <v>48.9</v>
      </c>
      <c r="K194">
        <f>VLOOKUP(Table5[[#This Row],[Shortname]], Comp[], 8, FALSE)</f>
        <v>30</v>
      </c>
      <c r="L194">
        <f>VLOOKUP(Table5[[#This Row],[Shortname]], Comp[], 9, FALSE)</f>
        <v>9</v>
      </c>
      <c r="M194">
        <f>VLOOKUP(Table5[[#This Row],[Shortname]], Comp[], 10, FALSE)</f>
        <v>0</v>
      </c>
      <c r="N194">
        <f>VLOOKUP(Table5[[#This Row],[Shortname]], Comp[], 11, FALSE)</f>
        <v>7</v>
      </c>
      <c r="O194">
        <f>VLOOKUP(Table5[[#This Row],[Shortname]], Comp[],12, FALSE)</f>
        <v>3</v>
      </c>
      <c r="P194">
        <f>VLOOKUP(Table5[[#This Row],[Shortname]], Comp[], 13, FALSE)</f>
        <v>2</v>
      </c>
      <c r="Q194">
        <f>VLOOKUP(Table5[[#This Row],[Shortname]], Comp[], 14, FALSE)</f>
        <v>0</v>
      </c>
      <c r="R194">
        <f>VLOOKUP(Table5[[#This Row],[Shortname]], Comp[], 15, FALSE)</f>
        <v>0</v>
      </c>
      <c r="S194">
        <f>VLOOKUP(Table5[[#This Row],[Shortname]], Comp[], 16, FALSE)</f>
        <v>0</v>
      </c>
      <c r="T194">
        <f>VLOOKUP(Table5[[#This Row],[Shortname]], Comp[], 17, FALSE)</f>
        <v>0</v>
      </c>
      <c r="U194">
        <f>VLOOKUP(Table5[[#This Row],[Shortname]], Comp[], 18, FALSE)</f>
        <v>0</v>
      </c>
      <c r="V194">
        <f>VLOOKUP(Table5[[#This Row],[Shortname]], Comp[], 19, FALSE)</f>
        <v>0.1</v>
      </c>
      <c r="W194">
        <f>VLOOKUP(Table5[[#This Row],[Shortname]], Comp[], 20, FALSE)</f>
        <v>0</v>
      </c>
      <c r="X194">
        <f>VLOOKUP(Table5[[#This Row],[Shortname]], Comp[], 21, FALSE)</f>
        <v>0</v>
      </c>
      <c r="Y194">
        <f>VLOOKUP(Table5[[#This Row],[Shortname]], Comp[], 22, FALSE)</f>
        <v>0</v>
      </c>
      <c r="Z194">
        <f>VLOOKUP(Table5[[#This Row],[Shortname]], Comp[], 23, FALSE)</f>
        <v>0</v>
      </c>
      <c r="AA194">
        <f>VLOOKUP(Table5[[#This Row],[Shortname]], Comp[], 24, FALSE)</f>
        <v>0</v>
      </c>
      <c r="AB194">
        <f>VLOOKUP(Table5[[#This Row],[Shortname]], Comp[], 25, FALSE)</f>
        <v>0</v>
      </c>
      <c r="AC194">
        <f>VLOOKUP(Table5[[#This Row],[Shortname]], Comp[], 26, FALSE)</f>
        <v>0</v>
      </c>
      <c r="AD194">
        <f>VLOOKUP(Table5[[#This Row],[Shortname]], Comp[], 27, FALSE)</f>
        <v>0</v>
      </c>
      <c r="AE194">
        <f>VLOOKUP(Table5[[#This Row],[Shortname]], Comp[], 28, FALSE)</f>
        <v>0</v>
      </c>
      <c r="AF194">
        <f>VLOOKUP(Table5[[#This Row],[Shortname]], Comp[], 29, FALSE)</f>
        <v>0</v>
      </c>
      <c r="AG194">
        <f>VLOOKUP(Table5[[#This Row],[Shortname]], Comp[], 30, FALSE)</f>
        <v>0</v>
      </c>
      <c r="AH194">
        <f>VLOOKUP(Table5[[#This Row],[Shortname]], Comp[], 31, FALSE)</f>
        <v>0</v>
      </c>
    </row>
    <row r="195" spans="1:34" x14ac:dyDescent="0.3">
      <c r="A195" t="s">
        <v>1920</v>
      </c>
      <c r="B195">
        <v>195</v>
      </c>
      <c r="C195" t="str">
        <f>VLOOKUP(Table5[[#This Row],[Shortname]], [1]!comp[#Data], 2, FALSE)</f>
        <v>CoAlWX+</v>
      </c>
      <c r="D195" t="s">
        <v>1922</v>
      </c>
      <c r="E195" s="21" t="s">
        <v>6716</v>
      </c>
      <c r="F195">
        <v>1195</v>
      </c>
      <c r="G195">
        <v>1298</v>
      </c>
      <c r="H195">
        <v>1374</v>
      </c>
      <c r="J195" s="14">
        <f>VLOOKUP(Table5[[#This Row],[Shortname]], Comp[], 7, FALSE)</f>
        <v>76</v>
      </c>
      <c r="K195">
        <f>VLOOKUP(Table5[[#This Row],[Shortname]], Comp[], 8, FALSE)</f>
        <v>0</v>
      </c>
      <c r="L195">
        <f>VLOOKUP(Table5[[#This Row],[Shortname]], Comp[], 9, FALSE)</f>
        <v>10.5</v>
      </c>
      <c r="M195">
        <f>VLOOKUP(Table5[[#This Row],[Shortname]], Comp[], 10, FALSE)</f>
        <v>0</v>
      </c>
      <c r="N195">
        <f>VLOOKUP(Table5[[#This Row],[Shortname]], Comp[], 11, FALSE)</f>
        <v>7</v>
      </c>
      <c r="O195">
        <f>VLOOKUP(Table5[[#This Row],[Shortname]], Comp[],12, FALSE)</f>
        <v>4</v>
      </c>
      <c r="P195">
        <f>VLOOKUP(Table5[[#This Row],[Shortname]], Comp[], 13, FALSE)</f>
        <v>2.5</v>
      </c>
      <c r="Q195">
        <f>VLOOKUP(Table5[[#This Row],[Shortname]], Comp[], 14, FALSE)</f>
        <v>0</v>
      </c>
      <c r="R195">
        <f>VLOOKUP(Table5[[#This Row],[Shortname]], Comp[], 15, FALSE)</f>
        <v>0</v>
      </c>
      <c r="S195">
        <f>VLOOKUP(Table5[[#This Row],[Shortname]], Comp[], 16, FALSE)</f>
        <v>0</v>
      </c>
      <c r="T195">
        <f>VLOOKUP(Table5[[#This Row],[Shortname]], Comp[], 17, FALSE)</f>
        <v>0</v>
      </c>
      <c r="U195">
        <f>VLOOKUP(Table5[[#This Row],[Shortname]], Comp[], 18, FALSE)</f>
        <v>0</v>
      </c>
      <c r="V195">
        <f>VLOOKUP(Table5[[#This Row],[Shortname]], Comp[], 19, FALSE)</f>
        <v>0</v>
      </c>
      <c r="W195">
        <f>VLOOKUP(Table5[[#This Row],[Shortname]], Comp[], 20, FALSE)</f>
        <v>0</v>
      </c>
      <c r="X195">
        <f>VLOOKUP(Table5[[#This Row],[Shortname]], Comp[], 21, FALSE)</f>
        <v>0</v>
      </c>
      <c r="Y195">
        <f>VLOOKUP(Table5[[#This Row],[Shortname]], Comp[], 22, FALSE)</f>
        <v>0</v>
      </c>
      <c r="Z195">
        <f>VLOOKUP(Table5[[#This Row],[Shortname]], Comp[], 23, FALSE)</f>
        <v>0</v>
      </c>
      <c r="AA195">
        <f>VLOOKUP(Table5[[#This Row],[Shortname]], Comp[], 24, FALSE)</f>
        <v>0</v>
      </c>
      <c r="AB195">
        <f>VLOOKUP(Table5[[#This Row],[Shortname]], Comp[], 25, FALSE)</f>
        <v>0</v>
      </c>
      <c r="AC195">
        <f>VLOOKUP(Table5[[#This Row],[Shortname]], Comp[], 26, FALSE)</f>
        <v>0</v>
      </c>
      <c r="AD195">
        <f>VLOOKUP(Table5[[#This Row],[Shortname]], Comp[], 27, FALSE)</f>
        <v>0</v>
      </c>
      <c r="AE195">
        <f>VLOOKUP(Table5[[#This Row],[Shortname]], Comp[], 28, FALSE)</f>
        <v>0</v>
      </c>
      <c r="AF195">
        <f>VLOOKUP(Table5[[#This Row],[Shortname]], Comp[], 29, FALSE)</f>
        <v>0</v>
      </c>
      <c r="AG195">
        <f>VLOOKUP(Table5[[#This Row],[Shortname]], Comp[], 30, FALSE)</f>
        <v>0</v>
      </c>
      <c r="AH195">
        <f>VLOOKUP(Table5[[#This Row],[Shortname]], Comp[], 31, FALSE)</f>
        <v>0</v>
      </c>
    </row>
    <row r="196" spans="1:34" x14ac:dyDescent="0.3">
      <c r="A196" t="s">
        <v>1926</v>
      </c>
      <c r="B196">
        <v>196</v>
      </c>
      <c r="C196" t="str">
        <f>VLOOKUP(Table5[[#This Row],[Shortname]], [1]!comp[#Data], 2, FALSE)</f>
        <v>CoAlWX+</v>
      </c>
      <c r="D196" t="s">
        <v>1928</v>
      </c>
      <c r="E196" s="21" t="s">
        <v>6716</v>
      </c>
      <c r="F196">
        <v>1194</v>
      </c>
      <c r="G196">
        <v>1304</v>
      </c>
      <c r="H196">
        <v>1374</v>
      </c>
      <c r="J196" s="14">
        <f>VLOOKUP(Table5[[#This Row],[Shortname]], Comp[], 7, FALSE)</f>
        <v>77</v>
      </c>
      <c r="K196">
        <f>VLOOKUP(Table5[[#This Row],[Shortname]], Comp[], 8, FALSE)</f>
        <v>0</v>
      </c>
      <c r="L196">
        <f>VLOOKUP(Table5[[#This Row],[Shortname]], Comp[], 9, FALSE)</f>
        <v>11</v>
      </c>
      <c r="M196">
        <f>VLOOKUP(Table5[[#This Row],[Shortname]], Comp[], 10, FALSE)</f>
        <v>0</v>
      </c>
      <c r="N196">
        <f>VLOOKUP(Table5[[#This Row],[Shortname]], Comp[], 11, FALSE)</f>
        <v>5.5</v>
      </c>
      <c r="O196">
        <f>VLOOKUP(Table5[[#This Row],[Shortname]], Comp[],12, FALSE)</f>
        <v>4</v>
      </c>
      <c r="P196">
        <f>VLOOKUP(Table5[[#This Row],[Shortname]], Comp[], 13, FALSE)</f>
        <v>2.5</v>
      </c>
      <c r="Q196">
        <f>VLOOKUP(Table5[[#This Row],[Shortname]], Comp[], 14, FALSE)</f>
        <v>0</v>
      </c>
      <c r="R196">
        <f>VLOOKUP(Table5[[#This Row],[Shortname]], Comp[], 15, FALSE)</f>
        <v>0</v>
      </c>
      <c r="S196">
        <f>VLOOKUP(Table5[[#This Row],[Shortname]], Comp[], 16, FALSE)</f>
        <v>0</v>
      </c>
      <c r="T196">
        <f>VLOOKUP(Table5[[#This Row],[Shortname]], Comp[], 17, FALSE)</f>
        <v>0</v>
      </c>
      <c r="U196">
        <f>VLOOKUP(Table5[[#This Row],[Shortname]], Comp[], 18, FALSE)</f>
        <v>0</v>
      </c>
      <c r="V196">
        <f>VLOOKUP(Table5[[#This Row],[Shortname]], Comp[], 19, FALSE)</f>
        <v>0</v>
      </c>
      <c r="W196">
        <f>VLOOKUP(Table5[[#This Row],[Shortname]], Comp[], 20, FALSE)</f>
        <v>0</v>
      </c>
      <c r="X196">
        <f>VLOOKUP(Table5[[#This Row],[Shortname]], Comp[], 21, FALSE)</f>
        <v>0</v>
      </c>
      <c r="Y196">
        <f>VLOOKUP(Table5[[#This Row],[Shortname]], Comp[], 22, FALSE)</f>
        <v>0</v>
      </c>
      <c r="Z196">
        <f>VLOOKUP(Table5[[#This Row],[Shortname]], Comp[], 23, FALSE)</f>
        <v>0</v>
      </c>
      <c r="AA196">
        <f>VLOOKUP(Table5[[#This Row],[Shortname]], Comp[], 24, FALSE)</f>
        <v>0</v>
      </c>
      <c r="AB196">
        <f>VLOOKUP(Table5[[#This Row],[Shortname]], Comp[], 25, FALSE)</f>
        <v>0</v>
      </c>
      <c r="AC196">
        <f>VLOOKUP(Table5[[#This Row],[Shortname]], Comp[], 26, FALSE)</f>
        <v>0</v>
      </c>
      <c r="AD196">
        <f>VLOOKUP(Table5[[#This Row],[Shortname]], Comp[], 27, FALSE)</f>
        <v>0</v>
      </c>
      <c r="AE196">
        <f>VLOOKUP(Table5[[#This Row],[Shortname]], Comp[], 28, FALSE)</f>
        <v>0</v>
      </c>
      <c r="AF196">
        <f>VLOOKUP(Table5[[#This Row],[Shortname]], Comp[], 29, FALSE)</f>
        <v>0</v>
      </c>
      <c r="AG196">
        <f>VLOOKUP(Table5[[#This Row],[Shortname]], Comp[], 30, FALSE)</f>
        <v>0</v>
      </c>
      <c r="AH196">
        <f>VLOOKUP(Table5[[#This Row],[Shortname]], Comp[], 31, FALSE)</f>
        <v>0</v>
      </c>
    </row>
    <row r="197" spans="1:34" x14ac:dyDescent="0.3">
      <c r="A197" t="s">
        <v>1932</v>
      </c>
      <c r="B197">
        <v>197</v>
      </c>
      <c r="C197" t="str">
        <f>VLOOKUP(Table5[[#This Row],[Shortname]], [1]!comp[#Data], 2, FALSE)</f>
        <v>CoAlWX+</v>
      </c>
      <c r="D197" t="s">
        <v>1934</v>
      </c>
      <c r="E197" s="21" t="s">
        <v>6716</v>
      </c>
      <c r="F197">
        <v>1188</v>
      </c>
      <c r="G197">
        <v>1298</v>
      </c>
      <c r="H197">
        <v>1371</v>
      </c>
      <c r="J197" s="14">
        <f>VLOOKUP(Table5[[#This Row],[Shortname]], Comp[], 7, FALSE)</f>
        <v>78.5</v>
      </c>
      <c r="K197">
        <f>VLOOKUP(Table5[[#This Row],[Shortname]], Comp[], 8, FALSE)</f>
        <v>0</v>
      </c>
      <c r="L197">
        <f>VLOOKUP(Table5[[#This Row],[Shortname]], Comp[], 9, FALSE)</f>
        <v>11.5</v>
      </c>
      <c r="M197">
        <f>VLOOKUP(Table5[[#This Row],[Shortname]], Comp[], 10, FALSE)</f>
        <v>0</v>
      </c>
      <c r="N197">
        <f>VLOOKUP(Table5[[#This Row],[Shortname]], Comp[], 11, FALSE)</f>
        <v>3.5</v>
      </c>
      <c r="O197">
        <f>VLOOKUP(Table5[[#This Row],[Shortname]], Comp[],12, FALSE)</f>
        <v>4</v>
      </c>
      <c r="P197">
        <f>VLOOKUP(Table5[[#This Row],[Shortname]], Comp[], 13, FALSE)</f>
        <v>2.5</v>
      </c>
      <c r="Q197">
        <f>VLOOKUP(Table5[[#This Row],[Shortname]], Comp[], 14, FALSE)</f>
        <v>0</v>
      </c>
      <c r="R197">
        <f>VLOOKUP(Table5[[#This Row],[Shortname]], Comp[], 15, FALSE)</f>
        <v>0</v>
      </c>
      <c r="S197">
        <f>VLOOKUP(Table5[[#This Row],[Shortname]], Comp[], 16, FALSE)</f>
        <v>0</v>
      </c>
      <c r="T197">
        <f>VLOOKUP(Table5[[#This Row],[Shortname]], Comp[], 17, FALSE)</f>
        <v>0</v>
      </c>
      <c r="U197">
        <f>VLOOKUP(Table5[[#This Row],[Shortname]], Comp[], 18, FALSE)</f>
        <v>0</v>
      </c>
      <c r="V197">
        <f>VLOOKUP(Table5[[#This Row],[Shortname]], Comp[], 19, FALSE)</f>
        <v>0</v>
      </c>
      <c r="W197">
        <f>VLOOKUP(Table5[[#This Row],[Shortname]], Comp[], 20, FALSE)</f>
        <v>0</v>
      </c>
      <c r="X197">
        <f>VLOOKUP(Table5[[#This Row],[Shortname]], Comp[], 21, FALSE)</f>
        <v>0</v>
      </c>
      <c r="Y197">
        <f>VLOOKUP(Table5[[#This Row],[Shortname]], Comp[], 22, FALSE)</f>
        <v>0</v>
      </c>
      <c r="Z197">
        <f>VLOOKUP(Table5[[#This Row],[Shortname]], Comp[], 23, FALSE)</f>
        <v>0</v>
      </c>
      <c r="AA197">
        <f>VLOOKUP(Table5[[#This Row],[Shortname]], Comp[], 24, FALSE)</f>
        <v>0</v>
      </c>
      <c r="AB197">
        <f>VLOOKUP(Table5[[#This Row],[Shortname]], Comp[], 25, FALSE)</f>
        <v>0</v>
      </c>
      <c r="AC197">
        <f>VLOOKUP(Table5[[#This Row],[Shortname]], Comp[], 26, FALSE)</f>
        <v>0</v>
      </c>
      <c r="AD197">
        <f>VLOOKUP(Table5[[#This Row],[Shortname]], Comp[], 27, FALSE)</f>
        <v>0</v>
      </c>
      <c r="AE197">
        <f>VLOOKUP(Table5[[#This Row],[Shortname]], Comp[], 28, FALSE)</f>
        <v>0</v>
      </c>
      <c r="AF197">
        <f>VLOOKUP(Table5[[#This Row],[Shortname]], Comp[], 29, FALSE)</f>
        <v>0</v>
      </c>
      <c r="AG197">
        <f>VLOOKUP(Table5[[#This Row],[Shortname]], Comp[], 30, FALSE)</f>
        <v>0</v>
      </c>
      <c r="AH197">
        <f>VLOOKUP(Table5[[#This Row],[Shortname]], Comp[], 31, FALSE)</f>
        <v>0</v>
      </c>
    </row>
    <row r="198" spans="1:34" x14ac:dyDescent="0.3">
      <c r="A198" t="s">
        <v>1948</v>
      </c>
      <c r="B198">
        <v>198</v>
      </c>
      <c r="C198" t="str">
        <f>VLOOKUP(Table5[[#This Row],[Shortname]], [1]!comp[#Data], 2, FALSE)</f>
        <v>CoAlWX+</v>
      </c>
      <c r="D198" t="s">
        <v>1950</v>
      </c>
      <c r="E198" s="21" t="s">
        <v>6716</v>
      </c>
      <c r="F198">
        <v>1135</v>
      </c>
      <c r="G198">
        <v>1336</v>
      </c>
      <c r="H198">
        <v>1404</v>
      </c>
      <c r="J198" s="14">
        <f>VLOOKUP(Table5[[#This Row],[Shortname]], Comp[], 7, FALSE)</f>
        <v>55</v>
      </c>
      <c r="K198">
        <f>VLOOKUP(Table5[[#This Row],[Shortname]], Comp[], 8, FALSE)</f>
        <v>0</v>
      </c>
      <c r="L198">
        <f>VLOOKUP(Table5[[#This Row],[Shortname]], Comp[], 9, FALSE)</f>
        <v>10.5</v>
      </c>
      <c r="M198">
        <f>VLOOKUP(Table5[[#This Row],[Shortname]], Comp[], 10, FALSE)</f>
        <v>0</v>
      </c>
      <c r="N198">
        <f>VLOOKUP(Table5[[#This Row],[Shortname]], Comp[], 11, FALSE)</f>
        <v>7.5</v>
      </c>
      <c r="O198">
        <f>VLOOKUP(Table5[[#This Row],[Shortname]], Comp[],12, FALSE)</f>
        <v>2</v>
      </c>
      <c r="P198">
        <f>VLOOKUP(Table5[[#This Row],[Shortname]], Comp[], 13, FALSE)</f>
        <v>25</v>
      </c>
      <c r="Q198">
        <f>VLOOKUP(Table5[[#This Row],[Shortname]], Comp[], 14, FALSE)</f>
        <v>0</v>
      </c>
      <c r="R198">
        <f>VLOOKUP(Table5[[#This Row],[Shortname]], Comp[], 15, FALSE)</f>
        <v>0</v>
      </c>
      <c r="S198">
        <f>VLOOKUP(Table5[[#This Row],[Shortname]], Comp[], 16, FALSE)</f>
        <v>0</v>
      </c>
      <c r="T198">
        <f>VLOOKUP(Table5[[#This Row],[Shortname]], Comp[], 17, FALSE)</f>
        <v>0</v>
      </c>
      <c r="U198">
        <f>VLOOKUP(Table5[[#This Row],[Shortname]], Comp[], 18, FALSE)</f>
        <v>0</v>
      </c>
      <c r="V198">
        <f>VLOOKUP(Table5[[#This Row],[Shortname]], Comp[], 19, FALSE)</f>
        <v>0</v>
      </c>
      <c r="W198">
        <f>VLOOKUP(Table5[[#This Row],[Shortname]], Comp[], 20, FALSE)</f>
        <v>0</v>
      </c>
      <c r="X198">
        <f>VLOOKUP(Table5[[#This Row],[Shortname]], Comp[], 21, FALSE)</f>
        <v>0</v>
      </c>
      <c r="Y198">
        <f>VLOOKUP(Table5[[#This Row],[Shortname]], Comp[], 22, FALSE)</f>
        <v>0</v>
      </c>
      <c r="Z198">
        <f>VLOOKUP(Table5[[#This Row],[Shortname]], Comp[], 23, FALSE)</f>
        <v>0</v>
      </c>
      <c r="AA198">
        <f>VLOOKUP(Table5[[#This Row],[Shortname]], Comp[], 24, FALSE)</f>
        <v>0</v>
      </c>
      <c r="AB198">
        <f>VLOOKUP(Table5[[#This Row],[Shortname]], Comp[], 25, FALSE)</f>
        <v>0</v>
      </c>
      <c r="AC198">
        <f>VLOOKUP(Table5[[#This Row],[Shortname]], Comp[], 26, FALSE)</f>
        <v>0</v>
      </c>
      <c r="AD198">
        <f>VLOOKUP(Table5[[#This Row],[Shortname]], Comp[], 27, FALSE)</f>
        <v>0</v>
      </c>
      <c r="AE198">
        <f>VLOOKUP(Table5[[#This Row],[Shortname]], Comp[], 28, FALSE)</f>
        <v>0</v>
      </c>
      <c r="AF198">
        <f>VLOOKUP(Table5[[#This Row],[Shortname]], Comp[], 29, FALSE)</f>
        <v>0</v>
      </c>
      <c r="AG198">
        <f>VLOOKUP(Table5[[#This Row],[Shortname]], Comp[], 30, FALSE)</f>
        <v>0</v>
      </c>
      <c r="AH198">
        <f>VLOOKUP(Table5[[#This Row],[Shortname]], Comp[], 31, FALSE)</f>
        <v>0</v>
      </c>
    </row>
    <row r="199" spans="1:34" x14ac:dyDescent="0.3">
      <c r="A199" t="s">
        <v>1955</v>
      </c>
      <c r="B199">
        <v>199</v>
      </c>
      <c r="C199" t="str">
        <f>VLOOKUP(Table5[[#This Row],[Shortname]], [1]!comp[#Data], 2, FALSE)</f>
        <v>CoAlWX+</v>
      </c>
      <c r="D199" t="s">
        <v>1957</v>
      </c>
      <c r="E199" s="21" t="s">
        <v>6716</v>
      </c>
      <c r="F199">
        <v>1126</v>
      </c>
      <c r="G199">
        <v>1337</v>
      </c>
      <c r="H199">
        <v>1403</v>
      </c>
      <c r="J199" s="14">
        <f>VLOOKUP(Table5[[#This Row],[Shortname]], Comp[], 7, FALSE)</f>
        <v>79</v>
      </c>
      <c r="K199">
        <f>VLOOKUP(Table5[[#This Row],[Shortname]], Comp[], 8, FALSE)</f>
        <v>0</v>
      </c>
      <c r="L199">
        <f>VLOOKUP(Table5[[#This Row],[Shortname]], Comp[], 9, FALSE)</f>
        <v>11</v>
      </c>
      <c r="M199">
        <f>VLOOKUP(Table5[[#This Row],[Shortname]], Comp[], 10, FALSE)</f>
        <v>0</v>
      </c>
      <c r="N199">
        <f>VLOOKUP(Table5[[#This Row],[Shortname]], Comp[], 11, FALSE)</f>
        <v>5.5</v>
      </c>
      <c r="O199">
        <f>VLOOKUP(Table5[[#This Row],[Shortname]], Comp[],12, FALSE)</f>
        <v>2</v>
      </c>
      <c r="P199">
        <f>VLOOKUP(Table5[[#This Row],[Shortname]], Comp[], 13, FALSE)</f>
        <v>2.5</v>
      </c>
      <c r="Q199">
        <f>VLOOKUP(Table5[[#This Row],[Shortname]], Comp[], 14, FALSE)</f>
        <v>0</v>
      </c>
      <c r="R199">
        <f>VLOOKUP(Table5[[#This Row],[Shortname]], Comp[], 15, FALSE)</f>
        <v>0</v>
      </c>
      <c r="S199">
        <f>VLOOKUP(Table5[[#This Row],[Shortname]], Comp[], 16, FALSE)</f>
        <v>0</v>
      </c>
      <c r="T199">
        <f>VLOOKUP(Table5[[#This Row],[Shortname]], Comp[], 17, FALSE)</f>
        <v>0</v>
      </c>
      <c r="U199">
        <f>VLOOKUP(Table5[[#This Row],[Shortname]], Comp[], 18, FALSE)</f>
        <v>0</v>
      </c>
      <c r="V199">
        <f>VLOOKUP(Table5[[#This Row],[Shortname]], Comp[], 19, FALSE)</f>
        <v>0</v>
      </c>
      <c r="W199">
        <f>VLOOKUP(Table5[[#This Row],[Shortname]], Comp[], 20, FALSE)</f>
        <v>0</v>
      </c>
      <c r="X199">
        <f>VLOOKUP(Table5[[#This Row],[Shortname]], Comp[], 21, FALSE)</f>
        <v>0</v>
      </c>
      <c r="Y199">
        <f>VLOOKUP(Table5[[#This Row],[Shortname]], Comp[], 22, FALSE)</f>
        <v>0</v>
      </c>
      <c r="Z199">
        <f>VLOOKUP(Table5[[#This Row],[Shortname]], Comp[], 23, FALSE)</f>
        <v>0</v>
      </c>
      <c r="AA199">
        <f>VLOOKUP(Table5[[#This Row],[Shortname]], Comp[], 24, FALSE)</f>
        <v>0</v>
      </c>
      <c r="AB199">
        <f>VLOOKUP(Table5[[#This Row],[Shortname]], Comp[], 25, FALSE)</f>
        <v>0</v>
      </c>
      <c r="AC199">
        <f>VLOOKUP(Table5[[#This Row],[Shortname]], Comp[], 26, FALSE)</f>
        <v>0</v>
      </c>
      <c r="AD199">
        <f>VLOOKUP(Table5[[#This Row],[Shortname]], Comp[], 27, FALSE)</f>
        <v>0</v>
      </c>
      <c r="AE199">
        <f>VLOOKUP(Table5[[#This Row],[Shortname]], Comp[], 28, FALSE)</f>
        <v>0</v>
      </c>
      <c r="AF199">
        <f>VLOOKUP(Table5[[#This Row],[Shortname]], Comp[], 29, FALSE)</f>
        <v>0</v>
      </c>
      <c r="AG199">
        <f>VLOOKUP(Table5[[#This Row],[Shortname]], Comp[], 30, FALSE)</f>
        <v>0</v>
      </c>
      <c r="AH199">
        <f>VLOOKUP(Table5[[#This Row],[Shortname]], Comp[], 31, FALSE)</f>
        <v>0</v>
      </c>
    </row>
    <row r="200" spans="1:34" x14ac:dyDescent="0.3">
      <c r="A200" t="s">
        <v>1913</v>
      </c>
      <c r="B200">
        <v>200</v>
      </c>
      <c r="C200" t="str">
        <f>VLOOKUP(Table5[[#This Row],[Shortname]], [1]!comp[#Data], 2, FALSE)</f>
        <v>Co3Ti</v>
      </c>
      <c r="D200" t="s">
        <v>1915</v>
      </c>
      <c r="E200" s="21" t="s">
        <v>6716</v>
      </c>
      <c r="F200">
        <v>1088</v>
      </c>
      <c r="G200">
        <v>1355</v>
      </c>
      <c r="H200">
        <v>1403</v>
      </c>
      <c r="J200" s="14">
        <f>VLOOKUP(Table5[[#This Row],[Shortname]], Comp[], 7, FALSE)</f>
        <v>82</v>
      </c>
      <c r="K200">
        <f>VLOOKUP(Table5[[#This Row],[Shortname]], Comp[], 8, FALSE)</f>
        <v>0</v>
      </c>
      <c r="L200">
        <f>VLOOKUP(Table5[[#This Row],[Shortname]], Comp[], 9, FALSE)</f>
        <v>7</v>
      </c>
      <c r="M200">
        <f>VLOOKUP(Table5[[#This Row],[Shortname]], Comp[], 10, FALSE)</f>
        <v>0</v>
      </c>
      <c r="N200">
        <f>VLOOKUP(Table5[[#This Row],[Shortname]], Comp[], 11, FALSE)</f>
        <v>5</v>
      </c>
      <c r="O200">
        <f>VLOOKUP(Table5[[#This Row],[Shortname]], Comp[],12, FALSE)</f>
        <v>4</v>
      </c>
      <c r="P200">
        <f>VLOOKUP(Table5[[#This Row],[Shortname]], Comp[], 13, FALSE)</f>
        <v>2</v>
      </c>
      <c r="Q200">
        <f>VLOOKUP(Table5[[#This Row],[Shortname]], Comp[], 14, FALSE)</f>
        <v>0</v>
      </c>
      <c r="R200">
        <f>VLOOKUP(Table5[[#This Row],[Shortname]], Comp[], 15, FALSE)</f>
        <v>0</v>
      </c>
      <c r="S200">
        <f>VLOOKUP(Table5[[#This Row],[Shortname]], Comp[], 16, FALSE)</f>
        <v>0</v>
      </c>
      <c r="T200">
        <f>VLOOKUP(Table5[[#This Row],[Shortname]], Comp[], 17, FALSE)</f>
        <v>0</v>
      </c>
      <c r="U200">
        <f>VLOOKUP(Table5[[#This Row],[Shortname]], Comp[], 18, FALSE)</f>
        <v>0</v>
      </c>
      <c r="V200">
        <f>VLOOKUP(Table5[[#This Row],[Shortname]], Comp[], 19, FALSE)</f>
        <v>0</v>
      </c>
      <c r="W200">
        <f>VLOOKUP(Table5[[#This Row],[Shortname]], Comp[], 20, FALSE)</f>
        <v>0</v>
      </c>
      <c r="X200">
        <f>VLOOKUP(Table5[[#This Row],[Shortname]], Comp[], 21, FALSE)</f>
        <v>0</v>
      </c>
      <c r="Y200">
        <f>VLOOKUP(Table5[[#This Row],[Shortname]], Comp[], 22, FALSE)</f>
        <v>0</v>
      </c>
      <c r="Z200">
        <f>VLOOKUP(Table5[[#This Row],[Shortname]], Comp[], 23, FALSE)</f>
        <v>0</v>
      </c>
      <c r="AA200">
        <f>VLOOKUP(Table5[[#This Row],[Shortname]], Comp[], 24, FALSE)</f>
        <v>0</v>
      </c>
      <c r="AB200">
        <f>VLOOKUP(Table5[[#This Row],[Shortname]], Comp[], 25, FALSE)</f>
        <v>0</v>
      </c>
      <c r="AC200">
        <f>VLOOKUP(Table5[[#This Row],[Shortname]], Comp[], 26, FALSE)</f>
        <v>0</v>
      </c>
      <c r="AD200">
        <f>VLOOKUP(Table5[[#This Row],[Shortname]], Comp[], 27, FALSE)</f>
        <v>0</v>
      </c>
      <c r="AE200">
        <f>VLOOKUP(Table5[[#This Row],[Shortname]], Comp[], 28, FALSE)</f>
        <v>0</v>
      </c>
      <c r="AF200">
        <f>VLOOKUP(Table5[[#This Row],[Shortname]], Comp[], 29, FALSE)</f>
        <v>0</v>
      </c>
      <c r="AG200">
        <f>VLOOKUP(Table5[[#This Row],[Shortname]], Comp[], 30, FALSE)</f>
        <v>0</v>
      </c>
      <c r="AH200">
        <f>VLOOKUP(Table5[[#This Row],[Shortname]], Comp[], 31, FALSE)</f>
        <v>0</v>
      </c>
    </row>
    <row r="201" spans="1:34" x14ac:dyDescent="0.3">
      <c r="A201" s="7" t="s">
        <v>1994</v>
      </c>
      <c r="B201">
        <v>201</v>
      </c>
      <c r="C201" s="7" t="str">
        <f>VLOOKUP(Table5[[#This Row],[Shortname]], [1]!comp[#Data], 2, FALSE)</f>
        <v>CoAlWX+</v>
      </c>
      <c r="D201" s="7" t="s">
        <v>1996</v>
      </c>
      <c r="E201" t="s">
        <v>6717</v>
      </c>
      <c r="F201">
        <v>975</v>
      </c>
      <c r="G201">
        <v>1404</v>
      </c>
      <c r="H201">
        <v>1432</v>
      </c>
      <c r="J201" s="14">
        <f>VLOOKUP(Table5[[#This Row],[Shortname]], Comp[], 7, FALSE)</f>
        <v>62.900000000000006</v>
      </c>
      <c r="K201">
        <f>VLOOKUP(Table5[[#This Row],[Shortname]], Comp[], 8, FALSE)</f>
        <v>19.600000000000001</v>
      </c>
      <c r="L201">
        <f>VLOOKUP(Table5[[#This Row],[Shortname]], Comp[], 9, FALSE)</f>
        <v>10.199999999999999</v>
      </c>
      <c r="M201">
        <f>VLOOKUP(Table5[[#This Row],[Shortname]], Comp[], 10, FALSE)</f>
        <v>0</v>
      </c>
      <c r="N201">
        <f>VLOOKUP(Table5[[#This Row],[Shortname]], Comp[], 11, FALSE)</f>
        <v>7</v>
      </c>
      <c r="O201">
        <f>VLOOKUP(Table5[[#This Row],[Shortname]], Comp[],12, FALSE)</f>
        <v>0</v>
      </c>
      <c r="P201">
        <f>VLOOKUP(Table5[[#This Row],[Shortname]], Comp[], 13, FALSE)</f>
        <v>0</v>
      </c>
      <c r="Q201">
        <f>VLOOKUP(Table5[[#This Row],[Shortname]], Comp[], 14, FALSE)</f>
        <v>0</v>
      </c>
      <c r="R201">
        <f>VLOOKUP(Table5[[#This Row],[Shortname]], Comp[], 15, FALSE)</f>
        <v>0</v>
      </c>
      <c r="S201">
        <f>VLOOKUP(Table5[[#This Row],[Shortname]], Comp[], 16, FALSE)</f>
        <v>0</v>
      </c>
      <c r="T201">
        <f>VLOOKUP(Table5[[#This Row],[Shortname]], Comp[], 17, FALSE)</f>
        <v>0</v>
      </c>
      <c r="U201">
        <f>VLOOKUP(Table5[[#This Row],[Shortname]], Comp[], 18, FALSE)</f>
        <v>0</v>
      </c>
      <c r="V201">
        <f>VLOOKUP(Table5[[#This Row],[Shortname]], Comp[], 19, FALSE)</f>
        <v>0</v>
      </c>
      <c r="W201">
        <f>VLOOKUP(Table5[[#This Row],[Shortname]], Comp[], 20, FALSE)</f>
        <v>0</v>
      </c>
      <c r="X201">
        <f>VLOOKUP(Table5[[#This Row],[Shortname]], Comp[], 21, FALSE)</f>
        <v>0</v>
      </c>
      <c r="Y201">
        <f>VLOOKUP(Table5[[#This Row],[Shortname]], Comp[], 22, FALSE)</f>
        <v>0.3</v>
      </c>
      <c r="Z201">
        <f>VLOOKUP(Table5[[#This Row],[Shortname]], Comp[], 23, FALSE)</f>
        <v>0</v>
      </c>
      <c r="AA201">
        <f>VLOOKUP(Table5[[#This Row],[Shortname]], Comp[], 24, FALSE)</f>
        <v>0</v>
      </c>
      <c r="AB201">
        <f>VLOOKUP(Table5[[#This Row],[Shortname]], Comp[], 25, FALSE)</f>
        <v>0</v>
      </c>
      <c r="AC201">
        <f>VLOOKUP(Table5[[#This Row],[Shortname]], Comp[], 26, FALSE)</f>
        <v>0</v>
      </c>
      <c r="AD201">
        <f>VLOOKUP(Table5[[#This Row],[Shortname]], Comp[], 27, FALSE)</f>
        <v>0</v>
      </c>
      <c r="AE201">
        <f>VLOOKUP(Table5[[#This Row],[Shortname]], Comp[], 28, FALSE)</f>
        <v>0</v>
      </c>
      <c r="AF201">
        <f>VLOOKUP(Table5[[#This Row],[Shortname]], Comp[], 29, FALSE)</f>
        <v>0</v>
      </c>
      <c r="AG201">
        <f>VLOOKUP(Table5[[#This Row],[Shortname]], Comp[], 30, FALSE)</f>
        <v>0</v>
      </c>
      <c r="AH201">
        <f>VLOOKUP(Table5[[#This Row],[Shortname]], Comp[], 31, FALSE)</f>
        <v>0</v>
      </c>
    </row>
    <row r="202" spans="1:34" x14ac:dyDescent="0.3">
      <c r="A202" s="7" t="s">
        <v>1961</v>
      </c>
      <c r="B202">
        <v>202</v>
      </c>
      <c r="C202" s="7" t="str">
        <f>VLOOKUP(Table5[[#This Row],[Shortname]], [1]!comp[#Data], 2, FALSE)</f>
        <v>CoAlW-X</v>
      </c>
      <c r="D202" s="7" t="s">
        <v>1813</v>
      </c>
      <c r="E202" t="s">
        <v>6717</v>
      </c>
      <c r="F202">
        <v>974</v>
      </c>
      <c r="G202">
        <v>1417</v>
      </c>
      <c r="H202">
        <v>1439</v>
      </c>
      <c r="J202" s="14">
        <f>VLOOKUP(Table5[[#This Row],[Shortname]], Comp[], 7, FALSE)</f>
        <v>63.2</v>
      </c>
      <c r="K202">
        <f>VLOOKUP(Table5[[#This Row],[Shortname]], Comp[], 8, FALSE)</f>
        <v>19.5</v>
      </c>
      <c r="L202">
        <f>VLOOKUP(Table5[[#This Row],[Shortname]], Comp[], 9, FALSE)</f>
        <v>10.199999999999999</v>
      </c>
      <c r="M202">
        <f>VLOOKUP(Table5[[#This Row],[Shortname]], Comp[], 10, FALSE)</f>
        <v>0</v>
      </c>
      <c r="N202">
        <f>VLOOKUP(Table5[[#This Row],[Shortname]], Comp[], 11, FALSE)</f>
        <v>7.1</v>
      </c>
      <c r="O202">
        <f>VLOOKUP(Table5[[#This Row],[Shortname]], Comp[],12, FALSE)</f>
        <v>0</v>
      </c>
      <c r="P202">
        <f>VLOOKUP(Table5[[#This Row],[Shortname]], Comp[], 13, FALSE)</f>
        <v>0</v>
      </c>
      <c r="Q202">
        <f>VLOOKUP(Table5[[#This Row],[Shortname]], Comp[], 14, FALSE)</f>
        <v>0</v>
      </c>
      <c r="R202">
        <f>VLOOKUP(Table5[[#This Row],[Shortname]], Comp[], 15, FALSE)</f>
        <v>0</v>
      </c>
      <c r="S202">
        <f>VLOOKUP(Table5[[#This Row],[Shortname]], Comp[], 16, FALSE)</f>
        <v>0</v>
      </c>
      <c r="T202">
        <f>VLOOKUP(Table5[[#This Row],[Shortname]], Comp[], 17, FALSE)</f>
        <v>0</v>
      </c>
      <c r="U202">
        <f>VLOOKUP(Table5[[#This Row],[Shortname]], Comp[], 18, FALSE)</f>
        <v>0</v>
      </c>
      <c r="V202">
        <f>VLOOKUP(Table5[[#This Row],[Shortname]], Comp[], 19, FALSE)</f>
        <v>0</v>
      </c>
      <c r="W202">
        <f>VLOOKUP(Table5[[#This Row],[Shortname]], Comp[], 20, FALSE)</f>
        <v>0</v>
      </c>
      <c r="X202">
        <f>VLOOKUP(Table5[[#This Row],[Shortname]], Comp[], 21, FALSE)</f>
        <v>0</v>
      </c>
      <c r="Y202">
        <f>VLOOKUP(Table5[[#This Row],[Shortname]], Comp[], 22, FALSE)</f>
        <v>0</v>
      </c>
      <c r="Z202">
        <f>VLOOKUP(Table5[[#This Row],[Shortname]], Comp[], 23, FALSE)</f>
        <v>0</v>
      </c>
      <c r="AA202">
        <f>VLOOKUP(Table5[[#This Row],[Shortname]], Comp[], 24, FALSE)</f>
        <v>0</v>
      </c>
      <c r="AB202">
        <f>VLOOKUP(Table5[[#This Row],[Shortname]], Comp[], 25, FALSE)</f>
        <v>0</v>
      </c>
      <c r="AC202">
        <f>VLOOKUP(Table5[[#This Row],[Shortname]], Comp[], 26, FALSE)</f>
        <v>0</v>
      </c>
      <c r="AD202">
        <f>VLOOKUP(Table5[[#This Row],[Shortname]], Comp[], 27, FALSE)</f>
        <v>0</v>
      </c>
      <c r="AE202">
        <f>VLOOKUP(Table5[[#This Row],[Shortname]], Comp[], 28, FALSE)</f>
        <v>0</v>
      </c>
      <c r="AF202">
        <f>VLOOKUP(Table5[[#This Row],[Shortname]], Comp[], 29, FALSE)</f>
        <v>0</v>
      </c>
      <c r="AG202">
        <f>VLOOKUP(Table5[[#This Row],[Shortname]], Comp[], 30, FALSE)</f>
        <v>0</v>
      </c>
      <c r="AH202">
        <f>VLOOKUP(Table5[[#This Row],[Shortname]], Comp[], 31, FALSE)</f>
        <v>0</v>
      </c>
    </row>
    <row r="203" spans="1:34" x14ac:dyDescent="0.3">
      <c r="A203" t="s">
        <v>2001</v>
      </c>
      <c r="B203">
        <v>203</v>
      </c>
      <c r="C203" t="str">
        <f>VLOOKUP(Table5[[#This Row],[Shortname]], [1]!comp[#Data], 2, FALSE)</f>
        <v>CoAlWX+</v>
      </c>
      <c r="D203" t="s">
        <v>2002</v>
      </c>
      <c r="E203" t="s">
        <v>6717</v>
      </c>
      <c r="F203">
        <v>973</v>
      </c>
      <c r="G203">
        <v>1390</v>
      </c>
      <c r="H203">
        <v>1424</v>
      </c>
      <c r="J203" s="14">
        <f>VLOOKUP(Table5[[#This Row],[Shortname]], Comp[], 7, FALSE)</f>
        <v>62.5</v>
      </c>
      <c r="K203">
        <f>VLOOKUP(Table5[[#This Row],[Shortname]], Comp[], 8, FALSE)</f>
        <v>19.600000000000001</v>
      </c>
      <c r="L203">
        <f>VLOOKUP(Table5[[#This Row],[Shortname]], Comp[], 9, FALSE)</f>
        <v>10</v>
      </c>
      <c r="M203">
        <f>VLOOKUP(Table5[[#This Row],[Shortname]], Comp[], 10, FALSE)</f>
        <v>0</v>
      </c>
      <c r="N203">
        <f>VLOOKUP(Table5[[#This Row],[Shortname]], Comp[], 11, FALSE)</f>
        <v>6.9</v>
      </c>
      <c r="O203">
        <f>VLOOKUP(Table5[[#This Row],[Shortname]], Comp[],12, FALSE)</f>
        <v>0</v>
      </c>
      <c r="P203">
        <f>VLOOKUP(Table5[[#This Row],[Shortname]], Comp[], 13, FALSE)</f>
        <v>0</v>
      </c>
      <c r="Q203">
        <f>VLOOKUP(Table5[[#This Row],[Shortname]], Comp[], 14, FALSE)</f>
        <v>0</v>
      </c>
      <c r="R203">
        <f>VLOOKUP(Table5[[#This Row],[Shortname]], Comp[], 15, FALSE)</f>
        <v>0</v>
      </c>
      <c r="S203">
        <f>VLOOKUP(Table5[[#This Row],[Shortname]], Comp[], 16, FALSE)</f>
        <v>0</v>
      </c>
      <c r="T203">
        <f>VLOOKUP(Table5[[#This Row],[Shortname]], Comp[], 17, FALSE)</f>
        <v>0</v>
      </c>
      <c r="U203">
        <f>VLOOKUP(Table5[[#This Row],[Shortname]], Comp[], 18, FALSE)</f>
        <v>0</v>
      </c>
      <c r="V203">
        <f>VLOOKUP(Table5[[#This Row],[Shortname]], Comp[], 19, FALSE)</f>
        <v>0</v>
      </c>
      <c r="W203">
        <f>VLOOKUP(Table5[[#This Row],[Shortname]], Comp[], 20, FALSE)</f>
        <v>0</v>
      </c>
      <c r="X203">
        <f>VLOOKUP(Table5[[#This Row],[Shortname]], Comp[], 21, FALSE)</f>
        <v>0</v>
      </c>
      <c r="Y203">
        <f>VLOOKUP(Table5[[#This Row],[Shortname]], Comp[], 22, FALSE)</f>
        <v>1</v>
      </c>
      <c r="Z203">
        <f>VLOOKUP(Table5[[#This Row],[Shortname]], Comp[], 23, FALSE)</f>
        <v>0</v>
      </c>
      <c r="AA203">
        <f>VLOOKUP(Table5[[#This Row],[Shortname]], Comp[], 24, FALSE)</f>
        <v>0</v>
      </c>
      <c r="AB203">
        <f>VLOOKUP(Table5[[#This Row],[Shortname]], Comp[], 25, FALSE)</f>
        <v>0</v>
      </c>
      <c r="AC203">
        <f>VLOOKUP(Table5[[#This Row],[Shortname]], Comp[], 26, FALSE)</f>
        <v>0</v>
      </c>
      <c r="AD203">
        <f>VLOOKUP(Table5[[#This Row],[Shortname]], Comp[], 27, FALSE)</f>
        <v>0</v>
      </c>
      <c r="AE203">
        <f>VLOOKUP(Table5[[#This Row],[Shortname]], Comp[], 28, FALSE)</f>
        <v>0</v>
      </c>
      <c r="AF203">
        <f>VLOOKUP(Table5[[#This Row],[Shortname]], Comp[], 29, FALSE)</f>
        <v>0</v>
      </c>
      <c r="AG203">
        <f>VLOOKUP(Table5[[#This Row],[Shortname]], Comp[], 30, FALSE)</f>
        <v>0</v>
      </c>
      <c r="AH203">
        <f>VLOOKUP(Table5[[#This Row],[Shortname]], Comp[], 31, FALSE)</f>
        <v>0</v>
      </c>
    </row>
    <row r="204" spans="1:34" x14ac:dyDescent="0.3">
      <c r="A204" s="7" t="s">
        <v>2008</v>
      </c>
      <c r="B204">
        <v>204</v>
      </c>
      <c r="C204" s="7" t="str">
        <f>VLOOKUP(Table5[[#This Row],[Shortname]], [1]!comp[#Data], 2, FALSE)</f>
        <v>CoAlWX+</v>
      </c>
      <c r="D204" s="7" t="s">
        <v>2009</v>
      </c>
      <c r="E204" t="s">
        <v>6717</v>
      </c>
      <c r="F204">
        <v>966</v>
      </c>
      <c r="G204">
        <v>1359</v>
      </c>
      <c r="H204">
        <v>1410</v>
      </c>
      <c r="J204" s="14">
        <f>VLOOKUP(Table5[[#This Row],[Shortname]], Comp[], 7, FALSE)</f>
        <v>61.5</v>
      </c>
      <c r="K204">
        <f>VLOOKUP(Table5[[#This Row],[Shortname]], Comp[], 8, FALSE)</f>
        <v>19.8</v>
      </c>
      <c r="L204">
        <f>VLOOKUP(Table5[[#This Row],[Shortname]], Comp[], 9, FALSE)</f>
        <v>10.199999999999999</v>
      </c>
      <c r="M204">
        <f>VLOOKUP(Table5[[#This Row],[Shortname]], Comp[], 10, FALSE)</f>
        <v>0</v>
      </c>
      <c r="N204">
        <f>VLOOKUP(Table5[[#This Row],[Shortname]], Comp[], 11, FALSE)</f>
        <v>6.7</v>
      </c>
      <c r="O204">
        <f>VLOOKUP(Table5[[#This Row],[Shortname]], Comp[],12, FALSE)</f>
        <v>0</v>
      </c>
      <c r="P204">
        <f>VLOOKUP(Table5[[#This Row],[Shortname]], Comp[], 13, FALSE)</f>
        <v>0</v>
      </c>
      <c r="Q204">
        <f>VLOOKUP(Table5[[#This Row],[Shortname]], Comp[], 14, FALSE)</f>
        <v>0</v>
      </c>
      <c r="R204">
        <f>VLOOKUP(Table5[[#This Row],[Shortname]], Comp[], 15, FALSE)</f>
        <v>0</v>
      </c>
      <c r="S204">
        <f>VLOOKUP(Table5[[#This Row],[Shortname]], Comp[], 16, FALSE)</f>
        <v>0</v>
      </c>
      <c r="T204">
        <f>VLOOKUP(Table5[[#This Row],[Shortname]], Comp[], 17, FALSE)</f>
        <v>0</v>
      </c>
      <c r="U204">
        <f>VLOOKUP(Table5[[#This Row],[Shortname]], Comp[], 18, FALSE)</f>
        <v>0</v>
      </c>
      <c r="V204">
        <f>VLOOKUP(Table5[[#This Row],[Shortname]], Comp[], 19, FALSE)</f>
        <v>0</v>
      </c>
      <c r="W204">
        <f>VLOOKUP(Table5[[#This Row],[Shortname]], Comp[], 20, FALSE)</f>
        <v>0</v>
      </c>
      <c r="X204">
        <f>VLOOKUP(Table5[[#This Row],[Shortname]], Comp[], 21, FALSE)</f>
        <v>0</v>
      </c>
      <c r="Y204">
        <f>VLOOKUP(Table5[[#This Row],[Shortname]], Comp[], 22, FALSE)</f>
        <v>1.8</v>
      </c>
      <c r="Z204">
        <f>VLOOKUP(Table5[[#This Row],[Shortname]], Comp[], 23, FALSE)</f>
        <v>0</v>
      </c>
      <c r="AA204">
        <f>VLOOKUP(Table5[[#This Row],[Shortname]], Comp[], 24, FALSE)</f>
        <v>0</v>
      </c>
      <c r="AB204">
        <f>VLOOKUP(Table5[[#This Row],[Shortname]], Comp[], 25, FALSE)</f>
        <v>0</v>
      </c>
      <c r="AC204">
        <f>VLOOKUP(Table5[[#This Row],[Shortname]], Comp[], 26, FALSE)</f>
        <v>0</v>
      </c>
      <c r="AD204">
        <f>VLOOKUP(Table5[[#This Row],[Shortname]], Comp[], 27, FALSE)</f>
        <v>0</v>
      </c>
      <c r="AE204">
        <f>VLOOKUP(Table5[[#This Row],[Shortname]], Comp[], 28, FALSE)</f>
        <v>0</v>
      </c>
      <c r="AF204">
        <f>VLOOKUP(Table5[[#This Row],[Shortname]], Comp[], 29, FALSE)</f>
        <v>0</v>
      </c>
      <c r="AG204">
        <f>VLOOKUP(Table5[[#This Row],[Shortname]], Comp[], 30, FALSE)</f>
        <v>0</v>
      </c>
      <c r="AH204">
        <f>VLOOKUP(Table5[[#This Row],[Shortname]], Comp[], 31, FALSE)</f>
        <v>0</v>
      </c>
    </row>
    <row r="205" spans="1:34" x14ac:dyDescent="0.3">
      <c r="A205" t="s">
        <v>1969</v>
      </c>
      <c r="B205">
        <v>205</v>
      </c>
      <c r="C205" t="str">
        <f>VLOOKUP(Table5[[#This Row],[Shortname]], [1]!comp[#Data], 2, FALSE)</f>
        <v>CoAlWX+</v>
      </c>
      <c r="D205" t="s">
        <v>1971</v>
      </c>
      <c r="E205" t="s">
        <v>6717</v>
      </c>
      <c r="F205">
        <v>936</v>
      </c>
      <c r="G205">
        <v>1410</v>
      </c>
      <c r="H205">
        <v>1432</v>
      </c>
      <c r="J205" s="14">
        <f>VLOOKUP(Table5[[#This Row],[Shortname]], Comp[], 7, FALSE)</f>
        <v>58.099999999999994</v>
      </c>
      <c r="K205">
        <f>VLOOKUP(Table5[[#This Row],[Shortname]], Comp[], 8, FALSE)</f>
        <v>19.600000000000001</v>
      </c>
      <c r="L205">
        <f>VLOOKUP(Table5[[#This Row],[Shortname]], Comp[], 9, FALSE)</f>
        <v>10.3</v>
      </c>
      <c r="M205">
        <f>VLOOKUP(Table5[[#This Row],[Shortname]], Comp[], 10, FALSE)</f>
        <v>0</v>
      </c>
      <c r="N205">
        <f>VLOOKUP(Table5[[#This Row],[Shortname]], Comp[], 11, FALSE)</f>
        <v>6.8</v>
      </c>
      <c r="O205">
        <f>VLOOKUP(Table5[[#This Row],[Shortname]], Comp[],12, FALSE)</f>
        <v>0</v>
      </c>
      <c r="P205">
        <f>VLOOKUP(Table5[[#This Row],[Shortname]], Comp[], 13, FALSE)</f>
        <v>0</v>
      </c>
      <c r="Q205">
        <f>VLOOKUP(Table5[[#This Row],[Shortname]], Comp[], 14, FALSE)</f>
        <v>0</v>
      </c>
      <c r="R205">
        <f>VLOOKUP(Table5[[#This Row],[Shortname]], Comp[], 15, FALSE)</f>
        <v>0</v>
      </c>
      <c r="S205">
        <f>VLOOKUP(Table5[[#This Row],[Shortname]], Comp[], 16, FALSE)</f>
        <v>0</v>
      </c>
      <c r="T205">
        <f>VLOOKUP(Table5[[#This Row],[Shortname]], Comp[], 17, FALSE)</f>
        <v>0</v>
      </c>
      <c r="U205">
        <f>VLOOKUP(Table5[[#This Row],[Shortname]], Comp[], 18, FALSE)</f>
        <v>0</v>
      </c>
      <c r="V205">
        <f>VLOOKUP(Table5[[#This Row],[Shortname]], Comp[], 19, FALSE)</f>
        <v>0</v>
      </c>
      <c r="W205">
        <f>VLOOKUP(Table5[[#This Row],[Shortname]], Comp[], 20, FALSE)</f>
        <v>0</v>
      </c>
      <c r="X205">
        <f>VLOOKUP(Table5[[#This Row],[Shortname]], Comp[], 21, FALSE)</f>
        <v>0</v>
      </c>
      <c r="Y205">
        <f>VLOOKUP(Table5[[#This Row],[Shortname]], Comp[], 22, FALSE)</f>
        <v>0</v>
      </c>
      <c r="Z205">
        <f>VLOOKUP(Table5[[#This Row],[Shortname]], Comp[], 23, FALSE)</f>
        <v>5.2</v>
      </c>
      <c r="AA205">
        <f>VLOOKUP(Table5[[#This Row],[Shortname]], Comp[], 24, FALSE)</f>
        <v>0</v>
      </c>
      <c r="AB205">
        <f>VLOOKUP(Table5[[#This Row],[Shortname]], Comp[], 25, FALSE)</f>
        <v>0</v>
      </c>
      <c r="AC205">
        <f>VLOOKUP(Table5[[#This Row],[Shortname]], Comp[], 26, FALSE)</f>
        <v>0</v>
      </c>
      <c r="AD205">
        <f>VLOOKUP(Table5[[#This Row],[Shortname]], Comp[], 27, FALSE)</f>
        <v>0</v>
      </c>
      <c r="AE205">
        <f>VLOOKUP(Table5[[#This Row],[Shortname]], Comp[], 28, FALSE)</f>
        <v>0</v>
      </c>
      <c r="AF205">
        <f>VLOOKUP(Table5[[#This Row],[Shortname]], Comp[], 29, FALSE)</f>
        <v>0</v>
      </c>
      <c r="AG205">
        <f>VLOOKUP(Table5[[#This Row],[Shortname]], Comp[], 30, FALSE)</f>
        <v>0</v>
      </c>
      <c r="AH205">
        <f>VLOOKUP(Table5[[#This Row],[Shortname]], Comp[], 31, FALSE)</f>
        <v>0</v>
      </c>
    </row>
    <row r="206" spans="1:34" x14ac:dyDescent="0.3">
      <c r="A206" s="7" t="s">
        <v>1978</v>
      </c>
      <c r="B206">
        <v>206</v>
      </c>
      <c r="C206" s="7" t="str">
        <f>VLOOKUP(Table5[[#This Row],[Shortname]], [1]!comp[#Data], 2, FALSE)</f>
        <v>CoAlWX+</v>
      </c>
      <c r="D206" s="7" t="s">
        <v>1980</v>
      </c>
      <c r="E206" t="s">
        <v>6717</v>
      </c>
      <c r="F206">
        <v>892</v>
      </c>
      <c r="G206">
        <v>1403</v>
      </c>
      <c r="H206">
        <v>1426</v>
      </c>
      <c r="J206" s="14">
        <f>VLOOKUP(Table5[[#This Row],[Shortname]], Comp[], 7, FALSE)</f>
        <v>53.2</v>
      </c>
      <c r="K206">
        <f>VLOOKUP(Table5[[#This Row],[Shortname]], Comp[], 8, FALSE)</f>
        <v>19.8</v>
      </c>
      <c r="L206">
        <f>VLOOKUP(Table5[[#This Row],[Shortname]], Comp[], 9, FALSE)</f>
        <v>10.3</v>
      </c>
      <c r="M206">
        <f>VLOOKUP(Table5[[#This Row],[Shortname]], Comp[], 10, FALSE)</f>
        <v>0</v>
      </c>
      <c r="N206">
        <f>VLOOKUP(Table5[[#This Row],[Shortname]], Comp[], 11, FALSE)</f>
        <v>6.4</v>
      </c>
      <c r="O206">
        <f>VLOOKUP(Table5[[#This Row],[Shortname]], Comp[],12, FALSE)</f>
        <v>0</v>
      </c>
      <c r="P206">
        <f>VLOOKUP(Table5[[#This Row],[Shortname]], Comp[], 13, FALSE)</f>
        <v>0</v>
      </c>
      <c r="Q206">
        <f>VLOOKUP(Table5[[#This Row],[Shortname]], Comp[], 14, FALSE)</f>
        <v>0</v>
      </c>
      <c r="R206">
        <f>VLOOKUP(Table5[[#This Row],[Shortname]], Comp[], 15, FALSE)</f>
        <v>0</v>
      </c>
      <c r="S206">
        <f>VLOOKUP(Table5[[#This Row],[Shortname]], Comp[], 16, FALSE)</f>
        <v>0</v>
      </c>
      <c r="T206">
        <f>VLOOKUP(Table5[[#This Row],[Shortname]], Comp[], 17, FALSE)</f>
        <v>0</v>
      </c>
      <c r="U206">
        <f>VLOOKUP(Table5[[#This Row],[Shortname]], Comp[], 18, FALSE)</f>
        <v>0</v>
      </c>
      <c r="V206">
        <f>VLOOKUP(Table5[[#This Row],[Shortname]], Comp[], 19, FALSE)</f>
        <v>0</v>
      </c>
      <c r="W206">
        <f>VLOOKUP(Table5[[#This Row],[Shortname]], Comp[], 20, FALSE)</f>
        <v>0</v>
      </c>
      <c r="X206">
        <f>VLOOKUP(Table5[[#This Row],[Shortname]], Comp[], 21, FALSE)</f>
        <v>0</v>
      </c>
      <c r="Y206">
        <f>VLOOKUP(Table5[[#This Row],[Shortname]], Comp[], 22, FALSE)</f>
        <v>0</v>
      </c>
      <c r="Z206">
        <f>VLOOKUP(Table5[[#This Row],[Shortname]], Comp[], 23, FALSE)</f>
        <v>10.3</v>
      </c>
      <c r="AA206">
        <f>VLOOKUP(Table5[[#This Row],[Shortname]], Comp[], 24, FALSE)</f>
        <v>0</v>
      </c>
      <c r="AB206">
        <f>VLOOKUP(Table5[[#This Row],[Shortname]], Comp[], 25, FALSE)</f>
        <v>0</v>
      </c>
      <c r="AC206">
        <f>VLOOKUP(Table5[[#This Row],[Shortname]], Comp[], 26, FALSE)</f>
        <v>0</v>
      </c>
      <c r="AD206">
        <f>VLOOKUP(Table5[[#This Row],[Shortname]], Comp[], 27, FALSE)</f>
        <v>0</v>
      </c>
      <c r="AE206">
        <f>VLOOKUP(Table5[[#This Row],[Shortname]], Comp[], 28, FALSE)</f>
        <v>0</v>
      </c>
      <c r="AF206">
        <f>VLOOKUP(Table5[[#This Row],[Shortname]], Comp[], 29, FALSE)</f>
        <v>0</v>
      </c>
      <c r="AG206">
        <f>VLOOKUP(Table5[[#This Row],[Shortname]], Comp[], 30, FALSE)</f>
        <v>0</v>
      </c>
      <c r="AH206">
        <f>VLOOKUP(Table5[[#This Row],[Shortname]], Comp[], 31, FALSE)</f>
        <v>0</v>
      </c>
    </row>
    <row r="207" spans="1:34" x14ac:dyDescent="0.3">
      <c r="A207" t="s">
        <v>1987</v>
      </c>
      <c r="B207">
        <v>207</v>
      </c>
      <c r="C207" t="str">
        <f>VLOOKUP(Table5[[#This Row],[Shortname]], [1]!comp[#Data], 2, FALSE)</f>
        <v>CoAlWX+</v>
      </c>
      <c r="D207" t="s">
        <v>1989</v>
      </c>
      <c r="E207" t="s">
        <v>6717</v>
      </c>
      <c r="F207">
        <v>860</v>
      </c>
      <c r="G207">
        <v>1395</v>
      </c>
      <c r="H207">
        <v>1419</v>
      </c>
      <c r="J207" s="14">
        <f>VLOOKUP(Table5[[#This Row],[Shortname]], Comp[], 7, FALSE)</f>
        <v>48.2</v>
      </c>
      <c r="K207">
        <f>VLOOKUP(Table5[[#This Row],[Shortname]], Comp[], 8, FALSE)</f>
        <v>19.7</v>
      </c>
      <c r="L207">
        <f>VLOOKUP(Table5[[#This Row],[Shortname]], Comp[], 9, FALSE)</f>
        <v>10.3</v>
      </c>
      <c r="M207">
        <f>VLOOKUP(Table5[[#This Row],[Shortname]], Comp[], 10, FALSE)</f>
        <v>0</v>
      </c>
      <c r="N207">
        <f>VLOOKUP(Table5[[#This Row],[Shortname]], Comp[], 11, FALSE)</f>
        <v>6.5</v>
      </c>
      <c r="O207">
        <f>VLOOKUP(Table5[[#This Row],[Shortname]], Comp[],12, FALSE)</f>
        <v>0</v>
      </c>
      <c r="P207">
        <f>VLOOKUP(Table5[[#This Row],[Shortname]], Comp[], 13, FALSE)</f>
        <v>0</v>
      </c>
      <c r="Q207">
        <f>VLOOKUP(Table5[[#This Row],[Shortname]], Comp[], 14, FALSE)</f>
        <v>0</v>
      </c>
      <c r="R207">
        <f>VLOOKUP(Table5[[#This Row],[Shortname]], Comp[], 15, FALSE)</f>
        <v>0</v>
      </c>
      <c r="S207">
        <f>VLOOKUP(Table5[[#This Row],[Shortname]], Comp[], 16, FALSE)</f>
        <v>0</v>
      </c>
      <c r="T207">
        <f>VLOOKUP(Table5[[#This Row],[Shortname]], Comp[], 17, FALSE)</f>
        <v>0</v>
      </c>
      <c r="U207">
        <f>VLOOKUP(Table5[[#This Row],[Shortname]], Comp[], 18, FALSE)</f>
        <v>0</v>
      </c>
      <c r="V207">
        <f>VLOOKUP(Table5[[#This Row],[Shortname]], Comp[], 19, FALSE)</f>
        <v>0</v>
      </c>
      <c r="W207">
        <f>VLOOKUP(Table5[[#This Row],[Shortname]], Comp[], 20, FALSE)</f>
        <v>0</v>
      </c>
      <c r="X207">
        <f>VLOOKUP(Table5[[#This Row],[Shortname]], Comp[], 21, FALSE)</f>
        <v>0</v>
      </c>
      <c r="Y207">
        <f>VLOOKUP(Table5[[#This Row],[Shortname]], Comp[], 22, FALSE)</f>
        <v>0</v>
      </c>
      <c r="Z207">
        <f>VLOOKUP(Table5[[#This Row],[Shortname]], Comp[], 23, FALSE)</f>
        <v>15.3</v>
      </c>
      <c r="AA207">
        <f>VLOOKUP(Table5[[#This Row],[Shortname]], Comp[], 24, FALSE)</f>
        <v>0</v>
      </c>
      <c r="AB207">
        <f>VLOOKUP(Table5[[#This Row],[Shortname]], Comp[], 25, FALSE)</f>
        <v>0</v>
      </c>
      <c r="AC207">
        <f>VLOOKUP(Table5[[#This Row],[Shortname]], Comp[], 26, FALSE)</f>
        <v>0</v>
      </c>
      <c r="AD207">
        <f>VLOOKUP(Table5[[#This Row],[Shortname]], Comp[], 27, FALSE)</f>
        <v>0</v>
      </c>
      <c r="AE207">
        <f>VLOOKUP(Table5[[#This Row],[Shortname]], Comp[], 28, FALSE)</f>
        <v>0</v>
      </c>
      <c r="AF207">
        <f>VLOOKUP(Table5[[#This Row],[Shortname]], Comp[], 29, FALSE)</f>
        <v>0</v>
      </c>
      <c r="AG207">
        <f>VLOOKUP(Table5[[#This Row],[Shortname]], Comp[], 30, FALSE)</f>
        <v>0</v>
      </c>
      <c r="AH207">
        <f>VLOOKUP(Table5[[#This Row],[Shortname]], Comp[], 31, FALSE)</f>
        <v>0</v>
      </c>
    </row>
    <row r="208" spans="1:34" x14ac:dyDescent="0.3">
      <c r="A208" t="s">
        <v>2020</v>
      </c>
      <c r="B208">
        <v>208</v>
      </c>
      <c r="C208" t="str">
        <f>VLOOKUP(Table5[[#This Row],[Shortname]], [1]!comp[#Data], 2, FALSE)</f>
        <v>CoAlWX+</v>
      </c>
      <c r="D208" t="s">
        <v>2022</v>
      </c>
      <c r="E208" t="s">
        <v>6718</v>
      </c>
      <c r="F208">
        <v>1167</v>
      </c>
      <c r="G208">
        <v>1366</v>
      </c>
      <c r="H208">
        <v>1419</v>
      </c>
      <c r="J208" s="14">
        <f>VLOOKUP(Table5[[#This Row],[Shortname]], Comp[], 7, FALSE)</f>
        <v>51</v>
      </c>
      <c r="K208">
        <f>VLOOKUP(Table5[[#This Row],[Shortname]], Comp[], 8, FALSE)</f>
        <v>30</v>
      </c>
      <c r="L208">
        <f>VLOOKUP(Table5[[#This Row],[Shortname]], Comp[], 9, FALSE)</f>
        <v>7</v>
      </c>
      <c r="M208">
        <f>VLOOKUP(Table5[[#This Row],[Shortname]], Comp[], 10, FALSE)</f>
        <v>0</v>
      </c>
      <c r="N208">
        <f>VLOOKUP(Table5[[#This Row],[Shortname]], Comp[], 11, FALSE)</f>
        <v>7</v>
      </c>
      <c r="O208">
        <f>VLOOKUP(Table5[[#This Row],[Shortname]], Comp[],12, FALSE)</f>
        <v>4</v>
      </c>
      <c r="P208">
        <f>VLOOKUP(Table5[[#This Row],[Shortname]], Comp[], 13, FALSE)</f>
        <v>1</v>
      </c>
      <c r="Q208">
        <f>VLOOKUP(Table5[[#This Row],[Shortname]], Comp[], 14, FALSE)</f>
        <v>0</v>
      </c>
      <c r="R208">
        <f>VLOOKUP(Table5[[#This Row],[Shortname]], Comp[], 15, FALSE)</f>
        <v>0</v>
      </c>
      <c r="S208">
        <f>VLOOKUP(Table5[[#This Row],[Shortname]], Comp[], 16, FALSE)</f>
        <v>0</v>
      </c>
      <c r="T208">
        <f>VLOOKUP(Table5[[#This Row],[Shortname]], Comp[], 17, FALSE)</f>
        <v>0</v>
      </c>
      <c r="U208">
        <f>VLOOKUP(Table5[[#This Row],[Shortname]], Comp[], 18, FALSE)</f>
        <v>0</v>
      </c>
      <c r="V208">
        <f>VLOOKUP(Table5[[#This Row],[Shortname]], Comp[], 19, FALSE)</f>
        <v>0</v>
      </c>
      <c r="W208">
        <f>VLOOKUP(Table5[[#This Row],[Shortname]], Comp[], 20, FALSE)</f>
        <v>0</v>
      </c>
      <c r="X208">
        <f>VLOOKUP(Table5[[#This Row],[Shortname]], Comp[], 21, FALSE)</f>
        <v>0</v>
      </c>
      <c r="Y208">
        <f>VLOOKUP(Table5[[#This Row],[Shortname]], Comp[], 22, FALSE)</f>
        <v>0</v>
      </c>
      <c r="Z208">
        <f>VLOOKUP(Table5[[#This Row],[Shortname]], Comp[], 23, FALSE)</f>
        <v>0</v>
      </c>
      <c r="AA208">
        <f>VLOOKUP(Table5[[#This Row],[Shortname]], Comp[], 24, FALSE)</f>
        <v>0</v>
      </c>
      <c r="AB208">
        <f>VLOOKUP(Table5[[#This Row],[Shortname]], Comp[], 25, FALSE)</f>
        <v>0</v>
      </c>
      <c r="AC208">
        <f>VLOOKUP(Table5[[#This Row],[Shortname]], Comp[], 26, FALSE)</f>
        <v>0</v>
      </c>
      <c r="AD208">
        <f>VLOOKUP(Table5[[#This Row],[Shortname]], Comp[], 27, FALSE)</f>
        <v>0</v>
      </c>
      <c r="AE208">
        <f>VLOOKUP(Table5[[#This Row],[Shortname]], Comp[], 28, FALSE)</f>
        <v>0</v>
      </c>
      <c r="AF208">
        <f>VLOOKUP(Table5[[#This Row],[Shortname]], Comp[], 29, FALSE)</f>
        <v>0</v>
      </c>
      <c r="AG208">
        <f>VLOOKUP(Table5[[#This Row],[Shortname]], Comp[], 30, FALSE)</f>
        <v>0</v>
      </c>
      <c r="AH208">
        <f>VLOOKUP(Table5[[#This Row],[Shortname]], Comp[], 31, FALSE)</f>
        <v>0</v>
      </c>
    </row>
    <row r="209" spans="1:34" x14ac:dyDescent="0.3">
      <c r="A209" s="7" t="s">
        <v>2013</v>
      </c>
      <c r="B209">
        <v>209</v>
      </c>
      <c r="C209" s="7" t="str">
        <f>VLOOKUP(Table5[[#This Row],[Shortname]], [1]!comp[#Data], 2, FALSE)</f>
        <v>CoAlWX+</v>
      </c>
      <c r="D209" s="7" t="s">
        <v>2015</v>
      </c>
      <c r="E209" t="s">
        <v>6718</v>
      </c>
      <c r="F209">
        <v>1134</v>
      </c>
      <c r="G209">
        <v>1351</v>
      </c>
      <c r="H209">
        <v>1413</v>
      </c>
      <c r="J209" s="14">
        <f>VLOOKUP(Table5[[#This Row],[Shortname]], Comp[], 7, FALSE)</f>
        <v>71</v>
      </c>
      <c r="K209">
        <f>VLOOKUP(Table5[[#This Row],[Shortname]], Comp[], 8, FALSE)</f>
        <v>10</v>
      </c>
      <c r="L209">
        <f>VLOOKUP(Table5[[#This Row],[Shortname]], Comp[], 9, FALSE)</f>
        <v>7</v>
      </c>
      <c r="M209">
        <f>VLOOKUP(Table5[[#This Row],[Shortname]], Comp[], 10, FALSE)</f>
        <v>0</v>
      </c>
      <c r="N209">
        <f>VLOOKUP(Table5[[#This Row],[Shortname]], Comp[], 11, FALSE)</f>
        <v>7</v>
      </c>
      <c r="O209">
        <f>VLOOKUP(Table5[[#This Row],[Shortname]], Comp[],12, FALSE)</f>
        <v>4</v>
      </c>
      <c r="P209">
        <f>VLOOKUP(Table5[[#This Row],[Shortname]], Comp[], 13, FALSE)</f>
        <v>1</v>
      </c>
      <c r="Q209">
        <f>VLOOKUP(Table5[[#This Row],[Shortname]], Comp[], 14, FALSE)</f>
        <v>0</v>
      </c>
      <c r="R209">
        <f>VLOOKUP(Table5[[#This Row],[Shortname]], Comp[], 15, FALSE)</f>
        <v>0</v>
      </c>
      <c r="S209">
        <f>VLOOKUP(Table5[[#This Row],[Shortname]], Comp[], 16, FALSE)</f>
        <v>0</v>
      </c>
      <c r="T209">
        <f>VLOOKUP(Table5[[#This Row],[Shortname]], Comp[], 17, FALSE)</f>
        <v>0</v>
      </c>
      <c r="U209">
        <f>VLOOKUP(Table5[[#This Row],[Shortname]], Comp[], 18, FALSE)</f>
        <v>0</v>
      </c>
      <c r="V209">
        <f>VLOOKUP(Table5[[#This Row],[Shortname]], Comp[], 19, FALSE)</f>
        <v>0</v>
      </c>
      <c r="W209">
        <f>VLOOKUP(Table5[[#This Row],[Shortname]], Comp[], 20, FALSE)</f>
        <v>0</v>
      </c>
      <c r="X209">
        <f>VLOOKUP(Table5[[#This Row],[Shortname]], Comp[], 21, FALSE)</f>
        <v>0</v>
      </c>
      <c r="Y209">
        <f>VLOOKUP(Table5[[#This Row],[Shortname]], Comp[], 22, FALSE)</f>
        <v>0</v>
      </c>
      <c r="Z209">
        <f>VLOOKUP(Table5[[#This Row],[Shortname]], Comp[], 23, FALSE)</f>
        <v>0</v>
      </c>
      <c r="AA209">
        <f>VLOOKUP(Table5[[#This Row],[Shortname]], Comp[], 24, FALSE)</f>
        <v>0</v>
      </c>
      <c r="AB209">
        <f>VLOOKUP(Table5[[#This Row],[Shortname]], Comp[], 25, FALSE)</f>
        <v>0</v>
      </c>
      <c r="AC209">
        <f>VLOOKUP(Table5[[#This Row],[Shortname]], Comp[], 26, FALSE)</f>
        <v>0</v>
      </c>
      <c r="AD209">
        <f>VLOOKUP(Table5[[#This Row],[Shortname]], Comp[], 27, FALSE)</f>
        <v>0</v>
      </c>
      <c r="AE209">
        <f>VLOOKUP(Table5[[#This Row],[Shortname]], Comp[], 28, FALSE)</f>
        <v>0</v>
      </c>
      <c r="AF209">
        <f>VLOOKUP(Table5[[#This Row],[Shortname]], Comp[], 29, FALSE)</f>
        <v>0</v>
      </c>
      <c r="AG209">
        <f>VLOOKUP(Table5[[#This Row],[Shortname]], Comp[], 30, FALSE)</f>
        <v>0</v>
      </c>
      <c r="AH209">
        <f>VLOOKUP(Table5[[#This Row],[Shortname]], Comp[], 31, FALSE)</f>
        <v>0</v>
      </c>
    </row>
    <row r="210" spans="1:34" x14ac:dyDescent="0.3">
      <c r="A210" t="s">
        <v>2056</v>
      </c>
      <c r="B210">
        <v>210</v>
      </c>
      <c r="C210" t="str">
        <f>VLOOKUP(Table5[[#This Row],[Shortname]], [1]!comp[#Data], 2, FALSE)</f>
        <v>Low-W</v>
      </c>
      <c r="D210" t="s">
        <v>2058</v>
      </c>
      <c r="E210" t="s">
        <v>6718</v>
      </c>
      <c r="F210">
        <v>1126</v>
      </c>
      <c r="G210">
        <v>1317</v>
      </c>
      <c r="H210">
        <v>1385</v>
      </c>
      <c r="J210" s="14">
        <f>VLOOKUP(Table5[[#This Row],[Shortname]], Comp[], 7, FALSE)</f>
        <v>52</v>
      </c>
      <c r="K210">
        <f>VLOOKUP(Table5[[#This Row],[Shortname]], Comp[], 8, FALSE)</f>
        <v>30</v>
      </c>
      <c r="L210">
        <f>VLOOKUP(Table5[[#This Row],[Shortname]], Comp[], 9, FALSE)</f>
        <v>7</v>
      </c>
      <c r="M210">
        <f>VLOOKUP(Table5[[#This Row],[Shortname]], Comp[], 10, FALSE)</f>
        <v>0</v>
      </c>
      <c r="N210">
        <f>VLOOKUP(Table5[[#This Row],[Shortname]], Comp[], 11, FALSE)</f>
        <v>2</v>
      </c>
      <c r="O210">
        <f>VLOOKUP(Table5[[#This Row],[Shortname]], Comp[],12, FALSE)</f>
        <v>4</v>
      </c>
      <c r="P210">
        <f>VLOOKUP(Table5[[#This Row],[Shortname]], Comp[], 13, FALSE)</f>
        <v>1</v>
      </c>
      <c r="Q210">
        <f>VLOOKUP(Table5[[#This Row],[Shortname]], Comp[], 14, FALSE)</f>
        <v>1</v>
      </c>
      <c r="R210">
        <f>VLOOKUP(Table5[[#This Row],[Shortname]], Comp[], 15, FALSE)</f>
        <v>0</v>
      </c>
      <c r="S210">
        <f>VLOOKUP(Table5[[#This Row],[Shortname]], Comp[], 16, FALSE)</f>
        <v>3</v>
      </c>
      <c r="T210">
        <f>VLOOKUP(Table5[[#This Row],[Shortname]], Comp[], 17, FALSE)</f>
        <v>0</v>
      </c>
      <c r="U210">
        <f>VLOOKUP(Table5[[#This Row],[Shortname]], Comp[], 18, FALSE)</f>
        <v>0</v>
      </c>
      <c r="V210">
        <f>VLOOKUP(Table5[[#This Row],[Shortname]], Comp[], 19, FALSE)</f>
        <v>0</v>
      </c>
      <c r="W210">
        <f>VLOOKUP(Table5[[#This Row],[Shortname]], Comp[], 20, FALSE)</f>
        <v>0</v>
      </c>
      <c r="X210">
        <f>VLOOKUP(Table5[[#This Row],[Shortname]], Comp[], 21, FALSE)</f>
        <v>0</v>
      </c>
      <c r="Y210">
        <f>VLOOKUP(Table5[[#This Row],[Shortname]], Comp[], 22, FALSE)</f>
        <v>0</v>
      </c>
      <c r="Z210">
        <f>VLOOKUP(Table5[[#This Row],[Shortname]], Comp[], 23, FALSE)</f>
        <v>0</v>
      </c>
      <c r="AA210">
        <f>VLOOKUP(Table5[[#This Row],[Shortname]], Comp[], 24, FALSE)</f>
        <v>0</v>
      </c>
      <c r="AB210">
        <f>VLOOKUP(Table5[[#This Row],[Shortname]], Comp[], 25, FALSE)</f>
        <v>0</v>
      </c>
      <c r="AC210">
        <f>VLOOKUP(Table5[[#This Row],[Shortname]], Comp[], 26, FALSE)</f>
        <v>0</v>
      </c>
      <c r="AD210">
        <f>VLOOKUP(Table5[[#This Row],[Shortname]], Comp[], 27, FALSE)</f>
        <v>0</v>
      </c>
      <c r="AE210">
        <f>VLOOKUP(Table5[[#This Row],[Shortname]], Comp[], 28, FALSE)</f>
        <v>0</v>
      </c>
      <c r="AF210">
        <f>VLOOKUP(Table5[[#This Row],[Shortname]], Comp[], 29, FALSE)</f>
        <v>0</v>
      </c>
      <c r="AG210">
        <f>VLOOKUP(Table5[[#This Row],[Shortname]], Comp[], 30, FALSE)</f>
        <v>0</v>
      </c>
      <c r="AH210">
        <f>VLOOKUP(Table5[[#This Row],[Shortname]], Comp[], 31, FALSE)</f>
        <v>0</v>
      </c>
    </row>
    <row r="211" spans="1:34" x14ac:dyDescent="0.3">
      <c r="A211" t="s">
        <v>2044</v>
      </c>
      <c r="B211">
        <v>211</v>
      </c>
      <c r="C211" t="str">
        <f>VLOOKUP(Table5[[#This Row],[Shortname]], [1]!comp[#Data], 2, FALSE)</f>
        <v>W-free</v>
      </c>
      <c r="D211" t="s">
        <v>2046</v>
      </c>
      <c r="E211" t="s">
        <v>6718</v>
      </c>
      <c r="F211">
        <v>1105</v>
      </c>
      <c r="G211">
        <v>1314</v>
      </c>
      <c r="H211">
        <v>1367</v>
      </c>
      <c r="J211" s="14">
        <f>VLOOKUP(Table5[[#This Row],[Shortname]], Comp[], 7, FALSE)</f>
        <v>52</v>
      </c>
      <c r="K211">
        <f>VLOOKUP(Table5[[#This Row],[Shortname]], Comp[], 8, FALSE)</f>
        <v>30</v>
      </c>
      <c r="L211">
        <f>VLOOKUP(Table5[[#This Row],[Shortname]], Comp[], 9, FALSE)</f>
        <v>7</v>
      </c>
      <c r="M211">
        <f>VLOOKUP(Table5[[#This Row],[Shortname]], Comp[], 10, FALSE)</f>
        <v>0</v>
      </c>
      <c r="N211">
        <f>VLOOKUP(Table5[[#This Row],[Shortname]], Comp[], 11, FALSE)</f>
        <v>0</v>
      </c>
      <c r="O211">
        <f>VLOOKUP(Table5[[#This Row],[Shortname]], Comp[],12, FALSE)</f>
        <v>4</v>
      </c>
      <c r="P211">
        <f>VLOOKUP(Table5[[#This Row],[Shortname]], Comp[], 13, FALSE)</f>
        <v>1</v>
      </c>
      <c r="Q211">
        <f>VLOOKUP(Table5[[#This Row],[Shortname]], Comp[], 14, FALSE)</f>
        <v>1</v>
      </c>
      <c r="R211">
        <f>VLOOKUP(Table5[[#This Row],[Shortname]], Comp[], 15, FALSE)</f>
        <v>0</v>
      </c>
      <c r="S211">
        <f>VLOOKUP(Table5[[#This Row],[Shortname]], Comp[], 16, FALSE)</f>
        <v>5</v>
      </c>
      <c r="T211">
        <f>VLOOKUP(Table5[[#This Row],[Shortname]], Comp[], 17, FALSE)</f>
        <v>0</v>
      </c>
      <c r="U211">
        <f>VLOOKUP(Table5[[#This Row],[Shortname]], Comp[], 18, FALSE)</f>
        <v>0</v>
      </c>
      <c r="V211">
        <f>VLOOKUP(Table5[[#This Row],[Shortname]], Comp[], 19, FALSE)</f>
        <v>0</v>
      </c>
      <c r="W211">
        <f>VLOOKUP(Table5[[#This Row],[Shortname]], Comp[], 20, FALSE)</f>
        <v>0</v>
      </c>
      <c r="X211">
        <f>VLOOKUP(Table5[[#This Row],[Shortname]], Comp[], 21, FALSE)</f>
        <v>0</v>
      </c>
      <c r="Y211">
        <f>VLOOKUP(Table5[[#This Row],[Shortname]], Comp[], 22, FALSE)</f>
        <v>0</v>
      </c>
      <c r="Z211">
        <f>VLOOKUP(Table5[[#This Row],[Shortname]], Comp[], 23, FALSE)</f>
        <v>0</v>
      </c>
      <c r="AA211">
        <f>VLOOKUP(Table5[[#This Row],[Shortname]], Comp[], 24, FALSE)</f>
        <v>0</v>
      </c>
      <c r="AB211">
        <f>VLOOKUP(Table5[[#This Row],[Shortname]], Comp[], 25, FALSE)</f>
        <v>0</v>
      </c>
      <c r="AC211">
        <f>VLOOKUP(Table5[[#This Row],[Shortname]], Comp[], 26, FALSE)</f>
        <v>0</v>
      </c>
      <c r="AD211">
        <f>VLOOKUP(Table5[[#This Row],[Shortname]], Comp[], 27, FALSE)</f>
        <v>0</v>
      </c>
      <c r="AE211">
        <f>VLOOKUP(Table5[[#This Row],[Shortname]], Comp[], 28, FALSE)</f>
        <v>0</v>
      </c>
      <c r="AF211">
        <f>VLOOKUP(Table5[[#This Row],[Shortname]], Comp[], 29, FALSE)</f>
        <v>0</v>
      </c>
      <c r="AG211">
        <f>VLOOKUP(Table5[[#This Row],[Shortname]], Comp[], 30, FALSE)</f>
        <v>0</v>
      </c>
      <c r="AH211">
        <f>VLOOKUP(Table5[[#This Row],[Shortname]], Comp[], 31, FALSE)</f>
        <v>0</v>
      </c>
    </row>
    <row r="212" spans="1:34" x14ac:dyDescent="0.3">
      <c r="A212" t="s">
        <v>2032</v>
      </c>
      <c r="B212">
        <v>212</v>
      </c>
      <c r="C212" t="str">
        <f>VLOOKUP(Table5[[#This Row],[Shortname]], [1]!comp[#Data], 2, FALSE)</f>
        <v>W-free</v>
      </c>
      <c r="D212" t="s">
        <v>2034</v>
      </c>
      <c r="E212" t="s">
        <v>6718</v>
      </c>
      <c r="F212">
        <v>1082</v>
      </c>
      <c r="G212">
        <v>1301</v>
      </c>
      <c r="H212">
        <v>1353</v>
      </c>
      <c r="J212" s="14">
        <f>VLOOKUP(Table5[[#This Row],[Shortname]], Comp[], 7, FALSE)</f>
        <v>52</v>
      </c>
      <c r="K212">
        <f>VLOOKUP(Table5[[#This Row],[Shortname]], Comp[], 8, FALSE)</f>
        <v>30</v>
      </c>
      <c r="L212">
        <f>VLOOKUP(Table5[[#This Row],[Shortname]], Comp[], 9, FALSE)</f>
        <v>7</v>
      </c>
      <c r="M212">
        <f>VLOOKUP(Table5[[#This Row],[Shortname]], Comp[], 10, FALSE)</f>
        <v>0</v>
      </c>
      <c r="N212">
        <f>VLOOKUP(Table5[[#This Row],[Shortname]], Comp[], 11, FALSE)</f>
        <v>0</v>
      </c>
      <c r="O212">
        <f>VLOOKUP(Table5[[#This Row],[Shortname]], Comp[],12, FALSE)</f>
        <v>4</v>
      </c>
      <c r="P212">
        <f>VLOOKUP(Table5[[#This Row],[Shortname]], Comp[], 13, FALSE)</f>
        <v>0</v>
      </c>
      <c r="Q212">
        <f>VLOOKUP(Table5[[#This Row],[Shortname]], Comp[], 14, FALSE)</f>
        <v>2</v>
      </c>
      <c r="R212">
        <f>VLOOKUP(Table5[[#This Row],[Shortname]], Comp[], 15, FALSE)</f>
        <v>0</v>
      </c>
      <c r="S212">
        <f>VLOOKUP(Table5[[#This Row],[Shortname]], Comp[], 16, FALSE)</f>
        <v>5</v>
      </c>
      <c r="T212">
        <f>VLOOKUP(Table5[[#This Row],[Shortname]], Comp[], 17, FALSE)</f>
        <v>0</v>
      </c>
      <c r="U212">
        <f>VLOOKUP(Table5[[#This Row],[Shortname]], Comp[], 18, FALSE)</f>
        <v>0</v>
      </c>
      <c r="V212">
        <f>VLOOKUP(Table5[[#This Row],[Shortname]], Comp[], 19, FALSE)</f>
        <v>0</v>
      </c>
      <c r="W212">
        <f>VLOOKUP(Table5[[#This Row],[Shortname]], Comp[], 20, FALSE)</f>
        <v>0</v>
      </c>
      <c r="X212">
        <f>VLOOKUP(Table5[[#This Row],[Shortname]], Comp[], 21, FALSE)</f>
        <v>0</v>
      </c>
      <c r="Y212">
        <f>VLOOKUP(Table5[[#This Row],[Shortname]], Comp[], 22, FALSE)</f>
        <v>0</v>
      </c>
      <c r="Z212">
        <f>VLOOKUP(Table5[[#This Row],[Shortname]], Comp[], 23, FALSE)</f>
        <v>0</v>
      </c>
      <c r="AA212">
        <f>VLOOKUP(Table5[[#This Row],[Shortname]], Comp[], 24, FALSE)</f>
        <v>0</v>
      </c>
      <c r="AB212">
        <f>VLOOKUP(Table5[[#This Row],[Shortname]], Comp[], 25, FALSE)</f>
        <v>0</v>
      </c>
      <c r="AC212">
        <f>VLOOKUP(Table5[[#This Row],[Shortname]], Comp[], 26, FALSE)</f>
        <v>0</v>
      </c>
      <c r="AD212">
        <f>VLOOKUP(Table5[[#This Row],[Shortname]], Comp[], 27, FALSE)</f>
        <v>0</v>
      </c>
      <c r="AE212">
        <f>VLOOKUP(Table5[[#This Row],[Shortname]], Comp[], 28, FALSE)</f>
        <v>0</v>
      </c>
      <c r="AF212">
        <f>VLOOKUP(Table5[[#This Row],[Shortname]], Comp[], 29, FALSE)</f>
        <v>0</v>
      </c>
      <c r="AG212">
        <f>VLOOKUP(Table5[[#This Row],[Shortname]], Comp[], 30, FALSE)</f>
        <v>0</v>
      </c>
      <c r="AH212">
        <f>VLOOKUP(Table5[[#This Row],[Shortname]], Comp[], 31, FALSE)</f>
        <v>0</v>
      </c>
    </row>
    <row r="213" spans="1:34" x14ac:dyDescent="0.3">
      <c r="A213" t="s">
        <v>2050</v>
      </c>
      <c r="B213">
        <v>213</v>
      </c>
      <c r="C213" t="str">
        <f>VLOOKUP(Table5[[#This Row],[Shortname]], [1]!comp[#Data], 2, FALSE)</f>
        <v>Low-W</v>
      </c>
      <c r="D213" t="s">
        <v>2052</v>
      </c>
      <c r="E213" t="s">
        <v>6718</v>
      </c>
      <c r="F213">
        <v>1076</v>
      </c>
      <c r="G213">
        <v>1300</v>
      </c>
      <c r="H213">
        <v>1377</v>
      </c>
      <c r="J213" s="14">
        <f>VLOOKUP(Table5[[#This Row],[Shortname]], Comp[], 7, FALSE)</f>
        <v>72</v>
      </c>
      <c r="K213">
        <f>VLOOKUP(Table5[[#This Row],[Shortname]], Comp[], 8, FALSE)</f>
        <v>10</v>
      </c>
      <c r="L213">
        <f>VLOOKUP(Table5[[#This Row],[Shortname]], Comp[], 9, FALSE)</f>
        <v>7</v>
      </c>
      <c r="M213">
        <f>VLOOKUP(Table5[[#This Row],[Shortname]], Comp[], 10, FALSE)</f>
        <v>0</v>
      </c>
      <c r="N213">
        <f>VLOOKUP(Table5[[#This Row],[Shortname]], Comp[], 11, FALSE)</f>
        <v>2</v>
      </c>
      <c r="O213">
        <f>VLOOKUP(Table5[[#This Row],[Shortname]], Comp[],12, FALSE)</f>
        <v>4</v>
      </c>
      <c r="P213">
        <f>VLOOKUP(Table5[[#This Row],[Shortname]], Comp[], 13, FALSE)</f>
        <v>1</v>
      </c>
      <c r="Q213">
        <f>VLOOKUP(Table5[[#This Row],[Shortname]], Comp[], 14, FALSE)</f>
        <v>1</v>
      </c>
      <c r="R213">
        <f>VLOOKUP(Table5[[#This Row],[Shortname]], Comp[], 15, FALSE)</f>
        <v>0</v>
      </c>
      <c r="S213">
        <f>VLOOKUP(Table5[[#This Row],[Shortname]], Comp[], 16, FALSE)</f>
        <v>3</v>
      </c>
      <c r="T213">
        <f>VLOOKUP(Table5[[#This Row],[Shortname]], Comp[], 17, FALSE)</f>
        <v>0</v>
      </c>
      <c r="U213">
        <f>VLOOKUP(Table5[[#This Row],[Shortname]], Comp[], 18, FALSE)</f>
        <v>0</v>
      </c>
      <c r="V213">
        <f>VLOOKUP(Table5[[#This Row],[Shortname]], Comp[], 19, FALSE)</f>
        <v>0</v>
      </c>
      <c r="W213">
        <f>VLOOKUP(Table5[[#This Row],[Shortname]], Comp[], 20, FALSE)</f>
        <v>0</v>
      </c>
      <c r="X213">
        <f>VLOOKUP(Table5[[#This Row],[Shortname]], Comp[], 21, FALSE)</f>
        <v>0</v>
      </c>
      <c r="Y213">
        <f>VLOOKUP(Table5[[#This Row],[Shortname]], Comp[], 22, FALSE)</f>
        <v>0</v>
      </c>
      <c r="Z213">
        <f>VLOOKUP(Table5[[#This Row],[Shortname]], Comp[], 23, FALSE)</f>
        <v>0</v>
      </c>
      <c r="AA213">
        <f>VLOOKUP(Table5[[#This Row],[Shortname]], Comp[], 24, FALSE)</f>
        <v>0</v>
      </c>
      <c r="AB213">
        <f>VLOOKUP(Table5[[#This Row],[Shortname]], Comp[], 25, FALSE)</f>
        <v>0</v>
      </c>
      <c r="AC213">
        <f>VLOOKUP(Table5[[#This Row],[Shortname]], Comp[], 26, FALSE)</f>
        <v>0</v>
      </c>
      <c r="AD213">
        <f>VLOOKUP(Table5[[#This Row],[Shortname]], Comp[], 27, FALSE)</f>
        <v>0</v>
      </c>
      <c r="AE213">
        <f>VLOOKUP(Table5[[#This Row],[Shortname]], Comp[], 28, FALSE)</f>
        <v>0</v>
      </c>
      <c r="AF213">
        <f>VLOOKUP(Table5[[#This Row],[Shortname]], Comp[], 29, FALSE)</f>
        <v>0</v>
      </c>
      <c r="AG213">
        <f>VLOOKUP(Table5[[#This Row],[Shortname]], Comp[], 30, FALSE)</f>
        <v>0</v>
      </c>
      <c r="AH213">
        <f>VLOOKUP(Table5[[#This Row],[Shortname]], Comp[], 31, FALSE)</f>
        <v>0</v>
      </c>
    </row>
    <row r="214" spans="1:34" x14ac:dyDescent="0.3">
      <c r="A214" t="s">
        <v>2038</v>
      </c>
      <c r="B214">
        <v>214</v>
      </c>
      <c r="C214" t="str">
        <f>VLOOKUP(Table5[[#This Row],[Shortname]], [1]!comp[#Data], 2, FALSE)</f>
        <v>W-free</v>
      </c>
      <c r="D214" t="s">
        <v>2040</v>
      </c>
      <c r="E214" t="s">
        <v>6718</v>
      </c>
      <c r="F214">
        <v>1033</v>
      </c>
      <c r="G214">
        <v>1294</v>
      </c>
      <c r="H214">
        <v>1367</v>
      </c>
      <c r="J214" s="14">
        <f>VLOOKUP(Table5[[#This Row],[Shortname]], Comp[], 7, FALSE)</f>
        <v>72</v>
      </c>
      <c r="K214">
        <f>VLOOKUP(Table5[[#This Row],[Shortname]], Comp[], 8, FALSE)</f>
        <v>10</v>
      </c>
      <c r="L214">
        <f>VLOOKUP(Table5[[#This Row],[Shortname]], Comp[], 9, FALSE)</f>
        <v>7</v>
      </c>
      <c r="M214">
        <f>VLOOKUP(Table5[[#This Row],[Shortname]], Comp[], 10, FALSE)</f>
        <v>0</v>
      </c>
      <c r="N214">
        <f>VLOOKUP(Table5[[#This Row],[Shortname]], Comp[], 11, FALSE)</f>
        <v>0</v>
      </c>
      <c r="O214">
        <f>VLOOKUP(Table5[[#This Row],[Shortname]], Comp[],12, FALSE)</f>
        <v>4</v>
      </c>
      <c r="P214">
        <f>VLOOKUP(Table5[[#This Row],[Shortname]], Comp[], 13, FALSE)</f>
        <v>1</v>
      </c>
      <c r="Q214">
        <f>VLOOKUP(Table5[[#This Row],[Shortname]], Comp[], 14, FALSE)</f>
        <v>1</v>
      </c>
      <c r="R214">
        <f>VLOOKUP(Table5[[#This Row],[Shortname]], Comp[], 15, FALSE)</f>
        <v>0</v>
      </c>
      <c r="S214">
        <f>VLOOKUP(Table5[[#This Row],[Shortname]], Comp[], 16, FALSE)</f>
        <v>5</v>
      </c>
      <c r="T214">
        <f>VLOOKUP(Table5[[#This Row],[Shortname]], Comp[], 17, FALSE)</f>
        <v>0</v>
      </c>
      <c r="U214">
        <f>VLOOKUP(Table5[[#This Row],[Shortname]], Comp[], 18, FALSE)</f>
        <v>0</v>
      </c>
      <c r="V214">
        <f>VLOOKUP(Table5[[#This Row],[Shortname]], Comp[], 19, FALSE)</f>
        <v>0</v>
      </c>
      <c r="W214">
        <f>VLOOKUP(Table5[[#This Row],[Shortname]], Comp[], 20, FALSE)</f>
        <v>0</v>
      </c>
      <c r="X214">
        <f>VLOOKUP(Table5[[#This Row],[Shortname]], Comp[], 21, FALSE)</f>
        <v>0</v>
      </c>
      <c r="Y214">
        <f>VLOOKUP(Table5[[#This Row],[Shortname]], Comp[], 22, FALSE)</f>
        <v>0</v>
      </c>
      <c r="Z214">
        <f>VLOOKUP(Table5[[#This Row],[Shortname]], Comp[], 23, FALSE)</f>
        <v>0</v>
      </c>
      <c r="AA214">
        <f>VLOOKUP(Table5[[#This Row],[Shortname]], Comp[], 24, FALSE)</f>
        <v>0</v>
      </c>
      <c r="AB214">
        <f>VLOOKUP(Table5[[#This Row],[Shortname]], Comp[], 25, FALSE)</f>
        <v>0</v>
      </c>
      <c r="AC214">
        <f>VLOOKUP(Table5[[#This Row],[Shortname]], Comp[], 26, FALSE)</f>
        <v>0</v>
      </c>
      <c r="AD214">
        <f>VLOOKUP(Table5[[#This Row],[Shortname]], Comp[], 27, FALSE)</f>
        <v>0</v>
      </c>
      <c r="AE214">
        <f>VLOOKUP(Table5[[#This Row],[Shortname]], Comp[], 28, FALSE)</f>
        <v>0</v>
      </c>
      <c r="AF214">
        <f>VLOOKUP(Table5[[#This Row],[Shortname]], Comp[], 29, FALSE)</f>
        <v>0</v>
      </c>
      <c r="AG214">
        <f>VLOOKUP(Table5[[#This Row],[Shortname]], Comp[], 30, FALSE)</f>
        <v>0</v>
      </c>
      <c r="AH214">
        <f>VLOOKUP(Table5[[#This Row],[Shortname]], Comp[], 31, FALSE)</f>
        <v>0</v>
      </c>
    </row>
    <row r="215" spans="1:34" x14ac:dyDescent="0.3">
      <c r="A215" t="s">
        <v>2026</v>
      </c>
      <c r="B215">
        <v>215</v>
      </c>
      <c r="C215" t="str">
        <f>VLOOKUP(Table5[[#This Row],[Shortname]], [1]!comp[#Data], 2, FALSE)</f>
        <v>W-free</v>
      </c>
      <c r="D215" t="s">
        <v>2028</v>
      </c>
      <c r="E215" t="s">
        <v>6718</v>
      </c>
      <c r="F215">
        <v>1021</v>
      </c>
      <c r="G215">
        <v>1277</v>
      </c>
      <c r="H215">
        <v>1360</v>
      </c>
      <c r="J215" s="14">
        <f>VLOOKUP(Table5[[#This Row],[Shortname]], Comp[], 7, FALSE)</f>
        <v>72</v>
      </c>
      <c r="K215">
        <f>VLOOKUP(Table5[[#This Row],[Shortname]], Comp[], 8, FALSE)</f>
        <v>10</v>
      </c>
      <c r="L215">
        <f>VLOOKUP(Table5[[#This Row],[Shortname]], Comp[], 9, FALSE)</f>
        <v>7</v>
      </c>
      <c r="M215">
        <f>VLOOKUP(Table5[[#This Row],[Shortname]], Comp[], 10, FALSE)</f>
        <v>0</v>
      </c>
      <c r="N215">
        <f>VLOOKUP(Table5[[#This Row],[Shortname]], Comp[], 11, FALSE)</f>
        <v>0</v>
      </c>
      <c r="O215">
        <f>VLOOKUP(Table5[[#This Row],[Shortname]], Comp[],12, FALSE)</f>
        <v>4</v>
      </c>
      <c r="P215">
        <f>VLOOKUP(Table5[[#This Row],[Shortname]], Comp[], 13, FALSE)</f>
        <v>0</v>
      </c>
      <c r="Q215">
        <f>VLOOKUP(Table5[[#This Row],[Shortname]], Comp[], 14, FALSE)</f>
        <v>2</v>
      </c>
      <c r="R215">
        <f>VLOOKUP(Table5[[#This Row],[Shortname]], Comp[], 15, FALSE)</f>
        <v>0</v>
      </c>
      <c r="S215">
        <f>VLOOKUP(Table5[[#This Row],[Shortname]], Comp[], 16, FALSE)</f>
        <v>5</v>
      </c>
      <c r="T215">
        <f>VLOOKUP(Table5[[#This Row],[Shortname]], Comp[], 17, FALSE)</f>
        <v>0</v>
      </c>
      <c r="U215">
        <f>VLOOKUP(Table5[[#This Row],[Shortname]], Comp[], 18, FALSE)</f>
        <v>0</v>
      </c>
      <c r="V215">
        <f>VLOOKUP(Table5[[#This Row],[Shortname]], Comp[], 19, FALSE)</f>
        <v>0</v>
      </c>
      <c r="W215">
        <f>VLOOKUP(Table5[[#This Row],[Shortname]], Comp[], 20, FALSE)</f>
        <v>0</v>
      </c>
      <c r="X215">
        <f>VLOOKUP(Table5[[#This Row],[Shortname]], Comp[], 21, FALSE)</f>
        <v>0</v>
      </c>
      <c r="Y215">
        <f>VLOOKUP(Table5[[#This Row],[Shortname]], Comp[], 22, FALSE)</f>
        <v>0</v>
      </c>
      <c r="Z215">
        <f>VLOOKUP(Table5[[#This Row],[Shortname]], Comp[], 23, FALSE)</f>
        <v>0</v>
      </c>
      <c r="AA215">
        <f>VLOOKUP(Table5[[#This Row],[Shortname]], Comp[], 24, FALSE)</f>
        <v>0</v>
      </c>
      <c r="AB215">
        <f>VLOOKUP(Table5[[#This Row],[Shortname]], Comp[], 25, FALSE)</f>
        <v>0</v>
      </c>
      <c r="AC215">
        <f>VLOOKUP(Table5[[#This Row],[Shortname]], Comp[], 26, FALSE)</f>
        <v>0</v>
      </c>
      <c r="AD215">
        <f>VLOOKUP(Table5[[#This Row],[Shortname]], Comp[], 27, FALSE)</f>
        <v>0</v>
      </c>
      <c r="AE215">
        <f>VLOOKUP(Table5[[#This Row],[Shortname]], Comp[], 28, FALSE)</f>
        <v>0</v>
      </c>
      <c r="AF215">
        <f>VLOOKUP(Table5[[#This Row],[Shortname]], Comp[], 29, FALSE)</f>
        <v>0</v>
      </c>
      <c r="AG215">
        <f>VLOOKUP(Table5[[#This Row],[Shortname]], Comp[], 30, FALSE)</f>
        <v>0</v>
      </c>
      <c r="AH215">
        <f>VLOOKUP(Table5[[#This Row],[Shortname]], Comp[], 31, FALSE)</f>
        <v>0</v>
      </c>
    </row>
    <row r="216" spans="1:34" x14ac:dyDescent="0.3">
      <c r="A216" t="s">
        <v>2077</v>
      </c>
      <c r="B216">
        <v>216</v>
      </c>
      <c r="C216" t="str">
        <f>VLOOKUP(Table5[[#This Row],[Shortname]], [1]!comp[#Data], 2, FALSE)</f>
        <v>Co3Ti</v>
      </c>
      <c r="D216" t="s">
        <v>2079</v>
      </c>
      <c r="E216" t="s">
        <v>6610</v>
      </c>
      <c r="F216">
        <v>1085</v>
      </c>
      <c r="H216">
        <v>1222</v>
      </c>
      <c r="I216" t="s">
        <v>6712</v>
      </c>
      <c r="J216" s="14">
        <f>VLOOKUP(Table5[[#This Row],[Shortname]], Comp[], 7, FALSE)</f>
        <v>83</v>
      </c>
      <c r="K216">
        <f>VLOOKUP(Table5[[#This Row],[Shortname]], Comp[], 8, FALSE)</f>
        <v>0</v>
      </c>
      <c r="L216">
        <f>VLOOKUP(Table5[[#This Row],[Shortname]], Comp[], 9, FALSE)</f>
        <v>0</v>
      </c>
      <c r="M216">
        <f>VLOOKUP(Table5[[#This Row],[Shortname]], Comp[], 10, FALSE)</f>
        <v>0</v>
      </c>
      <c r="N216">
        <f>VLOOKUP(Table5[[#This Row],[Shortname]], Comp[], 11, FALSE)</f>
        <v>0</v>
      </c>
      <c r="O216">
        <f>VLOOKUP(Table5[[#This Row],[Shortname]], Comp[],12, FALSE)</f>
        <v>12</v>
      </c>
      <c r="P216">
        <f>VLOOKUP(Table5[[#This Row],[Shortname]], Comp[], 13, FALSE)</f>
        <v>0</v>
      </c>
      <c r="Q216">
        <f>VLOOKUP(Table5[[#This Row],[Shortname]], Comp[], 14, FALSE)</f>
        <v>0</v>
      </c>
      <c r="R216">
        <f>VLOOKUP(Table5[[#This Row],[Shortname]], Comp[], 15, FALSE)</f>
        <v>0</v>
      </c>
      <c r="S216">
        <f>VLOOKUP(Table5[[#This Row],[Shortname]], Comp[], 16, FALSE)</f>
        <v>0</v>
      </c>
      <c r="T216">
        <f>VLOOKUP(Table5[[#This Row],[Shortname]], Comp[], 17, FALSE)</f>
        <v>0</v>
      </c>
      <c r="U216">
        <f>VLOOKUP(Table5[[#This Row],[Shortname]], Comp[], 18, FALSE)</f>
        <v>0</v>
      </c>
      <c r="V216">
        <f>VLOOKUP(Table5[[#This Row],[Shortname]], Comp[], 19, FALSE)</f>
        <v>0</v>
      </c>
      <c r="W216">
        <f>VLOOKUP(Table5[[#This Row],[Shortname]], Comp[], 20, FALSE)</f>
        <v>0</v>
      </c>
      <c r="X216">
        <f>VLOOKUP(Table5[[#This Row],[Shortname]], Comp[], 21, FALSE)</f>
        <v>5</v>
      </c>
      <c r="Y216">
        <f>VLOOKUP(Table5[[#This Row],[Shortname]], Comp[], 22, FALSE)</f>
        <v>0</v>
      </c>
      <c r="Z216">
        <f>VLOOKUP(Table5[[#This Row],[Shortname]], Comp[], 23, FALSE)</f>
        <v>0</v>
      </c>
      <c r="AA216">
        <f>VLOOKUP(Table5[[#This Row],[Shortname]], Comp[], 24, FALSE)</f>
        <v>0</v>
      </c>
      <c r="AB216">
        <f>VLOOKUP(Table5[[#This Row],[Shortname]], Comp[], 25, FALSE)</f>
        <v>0</v>
      </c>
      <c r="AC216">
        <f>VLOOKUP(Table5[[#This Row],[Shortname]], Comp[], 26, FALSE)</f>
        <v>0</v>
      </c>
      <c r="AD216">
        <f>VLOOKUP(Table5[[#This Row],[Shortname]], Comp[], 27, FALSE)</f>
        <v>0</v>
      </c>
      <c r="AE216">
        <f>VLOOKUP(Table5[[#This Row],[Shortname]], Comp[], 28, FALSE)</f>
        <v>0</v>
      </c>
      <c r="AF216">
        <f>VLOOKUP(Table5[[#This Row],[Shortname]], Comp[], 29, FALSE)</f>
        <v>0</v>
      </c>
      <c r="AG216">
        <f>VLOOKUP(Table5[[#This Row],[Shortname]], Comp[], 30, FALSE)</f>
        <v>0</v>
      </c>
      <c r="AH216">
        <f>VLOOKUP(Table5[[#This Row],[Shortname]], Comp[], 31, FALSE)</f>
        <v>0</v>
      </c>
    </row>
    <row r="217" spans="1:34" x14ac:dyDescent="0.3">
      <c r="A217" t="s">
        <v>2070</v>
      </c>
      <c r="B217">
        <v>217</v>
      </c>
      <c r="C217" t="str">
        <f>VLOOKUP(Table5[[#This Row],[Shortname]], [1]!comp[#Data], 2, FALSE)</f>
        <v>Co3Ti</v>
      </c>
      <c r="D217" t="s">
        <v>2072</v>
      </c>
      <c r="E217" t="s">
        <v>6610</v>
      </c>
      <c r="F217">
        <v>1073</v>
      </c>
      <c r="H217">
        <v>1214</v>
      </c>
      <c r="I217" t="s">
        <v>6712</v>
      </c>
      <c r="J217" s="14">
        <f>VLOOKUP(Table5[[#This Row],[Shortname]], Comp[], 7, FALSE)</f>
        <v>85</v>
      </c>
      <c r="K217">
        <f>VLOOKUP(Table5[[#This Row],[Shortname]], Comp[], 8, FALSE)</f>
        <v>0</v>
      </c>
      <c r="L217">
        <f>VLOOKUP(Table5[[#This Row],[Shortname]], Comp[], 9, FALSE)</f>
        <v>0</v>
      </c>
      <c r="M217">
        <f>VLOOKUP(Table5[[#This Row],[Shortname]], Comp[], 10, FALSE)</f>
        <v>0</v>
      </c>
      <c r="N217">
        <f>VLOOKUP(Table5[[#This Row],[Shortname]], Comp[], 11, FALSE)</f>
        <v>0</v>
      </c>
      <c r="O217">
        <f>VLOOKUP(Table5[[#This Row],[Shortname]], Comp[],12, FALSE)</f>
        <v>12</v>
      </c>
      <c r="P217">
        <f>VLOOKUP(Table5[[#This Row],[Shortname]], Comp[], 13, FALSE)</f>
        <v>0</v>
      </c>
      <c r="Q217">
        <f>VLOOKUP(Table5[[#This Row],[Shortname]], Comp[], 14, FALSE)</f>
        <v>0</v>
      </c>
      <c r="R217">
        <f>VLOOKUP(Table5[[#This Row],[Shortname]], Comp[], 15, FALSE)</f>
        <v>0</v>
      </c>
      <c r="S217">
        <f>VLOOKUP(Table5[[#This Row],[Shortname]], Comp[], 16, FALSE)</f>
        <v>0</v>
      </c>
      <c r="T217">
        <f>VLOOKUP(Table5[[#This Row],[Shortname]], Comp[], 17, FALSE)</f>
        <v>0</v>
      </c>
      <c r="U217">
        <f>VLOOKUP(Table5[[#This Row],[Shortname]], Comp[], 18, FALSE)</f>
        <v>0</v>
      </c>
      <c r="V217">
        <f>VLOOKUP(Table5[[#This Row],[Shortname]], Comp[], 19, FALSE)</f>
        <v>0</v>
      </c>
      <c r="W217">
        <f>VLOOKUP(Table5[[#This Row],[Shortname]], Comp[], 20, FALSE)</f>
        <v>0</v>
      </c>
      <c r="X217">
        <f>VLOOKUP(Table5[[#This Row],[Shortname]], Comp[], 21, FALSE)</f>
        <v>3</v>
      </c>
      <c r="Y217">
        <f>VLOOKUP(Table5[[#This Row],[Shortname]], Comp[], 22, FALSE)</f>
        <v>0</v>
      </c>
      <c r="Z217">
        <f>VLOOKUP(Table5[[#This Row],[Shortname]], Comp[], 23, FALSE)</f>
        <v>0</v>
      </c>
      <c r="AA217">
        <f>VLOOKUP(Table5[[#This Row],[Shortname]], Comp[], 24, FALSE)</f>
        <v>0</v>
      </c>
      <c r="AB217">
        <f>VLOOKUP(Table5[[#This Row],[Shortname]], Comp[], 25, FALSE)</f>
        <v>0</v>
      </c>
      <c r="AC217">
        <f>VLOOKUP(Table5[[#This Row],[Shortname]], Comp[], 26, FALSE)</f>
        <v>0</v>
      </c>
      <c r="AD217">
        <f>VLOOKUP(Table5[[#This Row],[Shortname]], Comp[], 27, FALSE)</f>
        <v>0</v>
      </c>
      <c r="AE217">
        <f>VLOOKUP(Table5[[#This Row],[Shortname]], Comp[], 28, FALSE)</f>
        <v>0</v>
      </c>
      <c r="AF217">
        <f>VLOOKUP(Table5[[#This Row],[Shortname]], Comp[], 29, FALSE)</f>
        <v>0</v>
      </c>
      <c r="AG217">
        <f>VLOOKUP(Table5[[#This Row],[Shortname]], Comp[], 30, FALSE)</f>
        <v>0</v>
      </c>
      <c r="AH217">
        <f>VLOOKUP(Table5[[#This Row],[Shortname]], Comp[], 31, FALSE)</f>
        <v>0</v>
      </c>
    </row>
    <row r="218" spans="1:34" x14ac:dyDescent="0.3">
      <c r="A218" s="7" t="s">
        <v>2062</v>
      </c>
      <c r="B218">
        <v>218</v>
      </c>
      <c r="C218" s="7" t="str">
        <f>VLOOKUP(Table5[[#This Row],[Shortname]], [1]!comp[#Data], 2, FALSE)</f>
        <v>Co3Ti</v>
      </c>
      <c r="D218" s="7" t="s">
        <v>2064</v>
      </c>
      <c r="E218" t="s">
        <v>6610</v>
      </c>
      <c r="F218">
        <v>1059</v>
      </c>
      <c r="H218">
        <v>1203</v>
      </c>
      <c r="I218" t="s">
        <v>6712</v>
      </c>
      <c r="J218" s="14">
        <f>VLOOKUP(Table5[[#This Row],[Shortname]], Comp[], 7, FALSE)</f>
        <v>87</v>
      </c>
      <c r="K218">
        <f>VLOOKUP(Table5[[#This Row],[Shortname]], Comp[], 8, FALSE)</f>
        <v>0</v>
      </c>
      <c r="L218">
        <f>VLOOKUP(Table5[[#This Row],[Shortname]], Comp[], 9, FALSE)</f>
        <v>0</v>
      </c>
      <c r="M218">
        <f>VLOOKUP(Table5[[#This Row],[Shortname]], Comp[], 10, FALSE)</f>
        <v>0</v>
      </c>
      <c r="N218">
        <f>VLOOKUP(Table5[[#This Row],[Shortname]], Comp[], 11, FALSE)</f>
        <v>0</v>
      </c>
      <c r="O218">
        <f>VLOOKUP(Table5[[#This Row],[Shortname]], Comp[],12, FALSE)</f>
        <v>12</v>
      </c>
      <c r="P218">
        <f>VLOOKUP(Table5[[#This Row],[Shortname]], Comp[], 13, FALSE)</f>
        <v>0</v>
      </c>
      <c r="Q218">
        <f>VLOOKUP(Table5[[#This Row],[Shortname]], Comp[], 14, FALSE)</f>
        <v>0</v>
      </c>
      <c r="R218">
        <f>VLOOKUP(Table5[[#This Row],[Shortname]], Comp[], 15, FALSE)</f>
        <v>0</v>
      </c>
      <c r="S218">
        <f>VLOOKUP(Table5[[#This Row],[Shortname]], Comp[], 16, FALSE)</f>
        <v>0</v>
      </c>
      <c r="T218">
        <f>VLOOKUP(Table5[[#This Row],[Shortname]], Comp[], 17, FALSE)</f>
        <v>0</v>
      </c>
      <c r="U218">
        <f>VLOOKUP(Table5[[#This Row],[Shortname]], Comp[], 18, FALSE)</f>
        <v>0</v>
      </c>
      <c r="V218">
        <f>VLOOKUP(Table5[[#This Row],[Shortname]], Comp[], 19, FALSE)</f>
        <v>0</v>
      </c>
      <c r="W218">
        <f>VLOOKUP(Table5[[#This Row],[Shortname]], Comp[], 20, FALSE)</f>
        <v>0</v>
      </c>
      <c r="X218">
        <f>VLOOKUP(Table5[[#This Row],[Shortname]], Comp[], 21, FALSE)</f>
        <v>1</v>
      </c>
      <c r="Y218">
        <f>VLOOKUP(Table5[[#This Row],[Shortname]], Comp[], 22, FALSE)</f>
        <v>0</v>
      </c>
      <c r="Z218">
        <f>VLOOKUP(Table5[[#This Row],[Shortname]], Comp[], 23, FALSE)</f>
        <v>0</v>
      </c>
      <c r="AA218">
        <f>VLOOKUP(Table5[[#This Row],[Shortname]], Comp[], 24, FALSE)</f>
        <v>0</v>
      </c>
      <c r="AB218">
        <f>VLOOKUP(Table5[[#This Row],[Shortname]], Comp[], 25, FALSE)</f>
        <v>0</v>
      </c>
      <c r="AC218">
        <f>VLOOKUP(Table5[[#This Row],[Shortname]], Comp[], 26, FALSE)</f>
        <v>0</v>
      </c>
      <c r="AD218">
        <f>VLOOKUP(Table5[[#This Row],[Shortname]], Comp[], 27, FALSE)</f>
        <v>0</v>
      </c>
      <c r="AE218">
        <f>VLOOKUP(Table5[[#This Row],[Shortname]], Comp[], 28, FALSE)</f>
        <v>0</v>
      </c>
      <c r="AF218">
        <f>VLOOKUP(Table5[[#This Row],[Shortname]], Comp[], 29, FALSE)</f>
        <v>0</v>
      </c>
      <c r="AG218">
        <f>VLOOKUP(Table5[[#This Row],[Shortname]], Comp[], 30, FALSE)</f>
        <v>0</v>
      </c>
      <c r="AH218">
        <f>VLOOKUP(Table5[[#This Row],[Shortname]], Comp[], 31, FALSE)</f>
        <v>0</v>
      </c>
    </row>
    <row r="219" spans="1:34" x14ac:dyDescent="0.3">
      <c r="A219" t="s">
        <v>4926</v>
      </c>
      <c r="B219">
        <v>219</v>
      </c>
      <c r="C219" t="str">
        <f>VLOOKUP(Table5[[#This Row],[Shortname]], [1]!comp[#Data], 2, FALSE)</f>
        <v>CoAlWX+</v>
      </c>
      <c r="D219" t="s">
        <v>4928</v>
      </c>
      <c r="E219" t="s">
        <v>6719</v>
      </c>
      <c r="F219">
        <v>1235</v>
      </c>
      <c r="J219" s="14">
        <f>VLOOKUP(Table5[[#This Row],[Shortname]], Comp[], 7, FALSE)</f>
        <v>50</v>
      </c>
      <c r="K219">
        <f>VLOOKUP(Table5[[#This Row],[Shortname]], Comp[], 8, FALSE)</f>
        <v>30</v>
      </c>
      <c r="L219">
        <f>VLOOKUP(Table5[[#This Row],[Shortname]], Comp[], 9, FALSE)</f>
        <v>10.7</v>
      </c>
      <c r="M219">
        <f>VLOOKUP(Table5[[#This Row],[Shortname]], Comp[], 10, FALSE)</f>
        <v>0</v>
      </c>
      <c r="N219">
        <f>VLOOKUP(Table5[[#This Row],[Shortname]], Comp[], 11, FALSE)</f>
        <v>4.3</v>
      </c>
      <c r="O219">
        <f>VLOOKUP(Table5[[#This Row],[Shortname]], Comp[],12, FALSE)</f>
        <v>4</v>
      </c>
      <c r="P219">
        <f>VLOOKUP(Table5[[#This Row],[Shortname]], Comp[], 13, FALSE)</f>
        <v>1</v>
      </c>
      <c r="Q219">
        <f>VLOOKUP(Table5[[#This Row],[Shortname]], Comp[], 14, FALSE)</f>
        <v>0</v>
      </c>
      <c r="R219">
        <f>VLOOKUP(Table5[[#This Row],[Shortname]], Comp[], 15, FALSE)</f>
        <v>0</v>
      </c>
      <c r="S219">
        <f>VLOOKUP(Table5[[#This Row],[Shortname]], Comp[], 16, FALSE)</f>
        <v>0</v>
      </c>
      <c r="T219">
        <f>VLOOKUP(Table5[[#This Row],[Shortname]], Comp[], 17, FALSE)</f>
        <v>0</v>
      </c>
      <c r="U219">
        <f>VLOOKUP(Table5[[#This Row],[Shortname]], Comp[], 18, FALSE)</f>
        <v>0</v>
      </c>
      <c r="V219">
        <f>VLOOKUP(Table5[[#This Row],[Shortname]], Comp[], 19, FALSE)</f>
        <v>0</v>
      </c>
      <c r="W219">
        <f>VLOOKUP(Table5[[#This Row],[Shortname]], Comp[], 20, FALSE)</f>
        <v>0</v>
      </c>
      <c r="X219">
        <f>VLOOKUP(Table5[[#This Row],[Shortname]], Comp[], 21, FALSE)</f>
        <v>0</v>
      </c>
      <c r="Y219">
        <f>VLOOKUP(Table5[[#This Row],[Shortname]], Comp[], 22, FALSE)</f>
        <v>0</v>
      </c>
      <c r="Z219">
        <f>VLOOKUP(Table5[[#This Row],[Shortname]], Comp[], 23, FALSE)</f>
        <v>0</v>
      </c>
      <c r="AA219">
        <f>VLOOKUP(Table5[[#This Row],[Shortname]], Comp[], 24, FALSE)</f>
        <v>0</v>
      </c>
      <c r="AB219">
        <f>VLOOKUP(Table5[[#This Row],[Shortname]], Comp[], 25, FALSE)</f>
        <v>0</v>
      </c>
      <c r="AC219">
        <f>VLOOKUP(Table5[[#This Row],[Shortname]], Comp[], 26, FALSE)</f>
        <v>0</v>
      </c>
      <c r="AD219">
        <f>VLOOKUP(Table5[[#This Row],[Shortname]], Comp[], 27, FALSE)</f>
        <v>0</v>
      </c>
      <c r="AE219">
        <f>VLOOKUP(Table5[[#This Row],[Shortname]], Comp[], 28, FALSE)</f>
        <v>0</v>
      </c>
      <c r="AF219">
        <f>VLOOKUP(Table5[[#This Row],[Shortname]], Comp[], 29, FALSE)</f>
        <v>0</v>
      </c>
      <c r="AG219">
        <f>VLOOKUP(Table5[[#This Row],[Shortname]], Comp[], 30, FALSE)</f>
        <v>0</v>
      </c>
      <c r="AH219">
        <f>VLOOKUP(Table5[[#This Row],[Shortname]], Comp[], 31, FALSE)</f>
        <v>0</v>
      </c>
    </row>
    <row r="220" spans="1:34" x14ac:dyDescent="0.3">
      <c r="A220" t="s">
        <v>2103</v>
      </c>
      <c r="B220">
        <v>220</v>
      </c>
      <c r="C220" t="str">
        <f>VLOOKUP(Table5[[#This Row],[Shortname]], [1]!comp[#Data], 2, FALSE)</f>
        <v>CoAlWX+</v>
      </c>
      <c r="D220" t="s">
        <v>2105</v>
      </c>
      <c r="E220" t="s">
        <v>6719</v>
      </c>
      <c r="F220">
        <v>1202</v>
      </c>
      <c r="J220" s="14">
        <f>VLOOKUP(Table5[[#This Row],[Shortname]], Comp[], 7, FALSE)</f>
        <v>50.75</v>
      </c>
      <c r="K220">
        <f>VLOOKUP(Table5[[#This Row],[Shortname]], Comp[], 8, FALSE)</f>
        <v>29.46</v>
      </c>
      <c r="L220">
        <f>VLOOKUP(Table5[[#This Row],[Shortname]], Comp[], 9, FALSE)</f>
        <v>11.15</v>
      </c>
      <c r="M220">
        <f>VLOOKUP(Table5[[#This Row],[Shortname]], Comp[], 10, FALSE)</f>
        <v>0</v>
      </c>
      <c r="N220">
        <f>VLOOKUP(Table5[[#This Row],[Shortname]], Comp[], 11, FALSE)</f>
        <v>3.61</v>
      </c>
      <c r="O220">
        <f>VLOOKUP(Table5[[#This Row],[Shortname]], Comp[],12, FALSE)</f>
        <v>4.18</v>
      </c>
      <c r="P220">
        <f>VLOOKUP(Table5[[#This Row],[Shortname]], Comp[], 13, FALSE)</f>
        <v>0.85</v>
      </c>
      <c r="Q220">
        <f>VLOOKUP(Table5[[#This Row],[Shortname]], Comp[], 14, FALSE)</f>
        <v>0</v>
      </c>
      <c r="R220">
        <f>VLOOKUP(Table5[[#This Row],[Shortname]], Comp[], 15, FALSE)</f>
        <v>0</v>
      </c>
      <c r="S220">
        <f>VLOOKUP(Table5[[#This Row],[Shortname]], Comp[], 16, FALSE)</f>
        <v>0</v>
      </c>
      <c r="T220">
        <f>VLOOKUP(Table5[[#This Row],[Shortname]], Comp[], 17, FALSE)</f>
        <v>0</v>
      </c>
      <c r="U220">
        <f>VLOOKUP(Table5[[#This Row],[Shortname]], Comp[], 18, FALSE)</f>
        <v>0</v>
      </c>
      <c r="V220">
        <f>VLOOKUP(Table5[[#This Row],[Shortname]], Comp[], 19, FALSE)</f>
        <v>0</v>
      </c>
      <c r="W220">
        <f>VLOOKUP(Table5[[#This Row],[Shortname]], Comp[], 20, FALSE)</f>
        <v>0</v>
      </c>
      <c r="X220">
        <f>VLOOKUP(Table5[[#This Row],[Shortname]], Comp[], 21, FALSE)</f>
        <v>0</v>
      </c>
      <c r="Y220">
        <f>VLOOKUP(Table5[[#This Row],[Shortname]], Comp[], 22, FALSE)</f>
        <v>0</v>
      </c>
      <c r="Z220">
        <f>VLOOKUP(Table5[[#This Row],[Shortname]], Comp[], 23, FALSE)</f>
        <v>0</v>
      </c>
      <c r="AA220">
        <f>VLOOKUP(Table5[[#This Row],[Shortname]], Comp[], 24, FALSE)</f>
        <v>0</v>
      </c>
      <c r="AB220">
        <f>VLOOKUP(Table5[[#This Row],[Shortname]], Comp[], 25, FALSE)</f>
        <v>0</v>
      </c>
      <c r="AC220">
        <f>VLOOKUP(Table5[[#This Row],[Shortname]], Comp[], 26, FALSE)</f>
        <v>0</v>
      </c>
      <c r="AD220">
        <f>VLOOKUP(Table5[[#This Row],[Shortname]], Comp[], 27, FALSE)</f>
        <v>0</v>
      </c>
      <c r="AE220">
        <f>VLOOKUP(Table5[[#This Row],[Shortname]], Comp[], 28, FALSE)</f>
        <v>0</v>
      </c>
      <c r="AF220">
        <f>VLOOKUP(Table5[[#This Row],[Shortname]], Comp[], 29, FALSE)</f>
        <v>0</v>
      </c>
      <c r="AG220">
        <f>VLOOKUP(Table5[[#This Row],[Shortname]], Comp[], 30, FALSE)</f>
        <v>0</v>
      </c>
      <c r="AH220">
        <f>VLOOKUP(Table5[[#This Row],[Shortname]], Comp[], 31, FALSE)</f>
        <v>0</v>
      </c>
    </row>
    <row r="221" spans="1:34" x14ac:dyDescent="0.3">
      <c r="A221" t="s">
        <v>2110</v>
      </c>
      <c r="B221">
        <v>221</v>
      </c>
      <c r="C221" t="str">
        <f>VLOOKUP(Table5[[#This Row],[Shortname]], [1]!comp[#Data], 2, FALSE)</f>
        <v>CoAlWX+</v>
      </c>
      <c r="D221" t="s">
        <v>2112</v>
      </c>
      <c r="E221" t="s">
        <v>6719</v>
      </c>
      <c r="F221">
        <v>1196</v>
      </c>
      <c r="J221" s="14">
        <f>VLOOKUP(Table5[[#This Row],[Shortname]], Comp[], 7, FALSE)</f>
        <v>51.17</v>
      </c>
      <c r="K221">
        <f>VLOOKUP(Table5[[#This Row],[Shortname]], Comp[], 8, FALSE)</f>
        <v>29.38</v>
      </c>
      <c r="L221">
        <f>VLOOKUP(Table5[[#This Row],[Shortname]], Comp[], 9, FALSE)</f>
        <v>9.1300000000000008</v>
      </c>
      <c r="M221">
        <f>VLOOKUP(Table5[[#This Row],[Shortname]], Comp[], 10, FALSE)</f>
        <v>0</v>
      </c>
      <c r="N221">
        <f>VLOOKUP(Table5[[#This Row],[Shortname]], Comp[], 11, FALSE)</f>
        <v>5.32</v>
      </c>
      <c r="O221">
        <f>VLOOKUP(Table5[[#This Row],[Shortname]], Comp[],12, FALSE)</f>
        <v>4.13</v>
      </c>
      <c r="P221">
        <f>VLOOKUP(Table5[[#This Row],[Shortname]], Comp[], 13, FALSE)</f>
        <v>0.87</v>
      </c>
      <c r="Q221">
        <f>VLOOKUP(Table5[[#This Row],[Shortname]], Comp[], 14, FALSE)</f>
        <v>0</v>
      </c>
      <c r="R221">
        <f>VLOOKUP(Table5[[#This Row],[Shortname]], Comp[], 15, FALSE)</f>
        <v>0</v>
      </c>
      <c r="S221">
        <f>VLOOKUP(Table5[[#This Row],[Shortname]], Comp[], 16, FALSE)</f>
        <v>0</v>
      </c>
      <c r="T221">
        <f>VLOOKUP(Table5[[#This Row],[Shortname]], Comp[], 17, FALSE)</f>
        <v>0</v>
      </c>
      <c r="U221">
        <f>VLOOKUP(Table5[[#This Row],[Shortname]], Comp[], 18, FALSE)</f>
        <v>0</v>
      </c>
      <c r="V221">
        <f>VLOOKUP(Table5[[#This Row],[Shortname]], Comp[], 19, FALSE)</f>
        <v>0</v>
      </c>
      <c r="W221">
        <f>VLOOKUP(Table5[[#This Row],[Shortname]], Comp[], 20, FALSE)</f>
        <v>0</v>
      </c>
      <c r="X221">
        <f>VLOOKUP(Table5[[#This Row],[Shortname]], Comp[], 21, FALSE)</f>
        <v>0</v>
      </c>
      <c r="Y221">
        <f>VLOOKUP(Table5[[#This Row],[Shortname]], Comp[], 22, FALSE)</f>
        <v>0</v>
      </c>
      <c r="Z221">
        <f>VLOOKUP(Table5[[#This Row],[Shortname]], Comp[], 23, FALSE)</f>
        <v>0</v>
      </c>
      <c r="AA221">
        <f>VLOOKUP(Table5[[#This Row],[Shortname]], Comp[], 24, FALSE)</f>
        <v>0</v>
      </c>
      <c r="AB221">
        <f>VLOOKUP(Table5[[#This Row],[Shortname]], Comp[], 25, FALSE)</f>
        <v>0</v>
      </c>
      <c r="AC221">
        <f>VLOOKUP(Table5[[#This Row],[Shortname]], Comp[], 26, FALSE)</f>
        <v>0</v>
      </c>
      <c r="AD221">
        <f>VLOOKUP(Table5[[#This Row],[Shortname]], Comp[], 27, FALSE)</f>
        <v>0</v>
      </c>
      <c r="AE221">
        <f>VLOOKUP(Table5[[#This Row],[Shortname]], Comp[], 28, FALSE)</f>
        <v>0</v>
      </c>
      <c r="AF221">
        <f>VLOOKUP(Table5[[#This Row],[Shortname]], Comp[], 29, FALSE)</f>
        <v>0</v>
      </c>
      <c r="AG221">
        <f>VLOOKUP(Table5[[#This Row],[Shortname]], Comp[], 30, FALSE)</f>
        <v>0</v>
      </c>
      <c r="AH221">
        <f>VLOOKUP(Table5[[#This Row],[Shortname]], Comp[], 31, FALSE)</f>
        <v>0</v>
      </c>
    </row>
    <row r="222" spans="1:34" x14ac:dyDescent="0.3">
      <c r="A222" s="7" t="s">
        <v>4940</v>
      </c>
      <c r="B222">
        <v>222</v>
      </c>
      <c r="C222" s="7" t="str">
        <f>VLOOKUP(Table5[[#This Row],[Shortname]], [1]!comp[#Data], 2, FALSE)</f>
        <v>CoAlWX+</v>
      </c>
      <c r="D222" s="7" t="s">
        <v>4942</v>
      </c>
      <c r="E222" t="s">
        <v>6719</v>
      </c>
      <c r="F222">
        <v>1195</v>
      </c>
      <c r="J222" s="14">
        <f>VLOOKUP(Table5[[#This Row],[Shortname]], Comp[], 7, FALSE)</f>
        <v>80</v>
      </c>
      <c r="K222">
        <f>VLOOKUP(Table5[[#This Row],[Shortname]], Comp[], 8, FALSE)</f>
        <v>0</v>
      </c>
      <c r="L222">
        <f>VLOOKUP(Table5[[#This Row],[Shortname]], Comp[], 9, FALSE)</f>
        <v>5.3</v>
      </c>
      <c r="M222">
        <f>VLOOKUP(Table5[[#This Row],[Shortname]], Comp[], 10, FALSE)</f>
        <v>0</v>
      </c>
      <c r="N222">
        <f>VLOOKUP(Table5[[#This Row],[Shortname]], Comp[], 11, FALSE)</f>
        <v>9.6999999999999993</v>
      </c>
      <c r="O222">
        <f>VLOOKUP(Table5[[#This Row],[Shortname]], Comp[],12, FALSE)</f>
        <v>4</v>
      </c>
      <c r="P222">
        <f>VLOOKUP(Table5[[#This Row],[Shortname]], Comp[], 13, FALSE)</f>
        <v>1</v>
      </c>
      <c r="Q222">
        <f>VLOOKUP(Table5[[#This Row],[Shortname]], Comp[], 14, FALSE)</f>
        <v>0</v>
      </c>
      <c r="R222">
        <f>VLOOKUP(Table5[[#This Row],[Shortname]], Comp[], 15, FALSE)</f>
        <v>0</v>
      </c>
      <c r="S222">
        <f>VLOOKUP(Table5[[#This Row],[Shortname]], Comp[], 16, FALSE)</f>
        <v>0</v>
      </c>
      <c r="T222">
        <f>VLOOKUP(Table5[[#This Row],[Shortname]], Comp[], 17, FALSE)</f>
        <v>0</v>
      </c>
      <c r="U222">
        <f>VLOOKUP(Table5[[#This Row],[Shortname]], Comp[], 18, FALSE)</f>
        <v>0</v>
      </c>
      <c r="V222">
        <f>VLOOKUP(Table5[[#This Row],[Shortname]], Comp[], 19, FALSE)</f>
        <v>0</v>
      </c>
      <c r="W222">
        <f>VLOOKUP(Table5[[#This Row],[Shortname]], Comp[], 20, FALSE)</f>
        <v>0</v>
      </c>
      <c r="X222">
        <f>VLOOKUP(Table5[[#This Row],[Shortname]], Comp[], 21, FALSE)</f>
        <v>0</v>
      </c>
      <c r="Y222">
        <f>VLOOKUP(Table5[[#This Row],[Shortname]], Comp[], 22, FALSE)</f>
        <v>0</v>
      </c>
      <c r="Z222">
        <f>VLOOKUP(Table5[[#This Row],[Shortname]], Comp[], 23, FALSE)</f>
        <v>0</v>
      </c>
      <c r="AA222">
        <f>VLOOKUP(Table5[[#This Row],[Shortname]], Comp[], 24, FALSE)</f>
        <v>0</v>
      </c>
      <c r="AB222">
        <f>VLOOKUP(Table5[[#This Row],[Shortname]], Comp[], 25, FALSE)</f>
        <v>0</v>
      </c>
      <c r="AC222">
        <f>VLOOKUP(Table5[[#This Row],[Shortname]], Comp[], 26, FALSE)</f>
        <v>0</v>
      </c>
      <c r="AD222">
        <f>VLOOKUP(Table5[[#This Row],[Shortname]], Comp[], 27, FALSE)</f>
        <v>0</v>
      </c>
      <c r="AE222">
        <f>VLOOKUP(Table5[[#This Row],[Shortname]], Comp[], 28, FALSE)</f>
        <v>0</v>
      </c>
      <c r="AF222">
        <f>VLOOKUP(Table5[[#This Row],[Shortname]], Comp[], 29, FALSE)</f>
        <v>0</v>
      </c>
      <c r="AG222">
        <f>VLOOKUP(Table5[[#This Row],[Shortname]], Comp[], 30, FALSE)</f>
        <v>0</v>
      </c>
      <c r="AH222">
        <f>VLOOKUP(Table5[[#This Row],[Shortname]], Comp[], 31, FALSE)</f>
        <v>0</v>
      </c>
    </row>
    <row r="223" spans="1:34" x14ac:dyDescent="0.3">
      <c r="A223" t="s">
        <v>4954</v>
      </c>
      <c r="B223">
        <v>223</v>
      </c>
      <c r="C223" t="str">
        <f>VLOOKUP(Table5[[#This Row],[Shortname]], [1]!comp[#Data], 2, FALSE)</f>
        <v>CoAlWX+</v>
      </c>
      <c r="D223" t="s">
        <v>4849</v>
      </c>
      <c r="E223" t="s">
        <v>6719</v>
      </c>
      <c r="F223">
        <v>1193</v>
      </c>
      <c r="J223" s="14">
        <f>VLOOKUP(Table5[[#This Row],[Shortname]], Comp[], 7, FALSE)</f>
        <v>60</v>
      </c>
      <c r="K223">
        <f>VLOOKUP(Table5[[#This Row],[Shortname]], Comp[], 8, FALSE)</f>
        <v>20</v>
      </c>
      <c r="L223">
        <f>VLOOKUP(Table5[[#This Row],[Shortname]], Comp[], 9, FALSE)</f>
        <v>9.6</v>
      </c>
      <c r="M223">
        <f>VLOOKUP(Table5[[#This Row],[Shortname]], Comp[], 10, FALSE)</f>
        <v>0</v>
      </c>
      <c r="N223">
        <f>VLOOKUP(Table5[[#This Row],[Shortname]], Comp[], 11, FALSE)</f>
        <v>5.4</v>
      </c>
      <c r="O223">
        <f>VLOOKUP(Table5[[#This Row],[Shortname]], Comp[],12, FALSE)</f>
        <v>4</v>
      </c>
      <c r="P223">
        <f>VLOOKUP(Table5[[#This Row],[Shortname]], Comp[], 13, FALSE)</f>
        <v>1</v>
      </c>
      <c r="Q223">
        <f>VLOOKUP(Table5[[#This Row],[Shortname]], Comp[], 14, FALSE)</f>
        <v>0</v>
      </c>
      <c r="R223">
        <f>VLOOKUP(Table5[[#This Row],[Shortname]], Comp[], 15, FALSE)</f>
        <v>0</v>
      </c>
      <c r="S223">
        <f>VLOOKUP(Table5[[#This Row],[Shortname]], Comp[], 16, FALSE)</f>
        <v>0</v>
      </c>
      <c r="T223">
        <f>VLOOKUP(Table5[[#This Row],[Shortname]], Comp[], 17, FALSE)</f>
        <v>0</v>
      </c>
      <c r="U223">
        <f>VLOOKUP(Table5[[#This Row],[Shortname]], Comp[], 18, FALSE)</f>
        <v>0</v>
      </c>
      <c r="V223">
        <f>VLOOKUP(Table5[[#This Row],[Shortname]], Comp[], 19, FALSE)</f>
        <v>0</v>
      </c>
      <c r="W223">
        <f>VLOOKUP(Table5[[#This Row],[Shortname]], Comp[], 20, FALSE)</f>
        <v>0</v>
      </c>
      <c r="X223">
        <f>VLOOKUP(Table5[[#This Row],[Shortname]], Comp[], 21, FALSE)</f>
        <v>0</v>
      </c>
      <c r="Y223">
        <f>VLOOKUP(Table5[[#This Row],[Shortname]], Comp[], 22, FALSE)</f>
        <v>0</v>
      </c>
      <c r="Z223">
        <f>VLOOKUP(Table5[[#This Row],[Shortname]], Comp[], 23, FALSE)</f>
        <v>0</v>
      </c>
      <c r="AA223">
        <f>VLOOKUP(Table5[[#This Row],[Shortname]], Comp[], 24, FALSE)</f>
        <v>0</v>
      </c>
      <c r="AB223">
        <f>VLOOKUP(Table5[[#This Row],[Shortname]], Comp[], 25, FALSE)</f>
        <v>0</v>
      </c>
      <c r="AC223">
        <f>VLOOKUP(Table5[[#This Row],[Shortname]], Comp[], 26, FALSE)</f>
        <v>0</v>
      </c>
      <c r="AD223">
        <f>VLOOKUP(Table5[[#This Row],[Shortname]], Comp[], 27, FALSE)</f>
        <v>0</v>
      </c>
      <c r="AE223">
        <f>VLOOKUP(Table5[[#This Row],[Shortname]], Comp[], 28, FALSE)</f>
        <v>0</v>
      </c>
      <c r="AF223">
        <f>VLOOKUP(Table5[[#This Row],[Shortname]], Comp[], 29, FALSE)</f>
        <v>0</v>
      </c>
      <c r="AG223">
        <f>VLOOKUP(Table5[[#This Row],[Shortname]], Comp[], 30, FALSE)</f>
        <v>0</v>
      </c>
      <c r="AH223">
        <f>VLOOKUP(Table5[[#This Row],[Shortname]], Comp[], 31, FALSE)</f>
        <v>0</v>
      </c>
    </row>
    <row r="224" spans="1:34" x14ac:dyDescent="0.3">
      <c r="A224" t="s">
        <v>2084</v>
      </c>
      <c r="B224">
        <v>224</v>
      </c>
      <c r="C224" t="str">
        <f>VLOOKUP(Table5[[#This Row],[Shortname]], [1]!comp[#Data], 2, FALSE)</f>
        <v>CoAlWX+</v>
      </c>
      <c r="D224" t="s">
        <v>2086</v>
      </c>
      <c r="E224" t="s">
        <v>6719</v>
      </c>
      <c r="F224">
        <v>1170</v>
      </c>
      <c r="J224" s="14">
        <f>VLOOKUP(Table5[[#This Row],[Shortname]], Comp[], 7, FALSE)</f>
        <v>60.34</v>
      </c>
      <c r="K224">
        <f>VLOOKUP(Table5[[#This Row],[Shortname]], Comp[], 8, FALSE)</f>
        <v>19.8</v>
      </c>
      <c r="L224">
        <f>VLOOKUP(Table5[[#This Row],[Shortname]], Comp[], 9, FALSE)</f>
        <v>9.35</v>
      </c>
      <c r="M224">
        <f>VLOOKUP(Table5[[#This Row],[Shortname]], Comp[], 10, FALSE)</f>
        <v>0</v>
      </c>
      <c r="N224">
        <f>VLOOKUP(Table5[[#This Row],[Shortname]], Comp[], 11, FALSE)</f>
        <v>5.39</v>
      </c>
      <c r="O224">
        <f>VLOOKUP(Table5[[#This Row],[Shortname]], Comp[],12, FALSE)</f>
        <v>4.26</v>
      </c>
      <c r="P224">
        <f>VLOOKUP(Table5[[#This Row],[Shortname]], Comp[], 13, FALSE)</f>
        <v>0.86</v>
      </c>
      <c r="Q224">
        <f>VLOOKUP(Table5[[#This Row],[Shortname]], Comp[], 14, FALSE)</f>
        <v>0</v>
      </c>
      <c r="R224">
        <f>VLOOKUP(Table5[[#This Row],[Shortname]], Comp[], 15, FALSE)</f>
        <v>0</v>
      </c>
      <c r="S224">
        <f>VLOOKUP(Table5[[#This Row],[Shortname]], Comp[], 16, FALSE)</f>
        <v>0</v>
      </c>
      <c r="T224">
        <f>VLOOKUP(Table5[[#This Row],[Shortname]], Comp[], 17, FALSE)</f>
        <v>0</v>
      </c>
      <c r="U224">
        <f>VLOOKUP(Table5[[#This Row],[Shortname]], Comp[], 18, FALSE)</f>
        <v>0</v>
      </c>
      <c r="V224">
        <f>VLOOKUP(Table5[[#This Row],[Shortname]], Comp[], 19, FALSE)</f>
        <v>0</v>
      </c>
      <c r="W224">
        <f>VLOOKUP(Table5[[#This Row],[Shortname]], Comp[], 20, FALSE)</f>
        <v>0</v>
      </c>
      <c r="X224">
        <f>VLOOKUP(Table5[[#This Row],[Shortname]], Comp[], 21, FALSE)</f>
        <v>0</v>
      </c>
      <c r="Y224">
        <f>VLOOKUP(Table5[[#This Row],[Shortname]], Comp[], 22, FALSE)</f>
        <v>0</v>
      </c>
      <c r="Z224">
        <f>VLOOKUP(Table5[[#This Row],[Shortname]], Comp[], 23, FALSE)</f>
        <v>0</v>
      </c>
      <c r="AA224">
        <f>VLOOKUP(Table5[[#This Row],[Shortname]], Comp[], 24, FALSE)</f>
        <v>0</v>
      </c>
      <c r="AB224">
        <f>VLOOKUP(Table5[[#This Row],[Shortname]], Comp[], 25, FALSE)</f>
        <v>0</v>
      </c>
      <c r="AC224">
        <f>VLOOKUP(Table5[[#This Row],[Shortname]], Comp[], 26, FALSE)</f>
        <v>0</v>
      </c>
      <c r="AD224">
        <f>VLOOKUP(Table5[[#This Row],[Shortname]], Comp[], 27, FALSE)</f>
        <v>0</v>
      </c>
      <c r="AE224">
        <f>VLOOKUP(Table5[[#This Row],[Shortname]], Comp[], 28, FALSE)</f>
        <v>0</v>
      </c>
      <c r="AF224">
        <f>VLOOKUP(Table5[[#This Row],[Shortname]], Comp[], 29, FALSE)</f>
        <v>0</v>
      </c>
      <c r="AG224">
        <f>VLOOKUP(Table5[[#This Row],[Shortname]], Comp[], 30, FALSE)</f>
        <v>0</v>
      </c>
      <c r="AH224">
        <f>VLOOKUP(Table5[[#This Row],[Shortname]], Comp[], 31, FALSE)</f>
        <v>0</v>
      </c>
    </row>
    <row r="225" spans="1:34" x14ac:dyDescent="0.3">
      <c r="A225" t="s">
        <v>2093</v>
      </c>
      <c r="B225">
        <v>225</v>
      </c>
      <c r="C225" t="str">
        <f>VLOOKUP(Table5[[#This Row],[Shortname]], [1]!comp[#Data], 2, FALSE)</f>
        <v>CoAlWX+</v>
      </c>
      <c r="D225" t="s">
        <v>2095</v>
      </c>
      <c r="E225" t="s">
        <v>6719</v>
      </c>
      <c r="F225">
        <v>1164</v>
      </c>
      <c r="J225" s="14">
        <f>VLOOKUP(Table5[[#This Row],[Shortname]], Comp[], 7, FALSE)</f>
        <v>59.87</v>
      </c>
      <c r="K225">
        <f>VLOOKUP(Table5[[#This Row],[Shortname]], Comp[], 8, FALSE)</f>
        <v>20.16</v>
      </c>
      <c r="L225">
        <f>VLOOKUP(Table5[[#This Row],[Shortname]], Comp[], 9, FALSE)</f>
        <v>11.18</v>
      </c>
      <c r="M225">
        <f>VLOOKUP(Table5[[#This Row],[Shortname]], Comp[], 10, FALSE)</f>
        <v>0</v>
      </c>
      <c r="N225">
        <f>VLOOKUP(Table5[[#This Row],[Shortname]], Comp[], 11, FALSE)</f>
        <v>3.73</v>
      </c>
      <c r="O225">
        <f>VLOOKUP(Table5[[#This Row],[Shortname]], Comp[],12, FALSE)</f>
        <v>4.22</v>
      </c>
      <c r="P225">
        <f>VLOOKUP(Table5[[#This Row],[Shortname]], Comp[], 13, FALSE)</f>
        <v>0.84</v>
      </c>
      <c r="Q225">
        <f>VLOOKUP(Table5[[#This Row],[Shortname]], Comp[], 14, FALSE)</f>
        <v>0</v>
      </c>
      <c r="R225">
        <f>VLOOKUP(Table5[[#This Row],[Shortname]], Comp[], 15, FALSE)</f>
        <v>0</v>
      </c>
      <c r="S225">
        <f>VLOOKUP(Table5[[#This Row],[Shortname]], Comp[], 16, FALSE)</f>
        <v>0</v>
      </c>
      <c r="T225">
        <f>VLOOKUP(Table5[[#This Row],[Shortname]], Comp[], 17, FALSE)</f>
        <v>0</v>
      </c>
      <c r="U225">
        <f>VLOOKUP(Table5[[#This Row],[Shortname]], Comp[], 18, FALSE)</f>
        <v>0</v>
      </c>
      <c r="V225">
        <f>VLOOKUP(Table5[[#This Row],[Shortname]], Comp[], 19, FALSE)</f>
        <v>0</v>
      </c>
      <c r="W225">
        <f>VLOOKUP(Table5[[#This Row],[Shortname]], Comp[], 20, FALSE)</f>
        <v>0</v>
      </c>
      <c r="X225">
        <f>VLOOKUP(Table5[[#This Row],[Shortname]], Comp[], 21, FALSE)</f>
        <v>0</v>
      </c>
      <c r="Y225">
        <f>VLOOKUP(Table5[[#This Row],[Shortname]], Comp[], 22, FALSE)</f>
        <v>0</v>
      </c>
      <c r="Z225">
        <f>VLOOKUP(Table5[[#This Row],[Shortname]], Comp[], 23, FALSE)</f>
        <v>0</v>
      </c>
      <c r="AA225">
        <f>VLOOKUP(Table5[[#This Row],[Shortname]], Comp[], 24, FALSE)</f>
        <v>0</v>
      </c>
      <c r="AB225">
        <f>VLOOKUP(Table5[[#This Row],[Shortname]], Comp[], 25, FALSE)</f>
        <v>0</v>
      </c>
      <c r="AC225">
        <f>VLOOKUP(Table5[[#This Row],[Shortname]], Comp[], 26, FALSE)</f>
        <v>0</v>
      </c>
      <c r="AD225">
        <f>VLOOKUP(Table5[[#This Row],[Shortname]], Comp[], 27, FALSE)</f>
        <v>0</v>
      </c>
      <c r="AE225">
        <f>VLOOKUP(Table5[[#This Row],[Shortname]], Comp[], 28, FALSE)</f>
        <v>0</v>
      </c>
      <c r="AF225">
        <f>VLOOKUP(Table5[[#This Row],[Shortname]], Comp[], 29, FALSE)</f>
        <v>0</v>
      </c>
      <c r="AG225">
        <f>VLOOKUP(Table5[[#This Row],[Shortname]], Comp[], 30, FALSE)</f>
        <v>0</v>
      </c>
      <c r="AH225">
        <f>VLOOKUP(Table5[[#This Row],[Shortname]], Comp[], 31, FALSE)</f>
        <v>0</v>
      </c>
    </row>
    <row r="226" spans="1:34" x14ac:dyDescent="0.3">
      <c r="A226" s="7" t="s">
        <v>2118</v>
      </c>
      <c r="B226">
        <v>226</v>
      </c>
      <c r="C226" s="7" t="str">
        <f>VLOOKUP(Table5[[#This Row],[Shortname]], [1]!comp[#Data], 2, FALSE)</f>
        <v>CoAlWX+</v>
      </c>
      <c r="D226" s="7" t="s">
        <v>2120</v>
      </c>
      <c r="E226" t="s">
        <v>6719</v>
      </c>
      <c r="F226">
        <v>1131</v>
      </c>
      <c r="J226" s="14">
        <f>VLOOKUP(Table5[[#This Row],[Shortname]], Comp[], 7, FALSE)</f>
        <v>80</v>
      </c>
      <c r="K226">
        <f>VLOOKUP(Table5[[#This Row],[Shortname]], Comp[], 8, FALSE)</f>
        <v>0</v>
      </c>
      <c r="L226">
        <f>VLOOKUP(Table5[[#This Row],[Shortname]], Comp[], 9, FALSE)</f>
        <v>7</v>
      </c>
      <c r="M226">
        <f>VLOOKUP(Table5[[#This Row],[Shortname]], Comp[], 10, FALSE)</f>
        <v>0</v>
      </c>
      <c r="N226">
        <f>VLOOKUP(Table5[[#This Row],[Shortname]], Comp[], 11, FALSE)</f>
        <v>8</v>
      </c>
      <c r="O226">
        <f>VLOOKUP(Table5[[#This Row],[Shortname]], Comp[],12, FALSE)</f>
        <v>4</v>
      </c>
      <c r="P226">
        <f>VLOOKUP(Table5[[#This Row],[Shortname]], Comp[], 13, FALSE)</f>
        <v>1</v>
      </c>
      <c r="Q226">
        <f>VLOOKUP(Table5[[#This Row],[Shortname]], Comp[], 14, FALSE)</f>
        <v>0</v>
      </c>
      <c r="R226">
        <f>VLOOKUP(Table5[[#This Row],[Shortname]], Comp[], 15, FALSE)</f>
        <v>0</v>
      </c>
      <c r="S226">
        <f>VLOOKUP(Table5[[#This Row],[Shortname]], Comp[], 16, FALSE)</f>
        <v>0</v>
      </c>
      <c r="T226">
        <f>VLOOKUP(Table5[[#This Row],[Shortname]], Comp[], 17, FALSE)</f>
        <v>0</v>
      </c>
      <c r="U226">
        <f>VLOOKUP(Table5[[#This Row],[Shortname]], Comp[], 18, FALSE)</f>
        <v>0</v>
      </c>
      <c r="V226">
        <f>VLOOKUP(Table5[[#This Row],[Shortname]], Comp[], 19, FALSE)</f>
        <v>0</v>
      </c>
      <c r="W226">
        <f>VLOOKUP(Table5[[#This Row],[Shortname]], Comp[], 20, FALSE)</f>
        <v>0</v>
      </c>
      <c r="X226">
        <f>VLOOKUP(Table5[[#This Row],[Shortname]], Comp[], 21, FALSE)</f>
        <v>0</v>
      </c>
      <c r="Y226">
        <f>VLOOKUP(Table5[[#This Row],[Shortname]], Comp[], 22, FALSE)</f>
        <v>0</v>
      </c>
      <c r="Z226">
        <f>VLOOKUP(Table5[[#This Row],[Shortname]], Comp[], 23, FALSE)</f>
        <v>0</v>
      </c>
      <c r="AA226">
        <f>VLOOKUP(Table5[[#This Row],[Shortname]], Comp[], 24, FALSE)</f>
        <v>0</v>
      </c>
      <c r="AB226">
        <f>VLOOKUP(Table5[[#This Row],[Shortname]], Comp[], 25, FALSE)</f>
        <v>0</v>
      </c>
      <c r="AC226">
        <f>VLOOKUP(Table5[[#This Row],[Shortname]], Comp[], 26, FALSE)</f>
        <v>0</v>
      </c>
      <c r="AD226">
        <f>VLOOKUP(Table5[[#This Row],[Shortname]], Comp[], 27, FALSE)</f>
        <v>0</v>
      </c>
      <c r="AE226">
        <f>VLOOKUP(Table5[[#This Row],[Shortname]], Comp[], 28, FALSE)</f>
        <v>0</v>
      </c>
      <c r="AF226">
        <f>VLOOKUP(Table5[[#This Row],[Shortname]], Comp[], 29, FALSE)</f>
        <v>0</v>
      </c>
      <c r="AG226">
        <f>VLOOKUP(Table5[[#This Row],[Shortname]], Comp[], 30, FALSE)</f>
        <v>0</v>
      </c>
      <c r="AH226">
        <f>VLOOKUP(Table5[[#This Row],[Shortname]], Comp[], 31, FALSE)</f>
        <v>0</v>
      </c>
    </row>
    <row r="227" spans="1:34" x14ac:dyDescent="0.3">
      <c r="A227" t="s">
        <v>4946</v>
      </c>
      <c r="B227">
        <v>227</v>
      </c>
      <c r="C227" t="str">
        <f>VLOOKUP(Table5[[#This Row],[Shortname]], [1]!comp[#Data], 2, FALSE)</f>
        <v>CoAlWX+</v>
      </c>
      <c r="D227" t="s">
        <v>4948</v>
      </c>
      <c r="E227" t="s">
        <v>6719</v>
      </c>
      <c r="F227">
        <v>1126</v>
      </c>
      <c r="J227" s="14">
        <f>VLOOKUP(Table5[[#This Row],[Shortname]], Comp[], 7, FALSE)</f>
        <v>70</v>
      </c>
      <c r="K227">
        <f>VLOOKUP(Table5[[#This Row],[Shortname]], Comp[], 8, FALSE)</f>
        <v>10</v>
      </c>
      <c r="L227">
        <f>VLOOKUP(Table5[[#This Row],[Shortname]], Comp[], 9, FALSE)</f>
        <v>1.3</v>
      </c>
      <c r="M227">
        <f>VLOOKUP(Table5[[#This Row],[Shortname]], Comp[], 10, FALSE)</f>
        <v>0</v>
      </c>
      <c r="N227">
        <f>VLOOKUP(Table5[[#This Row],[Shortname]], Comp[], 11, FALSE)</f>
        <v>13.7</v>
      </c>
      <c r="O227">
        <f>VLOOKUP(Table5[[#This Row],[Shortname]], Comp[],12, FALSE)</f>
        <v>4</v>
      </c>
      <c r="P227">
        <f>VLOOKUP(Table5[[#This Row],[Shortname]], Comp[], 13, FALSE)</f>
        <v>1</v>
      </c>
      <c r="Q227">
        <f>VLOOKUP(Table5[[#This Row],[Shortname]], Comp[], 14, FALSE)</f>
        <v>0</v>
      </c>
      <c r="R227">
        <f>VLOOKUP(Table5[[#This Row],[Shortname]], Comp[], 15, FALSE)</f>
        <v>0</v>
      </c>
      <c r="S227">
        <f>VLOOKUP(Table5[[#This Row],[Shortname]], Comp[], 16, FALSE)</f>
        <v>0</v>
      </c>
      <c r="T227">
        <f>VLOOKUP(Table5[[#This Row],[Shortname]], Comp[], 17, FALSE)</f>
        <v>0</v>
      </c>
      <c r="U227">
        <f>VLOOKUP(Table5[[#This Row],[Shortname]], Comp[], 18, FALSE)</f>
        <v>0</v>
      </c>
      <c r="V227">
        <f>VLOOKUP(Table5[[#This Row],[Shortname]], Comp[], 19, FALSE)</f>
        <v>0</v>
      </c>
      <c r="W227">
        <f>VLOOKUP(Table5[[#This Row],[Shortname]], Comp[], 20, FALSE)</f>
        <v>0</v>
      </c>
      <c r="X227">
        <f>VLOOKUP(Table5[[#This Row],[Shortname]], Comp[], 21, FALSE)</f>
        <v>0</v>
      </c>
      <c r="Y227">
        <f>VLOOKUP(Table5[[#This Row],[Shortname]], Comp[], 22, FALSE)</f>
        <v>0</v>
      </c>
      <c r="Z227">
        <f>VLOOKUP(Table5[[#This Row],[Shortname]], Comp[], 23, FALSE)</f>
        <v>0</v>
      </c>
      <c r="AA227">
        <f>VLOOKUP(Table5[[#This Row],[Shortname]], Comp[], 24, FALSE)</f>
        <v>0</v>
      </c>
      <c r="AB227">
        <f>VLOOKUP(Table5[[#This Row],[Shortname]], Comp[], 25, FALSE)</f>
        <v>0</v>
      </c>
      <c r="AC227">
        <f>VLOOKUP(Table5[[#This Row],[Shortname]], Comp[], 26, FALSE)</f>
        <v>0</v>
      </c>
      <c r="AD227">
        <f>VLOOKUP(Table5[[#This Row],[Shortname]], Comp[], 27, FALSE)</f>
        <v>0</v>
      </c>
      <c r="AE227">
        <f>VLOOKUP(Table5[[#This Row],[Shortname]], Comp[], 28, FALSE)</f>
        <v>0</v>
      </c>
      <c r="AF227">
        <f>VLOOKUP(Table5[[#This Row],[Shortname]], Comp[], 29, FALSE)</f>
        <v>0</v>
      </c>
      <c r="AG227">
        <f>VLOOKUP(Table5[[#This Row],[Shortname]], Comp[], 30, FALSE)</f>
        <v>0</v>
      </c>
      <c r="AH227">
        <f>VLOOKUP(Table5[[#This Row],[Shortname]], Comp[], 31, FALSE)</f>
        <v>0</v>
      </c>
    </row>
    <row r="228" spans="1:34" x14ac:dyDescent="0.3">
      <c r="A228" t="s">
        <v>1653</v>
      </c>
      <c r="B228">
        <v>228</v>
      </c>
      <c r="C228" t="str">
        <f>VLOOKUP(Table5[[#This Row],[Shortname]], [1]!comp[#Data], 2, FALSE)</f>
        <v>CoAlWX+</v>
      </c>
      <c r="D228" t="s">
        <v>2139</v>
      </c>
      <c r="E228" t="s">
        <v>6611</v>
      </c>
      <c r="F228">
        <v>1173</v>
      </c>
      <c r="J228" s="14">
        <f>VLOOKUP(Table5[[#This Row],[Shortname]], Comp[], 7, FALSE)</f>
        <v>45</v>
      </c>
      <c r="K228">
        <f>VLOOKUP(Table5[[#This Row],[Shortname]], Comp[], 8, FALSE)</f>
        <v>30</v>
      </c>
      <c r="L228">
        <f>VLOOKUP(Table5[[#This Row],[Shortname]], Comp[], 9, FALSE)</f>
        <v>11</v>
      </c>
      <c r="M228">
        <f>VLOOKUP(Table5[[#This Row],[Shortname]], Comp[], 10, FALSE)</f>
        <v>5</v>
      </c>
      <c r="N228">
        <f>VLOOKUP(Table5[[#This Row],[Shortname]], Comp[], 11, FALSE)</f>
        <v>4</v>
      </c>
      <c r="O228">
        <f>VLOOKUP(Table5[[#This Row],[Shortname]], Comp[],12, FALSE)</f>
        <v>4</v>
      </c>
      <c r="P228">
        <f>VLOOKUP(Table5[[#This Row],[Shortname]], Comp[], 13, FALSE)</f>
        <v>1</v>
      </c>
      <c r="Q228">
        <f>VLOOKUP(Table5[[#This Row],[Shortname]], Comp[], 14, FALSE)</f>
        <v>0</v>
      </c>
      <c r="R228">
        <f>VLOOKUP(Table5[[#This Row],[Shortname]], Comp[], 15, FALSE)</f>
        <v>0</v>
      </c>
      <c r="S228">
        <f>VLOOKUP(Table5[[#This Row],[Shortname]], Comp[], 16, FALSE)</f>
        <v>0</v>
      </c>
      <c r="T228">
        <f>VLOOKUP(Table5[[#This Row],[Shortname]], Comp[], 17, FALSE)</f>
        <v>0</v>
      </c>
      <c r="U228">
        <f>VLOOKUP(Table5[[#This Row],[Shortname]], Comp[], 18, FALSE)</f>
        <v>0</v>
      </c>
      <c r="V228">
        <f>VLOOKUP(Table5[[#This Row],[Shortname]], Comp[], 19, FALSE)</f>
        <v>0</v>
      </c>
      <c r="W228">
        <f>VLOOKUP(Table5[[#This Row],[Shortname]], Comp[], 20, FALSE)</f>
        <v>0</v>
      </c>
      <c r="X228">
        <f>VLOOKUP(Table5[[#This Row],[Shortname]], Comp[], 21, FALSE)</f>
        <v>0</v>
      </c>
      <c r="Y228">
        <f>VLOOKUP(Table5[[#This Row],[Shortname]], Comp[], 22, FALSE)</f>
        <v>0</v>
      </c>
      <c r="Z228">
        <f>VLOOKUP(Table5[[#This Row],[Shortname]], Comp[], 23, FALSE)</f>
        <v>0</v>
      </c>
      <c r="AA228">
        <f>VLOOKUP(Table5[[#This Row],[Shortname]], Comp[], 24, FALSE)</f>
        <v>0</v>
      </c>
      <c r="AB228">
        <f>VLOOKUP(Table5[[#This Row],[Shortname]], Comp[], 25, FALSE)</f>
        <v>0</v>
      </c>
      <c r="AC228">
        <f>VLOOKUP(Table5[[#This Row],[Shortname]], Comp[], 26, FALSE)</f>
        <v>0</v>
      </c>
      <c r="AD228">
        <f>VLOOKUP(Table5[[#This Row],[Shortname]], Comp[], 27, FALSE)</f>
        <v>0</v>
      </c>
      <c r="AE228">
        <f>VLOOKUP(Table5[[#This Row],[Shortname]], Comp[], 28, FALSE)</f>
        <v>0</v>
      </c>
      <c r="AF228">
        <f>VLOOKUP(Table5[[#This Row],[Shortname]], Comp[], 29, FALSE)</f>
        <v>0</v>
      </c>
      <c r="AG228">
        <f>VLOOKUP(Table5[[#This Row],[Shortname]], Comp[], 30, FALSE)</f>
        <v>0</v>
      </c>
      <c r="AH228">
        <f>VLOOKUP(Table5[[#This Row],[Shortname]], Comp[], 31, FALSE)</f>
        <v>0</v>
      </c>
    </row>
    <row r="229" spans="1:34" x14ac:dyDescent="0.3">
      <c r="A229" s="8" t="s">
        <v>2124</v>
      </c>
      <c r="B229">
        <v>229</v>
      </c>
      <c r="C229" s="8" t="str">
        <f>VLOOKUP(Table5[[#This Row],[Shortname]], [1]!comp[#Data], 2, FALSE)</f>
        <v>CoAlWX+</v>
      </c>
      <c r="D229" s="8" t="s">
        <v>2126</v>
      </c>
      <c r="E229" t="s">
        <v>6611</v>
      </c>
      <c r="F229">
        <v>1170</v>
      </c>
      <c r="J229" s="14">
        <f>VLOOKUP(Table5[[#This Row],[Shortname]], Comp[], 7, FALSE)</f>
        <v>45</v>
      </c>
      <c r="K229">
        <f>VLOOKUP(Table5[[#This Row],[Shortname]], Comp[], 8, FALSE)</f>
        <v>30</v>
      </c>
      <c r="L229">
        <f>VLOOKUP(Table5[[#This Row],[Shortname]], Comp[], 9, FALSE)</f>
        <v>9</v>
      </c>
      <c r="M229">
        <f>VLOOKUP(Table5[[#This Row],[Shortname]], Comp[], 10, FALSE)</f>
        <v>5</v>
      </c>
      <c r="N229">
        <f>VLOOKUP(Table5[[#This Row],[Shortname]], Comp[], 11, FALSE)</f>
        <v>6</v>
      </c>
      <c r="O229">
        <f>VLOOKUP(Table5[[#This Row],[Shortname]], Comp[],12, FALSE)</f>
        <v>4</v>
      </c>
      <c r="P229">
        <f>VLOOKUP(Table5[[#This Row],[Shortname]], Comp[], 13, FALSE)</f>
        <v>1</v>
      </c>
      <c r="Q229">
        <f>VLOOKUP(Table5[[#This Row],[Shortname]], Comp[], 14, FALSE)</f>
        <v>0</v>
      </c>
      <c r="R229">
        <f>VLOOKUP(Table5[[#This Row],[Shortname]], Comp[], 15, FALSE)</f>
        <v>0</v>
      </c>
      <c r="S229">
        <f>VLOOKUP(Table5[[#This Row],[Shortname]], Comp[], 16, FALSE)</f>
        <v>0</v>
      </c>
      <c r="T229">
        <f>VLOOKUP(Table5[[#This Row],[Shortname]], Comp[], 17, FALSE)</f>
        <v>0</v>
      </c>
      <c r="U229">
        <f>VLOOKUP(Table5[[#This Row],[Shortname]], Comp[], 18, FALSE)</f>
        <v>0</v>
      </c>
      <c r="V229">
        <f>VLOOKUP(Table5[[#This Row],[Shortname]], Comp[], 19, FALSE)</f>
        <v>0</v>
      </c>
      <c r="W229">
        <f>VLOOKUP(Table5[[#This Row],[Shortname]], Comp[], 20, FALSE)</f>
        <v>0</v>
      </c>
      <c r="X229">
        <f>VLOOKUP(Table5[[#This Row],[Shortname]], Comp[], 21, FALSE)</f>
        <v>0</v>
      </c>
      <c r="Y229">
        <f>VLOOKUP(Table5[[#This Row],[Shortname]], Comp[], 22, FALSE)</f>
        <v>0</v>
      </c>
      <c r="Z229">
        <f>VLOOKUP(Table5[[#This Row],[Shortname]], Comp[], 23, FALSE)</f>
        <v>0</v>
      </c>
      <c r="AA229">
        <f>VLOOKUP(Table5[[#This Row],[Shortname]], Comp[], 24, FALSE)</f>
        <v>0</v>
      </c>
      <c r="AB229">
        <f>VLOOKUP(Table5[[#This Row],[Shortname]], Comp[], 25, FALSE)</f>
        <v>0</v>
      </c>
      <c r="AC229">
        <f>VLOOKUP(Table5[[#This Row],[Shortname]], Comp[], 26, FALSE)</f>
        <v>0</v>
      </c>
      <c r="AD229">
        <f>VLOOKUP(Table5[[#This Row],[Shortname]], Comp[], 27, FALSE)</f>
        <v>0</v>
      </c>
      <c r="AE229">
        <f>VLOOKUP(Table5[[#This Row],[Shortname]], Comp[], 28, FALSE)</f>
        <v>0</v>
      </c>
      <c r="AF229">
        <f>VLOOKUP(Table5[[#This Row],[Shortname]], Comp[], 29, FALSE)</f>
        <v>0</v>
      </c>
      <c r="AG229">
        <f>VLOOKUP(Table5[[#This Row],[Shortname]], Comp[], 30, FALSE)</f>
        <v>0</v>
      </c>
      <c r="AH229">
        <f>VLOOKUP(Table5[[#This Row],[Shortname]], Comp[], 31, FALSE)</f>
        <v>0</v>
      </c>
    </row>
    <row r="230" spans="1:34" x14ac:dyDescent="0.3">
      <c r="A230" t="s">
        <v>2132</v>
      </c>
      <c r="B230">
        <v>230</v>
      </c>
      <c r="C230" t="str">
        <f>VLOOKUP(Table5[[#This Row],[Shortname]], [1]!comp[#Data], 2, FALSE)</f>
        <v>CoAlWX+</v>
      </c>
      <c r="D230" t="s">
        <v>2134</v>
      </c>
      <c r="E230" t="s">
        <v>6611</v>
      </c>
      <c r="F230">
        <v>1140</v>
      </c>
      <c r="J230" s="14">
        <f>VLOOKUP(Table5[[#This Row],[Shortname]], Comp[], 7, FALSE)</f>
        <v>41</v>
      </c>
      <c r="K230">
        <f>VLOOKUP(Table5[[#This Row],[Shortname]], Comp[], 8, FALSE)</f>
        <v>30</v>
      </c>
      <c r="L230">
        <f>VLOOKUP(Table5[[#This Row],[Shortname]], Comp[], 9, FALSE)</f>
        <v>9</v>
      </c>
      <c r="M230">
        <f>VLOOKUP(Table5[[#This Row],[Shortname]], Comp[], 10, FALSE)</f>
        <v>9</v>
      </c>
      <c r="N230">
        <f>VLOOKUP(Table5[[#This Row],[Shortname]], Comp[], 11, FALSE)</f>
        <v>6</v>
      </c>
      <c r="O230">
        <f>VLOOKUP(Table5[[#This Row],[Shortname]], Comp[],12, FALSE)</f>
        <v>4</v>
      </c>
      <c r="P230">
        <f>VLOOKUP(Table5[[#This Row],[Shortname]], Comp[], 13, FALSE)</f>
        <v>1</v>
      </c>
      <c r="Q230">
        <f>VLOOKUP(Table5[[#This Row],[Shortname]], Comp[], 14, FALSE)</f>
        <v>0</v>
      </c>
      <c r="R230">
        <f>VLOOKUP(Table5[[#This Row],[Shortname]], Comp[], 15, FALSE)</f>
        <v>0</v>
      </c>
      <c r="S230">
        <f>VLOOKUP(Table5[[#This Row],[Shortname]], Comp[], 16, FALSE)</f>
        <v>0</v>
      </c>
      <c r="T230">
        <f>VLOOKUP(Table5[[#This Row],[Shortname]], Comp[], 17, FALSE)</f>
        <v>0</v>
      </c>
      <c r="U230">
        <f>VLOOKUP(Table5[[#This Row],[Shortname]], Comp[], 18, FALSE)</f>
        <v>0</v>
      </c>
      <c r="V230">
        <f>VLOOKUP(Table5[[#This Row],[Shortname]], Comp[], 19, FALSE)</f>
        <v>0</v>
      </c>
      <c r="W230">
        <f>VLOOKUP(Table5[[#This Row],[Shortname]], Comp[], 20, FALSE)</f>
        <v>0</v>
      </c>
      <c r="X230">
        <f>VLOOKUP(Table5[[#This Row],[Shortname]], Comp[], 21, FALSE)</f>
        <v>0</v>
      </c>
      <c r="Y230">
        <f>VLOOKUP(Table5[[#This Row],[Shortname]], Comp[], 22, FALSE)</f>
        <v>0</v>
      </c>
      <c r="Z230">
        <f>VLOOKUP(Table5[[#This Row],[Shortname]], Comp[], 23, FALSE)</f>
        <v>0</v>
      </c>
      <c r="AA230">
        <f>VLOOKUP(Table5[[#This Row],[Shortname]], Comp[], 24, FALSE)</f>
        <v>0</v>
      </c>
      <c r="AB230">
        <f>VLOOKUP(Table5[[#This Row],[Shortname]], Comp[], 25, FALSE)</f>
        <v>0</v>
      </c>
      <c r="AC230">
        <f>VLOOKUP(Table5[[#This Row],[Shortname]], Comp[], 26, FALSE)</f>
        <v>0</v>
      </c>
      <c r="AD230">
        <f>VLOOKUP(Table5[[#This Row],[Shortname]], Comp[], 27, FALSE)</f>
        <v>0</v>
      </c>
      <c r="AE230">
        <f>VLOOKUP(Table5[[#This Row],[Shortname]], Comp[], 28, FALSE)</f>
        <v>0</v>
      </c>
      <c r="AF230">
        <f>VLOOKUP(Table5[[#This Row],[Shortname]], Comp[], 29, FALSE)</f>
        <v>0</v>
      </c>
      <c r="AG230">
        <f>VLOOKUP(Table5[[#This Row],[Shortname]], Comp[], 30, FALSE)</f>
        <v>0</v>
      </c>
      <c r="AH230">
        <f>VLOOKUP(Table5[[#This Row],[Shortname]], Comp[], 31, FALSE)</f>
        <v>0</v>
      </c>
    </row>
    <row r="231" spans="1:34" x14ac:dyDescent="0.3">
      <c r="A231" s="7" t="s">
        <v>2154</v>
      </c>
      <c r="B231">
        <v>231</v>
      </c>
      <c r="C231" s="7" t="str">
        <f>VLOOKUP(Table5[[#This Row],[Shortname]], [1]!comp[#Data], 2, FALSE)</f>
        <v>CoAlWX+</v>
      </c>
      <c r="D231" s="7" t="s">
        <v>2156</v>
      </c>
      <c r="E231" t="s">
        <v>6720</v>
      </c>
      <c r="F231">
        <v>998.36</v>
      </c>
      <c r="G231">
        <v>1420</v>
      </c>
      <c r="H231">
        <v>1441</v>
      </c>
      <c r="J231" s="14">
        <f>VLOOKUP(Table5[[#This Row],[Shortname]], Comp[], 7, FALSE)</f>
        <v>78.8</v>
      </c>
      <c r="K231">
        <f>VLOOKUP(Table5[[#This Row],[Shortname]], Comp[], 8, FALSE)</f>
        <v>0</v>
      </c>
      <c r="L231">
        <f>VLOOKUP(Table5[[#This Row],[Shortname]], Comp[], 9, FALSE)</f>
        <v>9.1999999999999993</v>
      </c>
      <c r="M231">
        <f>VLOOKUP(Table5[[#This Row],[Shortname]], Comp[], 10, FALSE)</f>
        <v>2.5</v>
      </c>
      <c r="N231">
        <f>VLOOKUP(Table5[[#This Row],[Shortname]], Comp[], 11, FALSE)</f>
        <v>9</v>
      </c>
      <c r="O231">
        <f>VLOOKUP(Table5[[#This Row],[Shortname]], Comp[],12, FALSE)</f>
        <v>0</v>
      </c>
      <c r="P231">
        <f>VLOOKUP(Table5[[#This Row],[Shortname]], Comp[], 13, FALSE)</f>
        <v>0</v>
      </c>
      <c r="Q231">
        <f>VLOOKUP(Table5[[#This Row],[Shortname]], Comp[], 14, FALSE)</f>
        <v>0</v>
      </c>
      <c r="R231">
        <f>VLOOKUP(Table5[[#This Row],[Shortname]], Comp[], 15, FALSE)</f>
        <v>0</v>
      </c>
      <c r="S231">
        <f>VLOOKUP(Table5[[#This Row],[Shortname]], Comp[], 16, FALSE)</f>
        <v>0</v>
      </c>
      <c r="T231">
        <f>VLOOKUP(Table5[[#This Row],[Shortname]], Comp[], 17, FALSE)</f>
        <v>0.5</v>
      </c>
      <c r="U231">
        <f>VLOOKUP(Table5[[#This Row],[Shortname]], Comp[], 18, FALSE)</f>
        <v>0</v>
      </c>
      <c r="V231">
        <f>VLOOKUP(Table5[[#This Row],[Shortname]], Comp[], 19, FALSE)</f>
        <v>0</v>
      </c>
      <c r="W231">
        <f>VLOOKUP(Table5[[#This Row],[Shortname]], Comp[], 20, FALSE)</f>
        <v>0</v>
      </c>
      <c r="X231">
        <f>VLOOKUP(Table5[[#This Row],[Shortname]], Comp[], 21, FALSE)</f>
        <v>0</v>
      </c>
      <c r="Y231">
        <f>VLOOKUP(Table5[[#This Row],[Shortname]], Comp[], 22, FALSE)</f>
        <v>0</v>
      </c>
      <c r="Z231">
        <f>VLOOKUP(Table5[[#This Row],[Shortname]], Comp[], 23, FALSE)</f>
        <v>0</v>
      </c>
      <c r="AA231">
        <f>VLOOKUP(Table5[[#This Row],[Shortname]], Comp[], 24, FALSE)</f>
        <v>0</v>
      </c>
      <c r="AB231">
        <f>VLOOKUP(Table5[[#This Row],[Shortname]], Comp[], 25, FALSE)</f>
        <v>0</v>
      </c>
      <c r="AC231">
        <f>VLOOKUP(Table5[[#This Row],[Shortname]], Comp[], 26, FALSE)</f>
        <v>0</v>
      </c>
      <c r="AD231">
        <f>VLOOKUP(Table5[[#This Row],[Shortname]], Comp[], 27, FALSE)</f>
        <v>0</v>
      </c>
      <c r="AE231">
        <f>VLOOKUP(Table5[[#This Row],[Shortname]], Comp[], 28, FALSE)</f>
        <v>0</v>
      </c>
      <c r="AF231">
        <f>VLOOKUP(Table5[[#This Row],[Shortname]], Comp[], 29, FALSE)</f>
        <v>0</v>
      </c>
      <c r="AG231">
        <f>VLOOKUP(Table5[[#This Row],[Shortname]], Comp[], 30, FALSE)</f>
        <v>0</v>
      </c>
      <c r="AH231">
        <f>VLOOKUP(Table5[[#This Row],[Shortname]], Comp[], 31, FALSE)</f>
        <v>0</v>
      </c>
    </row>
    <row r="232" spans="1:34" x14ac:dyDescent="0.3">
      <c r="A232" t="s">
        <v>2163</v>
      </c>
      <c r="B232">
        <v>232</v>
      </c>
      <c r="C232" t="str">
        <f>VLOOKUP(Table5[[#This Row],[Shortname]], [1]!comp[#Data], 2, FALSE)</f>
        <v>CoAlWX+</v>
      </c>
      <c r="D232" t="s">
        <v>2165</v>
      </c>
      <c r="E232" t="s">
        <v>6720</v>
      </c>
      <c r="F232">
        <v>972.15</v>
      </c>
      <c r="G232">
        <v>1416</v>
      </c>
      <c r="H232">
        <v>1434</v>
      </c>
      <c r="J232" s="14">
        <f>VLOOKUP(Table5[[#This Row],[Shortname]], Comp[], 7, FALSE)</f>
        <v>76.3</v>
      </c>
      <c r="K232">
        <f>VLOOKUP(Table5[[#This Row],[Shortname]], Comp[], 8, FALSE)</f>
        <v>0</v>
      </c>
      <c r="L232">
        <f>VLOOKUP(Table5[[#This Row],[Shortname]], Comp[], 9, FALSE)</f>
        <v>9.1999999999999993</v>
      </c>
      <c r="M232">
        <f>VLOOKUP(Table5[[#This Row],[Shortname]], Comp[], 10, FALSE)</f>
        <v>5</v>
      </c>
      <c r="N232">
        <f>VLOOKUP(Table5[[#This Row],[Shortname]], Comp[], 11, FALSE)</f>
        <v>9</v>
      </c>
      <c r="O232">
        <f>VLOOKUP(Table5[[#This Row],[Shortname]], Comp[],12, FALSE)</f>
        <v>0</v>
      </c>
      <c r="P232">
        <f>VLOOKUP(Table5[[#This Row],[Shortname]], Comp[], 13, FALSE)</f>
        <v>0</v>
      </c>
      <c r="Q232">
        <f>VLOOKUP(Table5[[#This Row],[Shortname]], Comp[], 14, FALSE)</f>
        <v>0</v>
      </c>
      <c r="R232">
        <f>VLOOKUP(Table5[[#This Row],[Shortname]], Comp[], 15, FALSE)</f>
        <v>0</v>
      </c>
      <c r="S232">
        <f>VLOOKUP(Table5[[#This Row],[Shortname]], Comp[], 16, FALSE)</f>
        <v>0</v>
      </c>
      <c r="T232">
        <f>VLOOKUP(Table5[[#This Row],[Shortname]], Comp[], 17, FALSE)</f>
        <v>0.5</v>
      </c>
      <c r="U232">
        <f>VLOOKUP(Table5[[#This Row],[Shortname]], Comp[], 18, FALSE)</f>
        <v>0</v>
      </c>
      <c r="V232">
        <f>VLOOKUP(Table5[[#This Row],[Shortname]], Comp[], 19, FALSE)</f>
        <v>0</v>
      </c>
      <c r="W232">
        <f>VLOOKUP(Table5[[#This Row],[Shortname]], Comp[], 20, FALSE)</f>
        <v>0</v>
      </c>
      <c r="X232">
        <f>VLOOKUP(Table5[[#This Row],[Shortname]], Comp[], 21, FALSE)</f>
        <v>0</v>
      </c>
      <c r="Y232">
        <f>VLOOKUP(Table5[[#This Row],[Shortname]], Comp[], 22, FALSE)</f>
        <v>0</v>
      </c>
      <c r="Z232">
        <f>VLOOKUP(Table5[[#This Row],[Shortname]], Comp[], 23, FALSE)</f>
        <v>0</v>
      </c>
      <c r="AA232">
        <f>VLOOKUP(Table5[[#This Row],[Shortname]], Comp[], 24, FALSE)</f>
        <v>0</v>
      </c>
      <c r="AB232">
        <f>VLOOKUP(Table5[[#This Row],[Shortname]], Comp[], 25, FALSE)</f>
        <v>0</v>
      </c>
      <c r="AC232">
        <f>VLOOKUP(Table5[[#This Row],[Shortname]], Comp[], 26, FALSE)</f>
        <v>0</v>
      </c>
      <c r="AD232">
        <f>VLOOKUP(Table5[[#This Row],[Shortname]], Comp[], 27, FALSE)</f>
        <v>0</v>
      </c>
      <c r="AE232">
        <f>VLOOKUP(Table5[[#This Row],[Shortname]], Comp[], 28, FALSE)</f>
        <v>0</v>
      </c>
      <c r="AF232">
        <f>VLOOKUP(Table5[[#This Row],[Shortname]], Comp[], 29, FALSE)</f>
        <v>0</v>
      </c>
      <c r="AG232">
        <f>VLOOKUP(Table5[[#This Row],[Shortname]], Comp[], 30, FALSE)</f>
        <v>0</v>
      </c>
      <c r="AH232">
        <f>VLOOKUP(Table5[[#This Row],[Shortname]], Comp[], 31, FALSE)</f>
        <v>0</v>
      </c>
    </row>
    <row r="233" spans="1:34" x14ac:dyDescent="0.3">
      <c r="A233" t="s">
        <v>2169</v>
      </c>
      <c r="B233">
        <v>233</v>
      </c>
      <c r="C233" t="str">
        <f>VLOOKUP(Table5[[#This Row],[Shortname]], [1]!comp[#Data], 2, FALSE)</f>
        <v>CoAlWX+</v>
      </c>
      <c r="D233" t="s">
        <v>2171</v>
      </c>
      <c r="E233" t="s">
        <v>6720</v>
      </c>
      <c r="F233">
        <v>967.13</v>
      </c>
      <c r="G233">
        <v>1377</v>
      </c>
      <c r="H233">
        <v>1388</v>
      </c>
      <c r="J233" s="14">
        <f>VLOOKUP(Table5[[#This Row],[Shortname]], Comp[], 7, FALSE)</f>
        <v>73.8</v>
      </c>
      <c r="K233">
        <f>VLOOKUP(Table5[[#This Row],[Shortname]], Comp[], 8, FALSE)</f>
        <v>0</v>
      </c>
      <c r="L233">
        <f>VLOOKUP(Table5[[#This Row],[Shortname]], Comp[], 9, FALSE)</f>
        <v>9.1999999999999993</v>
      </c>
      <c r="M233">
        <f>VLOOKUP(Table5[[#This Row],[Shortname]], Comp[], 10, FALSE)</f>
        <v>7.5</v>
      </c>
      <c r="N233">
        <f>VLOOKUP(Table5[[#This Row],[Shortname]], Comp[], 11, FALSE)</f>
        <v>9</v>
      </c>
      <c r="O233">
        <f>VLOOKUP(Table5[[#This Row],[Shortname]], Comp[],12, FALSE)</f>
        <v>0</v>
      </c>
      <c r="P233">
        <f>VLOOKUP(Table5[[#This Row],[Shortname]], Comp[], 13, FALSE)</f>
        <v>0</v>
      </c>
      <c r="Q233">
        <f>VLOOKUP(Table5[[#This Row],[Shortname]], Comp[], 14, FALSE)</f>
        <v>0</v>
      </c>
      <c r="R233">
        <f>VLOOKUP(Table5[[#This Row],[Shortname]], Comp[], 15, FALSE)</f>
        <v>0</v>
      </c>
      <c r="S233">
        <f>VLOOKUP(Table5[[#This Row],[Shortname]], Comp[], 16, FALSE)</f>
        <v>0</v>
      </c>
      <c r="T233">
        <f>VLOOKUP(Table5[[#This Row],[Shortname]], Comp[], 17, FALSE)</f>
        <v>0.5</v>
      </c>
      <c r="U233">
        <f>VLOOKUP(Table5[[#This Row],[Shortname]], Comp[], 18, FALSE)</f>
        <v>0</v>
      </c>
      <c r="V233">
        <f>VLOOKUP(Table5[[#This Row],[Shortname]], Comp[], 19, FALSE)</f>
        <v>0</v>
      </c>
      <c r="W233">
        <f>VLOOKUP(Table5[[#This Row],[Shortname]], Comp[], 20, FALSE)</f>
        <v>0</v>
      </c>
      <c r="X233">
        <f>VLOOKUP(Table5[[#This Row],[Shortname]], Comp[], 21, FALSE)</f>
        <v>0</v>
      </c>
      <c r="Y233">
        <f>VLOOKUP(Table5[[#This Row],[Shortname]], Comp[], 22, FALSE)</f>
        <v>0</v>
      </c>
      <c r="Z233">
        <f>VLOOKUP(Table5[[#This Row],[Shortname]], Comp[], 23, FALSE)</f>
        <v>0</v>
      </c>
      <c r="AA233">
        <f>VLOOKUP(Table5[[#This Row],[Shortname]], Comp[], 24, FALSE)</f>
        <v>0</v>
      </c>
      <c r="AB233">
        <f>VLOOKUP(Table5[[#This Row],[Shortname]], Comp[], 25, FALSE)</f>
        <v>0</v>
      </c>
      <c r="AC233">
        <f>VLOOKUP(Table5[[#This Row],[Shortname]], Comp[], 26, FALSE)</f>
        <v>0</v>
      </c>
      <c r="AD233">
        <f>VLOOKUP(Table5[[#This Row],[Shortname]], Comp[], 27, FALSE)</f>
        <v>0</v>
      </c>
      <c r="AE233">
        <f>VLOOKUP(Table5[[#This Row],[Shortname]], Comp[], 28, FALSE)</f>
        <v>0</v>
      </c>
      <c r="AF233">
        <f>VLOOKUP(Table5[[#This Row],[Shortname]], Comp[], 29, FALSE)</f>
        <v>0</v>
      </c>
      <c r="AG233">
        <f>VLOOKUP(Table5[[#This Row],[Shortname]], Comp[], 30, FALSE)</f>
        <v>0</v>
      </c>
      <c r="AH233">
        <f>VLOOKUP(Table5[[#This Row],[Shortname]], Comp[], 31, FALSE)</f>
        <v>0</v>
      </c>
    </row>
    <row r="234" spans="1:34" x14ac:dyDescent="0.3">
      <c r="A234" s="7" t="s">
        <v>2190</v>
      </c>
      <c r="B234">
        <v>234</v>
      </c>
      <c r="C234" s="7" t="str">
        <f>VLOOKUP(Table5[[#This Row],[Shortname]], [1]!comp[#Data], 2, FALSE)</f>
        <v>CoAlWX+</v>
      </c>
      <c r="D234" s="7" t="s">
        <v>1475</v>
      </c>
      <c r="E234" s="21" t="s">
        <v>6721</v>
      </c>
      <c r="F234">
        <v>1103</v>
      </c>
      <c r="H234">
        <v>1366</v>
      </c>
      <c r="J234" s="14">
        <f>VLOOKUP(Table5[[#This Row],[Shortname]], Comp[], 7, FALSE)</f>
        <v>58.945736155988662</v>
      </c>
      <c r="K234">
        <f>VLOOKUP(Table5[[#This Row],[Shortname]], Comp[], 8, FALSE)</f>
        <v>16.016412425311604</v>
      </c>
      <c r="L234">
        <f>VLOOKUP(Table5[[#This Row],[Shortname]], Comp[], 9, FALSE)</f>
        <v>9.2906509967515536</v>
      </c>
      <c r="M234">
        <f>VLOOKUP(Table5[[#This Row],[Shortname]], Comp[], 10, FALSE)</f>
        <v>6.0264334082032844</v>
      </c>
      <c r="N234">
        <f>VLOOKUP(Table5[[#This Row],[Shortname]], Comp[], 11, FALSE)</f>
        <v>3.4089472529692992</v>
      </c>
      <c r="O234">
        <f>VLOOKUP(Table5[[#This Row],[Shortname]], Comp[],12, FALSE)</f>
        <v>2.61441267776011</v>
      </c>
      <c r="P234">
        <f>VLOOKUP(Table5[[#This Row],[Shortname]], Comp[], 13, FALSE)</f>
        <v>2.7707139562790877</v>
      </c>
      <c r="Q234">
        <f>VLOOKUP(Table5[[#This Row],[Shortname]], Comp[], 14, FALSE)</f>
        <v>0</v>
      </c>
      <c r="R234">
        <f>VLOOKUP(Table5[[#This Row],[Shortname]], Comp[], 15, FALSE)</f>
        <v>0</v>
      </c>
      <c r="S234">
        <f>VLOOKUP(Table5[[#This Row],[Shortname]], Comp[], 16, FALSE)</f>
        <v>0</v>
      </c>
      <c r="T234">
        <f>VLOOKUP(Table5[[#This Row],[Shortname]], Comp[], 17, FALSE)</f>
        <v>0.26088621388139049</v>
      </c>
      <c r="U234">
        <f>VLOOKUP(Table5[[#This Row],[Shortname]], Comp[], 18, FALSE)</f>
        <v>0</v>
      </c>
      <c r="V234">
        <f>VLOOKUP(Table5[[#This Row],[Shortname]], Comp[], 19, FALSE)</f>
        <v>0.13913802693488458</v>
      </c>
      <c r="W234">
        <f>VLOOKUP(Table5[[#This Row],[Shortname]], Comp[], 20, FALSE)</f>
        <v>0</v>
      </c>
      <c r="X234">
        <f>VLOOKUP(Table5[[#This Row],[Shortname]], Comp[], 21, FALSE)</f>
        <v>0</v>
      </c>
      <c r="Y234">
        <f>VLOOKUP(Table5[[#This Row],[Shortname]], Comp[], 22, FALSE)</f>
        <v>0</v>
      </c>
      <c r="Z234">
        <f>VLOOKUP(Table5[[#This Row],[Shortname]], Comp[], 23, FALSE)</f>
        <v>0</v>
      </c>
      <c r="AA234">
        <f>VLOOKUP(Table5[[#This Row],[Shortname]], Comp[], 24, FALSE)</f>
        <v>0</v>
      </c>
      <c r="AB234">
        <f>VLOOKUP(Table5[[#This Row],[Shortname]], Comp[], 25, FALSE)</f>
        <v>0.5266688859201154</v>
      </c>
      <c r="AC234">
        <f>VLOOKUP(Table5[[#This Row],[Shortname]], Comp[], 26, FALSE)</f>
        <v>0</v>
      </c>
      <c r="AD234">
        <f>VLOOKUP(Table5[[#This Row],[Shortname]], Comp[], 27, FALSE)</f>
        <v>0</v>
      </c>
      <c r="AE234">
        <f>VLOOKUP(Table5[[#This Row],[Shortname]], Comp[], 28, FALSE)</f>
        <v>0</v>
      </c>
      <c r="AF234">
        <f>VLOOKUP(Table5[[#This Row],[Shortname]], Comp[], 29, FALSE)</f>
        <v>0</v>
      </c>
      <c r="AG234">
        <f>VLOOKUP(Table5[[#This Row],[Shortname]], Comp[], 30, FALSE)</f>
        <v>0</v>
      </c>
      <c r="AH234">
        <f>VLOOKUP(Table5[[#This Row],[Shortname]], Comp[], 31, FALSE)</f>
        <v>0</v>
      </c>
    </row>
    <row r="235" spans="1:34" x14ac:dyDescent="0.3">
      <c r="A235" t="s">
        <v>2176</v>
      </c>
      <c r="B235">
        <v>235</v>
      </c>
      <c r="C235" t="str">
        <f>VLOOKUP(Table5[[#This Row],[Shortname]], [1]!comp[#Data], 2, FALSE)</f>
        <v>CoAlWX+</v>
      </c>
      <c r="D235" t="s">
        <v>2178</v>
      </c>
      <c r="E235" s="21" t="s">
        <v>6721</v>
      </c>
      <c r="F235">
        <v>1085</v>
      </c>
      <c r="H235">
        <v>1355</v>
      </c>
      <c r="J235" s="14">
        <f>VLOOKUP(Table5[[#This Row],[Shortname]], Comp[], 7, FALSE)</f>
        <v>54.751794346763752</v>
      </c>
      <c r="K235">
        <f>VLOOKUP(Table5[[#This Row],[Shortname]], Comp[], 8, FALSE)</f>
        <v>16.351836731071355</v>
      </c>
      <c r="L235">
        <f>VLOOKUP(Table5[[#This Row],[Shortname]], Comp[], 9, FALSE)</f>
        <v>9.4852207966473578</v>
      </c>
      <c r="M235">
        <f>VLOOKUP(Table5[[#This Row],[Shortname]], Comp[], 10, FALSE)</f>
        <v>6.152642211303248</v>
      </c>
      <c r="N235">
        <f>VLOOKUP(Table5[[#This Row],[Shortname]], Comp[], 11, FALSE)</f>
        <v>3.4803392560805455</v>
      </c>
      <c r="O235">
        <f>VLOOKUP(Table5[[#This Row],[Shortname]], Comp[],12, FALSE)</f>
        <v>2.6691651113338928</v>
      </c>
      <c r="P235">
        <f>VLOOKUP(Table5[[#This Row],[Shortname]], Comp[], 13, FALSE)</f>
        <v>2.8287397351217352</v>
      </c>
      <c r="Q235">
        <f>VLOOKUP(Table5[[#This Row],[Shortname]], Comp[], 14, FALSE)</f>
        <v>0</v>
      </c>
      <c r="R235">
        <f>VLOOKUP(Table5[[#This Row],[Shortname]], Comp[], 15, FALSE)</f>
        <v>0</v>
      </c>
      <c r="S235">
        <f>VLOOKUP(Table5[[#This Row],[Shortname]], Comp[], 16, FALSE)</f>
        <v>3.3341613800825822</v>
      </c>
      <c r="T235">
        <f>VLOOKUP(Table5[[#This Row],[Shortname]], Comp[], 17, FALSE)</f>
        <v>0.26634983300218446</v>
      </c>
      <c r="U235">
        <f>VLOOKUP(Table5[[#This Row],[Shortname]], Comp[], 18, FALSE)</f>
        <v>0</v>
      </c>
      <c r="V235">
        <f>VLOOKUP(Table5[[#This Row],[Shortname]], Comp[], 19, FALSE)</f>
        <v>0.1420519301767654</v>
      </c>
      <c r="W235">
        <f>VLOOKUP(Table5[[#This Row],[Shortname]], Comp[], 20, FALSE)</f>
        <v>0</v>
      </c>
      <c r="X235">
        <f>VLOOKUP(Table5[[#This Row],[Shortname]], Comp[], 21, FALSE)</f>
        <v>0</v>
      </c>
      <c r="Y235">
        <f>VLOOKUP(Table5[[#This Row],[Shortname]], Comp[], 22, FALSE)</f>
        <v>0</v>
      </c>
      <c r="Z235">
        <f>VLOOKUP(Table5[[#This Row],[Shortname]], Comp[], 23, FALSE)</f>
        <v>0</v>
      </c>
      <c r="AA235">
        <f>VLOOKUP(Table5[[#This Row],[Shortname]], Comp[], 24, FALSE)</f>
        <v>0</v>
      </c>
      <c r="AB235">
        <f>VLOOKUP(Table5[[#This Row],[Shortname]], Comp[], 25, FALSE)</f>
        <v>0.53769866841658975</v>
      </c>
      <c r="AC235">
        <f>VLOOKUP(Table5[[#This Row],[Shortname]], Comp[], 26, FALSE)</f>
        <v>0</v>
      </c>
      <c r="AD235">
        <f>VLOOKUP(Table5[[#This Row],[Shortname]], Comp[], 27, FALSE)</f>
        <v>0</v>
      </c>
      <c r="AE235">
        <f>VLOOKUP(Table5[[#This Row],[Shortname]], Comp[], 28, FALSE)</f>
        <v>0</v>
      </c>
      <c r="AF235">
        <f>VLOOKUP(Table5[[#This Row],[Shortname]], Comp[], 29, FALSE)</f>
        <v>0</v>
      </c>
      <c r="AG235">
        <f>VLOOKUP(Table5[[#This Row],[Shortname]], Comp[], 30, FALSE)</f>
        <v>0</v>
      </c>
      <c r="AH235">
        <f>VLOOKUP(Table5[[#This Row],[Shortname]], Comp[], 31, FALSE)</f>
        <v>0</v>
      </c>
    </row>
    <row r="236" spans="1:34" x14ac:dyDescent="0.3">
      <c r="A236" t="s">
        <v>2216</v>
      </c>
      <c r="B236">
        <v>236</v>
      </c>
      <c r="C236" t="str">
        <f>VLOOKUP(Table5[[#This Row],[Shortname]], [1]!comp[#Data], 2, FALSE)</f>
        <v>W-free</v>
      </c>
      <c r="D236" t="s">
        <v>2218</v>
      </c>
      <c r="E236" s="21" t="s">
        <v>6722</v>
      </c>
      <c r="F236">
        <v>1055</v>
      </c>
      <c r="H236">
        <v>1254</v>
      </c>
      <c r="I236" t="s">
        <v>6712</v>
      </c>
      <c r="J236" s="14">
        <f>VLOOKUP(Table5[[#This Row],[Shortname]], Comp[], 7, FALSE)</f>
        <v>83.6</v>
      </c>
      <c r="K236">
        <f>VLOOKUP(Table5[[#This Row],[Shortname]], Comp[], 8, FALSE)</f>
        <v>0</v>
      </c>
      <c r="L236">
        <f>VLOOKUP(Table5[[#This Row],[Shortname]], Comp[], 9, FALSE)</f>
        <v>0</v>
      </c>
      <c r="M236">
        <f>VLOOKUP(Table5[[#This Row],[Shortname]], Comp[], 10, FALSE)</f>
        <v>0</v>
      </c>
      <c r="N236">
        <f>VLOOKUP(Table5[[#This Row],[Shortname]], Comp[], 11, FALSE)</f>
        <v>0</v>
      </c>
      <c r="O236">
        <f>VLOOKUP(Table5[[#This Row],[Shortname]], Comp[],12, FALSE)</f>
        <v>4.0999999999999996</v>
      </c>
      <c r="P236">
        <f>VLOOKUP(Table5[[#This Row],[Shortname]], Comp[], 13, FALSE)</f>
        <v>0</v>
      </c>
      <c r="Q236">
        <f>VLOOKUP(Table5[[#This Row],[Shortname]], Comp[], 14, FALSE)</f>
        <v>2.2000000000000002</v>
      </c>
      <c r="R236">
        <f>VLOOKUP(Table5[[#This Row],[Shortname]], Comp[], 15, FALSE)</f>
        <v>10.1</v>
      </c>
      <c r="S236">
        <f>VLOOKUP(Table5[[#This Row],[Shortname]], Comp[], 16, FALSE)</f>
        <v>0</v>
      </c>
      <c r="T236">
        <f>VLOOKUP(Table5[[#This Row],[Shortname]], Comp[], 17, FALSE)</f>
        <v>0</v>
      </c>
      <c r="U236">
        <f>VLOOKUP(Table5[[#This Row],[Shortname]], Comp[], 18, FALSE)</f>
        <v>0</v>
      </c>
      <c r="V236">
        <f>VLOOKUP(Table5[[#This Row],[Shortname]], Comp[], 19, FALSE)</f>
        <v>0</v>
      </c>
      <c r="W236">
        <f>VLOOKUP(Table5[[#This Row],[Shortname]], Comp[], 20, FALSE)</f>
        <v>0</v>
      </c>
      <c r="X236">
        <f>VLOOKUP(Table5[[#This Row],[Shortname]], Comp[], 21, FALSE)</f>
        <v>0</v>
      </c>
      <c r="Y236">
        <f>VLOOKUP(Table5[[#This Row],[Shortname]], Comp[], 22, FALSE)</f>
        <v>0</v>
      </c>
      <c r="Z236">
        <f>VLOOKUP(Table5[[#This Row],[Shortname]], Comp[], 23, FALSE)</f>
        <v>0</v>
      </c>
      <c r="AA236">
        <f>VLOOKUP(Table5[[#This Row],[Shortname]], Comp[], 24, FALSE)</f>
        <v>0</v>
      </c>
      <c r="AB236">
        <f>VLOOKUP(Table5[[#This Row],[Shortname]], Comp[], 25, FALSE)</f>
        <v>0</v>
      </c>
      <c r="AC236">
        <f>VLOOKUP(Table5[[#This Row],[Shortname]], Comp[], 26, FALSE)</f>
        <v>0</v>
      </c>
      <c r="AD236">
        <f>VLOOKUP(Table5[[#This Row],[Shortname]], Comp[], 27, FALSE)</f>
        <v>0</v>
      </c>
      <c r="AE236">
        <f>VLOOKUP(Table5[[#This Row],[Shortname]], Comp[], 28, FALSE)</f>
        <v>0</v>
      </c>
      <c r="AF236">
        <f>VLOOKUP(Table5[[#This Row],[Shortname]], Comp[], 29, FALSE)</f>
        <v>0</v>
      </c>
      <c r="AG236">
        <f>VLOOKUP(Table5[[#This Row],[Shortname]], Comp[], 30, FALSE)</f>
        <v>0</v>
      </c>
      <c r="AH236">
        <f>VLOOKUP(Table5[[#This Row],[Shortname]], Comp[], 31, FALSE)</f>
        <v>0</v>
      </c>
    </row>
    <row r="237" spans="1:34" x14ac:dyDescent="0.3">
      <c r="A237" t="s">
        <v>2224</v>
      </c>
      <c r="B237">
        <v>237</v>
      </c>
      <c r="C237" t="str">
        <f>VLOOKUP(Table5[[#This Row],[Shortname]], [1]!comp[#Data], 2, FALSE)</f>
        <v>Low-W</v>
      </c>
      <c r="D237" t="s">
        <v>2226</v>
      </c>
      <c r="E237" s="21" t="s">
        <v>6722</v>
      </c>
      <c r="F237">
        <v>1035</v>
      </c>
      <c r="H237">
        <v>1313</v>
      </c>
      <c r="I237" t="s">
        <v>6712</v>
      </c>
      <c r="J237" s="14">
        <f>VLOOKUP(Table5[[#This Row],[Shortname]], Comp[], 7, FALSE)</f>
        <v>83.9</v>
      </c>
      <c r="K237">
        <f>VLOOKUP(Table5[[#This Row],[Shortname]], Comp[], 8, FALSE)</f>
        <v>0</v>
      </c>
      <c r="L237">
        <f>VLOOKUP(Table5[[#This Row],[Shortname]], Comp[], 9, FALSE)</f>
        <v>0</v>
      </c>
      <c r="M237">
        <f>VLOOKUP(Table5[[#This Row],[Shortname]], Comp[], 10, FALSE)</f>
        <v>0</v>
      </c>
      <c r="N237">
        <f>VLOOKUP(Table5[[#This Row],[Shortname]], Comp[], 11, FALSE)</f>
        <v>2.1</v>
      </c>
      <c r="O237">
        <f>VLOOKUP(Table5[[#This Row],[Shortname]], Comp[],12, FALSE)</f>
        <v>4.0999999999999996</v>
      </c>
      <c r="P237">
        <f>VLOOKUP(Table5[[#This Row],[Shortname]], Comp[], 13, FALSE)</f>
        <v>0</v>
      </c>
      <c r="Q237">
        <f>VLOOKUP(Table5[[#This Row],[Shortname]], Comp[], 14, FALSE)</f>
        <v>0</v>
      </c>
      <c r="R237">
        <f>VLOOKUP(Table5[[#This Row],[Shortname]], Comp[], 15, FALSE)</f>
        <v>9.9</v>
      </c>
      <c r="S237">
        <f>VLOOKUP(Table5[[#This Row],[Shortname]], Comp[], 16, FALSE)</f>
        <v>0</v>
      </c>
      <c r="T237">
        <f>VLOOKUP(Table5[[#This Row],[Shortname]], Comp[], 17, FALSE)</f>
        <v>0</v>
      </c>
      <c r="U237">
        <f>VLOOKUP(Table5[[#This Row],[Shortname]], Comp[], 18, FALSE)</f>
        <v>0</v>
      </c>
      <c r="V237">
        <f>VLOOKUP(Table5[[#This Row],[Shortname]], Comp[], 19, FALSE)</f>
        <v>0</v>
      </c>
      <c r="W237">
        <f>VLOOKUP(Table5[[#This Row],[Shortname]], Comp[], 20, FALSE)</f>
        <v>0</v>
      </c>
      <c r="X237">
        <f>VLOOKUP(Table5[[#This Row],[Shortname]], Comp[], 21, FALSE)</f>
        <v>0</v>
      </c>
      <c r="Y237">
        <f>VLOOKUP(Table5[[#This Row],[Shortname]], Comp[], 22, FALSE)</f>
        <v>0</v>
      </c>
      <c r="Z237">
        <f>VLOOKUP(Table5[[#This Row],[Shortname]], Comp[], 23, FALSE)</f>
        <v>0</v>
      </c>
      <c r="AA237">
        <f>VLOOKUP(Table5[[#This Row],[Shortname]], Comp[], 24, FALSE)</f>
        <v>0</v>
      </c>
      <c r="AB237">
        <f>VLOOKUP(Table5[[#This Row],[Shortname]], Comp[], 25, FALSE)</f>
        <v>0</v>
      </c>
      <c r="AC237">
        <f>VLOOKUP(Table5[[#This Row],[Shortname]], Comp[], 26, FALSE)</f>
        <v>0</v>
      </c>
      <c r="AD237">
        <f>VLOOKUP(Table5[[#This Row],[Shortname]], Comp[], 27, FALSE)</f>
        <v>0</v>
      </c>
      <c r="AE237">
        <f>VLOOKUP(Table5[[#This Row],[Shortname]], Comp[], 28, FALSE)</f>
        <v>0</v>
      </c>
      <c r="AF237">
        <f>VLOOKUP(Table5[[#This Row],[Shortname]], Comp[], 29, FALSE)</f>
        <v>0</v>
      </c>
      <c r="AG237">
        <f>VLOOKUP(Table5[[#This Row],[Shortname]], Comp[], 30, FALSE)</f>
        <v>0</v>
      </c>
      <c r="AH237">
        <f>VLOOKUP(Table5[[#This Row],[Shortname]], Comp[], 31, FALSE)</f>
        <v>0</v>
      </c>
    </row>
    <row r="238" spans="1:34" x14ac:dyDescent="0.3">
      <c r="A238" s="7" t="s">
        <v>2208</v>
      </c>
      <c r="B238">
        <v>238</v>
      </c>
      <c r="C238" s="7" t="str">
        <f>VLOOKUP(Table5[[#This Row],[Shortname]], [1]!comp[#Data], 2, FALSE)</f>
        <v>W-free</v>
      </c>
      <c r="D238" s="7" t="s">
        <v>2210</v>
      </c>
      <c r="E238" s="21" t="s">
        <v>6722</v>
      </c>
      <c r="F238">
        <v>1023</v>
      </c>
      <c r="H238">
        <v>1306</v>
      </c>
      <c r="I238" t="s">
        <v>6712</v>
      </c>
      <c r="J238" s="14">
        <f>VLOOKUP(Table5[[#This Row],[Shortname]], Comp[], 7, FALSE)</f>
        <v>83.7</v>
      </c>
      <c r="K238">
        <f>VLOOKUP(Table5[[#This Row],[Shortname]], Comp[], 8, FALSE)</f>
        <v>0</v>
      </c>
      <c r="L238">
        <f>VLOOKUP(Table5[[#This Row],[Shortname]], Comp[], 9, FALSE)</f>
        <v>0</v>
      </c>
      <c r="M238">
        <f>VLOOKUP(Table5[[#This Row],[Shortname]], Comp[], 10, FALSE)</f>
        <v>0</v>
      </c>
      <c r="N238">
        <f>VLOOKUP(Table5[[#This Row],[Shortname]], Comp[], 11, FALSE)</f>
        <v>0</v>
      </c>
      <c r="O238">
        <f>VLOOKUP(Table5[[#This Row],[Shortname]], Comp[],12, FALSE)</f>
        <v>4.2</v>
      </c>
      <c r="P238">
        <f>VLOOKUP(Table5[[#This Row],[Shortname]], Comp[], 13, FALSE)</f>
        <v>0</v>
      </c>
      <c r="Q238">
        <f>VLOOKUP(Table5[[#This Row],[Shortname]], Comp[], 14, FALSE)</f>
        <v>0</v>
      </c>
      <c r="R238">
        <f>VLOOKUP(Table5[[#This Row],[Shortname]], Comp[], 15, FALSE)</f>
        <v>12.1</v>
      </c>
      <c r="S238">
        <f>VLOOKUP(Table5[[#This Row],[Shortname]], Comp[], 16, FALSE)</f>
        <v>0</v>
      </c>
      <c r="T238">
        <f>VLOOKUP(Table5[[#This Row],[Shortname]], Comp[], 17, FALSE)</f>
        <v>0</v>
      </c>
      <c r="U238">
        <f>VLOOKUP(Table5[[#This Row],[Shortname]], Comp[], 18, FALSE)</f>
        <v>0</v>
      </c>
      <c r="V238">
        <f>VLOOKUP(Table5[[#This Row],[Shortname]], Comp[], 19, FALSE)</f>
        <v>0</v>
      </c>
      <c r="W238">
        <f>VLOOKUP(Table5[[#This Row],[Shortname]], Comp[], 20, FALSE)</f>
        <v>0</v>
      </c>
      <c r="X238">
        <f>VLOOKUP(Table5[[#This Row],[Shortname]], Comp[], 21, FALSE)</f>
        <v>0</v>
      </c>
      <c r="Y238">
        <f>VLOOKUP(Table5[[#This Row],[Shortname]], Comp[], 22, FALSE)</f>
        <v>0</v>
      </c>
      <c r="Z238">
        <f>VLOOKUP(Table5[[#This Row],[Shortname]], Comp[], 23, FALSE)</f>
        <v>0</v>
      </c>
      <c r="AA238">
        <f>VLOOKUP(Table5[[#This Row],[Shortname]], Comp[], 24, FALSE)</f>
        <v>0</v>
      </c>
      <c r="AB238">
        <f>VLOOKUP(Table5[[#This Row],[Shortname]], Comp[], 25, FALSE)</f>
        <v>0</v>
      </c>
      <c r="AC238">
        <f>VLOOKUP(Table5[[#This Row],[Shortname]], Comp[], 26, FALSE)</f>
        <v>0</v>
      </c>
      <c r="AD238">
        <f>VLOOKUP(Table5[[#This Row],[Shortname]], Comp[], 27, FALSE)</f>
        <v>0</v>
      </c>
      <c r="AE238">
        <f>VLOOKUP(Table5[[#This Row],[Shortname]], Comp[], 28, FALSE)</f>
        <v>0</v>
      </c>
      <c r="AF238">
        <f>VLOOKUP(Table5[[#This Row],[Shortname]], Comp[], 29, FALSE)</f>
        <v>0</v>
      </c>
      <c r="AG238">
        <f>VLOOKUP(Table5[[#This Row],[Shortname]], Comp[], 30, FALSE)</f>
        <v>0</v>
      </c>
      <c r="AH238">
        <f>VLOOKUP(Table5[[#This Row],[Shortname]], Comp[], 31, FALSE)</f>
        <v>0</v>
      </c>
    </row>
    <row r="239" spans="1:34" x14ac:dyDescent="0.3">
      <c r="A239" t="s">
        <v>2315</v>
      </c>
      <c r="B239">
        <v>239</v>
      </c>
      <c r="C239" t="str">
        <f>VLOOKUP(Table5[[#This Row],[Shortname]], [1]!comp[#Data], 2, FALSE)</f>
        <v>W-free</v>
      </c>
      <c r="D239" t="s">
        <v>2317</v>
      </c>
      <c r="E239" t="s">
        <v>6723</v>
      </c>
      <c r="F239">
        <v>1020</v>
      </c>
      <c r="G239">
        <v>1310</v>
      </c>
      <c r="H239">
        <v>1389</v>
      </c>
      <c r="J239" s="14">
        <f>VLOOKUP(Table5[[#This Row],[Shortname]], Comp[], 7, FALSE)</f>
        <v>48.379999999999995</v>
      </c>
      <c r="K239">
        <f>VLOOKUP(Table5[[#This Row],[Shortname]], Comp[], 8, FALSE)</f>
        <v>27.27</v>
      </c>
      <c r="L239">
        <f>VLOOKUP(Table5[[#This Row],[Shortname]], Comp[], 9, FALSE)</f>
        <v>4.91</v>
      </c>
      <c r="M239">
        <f>VLOOKUP(Table5[[#This Row],[Shortname]], Comp[], 10, FALSE)</f>
        <v>14.52</v>
      </c>
      <c r="N239">
        <f>VLOOKUP(Table5[[#This Row],[Shortname]], Comp[], 11, FALSE)</f>
        <v>0</v>
      </c>
      <c r="O239">
        <f>VLOOKUP(Table5[[#This Row],[Shortname]], Comp[],12, FALSE)</f>
        <v>4.92</v>
      </c>
      <c r="P239">
        <f>VLOOKUP(Table5[[#This Row],[Shortname]], Comp[], 13, FALSE)</f>
        <v>0</v>
      </c>
      <c r="Q239">
        <f>VLOOKUP(Table5[[#This Row],[Shortname]], Comp[], 14, FALSE)</f>
        <v>0</v>
      </c>
      <c r="R239">
        <f>VLOOKUP(Table5[[#This Row],[Shortname]], Comp[], 15, FALSE)</f>
        <v>0</v>
      </c>
      <c r="S239">
        <f>VLOOKUP(Table5[[#This Row],[Shortname]], Comp[], 16, FALSE)</f>
        <v>0</v>
      </c>
      <c r="T239">
        <f>VLOOKUP(Table5[[#This Row],[Shortname]], Comp[], 17, FALSE)</f>
        <v>0</v>
      </c>
      <c r="U239">
        <f>VLOOKUP(Table5[[#This Row],[Shortname]], Comp[], 18, FALSE)</f>
        <v>0</v>
      </c>
      <c r="V239">
        <f>VLOOKUP(Table5[[#This Row],[Shortname]], Comp[], 19, FALSE)</f>
        <v>0</v>
      </c>
      <c r="W239">
        <f>VLOOKUP(Table5[[#This Row],[Shortname]], Comp[], 20, FALSE)</f>
        <v>0</v>
      </c>
      <c r="X239">
        <f>VLOOKUP(Table5[[#This Row],[Shortname]], Comp[], 21, FALSE)</f>
        <v>0</v>
      </c>
      <c r="Y239">
        <f>VLOOKUP(Table5[[#This Row],[Shortname]], Comp[], 22, FALSE)</f>
        <v>0</v>
      </c>
      <c r="Z239">
        <f>VLOOKUP(Table5[[#This Row],[Shortname]], Comp[], 23, FALSE)</f>
        <v>0</v>
      </c>
      <c r="AA239">
        <f>VLOOKUP(Table5[[#This Row],[Shortname]], Comp[], 24, FALSE)</f>
        <v>0</v>
      </c>
      <c r="AB239">
        <f>VLOOKUP(Table5[[#This Row],[Shortname]], Comp[], 25, FALSE)</f>
        <v>0</v>
      </c>
      <c r="AC239">
        <f>VLOOKUP(Table5[[#This Row],[Shortname]], Comp[], 26, FALSE)</f>
        <v>0</v>
      </c>
      <c r="AD239">
        <f>VLOOKUP(Table5[[#This Row],[Shortname]], Comp[], 27, FALSE)</f>
        <v>0</v>
      </c>
      <c r="AE239">
        <f>VLOOKUP(Table5[[#This Row],[Shortname]], Comp[], 28, FALSE)</f>
        <v>0</v>
      </c>
      <c r="AF239">
        <f>VLOOKUP(Table5[[#This Row],[Shortname]], Comp[], 29, FALSE)</f>
        <v>0</v>
      </c>
      <c r="AG239">
        <f>VLOOKUP(Table5[[#This Row],[Shortname]], Comp[], 30, FALSE)</f>
        <v>0</v>
      </c>
      <c r="AH239">
        <f>VLOOKUP(Table5[[#This Row],[Shortname]], Comp[], 31, FALSE)</f>
        <v>0</v>
      </c>
    </row>
    <row r="240" spans="1:34" x14ac:dyDescent="0.3">
      <c r="A240" t="s">
        <v>2305</v>
      </c>
      <c r="B240">
        <v>240</v>
      </c>
      <c r="C240" t="str">
        <f>VLOOKUP(Table5[[#This Row],[Shortname]], [1]!comp[#Data], 2, FALSE)</f>
        <v>Co3Ti</v>
      </c>
      <c r="D240" t="s">
        <v>2307</v>
      </c>
      <c r="E240" t="s">
        <v>6723</v>
      </c>
      <c r="F240">
        <v>983</v>
      </c>
      <c r="G240">
        <v>1300</v>
      </c>
      <c r="H240">
        <v>1390</v>
      </c>
      <c r="J240" s="14">
        <f>VLOOKUP(Table5[[#This Row],[Shortname]], Comp[], 7, FALSE)</f>
        <v>57.03</v>
      </c>
      <c r="K240">
        <f>VLOOKUP(Table5[[#This Row],[Shortname]], Comp[], 8, FALSE)</f>
        <v>18.89</v>
      </c>
      <c r="L240">
        <f>VLOOKUP(Table5[[#This Row],[Shortname]], Comp[], 9, FALSE)</f>
        <v>4.3099999999999996</v>
      </c>
      <c r="M240">
        <f>VLOOKUP(Table5[[#This Row],[Shortname]], Comp[], 10, FALSE)</f>
        <v>14.71</v>
      </c>
      <c r="N240">
        <f>VLOOKUP(Table5[[#This Row],[Shortname]], Comp[], 11, FALSE)</f>
        <v>0</v>
      </c>
      <c r="O240">
        <f>VLOOKUP(Table5[[#This Row],[Shortname]], Comp[],12, FALSE)</f>
        <v>5.0599999999999996</v>
      </c>
      <c r="P240">
        <f>VLOOKUP(Table5[[#This Row],[Shortname]], Comp[], 13, FALSE)</f>
        <v>0</v>
      </c>
      <c r="Q240">
        <f>VLOOKUP(Table5[[#This Row],[Shortname]], Comp[], 14, FALSE)</f>
        <v>0</v>
      </c>
      <c r="R240">
        <f>VLOOKUP(Table5[[#This Row],[Shortname]], Comp[], 15, FALSE)</f>
        <v>0</v>
      </c>
      <c r="S240">
        <f>VLOOKUP(Table5[[#This Row],[Shortname]], Comp[], 16, FALSE)</f>
        <v>0</v>
      </c>
      <c r="T240">
        <f>VLOOKUP(Table5[[#This Row],[Shortname]], Comp[], 17, FALSE)</f>
        <v>0</v>
      </c>
      <c r="U240">
        <f>VLOOKUP(Table5[[#This Row],[Shortname]], Comp[], 18, FALSE)</f>
        <v>0</v>
      </c>
      <c r="V240">
        <f>VLOOKUP(Table5[[#This Row],[Shortname]], Comp[], 19, FALSE)</f>
        <v>0</v>
      </c>
      <c r="W240">
        <f>VLOOKUP(Table5[[#This Row],[Shortname]], Comp[], 20, FALSE)</f>
        <v>0</v>
      </c>
      <c r="X240">
        <f>VLOOKUP(Table5[[#This Row],[Shortname]], Comp[], 21, FALSE)</f>
        <v>0</v>
      </c>
      <c r="Y240">
        <f>VLOOKUP(Table5[[#This Row],[Shortname]], Comp[], 22, FALSE)</f>
        <v>0</v>
      </c>
      <c r="Z240">
        <f>VLOOKUP(Table5[[#This Row],[Shortname]], Comp[], 23, FALSE)</f>
        <v>0</v>
      </c>
      <c r="AA240">
        <f>VLOOKUP(Table5[[#This Row],[Shortname]], Comp[], 24, FALSE)</f>
        <v>0</v>
      </c>
      <c r="AB240">
        <f>VLOOKUP(Table5[[#This Row],[Shortname]], Comp[], 25, FALSE)</f>
        <v>0</v>
      </c>
      <c r="AC240">
        <f>VLOOKUP(Table5[[#This Row],[Shortname]], Comp[], 26, FALSE)</f>
        <v>0</v>
      </c>
      <c r="AD240">
        <f>VLOOKUP(Table5[[#This Row],[Shortname]], Comp[], 27, FALSE)</f>
        <v>0</v>
      </c>
      <c r="AE240">
        <f>VLOOKUP(Table5[[#This Row],[Shortname]], Comp[], 28, FALSE)</f>
        <v>0</v>
      </c>
      <c r="AF240">
        <f>VLOOKUP(Table5[[#This Row],[Shortname]], Comp[], 29, FALSE)</f>
        <v>0</v>
      </c>
      <c r="AG240">
        <f>VLOOKUP(Table5[[#This Row],[Shortname]], Comp[], 30, FALSE)</f>
        <v>0</v>
      </c>
      <c r="AH240">
        <f>VLOOKUP(Table5[[#This Row],[Shortname]], Comp[], 31, FALSE)</f>
        <v>0</v>
      </c>
    </row>
    <row r="241" spans="1:34" x14ac:dyDescent="0.3">
      <c r="A241" s="7" t="s">
        <v>2335</v>
      </c>
      <c r="B241">
        <v>241</v>
      </c>
      <c r="C241" s="7" t="str">
        <f>VLOOKUP(Table5[[#This Row],[Shortname]], [1]!comp[#Data], 2, FALSE)</f>
        <v>Co3Ti</v>
      </c>
      <c r="D241" s="7" t="s">
        <v>2337</v>
      </c>
      <c r="E241" s="6" t="s">
        <v>2338</v>
      </c>
      <c r="F241" s="6">
        <v>1112</v>
      </c>
      <c r="G241">
        <v>1339</v>
      </c>
      <c r="H241">
        <v>1408</v>
      </c>
      <c r="J241" s="14">
        <f>VLOOKUP(Table5[[#This Row],[Shortname]], Comp[], 7, FALSE)</f>
        <v>55.5</v>
      </c>
      <c r="K241">
        <f>VLOOKUP(Table5[[#This Row],[Shortname]], Comp[], 8, FALSE)</f>
        <v>20</v>
      </c>
      <c r="L241">
        <f>VLOOKUP(Table5[[#This Row],[Shortname]], Comp[], 9, FALSE)</f>
        <v>8</v>
      </c>
      <c r="M241">
        <f>VLOOKUP(Table5[[#This Row],[Shortname]], Comp[], 10, FALSE)</f>
        <v>6</v>
      </c>
      <c r="N241">
        <f>VLOOKUP(Table5[[#This Row],[Shortname]], Comp[], 11, FALSE)</f>
        <v>5</v>
      </c>
      <c r="O241">
        <f>VLOOKUP(Table5[[#This Row],[Shortname]], Comp[],12, FALSE)</f>
        <v>2.5</v>
      </c>
      <c r="P241">
        <f>VLOOKUP(Table5[[#This Row],[Shortname]], Comp[], 13, FALSE)</f>
        <v>1.5</v>
      </c>
      <c r="Q241">
        <f>VLOOKUP(Table5[[#This Row],[Shortname]], Comp[], 14, FALSE)</f>
        <v>0</v>
      </c>
      <c r="R241">
        <f>VLOOKUP(Table5[[#This Row],[Shortname]], Comp[], 15, FALSE)</f>
        <v>0</v>
      </c>
      <c r="S241">
        <f>VLOOKUP(Table5[[#This Row],[Shortname]], Comp[], 16, FALSE)</f>
        <v>0</v>
      </c>
      <c r="T241">
        <f>VLOOKUP(Table5[[#This Row],[Shortname]], Comp[], 17, FALSE)</f>
        <v>0</v>
      </c>
      <c r="U241">
        <f>VLOOKUP(Table5[[#This Row],[Shortname]], Comp[], 18, FALSE)</f>
        <v>0</v>
      </c>
      <c r="V241">
        <f>VLOOKUP(Table5[[#This Row],[Shortname]], Comp[], 19, FALSE)</f>
        <v>0</v>
      </c>
      <c r="W241">
        <f>VLOOKUP(Table5[[#This Row],[Shortname]], Comp[], 20, FALSE)</f>
        <v>0</v>
      </c>
      <c r="X241">
        <f>VLOOKUP(Table5[[#This Row],[Shortname]], Comp[], 21, FALSE)</f>
        <v>0</v>
      </c>
      <c r="Y241">
        <f>VLOOKUP(Table5[[#This Row],[Shortname]], Comp[], 22, FALSE)</f>
        <v>1.4</v>
      </c>
      <c r="Z241">
        <f>VLOOKUP(Table5[[#This Row],[Shortname]], Comp[], 23, FALSE)</f>
        <v>0</v>
      </c>
      <c r="AA241">
        <f>VLOOKUP(Table5[[#This Row],[Shortname]], Comp[], 24, FALSE)</f>
        <v>0</v>
      </c>
      <c r="AB241">
        <f>VLOOKUP(Table5[[#This Row],[Shortname]], Comp[], 25, FALSE)</f>
        <v>0.1</v>
      </c>
      <c r="AC241">
        <f>VLOOKUP(Table5[[#This Row],[Shortname]], Comp[], 26, FALSE)</f>
        <v>0</v>
      </c>
      <c r="AD241">
        <f>VLOOKUP(Table5[[#This Row],[Shortname]], Comp[], 27, FALSE)</f>
        <v>0</v>
      </c>
      <c r="AE241">
        <f>VLOOKUP(Table5[[#This Row],[Shortname]], Comp[], 28, FALSE)</f>
        <v>0</v>
      </c>
      <c r="AF241">
        <f>VLOOKUP(Table5[[#This Row],[Shortname]], Comp[], 29, FALSE)</f>
        <v>0</v>
      </c>
      <c r="AG241">
        <f>VLOOKUP(Table5[[#This Row],[Shortname]], Comp[], 30, FALSE)</f>
        <v>0</v>
      </c>
      <c r="AH241">
        <f>VLOOKUP(Table5[[#This Row],[Shortname]], Comp[], 31, FALSE)</f>
        <v>0</v>
      </c>
    </row>
    <row r="242" spans="1:34" x14ac:dyDescent="0.3">
      <c r="A242" s="7" t="s">
        <v>2335</v>
      </c>
      <c r="B242">
        <v>242</v>
      </c>
      <c r="C242" s="7" t="str">
        <f>VLOOKUP(Table5[[#This Row],[Shortname]], [1]!comp[#Data], 2, FALSE)</f>
        <v>Co3Ti</v>
      </c>
      <c r="D242" s="7" t="s">
        <v>2337</v>
      </c>
      <c r="E242" t="s">
        <v>6724</v>
      </c>
      <c r="F242">
        <v>1100</v>
      </c>
      <c r="G242">
        <v>1294</v>
      </c>
      <c r="H242">
        <v>1398</v>
      </c>
      <c r="I242" t="s">
        <v>6725</v>
      </c>
      <c r="J242" s="14">
        <f>VLOOKUP(Table5[[#This Row],[Shortname]], Comp[], 7, FALSE)</f>
        <v>55.5</v>
      </c>
      <c r="K242">
        <f>VLOOKUP(Table5[[#This Row],[Shortname]], Comp[], 8, FALSE)</f>
        <v>20</v>
      </c>
      <c r="L242">
        <f>VLOOKUP(Table5[[#This Row],[Shortname]], Comp[], 9, FALSE)</f>
        <v>8</v>
      </c>
      <c r="M242">
        <f>VLOOKUP(Table5[[#This Row],[Shortname]], Comp[], 10, FALSE)</f>
        <v>6</v>
      </c>
      <c r="N242">
        <f>VLOOKUP(Table5[[#This Row],[Shortname]], Comp[], 11, FALSE)</f>
        <v>5</v>
      </c>
      <c r="O242">
        <f>VLOOKUP(Table5[[#This Row],[Shortname]], Comp[],12, FALSE)</f>
        <v>2.5</v>
      </c>
      <c r="P242">
        <f>VLOOKUP(Table5[[#This Row],[Shortname]], Comp[], 13, FALSE)</f>
        <v>1.5</v>
      </c>
      <c r="Q242">
        <f>VLOOKUP(Table5[[#This Row],[Shortname]], Comp[], 14, FALSE)</f>
        <v>0</v>
      </c>
      <c r="R242">
        <f>VLOOKUP(Table5[[#This Row],[Shortname]], Comp[], 15, FALSE)</f>
        <v>0</v>
      </c>
      <c r="S242">
        <f>VLOOKUP(Table5[[#This Row],[Shortname]], Comp[], 16, FALSE)</f>
        <v>0</v>
      </c>
      <c r="T242">
        <f>VLOOKUP(Table5[[#This Row],[Shortname]], Comp[], 17, FALSE)</f>
        <v>0</v>
      </c>
      <c r="U242">
        <f>VLOOKUP(Table5[[#This Row],[Shortname]], Comp[], 18, FALSE)</f>
        <v>0</v>
      </c>
      <c r="V242">
        <f>VLOOKUP(Table5[[#This Row],[Shortname]], Comp[], 19, FALSE)</f>
        <v>0</v>
      </c>
      <c r="W242">
        <f>VLOOKUP(Table5[[#This Row],[Shortname]], Comp[], 20, FALSE)</f>
        <v>0</v>
      </c>
      <c r="X242">
        <f>VLOOKUP(Table5[[#This Row],[Shortname]], Comp[], 21, FALSE)</f>
        <v>0</v>
      </c>
      <c r="Y242">
        <f>VLOOKUP(Table5[[#This Row],[Shortname]], Comp[], 22, FALSE)</f>
        <v>1.4</v>
      </c>
      <c r="Z242">
        <f>VLOOKUP(Table5[[#This Row],[Shortname]], Comp[], 23, FALSE)</f>
        <v>0</v>
      </c>
      <c r="AA242">
        <f>VLOOKUP(Table5[[#This Row],[Shortname]], Comp[], 24, FALSE)</f>
        <v>0</v>
      </c>
      <c r="AB242">
        <f>VLOOKUP(Table5[[#This Row],[Shortname]], Comp[], 25, FALSE)</f>
        <v>0.1</v>
      </c>
      <c r="AC242">
        <f>VLOOKUP(Table5[[#This Row],[Shortname]], Comp[], 26, FALSE)</f>
        <v>0</v>
      </c>
      <c r="AD242">
        <f>VLOOKUP(Table5[[#This Row],[Shortname]], Comp[], 27, FALSE)</f>
        <v>0</v>
      </c>
      <c r="AE242">
        <f>VLOOKUP(Table5[[#This Row],[Shortname]], Comp[], 28, FALSE)</f>
        <v>0</v>
      </c>
      <c r="AF242">
        <f>VLOOKUP(Table5[[#This Row],[Shortname]], Comp[], 29, FALSE)</f>
        <v>0</v>
      </c>
      <c r="AG242">
        <f>VLOOKUP(Table5[[#This Row],[Shortname]], Comp[], 30, FALSE)</f>
        <v>0</v>
      </c>
      <c r="AH242">
        <f>VLOOKUP(Table5[[#This Row],[Shortname]], Comp[], 31, FALSE)</f>
        <v>0</v>
      </c>
    </row>
    <row r="243" spans="1:34" x14ac:dyDescent="0.3">
      <c r="A243" s="7" t="s">
        <v>2343</v>
      </c>
      <c r="B243">
        <v>243</v>
      </c>
      <c r="C243" s="7" t="str">
        <f>VLOOKUP(Table5[[#This Row],[Shortname]], [1]!comp[#Data], 2, FALSE)</f>
        <v>W-free</v>
      </c>
      <c r="D243" s="7" t="s">
        <v>2345</v>
      </c>
      <c r="E243" s="21" t="s">
        <v>6726</v>
      </c>
      <c r="F243">
        <v>1066</v>
      </c>
      <c r="J243" s="14">
        <f>VLOOKUP(Table5[[#This Row],[Shortname]], Comp[], 7, FALSE)</f>
        <v>50.4</v>
      </c>
      <c r="K243">
        <f>VLOOKUP(Table5[[#This Row],[Shortname]], Comp[], 8, FALSE)</f>
        <v>32</v>
      </c>
      <c r="L243">
        <f>VLOOKUP(Table5[[#This Row],[Shortname]], Comp[], 9, FALSE)</f>
        <v>9.9</v>
      </c>
      <c r="M243">
        <f>VLOOKUP(Table5[[#This Row],[Shortname]], Comp[], 10, FALSE)</f>
        <v>0</v>
      </c>
      <c r="N243">
        <f>VLOOKUP(Table5[[#This Row],[Shortname]], Comp[], 11, FALSE)</f>
        <v>0</v>
      </c>
      <c r="O243">
        <f>VLOOKUP(Table5[[#This Row],[Shortname]], Comp[],12, FALSE)</f>
        <v>1.4</v>
      </c>
      <c r="P243">
        <f>VLOOKUP(Table5[[#This Row],[Shortname]], Comp[], 13, FALSE)</f>
        <v>1.7</v>
      </c>
      <c r="Q243">
        <f>VLOOKUP(Table5[[#This Row],[Shortname]], Comp[], 14, FALSE)</f>
        <v>0</v>
      </c>
      <c r="R243">
        <f>VLOOKUP(Table5[[#This Row],[Shortname]], Comp[], 15, FALSE)</f>
        <v>0</v>
      </c>
      <c r="S243">
        <f>VLOOKUP(Table5[[#This Row],[Shortname]], Comp[], 16, FALSE)</f>
        <v>4.5999999999999996</v>
      </c>
      <c r="T243">
        <f>VLOOKUP(Table5[[#This Row],[Shortname]], Comp[], 17, FALSE)</f>
        <v>0</v>
      </c>
      <c r="U243">
        <f>VLOOKUP(Table5[[#This Row],[Shortname]], Comp[], 18, FALSE)</f>
        <v>0</v>
      </c>
      <c r="V243">
        <f>VLOOKUP(Table5[[#This Row],[Shortname]], Comp[], 19, FALSE)</f>
        <v>0</v>
      </c>
      <c r="W243">
        <f>VLOOKUP(Table5[[#This Row],[Shortname]], Comp[], 20, FALSE)</f>
        <v>0</v>
      </c>
      <c r="X243">
        <f>VLOOKUP(Table5[[#This Row],[Shortname]], Comp[], 21, FALSE)</f>
        <v>0</v>
      </c>
      <c r="Y243">
        <f>VLOOKUP(Table5[[#This Row],[Shortname]], Comp[], 22, FALSE)</f>
        <v>0</v>
      </c>
      <c r="Z243">
        <f>VLOOKUP(Table5[[#This Row],[Shortname]], Comp[], 23, FALSE)</f>
        <v>0</v>
      </c>
      <c r="AA243">
        <f>VLOOKUP(Table5[[#This Row],[Shortname]], Comp[], 24, FALSE)</f>
        <v>0</v>
      </c>
      <c r="AB243">
        <f>VLOOKUP(Table5[[#This Row],[Shortname]], Comp[], 25, FALSE)</f>
        <v>0</v>
      </c>
      <c r="AC243">
        <f>VLOOKUP(Table5[[#This Row],[Shortname]], Comp[], 26, FALSE)</f>
        <v>0</v>
      </c>
      <c r="AD243">
        <f>VLOOKUP(Table5[[#This Row],[Shortname]], Comp[], 27, FALSE)</f>
        <v>0</v>
      </c>
      <c r="AE243">
        <f>VLOOKUP(Table5[[#This Row],[Shortname]], Comp[], 28, FALSE)</f>
        <v>0</v>
      </c>
      <c r="AF243">
        <f>VLOOKUP(Table5[[#This Row],[Shortname]], Comp[], 29, FALSE)</f>
        <v>0</v>
      </c>
      <c r="AG243">
        <f>VLOOKUP(Table5[[#This Row],[Shortname]], Comp[], 30, FALSE)</f>
        <v>0</v>
      </c>
      <c r="AH243">
        <f>VLOOKUP(Table5[[#This Row],[Shortname]], Comp[], 31, FALSE)</f>
        <v>0</v>
      </c>
    </row>
    <row r="244" spans="1:34" x14ac:dyDescent="0.3">
      <c r="A244" s="7" t="s">
        <v>2359</v>
      </c>
      <c r="B244">
        <v>244</v>
      </c>
      <c r="C244" s="7" t="str">
        <f>VLOOKUP(Table5[[#This Row],[Shortname]], [1]!comp[#Data], 2, FALSE)</f>
        <v>W-free</v>
      </c>
      <c r="D244" s="7" t="s">
        <v>2361</v>
      </c>
      <c r="E244" s="21" t="s">
        <v>6726</v>
      </c>
      <c r="F244">
        <v>1014</v>
      </c>
      <c r="J244" s="14">
        <f>VLOOKUP(Table5[[#This Row],[Shortname]], Comp[], 7, FALSE)</f>
        <v>51.699999999999996</v>
      </c>
      <c r="K244">
        <f>VLOOKUP(Table5[[#This Row],[Shortname]], Comp[], 8, FALSE)</f>
        <v>31</v>
      </c>
      <c r="L244">
        <f>VLOOKUP(Table5[[#This Row],[Shortname]], Comp[], 9, FALSE)</f>
        <v>10.1</v>
      </c>
      <c r="M244">
        <f>VLOOKUP(Table5[[#This Row],[Shortname]], Comp[], 10, FALSE)</f>
        <v>0</v>
      </c>
      <c r="N244">
        <f>VLOOKUP(Table5[[#This Row],[Shortname]], Comp[], 11, FALSE)</f>
        <v>0</v>
      </c>
      <c r="O244">
        <f>VLOOKUP(Table5[[#This Row],[Shortname]], Comp[],12, FALSE)</f>
        <v>0</v>
      </c>
      <c r="P244">
        <f>VLOOKUP(Table5[[#This Row],[Shortname]], Comp[], 13, FALSE)</f>
        <v>2.1</v>
      </c>
      <c r="Q244">
        <f>VLOOKUP(Table5[[#This Row],[Shortname]], Comp[], 14, FALSE)</f>
        <v>0</v>
      </c>
      <c r="R244">
        <f>VLOOKUP(Table5[[#This Row],[Shortname]], Comp[], 15, FALSE)</f>
        <v>0</v>
      </c>
      <c r="S244">
        <f>VLOOKUP(Table5[[#This Row],[Shortname]], Comp[], 16, FALSE)</f>
        <v>5.0999999999999996</v>
      </c>
      <c r="T244">
        <f>VLOOKUP(Table5[[#This Row],[Shortname]], Comp[], 17, FALSE)</f>
        <v>0</v>
      </c>
      <c r="U244">
        <f>VLOOKUP(Table5[[#This Row],[Shortname]], Comp[], 18, FALSE)</f>
        <v>0</v>
      </c>
      <c r="V244">
        <f>VLOOKUP(Table5[[#This Row],[Shortname]], Comp[], 19, FALSE)</f>
        <v>0</v>
      </c>
      <c r="W244">
        <f>VLOOKUP(Table5[[#This Row],[Shortname]], Comp[], 20, FALSE)</f>
        <v>0</v>
      </c>
      <c r="X244">
        <f>VLOOKUP(Table5[[#This Row],[Shortname]], Comp[], 21, FALSE)</f>
        <v>0</v>
      </c>
      <c r="Y244">
        <f>VLOOKUP(Table5[[#This Row],[Shortname]], Comp[], 22, FALSE)</f>
        <v>0</v>
      </c>
      <c r="Z244">
        <f>VLOOKUP(Table5[[#This Row],[Shortname]], Comp[], 23, FALSE)</f>
        <v>0</v>
      </c>
      <c r="AA244">
        <f>VLOOKUP(Table5[[#This Row],[Shortname]], Comp[], 24, FALSE)</f>
        <v>0</v>
      </c>
      <c r="AB244">
        <f>VLOOKUP(Table5[[#This Row],[Shortname]], Comp[], 25, FALSE)</f>
        <v>0</v>
      </c>
      <c r="AC244">
        <f>VLOOKUP(Table5[[#This Row],[Shortname]], Comp[], 26, FALSE)</f>
        <v>0</v>
      </c>
      <c r="AD244">
        <f>VLOOKUP(Table5[[#This Row],[Shortname]], Comp[], 27, FALSE)</f>
        <v>0</v>
      </c>
      <c r="AE244">
        <f>VLOOKUP(Table5[[#This Row],[Shortname]], Comp[], 28, FALSE)</f>
        <v>0</v>
      </c>
      <c r="AF244">
        <f>VLOOKUP(Table5[[#This Row],[Shortname]], Comp[], 29, FALSE)</f>
        <v>0</v>
      </c>
      <c r="AG244">
        <f>VLOOKUP(Table5[[#This Row],[Shortname]], Comp[], 30, FALSE)</f>
        <v>0</v>
      </c>
      <c r="AH244">
        <f>VLOOKUP(Table5[[#This Row],[Shortname]], Comp[], 31, FALSE)</f>
        <v>0</v>
      </c>
    </row>
    <row r="245" spans="1:34" x14ac:dyDescent="0.3">
      <c r="A245" s="7" t="s">
        <v>2352</v>
      </c>
      <c r="B245">
        <v>245</v>
      </c>
      <c r="C245" s="7" t="str">
        <f>VLOOKUP(Table5[[#This Row],[Shortname]], [1]!comp[#Data], 2, FALSE)</f>
        <v>W-free</v>
      </c>
      <c r="D245" s="7" t="s">
        <v>2354</v>
      </c>
      <c r="E245" s="21" t="s">
        <v>6726</v>
      </c>
      <c r="F245">
        <v>928</v>
      </c>
      <c r="J245" s="14">
        <f>VLOOKUP(Table5[[#This Row],[Shortname]], Comp[], 7, FALSE)</f>
        <v>82.9</v>
      </c>
      <c r="K245">
        <f>VLOOKUP(Table5[[#This Row],[Shortname]], Comp[], 8, FALSE)</f>
        <v>0</v>
      </c>
      <c r="L245">
        <f>VLOOKUP(Table5[[#This Row],[Shortname]], Comp[], 9, FALSE)</f>
        <v>9.9</v>
      </c>
      <c r="M245">
        <f>VLOOKUP(Table5[[#This Row],[Shortname]], Comp[], 10, FALSE)</f>
        <v>0</v>
      </c>
      <c r="N245">
        <f>VLOOKUP(Table5[[#This Row],[Shortname]], Comp[], 11, FALSE)</f>
        <v>0</v>
      </c>
      <c r="O245">
        <f>VLOOKUP(Table5[[#This Row],[Shortname]], Comp[],12, FALSE)</f>
        <v>0</v>
      </c>
      <c r="P245">
        <f>VLOOKUP(Table5[[#This Row],[Shortname]], Comp[], 13, FALSE)</f>
        <v>2.1</v>
      </c>
      <c r="Q245">
        <f>VLOOKUP(Table5[[#This Row],[Shortname]], Comp[], 14, FALSE)</f>
        <v>0</v>
      </c>
      <c r="R245">
        <f>VLOOKUP(Table5[[#This Row],[Shortname]], Comp[], 15, FALSE)</f>
        <v>0</v>
      </c>
      <c r="S245">
        <f>VLOOKUP(Table5[[#This Row],[Shortname]], Comp[], 16, FALSE)</f>
        <v>5.0999999999999996</v>
      </c>
      <c r="T245">
        <f>VLOOKUP(Table5[[#This Row],[Shortname]], Comp[], 17, FALSE)</f>
        <v>0</v>
      </c>
      <c r="U245">
        <f>VLOOKUP(Table5[[#This Row],[Shortname]], Comp[], 18, FALSE)</f>
        <v>0</v>
      </c>
      <c r="V245">
        <f>VLOOKUP(Table5[[#This Row],[Shortname]], Comp[], 19, FALSE)</f>
        <v>0</v>
      </c>
      <c r="W245">
        <f>VLOOKUP(Table5[[#This Row],[Shortname]], Comp[], 20, FALSE)</f>
        <v>0</v>
      </c>
      <c r="X245">
        <f>VLOOKUP(Table5[[#This Row],[Shortname]], Comp[], 21, FALSE)</f>
        <v>0</v>
      </c>
      <c r="Y245">
        <f>VLOOKUP(Table5[[#This Row],[Shortname]], Comp[], 22, FALSE)</f>
        <v>0</v>
      </c>
      <c r="Z245">
        <f>VLOOKUP(Table5[[#This Row],[Shortname]], Comp[], 23, FALSE)</f>
        <v>0</v>
      </c>
      <c r="AA245">
        <f>VLOOKUP(Table5[[#This Row],[Shortname]], Comp[], 24, FALSE)</f>
        <v>0</v>
      </c>
      <c r="AB245">
        <f>VLOOKUP(Table5[[#This Row],[Shortname]], Comp[], 25, FALSE)</f>
        <v>0</v>
      </c>
      <c r="AC245">
        <f>VLOOKUP(Table5[[#This Row],[Shortname]], Comp[], 26, FALSE)</f>
        <v>0</v>
      </c>
      <c r="AD245">
        <f>VLOOKUP(Table5[[#This Row],[Shortname]], Comp[], 27, FALSE)</f>
        <v>0</v>
      </c>
      <c r="AE245">
        <f>VLOOKUP(Table5[[#This Row],[Shortname]], Comp[], 28, FALSE)</f>
        <v>0</v>
      </c>
      <c r="AF245">
        <f>VLOOKUP(Table5[[#This Row],[Shortname]], Comp[], 29, FALSE)</f>
        <v>0</v>
      </c>
      <c r="AG245">
        <f>VLOOKUP(Table5[[#This Row],[Shortname]], Comp[], 30, FALSE)</f>
        <v>0</v>
      </c>
      <c r="AH245">
        <f>VLOOKUP(Table5[[#This Row],[Shortname]], Comp[], 31, FALSE)</f>
        <v>0</v>
      </c>
    </row>
    <row r="246" spans="1:34" x14ac:dyDescent="0.3">
      <c r="A246" s="7" t="s">
        <v>2366</v>
      </c>
      <c r="B246">
        <v>246</v>
      </c>
      <c r="C246" s="7" t="str">
        <f>VLOOKUP(Table5[[#This Row],[Shortname]], [1]!comp[#Data], 2, FALSE)</f>
        <v>W-free</v>
      </c>
      <c r="D246" s="7" t="s">
        <v>2368</v>
      </c>
      <c r="E246" t="s">
        <v>6727</v>
      </c>
      <c r="F246">
        <v>866</v>
      </c>
      <c r="J246" s="14">
        <f>VLOOKUP(Table5[[#This Row],[Shortname]], Comp[], 7, FALSE)</f>
        <v>83</v>
      </c>
      <c r="K246">
        <f>VLOOKUP(Table5[[#This Row],[Shortname]], Comp[], 8, FALSE)</f>
        <v>0</v>
      </c>
      <c r="L246">
        <f>VLOOKUP(Table5[[#This Row],[Shortname]], Comp[], 9, FALSE)</f>
        <v>9.8000000000000007</v>
      </c>
      <c r="M246">
        <f>VLOOKUP(Table5[[#This Row],[Shortname]], Comp[], 10, FALSE)</f>
        <v>0</v>
      </c>
      <c r="N246">
        <f>VLOOKUP(Table5[[#This Row],[Shortname]], Comp[], 11, FALSE)</f>
        <v>0</v>
      </c>
      <c r="O246">
        <f>VLOOKUP(Table5[[#This Row],[Shortname]], Comp[],12, FALSE)</f>
        <v>0</v>
      </c>
      <c r="P246">
        <f>VLOOKUP(Table5[[#This Row],[Shortname]], Comp[], 13, FALSE)</f>
        <v>0</v>
      </c>
      <c r="Q246">
        <f>VLOOKUP(Table5[[#This Row],[Shortname]], Comp[], 14, FALSE)</f>
        <v>2.1</v>
      </c>
      <c r="R246">
        <f>VLOOKUP(Table5[[#This Row],[Shortname]], Comp[], 15, FALSE)</f>
        <v>0</v>
      </c>
      <c r="S246">
        <f>VLOOKUP(Table5[[#This Row],[Shortname]], Comp[], 16, FALSE)</f>
        <v>5.0999999999999996</v>
      </c>
      <c r="T246">
        <f>VLOOKUP(Table5[[#This Row],[Shortname]], Comp[], 17, FALSE)</f>
        <v>0</v>
      </c>
      <c r="U246">
        <f>VLOOKUP(Table5[[#This Row],[Shortname]], Comp[], 18, FALSE)</f>
        <v>0</v>
      </c>
      <c r="V246">
        <f>VLOOKUP(Table5[[#This Row],[Shortname]], Comp[], 19, FALSE)</f>
        <v>0</v>
      </c>
      <c r="W246">
        <f>VLOOKUP(Table5[[#This Row],[Shortname]], Comp[], 20, FALSE)</f>
        <v>0</v>
      </c>
      <c r="X246">
        <f>VLOOKUP(Table5[[#This Row],[Shortname]], Comp[], 21, FALSE)</f>
        <v>0</v>
      </c>
      <c r="Y246">
        <f>VLOOKUP(Table5[[#This Row],[Shortname]], Comp[], 22, FALSE)</f>
        <v>0</v>
      </c>
      <c r="Z246">
        <f>VLOOKUP(Table5[[#This Row],[Shortname]], Comp[], 23, FALSE)</f>
        <v>0</v>
      </c>
      <c r="AA246">
        <f>VLOOKUP(Table5[[#This Row],[Shortname]], Comp[], 24, FALSE)</f>
        <v>0</v>
      </c>
      <c r="AB246">
        <f>VLOOKUP(Table5[[#This Row],[Shortname]], Comp[], 25, FALSE)</f>
        <v>0</v>
      </c>
      <c r="AC246">
        <f>VLOOKUP(Table5[[#This Row],[Shortname]], Comp[], 26, FALSE)</f>
        <v>0</v>
      </c>
      <c r="AD246">
        <f>VLOOKUP(Table5[[#This Row],[Shortname]], Comp[], 27, FALSE)</f>
        <v>0</v>
      </c>
      <c r="AE246">
        <f>VLOOKUP(Table5[[#This Row],[Shortname]], Comp[], 28, FALSE)</f>
        <v>0</v>
      </c>
      <c r="AF246">
        <f>VLOOKUP(Table5[[#This Row],[Shortname]], Comp[], 29, FALSE)</f>
        <v>0</v>
      </c>
      <c r="AG246">
        <f>VLOOKUP(Table5[[#This Row],[Shortname]], Comp[], 30, FALSE)</f>
        <v>0</v>
      </c>
      <c r="AH246">
        <f>VLOOKUP(Table5[[#This Row],[Shortname]], Comp[], 31, FALSE)</f>
        <v>0</v>
      </c>
    </row>
    <row r="247" spans="1:34" x14ac:dyDescent="0.3">
      <c r="A247" s="7" t="s">
        <v>2390</v>
      </c>
      <c r="B247">
        <v>247</v>
      </c>
      <c r="C247" s="7" t="str">
        <f>VLOOKUP(Table5[[#This Row],[Shortname]], [1]!comp[#Data], 2, FALSE)</f>
        <v>W-free</v>
      </c>
      <c r="D247" s="7" t="s">
        <v>2392</v>
      </c>
      <c r="E247" s="3" t="s">
        <v>2377</v>
      </c>
      <c r="F247">
        <v>990</v>
      </c>
      <c r="J247" s="14">
        <f>VLOOKUP(Table5[[#This Row],[Shortname]], Comp[], 7, FALSE)</f>
        <v>50.8</v>
      </c>
      <c r="K247">
        <f>VLOOKUP(Table5[[#This Row],[Shortname]], Comp[], 8, FALSE)</f>
        <v>32</v>
      </c>
      <c r="L247">
        <f>VLOOKUP(Table5[[#This Row],[Shortname]], Comp[], 9, FALSE)</f>
        <v>9.6999999999999993</v>
      </c>
      <c r="M247">
        <f>VLOOKUP(Table5[[#This Row],[Shortname]], Comp[], 10, FALSE)</f>
        <v>0</v>
      </c>
      <c r="N247">
        <f>VLOOKUP(Table5[[#This Row],[Shortname]], Comp[], 11, FALSE)</f>
        <v>0</v>
      </c>
      <c r="O247">
        <f>VLOOKUP(Table5[[#This Row],[Shortname]], Comp[],12, FALSE)</f>
        <v>0</v>
      </c>
      <c r="P247">
        <f>VLOOKUP(Table5[[#This Row],[Shortname]], Comp[], 13, FALSE)</f>
        <v>0</v>
      </c>
      <c r="Q247">
        <f>VLOOKUP(Table5[[#This Row],[Shortname]], Comp[], 14, FALSE)</f>
        <v>2.2999999999999998</v>
      </c>
      <c r="R247">
        <f>VLOOKUP(Table5[[#This Row],[Shortname]], Comp[], 15, FALSE)</f>
        <v>0</v>
      </c>
      <c r="S247">
        <f>VLOOKUP(Table5[[#This Row],[Shortname]], Comp[], 16, FALSE)</f>
        <v>5.2</v>
      </c>
      <c r="T247">
        <f>VLOOKUP(Table5[[#This Row],[Shortname]], Comp[], 17, FALSE)</f>
        <v>0</v>
      </c>
      <c r="U247">
        <f>VLOOKUP(Table5[[#This Row],[Shortname]], Comp[], 18, FALSE)</f>
        <v>0</v>
      </c>
      <c r="V247">
        <f>VLOOKUP(Table5[[#This Row],[Shortname]], Comp[], 19, FALSE)</f>
        <v>0</v>
      </c>
      <c r="W247">
        <f>VLOOKUP(Table5[[#This Row],[Shortname]], Comp[], 20, FALSE)</f>
        <v>0</v>
      </c>
      <c r="X247">
        <f>VLOOKUP(Table5[[#This Row],[Shortname]], Comp[], 21, FALSE)</f>
        <v>0</v>
      </c>
      <c r="Y247">
        <f>VLOOKUP(Table5[[#This Row],[Shortname]], Comp[], 22, FALSE)</f>
        <v>0</v>
      </c>
      <c r="Z247">
        <f>VLOOKUP(Table5[[#This Row],[Shortname]], Comp[], 23, FALSE)</f>
        <v>0</v>
      </c>
      <c r="AA247">
        <f>VLOOKUP(Table5[[#This Row],[Shortname]], Comp[], 24, FALSE)</f>
        <v>0</v>
      </c>
      <c r="AB247">
        <f>VLOOKUP(Table5[[#This Row],[Shortname]], Comp[], 25, FALSE)</f>
        <v>0</v>
      </c>
      <c r="AC247">
        <f>VLOOKUP(Table5[[#This Row],[Shortname]], Comp[], 26, FALSE)</f>
        <v>0</v>
      </c>
      <c r="AD247">
        <f>VLOOKUP(Table5[[#This Row],[Shortname]], Comp[], 27, FALSE)</f>
        <v>0</v>
      </c>
      <c r="AE247">
        <f>VLOOKUP(Table5[[#This Row],[Shortname]], Comp[], 28, FALSE)</f>
        <v>0</v>
      </c>
      <c r="AF247">
        <f>VLOOKUP(Table5[[#This Row],[Shortname]], Comp[], 29, FALSE)</f>
        <v>0</v>
      </c>
      <c r="AG247">
        <f>VLOOKUP(Table5[[#This Row],[Shortname]], Comp[], 30, FALSE)</f>
        <v>0</v>
      </c>
      <c r="AH247">
        <f>VLOOKUP(Table5[[#This Row],[Shortname]], Comp[], 31, FALSE)</f>
        <v>0</v>
      </c>
    </row>
    <row r="248" spans="1:34" x14ac:dyDescent="0.3">
      <c r="A248" s="7" t="s">
        <v>2383</v>
      </c>
      <c r="B248">
        <v>248</v>
      </c>
      <c r="C248" s="7" t="str">
        <f>VLOOKUP(Table5[[#This Row],[Shortname]], [1]!comp[#Data], 2, FALSE)</f>
        <v>W-free</v>
      </c>
      <c r="D248" s="7" t="s">
        <v>2385</v>
      </c>
      <c r="E248" s="3" t="s">
        <v>2377</v>
      </c>
      <c r="F248">
        <v>936</v>
      </c>
      <c r="J248" s="14">
        <f>VLOOKUP(Table5[[#This Row],[Shortname]], Comp[], 7, FALSE)</f>
        <v>61</v>
      </c>
      <c r="K248">
        <f>VLOOKUP(Table5[[#This Row],[Shortname]], Comp[], 8, FALSE)</f>
        <v>22</v>
      </c>
      <c r="L248">
        <f>VLOOKUP(Table5[[#This Row],[Shortname]], Comp[], 9, FALSE)</f>
        <v>9.8000000000000007</v>
      </c>
      <c r="M248">
        <f>VLOOKUP(Table5[[#This Row],[Shortname]], Comp[], 10, FALSE)</f>
        <v>0</v>
      </c>
      <c r="N248">
        <f>VLOOKUP(Table5[[#This Row],[Shortname]], Comp[], 11, FALSE)</f>
        <v>0</v>
      </c>
      <c r="O248">
        <f>VLOOKUP(Table5[[#This Row],[Shortname]], Comp[],12, FALSE)</f>
        <v>0</v>
      </c>
      <c r="P248">
        <f>VLOOKUP(Table5[[#This Row],[Shortname]], Comp[], 13, FALSE)</f>
        <v>0</v>
      </c>
      <c r="Q248">
        <f>VLOOKUP(Table5[[#This Row],[Shortname]], Comp[], 14, FALSE)</f>
        <v>2.1</v>
      </c>
      <c r="R248">
        <f>VLOOKUP(Table5[[#This Row],[Shortname]], Comp[], 15, FALSE)</f>
        <v>0</v>
      </c>
      <c r="S248">
        <f>VLOOKUP(Table5[[#This Row],[Shortname]], Comp[], 16, FALSE)</f>
        <v>5.0999999999999996</v>
      </c>
      <c r="T248">
        <f>VLOOKUP(Table5[[#This Row],[Shortname]], Comp[], 17, FALSE)</f>
        <v>0</v>
      </c>
      <c r="U248">
        <f>VLOOKUP(Table5[[#This Row],[Shortname]], Comp[], 18, FALSE)</f>
        <v>0</v>
      </c>
      <c r="V248">
        <f>VLOOKUP(Table5[[#This Row],[Shortname]], Comp[], 19, FALSE)</f>
        <v>0</v>
      </c>
      <c r="W248">
        <f>VLOOKUP(Table5[[#This Row],[Shortname]], Comp[], 20, FALSE)</f>
        <v>0</v>
      </c>
      <c r="X248">
        <f>VLOOKUP(Table5[[#This Row],[Shortname]], Comp[], 21, FALSE)</f>
        <v>0</v>
      </c>
      <c r="Y248">
        <f>VLOOKUP(Table5[[#This Row],[Shortname]], Comp[], 22, FALSE)</f>
        <v>0</v>
      </c>
      <c r="Z248">
        <f>VLOOKUP(Table5[[#This Row],[Shortname]], Comp[], 23, FALSE)</f>
        <v>0</v>
      </c>
      <c r="AA248">
        <f>VLOOKUP(Table5[[#This Row],[Shortname]], Comp[], 24, FALSE)</f>
        <v>0</v>
      </c>
      <c r="AB248">
        <f>VLOOKUP(Table5[[#This Row],[Shortname]], Comp[], 25, FALSE)</f>
        <v>0</v>
      </c>
      <c r="AC248">
        <f>VLOOKUP(Table5[[#This Row],[Shortname]], Comp[], 26, FALSE)</f>
        <v>0</v>
      </c>
      <c r="AD248">
        <f>VLOOKUP(Table5[[#This Row],[Shortname]], Comp[], 27, FALSE)</f>
        <v>0</v>
      </c>
      <c r="AE248">
        <f>VLOOKUP(Table5[[#This Row],[Shortname]], Comp[], 28, FALSE)</f>
        <v>0</v>
      </c>
      <c r="AF248">
        <f>VLOOKUP(Table5[[#This Row],[Shortname]], Comp[], 29, FALSE)</f>
        <v>0</v>
      </c>
      <c r="AG248">
        <f>VLOOKUP(Table5[[#This Row],[Shortname]], Comp[], 30, FALSE)</f>
        <v>0</v>
      </c>
      <c r="AH248">
        <f>VLOOKUP(Table5[[#This Row],[Shortname]], Comp[], 31, FALSE)</f>
        <v>0</v>
      </c>
    </row>
    <row r="249" spans="1:34" x14ac:dyDescent="0.3">
      <c r="A249" s="7" t="s">
        <v>2374</v>
      </c>
      <c r="B249">
        <v>249</v>
      </c>
      <c r="C249" s="7" t="str">
        <f>VLOOKUP(Table5[[#This Row],[Shortname]], [1]!comp[#Data], 2, FALSE)</f>
        <v>W-free</v>
      </c>
      <c r="D249" s="7" t="s">
        <v>2376</v>
      </c>
      <c r="E249" s="3" t="s">
        <v>2377</v>
      </c>
      <c r="F249">
        <v>890</v>
      </c>
      <c r="J249" s="14">
        <f>VLOOKUP(Table5[[#This Row],[Shortname]], Comp[], 7, FALSE)</f>
        <v>71.3</v>
      </c>
      <c r="K249">
        <f>VLOOKUP(Table5[[#This Row],[Shortname]], Comp[], 8, FALSE)</f>
        <v>11.5</v>
      </c>
      <c r="L249">
        <f>VLOOKUP(Table5[[#This Row],[Shortname]], Comp[], 9, FALSE)</f>
        <v>9.9</v>
      </c>
      <c r="M249">
        <f>VLOOKUP(Table5[[#This Row],[Shortname]], Comp[], 10, FALSE)</f>
        <v>0</v>
      </c>
      <c r="N249">
        <f>VLOOKUP(Table5[[#This Row],[Shortname]], Comp[], 11, FALSE)</f>
        <v>0</v>
      </c>
      <c r="O249">
        <f>VLOOKUP(Table5[[#This Row],[Shortname]], Comp[],12, FALSE)</f>
        <v>0</v>
      </c>
      <c r="P249">
        <f>VLOOKUP(Table5[[#This Row],[Shortname]], Comp[], 13, FALSE)</f>
        <v>0</v>
      </c>
      <c r="Q249">
        <f>VLOOKUP(Table5[[#This Row],[Shortname]], Comp[], 14, FALSE)</f>
        <v>2.1</v>
      </c>
      <c r="R249">
        <f>VLOOKUP(Table5[[#This Row],[Shortname]], Comp[], 15, FALSE)</f>
        <v>0</v>
      </c>
      <c r="S249">
        <f>VLOOKUP(Table5[[#This Row],[Shortname]], Comp[], 16, FALSE)</f>
        <v>5.2</v>
      </c>
      <c r="T249">
        <f>VLOOKUP(Table5[[#This Row],[Shortname]], Comp[], 17, FALSE)</f>
        <v>0</v>
      </c>
      <c r="U249">
        <f>VLOOKUP(Table5[[#This Row],[Shortname]], Comp[], 18, FALSE)</f>
        <v>0</v>
      </c>
      <c r="V249">
        <f>VLOOKUP(Table5[[#This Row],[Shortname]], Comp[], 19, FALSE)</f>
        <v>0</v>
      </c>
      <c r="W249">
        <f>VLOOKUP(Table5[[#This Row],[Shortname]], Comp[], 20, FALSE)</f>
        <v>0</v>
      </c>
      <c r="X249">
        <f>VLOOKUP(Table5[[#This Row],[Shortname]], Comp[], 21, FALSE)</f>
        <v>0</v>
      </c>
      <c r="Y249">
        <f>VLOOKUP(Table5[[#This Row],[Shortname]], Comp[], 22, FALSE)</f>
        <v>0</v>
      </c>
      <c r="Z249">
        <f>VLOOKUP(Table5[[#This Row],[Shortname]], Comp[], 23, FALSE)</f>
        <v>0</v>
      </c>
      <c r="AA249">
        <f>VLOOKUP(Table5[[#This Row],[Shortname]], Comp[], 24, FALSE)</f>
        <v>0</v>
      </c>
      <c r="AB249">
        <f>VLOOKUP(Table5[[#This Row],[Shortname]], Comp[], 25, FALSE)</f>
        <v>0</v>
      </c>
      <c r="AC249">
        <f>VLOOKUP(Table5[[#This Row],[Shortname]], Comp[], 26, FALSE)</f>
        <v>0</v>
      </c>
      <c r="AD249">
        <f>VLOOKUP(Table5[[#This Row],[Shortname]], Comp[], 27, FALSE)</f>
        <v>0</v>
      </c>
      <c r="AE249">
        <f>VLOOKUP(Table5[[#This Row],[Shortname]], Comp[], 28, FALSE)</f>
        <v>0</v>
      </c>
      <c r="AF249">
        <f>VLOOKUP(Table5[[#This Row],[Shortname]], Comp[], 29, FALSE)</f>
        <v>0</v>
      </c>
      <c r="AG249">
        <f>VLOOKUP(Table5[[#This Row],[Shortname]], Comp[], 30, FALSE)</f>
        <v>0</v>
      </c>
      <c r="AH249">
        <f>VLOOKUP(Table5[[#This Row],[Shortname]], Comp[], 31, FALSE)</f>
        <v>0</v>
      </c>
    </row>
    <row r="250" spans="1:34" x14ac:dyDescent="0.3">
      <c r="A250" s="7" t="s">
        <v>2397</v>
      </c>
      <c r="B250">
        <v>250</v>
      </c>
      <c r="C250" s="7" t="str">
        <f>VLOOKUP(Table5[[#This Row],[Shortname]], [1]!comp[#Data], 2, FALSE)</f>
        <v>W-free</v>
      </c>
      <c r="D250" s="7" t="s">
        <v>2399</v>
      </c>
      <c r="E250" s="3" t="s">
        <v>2400</v>
      </c>
      <c r="F250">
        <v>1030</v>
      </c>
      <c r="J250" s="14">
        <f>VLOOKUP(Table5[[#This Row],[Shortname]], Comp[], 7, FALSE)</f>
        <v>56</v>
      </c>
      <c r="K250">
        <f>VLOOKUP(Table5[[#This Row],[Shortname]], Comp[], 8, FALSE)</f>
        <v>30</v>
      </c>
      <c r="L250">
        <f>VLOOKUP(Table5[[#This Row],[Shortname]], Comp[], 9, FALSE)</f>
        <v>10</v>
      </c>
      <c r="M250">
        <f>VLOOKUP(Table5[[#This Row],[Shortname]], Comp[], 10, FALSE)</f>
        <v>0</v>
      </c>
      <c r="N250">
        <f>VLOOKUP(Table5[[#This Row],[Shortname]], Comp[], 11, FALSE)</f>
        <v>0</v>
      </c>
      <c r="O250">
        <f>VLOOKUP(Table5[[#This Row],[Shortname]], Comp[],12, FALSE)</f>
        <v>2</v>
      </c>
      <c r="P250">
        <f>VLOOKUP(Table5[[#This Row],[Shortname]], Comp[], 13, FALSE)</f>
        <v>0</v>
      </c>
      <c r="Q250">
        <f>VLOOKUP(Table5[[#This Row],[Shortname]], Comp[], 14, FALSE)</f>
        <v>2</v>
      </c>
      <c r="R250">
        <f>VLOOKUP(Table5[[#This Row],[Shortname]], Comp[], 15, FALSE)</f>
        <v>0</v>
      </c>
      <c r="S250">
        <f>VLOOKUP(Table5[[#This Row],[Shortname]], Comp[], 16, FALSE)</f>
        <v>0</v>
      </c>
      <c r="T250">
        <f>VLOOKUP(Table5[[#This Row],[Shortname]], Comp[], 17, FALSE)</f>
        <v>0</v>
      </c>
      <c r="U250">
        <f>VLOOKUP(Table5[[#This Row],[Shortname]], Comp[], 18, FALSE)</f>
        <v>0</v>
      </c>
      <c r="V250">
        <f>VLOOKUP(Table5[[#This Row],[Shortname]], Comp[], 19, FALSE)</f>
        <v>0</v>
      </c>
      <c r="W250">
        <f>VLOOKUP(Table5[[#This Row],[Shortname]], Comp[], 20, FALSE)</f>
        <v>0</v>
      </c>
      <c r="X250">
        <f>VLOOKUP(Table5[[#This Row],[Shortname]], Comp[], 21, FALSE)</f>
        <v>0</v>
      </c>
      <c r="Y250">
        <f>VLOOKUP(Table5[[#This Row],[Shortname]], Comp[], 22, FALSE)</f>
        <v>0</v>
      </c>
      <c r="Z250">
        <f>VLOOKUP(Table5[[#This Row],[Shortname]], Comp[], 23, FALSE)</f>
        <v>0</v>
      </c>
      <c r="AA250">
        <f>VLOOKUP(Table5[[#This Row],[Shortname]], Comp[], 24, FALSE)</f>
        <v>0</v>
      </c>
      <c r="AB250">
        <f>VLOOKUP(Table5[[#This Row],[Shortname]], Comp[], 25, FALSE)</f>
        <v>0</v>
      </c>
      <c r="AC250">
        <f>VLOOKUP(Table5[[#This Row],[Shortname]], Comp[], 26, FALSE)</f>
        <v>0</v>
      </c>
      <c r="AD250">
        <f>VLOOKUP(Table5[[#This Row],[Shortname]], Comp[], 27, FALSE)</f>
        <v>0</v>
      </c>
      <c r="AE250">
        <f>VLOOKUP(Table5[[#This Row],[Shortname]], Comp[], 28, FALSE)</f>
        <v>0</v>
      </c>
      <c r="AF250">
        <f>VLOOKUP(Table5[[#This Row],[Shortname]], Comp[], 29, FALSE)</f>
        <v>0</v>
      </c>
      <c r="AG250">
        <f>VLOOKUP(Table5[[#This Row],[Shortname]], Comp[], 30, FALSE)</f>
        <v>0</v>
      </c>
      <c r="AH250">
        <f>VLOOKUP(Table5[[#This Row],[Shortname]], Comp[], 31, FALSE)</f>
        <v>0</v>
      </c>
    </row>
    <row r="251" spans="1:34" x14ac:dyDescent="0.3">
      <c r="A251" s="7" t="s">
        <v>2405</v>
      </c>
      <c r="B251">
        <v>251</v>
      </c>
      <c r="C251" s="7" t="str">
        <f>VLOOKUP(Table5[[#This Row],[Shortname]], [1]!comp[#Data], 2, FALSE)</f>
        <v>CoAlWX+</v>
      </c>
      <c r="D251" s="7" t="s">
        <v>2406</v>
      </c>
      <c r="E251" t="s">
        <v>2407</v>
      </c>
      <c r="F251">
        <v>1129</v>
      </c>
      <c r="G251">
        <v>1339</v>
      </c>
      <c r="H251">
        <v>1379</v>
      </c>
      <c r="J251" s="14">
        <f>VLOOKUP(Table5[[#This Row],[Shortname]], Comp[], 7, FALSE)</f>
        <v>28.840000000000003</v>
      </c>
      <c r="K251">
        <f>VLOOKUP(Table5[[#This Row],[Shortname]], Comp[], 8, FALSE)</f>
        <v>40</v>
      </c>
      <c r="L251">
        <f>VLOOKUP(Table5[[#This Row],[Shortname]], Comp[], 9, FALSE)</f>
        <v>10</v>
      </c>
      <c r="M251">
        <f>VLOOKUP(Table5[[#This Row],[Shortname]], Comp[], 10, FALSE)</f>
        <v>10</v>
      </c>
      <c r="N251">
        <f>VLOOKUP(Table5[[#This Row],[Shortname]], Comp[], 11, FALSE)</f>
        <v>7.5</v>
      </c>
      <c r="O251">
        <f>VLOOKUP(Table5[[#This Row],[Shortname]], Comp[],12, FALSE)</f>
        <v>0</v>
      </c>
      <c r="P251">
        <f>VLOOKUP(Table5[[#This Row],[Shortname]], Comp[], 13, FALSE)</f>
        <v>3</v>
      </c>
      <c r="Q251">
        <f>VLOOKUP(Table5[[#This Row],[Shortname]], Comp[], 14, FALSE)</f>
        <v>0</v>
      </c>
      <c r="R251">
        <f>VLOOKUP(Table5[[#This Row],[Shortname]], Comp[], 15, FALSE)</f>
        <v>0</v>
      </c>
      <c r="S251">
        <f>VLOOKUP(Table5[[#This Row],[Shortname]], Comp[], 16, FALSE)</f>
        <v>0</v>
      </c>
      <c r="T251">
        <f>VLOOKUP(Table5[[#This Row],[Shortname]], Comp[], 17, FALSE)</f>
        <v>0.6</v>
      </c>
      <c r="U251">
        <f>VLOOKUP(Table5[[#This Row],[Shortname]], Comp[], 18, FALSE)</f>
        <v>0</v>
      </c>
      <c r="V251">
        <f>VLOOKUP(Table5[[#This Row],[Shortname]], Comp[], 19, FALSE)</f>
        <v>0.06</v>
      </c>
      <c r="W251">
        <f>VLOOKUP(Table5[[#This Row],[Shortname]], Comp[], 20, FALSE)</f>
        <v>0</v>
      </c>
      <c r="X251">
        <f>VLOOKUP(Table5[[#This Row],[Shortname]], Comp[], 21, FALSE)</f>
        <v>0</v>
      </c>
      <c r="Y251">
        <f>VLOOKUP(Table5[[#This Row],[Shortname]], Comp[], 22, FALSE)</f>
        <v>0</v>
      </c>
      <c r="Z251">
        <f>VLOOKUP(Table5[[#This Row],[Shortname]], Comp[], 23, FALSE)</f>
        <v>0</v>
      </c>
      <c r="AA251">
        <f>VLOOKUP(Table5[[#This Row],[Shortname]], Comp[], 24, FALSE)</f>
        <v>0</v>
      </c>
      <c r="AB251">
        <f>VLOOKUP(Table5[[#This Row],[Shortname]], Comp[], 25, FALSE)</f>
        <v>0</v>
      </c>
      <c r="AC251">
        <f>VLOOKUP(Table5[[#This Row],[Shortname]], Comp[], 26, FALSE)</f>
        <v>0</v>
      </c>
      <c r="AD251">
        <f>VLOOKUP(Table5[[#This Row],[Shortname]], Comp[], 27, FALSE)</f>
        <v>0</v>
      </c>
      <c r="AE251">
        <f>VLOOKUP(Table5[[#This Row],[Shortname]], Comp[], 28, FALSE)</f>
        <v>0</v>
      </c>
      <c r="AF251">
        <f>VLOOKUP(Table5[[#This Row],[Shortname]], Comp[], 29, FALSE)</f>
        <v>0</v>
      </c>
      <c r="AG251">
        <f>VLOOKUP(Table5[[#This Row],[Shortname]], Comp[], 30, FALSE)</f>
        <v>0</v>
      </c>
      <c r="AH251">
        <f>VLOOKUP(Table5[[#This Row],[Shortname]], Comp[], 31, FALSE)</f>
        <v>0</v>
      </c>
    </row>
    <row r="252" spans="1:34" x14ac:dyDescent="0.3">
      <c r="A252" s="7" t="s">
        <v>2412</v>
      </c>
      <c r="B252">
        <v>252</v>
      </c>
      <c r="C252" s="7" t="str">
        <f>VLOOKUP(Table5[[#This Row],[Shortname]], [1]!comp[#Data], 2, FALSE)</f>
        <v>CoAlWX+</v>
      </c>
      <c r="D252" s="7" t="s">
        <v>2414</v>
      </c>
      <c r="E252" t="s">
        <v>2407</v>
      </c>
      <c r="F252">
        <v>1092</v>
      </c>
      <c r="H252">
        <v>1376</v>
      </c>
      <c r="J252" s="14">
        <f>VLOOKUP(Table5[[#This Row],[Shortname]], Comp[], 7, FALSE)</f>
        <v>38.839999999999996</v>
      </c>
      <c r="K252">
        <f>VLOOKUP(Table5[[#This Row],[Shortname]], Comp[], 8, FALSE)</f>
        <v>30</v>
      </c>
      <c r="L252">
        <f>VLOOKUP(Table5[[#This Row],[Shortname]], Comp[], 9, FALSE)</f>
        <v>10</v>
      </c>
      <c r="M252">
        <f>VLOOKUP(Table5[[#This Row],[Shortname]], Comp[], 10, FALSE)</f>
        <v>10</v>
      </c>
      <c r="N252">
        <f>VLOOKUP(Table5[[#This Row],[Shortname]], Comp[], 11, FALSE)</f>
        <v>7.5</v>
      </c>
      <c r="O252">
        <f>VLOOKUP(Table5[[#This Row],[Shortname]], Comp[],12, FALSE)</f>
        <v>0</v>
      </c>
      <c r="P252">
        <f>VLOOKUP(Table5[[#This Row],[Shortname]], Comp[], 13, FALSE)</f>
        <v>0</v>
      </c>
      <c r="Q252">
        <f>VLOOKUP(Table5[[#This Row],[Shortname]], Comp[], 14, FALSE)</f>
        <v>3</v>
      </c>
      <c r="R252">
        <f>VLOOKUP(Table5[[#This Row],[Shortname]], Comp[], 15, FALSE)</f>
        <v>0</v>
      </c>
      <c r="S252">
        <f>VLOOKUP(Table5[[#This Row],[Shortname]], Comp[], 16, FALSE)</f>
        <v>0</v>
      </c>
      <c r="T252">
        <f>VLOOKUP(Table5[[#This Row],[Shortname]], Comp[], 17, FALSE)</f>
        <v>0.6</v>
      </c>
      <c r="U252">
        <f>VLOOKUP(Table5[[#This Row],[Shortname]], Comp[], 18, FALSE)</f>
        <v>0</v>
      </c>
      <c r="V252">
        <f>VLOOKUP(Table5[[#This Row],[Shortname]], Comp[], 19, FALSE)</f>
        <v>0.06</v>
      </c>
      <c r="W252">
        <f>VLOOKUP(Table5[[#This Row],[Shortname]], Comp[], 20, FALSE)</f>
        <v>0</v>
      </c>
      <c r="X252">
        <f>VLOOKUP(Table5[[#This Row],[Shortname]], Comp[], 21, FALSE)</f>
        <v>0</v>
      </c>
      <c r="Y252">
        <f>VLOOKUP(Table5[[#This Row],[Shortname]], Comp[], 22, FALSE)</f>
        <v>0</v>
      </c>
      <c r="Z252">
        <f>VLOOKUP(Table5[[#This Row],[Shortname]], Comp[], 23, FALSE)</f>
        <v>0</v>
      </c>
      <c r="AA252">
        <f>VLOOKUP(Table5[[#This Row],[Shortname]], Comp[], 24, FALSE)</f>
        <v>0</v>
      </c>
      <c r="AB252">
        <f>VLOOKUP(Table5[[#This Row],[Shortname]], Comp[], 25, FALSE)</f>
        <v>0</v>
      </c>
      <c r="AC252">
        <f>VLOOKUP(Table5[[#This Row],[Shortname]], Comp[], 26, FALSE)</f>
        <v>0</v>
      </c>
      <c r="AD252">
        <f>VLOOKUP(Table5[[#This Row],[Shortname]], Comp[], 27, FALSE)</f>
        <v>0</v>
      </c>
      <c r="AE252">
        <f>VLOOKUP(Table5[[#This Row],[Shortname]], Comp[], 28, FALSE)</f>
        <v>0</v>
      </c>
      <c r="AF252">
        <f>VLOOKUP(Table5[[#This Row],[Shortname]], Comp[], 29, FALSE)</f>
        <v>0</v>
      </c>
      <c r="AG252">
        <f>VLOOKUP(Table5[[#This Row],[Shortname]], Comp[], 30, FALSE)</f>
        <v>0</v>
      </c>
      <c r="AH252">
        <f>VLOOKUP(Table5[[#This Row],[Shortname]], Comp[], 31, FALSE)</f>
        <v>0</v>
      </c>
    </row>
    <row r="253" spans="1:34" x14ac:dyDescent="0.3">
      <c r="A253" s="7" t="s">
        <v>2443</v>
      </c>
      <c r="B253">
        <v>253</v>
      </c>
      <c r="C253" s="7" t="str">
        <f>VLOOKUP(Table5[[#This Row],[Shortname]], [1]!comp[#Data], 2, FALSE)</f>
        <v>CoAlW-X</v>
      </c>
      <c r="D253" s="7" t="s">
        <v>2445</v>
      </c>
      <c r="E253" t="s">
        <v>6728</v>
      </c>
      <c r="F253">
        <v>992</v>
      </c>
      <c r="J253" s="14">
        <f>VLOOKUP(Table5[[#This Row],[Shortname]], Comp[], 7, FALSE)</f>
        <v>83.5</v>
      </c>
      <c r="K253">
        <f>VLOOKUP(Table5[[#This Row],[Shortname]], Comp[], 8, FALSE)</f>
        <v>0</v>
      </c>
      <c r="L253">
        <f>VLOOKUP(Table5[[#This Row],[Shortname]], Comp[], 9, FALSE)</f>
        <v>9.9</v>
      </c>
      <c r="M253">
        <f>VLOOKUP(Table5[[#This Row],[Shortname]], Comp[], 10, FALSE)</f>
        <v>0</v>
      </c>
      <c r="N253">
        <f>VLOOKUP(Table5[[#This Row],[Shortname]], Comp[], 11, FALSE)</f>
        <v>4.8</v>
      </c>
      <c r="O253">
        <f>VLOOKUP(Table5[[#This Row],[Shortname]], Comp[],12, FALSE)</f>
        <v>0</v>
      </c>
      <c r="P253">
        <f>VLOOKUP(Table5[[#This Row],[Shortname]], Comp[], 13, FALSE)</f>
        <v>1.8</v>
      </c>
      <c r="Q253">
        <f>VLOOKUP(Table5[[#This Row],[Shortname]], Comp[], 14, FALSE)</f>
        <v>0</v>
      </c>
      <c r="R253">
        <f>VLOOKUP(Table5[[#This Row],[Shortname]], Comp[], 15, FALSE)</f>
        <v>0</v>
      </c>
      <c r="S253">
        <f>VLOOKUP(Table5[[#This Row],[Shortname]], Comp[], 16, FALSE)</f>
        <v>0</v>
      </c>
      <c r="T253">
        <f>VLOOKUP(Table5[[#This Row],[Shortname]], Comp[], 17, FALSE)</f>
        <v>0</v>
      </c>
      <c r="U253">
        <f>VLOOKUP(Table5[[#This Row],[Shortname]], Comp[], 18, FALSE)</f>
        <v>0</v>
      </c>
      <c r="V253">
        <f>VLOOKUP(Table5[[#This Row],[Shortname]], Comp[], 19, FALSE)</f>
        <v>0</v>
      </c>
      <c r="W253">
        <f>VLOOKUP(Table5[[#This Row],[Shortname]], Comp[], 20, FALSE)</f>
        <v>0</v>
      </c>
      <c r="X253">
        <f>VLOOKUP(Table5[[#This Row],[Shortname]], Comp[], 21, FALSE)</f>
        <v>0</v>
      </c>
      <c r="Y253">
        <f>VLOOKUP(Table5[[#This Row],[Shortname]], Comp[], 22, FALSE)</f>
        <v>0</v>
      </c>
      <c r="Z253">
        <f>VLOOKUP(Table5[[#This Row],[Shortname]], Comp[], 23, FALSE)</f>
        <v>0</v>
      </c>
      <c r="AA253">
        <f>VLOOKUP(Table5[[#This Row],[Shortname]], Comp[], 24, FALSE)</f>
        <v>0</v>
      </c>
      <c r="AB253">
        <f>VLOOKUP(Table5[[#This Row],[Shortname]], Comp[], 25, FALSE)</f>
        <v>0</v>
      </c>
      <c r="AC253">
        <f>VLOOKUP(Table5[[#This Row],[Shortname]], Comp[], 26, FALSE)</f>
        <v>0</v>
      </c>
      <c r="AD253">
        <f>VLOOKUP(Table5[[#This Row],[Shortname]], Comp[], 27, FALSE)</f>
        <v>0</v>
      </c>
      <c r="AE253">
        <f>VLOOKUP(Table5[[#This Row],[Shortname]], Comp[], 28, FALSE)</f>
        <v>0</v>
      </c>
      <c r="AF253">
        <f>VLOOKUP(Table5[[#This Row],[Shortname]], Comp[], 29, FALSE)</f>
        <v>0</v>
      </c>
      <c r="AG253">
        <f>VLOOKUP(Table5[[#This Row],[Shortname]], Comp[], 30, FALSE)</f>
        <v>0</v>
      </c>
      <c r="AH253">
        <f>VLOOKUP(Table5[[#This Row],[Shortname]], Comp[], 31, FALSE)</f>
        <v>0</v>
      </c>
    </row>
    <row r="254" spans="1:34" x14ac:dyDescent="0.3">
      <c r="A254" s="7" t="s">
        <v>2436</v>
      </c>
      <c r="B254">
        <v>254</v>
      </c>
      <c r="C254" s="7" t="str">
        <f>VLOOKUP(Table5[[#This Row],[Shortname]], [1]!comp[#Data], 2, FALSE)</f>
        <v>CoAlW-X</v>
      </c>
      <c r="D254" s="7" t="s">
        <v>2438</v>
      </c>
      <c r="E254" t="s">
        <v>6728</v>
      </c>
      <c r="F254">
        <v>902</v>
      </c>
      <c r="J254" s="14">
        <f>VLOOKUP(Table5[[#This Row],[Shortname]], Comp[], 7, FALSE)</f>
        <v>57.8</v>
      </c>
      <c r="K254">
        <f>VLOOKUP(Table5[[#This Row],[Shortname]], Comp[], 8, FALSE)</f>
        <v>25.6</v>
      </c>
      <c r="L254">
        <f>VLOOKUP(Table5[[#This Row],[Shortname]], Comp[], 9, FALSE)</f>
        <v>8.5</v>
      </c>
      <c r="M254">
        <f>VLOOKUP(Table5[[#This Row],[Shortname]], Comp[], 10, FALSE)</f>
        <v>0</v>
      </c>
      <c r="N254">
        <f>VLOOKUP(Table5[[#This Row],[Shortname]], Comp[], 11, FALSE)</f>
        <v>8.1</v>
      </c>
      <c r="O254">
        <f>VLOOKUP(Table5[[#This Row],[Shortname]], Comp[],12, FALSE)</f>
        <v>0</v>
      </c>
      <c r="P254">
        <f>VLOOKUP(Table5[[#This Row],[Shortname]], Comp[], 13, FALSE)</f>
        <v>0</v>
      </c>
      <c r="Q254">
        <f>VLOOKUP(Table5[[#This Row],[Shortname]], Comp[], 14, FALSE)</f>
        <v>0</v>
      </c>
      <c r="R254">
        <f>VLOOKUP(Table5[[#This Row],[Shortname]], Comp[], 15, FALSE)</f>
        <v>0</v>
      </c>
      <c r="S254">
        <f>VLOOKUP(Table5[[#This Row],[Shortname]], Comp[], 16, FALSE)</f>
        <v>0</v>
      </c>
      <c r="T254">
        <f>VLOOKUP(Table5[[#This Row],[Shortname]], Comp[], 17, FALSE)</f>
        <v>0</v>
      </c>
      <c r="U254">
        <f>VLOOKUP(Table5[[#This Row],[Shortname]], Comp[], 18, FALSE)</f>
        <v>0</v>
      </c>
      <c r="V254">
        <f>VLOOKUP(Table5[[#This Row],[Shortname]], Comp[], 19, FALSE)</f>
        <v>0</v>
      </c>
      <c r="W254">
        <f>VLOOKUP(Table5[[#This Row],[Shortname]], Comp[], 20, FALSE)</f>
        <v>0</v>
      </c>
      <c r="X254">
        <f>VLOOKUP(Table5[[#This Row],[Shortname]], Comp[], 21, FALSE)</f>
        <v>0</v>
      </c>
      <c r="Y254">
        <f>VLOOKUP(Table5[[#This Row],[Shortname]], Comp[], 22, FALSE)</f>
        <v>0</v>
      </c>
      <c r="Z254">
        <f>VLOOKUP(Table5[[#This Row],[Shortname]], Comp[], 23, FALSE)</f>
        <v>0</v>
      </c>
      <c r="AA254">
        <f>VLOOKUP(Table5[[#This Row],[Shortname]], Comp[], 24, FALSE)</f>
        <v>0</v>
      </c>
      <c r="AB254">
        <f>VLOOKUP(Table5[[#This Row],[Shortname]], Comp[], 25, FALSE)</f>
        <v>0</v>
      </c>
      <c r="AC254">
        <f>VLOOKUP(Table5[[#This Row],[Shortname]], Comp[], 26, FALSE)</f>
        <v>0</v>
      </c>
      <c r="AD254">
        <f>VLOOKUP(Table5[[#This Row],[Shortname]], Comp[], 27, FALSE)</f>
        <v>0</v>
      </c>
      <c r="AE254">
        <f>VLOOKUP(Table5[[#This Row],[Shortname]], Comp[], 28, FALSE)</f>
        <v>0</v>
      </c>
      <c r="AF254">
        <f>VLOOKUP(Table5[[#This Row],[Shortname]], Comp[], 29, FALSE)</f>
        <v>0</v>
      </c>
      <c r="AG254">
        <f>VLOOKUP(Table5[[#This Row],[Shortname]], Comp[], 30, FALSE)</f>
        <v>0</v>
      </c>
      <c r="AH254">
        <f>VLOOKUP(Table5[[#This Row],[Shortname]], Comp[], 31, FALSE)</f>
        <v>0</v>
      </c>
    </row>
    <row r="255" spans="1:34" x14ac:dyDescent="0.3">
      <c r="A255" s="7" t="s">
        <v>2430</v>
      </c>
      <c r="B255">
        <v>255</v>
      </c>
      <c r="C255" s="7" t="str">
        <f>VLOOKUP(Table5[[#This Row],[Shortname]], [1]!comp[#Data], 2, FALSE)</f>
        <v>CoAlW-X</v>
      </c>
      <c r="D255" s="7" t="s">
        <v>2430</v>
      </c>
      <c r="E255" t="s">
        <v>6728</v>
      </c>
      <c r="F255">
        <v>854</v>
      </c>
      <c r="J255" s="14">
        <f>VLOOKUP(Table5[[#This Row],[Shortname]], Comp[], 7, FALSE)</f>
        <v>85.9</v>
      </c>
      <c r="K255">
        <f>VLOOKUP(Table5[[#This Row],[Shortname]], Comp[], 8, FALSE)</f>
        <v>0</v>
      </c>
      <c r="L255">
        <f>VLOOKUP(Table5[[#This Row],[Shortname]], Comp[], 9, FALSE)</f>
        <v>7.3</v>
      </c>
      <c r="M255">
        <f>VLOOKUP(Table5[[#This Row],[Shortname]], Comp[], 10, FALSE)</f>
        <v>0</v>
      </c>
      <c r="N255">
        <f>VLOOKUP(Table5[[#This Row],[Shortname]], Comp[], 11, FALSE)</f>
        <v>6.8</v>
      </c>
      <c r="O255">
        <f>VLOOKUP(Table5[[#This Row],[Shortname]], Comp[],12, FALSE)</f>
        <v>0</v>
      </c>
      <c r="P255">
        <f>VLOOKUP(Table5[[#This Row],[Shortname]], Comp[], 13, FALSE)</f>
        <v>0</v>
      </c>
      <c r="Q255">
        <f>VLOOKUP(Table5[[#This Row],[Shortname]], Comp[], 14, FALSE)</f>
        <v>0</v>
      </c>
      <c r="R255">
        <f>VLOOKUP(Table5[[#This Row],[Shortname]], Comp[], 15, FALSE)</f>
        <v>0</v>
      </c>
      <c r="S255">
        <f>VLOOKUP(Table5[[#This Row],[Shortname]], Comp[], 16, FALSE)</f>
        <v>0</v>
      </c>
      <c r="T255">
        <f>VLOOKUP(Table5[[#This Row],[Shortname]], Comp[], 17, FALSE)</f>
        <v>0</v>
      </c>
      <c r="U255">
        <f>VLOOKUP(Table5[[#This Row],[Shortname]], Comp[], 18, FALSE)</f>
        <v>0</v>
      </c>
      <c r="V255">
        <f>VLOOKUP(Table5[[#This Row],[Shortname]], Comp[], 19, FALSE)</f>
        <v>0</v>
      </c>
      <c r="W255">
        <f>VLOOKUP(Table5[[#This Row],[Shortname]], Comp[], 20, FALSE)</f>
        <v>0</v>
      </c>
      <c r="X255">
        <f>VLOOKUP(Table5[[#This Row],[Shortname]], Comp[], 21, FALSE)</f>
        <v>0</v>
      </c>
      <c r="Y255">
        <f>VLOOKUP(Table5[[#This Row],[Shortname]], Comp[], 22, FALSE)</f>
        <v>0</v>
      </c>
      <c r="Z255">
        <f>VLOOKUP(Table5[[#This Row],[Shortname]], Comp[], 23, FALSE)</f>
        <v>0</v>
      </c>
      <c r="AA255">
        <f>VLOOKUP(Table5[[#This Row],[Shortname]], Comp[], 24, FALSE)</f>
        <v>0</v>
      </c>
      <c r="AB255">
        <f>VLOOKUP(Table5[[#This Row],[Shortname]], Comp[], 25, FALSE)</f>
        <v>0</v>
      </c>
      <c r="AC255">
        <f>VLOOKUP(Table5[[#This Row],[Shortname]], Comp[], 26, FALSE)</f>
        <v>0</v>
      </c>
      <c r="AD255">
        <f>VLOOKUP(Table5[[#This Row],[Shortname]], Comp[], 27, FALSE)</f>
        <v>0</v>
      </c>
      <c r="AE255">
        <f>VLOOKUP(Table5[[#This Row],[Shortname]], Comp[], 28, FALSE)</f>
        <v>0</v>
      </c>
      <c r="AF255">
        <f>VLOOKUP(Table5[[#This Row],[Shortname]], Comp[], 29, FALSE)</f>
        <v>0</v>
      </c>
      <c r="AG255">
        <f>VLOOKUP(Table5[[#This Row],[Shortname]], Comp[], 30, FALSE)</f>
        <v>0</v>
      </c>
      <c r="AH255">
        <f>VLOOKUP(Table5[[#This Row],[Shortname]], Comp[], 31, FALSE)</f>
        <v>0</v>
      </c>
    </row>
    <row r="256" spans="1:34" x14ac:dyDescent="0.3">
      <c r="A256" t="s">
        <v>2473</v>
      </c>
      <c r="B256">
        <v>256</v>
      </c>
      <c r="C256" t="str">
        <f>VLOOKUP(Table5[[#This Row],[Shortname]], [1]!comp[#Data], 2, FALSE)</f>
        <v>W-free</v>
      </c>
      <c r="D256" t="s">
        <v>2475</v>
      </c>
      <c r="E256" s="3" t="s">
        <v>2469</v>
      </c>
      <c r="F256">
        <v>950</v>
      </c>
      <c r="G256">
        <v>1338</v>
      </c>
      <c r="H256">
        <v>1411</v>
      </c>
      <c r="J256" s="14">
        <f>VLOOKUP(Table5[[#This Row],[Shortname]], Comp[], 7, FALSE)</f>
        <v>63</v>
      </c>
      <c r="K256">
        <f>VLOOKUP(Table5[[#This Row],[Shortname]], Comp[], 8, FALSE)</f>
        <v>20</v>
      </c>
      <c r="L256">
        <f>VLOOKUP(Table5[[#This Row],[Shortname]], Comp[], 9, FALSE)</f>
        <v>10</v>
      </c>
      <c r="M256">
        <f>VLOOKUP(Table5[[#This Row],[Shortname]], Comp[], 10, FALSE)</f>
        <v>0</v>
      </c>
      <c r="N256">
        <f>VLOOKUP(Table5[[#This Row],[Shortname]], Comp[], 11, FALSE)</f>
        <v>0</v>
      </c>
      <c r="O256">
        <f>VLOOKUP(Table5[[#This Row],[Shortname]], Comp[],12, FALSE)</f>
        <v>0</v>
      </c>
      <c r="P256">
        <f>VLOOKUP(Table5[[#This Row],[Shortname]], Comp[], 13, FALSE)</f>
        <v>0</v>
      </c>
      <c r="Q256">
        <f>VLOOKUP(Table5[[#This Row],[Shortname]], Comp[], 14, FALSE)</f>
        <v>2</v>
      </c>
      <c r="R256">
        <f>VLOOKUP(Table5[[#This Row],[Shortname]], Comp[], 15, FALSE)</f>
        <v>0</v>
      </c>
      <c r="S256">
        <f>VLOOKUP(Table5[[#This Row],[Shortname]], Comp[], 16, FALSE)</f>
        <v>5</v>
      </c>
      <c r="T256">
        <f>VLOOKUP(Table5[[#This Row],[Shortname]], Comp[], 17, FALSE)</f>
        <v>0</v>
      </c>
      <c r="U256">
        <f>VLOOKUP(Table5[[#This Row],[Shortname]], Comp[], 18, FALSE)</f>
        <v>0</v>
      </c>
      <c r="V256">
        <f>VLOOKUP(Table5[[#This Row],[Shortname]], Comp[], 19, FALSE)</f>
        <v>0</v>
      </c>
      <c r="W256">
        <f>VLOOKUP(Table5[[#This Row],[Shortname]], Comp[], 20, FALSE)</f>
        <v>0</v>
      </c>
      <c r="X256">
        <f>VLOOKUP(Table5[[#This Row],[Shortname]], Comp[], 21, FALSE)</f>
        <v>0</v>
      </c>
      <c r="Y256">
        <f>VLOOKUP(Table5[[#This Row],[Shortname]], Comp[], 22, FALSE)</f>
        <v>0</v>
      </c>
      <c r="Z256">
        <f>VLOOKUP(Table5[[#This Row],[Shortname]], Comp[], 23, FALSE)</f>
        <v>0</v>
      </c>
      <c r="AA256">
        <f>VLOOKUP(Table5[[#This Row],[Shortname]], Comp[], 24, FALSE)</f>
        <v>0</v>
      </c>
      <c r="AB256">
        <f>VLOOKUP(Table5[[#This Row],[Shortname]], Comp[], 25, FALSE)</f>
        <v>0</v>
      </c>
      <c r="AC256">
        <f>VLOOKUP(Table5[[#This Row],[Shortname]], Comp[], 26, FALSE)</f>
        <v>0</v>
      </c>
      <c r="AD256">
        <f>VLOOKUP(Table5[[#This Row],[Shortname]], Comp[], 27, FALSE)</f>
        <v>0</v>
      </c>
      <c r="AE256">
        <f>VLOOKUP(Table5[[#This Row],[Shortname]], Comp[], 28, FALSE)</f>
        <v>0</v>
      </c>
      <c r="AF256">
        <f>VLOOKUP(Table5[[#This Row],[Shortname]], Comp[], 29, FALSE)</f>
        <v>0</v>
      </c>
      <c r="AG256">
        <f>VLOOKUP(Table5[[#This Row],[Shortname]], Comp[], 30, FALSE)</f>
        <v>0</v>
      </c>
      <c r="AH256">
        <f>VLOOKUP(Table5[[#This Row],[Shortname]], Comp[], 31, FALSE)</f>
        <v>0</v>
      </c>
    </row>
    <row r="257" spans="1:34" x14ac:dyDescent="0.3">
      <c r="A257" t="s">
        <v>2467</v>
      </c>
      <c r="B257">
        <v>257</v>
      </c>
      <c r="C257" t="str">
        <f>VLOOKUP(Table5[[#This Row],[Shortname]], [1]!comp[#Data], 2, FALSE)</f>
        <v>W-free</v>
      </c>
      <c r="D257" t="s">
        <v>2468</v>
      </c>
      <c r="E257" s="3" t="s">
        <v>2469</v>
      </c>
      <c r="F257">
        <v>861</v>
      </c>
      <c r="G257">
        <v>1318</v>
      </c>
      <c r="H257">
        <v>1421</v>
      </c>
      <c r="J257" s="14">
        <f>VLOOKUP(Table5[[#This Row],[Shortname]], Comp[], 7, FALSE)</f>
        <v>83</v>
      </c>
      <c r="K257">
        <f>VLOOKUP(Table5[[#This Row],[Shortname]], Comp[], 8, FALSE)</f>
        <v>0</v>
      </c>
      <c r="L257">
        <f>VLOOKUP(Table5[[#This Row],[Shortname]], Comp[], 9, FALSE)</f>
        <v>10</v>
      </c>
      <c r="M257">
        <f>VLOOKUP(Table5[[#This Row],[Shortname]], Comp[], 10, FALSE)</f>
        <v>0</v>
      </c>
      <c r="N257">
        <f>VLOOKUP(Table5[[#This Row],[Shortname]], Comp[], 11, FALSE)</f>
        <v>0</v>
      </c>
      <c r="O257">
        <f>VLOOKUP(Table5[[#This Row],[Shortname]], Comp[],12, FALSE)</f>
        <v>0</v>
      </c>
      <c r="P257">
        <f>VLOOKUP(Table5[[#This Row],[Shortname]], Comp[], 13, FALSE)</f>
        <v>0</v>
      </c>
      <c r="Q257">
        <f>VLOOKUP(Table5[[#This Row],[Shortname]], Comp[], 14, FALSE)</f>
        <v>2</v>
      </c>
      <c r="R257">
        <f>VLOOKUP(Table5[[#This Row],[Shortname]], Comp[], 15, FALSE)</f>
        <v>0</v>
      </c>
      <c r="S257">
        <f>VLOOKUP(Table5[[#This Row],[Shortname]], Comp[], 16, FALSE)</f>
        <v>5</v>
      </c>
      <c r="T257">
        <f>VLOOKUP(Table5[[#This Row],[Shortname]], Comp[], 17, FALSE)</f>
        <v>0</v>
      </c>
      <c r="U257">
        <f>VLOOKUP(Table5[[#This Row],[Shortname]], Comp[], 18, FALSE)</f>
        <v>0</v>
      </c>
      <c r="V257">
        <f>VLOOKUP(Table5[[#This Row],[Shortname]], Comp[], 19, FALSE)</f>
        <v>0</v>
      </c>
      <c r="W257">
        <f>VLOOKUP(Table5[[#This Row],[Shortname]], Comp[], 20, FALSE)</f>
        <v>0</v>
      </c>
      <c r="X257">
        <f>VLOOKUP(Table5[[#This Row],[Shortname]], Comp[], 21, FALSE)</f>
        <v>0</v>
      </c>
      <c r="Y257">
        <f>VLOOKUP(Table5[[#This Row],[Shortname]], Comp[], 22, FALSE)</f>
        <v>0</v>
      </c>
      <c r="Z257">
        <f>VLOOKUP(Table5[[#This Row],[Shortname]], Comp[], 23, FALSE)</f>
        <v>0</v>
      </c>
      <c r="AA257">
        <f>VLOOKUP(Table5[[#This Row],[Shortname]], Comp[], 24, FALSE)</f>
        <v>0</v>
      </c>
      <c r="AB257">
        <f>VLOOKUP(Table5[[#This Row],[Shortname]], Comp[], 25, FALSE)</f>
        <v>0</v>
      </c>
      <c r="AC257">
        <f>VLOOKUP(Table5[[#This Row],[Shortname]], Comp[], 26, FALSE)</f>
        <v>0</v>
      </c>
      <c r="AD257">
        <f>VLOOKUP(Table5[[#This Row],[Shortname]], Comp[], 27, FALSE)</f>
        <v>0</v>
      </c>
      <c r="AE257">
        <f>VLOOKUP(Table5[[#This Row],[Shortname]], Comp[], 28, FALSE)</f>
        <v>0</v>
      </c>
      <c r="AF257">
        <f>VLOOKUP(Table5[[#This Row],[Shortname]], Comp[], 29, FALSE)</f>
        <v>0</v>
      </c>
      <c r="AG257">
        <f>VLOOKUP(Table5[[#This Row],[Shortname]], Comp[], 30, FALSE)</f>
        <v>0</v>
      </c>
      <c r="AH257">
        <f>VLOOKUP(Table5[[#This Row],[Shortname]], Comp[], 31, FALSE)</f>
        <v>0</v>
      </c>
    </row>
    <row r="258" spans="1:34" x14ac:dyDescent="0.3">
      <c r="A258" s="7" t="s">
        <v>2524</v>
      </c>
      <c r="B258">
        <v>258</v>
      </c>
      <c r="C258" s="7" t="str">
        <f>VLOOKUP(Table5[[#This Row],[Shortname]], [1]!comp[#Data], 2, FALSE)</f>
        <v>CoAlWX+</v>
      </c>
      <c r="D258" s="7" t="s">
        <v>2526</v>
      </c>
      <c r="E258" t="s">
        <v>6729</v>
      </c>
      <c r="F258">
        <v>1087</v>
      </c>
      <c r="G258">
        <v>1362</v>
      </c>
      <c r="J258" s="14">
        <f>VLOOKUP(Table5[[#This Row],[Shortname]], Comp[], 7, FALSE)</f>
        <v>79</v>
      </c>
      <c r="K258">
        <f>VLOOKUP(Table5[[#This Row],[Shortname]], Comp[], 8, FALSE)</f>
        <v>0</v>
      </c>
      <c r="L258">
        <f>VLOOKUP(Table5[[#This Row],[Shortname]], Comp[], 9, FALSE)</f>
        <v>10</v>
      </c>
      <c r="M258">
        <f>VLOOKUP(Table5[[#This Row],[Shortname]], Comp[], 10, FALSE)</f>
        <v>0</v>
      </c>
      <c r="N258">
        <f>VLOOKUP(Table5[[#This Row],[Shortname]], Comp[], 11, FALSE)</f>
        <v>8.4</v>
      </c>
      <c r="O258">
        <f>VLOOKUP(Table5[[#This Row],[Shortname]], Comp[],12, FALSE)</f>
        <v>1.4</v>
      </c>
      <c r="P258">
        <f>VLOOKUP(Table5[[#This Row],[Shortname]], Comp[], 13, FALSE)</f>
        <v>0</v>
      </c>
      <c r="Q258">
        <f>VLOOKUP(Table5[[#This Row],[Shortname]], Comp[], 14, FALSE)</f>
        <v>1.2</v>
      </c>
      <c r="R258">
        <f>VLOOKUP(Table5[[#This Row],[Shortname]], Comp[], 15, FALSE)</f>
        <v>0</v>
      </c>
      <c r="S258">
        <f>VLOOKUP(Table5[[#This Row],[Shortname]], Comp[], 16, FALSE)</f>
        <v>0</v>
      </c>
      <c r="T258">
        <f>VLOOKUP(Table5[[#This Row],[Shortname]], Comp[], 17, FALSE)</f>
        <v>0</v>
      </c>
      <c r="U258">
        <f>VLOOKUP(Table5[[#This Row],[Shortname]], Comp[], 18, FALSE)</f>
        <v>0</v>
      </c>
      <c r="V258">
        <f>VLOOKUP(Table5[[#This Row],[Shortname]], Comp[], 19, FALSE)</f>
        <v>0</v>
      </c>
      <c r="W258">
        <f>VLOOKUP(Table5[[#This Row],[Shortname]], Comp[], 20, FALSE)</f>
        <v>0</v>
      </c>
      <c r="X258">
        <f>VLOOKUP(Table5[[#This Row],[Shortname]], Comp[], 21, FALSE)</f>
        <v>0</v>
      </c>
      <c r="Y258">
        <f>VLOOKUP(Table5[[#This Row],[Shortname]], Comp[], 22, FALSE)</f>
        <v>0</v>
      </c>
      <c r="Z258">
        <f>VLOOKUP(Table5[[#This Row],[Shortname]], Comp[], 23, FALSE)</f>
        <v>0</v>
      </c>
      <c r="AA258">
        <f>VLOOKUP(Table5[[#This Row],[Shortname]], Comp[], 24, FALSE)</f>
        <v>0</v>
      </c>
      <c r="AB258">
        <f>VLOOKUP(Table5[[#This Row],[Shortname]], Comp[], 25, FALSE)</f>
        <v>0</v>
      </c>
      <c r="AC258">
        <f>VLOOKUP(Table5[[#This Row],[Shortname]], Comp[], 26, FALSE)</f>
        <v>0</v>
      </c>
      <c r="AD258">
        <f>VLOOKUP(Table5[[#This Row],[Shortname]], Comp[], 27, FALSE)</f>
        <v>0</v>
      </c>
      <c r="AE258">
        <f>VLOOKUP(Table5[[#This Row],[Shortname]], Comp[], 28, FALSE)</f>
        <v>0</v>
      </c>
      <c r="AF258">
        <f>VLOOKUP(Table5[[#This Row],[Shortname]], Comp[], 29, FALSE)</f>
        <v>0</v>
      </c>
      <c r="AG258">
        <f>VLOOKUP(Table5[[#This Row],[Shortname]], Comp[], 30, FALSE)</f>
        <v>0</v>
      </c>
      <c r="AH258">
        <f>VLOOKUP(Table5[[#This Row],[Shortname]], Comp[], 31, FALSE)</f>
        <v>0</v>
      </c>
    </row>
    <row r="259" spans="1:34" x14ac:dyDescent="0.3">
      <c r="A259" t="s">
        <v>2532</v>
      </c>
      <c r="B259">
        <v>259</v>
      </c>
      <c r="C259" t="str">
        <f>VLOOKUP(Table5[[#This Row],[Shortname]], [1]!comp[#Data], 2, FALSE)</f>
        <v>CoAlWX+</v>
      </c>
      <c r="D259" t="s">
        <v>2534</v>
      </c>
      <c r="E259" t="s">
        <v>6729</v>
      </c>
      <c r="F259">
        <v>1074</v>
      </c>
      <c r="G259">
        <v>1370</v>
      </c>
      <c r="J259" s="14">
        <f>VLOOKUP(Table5[[#This Row],[Shortname]], Comp[], 7, FALSE)</f>
        <v>79.8</v>
      </c>
      <c r="K259">
        <f>VLOOKUP(Table5[[#This Row],[Shortname]], Comp[], 8, FALSE)</f>
        <v>0</v>
      </c>
      <c r="L259">
        <f>VLOOKUP(Table5[[#This Row],[Shortname]], Comp[], 9, FALSE)</f>
        <v>10.3</v>
      </c>
      <c r="M259">
        <f>VLOOKUP(Table5[[#This Row],[Shortname]], Comp[], 10, FALSE)</f>
        <v>0</v>
      </c>
      <c r="N259">
        <f>VLOOKUP(Table5[[#This Row],[Shortname]], Comp[], 11, FALSE)</f>
        <v>7.9</v>
      </c>
      <c r="O259">
        <f>VLOOKUP(Table5[[#This Row],[Shortname]], Comp[],12, FALSE)</f>
        <v>0</v>
      </c>
      <c r="P259">
        <f>VLOOKUP(Table5[[#This Row],[Shortname]], Comp[], 13, FALSE)</f>
        <v>1.1000000000000001</v>
      </c>
      <c r="Q259">
        <f>VLOOKUP(Table5[[#This Row],[Shortname]], Comp[], 14, FALSE)</f>
        <v>0.9</v>
      </c>
      <c r="R259">
        <f>VLOOKUP(Table5[[#This Row],[Shortname]], Comp[], 15, FALSE)</f>
        <v>0</v>
      </c>
      <c r="S259">
        <f>VLOOKUP(Table5[[#This Row],[Shortname]], Comp[], 16, FALSE)</f>
        <v>0</v>
      </c>
      <c r="T259">
        <f>VLOOKUP(Table5[[#This Row],[Shortname]], Comp[], 17, FALSE)</f>
        <v>0</v>
      </c>
      <c r="U259">
        <f>VLOOKUP(Table5[[#This Row],[Shortname]], Comp[], 18, FALSE)</f>
        <v>0</v>
      </c>
      <c r="V259">
        <f>VLOOKUP(Table5[[#This Row],[Shortname]], Comp[], 19, FALSE)</f>
        <v>0</v>
      </c>
      <c r="W259">
        <f>VLOOKUP(Table5[[#This Row],[Shortname]], Comp[], 20, FALSE)</f>
        <v>0</v>
      </c>
      <c r="X259">
        <f>VLOOKUP(Table5[[#This Row],[Shortname]], Comp[], 21, FALSE)</f>
        <v>0</v>
      </c>
      <c r="Y259">
        <f>VLOOKUP(Table5[[#This Row],[Shortname]], Comp[], 22, FALSE)</f>
        <v>0</v>
      </c>
      <c r="Z259">
        <f>VLOOKUP(Table5[[#This Row],[Shortname]], Comp[], 23, FALSE)</f>
        <v>0</v>
      </c>
      <c r="AA259">
        <f>VLOOKUP(Table5[[#This Row],[Shortname]], Comp[], 24, FALSE)</f>
        <v>0</v>
      </c>
      <c r="AB259">
        <f>VLOOKUP(Table5[[#This Row],[Shortname]], Comp[], 25, FALSE)</f>
        <v>0</v>
      </c>
      <c r="AC259">
        <f>VLOOKUP(Table5[[#This Row],[Shortname]], Comp[], 26, FALSE)</f>
        <v>0</v>
      </c>
      <c r="AD259">
        <f>VLOOKUP(Table5[[#This Row],[Shortname]], Comp[], 27, FALSE)</f>
        <v>0</v>
      </c>
      <c r="AE259">
        <f>VLOOKUP(Table5[[#This Row],[Shortname]], Comp[], 28, FALSE)</f>
        <v>0</v>
      </c>
      <c r="AF259">
        <f>VLOOKUP(Table5[[#This Row],[Shortname]], Comp[], 29, FALSE)</f>
        <v>0</v>
      </c>
      <c r="AG259">
        <f>VLOOKUP(Table5[[#This Row],[Shortname]], Comp[], 30, FALSE)</f>
        <v>0</v>
      </c>
      <c r="AH259">
        <f>VLOOKUP(Table5[[#This Row],[Shortname]], Comp[], 31, FALSE)</f>
        <v>0</v>
      </c>
    </row>
    <row r="260" spans="1:34" x14ac:dyDescent="0.3">
      <c r="A260" t="s">
        <v>2578</v>
      </c>
      <c r="B260">
        <v>260</v>
      </c>
      <c r="C260" t="str">
        <f>VLOOKUP(Table5[[#This Row],[Shortname]], [1]!comp[#Data], 2, FALSE)</f>
        <v>W-free</v>
      </c>
      <c r="D260" t="s">
        <v>2580</v>
      </c>
      <c r="E260" t="s">
        <v>6730</v>
      </c>
      <c r="F260">
        <v>1078</v>
      </c>
      <c r="J260" s="14">
        <f>VLOOKUP(Table5[[#This Row],[Shortname]], Comp[], 7, FALSE)</f>
        <v>38.9</v>
      </c>
      <c r="K260">
        <f>VLOOKUP(Table5[[#This Row],[Shortname]], Comp[], 8, FALSE)</f>
        <v>30.4</v>
      </c>
      <c r="L260">
        <f>VLOOKUP(Table5[[#This Row],[Shortname]], Comp[], 9, FALSE)</f>
        <v>9.6999999999999993</v>
      </c>
      <c r="M260">
        <f>VLOOKUP(Table5[[#This Row],[Shortname]], Comp[], 10, FALSE)</f>
        <v>11.5</v>
      </c>
      <c r="N260">
        <f>VLOOKUP(Table5[[#This Row],[Shortname]], Comp[], 11, FALSE)</f>
        <v>0</v>
      </c>
      <c r="O260">
        <f>VLOOKUP(Table5[[#This Row],[Shortname]], Comp[],12, FALSE)</f>
        <v>2.1</v>
      </c>
      <c r="P260">
        <f>VLOOKUP(Table5[[#This Row],[Shortname]], Comp[], 13, FALSE)</f>
        <v>2.2000000000000002</v>
      </c>
      <c r="Q260">
        <f>VLOOKUP(Table5[[#This Row],[Shortname]], Comp[], 14, FALSE)</f>
        <v>0</v>
      </c>
      <c r="R260">
        <f>VLOOKUP(Table5[[#This Row],[Shortname]], Comp[], 15, FALSE)</f>
        <v>0</v>
      </c>
      <c r="S260">
        <f>VLOOKUP(Table5[[#This Row],[Shortname]], Comp[], 16, FALSE)</f>
        <v>5.2</v>
      </c>
      <c r="T260">
        <f>VLOOKUP(Table5[[#This Row],[Shortname]], Comp[], 17, FALSE)</f>
        <v>0</v>
      </c>
      <c r="U260">
        <f>VLOOKUP(Table5[[#This Row],[Shortname]], Comp[], 18, FALSE)</f>
        <v>0</v>
      </c>
      <c r="V260">
        <f>VLOOKUP(Table5[[#This Row],[Shortname]], Comp[], 19, FALSE)</f>
        <v>0</v>
      </c>
      <c r="W260">
        <f>VLOOKUP(Table5[[#This Row],[Shortname]], Comp[], 20, FALSE)</f>
        <v>0</v>
      </c>
      <c r="X260">
        <f>VLOOKUP(Table5[[#This Row],[Shortname]], Comp[], 21, FALSE)</f>
        <v>0</v>
      </c>
      <c r="Y260">
        <f>VLOOKUP(Table5[[#This Row],[Shortname]], Comp[], 22, FALSE)</f>
        <v>0</v>
      </c>
      <c r="Z260">
        <f>VLOOKUP(Table5[[#This Row],[Shortname]], Comp[], 23, FALSE)</f>
        <v>0</v>
      </c>
      <c r="AA260">
        <f>VLOOKUP(Table5[[#This Row],[Shortname]], Comp[], 24, FALSE)</f>
        <v>0</v>
      </c>
      <c r="AB260">
        <f>VLOOKUP(Table5[[#This Row],[Shortname]], Comp[], 25, FALSE)</f>
        <v>0</v>
      </c>
      <c r="AC260">
        <f>VLOOKUP(Table5[[#This Row],[Shortname]], Comp[], 26, FALSE)</f>
        <v>0</v>
      </c>
      <c r="AD260">
        <f>VLOOKUP(Table5[[#This Row],[Shortname]], Comp[], 27, FALSE)</f>
        <v>0</v>
      </c>
      <c r="AE260">
        <f>VLOOKUP(Table5[[#This Row],[Shortname]], Comp[], 28, FALSE)</f>
        <v>0</v>
      </c>
      <c r="AF260">
        <f>VLOOKUP(Table5[[#This Row],[Shortname]], Comp[], 29, FALSE)</f>
        <v>0</v>
      </c>
      <c r="AG260">
        <f>VLOOKUP(Table5[[#This Row],[Shortname]], Comp[], 30, FALSE)</f>
        <v>0</v>
      </c>
      <c r="AH260">
        <f>VLOOKUP(Table5[[#This Row],[Shortname]], Comp[], 31, FALSE)</f>
        <v>0</v>
      </c>
    </row>
    <row r="261" spans="1:34" x14ac:dyDescent="0.3">
      <c r="A261" s="7" t="s">
        <v>2587</v>
      </c>
      <c r="B261">
        <v>261</v>
      </c>
      <c r="C261" s="7" t="str">
        <f>VLOOKUP(Table5[[#This Row],[Shortname]], [1]!comp[#Data], 2, FALSE)</f>
        <v>W-free</v>
      </c>
      <c r="D261" s="7" t="s">
        <v>2589</v>
      </c>
      <c r="E261" t="s">
        <v>6730</v>
      </c>
      <c r="F261">
        <v>1038</v>
      </c>
      <c r="J261" s="14">
        <f>VLOOKUP(Table5[[#This Row],[Shortname]], Comp[], 7, FALSE)</f>
        <v>41</v>
      </c>
      <c r="K261">
        <f>VLOOKUP(Table5[[#This Row],[Shortname]], Comp[], 8, FALSE)</f>
        <v>31.2</v>
      </c>
      <c r="L261">
        <f>VLOOKUP(Table5[[#This Row],[Shortname]], Comp[], 9, FALSE)</f>
        <v>10.1</v>
      </c>
      <c r="M261">
        <f>VLOOKUP(Table5[[#This Row],[Shortname]], Comp[], 10, FALSE)</f>
        <v>10.5</v>
      </c>
      <c r="N261">
        <f>VLOOKUP(Table5[[#This Row],[Shortname]], Comp[], 11, FALSE)</f>
        <v>0</v>
      </c>
      <c r="O261">
        <f>VLOOKUP(Table5[[#This Row],[Shortname]], Comp[],12, FALSE)</f>
        <v>0</v>
      </c>
      <c r="P261">
        <f>VLOOKUP(Table5[[#This Row],[Shortname]], Comp[], 13, FALSE)</f>
        <v>2.1</v>
      </c>
      <c r="Q261">
        <f>VLOOKUP(Table5[[#This Row],[Shortname]], Comp[], 14, FALSE)</f>
        <v>0</v>
      </c>
      <c r="R261">
        <f>VLOOKUP(Table5[[#This Row],[Shortname]], Comp[], 15, FALSE)</f>
        <v>0</v>
      </c>
      <c r="S261">
        <f>VLOOKUP(Table5[[#This Row],[Shortname]], Comp[], 16, FALSE)</f>
        <v>5.0999999999999996</v>
      </c>
      <c r="T261">
        <f>VLOOKUP(Table5[[#This Row],[Shortname]], Comp[], 17, FALSE)</f>
        <v>0</v>
      </c>
      <c r="U261">
        <f>VLOOKUP(Table5[[#This Row],[Shortname]], Comp[], 18, FALSE)</f>
        <v>0</v>
      </c>
      <c r="V261">
        <f>VLOOKUP(Table5[[#This Row],[Shortname]], Comp[], 19, FALSE)</f>
        <v>0</v>
      </c>
      <c r="W261">
        <f>VLOOKUP(Table5[[#This Row],[Shortname]], Comp[], 20, FALSE)</f>
        <v>0</v>
      </c>
      <c r="X261">
        <f>VLOOKUP(Table5[[#This Row],[Shortname]], Comp[], 21, FALSE)</f>
        <v>0</v>
      </c>
      <c r="Y261">
        <f>VLOOKUP(Table5[[#This Row],[Shortname]], Comp[], 22, FALSE)</f>
        <v>0</v>
      </c>
      <c r="Z261">
        <f>VLOOKUP(Table5[[#This Row],[Shortname]], Comp[], 23, FALSE)</f>
        <v>0</v>
      </c>
      <c r="AA261">
        <f>VLOOKUP(Table5[[#This Row],[Shortname]], Comp[], 24, FALSE)</f>
        <v>0</v>
      </c>
      <c r="AB261">
        <f>VLOOKUP(Table5[[#This Row],[Shortname]], Comp[], 25, FALSE)</f>
        <v>0</v>
      </c>
      <c r="AC261">
        <f>VLOOKUP(Table5[[#This Row],[Shortname]], Comp[], 26, FALSE)</f>
        <v>0</v>
      </c>
      <c r="AD261">
        <f>VLOOKUP(Table5[[#This Row],[Shortname]], Comp[], 27, FALSE)</f>
        <v>0</v>
      </c>
      <c r="AE261">
        <f>VLOOKUP(Table5[[#This Row],[Shortname]], Comp[], 28, FALSE)</f>
        <v>0</v>
      </c>
      <c r="AF261">
        <f>VLOOKUP(Table5[[#This Row],[Shortname]], Comp[], 29, FALSE)</f>
        <v>0</v>
      </c>
      <c r="AG261">
        <f>VLOOKUP(Table5[[#This Row],[Shortname]], Comp[], 30, FALSE)</f>
        <v>0</v>
      </c>
      <c r="AH261">
        <f>VLOOKUP(Table5[[#This Row],[Shortname]], Comp[], 31, FALSE)</f>
        <v>0</v>
      </c>
    </row>
    <row r="262" spans="1:34" x14ac:dyDescent="0.3">
      <c r="A262" s="7" t="s">
        <v>1735</v>
      </c>
      <c r="B262">
        <v>262</v>
      </c>
      <c r="C262" s="7" t="str">
        <f>VLOOKUP(Table5[[#This Row],[Shortname]], [1]!comp[#Data], 2, FALSE)</f>
        <v>CoAlW-X</v>
      </c>
      <c r="D262" s="7" t="s">
        <v>2615</v>
      </c>
      <c r="E262" t="s">
        <v>6731</v>
      </c>
      <c r="F262">
        <v>1098</v>
      </c>
      <c r="G262">
        <v>1389</v>
      </c>
      <c r="J262" s="14">
        <f>VLOOKUP(Table5[[#This Row],[Shortname]], Comp[], 7, FALSE)</f>
        <v>79.400000000000006</v>
      </c>
      <c r="K262">
        <f>VLOOKUP(Table5[[#This Row],[Shortname]], Comp[], 8, FALSE)</f>
        <v>0</v>
      </c>
      <c r="L262">
        <f>VLOOKUP(Table5[[#This Row],[Shortname]], Comp[], 9, FALSE)</f>
        <v>8.8000000000000007</v>
      </c>
      <c r="M262">
        <f>VLOOKUP(Table5[[#This Row],[Shortname]], Comp[], 10, FALSE)</f>
        <v>0</v>
      </c>
      <c r="N262">
        <f>VLOOKUP(Table5[[#This Row],[Shortname]], Comp[], 11, FALSE)</f>
        <v>9.8000000000000007</v>
      </c>
      <c r="O262">
        <f>VLOOKUP(Table5[[#This Row],[Shortname]], Comp[],12, FALSE)</f>
        <v>0</v>
      </c>
      <c r="P262">
        <f>VLOOKUP(Table5[[#This Row],[Shortname]], Comp[], 13, FALSE)</f>
        <v>2</v>
      </c>
      <c r="Q262">
        <f>VLOOKUP(Table5[[#This Row],[Shortname]], Comp[], 14, FALSE)</f>
        <v>0</v>
      </c>
      <c r="R262">
        <f>VLOOKUP(Table5[[#This Row],[Shortname]], Comp[], 15, FALSE)</f>
        <v>0</v>
      </c>
      <c r="S262">
        <f>VLOOKUP(Table5[[#This Row],[Shortname]], Comp[], 16, FALSE)</f>
        <v>0</v>
      </c>
      <c r="T262">
        <f>VLOOKUP(Table5[[#This Row],[Shortname]], Comp[], 17, FALSE)</f>
        <v>0</v>
      </c>
      <c r="U262">
        <f>VLOOKUP(Table5[[#This Row],[Shortname]], Comp[], 18, FALSE)</f>
        <v>0</v>
      </c>
      <c r="V262">
        <f>VLOOKUP(Table5[[#This Row],[Shortname]], Comp[], 19, FALSE)</f>
        <v>0</v>
      </c>
      <c r="W262">
        <f>VLOOKUP(Table5[[#This Row],[Shortname]], Comp[], 20, FALSE)</f>
        <v>0</v>
      </c>
      <c r="X262">
        <f>VLOOKUP(Table5[[#This Row],[Shortname]], Comp[], 21, FALSE)</f>
        <v>0</v>
      </c>
      <c r="Y262">
        <f>VLOOKUP(Table5[[#This Row],[Shortname]], Comp[], 22, FALSE)</f>
        <v>0</v>
      </c>
      <c r="Z262">
        <f>VLOOKUP(Table5[[#This Row],[Shortname]], Comp[], 23, FALSE)</f>
        <v>0</v>
      </c>
      <c r="AA262">
        <f>VLOOKUP(Table5[[#This Row],[Shortname]], Comp[], 24, FALSE)</f>
        <v>0</v>
      </c>
      <c r="AB262">
        <f>VLOOKUP(Table5[[#This Row],[Shortname]], Comp[], 25, FALSE)</f>
        <v>0</v>
      </c>
      <c r="AC262">
        <f>VLOOKUP(Table5[[#This Row],[Shortname]], Comp[], 26, FALSE)</f>
        <v>0</v>
      </c>
      <c r="AD262">
        <f>VLOOKUP(Table5[[#This Row],[Shortname]], Comp[], 27, FALSE)</f>
        <v>0</v>
      </c>
      <c r="AE262">
        <f>VLOOKUP(Table5[[#This Row],[Shortname]], Comp[], 28, FALSE)</f>
        <v>0</v>
      </c>
      <c r="AF262">
        <f>VLOOKUP(Table5[[#This Row],[Shortname]], Comp[], 29, FALSE)</f>
        <v>0</v>
      </c>
      <c r="AG262">
        <f>VLOOKUP(Table5[[#This Row],[Shortname]], Comp[], 30, FALSE)</f>
        <v>0</v>
      </c>
      <c r="AH262">
        <f>VLOOKUP(Table5[[#This Row],[Shortname]], Comp[], 31, FALSE)</f>
        <v>0</v>
      </c>
    </row>
    <row r="263" spans="1:34" x14ac:dyDescent="0.3">
      <c r="A263" s="7" t="s">
        <v>2593</v>
      </c>
      <c r="B263">
        <v>263</v>
      </c>
      <c r="C263" s="7" t="str">
        <f>VLOOKUP(Table5[[#This Row],[Shortname]], [1]!comp[#Data], 2, FALSE)</f>
        <v>CoAlW-X</v>
      </c>
      <c r="D263" s="7" t="s">
        <v>2595</v>
      </c>
      <c r="E263" t="s">
        <v>6731</v>
      </c>
      <c r="F263">
        <v>1076</v>
      </c>
      <c r="G263">
        <v>1391</v>
      </c>
      <c r="J263" s="14">
        <f>VLOOKUP(Table5[[#This Row],[Shortname]], Comp[], 7, FALSE)</f>
        <v>79.400000000000006</v>
      </c>
      <c r="K263">
        <f>VLOOKUP(Table5[[#This Row],[Shortname]], Comp[], 8, FALSE)</f>
        <v>0</v>
      </c>
      <c r="L263">
        <f>VLOOKUP(Table5[[#This Row],[Shortname]], Comp[], 9, FALSE)</f>
        <v>8.8000000000000007</v>
      </c>
      <c r="M263">
        <f>VLOOKUP(Table5[[#This Row],[Shortname]], Comp[], 10, FALSE)</f>
        <v>0</v>
      </c>
      <c r="N263">
        <f>VLOOKUP(Table5[[#This Row],[Shortname]], Comp[], 11, FALSE)</f>
        <v>9.8000000000000007</v>
      </c>
      <c r="O263">
        <f>VLOOKUP(Table5[[#This Row],[Shortname]], Comp[],12, FALSE)</f>
        <v>2</v>
      </c>
      <c r="P263">
        <f>VLOOKUP(Table5[[#This Row],[Shortname]], Comp[], 13, FALSE)</f>
        <v>0</v>
      </c>
      <c r="Q263">
        <f>VLOOKUP(Table5[[#This Row],[Shortname]], Comp[], 14, FALSE)</f>
        <v>0</v>
      </c>
      <c r="R263">
        <f>VLOOKUP(Table5[[#This Row],[Shortname]], Comp[], 15, FALSE)</f>
        <v>0</v>
      </c>
      <c r="S263">
        <f>VLOOKUP(Table5[[#This Row],[Shortname]], Comp[], 16, FALSE)</f>
        <v>0</v>
      </c>
      <c r="T263">
        <f>VLOOKUP(Table5[[#This Row],[Shortname]], Comp[], 17, FALSE)</f>
        <v>0</v>
      </c>
      <c r="U263">
        <f>VLOOKUP(Table5[[#This Row],[Shortname]], Comp[], 18, FALSE)</f>
        <v>0</v>
      </c>
      <c r="V263">
        <f>VLOOKUP(Table5[[#This Row],[Shortname]], Comp[], 19, FALSE)</f>
        <v>0</v>
      </c>
      <c r="W263">
        <f>VLOOKUP(Table5[[#This Row],[Shortname]], Comp[], 20, FALSE)</f>
        <v>0</v>
      </c>
      <c r="X263">
        <f>VLOOKUP(Table5[[#This Row],[Shortname]], Comp[], 21, FALSE)</f>
        <v>0</v>
      </c>
      <c r="Y263">
        <f>VLOOKUP(Table5[[#This Row],[Shortname]], Comp[], 22, FALSE)</f>
        <v>0</v>
      </c>
      <c r="Z263">
        <f>VLOOKUP(Table5[[#This Row],[Shortname]], Comp[], 23, FALSE)</f>
        <v>0</v>
      </c>
      <c r="AA263">
        <f>VLOOKUP(Table5[[#This Row],[Shortname]], Comp[], 24, FALSE)</f>
        <v>0</v>
      </c>
      <c r="AB263">
        <f>VLOOKUP(Table5[[#This Row],[Shortname]], Comp[], 25, FALSE)</f>
        <v>0</v>
      </c>
      <c r="AC263">
        <f>VLOOKUP(Table5[[#This Row],[Shortname]], Comp[], 26, FALSE)</f>
        <v>0</v>
      </c>
      <c r="AD263">
        <f>VLOOKUP(Table5[[#This Row],[Shortname]], Comp[], 27, FALSE)</f>
        <v>0</v>
      </c>
      <c r="AE263">
        <f>VLOOKUP(Table5[[#This Row],[Shortname]], Comp[], 28, FALSE)</f>
        <v>0</v>
      </c>
      <c r="AF263">
        <f>VLOOKUP(Table5[[#This Row],[Shortname]], Comp[], 29, FALSE)</f>
        <v>0</v>
      </c>
      <c r="AG263">
        <f>VLOOKUP(Table5[[#This Row],[Shortname]], Comp[], 30, FALSE)</f>
        <v>0</v>
      </c>
      <c r="AH263">
        <f>VLOOKUP(Table5[[#This Row],[Shortname]], Comp[], 31, FALSE)</f>
        <v>0</v>
      </c>
    </row>
    <row r="264" spans="1:34" x14ac:dyDescent="0.3">
      <c r="A264" s="7" t="s">
        <v>2610</v>
      </c>
      <c r="B264">
        <v>264</v>
      </c>
      <c r="C264" s="7" t="str">
        <f>VLOOKUP(Table5[[#This Row],[Shortname]], [1]!comp[#Data], 2, FALSE)</f>
        <v>CoAlW-X</v>
      </c>
      <c r="D264" s="7" t="s">
        <v>2611</v>
      </c>
      <c r="E264" t="s">
        <v>6731</v>
      </c>
      <c r="F264">
        <v>1073</v>
      </c>
      <c r="G264">
        <v>1347</v>
      </c>
      <c r="J264" s="14">
        <f>VLOOKUP(Table5[[#This Row],[Shortname]], Comp[], 7, FALSE)</f>
        <v>79.400000000000006</v>
      </c>
      <c r="K264">
        <f>VLOOKUP(Table5[[#This Row],[Shortname]], Comp[], 8, FALSE)</f>
        <v>0</v>
      </c>
      <c r="L264">
        <f>VLOOKUP(Table5[[#This Row],[Shortname]], Comp[], 9, FALSE)</f>
        <v>8.8000000000000007</v>
      </c>
      <c r="M264">
        <f>VLOOKUP(Table5[[#This Row],[Shortname]], Comp[], 10, FALSE)</f>
        <v>0</v>
      </c>
      <c r="N264">
        <f>VLOOKUP(Table5[[#This Row],[Shortname]], Comp[], 11, FALSE)</f>
        <v>9.8000000000000007</v>
      </c>
      <c r="O264">
        <f>VLOOKUP(Table5[[#This Row],[Shortname]], Comp[],12, FALSE)</f>
        <v>0</v>
      </c>
      <c r="P264">
        <f>VLOOKUP(Table5[[#This Row],[Shortname]], Comp[], 13, FALSE)</f>
        <v>0</v>
      </c>
      <c r="Q264">
        <f>VLOOKUP(Table5[[#This Row],[Shortname]], Comp[], 14, FALSE)</f>
        <v>2</v>
      </c>
      <c r="R264">
        <f>VLOOKUP(Table5[[#This Row],[Shortname]], Comp[], 15, FALSE)</f>
        <v>0</v>
      </c>
      <c r="S264">
        <f>VLOOKUP(Table5[[#This Row],[Shortname]], Comp[], 16, FALSE)</f>
        <v>0</v>
      </c>
      <c r="T264">
        <f>VLOOKUP(Table5[[#This Row],[Shortname]], Comp[], 17, FALSE)</f>
        <v>0</v>
      </c>
      <c r="U264">
        <f>VLOOKUP(Table5[[#This Row],[Shortname]], Comp[], 18, FALSE)</f>
        <v>0</v>
      </c>
      <c r="V264">
        <f>VLOOKUP(Table5[[#This Row],[Shortname]], Comp[], 19, FALSE)</f>
        <v>0</v>
      </c>
      <c r="W264">
        <f>VLOOKUP(Table5[[#This Row],[Shortname]], Comp[], 20, FALSE)</f>
        <v>0</v>
      </c>
      <c r="X264">
        <f>VLOOKUP(Table5[[#This Row],[Shortname]], Comp[], 21, FALSE)</f>
        <v>0</v>
      </c>
      <c r="Y264">
        <f>VLOOKUP(Table5[[#This Row],[Shortname]], Comp[], 22, FALSE)</f>
        <v>0</v>
      </c>
      <c r="Z264">
        <f>VLOOKUP(Table5[[#This Row],[Shortname]], Comp[], 23, FALSE)</f>
        <v>0</v>
      </c>
      <c r="AA264">
        <f>VLOOKUP(Table5[[#This Row],[Shortname]], Comp[], 24, FALSE)</f>
        <v>0</v>
      </c>
      <c r="AB264">
        <f>VLOOKUP(Table5[[#This Row],[Shortname]], Comp[], 25, FALSE)</f>
        <v>0</v>
      </c>
      <c r="AC264">
        <f>VLOOKUP(Table5[[#This Row],[Shortname]], Comp[], 26, FALSE)</f>
        <v>0</v>
      </c>
      <c r="AD264">
        <f>VLOOKUP(Table5[[#This Row],[Shortname]], Comp[], 27, FALSE)</f>
        <v>0</v>
      </c>
      <c r="AE264">
        <f>VLOOKUP(Table5[[#This Row],[Shortname]], Comp[], 28, FALSE)</f>
        <v>0</v>
      </c>
      <c r="AF264">
        <f>VLOOKUP(Table5[[#This Row],[Shortname]], Comp[], 29, FALSE)</f>
        <v>0</v>
      </c>
      <c r="AG264">
        <f>VLOOKUP(Table5[[#This Row],[Shortname]], Comp[], 30, FALSE)</f>
        <v>0</v>
      </c>
      <c r="AH264">
        <f>VLOOKUP(Table5[[#This Row],[Shortname]], Comp[], 31, FALSE)</f>
        <v>0</v>
      </c>
    </row>
    <row r="265" spans="1:34" x14ac:dyDescent="0.3">
      <c r="A265" s="7" t="s">
        <v>2661</v>
      </c>
      <c r="B265">
        <v>265</v>
      </c>
      <c r="C265" s="7" t="str">
        <f>VLOOKUP(Table5[[#This Row],[Shortname]], [1]!comp[#Data], 2, FALSE)</f>
        <v>CoAlW-X</v>
      </c>
      <c r="D265" s="7" t="s">
        <v>2663</v>
      </c>
      <c r="E265" t="s">
        <v>6731</v>
      </c>
      <c r="F265">
        <v>1041</v>
      </c>
      <c r="G265">
        <v>1386</v>
      </c>
      <c r="J265" s="14">
        <f>VLOOKUP(Table5[[#This Row],[Shortname]], Comp[], 7, FALSE)</f>
        <v>79.400000000000006</v>
      </c>
      <c r="K265">
        <f>VLOOKUP(Table5[[#This Row],[Shortname]], Comp[], 8, FALSE)</f>
        <v>0</v>
      </c>
      <c r="L265">
        <f>VLOOKUP(Table5[[#This Row],[Shortname]], Comp[], 9, FALSE)</f>
        <v>8.8000000000000007</v>
      </c>
      <c r="M265">
        <f>VLOOKUP(Table5[[#This Row],[Shortname]], Comp[], 10, FALSE)</f>
        <v>0</v>
      </c>
      <c r="N265">
        <f>VLOOKUP(Table5[[#This Row],[Shortname]], Comp[], 11, FALSE)</f>
        <v>9.8000000000000007</v>
      </c>
      <c r="O265">
        <f>VLOOKUP(Table5[[#This Row],[Shortname]], Comp[],12, FALSE)</f>
        <v>0</v>
      </c>
      <c r="P265">
        <f>VLOOKUP(Table5[[#This Row],[Shortname]], Comp[], 13, FALSE)</f>
        <v>0</v>
      </c>
      <c r="Q265">
        <f>VLOOKUP(Table5[[#This Row],[Shortname]], Comp[], 14, FALSE)</f>
        <v>0</v>
      </c>
      <c r="R265">
        <f>VLOOKUP(Table5[[#This Row],[Shortname]], Comp[], 15, FALSE)</f>
        <v>0</v>
      </c>
      <c r="S265">
        <f>VLOOKUP(Table5[[#This Row],[Shortname]], Comp[], 16, FALSE)</f>
        <v>0</v>
      </c>
      <c r="T265">
        <f>VLOOKUP(Table5[[#This Row],[Shortname]], Comp[], 17, FALSE)</f>
        <v>0</v>
      </c>
      <c r="U265">
        <f>VLOOKUP(Table5[[#This Row],[Shortname]], Comp[], 18, FALSE)</f>
        <v>0</v>
      </c>
      <c r="V265">
        <f>VLOOKUP(Table5[[#This Row],[Shortname]], Comp[], 19, FALSE)</f>
        <v>0</v>
      </c>
      <c r="W265">
        <f>VLOOKUP(Table5[[#This Row],[Shortname]], Comp[], 20, FALSE)</f>
        <v>0</v>
      </c>
      <c r="X265">
        <f>VLOOKUP(Table5[[#This Row],[Shortname]], Comp[], 21, FALSE)</f>
        <v>0</v>
      </c>
      <c r="Y265">
        <f>VLOOKUP(Table5[[#This Row],[Shortname]], Comp[], 22, FALSE)</f>
        <v>0</v>
      </c>
      <c r="Z265">
        <f>VLOOKUP(Table5[[#This Row],[Shortname]], Comp[], 23, FALSE)</f>
        <v>0</v>
      </c>
      <c r="AA265">
        <f>VLOOKUP(Table5[[#This Row],[Shortname]], Comp[], 24, FALSE)</f>
        <v>0</v>
      </c>
      <c r="AB265">
        <f>VLOOKUP(Table5[[#This Row],[Shortname]], Comp[], 25, FALSE)</f>
        <v>2</v>
      </c>
      <c r="AC265">
        <f>VLOOKUP(Table5[[#This Row],[Shortname]], Comp[], 26, FALSE)</f>
        <v>0</v>
      </c>
      <c r="AD265">
        <f>VLOOKUP(Table5[[#This Row],[Shortname]], Comp[], 27, FALSE)</f>
        <v>0</v>
      </c>
      <c r="AE265">
        <f>VLOOKUP(Table5[[#This Row],[Shortname]], Comp[], 28, FALSE)</f>
        <v>0</v>
      </c>
      <c r="AF265">
        <f>VLOOKUP(Table5[[#This Row],[Shortname]], Comp[], 29, FALSE)</f>
        <v>0</v>
      </c>
      <c r="AG265">
        <f>VLOOKUP(Table5[[#This Row],[Shortname]], Comp[], 30, FALSE)</f>
        <v>0</v>
      </c>
      <c r="AH265">
        <f>VLOOKUP(Table5[[#This Row],[Shortname]], Comp[], 31, FALSE)</f>
        <v>0</v>
      </c>
    </row>
    <row r="266" spans="1:34" x14ac:dyDescent="0.3">
      <c r="A266" s="7" t="s">
        <v>2604</v>
      </c>
      <c r="B266">
        <v>266</v>
      </c>
      <c r="C266" s="7" t="str">
        <f>VLOOKUP(Table5[[#This Row],[Shortname]], [1]!comp[#Data], 2, FALSE)</f>
        <v>CoAlW-X</v>
      </c>
      <c r="D266" s="7" t="s">
        <v>2606</v>
      </c>
      <c r="E266" t="s">
        <v>6731</v>
      </c>
      <c r="F266">
        <v>1033</v>
      </c>
      <c r="G266">
        <v>1438</v>
      </c>
      <c r="J266" s="14">
        <f>VLOOKUP(Table5[[#This Row],[Shortname]], Comp[], 7, FALSE)</f>
        <v>79.400000000000006</v>
      </c>
      <c r="K266">
        <f>VLOOKUP(Table5[[#This Row],[Shortname]], Comp[], 8, FALSE)</f>
        <v>0</v>
      </c>
      <c r="L266">
        <f>VLOOKUP(Table5[[#This Row],[Shortname]], Comp[], 9, FALSE)</f>
        <v>8.8000000000000007</v>
      </c>
      <c r="M266">
        <f>VLOOKUP(Table5[[#This Row],[Shortname]], Comp[], 10, FALSE)</f>
        <v>0</v>
      </c>
      <c r="N266">
        <f>VLOOKUP(Table5[[#This Row],[Shortname]], Comp[], 11, FALSE)</f>
        <v>9.8000000000000007</v>
      </c>
      <c r="O266">
        <f>VLOOKUP(Table5[[#This Row],[Shortname]], Comp[],12, FALSE)</f>
        <v>0</v>
      </c>
      <c r="P266">
        <f>VLOOKUP(Table5[[#This Row],[Shortname]], Comp[], 13, FALSE)</f>
        <v>0</v>
      </c>
      <c r="Q266">
        <f>VLOOKUP(Table5[[#This Row],[Shortname]], Comp[], 14, FALSE)</f>
        <v>0</v>
      </c>
      <c r="R266">
        <f>VLOOKUP(Table5[[#This Row],[Shortname]], Comp[], 15, FALSE)</f>
        <v>2</v>
      </c>
      <c r="S266">
        <f>VLOOKUP(Table5[[#This Row],[Shortname]], Comp[], 16, FALSE)</f>
        <v>0</v>
      </c>
      <c r="T266">
        <f>VLOOKUP(Table5[[#This Row],[Shortname]], Comp[], 17, FALSE)</f>
        <v>0</v>
      </c>
      <c r="U266">
        <f>VLOOKUP(Table5[[#This Row],[Shortname]], Comp[], 18, FALSE)</f>
        <v>0</v>
      </c>
      <c r="V266">
        <f>VLOOKUP(Table5[[#This Row],[Shortname]], Comp[], 19, FALSE)</f>
        <v>0</v>
      </c>
      <c r="W266">
        <f>VLOOKUP(Table5[[#This Row],[Shortname]], Comp[], 20, FALSE)</f>
        <v>0</v>
      </c>
      <c r="X266">
        <f>VLOOKUP(Table5[[#This Row],[Shortname]], Comp[], 21, FALSE)</f>
        <v>0</v>
      </c>
      <c r="Y266">
        <f>VLOOKUP(Table5[[#This Row],[Shortname]], Comp[], 22, FALSE)</f>
        <v>0</v>
      </c>
      <c r="Z266">
        <f>VLOOKUP(Table5[[#This Row],[Shortname]], Comp[], 23, FALSE)</f>
        <v>0</v>
      </c>
      <c r="AA266">
        <f>VLOOKUP(Table5[[#This Row],[Shortname]], Comp[], 24, FALSE)</f>
        <v>0</v>
      </c>
      <c r="AB266">
        <f>VLOOKUP(Table5[[#This Row],[Shortname]], Comp[], 25, FALSE)</f>
        <v>0</v>
      </c>
      <c r="AC266">
        <f>VLOOKUP(Table5[[#This Row],[Shortname]], Comp[], 26, FALSE)</f>
        <v>0</v>
      </c>
      <c r="AD266">
        <f>VLOOKUP(Table5[[#This Row],[Shortname]], Comp[], 27, FALSE)</f>
        <v>0</v>
      </c>
      <c r="AE266">
        <f>VLOOKUP(Table5[[#This Row],[Shortname]], Comp[], 28, FALSE)</f>
        <v>0</v>
      </c>
      <c r="AF266">
        <f>VLOOKUP(Table5[[#This Row],[Shortname]], Comp[], 29, FALSE)</f>
        <v>0</v>
      </c>
      <c r="AG266">
        <f>VLOOKUP(Table5[[#This Row],[Shortname]], Comp[], 30, FALSE)</f>
        <v>0</v>
      </c>
      <c r="AH266">
        <f>VLOOKUP(Table5[[#This Row],[Shortname]], Comp[], 31, FALSE)</f>
        <v>0</v>
      </c>
    </row>
    <row r="267" spans="1:34" x14ac:dyDescent="0.3">
      <c r="A267" s="7" t="s">
        <v>2654</v>
      </c>
      <c r="B267">
        <v>267</v>
      </c>
      <c r="C267" s="7" t="str">
        <f>VLOOKUP(Table5[[#This Row],[Shortname]], [1]!comp[#Data], 2, FALSE)</f>
        <v>CoAlW-X</v>
      </c>
      <c r="D267" s="7" t="s">
        <v>2656</v>
      </c>
      <c r="E267" t="s">
        <v>6731</v>
      </c>
      <c r="F267">
        <v>1020</v>
      </c>
      <c r="G267">
        <v>1382</v>
      </c>
      <c r="J267" s="14">
        <f>VLOOKUP(Table5[[#This Row],[Shortname]], Comp[], 7, FALSE)</f>
        <v>79.400000000000006</v>
      </c>
      <c r="K267">
        <f>VLOOKUP(Table5[[#This Row],[Shortname]], Comp[], 8, FALSE)</f>
        <v>0</v>
      </c>
      <c r="L267">
        <f>VLOOKUP(Table5[[#This Row],[Shortname]], Comp[], 9, FALSE)</f>
        <v>8.8000000000000007</v>
      </c>
      <c r="M267">
        <f>VLOOKUP(Table5[[#This Row],[Shortname]], Comp[], 10, FALSE)</f>
        <v>0</v>
      </c>
      <c r="N267">
        <f>VLOOKUP(Table5[[#This Row],[Shortname]], Comp[], 11, FALSE)</f>
        <v>9.8000000000000007</v>
      </c>
      <c r="O267">
        <f>VLOOKUP(Table5[[#This Row],[Shortname]], Comp[],12, FALSE)</f>
        <v>0</v>
      </c>
      <c r="P267">
        <f>VLOOKUP(Table5[[#This Row],[Shortname]], Comp[], 13, FALSE)</f>
        <v>0</v>
      </c>
      <c r="Q267">
        <f>VLOOKUP(Table5[[#This Row],[Shortname]], Comp[], 14, FALSE)</f>
        <v>0</v>
      </c>
      <c r="R267">
        <f>VLOOKUP(Table5[[#This Row],[Shortname]], Comp[], 15, FALSE)</f>
        <v>0</v>
      </c>
      <c r="S267">
        <f>VLOOKUP(Table5[[#This Row],[Shortname]], Comp[], 16, FALSE)</f>
        <v>0</v>
      </c>
      <c r="T267">
        <f>VLOOKUP(Table5[[#This Row],[Shortname]], Comp[], 17, FALSE)</f>
        <v>0</v>
      </c>
      <c r="U267">
        <f>VLOOKUP(Table5[[#This Row],[Shortname]], Comp[], 18, FALSE)</f>
        <v>2</v>
      </c>
      <c r="V267">
        <f>VLOOKUP(Table5[[#This Row],[Shortname]], Comp[], 19, FALSE)</f>
        <v>0</v>
      </c>
      <c r="W267">
        <f>VLOOKUP(Table5[[#This Row],[Shortname]], Comp[], 20, FALSE)</f>
        <v>0</v>
      </c>
      <c r="X267">
        <f>VLOOKUP(Table5[[#This Row],[Shortname]], Comp[], 21, FALSE)</f>
        <v>0</v>
      </c>
      <c r="Y267">
        <f>VLOOKUP(Table5[[#This Row],[Shortname]], Comp[], 22, FALSE)</f>
        <v>0</v>
      </c>
      <c r="Z267">
        <f>VLOOKUP(Table5[[#This Row],[Shortname]], Comp[], 23, FALSE)</f>
        <v>0</v>
      </c>
      <c r="AA267">
        <f>VLOOKUP(Table5[[#This Row],[Shortname]], Comp[], 24, FALSE)</f>
        <v>0</v>
      </c>
      <c r="AB267">
        <f>VLOOKUP(Table5[[#This Row],[Shortname]], Comp[], 25, FALSE)</f>
        <v>0</v>
      </c>
      <c r="AC267">
        <f>VLOOKUP(Table5[[#This Row],[Shortname]], Comp[], 26, FALSE)</f>
        <v>0</v>
      </c>
      <c r="AD267">
        <f>VLOOKUP(Table5[[#This Row],[Shortname]], Comp[], 27, FALSE)</f>
        <v>0</v>
      </c>
      <c r="AE267">
        <f>VLOOKUP(Table5[[#This Row],[Shortname]], Comp[], 28, FALSE)</f>
        <v>0</v>
      </c>
      <c r="AF267">
        <f>VLOOKUP(Table5[[#This Row],[Shortname]], Comp[], 29, FALSE)</f>
        <v>0</v>
      </c>
      <c r="AG267">
        <f>VLOOKUP(Table5[[#This Row],[Shortname]], Comp[], 30, FALSE)</f>
        <v>0</v>
      </c>
      <c r="AH267">
        <f>VLOOKUP(Table5[[#This Row],[Shortname]], Comp[], 31, FALSE)</f>
        <v>0</v>
      </c>
    </row>
    <row r="268" spans="1:34" x14ac:dyDescent="0.3">
      <c r="A268" s="7" t="s">
        <v>2675</v>
      </c>
      <c r="B268">
        <v>268</v>
      </c>
      <c r="C268" s="7" t="str">
        <f>VLOOKUP(Table5[[#This Row],[Shortname]], [1]!comp[#Data], 2, FALSE)</f>
        <v>CoAlW-X</v>
      </c>
      <c r="D268" s="7" t="s">
        <v>2677</v>
      </c>
      <c r="E268" t="s">
        <v>6731</v>
      </c>
      <c r="F268">
        <v>1017</v>
      </c>
      <c r="G268">
        <v>1457</v>
      </c>
      <c r="J268" s="14">
        <f>VLOOKUP(Table5[[#This Row],[Shortname]], Comp[], 7, FALSE)</f>
        <v>79.400000000000006</v>
      </c>
      <c r="K268">
        <f>VLOOKUP(Table5[[#This Row],[Shortname]], Comp[], 8, FALSE)</f>
        <v>0</v>
      </c>
      <c r="L268">
        <f>VLOOKUP(Table5[[#This Row],[Shortname]], Comp[], 9, FALSE)</f>
        <v>8.8000000000000007</v>
      </c>
      <c r="M268">
        <f>VLOOKUP(Table5[[#This Row],[Shortname]], Comp[], 10, FALSE)</f>
        <v>0</v>
      </c>
      <c r="N268">
        <f>VLOOKUP(Table5[[#This Row],[Shortname]], Comp[], 11, FALSE)</f>
        <v>9.8000000000000007</v>
      </c>
      <c r="O268">
        <f>VLOOKUP(Table5[[#This Row],[Shortname]], Comp[],12, FALSE)</f>
        <v>0</v>
      </c>
      <c r="P268">
        <f>VLOOKUP(Table5[[#This Row],[Shortname]], Comp[], 13, FALSE)</f>
        <v>0</v>
      </c>
      <c r="Q268">
        <f>VLOOKUP(Table5[[#This Row],[Shortname]], Comp[], 14, FALSE)</f>
        <v>0</v>
      </c>
      <c r="R268">
        <f>VLOOKUP(Table5[[#This Row],[Shortname]], Comp[], 15, FALSE)</f>
        <v>0</v>
      </c>
      <c r="S268">
        <f>VLOOKUP(Table5[[#This Row],[Shortname]], Comp[], 16, FALSE)</f>
        <v>0</v>
      </c>
      <c r="T268">
        <f>VLOOKUP(Table5[[#This Row],[Shortname]], Comp[], 17, FALSE)</f>
        <v>0</v>
      </c>
      <c r="U268">
        <f>VLOOKUP(Table5[[#This Row],[Shortname]], Comp[], 18, FALSE)</f>
        <v>0</v>
      </c>
      <c r="V268">
        <f>VLOOKUP(Table5[[#This Row],[Shortname]], Comp[], 19, FALSE)</f>
        <v>0</v>
      </c>
      <c r="W268">
        <f>VLOOKUP(Table5[[#This Row],[Shortname]], Comp[], 20, FALSE)</f>
        <v>2</v>
      </c>
      <c r="X268">
        <f>VLOOKUP(Table5[[#This Row],[Shortname]], Comp[], 21, FALSE)</f>
        <v>0</v>
      </c>
      <c r="Y268">
        <f>VLOOKUP(Table5[[#This Row],[Shortname]], Comp[], 22, FALSE)</f>
        <v>0</v>
      </c>
      <c r="Z268">
        <f>VLOOKUP(Table5[[#This Row],[Shortname]], Comp[], 23, FALSE)</f>
        <v>0</v>
      </c>
      <c r="AA268">
        <f>VLOOKUP(Table5[[#This Row],[Shortname]], Comp[], 24, FALSE)</f>
        <v>0</v>
      </c>
      <c r="AB268">
        <f>VLOOKUP(Table5[[#This Row],[Shortname]], Comp[], 25, FALSE)</f>
        <v>0</v>
      </c>
      <c r="AC268">
        <f>VLOOKUP(Table5[[#This Row],[Shortname]], Comp[], 26, FALSE)</f>
        <v>0</v>
      </c>
      <c r="AD268">
        <f>VLOOKUP(Table5[[#This Row],[Shortname]], Comp[], 27, FALSE)</f>
        <v>0</v>
      </c>
      <c r="AE268">
        <f>VLOOKUP(Table5[[#This Row],[Shortname]], Comp[], 28, FALSE)</f>
        <v>0</v>
      </c>
      <c r="AF268">
        <f>VLOOKUP(Table5[[#This Row],[Shortname]], Comp[], 29, FALSE)</f>
        <v>0</v>
      </c>
      <c r="AG268">
        <f>VLOOKUP(Table5[[#This Row],[Shortname]], Comp[], 30, FALSE)</f>
        <v>0</v>
      </c>
      <c r="AH268">
        <f>VLOOKUP(Table5[[#This Row],[Shortname]], Comp[], 31, FALSE)</f>
        <v>0</v>
      </c>
    </row>
    <row r="269" spans="1:34" x14ac:dyDescent="0.3">
      <c r="A269" s="7" t="s">
        <v>2600</v>
      </c>
      <c r="B269">
        <v>269</v>
      </c>
      <c r="C269" s="7" t="str">
        <f>VLOOKUP(Table5[[#This Row],[Shortname]], [1]!comp[#Data], 2, FALSE)</f>
        <v>CoAlW-X</v>
      </c>
      <c r="D269" s="7" t="s">
        <v>698</v>
      </c>
      <c r="E269" t="s">
        <v>6731</v>
      </c>
      <c r="F269">
        <v>1016</v>
      </c>
      <c r="G269">
        <v>1449</v>
      </c>
      <c r="J269" s="14">
        <f>VLOOKUP(Table5[[#This Row],[Shortname]], Comp[], 7, FALSE)</f>
        <v>81</v>
      </c>
      <c r="K269">
        <f>VLOOKUP(Table5[[#This Row],[Shortname]], Comp[], 8, FALSE)</f>
        <v>0</v>
      </c>
      <c r="L269">
        <f>VLOOKUP(Table5[[#This Row],[Shortname]], Comp[], 9, FALSE)</f>
        <v>9</v>
      </c>
      <c r="M269">
        <f>VLOOKUP(Table5[[#This Row],[Shortname]], Comp[], 10, FALSE)</f>
        <v>0</v>
      </c>
      <c r="N269">
        <f>VLOOKUP(Table5[[#This Row],[Shortname]], Comp[], 11, FALSE)</f>
        <v>10</v>
      </c>
      <c r="O269">
        <f>VLOOKUP(Table5[[#This Row],[Shortname]], Comp[],12, FALSE)</f>
        <v>0</v>
      </c>
      <c r="P269">
        <f>VLOOKUP(Table5[[#This Row],[Shortname]], Comp[], 13, FALSE)</f>
        <v>0</v>
      </c>
      <c r="Q269">
        <f>VLOOKUP(Table5[[#This Row],[Shortname]], Comp[], 14, FALSE)</f>
        <v>0</v>
      </c>
      <c r="R269">
        <f>VLOOKUP(Table5[[#This Row],[Shortname]], Comp[], 15, FALSE)</f>
        <v>0</v>
      </c>
      <c r="S269">
        <f>VLOOKUP(Table5[[#This Row],[Shortname]], Comp[], 16, FALSE)</f>
        <v>0</v>
      </c>
      <c r="T269">
        <f>VLOOKUP(Table5[[#This Row],[Shortname]], Comp[], 17, FALSE)</f>
        <v>0</v>
      </c>
      <c r="U269">
        <f>VLOOKUP(Table5[[#This Row],[Shortname]], Comp[], 18, FALSE)</f>
        <v>0</v>
      </c>
      <c r="V269">
        <f>VLOOKUP(Table5[[#This Row],[Shortname]], Comp[], 19, FALSE)</f>
        <v>0</v>
      </c>
      <c r="W269">
        <f>VLOOKUP(Table5[[#This Row],[Shortname]], Comp[], 20, FALSE)</f>
        <v>0</v>
      </c>
      <c r="X269">
        <f>VLOOKUP(Table5[[#This Row],[Shortname]], Comp[], 21, FALSE)</f>
        <v>0</v>
      </c>
      <c r="Y269">
        <f>VLOOKUP(Table5[[#This Row],[Shortname]], Comp[], 22, FALSE)</f>
        <v>0</v>
      </c>
      <c r="Z269">
        <f>VLOOKUP(Table5[[#This Row],[Shortname]], Comp[], 23, FALSE)</f>
        <v>0</v>
      </c>
      <c r="AA269">
        <f>VLOOKUP(Table5[[#This Row],[Shortname]], Comp[], 24, FALSE)</f>
        <v>0</v>
      </c>
      <c r="AB269">
        <f>VLOOKUP(Table5[[#This Row],[Shortname]], Comp[], 25, FALSE)</f>
        <v>0</v>
      </c>
      <c r="AC269">
        <f>VLOOKUP(Table5[[#This Row],[Shortname]], Comp[], 26, FALSE)</f>
        <v>0</v>
      </c>
      <c r="AD269">
        <f>VLOOKUP(Table5[[#This Row],[Shortname]], Comp[], 27, FALSE)</f>
        <v>0</v>
      </c>
      <c r="AE269">
        <f>VLOOKUP(Table5[[#This Row],[Shortname]], Comp[], 28, FALSE)</f>
        <v>0</v>
      </c>
      <c r="AF269">
        <f>VLOOKUP(Table5[[#This Row],[Shortname]], Comp[], 29, FALSE)</f>
        <v>0</v>
      </c>
      <c r="AG269">
        <f>VLOOKUP(Table5[[#This Row],[Shortname]], Comp[], 30, FALSE)</f>
        <v>0</v>
      </c>
      <c r="AH269">
        <f>VLOOKUP(Table5[[#This Row],[Shortname]], Comp[], 31, FALSE)</f>
        <v>0</v>
      </c>
    </row>
    <row r="270" spans="1:34" x14ac:dyDescent="0.3">
      <c r="A270" s="7" t="s">
        <v>2623</v>
      </c>
      <c r="B270">
        <v>270</v>
      </c>
      <c r="C270" s="7" t="str">
        <f>VLOOKUP(Table5[[#This Row],[Shortname]], [1]!comp[#Data], 2, FALSE)</f>
        <v>CoAlW-X</v>
      </c>
      <c r="D270" s="7" t="s">
        <v>2625</v>
      </c>
      <c r="E270" t="s">
        <v>6731</v>
      </c>
      <c r="F270">
        <v>1016</v>
      </c>
      <c r="G270">
        <v>1431</v>
      </c>
      <c r="J270" s="14">
        <f>VLOOKUP(Table5[[#This Row],[Shortname]], Comp[], 7, FALSE)</f>
        <v>79.400000000000006</v>
      </c>
      <c r="K270">
        <f>VLOOKUP(Table5[[#This Row],[Shortname]], Comp[], 8, FALSE)</f>
        <v>0</v>
      </c>
      <c r="L270">
        <f>VLOOKUP(Table5[[#This Row],[Shortname]], Comp[], 9, FALSE)</f>
        <v>8.8000000000000007</v>
      </c>
      <c r="M270">
        <f>VLOOKUP(Table5[[#This Row],[Shortname]], Comp[], 10, FALSE)</f>
        <v>0</v>
      </c>
      <c r="N270">
        <f>VLOOKUP(Table5[[#This Row],[Shortname]], Comp[], 11, FALSE)</f>
        <v>9.8000000000000007</v>
      </c>
      <c r="O270">
        <f>VLOOKUP(Table5[[#This Row],[Shortname]], Comp[],12, FALSE)</f>
        <v>0</v>
      </c>
      <c r="P270">
        <f>VLOOKUP(Table5[[#This Row],[Shortname]], Comp[], 13, FALSE)</f>
        <v>0</v>
      </c>
      <c r="Q270">
        <f>VLOOKUP(Table5[[#This Row],[Shortname]], Comp[], 14, FALSE)</f>
        <v>0</v>
      </c>
      <c r="R270">
        <f>VLOOKUP(Table5[[#This Row],[Shortname]], Comp[], 15, FALSE)</f>
        <v>0</v>
      </c>
      <c r="S270">
        <f>VLOOKUP(Table5[[#This Row],[Shortname]], Comp[], 16, FALSE)</f>
        <v>2</v>
      </c>
      <c r="T270">
        <f>VLOOKUP(Table5[[#This Row],[Shortname]], Comp[], 17, FALSE)</f>
        <v>0</v>
      </c>
      <c r="U270">
        <f>VLOOKUP(Table5[[#This Row],[Shortname]], Comp[], 18, FALSE)</f>
        <v>0</v>
      </c>
      <c r="V270">
        <f>VLOOKUP(Table5[[#This Row],[Shortname]], Comp[], 19, FALSE)</f>
        <v>0</v>
      </c>
      <c r="W270">
        <f>VLOOKUP(Table5[[#This Row],[Shortname]], Comp[], 20, FALSE)</f>
        <v>0</v>
      </c>
      <c r="X270">
        <f>VLOOKUP(Table5[[#This Row],[Shortname]], Comp[], 21, FALSE)</f>
        <v>0</v>
      </c>
      <c r="Y270">
        <f>VLOOKUP(Table5[[#This Row],[Shortname]], Comp[], 22, FALSE)</f>
        <v>0</v>
      </c>
      <c r="Z270">
        <f>VLOOKUP(Table5[[#This Row],[Shortname]], Comp[], 23, FALSE)</f>
        <v>0</v>
      </c>
      <c r="AA270">
        <f>VLOOKUP(Table5[[#This Row],[Shortname]], Comp[], 24, FALSE)</f>
        <v>0</v>
      </c>
      <c r="AB270">
        <f>VLOOKUP(Table5[[#This Row],[Shortname]], Comp[], 25, FALSE)</f>
        <v>0</v>
      </c>
      <c r="AC270">
        <f>VLOOKUP(Table5[[#This Row],[Shortname]], Comp[], 26, FALSE)</f>
        <v>0</v>
      </c>
      <c r="AD270">
        <f>VLOOKUP(Table5[[#This Row],[Shortname]], Comp[], 27, FALSE)</f>
        <v>0</v>
      </c>
      <c r="AE270">
        <f>VLOOKUP(Table5[[#This Row],[Shortname]], Comp[], 28, FALSE)</f>
        <v>0</v>
      </c>
      <c r="AF270">
        <f>VLOOKUP(Table5[[#This Row],[Shortname]], Comp[], 29, FALSE)</f>
        <v>0</v>
      </c>
      <c r="AG270">
        <f>VLOOKUP(Table5[[#This Row],[Shortname]], Comp[], 30, FALSE)</f>
        <v>0</v>
      </c>
      <c r="AH270">
        <f>VLOOKUP(Table5[[#This Row],[Shortname]], Comp[], 31, FALSE)</f>
        <v>0</v>
      </c>
    </row>
    <row r="271" spans="1:34" x14ac:dyDescent="0.3">
      <c r="A271" s="7" t="s">
        <v>2649</v>
      </c>
      <c r="B271">
        <v>271</v>
      </c>
      <c r="C271" s="7" t="str">
        <f>VLOOKUP(Table5[[#This Row],[Shortname]], [1]!comp[#Data], 2, FALSE)</f>
        <v>CoAlW-X</v>
      </c>
      <c r="D271" s="7" t="s">
        <v>2650</v>
      </c>
      <c r="E271" t="s">
        <v>6731</v>
      </c>
      <c r="F271">
        <v>1015</v>
      </c>
      <c r="G271">
        <v>1398</v>
      </c>
      <c r="J271" s="14">
        <f>VLOOKUP(Table5[[#This Row],[Shortname]], Comp[], 7, FALSE)</f>
        <v>79.400000000000006</v>
      </c>
      <c r="K271">
        <f>VLOOKUP(Table5[[#This Row],[Shortname]], Comp[], 8, FALSE)</f>
        <v>0</v>
      </c>
      <c r="L271">
        <f>VLOOKUP(Table5[[#This Row],[Shortname]], Comp[], 9, FALSE)</f>
        <v>8.8000000000000007</v>
      </c>
      <c r="M271">
        <f>VLOOKUP(Table5[[#This Row],[Shortname]], Comp[], 10, FALSE)</f>
        <v>0</v>
      </c>
      <c r="N271">
        <f>VLOOKUP(Table5[[#This Row],[Shortname]], Comp[], 11, FALSE)</f>
        <v>9.8000000000000007</v>
      </c>
      <c r="O271">
        <f>VLOOKUP(Table5[[#This Row],[Shortname]], Comp[],12, FALSE)</f>
        <v>0</v>
      </c>
      <c r="P271">
        <f>VLOOKUP(Table5[[#This Row],[Shortname]], Comp[], 13, FALSE)</f>
        <v>0</v>
      </c>
      <c r="Q271">
        <f>VLOOKUP(Table5[[#This Row],[Shortname]], Comp[], 14, FALSE)</f>
        <v>0</v>
      </c>
      <c r="R271">
        <f>VLOOKUP(Table5[[#This Row],[Shortname]], Comp[], 15, FALSE)</f>
        <v>0</v>
      </c>
      <c r="S271">
        <f>VLOOKUP(Table5[[#This Row],[Shortname]], Comp[], 16, FALSE)</f>
        <v>0</v>
      </c>
      <c r="T271">
        <f>VLOOKUP(Table5[[#This Row],[Shortname]], Comp[], 17, FALSE)</f>
        <v>0</v>
      </c>
      <c r="U271">
        <f>VLOOKUP(Table5[[#This Row],[Shortname]], Comp[], 18, FALSE)</f>
        <v>0</v>
      </c>
      <c r="V271">
        <f>VLOOKUP(Table5[[#This Row],[Shortname]], Comp[], 19, FALSE)</f>
        <v>0</v>
      </c>
      <c r="W271">
        <f>VLOOKUP(Table5[[#This Row],[Shortname]], Comp[], 20, FALSE)</f>
        <v>0</v>
      </c>
      <c r="X271">
        <f>VLOOKUP(Table5[[#This Row],[Shortname]], Comp[], 21, FALSE)</f>
        <v>0</v>
      </c>
      <c r="Y271">
        <f>VLOOKUP(Table5[[#This Row],[Shortname]], Comp[], 22, FALSE)</f>
        <v>2</v>
      </c>
      <c r="Z271">
        <f>VLOOKUP(Table5[[#This Row],[Shortname]], Comp[], 23, FALSE)</f>
        <v>0</v>
      </c>
      <c r="AA271">
        <f>VLOOKUP(Table5[[#This Row],[Shortname]], Comp[], 24, FALSE)</f>
        <v>0</v>
      </c>
      <c r="AB271">
        <f>VLOOKUP(Table5[[#This Row],[Shortname]], Comp[], 25, FALSE)</f>
        <v>0</v>
      </c>
      <c r="AC271">
        <f>VLOOKUP(Table5[[#This Row],[Shortname]], Comp[], 26, FALSE)</f>
        <v>0</v>
      </c>
      <c r="AD271">
        <f>VLOOKUP(Table5[[#This Row],[Shortname]], Comp[], 27, FALSE)</f>
        <v>0</v>
      </c>
      <c r="AE271">
        <f>VLOOKUP(Table5[[#This Row],[Shortname]], Comp[], 28, FALSE)</f>
        <v>0</v>
      </c>
      <c r="AF271">
        <f>VLOOKUP(Table5[[#This Row],[Shortname]], Comp[], 29, FALSE)</f>
        <v>0</v>
      </c>
      <c r="AG271">
        <f>VLOOKUP(Table5[[#This Row],[Shortname]], Comp[], 30, FALSE)</f>
        <v>0</v>
      </c>
      <c r="AH271">
        <f>VLOOKUP(Table5[[#This Row],[Shortname]], Comp[], 31, FALSE)</f>
        <v>0</v>
      </c>
    </row>
    <row r="272" spans="1:34" x14ac:dyDescent="0.3">
      <c r="A272" s="7" t="s">
        <v>2643</v>
      </c>
      <c r="B272">
        <v>272</v>
      </c>
      <c r="C272" s="7" t="str">
        <f>VLOOKUP(Table5[[#This Row],[Shortname]], [1]!comp[#Data], 2, FALSE)</f>
        <v>CoAlW-X</v>
      </c>
      <c r="D272" s="7" t="s">
        <v>2645</v>
      </c>
      <c r="E272" t="s">
        <v>6731</v>
      </c>
      <c r="F272">
        <v>1011</v>
      </c>
      <c r="G272">
        <v>1452</v>
      </c>
      <c r="J272" s="14">
        <f>VLOOKUP(Table5[[#This Row],[Shortname]], Comp[], 7, FALSE)</f>
        <v>79.400000000000006</v>
      </c>
      <c r="K272">
        <f>VLOOKUP(Table5[[#This Row],[Shortname]], Comp[], 8, FALSE)</f>
        <v>2</v>
      </c>
      <c r="L272">
        <f>VLOOKUP(Table5[[#This Row],[Shortname]], Comp[], 9, FALSE)</f>
        <v>8.8000000000000007</v>
      </c>
      <c r="M272">
        <f>VLOOKUP(Table5[[#This Row],[Shortname]], Comp[], 10, FALSE)</f>
        <v>0</v>
      </c>
      <c r="N272">
        <f>VLOOKUP(Table5[[#This Row],[Shortname]], Comp[], 11, FALSE)</f>
        <v>9.8000000000000007</v>
      </c>
      <c r="O272">
        <f>VLOOKUP(Table5[[#This Row],[Shortname]], Comp[],12, FALSE)</f>
        <v>0</v>
      </c>
      <c r="P272">
        <f>VLOOKUP(Table5[[#This Row],[Shortname]], Comp[], 13, FALSE)</f>
        <v>0</v>
      </c>
      <c r="Q272">
        <f>VLOOKUP(Table5[[#This Row],[Shortname]], Comp[], 14, FALSE)</f>
        <v>0</v>
      </c>
      <c r="R272">
        <f>VLOOKUP(Table5[[#This Row],[Shortname]], Comp[], 15, FALSE)</f>
        <v>0</v>
      </c>
      <c r="S272">
        <f>VLOOKUP(Table5[[#This Row],[Shortname]], Comp[], 16, FALSE)</f>
        <v>0</v>
      </c>
      <c r="T272">
        <f>VLOOKUP(Table5[[#This Row],[Shortname]], Comp[], 17, FALSE)</f>
        <v>0</v>
      </c>
      <c r="U272">
        <f>VLOOKUP(Table5[[#This Row],[Shortname]], Comp[], 18, FALSE)</f>
        <v>0</v>
      </c>
      <c r="V272">
        <f>VLOOKUP(Table5[[#This Row],[Shortname]], Comp[], 19, FALSE)</f>
        <v>0</v>
      </c>
      <c r="W272">
        <f>VLOOKUP(Table5[[#This Row],[Shortname]], Comp[], 20, FALSE)</f>
        <v>0</v>
      </c>
      <c r="X272">
        <f>VLOOKUP(Table5[[#This Row],[Shortname]], Comp[], 21, FALSE)</f>
        <v>0</v>
      </c>
      <c r="Y272">
        <f>VLOOKUP(Table5[[#This Row],[Shortname]], Comp[], 22, FALSE)</f>
        <v>0</v>
      </c>
      <c r="Z272">
        <f>VLOOKUP(Table5[[#This Row],[Shortname]], Comp[], 23, FALSE)</f>
        <v>0</v>
      </c>
      <c r="AA272">
        <f>VLOOKUP(Table5[[#This Row],[Shortname]], Comp[], 24, FALSE)</f>
        <v>0</v>
      </c>
      <c r="AB272">
        <f>VLOOKUP(Table5[[#This Row],[Shortname]], Comp[], 25, FALSE)</f>
        <v>0</v>
      </c>
      <c r="AC272">
        <f>VLOOKUP(Table5[[#This Row],[Shortname]], Comp[], 26, FALSE)</f>
        <v>0</v>
      </c>
      <c r="AD272">
        <f>VLOOKUP(Table5[[#This Row],[Shortname]], Comp[], 27, FALSE)</f>
        <v>0</v>
      </c>
      <c r="AE272">
        <f>VLOOKUP(Table5[[#This Row],[Shortname]], Comp[], 28, FALSE)</f>
        <v>0</v>
      </c>
      <c r="AF272">
        <f>VLOOKUP(Table5[[#This Row],[Shortname]], Comp[], 29, FALSE)</f>
        <v>0</v>
      </c>
      <c r="AG272">
        <f>VLOOKUP(Table5[[#This Row],[Shortname]], Comp[], 30, FALSE)</f>
        <v>0</v>
      </c>
      <c r="AH272">
        <f>VLOOKUP(Table5[[#This Row],[Shortname]], Comp[], 31, FALSE)</f>
        <v>0</v>
      </c>
    </row>
    <row r="273" spans="1:34" x14ac:dyDescent="0.3">
      <c r="A273" s="7" t="s">
        <v>2668</v>
      </c>
      <c r="B273">
        <v>273</v>
      </c>
      <c r="C273" s="7" t="str">
        <f>VLOOKUP(Table5[[#This Row],[Shortname]], [1]!comp[#Data], 2, FALSE)</f>
        <v>CoAlW-X</v>
      </c>
      <c r="D273" s="7" t="s">
        <v>2670</v>
      </c>
      <c r="E273" t="s">
        <v>6731</v>
      </c>
      <c r="F273">
        <v>1008</v>
      </c>
      <c r="G273">
        <v>1454</v>
      </c>
      <c r="J273" s="14">
        <f>VLOOKUP(Table5[[#This Row],[Shortname]], Comp[], 7, FALSE)</f>
        <v>79.400000000000006</v>
      </c>
      <c r="K273">
        <f>VLOOKUP(Table5[[#This Row],[Shortname]], Comp[], 8, FALSE)</f>
        <v>0</v>
      </c>
      <c r="L273">
        <f>VLOOKUP(Table5[[#This Row],[Shortname]], Comp[], 9, FALSE)</f>
        <v>8.8000000000000007</v>
      </c>
      <c r="M273">
        <f>VLOOKUP(Table5[[#This Row],[Shortname]], Comp[], 10, FALSE)</f>
        <v>0</v>
      </c>
      <c r="N273">
        <f>VLOOKUP(Table5[[#This Row],[Shortname]], Comp[], 11, FALSE)</f>
        <v>9.8000000000000007</v>
      </c>
      <c r="O273">
        <f>VLOOKUP(Table5[[#This Row],[Shortname]], Comp[],12, FALSE)</f>
        <v>0</v>
      </c>
      <c r="P273">
        <f>VLOOKUP(Table5[[#This Row],[Shortname]], Comp[], 13, FALSE)</f>
        <v>0</v>
      </c>
      <c r="Q273">
        <f>VLOOKUP(Table5[[#This Row],[Shortname]], Comp[], 14, FALSE)</f>
        <v>0</v>
      </c>
      <c r="R273">
        <f>VLOOKUP(Table5[[#This Row],[Shortname]], Comp[], 15, FALSE)</f>
        <v>0</v>
      </c>
      <c r="S273">
        <f>VLOOKUP(Table5[[#This Row],[Shortname]], Comp[], 16, FALSE)</f>
        <v>0</v>
      </c>
      <c r="T273">
        <f>VLOOKUP(Table5[[#This Row],[Shortname]], Comp[], 17, FALSE)</f>
        <v>0</v>
      </c>
      <c r="U273">
        <f>VLOOKUP(Table5[[#This Row],[Shortname]], Comp[], 18, FALSE)</f>
        <v>0</v>
      </c>
      <c r="V273">
        <f>VLOOKUP(Table5[[#This Row],[Shortname]], Comp[], 19, FALSE)</f>
        <v>0</v>
      </c>
      <c r="W273">
        <f>VLOOKUP(Table5[[#This Row],[Shortname]], Comp[], 20, FALSE)</f>
        <v>0</v>
      </c>
      <c r="X273">
        <f>VLOOKUP(Table5[[#This Row],[Shortname]], Comp[], 21, FALSE)</f>
        <v>0</v>
      </c>
      <c r="Y273">
        <f>VLOOKUP(Table5[[#This Row],[Shortname]], Comp[], 22, FALSE)</f>
        <v>0</v>
      </c>
      <c r="Z273">
        <f>VLOOKUP(Table5[[#This Row],[Shortname]], Comp[], 23, FALSE)</f>
        <v>0</v>
      </c>
      <c r="AA273">
        <f>VLOOKUP(Table5[[#This Row],[Shortname]], Comp[], 24, FALSE)</f>
        <v>0</v>
      </c>
      <c r="AB273">
        <f>VLOOKUP(Table5[[#This Row],[Shortname]], Comp[], 25, FALSE)</f>
        <v>0</v>
      </c>
      <c r="AC273">
        <f>VLOOKUP(Table5[[#This Row],[Shortname]], Comp[], 26, FALSE)</f>
        <v>0</v>
      </c>
      <c r="AD273">
        <f>VLOOKUP(Table5[[#This Row],[Shortname]], Comp[], 27, FALSE)</f>
        <v>0</v>
      </c>
      <c r="AE273">
        <f>VLOOKUP(Table5[[#This Row],[Shortname]], Comp[], 28, FALSE)</f>
        <v>0</v>
      </c>
      <c r="AF273">
        <f>VLOOKUP(Table5[[#This Row],[Shortname]], Comp[], 29, FALSE)</f>
        <v>2</v>
      </c>
      <c r="AG273">
        <f>VLOOKUP(Table5[[#This Row],[Shortname]], Comp[], 30, FALSE)</f>
        <v>0</v>
      </c>
      <c r="AH273">
        <f>VLOOKUP(Table5[[#This Row],[Shortname]], Comp[], 31, FALSE)</f>
        <v>0</v>
      </c>
    </row>
    <row r="274" spans="1:34" x14ac:dyDescent="0.3">
      <c r="A274" s="7" t="s">
        <v>2636</v>
      </c>
      <c r="B274">
        <v>274</v>
      </c>
      <c r="C274" s="7" t="str">
        <f>VLOOKUP(Table5[[#This Row],[Shortname]], [1]!comp[#Data], 2, FALSE)</f>
        <v>CoAlW-X</v>
      </c>
      <c r="D274" s="7" t="s">
        <v>2638</v>
      </c>
      <c r="E274" t="s">
        <v>6731</v>
      </c>
      <c r="F274">
        <v>1003</v>
      </c>
      <c r="G274">
        <v>1447</v>
      </c>
      <c r="J274" s="14">
        <f>VLOOKUP(Table5[[#This Row],[Shortname]], Comp[], 7, FALSE)</f>
        <v>79.400000000000006</v>
      </c>
      <c r="K274">
        <f>VLOOKUP(Table5[[#This Row],[Shortname]], Comp[], 8, FALSE)</f>
        <v>0</v>
      </c>
      <c r="L274">
        <f>VLOOKUP(Table5[[#This Row],[Shortname]], Comp[], 9, FALSE)</f>
        <v>8.8000000000000007</v>
      </c>
      <c r="M274">
        <f>VLOOKUP(Table5[[#This Row],[Shortname]], Comp[], 10, FALSE)</f>
        <v>0</v>
      </c>
      <c r="N274">
        <f>VLOOKUP(Table5[[#This Row],[Shortname]], Comp[], 11, FALSE)</f>
        <v>9.8000000000000007</v>
      </c>
      <c r="O274">
        <f>VLOOKUP(Table5[[#This Row],[Shortname]], Comp[],12, FALSE)</f>
        <v>0</v>
      </c>
      <c r="P274">
        <f>VLOOKUP(Table5[[#This Row],[Shortname]], Comp[], 13, FALSE)</f>
        <v>0</v>
      </c>
      <c r="Q274">
        <f>VLOOKUP(Table5[[#This Row],[Shortname]], Comp[], 14, FALSE)</f>
        <v>0</v>
      </c>
      <c r="R274">
        <f>VLOOKUP(Table5[[#This Row],[Shortname]], Comp[], 15, FALSE)</f>
        <v>0</v>
      </c>
      <c r="S274">
        <f>VLOOKUP(Table5[[#This Row],[Shortname]], Comp[], 16, FALSE)</f>
        <v>0</v>
      </c>
      <c r="T274">
        <f>VLOOKUP(Table5[[#This Row],[Shortname]], Comp[], 17, FALSE)</f>
        <v>0</v>
      </c>
      <c r="U274">
        <f>VLOOKUP(Table5[[#This Row],[Shortname]], Comp[], 18, FALSE)</f>
        <v>0</v>
      </c>
      <c r="V274">
        <f>VLOOKUP(Table5[[#This Row],[Shortname]], Comp[], 19, FALSE)</f>
        <v>0</v>
      </c>
      <c r="W274">
        <f>VLOOKUP(Table5[[#This Row],[Shortname]], Comp[], 20, FALSE)</f>
        <v>0</v>
      </c>
      <c r="X274">
        <f>VLOOKUP(Table5[[#This Row],[Shortname]], Comp[], 21, FALSE)</f>
        <v>0</v>
      </c>
      <c r="Y274">
        <f>VLOOKUP(Table5[[#This Row],[Shortname]], Comp[], 22, FALSE)</f>
        <v>0</v>
      </c>
      <c r="Z274">
        <f>VLOOKUP(Table5[[#This Row],[Shortname]], Comp[], 23, FALSE)</f>
        <v>2</v>
      </c>
      <c r="AA274">
        <f>VLOOKUP(Table5[[#This Row],[Shortname]], Comp[], 24, FALSE)</f>
        <v>0</v>
      </c>
      <c r="AB274">
        <f>VLOOKUP(Table5[[#This Row],[Shortname]], Comp[], 25, FALSE)</f>
        <v>0</v>
      </c>
      <c r="AC274">
        <f>VLOOKUP(Table5[[#This Row],[Shortname]], Comp[], 26, FALSE)</f>
        <v>0</v>
      </c>
      <c r="AD274">
        <f>VLOOKUP(Table5[[#This Row],[Shortname]], Comp[], 27, FALSE)</f>
        <v>0</v>
      </c>
      <c r="AE274">
        <f>VLOOKUP(Table5[[#This Row],[Shortname]], Comp[], 28, FALSE)</f>
        <v>0</v>
      </c>
      <c r="AF274">
        <f>VLOOKUP(Table5[[#This Row],[Shortname]], Comp[], 29, FALSE)</f>
        <v>0</v>
      </c>
      <c r="AG274">
        <f>VLOOKUP(Table5[[#This Row],[Shortname]], Comp[], 30, FALSE)</f>
        <v>0</v>
      </c>
      <c r="AH274">
        <f>VLOOKUP(Table5[[#This Row],[Shortname]], Comp[], 31, FALSE)</f>
        <v>0</v>
      </c>
    </row>
    <row r="275" spans="1:34" x14ac:dyDescent="0.3">
      <c r="A275" s="7" t="s">
        <v>2617</v>
      </c>
      <c r="B275">
        <v>275</v>
      </c>
      <c r="C275" s="7" t="str">
        <f>VLOOKUP(Table5[[#This Row],[Shortname]], [1]!comp[#Data], 2, FALSE)</f>
        <v>CoAlW-X</v>
      </c>
      <c r="D275" s="7" t="s">
        <v>2619</v>
      </c>
      <c r="E275" t="s">
        <v>6731</v>
      </c>
      <c r="F275">
        <v>1002</v>
      </c>
      <c r="G275">
        <v>1443</v>
      </c>
      <c r="J275" s="14">
        <f>VLOOKUP(Table5[[#This Row],[Shortname]], Comp[], 7, FALSE)</f>
        <v>79.400000000000006</v>
      </c>
      <c r="K275">
        <f>VLOOKUP(Table5[[#This Row],[Shortname]], Comp[], 8, FALSE)</f>
        <v>0</v>
      </c>
      <c r="L275">
        <f>VLOOKUP(Table5[[#This Row],[Shortname]], Comp[], 9, FALSE)</f>
        <v>8.8000000000000007</v>
      </c>
      <c r="M275">
        <f>VLOOKUP(Table5[[#This Row],[Shortname]], Comp[], 10, FALSE)</f>
        <v>2</v>
      </c>
      <c r="N275">
        <f>VLOOKUP(Table5[[#This Row],[Shortname]], Comp[], 11, FALSE)</f>
        <v>9.8000000000000007</v>
      </c>
      <c r="O275">
        <f>VLOOKUP(Table5[[#This Row],[Shortname]], Comp[],12, FALSE)</f>
        <v>0</v>
      </c>
      <c r="P275">
        <f>VLOOKUP(Table5[[#This Row],[Shortname]], Comp[], 13, FALSE)</f>
        <v>0</v>
      </c>
      <c r="Q275">
        <f>VLOOKUP(Table5[[#This Row],[Shortname]], Comp[], 14, FALSE)</f>
        <v>0</v>
      </c>
      <c r="R275">
        <f>VLOOKUP(Table5[[#This Row],[Shortname]], Comp[], 15, FALSE)</f>
        <v>0</v>
      </c>
      <c r="S275">
        <f>VLOOKUP(Table5[[#This Row],[Shortname]], Comp[], 16, FALSE)</f>
        <v>0</v>
      </c>
      <c r="T275">
        <f>VLOOKUP(Table5[[#This Row],[Shortname]], Comp[], 17, FALSE)</f>
        <v>0</v>
      </c>
      <c r="U275">
        <f>VLOOKUP(Table5[[#This Row],[Shortname]], Comp[], 18, FALSE)</f>
        <v>0</v>
      </c>
      <c r="V275">
        <f>VLOOKUP(Table5[[#This Row],[Shortname]], Comp[], 19, FALSE)</f>
        <v>0</v>
      </c>
      <c r="W275">
        <f>VLOOKUP(Table5[[#This Row],[Shortname]], Comp[], 20, FALSE)</f>
        <v>0</v>
      </c>
      <c r="X275">
        <f>VLOOKUP(Table5[[#This Row],[Shortname]], Comp[], 21, FALSE)</f>
        <v>0</v>
      </c>
      <c r="Y275">
        <f>VLOOKUP(Table5[[#This Row],[Shortname]], Comp[], 22, FALSE)</f>
        <v>0</v>
      </c>
      <c r="Z275">
        <f>VLOOKUP(Table5[[#This Row],[Shortname]], Comp[], 23, FALSE)</f>
        <v>0</v>
      </c>
      <c r="AA275">
        <f>VLOOKUP(Table5[[#This Row],[Shortname]], Comp[], 24, FALSE)</f>
        <v>0</v>
      </c>
      <c r="AB275">
        <f>VLOOKUP(Table5[[#This Row],[Shortname]], Comp[], 25, FALSE)</f>
        <v>0</v>
      </c>
      <c r="AC275">
        <f>VLOOKUP(Table5[[#This Row],[Shortname]], Comp[], 26, FALSE)</f>
        <v>0</v>
      </c>
      <c r="AD275">
        <f>VLOOKUP(Table5[[#This Row],[Shortname]], Comp[], 27, FALSE)</f>
        <v>0</v>
      </c>
      <c r="AE275">
        <f>VLOOKUP(Table5[[#This Row],[Shortname]], Comp[], 28, FALSE)</f>
        <v>0</v>
      </c>
      <c r="AF275">
        <f>VLOOKUP(Table5[[#This Row],[Shortname]], Comp[], 29, FALSE)</f>
        <v>0</v>
      </c>
      <c r="AG275">
        <f>VLOOKUP(Table5[[#This Row],[Shortname]], Comp[], 30, FALSE)</f>
        <v>0</v>
      </c>
      <c r="AH275">
        <f>VLOOKUP(Table5[[#This Row],[Shortname]], Comp[], 31, FALSE)</f>
        <v>0</v>
      </c>
    </row>
    <row r="276" spans="1:34" x14ac:dyDescent="0.3">
      <c r="A276" s="7" t="s">
        <v>2629</v>
      </c>
      <c r="B276">
        <v>276</v>
      </c>
      <c r="C276" s="7" t="str">
        <f>VLOOKUP(Table5[[#This Row],[Shortname]], [1]!comp[#Data], 2, FALSE)</f>
        <v>CoAlW-X</v>
      </c>
      <c r="D276" s="7" t="s">
        <v>2631</v>
      </c>
      <c r="E276" t="s">
        <v>6731</v>
      </c>
      <c r="F276">
        <v>997</v>
      </c>
      <c r="G276">
        <v>1436</v>
      </c>
      <c r="J276" s="14">
        <f>VLOOKUP(Table5[[#This Row],[Shortname]], Comp[], 7, FALSE)</f>
        <v>79.400000000000006</v>
      </c>
      <c r="K276">
        <f>VLOOKUP(Table5[[#This Row],[Shortname]], Comp[], 8, FALSE)</f>
        <v>0</v>
      </c>
      <c r="L276">
        <f>VLOOKUP(Table5[[#This Row],[Shortname]], Comp[], 9, FALSE)</f>
        <v>8.8000000000000007</v>
      </c>
      <c r="M276">
        <f>VLOOKUP(Table5[[#This Row],[Shortname]], Comp[], 10, FALSE)</f>
        <v>0</v>
      </c>
      <c r="N276">
        <f>VLOOKUP(Table5[[#This Row],[Shortname]], Comp[], 11, FALSE)</f>
        <v>9.8000000000000007</v>
      </c>
      <c r="O276">
        <f>VLOOKUP(Table5[[#This Row],[Shortname]], Comp[],12, FALSE)</f>
        <v>0</v>
      </c>
      <c r="P276">
        <f>VLOOKUP(Table5[[#This Row],[Shortname]], Comp[], 13, FALSE)</f>
        <v>0</v>
      </c>
      <c r="Q276">
        <f>VLOOKUP(Table5[[#This Row],[Shortname]], Comp[], 14, FALSE)</f>
        <v>0</v>
      </c>
      <c r="R276">
        <f>VLOOKUP(Table5[[#This Row],[Shortname]], Comp[], 15, FALSE)</f>
        <v>0</v>
      </c>
      <c r="S276">
        <f>VLOOKUP(Table5[[#This Row],[Shortname]], Comp[], 16, FALSE)</f>
        <v>0</v>
      </c>
      <c r="T276">
        <f>VLOOKUP(Table5[[#This Row],[Shortname]], Comp[], 17, FALSE)</f>
        <v>0</v>
      </c>
      <c r="U276">
        <f>VLOOKUP(Table5[[#This Row],[Shortname]], Comp[], 18, FALSE)</f>
        <v>0</v>
      </c>
      <c r="V276">
        <f>VLOOKUP(Table5[[#This Row],[Shortname]], Comp[], 19, FALSE)</f>
        <v>0</v>
      </c>
      <c r="W276">
        <f>VLOOKUP(Table5[[#This Row],[Shortname]], Comp[], 20, FALSE)</f>
        <v>0</v>
      </c>
      <c r="X276">
        <f>VLOOKUP(Table5[[#This Row],[Shortname]], Comp[], 21, FALSE)</f>
        <v>0</v>
      </c>
      <c r="Y276">
        <f>VLOOKUP(Table5[[#This Row],[Shortname]], Comp[], 22, FALSE)</f>
        <v>0</v>
      </c>
      <c r="Z276">
        <f>VLOOKUP(Table5[[#This Row],[Shortname]], Comp[], 23, FALSE)</f>
        <v>0</v>
      </c>
      <c r="AA276">
        <f>VLOOKUP(Table5[[#This Row],[Shortname]], Comp[], 24, FALSE)</f>
        <v>0</v>
      </c>
      <c r="AB276">
        <f>VLOOKUP(Table5[[#This Row],[Shortname]], Comp[], 25, FALSE)</f>
        <v>0</v>
      </c>
      <c r="AC276">
        <f>VLOOKUP(Table5[[#This Row],[Shortname]], Comp[], 26, FALSE)</f>
        <v>0</v>
      </c>
      <c r="AD276">
        <f>VLOOKUP(Table5[[#This Row],[Shortname]], Comp[], 27, FALSE)</f>
        <v>2</v>
      </c>
      <c r="AE276">
        <f>VLOOKUP(Table5[[#This Row],[Shortname]], Comp[], 28, FALSE)</f>
        <v>0</v>
      </c>
      <c r="AF276">
        <f>VLOOKUP(Table5[[#This Row],[Shortname]], Comp[], 29, FALSE)</f>
        <v>0</v>
      </c>
      <c r="AG276">
        <f>VLOOKUP(Table5[[#This Row],[Shortname]], Comp[], 30, FALSE)</f>
        <v>0</v>
      </c>
      <c r="AH276">
        <f>VLOOKUP(Table5[[#This Row],[Shortname]], Comp[], 31, FALSE)</f>
        <v>0</v>
      </c>
    </row>
    <row r="277" spans="1:34" x14ac:dyDescent="0.3">
      <c r="A277" s="7" t="s">
        <v>2702</v>
      </c>
      <c r="B277">
        <v>277</v>
      </c>
      <c r="C277" s="7" t="str">
        <f>VLOOKUP(Table5[[#This Row],[Shortname]], [1]!comp[#Data], 2, FALSE)</f>
        <v>CoAlW-X</v>
      </c>
      <c r="D277" s="7" t="s">
        <v>2704</v>
      </c>
      <c r="E277" t="s">
        <v>6732</v>
      </c>
      <c r="F277">
        <v>1070</v>
      </c>
      <c r="J277" s="14">
        <f>VLOOKUP(Table5[[#This Row],[Shortname]], Comp[], 7, FALSE)</f>
        <v>82</v>
      </c>
      <c r="K277">
        <f>VLOOKUP(Table5[[#This Row],[Shortname]], Comp[], 8, FALSE)</f>
        <v>0</v>
      </c>
      <c r="L277">
        <f>VLOOKUP(Table5[[#This Row],[Shortname]], Comp[], 9, FALSE)</f>
        <v>9</v>
      </c>
      <c r="M277">
        <f>VLOOKUP(Table5[[#This Row],[Shortname]], Comp[], 10, FALSE)</f>
        <v>0</v>
      </c>
      <c r="N277">
        <f>VLOOKUP(Table5[[#This Row],[Shortname]], Comp[], 11, FALSE)</f>
        <v>7</v>
      </c>
      <c r="O277">
        <f>VLOOKUP(Table5[[#This Row],[Shortname]], Comp[],12, FALSE)</f>
        <v>0</v>
      </c>
      <c r="P277">
        <f>VLOOKUP(Table5[[#This Row],[Shortname]], Comp[], 13, FALSE)</f>
        <v>2</v>
      </c>
      <c r="Q277">
        <f>VLOOKUP(Table5[[#This Row],[Shortname]], Comp[], 14, FALSE)</f>
        <v>0</v>
      </c>
      <c r="R277">
        <f>VLOOKUP(Table5[[#This Row],[Shortname]], Comp[], 15, FALSE)</f>
        <v>0</v>
      </c>
      <c r="S277">
        <f>VLOOKUP(Table5[[#This Row],[Shortname]], Comp[], 16, FALSE)</f>
        <v>0</v>
      </c>
      <c r="T277">
        <f>VLOOKUP(Table5[[#This Row],[Shortname]], Comp[], 17, FALSE)</f>
        <v>0</v>
      </c>
      <c r="U277">
        <f>VLOOKUP(Table5[[#This Row],[Shortname]], Comp[], 18, FALSE)</f>
        <v>0</v>
      </c>
      <c r="V277">
        <f>VLOOKUP(Table5[[#This Row],[Shortname]], Comp[], 19, FALSE)</f>
        <v>0</v>
      </c>
      <c r="W277">
        <f>VLOOKUP(Table5[[#This Row],[Shortname]], Comp[], 20, FALSE)</f>
        <v>0</v>
      </c>
      <c r="X277">
        <f>VLOOKUP(Table5[[#This Row],[Shortname]], Comp[], 21, FALSE)</f>
        <v>0</v>
      </c>
      <c r="Y277">
        <f>VLOOKUP(Table5[[#This Row],[Shortname]], Comp[], 22, FALSE)</f>
        <v>0</v>
      </c>
      <c r="Z277">
        <f>VLOOKUP(Table5[[#This Row],[Shortname]], Comp[], 23, FALSE)</f>
        <v>0</v>
      </c>
      <c r="AA277">
        <f>VLOOKUP(Table5[[#This Row],[Shortname]], Comp[], 24, FALSE)</f>
        <v>0</v>
      </c>
      <c r="AB277">
        <f>VLOOKUP(Table5[[#This Row],[Shortname]], Comp[], 25, FALSE)</f>
        <v>0</v>
      </c>
      <c r="AC277">
        <f>VLOOKUP(Table5[[#This Row],[Shortname]], Comp[], 26, FALSE)</f>
        <v>0</v>
      </c>
      <c r="AD277">
        <f>VLOOKUP(Table5[[#This Row],[Shortname]], Comp[], 27, FALSE)</f>
        <v>0</v>
      </c>
      <c r="AE277">
        <f>VLOOKUP(Table5[[#This Row],[Shortname]], Comp[], 28, FALSE)</f>
        <v>0</v>
      </c>
      <c r="AF277">
        <f>VLOOKUP(Table5[[#This Row],[Shortname]], Comp[], 29, FALSE)</f>
        <v>0</v>
      </c>
      <c r="AG277">
        <f>VLOOKUP(Table5[[#This Row],[Shortname]], Comp[], 30, FALSE)</f>
        <v>0</v>
      </c>
      <c r="AH277">
        <f>VLOOKUP(Table5[[#This Row],[Shortname]], Comp[], 31, FALSE)</f>
        <v>0</v>
      </c>
    </row>
    <row r="278" spans="1:34" x14ac:dyDescent="0.3">
      <c r="A278" s="7" t="s">
        <v>2714</v>
      </c>
      <c r="B278">
        <v>278</v>
      </c>
      <c r="C278" s="7" t="str">
        <f>VLOOKUP(Table5[[#This Row],[Shortname]], [1]!comp[#Data], 2, FALSE)</f>
        <v>CoAlW-X</v>
      </c>
      <c r="D278" s="7" t="s">
        <v>2716</v>
      </c>
      <c r="E278" t="s">
        <v>6732</v>
      </c>
      <c r="F278">
        <v>1030</v>
      </c>
      <c r="J278" s="14">
        <f>VLOOKUP(Table5[[#This Row],[Shortname]], Comp[], 7, FALSE)</f>
        <v>82</v>
      </c>
      <c r="K278">
        <f>VLOOKUP(Table5[[#This Row],[Shortname]], Comp[], 8, FALSE)</f>
        <v>0</v>
      </c>
      <c r="L278">
        <f>VLOOKUP(Table5[[#This Row],[Shortname]], Comp[], 9, FALSE)</f>
        <v>9</v>
      </c>
      <c r="M278">
        <f>VLOOKUP(Table5[[#This Row],[Shortname]], Comp[], 10, FALSE)</f>
        <v>0</v>
      </c>
      <c r="N278">
        <f>VLOOKUP(Table5[[#This Row],[Shortname]], Comp[], 11, FALSE)</f>
        <v>7</v>
      </c>
      <c r="O278">
        <f>VLOOKUP(Table5[[#This Row],[Shortname]], Comp[],12, FALSE)</f>
        <v>0</v>
      </c>
      <c r="P278">
        <f>VLOOKUP(Table5[[#This Row],[Shortname]], Comp[], 13, FALSE)</f>
        <v>0</v>
      </c>
      <c r="Q278">
        <f>VLOOKUP(Table5[[#This Row],[Shortname]], Comp[], 14, FALSE)</f>
        <v>2</v>
      </c>
      <c r="R278">
        <f>VLOOKUP(Table5[[#This Row],[Shortname]], Comp[], 15, FALSE)</f>
        <v>0</v>
      </c>
      <c r="S278">
        <f>VLOOKUP(Table5[[#This Row],[Shortname]], Comp[], 16, FALSE)</f>
        <v>0</v>
      </c>
      <c r="T278">
        <f>VLOOKUP(Table5[[#This Row],[Shortname]], Comp[], 17, FALSE)</f>
        <v>0</v>
      </c>
      <c r="U278">
        <f>VLOOKUP(Table5[[#This Row],[Shortname]], Comp[], 18, FALSE)</f>
        <v>0</v>
      </c>
      <c r="V278">
        <f>VLOOKUP(Table5[[#This Row],[Shortname]], Comp[], 19, FALSE)</f>
        <v>0</v>
      </c>
      <c r="W278">
        <f>VLOOKUP(Table5[[#This Row],[Shortname]], Comp[], 20, FALSE)</f>
        <v>0</v>
      </c>
      <c r="X278">
        <f>VLOOKUP(Table5[[#This Row],[Shortname]], Comp[], 21, FALSE)</f>
        <v>0</v>
      </c>
      <c r="Y278">
        <f>VLOOKUP(Table5[[#This Row],[Shortname]], Comp[], 22, FALSE)</f>
        <v>0</v>
      </c>
      <c r="Z278">
        <f>VLOOKUP(Table5[[#This Row],[Shortname]], Comp[], 23, FALSE)</f>
        <v>0</v>
      </c>
      <c r="AA278">
        <f>VLOOKUP(Table5[[#This Row],[Shortname]], Comp[], 24, FALSE)</f>
        <v>0</v>
      </c>
      <c r="AB278">
        <f>VLOOKUP(Table5[[#This Row],[Shortname]], Comp[], 25, FALSE)</f>
        <v>0</v>
      </c>
      <c r="AC278">
        <f>VLOOKUP(Table5[[#This Row],[Shortname]], Comp[], 26, FALSE)</f>
        <v>0</v>
      </c>
      <c r="AD278">
        <f>VLOOKUP(Table5[[#This Row],[Shortname]], Comp[], 27, FALSE)</f>
        <v>0</v>
      </c>
      <c r="AE278">
        <f>VLOOKUP(Table5[[#This Row],[Shortname]], Comp[], 28, FALSE)</f>
        <v>0</v>
      </c>
      <c r="AF278">
        <f>VLOOKUP(Table5[[#This Row],[Shortname]], Comp[], 29, FALSE)</f>
        <v>0</v>
      </c>
      <c r="AG278">
        <f>VLOOKUP(Table5[[#This Row],[Shortname]], Comp[], 30, FALSE)</f>
        <v>0</v>
      </c>
      <c r="AH278">
        <f>VLOOKUP(Table5[[#This Row],[Shortname]], Comp[], 31, FALSE)</f>
        <v>0</v>
      </c>
    </row>
    <row r="279" spans="1:34" x14ac:dyDescent="0.3">
      <c r="A279" s="7" t="s">
        <v>2682</v>
      </c>
      <c r="B279">
        <v>279</v>
      </c>
      <c r="C279" s="7" t="str">
        <f>VLOOKUP(Table5[[#This Row],[Shortname]], [1]!comp[#Data], 2, FALSE)</f>
        <v>CoAlW-X</v>
      </c>
      <c r="D279" s="7" t="s">
        <v>2684</v>
      </c>
      <c r="E279" t="s">
        <v>6732</v>
      </c>
      <c r="F279">
        <v>1020</v>
      </c>
      <c r="J279" s="14">
        <f>VLOOKUP(Table5[[#This Row],[Shortname]], Comp[], 7, FALSE)</f>
        <v>82</v>
      </c>
      <c r="K279">
        <f>VLOOKUP(Table5[[#This Row],[Shortname]], Comp[], 8, FALSE)</f>
        <v>0</v>
      </c>
      <c r="L279">
        <f>VLOOKUP(Table5[[#This Row],[Shortname]], Comp[], 9, FALSE)</f>
        <v>9</v>
      </c>
      <c r="M279">
        <f>VLOOKUP(Table5[[#This Row],[Shortname]], Comp[], 10, FALSE)</f>
        <v>0</v>
      </c>
      <c r="N279">
        <f>VLOOKUP(Table5[[#This Row],[Shortname]], Comp[], 11, FALSE)</f>
        <v>7</v>
      </c>
      <c r="O279">
        <f>VLOOKUP(Table5[[#This Row],[Shortname]], Comp[],12, FALSE)</f>
        <v>2</v>
      </c>
      <c r="P279">
        <f>VLOOKUP(Table5[[#This Row],[Shortname]], Comp[], 13, FALSE)</f>
        <v>0</v>
      </c>
      <c r="Q279">
        <f>VLOOKUP(Table5[[#This Row],[Shortname]], Comp[], 14, FALSE)</f>
        <v>0</v>
      </c>
      <c r="R279">
        <f>VLOOKUP(Table5[[#This Row],[Shortname]], Comp[], 15, FALSE)</f>
        <v>0</v>
      </c>
      <c r="S279">
        <f>VLOOKUP(Table5[[#This Row],[Shortname]], Comp[], 16, FALSE)</f>
        <v>0</v>
      </c>
      <c r="T279">
        <f>VLOOKUP(Table5[[#This Row],[Shortname]], Comp[], 17, FALSE)</f>
        <v>0</v>
      </c>
      <c r="U279">
        <f>VLOOKUP(Table5[[#This Row],[Shortname]], Comp[], 18, FALSE)</f>
        <v>0</v>
      </c>
      <c r="V279">
        <f>VLOOKUP(Table5[[#This Row],[Shortname]], Comp[], 19, FALSE)</f>
        <v>0</v>
      </c>
      <c r="W279">
        <f>VLOOKUP(Table5[[#This Row],[Shortname]], Comp[], 20, FALSE)</f>
        <v>0</v>
      </c>
      <c r="X279">
        <f>VLOOKUP(Table5[[#This Row],[Shortname]], Comp[], 21, FALSE)</f>
        <v>0</v>
      </c>
      <c r="Y279">
        <f>VLOOKUP(Table5[[#This Row],[Shortname]], Comp[], 22, FALSE)</f>
        <v>0</v>
      </c>
      <c r="Z279">
        <f>VLOOKUP(Table5[[#This Row],[Shortname]], Comp[], 23, FALSE)</f>
        <v>0</v>
      </c>
      <c r="AA279">
        <f>VLOOKUP(Table5[[#This Row],[Shortname]], Comp[], 24, FALSE)</f>
        <v>0</v>
      </c>
      <c r="AB279">
        <f>VLOOKUP(Table5[[#This Row],[Shortname]], Comp[], 25, FALSE)</f>
        <v>0</v>
      </c>
      <c r="AC279">
        <f>VLOOKUP(Table5[[#This Row],[Shortname]], Comp[], 26, FALSE)</f>
        <v>0</v>
      </c>
      <c r="AD279">
        <f>VLOOKUP(Table5[[#This Row],[Shortname]], Comp[], 27, FALSE)</f>
        <v>0</v>
      </c>
      <c r="AE279">
        <f>VLOOKUP(Table5[[#This Row],[Shortname]], Comp[], 28, FALSE)</f>
        <v>0</v>
      </c>
      <c r="AF279">
        <f>VLOOKUP(Table5[[#This Row],[Shortname]], Comp[], 29, FALSE)</f>
        <v>0</v>
      </c>
      <c r="AG279">
        <f>VLOOKUP(Table5[[#This Row],[Shortname]], Comp[], 30, FALSE)</f>
        <v>0</v>
      </c>
      <c r="AH279">
        <f>VLOOKUP(Table5[[#This Row],[Shortname]], Comp[], 31, FALSE)</f>
        <v>0</v>
      </c>
    </row>
    <row r="280" spans="1:34" x14ac:dyDescent="0.3">
      <c r="A280" s="7" t="s">
        <v>2764</v>
      </c>
      <c r="B280">
        <v>280</v>
      </c>
      <c r="C280" s="7" t="str">
        <f>VLOOKUP(Table5[[#This Row],[Shortname]], [1]!comp[#Data], 2, FALSE)</f>
        <v>CoAlW-X</v>
      </c>
      <c r="D280" s="7" t="s">
        <v>2766</v>
      </c>
      <c r="E280" t="s">
        <v>6732</v>
      </c>
      <c r="F280">
        <v>1002</v>
      </c>
      <c r="J280" s="14">
        <f>VLOOKUP(Table5[[#This Row],[Shortname]], Comp[], 7, FALSE)</f>
        <v>82</v>
      </c>
      <c r="K280">
        <f>VLOOKUP(Table5[[#This Row],[Shortname]], Comp[], 8, FALSE)</f>
        <v>0</v>
      </c>
      <c r="L280">
        <f>VLOOKUP(Table5[[#This Row],[Shortname]], Comp[], 9, FALSE)</f>
        <v>9</v>
      </c>
      <c r="M280">
        <f>VLOOKUP(Table5[[#This Row],[Shortname]], Comp[], 10, FALSE)</f>
        <v>0</v>
      </c>
      <c r="N280">
        <f>VLOOKUP(Table5[[#This Row],[Shortname]], Comp[], 11, FALSE)</f>
        <v>7</v>
      </c>
      <c r="O280">
        <f>VLOOKUP(Table5[[#This Row],[Shortname]], Comp[],12, FALSE)</f>
        <v>0</v>
      </c>
      <c r="P280">
        <f>VLOOKUP(Table5[[#This Row],[Shortname]], Comp[], 13, FALSE)</f>
        <v>0</v>
      </c>
      <c r="Q280">
        <f>VLOOKUP(Table5[[#This Row],[Shortname]], Comp[], 14, FALSE)</f>
        <v>0</v>
      </c>
      <c r="R280">
        <f>VLOOKUP(Table5[[#This Row],[Shortname]], Comp[], 15, FALSE)</f>
        <v>0</v>
      </c>
      <c r="S280">
        <f>VLOOKUP(Table5[[#This Row],[Shortname]], Comp[], 16, FALSE)</f>
        <v>0</v>
      </c>
      <c r="T280">
        <f>VLOOKUP(Table5[[#This Row],[Shortname]], Comp[], 17, FALSE)</f>
        <v>0</v>
      </c>
      <c r="U280">
        <f>VLOOKUP(Table5[[#This Row],[Shortname]], Comp[], 18, FALSE)</f>
        <v>0</v>
      </c>
      <c r="V280">
        <f>VLOOKUP(Table5[[#This Row],[Shortname]], Comp[], 19, FALSE)</f>
        <v>0</v>
      </c>
      <c r="W280">
        <f>VLOOKUP(Table5[[#This Row],[Shortname]], Comp[], 20, FALSE)</f>
        <v>0</v>
      </c>
      <c r="X280">
        <f>VLOOKUP(Table5[[#This Row],[Shortname]], Comp[], 21, FALSE)</f>
        <v>0</v>
      </c>
      <c r="Y280">
        <f>VLOOKUP(Table5[[#This Row],[Shortname]], Comp[], 22, FALSE)</f>
        <v>0</v>
      </c>
      <c r="Z280">
        <f>VLOOKUP(Table5[[#This Row],[Shortname]], Comp[], 23, FALSE)</f>
        <v>0</v>
      </c>
      <c r="AA280">
        <f>VLOOKUP(Table5[[#This Row],[Shortname]], Comp[], 24, FALSE)</f>
        <v>0</v>
      </c>
      <c r="AB280">
        <f>VLOOKUP(Table5[[#This Row],[Shortname]], Comp[], 25, FALSE)</f>
        <v>2</v>
      </c>
      <c r="AC280">
        <f>VLOOKUP(Table5[[#This Row],[Shortname]], Comp[], 26, FALSE)</f>
        <v>0</v>
      </c>
      <c r="AD280">
        <f>VLOOKUP(Table5[[#This Row],[Shortname]], Comp[], 27, FALSE)</f>
        <v>0</v>
      </c>
      <c r="AE280">
        <f>VLOOKUP(Table5[[#This Row],[Shortname]], Comp[], 28, FALSE)</f>
        <v>0</v>
      </c>
      <c r="AF280">
        <f>VLOOKUP(Table5[[#This Row],[Shortname]], Comp[], 29, FALSE)</f>
        <v>0</v>
      </c>
      <c r="AG280">
        <f>VLOOKUP(Table5[[#This Row],[Shortname]], Comp[], 30, FALSE)</f>
        <v>0</v>
      </c>
      <c r="AH280">
        <f>VLOOKUP(Table5[[#This Row],[Shortname]], Comp[], 31, FALSE)</f>
        <v>0</v>
      </c>
    </row>
    <row r="281" spans="1:34" x14ac:dyDescent="0.3">
      <c r="A281" s="7" t="s">
        <v>2720</v>
      </c>
      <c r="B281">
        <v>281</v>
      </c>
      <c r="C281" s="7" t="str">
        <f>VLOOKUP(Table5[[#This Row],[Shortname]], [1]!comp[#Data], 2, FALSE)</f>
        <v>CoAlW-X</v>
      </c>
      <c r="D281" s="7" t="s">
        <v>2722</v>
      </c>
      <c r="E281" t="s">
        <v>6732</v>
      </c>
      <c r="F281">
        <v>985</v>
      </c>
      <c r="J281" s="14">
        <f>VLOOKUP(Table5[[#This Row],[Shortname]], Comp[], 7, FALSE)</f>
        <v>82</v>
      </c>
      <c r="K281">
        <f>VLOOKUP(Table5[[#This Row],[Shortname]], Comp[], 8, FALSE)</f>
        <v>0</v>
      </c>
      <c r="L281">
        <f>VLOOKUP(Table5[[#This Row],[Shortname]], Comp[], 9, FALSE)</f>
        <v>9</v>
      </c>
      <c r="M281">
        <f>VLOOKUP(Table5[[#This Row],[Shortname]], Comp[], 10, FALSE)</f>
        <v>0</v>
      </c>
      <c r="N281">
        <f>VLOOKUP(Table5[[#This Row],[Shortname]], Comp[], 11, FALSE)</f>
        <v>7</v>
      </c>
      <c r="O281">
        <f>VLOOKUP(Table5[[#This Row],[Shortname]], Comp[],12, FALSE)</f>
        <v>0</v>
      </c>
      <c r="P281">
        <f>VLOOKUP(Table5[[#This Row],[Shortname]], Comp[], 13, FALSE)</f>
        <v>0</v>
      </c>
      <c r="Q281">
        <f>VLOOKUP(Table5[[#This Row],[Shortname]], Comp[], 14, FALSE)</f>
        <v>0</v>
      </c>
      <c r="R281">
        <f>VLOOKUP(Table5[[#This Row],[Shortname]], Comp[], 15, FALSE)</f>
        <v>2</v>
      </c>
      <c r="S281">
        <f>VLOOKUP(Table5[[#This Row],[Shortname]], Comp[], 16, FALSE)</f>
        <v>0</v>
      </c>
      <c r="T281">
        <f>VLOOKUP(Table5[[#This Row],[Shortname]], Comp[], 17, FALSE)</f>
        <v>0</v>
      </c>
      <c r="U281">
        <f>VLOOKUP(Table5[[#This Row],[Shortname]], Comp[], 18, FALSE)</f>
        <v>0</v>
      </c>
      <c r="V281">
        <f>VLOOKUP(Table5[[#This Row],[Shortname]], Comp[], 19, FALSE)</f>
        <v>0</v>
      </c>
      <c r="W281">
        <f>VLOOKUP(Table5[[#This Row],[Shortname]], Comp[], 20, FALSE)</f>
        <v>0</v>
      </c>
      <c r="X281">
        <f>VLOOKUP(Table5[[#This Row],[Shortname]], Comp[], 21, FALSE)</f>
        <v>0</v>
      </c>
      <c r="Y281">
        <f>VLOOKUP(Table5[[#This Row],[Shortname]], Comp[], 22, FALSE)</f>
        <v>0</v>
      </c>
      <c r="Z281">
        <f>VLOOKUP(Table5[[#This Row],[Shortname]], Comp[], 23, FALSE)</f>
        <v>0</v>
      </c>
      <c r="AA281">
        <f>VLOOKUP(Table5[[#This Row],[Shortname]], Comp[], 24, FALSE)</f>
        <v>0</v>
      </c>
      <c r="AB281">
        <f>VLOOKUP(Table5[[#This Row],[Shortname]], Comp[], 25, FALSE)</f>
        <v>0</v>
      </c>
      <c r="AC281">
        <f>VLOOKUP(Table5[[#This Row],[Shortname]], Comp[], 26, FALSE)</f>
        <v>0</v>
      </c>
      <c r="AD281">
        <f>VLOOKUP(Table5[[#This Row],[Shortname]], Comp[], 27, FALSE)</f>
        <v>0</v>
      </c>
      <c r="AE281">
        <f>VLOOKUP(Table5[[#This Row],[Shortname]], Comp[], 28, FALSE)</f>
        <v>0</v>
      </c>
      <c r="AF281">
        <f>VLOOKUP(Table5[[#This Row],[Shortname]], Comp[], 29, FALSE)</f>
        <v>0</v>
      </c>
      <c r="AG281">
        <f>VLOOKUP(Table5[[#This Row],[Shortname]], Comp[], 30, FALSE)</f>
        <v>0</v>
      </c>
      <c r="AH281">
        <f>VLOOKUP(Table5[[#This Row],[Shortname]], Comp[], 31, FALSE)</f>
        <v>0</v>
      </c>
    </row>
    <row r="282" spans="1:34" x14ac:dyDescent="0.3">
      <c r="A282" s="7" t="s">
        <v>2141</v>
      </c>
      <c r="B282">
        <v>282</v>
      </c>
      <c r="C282" s="7" t="str">
        <f>VLOOKUP(Table5[[#This Row],[Shortname]], [1]!comp[#Data], 2, FALSE)</f>
        <v>CoAlW-X</v>
      </c>
      <c r="D282" s="7" t="s">
        <v>2700</v>
      </c>
      <c r="E282" t="s">
        <v>6732</v>
      </c>
      <c r="F282">
        <v>985</v>
      </c>
      <c r="J282" s="14">
        <f>VLOOKUP(Table5[[#This Row],[Shortname]], Comp[], 7, FALSE)</f>
        <v>83</v>
      </c>
      <c r="K282">
        <f>VLOOKUP(Table5[[#This Row],[Shortname]], Comp[], 8, FALSE)</f>
        <v>0</v>
      </c>
      <c r="L282">
        <f>VLOOKUP(Table5[[#This Row],[Shortname]], Comp[], 9, FALSE)</f>
        <v>9</v>
      </c>
      <c r="M282">
        <f>VLOOKUP(Table5[[#This Row],[Shortname]], Comp[], 10, FALSE)</f>
        <v>0</v>
      </c>
      <c r="N282">
        <f>VLOOKUP(Table5[[#This Row],[Shortname]], Comp[], 11, FALSE)</f>
        <v>8</v>
      </c>
      <c r="O282">
        <f>VLOOKUP(Table5[[#This Row],[Shortname]], Comp[],12, FALSE)</f>
        <v>0</v>
      </c>
      <c r="P282">
        <f>VLOOKUP(Table5[[#This Row],[Shortname]], Comp[], 13, FALSE)</f>
        <v>0</v>
      </c>
      <c r="Q282">
        <f>VLOOKUP(Table5[[#This Row],[Shortname]], Comp[], 14, FALSE)</f>
        <v>0</v>
      </c>
      <c r="R282">
        <f>VLOOKUP(Table5[[#This Row],[Shortname]], Comp[], 15, FALSE)</f>
        <v>0</v>
      </c>
      <c r="S282">
        <f>VLOOKUP(Table5[[#This Row],[Shortname]], Comp[], 16, FALSE)</f>
        <v>0</v>
      </c>
      <c r="T282">
        <f>VLOOKUP(Table5[[#This Row],[Shortname]], Comp[], 17, FALSE)</f>
        <v>0</v>
      </c>
      <c r="U282">
        <f>VLOOKUP(Table5[[#This Row],[Shortname]], Comp[], 18, FALSE)</f>
        <v>0</v>
      </c>
      <c r="V282">
        <f>VLOOKUP(Table5[[#This Row],[Shortname]], Comp[], 19, FALSE)</f>
        <v>0</v>
      </c>
      <c r="W282">
        <f>VLOOKUP(Table5[[#This Row],[Shortname]], Comp[], 20, FALSE)</f>
        <v>0</v>
      </c>
      <c r="X282">
        <f>VLOOKUP(Table5[[#This Row],[Shortname]], Comp[], 21, FALSE)</f>
        <v>0</v>
      </c>
      <c r="Y282">
        <f>VLOOKUP(Table5[[#This Row],[Shortname]], Comp[], 22, FALSE)</f>
        <v>0</v>
      </c>
      <c r="Z282">
        <f>VLOOKUP(Table5[[#This Row],[Shortname]], Comp[], 23, FALSE)</f>
        <v>0</v>
      </c>
      <c r="AA282">
        <f>VLOOKUP(Table5[[#This Row],[Shortname]], Comp[], 24, FALSE)</f>
        <v>0</v>
      </c>
      <c r="AB282">
        <f>VLOOKUP(Table5[[#This Row],[Shortname]], Comp[], 25, FALSE)</f>
        <v>0</v>
      </c>
      <c r="AC282">
        <f>VLOOKUP(Table5[[#This Row],[Shortname]], Comp[], 26, FALSE)</f>
        <v>0</v>
      </c>
      <c r="AD282">
        <f>VLOOKUP(Table5[[#This Row],[Shortname]], Comp[], 27, FALSE)</f>
        <v>0</v>
      </c>
      <c r="AE282">
        <f>VLOOKUP(Table5[[#This Row],[Shortname]], Comp[], 28, FALSE)</f>
        <v>0</v>
      </c>
      <c r="AF282">
        <f>VLOOKUP(Table5[[#This Row],[Shortname]], Comp[], 29, FALSE)</f>
        <v>0</v>
      </c>
      <c r="AG282">
        <f>VLOOKUP(Table5[[#This Row],[Shortname]], Comp[], 30, FALSE)</f>
        <v>0</v>
      </c>
      <c r="AH282">
        <f>VLOOKUP(Table5[[#This Row],[Shortname]], Comp[], 31, FALSE)</f>
        <v>0</v>
      </c>
    </row>
    <row r="283" spans="1:34" x14ac:dyDescent="0.3">
      <c r="A283" s="7" t="s">
        <v>2758</v>
      </c>
      <c r="B283">
        <v>283</v>
      </c>
      <c r="C283" s="7" t="str">
        <f>VLOOKUP(Table5[[#This Row],[Shortname]], [1]!comp[#Data], 2, FALSE)</f>
        <v>CoAlW-X</v>
      </c>
      <c r="D283" s="7" t="s">
        <v>2760</v>
      </c>
      <c r="E283" t="s">
        <v>6732</v>
      </c>
      <c r="F283">
        <v>981</v>
      </c>
      <c r="J283" s="14">
        <f>VLOOKUP(Table5[[#This Row],[Shortname]], Comp[], 7, FALSE)</f>
        <v>82</v>
      </c>
      <c r="K283">
        <f>VLOOKUP(Table5[[#This Row],[Shortname]], Comp[], 8, FALSE)</f>
        <v>0</v>
      </c>
      <c r="L283">
        <f>VLOOKUP(Table5[[#This Row],[Shortname]], Comp[], 9, FALSE)</f>
        <v>9</v>
      </c>
      <c r="M283">
        <f>VLOOKUP(Table5[[#This Row],[Shortname]], Comp[], 10, FALSE)</f>
        <v>0</v>
      </c>
      <c r="N283">
        <f>VLOOKUP(Table5[[#This Row],[Shortname]], Comp[], 11, FALSE)</f>
        <v>7</v>
      </c>
      <c r="O283">
        <f>VLOOKUP(Table5[[#This Row],[Shortname]], Comp[],12, FALSE)</f>
        <v>0</v>
      </c>
      <c r="P283">
        <f>VLOOKUP(Table5[[#This Row],[Shortname]], Comp[], 13, FALSE)</f>
        <v>0</v>
      </c>
      <c r="Q283">
        <f>VLOOKUP(Table5[[#This Row],[Shortname]], Comp[], 14, FALSE)</f>
        <v>0</v>
      </c>
      <c r="R283">
        <f>VLOOKUP(Table5[[#This Row],[Shortname]], Comp[], 15, FALSE)</f>
        <v>0</v>
      </c>
      <c r="S283">
        <f>VLOOKUP(Table5[[#This Row],[Shortname]], Comp[], 16, FALSE)</f>
        <v>0</v>
      </c>
      <c r="T283">
        <f>VLOOKUP(Table5[[#This Row],[Shortname]], Comp[], 17, FALSE)</f>
        <v>0</v>
      </c>
      <c r="U283">
        <f>VLOOKUP(Table5[[#This Row],[Shortname]], Comp[], 18, FALSE)</f>
        <v>2</v>
      </c>
      <c r="V283">
        <f>VLOOKUP(Table5[[#This Row],[Shortname]], Comp[], 19, FALSE)</f>
        <v>0</v>
      </c>
      <c r="W283">
        <f>VLOOKUP(Table5[[#This Row],[Shortname]], Comp[], 20, FALSE)</f>
        <v>0</v>
      </c>
      <c r="X283">
        <f>VLOOKUP(Table5[[#This Row],[Shortname]], Comp[], 21, FALSE)</f>
        <v>0</v>
      </c>
      <c r="Y283">
        <f>VLOOKUP(Table5[[#This Row],[Shortname]], Comp[], 22, FALSE)</f>
        <v>0</v>
      </c>
      <c r="Z283">
        <f>VLOOKUP(Table5[[#This Row],[Shortname]], Comp[], 23, FALSE)</f>
        <v>0</v>
      </c>
      <c r="AA283">
        <f>VLOOKUP(Table5[[#This Row],[Shortname]], Comp[], 24, FALSE)</f>
        <v>0</v>
      </c>
      <c r="AB283">
        <f>VLOOKUP(Table5[[#This Row],[Shortname]], Comp[], 25, FALSE)</f>
        <v>0</v>
      </c>
      <c r="AC283">
        <f>VLOOKUP(Table5[[#This Row],[Shortname]], Comp[], 26, FALSE)</f>
        <v>0</v>
      </c>
      <c r="AD283">
        <f>VLOOKUP(Table5[[#This Row],[Shortname]], Comp[], 27, FALSE)</f>
        <v>0</v>
      </c>
      <c r="AE283">
        <f>VLOOKUP(Table5[[#This Row],[Shortname]], Comp[], 28, FALSE)</f>
        <v>0</v>
      </c>
      <c r="AF283">
        <f>VLOOKUP(Table5[[#This Row],[Shortname]], Comp[], 29, FALSE)</f>
        <v>0</v>
      </c>
      <c r="AG283">
        <f>VLOOKUP(Table5[[#This Row],[Shortname]], Comp[], 30, FALSE)</f>
        <v>0</v>
      </c>
      <c r="AH283">
        <f>VLOOKUP(Table5[[#This Row],[Shortname]], Comp[], 31, FALSE)</f>
        <v>0</v>
      </c>
    </row>
    <row r="284" spans="1:34" x14ac:dyDescent="0.3">
      <c r="A284" s="7" t="s">
        <v>2708</v>
      </c>
      <c r="B284">
        <v>284</v>
      </c>
      <c r="C284" s="7" t="str">
        <f>VLOOKUP(Table5[[#This Row],[Shortname]], [1]!comp[#Data], 2, FALSE)</f>
        <v>CoAlW-X</v>
      </c>
      <c r="D284" s="7" t="s">
        <v>2710</v>
      </c>
      <c r="E284" t="s">
        <v>6732</v>
      </c>
      <c r="F284">
        <v>977</v>
      </c>
      <c r="J284" s="14">
        <f>VLOOKUP(Table5[[#This Row],[Shortname]], Comp[], 7, FALSE)</f>
        <v>82</v>
      </c>
      <c r="K284">
        <f>VLOOKUP(Table5[[#This Row],[Shortname]], Comp[], 8, FALSE)</f>
        <v>0</v>
      </c>
      <c r="L284">
        <f>VLOOKUP(Table5[[#This Row],[Shortname]], Comp[], 9, FALSE)</f>
        <v>9</v>
      </c>
      <c r="M284">
        <f>VLOOKUP(Table5[[#This Row],[Shortname]], Comp[], 10, FALSE)</f>
        <v>0</v>
      </c>
      <c r="N284">
        <f>VLOOKUP(Table5[[#This Row],[Shortname]], Comp[], 11, FALSE)</f>
        <v>7</v>
      </c>
      <c r="O284">
        <f>VLOOKUP(Table5[[#This Row],[Shortname]], Comp[],12, FALSE)</f>
        <v>0</v>
      </c>
      <c r="P284">
        <f>VLOOKUP(Table5[[#This Row],[Shortname]], Comp[], 13, FALSE)</f>
        <v>0</v>
      </c>
      <c r="Q284">
        <f>VLOOKUP(Table5[[#This Row],[Shortname]], Comp[], 14, FALSE)</f>
        <v>0</v>
      </c>
      <c r="R284">
        <f>VLOOKUP(Table5[[#This Row],[Shortname]], Comp[], 15, FALSE)</f>
        <v>0</v>
      </c>
      <c r="S284">
        <f>VLOOKUP(Table5[[#This Row],[Shortname]], Comp[], 16, FALSE)</f>
        <v>2</v>
      </c>
      <c r="T284">
        <f>VLOOKUP(Table5[[#This Row],[Shortname]], Comp[], 17, FALSE)</f>
        <v>0</v>
      </c>
      <c r="U284">
        <f>VLOOKUP(Table5[[#This Row],[Shortname]], Comp[], 18, FALSE)</f>
        <v>0</v>
      </c>
      <c r="V284">
        <f>VLOOKUP(Table5[[#This Row],[Shortname]], Comp[], 19, FALSE)</f>
        <v>0</v>
      </c>
      <c r="W284">
        <f>VLOOKUP(Table5[[#This Row],[Shortname]], Comp[], 20, FALSE)</f>
        <v>0</v>
      </c>
      <c r="X284">
        <f>VLOOKUP(Table5[[#This Row],[Shortname]], Comp[], 21, FALSE)</f>
        <v>0</v>
      </c>
      <c r="Y284">
        <f>VLOOKUP(Table5[[#This Row],[Shortname]], Comp[], 22, FALSE)</f>
        <v>0</v>
      </c>
      <c r="Z284">
        <f>VLOOKUP(Table5[[#This Row],[Shortname]], Comp[], 23, FALSE)</f>
        <v>0</v>
      </c>
      <c r="AA284">
        <f>VLOOKUP(Table5[[#This Row],[Shortname]], Comp[], 24, FALSE)</f>
        <v>0</v>
      </c>
      <c r="AB284">
        <f>VLOOKUP(Table5[[#This Row],[Shortname]], Comp[], 25, FALSE)</f>
        <v>0</v>
      </c>
      <c r="AC284">
        <f>VLOOKUP(Table5[[#This Row],[Shortname]], Comp[], 26, FALSE)</f>
        <v>0</v>
      </c>
      <c r="AD284">
        <f>VLOOKUP(Table5[[#This Row],[Shortname]], Comp[], 27, FALSE)</f>
        <v>0</v>
      </c>
      <c r="AE284">
        <f>VLOOKUP(Table5[[#This Row],[Shortname]], Comp[], 28, FALSE)</f>
        <v>0</v>
      </c>
      <c r="AF284">
        <f>VLOOKUP(Table5[[#This Row],[Shortname]], Comp[], 29, FALSE)</f>
        <v>0</v>
      </c>
      <c r="AG284">
        <f>VLOOKUP(Table5[[#This Row],[Shortname]], Comp[], 30, FALSE)</f>
        <v>0</v>
      </c>
      <c r="AH284">
        <f>VLOOKUP(Table5[[#This Row],[Shortname]], Comp[], 31, FALSE)</f>
        <v>0</v>
      </c>
    </row>
    <row r="285" spans="1:34" x14ac:dyDescent="0.3">
      <c r="A285" s="7" t="s">
        <v>2733</v>
      </c>
      <c r="B285">
        <v>285</v>
      </c>
      <c r="C285" s="7" t="str">
        <f>VLOOKUP(Table5[[#This Row],[Shortname]], [1]!comp[#Data], 2, FALSE)</f>
        <v>CoAlW-X</v>
      </c>
      <c r="D285" s="7" t="s">
        <v>2735</v>
      </c>
      <c r="E285" t="s">
        <v>6732</v>
      </c>
      <c r="F285">
        <v>971</v>
      </c>
      <c r="J285" s="14">
        <f>VLOOKUP(Table5[[#This Row],[Shortname]], Comp[], 7, FALSE)</f>
        <v>82</v>
      </c>
      <c r="K285">
        <f>VLOOKUP(Table5[[#This Row],[Shortname]], Comp[], 8, FALSE)</f>
        <v>0</v>
      </c>
      <c r="L285">
        <f>VLOOKUP(Table5[[#This Row],[Shortname]], Comp[], 9, FALSE)</f>
        <v>9</v>
      </c>
      <c r="M285">
        <f>VLOOKUP(Table5[[#This Row],[Shortname]], Comp[], 10, FALSE)</f>
        <v>2</v>
      </c>
      <c r="N285">
        <f>VLOOKUP(Table5[[#This Row],[Shortname]], Comp[], 11, FALSE)</f>
        <v>7</v>
      </c>
      <c r="O285">
        <f>VLOOKUP(Table5[[#This Row],[Shortname]], Comp[],12, FALSE)</f>
        <v>0</v>
      </c>
      <c r="P285">
        <f>VLOOKUP(Table5[[#This Row],[Shortname]], Comp[], 13, FALSE)</f>
        <v>0</v>
      </c>
      <c r="Q285">
        <f>VLOOKUP(Table5[[#This Row],[Shortname]], Comp[], 14, FALSE)</f>
        <v>0</v>
      </c>
      <c r="R285">
        <f>VLOOKUP(Table5[[#This Row],[Shortname]], Comp[], 15, FALSE)</f>
        <v>0</v>
      </c>
      <c r="S285">
        <f>VLOOKUP(Table5[[#This Row],[Shortname]], Comp[], 16, FALSE)</f>
        <v>0</v>
      </c>
      <c r="T285">
        <f>VLOOKUP(Table5[[#This Row],[Shortname]], Comp[], 17, FALSE)</f>
        <v>0</v>
      </c>
      <c r="U285">
        <f>VLOOKUP(Table5[[#This Row],[Shortname]], Comp[], 18, FALSE)</f>
        <v>0</v>
      </c>
      <c r="V285">
        <f>VLOOKUP(Table5[[#This Row],[Shortname]], Comp[], 19, FALSE)</f>
        <v>0</v>
      </c>
      <c r="W285">
        <f>VLOOKUP(Table5[[#This Row],[Shortname]], Comp[], 20, FALSE)</f>
        <v>0</v>
      </c>
      <c r="X285">
        <f>VLOOKUP(Table5[[#This Row],[Shortname]], Comp[], 21, FALSE)</f>
        <v>0</v>
      </c>
      <c r="Y285">
        <f>VLOOKUP(Table5[[#This Row],[Shortname]], Comp[], 22, FALSE)</f>
        <v>0</v>
      </c>
      <c r="Z285">
        <f>VLOOKUP(Table5[[#This Row],[Shortname]], Comp[], 23, FALSE)</f>
        <v>0</v>
      </c>
      <c r="AA285">
        <f>VLOOKUP(Table5[[#This Row],[Shortname]], Comp[], 24, FALSE)</f>
        <v>0</v>
      </c>
      <c r="AB285">
        <f>VLOOKUP(Table5[[#This Row],[Shortname]], Comp[], 25, FALSE)</f>
        <v>0</v>
      </c>
      <c r="AC285">
        <f>VLOOKUP(Table5[[#This Row],[Shortname]], Comp[], 26, FALSE)</f>
        <v>0</v>
      </c>
      <c r="AD285">
        <f>VLOOKUP(Table5[[#This Row],[Shortname]], Comp[], 27, FALSE)</f>
        <v>0</v>
      </c>
      <c r="AE285">
        <f>VLOOKUP(Table5[[#This Row],[Shortname]], Comp[], 28, FALSE)</f>
        <v>0</v>
      </c>
      <c r="AF285">
        <f>VLOOKUP(Table5[[#This Row],[Shortname]], Comp[], 29, FALSE)</f>
        <v>0</v>
      </c>
      <c r="AG285">
        <f>VLOOKUP(Table5[[#This Row],[Shortname]], Comp[], 30, FALSE)</f>
        <v>0</v>
      </c>
      <c r="AH285">
        <f>VLOOKUP(Table5[[#This Row],[Shortname]], Comp[], 31, FALSE)</f>
        <v>0</v>
      </c>
    </row>
    <row r="286" spans="1:34" x14ac:dyDescent="0.3">
      <c r="A286" s="7" t="s">
        <v>2745</v>
      </c>
      <c r="B286">
        <v>286</v>
      </c>
      <c r="C286" s="7" t="str">
        <f>VLOOKUP(Table5[[#This Row],[Shortname]], [1]!comp[#Data], 2, FALSE)</f>
        <v>CoAlW-X</v>
      </c>
      <c r="D286" s="7" t="s">
        <v>2747</v>
      </c>
      <c r="E286" t="s">
        <v>6732</v>
      </c>
      <c r="F286">
        <v>966</v>
      </c>
      <c r="J286" s="14">
        <f>VLOOKUP(Table5[[#This Row],[Shortname]], Comp[], 7, FALSE)</f>
        <v>82</v>
      </c>
      <c r="K286">
        <f>VLOOKUP(Table5[[#This Row],[Shortname]], Comp[], 8, FALSE)</f>
        <v>2</v>
      </c>
      <c r="L286">
        <f>VLOOKUP(Table5[[#This Row],[Shortname]], Comp[], 9, FALSE)</f>
        <v>9</v>
      </c>
      <c r="M286">
        <f>VLOOKUP(Table5[[#This Row],[Shortname]], Comp[], 10, FALSE)</f>
        <v>0</v>
      </c>
      <c r="N286">
        <f>VLOOKUP(Table5[[#This Row],[Shortname]], Comp[], 11, FALSE)</f>
        <v>7</v>
      </c>
      <c r="O286">
        <f>VLOOKUP(Table5[[#This Row],[Shortname]], Comp[],12, FALSE)</f>
        <v>0</v>
      </c>
      <c r="P286">
        <f>VLOOKUP(Table5[[#This Row],[Shortname]], Comp[], 13, FALSE)</f>
        <v>0</v>
      </c>
      <c r="Q286">
        <f>VLOOKUP(Table5[[#This Row],[Shortname]], Comp[], 14, FALSE)</f>
        <v>0</v>
      </c>
      <c r="R286">
        <f>VLOOKUP(Table5[[#This Row],[Shortname]], Comp[], 15, FALSE)</f>
        <v>0</v>
      </c>
      <c r="S286">
        <f>VLOOKUP(Table5[[#This Row],[Shortname]], Comp[], 16, FALSE)</f>
        <v>0</v>
      </c>
      <c r="T286">
        <f>VLOOKUP(Table5[[#This Row],[Shortname]], Comp[], 17, FALSE)</f>
        <v>0</v>
      </c>
      <c r="U286">
        <f>VLOOKUP(Table5[[#This Row],[Shortname]], Comp[], 18, FALSE)</f>
        <v>0</v>
      </c>
      <c r="V286">
        <f>VLOOKUP(Table5[[#This Row],[Shortname]], Comp[], 19, FALSE)</f>
        <v>0</v>
      </c>
      <c r="W286">
        <f>VLOOKUP(Table5[[#This Row],[Shortname]], Comp[], 20, FALSE)</f>
        <v>0</v>
      </c>
      <c r="X286">
        <f>VLOOKUP(Table5[[#This Row],[Shortname]], Comp[], 21, FALSE)</f>
        <v>0</v>
      </c>
      <c r="Y286">
        <f>VLOOKUP(Table5[[#This Row],[Shortname]], Comp[], 22, FALSE)</f>
        <v>0</v>
      </c>
      <c r="Z286">
        <f>VLOOKUP(Table5[[#This Row],[Shortname]], Comp[], 23, FALSE)</f>
        <v>0</v>
      </c>
      <c r="AA286">
        <f>VLOOKUP(Table5[[#This Row],[Shortname]], Comp[], 24, FALSE)</f>
        <v>0</v>
      </c>
      <c r="AB286">
        <f>VLOOKUP(Table5[[#This Row],[Shortname]], Comp[], 25, FALSE)</f>
        <v>0</v>
      </c>
      <c r="AC286">
        <f>VLOOKUP(Table5[[#This Row],[Shortname]], Comp[], 26, FALSE)</f>
        <v>0</v>
      </c>
      <c r="AD286">
        <f>VLOOKUP(Table5[[#This Row],[Shortname]], Comp[], 27, FALSE)</f>
        <v>0</v>
      </c>
      <c r="AE286">
        <f>VLOOKUP(Table5[[#This Row],[Shortname]], Comp[], 28, FALSE)</f>
        <v>0</v>
      </c>
      <c r="AF286">
        <f>VLOOKUP(Table5[[#This Row],[Shortname]], Comp[], 29, FALSE)</f>
        <v>0</v>
      </c>
      <c r="AG286">
        <f>VLOOKUP(Table5[[#This Row],[Shortname]], Comp[], 30, FALSE)</f>
        <v>0</v>
      </c>
      <c r="AH286">
        <f>VLOOKUP(Table5[[#This Row],[Shortname]], Comp[], 31, FALSE)</f>
        <v>0</v>
      </c>
    </row>
    <row r="287" spans="1:34" x14ac:dyDescent="0.3">
      <c r="A287" s="7" t="s">
        <v>2695</v>
      </c>
      <c r="B287">
        <v>287</v>
      </c>
      <c r="C287" s="7" t="str">
        <f>VLOOKUP(Table5[[#This Row],[Shortname]], [1]!comp[#Data], 2, FALSE)</f>
        <v>CoAlW-X</v>
      </c>
      <c r="D287" s="7" t="s">
        <v>2696</v>
      </c>
      <c r="E287" t="s">
        <v>6732</v>
      </c>
      <c r="F287">
        <v>965</v>
      </c>
      <c r="J287" s="14">
        <f>VLOOKUP(Table5[[#This Row],[Shortname]], Comp[], 7, FALSE)</f>
        <v>84</v>
      </c>
      <c r="K287">
        <f>VLOOKUP(Table5[[#This Row],[Shortname]], Comp[], 8, FALSE)</f>
        <v>0</v>
      </c>
      <c r="L287">
        <f>VLOOKUP(Table5[[#This Row],[Shortname]], Comp[], 9, FALSE)</f>
        <v>9</v>
      </c>
      <c r="M287">
        <f>VLOOKUP(Table5[[#This Row],[Shortname]], Comp[], 10, FALSE)</f>
        <v>0</v>
      </c>
      <c r="N287">
        <f>VLOOKUP(Table5[[#This Row],[Shortname]], Comp[], 11, FALSE)</f>
        <v>7</v>
      </c>
      <c r="O287">
        <f>VLOOKUP(Table5[[#This Row],[Shortname]], Comp[],12, FALSE)</f>
        <v>0</v>
      </c>
      <c r="P287">
        <f>VLOOKUP(Table5[[#This Row],[Shortname]], Comp[], 13, FALSE)</f>
        <v>0</v>
      </c>
      <c r="Q287">
        <f>VLOOKUP(Table5[[#This Row],[Shortname]], Comp[], 14, FALSE)</f>
        <v>0</v>
      </c>
      <c r="R287">
        <f>VLOOKUP(Table5[[#This Row],[Shortname]], Comp[], 15, FALSE)</f>
        <v>0</v>
      </c>
      <c r="S287">
        <f>VLOOKUP(Table5[[#This Row],[Shortname]], Comp[], 16, FALSE)</f>
        <v>0</v>
      </c>
      <c r="T287">
        <f>VLOOKUP(Table5[[#This Row],[Shortname]], Comp[], 17, FALSE)</f>
        <v>0</v>
      </c>
      <c r="U287">
        <f>VLOOKUP(Table5[[#This Row],[Shortname]], Comp[], 18, FALSE)</f>
        <v>0</v>
      </c>
      <c r="V287">
        <f>VLOOKUP(Table5[[#This Row],[Shortname]], Comp[], 19, FALSE)</f>
        <v>0</v>
      </c>
      <c r="W287">
        <f>VLOOKUP(Table5[[#This Row],[Shortname]], Comp[], 20, FALSE)</f>
        <v>0</v>
      </c>
      <c r="X287">
        <f>VLOOKUP(Table5[[#This Row],[Shortname]], Comp[], 21, FALSE)</f>
        <v>0</v>
      </c>
      <c r="Y287">
        <f>VLOOKUP(Table5[[#This Row],[Shortname]], Comp[], 22, FALSE)</f>
        <v>0</v>
      </c>
      <c r="Z287">
        <f>VLOOKUP(Table5[[#This Row],[Shortname]], Comp[], 23, FALSE)</f>
        <v>0</v>
      </c>
      <c r="AA287">
        <f>VLOOKUP(Table5[[#This Row],[Shortname]], Comp[], 24, FALSE)</f>
        <v>0</v>
      </c>
      <c r="AB287">
        <f>VLOOKUP(Table5[[#This Row],[Shortname]], Comp[], 25, FALSE)</f>
        <v>0</v>
      </c>
      <c r="AC287">
        <f>VLOOKUP(Table5[[#This Row],[Shortname]], Comp[], 26, FALSE)</f>
        <v>0</v>
      </c>
      <c r="AD287">
        <f>VLOOKUP(Table5[[#This Row],[Shortname]], Comp[], 27, FALSE)</f>
        <v>0</v>
      </c>
      <c r="AE287">
        <f>VLOOKUP(Table5[[#This Row],[Shortname]], Comp[], 28, FALSE)</f>
        <v>0</v>
      </c>
      <c r="AF287">
        <f>VLOOKUP(Table5[[#This Row],[Shortname]], Comp[], 29, FALSE)</f>
        <v>0</v>
      </c>
      <c r="AG287">
        <f>VLOOKUP(Table5[[#This Row],[Shortname]], Comp[], 30, FALSE)</f>
        <v>0</v>
      </c>
      <c r="AH287">
        <f>VLOOKUP(Table5[[#This Row],[Shortname]], Comp[], 31, FALSE)</f>
        <v>0</v>
      </c>
    </row>
    <row r="288" spans="1:34" x14ac:dyDescent="0.3">
      <c r="A288" s="7" t="s">
        <v>2739</v>
      </c>
      <c r="B288">
        <v>288</v>
      </c>
      <c r="C288" s="7" t="str">
        <f>VLOOKUP(Table5[[#This Row],[Shortname]], [1]!comp[#Data], 2, FALSE)</f>
        <v>CoAlW-X</v>
      </c>
      <c r="D288" s="7" t="s">
        <v>2741</v>
      </c>
      <c r="E288" t="s">
        <v>6732</v>
      </c>
      <c r="F288">
        <v>958</v>
      </c>
      <c r="J288" s="14">
        <f>VLOOKUP(Table5[[#This Row],[Shortname]], Comp[], 7, FALSE)</f>
        <v>82</v>
      </c>
      <c r="K288">
        <f>VLOOKUP(Table5[[#This Row],[Shortname]], Comp[], 8, FALSE)</f>
        <v>0</v>
      </c>
      <c r="L288">
        <f>VLOOKUP(Table5[[#This Row],[Shortname]], Comp[], 9, FALSE)</f>
        <v>9</v>
      </c>
      <c r="M288">
        <f>VLOOKUP(Table5[[#This Row],[Shortname]], Comp[], 10, FALSE)</f>
        <v>0</v>
      </c>
      <c r="N288">
        <f>VLOOKUP(Table5[[#This Row],[Shortname]], Comp[], 11, FALSE)</f>
        <v>7</v>
      </c>
      <c r="O288">
        <f>VLOOKUP(Table5[[#This Row],[Shortname]], Comp[],12, FALSE)</f>
        <v>0</v>
      </c>
      <c r="P288">
        <f>VLOOKUP(Table5[[#This Row],[Shortname]], Comp[], 13, FALSE)</f>
        <v>0</v>
      </c>
      <c r="Q288">
        <f>VLOOKUP(Table5[[#This Row],[Shortname]], Comp[], 14, FALSE)</f>
        <v>0</v>
      </c>
      <c r="R288">
        <f>VLOOKUP(Table5[[#This Row],[Shortname]], Comp[], 15, FALSE)</f>
        <v>0</v>
      </c>
      <c r="S288">
        <f>VLOOKUP(Table5[[#This Row],[Shortname]], Comp[], 16, FALSE)</f>
        <v>0</v>
      </c>
      <c r="T288">
        <f>VLOOKUP(Table5[[#This Row],[Shortname]], Comp[], 17, FALSE)</f>
        <v>0</v>
      </c>
      <c r="U288">
        <f>VLOOKUP(Table5[[#This Row],[Shortname]], Comp[], 18, FALSE)</f>
        <v>0</v>
      </c>
      <c r="V288">
        <f>VLOOKUP(Table5[[#This Row],[Shortname]], Comp[], 19, FALSE)</f>
        <v>0</v>
      </c>
      <c r="W288">
        <f>VLOOKUP(Table5[[#This Row],[Shortname]], Comp[], 20, FALSE)</f>
        <v>0</v>
      </c>
      <c r="X288">
        <f>VLOOKUP(Table5[[#This Row],[Shortname]], Comp[], 21, FALSE)</f>
        <v>0</v>
      </c>
      <c r="Y288">
        <f>VLOOKUP(Table5[[#This Row],[Shortname]], Comp[], 22, FALSE)</f>
        <v>0</v>
      </c>
      <c r="Z288">
        <f>VLOOKUP(Table5[[#This Row],[Shortname]], Comp[], 23, FALSE)</f>
        <v>2</v>
      </c>
      <c r="AA288">
        <f>VLOOKUP(Table5[[#This Row],[Shortname]], Comp[], 24, FALSE)</f>
        <v>0</v>
      </c>
      <c r="AB288">
        <f>VLOOKUP(Table5[[#This Row],[Shortname]], Comp[], 25, FALSE)</f>
        <v>0</v>
      </c>
      <c r="AC288">
        <f>VLOOKUP(Table5[[#This Row],[Shortname]], Comp[], 26, FALSE)</f>
        <v>0</v>
      </c>
      <c r="AD288">
        <f>VLOOKUP(Table5[[#This Row],[Shortname]], Comp[], 27, FALSE)</f>
        <v>0</v>
      </c>
      <c r="AE288">
        <f>VLOOKUP(Table5[[#This Row],[Shortname]], Comp[], 28, FALSE)</f>
        <v>0</v>
      </c>
      <c r="AF288">
        <f>VLOOKUP(Table5[[#This Row],[Shortname]], Comp[], 29, FALSE)</f>
        <v>0</v>
      </c>
      <c r="AG288">
        <f>VLOOKUP(Table5[[#This Row],[Shortname]], Comp[], 30, FALSE)</f>
        <v>0</v>
      </c>
      <c r="AH288">
        <f>VLOOKUP(Table5[[#This Row],[Shortname]], Comp[], 31, FALSE)</f>
        <v>0</v>
      </c>
    </row>
    <row r="289" spans="1:34" x14ac:dyDescent="0.3">
      <c r="A289" s="7" t="s">
        <v>2726</v>
      </c>
      <c r="B289">
        <v>289</v>
      </c>
      <c r="C289" s="7" t="str">
        <f>VLOOKUP(Table5[[#This Row],[Shortname]], [1]!comp[#Data], 2, FALSE)</f>
        <v>CoAlW-X</v>
      </c>
      <c r="D289" s="7" t="s">
        <v>2728</v>
      </c>
      <c r="E289" t="s">
        <v>6732</v>
      </c>
      <c r="F289">
        <v>953</v>
      </c>
      <c r="J289" s="14">
        <f>VLOOKUP(Table5[[#This Row],[Shortname]], Comp[], 7, FALSE)</f>
        <v>82</v>
      </c>
      <c r="K289">
        <f>VLOOKUP(Table5[[#This Row],[Shortname]], Comp[], 8, FALSE)</f>
        <v>0</v>
      </c>
      <c r="L289">
        <f>VLOOKUP(Table5[[#This Row],[Shortname]], Comp[], 9, FALSE)</f>
        <v>9</v>
      </c>
      <c r="M289">
        <f>VLOOKUP(Table5[[#This Row],[Shortname]], Comp[], 10, FALSE)</f>
        <v>0</v>
      </c>
      <c r="N289">
        <f>VLOOKUP(Table5[[#This Row],[Shortname]], Comp[], 11, FALSE)</f>
        <v>7</v>
      </c>
      <c r="O289">
        <f>VLOOKUP(Table5[[#This Row],[Shortname]], Comp[],12, FALSE)</f>
        <v>0</v>
      </c>
      <c r="P289">
        <f>VLOOKUP(Table5[[#This Row],[Shortname]], Comp[], 13, FALSE)</f>
        <v>0</v>
      </c>
      <c r="Q289">
        <f>VLOOKUP(Table5[[#This Row],[Shortname]], Comp[], 14, FALSE)</f>
        <v>0</v>
      </c>
      <c r="R289">
        <f>VLOOKUP(Table5[[#This Row],[Shortname]], Comp[], 15, FALSE)</f>
        <v>0</v>
      </c>
      <c r="S289">
        <f>VLOOKUP(Table5[[#This Row],[Shortname]], Comp[], 16, FALSE)</f>
        <v>0</v>
      </c>
      <c r="T289">
        <f>VLOOKUP(Table5[[#This Row],[Shortname]], Comp[], 17, FALSE)</f>
        <v>0</v>
      </c>
      <c r="U289">
        <f>VLOOKUP(Table5[[#This Row],[Shortname]], Comp[], 18, FALSE)</f>
        <v>0</v>
      </c>
      <c r="V289">
        <f>VLOOKUP(Table5[[#This Row],[Shortname]], Comp[], 19, FALSE)</f>
        <v>0</v>
      </c>
      <c r="W289">
        <f>VLOOKUP(Table5[[#This Row],[Shortname]], Comp[], 20, FALSE)</f>
        <v>0</v>
      </c>
      <c r="X289">
        <f>VLOOKUP(Table5[[#This Row],[Shortname]], Comp[], 21, FALSE)</f>
        <v>2</v>
      </c>
      <c r="Y289">
        <f>VLOOKUP(Table5[[#This Row],[Shortname]], Comp[], 22, FALSE)</f>
        <v>0</v>
      </c>
      <c r="Z289">
        <f>VLOOKUP(Table5[[#This Row],[Shortname]], Comp[], 23, FALSE)</f>
        <v>0</v>
      </c>
      <c r="AA289">
        <f>VLOOKUP(Table5[[#This Row],[Shortname]], Comp[], 24, FALSE)</f>
        <v>0</v>
      </c>
      <c r="AB289">
        <f>VLOOKUP(Table5[[#This Row],[Shortname]], Comp[], 25, FALSE)</f>
        <v>0</v>
      </c>
      <c r="AC289">
        <f>VLOOKUP(Table5[[#This Row],[Shortname]], Comp[], 26, FALSE)</f>
        <v>0</v>
      </c>
      <c r="AD289">
        <f>VLOOKUP(Table5[[#This Row],[Shortname]], Comp[], 27, FALSE)</f>
        <v>0</v>
      </c>
      <c r="AE289">
        <f>VLOOKUP(Table5[[#This Row],[Shortname]], Comp[], 28, FALSE)</f>
        <v>0</v>
      </c>
      <c r="AF289">
        <f>VLOOKUP(Table5[[#This Row],[Shortname]], Comp[], 29, FALSE)</f>
        <v>0</v>
      </c>
      <c r="AG289">
        <f>VLOOKUP(Table5[[#This Row],[Shortname]], Comp[], 30, FALSE)</f>
        <v>0</v>
      </c>
      <c r="AH289">
        <f>VLOOKUP(Table5[[#This Row],[Shortname]], Comp[], 31, FALSE)</f>
        <v>0</v>
      </c>
    </row>
    <row r="290" spans="1:34" x14ac:dyDescent="0.3">
      <c r="A290" s="7" t="s">
        <v>2726</v>
      </c>
      <c r="B290">
        <v>290</v>
      </c>
      <c r="C290" s="7" t="str">
        <f>VLOOKUP(Table5[[#This Row],[Shortname]], [1]!comp[#Data], 2, FALSE)</f>
        <v>CoAlW-X</v>
      </c>
      <c r="D290" s="7" t="s">
        <v>2728</v>
      </c>
      <c r="E290" t="s">
        <v>6732</v>
      </c>
      <c r="F290">
        <v>953</v>
      </c>
      <c r="J290" s="14">
        <f>VLOOKUP(Table5[[#This Row],[Shortname]], Comp[], 7, FALSE)</f>
        <v>82</v>
      </c>
      <c r="K290">
        <f>VLOOKUP(Table5[[#This Row],[Shortname]], Comp[], 8, FALSE)</f>
        <v>0</v>
      </c>
      <c r="L290">
        <f>VLOOKUP(Table5[[#This Row],[Shortname]], Comp[], 9, FALSE)</f>
        <v>9</v>
      </c>
      <c r="M290">
        <f>VLOOKUP(Table5[[#This Row],[Shortname]], Comp[], 10, FALSE)</f>
        <v>0</v>
      </c>
      <c r="N290">
        <f>VLOOKUP(Table5[[#This Row],[Shortname]], Comp[], 11, FALSE)</f>
        <v>7</v>
      </c>
      <c r="O290">
        <f>VLOOKUP(Table5[[#This Row],[Shortname]], Comp[],12, FALSE)</f>
        <v>0</v>
      </c>
      <c r="P290">
        <f>VLOOKUP(Table5[[#This Row],[Shortname]], Comp[], 13, FALSE)</f>
        <v>0</v>
      </c>
      <c r="Q290">
        <f>VLOOKUP(Table5[[#This Row],[Shortname]], Comp[], 14, FALSE)</f>
        <v>0</v>
      </c>
      <c r="R290">
        <f>VLOOKUP(Table5[[#This Row],[Shortname]], Comp[], 15, FALSE)</f>
        <v>0</v>
      </c>
      <c r="S290">
        <f>VLOOKUP(Table5[[#This Row],[Shortname]], Comp[], 16, FALSE)</f>
        <v>0</v>
      </c>
      <c r="T290">
        <f>VLOOKUP(Table5[[#This Row],[Shortname]], Comp[], 17, FALSE)</f>
        <v>0</v>
      </c>
      <c r="U290">
        <f>VLOOKUP(Table5[[#This Row],[Shortname]], Comp[], 18, FALSE)</f>
        <v>0</v>
      </c>
      <c r="V290">
        <f>VLOOKUP(Table5[[#This Row],[Shortname]], Comp[], 19, FALSE)</f>
        <v>0</v>
      </c>
      <c r="W290">
        <f>VLOOKUP(Table5[[#This Row],[Shortname]], Comp[], 20, FALSE)</f>
        <v>0</v>
      </c>
      <c r="X290">
        <f>VLOOKUP(Table5[[#This Row],[Shortname]], Comp[], 21, FALSE)</f>
        <v>2</v>
      </c>
      <c r="Y290">
        <f>VLOOKUP(Table5[[#This Row],[Shortname]], Comp[], 22, FALSE)</f>
        <v>0</v>
      </c>
      <c r="Z290">
        <f>VLOOKUP(Table5[[#This Row],[Shortname]], Comp[], 23, FALSE)</f>
        <v>0</v>
      </c>
      <c r="AA290">
        <f>VLOOKUP(Table5[[#This Row],[Shortname]], Comp[], 24, FALSE)</f>
        <v>0</v>
      </c>
      <c r="AB290">
        <f>VLOOKUP(Table5[[#This Row],[Shortname]], Comp[], 25, FALSE)</f>
        <v>0</v>
      </c>
      <c r="AC290">
        <f>VLOOKUP(Table5[[#This Row],[Shortname]], Comp[], 26, FALSE)</f>
        <v>0</v>
      </c>
      <c r="AD290">
        <f>VLOOKUP(Table5[[#This Row],[Shortname]], Comp[], 27, FALSE)</f>
        <v>0</v>
      </c>
      <c r="AE290">
        <f>VLOOKUP(Table5[[#This Row],[Shortname]], Comp[], 28, FALSE)</f>
        <v>0</v>
      </c>
      <c r="AF290">
        <f>VLOOKUP(Table5[[#This Row],[Shortname]], Comp[], 29, FALSE)</f>
        <v>0</v>
      </c>
      <c r="AG290">
        <f>VLOOKUP(Table5[[#This Row],[Shortname]], Comp[], 30, FALSE)</f>
        <v>0</v>
      </c>
      <c r="AH290">
        <f>VLOOKUP(Table5[[#This Row],[Shortname]], Comp[], 31, FALSE)</f>
        <v>0</v>
      </c>
    </row>
    <row r="291" spans="1:34" x14ac:dyDescent="0.3">
      <c r="A291" s="7" t="s">
        <v>2689</v>
      </c>
      <c r="B291">
        <v>291</v>
      </c>
      <c r="C291" s="7" t="str">
        <f>VLOOKUP(Table5[[#This Row],[Shortname]], [1]!comp[#Data], 2, FALSE)</f>
        <v>CoAlW-X</v>
      </c>
      <c r="D291" s="7" t="s">
        <v>2691</v>
      </c>
      <c r="E291" t="s">
        <v>6732</v>
      </c>
      <c r="F291" s="22">
        <v>948</v>
      </c>
      <c r="J291" s="14">
        <f>VLOOKUP(Table5[[#This Row],[Shortname]], Comp[], 7, FALSE)</f>
        <v>85</v>
      </c>
      <c r="K291">
        <f>VLOOKUP(Table5[[#This Row],[Shortname]], Comp[], 8, FALSE)</f>
        <v>0</v>
      </c>
      <c r="L291">
        <f>VLOOKUP(Table5[[#This Row],[Shortname]], Comp[], 9, FALSE)</f>
        <v>9</v>
      </c>
      <c r="M291">
        <f>VLOOKUP(Table5[[#This Row],[Shortname]], Comp[], 10, FALSE)</f>
        <v>0</v>
      </c>
      <c r="N291">
        <f>VLOOKUP(Table5[[#This Row],[Shortname]], Comp[], 11, FALSE)</f>
        <v>6</v>
      </c>
      <c r="O291">
        <f>VLOOKUP(Table5[[#This Row],[Shortname]], Comp[],12, FALSE)</f>
        <v>0</v>
      </c>
      <c r="P291">
        <f>VLOOKUP(Table5[[#This Row],[Shortname]], Comp[], 13, FALSE)</f>
        <v>0</v>
      </c>
      <c r="Q291">
        <f>VLOOKUP(Table5[[#This Row],[Shortname]], Comp[], 14, FALSE)</f>
        <v>0</v>
      </c>
      <c r="R291">
        <f>VLOOKUP(Table5[[#This Row],[Shortname]], Comp[], 15, FALSE)</f>
        <v>0</v>
      </c>
      <c r="S291">
        <f>VLOOKUP(Table5[[#This Row],[Shortname]], Comp[], 16, FALSE)</f>
        <v>0</v>
      </c>
      <c r="T291">
        <f>VLOOKUP(Table5[[#This Row],[Shortname]], Comp[], 17, FALSE)</f>
        <v>0</v>
      </c>
      <c r="U291">
        <f>VLOOKUP(Table5[[#This Row],[Shortname]], Comp[], 18, FALSE)</f>
        <v>0</v>
      </c>
      <c r="V291">
        <f>VLOOKUP(Table5[[#This Row],[Shortname]], Comp[], 19, FALSE)</f>
        <v>0</v>
      </c>
      <c r="W291">
        <f>VLOOKUP(Table5[[#This Row],[Shortname]], Comp[], 20, FALSE)</f>
        <v>0</v>
      </c>
      <c r="X291">
        <f>VLOOKUP(Table5[[#This Row],[Shortname]], Comp[], 21, FALSE)</f>
        <v>0</v>
      </c>
      <c r="Y291">
        <f>VLOOKUP(Table5[[#This Row],[Shortname]], Comp[], 22, FALSE)</f>
        <v>0</v>
      </c>
      <c r="Z291">
        <f>VLOOKUP(Table5[[#This Row],[Shortname]], Comp[], 23, FALSE)</f>
        <v>0</v>
      </c>
      <c r="AA291">
        <f>VLOOKUP(Table5[[#This Row],[Shortname]], Comp[], 24, FALSE)</f>
        <v>0</v>
      </c>
      <c r="AB291">
        <f>VLOOKUP(Table5[[#This Row],[Shortname]], Comp[], 25, FALSE)</f>
        <v>0</v>
      </c>
      <c r="AC291">
        <f>VLOOKUP(Table5[[#This Row],[Shortname]], Comp[], 26, FALSE)</f>
        <v>0</v>
      </c>
      <c r="AD291">
        <f>VLOOKUP(Table5[[#This Row],[Shortname]], Comp[], 27, FALSE)</f>
        <v>0</v>
      </c>
      <c r="AE291">
        <f>VLOOKUP(Table5[[#This Row],[Shortname]], Comp[], 28, FALSE)</f>
        <v>0</v>
      </c>
      <c r="AF291">
        <f>VLOOKUP(Table5[[#This Row],[Shortname]], Comp[], 29, FALSE)</f>
        <v>0</v>
      </c>
      <c r="AG291">
        <f>VLOOKUP(Table5[[#This Row],[Shortname]], Comp[], 30, FALSE)</f>
        <v>0</v>
      </c>
      <c r="AH291">
        <f>VLOOKUP(Table5[[#This Row],[Shortname]], Comp[], 31, FALSE)</f>
        <v>0</v>
      </c>
    </row>
    <row r="292" spans="1:34" x14ac:dyDescent="0.3">
      <c r="A292" s="7" t="s">
        <v>2794</v>
      </c>
      <c r="B292">
        <v>292</v>
      </c>
      <c r="C292" s="7" t="str">
        <f>VLOOKUP(Table5[[#This Row],[Shortname]], [1]!comp[#Data], 2, FALSE)</f>
        <v>CoAlWX+</v>
      </c>
      <c r="D292" s="7" t="s">
        <v>2796</v>
      </c>
      <c r="E292" t="s">
        <v>6733</v>
      </c>
      <c r="F292">
        <v>1103</v>
      </c>
      <c r="G292">
        <v>1354</v>
      </c>
      <c r="J292" s="14">
        <f>VLOOKUP(Table5[[#This Row],[Shortname]], Comp[], 7, FALSE)</f>
        <v>54.2</v>
      </c>
      <c r="K292">
        <f>VLOOKUP(Table5[[#This Row],[Shortname]], Comp[], 8, FALSE)</f>
        <v>19.8</v>
      </c>
      <c r="L292">
        <f>VLOOKUP(Table5[[#This Row],[Shortname]], Comp[], 9, FALSE)</f>
        <v>11.4</v>
      </c>
      <c r="M292">
        <f>VLOOKUP(Table5[[#This Row],[Shortname]], Comp[], 10, FALSE)</f>
        <v>4.9000000000000004</v>
      </c>
      <c r="N292">
        <f>VLOOKUP(Table5[[#This Row],[Shortname]], Comp[], 11, FALSE)</f>
        <v>8.1999999999999993</v>
      </c>
      <c r="O292">
        <f>VLOOKUP(Table5[[#This Row],[Shortname]], Comp[],12, FALSE)</f>
        <v>0</v>
      </c>
      <c r="P292">
        <f>VLOOKUP(Table5[[#This Row],[Shortname]], Comp[], 13, FALSE)</f>
        <v>1.5</v>
      </c>
      <c r="Q292">
        <f>VLOOKUP(Table5[[#This Row],[Shortname]], Comp[], 14, FALSE)</f>
        <v>0</v>
      </c>
      <c r="R292">
        <f>VLOOKUP(Table5[[#This Row],[Shortname]], Comp[], 15, FALSE)</f>
        <v>0</v>
      </c>
      <c r="S292">
        <f>VLOOKUP(Table5[[#This Row],[Shortname]], Comp[], 16, FALSE)</f>
        <v>0</v>
      </c>
      <c r="T292">
        <f>VLOOKUP(Table5[[#This Row],[Shortname]], Comp[], 17, FALSE)</f>
        <v>0</v>
      </c>
      <c r="U292">
        <f>VLOOKUP(Table5[[#This Row],[Shortname]], Comp[], 18, FALSE)</f>
        <v>0</v>
      </c>
      <c r="V292">
        <f>VLOOKUP(Table5[[#This Row],[Shortname]], Comp[], 19, FALSE)</f>
        <v>0</v>
      </c>
      <c r="W292">
        <f>VLOOKUP(Table5[[#This Row],[Shortname]], Comp[], 20, FALSE)</f>
        <v>0</v>
      </c>
      <c r="X292">
        <f>VLOOKUP(Table5[[#This Row],[Shortname]], Comp[], 21, FALSE)</f>
        <v>0</v>
      </c>
      <c r="Y292">
        <f>VLOOKUP(Table5[[#This Row],[Shortname]], Comp[], 22, FALSE)</f>
        <v>0</v>
      </c>
      <c r="Z292">
        <f>VLOOKUP(Table5[[#This Row],[Shortname]], Comp[], 23, FALSE)</f>
        <v>0</v>
      </c>
      <c r="AA292">
        <f>VLOOKUP(Table5[[#This Row],[Shortname]], Comp[], 24, FALSE)</f>
        <v>0</v>
      </c>
      <c r="AB292">
        <f>VLOOKUP(Table5[[#This Row],[Shortname]], Comp[], 25, FALSE)</f>
        <v>0</v>
      </c>
      <c r="AC292">
        <f>VLOOKUP(Table5[[#This Row],[Shortname]], Comp[], 26, FALSE)</f>
        <v>0</v>
      </c>
      <c r="AD292">
        <f>VLOOKUP(Table5[[#This Row],[Shortname]], Comp[], 27, FALSE)</f>
        <v>0</v>
      </c>
      <c r="AE292">
        <f>VLOOKUP(Table5[[#This Row],[Shortname]], Comp[], 28, FALSE)</f>
        <v>0</v>
      </c>
      <c r="AF292">
        <f>VLOOKUP(Table5[[#This Row],[Shortname]], Comp[], 29, FALSE)</f>
        <v>0</v>
      </c>
      <c r="AG292">
        <f>VLOOKUP(Table5[[#This Row],[Shortname]], Comp[], 30, FALSE)</f>
        <v>0</v>
      </c>
      <c r="AH292">
        <f>VLOOKUP(Table5[[#This Row],[Shortname]], Comp[], 31, FALSE)</f>
        <v>0</v>
      </c>
    </row>
    <row r="293" spans="1:34" x14ac:dyDescent="0.3">
      <c r="A293" s="7" t="s">
        <v>2787</v>
      </c>
      <c r="B293">
        <v>293</v>
      </c>
      <c r="C293" s="7" t="str">
        <f>VLOOKUP(Table5[[#This Row],[Shortname]], [1]!comp[#Data], 2, FALSE)</f>
        <v>CoAlWX+</v>
      </c>
      <c r="D293" s="7" t="s">
        <v>2789</v>
      </c>
      <c r="E293" t="s">
        <v>6733</v>
      </c>
      <c r="F293">
        <v>1051</v>
      </c>
      <c r="G293">
        <v>1402</v>
      </c>
      <c r="J293" s="14">
        <f>VLOOKUP(Table5[[#This Row],[Shortname]], Comp[], 7, FALSE)</f>
        <v>58.4</v>
      </c>
      <c r="K293">
        <f>VLOOKUP(Table5[[#This Row],[Shortname]], Comp[], 8, FALSE)</f>
        <v>19.899999999999999</v>
      </c>
      <c r="L293">
        <f>VLOOKUP(Table5[[#This Row],[Shortname]], Comp[], 9, FALSE)</f>
        <v>9.1</v>
      </c>
      <c r="M293">
        <f>VLOOKUP(Table5[[#This Row],[Shortname]], Comp[], 10, FALSE)</f>
        <v>5</v>
      </c>
      <c r="N293">
        <f>VLOOKUP(Table5[[#This Row],[Shortname]], Comp[], 11, FALSE)</f>
        <v>6.4</v>
      </c>
      <c r="O293">
        <f>VLOOKUP(Table5[[#This Row],[Shortname]], Comp[],12, FALSE)</f>
        <v>0</v>
      </c>
      <c r="P293">
        <f>VLOOKUP(Table5[[#This Row],[Shortname]], Comp[], 13, FALSE)</f>
        <v>1.2</v>
      </c>
      <c r="Q293">
        <f>VLOOKUP(Table5[[#This Row],[Shortname]], Comp[], 14, FALSE)</f>
        <v>0</v>
      </c>
      <c r="R293">
        <f>VLOOKUP(Table5[[#This Row],[Shortname]], Comp[], 15, FALSE)</f>
        <v>0</v>
      </c>
      <c r="S293">
        <f>VLOOKUP(Table5[[#This Row],[Shortname]], Comp[], 16, FALSE)</f>
        <v>0</v>
      </c>
      <c r="T293">
        <f>VLOOKUP(Table5[[#This Row],[Shortname]], Comp[], 17, FALSE)</f>
        <v>0</v>
      </c>
      <c r="U293">
        <f>VLOOKUP(Table5[[#This Row],[Shortname]], Comp[], 18, FALSE)</f>
        <v>0</v>
      </c>
      <c r="V293">
        <f>VLOOKUP(Table5[[#This Row],[Shortname]], Comp[], 19, FALSE)</f>
        <v>0</v>
      </c>
      <c r="W293">
        <f>VLOOKUP(Table5[[#This Row],[Shortname]], Comp[], 20, FALSE)</f>
        <v>0</v>
      </c>
      <c r="X293">
        <f>VLOOKUP(Table5[[#This Row],[Shortname]], Comp[], 21, FALSE)</f>
        <v>0</v>
      </c>
      <c r="Y293">
        <f>VLOOKUP(Table5[[#This Row],[Shortname]], Comp[], 22, FALSE)</f>
        <v>0</v>
      </c>
      <c r="Z293">
        <f>VLOOKUP(Table5[[#This Row],[Shortname]], Comp[], 23, FALSE)</f>
        <v>0</v>
      </c>
      <c r="AA293">
        <f>VLOOKUP(Table5[[#This Row],[Shortname]], Comp[], 24, FALSE)</f>
        <v>0</v>
      </c>
      <c r="AB293">
        <f>VLOOKUP(Table5[[#This Row],[Shortname]], Comp[], 25, FALSE)</f>
        <v>0</v>
      </c>
      <c r="AC293">
        <f>VLOOKUP(Table5[[#This Row],[Shortname]], Comp[], 26, FALSE)</f>
        <v>0</v>
      </c>
      <c r="AD293">
        <f>VLOOKUP(Table5[[#This Row],[Shortname]], Comp[], 27, FALSE)</f>
        <v>0</v>
      </c>
      <c r="AE293">
        <f>VLOOKUP(Table5[[#This Row],[Shortname]], Comp[], 28, FALSE)</f>
        <v>0</v>
      </c>
      <c r="AF293">
        <f>VLOOKUP(Table5[[#This Row],[Shortname]], Comp[], 29, FALSE)</f>
        <v>0</v>
      </c>
      <c r="AG293">
        <f>VLOOKUP(Table5[[#This Row],[Shortname]], Comp[], 30, FALSE)</f>
        <v>0</v>
      </c>
      <c r="AH293">
        <f>VLOOKUP(Table5[[#This Row],[Shortname]], Comp[], 31, FALSE)</f>
        <v>0</v>
      </c>
    </row>
    <row r="294" spans="1:34" x14ac:dyDescent="0.3">
      <c r="A294" s="7" t="s">
        <v>2781</v>
      </c>
      <c r="B294">
        <v>294</v>
      </c>
      <c r="C294" s="7" t="str">
        <f>VLOOKUP(Table5[[#This Row],[Shortname]], [1]!comp[#Data], 2, FALSE)</f>
        <v>CoAlWX+</v>
      </c>
      <c r="D294" s="7" t="s">
        <v>2783</v>
      </c>
      <c r="E294" t="s">
        <v>6733</v>
      </c>
      <c r="F294">
        <v>946</v>
      </c>
      <c r="G294">
        <v>1430</v>
      </c>
      <c r="J294" s="14">
        <f>VLOOKUP(Table5[[#This Row],[Shortname]], Comp[], 7, FALSE)</f>
        <v>62.400000000000006</v>
      </c>
      <c r="K294">
        <f>VLOOKUP(Table5[[#This Row],[Shortname]], Comp[], 8, FALSE)</f>
        <v>19.899999999999999</v>
      </c>
      <c r="L294">
        <f>VLOOKUP(Table5[[#This Row],[Shortname]], Comp[], 9, FALSE)</f>
        <v>7</v>
      </c>
      <c r="M294">
        <f>VLOOKUP(Table5[[#This Row],[Shortname]], Comp[], 10, FALSE)</f>
        <v>5</v>
      </c>
      <c r="N294">
        <f>VLOOKUP(Table5[[#This Row],[Shortname]], Comp[], 11, FALSE)</f>
        <v>4.8</v>
      </c>
      <c r="O294">
        <f>VLOOKUP(Table5[[#This Row],[Shortname]], Comp[],12, FALSE)</f>
        <v>0</v>
      </c>
      <c r="P294">
        <f>VLOOKUP(Table5[[#This Row],[Shortname]], Comp[], 13, FALSE)</f>
        <v>0.9</v>
      </c>
      <c r="Q294">
        <f>VLOOKUP(Table5[[#This Row],[Shortname]], Comp[], 14, FALSE)</f>
        <v>0</v>
      </c>
      <c r="R294">
        <f>VLOOKUP(Table5[[#This Row],[Shortname]], Comp[], 15, FALSE)</f>
        <v>0</v>
      </c>
      <c r="S294">
        <f>VLOOKUP(Table5[[#This Row],[Shortname]], Comp[], 16, FALSE)</f>
        <v>0</v>
      </c>
      <c r="T294">
        <f>VLOOKUP(Table5[[#This Row],[Shortname]], Comp[], 17, FALSE)</f>
        <v>0</v>
      </c>
      <c r="U294">
        <f>VLOOKUP(Table5[[#This Row],[Shortname]], Comp[], 18, FALSE)</f>
        <v>0</v>
      </c>
      <c r="V294">
        <f>VLOOKUP(Table5[[#This Row],[Shortname]], Comp[], 19, FALSE)</f>
        <v>0</v>
      </c>
      <c r="W294">
        <f>VLOOKUP(Table5[[#This Row],[Shortname]], Comp[], 20, FALSE)</f>
        <v>0</v>
      </c>
      <c r="X294">
        <f>VLOOKUP(Table5[[#This Row],[Shortname]], Comp[], 21, FALSE)</f>
        <v>0</v>
      </c>
      <c r="Y294">
        <f>VLOOKUP(Table5[[#This Row],[Shortname]], Comp[], 22, FALSE)</f>
        <v>0</v>
      </c>
      <c r="Z294">
        <f>VLOOKUP(Table5[[#This Row],[Shortname]], Comp[], 23, FALSE)</f>
        <v>0</v>
      </c>
      <c r="AA294">
        <f>VLOOKUP(Table5[[#This Row],[Shortname]], Comp[], 24, FALSE)</f>
        <v>0</v>
      </c>
      <c r="AB294">
        <f>VLOOKUP(Table5[[#This Row],[Shortname]], Comp[], 25, FALSE)</f>
        <v>0</v>
      </c>
      <c r="AC294">
        <f>VLOOKUP(Table5[[#This Row],[Shortname]], Comp[], 26, FALSE)</f>
        <v>0</v>
      </c>
      <c r="AD294">
        <f>VLOOKUP(Table5[[#This Row],[Shortname]], Comp[], 27, FALSE)</f>
        <v>0</v>
      </c>
      <c r="AE294">
        <f>VLOOKUP(Table5[[#This Row],[Shortname]], Comp[], 28, FALSE)</f>
        <v>0</v>
      </c>
      <c r="AF294">
        <f>VLOOKUP(Table5[[#This Row],[Shortname]], Comp[], 29, FALSE)</f>
        <v>0</v>
      </c>
      <c r="AG294">
        <f>VLOOKUP(Table5[[#This Row],[Shortname]], Comp[], 30, FALSE)</f>
        <v>0</v>
      </c>
      <c r="AH294">
        <f>VLOOKUP(Table5[[#This Row],[Shortname]], Comp[], 31, FALSE)</f>
        <v>0</v>
      </c>
    </row>
    <row r="295" spans="1:34" x14ac:dyDescent="0.3">
      <c r="A295" s="7" t="s">
        <v>2817</v>
      </c>
      <c r="B295">
        <v>296</v>
      </c>
      <c r="C295" s="7" t="str">
        <f>VLOOKUP(Table5[[#This Row],[Shortname]], [1]!comp[#Data], 2, FALSE)</f>
        <v>W-free</v>
      </c>
      <c r="D295" s="7" t="s">
        <v>2818</v>
      </c>
      <c r="E295" t="s">
        <v>6618</v>
      </c>
      <c r="F295">
        <v>1104</v>
      </c>
      <c r="J295" s="14">
        <f>VLOOKUP(Table5[[#This Row],[Shortname]], Comp[], 7, FALSE)</f>
        <v>46.3</v>
      </c>
      <c r="K295">
        <f>VLOOKUP(Table5[[#This Row],[Shortname]], Comp[], 8, FALSE)</f>
        <v>30.1</v>
      </c>
      <c r="L295">
        <f>VLOOKUP(Table5[[#This Row],[Shortname]], Comp[], 9, FALSE)</f>
        <v>9.8000000000000007</v>
      </c>
      <c r="M295">
        <f>VLOOKUP(Table5[[#This Row],[Shortname]], Comp[], 10, FALSE)</f>
        <v>4.9000000000000004</v>
      </c>
      <c r="N295">
        <f>VLOOKUP(Table5[[#This Row],[Shortname]], Comp[], 11, FALSE)</f>
        <v>0</v>
      </c>
      <c r="O295">
        <f>VLOOKUP(Table5[[#This Row],[Shortname]], Comp[],12, FALSE)</f>
        <v>2</v>
      </c>
      <c r="P295">
        <f>VLOOKUP(Table5[[#This Row],[Shortname]], Comp[], 13, FALSE)</f>
        <v>2</v>
      </c>
      <c r="Q295">
        <f>VLOOKUP(Table5[[#This Row],[Shortname]], Comp[], 14, FALSE)</f>
        <v>0</v>
      </c>
      <c r="R295">
        <f>VLOOKUP(Table5[[#This Row],[Shortname]], Comp[], 15, FALSE)</f>
        <v>0</v>
      </c>
      <c r="S295">
        <f>VLOOKUP(Table5[[#This Row],[Shortname]], Comp[], 16, FALSE)</f>
        <v>4.9000000000000004</v>
      </c>
      <c r="T295">
        <f>VLOOKUP(Table5[[#This Row],[Shortname]], Comp[], 17, FALSE)</f>
        <v>0</v>
      </c>
      <c r="U295">
        <f>VLOOKUP(Table5[[#This Row],[Shortname]], Comp[], 18, FALSE)</f>
        <v>0</v>
      </c>
      <c r="V295">
        <f>VLOOKUP(Table5[[#This Row],[Shortname]], Comp[], 19, FALSE)</f>
        <v>0</v>
      </c>
      <c r="W295">
        <f>VLOOKUP(Table5[[#This Row],[Shortname]], Comp[], 20, FALSE)</f>
        <v>0</v>
      </c>
      <c r="X295">
        <f>VLOOKUP(Table5[[#This Row],[Shortname]], Comp[], 21, FALSE)</f>
        <v>0</v>
      </c>
      <c r="Y295">
        <f>VLOOKUP(Table5[[#This Row],[Shortname]], Comp[], 22, FALSE)</f>
        <v>0</v>
      </c>
      <c r="Z295">
        <f>VLOOKUP(Table5[[#This Row],[Shortname]], Comp[], 23, FALSE)</f>
        <v>0</v>
      </c>
      <c r="AA295">
        <f>VLOOKUP(Table5[[#This Row],[Shortname]], Comp[], 24, FALSE)</f>
        <v>0</v>
      </c>
      <c r="AB295">
        <f>VLOOKUP(Table5[[#This Row],[Shortname]], Comp[], 25, FALSE)</f>
        <v>0</v>
      </c>
      <c r="AC295">
        <f>VLOOKUP(Table5[[#This Row],[Shortname]], Comp[], 26, FALSE)</f>
        <v>0</v>
      </c>
      <c r="AD295">
        <f>VLOOKUP(Table5[[#This Row],[Shortname]], Comp[], 27, FALSE)</f>
        <v>0</v>
      </c>
      <c r="AE295">
        <f>VLOOKUP(Table5[[#This Row],[Shortname]], Comp[], 28, FALSE)</f>
        <v>0</v>
      </c>
      <c r="AF295">
        <f>VLOOKUP(Table5[[#This Row],[Shortname]], Comp[], 29, FALSE)</f>
        <v>0</v>
      </c>
      <c r="AG295">
        <f>VLOOKUP(Table5[[#This Row],[Shortname]], Comp[], 30, FALSE)</f>
        <v>0</v>
      </c>
      <c r="AH295">
        <f>VLOOKUP(Table5[[#This Row],[Shortname]], Comp[], 31, FALSE)</f>
        <v>0</v>
      </c>
    </row>
    <row r="296" spans="1:34" x14ac:dyDescent="0.3">
      <c r="A296" s="7" t="s">
        <v>2809</v>
      </c>
      <c r="B296">
        <v>297</v>
      </c>
      <c r="C296" s="7" t="str">
        <f>VLOOKUP(Table5[[#This Row],[Shortname]], [1]!comp[#Data], 2, FALSE)</f>
        <v>W-free</v>
      </c>
      <c r="D296" s="7" t="s">
        <v>2811</v>
      </c>
      <c r="E296" t="s">
        <v>6618</v>
      </c>
      <c r="F296">
        <v>1100</v>
      </c>
      <c r="J296" s="14">
        <f>VLOOKUP(Table5[[#This Row],[Shortname]], Comp[], 7, FALSE)</f>
        <v>49.5</v>
      </c>
      <c r="K296">
        <f>VLOOKUP(Table5[[#This Row],[Shortname]], Comp[], 8, FALSE)</f>
        <v>30.2</v>
      </c>
      <c r="L296">
        <f>VLOOKUP(Table5[[#This Row],[Shortname]], Comp[], 9, FALSE)</f>
        <v>9.8000000000000007</v>
      </c>
      <c r="M296">
        <f>VLOOKUP(Table5[[#This Row],[Shortname]], Comp[], 10, FALSE)</f>
        <v>2</v>
      </c>
      <c r="N296">
        <f>VLOOKUP(Table5[[#This Row],[Shortname]], Comp[], 11, FALSE)</f>
        <v>0</v>
      </c>
      <c r="O296">
        <f>VLOOKUP(Table5[[#This Row],[Shortname]], Comp[],12, FALSE)</f>
        <v>2</v>
      </c>
      <c r="P296">
        <f>VLOOKUP(Table5[[#This Row],[Shortname]], Comp[], 13, FALSE)</f>
        <v>1.9</v>
      </c>
      <c r="Q296">
        <f>VLOOKUP(Table5[[#This Row],[Shortname]], Comp[], 14, FALSE)</f>
        <v>0</v>
      </c>
      <c r="R296">
        <f>VLOOKUP(Table5[[#This Row],[Shortname]], Comp[], 15, FALSE)</f>
        <v>0</v>
      </c>
      <c r="S296">
        <f>VLOOKUP(Table5[[#This Row],[Shortname]], Comp[], 16, FALSE)</f>
        <v>4.5999999999999996</v>
      </c>
      <c r="T296">
        <f>VLOOKUP(Table5[[#This Row],[Shortname]], Comp[], 17, FALSE)</f>
        <v>0</v>
      </c>
      <c r="U296">
        <f>VLOOKUP(Table5[[#This Row],[Shortname]], Comp[], 18, FALSE)</f>
        <v>0</v>
      </c>
      <c r="V296">
        <f>VLOOKUP(Table5[[#This Row],[Shortname]], Comp[], 19, FALSE)</f>
        <v>0</v>
      </c>
      <c r="W296">
        <f>VLOOKUP(Table5[[#This Row],[Shortname]], Comp[], 20, FALSE)</f>
        <v>0</v>
      </c>
      <c r="X296">
        <f>VLOOKUP(Table5[[#This Row],[Shortname]], Comp[], 21, FALSE)</f>
        <v>0</v>
      </c>
      <c r="Y296">
        <f>VLOOKUP(Table5[[#This Row],[Shortname]], Comp[], 22, FALSE)</f>
        <v>0</v>
      </c>
      <c r="Z296">
        <f>VLOOKUP(Table5[[#This Row],[Shortname]], Comp[], 23, FALSE)</f>
        <v>0</v>
      </c>
      <c r="AA296">
        <f>VLOOKUP(Table5[[#This Row],[Shortname]], Comp[], 24, FALSE)</f>
        <v>0</v>
      </c>
      <c r="AB296">
        <f>VLOOKUP(Table5[[#This Row],[Shortname]], Comp[], 25, FALSE)</f>
        <v>0</v>
      </c>
      <c r="AC296">
        <f>VLOOKUP(Table5[[#This Row],[Shortname]], Comp[], 26, FALSE)</f>
        <v>0</v>
      </c>
      <c r="AD296">
        <f>VLOOKUP(Table5[[#This Row],[Shortname]], Comp[], 27, FALSE)</f>
        <v>0</v>
      </c>
      <c r="AE296">
        <f>VLOOKUP(Table5[[#This Row],[Shortname]], Comp[], 28, FALSE)</f>
        <v>0</v>
      </c>
      <c r="AF296">
        <f>VLOOKUP(Table5[[#This Row],[Shortname]], Comp[], 29, FALSE)</f>
        <v>0</v>
      </c>
      <c r="AG296">
        <f>VLOOKUP(Table5[[#This Row],[Shortname]], Comp[], 30, FALSE)</f>
        <v>0</v>
      </c>
      <c r="AH296">
        <f>VLOOKUP(Table5[[#This Row],[Shortname]], Comp[], 31, FALSE)</f>
        <v>0</v>
      </c>
    </row>
    <row r="297" spans="1:34" x14ac:dyDescent="0.3">
      <c r="A297" s="7" t="s">
        <v>2824</v>
      </c>
      <c r="B297">
        <v>298</v>
      </c>
      <c r="C297" s="7" t="str">
        <f>VLOOKUP(Table5[[#This Row],[Shortname]], [1]!comp[#Data], 2, FALSE)</f>
        <v>W-free</v>
      </c>
      <c r="D297" s="7" t="s">
        <v>2826</v>
      </c>
      <c r="E297" t="s">
        <v>6618</v>
      </c>
      <c r="F297">
        <v>1094</v>
      </c>
      <c r="J297" s="14">
        <f>VLOOKUP(Table5[[#This Row],[Shortname]], Comp[], 7, FALSE)</f>
        <v>43.2</v>
      </c>
      <c r="K297">
        <f>VLOOKUP(Table5[[#This Row],[Shortname]], Comp[], 8, FALSE)</f>
        <v>29.5</v>
      </c>
      <c r="L297">
        <f>VLOOKUP(Table5[[#This Row],[Shortname]], Comp[], 9, FALSE)</f>
        <v>10.4</v>
      </c>
      <c r="M297">
        <f>VLOOKUP(Table5[[#This Row],[Shortname]], Comp[], 10, FALSE)</f>
        <v>8</v>
      </c>
      <c r="N297">
        <f>VLOOKUP(Table5[[#This Row],[Shortname]], Comp[], 11, FALSE)</f>
        <v>0</v>
      </c>
      <c r="O297">
        <f>VLOOKUP(Table5[[#This Row],[Shortname]], Comp[],12, FALSE)</f>
        <v>2</v>
      </c>
      <c r="P297">
        <f>VLOOKUP(Table5[[#This Row],[Shortname]], Comp[], 13, FALSE)</f>
        <v>2</v>
      </c>
      <c r="Q297">
        <f>VLOOKUP(Table5[[#This Row],[Shortname]], Comp[], 14, FALSE)</f>
        <v>0</v>
      </c>
      <c r="R297">
        <f>VLOOKUP(Table5[[#This Row],[Shortname]], Comp[], 15, FALSE)</f>
        <v>0</v>
      </c>
      <c r="S297">
        <f>VLOOKUP(Table5[[#This Row],[Shortname]], Comp[], 16, FALSE)</f>
        <v>4.9000000000000004</v>
      </c>
      <c r="T297">
        <f>VLOOKUP(Table5[[#This Row],[Shortname]], Comp[], 17, FALSE)</f>
        <v>0</v>
      </c>
      <c r="U297">
        <f>VLOOKUP(Table5[[#This Row],[Shortname]], Comp[], 18, FALSE)</f>
        <v>0</v>
      </c>
      <c r="V297">
        <f>VLOOKUP(Table5[[#This Row],[Shortname]], Comp[], 19, FALSE)</f>
        <v>0</v>
      </c>
      <c r="W297">
        <f>VLOOKUP(Table5[[#This Row],[Shortname]], Comp[], 20, FALSE)</f>
        <v>0</v>
      </c>
      <c r="X297">
        <f>VLOOKUP(Table5[[#This Row],[Shortname]], Comp[], 21, FALSE)</f>
        <v>0</v>
      </c>
      <c r="Y297">
        <f>VLOOKUP(Table5[[#This Row],[Shortname]], Comp[], 22, FALSE)</f>
        <v>0</v>
      </c>
      <c r="Z297">
        <f>VLOOKUP(Table5[[#This Row],[Shortname]], Comp[], 23, FALSE)</f>
        <v>0</v>
      </c>
      <c r="AA297">
        <f>VLOOKUP(Table5[[#This Row],[Shortname]], Comp[], 24, FALSE)</f>
        <v>0</v>
      </c>
      <c r="AB297">
        <f>VLOOKUP(Table5[[#This Row],[Shortname]], Comp[], 25, FALSE)</f>
        <v>0</v>
      </c>
      <c r="AC297">
        <f>VLOOKUP(Table5[[#This Row],[Shortname]], Comp[], 26, FALSE)</f>
        <v>0</v>
      </c>
      <c r="AD297">
        <f>VLOOKUP(Table5[[#This Row],[Shortname]], Comp[], 27, FALSE)</f>
        <v>0</v>
      </c>
      <c r="AE297">
        <f>VLOOKUP(Table5[[#This Row],[Shortname]], Comp[], 28, FALSE)</f>
        <v>0</v>
      </c>
      <c r="AF297">
        <f>VLOOKUP(Table5[[#This Row],[Shortname]], Comp[], 29, FALSE)</f>
        <v>0</v>
      </c>
      <c r="AG297">
        <f>VLOOKUP(Table5[[#This Row],[Shortname]], Comp[], 30, FALSE)</f>
        <v>0</v>
      </c>
      <c r="AH297">
        <f>VLOOKUP(Table5[[#This Row],[Shortname]], Comp[], 31, FALSE)</f>
        <v>0</v>
      </c>
    </row>
    <row r="298" spans="1:34" x14ac:dyDescent="0.3">
      <c r="A298" s="7" t="s">
        <v>2831</v>
      </c>
      <c r="B298">
        <v>299</v>
      </c>
      <c r="C298" s="7" t="str">
        <f>VLOOKUP(Table5[[#This Row],[Shortname]], [1]!comp[#Data], 2, FALSE)</f>
        <v>W-free</v>
      </c>
      <c r="D298" s="7" t="s">
        <v>2833</v>
      </c>
      <c r="E298" t="s">
        <v>6618</v>
      </c>
      <c r="F298">
        <v>1065</v>
      </c>
      <c r="J298" s="14">
        <f>VLOOKUP(Table5[[#This Row],[Shortname]], Comp[], 7, FALSE)</f>
        <v>51</v>
      </c>
      <c r="K298">
        <f>VLOOKUP(Table5[[#This Row],[Shortname]], Comp[], 8, FALSE)</f>
        <v>30.5</v>
      </c>
      <c r="L298">
        <f>VLOOKUP(Table5[[#This Row],[Shortname]], Comp[], 9, FALSE)</f>
        <v>9.6999999999999993</v>
      </c>
      <c r="M298">
        <f>VLOOKUP(Table5[[#This Row],[Shortname]], Comp[], 10, FALSE)</f>
        <v>0</v>
      </c>
      <c r="N298">
        <f>VLOOKUP(Table5[[#This Row],[Shortname]], Comp[], 11, FALSE)</f>
        <v>0</v>
      </c>
      <c r="O298">
        <f>VLOOKUP(Table5[[#This Row],[Shortname]], Comp[],12, FALSE)</f>
        <v>1.9</v>
      </c>
      <c r="P298">
        <f>VLOOKUP(Table5[[#This Row],[Shortname]], Comp[], 13, FALSE)</f>
        <v>2.1</v>
      </c>
      <c r="Q298">
        <f>VLOOKUP(Table5[[#This Row],[Shortname]], Comp[], 14, FALSE)</f>
        <v>0</v>
      </c>
      <c r="R298">
        <f>VLOOKUP(Table5[[#This Row],[Shortname]], Comp[], 15, FALSE)</f>
        <v>0</v>
      </c>
      <c r="S298">
        <f>VLOOKUP(Table5[[#This Row],[Shortname]], Comp[], 16, FALSE)</f>
        <v>4.8</v>
      </c>
      <c r="T298">
        <f>VLOOKUP(Table5[[#This Row],[Shortname]], Comp[], 17, FALSE)</f>
        <v>0</v>
      </c>
      <c r="U298">
        <f>VLOOKUP(Table5[[#This Row],[Shortname]], Comp[], 18, FALSE)</f>
        <v>0</v>
      </c>
      <c r="V298">
        <f>VLOOKUP(Table5[[#This Row],[Shortname]], Comp[], 19, FALSE)</f>
        <v>0</v>
      </c>
      <c r="W298">
        <f>VLOOKUP(Table5[[#This Row],[Shortname]], Comp[], 20, FALSE)</f>
        <v>0</v>
      </c>
      <c r="X298">
        <f>VLOOKUP(Table5[[#This Row],[Shortname]], Comp[], 21, FALSE)</f>
        <v>0</v>
      </c>
      <c r="Y298">
        <f>VLOOKUP(Table5[[#This Row],[Shortname]], Comp[], 22, FALSE)</f>
        <v>0</v>
      </c>
      <c r="Z298">
        <f>VLOOKUP(Table5[[#This Row],[Shortname]], Comp[], 23, FALSE)</f>
        <v>0</v>
      </c>
      <c r="AA298">
        <f>VLOOKUP(Table5[[#This Row],[Shortname]], Comp[], 24, FALSE)</f>
        <v>0</v>
      </c>
      <c r="AB298">
        <f>VLOOKUP(Table5[[#This Row],[Shortname]], Comp[], 25, FALSE)</f>
        <v>0</v>
      </c>
      <c r="AC298">
        <f>VLOOKUP(Table5[[#This Row],[Shortname]], Comp[], 26, FALSE)</f>
        <v>0</v>
      </c>
      <c r="AD298">
        <f>VLOOKUP(Table5[[#This Row],[Shortname]], Comp[], 27, FALSE)</f>
        <v>0</v>
      </c>
      <c r="AE298">
        <f>VLOOKUP(Table5[[#This Row],[Shortname]], Comp[], 28, FALSE)</f>
        <v>0</v>
      </c>
      <c r="AF298">
        <f>VLOOKUP(Table5[[#This Row],[Shortname]], Comp[], 29, FALSE)</f>
        <v>0</v>
      </c>
      <c r="AG298">
        <f>VLOOKUP(Table5[[#This Row],[Shortname]], Comp[], 30, FALSE)</f>
        <v>0</v>
      </c>
      <c r="AH298">
        <f>VLOOKUP(Table5[[#This Row],[Shortname]], Comp[], 31, FALSE)</f>
        <v>0</v>
      </c>
    </row>
    <row r="299" spans="1:34" x14ac:dyDescent="0.3">
      <c r="A299" s="7" t="s">
        <v>2848</v>
      </c>
      <c r="B299">
        <v>300</v>
      </c>
      <c r="C299" s="7" t="str">
        <f>VLOOKUP(Table5[[#This Row],[Shortname]], [1]!comp[#Data], 2, FALSE)</f>
        <v>W-free</v>
      </c>
      <c r="D299" s="7" t="s">
        <v>2850</v>
      </c>
      <c r="E299" s="3" t="s">
        <v>2851</v>
      </c>
      <c r="F299">
        <v>1156</v>
      </c>
      <c r="J299" s="14">
        <f>VLOOKUP(Table5[[#This Row],[Shortname]], Comp[], 7, FALSE)</f>
        <v>37.900000000000013</v>
      </c>
      <c r="K299">
        <f>VLOOKUP(Table5[[#This Row],[Shortname]], Comp[], 8, FALSE)</f>
        <v>35.4</v>
      </c>
      <c r="L299">
        <f>VLOOKUP(Table5[[#This Row],[Shortname]], Comp[], 9, FALSE)</f>
        <v>9.6999999999999993</v>
      </c>
      <c r="M299">
        <f>VLOOKUP(Table5[[#This Row],[Shortname]], Comp[], 10, FALSE)</f>
        <v>6</v>
      </c>
      <c r="N299">
        <f>VLOOKUP(Table5[[#This Row],[Shortname]], Comp[], 11, FALSE)</f>
        <v>0</v>
      </c>
      <c r="O299">
        <f>VLOOKUP(Table5[[#This Row],[Shortname]], Comp[],12, FALSE)</f>
        <v>3.4</v>
      </c>
      <c r="P299">
        <f>VLOOKUP(Table5[[#This Row],[Shortname]], Comp[], 13, FALSE)</f>
        <v>2.8</v>
      </c>
      <c r="Q299">
        <f>VLOOKUP(Table5[[#This Row],[Shortname]], Comp[], 14, FALSE)</f>
        <v>0</v>
      </c>
      <c r="R299">
        <f>VLOOKUP(Table5[[#This Row],[Shortname]], Comp[], 15, FALSE)</f>
        <v>0</v>
      </c>
      <c r="S299">
        <f>VLOOKUP(Table5[[#This Row],[Shortname]], Comp[], 16, FALSE)</f>
        <v>4.8</v>
      </c>
      <c r="T299">
        <f>VLOOKUP(Table5[[#This Row],[Shortname]], Comp[], 17, FALSE)</f>
        <v>0</v>
      </c>
      <c r="U299">
        <f>VLOOKUP(Table5[[#This Row],[Shortname]], Comp[], 18, FALSE)</f>
        <v>0</v>
      </c>
      <c r="V299">
        <f>VLOOKUP(Table5[[#This Row],[Shortname]], Comp[], 19, FALSE)</f>
        <v>0</v>
      </c>
      <c r="W299">
        <f>VLOOKUP(Table5[[#This Row],[Shortname]], Comp[], 20, FALSE)</f>
        <v>0</v>
      </c>
      <c r="X299">
        <f>VLOOKUP(Table5[[#This Row],[Shortname]], Comp[], 21, FALSE)</f>
        <v>0</v>
      </c>
      <c r="Y299">
        <f>VLOOKUP(Table5[[#This Row],[Shortname]], Comp[], 22, FALSE)</f>
        <v>0</v>
      </c>
      <c r="Z299">
        <f>VLOOKUP(Table5[[#This Row],[Shortname]], Comp[], 23, FALSE)</f>
        <v>0</v>
      </c>
      <c r="AA299">
        <f>VLOOKUP(Table5[[#This Row],[Shortname]], Comp[], 24, FALSE)</f>
        <v>0</v>
      </c>
      <c r="AB299">
        <f>VLOOKUP(Table5[[#This Row],[Shortname]], Comp[], 25, FALSE)</f>
        <v>0</v>
      </c>
      <c r="AC299">
        <f>VLOOKUP(Table5[[#This Row],[Shortname]], Comp[], 26, FALSE)</f>
        <v>0</v>
      </c>
      <c r="AD299">
        <f>VLOOKUP(Table5[[#This Row],[Shortname]], Comp[], 27, FALSE)</f>
        <v>0</v>
      </c>
      <c r="AE299">
        <f>VLOOKUP(Table5[[#This Row],[Shortname]], Comp[], 28, FALSE)</f>
        <v>0</v>
      </c>
      <c r="AF299">
        <f>VLOOKUP(Table5[[#This Row],[Shortname]], Comp[], 29, FALSE)</f>
        <v>0</v>
      </c>
      <c r="AG299">
        <f>VLOOKUP(Table5[[#This Row],[Shortname]], Comp[], 30, FALSE)</f>
        <v>0</v>
      </c>
      <c r="AH299">
        <f>VLOOKUP(Table5[[#This Row],[Shortname]], Comp[], 31, FALSE)</f>
        <v>0</v>
      </c>
    </row>
    <row r="300" spans="1:34" x14ac:dyDescent="0.3">
      <c r="A300" s="7" t="s">
        <v>2461</v>
      </c>
      <c r="B300">
        <v>301</v>
      </c>
      <c r="C300" s="7" t="str">
        <f>VLOOKUP(Table5[[#This Row],[Shortname]], [1]!comp[#Data], 2, FALSE)</f>
        <v>Low-W</v>
      </c>
      <c r="D300" s="7" t="s">
        <v>5239</v>
      </c>
      <c r="E300" t="s">
        <v>6734</v>
      </c>
      <c r="F300">
        <v>1005</v>
      </c>
      <c r="G300">
        <v>1389</v>
      </c>
      <c r="H300">
        <v>1439</v>
      </c>
      <c r="J300" s="14">
        <f>VLOOKUP(Table5[[#This Row],[Shortname]], Comp[], 7, FALSE)</f>
        <v>67</v>
      </c>
      <c r="K300">
        <f>VLOOKUP(Table5[[#This Row],[Shortname]], Comp[], 8, FALSE)</f>
        <v>15.9</v>
      </c>
      <c r="L300">
        <f>VLOOKUP(Table5[[#This Row],[Shortname]], Comp[], 9, FALSE)</f>
        <v>13.6</v>
      </c>
      <c r="M300">
        <f>VLOOKUP(Table5[[#This Row],[Shortname]], Comp[], 10, FALSE)</f>
        <v>0</v>
      </c>
      <c r="N300">
        <f>VLOOKUP(Table5[[#This Row],[Shortname]], Comp[], 11, FALSE)</f>
        <v>1.9</v>
      </c>
      <c r="O300">
        <f>VLOOKUP(Table5[[#This Row],[Shortname]], Comp[],12, FALSE)</f>
        <v>0</v>
      </c>
      <c r="P300">
        <f>VLOOKUP(Table5[[#This Row],[Shortname]], Comp[], 13, FALSE)</f>
        <v>0.7</v>
      </c>
      <c r="Q300">
        <f>VLOOKUP(Table5[[#This Row],[Shortname]], Comp[], 14, FALSE)</f>
        <v>0</v>
      </c>
      <c r="R300">
        <f>VLOOKUP(Table5[[#This Row],[Shortname]], Comp[], 15, FALSE)</f>
        <v>0</v>
      </c>
      <c r="S300">
        <f>VLOOKUP(Table5[[#This Row],[Shortname]], Comp[], 16, FALSE)</f>
        <v>0.6</v>
      </c>
      <c r="T300">
        <f>VLOOKUP(Table5[[#This Row],[Shortname]], Comp[], 17, FALSE)</f>
        <v>0</v>
      </c>
      <c r="U300">
        <f>VLOOKUP(Table5[[#This Row],[Shortname]], Comp[], 18, FALSE)</f>
        <v>0</v>
      </c>
      <c r="V300">
        <f>VLOOKUP(Table5[[#This Row],[Shortname]], Comp[], 19, FALSE)</f>
        <v>0</v>
      </c>
      <c r="W300">
        <f>VLOOKUP(Table5[[#This Row],[Shortname]], Comp[], 20, FALSE)</f>
        <v>0</v>
      </c>
      <c r="X300">
        <f>VLOOKUP(Table5[[#This Row],[Shortname]], Comp[], 21, FALSE)</f>
        <v>0.3</v>
      </c>
      <c r="Y300">
        <f>VLOOKUP(Table5[[#This Row],[Shortname]], Comp[], 22, FALSE)</f>
        <v>0</v>
      </c>
      <c r="Z300">
        <f>VLOOKUP(Table5[[#This Row],[Shortname]], Comp[], 23, FALSE)</f>
        <v>0</v>
      </c>
      <c r="AA300">
        <f>VLOOKUP(Table5[[#This Row],[Shortname]], Comp[], 24, FALSE)</f>
        <v>0</v>
      </c>
      <c r="AB300">
        <f>VLOOKUP(Table5[[#This Row],[Shortname]], Comp[], 25, FALSE)</f>
        <v>0</v>
      </c>
      <c r="AC300">
        <f>VLOOKUP(Table5[[#This Row],[Shortname]], Comp[], 26, FALSE)</f>
        <v>0</v>
      </c>
      <c r="AD300">
        <f>VLOOKUP(Table5[[#This Row],[Shortname]], Comp[], 27, FALSE)</f>
        <v>0</v>
      </c>
      <c r="AE300">
        <f>VLOOKUP(Table5[[#This Row],[Shortname]], Comp[], 28, FALSE)</f>
        <v>0</v>
      </c>
      <c r="AF300">
        <f>VLOOKUP(Table5[[#This Row],[Shortname]], Comp[], 29, FALSE)</f>
        <v>0</v>
      </c>
      <c r="AG300">
        <f>VLOOKUP(Table5[[#This Row],[Shortname]], Comp[], 30, FALSE)</f>
        <v>0</v>
      </c>
      <c r="AH300">
        <f>VLOOKUP(Table5[[#This Row],[Shortname]], Comp[], 31, FALSE)</f>
        <v>0</v>
      </c>
    </row>
    <row r="301" spans="1:34" x14ac:dyDescent="0.3">
      <c r="A301" s="7" t="s">
        <v>2984</v>
      </c>
      <c r="B301">
        <v>311</v>
      </c>
      <c r="C301" s="7" t="str">
        <f>VLOOKUP(Table5[[#This Row],[Shortname]], [1]!comp[#Data], 2, FALSE)</f>
        <v>CoAlW-X</v>
      </c>
      <c r="D301" s="7" t="s">
        <v>2985</v>
      </c>
      <c r="E301" s="9" t="s">
        <v>6621</v>
      </c>
      <c r="F301">
        <v>974</v>
      </c>
      <c r="G301">
        <v>1449</v>
      </c>
      <c r="H301">
        <v>1479</v>
      </c>
      <c r="J301" s="14">
        <f>VLOOKUP(Table5[[#This Row],[Shortname]], Comp[], 7, FALSE)</f>
        <v>80.699999999999989</v>
      </c>
      <c r="K301">
        <f>VLOOKUP(Table5[[#This Row],[Shortname]], Comp[], 8, FALSE)</f>
        <v>0</v>
      </c>
      <c r="L301">
        <f>VLOOKUP(Table5[[#This Row],[Shortname]], Comp[], 9, FALSE)</f>
        <v>8.9</v>
      </c>
      <c r="M301">
        <f>VLOOKUP(Table5[[#This Row],[Shortname]], Comp[], 10, FALSE)</f>
        <v>0</v>
      </c>
      <c r="N301">
        <f>VLOOKUP(Table5[[#This Row],[Shortname]], Comp[], 11, FALSE)</f>
        <v>10.3</v>
      </c>
      <c r="O301">
        <f>VLOOKUP(Table5[[#This Row],[Shortname]], Comp[],12, FALSE)</f>
        <v>0</v>
      </c>
      <c r="P301">
        <f>VLOOKUP(Table5[[#This Row],[Shortname]], Comp[], 13, FALSE)</f>
        <v>0</v>
      </c>
      <c r="Q301">
        <f>VLOOKUP(Table5[[#This Row],[Shortname]], Comp[], 14, FALSE)</f>
        <v>0</v>
      </c>
      <c r="R301">
        <f>VLOOKUP(Table5[[#This Row],[Shortname]], Comp[], 15, FALSE)</f>
        <v>0</v>
      </c>
      <c r="S301">
        <f>VLOOKUP(Table5[[#This Row],[Shortname]], Comp[], 16, FALSE)</f>
        <v>0</v>
      </c>
      <c r="T301">
        <f>VLOOKUP(Table5[[#This Row],[Shortname]], Comp[], 17, FALSE)</f>
        <v>0</v>
      </c>
      <c r="U301">
        <f>VLOOKUP(Table5[[#This Row],[Shortname]], Comp[], 18, FALSE)</f>
        <v>0</v>
      </c>
      <c r="V301">
        <f>VLOOKUP(Table5[[#This Row],[Shortname]], Comp[], 19, FALSE)</f>
        <v>0.1</v>
      </c>
      <c r="W301">
        <f>VLOOKUP(Table5[[#This Row],[Shortname]], Comp[], 20, FALSE)</f>
        <v>0</v>
      </c>
      <c r="X301">
        <f>VLOOKUP(Table5[[#This Row],[Shortname]], Comp[], 21, FALSE)</f>
        <v>0</v>
      </c>
      <c r="Y301">
        <f>VLOOKUP(Table5[[#This Row],[Shortname]], Comp[], 22, FALSE)</f>
        <v>0</v>
      </c>
      <c r="Z301">
        <f>VLOOKUP(Table5[[#This Row],[Shortname]], Comp[], 23, FALSE)</f>
        <v>0</v>
      </c>
      <c r="AA301">
        <f>VLOOKUP(Table5[[#This Row],[Shortname]], Comp[], 24, FALSE)</f>
        <v>0</v>
      </c>
      <c r="AB301">
        <f>VLOOKUP(Table5[[#This Row],[Shortname]], Comp[], 25, FALSE)</f>
        <v>0</v>
      </c>
      <c r="AC301">
        <f>VLOOKUP(Table5[[#This Row],[Shortname]], Comp[], 26, FALSE)</f>
        <v>0</v>
      </c>
      <c r="AD301">
        <f>VLOOKUP(Table5[[#This Row],[Shortname]], Comp[], 27, FALSE)</f>
        <v>0</v>
      </c>
      <c r="AE301">
        <f>VLOOKUP(Table5[[#This Row],[Shortname]], Comp[], 28, FALSE)</f>
        <v>0</v>
      </c>
      <c r="AF301">
        <f>VLOOKUP(Table5[[#This Row],[Shortname]], Comp[], 29, FALSE)</f>
        <v>0</v>
      </c>
      <c r="AG301">
        <f>VLOOKUP(Table5[[#This Row],[Shortname]], Comp[], 30, FALSE)</f>
        <v>0</v>
      </c>
      <c r="AH301">
        <f>VLOOKUP(Table5[[#This Row],[Shortname]], Comp[], 31, FALSE)</f>
        <v>0</v>
      </c>
    </row>
    <row r="302" spans="1:34" x14ac:dyDescent="0.3">
      <c r="A302" s="7" t="s">
        <v>2980</v>
      </c>
      <c r="B302">
        <v>312</v>
      </c>
      <c r="C302" s="7" t="str">
        <f>VLOOKUP(Table5[[#This Row],[Shortname]], [1]!comp[#Data], 2, FALSE)</f>
        <v>CoAlW-X</v>
      </c>
      <c r="D302" s="7" t="s">
        <v>2969</v>
      </c>
      <c r="E302" s="9" t="s">
        <v>6621</v>
      </c>
      <c r="F302">
        <v>927</v>
      </c>
      <c r="G302">
        <v>1459</v>
      </c>
      <c r="H302">
        <v>1475</v>
      </c>
      <c r="J302" s="14">
        <f>VLOOKUP(Table5[[#This Row],[Shortname]], Comp[], 7, FALSE)</f>
        <v>82.7</v>
      </c>
      <c r="K302">
        <f>VLOOKUP(Table5[[#This Row],[Shortname]], Comp[], 8, FALSE)</f>
        <v>0</v>
      </c>
      <c r="L302">
        <f>VLOOKUP(Table5[[#This Row],[Shortname]], Comp[], 9, FALSE)</f>
        <v>8.5</v>
      </c>
      <c r="M302">
        <f>VLOOKUP(Table5[[#This Row],[Shortname]], Comp[], 10, FALSE)</f>
        <v>0</v>
      </c>
      <c r="N302">
        <f>VLOOKUP(Table5[[#This Row],[Shortname]], Comp[], 11, FALSE)</f>
        <v>8.6999999999999993</v>
      </c>
      <c r="O302">
        <f>VLOOKUP(Table5[[#This Row],[Shortname]], Comp[],12, FALSE)</f>
        <v>0</v>
      </c>
      <c r="P302">
        <f>VLOOKUP(Table5[[#This Row],[Shortname]], Comp[], 13, FALSE)</f>
        <v>0</v>
      </c>
      <c r="Q302">
        <f>VLOOKUP(Table5[[#This Row],[Shortname]], Comp[], 14, FALSE)</f>
        <v>0</v>
      </c>
      <c r="R302">
        <f>VLOOKUP(Table5[[#This Row],[Shortname]], Comp[], 15, FALSE)</f>
        <v>0</v>
      </c>
      <c r="S302">
        <f>VLOOKUP(Table5[[#This Row],[Shortname]], Comp[], 16, FALSE)</f>
        <v>0</v>
      </c>
      <c r="T302">
        <f>VLOOKUP(Table5[[#This Row],[Shortname]], Comp[], 17, FALSE)</f>
        <v>0</v>
      </c>
      <c r="U302">
        <f>VLOOKUP(Table5[[#This Row],[Shortname]], Comp[], 18, FALSE)</f>
        <v>0</v>
      </c>
      <c r="V302">
        <f>VLOOKUP(Table5[[#This Row],[Shortname]], Comp[], 19, FALSE)</f>
        <v>0.1</v>
      </c>
      <c r="W302">
        <f>VLOOKUP(Table5[[#This Row],[Shortname]], Comp[], 20, FALSE)</f>
        <v>0</v>
      </c>
      <c r="X302">
        <f>VLOOKUP(Table5[[#This Row],[Shortname]], Comp[], 21, FALSE)</f>
        <v>0</v>
      </c>
      <c r="Y302">
        <f>VLOOKUP(Table5[[#This Row],[Shortname]], Comp[], 22, FALSE)</f>
        <v>0</v>
      </c>
      <c r="Z302">
        <f>VLOOKUP(Table5[[#This Row],[Shortname]], Comp[], 23, FALSE)</f>
        <v>0</v>
      </c>
      <c r="AA302">
        <f>VLOOKUP(Table5[[#This Row],[Shortname]], Comp[], 24, FALSE)</f>
        <v>0</v>
      </c>
      <c r="AB302">
        <f>VLOOKUP(Table5[[#This Row],[Shortname]], Comp[], 25, FALSE)</f>
        <v>0</v>
      </c>
      <c r="AC302">
        <f>VLOOKUP(Table5[[#This Row],[Shortname]], Comp[], 26, FALSE)</f>
        <v>0</v>
      </c>
      <c r="AD302">
        <f>VLOOKUP(Table5[[#This Row],[Shortname]], Comp[], 27, FALSE)</f>
        <v>0</v>
      </c>
      <c r="AE302">
        <f>VLOOKUP(Table5[[#This Row],[Shortname]], Comp[], 28, FALSE)</f>
        <v>0</v>
      </c>
      <c r="AF302">
        <f>VLOOKUP(Table5[[#This Row],[Shortname]], Comp[], 29, FALSE)</f>
        <v>0</v>
      </c>
      <c r="AG302">
        <f>VLOOKUP(Table5[[#This Row],[Shortname]], Comp[], 30, FALSE)</f>
        <v>0</v>
      </c>
      <c r="AH302">
        <f>VLOOKUP(Table5[[#This Row],[Shortname]], Comp[], 31, FALSE)</f>
        <v>0</v>
      </c>
    </row>
    <row r="303" spans="1:34" x14ac:dyDescent="0.3">
      <c r="A303" s="7" t="s">
        <v>2974</v>
      </c>
      <c r="B303">
        <v>313</v>
      </c>
      <c r="C303" s="7" t="str">
        <f>VLOOKUP(Table5[[#This Row],[Shortname]], [1]!comp[#Data], 2, FALSE)</f>
        <v>CoAlW-X</v>
      </c>
      <c r="D303" s="7" t="s">
        <v>2975</v>
      </c>
      <c r="E303" s="9" t="s">
        <v>6621</v>
      </c>
      <c r="F303">
        <v>920</v>
      </c>
      <c r="G303">
        <v>1457</v>
      </c>
      <c r="H303">
        <v>1486</v>
      </c>
      <c r="J303" s="14">
        <f>VLOOKUP(Table5[[#This Row],[Shortname]], Comp[], 7, FALSE)</f>
        <v>84</v>
      </c>
      <c r="K303">
        <f>VLOOKUP(Table5[[#This Row],[Shortname]], Comp[], 8, FALSE)</f>
        <v>0</v>
      </c>
      <c r="L303">
        <f>VLOOKUP(Table5[[#This Row],[Shortname]], Comp[], 9, FALSE)</f>
        <v>8.5</v>
      </c>
      <c r="M303">
        <f>VLOOKUP(Table5[[#This Row],[Shortname]], Comp[], 10, FALSE)</f>
        <v>0</v>
      </c>
      <c r="N303">
        <f>VLOOKUP(Table5[[#This Row],[Shortname]], Comp[], 11, FALSE)</f>
        <v>7.4</v>
      </c>
      <c r="O303">
        <f>VLOOKUP(Table5[[#This Row],[Shortname]], Comp[],12, FALSE)</f>
        <v>0</v>
      </c>
      <c r="P303">
        <f>VLOOKUP(Table5[[#This Row],[Shortname]], Comp[], 13, FALSE)</f>
        <v>0</v>
      </c>
      <c r="Q303">
        <f>VLOOKUP(Table5[[#This Row],[Shortname]], Comp[], 14, FALSE)</f>
        <v>0</v>
      </c>
      <c r="R303">
        <f>VLOOKUP(Table5[[#This Row],[Shortname]], Comp[], 15, FALSE)</f>
        <v>0</v>
      </c>
      <c r="S303">
        <f>VLOOKUP(Table5[[#This Row],[Shortname]], Comp[], 16, FALSE)</f>
        <v>0</v>
      </c>
      <c r="T303">
        <f>VLOOKUP(Table5[[#This Row],[Shortname]], Comp[], 17, FALSE)</f>
        <v>0</v>
      </c>
      <c r="U303">
        <f>VLOOKUP(Table5[[#This Row],[Shortname]], Comp[], 18, FALSE)</f>
        <v>0</v>
      </c>
      <c r="V303">
        <f>VLOOKUP(Table5[[#This Row],[Shortname]], Comp[], 19, FALSE)</f>
        <v>0.1</v>
      </c>
      <c r="W303">
        <f>VLOOKUP(Table5[[#This Row],[Shortname]], Comp[], 20, FALSE)</f>
        <v>0</v>
      </c>
      <c r="X303">
        <f>VLOOKUP(Table5[[#This Row],[Shortname]], Comp[], 21, FALSE)</f>
        <v>0</v>
      </c>
      <c r="Y303">
        <f>VLOOKUP(Table5[[#This Row],[Shortname]], Comp[], 22, FALSE)</f>
        <v>0</v>
      </c>
      <c r="Z303">
        <f>VLOOKUP(Table5[[#This Row],[Shortname]], Comp[], 23, FALSE)</f>
        <v>0</v>
      </c>
      <c r="AA303">
        <f>VLOOKUP(Table5[[#This Row],[Shortname]], Comp[], 24, FALSE)</f>
        <v>0</v>
      </c>
      <c r="AB303">
        <f>VLOOKUP(Table5[[#This Row],[Shortname]], Comp[], 25, FALSE)</f>
        <v>0</v>
      </c>
      <c r="AC303">
        <f>VLOOKUP(Table5[[#This Row],[Shortname]], Comp[], 26, FALSE)</f>
        <v>0</v>
      </c>
      <c r="AD303">
        <f>VLOOKUP(Table5[[#This Row],[Shortname]], Comp[], 27, FALSE)</f>
        <v>0</v>
      </c>
      <c r="AE303">
        <f>VLOOKUP(Table5[[#This Row],[Shortname]], Comp[], 28, FALSE)</f>
        <v>0</v>
      </c>
      <c r="AF303">
        <f>VLOOKUP(Table5[[#This Row],[Shortname]], Comp[], 29, FALSE)</f>
        <v>0</v>
      </c>
      <c r="AG303">
        <f>VLOOKUP(Table5[[#This Row],[Shortname]], Comp[], 30, FALSE)</f>
        <v>0</v>
      </c>
      <c r="AH303">
        <f>VLOOKUP(Table5[[#This Row],[Shortname]], Comp[], 31, FALSE)</f>
        <v>0</v>
      </c>
    </row>
    <row r="304" spans="1:34" x14ac:dyDescent="0.3">
      <c r="A304" s="7" t="s">
        <v>2996</v>
      </c>
      <c r="B304">
        <v>314</v>
      </c>
      <c r="C304" s="7" t="str">
        <f>VLOOKUP(Table5[[#This Row],[Shortname]], [1]!comp[#Data], 2, FALSE)</f>
        <v>Co3Ti</v>
      </c>
      <c r="D304" s="7" t="s">
        <v>2998</v>
      </c>
      <c r="E304" t="s">
        <v>6622</v>
      </c>
      <c r="F304">
        <v>1166</v>
      </c>
      <c r="G304">
        <v>1344</v>
      </c>
      <c r="H304">
        <v>1403</v>
      </c>
      <c r="J304" s="14">
        <f>VLOOKUP(Table5[[#This Row],[Shortname]], Comp[], 7, FALSE)</f>
        <v>49.82</v>
      </c>
      <c r="K304">
        <f>VLOOKUP(Table5[[#This Row],[Shortname]], Comp[], 8, FALSE)</f>
        <v>30.83</v>
      </c>
      <c r="L304">
        <f>VLOOKUP(Table5[[#This Row],[Shortname]], Comp[], 9, FALSE)</f>
        <v>9.16</v>
      </c>
      <c r="M304">
        <f>VLOOKUP(Table5[[#This Row],[Shortname]], Comp[], 10, FALSE)</f>
        <v>0</v>
      </c>
      <c r="N304">
        <f>VLOOKUP(Table5[[#This Row],[Shortname]], Comp[], 11, FALSE)</f>
        <v>5.09</v>
      </c>
      <c r="O304">
        <f>VLOOKUP(Table5[[#This Row],[Shortname]], Comp[],12, FALSE)</f>
        <v>4.0999999999999996</v>
      </c>
      <c r="P304">
        <f>VLOOKUP(Table5[[#This Row],[Shortname]], Comp[], 13, FALSE)</f>
        <v>1</v>
      </c>
      <c r="Q304">
        <f>VLOOKUP(Table5[[#This Row],[Shortname]], Comp[], 14, FALSE)</f>
        <v>0</v>
      </c>
      <c r="R304">
        <f>VLOOKUP(Table5[[#This Row],[Shortname]], Comp[], 15, FALSE)</f>
        <v>0</v>
      </c>
      <c r="S304">
        <f>VLOOKUP(Table5[[#This Row],[Shortname]], Comp[], 16, FALSE)</f>
        <v>0</v>
      </c>
      <c r="T304">
        <f>VLOOKUP(Table5[[#This Row],[Shortname]], Comp[], 17, FALSE)</f>
        <v>0</v>
      </c>
      <c r="U304">
        <f>VLOOKUP(Table5[[#This Row],[Shortname]], Comp[], 18, FALSE)</f>
        <v>0</v>
      </c>
      <c r="V304">
        <f>VLOOKUP(Table5[[#This Row],[Shortname]], Comp[], 19, FALSE)</f>
        <v>0</v>
      </c>
      <c r="W304">
        <f>VLOOKUP(Table5[[#This Row],[Shortname]], Comp[], 20, FALSE)</f>
        <v>0</v>
      </c>
      <c r="X304">
        <f>VLOOKUP(Table5[[#This Row],[Shortname]], Comp[], 21, FALSE)</f>
        <v>0</v>
      </c>
      <c r="Y304">
        <f>VLOOKUP(Table5[[#This Row],[Shortname]], Comp[], 22, FALSE)</f>
        <v>0</v>
      </c>
      <c r="Z304">
        <f>VLOOKUP(Table5[[#This Row],[Shortname]], Comp[], 23, FALSE)</f>
        <v>0</v>
      </c>
      <c r="AA304">
        <f>VLOOKUP(Table5[[#This Row],[Shortname]], Comp[], 24, FALSE)</f>
        <v>0</v>
      </c>
      <c r="AB304">
        <f>VLOOKUP(Table5[[#This Row],[Shortname]], Comp[], 25, FALSE)</f>
        <v>0</v>
      </c>
      <c r="AC304">
        <f>VLOOKUP(Table5[[#This Row],[Shortname]], Comp[], 26, FALSE)</f>
        <v>0</v>
      </c>
      <c r="AD304">
        <f>VLOOKUP(Table5[[#This Row],[Shortname]], Comp[], 27, FALSE)</f>
        <v>0</v>
      </c>
      <c r="AE304">
        <f>VLOOKUP(Table5[[#This Row],[Shortname]], Comp[], 28, FALSE)</f>
        <v>0</v>
      </c>
      <c r="AF304">
        <f>VLOOKUP(Table5[[#This Row],[Shortname]], Comp[], 29, FALSE)</f>
        <v>0</v>
      </c>
      <c r="AG304">
        <f>VLOOKUP(Table5[[#This Row],[Shortname]], Comp[], 30, FALSE)</f>
        <v>0</v>
      </c>
      <c r="AH304">
        <f>VLOOKUP(Table5[[#This Row],[Shortname]], Comp[], 31, FALSE)</f>
        <v>0</v>
      </c>
    </row>
    <row r="305" spans="1:34" x14ac:dyDescent="0.3">
      <c r="A305" t="s">
        <v>3011</v>
      </c>
      <c r="B305">
        <v>315</v>
      </c>
      <c r="C305" t="str">
        <f>VLOOKUP(Table5[[#This Row],[Shortname]], [1]!comp[#Data], 2, FALSE)</f>
        <v>Co3Ti</v>
      </c>
      <c r="D305" t="s">
        <v>3013</v>
      </c>
      <c r="E305" t="s">
        <v>6735</v>
      </c>
      <c r="F305">
        <v>1008</v>
      </c>
      <c r="J305" s="14">
        <f>VLOOKUP(Table5[[#This Row],[Shortname]], Comp[], 7, FALSE)</f>
        <v>68.960000000000008</v>
      </c>
      <c r="K305">
        <f>VLOOKUP(Table5[[#This Row],[Shortname]], Comp[], 8, FALSE)</f>
        <v>10</v>
      </c>
      <c r="L305">
        <f>VLOOKUP(Table5[[#This Row],[Shortname]], Comp[], 9, FALSE)</f>
        <v>5</v>
      </c>
      <c r="M305">
        <f>VLOOKUP(Table5[[#This Row],[Shortname]], Comp[], 10, FALSE)</f>
        <v>4</v>
      </c>
      <c r="N305">
        <f>VLOOKUP(Table5[[#This Row],[Shortname]], Comp[], 11, FALSE)</f>
        <v>0</v>
      </c>
      <c r="O305">
        <f>VLOOKUP(Table5[[#This Row],[Shortname]], Comp[],12, FALSE)</f>
        <v>6</v>
      </c>
      <c r="P305">
        <f>VLOOKUP(Table5[[#This Row],[Shortname]], Comp[], 13, FALSE)</f>
        <v>0</v>
      </c>
      <c r="Q305">
        <f>VLOOKUP(Table5[[#This Row],[Shortname]], Comp[], 14, FALSE)</f>
        <v>3</v>
      </c>
      <c r="R305">
        <f>VLOOKUP(Table5[[#This Row],[Shortname]], Comp[], 15, FALSE)</f>
        <v>3</v>
      </c>
      <c r="S305">
        <f>VLOOKUP(Table5[[#This Row],[Shortname]], Comp[], 16, FALSE)</f>
        <v>0</v>
      </c>
      <c r="T305">
        <f>VLOOKUP(Table5[[#This Row],[Shortname]], Comp[], 17, FALSE)</f>
        <v>0</v>
      </c>
      <c r="U305">
        <f>VLOOKUP(Table5[[#This Row],[Shortname]], Comp[], 18, FALSE)</f>
        <v>0</v>
      </c>
      <c r="V305">
        <f>VLOOKUP(Table5[[#This Row],[Shortname]], Comp[], 19, FALSE)</f>
        <v>0.04</v>
      </c>
      <c r="W305">
        <f>VLOOKUP(Table5[[#This Row],[Shortname]], Comp[], 20, FALSE)</f>
        <v>0</v>
      </c>
      <c r="X305">
        <f>VLOOKUP(Table5[[#This Row],[Shortname]], Comp[], 21, FALSE)</f>
        <v>0</v>
      </c>
      <c r="Y305">
        <f>VLOOKUP(Table5[[#This Row],[Shortname]], Comp[], 22, FALSE)</f>
        <v>0</v>
      </c>
      <c r="Z305">
        <f>VLOOKUP(Table5[[#This Row],[Shortname]], Comp[], 23, FALSE)</f>
        <v>0</v>
      </c>
      <c r="AA305">
        <f>VLOOKUP(Table5[[#This Row],[Shortname]], Comp[], 24, FALSE)</f>
        <v>0</v>
      </c>
      <c r="AB305">
        <f>VLOOKUP(Table5[[#This Row],[Shortname]], Comp[], 25, FALSE)</f>
        <v>0</v>
      </c>
      <c r="AC305">
        <f>VLOOKUP(Table5[[#This Row],[Shortname]], Comp[], 26, FALSE)</f>
        <v>0</v>
      </c>
      <c r="AD305">
        <f>VLOOKUP(Table5[[#This Row],[Shortname]], Comp[], 27, FALSE)</f>
        <v>0</v>
      </c>
      <c r="AE305">
        <f>VLOOKUP(Table5[[#This Row],[Shortname]], Comp[], 28, FALSE)</f>
        <v>0</v>
      </c>
      <c r="AF305">
        <f>VLOOKUP(Table5[[#This Row],[Shortname]], Comp[], 29, FALSE)</f>
        <v>0</v>
      </c>
      <c r="AG305">
        <f>VLOOKUP(Table5[[#This Row],[Shortname]], Comp[], 30, FALSE)</f>
        <v>0</v>
      </c>
      <c r="AH305">
        <f>VLOOKUP(Table5[[#This Row],[Shortname]], Comp[], 31, FALSE)</f>
        <v>0</v>
      </c>
    </row>
    <row r="306" spans="1:34" x14ac:dyDescent="0.3">
      <c r="A306" s="7" t="s">
        <v>3003</v>
      </c>
      <c r="B306">
        <v>316</v>
      </c>
      <c r="C306" s="7" t="str">
        <f>VLOOKUP(Table5[[#This Row],[Shortname]], [1]!comp[#Data], 2, FALSE)</f>
        <v>Co3Ti</v>
      </c>
      <c r="D306" s="7" t="s">
        <v>3005</v>
      </c>
      <c r="E306" t="s">
        <v>6735</v>
      </c>
      <c r="F306">
        <v>977</v>
      </c>
      <c r="J306" s="14">
        <f>VLOOKUP(Table5[[#This Row],[Shortname]], Comp[], 7, FALSE)</f>
        <v>72.960000000000008</v>
      </c>
      <c r="K306">
        <f>VLOOKUP(Table5[[#This Row],[Shortname]], Comp[], 8, FALSE)</f>
        <v>10</v>
      </c>
      <c r="L306">
        <f>VLOOKUP(Table5[[#This Row],[Shortname]], Comp[], 9, FALSE)</f>
        <v>5</v>
      </c>
      <c r="M306">
        <f>VLOOKUP(Table5[[#This Row],[Shortname]], Comp[], 10, FALSE)</f>
        <v>0</v>
      </c>
      <c r="N306">
        <f>VLOOKUP(Table5[[#This Row],[Shortname]], Comp[], 11, FALSE)</f>
        <v>0</v>
      </c>
      <c r="O306">
        <f>VLOOKUP(Table5[[#This Row],[Shortname]], Comp[],12, FALSE)</f>
        <v>6</v>
      </c>
      <c r="P306">
        <f>VLOOKUP(Table5[[#This Row],[Shortname]], Comp[], 13, FALSE)</f>
        <v>0</v>
      </c>
      <c r="Q306">
        <f>VLOOKUP(Table5[[#This Row],[Shortname]], Comp[], 14, FALSE)</f>
        <v>3</v>
      </c>
      <c r="R306">
        <f>VLOOKUP(Table5[[#This Row],[Shortname]], Comp[], 15, FALSE)</f>
        <v>3</v>
      </c>
      <c r="S306">
        <f>VLOOKUP(Table5[[#This Row],[Shortname]], Comp[], 16, FALSE)</f>
        <v>0</v>
      </c>
      <c r="T306">
        <f>VLOOKUP(Table5[[#This Row],[Shortname]], Comp[], 17, FALSE)</f>
        <v>0</v>
      </c>
      <c r="U306">
        <f>VLOOKUP(Table5[[#This Row],[Shortname]], Comp[], 18, FALSE)</f>
        <v>0</v>
      </c>
      <c r="V306">
        <f>VLOOKUP(Table5[[#This Row],[Shortname]], Comp[], 19, FALSE)</f>
        <v>0.04</v>
      </c>
      <c r="W306">
        <f>VLOOKUP(Table5[[#This Row],[Shortname]], Comp[], 20, FALSE)</f>
        <v>0</v>
      </c>
      <c r="X306">
        <f>VLOOKUP(Table5[[#This Row],[Shortname]], Comp[], 21, FALSE)</f>
        <v>0</v>
      </c>
      <c r="Y306">
        <f>VLOOKUP(Table5[[#This Row],[Shortname]], Comp[], 22, FALSE)</f>
        <v>0</v>
      </c>
      <c r="Z306">
        <f>VLOOKUP(Table5[[#This Row],[Shortname]], Comp[], 23, FALSE)</f>
        <v>0</v>
      </c>
      <c r="AA306">
        <f>VLOOKUP(Table5[[#This Row],[Shortname]], Comp[], 24, FALSE)</f>
        <v>0</v>
      </c>
      <c r="AB306">
        <f>VLOOKUP(Table5[[#This Row],[Shortname]], Comp[], 25, FALSE)</f>
        <v>0</v>
      </c>
      <c r="AC306">
        <f>VLOOKUP(Table5[[#This Row],[Shortname]], Comp[], 26, FALSE)</f>
        <v>0</v>
      </c>
      <c r="AD306">
        <f>VLOOKUP(Table5[[#This Row],[Shortname]], Comp[], 27, FALSE)</f>
        <v>0</v>
      </c>
      <c r="AE306">
        <f>VLOOKUP(Table5[[#This Row],[Shortname]], Comp[], 28, FALSE)</f>
        <v>0</v>
      </c>
      <c r="AF306">
        <f>VLOOKUP(Table5[[#This Row],[Shortname]], Comp[], 29, FALSE)</f>
        <v>0</v>
      </c>
      <c r="AG306">
        <f>VLOOKUP(Table5[[#This Row],[Shortname]], Comp[], 30, FALSE)</f>
        <v>0</v>
      </c>
      <c r="AH306">
        <f>VLOOKUP(Table5[[#This Row],[Shortname]], Comp[], 31, FALSE)</f>
        <v>0</v>
      </c>
    </row>
    <row r="307" spans="1:34" x14ac:dyDescent="0.3">
      <c r="A307" s="7" t="s">
        <v>3017</v>
      </c>
      <c r="B307">
        <v>317</v>
      </c>
      <c r="C307" s="7" t="str">
        <f>VLOOKUP(Table5[[#This Row],[Shortname]], [1]!comp[#Data], 2, FALSE)</f>
        <v>W-free</v>
      </c>
      <c r="D307" s="7" t="s">
        <v>3019</v>
      </c>
      <c r="E307" t="s">
        <v>6735</v>
      </c>
      <c r="F307">
        <v>953</v>
      </c>
      <c r="J307" s="14">
        <f>VLOOKUP(Table5[[#This Row],[Shortname]], Comp[], 7, FALSE)</f>
        <v>68.960000000000008</v>
      </c>
      <c r="K307">
        <f>VLOOKUP(Table5[[#This Row],[Shortname]], Comp[], 8, FALSE)</f>
        <v>10</v>
      </c>
      <c r="L307">
        <f>VLOOKUP(Table5[[#This Row],[Shortname]], Comp[], 9, FALSE)</f>
        <v>5</v>
      </c>
      <c r="M307">
        <f>VLOOKUP(Table5[[#This Row],[Shortname]], Comp[], 10, FALSE)</f>
        <v>8</v>
      </c>
      <c r="N307">
        <f>VLOOKUP(Table5[[#This Row],[Shortname]], Comp[], 11, FALSE)</f>
        <v>0</v>
      </c>
      <c r="O307">
        <f>VLOOKUP(Table5[[#This Row],[Shortname]], Comp[],12, FALSE)</f>
        <v>2</v>
      </c>
      <c r="P307">
        <f>VLOOKUP(Table5[[#This Row],[Shortname]], Comp[], 13, FALSE)</f>
        <v>0</v>
      </c>
      <c r="Q307">
        <f>VLOOKUP(Table5[[#This Row],[Shortname]], Comp[], 14, FALSE)</f>
        <v>3</v>
      </c>
      <c r="R307">
        <f>VLOOKUP(Table5[[#This Row],[Shortname]], Comp[], 15, FALSE)</f>
        <v>3</v>
      </c>
      <c r="S307">
        <f>VLOOKUP(Table5[[#This Row],[Shortname]], Comp[], 16, FALSE)</f>
        <v>0</v>
      </c>
      <c r="T307">
        <f>VLOOKUP(Table5[[#This Row],[Shortname]], Comp[], 17, FALSE)</f>
        <v>0</v>
      </c>
      <c r="U307">
        <f>VLOOKUP(Table5[[#This Row],[Shortname]], Comp[], 18, FALSE)</f>
        <v>0</v>
      </c>
      <c r="V307">
        <f>VLOOKUP(Table5[[#This Row],[Shortname]], Comp[], 19, FALSE)</f>
        <v>0.04</v>
      </c>
      <c r="W307">
        <f>VLOOKUP(Table5[[#This Row],[Shortname]], Comp[], 20, FALSE)</f>
        <v>0</v>
      </c>
      <c r="X307">
        <f>VLOOKUP(Table5[[#This Row],[Shortname]], Comp[], 21, FALSE)</f>
        <v>0</v>
      </c>
      <c r="Y307">
        <f>VLOOKUP(Table5[[#This Row],[Shortname]], Comp[], 22, FALSE)</f>
        <v>0</v>
      </c>
      <c r="Z307">
        <f>VLOOKUP(Table5[[#This Row],[Shortname]], Comp[], 23, FALSE)</f>
        <v>0</v>
      </c>
      <c r="AA307">
        <f>VLOOKUP(Table5[[#This Row],[Shortname]], Comp[], 24, FALSE)</f>
        <v>0</v>
      </c>
      <c r="AB307">
        <f>VLOOKUP(Table5[[#This Row],[Shortname]], Comp[], 25, FALSE)</f>
        <v>0</v>
      </c>
      <c r="AC307">
        <f>VLOOKUP(Table5[[#This Row],[Shortname]], Comp[], 26, FALSE)</f>
        <v>0</v>
      </c>
      <c r="AD307">
        <f>VLOOKUP(Table5[[#This Row],[Shortname]], Comp[], 27, FALSE)</f>
        <v>0</v>
      </c>
      <c r="AE307">
        <f>VLOOKUP(Table5[[#This Row],[Shortname]], Comp[], 28, FALSE)</f>
        <v>0</v>
      </c>
      <c r="AF307">
        <f>VLOOKUP(Table5[[#This Row],[Shortname]], Comp[], 29, FALSE)</f>
        <v>0</v>
      </c>
      <c r="AG307">
        <f>VLOOKUP(Table5[[#This Row],[Shortname]], Comp[], 30, FALSE)</f>
        <v>0</v>
      </c>
      <c r="AH307">
        <f>VLOOKUP(Table5[[#This Row],[Shortname]], Comp[], 31, FALSE)</f>
        <v>0</v>
      </c>
    </row>
    <row r="308" spans="1:34" x14ac:dyDescent="0.3">
      <c r="A308" s="7" t="s">
        <v>3047</v>
      </c>
      <c r="B308">
        <v>318</v>
      </c>
      <c r="C308" s="7" t="str">
        <f>VLOOKUP(Table5[[#This Row],[Shortname]], [1]!comp[#Data], 2, FALSE)</f>
        <v>W-free</v>
      </c>
      <c r="D308" s="7" t="s">
        <v>3049</v>
      </c>
      <c r="E308" s="11" t="s">
        <v>6736</v>
      </c>
      <c r="F308">
        <v>965</v>
      </c>
      <c r="J308" s="14">
        <f>VLOOKUP(Table5[[#This Row],[Shortname]], Comp[], 7, FALSE)</f>
        <v>76.960000000000008</v>
      </c>
      <c r="K308">
        <f>VLOOKUP(Table5[[#This Row],[Shortname]], Comp[], 8, FALSE)</f>
        <v>10</v>
      </c>
      <c r="L308">
        <f>VLOOKUP(Table5[[#This Row],[Shortname]], Comp[], 9, FALSE)</f>
        <v>5</v>
      </c>
      <c r="M308">
        <f>VLOOKUP(Table5[[#This Row],[Shortname]], Comp[], 10, FALSE)</f>
        <v>0</v>
      </c>
      <c r="N308">
        <f>VLOOKUP(Table5[[#This Row],[Shortname]], Comp[], 11, FALSE)</f>
        <v>0</v>
      </c>
      <c r="O308">
        <f>VLOOKUP(Table5[[#This Row],[Shortname]], Comp[],12, FALSE)</f>
        <v>2</v>
      </c>
      <c r="P308">
        <f>VLOOKUP(Table5[[#This Row],[Shortname]], Comp[], 13, FALSE)</f>
        <v>3</v>
      </c>
      <c r="Q308">
        <f>VLOOKUP(Table5[[#This Row],[Shortname]], Comp[], 14, FALSE)</f>
        <v>0</v>
      </c>
      <c r="R308">
        <f>VLOOKUP(Table5[[#This Row],[Shortname]], Comp[], 15, FALSE)</f>
        <v>3</v>
      </c>
      <c r="S308">
        <f>VLOOKUP(Table5[[#This Row],[Shortname]], Comp[], 16, FALSE)</f>
        <v>0</v>
      </c>
      <c r="T308">
        <f>VLOOKUP(Table5[[#This Row],[Shortname]], Comp[], 17, FALSE)</f>
        <v>0</v>
      </c>
      <c r="U308">
        <f>VLOOKUP(Table5[[#This Row],[Shortname]], Comp[], 18, FALSE)</f>
        <v>0</v>
      </c>
      <c r="V308">
        <f>VLOOKUP(Table5[[#This Row],[Shortname]], Comp[], 19, FALSE)</f>
        <v>0.04</v>
      </c>
      <c r="W308">
        <f>VLOOKUP(Table5[[#This Row],[Shortname]], Comp[], 20, FALSE)</f>
        <v>0</v>
      </c>
      <c r="X308">
        <f>VLOOKUP(Table5[[#This Row],[Shortname]], Comp[], 21, FALSE)</f>
        <v>0</v>
      </c>
      <c r="Y308">
        <f>VLOOKUP(Table5[[#This Row],[Shortname]], Comp[], 22, FALSE)</f>
        <v>0</v>
      </c>
      <c r="Z308">
        <f>VLOOKUP(Table5[[#This Row],[Shortname]], Comp[], 23, FALSE)</f>
        <v>0</v>
      </c>
      <c r="AA308">
        <f>VLOOKUP(Table5[[#This Row],[Shortname]], Comp[], 24, FALSE)</f>
        <v>0</v>
      </c>
      <c r="AB308">
        <f>VLOOKUP(Table5[[#This Row],[Shortname]], Comp[], 25, FALSE)</f>
        <v>0</v>
      </c>
      <c r="AC308">
        <f>VLOOKUP(Table5[[#This Row],[Shortname]], Comp[], 26, FALSE)</f>
        <v>0</v>
      </c>
      <c r="AD308">
        <f>VLOOKUP(Table5[[#This Row],[Shortname]], Comp[], 27, FALSE)</f>
        <v>0</v>
      </c>
      <c r="AE308">
        <f>VLOOKUP(Table5[[#This Row],[Shortname]], Comp[], 28, FALSE)</f>
        <v>0</v>
      </c>
      <c r="AF308">
        <f>VLOOKUP(Table5[[#This Row],[Shortname]], Comp[], 29, FALSE)</f>
        <v>0</v>
      </c>
      <c r="AG308">
        <f>VLOOKUP(Table5[[#This Row],[Shortname]], Comp[], 30, FALSE)</f>
        <v>0</v>
      </c>
      <c r="AH308">
        <f>VLOOKUP(Table5[[#This Row],[Shortname]], Comp[], 31, FALSE)</f>
        <v>0</v>
      </c>
    </row>
    <row r="309" spans="1:34" x14ac:dyDescent="0.3">
      <c r="A309" s="7" t="s">
        <v>3054</v>
      </c>
      <c r="B309">
        <v>319</v>
      </c>
      <c r="C309" s="7" t="str">
        <f>VLOOKUP(Table5[[#This Row],[Shortname]], [1]!comp[#Data], 2, FALSE)</f>
        <v>W-free</v>
      </c>
      <c r="D309" s="7" t="s">
        <v>3056</v>
      </c>
      <c r="E309" s="11" t="s">
        <v>6736</v>
      </c>
      <c r="F309">
        <v>965</v>
      </c>
      <c r="J309" s="14">
        <f>VLOOKUP(Table5[[#This Row],[Shortname]], Comp[], 7, FALSE)</f>
        <v>72.960000000000008</v>
      </c>
      <c r="K309">
        <f>VLOOKUP(Table5[[#This Row],[Shortname]], Comp[], 8, FALSE)</f>
        <v>10</v>
      </c>
      <c r="L309">
        <f>VLOOKUP(Table5[[#This Row],[Shortname]], Comp[], 9, FALSE)</f>
        <v>5</v>
      </c>
      <c r="M309">
        <f>VLOOKUP(Table5[[#This Row],[Shortname]], Comp[], 10, FALSE)</f>
        <v>4</v>
      </c>
      <c r="N309">
        <f>VLOOKUP(Table5[[#This Row],[Shortname]], Comp[], 11, FALSE)</f>
        <v>0</v>
      </c>
      <c r="O309">
        <f>VLOOKUP(Table5[[#This Row],[Shortname]], Comp[],12, FALSE)</f>
        <v>2</v>
      </c>
      <c r="P309">
        <f>VLOOKUP(Table5[[#This Row],[Shortname]], Comp[], 13, FALSE)</f>
        <v>3</v>
      </c>
      <c r="Q309">
        <f>VLOOKUP(Table5[[#This Row],[Shortname]], Comp[], 14, FALSE)</f>
        <v>0</v>
      </c>
      <c r="R309">
        <f>VLOOKUP(Table5[[#This Row],[Shortname]], Comp[], 15, FALSE)</f>
        <v>3</v>
      </c>
      <c r="S309">
        <f>VLOOKUP(Table5[[#This Row],[Shortname]], Comp[], 16, FALSE)</f>
        <v>0</v>
      </c>
      <c r="T309">
        <f>VLOOKUP(Table5[[#This Row],[Shortname]], Comp[], 17, FALSE)</f>
        <v>0</v>
      </c>
      <c r="U309">
        <f>VLOOKUP(Table5[[#This Row],[Shortname]], Comp[], 18, FALSE)</f>
        <v>0</v>
      </c>
      <c r="V309">
        <f>VLOOKUP(Table5[[#This Row],[Shortname]], Comp[], 19, FALSE)</f>
        <v>0.04</v>
      </c>
      <c r="W309">
        <f>VLOOKUP(Table5[[#This Row],[Shortname]], Comp[], 20, FALSE)</f>
        <v>0</v>
      </c>
      <c r="X309">
        <f>VLOOKUP(Table5[[#This Row],[Shortname]], Comp[], 21, FALSE)</f>
        <v>0</v>
      </c>
      <c r="Y309">
        <f>VLOOKUP(Table5[[#This Row],[Shortname]], Comp[], 22, FALSE)</f>
        <v>0</v>
      </c>
      <c r="Z309">
        <f>VLOOKUP(Table5[[#This Row],[Shortname]], Comp[], 23, FALSE)</f>
        <v>0</v>
      </c>
      <c r="AA309">
        <f>VLOOKUP(Table5[[#This Row],[Shortname]], Comp[], 24, FALSE)</f>
        <v>0</v>
      </c>
      <c r="AB309">
        <f>VLOOKUP(Table5[[#This Row],[Shortname]], Comp[], 25, FALSE)</f>
        <v>0</v>
      </c>
      <c r="AC309">
        <f>VLOOKUP(Table5[[#This Row],[Shortname]], Comp[], 26, FALSE)</f>
        <v>0</v>
      </c>
      <c r="AD309">
        <f>VLOOKUP(Table5[[#This Row],[Shortname]], Comp[], 27, FALSE)</f>
        <v>0</v>
      </c>
      <c r="AE309">
        <f>VLOOKUP(Table5[[#This Row],[Shortname]], Comp[], 28, FALSE)</f>
        <v>0</v>
      </c>
      <c r="AF309">
        <f>VLOOKUP(Table5[[#This Row],[Shortname]], Comp[], 29, FALSE)</f>
        <v>0</v>
      </c>
      <c r="AG309">
        <f>VLOOKUP(Table5[[#This Row],[Shortname]], Comp[], 30, FALSE)</f>
        <v>0</v>
      </c>
      <c r="AH309">
        <f>VLOOKUP(Table5[[#This Row],[Shortname]], Comp[], 31, FALSE)</f>
        <v>0</v>
      </c>
    </row>
    <row r="310" spans="1:34" x14ac:dyDescent="0.3">
      <c r="A310" s="7" t="s">
        <v>3085</v>
      </c>
      <c r="B310">
        <v>320</v>
      </c>
      <c r="C310" s="7" t="str">
        <f>VLOOKUP(Table5[[#This Row],[Shortname]], [1]!comp[#Data], 2, FALSE)</f>
        <v>CoAlWX+</v>
      </c>
      <c r="D310" s="7" t="s">
        <v>2526</v>
      </c>
      <c r="E310" t="s">
        <v>6737</v>
      </c>
      <c r="F310">
        <v>1087</v>
      </c>
      <c r="G310">
        <v>1362</v>
      </c>
      <c r="H310">
        <v>1423</v>
      </c>
      <c r="J310" s="14">
        <f>VLOOKUP(Table5[[#This Row],[Shortname]], Comp[], 7, FALSE)</f>
        <v>78.3</v>
      </c>
      <c r="K310">
        <f>VLOOKUP(Table5[[#This Row],[Shortname]], Comp[], 8, FALSE)</f>
        <v>0</v>
      </c>
      <c r="L310">
        <f>VLOOKUP(Table5[[#This Row],[Shortname]], Comp[], 9, FALSE)</f>
        <v>10.6</v>
      </c>
      <c r="M310">
        <f>VLOOKUP(Table5[[#This Row],[Shortname]], Comp[], 10, FALSE)</f>
        <v>0</v>
      </c>
      <c r="N310">
        <f>VLOOKUP(Table5[[#This Row],[Shortname]], Comp[], 11, FALSE)</f>
        <v>8.3000000000000007</v>
      </c>
      <c r="O310">
        <f>VLOOKUP(Table5[[#This Row],[Shortname]], Comp[],12, FALSE)</f>
        <v>1.6</v>
      </c>
      <c r="P310">
        <f>VLOOKUP(Table5[[#This Row],[Shortname]], Comp[], 13, FALSE)</f>
        <v>0</v>
      </c>
      <c r="Q310">
        <f>VLOOKUP(Table5[[#This Row],[Shortname]], Comp[], 14, FALSE)</f>
        <v>1.2</v>
      </c>
      <c r="R310">
        <f>VLOOKUP(Table5[[#This Row],[Shortname]], Comp[], 15, FALSE)</f>
        <v>0</v>
      </c>
      <c r="S310">
        <f>VLOOKUP(Table5[[#This Row],[Shortname]], Comp[], 16, FALSE)</f>
        <v>0</v>
      </c>
      <c r="T310">
        <f>VLOOKUP(Table5[[#This Row],[Shortname]], Comp[], 17, FALSE)</f>
        <v>0</v>
      </c>
      <c r="U310">
        <f>VLOOKUP(Table5[[#This Row],[Shortname]], Comp[], 18, FALSE)</f>
        <v>0</v>
      </c>
      <c r="V310">
        <f>VLOOKUP(Table5[[#This Row],[Shortname]], Comp[], 19, FALSE)</f>
        <v>0</v>
      </c>
      <c r="W310">
        <f>VLOOKUP(Table5[[#This Row],[Shortname]], Comp[], 20, FALSE)</f>
        <v>0</v>
      </c>
      <c r="X310">
        <f>VLOOKUP(Table5[[#This Row],[Shortname]], Comp[], 21, FALSE)</f>
        <v>0</v>
      </c>
      <c r="Y310">
        <f>VLOOKUP(Table5[[#This Row],[Shortname]], Comp[], 22, FALSE)</f>
        <v>0</v>
      </c>
      <c r="Z310">
        <f>VLOOKUP(Table5[[#This Row],[Shortname]], Comp[], 23, FALSE)</f>
        <v>0</v>
      </c>
      <c r="AA310">
        <f>VLOOKUP(Table5[[#This Row],[Shortname]], Comp[], 24, FALSE)</f>
        <v>0</v>
      </c>
      <c r="AB310">
        <f>VLOOKUP(Table5[[#This Row],[Shortname]], Comp[], 25, FALSE)</f>
        <v>0</v>
      </c>
      <c r="AC310">
        <f>VLOOKUP(Table5[[#This Row],[Shortname]], Comp[], 26, FALSE)</f>
        <v>0</v>
      </c>
      <c r="AD310">
        <f>VLOOKUP(Table5[[#This Row],[Shortname]], Comp[], 27, FALSE)</f>
        <v>0</v>
      </c>
      <c r="AE310">
        <f>VLOOKUP(Table5[[#This Row],[Shortname]], Comp[], 28, FALSE)</f>
        <v>0</v>
      </c>
      <c r="AF310">
        <f>VLOOKUP(Table5[[#This Row],[Shortname]], Comp[], 29, FALSE)</f>
        <v>0</v>
      </c>
      <c r="AG310">
        <f>VLOOKUP(Table5[[#This Row],[Shortname]], Comp[], 30, FALSE)</f>
        <v>0</v>
      </c>
      <c r="AH310">
        <f>VLOOKUP(Table5[[#This Row],[Shortname]], Comp[], 31, FALSE)</f>
        <v>0</v>
      </c>
    </row>
    <row r="311" spans="1:34" x14ac:dyDescent="0.3">
      <c r="A311" s="7" t="s">
        <v>3093</v>
      </c>
      <c r="B311">
        <v>321</v>
      </c>
      <c r="C311" s="7" t="str">
        <f>VLOOKUP(Table5[[#This Row],[Shortname]], [1]!comp[#Data], 2, FALSE)</f>
        <v>CoAlWX+</v>
      </c>
      <c r="D311" s="7" t="s">
        <v>2534</v>
      </c>
      <c r="E311" t="s">
        <v>6737</v>
      </c>
      <c r="F311">
        <v>1074</v>
      </c>
      <c r="G311">
        <v>1370</v>
      </c>
      <c r="H311">
        <v>1430</v>
      </c>
      <c r="J311" s="14">
        <f>VLOOKUP(Table5[[#This Row],[Shortname]], Comp[], 7, FALSE)</f>
        <v>78.8</v>
      </c>
      <c r="K311">
        <f>VLOOKUP(Table5[[#This Row],[Shortname]], Comp[], 8, FALSE)</f>
        <v>0</v>
      </c>
      <c r="L311">
        <f>VLOOKUP(Table5[[#This Row],[Shortname]], Comp[], 9, FALSE)</f>
        <v>11.3</v>
      </c>
      <c r="M311">
        <f>VLOOKUP(Table5[[#This Row],[Shortname]], Comp[], 10, FALSE)</f>
        <v>0</v>
      </c>
      <c r="N311">
        <f>VLOOKUP(Table5[[#This Row],[Shortname]], Comp[], 11, FALSE)</f>
        <v>7.9</v>
      </c>
      <c r="O311">
        <f>VLOOKUP(Table5[[#This Row],[Shortname]], Comp[],12, FALSE)</f>
        <v>0</v>
      </c>
      <c r="P311">
        <f>VLOOKUP(Table5[[#This Row],[Shortname]], Comp[], 13, FALSE)</f>
        <v>1.1000000000000001</v>
      </c>
      <c r="Q311">
        <f>VLOOKUP(Table5[[#This Row],[Shortname]], Comp[], 14, FALSE)</f>
        <v>0.9</v>
      </c>
      <c r="R311">
        <f>VLOOKUP(Table5[[#This Row],[Shortname]], Comp[], 15, FALSE)</f>
        <v>0</v>
      </c>
      <c r="S311">
        <f>VLOOKUP(Table5[[#This Row],[Shortname]], Comp[], 16, FALSE)</f>
        <v>0</v>
      </c>
      <c r="T311">
        <f>VLOOKUP(Table5[[#This Row],[Shortname]], Comp[], 17, FALSE)</f>
        <v>0</v>
      </c>
      <c r="U311">
        <f>VLOOKUP(Table5[[#This Row],[Shortname]], Comp[], 18, FALSE)</f>
        <v>0</v>
      </c>
      <c r="V311">
        <f>VLOOKUP(Table5[[#This Row],[Shortname]], Comp[], 19, FALSE)</f>
        <v>0</v>
      </c>
      <c r="W311">
        <f>VLOOKUP(Table5[[#This Row],[Shortname]], Comp[], 20, FALSE)</f>
        <v>0</v>
      </c>
      <c r="X311">
        <f>VLOOKUP(Table5[[#This Row],[Shortname]], Comp[], 21, FALSE)</f>
        <v>0</v>
      </c>
      <c r="Y311">
        <f>VLOOKUP(Table5[[#This Row],[Shortname]], Comp[], 22, FALSE)</f>
        <v>0</v>
      </c>
      <c r="Z311">
        <f>VLOOKUP(Table5[[#This Row],[Shortname]], Comp[], 23, FALSE)</f>
        <v>0</v>
      </c>
      <c r="AA311">
        <f>VLOOKUP(Table5[[#This Row],[Shortname]], Comp[], 24, FALSE)</f>
        <v>0</v>
      </c>
      <c r="AB311">
        <f>VLOOKUP(Table5[[#This Row],[Shortname]], Comp[], 25, FALSE)</f>
        <v>0</v>
      </c>
      <c r="AC311">
        <f>VLOOKUP(Table5[[#This Row],[Shortname]], Comp[], 26, FALSE)</f>
        <v>0</v>
      </c>
      <c r="AD311">
        <f>VLOOKUP(Table5[[#This Row],[Shortname]], Comp[], 27, FALSE)</f>
        <v>0</v>
      </c>
      <c r="AE311">
        <f>VLOOKUP(Table5[[#This Row],[Shortname]], Comp[], 28, FALSE)</f>
        <v>0</v>
      </c>
      <c r="AF311">
        <f>VLOOKUP(Table5[[#This Row],[Shortname]], Comp[], 29, FALSE)</f>
        <v>0</v>
      </c>
      <c r="AG311">
        <f>VLOOKUP(Table5[[#This Row],[Shortname]], Comp[], 30, FALSE)</f>
        <v>0</v>
      </c>
      <c r="AH311">
        <f>VLOOKUP(Table5[[#This Row],[Shortname]], Comp[], 31, FALSE)</f>
        <v>0</v>
      </c>
    </row>
    <row r="312" spans="1:34" x14ac:dyDescent="0.3">
      <c r="A312" s="7" t="s">
        <v>2989</v>
      </c>
      <c r="B312">
        <v>322</v>
      </c>
      <c r="C312" s="7" t="str">
        <f>VLOOKUP(Table5[[#This Row],[Shortname]], [1]!comp[#Data], 2, FALSE)</f>
        <v>W-free</v>
      </c>
      <c r="D312" s="7" t="s">
        <v>3118</v>
      </c>
      <c r="E312" t="s">
        <v>6738</v>
      </c>
      <c r="F312">
        <v>1044</v>
      </c>
      <c r="G312">
        <v>1324</v>
      </c>
      <c r="J312" s="14">
        <f>VLOOKUP(Table5[[#This Row],[Shortname]], Comp[], 7, FALSE)</f>
        <v>84</v>
      </c>
      <c r="K312">
        <f>VLOOKUP(Table5[[#This Row],[Shortname]], Comp[], 8, FALSE)</f>
        <v>0</v>
      </c>
      <c r="L312">
        <f>VLOOKUP(Table5[[#This Row],[Shortname]], Comp[], 9, FALSE)</f>
        <v>0</v>
      </c>
      <c r="M312">
        <f>VLOOKUP(Table5[[#This Row],[Shortname]], Comp[], 10, FALSE)</f>
        <v>0</v>
      </c>
      <c r="N312">
        <f>VLOOKUP(Table5[[#This Row],[Shortname]], Comp[], 11, FALSE)</f>
        <v>0</v>
      </c>
      <c r="O312">
        <f>VLOOKUP(Table5[[#This Row],[Shortname]], Comp[],12, FALSE)</f>
        <v>2</v>
      </c>
      <c r="P312">
        <f>VLOOKUP(Table5[[#This Row],[Shortname]], Comp[], 13, FALSE)</f>
        <v>2</v>
      </c>
      <c r="Q312">
        <f>VLOOKUP(Table5[[#This Row],[Shortname]], Comp[], 14, FALSE)</f>
        <v>0</v>
      </c>
      <c r="R312">
        <f>VLOOKUP(Table5[[#This Row],[Shortname]], Comp[], 15, FALSE)</f>
        <v>12</v>
      </c>
      <c r="S312">
        <f>VLOOKUP(Table5[[#This Row],[Shortname]], Comp[], 16, FALSE)</f>
        <v>0</v>
      </c>
      <c r="T312">
        <f>VLOOKUP(Table5[[#This Row],[Shortname]], Comp[], 17, FALSE)</f>
        <v>0</v>
      </c>
      <c r="U312">
        <f>VLOOKUP(Table5[[#This Row],[Shortname]], Comp[], 18, FALSE)</f>
        <v>0</v>
      </c>
      <c r="V312">
        <f>VLOOKUP(Table5[[#This Row],[Shortname]], Comp[], 19, FALSE)</f>
        <v>0</v>
      </c>
      <c r="W312">
        <f>VLOOKUP(Table5[[#This Row],[Shortname]], Comp[], 20, FALSE)</f>
        <v>0</v>
      </c>
      <c r="X312">
        <f>VLOOKUP(Table5[[#This Row],[Shortname]], Comp[], 21, FALSE)</f>
        <v>0</v>
      </c>
      <c r="Y312">
        <f>VLOOKUP(Table5[[#This Row],[Shortname]], Comp[], 22, FALSE)</f>
        <v>0</v>
      </c>
      <c r="Z312">
        <f>VLOOKUP(Table5[[#This Row],[Shortname]], Comp[], 23, FALSE)</f>
        <v>0</v>
      </c>
      <c r="AA312">
        <f>VLOOKUP(Table5[[#This Row],[Shortname]], Comp[], 24, FALSE)</f>
        <v>0</v>
      </c>
      <c r="AB312">
        <f>VLOOKUP(Table5[[#This Row],[Shortname]], Comp[], 25, FALSE)</f>
        <v>0</v>
      </c>
      <c r="AC312">
        <f>VLOOKUP(Table5[[#This Row],[Shortname]], Comp[], 26, FALSE)</f>
        <v>0</v>
      </c>
      <c r="AD312">
        <f>VLOOKUP(Table5[[#This Row],[Shortname]], Comp[], 27, FALSE)</f>
        <v>0</v>
      </c>
      <c r="AE312">
        <f>VLOOKUP(Table5[[#This Row],[Shortname]], Comp[], 28, FALSE)</f>
        <v>0</v>
      </c>
      <c r="AF312">
        <f>VLOOKUP(Table5[[#This Row],[Shortname]], Comp[], 29, FALSE)</f>
        <v>0</v>
      </c>
      <c r="AG312">
        <f>VLOOKUP(Table5[[#This Row],[Shortname]], Comp[], 30, FALSE)</f>
        <v>0</v>
      </c>
      <c r="AH312">
        <f>VLOOKUP(Table5[[#This Row],[Shortname]], Comp[], 31, FALSE)</f>
        <v>0</v>
      </c>
    </row>
    <row r="313" spans="1:34" x14ac:dyDescent="0.3">
      <c r="A313" s="7" t="s">
        <v>3138</v>
      </c>
      <c r="B313">
        <v>323</v>
      </c>
      <c r="C313" s="7" t="str">
        <f>VLOOKUP(Table5[[#This Row],[Shortname]], [1]!comp[#Data], 2, FALSE)</f>
        <v>W-free</v>
      </c>
      <c r="D313" s="7" t="s">
        <v>3140</v>
      </c>
      <c r="E313" t="s">
        <v>6738</v>
      </c>
      <c r="F313">
        <v>983</v>
      </c>
      <c r="G313">
        <v>1371</v>
      </c>
      <c r="I313" t="s">
        <v>6739</v>
      </c>
      <c r="J313" s="14">
        <f>VLOOKUP(Table5[[#This Row],[Shortname]], Comp[], 7, FALSE)</f>
        <v>84</v>
      </c>
      <c r="K313">
        <f>VLOOKUP(Table5[[#This Row],[Shortname]], Comp[], 8, FALSE)</f>
        <v>0</v>
      </c>
      <c r="L313">
        <f>VLOOKUP(Table5[[#This Row],[Shortname]], Comp[], 9, FALSE)</f>
        <v>2</v>
      </c>
      <c r="M313">
        <f>VLOOKUP(Table5[[#This Row],[Shortname]], Comp[], 10, FALSE)</f>
        <v>0</v>
      </c>
      <c r="N313">
        <f>VLOOKUP(Table5[[#This Row],[Shortname]], Comp[], 11, FALSE)</f>
        <v>0</v>
      </c>
      <c r="O313">
        <f>VLOOKUP(Table5[[#This Row],[Shortname]], Comp[],12, FALSE)</f>
        <v>0</v>
      </c>
      <c r="P313">
        <f>VLOOKUP(Table5[[#This Row],[Shortname]], Comp[], 13, FALSE)</f>
        <v>2</v>
      </c>
      <c r="Q313">
        <f>VLOOKUP(Table5[[#This Row],[Shortname]], Comp[], 14, FALSE)</f>
        <v>0</v>
      </c>
      <c r="R313">
        <f>VLOOKUP(Table5[[#This Row],[Shortname]], Comp[], 15, FALSE)</f>
        <v>12</v>
      </c>
      <c r="S313">
        <f>VLOOKUP(Table5[[#This Row],[Shortname]], Comp[], 16, FALSE)</f>
        <v>0</v>
      </c>
      <c r="T313">
        <f>VLOOKUP(Table5[[#This Row],[Shortname]], Comp[], 17, FALSE)</f>
        <v>0</v>
      </c>
      <c r="U313">
        <f>VLOOKUP(Table5[[#This Row],[Shortname]], Comp[], 18, FALSE)</f>
        <v>0</v>
      </c>
      <c r="V313">
        <f>VLOOKUP(Table5[[#This Row],[Shortname]], Comp[], 19, FALSE)</f>
        <v>0</v>
      </c>
      <c r="W313">
        <f>VLOOKUP(Table5[[#This Row],[Shortname]], Comp[], 20, FALSE)</f>
        <v>0</v>
      </c>
      <c r="X313">
        <f>VLOOKUP(Table5[[#This Row],[Shortname]], Comp[], 21, FALSE)</f>
        <v>0</v>
      </c>
      <c r="Y313">
        <f>VLOOKUP(Table5[[#This Row],[Shortname]], Comp[], 22, FALSE)</f>
        <v>0</v>
      </c>
      <c r="Z313">
        <f>VLOOKUP(Table5[[#This Row],[Shortname]], Comp[], 23, FALSE)</f>
        <v>0</v>
      </c>
      <c r="AA313">
        <f>VLOOKUP(Table5[[#This Row],[Shortname]], Comp[], 24, FALSE)</f>
        <v>0</v>
      </c>
      <c r="AB313">
        <f>VLOOKUP(Table5[[#This Row],[Shortname]], Comp[], 25, FALSE)</f>
        <v>0</v>
      </c>
      <c r="AC313">
        <f>VLOOKUP(Table5[[#This Row],[Shortname]], Comp[], 26, FALSE)</f>
        <v>0</v>
      </c>
      <c r="AD313">
        <f>VLOOKUP(Table5[[#This Row],[Shortname]], Comp[], 27, FALSE)</f>
        <v>0</v>
      </c>
      <c r="AE313">
        <f>VLOOKUP(Table5[[#This Row],[Shortname]], Comp[], 28, FALSE)</f>
        <v>0</v>
      </c>
      <c r="AF313">
        <f>VLOOKUP(Table5[[#This Row],[Shortname]], Comp[], 29, FALSE)</f>
        <v>0</v>
      </c>
      <c r="AG313">
        <f>VLOOKUP(Table5[[#This Row],[Shortname]], Comp[], 30, FALSE)</f>
        <v>0</v>
      </c>
      <c r="AH313">
        <f>VLOOKUP(Table5[[#This Row],[Shortname]], Comp[], 31, FALSE)</f>
        <v>0</v>
      </c>
    </row>
    <row r="314" spans="1:34" x14ac:dyDescent="0.3">
      <c r="A314" s="7" t="s">
        <v>3132</v>
      </c>
      <c r="B314">
        <v>324</v>
      </c>
      <c r="C314" s="7" t="str">
        <f>VLOOKUP(Table5[[#This Row],[Shortname]], [1]!comp[#Data], 2, FALSE)</f>
        <v>W-free</v>
      </c>
      <c r="D314" s="7" t="s">
        <v>3134</v>
      </c>
      <c r="E314" t="s">
        <v>6738</v>
      </c>
      <c r="F314">
        <v>974</v>
      </c>
      <c r="G314">
        <v>1379</v>
      </c>
      <c r="J314" s="14">
        <f>VLOOKUP(Table5[[#This Row],[Shortname]], Comp[], 7, FALSE)</f>
        <v>86</v>
      </c>
      <c r="K314">
        <f>VLOOKUP(Table5[[#This Row],[Shortname]], Comp[], 8, FALSE)</f>
        <v>0</v>
      </c>
      <c r="L314">
        <f>VLOOKUP(Table5[[#This Row],[Shortname]], Comp[], 9, FALSE)</f>
        <v>0</v>
      </c>
      <c r="M314">
        <f>VLOOKUP(Table5[[#This Row],[Shortname]], Comp[], 10, FALSE)</f>
        <v>0</v>
      </c>
      <c r="N314">
        <f>VLOOKUP(Table5[[#This Row],[Shortname]], Comp[], 11, FALSE)</f>
        <v>0</v>
      </c>
      <c r="O314">
        <f>VLOOKUP(Table5[[#This Row],[Shortname]], Comp[],12, FALSE)</f>
        <v>0</v>
      </c>
      <c r="P314">
        <f>VLOOKUP(Table5[[#This Row],[Shortname]], Comp[], 13, FALSE)</f>
        <v>2</v>
      </c>
      <c r="Q314">
        <f>VLOOKUP(Table5[[#This Row],[Shortname]], Comp[], 14, FALSE)</f>
        <v>0</v>
      </c>
      <c r="R314">
        <f>VLOOKUP(Table5[[#This Row],[Shortname]], Comp[], 15, FALSE)</f>
        <v>12</v>
      </c>
      <c r="S314">
        <f>VLOOKUP(Table5[[#This Row],[Shortname]], Comp[], 16, FALSE)</f>
        <v>0</v>
      </c>
      <c r="T314">
        <f>VLOOKUP(Table5[[#This Row],[Shortname]], Comp[], 17, FALSE)</f>
        <v>0</v>
      </c>
      <c r="U314">
        <f>VLOOKUP(Table5[[#This Row],[Shortname]], Comp[], 18, FALSE)</f>
        <v>0</v>
      </c>
      <c r="V314">
        <f>VLOOKUP(Table5[[#This Row],[Shortname]], Comp[], 19, FALSE)</f>
        <v>0</v>
      </c>
      <c r="W314">
        <f>VLOOKUP(Table5[[#This Row],[Shortname]], Comp[], 20, FALSE)</f>
        <v>0</v>
      </c>
      <c r="X314">
        <f>VLOOKUP(Table5[[#This Row],[Shortname]], Comp[], 21, FALSE)</f>
        <v>0</v>
      </c>
      <c r="Y314">
        <f>VLOOKUP(Table5[[#This Row],[Shortname]], Comp[], 22, FALSE)</f>
        <v>0</v>
      </c>
      <c r="Z314">
        <f>VLOOKUP(Table5[[#This Row],[Shortname]], Comp[], 23, FALSE)</f>
        <v>0</v>
      </c>
      <c r="AA314">
        <f>VLOOKUP(Table5[[#This Row],[Shortname]], Comp[], 24, FALSE)</f>
        <v>0</v>
      </c>
      <c r="AB314">
        <f>VLOOKUP(Table5[[#This Row],[Shortname]], Comp[], 25, FALSE)</f>
        <v>0</v>
      </c>
      <c r="AC314">
        <f>VLOOKUP(Table5[[#This Row],[Shortname]], Comp[], 26, FALSE)</f>
        <v>0</v>
      </c>
      <c r="AD314">
        <f>VLOOKUP(Table5[[#This Row],[Shortname]], Comp[], 27, FALSE)</f>
        <v>0</v>
      </c>
      <c r="AE314">
        <f>VLOOKUP(Table5[[#This Row],[Shortname]], Comp[], 28, FALSE)</f>
        <v>0</v>
      </c>
      <c r="AF314">
        <f>VLOOKUP(Table5[[#This Row],[Shortname]], Comp[], 29, FALSE)</f>
        <v>0</v>
      </c>
      <c r="AG314">
        <f>VLOOKUP(Table5[[#This Row],[Shortname]], Comp[], 30, FALSE)</f>
        <v>0</v>
      </c>
      <c r="AH314">
        <f>VLOOKUP(Table5[[#This Row],[Shortname]], Comp[], 31, FALSE)</f>
        <v>0</v>
      </c>
    </row>
    <row r="315" spans="1:34" x14ac:dyDescent="0.3">
      <c r="A315" s="7" t="s">
        <v>3162</v>
      </c>
      <c r="B315">
        <v>325</v>
      </c>
      <c r="C315" s="7" t="str">
        <f>VLOOKUP(Table5[[#This Row],[Shortname]], [1]!comp[#Data], 2, FALSE)</f>
        <v>W-free</v>
      </c>
      <c r="D315" s="7" t="s">
        <v>3164</v>
      </c>
      <c r="E315" t="s">
        <v>6740</v>
      </c>
      <c r="F315">
        <v>1112</v>
      </c>
      <c r="H315">
        <v>1273</v>
      </c>
      <c r="I315" t="s">
        <v>6712</v>
      </c>
      <c r="J315" s="14">
        <f>VLOOKUP(Table5[[#This Row],[Shortname]], Comp[], 7, FALSE)</f>
        <v>78</v>
      </c>
      <c r="K315">
        <f>VLOOKUP(Table5[[#This Row],[Shortname]], Comp[], 8, FALSE)</f>
        <v>0</v>
      </c>
      <c r="L315">
        <f>VLOOKUP(Table5[[#This Row],[Shortname]], Comp[], 9, FALSE)</f>
        <v>2</v>
      </c>
      <c r="M315">
        <f>VLOOKUP(Table5[[#This Row],[Shortname]], Comp[], 10, FALSE)</f>
        <v>0</v>
      </c>
      <c r="N315">
        <f>VLOOKUP(Table5[[#This Row],[Shortname]], Comp[], 11, FALSE)</f>
        <v>0</v>
      </c>
      <c r="O315">
        <f>VLOOKUP(Table5[[#This Row],[Shortname]], Comp[],12, FALSE)</f>
        <v>5</v>
      </c>
      <c r="P315">
        <f>VLOOKUP(Table5[[#This Row],[Shortname]], Comp[], 13, FALSE)</f>
        <v>0</v>
      </c>
      <c r="Q315">
        <f>VLOOKUP(Table5[[#This Row],[Shortname]], Comp[], 14, FALSE)</f>
        <v>0</v>
      </c>
      <c r="R315">
        <f>VLOOKUP(Table5[[#This Row],[Shortname]], Comp[], 15, FALSE)</f>
        <v>15</v>
      </c>
      <c r="S315">
        <f>VLOOKUP(Table5[[#This Row],[Shortname]], Comp[], 16, FALSE)</f>
        <v>0</v>
      </c>
      <c r="T315">
        <f>VLOOKUP(Table5[[#This Row],[Shortname]], Comp[], 17, FALSE)</f>
        <v>0</v>
      </c>
      <c r="U315">
        <f>VLOOKUP(Table5[[#This Row],[Shortname]], Comp[], 18, FALSE)</f>
        <v>0</v>
      </c>
      <c r="V315">
        <f>VLOOKUP(Table5[[#This Row],[Shortname]], Comp[], 19, FALSE)</f>
        <v>0</v>
      </c>
      <c r="W315">
        <f>VLOOKUP(Table5[[#This Row],[Shortname]], Comp[], 20, FALSE)</f>
        <v>0</v>
      </c>
      <c r="X315">
        <f>VLOOKUP(Table5[[#This Row],[Shortname]], Comp[], 21, FALSE)</f>
        <v>0</v>
      </c>
      <c r="Y315">
        <f>VLOOKUP(Table5[[#This Row],[Shortname]], Comp[], 22, FALSE)</f>
        <v>0</v>
      </c>
      <c r="Z315">
        <f>VLOOKUP(Table5[[#This Row],[Shortname]], Comp[], 23, FALSE)</f>
        <v>0</v>
      </c>
      <c r="AA315">
        <f>VLOOKUP(Table5[[#This Row],[Shortname]], Comp[], 24, FALSE)</f>
        <v>0</v>
      </c>
      <c r="AB315">
        <f>VLOOKUP(Table5[[#This Row],[Shortname]], Comp[], 25, FALSE)</f>
        <v>0</v>
      </c>
      <c r="AC315">
        <f>VLOOKUP(Table5[[#This Row],[Shortname]], Comp[], 26, FALSE)</f>
        <v>0</v>
      </c>
      <c r="AD315">
        <f>VLOOKUP(Table5[[#This Row],[Shortname]], Comp[], 27, FALSE)</f>
        <v>0</v>
      </c>
      <c r="AE315">
        <f>VLOOKUP(Table5[[#This Row],[Shortname]], Comp[], 28, FALSE)</f>
        <v>0</v>
      </c>
      <c r="AF315">
        <f>VLOOKUP(Table5[[#This Row],[Shortname]], Comp[], 29, FALSE)</f>
        <v>0</v>
      </c>
      <c r="AG315">
        <f>VLOOKUP(Table5[[#This Row],[Shortname]], Comp[], 30, FALSE)</f>
        <v>0</v>
      </c>
      <c r="AH315">
        <f>VLOOKUP(Table5[[#This Row],[Shortname]], Comp[], 31, FALSE)</f>
        <v>0</v>
      </c>
    </row>
    <row r="316" spans="1:34" x14ac:dyDescent="0.3">
      <c r="A316" s="7" t="s">
        <v>3154</v>
      </c>
      <c r="B316">
        <v>326</v>
      </c>
      <c r="C316" s="7" t="str">
        <f>VLOOKUP(Table5[[#This Row],[Shortname]], [1]!comp[#Data], 2, FALSE)</f>
        <v>W-free</v>
      </c>
      <c r="D316" s="7" t="s">
        <v>3156</v>
      </c>
      <c r="E316" t="s">
        <v>6740</v>
      </c>
      <c r="F316">
        <v>1091</v>
      </c>
      <c r="H316">
        <v>1292</v>
      </c>
      <c r="I316" t="s">
        <v>6712</v>
      </c>
      <c r="J316" s="14">
        <f>VLOOKUP(Table5[[#This Row],[Shortname]], Comp[], 7, FALSE)</f>
        <v>80</v>
      </c>
      <c r="K316">
        <f>VLOOKUP(Table5[[#This Row],[Shortname]], Comp[], 8, FALSE)</f>
        <v>0</v>
      </c>
      <c r="L316">
        <f>VLOOKUP(Table5[[#This Row],[Shortname]], Comp[], 9, FALSE)</f>
        <v>0</v>
      </c>
      <c r="M316">
        <f>VLOOKUP(Table5[[#This Row],[Shortname]], Comp[], 10, FALSE)</f>
        <v>0</v>
      </c>
      <c r="N316">
        <f>VLOOKUP(Table5[[#This Row],[Shortname]], Comp[], 11, FALSE)</f>
        <v>0</v>
      </c>
      <c r="O316">
        <f>VLOOKUP(Table5[[#This Row],[Shortname]], Comp[],12, FALSE)</f>
        <v>5</v>
      </c>
      <c r="P316">
        <f>VLOOKUP(Table5[[#This Row],[Shortname]], Comp[], 13, FALSE)</f>
        <v>0</v>
      </c>
      <c r="Q316">
        <f>VLOOKUP(Table5[[#This Row],[Shortname]], Comp[], 14, FALSE)</f>
        <v>0</v>
      </c>
      <c r="R316">
        <f>VLOOKUP(Table5[[#This Row],[Shortname]], Comp[], 15, FALSE)</f>
        <v>15</v>
      </c>
      <c r="S316">
        <f>VLOOKUP(Table5[[#This Row],[Shortname]], Comp[], 16, FALSE)</f>
        <v>0</v>
      </c>
      <c r="T316">
        <f>VLOOKUP(Table5[[#This Row],[Shortname]], Comp[], 17, FALSE)</f>
        <v>0</v>
      </c>
      <c r="U316">
        <f>VLOOKUP(Table5[[#This Row],[Shortname]], Comp[], 18, FALSE)</f>
        <v>0</v>
      </c>
      <c r="V316">
        <f>VLOOKUP(Table5[[#This Row],[Shortname]], Comp[], 19, FALSE)</f>
        <v>0</v>
      </c>
      <c r="W316">
        <f>VLOOKUP(Table5[[#This Row],[Shortname]], Comp[], 20, FALSE)</f>
        <v>0</v>
      </c>
      <c r="X316">
        <f>VLOOKUP(Table5[[#This Row],[Shortname]], Comp[], 21, FALSE)</f>
        <v>0</v>
      </c>
      <c r="Y316">
        <f>VLOOKUP(Table5[[#This Row],[Shortname]], Comp[], 22, FALSE)</f>
        <v>0</v>
      </c>
      <c r="Z316">
        <f>VLOOKUP(Table5[[#This Row],[Shortname]], Comp[], 23, FALSE)</f>
        <v>0</v>
      </c>
      <c r="AA316">
        <f>VLOOKUP(Table5[[#This Row],[Shortname]], Comp[], 24, FALSE)</f>
        <v>0</v>
      </c>
      <c r="AB316">
        <f>VLOOKUP(Table5[[#This Row],[Shortname]], Comp[], 25, FALSE)</f>
        <v>0</v>
      </c>
      <c r="AC316">
        <f>VLOOKUP(Table5[[#This Row],[Shortname]], Comp[], 26, FALSE)</f>
        <v>0</v>
      </c>
      <c r="AD316">
        <f>VLOOKUP(Table5[[#This Row],[Shortname]], Comp[], 27, FALSE)</f>
        <v>0</v>
      </c>
      <c r="AE316">
        <f>VLOOKUP(Table5[[#This Row],[Shortname]], Comp[], 28, FALSE)</f>
        <v>0</v>
      </c>
      <c r="AF316">
        <f>VLOOKUP(Table5[[#This Row],[Shortname]], Comp[], 29, FALSE)</f>
        <v>0</v>
      </c>
      <c r="AG316">
        <f>VLOOKUP(Table5[[#This Row],[Shortname]], Comp[], 30, FALSE)</f>
        <v>0</v>
      </c>
      <c r="AH316">
        <f>VLOOKUP(Table5[[#This Row],[Shortname]], Comp[], 31, FALSE)</f>
        <v>0</v>
      </c>
    </row>
    <row r="317" spans="1:34" x14ac:dyDescent="0.3">
      <c r="A317" s="7" t="s">
        <v>3168</v>
      </c>
      <c r="B317">
        <v>327</v>
      </c>
      <c r="C317" s="7" t="str">
        <f>VLOOKUP(Table5[[#This Row],[Shortname]], [1]!comp[#Data], 2, FALSE)</f>
        <v>W-free</v>
      </c>
      <c r="D317" s="7" t="s">
        <v>3170</v>
      </c>
      <c r="E317" t="s">
        <v>6740</v>
      </c>
      <c r="F317">
        <v>1082</v>
      </c>
      <c r="H317">
        <v>1300</v>
      </c>
      <c r="I317" t="s">
        <v>6712</v>
      </c>
      <c r="J317" s="14">
        <f>VLOOKUP(Table5[[#This Row],[Shortname]], Comp[], 7, FALSE)</f>
        <v>78</v>
      </c>
      <c r="K317">
        <f>VLOOKUP(Table5[[#This Row],[Shortname]], Comp[], 8, FALSE)</f>
        <v>2</v>
      </c>
      <c r="L317">
        <f>VLOOKUP(Table5[[#This Row],[Shortname]], Comp[], 9, FALSE)</f>
        <v>0</v>
      </c>
      <c r="M317">
        <f>VLOOKUP(Table5[[#This Row],[Shortname]], Comp[], 10, FALSE)</f>
        <v>0</v>
      </c>
      <c r="N317">
        <f>VLOOKUP(Table5[[#This Row],[Shortname]], Comp[], 11, FALSE)</f>
        <v>0</v>
      </c>
      <c r="O317">
        <f>VLOOKUP(Table5[[#This Row],[Shortname]], Comp[],12, FALSE)</f>
        <v>5</v>
      </c>
      <c r="P317">
        <f>VLOOKUP(Table5[[#This Row],[Shortname]], Comp[], 13, FALSE)</f>
        <v>0</v>
      </c>
      <c r="Q317">
        <f>VLOOKUP(Table5[[#This Row],[Shortname]], Comp[], 14, FALSE)</f>
        <v>0</v>
      </c>
      <c r="R317">
        <f>VLOOKUP(Table5[[#This Row],[Shortname]], Comp[], 15, FALSE)</f>
        <v>15</v>
      </c>
      <c r="S317">
        <f>VLOOKUP(Table5[[#This Row],[Shortname]], Comp[], 16, FALSE)</f>
        <v>0</v>
      </c>
      <c r="T317">
        <f>VLOOKUP(Table5[[#This Row],[Shortname]], Comp[], 17, FALSE)</f>
        <v>0</v>
      </c>
      <c r="U317">
        <f>VLOOKUP(Table5[[#This Row],[Shortname]], Comp[], 18, FALSE)</f>
        <v>0</v>
      </c>
      <c r="V317">
        <f>VLOOKUP(Table5[[#This Row],[Shortname]], Comp[], 19, FALSE)</f>
        <v>0</v>
      </c>
      <c r="W317">
        <f>VLOOKUP(Table5[[#This Row],[Shortname]], Comp[], 20, FALSE)</f>
        <v>0</v>
      </c>
      <c r="X317">
        <f>VLOOKUP(Table5[[#This Row],[Shortname]], Comp[], 21, FALSE)</f>
        <v>0</v>
      </c>
      <c r="Y317">
        <f>VLOOKUP(Table5[[#This Row],[Shortname]], Comp[], 22, FALSE)</f>
        <v>0</v>
      </c>
      <c r="Z317">
        <f>VLOOKUP(Table5[[#This Row],[Shortname]], Comp[], 23, FALSE)</f>
        <v>0</v>
      </c>
      <c r="AA317">
        <f>VLOOKUP(Table5[[#This Row],[Shortname]], Comp[], 24, FALSE)</f>
        <v>0</v>
      </c>
      <c r="AB317">
        <f>VLOOKUP(Table5[[#This Row],[Shortname]], Comp[], 25, FALSE)</f>
        <v>0</v>
      </c>
      <c r="AC317">
        <f>VLOOKUP(Table5[[#This Row],[Shortname]], Comp[], 26, FALSE)</f>
        <v>0</v>
      </c>
      <c r="AD317">
        <f>VLOOKUP(Table5[[#This Row],[Shortname]], Comp[], 27, FALSE)</f>
        <v>0</v>
      </c>
      <c r="AE317">
        <f>VLOOKUP(Table5[[#This Row],[Shortname]], Comp[], 28, FALSE)</f>
        <v>0</v>
      </c>
      <c r="AF317">
        <f>VLOOKUP(Table5[[#This Row],[Shortname]], Comp[], 29, FALSE)</f>
        <v>0</v>
      </c>
      <c r="AG317">
        <f>VLOOKUP(Table5[[#This Row],[Shortname]], Comp[], 30, FALSE)</f>
        <v>0</v>
      </c>
      <c r="AH317">
        <f>VLOOKUP(Table5[[#This Row],[Shortname]], Comp[], 31, FALSE)</f>
        <v>0</v>
      </c>
    </row>
    <row r="318" spans="1:34" x14ac:dyDescent="0.3">
      <c r="A318" s="7" t="s">
        <v>1663</v>
      </c>
      <c r="B318">
        <v>328</v>
      </c>
      <c r="C318" s="7" t="str">
        <f>VLOOKUP(Table5[[#This Row],[Shortname]], [1]!comp[#Data], 2, FALSE)</f>
        <v>CoAlWX+</v>
      </c>
      <c r="D318" s="7" t="s">
        <v>5247</v>
      </c>
      <c r="E318" t="s">
        <v>6741</v>
      </c>
      <c r="F318">
        <v>1067</v>
      </c>
      <c r="J318" s="14">
        <f>VLOOKUP(Table5[[#This Row],[Shortname]], Comp[], 7, FALSE)</f>
        <v>59.199999999999996</v>
      </c>
      <c r="K318">
        <f>VLOOKUP(Table5[[#This Row],[Shortname]], Comp[], 8, FALSE)</f>
        <v>20.399999999999999</v>
      </c>
      <c r="L318">
        <f>VLOOKUP(Table5[[#This Row],[Shortname]], Comp[], 9, FALSE)</f>
        <v>9.8000000000000007</v>
      </c>
      <c r="M318">
        <f>VLOOKUP(Table5[[#This Row],[Shortname]], Comp[], 10, FALSE)</f>
        <v>0</v>
      </c>
      <c r="N318">
        <f>VLOOKUP(Table5[[#This Row],[Shortname]], Comp[], 11, FALSE)</f>
        <v>7.4</v>
      </c>
      <c r="O318">
        <f>VLOOKUP(Table5[[#This Row],[Shortname]], Comp[],12, FALSE)</f>
        <v>2.7</v>
      </c>
      <c r="P318">
        <f>VLOOKUP(Table5[[#This Row],[Shortname]], Comp[], 13, FALSE)</f>
        <v>0</v>
      </c>
      <c r="Q318">
        <f>VLOOKUP(Table5[[#This Row],[Shortname]], Comp[], 14, FALSE)</f>
        <v>0</v>
      </c>
      <c r="R318">
        <f>VLOOKUP(Table5[[#This Row],[Shortname]], Comp[], 15, FALSE)</f>
        <v>0</v>
      </c>
      <c r="S318">
        <f>VLOOKUP(Table5[[#This Row],[Shortname]], Comp[], 16, FALSE)</f>
        <v>0</v>
      </c>
      <c r="T318">
        <f>VLOOKUP(Table5[[#This Row],[Shortname]], Comp[], 17, FALSE)</f>
        <v>0.4</v>
      </c>
      <c r="U318">
        <f>VLOOKUP(Table5[[#This Row],[Shortname]], Comp[], 18, FALSE)</f>
        <v>0</v>
      </c>
      <c r="V318">
        <f>VLOOKUP(Table5[[#This Row],[Shortname]], Comp[], 19, FALSE)</f>
        <v>0.1</v>
      </c>
      <c r="W318">
        <f>VLOOKUP(Table5[[#This Row],[Shortname]], Comp[], 20, FALSE)</f>
        <v>0</v>
      </c>
      <c r="X318">
        <f>VLOOKUP(Table5[[#This Row],[Shortname]], Comp[], 21, FALSE)</f>
        <v>0</v>
      </c>
      <c r="Y318">
        <f>VLOOKUP(Table5[[#This Row],[Shortname]], Comp[], 22, FALSE)</f>
        <v>0</v>
      </c>
      <c r="Z318">
        <f>VLOOKUP(Table5[[#This Row],[Shortname]], Comp[], 23, FALSE)</f>
        <v>0</v>
      </c>
      <c r="AA318">
        <f>VLOOKUP(Table5[[#This Row],[Shortname]], Comp[], 24, FALSE)</f>
        <v>0</v>
      </c>
      <c r="AB318">
        <f>VLOOKUP(Table5[[#This Row],[Shortname]], Comp[], 25, FALSE)</f>
        <v>0</v>
      </c>
      <c r="AC318">
        <f>VLOOKUP(Table5[[#This Row],[Shortname]], Comp[], 26, FALSE)</f>
        <v>0</v>
      </c>
      <c r="AD318">
        <f>VLOOKUP(Table5[[#This Row],[Shortname]], Comp[], 27, FALSE)</f>
        <v>0</v>
      </c>
      <c r="AE318">
        <f>VLOOKUP(Table5[[#This Row],[Shortname]], Comp[], 28, FALSE)</f>
        <v>0</v>
      </c>
      <c r="AF318">
        <f>VLOOKUP(Table5[[#This Row],[Shortname]], Comp[], 29, FALSE)</f>
        <v>0</v>
      </c>
      <c r="AG318">
        <f>VLOOKUP(Table5[[#This Row],[Shortname]], Comp[], 30, FALSE)</f>
        <v>0</v>
      </c>
      <c r="AH318">
        <f>VLOOKUP(Table5[[#This Row],[Shortname]], Comp[], 31, FALSE)</f>
        <v>0</v>
      </c>
    </row>
    <row r="319" spans="1:34" x14ac:dyDescent="0.3">
      <c r="A319" t="s">
        <v>3186</v>
      </c>
      <c r="B319">
        <v>329</v>
      </c>
      <c r="C319" t="str">
        <f>VLOOKUP(Table5[[#This Row],[Shortname]], [1]!comp[#Data], 2, FALSE)</f>
        <v>CoAlWX+</v>
      </c>
      <c r="D319" t="s">
        <v>3188</v>
      </c>
      <c r="E319" t="s">
        <v>6624</v>
      </c>
      <c r="F319">
        <v>1150</v>
      </c>
      <c r="J319" s="14">
        <f>VLOOKUP(Table5[[#This Row],[Shortname]], Comp[], 7, FALSE)</f>
        <v>58</v>
      </c>
      <c r="K319">
        <f>VLOOKUP(Table5[[#This Row],[Shortname]], Comp[], 8, FALSE)</f>
        <v>20</v>
      </c>
      <c r="L319">
        <f>VLOOKUP(Table5[[#This Row],[Shortname]], Comp[], 9, FALSE)</f>
        <v>10</v>
      </c>
      <c r="M319">
        <f>VLOOKUP(Table5[[#This Row],[Shortname]], Comp[], 10, FALSE)</f>
        <v>0</v>
      </c>
      <c r="N319">
        <f>VLOOKUP(Table5[[#This Row],[Shortname]], Comp[], 11, FALSE)</f>
        <v>10</v>
      </c>
      <c r="O319">
        <f>VLOOKUP(Table5[[#This Row],[Shortname]], Comp[],12, FALSE)</f>
        <v>0</v>
      </c>
      <c r="P319">
        <f>VLOOKUP(Table5[[#This Row],[Shortname]], Comp[], 13, FALSE)</f>
        <v>2</v>
      </c>
      <c r="Q319">
        <f>VLOOKUP(Table5[[#This Row],[Shortname]], Comp[], 14, FALSE)</f>
        <v>0</v>
      </c>
      <c r="R319">
        <f>VLOOKUP(Table5[[#This Row],[Shortname]], Comp[], 15, FALSE)</f>
        <v>0</v>
      </c>
      <c r="S319">
        <f>VLOOKUP(Table5[[#This Row],[Shortname]], Comp[], 16, FALSE)</f>
        <v>0</v>
      </c>
      <c r="T319">
        <f>VLOOKUP(Table5[[#This Row],[Shortname]], Comp[], 17, FALSE)</f>
        <v>0</v>
      </c>
      <c r="U319">
        <f>VLOOKUP(Table5[[#This Row],[Shortname]], Comp[], 18, FALSE)</f>
        <v>0</v>
      </c>
      <c r="V319">
        <f>VLOOKUP(Table5[[#This Row],[Shortname]], Comp[], 19, FALSE)</f>
        <v>0</v>
      </c>
      <c r="W319">
        <f>VLOOKUP(Table5[[#This Row],[Shortname]], Comp[], 20, FALSE)</f>
        <v>0</v>
      </c>
      <c r="X319">
        <f>VLOOKUP(Table5[[#This Row],[Shortname]], Comp[], 21, FALSE)</f>
        <v>0</v>
      </c>
      <c r="Y319">
        <f>VLOOKUP(Table5[[#This Row],[Shortname]], Comp[], 22, FALSE)</f>
        <v>0</v>
      </c>
      <c r="Z319">
        <f>VLOOKUP(Table5[[#This Row],[Shortname]], Comp[], 23, FALSE)</f>
        <v>0</v>
      </c>
      <c r="AA319">
        <f>VLOOKUP(Table5[[#This Row],[Shortname]], Comp[], 24, FALSE)</f>
        <v>0</v>
      </c>
      <c r="AB319">
        <f>VLOOKUP(Table5[[#This Row],[Shortname]], Comp[], 25, FALSE)</f>
        <v>0</v>
      </c>
      <c r="AC319">
        <f>VLOOKUP(Table5[[#This Row],[Shortname]], Comp[], 26, FALSE)</f>
        <v>0</v>
      </c>
      <c r="AD319">
        <f>VLOOKUP(Table5[[#This Row],[Shortname]], Comp[], 27, FALSE)</f>
        <v>0</v>
      </c>
      <c r="AE319">
        <f>VLOOKUP(Table5[[#This Row],[Shortname]], Comp[], 28, FALSE)</f>
        <v>0</v>
      </c>
      <c r="AF319">
        <f>VLOOKUP(Table5[[#This Row],[Shortname]], Comp[], 29, FALSE)</f>
        <v>0</v>
      </c>
      <c r="AG319">
        <f>VLOOKUP(Table5[[#This Row],[Shortname]], Comp[], 30, FALSE)</f>
        <v>0</v>
      </c>
      <c r="AH319">
        <f>VLOOKUP(Table5[[#This Row],[Shortname]], Comp[], 31, FALSE)</f>
        <v>0</v>
      </c>
    </row>
    <row r="320" spans="1:34" x14ac:dyDescent="0.3">
      <c r="A320" s="7" t="s">
        <v>1735</v>
      </c>
      <c r="B320">
        <v>330</v>
      </c>
      <c r="C320" s="7" t="str">
        <f>VLOOKUP(Table5[[#This Row],[Shortname]], [1]!comp[#Data], 2, FALSE)</f>
        <v>CoAlW-X</v>
      </c>
      <c r="D320" s="7" t="s">
        <v>3180</v>
      </c>
      <c r="E320" t="s">
        <v>6624</v>
      </c>
      <c r="F320">
        <v>1100</v>
      </c>
      <c r="J320" s="14">
        <f>VLOOKUP(Table5[[#This Row],[Shortname]], Comp[], 7, FALSE)</f>
        <v>79.400000000000006</v>
      </c>
      <c r="K320">
        <f>VLOOKUP(Table5[[#This Row],[Shortname]], Comp[], 8, FALSE)</f>
        <v>0</v>
      </c>
      <c r="L320">
        <f>VLOOKUP(Table5[[#This Row],[Shortname]], Comp[], 9, FALSE)</f>
        <v>8.8000000000000007</v>
      </c>
      <c r="M320">
        <f>VLOOKUP(Table5[[#This Row],[Shortname]], Comp[], 10, FALSE)</f>
        <v>0</v>
      </c>
      <c r="N320">
        <f>VLOOKUP(Table5[[#This Row],[Shortname]], Comp[], 11, FALSE)</f>
        <v>9.8000000000000007</v>
      </c>
      <c r="O320">
        <f>VLOOKUP(Table5[[#This Row],[Shortname]], Comp[],12, FALSE)</f>
        <v>0</v>
      </c>
      <c r="P320">
        <f>VLOOKUP(Table5[[#This Row],[Shortname]], Comp[], 13, FALSE)</f>
        <v>2</v>
      </c>
      <c r="Q320">
        <f>VLOOKUP(Table5[[#This Row],[Shortname]], Comp[], 14, FALSE)</f>
        <v>0</v>
      </c>
      <c r="R320">
        <f>VLOOKUP(Table5[[#This Row],[Shortname]], Comp[], 15, FALSE)</f>
        <v>0</v>
      </c>
      <c r="S320">
        <f>VLOOKUP(Table5[[#This Row],[Shortname]], Comp[], 16, FALSE)</f>
        <v>0</v>
      </c>
      <c r="T320">
        <f>VLOOKUP(Table5[[#This Row],[Shortname]], Comp[], 17, FALSE)</f>
        <v>0</v>
      </c>
      <c r="U320">
        <f>VLOOKUP(Table5[[#This Row],[Shortname]], Comp[], 18, FALSE)</f>
        <v>0</v>
      </c>
      <c r="V320">
        <f>VLOOKUP(Table5[[#This Row],[Shortname]], Comp[], 19, FALSE)</f>
        <v>0</v>
      </c>
      <c r="W320">
        <f>VLOOKUP(Table5[[#This Row],[Shortname]], Comp[], 20, FALSE)</f>
        <v>0</v>
      </c>
      <c r="X320">
        <f>VLOOKUP(Table5[[#This Row],[Shortname]], Comp[], 21, FALSE)</f>
        <v>0</v>
      </c>
      <c r="Y320">
        <f>VLOOKUP(Table5[[#This Row],[Shortname]], Comp[], 22, FALSE)</f>
        <v>0</v>
      </c>
      <c r="Z320">
        <f>VLOOKUP(Table5[[#This Row],[Shortname]], Comp[], 23, FALSE)</f>
        <v>0</v>
      </c>
      <c r="AA320">
        <f>VLOOKUP(Table5[[#This Row],[Shortname]], Comp[], 24, FALSE)</f>
        <v>0</v>
      </c>
      <c r="AB320">
        <f>VLOOKUP(Table5[[#This Row],[Shortname]], Comp[], 25, FALSE)</f>
        <v>0</v>
      </c>
      <c r="AC320">
        <f>VLOOKUP(Table5[[#This Row],[Shortname]], Comp[], 26, FALSE)</f>
        <v>0</v>
      </c>
      <c r="AD320">
        <f>VLOOKUP(Table5[[#This Row],[Shortname]], Comp[], 27, FALSE)</f>
        <v>0</v>
      </c>
      <c r="AE320">
        <f>VLOOKUP(Table5[[#This Row],[Shortname]], Comp[], 28, FALSE)</f>
        <v>0</v>
      </c>
      <c r="AF320">
        <f>VLOOKUP(Table5[[#This Row],[Shortname]], Comp[], 29, FALSE)</f>
        <v>0</v>
      </c>
      <c r="AG320">
        <f>VLOOKUP(Table5[[#This Row],[Shortname]], Comp[], 30, FALSE)</f>
        <v>0</v>
      </c>
      <c r="AH320">
        <f>VLOOKUP(Table5[[#This Row],[Shortname]], Comp[], 31, FALSE)</f>
        <v>0</v>
      </c>
    </row>
    <row r="321" spans="1:34" x14ac:dyDescent="0.3">
      <c r="A321" s="7" t="s">
        <v>3174</v>
      </c>
      <c r="B321">
        <v>331</v>
      </c>
      <c r="C321" s="7" t="str">
        <f>VLOOKUP(Table5[[#This Row],[Shortname]], [1]!comp[#Data], 2, FALSE)</f>
        <v>CoAlW-X</v>
      </c>
      <c r="D321" s="7" t="s">
        <v>3175</v>
      </c>
      <c r="E321" t="s">
        <v>6624</v>
      </c>
      <c r="F321">
        <v>990</v>
      </c>
      <c r="J321" s="14">
        <f>VLOOKUP(Table5[[#This Row],[Shortname]], Comp[], 7, FALSE)</f>
        <v>83.5</v>
      </c>
      <c r="K321">
        <f>VLOOKUP(Table5[[#This Row],[Shortname]], Comp[], 8, FALSE)</f>
        <v>0</v>
      </c>
      <c r="L321">
        <f>VLOOKUP(Table5[[#This Row],[Shortname]], Comp[], 9, FALSE)</f>
        <v>9</v>
      </c>
      <c r="M321">
        <f>VLOOKUP(Table5[[#This Row],[Shortname]], Comp[], 10, FALSE)</f>
        <v>0</v>
      </c>
      <c r="N321">
        <f>VLOOKUP(Table5[[#This Row],[Shortname]], Comp[], 11, FALSE)</f>
        <v>7.5</v>
      </c>
      <c r="O321">
        <f>VLOOKUP(Table5[[#This Row],[Shortname]], Comp[],12, FALSE)</f>
        <v>0</v>
      </c>
      <c r="P321">
        <f>VLOOKUP(Table5[[#This Row],[Shortname]], Comp[], 13, FALSE)</f>
        <v>0</v>
      </c>
      <c r="Q321">
        <f>VLOOKUP(Table5[[#This Row],[Shortname]], Comp[], 14, FALSE)</f>
        <v>0</v>
      </c>
      <c r="R321">
        <f>VLOOKUP(Table5[[#This Row],[Shortname]], Comp[], 15, FALSE)</f>
        <v>0</v>
      </c>
      <c r="S321">
        <f>VLOOKUP(Table5[[#This Row],[Shortname]], Comp[], 16, FALSE)</f>
        <v>0</v>
      </c>
      <c r="T321">
        <f>VLOOKUP(Table5[[#This Row],[Shortname]], Comp[], 17, FALSE)</f>
        <v>0</v>
      </c>
      <c r="U321">
        <f>VLOOKUP(Table5[[#This Row],[Shortname]], Comp[], 18, FALSE)</f>
        <v>0</v>
      </c>
      <c r="V321">
        <f>VLOOKUP(Table5[[#This Row],[Shortname]], Comp[], 19, FALSE)</f>
        <v>0</v>
      </c>
      <c r="W321">
        <f>VLOOKUP(Table5[[#This Row],[Shortname]], Comp[], 20, FALSE)</f>
        <v>0</v>
      </c>
      <c r="X321">
        <f>VLOOKUP(Table5[[#This Row],[Shortname]], Comp[], 21, FALSE)</f>
        <v>0</v>
      </c>
      <c r="Y321">
        <f>VLOOKUP(Table5[[#This Row],[Shortname]], Comp[], 22, FALSE)</f>
        <v>0</v>
      </c>
      <c r="Z321">
        <f>VLOOKUP(Table5[[#This Row],[Shortname]], Comp[], 23, FALSE)</f>
        <v>0</v>
      </c>
      <c r="AA321">
        <f>VLOOKUP(Table5[[#This Row],[Shortname]], Comp[], 24, FALSE)</f>
        <v>0</v>
      </c>
      <c r="AB321">
        <f>VLOOKUP(Table5[[#This Row],[Shortname]], Comp[], 25, FALSE)</f>
        <v>0</v>
      </c>
      <c r="AC321">
        <f>VLOOKUP(Table5[[#This Row],[Shortname]], Comp[], 26, FALSE)</f>
        <v>0</v>
      </c>
      <c r="AD321">
        <f>VLOOKUP(Table5[[#This Row],[Shortname]], Comp[], 27, FALSE)</f>
        <v>0</v>
      </c>
      <c r="AE321">
        <f>VLOOKUP(Table5[[#This Row],[Shortname]], Comp[], 28, FALSE)</f>
        <v>0</v>
      </c>
      <c r="AF321">
        <f>VLOOKUP(Table5[[#This Row],[Shortname]], Comp[], 29, FALSE)</f>
        <v>0</v>
      </c>
      <c r="AG321">
        <f>VLOOKUP(Table5[[#This Row],[Shortname]], Comp[], 30, FALSE)</f>
        <v>0</v>
      </c>
      <c r="AH321">
        <f>VLOOKUP(Table5[[#This Row],[Shortname]], Comp[], 31, FALSE)</f>
        <v>0</v>
      </c>
    </row>
    <row r="322" spans="1:34" x14ac:dyDescent="0.3">
      <c r="A322" s="7" t="s">
        <v>3197</v>
      </c>
      <c r="B322">
        <v>332</v>
      </c>
      <c r="C322" s="7" t="str">
        <f>VLOOKUP(Table5[[#This Row],[Shortname]], [1]!comp[#Data], 2, FALSE)</f>
        <v>CoAlW-X</v>
      </c>
      <c r="D322" s="7" t="s">
        <v>3197</v>
      </c>
      <c r="E322" s="3" t="s">
        <v>3193</v>
      </c>
      <c r="F322">
        <v>1008</v>
      </c>
      <c r="J322" s="14">
        <f>VLOOKUP(Table5[[#This Row],[Shortname]], Comp[], 7, FALSE)</f>
        <v>81.099999999999994</v>
      </c>
      <c r="K322">
        <f>VLOOKUP(Table5[[#This Row],[Shortname]], Comp[], 8, FALSE)</f>
        <v>0</v>
      </c>
      <c r="L322">
        <f>VLOOKUP(Table5[[#This Row],[Shortname]], Comp[], 9, FALSE)</f>
        <v>9.6999999999999993</v>
      </c>
      <c r="M322">
        <f>VLOOKUP(Table5[[#This Row],[Shortname]], Comp[], 10, FALSE)</f>
        <v>0</v>
      </c>
      <c r="N322">
        <f>VLOOKUP(Table5[[#This Row],[Shortname]], Comp[], 11, FALSE)</f>
        <v>7.1</v>
      </c>
      <c r="O322">
        <f>VLOOKUP(Table5[[#This Row],[Shortname]], Comp[],12, FALSE)</f>
        <v>0</v>
      </c>
      <c r="P322">
        <f>VLOOKUP(Table5[[#This Row],[Shortname]], Comp[], 13, FALSE)</f>
        <v>0</v>
      </c>
      <c r="Q322">
        <f>VLOOKUP(Table5[[#This Row],[Shortname]], Comp[], 14, FALSE)</f>
        <v>0</v>
      </c>
      <c r="R322">
        <f>VLOOKUP(Table5[[#This Row],[Shortname]], Comp[], 15, FALSE)</f>
        <v>0</v>
      </c>
      <c r="S322">
        <f>VLOOKUP(Table5[[#This Row],[Shortname]], Comp[], 16, FALSE)</f>
        <v>0</v>
      </c>
      <c r="T322">
        <f>VLOOKUP(Table5[[#This Row],[Shortname]], Comp[], 17, FALSE)</f>
        <v>0</v>
      </c>
      <c r="U322">
        <f>VLOOKUP(Table5[[#This Row],[Shortname]], Comp[], 18, FALSE)</f>
        <v>0</v>
      </c>
      <c r="V322">
        <f>VLOOKUP(Table5[[#This Row],[Shortname]], Comp[], 19, FALSE)</f>
        <v>0</v>
      </c>
      <c r="W322">
        <f>VLOOKUP(Table5[[#This Row],[Shortname]], Comp[], 20, FALSE)</f>
        <v>0</v>
      </c>
      <c r="X322">
        <f>VLOOKUP(Table5[[#This Row],[Shortname]], Comp[], 21, FALSE)</f>
        <v>0</v>
      </c>
      <c r="Y322">
        <f>VLOOKUP(Table5[[#This Row],[Shortname]], Comp[], 22, FALSE)</f>
        <v>0</v>
      </c>
      <c r="Z322">
        <f>VLOOKUP(Table5[[#This Row],[Shortname]], Comp[], 23, FALSE)</f>
        <v>0</v>
      </c>
      <c r="AA322">
        <f>VLOOKUP(Table5[[#This Row],[Shortname]], Comp[], 24, FALSE)</f>
        <v>0</v>
      </c>
      <c r="AB322">
        <f>VLOOKUP(Table5[[#This Row],[Shortname]], Comp[], 25, FALSE)</f>
        <v>0</v>
      </c>
      <c r="AC322">
        <f>VLOOKUP(Table5[[#This Row],[Shortname]], Comp[], 26, FALSE)</f>
        <v>0</v>
      </c>
      <c r="AD322">
        <f>VLOOKUP(Table5[[#This Row],[Shortname]], Comp[], 27, FALSE)</f>
        <v>0</v>
      </c>
      <c r="AE322">
        <f>VLOOKUP(Table5[[#This Row],[Shortname]], Comp[], 28, FALSE)</f>
        <v>0</v>
      </c>
      <c r="AF322">
        <f>VLOOKUP(Table5[[#This Row],[Shortname]], Comp[], 29, FALSE)</f>
        <v>2.1</v>
      </c>
      <c r="AG322">
        <f>VLOOKUP(Table5[[#This Row],[Shortname]], Comp[], 30, FALSE)</f>
        <v>0</v>
      </c>
      <c r="AH322">
        <f>VLOOKUP(Table5[[#This Row],[Shortname]], Comp[], 31, FALSE)</f>
        <v>0</v>
      </c>
    </row>
    <row r="323" spans="1:34" x14ac:dyDescent="0.3">
      <c r="A323" s="7" t="s">
        <v>4933</v>
      </c>
      <c r="B323">
        <v>333</v>
      </c>
      <c r="C323" s="7" t="str">
        <f>VLOOKUP(Table5[[#This Row],[Shortname]], [1]!comp[#Data], 2, FALSE)</f>
        <v>CoAlWX+</v>
      </c>
      <c r="D323" s="7" t="s">
        <v>4935</v>
      </c>
      <c r="E323" t="s">
        <v>6742</v>
      </c>
      <c r="F323">
        <v>1110</v>
      </c>
      <c r="J323" s="14">
        <f>VLOOKUP(Table5[[#This Row],[Shortname]], Comp[], 7, FALSE)</f>
        <v>81.88</v>
      </c>
      <c r="K323">
        <f>VLOOKUP(Table5[[#This Row],[Shortname]], Comp[], 8, FALSE)</f>
        <v>0</v>
      </c>
      <c r="L323">
        <f>VLOOKUP(Table5[[#This Row],[Shortname]], Comp[], 9, FALSE)</f>
        <v>5.6</v>
      </c>
      <c r="M323">
        <f>VLOOKUP(Table5[[#This Row],[Shortname]], Comp[], 10, FALSE)</f>
        <v>0</v>
      </c>
      <c r="N323">
        <f>VLOOKUP(Table5[[#This Row],[Shortname]], Comp[], 11, FALSE)</f>
        <v>5.8</v>
      </c>
      <c r="O323">
        <f>VLOOKUP(Table5[[#This Row],[Shortname]], Comp[],12, FALSE)</f>
        <v>6.6</v>
      </c>
      <c r="P323">
        <f>VLOOKUP(Table5[[#This Row],[Shortname]], Comp[], 13, FALSE)</f>
        <v>0</v>
      </c>
      <c r="Q323">
        <f>VLOOKUP(Table5[[#This Row],[Shortname]], Comp[], 14, FALSE)</f>
        <v>0</v>
      </c>
      <c r="R323">
        <f>VLOOKUP(Table5[[#This Row],[Shortname]], Comp[], 15, FALSE)</f>
        <v>0</v>
      </c>
      <c r="S323">
        <f>VLOOKUP(Table5[[#This Row],[Shortname]], Comp[], 16, FALSE)</f>
        <v>0</v>
      </c>
      <c r="T323">
        <f>VLOOKUP(Table5[[#This Row],[Shortname]], Comp[], 17, FALSE)</f>
        <v>0</v>
      </c>
      <c r="U323">
        <f>VLOOKUP(Table5[[#This Row],[Shortname]], Comp[], 18, FALSE)</f>
        <v>0</v>
      </c>
      <c r="V323">
        <f>VLOOKUP(Table5[[#This Row],[Shortname]], Comp[], 19, FALSE)</f>
        <v>0.12</v>
      </c>
      <c r="W323">
        <f>VLOOKUP(Table5[[#This Row],[Shortname]], Comp[], 20, FALSE)</f>
        <v>0</v>
      </c>
      <c r="X323">
        <f>VLOOKUP(Table5[[#This Row],[Shortname]], Comp[], 21, FALSE)</f>
        <v>0</v>
      </c>
      <c r="Y323">
        <f>VLOOKUP(Table5[[#This Row],[Shortname]], Comp[], 22, FALSE)</f>
        <v>0</v>
      </c>
      <c r="Z323">
        <f>VLOOKUP(Table5[[#This Row],[Shortname]], Comp[], 23, FALSE)</f>
        <v>0</v>
      </c>
      <c r="AA323">
        <f>VLOOKUP(Table5[[#This Row],[Shortname]], Comp[], 24, FALSE)</f>
        <v>0</v>
      </c>
      <c r="AB323">
        <f>VLOOKUP(Table5[[#This Row],[Shortname]], Comp[], 25, FALSE)</f>
        <v>0</v>
      </c>
      <c r="AC323">
        <f>VLOOKUP(Table5[[#This Row],[Shortname]], Comp[], 26, FALSE)</f>
        <v>0</v>
      </c>
      <c r="AD323">
        <f>VLOOKUP(Table5[[#This Row],[Shortname]], Comp[], 27, FALSE)</f>
        <v>0</v>
      </c>
      <c r="AE323">
        <f>VLOOKUP(Table5[[#This Row],[Shortname]], Comp[], 28, FALSE)</f>
        <v>0</v>
      </c>
      <c r="AF323">
        <f>VLOOKUP(Table5[[#This Row],[Shortname]], Comp[], 29, FALSE)</f>
        <v>0</v>
      </c>
      <c r="AG323">
        <f>VLOOKUP(Table5[[#This Row],[Shortname]], Comp[], 30, FALSE)</f>
        <v>0</v>
      </c>
      <c r="AH323">
        <f>VLOOKUP(Table5[[#This Row],[Shortname]], Comp[], 31, FALSE)</f>
        <v>0</v>
      </c>
    </row>
    <row r="324" spans="1:34" x14ac:dyDescent="0.3">
      <c r="A324" s="7" t="s">
        <v>3223</v>
      </c>
      <c r="B324">
        <v>334</v>
      </c>
      <c r="C324" s="7" t="str">
        <f>VLOOKUP(Table5[[#This Row],[Shortname]], [1]!comp[#Data], 2, FALSE)</f>
        <v>CoAlWX+</v>
      </c>
      <c r="D324" s="7" t="s">
        <v>3225</v>
      </c>
      <c r="E324" s="11" t="s">
        <v>6743</v>
      </c>
      <c r="F324">
        <v>1100</v>
      </c>
      <c r="G324">
        <v>1395</v>
      </c>
      <c r="H324">
        <v>1426</v>
      </c>
      <c r="J324" s="14">
        <f>VLOOKUP(Table5[[#This Row],[Shortname]], Comp[], 7, FALSE)</f>
        <v>60.7</v>
      </c>
      <c r="K324">
        <f>VLOOKUP(Table5[[#This Row],[Shortname]], Comp[], 8, FALSE)</f>
        <v>16</v>
      </c>
      <c r="L324">
        <f>VLOOKUP(Table5[[#This Row],[Shortname]], Comp[], 9, FALSE)</f>
        <v>9.5</v>
      </c>
      <c r="M324">
        <f>VLOOKUP(Table5[[#This Row],[Shortname]], Comp[], 10, FALSE)</f>
        <v>6</v>
      </c>
      <c r="N324">
        <f>VLOOKUP(Table5[[#This Row],[Shortname]], Comp[], 11, FALSE)</f>
        <v>5</v>
      </c>
      <c r="O324">
        <f>VLOOKUP(Table5[[#This Row],[Shortname]], Comp[],12, FALSE)</f>
        <v>0</v>
      </c>
      <c r="P324">
        <f>VLOOKUP(Table5[[#This Row],[Shortname]], Comp[], 13, FALSE)</f>
        <v>2.8</v>
      </c>
      <c r="Q324">
        <f>VLOOKUP(Table5[[#This Row],[Shortname]], Comp[], 14, FALSE)</f>
        <v>0</v>
      </c>
      <c r="R324">
        <f>VLOOKUP(Table5[[#This Row],[Shortname]], Comp[], 15, FALSE)</f>
        <v>0</v>
      </c>
      <c r="S324">
        <f>VLOOKUP(Table5[[#This Row],[Shortname]], Comp[], 16, FALSE)</f>
        <v>0</v>
      </c>
      <c r="T324">
        <f>VLOOKUP(Table5[[#This Row],[Shortname]], Comp[], 17, FALSE)</f>
        <v>0</v>
      </c>
      <c r="U324">
        <f>VLOOKUP(Table5[[#This Row],[Shortname]], Comp[], 18, FALSE)</f>
        <v>0</v>
      </c>
      <c r="V324">
        <f>VLOOKUP(Table5[[#This Row],[Shortname]], Comp[], 19, FALSE)</f>
        <v>0</v>
      </c>
      <c r="W324">
        <f>VLOOKUP(Table5[[#This Row],[Shortname]], Comp[], 20, FALSE)</f>
        <v>0</v>
      </c>
      <c r="X324">
        <f>VLOOKUP(Table5[[#This Row],[Shortname]], Comp[], 21, FALSE)</f>
        <v>0</v>
      </c>
      <c r="Y324">
        <f>VLOOKUP(Table5[[#This Row],[Shortname]], Comp[], 22, FALSE)</f>
        <v>0</v>
      </c>
      <c r="Z324">
        <f>VLOOKUP(Table5[[#This Row],[Shortname]], Comp[], 23, FALSE)</f>
        <v>0</v>
      </c>
      <c r="AA324">
        <f>VLOOKUP(Table5[[#This Row],[Shortname]], Comp[], 24, FALSE)</f>
        <v>0</v>
      </c>
      <c r="AB324">
        <f>VLOOKUP(Table5[[#This Row],[Shortname]], Comp[], 25, FALSE)</f>
        <v>0</v>
      </c>
      <c r="AC324">
        <f>VLOOKUP(Table5[[#This Row],[Shortname]], Comp[], 26, FALSE)</f>
        <v>0</v>
      </c>
      <c r="AD324">
        <f>VLOOKUP(Table5[[#This Row],[Shortname]], Comp[], 27, FALSE)</f>
        <v>0</v>
      </c>
      <c r="AE324">
        <f>VLOOKUP(Table5[[#This Row],[Shortname]], Comp[], 28, FALSE)</f>
        <v>0</v>
      </c>
      <c r="AF324">
        <f>VLOOKUP(Table5[[#This Row],[Shortname]], Comp[], 29, FALSE)</f>
        <v>0</v>
      </c>
      <c r="AG324">
        <f>VLOOKUP(Table5[[#This Row],[Shortname]], Comp[], 30, FALSE)</f>
        <v>0</v>
      </c>
      <c r="AH324">
        <f>VLOOKUP(Table5[[#This Row],[Shortname]], Comp[], 31, FALSE)</f>
        <v>0</v>
      </c>
    </row>
    <row r="325" spans="1:34" x14ac:dyDescent="0.3">
      <c r="A325" s="7" t="s">
        <v>3217</v>
      </c>
      <c r="B325">
        <v>335</v>
      </c>
      <c r="C325" s="7" t="str">
        <f>VLOOKUP(Table5[[#This Row],[Shortname]], [1]!comp[#Data], 2, FALSE)</f>
        <v>CoAlWX+</v>
      </c>
      <c r="D325" s="7" t="s">
        <v>3219</v>
      </c>
      <c r="E325" s="11" t="s">
        <v>6743</v>
      </c>
      <c r="F325">
        <v>1040</v>
      </c>
      <c r="G325">
        <v>1412</v>
      </c>
      <c r="H325">
        <v>1434</v>
      </c>
      <c r="J325" s="14">
        <f>VLOOKUP(Table5[[#This Row],[Shortname]], Comp[], 7, FALSE)</f>
        <v>61.7</v>
      </c>
      <c r="K325">
        <f>VLOOKUP(Table5[[#This Row],[Shortname]], Comp[], 8, FALSE)</f>
        <v>16</v>
      </c>
      <c r="L325">
        <f>VLOOKUP(Table5[[#This Row],[Shortname]], Comp[], 9, FALSE)</f>
        <v>9.5</v>
      </c>
      <c r="M325">
        <f>VLOOKUP(Table5[[#This Row],[Shortname]], Comp[], 10, FALSE)</f>
        <v>6</v>
      </c>
      <c r="N325">
        <f>VLOOKUP(Table5[[#This Row],[Shortname]], Comp[], 11, FALSE)</f>
        <v>5</v>
      </c>
      <c r="O325">
        <f>VLOOKUP(Table5[[#This Row],[Shortname]], Comp[],12, FALSE)</f>
        <v>0</v>
      </c>
      <c r="P325">
        <f>VLOOKUP(Table5[[#This Row],[Shortname]], Comp[], 13, FALSE)</f>
        <v>1.8</v>
      </c>
      <c r="Q325">
        <f>VLOOKUP(Table5[[#This Row],[Shortname]], Comp[], 14, FALSE)</f>
        <v>0</v>
      </c>
      <c r="R325">
        <f>VLOOKUP(Table5[[#This Row],[Shortname]], Comp[], 15, FALSE)</f>
        <v>0</v>
      </c>
      <c r="S325">
        <f>VLOOKUP(Table5[[#This Row],[Shortname]], Comp[], 16, FALSE)</f>
        <v>0</v>
      </c>
      <c r="T325">
        <f>VLOOKUP(Table5[[#This Row],[Shortname]], Comp[], 17, FALSE)</f>
        <v>0</v>
      </c>
      <c r="U325">
        <f>VLOOKUP(Table5[[#This Row],[Shortname]], Comp[], 18, FALSE)</f>
        <v>0</v>
      </c>
      <c r="V325">
        <f>VLOOKUP(Table5[[#This Row],[Shortname]], Comp[], 19, FALSE)</f>
        <v>0</v>
      </c>
      <c r="W325">
        <f>VLOOKUP(Table5[[#This Row],[Shortname]], Comp[], 20, FALSE)</f>
        <v>0</v>
      </c>
      <c r="X325">
        <f>VLOOKUP(Table5[[#This Row],[Shortname]], Comp[], 21, FALSE)</f>
        <v>0</v>
      </c>
      <c r="Y325">
        <f>VLOOKUP(Table5[[#This Row],[Shortname]], Comp[], 22, FALSE)</f>
        <v>0</v>
      </c>
      <c r="Z325">
        <f>VLOOKUP(Table5[[#This Row],[Shortname]], Comp[], 23, FALSE)</f>
        <v>0</v>
      </c>
      <c r="AA325">
        <f>VLOOKUP(Table5[[#This Row],[Shortname]], Comp[], 24, FALSE)</f>
        <v>0</v>
      </c>
      <c r="AB325">
        <f>VLOOKUP(Table5[[#This Row],[Shortname]], Comp[], 25, FALSE)</f>
        <v>0</v>
      </c>
      <c r="AC325">
        <f>VLOOKUP(Table5[[#This Row],[Shortname]], Comp[], 26, FALSE)</f>
        <v>0</v>
      </c>
      <c r="AD325">
        <f>VLOOKUP(Table5[[#This Row],[Shortname]], Comp[], 27, FALSE)</f>
        <v>0</v>
      </c>
      <c r="AE325">
        <f>VLOOKUP(Table5[[#This Row],[Shortname]], Comp[], 28, FALSE)</f>
        <v>0</v>
      </c>
      <c r="AF325">
        <f>VLOOKUP(Table5[[#This Row],[Shortname]], Comp[], 29, FALSE)</f>
        <v>0</v>
      </c>
      <c r="AG325">
        <f>VLOOKUP(Table5[[#This Row],[Shortname]], Comp[], 30, FALSE)</f>
        <v>0</v>
      </c>
      <c r="AH325">
        <f>VLOOKUP(Table5[[#This Row],[Shortname]], Comp[], 31, FALSE)</f>
        <v>0</v>
      </c>
    </row>
    <row r="326" spans="1:34" x14ac:dyDescent="0.3">
      <c r="A326" s="7" t="s">
        <v>3210</v>
      </c>
      <c r="B326">
        <v>336</v>
      </c>
      <c r="C326" s="7" t="str">
        <f>VLOOKUP(Table5[[#This Row],[Shortname]], [1]!comp[#Data], 2, FALSE)</f>
        <v>CoAlWX+</v>
      </c>
      <c r="D326" s="7" t="s">
        <v>3212</v>
      </c>
      <c r="E326" s="11" t="s">
        <v>6743</v>
      </c>
      <c r="F326">
        <v>930</v>
      </c>
      <c r="G326">
        <v>1428</v>
      </c>
      <c r="H326">
        <v>1444</v>
      </c>
      <c r="J326" s="14">
        <f>VLOOKUP(Table5[[#This Row],[Shortname]], Comp[], 7, FALSE)</f>
        <v>63.5</v>
      </c>
      <c r="K326">
        <f>VLOOKUP(Table5[[#This Row],[Shortname]], Comp[], 8, FALSE)</f>
        <v>16</v>
      </c>
      <c r="L326">
        <f>VLOOKUP(Table5[[#This Row],[Shortname]], Comp[], 9, FALSE)</f>
        <v>9.5</v>
      </c>
      <c r="M326">
        <f>VLOOKUP(Table5[[#This Row],[Shortname]], Comp[], 10, FALSE)</f>
        <v>6</v>
      </c>
      <c r="N326">
        <f>VLOOKUP(Table5[[#This Row],[Shortname]], Comp[], 11, FALSE)</f>
        <v>5</v>
      </c>
      <c r="O326">
        <f>VLOOKUP(Table5[[#This Row],[Shortname]], Comp[],12, FALSE)</f>
        <v>0</v>
      </c>
      <c r="P326">
        <f>VLOOKUP(Table5[[#This Row],[Shortname]], Comp[], 13, FALSE)</f>
        <v>0</v>
      </c>
      <c r="Q326">
        <f>VLOOKUP(Table5[[#This Row],[Shortname]], Comp[], 14, FALSE)</f>
        <v>0</v>
      </c>
      <c r="R326">
        <f>VLOOKUP(Table5[[#This Row],[Shortname]], Comp[], 15, FALSE)</f>
        <v>0</v>
      </c>
      <c r="S326">
        <f>VLOOKUP(Table5[[#This Row],[Shortname]], Comp[], 16, FALSE)</f>
        <v>0</v>
      </c>
      <c r="T326">
        <f>VLOOKUP(Table5[[#This Row],[Shortname]], Comp[], 17, FALSE)</f>
        <v>0</v>
      </c>
      <c r="U326">
        <f>VLOOKUP(Table5[[#This Row],[Shortname]], Comp[], 18, FALSE)</f>
        <v>0</v>
      </c>
      <c r="V326">
        <f>VLOOKUP(Table5[[#This Row],[Shortname]], Comp[], 19, FALSE)</f>
        <v>0</v>
      </c>
      <c r="W326">
        <f>VLOOKUP(Table5[[#This Row],[Shortname]], Comp[], 20, FALSE)</f>
        <v>0</v>
      </c>
      <c r="X326">
        <f>VLOOKUP(Table5[[#This Row],[Shortname]], Comp[], 21, FALSE)</f>
        <v>0</v>
      </c>
      <c r="Y326">
        <f>VLOOKUP(Table5[[#This Row],[Shortname]], Comp[], 22, FALSE)</f>
        <v>0</v>
      </c>
      <c r="Z326">
        <f>VLOOKUP(Table5[[#This Row],[Shortname]], Comp[], 23, FALSE)</f>
        <v>0</v>
      </c>
      <c r="AA326">
        <f>VLOOKUP(Table5[[#This Row],[Shortname]], Comp[], 24, FALSE)</f>
        <v>0</v>
      </c>
      <c r="AB326">
        <f>VLOOKUP(Table5[[#This Row],[Shortname]], Comp[], 25, FALSE)</f>
        <v>0</v>
      </c>
      <c r="AC326">
        <f>VLOOKUP(Table5[[#This Row],[Shortname]], Comp[], 26, FALSE)</f>
        <v>0</v>
      </c>
      <c r="AD326">
        <f>VLOOKUP(Table5[[#This Row],[Shortname]], Comp[], 27, FALSE)</f>
        <v>0</v>
      </c>
      <c r="AE326">
        <f>VLOOKUP(Table5[[#This Row],[Shortname]], Comp[], 28, FALSE)</f>
        <v>0</v>
      </c>
      <c r="AF326">
        <f>VLOOKUP(Table5[[#This Row],[Shortname]], Comp[], 29, FALSE)</f>
        <v>0</v>
      </c>
      <c r="AG326">
        <f>VLOOKUP(Table5[[#This Row],[Shortname]], Comp[], 30, FALSE)</f>
        <v>0</v>
      </c>
      <c r="AH326">
        <f>VLOOKUP(Table5[[#This Row],[Shortname]], Comp[], 31, FALSE)</f>
        <v>0</v>
      </c>
    </row>
    <row r="327" spans="1:34" x14ac:dyDescent="0.3">
      <c r="A327" s="7" t="s">
        <v>3229</v>
      </c>
      <c r="B327">
        <v>337</v>
      </c>
      <c r="C327" s="7" t="str">
        <f>VLOOKUP(Table5[[#This Row],[Shortname]], [1]!comp[#Data], 2, FALSE)</f>
        <v>Co3Ti</v>
      </c>
      <c r="D327" s="7" t="s">
        <v>3231</v>
      </c>
      <c r="E327" s="3" t="s">
        <v>3232</v>
      </c>
      <c r="F327">
        <v>1080</v>
      </c>
      <c r="G327">
        <v>1369</v>
      </c>
      <c r="H327">
        <v>1424</v>
      </c>
      <c r="J327" s="14">
        <f>VLOOKUP(Table5[[#This Row],[Shortname]], Comp[], 7, FALSE)</f>
        <v>66</v>
      </c>
      <c r="K327">
        <f>VLOOKUP(Table5[[#This Row],[Shortname]], Comp[], 8, FALSE)</f>
        <v>17</v>
      </c>
      <c r="L327">
        <f>VLOOKUP(Table5[[#This Row],[Shortname]], Comp[], 9, FALSE)</f>
        <v>9</v>
      </c>
      <c r="M327">
        <f>VLOOKUP(Table5[[#This Row],[Shortname]], Comp[], 10, FALSE)</f>
        <v>0</v>
      </c>
      <c r="N327">
        <f>VLOOKUP(Table5[[#This Row],[Shortname]], Comp[], 11, FALSE)</f>
        <v>5</v>
      </c>
      <c r="O327">
        <f>VLOOKUP(Table5[[#This Row],[Shortname]], Comp[],12, FALSE)</f>
        <v>3</v>
      </c>
      <c r="P327">
        <f>VLOOKUP(Table5[[#This Row],[Shortname]], Comp[], 13, FALSE)</f>
        <v>0</v>
      </c>
      <c r="Q327">
        <f>VLOOKUP(Table5[[#This Row],[Shortname]], Comp[], 14, FALSE)</f>
        <v>0</v>
      </c>
      <c r="R327">
        <f>VLOOKUP(Table5[[#This Row],[Shortname]], Comp[], 15, FALSE)</f>
        <v>0</v>
      </c>
      <c r="S327">
        <f>VLOOKUP(Table5[[#This Row],[Shortname]], Comp[], 16, FALSE)</f>
        <v>0</v>
      </c>
      <c r="T327">
        <f>VLOOKUP(Table5[[#This Row],[Shortname]], Comp[], 17, FALSE)</f>
        <v>0</v>
      </c>
      <c r="U327">
        <f>VLOOKUP(Table5[[#This Row],[Shortname]], Comp[], 18, FALSE)</f>
        <v>0</v>
      </c>
      <c r="V327">
        <f>VLOOKUP(Table5[[#This Row],[Shortname]], Comp[], 19, FALSE)</f>
        <v>0</v>
      </c>
      <c r="W327">
        <f>VLOOKUP(Table5[[#This Row],[Shortname]], Comp[], 20, FALSE)</f>
        <v>0</v>
      </c>
      <c r="X327">
        <f>VLOOKUP(Table5[[#This Row],[Shortname]], Comp[], 21, FALSE)</f>
        <v>0</v>
      </c>
      <c r="Y327">
        <f>VLOOKUP(Table5[[#This Row],[Shortname]], Comp[], 22, FALSE)</f>
        <v>0</v>
      </c>
      <c r="Z327">
        <f>VLOOKUP(Table5[[#This Row],[Shortname]], Comp[], 23, FALSE)</f>
        <v>0</v>
      </c>
      <c r="AA327">
        <f>VLOOKUP(Table5[[#This Row],[Shortname]], Comp[], 24, FALSE)</f>
        <v>0</v>
      </c>
      <c r="AB327">
        <f>VLOOKUP(Table5[[#This Row],[Shortname]], Comp[], 25, FALSE)</f>
        <v>0</v>
      </c>
      <c r="AC327">
        <f>VLOOKUP(Table5[[#This Row],[Shortname]], Comp[], 26, FALSE)</f>
        <v>0</v>
      </c>
      <c r="AD327">
        <f>VLOOKUP(Table5[[#This Row],[Shortname]], Comp[], 27, FALSE)</f>
        <v>0</v>
      </c>
      <c r="AE327">
        <f>VLOOKUP(Table5[[#This Row],[Shortname]], Comp[], 28, FALSE)</f>
        <v>0</v>
      </c>
      <c r="AF327">
        <f>VLOOKUP(Table5[[#This Row],[Shortname]], Comp[], 29, FALSE)</f>
        <v>0</v>
      </c>
      <c r="AG327">
        <f>VLOOKUP(Table5[[#This Row],[Shortname]], Comp[], 30, FALSE)</f>
        <v>0</v>
      </c>
      <c r="AH327">
        <f>VLOOKUP(Table5[[#This Row],[Shortname]], Comp[], 31, FALSE)</f>
        <v>0</v>
      </c>
    </row>
    <row r="328" spans="1:34" x14ac:dyDescent="0.3">
      <c r="A328" s="7" t="s">
        <v>3236</v>
      </c>
      <c r="B328">
        <v>338</v>
      </c>
      <c r="C328" s="7" t="str">
        <f>VLOOKUP(Table5[[#This Row],[Shortname]], [1]!comp[#Data], 2, FALSE)</f>
        <v>CoAlWX+</v>
      </c>
      <c r="D328" s="7" t="s">
        <v>1567</v>
      </c>
      <c r="E328" s="23" t="s">
        <v>6744</v>
      </c>
      <c r="F328">
        <v>1100</v>
      </c>
      <c r="G328">
        <v>1395</v>
      </c>
      <c r="H328">
        <v>1426</v>
      </c>
      <c r="J328" s="14">
        <f>VLOOKUP(Table5[[#This Row],[Shortname]], Comp[], 7, FALSE)</f>
        <v>59.3</v>
      </c>
      <c r="K328">
        <f>VLOOKUP(Table5[[#This Row],[Shortname]], Comp[], 8, FALSE)</f>
        <v>17</v>
      </c>
      <c r="L328">
        <f>VLOOKUP(Table5[[#This Row],[Shortname]], Comp[], 9, FALSE)</f>
        <v>10</v>
      </c>
      <c r="M328">
        <f>VLOOKUP(Table5[[#This Row],[Shortname]], Comp[], 10, FALSE)</f>
        <v>6</v>
      </c>
      <c r="N328">
        <f>VLOOKUP(Table5[[#This Row],[Shortname]], Comp[], 11, FALSE)</f>
        <v>5</v>
      </c>
      <c r="O328">
        <f>VLOOKUP(Table5[[#This Row],[Shortname]], Comp[],12, FALSE)</f>
        <v>0</v>
      </c>
      <c r="P328">
        <f>VLOOKUP(Table5[[#This Row],[Shortname]], Comp[], 13, FALSE)</f>
        <v>2.7</v>
      </c>
      <c r="Q328">
        <f>VLOOKUP(Table5[[#This Row],[Shortname]], Comp[], 14, FALSE)</f>
        <v>0</v>
      </c>
      <c r="R328">
        <f>VLOOKUP(Table5[[#This Row],[Shortname]], Comp[], 15, FALSE)</f>
        <v>0</v>
      </c>
      <c r="S328">
        <f>VLOOKUP(Table5[[#This Row],[Shortname]], Comp[], 16, FALSE)</f>
        <v>0</v>
      </c>
      <c r="T328">
        <f>VLOOKUP(Table5[[#This Row],[Shortname]], Comp[], 17, FALSE)</f>
        <v>0</v>
      </c>
      <c r="U328">
        <f>VLOOKUP(Table5[[#This Row],[Shortname]], Comp[], 18, FALSE)</f>
        <v>0</v>
      </c>
      <c r="V328">
        <f>VLOOKUP(Table5[[#This Row],[Shortname]], Comp[], 19, FALSE)</f>
        <v>0</v>
      </c>
      <c r="W328">
        <f>VLOOKUP(Table5[[#This Row],[Shortname]], Comp[], 20, FALSE)</f>
        <v>0</v>
      </c>
      <c r="X328">
        <f>VLOOKUP(Table5[[#This Row],[Shortname]], Comp[], 21, FALSE)</f>
        <v>0</v>
      </c>
      <c r="Y328">
        <f>VLOOKUP(Table5[[#This Row],[Shortname]], Comp[], 22, FALSE)</f>
        <v>0</v>
      </c>
      <c r="Z328">
        <f>VLOOKUP(Table5[[#This Row],[Shortname]], Comp[], 23, FALSE)</f>
        <v>0</v>
      </c>
      <c r="AA328">
        <f>VLOOKUP(Table5[[#This Row],[Shortname]], Comp[], 24, FALSE)</f>
        <v>0</v>
      </c>
      <c r="AB328">
        <f>VLOOKUP(Table5[[#This Row],[Shortname]], Comp[], 25, FALSE)</f>
        <v>0</v>
      </c>
      <c r="AC328">
        <f>VLOOKUP(Table5[[#This Row],[Shortname]], Comp[], 26, FALSE)</f>
        <v>0</v>
      </c>
      <c r="AD328">
        <f>VLOOKUP(Table5[[#This Row],[Shortname]], Comp[], 27, FALSE)</f>
        <v>0</v>
      </c>
      <c r="AE328">
        <f>VLOOKUP(Table5[[#This Row],[Shortname]], Comp[], 28, FALSE)</f>
        <v>0</v>
      </c>
      <c r="AF328">
        <f>VLOOKUP(Table5[[#This Row],[Shortname]], Comp[], 29, FALSE)</f>
        <v>0</v>
      </c>
      <c r="AG328">
        <f>VLOOKUP(Table5[[#This Row],[Shortname]], Comp[], 30, FALSE)</f>
        <v>0</v>
      </c>
      <c r="AH328">
        <f>VLOOKUP(Table5[[#This Row],[Shortname]], Comp[], 31, FALSE)</f>
        <v>0</v>
      </c>
    </row>
    <row r="329" spans="1:34" x14ac:dyDescent="0.3">
      <c r="A329" s="7" t="s">
        <v>5142</v>
      </c>
      <c r="B329">
        <v>339</v>
      </c>
      <c r="C329" s="7" t="str">
        <f>VLOOKUP(Table5[[#This Row],[Shortname]], [1]!comp[#Data], 2, FALSE)</f>
        <v>CoAlW-X</v>
      </c>
      <c r="D329" t="s">
        <v>5144</v>
      </c>
      <c r="E329" s="3" t="s">
        <v>3245</v>
      </c>
      <c r="F329" s="24">
        <v>1130</v>
      </c>
      <c r="G329">
        <v>1449</v>
      </c>
      <c r="J329" s="14">
        <f>VLOOKUP(Table5[[#This Row],[Shortname]], Comp[], 7, FALSE)</f>
        <v>22.5</v>
      </c>
      <c r="K329">
        <f>VLOOKUP(Table5[[#This Row],[Shortname]], Comp[], 8, FALSE)</f>
        <v>60</v>
      </c>
      <c r="L329">
        <f>VLOOKUP(Table5[[#This Row],[Shortname]], Comp[], 9, FALSE)</f>
        <v>10</v>
      </c>
      <c r="M329">
        <f>VLOOKUP(Table5[[#This Row],[Shortname]], Comp[], 10, FALSE)</f>
        <v>0</v>
      </c>
      <c r="N329">
        <f>VLOOKUP(Table5[[#This Row],[Shortname]], Comp[], 11, FALSE)</f>
        <v>7.5</v>
      </c>
      <c r="O329">
        <f>VLOOKUP(Table5[[#This Row],[Shortname]], Comp[],12, FALSE)</f>
        <v>0</v>
      </c>
      <c r="P329">
        <f>VLOOKUP(Table5[[#This Row],[Shortname]], Comp[], 13, FALSE)</f>
        <v>0</v>
      </c>
      <c r="Q329">
        <f>VLOOKUP(Table5[[#This Row],[Shortname]], Comp[], 14, FALSE)</f>
        <v>0</v>
      </c>
      <c r="R329">
        <f>VLOOKUP(Table5[[#This Row],[Shortname]], Comp[], 15, FALSE)</f>
        <v>0</v>
      </c>
      <c r="S329">
        <f>VLOOKUP(Table5[[#This Row],[Shortname]], Comp[], 16, FALSE)</f>
        <v>0</v>
      </c>
      <c r="T329">
        <f>VLOOKUP(Table5[[#This Row],[Shortname]], Comp[], 17, FALSE)</f>
        <v>0</v>
      </c>
      <c r="U329">
        <f>VLOOKUP(Table5[[#This Row],[Shortname]], Comp[], 18, FALSE)</f>
        <v>0</v>
      </c>
      <c r="V329">
        <f>VLOOKUP(Table5[[#This Row],[Shortname]], Comp[], 19, FALSE)</f>
        <v>0</v>
      </c>
      <c r="W329">
        <f>VLOOKUP(Table5[[#This Row],[Shortname]], Comp[], 20, FALSE)</f>
        <v>0</v>
      </c>
      <c r="X329">
        <f>VLOOKUP(Table5[[#This Row],[Shortname]], Comp[], 21, FALSE)</f>
        <v>0</v>
      </c>
      <c r="Y329">
        <f>VLOOKUP(Table5[[#This Row],[Shortname]], Comp[], 22, FALSE)</f>
        <v>0</v>
      </c>
      <c r="Z329">
        <f>VLOOKUP(Table5[[#This Row],[Shortname]], Comp[], 23, FALSE)</f>
        <v>0</v>
      </c>
      <c r="AA329">
        <f>VLOOKUP(Table5[[#This Row],[Shortname]], Comp[], 24, FALSE)</f>
        <v>0</v>
      </c>
      <c r="AB329">
        <f>VLOOKUP(Table5[[#This Row],[Shortname]], Comp[], 25, FALSE)</f>
        <v>0</v>
      </c>
      <c r="AC329">
        <f>VLOOKUP(Table5[[#This Row],[Shortname]], Comp[], 26, FALSE)</f>
        <v>0</v>
      </c>
      <c r="AD329">
        <f>VLOOKUP(Table5[[#This Row],[Shortname]], Comp[], 27, FALSE)</f>
        <v>0</v>
      </c>
      <c r="AE329">
        <f>VLOOKUP(Table5[[#This Row],[Shortname]], Comp[], 28, FALSE)</f>
        <v>0</v>
      </c>
      <c r="AF329">
        <f>VLOOKUP(Table5[[#This Row],[Shortname]], Comp[], 29, FALSE)</f>
        <v>0</v>
      </c>
      <c r="AG329">
        <f>VLOOKUP(Table5[[#This Row],[Shortname]], Comp[], 30, FALSE)</f>
        <v>0</v>
      </c>
      <c r="AH329">
        <f>VLOOKUP(Table5[[#This Row],[Shortname]], Comp[], 31, FALSE)</f>
        <v>0</v>
      </c>
    </row>
    <row r="330" spans="1:34" x14ac:dyDescent="0.3">
      <c r="A330" s="7" t="s">
        <v>5123</v>
      </c>
      <c r="B330">
        <v>340</v>
      </c>
      <c r="C330" s="7" t="str">
        <f>VLOOKUP(Table5[[#This Row],[Shortname]], [1]!comp[#Data], 2, FALSE)</f>
        <v>CoAlW-X</v>
      </c>
      <c r="D330" t="s">
        <v>5125</v>
      </c>
      <c r="E330" s="3" t="s">
        <v>3245</v>
      </c>
      <c r="F330">
        <v>1225</v>
      </c>
      <c r="G330">
        <v>1448</v>
      </c>
      <c r="J330" s="14">
        <f>VLOOKUP(Table5[[#This Row],[Shortname]], Comp[], 7, FALSE)</f>
        <v>0</v>
      </c>
      <c r="K330">
        <f>VLOOKUP(Table5[[#This Row],[Shortname]], Comp[], 8, FALSE)</f>
        <v>80</v>
      </c>
      <c r="L330">
        <f>VLOOKUP(Table5[[#This Row],[Shortname]], Comp[], 9, FALSE)</f>
        <v>10</v>
      </c>
      <c r="M330">
        <f>VLOOKUP(Table5[[#This Row],[Shortname]], Comp[], 10, FALSE)</f>
        <v>0</v>
      </c>
      <c r="N330">
        <f>VLOOKUP(Table5[[#This Row],[Shortname]], Comp[], 11, FALSE)</f>
        <v>10</v>
      </c>
      <c r="O330">
        <f>VLOOKUP(Table5[[#This Row],[Shortname]], Comp[],12, FALSE)</f>
        <v>0</v>
      </c>
      <c r="P330">
        <f>VLOOKUP(Table5[[#This Row],[Shortname]], Comp[], 13, FALSE)</f>
        <v>0</v>
      </c>
      <c r="Q330">
        <f>VLOOKUP(Table5[[#This Row],[Shortname]], Comp[], 14, FALSE)</f>
        <v>0</v>
      </c>
      <c r="R330">
        <f>VLOOKUP(Table5[[#This Row],[Shortname]], Comp[], 15, FALSE)</f>
        <v>0</v>
      </c>
      <c r="S330">
        <f>VLOOKUP(Table5[[#This Row],[Shortname]], Comp[], 16, FALSE)</f>
        <v>0</v>
      </c>
      <c r="T330">
        <f>VLOOKUP(Table5[[#This Row],[Shortname]], Comp[], 17, FALSE)</f>
        <v>0</v>
      </c>
      <c r="U330">
        <f>VLOOKUP(Table5[[#This Row],[Shortname]], Comp[], 18, FALSE)</f>
        <v>0</v>
      </c>
      <c r="V330">
        <f>VLOOKUP(Table5[[#This Row],[Shortname]], Comp[], 19, FALSE)</f>
        <v>0</v>
      </c>
      <c r="W330">
        <f>VLOOKUP(Table5[[#This Row],[Shortname]], Comp[], 20, FALSE)</f>
        <v>0</v>
      </c>
      <c r="X330">
        <f>VLOOKUP(Table5[[#This Row],[Shortname]], Comp[], 21, FALSE)</f>
        <v>0</v>
      </c>
      <c r="Y330">
        <f>VLOOKUP(Table5[[#This Row],[Shortname]], Comp[], 22, FALSE)</f>
        <v>0</v>
      </c>
      <c r="Z330">
        <f>VLOOKUP(Table5[[#This Row],[Shortname]], Comp[], 23, FALSE)</f>
        <v>0</v>
      </c>
      <c r="AA330">
        <f>VLOOKUP(Table5[[#This Row],[Shortname]], Comp[], 24, FALSE)</f>
        <v>0</v>
      </c>
      <c r="AB330">
        <f>VLOOKUP(Table5[[#This Row],[Shortname]], Comp[], 25, FALSE)</f>
        <v>0</v>
      </c>
      <c r="AC330">
        <f>VLOOKUP(Table5[[#This Row],[Shortname]], Comp[], 26, FALSE)</f>
        <v>0</v>
      </c>
      <c r="AD330">
        <f>VLOOKUP(Table5[[#This Row],[Shortname]], Comp[], 27, FALSE)</f>
        <v>0</v>
      </c>
      <c r="AE330">
        <f>VLOOKUP(Table5[[#This Row],[Shortname]], Comp[], 28, FALSE)</f>
        <v>0</v>
      </c>
      <c r="AF330">
        <f>VLOOKUP(Table5[[#This Row],[Shortname]], Comp[], 29, FALSE)</f>
        <v>0</v>
      </c>
      <c r="AG330">
        <f>VLOOKUP(Table5[[#This Row],[Shortname]], Comp[], 30, FALSE)</f>
        <v>0</v>
      </c>
      <c r="AH330">
        <f>VLOOKUP(Table5[[#This Row],[Shortname]], Comp[], 31, FALSE)</f>
        <v>0</v>
      </c>
    </row>
    <row r="331" spans="1:34" x14ac:dyDescent="0.3">
      <c r="A331" s="7" t="s">
        <v>5117</v>
      </c>
      <c r="B331">
        <v>341</v>
      </c>
      <c r="C331" s="7" t="str">
        <f>VLOOKUP(Table5[[#This Row],[Shortname]], [1]!comp[#Data], 2, FALSE)</f>
        <v>CoAlW-X</v>
      </c>
      <c r="D331" t="s">
        <v>5119</v>
      </c>
      <c r="E331" s="3" t="s">
        <v>3245</v>
      </c>
      <c r="F331">
        <v>1204</v>
      </c>
      <c r="G331">
        <v>1448</v>
      </c>
      <c r="J331" s="14">
        <f>VLOOKUP(Table5[[#This Row],[Shortname]], Comp[], 7, FALSE)</f>
        <v>10</v>
      </c>
      <c r="K331">
        <f>VLOOKUP(Table5[[#This Row],[Shortname]], Comp[], 8, FALSE)</f>
        <v>70</v>
      </c>
      <c r="L331">
        <f>VLOOKUP(Table5[[#This Row],[Shortname]], Comp[], 9, FALSE)</f>
        <v>10</v>
      </c>
      <c r="M331">
        <f>VLOOKUP(Table5[[#This Row],[Shortname]], Comp[], 10, FALSE)</f>
        <v>0</v>
      </c>
      <c r="N331">
        <f>VLOOKUP(Table5[[#This Row],[Shortname]], Comp[], 11, FALSE)</f>
        <v>10</v>
      </c>
      <c r="O331">
        <f>VLOOKUP(Table5[[#This Row],[Shortname]], Comp[],12, FALSE)</f>
        <v>0</v>
      </c>
      <c r="P331">
        <f>VLOOKUP(Table5[[#This Row],[Shortname]], Comp[], 13, FALSE)</f>
        <v>0</v>
      </c>
      <c r="Q331">
        <f>VLOOKUP(Table5[[#This Row],[Shortname]], Comp[], 14, FALSE)</f>
        <v>0</v>
      </c>
      <c r="R331">
        <f>VLOOKUP(Table5[[#This Row],[Shortname]], Comp[], 15, FALSE)</f>
        <v>0</v>
      </c>
      <c r="S331">
        <f>VLOOKUP(Table5[[#This Row],[Shortname]], Comp[], 16, FALSE)</f>
        <v>0</v>
      </c>
      <c r="T331">
        <f>VLOOKUP(Table5[[#This Row],[Shortname]], Comp[], 17, FALSE)</f>
        <v>0</v>
      </c>
      <c r="U331">
        <f>VLOOKUP(Table5[[#This Row],[Shortname]], Comp[], 18, FALSE)</f>
        <v>0</v>
      </c>
      <c r="V331">
        <f>VLOOKUP(Table5[[#This Row],[Shortname]], Comp[], 19, FALSE)</f>
        <v>0</v>
      </c>
      <c r="W331">
        <f>VLOOKUP(Table5[[#This Row],[Shortname]], Comp[], 20, FALSE)</f>
        <v>0</v>
      </c>
      <c r="X331">
        <f>VLOOKUP(Table5[[#This Row],[Shortname]], Comp[], 21, FALSE)</f>
        <v>0</v>
      </c>
      <c r="Y331">
        <f>VLOOKUP(Table5[[#This Row],[Shortname]], Comp[], 22, FALSE)</f>
        <v>0</v>
      </c>
      <c r="Z331">
        <f>VLOOKUP(Table5[[#This Row],[Shortname]], Comp[], 23, FALSE)</f>
        <v>0</v>
      </c>
      <c r="AA331">
        <f>VLOOKUP(Table5[[#This Row],[Shortname]], Comp[], 24, FALSE)</f>
        <v>0</v>
      </c>
      <c r="AB331">
        <f>VLOOKUP(Table5[[#This Row],[Shortname]], Comp[], 25, FALSE)</f>
        <v>0</v>
      </c>
      <c r="AC331">
        <f>VLOOKUP(Table5[[#This Row],[Shortname]], Comp[], 26, FALSE)</f>
        <v>0</v>
      </c>
      <c r="AD331">
        <f>VLOOKUP(Table5[[#This Row],[Shortname]], Comp[], 27, FALSE)</f>
        <v>0</v>
      </c>
      <c r="AE331">
        <f>VLOOKUP(Table5[[#This Row],[Shortname]], Comp[], 28, FALSE)</f>
        <v>0</v>
      </c>
      <c r="AF331">
        <f>VLOOKUP(Table5[[#This Row],[Shortname]], Comp[], 29, FALSE)</f>
        <v>0</v>
      </c>
      <c r="AG331">
        <f>VLOOKUP(Table5[[#This Row],[Shortname]], Comp[], 30, FALSE)</f>
        <v>0</v>
      </c>
      <c r="AH331">
        <f>VLOOKUP(Table5[[#This Row],[Shortname]], Comp[], 31, FALSE)</f>
        <v>0</v>
      </c>
    </row>
    <row r="332" spans="1:34" x14ac:dyDescent="0.3">
      <c r="A332" s="7" t="s">
        <v>5111</v>
      </c>
      <c r="B332">
        <v>342</v>
      </c>
      <c r="C332" s="7" t="str">
        <f>VLOOKUP(Table5[[#This Row],[Shortname]], [1]!comp[#Data], 2, FALSE)</f>
        <v>CoAlW-X</v>
      </c>
      <c r="D332" t="s">
        <v>5113</v>
      </c>
      <c r="E332" s="3" t="s">
        <v>3245</v>
      </c>
      <c r="F332">
        <v>1170</v>
      </c>
      <c r="G332">
        <v>1442</v>
      </c>
      <c r="J332" s="14">
        <f>VLOOKUP(Table5[[#This Row],[Shortname]], Comp[], 7, FALSE)</f>
        <v>20</v>
      </c>
      <c r="K332">
        <f>VLOOKUP(Table5[[#This Row],[Shortname]], Comp[], 8, FALSE)</f>
        <v>60</v>
      </c>
      <c r="L332">
        <f>VLOOKUP(Table5[[#This Row],[Shortname]], Comp[], 9, FALSE)</f>
        <v>10</v>
      </c>
      <c r="M332">
        <f>VLOOKUP(Table5[[#This Row],[Shortname]], Comp[], 10, FALSE)</f>
        <v>0</v>
      </c>
      <c r="N332">
        <f>VLOOKUP(Table5[[#This Row],[Shortname]], Comp[], 11, FALSE)</f>
        <v>10</v>
      </c>
      <c r="O332">
        <f>VLOOKUP(Table5[[#This Row],[Shortname]], Comp[],12, FALSE)</f>
        <v>0</v>
      </c>
      <c r="P332">
        <f>VLOOKUP(Table5[[#This Row],[Shortname]], Comp[], 13, FALSE)</f>
        <v>0</v>
      </c>
      <c r="Q332">
        <f>VLOOKUP(Table5[[#This Row],[Shortname]], Comp[], 14, FALSE)</f>
        <v>0</v>
      </c>
      <c r="R332">
        <f>VLOOKUP(Table5[[#This Row],[Shortname]], Comp[], 15, FALSE)</f>
        <v>0</v>
      </c>
      <c r="S332">
        <f>VLOOKUP(Table5[[#This Row],[Shortname]], Comp[], 16, FALSE)</f>
        <v>0</v>
      </c>
      <c r="T332">
        <f>VLOOKUP(Table5[[#This Row],[Shortname]], Comp[], 17, FALSE)</f>
        <v>0</v>
      </c>
      <c r="U332">
        <f>VLOOKUP(Table5[[#This Row],[Shortname]], Comp[], 18, FALSE)</f>
        <v>0</v>
      </c>
      <c r="V332">
        <f>VLOOKUP(Table5[[#This Row],[Shortname]], Comp[], 19, FALSE)</f>
        <v>0</v>
      </c>
      <c r="W332">
        <f>VLOOKUP(Table5[[#This Row],[Shortname]], Comp[], 20, FALSE)</f>
        <v>0</v>
      </c>
      <c r="X332">
        <f>VLOOKUP(Table5[[#This Row],[Shortname]], Comp[], 21, FALSE)</f>
        <v>0</v>
      </c>
      <c r="Y332">
        <f>VLOOKUP(Table5[[#This Row],[Shortname]], Comp[], 22, FALSE)</f>
        <v>0</v>
      </c>
      <c r="Z332">
        <f>VLOOKUP(Table5[[#This Row],[Shortname]], Comp[], 23, FALSE)</f>
        <v>0</v>
      </c>
      <c r="AA332">
        <f>VLOOKUP(Table5[[#This Row],[Shortname]], Comp[], 24, FALSE)</f>
        <v>0</v>
      </c>
      <c r="AB332">
        <f>VLOOKUP(Table5[[#This Row],[Shortname]], Comp[], 25, FALSE)</f>
        <v>0</v>
      </c>
      <c r="AC332">
        <f>VLOOKUP(Table5[[#This Row],[Shortname]], Comp[], 26, FALSE)</f>
        <v>0</v>
      </c>
      <c r="AD332">
        <f>VLOOKUP(Table5[[#This Row],[Shortname]], Comp[], 27, FALSE)</f>
        <v>0</v>
      </c>
      <c r="AE332">
        <f>VLOOKUP(Table5[[#This Row],[Shortname]], Comp[], 28, FALSE)</f>
        <v>0</v>
      </c>
      <c r="AF332">
        <f>VLOOKUP(Table5[[#This Row],[Shortname]], Comp[], 29, FALSE)</f>
        <v>0</v>
      </c>
      <c r="AG332">
        <f>VLOOKUP(Table5[[#This Row],[Shortname]], Comp[], 30, FALSE)</f>
        <v>0</v>
      </c>
      <c r="AH332">
        <f>VLOOKUP(Table5[[#This Row],[Shortname]], Comp[], 31, FALSE)</f>
        <v>0</v>
      </c>
    </row>
    <row r="333" spans="1:34" x14ac:dyDescent="0.3">
      <c r="A333" s="7" t="s">
        <v>5106</v>
      </c>
      <c r="B333">
        <v>343</v>
      </c>
      <c r="C333" s="7" t="str">
        <f>VLOOKUP(Table5[[#This Row],[Shortname]], [1]!comp[#Data], 2, FALSE)</f>
        <v>CoAlW-X</v>
      </c>
      <c r="D333" t="s">
        <v>5108</v>
      </c>
      <c r="E333" s="3" t="s">
        <v>3245</v>
      </c>
      <c r="F333">
        <v>1150</v>
      </c>
      <c r="G333">
        <v>1439</v>
      </c>
      <c r="J333" s="14">
        <f>VLOOKUP(Table5[[#This Row],[Shortname]], Comp[], 7, FALSE)</f>
        <v>30</v>
      </c>
      <c r="K333">
        <f>VLOOKUP(Table5[[#This Row],[Shortname]], Comp[], 8, FALSE)</f>
        <v>50</v>
      </c>
      <c r="L333">
        <f>VLOOKUP(Table5[[#This Row],[Shortname]], Comp[], 9, FALSE)</f>
        <v>10</v>
      </c>
      <c r="M333">
        <f>VLOOKUP(Table5[[#This Row],[Shortname]], Comp[], 10, FALSE)</f>
        <v>0</v>
      </c>
      <c r="N333">
        <f>VLOOKUP(Table5[[#This Row],[Shortname]], Comp[], 11, FALSE)</f>
        <v>10</v>
      </c>
      <c r="O333">
        <f>VLOOKUP(Table5[[#This Row],[Shortname]], Comp[],12, FALSE)</f>
        <v>0</v>
      </c>
      <c r="P333">
        <f>VLOOKUP(Table5[[#This Row],[Shortname]], Comp[], 13, FALSE)</f>
        <v>0</v>
      </c>
      <c r="Q333">
        <f>VLOOKUP(Table5[[#This Row],[Shortname]], Comp[], 14, FALSE)</f>
        <v>0</v>
      </c>
      <c r="R333">
        <f>VLOOKUP(Table5[[#This Row],[Shortname]], Comp[], 15, FALSE)</f>
        <v>0</v>
      </c>
      <c r="S333">
        <f>VLOOKUP(Table5[[#This Row],[Shortname]], Comp[], 16, FALSE)</f>
        <v>0</v>
      </c>
      <c r="T333">
        <f>VLOOKUP(Table5[[#This Row],[Shortname]], Comp[], 17, FALSE)</f>
        <v>0</v>
      </c>
      <c r="U333">
        <f>VLOOKUP(Table5[[#This Row],[Shortname]], Comp[], 18, FALSE)</f>
        <v>0</v>
      </c>
      <c r="V333">
        <f>VLOOKUP(Table5[[#This Row],[Shortname]], Comp[], 19, FALSE)</f>
        <v>0</v>
      </c>
      <c r="W333">
        <f>VLOOKUP(Table5[[#This Row],[Shortname]], Comp[], 20, FALSE)</f>
        <v>0</v>
      </c>
      <c r="X333">
        <f>VLOOKUP(Table5[[#This Row],[Shortname]], Comp[], 21, FALSE)</f>
        <v>0</v>
      </c>
      <c r="Y333">
        <f>VLOOKUP(Table5[[#This Row],[Shortname]], Comp[], 22, FALSE)</f>
        <v>0</v>
      </c>
      <c r="Z333">
        <f>VLOOKUP(Table5[[#This Row],[Shortname]], Comp[], 23, FALSE)</f>
        <v>0</v>
      </c>
      <c r="AA333">
        <f>VLOOKUP(Table5[[#This Row],[Shortname]], Comp[], 24, FALSE)</f>
        <v>0</v>
      </c>
      <c r="AB333">
        <f>VLOOKUP(Table5[[#This Row],[Shortname]], Comp[], 25, FALSE)</f>
        <v>0</v>
      </c>
      <c r="AC333">
        <f>VLOOKUP(Table5[[#This Row],[Shortname]], Comp[], 26, FALSE)</f>
        <v>0</v>
      </c>
      <c r="AD333">
        <f>VLOOKUP(Table5[[#This Row],[Shortname]], Comp[], 27, FALSE)</f>
        <v>0</v>
      </c>
      <c r="AE333">
        <f>VLOOKUP(Table5[[#This Row],[Shortname]], Comp[], 28, FALSE)</f>
        <v>0</v>
      </c>
      <c r="AF333">
        <f>VLOOKUP(Table5[[#This Row],[Shortname]], Comp[], 29, FALSE)</f>
        <v>0</v>
      </c>
      <c r="AG333">
        <f>VLOOKUP(Table5[[#This Row],[Shortname]], Comp[], 30, FALSE)</f>
        <v>0</v>
      </c>
      <c r="AH333">
        <f>VLOOKUP(Table5[[#This Row],[Shortname]], Comp[], 31, FALSE)</f>
        <v>0</v>
      </c>
    </row>
    <row r="334" spans="1:34" x14ac:dyDescent="0.3">
      <c r="A334" s="7" t="s">
        <v>5147</v>
      </c>
      <c r="B334">
        <v>344</v>
      </c>
      <c r="C334" s="7" t="str">
        <f>VLOOKUP(Table5[[#This Row],[Shortname]], [1]!comp[#Data], 2, FALSE)</f>
        <v>CoAlW-X</v>
      </c>
      <c r="D334" t="s">
        <v>5149</v>
      </c>
      <c r="E334" s="3" t="s">
        <v>3245</v>
      </c>
      <c r="F334">
        <v>1142</v>
      </c>
      <c r="J334" s="14">
        <f>VLOOKUP(Table5[[#This Row],[Shortname]], Comp[], 7, FALSE)</f>
        <v>12.5</v>
      </c>
      <c r="K334">
        <f>VLOOKUP(Table5[[#This Row],[Shortname]], Comp[], 8, FALSE)</f>
        <v>70</v>
      </c>
      <c r="L334">
        <f>VLOOKUP(Table5[[#This Row],[Shortname]], Comp[], 9, FALSE)</f>
        <v>10</v>
      </c>
      <c r="M334">
        <f>VLOOKUP(Table5[[#This Row],[Shortname]], Comp[], 10, FALSE)</f>
        <v>0</v>
      </c>
      <c r="N334">
        <f>VLOOKUP(Table5[[#This Row],[Shortname]], Comp[], 11, FALSE)</f>
        <v>7.5</v>
      </c>
      <c r="O334">
        <f>VLOOKUP(Table5[[#This Row],[Shortname]], Comp[],12, FALSE)</f>
        <v>0</v>
      </c>
      <c r="P334">
        <f>VLOOKUP(Table5[[#This Row],[Shortname]], Comp[], 13, FALSE)</f>
        <v>0</v>
      </c>
      <c r="Q334">
        <f>VLOOKUP(Table5[[#This Row],[Shortname]], Comp[], 14, FALSE)</f>
        <v>0</v>
      </c>
      <c r="R334">
        <f>VLOOKUP(Table5[[#This Row],[Shortname]], Comp[], 15, FALSE)</f>
        <v>0</v>
      </c>
      <c r="S334">
        <f>VLOOKUP(Table5[[#This Row],[Shortname]], Comp[], 16, FALSE)</f>
        <v>0</v>
      </c>
      <c r="T334">
        <f>VLOOKUP(Table5[[#This Row],[Shortname]], Comp[], 17, FALSE)</f>
        <v>0</v>
      </c>
      <c r="U334">
        <f>VLOOKUP(Table5[[#This Row],[Shortname]], Comp[], 18, FALSE)</f>
        <v>0</v>
      </c>
      <c r="V334">
        <f>VLOOKUP(Table5[[#This Row],[Shortname]], Comp[], 19, FALSE)</f>
        <v>0</v>
      </c>
      <c r="W334">
        <f>VLOOKUP(Table5[[#This Row],[Shortname]], Comp[], 20, FALSE)</f>
        <v>0</v>
      </c>
      <c r="X334">
        <f>VLOOKUP(Table5[[#This Row],[Shortname]], Comp[], 21, FALSE)</f>
        <v>0</v>
      </c>
      <c r="Y334">
        <f>VLOOKUP(Table5[[#This Row],[Shortname]], Comp[], 22, FALSE)</f>
        <v>0</v>
      </c>
      <c r="Z334">
        <f>VLOOKUP(Table5[[#This Row],[Shortname]], Comp[], 23, FALSE)</f>
        <v>0</v>
      </c>
      <c r="AA334">
        <f>VLOOKUP(Table5[[#This Row],[Shortname]], Comp[], 24, FALSE)</f>
        <v>0</v>
      </c>
      <c r="AB334">
        <f>VLOOKUP(Table5[[#This Row],[Shortname]], Comp[], 25, FALSE)</f>
        <v>0</v>
      </c>
      <c r="AC334">
        <f>VLOOKUP(Table5[[#This Row],[Shortname]], Comp[], 26, FALSE)</f>
        <v>0</v>
      </c>
      <c r="AD334">
        <f>VLOOKUP(Table5[[#This Row],[Shortname]], Comp[], 27, FALSE)</f>
        <v>0</v>
      </c>
      <c r="AE334">
        <f>VLOOKUP(Table5[[#This Row],[Shortname]], Comp[], 28, FALSE)</f>
        <v>0</v>
      </c>
      <c r="AF334">
        <f>VLOOKUP(Table5[[#This Row],[Shortname]], Comp[], 29, FALSE)</f>
        <v>0</v>
      </c>
      <c r="AG334">
        <f>VLOOKUP(Table5[[#This Row],[Shortname]], Comp[], 30, FALSE)</f>
        <v>0</v>
      </c>
      <c r="AH334">
        <f>VLOOKUP(Table5[[#This Row],[Shortname]], Comp[], 31, FALSE)</f>
        <v>0</v>
      </c>
    </row>
    <row r="335" spans="1:34" x14ac:dyDescent="0.3">
      <c r="A335" s="7" t="s">
        <v>3318</v>
      </c>
      <c r="B335">
        <v>345</v>
      </c>
      <c r="C335" s="7" t="str">
        <f>VLOOKUP(Table5[[#This Row],[Shortname]], [1]!comp[#Data], 2, FALSE)</f>
        <v>CoAlW-X</v>
      </c>
      <c r="D335" s="7" t="s">
        <v>3320</v>
      </c>
      <c r="E335" t="s">
        <v>6626</v>
      </c>
      <c r="F335">
        <v>1123</v>
      </c>
      <c r="G335">
        <v>1439</v>
      </c>
      <c r="H335">
        <v>1439</v>
      </c>
      <c r="J335" s="14">
        <f>VLOOKUP(Table5[[#This Row],[Shortname]], Comp[], 7, FALSE)</f>
        <v>40</v>
      </c>
      <c r="K335">
        <f>VLOOKUP(Table5[[#This Row],[Shortname]], Comp[], 8, FALSE)</f>
        <v>40</v>
      </c>
      <c r="L335">
        <f>VLOOKUP(Table5[[#This Row],[Shortname]], Comp[], 9, FALSE)</f>
        <v>10</v>
      </c>
      <c r="M335">
        <f>VLOOKUP(Table5[[#This Row],[Shortname]], Comp[], 10, FALSE)</f>
        <v>0</v>
      </c>
      <c r="N335">
        <f>VLOOKUP(Table5[[#This Row],[Shortname]], Comp[], 11, FALSE)</f>
        <v>10</v>
      </c>
      <c r="O335">
        <f>VLOOKUP(Table5[[#This Row],[Shortname]], Comp[],12, FALSE)</f>
        <v>0</v>
      </c>
      <c r="P335">
        <f>VLOOKUP(Table5[[#This Row],[Shortname]], Comp[], 13, FALSE)</f>
        <v>0</v>
      </c>
      <c r="Q335">
        <f>VLOOKUP(Table5[[#This Row],[Shortname]], Comp[], 14, FALSE)</f>
        <v>0</v>
      </c>
      <c r="R335">
        <f>VLOOKUP(Table5[[#This Row],[Shortname]], Comp[], 15, FALSE)</f>
        <v>0</v>
      </c>
      <c r="S335">
        <f>VLOOKUP(Table5[[#This Row],[Shortname]], Comp[], 16, FALSE)</f>
        <v>0</v>
      </c>
      <c r="T335">
        <f>VLOOKUP(Table5[[#This Row],[Shortname]], Comp[], 17, FALSE)</f>
        <v>0</v>
      </c>
      <c r="U335">
        <f>VLOOKUP(Table5[[#This Row],[Shortname]], Comp[], 18, FALSE)</f>
        <v>0</v>
      </c>
      <c r="V335">
        <f>VLOOKUP(Table5[[#This Row],[Shortname]], Comp[], 19, FALSE)</f>
        <v>0</v>
      </c>
      <c r="W335">
        <f>VLOOKUP(Table5[[#This Row],[Shortname]], Comp[], 20, FALSE)</f>
        <v>0</v>
      </c>
      <c r="X335">
        <f>VLOOKUP(Table5[[#This Row],[Shortname]], Comp[], 21, FALSE)</f>
        <v>0</v>
      </c>
      <c r="Y335">
        <f>VLOOKUP(Table5[[#This Row],[Shortname]], Comp[], 22, FALSE)</f>
        <v>0</v>
      </c>
      <c r="Z335">
        <f>VLOOKUP(Table5[[#This Row],[Shortname]], Comp[], 23, FALSE)</f>
        <v>0</v>
      </c>
      <c r="AA335">
        <f>VLOOKUP(Table5[[#This Row],[Shortname]], Comp[], 24, FALSE)</f>
        <v>0</v>
      </c>
      <c r="AB335">
        <f>VLOOKUP(Table5[[#This Row],[Shortname]], Comp[], 25, FALSE)</f>
        <v>0</v>
      </c>
      <c r="AC335">
        <f>VLOOKUP(Table5[[#This Row],[Shortname]], Comp[], 26, FALSE)</f>
        <v>0</v>
      </c>
      <c r="AD335">
        <f>VLOOKUP(Table5[[#This Row],[Shortname]], Comp[], 27, FALSE)</f>
        <v>0</v>
      </c>
      <c r="AE335">
        <f>VLOOKUP(Table5[[#This Row],[Shortname]], Comp[], 28, FALSE)</f>
        <v>0</v>
      </c>
      <c r="AF335">
        <f>VLOOKUP(Table5[[#This Row],[Shortname]], Comp[], 29, FALSE)</f>
        <v>0</v>
      </c>
      <c r="AG335">
        <f>VLOOKUP(Table5[[#This Row],[Shortname]], Comp[], 30, FALSE)</f>
        <v>0</v>
      </c>
      <c r="AH335">
        <f>VLOOKUP(Table5[[#This Row],[Shortname]], Comp[], 31, FALSE)</f>
        <v>0</v>
      </c>
    </row>
    <row r="336" spans="1:34" x14ac:dyDescent="0.3">
      <c r="A336" s="7" t="s">
        <v>3318</v>
      </c>
      <c r="B336">
        <v>346</v>
      </c>
      <c r="C336" s="7" t="str">
        <f>VLOOKUP(Table5[[#This Row],[Shortname]], [1]!comp[#Data], 2, FALSE)</f>
        <v>CoAlW-X</v>
      </c>
      <c r="D336" t="s">
        <v>5104</v>
      </c>
      <c r="E336" s="3" t="s">
        <v>3245</v>
      </c>
      <c r="F336">
        <v>1122</v>
      </c>
      <c r="G336">
        <v>1438</v>
      </c>
      <c r="J336" s="14">
        <f>VLOOKUP(Table5[[#This Row],[Shortname]], Comp[], 7, FALSE)</f>
        <v>40</v>
      </c>
      <c r="K336">
        <f>VLOOKUP(Table5[[#This Row],[Shortname]], Comp[], 8, FALSE)</f>
        <v>40</v>
      </c>
      <c r="L336">
        <f>VLOOKUP(Table5[[#This Row],[Shortname]], Comp[], 9, FALSE)</f>
        <v>10</v>
      </c>
      <c r="M336">
        <f>VLOOKUP(Table5[[#This Row],[Shortname]], Comp[], 10, FALSE)</f>
        <v>0</v>
      </c>
      <c r="N336">
        <f>VLOOKUP(Table5[[#This Row],[Shortname]], Comp[], 11, FALSE)</f>
        <v>10</v>
      </c>
      <c r="O336">
        <f>VLOOKUP(Table5[[#This Row],[Shortname]], Comp[],12, FALSE)</f>
        <v>0</v>
      </c>
      <c r="P336">
        <f>VLOOKUP(Table5[[#This Row],[Shortname]], Comp[], 13, FALSE)</f>
        <v>0</v>
      </c>
      <c r="Q336">
        <f>VLOOKUP(Table5[[#This Row],[Shortname]], Comp[], 14, FALSE)</f>
        <v>0</v>
      </c>
      <c r="R336">
        <f>VLOOKUP(Table5[[#This Row],[Shortname]], Comp[], 15, FALSE)</f>
        <v>0</v>
      </c>
      <c r="S336">
        <f>VLOOKUP(Table5[[#This Row],[Shortname]], Comp[], 16, FALSE)</f>
        <v>0</v>
      </c>
      <c r="T336">
        <f>VLOOKUP(Table5[[#This Row],[Shortname]], Comp[], 17, FALSE)</f>
        <v>0</v>
      </c>
      <c r="U336">
        <f>VLOOKUP(Table5[[#This Row],[Shortname]], Comp[], 18, FALSE)</f>
        <v>0</v>
      </c>
      <c r="V336">
        <f>VLOOKUP(Table5[[#This Row],[Shortname]], Comp[], 19, FALSE)</f>
        <v>0</v>
      </c>
      <c r="W336">
        <f>VLOOKUP(Table5[[#This Row],[Shortname]], Comp[], 20, FALSE)</f>
        <v>0</v>
      </c>
      <c r="X336">
        <f>VLOOKUP(Table5[[#This Row],[Shortname]], Comp[], 21, FALSE)</f>
        <v>0</v>
      </c>
      <c r="Y336">
        <f>VLOOKUP(Table5[[#This Row],[Shortname]], Comp[], 22, FALSE)</f>
        <v>0</v>
      </c>
      <c r="Z336">
        <f>VLOOKUP(Table5[[#This Row],[Shortname]], Comp[], 23, FALSE)</f>
        <v>0</v>
      </c>
      <c r="AA336">
        <f>VLOOKUP(Table5[[#This Row],[Shortname]], Comp[], 24, FALSE)</f>
        <v>0</v>
      </c>
      <c r="AB336">
        <f>VLOOKUP(Table5[[#This Row],[Shortname]], Comp[], 25, FALSE)</f>
        <v>0</v>
      </c>
      <c r="AC336">
        <f>VLOOKUP(Table5[[#This Row],[Shortname]], Comp[], 26, FALSE)</f>
        <v>0</v>
      </c>
      <c r="AD336">
        <f>VLOOKUP(Table5[[#This Row],[Shortname]], Comp[], 27, FALSE)</f>
        <v>0</v>
      </c>
      <c r="AE336">
        <f>VLOOKUP(Table5[[#This Row],[Shortname]], Comp[], 28, FALSE)</f>
        <v>0</v>
      </c>
      <c r="AF336">
        <f>VLOOKUP(Table5[[#This Row],[Shortname]], Comp[], 29, FALSE)</f>
        <v>0</v>
      </c>
      <c r="AG336">
        <f>VLOOKUP(Table5[[#This Row],[Shortname]], Comp[], 30, FALSE)</f>
        <v>0</v>
      </c>
      <c r="AH336">
        <f>VLOOKUP(Table5[[#This Row],[Shortname]], Comp[], 31, FALSE)</f>
        <v>0</v>
      </c>
    </row>
    <row r="337" spans="1:34" x14ac:dyDescent="0.3">
      <c r="A337" s="7" t="s">
        <v>5137</v>
      </c>
      <c r="B337">
        <v>347</v>
      </c>
      <c r="C337" s="7" t="str">
        <f>VLOOKUP(Table5[[#This Row],[Shortname]], [1]!comp[#Data], 2, FALSE)</f>
        <v>CoAlW-X</v>
      </c>
      <c r="D337" t="s">
        <v>5139</v>
      </c>
      <c r="E337" s="3" t="s">
        <v>3245</v>
      </c>
      <c r="F337">
        <v>1109</v>
      </c>
      <c r="G337">
        <v>1444</v>
      </c>
      <c r="J337" s="14">
        <f>VLOOKUP(Table5[[#This Row],[Shortname]], Comp[], 7, FALSE)</f>
        <v>32.5</v>
      </c>
      <c r="K337">
        <f>VLOOKUP(Table5[[#This Row],[Shortname]], Comp[], 8, FALSE)</f>
        <v>50</v>
      </c>
      <c r="L337">
        <f>VLOOKUP(Table5[[#This Row],[Shortname]], Comp[], 9, FALSE)</f>
        <v>10</v>
      </c>
      <c r="M337">
        <f>VLOOKUP(Table5[[#This Row],[Shortname]], Comp[], 10, FALSE)</f>
        <v>0</v>
      </c>
      <c r="N337">
        <f>VLOOKUP(Table5[[#This Row],[Shortname]], Comp[], 11, FALSE)</f>
        <v>7.5</v>
      </c>
      <c r="O337">
        <f>VLOOKUP(Table5[[#This Row],[Shortname]], Comp[],12, FALSE)</f>
        <v>0</v>
      </c>
      <c r="P337">
        <f>VLOOKUP(Table5[[#This Row],[Shortname]], Comp[], 13, FALSE)</f>
        <v>0</v>
      </c>
      <c r="Q337">
        <f>VLOOKUP(Table5[[#This Row],[Shortname]], Comp[], 14, FALSE)</f>
        <v>0</v>
      </c>
      <c r="R337">
        <f>VLOOKUP(Table5[[#This Row],[Shortname]], Comp[], 15, FALSE)</f>
        <v>0</v>
      </c>
      <c r="S337">
        <f>VLOOKUP(Table5[[#This Row],[Shortname]], Comp[], 16, FALSE)</f>
        <v>0</v>
      </c>
      <c r="T337">
        <f>VLOOKUP(Table5[[#This Row],[Shortname]], Comp[], 17, FALSE)</f>
        <v>0</v>
      </c>
      <c r="U337">
        <f>VLOOKUP(Table5[[#This Row],[Shortname]], Comp[], 18, FALSE)</f>
        <v>0</v>
      </c>
      <c r="V337">
        <f>VLOOKUP(Table5[[#This Row],[Shortname]], Comp[], 19, FALSE)</f>
        <v>0</v>
      </c>
      <c r="W337">
        <f>VLOOKUP(Table5[[#This Row],[Shortname]], Comp[], 20, FALSE)</f>
        <v>0</v>
      </c>
      <c r="X337">
        <f>VLOOKUP(Table5[[#This Row],[Shortname]], Comp[], 21, FALSE)</f>
        <v>0</v>
      </c>
      <c r="Y337">
        <f>VLOOKUP(Table5[[#This Row],[Shortname]], Comp[], 22, FALSE)</f>
        <v>0</v>
      </c>
      <c r="Z337">
        <f>VLOOKUP(Table5[[#This Row],[Shortname]], Comp[], 23, FALSE)</f>
        <v>0</v>
      </c>
      <c r="AA337">
        <f>VLOOKUP(Table5[[#This Row],[Shortname]], Comp[], 24, FALSE)</f>
        <v>0</v>
      </c>
      <c r="AB337">
        <f>VLOOKUP(Table5[[#This Row],[Shortname]], Comp[], 25, FALSE)</f>
        <v>0</v>
      </c>
      <c r="AC337">
        <f>VLOOKUP(Table5[[#This Row],[Shortname]], Comp[], 26, FALSE)</f>
        <v>0</v>
      </c>
      <c r="AD337">
        <f>VLOOKUP(Table5[[#This Row],[Shortname]], Comp[], 27, FALSE)</f>
        <v>0</v>
      </c>
      <c r="AE337">
        <f>VLOOKUP(Table5[[#This Row],[Shortname]], Comp[], 28, FALSE)</f>
        <v>0</v>
      </c>
      <c r="AF337">
        <f>VLOOKUP(Table5[[#This Row],[Shortname]], Comp[], 29, FALSE)</f>
        <v>0</v>
      </c>
      <c r="AG337">
        <f>VLOOKUP(Table5[[#This Row],[Shortname]], Comp[], 30, FALSE)</f>
        <v>0</v>
      </c>
      <c r="AH337">
        <f>VLOOKUP(Table5[[#This Row],[Shortname]], Comp[], 31, FALSE)</f>
        <v>0</v>
      </c>
    </row>
    <row r="338" spans="1:34" x14ac:dyDescent="0.3">
      <c r="A338" s="7" t="s">
        <v>3287</v>
      </c>
      <c r="B338">
        <v>348</v>
      </c>
      <c r="C338" s="7" t="str">
        <f>VLOOKUP(Table5[[#This Row],[Shortname]], [1]!comp[#Data], 2, FALSE)</f>
        <v>CoAlW-X</v>
      </c>
      <c r="D338" s="7" t="s">
        <v>3289</v>
      </c>
      <c r="E338" t="s">
        <v>6626</v>
      </c>
      <c r="F338">
        <v>1096</v>
      </c>
      <c r="G338">
        <v>1439</v>
      </c>
      <c r="H338">
        <v>1439</v>
      </c>
      <c r="J338" s="14">
        <f>VLOOKUP(Table5[[#This Row],[Shortname]], Comp[], 7, FALSE)</f>
        <v>50</v>
      </c>
      <c r="K338">
        <f>VLOOKUP(Table5[[#This Row],[Shortname]], Comp[], 8, FALSE)</f>
        <v>30</v>
      </c>
      <c r="L338">
        <f>VLOOKUP(Table5[[#This Row],[Shortname]], Comp[], 9, FALSE)</f>
        <v>10</v>
      </c>
      <c r="M338">
        <f>VLOOKUP(Table5[[#This Row],[Shortname]], Comp[], 10, FALSE)</f>
        <v>0</v>
      </c>
      <c r="N338">
        <f>VLOOKUP(Table5[[#This Row],[Shortname]], Comp[], 11, FALSE)</f>
        <v>10</v>
      </c>
      <c r="O338">
        <f>VLOOKUP(Table5[[#This Row],[Shortname]], Comp[],12, FALSE)</f>
        <v>0</v>
      </c>
      <c r="P338">
        <f>VLOOKUP(Table5[[#This Row],[Shortname]], Comp[], 13, FALSE)</f>
        <v>0</v>
      </c>
      <c r="Q338">
        <f>VLOOKUP(Table5[[#This Row],[Shortname]], Comp[], 14, FALSE)</f>
        <v>0</v>
      </c>
      <c r="R338">
        <f>VLOOKUP(Table5[[#This Row],[Shortname]], Comp[], 15, FALSE)</f>
        <v>0</v>
      </c>
      <c r="S338">
        <f>VLOOKUP(Table5[[#This Row],[Shortname]], Comp[], 16, FALSE)</f>
        <v>0</v>
      </c>
      <c r="T338">
        <f>VLOOKUP(Table5[[#This Row],[Shortname]], Comp[], 17, FALSE)</f>
        <v>0</v>
      </c>
      <c r="U338">
        <f>VLOOKUP(Table5[[#This Row],[Shortname]], Comp[], 18, FALSE)</f>
        <v>0</v>
      </c>
      <c r="V338">
        <f>VLOOKUP(Table5[[#This Row],[Shortname]], Comp[], 19, FALSE)</f>
        <v>0</v>
      </c>
      <c r="W338">
        <f>VLOOKUP(Table5[[#This Row],[Shortname]], Comp[], 20, FALSE)</f>
        <v>0</v>
      </c>
      <c r="X338">
        <f>VLOOKUP(Table5[[#This Row],[Shortname]], Comp[], 21, FALSE)</f>
        <v>0</v>
      </c>
      <c r="Y338">
        <f>VLOOKUP(Table5[[#This Row],[Shortname]], Comp[], 22, FALSE)</f>
        <v>0</v>
      </c>
      <c r="Z338">
        <f>VLOOKUP(Table5[[#This Row],[Shortname]], Comp[], 23, FALSE)</f>
        <v>0</v>
      </c>
      <c r="AA338">
        <f>VLOOKUP(Table5[[#This Row],[Shortname]], Comp[], 24, FALSE)</f>
        <v>0</v>
      </c>
      <c r="AB338">
        <f>VLOOKUP(Table5[[#This Row],[Shortname]], Comp[], 25, FALSE)</f>
        <v>0</v>
      </c>
      <c r="AC338">
        <f>VLOOKUP(Table5[[#This Row],[Shortname]], Comp[], 26, FALSE)</f>
        <v>0</v>
      </c>
      <c r="AD338">
        <f>VLOOKUP(Table5[[#This Row],[Shortname]], Comp[], 27, FALSE)</f>
        <v>0</v>
      </c>
      <c r="AE338">
        <f>VLOOKUP(Table5[[#This Row],[Shortname]], Comp[], 28, FALSE)</f>
        <v>0</v>
      </c>
      <c r="AF338">
        <f>VLOOKUP(Table5[[#This Row],[Shortname]], Comp[], 29, FALSE)</f>
        <v>0</v>
      </c>
      <c r="AG338">
        <f>VLOOKUP(Table5[[#This Row],[Shortname]], Comp[], 30, FALSE)</f>
        <v>0</v>
      </c>
      <c r="AH338">
        <f>VLOOKUP(Table5[[#This Row],[Shortname]], Comp[], 31, FALSE)</f>
        <v>0</v>
      </c>
    </row>
    <row r="339" spans="1:34" x14ac:dyDescent="0.3">
      <c r="A339" s="7" t="s">
        <v>3287</v>
      </c>
      <c r="B339">
        <v>349</v>
      </c>
      <c r="C339" s="7" t="str">
        <f>VLOOKUP(Table5[[#This Row],[Shortname]], [1]!comp[#Data], 2, FALSE)</f>
        <v>CoAlW-X</v>
      </c>
      <c r="D339" t="s">
        <v>5102</v>
      </c>
      <c r="E339" s="3" t="s">
        <v>3245</v>
      </c>
      <c r="F339">
        <v>1095</v>
      </c>
      <c r="G339">
        <v>1436</v>
      </c>
      <c r="J339" s="14">
        <f>VLOOKUP(Table5[[#This Row],[Shortname]], Comp[], 7, FALSE)</f>
        <v>50</v>
      </c>
      <c r="K339">
        <f>VLOOKUP(Table5[[#This Row],[Shortname]], Comp[], 8, FALSE)</f>
        <v>30</v>
      </c>
      <c r="L339">
        <f>VLOOKUP(Table5[[#This Row],[Shortname]], Comp[], 9, FALSE)</f>
        <v>10</v>
      </c>
      <c r="M339">
        <f>VLOOKUP(Table5[[#This Row],[Shortname]], Comp[], 10, FALSE)</f>
        <v>0</v>
      </c>
      <c r="N339">
        <f>VLOOKUP(Table5[[#This Row],[Shortname]], Comp[], 11, FALSE)</f>
        <v>10</v>
      </c>
      <c r="O339">
        <f>VLOOKUP(Table5[[#This Row],[Shortname]], Comp[],12, FALSE)</f>
        <v>0</v>
      </c>
      <c r="P339">
        <f>VLOOKUP(Table5[[#This Row],[Shortname]], Comp[], 13, FALSE)</f>
        <v>0</v>
      </c>
      <c r="Q339">
        <f>VLOOKUP(Table5[[#This Row],[Shortname]], Comp[], 14, FALSE)</f>
        <v>0</v>
      </c>
      <c r="R339">
        <f>VLOOKUP(Table5[[#This Row],[Shortname]], Comp[], 15, FALSE)</f>
        <v>0</v>
      </c>
      <c r="S339">
        <f>VLOOKUP(Table5[[#This Row],[Shortname]], Comp[], 16, FALSE)</f>
        <v>0</v>
      </c>
      <c r="T339">
        <f>VLOOKUP(Table5[[#This Row],[Shortname]], Comp[], 17, FALSE)</f>
        <v>0</v>
      </c>
      <c r="U339">
        <f>VLOOKUP(Table5[[#This Row],[Shortname]], Comp[], 18, FALSE)</f>
        <v>0</v>
      </c>
      <c r="V339">
        <f>VLOOKUP(Table5[[#This Row],[Shortname]], Comp[], 19, FALSE)</f>
        <v>0</v>
      </c>
      <c r="W339">
        <f>VLOOKUP(Table5[[#This Row],[Shortname]], Comp[], 20, FALSE)</f>
        <v>0</v>
      </c>
      <c r="X339">
        <f>VLOOKUP(Table5[[#This Row],[Shortname]], Comp[], 21, FALSE)</f>
        <v>0</v>
      </c>
      <c r="Y339">
        <f>VLOOKUP(Table5[[#This Row],[Shortname]], Comp[], 22, FALSE)</f>
        <v>0</v>
      </c>
      <c r="Z339">
        <f>VLOOKUP(Table5[[#This Row],[Shortname]], Comp[], 23, FALSE)</f>
        <v>0</v>
      </c>
      <c r="AA339">
        <f>VLOOKUP(Table5[[#This Row],[Shortname]], Comp[], 24, FALSE)</f>
        <v>0</v>
      </c>
      <c r="AB339">
        <f>VLOOKUP(Table5[[#This Row],[Shortname]], Comp[], 25, FALSE)</f>
        <v>0</v>
      </c>
      <c r="AC339">
        <f>VLOOKUP(Table5[[#This Row],[Shortname]], Comp[], 26, FALSE)</f>
        <v>0</v>
      </c>
      <c r="AD339">
        <f>VLOOKUP(Table5[[#This Row],[Shortname]], Comp[], 27, FALSE)</f>
        <v>0</v>
      </c>
      <c r="AE339">
        <f>VLOOKUP(Table5[[#This Row],[Shortname]], Comp[], 28, FALSE)</f>
        <v>0</v>
      </c>
      <c r="AF339">
        <f>VLOOKUP(Table5[[#This Row],[Shortname]], Comp[], 29, FALSE)</f>
        <v>0</v>
      </c>
      <c r="AG339">
        <f>VLOOKUP(Table5[[#This Row],[Shortname]], Comp[], 30, FALSE)</f>
        <v>0</v>
      </c>
      <c r="AH339">
        <f>VLOOKUP(Table5[[#This Row],[Shortname]], Comp[], 31, FALSE)</f>
        <v>0</v>
      </c>
    </row>
    <row r="340" spans="1:34" x14ac:dyDescent="0.3">
      <c r="A340" s="7" t="s">
        <v>3262</v>
      </c>
      <c r="B340">
        <v>350</v>
      </c>
      <c r="C340" s="7" t="str">
        <f>VLOOKUP(Table5[[#This Row],[Shortname]], [1]!comp[#Data], 2, FALSE)</f>
        <v>CoAlW-X</v>
      </c>
      <c r="D340" s="7" t="s">
        <v>3264</v>
      </c>
      <c r="E340" t="s">
        <v>6626</v>
      </c>
      <c r="F340">
        <v>1075</v>
      </c>
      <c r="J340" s="14">
        <f>VLOOKUP(Table5[[#This Row],[Shortname]], Comp[], 7, FALSE)</f>
        <v>60</v>
      </c>
      <c r="K340">
        <f>VLOOKUP(Table5[[#This Row],[Shortname]], Comp[], 8, FALSE)</f>
        <v>20</v>
      </c>
      <c r="L340">
        <f>VLOOKUP(Table5[[#This Row],[Shortname]], Comp[], 9, FALSE)</f>
        <v>10</v>
      </c>
      <c r="M340">
        <f>VLOOKUP(Table5[[#This Row],[Shortname]], Comp[], 10, FALSE)</f>
        <v>0</v>
      </c>
      <c r="N340">
        <f>VLOOKUP(Table5[[#This Row],[Shortname]], Comp[], 11, FALSE)</f>
        <v>10</v>
      </c>
      <c r="O340">
        <f>VLOOKUP(Table5[[#This Row],[Shortname]], Comp[],12, FALSE)</f>
        <v>0</v>
      </c>
      <c r="P340">
        <f>VLOOKUP(Table5[[#This Row],[Shortname]], Comp[], 13, FALSE)</f>
        <v>0</v>
      </c>
      <c r="Q340">
        <f>VLOOKUP(Table5[[#This Row],[Shortname]], Comp[], 14, FALSE)</f>
        <v>0</v>
      </c>
      <c r="R340">
        <f>VLOOKUP(Table5[[#This Row],[Shortname]], Comp[], 15, FALSE)</f>
        <v>0</v>
      </c>
      <c r="S340">
        <f>VLOOKUP(Table5[[#This Row],[Shortname]], Comp[], 16, FALSE)</f>
        <v>0</v>
      </c>
      <c r="T340">
        <f>VLOOKUP(Table5[[#This Row],[Shortname]], Comp[], 17, FALSE)</f>
        <v>0</v>
      </c>
      <c r="U340">
        <f>VLOOKUP(Table5[[#This Row],[Shortname]], Comp[], 18, FALSE)</f>
        <v>0</v>
      </c>
      <c r="V340">
        <f>VLOOKUP(Table5[[#This Row],[Shortname]], Comp[], 19, FALSE)</f>
        <v>0</v>
      </c>
      <c r="W340">
        <f>VLOOKUP(Table5[[#This Row],[Shortname]], Comp[], 20, FALSE)</f>
        <v>0</v>
      </c>
      <c r="X340">
        <f>VLOOKUP(Table5[[#This Row],[Shortname]], Comp[], 21, FALSE)</f>
        <v>0</v>
      </c>
      <c r="Y340">
        <f>VLOOKUP(Table5[[#This Row],[Shortname]], Comp[], 22, FALSE)</f>
        <v>0</v>
      </c>
      <c r="Z340">
        <f>VLOOKUP(Table5[[#This Row],[Shortname]], Comp[], 23, FALSE)</f>
        <v>0</v>
      </c>
      <c r="AA340">
        <f>VLOOKUP(Table5[[#This Row],[Shortname]], Comp[], 24, FALSE)</f>
        <v>0</v>
      </c>
      <c r="AB340">
        <f>VLOOKUP(Table5[[#This Row],[Shortname]], Comp[], 25, FALSE)</f>
        <v>0</v>
      </c>
      <c r="AC340">
        <f>VLOOKUP(Table5[[#This Row],[Shortname]], Comp[], 26, FALSE)</f>
        <v>0</v>
      </c>
      <c r="AD340">
        <f>VLOOKUP(Table5[[#This Row],[Shortname]], Comp[], 27, FALSE)</f>
        <v>0</v>
      </c>
      <c r="AE340">
        <f>VLOOKUP(Table5[[#This Row],[Shortname]], Comp[], 28, FALSE)</f>
        <v>0</v>
      </c>
      <c r="AF340">
        <f>VLOOKUP(Table5[[#This Row],[Shortname]], Comp[], 29, FALSE)</f>
        <v>0</v>
      </c>
      <c r="AG340">
        <f>VLOOKUP(Table5[[#This Row],[Shortname]], Comp[], 30, FALSE)</f>
        <v>0</v>
      </c>
      <c r="AH340">
        <f>VLOOKUP(Table5[[#This Row],[Shortname]], Comp[], 31, FALSE)</f>
        <v>0</v>
      </c>
    </row>
    <row r="341" spans="1:34" x14ac:dyDescent="0.3">
      <c r="A341" s="7" t="s">
        <v>3324</v>
      </c>
      <c r="B341">
        <v>351</v>
      </c>
      <c r="C341" s="7" t="str">
        <f>VLOOKUP(Table5[[#This Row],[Shortname]], [1]!comp[#Data], 2, FALSE)</f>
        <v>CoAlW-X</v>
      </c>
      <c r="D341" s="7" t="s">
        <v>3326</v>
      </c>
      <c r="E341" t="s">
        <v>6626</v>
      </c>
      <c r="F341">
        <v>1075</v>
      </c>
      <c r="G341">
        <v>1444</v>
      </c>
      <c r="H341">
        <v>1444</v>
      </c>
      <c r="J341" s="14">
        <f>VLOOKUP(Table5[[#This Row],[Shortname]], Comp[], 7, FALSE)</f>
        <v>42.5</v>
      </c>
      <c r="K341">
        <f>VLOOKUP(Table5[[#This Row],[Shortname]], Comp[], 8, FALSE)</f>
        <v>40</v>
      </c>
      <c r="L341">
        <f>VLOOKUP(Table5[[#This Row],[Shortname]], Comp[], 9, FALSE)</f>
        <v>10</v>
      </c>
      <c r="M341">
        <f>VLOOKUP(Table5[[#This Row],[Shortname]], Comp[], 10, FALSE)</f>
        <v>0</v>
      </c>
      <c r="N341">
        <f>VLOOKUP(Table5[[#This Row],[Shortname]], Comp[], 11, FALSE)</f>
        <v>7.5</v>
      </c>
      <c r="O341">
        <f>VLOOKUP(Table5[[#This Row],[Shortname]], Comp[],12, FALSE)</f>
        <v>0</v>
      </c>
      <c r="P341">
        <f>VLOOKUP(Table5[[#This Row],[Shortname]], Comp[], 13, FALSE)</f>
        <v>0</v>
      </c>
      <c r="Q341">
        <f>VLOOKUP(Table5[[#This Row],[Shortname]], Comp[], 14, FALSE)</f>
        <v>0</v>
      </c>
      <c r="R341">
        <f>VLOOKUP(Table5[[#This Row],[Shortname]], Comp[], 15, FALSE)</f>
        <v>0</v>
      </c>
      <c r="S341">
        <f>VLOOKUP(Table5[[#This Row],[Shortname]], Comp[], 16, FALSE)</f>
        <v>0</v>
      </c>
      <c r="T341">
        <f>VLOOKUP(Table5[[#This Row],[Shortname]], Comp[], 17, FALSE)</f>
        <v>0</v>
      </c>
      <c r="U341">
        <f>VLOOKUP(Table5[[#This Row],[Shortname]], Comp[], 18, FALSE)</f>
        <v>0</v>
      </c>
      <c r="V341">
        <f>VLOOKUP(Table5[[#This Row],[Shortname]], Comp[], 19, FALSE)</f>
        <v>0</v>
      </c>
      <c r="W341">
        <f>VLOOKUP(Table5[[#This Row],[Shortname]], Comp[], 20, FALSE)</f>
        <v>0</v>
      </c>
      <c r="X341">
        <f>VLOOKUP(Table5[[#This Row],[Shortname]], Comp[], 21, FALSE)</f>
        <v>0</v>
      </c>
      <c r="Y341">
        <f>VLOOKUP(Table5[[#This Row],[Shortname]], Comp[], 22, FALSE)</f>
        <v>0</v>
      </c>
      <c r="Z341">
        <f>VLOOKUP(Table5[[#This Row],[Shortname]], Comp[], 23, FALSE)</f>
        <v>0</v>
      </c>
      <c r="AA341">
        <f>VLOOKUP(Table5[[#This Row],[Shortname]], Comp[], 24, FALSE)</f>
        <v>0</v>
      </c>
      <c r="AB341">
        <f>VLOOKUP(Table5[[#This Row],[Shortname]], Comp[], 25, FALSE)</f>
        <v>0</v>
      </c>
      <c r="AC341">
        <f>VLOOKUP(Table5[[#This Row],[Shortname]], Comp[], 26, FALSE)</f>
        <v>0</v>
      </c>
      <c r="AD341">
        <f>VLOOKUP(Table5[[#This Row],[Shortname]], Comp[], 27, FALSE)</f>
        <v>0</v>
      </c>
      <c r="AE341">
        <f>VLOOKUP(Table5[[#This Row],[Shortname]], Comp[], 28, FALSE)</f>
        <v>0</v>
      </c>
      <c r="AF341">
        <f>VLOOKUP(Table5[[#This Row],[Shortname]], Comp[], 29, FALSE)</f>
        <v>0</v>
      </c>
      <c r="AG341">
        <f>VLOOKUP(Table5[[#This Row],[Shortname]], Comp[], 30, FALSE)</f>
        <v>0</v>
      </c>
      <c r="AH341">
        <f>VLOOKUP(Table5[[#This Row],[Shortname]], Comp[], 31, FALSE)</f>
        <v>0</v>
      </c>
    </row>
    <row r="342" spans="1:34" x14ac:dyDescent="0.3">
      <c r="A342" s="7" t="s">
        <v>3324</v>
      </c>
      <c r="B342">
        <v>352</v>
      </c>
      <c r="C342" s="7" t="str">
        <f>VLOOKUP(Table5[[#This Row],[Shortname]], [1]!comp[#Data], 2, FALSE)</f>
        <v>CoAlW-X</v>
      </c>
      <c r="D342" t="s">
        <v>5135</v>
      </c>
      <c r="E342" s="3" t="s">
        <v>3245</v>
      </c>
      <c r="F342">
        <v>1075</v>
      </c>
      <c r="G342">
        <v>1445</v>
      </c>
      <c r="J342" s="14">
        <f>VLOOKUP(Table5[[#This Row],[Shortname]], Comp[], 7, FALSE)</f>
        <v>42.5</v>
      </c>
      <c r="K342">
        <f>VLOOKUP(Table5[[#This Row],[Shortname]], Comp[], 8, FALSE)</f>
        <v>40</v>
      </c>
      <c r="L342">
        <f>VLOOKUP(Table5[[#This Row],[Shortname]], Comp[], 9, FALSE)</f>
        <v>10</v>
      </c>
      <c r="M342">
        <f>VLOOKUP(Table5[[#This Row],[Shortname]], Comp[], 10, FALSE)</f>
        <v>0</v>
      </c>
      <c r="N342">
        <f>VLOOKUP(Table5[[#This Row],[Shortname]], Comp[], 11, FALSE)</f>
        <v>7.5</v>
      </c>
      <c r="O342">
        <f>VLOOKUP(Table5[[#This Row],[Shortname]], Comp[],12, FALSE)</f>
        <v>0</v>
      </c>
      <c r="P342">
        <f>VLOOKUP(Table5[[#This Row],[Shortname]], Comp[], 13, FALSE)</f>
        <v>0</v>
      </c>
      <c r="Q342">
        <f>VLOOKUP(Table5[[#This Row],[Shortname]], Comp[], 14, FALSE)</f>
        <v>0</v>
      </c>
      <c r="R342">
        <f>VLOOKUP(Table5[[#This Row],[Shortname]], Comp[], 15, FALSE)</f>
        <v>0</v>
      </c>
      <c r="S342">
        <f>VLOOKUP(Table5[[#This Row],[Shortname]], Comp[], 16, FALSE)</f>
        <v>0</v>
      </c>
      <c r="T342">
        <f>VLOOKUP(Table5[[#This Row],[Shortname]], Comp[], 17, FALSE)</f>
        <v>0</v>
      </c>
      <c r="U342">
        <f>VLOOKUP(Table5[[#This Row],[Shortname]], Comp[], 18, FALSE)</f>
        <v>0</v>
      </c>
      <c r="V342">
        <f>VLOOKUP(Table5[[#This Row],[Shortname]], Comp[], 19, FALSE)</f>
        <v>0</v>
      </c>
      <c r="W342">
        <f>VLOOKUP(Table5[[#This Row],[Shortname]], Comp[], 20, FALSE)</f>
        <v>0</v>
      </c>
      <c r="X342">
        <f>VLOOKUP(Table5[[#This Row],[Shortname]], Comp[], 21, FALSE)</f>
        <v>0</v>
      </c>
      <c r="Y342">
        <f>VLOOKUP(Table5[[#This Row],[Shortname]], Comp[], 22, FALSE)</f>
        <v>0</v>
      </c>
      <c r="Z342">
        <f>VLOOKUP(Table5[[#This Row],[Shortname]], Comp[], 23, FALSE)</f>
        <v>0</v>
      </c>
      <c r="AA342">
        <f>VLOOKUP(Table5[[#This Row],[Shortname]], Comp[], 24, FALSE)</f>
        <v>0</v>
      </c>
      <c r="AB342">
        <f>VLOOKUP(Table5[[#This Row],[Shortname]], Comp[], 25, FALSE)</f>
        <v>0</v>
      </c>
      <c r="AC342">
        <f>VLOOKUP(Table5[[#This Row],[Shortname]], Comp[], 26, FALSE)</f>
        <v>0</v>
      </c>
      <c r="AD342">
        <f>VLOOKUP(Table5[[#This Row],[Shortname]], Comp[], 27, FALSE)</f>
        <v>0</v>
      </c>
      <c r="AE342">
        <f>VLOOKUP(Table5[[#This Row],[Shortname]], Comp[], 28, FALSE)</f>
        <v>0</v>
      </c>
      <c r="AF342">
        <f>VLOOKUP(Table5[[#This Row],[Shortname]], Comp[], 29, FALSE)</f>
        <v>0</v>
      </c>
      <c r="AG342">
        <f>VLOOKUP(Table5[[#This Row],[Shortname]], Comp[], 30, FALSE)</f>
        <v>0</v>
      </c>
      <c r="AH342">
        <f>VLOOKUP(Table5[[#This Row],[Shortname]], Comp[], 31, FALSE)</f>
        <v>0</v>
      </c>
    </row>
    <row r="343" spans="1:34" x14ac:dyDescent="0.3">
      <c r="A343" s="7" t="s">
        <v>3262</v>
      </c>
      <c r="B343">
        <v>353</v>
      </c>
      <c r="C343" s="7" t="str">
        <f>VLOOKUP(Table5[[#This Row],[Shortname]], [1]!comp[#Data], 2, FALSE)</f>
        <v>CoAlW-X</v>
      </c>
      <c r="D343" t="s">
        <v>5100</v>
      </c>
      <c r="E343" s="3" t="s">
        <v>3245</v>
      </c>
      <c r="F343">
        <v>1074</v>
      </c>
      <c r="J343" s="14">
        <f>VLOOKUP(Table5[[#This Row],[Shortname]], Comp[], 7, FALSE)</f>
        <v>60</v>
      </c>
      <c r="K343">
        <f>VLOOKUP(Table5[[#This Row],[Shortname]], Comp[], 8, FALSE)</f>
        <v>20</v>
      </c>
      <c r="L343">
        <f>VLOOKUP(Table5[[#This Row],[Shortname]], Comp[], 9, FALSE)</f>
        <v>10</v>
      </c>
      <c r="M343">
        <f>VLOOKUP(Table5[[#This Row],[Shortname]], Comp[], 10, FALSE)</f>
        <v>0</v>
      </c>
      <c r="N343">
        <f>VLOOKUP(Table5[[#This Row],[Shortname]], Comp[], 11, FALSE)</f>
        <v>10</v>
      </c>
      <c r="O343">
        <f>VLOOKUP(Table5[[#This Row],[Shortname]], Comp[],12, FALSE)</f>
        <v>0</v>
      </c>
      <c r="P343">
        <f>VLOOKUP(Table5[[#This Row],[Shortname]], Comp[], 13, FALSE)</f>
        <v>0</v>
      </c>
      <c r="Q343">
        <f>VLOOKUP(Table5[[#This Row],[Shortname]], Comp[], 14, FALSE)</f>
        <v>0</v>
      </c>
      <c r="R343">
        <f>VLOOKUP(Table5[[#This Row],[Shortname]], Comp[], 15, FALSE)</f>
        <v>0</v>
      </c>
      <c r="S343">
        <f>VLOOKUP(Table5[[#This Row],[Shortname]], Comp[], 16, FALSE)</f>
        <v>0</v>
      </c>
      <c r="T343">
        <f>VLOOKUP(Table5[[#This Row],[Shortname]], Comp[], 17, FALSE)</f>
        <v>0</v>
      </c>
      <c r="U343">
        <f>VLOOKUP(Table5[[#This Row],[Shortname]], Comp[], 18, FALSE)</f>
        <v>0</v>
      </c>
      <c r="V343">
        <f>VLOOKUP(Table5[[#This Row],[Shortname]], Comp[], 19, FALSE)</f>
        <v>0</v>
      </c>
      <c r="W343">
        <f>VLOOKUP(Table5[[#This Row],[Shortname]], Comp[], 20, FALSE)</f>
        <v>0</v>
      </c>
      <c r="X343">
        <f>VLOOKUP(Table5[[#This Row],[Shortname]], Comp[], 21, FALSE)</f>
        <v>0</v>
      </c>
      <c r="Y343">
        <f>VLOOKUP(Table5[[#This Row],[Shortname]], Comp[], 22, FALSE)</f>
        <v>0</v>
      </c>
      <c r="Z343">
        <f>VLOOKUP(Table5[[#This Row],[Shortname]], Comp[], 23, FALSE)</f>
        <v>0</v>
      </c>
      <c r="AA343">
        <f>VLOOKUP(Table5[[#This Row],[Shortname]], Comp[], 24, FALSE)</f>
        <v>0</v>
      </c>
      <c r="AB343">
        <f>VLOOKUP(Table5[[#This Row],[Shortname]], Comp[], 25, FALSE)</f>
        <v>0</v>
      </c>
      <c r="AC343">
        <f>VLOOKUP(Table5[[#This Row],[Shortname]], Comp[], 26, FALSE)</f>
        <v>0</v>
      </c>
      <c r="AD343">
        <f>VLOOKUP(Table5[[#This Row],[Shortname]], Comp[], 27, FALSE)</f>
        <v>0</v>
      </c>
      <c r="AE343">
        <f>VLOOKUP(Table5[[#This Row],[Shortname]], Comp[], 28, FALSE)</f>
        <v>0</v>
      </c>
      <c r="AF343">
        <f>VLOOKUP(Table5[[#This Row],[Shortname]], Comp[], 29, FALSE)</f>
        <v>0</v>
      </c>
      <c r="AG343">
        <f>VLOOKUP(Table5[[#This Row],[Shortname]], Comp[], 30, FALSE)</f>
        <v>0</v>
      </c>
      <c r="AH343">
        <f>VLOOKUP(Table5[[#This Row],[Shortname]], Comp[], 31, FALSE)</f>
        <v>0</v>
      </c>
    </row>
    <row r="344" spans="1:34" x14ac:dyDescent="0.3">
      <c r="A344" s="7" t="s">
        <v>5095</v>
      </c>
      <c r="B344">
        <v>354</v>
      </c>
      <c r="C344" s="7" t="str">
        <f>VLOOKUP(Table5[[#This Row],[Shortname]], [1]!comp[#Data], 2, FALSE)</f>
        <v>CoAlW-X</v>
      </c>
      <c r="D344" t="s">
        <v>5097</v>
      </c>
      <c r="E344" s="3" t="s">
        <v>3245</v>
      </c>
      <c r="F344">
        <v>1064</v>
      </c>
      <c r="J344" s="14">
        <f>VLOOKUP(Table5[[#This Row],[Shortname]], Comp[], 7, FALSE)</f>
        <v>65</v>
      </c>
      <c r="K344">
        <f>VLOOKUP(Table5[[#This Row],[Shortname]], Comp[], 8, FALSE)</f>
        <v>15</v>
      </c>
      <c r="L344">
        <f>VLOOKUP(Table5[[#This Row],[Shortname]], Comp[], 9, FALSE)</f>
        <v>10</v>
      </c>
      <c r="M344">
        <f>VLOOKUP(Table5[[#This Row],[Shortname]], Comp[], 10, FALSE)</f>
        <v>0</v>
      </c>
      <c r="N344">
        <f>VLOOKUP(Table5[[#This Row],[Shortname]], Comp[], 11, FALSE)</f>
        <v>10</v>
      </c>
      <c r="O344">
        <f>VLOOKUP(Table5[[#This Row],[Shortname]], Comp[],12, FALSE)</f>
        <v>0</v>
      </c>
      <c r="P344">
        <f>VLOOKUP(Table5[[#This Row],[Shortname]], Comp[], 13, FALSE)</f>
        <v>0</v>
      </c>
      <c r="Q344">
        <f>VLOOKUP(Table5[[#This Row],[Shortname]], Comp[], 14, FALSE)</f>
        <v>0</v>
      </c>
      <c r="R344">
        <f>VLOOKUP(Table5[[#This Row],[Shortname]], Comp[], 15, FALSE)</f>
        <v>0</v>
      </c>
      <c r="S344">
        <f>VLOOKUP(Table5[[#This Row],[Shortname]], Comp[], 16, FALSE)</f>
        <v>0</v>
      </c>
      <c r="T344">
        <f>VLOOKUP(Table5[[#This Row],[Shortname]], Comp[], 17, FALSE)</f>
        <v>0</v>
      </c>
      <c r="U344">
        <f>VLOOKUP(Table5[[#This Row],[Shortname]], Comp[], 18, FALSE)</f>
        <v>0</v>
      </c>
      <c r="V344">
        <f>VLOOKUP(Table5[[#This Row],[Shortname]], Comp[], 19, FALSE)</f>
        <v>0</v>
      </c>
      <c r="W344">
        <f>VLOOKUP(Table5[[#This Row],[Shortname]], Comp[], 20, FALSE)</f>
        <v>0</v>
      </c>
      <c r="X344">
        <f>VLOOKUP(Table5[[#This Row],[Shortname]], Comp[], 21, FALSE)</f>
        <v>0</v>
      </c>
      <c r="Y344">
        <f>VLOOKUP(Table5[[#This Row],[Shortname]], Comp[], 22, FALSE)</f>
        <v>0</v>
      </c>
      <c r="Z344">
        <f>VLOOKUP(Table5[[#This Row],[Shortname]], Comp[], 23, FALSE)</f>
        <v>0</v>
      </c>
      <c r="AA344">
        <f>VLOOKUP(Table5[[#This Row],[Shortname]], Comp[], 24, FALSE)</f>
        <v>0</v>
      </c>
      <c r="AB344">
        <f>VLOOKUP(Table5[[#This Row],[Shortname]], Comp[], 25, FALSE)</f>
        <v>0</v>
      </c>
      <c r="AC344">
        <f>VLOOKUP(Table5[[#This Row],[Shortname]], Comp[], 26, FALSE)</f>
        <v>0</v>
      </c>
      <c r="AD344">
        <f>VLOOKUP(Table5[[#This Row],[Shortname]], Comp[], 27, FALSE)</f>
        <v>0</v>
      </c>
      <c r="AE344">
        <f>VLOOKUP(Table5[[#This Row],[Shortname]], Comp[], 28, FALSE)</f>
        <v>0</v>
      </c>
      <c r="AF344">
        <f>VLOOKUP(Table5[[#This Row],[Shortname]], Comp[], 29, FALSE)</f>
        <v>0</v>
      </c>
      <c r="AG344">
        <f>VLOOKUP(Table5[[#This Row],[Shortname]], Comp[], 30, FALSE)</f>
        <v>0</v>
      </c>
      <c r="AH344">
        <f>VLOOKUP(Table5[[#This Row],[Shortname]], Comp[], 31, FALSE)</f>
        <v>0</v>
      </c>
    </row>
    <row r="345" spans="1:34" x14ac:dyDescent="0.3">
      <c r="A345" s="7" t="s">
        <v>3242</v>
      </c>
      <c r="B345">
        <v>355</v>
      </c>
      <c r="C345" s="7" t="str">
        <f>VLOOKUP(Table5[[#This Row],[Shortname]], [1]!comp[#Data], 2, FALSE)</f>
        <v>CoAlW-X</v>
      </c>
      <c r="D345" s="7" t="s">
        <v>3244</v>
      </c>
      <c r="E345" t="s">
        <v>6626</v>
      </c>
      <c r="F345">
        <v>1054</v>
      </c>
      <c r="J345" s="14">
        <f>VLOOKUP(Table5[[#This Row],[Shortname]], Comp[], 7, FALSE)</f>
        <v>70</v>
      </c>
      <c r="K345">
        <f>VLOOKUP(Table5[[#This Row],[Shortname]], Comp[], 8, FALSE)</f>
        <v>10</v>
      </c>
      <c r="L345">
        <f>VLOOKUP(Table5[[#This Row],[Shortname]], Comp[], 9, FALSE)</f>
        <v>10</v>
      </c>
      <c r="M345">
        <f>VLOOKUP(Table5[[#This Row],[Shortname]], Comp[], 10, FALSE)</f>
        <v>0</v>
      </c>
      <c r="N345">
        <f>VLOOKUP(Table5[[#This Row],[Shortname]], Comp[], 11, FALSE)</f>
        <v>10</v>
      </c>
      <c r="O345">
        <f>VLOOKUP(Table5[[#This Row],[Shortname]], Comp[],12, FALSE)</f>
        <v>0</v>
      </c>
      <c r="P345">
        <f>VLOOKUP(Table5[[#This Row],[Shortname]], Comp[], 13, FALSE)</f>
        <v>0</v>
      </c>
      <c r="Q345">
        <f>VLOOKUP(Table5[[#This Row],[Shortname]], Comp[], 14, FALSE)</f>
        <v>0</v>
      </c>
      <c r="R345">
        <f>VLOOKUP(Table5[[#This Row],[Shortname]], Comp[], 15, FALSE)</f>
        <v>0</v>
      </c>
      <c r="S345">
        <f>VLOOKUP(Table5[[#This Row],[Shortname]], Comp[], 16, FALSE)</f>
        <v>0</v>
      </c>
      <c r="T345">
        <f>VLOOKUP(Table5[[#This Row],[Shortname]], Comp[], 17, FALSE)</f>
        <v>0</v>
      </c>
      <c r="U345">
        <f>VLOOKUP(Table5[[#This Row],[Shortname]], Comp[], 18, FALSE)</f>
        <v>0</v>
      </c>
      <c r="V345">
        <f>VLOOKUP(Table5[[#This Row],[Shortname]], Comp[], 19, FALSE)</f>
        <v>0</v>
      </c>
      <c r="W345">
        <f>VLOOKUP(Table5[[#This Row],[Shortname]], Comp[], 20, FALSE)</f>
        <v>0</v>
      </c>
      <c r="X345">
        <f>VLOOKUP(Table5[[#This Row],[Shortname]], Comp[], 21, FALSE)</f>
        <v>0</v>
      </c>
      <c r="Y345">
        <f>VLOOKUP(Table5[[#This Row],[Shortname]], Comp[], 22, FALSE)</f>
        <v>0</v>
      </c>
      <c r="Z345">
        <f>VLOOKUP(Table5[[#This Row],[Shortname]], Comp[], 23, FALSE)</f>
        <v>0</v>
      </c>
      <c r="AA345">
        <f>VLOOKUP(Table5[[#This Row],[Shortname]], Comp[], 24, FALSE)</f>
        <v>0</v>
      </c>
      <c r="AB345">
        <f>VLOOKUP(Table5[[#This Row],[Shortname]], Comp[], 25, FALSE)</f>
        <v>0</v>
      </c>
      <c r="AC345">
        <f>VLOOKUP(Table5[[#This Row],[Shortname]], Comp[], 26, FALSE)</f>
        <v>0</v>
      </c>
      <c r="AD345">
        <f>VLOOKUP(Table5[[#This Row],[Shortname]], Comp[], 27, FALSE)</f>
        <v>0</v>
      </c>
      <c r="AE345">
        <f>VLOOKUP(Table5[[#This Row],[Shortname]], Comp[], 28, FALSE)</f>
        <v>0</v>
      </c>
      <c r="AF345">
        <f>VLOOKUP(Table5[[#This Row],[Shortname]], Comp[], 29, FALSE)</f>
        <v>0</v>
      </c>
      <c r="AG345">
        <f>VLOOKUP(Table5[[#This Row],[Shortname]], Comp[], 30, FALSE)</f>
        <v>0</v>
      </c>
      <c r="AH345">
        <f>VLOOKUP(Table5[[#This Row],[Shortname]], Comp[], 31, FALSE)</f>
        <v>0</v>
      </c>
    </row>
    <row r="346" spans="1:34" x14ac:dyDescent="0.3">
      <c r="A346" s="7" t="s">
        <v>3242</v>
      </c>
      <c r="B346">
        <v>356</v>
      </c>
      <c r="C346" s="7" t="str">
        <f>VLOOKUP(Table5[[#This Row],[Shortname]], [1]!comp[#Data], 2, FALSE)</f>
        <v>CoAlW-X</v>
      </c>
      <c r="D346" t="s">
        <v>5093</v>
      </c>
      <c r="E346" s="3" t="s">
        <v>3245</v>
      </c>
      <c r="F346">
        <v>1052</v>
      </c>
      <c r="J346" s="14">
        <f>VLOOKUP(Table5[[#This Row],[Shortname]], Comp[], 7, FALSE)</f>
        <v>70</v>
      </c>
      <c r="K346">
        <f>VLOOKUP(Table5[[#This Row],[Shortname]], Comp[], 8, FALSE)</f>
        <v>10</v>
      </c>
      <c r="L346">
        <f>VLOOKUP(Table5[[#This Row],[Shortname]], Comp[], 9, FALSE)</f>
        <v>10</v>
      </c>
      <c r="M346">
        <f>VLOOKUP(Table5[[#This Row],[Shortname]], Comp[], 10, FALSE)</f>
        <v>0</v>
      </c>
      <c r="N346">
        <f>VLOOKUP(Table5[[#This Row],[Shortname]], Comp[], 11, FALSE)</f>
        <v>10</v>
      </c>
      <c r="O346">
        <f>VLOOKUP(Table5[[#This Row],[Shortname]], Comp[],12, FALSE)</f>
        <v>0</v>
      </c>
      <c r="P346">
        <f>VLOOKUP(Table5[[#This Row],[Shortname]], Comp[], 13, FALSE)</f>
        <v>0</v>
      </c>
      <c r="Q346">
        <f>VLOOKUP(Table5[[#This Row],[Shortname]], Comp[], 14, FALSE)</f>
        <v>0</v>
      </c>
      <c r="R346">
        <f>VLOOKUP(Table5[[#This Row],[Shortname]], Comp[], 15, FALSE)</f>
        <v>0</v>
      </c>
      <c r="S346">
        <f>VLOOKUP(Table5[[#This Row],[Shortname]], Comp[], 16, FALSE)</f>
        <v>0</v>
      </c>
      <c r="T346">
        <f>VLOOKUP(Table5[[#This Row],[Shortname]], Comp[], 17, FALSE)</f>
        <v>0</v>
      </c>
      <c r="U346">
        <f>VLOOKUP(Table5[[#This Row],[Shortname]], Comp[], 18, FALSE)</f>
        <v>0</v>
      </c>
      <c r="V346">
        <f>VLOOKUP(Table5[[#This Row],[Shortname]], Comp[], 19, FALSE)</f>
        <v>0</v>
      </c>
      <c r="W346">
        <f>VLOOKUP(Table5[[#This Row],[Shortname]], Comp[], 20, FALSE)</f>
        <v>0</v>
      </c>
      <c r="X346">
        <f>VLOOKUP(Table5[[#This Row],[Shortname]], Comp[], 21, FALSE)</f>
        <v>0</v>
      </c>
      <c r="Y346">
        <f>VLOOKUP(Table5[[#This Row],[Shortname]], Comp[], 22, FALSE)</f>
        <v>0</v>
      </c>
      <c r="Z346">
        <f>VLOOKUP(Table5[[#This Row],[Shortname]], Comp[], 23, FALSE)</f>
        <v>0</v>
      </c>
      <c r="AA346">
        <f>VLOOKUP(Table5[[#This Row],[Shortname]], Comp[], 24, FALSE)</f>
        <v>0</v>
      </c>
      <c r="AB346">
        <f>VLOOKUP(Table5[[#This Row],[Shortname]], Comp[], 25, FALSE)</f>
        <v>0</v>
      </c>
      <c r="AC346">
        <f>VLOOKUP(Table5[[#This Row],[Shortname]], Comp[], 26, FALSE)</f>
        <v>0</v>
      </c>
      <c r="AD346">
        <f>VLOOKUP(Table5[[#This Row],[Shortname]], Comp[], 27, FALSE)</f>
        <v>0</v>
      </c>
      <c r="AE346">
        <f>VLOOKUP(Table5[[#This Row],[Shortname]], Comp[], 28, FALSE)</f>
        <v>0</v>
      </c>
      <c r="AF346">
        <f>VLOOKUP(Table5[[#This Row],[Shortname]], Comp[], 29, FALSE)</f>
        <v>0</v>
      </c>
      <c r="AG346">
        <f>VLOOKUP(Table5[[#This Row],[Shortname]], Comp[], 30, FALSE)</f>
        <v>0</v>
      </c>
      <c r="AH346">
        <f>VLOOKUP(Table5[[#This Row],[Shortname]], Comp[], 31, FALSE)</f>
        <v>0</v>
      </c>
    </row>
    <row r="347" spans="1:34" x14ac:dyDescent="0.3">
      <c r="A347" s="7" t="s">
        <v>5193</v>
      </c>
      <c r="B347">
        <v>357</v>
      </c>
      <c r="C347" s="7" t="str">
        <f>VLOOKUP(Table5[[#This Row],[Shortname]], [1]!comp[#Data], 2, FALSE)</f>
        <v>CoAlW-X</v>
      </c>
      <c r="D347" t="s">
        <v>5195</v>
      </c>
      <c r="E347" s="3" t="s">
        <v>3245</v>
      </c>
      <c r="F347" s="25">
        <v>1050</v>
      </c>
      <c r="J347" s="14">
        <f>VLOOKUP(Table5[[#This Row],[Shortname]], Comp[], 7, FALSE)</f>
        <v>25</v>
      </c>
      <c r="K347">
        <f>VLOOKUP(Table5[[#This Row],[Shortname]], Comp[], 8, FALSE)</f>
        <v>60</v>
      </c>
      <c r="L347">
        <f>VLOOKUP(Table5[[#This Row],[Shortname]], Comp[], 9, FALSE)</f>
        <v>10</v>
      </c>
      <c r="M347">
        <f>VLOOKUP(Table5[[#This Row],[Shortname]], Comp[], 10, FALSE)</f>
        <v>0</v>
      </c>
      <c r="N347">
        <f>VLOOKUP(Table5[[#This Row],[Shortname]], Comp[], 11, FALSE)</f>
        <v>5</v>
      </c>
      <c r="O347">
        <f>VLOOKUP(Table5[[#This Row],[Shortname]], Comp[],12, FALSE)</f>
        <v>0</v>
      </c>
      <c r="P347">
        <f>VLOOKUP(Table5[[#This Row],[Shortname]], Comp[], 13, FALSE)</f>
        <v>0</v>
      </c>
      <c r="Q347">
        <f>VLOOKUP(Table5[[#This Row],[Shortname]], Comp[], 14, FALSE)</f>
        <v>0</v>
      </c>
      <c r="R347">
        <f>VLOOKUP(Table5[[#This Row],[Shortname]], Comp[], 15, FALSE)</f>
        <v>0</v>
      </c>
      <c r="S347">
        <f>VLOOKUP(Table5[[#This Row],[Shortname]], Comp[], 16, FALSE)</f>
        <v>0</v>
      </c>
      <c r="T347">
        <f>VLOOKUP(Table5[[#This Row],[Shortname]], Comp[], 17, FALSE)</f>
        <v>0</v>
      </c>
      <c r="U347">
        <f>VLOOKUP(Table5[[#This Row],[Shortname]], Comp[], 18, FALSE)</f>
        <v>0</v>
      </c>
      <c r="V347">
        <f>VLOOKUP(Table5[[#This Row],[Shortname]], Comp[], 19, FALSE)</f>
        <v>0</v>
      </c>
      <c r="W347">
        <f>VLOOKUP(Table5[[#This Row],[Shortname]], Comp[], 20, FALSE)</f>
        <v>0</v>
      </c>
      <c r="X347">
        <f>VLOOKUP(Table5[[#This Row],[Shortname]], Comp[], 21, FALSE)</f>
        <v>0</v>
      </c>
      <c r="Y347">
        <f>VLOOKUP(Table5[[#This Row],[Shortname]], Comp[], 22, FALSE)</f>
        <v>0</v>
      </c>
      <c r="Z347">
        <f>VLOOKUP(Table5[[#This Row],[Shortname]], Comp[], 23, FALSE)</f>
        <v>0</v>
      </c>
      <c r="AA347">
        <f>VLOOKUP(Table5[[#This Row],[Shortname]], Comp[], 24, FALSE)</f>
        <v>0</v>
      </c>
      <c r="AB347">
        <f>VLOOKUP(Table5[[#This Row],[Shortname]], Comp[], 25, FALSE)</f>
        <v>0</v>
      </c>
      <c r="AC347">
        <f>VLOOKUP(Table5[[#This Row],[Shortname]], Comp[], 26, FALSE)</f>
        <v>0</v>
      </c>
      <c r="AD347">
        <f>VLOOKUP(Table5[[#This Row],[Shortname]], Comp[], 27, FALSE)</f>
        <v>0</v>
      </c>
      <c r="AE347">
        <f>VLOOKUP(Table5[[#This Row],[Shortname]], Comp[], 28, FALSE)</f>
        <v>0</v>
      </c>
      <c r="AF347">
        <f>VLOOKUP(Table5[[#This Row],[Shortname]], Comp[], 29, FALSE)</f>
        <v>0</v>
      </c>
      <c r="AG347">
        <f>VLOOKUP(Table5[[#This Row],[Shortname]], Comp[], 30, FALSE)</f>
        <v>0</v>
      </c>
      <c r="AH347">
        <f>VLOOKUP(Table5[[#This Row],[Shortname]], Comp[], 31, FALSE)</f>
        <v>0</v>
      </c>
    </row>
    <row r="348" spans="1:34" x14ac:dyDescent="0.3">
      <c r="A348" s="7" t="s">
        <v>3293</v>
      </c>
      <c r="B348">
        <v>358</v>
      </c>
      <c r="C348" s="7" t="str">
        <f>VLOOKUP(Table5[[#This Row],[Shortname]], [1]!comp[#Data], 2, FALSE)</f>
        <v>CoAlW-X</v>
      </c>
      <c r="D348" s="7" t="s">
        <v>3295</v>
      </c>
      <c r="E348" t="s">
        <v>6626</v>
      </c>
      <c r="F348">
        <v>1049</v>
      </c>
      <c r="G348">
        <v>1447</v>
      </c>
      <c r="H348">
        <v>1447</v>
      </c>
      <c r="J348" s="14">
        <f>VLOOKUP(Table5[[#This Row],[Shortname]], Comp[], 7, FALSE)</f>
        <v>52.5</v>
      </c>
      <c r="K348">
        <f>VLOOKUP(Table5[[#This Row],[Shortname]], Comp[], 8, FALSE)</f>
        <v>30</v>
      </c>
      <c r="L348">
        <f>VLOOKUP(Table5[[#This Row],[Shortname]], Comp[], 9, FALSE)</f>
        <v>10</v>
      </c>
      <c r="M348">
        <f>VLOOKUP(Table5[[#This Row],[Shortname]], Comp[], 10, FALSE)</f>
        <v>0</v>
      </c>
      <c r="N348">
        <f>VLOOKUP(Table5[[#This Row],[Shortname]], Comp[], 11, FALSE)</f>
        <v>7.5</v>
      </c>
      <c r="O348">
        <f>VLOOKUP(Table5[[#This Row],[Shortname]], Comp[],12, FALSE)</f>
        <v>0</v>
      </c>
      <c r="P348">
        <f>VLOOKUP(Table5[[#This Row],[Shortname]], Comp[], 13, FALSE)</f>
        <v>0</v>
      </c>
      <c r="Q348">
        <f>VLOOKUP(Table5[[#This Row],[Shortname]], Comp[], 14, FALSE)</f>
        <v>0</v>
      </c>
      <c r="R348">
        <f>VLOOKUP(Table5[[#This Row],[Shortname]], Comp[], 15, FALSE)</f>
        <v>0</v>
      </c>
      <c r="S348">
        <f>VLOOKUP(Table5[[#This Row],[Shortname]], Comp[], 16, FALSE)</f>
        <v>0</v>
      </c>
      <c r="T348">
        <f>VLOOKUP(Table5[[#This Row],[Shortname]], Comp[], 17, FALSE)</f>
        <v>0</v>
      </c>
      <c r="U348">
        <f>VLOOKUP(Table5[[#This Row],[Shortname]], Comp[], 18, FALSE)</f>
        <v>0</v>
      </c>
      <c r="V348">
        <f>VLOOKUP(Table5[[#This Row],[Shortname]], Comp[], 19, FALSE)</f>
        <v>0</v>
      </c>
      <c r="W348">
        <f>VLOOKUP(Table5[[#This Row],[Shortname]], Comp[], 20, FALSE)</f>
        <v>0</v>
      </c>
      <c r="X348">
        <f>VLOOKUP(Table5[[#This Row],[Shortname]], Comp[], 21, FALSE)</f>
        <v>0</v>
      </c>
      <c r="Y348">
        <f>VLOOKUP(Table5[[#This Row],[Shortname]], Comp[], 22, FALSE)</f>
        <v>0</v>
      </c>
      <c r="Z348">
        <f>VLOOKUP(Table5[[#This Row],[Shortname]], Comp[], 23, FALSE)</f>
        <v>0</v>
      </c>
      <c r="AA348">
        <f>VLOOKUP(Table5[[#This Row],[Shortname]], Comp[], 24, FALSE)</f>
        <v>0</v>
      </c>
      <c r="AB348">
        <f>VLOOKUP(Table5[[#This Row],[Shortname]], Comp[], 25, FALSE)</f>
        <v>0</v>
      </c>
      <c r="AC348">
        <f>VLOOKUP(Table5[[#This Row],[Shortname]], Comp[], 26, FALSE)</f>
        <v>0</v>
      </c>
      <c r="AD348">
        <f>VLOOKUP(Table5[[#This Row],[Shortname]], Comp[], 27, FALSE)</f>
        <v>0</v>
      </c>
      <c r="AE348">
        <f>VLOOKUP(Table5[[#This Row],[Shortname]], Comp[], 28, FALSE)</f>
        <v>0</v>
      </c>
      <c r="AF348">
        <f>VLOOKUP(Table5[[#This Row],[Shortname]], Comp[], 29, FALSE)</f>
        <v>0</v>
      </c>
      <c r="AG348">
        <f>VLOOKUP(Table5[[#This Row],[Shortname]], Comp[], 30, FALSE)</f>
        <v>0</v>
      </c>
      <c r="AH348">
        <f>VLOOKUP(Table5[[#This Row],[Shortname]], Comp[], 31, FALSE)</f>
        <v>0</v>
      </c>
    </row>
    <row r="349" spans="1:34" x14ac:dyDescent="0.3">
      <c r="A349" s="7" t="s">
        <v>3293</v>
      </c>
      <c r="B349">
        <v>359</v>
      </c>
      <c r="C349" s="7" t="str">
        <f>VLOOKUP(Table5[[#This Row],[Shortname]], [1]!comp[#Data], 2, FALSE)</f>
        <v>CoAlW-X</v>
      </c>
      <c r="D349" t="s">
        <v>5133</v>
      </c>
      <c r="E349" s="3" t="s">
        <v>3245</v>
      </c>
      <c r="F349">
        <v>1049</v>
      </c>
      <c r="G349">
        <v>1447</v>
      </c>
      <c r="J349" s="14">
        <f>VLOOKUP(Table5[[#This Row],[Shortname]], Comp[], 7, FALSE)</f>
        <v>52.5</v>
      </c>
      <c r="K349">
        <f>VLOOKUP(Table5[[#This Row],[Shortname]], Comp[], 8, FALSE)</f>
        <v>30</v>
      </c>
      <c r="L349">
        <f>VLOOKUP(Table5[[#This Row],[Shortname]], Comp[], 9, FALSE)</f>
        <v>10</v>
      </c>
      <c r="M349">
        <f>VLOOKUP(Table5[[#This Row],[Shortname]], Comp[], 10, FALSE)</f>
        <v>0</v>
      </c>
      <c r="N349">
        <f>VLOOKUP(Table5[[#This Row],[Shortname]], Comp[], 11, FALSE)</f>
        <v>7.5</v>
      </c>
      <c r="O349">
        <f>VLOOKUP(Table5[[#This Row],[Shortname]], Comp[],12, FALSE)</f>
        <v>0</v>
      </c>
      <c r="P349">
        <f>VLOOKUP(Table5[[#This Row],[Shortname]], Comp[], 13, FALSE)</f>
        <v>0</v>
      </c>
      <c r="Q349">
        <f>VLOOKUP(Table5[[#This Row],[Shortname]], Comp[], 14, FALSE)</f>
        <v>0</v>
      </c>
      <c r="R349">
        <f>VLOOKUP(Table5[[#This Row],[Shortname]], Comp[], 15, FALSE)</f>
        <v>0</v>
      </c>
      <c r="S349">
        <f>VLOOKUP(Table5[[#This Row],[Shortname]], Comp[], 16, FALSE)</f>
        <v>0</v>
      </c>
      <c r="T349">
        <f>VLOOKUP(Table5[[#This Row],[Shortname]], Comp[], 17, FALSE)</f>
        <v>0</v>
      </c>
      <c r="U349">
        <f>VLOOKUP(Table5[[#This Row],[Shortname]], Comp[], 18, FALSE)</f>
        <v>0</v>
      </c>
      <c r="V349">
        <f>VLOOKUP(Table5[[#This Row],[Shortname]], Comp[], 19, FALSE)</f>
        <v>0</v>
      </c>
      <c r="W349">
        <f>VLOOKUP(Table5[[#This Row],[Shortname]], Comp[], 20, FALSE)</f>
        <v>0</v>
      </c>
      <c r="X349">
        <f>VLOOKUP(Table5[[#This Row],[Shortname]], Comp[], 21, FALSE)</f>
        <v>0</v>
      </c>
      <c r="Y349">
        <f>VLOOKUP(Table5[[#This Row],[Shortname]], Comp[], 22, FALSE)</f>
        <v>0</v>
      </c>
      <c r="Z349">
        <f>VLOOKUP(Table5[[#This Row],[Shortname]], Comp[], 23, FALSE)</f>
        <v>0</v>
      </c>
      <c r="AA349">
        <f>VLOOKUP(Table5[[#This Row],[Shortname]], Comp[], 24, FALSE)</f>
        <v>0</v>
      </c>
      <c r="AB349">
        <f>VLOOKUP(Table5[[#This Row],[Shortname]], Comp[], 25, FALSE)</f>
        <v>0</v>
      </c>
      <c r="AC349">
        <f>VLOOKUP(Table5[[#This Row],[Shortname]], Comp[], 26, FALSE)</f>
        <v>0</v>
      </c>
      <c r="AD349">
        <f>VLOOKUP(Table5[[#This Row],[Shortname]], Comp[], 27, FALSE)</f>
        <v>0</v>
      </c>
      <c r="AE349">
        <f>VLOOKUP(Table5[[#This Row],[Shortname]], Comp[], 28, FALSE)</f>
        <v>0</v>
      </c>
      <c r="AF349">
        <f>VLOOKUP(Table5[[#This Row],[Shortname]], Comp[], 29, FALSE)</f>
        <v>0</v>
      </c>
      <c r="AG349">
        <f>VLOOKUP(Table5[[#This Row],[Shortname]], Comp[], 30, FALSE)</f>
        <v>0</v>
      </c>
      <c r="AH349">
        <f>VLOOKUP(Table5[[#This Row],[Shortname]], Comp[], 31, FALSE)</f>
        <v>0</v>
      </c>
    </row>
    <row r="350" spans="1:34" x14ac:dyDescent="0.3">
      <c r="A350" s="7" t="s">
        <v>5087</v>
      </c>
      <c r="B350">
        <v>360</v>
      </c>
      <c r="C350" s="7" t="str">
        <f>VLOOKUP(Table5[[#This Row],[Shortname]], [1]!comp[#Data], 2, FALSE)</f>
        <v>CoAlW-X</v>
      </c>
      <c r="D350" t="s">
        <v>5089</v>
      </c>
      <c r="E350" s="3" t="s">
        <v>3245</v>
      </c>
      <c r="F350">
        <v>1040</v>
      </c>
      <c r="J350" s="14">
        <f>VLOOKUP(Table5[[#This Row],[Shortname]], Comp[], 7, FALSE)</f>
        <v>75</v>
      </c>
      <c r="K350">
        <f>VLOOKUP(Table5[[#This Row],[Shortname]], Comp[], 8, FALSE)</f>
        <v>5</v>
      </c>
      <c r="L350">
        <f>VLOOKUP(Table5[[#This Row],[Shortname]], Comp[], 9, FALSE)</f>
        <v>10</v>
      </c>
      <c r="M350">
        <f>VLOOKUP(Table5[[#This Row],[Shortname]], Comp[], 10, FALSE)</f>
        <v>0</v>
      </c>
      <c r="N350">
        <f>VLOOKUP(Table5[[#This Row],[Shortname]], Comp[], 11, FALSE)</f>
        <v>10</v>
      </c>
      <c r="O350">
        <f>VLOOKUP(Table5[[#This Row],[Shortname]], Comp[],12, FALSE)</f>
        <v>0</v>
      </c>
      <c r="P350">
        <f>VLOOKUP(Table5[[#This Row],[Shortname]], Comp[], 13, FALSE)</f>
        <v>0</v>
      </c>
      <c r="Q350">
        <f>VLOOKUP(Table5[[#This Row],[Shortname]], Comp[], 14, FALSE)</f>
        <v>0</v>
      </c>
      <c r="R350">
        <f>VLOOKUP(Table5[[#This Row],[Shortname]], Comp[], 15, FALSE)</f>
        <v>0</v>
      </c>
      <c r="S350">
        <f>VLOOKUP(Table5[[#This Row],[Shortname]], Comp[], 16, FALSE)</f>
        <v>0</v>
      </c>
      <c r="T350">
        <f>VLOOKUP(Table5[[#This Row],[Shortname]], Comp[], 17, FALSE)</f>
        <v>0</v>
      </c>
      <c r="U350">
        <f>VLOOKUP(Table5[[#This Row],[Shortname]], Comp[], 18, FALSE)</f>
        <v>0</v>
      </c>
      <c r="V350">
        <f>VLOOKUP(Table5[[#This Row],[Shortname]], Comp[], 19, FALSE)</f>
        <v>0</v>
      </c>
      <c r="W350">
        <f>VLOOKUP(Table5[[#This Row],[Shortname]], Comp[], 20, FALSE)</f>
        <v>0</v>
      </c>
      <c r="X350">
        <f>VLOOKUP(Table5[[#This Row],[Shortname]], Comp[], 21, FALSE)</f>
        <v>0</v>
      </c>
      <c r="Y350">
        <f>VLOOKUP(Table5[[#This Row],[Shortname]], Comp[], 22, FALSE)</f>
        <v>0</v>
      </c>
      <c r="Z350">
        <f>VLOOKUP(Table5[[#This Row],[Shortname]], Comp[], 23, FALSE)</f>
        <v>0</v>
      </c>
      <c r="AA350">
        <f>VLOOKUP(Table5[[#This Row],[Shortname]], Comp[], 24, FALSE)</f>
        <v>0</v>
      </c>
      <c r="AB350">
        <f>VLOOKUP(Table5[[#This Row],[Shortname]], Comp[], 25, FALSE)</f>
        <v>0</v>
      </c>
      <c r="AC350">
        <f>VLOOKUP(Table5[[#This Row],[Shortname]], Comp[], 26, FALSE)</f>
        <v>0</v>
      </c>
      <c r="AD350">
        <f>VLOOKUP(Table5[[#This Row],[Shortname]], Comp[], 27, FALSE)</f>
        <v>0</v>
      </c>
      <c r="AE350">
        <f>VLOOKUP(Table5[[#This Row],[Shortname]], Comp[], 28, FALSE)</f>
        <v>0</v>
      </c>
      <c r="AF350">
        <f>VLOOKUP(Table5[[#This Row],[Shortname]], Comp[], 29, FALSE)</f>
        <v>0</v>
      </c>
      <c r="AG350">
        <f>VLOOKUP(Table5[[#This Row],[Shortname]], Comp[], 30, FALSE)</f>
        <v>0</v>
      </c>
      <c r="AH350">
        <f>VLOOKUP(Table5[[#This Row],[Shortname]], Comp[], 31, FALSE)</f>
        <v>0</v>
      </c>
    </row>
    <row r="351" spans="1:34" x14ac:dyDescent="0.3">
      <c r="A351" s="7" t="s">
        <v>5082</v>
      </c>
      <c r="B351">
        <v>361</v>
      </c>
      <c r="C351" s="7" t="str">
        <f>VLOOKUP(Table5[[#This Row],[Shortname]], [1]!comp[#Data], 2, FALSE)</f>
        <v>CoAlW-X</v>
      </c>
      <c r="D351" t="s">
        <v>5084</v>
      </c>
      <c r="E351" s="3" t="s">
        <v>3245</v>
      </c>
      <c r="F351" s="6">
        <v>1031</v>
      </c>
      <c r="G351">
        <v>1440</v>
      </c>
      <c r="J351" s="14">
        <f>VLOOKUP(Table5[[#This Row],[Shortname]], Comp[], 7, FALSE)</f>
        <v>80</v>
      </c>
      <c r="K351">
        <f>VLOOKUP(Table5[[#This Row],[Shortname]], Comp[], 8, FALSE)</f>
        <v>0</v>
      </c>
      <c r="L351">
        <f>VLOOKUP(Table5[[#This Row],[Shortname]], Comp[], 9, FALSE)</f>
        <v>10</v>
      </c>
      <c r="M351">
        <f>VLOOKUP(Table5[[#This Row],[Shortname]], Comp[], 10, FALSE)</f>
        <v>0</v>
      </c>
      <c r="N351">
        <f>VLOOKUP(Table5[[#This Row],[Shortname]], Comp[], 11, FALSE)</f>
        <v>10</v>
      </c>
      <c r="O351">
        <f>VLOOKUP(Table5[[#This Row],[Shortname]], Comp[],12, FALSE)</f>
        <v>0</v>
      </c>
      <c r="P351">
        <f>VLOOKUP(Table5[[#This Row],[Shortname]], Comp[], 13, FALSE)</f>
        <v>0</v>
      </c>
      <c r="Q351">
        <f>VLOOKUP(Table5[[#This Row],[Shortname]], Comp[], 14, FALSE)</f>
        <v>0</v>
      </c>
      <c r="R351">
        <f>VLOOKUP(Table5[[#This Row],[Shortname]], Comp[], 15, FALSE)</f>
        <v>0</v>
      </c>
      <c r="S351">
        <f>VLOOKUP(Table5[[#This Row],[Shortname]], Comp[], 16, FALSE)</f>
        <v>0</v>
      </c>
      <c r="T351">
        <f>VLOOKUP(Table5[[#This Row],[Shortname]], Comp[], 17, FALSE)</f>
        <v>0</v>
      </c>
      <c r="U351">
        <f>VLOOKUP(Table5[[#This Row],[Shortname]], Comp[], 18, FALSE)</f>
        <v>0</v>
      </c>
      <c r="V351">
        <f>VLOOKUP(Table5[[#This Row],[Shortname]], Comp[], 19, FALSE)</f>
        <v>0</v>
      </c>
      <c r="W351">
        <f>VLOOKUP(Table5[[#This Row],[Shortname]], Comp[], 20, FALSE)</f>
        <v>0</v>
      </c>
      <c r="X351">
        <f>VLOOKUP(Table5[[#This Row],[Shortname]], Comp[], 21, FALSE)</f>
        <v>0</v>
      </c>
      <c r="Y351">
        <f>VLOOKUP(Table5[[#This Row],[Shortname]], Comp[], 22, FALSE)</f>
        <v>0</v>
      </c>
      <c r="Z351">
        <f>VLOOKUP(Table5[[#This Row],[Shortname]], Comp[], 23, FALSE)</f>
        <v>0</v>
      </c>
      <c r="AA351">
        <f>VLOOKUP(Table5[[#This Row],[Shortname]], Comp[], 24, FALSE)</f>
        <v>0</v>
      </c>
      <c r="AB351">
        <f>VLOOKUP(Table5[[#This Row],[Shortname]], Comp[], 25, FALSE)</f>
        <v>0</v>
      </c>
      <c r="AC351">
        <f>VLOOKUP(Table5[[#This Row],[Shortname]], Comp[], 26, FALSE)</f>
        <v>0</v>
      </c>
      <c r="AD351">
        <f>VLOOKUP(Table5[[#This Row],[Shortname]], Comp[], 27, FALSE)</f>
        <v>0</v>
      </c>
      <c r="AE351">
        <f>VLOOKUP(Table5[[#This Row],[Shortname]], Comp[], 28, FALSE)</f>
        <v>0</v>
      </c>
      <c r="AF351">
        <f>VLOOKUP(Table5[[#This Row],[Shortname]], Comp[], 29, FALSE)</f>
        <v>0</v>
      </c>
      <c r="AG351">
        <f>VLOOKUP(Table5[[#This Row],[Shortname]], Comp[], 30, FALSE)</f>
        <v>0</v>
      </c>
      <c r="AH351">
        <f>VLOOKUP(Table5[[#This Row],[Shortname]], Comp[], 31, FALSE)</f>
        <v>0</v>
      </c>
    </row>
    <row r="352" spans="1:34" x14ac:dyDescent="0.3">
      <c r="A352" s="7" t="s">
        <v>3268</v>
      </c>
      <c r="B352">
        <v>362</v>
      </c>
      <c r="C352" s="7" t="str">
        <f>VLOOKUP(Table5[[#This Row],[Shortname]], [1]!comp[#Data], 2, FALSE)</f>
        <v>CoAlW-X</v>
      </c>
      <c r="D352" s="7" t="s">
        <v>3270</v>
      </c>
      <c r="E352" t="s">
        <v>6626</v>
      </c>
      <c r="F352">
        <v>1019</v>
      </c>
      <c r="J352" s="14">
        <f>VLOOKUP(Table5[[#This Row],[Shortname]], Comp[], 7, FALSE)</f>
        <v>62.5</v>
      </c>
      <c r="K352">
        <f>VLOOKUP(Table5[[#This Row],[Shortname]], Comp[], 8, FALSE)</f>
        <v>20</v>
      </c>
      <c r="L352">
        <f>VLOOKUP(Table5[[#This Row],[Shortname]], Comp[], 9, FALSE)</f>
        <v>10</v>
      </c>
      <c r="M352">
        <f>VLOOKUP(Table5[[#This Row],[Shortname]], Comp[], 10, FALSE)</f>
        <v>0</v>
      </c>
      <c r="N352">
        <f>VLOOKUP(Table5[[#This Row],[Shortname]], Comp[], 11, FALSE)</f>
        <v>7.5</v>
      </c>
      <c r="O352">
        <f>VLOOKUP(Table5[[#This Row],[Shortname]], Comp[],12, FALSE)</f>
        <v>0</v>
      </c>
      <c r="P352">
        <f>VLOOKUP(Table5[[#This Row],[Shortname]], Comp[], 13, FALSE)</f>
        <v>0</v>
      </c>
      <c r="Q352">
        <f>VLOOKUP(Table5[[#This Row],[Shortname]], Comp[], 14, FALSE)</f>
        <v>0</v>
      </c>
      <c r="R352">
        <f>VLOOKUP(Table5[[#This Row],[Shortname]], Comp[], 15, FALSE)</f>
        <v>0</v>
      </c>
      <c r="S352">
        <f>VLOOKUP(Table5[[#This Row],[Shortname]], Comp[], 16, FALSE)</f>
        <v>0</v>
      </c>
      <c r="T352">
        <f>VLOOKUP(Table5[[#This Row],[Shortname]], Comp[], 17, FALSE)</f>
        <v>0</v>
      </c>
      <c r="U352">
        <f>VLOOKUP(Table5[[#This Row],[Shortname]], Comp[], 18, FALSE)</f>
        <v>0</v>
      </c>
      <c r="V352">
        <f>VLOOKUP(Table5[[#This Row],[Shortname]], Comp[], 19, FALSE)</f>
        <v>0</v>
      </c>
      <c r="W352">
        <f>VLOOKUP(Table5[[#This Row],[Shortname]], Comp[], 20, FALSE)</f>
        <v>0</v>
      </c>
      <c r="X352">
        <f>VLOOKUP(Table5[[#This Row],[Shortname]], Comp[], 21, FALSE)</f>
        <v>0</v>
      </c>
      <c r="Y352">
        <f>VLOOKUP(Table5[[#This Row],[Shortname]], Comp[], 22, FALSE)</f>
        <v>0</v>
      </c>
      <c r="Z352">
        <f>VLOOKUP(Table5[[#This Row],[Shortname]], Comp[], 23, FALSE)</f>
        <v>0</v>
      </c>
      <c r="AA352">
        <f>VLOOKUP(Table5[[#This Row],[Shortname]], Comp[], 24, FALSE)</f>
        <v>0</v>
      </c>
      <c r="AB352">
        <f>VLOOKUP(Table5[[#This Row],[Shortname]], Comp[], 25, FALSE)</f>
        <v>0</v>
      </c>
      <c r="AC352">
        <f>VLOOKUP(Table5[[#This Row],[Shortname]], Comp[], 26, FALSE)</f>
        <v>0</v>
      </c>
      <c r="AD352">
        <f>VLOOKUP(Table5[[#This Row],[Shortname]], Comp[], 27, FALSE)</f>
        <v>0</v>
      </c>
      <c r="AE352">
        <f>VLOOKUP(Table5[[#This Row],[Shortname]], Comp[], 28, FALSE)</f>
        <v>0</v>
      </c>
      <c r="AF352">
        <f>VLOOKUP(Table5[[#This Row],[Shortname]], Comp[], 29, FALSE)</f>
        <v>0</v>
      </c>
      <c r="AG352">
        <f>VLOOKUP(Table5[[#This Row],[Shortname]], Comp[], 30, FALSE)</f>
        <v>0</v>
      </c>
      <c r="AH352">
        <f>VLOOKUP(Table5[[#This Row],[Shortname]], Comp[], 31, FALSE)</f>
        <v>0</v>
      </c>
    </row>
    <row r="353" spans="1:34" x14ac:dyDescent="0.3">
      <c r="A353" s="7" t="s">
        <v>3268</v>
      </c>
      <c r="B353">
        <v>363</v>
      </c>
      <c r="C353" s="7" t="str">
        <f>VLOOKUP(Table5[[#This Row],[Shortname]], [1]!comp[#Data], 2, FALSE)</f>
        <v>CoAlW-X</v>
      </c>
      <c r="D353" t="s">
        <v>5131</v>
      </c>
      <c r="E353" s="3" t="s">
        <v>3245</v>
      </c>
      <c r="F353">
        <v>1018</v>
      </c>
      <c r="J353" s="14">
        <f>VLOOKUP(Table5[[#This Row],[Shortname]], Comp[], 7, FALSE)</f>
        <v>62.5</v>
      </c>
      <c r="K353">
        <f>VLOOKUP(Table5[[#This Row],[Shortname]], Comp[], 8, FALSE)</f>
        <v>20</v>
      </c>
      <c r="L353">
        <f>VLOOKUP(Table5[[#This Row],[Shortname]], Comp[], 9, FALSE)</f>
        <v>10</v>
      </c>
      <c r="M353">
        <f>VLOOKUP(Table5[[#This Row],[Shortname]], Comp[], 10, FALSE)</f>
        <v>0</v>
      </c>
      <c r="N353">
        <f>VLOOKUP(Table5[[#This Row],[Shortname]], Comp[], 11, FALSE)</f>
        <v>7.5</v>
      </c>
      <c r="O353">
        <f>VLOOKUP(Table5[[#This Row],[Shortname]], Comp[],12, FALSE)</f>
        <v>0</v>
      </c>
      <c r="P353">
        <f>VLOOKUP(Table5[[#This Row],[Shortname]], Comp[], 13, FALSE)</f>
        <v>0</v>
      </c>
      <c r="Q353">
        <f>VLOOKUP(Table5[[#This Row],[Shortname]], Comp[], 14, FALSE)</f>
        <v>0</v>
      </c>
      <c r="R353">
        <f>VLOOKUP(Table5[[#This Row],[Shortname]], Comp[], 15, FALSE)</f>
        <v>0</v>
      </c>
      <c r="S353">
        <f>VLOOKUP(Table5[[#This Row],[Shortname]], Comp[], 16, FALSE)</f>
        <v>0</v>
      </c>
      <c r="T353">
        <f>VLOOKUP(Table5[[#This Row],[Shortname]], Comp[], 17, FALSE)</f>
        <v>0</v>
      </c>
      <c r="U353">
        <f>VLOOKUP(Table5[[#This Row],[Shortname]], Comp[], 18, FALSE)</f>
        <v>0</v>
      </c>
      <c r="V353">
        <f>VLOOKUP(Table5[[#This Row],[Shortname]], Comp[], 19, FALSE)</f>
        <v>0</v>
      </c>
      <c r="W353">
        <f>VLOOKUP(Table5[[#This Row],[Shortname]], Comp[], 20, FALSE)</f>
        <v>0</v>
      </c>
      <c r="X353">
        <f>VLOOKUP(Table5[[#This Row],[Shortname]], Comp[], 21, FALSE)</f>
        <v>0</v>
      </c>
      <c r="Y353">
        <f>VLOOKUP(Table5[[#This Row],[Shortname]], Comp[], 22, FALSE)</f>
        <v>0</v>
      </c>
      <c r="Z353">
        <f>VLOOKUP(Table5[[#This Row],[Shortname]], Comp[], 23, FALSE)</f>
        <v>0</v>
      </c>
      <c r="AA353">
        <f>VLOOKUP(Table5[[#This Row],[Shortname]], Comp[], 24, FALSE)</f>
        <v>0</v>
      </c>
      <c r="AB353">
        <f>VLOOKUP(Table5[[#This Row],[Shortname]], Comp[], 25, FALSE)</f>
        <v>0</v>
      </c>
      <c r="AC353">
        <f>VLOOKUP(Table5[[#This Row],[Shortname]], Comp[], 26, FALSE)</f>
        <v>0</v>
      </c>
      <c r="AD353">
        <f>VLOOKUP(Table5[[#This Row],[Shortname]], Comp[], 27, FALSE)</f>
        <v>0</v>
      </c>
      <c r="AE353">
        <f>VLOOKUP(Table5[[#This Row],[Shortname]], Comp[], 28, FALSE)</f>
        <v>0</v>
      </c>
      <c r="AF353">
        <f>VLOOKUP(Table5[[#This Row],[Shortname]], Comp[], 29, FALSE)</f>
        <v>0</v>
      </c>
      <c r="AG353">
        <f>VLOOKUP(Table5[[#This Row],[Shortname]], Comp[], 30, FALSE)</f>
        <v>0</v>
      </c>
      <c r="AH353">
        <f>VLOOKUP(Table5[[#This Row],[Shortname]], Comp[], 31, FALSE)</f>
        <v>0</v>
      </c>
    </row>
    <row r="354" spans="1:34" x14ac:dyDescent="0.3">
      <c r="A354" s="7" t="s">
        <v>5177</v>
      </c>
      <c r="B354">
        <v>364</v>
      </c>
      <c r="C354" s="7" t="str">
        <f>VLOOKUP(Table5[[#This Row],[Shortname]], [1]!comp[#Data], 2, FALSE)</f>
        <v>CoAlW-X</v>
      </c>
      <c r="D354" t="s">
        <v>5179</v>
      </c>
      <c r="E354" s="3" t="s">
        <v>3245</v>
      </c>
      <c r="F354">
        <v>1000</v>
      </c>
      <c r="J354" s="14">
        <f>VLOOKUP(Table5[[#This Row],[Shortname]], Comp[], 7, FALSE)</f>
        <v>45</v>
      </c>
      <c r="K354">
        <f>VLOOKUP(Table5[[#This Row],[Shortname]], Comp[], 8, FALSE)</f>
        <v>40</v>
      </c>
      <c r="L354">
        <f>VLOOKUP(Table5[[#This Row],[Shortname]], Comp[], 9, FALSE)</f>
        <v>10</v>
      </c>
      <c r="M354">
        <f>VLOOKUP(Table5[[#This Row],[Shortname]], Comp[], 10, FALSE)</f>
        <v>0</v>
      </c>
      <c r="N354">
        <f>VLOOKUP(Table5[[#This Row],[Shortname]], Comp[], 11, FALSE)</f>
        <v>5</v>
      </c>
      <c r="O354">
        <f>VLOOKUP(Table5[[#This Row],[Shortname]], Comp[],12, FALSE)</f>
        <v>0</v>
      </c>
      <c r="P354">
        <f>VLOOKUP(Table5[[#This Row],[Shortname]], Comp[], 13, FALSE)</f>
        <v>0</v>
      </c>
      <c r="Q354">
        <f>VLOOKUP(Table5[[#This Row],[Shortname]], Comp[], 14, FALSE)</f>
        <v>0</v>
      </c>
      <c r="R354">
        <f>VLOOKUP(Table5[[#This Row],[Shortname]], Comp[], 15, FALSE)</f>
        <v>0</v>
      </c>
      <c r="S354">
        <f>VLOOKUP(Table5[[#This Row],[Shortname]], Comp[], 16, FALSE)</f>
        <v>0</v>
      </c>
      <c r="T354">
        <f>VLOOKUP(Table5[[#This Row],[Shortname]], Comp[], 17, FALSE)</f>
        <v>0</v>
      </c>
      <c r="U354">
        <f>VLOOKUP(Table5[[#This Row],[Shortname]], Comp[], 18, FALSE)</f>
        <v>0</v>
      </c>
      <c r="V354">
        <f>VLOOKUP(Table5[[#This Row],[Shortname]], Comp[], 19, FALSE)</f>
        <v>0</v>
      </c>
      <c r="W354">
        <f>VLOOKUP(Table5[[#This Row],[Shortname]], Comp[], 20, FALSE)</f>
        <v>0</v>
      </c>
      <c r="X354">
        <f>VLOOKUP(Table5[[#This Row],[Shortname]], Comp[], 21, FALSE)</f>
        <v>0</v>
      </c>
      <c r="Y354">
        <f>VLOOKUP(Table5[[#This Row],[Shortname]], Comp[], 22, FALSE)</f>
        <v>0</v>
      </c>
      <c r="Z354">
        <f>VLOOKUP(Table5[[#This Row],[Shortname]], Comp[], 23, FALSE)</f>
        <v>0</v>
      </c>
      <c r="AA354">
        <f>VLOOKUP(Table5[[#This Row],[Shortname]], Comp[], 24, FALSE)</f>
        <v>0</v>
      </c>
      <c r="AB354">
        <f>VLOOKUP(Table5[[#This Row],[Shortname]], Comp[], 25, FALSE)</f>
        <v>0</v>
      </c>
      <c r="AC354">
        <f>VLOOKUP(Table5[[#This Row],[Shortname]], Comp[], 26, FALSE)</f>
        <v>0</v>
      </c>
      <c r="AD354">
        <f>VLOOKUP(Table5[[#This Row],[Shortname]], Comp[], 27, FALSE)</f>
        <v>0</v>
      </c>
      <c r="AE354">
        <f>VLOOKUP(Table5[[#This Row],[Shortname]], Comp[], 28, FALSE)</f>
        <v>0</v>
      </c>
      <c r="AF354">
        <f>VLOOKUP(Table5[[#This Row],[Shortname]], Comp[], 29, FALSE)</f>
        <v>0</v>
      </c>
      <c r="AG354">
        <f>VLOOKUP(Table5[[#This Row],[Shortname]], Comp[], 30, FALSE)</f>
        <v>0</v>
      </c>
      <c r="AH354">
        <f>VLOOKUP(Table5[[#This Row],[Shortname]], Comp[], 31, FALSE)</f>
        <v>0</v>
      </c>
    </row>
    <row r="355" spans="1:34" x14ac:dyDescent="0.3">
      <c r="A355" s="7" t="s">
        <v>3249</v>
      </c>
      <c r="B355">
        <v>365</v>
      </c>
      <c r="C355" s="7" t="str">
        <f>VLOOKUP(Table5[[#This Row],[Shortname]], [1]!comp[#Data], 2, FALSE)</f>
        <v>CoAlW-X</v>
      </c>
      <c r="D355" s="7" t="s">
        <v>3251</v>
      </c>
      <c r="E355" t="s">
        <v>6626</v>
      </c>
      <c r="F355">
        <v>992</v>
      </c>
      <c r="J355" s="14">
        <f>VLOOKUP(Table5[[#This Row],[Shortname]], Comp[], 7, FALSE)</f>
        <v>72.5</v>
      </c>
      <c r="K355">
        <f>VLOOKUP(Table5[[#This Row],[Shortname]], Comp[], 8, FALSE)</f>
        <v>10</v>
      </c>
      <c r="L355">
        <f>VLOOKUP(Table5[[#This Row],[Shortname]], Comp[], 9, FALSE)</f>
        <v>10</v>
      </c>
      <c r="M355">
        <f>VLOOKUP(Table5[[#This Row],[Shortname]], Comp[], 10, FALSE)</f>
        <v>0</v>
      </c>
      <c r="N355">
        <f>VLOOKUP(Table5[[#This Row],[Shortname]], Comp[], 11, FALSE)</f>
        <v>7.5</v>
      </c>
      <c r="O355">
        <f>VLOOKUP(Table5[[#This Row],[Shortname]], Comp[],12, FALSE)</f>
        <v>0</v>
      </c>
      <c r="P355">
        <f>VLOOKUP(Table5[[#This Row],[Shortname]], Comp[], 13, FALSE)</f>
        <v>0</v>
      </c>
      <c r="Q355">
        <f>VLOOKUP(Table5[[#This Row],[Shortname]], Comp[], 14, FALSE)</f>
        <v>0</v>
      </c>
      <c r="R355">
        <f>VLOOKUP(Table5[[#This Row],[Shortname]], Comp[], 15, FALSE)</f>
        <v>0</v>
      </c>
      <c r="S355">
        <f>VLOOKUP(Table5[[#This Row],[Shortname]], Comp[], 16, FALSE)</f>
        <v>0</v>
      </c>
      <c r="T355">
        <f>VLOOKUP(Table5[[#This Row],[Shortname]], Comp[], 17, FALSE)</f>
        <v>0</v>
      </c>
      <c r="U355">
        <f>VLOOKUP(Table5[[#This Row],[Shortname]], Comp[], 18, FALSE)</f>
        <v>0</v>
      </c>
      <c r="V355">
        <f>VLOOKUP(Table5[[#This Row],[Shortname]], Comp[], 19, FALSE)</f>
        <v>0</v>
      </c>
      <c r="W355">
        <f>VLOOKUP(Table5[[#This Row],[Shortname]], Comp[], 20, FALSE)</f>
        <v>0</v>
      </c>
      <c r="X355">
        <f>VLOOKUP(Table5[[#This Row],[Shortname]], Comp[], 21, FALSE)</f>
        <v>0</v>
      </c>
      <c r="Y355">
        <f>VLOOKUP(Table5[[#This Row],[Shortname]], Comp[], 22, FALSE)</f>
        <v>0</v>
      </c>
      <c r="Z355">
        <f>VLOOKUP(Table5[[#This Row],[Shortname]], Comp[], 23, FALSE)</f>
        <v>0</v>
      </c>
      <c r="AA355">
        <f>VLOOKUP(Table5[[#This Row],[Shortname]], Comp[], 24, FALSE)</f>
        <v>0</v>
      </c>
      <c r="AB355">
        <f>VLOOKUP(Table5[[#This Row],[Shortname]], Comp[], 25, FALSE)</f>
        <v>0</v>
      </c>
      <c r="AC355">
        <f>VLOOKUP(Table5[[#This Row],[Shortname]], Comp[], 26, FALSE)</f>
        <v>0</v>
      </c>
      <c r="AD355">
        <f>VLOOKUP(Table5[[#This Row],[Shortname]], Comp[], 27, FALSE)</f>
        <v>0</v>
      </c>
      <c r="AE355">
        <f>VLOOKUP(Table5[[#This Row],[Shortname]], Comp[], 28, FALSE)</f>
        <v>0</v>
      </c>
      <c r="AF355">
        <f>VLOOKUP(Table5[[#This Row],[Shortname]], Comp[], 29, FALSE)</f>
        <v>0</v>
      </c>
      <c r="AG355">
        <f>VLOOKUP(Table5[[#This Row],[Shortname]], Comp[], 30, FALSE)</f>
        <v>0</v>
      </c>
      <c r="AH355">
        <f>VLOOKUP(Table5[[#This Row],[Shortname]], Comp[], 31, FALSE)</f>
        <v>0</v>
      </c>
    </row>
    <row r="356" spans="1:34" x14ac:dyDescent="0.3">
      <c r="A356" s="7" t="s">
        <v>3249</v>
      </c>
      <c r="B356">
        <v>366</v>
      </c>
      <c r="C356" s="7" t="str">
        <f>VLOOKUP(Table5[[#This Row],[Shortname]], [1]!comp[#Data], 2, FALSE)</f>
        <v>CoAlW-X</v>
      </c>
      <c r="D356" t="s">
        <v>5129</v>
      </c>
      <c r="E356" s="3" t="s">
        <v>3245</v>
      </c>
      <c r="F356">
        <v>990</v>
      </c>
      <c r="J356" s="14">
        <f>VLOOKUP(Table5[[#This Row],[Shortname]], Comp[], 7, FALSE)</f>
        <v>72.5</v>
      </c>
      <c r="K356">
        <f>VLOOKUP(Table5[[#This Row],[Shortname]], Comp[], 8, FALSE)</f>
        <v>10</v>
      </c>
      <c r="L356">
        <f>VLOOKUP(Table5[[#This Row],[Shortname]], Comp[], 9, FALSE)</f>
        <v>10</v>
      </c>
      <c r="M356">
        <f>VLOOKUP(Table5[[#This Row],[Shortname]], Comp[], 10, FALSE)</f>
        <v>0</v>
      </c>
      <c r="N356">
        <f>VLOOKUP(Table5[[#This Row],[Shortname]], Comp[], 11, FALSE)</f>
        <v>7.5</v>
      </c>
      <c r="O356">
        <f>VLOOKUP(Table5[[#This Row],[Shortname]], Comp[],12, FALSE)</f>
        <v>0</v>
      </c>
      <c r="P356">
        <f>VLOOKUP(Table5[[#This Row],[Shortname]], Comp[], 13, FALSE)</f>
        <v>0</v>
      </c>
      <c r="Q356">
        <f>VLOOKUP(Table5[[#This Row],[Shortname]], Comp[], 14, FALSE)</f>
        <v>0</v>
      </c>
      <c r="R356">
        <f>VLOOKUP(Table5[[#This Row],[Shortname]], Comp[], 15, FALSE)</f>
        <v>0</v>
      </c>
      <c r="S356">
        <f>VLOOKUP(Table5[[#This Row],[Shortname]], Comp[], 16, FALSE)</f>
        <v>0</v>
      </c>
      <c r="T356">
        <f>VLOOKUP(Table5[[#This Row],[Shortname]], Comp[], 17, FALSE)</f>
        <v>0</v>
      </c>
      <c r="U356">
        <f>VLOOKUP(Table5[[#This Row],[Shortname]], Comp[], 18, FALSE)</f>
        <v>0</v>
      </c>
      <c r="V356">
        <f>VLOOKUP(Table5[[#This Row],[Shortname]], Comp[], 19, FALSE)</f>
        <v>0</v>
      </c>
      <c r="W356">
        <f>VLOOKUP(Table5[[#This Row],[Shortname]], Comp[], 20, FALSE)</f>
        <v>0</v>
      </c>
      <c r="X356">
        <f>VLOOKUP(Table5[[#This Row],[Shortname]], Comp[], 21, FALSE)</f>
        <v>0</v>
      </c>
      <c r="Y356">
        <f>VLOOKUP(Table5[[#This Row],[Shortname]], Comp[], 22, FALSE)</f>
        <v>0</v>
      </c>
      <c r="Z356">
        <f>VLOOKUP(Table5[[#This Row],[Shortname]], Comp[], 23, FALSE)</f>
        <v>0</v>
      </c>
      <c r="AA356">
        <f>VLOOKUP(Table5[[#This Row],[Shortname]], Comp[], 24, FALSE)</f>
        <v>0</v>
      </c>
      <c r="AB356">
        <f>VLOOKUP(Table5[[#This Row],[Shortname]], Comp[], 25, FALSE)</f>
        <v>0</v>
      </c>
      <c r="AC356">
        <f>VLOOKUP(Table5[[#This Row],[Shortname]], Comp[], 26, FALSE)</f>
        <v>0</v>
      </c>
      <c r="AD356">
        <f>VLOOKUP(Table5[[#This Row],[Shortname]], Comp[], 27, FALSE)</f>
        <v>0</v>
      </c>
      <c r="AE356">
        <f>VLOOKUP(Table5[[#This Row],[Shortname]], Comp[], 28, FALSE)</f>
        <v>0</v>
      </c>
      <c r="AF356">
        <f>VLOOKUP(Table5[[#This Row],[Shortname]], Comp[], 29, FALSE)</f>
        <v>0</v>
      </c>
      <c r="AG356">
        <f>VLOOKUP(Table5[[#This Row],[Shortname]], Comp[], 30, FALSE)</f>
        <v>0</v>
      </c>
      <c r="AH356">
        <f>VLOOKUP(Table5[[#This Row],[Shortname]], Comp[], 31, FALSE)</f>
        <v>0</v>
      </c>
    </row>
    <row r="357" spans="1:34" x14ac:dyDescent="0.3">
      <c r="A357" s="7" t="s">
        <v>5198</v>
      </c>
      <c r="B357">
        <v>367</v>
      </c>
      <c r="C357" s="7" t="str">
        <f>VLOOKUP(Table5[[#This Row],[Shortname]], [1]!comp[#Data], 2, FALSE)</f>
        <v>CoAlW-X</v>
      </c>
      <c r="D357" t="s">
        <v>5200</v>
      </c>
      <c r="E357" s="3" t="s">
        <v>3245</v>
      </c>
      <c r="F357">
        <v>952</v>
      </c>
      <c r="J357" s="14">
        <f>VLOOKUP(Table5[[#This Row],[Shortname]], Comp[], 7, FALSE)</f>
        <v>27.400000000000006</v>
      </c>
      <c r="K357">
        <f>VLOOKUP(Table5[[#This Row],[Shortname]], Comp[], 8, FALSE)</f>
        <v>60</v>
      </c>
      <c r="L357">
        <f>VLOOKUP(Table5[[#This Row],[Shortname]], Comp[], 9, FALSE)</f>
        <v>10</v>
      </c>
      <c r="M357">
        <f>VLOOKUP(Table5[[#This Row],[Shortname]], Comp[], 10, FALSE)</f>
        <v>0</v>
      </c>
      <c r="N357">
        <f>VLOOKUP(Table5[[#This Row],[Shortname]], Comp[], 11, FALSE)</f>
        <v>2.6</v>
      </c>
      <c r="O357">
        <f>VLOOKUP(Table5[[#This Row],[Shortname]], Comp[],12, FALSE)</f>
        <v>0</v>
      </c>
      <c r="P357">
        <f>VLOOKUP(Table5[[#This Row],[Shortname]], Comp[], 13, FALSE)</f>
        <v>0</v>
      </c>
      <c r="Q357">
        <f>VLOOKUP(Table5[[#This Row],[Shortname]], Comp[], 14, FALSE)</f>
        <v>0</v>
      </c>
      <c r="R357">
        <f>VLOOKUP(Table5[[#This Row],[Shortname]], Comp[], 15, FALSE)</f>
        <v>0</v>
      </c>
      <c r="S357">
        <f>VLOOKUP(Table5[[#This Row],[Shortname]], Comp[], 16, FALSE)</f>
        <v>0</v>
      </c>
      <c r="T357">
        <f>VLOOKUP(Table5[[#This Row],[Shortname]], Comp[], 17, FALSE)</f>
        <v>0</v>
      </c>
      <c r="U357">
        <f>VLOOKUP(Table5[[#This Row],[Shortname]], Comp[], 18, FALSE)</f>
        <v>0</v>
      </c>
      <c r="V357">
        <f>VLOOKUP(Table5[[#This Row],[Shortname]], Comp[], 19, FALSE)</f>
        <v>0</v>
      </c>
      <c r="W357">
        <f>VLOOKUP(Table5[[#This Row],[Shortname]], Comp[], 20, FALSE)</f>
        <v>0</v>
      </c>
      <c r="X357">
        <f>VLOOKUP(Table5[[#This Row],[Shortname]], Comp[], 21, FALSE)</f>
        <v>0</v>
      </c>
      <c r="Y357">
        <f>VLOOKUP(Table5[[#This Row],[Shortname]], Comp[], 22, FALSE)</f>
        <v>0</v>
      </c>
      <c r="Z357">
        <f>VLOOKUP(Table5[[#This Row],[Shortname]], Comp[], 23, FALSE)</f>
        <v>0</v>
      </c>
      <c r="AA357">
        <f>VLOOKUP(Table5[[#This Row],[Shortname]], Comp[], 24, FALSE)</f>
        <v>0</v>
      </c>
      <c r="AB357">
        <f>VLOOKUP(Table5[[#This Row],[Shortname]], Comp[], 25, FALSE)</f>
        <v>0</v>
      </c>
      <c r="AC357">
        <f>VLOOKUP(Table5[[#This Row],[Shortname]], Comp[], 26, FALSE)</f>
        <v>0</v>
      </c>
      <c r="AD357">
        <f>VLOOKUP(Table5[[#This Row],[Shortname]], Comp[], 27, FALSE)</f>
        <v>0</v>
      </c>
      <c r="AE357">
        <f>VLOOKUP(Table5[[#This Row],[Shortname]], Comp[], 28, FALSE)</f>
        <v>0</v>
      </c>
      <c r="AF357">
        <f>VLOOKUP(Table5[[#This Row],[Shortname]], Comp[], 29, FALSE)</f>
        <v>0</v>
      </c>
      <c r="AG357">
        <f>VLOOKUP(Table5[[#This Row],[Shortname]], Comp[], 30, FALSE)</f>
        <v>0</v>
      </c>
      <c r="AH357">
        <f>VLOOKUP(Table5[[#This Row],[Shortname]], Comp[], 31, FALSE)</f>
        <v>0</v>
      </c>
    </row>
    <row r="358" spans="1:34" x14ac:dyDescent="0.3">
      <c r="A358" s="7" t="s">
        <v>5162</v>
      </c>
      <c r="B358">
        <v>368</v>
      </c>
      <c r="C358" s="7" t="str">
        <f>VLOOKUP(Table5[[#This Row],[Shortname]], [1]!comp[#Data], 2, FALSE)</f>
        <v>CoAlW-X</v>
      </c>
      <c r="D358" t="s">
        <v>5164</v>
      </c>
      <c r="E358" s="3" t="s">
        <v>3245</v>
      </c>
      <c r="F358">
        <v>936</v>
      </c>
      <c r="J358" s="14">
        <f>VLOOKUP(Table5[[#This Row],[Shortname]], Comp[], 7, FALSE)</f>
        <v>65</v>
      </c>
      <c r="K358">
        <f>VLOOKUP(Table5[[#This Row],[Shortname]], Comp[], 8, FALSE)</f>
        <v>20</v>
      </c>
      <c r="L358">
        <f>VLOOKUP(Table5[[#This Row],[Shortname]], Comp[], 9, FALSE)</f>
        <v>10</v>
      </c>
      <c r="M358">
        <f>VLOOKUP(Table5[[#This Row],[Shortname]], Comp[], 10, FALSE)</f>
        <v>0</v>
      </c>
      <c r="N358">
        <f>VLOOKUP(Table5[[#This Row],[Shortname]], Comp[], 11, FALSE)</f>
        <v>5</v>
      </c>
      <c r="O358">
        <f>VLOOKUP(Table5[[#This Row],[Shortname]], Comp[],12, FALSE)</f>
        <v>0</v>
      </c>
      <c r="P358">
        <f>VLOOKUP(Table5[[#This Row],[Shortname]], Comp[], 13, FALSE)</f>
        <v>0</v>
      </c>
      <c r="Q358">
        <f>VLOOKUP(Table5[[#This Row],[Shortname]], Comp[], 14, FALSE)</f>
        <v>0</v>
      </c>
      <c r="R358">
        <f>VLOOKUP(Table5[[#This Row],[Shortname]], Comp[], 15, FALSE)</f>
        <v>0</v>
      </c>
      <c r="S358">
        <f>VLOOKUP(Table5[[#This Row],[Shortname]], Comp[], 16, FALSE)</f>
        <v>0</v>
      </c>
      <c r="T358">
        <f>VLOOKUP(Table5[[#This Row],[Shortname]], Comp[], 17, FALSE)</f>
        <v>0</v>
      </c>
      <c r="U358">
        <f>VLOOKUP(Table5[[#This Row],[Shortname]], Comp[], 18, FALSE)</f>
        <v>0</v>
      </c>
      <c r="V358">
        <f>VLOOKUP(Table5[[#This Row],[Shortname]], Comp[], 19, FALSE)</f>
        <v>0</v>
      </c>
      <c r="W358">
        <f>VLOOKUP(Table5[[#This Row],[Shortname]], Comp[], 20, FALSE)</f>
        <v>0</v>
      </c>
      <c r="X358">
        <f>VLOOKUP(Table5[[#This Row],[Shortname]], Comp[], 21, FALSE)</f>
        <v>0</v>
      </c>
      <c r="Y358">
        <f>VLOOKUP(Table5[[#This Row],[Shortname]], Comp[], 22, FALSE)</f>
        <v>0</v>
      </c>
      <c r="Z358">
        <f>VLOOKUP(Table5[[#This Row],[Shortname]], Comp[], 23, FALSE)</f>
        <v>0</v>
      </c>
      <c r="AA358">
        <f>VLOOKUP(Table5[[#This Row],[Shortname]], Comp[], 24, FALSE)</f>
        <v>0</v>
      </c>
      <c r="AB358">
        <f>VLOOKUP(Table5[[#This Row],[Shortname]], Comp[], 25, FALSE)</f>
        <v>0</v>
      </c>
      <c r="AC358">
        <f>VLOOKUP(Table5[[#This Row],[Shortname]], Comp[], 26, FALSE)</f>
        <v>0</v>
      </c>
      <c r="AD358">
        <f>VLOOKUP(Table5[[#This Row],[Shortname]], Comp[], 27, FALSE)</f>
        <v>0</v>
      </c>
      <c r="AE358">
        <f>VLOOKUP(Table5[[#This Row],[Shortname]], Comp[], 28, FALSE)</f>
        <v>0</v>
      </c>
      <c r="AF358">
        <f>VLOOKUP(Table5[[#This Row],[Shortname]], Comp[], 29, FALSE)</f>
        <v>0</v>
      </c>
      <c r="AG358">
        <f>VLOOKUP(Table5[[#This Row],[Shortname]], Comp[], 30, FALSE)</f>
        <v>0</v>
      </c>
      <c r="AH358">
        <f>VLOOKUP(Table5[[#This Row],[Shortname]], Comp[], 31, FALSE)</f>
        <v>0</v>
      </c>
    </row>
    <row r="359" spans="1:34" x14ac:dyDescent="0.3">
      <c r="A359" s="7" t="s">
        <v>5157</v>
      </c>
      <c r="B359">
        <v>369</v>
      </c>
      <c r="C359" s="7" t="str">
        <f>VLOOKUP(Table5[[#This Row],[Shortname]], [1]!comp[#Data], 2, FALSE)</f>
        <v>CoAlW-X</v>
      </c>
      <c r="D359" t="s">
        <v>5159</v>
      </c>
      <c r="E359" s="3" t="s">
        <v>3245</v>
      </c>
      <c r="F359">
        <v>899</v>
      </c>
      <c r="J359" s="14">
        <f>VLOOKUP(Table5[[#This Row],[Shortname]], Comp[], 7, FALSE)</f>
        <v>66.099999999999994</v>
      </c>
      <c r="K359">
        <f>VLOOKUP(Table5[[#This Row],[Shortname]], Comp[], 8, FALSE)</f>
        <v>20</v>
      </c>
      <c r="L359">
        <f>VLOOKUP(Table5[[#This Row],[Shortname]], Comp[], 9, FALSE)</f>
        <v>10</v>
      </c>
      <c r="M359">
        <f>VLOOKUP(Table5[[#This Row],[Shortname]], Comp[], 10, FALSE)</f>
        <v>0</v>
      </c>
      <c r="N359">
        <f>VLOOKUP(Table5[[#This Row],[Shortname]], Comp[], 11, FALSE)</f>
        <v>3.9</v>
      </c>
      <c r="O359">
        <f>VLOOKUP(Table5[[#This Row],[Shortname]], Comp[],12, FALSE)</f>
        <v>0</v>
      </c>
      <c r="P359">
        <f>VLOOKUP(Table5[[#This Row],[Shortname]], Comp[], 13, FALSE)</f>
        <v>0</v>
      </c>
      <c r="Q359">
        <f>VLOOKUP(Table5[[#This Row],[Shortname]], Comp[], 14, FALSE)</f>
        <v>0</v>
      </c>
      <c r="R359">
        <f>VLOOKUP(Table5[[#This Row],[Shortname]], Comp[], 15, FALSE)</f>
        <v>0</v>
      </c>
      <c r="S359">
        <f>VLOOKUP(Table5[[#This Row],[Shortname]], Comp[], 16, FALSE)</f>
        <v>0</v>
      </c>
      <c r="T359">
        <f>VLOOKUP(Table5[[#This Row],[Shortname]], Comp[], 17, FALSE)</f>
        <v>0</v>
      </c>
      <c r="U359">
        <f>VLOOKUP(Table5[[#This Row],[Shortname]], Comp[], 18, FALSE)</f>
        <v>0</v>
      </c>
      <c r="V359">
        <f>VLOOKUP(Table5[[#This Row],[Shortname]], Comp[], 19, FALSE)</f>
        <v>0</v>
      </c>
      <c r="W359">
        <f>VLOOKUP(Table5[[#This Row],[Shortname]], Comp[], 20, FALSE)</f>
        <v>0</v>
      </c>
      <c r="X359">
        <f>VLOOKUP(Table5[[#This Row],[Shortname]], Comp[], 21, FALSE)</f>
        <v>0</v>
      </c>
      <c r="Y359">
        <f>VLOOKUP(Table5[[#This Row],[Shortname]], Comp[], 22, FALSE)</f>
        <v>0</v>
      </c>
      <c r="Z359">
        <f>VLOOKUP(Table5[[#This Row],[Shortname]], Comp[], 23, FALSE)</f>
        <v>0</v>
      </c>
      <c r="AA359">
        <f>VLOOKUP(Table5[[#This Row],[Shortname]], Comp[], 24, FALSE)</f>
        <v>0</v>
      </c>
      <c r="AB359">
        <f>VLOOKUP(Table5[[#This Row],[Shortname]], Comp[], 25, FALSE)</f>
        <v>0</v>
      </c>
      <c r="AC359">
        <f>VLOOKUP(Table5[[#This Row],[Shortname]], Comp[], 26, FALSE)</f>
        <v>0</v>
      </c>
      <c r="AD359">
        <f>VLOOKUP(Table5[[#This Row],[Shortname]], Comp[], 27, FALSE)</f>
        <v>0</v>
      </c>
      <c r="AE359">
        <f>VLOOKUP(Table5[[#This Row],[Shortname]], Comp[], 28, FALSE)</f>
        <v>0</v>
      </c>
      <c r="AF359">
        <f>VLOOKUP(Table5[[#This Row],[Shortname]], Comp[], 29, FALSE)</f>
        <v>0</v>
      </c>
      <c r="AG359">
        <f>VLOOKUP(Table5[[#This Row],[Shortname]], Comp[], 30, FALSE)</f>
        <v>0</v>
      </c>
      <c r="AH359">
        <f>VLOOKUP(Table5[[#This Row],[Shortname]], Comp[], 31, FALSE)</f>
        <v>0</v>
      </c>
    </row>
    <row r="360" spans="1:34" x14ac:dyDescent="0.3">
      <c r="A360" s="7" t="s">
        <v>5182</v>
      </c>
      <c r="B360">
        <v>370</v>
      </c>
      <c r="C360" s="7" t="str">
        <f>VLOOKUP(Table5[[#This Row],[Shortname]], [1]!comp[#Data], 2, FALSE)</f>
        <v>CoAlW-X</v>
      </c>
      <c r="D360" t="s">
        <v>5184</v>
      </c>
      <c r="E360" s="3" t="s">
        <v>3245</v>
      </c>
      <c r="F360" s="25">
        <v>899</v>
      </c>
      <c r="J360" s="14">
        <f>VLOOKUP(Table5[[#This Row],[Shortname]], Comp[], 7, FALSE)</f>
        <v>38.4</v>
      </c>
      <c r="K360">
        <f>VLOOKUP(Table5[[#This Row],[Shortname]], Comp[], 8, FALSE)</f>
        <v>50</v>
      </c>
      <c r="L360">
        <f>VLOOKUP(Table5[[#This Row],[Shortname]], Comp[], 9, FALSE)</f>
        <v>10</v>
      </c>
      <c r="M360">
        <f>VLOOKUP(Table5[[#This Row],[Shortname]], Comp[], 10, FALSE)</f>
        <v>0</v>
      </c>
      <c r="N360">
        <f>VLOOKUP(Table5[[#This Row],[Shortname]], Comp[], 11, FALSE)</f>
        <v>1.6</v>
      </c>
      <c r="O360">
        <f>VLOOKUP(Table5[[#This Row],[Shortname]], Comp[],12, FALSE)</f>
        <v>0</v>
      </c>
      <c r="P360">
        <f>VLOOKUP(Table5[[#This Row],[Shortname]], Comp[], 13, FALSE)</f>
        <v>0</v>
      </c>
      <c r="Q360">
        <f>VLOOKUP(Table5[[#This Row],[Shortname]], Comp[], 14, FALSE)</f>
        <v>0</v>
      </c>
      <c r="R360">
        <f>VLOOKUP(Table5[[#This Row],[Shortname]], Comp[], 15, FALSE)</f>
        <v>0</v>
      </c>
      <c r="S360">
        <f>VLOOKUP(Table5[[#This Row],[Shortname]], Comp[], 16, FALSE)</f>
        <v>0</v>
      </c>
      <c r="T360">
        <f>VLOOKUP(Table5[[#This Row],[Shortname]], Comp[], 17, FALSE)</f>
        <v>0</v>
      </c>
      <c r="U360">
        <f>VLOOKUP(Table5[[#This Row],[Shortname]], Comp[], 18, FALSE)</f>
        <v>0</v>
      </c>
      <c r="V360">
        <f>VLOOKUP(Table5[[#This Row],[Shortname]], Comp[], 19, FALSE)</f>
        <v>0</v>
      </c>
      <c r="W360">
        <f>VLOOKUP(Table5[[#This Row],[Shortname]], Comp[], 20, FALSE)</f>
        <v>0</v>
      </c>
      <c r="X360">
        <f>VLOOKUP(Table5[[#This Row],[Shortname]], Comp[], 21, FALSE)</f>
        <v>0</v>
      </c>
      <c r="Y360">
        <f>VLOOKUP(Table5[[#This Row],[Shortname]], Comp[], 22, FALSE)</f>
        <v>0</v>
      </c>
      <c r="Z360">
        <f>VLOOKUP(Table5[[#This Row],[Shortname]], Comp[], 23, FALSE)</f>
        <v>0</v>
      </c>
      <c r="AA360">
        <f>VLOOKUP(Table5[[#This Row],[Shortname]], Comp[], 24, FALSE)</f>
        <v>0</v>
      </c>
      <c r="AB360">
        <f>VLOOKUP(Table5[[#This Row],[Shortname]], Comp[], 25, FALSE)</f>
        <v>0</v>
      </c>
      <c r="AC360">
        <f>VLOOKUP(Table5[[#This Row],[Shortname]], Comp[], 26, FALSE)</f>
        <v>0</v>
      </c>
      <c r="AD360">
        <f>VLOOKUP(Table5[[#This Row],[Shortname]], Comp[], 27, FALSE)</f>
        <v>0</v>
      </c>
      <c r="AE360">
        <f>VLOOKUP(Table5[[#This Row],[Shortname]], Comp[], 28, FALSE)</f>
        <v>0</v>
      </c>
      <c r="AF360">
        <f>VLOOKUP(Table5[[#This Row],[Shortname]], Comp[], 29, FALSE)</f>
        <v>0</v>
      </c>
      <c r="AG360">
        <f>VLOOKUP(Table5[[#This Row],[Shortname]], Comp[], 30, FALSE)</f>
        <v>0</v>
      </c>
      <c r="AH360">
        <f>VLOOKUP(Table5[[#This Row],[Shortname]], Comp[], 31, FALSE)</f>
        <v>0</v>
      </c>
    </row>
    <row r="361" spans="1:34" x14ac:dyDescent="0.3">
      <c r="A361" s="7" t="s">
        <v>5188</v>
      </c>
      <c r="B361">
        <v>371</v>
      </c>
      <c r="C361" s="7" t="str">
        <f>VLOOKUP(Table5[[#This Row],[Shortname]], [1]!comp[#Data], 2, FALSE)</f>
        <v>CoAlW-X</v>
      </c>
      <c r="D361" t="s">
        <v>5190</v>
      </c>
      <c r="E361" s="3" t="s">
        <v>3245</v>
      </c>
      <c r="F361">
        <v>899</v>
      </c>
      <c r="J361" s="14">
        <f>VLOOKUP(Table5[[#This Row],[Shortname]], Comp[], 7, FALSE)</f>
        <v>29</v>
      </c>
      <c r="K361">
        <f>VLOOKUP(Table5[[#This Row],[Shortname]], Comp[], 8, FALSE)</f>
        <v>60</v>
      </c>
      <c r="L361">
        <f>VLOOKUP(Table5[[#This Row],[Shortname]], Comp[], 9, FALSE)</f>
        <v>10</v>
      </c>
      <c r="M361">
        <f>VLOOKUP(Table5[[#This Row],[Shortname]], Comp[], 10, FALSE)</f>
        <v>0</v>
      </c>
      <c r="N361">
        <f>VLOOKUP(Table5[[#This Row],[Shortname]], Comp[], 11, FALSE)</f>
        <v>1</v>
      </c>
      <c r="O361">
        <f>VLOOKUP(Table5[[#This Row],[Shortname]], Comp[],12, FALSE)</f>
        <v>0</v>
      </c>
      <c r="P361">
        <f>VLOOKUP(Table5[[#This Row],[Shortname]], Comp[], 13, FALSE)</f>
        <v>0</v>
      </c>
      <c r="Q361">
        <f>VLOOKUP(Table5[[#This Row],[Shortname]], Comp[], 14, FALSE)</f>
        <v>0</v>
      </c>
      <c r="R361">
        <f>VLOOKUP(Table5[[#This Row],[Shortname]], Comp[], 15, FALSE)</f>
        <v>0</v>
      </c>
      <c r="S361">
        <f>VLOOKUP(Table5[[#This Row],[Shortname]], Comp[], 16, FALSE)</f>
        <v>0</v>
      </c>
      <c r="T361">
        <f>VLOOKUP(Table5[[#This Row],[Shortname]], Comp[], 17, FALSE)</f>
        <v>0</v>
      </c>
      <c r="U361">
        <f>VLOOKUP(Table5[[#This Row],[Shortname]], Comp[], 18, FALSE)</f>
        <v>0</v>
      </c>
      <c r="V361">
        <f>VLOOKUP(Table5[[#This Row],[Shortname]], Comp[], 19, FALSE)</f>
        <v>0</v>
      </c>
      <c r="W361">
        <f>VLOOKUP(Table5[[#This Row],[Shortname]], Comp[], 20, FALSE)</f>
        <v>0</v>
      </c>
      <c r="X361">
        <f>VLOOKUP(Table5[[#This Row],[Shortname]], Comp[], 21, FALSE)</f>
        <v>0</v>
      </c>
      <c r="Y361">
        <f>VLOOKUP(Table5[[#This Row],[Shortname]], Comp[], 22, FALSE)</f>
        <v>0</v>
      </c>
      <c r="Z361">
        <f>VLOOKUP(Table5[[#This Row],[Shortname]], Comp[], 23, FALSE)</f>
        <v>0</v>
      </c>
      <c r="AA361">
        <f>VLOOKUP(Table5[[#This Row],[Shortname]], Comp[], 24, FALSE)</f>
        <v>0</v>
      </c>
      <c r="AB361">
        <f>VLOOKUP(Table5[[#This Row],[Shortname]], Comp[], 25, FALSE)</f>
        <v>0</v>
      </c>
      <c r="AC361">
        <f>VLOOKUP(Table5[[#This Row],[Shortname]], Comp[], 26, FALSE)</f>
        <v>0</v>
      </c>
      <c r="AD361">
        <f>VLOOKUP(Table5[[#This Row],[Shortname]], Comp[], 27, FALSE)</f>
        <v>0</v>
      </c>
      <c r="AE361">
        <f>VLOOKUP(Table5[[#This Row],[Shortname]], Comp[], 28, FALSE)</f>
        <v>0</v>
      </c>
      <c r="AF361">
        <f>VLOOKUP(Table5[[#This Row],[Shortname]], Comp[], 29, FALSE)</f>
        <v>0</v>
      </c>
      <c r="AG361">
        <f>VLOOKUP(Table5[[#This Row],[Shortname]], Comp[], 30, FALSE)</f>
        <v>0</v>
      </c>
      <c r="AH361">
        <f>VLOOKUP(Table5[[#This Row],[Shortname]], Comp[], 31, FALSE)</f>
        <v>0</v>
      </c>
    </row>
    <row r="362" spans="1:34" x14ac:dyDescent="0.3">
      <c r="A362" s="7" t="s">
        <v>5203</v>
      </c>
      <c r="B362">
        <v>372</v>
      </c>
      <c r="C362" s="7" t="str">
        <f>VLOOKUP(Table5[[#This Row],[Shortname]], [1]!comp[#Data], 2, FALSE)</f>
        <v>CoAlW-X</v>
      </c>
      <c r="D362" t="s">
        <v>5205</v>
      </c>
      <c r="E362" s="3" t="s">
        <v>3245</v>
      </c>
      <c r="F362">
        <v>899</v>
      </c>
      <c r="J362" s="14">
        <f>VLOOKUP(Table5[[#This Row],[Shortname]], Comp[], 7, FALSE)</f>
        <v>18.599999999999994</v>
      </c>
      <c r="K362">
        <f>VLOOKUP(Table5[[#This Row],[Shortname]], Comp[], 8, FALSE)</f>
        <v>70</v>
      </c>
      <c r="L362">
        <f>VLOOKUP(Table5[[#This Row],[Shortname]], Comp[], 9, FALSE)</f>
        <v>10</v>
      </c>
      <c r="M362">
        <f>VLOOKUP(Table5[[#This Row],[Shortname]], Comp[], 10, FALSE)</f>
        <v>0</v>
      </c>
      <c r="N362">
        <f>VLOOKUP(Table5[[#This Row],[Shortname]], Comp[], 11, FALSE)</f>
        <v>1.4</v>
      </c>
      <c r="O362">
        <f>VLOOKUP(Table5[[#This Row],[Shortname]], Comp[],12, FALSE)</f>
        <v>0</v>
      </c>
      <c r="P362">
        <f>VLOOKUP(Table5[[#This Row],[Shortname]], Comp[], 13, FALSE)</f>
        <v>0</v>
      </c>
      <c r="Q362">
        <f>VLOOKUP(Table5[[#This Row],[Shortname]], Comp[], 14, FALSE)</f>
        <v>0</v>
      </c>
      <c r="R362">
        <f>VLOOKUP(Table5[[#This Row],[Shortname]], Comp[], 15, FALSE)</f>
        <v>0</v>
      </c>
      <c r="S362">
        <f>VLOOKUP(Table5[[#This Row],[Shortname]], Comp[], 16, FALSE)</f>
        <v>0</v>
      </c>
      <c r="T362">
        <f>VLOOKUP(Table5[[#This Row],[Shortname]], Comp[], 17, FALSE)</f>
        <v>0</v>
      </c>
      <c r="U362">
        <f>VLOOKUP(Table5[[#This Row],[Shortname]], Comp[], 18, FALSE)</f>
        <v>0</v>
      </c>
      <c r="V362">
        <f>VLOOKUP(Table5[[#This Row],[Shortname]], Comp[], 19, FALSE)</f>
        <v>0</v>
      </c>
      <c r="W362">
        <f>VLOOKUP(Table5[[#This Row],[Shortname]], Comp[], 20, FALSE)</f>
        <v>0</v>
      </c>
      <c r="X362">
        <f>VLOOKUP(Table5[[#This Row],[Shortname]], Comp[], 21, FALSE)</f>
        <v>0</v>
      </c>
      <c r="Y362">
        <f>VLOOKUP(Table5[[#This Row],[Shortname]], Comp[], 22, FALSE)</f>
        <v>0</v>
      </c>
      <c r="Z362">
        <f>VLOOKUP(Table5[[#This Row],[Shortname]], Comp[], 23, FALSE)</f>
        <v>0</v>
      </c>
      <c r="AA362">
        <f>VLOOKUP(Table5[[#This Row],[Shortname]], Comp[], 24, FALSE)</f>
        <v>0</v>
      </c>
      <c r="AB362">
        <f>VLOOKUP(Table5[[#This Row],[Shortname]], Comp[], 25, FALSE)</f>
        <v>0</v>
      </c>
      <c r="AC362">
        <f>VLOOKUP(Table5[[#This Row],[Shortname]], Comp[], 26, FALSE)</f>
        <v>0</v>
      </c>
      <c r="AD362">
        <f>VLOOKUP(Table5[[#This Row],[Shortname]], Comp[], 27, FALSE)</f>
        <v>0</v>
      </c>
      <c r="AE362">
        <f>VLOOKUP(Table5[[#This Row],[Shortname]], Comp[], 28, FALSE)</f>
        <v>0</v>
      </c>
      <c r="AF362">
        <f>VLOOKUP(Table5[[#This Row],[Shortname]], Comp[], 29, FALSE)</f>
        <v>0</v>
      </c>
      <c r="AG362">
        <f>VLOOKUP(Table5[[#This Row],[Shortname]], Comp[], 30, FALSE)</f>
        <v>0</v>
      </c>
      <c r="AH362">
        <f>VLOOKUP(Table5[[#This Row],[Shortname]], Comp[], 31, FALSE)</f>
        <v>0</v>
      </c>
    </row>
    <row r="363" spans="1:34" x14ac:dyDescent="0.3">
      <c r="A363" s="7" t="s">
        <v>5152</v>
      </c>
      <c r="B363">
        <v>373</v>
      </c>
      <c r="C363" s="7" t="str">
        <f>VLOOKUP(Table5[[#This Row],[Shortname]], [1]!comp[#Data], 2, FALSE)</f>
        <v>CoAlW-X</v>
      </c>
      <c r="D363" t="s">
        <v>5154</v>
      </c>
      <c r="E363" s="3" t="s">
        <v>3245</v>
      </c>
      <c r="F363">
        <v>898</v>
      </c>
      <c r="J363" s="14">
        <f>VLOOKUP(Table5[[#This Row],[Shortname]], Comp[], 7, FALSE)</f>
        <v>75.3</v>
      </c>
      <c r="K363">
        <f>VLOOKUP(Table5[[#This Row],[Shortname]], Comp[], 8, FALSE)</f>
        <v>10</v>
      </c>
      <c r="L363">
        <f>VLOOKUP(Table5[[#This Row],[Shortname]], Comp[], 9, FALSE)</f>
        <v>10</v>
      </c>
      <c r="M363">
        <f>VLOOKUP(Table5[[#This Row],[Shortname]], Comp[], 10, FALSE)</f>
        <v>0</v>
      </c>
      <c r="N363">
        <f>VLOOKUP(Table5[[#This Row],[Shortname]], Comp[], 11, FALSE)</f>
        <v>4.7</v>
      </c>
      <c r="O363">
        <f>VLOOKUP(Table5[[#This Row],[Shortname]], Comp[],12, FALSE)</f>
        <v>0</v>
      </c>
      <c r="P363">
        <f>VLOOKUP(Table5[[#This Row],[Shortname]], Comp[], 13, FALSE)</f>
        <v>0</v>
      </c>
      <c r="Q363">
        <f>VLOOKUP(Table5[[#This Row],[Shortname]], Comp[], 14, FALSE)</f>
        <v>0</v>
      </c>
      <c r="R363">
        <f>VLOOKUP(Table5[[#This Row],[Shortname]], Comp[], 15, FALSE)</f>
        <v>0</v>
      </c>
      <c r="S363">
        <f>VLOOKUP(Table5[[#This Row],[Shortname]], Comp[], 16, FALSE)</f>
        <v>0</v>
      </c>
      <c r="T363">
        <f>VLOOKUP(Table5[[#This Row],[Shortname]], Comp[], 17, FALSE)</f>
        <v>0</v>
      </c>
      <c r="U363">
        <f>VLOOKUP(Table5[[#This Row],[Shortname]], Comp[], 18, FALSE)</f>
        <v>0</v>
      </c>
      <c r="V363">
        <f>VLOOKUP(Table5[[#This Row],[Shortname]], Comp[], 19, FALSE)</f>
        <v>0</v>
      </c>
      <c r="W363">
        <f>VLOOKUP(Table5[[#This Row],[Shortname]], Comp[], 20, FALSE)</f>
        <v>0</v>
      </c>
      <c r="X363">
        <f>VLOOKUP(Table5[[#This Row],[Shortname]], Comp[], 21, FALSE)</f>
        <v>0</v>
      </c>
      <c r="Y363">
        <f>VLOOKUP(Table5[[#This Row],[Shortname]], Comp[], 22, FALSE)</f>
        <v>0</v>
      </c>
      <c r="Z363">
        <f>VLOOKUP(Table5[[#This Row],[Shortname]], Comp[], 23, FALSE)</f>
        <v>0</v>
      </c>
      <c r="AA363">
        <f>VLOOKUP(Table5[[#This Row],[Shortname]], Comp[], 24, FALSE)</f>
        <v>0</v>
      </c>
      <c r="AB363">
        <f>VLOOKUP(Table5[[#This Row],[Shortname]], Comp[], 25, FALSE)</f>
        <v>0</v>
      </c>
      <c r="AC363">
        <f>VLOOKUP(Table5[[#This Row],[Shortname]], Comp[], 26, FALSE)</f>
        <v>0</v>
      </c>
      <c r="AD363">
        <f>VLOOKUP(Table5[[#This Row],[Shortname]], Comp[], 27, FALSE)</f>
        <v>0</v>
      </c>
      <c r="AE363">
        <f>VLOOKUP(Table5[[#This Row],[Shortname]], Comp[], 28, FALSE)</f>
        <v>0</v>
      </c>
      <c r="AF363">
        <f>VLOOKUP(Table5[[#This Row],[Shortname]], Comp[], 29, FALSE)</f>
        <v>0</v>
      </c>
      <c r="AG363">
        <f>VLOOKUP(Table5[[#This Row],[Shortname]], Comp[], 30, FALSE)</f>
        <v>0</v>
      </c>
      <c r="AH363">
        <f>VLOOKUP(Table5[[#This Row],[Shortname]], Comp[], 31, FALSE)</f>
        <v>0</v>
      </c>
    </row>
    <row r="364" spans="1:34" x14ac:dyDescent="0.3">
      <c r="A364" s="7" t="s">
        <v>5167</v>
      </c>
      <c r="B364">
        <v>374</v>
      </c>
      <c r="C364" s="7" t="str">
        <f>VLOOKUP(Table5[[#This Row],[Shortname]], [1]!comp[#Data], 2, FALSE)</f>
        <v>CoAlW-X</v>
      </c>
      <c r="D364" t="s">
        <v>5169</v>
      </c>
      <c r="E364" s="3" t="s">
        <v>3245</v>
      </c>
      <c r="F364">
        <v>898</v>
      </c>
      <c r="J364" s="14">
        <f>VLOOKUP(Table5[[#This Row],[Shortname]], Comp[], 7, FALSE)</f>
        <v>56.8</v>
      </c>
      <c r="K364">
        <f>VLOOKUP(Table5[[#This Row],[Shortname]], Comp[], 8, FALSE)</f>
        <v>30</v>
      </c>
      <c r="L364">
        <f>VLOOKUP(Table5[[#This Row],[Shortname]], Comp[], 9, FALSE)</f>
        <v>10</v>
      </c>
      <c r="M364">
        <f>VLOOKUP(Table5[[#This Row],[Shortname]], Comp[], 10, FALSE)</f>
        <v>0</v>
      </c>
      <c r="N364">
        <f>VLOOKUP(Table5[[#This Row],[Shortname]], Comp[], 11, FALSE)</f>
        <v>3.2</v>
      </c>
      <c r="O364">
        <f>VLOOKUP(Table5[[#This Row],[Shortname]], Comp[],12, FALSE)</f>
        <v>0</v>
      </c>
      <c r="P364">
        <f>VLOOKUP(Table5[[#This Row],[Shortname]], Comp[], 13, FALSE)</f>
        <v>0</v>
      </c>
      <c r="Q364">
        <f>VLOOKUP(Table5[[#This Row],[Shortname]], Comp[], 14, FALSE)</f>
        <v>0</v>
      </c>
      <c r="R364">
        <f>VLOOKUP(Table5[[#This Row],[Shortname]], Comp[], 15, FALSE)</f>
        <v>0</v>
      </c>
      <c r="S364">
        <f>VLOOKUP(Table5[[#This Row],[Shortname]], Comp[], 16, FALSE)</f>
        <v>0</v>
      </c>
      <c r="T364">
        <f>VLOOKUP(Table5[[#This Row],[Shortname]], Comp[], 17, FALSE)</f>
        <v>0</v>
      </c>
      <c r="U364">
        <f>VLOOKUP(Table5[[#This Row],[Shortname]], Comp[], 18, FALSE)</f>
        <v>0</v>
      </c>
      <c r="V364">
        <f>VLOOKUP(Table5[[#This Row],[Shortname]], Comp[], 19, FALSE)</f>
        <v>0</v>
      </c>
      <c r="W364">
        <f>VLOOKUP(Table5[[#This Row],[Shortname]], Comp[], 20, FALSE)</f>
        <v>0</v>
      </c>
      <c r="X364">
        <f>VLOOKUP(Table5[[#This Row],[Shortname]], Comp[], 21, FALSE)</f>
        <v>0</v>
      </c>
      <c r="Y364">
        <f>VLOOKUP(Table5[[#This Row],[Shortname]], Comp[], 22, FALSE)</f>
        <v>0</v>
      </c>
      <c r="Z364">
        <f>VLOOKUP(Table5[[#This Row],[Shortname]], Comp[], 23, FALSE)</f>
        <v>0</v>
      </c>
      <c r="AA364">
        <f>VLOOKUP(Table5[[#This Row],[Shortname]], Comp[], 24, FALSE)</f>
        <v>0</v>
      </c>
      <c r="AB364">
        <f>VLOOKUP(Table5[[#This Row],[Shortname]], Comp[], 25, FALSE)</f>
        <v>0</v>
      </c>
      <c r="AC364">
        <f>VLOOKUP(Table5[[#This Row],[Shortname]], Comp[], 26, FALSE)</f>
        <v>0</v>
      </c>
      <c r="AD364">
        <f>VLOOKUP(Table5[[#This Row],[Shortname]], Comp[], 27, FALSE)</f>
        <v>0</v>
      </c>
      <c r="AE364">
        <f>VLOOKUP(Table5[[#This Row],[Shortname]], Comp[], 28, FALSE)</f>
        <v>0</v>
      </c>
      <c r="AF364">
        <f>VLOOKUP(Table5[[#This Row],[Shortname]], Comp[], 29, FALSE)</f>
        <v>0</v>
      </c>
      <c r="AG364">
        <f>VLOOKUP(Table5[[#This Row],[Shortname]], Comp[], 30, FALSE)</f>
        <v>0</v>
      </c>
      <c r="AH364">
        <f>VLOOKUP(Table5[[#This Row],[Shortname]], Comp[], 31, FALSE)</f>
        <v>0</v>
      </c>
    </row>
    <row r="365" spans="1:34" x14ac:dyDescent="0.3">
      <c r="A365" s="7" t="s">
        <v>5172</v>
      </c>
      <c r="B365">
        <v>375</v>
      </c>
      <c r="C365" s="7" t="str">
        <f>VLOOKUP(Table5[[#This Row],[Shortname]], [1]!comp[#Data], 2, FALSE)</f>
        <v>CoAlW-X</v>
      </c>
      <c r="D365" t="s">
        <v>5174</v>
      </c>
      <c r="E365" s="3" t="s">
        <v>3245</v>
      </c>
      <c r="F365">
        <v>898</v>
      </c>
      <c r="J365" s="14">
        <f>VLOOKUP(Table5[[#This Row],[Shortname]], Comp[], 7, FALSE)</f>
        <v>47.4</v>
      </c>
      <c r="K365">
        <f>VLOOKUP(Table5[[#This Row],[Shortname]], Comp[], 8, FALSE)</f>
        <v>40</v>
      </c>
      <c r="L365">
        <f>VLOOKUP(Table5[[#This Row],[Shortname]], Comp[], 9, FALSE)</f>
        <v>10</v>
      </c>
      <c r="M365">
        <f>VLOOKUP(Table5[[#This Row],[Shortname]], Comp[], 10, FALSE)</f>
        <v>0</v>
      </c>
      <c r="N365">
        <f>VLOOKUP(Table5[[#This Row],[Shortname]], Comp[], 11, FALSE)</f>
        <v>2.6</v>
      </c>
      <c r="O365">
        <f>VLOOKUP(Table5[[#This Row],[Shortname]], Comp[],12, FALSE)</f>
        <v>0</v>
      </c>
      <c r="P365">
        <f>VLOOKUP(Table5[[#This Row],[Shortname]], Comp[], 13, FALSE)</f>
        <v>0</v>
      </c>
      <c r="Q365">
        <f>VLOOKUP(Table5[[#This Row],[Shortname]], Comp[], 14, FALSE)</f>
        <v>0</v>
      </c>
      <c r="R365">
        <f>VLOOKUP(Table5[[#This Row],[Shortname]], Comp[], 15, FALSE)</f>
        <v>0</v>
      </c>
      <c r="S365">
        <f>VLOOKUP(Table5[[#This Row],[Shortname]], Comp[], 16, FALSE)</f>
        <v>0</v>
      </c>
      <c r="T365">
        <f>VLOOKUP(Table5[[#This Row],[Shortname]], Comp[], 17, FALSE)</f>
        <v>0</v>
      </c>
      <c r="U365">
        <f>VLOOKUP(Table5[[#This Row],[Shortname]], Comp[], 18, FALSE)</f>
        <v>0</v>
      </c>
      <c r="V365">
        <f>VLOOKUP(Table5[[#This Row],[Shortname]], Comp[], 19, FALSE)</f>
        <v>0</v>
      </c>
      <c r="W365">
        <f>VLOOKUP(Table5[[#This Row],[Shortname]], Comp[], 20, FALSE)</f>
        <v>0</v>
      </c>
      <c r="X365">
        <f>VLOOKUP(Table5[[#This Row],[Shortname]], Comp[], 21, FALSE)</f>
        <v>0</v>
      </c>
      <c r="Y365">
        <f>VLOOKUP(Table5[[#This Row],[Shortname]], Comp[], 22, FALSE)</f>
        <v>0</v>
      </c>
      <c r="Z365">
        <f>VLOOKUP(Table5[[#This Row],[Shortname]], Comp[], 23, FALSE)</f>
        <v>0</v>
      </c>
      <c r="AA365">
        <f>VLOOKUP(Table5[[#This Row],[Shortname]], Comp[], 24, FALSE)</f>
        <v>0</v>
      </c>
      <c r="AB365">
        <f>VLOOKUP(Table5[[#This Row],[Shortname]], Comp[], 25, FALSE)</f>
        <v>0</v>
      </c>
      <c r="AC365">
        <f>VLOOKUP(Table5[[#This Row],[Shortname]], Comp[], 26, FALSE)</f>
        <v>0</v>
      </c>
      <c r="AD365">
        <f>VLOOKUP(Table5[[#This Row],[Shortname]], Comp[], 27, FALSE)</f>
        <v>0</v>
      </c>
      <c r="AE365">
        <f>VLOOKUP(Table5[[#This Row],[Shortname]], Comp[], 28, FALSE)</f>
        <v>0</v>
      </c>
      <c r="AF365">
        <f>VLOOKUP(Table5[[#This Row],[Shortname]], Comp[], 29, FALSE)</f>
        <v>0</v>
      </c>
      <c r="AG365">
        <f>VLOOKUP(Table5[[#This Row],[Shortname]], Comp[], 30, FALSE)</f>
        <v>0</v>
      </c>
      <c r="AH365">
        <f>VLOOKUP(Table5[[#This Row],[Shortname]], Comp[], 31, FALSE)</f>
        <v>0</v>
      </c>
    </row>
    <row r="366" spans="1:34" x14ac:dyDescent="0.3">
      <c r="A366" s="7" t="s">
        <v>3359</v>
      </c>
      <c r="B366">
        <v>376</v>
      </c>
      <c r="C366" s="7" t="str">
        <f>VLOOKUP(Table5[[#This Row],[Shortname]], [1]!comp[#Data], 2, FALSE)</f>
        <v>W-free</v>
      </c>
      <c r="D366" s="7" t="s">
        <v>3359</v>
      </c>
      <c r="E366" t="s">
        <v>6745</v>
      </c>
      <c r="F366">
        <v>1013</v>
      </c>
      <c r="H366">
        <v>1429.3</v>
      </c>
      <c r="J366" s="14">
        <f>VLOOKUP(Table5[[#This Row],[Shortname]], Comp[], 7, FALSE)</f>
        <v>91.5</v>
      </c>
      <c r="K366">
        <f>VLOOKUP(Table5[[#This Row],[Shortname]], Comp[], 8, FALSE)</f>
        <v>0</v>
      </c>
      <c r="L366">
        <f>VLOOKUP(Table5[[#This Row],[Shortname]], Comp[], 9, FALSE)</f>
        <v>0</v>
      </c>
      <c r="M366">
        <f>VLOOKUP(Table5[[#This Row],[Shortname]], Comp[], 10, FALSE)</f>
        <v>0</v>
      </c>
      <c r="N366">
        <f>VLOOKUP(Table5[[#This Row],[Shortname]], Comp[], 11, FALSE)</f>
        <v>0</v>
      </c>
      <c r="O366">
        <f>VLOOKUP(Table5[[#This Row],[Shortname]], Comp[],12, FALSE)</f>
        <v>0</v>
      </c>
      <c r="P366">
        <f>VLOOKUP(Table5[[#This Row],[Shortname]], Comp[], 13, FALSE)</f>
        <v>8.5</v>
      </c>
      <c r="Q366">
        <f>VLOOKUP(Table5[[#This Row],[Shortname]], Comp[], 14, FALSE)</f>
        <v>0</v>
      </c>
      <c r="R366">
        <f>VLOOKUP(Table5[[#This Row],[Shortname]], Comp[], 15, FALSE)</f>
        <v>0</v>
      </c>
      <c r="S366">
        <f>VLOOKUP(Table5[[#This Row],[Shortname]], Comp[], 16, FALSE)</f>
        <v>0</v>
      </c>
      <c r="T366">
        <f>VLOOKUP(Table5[[#This Row],[Shortname]], Comp[], 17, FALSE)</f>
        <v>0</v>
      </c>
      <c r="U366">
        <f>VLOOKUP(Table5[[#This Row],[Shortname]], Comp[], 18, FALSE)</f>
        <v>0</v>
      </c>
      <c r="V366">
        <f>VLOOKUP(Table5[[#This Row],[Shortname]], Comp[], 19, FALSE)</f>
        <v>0</v>
      </c>
      <c r="W366">
        <f>VLOOKUP(Table5[[#This Row],[Shortname]], Comp[], 20, FALSE)</f>
        <v>0</v>
      </c>
      <c r="X366">
        <f>VLOOKUP(Table5[[#This Row],[Shortname]], Comp[], 21, FALSE)</f>
        <v>0</v>
      </c>
      <c r="Y366">
        <f>VLOOKUP(Table5[[#This Row],[Shortname]], Comp[], 22, FALSE)</f>
        <v>0</v>
      </c>
      <c r="Z366">
        <f>VLOOKUP(Table5[[#This Row],[Shortname]], Comp[], 23, FALSE)</f>
        <v>0</v>
      </c>
      <c r="AA366">
        <f>VLOOKUP(Table5[[#This Row],[Shortname]], Comp[], 24, FALSE)</f>
        <v>0</v>
      </c>
      <c r="AB366">
        <f>VLOOKUP(Table5[[#This Row],[Shortname]], Comp[], 25, FALSE)</f>
        <v>0</v>
      </c>
      <c r="AC366">
        <f>VLOOKUP(Table5[[#This Row],[Shortname]], Comp[], 26, FALSE)</f>
        <v>0</v>
      </c>
      <c r="AD366">
        <f>VLOOKUP(Table5[[#This Row],[Shortname]], Comp[], 27, FALSE)</f>
        <v>0</v>
      </c>
      <c r="AE366">
        <f>VLOOKUP(Table5[[#This Row],[Shortname]], Comp[], 28, FALSE)</f>
        <v>0</v>
      </c>
      <c r="AF366">
        <f>VLOOKUP(Table5[[#This Row],[Shortname]], Comp[], 29, FALSE)</f>
        <v>0</v>
      </c>
      <c r="AG366">
        <f>VLOOKUP(Table5[[#This Row],[Shortname]], Comp[], 30, FALSE)</f>
        <v>0</v>
      </c>
      <c r="AH366">
        <f>VLOOKUP(Table5[[#This Row],[Shortname]], Comp[], 31, FALSE)</f>
        <v>0</v>
      </c>
    </row>
    <row r="367" spans="1:34" x14ac:dyDescent="0.3">
      <c r="A367" s="7" t="s">
        <v>3355</v>
      </c>
      <c r="B367">
        <v>377</v>
      </c>
      <c r="C367" s="7" t="str">
        <f>VLOOKUP(Table5[[#This Row],[Shortname]], [1]!comp[#Data], 2, FALSE)</f>
        <v>W-free</v>
      </c>
      <c r="D367" s="7" t="s">
        <v>3355</v>
      </c>
      <c r="E367" t="s">
        <v>6745</v>
      </c>
      <c r="F367">
        <v>944.7</v>
      </c>
      <c r="G367">
        <v>1428.5</v>
      </c>
      <c r="H367">
        <v>1463.7</v>
      </c>
      <c r="J367" s="14">
        <f>VLOOKUP(Table5[[#This Row],[Shortname]], Comp[], 7, FALSE)</f>
        <v>96.5</v>
      </c>
      <c r="K367">
        <f>VLOOKUP(Table5[[#This Row],[Shortname]], Comp[], 8, FALSE)</f>
        <v>0</v>
      </c>
      <c r="L367">
        <f>VLOOKUP(Table5[[#This Row],[Shortname]], Comp[], 9, FALSE)</f>
        <v>0</v>
      </c>
      <c r="M367">
        <f>VLOOKUP(Table5[[#This Row],[Shortname]], Comp[], 10, FALSE)</f>
        <v>0</v>
      </c>
      <c r="N367">
        <f>VLOOKUP(Table5[[#This Row],[Shortname]], Comp[], 11, FALSE)</f>
        <v>0</v>
      </c>
      <c r="O367">
        <f>VLOOKUP(Table5[[#This Row],[Shortname]], Comp[],12, FALSE)</f>
        <v>0</v>
      </c>
      <c r="P367">
        <f>VLOOKUP(Table5[[#This Row],[Shortname]], Comp[], 13, FALSE)</f>
        <v>3.5</v>
      </c>
      <c r="Q367">
        <f>VLOOKUP(Table5[[#This Row],[Shortname]], Comp[], 14, FALSE)</f>
        <v>0</v>
      </c>
      <c r="R367">
        <f>VLOOKUP(Table5[[#This Row],[Shortname]], Comp[], 15, FALSE)</f>
        <v>0</v>
      </c>
      <c r="S367">
        <f>VLOOKUP(Table5[[#This Row],[Shortname]], Comp[], 16, FALSE)</f>
        <v>0</v>
      </c>
      <c r="T367">
        <f>VLOOKUP(Table5[[#This Row],[Shortname]], Comp[], 17, FALSE)</f>
        <v>0</v>
      </c>
      <c r="U367">
        <f>VLOOKUP(Table5[[#This Row],[Shortname]], Comp[], 18, FALSE)</f>
        <v>0</v>
      </c>
      <c r="V367">
        <f>VLOOKUP(Table5[[#This Row],[Shortname]], Comp[], 19, FALSE)</f>
        <v>0</v>
      </c>
      <c r="W367">
        <f>VLOOKUP(Table5[[#This Row],[Shortname]], Comp[], 20, FALSE)</f>
        <v>0</v>
      </c>
      <c r="X367">
        <f>VLOOKUP(Table5[[#This Row],[Shortname]], Comp[], 21, FALSE)</f>
        <v>0</v>
      </c>
      <c r="Y367">
        <f>VLOOKUP(Table5[[#This Row],[Shortname]], Comp[], 22, FALSE)</f>
        <v>0</v>
      </c>
      <c r="Z367">
        <f>VLOOKUP(Table5[[#This Row],[Shortname]], Comp[], 23, FALSE)</f>
        <v>0</v>
      </c>
      <c r="AA367">
        <f>VLOOKUP(Table5[[#This Row],[Shortname]], Comp[], 24, FALSE)</f>
        <v>0</v>
      </c>
      <c r="AB367">
        <f>VLOOKUP(Table5[[#This Row],[Shortname]], Comp[], 25, FALSE)</f>
        <v>0</v>
      </c>
      <c r="AC367">
        <f>VLOOKUP(Table5[[#This Row],[Shortname]], Comp[], 26, FALSE)</f>
        <v>0</v>
      </c>
      <c r="AD367">
        <f>VLOOKUP(Table5[[#This Row],[Shortname]], Comp[], 27, FALSE)</f>
        <v>0</v>
      </c>
      <c r="AE367">
        <f>VLOOKUP(Table5[[#This Row],[Shortname]], Comp[], 28, FALSE)</f>
        <v>0</v>
      </c>
      <c r="AF367">
        <f>VLOOKUP(Table5[[#This Row],[Shortname]], Comp[], 29, FALSE)</f>
        <v>0</v>
      </c>
      <c r="AG367">
        <f>VLOOKUP(Table5[[#This Row],[Shortname]], Comp[], 30, FALSE)</f>
        <v>0</v>
      </c>
      <c r="AH367">
        <f>VLOOKUP(Table5[[#This Row],[Shortname]], Comp[], 31, FALSE)</f>
        <v>0</v>
      </c>
    </row>
    <row r="368" spans="1:34" x14ac:dyDescent="0.3">
      <c r="A368" s="7" t="s">
        <v>3425</v>
      </c>
      <c r="B368">
        <v>380</v>
      </c>
      <c r="C368" s="7" t="str">
        <f>VLOOKUP(Table5[[#This Row],[Shortname]], [1]!comp[#Data], 2, FALSE)</f>
        <v>CoAlW-X</v>
      </c>
      <c r="D368" s="7" t="s">
        <v>3425</v>
      </c>
      <c r="E368" s="11" t="s">
        <v>6746</v>
      </c>
      <c r="F368">
        <v>1038</v>
      </c>
      <c r="J368" s="14">
        <f>VLOOKUP(Table5[[#This Row],[Shortname]], Comp[], 7, FALSE)</f>
        <v>80.28</v>
      </c>
      <c r="K368">
        <f>VLOOKUP(Table5[[#This Row],[Shortname]], Comp[], 8, FALSE)</f>
        <v>0</v>
      </c>
      <c r="L368">
        <f>VLOOKUP(Table5[[#This Row],[Shortname]], Comp[], 9, FALSE)</f>
        <v>9.3000000000000007</v>
      </c>
      <c r="M368">
        <f>VLOOKUP(Table5[[#This Row],[Shortname]], Comp[], 10, FALSE)</f>
        <v>0</v>
      </c>
      <c r="N368">
        <f>VLOOKUP(Table5[[#This Row],[Shortname]], Comp[], 11, FALSE)</f>
        <v>10.4</v>
      </c>
      <c r="O368">
        <f>VLOOKUP(Table5[[#This Row],[Shortname]], Comp[],12, FALSE)</f>
        <v>0</v>
      </c>
      <c r="P368">
        <f>VLOOKUP(Table5[[#This Row],[Shortname]], Comp[], 13, FALSE)</f>
        <v>0</v>
      </c>
      <c r="Q368">
        <f>VLOOKUP(Table5[[#This Row],[Shortname]], Comp[], 14, FALSE)</f>
        <v>0</v>
      </c>
      <c r="R368">
        <f>VLOOKUP(Table5[[#This Row],[Shortname]], Comp[], 15, FALSE)</f>
        <v>0</v>
      </c>
      <c r="S368">
        <f>VLOOKUP(Table5[[#This Row],[Shortname]], Comp[], 16, FALSE)</f>
        <v>0</v>
      </c>
      <c r="T368">
        <f>VLOOKUP(Table5[[#This Row],[Shortname]], Comp[], 17, FALSE)</f>
        <v>0</v>
      </c>
      <c r="U368">
        <f>VLOOKUP(Table5[[#This Row],[Shortname]], Comp[], 18, FALSE)</f>
        <v>0</v>
      </c>
      <c r="V368">
        <f>VLOOKUP(Table5[[#This Row],[Shortname]], Comp[], 19, FALSE)</f>
        <v>0.02</v>
      </c>
      <c r="W368">
        <f>VLOOKUP(Table5[[#This Row],[Shortname]], Comp[], 20, FALSE)</f>
        <v>0</v>
      </c>
      <c r="X368">
        <f>VLOOKUP(Table5[[#This Row],[Shortname]], Comp[], 21, FALSE)</f>
        <v>0</v>
      </c>
      <c r="Y368">
        <f>VLOOKUP(Table5[[#This Row],[Shortname]], Comp[], 22, FALSE)</f>
        <v>0</v>
      </c>
      <c r="Z368">
        <f>VLOOKUP(Table5[[#This Row],[Shortname]], Comp[], 23, FALSE)</f>
        <v>0</v>
      </c>
      <c r="AA368">
        <f>VLOOKUP(Table5[[#This Row],[Shortname]], Comp[], 24, FALSE)</f>
        <v>0</v>
      </c>
      <c r="AB368">
        <f>VLOOKUP(Table5[[#This Row],[Shortname]], Comp[], 25, FALSE)</f>
        <v>0</v>
      </c>
      <c r="AC368">
        <f>VLOOKUP(Table5[[#This Row],[Shortname]], Comp[], 26, FALSE)</f>
        <v>0</v>
      </c>
      <c r="AD368">
        <f>VLOOKUP(Table5[[#This Row],[Shortname]], Comp[], 27, FALSE)</f>
        <v>0</v>
      </c>
      <c r="AE368">
        <f>VLOOKUP(Table5[[#This Row],[Shortname]], Comp[], 28, FALSE)</f>
        <v>0</v>
      </c>
      <c r="AF368">
        <f>VLOOKUP(Table5[[#This Row],[Shortname]], Comp[], 29, FALSE)</f>
        <v>0</v>
      </c>
      <c r="AG368">
        <f>VLOOKUP(Table5[[#This Row],[Shortname]], Comp[], 30, FALSE)</f>
        <v>0</v>
      </c>
      <c r="AH368">
        <f>VLOOKUP(Table5[[#This Row],[Shortname]], Comp[], 31, FALSE)</f>
        <v>0</v>
      </c>
    </row>
    <row r="369" spans="1:34" x14ac:dyDescent="0.3">
      <c r="A369" s="7" t="s">
        <v>3433</v>
      </c>
      <c r="B369">
        <v>381</v>
      </c>
      <c r="C369" s="7" t="str">
        <f>VLOOKUP(Table5[[#This Row],[Shortname]], [1]!comp[#Data], 2, FALSE)</f>
        <v>CoAlW-X</v>
      </c>
      <c r="D369" s="7" t="s">
        <v>3433</v>
      </c>
      <c r="E369" s="11" t="s">
        <v>6746</v>
      </c>
      <c r="F369">
        <v>1022</v>
      </c>
      <c r="J369" s="14">
        <f>VLOOKUP(Table5[[#This Row],[Shortname]], Comp[], 7, FALSE)</f>
        <v>81.28</v>
      </c>
      <c r="K369">
        <f>VLOOKUP(Table5[[#This Row],[Shortname]], Comp[], 8, FALSE)</f>
        <v>0</v>
      </c>
      <c r="L369">
        <f>VLOOKUP(Table5[[#This Row],[Shortname]], Comp[], 9, FALSE)</f>
        <v>9.1999999999999993</v>
      </c>
      <c r="M369">
        <f>VLOOKUP(Table5[[#This Row],[Shortname]], Comp[], 10, FALSE)</f>
        <v>0</v>
      </c>
      <c r="N369">
        <f>VLOOKUP(Table5[[#This Row],[Shortname]], Comp[], 11, FALSE)</f>
        <v>9.5</v>
      </c>
      <c r="O369">
        <f>VLOOKUP(Table5[[#This Row],[Shortname]], Comp[],12, FALSE)</f>
        <v>0</v>
      </c>
      <c r="P369">
        <f>VLOOKUP(Table5[[#This Row],[Shortname]], Comp[], 13, FALSE)</f>
        <v>0</v>
      </c>
      <c r="Q369">
        <f>VLOOKUP(Table5[[#This Row],[Shortname]], Comp[], 14, FALSE)</f>
        <v>0</v>
      </c>
      <c r="R369">
        <f>VLOOKUP(Table5[[#This Row],[Shortname]], Comp[], 15, FALSE)</f>
        <v>0</v>
      </c>
      <c r="S369">
        <f>VLOOKUP(Table5[[#This Row],[Shortname]], Comp[], 16, FALSE)</f>
        <v>0</v>
      </c>
      <c r="T369">
        <f>VLOOKUP(Table5[[#This Row],[Shortname]], Comp[], 17, FALSE)</f>
        <v>0</v>
      </c>
      <c r="U369">
        <f>VLOOKUP(Table5[[#This Row],[Shortname]], Comp[], 18, FALSE)</f>
        <v>0</v>
      </c>
      <c r="V369">
        <f>VLOOKUP(Table5[[#This Row],[Shortname]], Comp[], 19, FALSE)</f>
        <v>0.02</v>
      </c>
      <c r="W369">
        <f>VLOOKUP(Table5[[#This Row],[Shortname]], Comp[], 20, FALSE)</f>
        <v>0</v>
      </c>
      <c r="X369">
        <f>VLOOKUP(Table5[[#This Row],[Shortname]], Comp[], 21, FALSE)</f>
        <v>0</v>
      </c>
      <c r="Y369">
        <f>VLOOKUP(Table5[[#This Row],[Shortname]], Comp[], 22, FALSE)</f>
        <v>0</v>
      </c>
      <c r="Z369">
        <f>VLOOKUP(Table5[[#This Row],[Shortname]], Comp[], 23, FALSE)</f>
        <v>0</v>
      </c>
      <c r="AA369">
        <f>VLOOKUP(Table5[[#This Row],[Shortname]], Comp[], 24, FALSE)</f>
        <v>0</v>
      </c>
      <c r="AB369">
        <f>VLOOKUP(Table5[[#This Row],[Shortname]], Comp[], 25, FALSE)</f>
        <v>0</v>
      </c>
      <c r="AC369">
        <f>VLOOKUP(Table5[[#This Row],[Shortname]], Comp[], 26, FALSE)</f>
        <v>0</v>
      </c>
      <c r="AD369">
        <f>VLOOKUP(Table5[[#This Row],[Shortname]], Comp[], 27, FALSE)</f>
        <v>0</v>
      </c>
      <c r="AE369">
        <f>VLOOKUP(Table5[[#This Row],[Shortname]], Comp[], 28, FALSE)</f>
        <v>0</v>
      </c>
      <c r="AF369">
        <f>VLOOKUP(Table5[[#This Row],[Shortname]], Comp[], 29, FALSE)</f>
        <v>0</v>
      </c>
      <c r="AG369">
        <f>VLOOKUP(Table5[[#This Row],[Shortname]], Comp[], 30, FALSE)</f>
        <v>0</v>
      </c>
      <c r="AH369">
        <f>VLOOKUP(Table5[[#This Row],[Shortname]], Comp[], 31, FALSE)</f>
        <v>0</v>
      </c>
    </row>
    <row r="370" spans="1:34" x14ac:dyDescent="0.3">
      <c r="A370" s="7" t="s">
        <v>3414</v>
      </c>
      <c r="B370">
        <v>382</v>
      </c>
      <c r="C370" s="7" t="str">
        <f>VLOOKUP(Table5[[#This Row],[Shortname]], [1]!comp[#Data], 2, FALSE)</f>
        <v>CoAlW-X</v>
      </c>
      <c r="D370" s="7" t="s">
        <v>3416</v>
      </c>
      <c r="E370" s="11" t="s">
        <v>6746</v>
      </c>
      <c r="F370">
        <v>978</v>
      </c>
      <c r="J370" s="14">
        <f>VLOOKUP(Table5[[#This Row],[Shortname]], Comp[], 7, FALSE)</f>
        <v>82.78</v>
      </c>
      <c r="K370">
        <f>VLOOKUP(Table5[[#This Row],[Shortname]], Comp[], 8, FALSE)</f>
        <v>0</v>
      </c>
      <c r="L370">
        <f>VLOOKUP(Table5[[#This Row],[Shortname]], Comp[], 9, FALSE)</f>
        <v>9</v>
      </c>
      <c r="M370">
        <f>VLOOKUP(Table5[[#This Row],[Shortname]], Comp[], 10, FALSE)</f>
        <v>0</v>
      </c>
      <c r="N370">
        <f>VLOOKUP(Table5[[#This Row],[Shortname]], Comp[], 11, FALSE)</f>
        <v>8.1999999999999993</v>
      </c>
      <c r="O370">
        <f>VLOOKUP(Table5[[#This Row],[Shortname]], Comp[],12, FALSE)</f>
        <v>0</v>
      </c>
      <c r="P370">
        <f>VLOOKUP(Table5[[#This Row],[Shortname]], Comp[], 13, FALSE)</f>
        <v>0</v>
      </c>
      <c r="Q370">
        <f>VLOOKUP(Table5[[#This Row],[Shortname]], Comp[], 14, FALSE)</f>
        <v>0</v>
      </c>
      <c r="R370">
        <f>VLOOKUP(Table5[[#This Row],[Shortname]], Comp[], 15, FALSE)</f>
        <v>0</v>
      </c>
      <c r="S370">
        <f>VLOOKUP(Table5[[#This Row],[Shortname]], Comp[], 16, FALSE)</f>
        <v>0</v>
      </c>
      <c r="T370">
        <f>VLOOKUP(Table5[[#This Row],[Shortname]], Comp[], 17, FALSE)</f>
        <v>0</v>
      </c>
      <c r="U370">
        <f>VLOOKUP(Table5[[#This Row],[Shortname]], Comp[], 18, FALSE)</f>
        <v>0</v>
      </c>
      <c r="V370">
        <f>VLOOKUP(Table5[[#This Row],[Shortname]], Comp[], 19, FALSE)</f>
        <v>0.02</v>
      </c>
      <c r="W370">
        <f>VLOOKUP(Table5[[#This Row],[Shortname]], Comp[], 20, FALSE)</f>
        <v>0</v>
      </c>
      <c r="X370">
        <f>VLOOKUP(Table5[[#This Row],[Shortname]], Comp[], 21, FALSE)</f>
        <v>0</v>
      </c>
      <c r="Y370">
        <f>VLOOKUP(Table5[[#This Row],[Shortname]], Comp[], 22, FALSE)</f>
        <v>0</v>
      </c>
      <c r="Z370">
        <f>VLOOKUP(Table5[[#This Row],[Shortname]], Comp[], 23, FALSE)</f>
        <v>0</v>
      </c>
      <c r="AA370">
        <f>VLOOKUP(Table5[[#This Row],[Shortname]], Comp[], 24, FALSE)</f>
        <v>0</v>
      </c>
      <c r="AB370">
        <f>VLOOKUP(Table5[[#This Row],[Shortname]], Comp[], 25, FALSE)</f>
        <v>0</v>
      </c>
      <c r="AC370">
        <f>VLOOKUP(Table5[[#This Row],[Shortname]], Comp[], 26, FALSE)</f>
        <v>0</v>
      </c>
      <c r="AD370">
        <f>VLOOKUP(Table5[[#This Row],[Shortname]], Comp[], 27, FALSE)</f>
        <v>0</v>
      </c>
      <c r="AE370">
        <f>VLOOKUP(Table5[[#This Row],[Shortname]], Comp[], 28, FALSE)</f>
        <v>0</v>
      </c>
      <c r="AF370">
        <f>VLOOKUP(Table5[[#This Row],[Shortname]], Comp[], 29, FALSE)</f>
        <v>0</v>
      </c>
      <c r="AG370">
        <f>VLOOKUP(Table5[[#This Row],[Shortname]], Comp[], 30, FALSE)</f>
        <v>0</v>
      </c>
      <c r="AH370">
        <f>VLOOKUP(Table5[[#This Row],[Shortname]], Comp[], 31, FALSE)</f>
        <v>0</v>
      </c>
    </row>
    <row r="371" spans="1:34" x14ac:dyDescent="0.3">
      <c r="A371" s="7" t="s">
        <v>3405</v>
      </c>
      <c r="B371">
        <v>383</v>
      </c>
      <c r="C371" s="7" t="str">
        <f>VLOOKUP(Table5[[#This Row],[Shortname]], [1]!comp[#Data], 2, FALSE)</f>
        <v>CoAlW-X</v>
      </c>
      <c r="D371" s="7" t="s">
        <v>3405</v>
      </c>
      <c r="E371" s="11" t="s">
        <v>6746</v>
      </c>
      <c r="F371">
        <v>937</v>
      </c>
      <c r="J371" s="14">
        <f>VLOOKUP(Table5[[#This Row],[Shortname]], Comp[], 7, FALSE)</f>
        <v>84.18</v>
      </c>
      <c r="K371">
        <f>VLOOKUP(Table5[[#This Row],[Shortname]], Comp[], 8, FALSE)</f>
        <v>0</v>
      </c>
      <c r="L371">
        <f>VLOOKUP(Table5[[#This Row],[Shortname]], Comp[], 9, FALSE)</f>
        <v>8.9</v>
      </c>
      <c r="M371">
        <f>VLOOKUP(Table5[[#This Row],[Shortname]], Comp[], 10, FALSE)</f>
        <v>0</v>
      </c>
      <c r="N371">
        <f>VLOOKUP(Table5[[#This Row],[Shortname]], Comp[], 11, FALSE)</f>
        <v>6.9</v>
      </c>
      <c r="O371">
        <f>VLOOKUP(Table5[[#This Row],[Shortname]], Comp[],12, FALSE)</f>
        <v>0</v>
      </c>
      <c r="P371">
        <f>VLOOKUP(Table5[[#This Row],[Shortname]], Comp[], 13, FALSE)</f>
        <v>0</v>
      </c>
      <c r="Q371">
        <f>VLOOKUP(Table5[[#This Row],[Shortname]], Comp[], 14, FALSE)</f>
        <v>0</v>
      </c>
      <c r="R371">
        <f>VLOOKUP(Table5[[#This Row],[Shortname]], Comp[], 15, FALSE)</f>
        <v>0</v>
      </c>
      <c r="S371">
        <f>VLOOKUP(Table5[[#This Row],[Shortname]], Comp[], 16, FALSE)</f>
        <v>0</v>
      </c>
      <c r="T371">
        <f>VLOOKUP(Table5[[#This Row],[Shortname]], Comp[], 17, FALSE)</f>
        <v>0</v>
      </c>
      <c r="U371">
        <f>VLOOKUP(Table5[[#This Row],[Shortname]], Comp[], 18, FALSE)</f>
        <v>0</v>
      </c>
      <c r="V371">
        <f>VLOOKUP(Table5[[#This Row],[Shortname]], Comp[], 19, FALSE)</f>
        <v>0.02</v>
      </c>
      <c r="W371">
        <f>VLOOKUP(Table5[[#This Row],[Shortname]], Comp[], 20, FALSE)</f>
        <v>0</v>
      </c>
      <c r="X371">
        <f>VLOOKUP(Table5[[#This Row],[Shortname]], Comp[], 21, FALSE)</f>
        <v>0</v>
      </c>
      <c r="Y371">
        <f>VLOOKUP(Table5[[#This Row],[Shortname]], Comp[], 22, FALSE)</f>
        <v>0</v>
      </c>
      <c r="Z371">
        <f>VLOOKUP(Table5[[#This Row],[Shortname]], Comp[], 23, FALSE)</f>
        <v>0</v>
      </c>
      <c r="AA371">
        <f>VLOOKUP(Table5[[#This Row],[Shortname]], Comp[], 24, FALSE)</f>
        <v>0</v>
      </c>
      <c r="AB371">
        <f>VLOOKUP(Table5[[#This Row],[Shortname]], Comp[], 25, FALSE)</f>
        <v>0</v>
      </c>
      <c r="AC371">
        <f>VLOOKUP(Table5[[#This Row],[Shortname]], Comp[], 26, FALSE)</f>
        <v>0</v>
      </c>
      <c r="AD371">
        <f>VLOOKUP(Table5[[#This Row],[Shortname]], Comp[], 27, FALSE)</f>
        <v>0</v>
      </c>
      <c r="AE371">
        <f>VLOOKUP(Table5[[#This Row],[Shortname]], Comp[], 28, FALSE)</f>
        <v>0</v>
      </c>
      <c r="AF371">
        <f>VLOOKUP(Table5[[#This Row],[Shortname]], Comp[], 29, FALSE)</f>
        <v>0</v>
      </c>
      <c r="AG371">
        <f>VLOOKUP(Table5[[#This Row],[Shortname]], Comp[], 30, FALSE)</f>
        <v>0</v>
      </c>
      <c r="AH371">
        <f>VLOOKUP(Table5[[#This Row],[Shortname]], Comp[], 31, FALSE)</f>
        <v>0</v>
      </c>
    </row>
    <row r="372" spans="1:34" x14ac:dyDescent="0.3">
      <c r="A372" s="7" t="s">
        <v>3446</v>
      </c>
      <c r="B372">
        <v>384</v>
      </c>
      <c r="C372" s="7" t="str">
        <f>VLOOKUP(Table5[[#This Row],[Shortname]], [1]!comp[#Data], 2, FALSE)</f>
        <v>CoAlWX+</v>
      </c>
      <c r="D372" s="7" t="s">
        <v>3448</v>
      </c>
      <c r="E372" t="s">
        <v>6747</v>
      </c>
      <c r="F372">
        <v>1233</v>
      </c>
      <c r="G372">
        <v>1324</v>
      </c>
      <c r="J372" s="14">
        <f>VLOOKUP(Table5[[#This Row],[Shortname]], Comp[], 7, FALSE)</f>
        <v>40.000000000000007</v>
      </c>
      <c r="K372">
        <f>VLOOKUP(Table5[[#This Row],[Shortname]], Comp[], 8, FALSE)</f>
        <v>34.799999999999997</v>
      </c>
      <c r="L372">
        <f>VLOOKUP(Table5[[#This Row],[Shortname]], Comp[], 9, FALSE)</f>
        <v>14</v>
      </c>
      <c r="M372">
        <f>VLOOKUP(Table5[[#This Row],[Shortname]], Comp[], 10, FALSE)</f>
        <v>3.3</v>
      </c>
      <c r="N372">
        <f>VLOOKUP(Table5[[#This Row],[Shortname]], Comp[], 11, FALSE)</f>
        <v>4.4000000000000004</v>
      </c>
      <c r="O372">
        <f>VLOOKUP(Table5[[#This Row],[Shortname]], Comp[],12, FALSE)</f>
        <v>0</v>
      </c>
      <c r="P372">
        <f>VLOOKUP(Table5[[#This Row],[Shortname]], Comp[], 13, FALSE)</f>
        <v>3.5</v>
      </c>
      <c r="Q372">
        <f>VLOOKUP(Table5[[#This Row],[Shortname]], Comp[], 14, FALSE)</f>
        <v>0</v>
      </c>
      <c r="R372">
        <f>VLOOKUP(Table5[[#This Row],[Shortname]], Comp[], 15, FALSE)</f>
        <v>0</v>
      </c>
      <c r="S372">
        <f>VLOOKUP(Table5[[#This Row],[Shortname]], Comp[], 16, FALSE)</f>
        <v>0</v>
      </c>
      <c r="T372">
        <f>VLOOKUP(Table5[[#This Row],[Shortname]], Comp[], 17, FALSE)</f>
        <v>0</v>
      </c>
      <c r="U372">
        <f>VLOOKUP(Table5[[#This Row],[Shortname]], Comp[], 18, FALSE)</f>
        <v>0</v>
      </c>
      <c r="V372">
        <f>VLOOKUP(Table5[[#This Row],[Shortname]], Comp[], 19, FALSE)</f>
        <v>0</v>
      </c>
      <c r="W372">
        <f>VLOOKUP(Table5[[#This Row],[Shortname]], Comp[], 20, FALSE)</f>
        <v>0</v>
      </c>
      <c r="X372">
        <f>VLOOKUP(Table5[[#This Row],[Shortname]], Comp[], 21, FALSE)</f>
        <v>0</v>
      </c>
      <c r="Y372">
        <f>VLOOKUP(Table5[[#This Row],[Shortname]], Comp[], 22, FALSE)</f>
        <v>0</v>
      </c>
      <c r="Z372">
        <f>VLOOKUP(Table5[[#This Row],[Shortname]], Comp[], 23, FALSE)</f>
        <v>0</v>
      </c>
      <c r="AA372">
        <f>VLOOKUP(Table5[[#This Row],[Shortname]], Comp[], 24, FALSE)</f>
        <v>0</v>
      </c>
      <c r="AB372">
        <f>VLOOKUP(Table5[[#This Row],[Shortname]], Comp[], 25, FALSE)</f>
        <v>0</v>
      </c>
      <c r="AC372">
        <f>VLOOKUP(Table5[[#This Row],[Shortname]], Comp[], 26, FALSE)</f>
        <v>0</v>
      </c>
      <c r="AD372">
        <f>VLOOKUP(Table5[[#This Row],[Shortname]], Comp[], 27, FALSE)</f>
        <v>0</v>
      </c>
      <c r="AE372">
        <f>VLOOKUP(Table5[[#This Row],[Shortname]], Comp[], 28, FALSE)</f>
        <v>0</v>
      </c>
      <c r="AF372">
        <f>VLOOKUP(Table5[[#This Row],[Shortname]], Comp[], 29, FALSE)</f>
        <v>0</v>
      </c>
      <c r="AG372">
        <f>VLOOKUP(Table5[[#This Row],[Shortname]], Comp[], 30, FALSE)</f>
        <v>0</v>
      </c>
      <c r="AH372">
        <f>VLOOKUP(Table5[[#This Row],[Shortname]], Comp[], 31, FALSE)</f>
        <v>0</v>
      </c>
    </row>
    <row r="373" spans="1:34" x14ac:dyDescent="0.3">
      <c r="A373" s="7" t="s">
        <v>3463</v>
      </c>
      <c r="B373">
        <v>385</v>
      </c>
      <c r="C373" s="7" t="str">
        <f>VLOOKUP(Table5[[#This Row],[Shortname]], [1]!comp[#Data], 2, FALSE)</f>
        <v>Low-W</v>
      </c>
      <c r="D373" s="7" t="s">
        <v>3465</v>
      </c>
      <c r="E373" t="s">
        <v>6747</v>
      </c>
      <c r="F373">
        <v>1196</v>
      </c>
      <c r="G373">
        <v>1340</v>
      </c>
      <c r="J373" s="14">
        <f>VLOOKUP(Table5[[#This Row],[Shortname]], Comp[], 7, FALSE)</f>
        <v>39.799999999999997</v>
      </c>
      <c r="K373">
        <f>VLOOKUP(Table5[[#This Row],[Shortname]], Comp[], 8, FALSE)</f>
        <v>37.1</v>
      </c>
      <c r="L373">
        <f>VLOOKUP(Table5[[#This Row],[Shortname]], Comp[], 9, FALSE)</f>
        <v>13.1</v>
      </c>
      <c r="M373">
        <f>VLOOKUP(Table5[[#This Row],[Shortname]], Comp[], 10, FALSE)</f>
        <v>5.5</v>
      </c>
      <c r="N373">
        <f>VLOOKUP(Table5[[#This Row],[Shortname]], Comp[], 11, FALSE)</f>
        <v>1</v>
      </c>
      <c r="O373">
        <f>VLOOKUP(Table5[[#This Row],[Shortname]], Comp[],12, FALSE)</f>
        <v>0</v>
      </c>
      <c r="P373">
        <f>VLOOKUP(Table5[[#This Row],[Shortname]], Comp[], 13, FALSE)</f>
        <v>3.5</v>
      </c>
      <c r="Q373">
        <f>VLOOKUP(Table5[[#This Row],[Shortname]], Comp[], 14, FALSE)</f>
        <v>0</v>
      </c>
      <c r="R373">
        <f>VLOOKUP(Table5[[#This Row],[Shortname]], Comp[], 15, FALSE)</f>
        <v>0</v>
      </c>
      <c r="S373">
        <f>VLOOKUP(Table5[[#This Row],[Shortname]], Comp[], 16, FALSE)</f>
        <v>0</v>
      </c>
      <c r="T373">
        <f>VLOOKUP(Table5[[#This Row],[Shortname]], Comp[], 17, FALSE)</f>
        <v>0</v>
      </c>
      <c r="U373">
        <f>VLOOKUP(Table5[[#This Row],[Shortname]], Comp[], 18, FALSE)</f>
        <v>0</v>
      </c>
      <c r="V373">
        <f>VLOOKUP(Table5[[#This Row],[Shortname]], Comp[], 19, FALSE)</f>
        <v>0</v>
      </c>
      <c r="W373">
        <f>VLOOKUP(Table5[[#This Row],[Shortname]], Comp[], 20, FALSE)</f>
        <v>0</v>
      </c>
      <c r="X373">
        <f>VLOOKUP(Table5[[#This Row],[Shortname]], Comp[], 21, FALSE)</f>
        <v>0</v>
      </c>
      <c r="Y373">
        <f>VLOOKUP(Table5[[#This Row],[Shortname]], Comp[], 22, FALSE)</f>
        <v>0</v>
      </c>
      <c r="Z373">
        <f>VLOOKUP(Table5[[#This Row],[Shortname]], Comp[], 23, FALSE)</f>
        <v>0</v>
      </c>
      <c r="AA373">
        <f>VLOOKUP(Table5[[#This Row],[Shortname]], Comp[], 24, FALSE)</f>
        <v>0</v>
      </c>
      <c r="AB373">
        <f>VLOOKUP(Table5[[#This Row],[Shortname]], Comp[], 25, FALSE)</f>
        <v>0</v>
      </c>
      <c r="AC373">
        <f>VLOOKUP(Table5[[#This Row],[Shortname]], Comp[], 26, FALSE)</f>
        <v>0</v>
      </c>
      <c r="AD373">
        <f>VLOOKUP(Table5[[#This Row],[Shortname]], Comp[], 27, FALSE)</f>
        <v>0</v>
      </c>
      <c r="AE373">
        <f>VLOOKUP(Table5[[#This Row],[Shortname]], Comp[], 28, FALSE)</f>
        <v>0</v>
      </c>
      <c r="AF373">
        <f>VLOOKUP(Table5[[#This Row],[Shortname]], Comp[], 29, FALSE)</f>
        <v>0</v>
      </c>
      <c r="AG373">
        <f>VLOOKUP(Table5[[#This Row],[Shortname]], Comp[], 30, FALSE)</f>
        <v>0</v>
      </c>
      <c r="AH373">
        <f>VLOOKUP(Table5[[#This Row],[Shortname]], Comp[], 31, FALSE)</f>
        <v>0</v>
      </c>
    </row>
    <row r="374" spans="1:34" x14ac:dyDescent="0.3">
      <c r="A374" s="7" t="s">
        <v>3454</v>
      </c>
      <c r="B374">
        <v>386</v>
      </c>
      <c r="C374" s="7" t="str">
        <f>VLOOKUP(Table5[[#This Row],[Shortname]], [1]!comp[#Data], 2, FALSE)</f>
        <v>Low-W</v>
      </c>
      <c r="D374" s="7" t="s">
        <v>3456</v>
      </c>
      <c r="E374" t="s">
        <v>6747</v>
      </c>
      <c r="F374">
        <v>1191</v>
      </c>
      <c r="G374">
        <v>1331</v>
      </c>
      <c r="J374" s="14">
        <f>VLOOKUP(Table5[[#This Row],[Shortname]], Comp[], 7, FALSE)</f>
        <v>40.4</v>
      </c>
      <c r="K374">
        <f>VLOOKUP(Table5[[#This Row],[Shortname]], Comp[], 8, FALSE)</f>
        <v>35.200000000000003</v>
      </c>
      <c r="L374">
        <f>VLOOKUP(Table5[[#This Row],[Shortname]], Comp[], 9, FALSE)</f>
        <v>14.3</v>
      </c>
      <c r="M374">
        <f>VLOOKUP(Table5[[#This Row],[Shortname]], Comp[], 10, FALSE)</f>
        <v>5.9</v>
      </c>
      <c r="N374">
        <f>VLOOKUP(Table5[[#This Row],[Shortname]], Comp[], 11, FALSE)</f>
        <v>1</v>
      </c>
      <c r="O374">
        <f>VLOOKUP(Table5[[#This Row],[Shortname]], Comp[],12, FALSE)</f>
        <v>0</v>
      </c>
      <c r="P374">
        <f>VLOOKUP(Table5[[#This Row],[Shortname]], Comp[], 13, FALSE)</f>
        <v>3.2</v>
      </c>
      <c r="Q374">
        <f>VLOOKUP(Table5[[#This Row],[Shortname]], Comp[], 14, FALSE)</f>
        <v>0</v>
      </c>
      <c r="R374">
        <f>VLOOKUP(Table5[[#This Row],[Shortname]], Comp[], 15, FALSE)</f>
        <v>0</v>
      </c>
      <c r="S374">
        <f>VLOOKUP(Table5[[#This Row],[Shortname]], Comp[], 16, FALSE)</f>
        <v>0</v>
      </c>
      <c r="T374">
        <f>VLOOKUP(Table5[[#This Row],[Shortname]], Comp[], 17, FALSE)</f>
        <v>0</v>
      </c>
      <c r="U374">
        <f>VLOOKUP(Table5[[#This Row],[Shortname]], Comp[], 18, FALSE)</f>
        <v>0</v>
      </c>
      <c r="V374">
        <f>VLOOKUP(Table5[[#This Row],[Shortname]], Comp[], 19, FALSE)</f>
        <v>0</v>
      </c>
      <c r="W374">
        <f>VLOOKUP(Table5[[#This Row],[Shortname]], Comp[], 20, FALSE)</f>
        <v>0</v>
      </c>
      <c r="X374">
        <f>VLOOKUP(Table5[[#This Row],[Shortname]], Comp[], 21, FALSE)</f>
        <v>0</v>
      </c>
      <c r="Y374">
        <f>VLOOKUP(Table5[[#This Row],[Shortname]], Comp[], 22, FALSE)</f>
        <v>0</v>
      </c>
      <c r="Z374">
        <f>VLOOKUP(Table5[[#This Row],[Shortname]], Comp[], 23, FALSE)</f>
        <v>0</v>
      </c>
      <c r="AA374">
        <f>VLOOKUP(Table5[[#This Row],[Shortname]], Comp[], 24, FALSE)</f>
        <v>0</v>
      </c>
      <c r="AB374">
        <f>VLOOKUP(Table5[[#This Row],[Shortname]], Comp[], 25, FALSE)</f>
        <v>0</v>
      </c>
      <c r="AC374">
        <f>VLOOKUP(Table5[[#This Row],[Shortname]], Comp[], 26, FALSE)</f>
        <v>0</v>
      </c>
      <c r="AD374">
        <f>VLOOKUP(Table5[[#This Row],[Shortname]], Comp[], 27, FALSE)</f>
        <v>0</v>
      </c>
      <c r="AE374">
        <f>VLOOKUP(Table5[[#This Row],[Shortname]], Comp[], 28, FALSE)</f>
        <v>0</v>
      </c>
      <c r="AF374">
        <f>VLOOKUP(Table5[[#This Row],[Shortname]], Comp[], 29, FALSE)</f>
        <v>0</v>
      </c>
      <c r="AG374">
        <f>VLOOKUP(Table5[[#This Row],[Shortname]], Comp[], 30, FALSE)</f>
        <v>0</v>
      </c>
      <c r="AH374">
        <f>VLOOKUP(Table5[[#This Row],[Shortname]], Comp[], 31, FALSE)</f>
        <v>0</v>
      </c>
    </row>
    <row r="375" spans="1:34" x14ac:dyDescent="0.3">
      <c r="A375" s="7" t="s">
        <v>1735</v>
      </c>
      <c r="B375">
        <v>387</v>
      </c>
      <c r="C375" s="7" t="str">
        <f>VLOOKUP(Table5[[#This Row],[Shortname]], [1]!comp[#Data], 2, FALSE)</f>
        <v>CoAlW-X</v>
      </c>
      <c r="D375" s="7" t="s">
        <v>2354</v>
      </c>
      <c r="E375" s="11" t="s">
        <v>6748</v>
      </c>
      <c r="F375">
        <v>1079</v>
      </c>
      <c r="G375">
        <v>1407</v>
      </c>
      <c r="H375">
        <v>1451</v>
      </c>
      <c r="J375" s="14">
        <f>VLOOKUP(Table5[[#This Row],[Shortname]], Comp[], 7, FALSE)</f>
        <v>79.400000000000006</v>
      </c>
      <c r="K375">
        <f>VLOOKUP(Table5[[#This Row],[Shortname]], Comp[], 8, FALSE)</f>
        <v>0</v>
      </c>
      <c r="L375">
        <f>VLOOKUP(Table5[[#This Row],[Shortname]], Comp[], 9, FALSE)</f>
        <v>8.8000000000000007</v>
      </c>
      <c r="M375">
        <f>VLOOKUP(Table5[[#This Row],[Shortname]], Comp[], 10, FALSE)</f>
        <v>0</v>
      </c>
      <c r="N375">
        <f>VLOOKUP(Table5[[#This Row],[Shortname]], Comp[], 11, FALSE)</f>
        <v>9.8000000000000007</v>
      </c>
      <c r="O375">
        <f>VLOOKUP(Table5[[#This Row],[Shortname]], Comp[],12, FALSE)</f>
        <v>0</v>
      </c>
      <c r="P375">
        <f>VLOOKUP(Table5[[#This Row],[Shortname]], Comp[], 13, FALSE)</f>
        <v>2</v>
      </c>
      <c r="Q375">
        <f>VLOOKUP(Table5[[#This Row],[Shortname]], Comp[], 14, FALSE)</f>
        <v>0</v>
      </c>
      <c r="R375">
        <f>VLOOKUP(Table5[[#This Row],[Shortname]], Comp[], 15, FALSE)</f>
        <v>0</v>
      </c>
      <c r="S375">
        <f>VLOOKUP(Table5[[#This Row],[Shortname]], Comp[], 16, FALSE)</f>
        <v>0</v>
      </c>
      <c r="T375">
        <f>VLOOKUP(Table5[[#This Row],[Shortname]], Comp[], 17, FALSE)</f>
        <v>0</v>
      </c>
      <c r="U375">
        <f>VLOOKUP(Table5[[#This Row],[Shortname]], Comp[], 18, FALSE)</f>
        <v>0</v>
      </c>
      <c r="V375">
        <f>VLOOKUP(Table5[[#This Row],[Shortname]], Comp[], 19, FALSE)</f>
        <v>0</v>
      </c>
      <c r="W375">
        <f>VLOOKUP(Table5[[#This Row],[Shortname]], Comp[], 20, FALSE)</f>
        <v>0</v>
      </c>
      <c r="X375">
        <f>VLOOKUP(Table5[[#This Row],[Shortname]], Comp[], 21, FALSE)</f>
        <v>0</v>
      </c>
      <c r="Y375">
        <f>VLOOKUP(Table5[[#This Row],[Shortname]], Comp[], 22, FALSE)</f>
        <v>0</v>
      </c>
      <c r="Z375">
        <f>VLOOKUP(Table5[[#This Row],[Shortname]], Comp[], 23, FALSE)</f>
        <v>0</v>
      </c>
      <c r="AA375">
        <f>VLOOKUP(Table5[[#This Row],[Shortname]], Comp[], 24, FALSE)</f>
        <v>0</v>
      </c>
      <c r="AB375">
        <f>VLOOKUP(Table5[[#This Row],[Shortname]], Comp[], 25, FALSE)</f>
        <v>0</v>
      </c>
      <c r="AC375">
        <f>VLOOKUP(Table5[[#This Row],[Shortname]], Comp[], 26, FALSE)</f>
        <v>0</v>
      </c>
      <c r="AD375">
        <f>VLOOKUP(Table5[[#This Row],[Shortname]], Comp[], 27, FALSE)</f>
        <v>0</v>
      </c>
      <c r="AE375">
        <f>VLOOKUP(Table5[[#This Row],[Shortname]], Comp[], 28, FALSE)</f>
        <v>0</v>
      </c>
      <c r="AF375">
        <f>VLOOKUP(Table5[[#This Row],[Shortname]], Comp[], 29, FALSE)</f>
        <v>0</v>
      </c>
      <c r="AG375">
        <f>VLOOKUP(Table5[[#This Row],[Shortname]], Comp[], 30, FALSE)</f>
        <v>0</v>
      </c>
      <c r="AH375">
        <f>VLOOKUP(Table5[[#This Row],[Shortname]], Comp[], 31, FALSE)</f>
        <v>0</v>
      </c>
    </row>
    <row r="376" spans="1:34" x14ac:dyDescent="0.3">
      <c r="A376" s="7" t="s">
        <v>1728</v>
      </c>
      <c r="B376">
        <v>388</v>
      </c>
      <c r="C376" s="7" t="str">
        <f>VLOOKUP(Table5[[#This Row],[Shortname]], [1]!comp[#Data], 2, FALSE)</f>
        <v>CoAlW-X</v>
      </c>
      <c r="D376" s="7" t="s">
        <v>2150</v>
      </c>
      <c r="E376" s="11" t="s">
        <v>6748</v>
      </c>
      <c r="F376">
        <v>1033</v>
      </c>
      <c r="G376">
        <v>1451</v>
      </c>
      <c r="H376">
        <v>1477</v>
      </c>
      <c r="J376" s="14">
        <f>VLOOKUP(Table5[[#This Row],[Shortname]], Comp[], 7, FALSE)</f>
        <v>79.900000000000006</v>
      </c>
      <c r="K376">
        <f>VLOOKUP(Table5[[#This Row],[Shortname]], Comp[], 8, FALSE)</f>
        <v>0</v>
      </c>
      <c r="L376">
        <f>VLOOKUP(Table5[[#This Row],[Shortname]], Comp[], 9, FALSE)</f>
        <v>9.4</v>
      </c>
      <c r="M376">
        <f>VLOOKUP(Table5[[#This Row],[Shortname]], Comp[], 10, FALSE)</f>
        <v>0</v>
      </c>
      <c r="N376">
        <f>VLOOKUP(Table5[[#This Row],[Shortname]], Comp[], 11, FALSE)</f>
        <v>10.7</v>
      </c>
      <c r="O376">
        <f>VLOOKUP(Table5[[#This Row],[Shortname]], Comp[],12, FALSE)</f>
        <v>0</v>
      </c>
      <c r="P376">
        <f>VLOOKUP(Table5[[#This Row],[Shortname]], Comp[], 13, FALSE)</f>
        <v>0</v>
      </c>
      <c r="Q376">
        <f>VLOOKUP(Table5[[#This Row],[Shortname]], Comp[], 14, FALSE)</f>
        <v>0</v>
      </c>
      <c r="R376">
        <f>VLOOKUP(Table5[[#This Row],[Shortname]], Comp[], 15, FALSE)</f>
        <v>0</v>
      </c>
      <c r="S376">
        <f>VLOOKUP(Table5[[#This Row],[Shortname]], Comp[], 16, FALSE)</f>
        <v>0</v>
      </c>
      <c r="T376">
        <f>VLOOKUP(Table5[[#This Row],[Shortname]], Comp[], 17, FALSE)</f>
        <v>0</v>
      </c>
      <c r="U376">
        <f>VLOOKUP(Table5[[#This Row],[Shortname]], Comp[], 18, FALSE)</f>
        <v>0</v>
      </c>
      <c r="V376">
        <f>VLOOKUP(Table5[[#This Row],[Shortname]], Comp[], 19, FALSE)</f>
        <v>0</v>
      </c>
      <c r="W376">
        <f>VLOOKUP(Table5[[#This Row],[Shortname]], Comp[], 20, FALSE)</f>
        <v>0</v>
      </c>
      <c r="X376">
        <f>VLOOKUP(Table5[[#This Row],[Shortname]], Comp[], 21, FALSE)</f>
        <v>0</v>
      </c>
      <c r="Y376">
        <f>VLOOKUP(Table5[[#This Row],[Shortname]], Comp[], 22, FALSE)</f>
        <v>0</v>
      </c>
      <c r="Z376">
        <f>VLOOKUP(Table5[[#This Row],[Shortname]], Comp[], 23, FALSE)</f>
        <v>0</v>
      </c>
      <c r="AA376">
        <f>VLOOKUP(Table5[[#This Row],[Shortname]], Comp[], 24, FALSE)</f>
        <v>0</v>
      </c>
      <c r="AB376">
        <f>VLOOKUP(Table5[[#This Row],[Shortname]], Comp[], 25, FALSE)</f>
        <v>0</v>
      </c>
      <c r="AC376">
        <f>VLOOKUP(Table5[[#This Row],[Shortname]], Comp[], 26, FALSE)</f>
        <v>0</v>
      </c>
      <c r="AD376">
        <f>VLOOKUP(Table5[[#This Row],[Shortname]], Comp[], 27, FALSE)</f>
        <v>0</v>
      </c>
      <c r="AE376">
        <f>VLOOKUP(Table5[[#This Row],[Shortname]], Comp[], 28, FALSE)</f>
        <v>0</v>
      </c>
      <c r="AF376">
        <f>VLOOKUP(Table5[[#This Row],[Shortname]], Comp[], 29, FALSE)</f>
        <v>0</v>
      </c>
      <c r="AG376">
        <f>VLOOKUP(Table5[[#This Row],[Shortname]], Comp[], 30, FALSE)</f>
        <v>0</v>
      </c>
      <c r="AH376">
        <f>VLOOKUP(Table5[[#This Row],[Shortname]], Comp[], 31, FALSE)</f>
        <v>0</v>
      </c>
    </row>
    <row r="377" spans="1:34" x14ac:dyDescent="0.3">
      <c r="A377" s="7" t="s">
        <v>3182</v>
      </c>
      <c r="B377">
        <v>389</v>
      </c>
      <c r="C377" s="7" t="str">
        <f>VLOOKUP(Table5[[#This Row],[Shortname]], [1]!comp[#Data], 2, FALSE)</f>
        <v>CoAlW-X</v>
      </c>
      <c r="D377" s="7" t="s">
        <v>97</v>
      </c>
      <c r="E377" s="11" t="s">
        <v>6748</v>
      </c>
      <c r="F377">
        <v>1000</v>
      </c>
      <c r="G377">
        <v>1458</v>
      </c>
      <c r="H377">
        <v>1490</v>
      </c>
      <c r="J377" s="14">
        <f>VLOOKUP(Table5[[#This Row],[Shortname]], Comp[], 7, FALSE)</f>
        <v>81.8</v>
      </c>
      <c r="K377">
        <f>VLOOKUP(Table5[[#This Row],[Shortname]], Comp[], 8, FALSE)</f>
        <v>0</v>
      </c>
      <c r="L377">
        <f>VLOOKUP(Table5[[#This Row],[Shortname]], Comp[], 9, FALSE)</f>
        <v>9.1999999999999993</v>
      </c>
      <c r="M377">
        <f>VLOOKUP(Table5[[#This Row],[Shortname]], Comp[], 10, FALSE)</f>
        <v>0</v>
      </c>
      <c r="N377">
        <f>VLOOKUP(Table5[[#This Row],[Shortname]], Comp[], 11, FALSE)</f>
        <v>9</v>
      </c>
      <c r="O377">
        <f>VLOOKUP(Table5[[#This Row],[Shortname]], Comp[],12, FALSE)</f>
        <v>0</v>
      </c>
      <c r="P377">
        <f>VLOOKUP(Table5[[#This Row],[Shortname]], Comp[], 13, FALSE)</f>
        <v>0</v>
      </c>
      <c r="Q377">
        <f>VLOOKUP(Table5[[#This Row],[Shortname]], Comp[], 14, FALSE)</f>
        <v>0</v>
      </c>
      <c r="R377">
        <f>VLOOKUP(Table5[[#This Row],[Shortname]], Comp[], 15, FALSE)</f>
        <v>0</v>
      </c>
      <c r="S377">
        <f>VLOOKUP(Table5[[#This Row],[Shortname]], Comp[], 16, FALSE)</f>
        <v>0</v>
      </c>
      <c r="T377">
        <f>VLOOKUP(Table5[[#This Row],[Shortname]], Comp[], 17, FALSE)</f>
        <v>0</v>
      </c>
      <c r="U377">
        <f>VLOOKUP(Table5[[#This Row],[Shortname]], Comp[], 18, FALSE)</f>
        <v>0</v>
      </c>
      <c r="V377">
        <f>VLOOKUP(Table5[[#This Row],[Shortname]], Comp[], 19, FALSE)</f>
        <v>0</v>
      </c>
      <c r="W377">
        <f>VLOOKUP(Table5[[#This Row],[Shortname]], Comp[], 20, FALSE)</f>
        <v>0</v>
      </c>
      <c r="X377">
        <f>VLOOKUP(Table5[[#This Row],[Shortname]], Comp[], 21, FALSE)</f>
        <v>0</v>
      </c>
      <c r="Y377">
        <f>VLOOKUP(Table5[[#This Row],[Shortname]], Comp[], 22, FALSE)</f>
        <v>0</v>
      </c>
      <c r="Z377">
        <f>VLOOKUP(Table5[[#This Row],[Shortname]], Comp[], 23, FALSE)</f>
        <v>0</v>
      </c>
      <c r="AA377">
        <f>VLOOKUP(Table5[[#This Row],[Shortname]], Comp[], 24, FALSE)</f>
        <v>0</v>
      </c>
      <c r="AB377">
        <f>VLOOKUP(Table5[[#This Row],[Shortname]], Comp[], 25, FALSE)</f>
        <v>0</v>
      </c>
      <c r="AC377">
        <f>VLOOKUP(Table5[[#This Row],[Shortname]], Comp[], 26, FALSE)</f>
        <v>0</v>
      </c>
      <c r="AD377">
        <f>VLOOKUP(Table5[[#This Row],[Shortname]], Comp[], 27, FALSE)</f>
        <v>0</v>
      </c>
      <c r="AE377">
        <f>VLOOKUP(Table5[[#This Row],[Shortname]], Comp[], 28, FALSE)</f>
        <v>0</v>
      </c>
      <c r="AF377">
        <f>VLOOKUP(Table5[[#This Row],[Shortname]], Comp[], 29, FALSE)</f>
        <v>0</v>
      </c>
      <c r="AG377">
        <f>VLOOKUP(Table5[[#This Row],[Shortname]], Comp[], 30, FALSE)</f>
        <v>0</v>
      </c>
      <c r="AH377">
        <f>VLOOKUP(Table5[[#This Row],[Shortname]], Comp[], 31, FALSE)</f>
        <v>0</v>
      </c>
    </row>
    <row r="378" spans="1:34" x14ac:dyDescent="0.3">
      <c r="A378" s="7" t="s">
        <v>2901</v>
      </c>
      <c r="B378">
        <v>390</v>
      </c>
      <c r="C378" s="7" t="str">
        <f>VLOOKUP(Table5[[#This Row],[Shortname]], [1]!comp[#Data], 2, FALSE)</f>
        <v>CoAlW-X</v>
      </c>
      <c r="D378" s="7" t="s">
        <v>5256</v>
      </c>
      <c r="E378" s="11" t="s">
        <v>6748</v>
      </c>
      <c r="F378">
        <v>994</v>
      </c>
      <c r="G378">
        <v>1469</v>
      </c>
      <c r="H378">
        <v>1493</v>
      </c>
      <c r="J378" s="14">
        <f>VLOOKUP(Table5[[#This Row],[Shortname]], Comp[], 7, FALSE)</f>
        <v>79.400000000000006</v>
      </c>
      <c r="K378">
        <f>VLOOKUP(Table5[[#This Row],[Shortname]], Comp[], 8, FALSE)</f>
        <v>0</v>
      </c>
      <c r="L378">
        <f>VLOOKUP(Table5[[#This Row],[Shortname]], Comp[], 9, FALSE)</f>
        <v>8.8000000000000007</v>
      </c>
      <c r="M378">
        <f>VLOOKUP(Table5[[#This Row],[Shortname]], Comp[], 10, FALSE)</f>
        <v>0</v>
      </c>
      <c r="N378">
        <f>VLOOKUP(Table5[[#This Row],[Shortname]], Comp[], 11, FALSE)</f>
        <v>9.8000000000000007</v>
      </c>
      <c r="O378">
        <f>VLOOKUP(Table5[[#This Row],[Shortname]], Comp[],12, FALSE)</f>
        <v>0</v>
      </c>
      <c r="P378">
        <f>VLOOKUP(Table5[[#This Row],[Shortname]], Comp[], 13, FALSE)</f>
        <v>0</v>
      </c>
      <c r="Q378">
        <f>VLOOKUP(Table5[[#This Row],[Shortname]], Comp[], 14, FALSE)</f>
        <v>0</v>
      </c>
      <c r="R378">
        <f>VLOOKUP(Table5[[#This Row],[Shortname]], Comp[], 15, FALSE)</f>
        <v>0</v>
      </c>
      <c r="S378">
        <f>VLOOKUP(Table5[[#This Row],[Shortname]], Comp[], 16, FALSE)</f>
        <v>0</v>
      </c>
      <c r="T378">
        <f>VLOOKUP(Table5[[#This Row],[Shortname]], Comp[], 17, FALSE)</f>
        <v>0</v>
      </c>
      <c r="U378">
        <f>VLOOKUP(Table5[[#This Row],[Shortname]], Comp[], 18, FALSE)</f>
        <v>0</v>
      </c>
      <c r="V378">
        <f>VLOOKUP(Table5[[#This Row],[Shortname]], Comp[], 19, FALSE)</f>
        <v>0</v>
      </c>
      <c r="W378">
        <f>VLOOKUP(Table5[[#This Row],[Shortname]], Comp[], 20, FALSE)</f>
        <v>0</v>
      </c>
      <c r="X378">
        <f>VLOOKUP(Table5[[#This Row],[Shortname]], Comp[], 21, FALSE)</f>
        <v>2</v>
      </c>
      <c r="Y378">
        <f>VLOOKUP(Table5[[#This Row],[Shortname]], Comp[], 22, FALSE)</f>
        <v>0</v>
      </c>
      <c r="Z378">
        <f>VLOOKUP(Table5[[#This Row],[Shortname]], Comp[], 23, FALSE)</f>
        <v>0</v>
      </c>
      <c r="AA378">
        <f>VLOOKUP(Table5[[#This Row],[Shortname]], Comp[], 24, FALSE)</f>
        <v>0</v>
      </c>
      <c r="AB378">
        <f>VLOOKUP(Table5[[#This Row],[Shortname]], Comp[], 25, FALSE)</f>
        <v>0</v>
      </c>
      <c r="AC378">
        <f>VLOOKUP(Table5[[#This Row],[Shortname]], Comp[], 26, FALSE)</f>
        <v>0</v>
      </c>
      <c r="AD378">
        <f>VLOOKUP(Table5[[#This Row],[Shortname]], Comp[], 27, FALSE)</f>
        <v>0</v>
      </c>
      <c r="AE378">
        <f>VLOOKUP(Table5[[#This Row],[Shortname]], Comp[], 28, FALSE)</f>
        <v>0</v>
      </c>
      <c r="AF378">
        <f>VLOOKUP(Table5[[#This Row],[Shortname]], Comp[], 29, FALSE)</f>
        <v>0</v>
      </c>
      <c r="AG378">
        <f>VLOOKUP(Table5[[#This Row],[Shortname]], Comp[], 30, FALSE)</f>
        <v>0</v>
      </c>
      <c r="AH378">
        <f>VLOOKUP(Table5[[#This Row],[Shortname]], Comp[], 31, FALSE)</f>
        <v>0</v>
      </c>
    </row>
    <row r="379" spans="1:34" x14ac:dyDescent="0.3">
      <c r="A379" s="7" t="s">
        <v>3482</v>
      </c>
      <c r="B379">
        <v>391</v>
      </c>
      <c r="C379" s="7" t="str">
        <f>VLOOKUP(Table5[[#This Row],[Shortname]], [1]!comp[#Data], 2, FALSE)</f>
        <v>CoAlWX+</v>
      </c>
      <c r="D379" s="7" t="s">
        <v>3483</v>
      </c>
      <c r="E379" s="11" t="s">
        <v>6748</v>
      </c>
      <c r="F379">
        <v>960</v>
      </c>
      <c r="G379">
        <v>1412</v>
      </c>
      <c r="H379">
        <v>1453</v>
      </c>
      <c r="J379" s="14">
        <f>VLOOKUP(Table5[[#This Row],[Shortname]], Comp[], 7, FALSE)</f>
        <v>77.900000000000006</v>
      </c>
      <c r="K379">
        <f>VLOOKUP(Table5[[#This Row],[Shortname]], Comp[], 8, FALSE)</f>
        <v>0</v>
      </c>
      <c r="L379">
        <f>VLOOKUP(Table5[[#This Row],[Shortname]], Comp[], 9, FALSE)</f>
        <v>7.8</v>
      </c>
      <c r="M379">
        <f>VLOOKUP(Table5[[#This Row],[Shortname]], Comp[], 10, FALSE)</f>
        <v>4.5</v>
      </c>
      <c r="N379">
        <f>VLOOKUP(Table5[[#This Row],[Shortname]], Comp[], 11, FALSE)</f>
        <v>7.8</v>
      </c>
      <c r="O379">
        <f>VLOOKUP(Table5[[#This Row],[Shortname]], Comp[],12, FALSE)</f>
        <v>0</v>
      </c>
      <c r="P379">
        <f>VLOOKUP(Table5[[#This Row],[Shortname]], Comp[], 13, FALSE)</f>
        <v>2</v>
      </c>
      <c r="Q379">
        <f>VLOOKUP(Table5[[#This Row],[Shortname]], Comp[], 14, FALSE)</f>
        <v>0</v>
      </c>
      <c r="R379">
        <f>VLOOKUP(Table5[[#This Row],[Shortname]], Comp[], 15, FALSE)</f>
        <v>0</v>
      </c>
      <c r="S379">
        <f>VLOOKUP(Table5[[#This Row],[Shortname]], Comp[], 16, FALSE)</f>
        <v>0</v>
      </c>
      <c r="T379">
        <f>VLOOKUP(Table5[[#This Row],[Shortname]], Comp[], 17, FALSE)</f>
        <v>0</v>
      </c>
      <c r="U379">
        <f>VLOOKUP(Table5[[#This Row],[Shortname]], Comp[], 18, FALSE)</f>
        <v>0</v>
      </c>
      <c r="V379">
        <f>VLOOKUP(Table5[[#This Row],[Shortname]], Comp[], 19, FALSE)</f>
        <v>0</v>
      </c>
      <c r="W379">
        <f>VLOOKUP(Table5[[#This Row],[Shortname]], Comp[], 20, FALSE)</f>
        <v>0</v>
      </c>
      <c r="X379">
        <f>VLOOKUP(Table5[[#This Row],[Shortname]], Comp[], 21, FALSE)</f>
        <v>0</v>
      </c>
      <c r="Y379">
        <f>VLOOKUP(Table5[[#This Row],[Shortname]], Comp[], 22, FALSE)</f>
        <v>0</v>
      </c>
      <c r="Z379">
        <f>VLOOKUP(Table5[[#This Row],[Shortname]], Comp[], 23, FALSE)</f>
        <v>0</v>
      </c>
      <c r="AA379">
        <f>VLOOKUP(Table5[[#This Row],[Shortname]], Comp[], 24, FALSE)</f>
        <v>0</v>
      </c>
      <c r="AB379">
        <f>VLOOKUP(Table5[[#This Row],[Shortname]], Comp[], 25, FALSE)</f>
        <v>0</v>
      </c>
      <c r="AC379">
        <f>VLOOKUP(Table5[[#This Row],[Shortname]], Comp[], 26, FALSE)</f>
        <v>0</v>
      </c>
      <c r="AD379">
        <f>VLOOKUP(Table5[[#This Row],[Shortname]], Comp[], 27, FALSE)</f>
        <v>0</v>
      </c>
      <c r="AE379">
        <f>VLOOKUP(Table5[[#This Row],[Shortname]], Comp[], 28, FALSE)</f>
        <v>0</v>
      </c>
      <c r="AF379">
        <f>VLOOKUP(Table5[[#This Row],[Shortname]], Comp[], 29, FALSE)</f>
        <v>0</v>
      </c>
      <c r="AG379">
        <f>VLOOKUP(Table5[[#This Row],[Shortname]], Comp[], 30, FALSE)</f>
        <v>0</v>
      </c>
      <c r="AH379">
        <f>VLOOKUP(Table5[[#This Row],[Shortname]], Comp[], 31, FALSE)</f>
        <v>0</v>
      </c>
    </row>
    <row r="380" spans="1:34" x14ac:dyDescent="0.3">
      <c r="A380" s="7" t="s">
        <v>3497</v>
      </c>
      <c r="B380">
        <v>392</v>
      </c>
      <c r="C380" s="7" t="str">
        <f>VLOOKUP(Table5[[#This Row],[Shortname]], [1]!comp[#Data], 2, FALSE)</f>
        <v>CoAlW-X</v>
      </c>
      <c r="D380" s="7" t="s">
        <v>3498</v>
      </c>
      <c r="E380" t="s">
        <v>6749</v>
      </c>
      <c r="F380">
        <v>1079</v>
      </c>
      <c r="G380">
        <v>1407</v>
      </c>
      <c r="H380">
        <v>1451</v>
      </c>
      <c r="J380" s="14">
        <f>VLOOKUP(Table5[[#This Row],[Shortname]], Comp[], 7, FALSE)</f>
        <v>80</v>
      </c>
      <c r="K380">
        <f>VLOOKUP(Table5[[#This Row],[Shortname]], Comp[], 8, FALSE)</f>
        <v>0</v>
      </c>
      <c r="L380">
        <f>VLOOKUP(Table5[[#This Row],[Shortname]], Comp[], 9, FALSE)</f>
        <v>9</v>
      </c>
      <c r="M380">
        <f>VLOOKUP(Table5[[#This Row],[Shortname]], Comp[], 10, FALSE)</f>
        <v>0</v>
      </c>
      <c r="N380">
        <f>VLOOKUP(Table5[[#This Row],[Shortname]], Comp[], 11, FALSE)</f>
        <v>9</v>
      </c>
      <c r="O380">
        <f>VLOOKUP(Table5[[#This Row],[Shortname]], Comp[],12, FALSE)</f>
        <v>0</v>
      </c>
      <c r="P380">
        <f>VLOOKUP(Table5[[#This Row],[Shortname]], Comp[], 13, FALSE)</f>
        <v>2</v>
      </c>
      <c r="Q380">
        <f>VLOOKUP(Table5[[#This Row],[Shortname]], Comp[], 14, FALSE)</f>
        <v>0</v>
      </c>
      <c r="R380">
        <f>VLOOKUP(Table5[[#This Row],[Shortname]], Comp[], 15, FALSE)</f>
        <v>0</v>
      </c>
      <c r="S380">
        <f>VLOOKUP(Table5[[#This Row],[Shortname]], Comp[], 16, FALSE)</f>
        <v>0</v>
      </c>
      <c r="T380">
        <f>VLOOKUP(Table5[[#This Row],[Shortname]], Comp[], 17, FALSE)</f>
        <v>0</v>
      </c>
      <c r="U380">
        <f>VLOOKUP(Table5[[#This Row],[Shortname]], Comp[], 18, FALSE)</f>
        <v>0</v>
      </c>
      <c r="V380">
        <f>VLOOKUP(Table5[[#This Row],[Shortname]], Comp[], 19, FALSE)</f>
        <v>0</v>
      </c>
      <c r="W380">
        <f>VLOOKUP(Table5[[#This Row],[Shortname]], Comp[], 20, FALSE)</f>
        <v>0</v>
      </c>
      <c r="X380">
        <f>VLOOKUP(Table5[[#This Row],[Shortname]], Comp[], 21, FALSE)</f>
        <v>0</v>
      </c>
      <c r="Y380">
        <f>VLOOKUP(Table5[[#This Row],[Shortname]], Comp[], 22, FALSE)</f>
        <v>0</v>
      </c>
      <c r="Z380">
        <f>VLOOKUP(Table5[[#This Row],[Shortname]], Comp[], 23, FALSE)</f>
        <v>0</v>
      </c>
      <c r="AA380">
        <f>VLOOKUP(Table5[[#This Row],[Shortname]], Comp[], 24, FALSE)</f>
        <v>0</v>
      </c>
      <c r="AB380">
        <f>VLOOKUP(Table5[[#This Row],[Shortname]], Comp[], 25, FALSE)</f>
        <v>0</v>
      </c>
      <c r="AC380">
        <f>VLOOKUP(Table5[[#This Row],[Shortname]], Comp[], 26, FALSE)</f>
        <v>0</v>
      </c>
      <c r="AD380">
        <f>VLOOKUP(Table5[[#This Row],[Shortname]], Comp[], 27, FALSE)</f>
        <v>0</v>
      </c>
      <c r="AE380">
        <f>VLOOKUP(Table5[[#This Row],[Shortname]], Comp[], 28, FALSE)</f>
        <v>0</v>
      </c>
      <c r="AF380">
        <f>VLOOKUP(Table5[[#This Row],[Shortname]], Comp[], 29, FALSE)</f>
        <v>0</v>
      </c>
      <c r="AG380">
        <f>VLOOKUP(Table5[[#This Row],[Shortname]], Comp[], 30, FALSE)</f>
        <v>0</v>
      </c>
      <c r="AH380">
        <f>VLOOKUP(Table5[[#This Row],[Shortname]], Comp[], 31, FALSE)</f>
        <v>0</v>
      </c>
    </row>
    <row r="381" spans="1:34" x14ac:dyDescent="0.3">
      <c r="A381" s="7" t="s">
        <v>641</v>
      </c>
      <c r="B381">
        <v>393</v>
      </c>
      <c r="C381" s="7" t="str">
        <f>VLOOKUP(Table5[[#This Row],[Shortname]], [1]!comp[#Data], 2, FALSE)</f>
        <v>CoAlW-X</v>
      </c>
      <c r="D381" s="7" t="s">
        <v>3494</v>
      </c>
      <c r="E381" t="s">
        <v>6749</v>
      </c>
      <c r="F381">
        <v>964</v>
      </c>
      <c r="G381">
        <v>1458</v>
      </c>
      <c r="H381">
        <v>1490</v>
      </c>
      <c r="J381" s="14">
        <f>VLOOKUP(Table5[[#This Row],[Shortname]], Comp[], 7, FALSE)</f>
        <v>82</v>
      </c>
      <c r="K381">
        <f>VLOOKUP(Table5[[#This Row],[Shortname]], Comp[], 8, FALSE)</f>
        <v>0</v>
      </c>
      <c r="L381">
        <f>VLOOKUP(Table5[[#This Row],[Shortname]], Comp[], 9, FALSE)</f>
        <v>9</v>
      </c>
      <c r="M381">
        <f>VLOOKUP(Table5[[#This Row],[Shortname]], Comp[], 10, FALSE)</f>
        <v>0</v>
      </c>
      <c r="N381">
        <f>VLOOKUP(Table5[[#This Row],[Shortname]], Comp[], 11, FALSE)</f>
        <v>9</v>
      </c>
      <c r="O381">
        <f>VLOOKUP(Table5[[#This Row],[Shortname]], Comp[],12, FALSE)</f>
        <v>0</v>
      </c>
      <c r="P381">
        <f>VLOOKUP(Table5[[#This Row],[Shortname]], Comp[], 13, FALSE)</f>
        <v>0</v>
      </c>
      <c r="Q381">
        <f>VLOOKUP(Table5[[#This Row],[Shortname]], Comp[], 14, FALSE)</f>
        <v>0</v>
      </c>
      <c r="R381">
        <f>VLOOKUP(Table5[[#This Row],[Shortname]], Comp[], 15, FALSE)</f>
        <v>0</v>
      </c>
      <c r="S381">
        <f>VLOOKUP(Table5[[#This Row],[Shortname]], Comp[], 16, FALSE)</f>
        <v>0</v>
      </c>
      <c r="T381">
        <f>VLOOKUP(Table5[[#This Row],[Shortname]], Comp[], 17, FALSE)</f>
        <v>0</v>
      </c>
      <c r="U381">
        <f>VLOOKUP(Table5[[#This Row],[Shortname]], Comp[], 18, FALSE)</f>
        <v>0</v>
      </c>
      <c r="V381">
        <f>VLOOKUP(Table5[[#This Row],[Shortname]], Comp[], 19, FALSE)</f>
        <v>0</v>
      </c>
      <c r="W381">
        <f>VLOOKUP(Table5[[#This Row],[Shortname]], Comp[], 20, FALSE)</f>
        <v>0</v>
      </c>
      <c r="X381">
        <f>VLOOKUP(Table5[[#This Row],[Shortname]], Comp[], 21, FALSE)</f>
        <v>0</v>
      </c>
      <c r="Y381">
        <f>VLOOKUP(Table5[[#This Row],[Shortname]], Comp[], 22, FALSE)</f>
        <v>0</v>
      </c>
      <c r="Z381">
        <f>VLOOKUP(Table5[[#This Row],[Shortname]], Comp[], 23, FALSE)</f>
        <v>0</v>
      </c>
      <c r="AA381">
        <f>VLOOKUP(Table5[[#This Row],[Shortname]], Comp[], 24, FALSE)</f>
        <v>0</v>
      </c>
      <c r="AB381">
        <f>VLOOKUP(Table5[[#This Row],[Shortname]], Comp[], 25, FALSE)</f>
        <v>0</v>
      </c>
      <c r="AC381">
        <f>VLOOKUP(Table5[[#This Row],[Shortname]], Comp[], 26, FALSE)</f>
        <v>0</v>
      </c>
      <c r="AD381">
        <f>VLOOKUP(Table5[[#This Row],[Shortname]], Comp[], 27, FALSE)</f>
        <v>0</v>
      </c>
      <c r="AE381">
        <f>VLOOKUP(Table5[[#This Row],[Shortname]], Comp[], 28, FALSE)</f>
        <v>0</v>
      </c>
      <c r="AF381">
        <f>VLOOKUP(Table5[[#This Row],[Shortname]], Comp[], 29, FALSE)</f>
        <v>0</v>
      </c>
      <c r="AG381">
        <f>VLOOKUP(Table5[[#This Row],[Shortname]], Comp[], 30, FALSE)</f>
        <v>0</v>
      </c>
      <c r="AH381">
        <f>VLOOKUP(Table5[[#This Row],[Shortname]], Comp[], 31, FALSE)</f>
        <v>0</v>
      </c>
    </row>
    <row r="382" spans="1:34" x14ac:dyDescent="0.3">
      <c r="A382" t="s">
        <v>3523</v>
      </c>
      <c r="B382">
        <v>394</v>
      </c>
      <c r="C382" s="7" t="str">
        <f>VLOOKUP(Table5[[#This Row],[Shortname]], [1]!comp[#Data], 2, FALSE)</f>
        <v>CoAlWX+</v>
      </c>
      <c r="D382" s="7" t="s">
        <v>3525</v>
      </c>
      <c r="E382" t="s">
        <v>6750</v>
      </c>
      <c r="F382">
        <v>1098</v>
      </c>
      <c r="J382" s="14">
        <f>VLOOKUP(Table5[[#This Row],[Shortname]], Comp[], 7, FALSE)</f>
        <v>62</v>
      </c>
      <c r="K382">
        <f>VLOOKUP(Table5[[#This Row],[Shortname]], Comp[], 8, FALSE)</f>
        <v>20</v>
      </c>
      <c r="L382">
        <f>VLOOKUP(Table5[[#This Row],[Shortname]], Comp[], 9, FALSE)</f>
        <v>9</v>
      </c>
      <c r="M382">
        <f>VLOOKUP(Table5[[#This Row],[Shortname]], Comp[], 10, FALSE)</f>
        <v>0</v>
      </c>
      <c r="N382">
        <f>VLOOKUP(Table5[[#This Row],[Shortname]], Comp[], 11, FALSE)</f>
        <v>7</v>
      </c>
      <c r="O382">
        <f>VLOOKUP(Table5[[#This Row],[Shortname]], Comp[],12, FALSE)</f>
        <v>0</v>
      </c>
      <c r="P382">
        <f>VLOOKUP(Table5[[#This Row],[Shortname]], Comp[], 13, FALSE)</f>
        <v>2</v>
      </c>
      <c r="Q382">
        <f>VLOOKUP(Table5[[#This Row],[Shortname]], Comp[], 14, FALSE)</f>
        <v>0</v>
      </c>
      <c r="R382">
        <f>VLOOKUP(Table5[[#This Row],[Shortname]], Comp[], 15, FALSE)</f>
        <v>0</v>
      </c>
      <c r="S382">
        <f>VLOOKUP(Table5[[#This Row],[Shortname]], Comp[], 16, FALSE)</f>
        <v>0</v>
      </c>
      <c r="T382">
        <f>VLOOKUP(Table5[[#This Row],[Shortname]], Comp[], 17, FALSE)</f>
        <v>0</v>
      </c>
      <c r="U382">
        <f>VLOOKUP(Table5[[#This Row],[Shortname]], Comp[], 18, FALSE)</f>
        <v>0</v>
      </c>
      <c r="V382">
        <f>VLOOKUP(Table5[[#This Row],[Shortname]], Comp[], 19, FALSE)</f>
        <v>0</v>
      </c>
      <c r="W382">
        <f>VLOOKUP(Table5[[#This Row],[Shortname]], Comp[], 20, FALSE)</f>
        <v>0</v>
      </c>
      <c r="X382">
        <f>VLOOKUP(Table5[[#This Row],[Shortname]], Comp[], 21, FALSE)</f>
        <v>0</v>
      </c>
      <c r="Y382">
        <f>VLOOKUP(Table5[[#This Row],[Shortname]], Comp[], 22, FALSE)</f>
        <v>0</v>
      </c>
      <c r="Z382">
        <f>VLOOKUP(Table5[[#This Row],[Shortname]], Comp[], 23, FALSE)</f>
        <v>0</v>
      </c>
      <c r="AA382">
        <f>VLOOKUP(Table5[[#This Row],[Shortname]], Comp[], 24, FALSE)</f>
        <v>0</v>
      </c>
      <c r="AB382">
        <f>VLOOKUP(Table5[[#This Row],[Shortname]], Comp[], 25, FALSE)</f>
        <v>0</v>
      </c>
      <c r="AC382">
        <f>VLOOKUP(Table5[[#This Row],[Shortname]], Comp[], 26, FALSE)</f>
        <v>0</v>
      </c>
      <c r="AD382">
        <f>VLOOKUP(Table5[[#This Row],[Shortname]], Comp[], 27, FALSE)</f>
        <v>0</v>
      </c>
      <c r="AE382">
        <f>VLOOKUP(Table5[[#This Row],[Shortname]], Comp[], 28, FALSE)</f>
        <v>0</v>
      </c>
      <c r="AF382">
        <f>VLOOKUP(Table5[[#This Row],[Shortname]], Comp[], 29, FALSE)</f>
        <v>0</v>
      </c>
      <c r="AG382">
        <f>VLOOKUP(Table5[[#This Row],[Shortname]], Comp[], 30, FALSE)</f>
        <v>0</v>
      </c>
      <c r="AH382">
        <f>VLOOKUP(Table5[[#This Row],[Shortname]], Comp[], 31, FALSE)</f>
        <v>0</v>
      </c>
    </row>
    <row r="383" spans="1:34" x14ac:dyDescent="0.3">
      <c r="A383" s="7" t="s">
        <v>1348</v>
      </c>
      <c r="B383">
        <v>395</v>
      </c>
      <c r="C383" s="7" t="str">
        <f>VLOOKUP(Table5[[#This Row],[Shortname]], [1]!comp[#Data], 2, FALSE)</f>
        <v>CoAlW-X</v>
      </c>
      <c r="D383" s="7" t="s">
        <v>3515</v>
      </c>
      <c r="E383" t="s">
        <v>6750</v>
      </c>
      <c r="F383">
        <v>1096</v>
      </c>
      <c r="J383" s="14">
        <f>VLOOKUP(Table5[[#This Row],[Shortname]], Comp[], 7, FALSE)</f>
        <v>79</v>
      </c>
      <c r="K383">
        <f>VLOOKUP(Table5[[#This Row],[Shortname]], Comp[], 8, FALSE)</f>
        <v>0</v>
      </c>
      <c r="L383">
        <f>VLOOKUP(Table5[[#This Row],[Shortname]], Comp[], 9, FALSE)</f>
        <v>9</v>
      </c>
      <c r="M383">
        <f>VLOOKUP(Table5[[#This Row],[Shortname]], Comp[], 10, FALSE)</f>
        <v>0</v>
      </c>
      <c r="N383">
        <f>VLOOKUP(Table5[[#This Row],[Shortname]], Comp[], 11, FALSE)</f>
        <v>10</v>
      </c>
      <c r="O383">
        <f>VLOOKUP(Table5[[#This Row],[Shortname]], Comp[],12, FALSE)</f>
        <v>0</v>
      </c>
      <c r="P383">
        <f>VLOOKUP(Table5[[#This Row],[Shortname]], Comp[], 13, FALSE)</f>
        <v>2</v>
      </c>
      <c r="Q383">
        <f>VLOOKUP(Table5[[#This Row],[Shortname]], Comp[], 14, FALSE)</f>
        <v>0</v>
      </c>
      <c r="R383">
        <f>VLOOKUP(Table5[[#This Row],[Shortname]], Comp[], 15, FALSE)</f>
        <v>0</v>
      </c>
      <c r="S383">
        <f>VLOOKUP(Table5[[#This Row],[Shortname]], Comp[], 16, FALSE)</f>
        <v>0</v>
      </c>
      <c r="T383">
        <f>VLOOKUP(Table5[[#This Row],[Shortname]], Comp[], 17, FALSE)</f>
        <v>0</v>
      </c>
      <c r="U383">
        <f>VLOOKUP(Table5[[#This Row],[Shortname]], Comp[], 18, FALSE)</f>
        <v>0</v>
      </c>
      <c r="V383">
        <f>VLOOKUP(Table5[[#This Row],[Shortname]], Comp[], 19, FALSE)</f>
        <v>0</v>
      </c>
      <c r="W383">
        <f>VLOOKUP(Table5[[#This Row],[Shortname]], Comp[], 20, FALSE)</f>
        <v>0</v>
      </c>
      <c r="X383">
        <f>VLOOKUP(Table5[[#This Row],[Shortname]], Comp[], 21, FALSE)</f>
        <v>0</v>
      </c>
      <c r="Y383">
        <f>VLOOKUP(Table5[[#This Row],[Shortname]], Comp[], 22, FALSE)</f>
        <v>0</v>
      </c>
      <c r="Z383">
        <f>VLOOKUP(Table5[[#This Row],[Shortname]], Comp[], 23, FALSE)</f>
        <v>0</v>
      </c>
      <c r="AA383">
        <f>VLOOKUP(Table5[[#This Row],[Shortname]], Comp[], 24, FALSE)</f>
        <v>0</v>
      </c>
      <c r="AB383">
        <f>VLOOKUP(Table5[[#This Row],[Shortname]], Comp[], 25, FALSE)</f>
        <v>0</v>
      </c>
      <c r="AC383">
        <f>VLOOKUP(Table5[[#This Row],[Shortname]], Comp[], 26, FALSE)</f>
        <v>0</v>
      </c>
      <c r="AD383">
        <f>VLOOKUP(Table5[[#This Row],[Shortname]], Comp[], 27, FALSE)</f>
        <v>0</v>
      </c>
      <c r="AE383">
        <f>VLOOKUP(Table5[[#This Row],[Shortname]], Comp[], 28, FALSE)</f>
        <v>0</v>
      </c>
      <c r="AF383">
        <f>VLOOKUP(Table5[[#This Row],[Shortname]], Comp[], 29, FALSE)</f>
        <v>0</v>
      </c>
      <c r="AG383">
        <f>VLOOKUP(Table5[[#This Row],[Shortname]], Comp[], 30, FALSE)</f>
        <v>0</v>
      </c>
      <c r="AH383">
        <f>VLOOKUP(Table5[[#This Row],[Shortname]], Comp[], 31, FALSE)</f>
        <v>0</v>
      </c>
    </row>
    <row r="384" spans="1:34" x14ac:dyDescent="0.3">
      <c r="A384" s="7" t="s">
        <v>1376</v>
      </c>
      <c r="B384">
        <v>396</v>
      </c>
      <c r="C384" s="7" t="str">
        <f>VLOOKUP(Table5[[#This Row],[Shortname]], [1]!comp[#Data], 2, FALSE)</f>
        <v>CoAlW-X</v>
      </c>
      <c r="D384" s="7" t="s">
        <v>3520</v>
      </c>
      <c r="E384" t="s">
        <v>6750</v>
      </c>
      <c r="F384">
        <v>1087</v>
      </c>
      <c r="J384" s="14">
        <f>VLOOKUP(Table5[[#This Row],[Shortname]], Comp[], 7, FALSE)</f>
        <v>81</v>
      </c>
      <c r="K384">
        <f>VLOOKUP(Table5[[#This Row],[Shortname]], Comp[], 8, FALSE)</f>
        <v>0</v>
      </c>
      <c r="L384">
        <f>VLOOKUP(Table5[[#This Row],[Shortname]], Comp[], 9, FALSE)</f>
        <v>9</v>
      </c>
      <c r="M384">
        <f>VLOOKUP(Table5[[#This Row],[Shortname]], Comp[], 10, FALSE)</f>
        <v>0</v>
      </c>
      <c r="N384">
        <f>VLOOKUP(Table5[[#This Row],[Shortname]], Comp[], 11, FALSE)</f>
        <v>8</v>
      </c>
      <c r="O384">
        <f>VLOOKUP(Table5[[#This Row],[Shortname]], Comp[],12, FALSE)</f>
        <v>0</v>
      </c>
      <c r="P384">
        <f>VLOOKUP(Table5[[#This Row],[Shortname]], Comp[], 13, FALSE)</f>
        <v>2</v>
      </c>
      <c r="Q384">
        <f>VLOOKUP(Table5[[#This Row],[Shortname]], Comp[], 14, FALSE)</f>
        <v>0</v>
      </c>
      <c r="R384">
        <f>VLOOKUP(Table5[[#This Row],[Shortname]], Comp[], 15, FALSE)</f>
        <v>0</v>
      </c>
      <c r="S384">
        <f>VLOOKUP(Table5[[#This Row],[Shortname]], Comp[], 16, FALSE)</f>
        <v>0</v>
      </c>
      <c r="T384">
        <f>VLOOKUP(Table5[[#This Row],[Shortname]], Comp[], 17, FALSE)</f>
        <v>0</v>
      </c>
      <c r="U384">
        <f>VLOOKUP(Table5[[#This Row],[Shortname]], Comp[], 18, FALSE)</f>
        <v>0</v>
      </c>
      <c r="V384">
        <f>VLOOKUP(Table5[[#This Row],[Shortname]], Comp[], 19, FALSE)</f>
        <v>0</v>
      </c>
      <c r="W384">
        <f>VLOOKUP(Table5[[#This Row],[Shortname]], Comp[], 20, FALSE)</f>
        <v>0</v>
      </c>
      <c r="X384">
        <f>VLOOKUP(Table5[[#This Row],[Shortname]], Comp[], 21, FALSE)</f>
        <v>0</v>
      </c>
      <c r="Y384">
        <f>VLOOKUP(Table5[[#This Row],[Shortname]], Comp[], 22, FALSE)</f>
        <v>0</v>
      </c>
      <c r="Z384">
        <f>VLOOKUP(Table5[[#This Row],[Shortname]], Comp[], 23, FALSE)</f>
        <v>0</v>
      </c>
      <c r="AA384">
        <f>VLOOKUP(Table5[[#This Row],[Shortname]], Comp[], 24, FALSE)</f>
        <v>0</v>
      </c>
      <c r="AB384">
        <f>VLOOKUP(Table5[[#This Row],[Shortname]], Comp[], 25, FALSE)</f>
        <v>0</v>
      </c>
      <c r="AC384">
        <f>VLOOKUP(Table5[[#This Row],[Shortname]], Comp[], 26, FALSE)</f>
        <v>0</v>
      </c>
      <c r="AD384">
        <f>VLOOKUP(Table5[[#This Row],[Shortname]], Comp[], 27, FALSE)</f>
        <v>0</v>
      </c>
      <c r="AE384">
        <f>VLOOKUP(Table5[[#This Row],[Shortname]], Comp[], 28, FALSE)</f>
        <v>0</v>
      </c>
      <c r="AF384">
        <f>VLOOKUP(Table5[[#This Row],[Shortname]], Comp[], 29, FALSE)</f>
        <v>0</v>
      </c>
      <c r="AG384">
        <f>VLOOKUP(Table5[[#This Row],[Shortname]], Comp[], 30, FALSE)</f>
        <v>0</v>
      </c>
      <c r="AH384">
        <f>VLOOKUP(Table5[[#This Row],[Shortname]], Comp[], 31, FALSE)</f>
        <v>0</v>
      </c>
    </row>
    <row r="385" spans="1:34" x14ac:dyDescent="0.3">
      <c r="A385" s="7" t="s">
        <v>641</v>
      </c>
      <c r="B385">
        <v>397</v>
      </c>
      <c r="C385" s="7" t="str">
        <f>VLOOKUP(Table5[[#This Row],[Shortname]], [1]!comp[#Data], 2, FALSE)</f>
        <v>CoAlW-X</v>
      </c>
      <c r="D385" s="7" t="s">
        <v>3529</v>
      </c>
      <c r="E385" s="11" t="s">
        <v>6627</v>
      </c>
      <c r="F385">
        <v>977</v>
      </c>
      <c r="J385" s="14">
        <f>VLOOKUP(Table5[[#This Row],[Shortname]], Comp[], 7, FALSE)</f>
        <v>82</v>
      </c>
      <c r="K385">
        <f>VLOOKUP(Table5[[#This Row],[Shortname]], Comp[], 8, FALSE)</f>
        <v>0</v>
      </c>
      <c r="L385">
        <f>VLOOKUP(Table5[[#This Row],[Shortname]], Comp[], 9, FALSE)</f>
        <v>9</v>
      </c>
      <c r="M385">
        <f>VLOOKUP(Table5[[#This Row],[Shortname]], Comp[], 10, FALSE)</f>
        <v>0</v>
      </c>
      <c r="N385">
        <f>VLOOKUP(Table5[[#This Row],[Shortname]], Comp[], 11, FALSE)</f>
        <v>9</v>
      </c>
      <c r="O385">
        <f>VLOOKUP(Table5[[#This Row],[Shortname]], Comp[],12, FALSE)</f>
        <v>0</v>
      </c>
      <c r="P385">
        <f>VLOOKUP(Table5[[#This Row],[Shortname]], Comp[], 13, FALSE)</f>
        <v>0</v>
      </c>
      <c r="Q385">
        <f>VLOOKUP(Table5[[#This Row],[Shortname]], Comp[], 14, FALSE)</f>
        <v>0</v>
      </c>
      <c r="R385">
        <f>VLOOKUP(Table5[[#This Row],[Shortname]], Comp[], 15, FALSE)</f>
        <v>0</v>
      </c>
      <c r="S385">
        <f>VLOOKUP(Table5[[#This Row],[Shortname]], Comp[], 16, FALSE)</f>
        <v>0</v>
      </c>
      <c r="T385">
        <f>VLOOKUP(Table5[[#This Row],[Shortname]], Comp[], 17, FALSE)</f>
        <v>0</v>
      </c>
      <c r="U385">
        <f>VLOOKUP(Table5[[#This Row],[Shortname]], Comp[], 18, FALSE)</f>
        <v>0</v>
      </c>
      <c r="V385">
        <f>VLOOKUP(Table5[[#This Row],[Shortname]], Comp[], 19, FALSE)</f>
        <v>0</v>
      </c>
      <c r="W385">
        <f>VLOOKUP(Table5[[#This Row],[Shortname]], Comp[], 20, FALSE)</f>
        <v>0</v>
      </c>
      <c r="X385">
        <f>VLOOKUP(Table5[[#This Row],[Shortname]], Comp[], 21, FALSE)</f>
        <v>0</v>
      </c>
      <c r="Y385">
        <f>VLOOKUP(Table5[[#This Row],[Shortname]], Comp[], 22, FALSE)</f>
        <v>0</v>
      </c>
      <c r="Z385">
        <f>VLOOKUP(Table5[[#This Row],[Shortname]], Comp[], 23, FALSE)</f>
        <v>0</v>
      </c>
      <c r="AA385">
        <f>VLOOKUP(Table5[[#This Row],[Shortname]], Comp[], 24, FALSE)</f>
        <v>0</v>
      </c>
      <c r="AB385">
        <f>VLOOKUP(Table5[[#This Row],[Shortname]], Comp[], 25, FALSE)</f>
        <v>0</v>
      </c>
      <c r="AC385">
        <f>VLOOKUP(Table5[[#This Row],[Shortname]], Comp[], 26, FALSE)</f>
        <v>0</v>
      </c>
      <c r="AD385">
        <f>VLOOKUP(Table5[[#This Row],[Shortname]], Comp[], 27, FALSE)</f>
        <v>0</v>
      </c>
      <c r="AE385">
        <f>VLOOKUP(Table5[[#This Row],[Shortname]], Comp[], 28, FALSE)</f>
        <v>0</v>
      </c>
      <c r="AF385">
        <f>VLOOKUP(Table5[[#This Row],[Shortname]], Comp[], 29, FALSE)</f>
        <v>0</v>
      </c>
      <c r="AG385">
        <f>VLOOKUP(Table5[[#This Row],[Shortname]], Comp[], 30, FALSE)</f>
        <v>0</v>
      </c>
      <c r="AH385">
        <f>VLOOKUP(Table5[[#This Row],[Shortname]], Comp[], 31, FALSE)</f>
        <v>0</v>
      </c>
    </row>
    <row r="386" spans="1:34" x14ac:dyDescent="0.3">
      <c r="A386" s="7" t="s">
        <v>1315</v>
      </c>
      <c r="B386">
        <v>398</v>
      </c>
      <c r="C386" s="7" t="str">
        <f>VLOOKUP(Table5[[#This Row],[Shortname]], [1]!comp[#Data], 2, FALSE)</f>
        <v>CoAlWX+</v>
      </c>
      <c r="D386" s="7" t="s">
        <v>1317</v>
      </c>
      <c r="E386" s="3" t="s">
        <v>3591</v>
      </c>
      <c r="F386">
        <v>1150</v>
      </c>
      <c r="J386" s="14">
        <f>VLOOKUP(Table5[[#This Row],[Shortname]], Comp[], 7, FALSE)</f>
        <v>45.900000000000006</v>
      </c>
      <c r="K386">
        <f>VLOOKUP(Table5[[#This Row],[Shortname]], Comp[], 8, FALSE)</f>
        <v>29.2</v>
      </c>
      <c r="L386">
        <f>VLOOKUP(Table5[[#This Row],[Shortname]], Comp[], 9, FALSE)</f>
        <v>9.8000000000000007</v>
      </c>
      <c r="M386">
        <f>VLOOKUP(Table5[[#This Row],[Shortname]], Comp[], 10, FALSE)</f>
        <v>6.4</v>
      </c>
      <c r="N386">
        <f>VLOOKUP(Table5[[#This Row],[Shortname]], Comp[], 11, FALSE)</f>
        <v>6.3</v>
      </c>
      <c r="O386">
        <f>VLOOKUP(Table5[[#This Row],[Shortname]], Comp[],12, FALSE)</f>
        <v>0</v>
      </c>
      <c r="P386">
        <f>VLOOKUP(Table5[[#This Row],[Shortname]], Comp[], 13, FALSE)</f>
        <v>2.4</v>
      </c>
      <c r="Q386">
        <f>VLOOKUP(Table5[[#This Row],[Shortname]], Comp[], 14, FALSE)</f>
        <v>0</v>
      </c>
      <c r="R386">
        <f>VLOOKUP(Table5[[#This Row],[Shortname]], Comp[], 15, FALSE)</f>
        <v>0</v>
      </c>
      <c r="S386">
        <f>VLOOKUP(Table5[[#This Row],[Shortname]], Comp[], 16, FALSE)</f>
        <v>0</v>
      </c>
      <c r="T386">
        <f>VLOOKUP(Table5[[#This Row],[Shortname]], Comp[], 17, FALSE)</f>
        <v>0</v>
      </c>
      <c r="U386">
        <f>VLOOKUP(Table5[[#This Row],[Shortname]], Comp[], 18, FALSE)</f>
        <v>0</v>
      </c>
      <c r="V386">
        <f>VLOOKUP(Table5[[#This Row],[Shortname]], Comp[], 19, FALSE)</f>
        <v>0</v>
      </c>
      <c r="W386">
        <f>VLOOKUP(Table5[[#This Row],[Shortname]], Comp[], 20, FALSE)</f>
        <v>0</v>
      </c>
      <c r="X386">
        <f>VLOOKUP(Table5[[#This Row],[Shortname]], Comp[], 21, FALSE)</f>
        <v>0</v>
      </c>
      <c r="Y386">
        <f>VLOOKUP(Table5[[#This Row],[Shortname]], Comp[], 22, FALSE)</f>
        <v>0</v>
      </c>
      <c r="Z386">
        <f>VLOOKUP(Table5[[#This Row],[Shortname]], Comp[], 23, FALSE)</f>
        <v>0</v>
      </c>
      <c r="AA386">
        <f>VLOOKUP(Table5[[#This Row],[Shortname]], Comp[], 24, FALSE)</f>
        <v>0</v>
      </c>
      <c r="AB386">
        <f>VLOOKUP(Table5[[#This Row],[Shortname]], Comp[], 25, FALSE)</f>
        <v>0</v>
      </c>
      <c r="AC386">
        <f>VLOOKUP(Table5[[#This Row],[Shortname]], Comp[], 26, FALSE)</f>
        <v>0</v>
      </c>
      <c r="AD386">
        <f>VLOOKUP(Table5[[#This Row],[Shortname]], Comp[], 27, FALSE)</f>
        <v>0</v>
      </c>
      <c r="AE386">
        <f>VLOOKUP(Table5[[#This Row],[Shortname]], Comp[], 28, FALSE)</f>
        <v>0</v>
      </c>
      <c r="AF386">
        <f>VLOOKUP(Table5[[#This Row],[Shortname]], Comp[], 29, FALSE)</f>
        <v>0</v>
      </c>
      <c r="AG386">
        <f>VLOOKUP(Table5[[#This Row],[Shortname]], Comp[], 30, FALSE)</f>
        <v>0</v>
      </c>
      <c r="AH386">
        <f>VLOOKUP(Table5[[#This Row],[Shortname]], Comp[], 31, FALSE)</f>
        <v>0</v>
      </c>
    </row>
    <row r="387" spans="1:34" x14ac:dyDescent="0.3">
      <c r="A387" s="7" t="s">
        <v>3588</v>
      </c>
      <c r="B387">
        <v>399</v>
      </c>
      <c r="C387" s="7" t="str">
        <f>VLOOKUP(Table5[[#This Row],[Shortname]], [1]!comp[#Data], 2, FALSE)</f>
        <v>CoAlWX+</v>
      </c>
      <c r="D387" s="7" t="s">
        <v>3590</v>
      </c>
      <c r="E387" s="3" t="s">
        <v>3591</v>
      </c>
      <c r="F387">
        <v>1134</v>
      </c>
      <c r="J387" s="14">
        <f>VLOOKUP(Table5[[#This Row],[Shortname]], Comp[], 7, FALSE)</f>
        <v>41.5</v>
      </c>
      <c r="K387">
        <f>VLOOKUP(Table5[[#This Row],[Shortname]], Comp[], 8, FALSE)</f>
        <v>38</v>
      </c>
      <c r="L387">
        <f>VLOOKUP(Table5[[#This Row],[Shortname]], Comp[], 9, FALSE)</f>
        <v>11.2</v>
      </c>
      <c r="M387">
        <f>VLOOKUP(Table5[[#This Row],[Shortname]], Comp[], 10, FALSE)</f>
        <v>0</v>
      </c>
      <c r="N387">
        <f>VLOOKUP(Table5[[#This Row],[Shortname]], Comp[], 11, FALSE)</f>
        <v>6.5</v>
      </c>
      <c r="O387">
        <f>VLOOKUP(Table5[[#This Row],[Shortname]], Comp[],12, FALSE)</f>
        <v>0</v>
      </c>
      <c r="P387">
        <f>VLOOKUP(Table5[[#This Row],[Shortname]], Comp[], 13, FALSE)</f>
        <v>2.8</v>
      </c>
      <c r="Q387">
        <f>VLOOKUP(Table5[[#This Row],[Shortname]], Comp[], 14, FALSE)</f>
        <v>0</v>
      </c>
      <c r="R387">
        <f>VLOOKUP(Table5[[#This Row],[Shortname]], Comp[], 15, FALSE)</f>
        <v>0</v>
      </c>
      <c r="S387">
        <f>VLOOKUP(Table5[[#This Row],[Shortname]], Comp[], 16, FALSE)</f>
        <v>0</v>
      </c>
      <c r="T387">
        <f>VLOOKUP(Table5[[#This Row],[Shortname]], Comp[], 17, FALSE)</f>
        <v>0</v>
      </c>
      <c r="U387">
        <f>VLOOKUP(Table5[[#This Row],[Shortname]], Comp[], 18, FALSE)</f>
        <v>0</v>
      </c>
      <c r="V387">
        <f>VLOOKUP(Table5[[#This Row],[Shortname]], Comp[], 19, FALSE)</f>
        <v>0</v>
      </c>
      <c r="W387">
        <f>VLOOKUP(Table5[[#This Row],[Shortname]], Comp[], 20, FALSE)</f>
        <v>0</v>
      </c>
      <c r="X387">
        <f>VLOOKUP(Table5[[#This Row],[Shortname]], Comp[], 21, FALSE)</f>
        <v>0</v>
      </c>
      <c r="Y387">
        <f>VLOOKUP(Table5[[#This Row],[Shortname]], Comp[], 22, FALSE)</f>
        <v>0</v>
      </c>
      <c r="Z387">
        <f>VLOOKUP(Table5[[#This Row],[Shortname]], Comp[], 23, FALSE)</f>
        <v>0</v>
      </c>
      <c r="AA387">
        <f>VLOOKUP(Table5[[#This Row],[Shortname]], Comp[], 24, FALSE)</f>
        <v>0</v>
      </c>
      <c r="AB387">
        <f>VLOOKUP(Table5[[#This Row],[Shortname]], Comp[], 25, FALSE)</f>
        <v>0</v>
      </c>
      <c r="AC387">
        <f>VLOOKUP(Table5[[#This Row],[Shortname]], Comp[], 26, FALSE)</f>
        <v>0</v>
      </c>
      <c r="AD387">
        <f>VLOOKUP(Table5[[#This Row],[Shortname]], Comp[], 27, FALSE)</f>
        <v>0</v>
      </c>
      <c r="AE387">
        <f>VLOOKUP(Table5[[#This Row],[Shortname]], Comp[], 28, FALSE)</f>
        <v>0</v>
      </c>
      <c r="AF387">
        <f>VLOOKUP(Table5[[#This Row],[Shortname]], Comp[], 29, FALSE)</f>
        <v>0</v>
      </c>
      <c r="AG387">
        <f>VLOOKUP(Table5[[#This Row],[Shortname]], Comp[], 30, FALSE)</f>
        <v>0</v>
      </c>
      <c r="AH387">
        <f>VLOOKUP(Table5[[#This Row],[Shortname]], Comp[], 31, FALSE)</f>
        <v>0</v>
      </c>
    </row>
    <row r="388" spans="1:34" x14ac:dyDescent="0.3">
      <c r="A388" s="7" t="s">
        <v>1721</v>
      </c>
      <c r="B388">
        <v>400</v>
      </c>
      <c r="C388" s="7" t="str">
        <f>VLOOKUP(Table5[[#This Row],[Shortname]], [1]!comp[#Data], 2, FALSE)</f>
        <v>CoAlW-X</v>
      </c>
      <c r="D388" s="7" t="s">
        <v>5263</v>
      </c>
      <c r="E388" s="11" t="s">
        <v>6751</v>
      </c>
      <c r="F388">
        <v>1085</v>
      </c>
      <c r="G388">
        <v>1233</v>
      </c>
      <c r="H388">
        <v>1394</v>
      </c>
      <c r="J388" s="14">
        <f>VLOOKUP(Table5[[#This Row],[Shortname]], Comp[], 7, FALSE)</f>
        <v>79</v>
      </c>
      <c r="K388">
        <f>VLOOKUP(Table5[[#This Row],[Shortname]], Comp[], 8, FALSE)</f>
        <v>0</v>
      </c>
      <c r="L388">
        <f>VLOOKUP(Table5[[#This Row],[Shortname]], Comp[], 9, FALSE)</f>
        <v>6.7</v>
      </c>
      <c r="M388">
        <f>VLOOKUP(Table5[[#This Row],[Shortname]], Comp[], 10, FALSE)</f>
        <v>0</v>
      </c>
      <c r="N388">
        <f>VLOOKUP(Table5[[#This Row],[Shortname]], Comp[], 11, FALSE)</f>
        <v>8.1</v>
      </c>
      <c r="O388">
        <f>VLOOKUP(Table5[[#This Row],[Shortname]], Comp[],12, FALSE)</f>
        <v>6.2</v>
      </c>
      <c r="P388">
        <f>VLOOKUP(Table5[[#This Row],[Shortname]], Comp[], 13, FALSE)</f>
        <v>0</v>
      </c>
      <c r="Q388">
        <f>VLOOKUP(Table5[[#This Row],[Shortname]], Comp[], 14, FALSE)</f>
        <v>0</v>
      </c>
      <c r="R388">
        <f>VLOOKUP(Table5[[#This Row],[Shortname]], Comp[], 15, FALSE)</f>
        <v>0</v>
      </c>
      <c r="S388">
        <f>VLOOKUP(Table5[[#This Row],[Shortname]], Comp[], 16, FALSE)</f>
        <v>0</v>
      </c>
      <c r="T388">
        <f>VLOOKUP(Table5[[#This Row],[Shortname]], Comp[], 17, FALSE)</f>
        <v>0</v>
      </c>
      <c r="U388">
        <f>VLOOKUP(Table5[[#This Row],[Shortname]], Comp[], 18, FALSE)</f>
        <v>0</v>
      </c>
      <c r="V388">
        <f>VLOOKUP(Table5[[#This Row],[Shortname]], Comp[], 19, FALSE)</f>
        <v>0</v>
      </c>
      <c r="W388">
        <f>VLOOKUP(Table5[[#This Row],[Shortname]], Comp[], 20, FALSE)</f>
        <v>0</v>
      </c>
      <c r="X388">
        <f>VLOOKUP(Table5[[#This Row],[Shortname]], Comp[], 21, FALSE)</f>
        <v>0</v>
      </c>
      <c r="Y388">
        <f>VLOOKUP(Table5[[#This Row],[Shortname]], Comp[], 22, FALSE)</f>
        <v>0</v>
      </c>
      <c r="Z388">
        <f>VLOOKUP(Table5[[#This Row],[Shortname]], Comp[], 23, FALSE)</f>
        <v>0</v>
      </c>
      <c r="AA388">
        <f>VLOOKUP(Table5[[#This Row],[Shortname]], Comp[], 24, FALSE)</f>
        <v>0</v>
      </c>
      <c r="AB388">
        <f>VLOOKUP(Table5[[#This Row],[Shortname]], Comp[], 25, FALSE)</f>
        <v>0</v>
      </c>
      <c r="AC388">
        <f>VLOOKUP(Table5[[#This Row],[Shortname]], Comp[], 26, FALSE)</f>
        <v>0</v>
      </c>
      <c r="AD388">
        <f>VLOOKUP(Table5[[#This Row],[Shortname]], Comp[], 27, FALSE)</f>
        <v>0</v>
      </c>
      <c r="AE388">
        <f>VLOOKUP(Table5[[#This Row],[Shortname]], Comp[], 28, FALSE)</f>
        <v>0</v>
      </c>
      <c r="AF388">
        <f>VLOOKUP(Table5[[#This Row],[Shortname]], Comp[], 29, FALSE)</f>
        <v>0</v>
      </c>
      <c r="AG388">
        <f>VLOOKUP(Table5[[#This Row],[Shortname]], Comp[], 30, FALSE)</f>
        <v>0</v>
      </c>
      <c r="AH388">
        <f>VLOOKUP(Table5[[#This Row],[Shortname]], Comp[], 31, FALSE)</f>
        <v>0</v>
      </c>
    </row>
    <row r="389" spans="1:34" x14ac:dyDescent="0.3">
      <c r="A389" s="7" t="s">
        <v>1735</v>
      </c>
      <c r="B389">
        <v>401</v>
      </c>
      <c r="C389" s="7" t="str">
        <f>VLOOKUP(Table5[[#This Row],[Shortname]], [1]!comp[#Data], 2, FALSE)</f>
        <v>CoAlW-X</v>
      </c>
      <c r="D389" s="7" t="s">
        <v>2354</v>
      </c>
      <c r="E389" s="11" t="s">
        <v>6751</v>
      </c>
      <c r="F389">
        <v>1079</v>
      </c>
      <c r="G389">
        <v>1406</v>
      </c>
      <c r="H389">
        <v>1445</v>
      </c>
      <c r="J389" s="14">
        <f>VLOOKUP(Table5[[#This Row],[Shortname]], Comp[], 7, FALSE)</f>
        <v>79.400000000000006</v>
      </c>
      <c r="K389">
        <f>VLOOKUP(Table5[[#This Row],[Shortname]], Comp[], 8, FALSE)</f>
        <v>0</v>
      </c>
      <c r="L389">
        <f>VLOOKUP(Table5[[#This Row],[Shortname]], Comp[], 9, FALSE)</f>
        <v>8.8000000000000007</v>
      </c>
      <c r="M389">
        <f>VLOOKUP(Table5[[#This Row],[Shortname]], Comp[], 10, FALSE)</f>
        <v>0</v>
      </c>
      <c r="N389">
        <f>VLOOKUP(Table5[[#This Row],[Shortname]], Comp[], 11, FALSE)</f>
        <v>9.8000000000000007</v>
      </c>
      <c r="O389">
        <f>VLOOKUP(Table5[[#This Row],[Shortname]], Comp[],12, FALSE)</f>
        <v>0</v>
      </c>
      <c r="P389">
        <f>VLOOKUP(Table5[[#This Row],[Shortname]], Comp[], 13, FALSE)</f>
        <v>2</v>
      </c>
      <c r="Q389">
        <f>VLOOKUP(Table5[[#This Row],[Shortname]], Comp[], 14, FALSE)</f>
        <v>0</v>
      </c>
      <c r="R389">
        <f>VLOOKUP(Table5[[#This Row],[Shortname]], Comp[], 15, FALSE)</f>
        <v>0</v>
      </c>
      <c r="S389">
        <f>VLOOKUP(Table5[[#This Row],[Shortname]], Comp[], 16, FALSE)</f>
        <v>0</v>
      </c>
      <c r="T389">
        <f>VLOOKUP(Table5[[#This Row],[Shortname]], Comp[], 17, FALSE)</f>
        <v>0</v>
      </c>
      <c r="U389">
        <f>VLOOKUP(Table5[[#This Row],[Shortname]], Comp[], 18, FALSE)</f>
        <v>0</v>
      </c>
      <c r="V389">
        <f>VLOOKUP(Table5[[#This Row],[Shortname]], Comp[], 19, FALSE)</f>
        <v>0</v>
      </c>
      <c r="W389">
        <f>VLOOKUP(Table5[[#This Row],[Shortname]], Comp[], 20, FALSE)</f>
        <v>0</v>
      </c>
      <c r="X389">
        <f>VLOOKUP(Table5[[#This Row],[Shortname]], Comp[], 21, FALSE)</f>
        <v>0</v>
      </c>
      <c r="Y389">
        <f>VLOOKUP(Table5[[#This Row],[Shortname]], Comp[], 22, FALSE)</f>
        <v>0</v>
      </c>
      <c r="Z389">
        <f>VLOOKUP(Table5[[#This Row],[Shortname]], Comp[], 23, FALSE)</f>
        <v>0</v>
      </c>
      <c r="AA389">
        <f>VLOOKUP(Table5[[#This Row],[Shortname]], Comp[], 24, FALSE)</f>
        <v>0</v>
      </c>
      <c r="AB389">
        <f>VLOOKUP(Table5[[#This Row],[Shortname]], Comp[], 25, FALSE)</f>
        <v>0</v>
      </c>
      <c r="AC389">
        <f>VLOOKUP(Table5[[#This Row],[Shortname]], Comp[], 26, FALSE)</f>
        <v>0</v>
      </c>
      <c r="AD389">
        <f>VLOOKUP(Table5[[#This Row],[Shortname]], Comp[], 27, FALSE)</f>
        <v>0</v>
      </c>
      <c r="AE389">
        <f>VLOOKUP(Table5[[#This Row],[Shortname]], Comp[], 28, FALSE)</f>
        <v>0</v>
      </c>
      <c r="AF389">
        <f>VLOOKUP(Table5[[#This Row],[Shortname]], Comp[], 29, FALSE)</f>
        <v>0</v>
      </c>
      <c r="AG389">
        <f>VLOOKUP(Table5[[#This Row],[Shortname]], Comp[], 30, FALSE)</f>
        <v>0</v>
      </c>
      <c r="AH389">
        <f>VLOOKUP(Table5[[#This Row],[Shortname]], Comp[], 31, FALSE)</f>
        <v>0</v>
      </c>
    </row>
    <row r="390" spans="1:34" x14ac:dyDescent="0.3">
      <c r="A390" s="7" t="s">
        <v>1728</v>
      </c>
      <c r="B390">
        <v>402</v>
      </c>
      <c r="C390" s="7" t="str">
        <f>VLOOKUP(Table5[[#This Row],[Shortname]], [1]!comp[#Data], 2, FALSE)</f>
        <v>CoAlW-X</v>
      </c>
      <c r="D390" s="7" t="s">
        <v>1730</v>
      </c>
      <c r="E390" s="11" t="s">
        <v>6751</v>
      </c>
      <c r="F390">
        <v>1033</v>
      </c>
      <c r="G390">
        <v>1445</v>
      </c>
      <c r="H390">
        <v>1479</v>
      </c>
      <c r="J390" s="14">
        <f>VLOOKUP(Table5[[#This Row],[Shortname]], Comp[], 7, FALSE)</f>
        <v>79.900000000000006</v>
      </c>
      <c r="K390">
        <f>VLOOKUP(Table5[[#This Row],[Shortname]], Comp[], 8, FALSE)</f>
        <v>0</v>
      </c>
      <c r="L390">
        <f>VLOOKUP(Table5[[#This Row],[Shortname]], Comp[], 9, FALSE)</f>
        <v>9.4</v>
      </c>
      <c r="M390">
        <f>VLOOKUP(Table5[[#This Row],[Shortname]], Comp[], 10, FALSE)</f>
        <v>0</v>
      </c>
      <c r="N390">
        <f>VLOOKUP(Table5[[#This Row],[Shortname]], Comp[], 11, FALSE)</f>
        <v>10.7</v>
      </c>
      <c r="O390">
        <f>VLOOKUP(Table5[[#This Row],[Shortname]], Comp[],12, FALSE)</f>
        <v>0</v>
      </c>
      <c r="P390">
        <f>VLOOKUP(Table5[[#This Row],[Shortname]], Comp[], 13, FALSE)</f>
        <v>0</v>
      </c>
      <c r="Q390">
        <f>VLOOKUP(Table5[[#This Row],[Shortname]], Comp[], 14, FALSE)</f>
        <v>0</v>
      </c>
      <c r="R390">
        <f>VLOOKUP(Table5[[#This Row],[Shortname]], Comp[], 15, FALSE)</f>
        <v>0</v>
      </c>
      <c r="S390">
        <f>VLOOKUP(Table5[[#This Row],[Shortname]], Comp[], 16, FALSE)</f>
        <v>0</v>
      </c>
      <c r="T390">
        <f>VLOOKUP(Table5[[#This Row],[Shortname]], Comp[], 17, FALSE)</f>
        <v>0</v>
      </c>
      <c r="U390">
        <f>VLOOKUP(Table5[[#This Row],[Shortname]], Comp[], 18, FALSE)</f>
        <v>0</v>
      </c>
      <c r="V390">
        <f>VLOOKUP(Table5[[#This Row],[Shortname]], Comp[], 19, FALSE)</f>
        <v>0</v>
      </c>
      <c r="W390">
        <f>VLOOKUP(Table5[[#This Row],[Shortname]], Comp[], 20, FALSE)</f>
        <v>0</v>
      </c>
      <c r="X390">
        <f>VLOOKUP(Table5[[#This Row],[Shortname]], Comp[], 21, FALSE)</f>
        <v>0</v>
      </c>
      <c r="Y390">
        <f>VLOOKUP(Table5[[#This Row],[Shortname]], Comp[], 22, FALSE)</f>
        <v>0</v>
      </c>
      <c r="Z390">
        <f>VLOOKUP(Table5[[#This Row],[Shortname]], Comp[], 23, FALSE)</f>
        <v>0</v>
      </c>
      <c r="AA390">
        <f>VLOOKUP(Table5[[#This Row],[Shortname]], Comp[], 24, FALSE)</f>
        <v>0</v>
      </c>
      <c r="AB390">
        <f>VLOOKUP(Table5[[#This Row],[Shortname]], Comp[], 25, FALSE)</f>
        <v>0</v>
      </c>
      <c r="AC390">
        <f>VLOOKUP(Table5[[#This Row],[Shortname]], Comp[], 26, FALSE)</f>
        <v>0</v>
      </c>
      <c r="AD390">
        <f>VLOOKUP(Table5[[#This Row],[Shortname]], Comp[], 27, FALSE)</f>
        <v>0</v>
      </c>
      <c r="AE390">
        <f>VLOOKUP(Table5[[#This Row],[Shortname]], Comp[], 28, FALSE)</f>
        <v>0</v>
      </c>
      <c r="AF390">
        <f>VLOOKUP(Table5[[#This Row],[Shortname]], Comp[], 29, FALSE)</f>
        <v>0</v>
      </c>
      <c r="AG390">
        <f>VLOOKUP(Table5[[#This Row],[Shortname]], Comp[], 30, FALSE)</f>
        <v>0</v>
      </c>
      <c r="AH390">
        <f>VLOOKUP(Table5[[#This Row],[Shortname]], Comp[], 31, FALSE)</f>
        <v>0</v>
      </c>
    </row>
    <row r="391" spans="1:34" x14ac:dyDescent="0.3">
      <c r="A391" s="7" t="s">
        <v>2857</v>
      </c>
      <c r="B391">
        <v>403</v>
      </c>
      <c r="C391" s="7" t="str">
        <f>VLOOKUP(Table5[[#This Row],[Shortname]], [1]!comp[#Data], 2, FALSE)</f>
        <v>CoAlWX+</v>
      </c>
      <c r="D391" s="7" t="s">
        <v>3483</v>
      </c>
      <c r="E391" s="11" t="s">
        <v>6751</v>
      </c>
      <c r="F391">
        <v>975</v>
      </c>
      <c r="G391">
        <v>1412</v>
      </c>
      <c r="H391">
        <v>1452</v>
      </c>
      <c r="J391" s="14">
        <f>VLOOKUP(Table5[[#This Row],[Shortname]], Comp[], 7, FALSE)</f>
        <v>78.400000000000006</v>
      </c>
      <c r="K391">
        <f>VLOOKUP(Table5[[#This Row],[Shortname]], Comp[], 8, FALSE)</f>
        <v>0</v>
      </c>
      <c r="L391">
        <f>VLOOKUP(Table5[[#This Row],[Shortname]], Comp[], 9, FALSE)</f>
        <v>7.8</v>
      </c>
      <c r="M391">
        <f>VLOOKUP(Table5[[#This Row],[Shortname]], Comp[], 10, FALSE)</f>
        <v>4.5</v>
      </c>
      <c r="N391">
        <f>VLOOKUP(Table5[[#This Row],[Shortname]], Comp[], 11, FALSE)</f>
        <v>7.8</v>
      </c>
      <c r="O391">
        <f>VLOOKUP(Table5[[#This Row],[Shortname]], Comp[],12, FALSE)</f>
        <v>0</v>
      </c>
      <c r="P391">
        <f>VLOOKUP(Table5[[#This Row],[Shortname]], Comp[], 13, FALSE)</f>
        <v>1.5</v>
      </c>
      <c r="Q391">
        <f>VLOOKUP(Table5[[#This Row],[Shortname]], Comp[], 14, FALSE)</f>
        <v>0</v>
      </c>
      <c r="R391">
        <f>VLOOKUP(Table5[[#This Row],[Shortname]], Comp[], 15, FALSE)</f>
        <v>0</v>
      </c>
      <c r="S391">
        <f>VLOOKUP(Table5[[#This Row],[Shortname]], Comp[], 16, FALSE)</f>
        <v>0</v>
      </c>
      <c r="T391">
        <f>VLOOKUP(Table5[[#This Row],[Shortname]], Comp[], 17, FALSE)</f>
        <v>0</v>
      </c>
      <c r="U391">
        <f>VLOOKUP(Table5[[#This Row],[Shortname]], Comp[], 18, FALSE)</f>
        <v>0</v>
      </c>
      <c r="V391">
        <f>VLOOKUP(Table5[[#This Row],[Shortname]], Comp[], 19, FALSE)</f>
        <v>0</v>
      </c>
      <c r="W391">
        <f>VLOOKUP(Table5[[#This Row],[Shortname]], Comp[], 20, FALSE)</f>
        <v>0</v>
      </c>
      <c r="X391">
        <f>VLOOKUP(Table5[[#This Row],[Shortname]], Comp[], 21, FALSE)</f>
        <v>0</v>
      </c>
      <c r="Y391">
        <f>VLOOKUP(Table5[[#This Row],[Shortname]], Comp[], 22, FALSE)</f>
        <v>0</v>
      </c>
      <c r="Z391">
        <f>VLOOKUP(Table5[[#This Row],[Shortname]], Comp[], 23, FALSE)</f>
        <v>0</v>
      </c>
      <c r="AA391">
        <f>VLOOKUP(Table5[[#This Row],[Shortname]], Comp[], 24, FALSE)</f>
        <v>0</v>
      </c>
      <c r="AB391">
        <f>VLOOKUP(Table5[[#This Row],[Shortname]], Comp[], 25, FALSE)</f>
        <v>0</v>
      </c>
      <c r="AC391">
        <f>VLOOKUP(Table5[[#This Row],[Shortname]], Comp[], 26, FALSE)</f>
        <v>0</v>
      </c>
      <c r="AD391">
        <f>VLOOKUP(Table5[[#This Row],[Shortname]], Comp[], 27, FALSE)</f>
        <v>0</v>
      </c>
      <c r="AE391">
        <f>VLOOKUP(Table5[[#This Row],[Shortname]], Comp[], 28, FALSE)</f>
        <v>0</v>
      </c>
      <c r="AF391">
        <f>VLOOKUP(Table5[[#This Row],[Shortname]], Comp[], 29, FALSE)</f>
        <v>0</v>
      </c>
      <c r="AG391">
        <f>VLOOKUP(Table5[[#This Row],[Shortname]], Comp[], 30, FALSE)</f>
        <v>0</v>
      </c>
      <c r="AH391">
        <f>VLOOKUP(Table5[[#This Row],[Shortname]], Comp[], 31, FALSE)</f>
        <v>0</v>
      </c>
    </row>
    <row r="392" spans="1:34" x14ac:dyDescent="0.3">
      <c r="A392" s="7" t="s">
        <v>3679</v>
      </c>
      <c r="B392">
        <v>404</v>
      </c>
      <c r="C392" s="7" t="str">
        <f>VLOOKUP(Table5[[#This Row],[Shortname]], [1]!comp[#Data], 2, FALSE)</f>
        <v>CoAlWX+</v>
      </c>
      <c r="D392" s="7" t="s">
        <v>3680</v>
      </c>
      <c r="E392" t="s">
        <v>6752</v>
      </c>
      <c r="F392">
        <v>1005</v>
      </c>
      <c r="G392">
        <v>1447</v>
      </c>
      <c r="J392" s="14">
        <f>VLOOKUP(Table5[[#This Row],[Shortname]], Comp[], 7, FALSE)</f>
        <v>81.7</v>
      </c>
      <c r="K392">
        <f>VLOOKUP(Table5[[#This Row],[Shortname]], Comp[], 8, FALSE)</f>
        <v>0</v>
      </c>
      <c r="L392">
        <f>VLOOKUP(Table5[[#This Row],[Shortname]], Comp[], 9, FALSE)</f>
        <v>9.1</v>
      </c>
      <c r="M392">
        <f>VLOOKUP(Table5[[#This Row],[Shortname]], Comp[], 10, FALSE)</f>
        <v>0</v>
      </c>
      <c r="N392">
        <f>VLOOKUP(Table5[[#This Row],[Shortname]], Comp[], 11, FALSE)</f>
        <v>9.1999999999999993</v>
      </c>
      <c r="O392">
        <f>VLOOKUP(Table5[[#This Row],[Shortname]], Comp[],12, FALSE)</f>
        <v>0</v>
      </c>
      <c r="P392">
        <f>VLOOKUP(Table5[[#This Row],[Shortname]], Comp[], 13, FALSE)</f>
        <v>0</v>
      </c>
      <c r="Q392">
        <f>VLOOKUP(Table5[[#This Row],[Shortname]], Comp[], 14, FALSE)</f>
        <v>0</v>
      </c>
      <c r="R392">
        <f>VLOOKUP(Table5[[#This Row],[Shortname]], Comp[], 15, FALSE)</f>
        <v>0</v>
      </c>
      <c r="S392">
        <f>VLOOKUP(Table5[[#This Row],[Shortname]], Comp[], 16, FALSE)</f>
        <v>0</v>
      </c>
      <c r="T392">
        <f>VLOOKUP(Table5[[#This Row],[Shortname]], Comp[], 17, FALSE)</f>
        <v>0</v>
      </c>
      <c r="U392">
        <f>VLOOKUP(Table5[[#This Row],[Shortname]], Comp[], 18, FALSE)</f>
        <v>0</v>
      </c>
      <c r="V392">
        <f>VLOOKUP(Table5[[#This Row],[Shortname]], Comp[], 19, FALSE)</f>
        <v>0</v>
      </c>
      <c r="W392">
        <f>VLOOKUP(Table5[[#This Row],[Shortname]], Comp[], 20, FALSE)</f>
        <v>0</v>
      </c>
      <c r="X392">
        <f>VLOOKUP(Table5[[#This Row],[Shortname]], Comp[], 21, FALSE)</f>
        <v>0</v>
      </c>
      <c r="Y392">
        <f>VLOOKUP(Table5[[#This Row],[Shortname]], Comp[], 22, FALSE)</f>
        <v>0</v>
      </c>
      <c r="Z392">
        <f>VLOOKUP(Table5[[#This Row],[Shortname]], Comp[], 23, FALSE)</f>
        <v>0</v>
      </c>
      <c r="AA392">
        <f>VLOOKUP(Table5[[#This Row],[Shortname]], Comp[], 24, FALSE)</f>
        <v>0</v>
      </c>
      <c r="AB392">
        <f>VLOOKUP(Table5[[#This Row],[Shortname]], Comp[], 25, FALSE)</f>
        <v>0</v>
      </c>
      <c r="AC392">
        <f>VLOOKUP(Table5[[#This Row],[Shortname]], Comp[], 26, FALSE)</f>
        <v>0</v>
      </c>
      <c r="AD392">
        <f>VLOOKUP(Table5[[#This Row],[Shortname]], Comp[], 27, FALSE)</f>
        <v>0</v>
      </c>
      <c r="AE392">
        <f>VLOOKUP(Table5[[#This Row],[Shortname]], Comp[], 28, FALSE)</f>
        <v>0</v>
      </c>
      <c r="AF392">
        <f>VLOOKUP(Table5[[#This Row],[Shortname]], Comp[], 29, FALSE)</f>
        <v>0</v>
      </c>
      <c r="AG392">
        <f>VLOOKUP(Table5[[#This Row],[Shortname]], Comp[], 30, FALSE)</f>
        <v>0</v>
      </c>
      <c r="AH392">
        <f>VLOOKUP(Table5[[#This Row],[Shortname]], Comp[], 31, FALSE)</f>
        <v>0</v>
      </c>
    </row>
    <row r="393" spans="1:34" x14ac:dyDescent="0.3">
      <c r="A393" s="7" t="s">
        <v>3750</v>
      </c>
      <c r="B393">
        <v>408</v>
      </c>
      <c r="C393" s="7" t="str">
        <f>VLOOKUP(Table5[[#This Row],[Shortname]], [1]!comp[#Data], 2, FALSE)</f>
        <v>Co3Ti</v>
      </c>
      <c r="D393" s="7" t="s">
        <v>3752</v>
      </c>
      <c r="E393" s="6" t="s">
        <v>3746</v>
      </c>
      <c r="F393" s="6">
        <v>1174</v>
      </c>
      <c r="G393">
        <v>1319</v>
      </c>
      <c r="H393">
        <v>1400</v>
      </c>
      <c r="J393" s="14">
        <f>VLOOKUP(Table5[[#This Row],[Shortname]], Comp[], 7, FALSE)</f>
        <v>44.5</v>
      </c>
      <c r="K393">
        <f>VLOOKUP(Table5[[#This Row],[Shortname]], Comp[], 8, FALSE)</f>
        <v>32</v>
      </c>
      <c r="L393">
        <f>VLOOKUP(Table5[[#This Row],[Shortname]], Comp[], 9, FALSE)</f>
        <v>8</v>
      </c>
      <c r="M393">
        <f>VLOOKUP(Table5[[#This Row],[Shortname]], Comp[], 10, FALSE)</f>
        <v>6</v>
      </c>
      <c r="N393">
        <f>VLOOKUP(Table5[[#This Row],[Shortname]], Comp[], 11, FALSE)</f>
        <v>5</v>
      </c>
      <c r="O393">
        <f>VLOOKUP(Table5[[#This Row],[Shortname]], Comp[],12, FALSE)</f>
        <v>2.5</v>
      </c>
      <c r="P393">
        <f>VLOOKUP(Table5[[#This Row],[Shortname]], Comp[], 13, FALSE)</f>
        <v>1.5</v>
      </c>
      <c r="Q393">
        <f>VLOOKUP(Table5[[#This Row],[Shortname]], Comp[], 14, FALSE)</f>
        <v>0</v>
      </c>
      <c r="R393">
        <f>VLOOKUP(Table5[[#This Row],[Shortname]], Comp[], 15, FALSE)</f>
        <v>0</v>
      </c>
      <c r="S393">
        <f>VLOOKUP(Table5[[#This Row],[Shortname]], Comp[], 16, FALSE)</f>
        <v>0</v>
      </c>
      <c r="T393">
        <f>VLOOKUP(Table5[[#This Row],[Shortname]], Comp[], 17, FALSE)</f>
        <v>0</v>
      </c>
      <c r="U393">
        <f>VLOOKUP(Table5[[#This Row],[Shortname]], Comp[], 18, FALSE)</f>
        <v>0</v>
      </c>
      <c r="V393">
        <f>VLOOKUP(Table5[[#This Row],[Shortname]], Comp[], 19, FALSE)</f>
        <v>0</v>
      </c>
      <c r="W393">
        <f>VLOOKUP(Table5[[#This Row],[Shortname]], Comp[], 20, FALSE)</f>
        <v>0</v>
      </c>
      <c r="X393">
        <f>VLOOKUP(Table5[[#This Row],[Shortname]], Comp[], 21, FALSE)</f>
        <v>0</v>
      </c>
      <c r="Y393">
        <f>VLOOKUP(Table5[[#This Row],[Shortname]], Comp[], 22, FALSE)</f>
        <v>0.4</v>
      </c>
      <c r="Z393">
        <f>VLOOKUP(Table5[[#This Row],[Shortname]], Comp[], 23, FALSE)</f>
        <v>0</v>
      </c>
      <c r="AA393">
        <f>VLOOKUP(Table5[[#This Row],[Shortname]], Comp[], 24, FALSE)</f>
        <v>0</v>
      </c>
      <c r="AB393">
        <f>VLOOKUP(Table5[[#This Row],[Shortname]], Comp[], 25, FALSE)</f>
        <v>0.1</v>
      </c>
      <c r="AC393">
        <f>VLOOKUP(Table5[[#This Row],[Shortname]], Comp[], 26, FALSE)</f>
        <v>0</v>
      </c>
      <c r="AD393">
        <f>VLOOKUP(Table5[[#This Row],[Shortname]], Comp[], 27, FALSE)</f>
        <v>0</v>
      </c>
      <c r="AE393">
        <f>VLOOKUP(Table5[[#This Row],[Shortname]], Comp[], 28, FALSE)</f>
        <v>0</v>
      </c>
      <c r="AF393">
        <f>VLOOKUP(Table5[[#This Row],[Shortname]], Comp[], 29, FALSE)</f>
        <v>0</v>
      </c>
      <c r="AG393">
        <f>VLOOKUP(Table5[[#This Row],[Shortname]], Comp[], 30, FALSE)</f>
        <v>0</v>
      </c>
      <c r="AH393">
        <f>VLOOKUP(Table5[[#This Row],[Shortname]], Comp[], 31, FALSE)</f>
        <v>0</v>
      </c>
    </row>
    <row r="394" spans="1:34" x14ac:dyDescent="0.3">
      <c r="A394" s="7" t="s">
        <v>3762</v>
      </c>
      <c r="B394">
        <v>409</v>
      </c>
      <c r="C394" s="7" t="str">
        <f>VLOOKUP(Table5[[#This Row],[Shortname]], [1]!comp[#Data], 2, FALSE)</f>
        <v>CoAlWX+</v>
      </c>
      <c r="D394" s="7" t="s">
        <v>3764</v>
      </c>
      <c r="E394" s="6" t="s">
        <v>3746</v>
      </c>
      <c r="F394" s="6">
        <v>1169</v>
      </c>
      <c r="G394">
        <v>1343</v>
      </c>
      <c r="H394">
        <v>1384</v>
      </c>
      <c r="J394" s="14">
        <f>VLOOKUP(Table5[[#This Row],[Shortname]], Comp[], 7, FALSE)</f>
        <v>43.5</v>
      </c>
      <c r="K394">
        <f>VLOOKUP(Table5[[#This Row],[Shortname]], Comp[], 8, FALSE)</f>
        <v>32</v>
      </c>
      <c r="L394">
        <f>VLOOKUP(Table5[[#This Row],[Shortname]], Comp[], 9, FALSE)</f>
        <v>8</v>
      </c>
      <c r="M394">
        <f>VLOOKUP(Table5[[#This Row],[Shortname]], Comp[], 10, FALSE)</f>
        <v>6</v>
      </c>
      <c r="N394">
        <f>VLOOKUP(Table5[[#This Row],[Shortname]], Comp[], 11, FALSE)</f>
        <v>5.7</v>
      </c>
      <c r="O394">
        <f>VLOOKUP(Table5[[#This Row],[Shortname]], Comp[],12, FALSE)</f>
        <v>2.5</v>
      </c>
      <c r="P394">
        <f>VLOOKUP(Table5[[#This Row],[Shortname]], Comp[], 13, FALSE)</f>
        <v>1.8</v>
      </c>
      <c r="Q394">
        <f>VLOOKUP(Table5[[#This Row],[Shortname]], Comp[], 14, FALSE)</f>
        <v>0</v>
      </c>
      <c r="R394">
        <f>VLOOKUP(Table5[[#This Row],[Shortname]], Comp[], 15, FALSE)</f>
        <v>0</v>
      </c>
      <c r="S394">
        <f>VLOOKUP(Table5[[#This Row],[Shortname]], Comp[], 16, FALSE)</f>
        <v>0</v>
      </c>
      <c r="T394">
        <f>VLOOKUP(Table5[[#This Row],[Shortname]], Comp[], 17, FALSE)</f>
        <v>0</v>
      </c>
      <c r="U394">
        <f>VLOOKUP(Table5[[#This Row],[Shortname]], Comp[], 18, FALSE)</f>
        <v>0</v>
      </c>
      <c r="V394">
        <f>VLOOKUP(Table5[[#This Row],[Shortname]], Comp[], 19, FALSE)</f>
        <v>0</v>
      </c>
      <c r="W394">
        <f>VLOOKUP(Table5[[#This Row],[Shortname]], Comp[], 20, FALSE)</f>
        <v>0</v>
      </c>
      <c r="X394">
        <f>VLOOKUP(Table5[[#This Row],[Shortname]], Comp[], 21, FALSE)</f>
        <v>0</v>
      </c>
      <c r="Y394">
        <f>VLOOKUP(Table5[[#This Row],[Shortname]], Comp[], 22, FALSE)</f>
        <v>0.4</v>
      </c>
      <c r="Z394">
        <f>VLOOKUP(Table5[[#This Row],[Shortname]], Comp[], 23, FALSE)</f>
        <v>0</v>
      </c>
      <c r="AA394">
        <f>VLOOKUP(Table5[[#This Row],[Shortname]], Comp[], 24, FALSE)</f>
        <v>0</v>
      </c>
      <c r="AB394">
        <f>VLOOKUP(Table5[[#This Row],[Shortname]], Comp[], 25, FALSE)</f>
        <v>0.1</v>
      </c>
      <c r="AC394">
        <f>VLOOKUP(Table5[[#This Row],[Shortname]], Comp[], 26, FALSE)</f>
        <v>0</v>
      </c>
      <c r="AD394">
        <f>VLOOKUP(Table5[[#This Row],[Shortname]], Comp[], 27, FALSE)</f>
        <v>0</v>
      </c>
      <c r="AE394">
        <f>VLOOKUP(Table5[[#This Row],[Shortname]], Comp[], 28, FALSE)</f>
        <v>0</v>
      </c>
      <c r="AF394">
        <f>VLOOKUP(Table5[[#This Row],[Shortname]], Comp[], 29, FALSE)</f>
        <v>0</v>
      </c>
      <c r="AG394">
        <f>VLOOKUP(Table5[[#This Row],[Shortname]], Comp[], 30, FALSE)</f>
        <v>0</v>
      </c>
      <c r="AH394">
        <f>VLOOKUP(Table5[[#This Row],[Shortname]], Comp[], 31, FALSE)</f>
        <v>0</v>
      </c>
    </row>
    <row r="395" spans="1:34" x14ac:dyDescent="0.3">
      <c r="A395" s="7" t="s">
        <v>3756</v>
      </c>
      <c r="B395">
        <v>410</v>
      </c>
      <c r="C395" s="7" t="str">
        <f>VLOOKUP(Table5[[#This Row],[Shortname]], [1]!comp[#Data], 2, FALSE)</f>
        <v>Co3Ti</v>
      </c>
      <c r="D395" s="7" t="s">
        <v>3758</v>
      </c>
      <c r="E395" s="6" t="s">
        <v>3746</v>
      </c>
      <c r="F395" s="6">
        <v>1160</v>
      </c>
      <c r="G395">
        <v>1323</v>
      </c>
      <c r="H395">
        <v>1412</v>
      </c>
      <c r="J395" s="14">
        <f>VLOOKUP(Table5[[#This Row],[Shortname]], Comp[], 7, FALSE)</f>
        <v>43.5</v>
      </c>
      <c r="K395">
        <f>VLOOKUP(Table5[[#This Row],[Shortname]], Comp[], 8, FALSE)</f>
        <v>32</v>
      </c>
      <c r="L395">
        <f>VLOOKUP(Table5[[#This Row],[Shortname]], Comp[], 9, FALSE)</f>
        <v>8</v>
      </c>
      <c r="M395">
        <f>VLOOKUP(Table5[[#This Row],[Shortname]], Comp[], 10, FALSE)</f>
        <v>6</v>
      </c>
      <c r="N395">
        <f>VLOOKUP(Table5[[#This Row],[Shortname]], Comp[], 11, FALSE)</f>
        <v>5</v>
      </c>
      <c r="O395">
        <f>VLOOKUP(Table5[[#This Row],[Shortname]], Comp[],12, FALSE)</f>
        <v>2.5</v>
      </c>
      <c r="P395">
        <f>VLOOKUP(Table5[[#This Row],[Shortname]], Comp[], 13, FALSE)</f>
        <v>1.5</v>
      </c>
      <c r="Q395">
        <f>VLOOKUP(Table5[[#This Row],[Shortname]], Comp[], 14, FALSE)</f>
        <v>0</v>
      </c>
      <c r="R395">
        <f>VLOOKUP(Table5[[#This Row],[Shortname]], Comp[], 15, FALSE)</f>
        <v>0</v>
      </c>
      <c r="S395">
        <f>VLOOKUP(Table5[[#This Row],[Shortname]], Comp[], 16, FALSE)</f>
        <v>0</v>
      </c>
      <c r="T395">
        <f>VLOOKUP(Table5[[#This Row],[Shortname]], Comp[], 17, FALSE)</f>
        <v>0</v>
      </c>
      <c r="U395">
        <f>VLOOKUP(Table5[[#This Row],[Shortname]], Comp[], 18, FALSE)</f>
        <v>0</v>
      </c>
      <c r="V395">
        <f>VLOOKUP(Table5[[#This Row],[Shortname]], Comp[], 19, FALSE)</f>
        <v>0</v>
      </c>
      <c r="W395">
        <f>VLOOKUP(Table5[[#This Row],[Shortname]], Comp[], 20, FALSE)</f>
        <v>0</v>
      </c>
      <c r="X395">
        <f>VLOOKUP(Table5[[#This Row],[Shortname]], Comp[], 21, FALSE)</f>
        <v>1</v>
      </c>
      <c r="Y395">
        <f>VLOOKUP(Table5[[#This Row],[Shortname]], Comp[], 22, FALSE)</f>
        <v>0.4</v>
      </c>
      <c r="Z395">
        <f>VLOOKUP(Table5[[#This Row],[Shortname]], Comp[], 23, FALSE)</f>
        <v>0</v>
      </c>
      <c r="AA395">
        <f>VLOOKUP(Table5[[#This Row],[Shortname]], Comp[], 24, FALSE)</f>
        <v>0</v>
      </c>
      <c r="AB395">
        <f>VLOOKUP(Table5[[#This Row],[Shortname]], Comp[], 25, FALSE)</f>
        <v>0.1</v>
      </c>
      <c r="AC395">
        <f>VLOOKUP(Table5[[#This Row],[Shortname]], Comp[], 26, FALSE)</f>
        <v>0</v>
      </c>
      <c r="AD395">
        <f>VLOOKUP(Table5[[#This Row],[Shortname]], Comp[], 27, FALSE)</f>
        <v>0</v>
      </c>
      <c r="AE395">
        <f>VLOOKUP(Table5[[#This Row],[Shortname]], Comp[], 28, FALSE)</f>
        <v>0</v>
      </c>
      <c r="AF395">
        <f>VLOOKUP(Table5[[#This Row],[Shortname]], Comp[], 29, FALSE)</f>
        <v>0</v>
      </c>
      <c r="AG395">
        <f>VLOOKUP(Table5[[#This Row],[Shortname]], Comp[], 30, FALSE)</f>
        <v>0</v>
      </c>
      <c r="AH395">
        <f>VLOOKUP(Table5[[#This Row],[Shortname]], Comp[], 31, FALSE)</f>
        <v>0</v>
      </c>
    </row>
    <row r="396" spans="1:34" x14ac:dyDescent="0.3">
      <c r="A396" s="7" t="s">
        <v>3768</v>
      </c>
      <c r="B396">
        <v>411</v>
      </c>
      <c r="C396" s="7" t="str">
        <f>VLOOKUP(Table5[[#This Row],[Shortname]], [1]!comp[#Data], 2, FALSE)</f>
        <v>CoAlW-X</v>
      </c>
      <c r="D396" s="7" t="s">
        <v>3770</v>
      </c>
      <c r="E396" t="s">
        <v>6628</v>
      </c>
      <c r="F396">
        <v>992</v>
      </c>
      <c r="J396" s="14">
        <f>VLOOKUP(Table5[[#This Row],[Shortname]], Comp[], 7, FALSE)</f>
        <v>85.3</v>
      </c>
      <c r="K396">
        <f>VLOOKUP(Table5[[#This Row],[Shortname]], Comp[], 8, FALSE)</f>
        <v>0</v>
      </c>
      <c r="L396">
        <f>VLOOKUP(Table5[[#This Row],[Shortname]], Comp[], 9, FALSE)</f>
        <v>9.9</v>
      </c>
      <c r="M396">
        <f>VLOOKUP(Table5[[#This Row],[Shortname]], Comp[], 10, FALSE)</f>
        <v>0</v>
      </c>
      <c r="N396">
        <f>VLOOKUP(Table5[[#This Row],[Shortname]], Comp[], 11, FALSE)</f>
        <v>4.8</v>
      </c>
      <c r="O396">
        <f>VLOOKUP(Table5[[#This Row],[Shortname]], Comp[],12, FALSE)</f>
        <v>0</v>
      </c>
      <c r="P396">
        <f>VLOOKUP(Table5[[#This Row],[Shortname]], Comp[], 13, FALSE)</f>
        <v>0</v>
      </c>
      <c r="Q396">
        <f>VLOOKUP(Table5[[#This Row],[Shortname]], Comp[], 14, FALSE)</f>
        <v>0</v>
      </c>
      <c r="R396">
        <f>VLOOKUP(Table5[[#This Row],[Shortname]], Comp[], 15, FALSE)</f>
        <v>0</v>
      </c>
      <c r="S396">
        <f>VLOOKUP(Table5[[#This Row],[Shortname]], Comp[], 16, FALSE)</f>
        <v>0</v>
      </c>
      <c r="T396">
        <f>VLOOKUP(Table5[[#This Row],[Shortname]], Comp[], 17, FALSE)</f>
        <v>0</v>
      </c>
      <c r="U396">
        <f>VLOOKUP(Table5[[#This Row],[Shortname]], Comp[], 18, FALSE)</f>
        <v>0</v>
      </c>
      <c r="V396">
        <f>VLOOKUP(Table5[[#This Row],[Shortname]], Comp[], 19, FALSE)</f>
        <v>0</v>
      </c>
      <c r="W396">
        <f>VLOOKUP(Table5[[#This Row],[Shortname]], Comp[], 20, FALSE)</f>
        <v>0</v>
      </c>
      <c r="X396">
        <f>VLOOKUP(Table5[[#This Row],[Shortname]], Comp[], 21, FALSE)</f>
        <v>0</v>
      </c>
      <c r="Y396">
        <f>VLOOKUP(Table5[[#This Row],[Shortname]], Comp[], 22, FALSE)</f>
        <v>0</v>
      </c>
      <c r="Z396">
        <f>VLOOKUP(Table5[[#This Row],[Shortname]], Comp[], 23, FALSE)</f>
        <v>0</v>
      </c>
      <c r="AA396">
        <f>VLOOKUP(Table5[[#This Row],[Shortname]], Comp[], 24, FALSE)</f>
        <v>0</v>
      </c>
      <c r="AB396">
        <f>VLOOKUP(Table5[[#This Row],[Shortname]], Comp[], 25, FALSE)</f>
        <v>0</v>
      </c>
      <c r="AC396">
        <f>VLOOKUP(Table5[[#This Row],[Shortname]], Comp[], 26, FALSE)</f>
        <v>0</v>
      </c>
      <c r="AD396">
        <f>VLOOKUP(Table5[[#This Row],[Shortname]], Comp[], 27, FALSE)</f>
        <v>0</v>
      </c>
      <c r="AE396">
        <f>VLOOKUP(Table5[[#This Row],[Shortname]], Comp[], 28, FALSE)</f>
        <v>0</v>
      </c>
      <c r="AF396">
        <f>VLOOKUP(Table5[[#This Row],[Shortname]], Comp[], 29, FALSE)</f>
        <v>0</v>
      </c>
      <c r="AG396">
        <f>VLOOKUP(Table5[[#This Row],[Shortname]], Comp[], 30, FALSE)</f>
        <v>0</v>
      </c>
      <c r="AH396">
        <f>VLOOKUP(Table5[[#This Row],[Shortname]], Comp[], 31, FALSE)</f>
        <v>0</v>
      </c>
    </row>
    <row r="397" spans="1:34" x14ac:dyDescent="0.3">
      <c r="A397" s="7" t="s">
        <v>3775</v>
      </c>
      <c r="B397">
        <v>412</v>
      </c>
      <c r="C397" s="7" t="str">
        <f>VLOOKUP(Table5[[#This Row],[Shortname]], [1]!comp[#Data], 2, FALSE)</f>
        <v>CoAlW-X</v>
      </c>
      <c r="D397" s="7" t="s">
        <v>3777</v>
      </c>
      <c r="E397" t="s">
        <v>6628</v>
      </c>
      <c r="F397">
        <v>881</v>
      </c>
      <c r="J397" s="14">
        <f>VLOOKUP(Table5[[#This Row],[Shortname]], Comp[], 7, FALSE)</f>
        <v>65.5</v>
      </c>
      <c r="K397">
        <f>VLOOKUP(Table5[[#This Row],[Shortname]], Comp[], 8, FALSE)</f>
        <v>20.2</v>
      </c>
      <c r="L397">
        <f>VLOOKUP(Table5[[#This Row],[Shortname]], Comp[], 9, FALSE)</f>
        <v>7.3</v>
      </c>
      <c r="M397">
        <f>VLOOKUP(Table5[[#This Row],[Shortname]], Comp[], 10, FALSE)</f>
        <v>0</v>
      </c>
      <c r="N397">
        <f>VLOOKUP(Table5[[#This Row],[Shortname]], Comp[], 11, FALSE)</f>
        <v>7</v>
      </c>
      <c r="O397">
        <f>VLOOKUP(Table5[[#This Row],[Shortname]], Comp[],12, FALSE)</f>
        <v>0</v>
      </c>
      <c r="P397">
        <f>VLOOKUP(Table5[[#This Row],[Shortname]], Comp[], 13, FALSE)</f>
        <v>0</v>
      </c>
      <c r="Q397">
        <f>VLOOKUP(Table5[[#This Row],[Shortname]], Comp[], 14, FALSE)</f>
        <v>0</v>
      </c>
      <c r="R397">
        <f>VLOOKUP(Table5[[#This Row],[Shortname]], Comp[], 15, FALSE)</f>
        <v>0</v>
      </c>
      <c r="S397">
        <f>VLOOKUP(Table5[[#This Row],[Shortname]], Comp[], 16, FALSE)</f>
        <v>0</v>
      </c>
      <c r="T397">
        <f>VLOOKUP(Table5[[#This Row],[Shortname]], Comp[], 17, FALSE)</f>
        <v>0</v>
      </c>
      <c r="U397">
        <f>VLOOKUP(Table5[[#This Row],[Shortname]], Comp[], 18, FALSE)</f>
        <v>0</v>
      </c>
      <c r="V397">
        <f>VLOOKUP(Table5[[#This Row],[Shortname]], Comp[], 19, FALSE)</f>
        <v>0</v>
      </c>
      <c r="W397">
        <f>VLOOKUP(Table5[[#This Row],[Shortname]], Comp[], 20, FALSE)</f>
        <v>0</v>
      </c>
      <c r="X397">
        <f>VLOOKUP(Table5[[#This Row],[Shortname]], Comp[], 21, FALSE)</f>
        <v>0</v>
      </c>
      <c r="Y397">
        <f>VLOOKUP(Table5[[#This Row],[Shortname]], Comp[], 22, FALSE)</f>
        <v>0</v>
      </c>
      <c r="Z397">
        <f>VLOOKUP(Table5[[#This Row],[Shortname]], Comp[], 23, FALSE)</f>
        <v>0</v>
      </c>
      <c r="AA397">
        <f>VLOOKUP(Table5[[#This Row],[Shortname]], Comp[], 24, FALSE)</f>
        <v>0</v>
      </c>
      <c r="AB397">
        <f>VLOOKUP(Table5[[#This Row],[Shortname]], Comp[], 25, FALSE)</f>
        <v>0</v>
      </c>
      <c r="AC397">
        <f>VLOOKUP(Table5[[#This Row],[Shortname]], Comp[], 26, FALSE)</f>
        <v>0</v>
      </c>
      <c r="AD397">
        <f>VLOOKUP(Table5[[#This Row],[Shortname]], Comp[], 27, FALSE)</f>
        <v>0</v>
      </c>
      <c r="AE397">
        <f>VLOOKUP(Table5[[#This Row],[Shortname]], Comp[], 28, FALSE)</f>
        <v>0</v>
      </c>
      <c r="AF397">
        <f>VLOOKUP(Table5[[#This Row],[Shortname]], Comp[], 29, FALSE)</f>
        <v>0</v>
      </c>
      <c r="AG397">
        <f>VLOOKUP(Table5[[#This Row],[Shortname]], Comp[], 30, FALSE)</f>
        <v>0</v>
      </c>
      <c r="AH397">
        <f>VLOOKUP(Table5[[#This Row],[Shortname]], Comp[], 31, FALSE)</f>
        <v>0</v>
      </c>
    </row>
    <row r="398" spans="1:34" x14ac:dyDescent="0.3">
      <c r="A398" s="7" t="s">
        <v>2430</v>
      </c>
      <c r="B398">
        <v>413</v>
      </c>
      <c r="C398" s="7" t="str">
        <f>VLOOKUP(Table5[[#This Row],[Shortname]], [1]!comp[#Data], 2, FALSE)</f>
        <v>CoAlW-X</v>
      </c>
      <c r="D398" s="7" t="s">
        <v>5277</v>
      </c>
      <c r="E398" t="s">
        <v>6628</v>
      </c>
      <c r="F398">
        <v>854</v>
      </c>
      <c r="J398" s="14">
        <f>VLOOKUP(Table5[[#This Row],[Shortname]], Comp[], 7, FALSE)</f>
        <v>85.9</v>
      </c>
      <c r="K398">
        <f>VLOOKUP(Table5[[#This Row],[Shortname]], Comp[], 8, FALSE)</f>
        <v>0</v>
      </c>
      <c r="L398">
        <f>VLOOKUP(Table5[[#This Row],[Shortname]], Comp[], 9, FALSE)</f>
        <v>7.3</v>
      </c>
      <c r="M398">
        <f>VLOOKUP(Table5[[#This Row],[Shortname]], Comp[], 10, FALSE)</f>
        <v>0</v>
      </c>
      <c r="N398">
        <f>VLOOKUP(Table5[[#This Row],[Shortname]], Comp[], 11, FALSE)</f>
        <v>6.8</v>
      </c>
      <c r="O398">
        <f>VLOOKUP(Table5[[#This Row],[Shortname]], Comp[],12, FALSE)</f>
        <v>0</v>
      </c>
      <c r="P398">
        <f>VLOOKUP(Table5[[#This Row],[Shortname]], Comp[], 13, FALSE)</f>
        <v>0</v>
      </c>
      <c r="Q398">
        <f>VLOOKUP(Table5[[#This Row],[Shortname]], Comp[], 14, FALSE)</f>
        <v>0</v>
      </c>
      <c r="R398">
        <f>VLOOKUP(Table5[[#This Row],[Shortname]], Comp[], 15, FALSE)</f>
        <v>0</v>
      </c>
      <c r="S398">
        <f>VLOOKUP(Table5[[#This Row],[Shortname]], Comp[], 16, FALSE)</f>
        <v>0</v>
      </c>
      <c r="T398">
        <f>VLOOKUP(Table5[[#This Row],[Shortname]], Comp[], 17, FALSE)</f>
        <v>0</v>
      </c>
      <c r="U398">
        <f>VLOOKUP(Table5[[#This Row],[Shortname]], Comp[], 18, FALSE)</f>
        <v>0</v>
      </c>
      <c r="V398">
        <f>VLOOKUP(Table5[[#This Row],[Shortname]], Comp[], 19, FALSE)</f>
        <v>0</v>
      </c>
      <c r="W398">
        <f>VLOOKUP(Table5[[#This Row],[Shortname]], Comp[], 20, FALSE)</f>
        <v>0</v>
      </c>
      <c r="X398">
        <f>VLOOKUP(Table5[[#This Row],[Shortname]], Comp[], 21, FALSE)</f>
        <v>0</v>
      </c>
      <c r="Y398">
        <f>VLOOKUP(Table5[[#This Row],[Shortname]], Comp[], 22, FALSE)</f>
        <v>0</v>
      </c>
      <c r="Z398">
        <f>VLOOKUP(Table5[[#This Row],[Shortname]], Comp[], 23, FALSE)</f>
        <v>0</v>
      </c>
      <c r="AA398">
        <f>VLOOKUP(Table5[[#This Row],[Shortname]], Comp[], 24, FALSE)</f>
        <v>0</v>
      </c>
      <c r="AB398">
        <f>VLOOKUP(Table5[[#This Row],[Shortname]], Comp[], 25, FALSE)</f>
        <v>0</v>
      </c>
      <c r="AC398">
        <f>VLOOKUP(Table5[[#This Row],[Shortname]], Comp[], 26, FALSE)</f>
        <v>0</v>
      </c>
      <c r="AD398">
        <f>VLOOKUP(Table5[[#This Row],[Shortname]], Comp[], 27, FALSE)</f>
        <v>0</v>
      </c>
      <c r="AE398">
        <f>VLOOKUP(Table5[[#This Row],[Shortname]], Comp[], 28, FALSE)</f>
        <v>0</v>
      </c>
      <c r="AF398">
        <f>VLOOKUP(Table5[[#This Row],[Shortname]], Comp[], 29, FALSE)</f>
        <v>0</v>
      </c>
      <c r="AG398">
        <f>VLOOKUP(Table5[[#This Row],[Shortname]], Comp[], 30, FALSE)</f>
        <v>0</v>
      </c>
      <c r="AH398">
        <f>VLOOKUP(Table5[[#This Row],[Shortname]], Comp[], 31, FALSE)</f>
        <v>0</v>
      </c>
    </row>
    <row r="399" spans="1:34" x14ac:dyDescent="0.3">
      <c r="A399" s="7" t="s">
        <v>3497</v>
      </c>
      <c r="B399">
        <v>414</v>
      </c>
      <c r="C399" s="7" t="str">
        <f>VLOOKUP(Table5[[#This Row],[Shortname]], [1]!comp[#Data], 2, FALSE)</f>
        <v>CoAlW-X</v>
      </c>
      <c r="D399" s="7" t="s">
        <v>3825</v>
      </c>
      <c r="E399" s="3" t="s">
        <v>3784</v>
      </c>
      <c r="F399">
        <v>1065</v>
      </c>
      <c r="J399" s="14">
        <f>VLOOKUP(Table5[[#This Row],[Shortname]], Comp[], 7, FALSE)</f>
        <v>80</v>
      </c>
      <c r="K399">
        <f>VLOOKUP(Table5[[#This Row],[Shortname]], Comp[], 8, FALSE)</f>
        <v>0</v>
      </c>
      <c r="L399">
        <f>VLOOKUP(Table5[[#This Row],[Shortname]], Comp[], 9, FALSE)</f>
        <v>9</v>
      </c>
      <c r="M399">
        <f>VLOOKUP(Table5[[#This Row],[Shortname]], Comp[], 10, FALSE)</f>
        <v>0</v>
      </c>
      <c r="N399">
        <f>VLOOKUP(Table5[[#This Row],[Shortname]], Comp[], 11, FALSE)</f>
        <v>9</v>
      </c>
      <c r="O399">
        <f>VLOOKUP(Table5[[#This Row],[Shortname]], Comp[],12, FALSE)</f>
        <v>0</v>
      </c>
      <c r="P399">
        <f>VLOOKUP(Table5[[#This Row],[Shortname]], Comp[], 13, FALSE)</f>
        <v>2</v>
      </c>
      <c r="Q399">
        <f>VLOOKUP(Table5[[#This Row],[Shortname]], Comp[], 14, FALSE)</f>
        <v>0</v>
      </c>
      <c r="R399">
        <f>VLOOKUP(Table5[[#This Row],[Shortname]], Comp[], 15, FALSE)</f>
        <v>0</v>
      </c>
      <c r="S399">
        <f>VLOOKUP(Table5[[#This Row],[Shortname]], Comp[], 16, FALSE)</f>
        <v>0</v>
      </c>
      <c r="T399">
        <f>VLOOKUP(Table5[[#This Row],[Shortname]], Comp[], 17, FALSE)</f>
        <v>0</v>
      </c>
      <c r="U399">
        <f>VLOOKUP(Table5[[#This Row],[Shortname]], Comp[], 18, FALSE)</f>
        <v>0</v>
      </c>
      <c r="V399">
        <f>VLOOKUP(Table5[[#This Row],[Shortname]], Comp[], 19, FALSE)</f>
        <v>0</v>
      </c>
      <c r="W399">
        <f>VLOOKUP(Table5[[#This Row],[Shortname]], Comp[], 20, FALSE)</f>
        <v>0</v>
      </c>
      <c r="X399">
        <f>VLOOKUP(Table5[[#This Row],[Shortname]], Comp[], 21, FALSE)</f>
        <v>0</v>
      </c>
      <c r="Y399">
        <f>VLOOKUP(Table5[[#This Row],[Shortname]], Comp[], 22, FALSE)</f>
        <v>0</v>
      </c>
      <c r="Z399">
        <f>VLOOKUP(Table5[[#This Row],[Shortname]], Comp[], 23, FALSE)</f>
        <v>0</v>
      </c>
      <c r="AA399">
        <f>VLOOKUP(Table5[[#This Row],[Shortname]], Comp[], 24, FALSE)</f>
        <v>0</v>
      </c>
      <c r="AB399">
        <f>VLOOKUP(Table5[[#This Row],[Shortname]], Comp[], 25, FALSE)</f>
        <v>0</v>
      </c>
      <c r="AC399">
        <f>VLOOKUP(Table5[[#This Row],[Shortname]], Comp[], 26, FALSE)</f>
        <v>0</v>
      </c>
      <c r="AD399">
        <f>VLOOKUP(Table5[[#This Row],[Shortname]], Comp[], 27, FALSE)</f>
        <v>0</v>
      </c>
      <c r="AE399">
        <f>VLOOKUP(Table5[[#This Row],[Shortname]], Comp[], 28, FALSE)</f>
        <v>0</v>
      </c>
      <c r="AF399">
        <f>VLOOKUP(Table5[[#This Row],[Shortname]], Comp[], 29, FALSE)</f>
        <v>0</v>
      </c>
      <c r="AG399">
        <f>VLOOKUP(Table5[[#This Row],[Shortname]], Comp[], 30, FALSE)</f>
        <v>0</v>
      </c>
      <c r="AH399">
        <f>VLOOKUP(Table5[[#This Row],[Shortname]], Comp[], 31, FALSE)</f>
        <v>0</v>
      </c>
    </row>
    <row r="400" spans="1:34" x14ac:dyDescent="0.3">
      <c r="A400" s="7" t="s">
        <v>3819</v>
      </c>
      <c r="B400">
        <v>415</v>
      </c>
      <c r="C400" s="7" t="str">
        <f>VLOOKUP(Table5[[#This Row],[Shortname]], [1]!comp[#Data], 2, FALSE)</f>
        <v>CoAlW-X</v>
      </c>
      <c r="D400" s="7" t="s">
        <v>3821</v>
      </c>
      <c r="E400" s="3" t="s">
        <v>3784</v>
      </c>
      <c r="F400">
        <v>1038</v>
      </c>
      <c r="J400" s="14">
        <f>VLOOKUP(Table5[[#This Row],[Shortname]], Comp[], 7, FALSE)</f>
        <v>80</v>
      </c>
      <c r="K400">
        <f>VLOOKUP(Table5[[#This Row],[Shortname]], Comp[], 8, FALSE)</f>
        <v>0</v>
      </c>
      <c r="L400">
        <f>VLOOKUP(Table5[[#This Row],[Shortname]], Comp[], 9, FALSE)</f>
        <v>9</v>
      </c>
      <c r="M400">
        <f>VLOOKUP(Table5[[#This Row],[Shortname]], Comp[], 10, FALSE)</f>
        <v>0</v>
      </c>
      <c r="N400">
        <f>VLOOKUP(Table5[[#This Row],[Shortname]], Comp[], 11, FALSE)</f>
        <v>9</v>
      </c>
      <c r="O400">
        <f>VLOOKUP(Table5[[#This Row],[Shortname]], Comp[],12, FALSE)</f>
        <v>0</v>
      </c>
      <c r="P400">
        <f>VLOOKUP(Table5[[#This Row],[Shortname]], Comp[], 13, FALSE)</f>
        <v>0</v>
      </c>
      <c r="Q400">
        <f>VLOOKUP(Table5[[#This Row],[Shortname]], Comp[], 14, FALSE)</f>
        <v>2</v>
      </c>
      <c r="R400">
        <f>VLOOKUP(Table5[[#This Row],[Shortname]], Comp[], 15, FALSE)</f>
        <v>0</v>
      </c>
      <c r="S400">
        <f>VLOOKUP(Table5[[#This Row],[Shortname]], Comp[], 16, FALSE)</f>
        <v>0</v>
      </c>
      <c r="T400">
        <f>VLOOKUP(Table5[[#This Row],[Shortname]], Comp[], 17, FALSE)</f>
        <v>0</v>
      </c>
      <c r="U400">
        <f>VLOOKUP(Table5[[#This Row],[Shortname]], Comp[], 18, FALSE)</f>
        <v>0</v>
      </c>
      <c r="V400">
        <f>VLOOKUP(Table5[[#This Row],[Shortname]], Comp[], 19, FALSE)</f>
        <v>0</v>
      </c>
      <c r="W400">
        <f>VLOOKUP(Table5[[#This Row],[Shortname]], Comp[], 20, FALSE)</f>
        <v>0</v>
      </c>
      <c r="X400">
        <f>VLOOKUP(Table5[[#This Row],[Shortname]], Comp[], 21, FALSE)</f>
        <v>0</v>
      </c>
      <c r="Y400">
        <f>VLOOKUP(Table5[[#This Row],[Shortname]], Comp[], 22, FALSE)</f>
        <v>0</v>
      </c>
      <c r="Z400">
        <f>VLOOKUP(Table5[[#This Row],[Shortname]], Comp[], 23, FALSE)</f>
        <v>0</v>
      </c>
      <c r="AA400">
        <f>VLOOKUP(Table5[[#This Row],[Shortname]], Comp[], 24, FALSE)</f>
        <v>0</v>
      </c>
      <c r="AB400">
        <f>VLOOKUP(Table5[[#This Row],[Shortname]], Comp[], 25, FALSE)</f>
        <v>0</v>
      </c>
      <c r="AC400">
        <f>VLOOKUP(Table5[[#This Row],[Shortname]], Comp[], 26, FALSE)</f>
        <v>0</v>
      </c>
      <c r="AD400">
        <f>VLOOKUP(Table5[[#This Row],[Shortname]], Comp[], 27, FALSE)</f>
        <v>0</v>
      </c>
      <c r="AE400">
        <f>VLOOKUP(Table5[[#This Row],[Shortname]], Comp[], 28, FALSE)</f>
        <v>0</v>
      </c>
      <c r="AF400">
        <f>VLOOKUP(Table5[[#This Row],[Shortname]], Comp[], 29, FALSE)</f>
        <v>0</v>
      </c>
      <c r="AG400">
        <f>VLOOKUP(Table5[[#This Row],[Shortname]], Comp[], 30, FALSE)</f>
        <v>0</v>
      </c>
      <c r="AH400">
        <f>VLOOKUP(Table5[[#This Row],[Shortname]], Comp[], 31, FALSE)</f>
        <v>0</v>
      </c>
    </row>
    <row r="401" spans="1:34" x14ac:dyDescent="0.3">
      <c r="A401" s="7" t="s">
        <v>3781</v>
      </c>
      <c r="B401">
        <v>416</v>
      </c>
      <c r="C401" s="7" t="str">
        <f>VLOOKUP(Table5[[#This Row],[Shortname]], [1]!comp[#Data], 2, FALSE)</f>
        <v>CoAlW-X</v>
      </c>
      <c r="D401" s="7" t="s">
        <v>3783</v>
      </c>
      <c r="E401" s="3" t="s">
        <v>3784</v>
      </c>
      <c r="F401">
        <v>1036</v>
      </c>
      <c r="J401" s="14">
        <f>VLOOKUP(Table5[[#This Row],[Shortname]], Comp[], 7, FALSE)</f>
        <v>80</v>
      </c>
      <c r="K401">
        <f>VLOOKUP(Table5[[#This Row],[Shortname]], Comp[], 8, FALSE)</f>
        <v>0</v>
      </c>
      <c r="L401">
        <f>VLOOKUP(Table5[[#This Row],[Shortname]], Comp[], 9, FALSE)</f>
        <v>9</v>
      </c>
      <c r="M401">
        <f>VLOOKUP(Table5[[#This Row],[Shortname]], Comp[], 10, FALSE)</f>
        <v>0</v>
      </c>
      <c r="N401">
        <f>VLOOKUP(Table5[[#This Row],[Shortname]], Comp[], 11, FALSE)</f>
        <v>9</v>
      </c>
      <c r="O401">
        <f>VLOOKUP(Table5[[#This Row],[Shortname]], Comp[],12, FALSE)</f>
        <v>2</v>
      </c>
      <c r="P401">
        <f>VLOOKUP(Table5[[#This Row],[Shortname]], Comp[], 13, FALSE)</f>
        <v>0</v>
      </c>
      <c r="Q401">
        <f>VLOOKUP(Table5[[#This Row],[Shortname]], Comp[], 14, FALSE)</f>
        <v>0</v>
      </c>
      <c r="R401">
        <f>VLOOKUP(Table5[[#This Row],[Shortname]], Comp[], 15, FALSE)</f>
        <v>0</v>
      </c>
      <c r="S401">
        <f>VLOOKUP(Table5[[#This Row],[Shortname]], Comp[], 16, FALSE)</f>
        <v>0</v>
      </c>
      <c r="T401">
        <f>VLOOKUP(Table5[[#This Row],[Shortname]], Comp[], 17, FALSE)</f>
        <v>0</v>
      </c>
      <c r="U401">
        <f>VLOOKUP(Table5[[#This Row],[Shortname]], Comp[], 18, FALSE)</f>
        <v>0</v>
      </c>
      <c r="V401">
        <f>VLOOKUP(Table5[[#This Row],[Shortname]], Comp[], 19, FALSE)</f>
        <v>0</v>
      </c>
      <c r="W401">
        <f>VLOOKUP(Table5[[#This Row],[Shortname]], Comp[], 20, FALSE)</f>
        <v>0</v>
      </c>
      <c r="X401">
        <f>VLOOKUP(Table5[[#This Row],[Shortname]], Comp[], 21, FALSE)</f>
        <v>0</v>
      </c>
      <c r="Y401">
        <f>VLOOKUP(Table5[[#This Row],[Shortname]], Comp[], 22, FALSE)</f>
        <v>0</v>
      </c>
      <c r="Z401">
        <f>VLOOKUP(Table5[[#This Row],[Shortname]], Comp[], 23, FALSE)</f>
        <v>0</v>
      </c>
      <c r="AA401">
        <f>VLOOKUP(Table5[[#This Row],[Shortname]], Comp[], 24, FALSE)</f>
        <v>0</v>
      </c>
      <c r="AB401">
        <f>VLOOKUP(Table5[[#This Row],[Shortname]], Comp[], 25, FALSE)</f>
        <v>0</v>
      </c>
      <c r="AC401">
        <f>VLOOKUP(Table5[[#This Row],[Shortname]], Comp[], 26, FALSE)</f>
        <v>0</v>
      </c>
      <c r="AD401">
        <f>VLOOKUP(Table5[[#This Row],[Shortname]], Comp[], 27, FALSE)</f>
        <v>0</v>
      </c>
      <c r="AE401">
        <f>VLOOKUP(Table5[[#This Row],[Shortname]], Comp[], 28, FALSE)</f>
        <v>0</v>
      </c>
      <c r="AF401">
        <f>VLOOKUP(Table5[[#This Row],[Shortname]], Comp[], 29, FALSE)</f>
        <v>0</v>
      </c>
      <c r="AG401">
        <f>VLOOKUP(Table5[[#This Row],[Shortname]], Comp[], 30, FALSE)</f>
        <v>0</v>
      </c>
      <c r="AH401">
        <f>VLOOKUP(Table5[[#This Row],[Shortname]], Comp[], 31, FALSE)</f>
        <v>0</v>
      </c>
    </row>
    <row r="402" spans="1:34" x14ac:dyDescent="0.3">
      <c r="A402" s="7" t="s">
        <v>3813</v>
      </c>
      <c r="B402">
        <v>417</v>
      </c>
      <c r="C402" s="7" t="str">
        <f>VLOOKUP(Table5[[#This Row],[Shortname]], [1]!comp[#Data], 2, FALSE)</f>
        <v>CoAlW-X</v>
      </c>
      <c r="D402" s="7" t="s">
        <v>3815</v>
      </c>
      <c r="E402" s="3" t="s">
        <v>3784</v>
      </c>
      <c r="F402">
        <v>1012</v>
      </c>
      <c r="J402" s="14">
        <f>VLOOKUP(Table5[[#This Row],[Shortname]], Comp[], 7, FALSE)</f>
        <v>80</v>
      </c>
      <c r="K402">
        <f>VLOOKUP(Table5[[#This Row],[Shortname]], Comp[], 8, FALSE)</f>
        <v>0</v>
      </c>
      <c r="L402">
        <f>VLOOKUP(Table5[[#This Row],[Shortname]], Comp[], 9, FALSE)</f>
        <v>9</v>
      </c>
      <c r="M402">
        <f>VLOOKUP(Table5[[#This Row],[Shortname]], Comp[], 10, FALSE)</f>
        <v>0</v>
      </c>
      <c r="N402">
        <f>VLOOKUP(Table5[[#This Row],[Shortname]], Comp[], 11, FALSE)</f>
        <v>9</v>
      </c>
      <c r="O402">
        <f>VLOOKUP(Table5[[#This Row],[Shortname]], Comp[],12, FALSE)</f>
        <v>0</v>
      </c>
      <c r="P402">
        <f>VLOOKUP(Table5[[#This Row],[Shortname]], Comp[], 13, FALSE)</f>
        <v>0</v>
      </c>
      <c r="Q402">
        <f>VLOOKUP(Table5[[#This Row],[Shortname]], Comp[], 14, FALSE)</f>
        <v>0</v>
      </c>
      <c r="R402">
        <f>VLOOKUP(Table5[[#This Row],[Shortname]], Comp[], 15, FALSE)</f>
        <v>2</v>
      </c>
      <c r="S402">
        <f>VLOOKUP(Table5[[#This Row],[Shortname]], Comp[], 16, FALSE)</f>
        <v>0</v>
      </c>
      <c r="T402">
        <f>VLOOKUP(Table5[[#This Row],[Shortname]], Comp[], 17, FALSE)</f>
        <v>0</v>
      </c>
      <c r="U402">
        <f>VLOOKUP(Table5[[#This Row],[Shortname]], Comp[], 18, FALSE)</f>
        <v>0</v>
      </c>
      <c r="V402">
        <f>VLOOKUP(Table5[[#This Row],[Shortname]], Comp[], 19, FALSE)</f>
        <v>0</v>
      </c>
      <c r="W402">
        <f>VLOOKUP(Table5[[#This Row],[Shortname]], Comp[], 20, FALSE)</f>
        <v>0</v>
      </c>
      <c r="X402">
        <f>VLOOKUP(Table5[[#This Row],[Shortname]], Comp[], 21, FALSE)</f>
        <v>0</v>
      </c>
      <c r="Y402">
        <f>VLOOKUP(Table5[[#This Row],[Shortname]], Comp[], 22, FALSE)</f>
        <v>0</v>
      </c>
      <c r="Z402">
        <f>VLOOKUP(Table5[[#This Row],[Shortname]], Comp[], 23, FALSE)</f>
        <v>0</v>
      </c>
      <c r="AA402">
        <f>VLOOKUP(Table5[[#This Row],[Shortname]], Comp[], 24, FALSE)</f>
        <v>0</v>
      </c>
      <c r="AB402">
        <f>VLOOKUP(Table5[[#This Row],[Shortname]], Comp[], 25, FALSE)</f>
        <v>0</v>
      </c>
      <c r="AC402">
        <f>VLOOKUP(Table5[[#This Row],[Shortname]], Comp[], 26, FALSE)</f>
        <v>0</v>
      </c>
      <c r="AD402">
        <f>VLOOKUP(Table5[[#This Row],[Shortname]], Comp[], 27, FALSE)</f>
        <v>0</v>
      </c>
      <c r="AE402">
        <f>VLOOKUP(Table5[[#This Row],[Shortname]], Comp[], 28, FALSE)</f>
        <v>0</v>
      </c>
      <c r="AF402">
        <f>VLOOKUP(Table5[[#This Row],[Shortname]], Comp[], 29, FALSE)</f>
        <v>0</v>
      </c>
      <c r="AG402">
        <f>VLOOKUP(Table5[[#This Row],[Shortname]], Comp[], 30, FALSE)</f>
        <v>0</v>
      </c>
      <c r="AH402">
        <f>VLOOKUP(Table5[[#This Row],[Shortname]], Comp[], 31, FALSE)</f>
        <v>0</v>
      </c>
    </row>
    <row r="403" spans="1:34" x14ac:dyDescent="0.3">
      <c r="A403" s="7" t="s">
        <v>3807</v>
      </c>
      <c r="B403">
        <v>418</v>
      </c>
      <c r="C403" s="7" t="str">
        <f>VLOOKUP(Table5[[#This Row],[Shortname]], [1]!comp[#Data], 2, FALSE)</f>
        <v>CoAlW-X</v>
      </c>
      <c r="D403" s="7" t="s">
        <v>3809</v>
      </c>
      <c r="E403" s="3" t="s">
        <v>3784</v>
      </c>
      <c r="F403">
        <v>1006</v>
      </c>
      <c r="J403" s="14">
        <f>VLOOKUP(Table5[[#This Row],[Shortname]], Comp[], 7, FALSE)</f>
        <v>80</v>
      </c>
      <c r="K403">
        <f>VLOOKUP(Table5[[#This Row],[Shortname]], Comp[], 8, FALSE)</f>
        <v>0</v>
      </c>
      <c r="L403">
        <f>VLOOKUP(Table5[[#This Row],[Shortname]], Comp[], 9, FALSE)</f>
        <v>9</v>
      </c>
      <c r="M403">
        <f>VLOOKUP(Table5[[#This Row],[Shortname]], Comp[], 10, FALSE)</f>
        <v>0</v>
      </c>
      <c r="N403">
        <f>VLOOKUP(Table5[[#This Row],[Shortname]], Comp[], 11, FALSE)</f>
        <v>9</v>
      </c>
      <c r="O403">
        <f>VLOOKUP(Table5[[#This Row],[Shortname]], Comp[],12, FALSE)</f>
        <v>0</v>
      </c>
      <c r="P403">
        <f>VLOOKUP(Table5[[#This Row],[Shortname]], Comp[], 13, FALSE)</f>
        <v>0</v>
      </c>
      <c r="Q403">
        <f>VLOOKUP(Table5[[#This Row],[Shortname]], Comp[], 14, FALSE)</f>
        <v>0</v>
      </c>
      <c r="R403">
        <f>VLOOKUP(Table5[[#This Row],[Shortname]], Comp[], 15, FALSE)</f>
        <v>0</v>
      </c>
      <c r="S403">
        <f>VLOOKUP(Table5[[#This Row],[Shortname]], Comp[], 16, FALSE)</f>
        <v>0</v>
      </c>
      <c r="T403">
        <f>VLOOKUP(Table5[[#This Row],[Shortname]], Comp[], 17, FALSE)</f>
        <v>0</v>
      </c>
      <c r="U403">
        <f>VLOOKUP(Table5[[#This Row],[Shortname]], Comp[], 18, FALSE)</f>
        <v>0</v>
      </c>
      <c r="V403">
        <f>VLOOKUP(Table5[[#This Row],[Shortname]], Comp[], 19, FALSE)</f>
        <v>0</v>
      </c>
      <c r="W403">
        <f>VLOOKUP(Table5[[#This Row],[Shortname]], Comp[], 20, FALSE)</f>
        <v>0</v>
      </c>
      <c r="X403">
        <f>VLOOKUP(Table5[[#This Row],[Shortname]], Comp[], 21, FALSE)</f>
        <v>0</v>
      </c>
      <c r="Y403">
        <f>VLOOKUP(Table5[[#This Row],[Shortname]], Comp[], 22, FALSE)</f>
        <v>2</v>
      </c>
      <c r="Z403">
        <f>VLOOKUP(Table5[[#This Row],[Shortname]], Comp[], 23, FALSE)</f>
        <v>0</v>
      </c>
      <c r="AA403">
        <f>VLOOKUP(Table5[[#This Row],[Shortname]], Comp[], 24, FALSE)</f>
        <v>0</v>
      </c>
      <c r="AB403">
        <f>VLOOKUP(Table5[[#This Row],[Shortname]], Comp[], 25, FALSE)</f>
        <v>0</v>
      </c>
      <c r="AC403">
        <f>VLOOKUP(Table5[[#This Row],[Shortname]], Comp[], 26, FALSE)</f>
        <v>0</v>
      </c>
      <c r="AD403">
        <f>VLOOKUP(Table5[[#This Row],[Shortname]], Comp[], 27, FALSE)</f>
        <v>0</v>
      </c>
      <c r="AE403">
        <f>VLOOKUP(Table5[[#This Row],[Shortname]], Comp[], 28, FALSE)</f>
        <v>0</v>
      </c>
      <c r="AF403">
        <f>VLOOKUP(Table5[[#This Row],[Shortname]], Comp[], 29, FALSE)</f>
        <v>0</v>
      </c>
      <c r="AG403">
        <f>VLOOKUP(Table5[[#This Row],[Shortname]], Comp[], 30, FALSE)</f>
        <v>0</v>
      </c>
      <c r="AH403">
        <f>VLOOKUP(Table5[[#This Row],[Shortname]], Comp[], 31, FALSE)</f>
        <v>0</v>
      </c>
    </row>
    <row r="404" spans="1:34" x14ac:dyDescent="0.3">
      <c r="A404" s="7" t="s">
        <v>3801</v>
      </c>
      <c r="B404">
        <v>419</v>
      </c>
      <c r="C404" s="7" t="str">
        <f>VLOOKUP(Table5[[#This Row],[Shortname]], [1]!comp[#Data], 2, FALSE)</f>
        <v>CoAlW-X</v>
      </c>
      <c r="D404" s="7" t="s">
        <v>3803</v>
      </c>
      <c r="E404" s="3" t="s">
        <v>3784</v>
      </c>
      <c r="F404">
        <v>989</v>
      </c>
      <c r="J404" s="14">
        <f>VLOOKUP(Table5[[#This Row],[Shortname]], Comp[], 7, FALSE)</f>
        <v>80</v>
      </c>
      <c r="K404">
        <f>VLOOKUP(Table5[[#This Row],[Shortname]], Comp[], 8, FALSE)</f>
        <v>0</v>
      </c>
      <c r="L404">
        <f>VLOOKUP(Table5[[#This Row],[Shortname]], Comp[], 9, FALSE)</f>
        <v>9</v>
      </c>
      <c r="M404">
        <f>VLOOKUP(Table5[[#This Row],[Shortname]], Comp[], 10, FALSE)</f>
        <v>0</v>
      </c>
      <c r="N404">
        <f>VLOOKUP(Table5[[#This Row],[Shortname]], Comp[], 11, FALSE)</f>
        <v>9</v>
      </c>
      <c r="O404">
        <f>VLOOKUP(Table5[[#This Row],[Shortname]], Comp[],12, FALSE)</f>
        <v>0</v>
      </c>
      <c r="P404">
        <f>VLOOKUP(Table5[[#This Row],[Shortname]], Comp[], 13, FALSE)</f>
        <v>0</v>
      </c>
      <c r="Q404">
        <f>VLOOKUP(Table5[[#This Row],[Shortname]], Comp[], 14, FALSE)</f>
        <v>0</v>
      </c>
      <c r="R404">
        <f>VLOOKUP(Table5[[#This Row],[Shortname]], Comp[], 15, FALSE)</f>
        <v>0</v>
      </c>
      <c r="S404">
        <f>VLOOKUP(Table5[[#This Row],[Shortname]], Comp[], 16, FALSE)</f>
        <v>2</v>
      </c>
      <c r="T404">
        <f>VLOOKUP(Table5[[#This Row],[Shortname]], Comp[], 17, FALSE)</f>
        <v>0</v>
      </c>
      <c r="U404">
        <f>VLOOKUP(Table5[[#This Row],[Shortname]], Comp[], 18, FALSE)</f>
        <v>0</v>
      </c>
      <c r="V404">
        <f>VLOOKUP(Table5[[#This Row],[Shortname]], Comp[], 19, FALSE)</f>
        <v>0</v>
      </c>
      <c r="W404">
        <f>VLOOKUP(Table5[[#This Row],[Shortname]], Comp[], 20, FALSE)</f>
        <v>0</v>
      </c>
      <c r="X404">
        <f>VLOOKUP(Table5[[#This Row],[Shortname]], Comp[], 21, FALSE)</f>
        <v>0</v>
      </c>
      <c r="Y404">
        <f>VLOOKUP(Table5[[#This Row],[Shortname]], Comp[], 22, FALSE)</f>
        <v>0</v>
      </c>
      <c r="Z404">
        <f>VLOOKUP(Table5[[#This Row],[Shortname]], Comp[], 23, FALSE)</f>
        <v>0</v>
      </c>
      <c r="AA404">
        <f>VLOOKUP(Table5[[#This Row],[Shortname]], Comp[], 24, FALSE)</f>
        <v>0</v>
      </c>
      <c r="AB404">
        <f>VLOOKUP(Table5[[#This Row],[Shortname]], Comp[], 25, FALSE)</f>
        <v>0</v>
      </c>
      <c r="AC404">
        <f>VLOOKUP(Table5[[#This Row],[Shortname]], Comp[], 26, FALSE)</f>
        <v>0</v>
      </c>
      <c r="AD404">
        <f>VLOOKUP(Table5[[#This Row],[Shortname]], Comp[], 27, FALSE)</f>
        <v>0</v>
      </c>
      <c r="AE404">
        <f>VLOOKUP(Table5[[#This Row],[Shortname]], Comp[], 28, FALSE)</f>
        <v>0</v>
      </c>
      <c r="AF404">
        <f>VLOOKUP(Table5[[#This Row],[Shortname]], Comp[], 29, FALSE)</f>
        <v>0</v>
      </c>
      <c r="AG404">
        <f>VLOOKUP(Table5[[#This Row],[Shortname]], Comp[], 30, FALSE)</f>
        <v>0</v>
      </c>
      <c r="AH404">
        <f>VLOOKUP(Table5[[#This Row],[Shortname]], Comp[], 31, FALSE)</f>
        <v>0</v>
      </c>
    </row>
    <row r="405" spans="1:34" x14ac:dyDescent="0.3">
      <c r="A405" s="7" t="s">
        <v>3795</v>
      </c>
      <c r="B405">
        <v>420</v>
      </c>
      <c r="C405" s="7" t="str">
        <f>VLOOKUP(Table5[[#This Row],[Shortname]], [1]!comp[#Data], 2, FALSE)</f>
        <v>CoAlW-X</v>
      </c>
      <c r="D405" s="7" t="s">
        <v>3797</v>
      </c>
      <c r="E405" s="3" t="s">
        <v>3784</v>
      </c>
      <c r="F405">
        <v>976</v>
      </c>
      <c r="J405" s="14">
        <f>VLOOKUP(Table5[[#This Row],[Shortname]], Comp[], 7, FALSE)</f>
        <v>80</v>
      </c>
      <c r="K405">
        <f>VLOOKUP(Table5[[#This Row],[Shortname]], Comp[], 8, FALSE)</f>
        <v>2</v>
      </c>
      <c r="L405">
        <f>VLOOKUP(Table5[[#This Row],[Shortname]], Comp[], 9, FALSE)</f>
        <v>9</v>
      </c>
      <c r="M405">
        <f>VLOOKUP(Table5[[#This Row],[Shortname]], Comp[], 10, FALSE)</f>
        <v>0</v>
      </c>
      <c r="N405">
        <f>VLOOKUP(Table5[[#This Row],[Shortname]], Comp[], 11, FALSE)</f>
        <v>9</v>
      </c>
      <c r="O405">
        <f>VLOOKUP(Table5[[#This Row],[Shortname]], Comp[],12, FALSE)</f>
        <v>0</v>
      </c>
      <c r="P405">
        <f>VLOOKUP(Table5[[#This Row],[Shortname]], Comp[], 13, FALSE)</f>
        <v>0</v>
      </c>
      <c r="Q405">
        <f>VLOOKUP(Table5[[#This Row],[Shortname]], Comp[], 14, FALSE)</f>
        <v>0</v>
      </c>
      <c r="R405">
        <f>VLOOKUP(Table5[[#This Row],[Shortname]], Comp[], 15, FALSE)</f>
        <v>0</v>
      </c>
      <c r="S405">
        <f>VLOOKUP(Table5[[#This Row],[Shortname]], Comp[], 16, FALSE)</f>
        <v>0</v>
      </c>
      <c r="T405">
        <f>VLOOKUP(Table5[[#This Row],[Shortname]], Comp[], 17, FALSE)</f>
        <v>0</v>
      </c>
      <c r="U405">
        <f>VLOOKUP(Table5[[#This Row],[Shortname]], Comp[], 18, FALSE)</f>
        <v>0</v>
      </c>
      <c r="V405">
        <f>VLOOKUP(Table5[[#This Row],[Shortname]], Comp[], 19, FALSE)</f>
        <v>0</v>
      </c>
      <c r="W405">
        <f>VLOOKUP(Table5[[#This Row],[Shortname]], Comp[], 20, FALSE)</f>
        <v>0</v>
      </c>
      <c r="X405">
        <f>VLOOKUP(Table5[[#This Row],[Shortname]], Comp[], 21, FALSE)</f>
        <v>0</v>
      </c>
      <c r="Y405">
        <f>VLOOKUP(Table5[[#This Row],[Shortname]], Comp[], 22, FALSE)</f>
        <v>0</v>
      </c>
      <c r="Z405">
        <f>VLOOKUP(Table5[[#This Row],[Shortname]], Comp[], 23, FALSE)</f>
        <v>0</v>
      </c>
      <c r="AA405">
        <f>VLOOKUP(Table5[[#This Row],[Shortname]], Comp[], 24, FALSE)</f>
        <v>0</v>
      </c>
      <c r="AB405">
        <f>VLOOKUP(Table5[[#This Row],[Shortname]], Comp[], 25, FALSE)</f>
        <v>0</v>
      </c>
      <c r="AC405">
        <f>VLOOKUP(Table5[[#This Row],[Shortname]], Comp[], 26, FALSE)</f>
        <v>0</v>
      </c>
      <c r="AD405">
        <f>VLOOKUP(Table5[[#This Row],[Shortname]], Comp[], 27, FALSE)</f>
        <v>0</v>
      </c>
      <c r="AE405">
        <f>VLOOKUP(Table5[[#This Row],[Shortname]], Comp[], 28, FALSE)</f>
        <v>0</v>
      </c>
      <c r="AF405">
        <f>VLOOKUP(Table5[[#This Row],[Shortname]], Comp[], 29, FALSE)</f>
        <v>0</v>
      </c>
      <c r="AG405">
        <f>VLOOKUP(Table5[[#This Row],[Shortname]], Comp[], 30, FALSE)</f>
        <v>0</v>
      </c>
      <c r="AH405">
        <f>VLOOKUP(Table5[[#This Row],[Shortname]], Comp[], 31, FALSE)</f>
        <v>0</v>
      </c>
    </row>
    <row r="406" spans="1:34" x14ac:dyDescent="0.3">
      <c r="A406" s="7" t="s">
        <v>641</v>
      </c>
      <c r="B406">
        <v>421</v>
      </c>
      <c r="C406" s="7" t="str">
        <f>VLOOKUP(Table5[[#This Row],[Shortname]], [1]!comp[#Data], 2, FALSE)</f>
        <v>CoAlW-X</v>
      </c>
      <c r="D406" s="7" t="s">
        <v>3680</v>
      </c>
      <c r="E406" s="3" t="s">
        <v>3784</v>
      </c>
      <c r="F406">
        <v>974</v>
      </c>
      <c r="J406" s="14">
        <f>VLOOKUP(Table5[[#This Row],[Shortname]], Comp[], 7, FALSE)</f>
        <v>82</v>
      </c>
      <c r="K406">
        <f>VLOOKUP(Table5[[#This Row],[Shortname]], Comp[], 8, FALSE)</f>
        <v>0</v>
      </c>
      <c r="L406">
        <f>VLOOKUP(Table5[[#This Row],[Shortname]], Comp[], 9, FALSE)</f>
        <v>9</v>
      </c>
      <c r="M406">
        <f>VLOOKUP(Table5[[#This Row],[Shortname]], Comp[], 10, FALSE)</f>
        <v>0</v>
      </c>
      <c r="N406">
        <f>VLOOKUP(Table5[[#This Row],[Shortname]], Comp[], 11, FALSE)</f>
        <v>9</v>
      </c>
      <c r="O406">
        <f>VLOOKUP(Table5[[#This Row],[Shortname]], Comp[],12, FALSE)</f>
        <v>0</v>
      </c>
      <c r="P406">
        <f>VLOOKUP(Table5[[#This Row],[Shortname]], Comp[], 13, FALSE)</f>
        <v>0</v>
      </c>
      <c r="Q406">
        <f>VLOOKUP(Table5[[#This Row],[Shortname]], Comp[], 14, FALSE)</f>
        <v>0</v>
      </c>
      <c r="R406">
        <f>VLOOKUP(Table5[[#This Row],[Shortname]], Comp[], 15, FALSE)</f>
        <v>0</v>
      </c>
      <c r="S406">
        <f>VLOOKUP(Table5[[#This Row],[Shortname]], Comp[], 16, FALSE)</f>
        <v>0</v>
      </c>
      <c r="T406">
        <f>VLOOKUP(Table5[[#This Row],[Shortname]], Comp[], 17, FALSE)</f>
        <v>0</v>
      </c>
      <c r="U406">
        <f>VLOOKUP(Table5[[#This Row],[Shortname]], Comp[], 18, FALSE)</f>
        <v>0</v>
      </c>
      <c r="V406">
        <f>VLOOKUP(Table5[[#This Row],[Shortname]], Comp[], 19, FALSE)</f>
        <v>0</v>
      </c>
      <c r="W406">
        <f>VLOOKUP(Table5[[#This Row],[Shortname]], Comp[], 20, FALSE)</f>
        <v>0</v>
      </c>
      <c r="X406">
        <f>VLOOKUP(Table5[[#This Row],[Shortname]], Comp[], 21, FALSE)</f>
        <v>0</v>
      </c>
      <c r="Y406">
        <f>VLOOKUP(Table5[[#This Row],[Shortname]], Comp[], 22, FALSE)</f>
        <v>0</v>
      </c>
      <c r="Z406">
        <f>VLOOKUP(Table5[[#This Row],[Shortname]], Comp[], 23, FALSE)</f>
        <v>0</v>
      </c>
      <c r="AA406">
        <f>VLOOKUP(Table5[[#This Row],[Shortname]], Comp[], 24, FALSE)</f>
        <v>0</v>
      </c>
      <c r="AB406">
        <f>VLOOKUP(Table5[[#This Row],[Shortname]], Comp[], 25, FALSE)</f>
        <v>0</v>
      </c>
      <c r="AC406">
        <f>VLOOKUP(Table5[[#This Row],[Shortname]], Comp[], 26, FALSE)</f>
        <v>0</v>
      </c>
      <c r="AD406">
        <f>VLOOKUP(Table5[[#This Row],[Shortname]], Comp[], 27, FALSE)</f>
        <v>0</v>
      </c>
      <c r="AE406">
        <f>VLOOKUP(Table5[[#This Row],[Shortname]], Comp[], 28, FALSE)</f>
        <v>0</v>
      </c>
      <c r="AF406">
        <f>VLOOKUP(Table5[[#This Row],[Shortname]], Comp[], 29, FALSE)</f>
        <v>0</v>
      </c>
      <c r="AG406">
        <f>VLOOKUP(Table5[[#This Row],[Shortname]], Comp[], 30, FALSE)</f>
        <v>0</v>
      </c>
      <c r="AH406">
        <f>VLOOKUP(Table5[[#This Row],[Shortname]], Comp[], 31, FALSE)</f>
        <v>0</v>
      </c>
    </row>
    <row r="407" spans="1:34" x14ac:dyDescent="0.3">
      <c r="A407" s="7" t="s">
        <v>3789</v>
      </c>
      <c r="B407">
        <v>422</v>
      </c>
      <c r="C407" s="7" t="str">
        <f>VLOOKUP(Table5[[#This Row],[Shortname]], [1]!comp[#Data], 2, FALSE)</f>
        <v>CoAlW-X</v>
      </c>
      <c r="D407" s="7" t="s">
        <v>3791</v>
      </c>
      <c r="E407" s="3" t="s">
        <v>3784</v>
      </c>
      <c r="F407">
        <v>974</v>
      </c>
      <c r="J407" s="14">
        <f>VLOOKUP(Table5[[#This Row],[Shortname]], Comp[], 7, FALSE)</f>
        <v>80</v>
      </c>
      <c r="K407">
        <f>VLOOKUP(Table5[[#This Row],[Shortname]], Comp[], 8, FALSE)</f>
        <v>0</v>
      </c>
      <c r="L407">
        <f>VLOOKUP(Table5[[#This Row],[Shortname]], Comp[], 9, FALSE)</f>
        <v>9</v>
      </c>
      <c r="M407">
        <f>VLOOKUP(Table5[[#This Row],[Shortname]], Comp[], 10, FALSE)</f>
        <v>2</v>
      </c>
      <c r="N407">
        <f>VLOOKUP(Table5[[#This Row],[Shortname]], Comp[], 11, FALSE)</f>
        <v>9</v>
      </c>
      <c r="O407">
        <f>VLOOKUP(Table5[[#This Row],[Shortname]], Comp[],12, FALSE)</f>
        <v>0</v>
      </c>
      <c r="P407">
        <f>VLOOKUP(Table5[[#This Row],[Shortname]], Comp[], 13, FALSE)</f>
        <v>0</v>
      </c>
      <c r="Q407">
        <f>VLOOKUP(Table5[[#This Row],[Shortname]], Comp[], 14, FALSE)</f>
        <v>0</v>
      </c>
      <c r="R407">
        <f>VLOOKUP(Table5[[#This Row],[Shortname]], Comp[], 15, FALSE)</f>
        <v>0</v>
      </c>
      <c r="S407">
        <f>VLOOKUP(Table5[[#This Row],[Shortname]], Comp[], 16, FALSE)</f>
        <v>0</v>
      </c>
      <c r="T407">
        <f>VLOOKUP(Table5[[#This Row],[Shortname]], Comp[], 17, FALSE)</f>
        <v>0</v>
      </c>
      <c r="U407">
        <f>VLOOKUP(Table5[[#This Row],[Shortname]], Comp[], 18, FALSE)</f>
        <v>0</v>
      </c>
      <c r="V407">
        <f>VLOOKUP(Table5[[#This Row],[Shortname]], Comp[], 19, FALSE)</f>
        <v>0</v>
      </c>
      <c r="W407">
        <f>VLOOKUP(Table5[[#This Row],[Shortname]], Comp[], 20, FALSE)</f>
        <v>0</v>
      </c>
      <c r="X407">
        <f>VLOOKUP(Table5[[#This Row],[Shortname]], Comp[], 21, FALSE)</f>
        <v>0</v>
      </c>
      <c r="Y407">
        <f>VLOOKUP(Table5[[#This Row],[Shortname]], Comp[], 22, FALSE)</f>
        <v>0</v>
      </c>
      <c r="Z407">
        <f>VLOOKUP(Table5[[#This Row],[Shortname]], Comp[], 23, FALSE)</f>
        <v>0</v>
      </c>
      <c r="AA407">
        <f>VLOOKUP(Table5[[#This Row],[Shortname]], Comp[], 24, FALSE)</f>
        <v>0</v>
      </c>
      <c r="AB407">
        <f>VLOOKUP(Table5[[#This Row],[Shortname]], Comp[], 25, FALSE)</f>
        <v>0</v>
      </c>
      <c r="AC407">
        <f>VLOOKUP(Table5[[#This Row],[Shortname]], Comp[], 26, FALSE)</f>
        <v>0</v>
      </c>
      <c r="AD407">
        <f>VLOOKUP(Table5[[#This Row],[Shortname]], Comp[], 27, FALSE)</f>
        <v>0</v>
      </c>
      <c r="AE407">
        <f>VLOOKUP(Table5[[#This Row],[Shortname]], Comp[], 28, FALSE)</f>
        <v>0</v>
      </c>
      <c r="AF407">
        <f>VLOOKUP(Table5[[#This Row],[Shortname]], Comp[], 29, FALSE)</f>
        <v>0</v>
      </c>
      <c r="AG407">
        <f>VLOOKUP(Table5[[#This Row],[Shortname]], Comp[], 30, FALSE)</f>
        <v>0</v>
      </c>
      <c r="AH407">
        <f>VLOOKUP(Table5[[#This Row],[Shortname]], Comp[], 31, FALSE)</f>
        <v>0</v>
      </c>
    </row>
    <row r="408" spans="1:34" x14ac:dyDescent="0.3">
      <c r="A408" s="7" t="s">
        <v>3864</v>
      </c>
      <c r="B408">
        <v>423</v>
      </c>
      <c r="C408" s="7" t="str">
        <f>VLOOKUP(Table5[[#This Row],[Shortname]], [1]!comp[#Data], 2, FALSE)</f>
        <v>CoAlW-X</v>
      </c>
      <c r="D408" s="7" t="s">
        <v>3865</v>
      </c>
      <c r="E408" t="s">
        <v>6754</v>
      </c>
      <c r="F408">
        <v>1080</v>
      </c>
      <c r="J408" s="14">
        <f>VLOOKUP(Table5[[#This Row],[Shortname]], Comp[], 7, FALSE)</f>
        <v>80.8</v>
      </c>
      <c r="K408">
        <f>VLOOKUP(Table5[[#This Row],[Shortname]], Comp[], 8, FALSE)</f>
        <v>0</v>
      </c>
      <c r="L408">
        <f>VLOOKUP(Table5[[#This Row],[Shortname]], Comp[], 9, FALSE)</f>
        <v>8.4</v>
      </c>
      <c r="M408">
        <f>VLOOKUP(Table5[[#This Row],[Shortname]], Comp[], 10, FALSE)</f>
        <v>0</v>
      </c>
      <c r="N408">
        <f>VLOOKUP(Table5[[#This Row],[Shortname]], Comp[], 11, FALSE)</f>
        <v>8.9</v>
      </c>
      <c r="O408">
        <f>VLOOKUP(Table5[[#This Row],[Shortname]], Comp[],12, FALSE)</f>
        <v>0</v>
      </c>
      <c r="P408">
        <f>VLOOKUP(Table5[[#This Row],[Shortname]], Comp[], 13, FALSE)</f>
        <v>1.9</v>
      </c>
      <c r="Q408">
        <f>VLOOKUP(Table5[[#This Row],[Shortname]], Comp[], 14, FALSE)</f>
        <v>0</v>
      </c>
      <c r="R408">
        <f>VLOOKUP(Table5[[#This Row],[Shortname]], Comp[], 15, FALSE)</f>
        <v>0</v>
      </c>
      <c r="S408">
        <f>VLOOKUP(Table5[[#This Row],[Shortname]], Comp[], 16, FALSE)</f>
        <v>0</v>
      </c>
      <c r="T408">
        <f>VLOOKUP(Table5[[#This Row],[Shortname]], Comp[], 17, FALSE)</f>
        <v>0</v>
      </c>
      <c r="U408">
        <f>VLOOKUP(Table5[[#This Row],[Shortname]], Comp[], 18, FALSE)</f>
        <v>0</v>
      </c>
      <c r="V408">
        <f>VLOOKUP(Table5[[#This Row],[Shortname]], Comp[], 19, FALSE)</f>
        <v>0</v>
      </c>
      <c r="W408">
        <f>VLOOKUP(Table5[[#This Row],[Shortname]], Comp[], 20, FALSE)</f>
        <v>0</v>
      </c>
      <c r="X408">
        <f>VLOOKUP(Table5[[#This Row],[Shortname]], Comp[], 21, FALSE)</f>
        <v>0</v>
      </c>
      <c r="Y408">
        <f>VLOOKUP(Table5[[#This Row],[Shortname]], Comp[], 22, FALSE)</f>
        <v>0</v>
      </c>
      <c r="Z408">
        <f>VLOOKUP(Table5[[#This Row],[Shortname]], Comp[], 23, FALSE)</f>
        <v>0</v>
      </c>
      <c r="AA408">
        <f>VLOOKUP(Table5[[#This Row],[Shortname]], Comp[], 24, FALSE)</f>
        <v>0</v>
      </c>
      <c r="AB408">
        <f>VLOOKUP(Table5[[#This Row],[Shortname]], Comp[], 25, FALSE)</f>
        <v>0</v>
      </c>
      <c r="AC408">
        <f>VLOOKUP(Table5[[#This Row],[Shortname]], Comp[], 26, FALSE)</f>
        <v>0</v>
      </c>
      <c r="AD408">
        <f>VLOOKUP(Table5[[#This Row],[Shortname]], Comp[], 27, FALSE)</f>
        <v>0</v>
      </c>
      <c r="AE408">
        <f>VLOOKUP(Table5[[#This Row],[Shortname]], Comp[], 28, FALSE)</f>
        <v>0</v>
      </c>
      <c r="AF408">
        <f>VLOOKUP(Table5[[#This Row],[Shortname]], Comp[], 29, FALSE)</f>
        <v>0</v>
      </c>
      <c r="AG408">
        <f>VLOOKUP(Table5[[#This Row],[Shortname]], Comp[], 30, FALSE)</f>
        <v>0</v>
      </c>
      <c r="AH408">
        <f>VLOOKUP(Table5[[#This Row],[Shortname]], Comp[], 31, FALSE)</f>
        <v>0</v>
      </c>
    </row>
    <row r="409" spans="1:34" x14ac:dyDescent="0.3">
      <c r="A409" s="7" t="s">
        <v>3870</v>
      </c>
      <c r="B409">
        <v>424</v>
      </c>
      <c r="C409" s="7" t="str">
        <f>VLOOKUP(Table5[[#This Row],[Shortname]], [1]!comp[#Data], 2, FALSE)</f>
        <v>Co3Ti</v>
      </c>
      <c r="D409" s="7" t="s">
        <v>3872</v>
      </c>
      <c r="E409" t="s">
        <v>6755</v>
      </c>
      <c r="F409">
        <v>1238</v>
      </c>
      <c r="H409">
        <v>1372</v>
      </c>
      <c r="J409" s="14">
        <f>VLOOKUP(Table5[[#This Row],[Shortname]], Comp[], 7, FALSE)</f>
        <v>38</v>
      </c>
      <c r="K409">
        <f>VLOOKUP(Table5[[#This Row],[Shortname]], Comp[], 8, FALSE)</f>
        <v>38</v>
      </c>
      <c r="L409">
        <f>VLOOKUP(Table5[[#This Row],[Shortname]], Comp[], 9, FALSE)</f>
        <v>9</v>
      </c>
      <c r="M409">
        <f>VLOOKUP(Table5[[#This Row],[Shortname]], Comp[], 10, FALSE)</f>
        <v>6</v>
      </c>
      <c r="N409">
        <f>VLOOKUP(Table5[[#This Row],[Shortname]], Comp[], 11, FALSE)</f>
        <v>2</v>
      </c>
      <c r="O409">
        <f>VLOOKUP(Table5[[#This Row],[Shortname]], Comp[],12, FALSE)</f>
        <v>5</v>
      </c>
      <c r="P409">
        <f>VLOOKUP(Table5[[#This Row],[Shortname]], Comp[], 13, FALSE)</f>
        <v>1</v>
      </c>
      <c r="Q409">
        <f>VLOOKUP(Table5[[#This Row],[Shortname]], Comp[], 14, FALSE)</f>
        <v>0</v>
      </c>
      <c r="R409">
        <f>VLOOKUP(Table5[[#This Row],[Shortname]], Comp[], 15, FALSE)</f>
        <v>0</v>
      </c>
      <c r="S409">
        <f>VLOOKUP(Table5[[#This Row],[Shortname]], Comp[], 16, FALSE)</f>
        <v>1</v>
      </c>
      <c r="T409">
        <f>VLOOKUP(Table5[[#This Row],[Shortname]], Comp[], 17, FALSE)</f>
        <v>0</v>
      </c>
      <c r="U409">
        <f>VLOOKUP(Table5[[#This Row],[Shortname]], Comp[], 18, FALSE)</f>
        <v>0</v>
      </c>
      <c r="V409">
        <f>VLOOKUP(Table5[[#This Row],[Shortname]], Comp[], 19, FALSE)</f>
        <v>0</v>
      </c>
      <c r="W409">
        <f>VLOOKUP(Table5[[#This Row],[Shortname]], Comp[], 20, FALSE)</f>
        <v>0</v>
      </c>
      <c r="X409">
        <f>VLOOKUP(Table5[[#This Row],[Shortname]], Comp[], 21, FALSE)</f>
        <v>0</v>
      </c>
      <c r="Y409">
        <f>VLOOKUP(Table5[[#This Row],[Shortname]], Comp[], 22, FALSE)</f>
        <v>0</v>
      </c>
      <c r="Z409">
        <f>VLOOKUP(Table5[[#This Row],[Shortname]], Comp[], 23, FALSE)</f>
        <v>0</v>
      </c>
      <c r="AA409">
        <f>VLOOKUP(Table5[[#This Row],[Shortname]], Comp[], 24, FALSE)</f>
        <v>0</v>
      </c>
      <c r="AB409">
        <f>VLOOKUP(Table5[[#This Row],[Shortname]], Comp[], 25, FALSE)</f>
        <v>0</v>
      </c>
      <c r="AC409">
        <f>VLOOKUP(Table5[[#This Row],[Shortname]], Comp[], 26, FALSE)</f>
        <v>0</v>
      </c>
      <c r="AD409">
        <f>VLOOKUP(Table5[[#This Row],[Shortname]], Comp[], 27, FALSE)</f>
        <v>0</v>
      </c>
      <c r="AE409">
        <f>VLOOKUP(Table5[[#This Row],[Shortname]], Comp[], 28, FALSE)</f>
        <v>0</v>
      </c>
      <c r="AF409">
        <f>VLOOKUP(Table5[[#This Row],[Shortname]], Comp[], 29, FALSE)</f>
        <v>0</v>
      </c>
      <c r="AG409">
        <f>VLOOKUP(Table5[[#This Row],[Shortname]], Comp[], 30, FALSE)</f>
        <v>0</v>
      </c>
      <c r="AH409">
        <f>VLOOKUP(Table5[[#This Row],[Shortname]], Comp[], 31, FALSE)</f>
        <v>0</v>
      </c>
    </row>
    <row r="410" spans="1:34" x14ac:dyDescent="0.3">
      <c r="A410" s="7" t="s">
        <v>3877</v>
      </c>
      <c r="B410">
        <v>425</v>
      </c>
      <c r="C410" s="7" t="str">
        <f>VLOOKUP(Table5[[#This Row],[Shortname]], [1]!comp[#Data], 2, FALSE)</f>
        <v>Co3Ti</v>
      </c>
      <c r="D410" s="7" t="s">
        <v>3879</v>
      </c>
      <c r="E410" t="s">
        <v>6755</v>
      </c>
      <c r="F410">
        <v>1220</v>
      </c>
      <c r="H410">
        <v>1355</v>
      </c>
      <c r="J410" s="14">
        <f>VLOOKUP(Table5[[#This Row],[Shortname]], Comp[], 7, FALSE)</f>
        <v>38</v>
      </c>
      <c r="K410">
        <f>VLOOKUP(Table5[[#This Row],[Shortname]], Comp[], 8, FALSE)</f>
        <v>35</v>
      </c>
      <c r="L410">
        <f>VLOOKUP(Table5[[#This Row],[Shortname]], Comp[], 9, FALSE)</f>
        <v>13</v>
      </c>
      <c r="M410">
        <f>VLOOKUP(Table5[[#This Row],[Shortname]], Comp[], 10, FALSE)</f>
        <v>6</v>
      </c>
      <c r="N410">
        <f>VLOOKUP(Table5[[#This Row],[Shortname]], Comp[], 11, FALSE)</f>
        <v>2</v>
      </c>
      <c r="O410">
        <f>VLOOKUP(Table5[[#This Row],[Shortname]], Comp[],12, FALSE)</f>
        <v>5</v>
      </c>
      <c r="P410">
        <f>VLOOKUP(Table5[[#This Row],[Shortname]], Comp[], 13, FALSE)</f>
        <v>1</v>
      </c>
      <c r="Q410">
        <f>VLOOKUP(Table5[[#This Row],[Shortname]], Comp[], 14, FALSE)</f>
        <v>0</v>
      </c>
      <c r="R410">
        <f>VLOOKUP(Table5[[#This Row],[Shortname]], Comp[], 15, FALSE)</f>
        <v>0</v>
      </c>
      <c r="S410">
        <f>VLOOKUP(Table5[[#This Row],[Shortname]], Comp[], 16, FALSE)</f>
        <v>0</v>
      </c>
      <c r="T410">
        <f>VLOOKUP(Table5[[#This Row],[Shortname]], Comp[], 17, FALSE)</f>
        <v>0</v>
      </c>
      <c r="U410">
        <f>VLOOKUP(Table5[[#This Row],[Shortname]], Comp[], 18, FALSE)</f>
        <v>0</v>
      </c>
      <c r="V410">
        <f>VLOOKUP(Table5[[#This Row],[Shortname]], Comp[], 19, FALSE)</f>
        <v>0</v>
      </c>
      <c r="W410">
        <f>VLOOKUP(Table5[[#This Row],[Shortname]], Comp[], 20, FALSE)</f>
        <v>0</v>
      </c>
      <c r="X410">
        <f>VLOOKUP(Table5[[#This Row],[Shortname]], Comp[], 21, FALSE)</f>
        <v>0</v>
      </c>
      <c r="Y410">
        <f>VLOOKUP(Table5[[#This Row],[Shortname]], Comp[], 22, FALSE)</f>
        <v>0</v>
      </c>
      <c r="Z410">
        <f>VLOOKUP(Table5[[#This Row],[Shortname]], Comp[], 23, FALSE)</f>
        <v>0</v>
      </c>
      <c r="AA410">
        <f>VLOOKUP(Table5[[#This Row],[Shortname]], Comp[], 24, FALSE)</f>
        <v>0</v>
      </c>
      <c r="AB410">
        <f>VLOOKUP(Table5[[#This Row],[Shortname]], Comp[], 25, FALSE)</f>
        <v>0</v>
      </c>
      <c r="AC410">
        <f>VLOOKUP(Table5[[#This Row],[Shortname]], Comp[], 26, FALSE)</f>
        <v>0</v>
      </c>
      <c r="AD410">
        <f>VLOOKUP(Table5[[#This Row],[Shortname]], Comp[], 27, FALSE)</f>
        <v>0</v>
      </c>
      <c r="AE410">
        <f>VLOOKUP(Table5[[#This Row],[Shortname]], Comp[], 28, FALSE)</f>
        <v>0</v>
      </c>
      <c r="AF410">
        <f>VLOOKUP(Table5[[#This Row],[Shortname]], Comp[], 29, FALSE)</f>
        <v>0</v>
      </c>
      <c r="AG410">
        <f>VLOOKUP(Table5[[#This Row],[Shortname]], Comp[], 30, FALSE)</f>
        <v>0</v>
      </c>
      <c r="AH410">
        <f>VLOOKUP(Table5[[#This Row],[Shortname]], Comp[], 31, FALSE)</f>
        <v>0</v>
      </c>
    </row>
    <row r="411" spans="1:34" x14ac:dyDescent="0.3">
      <c r="A411" s="7" t="s">
        <v>4992</v>
      </c>
      <c r="B411">
        <v>426</v>
      </c>
      <c r="C411" s="7" t="str">
        <f>VLOOKUP(Table5[[#This Row],[Shortname]], [1]!comp[#Data], 2, FALSE)</f>
        <v>CoAlWX+</v>
      </c>
      <c r="D411" t="s">
        <v>1753</v>
      </c>
      <c r="E411" s="3" t="s">
        <v>4990</v>
      </c>
      <c r="F411">
        <v>1137</v>
      </c>
      <c r="J411" s="14">
        <f>VLOOKUP(Table5[[#This Row],[Shortname]], Comp[], 7, FALSE)</f>
        <v>57</v>
      </c>
      <c r="K411">
        <f>VLOOKUP(Table5[[#This Row],[Shortname]], Comp[], 8, FALSE)</f>
        <v>25</v>
      </c>
      <c r="L411">
        <f>VLOOKUP(Table5[[#This Row],[Shortname]], Comp[], 9, FALSE)</f>
        <v>10</v>
      </c>
      <c r="M411">
        <f>VLOOKUP(Table5[[#This Row],[Shortname]], Comp[], 10, FALSE)</f>
        <v>0</v>
      </c>
      <c r="N411">
        <f>VLOOKUP(Table5[[#This Row],[Shortname]], Comp[], 11, FALSE)</f>
        <v>4</v>
      </c>
      <c r="O411">
        <f>VLOOKUP(Table5[[#This Row],[Shortname]], Comp[],12, FALSE)</f>
        <v>2</v>
      </c>
      <c r="P411">
        <f>VLOOKUP(Table5[[#This Row],[Shortname]], Comp[], 13, FALSE)</f>
        <v>2</v>
      </c>
      <c r="Q411">
        <f>VLOOKUP(Table5[[#This Row],[Shortname]], Comp[], 14, FALSE)</f>
        <v>0</v>
      </c>
      <c r="R411">
        <f>VLOOKUP(Table5[[#This Row],[Shortname]], Comp[], 15, FALSE)</f>
        <v>0</v>
      </c>
      <c r="S411">
        <f>VLOOKUP(Table5[[#This Row],[Shortname]], Comp[], 16, FALSE)</f>
        <v>0</v>
      </c>
      <c r="T411">
        <f>VLOOKUP(Table5[[#This Row],[Shortname]], Comp[], 17, FALSE)</f>
        <v>0</v>
      </c>
      <c r="U411">
        <f>VLOOKUP(Table5[[#This Row],[Shortname]], Comp[], 18, FALSE)</f>
        <v>0</v>
      </c>
      <c r="V411">
        <f>VLOOKUP(Table5[[#This Row],[Shortname]], Comp[], 19, FALSE)</f>
        <v>0</v>
      </c>
      <c r="W411">
        <f>VLOOKUP(Table5[[#This Row],[Shortname]], Comp[], 20, FALSE)</f>
        <v>0</v>
      </c>
      <c r="X411">
        <f>VLOOKUP(Table5[[#This Row],[Shortname]], Comp[], 21, FALSE)</f>
        <v>0</v>
      </c>
      <c r="Y411">
        <f>VLOOKUP(Table5[[#This Row],[Shortname]], Comp[], 22, FALSE)</f>
        <v>0</v>
      </c>
      <c r="Z411">
        <f>VLOOKUP(Table5[[#This Row],[Shortname]], Comp[], 23, FALSE)</f>
        <v>0</v>
      </c>
      <c r="AA411">
        <f>VLOOKUP(Table5[[#This Row],[Shortname]], Comp[], 24, FALSE)</f>
        <v>0</v>
      </c>
      <c r="AB411">
        <f>VLOOKUP(Table5[[#This Row],[Shortname]], Comp[], 25, FALSE)</f>
        <v>0</v>
      </c>
      <c r="AC411">
        <f>VLOOKUP(Table5[[#This Row],[Shortname]], Comp[], 26, FALSE)</f>
        <v>0</v>
      </c>
      <c r="AD411">
        <f>VLOOKUP(Table5[[#This Row],[Shortname]], Comp[], 27, FALSE)</f>
        <v>0</v>
      </c>
      <c r="AE411">
        <f>VLOOKUP(Table5[[#This Row],[Shortname]], Comp[], 28, FALSE)</f>
        <v>0</v>
      </c>
      <c r="AF411">
        <f>VLOOKUP(Table5[[#This Row],[Shortname]], Comp[], 29, FALSE)</f>
        <v>0</v>
      </c>
      <c r="AG411">
        <f>VLOOKUP(Table5[[#This Row],[Shortname]], Comp[], 30, FALSE)</f>
        <v>0</v>
      </c>
      <c r="AH411">
        <f>VLOOKUP(Table5[[#This Row],[Shortname]], Comp[], 31, FALSE)</f>
        <v>0</v>
      </c>
    </row>
    <row r="412" spans="1:34" x14ac:dyDescent="0.3">
      <c r="A412" s="7" t="s">
        <v>3497</v>
      </c>
      <c r="B412">
        <v>427</v>
      </c>
      <c r="C412" s="7" t="str">
        <f>VLOOKUP(Table5[[#This Row],[Shortname]], [1]!comp[#Data], 2, FALSE)</f>
        <v>CoAlW-X</v>
      </c>
      <c r="D412" t="s">
        <v>3825</v>
      </c>
      <c r="E412" s="3" t="s">
        <v>4990</v>
      </c>
      <c r="F412">
        <v>1080</v>
      </c>
      <c r="J412" s="14">
        <f>VLOOKUP(Table5[[#This Row],[Shortname]], Comp[], 7, FALSE)</f>
        <v>80</v>
      </c>
      <c r="K412">
        <f>VLOOKUP(Table5[[#This Row],[Shortname]], Comp[], 8, FALSE)</f>
        <v>0</v>
      </c>
      <c r="L412">
        <f>VLOOKUP(Table5[[#This Row],[Shortname]], Comp[], 9, FALSE)</f>
        <v>9</v>
      </c>
      <c r="M412">
        <f>VLOOKUP(Table5[[#This Row],[Shortname]], Comp[], 10, FALSE)</f>
        <v>0</v>
      </c>
      <c r="N412">
        <f>VLOOKUP(Table5[[#This Row],[Shortname]], Comp[], 11, FALSE)</f>
        <v>9</v>
      </c>
      <c r="O412">
        <f>VLOOKUP(Table5[[#This Row],[Shortname]], Comp[],12, FALSE)</f>
        <v>0</v>
      </c>
      <c r="P412">
        <f>VLOOKUP(Table5[[#This Row],[Shortname]], Comp[], 13, FALSE)</f>
        <v>2</v>
      </c>
      <c r="Q412">
        <f>VLOOKUP(Table5[[#This Row],[Shortname]], Comp[], 14, FALSE)</f>
        <v>0</v>
      </c>
      <c r="R412">
        <f>VLOOKUP(Table5[[#This Row],[Shortname]], Comp[], 15, FALSE)</f>
        <v>0</v>
      </c>
      <c r="S412">
        <f>VLOOKUP(Table5[[#This Row],[Shortname]], Comp[], 16, FALSE)</f>
        <v>0</v>
      </c>
      <c r="T412">
        <f>VLOOKUP(Table5[[#This Row],[Shortname]], Comp[], 17, FALSE)</f>
        <v>0</v>
      </c>
      <c r="U412">
        <f>VLOOKUP(Table5[[#This Row],[Shortname]], Comp[], 18, FALSE)</f>
        <v>0</v>
      </c>
      <c r="V412">
        <f>VLOOKUP(Table5[[#This Row],[Shortname]], Comp[], 19, FALSE)</f>
        <v>0</v>
      </c>
      <c r="W412">
        <f>VLOOKUP(Table5[[#This Row],[Shortname]], Comp[], 20, FALSE)</f>
        <v>0</v>
      </c>
      <c r="X412">
        <f>VLOOKUP(Table5[[#This Row],[Shortname]], Comp[], 21, FALSE)</f>
        <v>0</v>
      </c>
      <c r="Y412">
        <f>VLOOKUP(Table5[[#This Row],[Shortname]], Comp[], 22, FALSE)</f>
        <v>0</v>
      </c>
      <c r="Z412">
        <f>VLOOKUP(Table5[[#This Row],[Shortname]], Comp[], 23, FALSE)</f>
        <v>0</v>
      </c>
      <c r="AA412">
        <f>VLOOKUP(Table5[[#This Row],[Shortname]], Comp[], 24, FALSE)</f>
        <v>0</v>
      </c>
      <c r="AB412">
        <f>VLOOKUP(Table5[[#This Row],[Shortname]], Comp[], 25, FALSE)</f>
        <v>0</v>
      </c>
      <c r="AC412">
        <f>VLOOKUP(Table5[[#This Row],[Shortname]], Comp[], 26, FALSE)</f>
        <v>0</v>
      </c>
      <c r="AD412">
        <f>VLOOKUP(Table5[[#This Row],[Shortname]], Comp[], 27, FALSE)</f>
        <v>0</v>
      </c>
      <c r="AE412">
        <f>VLOOKUP(Table5[[#This Row],[Shortname]], Comp[], 28, FALSE)</f>
        <v>0</v>
      </c>
      <c r="AF412">
        <f>VLOOKUP(Table5[[#This Row],[Shortname]], Comp[], 29, FALSE)</f>
        <v>0</v>
      </c>
      <c r="AG412">
        <f>VLOOKUP(Table5[[#This Row],[Shortname]], Comp[], 30, FALSE)</f>
        <v>0</v>
      </c>
      <c r="AH412">
        <f>VLOOKUP(Table5[[#This Row],[Shortname]], Comp[], 31, FALSE)</f>
        <v>0</v>
      </c>
    </row>
    <row r="413" spans="1:34" x14ac:dyDescent="0.3">
      <c r="A413" s="7" t="s">
        <v>3884</v>
      </c>
      <c r="B413">
        <v>428</v>
      </c>
      <c r="C413" s="7" t="str">
        <f>VLOOKUP(Table5[[#This Row],[Shortname]], [1]!comp[#Data], 2, FALSE)</f>
        <v>CoAlW-X</v>
      </c>
      <c r="D413" s="7" t="s">
        <v>3885</v>
      </c>
      <c r="E413" t="s">
        <v>6630</v>
      </c>
      <c r="F413">
        <v>1120</v>
      </c>
      <c r="J413" s="14">
        <f>VLOOKUP(Table5[[#This Row],[Shortname]], Comp[], 7, FALSE)</f>
        <v>81.5</v>
      </c>
      <c r="K413">
        <f>VLOOKUP(Table5[[#This Row],[Shortname]], Comp[], 8, FALSE)</f>
        <v>2</v>
      </c>
      <c r="L413">
        <f>VLOOKUP(Table5[[#This Row],[Shortname]], Comp[], 9, FALSE)</f>
        <v>9</v>
      </c>
      <c r="M413">
        <f>VLOOKUP(Table5[[#This Row],[Shortname]], Comp[], 10, FALSE)</f>
        <v>0</v>
      </c>
      <c r="N413">
        <f>VLOOKUP(Table5[[#This Row],[Shortname]], Comp[], 11, FALSE)</f>
        <v>7.5</v>
      </c>
      <c r="O413">
        <f>VLOOKUP(Table5[[#This Row],[Shortname]], Comp[],12, FALSE)</f>
        <v>0</v>
      </c>
      <c r="P413">
        <f>VLOOKUP(Table5[[#This Row],[Shortname]], Comp[], 13, FALSE)</f>
        <v>0</v>
      </c>
      <c r="Q413">
        <f>VLOOKUP(Table5[[#This Row],[Shortname]], Comp[], 14, FALSE)</f>
        <v>0</v>
      </c>
      <c r="R413">
        <f>VLOOKUP(Table5[[#This Row],[Shortname]], Comp[], 15, FALSE)</f>
        <v>0</v>
      </c>
      <c r="S413">
        <f>VLOOKUP(Table5[[#This Row],[Shortname]], Comp[], 16, FALSE)</f>
        <v>0</v>
      </c>
      <c r="T413">
        <f>VLOOKUP(Table5[[#This Row],[Shortname]], Comp[], 17, FALSE)</f>
        <v>0</v>
      </c>
      <c r="U413">
        <f>VLOOKUP(Table5[[#This Row],[Shortname]], Comp[], 18, FALSE)</f>
        <v>0</v>
      </c>
      <c r="V413">
        <f>VLOOKUP(Table5[[#This Row],[Shortname]], Comp[], 19, FALSE)</f>
        <v>0</v>
      </c>
      <c r="W413">
        <f>VLOOKUP(Table5[[#This Row],[Shortname]], Comp[], 20, FALSE)</f>
        <v>0</v>
      </c>
      <c r="X413">
        <f>VLOOKUP(Table5[[#This Row],[Shortname]], Comp[], 21, FALSE)</f>
        <v>0</v>
      </c>
      <c r="Y413">
        <f>VLOOKUP(Table5[[#This Row],[Shortname]], Comp[], 22, FALSE)</f>
        <v>0</v>
      </c>
      <c r="Z413">
        <f>VLOOKUP(Table5[[#This Row],[Shortname]], Comp[], 23, FALSE)</f>
        <v>0</v>
      </c>
      <c r="AA413">
        <f>VLOOKUP(Table5[[#This Row],[Shortname]], Comp[], 24, FALSE)</f>
        <v>0</v>
      </c>
      <c r="AB413">
        <f>VLOOKUP(Table5[[#This Row],[Shortname]], Comp[], 25, FALSE)</f>
        <v>0</v>
      </c>
      <c r="AC413">
        <f>VLOOKUP(Table5[[#This Row],[Shortname]], Comp[], 26, FALSE)</f>
        <v>0</v>
      </c>
      <c r="AD413">
        <f>VLOOKUP(Table5[[#This Row],[Shortname]], Comp[], 27, FALSE)</f>
        <v>0</v>
      </c>
      <c r="AE413">
        <f>VLOOKUP(Table5[[#This Row],[Shortname]], Comp[], 28, FALSE)</f>
        <v>0</v>
      </c>
      <c r="AF413">
        <f>VLOOKUP(Table5[[#This Row],[Shortname]], Comp[], 29, FALSE)</f>
        <v>0</v>
      </c>
      <c r="AG413">
        <f>VLOOKUP(Table5[[#This Row],[Shortname]], Comp[], 30, FALSE)</f>
        <v>0</v>
      </c>
      <c r="AH413">
        <f>VLOOKUP(Table5[[#This Row],[Shortname]], Comp[], 31, FALSE)</f>
        <v>0</v>
      </c>
    </row>
    <row r="414" spans="1:34" x14ac:dyDescent="0.3">
      <c r="A414" s="7" t="s">
        <v>4974</v>
      </c>
      <c r="B414">
        <v>429</v>
      </c>
      <c r="C414" s="7" t="str">
        <f>VLOOKUP(Table5[[#This Row],[Shortname]], [1]!comp[#Data], 2, FALSE)</f>
        <v>CoAlW-X</v>
      </c>
      <c r="D414" s="7" t="s">
        <v>4976</v>
      </c>
      <c r="E414" s="3" t="s">
        <v>4968</v>
      </c>
      <c r="F414">
        <v>1079</v>
      </c>
      <c r="G414">
        <v>1465</v>
      </c>
      <c r="J414" s="14">
        <f>VLOOKUP(Table5[[#This Row],[Shortname]], Comp[], 7, FALSE)</f>
        <v>36</v>
      </c>
      <c r="K414">
        <f>VLOOKUP(Table5[[#This Row],[Shortname]], Comp[], 8, FALSE)</f>
        <v>45</v>
      </c>
      <c r="L414">
        <f>VLOOKUP(Table5[[#This Row],[Shortname]], Comp[], 9, FALSE)</f>
        <v>9</v>
      </c>
      <c r="M414">
        <f>VLOOKUP(Table5[[#This Row],[Shortname]], Comp[], 10, FALSE)</f>
        <v>0</v>
      </c>
      <c r="N414">
        <f>VLOOKUP(Table5[[#This Row],[Shortname]], Comp[], 11, FALSE)</f>
        <v>10</v>
      </c>
      <c r="O414">
        <f>VLOOKUP(Table5[[#This Row],[Shortname]], Comp[],12, FALSE)</f>
        <v>0</v>
      </c>
      <c r="P414">
        <f>VLOOKUP(Table5[[#This Row],[Shortname]], Comp[], 13, FALSE)</f>
        <v>0</v>
      </c>
      <c r="Q414">
        <f>VLOOKUP(Table5[[#This Row],[Shortname]], Comp[], 14, FALSE)</f>
        <v>0</v>
      </c>
      <c r="R414">
        <f>VLOOKUP(Table5[[#This Row],[Shortname]], Comp[], 15, FALSE)</f>
        <v>0</v>
      </c>
      <c r="S414">
        <f>VLOOKUP(Table5[[#This Row],[Shortname]], Comp[], 16, FALSE)</f>
        <v>0</v>
      </c>
      <c r="T414">
        <f>VLOOKUP(Table5[[#This Row],[Shortname]], Comp[], 17, FALSE)</f>
        <v>0</v>
      </c>
      <c r="U414">
        <f>VLOOKUP(Table5[[#This Row],[Shortname]], Comp[], 18, FALSE)</f>
        <v>0</v>
      </c>
      <c r="V414">
        <f>VLOOKUP(Table5[[#This Row],[Shortname]], Comp[], 19, FALSE)</f>
        <v>0</v>
      </c>
      <c r="W414">
        <f>VLOOKUP(Table5[[#This Row],[Shortname]], Comp[], 20, FALSE)</f>
        <v>0</v>
      </c>
      <c r="X414">
        <f>VLOOKUP(Table5[[#This Row],[Shortname]], Comp[], 21, FALSE)</f>
        <v>0</v>
      </c>
      <c r="Y414">
        <f>VLOOKUP(Table5[[#This Row],[Shortname]], Comp[], 22, FALSE)</f>
        <v>0</v>
      </c>
      <c r="Z414">
        <f>VLOOKUP(Table5[[#This Row],[Shortname]], Comp[], 23, FALSE)</f>
        <v>0</v>
      </c>
      <c r="AA414">
        <f>VLOOKUP(Table5[[#This Row],[Shortname]], Comp[], 24, FALSE)</f>
        <v>0</v>
      </c>
      <c r="AB414">
        <f>VLOOKUP(Table5[[#This Row],[Shortname]], Comp[], 25, FALSE)</f>
        <v>0</v>
      </c>
      <c r="AC414">
        <f>VLOOKUP(Table5[[#This Row],[Shortname]], Comp[], 26, FALSE)</f>
        <v>0</v>
      </c>
      <c r="AD414">
        <f>VLOOKUP(Table5[[#This Row],[Shortname]], Comp[], 27, FALSE)</f>
        <v>0</v>
      </c>
      <c r="AE414">
        <f>VLOOKUP(Table5[[#This Row],[Shortname]], Comp[], 28, FALSE)</f>
        <v>0</v>
      </c>
      <c r="AF414">
        <f>VLOOKUP(Table5[[#This Row],[Shortname]], Comp[], 29, FALSE)</f>
        <v>0</v>
      </c>
      <c r="AG414">
        <f>VLOOKUP(Table5[[#This Row],[Shortname]], Comp[], 30, FALSE)</f>
        <v>0</v>
      </c>
      <c r="AH414">
        <f>VLOOKUP(Table5[[#This Row],[Shortname]], Comp[], 31, FALSE)</f>
        <v>0</v>
      </c>
    </row>
    <row r="415" spans="1:34" x14ac:dyDescent="0.3">
      <c r="A415" s="7" t="s">
        <v>689</v>
      </c>
      <c r="B415">
        <v>430</v>
      </c>
      <c r="C415" s="7" t="str">
        <f>VLOOKUP(Table5[[#This Row],[Shortname]], [1]!comp[#Data], 2, FALSE)</f>
        <v>CoAlW-X</v>
      </c>
      <c r="D415" s="7" t="s">
        <v>4972</v>
      </c>
      <c r="E415" s="3" t="s">
        <v>4968</v>
      </c>
      <c r="F415">
        <v>1049</v>
      </c>
      <c r="G415">
        <v>1464</v>
      </c>
      <c r="J415" s="14">
        <f>VLOOKUP(Table5[[#This Row],[Shortname]], Comp[], 7, FALSE)</f>
        <v>46</v>
      </c>
      <c r="K415">
        <f>VLOOKUP(Table5[[#This Row],[Shortname]], Comp[], 8, FALSE)</f>
        <v>35</v>
      </c>
      <c r="L415">
        <f>VLOOKUP(Table5[[#This Row],[Shortname]], Comp[], 9, FALSE)</f>
        <v>9</v>
      </c>
      <c r="M415">
        <f>VLOOKUP(Table5[[#This Row],[Shortname]], Comp[], 10, FALSE)</f>
        <v>0</v>
      </c>
      <c r="N415">
        <f>VLOOKUP(Table5[[#This Row],[Shortname]], Comp[], 11, FALSE)</f>
        <v>10</v>
      </c>
      <c r="O415">
        <f>VLOOKUP(Table5[[#This Row],[Shortname]], Comp[],12, FALSE)</f>
        <v>0</v>
      </c>
      <c r="P415">
        <f>VLOOKUP(Table5[[#This Row],[Shortname]], Comp[], 13, FALSE)</f>
        <v>0</v>
      </c>
      <c r="Q415">
        <f>VLOOKUP(Table5[[#This Row],[Shortname]], Comp[], 14, FALSE)</f>
        <v>0</v>
      </c>
      <c r="R415">
        <f>VLOOKUP(Table5[[#This Row],[Shortname]], Comp[], 15, FALSE)</f>
        <v>0</v>
      </c>
      <c r="S415">
        <f>VLOOKUP(Table5[[#This Row],[Shortname]], Comp[], 16, FALSE)</f>
        <v>0</v>
      </c>
      <c r="T415">
        <f>VLOOKUP(Table5[[#This Row],[Shortname]], Comp[], 17, FALSE)</f>
        <v>0</v>
      </c>
      <c r="U415">
        <f>VLOOKUP(Table5[[#This Row],[Shortname]], Comp[], 18, FALSE)</f>
        <v>0</v>
      </c>
      <c r="V415">
        <f>VLOOKUP(Table5[[#This Row],[Shortname]], Comp[], 19, FALSE)</f>
        <v>0</v>
      </c>
      <c r="W415">
        <f>VLOOKUP(Table5[[#This Row],[Shortname]], Comp[], 20, FALSE)</f>
        <v>0</v>
      </c>
      <c r="X415">
        <f>VLOOKUP(Table5[[#This Row],[Shortname]], Comp[], 21, FALSE)</f>
        <v>0</v>
      </c>
      <c r="Y415">
        <f>VLOOKUP(Table5[[#This Row],[Shortname]], Comp[], 22, FALSE)</f>
        <v>0</v>
      </c>
      <c r="Z415">
        <f>VLOOKUP(Table5[[#This Row],[Shortname]], Comp[], 23, FALSE)</f>
        <v>0</v>
      </c>
      <c r="AA415">
        <f>VLOOKUP(Table5[[#This Row],[Shortname]], Comp[], 24, FALSE)</f>
        <v>0</v>
      </c>
      <c r="AB415">
        <f>VLOOKUP(Table5[[#This Row],[Shortname]], Comp[], 25, FALSE)</f>
        <v>0</v>
      </c>
      <c r="AC415">
        <f>VLOOKUP(Table5[[#This Row],[Shortname]], Comp[], 26, FALSE)</f>
        <v>0</v>
      </c>
      <c r="AD415">
        <f>VLOOKUP(Table5[[#This Row],[Shortname]], Comp[], 27, FALSE)</f>
        <v>0</v>
      </c>
      <c r="AE415">
        <f>VLOOKUP(Table5[[#This Row],[Shortname]], Comp[], 28, FALSE)</f>
        <v>0</v>
      </c>
      <c r="AF415">
        <f>VLOOKUP(Table5[[#This Row],[Shortname]], Comp[], 29, FALSE)</f>
        <v>0</v>
      </c>
      <c r="AG415">
        <f>VLOOKUP(Table5[[#This Row],[Shortname]], Comp[], 30, FALSE)</f>
        <v>0</v>
      </c>
      <c r="AH415">
        <f>VLOOKUP(Table5[[#This Row],[Shortname]], Comp[], 31, FALSE)</f>
        <v>0</v>
      </c>
    </row>
    <row r="416" spans="1:34" x14ac:dyDescent="0.3">
      <c r="A416" s="7" t="s">
        <v>682</v>
      </c>
      <c r="B416">
        <v>431</v>
      </c>
      <c r="C416" s="7" t="str">
        <f>VLOOKUP(Table5[[#This Row],[Shortname]], [1]!comp[#Data], 2, FALSE)</f>
        <v>CoAlW-X</v>
      </c>
      <c r="D416" s="7" t="s">
        <v>4970</v>
      </c>
      <c r="E416" s="3" t="s">
        <v>4968</v>
      </c>
      <c r="F416">
        <v>1037</v>
      </c>
      <c r="G416">
        <v>1464</v>
      </c>
      <c r="J416" s="14">
        <f>VLOOKUP(Table5[[#This Row],[Shortname]], Comp[], 7, FALSE)</f>
        <v>56</v>
      </c>
      <c r="K416">
        <f>VLOOKUP(Table5[[#This Row],[Shortname]], Comp[], 8, FALSE)</f>
        <v>25</v>
      </c>
      <c r="L416">
        <f>VLOOKUP(Table5[[#This Row],[Shortname]], Comp[], 9, FALSE)</f>
        <v>9</v>
      </c>
      <c r="M416">
        <f>VLOOKUP(Table5[[#This Row],[Shortname]], Comp[], 10, FALSE)</f>
        <v>0</v>
      </c>
      <c r="N416">
        <f>VLOOKUP(Table5[[#This Row],[Shortname]], Comp[], 11, FALSE)</f>
        <v>10</v>
      </c>
      <c r="O416">
        <f>VLOOKUP(Table5[[#This Row],[Shortname]], Comp[],12, FALSE)</f>
        <v>0</v>
      </c>
      <c r="P416">
        <f>VLOOKUP(Table5[[#This Row],[Shortname]], Comp[], 13, FALSE)</f>
        <v>0</v>
      </c>
      <c r="Q416">
        <f>VLOOKUP(Table5[[#This Row],[Shortname]], Comp[], 14, FALSE)</f>
        <v>0</v>
      </c>
      <c r="R416">
        <f>VLOOKUP(Table5[[#This Row],[Shortname]], Comp[], 15, FALSE)</f>
        <v>0</v>
      </c>
      <c r="S416">
        <f>VLOOKUP(Table5[[#This Row],[Shortname]], Comp[], 16, FALSE)</f>
        <v>0</v>
      </c>
      <c r="T416">
        <f>VLOOKUP(Table5[[#This Row],[Shortname]], Comp[], 17, FALSE)</f>
        <v>0</v>
      </c>
      <c r="U416">
        <f>VLOOKUP(Table5[[#This Row],[Shortname]], Comp[], 18, FALSE)</f>
        <v>0</v>
      </c>
      <c r="V416">
        <f>VLOOKUP(Table5[[#This Row],[Shortname]], Comp[], 19, FALSE)</f>
        <v>0</v>
      </c>
      <c r="W416">
        <f>VLOOKUP(Table5[[#This Row],[Shortname]], Comp[], 20, FALSE)</f>
        <v>0</v>
      </c>
      <c r="X416">
        <f>VLOOKUP(Table5[[#This Row],[Shortname]], Comp[], 21, FALSE)</f>
        <v>0</v>
      </c>
      <c r="Y416">
        <f>VLOOKUP(Table5[[#This Row],[Shortname]], Comp[], 22, FALSE)</f>
        <v>0</v>
      </c>
      <c r="Z416">
        <f>VLOOKUP(Table5[[#This Row],[Shortname]], Comp[], 23, FALSE)</f>
        <v>0</v>
      </c>
      <c r="AA416">
        <f>VLOOKUP(Table5[[#This Row],[Shortname]], Comp[], 24, FALSE)</f>
        <v>0</v>
      </c>
      <c r="AB416">
        <f>VLOOKUP(Table5[[#This Row],[Shortname]], Comp[], 25, FALSE)</f>
        <v>0</v>
      </c>
      <c r="AC416">
        <f>VLOOKUP(Table5[[#This Row],[Shortname]], Comp[], 26, FALSE)</f>
        <v>0</v>
      </c>
      <c r="AD416">
        <f>VLOOKUP(Table5[[#This Row],[Shortname]], Comp[], 27, FALSE)</f>
        <v>0</v>
      </c>
      <c r="AE416">
        <f>VLOOKUP(Table5[[#This Row],[Shortname]], Comp[], 28, FALSE)</f>
        <v>0</v>
      </c>
      <c r="AF416">
        <f>VLOOKUP(Table5[[#This Row],[Shortname]], Comp[], 29, FALSE)</f>
        <v>0</v>
      </c>
      <c r="AG416">
        <f>VLOOKUP(Table5[[#This Row],[Shortname]], Comp[], 30, FALSE)</f>
        <v>0</v>
      </c>
      <c r="AH416">
        <f>VLOOKUP(Table5[[#This Row],[Shortname]], Comp[], 31, FALSE)</f>
        <v>0</v>
      </c>
    </row>
    <row r="417" spans="1:34" x14ac:dyDescent="0.3">
      <c r="A417" s="7" t="s">
        <v>672</v>
      </c>
      <c r="B417">
        <v>432</v>
      </c>
      <c r="C417" s="7" t="str">
        <f>VLOOKUP(Table5[[#This Row],[Shortname]], [1]!comp[#Data], 2, FALSE)</f>
        <v>CoAlW-X</v>
      </c>
      <c r="D417" s="7" t="s">
        <v>4967</v>
      </c>
      <c r="E417" s="3" t="s">
        <v>4968</v>
      </c>
      <c r="F417">
        <v>1030</v>
      </c>
      <c r="G417">
        <v>1460</v>
      </c>
      <c r="J417" s="14">
        <f>VLOOKUP(Table5[[#This Row],[Shortname]], Comp[], 7, FALSE)</f>
        <v>66</v>
      </c>
      <c r="K417">
        <f>VLOOKUP(Table5[[#This Row],[Shortname]], Comp[], 8, FALSE)</f>
        <v>15</v>
      </c>
      <c r="L417">
        <f>VLOOKUP(Table5[[#This Row],[Shortname]], Comp[], 9, FALSE)</f>
        <v>9</v>
      </c>
      <c r="M417">
        <f>VLOOKUP(Table5[[#This Row],[Shortname]], Comp[], 10, FALSE)</f>
        <v>0</v>
      </c>
      <c r="N417">
        <f>VLOOKUP(Table5[[#This Row],[Shortname]], Comp[], 11, FALSE)</f>
        <v>10</v>
      </c>
      <c r="O417">
        <f>VLOOKUP(Table5[[#This Row],[Shortname]], Comp[],12, FALSE)</f>
        <v>0</v>
      </c>
      <c r="P417">
        <f>VLOOKUP(Table5[[#This Row],[Shortname]], Comp[], 13, FALSE)</f>
        <v>0</v>
      </c>
      <c r="Q417">
        <f>VLOOKUP(Table5[[#This Row],[Shortname]], Comp[], 14, FALSE)</f>
        <v>0</v>
      </c>
      <c r="R417">
        <f>VLOOKUP(Table5[[#This Row],[Shortname]], Comp[], 15, FALSE)</f>
        <v>0</v>
      </c>
      <c r="S417">
        <f>VLOOKUP(Table5[[#This Row],[Shortname]], Comp[], 16, FALSE)</f>
        <v>0</v>
      </c>
      <c r="T417">
        <f>VLOOKUP(Table5[[#This Row],[Shortname]], Comp[], 17, FALSE)</f>
        <v>0</v>
      </c>
      <c r="U417">
        <f>VLOOKUP(Table5[[#This Row],[Shortname]], Comp[], 18, FALSE)</f>
        <v>0</v>
      </c>
      <c r="V417">
        <f>VLOOKUP(Table5[[#This Row],[Shortname]], Comp[], 19, FALSE)</f>
        <v>0</v>
      </c>
      <c r="W417">
        <f>VLOOKUP(Table5[[#This Row],[Shortname]], Comp[], 20, FALSE)</f>
        <v>0</v>
      </c>
      <c r="X417">
        <f>VLOOKUP(Table5[[#This Row],[Shortname]], Comp[], 21, FALSE)</f>
        <v>0</v>
      </c>
      <c r="Y417">
        <f>VLOOKUP(Table5[[#This Row],[Shortname]], Comp[], 22, FALSE)</f>
        <v>0</v>
      </c>
      <c r="Z417">
        <f>VLOOKUP(Table5[[#This Row],[Shortname]], Comp[], 23, FALSE)</f>
        <v>0</v>
      </c>
      <c r="AA417">
        <f>VLOOKUP(Table5[[#This Row],[Shortname]], Comp[], 24, FALSE)</f>
        <v>0</v>
      </c>
      <c r="AB417">
        <f>VLOOKUP(Table5[[#This Row],[Shortname]], Comp[], 25, FALSE)</f>
        <v>0</v>
      </c>
      <c r="AC417">
        <f>VLOOKUP(Table5[[#This Row],[Shortname]], Comp[], 26, FALSE)</f>
        <v>0</v>
      </c>
      <c r="AD417">
        <f>VLOOKUP(Table5[[#This Row],[Shortname]], Comp[], 27, FALSE)</f>
        <v>0</v>
      </c>
      <c r="AE417">
        <f>VLOOKUP(Table5[[#This Row],[Shortname]], Comp[], 28, FALSE)</f>
        <v>0</v>
      </c>
      <c r="AF417">
        <f>VLOOKUP(Table5[[#This Row],[Shortname]], Comp[], 29, FALSE)</f>
        <v>0</v>
      </c>
      <c r="AG417">
        <f>VLOOKUP(Table5[[#This Row],[Shortname]], Comp[], 30, FALSE)</f>
        <v>0</v>
      </c>
      <c r="AH417">
        <f>VLOOKUP(Table5[[#This Row],[Shortname]], Comp[], 31, FALSE)</f>
        <v>0</v>
      </c>
    </row>
    <row r="418" spans="1:34" x14ac:dyDescent="0.3">
      <c r="A418" s="7" t="s">
        <v>1348</v>
      </c>
      <c r="B418">
        <v>433</v>
      </c>
      <c r="C418" s="7" t="str">
        <f>VLOOKUP(Table5[[#This Row],[Shortname]], [1]!comp[#Data], 2, FALSE)</f>
        <v>CoAlW-X</v>
      </c>
      <c r="D418" s="7" t="s">
        <v>2354</v>
      </c>
      <c r="E418" s="11" t="s">
        <v>6756</v>
      </c>
      <c r="F418">
        <v>1100</v>
      </c>
      <c r="G418">
        <v>1412</v>
      </c>
      <c r="H418">
        <v>1455</v>
      </c>
      <c r="J418" s="14">
        <f>VLOOKUP(Table5[[#This Row],[Shortname]], Comp[], 7, FALSE)</f>
        <v>79</v>
      </c>
      <c r="K418">
        <f>VLOOKUP(Table5[[#This Row],[Shortname]], Comp[], 8, FALSE)</f>
        <v>0</v>
      </c>
      <c r="L418">
        <f>VLOOKUP(Table5[[#This Row],[Shortname]], Comp[], 9, FALSE)</f>
        <v>9</v>
      </c>
      <c r="M418">
        <f>VLOOKUP(Table5[[#This Row],[Shortname]], Comp[], 10, FALSE)</f>
        <v>0</v>
      </c>
      <c r="N418">
        <f>VLOOKUP(Table5[[#This Row],[Shortname]], Comp[], 11, FALSE)</f>
        <v>10</v>
      </c>
      <c r="O418">
        <f>VLOOKUP(Table5[[#This Row],[Shortname]], Comp[],12, FALSE)</f>
        <v>0</v>
      </c>
      <c r="P418">
        <f>VLOOKUP(Table5[[#This Row],[Shortname]], Comp[], 13, FALSE)</f>
        <v>2</v>
      </c>
      <c r="Q418">
        <f>VLOOKUP(Table5[[#This Row],[Shortname]], Comp[], 14, FALSE)</f>
        <v>0</v>
      </c>
      <c r="R418">
        <f>VLOOKUP(Table5[[#This Row],[Shortname]], Comp[], 15, FALSE)</f>
        <v>0</v>
      </c>
      <c r="S418">
        <f>VLOOKUP(Table5[[#This Row],[Shortname]], Comp[], 16, FALSE)</f>
        <v>0</v>
      </c>
      <c r="T418">
        <f>VLOOKUP(Table5[[#This Row],[Shortname]], Comp[], 17, FALSE)</f>
        <v>0</v>
      </c>
      <c r="U418">
        <f>VLOOKUP(Table5[[#This Row],[Shortname]], Comp[], 18, FALSE)</f>
        <v>0</v>
      </c>
      <c r="V418">
        <f>VLOOKUP(Table5[[#This Row],[Shortname]], Comp[], 19, FALSE)</f>
        <v>0</v>
      </c>
      <c r="W418">
        <f>VLOOKUP(Table5[[#This Row],[Shortname]], Comp[], 20, FALSE)</f>
        <v>0</v>
      </c>
      <c r="X418">
        <f>VLOOKUP(Table5[[#This Row],[Shortname]], Comp[], 21, FALSE)</f>
        <v>0</v>
      </c>
      <c r="Y418">
        <f>VLOOKUP(Table5[[#This Row],[Shortname]], Comp[], 22, FALSE)</f>
        <v>0</v>
      </c>
      <c r="Z418">
        <f>VLOOKUP(Table5[[#This Row],[Shortname]], Comp[], 23, FALSE)</f>
        <v>0</v>
      </c>
      <c r="AA418">
        <f>VLOOKUP(Table5[[#This Row],[Shortname]], Comp[], 24, FALSE)</f>
        <v>0</v>
      </c>
      <c r="AB418">
        <f>VLOOKUP(Table5[[#This Row],[Shortname]], Comp[], 25, FALSE)</f>
        <v>0</v>
      </c>
      <c r="AC418">
        <f>VLOOKUP(Table5[[#This Row],[Shortname]], Comp[], 26, FALSE)</f>
        <v>0</v>
      </c>
      <c r="AD418">
        <f>VLOOKUP(Table5[[#This Row],[Shortname]], Comp[], 27, FALSE)</f>
        <v>0</v>
      </c>
      <c r="AE418">
        <f>VLOOKUP(Table5[[#This Row],[Shortname]], Comp[], 28, FALSE)</f>
        <v>0</v>
      </c>
      <c r="AF418">
        <f>VLOOKUP(Table5[[#This Row],[Shortname]], Comp[], 29, FALSE)</f>
        <v>0</v>
      </c>
      <c r="AG418">
        <f>VLOOKUP(Table5[[#This Row],[Shortname]], Comp[], 30, FALSE)</f>
        <v>0</v>
      </c>
      <c r="AH418">
        <f>VLOOKUP(Table5[[#This Row],[Shortname]], Comp[], 31, FALSE)</f>
        <v>0</v>
      </c>
    </row>
    <row r="419" spans="1:34" x14ac:dyDescent="0.3">
      <c r="A419" s="7" t="s">
        <v>3898</v>
      </c>
      <c r="B419">
        <v>434</v>
      </c>
      <c r="C419" s="7" t="str">
        <f>VLOOKUP(Table5[[#This Row],[Shortname]], [1]!comp[#Data], 2, FALSE)</f>
        <v>CoAlW-X</v>
      </c>
      <c r="D419" s="7" t="s">
        <v>3899</v>
      </c>
      <c r="E419" s="11" t="s">
        <v>6756</v>
      </c>
      <c r="F419">
        <v>1065</v>
      </c>
      <c r="G419">
        <v>1408</v>
      </c>
      <c r="H419">
        <v>1468</v>
      </c>
      <c r="J419" s="14">
        <f>VLOOKUP(Table5[[#This Row],[Shortname]], Comp[], 7, FALSE)</f>
        <v>79</v>
      </c>
      <c r="K419">
        <f>VLOOKUP(Table5[[#This Row],[Shortname]], Comp[], 8, FALSE)</f>
        <v>0</v>
      </c>
      <c r="L419">
        <f>VLOOKUP(Table5[[#This Row],[Shortname]], Comp[], 9, FALSE)</f>
        <v>9</v>
      </c>
      <c r="M419">
        <f>VLOOKUP(Table5[[#This Row],[Shortname]], Comp[], 10, FALSE)</f>
        <v>0</v>
      </c>
      <c r="N419">
        <f>VLOOKUP(Table5[[#This Row],[Shortname]], Comp[], 11, FALSE)</f>
        <v>10</v>
      </c>
      <c r="O419">
        <f>VLOOKUP(Table5[[#This Row],[Shortname]], Comp[],12, FALSE)</f>
        <v>2</v>
      </c>
      <c r="P419">
        <f>VLOOKUP(Table5[[#This Row],[Shortname]], Comp[], 13, FALSE)</f>
        <v>0</v>
      </c>
      <c r="Q419">
        <f>VLOOKUP(Table5[[#This Row],[Shortname]], Comp[], 14, FALSE)</f>
        <v>0</v>
      </c>
      <c r="R419">
        <f>VLOOKUP(Table5[[#This Row],[Shortname]], Comp[], 15, FALSE)</f>
        <v>0</v>
      </c>
      <c r="S419">
        <f>VLOOKUP(Table5[[#This Row],[Shortname]], Comp[], 16, FALSE)</f>
        <v>0</v>
      </c>
      <c r="T419">
        <f>VLOOKUP(Table5[[#This Row],[Shortname]], Comp[], 17, FALSE)</f>
        <v>0</v>
      </c>
      <c r="U419">
        <f>VLOOKUP(Table5[[#This Row],[Shortname]], Comp[], 18, FALSE)</f>
        <v>0</v>
      </c>
      <c r="V419">
        <f>VLOOKUP(Table5[[#This Row],[Shortname]], Comp[], 19, FALSE)</f>
        <v>0</v>
      </c>
      <c r="W419">
        <f>VLOOKUP(Table5[[#This Row],[Shortname]], Comp[], 20, FALSE)</f>
        <v>0</v>
      </c>
      <c r="X419">
        <f>VLOOKUP(Table5[[#This Row],[Shortname]], Comp[], 21, FALSE)</f>
        <v>0</v>
      </c>
      <c r="Y419">
        <f>VLOOKUP(Table5[[#This Row],[Shortname]], Comp[], 22, FALSE)</f>
        <v>0</v>
      </c>
      <c r="Z419">
        <f>VLOOKUP(Table5[[#This Row],[Shortname]], Comp[], 23, FALSE)</f>
        <v>0</v>
      </c>
      <c r="AA419">
        <f>VLOOKUP(Table5[[#This Row],[Shortname]], Comp[], 24, FALSE)</f>
        <v>0</v>
      </c>
      <c r="AB419">
        <f>VLOOKUP(Table5[[#This Row],[Shortname]], Comp[], 25, FALSE)</f>
        <v>0</v>
      </c>
      <c r="AC419">
        <f>VLOOKUP(Table5[[#This Row],[Shortname]], Comp[], 26, FALSE)</f>
        <v>0</v>
      </c>
      <c r="AD419">
        <f>VLOOKUP(Table5[[#This Row],[Shortname]], Comp[], 27, FALSE)</f>
        <v>0</v>
      </c>
      <c r="AE419">
        <f>VLOOKUP(Table5[[#This Row],[Shortname]], Comp[], 28, FALSE)</f>
        <v>0</v>
      </c>
      <c r="AF419">
        <f>VLOOKUP(Table5[[#This Row],[Shortname]], Comp[], 29, FALSE)</f>
        <v>0</v>
      </c>
      <c r="AG419">
        <f>VLOOKUP(Table5[[#This Row],[Shortname]], Comp[], 30, FALSE)</f>
        <v>0</v>
      </c>
      <c r="AH419">
        <f>VLOOKUP(Table5[[#This Row],[Shortname]], Comp[], 31, FALSE)</f>
        <v>0</v>
      </c>
    </row>
    <row r="420" spans="1:34" x14ac:dyDescent="0.3">
      <c r="A420" s="7" t="s">
        <v>3926</v>
      </c>
      <c r="B420">
        <v>435</v>
      </c>
      <c r="C420" s="7" t="str">
        <f>VLOOKUP(Table5[[#This Row],[Shortname]], [1]!comp[#Data], 2, FALSE)</f>
        <v>CoAlW-X</v>
      </c>
      <c r="D420" s="7" t="s">
        <v>3927</v>
      </c>
      <c r="E420" s="11" t="s">
        <v>6756</v>
      </c>
      <c r="F420">
        <v>1047</v>
      </c>
      <c r="G420">
        <v>1405</v>
      </c>
      <c r="H420">
        <v>1464</v>
      </c>
      <c r="J420" s="14">
        <f>VLOOKUP(Table5[[#This Row],[Shortname]], Comp[], 7, FALSE)</f>
        <v>79</v>
      </c>
      <c r="K420">
        <f>VLOOKUP(Table5[[#This Row],[Shortname]], Comp[], 8, FALSE)</f>
        <v>0</v>
      </c>
      <c r="L420">
        <f>VLOOKUP(Table5[[#This Row],[Shortname]], Comp[], 9, FALSE)</f>
        <v>9</v>
      </c>
      <c r="M420">
        <f>VLOOKUP(Table5[[#This Row],[Shortname]], Comp[], 10, FALSE)</f>
        <v>0</v>
      </c>
      <c r="N420">
        <f>VLOOKUP(Table5[[#This Row],[Shortname]], Comp[], 11, FALSE)</f>
        <v>10</v>
      </c>
      <c r="O420">
        <f>VLOOKUP(Table5[[#This Row],[Shortname]], Comp[],12, FALSE)</f>
        <v>0</v>
      </c>
      <c r="P420">
        <f>VLOOKUP(Table5[[#This Row],[Shortname]], Comp[], 13, FALSE)</f>
        <v>0</v>
      </c>
      <c r="Q420">
        <f>VLOOKUP(Table5[[#This Row],[Shortname]], Comp[], 14, FALSE)</f>
        <v>2</v>
      </c>
      <c r="R420">
        <f>VLOOKUP(Table5[[#This Row],[Shortname]], Comp[], 15, FALSE)</f>
        <v>0</v>
      </c>
      <c r="S420">
        <f>VLOOKUP(Table5[[#This Row],[Shortname]], Comp[], 16, FALSE)</f>
        <v>0</v>
      </c>
      <c r="T420">
        <f>VLOOKUP(Table5[[#This Row],[Shortname]], Comp[], 17, FALSE)</f>
        <v>0</v>
      </c>
      <c r="U420">
        <f>VLOOKUP(Table5[[#This Row],[Shortname]], Comp[], 18, FALSE)</f>
        <v>0</v>
      </c>
      <c r="V420">
        <f>VLOOKUP(Table5[[#This Row],[Shortname]], Comp[], 19, FALSE)</f>
        <v>0</v>
      </c>
      <c r="W420">
        <f>VLOOKUP(Table5[[#This Row],[Shortname]], Comp[], 20, FALSE)</f>
        <v>0</v>
      </c>
      <c r="X420">
        <f>VLOOKUP(Table5[[#This Row],[Shortname]], Comp[], 21, FALSE)</f>
        <v>0</v>
      </c>
      <c r="Y420">
        <f>VLOOKUP(Table5[[#This Row],[Shortname]], Comp[], 22, FALSE)</f>
        <v>0</v>
      </c>
      <c r="Z420">
        <f>VLOOKUP(Table5[[#This Row],[Shortname]], Comp[], 23, FALSE)</f>
        <v>0</v>
      </c>
      <c r="AA420">
        <f>VLOOKUP(Table5[[#This Row],[Shortname]], Comp[], 24, FALSE)</f>
        <v>0</v>
      </c>
      <c r="AB420">
        <f>VLOOKUP(Table5[[#This Row],[Shortname]], Comp[], 25, FALSE)</f>
        <v>0</v>
      </c>
      <c r="AC420">
        <f>VLOOKUP(Table5[[#This Row],[Shortname]], Comp[], 26, FALSE)</f>
        <v>0</v>
      </c>
      <c r="AD420">
        <f>VLOOKUP(Table5[[#This Row],[Shortname]], Comp[], 27, FALSE)</f>
        <v>0</v>
      </c>
      <c r="AE420">
        <f>VLOOKUP(Table5[[#This Row],[Shortname]], Comp[], 28, FALSE)</f>
        <v>0</v>
      </c>
      <c r="AF420">
        <f>VLOOKUP(Table5[[#This Row],[Shortname]], Comp[], 29, FALSE)</f>
        <v>0</v>
      </c>
      <c r="AG420">
        <f>VLOOKUP(Table5[[#This Row],[Shortname]], Comp[], 30, FALSE)</f>
        <v>0</v>
      </c>
      <c r="AH420">
        <f>VLOOKUP(Table5[[#This Row],[Shortname]], Comp[], 31, FALSE)</f>
        <v>0</v>
      </c>
    </row>
    <row r="421" spans="1:34" x14ac:dyDescent="0.3">
      <c r="A421" s="7" t="s">
        <v>2600</v>
      </c>
      <c r="B421">
        <v>436</v>
      </c>
      <c r="C421" s="7" t="str">
        <f>VLOOKUP(Table5[[#This Row],[Shortname]], [1]!comp[#Data], 2, FALSE)</f>
        <v>CoAlW-X</v>
      </c>
      <c r="D421" s="7" t="s">
        <v>3903</v>
      </c>
      <c r="E421" s="11" t="s">
        <v>6756</v>
      </c>
      <c r="F421">
        <v>1029</v>
      </c>
      <c r="G421">
        <v>1459</v>
      </c>
      <c r="H421">
        <v>1476</v>
      </c>
      <c r="J421" s="14">
        <f>VLOOKUP(Table5[[#This Row],[Shortname]], Comp[], 7, FALSE)</f>
        <v>81</v>
      </c>
      <c r="K421">
        <f>VLOOKUP(Table5[[#This Row],[Shortname]], Comp[], 8, FALSE)</f>
        <v>0</v>
      </c>
      <c r="L421">
        <f>VLOOKUP(Table5[[#This Row],[Shortname]], Comp[], 9, FALSE)</f>
        <v>9</v>
      </c>
      <c r="M421">
        <f>VLOOKUP(Table5[[#This Row],[Shortname]], Comp[], 10, FALSE)</f>
        <v>0</v>
      </c>
      <c r="N421">
        <f>VLOOKUP(Table5[[#This Row],[Shortname]], Comp[], 11, FALSE)</f>
        <v>10</v>
      </c>
      <c r="O421">
        <f>VLOOKUP(Table5[[#This Row],[Shortname]], Comp[],12, FALSE)</f>
        <v>0</v>
      </c>
      <c r="P421">
        <f>VLOOKUP(Table5[[#This Row],[Shortname]], Comp[], 13, FALSE)</f>
        <v>0</v>
      </c>
      <c r="Q421">
        <f>VLOOKUP(Table5[[#This Row],[Shortname]], Comp[], 14, FALSE)</f>
        <v>0</v>
      </c>
      <c r="R421">
        <f>VLOOKUP(Table5[[#This Row],[Shortname]], Comp[], 15, FALSE)</f>
        <v>0</v>
      </c>
      <c r="S421">
        <f>VLOOKUP(Table5[[#This Row],[Shortname]], Comp[], 16, FALSE)</f>
        <v>0</v>
      </c>
      <c r="T421">
        <f>VLOOKUP(Table5[[#This Row],[Shortname]], Comp[], 17, FALSE)</f>
        <v>0</v>
      </c>
      <c r="U421">
        <f>VLOOKUP(Table5[[#This Row],[Shortname]], Comp[], 18, FALSE)</f>
        <v>0</v>
      </c>
      <c r="V421">
        <f>VLOOKUP(Table5[[#This Row],[Shortname]], Comp[], 19, FALSE)</f>
        <v>0</v>
      </c>
      <c r="W421">
        <f>VLOOKUP(Table5[[#This Row],[Shortname]], Comp[], 20, FALSE)</f>
        <v>0</v>
      </c>
      <c r="X421">
        <f>VLOOKUP(Table5[[#This Row],[Shortname]], Comp[], 21, FALSE)</f>
        <v>0</v>
      </c>
      <c r="Y421">
        <f>VLOOKUP(Table5[[#This Row],[Shortname]], Comp[], 22, FALSE)</f>
        <v>0</v>
      </c>
      <c r="Z421">
        <f>VLOOKUP(Table5[[#This Row],[Shortname]], Comp[], 23, FALSE)</f>
        <v>0</v>
      </c>
      <c r="AA421">
        <f>VLOOKUP(Table5[[#This Row],[Shortname]], Comp[], 24, FALSE)</f>
        <v>0</v>
      </c>
      <c r="AB421">
        <f>VLOOKUP(Table5[[#This Row],[Shortname]], Comp[], 25, FALSE)</f>
        <v>0</v>
      </c>
      <c r="AC421">
        <f>VLOOKUP(Table5[[#This Row],[Shortname]], Comp[], 26, FALSE)</f>
        <v>0</v>
      </c>
      <c r="AD421">
        <f>VLOOKUP(Table5[[#This Row],[Shortname]], Comp[], 27, FALSE)</f>
        <v>0</v>
      </c>
      <c r="AE421">
        <f>VLOOKUP(Table5[[#This Row],[Shortname]], Comp[], 28, FALSE)</f>
        <v>0</v>
      </c>
      <c r="AF421">
        <f>VLOOKUP(Table5[[#This Row],[Shortname]], Comp[], 29, FALSE)</f>
        <v>0</v>
      </c>
      <c r="AG421">
        <f>VLOOKUP(Table5[[#This Row],[Shortname]], Comp[], 30, FALSE)</f>
        <v>0</v>
      </c>
      <c r="AH421">
        <f>VLOOKUP(Table5[[#This Row],[Shortname]], Comp[], 31, FALSE)</f>
        <v>0</v>
      </c>
    </row>
    <row r="422" spans="1:34" x14ac:dyDescent="0.3">
      <c r="A422" s="7" t="s">
        <v>3917</v>
      </c>
      <c r="B422">
        <v>437</v>
      </c>
      <c r="C422" s="7" t="str">
        <f>VLOOKUP(Table5[[#This Row],[Shortname]], [1]!comp[#Data], 2, FALSE)</f>
        <v>CoAlW-X</v>
      </c>
      <c r="D422" s="7" t="s">
        <v>1484</v>
      </c>
      <c r="E422" s="11" t="s">
        <v>6756</v>
      </c>
      <c r="F422">
        <v>1018</v>
      </c>
      <c r="G422">
        <v>1440</v>
      </c>
      <c r="H422">
        <v>1468</v>
      </c>
      <c r="J422" s="14">
        <f>VLOOKUP(Table5[[#This Row],[Shortname]], Comp[], 7, FALSE)</f>
        <v>79</v>
      </c>
      <c r="K422">
        <f>VLOOKUP(Table5[[#This Row],[Shortname]], Comp[], 8, FALSE)</f>
        <v>0</v>
      </c>
      <c r="L422">
        <f>VLOOKUP(Table5[[#This Row],[Shortname]], Comp[], 9, FALSE)</f>
        <v>9</v>
      </c>
      <c r="M422">
        <f>VLOOKUP(Table5[[#This Row],[Shortname]], Comp[], 10, FALSE)</f>
        <v>0</v>
      </c>
      <c r="N422">
        <f>VLOOKUP(Table5[[#This Row],[Shortname]], Comp[], 11, FALSE)</f>
        <v>10</v>
      </c>
      <c r="O422">
        <f>VLOOKUP(Table5[[#This Row],[Shortname]], Comp[],12, FALSE)</f>
        <v>0</v>
      </c>
      <c r="P422">
        <f>VLOOKUP(Table5[[#This Row],[Shortname]], Comp[], 13, FALSE)</f>
        <v>0</v>
      </c>
      <c r="Q422">
        <f>VLOOKUP(Table5[[#This Row],[Shortname]], Comp[], 14, FALSE)</f>
        <v>0</v>
      </c>
      <c r="R422">
        <f>VLOOKUP(Table5[[#This Row],[Shortname]], Comp[], 15, FALSE)</f>
        <v>0</v>
      </c>
      <c r="S422">
        <f>VLOOKUP(Table5[[#This Row],[Shortname]], Comp[], 16, FALSE)</f>
        <v>2</v>
      </c>
      <c r="T422">
        <f>VLOOKUP(Table5[[#This Row],[Shortname]], Comp[], 17, FALSE)</f>
        <v>0</v>
      </c>
      <c r="U422">
        <f>VLOOKUP(Table5[[#This Row],[Shortname]], Comp[], 18, FALSE)</f>
        <v>0</v>
      </c>
      <c r="V422">
        <f>VLOOKUP(Table5[[#This Row],[Shortname]], Comp[], 19, FALSE)</f>
        <v>0</v>
      </c>
      <c r="W422">
        <f>VLOOKUP(Table5[[#This Row],[Shortname]], Comp[], 20, FALSE)</f>
        <v>0</v>
      </c>
      <c r="X422">
        <f>VLOOKUP(Table5[[#This Row],[Shortname]], Comp[], 21, FALSE)</f>
        <v>0</v>
      </c>
      <c r="Y422">
        <f>VLOOKUP(Table5[[#This Row],[Shortname]], Comp[], 22, FALSE)</f>
        <v>0</v>
      </c>
      <c r="Z422">
        <f>VLOOKUP(Table5[[#This Row],[Shortname]], Comp[], 23, FALSE)</f>
        <v>0</v>
      </c>
      <c r="AA422">
        <f>VLOOKUP(Table5[[#This Row],[Shortname]], Comp[], 24, FALSE)</f>
        <v>0</v>
      </c>
      <c r="AB422">
        <f>VLOOKUP(Table5[[#This Row],[Shortname]], Comp[], 25, FALSE)</f>
        <v>0</v>
      </c>
      <c r="AC422">
        <f>VLOOKUP(Table5[[#This Row],[Shortname]], Comp[], 26, FALSE)</f>
        <v>0</v>
      </c>
      <c r="AD422">
        <f>VLOOKUP(Table5[[#This Row],[Shortname]], Comp[], 27, FALSE)</f>
        <v>0</v>
      </c>
      <c r="AE422">
        <f>VLOOKUP(Table5[[#This Row],[Shortname]], Comp[], 28, FALSE)</f>
        <v>0</v>
      </c>
      <c r="AF422">
        <f>VLOOKUP(Table5[[#This Row],[Shortname]], Comp[], 29, FALSE)</f>
        <v>0</v>
      </c>
      <c r="AG422">
        <f>VLOOKUP(Table5[[#This Row],[Shortname]], Comp[], 30, FALSE)</f>
        <v>0</v>
      </c>
      <c r="AH422">
        <f>VLOOKUP(Table5[[#This Row],[Shortname]], Comp[], 31, FALSE)</f>
        <v>0</v>
      </c>
    </row>
    <row r="423" spans="1:34" x14ac:dyDescent="0.3">
      <c r="A423" s="7" t="s">
        <v>3905</v>
      </c>
      <c r="B423">
        <v>438</v>
      </c>
      <c r="C423" s="7" t="str">
        <f>VLOOKUP(Table5[[#This Row],[Shortname]], [1]!comp[#Data], 2, FALSE)</f>
        <v>CoAlW-X</v>
      </c>
      <c r="D423" s="7" t="s">
        <v>3906</v>
      </c>
      <c r="E423" s="11" t="s">
        <v>6756</v>
      </c>
      <c r="F423">
        <v>997</v>
      </c>
      <c r="G423">
        <v>1443</v>
      </c>
      <c r="H423">
        <v>1472</v>
      </c>
      <c r="J423" s="14">
        <f>VLOOKUP(Table5[[#This Row],[Shortname]], Comp[], 7, FALSE)</f>
        <v>79</v>
      </c>
      <c r="K423">
        <f>VLOOKUP(Table5[[#This Row],[Shortname]], Comp[], 8, FALSE)</f>
        <v>0</v>
      </c>
      <c r="L423">
        <f>VLOOKUP(Table5[[#This Row],[Shortname]], Comp[], 9, FALSE)</f>
        <v>9</v>
      </c>
      <c r="M423">
        <f>VLOOKUP(Table5[[#This Row],[Shortname]], Comp[], 10, FALSE)</f>
        <v>0</v>
      </c>
      <c r="N423">
        <f>VLOOKUP(Table5[[#This Row],[Shortname]], Comp[], 11, FALSE)</f>
        <v>10</v>
      </c>
      <c r="O423">
        <f>VLOOKUP(Table5[[#This Row],[Shortname]], Comp[],12, FALSE)</f>
        <v>0</v>
      </c>
      <c r="P423">
        <f>VLOOKUP(Table5[[#This Row],[Shortname]], Comp[], 13, FALSE)</f>
        <v>0</v>
      </c>
      <c r="Q423">
        <f>VLOOKUP(Table5[[#This Row],[Shortname]], Comp[], 14, FALSE)</f>
        <v>0</v>
      </c>
      <c r="R423">
        <f>VLOOKUP(Table5[[#This Row],[Shortname]], Comp[], 15, FALSE)</f>
        <v>2</v>
      </c>
      <c r="S423">
        <f>VLOOKUP(Table5[[#This Row],[Shortname]], Comp[], 16, FALSE)</f>
        <v>0</v>
      </c>
      <c r="T423">
        <f>VLOOKUP(Table5[[#This Row],[Shortname]], Comp[], 17, FALSE)</f>
        <v>0</v>
      </c>
      <c r="U423">
        <f>VLOOKUP(Table5[[#This Row],[Shortname]], Comp[], 18, FALSE)</f>
        <v>0</v>
      </c>
      <c r="V423">
        <f>VLOOKUP(Table5[[#This Row],[Shortname]], Comp[], 19, FALSE)</f>
        <v>0</v>
      </c>
      <c r="W423">
        <f>VLOOKUP(Table5[[#This Row],[Shortname]], Comp[], 20, FALSE)</f>
        <v>0</v>
      </c>
      <c r="X423">
        <f>VLOOKUP(Table5[[#This Row],[Shortname]], Comp[], 21, FALSE)</f>
        <v>0</v>
      </c>
      <c r="Y423">
        <f>VLOOKUP(Table5[[#This Row],[Shortname]], Comp[], 22, FALSE)</f>
        <v>0</v>
      </c>
      <c r="Z423">
        <f>VLOOKUP(Table5[[#This Row],[Shortname]], Comp[], 23, FALSE)</f>
        <v>0</v>
      </c>
      <c r="AA423">
        <f>VLOOKUP(Table5[[#This Row],[Shortname]], Comp[], 24, FALSE)</f>
        <v>0</v>
      </c>
      <c r="AB423">
        <f>VLOOKUP(Table5[[#This Row],[Shortname]], Comp[], 25, FALSE)</f>
        <v>0</v>
      </c>
      <c r="AC423">
        <f>VLOOKUP(Table5[[#This Row],[Shortname]], Comp[], 26, FALSE)</f>
        <v>0</v>
      </c>
      <c r="AD423">
        <f>VLOOKUP(Table5[[#This Row],[Shortname]], Comp[], 27, FALSE)</f>
        <v>0</v>
      </c>
      <c r="AE423">
        <f>VLOOKUP(Table5[[#This Row],[Shortname]], Comp[], 28, FALSE)</f>
        <v>0</v>
      </c>
      <c r="AF423">
        <f>VLOOKUP(Table5[[#This Row],[Shortname]], Comp[], 29, FALSE)</f>
        <v>0</v>
      </c>
      <c r="AG423">
        <f>VLOOKUP(Table5[[#This Row],[Shortname]], Comp[], 30, FALSE)</f>
        <v>0</v>
      </c>
      <c r="AH423">
        <f>VLOOKUP(Table5[[#This Row],[Shortname]], Comp[], 31, FALSE)</f>
        <v>0</v>
      </c>
    </row>
    <row r="424" spans="1:34" x14ac:dyDescent="0.3">
      <c r="A424" s="7" t="s">
        <v>3938</v>
      </c>
      <c r="B424">
        <v>439</v>
      </c>
      <c r="C424" s="7" t="str">
        <f>VLOOKUP(Table5[[#This Row],[Shortname]], [1]!comp[#Data], 2, FALSE)</f>
        <v>CoAlW-X</v>
      </c>
      <c r="D424" s="7" t="s">
        <v>3940</v>
      </c>
      <c r="E424" t="s">
        <v>6757</v>
      </c>
      <c r="F424">
        <v>1184</v>
      </c>
      <c r="J424" s="14">
        <f>VLOOKUP(Table5[[#This Row],[Shortname]], Comp[], 7, FALSE)</f>
        <v>80</v>
      </c>
      <c r="K424">
        <f>VLOOKUP(Table5[[#This Row],[Shortname]], Comp[], 8, FALSE)</f>
        <v>0</v>
      </c>
      <c r="L424">
        <f>VLOOKUP(Table5[[#This Row],[Shortname]], Comp[], 9, FALSE)</f>
        <v>6</v>
      </c>
      <c r="M424">
        <f>VLOOKUP(Table5[[#This Row],[Shortname]], Comp[], 10, FALSE)</f>
        <v>0</v>
      </c>
      <c r="N424">
        <f>VLOOKUP(Table5[[#This Row],[Shortname]], Comp[], 11, FALSE)</f>
        <v>6</v>
      </c>
      <c r="O424">
        <f>VLOOKUP(Table5[[#This Row],[Shortname]], Comp[],12, FALSE)</f>
        <v>6</v>
      </c>
      <c r="P424">
        <f>VLOOKUP(Table5[[#This Row],[Shortname]], Comp[], 13, FALSE)</f>
        <v>2</v>
      </c>
      <c r="Q424">
        <f>VLOOKUP(Table5[[#This Row],[Shortname]], Comp[], 14, FALSE)</f>
        <v>0</v>
      </c>
      <c r="R424">
        <f>VLOOKUP(Table5[[#This Row],[Shortname]], Comp[], 15, FALSE)</f>
        <v>0</v>
      </c>
      <c r="S424">
        <f>VLOOKUP(Table5[[#This Row],[Shortname]], Comp[], 16, FALSE)</f>
        <v>0</v>
      </c>
      <c r="T424">
        <f>VLOOKUP(Table5[[#This Row],[Shortname]], Comp[], 17, FALSE)</f>
        <v>0</v>
      </c>
      <c r="U424">
        <f>VLOOKUP(Table5[[#This Row],[Shortname]], Comp[], 18, FALSE)</f>
        <v>0</v>
      </c>
      <c r="V424">
        <f>VLOOKUP(Table5[[#This Row],[Shortname]], Comp[], 19, FALSE)</f>
        <v>0</v>
      </c>
      <c r="W424">
        <f>VLOOKUP(Table5[[#This Row],[Shortname]], Comp[], 20, FALSE)</f>
        <v>0</v>
      </c>
      <c r="X424">
        <f>VLOOKUP(Table5[[#This Row],[Shortname]], Comp[], 21, FALSE)</f>
        <v>0</v>
      </c>
      <c r="Y424">
        <f>VLOOKUP(Table5[[#This Row],[Shortname]], Comp[], 22, FALSE)</f>
        <v>0</v>
      </c>
      <c r="Z424">
        <f>VLOOKUP(Table5[[#This Row],[Shortname]], Comp[], 23, FALSE)</f>
        <v>0</v>
      </c>
      <c r="AA424">
        <f>VLOOKUP(Table5[[#This Row],[Shortname]], Comp[], 24, FALSE)</f>
        <v>0</v>
      </c>
      <c r="AB424">
        <f>VLOOKUP(Table5[[#This Row],[Shortname]], Comp[], 25, FALSE)</f>
        <v>0</v>
      </c>
      <c r="AC424">
        <f>VLOOKUP(Table5[[#This Row],[Shortname]], Comp[], 26, FALSE)</f>
        <v>0</v>
      </c>
      <c r="AD424">
        <f>VLOOKUP(Table5[[#This Row],[Shortname]], Comp[], 27, FALSE)</f>
        <v>0</v>
      </c>
      <c r="AE424">
        <f>VLOOKUP(Table5[[#This Row],[Shortname]], Comp[], 28, FALSE)</f>
        <v>0</v>
      </c>
      <c r="AF424">
        <f>VLOOKUP(Table5[[#This Row],[Shortname]], Comp[], 29, FALSE)</f>
        <v>0</v>
      </c>
      <c r="AG424">
        <f>VLOOKUP(Table5[[#This Row],[Shortname]], Comp[], 30, FALSE)</f>
        <v>0</v>
      </c>
      <c r="AH424">
        <f>VLOOKUP(Table5[[#This Row],[Shortname]], Comp[], 31, FALSE)</f>
        <v>0</v>
      </c>
    </row>
    <row r="425" spans="1:34" x14ac:dyDescent="0.3">
      <c r="A425" s="7" t="s">
        <v>3951</v>
      </c>
      <c r="B425">
        <v>440</v>
      </c>
      <c r="C425" s="7" t="str">
        <f>VLOOKUP(Table5[[#This Row],[Shortname]], [1]!comp[#Data], 2, FALSE)</f>
        <v>CoAlWX+</v>
      </c>
      <c r="D425" s="7" t="s">
        <v>3953</v>
      </c>
      <c r="E425" t="s">
        <v>6757</v>
      </c>
      <c r="F425">
        <v>1157</v>
      </c>
      <c r="J425" s="14">
        <f>VLOOKUP(Table5[[#This Row],[Shortname]], Comp[], 7, FALSE)</f>
        <v>80</v>
      </c>
      <c r="K425">
        <f>VLOOKUP(Table5[[#This Row],[Shortname]], Comp[], 8, FALSE)</f>
        <v>0</v>
      </c>
      <c r="L425">
        <f>VLOOKUP(Table5[[#This Row],[Shortname]], Comp[], 9, FALSE)</f>
        <v>7</v>
      </c>
      <c r="M425">
        <f>VLOOKUP(Table5[[#This Row],[Shortname]], Comp[], 10, FALSE)</f>
        <v>0</v>
      </c>
      <c r="N425">
        <f>VLOOKUP(Table5[[#This Row],[Shortname]], Comp[], 11, FALSE)</f>
        <v>7</v>
      </c>
      <c r="O425">
        <f>VLOOKUP(Table5[[#This Row],[Shortname]], Comp[],12, FALSE)</f>
        <v>4</v>
      </c>
      <c r="P425">
        <f>VLOOKUP(Table5[[#This Row],[Shortname]], Comp[], 13, FALSE)</f>
        <v>2</v>
      </c>
      <c r="Q425">
        <f>VLOOKUP(Table5[[#This Row],[Shortname]], Comp[], 14, FALSE)</f>
        <v>0</v>
      </c>
      <c r="R425">
        <f>VLOOKUP(Table5[[#This Row],[Shortname]], Comp[], 15, FALSE)</f>
        <v>0</v>
      </c>
      <c r="S425">
        <f>VLOOKUP(Table5[[#This Row],[Shortname]], Comp[], 16, FALSE)</f>
        <v>0</v>
      </c>
      <c r="T425">
        <f>VLOOKUP(Table5[[#This Row],[Shortname]], Comp[], 17, FALSE)</f>
        <v>0</v>
      </c>
      <c r="U425">
        <f>VLOOKUP(Table5[[#This Row],[Shortname]], Comp[], 18, FALSE)</f>
        <v>0</v>
      </c>
      <c r="V425">
        <f>VLOOKUP(Table5[[#This Row],[Shortname]], Comp[], 19, FALSE)</f>
        <v>0</v>
      </c>
      <c r="W425">
        <f>VLOOKUP(Table5[[#This Row],[Shortname]], Comp[], 20, FALSE)</f>
        <v>0</v>
      </c>
      <c r="X425">
        <f>VLOOKUP(Table5[[#This Row],[Shortname]], Comp[], 21, FALSE)</f>
        <v>0</v>
      </c>
      <c r="Y425">
        <f>VLOOKUP(Table5[[#This Row],[Shortname]], Comp[], 22, FALSE)</f>
        <v>0</v>
      </c>
      <c r="Z425">
        <f>VLOOKUP(Table5[[#This Row],[Shortname]], Comp[], 23, FALSE)</f>
        <v>0</v>
      </c>
      <c r="AA425">
        <f>VLOOKUP(Table5[[#This Row],[Shortname]], Comp[], 24, FALSE)</f>
        <v>0</v>
      </c>
      <c r="AB425">
        <f>VLOOKUP(Table5[[#This Row],[Shortname]], Comp[], 25, FALSE)</f>
        <v>0</v>
      </c>
      <c r="AC425">
        <f>VLOOKUP(Table5[[#This Row],[Shortname]], Comp[], 26, FALSE)</f>
        <v>0</v>
      </c>
      <c r="AD425">
        <f>VLOOKUP(Table5[[#This Row],[Shortname]], Comp[], 27, FALSE)</f>
        <v>0</v>
      </c>
      <c r="AE425">
        <f>VLOOKUP(Table5[[#This Row],[Shortname]], Comp[], 28, FALSE)</f>
        <v>0</v>
      </c>
      <c r="AF425">
        <f>VLOOKUP(Table5[[#This Row],[Shortname]], Comp[], 29, FALSE)</f>
        <v>0</v>
      </c>
      <c r="AG425">
        <f>VLOOKUP(Table5[[#This Row],[Shortname]], Comp[], 30, FALSE)</f>
        <v>0</v>
      </c>
      <c r="AH425">
        <f>VLOOKUP(Table5[[#This Row],[Shortname]], Comp[], 31, FALSE)</f>
        <v>0</v>
      </c>
    </row>
    <row r="426" spans="1:34" x14ac:dyDescent="0.3">
      <c r="A426" s="7" t="s">
        <v>3957</v>
      </c>
      <c r="B426">
        <v>441</v>
      </c>
      <c r="C426" s="7" t="str">
        <f>VLOOKUP(Table5[[#This Row],[Shortname]], [1]!comp[#Data], 2, FALSE)</f>
        <v>CoAlWX+</v>
      </c>
      <c r="D426" s="7" t="s">
        <v>3959</v>
      </c>
      <c r="E426" t="s">
        <v>6757</v>
      </c>
      <c r="F426">
        <v>1146</v>
      </c>
      <c r="J426" s="14">
        <f>VLOOKUP(Table5[[#This Row],[Shortname]], Comp[], 7, FALSE)</f>
        <v>82.3</v>
      </c>
      <c r="K426">
        <f>VLOOKUP(Table5[[#This Row],[Shortname]], Comp[], 8, FALSE)</f>
        <v>0</v>
      </c>
      <c r="L426">
        <f>VLOOKUP(Table5[[#This Row],[Shortname]], Comp[], 9, FALSE)</f>
        <v>6.3</v>
      </c>
      <c r="M426">
        <f>VLOOKUP(Table5[[#This Row],[Shortname]], Comp[], 10, FALSE)</f>
        <v>0</v>
      </c>
      <c r="N426">
        <f>VLOOKUP(Table5[[#This Row],[Shortname]], Comp[], 11, FALSE)</f>
        <v>4.4000000000000004</v>
      </c>
      <c r="O426">
        <f>VLOOKUP(Table5[[#This Row],[Shortname]], Comp[],12, FALSE)</f>
        <v>4</v>
      </c>
      <c r="P426">
        <f>VLOOKUP(Table5[[#This Row],[Shortname]], Comp[], 13, FALSE)</f>
        <v>3</v>
      </c>
      <c r="Q426">
        <f>VLOOKUP(Table5[[#This Row],[Shortname]], Comp[], 14, FALSE)</f>
        <v>0</v>
      </c>
      <c r="R426">
        <f>VLOOKUP(Table5[[#This Row],[Shortname]], Comp[], 15, FALSE)</f>
        <v>0</v>
      </c>
      <c r="S426">
        <f>VLOOKUP(Table5[[#This Row],[Shortname]], Comp[], 16, FALSE)</f>
        <v>0</v>
      </c>
      <c r="T426">
        <f>VLOOKUP(Table5[[#This Row],[Shortname]], Comp[], 17, FALSE)</f>
        <v>0</v>
      </c>
      <c r="U426">
        <f>VLOOKUP(Table5[[#This Row],[Shortname]], Comp[], 18, FALSE)</f>
        <v>0</v>
      </c>
      <c r="V426">
        <f>VLOOKUP(Table5[[#This Row],[Shortname]], Comp[], 19, FALSE)</f>
        <v>0</v>
      </c>
      <c r="W426">
        <f>VLOOKUP(Table5[[#This Row],[Shortname]], Comp[], 20, FALSE)</f>
        <v>0</v>
      </c>
      <c r="X426">
        <f>VLOOKUP(Table5[[#This Row],[Shortname]], Comp[], 21, FALSE)</f>
        <v>0</v>
      </c>
      <c r="Y426">
        <f>VLOOKUP(Table5[[#This Row],[Shortname]], Comp[], 22, FALSE)</f>
        <v>0</v>
      </c>
      <c r="Z426">
        <f>VLOOKUP(Table5[[#This Row],[Shortname]], Comp[], 23, FALSE)</f>
        <v>0</v>
      </c>
      <c r="AA426">
        <f>VLOOKUP(Table5[[#This Row],[Shortname]], Comp[], 24, FALSE)</f>
        <v>0</v>
      </c>
      <c r="AB426">
        <f>VLOOKUP(Table5[[#This Row],[Shortname]], Comp[], 25, FALSE)</f>
        <v>0</v>
      </c>
      <c r="AC426">
        <f>VLOOKUP(Table5[[#This Row],[Shortname]], Comp[], 26, FALSE)</f>
        <v>0</v>
      </c>
      <c r="AD426">
        <f>VLOOKUP(Table5[[#This Row],[Shortname]], Comp[], 27, FALSE)</f>
        <v>0</v>
      </c>
      <c r="AE426">
        <f>VLOOKUP(Table5[[#This Row],[Shortname]], Comp[], 28, FALSE)</f>
        <v>0</v>
      </c>
      <c r="AF426">
        <f>VLOOKUP(Table5[[#This Row],[Shortname]], Comp[], 29, FALSE)</f>
        <v>0</v>
      </c>
      <c r="AG426">
        <f>VLOOKUP(Table5[[#This Row],[Shortname]], Comp[], 30, FALSE)</f>
        <v>0</v>
      </c>
      <c r="AH426">
        <f>VLOOKUP(Table5[[#This Row],[Shortname]], Comp[], 31, FALSE)</f>
        <v>0</v>
      </c>
    </row>
    <row r="427" spans="1:34" x14ac:dyDescent="0.3">
      <c r="A427" s="7" t="s">
        <v>2118</v>
      </c>
      <c r="B427">
        <v>442</v>
      </c>
      <c r="C427" s="7" t="str">
        <f>VLOOKUP(Table5[[#This Row],[Shortname]], [1]!comp[#Data], 2, FALSE)</f>
        <v>CoAlWX+</v>
      </c>
      <c r="D427" s="7" t="s">
        <v>5288</v>
      </c>
      <c r="E427" t="s">
        <v>6757</v>
      </c>
      <c r="F427">
        <v>1131</v>
      </c>
      <c r="J427" s="14">
        <f>VLOOKUP(Table5[[#This Row],[Shortname]], Comp[], 7, FALSE)</f>
        <v>80</v>
      </c>
      <c r="K427">
        <f>VLOOKUP(Table5[[#This Row],[Shortname]], Comp[], 8, FALSE)</f>
        <v>0</v>
      </c>
      <c r="L427">
        <f>VLOOKUP(Table5[[#This Row],[Shortname]], Comp[], 9, FALSE)</f>
        <v>7</v>
      </c>
      <c r="M427">
        <f>VLOOKUP(Table5[[#This Row],[Shortname]], Comp[], 10, FALSE)</f>
        <v>0</v>
      </c>
      <c r="N427">
        <f>VLOOKUP(Table5[[#This Row],[Shortname]], Comp[], 11, FALSE)</f>
        <v>8</v>
      </c>
      <c r="O427">
        <f>VLOOKUP(Table5[[#This Row],[Shortname]], Comp[],12, FALSE)</f>
        <v>4</v>
      </c>
      <c r="P427">
        <f>VLOOKUP(Table5[[#This Row],[Shortname]], Comp[], 13, FALSE)</f>
        <v>1</v>
      </c>
      <c r="Q427">
        <f>VLOOKUP(Table5[[#This Row],[Shortname]], Comp[], 14, FALSE)</f>
        <v>0</v>
      </c>
      <c r="R427">
        <f>VLOOKUP(Table5[[#This Row],[Shortname]], Comp[], 15, FALSE)</f>
        <v>0</v>
      </c>
      <c r="S427">
        <f>VLOOKUP(Table5[[#This Row],[Shortname]], Comp[], 16, FALSE)</f>
        <v>0</v>
      </c>
      <c r="T427">
        <f>VLOOKUP(Table5[[#This Row],[Shortname]], Comp[], 17, FALSE)</f>
        <v>0</v>
      </c>
      <c r="U427">
        <f>VLOOKUP(Table5[[#This Row],[Shortname]], Comp[], 18, FALSE)</f>
        <v>0</v>
      </c>
      <c r="V427">
        <f>VLOOKUP(Table5[[#This Row],[Shortname]], Comp[], 19, FALSE)</f>
        <v>0</v>
      </c>
      <c r="W427">
        <f>VLOOKUP(Table5[[#This Row],[Shortname]], Comp[], 20, FALSE)</f>
        <v>0</v>
      </c>
      <c r="X427">
        <f>VLOOKUP(Table5[[#This Row],[Shortname]], Comp[], 21, FALSE)</f>
        <v>0</v>
      </c>
      <c r="Y427">
        <f>VLOOKUP(Table5[[#This Row],[Shortname]], Comp[], 22, FALSE)</f>
        <v>0</v>
      </c>
      <c r="Z427">
        <f>VLOOKUP(Table5[[#This Row],[Shortname]], Comp[], 23, FALSE)</f>
        <v>0</v>
      </c>
      <c r="AA427">
        <f>VLOOKUP(Table5[[#This Row],[Shortname]], Comp[], 24, FALSE)</f>
        <v>0</v>
      </c>
      <c r="AB427">
        <f>VLOOKUP(Table5[[#This Row],[Shortname]], Comp[], 25, FALSE)</f>
        <v>0</v>
      </c>
      <c r="AC427">
        <f>VLOOKUP(Table5[[#This Row],[Shortname]], Comp[], 26, FALSE)</f>
        <v>0</v>
      </c>
      <c r="AD427">
        <f>VLOOKUP(Table5[[#This Row],[Shortname]], Comp[], 27, FALSE)</f>
        <v>0</v>
      </c>
      <c r="AE427">
        <f>VLOOKUP(Table5[[#This Row],[Shortname]], Comp[], 28, FALSE)</f>
        <v>0</v>
      </c>
      <c r="AF427">
        <f>VLOOKUP(Table5[[#This Row],[Shortname]], Comp[], 29, FALSE)</f>
        <v>0</v>
      </c>
      <c r="AG427">
        <f>VLOOKUP(Table5[[#This Row],[Shortname]], Comp[], 30, FALSE)</f>
        <v>0</v>
      </c>
      <c r="AH427">
        <f>VLOOKUP(Table5[[#This Row],[Shortname]], Comp[], 31, FALSE)</f>
        <v>0</v>
      </c>
    </row>
    <row r="428" spans="1:34" x14ac:dyDescent="0.3">
      <c r="A428" s="7" t="s">
        <v>2118</v>
      </c>
      <c r="B428">
        <v>443</v>
      </c>
      <c r="C428" s="7" t="str">
        <f>VLOOKUP(Table5[[#This Row],[Shortname]], [1]!comp[#Data], 2, FALSE)</f>
        <v>CoAlWX+</v>
      </c>
      <c r="D428" s="7" t="s">
        <v>5290</v>
      </c>
      <c r="E428" t="s">
        <v>6757</v>
      </c>
      <c r="F428">
        <v>1131</v>
      </c>
      <c r="J428" s="14">
        <f>VLOOKUP(Table5[[#This Row],[Shortname]], Comp[], 7, FALSE)</f>
        <v>80</v>
      </c>
      <c r="K428">
        <f>VLOOKUP(Table5[[#This Row],[Shortname]], Comp[], 8, FALSE)</f>
        <v>0</v>
      </c>
      <c r="L428">
        <f>VLOOKUP(Table5[[#This Row],[Shortname]], Comp[], 9, FALSE)</f>
        <v>7</v>
      </c>
      <c r="M428">
        <f>VLOOKUP(Table5[[#This Row],[Shortname]], Comp[], 10, FALSE)</f>
        <v>0</v>
      </c>
      <c r="N428">
        <f>VLOOKUP(Table5[[#This Row],[Shortname]], Comp[], 11, FALSE)</f>
        <v>8</v>
      </c>
      <c r="O428">
        <f>VLOOKUP(Table5[[#This Row],[Shortname]], Comp[],12, FALSE)</f>
        <v>4</v>
      </c>
      <c r="P428">
        <f>VLOOKUP(Table5[[#This Row],[Shortname]], Comp[], 13, FALSE)</f>
        <v>1</v>
      </c>
      <c r="Q428">
        <f>VLOOKUP(Table5[[#This Row],[Shortname]], Comp[], 14, FALSE)</f>
        <v>0</v>
      </c>
      <c r="R428">
        <f>VLOOKUP(Table5[[#This Row],[Shortname]], Comp[], 15, FALSE)</f>
        <v>0</v>
      </c>
      <c r="S428">
        <f>VLOOKUP(Table5[[#This Row],[Shortname]], Comp[], 16, FALSE)</f>
        <v>0</v>
      </c>
      <c r="T428">
        <f>VLOOKUP(Table5[[#This Row],[Shortname]], Comp[], 17, FALSE)</f>
        <v>0</v>
      </c>
      <c r="U428">
        <f>VLOOKUP(Table5[[#This Row],[Shortname]], Comp[], 18, FALSE)</f>
        <v>0</v>
      </c>
      <c r="V428">
        <f>VLOOKUP(Table5[[#This Row],[Shortname]], Comp[], 19, FALSE)</f>
        <v>0</v>
      </c>
      <c r="W428">
        <f>VLOOKUP(Table5[[#This Row],[Shortname]], Comp[], 20, FALSE)</f>
        <v>0</v>
      </c>
      <c r="X428">
        <f>VLOOKUP(Table5[[#This Row],[Shortname]], Comp[], 21, FALSE)</f>
        <v>0</v>
      </c>
      <c r="Y428">
        <f>VLOOKUP(Table5[[#This Row],[Shortname]], Comp[], 22, FALSE)</f>
        <v>0</v>
      </c>
      <c r="Z428">
        <f>VLOOKUP(Table5[[#This Row],[Shortname]], Comp[], 23, FALSE)</f>
        <v>0</v>
      </c>
      <c r="AA428">
        <f>VLOOKUP(Table5[[#This Row],[Shortname]], Comp[], 24, FALSE)</f>
        <v>0</v>
      </c>
      <c r="AB428">
        <f>VLOOKUP(Table5[[#This Row],[Shortname]], Comp[], 25, FALSE)</f>
        <v>0</v>
      </c>
      <c r="AC428">
        <f>VLOOKUP(Table5[[#This Row],[Shortname]], Comp[], 26, FALSE)</f>
        <v>0</v>
      </c>
      <c r="AD428">
        <f>VLOOKUP(Table5[[#This Row],[Shortname]], Comp[], 27, FALSE)</f>
        <v>0</v>
      </c>
      <c r="AE428">
        <f>VLOOKUP(Table5[[#This Row],[Shortname]], Comp[], 28, FALSE)</f>
        <v>0</v>
      </c>
      <c r="AF428">
        <f>VLOOKUP(Table5[[#This Row],[Shortname]], Comp[], 29, FALSE)</f>
        <v>0</v>
      </c>
      <c r="AG428">
        <f>VLOOKUP(Table5[[#This Row],[Shortname]], Comp[], 30, FALSE)</f>
        <v>0</v>
      </c>
      <c r="AH428">
        <f>VLOOKUP(Table5[[#This Row],[Shortname]], Comp[], 31, FALSE)</f>
        <v>0</v>
      </c>
    </row>
    <row r="429" spans="1:34" x14ac:dyDescent="0.3">
      <c r="A429" s="7" t="s">
        <v>3963</v>
      </c>
      <c r="B429">
        <v>444</v>
      </c>
      <c r="C429" s="7" t="str">
        <f>VLOOKUP(Table5[[#This Row],[Shortname]], [1]!comp[#Data], 2, FALSE)</f>
        <v>CoAlWX+</v>
      </c>
      <c r="D429" s="7" t="s">
        <v>3965</v>
      </c>
      <c r="E429" t="s">
        <v>6757</v>
      </c>
      <c r="F429">
        <v>1097</v>
      </c>
      <c r="J429" s="14">
        <f>VLOOKUP(Table5[[#This Row],[Shortname]], Comp[], 7, FALSE)</f>
        <v>81.099999999999994</v>
      </c>
      <c r="K429">
        <f>VLOOKUP(Table5[[#This Row],[Shortname]], Comp[], 8, FALSE)</f>
        <v>0</v>
      </c>
      <c r="L429">
        <f>VLOOKUP(Table5[[#This Row],[Shortname]], Comp[], 9, FALSE)</f>
        <v>8.6</v>
      </c>
      <c r="M429">
        <f>VLOOKUP(Table5[[#This Row],[Shortname]], Comp[], 10, FALSE)</f>
        <v>0</v>
      </c>
      <c r="N429">
        <f>VLOOKUP(Table5[[#This Row],[Shortname]], Comp[], 11, FALSE)</f>
        <v>6.6</v>
      </c>
      <c r="O429">
        <f>VLOOKUP(Table5[[#This Row],[Shortname]], Comp[],12, FALSE)</f>
        <v>2</v>
      </c>
      <c r="P429">
        <f>VLOOKUP(Table5[[#This Row],[Shortname]], Comp[], 13, FALSE)</f>
        <v>1.7</v>
      </c>
      <c r="Q429">
        <f>VLOOKUP(Table5[[#This Row],[Shortname]], Comp[], 14, FALSE)</f>
        <v>0</v>
      </c>
      <c r="R429">
        <f>VLOOKUP(Table5[[#This Row],[Shortname]], Comp[], 15, FALSE)</f>
        <v>0</v>
      </c>
      <c r="S429">
        <f>VLOOKUP(Table5[[#This Row],[Shortname]], Comp[], 16, FALSE)</f>
        <v>0</v>
      </c>
      <c r="T429">
        <f>VLOOKUP(Table5[[#This Row],[Shortname]], Comp[], 17, FALSE)</f>
        <v>0</v>
      </c>
      <c r="U429">
        <f>VLOOKUP(Table5[[#This Row],[Shortname]], Comp[], 18, FALSE)</f>
        <v>0</v>
      </c>
      <c r="V429">
        <f>VLOOKUP(Table5[[#This Row],[Shortname]], Comp[], 19, FALSE)</f>
        <v>0</v>
      </c>
      <c r="W429">
        <f>VLOOKUP(Table5[[#This Row],[Shortname]], Comp[], 20, FALSE)</f>
        <v>0</v>
      </c>
      <c r="X429">
        <f>VLOOKUP(Table5[[#This Row],[Shortname]], Comp[], 21, FALSE)</f>
        <v>0</v>
      </c>
      <c r="Y429">
        <f>VLOOKUP(Table5[[#This Row],[Shortname]], Comp[], 22, FALSE)</f>
        <v>0</v>
      </c>
      <c r="Z429">
        <f>VLOOKUP(Table5[[#This Row],[Shortname]], Comp[], 23, FALSE)</f>
        <v>0</v>
      </c>
      <c r="AA429">
        <f>VLOOKUP(Table5[[#This Row],[Shortname]], Comp[], 24, FALSE)</f>
        <v>0</v>
      </c>
      <c r="AB429">
        <f>VLOOKUP(Table5[[#This Row],[Shortname]], Comp[], 25, FALSE)</f>
        <v>0</v>
      </c>
      <c r="AC429">
        <f>VLOOKUP(Table5[[#This Row],[Shortname]], Comp[], 26, FALSE)</f>
        <v>0</v>
      </c>
      <c r="AD429">
        <f>VLOOKUP(Table5[[#This Row],[Shortname]], Comp[], 27, FALSE)</f>
        <v>0</v>
      </c>
      <c r="AE429">
        <f>VLOOKUP(Table5[[#This Row],[Shortname]], Comp[], 28, FALSE)</f>
        <v>0</v>
      </c>
      <c r="AF429">
        <f>VLOOKUP(Table5[[#This Row],[Shortname]], Comp[], 29, FALSE)</f>
        <v>0</v>
      </c>
      <c r="AG429">
        <f>VLOOKUP(Table5[[#This Row],[Shortname]], Comp[], 30, FALSE)</f>
        <v>0</v>
      </c>
      <c r="AH429">
        <f>VLOOKUP(Table5[[#This Row],[Shortname]], Comp[], 31, FALSE)</f>
        <v>0</v>
      </c>
    </row>
    <row r="430" spans="1:34" x14ac:dyDescent="0.3">
      <c r="A430" s="7" t="s">
        <v>3945</v>
      </c>
      <c r="B430">
        <v>445</v>
      </c>
      <c r="C430" s="7" t="str">
        <f>VLOOKUP(Table5[[#This Row],[Shortname]], [1]!comp[#Data], 2, FALSE)</f>
        <v>CoAlW-X</v>
      </c>
      <c r="D430" s="7" t="s">
        <v>3947</v>
      </c>
      <c r="E430" t="s">
        <v>6757</v>
      </c>
      <c r="F430">
        <v>1070</v>
      </c>
      <c r="J430" s="14">
        <f>VLOOKUP(Table5[[#This Row],[Shortname]], Comp[], 7, FALSE)</f>
        <v>81</v>
      </c>
      <c r="K430">
        <f>VLOOKUP(Table5[[#This Row],[Shortname]], Comp[], 8, FALSE)</f>
        <v>0</v>
      </c>
      <c r="L430">
        <f>VLOOKUP(Table5[[#This Row],[Shortname]], Comp[], 9, FALSE)</f>
        <v>7</v>
      </c>
      <c r="M430">
        <f>VLOOKUP(Table5[[#This Row],[Shortname]], Comp[], 10, FALSE)</f>
        <v>0</v>
      </c>
      <c r="N430">
        <f>VLOOKUP(Table5[[#This Row],[Shortname]], Comp[], 11, FALSE)</f>
        <v>8</v>
      </c>
      <c r="O430">
        <f>VLOOKUP(Table5[[#This Row],[Shortname]], Comp[],12, FALSE)</f>
        <v>4</v>
      </c>
      <c r="P430">
        <f>VLOOKUP(Table5[[#This Row],[Shortname]], Comp[], 13, FALSE)</f>
        <v>0</v>
      </c>
      <c r="Q430">
        <f>VLOOKUP(Table5[[#This Row],[Shortname]], Comp[], 14, FALSE)</f>
        <v>0</v>
      </c>
      <c r="R430">
        <f>VLOOKUP(Table5[[#This Row],[Shortname]], Comp[], 15, FALSE)</f>
        <v>0</v>
      </c>
      <c r="S430">
        <f>VLOOKUP(Table5[[#This Row],[Shortname]], Comp[], 16, FALSE)</f>
        <v>0</v>
      </c>
      <c r="T430">
        <f>VLOOKUP(Table5[[#This Row],[Shortname]], Comp[], 17, FALSE)</f>
        <v>0</v>
      </c>
      <c r="U430">
        <f>VLOOKUP(Table5[[#This Row],[Shortname]], Comp[], 18, FALSE)</f>
        <v>0</v>
      </c>
      <c r="V430">
        <f>VLOOKUP(Table5[[#This Row],[Shortname]], Comp[], 19, FALSE)</f>
        <v>0</v>
      </c>
      <c r="W430">
        <f>VLOOKUP(Table5[[#This Row],[Shortname]], Comp[], 20, FALSE)</f>
        <v>0</v>
      </c>
      <c r="X430">
        <f>VLOOKUP(Table5[[#This Row],[Shortname]], Comp[], 21, FALSE)</f>
        <v>0</v>
      </c>
      <c r="Y430">
        <f>VLOOKUP(Table5[[#This Row],[Shortname]], Comp[], 22, FALSE)</f>
        <v>0</v>
      </c>
      <c r="Z430">
        <f>VLOOKUP(Table5[[#This Row],[Shortname]], Comp[], 23, FALSE)</f>
        <v>0</v>
      </c>
      <c r="AA430">
        <f>VLOOKUP(Table5[[#This Row],[Shortname]], Comp[], 24, FALSE)</f>
        <v>0</v>
      </c>
      <c r="AB430">
        <f>VLOOKUP(Table5[[#This Row],[Shortname]], Comp[], 25, FALSE)</f>
        <v>0</v>
      </c>
      <c r="AC430">
        <f>VLOOKUP(Table5[[#This Row],[Shortname]], Comp[], 26, FALSE)</f>
        <v>0</v>
      </c>
      <c r="AD430">
        <f>VLOOKUP(Table5[[#This Row],[Shortname]], Comp[], 27, FALSE)</f>
        <v>0</v>
      </c>
      <c r="AE430">
        <f>VLOOKUP(Table5[[#This Row],[Shortname]], Comp[], 28, FALSE)</f>
        <v>0</v>
      </c>
      <c r="AF430">
        <f>VLOOKUP(Table5[[#This Row],[Shortname]], Comp[], 29, FALSE)</f>
        <v>0</v>
      </c>
      <c r="AG430">
        <f>VLOOKUP(Table5[[#This Row],[Shortname]], Comp[], 30, FALSE)</f>
        <v>0</v>
      </c>
      <c r="AH430">
        <f>VLOOKUP(Table5[[#This Row],[Shortname]], Comp[], 31, FALSE)</f>
        <v>0</v>
      </c>
    </row>
    <row r="431" spans="1:34" x14ac:dyDescent="0.3">
      <c r="A431" s="7" t="s">
        <v>3976</v>
      </c>
      <c r="B431">
        <v>446</v>
      </c>
      <c r="C431" s="7" t="str">
        <f>VLOOKUP(Table5[[#This Row],[Shortname]], [1]!comp[#Data], 2, FALSE)</f>
        <v>CoAlW-X</v>
      </c>
      <c r="D431" s="7" t="s">
        <v>3978</v>
      </c>
      <c r="E431" t="s">
        <v>6757</v>
      </c>
      <c r="F431">
        <v>998</v>
      </c>
      <c r="J431" s="14">
        <f>VLOOKUP(Table5[[#This Row],[Shortname]], Comp[], 7, FALSE)</f>
        <v>84</v>
      </c>
      <c r="K431">
        <f>VLOOKUP(Table5[[#This Row],[Shortname]], Comp[], 8, FALSE)</f>
        <v>0</v>
      </c>
      <c r="L431">
        <f>VLOOKUP(Table5[[#This Row],[Shortname]], Comp[], 9, FALSE)</f>
        <v>7</v>
      </c>
      <c r="M431">
        <f>VLOOKUP(Table5[[#This Row],[Shortname]], Comp[], 10, FALSE)</f>
        <v>0</v>
      </c>
      <c r="N431">
        <f>VLOOKUP(Table5[[#This Row],[Shortname]], Comp[], 11, FALSE)</f>
        <v>8</v>
      </c>
      <c r="O431">
        <f>VLOOKUP(Table5[[#This Row],[Shortname]], Comp[],12, FALSE)</f>
        <v>0</v>
      </c>
      <c r="P431">
        <f>VLOOKUP(Table5[[#This Row],[Shortname]], Comp[], 13, FALSE)</f>
        <v>1</v>
      </c>
      <c r="Q431">
        <f>VLOOKUP(Table5[[#This Row],[Shortname]], Comp[], 14, FALSE)</f>
        <v>0</v>
      </c>
      <c r="R431">
        <f>VLOOKUP(Table5[[#This Row],[Shortname]], Comp[], 15, FALSE)</f>
        <v>0</v>
      </c>
      <c r="S431">
        <f>VLOOKUP(Table5[[#This Row],[Shortname]], Comp[], 16, FALSE)</f>
        <v>0</v>
      </c>
      <c r="T431">
        <f>VLOOKUP(Table5[[#This Row],[Shortname]], Comp[], 17, FALSE)</f>
        <v>0</v>
      </c>
      <c r="U431">
        <f>VLOOKUP(Table5[[#This Row],[Shortname]], Comp[], 18, FALSE)</f>
        <v>0</v>
      </c>
      <c r="V431">
        <f>VLOOKUP(Table5[[#This Row],[Shortname]], Comp[], 19, FALSE)</f>
        <v>0</v>
      </c>
      <c r="W431">
        <f>VLOOKUP(Table5[[#This Row],[Shortname]], Comp[], 20, FALSE)</f>
        <v>0</v>
      </c>
      <c r="X431">
        <f>VLOOKUP(Table5[[#This Row],[Shortname]], Comp[], 21, FALSE)</f>
        <v>0</v>
      </c>
      <c r="Y431">
        <f>VLOOKUP(Table5[[#This Row],[Shortname]], Comp[], 22, FALSE)</f>
        <v>0</v>
      </c>
      <c r="Z431">
        <f>VLOOKUP(Table5[[#This Row],[Shortname]], Comp[], 23, FALSE)</f>
        <v>0</v>
      </c>
      <c r="AA431">
        <f>VLOOKUP(Table5[[#This Row],[Shortname]], Comp[], 24, FALSE)</f>
        <v>0</v>
      </c>
      <c r="AB431">
        <f>VLOOKUP(Table5[[#This Row],[Shortname]], Comp[], 25, FALSE)</f>
        <v>0</v>
      </c>
      <c r="AC431">
        <f>VLOOKUP(Table5[[#This Row],[Shortname]], Comp[], 26, FALSE)</f>
        <v>0</v>
      </c>
      <c r="AD431">
        <f>VLOOKUP(Table5[[#This Row],[Shortname]], Comp[], 27, FALSE)</f>
        <v>0</v>
      </c>
      <c r="AE431">
        <f>VLOOKUP(Table5[[#This Row],[Shortname]], Comp[], 28, FALSE)</f>
        <v>0</v>
      </c>
      <c r="AF431">
        <f>VLOOKUP(Table5[[#This Row],[Shortname]], Comp[], 29, FALSE)</f>
        <v>0</v>
      </c>
      <c r="AG431">
        <f>VLOOKUP(Table5[[#This Row],[Shortname]], Comp[], 30, FALSE)</f>
        <v>0</v>
      </c>
      <c r="AH431">
        <f>VLOOKUP(Table5[[#This Row],[Shortname]], Comp[], 31, FALSE)</f>
        <v>0</v>
      </c>
    </row>
    <row r="432" spans="1:34" x14ac:dyDescent="0.3">
      <c r="A432" s="7" t="s">
        <v>3970</v>
      </c>
      <c r="B432">
        <v>447</v>
      </c>
      <c r="C432" s="7" t="str">
        <f>VLOOKUP(Table5[[#This Row],[Shortname]], [1]!comp[#Data], 2, FALSE)</f>
        <v>CoAlW-X</v>
      </c>
      <c r="D432" s="7" t="s">
        <v>3972</v>
      </c>
      <c r="E432" t="s">
        <v>6757</v>
      </c>
      <c r="F432">
        <v>919</v>
      </c>
      <c r="J432" s="14">
        <f>VLOOKUP(Table5[[#This Row],[Shortname]], Comp[], 7, FALSE)</f>
        <v>85</v>
      </c>
      <c r="K432">
        <f>VLOOKUP(Table5[[#This Row],[Shortname]], Comp[], 8, FALSE)</f>
        <v>0</v>
      </c>
      <c r="L432">
        <f>VLOOKUP(Table5[[#This Row],[Shortname]], Comp[], 9, FALSE)</f>
        <v>7</v>
      </c>
      <c r="M432">
        <f>VLOOKUP(Table5[[#This Row],[Shortname]], Comp[], 10, FALSE)</f>
        <v>0</v>
      </c>
      <c r="N432">
        <f>VLOOKUP(Table5[[#This Row],[Shortname]], Comp[], 11, FALSE)</f>
        <v>8</v>
      </c>
      <c r="O432">
        <f>VLOOKUP(Table5[[#This Row],[Shortname]], Comp[],12, FALSE)</f>
        <v>0</v>
      </c>
      <c r="P432">
        <f>VLOOKUP(Table5[[#This Row],[Shortname]], Comp[], 13, FALSE)</f>
        <v>0</v>
      </c>
      <c r="Q432">
        <f>VLOOKUP(Table5[[#This Row],[Shortname]], Comp[], 14, FALSE)</f>
        <v>0</v>
      </c>
      <c r="R432">
        <f>VLOOKUP(Table5[[#This Row],[Shortname]], Comp[], 15, FALSE)</f>
        <v>0</v>
      </c>
      <c r="S432">
        <f>VLOOKUP(Table5[[#This Row],[Shortname]], Comp[], 16, FALSE)</f>
        <v>0</v>
      </c>
      <c r="T432">
        <f>VLOOKUP(Table5[[#This Row],[Shortname]], Comp[], 17, FALSE)</f>
        <v>0</v>
      </c>
      <c r="U432">
        <f>VLOOKUP(Table5[[#This Row],[Shortname]], Comp[], 18, FALSE)</f>
        <v>0</v>
      </c>
      <c r="V432">
        <f>VLOOKUP(Table5[[#This Row],[Shortname]], Comp[], 19, FALSE)</f>
        <v>0</v>
      </c>
      <c r="W432">
        <f>VLOOKUP(Table5[[#This Row],[Shortname]], Comp[], 20, FALSE)</f>
        <v>0</v>
      </c>
      <c r="X432">
        <f>VLOOKUP(Table5[[#This Row],[Shortname]], Comp[], 21, FALSE)</f>
        <v>0</v>
      </c>
      <c r="Y432">
        <f>VLOOKUP(Table5[[#This Row],[Shortname]], Comp[], 22, FALSE)</f>
        <v>0</v>
      </c>
      <c r="Z432">
        <f>VLOOKUP(Table5[[#This Row],[Shortname]], Comp[], 23, FALSE)</f>
        <v>0</v>
      </c>
      <c r="AA432">
        <f>VLOOKUP(Table5[[#This Row],[Shortname]], Comp[], 24, FALSE)</f>
        <v>0</v>
      </c>
      <c r="AB432">
        <f>VLOOKUP(Table5[[#This Row],[Shortname]], Comp[], 25, FALSE)</f>
        <v>0</v>
      </c>
      <c r="AC432">
        <f>VLOOKUP(Table5[[#This Row],[Shortname]], Comp[], 26, FALSE)</f>
        <v>0</v>
      </c>
      <c r="AD432">
        <f>VLOOKUP(Table5[[#This Row],[Shortname]], Comp[], 27, FALSE)</f>
        <v>0</v>
      </c>
      <c r="AE432">
        <f>VLOOKUP(Table5[[#This Row],[Shortname]], Comp[], 28, FALSE)</f>
        <v>0</v>
      </c>
      <c r="AF432">
        <f>VLOOKUP(Table5[[#This Row],[Shortname]], Comp[], 29, FALSE)</f>
        <v>0</v>
      </c>
      <c r="AG432">
        <f>VLOOKUP(Table5[[#This Row],[Shortname]], Comp[], 30, FALSE)</f>
        <v>0</v>
      </c>
      <c r="AH432">
        <f>VLOOKUP(Table5[[#This Row],[Shortname]], Comp[], 31, FALSE)</f>
        <v>0</v>
      </c>
    </row>
    <row r="433" spans="1:34" x14ac:dyDescent="0.3">
      <c r="A433" s="7" t="s">
        <v>3951</v>
      </c>
      <c r="B433">
        <v>448</v>
      </c>
      <c r="C433" s="7" t="str">
        <f>VLOOKUP(Table5[[#This Row],[Shortname]], [1]!comp[#Data], 2, FALSE)</f>
        <v>CoAlWX+</v>
      </c>
      <c r="D433" s="7" t="s">
        <v>5296</v>
      </c>
      <c r="E433" s="5" t="s">
        <v>5293</v>
      </c>
      <c r="F433">
        <v>1157</v>
      </c>
      <c r="J433" s="14">
        <f>VLOOKUP(Table5[[#This Row],[Shortname]], Comp[], 7, FALSE)</f>
        <v>80</v>
      </c>
      <c r="K433">
        <f>VLOOKUP(Table5[[#This Row],[Shortname]], Comp[], 8, FALSE)</f>
        <v>0</v>
      </c>
      <c r="L433">
        <f>VLOOKUP(Table5[[#This Row],[Shortname]], Comp[], 9, FALSE)</f>
        <v>7</v>
      </c>
      <c r="M433">
        <f>VLOOKUP(Table5[[#This Row],[Shortname]], Comp[], 10, FALSE)</f>
        <v>0</v>
      </c>
      <c r="N433">
        <f>VLOOKUP(Table5[[#This Row],[Shortname]], Comp[], 11, FALSE)</f>
        <v>7</v>
      </c>
      <c r="O433">
        <f>VLOOKUP(Table5[[#This Row],[Shortname]], Comp[],12, FALSE)</f>
        <v>4</v>
      </c>
      <c r="P433">
        <f>VLOOKUP(Table5[[#This Row],[Shortname]], Comp[], 13, FALSE)</f>
        <v>2</v>
      </c>
      <c r="Q433">
        <f>VLOOKUP(Table5[[#This Row],[Shortname]], Comp[], 14, FALSE)</f>
        <v>0</v>
      </c>
      <c r="R433">
        <f>VLOOKUP(Table5[[#This Row],[Shortname]], Comp[], 15, FALSE)</f>
        <v>0</v>
      </c>
      <c r="S433">
        <f>VLOOKUP(Table5[[#This Row],[Shortname]], Comp[], 16, FALSE)</f>
        <v>0</v>
      </c>
      <c r="T433">
        <f>VLOOKUP(Table5[[#This Row],[Shortname]], Comp[], 17, FALSE)</f>
        <v>0</v>
      </c>
      <c r="U433">
        <f>VLOOKUP(Table5[[#This Row],[Shortname]], Comp[], 18, FALSE)</f>
        <v>0</v>
      </c>
      <c r="V433">
        <f>VLOOKUP(Table5[[#This Row],[Shortname]], Comp[], 19, FALSE)</f>
        <v>0</v>
      </c>
      <c r="W433">
        <f>VLOOKUP(Table5[[#This Row],[Shortname]], Comp[], 20, FALSE)</f>
        <v>0</v>
      </c>
      <c r="X433">
        <f>VLOOKUP(Table5[[#This Row],[Shortname]], Comp[], 21, FALSE)</f>
        <v>0</v>
      </c>
      <c r="Y433">
        <f>VLOOKUP(Table5[[#This Row],[Shortname]], Comp[], 22, FALSE)</f>
        <v>0</v>
      </c>
      <c r="Z433">
        <f>VLOOKUP(Table5[[#This Row],[Shortname]], Comp[], 23, FALSE)</f>
        <v>0</v>
      </c>
      <c r="AA433">
        <f>VLOOKUP(Table5[[#This Row],[Shortname]], Comp[], 24, FALSE)</f>
        <v>0</v>
      </c>
      <c r="AB433">
        <f>VLOOKUP(Table5[[#This Row],[Shortname]], Comp[], 25, FALSE)</f>
        <v>0</v>
      </c>
      <c r="AC433">
        <f>VLOOKUP(Table5[[#This Row],[Shortname]], Comp[], 26, FALSE)</f>
        <v>0</v>
      </c>
      <c r="AD433">
        <f>VLOOKUP(Table5[[#This Row],[Shortname]], Comp[], 27, FALSE)</f>
        <v>0</v>
      </c>
      <c r="AE433">
        <f>VLOOKUP(Table5[[#This Row],[Shortname]], Comp[], 28, FALSE)</f>
        <v>0</v>
      </c>
      <c r="AF433">
        <f>VLOOKUP(Table5[[#This Row],[Shortname]], Comp[], 29, FALSE)</f>
        <v>0</v>
      </c>
      <c r="AG433">
        <f>VLOOKUP(Table5[[#This Row],[Shortname]], Comp[], 30, FALSE)</f>
        <v>0</v>
      </c>
      <c r="AH433">
        <f>VLOOKUP(Table5[[#This Row],[Shortname]], Comp[], 31, FALSE)</f>
        <v>0</v>
      </c>
    </row>
    <row r="434" spans="1:34" x14ac:dyDescent="0.3">
      <c r="A434" s="7" t="s">
        <v>2118</v>
      </c>
      <c r="B434">
        <v>449</v>
      </c>
      <c r="C434" s="7" t="str">
        <f>VLOOKUP(Table5[[#This Row],[Shortname]], [1]!comp[#Data], 2, FALSE)</f>
        <v>CoAlWX+</v>
      </c>
      <c r="D434" s="7" t="s">
        <v>5292</v>
      </c>
      <c r="E434" s="5" t="s">
        <v>5293</v>
      </c>
      <c r="F434">
        <v>1131</v>
      </c>
      <c r="J434" s="14">
        <f>VLOOKUP(Table5[[#This Row],[Shortname]], Comp[], 7, FALSE)</f>
        <v>80</v>
      </c>
      <c r="K434">
        <f>VLOOKUP(Table5[[#This Row],[Shortname]], Comp[], 8, FALSE)</f>
        <v>0</v>
      </c>
      <c r="L434">
        <f>VLOOKUP(Table5[[#This Row],[Shortname]], Comp[], 9, FALSE)</f>
        <v>7</v>
      </c>
      <c r="M434">
        <f>VLOOKUP(Table5[[#This Row],[Shortname]], Comp[], 10, FALSE)</f>
        <v>0</v>
      </c>
      <c r="N434">
        <f>VLOOKUP(Table5[[#This Row],[Shortname]], Comp[], 11, FALSE)</f>
        <v>8</v>
      </c>
      <c r="O434">
        <f>VLOOKUP(Table5[[#This Row],[Shortname]], Comp[],12, FALSE)</f>
        <v>4</v>
      </c>
      <c r="P434">
        <f>VLOOKUP(Table5[[#This Row],[Shortname]], Comp[], 13, FALSE)</f>
        <v>1</v>
      </c>
      <c r="Q434">
        <f>VLOOKUP(Table5[[#This Row],[Shortname]], Comp[], 14, FALSE)</f>
        <v>0</v>
      </c>
      <c r="R434">
        <f>VLOOKUP(Table5[[#This Row],[Shortname]], Comp[], 15, FALSE)</f>
        <v>0</v>
      </c>
      <c r="S434">
        <f>VLOOKUP(Table5[[#This Row],[Shortname]], Comp[], 16, FALSE)</f>
        <v>0</v>
      </c>
      <c r="T434">
        <f>VLOOKUP(Table5[[#This Row],[Shortname]], Comp[], 17, FALSE)</f>
        <v>0</v>
      </c>
      <c r="U434">
        <f>VLOOKUP(Table5[[#This Row],[Shortname]], Comp[], 18, FALSE)</f>
        <v>0</v>
      </c>
      <c r="V434">
        <f>VLOOKUP(Table5[[#This Row],[Shortname]], Comp[], 19, FALSE)</f>
        <v>0</v>
      </c>
      <c r="W434">
        <f>VLOOKUP(Table5[[#This Row],[Shortname]], Comp[], 20, FALSE)</f>
        <v>0</v>
      </c>
      <c r="X434">
        <f>VLOOKUP(Table5[[#This Row],[Shortname]], Comp[], 21, FALSE)</f>
        <v>0</v>
      </c>
      <c r="Y434">
        <f>VLOOKUP(Table5[[#This Row],[Shortname]], Comp[], 22, FALSE)</f>
        <v>0</v>
      </c>
      <c r="Z434">
        <f>VLOOKUP(Table5[[#This Row],[Shortname]], Comp[], 23, FALSE)</f>
        <v>0</v>
      </c>
      <c r="AA434">
        <f>VLOOKUP(Table5[[#This Row],[Shortname]], Comp[], 24, FALSE)</f>
        <v>0</v>
      </c>
      <c r="AB434">
        <f>VLOOKUP(Table5[[#This Row],[Shortname]], Comp[], 25, FALSE)</f>
        <v>0</v>
      </c>
      <c r="AC434">
        <f>VLOOKUP(Table5[[#This Row],[Shortname]], Comp[], 26, FALSE)</f>
        <v>0</v>
      </c>
      <c r="AD434">
        <f>VLOOKUP(Table5[[#This Row],[Shortname]], Comp[], 27, FALSE)</f>
        <v>0</v>
      </c>
      <c r="AE434">
        <f>VLOOKUP(Table5[[#This Row],[Shortname]], Comp[], 28, FALSE)</f>
        <v>0</v>
      </c>
      <c r="AF434">
        <f>VLOOKUP(Table5[[#This Row],[Shortname]], Comp[], 29, FALSE)</f>
        <v>0</v>
      </c>
      <c r="AG434">
        <f>VLOOKUP(Table5[[#This Row],[Shortname]], Comp[], 30, FALSE)</f>
        <v>0</v>
      </c>
      <c r="AH434">
        <f>VLOOKUP(Table5[[#This Row],[Shortname]], Comp[], 31, FALSE)</f>
        <v>0</v>
      </c>
    </row>
    <row r="435" spans="1:34" x14ac:dyDescent="0.3">
      <c r="A435" s="7" t="s">
        <v>3991</v>
      </c>
      <c r="B435">
        <v>450</v>
      </c>
      <c r="C435" s="7" t="str">
        <f>VLOOKUP(Table5[[#This Row],[Shortname]], [1]!comp[#Data], 2, FALSE)</f>
        <v>CoAlWX+</v>
      </c>
      <c r="D435" s="7" t="s">
        <v>3992</v>
      </c>
      <c r="E435" s="6" t="s">
        <v>3985</v>
      </c>
      <c r="F435">
        <v>982</v>
      </c>
      <c r="J435" s="14">
        <f>VLOOKUP(Table5[[#This Row],[Shortname]], Comp[], 7, FALSE)</f>
        <v>83.3</v>
      </c>
      <c r="K435">
        <f>VLOOKUP(Table5[[#This Row],[Shortname]], Comp[], 8, FALSE)</f>
        <v>0</v>
      </c>
      <c r="L435">
        <f>VLOOKUP(Table5[[#This Row],[Shortname]], Comp[], 9, FALSE)</f>
        <v>10.1</v>
      </c>
      <c r="M435">
        <f>VLOOKUP(Table5[[#This Row],[Shortname]], Comp[], 10, FALSE)</f>
        <v>0</v>
      </c>
      <c r="N435">
        <f>VLOOKUP(Table5[[#This Row],[Shortname]], Comp[], 11, FALSE)</f>
        <v>4.9000000000000004</v>
      </c>
      <c r="O435">
        <f>VLOOKUP(Table5[[#This Row],[Shortname]], Comp[],12, FALSE)</f>
        <v>0</v>
      </c>
      <c r="P435">
        <f>VLOOKUP(Table5[[#This Row],[Shortname]], Comp[], 13, FALSE)</f>
        <v>1.7</v>
      </c>
      <c r="Q435">
        <f>VLOOKUP(Table5[[#This Row],[Shortname]], Comp[], 14, FALSE)</f>
        <v>0</v>
      </c>
      <c r="R435">
        <f>VLOOKUP(Table5[[#This Row],[Shortname]], Comp[], 15, FALSE)</f>
        <v>0</v>
      </c>
      <c r="S435">
        <f>VLOOKUP(Table5[[#This Row],[Shortname]], Comp[], 16, FALSE)</f>
        <v>0</v>
      </c>
      <c r="T435">
        <f>VLOOKUP(Table5[[#This Row],[Shortname]], Comp[], 17, FALSE)</f>
        <v>0</v>
      </c>
      <c r="U435">
        <f>VLOOKUP(Table5[[#This Row],[Shortname]], Comp[], 18, FALSE)</f>
        <v>0</v>
      </c>
      <c r="V435">
        <f>VLOOKUP(Table5[[#This Row],[Shortname]], Comp[], 19, FALSE)</f>
        <v>0</v>
      </c>
      <c r="W435">
        <f>VLOOKUP(Table5[[#This Row],[Shortname]], Comp[], 20, FALSE)</f>
        <v>0</v>
      </c>
      <c r="X435">
        <f>VLOOKUP(Table5[[#This Row],[Shortname]], Comp[], 21, FALSE)</f>
        <v>0</v>
      </c>
      <c r="Y435">
        <f>VLOOKUP(Table5[[#This Row],[Shortname]], Comp[], 22, FALSE)</f>
        <v>0</v>
      </c>
      <c r="Z435">
        <f>VLOOKUP(Table5[[#This Row],[Shortname]], Comp[], 23, FALSE)</f>
        <v>0</v>
      </c>
      <c r="AA435">
        <f>VLOOKUP(Table5[[#This Row],[Shortname]], Comp[], 24, FALSE)</f>
        <v>0</v>
      </c>
      <c r="AB435">
        <f>VLOOKUP(Table5[[#This Row],[Shortname]], Comp[], 25, FALSE)</f>
        <v>0</v>
      </c>
      <c r="AC435">
        <f>VLOOKUP(Table5[[#This Row],[Shortname]], Comp[], 26, FALSE)</f>
        <v>0</v>
      </c>
      <c r="AD435">
        <f>VLOOKUP(Table5[[#This Row],[Shortname]], Comp[], 27, FALSE)</f>
        <v>0</v>
      </c>
      <c r="AE435">
        <f>VLOOKUP(Table5[[#This Row],[Shortname]], Comp[], 28, FALSE)</f>
        <v>0</v>
      </c>
      <c r="AF435">
        <f>VLOOKUP(Table5[[#This Row],[Shortname]], Comp[], 29, FALSE)</f>
        <v>0</v>
      </c>
      <c r="AG435">
        <f>VLOOKUP(Table5[[#This Row],[Shortname]], Comp[], 30, FALSE)</f>
        <v>0</v>
      </c>
      <c r="AH435">
        <f>VLOOKUP(Table5[[#This Row],[Shortname]], Comp[], 31, FALSE)</f>
        <v>0</v>
      </c>
    </row>
    <row r="436" spans="1:34" x14ac:dyDescent="0.3">
      <c r="A436" s="7" t="s">
        <v>3982</v>
      </c>
      <c r="B436">
        <v>451</v>
      </c>
      <c r="C436" s="7" t="str">
        <f>VLOOKUP(Table5[[#This Row],[Shortname]], [1]!comp[#Data], 2, FALSE)</f>
        <v>CoAlWX+</v>
      </c>
      <c r="D436" s="7" t="s">
        <v>3984</v>
      </c>
      <c r="E436" s="6" t="s">
        <v>3985</v>
      </c>
      <c r="F436">
        <v>921</v>
      </c>
      <c r="J436" s="14">
        <f>VLOOKUP(Table5[[#This Row],[Shortname]], Comp[], 7, FALSE)</f>
        <v>85.2</v>
      </c>
      <c r="K436">
        <f>VLOOKUP(Table5[[#This Row],[Shortname]], Comp[], 8, FALSE)</f>
        <v>0</v>
      </c>
      <c r="L436">
        <f>VLOOKUP(Table5[[#This Row],[Shortname]], Comp[], 9, FALSE)</f>
        <v>6.5</v>
      </c>
      <c r="M436">
        <f>VLOOKUP(Table5[[#This Row],[Shortname]], Comp[], 10, FALSE)</f>
        <v>0</v>
      </c>
      <c r="N436">
        <f>VLOOKUP(Table5[[#This Row],[Shortname]], Comp[], 11, FALSE)</f>
        <v>6</v>
      </c>
      <c r="O436">
        <f>VLOOKUP(Table5[[#This Row],[Shortname]], Comp[],12, FALSE)</f>
        <v>2.2999999999999998</v>
      </c>
      <c r="P436">
        <f>VLOOKUP(Table5[[#This Row],[Shortname]], Comp[], 13, FALSE)</f>
        <v>0</v>
      </c>
      <c r="Q436">
        <f>VLOOKUP(Table5[[#This Row],[Shortname]], Comp[], 14, FALSE)</f>
        <v>0</v>
      </c>
      <c r="R436">
        <f>VLOOKUP(Table5[[#This Row],[Shortname]], Comp[], 15, FALSE)</f>
        <v>0</v>
      </c>
      <c r="S436">
        <f>VLOOKUP(Table5[[#This Row],[Shortname]], Comp[], 16, FALSE)</f>
        <v>0</v>
      </c>
      <c r="T436">
        <f>VLOOKUP(Table5[[#This Row],[Shortname]], Comp[], 17, FALSE)</f>
        <v>0</v>
      </c>
      <c r="U436">
        <f>VLOOKUP(Table5[[#This Row],[Shortname]], Comp[], 18, FALSE)</f>
        <v>0</v>
      </c>
      <c r="V436">
        <f>VLOOKUP(Table5[[#This Row],[Shortname]], Comp[], 19, FALSE)</f>
        <v>0</v>
      </c>
      <c r="W436">
        <f>VLOOKUP(Table5[[#This Row],[Shortname]], Comp[], 20, FALSE)</f>
        <v>0</v>
      </c>
      <c r="X436">
        <f>VLOOKUP(Table5[[#This Row],[Shortname]], Comp[], 21, FALSE)</f>
        <v>0</v>
      </c>
      <c r="Y436">
        <f>VLOOKUP(Table5[[#This Row],[Shortname]], Comp[], 22, FALSE)</f>
        <v>0</v>
      </c>
      <c r="Z436">
        <f>VLOOKUP(Table5[[#This Row],[Shortname]], Comp[], 23, FALSE)</f>
        <v>0</v>
      </c>
      <c r="AA436">
        <f>VLOOKUP(Table5[[#This Row],[Shortname]], Comp[], 24, FALSE)</f>
        <v>0</v>
      </c>
      <c r="AB436">
        <f>VLOOKUP(Table5[[#This Row],[Shortname]], Comp[], 25, FALSE)</f>
        <v>0</v>
      </c>
      <c r="AC436">
        <f>VLOOKUP(Table5[[#This Row],[Shortname]], Comp[], 26, FALSE)</f>
        <v>0</v>
      </c>
      <c r="AD436">
        <f>VLOOKUP(Table5[[#This Row],[Shortname]], Comp[], 27, FALSE)</f>
        <v>0</v>
      </c>
      <c r="AE436">
        <f>VLOOKUP(Table5[[#This Row],[Shortname]], Comp[], 28, FALSE)</f>
        <v>0</v>
      </c>
      <c r="AF436">
        <f>VLOOKUP(Table5[[#This Row],[Shortname]], Comp[], 29, FALSE)</f>
        <v>0</v>
      </c>
      <c r="AG436">
        <f>VLOOKUP(Table5[[#This Row],[Shortname]], Comp[], 30, FALSE)</f>
        <v>0</v>
      </c>
      <c r="AH436">
        <f>VLOOKUP(Table5[[#This Row],[Shortname]], Comp[], 31, FALSE)</f>
        <v>0</v>
      </c>
    </row>
    <row r="437" spans="1:34" x14ac:dyDescent="0.3">
      <c r="A437" s="7" t="s">
        <v>2443</v>
      </c>
      <c r="B437">
        <v>452</v>
      </c>
      <c r="C437" s="7" t="str">
        <f>VLOOKUP(Table5[[#This Row],[Shortname]], [1]!comp[#Data], 2, FALSE)</f>
        <v>CoAlW-X</v>
      </c>
      <c r="D437" s="7" t="s">
        <v>2354</v>
      </c>
      <c r="E437" t="s">
        <v>6758</v>
      </c>
      <c r="F437">
        <v>983</v>
      </c>
      <c r="J437" s="14">
        <f>VLOOKUP(Table5[[#This Row],[Shortname]], Comp[], 7, FALSE)</f>
        <v>83.5</v>
      </c>
      <c r="K437">
        <f>VLOOKUP(Table5[[#This Row],[Shortname]], Comp[], 8, FALSE)</f>
        <v>0</v>
      </c>
      <c r="L437">
        <f>VLOOKUP(Table5[[#This Row],[Shortname]], Comp[], 9, FALSE)</f>
        <v>9.9</v>
      </c>
      <c r="M437">
        <f>VLOOKUP(Table5[[#This Row],[Shortname]], Comp[], 10, FALSE)</f>
        <v>0</v>
      </c>
      <c r="N437">
        <f>VLOOKUP(Table5[[#This Row],[Shortname]], Comp[], 11, FALSE)</f>
        <v>4.8</v>
      </c>
      <c r="O437">
        <f>VLOOKUP(Table5[[#This Row],[Shortname]], Comp[],12, FALSE)</f>
        <v>0</v>
      </c>
      <c r="P437">
        <f>VLOOKUP(Table5[[#This Row],[Shortname]], Comp[], 13, FALSE)</f>
        <v>1.8</v>
      </c>
      <c r="Q437">
        <f>VLOOKUP(Table5[[#This Row],[Shortname]], Comp[], 14, FALSE)</f>
        <v>0</v>
      </c>
      <c r="R437">
        <f>VLOOKUP(Table5[[#This Row],[Shortname]], Comp[], 15, FALSE)</f>
        <v>0</v>
      </c>
      <c r="S437">
        <f>VLOOKUP(Table5[[#This Row],[Shortname]], Comp[], 16, FALSE)</f>
        <v>0</v>
      </c>
      <c r="T437">
        <f>VLOOKUP(Table5[[#This Row],[Shortname]], Comp[], 17, FALSE)</f>
        <v>0</v>
      </c>
      <c r="U437">
        <f>VLOOKUP(Table5[[#This Row],[Shortname]], Comp[], 18, FALSE)</f>
        <v>0</v>
      </c>
      <c r="V437">
        <f>VLOOKUP(Table5[[#This Row],[Shortname]], Comp[], 19, FALSE)</f>
        <v>0</v>
      </c>
      <c r="W437">
        <f>VLOOKUP(Table5[[#This Row],[Shortname]], Comp[], 20, FALSE)</f>
        <v>0</v>
      </c>
      <c r="X437">
        <f>VLOOKUP(Table5[[#This Row],[Shortname]], Comp[], 21, FALSE)</f>
        <v>0</v>
      </c>
      <c r="Y437">
        <f>VLOOKUP(Table5[[#This Row],[Shortname]], Comp[], 22, FALSE)</f>
        <v>0</v>
      </c>
      <c r="Z437">
        <f>VLOOKUP(Table5[[#This Row],[Shortname]], Comp[], 23, FALSE)</f>
        <v>0</v>
      </c>
      <c r="AA437">
        <f>VLOOKUP(Table5[[#This Row],[Shortname]], Comp[], 24, FALSE)</f>
        <v>0</v>
      </c>
      <c r="AB437">
        <f>VLOOKUP(Table5[[#This Row],[Shortname]], Comp[], 25, FALSE)</f>
        <v>0</v>
      </c>
      <c r="AC437">
        <f>VLOOKUP(Table5[[#This Row],[Shortname]], Comp[], 26, FALSE)</f>
        <v>0</v>
      </c>
      <c r="AD437">
        <f>VLOOKUP(Table5[[#This Row],[Shortname]], Comp[], 27, FALSE)</f>
        <v>0</v>
      </c>
      <c r="AE437">
        <f>VLOOKUP(Table5[[#This Row],[Shortname]], Comp[], 28, FALSE)</f>
        <v>0</v>
      </c>
      <c r="AF437">
        <f>VLOOKUP(Table5[[#This Row],[Shortname]], Comp[], 29, FALSE)</f>
        <v>0</v>
      </c>
      <c r="AG437">
        <f>VLOOKUP(Table5[[#This Row],[Shortname]], Comp[], 30, FALSE)</f>
        <v>0</v>
      </c>
      <c r="AH437">
        <f>VLOOKUP(Table5[[#This Row],[Shortname]], Comp[], 31, FALSE)</f>
        <v>0</v>
      </c>
    </row>
    <row r="438" spans="1:34" x14ac:dyDescent="0.3">
      <c r="A438" s="7" t="s">
        <v>3997</v>
      </c>
      <c r="B438">
        <v>453</v>
      </c>
      <c r="C438" s="7" t="str">
        <f>VLOOKUP(Table5[[#This Row],[Shortname]], [1]!comp[#Data], 2, FALSE)</f>
        <v>CoAlW-X</v>
      </c>
      <c r="D438" s="7" t="s">
        <v>3899</v>
      </c>
      <c r="E438" t="s">
        <v>6758</v>
      </c>
      <c r="F438">
        <v>919</v>
      </c>
      <c r="J438" s="14">
        <f>VLOOKUP(Table5[[#This Row],[Shortname]], Comp[], 7, FALSE)</f>
        <v>85.4</v>
      </c>
      <c r="K438">
        <f>VLOOKUP(Table5[[#This Row],[Shortname]], Comp[], 8, FALSE)</f>
        <v>0</v>
      </c>
      <c r="L438">
        <f>VLOOKUP(Table5[[#This Row],[Shortname]], Comp[], 9, FALSE)</f>
        <v>6.4</v>
      </c>
      <c r="M438">
        <f>VLOOKUP(Table5[[#This Row],[Shortname]], Comp[], 10, FALSE)</f>
        <v>0</v>
      </c>
      <c r="N438">
        <f>VLOOKUP(Table5[[#This Row],[Shortname]], Comp[], 11, FALSE)</f>
        <v>6</v>
      </c>
      <c r="O438">
        <f>VLOOKUP(Table5[[#This Row],[Shortname]], Comp[],12, FALSE)</f>
        <v>2.2000000000000002</v>
      </c>
      <c r="P438">
        <f>VLOOKUP(Table5[[#This Row],[Shortname]], Comp[], 13, FALSE)</f>
        <v>0</v>
      </c>
      <c r="Q438">
        <f>VLOOKUP(Table5[[#This Row],[Shortname]], Comp[], 14, FALSE)</f>
        <v>0</v>
      </c>
      <c r="R438">
        <f>VLOOKUP(Table5[[#This Row],[Shortname]], Comp[], 15, FALSE)</f>
        <v>0</v>
      </c>
      <c r="S438">
        <f>VLOOKUP(Table5[[#This Row],[Shortname]], Comp[], 16, FALSE)</f>
        <v>0</v>
      </c>
      <c r="T438">
        <f>VLOOKUP(Table5[[#This Row],[Shortname]], Comp[], 17, FALSE)</f>
        <v>0</v>
      </c>
      <c r="U438">
        <f>VLOOKUP(Table5[[#This Row],[Shortname]], Comp[], 18, FALSE)</f>
        <v>0</v>
      </c>
      <c r="V438">
        <f>VLOOKUP(Table5[[#This Row],[Shortname]], Comp[], 19, FALSE)</f>
        <v>0</v>
      </c>
      <c r="W438">
        <f>VLOOKUP(Table5[[#This Row],[Shortname]], Comp[], 20, FALSE)</f>
        <v>0</v>
      </c>
      <c r="X438">
        <f>VLOOKUP(Table5[[#This Row],[Shortname]], Comp[], 21, FALSE)</f>
        <v>0</v>
      </c>
      <c r="Y438">
        <f>VLOOKUP(Table5[[#This Row],[Shortname]], Comp[], 22, FALSE)</f>
        <v>0</v>
      </c>
      <c r="Z438">
        <f>VLOOKUP(Table5[[#This Row],[Shortname]], Comp[], 23, FALSE)</f>
        <v>0</v>
      </c>
      <c r="AA438">
        <f>VLOOKUP(Table5[[#This Row],[Shortname]], Comp[], 24, FALSE)</f>
        <v>0</v>
      </c>
      <c r="AB438">
        <f>VLOOKUP(Table5[[#This Row],[Shortname]], Comp[], 25, FALSE)</f>
        <v>0</v>
      </c>
      <c r="AC438">
        <f>VLOOKUP(Table5[[#This Row],[Shortname]], Comp[], 26, FALSE)</f>
        <v>0</v>
      </c>
      <c r="AD438">
        <f>VLOOKUP(Table5[[#This Row],[Shortname]], Comp[], 27, FALSE)</f>
        <v>0</v>
      </c>
      <c r="AE438">
        <f>VLOOKUP(Table5[[#This Row],[Shortname]], Comp[], 28, FALSE)</f>
        <v>0</v>
      </c>
      <c r="AF438">
        <f>VLOOKUP(Table5[[#This Row],[Shortname]], Comp[], 29, FALSE)</f>
        <v>0</v>
      </c>
      <c r="AG438">
        <f>VLOOKUP(Table5[[#This Row],[Shortname]], Comp[], 30, FALSE)</f>
        <v>0</v>
      </c>
      <c r="AH438">
        <f>VLOOKUP(Table5[[#This Row],[Shortname]], Comp[], 31, FALSE)</f>
        <v>0</v>
      </c>
    </row>
    <row r="439" spans="1:34" x14ac:dyDescent="0.3">
      <c r="A439" s="7" t="s">
        <v>4113</v>
      </c>
      <c r="B439">
        <v>454</v>
      </c>
      <c r="C439" s="7" t="str">
        <f>VLOOKUP(Table5[[#This Row],[Shortname]], [1]!comp[#Data], 2, FALSE)</f>
        <v>CoAlWX+</v>
      </c>
      <c r="D439" s="7" t="s">
        <v>4115</v>
      </c>
      <c r="E439" t="s">
        <v>6758</v>
      </c>
      <c r="F439">
        <v>906</v>
      </c>
      <c r="J439" s="14">
        <f>VLOOKUP(Table5[[#This Row],[Shortname]], Comp[], 7, FALSE)</f>
        <v>32.399999999999991</v>
      </c>
      <c r="K439">
        <f>VLOOKUP(Table5[[#This Row],[Shortname]], Comp[], 8, FALSE)</f>
        <v>32.5</v>
      </c>
      <c r="L439">
        <f>VLOOKUP(Table5[[#This Row],[Shortname]], Comp[], 9, FALSE)</f>
        <v>11.2</v>
      </c>
      <c r="M439">
        <f>VLOOKUP(Table5[[#This Row],[Shortname]], Comp[], 10, FALSE)</f>
        <v>20.5</v>
      </c>
      <c r="N439">
        <f>VLOOKUP(Table5[[#This Row],[Shortname]], Comp[], 11, FALSE)</f>
        <v>3.4</v>
      </c>
      <c r="O439">
        <f>VLOOKUP(Table5[[#This Row],[Shortname]], Comp[],12, FALSE)</f>
        <v>0</v>
      </c>
      <c r="P439">
        <f>VLOOKUP(Table5[[#This Row],[Shortname]], Comp[], 13, FALSE)</f>
        <v>0</v>
      </c>
      <c r="Q439">
        <f>VLOOKUP(Table5[[#This Row],[Shortname]], Comp[], 14, FALSE)</f>
        <v>0</v>
      </c>
      <c r="R439">
        <f>VLOOKUP(Table5[[#This Row],[Shortname]], Comp[], 15, FALSE)</f>
        <v>0</v>
      </c>
      <c r="S439">
        <f>VLOOKUP(Table5[[#This Row],[Shortname]], Comp[], 16, FALSE)</f>
        <v>0</v>
      </c>
      <c r="T439">
        <f>VLOOKUP(Table5[[#This Row],[Shortname]], Comp[], 17, FALSE)</f>
        <v>0</v>
      </c>
      <c r="U439">
        <f>VLOOKUP(Table5[[#This Row],[Shortname]], Comp[], 18, FALSE)</f>
        <v>0</v>
      </c>
      <c r="V439">
        <f>VLOOKUP(Table5[[#This Row],[Shortname]], Comp[], 19, FALSE)</f>
        <v>0</v>
      </c>
      <c r="W439">
        <f>VLOOKUP(Table5[[#This Row],[Shortname]], Comp[], 20, FALSE)</f>
        <v>0</v>
      </c>
      <c r="X439">
        <f>VLOOKUP(Table5[[#This Row],[Shortname]], Comp[], 21, FALSE)</f>
        <v>0</v>
      </c>
      <c r="Y439">
        <f>VLOOKUP(Table5[[#This Row],[Shortname]], Comp[], 22, FALSE)</f>
        <v>0</v>
      </c>
      <c r="Z439">
        <f>VLOOKUP(Table5[[#This Row],[Shortname]], Comp[], 23, FALSE)</f>
        <v>0</v>
      </c>
      <c r="AA439">
        <f>VLOOKUP(Table5[[#This Row],[Shortname]], Comp[], 24, FALSE)</f>
        <v>0</v>
      </c>
      <c r="AB439">
        <f>VLOOKUP(Table5[[#This Row],[Shortname]], Comp[], 25, FALSE)</f>
        <v>0</v>
      </c>
      <c r="AC439">
        <f>VLOOKUP(Table5[[#This Row],[Shortname]], Comp[], 26, FALSE)</f>
        <v>0</v>
      </c>
      <c r="AD439">
        <f>VLOOKUP(Table5[[#This Row],[Shortname]], Comp[], 27, FALSE)</f>
        <v>0</v>
      </c>
      <c r="AE439">
        <f>VLOOKUP(Table5[[#This Row],[Shortname]], Comp[], 28, FALSE)</f>
        <v>0</v>
      </c>
      <c r="AF439">
        <f>VLOOKUP(Table5[[#This Row],[Shortname]], Comp[], 29, FALSE)</f>
        <v>0</v>
      </c>
      <c r="AG439">
        <f>VLOOKUP(Table5[[#This Row],[Shortname]], Comp[], 30, FALSE)</f>
        <v>0</v>
      </c>
      <c r="AH439">
        <f>VLOOKUP(Table5[[#This Row],[Shortname]], Comp[], 31, FALSE)</f>
        <v>0</v>
      </c>
    </row>
    <row r="440" spans="1:34" x14ac:dyDescent="0.3">
      <c r="A440" s="7" t="s">
        <v>4025</v>
      </c>
      <c r="B440">
        <v>455</v>
      </c>
      <c r="C440" s="7" t="str">
        <f>VLOOKUP(Table5[[#This Row],[Shortname]], [1]!comp[#Data], 2, FALSE)</f>
        <v>CoAlW-X</v>
      </c>
      <c r="D440" s="7" t="s">
        <v>4027</v>
      </c>
      <c r="E440" t="s">
        <v>6758</v>
      </c>
      <c r="F440">
        <v>883</v>
      </c>
      <c r="J440" s="14">
        <f>VLOOKUP(Table5[[#This Row],[Shortname]], Comp[], 7, FALSE)</f>
        <v>84.9</v>
      </c>
      <c r="K440">
        <f>VLOOKUP(Table5[[#This Row],[Shortname]], Comp[], 8, FALSE)</f>
        <v>0</v>
      </c>
      <c r="L440">
        <f>VLOOKUP(Table5[[#This Row],[Shortname]], Comp[], 9, FALSE)</f>
        <v>7.2</v>
      </c>
      <c r="M440">
        <f>VLOOKUP(Table5[[#This Row],[Shortname]], Comp[], 10, FALSE)</f>
        <v>0</v>
      </c>
      <c r="N440">
        <f>VLOOKUP(Table5[[#This Row],[Shortname]], Comp[], 11, FALSE)</f>
        <v>7.2</v>
      </c>
      <c r="O440">
        <f>VLOOKUP(Table5[[#This Row],[Shortname]], Comp[],12, FALSE)</f>
        <v>0</v>
      </c>
      <c r="P440">
        <f>VLOOKUP(Table5[[#This Row],[Shortname]], Comp[], 13, FALSE)</f>
        <v>0</v>
      </c>
      <c r="Q440">
        <f>VLOOKUP(Table5[[#This Row],[Shortname]], Comp[], 14, FALSE)</f>
        <v>0</v>
      </c>
      <c r="R440">
        <f>VLOOKUP(Table5[[#This Row],[Shortname]], Comp[], 15, FALSE)</f>
        <v>0</v>
      </c>
      <c r="S440">
        <f>VLOOKUP(Table5[[#This Row],[Shortname]], Comp[], 16, FALSE)</f>
        <v>0</v>
      </c>
      <c r="T440">
        <f>VLOOKUP(Table5[[#This Row],[Shortname]], Comp[], 17, FALSE)</f>
        <v>0</v>
      </c>
      <c r="U440">
        <f>VLOOKUP(Table5[[#This Row],[Shortname]], Comp[], 18, FALSE)</f>
        <v>0</v>
      </c>
      <c r="V440">
        <f>VLOOKUP(Table5[[#This Row],[Shortname]], Comp[], 19, FALSE)</f>
        <v>0</v>
      </c>
      <c r="W440">
        <f>VLOOKUP(Table5[[#This Row],[Shortname]], Comp[], 20, FALSE)</f>
        <v>0</v>
      </c>
      <c r="X440">
        <f>VLOOKUP(Table5[[#This Row],[Shortname]], Comp[], 21, FALSE)</f>
        <v>0</v>
      </c>
      <c r="Y440">
        <f>VLOOKUP(Table5[[#This Row],[Shortname]], Comp[], 22, FALSE)</f>
        <v>0.7</v>
      </c>
      <c r="Z440">
        <f>VLOOKUP(Table5[[#This Row],[Shortname]], Comp[], 23, FALSE)</f>
        <v>0</v>
      </c>
      <c r="AA440">
        <f>VLOOKUP(Table5[[#This Row],[Shortname]], Comp[], 24, FALSE)</f>
        <v>0</v>
      </c>
      <c r="AB440">
        <f>VLOOKUP(Table5[[#This Row],[Shortname]], Comp[], 25, FALSE)</f>
        <v>0</v>
      </c>
      <c r="AC440">
        <f>VLOOKUP(Table5[[#This Row],[Shortname]], Comp[], 26, FALSE)</f>
        <v>0</v>
      </c>
      <c r="AD440">
        <f>VLOOKUP(Table5[[#This Row],[Shortname]], Comp[], 27, FALSE)</f>
        <v>0</v>
      </c>
      <c r="AE440">
        <f>VLOOKUP(Table5[[#This Row],[Shortname]], Comp[], 28, FALSE)</f>
        <v>0</v>
      </c>
      <c r="AF440">
        <f>VLOOKUP(Table5[[#This Row],[Shortname]], Comp[], 29, FALSE)</f>
        <v>0</v>
      </c>
      <c r="AG440">
        <f>VLOOKUP(Table5[[#This Row],[Shortname]], Comp[], 30, FALSE)</f>
        <v>0</v>
      </c>
      <c r="AH440">
        <f>VLOOKUP(Table5[[#This Row],[Shortname]], Comp[], 31, FALSE)</f>
        <v>0</v>
      </c>
    </row>
    <row r="441" spans="1:34" x14ac:dyDescent="0.3">
      <c r="A441" s="7" t="s">
        <v>3775</v>
      </c>
      <c r="B441">
        <v>456</v>
      </c>
      <c r="C441" s="7" t="str">
        <f>VLOOKUP(Table5[[#This Row],[Shortname]], [1]!comp[#Data], 2, FALSE)</f>
        <v>CoAlW-X</v>
      </c>
      <c r="D441" s="7" t="s">
        <v>4849</v>
      </c>
      <c r="E441" t="s">
        <v>6758</v>
      </c>
      <c r="F441">
        <v>881</v>
      </c>
      <c r="J441" s="14">
        <f>VLOOKUP(Table5[[#This Row],[Shortname]], Comp[], 7, FALSE)</f>
        <v>65.5</v>
      </c>
      <c r="K441">
        <f>VLOOKUP(Table5[[#This Row],[Shortname]], Comp[], 8, FALSE)</f>
        <v>20.2</v>
      </c>
      <c r="L441">
        <f>VLOOKUP(Table5[[#This Row],[Shortname]], Comp[], 9, FALSE)</f>
        <v>7.3</v>
      </c>
      <c r="M441">
        <f>VLOOKUP(Table5[[#This Row],[Shortname]], Comp[], 10, FALSE)</f>
        <v>0</v>
      </c>
      <c r="N441">
        <f>VLOOKUP(Table5[[#This Row],[Shortname]], Comp[], 11, FALSE)</f>
        <v>7</v>
      </c>
      <c r="O441">
        <f>VLOOKUP(Table5[[#This Row],[Shortname]], Comp[],12, FALSE)</f>
        <v>0</v>
      </c>
      <c r="P441">
        <f>VLOOKUP(Table5[[#This Row],[Shortname]], Comp[], 13, FALSE)</f>
        <v>0</v>
      </c>
      <c r="Q441">
        <f>VLOOKUP(Table5[[#This Row],[Shortname]], Comp[], 14, FALSE)</f>
        <v>0</v>
      </c>
      <c r="R441">
        <f>VLOOKUP(Table5[[#This Row],[Shortname]], Comp[], 15, FALSE)</f>
        <v>0</v>
      </c>
      <c r="S441">
        <f>VLOOKUP(Table5[[#This Row],[Shortname]], Comp[], 16, FALSE)</f>
        <v>0</v>
      </c>
      <c r="T441">
        <f>VLOOKUP(Table5[[#This Row],[Shortname]], Comp[], 17, FALSE)</f>
        <v>0</v>
      </c>
      <c r="U441">
        <f>VLOOKUP(Table5[[#This Row],[Shortname]], Comp[], 18, FALSE)</f>
        <v>0</v>
      </c>
      <c r="V441">
        <f>VLOOKUP(Table5[[#This Row],[Shortname]], Comp[], 19, FALSE)</f>
        <v>0</v>
      </c>
      <c r="W441">
        <f>VLOOKUP(Table5[[#This Row],[Shortname]], Comp[], 20, FALSE)</f>
        <v>0</v>
      </c>
      <c r="X441">
        <f>VLOOKUP(Table5[[#This Row],[Shortname]], Comp[], 21, FALSE)</f>
        <v>0</v>
      </c>
      <c r="Y441">
        <f>VLOOKUP(Table5[[#This Row],[Shortname]], Comp[], 22, FALSE)</f>
        <v>0</v>
      </c>
      <c r="Z441">
        <f>VLOOKUP(Table5[[#This Row],[Shortname]], Comp[], 23, FALSE)</f>
        <v>0</v>
      </c>
      <c r="AA441">
        <f>VLOOKUP(Table5[[#This Row],[Shortname]], Comp[], 24, FALSE)</f>
        <v>0</v>
      </c>
      <c r="AB441">
        <f>VLOOKUP(Table5[[#This Row],[Shortname]], Comp[], 25, FALSE)</f>
        <v>0</v>
      </c>
      <c r="AC441">
        <f>VLOOKUP(Table5[[#This Row],[Shortname]], Comp[], 26, FALSE)</f>
        <v>0</v>
      </c>
      <c r="AD441">
        <f>VLOOKUP(Table5[[#This Row],[Shortname]], Comp[], 27, FALSE)</f>
        <v>0</v>
      </c>
      <c r="AE441">
        <f>VLOOKUP(Table5[[#This Row],[Shortname]], Comp[], 28, FALSE)</f>
        <v>0</v>
      </c>
      <c r="AF441">
        <f>VLOOKUP(Table5[[#This Row],[Shortname]], Comp[], 29, FALSE)</f>
        <v>0</v>
      </c>
      <c r="AG441">
        <f>VLOOKUP(Table5[[#This Row],[Shortname]], Comp[], 30, FALSE)</f>
        <v>0</v>
      </c>
      <c r="AH441">
        <f>VLOOKUP(Table5[[#This Row],[Shortname]], Comp[], 31, FALSE)</f>
        <v>0</v>
      </c>
    </row>
    <row r="442" spans="1:34" x14ac:dyDescent="0.3">
      <c r="A442" s="7" t="s">
        <v>4090</v>
      </c>
      <c r="B442">
        <v>457</v>
      </c>
      <c r="C442" s="7" t="str">
        <f>VLOOKUP(Table5[[#This Row],[Shortname]], [1]!comp[#Data], 2, FALSE)</f>
        <v>CoAlWX+</v>
      </c>
      <c r="D442" s="7" t="s">
        <v>4092</v>
      </c>
      <c r="E442" t="s">
        <v>6758</v>
      </c>
      <c r="F442">
        <v>880</v>
      </c>
      <c r="J442" s="14">
        <f>VLOOKUP(Table5[[#This Row],[Shortname]], Comp[], 7, FALSE)</f>
        <v>31.799999999999997</v>
      </c>
      <c r="K442">
        <f>VLOOKUP(Table5[[#This Row],[Shortname]], Comp[], 8, FALSE)</f>
        <v>33.200000000000003</v>
      </c>
      <c r="L442">
        <f>VLOOKUP(Table5[[#This Row],[Shortname]], Comp[], 9, FALSE)</f>
        <v>7.7</v>
      </c>
      <c r="M442">
        <f>VLOOKUP(Table5[[#This Row],[Shortname]], Comp[], 10, FALSE)</f>
        <v>20.8</v>
      </c>
      <c r="N442">
        <f>VLOOKUP(Table5[[#This Row],[Shortname]], Comp[], 11, FALSE)</f>
        <v>6.5</v>
      </c>
      <c r="O442">
        <f>VLOOKUP(Table5[[#This Row],[Shortname]], Comp[],12, FALSE)</f>
        <v>0</v>
      </c>
      <c r="P442">
        <f>VLOOKUP(Table5[[#This Row],[Shortname]], Comp[], 13, FALSE)</f>
        <v>0</v>
      </c>
      <c r="Q442">
        <f>VLOOKUP(Table5[[#This Row],[Shortname]], Comp[], 14, FALSE)</f>
        <v>0</v>
      </c>
      <c r="R442">
        <f>VLOOKUP(Table5[[#This Row],[Shortname]], Comp[], 15, FALSE)</f>
        <v>0</v>
      </c>
      <c r="S442">
        <f>VLOOKUP(Table5[[#This Row],[Shortname]], Comp[], 16, FALSE)</f>
        <v>0</v>
      </c>
      <c r="T442">
        <f>VLOOKUP(Table5[[#This Row],[Shortname]], Comp[], 17, FALSE)</f>
        <v>0</v>
      </c>
      <c r="U442">
        <f>VLOOKUP(Table5[[#This Row],[Shortname]], Comp[], 18, FALSE)</f>
        <v>0</v>
      </c>
      <c r="V442">
        <f>VLOOKUP(Table5[[#This Row],[Shortname]], Comp[], 19, FALSE)</f>
        <v>0</v>
      </c>
      <c r="W442">
        <f>VLOOKUP(Table5[[#This Row],[Shortname]], Comp[], 20, FALSE)</f>
        <v>0</v>
      </c>
      <c r="X442">
        <f>VLOOKUP(Table5[[#This Row],[Shortname]], Comp[], 21, FALSE)</f>
        <v>0</v>
      </c>
      <c r="Y442">
        <f>VLOOKUP(Table5[[#This Row],[Shortname]], Comp[], 22, FALSE)</f>
        <v>0</v>
      </c>
      <c r="Z442">
        <f>VLOOKUP(Table5[[#This Row],[Shortname]], Comp[], 23, FALSE)</f>
        <v>0</v>
      </c>
      <c r="AA442">
        <f>VLOOKUP(Table5[[#This Row],[Shortname]], Comp[], 24, FALSE)</f>
        <v>0</v>
      </c>
      <c r="AB442">
        <f>VLOOKUP(Table5[[#This Row],[Shortname]], Comp[], 25, FALSE)</f>
        <v>0</v>
      </c>
      <c r="AC442">
        <f>VLOOKUP(Table5[[#This Row],[Shortname]], Comp[], 26, FALSE)</f>
        <v>0</v>
      </c>
      <c r="AD442">
        <f>VLOOKUP(Table5[[#This Row],[Shortname]], Comp[], 27, FALSE)</f>
        <v>0</v>
      </c>
      <c r="AE442">
        <f>VLOOKUP(Table5[[#This Row],[Shortname]], Comp[], 28, FALSE)</f>
        <v>0</v>
      </c>
      <c r="AF442">
        <f>VLOOKUP(Table5[[#This Row],[Shortname]], Comp[], 29, FALSE)</f>
        <v>0</v>
      </c>
      <c r="AG442">
        <f>VLOOKUP(Table5[[#This Row],[Shortname]], Comp[], 30, FALSE)</f>
        <v>0</v>
      </c>
      <c r="AH442">
        <f>VLOOKUP(Table5[[#This Row],[Shortname]], Comp[], 31, FALSE)</f>
        <v>0</v>
      </c>
    </row>
    <row r="443" spans="1:34" x14ac:dyDescent="0.3">
      <c r="A443" s="7" t="s">
        <v>4038</v>
      </c>
      <c r="B443">
        <v>458</v>
      </c>
      <c r="C443" s="7" t="str">
        <f>VLOOKUP(Table5[[#This Row],[Shortname]], [1]!comp[#Data], 2, FALSE)</f>
        <v>CoAlW-X</v>
      </c>
      <c r="D443" s="7" t="s">
        <v>4040</v>
      </c>
      <c r="E443" t="s">
        <v>6758</v>
      </c>
      <c r="F443">
        <v>861</v>
      </c>
      <c r="J443" s="14">
        <f>VLOOKUP(Table5[[#This Row],[Shortname]], Comp[], 7, FALSE)</f>
        <v>76.2</v>
      </c>
      <c r="K443">
        <f>VLOOKUP(Table5[[#This Row],[Shortname]], Comp[], 8, FALSE)</f>
        <v>0</v>
      </c>
      <c r="L443">
        <f>VLOOKUP(Table5[[#This Row],[Shortname]], Comp[], 9, FALSE)</f>
        <v>7.2</v>
      </c>
      <c r="M443">
        <f>VLOOKUP(Table5[[#This Row],[Shortname]], Comp[], 10, FALSE)</f>
        <v>9.8000000000000007</v>
      </c>
      <c r="N443">
        <f>VLOOKUP(Table5[[#This Row],[Shortname]], Comp[], 11, FALSE)</f>
        <v>6.8</v>
      </c>
      <c r="O443">
        <f>VLOOKUP(Table5[[#This Row],[Shortname]], Comp[],12, FALSE)</f>
        <v>0</v>
      </c>
      <c r="P443">
        <f>VLOOKUP(Table5[[#This Row],[Shortname]], Comp[], 13, FALSE)</f>
        <v>0</v>
      </c>
      <c r="Q443">
        <f>VLOOKUP(Table5[[#This Row],[Shortname]], Comp[], 14, FALSE)</f>
        <v>0</v>
      </c>
      <c r="R443">
        <f>VLOOKUP(Table5[[#This Row],[Shortname]], Comp[], 15, FALSE)</f>
        <v>0</v>
      </c>
      <c r="S443">
        <f>VLOOKUP(Table5[[#This Row],[Shortname]], Comp[], 16, FALSE)</f>
        <v>0</v>
      </c>
      <c r="T443">
        <f>VLOOKUP(Table5[[#This Row],[Shortname]], Comp[], 17, FALSE)</f>
        <v>0</v>
      </c>
      <c r="U443">
        <f>VLOOKUP(Table5[[#This Row],[Shortname]], Comp[], 18, FALSE)</f>
        <v>0</v>
      </c>
      <c r="V443">
        <f>VLOOKUP(Table5[[#This Row],[Shortname]], Comp[], 19, FALSE)</f>
        <v>0</v>
      </c>
      <c r="W443">
        <f>VLOOKUP(Table5[[#This Row],[Shortname]], Comp[], 20, FALSE)</f>
        <v>0</v>
      </c>
      <c r="X443">
        <f>VLOOKUP(Table5[[#This Row],[Shortname]], Comp[], 21, FALSE)</f>
        <v>0</v>
      </c>
      <c r="Y443">
        <f>VLOOKUP(Table5[[#This Row],[Shortname]], Comp[], 22, FALSE)</f>
        <v>0</v>
      </c>
      <c r="Z443">
        <f>VLOOKUP(Table5[[#This Row],[Shortname]], Comp[], 23, FALSE)</f>
        <v>0</v>
      </c>
      <c r="AA443">
        <f>VLOOKUP(Table5[[#This Row],[Shortname]], Comp[], 24, FALSE)</f>
        <v>0</v>
      </c>
      <c r="AB443">
        <f>VLOOKUP(Table5[[#This Row],[Shortname]], Comp[], 25, FALSE)</f>
        <v>0</v>
      </c>
      <c r="AC443">
        <f>VLOOKUP(Table5[[#This Row],[Shortname]], Comp[], 26, FALSE)</f>
        <v>0</v>
      </c>
      <c r="AD443">
        <f>VLOOKUP(Table5[[#This Row],[Shortname]], Comp[], 27, FALSE)</f>
        <v>0</v>
      </c>
      <c r="AE443">
        <f>VLOOKUP(Table5[[#This Row],[Shortname]], Comp[], 28, FALSE)</f>
        <v>0</v>
      </c>
      <c r="AF443">
        <f>VLOOKUP(Table5[[#This Row],[Shortname]], Comp[], 29, FALSE)</f>
        <v>0</v>
      </c>
      <c r="AG443">
        <f>VLOOKUP(Table5[[#This Row],[Shortname]], Comp[], 30, FALSE)</f>
        <v>0</v>
      </c>
      <c r="AH443">
        <f>VLOOKUP(Table5[[#This Row],[Shortname]], Comp[], 31, FALSE)</f>
        <v>0</v>
      </c>
    </row>
    <row r="444" spans="1:34" x14ac:dyDescent="0.3">
      <c r="A444" s="7" t="s">
        <v>2430</v>
      </c>
      <c r="B444">
        <v>459</v>
      </c>
      <c r="C444" s="7" t="str">
        <f>VLOOKUP(Table5[[#This Row],[Shortname]], [1]!comp[#Data], 2, FALSE)</f>
        <v>CoAlW-X</v>
      </c>
      <c r="D444" s="7" t="s">
        <v>1813</v>
      </c>
      <c r="E444" t="s">
        <v>6758</v>
      </c>
      <c r="F444">
        <v>854</v>
      </c>
      <c r="J444" s="14">
        <f>VLOOKUP(Table5[[#This Row],[Shortname]], Comp[], 7, FALSE)</f>
        <v>85.9</v>
      </c>
      <c r="K444">
        <f>VLOOKUP(Table5[[#This Row],[Shortname]], Comp[], 8, FALSE)</f>
        <v>0</v>
      </c>
      <c r="L444">
        <f>VLOOKUP(Table5[[#This Row],[Shortname]], Comp[], 9, FALSE)</f>
        <v>7.3</v>
      </c>
      <c r="M444">
        <f>VLOOKUP(Table5[[#This Row],[Shortname]], Comp[], 10, FALSE)</f>
        <v>0</v>
      </c>
      <c r="N444">
        <f>VLOOKUP(Table5[[#This Row],[Shortname]], Comp[], 11, FALSE)</f>
        <v>6.8</v>
      </c>
      <c r="O444">
        <f>VLOOKUP(Table5[[#This Row],[Shortname]], Comp[],12, FALSE)</f>
        <v>0</v>
      </c>
      <c r="P444">
        <f>VLOOKUP(Table5[[#This Row],[Shortname]], Comp[], 13, FALSE)</f>
        <v>0</v>
      </c>
      <c r="Q444">
        <f>VLOOKUP(Table5[[#This Row],[Shortname]], Comp[], 14, FALSE)</f>
        <v>0</v>
      </c>
      <c r="R444">
        <f>VLOOKUP(Table5[[#This Row],[Shortname]], Comp[], 15, FALSE)</f>
        <v>0</v>
      </c>
      <c r="S444">
        <f>VLOOKUP(Table5[[#This Row],[Shortname]], Comp[], 16, FALSE)</f>
        <v>0</v>
      </c>
      <c r="T444">
        <f>VLOOKUP(Table5[[#This Row],[Shortname]], Comp[], 17, FALSE)</f>
        <v>0</v>
      </c>
      <c r="U444">
        <f>VLOOKUP(Table5[[#This Row],[Shortname]], Comp[], 18, FALSE)</f>
        <v>0</v>
      </c>
      <c r="V444">
        <f>VLOOKUP(Table5[[#This Row],[Shortname]], Comp[], 19, FALSE)</f>
        <v>0</v>
      </c>
      <c r="W444">
        <f>VLOOKUP(Table5[[#This Row],[Shortname]], Comp[], 20, FALSE)</f>
        <v>0</v>
      </c>
      <c r="X444">
        <f>VLOOKUP(Table5[[#This Row],[Shortname]], Comp[], 21, FALSE)</f>
        <v>0</v>
      </c>
      <c r="Y444">
        <f>VLOOKUP(Table5[[#This Row],[Shortname]], Comp[], 22, FALSE)</f>
        <v>0</v>
      </c>
      <c r="Z444">
        <f>VLOOKUP(Table5[[#This Row],[Shortname]], Comp[], 23, FALSE)</f>
        <v>0</v>
      </c>
      <c r="AA444">
        <f>VLOOKUP(Table5[[#This Row],[Shortname]], Comp[], 24, FALSE)</f>
        <v>0</v>
      </c>
      <c r="AB444">
        <f>VLOOKUP(Table5[[#This Row],[Shortname]], Comp[], 25, FALSE)</f>
        <v>0</v>
      </c>
      <c r="AC444">
        <f>VLOOKUP(Table5[[#This Row],[Shortname]], Comp[], 26, FALSE)</f>
        <v>0</v>
      </c>
      <c r="AD444">
        <f>VLOOKUP(Table5[[#This Row],[Shortname]], Comp[], 27, FALSE)</f>
        <v>0</v>
      </c>
      <c r="AE444">
        <f>VLOOKUP(Table5[[#This Row],[Shortname]], Comp[], 28, FALSE)</f>
        <v>0</v>
      </c>
      <c r="AF444">
        <f>VLOOKUP(Table5[[#This Row],[Shortname]], Comp[], 29, FALSE)</f>
        <v>0</v>
      </c>
      <c r="AG444">
        <f>VLOOKUP(Table5[[#This Row],[Shortname]], Comp[], 30, FALSE)</f>
        <v>0</v>
      </c>
      <c r="AH444">
        <f>VLOOKUP(Table5[[#This Row],[Shortname]], Comp[], 31, FALSE)</f>
        <v>0</v>
      </c>
    </row>
    <row r="445" spans="1:34" x14ac:dyDescent="0.3">
      <c r="A445" s="7" t="s">
        <v>4105</v>
      </c>
      <c r="B445">
        <v>460</v>
      </c>
      <c r="C445" s="7" t="str">
        <f>VLOOKUP(Table5[[#This Row],[Shortname]], [1]!comp[#Data], 2, FALSE)</f>
        <v>CoAlWX+</v>
      </c>
      <c r="D445" s="7" t="s">
        <v>4107</v>
      </c>
      <c r="E445" t="s">
        <v>6758</v>
      </c>
      <c r="F445">
        <v>837</v>
      </c>
      <c r="J445" s="14">
        <f>VLOOKUP(Table5[[#This Row],[Shortname]], Comp[], 7, FALSE)</f>
        <v>43.599999999999994</v>
      </c>
      <c r="K445">
        <f>VLOOKUP(Table5[[#This Row],[Shortname]], Comp[], 8, FALSE)</f>
        <v>21.3</v>
      </c>
      <c r="L445">
        <f>VLOOKUP(Table5[[#This Row],[Shortname]], Comp[], 9, FALSE)</f>
        <v>9.3000000000000007</v>
      </c>
      <c r="M445">
        <f>VLOOKUP(Table5[[#This Row],[Shortname]], Comp[], 10, FALSE)</f>
        <v>21.1</v>
      </c>
      <c r="N445">
        <f>VLOOKUP(Table5[[#This Row],[Shortname]], Comp[], 11, FALSE)</f>
        <v>4.7</v>
      </c>
      <c r="O445">
        <f>VLOOKUP(Table5[[#This Row],[Shortname]], Comp[],12, FALSE)</f>
        <v>0</v>
      </c>
      <c r="P445">
        <f>VLOOKUP(Table5[[#This Row],[Shortname]], Comp[], 13, FALSE)</f>
        <v>0</v>
      </c>
      <c r="Q445">
        <f>VLOOKUP(Table5[[#This Row],[Shortname]], Comp[], 14, FALSE)</f>
        <v>0</v>
      </c>
      <c r="R445">
        <f>VLOOKUP(Table5[[#This Row],[Shortname]], Comp[], 15, FALSE)</f>
        <v>0</v>
      </c>
      <c r="S445">
        <f>VLOOKUP(Table5[[#This Row],[Shortname]], Comp[], 16, FALSE)</f>
        <v>0</v>
      </c>
      <c r="T445">
        <f>VLOOKUP(Table5[[#This Row],[Shortname]], Comp[], 17, FALSE)</f>
        <v>0</v>
      </c>
      <c r="U445">
        <f>VLOOKUP(Table5[[#This Row],[Shortname]], Comp[], 18, FALSE)</f>
        <v>0</v>
      </c>
      <c r="V445">
        <f>VLOOKUP(Table5[[#This Row],[Shortname]], Comp[], 19, FALSE)</f>
        <v>0</v>
      </c>
      <c r="W445">
        <f>VLOOKUP(Table5[[#This Row],[Shortname]], Comp[], 20, FALSE)</f>
        <v>0</v>
      </c>
      <c r="X445">
        <f>VLOOKUP(Table5[[#This Row],[Shortname]], Comp[], 21, FALSE)</f>
        <v>0</v>
      </c>
      <c r="Y445">
        <f>VLOOKUP(Table5[[#This Row],[Shortname]], Comp[], 22, FALSE)</f>
        <v>0</v>
      </c>
      <c r="Z445">
        <f>VLOOKUP(Table5[[#This Row],[Shortname]], Comp[], 23, FALSE)</f>
        <v>0</v>
      </c>
      <c r="AA445">
        <f>VLOOKUP(Table5[[#This Row],[Shortname]], Comp[], 24, FALSE)</f>
        <v>0</v>
      </c>
      <c r="AB445">
        <f>VLOOKUP(Table5[[#This Row],[Shortname]], Comp[], 25, FALSE)</f>
        <v>0</v>
      </c>
      <c r="AC445">
        <f>VLOOKUP(Table5[[#This Row],[Shortname]], Comp[], 26, FALSE)</f>
        <v>0</v>
      </c>
      <c r="AD445">
        <f>VLOOKUP(Table5[[#This Row],[Shortname]], Comp[], 27, FALSE)</f>
        <v>0</v>
      </c>
      <c r="AE445">
        <f>VLOOKUP(Table5[[#This Row],[Shortname]], Comp[], 28, FALSE)</f>
        <v>0</v>
      </c>
      <c r="AF445">
        <f>VLOOKUP(Table5[[#This Row],[Shortname]], Comp[], 29, FALSE)</f>
        <v>0</v>
      </c>
      <c r="AG445">
        <f>VLOOKUP(Table5[[#This Row],[Shortname]], Comp[], 30, FALSE)</f>
        <v>0</v>
      </c>
      <c r="AH445">
        <f>VLOOKUP(Table5[[#This Row],[Shortname]], Comp[], 31, FALSE)</f>
        <v>0</v>
      </c>
    </row>
    <row r="446" spans="1:34" x14ac:dyDescent="0.3">
      <c r="A446" s="7" t="s">
        <v>4045</v>
      </c>
      <c r="B446">
        <v>461</v>
      </c>
      <c r="C446" s="7" t="str">
        <f>VLOOKUP(Table5[[#This Row],[Shortname]], [1]!comp[#Data], 2, FALSE)</f>
        <v>CoAlW-X</v>
      </c>
      <c r="D446" s="7" t="s">
        <v>4047</v>
      </c>
      <c r="E446" t="s">
        <v>6758</v>
      </c>
      <c r="F446">
        <v>835</v>
      </c>
      <c r="J446" s="14">
        <f>VLOOKUP(Table5[[#This Row],[Shortname]], Comp[], 7, FALSE)</f>
        <v>72.3</v>
      </c>
      <c r="K446">
        <f>VLOOKUP(Table5[[#This Row],[Shortname]], Comp[], 8, FALSE)</f>
        <v>0</v>
      </c>
      <c r="L446">
        <f>VLOOKUP(Table5[[#This Row],[Shortname]], Comp[], 9, FALSE)</f>
        <v>7.4</v>
      </c>
      <c r="M446">
        <f>VLOOKUP(Table5[[#This Row],[Shortname]], Comp[], 10, FALSE)</f>
        <v>13.2</v>
      </c>
      <c r="N446">
        <f>VLOOKUP(Table5[[#This Row],[Shortname]], Comp[], 11, FALSE)</f>
        <v>7.1</v>
      </c>
      <c r="O446">
        <f>VLOOKUP(Table5[[#This Row],[Shortname]], Comp[],12, FALSE)</f>
        <v>0</v>
      </c>
      <c r="P446">
        <f>VLOOKUP(Table5[[#This Row],[Shortname]], Comp[], 13, FALSE)</f>
        <v>0</v>
      </c>
      <c r="Q446">
        <f>VLOOKUP(Table5[[#This Row],[Shortname]], Comp[], 14, FALSE)</f>
        <v>0</v>
      </c>
      <c r="R446">
        <f>VLOOKUP(Table5[[#This Row],[Shortname]], Comp[], 15, FALSE)</f>
        <v>0</v>
      </c>
      <c r="S446">
        <f>VLOOKUP(Table5[[#This Row],[Shortname]], Comp[], 16, FALSE)</f>
        <v>0</v>
      </c>
      <c r="T446">
        <f>VLOOKUP(Table5[[#This Row],[Shortname]], Comp[], 17, FALSE)</f>
        <v>0</v>
      </c>
      <c r="U446">
        <f>VLOOKUP(Table5[[#This Row],[Shortname]], Comp[], 18, FALSE)</f>
        <v>0</v>
      </c>
      <c r="V446">
        <f>VLOOKUP(Table5[[#This Row],[Shortname]], Comp[], 19, FALSE)</f>
        <v>0</v>
      </c>
      <c r="W446">
        <f>VLOOKUP(Table5[[#This Row],[Shortname]], Comp[], 20, FALSE)</f>
        <v>0</v>
      </c>
      <c r="X446">
        <f>VLOOKUP(Table5[[#This Row],[Shortname]], Comp[], 21, FALSE)</f>
        <v>0</v>
      </c>
      <c r="Y446">
        <f>VLOOKUP(Table5[[#This Row],[Shortname]], Comp[], 22, FALSE)</f>
        <v>0</v>
      </c>
      <c r="Z446">
        <f>VLOOKUP(Table5[[#This Row],[Shortname]], Comp[], 23, FALSE)</f>
        <v>0</v>
      </c>
      <c r="AA446">
        <f>VLOOKUP(Table5[[#This Row],[Shortname]], Comp[], 24, FALSE)</f>
        <v>0</v>
      </c>
      <c r="AB446">
        <f>VLOOKUP(Table5[[#This Row],[Shortname]], Comp[], 25, FALSE)</f>
        <v>0</v>
      </c>
      <c r="AC446">
        <f>VLOOKUP(Table5[[#This Row],[Shortname]], Comp[], 26, FALSE)</f>
        <v>0</v>
      </c>
      <c r="AD446">
        <f>VLOOKUP(Table5[[#This Row],[Shortname]], Comp[], 27, FALSE)</f>
        <v>0</v>
      </c>
      <c r="AE446">
        <f>VLOOKUP(Table5[[#This Row],[Shortname]], Comp[], 28, FALSE)</f>
        <v>0</v>
      </c>
      <c r="AF446">
        <f>VLOOKUP(Table5[[#This Row],[Shortname]], Comp[], 29, FALSE)</f>
        <v>0</v>
      </c>
      <c r="AG446">
        <f>VLOOKUP(Table5[[#This Row],[Shortname]], Comp[], 30, FALSE)</f>
        <v>0</v>
      </c>
      <c r="AH446">
        <f>VLOOKUP(Table5[[#This Row],[Shortname]], Comp[], 31, FALSE)</f>
        <v>0</v>
      </c>
    </row>
    <row r="447" spans="1:34" x14ac:dyDescent="0.3">
      <c r="A447" s="7" t="s">
        <v>4016</v>
      </c>
      <c r="B447">
        <v>462</v>
      </c>
      <c r="C447" s="7" t="str">
        <f>VLOOKUP(Table5[[#This Row],[Shortname]], [1]!comp[#Data], 2, FALSE)</f>
        <v>Low-W</v>
      </c>
      <c r="D447" s="7" t="s">
        <v>4018</v>
      </c>
      <c r="E447" t="s">
        <v>6758</v>
      </c>
      <c r="F447">
        <v>830</v>
      </c>
      <c r="J447" s="14">
        <f>VLOOKUP(Table5[[#This Row],[Shortname]], Comp[], 7, FALSE)</f>
        <v>78.7</v>
      </c>
      <c r="K447">
        <f>VLOOKUP(Table5[[#This Row],[Shortname]], Comp[], 8, FALSE)</f>
        <v>6.4</v>
      </c>
      <c r="L447">
        <f>VLOOKUP(Table5[[#This Row],[Shortname]], Comp[], 9, FALSE)</f>
        <v>7.7</v>
      </c>
      <c r="M447">
        <f>VLOOKUP(Table5[[#This Row],[Shortname]], Comp[], 10, FALSE)</f>
        <v>0</v>
      </c>
      <c r="N447">
        <f>VLOOKUP(Table5[[#This Row],[Shortname]], Comp[], 11, FALSE)</f>
        <v>3</v>
      </c>
      <c r="O447">
        <f>VLOOKUP(Table5[[#This Row],[Shortname]], Comp[],12, FALSE)</f>
        <v>0</v>
      </c>
      <c r="P447">
        <f>VLOOKUP(Table5[[#This Row],[Shortname]], Comp[], 13, FALSE)</f>
        <v>0</v>
      </c>
      <c r="Q447">
        <f>VLOOKUP(Table5[[#This Row],[Shortname]], Comp[], 14, FALSE)</f>
        <v>0</v>
      </c>
      <c r="R447">
        <f>VLOOKUP(Table5[[#This Row],[Shortname]], Comp[], 15, FALSE)</f>
        <v>4.2</v>
      </c>
      <c r="S447">
        <f>VLOOKUP(Table5[[#This Row],[Shortname]], Comp[], 16, FALSE)</f>
        <v>0</v>
      </c>
      <c r="T447">
        <f>VLOOKUP(Table5[[#This Row],[Shortname]], Comp[], 17, FALSE)</f>
        <v>0</v>
      </c>
      <c r="U447">
        <f>VLOOKUP(Table5[[#This Row],[Shortname]], Comp[], 18, FALSE)</f>
        <v>0</v>
      </c>
      <c r="V447">
        <f>VLOOKUP(Table5[[#This Row],[Shortname]], Comp[], 19, FALSE)</f>
        <v>0</v>
      </c>
      <c r="W447">
        <f>VLOOKUP(Table5[[#This Row],[Shortname]], Comp[], 20, FALSE)</f>
        <v>0</v>
      </c>
      <c r="X447">
        <f>VLOOKUP(Table5[[#This Row],[Shortname]], Comp[], 21, FALSE)</f>
        <v>0</v>
      </c>
      <c r="Y447">
        <f>VLOOKUP(Table5[[#This Row],[Shortname]], Comp[], 22, FALSE)</f>
        <v>0</v>
      </c>
      <c r="Z447">
        <f>VLOOKUP(Table5[[#This Row],[Shortname]], Comp[], 23, FALSE)</f>
        <v>0</v>
      </c>
      <c r="AA447">
        <f>VLOOKUP(Table5[[#This Row],[Shortname]], Comp[], 24, FALSE)</f>
        <v>0</v>
      </c>
      <c r="AB447">
        <f>VLOOKUP(Table5[[#This Row],[Shortname]], Comp[], 25, FALSE)</f>
        <v>0</v>
      </c>
      <c r="AC447">
        <f>VLOOKUP(Table5[[#This Row],[Shortname]], Comp[], 26, FALSE)</f>
        <v>0</v>
      </c>
      <c r="AD447">
        <f>VLOOKUP(Table5[[#This Row],[Shortname]], Comp[], 27, FALSE)</f>
        <v>0</v>
      </c>
      <c r="AE447">
        <f>VLOOKUP(Table5[[#This Row],[Shortname]], Comp[], 28, FALSE)</f>
        <v>0</v>
      </c>
      <c r="AF447">
        <f>VLOOKUP(Table5[[#This Row],[Shortname]], Comp[], 29, FALSE)</f>
        <v>0</v>
      </c>
      <c r="AG447">
        <f>VLOOKUP(Table5[[#This Row],[Shortname]], Comp[], 30, FALSE)</f>
        <v>0</v>
      </c>
      <c r="AH447">
        <f>VLOOKUP(Table5[[#This Row],[Shortname]], Comp[], 31, FALSE)</f>
        <v>0</v>
      </c>
    </row>
    <row r="448" spans="1:34" x14ac:dyDescent="0.3">
      <c r="A448" s="7" t="s">
        <v>4011</v>
      </c>
      <c r="B448">
        <v>463</v>
      </c>
      <c r="C448" s="7" t="str">
        <f>VLOOKUP(Table5[[#This Row],[Shortname]], [1]!comp[#Data], 2, FALSE)</f>
        <v>CoAlW-X</v>
      </c>
      <c r="D448" s="7" t="s">
        <v>3906</v>
      </c>
      <c r="E448" t="s">
        <v>6758</v>
      </c>
      <c r="F448">
        <v>825</v>
      </c>
      <c r="J448" s="14">
        <f>VLOOKUP(Table5[[#This Row],[Shortname]], Comp[], 7, FALSE)</f>
        <v>85.8</v>
      </c>
      <c r="K448">
        <f>VLOOKUP(Table5[[#This Row],[Shortname]], Comp[], 8, FALSE)</f>
        <v>0</v>
      </c>
      <c r="L448">
        <f>VLOOKUP(Table5[[#This Row],[Shortname]], Comp[], 9, FALSE)</f>
        <v>7.3</v>
      </c>
      <c r="M448">
        <f>VLOOKUP(Table5[[#This Row],[Shortname]], Comp[], 10, FALSE)</f>
        <v>0</v>
      </c>
      <c r="N448">
        <f>VLOOKUP(Table5[[#This Row],[Shortname]], Comp[], 11, FALSE)</f>
        <v>4.8</v>
      </c>
      <c r="O448">
        <f>VLOOKUP(Table5[[#This Row],[Shortname]], Comp[],12, FALSE)</f>
        <v>0</v>
      </c>
      <c r="P448">
        <f>VLOOKUP(Table5[[#This Row],[Shortname]], Comp[], 13, FALSE)</f>
        <v>0</v>
      </c>
      <c r="Q448">
        <f>VLOOKUP(Table5[[#This Row],[Shortname]], Comp[], 14, FALSE)</f>
        <v>0</v>
      </c>
      <c r="R448">
        <f>VLOOKUP(Table5[[#This Row],[Shortname]], Comp[], 15, FALSE)</f>
        <v>2.1</v>
      </c>
      <c r="S448">
        <f>VLOOKUP(Table5[[#This Row],[Shortname]], Comp[], 16, FALSE)</f>
        <v>0</v>
      </c>
      <c r="T448">
        <f>VLOOKUP(Table5[[#This Row],[Shortname]], Comp[], 17, FALSE)</f>
        <v>0</v>
      </c>
      <c r="U448">
        <f>VLOOKUP(Table5[[#This Row],[Shortname]], Comp[], 18, FALSE)</f>
        <v>0</v>
      </c>
      <c r="V448">
        <f>VLOOKUP(Table5[[#This Row],[Shortname]], Comp[], 19, FALSE)</f>
        <v>0</v>
      </c>
      <c r="W448">
        <f>VLOOKUP(Table5[[#This Row],[Shortname]], Comp[], 20, FALSE)</f>
        <v>0</v>
      </c>
      <c r="X448">
        <f>VLOOKUP(Table5[[#This Row],[Shortname]], Comp[], 21, FALSE)</f>
        <v>0</v>
      </c>
      <c r="Y448">
        <f>VLOOKUP(Table5[[#This Row],[Shortname]], Comp[], 22, FALSE)</f>
        <v>0</v>
      </c>
      <c r="Z448">
        <f>VLOOKUP(Table5[[#This Row],[Shortname]], Comp[], 23, FALSE)</f>
        <v>0</v>
      </c>
      <c r="AA448">
        <f>VLOOKUP(Table5[[#This Row],[Shortname]], Comp[], 24, FALSE)</f>
        <v>0</v>
      </c>
      <c r="AB448">
        <f>VLOOKUP(Table5[[#This Row],[Shortname]], Comp[], 25, FALSE)</f>
        <v>0</v>
      </c>
      <c r="AC448">
        <f>VLOOKUP(Table5[[#This Row],[Shortname]], Comp[], 26, FALSE)</f>
        <v>0</v>
      </c>
      <c r="AD448">
        <f>VLOOKUP(Table5[[#This Row],[Shortname]], Comp[], 27, FALSE)</f>
        <v>0</v>
      </c>
      <c r="AE448">
        <f>VLOOKUP(Table5[[#This Row],[Shortname]], Comp[], 28, FALSE)</f>
        <v>0</v>
      </c>
      <c r="AF448">
        <f>VLOOKUP(Table5[[#This Row],[Shortname]], Comp[], 29, FALSE)</f>
        <v>0</v>
      </c>
      <c r="AG448">
        <f>VLOOKUP(Table5[[#This Row],[Shortname]], Comp[], 30, FALSE)</f>
        <v>0</v>
      </c>
      <c r="AH448">
        <f>VLOOKUP(Table5[[#This Row],[Shortname]], Comp[], 31, FALSE)</f>
        <v>0</v>
      </c>
    </row>
    <row r="449" spans="1:34" x14ac:dyDescent="0.3">
      <c r="A449" s="7" t="s">
        <v>4082</v>
      </c>
      <c r="B449">
        <v>464</v>
      </c>
      <c r="C449" s="7" t="str">
        <f>VLOOKUP(Table5[[#This Row],[Shortname]], [1]!comp[#Data], 2, FALSE)</f>
        <v>CoAlWX+</v>
      </c>
      <c r="D449" s="7" t="s">
        <v>4084</v>
      </c>
      <c r="E449" t="s">
        <v>6758</v>
      </c>
      <c r="F449">
        <v>815</v>
      </c>
      <c r="J449" s="14">
        <f>VLOOKUP(Table5[[#This Row],[Shortname]], Comp[], 7, FALSE)</f>
        <v>42.6</v>
      </c>
      <c r="K449">
        <f>VLOOKUP(Table5[[#This Row],[Shortname]], Comp[], 8, FALSE)</f>
        <v>21.7</v>
      </c>
      <c r="L449">
        <f>VLOOKUP(Table5[[#This Row],[Shortname]], Comp[], 9, FALSE)</f>
        <v>6.9</v>
      </c>
      <c r="M449">
        <f>VLOOKUP(Table5[[#This Row],[Shortname]], Comp[], 10, FALSE)</f>
        <v>21.5</v>
      </c>
      <c r="N449">
        <f>VLOOKUP(Table5[[#This Row],[Shortname]], Comp[], 11, FALSE)</f>
        <v>7.3</v>
      </c>
      <c r="O449">
        <f>VLOOKUP(Table5[[#This Row],[Shortname]], Comp[],12, FALSE)</f>
        <v>0</v>
      </c>
      <c r="P449">
        <f>VLOOKUP(Table5[[#This Row],[Shortname]], Comp[], 13, FALSE)</f>
        <v>0</v>
      </c>
      <c r="Q449">
        <f>VLOOKUP(Table5[[#This Row],[Shortname]], Comp[], 14, FALSE)</f>
        <v>0</v>
      </c>
      <c r="R449">
        <f>VLOOKUP(Table5[[#This Row],[Shortname]], Comp[], 15, FALSE)</f>
        <v>0</v>
      </c>
      <c r="S449">
        <f>VLOOKUP(Table5[[#This Row],[Shortname]], Comp[], 16, FALSE)</f>
        <v>0</v>
      </c>
      <c r="T449">
        <f>VLOOKUP(Table5[[#This Row],[Shortname]], Comp[], 17, FALSE)</f>
        <v>0</v>
      </c>
      <c r="U449">
        <f>VLOOKUP(Table5[[#This Row],[Shortname]], Comp[], 18, FALSE)</f>
        <v>0</v>
      </c>
      <c r="V449">
        <f>VLOOKUP(Table5[[#This Row],[Shortname]], Comp[], 19, FALSE)</f>
        <v>0</v>
      </c>
      <c r="W449">
        <f>VLOOKUP(Table5[[#This Row],[Shortname]], Comp[], 20, FALSE)</f>
        <v>0</v>
      </c>
      <c r="X449">
        <f>VLOOKUP(Table5[[#This Row],[Shortname]], Comp[], 21, FALSE)</f>
        <v>0</v>
      </c>
      <c r="Y449">
        <f>VLOOKUP(Table5[[#This Row],[Shortname]], Comp[], 22, FALSE)</f>
        <v>0</v>
      </c>
      <c r="Z449">
        <f>VLOOKUP(Table5[[#This Row],[Shortname]], Comp[], 23, FALSE)</f>
        <v>0</v>
      </c>
      <c r="AA449">
        <f>VLOOKUP(Table5[[#This Row],[Shortname]], Comp[], 24, FALSE)</f>
        <v>0</v>
      </c>
      <c r="AB449">
        <f>VLOOKUP(Table5[[#This Row],[Shortname]], Comp[], 25, FALSE)</f>
        <v>0</v>
      </c>
      <c r="AC449">
        <f>VLOOKUP(Table5[[#This Row],[Shortname]], Comp[], 26, FALSE)</f>
        <v>0</v>
      </c>
      <c r="AD449">
        <f>VLOOKUP(Table5[[#This Row],[Shortname]], Comp[], 27, FALSE)</f>
        <v>0</v>
      </c>
      <c r="AE449">
        <f>VLOOKUP(Table5[[#This Row],[Shortname]], Comp[], 28, FALSE)</f>
        <v>0</v>
      </c>
      <c r="AF449">
        <f>VLOOKUP(Table5[[#This Row],[Shortname]], Comp[], 29, FALSE)</f>
        <v>0</v>
      </c>
      <c r="AG449">
        <f>VLOOKUP(Table5[[#This Row],[Shortname]], Comp[], 30, FALSE)</f>
        <v>0</v>
      </c>
      <c r="AH449">
        <f>VLOOKUP(Table5[[#This Row],[Shortname]], Comp[], 31, FALSE)</f>
        <v>0</v>
      </c>
    </row>
    <row r="450" spans="1:34" x14ac:dyDescent="0.3">
      <c r="A450" s="7" t="s">
        <v>4005</v>
      </c>
      <c r="B450">
        <v>465</v>
      </c>
      <c r="C450" s="7" t="str">
        <f>VLOOKUP(Table5[[#This Row],[Shortname]], [1]!comp[#Data], 2, FALSE)</f>
        <v>CoAlW-X</v>
      </c>
      <c r="D450" s="7" t="s">
        <v>1484</v>
      </c>
      <c r="E450" t="s">
        <v>6758</v>
      </c>
      <c r="F450">
        <v>804</v>
      </c>
      <c r="J450" s="14">
        <f>VLOOKUP(Table5[[#This Row],[Shortname]], Comp[], 7, FALSE)</f>
        <v>86.3</v>
      </c>
      <c r="K450">
        <f>VLOOKUP(Table5[[#This Row],[Shortname]], Comp[], 8, FALSE)</f>
        <v>0</v>
      </c>
      <c r="L450">
        <f>VLOOKUP(Table5[[#This Row],[Shortname]], Comp[], 9, FALSE)</f>
        <v>7.2</v>
      </c>
      <c r="M450">
        <f>VLOOKUP(Table5[[#This Row],[Shortname]], Comp[], 10, FALSE)</f>
        <v>0</v>
      </c>
      <c r="N450">
        <f>VLOOKUP(Table5[[#This Row],[Shortname]], Comp[], 11, FALSE)</f>
        <v>4.7</v>
      </c>
      <c r="O450">
        <f>VLOOKUP(Table5[[#This Row],[Shortname]], Comp[],12, FALSE)</f>
        <v>0</v>
      </c>
      <c r="P450">
        <f>VLOOKUP(Table5[[#This Row],[Shortname]], Comp[], 13, FALSE)</f>
        <v>0</v>
      </c>
      <c r="Q450">
        <f>VLOOKUP(Table5[[#This Row],[Shortname]], Comp[], 14, FALSE)</f>
        <v>0</v>
      </c>
      <c r="R450">
        <f>VLOOKUP(Table5[[#This Row],[Shortname]], Comp[], 15, FALSE)</f>
        <v>0</v>
      </c>
      <c r="S450">
        <f>VLOOKUP(Table5[[#This Row],[Shortname]], Comp[], 16, FALSE)</f>
        <v>1.8</v>
      </c>
      <c r="T450">
        <f>VLOOKUP(Table5[[#This Row],[Shortname]], Comp[], 17, FALSE)</f>
        <v>0</v>
      </c>
      <c r="U450">
        <f>VLOOKUP(Table5[[#This Row],[Shortname]], Comp[], 18, FALSE)</f>
        <v>0</v>
      </c>
      <c r="V450">
        <f>VLOOKUP(Table5[[#This Row],[Shortname]], Comp[], 19, FALSE)</f>
        <v>0</v>
      </c>
      <c r="W450">
        <f>VLOOKUP(Table5[[#This Row],[Shortname]], Comp[], 20, FALSE)</f>
        <v>0</v>
      </c>
      <c r="X450">
        <f>VLOOKUP(Table5[[#This Row],[Shortname]], Comp[], 21, FALSE)</f>
        <v>0</v>
      </c>
      <c r="Y450">
        <f>VLOOKUP(Table5[[#This Row],[Shortname]], Comp[], 22, FALSE)</f>
        <v>0</v>
      </c>
      <c r="Z450">
        <f>VLOOKUP(Table5[[#This Row],[Shortname]], Comp[], 23, FALSE)</f>
        <v>0</v>
      </c>
      <c r="AA450">
        <f>VLOOKUP(Table5[[#This Row],[Shortname]], Comp[], 24, FALSE)</f>
        <v>0</v>
      </c>
      <c r="AB450">
        <f>VLOOKUP(Table5[[#This Row],[Shortname]], Comp[], 25, FALSE)</f>
        <v>0</v>
      </c>
      <c r="AC450">
        <f>VLOOKUP(Table5[[#This Row],[Shortname]], Comp[], 26, FALSE)</f>
        <v>0</v>
      </c>
      <c r="AD450">
        <f>VLOOKUP(Table5[[#This Row],[Shortname]], Comp[], 27, FALSE)</f>
        <v>0</v>
      </c>
      <c r="AE450">
        <f>VLOOKUP(Table5[[#This Row],[Shortname]], Comp[], 28, FALSE)</f>
        <v>0</v>
      </c>
      <c r="AF450">
        <f>VLOOKUP(Table5[[#This Row],[Shortname]], Comp[], 29, FALSE)</f>
        <v>0</v>
      </c>
      <c r="AG450">
        <f>VLOOKUP(Table5[[#This Row],[Shortname]], Comp[], 30, FALSE)</f>
        <v>0</v>
      </c>
      <c r="AH450">
        <f>VLOOKUP(Table5[[#This Row],[Shortname]], Comp[], 31, FALSE)</f>
        <v>0</v>
      </c>
    </row>
    <row r="451" spans="1:34" x14ac:dyDescent="0.3">
      <c r="A451" s="7" t="s">
        <v>4053</v>
      </c>
      <c r="B451">
        <v>466</v>
      </c>
      <c r="C451" s="7" t="str">
        <f>VLOOKUP(Table5[[#This Row],[Shortname]], [1]!comp[#Data], 2, FALSE)</f>
        <v>CoAlW-X</v>
      </c>
      <c r="D451" s="7" t="s">
        <v>4055</v>
      </c>
      <c r="E451" t="s">
        <v>6758</v>
      </c>
      <c r="F451">
        <v>778</v>
      </c>
      <c r="J451" s="14">
        <f>VLOOKUP(Table5[[#This Row],[Shortname]], Comp[], 7, FALSE)</f>
        <v>68.2</v>
      </c>
      <c r="K451">
        <f>VLOOKUP(Table5[[#This Row],[Shortname]], Comp[], 8, FALSE)</f>
        <v>0</v>
      </c>
      <c r="L451">
        <f>VLOOKUP(Table5[[#This Row],[Shortname]], Comp[], 9, FALSE)</f>
        <v>7.5</v>
      </c>
      <c r="M451">
        <f>VLOOKUP(Table5[[#This Row],[Shortname]], Comp[], 10, FALSE)</f>
        <v>17.3</v>
      </c>
      <c r="N451">
        <f>VLOOKUP(Table5[[#This Row],[Shortname]], Comp[], 11, FALSE)</f>
        <v>7</v>
      </c>
      <c r="O451">
        <f>VLOOKUP(Table5[[#This Row],[Shortname]], Comp[],12, FALSE)</f>
        <v>0</v>
      </c>
      <c r="P451">
        <f>VLOOKUP(Table5[[#This Row],[Shortname]], Comp[], 13, FALSE)</f>
        <v>0</v>
      </c>
      <c r="Q451">
        <f>VLOOKUP(Table5[[#This Row],[Shortname]], Comp[], 14, FALSE)</f>
        <v>0</v>
      </c>
      <c r="R451">
        <f>VLOOKUP(Table5[[#This Row],[Shortname]], Comp[], 15, FALSE)</f>
        <v>0</v>
      </c>
      <c r="S451">
        <f>VLOOKUP(Table5[[#This Row],[Shortname]], Comp[], 16, FALSE)</f>
        <v>0</v>
      </c>
      <c r="T451">
        <f>VLOOKUP(Table5[[#This Row],[Shortname]], Comp[], 17, FALSE)</f>
        <v>0</v>
      </c>
      <c r="U451">
        <f>VLOOKUP(Table5[[#This Row],[Shortname]], Comp[], 18, FALSE)</f>
        <v>0</v>
      </c>
      <c r="V451">
        <f>VLOOKUP(Table5[[#This Row],[Shortname]], Comp[], 19, FALSE)</f>
        <v>0</v>
      </c>
      <c r="W451">
        <f>VLOOKUP(Table5[[#This Row],[Shortname]], Comp[], 20, FALSE)</f>
        <v>0</v>
      </c>
      <c r="X451">
        <f>VLOOKUP(Table5[[#This Row],[Shortname]], Comp[], 21, FALSE)</f>
        <v>0</v>
      </c>
      <c r="Y451">
        <f>VLOOKUP(Table5[[#This Row],[Shortname]], Comp[], 22, FALSE)</f>
        <v>0</v>
      </c>
      <c r="Z451">
        <f>VLOOKUP(Table5[[#This Row],[Shortname]], Comp[], 23, FALSE)</f>
        <v>0</v>
      </c>
      <c r="AA451">
        <f>VLOOKUP(Table5[[#This Row],[Shortname]], Comp[], 24, FALSE)</f>
        <v>0</v>
      </c>
      <c r="AB451">
        <f>VLOOKUP(Table5[[#This Row],[Shortname]], Comp[], 25, FALSE)</f>
        <v>0</v>
      </c>
      <c r="AC451">
        <f>VLOOKUP(Table5[[#This Row],[Shortname]], Comp[], 26, FALSE)</f>
        <v>0</v>
      </c>
      <c r="AD451">
        <f>VLOOKUP(Table5[[#This Row],[Shortname]], Comp[], 27, FALSE)</f>
        <v>0</v>
      </c>
      <c r="AE451">
        <f>VLOOKUP(Table5[[#This Row],[Shortname]], Comp[], 28, FALSE)</f>
        <v>0</v>
      </c>
      <c r="AF451">
        <f>VLOOKUP(Table5[[#This Row],[Shortname]], Comp[], 29, FALSE)</f>
        <v>0</v>
      </c>
      <c r="AG451">
        <f>VLOOKUP(Table5[[#This Row],[Shortname]], Comp[], 30, FALSE)</f>
        <v>0</v>
      </c>
      <c r="AH451">
        <f>VLOOKUP(Table5[[#This Row],[Shortname]], Comp[], 31, FALSE)</f>
        <v>0</v>
      </c>
    </row>
    <row r="452" spans="1:34" x14ac:dyDescent="0.3">
      <c r="A452" s="7" t="s">
        <v>4032</v>
      </c>
      <c r="B452">
        <v>467</v>
      </c>
      <c r="C452" s="7" t="str">
        <f>VLOOKUP(Table5[[#This Row],[Shortname]], [1]!comp[#Data], 2, FALSE)</f>
        <v>CoAlW-X</v>
      </c>
      <c r="D452" s="7" t="s">
        <v>4033</v>
      </c>
      <c r="E452" t="s">
        <v>6758</v>
      </c>
      <c r="F452">
        <v>778</v>
      </c>
      <c r="J452" s="14">
        <f>VLOOKUP(Table5[[#This Row],[Shortname]], Comp[], 7, FALSE)</f>
        <v>66.2</v>
      </c>
      <c r="K452">
        <f>VLOOKUP(Table5[[#This Row],[Shortname]], Comp[], 8, FALSE)</f>
        <v>0</v>
      </c>
      <c r="L452">
        <f>VLOOKUP(Table5[[#This Row],[Shortname]], Comp[], 9, FALSE)</f>
        <v>7.3</v>
      </c>
      <c r="M452">
        <f>VLOOKUP(Table5[[#This Row],[Shortname]], Comp[], 10, FALSE)</f>
        <v>0</v>
      </c>
      <c r="N452">
        <f>VLOOKUP(Table5[[#This Row],[Shortname]], Comp[], 11, FALSE)</f>
        <v>7</v>
      </c>
      <c r="O452">
        <f>VLOOKUP(Table5[[#This Row],[Shortname]], Comp[],12, FALSE)</f>
        <v>0</v>
      </c>
      <c r="P452">
        <f>VLOOKUP(Table5[[#This Row],[Shortname]], Comp[], 13, FALSE)</f>
        <v>0</v>
      </c>
      <c r="Q452">
        <f>VLOOKUP(Table5[[#This Row],[Shortname]], Comp[], 14, FALSE)</f>
        <v>0</v>
      </c>
      <c r="R452">
        <f>VLOOKUP(Table5[[#This Row],[Shortname]], Comp[], 15, FALSE)</f>
        <v>0</v>
      </c>
      <c r="S452">
        <f>VLOOKUP(Table5[[#This Row],[Shortname]], Comp[], 16, FALSE)</f>
        <v>0</v>
      </c>
      <c r="T452">
        <f>VLOOKUP(Table5[[#This Row],[Shortname]], Comp[], 17, FALSE)</f>
        <v>0</v>
      </c>
      <c r="U452">
        <f>VLOOKUP(Table5[[#This Row],[Shortname]], Comp[], 18, FALSE)</f>
        <v>0</v>
      </c>
      <c r="V452">
        <f>VLOOKUP(Table5[[#This Row],[Shortname]], Comp[], 19, FALSE)</f>
        <v>0</v>
      </c>
      <c r="W452">
        <f>VLOOKUP(Table5[[#This Row],[Shortname]], Comp[], 20, FALSE)</f>
        <v>0</v>
      </c>
      <c r="X452">
        <f>VLOOKUP(Table5[[#This Row],[Shortname]], Comp[], 21, FALSE)</f>
        <v>0</v>
      </c>
      <c r="Y452">
        <f>VLOOKUP(Table5[[#This Row],[Shortname]], Comp[], 22, FALSE)</f>
        <v>0</v>
      </c>
      <c r="Z452">
        <f>VLOOKUP(Table5[[#This Row],[Shortname]], Comp[], 23, FALSE)</f>
        <v>19.5</v>
      </c>
      <c r="AA452">
        <f>VLOOKUP(Table5[[#This Row],[Shortname]], Comp[], 24, FALSE)</f>
        <v>0</v>
      </c>
      <c r="AB452">
        <f>VLOOKUP(Table5[[#This Row],[Shortname]], Comp[], 25, FALSE)</f>
        <v>0</v>
      </c>
      <c r="AC452">
        <f>VLOOKUP(Table5[[#This Row],[Shortname]], Comp[], 26, FALSE)</f>
        <v>0</v>
      </c>
      <c r="AD452">
        <f>VLOOKUP(Table5[[#This Row],[Shortname]], Comp[], 27, FALSE)</f>
        <v>0</v>
      </c>
      <c r="AE452">
        <f>VLOOKUP(Table5[[#This Row],[Shortname]], Comp[], 28, FALSE)</f>
        <v>0</v>
      </c>
      <c r="AF452">
        <f>VLOOKUP(Table5[[#This Row],[Shortname]], Comp[], 29, FALSE)</f>
        <v>0</v>
      </c>
      <c r="AG452">
        <f>VLOOKUP(Table5[[#This Row],[Shortname]], Comp[], 30, FALSE)</f>
        <v>0</v>
      </c>
      <c r="AH452">
        <f>VLOOKUP(Table5[[#This Row],[Shortname]], Comp[], 31, FALSE)</f>
        <v>0</v>
      </c>
    </row>
    <row r="453" spans="1:34" x14ac:dyDescent="0.3">
      <c r="A453" s="7" t="s">
        <v>4097</v>
      </c>
      <c r="B453">
        <v>468</v>
      </c>
      <c r="C453" s="7" t="str">
        <f>VLOOKUP(Table5[[#This Row],[Shortname]], [1]!comp[#Data], 2, FALSE)</f>
        <v>CoAlWX+</v>
      </c>
      <c r="D453" s="7" t="s">
        <v>4099</v>
      </c>
      <c r="E453" t="s">
        <v>6758</v>
      </c>
      <c r="F453">
        <v>778</v>
      </c>
      <c r="J453" s="14">
        <f>VLOOKUP(Table5[[#This Row],[Shortname]], Comp[], 7, FALSE)</f>
        <v>54.1</v>
      </c>
      <c r="K453">
        <f>VLOOKUP(Table5[[#This Row],[Shortname]], Comp[], 8, FALSE)</f>
        <v>10.9</v>
      </c>
      <c r="L453">
        <f>VLOOKUP(Table5[[#This Row],[Shortname]], Comp[], 9, FALSE)</f>
        <v>8.5</v>
      </c>
      <c r="M453">
        <f>VLOOKUP(Table5[[#This Row],[Shortname]], Comp[], 10, FALSE)</f>
        <v>21</v>
      </c>
      <c r="N453">
        <f>VLOOKUP(Table5[[#This Row],[Shortname]], Comp[], 11, FALSE)</f>
        <v>5.5</v>
      </c>
      <c r="O453">
        <f>VLOOKUP(Table5[[#This Row],[Shortname]], Comp[],12, FALSE)</f>
        <v>0</v>
      </c>
      <c r="P453">
        <f>VLOOKUP(Table5[[#This Row],[Shortname]], Comp[], 13, FALSE)</f>
        <v>0</v>
      </c>
      <c r="Q453">
        <f>VLOOKUP(Table5[[#This Row],[Shortname]], Comp[], 14, FALSE)</f>
        <v>0</v>
      </c>
      <c r="R453">
        <f>VLOOKUP(Table5[[#This Row],[Shortname]], Comp[], 15, FALSE)</f>
        <v>0</v>
      </c>
      <c r="S453">
        <f>VLOOKUP(Table5[[#This Row],[Shortname]], Comp[], 16, FALSE)</f>
        <v>0</v>
      </c>
      <c r="T453">
        <f>VLOOKUP(Table5[[#This Row],[Shortname]], Comp[], 17, FALSE)</f>
        <v>0</v>
      </c>
      <c r="U453">
        <f>VLOOKUP(Table5[[#This Row],[Shortname]], Comp[], 18, FALSE)</f>
        <v>0</v>
      </c>
      <c r="V453">
        <f>VLOOKUP(Table5[[#This Row],[Shortname]], Comp[], 19, FALSE)</f>
        <v>0</v>
      </c>
      <c r="W453">
        <f>VLOOKUP(Table5[[#This Row],[Shortname]], Comp[], 20, FALSE)</f>
        <v>0</v>
      </c>
      <c r="X453">
        <f>VLOOKUP(Table5[[#This Row],[Shortname]], Comp[], 21, FALSE)</f>
        <v>0</v>
      </c>
      <c r="Y453">
        <f>VLOOKUP(Table5[[#This Row],[Shortname]], Comp[], 22, FALSE)</f>
        <v>0</v>
      </c>
      <c r="Z453">
        <f>VLOOKUP(Table5[[#This Row],[Shortname]], Comp[], 23, FALSE)</f>
        <v>0</v>
      </c>
      <c r="AA453">
        <f>VLOOKUP(Table5[[#This Row],[Shortname]], Comp[], 24, FALSE)</f>
        <v>0</v>
      </c>
      <c r="AB453">
        <f>VLOOKUP(Table5[[#This Row],[Shortname]], Comp[], 25, FALSE)</f>
        <v>0</v>
      </c>
      <c r="AC453">
        <f>VLOOKUP(Table5[[#This Row],[Shortname]], Comp[], 26, FALSE)</f>
        <v>0</v>
      </c>
      <c r="AD453">
        <f>VLOOKUP(Table5[[#This Row],[Shortname]], Comp[], 27, FALSE)</f>
        <v>0</v>
      </c>
      <c r="AE453">
        <f>VLOOKUP(Table5[[#This Row],[Shortname]], Comp[], 28, FALSE)</f>
        <v>0</v>
      </c>
      <c r="AF453">
        <f>VLOOKUP(Table5[[#This Row],[Shortname]], Comp[], 29, FALSE)</f>
        <v>0</v>
      </c>
      <c r="AG453">
        <f>VLOOKUP(Table5[[#This Row],[Shortname]], Comp[], 30, FALSE)</f>
        <v>0</v>
      </c>
      <c r="AH453">
        <f>VLOOKUP(Table5[[#This Row],[Shortname]], Comp[], 31, FALSE)</f>
        <v>0</v>
      </c>
    </row>
    <row r="454" spans="1:34" x14ac:dyDescent="0.3">
      <c r="A454" s="7" t="s">
        <v>4074</v>
      </c>
      <c r="B454">
        <v>469</v>
      </c>
      <c r="C454" s="7" t="str">
        <f>VLOOKUP(Table5[[#This Row],[Shortname]], [1]!comp[#Data], 2, FALSE)</f>
        <v>CoAlWX+</v>
      </c>
      <c r="D454" s="7" t="s">
        <v>4076</v>
      </c>
      <c r="E454" t="s">
        <v>6758</v>
      </c>
      <c r="F454">
        <v>777</v>
      </c>
      <c r="J454" s="14">
        <f>VLOOKUP(Table5[[#This Row],[Shortname]], Comp[], 7, FALSE)</f>
        <v>53.399999999999991</v>
      </c>
      <c r="K454">
        <f>VLOOKUP(Table5[[#This Row],[Shortname]], Comp[], 8, FALSE)</f>
        <v>11.1</v>
      </c>
      <c r="L454">
        <f>VLOOKUP(Table5[[#This Row],[Shortname]], Comp[], 9, FALSE)</f>
        <v>7.5</v>
      </c>
      <c r="M454">
        <f>VLOOKUP(Table5[[#This Row],[Shortname]], Comp[], 10, FALSE)</f>
        <v>20.8</v>
      </c>
      <c r="N454">
        <f>VLOOKUP(Table5[[#This Row],[Shortname]], Comp[], 11, FALSE)</f>
        <v>7.2</v>
      </c>
      <c r="O454">
        <f>VLOOKUP(Table5[[#This Row],[Shortname]], Comp[],12, FALSE)</f>
        <v>0</v>
      </c>
      <c r="P454">
        <f>VLOOKUP(Table5[[#This Row],[Shortname]], Comp[], 13, FALSE)</f>
        <v>0</v>
      </c>
      <c r="Q454">
        <f>VLOOKUP(Table5[[#This Row],[Shortname]], Comp[], 14, FALSE)</f>
        <v>0</v>
      </c>
      <c r="R454">
        <f>VLOOKUP(Table5[[#This Row],[Shortname]], Comp[], 15, FALSE)</f>
        <v>0</v>
      </c>
      <c r="S454">
        <f>VLOOKUP(Table5[[#This Row],[Shortname]], Comp[], 16, FALSE)</f>
        <v>0</v>
      </c>
      <c r="T454">
        <f>VLOOKUP(Table5[[#This Row],[Shortname]], Comp[], 17, FALSE)</f>
        <v>0</v>
      </c>
      <c r="U454">
        <f>VLOOKUP(Table5[[#This Row],[Shortname]], Comp[], 18, FALSE)</f>
        <v>0</v>
      </c>
      <c r="V454">
        <f>VLOOKUP(Table5[[#This Row],[Shortname]], Comp[], 19, FALSE)</f>
        <v>0</v>
      </c>
      <c r="W454">
        <f>VLOOKUP(Table5[[#This Row],[Shortname]], Comp[], 20, FALSE)</f>
        <v>0</v>
      </c>
      <c r="X454">
        <f>VLOOKUP(Table5[[#This Row],[Shortname]], Comp[], 21, FALSE)</f>
        <v>0</v>
      </c>
      <c r="Y454">
        <f>VLOOKUP(Table5[[#This Row],[Shortname]], Comp[], 22, FALSE)</f>
        <v>0</v>
      </c>
      <c r="Z454">
        <f>VLOOKUP(Table5[[#This Row],[Shortname]], Comp[], 23, FALSE)</f>
        <v>0</v>
      </c>
      <c r="AA454">
        <f>VLOOKUP(Table5[[#This Row],[Shortname]], Comp[], 24, FALSE)</f>
        <v>0</v>
      </c>
      <c r="AB454">
        <f>VLOOKUP(Table5[[#This Row],[Shortname]], Comp[], 25, FALSE)</f>
        <v>0</v>
      </c>
      <c r="AC454">
        <f>VLOOKUP(Table5[[#This Row],[Shortname]], Comp[], 26, FALSE)</f>
        <v>0</v>
      </c>
      <c r="AD454">
        <f>VLOOKUP(Table5[[#This Row],[Shortname]], Comp[], 27, FALSE)</f>
        <v>0</v>
      </c>
      <c r="AE454">
        <f>VLOOKUP(Table5[[#This Row],[Shortname]], Comp[], 28, FALSE)</f>
        <v>0</v>
      </c>
      <c r="AF454">
        <f>VLOOKUP(Table5[[#This Row],[Shortname]], Comp[], 29, FALSE)</f>
        <v>0</v>
      </c>
      <c r="AG454">
        <f>VLOOKUP(Table5[[#This Row],[Shortname]], Comp[], 30, FALSE)</f>
        <v>0</v>
      </c>
      <c r="AH454">
        <f>VLOOKUP(Table5[[#This Row],[Shortname]], Comp[], 31, FALSE)</f>
        <v>0</v>
      </c>
    </row>
    <row r="455" spans="1:34" x14ac:dyDescent="0.3">
      <c r="A455" s="7" t="s">
        <v>4060</v>
      </c>
      <c r="B455">
        <v>470</v>
      </c>
      <c r="C455" s="7" t="str">
        <f>VLOOKUP(Table5[[#This Row],[Shortname]], [1]!comp[#Data], 2, FALSE)</f>
        <v>CoAlW-X</v>
      </c>
      <c r="D455" s="7" t="s">
        <v>4062</v>
      </c>
      <c r="E455" t="s">
        <v>6758</v>
      </c>
      <c r="F455">
        <v>726</v>
      </c>
      <c r="J455" s="14">
        <f>VLOOKUP(Table5[[#This Row],[Shortname]], Comp[], 7, FALSE)</f>
        <v>63.9</v>
      </c>
      <c r="K455">
        <f>VLOOKUP(Table5[[#This Row],[Shortname]], Comp[], 8, FALSE)</f>
        <v>0</v>
      </c>
      <c r="L455">
        <f>VLOOKUP(Table5[[#This Row],[Shortname]], Comp[], 9, FALSE)</f>
        <v>7.6</v>
      </c>
      <c r="M455">
        <f>VLOOKUP(Table5[[#This Row],[Shortname]], Comp[], 10, FALSE)</f>
        <v>21.3</v>
      </c>
      <c r="N455">
        <f>VLOOKUP(Table5[[#This Row],[Shortname]], Comp[], 11, FALSE)</f>
        <v>7.2</v>
      </c>
      <c r="O455">
        <f>VLOOKUP(Table5[[#This Row],[Shortname]], Comp[],12, FALSE)</f>
        <v>0</v>
      </c>
      <c r="P455">
        <f>VLOOKUP(Table5[[#This Row],[Shortname]], Comp[], 13, FALSE)</f>
        <v>0</v>
      </c>
      <c r="Q455">
        <f>VLOOKUP(Table5[[#This Row],[Shortname]], Comp[], 14, FALSE)</f>
        <v>0</v>
      </c>
      <c r="R455">
        <f>VLOOKUP(Table5[[#This Row],[Shortname]], Comp[], 15, FALSE)</f>
        <v>0</v>
      </c>
      <c r="S455">
        <f>VLOOKUP(Table5[[#This Row],[Shortname]], Comp[], 16, FALSE)</f>
        <v>0</v>
      </c>
      <c r="T455">
        <f>VLOOKUP(Table5[[#This Row],[Shortname]], Comp[], 17, FALSE)</f>
        <v>0</v>
      </c>
      <c r="U455">
        <f>VLOOKUP(Table5[[#This Row],[Shortname]], Comp[], 18, FALSE)</f>
        <v>0</v>
      </c>
      <c r="V455">
        <f>VLOOKUP(Table5[[#This Row],[Shortname]], Comp[], 19, FALSE)</f>
        <v>0</v>
      </c>
      <c r="W455">
        <f>VLOOKUP(Table5[[#This Row],[Shortname]], Comp[], 20, FALSE)</f>
        <v>0</v>
      </c>
      <c r="X455">
        <f>VLOOKUP(Table5[[#This Row],[Shortname]], Comp[], 21, FALSE)</f>
        <v>0</v>
      </c>
      <c r="Y455">
        <f>VLOOKUP(Table5[[#This Row],[Shortname]], Comp[], 22, FALSE)</f>
        <v>0</v>
      </c>
      <c r="Z455">
        <f>VLOOKUP(Table5[[#This Row],[Shortname]], Comp[], 23, FALSE)</f>
        <v>0</v>
      </c>
      <c r="AA455">
        <f>VLOOKUP(Table5[[#This Row],[Shortname]], Comp[], 24, FALSE)</f>
        <v>0</v>
      </c>
      <c r="AB455">
        <f>VLOOKUP(Table5[[#This Row],[Shortname]], Comp[], 25, FALSE)</f>
        <v>0</v>
      </c>
      <c r="AC455">
        <f>VLOOKUP(Table5[[#This Row],[Shortname]], Comp[], 26, FALSE)</f>
        <v>0</v>
      </c>
      <c r="AD455">
        <f>VLOOKUP(Table5[[#This Row],[Shortname]], Comp[], 27, FALSE)</f>
        <v>0</v>
      </c>
      <c r="AE455">
        <f>VLOOKUP(Table5[[#This Row],[Shortname]], Comp[], 28, FALSE)</f>
        <v>0</v>
      </c>
      <c r="AF455">
        <f>VLOOKUP(Table5[[#This Row],[Shortname]], Comp[], 29, FALSE)</f>
        <v>0</v>
      </c>
      <c r="AG455">
        <f>VLOOKUP(Table5[[#This Row],[Shortname]], Comp[], 30, FALSE)</f>
        <v>0</v>
      </c>
      <c r="AH455">
        <f>VLOOKUP(Table5[[#This Row],[Shortname]], Comp[], 31, FALSE)</f>
        <v>0</v>
      </c>
    </row>
    <row r="456" spans="1:34" x14ac:dyDescent="0.3">
      <c r="A456" s="7" t="s">
        <v>4144</v>
      </c>
      <c r="B456">
        <v>471</v>
      </c>
      <c r="C456" s="7" t="str">
        <f>VLOOKUP(Table5[[#This Row],[Shortname]], [1]!comp[#Data], 2, FALSE)</f>
        <v>CoAlWX+</v>
      </c>
      <c r="D456" s="7" t="s">
        <v>4145</v>
      </c>
      <c r="E456" t="s">
        <v>6759</v>
      </c>
      <c r="F456">
        <v>1113</v>
      </c>
      <c r="J456" s="14">
        <f>VLOOKUP(Table5[[#This Row],[Shortname]], Comp[], 7, FALSE)</f>
        <v>48</v>
      </c>
      <c r="K456">
        <f>VLOOKUP(Table5[[#This Row],[Shortname]], Comp[], 8, FALSE)</f>
        <v>30</v>
      </c>
      <c r="L456">
        <f>VLOOKUP(Table5[[#This Row],[Shortname]], Comp[], 9, FALSE)</f>
        <v>10</v>
      </c>
      <c r="M456">
        <f>VLOOKUP(Table5[[#This Row],[Shortname]], Comp[], 10, FALSE)</f>
        <v>0</v>
      </c>
      <c r="N456">
        <f>VLOOKUP(Table5[[#This Row],[Shortname]], Comp[], 11, FALSE)</f>
        <v>10</v>
      </c>
      <c r="O456">
        <f>VLOOKUP(Table5[[#This Row],[Shortname]], Comp[],12, FALSE)</f>
        <v>0</v>
      </c>
      <c r="P456">
        <f>VLOOKUP(Table5[[#This Row],[Shortname]], Comp[], 13, FALSE)</f>
        <v>0</v>
      </c>
      <c r="Q456">
        <f>VLOOKUP(Table5[[#This Row],[Shortname]], Comp[], 14, FALSE)</f>
        <v>0</v>
      </c>
      <c r="R456">
        <f>VLOOKUP(Table5[[#This Row],[Shortname]], Comp[], 15, FALSE)</f>
        <v>0</v>
      </c>
      <c r="S456">
        <f>VLOOKUP(Table5[[#This Row],[Shortname]], Comp[], 16, FALSE)</f>
        <v>0</v>
      </c>
      <c r="T456">
        <f>VLOOKUP(Table5[[#This Row],[Shortname]], Comp[], 17, FALSE)</f>
        <v>0</v>
      </c>
      <c r="U456">
        <f>VLOOKUP(Table5[[#This Row],[Shortname]], Comp[], 18, FALSE)</f>
        <v>0</v>
      </c>
      <c r="V456">
        <f>VLOOKUP(Table5[[#This Row],[Shortname]], Comp[], 19, FALSE)</f>
        <v>0</v>
      </c>
      <c r="W456">
        <f>VLOOKUP(Table5[[#This Row],[Shortname]], Comp[], 20, FALSE)</f>
        <v>0</v>
      </c>
      <c r="X456">
        <f>VLOOKUP(Table5[[#This Row],[Shortname]], Comp[], 21, FALSE)</f>
        <v>0</v>
      </c>
      <c r="Y456">
        <f>VLOOKUP(Table5[[#This Row],[Shortname]], Comp[], 22, FALSE)</f>
        <v>2</v>
      </c>
      <c r="Z456">
        <f>VLOOKUP(Table5[[#This Row],[Shortname]], Comp[], 23, FALSE)</f>
        <v>0</v>
      </c>
      <c r="AA456">
        <f>VLOOKUP(Table5[[#This Row],[Shortname]], Comp[], 24, FALSE)</f>
        <v>0</v>
      </c>
      <c r="AB456">
        <f>VLOOKUP(Table5[[#This Row],[Shortname]], Comp[], 25, FALSE)</f>
        <v>0</v>
      </c>
      <c r="AC456">
        <f>VLOOKUP(Table5[[#This Row],[Shortname]], Comp[], 26, FALSE)</f>
        <v>0</v>
      </c>
      <c r="AD456">
        <f>VLOOKUP(Table5[[#This Row],[Shortname]], Comp[], 27, FALSE)</f>
        <v>0</v>
      </c>
      <c r="AE456">
        <f>VLOOKUP(Table5[[#This Row],[Shortname]], Comp[], 28, FALSE)</f>
        <v>0</v>
      </c>
      <c r="AF456">
        <f>VLOOKUP(Table5[[#This Row],[Shortname]], Comp[], 29, FALSE)</f>
        <v>0</v>
      </c>
      <c r="AG456">
        <f>VLOOKUP(Table5[[#This Row],[Shortname]], Comp[], 30, FALSE)</f>
        <v>0</v>
      </c>
      <c r="AH456">
        <f>VLOOKUP(Table5[[#This Row],[Shortname]], Comp[], 31, FALSE)</f>
        <v>0</v>
      </c>
    </row>
    <row r="457" spans="1:34" x14ac:dyDescent="0.3">
      <c r="A457" s="7" t="s">
        <v>4138</v>
      </c>
      <c r="B457">
        <v>472</v>
      </c>
      <c r="C457" s="7" t="str">
        <f>VLOOKUP(Table5[[#This Row],[Shortname]], [1]!comp[#Data], 2, FALSE)</f>
        <v>CoAlWX+</v>
      </c>
      <c r="D457" s="7" t="s">
        <v>4139</v>
      </c>
      <c r="E457" t="s">
        <v>6759</v>
      </c>
      <c r="F457">
        <v>1104</v>
      </c>
      <c r="J457" s="14">
        <f>VLOOKUP(Table5[[#This Row],[Shortname]], Comp[], 7, FALSE)</f>
        <v>48.5</v>
      </c>
      <c r="K457">
        <f>VLOOKUP(Table5[[#This Row],[Shortname]], Comp[], 8, FALSE)</f>
        <v>30</v>
      </c>
      <c r="L457">
        <f>VLOOKUP(Table5[[#This Row],[Shortname]], Comp[], 9, FALSE)</f>
        <v>10</v>
      </c>
      <c r="M457">
        <f>VLOOKUP(Table5[[#This Row],[Shortname]], Comp[], 10, FALSE)</f>
        <v>0</v>
      </c>
      <c r="N457">
        <f>VLOOKUP(Table5[[#This Row],[Shortname]], Comp[], 11, FALSE)</f>
        <v>10</v>
      </c>
      <c r="O457">
        <f>VLOOKUP(Table5[[#This Row],[Shortname]], Comp[],12, FALSE)</f>
        <v>0</v>
      </c>
      <c r="P457">
        <f>VLOOKUP(Table5[[#This Row],[Shortname]], Comp[], 13, FALSE)</f>
        <v>0</v>
      </c>
      <c r="Q457">
        <f>VLOOKUP(Table5[[#This Row],[Shortname]], Comp[], 14, FALSE)</f>
        <v>0</v>
      </c>
      <c r="R457">
        <f>VLOOKUP(Table5[[#This Row],[Shortname]], Comp[], 15, FALSE)</f>
        <v>0</v>
      </c>
      <c r="S457">
        <f>VLOOKUP(Table5[[#This Row],[Shortname]], Comp[], 16, FALSE)</f>
        <v>0</v>
      </c>
      <c r="T457">
        <f>VLOOKUP(Table5[[#This Row],[Shortname]], Comp[], 17, FALSE)</f>
        <v>0</v>
      </c>
      <c r="U457">
        <f>VLOOKUP(Table5[[#This Row],[Shortname]], Comp[], 18, FALSE)</f>
        <v>0</v>
      </c>
      <c r="V457">
        <f>VLOOKUP(Table5[[#This Row],[Shortname]], Comp[], 19, FALSE)</f>
        <v>0</v>
      </c>
      <c r="W457">
        <f>VLOOKUP(Table5[[#This Row],[Shortname]], Comp[], 20, FALSE)</f>
        <v>0</v>
      </c>
      <c r="X457">
        <f>VLOOKUP(Table5[[#This Row],[Shortname]], Comp[], 21, FALSE)</f>
        <v>0</v>
      </c>
      <c r="Y457">
        <f>VLOOKUP(Table5[[#This Row],[Shortname]], Comp[], 22, FALSE)</f>
        <v>1.5</v>
      </c>
      <c r="Z457">
        <f>VLOOKUP(Table5[[#This Row],[Shortname]], Comp[], 23, FALSE)</f>
        <v>0</v>
      </c>
      <c r="AA457">
        <f>VLOOKUP(Table5[[#This Row],[Shortname]], Comp[], 24, FALSE)</f>
        <v>0</v>
      </c>
      <c r="AB457">
        <f>VLOOKUP(Table5[[#This Row],[Shortname]], Comp[], 25, FALSE)</f>
        <v>0</v>
      </c>
      <c r="AC457">
        <f>VLOOKUP(Table5[[#This Row],[Shortname]], Comp[], 26, FALSE)</f>
        <v>0</v>
      </c>
      <c r="AD457">
        <f>VLOOKUP(Table5[[#This Row],[Shortname]], Comp[], 27, FALSE)</f>
        <v>0</v>
      </c>
      <c r="AE457">
        <f>VLOOKUP(Table5[[#This Row],[Shortname]], Comp[], 28, FALSE)</f>
        <v>0</v>
      </c>
      <c r="AF457">
        <f>VLOOKUP(Table5[[#This Row],[Shortname]], Comp[], 29, FALSE)</f>
        <v>0</v>
      </c>
      <c r="AG457">
        <f>VLOOKUP(Table5[[#This Row],[Shortname]], Comp[], 30, FALSE)</f>
        <v>0</v>
      </c>
      <c r="AH457">
        <f>VLOOKUP(Table5[[#This Row],[Shortname]], Comp[], 31, FALSE)</f>
        <v>0</v>
      </c>
    </row>
    <row r="458" spans="1:34" x14ac:dyDescent="0.3">
      <c r="A458" s="7" t="s">
        <v>4133</v>
      </c>
      <c r="B458">
        <v>473</v>
      </c>
      <c r="C458" s="7" t="str">
        <f>VLOOKUP(Table5[[#This Row],[Shortname]], [1]!comp[#Data], 2, FALSE)</f>
        <v>CoAlWX+</v>
      </c>
      <c r="D458" s="7" t="s">
        <v>4134</v>
      </c>
      <c r="E458" t="s">
        <v>6759</v>
      </c>
      <c r="F458">
        <v>1091</v>
      </c>
      <c r="J458" s="14">
        <f>VLOOKUP(Table5[[#This Row],[Shortname]], Comp[], 7, FALSE)</f>
        <v>49</v>
      </c>
      <c r="K458">
        <f>VLOOKUP(Table5[[#This Row],[Shortname]], Comp[], 8, FALSE)</f>
        <v>30</v>
      </c>
      <c r="L458">
        <f>VLOOKUP(Table5[[#This Row],[Shortname]], Comp[], 9, FALSE)</f>
        <v>10</v>
      </c>
      <c r="M458">
        <f>VLOOKUP(Table5[[#This Row],[Shortname]], Comp[], 10, FALSE)</f>
        <v>0</v>
      </c>
      <c r="N458">
        <f>VLOOKUP(Table5[[#This Row],[Shortname]], Comp[], 11, FALSE)</f>
        <v>10</v>
      </c>
      <c r="O458">
        <f>VLOOKUP(Table5[[#This Row],[Shortname]], Comp[],12, FALSE)</f>
        <v>0</v>
      </c>
      <c r="P458">
        <f>VLOOKUP(Table5[[#This Row],[Shortname]], Comp[], 13, FALSE)</f>
        <v>0</v>
      </c>
      <c r="Q458">
        <f>VLOOKUP(Table5[[#This Row],[Shortname]], Comp[], 14, FALSE)</f>
        <v>0</v>
      </c>
      <c r="R458">
        <f>VLOOKUP(Table5[[#This Row],[Shortname]], Comp[], 15, FALSE)</f>
        <v>0</v>
      </c>
      <c r="S458">
        <f>VLOOKUP(Table5[[#This Row],[Shortname]], Comp[], 16, FALSE)</f>
        <v>0</v>
      </c>
      <c r="T458">
        <f>VLOOKUP(Table5[[#This Row],[Shortname]], Comp[], 17, FALSE)</f>
        <v>0</v>
      </c>
      <c r="U458">
        <f>VLOOKUP(Table5[[#This Row],[Shortname]], Comp[], 18, FALSE)</f>
        <v>0</v>
      </c>
      <c r="V458">
        <f>VLOOKUP(Table5[[#This Row],[Shortname]], Comp[], 19, FALSE)</f>
        <v>0</v>
      </c>
      <c r="W458">
        <f>VLOOKUP(Table5[[#This Row],[Shortname]], Comp[], 20, FALSE)</f>
        <v>0</v>
      </c>
      <c r="X458">
        <f>VLOOKUP(Table5[[#This Row],[Shortname]], Comp[], 21, FALSE)</f>
        <v>0</v>
      </c>
      <c r="Y458">
        <f>VLOOKUP(Table5[[#This Row],[Shortname]], Comp[], 22, FALSE)</f>
        <v>1</v>
      </c>
      <c r="Z458">
        <f>VLOOKUP(Table5[[#This Row],[Shortname]], Comp[], 23, FALSE)</f>
        <v>0</v>
      </c>
      <c r="AA458">
        <f>VLOOKUP(Table5[[#This Row],[Shortname]], Comp[], 24, FALSE)</f>
        <v>0</v>
      </c>
      <c r="AB458">
        <f>VLOOKUP(Table5[[#This Row],[Shortname]], Comp[], 25, FALSE)</f>
        <v>0</v>
      </c>
      <c r="AC458">
        <f>VLOOKUP(Table5[[#This Row],[Shortname]], Comp[], 26, FALSE)</f>
        <v>0</v>
      </c>
      <c r="AD458">
        <f>VLOOKUP(Table5[[#This Row],[Shortname]], Comp[], 27, FALSE)</f>
        <v>0</v>
      </c>
      <c r="AE458">
        <f>VLOOKUP(Table5[[#This Row],[Shortname]], Comp[], 28, FALSE)</f>
        <v>0</v>
      </c>
      <c r="AF458">
        <f>VLOOKUP(Table5[[#This Row],[Shortname]], Comp[], 29, FALSE)</f>
        <v>0</v>
      </c>
      <c r="AG458">
        <f>VLOOKUP(Table5[[#This Row],[Shortname]], Comp[], 30, FALSE)</f>
        <v>0</v>
      </c>
      <c r="AH458">
        <f>VLOOKUP(Table5[[#This Row],[Shortname]], Comp[], 31, FALSE)</f>
        <v>0</v>
      </c>
    </row>
    <row r="459" spans="1:34" x14ac:dyDescent="0.3">
      <c r="A459" s="7" t="s">
        <v>4128</v>
      </c>
      <c r="B459">
        <v>474</v>
      </c>
      <c r="C459" s="7" t="str">
        <f>VLOOKUP(Table5[[#This Row],[Shortname]], [1]!comp[#Data], 2, FALSE)</f>
        <v>CoAlWX+</v>
      </c>
      <c r="D459" s="7" t="s">
        <v>4129</v>
      </c>
      <c r="E459" t="s">
        <v>6759</v>
      </c>
      <c r="F459">
        <v>1075</v>
      </c>
      <c r="J459" s="14">
        <f>VLOOKUP(Table5[[#This Row],[Shortname]], Comp[], 7, FALSE)</f>
        <v>49.5</v>
      </c>
      <c r="K459">
        <f>VLOOKUP(Table5[[#This Row],[Shortname]], Comp[], 8, FALSE)</f>
        <v>30</v>
      </c>
      <c r="L459">
        <f>VLOOKUP(Table5[[#This Row],[Shortname]], Comp[], 9, FALSE)</f>
        <v>10</v>
      </c>
      <c r="M459">
        <f>VLOOKUP(Table5[[#This Row],[Shortname]], Comp[], 10, FALSE)</f>
        <v>0</v>
      </c>
      <c r="N459">
        <f>VLOOKUP(Table5[[#This Row],[Shortname]], Comp[], 11, FALSE)</f>
        <v>10</v>
      </c>
      <c r="O459">
        <f>VLOOKUP(Table5[[#This Row],[Shortname]], Comp[],12, FALSE)</f>
        <v>0</v>
      </c>
      <c r="P459">
        <f>VLOOKUP(Table5[[#This Row],[Shortname]], Comp[], 13, FALSE)</f>
        <v>0</v>
      </c>
      <c r="Q459">
        <f>VLOOKUP(Table5[[#This Row],[Shortname]], Comp[], 14, FALSE)</f>
        <v>0</v>
      </c>
      <c r="R459">
        <f>VLOOKUP(Table5[[#This Row],[Shortname]], Comp[], 15, FALSE)</f>
        <v>0</v>
      </c>
      <c r="S459">
        <f>VLOOKUP(Table5[[#This Row],[Shortname]], Comp[], 16, FALSE)</f>
        <v>0</v>
      </c>
      <c r="T459">
        <f>VLOOKUP(Table5[[#This Row],[Shortname]], Comp[], 17, FALSE)</f>
        <v>0</v>
      </c>
      <c r="U459">
        <f>VLOOKUP(Table5[[#This Row],[Shortname]], Comp[], 18, FALSE)</f>
        <v>0</v>
      </c>
      <c r="V459">
        <f>VLOOKUP(Table5[[#This Row],[Shortname]], Comp[], 19, FALSE)</f>
        <v>0</v>
      </c>
      <c r="W459">
        <f>VLOOKUP(Table5[[#This Row],[Shortname]], Comp[], 20, FALSE)</f>
        <v>0</v>
      </c>
      <c r="X459">
        <f>VLOOKUP(Table5[[#This Row],[Shortname]], Comp[], 21, FALSE)</f>
        <v>0</v>
      </c>
      <c r="Y459">
        <f>VLOOKUP(Table5[[#This Row],[Shortname]], Comp[], 22, FALSE)</f>
        <v>0.5</v>
      </c>
      <c r="Z459">
        <f>VLOOKUP(Table5[[#This Row],[Shortname]], Comp[], 23, FALSE)</f>
        <v>0</v>
      </c>
      <c r="AA459">
        <f>VLOOKUP(Table5[[#This Row],[Shortname]], Comp[], 24, FALSE)</f>
        <v>0</v>
      </c>
      <c r="AB459">
        <f>VLOOKUP(Table5[[#This Row],[Shortname]], Comp[], 25, FALSE)</f>
        <v>0</v>
      </c>
      <c r="AC459">
        <f>VLOOKUP(Table5[[#This Row],[Shortname]], Comp[], 26, FALSE)</f>
        <v>0</v>
      </c>
      <c r="AD459">
        <f>VLOOKUP(Table5[[#This Row],[Shortname]], Comp[], 27, FALSE)</f>
        <v>0</v>
      </c>
      <c r="AE459">
        <f>VLOOKUP(Table5[[#This Row],[Shortname]], Comp[], 28, FALSE)</f>
        <v>0</v>
      </c>
      <c r="AF459">
        <f>VLOOKUP(Table5[[#This Row],[Shortname]], Comp[], 29, FALSE)</f>
        <v>0</v>
      </c>
      <c r="AG459">
        <f>VLOOKUP(Table5[[#This Row],[Shortname]], Comp[], 30, FALSE)</f>
        <v>0</v>
      </c>
      <c r="AH459">
        <f>VLOOKUP(Table5[[#This Row],[Shortname]], Comp[], 31, FALSE)</f>
        <v>0</v>
      </c>
    </row>
    <row r="460" spans="1:34" x14ac:dyDescent="0.3">
      <c r="A460" s="7" t="s">
        <v>4120</v>
      </c>
      <c r="B460">
        <v>475</v>
      </c>
      <c r="C460" s="7" t="str">
        <f>VLOOKUP(Table5[[#This Row],[Shortname]], [1]!comp[#Data], 2, FALSE)</f>
        <v>CoAlW-X</v>
      </c>
      <c r="D460" s="7" t="s">
        <v>4122</v>
      </c>
      <c r="E460" t="s">
        <v>6759</v>
      </c>
      <c r="F460">
        <v>1057</v>
      </c>
      <c r="J460" s="14">
        <f>VLOOKUP(Table5[[#This Row],[Shortname]], Comp[], 7, FALSE)</f>
        <v>50</v>
      </c>
      <c r="K460">
        <f>VLOOKUP(Table5[[#This Row],[Shortname]], Comp[], 8, FALSE)</f>
        <v>30</v>
      </c>
      <c r="L460">
        <f>VLOOKUP(Table5[[#This Row],[Shortname]], Comp[], 9, FALSE)</f>
        <v>10</v>
      </c>
      <c r="M460">
        <f>VLOOKUP(Table5[[#This Row],[Shortname]], Comp[], 10, FALSE)</f>
        <v>0</v>
      </c>
      <c r="N460">
        <f>VLOOKUP(Table5[[#This Row],[Shortname]], Comp[], 11, FALSE)</f>
        <v>10</v>
      </c>
      <c r="O460">
        <f>VLOOKUP(Table5[[#This Row],[Shortname]], Comp[],12, FALSE)</f>
        <v>0</v>
      </c>
      <c r="P460">
        <f>VLOOKUP(Table5[[#This Row],[Shortname]], Comp[], 13, FALSE)</f>
        <v>0</v>
      </c>
      <c r="Q460">
        <f>VLOOKUP(Table5[[#This Row],[Shortname]], Comp[], 14, FALSE)</f>
        <v>0</v>
      </c>
      <c r="R460">
        <f>VLOOKUP(Table5[[#This Row],[Shortname]], Comp[], 15, FALSE)</f>
        <v>0</v>
      </c>
      <c r="S460">
        <f>VLOOKUP(Table5[[#This Row],[Shortname]], Comp[], 16, FALSE)</f>
        <v>0</v>
      </c>
      <c r="T460">
        <f>VLOOKUP(Table5[[#This Row],[Shortname]], Comp[], 17, FALSE)</f>
        <v>0</v>
      </c>
      <c r="U460">
        <f>VLOOKUP(Table5[[#This Row],[Shortname]], Comp[], 18, FALSE)</f>
        <v>0</v>
      </c>
      <c r="V460">
        <f>VLOOKUP(Table5[[#This Row],[Shortname]], Comp[], 19, FALSE)</f>
        <v>0</v>
      </c>
      <c r="W460">
        <f>VLOOKUP(Table5[[#This Row],[Shortname]], Comp[], 20, FALSE)</f>
        <v>0</v>
      </c>
      <c r="X460">
        <f>VLOOKUP(Table5[[#This Row],[Shortname]], Comp[], 21, FALSE)</f>
        <v>0</v>
      </c>
      <c r="Y460">
        <f>VLOOKUP(Table5[[#This Row],[Shortname]], Comp[], 22, FALSE)</f>
        <v>0</v>
      </c>
      <c r="Z460">
        <f>VLOOKUP(Table5[[#This Row],[Shortname]], Comp[], 23, FALSE)</f>
        <v>0</v>
      </c>
      <c r="AA460">
        <f>VLOOKUP(Table5[[#This Row],[Shortname]], Comp[], 24, FALSE)</f>
        <v>0</v>
      </c>
      <c r="AB460">
        <f>VLOOKUP(Table5[[#This Row],[Shortname]], Comp[], 25, FALSE)</f>
        <v>0</v>
      </c>
      <c r="AC460">
        <f>VLOOKUP(Table5[[#This Row],[Shortname]], Comp[], 26, FALSE)</f>
        <v>0</v>
      </c>
      <c r="AD460">
        <f>VLOOKUP(Table5[[#This Row],[Shortname]], Comp[], 27, FALSE)</f>
        <v>0</v>
      </c>
      <c r="AE460">
        <f>VLOOKUP(Table5[[#This Row],[Shortname]], Comp[], 28, FALSE)</f>
        <v>0</v>
      </c>
      <c r="AF460">
        <f>VLOOKUP(Table5[[#This Row],[Shortname]], Comp[], 29, FALSE)</f>
        <v>0</v>
      </c>
      <c r="AG460">
        <f>VLOOKUP(Table5[[#This Row],[Shortname]], Comp[], 30, FALSE)</f>
        <v>0</v>
      </c>
      <c r="AH460">
        <f>VLOOKUP(Table5[[#This Row],[Shortname]], Comp[], 31, FALSE)</f>
        <v>0</v>
      </c>
    </row>
    <row r="461" spans="1:34" x14ac:dyDescent="0.3">
      <c r="A461" s="7" t="s">
        <v>4149</v>
      </c>
      <c r="B461">
        <v>476</v>
      </c>
      <c r="C461" s="7" t="str">
        <f>VLOOKUP(Table5[[#This Row],[Shortname]], [1]!comp[#Data], 2, FALSE)</f>
        <v>CoAlWX+</v>
      </c>
      <c r="D461" s="7" t="s">
        <v>4151</v>
      </c>
      <c r="E461" t="s">
        <v>6759</v>
      </c>
      <c r="F461">
        <v>998</v>
      </c>
      <c r="J461" s="14">
        <f>VLOOKUP(Table5[[#This Row],[Shortname]], Comp[], 7, FALSE)</f>
        <v>53</v>
      </c>
      <c r="K461">
        <f>VLOOKUP(Table5[[#This Row],[Shortname]], Comp[], 8, FALSE)</f>
        <v>30</v>
      </c>
      <c r="L461">
        <f>VLOOKUP(Table5[[#This Row],[Shortname]], Comp[], 9, FALSE)</f>
        <v>10</v>
      </c>
      <c r="M461">
        <f>VLOOKUP(Table5[[#This Row],[Shortname]], Comp[], 10, FALSE)</f>
        <v>0</v>
      </c>
      <c r="N461">
        <f>VLOOKUP(Table5[[#This Row],[Shortname]], Comp[], 11, FALSE)</f>
        <v>5</v>
      </c>
      <c r="O461">
        <f>VLOOKUP(Table5[[#This Row],[Shortname]], Comp[],12, FALSE)</f>
        <v>0</v>
      </c>
      <c r="P461">
        <f>VLOOKUP(Table5[[#This Row],[Shortname]], Comp[], 13, FALSE)</f>
        <v>0</v>
      </c>
      <c r="Q461">
        <f>VLOOKUP(Table5[[#This Row],[Shortname]], Comp[], 14, FALSE)</f>
        <v>0</v>
      </c>
      <c r="R461">
        <f>VLOOKUP(Table5[[#This Row],[Shortname]], Comp[], 15, FALSE)</f>
        <v>0</v>
      </c>
      <c r="S461">
        <f>VLOOKUP(Table5[[#This Row],[Shortname]], Comp[], 16, FALSE)</f>
        <v>0</v>
      </c>
      <c r="T461">
        <f>VLOOKUP(Table5[[#This Row],[Shortname]], Comp[], 17, FALSE)</f>
        <v>0</v>
      </c>
      <c r="U461">
        <f>VLOOKUP(Table5[[#This Row],[Shortname]], Comp[], 18, FALSE)</f>
        <v>0</v>
      </c>
      <c r="V461">
        <f>VLOOKUP(Table5[[#This Row],[Shortname]], Comp[], 19, FALSE)</f>
        <v>0</v>
      </c>
      <c r="W461">
        <f>VLOOKUP(Table5[[#This Row],[Shortname]], Comp[], 20, FALSE)</f>
        <v>0</v>
      </c>
      <c r="X461">
        <f>VLOOKUP(Table5[[#This Row],[Shortname]], Comp[], 21, FALSE)</f>
        <v>0</v>
      </c>
      <c r="Y461">
        <f>VLOOKUP(Table5[[#This Row],[Shortname]], Comp[], 22, FALSE)</f>
        <v>2</v>
      </c>
      <c r="Z461">
        <f>VLOOKUP(Table5[[#This Row],[Shortname]], Comp[], 23, FALSE)</f>
        <v>0</v>
      </c>
      <c r="AA461">
        <f>VLOOKUP(Table5[[#This Row],[Shortname]], Comp[], 24, FALSE)</f>
        <v>0</v>
      </c>
      <c r="AB461">
        <f>VLOOKUP(Table5[[#This Row],[Shortname]], Comp[], 25, FALSE)</f>
        <v>0</v>
      </c>
      <c r="AC461">
        <f>VLOOKUP(Table5[[#This Row],[Shortname]], Comp[], 26, FALSE)</f>
        <v>0</v>
      </c>
      <c r="AD461">
        <f>VLOOKUP(Table5[[#This Row],[Shortname]], Comp[], 27, FALSE)</f>
        <v>0</v>
      </c>
      <c r="AE461">
        <f>VLOOKUP(Table5[[#This Row],[Shortname]], Comp[], 28, FALSE)</f>
        <v>0</v>
      </c>
      <c r="AF461">
        <f>VLOOKUP(Table5[[#This Row],[Shortname]], Comp[], 29, FALSE)</f>
        <v>0</v>
      </c>
      <c r="AG461">
        <f>VLOOKUP(Table5[[#This Row],[Shortname]], Comp[], 30, FALSE)</f>
        <v>0</v>
      </c>
      <c r="AH461">
        <f>VLOOKUP(Table5[[#This Row],[Shortname]], Comp[], 31, FALSE)</f>
        <v>0</v>
      </c>
    </row>
    <row r="462" spans="1:34" x14ac:dyDescent="0.3">
      <c r="A462" s="7" t="s">
        <v>4163</v>
      </c>
      <c r="B462">
        <v>477</v>
      </c>
      <c r="C462" s="7" t="str">
        <f>VLOOKUP(Table5[[#This Row],[Shortname]], [1]!comp[#Data], 2, FALSE)</f>
        <v>Co3Ti</v>
      </c>
      <c r="D462" s="7" t="s">
        <v>4165</v>
      </c>
      <c r="E462" s="3" t="s">
        <v>4158</v>
      </c>
      <c r="F462">
        <v>1169</v>
      </c>
      <c r="G462">
        <v>1209</v>
      </c>
      <c r="H462">
        <v>1311</v>
      </c>
      <c r="J462" s="14">
        <f>VLOOKUP(Table5[[#This Row],[Shortname]], Comp[], 7, FALSE)</f>
        <v>80.900000000000006</v>
      </c>
      <c r="K462">
        <f>VLOOKUP(Table5[[#This Row],[Shortname]], Comp[], 8, FALSE)</f>
        <v>0</v>
      </c>
      <c r="L462">
        <f>VLOOKUP(Table5[[#This Row],[Shortname]], Comp[], 9, FALSE)</f>
        <v>3</v>
      </c>
      <c r="M462">
        <f>VLOOKUP(Table5[[#This Row],[Shortname]], Comp[], 10, FALSE)</f>
        <v>0</v>
      </c>
      <c r="N462">
        <f>VLOOKUP(Table5[[#This Row],[Shortname]], Comp[], 11, FALSE)</f>
        <v>2.6</v>
      </c>
      <c r="O462">
        <f>VLOOKUP(Table5[[#This Row],[Shortname]], Comp[],12, FALSE)</f>
        <v>13.5</v>
      </c>
      <c r="P462">
        <f>VLOOKUP(Table5[[#This Row],[Shortname]], Comp[], 13, FALSE)</f>
        <v>0</v>
      </c>
      <c r="Q462">
        <f>VLOOKUP(Table5[[#This Row],[Shortname]], Comp[], 14, FALSE)</f>
        <v>0</v>
      </c>
      <c r="R462">
        <f>VLOOKUP(Table5[[#This Row],[Shortname]], Comp[], 15, FALSE)</f>
        <v>0</v>
      </c>
      <c r="S462">
        <f>VLOOKUP(Table5[[#This Row],[Shortname]], Comp[], 16, FALSE)</f>
        <v>0</v>
      </c>
      <c r="T462">
        <f>VLOOKUP(Table5[[#This Row],[Shortname]], Comp[], 17, FALSE)</f>
        <v>0</v>
      </c>
      <c r="U462">
        <f>VLOOKUP(Table5[[#This Row],[Shortname]], Comp[], 18, FALSE)</f>
        <v>0</v>
      </c>
      <c r="V462">
        <f>VLOOKUP(Table5[[#This Row],[Shortname]], Comp[], 19, FALSE)</f>
        <v>0</v>
      </c>
      <c r="W462">
        <f>VLOOKUP(Table5[[#This Row],[Shortname]], Comp[], 20, FALSE)</f>
        <v>0</v>
      </c>
      <c r="X462">
        <f>VLOOKUP(Table5[[#This Row],[Shortname]], Comp[], 21, FALSE)</f>
        <v>0</v>
      </c>
      <c r="Y462">
        <f>VLOOKUP(Table5[[#This Row],[Shortname]], Comp[], 22, FALSE)</f>
        <v>0</v>
      </c>
      <c r="Z462">
        <f>VLOOKUP(Table5[[#This Row],[Shortname]], Comp[], 23, FALSE)</f>
        <v>0</v>
      </c>
      <c r="AA462">
        <f>VLOOKUP(Table5[[#This Row],[Shortname]], Comp[], 24, FALSE)</f>
        <v>0</v>
      </c>
      <c r="AB462">
        <f>VLOOKUP(Table5[[#This Row],[Shortname]], Comp[], 25, FALSE)</f>
        <v>0</v>
      </c>
      <c r="AC462">
        <f>VLOOKUP(Table5[[#This Row],[Shortname]], Comp[], 26, FALSE)</f>
        <v>0</v>
      </c>
      <c r="AD462">
        <f>VLOOKUP(Table5[[#This Row],[Shortname]], Comp[], 27, FALSE)</f>
        <v>0</v>
      </c>
      <c r="AE462">
        <f>VLOOKUP(Table5[[#This Row],[Shortname]], Comp[], 28, FALSE)</f>
        <v>0</v>
      </c>
      <c r="AF462">
        <f>VLOOKUP(Table5[[#This Row],[Shortname]], Comp[], 29, FALSE)</f>
        <v>0</v>
      </c>
      <c r="AG462">
        <f>VLOOKUP(Table5[[#This Row],[Shortname]], Comp[], 30, FALSE)</f>
        <v>0</v>
      </c>
      <c r="AH462">
        <f>VLOOKUP(Table5[[#This Row],[Shortname]], Comp[], 31, FALSE)</f>
        <v>0</v>
      </c>
    </row>
    <row r="463" spans="1:34" x14ac:dyDescent="0.3">
      <c r="A463" s="7" t="s">
        <v>4178</v>
      </c>
      <c r="B463">
        <v>478</v>
      </c>
      <c r="C463" s="7" t="str">
        <f>VLOOKUP(Table5[[#This Row],[Shortname]], [1]!comp[#Data], 2, FALSE)</f>
        <v>Co3Ti</v>
      </c>
      <c r="D463" s="7" t="s">
        <v>4180</v>
      </c>
      <c r="E463" s="3" t="s">
        <v>4158</v>
      </c>
      <c r="F463">
        <v>1158</v>
      </c>
      <c r="G463">
        <v>1199</v>
      </c>
      <c r="H463">
        <v>1315</v>
      </c>
      <c r="J463" s="14">
        <f>VLOOKUP(Table5[[#This Row],[Shortname]], Comp[], 7, FALSE)</f>
        <v>82</v>
      </c>
      <c r="K463">
        <f>VLOOKUP(Table5[[#This Row],[Shortname]], Comp[], 8, FALSE)</f>
        <v>2.1</v>
      </c>
      <c r="L463">
        <f>VLOOKUP(Table5[[#This Row],[Shortname]], Comp[], 9, FALSE)</f>
        <v>0</v>
      </c>
      <c r="M463">
        <f>VLOOKUP(Table5[[#This Row],[Shortname]], Comp[], 10, FALSE)</f>
        <v>0</v>
      </c>
      <c r="N463">
        <f>VLOOKUP(Table5[[#This Row],[Shortname]], Comp[], 11, FALSE)</f>
        <v>2.7</v>
      </c>
      <c r="O463">
        <f>VLOOKUP(Table5[[#This Row],[Shortname]], Comp[],12, FALSE)</f>
        <v>13.2</v>
      </c>
      <c r="P463">
        <f>VLOOKUP(Table5[[#This Row],[Shortname]], Comp[], 13, FALSE)</f>
        <v>0</v>
      </c>
      <c r="Q463">
        <f>VLOOKUP(Table5[[#This Row],[Shortname]], Comp[], 14, FALSE)</f>
        <v>0</v>
      </c>
      <c r="R463">
        <f>VLOOKUP(Table5[[#This Row],[Shortname]], Comp[], 15, FALSE)</f>
        <v>0</v>
      </c>
      <c r="S463">
        <f>VLOOKUP(Table5[[#This Row],[Shortname]], Comp[], 16, FALSE)</f>
        <v>0</v>
      </c>
      <c r="T463">
        <f>VLOOKUP(Table5[[#This Row],[Shortname]], Comp[], 17, FALSE)</f>
        <v>0</v>
      </c>
      <c r="U463">
        <f>VLOOKUP(Table5[[#This Row],[Shortname]], Comp[], 18, FALSE)</f>
        <v>0</v>
      </c>
      <c r="V463">
        <f>VLOOKUP(Table5[[#This Row],[Shortname]], Comp[], 19, FALSE)</f>
        <v>0</v>
      </c>
      <c r="W463">
        <f>VLOOKUP(Table5[[#This Row],[Shortname]], Comp[], 20, FALSE)</f>
        <v>0</v>
      </c>
      <c r="X463">
        <f>VLOOKUP(Table5[[#This Row],[Shortname]], Comp[], 21, FALSE)</f>
        <v>0</v>
      </c>
      <c r="Y463">
        <f>VLOOKUP(Table5[[#This Row],[Shortname]], Comp[], 22, FALSE)</f>
        <v>0</v>
      </c>
      <c r="Z463">
        <f>VLOOKUP(Table5[[#This Row],[Shortname]], Comp[], 23, FALSE)</f>
        <v>0</v>
      </c>
      <c r="AA463">
        <f>VLOOKUP(Table5[[#This Row],[Shortname]], Comp[], 24, FALSE)</f>
        <v>0</v>
      </c>
      <c r="AB463">
        <f>VLOOKUP(Table5[[#This Row],[Shortname]], Comp[], 25, FALSE)</f>
        <v>0</v>
      </c>
      <c r="AC463">
        <f>VLOOKUP(Table5[[#This Row],[Shortname]], Comp[], 26, FALSE)</f>
        <v>0</v>
      </c>
      <c r="AD463">
        <f>VLOOKUP(Table5[[#This Row],[Shortname]], Comp[], 27, FALSE)</f>
        <v>0</v>
      </c>
      <c r="AE463">
        <f>VLOOKUP(Table5[[#This Row],[Shortname]], Comp[], 28, FALSE)</f>
        <v>0</v>
      </c>
      <c r="AF463">
        <f>VLOOKUP(Table5[[#This Row],[Shortname]], Comp[], 29, FALSE)</f>
        <v>0</v>
      </c>
      <c r="AG463">
        <f>VLOOKUP(Table5[[#This Row],[Shortname]], Comp[], 30, FALSE)</f>
        <v>0</v>
      </c>
      <c r="AH463">
        <f>VLOOKUP(Table5[[#This Row],[Shortname]], Comp[], 31, FALSE)</f>
        <v>0</v>
      </c>
    </row>
    <row r="464" spans="1:34" x14ac:dyDescent="0.3">
      <c r="A464" s="7" t="s">
        <v>4186</v>
      </c>
      <c r="B464">
        <v>479</v>
      </c>
      <c r="C464" s="7" t="str">
        <f>VLOOKUP(Table5[[#This Row],[Shortname]], [1]!comp[#Data], 2, FALSE)</f>
        <v>Co3Ti</v>
      </c>
      <c r="D464" s="7" t="s">
        <v>4188</v>
      </c>
      <c r="E464" s="3" t="s">
        <v>4158</v>
      </c>
      <c r="F464">
        <v>1157</v>
      </c>
      <c r="G464">
        <v>1192</v>
      </c>
      <c r="H464">
        <v>1313</v>
      </c>
      <c r="J464" s="14">
        <f>VLOOKUP(Table5[[#This Row],[Shortname]], Comp[], 7, FALSE)</f>
        <v>78.2</v>
      </c>
      <c r="K464">
        <f>VLOOKUP(Table5[[#This Row],[Shortname]], Comp[], 8, FALSE)</f>
        <v>4.2</v>
      </c>
      <c r="L464">
        <f>VLOOKUP(Table5[[#This Row],[Shortname]], Comp[], 9, FALSE)</f>
        <v>0</v>
      </c>
      <c r="M464">
        <f>VLOOKUP(Table5[[#This Row],[Shortname]], Comp[], 10, FALSE)</f>
        <v>0</v>
      </c>
      <c r="N464">
        <f>VLOOKUP(Table5[[#This Row],[Shortname]], Comp[], 11, FALSE)</f>
        <v>4.9000000000000004</v>
      </c>
      <c r="O464">
        <f>VLOOKUP(Table5[[#This Row],[Shortname]], Comp[],12, FALSE)</f>
        <v>12.7</v>
      </c>
      <c r="P464">
        <f>VLOOKUP(Table5[[#This Row],[Shortname]], Comp[], 13, FALSE)</f>
        <v>0</v>
      </c>
      <c r="Q464">
        <f>VLOOKUP(Table5[[#This Row],[Shortname]], Comp[], 14, FALSE)</f>
        <v>0</v>
      </c>
      <c r="R464">
        <f>VLOOKUP(Table5[[#This Row],[Shortname]], Comp[], 15, FALSE)</f>
        <v>0</v>
      </c>
      <c r="S464">
        <f>VLOOKUP(Table5[[#This Row],[Shortname]], Comp[], 16, FALSE)</f>
        <v>0</v>
      </c>
      <c r="T464">
        <f>VLOOKUP(Table5[[#This Row],[Shortname]], Comp[], 17, FALSE)</f>
        <v>0</v>
      </c>
      <c r="U464">
        <f>VLOOKUP(Table5[[#This Row],[Shortname]], Comp[], 18, FALSE)</f>
        <v>0</v>
      </c>
      <c r="V464">
        <f>VLOOKUP(Table5[[#This Row],[Shortname]], Comp[], 19, FALSE)</f>
        <v>0</v>
      </c>
      <c r="W464">
        <f>VLOOKUP(Table5[[#This Row],[Shortname]], Comp[], 20, FALSE)</f>
        <v>0</v>
      </c>
      <c r="X464">
        <f>VLOOKUP(Table5[[#This Row],[Shortname]], Comp[], 21, FALSE)</f>
        <v>0</v>
      </c>
      <c r="Y464">
        <f>VLOOKUP(Table5[[#This Row],[Shortname]], Comp[], 22, FALSE)</f>
        <v>0</v>
      </c>
      <c r="Z464">
        <f>VLOOKUP(Table5[[#This Row],[Shortname]], Comp[], 23, FALSE)</f>
        <v>0</v>
      </c>
      <c r="AA464">
        <f>VLOOKUP(Table5[[#This Row],[Shortname]], Comp[], 24, FALSE)</f>
        <v>0</v>
      </c>
      <c r="AB464">
        <f>VLOOKUP(Table5[[#This Row],[Shortname]], Comp[], 25, FALSE)</f>
        <v>0</v>
      </c>
      <c r="AC464">
        <f>VLOOKUP(Table5[[#This Row],[Shortname]], Comp[], 26, FALSE)</f>
        <v>0</v>
      </c>
      <c r="AD464">
        <f>VLOOKUP(Table5[[#This Row],[Shortname]], Comp[], 27, FALSE)</f>
        <v>0</v>
      </c>
      <c r="AE464">
        <f>VLOOKUP(Table5[[#This Row],[Shortname]], Comp[], 28, FALSE)</f>
        <v>0</v>
      </c>
      <c r="AF464">
        <f>VLOOKUP(Table5[[#This Row],[Shortname]], Comp[], 29, FALSE)</f>
        <v>0</v>
      </c>
      <c r="AG464">
        <f>VLOOKUP(Table5[[#This Row],[Shortname]], Comp[], 30, FALSE)</f>
        <v>0</v>
      </c>
      <c r="AH464">
        <f>VLOOKUP(Table5[[#This Row],[Shortname]], Comp[], 31, FALSE)</f>
        <v>0</v>
      </c>
    </row>
    <row r="465" spans="1:34" x14ac:dyDescent="0.3">
      <c r="A465" s="7" t="s">
        <v>4171</v>
      </c>
      <c r="B465">
        <v>480</v>
      </c>
      <c r="C465" s="7" t="str">
        <f>VLOOKUP(Table5[[#This Row],[Shortname]], [1]!comp[#Data], 2, FALSE)</f>
        <v>Co3Ti</v>
      </c>
      <c r="D465" s="7" t="s">
        <v>4173</v>
      </c>
      <c r="E465" s="3" t="s">
        <v>4158</v>
      </c>
      <c r="F465">
        <v>1153</v>
      </c>
      <c r="G465">
        <v>1202</v>
      </c>
      <c r="H465">
        <v>1311</v>
      </c>
      <c r="J465" s="14">
        <f>VLOOKUP(Table5[[#This Row],[Shortname]], Comp[], 7, FALSE)</f>
        <v>78.5</v>
      </c>
      <c r="K465">
        <f>VLOOKUP(Table5[[#This Row],[Shortname]], Comp[], 8, FALSE)</f>
        <v>0</v>
      </c>
      <c r="L465">
        <f>VLOOKUP(Table5[[#This Row],[Shortname]], Comp[], 9, FALSE)</f>
        <v>5.6</v>
      </c>
      <c r="M465">
        <f>VLOOKUP(Table5[[#This Row],[Shortname]], Comp[], 10, FALSE)</f>
        <v>0</v>
      </c>
      <c r="N465">
        <f>VLOOKUP(Table5[[#This Row],[Shortname]], Comp[], 11, FALSE)</f>
        <v>2.6</v>
      </c>
      <c r="O465">
        <f>VLOOKUP(Table5[[#This Row],[Shortname]], Comp[],12, FALSE)</f>
        <v>13.3</v>
      </c>
      <c r="P465">
        <f>VLOOKUP(Table5[[#This Row],[Shortname]], Comp[], 13, FALSE)</f>
        <v>0</v>
      </c>
      <c r="Q465">
        <f>VLOOKUP(Table5[[#This Row],[Shortname]], Comp[], 14, FALSE)</f>
        <v>0</v>
      </c>
      <c r="R465">
        <f>VLOOKUP(Table5[[#This Row],[Shortname]], Comp[], 15, FALSE)</f>
        <v>0</v>
      </c>
      <c r="S465">
        <f>VLOOKUP(Table5[[#This Row],[Shortname]], Comp[], 16, FALSE)</f>
        <v>0</v>
      </c>
      <c r="T465">
        <f>VLOOKUP(Table5[[#This Row],[Shortname]], Comp[], 17, FALSE)</f>
        <v>0</v>
      </c>
      <c r="U465">
        <f>VLOOKUP(Table5[[#This Row],[Shortname]], Comp[], 18, FALSE)</f>
        <v>0</v>
      </c>
      <c r="V465">
        <f>VLOOKUP(Table5[[#This Row],[Shortname]], Comp[], 19, FALSE)</f>
        <v>0</v>
      </c>
      <c r="W465">
        <f>VLOOKUP(Table5[[#This Row],[Shortname]], Comp[], 20, FALSE)</f>
        <v>0</v>
      </c>
      <c r="X465">
        <f>VLOOKUP(Table5[[#This Row],[Shortname]], Comp[], 21, FALSE)</f>
        <v>0</v>
      </c>
      <c r="Y465">
        <f>VLOOKUP(Table5[[#This Row],[Shortname]], Comp[], 22, FALSE)</f>
        <v>0</v>
      </c>
      <c r="Z465">
        <f>VLOOKUP(Table5[[#This Row],[Shortname]], Comp[], 23, FALSE)</f>
        <v>0</v>
      </c>
      <c r="AA465">
        <f>VLOOKUP(Table5[[#This Row],[Shortname]], Comp[], 24, FALSE)</f>
        <v>0</v>
      </c>
      <c r="AB465">
        <f>VLOOKUP(Table5[[#This Row],[Shortname]], Comp[], 25, FALSE)</f>
        <v>0</v>
      </c>
      <c r="AC465">
        <f>VLOOKUP(Table5[[#This Row],[Shortname]], Comp[], 26, FALSE)</f>
        <v>0</v>
      </c>
      <c r="AD465">
        <f>VLOOKUP(Table5[[#This Row],[Shortname]], Comp[], 27, FALSE)</f>
        <v>0</v>
      </c>
      <c r="AE465">
        <f>VLOOKUP(Table5[[#This Row],[Shortname]], Comp[], 28, FALSE)</f>
        <v>0</v>
      </c>
      <c r="AF465">
        <f>VLOOKUP(Table5[[#This Row],[Shortname]], Comp[], 29, FALSE)</f>
        <v>0</v>
      </c>
      <c r="AG465">
        <f>VLOOKUP(Table5[[#This Row],[Shortname]], Comp[], 30, FALSE)</f>
        <v>0</v>
      </c>
      <c r="AH465">
        <f>VLOOKUP(Table5[[#This Row],[Shortname]], Comp[], 31, FALSE)</f>
        <v>0</v>
      </c>
    </row>
    <row r="466" spans="1:34" x14ac:dyDescent="0.3">
      <c r="A466" s="7" t="s">
        <v>4155</v>
      </c>
      <c r="B466">
        <v>481</v>
      </c>
      <c r="C466" s="7" t="str">
        <f>VLOOKUP(Table5[[#This Row],[Shortname]], [1]!comp[#Data], 2, FALSE)</f>
        <v>Co3Ti</v>
      </c>
      <c r="D466" s="7" t="s">
        <v>4157</v>
      </c>
      <c r="E466" s="3" t="s">
        <v>4158</v>
      </c>
      <c r="F466">
        <v>1144</v>
      </c>
      <c r="G466">
        <v>1216</v>
      </c>
      <c r="H466">
        <v>1318</v>
      </c>
      <c r="J466" s="14">
        <f>VLOOKUP(Table5[[#This Row],[Shortname]], Comp[], 7, FALSE)</f>
        <v>82.2</v>
      </c>
      <c r="K466">
        <f>VLOOKUP(Table5[[#This Row],[Shortname]], Comp[], 8, FALSE)</f>
        <v>0</v>
      </c>
      <c r="L466">
        <f>VLOOKUP(Table5[[#This Row],[Shortname]], Comp[], 9, FALSE)</f>
        <v>0</v>
      </c>
      <c r="M466">
        <f>VLOOKUP(Table5[[#This Row],[Shortname]], Comp[], 10, FALSE)</f>
        <v>0</v>
      </c>
      <c r="N466">
        <f>VLOOKUP(Table5[[#This Row],[Shortname]], Comp[], 11, FALSE)</f>
        <v>3.1</v>
      </c>
      <c r="O466">
        <f>VLOOKUP(Table5[[#This Row],[Shortname]], Comp[],12, FALSE)</f>
        <v>14.7</v>
      </c>
      <c r="P466">
        <f>VLOOKUP(Table5[[#This Row],[Shortname]], Comp[], 13, FALSE)</f>
        <v>0</v>
      </c>
      <c r="Q466">
        <f>VLOOKUP(Table5[[#This Row],[Shortname]], Comp[], 14, FALSE)</f>
        <v>0</v>
      </c>
      <c r="R466">
        <f>VLOOKUP(Table5[[#This Row],[Shortname]], Comp[], 15, FALSE)</f>
        <v>0</v>
      </c>
      <c r="S466">
        <f>VLOOKUP(Table5[[#This Row],[Shortname]], Comp[], 16, FALSE)</f>
        <v>0</v>
      </c>
      <c r="T466">
        <f>VLOOKUP(Table5[[#This Row],[Shortname]], Comp[], 17, FALSE)</f>
        <v>0</v>
      </c>
      <c r="U466">
        <f>VLOOKUP(Table5[[#This Row],[Shortname]], Comp[], 18, FALSE)</f>
        <v>0</v>
      </c>
      <c r="V466">
        <f>VLOOKUP(Table5[[#This Row],[Shortname]], Comp[], 19, FALSE)</f>
        <v>0</v>
      </c>
      <c r="W466">
        <f>VLOOKUP(Table5[[#This Row],[Shortname]], Comp[], 20, FALSE)</f>
        <v>0</v>
      </c>
      <c r="X466">
        <f>VLOOKUP(Table5[[#This Row],[Shortname]], Comp[], 21, FALSE)</f>
        <v>0</v>
      </c>
      <c r="Y466">
        <f>VLOOKUP(Table5[[#This Row],[Shortname]], Comp[], 22, FALSE)</f>
        <v>0</v>
      </c>
      <c r="Z466">
        <f>VLOOKUP(Table5[[#This Row],[Shortname]], Comp[], 23, FALSE)</f>
        <v>0</v>
      </c>
      <c r="AA466">
        <f>VLOOKUP(Table5[[#This Row],[Shortname]], Comp[], 24, FALSE)</f>
        <v>0</v>
      </c>
      <c r="AB466">
        <f>VLOOKUP(Table5[[#This Row],[Shortname]], Comp[], 25, FALSE)</f>
        <v>0</v>
      </c>
      <c r="AC466">
        <f>VLOOKUP(Table5[[#This Row],[Shortname]], Comp[], 26, FALSE)</f>
        <v>0</v>
      </c>
      <c r="AD466">
        <f>VLOOKUP(Table5[[#This Row],[Shortname]], Comp[], 27, FALSE)</f>
        <v>0</v>
      </c>
      <c r="AE466">
        <f>VLOOKUP(Table5[[#This Row],[Shortname]], Comp[], 28, FALSE)</f>
        <v>0</v>
      </c>
      <c r="AF466">
        <f>VLOOKUP(Table5[[#This Row],[Shortname]], Comp[], 29, FALSE)</f>
        <v>0</v>
      </c>
      <c r="AG466">
        <f>VLOOKUP(Table5[[#This Row],[Shortname]], Comp[], 30, FALSE)</f>
        <v>0</v>
      </c>
      <c r="AH466">
        <f>VLOOKUP(Table5[[#This Row],[Shortname]], Comp[], 31, FALSE)</f>
        <v>0</v>
      </c>
    </row>
    <row r="467" spans="1:34" x14ac:dyDescent="0.3">
      <c r="A467" s="7" t="s">
        <v>4225</v>
      </c>
      <c r="B467">
        <v>482</v>
      </c>
      <c r="C467" s="7" t="str">
        <f>VLOOKUP(Table5[[#This Row],[Shortname]], [1]!comp[#Data], 2, FALSE)</f>
        <v>Co3Ti</v>
      </c>
      <c r="D467" s="7" t="s">
        <v>4227</v>
      </c>
      <c r="E467" t="s">
        <v>6760</v>
      </c>
      <c r="F467">
        <v>1132</v>
      </c>
      <c r="J467" s="14">
        <f>VLOOKUP(Table5[[#This Row],[Shortname]], Comp[], 7, FALSE)</f>
        <v>83.81</v>
      </c>
      <c r="K467">
        <f>VLOOKUP(Table5[[#This Row],[Shortname]], Comp[], 8, FALSE)</f>
        <v>0</v>
      </c>
      <c r="L467">
        <f>VLOOKUP(Table5[[#This Row],[Shortname]], Comp[], 9, FALSE)</f>
        <v>0</v>
      </c>
      <c r="M467">
        <f>VLOOKUP(Table5[[#This Row],[Shortname]], Comp[], 10, FALSE)</f>
        <v>0</v>
      </c>
      <c r="N467">
        <f>VLOOKUP(Table5[[#This Row],[Shortname]], Comp[], 11, FALSE)</f>
        <v>0</v>
      </c>
      <c r="O467">
        <f>VLOOKUP(Table5[[#This Row],[Shortname]], Comp[],12, FALSE)</f>
        <v>6.75</v>
      </c>
      <c r="P467">
        <f>VLOOKUP(Table5[[#This Row],[Shortname]], Comp[], 13, FALSE)</f>
        <v>0</v>
      </c>
      <c r="Q467">
        <f>VLOOKUP(Table5[[#This Row],[Shortname]], Comp[], 14, FALSE)</f>
        <v>0</v>
      </c>
      <c r="R467">
        <f>VLOOKUP(Table5[[#This Row],[Shortname]], Comp[], 15, FALSE)</f>
        <v>8.33</v>
      </c>
      <c r="S467">
        <f>VLOOKUP(Table5[[#This Row],[Shortname]], Comp[], 16, FALSE)</f>
        <v>1.1100000000000001</v>
      </c>
      <c r="T467">
        <f>VLOOKUP(Table5[[#This Row],[Shortname]], Comp[], 17, FALSE)</f>
        <v>0</v>
      </c>
      <c r="U467">
        <f>VLOOKUP(Table5[[#This Row],[Shortname]], Comp[], 18, FALSE)</f>
        <v>0</v>
      </c>
      <c r="V467">
        <f>VLOOKUP(Table5[[#This Row],[Shortname]], Comp[], 19, FALSE)</f>
        <v>0</v>
      </c>
      <c r="W467">
        <f>VLOOKUP(Table5[[#This Row],[Shortname]], Comp[], 20, FALSE)</f>
        <v>0</v>
      </c>
      <c r="X467">
        <f>VLOOKUP(Table5[[#This Row],[Shortname]], Comp[], 21, FALSE)</f>
        <v>0</v>
      </c>
      <c r="Y467">
        <f>VLOOKUP(Table5[[#This Row],[Shortname]], Comp[], 22, FALSE)</f>
        <v>0</v>
      </c>
      <c r="Z467">
        <f>VLOOKUP(Table5[[#This Row],[Shortname]], Comp[], 23, FALSE)</f>
        <v>0</v>
      </c>
      <c r="AA467">
        <f>VLOOKUP(Table5[[#This Row],[Shortname]], Comp[], 24, FALSE)</f>
        <v>0</v>
      </c>
      <c r="AB467">
        <f>VLOOKUP(Table5[[#This Row],[Shortname]], Comp[], 25, FALSE)</f>
        <v>0</v>
      </c>
      <c r="AC467">
        <f>VLOOKUP(Table5[[#This Row],[Shortname]], Comp[], 26, FALSE)</f>
        <v>0</v>
      </c>
      <c r="AD467">
        <f>VLOOKUP(Table5[[#This Row],[Shortname]], Comp[], 27, FALSE)</f>
        <v>0</v>
      </c>
      <c r="AE467">
        <f>VLOOKUP(Table5[[#This Row],[Shortname]], Comp[], 28, FALSE)</f>
        <v>0</v>
      </c>
      <c r="AF467">
        <f>VLOOKUP(Table5[[#This Row],[Shortname]], Comp[], 29, FALSE)</f>
        <v>0</v>
      </c>
      <c r="AG467">
        <f>VLOOKUP(Table5[[#This Row],[Shortname]], Comp[], 30, FALSE)</f>
        <v>0</v>
      </c>
      <c r="AH467">
        <f>VLOOKUP(Table5[[#This Row],[Shortname]], Comp[], 31, FALSE)</f>
        <v>0</v>
      </c>
    </row>
    <row r="468" spans="1:34" x14ac:dyDescent="0.3">
      <c r="A468" s="7" t="s">
        <v>4217</v>
      </c>
      <c r="B468">
        <v>483</v>
      </c>
      <c r="C468" s="7" t="str">
        <f>VLOOKUP(Table5[[#This Row],[Shortname]], [1]!comp[#Data], 2, FALSE)</f>
        <v>Co3Ti</v>
      </c>
      <c r="D468" s="7" t="s">
        <v>4219</v>
      </c>
      <c r="E468" t="s">
        <v>6760</v>
      </c>
      <c r="F468">
        <v>1113</v>
      </c>
      <c r="J468" s="14">
        <f>VLOOKUP(Table5[[#This Row],[Shortname]], Comp[], 7, FALSE)</f>
        <v>82.62</v>
      </c>
      <c r="K468">
        <f>VLOOKUP(Table5[[#This Row],[Shortname]], Comp[], 8, FALSE)</f>
        <v>0</v>
      </c>
      <c r="L468">
        <f>VLOOKUP(Table5[[#This Row],[Shortname]], Comp[], 9, FALSE)</f>
        <v>0</v>
      </c>
      <c r="M468">
        <f>VLOOKUP(Table5[[#This Row],[Shortname]], Comp[], 10, FALSE)</f>
        <v>0</v>
      </c>
      <c r="N468">
        <f>VLOOKUP(Table5[[#This Row],[Shortname]], Comp[], 11, FALSE)</f>
        <v>0</v>
      </c>
      <c r="O468">
        <f>VLOOKUP(Table5[[#This Row],[Shortname]], Comp[],12, FALSE)</f>
        <v>7.01</v>
      </c>
      <c r="P468">
        <f>VLOOKUP(Table5[[#This Row],[Shortname]], Comp[], 13, FALSE)</f>
        <v>0</v>
      </c>
      <c r="Q468">
        <f>VLOOKUP(Table5[[#This Row],[Shortname]], Comp[], 14, FALSE)</f>
        <v>0.95</v>
      </c>
      <c r="R468">
        <f>VLOOKUP(Table5[[#This Row],[Shortname]], Comp[], 15, FALSE)</f>
        <v>9.42</v>
      </c>
      <c r="S468">
        <f>VLOOKUP(Table5[[#This Row],[Shortname]], Comp[], 16, FALSE)</f>
        <v>0</v>
      </c>
      <c r="T468">
        <f>VLOOKUP(Table5[[#This Row],[Shortname]], Comp[], 17, FALSE)</f>
        <v>0</v>
      </c>
      <c r="U468">
        <f>VLOOKUP(Table5[[#This Row],[Shortname]], Comp[], 18, FALSE)</f>
        <v>0</v>
      </c>
      <c r="V468">
        <f>VLOOKUP(Table5[[#This Row],[Shortname]], Comp[], 19, FALSE)</f>
        <v>0</v>
      </c>
      <c r="W468">
        <f>VLOOKUP(Table5[[#This Row],[Shortname]], Comp[], 20, FALSE)</f>
        <v>0</v>
      </c>
      <c r="X468">
        <f>VLOOKUP(Table5[[#This Row],[Shortname]], Comp[], 21, FALSE)</f>
        <v>0</v>
      </c>
      <c r="Y468">
        <f>VLOOKUP(Table5[[#This Row],[Shortname]], Comp[], 22, FALSE)</f>
        <v>0</v>
      </c>
      <c r="Z468">
        <f>VLOOKUP(Table5[[#This Row],[Shortname]], Comp[], 23, FALSE)</f>
        <v>0</v>
      </c>
      <c r="AA468">
        <f>VLOOKUP(Table5[[#This Row],[Shortname]], Comp[], 24, FALSE)</f>
        <v>0</v>
      </c>
      <c r="AB468">
        <f>VLOOKUP(Table5[[#This Row],[Shortname]], Comp[], 25, FALSE)</f>
        <v>0</v>
      </c>
      <c r="AC468">
        <f>VLOOKUP(Table5[[#This Row],[Shortname]], Comp[], 26, FALSE)</f>
        <v>0</v>
      </c>
      <c r="AD468">
        <f>VLOOKUP(Table5[[#This Row],[Shortname]], Comp[], 27, FALSE)</f>
        <v>0</v>
      </c>
      <c r="AE468">
        <f>VLOOKUP(Table5[[#This Row],[Shortname]], Comp[], 28, FALSE)</f>
        <v>0</v>
      </c>
      <c r="AF468">
        <f>VLOOKUP(Table5[[#This Row],[Shortname]], Comp[], 29, FALSE)</f>
        <v>0</v>
      </c>
      <c r="AG468">
        <f>VLOOKUP(Table5[[#This Row],[Shortname]], Comp[], 30, FALSE)</f>
        <v>0</v>
      </c>
      <c r="AH468">
        <f>VLOOKUP(Table5[[#This Row],[Shortname]], Comp[], 31, FALSE)</f>
        <v>0</v>
      </c>
    </row>
    <row r="469" spans="1:34" x14ac:dyDescent="0.3">
      <c r="A469" s="7" t="s">
        <v>4211</v>
      </c>
      <c r="B469">
        <v>484</v>
      </c>
      <c r="C469" s="7" t="str">
        <f>VLOOKUP(Table5[[#This Row],[Shortname]], [1]!comp[#Data], 2, FALSE)</f>
        <v>W-free</v>
      </c>
      <c r="D469" s="7" t="s">
        <v>4213</v>
      </c>
      <c r="E469" t="s">
        <v>6760</v>
      </c>
      <c r="F469">
        <v>1108</v>
      </c>
      <c r="J469" s="14">
        <f>VLOOKUP(Table5[[#This Row],[Shortname]], Comp[], 7, FALSE)</f>
        <v>82.12</v>
      </c>
      <c r="K469">
        <f>VLOOKUP(Table5[[#This Row],[Shortname]], Comp[], 8, FALSE)</f>
        <v>0</v>
      </c>
      <c r="L469">
        <f>VLOOKUP(Table5[[#This Row],[Shortname]], Comp[], 9, FALSE)</f>
        <v>0</v>
      </c>
      <c r="M469">
        <f>VLOOKUP(Table5[[#This Row],[Shortname]], Comp[], 10, FALSE)</f>
        <v>0</v>
      </c>
      <c r="N469">
        <f>VLOOKUP(Table5[[#This Row],[Shortname]], Comp[], 11, FALSE)</f>
        <v>0</v>
      </c>
      <c r="O469">
        <f>VLOOKUP(Table5[[#This Row],[Shortname]], Comp[],12, FALSE)</f>
        <v>7.63</v>
      </c>
      <c r="P469">
        <f>VLOOKUP(Table5[[#This Row],[Shortname]], Comp[], 13, FALSE)</f>
        <v>0</v>
      </c>
      <c r="Q469">
        <f>VLOOKUP(Table5[[#This Row],[Shortname]], Comp[], 14, FALSE)</f>
        <v>0</v>
      </c>
      <c r="R469">
        <f>VLOOKUP(Table5[[#This Row],[Shortname]], Comp[], 15, FALSE)</f>
        <v>8.3000000000000007</v>
      </c>
      <c r="S469">
        <f>VLOOKUP(Table5[[#This Row],[Shortname]], Comp[], 16, FALSE)</f>
        <v>1.95</v>
      </c>
      <c r="T469">
        <f>VLOOKUP(Table5[[#This Row],[Shortname]], Comp[], 17, FALSE)</f>
        <v>0</v>
      </c>
      <c r="U469">
        <f>VLOOKUP(Table5[[#This Row],[Shortname]], Comp[], 18, FALSE)</f>
        <v>0</v>
      </c>
      <c r="V469">
        <f>VLOOKUP(Table5[[#This Row],[Shortname]], Comp[], 19, FALSE)</f>
        <v>0</v>
      </c>
      <c r="W469">
        <f>VLOOKUP(Table5[[#This Row],[Shortname]], Comp[], 20, FALSE)</f>
        <v>0</v>
      </c>
      <c r="X469">
        <f>VLOOKUP(Table5[[#This Row],[Shortname]], Comp[], 21, FALSE)</f>
        <v>0</v>
      </c>
      <c r="Y469">
        <f>VLOOKUP(Table5[[#This Row],[Shortname]], Comp[], 22, FALSE)</f>
        <v>0</v>
      </c>
      <c r="Z469">
        <f>VLOOKUP(Table5[[#This Row],[Shortname]], Comp[], 23, FALSE)</f>
        <v>0</v>
      </c>
      <c r="AA469">
        <f>VLOOKUP(Table5[[#This Row],[Shortname]], Comp[], 24, FALSE)</f>
        <v>0</v>
      </c>
      <c r="AB469">
        <f>VLOOKUP(Table5[[#This Row],[Shortname]], Comp[], 25, FALSE)</f>
        <v>0</v>
      </c>
      <c r="AC469">
        <f>VLOOKUP(Table5[[#This Row],[Shortname]], Comp[], 26, FALSE)</f>
        <v>0</v>
      </c>
      <c r="AD469">
        <f>VLOOKUP(Table5[[#This Row],[Shortname]], Comp[], 27, FALSE)</f>
        <v>0</v>
      </c>
      <c r="AE469">
        <f>VLOOKUP(Table5[[#This Row],[Shortname]], Comp[], 28, FALSE)</f>
        <v>0</v>
      </c>
      <c r="AF469">
        <f>VLOOKUP(Table5[[#This Row],[Shortname]], Comp[], 29, FALSE)</f>
        <v>0</v>
      </c>
      <c r="AG469">
        <f>VLOOKUP(Table5[[#This Row],[Shortname]], Comp[], 30, FALSE)</f>
        <v>0</v>
      </c>
      <c r="AH469">
        <f>VLOOKUP(Table5[[#This Row],[Shortname]], Comp[], 31, FALSE)</f>
        <v>0</v>
      </c>
    </row>
    <row r="470" spans="1:34" x14ac:dyDescent="0.3">
      <c r="A470" s="7" t="s">
        <v>4194</v>
      </c>
      <c r="B470">
        <v>485</v>
      </c>
      <c r="C470" s="7" t="str">
        <f>VLOOKUP(Table5[[#This Row],[Shortname]], [1]!comp[#Data], 2, FALSE)</f>
        <v>Co3Ti</v>
      </c>
      <c r="D470" s="7" t="s">
        <v>4196</v>
      </c>
      <c r="E470" t="s">
        <v>6760</v>
      </c>
      <c r="F470">
        <v>1084</v>
      </c>
      <c r="J470" s="14">
        <f>VLOOKUP(Table5[[#This Row],[Shortname]], Comp[], 7, FALSE)</f>
        <v>84</v>
      </c>
      <c r="K470">
        <f>VLOOKUP(Table5[[#This Row],[Shortname]], Comp[], 8, FALSE)</f>
        <v>0</v>
      </c>
      <c r="L470">
        <f>VLOOKUP(Table5[[#This Row],[Shortname]], Comp[], 9, FALSE)</f>
        <v>0</v>
      </c>
      <c r="M470">
        <f>VLOOKUP(Table5[[#This Row],[Shortname]], Comp[], 10, FALSE)</f>
        <v>0</v>
      </c>
      <c r="N470">
        <f>VLOOKUP(Table5[[#This Row],[Shortname]], Comp[], 11, FALSE)</f>
        <v>0</v>
      </c>
      <c r="O470">
        <f>VLOOKUP(Table5[[#This Row],[Shortname]], Comp[],12, FALSE)</f>
        <v>8</v>
      </c>
      <c r="P470">
        <f>VLOOKUP(Table5[[#This Row],[Shortname]], Comp[], 13, FALSE)</f>
        <v>0</v>
      </c>
      <c r="Q470">
        <f>VLOOKUP(Table5[[#This Row],[Shortname]], Comp[], 14, FALSE)</f>
        <v>0</v>
      </c>
      <c r="R470">
        <f>VLOOKUP(Table5[[#This Row],[Shortname]], Comp[], 15, FALSE)</f>
        <v>8</v>
      </c>
      <c r="S470">
        <f>VLOOKUP(Table5[[#This Row],[Shortname]], Comp[], 16, FALSE)</f>
        <v>0</v>
      </c>
      <c r="T470">
        <f>VLOOKUP(Table5[[#This Row],[Shortname]], Comp[], 17, FALSE)</f>
        <v>0</v>
      </c>
      <c r="U470">
        <f>VLOOKUP(Table5[[#This Row],[Shortname]], Comp[], 18, FALSE)</f>
        <v>0</v>
      </c>
      <c r="V470">
        <f>VLOOKUP(Table5[[#This Row],[Shortname]], Comp[], 19, FALSE)</f>
        <v>0</v>
      </c>
      <c r="W470">
        <f>VLOOKUP(Table5[[#This Row],[Shortname]], Comp[], 20, FALSE)</f>
        <v>0</v>
      </c>
      <c r="X470">
        <f>VLOOKUP(Table5[[#This Row],[Shortname]], Comp[], 21, FALSE)</f>
        <v>0</v>
      </c>
      <c r="Y470">
        <f>VLOOKUP(Table5[[#This Row],[Shortname]], Comp[], 22, FALSE)</f>
        <v>0</v>
      </c>
      <c r="Z470">
        <f>VLOOKUP(Table5[[#This Row],[Shortname]], Comp[], 23, FALSE)</f>
        <v>0</v>
      </c>
      <c r="AA470">
        <f>VLOOKUP(Table5[[#This Row],[Shortname]], Comp[], 24, FALSE)</f>
        <v>0</v>
      </c>
      <c r="AB470">
        <f>VLOOKUP(Table5[[#This Row],[Shortname]], Comp[], 25, FALSE)</f>
        <v>0</v>
      </c>
      <c r="AC470">
        <f>VLOOKUP(Table5[[#This Row],[Shortname]], Comp[], 26, FALSE)</f>
        <v>0</v>
      </c>
      <c r="AD470">
        <f>VLOOKUP(Table5[[#This Row],[Shortname]], Comp[], 27, FALSE)</f>
        <v>0</v>
      </c>
      <c r="AE470">
        <f>VLOOKUP(Table5[[#This Row],[Shortname]], Comp[], 28, FALSE)</f>
        <v>0</v>
      </c>
      <c r="AF470">
        <f>VLOOKUP(Table5[[#This Row],[Shortname]], Comp[], 29, FALSE)</f>
        <v>0</v>
      </c>
      <c r="AG470">
        <f>VLOOKUP(Table5[[#This Row],[Shortname]], Comp[], 30, FALSE)</f>
        <v>0</v>
      </c>
      <c r="AH470">
        <f>VLOOKUP(Table5[[#This Row],[Shortname]], Comp[], 31, FALSE)</f>
        <v>0</v>
      </c>
    </row>
    <row r="471" spans="1:34" x14ac:dyDescent="0.3">
      <c r="A471" s="7" t="s">
        <v>4203</v>
      </c>
      <c r="B471">
        <v>486</v>
      </c>
      <c r="C471" s="7" t="str">
        <f>VLOOKUP(Table5[[#This Row],[Shortname]], [1]!comp[#Data], 2, FALSE)</f>
        <v>W-free</v>
      </c>
      <c r="D471" s="7" t="s">
        <v>4205</v>
      </c>
      <c r="E471" t="s">
        <v>6760</v>
      </c>
      <c r="F471">
        <v>1084</v>
      </c>
      <c r="J471" s="14">
        <f>VLOOKUP(Table5[[#This Row],[Shortname]], Comp[], 7, FALSE)</f>
        <v>83.06</v>
      </c>
      <c r="K471">
        <f>VLOOKUP(Table5[[#This Row],[Shortname]], Comp[], 8, FALSE)</f>
        <v>0</v>
      </c>
      <c r="L471">
        <f>VLOOKUP(Table5[[#This Row],[Shortname]], Comp[], 9, FALSE)</f>
        <v>0</v>
      </c>
      <c r="M471">
        <f>VLOOKUP(Table5[[#This Row],[Shortname]], Comp[], 10, FALSE)</f>
        <v>0</v>
      </c>
      <c r="N471">
        <f>VLOOKUP(Table5[[#This Row],[Shortname]], Comp[], 11, FALSE)</f>
        <v>0</v>
      </c>
      <c r="O471">
        <f>VLOOKUP(Table5[[#This Row],[Shortname]], Comp[],12, FALSE)</f>
        <v>7.71</v>
      </c>
      <c r="P471">
        <f>VLOOKUP(Table5[[#This Row],[Shortname]], Comp[], 13, FALSE)</f>
        <v>0</v>
      </c>
      <c r="Q471">
        <f>VLOOKUP(Table5[[#This Row],[Shortname]], Comp[], 14, FALSE)</f>
        <v>0</v>
      </c>
      <c r="R471">
        <f>VLOOKUP(Table5[[#This Row],[Shortname]], Comp[], 15, FALSE)</f>
        <v>8.3000000000000007</v>
      </c>
      <c r="S471">
        <f>VLOOKUP(Table5[[#This Row],[Shortname]], Comp[], 16, FALSE)</f>
        <v>0.93</v>
      </c>
      <c r="T471">
        <f>VLOOKUP(Table5[[#This Row],[Shortname]], Comp[], 17, FALSE)</f>
        <v>0</v>
      </c>
      <c r="U471">
        <f>VLOOKUP(Table5[[#This Row],[Shortname]], Comp[], 18, FALSE)</f>
        <v>0</v>
      </c>
      <c r="V471">
        <f>VLOOKUP(Table5[[#This Row],[Shortname]], Comp[], 19, FALSE)</f>
        <v>0</v>
      </c>
      <c r="W471">
        <f>VLOOKUP(Table5[[#This Row],[Shortname]], Comp[], 20, FALSE)</f>
        <v>0</v>
      </c>
      <c r="X471">
        <f>VLOOKUP(Table5[[#This Row],[Shortname]], Comp[], 21, FALSE)</f>
        <v>0</v>
      </c>
      <c r="Y471">
        <f>VLOOKUP(Table5[[#This Row],[Shortname]], Comp[], 22, FALSE)</f>
        <v>0</v>
      </c>
      <c r="Z471">
        <f>VLOOKUP(Table5[[#This Row],[Shortname]], Comp[], 23, FALSE)</f>
        <v>0</v>
      </c>
      <c r="AA471">
        <f>VLOOKUP(Table5[[#This Row],[Shortname]], Comp[], 24, FALSE)</f>
        <v>0</v>
      </c>
      <c r="AB471">
        <f>VLOOKUP(Table5[[#This Row],[Shortname]], Comp[], 25, FALSE)</f>
        <v>0</v>
      </c>
      <c r="AC471">
        <f>VLOOKUP(Table5[[#This Row],[Shortname]], Comp[], 26, FALSE)</f>
        <v>0</v>
      </c>
      <c r="AD471">
        <f>VLOOKUP(Table5[[#This Row],[Shortname]], Comp[], 27, FALSE)</f>
        <v>0</v>
      </c>
      <c r="AE471">
        <f>VLOOKUP(Table5[[#This Row],[Shortname]], Comp[], 28, FALSE)</f>
        <v>0</v>
      </c>
      <c r="AF471">
        <f>VLOOKUP(Table5[[#This Row],[Shortname]], Comp[], 29, FALSE)</f>
        <v>0</v>
      </c>
      <c r="AG471">
        <f>VLOOKUP(Table5[[#This Row],[Shortname]], Comp[], 30, FALSE)</f>
        <v>0</v>
      </c>
      <c r="AH471">
        <f>VLOOKUP(Table5[[#This Row],[Shortname]], Comp[], 31, FALSE)</f>
        <v>0</v>
      </c>
    </row>
    <row r="472" spans="1:34" x14ac:dyDescent="0.3">
      <c r="A472" t="s">
        <v>4902</v>
      </c>
      <c r="B472">
        <v>487</v>
      </c>
      <c r="C472" t="str">
        <f>VLOOKUP(Table5[[#This Row],[Shortname]], [1]!comp[#Data], 2, FALSE)</f>
        <v>CoAlWX+</v>
      </c>
      <c r="D472" t="s">
        <v>4904</v>
      </c>
      <c r="E472" s="3" t="s">
        <v>4892</v>
      </c>
      <c r="F472">
        <v>1233</v>
      </c>
      <c r="J472" s="14">
        <f>VLOOKUP(Table5[[#This Row],[Shortname]], Comp[], 7, FALSE)</f>
        <v>48</v>
      </c>
      <c r="K472">
        <f>VLOOKUP(Table5[[#This Row],[Shortname]], Comp[], 8, FALSE)</f>
        <v>25</v>
      </c>
      <c r="L472">
        <f>VLOOKUP(Table5[[#This Row],[Shortname]], Comp[], 9, FALSE)</f>
        <v>9</v>
      </c>
      <c r="M472">
        <f>VLOOKUP(Table5[[#This Row],[Shortname]], Comp[], 10, FALSE)</f>
        <v>5</v>
      </c>
      <c r="N472">
        <f>VLOOKUP(Table5[[#This Row],[Shortname]], Comp[], 11, FALSE)</f>
        <v>6</v>
      </c>
      <c r="O472">
        <f>VLOOKUP(Table5[[#This Row],[Shortname]], Comp[],12, FALSE)</f>
        <v>4</v>
      </c>
      <c r="P472">
        <f>VLOOKUP(Table5[[#This Row],[Shortname]], Comp[], 13, FALSE)</f>
        <v>2</v>
      </c>
      <c r="Q472">
        <f>VLOOKUP(Table5[[#This Row],[Shortname]], Comp[], 14, FALSE)</f>
        <v>0</v>
      </c>
      <c r="R472">
        <f>VLOOKUP(Table5[[#This Row],[Shortname]], Comp[], 15, FALSE)</f>
        <v>1</v>
      </c>
      <c r="S472">
        <f>VLOOKUP(Table5[[#This Row],[Shortname]], Comp[], 16, FALSE)</f>
        <v>0</v>
      </c>
      <c r="T472">
        <f>VLOOKUP(Table5[[#This Row],[Shortname]], Comp[], 17, FALSE)</f>
        <v>0</v>
      </c>
      <c r="U472">
        <f>VLOOKUP(Table5[[#This Row],[Shortname]], Comp[], 18, FALSE)</f>
        <v>0</v>
      </c>
      <c r="V472">
        <f>VLOOKUP(Table5[[#This Row],[Shortname]], Comp[], 19, FALSE)</f>
        <v>0</v>
      </c>
      <c r="W472">
        <f>VLOOKUP(Table5[[#This Row],[Shortname]], Comp[], 20, FALSE)</f>
        <v>0</v>
      </c>
      <c r="X472">
        <f>VLOOKUP(Table5[[#This Row],[Shortname]], Comp[], 21, FALSE)</f>
        <v>0</v>
      </c>
      <c r="Y472">
        <f>VLOOKUP(Table5[[#This Row],[Shortname]], Comp[], 22, FALSE)</f>
        <v>0</v>
      </c>
      <c r="Z472">
        <f>VLOOKUP(Table5[[#This Row],[Shortname]], Comp[], 23, FALSE)</f>
        <v>0</v>
      </c>
      <c r="AA472">
        <f>VLOOKUP(Table5[[#This Row],[Shortname]], Comp[], 24, FALSE)</f>
        <v>0</v>
      </c>
      <c r="AB472">
        <f>VLOOKUP(Table5[[#This Row],[Shortname]], Comp[], 25, FALSE)</f>
        <v>0</v>
      </c>
      <c r="AC472">
        <f>VLOOKUP(Table5[[#This Row],[Shortname]], Comp[], 26, FALSE)</f>
        <v>0</v>
      </c>
      <c r="AD472">
        <f>VLOOKUP(Table5[[#This Row],[Shortname]], Comp[], 27, FALSE)</f>
        <v>0</v>
      </c>
      <c r="AE472">
        <f>VLOOKUP(Table5[[#This Row],[Shortname]], Comp[], 28, FALSE)</f>
        <v>0</v>
      </c>
      <c r="AF472">
        <f>VLOOKUP(Table5[[#This Row],[Shortname]], Comp[], 29, FALSE)</f>
        <v>0</v>
      </c>
      <c r="AG472">
        <f>VLOOKUP(Table5[[#This Row],[Shortname]], Comp[], 30, FALSE)</f>
        <v>0</v>
      </c>
      <c r="AH472">
        <f>VLOOKUP(Table5[[#This Row],[Shortname]], Comp[], 31, FALSE)</f>
        <v>0</v>
      </c>
    </row>
    <row r="473" spans="1:34" x14ac:dyDescent="0.3">
      <c r="A473" t="s">
        <v>4914</v>
      </c>
      <c r="B473">
        <v>488</v>
      </c>
      <c r="C473" t="str">
        <f>VLOOKUP(Table5[[#This Row],[Shortname]], [1]!comp[#Data], 2, FALSE)</f>
        <v>Co3Ti</v>
      </c>
      <c r="D473" t="s">
        <v>4916</v>
      </c>
      <c r="E473" s="3" t="s">
        <v>4892</v>
      </c>
      <c r="F473">
        <v>1230</v>
      </c>
      <c r="J473" s="14">
        <f>VLOOKUP(Table5[[#This Row],[Shortname]], Comp[], 7, FALSE)</f>
        <v>48</v>
      </c>
      <c r="K473">
        <f>VLOOKUP(Table5[[#This Row],[Shortname]], Comp[], 8, FALSE)</f>
        <v>25</v>
      </c>
      <c r="L473">
        <f>VLOOKUP(Table5[[#This Row],[Shortname]], Comp[], 9, FALSE)</f>
        <v>9</v>
      </c>
      <c r="M473">
        <f>VLOOKUP(Table5[[#This Row],[Shortname]], Comp[], 10, FALSE)</f>
        <v>5</v>
      </c>
      <c r="N473">
        <f>VLOOKUP(Table5[[#This Row],[Shortname]], Comp[], 11, FALSE)</f>
        <v>5</v>
      </c>
      <c r="O473">
        <f>VLOOKUP(Table5[[#This Row],[Shortname]], Comp[],12, FALSE)</f>
        <v>4</v>
      </c>
      <c r="P473">
        <f>VLOOKUP(Table5[[#This Row],[Shortname]], Comp[], 13, FALSE)</f>
        <v>2</v>
      </c>
      <c r="Q473">
        <f>VLOOKUP(Table5[[#This Row],[Shortname]], Comp[], 14, FALSE)</f>
        <v>1</v>
      </c>
      <c r="R473">
        <f>VLOOKUP(Table5[[#This Row],[Shortname]], Comp[], 15, FALSE)</f>
        <v>1</v>
      </c>
      <c r="S473">
        <f>VLOOKUP(Table5[[#This Row],[Shortname]], Comp[], 16, FALSE)</f>
        <v>0</v>
      </c>
      <c r="T473">
        <f>VLOOKUP(Table5[[#This Row],[Shortname]], Comp[], 17, FALSE)</f>
        <v>0</v>
      </c>
      <c r="U473">
        <f>VLOOKUP(Table5[[#This Row],[Shortname]], Comp[], 18, FALSE)</f>
        <v>0</v>
      </c>
      <c r="V473">
        <f>VLOOKUP(Table5[[#This Row],[Shortname]], Comp[], 19, FALSE)</f>
        <v>0</v>
      </c>
      <c r="W473">
        <f>VLOOKUP(Table5[[#This Row],[Shortname]], Comp[], 20, FALSE)</f>
        <v>0</v>
      </c>
      <c r="X473">
        <f>VLOOKUP(Table5[[#This Row],[Shortname]], Comp[], 21, FALSE)</f>
        <v>0</v>
      </c>
      <c r="Y473">
        <f>VLOOKUP(Table5[[#This Row],[Shortname]], Comp[], 22, FALSE)</f>
        <v>0</v>
      </c>
      <c r="Z473">
        <f>VLOOKUP(Table5[[#This Row],[Shortname]], Comp[], 23, FALSE)</f>
        <v>0</v>
      </c>
      <c r="AA473">
        <f>VLOOKUP(Table5[[#This Row],[Shortname]], Comp[], 24, FALSE)</f>
        <v>0</v>
      </c>
      <c r="AB473">
        <f>VLOOKUP(Table5[[#This Row],[Shortname]], Comp[], 25, FALSE)</f>
        <v>0</v>
      </c>
      <c r="AC473">
        <f>VLOOKUP(Table5[[#This Row],[Shortname]], Comp[], 26, FALSE)</f>
        <v>0</v>
      </c>
      <c r="AD473">
        <f>VLOOKUP(Table5[[#This Row],[Shortname]], Comp[], 27, FALSE)</f>
        <v>0</v>
      </c>
      <c r="AE473">
        <f>VLOOKUP(Table5[[#This Row],[Shortname]], Comp[], 28, FALSE)</f>
        <v>0</v>
      </c>
      <c r="AF473">
        <f>VLOOKUP(Table5[[#This Row],[Shortname]], Comp[], 29, FALSE)</f>
        <v>0</v>
      </c>
      <c r="AG473">
        <f>VLOOKUP(Table5[[#This Row],[Shortname]], Comp[], 30, FALSE)</f>
        <v>0</v>
      </c>
      <c r="AH473">
        <f>VLOOKUP(Table5[[#This Row],[Shortname]], Comp[], 31, FALSE)</f>
        <v>0</v>
      </c>
    </row>
    <row r="474" spans="1:34" x14ac:dyDescent="0.3">
      <c r="A474" t="s">
        <v>4908</v>
      </c>
      <c r="B474">
        <v>489</v>
      </c>
      <c r="C474" t="str">
        <f>VLOOKUP(Table5[[#This Row],[Shortname]], [1]!comp[#Data], 2, FALSE)</f>
        <v>CoAlWX+</v>
      </c>
      <c r="D474" t="s">
        <v>4910</v>
      </c>
      <c r="E474" s="3" t="s">
        <v>4892</v>
      </c>
      <c r="F474">
        <v>1229</v>
      </c>
      <c r="J474" s="14">
        <f>VLOOKUP(Table5[[#This Row],[Shortname]], Comp[], 7, FALSE)</f>
        <v>48</v>
      </c>
      <c r="K474">
        <f>VLOOKUP(Table5[[#This Row],[Shortname]], Comp[], 8, FALSE)</f>
        <v>25</v>
      </c>
      <c r="L474">
        <f>VLOOKUP(Table5[[#This Row],[Shortname]], Comp[], 9, FALSE)</f>
        <v>9</v>
      </c>
      <c r="M474">
        <f>VLOOKUP(Table5[[#This Row],[Shortname]], Comp[], 10, FALSE)</f>
        <v>5</v>
      </c>
      <c r="N474">
        <f>VLOOKUP(Table5[[#This Row],[Shortname]], Comp[], 11, FALSE)</f>
        <v>6</v>
      </c>
      <c r="O474">
        <f>VLOOKUP(Table5[[#This Row],[Shortname]], Comp[],12, FALSE)</f>
        <v>4</v>
      </c>
      <c r="P474">
        <f>VLOOKUP(Table5[[#This Row],[Shortname]], Comp[], 13, FALSE)</f>
        <v>2</v>
      </c>
      <c r="Q474">
        <f>VLOOKUP(Table5[[#This Row],[Shortname]], Comp[], 14, FALSE)</f>
        <v>1</v>
      </c>
      <c r="R474">
        <f>VLOOKUP(Table5[[#This Row],[Shortname]], Comp[], 15, FALSE)</f>
        <v>0</v>
      </c>
      <c r="S474">
        <f>VLOOKUP(Table5[[#This Row],[Shortname]], Comp[], 16, FALSE)</f>
        <v>0</v>
      </c>
      <c r="T474">
        <f>VLOOKUP(Table5[[#This Row],[Shortname]], Comp[], 17, FALSE)</f>
        <v>0</v>
      </c>
      <c r="U474">
        <f>VLOOKUP(Table5[[#This Row],[Shortname]], Comp[], 18, FALSE)</f>
        <v>0</v>
      </c>
      <c r="V474">
        <f>VLOOKUP(Table5[[#This Row],[Shortname]], Comp[], 19, FALSE)</f>
        <v>0</v>
      </c>
      <c r="W474">
        <f>VLOOKUP(Table5[[#This Row],[Shortname]], Comp[], 20, FALSE)</f>
        <v>0</v>
      </c>
      <c r="X474">
        <f>VLOOKUP(Table5[[#This Row],[Shortname]], Comp[], 21, FALSE)</f>
        <v>0</v>
      </c>
      <c r="Y474">
        <f>VLOOKUP(Table5[[#This Row],[Shortname]], Comp[], 22, FALSE)</f>
        <v>0</v>
      </c>
      <c r="Z474">
        <f>VLOOKUP(Table5[[#This Row],[Shortname]], Comp[], 23, FALSE)</f>
        <v>0</v>
      </c>
      <c r="AA474">
        <f>VLOOKUP(Table5[[#This Row],[Shortname]], Comp[], 24, FALSE)</f>
        <v>0</v>
      </c>
      <c r="AB474">
        <f>VLOOKUP(Table5[[#This Row],[Shortname]], Comp[], 25, FALSE)</f>
        <v>0</v>
      </c>
      <c r="AC474">
        <f>VLOOKUP(Table5[[#This Row],[Shortname]], Comp[], 26, FALSE)</f>
        <v>0</v>
      </c>
      <c r="AD474">
        <f>VLOOKUP(Table5[[#This Row],[Shortname]], Comp[], 27, FALSE)</f>
        <v>0</v>
      </c>
      <c r="AE474">
        <f>VLOOKUP(Table5[[#This Row],[Shortname]], Comp[], 28, FALSE)</f>
        <v>0</v>
      </c>
      <c r="AF474">
        <f>VLOOKUP(Table5[[#This Row],[Shortname]], Comp[], 29, FALSE)</f>
        <v>0</v>
      </c>
      <c r="AG474">
        <f>VLOOKUP(Table5[[#This Row],[Shortname]], Comp[], 30, FALSE)</f>
        <v>0</v>
      </c>
      <c r="AH474">
        <f>VLOOKUP(Table5[[#This Row],[Shortname]], Comp[], 31, FALSE)</f>
        <v>0</v>
      </c>
    </row>
    <row r="475" spans="1:34" x14ac:dyDescent="0.3">
      <c r="A475" t="s">
        <v>4896</v>
      </c>
      <c r="B475">
        <v>490</v>
      </c>
      <c r="C475" t="str">
        <f>VLOOKUP(Table5[[#This Row],[Shortname]], [1]!comp[#Data], 2, FALSE)</f>
        <v>CoAlWX+</v>
      </c>
      <c r="D475" t="s">
        <v>4898</v>
      </c>
      <c r="E475" s="3" t="s">
        <v>4892</v>
      </c>
      <c r="F475">
        <v>1215</v>
      </c>
      <c r="J475" s="14">
        <f>VLOOKUP(Table5[[#This Row],[Shortname]], Comp[], 7, FALSE)</f>
        <v>48</v>
      </c>
      <c r="K475">
        <f>VLOOKUP(Table5[[#This Row],[Shortname]], Comp[], 8, FALSE)</f>
        <v>30</v>
      </c>
      <c r="L475">
        <f>VLOOKUP(Table5[[#This Row],[Shortname]], Comp[], 9, FALSE)</f>
        <v>9</v>
      </c>
      <c r="M475">
        <f>VLOOKUP(Table5[[#This Row],[Shortname]], Comp[], 10, FALSE)</f>
        <v>0</v>
      </c>
      <c r="N475">
        <f>VLOOKUP(Table5[[#This Row],[Shortname]], Comp[], 11, FALSE)</f>
        <v>6</v>
      </c>
      <c r="O475">
        <f>VLOOKUP(Table5[[#This Row],[Shortname]], Comp[],12, FALSE)</f>
        <v>4</v>
      </c>
      <c r="P475">
        <f>VLOOKUP(Table5[[#This Row],[Shortname]], Comp[], 13, FALSE)</f>
        <v>2</v>
      </c>
      <c r="Q475">
        <f>VLOOKUP(Table5[[#This Row],[Shortname]], Comp[], 14, FALSE)</f>
        <v>0</v>
      </c>
      <c r="R475">
        <f>VLOOKUP(Table5[[#This Row],[Shortname]], Comp[], 15, FALSE)</f>
        <v>1</v>
      </c>
      <c r="S475">
        <f>VLOOKUP(Table5[[#This Row],[Shortname]], Comp[], 16, FALSE)</f>
        <v>0</v>
      </c>
      <c r="T475">
        <f>VLOOKUP(Table5[[#This Row],[Shortname]], Comp[], 17, FALSE)</f>
        <v>0</v>
      </c>
      <c r="U475">
        <f>VLOOKUP(Table5[[#This Row],[Shortname]], Comp[], 18, FALSE)</f>
        <v>0</v>
      </c>
      <c r="V475">
        <f>VLOOKUP(Table5[[#This Row],[Shortname]], Comp[], 19, FALSE)</f>
        <v>0</v>
      </c>
      <c r="W475">
        <f>VLOOKUP(Table5[[#This Row],[Shortname]], Comp[], 20, FALSE)</f>
        <v>0</v>
      </c>
      <c r="X475">
        <f>VLOOKUP(Table5[[#This Row],[Shortname]], Comp[], 21, FALSE)</f>
        <v>0</v>
      </c>
      <c r="Y475">
        <f>VLOOKUP(Table5[[#This Row],[Shortname]], Comp[], 22, FALSE)</f>
        <v>0</v>
      </c>
      <c r="Z475">
        <f>VLOOKUP(Table5[[#This Row],[Shortname]], Comp[], 23, FALSE)</f>
        <v>0</v>
      </c>
      <c r="AA475">
        <f>VLOOKUP(Table5[[#This Row],[Shortname]], Comp[], 24, FALSE)</f>
        <v>0</v>
      </c>
      <c r="AB475">
        <f>VLOOKUP(Table5[[#This Row],[Shortname]], Comp[], 25, FALSE)</f>
        <v>0</v>
      </c>
      <c r="AC475">
        <f>VLOOKUP(Table5[[#This Row],[Shortname]], Comp[], 26, FALSE)</f>
        <v>0</v>
      </c>
      <c r="AD475">
        <f>VLOOKUP(Table5[[#This Row],[Shortname]], Comp[], 27, FALSE)</f>
        <v>0</v>
      </c>
      <c r="AE475">
        <f>VLOOKUP(Table5[[#This Row],[Shortname]], Comp[], 28, FALSE)</f>
        <v>0</v>
      </c>
      <c r="AF475">
        <f>VLOOKUP(Table5[[#This Row],[Shortname]], Comp[], 29, FALSE)</f>
        <v>0</v>
      </c>
      <c r="AG475">
        <f>VLOOKUP(Table5[[#This Row],[Shortname]], Comp[], 30, FALSE)</f>
        <v>0</v>
      </c>
      <c r="AH475">
        <f>VLOOKUP(Table5[[#This Row],[Shortname]], Comp[], 31, FALSE)</f>
        <v>0</v>
      </c>
    </row>
    <row r="476" spans="1:34" x14ac:dyDescent="0.3">
      <c r="A476" t="s">
        <v>4889</v>
      </c>
      <c r="B476">
        <v>491</v>
      </c>
      <c r="C476" t="str">
        <f>VLOOKUP(Table5[[#This Row],[Shortname]], [1]!comp[#Data], 2, FALSE)</f>
        <v>CoAlWX+</v>
      </c>
      <c r="D476" t="s">
        <v>4891</v>
      </c>
      <c r="E476" s="3" t="s">
        <v>4892</v>
      </c>
      <c r="F476">
        <v>1200</v>
      </c>
      <c r="J476" s="14">
        <f>VLOOKUP(Table5[[#This Row],[Shortname]], Comp[], 7, FALSE)</f>
        <v>48</v>
      </c>
      <c r="K476">
        <f>VLOOKUP(Table5[[#This Row],[Shortname]], Comp[], 8, FALSE)</f>
        <v>30</v>
      </c>
      <c r="L476">
        <f>VLOOKUP(Table5[[#This Row],[Shortname]], Comp[], 9, FALSE)</f>
        <v>8</v>
      </c>
      <c r="M476">
        <f>VLOOKUP(Table5[[#This Row],[Shortname]], Comp[], 10, FALSE)</f>
        <v>0</v>
      </c>
      <c r="N476">
        <f>VLOOKUP(Table5[[#This Row],[Shortname]], Comp[], 11, FALSE)</f>
        <v>6</v>
      </c>
      <c r="O476">
        <f>VLOOKUP(Table5[[#This Row],[Shortname]], Comp[],12, FALSE)</f>
        <v>4</v>
      </c>
      <c r="P476">
        <f>VLOOKUP(Table5[[#This Row],[Shortname]], Comp[], 13, FALSE)</f>
        <v>2</v>
      </c>
      <c r="Q476">
        <f>VLOOKUP(Table5[[#This Row],[Shortname]], Comp[], 14, FALSE)</f>
        <v>1</v>
      </c>
      <c r="R476">
        <f>VLOOKUP(Table5[[#This Row],[Shortname]], Comp[], 15, FALSE)</f>
        <v>1</v>
      </c>
      <c r="S476">
        <f>VLOOKUP(Table5[[#This Row],[Shortname]], Comp[], 16, FALSE)</f>
        <v>0</v>
      </c>
      <c r="T476">
        <f>VLOOKUP(Table5[[#This Row],[Shortname]], Comp[], 17, FALSE)</f>
        <v>0</v>
      </c>
      <c r="U476">
        <f>VLOOKUP(Table5[[#This Row],[Shortname]], Comp[], 18, FALSE)</f>
        <v>0</v>
      </c>
      <c r="V476">
        <f>VLOOKUP(Table5[[#This Row],[Shortname]], Comp[], 19, FALSE)</f>
        <v>0</v>
      </c>
      <c r="W476">
        <f>VLOOKUP(Table5[[#This Row],[Shortname]], Comp[], 20, FALSE)</f>
        <v>0</v>
      </c>
      <c r="X476">
        <f>VLOOKUP(Table5[[#This Row],[Shortname]], Comp[], 21, FALSE)</f>
        <v>0</v>
      </c>
      <c r="Y476">
        <f>VLOOKUP(Table5[[#This Row],[Shortname]], Comp[], 22, FALSE)</f>
        <v>0</v>
      </c>
      <c r="Z476">
        <f>VLOOKUP(Table5[[#This Row],[Shortname]], Comp[], 23, FALSE)</f>
        <v>0</v>
      </c>
      <c r="AA476">
        <f>VLOOKUP(Table5[[#This Row],[Shortname]], Comp[], 24, FALSE)</f>
        <v>0</v>
      </c>
      <c r="AB476">
        <f>VLOOKUP(Table5[[#This Row],[Shortname]], Comp[], 25, FALSE)</f>
        <v>0</v>
      </c>
      <c r="AC476">
        <f>VLOOKUP(Table5[[#This Row],[Shortname]], Comp[], 26, FALSE)</f>
        <v>0</v>
      </c>
      <c r="AD476">
        <f>VLOOKUP(Table5[[#This Row],[Shortname]], Comp[], 27, FALSE)</f>
        <v>0</v>
      </c>
      <c r="AE476">
        <f>VLOOKUP(Table5[[#This Row],[Shortname]], Comp[], 28, FALSE)</f>
        <v>0</v>
      </c>
      <c r="AF476">
        <f>VLOOKUP(Table5[[#This Row],[Shortname]], Comp[], 29, FALSE)</f>
        <v>0</v>
      </c>
      <c r="AG476">
        <f>VLOOKUP(Table5[[#This Row],[Shortname]], Comp[], 30, FALSE)</f>
        <v>0</v>
      </c>
      <c r="AH476">
        <f>VLOOKUP(Table5[[#This Row],[Shortname]], Comp[], 31, FALSE)</f>
        <v>0</v>
      </c>
    </row>
    <row r="477" spans="1:34" x14ac:dyDescent="0.3">
      <c r="A477" t="s">
        <v>4920</v>
      </c>
      <c r="B477">
        <v>492</v>
      </c>
      <c r="C477" t="str">
        <f>VLOOKUP(Table5[[#This Row],[Shortname]], [1]!comp[#Data], 2, FALSE)</f>
        <v>CoAlWX+</v>
      </c>
      <c r="D477" t="s">
        <v>4922</v>
      </c>
      <c r="E477" s="3" t="s">
        <v>4892</v>
      </c>
      <c r="F477">
        <v>1198</v>
      </c>
      <c r="J477" s="14">
        <f>VLOOKUP(Table5[[#This Row],[Shortname]], Comp[], 7, FALSE)</f>
        <v>49</v>
      </c>
      <c r="K477">
        <f>VLOOKUP(Table5[[#This Row],[Shortname]], Comp[], 8, FALSE)</f>
        <v>30</v>
      </c>
      <c r="L477">
        <f>VLOOKUP(Table5[[#This Row],[Shortname]], Comp[], 9, FALSE)</f>
        <v>8</v>
      </c>
      <c r="M477">
        <f>VLOOKUP(Table5[[#This Row],[Shortname]], Comp[], 10, FALSE)</f>
        <v>0</v>
      </c>
      <c r="N477">
        <f>VLOOKUP(Table5[[#This Row],[Shortname]], Comp[], 11, FALSE)</f>
        <v>6</v>
      </c>
      <c r="O477">
        <f>VLOOKUP(Table5[[#This Row],[Shortname]], Comp[],12, FALSE)</f>
        <v>4</v>
      </c>
      <c r="P477">
        <f>VLOOKUP(Table5[[#This Row],[Shortname]], Comp[], 13, FALSE)</f>
        <v>2</v>
      </c>
      <c r="Q477">
        <f>VLOOKUP(Table5[[#This Row],[Shortname]], Comp[], 14, FALSE)</f>
        <v>1</v>
      </c>
      <c r="R477">
        <f>VLOOKUP(Table5[[#This Row],[Shortname]], Comp[], 15, FALSE)</f>
        <v>0</v>
      </c>
      <c r="S477">
        <f>VLOOKUP(Table5[[#This Row],[Shortname]], Comp[], 16, FALSE)</f>
        <v>0</v>
      </c>
      <c r="T477">
        <f>VLOOKUP(Table5[[#This Row],[Shortname]], Comp[], 17, FALSE)</f>
        <v>0</v>
      </c>
      <c r="U477">
        <f>VLOOKUP(Table5[[#This Row],[Shortname]], Comp[], 18, FALSE)</f>
        <v>0</v>
      </c>
      <c r="V477">
        <f>VLOOKUP(Table5[[#This Row],[Shortname]], Comp[], 19, FALSE)</f>
        <v>0</v>
      </c>
      <c r="W477">
        <f>VLOOKUP(Table5[[#This Row],[Shortname]], Comp[], 20, FALSE)</f>
        <v>0</v>
      </c>
      <c r="X477">
        <f>VLOOKUP(Table5[[#This Row],[Shortname]], Comp[], 21, FALSE)</f>
        <v>0</v>
      </c>
      <c r="Y477">
        <f>VLOOKUP(Table5[[#This Row],[Shortname]], Comp[], 22, FALSE)</f>
        <v>0</v>
      </c>
      <c r="Z477">
        <f>VLOOKUP(Table5[[#This Row],[Shortname]], Comp[], 23, FALSE)</f>
        <v>0</v>
      </c>
      <c r="AA477">
        <f>VLOOKUP(Table5[[#This Row],[Shortname]], Comp[], 24, FALSE)</f>
        <v>0</v>
      </c>
      <c r="AB477">
        <f>VLOOKUP(Table5[[#This Row],[Shortname]], Comp[], 25, FALSE)</f>
        <v>0</v>
      </c>
      <c r="AC477">
        <f>VLOOKUP(Table5[[#This Row],[Shortname]], Comp[], 26, FALSE)</f>
        <v>0</v>
      </c>
      <c r="AD477">
        <f>VLOOKUP(Table5[[#This Row],[Shortname]], Comp[], 27, FALSE)</f>
        <v>0</v>
      </c>
      <c r="AE477">
        <f>VLOOKUP(Table5[[#This Row],[Shortname]], Comp[], 28, FALSE)</f>
        <v>0</v>
      </c>
      <c r="AF477">
        <f>VLOOKUP(Table5[[#This Row],[Shortname]], Comp[], 29, FALSE)</f>
        <v>0</v>
      </c>
      <c r="AG477">
        <f>VLOOKUP(Table5[[#This Row],[Shortname]], Comp[], 30, FALSE)</f>
        <v>0</v>
      </c>
      <c r="AH477">
        <f>VLOOKUP(Table5[[#This Row],[Shortname]], Comp[], 31, FALSE)</f>
        <v>0</v>
      </c>
    </row>
    <row r="478" spans="1:34" x14ac:dyDescent="0.3">
      <c r="A478" s="7" t="s">
        <v>4232</v>
      </c>
      <c r="B478">
        <v>493</v>
      </c>
      <c r="C478" s="7" t="str">
        <f>VLOOKUP(Table5[[#This Row],[Shortname]], [1]!comp[#Data], 2, FALSE)</f>
        <v>Co3Ti</v>
      </c>
      <c r="D478" s="7" t="s">
        <v>4234</v>
      </c>
      <c r="E478" s="11" t="s">
        <v>6633</v>
      </c>
      <c r="F478">
        <v>1135</v>
      </c>
      <c r="G478">
        <v>1153</v>
      </c>
      <c r="H478">
        <v>1327</v>
      </c>
      <c r="J478" s="14">
        <f>VLOOKUP(Table5[[#This Row],[Shortname]], Comp[], 7, FALSE)</f>
        <v>74</v>
      </c>
      <c r="K478">
        <f>VLOOKUP(Table5[[#This Row],[Shortname]], Comp[], 8, FALSE)</f>
        <v>0</v>
      </c>
      <c r="L478">
        <f>VLOOKUP(Table5[[#This Row],[Shortname]], Comp[], 9, FALSE)</f>
        <v>0</v>
      </c>
      <c r="M478">
        <f>VLOOKUP(Table5[[#This Row],[Shortname]], Comp[], 10, FALSE)</f>
        <v>15</v>
      </c>
      <c r="N478">
        <f>VLOOKUP(Table5[[#This Row],[Shortname]], Comp[], 11, FALSE)</f>
        <v>0</v>
      </c>
      <c r="O478">
        <f>VLOOKUP(Table5[[#This Row],[Shortname]], Comp[],12, FALSE)</f>
        <v>11</v>
      </c>
      <c r="P478">
        <f>VLOOKUP(Table5[[#This Row],[Shortname]], Comp[], 13, FALSE)</f>
        <v>0</v>
      </c>
      <c r="Q478">
        <f>VLOOKUP(Table5[[#This Row],[Shortname]], Comp[], 14, FALSE)</f>
        <v>0</v>
      </c>
      <c r="R478">
        <f>VLOOKUP(Table5[[#This Row],[Shortname]], Comp[], 15, FALSE)</f>
        <v>0</v>
      </c>
      <c r="S478">
        <f>VLOOKUP(Table5[[#This Row],[Shortname]], Comp[], 16, FALSE)</f>
        <v>0</v>
      </c>
      <c r="T478">
        <f>VLOOKUP(Table5[[#This Row],[Shortname]], Comp[], 17, FALSE)</f>
        <v>0</v>
      </c>
      <c r="U478">
        <f>VLOOKUP(Table5[[#This Row],[Shortname]], Comp[], 18, FALSE)</f>
        <v>0</v>
      </c>
      <c r="V478">
        <f>VLOOKUP(Table5[[#This Row],[Shortname]], Comp[], 19, FALSE)</f>
        <v>0</v>
      </c>
      <c r="W478">
        <f>VLOOKUP(Table5[[#This Row],[Shortname]], Comp[], 20, FALSE)</f>
        <v>0</v>
      </c>
      <c r="X478">
        <f>VLOOKUP(Table5[[#This Row],[Shortname]], Comp[], 21, FALSE)</f>
        <v>0</v>
      </c>
      <c r="Y478">
        <f>VLOOKUP(Table5[[#This Row],[Shortname]], Comp[], 22, FALSE)</f>
        <v>0</v>
      </c>
      <c r="Z478">
        <f>VLOOKUP(Table5[[#This Row],[Shortname]], Comp[], 23, FALSE)</f>
        <v>0</v>
      </c>
      <c r="AA478">
        <f>VLOOKUP(Table5[[#This Row],[Shortname]], Comp[], 24, FALSE)</f>
        <v>0</v>
      </c>
      <c r="AB478">
        <f>VLOOKUP(Table5[[#This Row],[Shortname]], Comp[], 25, FALSE)</f>
        <v>0</v>
      </c>
      <c r="AC478">
        <f>VLOOKUP(Table5[[#This Row],[Shortname]], Comp[], 26, FALSE)</f>
        <v>0</v>
      </c>
      <c r="AD478">
        <f>VLOOKUP(Table5[[#This Row],[Shortname]], Comp[], 27, FALSE)</f>
        <v>0</v>
      </c>
      <c r="AE478">
        <f>VLOOKUP(Table5[[#This Row],[Shortname]], Comp[], 28, FALSE)</f>
        <v>0</v>
      </c>
      <c r="AF478">
        <f>VLOOKUP(Table5[[#This Row],[Shortname]], Comp[], 29, FALSE)</f>
        <v>0</v>
      </c>
      <c r="AG478">
        <f>VLOOKUP(Table5[[#This Row],[Shortname]], Comp[], 30, FALSE)</f>
        <v>0</v>
      </c>
      <c r="AH478">
        <f>VLOOKUP(Table5[[#This Row],[Shortname]], Comp[], 31, FALSE)</f>
        <v>0</v>
      </c>
    </row>
    <row r="479" spans="1:34" x14ac:dyDescent="0.3">
      <c r="A479" s="7" t="s">
        <v>4240</v>
      </c>
      <c r="B479">
        <v>494</v>
      </c>
      <c r="C479" s="7" t="str">
        <f>VLOOKUP(Table5[[#This Row],[Shortname]], [1]!comp[#Data], 2, FALSE)</f>
        <v>CoAlWX+</v>
      </c>
      <c r="D479" s="7" t="s">
        <v>4242</v>
      </c>
      <c r="E479" s="3" t="s">
        <v>4243</v>
      </c>
      <c r="F479">
        <v>1038</v>
      </c>
      <c r="G479">
        <v>1410</v>
      </c>
      <c r="H479">
        <v>1452</v>
      </c>
      <c r="J479" s="14">
        <f>VLOOKUP(Table5[[#This Row],[Shortname]], Comp[], 7, FALSE)</f>
        <v>36.46</v>
      </c>
      <c r="K479">
        <f>VLOOKUP(Table5[[#This Row],[Shortname]], Comp[], 8, FALSE)</f>
        <v>37.5</v>
      </c>
      <c r="L479">
        <f>VLOOKUP(Table5[[#This Row],[Shortname]], Comp[], 9, FALSE)</f>
        <v>9</v>
      </c>
      <c r="M479">
        <f>VLOOKUP(Table5[[#This Row],[Shortname]], Comp[], 10, FALSE)</f>
        <v>8</v>
      </c>
      <c r="N479">
        <f>VLOOKUP(Table5[[#This Row],[Shortname]], Comp[], 11, FALSE)</f>
        <v>9</v>
      </c>
      <c r="O479">
        <f>VLOOKUP(Table5[[#This Row],[Shortname]], Comp[],12, FALSE)</f>
        <v>0</v>
      </c>
      <c r="P479">
        <f>VLOOKUP(Table5[[#This Row],[Shortname]], Comp[], 13, FALSE)</f>
        <v>0</v>
      </c>
      <c r="Q479">
        <f>VLOOKUP(Table5[[#This Row],[Shortname]], Comp[], 14, FALSE)</f>
        <v>0</v>
      </c>
      <c r="R479">
        <f>VLOOKUP(Table5[[#This Row],[Shortname]], Comp[], 15, FALSE)</f>
        <v>0</v>
      </c>
      <c r="S479">
        <f>VLOOKUP(Table5[[#This Row],[Shortname]], Comp[], 16, FALSE)</f>
        <v>0</v>
      </c>
      <c r="T479">
        <f>VLOOKUP(Table5[[#This Row],[Shortname]], Comp[], 17, FALSE)</f>
        <v>0</v>
      </c>
      <c r="U479">
        <f>VLOOKUP(Table5[[#This Row],[Shortname]], Comp[], 18, FALSE)</f>
        <v>0</v>
      </c>
      <c r="V479">
        <f>VLOOKUP(Table5[[#This Row],[Shortname]], Comp[], 19, FALSE)</f>
        <v>0.04</v>
      </c>
      <c r="W479">
        <f>VLOOKUP(Table5[[#This Row],[Shortname]], Comp[], 20, FALSE)</f>
        <v>0</v>
      </c>
      <c r="X479">
        <f>VLOOKUP(Table5[[#This Row],[Shortname]], Comp[], 21, FALSE)</f>
        <v>0</v>
      </c>
      <c r="Y479">
        <f>VLOOKUP(Table5[[#This Row],[Shortname]], Comp[], 22, FALSE)</f>
        <v>0</v>
      </c>
      <c r="Z479">
        <f>VLOOKUP(Table5[[#This Row],[Shortname]], Comp[], 23, FALSE)</f>
        <v>0</v>
      </c>
      <c r="AA479">
        <f>VLOOKUP(Table5[[#This Row],[Shortname]], Comp[], 24, FALSE)</f>
        <v>0</v>
      </c>
      <c r="AB479">
        <f>VLOOKUP(Table5[[#This Row],[Shortname]], Comp[], 25, FALSE)</f>
        <v>0</v>
      </c>
      <c r="AC479">
        <f>VLOOKUP(Table5[[#This Row],[Shortname]], Comp[], 26, FALSE)</f>
        <v>0</v>
      </c>
      <c r="AD479">
        <f>VLOOKUP(Table5[[#This Row],[Shortname]], Comp[], 27, FALSE)</f>
        <v>0</v>
      </c>
      <c r="AE479">
        <f>VLOOKUP(Table5[[#This Row],[Shortname]], Comp[], 28, FALSE)</f>
        <v>0</v>
      </c>
      <c r="AF479">
        <f>VLOOKUP(Table5[[#This Row],[Shortname]], Comp[], 29, FALSE)</f>
        <v>0</v>
      </c>
      <c r="AG479">
        <f>VLOOKUP(Table5[[#This Row],[Shortname]], Comp[], 30, FALSE)</f>
        <v>0</v>
      </c>
      <c r="AH479">
        <f>VLOOKUP(Table5[[#This Row],[Shortname]], Comp[], 31, FALSE)</f>
        <v>0</v>
      </c>
    </row>
    <row r="480" spans="1:34" x14ac:dyDescent="0.3">
      <c r="A480" s="7" t="s">
        <v>4248</v>
      </c>
      <c r="B480">
        <v>495</v>
      </c>
      <c r="C480" s="7" t="str">
        <f>VLOOKUP(Table5[[#This Row],[Shortname]], [1]!comp[#Data], 2, FALSE)</f>
        <v>CoAlWX+</v>
      </c>
      <c r="D480" s="7" t="s">
        <v>4250</v>
      </c>
      <c r="E480" s="3" t="s">
        <v>4243</v>
      </c>
      <c r="F480">
        <v>975</v>
      </c>
      <c r="G480">
        <v>1412</v>
      </c>
      <c r="H480">
        <v>1454</v>
      </c>
      <c r="J480" s="14">
        <f>VLOOKUP(Table5[[#This Row],[Shortname]], Comp[], 7, FALSE)</f>
        <v>55.160000000000004</v>
      </c>
      <c r="K480">
        <f>VLOOKUP(Table5[[#This Row],[Shortname]], Comp[], 8, FALSE)</f>
        <v>18.8</v>
      </c>
      <c r="L480">
        <f>VLOOKUP(Table5[[#This Row],[Shortname]], Comp[], 9, FALSE)</f>
        <v>9</v>
      </c>
      <c r="M480">
        <f>VLOOKUP(Table5[[#This Row],[Shortname]], Comp[], 10, FALSE)</f>
        <v>8</v>
      </c>
      <c r="N480">
        <f>VLOOKUP(Table5[[#This Row],[Shortname]], Comp[], 11, FALSE)</f>
        <v>9</v>
      </c>
      <c r="O480">
        <f>VLOOKUP(Table5[[#This Row],[Shortname]], Comp[],12, FALSE)</f>
        <v>0</v>
      </c>
      <c r="P480">
        <f>VLOOKUP(Table5[[#This Row],[Shortname]], Comp[], 13, FALSE)</f>
        <v>0</v>
      </c>
      <c r="Q480">
        <f>VLOOKUP(Table5[[#This Row],[Shortname]], Comp[], 14, FALSE)</f>
        <v>0</v>
      </c>
      <c r="R480">
        <f>VLOOKUP(Table5[[#This Row],[Shortname]], Comp[], 15, FALSE)</f>
        <v>0</v>
      </c>
      <c r="S480">
        <f>VLOOKUP(Table5[[#This Row],[Shortname]], Comp[], 16, FALSE)</f>
        <v>0</v>
      </c>
      <c r="T480">
        <f>VLOOKUP(Table5[[#This Row],[Shortname]], Comp[], 17, FALSE)</f>
        <v>0</v>
      </c>
      <c r="U480">
        <f>VLOOKUP(Table5[[#This Row],[Shortname]], Comp[], 18, FALSE)</f>
        <v>0</v>
      </c>
      <c r="V480">
        <f>VLOOKUP(Table5[[#This Row],[Shortname]], Comp[], 19, FALSE)</f>
        <v>0.04</v>
      </c>
      <c r="W480">
        <f>VLOOKUP(Table5[[#This Row],[Shortname]], Comp[], 20, FALSE)</f>
        <v>0</v>
      </c>
      <c r="X480">
        <f>VLOOKUP(Table5[[#This Row],[Shortname]], Comp[], 21, FALSE)</f>
        <v>0</v>
      </c>
      <c r="Y480">
        <f>VLOOKUP(Table5[[#This Row],[Shortname]], Comp[], 22, FALSE)</f>
        <v>0</v>
      </c>
      <c r="Z480">
        <f>VLOOKUP(Table5[[#This Row],[Shortname]], Comp[], 23, FALSE)</f>
        <v>0</v>
      </c>
      <c r="AA480">
        <f>VLOOKUP(Table5[[#This Row],[Shortname]], Comp[], 24, FALSE)</f>
        <v>0</v>
      </c>
      <c r="AB480">
        <f>VLOOKUP(Table5[[#This Row],[Shortname]], Comp[], 25, FALSE)</f>
        <v>0</v>
      </c>
      <c r="AC480">
        <f>VLOOKUP(Table5[[#This Row],[Shortname]], Comp[], 26, FALSE)</f>
        <v>0</v>
      </c>
      <c r="AD480">
        <f>VLOOKUP(Table5[[#This Row],[Shortname]], Comp[], 27, FALSE)</f>
        <v>0</v>
      </c>
      <c r="AE480">
        <f>VLOOKUP(Table5[[#This Row],[Shortname]], Comp[], 28, FALSE)</f>
        <v>0</v>
      </c>
      <c r="AF480">
        <f>VLOOKUP(Table5[[#This Row],[Shortname]], Comp[], 29, FALSE)</f>
        <v>0</v>
      </c>
      <c r="AG480">
        <f>VLOOKUP(Table5[[#This Row],[Shortname]], Comp[], 30, FALSE)</f>
        <v>0</v>
      </c>
      <c r="AH480">
        <f>VLOOKUP(Table5[[#This Row],[Shortname]], Comp[], 31, FALSE)</f>
        <v>0</v>
      </c>
    </row>
    <row r="481" spans="1:34" x14ac:dyDescent="0.3">
      <c r="A481" s="7" t="s">
        <v>4255</v>
      </c>
      <c r="B481">
        <v>496</v>
      </c>
      <c r="C481" s="7" t="str">
        <f>VLOOKUP(Table5[[#This Row],[Shortname]], [1]!comp[#Data], 2, FALSE)</f>
        <v>CoAlW-X</v>
      </c>
      <c r="D481" s="7" t="s">
        <v>4256</v>
      </c>
      <c r="E481" s="3" t="s">
        <v>4243</v>
      </c>
      <c r="F481">
        <v>951</v>
      </c>
      <c r="G481">
        <v>1413</v>
      </c>
      <c r="H481">
        <v>1456</v>
      </c>
      <c r="J481" s="14">
        <f>VLOOKUP(Table5[[#This Row],[Shortname]], Comp[], 7, FALSE)</f>
        <v>73.960000000000008</v>
      </c>
      <c r="K481">
        <f>VLOOKUP(Table5[[#This Row],[Shortname]], Comp[], 8, FALSE)</f>
        <v>0</v>
      </c>
      <c r="L481">
        <f>VLOOKUP(Table5[[#This Row],[Shortname]], Comp[], 9, FALSE)</f>
        <v>9</v>
      </c>
      <c r="M481">
        <f>VLOOKUP(Table5[[#This Row],[Shortname]], Comp[], 10, FALSE)</f>
        <v>8</v>
      </c>
      <c r="N481">
        <f>VLOOKUP(Table5[[#This Row],[Shortname]], Comp[], 11, FALSE)</f>
        <v>9</v>
      </c>
      <c r="O481">
        <f>VLOOKUP(Table5[[#This Row],[Shortname]], Comp[],12, FALSE)</f>
        <v>0</v>
      </c>
      <c r="P481">
        <f>VLOOKUP(Table5[[#This Row],[Shortname]], Comp[], 13, FALSE)</f>
        <v>0</v>
      </c>
      <c r="Q481">
        <f>VLOOKUP(Table5[[#This Row],[Shortname]], Comp[], 14, FALSE)</f>
        <v>0</v>
      </c>
      <c r="R481">
        <f>VLOOKUP(Table5[[#This Row],[Shortname]], Comp[], 15, FALSE)</f>
        <v>0</v>
      </c>
      <c r="S481">
        <f>VLOOKUP(Table5[[#This Row],[Shortname]], Comp[], 16, FALSE)</f>
        <v>0</v>
      </c>
      <c r="T481">
        <f>VLOOKUP(Table5[[#This Row],[Shortname]], Comp[], 17, FALSE)</f>
        <v>0</v>
      </c>
      <c r="U481">
        <f>VLOOKUP(Table5[[#This Row],[Shortname]], Comp[], 18, FALSE)</f>
        <v>0</v>
      </c>
      <c r="V481">
        <f>VLOOKUP(Table5[[#This Row],[Shortname]], Comp[], 19, FALSE)</f>
        <v>0.04</v>
      </c>
      <c r="W481">
        <f>VLOOKUP(Table5[[#This Row],[Shortname]], Comp[], 20, FALSE)</f>
        <v>0</v>
      </c>
      <c r="X481">
        <f>VLOOKUP(Table5[[#This Row],[Shortname]], Comp[], 21, FALSE)</f>
        <v>0</v>
      </c>
      <c r="Y481">
        <f>VLOOKUP(Table5[[#This Row],[Shortname]], Comp[], 22, FALSE)</f>
        <v>0</v>
      </c>
      <c r="Z481">
        <f>VLOOKUP(Table5[[#This Row],[Shortname]], Comp[], 23, FALSE)</f>
        <v>0</v>
      </c>
      <c r="AA481">
        <f>VLOOKUP(Table5[[#This Row],[Shortname]], Comp[], 24, FALSE)</f>
        <v>0</v>
      </c>
      <c r="AB481">
        <f>VLOOKUP(Table5[[#This Row],[Shortname]], Comp[], 25, FALSE)</f>
        <v>0</v>
      </c>
      <c r="AC481">
        <f>VLOOKUP(Table5[[#This Row],[Shortname]], Comp[], 26, FALSE)</f>
        <v>0</v>
      </c>
      <c r="AD481">
        <f>VLOOKUP(Table5[[#This Row],[Shortname]], Comp[], 27, FALSE)</f>
        <v>0</v>
      </c>
      <c r="AE481">
        <f>VLOOKUP(Table5[[#This Row],[Shortname]], Comp[], 28, FALSE)</f>
        <v>0</v>
      </c>
      <c r="AF481">
        <f>VLOOKUP(Table5[[#This Row],[Shortname]], Comp[], 29, FALSE)</f>
        <v>0</v>
      </c>
      <c r="AG481">
        <f>VLOOKUP(Table5[[#This Row],[Shortname]], Comp[], 30, FALSE)</f>
        <v>0</v>
      </c>
      <c r="AH481">
        <f>VLOOKUP(Table5[[#This Row],[Shortname]], Comp[], 31, FALSE)</f>
        <v>0</v>
      </c>
    </row>
    <row r="482" spans="1:34" x14ac:dyDescent="0.3">
      <c r="A482" s="7" t="s">
        <v>4280</v>
      </c>
      <c r="B482">
        <v>497</v>
      </c>
      <c r="C482" s="7" t="str">
        <f>VLOOKUP(Table5[[#This Row],[Shortname]], [1]!comp[#Data], 2, FALSE)</f>
        <v>CoAlWX+</v>
      </c>
      <c r="D482" s="7" t="s">
        <v>4282</v>
      </c>
      <c r="E482" t="s">
        <v>6634</v>
      </c>
      <c r="F482">
        <v>1040</v>
      </c>
      <c r="G482">
        <v>1410</v>
      </c>
      <c r="H482">
        <v>1452</v>
      </c>
      <c r="J482" s="14">
        <f>VLOOKUP(Table5[[#This Row],[Shortname]], Comp[], 7, FALSE)</f>
        <v>38.160000000000004</v>
      </c>
      <c r="K482">
        <f>VLOOKUP(Table5[[#This Row],[Shortname]], Comp[], 8, FALSE)</f>
        <v>37.5</v>
      </c>
      <c r="L482">
        <f>VLOOKUP(Table5[[#This Row],[Shortname]], Comp[], 9, FALSE)</f>
        <v>9</v>
      </c>
      <c r="M482">
        <f>VLOOKUP(Table5[[#This Row],[Shortname]], Comp[], 10, FALSE)</f>
        <v>8</v>
      </c>
      <c r="N482">
        <f>VLOOKUP(Table5[[#This Row],[Shortname]], Comp[], 11, FALSE)</f>
        <v>7.3</v>
      </c>
      <c r="O482">
        <f>VLOOKUP(Table5[[#This Row],[Shortname]], Comp[],12, FALSE)</f>
        <v>0</v>
      </c>
      <c r="P482">
        <f>VLOOKUP(Table5[[#This Row],[Shortname]], Comp[], 13, FALSE)</f>
        <v>0</v>
      </c>
      <c r="Q482">
        <f>VLOOKUP(Table5[[#This Row],[Shortname]], Comp[], 14, FALSE)</f>
        <v>0</v>
      </c>
      <c r="R482">
        <f>VLOOKUP(Table5[[#This Row],[Shortname]], Comp[], 15, FALSE)</f>
        <v>0</v>
      </c>
      <c r="S482">
        <f>VLOOKUP(Table5[[#This Row],[Shortname]], Comp[], 16, FALSE)</f>
        <v>0</v>
      </c>
      <c r="T482">
        <f>VLOOKUP(Table5[[#This Row],[Shortname]], Comp[], 17, FALSE)</f>
        <v>0</v>
      </c>
      <c r="U482">
        <f>VLOOKUP(Table5[[#This Row],[Shortname]], Comp[], 18, FALSE)</f>
        <v>0</v>
      </c>
      <c r="V482">
        <f>VLOOKUP(Table5[[#This Row],[Shortname]], Comp[], 19, FALSE)</f>
        <v>0.04</v>
      </c>
      <c r="W482">
        <f>VLOOKUP(Table5[[#This Row],[Shortname]], Comp[], 20, FALSE)</f>
        <v>0</v>
      </c>
      <c r="X482">
        <f>VLOOKUP(Table5[[#This Row],[Shortname]], Comp[], 21, FALSE)</f>
        <v>0</v>
      </c>
      <c r="Y482">
        <f>VLOOKUP(Table5[[#This Row],[Shortname]], Comp[], 22, FALSE)</f>
        <v>0</v>
      </c>
      <c r="Z482">
        <f>VLOOKUP(Table5[[#This Row],[Shortname]], Comp[], 23, FALSE)</f>
        <v>0</v>
      </c>
      <c r="AA482">
        <f>VLOOKUP(Table5[[#This Row],[Shortname]], Comp[], 24, FALSE)</f>
        <v>0</v>
      </c>
      <c r="AB482">
        <f>VLOOKUP(Table5[[#This Row],[Shortname]], Comp[], 25, FALSE)</f>
        <v>0</v>
      </c>
      <c r="AC482">
        <f>VLOOKUP(Table5[[#This Row],[Shortname]], Comp[], 26, FALSE)</f>
        <v>0</v>
      </c>
      <c r="AD482">
        <f>VLOOKUP(Table5[[#This Row],[Shortname]], Comp[], 27, FALSE)</f>
        <v>0</v>
      </c>
      <c r="AE482">
        <f>VLOOKUP(Table5[[#This Row],[Shortname]], Comp[], 28, FALSE)</f>
        <v>0</v>
      </c>
      <c r="AF482">
        <f>VLOOKUP(Table5[[#This Row],[Shortname]], Comp[], 29, FALSE)</f>
        <v>0</v>
      </c>
      <c r="AG482">
        <f>VLOOKUP(Table5[[#This Row],[Shortname]], Comp[], 30, FALSE)</f>
        <v>0</v>
      </c>
      <c r="AH482">
        <f>VLOOKUP(Table5[[#This Row],[Shortname]], Comp[], 31, FALSE)</f>
        <v>0</v>
      </c>
    </row>
    <row r="483" spans="1:34" x14ac:dyDescent="0.3">
      <c r="A483" s="7" t="s">
        <v>4260</v>
      </c>
      <c r="B483">
        <v>498</v>
      </c>
      <c r="C483" s="7" t="str">
        <f>VLOOKUP(Table5[[#This Row],[Shortname]], [1]!comp[#Data], 2, FALSE)</f>
        <v>CoAlW-X</v>
      </c>
      <c r="D483" s="7" t="s">
        <v>4262</v>
      </c>
      <c r="E483" t="s">
        <v>6634</v>
      </c>
      <c r="F483">
        <v>1027</v>
      </c>
      <c r="G483">
        <v>1445</v>
      </c>
      <c r="H483">
        <v>1479</v>
      </c>
      <c r="J483" s="14">
        <f>VLOOKUP(Table5[[#This Row],[Shortname]], Comp[], 7, FALSE)</f>
        <v>41.48</v>
      </c>
      <c r="K483">
        <f>VLOOKUP(Table5[[#This Row],[Shortname]], Comp[], 8, FALSE)</f>
        <v>41.5</v>
      </c>
      <c r="L483">
        <f>VLOOKUP(Table5[[#This Row],[Shortname]], Comp[], 9, FALSE)</f>
        <v>9.6</v>
      </c>
      <c r="M483">
        <f>VLOOKUP(Table5[[#This Row],[Shortname]], Comp[], 10, FALSE)</f>
        <v>0</v>
      </c>
      <c r="N483">
        <f>VLOOKUP(Table5[[#This Row],[Shortname]], Comp[], 11, FALSE)</f>
        <v>7.38</v>
      </c>
      <c r="O483">
        <f>VLOOKUP(Table5[[#This Row],[Shortname]], Comp[],12, FALSE)</f>
        <v>0</v>
      </c>
      <c r="P483">
        <f>VLOOKUP(Table5[[#This Row],[Shortname]], Comp[], 13, FALSE)</f>
        <v>0</v>
      </c>
      <c r="Q483">
        <f>VLOOKUP(Table5[[#This Row],[Shortname]], Comp[], 14, FALSE)</f>
        <v>0</v>
      </c>
      <c r="R483">
        <f>VLOOKUP(Table5[[#This Row],[Shortname]], Comp[], 15, FALSE)</f>
        <v>0</v>
      </c>
      <c r="S483">
        <f>VLOOKUP(Table5[[#This Row],[Shortname]], Comp[], 16, FALSE)</f>
        <v>0</v>
      </c>
      <c r="T483">
        <f>VLOOKUP(Table5[[#This Row],[Shortname]], Comp[], 17, FALSE)</f>
        <v>0</v>
      </c>
      <c r="U483">
        <f>VLOOKUP(Table5[[#This Row],[Shortname]], Comp[], 18, FALSE)</f>
        <v>0</v>
      </c>
      <c r="V483">
        <f>VLOOKUP(Table5[[#This Row],[Shortname]], Comp[], 19, FALSE)</f>
        <v>0.04</v>
      </c>
      <c r="W483">
        <f>VLOOKUP(Table5[[#This Row],[Shortname]], Comp[], 20, FALSE)</f>
        <v>0</v>
      </c>
      <c r="X483">
        <f>VLOOKUP(Table5[[#This Row],[Shortname]], Comp[], 21, FALSE)</f>
        <v>0</v>
      </c>
      <c r="Y483">
        <f>VLOOKUP(Table5[[#This Row],[Shortname]], Comp[], 22, FALSE)</f>
        <v>0</v>
      </c>
      <c r="Z483">
        <f>VLOOKUP(Table5[[#This Row],[Shortname]], Comp[], 23, FALSE)</f>
        <v>0</v>
      </c>
      <c r="AA483">
        <f>VLOOKUP(Table5[[#This Row],[Shortname]], Comp[], 24, FALSE)</f>
        <v>0</v>
      </c>
      <c r="AB483">
        <f>VLOOKUP(Table5[[#This Row],[Shortname]], Comp[], 25, FALSE)</f>
        <v>0</v>
      </c>
      <c r="AC483">
        <f>VLOOKUP(Table5[[#This Row],[Shortname]], Comp[], 26, FALSE)</f>
        <v>0</v>
      </c>
      <c r="AD483">
        <f>VLOOKUP(Table5[[#This Row],[Shortname]], Comp[], 27, FALSE)</f>
        <v>0</v>
      </c>
      <c r="AE483">
        <f>VLOOKUP(Table5[[#This Row],[Shortname]], Comp[], 28, FALSE)</f>
        <v>0</v>
      </c>
      <c r="AF483">
        <f>VLOOKUP(Table5[[#This Row],[Shortname]], Comp[], 29, FALSE)</f>
        <v>0</v>
      </c>
      <c r="AG483">
        <f>VLOOKUP(Table5[[#This Row],[Shortname]], Comp[], 30, FALSE)</f>
        <v>0</v>
      </c>
      <c r="AH483">
        <f>VLOOKUP(Table5[[#This Row],[Shortname]], Comp[], 31, FALSE)</f>
        <v>0</v>
      </c>
    </row>
    <row r="484" spans="1:34" x14ac:dyDescent="0.3">
      <c r="A484" s="7" t="s">
        <v>4268</v>
      </c>
      <c r="B484">
        <v>499</v>
      </c>
      <c r="C484" s="7" t="str">
        <f>VLOOKUP(Table5[[#This Row],[Shortname]], [1]!comp[#Data], 2, FALSE)</f>
        <v>CoAlW-X</v>
      </c>
      <c r="D484" s="7" t="s">
        <v>4270</v>
      </c>
      <c r="E484" t="s">
        <v>6634</v>
      </c>
      <c r="F484">
        <v>984</v>
      </c>
      <c r="G484">
        <v>1447</v>
      </c>
      <c r="H484">
        <v>1477</v>
      </c>
      <c r="J484" s="14">
        <f>VLOOKUP(Table5[[#This Row],[Shortname]], Comp[], 7, FALSE)</f>
        <v>62.6</v>
      </c>
      <c r="K484">
        <f>VLOOKUP(Table5[[#This Row],[Shortname]], Comp[], 8, FALSE)</f>
        <v>20.75</v>
      </c>
      <c r="L484">
        <f>VLOOKUP(Table5[[#This Row],[Shortname]], Comp[], 9, FALSE)</f>
        <v>9.1999999999999993</v>
      </c>
      <c r="M484">
        <f>VLOOKUP(Table5[[#This Row],[Shortname]], Comp[], 10, FALSE)</f>
        <v>0</v>
      </c>
      <c r="N484">
        <f>VLOOKUP(Table5[[#This Row],[Shortname]], Comp[], 11, FALSE)</f>
        <v>7.41</v>
      </c>
      <c r="O484">
        <f>VLOOKUP(Table5[[#This Row],[Shortname]], Comp[],12, FALSE)</f>
        <v>0</v>
      </c>
      <c r="P484">
        <f>VLOOKUP(Table5[[#This Row],[Shortname]], Comp[], 13, FALSE)</f>
        <v>0</v>
      </c>
      <c r="Q484">
        <f>VLOOKUP(Table5[[#This Row],[Shortname]], Comp[], 14, FALSE)</f>
        <v>0</v>
      </c>
      <c r="R484">
        <f>VLOOKUP(Table5[[#This Row],[Shortname]], Comp[], 15, FALSE)</f>
        <v>0</v>
      </c>
      <c r="S484">
        <f>VLOOKUP(Table5[[#This Row],[Shortname]], Comp[], 16, FALSE)</f>
        <v>0</v>
      </c>
      <c r="T484">
        <f>VLOOKUP(Table5[[#This Row],[Shortname]], Comp[], 17, FALSE)</f>
        <v>0</v>
      </c>
      <c r="U484">
        <f>VLOOKUP(Table5[[#This Row],[Shortname]], Comp[], 18, FALSE)</f>
        <v>0</v>
      </c>
      <c r="V484">
        <f>VLOOKUP(Table5[[#This Row],[Shortname]], Comp[], 19, FALSE)</f>
        <v>0.04</v>
      </c>
      <c r="W484">
        <f>VLOOKUP(Table5[[#This Row],[Shortname]], Comp[], 20, FALSE)</f>
        <v>0</v>
      </c>
      <c r="X484">
        <f>VLOOKUP(Table5[[#This Row],[Shortname]], Comp[], 21, FALSE)</f>
        <v>0</v>
      </c>
      <c r="Y484">
        <f>VLOOKUP(Table5[[#This Row],[Shortname]], Comp[], 22, FALSE)</f>
        <v>0</v>
      </c>
      <c r="Z484">
        <f>VLOOKUP(Table5[[#This Row],[Shortname]], Comp[], 23, FALSE)</f>
        <v>0</v>
      </c>
      <c r="AA484">
        <f>VLOOKUP(Table5[[#This Row],[Shortname]], Comp[], 24, FALSE)</f>
        <v>0</v>
      </c>
      <c r="AB484">
        <f>VLOOKUP(Table5[[#This Row],[Shortname]], Comp[], 25, FALSE)</f>
        <v>0</v>
      </c>
      <c r="AC484">
        <f>VLOOKUP(Table5[[#This Row],[Shortname]], Comp[], 26, FALSE)</f>
        <v>0</v>
      </c>
      <c r="AD484">
        <f>VLOOKUP(Table5[[#This Row],[Shortname]], Comp[], 27, FALSE)</f>
        <v>0</v>
      </c>
      <c r="AE484">
        <f>VLOOKUP(Table5[[#This Row],[Shortname]], Comp[], 28, FALSE)</f>
        <v>0</v>
      </c>
      <c r="AF484">
        <f>VLOOKUP(Table5[[#This Row],[Shortname]], Comp[], 29, FALSE)</f>
        <v>0</v>
      </c>
      <c r="AG484">
        <f>VLOOKUP(Table5[[#This Row],[Shortname]], Comp[], 30, FALSE)</f>
        <v>0</v>
      </c>
      <c r="AH484">
        <f>VLOOKUP(Table5[[#This Row],[Shortname]], Comp[], 31, FALSE)</f>
        <v>0</v>
      </c>
    </row>
    <row r="485" spans="1:34" x14ac:dyDescent="0.3">
      <c r="A485" s="7" t="s">
        <v>4286</v>
      </c>
      <c r="B485">
        <v>500</v>
      </c>
      <c r="C485" s="7" t="str">
        <f>VLOOKUP(Table5[[#This Row],[Shortname]], [1]!comp[#Data], 2, FALSE)</f>
        <v>CoAlWX+</v>
      </c>
      <c r="D485" s="7" t="s">
        <v>4288</v>
      </c>
      <c r="E485" t="s">
        <v>6634</v>
      </c>
      <c r="F485">
        <v>975</v>
      </c>
      <c r="G485">
        <v>1422</v>
      </c>
      <c r="H485">
        <v>1455</v>
      </c>
      <c r="J485" s="14">
        <f>VLOOKUP(Table5[[#This Row],[Shortname]], Comp[], 7, FALSE)</f>
        <v>56.41</v>
      </c>
      <c r="K485">
        <f>VLOOKUP(Table5[[#This Row],[Shortname]], Comp[], 8, FALSE)</f>
        <v>18.75</v>
      </c>
      <c r="L485">
        <f>VLOOKUP(Table5[[#This Row],[Shortname]], Comp[], 9, FALSE)</f>
        <v>9.1999999999999993</v>
      </c>
      <c r="M485">
        <f>VLOOKUP(Table5[[#This Row],[Shortname]], Comp[], 10, FALSE)</f>
        <v>8</v>
      </c>
      <c r="N485">
        <f>VLOOKUP(Table5[[#This Row],[Shortname]], Comp[], 11, FALSE)</f>
        <v>7.6</v>
      </c>
      <c r="O485">
        <f>VLOOKUP(Table5[[#This Row],[Shortname]], Comp[],12, FALSE)</f>
        <v>0</v>
      </c>
      <c r="P485">
        <f>VLOOKUP(Table5[[#This Row],[Shortname]], Comp[], 13, FALSE)</f>
        <v>0</v>
      </c>
      <c r="Q485">
        <f>VLOOKUP(Table5[[#This Row],[Shortname]], Comp[], 14, FALSE)</f>
        <v>0</v>
      </c>
      <c r="R485">
        <f>VLOOKUP(Table5[[#This Row],[Shortname]], Comp[], 15, FALSE)</f>
        <v>0</v>
      </c>
      <c r="S485">
        <f>VLOOKUP(Table5[[#This Row],[Shortname]], Comp[], 16, FALSE)</f>
        <v>0</v>
      </c>
      <c r="T485">
        <f>VLOOKUP(Table5[[#This Row],[Shortname]], Comp[], 17, FALSE)</f>
        <v>0</v>
      </c>
      <c r="U485">
        <f>VLOOKUP(Table5[[#This Row],[Shortname]], Comp[], 18, FALSE)</f>
        <v>0</v>
      </c>
      <c r="V485">
        <f>VLOOKUP(Table5[[#This Row],[Shortname]], Comp[], 19, FALSE)</f>
        <v>0.04</v>
      </c>
      <c r="W485">
        <f>VLOOKUP(Table5[[#This Row],[Shortname]], Comp[], 20, FALSE)</f>
        <v>0</v>
      </c>
      <c r="X485">
        <f>VLOOKUP(Table5[[#This Row],[Shortname]], Comp[], 21, FALSE)</f>
        <v>0</v>
      </c>
      <c r="Y485">
        <f>VLOOKUP(Table5[[#This Row],[Shortname]], Comp[], 22, FALSE)</f>
        <v>0</v>
      </c>
      <c r="Z485">
        <f>VLOOKUP(Table5[[#This Row],[Shortname]], Comp[], 23, FALSE)</f>
        <v>0</v>
      </c>
      <c r="AA485">
        <f>VLOOKUP(Table5[[#This Row],[Shortname]], Comp[], 24, FALSE)</f>
        <v>0</v>
      </c>
      <c r="AB485">
        <f>VLOOKUP(Table5[[#This Row],[Shortname]], Comp[], 25, FALSE)</f>
        <v>0</v>
      </c>
      <c r="AC485">
        <f>VLOOKUP(Table5[[#This Row],[Shortname]], Comp[], 26, FALSE)</f>
        <v>0</v>
      </c>
      <c r="AD485">
        <f>VLOOKUP(Table5[[#This Row],[Shortname]], Comp[], 27, FALSE)</f>
        <v>0</v>
      </c>
      <c r="AE485">
        <f>VLOOKUP(Table5[[#This Row],[Shortname]], Comp[], 28, FALSE)</f>
        <v>0</v>
      </c>
      <c r="AF485">
        <f>VLOOKUP(Table5[[#This Row],[Shortname]], Comp[], 29, FALSE)</f>
        <v>0</v>
      </c>
      <c r="AG485">
        <f>VLOOKUP(Table5[[#This Row],[Shortname]], Comp[], 30, FALSE)</f>
        <v>0</v>
      </c>
      <c r="AH485">
        <f>VLOOKUP(Table5[[#This Row],[Shortname]], Comp[], 31, FALSE)</f>
        <v>0</v>
      </c>
    </row>
    <row r="486" spans="1:34" x14ac:dyDescent="0.3">
      <c r="A486" s="7" t="s">
        <v>4275</v>
      </c>
      <c r="B486">
        <v>501</v>
      </c>
      <c r="C486" s="7" t="str">
        <f>VLOOKUP(Table5[[#This Row],[Shortname]], [1]!comp[#Data], 2, FALSE)</f>
        <v>CoAlW-X</v>
      </c>
      <c r="D486" s="7" t="s">
        <v>4276</v>
      </c>
      <c r="E486" t="s">
        <v>6634</v>
      </c>
      <c r="F486">
        <v>958</v>
      </c>
      <c r="G486">
        <v>1447</v>
      </c>
      <c r="H486">
        <v>1477</v>
      </c>
      <c r="J486" s="14">
        <f>VLOOKUP(Table5[[#This Row],[Shortname]], Comp[], 7, FALSE)</f>
        <v>83.03</v>
      </c>
      <c r="K486">
        <f>VLOOKUP(Table5[[#This Row],[Shortname]], Comp[], 8, FALSE)</f>
        <v>0</v>
      </c>
      <c r="L486">
        <f>VLOOKUP(Table5[[#This Row],[Shortname]], Comp[], 9, FALSE)</f>
        <v>9.4</v>
      </c>
      <c r="M486">
        <f>VLOOKUP(Table5[[#This Row],[Shortname]], Comp[], 10, FALSE)</f>
        <v>0</v>
      </c>
      <c r="N486">
        <f>VLOOKUP(Table5[[#This Row],[Shortname]], Comp[], 11, FALSE)</f>
        <v>7.53</v>
      </c>
      <c r="O486">
        <f>VLOOKUP(Table5[[#This Row],[Shortname]], Comp[],12, FALSE)</f>
        <v>0</v>
      </c>
      <c r="P486">
        <f>VLOOKUP(Table5[[#This Row],[Shortname]], Comp[], 13, FALSE)</f>
        <v>0</v>
      </c>
      <c r="Q486">
        <f>VLOOKUP(Table5[[#This Row],[Shortname]], Comp[], 14, FALSE)</f>
        <v>0</v>
      </c>
      <c r="R486">
        <f>VLOOKUP(Table5[[#This Row],[Shortname]], Comp[], 15, FALSE)</f>
        <v>0</v>
      </c>
      <c r="S486">
        <f>VLOOKUP(Table5[[#This Row],[Shortname]], Comp[], 16, FALSE)</f>
        <v>0</v>
      </c>
      <c r="T486">
        <f>VLOOKUP(Table5[[#This Row],[Shortname]], Comp[], 17, FALSE)</f>
        <v>0</v>
      </c>
      <c r="U486">
        <f>VLOOKUP(Table5[[#This Row],[Shortname]], Comp[], 18, FALSE)</f>
        <v>0</v>
      </c>
      <c r="V486">
        <f>VLOOKUP(Table5[[#This Row],[Shortname]], Comp[], 19, FALSE)</f>
        <v>0.04</v>
      </c>
      <c r="W486">
        <f>VLOOKUP(Table5[[#This Row],[Shortname]], Comp[], 20, FALSE)</f>
        <v>0</v>
      </c>
      <c r="X486">
        <f>VLOOKUP(Table5[[#This Row],[Shortname]], Comp[], 21, FALSE)</f>
        <v>0</v>
      </c>
      <c r="Y486">
        <f>VLOOKUP(Table5[[#This Row],[Shortname]], Comp[], 22, FALSE)</f>
        <v>0</v>
      </c>
      <c r="Z486">
        <f>VLOOKUP(Table5[[#This Row],[Shortname]], Comp[], 23, FALSE)</f>
        <v>0</v>
      </c>
      <c r="AA486">
        <f>VLOOKUP(Table5[[#This Row],[Shortname]], Comp[], 24, FALSE)</f>
        <v>0</v>
      </c>
      <c r="AB486">
        <f>VLOOKUP(Table5[[#This Row],[Shortname]], Comp[], 25, FALSE)</f>
        <v>0</v>
      </c>
      <c r="AC486">
        <f>VLOOKUP(Table5[[#This Row],[Shortname]], Comp[], 26, FALSE)</f>
        <v>0</v>
      </c>
      <c r="AD486">
        <f>VLOOKUP(Table5[[#This Row],[Shortname]], Comp[], 27, FALSE)</f>
        <v>0</v>
      </c>
      <c r="AE486">
        <f>VLOOKUP(Table5[[#This Row],[Shortname]], Comp[], 28, FALSE)</f>
        <v>0</v>
      </c>
      <c r="AF486">
        <f>VLOOKUP(Table5[[#This Row],[Shortname]], Comp[], 29, FALSE)</f>
        <v>0</v>
      </c>
      <c r="AG486">
        <f>VLOOKUP(Table5[[#This Row],[Shortname]], Comp[], 30, FALSE)</f>
        <v>0</v>
      </c>
      <c r="AH486">
        <f>VLOOKUP(Table5[[#This Row],[Shortname]], Comp[], 31, FALSE)</f>
        <v>0</v>
      </c>
    </row>
    <row r="487" spans="1:34" x14ac:dyDescent="0.3">
      <c r="A487" s="7" t="s">
        <v>4292</v>
      </c>
      <c r="B487">
        <v>502</v>
      </c>
      <c r="C487" s="7" t="str">
        <f>VLOOKUP(Table5[[#This Row],[Shortname]], [1]!comp[#Data], 2, FALSE)</f>
        <v>CoAlW-X</v>
      </c>
      <c r="D487" s="7" t="s">
        <v>4294</v>
      </c>
      <c r="E487" t="s">
        <v>6634</v>
      </c>
      <c r="F487">
        <v>950</v>
      </c>
      <c r="G487">
        <v>1412</v>
      </c>
      <c r="H487">
        <v>1452</v>
      </c>
      <c r="J487" s="14">
        <f>VLOOKUP(Table5[[#This Row],[Shortname]], Comp[], 7, FALSE)</f>
        <v>75.36</v>
      </c>
      <c r="K487">
        <f>VLOOKUP(Table5[[#This Row],[Shortname]], Comp[], 8, FALSE)</f>
        <v>0</v>
      </c>
      <c r="L487">
        <f>VLOOKUP(Table5[[#This Row],[Shortname]], Comp[], 9, FALSE)</f>
        <v>8.6999999999999993</v>
      </c>
      <c r="M487">
        <f>VLOOKUP(Table5[[#This Row],[Shortname]], Comp[], 10, FALSE)</f>
        <v>8</v>
      </c>
      <c r="N487">
        <f>VLOOKUP(Table5[[#This Row],[Shortname]], Comp[], 11, FALSE)</f>
        <v>7.9</v>
      </c>
      <c r="O487">
        <f>VLOOKUP(Table5[[#This Row],[Shortname]], Comp[],12, FALSE)</f>
        <v>0</v>
      </c>
      <c r="P487">
        <f>VLOOKUP(Table5[[#This Row],[Shortname]], Comp[], 13, FALSE)</f>
        <v>0</v>
      </c>
      <c r="Q487">
        <f>VLOOKUP(Table5[[#This Row],[Shortname]], Comp[], 14, FALSE)</f>
        <v>0</v>
      </c>
      <c r="R487">
        <f>VLOOKUP(Table5[[#This Row],[Shortname]], Comp[], 15, FALSE)</f>
        <v>0</v>
      </c>
      <c r="S487">
        <f>VLOOKUP(Table5[[#This Row],[Shortname]], Comp[], 16, FALSE)</f>
        <v>0</v>
      </c>
      <c r="T487">
        <f>VLOOKUP(Table5[[#This Row],[Shortname]], Comp[], 17, FALSE)</f>
        <v>0</v>
      </c>
      <c r="U487">
        <f>VLOOKUP(Table5[[#This Row],[Shortname]], Comp[], 18, FALSE)</f>
        <v>0</v>
      </c>
      <c r="V487">
        <f>VLOOKUP(Table5[[#This Row],[Shortname]], Comp[], 19, FALSE)</f>
        <v>0.04</v>
      </c>
      <c r="W487">
        <f>VLOOKUP(Table5[[#This Row],[Shortname]], Comp[], 20, FALSE)</f>
        <v>0</v>
      </c>
      <c r="X487">
        <f>VLOOKUP(Table5[[#This Row],[Shortname]], Comp[], 21, FALSE)</f>
        <v>0</v>
      </c>
      <c r="Y487">
        <f>VLOOKUP(Table5[[#This Row],[Shortname]], Comp[], 22, FALSE)</f>
        <v>0</v>
      </c>
      <c r="Z487">
        <f>VLOOKUP(Table5[[#This Row],[Shortname]], Comp[], 23, FALSE)</f>
        <v>0</v>
      </c>
      <c r="AA487">
        <f>VLOOKUP(Table5[[#This Row],[Shortname]], Comp[], 24, FALSE)</f>
        <v>0</v>
      </c>
      <c r="AB487">
        <f>VLOOKUP(Table5[[#This Row],[Shortname]], Comp[], 25, FALSE)</f>
        <v>0</v>
      </c>
      <c r="AC487">
        <f>VLOOKUP(Table5[[#This Row],[Shortname]], Comp[], 26, FALSE)</f>
        <v>0</v>
      </c>
      <c r="AD487">
        <f>VLOOKUP(Table5[[#This Row],[Shortname]], Comp[], 27, FALSE)</f>
        <v>0</v>
      </c>
      <c r="AE487">
        <f>VLOOKUP(Table5[[#This Row],[Shortname]], Comp[], 28, FALSE)</f>
        <v>0</v>
      </c>
      <c r="AF487">
        <f>VLOOKUP(Table5[[#This Row],[Shortname]], Comp[], 29, FALSE)</f>
        <v>0</v>
      </c>
      <c r="AG487">
        <f>VLOOKUP(Table5[[#This Row],[Shortname]], Comp[], 30, FALSE)</f>
        <v>0</v>
      </c>
      <c r="AH487">
        <f>VLOOKUP(Table5[[#This Row],[Shortname]], Comp[], 31, FALSE)</f>
        <v>0</v>
      </c>
    </row>
    <row r="488" spans="1:34" x14ac:dyDescent="0.3">
      <c r="A488" s="7" t="s">
        <v>4318</v>
      </c>
      <c r="B488">
        <v>504</v>
      </c>
      <c r="C488" s="7" t="str">
        <f>VLOOKUP(Table5[[#This Row],[Shortname]], [1]!comp[#Data], 2, FALSE)</f>
        <v>Co3Ti</v>
      </c>
      <c r="D488" s="26" t="s">
        <v>4320</v>
      </c>
      <c r="E488" s="27" t="s">
        <v>6635</v>
      </c>
      <c r="F488">
        <v>1037</v>
      </c>
      <c r="G488">
        <v>1274</v>
      </c>
      <c r="H488">
        <v>1357</v>
      </c>
      <c r="J488" s="14">
        <f>VLOOKUP(Table5[[#This Row],[Shortname]], Comp[], 7, FALSE)</f>
        <v>87</v>
      </c>
      <c r="K488">
        <f>VLOOKUP(Table5[[#This Row],[Shortname]], Comp[], 8, FALSE)</f>
        <v>0</v>
      </c>
      <c r="L488">
        <f>VLOOKUP(Table5[[#This Row],[Shortname]], Comp[], 9, FALSE)</f>
        <v>1.4</v>
      </c>
      <c r="M488">
        <f>VLOOKUP(Table5[[#This Row],[Shortname]], Comp[], 10, FALSE)</f>
        <v>0</v>
      </c>
      <c r="N488">
        <f>VLOOKUP(Table5[[#This Row],[Shortname]], Comp[], 11, FALSE)</f>
        <v>1.3</v>
      </c>
      <c r="O488">
        <f>VLOOKUP(Table5[[#This Row],[Shortname]], Comp[],12, FALSE)</f>
        <v>10.3</v>
      </c>
      <c r="P488">
        <f>VLOOKUP(Table5[[#This Row],[Shortname]], Comp[], 13, FALSE)</f>
        <v>0</v>
      </c>
      <c r="Q488">
        <f>VLOOKUP(Table5[[#This Row],[Shortname]], Comp[], 14, FALSE)</f>
        <v>0</v>
      </c>
      <c r="R488">
        <f>VLOOKUP(Table5[[#This Row],[Shortname]], Comp[], 15, FALSE)</f>
        <v>0</v>
      </c>
      <c r="S488">
        <f>VLOOKUP(Table5[[#This Row],[Shortname]], Comp[], 16, FALSE)</f>
        <v>0</v>
      </c>
      <c r="T488">
        <f>VLOOKUP(Table5[[#This Row],[Shortname]], Comp[], 17, FALSE)</f>
        <v>0</v>
      </c>
      <c r="U488">
        <f>VLOOKUP(Table5[[#This Row],[Shortname]], Comp[], 18, FALSE)</f>
        <v>0</v>
      </c>
      <c r="V488">
        <f>VLOOKUP(Table5[[#This Row],[Shortname]], Comp[], 19, FALSE)</f>
        <v>0</v>
      </c>
      <c r="W488">
        <f>VLOOKUP(Table5[[#This Row],[Shortname]], Comp[], 20, FALSE)</f>
        <v>0</v>
      </c>
      <c r="X488">
        <f>VLOOKUP(Table5[[#This Row],[Shortname]], Comp[], 21, FALSE)</f>
        <v>0</v>
      </c>
      <c r="Y488">
        <f>VLOOKUP(Table5[[#This Row],[Shortname]], Comp[], 22, FALSE)</f>
        <v>0</v>
      </c>
      <c r="Z488">
        <f>VLOOKUP(Table5[[#This Row],[Shortname]], Comp[], 23, FALSE)</f>
        <v>0</v>
      </c>
      <c r="AA488">
        <f>VLOOKUP(Table5[[#This Row],[Shortname]], Comp[], 24, FALSE)</f>
        <v>0</v>
      </c>
      <c r="AB488">
        <f>VLOOKUP(Table5[[#This Row],[Shortname]], Comp[], 25, FALSE)</f>
        <v>0</v>
      </c>
      <c r="AC488">
        <f>VLOOKUP(Table5[[#This Row],[Shortname]], Comp[], 26, FALSE)</f>
        <v>0</v>
      </c>
      <c r="AD488">
        <f>VLOOKUP(Table5[[#This Row],[Shortname]], Comp[], 27, FALSE)</f>
        <v>0</v>
      </c>
      <c r="AE488">
        <f>VLOOKUP(Table5[[#This Row],[Shortname]], Comp[], 28, FALSE)</f>
        <v>0</v>
      </c>
      <c r="AF488">
        <f>VLOOKUP(Table5[[#This Row],[Shortname]], Comp[], 29, FALSE)</f>
        <v>0</v>
      </c>
      <c r="AG488">
        <f>VLOOKUP(Table5[[#This Row],[Shortname]], Comp[], 30, FALSE)</f>
        <v>0</v>
      </c>
      <c r="AH488">
        <f>VLOOKUP(Table5[[#This Row],[Shortname]], Comp[], 31, FALSE)</f>
        <v>0</v>
      </c>
    </row>
    <row r="489" spans="1:34" x14ac:dyDescent="0.3">
      <c r="A489" s="7" t="s">
        <v>4333</v>
      </c>
      <c r="B489">
        <v>505</v>
      </c>
      <c r="C489" s="7" t="str">
        <f>VLOOKUP(Table5[[#This Row],[Shortname]], [1]!comp[#Data], 2, FALSE)</f>
        <v>Co3Ti</v>
      </c>
      <c r="D489" s="26" t="s">
        <v>4334</v>
      </c>
      <c r="E489" s="27" t="s">
        <v>6635</v>
      </c>
      <c r="F489">
        <v>1035</v>
      </c>
      <c r="G489">
        <v>1276</v>
      </c>
      <c r="H489">
        <v>1383</v>
      </c>
      <c r="J489" s="14">
        <f>VLOOKUP(Table5[[#This Row],[Shortname]], Comp[], 7, FALSE)</f>
        <v>86.2</v>
      </c>
      <c r="K489">
        <f>VLOOKUP(Table5[[#This Row],[Shortname]], Comp[], 8, FALSE)</f>
        <v>0</v>
      </c>
      <c r="L489">
        <f>VLOOKUP(Table5[[#This Row],[Shortname]], Comp[], 9, FALSE)</f>
        <v>2.8</v>
      </c>
      <c r="M489">
        <f>VLOOKUP(Table5[[#This Row],[Shortname]], Comp[], 10, FALSE)</f>
        <v>0</v>
      </c>
      <c r="N489">
        <f>VLOOKUP(Table5[[#This Row],[Shortname]], Comp[], 11, FALSE)</f>
        <v>2.5</v>
      </c>
      <c r="O489">
        <f>VLOOKUP(Table5[[#This Row],[Shortname]], Comp[],12, FALSE)</f>
        <v>8.5</v>
      </c>
      <c r="P489">
        <f>VLOOKUP(Table5[[#This Row],[Shortname]], Comp[], 13, FALSE)</f>
        <v>0</v>
      </c>
      <c r="Q489">
        <f>VLOOKUP(Table5[[#This Row],[Shortname]], Comp[], 14, FALSE)</f>
        <v>0</v>
      </c>
      <c r="R489">
        <f>VLOOKUP(Table5[[#This Row],[Shortname]], Comp[], 15, FALSE)</f>
        <v>0</v>
      </c>
      <c r="S489">
        <f>VLOOKUP(Table5[[#This Row],[Shortname]], Comp[], 16, FALSE)</f>
        <v>0</v>
      </c>
      <c r="T489">
        <f>VLOOKUP(Table5[[#This Row],[Shortname]], Comp[], 17, FALSE)</f>
        <v>0</v>
      </c>
      <c r="U489">
        <f>VLOOKUP(Table5[[#This Row],[Shortname]], Comp[], 18, FALSE)</f>
        <v>0</v>
      </c>
      <c r="V489">
        <f>VLOOKUP(Table5[[#This Row],[Shortname]], Comp[], 19, FALSE)</f>
        <v>0</v>
      </c>
      <c r="W489">
        <f>VLOOKUP(Table5[[#This Row],[Shortname]], Comp[], 20, FALSE)</f>
        <v>0</v>
      </c>
      <c r="X489">
        <f>VLOOKUP(Table5[[#This Row],[Shortname]], Comp[], 21, FALSE)</f>
        <v>0</v>
      </c>
      <c r="Y489">
        <f>VLOOKUP(Table5[[#This Row],[Shortname]], Comp[], 22, FALSE)</f>
        <v>0</v>
      </c>
      <c r="Z489">
        <f>VLOOKUP(Table5[[#This Row],[Shortname]], Comp[], 23, FALSE)</f>
        <v>0</v>
      </c>
      <c r="AA489">
        <f>VLOOKUP(Table5[[#This Row],[Shortname]], Comp[], 24, FALSE)</f>
        <v>0</v>
      </c>
      <c r="AB489">
        <f>VLOOKUP(Table5[[#This Row],[Shortname]], Comp[], 25, FALSE)</f>
        <v>0</v>
      </c>
      <c r="AC489">
        <f>VLOOKUP(Table5[[#This Row],[Shortname]], Comp[], 26, FALSE)</f>
        <v>0</v>
      </c>
      <c r="AD489">
        <f>VLOOKUP(Table5[[#This Row],[Shortname]], Comp[], 27, FALSE)</f>
        <v>0</v>
      </c>
      <c r="AE489">
        <f>VLOOKUP(Table5[[#This Row],[Shortname]], Comp[], 28, FALSE)</f>
        <v>0</v>
      </c>
      <c r="AF489">
        <f>VLOOKUP(Table5[[#This Row],[Shortname]], Comp[], 29, FALSE)</f>
        <v>0</v>
      </c>
      <c r="AG489">
        <f>VLOOKUP(Table5[[#This Row],[Shortname]], Comp[], 30, FALSE)</f>
        <v>0</v>
      </c>
      <c r="AH489">
        <f>VLOOKUP(Table5[[#This Row],[Shortname]], Comp[], 31, FALSE)</f>
        <v>0</v>
      </c>
    </row>
    <row r="490" spans="1:34" x14ac:dyDescent="0.3">
      <c r="A490" s="7" t="s">
        <v>4347</v>
      </c>
      <c r="B490">
        <v>506</v>
      </c>
      <c r="C490" s="7" t="str">
        <f>VLOOKUP(Table5[[#This Row],[Shortname]], [1]!comp[#Data], 2, FALSE)</f>
        <v>CoAlW-X</v>
      </c>
      <c r="D490" s="26" t="s">
        <v>4349</v>
      </c>
      <c r="E490" s="27" t="s">
        <v>6635</v>
      </c>
      <c r="F490">
        <v>1032</v>
      </c>
      <c r="G490">
        <v>1322</v>
      </c>
      <c r="H490">
        <v>1414</v>
      </c>
      <c r="J490" s="14">
        <f>VLOOKUP(Table5[[#This Row],[Shortname]], Comp[], 7, FALSE)</f>
        <v>85.3</v>
      </c>
      <c r="K490">
        <f>VLOOKUP(Table5[[#This Row],[Shortname]], Comp[], 8, FALSE)</f>
        <v>0</v>
      </c>
      <c r="L490">
        <f>VLOOKUP(Table5[[#This Row],[Shortname]], Comp[], 9, FALSE)</f>
        <v>4.5</v>
      </c>
      <c r="M490">
        <f>VLOOKUP(Table5[[#This Row],[Shortname]], Comp[], 10, FALSE)</f>
        <v>0</v>
      </c>
      <c r="N490">
        <f>VLOOKUP(Table5[[#This Row],[Shortname]], Comp[], 11, FALSE)</f>
        <v>4.0999999999999996</v>
      </c>
      <c r="O490">
        <f>VLOOKUP(Table5[[#This Row],[Shortname]], Comp[],12, FALSE)</f>
        <v>6.1</v>
      </c>
      <c r="P490">
        <f>VLOOKUP(Table5[[#This Row],[Shortname]], Comp[], 13, FALSE)</f>
        <v>0</v>
      </c>
      <c r="Q490">
        <f>VLOOKUP(Table5[[#This Row],[Shortname]], Comp[], 14, FALSE)</f>
        <v>0</v>
      </c>
      <c r="R490">
        <f>VLOOKUP(Table5[[#This Row],[Shortname]], Comp[], 15, FALSE)</f>
        <v>0</v>
      </c>
      <c r="S490">
        <f>VLOOKUP(Table5[[#This Row],[Shortname]], Comp[], 16, FALSE)</f>
        <v>0</v>
      </c>
      <c r="T490">
        <f>VLOOKUP(Table5[[#This Row],[Shortname]], Comp[], 17, FALSE)</f>
        <v>0</v>
      </c>
      <c r="U490">
        <f>VLOOKUP(Table5[[#This Row],[Shortname]], Comp[], 18, FALSE)</f>
        <v>0</v>
      </c>
      <c r="V490">
        <f>VLOOKUP(Table5[[#This Row],[Shortname]], Comp[], 19, FALSE)</f>
        <v>0</v>
      </c>
      <c r="W490">
        <f>VLOOKUP(Table5[[#This Row],[Shortname]], Comp[], 20, FALSE)</f>
        <v>0</v>
      </c>
      <c r="X490">
        <f>VLOOKUP(Table5[[#This Row],[Shortname]], Comp[], 21, FALSE)</f>
        <v>0</v>
      </c>
      <c r="Y490">
        <f>VLOOKUP(Table5[[#This Row],[Shortname]], Comp[], 22, FALSE)</f>
        <v>0</v>
      </c>
      <c r="Z490">
        <f>VLOOKUP(Table5[[#This Row],[Shortname]], Comp[], 23, FALSE)</f>
        <v>0</v>
      </c>
      <c r="AA490">
        <f>VLOOKUP(Table5[[#This Row],[Shortname]], Comp[], 24, FALSE)</f>
        <v>0</v>
      </c>
      <c r="AB490">
        <f>VLOOKUP(Table5[[#This Row],[Shortname]], Comp[], 25, FALSE)</f>
        <v>0</v>
      </c>
      <c r="AC490">
        <f>VLOOKUP(Table5[[#This Row],[Shortname]], Comp[], 26, FALSE)</f>
        <v>0</v>
      </c>
      <c r="AD490">
        <f>VLOOKUP(Table5[[#This Row],[Shortname]], Comp[], 27, FALSE)</f>
        <v>0</v>
      </c>
      <c r="AE490">
        <f>VLOOKUP(Table5[[#This Row],[Shortname]], Comp[], 28, FALSE)</f>
        <v>0</v>
      </c>
      <c r="AF490">
        <f>VLOOKUP(Table5[[#This Row],[Shortname]], Comp[], 29, FALSE)</f>
        <v>0</v>
      </c>
      <c r="AG490">
        <f>VLOOKUP(Table5[[#This Row],[Shortname]], Comp[], 30, FALSE)</f>
        <v>0</v>
      </c>
      <c r="AH490">
        <f>VLOOKUP(Table5[[#This Row],[Shortname]], Comp[], 31, FALSE)</f>
        <v>0</v>
      </c>
    </row>
    <row r="491" spans="1:34" x14ac:dyDescent="0.3">
      <c r="A491" s="7" t="s">
        <v>4359</v>
      </c>
      <c r="B491">
        <v>507</v>
      </c>
      <c r="C491" s="7" t="str">
        <f>VLOOKUP(Table5[[#This Row],[Shortname]], [1]!comp[#Data], 2, FALSE)</f>
        <v>CoAlWX+</v>
      </c>
      <c r="D491" s="26" t="s">
        <v>4361</v>
      </c>
      <c r="E491" s="27" t="s">
        <v>6635</v>
      </c>
      <c r="F491">
        <v>1017</v>
      </c>
      <c r="G491">
        <v>1365</v>
      </c>
      <c r="H491">
        <v>1435</v>
      </c>
      <c r="J491" s="14">
        <f>VLOOKUP(Table5[[#This Row],[Shortname]], Comp[], 7, FALSE)</f>
        <v>83.2</v>
      </c>
      <c r="K491">
        <f>VLOOKUP(Table5[[#This Row],[Shortname]], Comp[], 8, FALSE)</f>
        <v>0</v>
      </c>
      <c r="L491">
        <f>VLOOKUP(Table5[[#This Row],[Shortname]], Comp[], 9, FALSE)</f>
        <v>7</v>
      </c>
      <c r="M491">
        <f>VLOOKUP(Table5[[#This Row],[Shortname]], Comp[], 10, FALSE)</f>
        <v>0</v>
      </c>
      <c r="N491">
        <f>VLOOKUP(Table5[[#This Row],[Shortname]], Comp[], 11, FALSE)</f>
        <v>6.1</v>
      </c>
      <c r="O491">
        <f>VLOOKUP(Table5[[#This Row],[Shortname]], Comp[],12, FALSE)</f>
        <v>3.7</v>
      </c>
      <c r="P491">
        <f>VLOOKUP(Table5[[#This Row],[Shortname]], Comp[], 13, FALSE)</f>
        <v>0</v>
      </c>
      <c r="Q491">
        <f>VLOOKUP(Table5[[#This Row],[Shortname]], Comp[], 14, FALSE)</f>
        <v>0</v>
      </c>
      <c r="R491">
        <f>VLOOKUP(Table5[[#This Row],[Shortname]], Comp[], 15, FALSE)</f>
        <v>0</v>
      </c>
      <c r="S491">
        <f>VLOOKUP(Table5[[#This Row],[Shortname]], Comp[], 16, FALSE)</f>
        <v>0</v>
      </c>
      <c r="T491">
        <f>VLOOKUP(Table5[[#This Row],[Shortname]], Comp[], 17, FALSE)</f>
        <v>0</v>
      </c>
      <c r="U491">
        <f>VLOOKUP(Table5[[#This Row],[Shortname]], Comp[], 18, FALSE)</f>
        <v>0</v>
      </c>
      <c r="V491">
        <f>VLOOKUP(Table5[[#This Row],[Shortname]], Comp[], 19, FALSE)</f>
        <v>0</v>
      </c>
      <c r="W491">
        <f>VLOOKUP(Table5[[#This Row],[Shortname]], Comp[], 20, FALSE)</f>
        <v>0</v>
      </c>
      <c r="X491">
        <f>VLOOKUP(Table5[[#This Row],[Shortname]], Comp[], 21, FALSE)</f>
        <v>0</v>
      </c>
      <c r="Y491">
        <f>VLOOKUP(Table5[[#This Row],[Shortname]], Comp[], 22, FALSE)</f>
        <v>0</v>
      </c>
      <c r="Z491">
        <f>VLOOKUP(Table5[[#This Row],[Shortname]], Comp[], 23, FALSE)</f>
        <v>0</v>
      </c>
      <c r="AA491">
        <f>VLOOKUP(Table5[[#This Row],[Shortname]], Comp[], 24, FALSE)</f>
        <v>0</v>
      </c>
      <c r="AB491">
        <f>VLOOKUP(Table5[[#This Row],[Shortname]], Comp[], 25, FALSE)</f>
        <v>0</v>
      </c>
      <c r="AC491">
        <f>VLOOKUP(Table5[[#This Row],[Shortname]], Comp[], 26, FALSE)</f>
        <v>0</v>
      </c>
      <c r="AD491">
        <f>VLOOKUP(Table5[[#This Row],[Shortname]], Comp[], 27, FALSE)</f>
        <v>0</v>
      </c>
      <c r="AE491">
        <f>VLOOKUP(Table5[[#This Row],[Shortname]], Comp[], 28, FALSE)</f>
        <v>0</v>
      </c>
      <c r="AF491">
        <f>VLOOKUP(Table5[[#This Row],[Shortname]], Comp[], 29, FALSE)</f>
        <v>0</v>
      </c>
      <c r="AG491">
        <f>VLOOKUP(Table5[[#This Row],[Shortname]], Comp[], 30, FALSE)</f>
        <v>0</v>
      </c>
      <c r="AH491">
        <f>VLOOKUP(Table5[[#This Row],[Shortname]], Comp[], 31, FALSE)</f>
        <v>0</v>
      </c>
    </row>
    <row r="492" spans="1:34" x14ac:dyDescent="0.3">
      <c r="A492" s="7" t="s">
        <v>4372</v>
      </c>
      <c r="B492">
        <v>508</v>
      </c>
      <c r="C492" s="7" t="str">
        <f>VLOOKUP(Table5[[#This Row],[Shortname]], [1]!comp[#Data], 2, FALSE)</f>
        <v>CoAlWX+</v>
      </c>
      <c r="D492" s="26" t="s">
        <v>4374</v>
      </c>
      <c r="E492" s="27" t="s">
        <v>6635</v>
      </c>
      <c r="F492">
        <v>1009</v>
      </c>
      <c r="G492">
        <v>1397</v>
      </c>
      <c r="H492">
        <v>1458</v>
      </c>
      <c r="J492" s="14">
        <f>VLOOKUP(Table5[[#This Row],[Shortname]], Comp[], 7, FALSE)</f>
        <v>82.2</v>
      </c>
      <c r="K492">
        <f>VLOOKUP(Table5[[#This Row],[Shortname]], Comp[], 8, FALSE)</f>
        <v>0</v>
      </c>
      <c r="L492">
        <f>VLOOKUP(Table5[[#This Row],[Shortname]], Comp[], 9, FALSE)</f>
        <v>8.4</v>
      </c>
      <c r="M492">
        <f>VLOOKUP(Table5[[#This Row],[Shortname]], Comp[], 10, FALSE)</f>
        <v>0</v>
      </c>
      <c r="N492">
        <f>VLOOKUP(Table5[[#This Row],[Shortname]], Comp[], 11, FALSE)</f>
        <v>7.5</v>
      </c>
      <c r="O492">
        <f>VLOOKUP(Table5[[#This Row],[Shortname]], Comp[],12, FALSE)</f>
        <v>1.9</v>
      </c>
      <c r="P492">
        <f>VLOOKUP(Table5[[#This Row],[Shortname]], Comp[], 13, FALSE)</f>
        <v>0</v>
      </c>
      <c r="Q492">
        <f>VLOOKUP(Table5[[#This Row],[Shortname]], Comp[], 14, FALSE)</f>
        <v>0</v>
      </c>
      <c r="R492">
        <f>VLOOKUP(Table5[[#This Row],[Shortname]], Comp[], 15, FALSE)</f>
        <v>0</v>
      </c>
      <c r="S492">
        <f>VLOOKUP(Table5[[#This Row],[Shortname]], Comp[], 16, FALSE)</f>
        <v>0</v>
      </c>
      <c r="T492">
        <f>VLOOKUP(Table5[[#This Row],[Shortname]], Comp[], 17, FALSE)</f>
        <v>0</v>
      </c>
      <c r="U492">
        <f>VLOOKUP(Table5[[#This Row],[Shortname]], Comp[], 18, FALSE)</f>
        <v>0</v>
      </c>
      <c r="V492">
        <f>VLOOKUP(Table5[[#This Row],[Shortname]], Comp[], 19, FALSE)</f>
        <v>0</v>
      </c>
      <c r="W492">
        <f>VLOOKUP(Table5[[#This Row],[Shortname]], Comp[], 20, FALSE)</f>
        <v>0</v>
      </c>
      <c r="X492">
        <f>VLOOKUP(Table5[[#This Row],[Shortname]], Comp[], 21, FALSE)</f>
        <v>0</v>
      </c>
      <c r="Y492">
        <f>VLOOKUP(Table5[[#This Row],[Shortname]], Comp[], 22, FALSE)</f>
        <v>0</v>
      </c>
      <c r="Z492">
        <f>VLOOKUP(Table5[[#This Row],[Shortname]], Comp[], 23, FALSE)</f>
        <v>0</v>
      </c>
      <c r="AA492">
        <f>VLOOKUP(Table5[[#This Row],[Shortname]], Comp[], 24, FALSE)</f>
        <v>0</v>
      </c>
      <c r="AB492">
        <f>VLOOKUP(Table5[[#This Row],[Shortname]], Comp[], 25, FALSE)</f>
        <v>0</v>
      </c>
      <c r="AC492">
        <f>VLOOKUP(Table5[[#This Row],[Shortname]], Comp[], 26, FALSE)</f>
        <v>0</v>
      </c>
      <c r="AD492">
        <f>VLOOKUP(Table5[[#This Row],[Shortname]], Comp[], 27, FALSE)</f>
        <v>0</v>
      </c>
      <c r="AE492">
        <f>VLOOKUP(Table5[[#This Row],[Shortname]], Comp[], 28, FALSE)</f>
        <v>0</v>
      </c>
      <c r="AF492">
        <f>VLOOKUP(Table5[[#This Row],[Shortname]], Comp[], 29, FALSE)</f>
        <v>0</v>
      </c>
      <c r="AG492">
        <f>VLOOKUP(Table5[[#This Row],[Shortname]], Comp[], 30, FALSE)</f>
        <v>0</v>
      </c>
      <c r="AH492">
        <f>VLOOKUP(Table5[[#This Row],[Shortname]], Comp[], 31, FALSE)</f>
        <v>0</v>
      </c>
    </row>
    <row r="493" spans="1:34" x14ac:dyDescent="0.3">
      <c r="A493" s="7" t="s">
        <v>4378</v>
      </c>
      <c r="B493">
        <v>509</v>
      </c>
      <c r="C493" s="7" t="str">
        <f>VLOOKUP(Table5[[#This Row],[Shortname]], [1]!comp[#Data], 2, FALSE)</f>
        <v>CoAlW-X</v>
      </c>
      <c r="D493" s="26" t="s">
        <v>4380</v>
      </c>
      <c r="E493" s="27" t="s">
        <v>6635</v>
      </c>
      <c r="F493">
        <v>991</v>
      </c>
      <c r="G493">
        <v>1446</v>
      </c>
      <c r="H493" s="18" t="s">
        <v>6761</v>
      </c>
      <c r="J493" s="14">
        <f>VLOOKUP(Table5[[#This Row],[Shortname]], Comp[], 7, FALSE)</f>
        <v>81.3</v>
      </c>
      <c r="K493">
        <f>VLOOKUP(Table5[[#This Row],[Shortname]], Comp[], 8, FALSE)</f>
        <v>0</v>
      </c>
      <c r="L493">
        <f>VLOOKUP(Table5[[#This Row],[Shortname]], Comp[], 9, FALSE)</f>
        <v>9.9</v>
      </c>
      <c r="M493">
        <f>VLOOKUP(Table5[[#This Row],[Shortname]], Comp[], 10, FALSE)</f>
        <v>0</v>
      </c>
      <c r="N493">
        <f>VLOOKUP(Table5[[#This Row],[Shortname]], Comp[], 11, FALSE)</f>
        <v>8.8000000000000007</v>
      </c>
      <c r="O493">
        <f>VLOOKUP(Table5[[#This Row],[Shortname]], Comp[],12, FALSE)</f>
        <v>0</v>
      </c>
      <c r="P493">
        <f>VLOOKUP(Table5[[#This Row],[Shortname]], Comp[], 13, FALSE)</f>
        <v>0</v>
      </c>
      <c r="Q493">
        <f>VLOOKUP(Table5[[#This Row],[Shortname]], Comp[], 14, FALSE)</f>
        <v>0</v>
      </c>
      <c r="R493">
        <f>VLOOKUP(Table5[[#This Row],[Shortname]], Comp[], 15, FALSE)</f>
        <v>0</v>
      </c>
      <c r="S493">
        <f>VLOOKUP(Table5[[#This Row],[Shortname]], Comp[], 16, FALSE)</f>
        <v>0</v>
      </c>
      <c r="T493">
        <f>VLOOKUP(Table5[[#This Row],[Shortname]], Comp[], 17, FALSE)</f>
        <v>0</v>
      </c>
      <c r="U493">
        <f>VLOOKUP(Table5[[#This Row],[Shortname]], Comp[], 18, FALSE)</f>
        <v>0</v>
      </c>
      <c r="V493">
        <f>VLOOKUP(Table5[[#This Row],[Shortname]], Comp[], 19, FALSE)</f>
        <v>0</v>
      </c>
      <c r="W493">
        <f>VLOOKUP(Table5[[#This Row],[Shortname]], Comp[], 20, FALSE)</f>
        <v>0</v>
      </c>
      <c r="X493">
        <f>VLOOKUP(Table5[[#This Row],[Shortname]], Comp[], 21, FALSE)</f>
        <v>0</v>
      </c>
      <c r="Y493">
        <f>VLOOKUP(Table5[[#This Row],[Shortname]], Comp[], 22, FALSE)</f>
        <v>0</v>
      </c>
      <c r="Z493">
        <f>VLOOKUP(Table5[[#This Row],[Shortname]], Comp[], 23, FALSE)</f>
        <v>0</v>
      </c>
      <c r="AA493">
        <f>VLOOKUP(Table5[[#This Row],[Shortname]], Comp[], 24, FALSE)</f>
        <v>0</v>
      </c>
      <c r="AB493">
        <f>VLOOKUP(Table5[[#This Row],[Shortname]], Comp[], 25, FALSE)</f>
        <v>0</v>
      </c>
      <c r="AC493">
        <f>VLOOKUP(Table5[[#This Row],[Shortname]], Comp[], 26, FALSE)</f>
        <v>0</v>
      </c>
      <c r="AD493">
        <f>VLOOKUP(Table5[[#This Row],[Shortname]], Comp[], 27, FALSE)</f>
        <v>0</v>
      </c>
      <c r="AE493">
        <f>VLOOKUP(Table5[[#This Row],[Shortname]], Comp[], 28, FALSE)</f>
        <v>0</v>
      </c>
      <c r="AF493">
        <f>VLOOKUP(Table5[[#This Row],[Shortname]], Comp[], 29, FALSE)</f>
        <v>0</v>
      </c>
      <c r="AG493">
        <f>VLOOKUP(Table5[[#This Row],[Shortname]], Comp[], 30, FALSE)</f>
        <v>0</v>
      </c>
      <c r="AH493">
        <f>VLOOKUP(Table5[[#This Row],[Shortname]], Comp[], 31, FALSE)</f>
        <v>0</v>
      </c>
    </row>
    <row r="494" spans="1:34" x14ac:dyDescent="0.3">
      <c r="A494" s="7" t="s">
        <v>4389</v>
      </c>
      <c r="B494">
        <v>510</v>
      </c>
      <c r="C494" s="7" t="str">
        <f>VLOOKUP(Table5[[#This Row],[Shortname]], [1]!comp[#Data], 2, FALSE)</f>
        <v>Low-W</v>
      </c>
      <c r="D494" s="26" t="s">
        <v>4391</v>
      </c>
      <c r="E494" s="24" t="s">
        <v>6636</v>
      </c>
      <c r="F494">
        <v>1097</v>
      </c>
      <c r="J494" s="14">
        <f>VLOOKUP(Table5[[#This Row],[Shortname]], Comp[], 7, FALSE)</f>
        <v>43.830000000000013</v>
      </c>
      <c r="K494">
        <f>VLOOKUP(Table5[[#This Row],[Shortname]], Comp[], 8, FALSE)</f>
        <v>30.04</v>
      </c>
      <c r="L494">
        <f>VLOOKUP(Table5[[#This Row],[Shortname]], Comp[], 9, FALSE)</f>
        <v>4.08</v>
      </c>
      <c r="M494">
        <f>VLOOKUP(Table5[[#This Row],[Shortname]], Comp[], 10, FALSE)</f>
        <v>11.95</v>
      </c>
      <c r="N494">
        <f>VLOOKUP(Table5[[#This Row],[Shortname]], Comp[], 11, FALSE)</f>
        <v>1.98</v>
      </c>
      <c r="O494">
        <f>VLOOKUP(Table5[[#This Row],[Shortname]], Comp[],12, FALSE)</f>
        <v>4.8499999999999996</v>
      </c>
      <c r="P494">
        <f>VLOOKUP(Table5[[#This Row],[Shortname]], Comp[], 13, FALSE)</f>
        <v>1.04</v>
      </c>
      <c r="Q494">
        <f>VLOOKUP(Table5[[#This Row],[Shortname]], Comp[], 14, FALSE)</f>
        <v>0</v>
      </c>
      <c r="R494">
        <f>VLOOKUP(Table5[[#This Row],[Shortname]], Comp[], 15, FALSE)</f>
        <v>0</v>
      </c>
      <c r="S494">
        <f>VLOOKUP(Table5[[#This Row],[Shortname]], Comp[], 16, FALSE)</f>
        <v>1.55</v>
      </c>
      <c r="T494">
        <f>VLOOKUP(Table5[[#This Row],[Shortname]], Comp[], 17, FALSE)</f>
        <v>7.0000000000000007E-2</v>
      </c>
      <c r="U494">
        <f>VLOOKUP(Table5[[#This Row],[Shortname]], Comp[], 18, FALSE)</f>
        <v>0.01</v>
      </c>
      <c r="V494">
        <f>VLOOKUP(Table5[[#This Row],[Shortname]], Comp[], 19, FALSE)</f>
        <v>0.09</v>
      </c>
      <c r="W494">
        <f>VLOOKUP(Table5[[#This Row],[Shortname]], Comp[], 20, FALSE)</f>
        <v>0</v>
      </c>
      <c r="X494">
        <f>VLOOKUP(Table5[[#This Row],[Shortname]], Comp[], 21, FALSE)</f>
        <v>0</v>
      </c>
      <c r="Y494">
        <f>VLOOKUP(Table5[[#This Row],[Shortname]], Comp[], 22, FALSE)</f>
        <v>0.41</v>
      </c>
      <c r="Z494">
        <f>VLOOKUP(Table5[[#This Row],[Shortname]], Comp[], 23, FALSE)</f>
        <v>0</v>
      </c>
      <c r="AA494">
        <f>VLOOKUP(Table5[[#This Row],[Shortname]], Comp[], 24, FALSE)</f>
        <v>0</v>
      </c>
      <c r="AB494">
        <f>VLOOKUP(Table5[[#This Row],[Shortname]], Comp[], 25, FALSE)</f>
        <v>0.1</v>
      </c>
      <c r="AC494">
        <f>VLOOKUP(Table5[[#This Row],[Shortname]], Comp[], 26, FALSE)</f>
        <v>0</v>
      </c>
      <c r="AD494">
        <f>VLOOKUP(Table5[[#This Row],[Shortname]], Comp[], 27, FALSE)</f>
        <v>0</v>
      </c>
      <c r="AE494">
        <f>VLOOKUP(Table5[[#This Row],[Shortname]], Comp[], 28, FALSE)</f>
        <v>0</v>
      </c>
      <c r="AF494">
        <f>VLOOKUP(Table5[[#This Row],[Shortname]], Comp[], 29, FALSE)</f>
        <v>0</v>
      </c>
      <c r="AG494">
        <f>VLOOKUP(Table5[[#This Row],[Shortname]], Comp[], 30, FALSE)</f>
        <v>0</v>
      </c>
      <c r="AH494">
        <f>VLOOKUP(Table5[[#This Row],[Shortname]], Comp[], 31, FALSE)</f>
        <v>0</v>
      </c>
    </row>
    <row r="495" spans="1:34" x14ac:dyDescent="0.3">
      <c r="A495" s="7" t="s">
        <v>4400</v>
      </c>
      <c r="B495">
        <v>511</v>
      </c>
      <c r="C495" s="7" t="str">
        <f>VLOOKUP(Table5[[#This Row],[Shortname]], [1]!comp[#Data], 2, FALSE)</f>
        <v>Low-W</v>
      </c>
      <c r="D495" s="26" t="s">
        <v>4402</v>
      </c>
      <c r="E495" s="24" t="s">
        <v>6636</v>
      </c>
      <c r="F495">
        <v>1097</v>
      </c>
      <c r="J495" s="14">
        <f>VLOOKUP(Table5[[#This Row],[Shortname]], Comp[], 7, FALSE)</f>
        <v>42.794999999999995</v>
      </c>
      <c r="K495">
        <f>VLOOKUP(Table5[[#This Row],[Shortname]], Comp[], 8, FALSE)</f>
        <v>30.1</v>
      </c>
      <c r="L495">
        <f>VLOOKUP(Table5[[#This Row],[Shortname]], Comp[], 9, FALSE)</f>
        <v>5.59</v>
      </c>
      <c r="M495">
        <f>VLOOKUP(Table5[[#This Row],[Shortname]], Comp[], 10, FALSE)</f>
        <v>11.89</v>
      </c>
      <c r="N495">
        <f>VLOOKUP(Table5[[#This Row],[Shortname]], Comp[], 11, FALSE)</f>
        <v>2.1</v>
      </c>
      <c r="O495">
        <f>VLOOKUP(Table5[[#This Row],[Shortname]], Comp[],12, FALSE)</f>
        <v>4.3099999999999996</v>
      </c>
      <c r="P495">
        <f>VLOOKUP(Table5[[#This Row],[Shortname]], Comp[], 13, FALSE)</f>
        <v>0.95</v>
      </c>
      <c r="Q495">
        <f>VLOOKUP(Table5[[#This Row],[Shortname]], Comp[], 14, FALSE)</f>
        <v>0</v>
      </c>
      <c r="R495">
        <f>VLOOKUP(Table5[[#This Row],[Shortname]], Comp[], 15, FALSE)</f>
        <v>0</v>
      </c>
      <c r="S495">
        <f>VLOOKUP(Table5[[#This Row],[Shortname]], Comp[], 16, FALSE)</f>
        <v>1.6</v>
      </c>
      <c r="T495">
        <f>VLOOKUP(Table5[[#This Row],[Shortname]], Comp[], 17, FALSE)</f>
        <v>7.0999999999999994E-2</v>
      </c>
      <c r="U495">
        <f>VLOOKUP(Table5[[#This Row],[Shortname]], Comp[], 18, FALSE)</f>
        <v>8.9999999999999993E-3</v>
      </c>
      <c r="V495">
        <f>VLOOKUP(Table5[[#This Row],[Shortname]], Comp[], 19, FALSE)</f>
        <v>8.5000000000000006E-2</v>
      </c>
      <c r="W495">
        <f>VLOOKUP(Table5[[#This Row],[Shortname]], Comp[], 20, FALSE)</f>
        <v>0</v>
      </c>
      <c r="X495">
        <f>VLOOKUP(Table5[[#This Row],[Shortname]], Comp[], 21, FALSE)</f>
        <v>0</v>
      </c>
      <c r="Y495">
        <f>VLOOKUP(Table5[[#This Row],[Shortname]], Comp[], 22, FALSE)</f>
        <v>0.39</v>
      </c>
      <c r="Z495">
        <f>VLOOKUP(Table5[[#This Row],[Shortname]], Comp[], 23, FALSE)</f>
        <v>0</v>
      </c>
      <c r="AA495">
        <f>VLOOKUP(Table5[[#This Row],[Shortname]], Comp[], 24, FALSE)</f>
        <v>0</v>
      </c>
      <c r="AB495">
        <f>VLOOKUP(Table5[[#This Row],[Shortname]], Comp[], 25, FALSE)</f>
        <v>0.11</v>
      </c>
      <c r="AC495">
        <f>VLOOKUP(Table5[[#This Row],[Shortname]], Comp[], 26, FALSE)</f>
        <v>0</v>
      </c>
      <c r="AD495">
        <f>VLOOKUP(Table5[[#This Row],[Shortname]], Comp[], 27, FALSE)</f>
        <v>0</v>
      </c>
      <c r="AE495">
        <f>VLOOKUP(Table5[[#This Row],[Shortname]], Comp[], 28, FALSE)</f>
        <v>0</v>
      </c>
      <c r="AF495">
        <f>VLOOKUP(Table5[[#This Row],[Shortname]], Comp[], 29, FALSE)</f>
        <v>0</v>
      </c>
      <c r="AG495">
        <f>VLOOKUP(Table5[[#This Row],[Shortname]], Comp[], 30, FALSE)</f>
        <v>0</v>
      </c>
      <c r="AH495">
        <f>VLOOKUP(Table5[[#This Row],[Shortname]], Comp[], 31, FALSE)</f>
        <v>0</v>
      </c>
    </row>
    <row r="496" spans="1:34" x14ac:dyDescent="0.3">
      <c r="A496" s="7" t="s">
        <v>4407</v>
      </c>
      <c r="B496">
        <v>512</v>
      </c>
      <c r="C496" s="7" t="str">
        <f>VLOOKUP(Table5[[#This Row],[Shortname]], [1]!comp[#Data], 2, FALSE)</f>
        <v>Low-W</v>
      </c>
      <c r="D496" s="26" t="s">
        <v>4409</v>
      </c>
      <c r="E496" s="24" t="s">
        <v>6636</v>
      </c>
      <c r="F496">
        <v>1095</v>
      </c>
      <c r="J496" s="14">
        <f>VLOOKUP(Table5[[#This Row],[Shortname]], Comp[], 7, FALSE)</f>
        <v>42.246000000000002</v>
      </c>
      <c r="K496">
        <f>VLOOKUP(Table5[[#This Row],[Shortname]], Comp[], 8, FALSE)</f>
        <v>30.08</v>
      </c>
      <c r="L496">
        <f>VLOOKUP(Table5[[#This Row],[Shortname]], Comp[], 9, FALSE)</f>
        <v>7.1</v>
      </c>
      <c r="M496">
        <f>VLOOKUP(Table5[[#This Row],[Shortname]], Comp[], 10, FALSE)</f>
        <v>12.1</v>
      </c>
      <c r="N496">
        <f>VLOOKUP(Table5[[#This Row],[Shortname]], Comp[], 11, FALSE)</f>
        <v>2.04</v>
      </c>
      <c r="O496">
        <f>VLOOKUP(Table5[[#This Row],[Shortname]], Comp[],12, FALSE)</f>
        <v>3.47</v>
      </c>
      <c r="P496">
        <f>VLOOKUP(Table5[[#This Row],[Shortname]], Comp[], 13, FALSE)</f>
        <v>1.03</v>
      </c>
      <c r="Q496">
        <f>VLOOKUP(Table5[[#This Row],[Shortname]], Comp[], 14, FALSE)</f>
        <v>0</v>
      </c>
      <c r="R496">
        <f>VLOOKUP(Table5[[#This Row],[Shortname]], Comp[], 15, FALSE)</f>
        <v>0</v>
      </c>
      <c r="S496">
        <f>VLOOKUP(Table5[[#This Row],[Shortname]], Comp[], 16, FALSE)</f>
        <v>1.26</v>
      </c>
      <c r="T496">
        <f>VLOOKUP(Table5[[#This Row],[Shortname]], Comp[], 17, FALSE)</f>
        <v>0.08</v>
      </c>
      <c r="U496">
        <f>VLOOKUP(Table5[[#This Row],[Shortname]], Comp[], 18, FALSE)</f>
        <v>8.9999999999999993E-3</v>
      </c>
      <c r="V496">
        <f>VLOOKUP(Table5[[#This Row],[Shortname]], Comp[], 19, FALSE)</f>
        <v>8.5000000000000006E-2</v>
      </c>
      <c r="W496">
        <f>VLOOKUP(Table5[[#This Row],[Shortname]], Comp[], 20, FALSE)</f>
        <v>0</v>
      </c>
      <c r="X496">
        <f>VLOOKUP(Table5[[#This Row],[Shortname]], Comp[], 21, FALSE)</f>
        <v>0</v>
      </c>
      <c r="Y496">
        <f>VLOOKUP(Table5[[#This Row],[Shortname]], Comp[], 22, FALSE)</f>
        <v>0.39</v>
      </c>
      <c r="Z496">
        <f>VLOOKUP(Table5[[#This Row],[Shortname]], Comp[], 23, FALSE)</f>
        <v>0</v>
      </c>
      <c r="AA496">
        <f>VLOOKUP(Table5[[#This Row],[Shortname]], Comp[], 24, FALSE)</f>
        <v>0</v>
      </c>
      <c r="AB496">
        <f>VLOOKUP(Table5[[#This Row],[Shortname]], Comp[], 25, FALSE)</f>
        <v>0.11</v>
      </c>
      <c r="AC496">
        <f>VLOOKUP(Table5[[#This Row],[Shortname]], Comp[], 26, FALSE)</f>
        <v>0</v>
      </c>
      <c r="AD496">
        <f>VLOOKUP(Table5[[#This Row],[Shortname]], Comp[], 27, FALSE)</f>
        <v>0</v>
      </c>
      <c r="AE496">
        <f>VLOOKUP(Table5[[#This Row],[Shortname]], Comp[], 28, FALSE)</f>
        <v>0</v>
      </c>
      <c r="AF496">
        <f>VLOOKUP(Table5[[#This Row],[Shortname]], Comp[], 29, FALSE)</f>
        <v>0</v>
      </c>
      <c r="AG496">
        <f>VLOOKUP(Table5[[#This Row],[Shortname]], Comp[], 30, FALSE)</f>
        <v>0</v>
      </c>
      <c r="AH496">
        <f>VLOOKUP(Table5[[#This Row],[Shortname]], Comp[], 31, FALSE)</f>
        <v>0</v>
      </c>
    </row>
    <row r="497" spans="1:34" x14ac:dyDescent="0.3">
      <c r="A497" s="7" t="s">
        <v>4414</v>
      </c>
      <c r="B497">
        <v>513</v>
      </c>
      <c r="C497" s="7" t="str">
        <f>VLOOKUP(Table5[[#This Row],[Shortname]], [1]!comp[#Data], 2, FALSE)</f>
        <v>Low-W</v>
      </c>
      <c r="D497" s="26" t="s">
        <v>4391</v>
      </c>
      <c r="E497" s="24" t="s">
        <v>6762</v>
      </c>
      <c r="F497">
        <v>1097</v>
      </c>
      <c r="G497">
        <v>1280</v>
      </c>
      <c r="H497">
        <v>1381</v>
      </c>
      <c r="J497" s="14">
        <f>VLOOKUP(Table5[[#This Row],[Shortname]], Comp[], 7, FALSE)</f>
        <v>43.92</v>
      </c>
      <c r="K497">
        <f>VLOOKUP(Table5[[#This Row],[Shortname]], Comp[], 8, FALSE)</f>
        <v>30</v>
      </c>
      <c r="L497">
        <f>VLOOKUP(Table5[[#This Row],[Shortname]], Comp[], 9, FALSE)</f>
        <v>4</v>
      </c>
      <c r="M497">
        <f>VLOOKUP(Table5[[#This Row],[Shortname]], Comp[], 10, FALSE)</f>
        <v>12</v>
      </c>
      <c r="N497">
        <f>VLOOKUP(Table5[[#This Row],[Shortname]], Comp[], 11, FALSE)</f>
        <v>2</v>
      </c>
      <c r="O497">
        <f>VLOOKUP(Table5[[#This Row],[Shortname]], Comp[],12, FALSE)</f>
        <v>4.9000000000000004</v>
      </c>
      <c r="P497">
        <f>VLOOKUP(Table5[[#This Row],[Shortname]], Comp[], 13, FALSE)</f>
        <v>1</v>
      </c>
      <c r="Q497">
        <f>VLOOKUP(Table5[[#This Row],[Shortname]], Comp[], 14, FALSE)</f>
        <v>0</v>
      </c>
      <c r="R497">
        <f>VLOOKUP(Table5[[#This Row],[Shortname]], Comp[], 15, FALSE)</f>
        <v>0</v>
      </c>
      <c r="S497">
        <f>VLOOKUP(Table5[[#This Row],[Shortname]], Comp[], 16, FALSE)</f>
        <v>1.5</v>
      </c>
      <c r="T497">
        <f>VLOOKUP(Table5[[#This Row],[Shortname]], Comp[], 17, FALSE)</f>
        <v>7.0000000000000007E-2</v>
      </c>
      <c r="U497">
        <f>VLOOKUP(Table5[[#This Row],[Shortname]], Comp[], 18, FALSE)</f>
        <v>0.01</v>
      </c>
      <c r="V497">
        <f>VLOOKUP(Table5[[#This Row],[Shortname]], Comp[], 19, FALSE)</f>
        <v>0.09</v>
      </c>
      <c r="W497">
        <f>VLOOKUP(Table5[[#This Row],[Shortname]], Comp[], 20, FALSE)</f>
        <v>0</v>
      </c>
      <c r="X497">
        <f>VLOOKUP(Table5[[#This Row],[Shortname]], Comp[], 21, FALSE)</f>
        <v>0</v>
      </c>
      <c r="Y497">
        <f>VLOOKUP(Table5[[#This Row],[Shortname]], Comp[], 22, FALSE)</f>
        <v>0.41</v>
      </c>
      <c r="Z497">
        <f>VLOOKUP(Table5[[#This Row],[Shortname]], Comp[], 23, FALSE)</f>
        <v>0</v>
      </c>
      <c r="AA497">
        <f>VLOOKUP(Table5[[#This Row],[Shortname]], Comp[], 24, FALSE)</f>
        <v>0</v>
      </c>
      <c r="AB497">
        <f>VLOOKUP(Table5[[#This Row],[Shortname]], Comp[], 25, FALSE)</f>
        <v>0.1</v>
      </c>
      <c r="AC497">
        <f>VLOOKUP(Table5[[#This Row],[Shortname]], Comp[], 26, FALSE)</f>
        <v>0</v>
      </c>
      <c r="AD497">
        <f>VLOOKUP(Table5[[#This Row],[Shortname]], Comp[], 27, FALSE)</f>
        <v>0</v>
      </c>
      <c r="AE497">
        <f>VLOOKUP(Table5[[#This Row],[Shortname]], Comp[], 28, FALSE)</f>
        <v>0</v>
      </c>
      <c r="AF497">
        <f>VLOOKUP(Table5[[#This Row],[Shortname]], Comp[], 29, FALSE)</f>
        <v>0</v>
      </c>
      <c r="AG497">
        <f>VLOOKUP(Table5[[#This Row],[Shortname]], Comp[], 30, FALSE)</f>
        <v>0</v>
      </c>
      <c r="AH497">
        <f>VLOOKUP(Table5[[#This Row],[Shortname]], Comp[], 31, FALSE)</f>
        <v>0</v>
      </c>
    </row>
    <row r="498" spans="1:34" x14ac:dyDescent="0.3">
      <c r="A498" s="7" t="s">
        <v>4419</v>
      </c>
      <c r="B498">
        <v>514</v>
      </c>
      <c r="C498" s="7" t="str">
        <f>VLOOKUP(Table5[[#This Row],[Shortname]], [1]!comp[#Data], 2, FALSE)</f>
        <v>Low-W</v>
      </c>
      <c r="D498" s="26" t="s">
        <v>4420</v>
      </c>
      <c r="E498" s="24" t="s">
        <v>6762</v>
      </c>
      <c r="F498">
        <v>1097</v>
      </c>
      <c r="G498">
        <v>1291</v>
      </c>
      <c r="H498">
        <v>1381</v>
      </c>
      <c r="J498" s="14">
        <f>VLOOKUP(Table5[[#This Row],[Shortname]], Comp[], 7, FALSE)</f>
        <v>43.134999999999998</v>
      </c>
      <c r="K498">
        <f>VLOOKUP(Table5[[#This Row],[Shortname]], Comp[], 8, FALSE)</f>
        <v>30</v>
      </c>
      <c r="L498">
        <f>VLOOKUP(Table5[[#This Row],[Shortname]], Comp[], 9, FALSE)</f>
        <v>5.5</v>
      </c>
      <c r="M498">
        <f>VLOOKUP(Table5[[#This Row],[Shortname]], Comp[], 10, FALSE)</f>
        <v>12</v>
      </c>
      <c r="N498">
        <f>VLOOKUP(Table5[[#This Row],[Shortname]], Comp[], 11, FALSE)</f>
        <v>2</v>
      </c>
      <c r="O498">
        <f>VLOOKUP(Table5[[#This Row],[Shortname]], Comp[],12, FALSE)</f>
        <v>4.2</v>
      </c>
      <c r="P498">
        <f>VLOOKUP(Table5[[#This Row],[Shortname]], Comp[], 13, FALSE)</f>
        <v>1</v>
      </c>
      <c r="Q498">
        <f>VLOOKUP(Table5[[#This Row],[Shortname]], Comp[], 14, FALSE)</f>
        <v>0</v>
      </c>
      <c r="R498">
        <f>VLOOKUP(Table5[[#This Row],[Shortname]], Comp[], 15, FALSE)</f>
        <v>0</v>
      </c>
      <c r="S498">
        <f>VLOOKUP(Table5[[#This Row],[Shortname]], Comp[], 16, FALSE)</f>
        <v>1.5</v>
      </c>
      <c r="T498">
        <f>VLOOKUP(Table5[[#This Row],[Shortname]], Comp[], 17, FALSE)</f>
        <v>7.0999999999999994E-2</v>
      </c>
      <c r="U498">
        <f>VLOOKUP(Table5[[#This Row],[Shortname]], Comp[], 18, FALSE)</f>
        <v>8.9999999999999993E-3</v>
      </c>
      <c r="V498">
        <f>VLOOKUP(Table5[[#This Row],[Shortname]], Comp[], 19, FALSE)</f>
        <v>8.5000000000000006E-2</v>
      </c>
      <c r="W498">
        <f>VLOOKUP(Table5[[#This Row],[Shortname]], Comp[], 20, FALSE)</f>
        <v>0</v>
      </c>
      <c r="X498">
        <f>VLOOKUP(Table5[[#This Row],[Shortname]], Comp[], 21, FALSE)</f>
        <v>0</v>
      </c>
      <c r="Y498">
        <f>VLOOKUP(Table5[[#This Row],[Shortname]], Comp[], 22, FALSE)</f>
        <v>0.39</v>
      </c>
      <c r="Z498">
        <f>VLOOKUP(Table5[[#This Row],[Shortname]], Comp[], 23, FALSE)</f>
        <v>0</v>
      </c>
      <c r="AA498">
        <f>VLOOKUP(Table5[[#This Row],[Shortname]], Comp[], 24, FALSE)</f>
        <v>0</v>
      </c>
      <c r="AB498">
        <f>VLOOKUP(Table5[[#This Row],[Shortname]], Comp[], 25, FALSE)</f>
        <v>0.11</v>
      </c>
      <c r="AC498">
        <f>VLOOKUP(Table5[[#This Row],[Shortname]], Comp[], 26, FALSE)</f>
        <v>0</v>
      </c>
      <c r="AD498">
        <f>VLOOKUP(Table5[[#This Row],[Shortname]], Comp[], 27, FALSE)</f>
        <v>0</v>
      </c>
      <c r="AE498">
        <f>VLOOKUP(Table5[[#This Row],[Shortname]], Comp[], 28, FALSE)</f>
        <v>0</v>
      </c>
      <c r="AF498">
        <f>VLOOKUP(Table5[[#This Row],[Shortname]], Comp[], 29, FALSE)</f>
        <v>0</v>
      </c>
      <c r="AG498">
        <f>VLOOKUP(Table5[[#This Row],[Shortname]], Comp[], 30, FALSE)</f>
        <v>0</v>
      </c>
      <c r="AH498">
        <f>VLOOKUP(Table5[[#This Row],[Shortname]], Comp[], 31, FALSE)</f>
        <v>0</v>
      </c>
    </row>
    <row r="499" spans="1:34" x14ac:dyDescent="0.3">
      <c r="A499" s="7" t="s">
        <v>4430</v>
      </c>
      <c r="B499">
        <v>515</v>
      </c>
      <c r="C499" s="7" t="str">
        <f>VLOOKUP(Table5[[#This Row],[Shortname]], [1]!comp[#Data], 2, FALSE)</f>
        <v>Low-W</v>
      </c>
      <c r="D499" s="26" t="s">
        <v>4409</v>
      </c>
      <c r="E499" s="24" t="s">
        <v>6762</v>
      </c>
      <c r="F499">
        <v>1095</v>
      </c>
      <c r="G499">
        <v>1283</v>
      </c>
      <c r="H499">
        <v>1380</v>
      </c>
      <c r="J499" s="14">
        <f>VLOOKUP(Table5[[#This Row],[Shortname]], Comp[], 7, FALSE)</f>
        <v>42.326000000000001</v>
      </c>
      <c r="K499">
        <f>VLOOKUP(Table5[[#This Row],[Shortname]], Comp[], 8, FALSE)</f>
        <v>30</v>
      </c>
      <c r="L499">
        <f>VLOOKUP(Table5[[#This Row],[Shortname]], Comp[], 9, FALSE)</f>
        <v>7</v>
      </c>
      <c r="M499">
        <f>VLOOKUP(Table5[[#This Row],[Shortname]], Comp[], 10, FALSE)</f>
        <v>12</v>
      </c>
      <c r="N499">
        <f>VLOOKUP(Table5[[#This Row],[Shortname]], Comp[], 11, FALSE)</f>
        <v>2</v>
      </c>
      <c r="O499">
        <f>VLOOKUP(Table5[[#This Row],[Shortname]], Comp[],12, FALSE)</f>
        <v>3.5</v>
      </c>
      <c r="P499">
        <f>VLOOKUP(Table5[[#This Row],[Shortname]], Comp[], 13, FALSE)</f>
        <v>1</v>
      </c>
      <c r="Q499">
        <f>VLOOKUP(Table5[[#This Row],[Shortname]], Comp[], 14, FALSE)</f>
        <v>0</v>
      </c>
      <c r="R499">
        <f>VLOOKUP(Table5[[#This Row],[Shortname]], Comp[], 15, FALSE)</f>
        <v>0</v>
      </c>
      <c r="S499">
        <f>VLOOKUP(Table5[[#This Row],[Shortname]], Comp[], 16, FALSE)</f>
        <v>1.5</v>
      </c>
      <c r="T499">
        <f>VLOOKUP(Table5[[#This Row],[Shortname]], Comp[], 17, FALSE)</f>
        <v>0.08</v>
      </c>
      <c r="U499">
        <f>VLOOKUP(Table5[[#This Row],[Shortname]], Comp[], 18, FALSE)</f>
        <v>8.9999999999999993E-3</v>
      </c>
      <c r="V499">
        <f>VLOOKUP(Table5[[#This Row],[Shortname]], Comp[], 19, FALSE)</f>
        <v>8.5000000000000006E-2</v>
      </c>
      <c r="W499">
        <f>VLOOKUP(Table5[[#This Row],[Shortname]], Comp[], 20, FALSE)</f>
        <v>0</v>
      </c>
      <c r="X499">
        <f>VLOOKUP(Table5[[#This Row],[Shortname]], Comp[], 21, FALSE)</f>
        <v>0</v>
      </c>
      <c r="Y499">
        <f>VLOOKUP(Table5[[#This Row],[Shortname]], Comp[], 22, FALSE)</f>
        <v>0.39</v>
      </c>
      <c r="Z499">
        <f>VLOOKUP(Table5[[#This Row],[Shortname]], Comp[], 23, FALSE)</f>
        <v>0</v>
      </c>
      <c r="AA499">
        <f>VLOOKUP(Table5[[#This Row],[Shortname]], Comp[], 24, FALSE)</f>
        <v>0</v>
      </c>
      <c r="AB499">
        <f>VLOOKUP(Table5[[#This Row],[Shortname]], Comp[], 25, FALSE)</f>
        <v>0.11</v>
      </c>
      <c r="AC499">
        <f>VLOOKUP(Table5[[#This Row],[Shortname]], Comp[], 26, FALSE)</f>
        <v>0</v>
      </c>
      <c r="AD499">
        <f>VLOOKUP(Table5[[#This Row],[Shortname]], Comp[], 27, FALSE)</f>
        <v>0</v>
      </c>
      <c r="AE499">
        <f>VLOOKUP(Table5[[#This Row],[Shortname]], Comp[], 28, FALSE)</f>
        <v>0</v>
      </c>
      <c r="AF499">
        <f>VLOOKUP(Table5[[#This Row],[Shortname]], Comp[], 29, FALSE)</f>
        <v>0</v>
      </c>
      <c r="AG499">
        <f>VLOOKUP(Table5[[#This Row],[Shortname]], Comp[], 30, FALSE)</f>
        <v>0</v>
      </c>
      <c r="AH499">
        <f>VLOOKUP(Table5[[#This Row],[Shortname]], Comp[], 31, FALSE)</f>
        <v>0</v>
      </c>
    </row>
    <row r="500" spans="1:34" x14ac:dyDescent="0.3">
      <c r="A500" s="7" t="s">
        <v>4424</v>
      </c>
      <c r="B500">
        <v>516</v>
      </c>
      <c r="C500" s="7" t="str">
        <f>VLOOKUP(Table5[[#This Row],[Shortname]], [1]!comp[#Data], 2, FALSE)</f>
        <v>Low-W</v>
      </c>
      <c r="D500" s="26" t="s">
        <v>4425</v>
      </c>
      <c r="E500" s="24" t="s">
        <v>6762</v>
      </c>
      <c r="F500">
        <v>1083</v>
      </c>
      <c r="G500">
        <v>1298</v>
      </c>
      <c r="H500">
        <v>1390</v>
      </c>
      <c r="J500" s="14">
        <f>VLOOKUP(Table5[[#This Row],[Shortname]], Comp[], 7, FALSE)</f>
        <v>43.321999999999996</v>
      </c>
      <c r="K500">
        <f>VLOOKUP(Table5[[#This Row],[Shortname]], Comp[], 8, FALSE)</f>
        <v>30</v>
      </c>
      <c r="L500">
        <f>VLOOKUP(Table5[[#This Row],[Shortname]], Comp[], 9, FALSE)</f>
        <v>6</v>
      </c>
      <c r="M500">
        <f>VLOOKUP(Table5[[#This Row],[Shortname]], Comp[], 10, FALSE)</f>
        <v>12</v>
      </c>
      <c r="N500">
        <f>VLOOKUP(Table5[[#This Row],[Shortname]], Comp[], 11, FALSE)</f>
        <v>2</v>
      </c>
      <c r="O500">
        <f>VLOOKUP(Table5[[#This Row],[Shortname]], Comp[],12, FALSE)</f>
        <v>3.5</v>
      </c>
      <c r="P500">
        <f>VLOOKUP(Table5[[#This Row],[Shortname]], Comp[], 13, FALSE)</f>
        <v>1</v>
      </c>
      <c r="Q500">
        <f>VLOOKUP(Table5[[#This Row],[Shortname]], Comp[], 14, FALSE)</f>
        <v>0</v>
      </c>
      <c r="R500">
        <f>VLOOKUP(Table5[[#This Row],[Shortname]], Comp[], 15, FALSE)</f>
        <v>0</v>
      </c>
      <c r="S500">
        <f>VLOOKUP(Table5[[#This Row],[Shortname]], Comp[], 16, FALSE)</f>
        <v>1.5</v>
      </c>
      <c r="T500">
        <f>VLOOKUP(Table5[[#This Row],[Shortname]], Comp[], 17, FALSE)</f>
        <v>8.5000000000000006E-2</v>
      </c>
      <c r="U500">
        <f>VLOOKUP(Table5[[#This Row],[Shortname]], Comp[], 18, FALSE)</f>
        <v>8.9999999999999993E-3</v>
      </c>
      <c r="V500">
        <f>VLOOKUP(Table5[[#This Row],[Shortname]], Comp[], 19, FALSE)</f>
        <v>8.4000000000000005E-2</v>
      </c>
      <c r="W500">
        <f>VLOOKUP(Table5[[#This Row],[Shortname]], Comp[], 20, FALSE)</f>
        <v>0</v>
      </c>
      <c r="X500">
        <f>VLOOKUP(Table5[[#This Row],[Shortname]], Comp[], 21, FALSE)</f>
        <v>0</v>
      </c>
      <c r="Y500">
        <f>VLOOKUP(Table5[[#This Row],[Shortname]], Comp[], 22, FALSE)</f>
        <v>0.39</v>
      </c>
      <c r="Z500">
        <f>VLOOKUP(Table5[[#This Row],[Shortname]], Comp[], 23, FALSE)</f>
        <v>0</v>
      </c>
      <c r="AA500">
        <f>VLOOKUP(Table5[[#This Row],[Shortname]], Comp[], 24, FALSE)</f>
        <v>0</v>
      </c>
      <c r="AB500">
        <f>VLOOKUP(Table5[[#This Row],[Shortname]], Comp[], 25, FALSE)</f>
        <v>0.11</v>
      </c>
      <c r="AC500">
        <f>VLOOKUP(Table5[[#This Row],[Shortname]], Comp[], 26, FALSE)</f>
        <v>0</v>
      </c>
      <c r="AD500">
        <f>VLOOKUP(Table5[[#This Row],[Shortname]], Comp[], 27, FALSE)</f>
        <v>0</v>
      </c>
      <c r="AE500">
        <f>VLOOKUP(Table5[[#This Row],[Shortname]], Comp[], 28, FALSE)</f>
        <v>0</v>
      </c>
      <c r="AF500">
        <f>VLOOKUP(Table5[[#This Row],[Shortname]], Comp[], 29, FALSE)</f>
        <v>0</v>
      </c>
      <c r="AG500">
        <f>VLOOKUP(Table5[[#This Row],[Shortname]], Comp[], 30, FALSE)</f>
        <v>0</v>
      </c>
      <c r="AH500">
        <f>VLOOKUP(Table5[[#This Row],[Shortname]], Comp[], 31, FALSE)</f>
        <v>0</v>
      </c>
    </row>
    <row r="501" spans="1:34" x14ac:dyDescent="0.3">
      <c r="A501" s="7" t="s">
        <v>4448</v>
      </c>
      <c r="B501">
        <v>517</v>
      </c>
      <c r="C501" s="7" t="str">
        <f>VLOOKUP(Table5[[#This Row],[Shortname]], [1]!comp[#Data], 2, FALSE)</f>
        <v>CoAlW-X</v>
      </c>
      <c r="D501" s="7" t="s">
        <v>4450</v>
      </c>
      <c r="E501" s="11" t="s">
        <v>6763</v>
      </c>
      <c r="F501">
        <v>1105</v>
      </c>
      <c r="G501">
        <v>1309</v>
      </c>
      <c r="J501" s="14">
        <f>VLOOKUP(Table5[[#This Row],[Shortname]], Comp[], 7, FALSE)</f>
        <v>89</v>
      </c>
      <c r="K501">
        <f>VLOOKUP(Table5[[#This Row],[Shortname]], Comp[], 8, FALSE)</f>
        <v>0</v>
      </c>
      <c r="L501">
        <f>VLOOKUP(Table5[[#This Row],[Shortname]], Comp[], 9, FALSE)</f>
        <v>8</v>
      </c>
      <c r="M501">
        <f>VLOOKUP(Table5[[#This Row],[Shortname]], Comp[], 10, FALSE)</f>
        <v>0</v>
      </c>
      <c r="N501">
        <f>VLOOKUP(Table5[[#This Row],[Shortname]], Comp[], 11, FALSE)</f>
        <v>3</v>
      </c>
      <c r="O501">
        <f>VLOOKUP(Table5[[#This Row],[Shortname]], Comp[],12, FALSE)</f>
        <v>0</v>
      </c>
      <c r="P501">
        <f>VLOOKUP(Table5[[#This Row],[Shortname]], Comp[], 13, FALSE)</f>
        <v>0</v>
      </c>
      <c r="Q501">
        <f>VLOOKUP(Table5[[#This Row],[Shortname]], Comp[], 14, FALSE)</f>
        <v>0</v>
      </c>
      <c r="R501">
        <f>VLOOKUP(Table5[[#This Row],[Shortname]], Comp[], 15, FALSE)</f>
        <v>0</v>
      </c>
      <c r="S501">
        <f>VLOOKUP(Table5[[#This Row],[Shortname]], Comp[], 16, FALSE)</f>
        <v>0</v>
      </c>
      <c r="T501">
        <f>VLOOKUP(Table5[[#This Row],[Shortname]], Comp[], 17, FALSE)</f>
        <v>0</v>
      </c>
      <c r="U501">
        <f>VLOOKUP(Table5[[#This Row],[Shortname]], Comp[], 18, FALSE)</f>
        <v>0</v>
      </c>
      <c r="V501">
        <f>VLOOKUP(Table5[[#This Row],[Shortname]], Comp[], 19, FALSE)</f>
        <v>0</v>
      </c>
      <c r="W501">
        <f>VLOOKUP(Table5[[#This Row],[Shortname]], Comp[], 20, FALSE)</f>
        <v>0</v>
      </c>
      <c r="X501">
        <f>VLOOKUP(Table5[[#This Row],[Shortname]], Comp[], 21, FALSE)</f>
        <v>0</v>
      </c>
      <c r="Y501">
        <f>VLOOKUP(Table5[[#This Row],[Shortname]], Comp[], 22, FALSE)</f>
        <v>0</v>
      </c>
      <c r="Z501">
        <f>VLOOKUP(Table5[[#This Row],[Shortname]], Comp[], 23, FALSE)</f>
        <v>0</v>
      </c>
      <c r="AA501">
        <f>VLOOKUP(Table5[[#This Row],[Shortname]], Comp[], 24, FALSE)</f>
        <v>0</v>
      </c>
      <c r="AB501">
        <f>VLOOKUP(Table5[[#This Row],[Shortname]], Comp[], 25, FALSE)</f>
        <v>0</v>
      </c>
      <c r="AC501">
        <f>VLOOKUP(Table5[[#This Row],[Shortname]], Comp[], 26, FALSE)</f>
        <v>0</v>
      </c>
      <c r="AD501">
        <f>VLOOKUP(Table5[[#This Row],[Shortname]], Comp[], 27, FALSE)</f>
        <v>0</v>
      </c>
      <c r="AE501">
        <f>VLOOKUP(Table5[[#This Row],[Shortname]], Comp[], 28, FALSE)</f>
        <v>0</v>
      </c>
      <c r="AF501">
        <f>VLOOKUP(Table5[[#This Row],[Shortname]], Comp[], 29, FALSE)</f>
        <v>0</v>
      </c>
      <c r="AG501">
        <f>VLOOKUP(Table5[[#This Row],[Shortname]], Comp[], 30, FALSE)</f>
        <v>0</v>
      </c>
      <c r="AH501">
        <f>VLOOKUP(Table5[[#This Row],[Shortname]], Comp[], 31, FALSE)</f>
        <v>0</v>
      </c>
    </row>
    <row r="502" spans="1:34" x14ac:dyDescent="0.3">
      <c r="A502" s="7" t="s">
        <v>4454</v>
      </c>
      <c r="B502">
        <v>518</v>
      </c>
      <c r="C502" s="7" t="str">
        <f>VLOOKUP(Table5[[#This Row],[Shortname]], [1]!comp[#Data], 2, FALSE)</f>
        <v>Low-W</v>
      </c>
      <c r="D502" s="7" t="s">
        <v>4456</v>
      </c>
      <c r="E502" s="11" t="s">
        <v>6763</v>
      </c>
      <c r="F502">
        <v>1095</v>
      </c>
      <c r="G502">
        <v>1303</v>
      </c>
      <c r="J502" s="14">
        <f>VLOOKUP(Table5[[#This Row],[Shortname]], Comp[], 7, FALSE)</f>
        <v>89</v>
      </c>
      <c r="K502">
        <f>VLOOKUP(Table5[[#This Row],[Shortname]], Comp[], 8, FALSE)</f>
        <v>0</v>
      </c>
      <c r="L502">
        <f>VLOOKUP(Table5[[#This Row],[Shortname]], Comp[], 9, FALSE)</f>
        <v>8</v>
      </c>
      <c r="M502">
        <f>VLOOKUP(Table5[[#This Row],[Shortname]], Comp[], 10, FALSE)</f>
        <v>0</v>
      </c>
      <c r="N502">
        <f>VLOOKUP(Table5[[#This Row],[Shortname]], Comp[], 11, FALSE)</f>
        <v>2</v>
      </c>
      <c r="O502">
        <f>VLOOKUP(Table5[[#This Row],[Shortname]], Comp[],12, FALSE)</f>
        <v>0</v>
      </c>
      <c r="P502">
        <f>VLOOKUP(Table5[[#This Row],[Shortname]], Comp[], 13, FALSE)</f>
        <v>0</v>
      </c>
      <c r="Q502">
        <f>VLOOKUP(Table5[[#This Row],[Shortname]], Comp[], 14, FALSE)</f>
        <v>0</v>
      </c>
      <c r="R502">
        <f>VLOOKUP(Table5[[#This Row],[Shortname]], Comp[], 15, FALSE)</f>
        <v>0</v>
      </c>
      <c r="S502">
        <f>VLOOKUP(Table5[[#This Row],[Shortname]], Comp[], 16, FALSE)</f>
        <v>1</v>
      </c>
      <c r="T502">
        <f>VLOOKUP(Table5[[#This Row],[Shortname]], Comp[], 17, FALSE)</f>
        <v>0</v>
      </c>
      <c r="U502">
        <f>VLOOKUP(Table5[[#This Row],[Shortname]], Comp[], 18, FALSE)</f>
        <v>0</v>
      </c>
      <c r="V502">
        <f>VLOOKUP(Table5[[#This Row],[Shortname]], Comp[], 19, FALSE)</f>
        <v>0</v>
      </c>
      <c r="W502">
        <f>VLOOKUP(Table5[[#This Row],[Shortname]], Comp[], 20, FALSE)</f>
        <v>0</v>
      </c>
      <c r="X502">
        <f>VLOOKUP(Table5[[#This Row],[Shortname]], Comp[], 21, FALSE)</f>
        <v>0</v>
      </c>
      <c r="Y502">
        <f>VLOOKUP(Table5[[#This Row],[Shortname]], Comp[], 22, FALSE)</f>
        <v>0</v>
      </c>
      <c r="Z502">
        <f>VLOOKUP(Table5[[#This Row],[Shortname]], Comp[], 23, FALSE)</f>
        <v>0</v>
      </c>
      <c r="AA502">
        <f>VLOOKUP(Table5[[#This Row],[Shortname]], Comp[], 24, FALSE)</f>
        <v>0</v>
      </c>
      <c r="AB502">
        <f>VLOOKUP(Table5[[#This Row],[Shortname]], Comp[], 25, FALSE)</f>
        <v>0</v>
      </c>
      <c r="AC502">
        <f>VLOOKUP(Table5[[#This Row],[Shortname]], Comp[], 26, FALSE)</f>
        <v>0</v>
      </c>
      <c r="AD502">
        <f>VLOOKUP(Table5[[#This Row],[Shortname]], Comp[], 27, FALSE)</f>
        <v>0</v>
      </c>
      <c r="AE502">
        <f>VLOOKUP(Table5[[#This Row],[Shortname]], Comp[], 28, FALSE)</f>
        <v>0</v>
      </c>
      <c r="AF502">
        <f>VLOOKUP(Table5[[#This Row],[Shortname]], Comp[], 29, FALSE)</f>
        <v>0</v>
      </c>
      <c r="AG502">
        <f>VLOOKUP(Table5[[#This Row],[Shortname]], Comp[], 30, FALSE)</f>
        <v>0</v>
      </c>
      <c r="AH502">
        <f>VLOOKUP(Table5[[#This Row],[Shortname]], Comp[], 31, FALSE)</f>
        <v>0</v>
      </c>
    </row>
    <row r="503" spans="1:34" x14ac:dyDescent="0.3">
      <c r="A503" s="7" t="s">
        <v>4435</v>
      </c>
      <c r="B503">
        <v>519</v>
      </c>
      <c r="C503" s="7" t="str">
        <f>VLOOKUP(Table5[[#This Row],[Shortname]], [1]!comp[#Data], 2, FALSE)</f>
        <v>CoAlW-X</v>
      </c>
      <c r="D503" s="7" t="s">
        <v>4437</v>
      </c>
      <c r="E503" s="11" t="s">
        <v>6763</v>
      </c>
      <c r="F503">
        <v>1086</v>
      </c>
      <c r="G503">
        <v>1326</v>
      </c>
      <c r="J503" s="14">
        <f>VLOOKUP(Table5[[#This Row],[Shortname]], Comp[], 7, FALSE)</f>
        <v>91</v>
      </c>
      <c r="K503">
        <f>VLOOKUP(Table5[[#This Row],[Shortname]], Comp[], 8, FALSE)</f>
        <v>0</v>
      </c>
      <c r="L503">
        <f>VLOOKUP(Table5[[#This Row],[Shortname]], Comp[], 9, FALSE)</f>
        <v>6</v>
      </c>
      <c r="M503">
        <f>VLOOKUP(Table5[[#This Row],[Shortname]], Comp[], 10, FALSE)</f>
        <v>0</v>
      </c>
      <c r="N503">
        <f>VLOOKUP(Table5[[#This Row],[Shortname]], Comp[], 11, FALSE)</f>
        <v>3</v>
      </c>
      <c r="O503">
        <f>VLOOKUP(Table5[[#This Row],[Shortname]], Comp[],12, FALSE)</f>
        <v>0</v>
      </c>
      <c r="P503">
        <f>VLOOKUP(Table5[[#This Row],[Shortname]], Comp[], 13, FALSE)</f>
        <v>0</v>
      </c>
      <c r="Q503">
        <f>VLOOKUP(Table5[[#This Row],[Shortname]], Comp[], 14, FALSE)</f>
        <v>0</v>
      </c>
      <c r="R503">
        <f>VLOOKUP(Table5[[#This Row],[Shortname]], Comp[], 15, FALSE)</f>
        <v>0</v>
      </c>
      <c r="S503">
        <f>VLOOKUP(Table5[[#This Row],[Shortname]], Comp[], 16, FALSE)</f>
        <v>0</v>
      </c>
      <c r="T503">
        <f>VLOOKUP(Table5[[#This Row],[Shortname]], Comp[], 17, FALSE)</f>
        <v>0</v>
      </c>
      <c r="U503">
        <f>VLOOKUP(Table5[[#This Row],[Shortname]], Comp[], 18, FALSE)</f>
        <v>0</v>
      </c>
      <c r="V503">
        <f>VLOOKUP(Table5[[#This Row],[Shortname]], Comp[], 19, FALSE)</f>
        <v>0</v>
      </c>
      <c r="W503">
        <f>VLOOKUP(Table5[[#This Row],[Shortname]], Comp[], 20, FALSE)</f>
        <v>0</v>
      </c>
      <c r="X503">
        <f>VLOOKUP(Table5[[#This Row],[Shortname]], Comp[], 21, FALSE)</f>
        <v>0</v>
      </c>
      <c r="Y503">
        <f>VLOOKUP(Table5[[#This Row],[Shortname]], Comp[], 22, FALSE)</f>
        <v>0</v>
      </c>
      <c r="Z503">
        <f>VLOOKUP(Table5[[#This Row],[Shortname]], Comp[], 23, FALSE)</f>
        <v>0</v>
      </c>
      <c r="AA503">
        <f>VLOOKUP(Table5[[#This Row],[Shortname]], Comp[], 24, FALSE)</f>
        <v>0</v>
      </c>
      <c r="AB503">
        <f>VLOOKUP(Table5[[#This Row],[Shortname]], Comp[], 25, FALSE)</f>
        <v>0</v>
      </c>
      <c r="AC503">
        <f>VLOOKUP(Table5[[#This Row],[Shortname]], Comp[], 26, FALSE)</f>
        <v>0</v>
      </c>
      <c r="AD503">
        <f>VLOOKUP(Table5[[#This Row],[Shortname]], Comp[], 27, FALSE)</f>
        <v>0</v>
      </c>
      <c r="AE503">
        <f>VLOOKUP(Table5[[#This Row],[Shortname]], Comp[], 28, FALSE)</f>
        <v>0</v>
      </c>
      <c r="AF503">
        <f>VLOOKUP(Table5[[#This Row],[Shortname]], Comp[], 29, FALSE)</f>
        <v>0</v>
      </c>
      <c r="AG503">
        <f>VLOOKUP(Table5[[#This Row],[Shortname]], Comp[], 30, FALSE)</f>
        <v>0</v>
      </c>
      <c r="AH503">
        <f>VLOOKUP(Table5[[#This Row],[Shortname]], Comp[], 31, FALSE)</f>
        <v>0</v>
      </c>
    </row>
    <row r="504" spans="1:34" x14ac:dyDescent="0.3">
      <c r="A504" s="7" t="s">
        <v>4460</v>
      </c>
      <c r="B504">
        <v>520</v>
      </c>
      <c r="C504" s="7" t="str">
        <f>VLOOKUP(Table5[[#This Row],[Shortname]], [1]!comp[#Data], 2, FALSE)</f>
        <v>Low-W</v>
      </c>
      <c r="D504" s="7" t="s">
        <v>4462</v>
      </c>
      <c r="E504" s="11" t="s">
        <v>6763</v>
      </c>
      <c r="F504">
        <v>1086</v>
      </c>
      <c r="G504">
        <v>1299</v>
      </c>
      <c r="J504" s="14">
        <f>VLOOKUP(Table5[[#This Row],[Shortname]], Comp[], 7, FALSE)</f>
        <v>89</v>
      </c>
      <c r="K504">
        <f>VLOOKUP(Table5[[#This Row],[Shortname]], Comp[], 8, FALSE)</f>
        <v>0</v>
      </c>
      <c r="L504">
        <f>VLOOKUP(Table5[[#This Row],[Shortname]], Comp[], 9, FALSE)</f>
        <v>8</v>
      </c>
      <c r="M504">
        <f>VLOOKUP(Table5[[#This Row],[Shortname]], Comp[], 10, FALSE)</f>
        <v>0</v>
      </c>
      <c r="N504">
        <f>VLOOKUP(Table5[[#This Row],[Shortname]], Comp[], 11, FALSE)</f>
        <v>1</v>
      </c>
      <c r="O504">
        <f>VLOOKUP(Table5[[#This Row],[Shortname]], Comp[],12, FALSE)</f>
        <v>0</v>
      </c>
      <c r="P504">
        <f>VLOOKUP(Table5[[#This Row],[Shortname]], Comp[], 13, FALSE)</f>
        <v>0</v>
      </c>
      <c r="Q504">
        <f>VLOOKUP(Table5[[#This Row],[Shortname]], Comp[], 14, FALSE)</f>
        <v>0</v>
      </c>
      <c r="R504">
        <f>VLOOKUP(Table5[[#This Row],[Shortname]], Comp[], 15, FALSE)</f>
        <v>0</v>
      </c>
      <c r="S504">
        <f>VLOOKUP(Table5[[#This Row],[Shortname]], Comp[], 16, FALSE)</f>
        <v>2</v>
      </c>
      <c r="T504">
        <f>VLOOKUP(Table5[[#This Row],[Shortname]], Comp[], 17, FALSE)</f>
        <v>0</v>
      </c>
      <c r="U504">
        <f>VLOOKUP(Table5[[#This Row],[Shortname]], Comp[], 18, FALSE)</f>
        <v>0</v>
      </c>
      <c r="V504">
        <f>VLOOKUP(Table5[[#This Row],[Shortname]], Comp[], 19, FALSE)</f>
        <v>0</v>
      </c>
      <c r="W504">
        <f>VLOOKUP(Table5[[#This Row],[Shortname]], Comp[], 20, FALSE)</f>
        <v>0</v>
      </c>
      <c r="X504">
        <f>VLOOKUP(Table5[[#This Row],[Shortname]], Comp[], 21, FALSE)</f>
        <v>0</v>
      </c>
      <c r="Y504">
        <f>VLOOKUP(Table5[[#This Row],[Shortname]], Comp[], 22, FALSE)</f>
        <v>0</v>
      </c>
      <c r="Z504">
        <f>VLOOKUP(Table5[[#This Row],[Shortname]], Comp[], 23, FALSE)</f>
        <v>0</v>
      </c>
      <c r="AA504">
        <f>VLOOKUP(Table5[[#This Row],[Shortname]], Comp[], 24, FALSE)</f>
        <v>0</v>
      </c>
      <c r="AB504">
        <f>VLOOKUP(Table5[[#This Row],[Shortname]], Comp[], 25, FALSE)</f>
        <v>0</v>
      </c>
      <c r="AC504">
        <f>VLOOKUP(Table5[[#This Row],[Shortname]], Comp[], 26, FALSE)</f>
        <v>0</v>
      </c>
      <c r="AD504">
        <f>VLOOKUP(Table5[[#This Row],[Shortname]], Comp[], 27, FALSE)</f>
        <v>0</v>
      </c>
      <c r="AE504">
        <f>VLOOKUP(Table5[[#This Row],[Shortname]], Comp[], 28, FALSE)</f>
        <v>0</v>
      </c>
      <c r="AF504">
        <f>VLOOKUP(Table5[[#This Row],[Shortname]], Comp[], 29, FALSE)</f>
        <v>0</v>
      </c>
      <c r="AG504">
        <f>VLOOKUP(Table5[[#This Row],[Shortname]], Comp[], 30, FALSE)</f>
        <v>0</v>
      </c>
      <c r="AH504">
        <f>VLOOKUP(Table5[[#This Row],[Shortname]], Comp[], 31, FALSE)</f>
        <v>0</v>
      </c>
    </row>
    <row r="505" spans="1:34" x14ac:dyDescent="0.3">
      <c r="A505" s="7" t="s">
        <v>4442</v>
      </c>
      <c r="B505">
        <v>521</v>
      </c>
      <c r="C505" s="7" t="str">
        <f>VLOOKUP(Table5[[#This Row],[Shortname]], [1]!comp[#Data], 2, FALSE)</f>
        <v>Low-W</v>
      </c>
      <c r="D505" s="7" t="s">
        <v>4444</v>
      </c>
      <c r="E505" s="11" t="s">
        <v>6763</v>
      </c>
      <c r="F505">
        <v>1074</v>
      </c>
      <c r="G505">
        <v>1320</v>
      </c>
      <c r="J505" s="14">
        <f>VLOOKUP(Table5[[#This Row],[Shortname]], Comp[], 7, FALSE)</f>
        <v>91</v>
      </c>
      <c r="K505">
        <f>VLOOKUP(Table5[[#This Row],[Shortname]], Comp[], 8, FALSE)</f>
        <v>0</v>
      </c>
      <c r="L505">
        <f>VLOOKUP(Table5[[#This Row],[Shortname]], Comp[], 9, FALSE)</f>
        <v>6</v>
      </c>
      <c r="M505">
        <f>VLOOKUP(Table5[[#This Row],[Shortname]], Comp[], 10, FALSE)</f>
        <v>0</v>
      </c>
      <c r="N505">
        <f>VLOOKUP(Table5[[#This Row],[Shortname]], Comp[], 11, FALSE)</f>
        <v>2</v>
      </c>
      <c r="O505">
        <f>VLOOKUP(Table5[[#This Row],[Shortname]], Comp[],12, FALSE)</f>
        <v>0</v>
      </c>
      <c r="P505">
        <f>VLOOKUP(Table5[[#This Row],[Shortname]], Comp[], 13, FALSE)</f>
        <v>0</v>
      </c>
      <c r="Q505">
        <f>VLOOKUP(Table5[[#This Row],[Shortname]], Comp[], 14, FALSE)</f>
        <v>0</v>
      </c>
      <c r="R505">
        <f>VLOOKUP(Table5[[#This Row],[Shortname]], Comp[], 15, FALSE)</f>
        <v>0</v>
      </c>
      <c r="S505">
        <f>VLOOKUP(Table5[[#This Row],[Shortname]], Comp[], 16, FALSE)</f>
        <v>1</v>
      </c>
      <c r="T505">
        <f>VLOOKUP(Table5[[#This Row],[Shortname]], Comp[], 17, FALSE)</f>
        <v>0</v>
      </c>
      <c r="U505">
        <f>VLOOKUP(Table5[[#This Row],[Shortname]], Comp[], 18, FALSE)</f>
        <v>0</v>
      </c>
      <c r="V505">
        <f>VLOOKUP(Table5[[#This Row],[Shortname]], Comp[], 19, FALSE)</f>
        <v>0</v>
      </c>
      <c r="W505">
        <f>VLOOKUP(Table5[[#This Row],[Shortname]], Comp[], 20, FALSE)</f>
        <v>0</v>
      </c>
      <c r="X505">
        <f>VLOOKUP(Table5[[#This Row],[Shortname]], Comp[], 21, FALSE)</f>
        <v>0</v>
      </c>
      <c r="Y505">
        <f>VLOOKUP(Table5[[#This Row],[Shortname]], Comp[], 22, FALSE)</f>
        <v>0</v>
      </c>
      <c r="Z505">
        <f>VLOOKUP(Table5[[#This Row],[Shortname]], Comp[], 23, FALSE)</f>
        <v>0</v>
      </c>
      <c r="AA505">
        <f>VLOOKUP(Table5[[#This Row],[Shortname]], Comp[], 24, FALSE)</f>
        <v>0</v>
      </c>
      <c r="AB505">
        <f>VLOOKUP(Table5[[#This Row],[Shortname]], Comp[], 25, FALSE)</f>
        <v>0</v>
      </c>
      <c r="AC505">
        <f>VLOOKUP(Table5[[#This Row],[Shortname]], Comp[], 26, FALSE)</f>
        <v>0</v>
      </c>
      <c r="AD505">
        <f>VLOOKUP(Table5[[#This Row],[Shortname]], Comp[], 27, FALSE)</f>
        <v>0</v>
      </c>
      <c r="AE505">
        <f>VLOOKUP(Table5[[#This Row],[Shortname]], Comp[], 28, FALSE)</f>
        <v>0</v>
      </c>
      <c r="AF505">
        <f>VLOOKUP(Table5[[#This Row],[Shortname]], Comp[], 29, FALSE)</f>
        <v>0</v>
      </c>
      <c r="AG505">
        <f>VLOOKUP(Table5[[#This Row],[Shortname]], Comp[], 30, FALSE)</f>
        <v>0</v>
      </c>
      <c r="AH505">
        <f>VLOOKUP(Table5[[#This Row],[Shortname]], Comp[], 31, FALSE)</f>
        <v>0</v>
      </c>
    </row>
    <row r="506" spans="1:34" x14ac:dyDescent="0.3">
      <c r="A506" s="7" t="s">
        <v>4466</v>
      </c>
      <c r="B506">
        <v>522</v>
      </c>
      <c r="C506" s="7" t="str">
        <f>VLOOKUP(Table5[[#This Row],[Shortname]], [1]!comp[#Data], 2, FALSE)</f>
        <v>CoAlW-X</v>
      </c>
      <c r="D506" s="7" t="s">
        <v>4467</v>
      </c>
      <c r="E506" s="11" t="s">
        <v>6764</v>
      </c>
      <c r="F506">
        <v>1091</v>
      </c>
      <c r="J506" s="14">
        <f>VLOOKUP(Table5[[#This Row],[Shortname]], Comp[], 7, FALSE)</f>
        <v>79.98</v>
      </c>
      <c r="K506">
        <f>VLOOKUP(Table5[[#This Row],[Shortname]], Comp[], 8, FALSE)</f>
        <v>0</v>
      </c>
      <c r="L506">
        <f>VLOOKUP(Table5[[#This Row],[Shortname]], Comp[], 9, FALSE)</f>
        <v>9</v>
      </c>
      <c r="M506">
        <f>VLOOKUP(Table5[[#This Row],[Shortname]], Comp[], 10, FALSE)</f>
        <v>0</v>
      </c>
      <c r="N506">
        <f>VLOOKUP(Table5[[#This Row],[Shortname]], Comp[], 11, FALSE)</f>
        <v>9</v>
      </c>
      <c r="O506">
        <f>VLOOKUP(Table5[[#This Row],[Shortname]], Comp[],12, FALSE)</f>
        <v>0</v>
      </c>
      <c r="P506">
        <f>VLOOKUP(Table5[[#This Row],[Shortname]], Comp[], 13, FALSE)</f>
        <v>2</v>
      </c>
      <c r="Q506">
        <f>VLOOKUP(Table5[[#This Row],[Shortname]], Comp[], 14, FALSE)</f>
        <v>0</v>
      </c>
      <c r="R506">
        <f>VLOOKUP(Table5[[#This Row],[Shortname]], Comp[], 15, FALSE)</f>
        <v>0</v>
      </c>
      <c r="S506">
        <f>VLOOKUP(Table5[[#This Row],[Shortname]], Comp[], 16, FALSE)</f>
        <v>0</v>
      </c>
      <c r="T506">
        <f>VLOOKUP(Table5[[#This Row],[Shortname]], Comp[], 17, FALSE)</f>
        <v>0</v>
      </c>
      <c r="U506">
        <f>VLOOKUP(Table5[[#This Row],[Shortname]], Comp[], 18, FALSE)</f>
        <v>0</v>
      </c>
      <c r="V506">
        <f>VLOOKUP(Table5[[#This Row],[Shortname]], Comp[], 19, FALSE)</f>
        <v>0.02</v>
      </c>
      <c r="W506">
        <f>VLOOKUP(Table5[[#This Row],[Shortname]], Comp[], 20, FALSE)</f>
        <v>0</v>
      </c>
      <c r="X506">
        <f>VLOOKUP(Table5[[#This Row],[Shortname]], Comp[], 21, FALSE)</f>
        <v>0</v>
      </c>
      <c r="Y506">
        <f>VLOOKUP(Table5[[#This Row],[Shortname]], Comp[], 22, FALSE)</f>
        <v>0</v>
      </c>
      <c r="Z506">
        <f>VLOOKUP(Table5[[#This Row],[Shortname]], Comp[], 23, FALSE)</f>
        <v>0</v>
      </c>
      <c r="AA506">
        <f>VLOOKUP(Table5[[#This Row],[Shortname]], Comp[], 24, FALSE)</f>
        <v>0</v>
      </c>
      <c r="AB506">
        <f>VLOOKUP(Table5[[#This Row],[Shortname]], Comp[], 25, FALSE)</f>
        <v>0</v>
      </c>
      <c r="AC506">
        <f>VLOOKUP(Table5[[#This Row],[Shortname]], Comp[], 26, FALSE)</f>
        <v>0</v>
      </c>
      <c r="AD506">
        <f>VLOOKUP(Table5[[#This Row],[Shortname]], Comp[], 27, FALSE)</f>
        <v>0</v>
      </c>
      <c r="AE506">
        <f>VLOOKUP(Table5[[#This Row],[Shortname]], Comp[], 28, FALSE)</f>
        <v>0</v>
      </c>
      <c r="AF506">
        <f>VLOOKUP(Table5[[#This Row],[Shortname]], Comp[], 29, FALSE)</f>
        <v>0</v>
      </c>
      <c r="AG506">
        <f>VLOOKUP(Table5[[#This Row],[Shortname]], Comp[], 30, FALSE)</f>
        <v>0</v>
      </c>
      <c r="AH506">
        <f>VLOOKUP(Table5[[#This Row],[Shortname]], Comp[], 31, FALSE)</f>
        <v>0</v>
      </c>
    </row>
    <row r="507" spans="1:34" x14ac:dyDescent="0.3">
      <c r="A507" s="7" t="s">
        <v>1482</v>
      </c>
      <c r="B507">
        <v>523</v>
      </c>
      <c r="C507" s="7" t="str">
        <f>VLOOKUP(Table5[[#This Row],[Shortname]], [1]!comp[#Data], 2, FALSE)</f>
        <v>CoAlWX+</v>
      </c>
      <c r="D507" s="7" t="s">
        <v>4472</v>
      </c>
      <c r="E507" s="11" t="s">
        <v>6764</v>
      </c>
      <c r="F507">
        <v>1065</v>
      </c>
      <c r="J507" s="14">
        <f>VLOOKUP(Table5[[#This Row],[Shortname]], Comp[], 7, FALSE)</f>
        <v>79.98</v>
      </c>
      <c r="K507">
        <f>VLOOKUP(Table5[[#This Row],[Shortname]], Comp[], 8, FALSE)</f>
        <v>0</v>
      </c>
      <c r="L507">
        <f>VLOOKUP(Table5[[#This Row],[Shortname]], Comp[], 9, FALSE)</f>
        <v>9</v>
      </c>
      <c r="M507">
        <f>VLOOKUP(Table5[[#This Row],[Shortname]], Comp[], 10, FALSE)</f>
        <v>0</v>
      </c>
      <c r="N507">
        <f>VLOOKUP(Table5[[#This Row],[Shortname]], Comp[], 11, FALSE)</f>
        <v>7</v>
      </c>
      <c r="O507">
        <f>VLOOKUP(Table5[[#This Row],[Shortname]], Comp[],12, FALSE)</f>
        <v>0</v>
      </c>
      <c r="P507">
        <f>VLOOKUP(Table5[[#This Row],[Shortname]], Comp[], 13, FALSE)</f>
        <v>2</v>
      </c>
      <c r="Q507">
        <f>VLOOKUP(Table5[[#This Row],[Shortname]], Comp[], 14, FALSE)</f>
        <v>0</v>
      </c>
      <c r="R507">
        <f>VLOOKUP(Table5[[#This Row],[Shortname]], Comp[], 15, FALSE)</f>
        <v>0</v>
      </c>
      <c r="S507">
        <f>VLOOKUP(Table5[[#This Row],[Shortname]], Comp[], 16, FALSE)</f>
        <v>2</v>
      </c>
      <c r="T507">
        <f>VLOOKUP(Table5[[#This Row],[Shortname]], Comp[], 17, FALSE)</f>
        <v>0</v>
      </c>
      <c r="U507">
        <f>VLOOKUP(Table5[[#This Row],[Shortname]], Comp[], 18, FALSE)</f>
        <v>0</v>
      </c>
      <c r="V507">
        <f>VLOOKUP(Table5[[#This Row],[Shortname]], Comp[], 19, FALSE)</f>
        <v>0.02</v>
      </c>
      <c r="W507">
        <f>VLOOKUP(Table5[[#This Row],[Shortname]], Comp[], 20, FALSE)</f>
        <v>0</v>
      </c>
      <c r="X507">
        <f>VLOOKUP(Table5[[#This Row],[Shortname]], Comp[], 21, FALSE)</f>
        <v>0</v>
      </c>
      <c r="Y507">
        <f>VLOOKUP(Table5[[#This Row],[Shortname]], Comp[], 22, FALSE)</f>
        <v>0</v>
      </c>
      <c r="Z507">
        <f>VLOOKUP(Table5[[#This Row],[Shortname]], Comp[], 23, FALSE)</f>
        <v>0</v>
      </c>
      <c r="AA507">
        <f>VLOOKUP(Table5[[#This Row],[Shortname]], Comp[], 24, FALSE)</f>
        <v>0</v>
      </c>
      <c r="AB507">
        <f>VLOOKUP(Table5[[#This Row],[Shortname]], Comp[], 25, FALSE)</f>
        <v>0</v>
      </c>
      <c r="AC507">
        <f>VLOOKUP(Table5[[#This Row],[Shortname]], Comp[], 26, FALSE)</f>
        <v>0</v>
      </c>
      <c r="AD507">
        <f>VLOOKUP(Table5[[#This Row],[Shortname]], Comp[], 27, FALSE)</f>
        <v>0</v>
      </c>
      <c r="AE507">
        <f>VLOOKUP(Table5[[#This Row],[Shortname]], Comp[], 28, FALSE)</f>
        <v>0</v>
      </c>
      <c r="AF507">
        <f>VLOOKUP(Table5[[#This Row],[Shortname]], Comp[], 29, FALSE)</f>
        <v>0</v>
      </c>
      <c r="AG507">
        <f>VLOOKUP(Table5[[#This Row],[Shortname]], Comp[], 30, FALSE)</f>
        <v>0</v>
      </c>
      <c r="AH507">
        <f>VLOOKUP(Table5[[#This Row],[Shortname]], Comp[], 31, FALSE)</f>
        <v>0</v>
      </c>
    </row>
    <row r="508" spans="1:34" x14ac:dyDescent="0.3">
      <c r="A508" s="7" t="s">
        <v>1488</v>
      </c>
      <c r="B508">
        <v>524</v>
      </c>
      <c r="C508" s="7" t="str">
        <f>VLOOKUP(Table5[[#This Row],[Shortname]], [1]!comp[#Data], 2, FALSE)</f>
        <v>CoAlWX+</v>
      </c>
      <c r="D508" s="7" t="s">
        <v>4474</v>
      </c>
      <c r="E508" s="11" t="s">
        <v>6764</v>
      </c>
      <c r="F508">
        <v>1043</v>
      </c>
      <c r="J508" s="14">
        <f>VLOOKUP(Table5[[#This Row],[Shortname]], Comp[], 7, FALSE)</f>
        <v>79.98</v>
      </c>
      <c r="K508">
        <f>VLOOKUP(Table5[[#This Row],[Shortname]], Comp[], 8, FALSE)</f>
        <v>0</v>
      </c>
      <c r="L508">
        <f>VLOOKUP(Table5[[#This Row],[Shortname]], Comp[], 9, FALSE)</f>
        <v>9</v>
      </c>
      <c r="M508">
        <f>VLOOKUP(Table5[[#This Row],[Shortname]], Comp[], 10, FALSE)</f>
        <v>0</v>
      </c>
      <c r="N508">
        <f>VLOOKUP(Table5[[#This Row],[Shortname]], Comp[], 11, FALSE)</f>
        <v>5</v>
      </c>
      <c r="O508">
        <f>VLOOKUP(Table5[[#This Row],[Shortname]], Comp[],12, FALSE)</f>
        <v>0</v>
      </c>
      <c r="P508">
        <f>VLOOKUP(Table5[[#This Row],[Shortname]], Comp[], 13, FALSE)</f>
        <v>2</v>
      </c>
      <c r="Q508">
        <f>VLOOKUP(Table5[[#This Row],[Shortname]], Comp[], 14, FALSE)</f>
        <v>0</v>
      </c>
      <c r="R508">
        <f>VLOOKUP(Table5[[#This Row],[Shortname]], Comp[], 15, FALSE)</f>
        <v>0</v>
      </c>
      <c r="S508">
        <f>VLOOKUP(Table5[[#This Row],[Shortname]], Comp[], 16, FALSE)</f>
        <v>4</v>
      </c>
      <c r="T508">
        <f>VLOOKUP(Table5[[#This Row],[Shortname]], Comp[], 17, FALSE)</f>
        <v>0</v>
      </c>
      <c r="U508">
        <f>VLOOKUP(Table5[[#This Row],[Shortname]], Comp[], 18, FALSE)</f>
        <v>0</v>
      </c>
      <c r="V508">
        <f>VLOOKUP(Table5[[#This Row],[Shortname]], Comp[], 19, FALSE)</f>
        <v>0.02</v>
      </c>
      <c r="W508">
        <f>VLOOKUP(Table5[[#This Row],[Shortname]], Comp[], 20, FALSE)</f>
        <v>0</v>
      </c>
      <c r="X508">
        <f>VLOOKUP(Table5[[#This Row],[Shortname]], Comp[], 21, FALSE)</f>
        <v>0</v>
      </c>
      <c r="Y508">
        <f>VLOOKUP(Table5[[#This Row],[Shortname]], Comp[], 22, FALSE)</f>
        <v>0</v>
      </c>
      <c r="Z508">
        <f>VLOOKUP(Table5[[#This Row],[Shortname]], Comp[], 23, FALSE)</f>
        <v>0</v>
      </c>
      <c r="AA508">
        <f>VLOOKUP(Table5[[#This Row],[Shortname]], Comp[], 24, FALSE)</f>
        <v>0</v>
      </c>
      <c r="AB508">
        <f>VLOOKUP(Table5[[#This Row],[Shortname]], Comp[], 25, FALSE)</f>
        <v>0</v>
      </c>
      <c r="AC508">
        <f>VLOOKUP(Table5[[#This Row],[Shortname]], Comp[], 26, FALSE)</f>
        <v>0</v>
      </c>
      <c r="AD508">
        <f>VLOOKUP(Table5[[#This Row],[Shortname]], Comp[], 27, FALSE)</f>
        <v>0</v>
      </c>
      <c r="AE508">
        <f>VLOOKUP(Table5[[#This Row],[Shortname]], Comp[], 28, FALSE)</f>
        <v>0</v>
      </c>
      <c r="AF508">
        <f>VLOOKUP(Table5[[#This Row],[Shortname]], Comp[], 29, FALSE)</f>
        <v>0</v>
      </c>
      <c r="AG508">
        <f>VLOOKUP(Table5[[#This Row],[Shortname]], Comp[], 30, FALSE)</f>
        <v>0</v>
      </c>
      <c r="AH508">
        <f>VLOOKUP(Table5[[#This Row],[Shortname]], Comp[], 31, FALSE)</f>
        <v>0</v>
      </c>
    </row>
    <row r="509" spans="1:34" x14ac:dyDescent="0.3">
      <c r="A509" s="7" t="s">
        <v>4847</v>
      </c>
      <c r="B509">
        <v>525</v>
      </c>
      <c r="C509" s="7" t="str">
        <f>VLOOKUP(Table5[[#This Row],[Shortname]], [1]!comp[#Data], 2, FALSE)</f>
        <v>CoAlWX+</v>
      </c>
      <c r="D509" s="7" t="s">
        <v>4849</v>
      </c>
      <c r="E509" s="11" t="s">
        <v>6765</v>
      </c>
      <c r="F509">
        <v>1185</v>
      </c>
      <c r="G509" s="28" t="s">
        <v>6766</v>
      </c>
      <c r="J509" s="14">
        <f>VLOOKUP(Table5[[#This Row],[Shortname]], Comp[], 7, FALSE)</f>
        <v>60</v>
      </c>
      <c r="K509">
        <f>VLOOKUP(Table5[[#This Row],[Shortname]], Comp[], 8, FALSE)</f>
        <v>20</v>
      </c>
      <c r="L509">
        <f>VLOOKUP(Table5[[#This Row],[Shortname]], Comp[], 9, FALSE)</f>
        <v>7</v>
      </c>
      <c r="M509">
        <f>VLOOKUP(Table5[[#This Row],[Shortname]], Comp[], 10, FALSE)</f>
        <v>0</v>
      </c>
      <c r="N509">
        <f>VLOOKUP(Table5[[#This Row],[Shortname]], Comp[], 11, FALSE)</f>
        <v>7</v>
      </c>
      <c r="O509">
        <f>VLOOKUP(Table5[[#This Row],[Shortname]], Comp[],12, FALSE)</f>
        <v>4</v>
      </c>
      <c r="P509">
        <f>VLOOKUP(Table5[[#This Row],[Shortname]], Comp[], 13, FALSE)</f>
        <v>2</v>
      </c>
      <c r="Q509">
        <f>VLOOKUP(Table5[[#This Row],[Shortname]], Comp[], 14, FALSE)</f>
        <v>0</v>
      </c>
      <c r="R509">
        <f>VLOOKUP(Table5[[#This Row],[Shortname]], Comp[], 15, FALSE)</f>
        <v>0</v>
      </c>
      <c r="S509">
        <f>VLOOKUP(Table5[[#This Row],[Shortname]], Comp[], 16, FALSE)</f>
        <v>0</v>
      </c>
      <c r="T509">
        <f>VLOOKUP(Table5[[#This Row],[Shortname]], Comp[], 17, FALSE)</f>
        <v>0</v>
      </c>
      <c r="U509">
        <f>VLOOKUP(Table5[[#This Row],[Shortname]], Comp[], 18, FALSE)</f>
        <v>0</v>
      </c>
      <c r="V509">
        <f>VLOOKUP(Table5[[#This Row],[Shortname]], Comp[], 19, FALSE)</f>
        <v>0</v>
      </c>
      <c r="W509">
        <f>VLOOKUP(Table5[[#This Row],[Shortname]], Comp[], 20, FALSE)</f>
        <v>0</v>
      </c>
      <c r="X509">
        <f>VLOOKUP(Table5[[#This Row],[Shortname]], Comp[], 21, FALSE)</f>
        <v>0</v>
      </c>
      <c r="Y509">
        <f>VLOOKUP(Table5[[#This Row],[Shortname]], Comp[], 22, FALSE)</f>
        <v>0</v>
      </c>
      <c r="Z509">
        <f>VLOOKUP(Table5[[#This Row],[Shortname]], Comp[], 23, FALSE)</f>
        <v>0</v>
      </c>
      <c r="AA509">
        <f>VLOOKUP(Table5[[#This Row],[Shortname]], Comp[], 24, FALSE)</f>
        <v>0</v>
      </c>
      <c r="AB509">
        <f>VLOOKUP(Table5[[#This Row],[Shortname]], Comp[], 25, FALSE)</f>
        <v>0</v>
      </c>
      <c r="AC509">
        <f>VLOOKUP(Table5[[#This Row],[Shortname]], Comp[], 26, FALSE)</f>
        <v>0</v>
      </c>
      <c r="AD509">
        <f>VLOOKUP(Table5[[#This Row],[Shortname]], Comp[], 27, FALSE)</f>
        <v>0</v>
      </c>
      <c r="AE509">
        <f>VLOOKUP(Table5[[#This Row],[Shortname]], Comp[], 28, FALSE)</f>
        <v>0</v>
      </c>
      <c r="AF509">
        <f>VLOOKUP(Table5[[#This Row],[Shortname]], Comp[], 29, FALSE)</f>
        <v>0</v>
      </c>
      <c r="AG509">
        <f>VLOOKUP(Table5[[#This Row],[Shortname]], Comp[], 30, FALSE)</f>
        <v>0</v>
      </c>
      <c r="AH509">
        <f>VLOOKUP(Table5[[#This Row],[Shortname]], Comp[], 31, FALSE)</f>
        <v>0</v>
      </c>
    </row>
    <row r="510" spans="1:34" x14ac:dyDescent="0.3">
      <c r="A510" s="7" t="s">
        <v>4840</v>
      </c>
      <c r="B510">
        <v>526</v>
      </c>
      <c r="C510" s="7" t="str">
        <f>VLOOKUP(Table5[[#This Row],[Shortname]], [1]!comp[#Data], 2, FALSE)</f>
        <v>CoAlWX+</v>
      </c>
      <c r="D510" s="7" t="s">
        <v>4842</v>
      </c>
      <c r="E510" s="11" t="s">
        <v>6765</v>
      </c>
      <c r="F510">
        <v>1166</v>
      </c>
      <c r="G510">
        <v>1312</v>
      </c>
      <c r="J510" s="14">
        <f>VLOOKUP(Table5[[#This Row],[Shortname]], Comp[], 7, FALSE)</f>
        <v>79</v>
      </c>
      <c r="K510">
        <f>VLOOKUP(Table5[[#This Row],[Shortname]], Comp[], 8, FALSE)</f>
        <v>0</v>
      </c>
      <c r="L510">
        <f>VLOOKUP(Table5[[#This Row],[Shortname]], Comp[], 9, FALSE)</f>
        <v>7</v>
      </c>
      <c r="M510">
        <f>VLOOKUP(Table5[[#This Row],[Shortname]], Comp[], 10, FALSE)</f>
        <v>0</v>
      </c>
      <c r="N510">
        <f>VLOOKUP(Table5[[#This Row],[Shortname]], Comp[], 11, FALSE)</f>
        <v>7</v>
      </c>
      <c r="O510">
        <f>VLOOKUP(Table5[[#This Row],[Shortname]], Comp[],12, FALSE)</f>
        <v>4</v>
      </c>
      <c r="P510">
        <f>VLOOKUP(Table5[[#This Row],[Shortname]], Comp[], 13, FALSE)</f>
        <v>2</v>
      </c>
      <c r="Q510">
        <f>VLOOKUP(Table5[[#This Row],[Shortname]], Comp[], 14, FALSE)</f>
        <v>0</v>
      </c>
      <c r="R510">
        <f>VLOOKUP(Table5[[#This Row],[Shortname]], Comp[], 15, FALSE)</f>
        <v>1</v>
      </c>
      <c r="S510">
        <f>VLOOKUP(Table5[[#This Row],[Shortname]], Comp[], 16, FALSE)</f>
        <v>0</v>
      </c>
      <c r="T510">
        <f>VLOOKUP(Table5[[#This Row],[Shortname]], Comp[], 17, FALSE)</f>
        <v>0</v>
      </c>
      <c r="U510">
        <f>VLOOKUP(Table5[[#This Row],[Shortname]], Comp[], 18, FALSE)</f>
        <v>0</v>
      </c>
      <c r="V510">
        <f>VLOOKUP(Table5[[#This Row],[Shortname]], Comp[], 19, FALSE)</f>
        <v>0</v>
      </c>
      <c r="W510">
        <f>VLOOKUP(Table5[[#This Row],[Shortname]], Comp[], 20, FALSE)</f>
        <v>0</v>
      </c>
      <c r="X510">
        <f>VLOOKUP(Table5[[#This Row],[Shortname]], Comp[], 21, FALSE)</f>
        <v>0</v>
      </c>
      <c r="Y510">
        <f>VLOOKUP(Table5[[#This Row],[Shortname]], Comp[], 22, FALSE)</f>
        <v>0</v>
      </c>
      <c r="Z510">
        <f>VLOOKUP(Table5[[#This Row],[Shortname]], Comp[], 23, FALSE)</f>
        <v>0</v>
      </c>
      <c r="AA510">
        <f>VLOOKUP(Table5[[#This Row],[Shortname]], Comp[], 24, FALSE)</f>
        <v>0</v>
      </c>
      <c r="AB510">
        <f>VLOOKUP(Table5[[#This Row],[Shortname]], Comp[], 25, FALSE)</f>
        <v>0</v>
      </c>
      <c r="AC510">
        <f>VLOOKUP(Table5[[#This Row],[Shortname]], Comp[], 26, FALSE)</f>
        <v>0</v>
      </c>
      <c r="AD510">
        <f>VLOOKUP(Table5[[#This Row],[Shortname]], Comp[], 27, FALSE)</f>
        <v>0</v>
      </c>
      <c r="AE510">
        <f>VLOOKUP(Table5[[#This Row],[Shortname]], Comp[], 28, FALSE)</f>
        <v>0</v>
      </c>
      <c r="AF510">
        <f>VLOOKUP(Table5[[#This Row],[Shortname]], Comp[], 29, FALSE)</f>
        <v>0</v>
      </c>
      <c r="AG510">
        <f>VLOOKUP(Table5[[#This Row],[Shortname]], Comp[], 30, FALSE)</f>
        <v>0</v>
      </c>
      <c r="AH510">
        <f>VLOOKUP(Table5[[#This Row],[Shortname]], Comp[], 31, FALSE)</f>
        <v>0</v>
      </c>
    </row>
    <row r="511" spans="1:34" x14ac:dyDescent="0.3">
      <c r="A511" s="7" t="s">
        <v>3951</v>
      </c>
      <c r="B511">
        <v>527</v>
      </c>
      <c r="C511" s="7" t="str">
        <f>VLOOKUP(Table5[[#This Row],[Shortname]], [1]!comp[#Data], 2, FALSE)</f>
        <v>CoAlWX+</v>
      </c>
      <c r="D511" s="7" t="s">
        <v>5303</v>
      </c>
      <c r="E511" s="11" t="s">
        <v>6765</v>
      </c>
      <c r="F511">
        <v>1160</v>
      </c>
      <c r="G511">
        <v>1313</v>
      </c>
      <c r="J511" s="14">
        <f>VLOOKUP(Table5[[#This Row],[Shortname]], Comp[], 7, FALSE)</f>
        <v>80</v>
      </c>
      <c r="K511">
        <f>VLOOKUP(Table5[[#This Row],[Shortname]], Comp[], 8, FALSE)</f>
        <v>0</v>
      </c>
      <c r="L511">
        <f>VLOOKUP(Table5[[#This Row],[Shortname]], Comp[], 9, FALSE)</f>
        <v>7</v>
      </c>
      <c r="M511">
        <f>VLOOKUP(Table5[[#This Row],[Shortname]], Comp[], 10, FALSE)</f>
        <v>0</v>
      </c>
      <c r="N511">
        <f>VLOOKUP(Table5[[#This Row],[Shortname]], Comp[], 11, FALSE)</f>
        <v>7</v>
      </c>
      <c r="O511">
        <f>VLOOKUP(Table5[[#This Row],[Shortname]], Comp[],12, FALSE)</f>
        <v>4</v>
      </c>
      <c r="P511">
        <f>VLOOKUP(Table5[[#This Row],[Shortname]], Comp[], 13, FALSE)</f>
        <v>2</v>
      </c>
      <c r="Q511">
        <f>VLOOKUP(Table5[[#This Row],[Shortname]], Comp[], 14, FALSE)</f>
        <v>0</v>
      </c>
      <c r="R511">
        <f>VLOOKUP(Table5[[#This Row],[Shortname]], Comp[], 15, FALSE)</f>
        <v>0</v>
      </c>
      <c r="S511">
        <f>VLOOKUP(Table5[[#This Row],[Shortname]], Comp[], 16, FALSE)</f>
        <v>0</v>
      </c>
      <c r="T511">
        <f>VLOOKUP(Table5[[#This Row],[Shortname]], Comp[], 17, FALSE)</f>
        <v>0</v>
      </c>
      <c r="U511">
        <f>VLOOKUP(Table5[[#This Row],[Shortname]], Comp[], 18, FALSE)</f>
        <v>0</v>
      </c>
      <c r="V511">
        <f>VLOOKUP(Table5[[#This Row],[Shortname]], Comp[], 19, FALSE)</f>
        <v>0</v>
      </c>
      <c r="W511">
        <f>VLOOKUP(Table5[[#This Row],[Shortname]], Comp[], 20, FALSE)</f>
        <v>0</v>
      </c>
      <c r="X511">
        <f>VLOOKUP(Table5[[#This Row],[Shortname]], Comp[], 21, FALSE)</f>
        <v>0</v>
      </c>
      <c r="Y511">
        <f>VLOOKUP(Table5[[#This Row],[Shortname]], Comp[], 22, FALSE)</f>
        <v>0</v>
      </c>
      <c r="Z511">
        <f>VLOOKUP(Table5[[#This Row],[Shortname]], Comp[], 23, FALSE)</f>
        <v>0</v>
      </c>
      <c r="AA511">
        <f>VLOOKUP(Table5[[#This Row],[Shortname]], Comp[], 24, FALSE)</f>
        <v>0</v>
      </c>
      <c r="AB511">
        <f>VLOOKUP(Table5[[#This Row],[Shortname]], Comp[], 25, FALSE)</f>
        <v>0</v>
      </c>
      <c r="AC511">
        <f>VLOOKUP(Table5[[#This Row],[Shortname]], Comp[], 26, FALSE)</f>
        <v>0</v>
      </c>
      <c r="AD511">
        <f>VLOOKUP(Table5[[#This Row],[Shortname]], Comp[], 27, FALSE)</f>
        <v>0</v>
      </c>
      <c r="AE511">
        <f>VLOOKUP(Table5[[#This Row],[Shortname]], Comp[], 28, FALSE)</f>
        <v>0</v>
      </c>
      <c r="AF511">
        <f>VLOOKUP(Table5[[#This Row],[Shortname]], Comp[], 29, FALSE)</f>
        <v>0</v>
      </c>
      <c r="AG511">
        <f>VLOOKUP(Table5[[#This Row],[Shortname]], Comp[], 30, FALSE)</f>
        <v>0</v>
      </c>
      <c r="AH511">
        <f>VLOOKUP(Table5[[#This Row],[Shortname]], Comp[], 31, FALSE)</f>
        <v>0</v>
      </c>
    </row>
    <row r="512" spans="1:34" x14ac:dyDescent="0.3">
      <c r="A512" s="7" t="s">
        <v>4834</v>
      </c>
      <c r="B512">
        <v>528</v>
      </c>
      <c r="C512" s="7" t="str">
        <f>VLOOKUP(Table5[[#This Row],[Shortname]], [1]!comp[#Data], 2, FALSE)</f>
        <v>CoAlWX+</v>
      </c>
      <c r="D512" s="7" t="s">
        <v>4836</v>
      </c>
      <c r="E512" s="11" t="s">
        <v>6765</v>
      </c>
      <c r="F512">
        <v>1150</v>
      </c>
      <c r="G512">
        <v>1285</v>
      </c>
      <c r="J512" s="14">
        <f>VLOOKUP(Table5[[#This Row],[Shortname]], Comp[], 7, FALSE)</f>
        <v>80</v>
      </c>
      <c r="K512">
        <f>VLOOKUP(Table5[[#This Row],[Shortname]], Comp[], 8, FALSE)</f>
        <v>0</v>
      </c>
      <c r="L512">
        <f>VLOOKUP(Table5[[#This Row],[Shortname]], Comp[], 9, FALSE)</f>
        <v>7</v>
      </c>
      <c r="M512">
        <f>VLOOKUP(Table5[[#This Row],[Shortname]], Comp[], 10, FALSE)</f>
        <v>0</v>
      </c>
      <c r="N512">
        <f>VLOOKUP(Table5[[#This Row],[Shortname]], Comp[], 11, FALSE)</f>
        <v>6</v>
      </c>
      <c r="O512">
        <f>VLOOKUP(Table5[[#This Row],[Shortname]], Comp[],12, FALSE)</f>
        <v>4</v>
      </c>
      <c r="P512">
        <f>VLOOKUP(Table5[[#This Row],[Shortname]], Comp[], 13, FALSE)</f>
        <v>2</v>
      </c>
      <c r="Q512">
        <f>VLOOKUP(Table5[[#This Row],[Shortname]], Comp[], 14, FALSE)</f>
        <v>1</v>
      </c>
      <c r="R512">
        <f>VLOOKUP(Table5[[#This Row],[Shortname]], Comp[], 15, FALSE)</f>
        <v>0</v>
      </c>
      <c r="S512">
        <f>VLOOKUP(Table5[[#This Row],[Shortname]], Comp[], 16, FALSE)</f>
        <v>0</v>
      </c>
      <c r="T512">
        <f>VLOOKUP(Table5[[#This Row],[Shortname]], Comp[], 17, FALSE)</f>
        <v>0</v>
      </c>
      <c r="U512">
        <f>VLOOKUP(Table5[[#This Row],[Shortname]], Comp[], 18, FALSE)</f>
        <v>0</v>
      </c>
      <c r="V512">
        <f>VLOOKUP(Table5[[#This Row],[Shortname]], Comp[], 19, FALSE)</f>
        <v>0</v>
      </c>
      <c r="W512">
        <f>VLOOKUP(Table5[[#This Row],[Shortname]], Comp[], 20, FALSE)</f>
        <v>0</v>
      </c>
      <c r="X512">
        <f>VLOOKUP(Table5[[#This Row],[Shortname]], Comp[], 21, FALSE)</f>
        <v>0</v>
      </c>
      <c r="Y512">
        <f>VLOOKUP(Table5[[#This Row],[Shortname]], Comp[], 22, FALSE)</f>
        <v>0</v>
      </c>
      <c r="Z512">
        <f>VLOOKUP(Table5[[#This Row],[Shortname]], Comp[], 23, FALSE)</f>
        <v>0</v>
      </c>
      <c r="AA512">
        <f>VLOOKUP(Table5[[#This Row],[Shortname]], Comp[], 24, FALSE)</f>
        <v>0</v>
      </c>
      <c r="AB512">
        <f>VLOOKUP(Table5[[#This Row],[Shortname]], Comp[], 25, FALSE)</f>
        <v>0</v>
      </c>
      <c r="AC512">
        <f>VLOOKUP(Table5[[#This Row],[Shortname]], Comp[], 26, FALSE)</f>
        <v>0</v>
      </c>
      <c r="AD512">
        <f>VLOOKUP(Table5[[#This Row],[Shortname]], Comp[], 27, FALSE)</f>
        <v>0</v>
      </c>
      <c r="AE512">
        <f>VLOOKUP(Table5[[#This Row],[Shortname]], Comp[], 28, FALSE)</f>
        <v>0</v>
      </c>
      <c r="AF512">
        <f>VLOOKUP(Table5[[#This Row],[Shortname]], Comp[], 29, FALSE)</f>
        <v>0</v>
      </c>
      <c r="AG512">
        <f>VLOOKUP(Table5[[#This Row],[Shortname]], Comp[], 30, FALSE)</f>
        <v>0</v>
      </c>
      <c r="AH512">
        <f>VLOOKUP(Table5[[#This Row],[Shortname]], Comp[], 31, FALSE)</f>
        <v>0</v>
      </c>
    </row>
    <row r="513" spans="1:34" x14ac:dyDescent="0.3">
      <c r="A513" s="7" t="s">
        <v>4828</v>
      </c>
      <c r="B513">
        <v>529</v>
      </c>
      <c r="C513" s="7" t="str">
        <f>VLOOKUP(Table5[[#This Row],[Shortname]], [1]!comp[#Data], 2, FALSE)</f>
        <v>CoAlWX+</v>
      </c>
      <c r="D513" s="7" t="s">
        <v>4830</v>
      </c>
      <c r="E513" s="11" t="s">
        <v>6765</v>
      </c>
      <c r="F513">
        <v>1143</v>
      </c>
      <c r="G513">
        <v>1317</v>
      </c>
      <c r="J513" s="14">
        <f>VLOOKUP(Table5[[#This Row],[Shortname]], Comp[], 7, FALSE)</f>
        <v>80</v>
      </c>
      <c r="K513">
        <f>VLOOKUP(Table5[[#This Row],[Shortname]], Comp[], 8, FALSE)</f>
        <v>0</v>
      </c>
      <c r="L513">
        <f>VLOOKUP(Table5[[#This Row],[Shortname]], Comp[], 9, FALSE)</f>
        <v>7</v>
      </c>
      <c r="M513">
        <f>VLOOKUP(Table5[[#This Row],[Shortname]], Comp[], 10, FALSE)</f>
        <v>0</v>
      </c>
      <c r="N513">
        <f>VLOOKUP(Table5[[#This Row],[Shortname]], Comp[], 11, FALSE)</f>
        <v>6</v>
      </c>
      <c r="O513">
        <f>VLOOKUP(Table5[[#This Row],[Shortname]], Comp[],12, FALSE)</f>
        <v>4</v>
      </c>
      <c r="P513">
        <f>VLOOKUP(Table5[[#This Row],[Shortname]], Comp[], 13, FALSE)</f>
        <v>2</v>
      </c>
      <c r="Q513">
        <f>VLOOKUP(Table5[[#This Row],[Shortname]], Comp[], 14, FALSE)</f>
        <v>0</v>
      </c>
      <c r="R513">
        <f>VLOOKUP(Table5[[#This Row],[Shortname]], Comp[], 15, FALSE)</f>
        <v>0</v>
      </c>
      <c r="S513">
        <f>VLOOKUP(Table5[[#This Row],[Shortname]], Comp[], 16, FALSE)</f>
        <v>1</v>
      </c>
      <c r="T513">
        <f>VLOOKUP(Table5[[#This Row],[Shortname]], Comp[], 17, FALSE)</f>
        <v>0</v>
      </c>
      <c r="U513">
        <f>VLOOKUP(Table5[[#This Row],[Shortname]], Comp[], 18, FALSE)</f>
        <v>0</v>
      </c>
      <c r="V513">
        <f>VLOOKUP(Table5[[#This Row],[Shortname]], Comp[], 19, FALSE)</f>
        <v>0</v>
      </c>
      <c r="W513">
        <f>VLOOKUP(Table5[[#This Row],[Shortname]], Comp[], 20, FALSE)</f>
        <v>0</v>
      </c>
      <c r="X513">
        <f>VLOOKUP(Table5[[#This Row],[Shortname]], Comp[], 21, FALSE)</f>
        <v>0</v>
      </c>
      <c r="Y513">
        <f>VLOOKUP(Table5[[#This Row],[Shortname]], Comp[], 22, FALSE)</f>
        <v>0</v>
      </c>
      <c r="Z513">
        <f>VLOOKUP(Table5[[#This Row],[Shortname]], Comp[], 23, FALSE)</f>
        <v>0</v>
      </c>
      <c r="AA513">
        <f>VLOOKUP(Table5[[#This Row],[Shortname]], Comp[], 24, FALSE)</f>
        <v>0</v>
      </c>
      <c r="AB513">
        <f>VLOOKUP(Table5[[#This Row],[Shortname]], Comp[], 25, FALSE)</f>
        <v>0</v>
      </c>
      <c r="AC513">
        <f>VLOOKUP(Table5[[#This Row],[Shortname]], Comp[], 26, FALSE)</f>
        <v>0</v>
      </c>
      <c r="AD513">
        <f>VLOOKUP(Table5[[#This Row],[Shortname]], Comp[], 27, FALSE)</f>
        <v>0</v>
      </c>
      <c r="AE513">
        <f>VLOOKUP(Table5[[#This Row],[Shortname]], Comp[], 28, FALSE)</f>
        <v>0</v>
      </c>
      <c r="AF513">
        <f>VLOOKUP(Table5[[#This Row],[Shortname]], Comp[], 29, FALSE)</f>
        <v>0</v>
      </c>
      <c r="AG513">
        <f>VLOOKUP(Table5[[#This Row],[Shortname]], Comp[], 30, FALSE)</f>
        <v>0</v>
      </c>
      <c r="AH513">
        <f>VLOOKUP(Table5[[#This Row],[Shortname]], Comp[], 31, FALSE)</f>
        <v>0</v>
      </c>
    </row>
    <row r="514" spans="1:34" x14ac:dyDescent="0.3">
      <c r="A514" s="7" t="s">
        <v>4822</v>
      </c>
      <c r="B514">
        <v>530</v>
      </c>
      <c r="C514" s="7" t="str">
        <f>VLOOKUP(Table5[[#This Row],[Shortname]], [1]!comp[#Data], 2, FALSE)</f>
        <v>CoAlWX+</v>
      </c>
      <c r="D514" s="7" t="s">
        <v>2552</v>
      </c>
      <c r="E514" s="11" t="s">
        <v>6765</v>
      </c>
      <c r="F514">
        <v>1094</v>
      </c>
      <c r="G514">
        <v>1323</v>
      </c>
      <c r="J514" s="14">
        <f>VLOOKUP(Table5[[#This Row],[Shortname]], Comp[], 7, FALSE)</f>
        <v>76</v>
      </c>
      <c r="K514">
        <f>VLOOKUP(Table5[[#This Row],[Shortname]], Comp[], 8, FALSE)</f>
        <v>0</v>
      </c>
      <c r="L514">
        <f>VLOOKUP(Table5[[#This Row],[Shortname]], Comp[], 9, FALSE)</f>
        <v>7</v>
      </c>
      <c r="M514">
        <f>VLOOKUP(Table5[[#This Row],[Shortname]], Comp[], 10, FALSE)</f>
        <v>4</v>
      </c>
      <c r="N514">
        <f>VLOOKUP(Table5[[#This Row],[Shortname]], Comp[], 11, FALSE)</f>
        <v>7</v>
      </c>
      <c r="O514">
        <f>VLOOKUP(Table5[[#This Row],[Shortname]], Comp[],12, FALSE)</f>
        <v>4</v>
      </c>
      <c r="P514">
        <f>VLOOKUP(Table5[[#This Row],[Shortname]], Comp[], 13, FALSE)</f>
        <v>2</v>
      </c>
      <c r="Q514">
        <f>VLOOKUP(Table5[[#This Row],[Shortname]], Comp[], 14, FALSE)</f>
        <v>0</v>
      </c>
      <c r="R514">
        <f>VLOOKUP(Table5[[#This Row],[Shortname]], Comp[], 15, FALSE)</f>
        <v>0</v>
      </c>
      <c r="S514">
        <f>VLOOKUP(Table5[[#This Row],[Shortname]], Comp[], 16, FALSE)</f>
        <v>0</v>
      </c>
      <c r="T514">
        <f>VLOOKUP(Table5[[#This Row],[Shortname]], Comp[], 17, FALSE)</f>
        <v>0</v>
      </c>
      <c r="U514">
        <f>VLOOKUP(Table5[[#This Row],[Shortname]], Comp[], 18, FALSE)</f>
        <v>0</v>
      </c>
      <c r="V514">
        <f>VLOOKUP(Table5[[#This Row],[Shortname]], Comp[], 19, FALSE)</f>
        <v>0</v>
      </c>
      <c r="W514">
        <f>VLOOKUP(Table5[[#This Row],[Shortname]], Comp[], 20, FALSE)</f>
        <v>0</v>
      </c>
      <c r="X514">
        <f>VLOOKUP(Table5[[#This Row],[Shortname]], Comp[], 21, FALSE)</f>
        <v>0</v>
      </c>
      <c r="Y514">
        <f>VLOOKUP(Table5[[#This Row],[Shortname]], Comp[], 22, FALSE)</f>
        <v>0</v>
      </c>
      <c r="Z514">
        <f>VLOOKUP(Table5[[#This Row],[Shortname]], Comp[], 23, FALSE)</f>
        <v>0</v>
      </c>
      <c r="AA514">
        <f>VLOOKUP(Table5[[#This Row],[Shortname]], Comp[], 24, FALSE)</f>
        <v>0</v>
      </c>
      <c r="AB514">
        <f>VLOOKUP(Table5[[#This Row],[Shortname]], Comp[], 25, FALSE)</f>
        <v>0</v>
      </c>
      <c r="AC514">
        <f>VLOOKUP(Table5[[#This Row],[Shortname]], Comp[], 26, FALSE)</f>
        <v>0</v>
      </c>
      <c r="AD514">
        <f>VLOOKUP(Table5[[#This Row],[Shortname]], Comp[], 27, FALSE)</f>
        <v>0</v>
      </c>
      <c r="AE514">
        <f>VLOOKUP(Table5[[#This Row],[Shortname]], Comp[], 28, FALSE)</f>
        <v>0</v>
      </c>
      <c r="AF514">
        <f>VLOOKUP(Table5[[#This Row],[Shortname]], Comp[], 29, FALSE)</f>
        <v>0</v>
      </c>
      <c r="AG514">
        <f>VLOOKUP(Table5[[#This Row],[Shortname]], Comp[], 30, FALSE)</f>
        <v>0</v>
      </c>
      <c r="AH514">
        <f>VLOOKUP(Table5[[#This Row],[Shortname]], Comp[], 31, FALSE)</f>
        <v>0</v>
      </c>
    </row>
    <row r="515" spans="1:34" x14ac:dyDescent="0.3">
      <c r="A515" s="7" t="s">
        <v>3951</v>
      </c>
      <c r="B515">
        <v>531</v>
      </c>
      <c r="C515" s="7" t="str">
        <f>VLOOKUP(Table5[[#This Row],[Shortname]], [1]!comp[#Data], 2, FALSE)</f>
        <v>CoAlWX+</v>
      </c>
      <c r="D515" s="7" t="s">
        <v>5292</v>
      </c>
      <c r="E515" t="s">
        <v>6767</v>
      </c>
      <c r="F515">
        <v>1157</v>
      </c>
      <c r="J515" s="14">
        <f>VLOOKUP(Table5[[#This Row],[Shortname]], Comp[], 7, FALSE)</f>
        <v>80</v>
      </c>
      <c r="K515">
        <f>VLOOKUP(Table5[[#This Row],[Shortname]], Comp[], 8, FALSE)</f>
        <v>0</v>
      </c>
      <c r="L515">
        <f>VLOOKUP(Table5[[#This Row],[Shortname]], Comp[], 9, FALSE)</f>
        <v>7</v>
      </c>
      <c r="M515">
        <f>VLOOKUP(Table5[[#This Row],[Shortname]], Comp[], 10, FALSE)</f>
        <v>0</v>
      </c>
      <c r="N515">
        <f>VLOOKUP(Table5[[#This Row],[Shortname]], Comp[], 11, FALSE)</f>
        <v>7</v>
      </c>
      <c r="O515">
        <f>VLOOKUP(Table5[[#This Row],[Shortname]], Comp[],12, FALSE)</f>
        <v>4</v>
      </c>
      <c r="P515">
        <f>VLOOKUP(Table5[[#This Row],[Shortname]], Comp[], 13, FALSE)</f>
        <v>2</v>
      </c>
      <c r="Q515">
        <f>VLOOKUP(Table5[[#This Row],[Shortname]], Comp[], 14, FALSE)</f>
        <v>0</v>
      </c>
      <c r="R515">
        <f>VLOOKUP(Table5[[#This Row],[Shortname]], Comp[], 15, FALSE)</f>
        <v>0</v>
      </c>
      <c r="S515">
        <f>VLOOKUP(Table5[[#This Row],[Shortname]], Comp[], 16, FALSE)</f>
        <v>0</v>
      </c>
      <c r="T515">
        <f>VLOOKUP(Table5[[#This Row],[Shortname]], Comp[], 17, FALSE)</f>
        <v>0</v>
      </c>
      <c r="U515">
        <f>VLOOKUP(Table5[[#This Row],[Shortname]], Comp[], 18, FALSE)</f>
        <v>0</v>
      </c>
      <c r="V515">
        <f>VLOOKUP(Table5[[#This Row],[Shortname]], Comp[], 19, FALSE)</f>
        <v>0</v>
      </c>
      <c r="W515">
        <f>VLOOKUP(Table5[[#This Row],[Shortname]], Comp[], 20, FALSE)</f>
        <v>0</v>
      </c>
      <c r="X515">
        <f>VLOOKUP(Table5[[#This Row],[Shortname]], Comp[], 21, FALSE)</f>
        <v>0</v>
      </c>
      <c r="Y515">
        <f>VLOOKUP(Table5[[#This Row],[Shortname]], Comp[], 22, FALSE)</f>
        <v>0</v>
      </c>
      <c r="Z515">
        <f>VLOOKUP(Table5[[#This Row],[Shortname]], Comp[], 23, FALSE)</f>
        <v>0</v>
      </c>
      <c r="AA515">
        <f>VLOOKUP(Table5[[#This Row],[Shortname]], Comp[], 24, FALSE)</f>
        <v>0</v>
      </c>
      <c r="AB515">
        <f>VLOOKUP(Table5[[#This Row],[Shortname]], Comp[], 25, FALSE)</f>
        <v>0</v>
      </c>
      <c r="AC515">
        <f>VLOOKUP(Table5[[#This Row],[Shortname]], Comp[], 26, FALSE)</f>
        <v>0</v>
      </c>
      <c r="AD515">
        <f>VLOOKUP(Table5[[#This Row],[Shortname]], Comp[], 27, FALSE)</f>
        <v>0</v>
      </c>
      <c r="AE515">
        <f>VLOOKUP(Table5[[#This Row],[Shortname]], Comp[], 28, FALSE)</f>
        <v>0</v>
      </c>
      <c r="AF515">
        <f>VLOOKUP(Table5[[#This Row],[Shortname]], Comp[], 29, FALSE)</f>
        <v>0</v>
      </c>
      <c r="AG515">
        <f>VLOOKUP(Table5[[#This Row],[Shortname]], Comp[], 30, FALSE)</f>
        <v>0</v>
      </c>
      <c r="AH515">
        <f>VLOOKUP(Table5[[#This Row],[Shortname]], Comp[], 31, FALSE)</f>
        <v>0</v>
      </c>
    </row>
    <row r="516" spans="1:34" x14ac:dyDescent="0.3">
      <c r="A516" s="7" t="s">
        <v>4828</v>
      </c>
      <c r="B516">
        <v>532</v>
      </c>
      <c r="C516" s="7" t="str">
        <f>VLOOKUP(Table5[[#This Row],[Shortname]], [1]!comp[#Data], 2, FALSE)</f>
        <v>CoAlWX+</v>
      </c>
      <c r="D516" s="7" t="s">
        <v>5296</v>
      </c>
      <c r="E516" t="s">
        <v>6767</v>
      </c>
      <c r="F516">
        <v>1143</v>
      </c>
      <c r="J516" s="14">
        <f>VLOOKUP(Table5[[#This Row],[Shortname]], Comp[], 7, FALSE)</f>
        <v>80</v>
      </c>
      <c r="K516">
        <f>VLOOKUP(Table5[[#This Row],[Shortname]], Comp[], 8, FALSE)</f>
        <v>0</v>
      </c>
      <c r="L516">
        <f>VLOOKUP(Table5[[#This Row],[Shortname]], Comp[], 9, FALSE)</f>
        <v>7</v>
      </c>
      <c r="M516">
        <f>VLOOKUP(Table5[[#This Row],[Shortname]], Comp[], 10, FALSE)</f>
        <v>0</v>
      </c>
      <c r="N516">
        <f>VLOOKUP(Table5[[#This Row],[Shortname]], Comp[], 11, FALSE)</f>
        <v>6</v>
      </c>
      <c r="O516">
        <f>VLOOKUP(Table5[[#This Row],[Shortname]], Comp[],12, FALSE)</f>
        <v>4</v>
      </c>
      <c r="P516">
        <f>VLOOKUP(Table5[[#This Row],[Shortname]], Comp[], 13, FALSE)</f>
        <v>2</v>
      </c>
      <c r="Q516">
        <f>VLOOKUP(Table5[[#This Row],[Shortname]], Comp[], 14, FALSE)</f>
        <v>0</v>
      </c>
      <c r="R516">
        <f>VLOOKUP(Table5[[#This Row],[Shortname]], Comp[], 15, FALSE)</f>
        <v>0</v>
      </c>
      <c r="S516">
        <f>VLOOKUP(Table5[[#This Row],[Shortname]], Comp[], 16, FALSE)</f>
        <v>1</v>
      </c>
      <c r="T516">
        <f>VLOOKUP(Table5[[#This Row],[Shortname]], Comp[], 17, FALSE)</f>
        <v>0</v>
      </c>
      <c r="U516">
        <f>VLOOKUP(Table5[[#This Row],[Shortname]], Comp[], 18, FALSE)</f>
        <v>0</v>
      </c>
      <c r="V516">
        <f>VLOOKUP(Table5[[#This Row],[Shortname]], Comp[], 19, FALSE)</f>
        <v>0</v>
      </c>
      <c r="W516">
        <f>VLOOKUP(Table5[[#This Row],[Shortname]], Comp[], 20, FALSE)</f>
        <v>0</v>
      </c>
      <c r="X516">
        <f>VLOOKUP(Table5[[#This Row],[Shortname]], Comp[], 21, FALSE)</f>
        <v>0</v>
      </c>
      <c r="Y516">
        <f>VLOOKUP(Table5[[#This Row],[Shortname]], Comp[], 22, FALSE)</f>
        <v>0</v>
      </c>
      <c r="Z516">
        <f>VLOOKUP(Table5[[#This Row],[Shortname]], Comp[], 23, FALSE)</f>
        <v>0</v>
      </c>
      <c r="AA516">
        <f>VLOOKUP(Table5[[#This Row],[Shortname]], Comp[], 24, FALSE)</f>
        <v>0</v>
      </c>
      <c r="AB516">
        <f>VLOOKUP(Table5[[#This Row],[Shortname]], Comp[], 25, FALSE)</f>
        <v>0</v>
      </c>
      <c r="AC516">
        <f>VLOOKUP(Table5[[#This Row],[Shortname]], Comp[], 26, FALSE)</f>
        <v>0</v>
      </c>
      <c r="AD516">
        <f>VLOOKUP(Table5[[#This Row],[Shortname]], Comp[], 27, FALSE)</f>
        <v>0</v>
      </c>
      <c r="AE516">
        <f>VLOOKUP(Table5[[#This Row],[Shortname]], Comp[], 28, FALSE)</f>
        <v>0</v>
      </c>
      <c r="AF516">
        <f>VLOOKUP(Table5[[#This Row],[Shortname]], Comp[], 29, FALSE)</f>
        <v>0</v>
      </c>
      <c r="AG516">
        <f>VLOOKUP(Table5[[#This Row],[Shortname]], Comp[], 30, FALSE)</f>
        <v>0</v>
      </c>
      <c r="AH516">
        <f>VLOOKUP(Table5[[#This Row],[Shortname]], Comp[], 31, FALSE)</f>
        <v>0</v>
      </c>
    </row>
    <row r="517" spans="1:34" x14ac:dyDescent="0.3">
      <c r="A517" s="7" t="s">
        <v>5007</v>
      </c>
      <c r="B517">
        <v>537</v>
      </c>
      <c r="C517" s="7" t="str">
        <f>VLOOKUP(Table5[[#This Row],[Shortname]], [1]!comp[#Data], 2, FALSE)</f>
        <v>CoAlWX+</v>
      </c>
      <c r="D517" t="s">
        <v>5009</v>
      </c>
      <c r="E517" s="3" t="s">
        <v>4999</v>
      </c>
      <c r="F517">
        <v>1135</v>
      </c>
      <c r="J517" s="14">
        <f>VLOOKUP(Table5[[#This Row],[Shortname]], Comp[], 7, FALSE)</f>
        <v>42</v>
      </c>
      <c r="K517">
        <f>VLOOKUP(Table5[[#This Row],[Shortname]], Comp[], 8, FALSE)</f>
        <v>30</v>
      </c>
      <c r="L517">
        <f>VLOOKUP(Table5[[#This Row],[Shortname]], Comp[], 9, FALSE)</f>
        <v>6</v>
      </c>
      <c r="M517">
        <f>VLOOKUP(Table5[[#This Row],[Shortname]], Comp[], 10, FALSE)</f>
        <v>12</v>
      </c>
      <c r="N517">
        <f>VLOOKUP(Table5[[#This Row],[Shortname]], Comp[], 11, FALSE)</f>
        <v>3</v>
      </c>
      <c r="O517">
        <f>VLOOKUP(Table5[[#This Row],[Shortname]], Comp[],12, FALSE)</f>
        <v>6</v>
      </c>
      <c r="P517">
        <f>VLOOKUP(Table5[[#This Row],[Shortname]], Comp[], 13, FALSE)</f>
        <v>1</v>
      </c>
      <c r="Q517">
        <f>VLOOKUP(Table5[[#This Row],[Shortname]], Comp[], 14, FALSE)</f>
        <v>0</v>
      </c>
      <c r="R517">
        <f>VLOOKUP(Table5[[#This Row],[Shortname]], Comp[], 15, FALSE)</f>
        <v>0</v>
      </c>
      <c r="S517">
        <f>VLOOKUP(Table5[[#This Row],[Shortname]], Comp[], 16, FALSE)</f>
        <v>0</v>
      </c>
      <c r="T517">
        <f>VLOOKUP(Table5[[#This Row],[Shortname]], Comp[], 17, FALSE)</f>
        <v>0</v>
      </c>
      <c r="U517">
        <f>VLOOKUP(Table5[[#This Row],[Shortname]], Comp[], 18, FALSE)</f>
        <v>0</v>
      </c>
      <c r="V517">
        <f>VLOOKUP(Table5[[#This Row],[Shortname]], Comp[], 19, FALSE)</f>
        <v>0</v>
      </c>
      <c r="W517">
        <f>VLOOKUP(Table5[[#This Row],[Shortname]], Comp[], 20, FALSE)</f>
        <v>0</v>
      </c>
      <c r="X517">
        <f>VLOOKUP(Table5[[#This Row],[Shortname]], Comp[], 21, FALSE)</f>
        <v>0</v>
      </c>
      <c r="Y517">
        <f>VLOOKUP(Table5[[#This Row],[Shortname]], Comp[], 22, FALSE)</f>
        <v>0</v>
      </c>
      <c r="Z517">
        <f>VLOOKUP(Table5[[#This Row],[Shortname]], Comp[], 23, FALSE)</f>
        <v>0</v>
      </c>
      <c r="AA517">
        <f>VLOOKUP(Table5[[#This Row],[Shortname]], Comp[], 24, FALSE)</f>
        <v>0</v>
      </c>
      <c r="AB517">
        <f>VLOOKUP(Table5[[#This Row],[Shortname]], Comp[], 25, FALSE)</f>
        <v>0</v>
      </c>
      <c r="AC517">
        <f>VLOOKUP(Table5[[#This Row],[Shortname]], Comp[], 26, FALSE)</f>
        <v>0</v>
      </c>
      <c r="AD517">
        <f>VLOOKUP(Table5[[#This Row],[Shortname]], Comp[], 27, FALSE)</f>
        <v>0</v>
      </c>
      <c r="AE517">
        <f>VLOOKUP(Table5[[#This Row],[Shortname]], Comp[], 28, FALSE)</f>
        <v>0</v>
      </c>
      <c r="AF517">
        <f>VLOOKUP(Table5[[#This Row],[Shortname]], Comp[], 29, FALSE)</f>
        <v>0</v>
      </c>
      <c r="AG517">
        <f>VLOOKUP(Table5[[#This Row],[Shortname]], Comp[], 30, FALSE)</f>
        <v>0</v>
      </c>
      <c r="AH517">
        <f>VLOOKUP(Table5[[#This Row],[Shortname]], Comp[], 31, FALSE)</f>
        <v>0</v>
      </c>
    </row>
    <row r="518" spans="1:34" x14ac:dyDescent="0.3">
      <c r="A518" s="7" t="s">
        <v>4996</v>
      </c>
      <c r="B518">
        <v>538</v>
      </c>
      <c r="C518" s="7" t="str">
        <f>VLOOKUP(Table5[[#This Row],[Shortname]], [1]!comp[#Data], 2, FALSE)</f>
        <v>CoAlWX+</v>
      </c>
      <c r="D518" t="s">
        <v>4998</v>
      </c>
      <c r="E518" s="3" t="s">
        <v>4999</v>
      </c>
      <c r="F518">
        <v>1112</v>
      </c>
      <c r="J518" s="14">
        <f>VLOOKUP(Table5[[#This Row],[Shortname]], Comp[], 7, FALSE)</f>
        <v>43</v>
      </c>
      <c r="K518">
        <f>VLOOKUP(Table5[[#This Row],[Shortname]], Comp[], 8, FALSE)</f>
        <v>30</v>
      </c>
      <c r="L518">
        <f>VLOOKUP(Table5[[#This Row],[Shortname]], Comp[], 9, FALSE)</f>
        <v>6</v>
      </c>
      <c r="M518">
        <f>VLOOKUP(Table5[[#This Row],[Shortname]], Comp[], 10, FALSE)</f>
        <v>12</v>
      </c>
      <c r="N518">
        <f>VLOOKUP(Table5[[#This Row],[Shortname]], Comp[], 11, FALSE)</f>
        <v>3</v>
      </c>
      <c r="O518">
        <f>VLOOKUP(Table5[[#This Row],[Shortname]], Comp[],12, FALSE)</f>
        <v>5</v>
      </c>
      <c r="P518">
        <f>VLOOKUP(Table5[[#This Row],[Shortname]], Comp[], 13, FALSE)</f>
        <v>1</v>
      </c>
      <c r="Q518">
        <f>VLOOKUP(Table5[[#This Row],[Shortname]], Comp[], 14, FALSE)</f>
        <v>0</v>
      </c>
      <c r="R518">
        <f>VLOOKUP(Table5[[#This Row],[Shortname]], Comp[], 15, FALSE)</f>
        <v>0</v>
      </c>
      <c r="S518">
        <f>VLOOKUP(Table5[[#This Row],[Shortname]], Comp[], 16, FALSE)</f>
        <v>0</v>
      </c>
      <c r="T518">
        <f>VLOOKUP(Table5[[#This Row],[Shortname]], Comp[], 17, FALSE)</f>
        <v>0</v>
      </c>
      <c r="U518">
        <f>VLOOKUP(Table5[[#This Row],[Shortname]], Comp[], 18, FALSE)</f>
        <v>0</v>
      </c>
      <c r="V518">
        <f>VLOOKUP(Table5[[#This Row],[Shortname]], Comp[], 19, FALSE)</f>
        <v>0</v>
      </c>
      <c r="W518">
        <f>VLOOKUP(Table5[[#This Row],[Shortname]], Comp[], 20, FALSE)</f>
        <v>0</v>
      </c>
      <c r="X518">
        <f>VLOOKUP(Table5[[#This Row],[Shortname]], Comp[], 21, FALSE)</f>
        <v>0</v>
      </c>
      <c r="Y518">
        <f>VLOOKUP(Table5[[#This Row],[Shortname]], Comp[], 22, FALSE)</f>
        <v>0</v>
      </c>
      <c r="Z518">
        <f>VLOOKUP(Table5[[#This Row],[Shortname]], Comp[], 23, FALSE)</f>
        <v>0</v>
      </c>
      <c r="AA518">
        <f>VLOOKUP(Table5[[#This Row],[Shortname]], Comp[], 24, FALSE)</f>
        <v>0</v>
      </c>
      <c r="AB518">
        <f>VLOOKUP(Table5[[#This Row],[Shortname]], Comp[], 25, FALSE)</f>
        <v>0</v>
      </c>
      <c r="AC518">
        <f>VLOOKUP(Table5[[#This Row],[Shortname]], Comp[], 26, FALSE)</f>
        <v>0</v>
      </c>
      <c r="AD518">
        <f>VLOOKUP(Table5[[#This Row],[Shortname]], Comp[], 27, FALSE)</f>
        <v>0</v>
      </c>
      <c r="AE518">
        <f>VLOOKUP(Table5[[#This Row],[Shortname]], Comp[], 28, FALSE)</f>
        <v>0</v>
      </c>
      <c r="AF518">
        <f>VLOOKUP(Table5[[#This Row],[Shortname]], Comp[], 29, FALSE)</f>
        <v>0</v>
      </c>
      <c r="AG518">
        <f>VLOOKUP(Table5[[#This Row],[Shortname]], Comp[], 30, FALSE)</f>
        <v>0</v>
      </c>
      <c r="AH518">
        <f>VLOOKUP(Table5[[#This Row],[Shortname]], Comp[], 31, FALSE)</f>
        <v>0</v>
      </c>
    </row>
    <row r="519" spans="1:34" x14ac:dyDescent="0.3">
      <c r="A519" s="7" t="s">
        <v>5002</v>
      </c>
      <c r="B519">
        <v>539</v>
      </c>
      <c r="C519" s="7" t="str">
        <f>VLOOKUP(Table5[[#This Row],[Shortname]], [1]!comp[#Data], 2, FALSE)</f>
        <v>CoAlWX+</v>
      </c>
      <c r="D519" t="s">
        <v>5004</v>
      </c>
      <c r="E519" s="3" t="s">
        <v>4999</v>
      </c>
      <c r="F519">
        <v>1108</v>
      </c>
      <c r="J519" s="14">
        <f>VLOOKUP(Table5[[#This Row],[Shortname]], Comp[], 7, FALSE)</f>
        <v>41</v>
      </c>
      <c r="K519">
        <f>VLOOKUP(Table5[[#This Row],[Shortname]], Comp[], 8, FALSE)</f>
        <v>30</v>
      </c>
      <c r="L519">
        <f>VLOOKUP(Table5[[#This Row],[Shortname]], Comp[], 9, FALSE)</f>
        <v>6</v>
      </c>
      <c r="M519">
        <f>VLOOKUP(Table5[[#This Row],[Shortname]], Comp[], 10, FALSE)</f>
        <v>14</v>
      </c>
      <c r="N519">
        <f>VLOOKUP(Table5[[#This Row],[Shortname]], Comp[], 11, FALSE)</f>
        <v>3</v>
      </c>
      <c r="O519">
        <f>VLOOKUP(Table5[[#This Row],[Shortname]], Comp[],12, FALSE)</f>
        <v>5</v>
      </c>
      <c r="P519">
        <f>VLOOKUP(Table5[[#This Row],[Shortname]], Comp[], 13, FALSE)</f>
        <v>1</v>
      </c>
      <c r="Q519">
        <f>VLOOKUP(Table5[[#This Row],[Shortname]], Comp[], 14, FALSE)</f>
        <v>0</v>
      </c>
      <c r="R519">
        <f>VLOOKUP(Table5[[#This Row],[Shortname]], Comp[], 15, FALSE)</f>
        <v>0</v>
      </c>
      <c r="S519">
        <f>VLOOKUP(Table5[[#This Row],[Shortname]], Comp[], 16, FALSE)</f>
        <v>0</v>
      </c>
      <c r="T519">
        <f>VLOOKUP(Table5[[#This Row],[Shortname]], Comp[], 17, FALSE)</f>
        <v>0</v>
      </c>
      <c r="U519">
        <f>VLOOKUP(Table5[[#This Row],[Shortname]], Comp[], 18, FALSE)</f>
        <v>0</v>
      </c>
      <c r="V519">
        <f>VLOOKUP(Table5[[#This Row],[Shortname]], Comp[], 19, FALSE)</f>
        <v>0</v>
      </c>
      <c r="W519">
        <f>VLOOKUP(Table5[[#This Row],[Shortname]], Comp[], 20, FALSE)</f>
        <v>0</v>
      </c>
      <c r="X519">
        <f>VLOOKUP(Table5[[#This Row],[Shortname]], Comp[], 21, FALSE)</f>
        <v>0</v>
      </c>
      <c r="Y519">
        <f>VLOOKUP(Table5[[#This Row],[Shortname]], Comp[], 22, FALSE)</f>
        <v>0</v>
      </c>
      <c r="Z519">
        <f>VLOOKUP(Table5[[#This Row],[Shortname]], Comp[], 23, FALSE)</f>
        <v>0</v>
      </c>
      <c r="AA519">
        <f>VLOOKUP(Table5[[#This Row],[Shortname]], Comp[], 24, FALSE)</f>
        <v>0</v>
      </c>
      <c r="AB519">
        <f>VLOOKUP(Table5[[#This Row],[Shortname]], Comp[], 25, FALSE)</f>
        <v>0</v>
      </c>
      <c r="AC519">
        <f>VLOOKUP(Table5[[#This Row],[Shortname]], Comp[], 26, FALSE)</f>
        <v>0</v>
      </c>
      <c r="AD519">
        <f>VLOOKUP(Table5[[#This Row],[Shortname]], Comp[], 27, FALSE)</f>
        <v>0</v>
      </c>
      <c r="AE519">
        <f>VLOOKUP(Table5[[#This Row],[Shortname]], Comp[], 28, FALSE)</f>
        <v>0</v>
      </c>
      <c r="AF519">
        <f>VLOOKUP(Table5[[#This Row],[Shortname]], Comp[], 29, FALSE)</f>
        <v>0</v>
      </c>
      <c r="AG519">
        <f>VLOOKUP(Table5[[#This Row],[Shortname]], Comp[], 30, FALSE)</f>
        <v>0</v>
      </c>
      <c r="AH519">
        <f>VLOOKUP(Table5[[#This Row],[Shortname]], Comp[], 31, FALSE)</f>
        <v>0</v>
      </c>
    </row>
    <row r="520" spans="1:34" x14ac:dyDescent="0.3">
      <c r="A520" s="7" t="s">
        <v>5012</v>
      </c>
      <c r="B520">
        <v>540</v>
      </c>
      <c r="C520" s="7" t="str">
        <f>VLOOKUP(Table5[[#This Row],[Shortname]], [1]!comp[#Data], 2, FALSE)</f>
        <v>CoAlWX+</v>
      </c>
      <c r="D520" t="s">
        <v>5014</v>
      </c>
      <c r="E520" s="3" t="s">
        <v>4999</v>
      </c>
      <c r="F520">
        <v>1107</v>
      </c>
      <c r="J520" s="14">
        <f>VLOOKUP(Table5[[#This Row],[Shortname]], Comp[], 7, FALSE)</f>
        <v>42</v>
      </c>
      <c r="K520">
        <f>VLOOKUP(Table5[[#This Row],[Shortname]], Comp[], 8, FALSE)</f>
        <v>30</v>
      </c>
      <c r="L520">
        <f>VLOOKUP(Table5[[#This Row],[Shortname]], Comp[], 9, FALSE)</f>
        <v>8</v>
      </c>
      <c r="M520">
        <f>VLOOKUP(Table5[[#This Row],[Shortname]], Comp[], 10, FALSE)</f>
        <v>12</v>
      </c>
      <c r="N520">
        <f>VLOOKUP(Table5[[#This Row],[Shortname]], Comp[], 11, FALSE)</f>
        <v>3</v>
      </c>
      <c r="O520">
        <f>VLOOKUP(Table5[[#This Row],[Shortname]], Comp[],12, FALSE)</f>
        <v>4</v>
      </c>
      <c r="P520">
        <f>VLOOKUP(Table5[[#This Row],[Shortname]], Comp[], 13, FALSE)</f>
        <v>1</v>
      </c>
      <c r="Q520">
        <f>VLOOKUP(Table5[[#This Row],[Shortname]], Comp[], 14, FALSE)</f>
        <v>0</v>
      </c>
      <c r="R520">
        <f>VLOOKUP(Table5[[#This Row],[Shortname]], Comp[], 15, FALSE)</f>
        <v>0</v>
      </c>
      <c r="S520">
        <f>VLOOKUP(Table5[[#This Row],[Shortname]], Comp[], 16, FALSE)</f>
        <v>0</v>
      </c>
      <c r="T520">
        <f>VLOOKUP(Table5[[#This Row],[Shortname]], Comp[], 17, FALSE)</f>
        <v>0</v>
      </c>
      <c r="U520">
        <f>VLOOKUP(Table5[[#This Row],[Shortname]], Comp[], 18, FALSE)</f>
        <v>0</v>
      </c>
      <c r="V520">
        <f>VLOOKUP(Table5[[#This Row],[Shortname]], Comp[], 19, FALSE)</f>
        <v>0</v>
      </c>
      <c r="W520">
        <f>VLOOKUP(Table5[[#This Row],[Shortname]], Comp[], 20, FALSE)</f>
        <v>0</v>
      </c>
      <c r="X520">
        <f>VLOOKUP(Table5[[#This Row],[Shortname]], Comp[], 21, FALSE)</f>
        <v>0</v>
      </c>
      <c r="Y520">
        <f>VLOOKUP(Table5[[#This Row],[Shortname]], Comp[], 22, FALSE)</f>
        <v>0</v>
      </c>
      <c r="Z520">
        <f>VLOOKUP(Table5[[#This Row],[Shortname]], Comp[], 23, FALSE)</f>
        <v>0</v>
      </c>
      <c r="AA520">
        <f>VLOOKUP(Table5[[#This Row],[Shortname]], Comp[], 24, FALSE)</f>
        <v>0</v>
      </c>
      <c r="AB520">
        <f>VLOOKUP(Table5[[#This Row],[Shortname]], Comp[], 25, FALSE)</f>
        <v>0</v>
      </c>
      <c r="AC520">
        <f>VLOOKUP(Table5[[#This Row],[Shortname]], Comp[], 26, FALSE)</f>
        <v>0</v>
      </c>
      <c r="AD520">
        <f>VLOOKUP(Table5[[#This Row],[Shortname]], Comp[], 27, FALSE)</f>
        <v>0</v>
      </c>
      <c r="AE520">
        <f>VLOOKUP(Table5[[#This Row],[Shortname]], Comp[], 28, FALSE)</f>
        <v>0</v>
      </c>
      <c r="AF520">
        <f>VLOOKUP(Table5[[#This Row],[Shortname]], Comp[], 29, FALSE)</f>
        <v>0</v>
      </c>
      <c r="AG520">
        <f>VLOOKUP(Table5[[#This Row],[Shortname]], Comp[], 30, FALSE)</f>
        <v>0</v>
      </c>
      <c r="AH520">
        <f>VLOOKUP(Table5[[#This Row],[Shortname]], Comp[], 31, FALSE)</f>
        <v>0</v>
      </c>
    </row>
    <row r="521" spans="1:34" x14ac:dyDescent="0.3">
      <c r="A521" s="7" t="s">
        <v>5017</v>
      </c>
      <c r="B521">
        <v>541</v>
      </c>
      <c r="C521" s="7" t="str">
        <f>VLOOKUP(Table5[[#This Row],[Shortname]], [1]!comp[#Data], 2, FALSE)</f>
        <v>CoAlWX+</v>
      </c>
      <c r="D521" t="s">
        <v>5019</v>
      </c>
      <c r="E521" s="3" t="s">
        <v>4999</v>
      </c>
      <c r="F521">
        <v>1100</v>
      </c>
      <c r="J521" s="14">
        <f>VLOOKUP(Table5[[#This Row],[Shortname]], Comp[], 7, FALSE)</f>
        <v>40</v>
      </c>
      <c r="K521">
        <f>VLOOKUP(Table5[[#This Row],[Shortname]], Comp[], 8, FALSE)</f>
        <v>30</v>
      </c>
      <c r="L521">
        <f>VLOOKUP(Table5[[#This Row],[Shortname]], Comp[], 9, FALSE)</f>
        <v>8</v>
      </c>
      <c r="M521">
        <f>VLOOKUP(Table5[[#This Row],[Shortname]], Comp[], 10, FALSE)</f>
        <v>14</v>
      </c>
      <c r="N521">
        <f>VLOOKUP(Table5[[#This Row],[Shortname]], Comp[], 11, FALSE)</f>
        <v>3</v>
      </c>
      <c r="O521">
        <f>VLOOKUP(Table5[[#This Row],[Shortname]], Comp[],12, FALSE)</f>
        <v>4</v>
      </c>
      <c r="P521">
        <f>VLOOKUP(Table5[[#This Row],[Shortname]], Comp[], 13, FALSE)</f>
        <v>1</v>
      </c>
      <c r="Q521">
        <f>VLOOKUP(Table5[[#This Row],[Shortname]], Comp[], 14, FALSE)</f>
        <v>0</v>
      </c>
      <c r="R521">
        <f>VLOOKUP(Table5[[#This Row],[Shortname]], Comp[], 15, FALSE)</f>
        <v>0</v>
      </c>
      <c r="S521">
        <f>VLOOKUP(Table5[[#This Row],[Shortname]], Comp[], 16, FALSE)</f>
        <v>0</v>
      </c>
      <c r="T521">
        <f>VLOOKUP(Table5[[#This Row],[Shortname]], Comp[], 17, FALSE)</f>
        <v>0</v>
      </c>
      <c r="U521">
        <f>VLOOKUP(Table5[[#This Row],[Shortname]], Comp[], 18, FALSE)</f>
        <v>0</v>
      </c>
      <c r="V521">
        <f>VLOOKUP(Table5[[#This Row],[Shortname]], Comp[], 19, FALSE)</f>
        <v>0</v>
      </c>
      <c r="W521">
        <f>VLOOKUP(Table5[[#This Row],[Shortname]], Comp[], 20, FALSE)</f>
        <v>0</v>
      </c>
      <c r="X521">
        <f>VLOOKUP(Table5[[#This Row],[Shortname]], Comp[], 21, FALSE)</f>
        <v>0</v>
      </c>
      <c r="Y521">
        <f>VLOOKUP(Table5[[#This Row],[Shortname]], Comp[], 22, FALSE)</f>
        <v>0</v>
      </c>
      <c r="Z521">
        <f>VLOOKUP(Table5[[#This Row],[Shortname]], Comp[], 23, FALSE)</f>
        <v>0</v>
      </c>
      <c r="AA521">
        <f>VLOOKUP(Table5[[#This Row],[Shortname]], Comp[], 24, FALSE)</f>
        <v>0</v>
      </c>
      <c r="AB521">
        <f>VLOOKUP(Table5[[#This Row],[Shortname]], Comp[], 25, FALSE)</f>
        <v>0</v>
      </c>
      <c r="AC521">
        <f>VLOOKUP(Table5[[#This Row],[Shortname]], Comp[], 26, FALSE)</f>
        <v>0</v>
      </c>
      <c r="AD521">
        <f>VLOOKUP(Table5[[#This Row],[Shortname]], Comp[], 27, FALSE)</f>
        <v>0</v>
      </c>
      <c r="AE521">
        <f>VLOOKUP(Table5[[#This Row],[Shortname]], Comp[], 28, FALSE)</f>
        <v>0</v>
      </c>
      <c r="AF521">
        <f>VLOOKUP(Table5[[#This Row],[Shortname]], Comp[], 29, FALSE)</f>
        <v>0</v>
      </c>
      <c r="AG521">
        <f>VLOOKUP(Table5[[#This Row],[Shortname]], Comp[], 30, FALSE)</f>
        <v>0</v>
      </c>
      <c r="AH521">
        <f>VLOOKUP(Table5[[#This Row],[Shortname]], Comp[], 31, FALSE)</f>
        <v>0</v>
      </c>
    </row>
    <row r="522" spans="1:34" x14ac:dyDescent="0.3">
      <c r="A522" s="7" t="s">
        <v>5022</v>
      </c>
      <c r="B522">
        <v>542</v>
      </c>
      <c r="C522" s="7" t="str">
        <f>VLOOKUP(Table5[[#This Row],[Shortname]], [1]!comp[#Data], 2, FALSE)</f>
        <v>CoAlWX+</v>
      </c>
      <c r="D522" t="s">
        <v>5024</v>
      </c>
      <c r="E522" s="3" t="s">
        <v>4999</v>
      </c>
      <c r="F522">
        <v>1075</v>
      </c>
      <c r="J522" s="14">
        <f>VLOOKUP(Table5[[#This Row],[Shortname]], Comp[], 7, FALSE)</f>
        <v>41</v>
      </c>
      <c r="K522">
        <f>VLOOKUP(Table5[[#This Row],[Shortname]], Comp[], 8, FALSE)</f>
        <v>30</v>
      </c>
      <c r="L522">
        <f>VLOOKUP(Table5[[#This Row],[Shortname]], Comp[], 9, FALSE)</f>
        <v>8</v>
      </c>
      <c r="M522">
        <f>VLOOKUP(Table5[[#This Row],[Shortname]], Comp[], 10, FALSE)</f>
        <v>14</v>
      </c>
      <c r="N522">
        <f>VLOOKUP(Table5[[#This Row],[Shortname]], Comp[], 11, FALSE)</f>
        <v>3</v>
      </c>
      <c r="O522">
        <f>VLOOKUP(Table5[[#This Row],[Shortname]], Comp[],12, FALSE)</f>
        <v>3</v>
      </c>
      <c r="P522">
        <f>VLOOKUP(Table5[[#This Row],[Shortname]], Comp[], 13, FALSE)</f>
        <v>1</v>
      </c>
      <c r="Q522">
        <f>VLOOKUP(Table5[[#This Row],[Shortname]], Comp[], 14, FALSE)</f>
        <v>0</v>
      </c>
      <c r="R522">
        <f>VLOOKUP(Table5[[#This Row],[Shortname]], Comp[], 15, FALSE)</f>
        <v>0</v>
      </c>
      <c r="S522">
        <f>VLOOKUP(Table5[[#This Row],[Shortname]], Comp[], 16, FALSE)</f>
        <v>0</v>
      </c>
      <c r="T522">
        <f>VLOOKUP(Table5[[#This Row],[Shortname]], Comp[], 17, FALSE)</f>
        <v>0</v>
      </c>
      <c r="U522">
        <f>VLOOKUP(Table5[[#This Row],[Shortname]], Comp[], 18, FALSE)</f>
        <v>0</v>
      </c>
      <c r="V522">
        <f>VLOOKUP(Table5[[#This Row],[Shortname]], Comp[], 19, FALSE)</f>
        <v>0</v>
      </c>
      <c r="W522">
        <f>VLOOKUP(Table5[[#This Row],[Shortname]], Comp[], 20, FALSE)</f>
        <v>0</v>
      </c>
      <c r="X522">
        <f>VLOOKUP(Table5[[#This Row],[Shortname]], Comp[], 21, FALSE)</f>
        <v>0</v>
      </c>
      <c r="Y522">
        <f>VLOOKUP(Table5[[#This Row],[Shortname]], Comp[], 22, FALSE)</f>
        <v>0</v>
      </c>
      <c r="Z522">
        <f>VLOOKUP(Table5[[#This Row],[Shortname]], Comp[], 23, FALSE)</f>
        <v>0</v>
      </c>
      <c r="AA522">
        <f>VLOOKUP(Table5[[#This Row],[Shortname]], Comp[], 24, FALSE)</f>
        <v>0</v>
      </c>
      <c r="AB522">
        <f>VLOOKUP(Table5[[#This Row],[Shortname]], Comp[], 25, FALSE)</f>
        <v>0</v>
      </c>
      <c r="AC522">
        <f>VLOOKUP(Table5[[#This Row],[Shortname]], Comp[], 26, FALSE)</f>
        <v>0</v>
      </c>
      <c r="AD522">
        <f>VLOOKUP(Table5[[#This Row],[Shortname]], Comp[], 27, FALSE)</f>
        <v>0</v>
      </c>
      <c r="AE522">
        <f>VLOOKUP(Table5[[#This Row],[Shortname]], Comp[], 28, FALSE)</f>
        <v>0</v>
      </c>
      <c r="AF522">
        <f>VLOOKUP(Table5[[#This Row],[Shortname]], Comp[], 29, FALSE)</f>
        <v>0</v>
      </c>
      <c r="AG522">
        <f>VLOOKUP(Table5[[#This Row],[Shortname]], Comp[], 30, FALSE)</f>
        <v>0</v>
      </c>
      <c r="AH522">
        <f>VLOOKUP(Table5[[#This Row],[Shortname]], Comp[], 31, FALSE)</f>
        <v>0</v>
      </c>
    </row>
    <row r="523" spans="1:34" x14ac:dyDescent="0.3">
      <c r="A523" s="7" t="s">
        <v>4881</v>
      </c>
      <c r="B523">
        <v>543</v>
      </c>
      <c r="C523" s="7" t="str">
        <f>VLOOKUP(Table5[[#This Row],[Shortname]], [1]!comp[#Data], 2, FALSE)</f>
        <v>Low-W</v>
      </c>
      <c r="D523" s="7" t="s">
        <v>4883</v>
      </c>
      <c r="E523" t="s">
        <v>6768</v>
      </c>
      <c r="F523">
        <v>1090</v>
      </c>
      <c r="G523">
        <v>1310</v>
      </c>
      <c r="H523">
        <v>1372</v>
      </c>
      <c r="J523" s="14">
        <f>VLOOKUP(Table5[[#This Row],[Shortname]], Comp[], 7, FALSE)</f>
        <v>76</v>
      </c>
      <c r="K523">
        <f>VLOOKUP(Table5[[#This Row],[Shortname]], Comp[], 8, FALSE)</f>
        <v>0</v>
      </c>
      <c r="L523">
        <f>VLOOKUP(Table5[[#This Row],[Shortname]], Comp[], 9, FALSE)</f>
        <v>8</v>
      </c>
      <c r="M523">
        <f>VLOOKUP(Table5[[#This Row],[Shortname]], Comp[], 10, FALSE)</f>
        <v>14</v>
      </c>
      <c r="N523">
        <f>VLOOKUP(Table5[[#This Row],[Shortname]], Comp[], 11, FALSE)</f>
        <v>2</v>
      </c>
      <c r="O523">
        <f>VLOOKUP(Table5[[#This Row],[Shortname]], Comp[],12, FALSE)</f>
        <v>0</v>
      </c>
      <c r="P523">
        <f>VLOOKUP(Table5[[#This Row],[Shortname]], Comp[], 13, FALSE)</f>
        <v>0</v>
      </c>
      <c r="Q523">
        <f>VLOOKUP(Table5[[#This Row],[Shortname]], Comp[], 14, FALSE)</f>
        <v>0</v>
      </c>
      <c r="R523">
        <f>VLOOKUP(Table5[[#This Row],[Shortname]], Comp[], 15, FALSE)</f>
        <v>0</v>
      </c>
      <c r="S523">
        <f>VLOOKUP(Table5[[#This Row],[Shortname]], Comp[], 16, FALSE)</f>
        <v>0</v>
      </c>
      <c r="T523">
        <f>VLOOKUP(Table5[[#This Row],[Shortname]], Comp[], 17, FALSE)</f>
        <v>0</v>
      </c>
      <c r="U523">
        <f>VLOOKUP(Table5[[#This Row],[Shortname]], Comp[], 18, FALSE)</f>
        <v>0</v>
      </c>
      <c r="V523">
        <f>VLOOKUP(Table5[[#This Row],[Shortname]], Comp[], 19, FALSE)</f>
        <v>0</v>
      </c>
      <c r="W523">
        <f>VLOOKUP(Table5[[#This Row],[Shortname]], Comp[], 20, FALSE)</f>
        <v>0</v>
      </c>
      <c r="X523">
        <f>VLOOKUP(Table5[[#This Row],[Shortname]], Comp[], 21, FALSE)</f>
        <v>0</v>
      </c>
      <c r="Y523">
        <f>VLOOKUP(Table5[[#This Row],[Shortname]], Comp[], 22, FALSE)</f>
        <v>0</v>
      </c>
      <c r="Z523">
        <f>VLOOKUP(Table5[[#This Row],[Shortname]], Comp[], 23, FALSE)</f>
        <v>0</v>
      </c>
      <c r="AA523">
        <f>VLOOKUP(Table5[[#This Row],[Shortname]], Comp[], 24, FALSE)</f>
        <v>0</v>
      </c>
      <c r="AB523">
        <f>VLOOKUP(Table5[[#This Row],[Shortname]], Comp[], 25, FALSE)</f>
        <v>0</v>
      </c>
      <c r="AC523">
        <f>VLOOKUP(Table5[[#This Row],[Shortname]], Comp[], 26, FALSE)</f>
        <v>0</v>
      </c>
      <c r="AD523">
        <f>VLOOKUP(Table5[[#This Row],[Shortname]], Comp[], 27, FALSE)</f>
        <v>0</v>
      </c>
      <c r="AE523">
        <f>VLOOKUP(Table5[[#This Row],[Shortname]], Comp[], 28, FALSE)</f>
        <v>0</v>
      </c>
      <c r="AF523">
        <f>VLOOKUP(Table5[[#This Row],[Shortname]], Comp[], 29, FALSE)</f>
        <v>0</v>
      </c>
      <c r="AG523">
        <f>VLOOKUP(Table5[[#This Row],[Shortname]], Comp[], 30, FALSE)</f>
        <v>0</v>
      </c>
      <c r="AH523">
        <f>VLOOKUP(Table5[[#This Row],[Shortname]], Comp[], 31, FALSE)</f>
        <v>0</v>
      </c>
    </row>
    <row r="524" spans="1:34" x14ac:dyDescent="0.3">
      <c r="A524" s="7" t="s">
        <v>5072</v>
      </c>
      <c r="B524">
        <v>544</v>
      </c>
      <c r="C524" s="7" t="str">
        <f>VLOOKUP(Table5[[#This Row],[Shortname]], [1]!comp[#Data], 2, FALSE)</f>
        <v>Low-W</v>
      </c>
      <c r="D524" t="s">
        <v>5074</v>
      </c>
      <c r="E524" s="3" t="s">
        <v>5075</v>
      </c>
      <c r="F524">
        <v>1201</v>
      </c>
      <c r="J524" s="14">
        <f>VLOOKUP(Table5[[#This Row],[Shortname]], Comp[], 7, FALSE)</f>
        <v>44</v>
      </c>
      <c r="K524">
        <f>VLOOKUP(Table5[[#This Row],[Shortname]], Comp[], 8, FALSE)</f>
        <v>32</v>
      </c>
      <c r="L524">
        <f>VLOOKUP(Table5[[#This Row],[Shortname]], Comp[], 9, FALSE)</f>
        <v>11</v>
      </c>
      <c r="M524">
        <f>VLOOKUP(Table5[[#This Row],[Shortname]], Comp[], 10, FALSE)</f>
        <v>5</v>
      </c>
      <c r="N524">
        <f>VLOOKUP(Table5[[#This Row],[Shortname]], Comp[], 11, FALSE)</f>
        <v>2</v>
      </c>
      <c r="O524">
        <f>VLOOKUP(Table5[[#This Row],[Shortname]], Comp[],12, FALSE)</f>
        <v>2</v>
      </c>
      <c r="P524">
        <f>VLOOKUP(Table5[[#This Row],[Shortname]], Comp[], 13, FALSE)</f>
        <v>3</v>
      </c>
      <c r="Q524">
        <f>VLOOKUP(Table5[[#This Row],[Shortname]], Comp[], 14, FALSE)</f>
        <v>0.5</v>
      </c>
      <c r="R524">
        <f>VLOOKUP(Table5[[#This Row],[Shortname]], Comp[], 15, FALSE)</f>
        <v>0</v>
      </c>
      <c r="S524">
        <f>VLOOKUP(Table5[[#This Row],[Shortname]], Comp[], 16, FALSE)</f>
        <v>0.5</v>
      </c>
      <c r="T524">
        <f>VLOOKUP(Table5[[#This Row],[Shortname]], Comp[], 17, FALSE)</f>
        <v>0</v>
      </c>
      <c r="U524">
        <f>VLOOKUP(Table5[[#This Row],[Shortname]], Comp[], 18, FALSE)</f>
        <v>0</v>
      </c>
      <c r="V524">
        <f>VLOOKUP(Table5[[#This Row],[Shortname]], Comp[], 19, FALSE)</f>
        <v>0</v>
      </c>
      <c r="W524">
        <f>VLOOKUP(Table5[[#This Row],[Shortname]], Comp[], 20, FALSE)</f>
        <v>0</v>
      </c>
      <c r="X524">
        <f>VLOOKUP(Table5[[#This Row],[Shortname]], Comp[], 21, FALSE)</f>
        <v>0</v>
      </c>
      <c r="Y524">
        <f>VLOOKUP(Table5[[#This Row],[Shortname]], Comp[], 22, FALSE)</f>
        <v>0</v>
      </c>
      <c r="Z524">
        <f>VLOOKUP(Table5[[#This Row],[Shortname]], Comp[], 23, FALSE)</f>
        <v>0</v>
      </c>
      <c r="AA524">
        <f>VLOOKUP(Table5[[#This Row],[Shortname]], Comp[], 24, FALSE)</f>
        <v>0</v>
      </c>
      <c r="AB524">
        <f>VLOOKUP(Table5[[#This Row],[Shortname]], Comp[], 25, FALSE)</f>
        <v>0</v>
      </c>
      <c r="AC524">
        <f>VLOOKUP(Table5[[#This Row],[Shortname]], Comp[], 26, FALSE)</f>
        <v>0</v>
      </c>
      <c r="AD524">
        <f>VLOOKUP(Table5[[#This Row],[Shortname]], Comp[], 27, FALSE)</f>
        <v>0</v>
      </c>
      <c r="AE524">
        <f>VLOOKUP(Table5[[#This Row],[Shortname]], Comp[], 28, FALSE)</f>
        <v>0</v>
      </c>
      <c r="AF524">
        <f>VLOOKUP(Table5[[#This Row],[Shortname]], Comp[], 29, FALSE)</f>
        <v>0</v>
      </c>
      <c r="AG524">
        <f>VLOOKUP(Table5[[#This Row],[Shortname]], Comp[], 30, FALSE)</f>
        <v>0</v>
      </c>
      <c r="AH524">
        <f>VLOOKUP(Table5[[#This Row],[Shortname]], Comp[], 31, FALSE)</f>
        <v>0</v>
      </c>
    </row>
    <row r="525" spans="1:34" x14ac:dyDescent="0.3">
      <c r="A525" s="7" t="s">
        <v>1653</v>
      </c>
      <c r="B525">
        <v>545</v>
      </c>
      <c r="C525" s="7" t="str">
        <f>VLOOKUP(Table5[[#This Row],[Shortname]], [1]!comp[#Data], 2, FALSE)</f>
        <v>CoAlWX+</v>
      </c>
      <c r="D525" t="s">
        <v>5080</v>
      </c>
      <c r="E525" s="3" t="s">
        <v>5075</v>
      </c>
      <c r="F525">
        <v>1173</v>
      </c>
      <c r="J525" s="14">
        <f>VLOOKUP(Table5[[#This Row],[Shortname]], Comp[], 7, FALSE)</f>
        <v>45</v>
      </c>
      <c r="K525">
        <f>VLOOKUP(Table5[[#This Row],[Shortname]], Comp[], 8, FALSE)</f>
        <v>30</v>
      </c>
      <c r="L525">
        <f>VLOOKUP(Table5[[#This Row],[Shortname]], Comp[], 9, FALSE)</f>
        <v>11</v>
      </c>
      <c r="M525">
        <f>VLOOKUP(Table5[[#This Row],[Shortname]], Comp[], 10, FALSE)</f>
        <v>5</v>
      </c>
      <c r="N525">
        <f>VLOOKUP(Table5[[#This Row],[Shortname]], Comp[], 11, FALSE)</f>
        <v>4</v>
      </c>
      <c r="O525">
        <f>VLOOKUP(Table5[[#This Row],[Shortname]], Comp[],12, FALSE)</f>
        <v>4</v>
      </c>
      <c r="P525">
        <f>VLOOKUP(Table5[[#This Row],[Shortname]], Comp[], 13, FALSE)</f>
        <v>1</v>
      </c>
      <c r="Q525">
        <f>VLOOKUP(Table5[[#This Row],[Shortname]], Comp[], 14, FALSE)</f>
        <v>0</v>
      </c>
      <c r="R525">
        <f>VLOOKUP(Table5[[#This Row],[Shortname]], Comp[], 15, FALSE)</f>
        <v>0</v>
      </c>
      <c r="S525">
        <f>VLOOKUP(Table5[[#This Row],[Shortname]], Comp[], 16, FALSE)</f>
        <v>0</v>
      </c>
      <c r="T525">
        <f>VLOOKUP(Table5[[#This Row],[Shortname]], Comp[], 17, FALSE)</f>
        <v>0</v>
      </c>
      <c r="U525">
        <f>VLOOKUP(Table5[[#This Row],[Shortname]], Comp[], 18, FALSE)</f>
        <v>0</v>
      </c>
      <c r="V525">
        <f>VLOOKUP(Table5[[#This Row],[Shortname]], Comp[], 19, FALSE)</f>
        <v>0</v>
      </c>
      <c r="W525">
        <f>VLOOKUP(Table5[[#This Row],[Shortname]], Comp[], 20, FALSE)</f>
        <v>0</v>
      </c>
      <c r="X525">
        <f>VLOOKUP(Table5[[#This Row],[Shortname]], Comp[], 21, FALSE)</f>
        <v>0</v>
      </c>
      <c r="Y525">
        <f>VLOOKUP(Table5[[#This Row],[Shortname]], Comp[], 22, FALSE)</f>
        <v>0</v>
      </c>
      <c r="Z525">
        <f>VLOOKUP(Table5[[#This Row],[Shortname]], Comp[], 23, FALSE)</f>
        <v>0</v>
      </c>
      <c r="AA525">
        <f>VLOOKUP(Table5[[#This Row],[Shortname]], Comp[], 24, FALSE)</f>
        <v>0</v>
      </c>
      <c r="AB525">
        <f>VLOOKUP(Table5[[#This Row],[Shortname]], Comp[], 25, FALSE)</f>
        <v>0</v>
      </c>
      <c r="AC525">
        <f>VLOOKUP(Table5[[#This Row],[Shortname]], Comp[], 26, FALSE)</f>
        <v>0</v>
      </c>
      <c r="AD525">
        <f>VLOOKUP(Table5[[#This Row],[Shortname]], Comp[], 27, FALSE)</f>
        <v>0</v>
      </c>
      <c r="AE525">
        <f>VLOOKUP(Table5[[#This Row],[Shortname]], Comp[], 28, FALSE)</f>
        <v>0</v>
      </c>
      <c r="AF525">
        <f>VLOOKUP(Table5[[#This Row],[Shortname]], Comp[], 29, FALSE)</f>
        <v>0</v>
      </c>
      <c r="AG525">
        <f>VLOOKUP(Table5[[#This Row],[Shortname]], Comp[], 30, FALSE)</f>
        <v>0</v>
      </c>
      <c r="AH525">
        <f>VLOOKUP(Table5[[#This Row],[Shortname]], Comp[], 31, FALSE)</f>
        <v>0</v>
      </c>
    </row>
    <row r="526" spans="1:34" x14ac:dyDescent="0.3">
      <c r="A526" s="29" t="s">
        <v>5357</v>
      </c>
      <c r="B526">
        <v>547</v>
      </c>
      <c r="C526" s="29">
        <f>VLOOKUP([2]DSC!$A548, [2]comp!$A$2:$BJ$838, 2, FALSE)</f>
        <v>0</v>
      </c>
      <c r="D526" s="29" t="s">
        <v>5358</v>
      </c>
      <c r="E526" s="30" t="s">
        <v>5359</v>
      </c>
      <c r="F526" s="31">
        <v>1125</v>
      </c>
      <c r="G526" s="29"/>
      <c r="H526" s="29"/>
      <c r="I526" s="29"/>
      <c r="J526" s="14">
        <f>VLOOKUP(Table5[[#This Row],[Shortname]], Comp[], 7, FALSE)</f>
        <v>43.099999999999994</v>
      </c>
      <c r="K526">
        <f>VLOOKUP(Table5[[#This Row],[Shortname]], Comp[], 8, FALSE)</f>
        <v>28.8</v>
      </c>
      <c r="L526">
        <f>VLOOKUP(Table5[[#This Row],[Shortname]], Comp[], 9, FALSE)</f>
        <v>10</v>
      </c>
      <c r="M526">
        <f>VLOOKUP(Table5[[#This Row],[Shortname]], Comp[], 10, FALSE)</f>
        <v>10.199999999999999</v>
      </c>
      <c r="N526">
        <f>VLOOKUP(Table5[[#This Row],[Shortname]], Comp[], 11, FALSE)</f>
        <v>0</v>
      </c>
      <c r="O526">
        <f>VLOOKUP(Table5[[#This Row],[Shortname]], Comp[],12, FALSE)</f>
        <v>2.1</v>
      </c>
      <c r="P526">
        <f>VLOOKUP(Table5[[#This Row],[Shortname]], Comp[], 13, FALSE)</f>
        <v>2.1</v>
      </c>
      <c r="Q526">
        <f>VLOOKUP(Table5[[#This Row],[Shortname]], Comp[], 14, FALSE)</f>
        <v>1.5</v>
      </c>
      <c r="R526">
        <f>VLOOKUP(Table5[[#This Row],[Shortname]], Comp[], 15, FALSE)</f>
        <v>0</v>
      </c>
      <c r="S526">
        <f>VLOOKUP(Table5[[#This Row],[Shortname]], Comp[], 16, FALSE)</f>
        <v>2.2000000000000002</v>
      </c>
      <c r="T526">
        <f>VLOOKUP(Table5[[#This Row],[Shortname]], Comp[], 17, FALSE)</f>
        <v>0</v>
      </c>
      <c r="U526">
        <f>VLOOKUP(Table5[[#This Row],[Shortname]], Comp[], 18, FALSE)</f>
        <v>0</v>
      </c>
      <c r="V526">
        <f>VLOOKUP(Table5[[#This Row],[Shortname]], Comp[], 19, FALSE)</f>
        <v>0</v>
      </c>
      <c r="W526">
        <f>VLOOKUP(Table5[[#This Row],[Shortname]], Comp[], 20, FALSE)</f>
        <v>0</v>
      </c>
      <c r="X526">
        <f>VLOOKUP(Table5[[#This Row],[Shortname]], Comp[], 21, FALSE)</f>
        <v>0</v>
      </c>
      <c r="Y526">
        <f>VLOOKUP(Table5[[#This Row],[Shortname]], Comp[], 22, FALSE)</f>
        <v>0</v>
      </c>
      <c r="Z526">
        <f>VLOOKUP(Table5[[#This Row],[Shortname]], Comp[], 23, FALSE)</f>
        <v>0</v>
      </c>
      <c r="AA526">
        <f>VLOOKUP(Table5[[#This Row],[Shortname]], Comp[], 24, FALSE)</f>
        <v>0</v>
      </c>
      <c r="AB526">
        <f>VLOOKUP(Table5[[#This Row],[Shortname]], Comp[], 25, FALSE)</f>
        <v>0</v>
      </c>
      <c r="AC526">
        <f>VLOOKUP(Table5[[#This Row],[Shortname]], Comp[], 26, FALSE)</f>
        <v>0</v>
      </c>
      <c r="AD526">
        <f>VLOOKUP(Table5[[#This Row],[Shortname]], Comp[], 27, FALSE)</f>
        <v>0</v>
      </c>
      <c r="AE526">
        <f>VLOOKUP(Table5[[#This Row],[Shortname]], Comp[], 28, FALSE)</f>
        <v>0</v>
      </c>
      <c r="AF526">
        <f>VLOOKUP(Table5[[#This Row],[Shortname]], Comp[], 29, FALSE)</f>
        <v>0</v>
      </c>
      <c r="AG526">
        <f>VLOOKUP(Table5[[#This Row],[Shortname]], Comp[], 30, FALSE)</f>
        <v>0</v>
      </c>
      <c r="AH526">
        <f>VLOOKUP(Table5[[#This Row],[Shortname]], Comp[], 31, FALSE)</f>
        <v>0</v>
      </c>
    </row>
    <row r="527" spans="1:34" x14ac:dyDescent="0.3">
      <c r="A527" s="12" t="s">
        <v>5229</v>
      </c>
      <c r="B527">
        <v>548</v>
      </c>
      <c r="C527" s="32" t="str">
        <f>VLOOKUP([2]DSC!$A549, [2]comp!$A$2:$BJ$838, 2, FALSE)</f>
        <v>CoAlW-X</v>
      </c>
      <c r="D527" s="12">
        <v>1</v>
      </c>
      <c r="E527" s="33" t="s">
        <v>5378</v>
      </c>
      <c r="F527" s="12">
        <v>1050</v>
      </c>
      <c r="J527" s="14">
        <f>VLOOKUP(Table5[[#This Row],[Shortname]], Comp[], 7, FALSE)</f>
        <v>77</v>
      </c>
      <c r="K527">
        <f>VLOOKUP(Table5[[#This Row],[Shortname]], Comp[], 8, FALSE)</f>
        <v>0</v>
      </c>
      <c r="L527">
        <f>VLOOKUP(Table5[[#This Row],[Shortname]], Comp[], 9, FALSE)</f>
        <v>12</v>
      </c>
      <c r="M527">
        <f>VLOOKUP(Table5[[#This Row],[Shortname]], Comp[], 10, FALSE)</f>
        <v>0</v>
      </c>
      <c r="N527">
        <f>VLOOKUP(Table5[[#This Row],[Shortname]], Comp[], 11, FALSE)</f>
        <v>11</v>
      </c>
      <c r="O527">
        <f>VLOOKUP(Table5[[#This Row],[Shortname]], Comp[],12, FALSE)</f>
        <v>0</v>
      </c>
      <c r="P527">
        <f>VLOOKUP(Table5[[#This Row],[Shortname]], Comp[], 13, FALSE)</f>
        <v>0</v>
      </c>
      <c r="Q527">
        <f>VLOOKUP(Table5[[#This Row],[Shortname]], Comp[], 14, FALSE)</f>
        <v>0</v>
      </c>
      <c r="R527">
        <f>VLOOKUP(Table5[[#This Row],[Shortname]], Comp[], 15, FALSE)</f>
        <v>0</v>
      </c>
      <c r="S527">
        <f>VLOOKUP(Table5[[#This Row],[Shortname]], Comp[], 16, FALSE)</f>
        <v>0</v>
      </c>
      <c r="T527">
        <f>VLOOKUP(Table5[[#This Row],[Shortname]], Comp[], 17, FALSE)</f>
        <v>0</v>
      </c>
      <c r="U527">
        <f>VLOOKUP(Table5[[#This Row],[Shortname]], Comp[], 18, FALSE)</f>
        <v>0</v>
      </c>
      <c r="V527">
        <f>VLOOKUP(Table5[[#This Row],[Shortname]], Comp[], 19, FALSE)</f>
        <v>0</v>
      </c>
      <c r="W527">
        <f>VLOOKUP(Table5[[#This Row],[Shortname]], Comp[], 20, FALSE)</f>
        <v>0</v>
      </c>
      <c r="X527">
        <f>VLOOKUP(Table5[[#This Row],[Shortname]], Comp[], 21, FALSE)</f>
        <v>0</v>
      </c>
      <c r="Y527">
        <f>VLOOKUP(Table5[[#This Row],[Shortname]], Comp[], 22, FALSE)</f>
        <v>0</v>
      </c>
      <c r="Z527">
        <f>VLOOKUP(Table5[[#This Row],[Shortname]], Comp[], 23, FALSE)</f>
        <v>0</v>
      </c>
      <c r="AA527">
        <f>VLOOKUP(Table5[[#This Row],[Shortname]], Comp[], 24, FALSE)</f>
        <v>0</v>
      </c>
      <c r="AB527">
        <f>VLOOKUP(Table5[[#This Row],[Shortname]], Comp[], 25, FALSE)</f>
        <v>0</v>
      </c>
      <c r="AC527">
        <f>VLOOKUP(Table5[[#This Row],[Shortname]], Comp[], 26, FALSE)</f>
        <v>0</v>
      </c>
      <c r="AD527">
        <f>VLOOKUP(Table5[[#This Row],[Shortname]], Comp[], 27, FALSE)</f>
        <v>0</v>
      </c>
      <c r="AE527">
        <f>VLOOKUP(Table5[[#This Row],[Shortname]], Comp[], 28, FALSE)</f>
        <v>0</v>
      </c>
      <c r="AF527">
        <f>VLOOKUP(Table5[[#This Row],[Shortname]], Comp[], 29, FALSE)</f>
        <v>0</v>
      </c>
      <c r="AG527">
        <f>VLOOKUP(Table5[[#This Row],[Shortname]], Comp[], 30, FALSE)</f>
        <v>0</v>
      </c>
      <c r="AH527">
        <f>VLOOKUP(Table5[[#This Row],[Shortname]], Comp[], 31, FALSE)</f>
        <v>0</v>
      </c>
    </row>
    <row r="528" spans="1:34" x14ac:dyDescent="0.3">
      <c r="A528" s="12" t="s">
        <v>5380</v>
      </c>
      <c r="B528">
        <v>549</v>
      </c>
      <c r="C528" s="32">
        <f>VLOOKUP([2]DSC!$A550, [2]comp!$A$2:$BJ$838, 2, FALSE)</f>
        <v>0</v>
      </c>
      <c r="D528" s="12">
        <v>2</v>
      </c>
      <c r="E528" s="33" t="s">
        <v>5381</v>
      </c>
      <c r="F528" s="12">
        <v>1080</v>
      </c>
      <c r="J528" s="14">
        <f>VLOOKUP(Table5[[#This Row],[Shortname]], Comp[], 7, FALSE)</f>
        <v>62</v>
      </c>
      <c r="K528">
        <f>VLOOKUP(Table5[[#This Row],[Shortname]], Comp[], 8, FALSE)</f>
        <v>15</v>
      </c>
      <c r="L528">
        <f>VLOOKUP(Table5[[#This Row],[Shortname]], Comp[], 9, FALSE)</f>
        <v>12</v>
      </c>
      <c r="M528">
        <f>VLOOKUP(Table5[[#This Row],[Shortname]], Comp[], 10, FALSE)</f>
        <v>0</v>
      </c>
      <c r="N528">
        <f>VLOOKUP(Table5[[#This Row],[Shortname]], Comp[], 11, FALSE)</f>
        <v>11</v>
      </c>
      <c r="O528">
        <f>VLOOKUP(Table5[[#This Row],[Shortname]], Comp[],12, FALSE)</f>
        <v>0</v>
      </c>
      <c r="P528">
        <f>VLOOKUP(Table5[[#This Row],[Shortname]], Comp[], 13, FALSE)</f>
        <v>0</v>
      </c>
      <c r="Q528">
        <f>VLOOKUP(Table5[[#This Row],[Shortname]], Comp[], 14, FALSE)</f>
        <v>0</v>
      </c>
      <c r="R528">
        <f>VLOOKUP(Table5[[#This Row],[Shortname]], Comp[], 15, FALSE)</f>
        <v>0</v>
      </c>
      <c r="S528">
        <f>VLOOKUP(Table5[[#This Row],[Shortname]], Comp[], 16, FALSE)</f>
        <v>0</v>
      </c>
      <c r="T528">
        <f>VLOOKUP(Table5[[#This Row],[Shortname]], Comp[], 17, FALSE)</f>
        <v>0</v>
      </c>
      <c r="U528">
        <f>VLOOKUP(Table5[[#This Row],[Shortname]], Comp[], 18, FALSE)</f>
        <v>0</v>
      </c>
      <c r="V528">
        <f>VLOOKUP(Table5[[#This Row],[Shortname]], Comp[], 19, FALSE)</f>
        <v>0</v>
      </c>
      <c r="W528">
        <f>VLOOKUP(Table5[[#This Row],[Shortname]], Comp[], 20, FALSE)</f>
        <v>0</v>
      </c>
      <c r="X528">
        <f>VLOOKUP(Table5[[#This Row],[Shortname]], Comp[], 21, FALSE)</f>
        <v>0</v>
      </c>
      <c r="Y528">
        <f>VLOOKUP(Table5[[#This Row],[Shortname]], Comp[], 22, FALSE)</f>
        <v>0</v>
      </c>
      <c r="Z528">
        <f>VLOOKUP(Table5[[#This Row],[Shortname]], Comp[], 23, FALSE)</f>
        <v>0</v>
      </c>
      <c r="AA528">
        <f>VLOOKUP(Table5[[#This Row],[Shortname]], Comp[], 24, FALSE)</f>
        <v>0</v>
      </c>
      <c r="AB528">
        <f>VLOOKUP(Table5[[#This Row],[Shortname]], Comp[], 25, FALSE)</f>
        <v>0</v>
      </c>
      <c r="AC528">
        <f>VLOOKUP(Table5[[#This Row],[Shortname]], Comp[], 26, FALSE)</f>
        <v>0</v>
      </c>
      <c r="AD528">
        <f>VLOOKUP(Table5[[#This Row],[Shortname]], Comp[], 27, FALSE)</f>
        <v>0</v>
      </c>
      <c r="AE528">
        <f>VLOOKUP(Table5[[#This Row],[Shortname]], Comp[], 28, FALSE)</f>
        <v>0</v>
      </c>
      <c r="AF528">
        <f>VLOOKUP(Table5[[#This Row],[Shortname]], Comp[], 29, FALSE)</f>
        <v>0</v>
      </c>
      <c r="AG528">
        <f>VLOOKUP(Table5[[#This Row],[Shortname]], Comp[], 30, FALSE)</f>
        <v>0</v>
      </c>
      <c r="AH528">
        <f>VLOOKUP(Table5[[#This Row],[Shortname]], Comp[], 31, FALSE)</f>
        <v>0</v>
      </c>
    </row>
    <row r="529" spans="1:34" x14ac:dyDescent="0.3">
      <c r="A529" s="12" t="s">
        <v>5384</v>
      </c>
      <c r="B529">
        <v>550</v>
      </c>
      <c r="C529" s="32">
        <f>VLOOKUP([2]DSC!$A551, [2]comp!$A$2:$BJ$838, 2, FALSE)</f>
        <v>0</v>
      </c>
      <c r="D529" s="12">
        <v>3</v>
      </c>
      <c r="E529" s="33" t="s">
        <v>5385</v>
      </c>
      <c r="F529" s="12">
        <v>1130</v>
      </c>
      <c r="J529" s="14">
        <f>VLOOKUP(Table5[[#This Row],[Shortname]], Comp[], 7, FALSE)</f>
        <v>47</v>
      </c>
      <c r="K529">
        <f>VLOOKUP(Table5[[#This Row],[Shortname]], Comp[], 8, FALSE)</f>
        <v>30</v>
      </c>
      <c r="L529">
        <f>VLOOKUP(Table5[[#This Row],[Shortname]], Comp[], 9, FALSE)</f>
        <v>12</v>
      </c>
      <c r="M529">
        <f>VLOOKUP(Table5[[#This Row],[Shortname]], Comp[], 10, FALSE)</f>
        <v>0</v>
      </c>
      <c r="N529">
        <f>VLOOKUP(Table5[[#This Row],[Shortname]], Comp[], 11, FALSE)</f>
        <v>11</v>
      </c>
      <c r="O529">
        <f>VLOOKUP(Table5[[#This Row],[Shortname]], Comp[],12, FALSE)</f>
        <v>0</v>
      </c>
      <c r="P529">
        <f>VLOOKUP(Table5[[#This Row],[Shortname]], Comp[], 13, FALSE)</f>
        <v>0</v>
      </c>
      <c r="Q529">
        <f>VLOOKUP(Table5[[#This Row],[Shortname]], Comp[], 14, FALSE)</f>
        <v>0</v>
      </c>
      <c r="R529">
        <f>VLOOKUP(Table5[[#This Row],[Shortname]], Comp[], 15, FALSE)</f>
        <v>0</v>
      </c>
      <c r="S529">
        <f>VLOOKUP(Table5[[#This Row],[Shortname]], Comp[], 16, FALSE)</f>
        <v>0</v>
      </c>
      <c r="T529">
        <f>VLOOKUP(Table5[[#This Row],[Shortname]], Comp[], 17, FALSE)</f>
        <v>0</v>
      </c>
      <c r="U529">
        <f>VLOOKUP(Table5[[#This Row],[Shortname]], Comp[], 18, FALSE)</f>
        <v>0</v>
      </c>
      <c r="V529">
        <f>VLOOKUP(Table5[[#This Row],[Shortname]], Comp[], 19, FALSE)</f>
        <v>0</v>
      </c>
      <c r="W529">
        <f>VLOOKUP(Table5[[#This Row],[Shortname]], Comp[], 20, FALSE)</f>
        <v>0</v>
      </c>
      <c r="X529">
        <f>VLOOKUP(Table5[[#This Row],[Shortname]], Comp[], 21, FALSE)</f>
        <v>0</v>
      </c>
      <c r="Y529">
        <f>VLOOKUP(Table5[[#This Row],[Shortname]], Comp[], 22, FALSE)</f>
        <v>0</v>
      </c>
      <c r="Z529">
        <f>VLOOKUP(Table5[[#This Row],[Shortname]], Comp[], 23, FALSE)</f>
        <v>0</v>
      </c>
      <c r="AA529">
        <f>VLOOKUP(Table5[[#This Row],[Shortname]], Comp[], 24, FALSE)</f>
        <v>0</v>
      </c>
      <c r="AB529">
        <f>VLOOKUP(Table5[[#This Row],[Shortname]], Comp[], 25, FALSE)</f>
        <v>0</v>
      </c>
      <c r="AC529">
        <f>VLOOKUP(Table5[[#This Row],[Shortname]], Comp[], 26, FALSE)</f>
        <v>0</v>
      </c>
      <c r="AD529">
        <f>VLOOKUP(Table5[[#This Row],[Shortname]], Comp[], 27, FALSE)</f>
        <v>0</v>
      </c>
      <c r="AE529">
        <f>VLOOKUP(Table5[[#This Row],[Shortname]], Comp[], 28, FALSE)</f>
        <v>0</v>
      </c>
      <c r="AF529">
        <f>VLOOKUP(Table5[[#This Row],[Shortname]], Comp[], 29, FALSE)</f>
        <v>0</v>
      </c>
      <c r="AG529">
        <f>VLOOKUP(Table5[[#This Row],[Shortname]], Comp[], 30, FALSE)</f>
        <v>0</v>
      </c>
      <c r="AH529">
        <f>VLOOKUP(Table5[[#This Row],[Shortname]], Comp[], 31, FALSE)</f>
        <v>0</v>
      </c>
    </row>
    <row r="530" spans="1:34" x14ac:dyDescent="0.3">
      <c r="A530" s="12" t="s">
        <v>5388</v>
      </c>
      <c r="B530">
        <v>551</v>
      </c>
      <c r="C530" s="32">
        <f>VLOOKUP([2]DSC!$A552, [2]comp!$A$2:$BJ$838, 2, FALSE)</f>
        <v>0</v>
      </c>
      <c r="D530" s="12">
        <v>4</v>
      </c>
      <c r="E530" s="33" t="s">
        <v>5389</v>
      </c>
      <c r="F530" s="12">
        <v>1170</v>
      </c>
      <c r="J530" s="14">
        <f>VLOOKUP(Table5[[#This Row],[Shortname]], Comp[], 7, FALSE)</f>
        <v>32</v>
      </c>
      <c r="K530">
        <f>VLOOKUP(Table5[[#This Row],[Shortname]], Comp[], 8, FALSE)</f>
        <v>45</v>
      </c>
      <c r="L530">
        <f>VLOOKUP(Table5[[#This Row],[Shortname]], Comp[], 9, FALSE)</f>
        <v>12</v>
      </c>
      <c r="M530">
        <f>VLOOKUP(Table5[[#This Row],[Shortname]], Comp[], 10, FALSE)</f>
        <v>0</v>
      </c>
      <c r="N530">
        <f>VLOOKUP(Table5[[#This Row],[Shortname]], Comp[], 11, FALSE)</f>
        <v>11</v>
      </c>
      <c r="O530">
        <f>VLOOKUP(Table5[[#This Row],[Shortname]], Comp[],12, FALSE)</f>
        <v>0</v>
      </c>
      <c r="P530">
        <f>VLOOKUP(Table5[[#This Row],[Shortname]], Comp[], 13, FALSE)</f>
        <v>0</v>
      </c>
      <c r="Q530">
        <f>VLOOKUP(Table5[[#This Row],[Shortname]], Comp[], 14, FALSE)</f>
        <v>0</v>
      </c>
      <c r="R530">
        <f>VLOOKUP(Table5[[#This Row],[Shortname]], Comp[], 15, FALSE)</f>
        <v>0</v>
      </c>
      <c r="S530">
        <f>VLOOKUP(Table5[[#This Row],[Shortname]], Comp[], 16, FALSE)</f>
        <v>0</v>
      </c>
      <c r="T530">
        <f>VLOOKUP(Table5[[#This Row],[Shortname]], Comp[], 17, FALSE)</f>
        <v>0</v>
      </c>
      <c r="U530">
        <f>VLOOKUP(Table5[[#This Row],[Shortname]], Comp[], 18, FALSE)</f>
        <v>0</v>
      </c>
      <c r="V530">
        <f>VLOOKUP(Table5[[#This Row],[Shortname]], Comp[], 19, FALSE)</f>
        <v>0</v>
      </c>
      <c r="W530">
        <f>VLOOKUP(Table5[[#This Row],[Shortname]], Comp[], 20, FALSE)</f>
        <v>0</v>
      </c>
      <c r="X530">
        <f>VLOOKUP(Table5[[#This Row],[Shortname]], Comp[], 21, FALSE)</f>
        <v>0</v>
      </c>
      <c r="Y530">
        <f>VLOOKUP(Table5[[#This Row],[Shortname]], Comp[], 22, FALSE)</f>
        <v>0</v>
      </c>
      <c r="Z530">
        <f>VLOOKUP(Table5[[#This Row],[Shortname]], Comp[], 23, FALSE)</f>
        <v>0</v>
      </c>
      <c r="AA530">
        <f>VLOOKUP(Table5[[#This Row],[Shortname]], Comp[], 24, FALSE)</f>
        <v>0</v>
      </c>
      <c r="AB530">
        <f>VLOOKUP(Table5[[#This Row],[Shortname]], Comp[], 25, FALSE)</f>
        <v>0</v>
      </c>
      <c r="AC530">
        <f>VLOOKUP(Table5[[#This Row],[Shortname]], Comp[], 26, FALSE)</f>
        <v>0</v>
      </c>
      <c r="AD530">
        <f>VLOOKUP(Table5[[#This Row],[Shortname]], Comp[], 27, FALSE)</f>
        <v>0</v>
      </c>
      <c r="AE530">
        <f>VLOOKUP(Table5[[#This Row],[Shortname]], Comp[], 28, FALSE)</f>
        <v>0</v>
      </c>
      <c r="AF530">
        <f>VLOOKUP(Table5[[#This Row],[Shortname]], Comp[], 29, FALSE)</f>
        <v>0</v>
      </c>
      <c r="AG530">
        <f>VLOOKUP(Table5[[#This Row],[Shortname]], Comp[], 30, FALSE)</f>
        <v>0</v>
      </c>
      <c r="AH530">
        <f>VLOOKUP(Table5[[#This Row],[Shortname]], Comp[], 31, FALSE)</f>
        <v>0</v>
      </c>
    </row>
    <row r="531" spans="1:34" x14ac:dyDescent="0.3">
      <c r="A531" s="12" t="s">
        <v>5392</v>
      </c>
      <c r="B531">
        <v>552</v>
      </c>
      <c r="C531" s="32">
        <f>VLOOKUP([2]DSC!$A553, [2]comp!$A$2:$BJ$838, 2, FALSE)</f>
        <v>0</v>
      </c>
      <c r="D531" s="12">
        <v>5</v>
      </c>
      <c r="E531" s="33" t="s">
        <v>5393</v>
      </c>
      <c r="F531" s="12">
        <v>1070</v>
      </c>
      <c r="J531" s="14">
        <f>VLOOKUP(Table5[[#This Row],[Shortname]], Comp[], 7, FALSE)</f>
        <v>65</v>
      </c>
      <c r="K531">
        <f>VLOOKUP(Table5[[#This Row],[Shortname]], Comp[], 8, FALSE)</f>
        <v>15</v>
      </c>
      <c r="L531">
        <f>VLOOKUP(Table5[[#This Row],[Shortname]], Comp[], 9, FALSE)</f>
        <v>11</v>
      </c>
      <c r="M531">
        <f>VLOOKUP(Table5[[#This Row],[Shortname]], Comp[], 10, FALSE)</f>
        <v>0</v>
      </c>
      <c r="N531">
        <f>VLOOKUP(Table5[[#This Row],[Shortname]], Comp[], 11, FALSE)</f>
        <v>9</v>
      </c>
      <c r="O531">
        <f>VLOOKUP(Table5[[#This Row],[Shortname]], Comp[],12, FALSE)</f>
        <v>0</v>
      </c>
      <c r="P531">
        <f>VLOOKUP(Table5[[#This Row],[Shortname]], Comp[], 13, FALSE)</f>
        <v>0</v>
      </c>
      <c r="Q531">
        <f>VLOOKUP(Table5[[#This Row],[Shortname]], Comp[], 14, FALSE)</f>
        <v>0</v>
      </c>
      <c r="R531">
        <f>VLOOKUP(Table5[[#This Row],[Shortname]], Comp[], 15, FALSE)</f>
        <v>0</v>
      </c>
      <c r="S531">
        <f>VLOOKUP(Table5[[#This Row],[Shortname]], Comp[], 16, FALSE)</f>
        <v>0</v>
      </c>
      <c r="T531">
        <f>VLOOKUP(Table5[[#This Row],[Shortname]], Comp[], 17, FALSE)</f>
        <v>0</v>
      </c>
      <c r="U531">
        <f>VLOOKUP(Table5[[#This Row],[Shortname]], Comp[], 18, FALSE)</f>
        <v>0</v>
      </c>
      <c r="V531">
        <f>VLOOKUP(Table5[[#This Row],[Shortname]], Comp[], 19, FALSE)</f>
        <v>0</v>
      </c>
      <c r="W531">
        <f>VLOOKUP(Table5[[#This Row],[Shortname]], Comp[], 20, FALSE)</f>
        <v>0</v>
      </c>
      <c r="X531">
        <f>VLOOKUP(Table5[[#This Row],[Shortname]], Comp[], 21, FALSE)</f>
        <v>0</v>
      </c>
      <c r="Y531">
        <f>VLOOKUP(Table5[[#This Row],[Shortname]], Comp[], 22, FALSE)</f>
        <v>0</v>
      </c>
      <c r="Z531">
        <f>VLOOKUP(Table5[[#This Row],[Shortname]], Comp[], 23, FALSE)</f>
        <v>0</v>
      </c>
      <c r="AA531">
        <f>VLOOKUP(Table5[[#This Row],[Shortname]], Comp[], 24, FALSE)</f>
        <v>0</v>
      </c>
      <c r="AB531">
        <f>VLOOKUP(Table5[[#This Row],[Shortname]], Comp[], 25, FALSE)</f>
        <v>0</v>
      </c>
      <c r="AC531">
        <f>VLOOKUP(Table5[[#This Row],[Shortname]], Comp[], 26, FALSE)</f>
        <v>0</v>
      </c>
      <c r="AD531">
        <f>VLOOKUP(Table5[[#This Row],[Shortname]], Comp[], 27, FALSE)</f>
        <v>0</v>
      </c>
      <c r="AE531">
        <f>VLOOKUP(Table5[[#This Row],[Shortname]], Comp[], 28, FALSE)</f>
        <v>0</v>
      </c>
      <c r="AF531">
        <f>VLOOKUP(Table5[[#This Row],[Shortname]], Comp[], 29, FALSE)</f>
        <v>0</v>
      </c>
      <c r="AG531">
        <f>VLOOKUP(Table5[[#This Row],[Shortname]], Comp[], 30, FALSE)</f>
        <v>0</v>
      </c>
      <c r="AH531">
        <f>VLOOKUP(Table5[[#This Row],[Shortname]], Comp[], 31, FALSE)</f>
        <v>0</v>
      </c>
    </row>
    <row r="532" spans="1:34" x14ac:dyDescent="0.3">
      <c r="A532" s="12" t="s">
        <v>5395</v>
      </c>
      <c r="B532">
        <v>553</v>
      </c>
      <c r="C532" s="32">
        <f>VLOOKUP([2]DSC!$A554, [2]comp!$A$2:$BJ$838, 2, FALSE)</f>
        <v>0</v>
      </c>
      <c r="D532" s="12">
        <v>6</v>
      </c>
      <c r="E532" s="33" t="s">
        <v>5396</v>
      </c>
      <c r="F532" s="12">
        <v>1050</v>
      </c>
      <c r="J532" s="14">
        <f>VLOOKUP(Table5[[#This Row],[Shortname]], Comp[], 7, FALSE)</f>
        <v>62.5</v>
      </c>
      <c r="K532">
        <f>VLOOKUP(Table5[[#This Row],[Shortname]], Comp[], 8, FALSE)</f>
        <v>17.5</v>
      </c>
      <c r="L532">
        <f>VLOOKUP(Table5[[#This Row],[Shortname]], Comp[], 9, FALSE)</f>
        <v>11</v>
      </c>
      <c r="M532">
        <f>VLOOKUP(Table5[[#This Row],[Shortname]], Comp[], 10, FALSE)</f>
        <v>0</v>
      </c>
      <c r="N532">
        <f>VLOOKUP(Table5[[#This Row],[Shortname]], Comp[], 11, FALSE)</f>
        <v>9</v>
      </c>
      <c r="O532">
        <f>VLOOKUP(Table5[[#This Row],[Shortname]], Comp[],12, FALSE)</f>
        <v>0</v>
      </c>
      <c r="P532">
        <f>VLOOKUP(Table5[[#This Row],[Shortname]], Comp[], 13, FALSE)</f>
        <v>0</v>
      </c>
      <c r="Q532">
        <f>VLOOKUP(Table5[[#This Row],[Shortname]], Comp[], 14, FALSE)</f>
        <v>0</v>
      </c>
      <c r="R532">
        <f>VLOOKUP(Table5[[#This Row],[Shortname]], Comp[], 15, FALSE)</f>
        <v>0</v>
      </c>
      <c r="S532">
        <f>VLOOKUP(Table5[[#This Row],[Shortname]], Comp[], 16, FALSE)</f>
        <v>0</v>
      </c>
      <c r="T532">
        <f>VLOOKUP(Table5[[#This Row],[Shortname]], Comp[], 17, FALSE)</f>
        <v>0</v>
      </c>
      <c r="U532">
        <f>VLOOKUP(Table5[[#This Row],[Shortname]], Comp[], 18, FALSE)</f>
        <v>0</v>
      </c>
      <c r="V532">
        <f>VLOOKUP(Table5[[#This Row],[Shortname]], Comp[], 19, FALSE)</f>
        <v>0</v>
      </c>
      <c r="W532">
        <f>VLOOKUP(Table5[[#This Row],[Shortname]], Comp[], 20, FALSE)</f>
        <v>0</v>
      </c>
      <c r="X532">
        <f>VLOOKUP(Table5[[#This Row],[Shortname]], Comp[], 21, FALSE)</f>
        <v>0</v>
      </c>
      <c r="Y532">
        <f>VLOOKUP(Table5[[#This Row],[Shortname]], Comp[], 22, FALSE)</f>
        <v>0</v>
      </c>
      <c r="Z532">
        <f>VLOOKUP(Table5[[#This Row],[Shortname]], Comp[], 23, FALSE)</f>
        <v>0</v>
      </c>
      <c r="AA532">
        <f>VLOOKUP(Table5[[#This Row],[Shortname]], Comp[], 24, FALSE)</f>
        <v>0</v>
      </c>
      <c r="AB532">
        <f>VLOOKUP(Table5[[#This Row],[Shortname]], Comp[], 25, FALSE)</f>
        <v>0</v>
      </c>
      <c r="AC532">
        <f>VLOOKUP(Table5[[#This Row],[Shortname]], Comp[], 26, FALSE)</f>
        <v>0</v>
      </c>
      <c r="AD532">
        <f>VLOOKUP(Table5[[#This Row],[Shortname]], Comp[], 27, FALSE)</f>
        <v>0</v>
      </c>
      <c r="AE532">
        <f>VLOOKUP(Table5[[#This Row],[Shortname]], Comp[], 28, FALSE)</f>
        <v>0</v>
      </c>
      <c r="AF532">
        <f>VLOOKUP(Table5[[#This Row],[Shortname]], Comp[], 29, FALSE)</f>
        <v>0</v>
      </c>
      <c r="AG532">
        <f>VLOOKUP(Table5[[#This Row],[Shortname]], Comp[], 30, FALSE)</f>
        <v>0</v>
      </c>
      <c r="AH532">
        <f>VLOOKUP(Table5[[#This Row],[Shortname]], Comp[], 31, FALSE)</f>
        <v>0</v>
      </c>
    </row>
    <row r="533" spans="1:34" x14ac:dyDescent="0.3">
      <c r="A533" s="12" t="s">
        <v>5399</v>
      </c>
      <c r="B533">
        <v>554</v>
      </c>
      <c r="C533" s="32">
        <f>VLOOKUP([2]DSC!$A555, [2]comp!$A$2:$BJ$838, 2, FALSE)</f>
        <v>0</v>
      </c>
      <c r="D533" s="12">
        <v>7</v>
      </c>
      <c r="E533" s="33" t="s">
        <v>5400</v>
      </c>
      <c r="F533" s="12">
        <v>1070</v>
      </c>
      <c r="J533" s="14">
        <f>VLOOKUP(Table5[[#This Row],[Shortname]], Comp[], 7, FALSE)</f>
        <v>60</v>
      </c>
      <c r="K533">
        <f>VLOOKUP(Table5[[#This Row],[Shortname]], Comp[], 8, FALSE)</f>
        <v>20</v>
      </c>
      <c r="L533">
        <f>VLOOKUP(Table5[[#This Row],[Shortname]], Comp[], 9, FALSE)</f>
        <v>11</v>
      </c>
      <c r="M533">
        <f>VLOOKUP(Table5[[#This Row],[Shortname]], Comp[], 10, FALSE)</f>
        <v>0</v>
      </c>
      <c r="N533">
        <f>VLOOKUP(Table5[[#This Row],[Shortname]], Comp[], 11, FALSE)</f>
        <v>9</v>
      </c>
      <c r="O533">
        <f>VLOOKUP(Table5[[#This Row],[Shortname]], Comp[],12, FALSE)</f>
        <v>0</v>
      </c>
      <c r="P533">
        <f>VLOOKUP(Table5[[#This Row],[Shortname]], Comp[], 13, FALSE)</f>
        <v>0</v>
      </c>
      <c r="Q533">
        <f>VLOOKUP(Table5[[#This Row],[Shortname]], Comp[], 14, FALSE)</f>
        <v>0</v>
      </c>
      <c r="R533">
        <f>VLOOKUP(Table5[[#This Row],[Shortname]], Comp[], 15, FALSE)</f>
        <v>0</v>
      </c>
      <c r="S533">
        <f>VLOOKUP(Table5[[#This Row],[Shortname]], Comp[], 16, FALSE)</f>
        <v>0</v>
      </c>
      <c r="T533">
        <f>VLOOKUP(Table5[[#This Row],[Shortname]], Comp[], 17, FALSE)</f>
        <v>0</v>
      </c>
      <c r="U533">
        <f>VLOOKUP(Table5[[#This Row],[Shortname]], Comp[], 18, FALSE)</f>
        <v>0</v>
      </c>
      <c r="V533">
        <f>VLOOKUP(Table5[[#This Row],[Shortname]], Comp[], 19, FALSE)</f>
        <v>0</v>
      </c>
      <c r="W533">
        <f>VLOOKUP(Table5[[#This Row],[Shortname]], Comp[], 20, FALSE)</f>
        <v>0</v>
      </c>
      <c r="X533">
        <f>VLOOKUP(Table5[[#This Row],[Shortname]], Comp[], 21, FALSE)</f>
        <v>0</v>
      </c>
      <c r="Y533">
        <f>VLOOKUP(Table5[[#This Row],[Shortname]], Comp[], 22, FALSE)</f>
        <v>0</v>
      </c>
      <c r="Z533">
        <f>VLOOKUP(Table5[[#This Row],[Shortname]], Comp[], 23, FALSE)</f>
        <v>0</v>
      </c>
      <c r="AA533">
        <f>VLOOKUP(Table5[[#This Row],[Shortname]], Comp[], 24, FALSE)</f>
        <v>0</v>
      </c>
      <c r="AB533">
        <f>VLOOKUP(Table5[[#This Row],[Shortname]], Comp[], 25, FALSE)</f>
        <v>0</v>
      </c>
      <c r="AC533">
        <f>VLOOKUP(Table5[[#This Row],[Shortname]], Comp[], 26, FALSE)</f>
        <v>0</v>
      </c>
      <c r="AD533">
        <f>VLOOKUP(Table5[[#This Row],[Shortname]], Comp[], 27, FALSE)</f>
        <v>0</v>
      </c>
      <c r="AE533">
        <f>VLOOKUP(Table5[[#This Row],[Shortname]], Comp[], 28, FALSE)</f>
        <v>0</v>
      </c>
      <c r="AF533">
        <f>VLOOKUP(Table5[[#This Row],[Shortname]], Comp[], 29, FALSE)</f>
        <v>0</v>
      </c>
      <c r="AG533">
        <f>VLOOKUP(Table5[[#This Row],[Shortname]], Comp[], 30, FALSE)</f>
        <v>0</v>
      </c>
      <c r="AH533">
        <f>VLOOKUP(Table5[[#This Row],[Shortname]], Comp[], 31, FALSE)</f>
        <v>0</v>
      </c>
    </row>
    <row r="534" spans="1:34" x14ac:dyDescent="0.3">
      <c r="A534" s="12" t="s">
        <v>5403</v>
      </c>
      <c r="B534">
        <v>555</v>
      </c>
      <c r="C534" s="32">
        <f>VLOOKUP([2]DSC!$A556, [2]comp!$A$2:$BJ$838, 2, FALSE)</f>
        <v>0</v>
      </c>
      <c r="D534" s="12">
        <v>8</v>
      </c>
      <c r="E534" s="33" t="s">
        <v>5404</v>
      </c>
      <c r="F534" s="12">
        <v>1000</v>
      </c>
      <c r="J534" s="14">
        <f>VLOOKUP(Table5[[#This Row],[Shortname]], Comp[], 7, FALSE)</f>
        <v>69</v>
      </c>
      <c r="K534">
        <f>VLOOKUP(Table5[[#This Row],[Shortname]], Comp[], 8, FALSE)</f>
        <v>13</v>
      </c>
      <c r="L534">
        <f>VLOOKUP(Table5[[#This Row],[Shortname]], Comp[], 9, FALSE)</f>
        <v>10</v>
      </c>
      <c r="M534">
        <f>VLOOKUP(Table5[[#This Row],[Shortname]], Comp[], 10, FALSE)</f>
        <v>0</v>
      </c>
      <c r="N534">
        <f>VLOOKUP(Table5[[#This Row],[Shortname]], Comp[], 11, FALSE)</f>
        <v>8</v>
      </c>
      <c r="O534">
        <f>VLOOKUP(Table5[[#This Row],[Shortname]], Comp[],12, FALSE)</f>
        <v>0</v>
      </c>
      <c r="P534">
        <f>VLOOKUP(Table5[[#This Row],[Shortname]], Comp[], 13, FALSE)</f>
        <v>0</v>
      </c>
      <c r="Q534">
        <f>VLOOKUP(Table5[[#This Row],[Shortname]], Comp[], 14, FALSE)</f>
        <v>0</v>
      </c>
      <c r="R534">
        <f>VLOOKUP(Table5[[#This Row],[Shortname]], Comp[], 15, FALSE)</f>
        <v>0</v>
      </c>
      <c r="S534">
        <f>VLOOKUP(Table5[[#This Row],[Shortname]], Comp[], 16, FALSE)</f>
        <v>0</v>
      </c>
      <c r="T534">
        <f>VLOOKUP(Table5[[#This Row],[Shortname]], Comp[], 17, FALSE)</f>
        <v>0</v>
      </c>
      <c r="U534">
        <f>VLOOKUP(Table5[[#This Row],[Shortname]], Comp[], 18, FALSE)</f>
        <v>0</v>
      </c>
      <c r="V534">
        <f>VLOOKUP(Table5[[#This Row],[Shortname]], Comp[], 19, FALSE)</f>
        <v>0</v>
      </c>
      <c r="W534">
        <f>VLOOKUP(Table5[[#This Row],[Shortname]], Comp[], 20, FALSE)</f>
        <v>0</v>
      </c>
      <c r="X534">
        <f>VLOOKUP(Table5[[#This Row],[Shortname]], Comp[], 21, FALSE)</f>
        <v>0</v>
      </c>
      <c r="Y534">
        <f>VLOOKUP(Table5[[#This Row],[Shortname]], Comp[], 22, FALSE)</f>
        <v>0</v>
      </c>
      <c r="Z534">
        <f>VLOOKUP(Table5[[#This Row],[Shortname]], Comp[], 23, FALSE)</f>
        <v>0</v>
      </c>
      <c r="AA534">
        <f>VLOOKUP(Table5[[#This Row],[Shortname]], Comp[], 24, FALSE)</f>
        <v>0</v>
      </c>
      <c r="AB534">
        <f>VLOOKUP(Table5[[#This Row],[Shortname]], Comp[], 25, FALSE)</f>
        <v>0</v>
      </c>
      <c r="AC534">
        <f>VLOOKUP(Table5[[#This Row],[Shortname]], Comp[], 26, FALSE)</f>
        <v>0</v>
      </c>
      <c r="AD534">
        <f>VLOOKUP(Table5[[#This Row],[Shortname]], Comp[], 27, FALSE)</f>
        <v>0</v>
      </c>
      <c r="AE534">
        <f>VLOOKUP(Table5[[#This Row],[Shortname]], Comp[], 28, FALSE)</f>
        <v>0</v>
      </c>
      <c r="AF534">
        <f>VLOOKUP(Table5[[#This Row],[Shortname]], Comp[], 29, FALSE)</f>
        <v>0</v>
      </c>
      <c r="AG534">
        <f>VLOOKUP(Table5[[#This Row],[Shortname]], Comp[], 30, FALSE)</f>
        <v>0</v>
      </c>
      <c r="AH534">
        <f>VLOOKUP(Table5[[#This Row],[Shortname]], Comp[], 31, FALSE)</f>
        <v>0</v>
      </c>
    </row>
    <row r="535" spans="1:34" x14ac:dyDescent="0.3">
      <c r="A535" s="12" t="s">
        <v>5487</v>
      </c>
      <c r="B535">
        <v>556</v>
      </c>
      <c r="C535" s="32" t="e">
        <f>VLOOKUP([2]DSC!$A557, [2]comp!$A$2:$BJ$838, 2, FALSE)</f>
        <v>#N/A</v>
      </c>
      <c r="D535" s="12" t="s">
        <v>3667</v>
      </c>
      <c r="E535" s="12" t="s">
        <v>5488</v>
      </c>
      <c r="F535" s="12">
        <v>1014</v>
      </c>
      <c r="I535" s="12" t="s">
        <v>6769</v>
      </c>
      <c r="J535" s="14">
        <f>VLOOKUP(Table5[[#This Row],[Shortname]], Comp[], 7, FALSE)</f>
        <v>51.699999999999996</v>
      </c>
      <c r="K535">
        <f>VLOOKUP(Table5[[#This Row],[Shortname]], Comp[], 8, FALSE)</f>
        <v>31</v>
      </c>
      <c r="L535">
        <f>VLOOKUP(Table5[[#This Row],[Shortname]], Comp[], 9, FALSE)</f>
        <v>10.1</v>
      </c>
      <c r="M535">
        <f>VLOOKUP(Table5[[#This Row],[Shortname]], Comp[], 10, FALSE)</f>
        <v>0</v>
      </c>
      <c r="N535">
        <f>VLOOKUP(Table5[[#This Row],[Shortname]], Comp[], 11, FALSE)</f>
        <v>0</v>
      </c>
      <c r="O535">
        <f>VLOOKUP(Table5[[#This Row],[Shortname]], Comp[],12, FALSE)</f>
        <v>0</v>
      </c>
      <c r="P535">
        <f>VLOOKUP(Table5[[#This Row],[Shortname]], Comp[], 13, FALSE)</f>
        <v>2.1</v>
      </c>
      <c r="Q535">
        <f>VLOOKUP(Table5[[#This Row],[Shortname]], Comp[], 14, FALSE)</f>
        <v>0</v>
      </c>
      <c r="R535">
        <f>VLOOKUP(Table5[[#This Row],[Shortname]], Comp[], 15, FALSE)</f>
        <v>0</v>
      </c>
      <c r="S535">
        <f>VLOOKUP(Table5[[#This Row],[Shortname]], Comp[], 16, FALSE)</f>
        <v>5.0999999999999996</v>
      </c>
      <c r="T535">
        <f>VLOOKUP(Table5[[#This Row],[Shortname]], Comp[], 17, FALSE)</f>
        <v>0</v>
      </c>
      <c r="U535">
        <f>VLOOKUP(Table5[[#This Row],[Shortname]], Comp[], 18, FALSE)</f>
        <v>0</v>
      </c>
      <c r="V535">
        <f>VLOOKUP(Table5[[#This Row],[Shortname]], Comp[], 19, FALSE)</f>
        <v>0</v>
      </c>
      <c r="W535">
        <f>VLOOKUP(Table5[[#This Row],[Shortname]], Comp[], 20, FALSE)</f>
        <v>0</v>
      </c>
      <c r="X535">
        <f>VLOOKUP(Table5[[#This Row],[Shortname]], Comp[], 21, FALSE)</f>
        <v>0</v>
      </c>
      <c r="Y535">
        <f>VLOOKUP(Table5[[#This Row],[Shortname]], Comp[], 22, FALSE)</f>
        <v>0</v>
      </c>
      <c r="Z535">
        <f>VLOOKUP(Table5[[#This Row],[Shortname]], Comp[], 23, FALSE)</f>
        <v>0</v>
      </c>
      <c r="AA535">
        <f>VLOOKUP(Table5[[#This Row],[Shortname]], Comp[], 24, FALSE)</f>
        <v>0</v>
      </c>
      <c r="AB535">
        <f>VLOOKUP(Table5[[#This Row],[Shortname]], Comp[], 25, FALSE)</f>
        <v>0</v>
      </c>
      <c r="AC535">
        <f>VLOOKUP(Table5[[#This Row],[Shortname]], Comp[], 26, FALSE)</f>
        <v>0</v>
      </c>
      <c r="AD535">
        <f>VLOOKUP(Table5[[#This Row],[Shortname]], Comp[], 27, FALSE)</f>
        <v>0</v>
      </c>
      <c r="AE535">
        <f>VLOOKUP(Table5[[#This Row],[Shortname]], Comp[], 28, FALSE)</f>
        <v>0</v>
      </c>
      <c r="AF535">
        <f>VLOOKUP(Table5[[#This Row],[Shortname]], Comp[], 29, FALSE)</f>
        <v>0</v>
      </c>
      <c r="AG535">
        <f>VLOOKUP(Table5[[#This Row],[Shortname]], Comp[], 30, FALSE)</f>
        <v>0</v>
      </c>
      <c r="AH535">
        <f>VLOOKUP(Table5[[#This Row],[Shortname]], Comp[], 31, FALSE)</f>
        <v>0</v>
      </c>
    </row>
    <row r="536" spans="1:34" x14ac:dyDescent="0.3">
      <c r="A536" s="12" t="s">
        <v>5490</v>
      </c>
      <c r="B536">
        <v>557</v>
      </c>
      <c r="C536" s="32" t="e">
        <f>VLOOKUP([2]DSC!$A558, [2]comp!$A$2:$BJ$838, 2, FALSE)</f>
        <v>#N/A</v>
      </c>
      <c r="D536" s="12" t="s">
        <v>3899</v>
      </c>
      <c r="E536" s="12" t="s">
        <v>5491</v>
      </c>
      <c r="F536" s="12">
        <v>1066</v>
      </c>
      <c r="I536" s="12" t="s">
        <v>6769</v>
      </c>
      <c r="J536" s="14">
        <f>VLOOKUP(Table5[[#This Row],[Shortname]], Comp[], 7, FALSE)</f>
        <v>50.4</v>
      </c>
      <c r="K536">
        <f>VLOOKUP(Table5[[#This Row],[Shortname]], Comp[], 8, FALSE)</f>
        <v>32</v>
      </c>
      <c r="L536">
        <f>VLOOKUP(Table5[[#This Row],[Shortname]], Comp[], 9, FALSE)</f>
        <v>9.9</v>
      </c>
      <c r="M536">
        <f>VLOOKUP(Table5[[#This Row],[Shortname]], Comp[], 10, FALSE)</f>
        <v>0</v>
      </c>
      <c r="N536">
        <f>VLOOKUP(Table5[[#This Row],[Shortname]], Comp[], 11, FALSE)</f>
        <v>0</v>
      </c>
      <c r="O536">
        <f>VLOOKUP(Table5[[#This Row],[Shortname]], Comp[],12, FALSE)</f>
        <v>1.4</v>
      </c>
      <c r="P536">
        <f>VLOOKUP(Table5[[#This Row],[Shortname]], Comp[], 13, FALSE)</f>
        <v>1.7</v>
      </c>
      <c r="Q536">
        <f>VLOOKUP(Table5[[#This Row],[Shortname]], Comp[], 14, FALSE)</f>
        <v>0</v>
      </c>
      <c r="R536">
        <f>VLOOKUP(Table5[[#This Row],[Shortname]], Comp[], 15, FALSE)</f>
        <v>0</v>
      </c>
      <c r="S536">
        <f>VLOOKUP(Table5[[#This Row],[Shortname]], Comp[], 16, FALSE)</f>
        <v>4.5999999999999996</v>
      </c>
      <c r="T536">
        <f>VLOOKUP(Table5[[#This Row],[Shortname]], Comp[], 17, FALSE)</f>
        <v>0</v>
      </c>
      <c r="U536">
        <f>VLOOKUP(Table5[[#This Row],[Shortname]], Comp[], 18, FALSE)</f>
        <v>0</v>
      </c>
      <c r="V536">
        <f>VLOOKUP(Table5[[#This Row],[Shortname]], Comp[], 19, FALSE)</f>
        <v>0</v>
      </c>
      <c r="W536">
        <f>VLOOKUP(Table5[[#This Row],[Shortname]], Comp[], 20, FALSE)</f>
        <v>0</v>
      </c>
      <c r="X536">
        <f>VLOOKUP(Table5[[#This Row],[Shortname]], Comp[], 21, FALSE)</f>
        <v>0</v>
      </c>
      <c r="Y536">
        <f>VLOOKUP(Table5[[#This Row],[Shortname]], Comp[], 22, FALSE)</f>
        <v>0</v>
      </c>
      <c r="Z536">
        <f>VLOOKUP(Table5[[#This Row],[Shortname]], Comp[], 23, FALSE)</f>
        <v>0</v>
      </c>
      <c r="AA536">
        <f>VLOOKUP(Table5[[#This Row],[Shortname]], Comp[], 24, FALSE)</f>
        <v>0</v>
      </c>
      <c r="AB536">
        <f>VLOOKUP(Table5[[#This Row],[Shortname]], Comp[], 25, FALSE)</f>
        <v>0</v>
      </c>
      <c r="AC536">
        <f>VLOOKUP(Table5[[#This Row],[Shortname]], Comp[], 26, FALSE)</f>
        <v>0</v>
      </c>
      <c r="AD536">
        <f>VLOOKUP(Table5[[#This Row],[Shortname]], Comp[], 27, FALSE)</f>
        <v>0</v>
      </c>
      <c r="AE536">
        <f>VLOOKUP(Table5[[#This Row],[Shortname]], Comp[], 28, FALSE)</f>
        <v>0</v>
      </c>
      <c r="AF536">
        <f>VLOOKUP(Table5[[#This Row],[Shortname]], Comp[], 29, FALSE)</f>
        <v>0</v>
      </c>
      <c r="AG536">
        <f>VLOOKUP(Table5[[#This Row],[Shortname]], Comp[], 30, FALSE)</f>
        <v>0</v>
      </c>
      <c r="AH536">
        <f>VLOOKUP(Table5[[#This Row],[Shortname]], Comp[], 31, FALSE)</f>
        <v>0</v>
      </c>
    </row>
    <row r="537" spans="1:34" x14ac:dyDescent="0.3">
      <c r="A537" s="12" t="s">
        <v>5493</v>
      </c>
      <c r="B537">
        <v>558</v>
      </c>
      <c r="C537" s="32" t="e">
        <f>VLOOKUP([2]DSC!$A559, [2]comp!$A$2:$BJ$838, 2, FALSE)</f>
        <v>#N/A</v>
      </c>
      <c r="D537" s="12" t="s">
        <v>3231</v>
      </c>
      <c r="E537" s="12" t="s">
        <v>5494</v>
      </c>
      <c r="F537" s="12">
        <v>1135</v>
      </c>
      <c r="I537" s="12" t="s">
        <v>6769</v>
      </c>
      <c r="J537" s="14">
        <f>VLOOKUP(Table5[[#This Row],[Shortname]], Comp[], 7, FALSE)</f>
        <v>49.8</v>
      </c>
      <c r="K537">
        <f>VLOOKUP(Table5[[#This Row],[Shortname]], Comp[], 8, FALSE)</f>
        <v>30.6</v>
      </c>
      <c r="L537">
        <f>VLOOKUP(Table5[[#This Row],[Shortname]], Comp[], 9, FALSE)</f>
        <v>9.1999999999999993</v>
      </c>
      <c r="M537">
        <f>VLOOKUP(Table5[[#This Row],[Shortname]], Comp[], 10, FALSE)</f>
        <v>0</v>
      </c>
      <c r="N537">
        <f>VLOOKUP(Table5[[#This Row],[Shortname]], Comp[], 11, FALSE)</f>
        <v>0</v>
      </c>
      <c r="O537">
        <f>VLOOKUP(Table5[[#This Row],[Shortname]], Comp[],12, FALSE)</f>
        <v>3.2</v>
      </c>
      <c r="P537">
        <f>VLOOKUP(Table5[[#This Row],[Shortname]], Comp[], 13, FALSE)</f>
        <v>2.1</v>
      </c>
      <c r="Q537">
        <f>VLOOKUP(Table5[[#This Row],[Shortname]], Comp[], 14, FALSE)</f>
        <v>0</v>
      </c>
      <c r="R537">
        <f>VLOOKUP(Table5[[#This Row],[Shortname]], Comp[], 15, FALSE)</f>
        <v>0</v>
      </c>
      <c r="S537">
        <f>VLOOKUP(Table5[[#This Row],[Shortname]], Comp[], 16, FALSE)</f>
        <v>5.0999999999999996</v>
      </c>
      <c r="T537">
        <f>VLOOKUP(Table5[[#This Row],[Shortname]], Comp[], 17, FALSE)</f>
        <v>0</v>
      </c>
      <c r="U537">
        <f>VLOOKUP(Table5[[#This Row],[Shortname]], Comp[], 18, FALSE)</f>
        <v>0</v>
      </c>
      <c r="V537">
        <f>VLOOKUP(Table5[[#This Row],[Shortname]], Comp[], 19, FALSE)</f>
        <v>0</v>
      </c>
      <c r="W537">
        <f>VLOOKUP(Table5[[#This Row],[Shortname]], Comp[], 20, FALSE)</f>
        <v>0</v>
      </c>
      <c r="X537">
        <f>VLOOKUP(Table5[[#This Row],[Shortname]], Comp[], 21, FALSE)</f>
        <v>0</v>
      </c>
      <c r="Y537">
        <f>VLOOKUP(Table5[[#This Row],[Shortname]], Comp[], 22, FALSE)</f>
        <v>0</v>
      </c>
      <c r="Z537">
        <f>VLOOKUP(Table5[[#This Row],[Shortname]], Comp[], 23, FALSE)</f>
        <v>0</v>
      </c>
      <c r="AA537">
        <f>VLOOKUP(Table5[[#This Row],[Shortname]], Comp[], 24, FALSE)</f>
        <v>0</v>
      </c>
      <c r="AB537">
        <f>VLOOKUP(Table5[[#This Row],[Shortname]], Comp[], 25, FALSE)</f>
        <v>0</v>
      </c>
      <c r="AC537">
        <f>VLOOKUP(Table5[[#This Row],[Shortname]], Comp[], 26, FALSE)</f>
        <v>0</v>
      </c>
      <c r="AD537">
        <f>VLOOKUP(Table5[[#This Row],[Shortname]], Comp[], 27, FALSE)</f>
        <v>0</v>
      </c>
      <c r="AE537">
        <f>VLOOKUP(Table5[[#This Row],[Shortname]], Comp[], 28, FALSE)</f>
        <v>0</v>
      </c>
      <c r="AF537">
        <f>VLOOKUP(Table5[[#This Row],[Shortname]], Comp[], 29, FALSE)</f>
        <v>0</v>
      </c>
      <c r="AG537">
        <f>VLOOKUP(Table5[[#This Row],[Shortname]], Comp[], 30, FALSE)</f>
        <v>0</v>
      </c>
      <c r="AH537">
        <f>VLOOKUP(Table5[[#This Row],[Shortname]], Comp[], 31, FALSE)</f>
        <v>0</v>
      </c>
    </row>
    <row r="538" spans="1:34" x14ac:dyDescent="0.3">
      <c r="A538" s="12" t="s">
        <v>5498</v>
      </c>
      <c r="B538">
        <v>559</v>
      </c>
      <c r="C538" s="32" t="e">
        <f>VLOOKUP([2]DSC!$A560, [2]comp!$A$2:$BJ$838, 2, FALSE)</f>
        <v>#N/A</v>
      </c>
      <c r="D538" s="12" t="s">
        <v>3893</v>
      </c>
      <c r="E538" s="12" t="s">
        <v>5499</v>
      </c>
      <c r="F538" s="12">
        <v>1166</v>
      </c>
      <c r="I538" s="12" t="s">
        <v>6769</v>
      </c>
      <c r="J538" s="14">
        <f>VLOOKUP(Table5[[#This Row],[Shortname]], Comp[], 7, FALSE)</f>
        <v>49.1</v>
      </c>
      <c r="K538">
        <f>VLOOKUP(Table5[[#This Row],[Shortname]], Comp[], 8, FALSE)</f>
        <v>30.5</v>
      </c>
      <c r="L538">
        <f>VLOOKUP(Table5[[#This Row],[Shortname]], Comp[], 9, FALSE)</f>
        <v>9.3000000000000007</v>
      </c>
      <c r="M538">
        <f>VLOOKUP(Table5[[#This Row],[Shortname]], Comp[], 10, FALSE)</f>
        <v>0</v>
      </c>
      <c r="N538">
        <f>VLOOKUP(Table5[[#This Row],[Shortname]], Comp[], 11, FALSE)</f>
        <v>0</v>
      </c>
      <c r="O538">
        <f>VLOOKUP(Table5[[#This Row],[Shortname]], Comp[],12, FALSE)</f>
        <v>3.9</v>
      </c>
      <c r="P538">
        <f>VLOOKUP(Table5[[#This Row],[Shortname]], Comp[], 13, FALSE)</f>
        <v>2.2000000000000002</v>
      </c>
      <c r="Q538">
        <f>VLOOKUP(Table5[[#This Row],[Shortname]], Comp[], 14, FALSE)</f>
        <v>0</v>
      </c>
      <c r="R538">
        <f>VLOOKUP(Table5[[#This Row],[Shortname]], Comp[], 15, FALSE)</f>
        <v>0</v>
      </c>
      <c r="S538">
        <f>VLOOKUP(Table5[[#This Row],[Shortname]], Comp[], 16, FALSE)</f>
        <v>5</v>
      </c>
      <c r="T538">
        <f>VLOOKUP(Table5[[#This Row],[Shortname]], Comp[], 17, FALSE)</f>
        <v>0</v>
      </c>
      <c r="U538">
        <f>VLOOKUP(Table5[[#This Row],[Shortname]], Comp[], 18, FALSE)</f>
        <v>0</v>
      </c>
      <c r="V538">
        <f>VLOOKUP(Table5[[#This Row],[Shortname]], Comp[], 19, FALSE)</f>
        <v>0</v>
      </c>
      <c r="W538">
        <f>VLOOKUP(Table5[[#This Row],[Shortname]], Comp[], 20, FALSE)</f>
        <v>0</v>
      </c>
      <c r="X538">
        <f>VLOOKUP(Table5[[#This Row],[Shortname]], Comp[], 21, FALSE)</f>
        <v>0</v>
      </c>
      <c r="Y538">
        <f>VLOOKUP(Table5[[#This Row],[Shortname]], Comp[], 22, FALSE)</f>
        <v>0</v>
      </c>
      <c r="Z538">
        <f>VLOOKUP(Table5[[#This Row],[Shortname]], Comp[], 23, FALSE)</f>
        <v>0</v>
      </c>
      <c r="AA538">
        <f>VLOOKUP(Table5[[#This Row],[Shortname]], Comp[], 24, FALSE)</f>
        <v>0</v>
      </c>
      <c r="AB538">
        <f>VLOOKUP(Table5[[#This Row],[Shortname]], Comp[], 25, FALSE)</f>
        <v>0</v>
      </c>
      <c r="AC538">
        <f>VLOOKUP(Table5[[#This Row],[Shortname]], Comp[], 26, FALSE)</f>
        <v>0</v>
      </c>
      <c r="AD538">
        <f>VLOOKUP(Table5[[#This Row],[Shortname]], Comp[], 27, FALSE)</f>
        <v>0</v>
      </c>
      <c r="AE538">
        <f>VLOOKUP(Table5[[#This Row],[Shortname]], Comp[], 28, FALSE)</f>
        <v>0</v>
      </c>
      <c r="AF538">
        <f>VLOOKUP(Table5[[#This Row],[Shortname]], Comp[], 29, FALSE)</f>
        <v>0</v>
      </c>
      <c r="AG538">
        <f>VLOOKUP(Table5[[#This Row],[Shortname]], Comp[], 30, FALSE)</f>
        <v>0</v>
      </c>
      <c r="AH538">
        <f>VLOOKUP(Table5[[#This Row],[Shortname]], Comp[], 31, FALSE)</f>
        <v>0</v>
      </c>
    </row>
    <row r="539" spans="1:34" x14ac:dyDescent="0.3">
      <c r="A539" s="12" t="s">
        <v>5520</v>
      </c>
      <c r="B539">
        <v>560</v>
      </c>
      <c r="C539" s="32" t="e">
        <f>VLOOKUP([2]DSC!$A561, [2]comp!$A$2:$BJ$838, 2, FALSE)</f>
        <v>#N/A</v>
      </c>
      <c r="D539" s="12" t="s">
        <v>5521</v>
      </c>
      <c r="E539" s="12" t="s">
        <v>5522</v>
      </c>
      <c r="F539" s="12">
        <v>990</v>
      </c>
      <c r="J539" s="14">
        <f>VLOOKUP(Table5[[#This Row],[Shortname]], Comp[], 7, FALSE)</f>
        <v>51.8</v>
      </c>
      <c r="K539">
        <f>VLOOKUP(Table5[[#This Row],[Shortname]], Comp[], 8, FALSE)</f>
        <v>31</v>
      </c>
      <c r="L539">
        <f>VLOOKUP(Table5[[#This Row],[Shortname]], Comp[], 9, FALSE)</f>
        <v>9.6999999999999993</v>
      </c>
      <c r="M539">
        <f>VLOOKUP(Table5[[#This Row],[Shortname]], Comp[], 10, FALSE)</f>
        <v>0</v>
      </c>
      <c r="N539">
        <f>VLOOKUP(Table5[[#This Row],[Shortname]], Comp[], 11, FALSE)</f>
        <v>0</v>
      </c>
      <c r="O539">
        <f>VLOOKUP(Table5[[#This Row],[Shortname]], Comp[],12, FALSE)</f>
        <v>0</v>
      </c>
      <c r="P539">
        <f>VLOOKUP(Table5[[#This Row],[Shortname]], Comp[], 13, FALSE)</f>
        <v>0</v>
      </c>
      <c r="Q539">
        <f>VLOOKUP(Table5[[#This Row],[Shortname]], Comp[], 14, FALSE)</f>
        <v>2.2999999999999998</v>
      </c>
      <c r="R539">
        <f>VLOOKUP(Table5[[#This Row],[Shortname]], Comp[], 15, FALSE)</f>
        <v>0</v>
      </c>
      <c r="S539">
        <f>VLOOKUP(Table5[[#This Row],[Shortname]], Comp[], 16, FALSE)</f>
        <v>5.2</v>
      </c>
      <c r="T539">
        <f>VLOOKUP(Table5[[#This Row],[Shortname]], Comp[], 17, FALSE)</f>
        <v>0</v>
      </c>
      <c r="U539">
        <f>VLOOKUP(Table5[[#This Row],[Shortname]], Comp[], 18, FALSE)</f>
        <v>0</v>
      </c>
      <c r="V539">
        <f>VLOOKUP(Table5[[#This Row],[Shortname]], Comp[], 19, FALSE)</f>
        <v>0</v>
      </c>
      <c r="W539">
        <f>VLOOKUP(Table5[[#This Row],[Shortname]], Comp[], 20, FALSE)</f>
        <v>0</v>
      </c>
      <c r="X539">
        <f>VLOOKUP(Table5[[#This Row],[Shortname]], Comp[], 21, FALSE)</f>
        <v>0</v>
      </c>
      <c r="Y539">
        <f>VLOOKUP(Table5[[#This Row],[Shortname]], Comp[], 22, FALSE)</f>
        <v>0</v>
      </c>
      <c r="Z539">
        <f>VLOOKUP(Table5[[#This Row],[Shortname]], Comp[], 23, FALSE)</f>
        <v>0</v>
      </c>
      <c r="AA539">
        <f>VLOOKUP(Table5[[#This Row],[Shortname]], Comp[], 24, FALSE)</f>
        <v>0</v>
      </c>
      <c r="AB539">
        <f>VLOOKUP(Table5[[#This Row],[Shortname]], Comp[], 25, FALSE)</f>
        <v>0</v>
      </c>
      <c r="AC539">
        <f>VLOOKUP(Table5[[#This Row],[Shortname]], Comp[], 26, FALSE)</f>
        <v>0</v>
      </c>
      <c r="AD539">
        <f>VLOOKUP(Table5[[#This Row],[Shortname]], Comp[], 27, FALSE)</f>
        <v>0</v>
      </c>
      <c r="AE539">
        <f>VLOOKUP(Table5[[#This Row],[Shortname]], Comp[], 28, FALSE)</f>
        <v>0</v>
      </c>
      <c r="AF539">
        <f>VLOOKUP(Table5[[#This Row],[Shortname]], Comp[], 29, FALSE)</f>
        <v>0</v>
      </c>
      <c r="AG539">
        <f>VLOOKUP(Table5[[#This Row],[Shortname]], Comp[], 30, FALSE)</f>
        <v>0</v>
      </c>
      <c r="AH539">
        <f>VLOOKUP(Table5[[#This Row],[Shortname]], Comp[], 31, FALSE)</f>
        <v>0</v>
      </c>
    </row>
    <row r="540" spans="1:34" x14ac:dyDescent="0.3">
      <c r="A540" s="12" t="s">
        <v>5524</v>
      </c>
      <c r="B540">
        <v>561</v>
      </c>
      <c r="C540" s="32" t="e">
        <f>VLOOKUP([2]DSC!$A562, [2]comp!$A$2:$BJ$838, 2, FALSE)</f>
        <v>#N/A</v>
      </c>
      <c r="D540" s="12" t="s">
        <v>5526</v>
      </c>
      <c r="E540" s="12" t="s">
        <v>5527</v>
      </c>
      <c r="F540" s="12">
        <v>1016</v>
      </c>
      <c r="J540" s="14">
        <f>VLOOKUP(Table5[[#This Row],[Shortname]], Comp[], 7, FALSE)</f>
        <v>52.1</v>
      </c>
      <c r="K540">
        <f>VLOOKUP(Table5[[#This Row],[Shortname]], Comp[], 8, FALSE)</f>
        <v>30.5</v>
      </c>
      <c r="L540">
        <f>VLOOKUP(Table5[[#This Row],[Shortname]], Comp[], 9, FALSE)</f>
        <v>9.5</v>
      </c>
      <c r="M540">
        <f>VLOOKUP(Table5[[#This Row],[Shortname]], Comp[], 10, FALSE)</f>
        <v>0</v>
      </c>
      <c r="N540">
        <f>VLOOKUP(Table5[[#This Row],[Shortname]], Comp[], 11, FALSE)</f>
        <v>0</v>
      </c>
      <c r="O540">
        <f>VLOOKUP(Table5[[#This Row],[Shortname]], Comp[],12, FALSE)</f>
        <v>1</v>
      </c>
      <c r="P540">
        <f>VLOOKUP(Table5[[#This Row],[Shortname]], Comp[], 13, FALSE)</f>
        <v>0</v>
      </c>
      <c r="Q540">
        <f>VLOOKUP(Table5[[#This Row],[Shortname]], Comp[], 14, FALSE)</f>
        <v>2</v>
      </c>
      <c r="R540">
        <f>VLOOKUP(Table5[[#This Row],[Shortname]], Comp[], 15, FALSE)</f>
        <v>0</v>
      </c>
      <c r="S540">
        <f>VLOOKUP(Table5[[#This Row],[Shortname]], Comp[], 16, FALSE)</f>
        <v>4.9000000000000004</v>
      </c>
      <c r="T540">
        <f>VLOOKUP(Table5[[#This Row],[Shortname]], Comp[], 17, FALSE)</f>
        <v>0</v>
      </c>
      <c r="U540">
        <f>VLOOKUP(Table5[[#This Row],[Shortname]], Comp[], 18, FALSE)</f>
        <v>0</v>
      </c>
      <c r="V540">
        <f>VLOOKUP(Table5[[#This Row],[Shortname]], Comp[], 19, FALSE)</f>
        <v>0</v>
      </c>
      <c r="W540">
        <f>VLOOKUP(Table5[[#This Row],[Shortname]], Comp[], 20, FALSE)</f>
        <v>0</v>
      </c>
      <c r="X540">
        <f>VLOOKUP(Table5[[#This Row],[Shortname]], Comp[], 21, FALSE)</f>
        <v>0</v>
      </c>
      <c r="Y540">
        <f>VLOOKUP(Table5[[#This Row],[Shortname]], Comp[], 22, FALSE)</f>
        <v>0</v>
      </c>
      <c r="Z540">
        <f>VLOOKUP(Table5[[#This Row],[Shortname]], Comp[], 23, FALSE)</f>
        <v>0</v>
      </c>
      <c r="AA540">
        <f>VLOOKUP(Table5[[#This Row],[Shortname]], Comp[], 24, FALSE)</f>
        <v>0</v>
      </c>
      <c r="AB540">
        <f>VLOOKUP(Table5[[#This Row],[Shortname]], Comp[], 25, FALSE)</f>
        <v>0</v>
      </c>
      <c r="AC540">
        <f>VLOOKUP(Table5[[#This Row],[Shortname]], Comp[], 26, FALSE)</f>
        <v>0</v>
      </c>
      <c r="AD540">
        <f>VLOOKUP(Table5[[#This Row],[Shortname]], Comp[], 27, FALSE)</f>
        <v>0</v>
      </c>
      <c r="AE540">
        <f>VLOOKUP(Table5[[#This Row],[Shortname]], Comp[], 28, FALSE)</f>
        <v>0</v>
      </c>
      <c r="AF540">
        <f>VLOOKUP(Table5[[#This Row],[Shortname]], Comp[], 29, FALSE)</f>
        <v>0</v>
      </c>
      <c r="AG540">
        <f>VLOOKUP(Table5[[#This Row],[Shortname]], Comp[], 30, FALSE)</f>
        <v>0</v>
      </c>
      <c r="AH540">
        <f>VLOOKUP(Table5[[#This Row],[Shortname]], Comp[], 31, FALSE)</f>
        <v>0</v>
      </c>
    </row>
    <row r="541" spans="1:34" x14ac:dyDescent="0.3">
      <c r="A541" s="12" t="s">
        <v>5530</v>
      </c>
      <c r="B541">
        <v>562</v>
      </c>
      <c r="C541" s="32" t="e">
        <f>VLOOKUP([2]DSC!$A563, [2]comp!$A$2:$BJ$838, 2, FALSE)</f>
        <v>#N/A</v>
      </c>
      <c r="D541" s="12" t="s">
        <v>5531</v>
      </c>
      <c r="E541" s="12" t="s">
        <v>5532</v>
      </c>
      <c r="F541" s="12">
        <v>1030</v>
      </c>
      <c r="J541" s="14">
        <f>VLOOKUP(Table5[[#This Row],[Shortname]], Comp[], 7, FALSE)</f>
        <v>50.899999999999991</v>
      </c>
      <c r="K541">
        <f>VLOOKUP(Table5[[#This Row],[Shortname]], Comp[], 8, FALSE)</f>
        <v>30.6</v>
      </c>
      <c r="L541">
        <f>VLOOKUP(Table5[[#This Row],[Shortname]], Comp[], 9, FALSE)</f>
        <v>9.3000000000000007</v>
      </c>
      <c r="M541">
        <f>VLOOKUP(Table5[[#This Row],[Shortname]], Comp[], 10, FALSE)</f>
        <v>0</v>
      </c>
      <c r="N541">
        <f>VLOOKUP(Table5[[#This Row],[Shortname]], Comp[], 11, FALSE)</f>
        <v>0</v>
      </c>
      <c r="O541">
        <f>VLOOKUP(Table5[[#This Row],[Shortname]], Comp[],12, FALSE)</f>
        <v>1.9</v>
      </c>
      <c r="P541">
        <f>VLOOKUP(Table5[[#This Row],[Shortname]], Comp[], 13, FALSE)</f>
        <v>0</v>
      </c>
      <c r="Q541">
        <f>VLOOKUP(Table5[[#This Row],[Shortname]], Comp[], 14, FALSE)</f>
        <v>2.1</v>
      </c>
      <c r="R541">
        <f>VLOOKUP(Table5[[#This Row],[Shortname]], Comp[], 15, FALSE)</f>
        <v>0</v>
      </c>
      <c r="S541">
        <f>VLOOKUP(Table5[[#This Row],[Shortname]], Comp[], 16, FALSE)</f>
        <v>5.2</v>
      </c>
      <c r="T541">
        <f>VLOOKUP(Table5[[#This Row],[Shortname]], Comp[], 17, FALSE)</f>
        <v>0</v>
      </c>
      <c r="U541">
        <f>VLOOKUP(Table5[[#This Row],[Shortname]], Comp[], 18, FALSE)</f>
        <v>0</v>
      </c>
      <c r="V541">
        <f>VLOOKUP(Table5[[#This Row],[Shortname]], Comp[], 19, FALSE)</f>
        <v>0</v>
      </c>
      <c r="W541">
        <f>VLOOKUP(Table5[[#This Row],[Shortname]], Comp[], 20, FALSE)</f>
        <v>0</v>
      </c>
      <c r="X541">
        <f>VLOOKUP(Table5[[#This Row],[Shortname]], Comp[], 21, FALSE)</f>
        <v>0</v>
      </c>
      <c r="Y541">
        <f>VLOOKUP(Table5[[#This Row],[Shortname]], Comp[], 22, FALSE)</f>
        <v>0</v>
      </c>
      <c r="Z541">
        <f>VLOOKUP(Table5[[#This Row],[Shortname]], Comp[], 23, FALSE)</f>
        <v>0</v>
      </c>
      <c r="AA541">
        <f>VLOOKUP(Table5[[#This Row],[Shortname]], Comp[], 24, FALSE)</f>
        <v>0</v>
      </c>
      <c r="AB541">
        <f>VLOOKUP(Table5[[#This Row],[Shortname]], Comp[], 25, FALSE)</f>
        <v>0</v>
      </c>
      <c r="AC541">
        <f>VLOOKUP(Table5[[#This Row],[Shortname]], Comp[], 26, FALSE)</f>
        <v>0</v>
      </c>
      <c r="AD541">
        <f>VLOOKUP(Table5[[#This Row],[Shortname]], Comp[], 27, FALSE)</f>
        <v>0</v>
      </c>
      <c r="AE541">
        <f>VLOOKUP(Table5[[#This Row],[Shortname]], Comp[], 28, FALSE)</f>
        <v>0</v>
      </c>
      <c r="AF541">
        <f>VLOOKUP(Table5[[#This Row],[Shortname]], Comp[], 29, FALSE)</f>
        <v>0</v>
      </c>
      <c r="AG541">
        <f>VLOOKUP(Table5[[#This Row],[Shortname]], Comp[], 30, FALSE)</f>
        <v>0</v>
      </c>
      <c r="AH541">
        <f>VLOOKUP(Table5[[#This Row],[Shortname]], Comp[], 31, FALSE)</f>
        <v>0</v>
      </c>
    </row>
    <row r="542" spans="1:34" x14ac:dyDescent="0.3">
      <c r="A542" s="12" t="s">
        <v>5534</v>
      </c>
      <c r="B542">
        <v>563</v>
      </c>
      <c r="C542" s="32" t="e">
        <f>VLOOKUP([2]DSC!$A564, [2]comp!$A$2:$BJ$838, 2, FALSE)</f>
        <v>#N/A</v>
      </c>
      <c r="D542" s="12" t="s">
        <v>5535</v>
      </c>
      <c r="E542" s="12" t="s">
        <v>5536</v>
      </c>
      <c r="F542" s="12">
        <v>1086</v>
      </c>
      <c r="J542" s="14">
        <f>VLOOKUP(Table5[[#This Row],[Shortname]], Comp[], 7, FALSE)</f>
        <v>50</v>
      </c>
      <c r="K542">
        <f>VLOOKUP(Table5[[#This Row],[Shortname]], Comp[], 8, FALSE)</f>
        <v>30.7</v>
      </c>
      <c r="L542">
        <f>VLOOKUP(Table5[[#This Row],[Shortname]], Comp[], 9, FALSE)</f>
        <v>9.5</v>
      </c>
      <c r="M542">
        <f>VLOOKUP(Table5[[#This Row],[Shortname]], Comp[], 10, FALSE)</f>
        <v>0</v>
      </c>
      <c r="N542">
        <f>VLOOKUP(Table5[[#This Row],[Shortname]], Comp[], 11, FALSE)</f>
        <v>0</v>
      </c>
      <c r="O542">
        <f>VLOOKUP(Table5[[#This Row],[Shortname]], Comp[],12, FALSE)</f>
        <v>3</v>
      </c>
      <c r="P542">
        <f>VLOOKUP(Table5[[#This Row],[Shortname]], Comp[], 13, FALSE)</f>
        <v>0</v>
      </c>
      <c r="Q542">
        <f>VLOOKUP(Table5[[#This Row],[Shortname]], Comp[], 14, FALSE)</f>
        <v>1.9</v>
      </c>
      <c r="R542">
        <f>VLOOKUP(Table5[[#This Row],[Shortname]], Comp[], 15, FALSE)</f>
        <v>0</v>
      </c>
      <c r="S542">
        <f>VLOOKUP(Table5[[#This Row],[Shortname]], Comp[], 16, FALSE)</f>
        <v>4.9000000000000004</v>
      </c>
      <c r="T542">
        <f>VLOOKUP(Table5[[#This Row],[Shortname]], Comp[], 17, FALSE)</f>
        <v>0</v>
      </c>
      <c r="U542">
        <f>VLOOKUP(Table5[[#This Row],[Shortname]], Comp[], 18, FALSE)</f>
        <v>0</v>
      </c>
      <c r="V542">
        <f>VLOOKUP(Table5[[#This Row],[Shortname]], Comp[], 19, FALSE)</f>
        <v>0</v>
      </c>
      <c r="W542">
        <f>VLOOKUP(Table5[[#This Row],[Shortname]], Comp[], 20, FALSE)</f>
        <v>0</v>
      </c>
      <c r="X542">
        <f>VLOOKUP(Table5[[#This Row],[Shortname]], Comp[], 21, FALSE)</f>
        <v>0</v>
      </c>
      <c r="Y542">
        <f>VLOOKUP(Table5[[#This Row],[Shortname]], Comp[], 22, FALSE)</f>
        <v>0</v>
      </c>
      <c r="Z542">
        <f>VLOOKUP(Table5[[#This Row],[Shortname]], Comp[], 23, FALSE)</f>
        <v>0</v>
      </c>
      <c r="AA542">
        <f>VLOOKUP(Table5[[#This Row],[Shortname]], Comp[], 24, FALSE)</f>
        <v>0</v>
      </c>
      <c r="AB542">
        <f>VLOOKUP(Table5[[#This Row],[Shortname]], Comp[], 25, FALSE)</f>
        <v>0</v>
      </c>
      <c r="AC542">
        <f>VLOOKUP(Table5[[#This Row],[Shortname]], Comp[], 26, FALSE)</f>
        <v>0</v>
      </c>
      <c r="AD542">
        <f>VLOOKUP(Table5[[#This Row],[Shortname]], Comp[], 27, FALSE)</f>
        <v>0</v>
      </c>
      <c r="AE542">
        <f>VLOOKUP(Table5[[#This Row],[Shortname]], Comp[], 28, FALSE)</f>
        <v>0</v>
      </c>
      <c r="AF542">
        <f>VLOOKUP(Table5[[#This Row],[Shortname]], Comp[], 29, FALSE)</f>
        <v>0</v>
      </c>
      <c r="AG542">
        <f>VLOOKUP(Table5[[#This Row],[Shortname]], Comp[], 30, FALSE)</f>
        <v>0</v>
      </c>
      <c r="AH542">
        <f>VLOOKUP(Table5[[#This Row],[Shortname]], Comp[], 31, FALSE)</f>
        <v>0</v>
      </c>
    </row>
    <row r="543" spans="1:34" x14ac:dyDescent="0.3">
      <c r="A543" s="12" t="s">
        <v>5539</v>
      </c>
      <c r="B543">
        <v>564</v>
      </c>
      <c r="C543" s="32" t="e">
        <f>VLOOKUP([2]DSC!$A565, [2]comp!$A$2:$BJ$838, 2, FALSE)</f>
        <v>#N/A</v>
      </c>
      <c r="D543" s="12" t="s">
        <v>5540</v>
      </c>
      <c r="E543" s="12" t="s">
        <v>5541</v>
      </c>
      <c r="F543" s="12">
        <v>1117</v>
      </c>
      <c r="J543" s="14">
        <f>VLOOKUP(Table5[[#This Row],[Shortname]], Comp[], 7, FALSE)</f>
        <v>49.9</v>
      </c>
      <c r="K543">
        <f>VLOOKUP(Table5[[#This Row],[Shortname]], Comp[], 8, FALSE)</f>
        <v>30.3</v>
      </c>
      <c r="L543">
        <f>VLOOKUP(Table5[[#This Row],[Shortname]], Comp[], 9, FALSE)</f>
        <v>9.4</v>
      </c>
      <c r="M543">
        <f>VLOOKUP(Table5[[#This Row],[Shortname]], Comp[], 10, FALSE)</f>
        <v>0</v>
      </c>
      <c r="N543">
        <f>VLOOKUP(Table5[[#This Row],[Shortname]], Comp[], 11, FALSE)</f>
        <v>0</v>
      </c>
      <c r="O543">
        <f>VLOOKUP(Table5[[#This Row],[Shortname]], Comp[],12, FALSE)</f>
        <v>3.9</v>
      </c>
      <c r="P543">
        <f>VLOOKUP(Table5[[#This Row],[Shortname]], Comp[], 13, FALSE)</f>
        <v>0</v>
      </c>
      <c r="Q543">
        <f>VLOOKUP(Table5[[#This Row],[Shortname]], Comp[], 14, FALSE)</f>
        <v>1.8</v>
      </c>
      <c r="R543">
        <f>VLOOKUP(Table5[[#This Row],[Shortname]], Comp[], 15, FALSE)</f>
        <v>0</v>
      </c>
      <c r="S543">
        <f>VLOOKUP(Table5[[#This Row],[Shortname]], Comp[], 16, FALSE)</f>
        <v>4.7</v>
      </c>
      <c r="T543">
        <f>VLOOKUP(Table5[[#This Row],[Shortname]], Comp[], 17, FALSE)</f>
        <v>0</v>
      </c>
      <c r="U543">
        <f>VLOOKUP(Table5[[#This Row],[Shortname]], Comp[], 18, FALSE)</f>
        <v>0</v>
      </c>
      <c r="V543">
        <f>VLOOKUP(Table5[[#This Row],[Shortname]], Comp[], 19, FALSE)</f>
        <v>0</v>
      </c>
      <c r="W543">
        <f>VLOOKUP(Table5[[#This Row],[Shortname]], Comp[], 20, FALSE)</f>
        <v>0</v>
      </c>
      <c r="X543">
        <f>VLOOKUP(Table5[[#This Row],[Shortname]], Comp[], 21, FALSE)</f>
        <v>0</v>
      </c>
      <c r="Y543">
        <f>VLOOKUP(Table5[[#This Row],[Shortname]], Comp[], 22, FALSE)</f>
        <v>0</v>
      </c>
      <c r="Z543">
        <f>VLOOKUP(Table5[[#This Row],[Shortname]], Comp[], 23, FALSE)</f>
        <v>0</v>
      </c>
      <c r="AA543">
        <f>VLOOKUP(Table5[[#This Row],[Shortname]], Comp[], 24, FALSE)</f>
        <v>0</v>
      </c>
      <c r="AB543">
        <f>VLOOKUP(Table5[[#This Row],[Shortname]], Comp[], 25, FALSE)</f>
        <v>0</v>
      </c>
      <c r="AC543">
        <f>VLOOKUP(Table5[[#This Row],[Shortname]], Comp[], 26, FALSE)</f>
        <v>0</v>
      </c>
      <c r="AD543">
        <f>VLOOKUP(Table5[[#This Row],[Shortname]], Comp[], 27, FALSE)</f>
        <v>0</v>
      </c>
      <c r="AE543">
        <f>VLOOKUP(Table5[[#This Row],[Shortname]], Comp[], 28, FALSE)</f>
        <v>0</v>
      </c>
      <c r="AF543">
        <f>VLOOKUP(Table5[[#This Row],[Shortname]], Comp[], 29, FALSE)</f>
        <v>0</v>
      </c>
      <c r="AG543">
        <f>VLOOKUP(Table5[[#This Row],[Shortname]], Comp[], 30, FALSE)</f>
        <v>0</v>
      </c>
      <c r="AH543">
        <f>VLOOKUP(Table5[[#This Row],[Shortname]], Comp[], 31, FALSE)</f>
        <v>0</v>
      </c>
    </row>
    <row r="544" spans="1:34" x14ac:dyDescent="0.3">
      <c r="A544" t="s">
        <v>5545</v>
      </c>
      <c r="B544">
        <v>565</v>
      </c>
      <c r="C544" s="32" t="e">
        <f>VLOOKUP([2]DSC!$A566, [2]comp!$A$2:$BJ$838, 2, FALSE)</f>
        <v>#N/A</v>
      </c>
      <c r="D544" s="12" t="s">
        <v>5546</v>
      </c>
      <c r="E544" s="12" t="s">
        <v>5547</v>
      </c>
      <c r="F544" s="12">
        <v>925</v>
      </c>
      <c r="J544" s="14">
        <f>VLOOKUP(Table5[[#This Row],[Shortname]], Comp[], 7, FALSE)</f>
        <v>53.699999999999996</v>
      </c>
      <c r="K544">
        <f>VLOOKUP(Table5[[#This Row],[Shortname]], Comp[], 8, FALSE)</f>
        <v>29.4</v>
      </c>
      <c r="L544">
        <f>VLOOKUP(Table5[[#This Row],[Shortname]], Comp[], 9, FALSE)</f>
        <v>9.5</v>
      </c>
      <c r="M544">
        <f>VLOOKUP(Table5[[#This Row],[Shortname]], Comp[], 10, FALSE)</f>
        <v>5.2</v>
      </c>
      <c r="N544">
        <f>VLOOKUP(Table5[[#This Row],[Shortname]], Comp[], 11, FALSE)</f>
        <v>0</v>
      </c>
      <c r="O544">
        <f>VLOOKUP(Table5[[#This Row],[Shortname]], Comp[],12, FALSE)</f>
        <v>0</v>
      </c>
      <c r="P544">
        <f>VLOOKUP(Table5[[#This Row],[Shortname]], Comp[], 13, FALSE)</f>
        <v>0</v>
      </c>
      <c r="Q544">
        <f>VLOOKUP(Table5[[#This Row],[Shortname]], Comp[], 14, FALSE)</f>
        <v>2.2000000000000002</v>
      </c>
      <c r="R544">
        <f>VLOOKUP(Table5[[#This Row],[Shortname]], Comp[], 15, FALSE)</f>
        <v>0</v>
      </c>
      <c r="S544">
        <f>VLOOKUP(Table5[[#This Row],[Shortname]], Comp[], 16, FALSE)</f>
        <v>0</v>
      </c>
      <c r="T544">
        <f>VLOOKUP(Table5[[#This Row],[Shortname]], Comp[], 17, FALSE)</f>
        <v>0</v>
      </c>
      <c r="U544">
        <f>VLOOKUP(Table5[[#This Row],[Shortname]], Comp[], 18, FALSE)</f>
        <v>0</v>
      </c>
      <c r="V544">
        <f>VLOOKUP(Table5[[#This Row],[Shortname]], Comp[], 19, FALSE)</f>
        <v>0</v>
      </c>
      <c r="W544">
        <f>VLOOKUP(Table5[[#This Row],[Shortname]], Comp[], 20, FALSE)</f>
        <v>0</v>
      </c>
      <c r="X544">
        <f>VLOOKUP(Table5[[#This Row],[Shortname]], Comp[], 21, FALSE)</f>
        <v>0</v>
      </c>
      <c r="Y544">
        <f>VLOOKUP(Table5[[#This Row],[Shortname]], Comp[], 22, FALSE)</f>
        <v>0</v>
      </c>
      <c r="Z544">
        <f>VLOOKUP(Table5[[#This Row],[Shortname]], Comp[], 23, FALSE)</f>
        <v>0</v>
      </c>
      <c r="AA544">
        <f>VLOOKUP(Table5[[#This Row],[Shortname]], Comp[], 24, FALSE)</f>
        <v>0</v>
      </c>
      <c r="AB544">
        <f>VLOOKUP(Table5[[#This Row],[Shortname]], Comp[], 25, FALSE)</f>
        <v>0</v>
      </c>
      <c r="AC544">
        <f>VLOOKUP(Table5[[#This Row],[Shortname]], Comp[], 26, FALSE)</f>
        <v>0</v>
      </c>
      <c r="AD544">
        <f>VLOOKUP(Table5[[#This Row],[Shortname]], Comp[], 27, FALSE)</f>
        <v>0</v>
      </c>
      <c r="AE544">
        <f>VLOOKUP(Table5[[#This Row],[Shortname]], Comp[], 28, FALSE)</f>
        <v>0</v>
      </c>
      <c r="AF544">
        <f>VLOOKUP(Table5[[#This Row],[Shortname]], Comp[], 29, FALSE)</f>
        <v>0</v>
      </c>
      <c r="AG544">
        <f>VLOOKUP(Table5[[#This Row],[Shortname]], Comp[], 30, FALSE)</f>
        <v>0</v>
      </c>
      <c r="AH544">
        <f>VLOOKUP(Table5[[#This Row],[Shortname]], Comp[], 31, FALSE)</f>
        <v>0</v>
      </c>
    </row>
    <row r="545" spans="1:34" x14ac:dyDescent="0.3">
      <c r="A545" t="s">
        <v>5550</v>
      </c>
      <c r="B545">
        <v>566</v>
      </c>
      <c r="C545" s="32" t="e">
        <f>VLOOKUP([2]DSC!$A567, [2]comp!$A$2:$BJ$838, 2, FALSE)</f>
        <v>#N/A</v>
      </c>
      <c r="D545" s="12" t="s">
        <v>5551</v>
      </c>
      <c r="E545" s="12" t="s">
        <v>5552</v>
      </c>
      <c r="F545" s="12">
        <v>1020</v>
      </c>
      <c r="J545" s="14">
        <f>VLOOKUP(Table5[[#This Row],[Shortname]], Comp[], 7, FALSE)</f>
        <v>51.2</v>
      </c>
      <c r="K545">
        <f>VLOOKUP(Table5[[#This Row],[Shortname]], Comp[], 8, FALSE)</f>
        <v>29.8</v>
      </c>
      <c r="L545">
        <f>VLOOKUP(Table5[[#This Row],[Shortname]], Comp[], 9, FALSE)</f>
        <v>9.5</v>
      </c>
      <c r="M545">
        <f>VLOOKUP(Table5[[#This Row],[Shortname]], Comp[], 10, FALSE)</f>
        <v>5.5</v>
      </c>
      <c r="N545">
        <f>VLOOKUP(Table5[[#This Row],[Shortname]], Comp[], 11, FALSE)</f>
        <v>0</v>
      </c>
      <c r="O545">
        <f>VLOOKUP(Table5[[#This Row],[Shortname]], Comp[],12, FALSE)</f>
        <v>2.1</v>
      </c>
      <c r="P545">
        <f>VLOOKUP(Table5[[#This Row],[Shortname]], Comp[], 13, FALSE)</f>
        <v>0</v>
      </c>
      <c r="Q545">
        <f>VLOOKUP(Table5[[#This Row],[Shortname]], Comp[], 14, FALSE)</f>
        <v>1.9</v>
      </c>
      <c r="R545">
        <f>VLOOKUP(Table5[[#This Row],[Shortname]], Comp[], 15, FALSE)</f>
        <v>0</v>
      </c>
      <c r="S545">
        <f>VLOOKUP(Table5[[#This Row],[Shortname]], Comp[], 16, FALSE)</f>
        <v>0</v>
      </c>
      <c r="T545">
        <f>VLOOKUP(Table5[[#This Row],[Shortname]], Comp[], 17, FALSE)</f>
        <v>0</v>
      </c>
      <c r="U545">
        <f>VLOOKUP(Table5[[#This Row],[Shortname]], Comp[], 18, FALSE)</f>
        <v>0</v>
      </c>
      <c r="V545">
        <f>VLOOKUP(Table5[[#This Row],[Shortname]], Comp[], 19, FALSE)</f>
        <v>0</v>
      </c>
      <c r="W545">
        <f>VLOOKUP(Table5[[#This Row],[Shortname]], Comp[], 20, FALSE)</f>
        <v>0</v>
      </c>
      <c r="X545">
        <f>VLOOKUP(Table5[[#This Row],[Shortname]], Comp[], 21, FALSE)</f>
        <v>0</v>
      </c>
      <c r="Y545">
        <f>VLOOKUP(Table5[[#This Row],[Shortname]], Comp[], 22, FALSE)</f>
        <v>0</v>
      </c>
      <c r="Z545">
        <f>VLOOKUP(Table5[[#This Row],[Shortname]], Comp[], 23, FALSE)</f>
        <v>0</v>
      </c>
      <c r="AA545">
        <f>VLOOKUP(Table5[[#This Row],[Shortname]], Comp[], 24, FALSE)</f>
        <v>0</v>
      </c>
      <c r="AB545">
        <f>VLOOKUP(Table5[[#This Row],[Shortname]], Comp[], 25, FALSE)</f>
        <v>0</v>
      </c>
      <c r="AC545">
        <f>VLOOKUP(Table5[[#This Row],[Shortname]], Comp[], 26, FALSE)</f>
        <v>0</v>
      </c>
      <c r="AD545">
        <f>VLOOKUP(Table5[[#This Row],[Shortname]], Comp[], 27, FALSE)</f>
        <v>0</v>
      </c>
      <c r="AE545">
        <f>VLOOKUP(Table5[[#This Row],[Shortname]], Comp[], 28, FALSE)</f>
        <v>0</v>
      </c>
      <c r="AF545">
        <f>VLOOKUP(Table5[[#This Row],[Shortname]], Comp[], 29, FALSE)</f>
        <v>0</v>
      </c>
      <c r="AG545">
        <f>VLOOKUP(Table5[[#This Row],[Shortname]], Comp[], 30, FALSE)</f>
        <v>0</v>
      </c>
      <c r="AH545">
        <f>VLOOKUP(Table5[[#This Row],[Shortname]], Comp[], 31, FALSE)</f>
        <v>0</v>
      </c>
    </row>
    <row r="546" spans="1:34" x14ac:dyDescent="0.3">
      <c r="A546" t="s">
        <v>5555</v>
      </c>
      <c r="B546">
        <v>567</v>
      </c>
      <c r="C546" s="32" t="e">
        <f>VLOOKUP([2]DSC!$A568, [2]comp!$A$2:$BJ$838, 2, FALSE)</f>
        <v>#N/A</v>
      </c>
      <c r="D546" s="12" t="s">
        <v>5556</v>
      </c>
      <c r="E546" s="12" t="s">
        <v>5557</v>
      </c>
      <c r="F546" s="12">
        <v>1031</v>
      </c>
      <c r="J546" s="14">
        <f>VLOOKUP(Table5[[#This Row],[Shortname]], Comp[], 7, FALSE)</f>
        <v>47.7</v>
      </c>
      <c r="K546">
        <f>VLOOKUP(Table5[[#This Row],[Shortname]], Comp[], 8, FALSE)</f>
        <v>30.3</v>
      </c>
      <c r="L546">
        <f>VLOOKUP(Table5[[#This Row],[Shortname]], Comp[], 9, FALSE)</f>
        <v>9.5</v>
      </c>
      <c r="M546">
        <f>VLOOKUP(Table5[[#This Row],[Shortname]], Comp[], 10, FALSE)</f>
        <v>8.5</v>
      </c>
      <c r="N546">
        <f>VLOOKUP(Table5[[#This Row],[Shortname]], Comp[], 11, FALSE)</f>
        <v>0</v>
      </c>
      <c r="O546">
        <f>VLOOKUP(Table5[[#This Row],[Shortname]], Comp[],12, FALSE)</f>
        <v>2</v>
      </c>
      <c r="P546">
        <f>VLOOKUP(Table5[[#This Row],[Shortname]], Comp[], 13, FALSE)</f>
        <v>0</v>
      </c>
      <c r="Q546">
        <f>VLOOKUP(Table5[[#This Row],[Shortname]], Comp[], 14, FALSE)</f>
        <v>2</v>
      </c>
      <c r="R546">
        <f>VLOOKUP(Table5[[#This Row],[Shortname]], Comp[], 15, FALSE)</f>
        <v>0</v>
      </c>
      <c r="S546">
        <f>VLOOKUP(Table5[[#This Row],[Shortname]], Comp[], 16, FALSE)</f>
        <v>0</v>
      </c>
      <c r="T546">
        <f>VLOOKUP(Table5[[#This Row],[Shortname]], Comp[], 17, FALSE)</f>
        <v>0</v>
      </c>
      <c r="U546">
        <f>VLOOKUP(Table5[[#This Row],[Shortname]], Comp[], 18, FALSE)</f>
        <v>0</v>
      </c>
      <c r="V546">
        <f>VLOOKUP(Table5[[#This Row],[Shortname]], Comp[], 19, FALSE)</f>
        <v>0</v>
      </c>
      <c r="W546">
        <f>VLOOKUP(Table5[[#This Row],[Shortname]], Comp[], 20, FALSE)</f>
        <v>0</v>
      </c>
      <c r="X546">
        <f>VLOOKUP(Table5[[#This Row],[Shortname]], Comp[], 21, FALSE)</f>
        <v>0</v>
      </c>
      <c r="Y546">
        <f>VLOOKUP(Table5[[#This Row],[Shortname]], Comp[], 22, FALSE)</f>
        <v>0</v>
      </c>
      <c r="Z546">
        <f>VLOOKUP(Table5[[#This Row],[Shortname]], Comp[], 23, FALSE)</f>
        <v>0</v>
      </c>
      <c r="AA546">
        <f>VLOOKUP(Table5[[#This Row],[Shortname]], Comp[], 24, FALSE)</f>
        <v>0</v>
      </c>
      <c r="AB546">
        <f>VLOOKUP(Table5[[#This Row],[Shortname]], Comp[], 25, FALSE)</f>
        <v>0</v>
      </c>
      <c r="AC546">
        <f>VLOOKUP(Table5[[#This Row],[Shortname]], Comp[], 26, FALSE)</f>
        <v>0</v>
      </c>
      <c r="AD546">
        <f>VLOOKUP(Table5[[#This Row],[Shortname]], Comp[], 27, FALSE)</f>
        <v>0</v>
      </c>
      <c r="AE546">
        <f>VLOOKUP(Table5[[#This Row],[Shortname]], Comp[], 28, FALSE)</f>
        <v>0</v>
      </c>
      <c r="AF546">
        <f>VLOOKUP(Table5[[#This Row],[Shortname]], Comp[], 29, FALSE)</f>
        <v>0</v>
      </c>
      <c r="AG546">
        <f>VLOOKUP(Table5[[#This Row],[Shortname]], Comp[], 30, FALSE)</f>
        <v>0</v>
      </c>
      <c r="AH546">
        <f>VLOOKUP(Table5[[#This Row],[Shortname]], Comp[], 31, FALSE)</f>
        <v>0</v>
      </c>
    </row>
    <row r="547" spans="1:34" x14ac:dyDescent="0.3">
      <c r="A547" t="s">
        <v>5561</v>
      </c>
      <c r="B547">
        <v>568</v>
      </c>
      <c r="C547" s="32" t="e">
        <f>VLOOKUP([2]DSC!$A569, [2]comp!$A$2:$BJ$838, 2, FALSE)</f>
        <v>#N/A</v>
      </c>
      <c r="D547" s="12" t="s">
        <v>5562</v>
      </c>
      <c r="E547" s="12" t="s">
        <v>5563</v>
      </c>
      <c r="F547" s="12">
        <v>1036</v>
      </c>
      <c r="J547" s="14">
        <f>VLOOKUP(Table5[[#This Row],[Shortname]], Comp[], 7, FALSE)</f>
        <v>44.1</v>
      </c>
      <c r="K547">
        <f>VLOOKUP(Table5[[#This Row],[Shortname]], Comp[], 8, FALSE)</f>
        <v>29.9</v>
      </c>
      <c r="L547">
        <f>VLOOKUP(Table5[[#This Row],[Shortname]], Comp[], 9, FALSE)</f>
        <v>10</v>
      </c>
      <c r="M547">
        <f>VLOOKUP(Table5[[#This Row],[Shortname]], Comp[], 10, FALSE)</f>
        <v>11.9</v>
      </c>
      <c r="N547">
        <f>VLOOKUP(Table5[[#This Row],[Shortname]], Comp[], 11, FALSE)</f>
        <v>0</v>
      </c>
      <c r="O547">
        <f>VLOOKUP(Table5[[#This Row],[Shortname]], Comp[],12, FALSE)</f>
        <v>2.2000000000000002</v>
      </c>
      <c r="P547">
        <f>VLOOKUP(Table5[[#This Row],[Shortname]], Comp[], 13, FALSE)</f>
        <v>0</v>
      </c>
      <c r="Q547">
        <f>VLOOKUP(Table5[[#This Row],[Shortname]], Comp[], 14, FALSE)</f>
        <v>1.9</v>
      </c>
      <c r="R547">
        <f>VLOOKUP(Table5[[#This Row],[Shortname]], Comp[], 15, FALSE)</f>
        <v>0</v>
      </c>
      <c r="S547">
        <f>VLOOKUP(Table5[[#This Row],[Shortname]], Comp[], 16, FALSE)</f>
        <v>0</v>
      </c>
      <c r="T547">
        <f>VLOOKUP(Table5[[#This Row],[Shortname]], Comp[], 17, FALSE)</f>
        <v>0</v>
      </c>
      <c r="U547">
        <f>VLOOKUP(Table5[[#This Row],[Shortname]], Comp[], 18, FALSE)</f>
        <v>0</v>
      </c>
      <c r="V547">
        <f>VLOOKUP(Table5[[#This Row],[Shortname]], Comp[], 19, FALSE)</f>
        <v>0</v>
      </c>
      <c r="W547">
        <f>VLOOKUP(Table5[[#This Row],[Shortname]], Comp[], 20, FALSE)</f>
        <v>0</v>
      </c>
      <c r="X547">
        <f>VLOOKUP(Table5[[#This Row],[Shortname]], Comp[], 21, FALSE)</f>
        <v>0</v>
      </c>
      <c r="Y547">
        <f>VLOOKUP(Table5[[#This Row],[Shortname]], Comp[], 22, FALSE)</f>
        <v>0</v>
      </c>
      <c r="Z547">
        <f>VLOOKUP(Table5[[#This Row],[Shortname]], Comp[], 23, FALSE)</f>
        <v>0</v>
      </c>
      <c r="AA547">
        <f>VLOOKUP(Table5[[#This Row],[Shortname]], Comp[], 24, FALSE)</f>
        <v>0</v>
      </c>
      <c r="AB547">
        <f>VLOOKUP(Table5[[#This Row],[Shortname]], Comp[], 25, FALSE)</f>
        <v>0</v>
      </c>
      <c r="AC547">
        <f>VLOOKUP(Table5[[#This Row],[Shortname]], Comp[], 26, FALSE)</f>
        <v>0</v>
      </c>
      <c r="AD547">
        <f>VLOOKUP(Table5[[#This Row],[Shortname]], Comp[], 27, FALSE)</f>
        <v>0</v>
      </c>
      <c r="AE547">
        <f>VLOOKUP(Table5[[#This Row],[Shortname]], Comp[], 28, FALSE)</f>
        <v>0</v>
      </c>
      <c r="AF547">
        <f>VLOOKUP(Table5[[#This Row],[Shortname]], Comp[], 29, FALSE)</f>
        <v>0</v>
      </c>
      <c r="AG547">
        <f>VLOOKUP(Table5[[#This Row],[Shortname]], Comp[], 30, FALSE)</f>
        <v>0</v>
      </c>
      <c r="AH547">
        <f>VLOOKUP(Table5[[#This Row],[Shortname]], Comp[], 31, FALSE)</f>
        <v>0</v>
      </c>
    </row>
    <row r="548" spans="1:34" x14ac:dyDescent="0.3">
      <c r="A548" t="s">
        <v>5565</v>
      </c>
      <c r="B548">
        <v>569</v>
      </c>
      <c r="C548" s="32" t="e">
        <f>VLOOKUP([2]DSC!$A570, [2]comp!$A$2:$BJ$838, 2, FALSE)</f>
        <v>#N/A</v>
      </c>
      <c r="D548" s="12" t="s">
        <v>5566</v>
      </c>
      <c r="E548" s="12" t="s">
        <v>5567</v>
      </c>
      <c r="F548" s="12">
        <v>1094</v>
      </c>
      <c r="J548" s="14">
        <f>VLOOKUP(Table5[[#This Row],[Shortname]], Comp[], 7, FALSE)</f>
        <v>49.4</v>
      </c>
      <c r="K548">
        <f>VLOOKUP(Table5[[#This Row],[Shortname]], Comp[], 8, FALSE)</f>
        <v>30</v>
      </c>
      <c r="L548">
        <f>VLOOKUP(Table5[[#This Row],[Shortname]], Comp[], 9, FALSE)</f>
        <v>9.1</v>
      </c>
      <c r="M548">
        <f>VLOOKUP(Table5[[#This Row],[Shortname]], Comp[], 10, FALSE)</f>
        <v>5.3</v>
      </c>
      <c r="N548">
        <f>VLOOKUP(Table5[[#This Row],[Shortname]], Comp[], 11, FALSE)</f>
        <v>0</v>
      </c>
      <c r="O548">
        <f>VLOOKUP(Table5[[#This Row],[Shortname]], Comp[],12, FALSE)</f>
        <v>4.2</v>
      </c>
      <c r="P548">
        <f>VLOOKUP(Table5[[#This Row],[Shortname]], Comp[], 13, FALSE)</f>
        <v>0</v>
      </c>
      <c r="Q548">
        <f>VLOOKUP(Table5[[#This Row],[Shortname]], Comp[], 14, FALSE)</f>
        <v>2</v>
      </c>
      <c r="R548">
        <f>VLOOKUP(Table5[[#This Row],[Shortname]], Comp[], 15, FALSE)</f>
        <v>0</v>
      </c>
      <c r="S548">
        <f>VLOOKUP(Table5[[#This Row],[Shortname]], Comp[], 16, FALSE)</f>
        <v>0</v>
      </c>
      <c r="T548">
        <f>VLOOKUP(Table5[[#This Row],[Shortname]], Comp[], 17, FALSE)</f>
        <v>0</v>
      </c>
      <c r="U548">
        <f>VLOOKUP(Table5[[#This Row],[Shortname]], Comp[], 18, FALSE)</f>
        <v>0</v>
      </c>
      <c r="V548">
        <f>VLOOKUP(Table5[[#This Row],[Shortname]], Comp[], 19, FALSE)</f>
        <v>0</v>
      </c>
      <c r="W548">
        <f>VLOOKUP(Table5[[#This Row],[Shortname]], Comp[], 20, FALSE)</f>
        <v>0</v>
      </c>
      <c r="X548">
        <f>VLOOKUP(Table5[[#This Row],[Shortname]], Comp[], 21, FALSE)</f>
        <v>0</v>
      </c>
      <c r="Y548">
        <f>VLOOKUP(Table5[[#This Row],[Shortname]], Comp[], 22, FALSE)</f>
        <v>0</v>
      </c>
      <c r="Z548">
        <f>VLOOKUP(Table5[[#This Row],[Shortname]], Comp[], 23, FALSE)</f>
        <v>0</v>
      </c>
      <c r="AA548">
        <f>VLOOKUP(Table5[[#This Row],[Shortname]], Comp[], 24, FALSE)</f>
        <v>0</v>
      </c>
      <c r="AB548">
        <f>VLOOKUP(Table5[[#This Row],[Shortname]], Comp[], 25, FALSE)</f>
        <v>0</v>
      </c>
      <c r="AC548">
        <f>VLOOKUP(Table5[[#This Row],[Shortname]], Comp[], 26, FALSE)</f>
        <v>0</v>
      </c>
      <c r="AD548">
        <f>VLOOKUP(Table5[[#This Row],[Shortname]], Comp[], 27, FALSE)</f>
        <v>0</v>
      </c>
      <c r="AE548">
        <f>VLOOKUP(Table5[[#This Row],[Shortname]], Comp[], 28, FALSE)</f>
        <v>0</v>
      </c>
      <c r="AF548">
        <f>VLOOKUP(Table5[[#This Row],[Shortname]], Comp[], 29, FALSE)</f>
        <v>0</v>
      </c>
      <c r="AG548">
        <f>VLOOKUP(Table5[[#This Row],[Shortname]], Comp[], 30, FALSE)</f>
        <v>0</v>
      </c>
      <c r="AH548">
        <f>VLOOKUP(Table5[[#This Row],[Shortname]], Comp[], 31, FALSE)</f>
        <v>0</v>
      </c>
    </row>
    <row r="549" spans="1:34" x14ac:dyDescent="0.3">
      <c r="A549" t="s">
        <v>5570</v>
      </c>
      <c r="B549">
        <v>570</v>
      </c>
      <c r="C549" s="32" t="e">
        <f>VLOOKUP([2]DSC!$A571, [2]comp!$A$2:$BJ$838, 2, FALSE)</f>
        <v>#N/A</v>
      </c>
      <c r="D549" s="12" t="s">
        <v>5571</v>
      </c>
      <c r="E549" s="12" t="s">
        <v>5572</v>
      </c>
      <c r="F549" s="12">
        <v>1093</v>
      </c>
      <c r="J549" s="14">
        <f>VLOOKUP(Table5[[#This Row],[Shortname]], Comp[], 7, FALSE)</f>
        <v>45.199999999999996</v>
      </c>
      <c r="K549">
        <f>VLOOKUP(Table5[[#This Row],[Shortname]], Comp[], 8, FALSE)</f>
        <v>30.2</v>
      </c>
      <c r="L549">
        <f>VLOOKUP(Table5[[#This Row],[Shortname]], Comp[], 9, FALSE)</f>
        <v>9.4</v>
      </c>
      <c r="M549">
        <f>VLOOKUP(Table5[[#This Row],[Shortname]], Comp[], 10, FALSE)</f>
        <v>8.8000000000000007</v>
      </c>
      <c r="N549">
        <f>VLOOKUP(Table5[[#This Row],[Shortname]], Comp[], 11, FALSE)</f>
        <v>0</v>
      </c>
      <c r="O549">
        <f>VLOOKUP(Table5[[#This Row],[Shortname]], Comp[],12, FALSE)</f>
        <v>4.4000000000000004</v>
      </c>
      <c r="P549">
        <f>VLOOKUP(Table5[[#This Row],[Shortname]], Comp[], 13, FALSE)</f>
        <v>0</v>
      </c>
      <c r="Q549">
        <f>VLOOKUP(Table5[[#This Row],[Shortname]], Comp[], 14, FALSE)</f>
        <v>2</v>
      </c>
      <c r="R549">
        <f>VLOOKUP(Table5[[#This Row],[Shortname]], Comp[], 15, FALSE)</f>
        <v>0</v>
      </c>
      <c r="S549">
        <f>VLOOKUP(Table5[[#This Row],[Shortname]], Comp[], 16, FALSE)</f>
        <v>0</v>
      </c>
      <c r="T549">
        <f>VLOOKUP(Table5[[#This Row],[Shortname]], Comp[], 17, FALSE)</f>
        <v>0</v>
      </c>
      <c r="U549">
        <f>VLOOKUP(Table5[[#This Row],[Shortname]], Comp[], 18, FALSE)</f>
        <v>0</v>
      </c>
      <c r="V549">
        <f>VLOOKUP(Table5[[#This Row],[Shortname]], Comp[], 19, FALSE)</f>
        <v>0</v>
      </c>
      <c r="W549">
        <f>VLOOKUP(Table5[[#This Row],[Shortname]], Comp[], 20, FALSE)</f>
        <v>0</v>
      </c>
      <c r="X549">
        <f>VLOOKUP(Table5[[#This Row],[Shortname]], Comp[], 21, FALSE)</f>
        <v>0</v>
      </c>
      <c r="Y549">
        <f>VLOOKUP(Table5[[#This Row],[Shortname]], Comp[], 22, FALSE)</f>
        <v>0</v>
      </c>
      <c r="Z549">
        <f>VLOOKUP(Table5[[#This Row],[Shortname]], Comp[], 23, FALSE)</f>
        <v>0</v>
      </c>
      <c r="AA549">
        <f>VLOOKUP(Table5[[#This Row],[Shortname]], Comp[], 24, FALSE)</f>
        <v>0</v>
      </c>
      <c r="AB549">
        <f>VLOOKUP(Table5[[#This Row],[Shortname]], Comp[], 25, FALSE)</f>
        <v>0</v>
      </c>
      <c r="AC549">
        <f>VLOOKUP(Table5[[#This Row],[Shortname]], Comp[], 26, FALSE)</f>
        <v>0</v>
      </c>
      <c r="AD549">
        <f>VLOOKUP(Table5[[#This Row],[Shortname]], Comp[], 27, FALSE)</f>
        <v>0</v>
      </c>
      <c r="AE549">
        <f>VLOOKUP(Table5[[#This Row],[Shortname]], Comp[], 28, FALSE)</f>
        <v>0</v>
      </c>
      <c r="AF549">
        <f>VLOOKUP(Table5[[#This Row],[Shortname]], Comp[], 29, FALSE)</f>
        <v>0</v>
      </c>
      <c r="AG549">
        <f>VLOOKUP(Table5[[#This Row],[Shortname]], Comp[], 30, FALSE)</f>
        <v>0</v>
      </c>
      <c r="AH549">
        <f>VLOOKUP(Table5[[#This Row],[Shortname]], Comp[], 31, FALSE)</f>
        <v>0</v>
      </c>
    </row>
    <row r="550" spans="1:34" x14ac:dyDescent="0.3">
      <c r="A550" t="s">
        <v>5576</v>
      </c>
      <c r="B550">
        <v>571</v>
      </c>
      <c r="C550" s="32" t="e">
        <f>VLOOKUP([2]DSC!$A572, [2]comp!$A$2:$BJ$838, 2, FALSE)</f>
        <v>#N/A</v>
      </c>
      <c r="D550" s="12" t="s">
        <v>5577</v>
      </c>
      <c r="E550" s="12" t="s">
        <v>5578</v>
      </c>
      <c r="F550" s="12">
        <v>1089</v>
      </c>
      <c r="J550" s="14">
        <f>VLOOKUP(Table5[[#This Row],[Shortname]], Comp[], 7, FALSE)</f>
        <v>42.3</v>
      </c>
      <c r="K550">
        <f>VLOOKUP(Table5[[#This Row],[Shortname]], Comp[], 8, FALSE)</f>
        <v>29.8</v>
      </c>
      <c r="L550">
        <f>VLOOKUP(Table5[[#This Row],[Shortname]], Comp[], 9, FALSE)</f>
        <v>9.4</v>
      </c>
      <c r="M550">
        <f>VLOOKUP(Table5[[#This Row],[Shortname]], Comp[], 10, FALSE)</f>
        <v>12.8</v>
      </c>
      <c r="N550">
        <f>VLOOKUP(Table5[[#This Row],[Shortname]], Comp[], 11, FALSE)</f>
        <v>0</v>
      </c>
      <c r="O550">
        <f>VLOOKUP(Table5[[#This Row],[Shortname]], Comp[],12, FALSE)</f>
        <v>3.7</v>
      </c>
      <c r="P550">
        <f>VLOOKUP(Table5[[#This Row],[Shortname]], Comp[], 13, FALSE)</f>
        <v>0</v>
      </c>
      <c r="Q550">
        <f>VLOOKUP(Table5[[#This Row],[Shortname]], Comp[], 14, FALSE)</f>
        <v>2</v>
      </c>
      <c r="R550">
        <f>VLOOKUP(Table5[[#This Row],[Shortname]], Comp[], 15, FALSE)</f>
        <v>0</v>
      </c>
      <c r="S550">
        <f>VLOOKUP(Table5[[#This Row],[Shortname]], Comp[], 16, FALSE)</f>
        <v>0</v>
      </c>
      <c r="T550">
        <f>VLOOKUP(Table5[[#This Row],[Shortname]], Comp[], 17, FALSE)</f>
        <v>0</v>
      </c>
      <c r="U550">
        <f>VLOOKUP(Table5[[#This Row],[Shortname]], Comp[], 18, FALSE)</f>
        <v>0</v>
      </c>
      <c r="V550">
        <f>VLOOKUP(Table5[[#This Row],[Shortname]], Comp[], 19, FALSE)</f>
        <v>0</v>
      </c>
      <c r="W550">
        <f>VLOOKUP(Table5[[#This Row],[Shortname]], Comp[], 20, FALSE)</f>
        <v>0</v>
      </c>
      <c r="X550">
        <f>VLOOKUP(Table5[[#This Row],[Shortname]], Comp[], 21, FALSE)</f>
        <v>0</v>
      </c>
      <c r="Y550">
        <f>VLOOKUP(Table5[[#This Row],[Shortname]], Comp[], 22, FALSE)</f>
        <v>0</v>
      </c>
      <c r="Z550">
        <f>VLOOKUP(Table5[[#This Row],[Shortname]], Comp[], 23, FALSE)</f>
        <v>0</v>
      </c>
      <c r="AA550">
        <f>VLOOKUP(Table5[[#This Row],[Shortname]], Comp[], 24, FALSE)</f>
        <v>0</v>
      </c>
      <c r="AB550">
        <f>VLOOKUP(Table5[[#This Row],[Shortname]], Comp[], 25, FALSE)</f>
        <v>0</v>
      </c>
      <c r="AC550">
        <f>VLOOKUP(Table5[[#This Row],[Shortname]], Comp[], 26, FALSE)</f>
        <v>0</v>
      </c>
      <c r="AD550">
        <f>VLOOKUP(Table5[[#This Row],[Shortname]], Comp[], 27, FALSE)</f>
        <v>0</v>
      </c>
      <c r="AE550">
        <f>VLOOKUP(Table5[[#This Row],[Shortname]], Comp[], 28, FALSE)</f>
        <v>0</v>
      </c>
      <c r="AF550">
        <f>VLOOKUP(Table5[[#This Row],[Shortname]], Comp[], 29, FALSE)</f>
        <v>0</v>
      </c>
      <c r="AG550">
        <f>VLOOKUP(Table5[[#This Row],[Shortname]], Comp[], 30, FALSE)</f>
        <v>0</v>
      </c>
      <c r="AH550">
        <f>VLOOKUP(Table5[[#This Row],[Shortname]], Comp[], 31, FALSE)</f>
        <v>0</v>
      </c>
    </row>
    <row r="551" spans="1:34" x14ac:dyDescent="0.3">
      <c r="A551" s="12" t="s">
        <v>5591</v>
      </c>
      <c r="B551">
        <v>572</v>
      </c>
      <c r="C551" s="32" t="e">
        <f>VLOOKUP([2]DSC!$A573, [2]comp!$A$2:$BJ$838, 2, FALSE)</f>
        <v>#N/A</v>
      </c>
      <c r="D551" s="12" t="s">
        <v>5592</v>
      </c>
      <c r="E551" s="12" t="s">
        <v>5593</v>
      </c>
      <c r="F551" s="12">
        <v>1218</v>
      </c>
      <c r="G551" s="12">
        <v>1338</v>
      </c>
      <c r="H551" s="12">
        <v>1391</v>
      </c>
      <c r="J551" s="14">
        <f>VLOOKUP(Table5[[#This Row],[Shortname]], Comp[], 7, FALSE)</f>
        <v>50.120000000000005</v>
      </c>
      <c r="K551">
        <f>VLOOKUP(Table5[[#This Row],[Shortname]], Comp[], 8, FALSE)</f>
        <v>30.2</v>
      </c>
      <c r="L551">
        <f>VLOOKUP(Table5[[#This Row],[Shortname]], Comp[], 9, FALSE)</f>
        <v>9.83</v>
      </c>
      <c r="M551">
        <f>VLOOKUP(Table5[[#This Row],[Shortname]], Comp[], 10, FALSE)</f>
        <v>0</v>
      </c>
      <c r="N551">
        <f>VLOOKUP(Table5[[#This Row],[Shortname]], Comp[], 11, FALSE)</f>
        <v>4.0199999999999996</v>
      </c>
      <c r="O551">
        <f>VLOOKUP(Table5[[#This Row],[Shortname]], Comp[],12, FALSE)</f>
        <v>3.93</v>
      </c>
      <c r="P551">
        <f>VLOOKUP(Table5[[#This Row],[Shortname]], Comp[], 13, FALSE)</f>
        <v>1.9</v>
      </c>
      <c r="Q551">
        <f>VLOOKUP(Table5[[#This Row],[Shortname]], Comp[], 14, FALSE)</f>
        <v>0</v>
      </c>
      <c r="R551">
        <f>VLOOKUP(Table5[[#This Row],[Shortname]], Comp[], 15, FALSE)</f>
        <v>0</v>
      </c>
      <c r="S551">
        <f>VLOOKUP(Table5[[#This Row],[Shortname]], Comp[], 16, FALSE)</f>
        <v>0</v>
      </c>
      <c r="T551">
        <f>VLOOKUP(Table5[[#This Row],[Shortname]], Comp[], 17, FALSE)</f>
        <v>0</v>
      </c>
      <c r="U551">
        <f>VLOOKUP(Table5[[#This Row],[Shortname]], Comp[], 18, FALSE)</f>
        <v>0</v>
      </c>
      <c r="V551">
        <f>VLOOKUP(Table5[[#This Row],[Shortname]], Comp[], 19, FALSE)</f>
        <v>0</v>
      </c>
      <c r="W551">
        <f>VLOOKUP(Table5[[#This Row],[Shortname]], Comp[], 20, FALSE)</f>
        <v>0</v>
      </c>
      <c r="X551">
        <f>VLOOKUP(Table5[[#This Row],[Shortname]], Comp[], 21, FALSE)</f>
        <v>0</v>
      </c>
      <c r="Y551">
        <f>VLOOKUP(Table5[[#This Row],[Shortname]], Comp[], 22, FALSE)</f>
        <v>0</v>
      </c>
      <c r="Z551">
        <f>VLOOKUP(Table5[[#This Row],[Shortname]], Comp[], 23, FALSE)</f>
        <v>0</v>
      </c>
      <c r="AA551">
        <f>VLOOKUP(Table5[[#This Row],[Shortname]], Comp[], 24, FALSE)</f>
        <v>0</v>
      </c>
      <c r="AB551">
        <f>VLOOKUP(Table5[[#This Row],[Shortname]], Comp[], 25, FALSE)</f>
        <v>0</v>
      </c>
      <c r="AC551">
        <f>VLOOKUP(Table5[[#This Row],[Shortname]], Comp[], 26, FALSE)</f>
        <v>0</v>
      </c>
      <c r="AD551">
        <f>VLOOKUP(Table5[[#This Row],[Shortname]], Comp[], 27, FALSE)</f>
        <v>0</v>
      </c>
      <c r="AE551">
        <f>VLOOKUP(Table5[[#This Row],[Shortname]], Comp[], 28, FALSE)</f>
        <v>0</v>
      </c>
      <c r="AF551">
        <f>VLOOKUP(Table5[[#This Row],[Shortname]], Comp[], 29, FALSE)</f>
        <v>0</v>
      </c>
      <c r="AG551">
        <f>VLOOKUP(Table5[[#This Row],[Shortname]], Comp[], 30, FALSE)</f>
        <v>0</v>
      </c>
      <c r="AH551">
        <f>VLOOKUP(Table5[[#This Row],[Shortname]], Comp[], 31, FALSE)</f>
        <v>0</v>
      </c>
    </row>
    <row r="552" spans="1:34" x14ac:dyDescent="0.3">
      <c r="A552" s="12" t="s">
        <v>5624</v>
      </c>
      <c r="B552">
        <v>573</v>
      </c>
      <c r="D552" s="12" t="s">
        <v>5625</v>
      </c>
      <c r="E552" s="12" t="s">
        <v>5626</v>
      </c>
      <c r="F552" s="12">
        <v>980</v>
      </c>
      <c r="G552" s="12">
        <v>1322</v>
      </c>
      <c r="H552" s="12">
        <v>1395</v>
      </c>
      <c r="J552" s="14">
        <f>VLOOKUP(Table5[[#This Row],[Shortname]], Comp[], 7, FALSE)</f>
        <v>45.900000000000006</v>
      </c>
      <c r="K552">
        <f>VLOOKUP(Table5[[#This Row],[Shortname]], Comp[], 8, FALSE)</f>
        <v>29.7</v>
      </c>
      <c r="L552">
        <f>VLOOKUP(Table5[[#This Row],[Shortname]], Comp[], 9, FALSE)</f>
        <v>9.6</v>
      </c>
      <c r="M552">
        <f>VLOOKUP(Table5[[#This Row],[Shortname]], Comp[], 10, FALSE)</f>
        <v>8.1999999999999993</v>
      </c>
      <c r="N552">
        <f>VLOOKUP(Table5[[#This Row],[Shortname]], Comp[], 11, FALSE)</f>
        <v>0</v>
      </c>
      <c r="O552">
        <f>VLOOKUP(Table5[[#This Row],[Shortname]], Comp[],12, FALSE)</f>
        <v>0</v>
      </c>
      <c r="P552">
        <f>VLOOKUP(Table5[[#This Row],[Shortname]], Comp[], 13, FALSE)</f>
        <v>0</v>
      </c>
      <c r="Q552">
        <f>VLOOKUP(Table5[[#This Row],[Shortname]], Comp[], 14, FALSE)</f>
        <v>1.8</v>
      </c>
      <c r="R552">
        <f>VLOOKUP(Table5[[#This Row],[Shortname]], Comp[], 15, FALSE)</f>
        <v>0</v>
      </c>
      <c r="S552">
        <f>VLOOKUP(Table5[[#This Row],[Shortname]], Comp[], 16, FALSE)</f>
        <v>4.8</v>
      </c>
      <c r="T552">
        <f>VLOOKUP(Table5[[#This Row],[Shortname]], Comp[], 17, FALSE)</f>
        <v>0</v>
      </c>
      <c r="U552">
        <f>VLOOKUP(Table5[[#This Row],[Shortname]], Comp[], 18, FALSE)</f>
        <v>0</v>
      </c>
      <c r="V552">
        <f>VLOOKUP(Table5[[#This Row],[Shortname]], Comp[], 19, FALSE)</f>
        <v>0</v>
      </c>
      <c r="W552">
        <f>VLOOKUP(Table5[[#This Row],[Shortname]], Comp[], 20, FALSE)</f>
        <v>0</v>
      </c>
      <c r="X552">
        <f>VLOOKUP(Table5[[#This Row],[Shortname]], Comp[], 21, FALSE)</f>
        <v>0</v>
      </c>
      <c r="Y552">
        <f>VLOOKUP(Table5[[#This Row],[Shortname]], Comp[], 22, FALSE)</f>
        <v>0</v>
      </c>
      <c r="Z552">
        <f>VLOOKUP(Table5[[#This Row],[Shortname]], Comp[], 23, FALSE)</f>
        <v>0</v>
      </c>
      <c r="AA552">
        <f>VLOOKUP(Table5[[#This Row],[Shortname]], Comp[], 24, FALSE)</f>
        <v>0</v>
      </c>
      <c r="AB552">
        <f>VLOOKUP(Table5[[#This Row],[Shortname]], Comp[], 25, FALSE)</f>
        <v>0</v>
      </c>
      <c r="AC552">
        <f>VLOOKUP(Table5[[#This Row],[Shortname]], Comp[], 26, FALSE)</f>
        <v>0</v>
      </c>
      <c r="AD552">
        <f>VLOOKUP(Table5[[#This Row],[Shortname]], Comp[], 27, FALSE)</f>
        <v>0</v>
      </c>
      <c r="AE552">
        <f>VLOOKUP(Table5[[#This Row],[Shortname]], Comp[], 28, FALSE)</f>
        <v>0</v>
      </c>
      <c r="AF552">
        <f>VLOOKUP(Table5[[#This Row],[Shortname]], Comp[], 29, FALSE)</f>
        <v>0</v>
      </c>
      <c r="AG552">
        <f>VLOOKUP(Table5[[#This Row],[Shortname]], Comp[], 30, FALSE)</f>
        <v>0</v>
      </c>
      <c r="AH552">
        <f>VLOOKUP(Table5[[#This Row],[Shortname]], Comp[], 31, FALSE)</f>
        <v>0</v>
      </c>
    </row>
    <row r="553" spans="1:34" x14ac:dyDescent="0.3">
      <c r="A553" s="12" t="s">
        <v>5628</v>
      </c>
      <c r="B553">
        <v>574</v>
      </c>
      <c r="D553" s="12" t="s">
        <v>5629</v>
      </c>
      <c r="E553" s="12" t="s">
        <v>5630</v>
      </c>
      <c r="F553" s="12">
        <v>1061</v>
      </c>
      <c r="G553" s="12">
        <v>1261</v>
      </c>
      <c r="H553" s="12">
        <v>1352</v>
      </c>
      <c r="J553" s="14">
        <f>VLOOKUP(Table5[[#This Row],[Shortname]], Comp[], 7, FALSE)</f>
        <v>43.3</v>
      </c>
      <c r="K553">
        <f>VLOOKUP(Table5[[#This Row],[Shortname]], Comp[], 8, FALSE)</f>
        <v>30.7</v>
      </c>
      <c r="L553">
        <f>VLOOKUP(Table5[[#This Row],[Shortname]], Comp[], 9, FALSE)</f>
        <v>9.5</v>
      </c>
      <c r="M553">
        <f>VLOOKUP(Table5[[#This Row],[Shortname]], Comp[], 10, FALSE)</f>
        <v>7.8</v>
      </c>
      <c r="N553">
        <f>VLOOKUP(Table5[[#This Row],[Shortname]], Comp[], 11, FALSE)</f>
        <v>0</v>
      </c>
      <c r="O553">
        <f>VLOOKUP(Table5[[#This Row],[Shortname]], Comp[],12, FALSE)</f>
        <v>2.1</v>
      </c>
      <c r="P553">
        <f>VLOOKUP(Table5[[#This Row],[Shortname]], Comp[], 13, FALSE)</f>
        <v>0</v>
      </c>
      <c r="Q553">
        <f>VLOOKUP(Table5[[#This Row],[Shortname]], Comp[], 14, FALSE)</f>
        <v>1.9</v>
      </c>
      <c r="R553">
        <f>VLOOKUP(Table5[[#This Row],[Shortname]], Comp[], 15, FALSE)</f>
        <v>0</v>
      </c>
      <c r="S553">
        <f>VLOOKUP(Table5[[#This Row],[Shortname]], Comp[], 16, FALSE)</f>
        <v>4.7</v>
      </c>
      <c r="T553">
        <f>VLOOKUP(Table5[[#This Row],[Shortname]], Comp[], 17, FALSE)</f>
        <v>0</v>
      </c>
      <c r="U553">
        <f>VLOOKUP(Table5[[#This Row],[Shortname]], Comp[], 18, FALSE)</f>
        <v>0</v>
      </c>
      <c r="V553">
        <f>VLOOKUP(Table5[[#This Row],[Shortname]], Comp[], 19, FALSE)</f>
        <v>0</v>
      </c>
      <c r="W553">
        <f>VLOOKUP(Table5[[#This Row],[Shortname]], Comp[], 20, FALSE)</f>
        <v>0</v>
      </c>
      <c r="X553">
        <f>VLOOKUP(Table5[[#This Row],[Shortname]], Comp[], 21, FALSE)</f>
        <v>0</v>
      </c>
      <c r="Y553">
        <f>VLOOKUP(Table5[[#This Row],[Shortname]], Comp[], 22, FALSE)</f>
        <v>0</v>
      </c>
      <c r="Z553">
        <f>VLOOKUP(Table5[[#This Row],[Shortname]], Comp[], 23, FALSE)</f>
        <v>0</v>
      </c>
      <c r="AA553">
        <f>VLOOKUP(Table5[[#This Row],[Shortname]], Comp[], 24, FALSE)</f>
        <v>0</v>
      </c>
      <c r="AB553">
        <f>VLOOKUP(Table5[[#This Row],[Shortname]], Comp[], 25, FALSE)</f>
        <v>0</v>
      </c>
      <c r="AC553">
        <f>VLOOKUP(Table5[[#This Row],[Shortname]], Comp[], 26, FALSE)</f>
        <v>0</v>
      </c>
      <c r="AD553">
        <f>VLOOKUP(Table5[[#This Row],[Shortname]], Comp[], 27, FALSE)</f>
        <v>0</v>
      </c>
      <c r="AE553">
        <f>VLOOKUP(Table5[[#This Row],[Shortname]], Comp[], 28, FALSE)</f>
        <v>0</v>
      </c>
      <c r="AF553">
        <f>VLOOKUP(Table5[[#This Row],[Shortname]], Comp[], 29, FALSE)</f>
        <v>0</v>
      </c>
      <c r="AG553">
        <f>VLOOKUP(Table5[[#This Row],[Shortname]], Comp[], 30, FALSE)</f>
        <v>0</v>
      </c>
      <c r="AH553">
        <f>VLOOKUP(Table5[[#This Row],[Shortname]], Comp[], 31, FALSE)</f>
        <v>0</v>
      </c>
    </row>
    <row r="554" spans="1:34" x14ac:dyDescent="0.3">
      <c r="A554" s="12" t="s">
        <v>5632</v>
      </c>
      <c r="B554">
        <v>575</v>
      </c>
      <c r="D554" s="12" t="s">
        <v>5633</v>
      </c>
      <c r="E554" s="12" t="s">
        <v>5634</v>
      </c>
      <c r="F554" s="12">
        <v>1095</v>
      </c>
      <c r="G554" s="12">
        <v>1226</v>
      </c>
      <c r="H554" s="12">
        <v>1325</v>
      </c>
      <c r="J554" s="14">
        <f>VLOOKUP(Table5[[#This Row],[Shortname]], Comp[], 7, FALSE)</f>
        <v>40.900000000000006</v>
      </c>
      <c r="K554">
        <f>VLOOKUP(Table5[[#This Row],[Shortname]], Comp[], 8, FALSE)</f>
        <v>30.4</v>
      </c>
      <c r="L554">
        <f>VLOOKUP(Table5[[#This Row],[Shortname]], Comp[], 9, FALSE)</f>
        <v>9.6999999999999993</v>
      </c>
      <c r="M554">
        <f>VLOOKUP(Table5[[#This Row],[Shortname]], Comp[], 10, FALSE)</f>
        <v>8.1</v>
      </c>
      <c r="N554">
        <f>VLOOKUP(Table5[[#This Row],[Shortname]], Comp[], 11, FALSE)</f>
        <v>0</v>
      </c>
      <c r="O554">
        <f>VLOOKUP(Table5[[#This Row],[Shortname]], Comp[],12, FALSE)</f>
        <v>3.9</v>
      </c>
      <c r="P554">
        <f>VLOOKUP(Table5[[#This Row],[Shortname]], Comp[], 13, FALSE)</f>
        <v>0</v>
      </c>
      <c r="Q554">
        <f>VLOOKUP(Table5[[#This Row],[Shortname]], Comp[], 14, FALSE)</f>
        <v>1.9</v>
      </c>
      <c r="R554">
        <f>VLOOKUP(Table5[[#This Row],[Shortname]], Comp[], 15, FALSE)</f>
        <v>0</v>
      </c>
      <c r="S554">
        <f>VLOOKUP(Table5[[#This Row],[Shortname]], Comp[], 16, FALSE)</f>
        <v>5.0999999999999996</v>
      </c>
      <c r="T554">
        <f>VLOOKUP(Table5[[#This Row],[Shortname]], Comp[], 17, FALSE)</f>
        <v>0</v>
      </c>
      <c r="U554">
        <f>VLOOKUP(Table5[[#This Row],[Shortname]], Comp[], 18, FALSE)</f>
        <v>0</v>
      </c>
      <c r="V554">
        <f>VLOOKUP(Table5[[#This Row],[Shortname]], Comp[], 19, FALSE)</f>
        <v>0</v>
      </c>
      <c r="W554">
        <f>VLOOKUP(Table5[[#This Row],[Shortname]], Comp[], 20, FALSE)</f>
        <v>0</v>
      </c>
      <c r="X554">
        <f>VLOOKUP(Table5[[#This Row],[Shortname]], Comp[], 21, FALSE)</f>
        <v>0</v>
      </c>
      <c r="Y554">
        <f>VLOOKUP(Table5[[#This Row],[Shortname]], Comp[], 22, FALSE)</f>
        <v>0</v>
      </c>
      <c r="Z554">
        <f>VLOOKUP(Table5[[#This Row],[Shortname]], Comp[], 23, FALSE)</f>
        <v>0</v>
      </c>
      <c r="AA554">
        <f>VLOOKUP(Table5[[#This Row],[Shortname]], Comp[], 24, FALSE)</f>
        <v>0</v>
      </c>
      <c r="AB554">
        <f>VLOOKUP(Table5[[#This Row],[Shortname]], Comp[], 25, FALSE)</f>
        <v>0</v>
      </c>
      <c r="AC554">
        <f>VLOOKUP(Table5[[#This Row],[Shortname]], Comp[], 26, FALSE)</f>
        <v>0</v>
      </c>
      <c r="AD554">
        <f>VLOOKUP(Table5[[#This Row],[Shortname]], Comp[], 27, FALSE)</f>
        <v>0</v>
      </c>
      <c r="AE554">
        <f>VLOOKUP(Table5[[#This Row],[Shortname]], Comp[], 28, FALSE)</f>
        <v>0</v>
      </c>
      <c r="AF554">
        <f>VLOOKUP(Table5[[#This Row],[Shortname]], Comp[], 29, FALSE)</f>
        <v>0</v>
      </c>
      <c r="AG554">
        <f>VLOOKUP(Table5[[#This Row],[Shortname]], Comp[], 30, FALSE)</f>
        <v>0</v>
      </c>
      <c r="AH554">
        <f>VLOOKUP(Table5[[#This Row],[Shortname]], Comp[], 31, FALSE)</f>
        <v>0</v>
      </c>
    </row>
    <row r="555" spans="1:34" x14ac:dyDescent="0.3">
      <c r="A555" s="12" t="s">
        <v>5636</v>
      </c>
      <c r="B555">
        <v>576</v>
      </c>
      <c r="D555" s="12" t="s">
        <v>2361</v>
      </c>
      <c r="E555" s="12" t="s">
        <v>5637</v>
      </c>
      <c r="F555" s="12">
        <v>1014</v>
      </c>
      <c r="J555" s="14">
        <f>VLOOKUP(Table5[[#This Row],[Shortname]], Comp[], 7, FALSE)</f>
        <v>53.1</v>
      </c>
      <c r="K555">
        <f>VLOOKUP(Table5[[#This Row],[Shortname]], Comp[], 8, FALSE)</f>
        <v>30.4</v>
      </c>
      <c r="L555">
        <f>VLOOKUP(Table5[[#This Row],[Shortname]], Comp[], 9, FALSE)</f>
        <v>9.6999999999999993</v>
      </c>
      <c r="M555">
        <f>VLOOKUP(Table5[[#This Row],[Shortname]], Comp[], 10, FALSE)</f>
        <v>0</v>
      </c>
      <c r="N555">
        <f>VLOOKUP(Table5[[#This Row],[Shortname]], Comp[], 11, FALSE)</f>
        <v>0</v>
      </c>
      <c r="O555">
        <f>VLOOKUP(Table5[[#This Row],[Shortname]], Comp[],12, FALSE)</f>
        <v>0</v>
      </c>
      <c r="P555">
        <f>VLOOKUP(Table5[[#This Row],[Shortname]], Comp[], 13, FALSE)</f>
        <v>2.1</v>
      </c>
      <c r="Q555">
        <f>VLOOKUP(Table5[[#This Row],[Shortname]], Comp[], 14, FALSE)</f>
        <v>0</v>
      </c>
      <c r="R555">
        <f>VLOOKUP(Table5[[#This Row],[Shortname]], Comp[], 15, FALSE)</f>
        <v>0</v>
      </c>
      <c r="S555">
        <f>VLOOKUP(Table5[[#This Row],[Shortname]], Comp[], 16, FALSE)</f>
        <v>4.7</v>
      </c>
      <c r="T555">
        <f>VLOOKUP(Table5[[#This Row],[Shortname]], Comp[], 17, FALSE)</f>
        <v>0</v>
      </c>
      <c r="U555">
        <f>VLOOKUP(Table5[[#This Row],[Shortname]], Comp[], 18, FALSE)</f>
        <v>0</v>
      </c>
      <c r="V555">
        <f>VLOOKUP(Table5[[#This Row],[Shortname]], Comp[], 19, FALSE)</f>
        <v>0</v>
      </c>
      <c r="W555">
        <f>VLOOKUP(Table5[[#This Row],[Shortname]], Comp[], 20, FALSE)</f>
        <v>0</v>
      </c>
      <c r="X555">
        <f>VLOOKUP(Table5[[#This Row],[Shortname]], Comp[], 21, FALSE)</f>
        <v>0</v>
      </c>
      <c r="Y555">
        <f>VLOOKUP(Table5[[#This Row],[Shortname]], Comp[], 22, FALSE)</f>
        <v>0</v>
      </c>
      <c r="Z555">
        <f>VLOOKUP(Table5[[#This Row],[Shortname]], Comp[], 23, FALSE)</f>
        <v>0</v>
      </c>
      <c r="AA555">
        <f>VLOOKUP(Table5[[#This Row],[Shortname]], Comp[], 24, FALSE)</f>
        <v>0</v>
      </c>
      <c r="AB555">
        <f>VLOOKUP(Table5[[#This Row],[Shortname]], Comp[], 25, FALSE)</f>
        <v>0</v>
      </c>
      <c r="AC555">
        <f>VLOOKUP(Table5[[#This Row],[Shortname]], Comp[], 26, FALSE)</f>
        <v>0</v>
      </c>
      <c r="AD555">
        <f>VLOOKUP(Table5[[#This Row],[Shortname]], Comp[], 27, FALSE)</f>
        <v>0</v>
      </c>
      <c r="AE555">
        <f>VLOOKUP(Table5[[#This Row],[Shortname]], Comp[], 28, FALSE)</f>
        <v>0</v>
      </c>
      <c r="AF555">
        <f>VLOOKUP(Table5[[#This Row],[Shortname]], Comp[], 29, FALSE)</f>
        <v>0</v>
      </c>
      <c r="AG555">
        <f>VLOOKUP(Table5[[#This Row],[Shortname]], Comp[], 30, FALSE)</f>
        <v>0</v>
      </c>
      <c r="AH555">
        <f>VLOOKUP(Table5[[#This Row],[Shortname]], Comp[], 31, FALSE)</f>
        <v>0</v>
      </c>
    </row>
    <row r="556" spans="1:34" x14ac:dyDescent="0.3">
      <c r="A556" s="12" t="s">
        <v>2831</v>
      </c>
      <c r="B556">
        <v>577</v>
      </c>
      <c r="D556" s="12" t="s">
        <v>2345</v>
      </c>
      <c r="E556" s="12" t="s">
        <v>5639</v>
      </c>
      <c r="F556" s="12">
        <v>1066</v>
      </c>
      <c r="J556" s="14">
        <f>VLOOKUP(Table5[[#This Row],[Shortname]], Comp[], 7, FALSE)</f>
        <v>51</v>
      </c>
      <c r="K556">
        <f>VLOOKUP(Table5[[#This Row],[Shortname]], Comp[], 8, FALSE)</f>
        <v>30.5</v>
      </c>
      <c r="L556">
        <f>VLOOKUP(Table5[[#This Row],[Shortname]], Comp[], 9, FALSE)</f>
        <v>9.6999999999999993</v>
      </c>
      <c r="M556">
        <f>VLOOKUP(Table5[[#This Row],[Shortname]], Comp[], 10, FALSE)</f>
        <v>0</v>
      </c>
      <c r="N556">
        <f>VLOOKUP(Table5[[#This Row],[Shortname]], Comp[], 11, FALSE)</f>
        <v>0</v>
      </c>
      <c r="O556">
        <f>VLOOKUP(Table5[[#This Row],[Shortname]], Comp[],12, FALSE)</f>
        <v>1.9</v>
      </c>
      <c r="P556">
        <f>VLOOKUP(Table5[[#This Row],[Shortname]], Comp[], 13, FALSE)</f>
        <v>2.1</v>
      </c>
      <c r="Q556">
        <f>VLOOKUP(Table5[[#This Row],[Shortname]], Comp[], 14, FALSE)</f>
        <v>0</v>
      </c>
      <c r="R556">
        <f>VLOOKUP(Table5[[#This Row],[Shortname]], Comp[], 15, FALSE)</f>
        <v>0</v>
      </c>
      <c r="S556">
        <f>VLOOKUP(Table5[[#This Row],[Shortname]], Comp[], 16, FALSE)</f>
        <v>4.8</v>
      </c>
      <c r="T556">
        <f>VLOOKUP(Table5[[#This Row],[Shortname]], Comp[], 17, FALSE)</f>
        <v>0</v>
      </c>
      <c r="U556">
        <f>VLOOKUP(Table5[[#This Row],[Shortname]], Comp[], 18, FALSE)</f>
        <v>0</v>
      </c>
      <c r="V556">
        <f>VLOOKUP(Table5[[#This Row],[Shortname]], Comp[], 19, FALSE)</f>
        <v>0</v>
      </c>
      <c r="W556">
        <f>VLOOKUP(Table5[[#This Row],[Shortname]], Comp[], 20, FALSE)</f>
        <v>0</v>
      </c>
      <c r="X556">
        <f>VLOOKUP(Table5[[#This Row],[Shortname]], Comp[], 21, FALSE)</f>
        <v>0</v>
      </c>
      <c r="Y556">
        <f>VLOOKUP(Table5[[#This Row],[Shortname]], Comp[], 22, FALSE)</f>
        <v>0</v>
      </c>
      <c r="Z556">
        <f>VLOOKUP(Table5[[#This Row],[Shortname]], Comp[], 23, FALSE)</f>
        <v>0</v>
      </c>
      <c r="AA556">
        <f>VLOOKUP(Table5[[#This Row],[Shortname]], Comp[], 24, FALSE)</f>
        <v>0</v>
      </c>
      <c r="AB556">
        <f>VLOOKUP(Table5[[#This Row],[Shortname]], Comp[], 25, FALSE)</f>
        <v>0</v>
      </c>
      <c r="AC556">
        <f>VLOOKUP(Table5[[#This Row],[Shortname]], Comp[], 26, FALSE)</f>
        <v>0</v>
      </c>
      <c r="AD556">
        <f>VLOOKUP(Table5[[#This Row],[Shortname]], Comp[], 27, FALSE)</f>
        <v>0</v>
      </c>
      <c r="AE556">
        <f>VLOOKUP(Table5[[#This Row],[Shortname]], Comp[], 28, FALSE)</f>
        <v>0</v>
      </c>
      <c r="AF556">
        <f>VLOOKUP(Table5[[#This Row],[Shortname]], Comp[], 29, FALSE)</f>
        <v>0</v>
      </c>
      <c r="AG556">
        <f>VLOOKUP(Table5[[#This Row],[Shortname]], Comp[], 30, FALSE)</f>
        <v>0</v>
      </c>
      <c r="AH556">
        <f>VLOOKUP(Table5[[#This Row],[Shortname]], Comp[], 31, FALSE)</f>
        <v>0</v>
      </c>
    </row>
    <row r="557" spans="1:34" x14ac:dyDescent="0.3">
      <c r="A557" s="12" t="s">
        <v>5641</v>
      </c>
      <c r="B557">
        <v>578</v>
      </c>
      <c r="D557" s="12" t="s">
        <v>5642</v>
      </c>
      <c r="E557" s="12" t="s">
        <v>5643</v>
      </c>
      <c r="F557" s="12">
        <v>1101</v>
      </c>
      <c r="J557" s="14">
        <f>VLOOKUP(Table5[[#This Row],[Shortname]], Comp[], 7, FALSE)</f>
        <v>49.5</v>
      </c>
      <c r="K557">
        <f>VLOOKUP(Table5[[#This Row],[Shortname]], Comp[], 8, FALSE)</f>
        <v>30.2</v>
      </c>
      <c r="L557">
        <f>VLOOKUP(Table5[[#This Row],[Shortname]], Comp[], 9, FALSE)</f>
        <v>9.8000000000000007</v>
      </c>
      <c r="M557">
        <f>VLOOKUP(Table5[[#This Row],[Shortname]], Comp[], 10, FALSE)</f>
        <v>2</v>
      </c>
      <c r="N557">
        <f>VLOOKUP(Table5[[#This Row],[Shortname]], Comp[], 11, FALSE)</f>
        <v>0</v>
      </c>
      <c r="O557">
        <f>VLOOKUP(Table5[[#This Row],[Shortname]], Comp[],12, FALSE)</f>
        <v>2</v>
      </c>
      <c r="P557">
        <f>VLOOKUP(Table5[[#This Row],[Shortname]], Comp[], 13, FALSE)</f>
        <v>1.9</v>
      </c>
      <c r="Q557">
        <f>VLOOKUP(Table5[[#This Row],[Shortname]], Comp[], 14, FALSE)</f>
        <v>0</v>
      </c>
      <c r="R557">
        <f>VLOOKUP(Table5[[#This Row],[Shortname]], Comp[], 15, FALSE)</f>
        <v>0</v>
      </c>
      <c r="S557">
        <f>VLOOKUP(Table5[[#This Row],[Shortname]], Comp[], 16, FALSE)</f>
        <v>4.5999999999999996</v>
      </c>
      <c r="T557">
        <f>VLOOKUP(Table5[[#This Row],[Shortname]], Comp[], 17, FALSE)</f>
        <v>0</v>
      </c>
      <c r="U557">
        <f>VLOOKUP(Table5[[#This Row],[Shortname]], Comp[], 18, FALSE)</f>
        <v>0</v>
      </c>
      <c r="V557">
        <f>VLOOKUP(Table5[[#This Row],[Shortname]], Comp[], 19, FALSE)</f>
        <v>0</v>
      </c>
      <c r="W557">
        <f>VLOOKUP(Table5[[#This Row],[Shortname]], Comp[], 20, FALSE)</f>
        <v>0</v>
      </c>
      <c r="X557">
        <f>VLOOKUP(Table5[[#This Row],[Shortname]], Comp[], 21, FALSE)</f>
        <v>0</v>
      </c>
      <c r="Y557">
        <f>VLOOKUP(Table5[[#This Row],[Shortname]], Comp[], 22, FALSE)</f>
        <v>0</v>
      </c>
      <c r="Z557">
        <f>VLOOKUP(Table5[[#This Row],[Shortname]], Comp[], 23, FALSE)</f>
        <v>0</v>
      </c>
      <c r="AA557">
        <f>VLOOKUP(Table5[[#This Row],[Shortname]], Comp[], 24, FALSE)</f>
        <v>0</v>
      </c>
      <c r="AB557">
        <f>VLOOKUP(Table5[[#This Row],[Shortname]], Comp[], 25, FALSE)</f>
        <v>0</v>
      </c>
      <c r="AC557">
        <f>VLOOKUP(Table5[[#This Row],[Shortname]], Comp[], 26, FALSE)</f>
        <v>0</v>
      </c>
      <c r="AD557">
        <f>VLOOKUP(Table5[[#This Row],[Shortname]], Comp[], 27, FALSE)</f>
        <v>0</v>
      </c>
      <c r="AE557">
        <f>VLOOKUP(Table5[[#This Row],[Shortname]], Comp[], 28, FALSE)</f>
        <v>0</v>
      </c>
      <c r="AF557">
        <f>VLOOKUP(Table5[[#This Row],[Shortname]], Comp[], 29, FALSE)</f>
        <v>0</v>
      </c>
      <c r="AG557">
        <f>VLOOKUP(Table5[[#This Row],[Shortname]], Comp[], 30, FALSE)</f>
        <v>0</v>
      </c>
      <c r="AH557">
        <f>VLOOKUP(Table5[[#This Row],[Shortname]], Comp[], 31, FALSE)</f>
        <v>0</v>
      </c>
    </row>
    <row r="558" spans="1:34" x14ac:dyDescent="0.3">
      <c r="A558" s="12" t="s">
        <v>5646</v>
      </c>
      <c r="B558">
        <v>579</v>
      </c>
      <c r="D558" s="12" t="s">
        <v>5647</v>
      </c>
      <c r="E558" s="12" t="s">
        <v>5648</v>
      </c>
      <c r="F558" s="12">
        <v>1105</v>
      </c>
      <c r="J558" s="14">
        <f>VLOOKUP(Table5[[#This Row],[Shortname]], Comp[], 7, FALSE)</f>
        <v>46.3</v>
      </c>
      <c r="K558">
        <f>VLOOKUP(Table5[[#This Row],[Shortname]], Comp[], 8, FALSE)</f>
        <v>30.1</v>
      </c>
      <c r="L558">
        <f>VLOOKUP(Table5[[#This Row],[Shortname]], Comp[], 9, FALSE)</f>
        <v>9.8000000000000007</v>
      </c>
      <c r="M558">
        <f>VLOOKUP(Table5[[#This Row],[Shortname]], Comp[], 10, FALSE)</f>
        <v>4.9000000000000004</v>
      </c>
      <c r="N558">
        <f>VLOOKUP(Table5[[#This Row],[Shortname]], Comp[], 11, FALSE)</f>
        <v>0</v>
      </c>
      <c r="O558">
        <f>VLOOKUP(Table5[[#This Row],[Shortname]], Comp[],12, FALSE)</f>
        <v>2</v>
      </c>
      <c r="P558">
        <f>VLOOKUP(Table5[[#This Row],[Shortname]], Comp[], 13, FALSE)</f>
        <v>2</v>
      </c>
      <c r="Q558">
        <f>VLOOKUP(Table5[[#This Row],[Shortname]], Comp[], 14, FALSE)</f>
        <v>0</v>
      </c>
      <c r="R558">
        <f>VLOOKUP(Table5[[#This Row],[Shortname]], Comp[], 15, FALSE)</f>
        <v>0</v>
      </c>
      <c r="S558">
        <f>VLOOKUP(Table5[[#This Row],[Shortname]], Comp[], 16, FALSE)</f>
        <v>4.9000000000000004</v>
      </c>
      <c r="T558">
        <f>VLOOKUP(Table5[[#This Row],[Shortname]], Comp[], 17, FALSE)</f>
        <v>0</v>
      </c>
      <c r="U558">
        <f>VLOOKUP(Table5[[#This Row],[Shortname]], Comp[], 18, FALSE)</f>
        <v>0</v>
      </c>
      <c r="V558">
        <f>VLOOKUP(Table5[[#This Row],[Shortname]], Comp[], 19, FALSE)</f>
        <v>0</v>
      </c>
      <c r="W558">
        <f>VLOOKUP(Table5[[#This Row],[Shortname]], Comp[], 20, FALSE)</f>
        <v>0</v>
      </c>
      <c r="X558">
        <f>VLOOKUP(Table5[[#This Row],[Shortname]], Comp[], 21, FALSE)</f>
        <v>0</v>
      </c>
      <c r="Y558">
        <f>VLOOKUP(Table5[[#This Row],[Shortname]], Comp[], 22, FALSE)</f>
        <v>0</v>
      </c>
      <c r="Z558">
        <f>VLOOKUP(Table5[[#This Row],[Shortname]], Comp[], 23, FALSE)</f>
        <v>0</v>
      </c>
      <c r="AA558">
        <f>VLOOKUP(Table5[[#This Row],[Shortname]], Comp[], 24, FALSE)</f>
        <v>0</v>
      </c>
      <c r="AB558">
        <f>VLOOKUP(Table5[[#This Row],[Shortname]], Comp[], 25, FALSE)</f>
        <v>0</v>
      </c>
      <c r="AC558">
        <f>VLOOKUP(Table5[[#This Row],[Shortname]], Comp[], 26, FALSE)</f>
        <v>0</v>
      </c>
      <c r="AD558">
        <f>VLOOKUP(Table5[[#This Row],[Shortname]], Comp[], 27, FALSE)</f>
        <v>0</v>
      </c>
      <c r="AE558">
        <f>VLOOKUP(Table5[[#This Row],[Shortname]], Comp[], 28, FALSE)</f>
        <v>0</v>
      </c>
      <c r="AF558">
        <f>VLOOKUP(Table5[[#This Row],[Shortname]], Comp[], 29, FALSE)</f>
        <v>0</v>
      </c>
      <c r="AG558">
        <f>VLOOKUP(Table5[[#This Row],[Shortname]], Comp[], 30, FALSE)</f>
        <v>0</v>
      </c>
      <c r="AH558">
        <f>VLOOKUP(Table5[[#This Row],[Shortname]], Comp[], 31, FALSE)</f>
        <v>0</v>
      </c>
    </row>
    <row r="559" spans="1:34" x14ac:dyDescent="0.3">
      <c r="A559" s="12" t="s">
        <v>5650</v>
      </c>
      <c r="B559">
        <v>580</v>
      </c>
      <c r="D559" s="12" t="s">
        <v>5651</v>
      </c>
      <c r="E559" s="12" t="s">
        <v>5652</v>
      </c>
      <c r="F559" s="12">
        <v>1078</v>
      </c>
      <c r="J559" s="14">
        <f>VLOOKUP(Table5[[#This Row],[Shortname]], Comp[], 7, FALSE)</f>
        <v>40.999999999999993</v>
      </c>
      <c r="K559">
        <f>VLOOKUP(Table5[[#This Row],[Shortname]], Comp[], 8, FALSE)</f>
        <v>29.5</v>
      </c>
      <c r="L559">
        <f>VLOOKUP(Table5[[#This Row],[Shortname]], Comp[], 9, FALSE)</f>
        <v>10.199999999999999</v>
      </c>
      <c r="M559">
        <f>VLOOKUP(Table5[[#This Row],[Shortname]], Comp[], 10, FALSE)</f>
        <v>10.199999999999999</v>
      </c>
      <c r="N559">
        <f>VLOOKUP(Table5[[#This Row],[Shortname]], Comp[], 11, FALSE)</f>
        <v>0</v>
      </c>
      <c r="O559">
        <f>VLOOKUP(Table5[[#This Row],[Shortname]], Comp[],12, FALSE)</f>
        <v>1.9</v>
      </c>
      <c r="P559">
        <f>VLOOKUP(Table5[[#This Row],[Shortname]], Comp[], 13, FALSE)</f>
        <v>2.1</v>
      </c>
      <c r="Q559">
        <f>VLOOKUP(Table5[[#This Row],[Shortname]], Comp[], 14, FALSE)</f>
        <v>0</v>
      </c>
      <c r="R559">
        <f>VLOOKUP(Table5[[#This Row],[Shortname]], Comp[], 15, FALSE)</f>
        <v>0</v>
      </c>
      <c r="S559">
        <f>VLOOKUP(Table5[[#This Row],[Shortname]], Comp[], 16, FALSE)</f>
        <v>5.0999999999999996</v>
      </c>
      <c r="T559">
        <f>VLOOKUP(Table5[[#This Row],[Shortname]], Comp[], 17, FALSE)</f>
        <v>0</v>
      </c>
      <c r="U559">
        <f>VLOOKUP(Table5[[#This Row],[Shortname]], Comp[], 18, FALSE)</f>
        <v>0</v>
      </c>
      <c r="V559">
        <f>VLOOKUP(Table5[[#This Row],[Shortname]], Comp[], 19, FALSE)</f>
        <v>0</v>
      </c>
      <c r="W559">
        <f>VLOOKUP(Table5[[#This Row],[Shortname]], Comp[], 20, FALSE)</f>
        <v>0</v>
      </c>
      <c r="X559">
        <f>VLOOKUP(Table5[[#This Row],[Shortname]], Comp[], 21, FALSE)</f>
        <v>0</v>
      </c>
      <c r="Y559">
        <f>VLOOKUP(Table5[[#This Row],[Shortname]], Comp[], 22, FALSE)</f>
        <v>0</v>
      </c>
      <c r="Z559">
        <f>VLOOKUP(Table5[[#This Row],[Shortname]], Comp[], 23, FALSE)</f>
        <v>0</v>
      </c>
      <c r="AA559">
        <f>VLOOKUP(Table5[[#This Row],[Shortname]], Comp[], 24, FALSE)</f>
        <v>0</v>
      </c>
      <c r="AB559">
        <f>VLOOKUP(Table5[[#This Row],[Shortname]], Comp[], 25, FALSE)</f>
        <v>0</v>
      </c>
      <c r="AC559">
        <f>VLOOKUP(Table5[[#This Row],[Shortname]], Comp[], 26, FALSE)</f>
        <v>0</v>
      </c>
      <c r="AD559">
        <f>VLOOKUP(Table5[[#This Row],[Shortname]], Comp[], 27, FALSE)</f>
        <v>0</v>
      </c>
      <c r="AE559">
        <f>VLOOKUP(Table5[[#This Row],[Shortname]], Comp[], 28, FALSE)</f>
        <v>0</v>
      </c>
      <c r="AF559">
        <f>VLOOKUP(Table5[[#This Row],[Shortname]], Comp[], 29, FALSE)</f>
        <v>0</v>
      </c>
      <c r="AG559">
        <f>VLOOKUP(Table5[[#This Row],[Shortname]], Comp[], 30, FALSE)</f>
        <v>0</v>
      </c>
      <c r="AH559">
        <f>VLOOKUP(Table5[[#This Row],[Shortname]], Comp[], 31, FALSE)</f>
        <v>0</v>
      </c>
    </row>
    <row r="560" spans="1:34" x14ac:dyDescent="0.3">
      <c r="A560" s="12" t="s">
        <v>5658</v>
      </c>
      <c r="B560">
        <v>581</v>
      </c>
      <c r="D560" s="12" t="s">
        <v>5659</v>
      </c>
      <c r="E560" s="12" t="s">
        <v>5660</v>
      </c>
      <c r="F560" s="12">
        <v>864</v>
      </c>
      <c r="G560" s="12">
        <v>1442</v>
      </c>
      <c r="H560" s="12">
        <v>1463</v>
      </c>
      <c r="J560" s="14">
        <f>VLOOKUP(Table5[[#This Row],[Shortname]], Comp[], 7, FALSE)</f>
        <v>87.3</v>
      </c>
      <c r="K560">
        <f>VLOOKUP(Table5[[#This Row],[Shortname]], Comp[], 8, FALSE)</f>
        <v>0</v>
      </c>
      <c r="L560">
        <f>VLOOKUP(Table5[[#This Row],[Shortname]], Comp[], 9, FALSE)</f>
        <v>8.4</v>
      </c>
      <c r="M560">
        <f>VLOOKUP(Table5[[#This Row],[Shortname]], Comp[], 10, FALSE)</f>
        <v>0</v>
      </c>
      <c r="N560">
        <f>VLOOKUP(Table5[[#This Row],[Shortname]], Comp[], 11, FALSE)</f>
        <v>4.0999999999999996</v>
      </c>
      <c r="O560">
        <f>VLOOKUP(Table5[[#This Row],[Shortname]], Comp[],12, FALSE)</f>
        <v>0</v>
      </c>
      <c r="P560">
        <f>VLOOKUP(Table5[[#This Row],[Shortname]], Comp[], 13, FALSE)</f>
        <v>0.2</v>
      </c>
      <c r="Q560">
        <f>VLOOKUP(Table5[[#This Row],[Shortname]], Comp[], 14, FALSE)</f>
        <v>0</v>
      </c>
      <c r="R560">
        <f>VLOOKUP(Table5[[#This Row],[Shortname]], Comp[], 15, FALSE)</f>
        <v>0</v>
      </c>
      <c r="S560">
        <f>VLOOKUP(Table5[[#This Row],[Shortname]], Comp[], 16, FALSE)</f>
        <v>0</v>
      </c>
      <c r="T560">
        <f>VLOOKUP(Table5[[#This Row],[Shortname]], Comp[], 17, FALSE)</f>
        <v>0</v>
      </c>
      <c r="U560">
        <f>VLOOKUP(Table5[[#This Row],[Shortname]], Comp[], 18, FALSE)</f>
        <v>0</v>
      </c>
      <c r="V560">
        <f>VLOOKUP(Table5[[#This Row],[Shortname]], Comp[], 19, FALSE)</f>
        <v>0</v>
      </c>
      <c r="W560">
        <f>VLOOKUP(Table5[[#This Row],[Shortname]], Comp[], 20, FALSE)</f>
        <v>0</v>
      </c>
      <c r="X560">
        <f>VLOOKUP(Table5[[#This Row],[Shortname]], Comp[], 21, FALSE)</f>
        <v>0</v>
      </c>
      <c r="Y560">
        <f>VLOOKUP(Table5[[#This Row],[Shortname]], Comp[], 22, FALSE)</f>
        <v>0</v>
      </c>
      <c r="Z560">
        <f>VLOOKUP(Table5[[#This Row],[Shortname]], Comp[], 23, FALSE)</f>
        <v>0</v>
      </c>
      <c r="AA560">
        <f>VLOOKUP(Table5[[#This Row],[Shortname]], Comp[], 24, FALSE)</f>
        <v>0</v>
      </c>
      <c r="AB560">
        <f>VLOOKUP(Table5[[#This Row],[Shortname]], Comp[], 25, FALSE)</f>
        <v>0</v>
      </c>
      <c r="AC560">
        <f>VLOOKUP(Table5[[#This Row],[Shortname]], Comp[], 26, FALSE)</f>
        <v>0</v>
      </c>
      <c r="AD560">
        <f>VLOOKUP(Table5[[#This Row],[Shortname]], Comp[], 27, FALSE)</f>
        <v>0</v>
      </c>
      <c r="AE560">
        <f>VLOOKUP(Table5[[#This Row],[Shortname]], Comp[], 28, FALSE)</f>
        <v>0</v>
      </c>
      <c r="AF560">
        <f>VLOOKUP(Table5[[#This Row],[Shortname]], Comp[], 29, FALSE)</f>
        <v>0</v>
      </c>
      <c r="AG560">
        <f>VLOOKUP(Table5[[#This Row],[Shortname]], Comp[], 30, FALSE)</f>
        <v>0</v>
      </c>
      <c r="AH560">
        <f>VLOOKUP(Table5[[#This Row],[Shortname]], Comp[], 31, FALSE)</f>
        <v>0</v>
      </c>
    </row>
    <row r="561" spans="1:34" x14ac:dyDescent="0.3">
      <c r="A561" s="12" t="s">
        <v>5662</v>
      </c>
      <c r="B561">
        <v>582</v>
      </c>
      <c r="D561" s="12" t="s">
        <v>469</v>
      </c>
      <c r="E561" s="12" t="s">
        <v>5660</v>
      </c>
      <c r="F561" s="12">
        <v>984</v>
      </c>
      <c r="G561" s="12">
        <v>1430</v>
      </c>
      <c r="H561" s="12">
        <v>1454</v>
      </c>
      <c r="J561" s="14">
        <f>VLOOKUP(Table5[[#This Row],[Shortname]], Comp[], 7, FALSE)</f>
        <v>84.8</v>
      </c>
      <c r="K561">
        <f>VLOOKUP(Table5[[#This Row],[Shortname]], Comp[], 8, FALSE)</f>
        <v>0</v>
      </c>
      <c r="L561">
        <f>VLOOKUP(Table5[[#This Row],[Shortname]], Comp[], 9, FALSE)</f>
        <v>8.6</v>
      </c>
      <c r="M561">
        <f>VLOOKUP(Table5[[#This Row],[Shortname]], Comp[], 10, FALSE)</f>
        <v>0</v>
      </c>
      <c r="N561">
        <f>VLOOKUP(Table5[[#This Row],[Shortname]], Comp[], 11, FALSE)</f>
        <v>6</v>
      </c>
      <c r="O561">
        <f>VLOOKUP(Table5[[#This Row],[Shortname]], Comp[],12, FALSE)</f>
        <v>0</v>
      </c>
      <c r="P561">
        <f>VLOOKUP(Table5[[#This Row],[Shortname]], Comp[], 13, FALSE)</f>
        <v>0.6</v>
      </c>
      <c r="Q561">
        <f>VLOOKUP(Table5[[#This Row],[Shortname]], Comp[], 14, FALSE)</f>
        <v>0</v>
      </c>
      <c r="R561">
        <f>VLOOKUP(Table5[[#This Row],[Shortname]], Comp[], 15, FALSE)</f>
        <v>0</v>
      </c>
      <c r="S561">
        <f>VLOOKUP(Table5[[#This Row],[Shortname]], Comp[], 16, FALSE)</f>
        <v>0</v>
      </c>
      <c r="T561">
        <f>VLOOKUP(Table5[[#This Row],[Shortname]], Comp[], 17, FALSE)</f>
        <v>0</v>
      </c>
      <c r="U561">
        <f>VLOOKUP(Table5[[#This Row],[Shortname]], Comp[], 18, FALSE)</f>
        <v>0</v>
      </c>
      <c r="V561">
        <f>VLOOKUP(Table5[[#This Row],[Shortname]], Comp[], 19, FALSE)</f>
        <v>0</v>
      </c>
      <c r="W561">
        <f>VLOOKUP(Table5[[#This Row],[Shortname]], Comp[], 20, FALSE)</f>
        <v>0</v>
      </c>
      <c r="X561">
        <f>VLOOKUP(Table5[[#This Row],[Shortname]], Comp[], 21, FALSE)</f>
        <v>0</v>
      </c>
      <c r="Y561">
        <f>VLOOKUP(Table5[[#This Row],[Shortname]], Comp[], 22, FALSE)</f>
        <v>0</v>
      </c>
      <c r="Z561">
        <f>VLOOKUP(Table5[[#This Row],[Shortname]], Comp[], 23, FALSE)</f>
        <v>0</v>
      </c>
      <c r="AA561">
        <f>VLOOKUP(Table5[[#This Row],[Shortname]], Comp[], 24, FALSE)</f>
        <v>0</v>
      </c>
      <c r="AB561">
        <f>VLOOKUP(Table5[[#This Row],[Shortname]], Comp[], 25, FALSE)</f>
        <v>0</v>
      </c>
      <c r="AC561">
        <f>VLOOKUP(Table5[[#This Row],[Shortname]], Comp[], 26, FALSE)</f>
        <v>0</v>
      </c>
      <c r="AD561">
        <f>VLOOKUP(Table5[[#This Row],[Shortname]], Comp[], 27, FALSE)</f>
        <v>0</v>
      </c>
      <c r="AE561">
        <f>VLOOKUP(Table5[[#This Row],[Shortname]], Comp[], 28, FALSE)</f>
        <v>0</v>
      </c>
      <c r="AF561">
        <f>VLOOKUP(Table5[[#This Row],[Shortname]], Comp[], 29, FALSE)</f>
        <v>0</v>
      </c>
      <c r="AG561">
        <f>VLOOKUP(Table5[[#This Row],[Shortname]], Comp[], 30, FALSE)</f>
        <v>0</v>
      </c>
      <c r="AH561">
        <f>VLOOKUP(Table5[[#This Row],[Shortname]], Comp[], 31, FALSE)</f>
        <v>0</v>
      </c>
    </row>
    <row r="562" spans="1:34" x14ac:dyDescent="0.3">
      <c r="A562" s="12" t="s">
        <v>5664</v>
      </c>
      <c r="B562">
        <v>583</v>
      </c>
      <c r="D562" s="12" t="s">
        <v>477</v>
      </c>
      <c r="E562" s="12" t="s">
        <v>5660</v>
      </c>
      <c r="F562" s="12">
        <v>1038</v>
      </c>
      <c r="G562" s="12">
        <v>1419</v>
      </c>
      <c r="H562" s="12">
        <v>1448</v>
      </c>
      <c r="J562" s="14">
        <f>VLOOKUP(Table5[[#This Row],[Shortname]], Comp[], 7, FALSE)</f>
        <v>82.7</v>
      </c>
      <c r="K562">
        <f>VLOOKUP(Table5[[#This Row],[Shortname]], Comp[], 8, FALSE)</f>
        <v>0</v>
      </c>
      <c r="L562">
        <f>VLOOKUP(Table5[[#This Row],[Shortname]], Comp[], 9, FALSE)</f>
        <v>8.5</v>
      </c>
      <c r="M562">
        <f>VLOOKUP(Table5[[#This Row],[Shortname]], Comp[], 10, FALSE)</f>
        <v>0</v>
      </c>
      <c r="N562">
        <f>VLOOKUP(Table5[[#This Row],[Shortname]], Comp[], 11, FALSE)</f>
        <v>7.7</v>
      </c>
      <c r="O562">
        <f>VLOOKUP(Table5[[#This Row],[Shortname]], Comp[],12, FALSE)</f>
        <v>0</v>
      </c>
      <c r="P562">
        <f>VLOOKUP(Table5[[#This Row],[Shortname]], Comp[], 13, FALSE)</f>
        <v>1.1000000000000001</v>
      </c>
      <c r="Q562">
        <f>VLOOKUP(Table5[[#This Row],[Shortname]], Comp[], 14, FALSE)</f>
        <v>0</v>
      </c>
      <c r="R562">
        <f>VLOOKUP(Table5[[#This Row],[Shortname]], Comp[], 15, FALSE)</f>
        <v>0</v>
      </c>
      <c r="S562">
        <f>VLOOKUP(Table5[[#This Row],[Shortname]], Comp[], 16, FALSE)</f>
        <v>0</v>
      </c>
      <c r="T562">
        <f>VLOOKUP(Table5[[#This Row],[Shortname]], Comp[], 17, FALSE)</f>
        <v>0</v>
      </c>
      <c r="U562">
        <f>VLOOKUP(Table5[[#This Row],[Shortname]], Comp[], 18, FALSE)</f>
        <v>0</v>
      </c>
      <c r="V562">
        <f>VLOOKUP(Table5[[#This Row],[Shortname]], Comp[], 19, FALSE)</f>
        <v>0</v>
      </c>
      <c r="W562">
        <f>VLOOKUP(Table5[[#This Row],[Shortname]], Comp[], 20, FALSE)</f>
        <v>0</v>
      </c>
      <c r="X562">
        <f>VLOOKUP(Table5[[#This Row],[Shortname]], Comp[], 21, FALSE)</f>
        <v>0</v>
      </c>
      <c r="Y562">
        <f>VLOOKUP(Table5[[#This Row],[Shortname]], Comp[], 22, FALSE)</f>
        <v>0</v>
      </c>
      <c r="Z562">
        <f>VLOOKUP(Table5[[#This Row],[Shortname]], Comp[], 23, FALSE)</f>
        <v>0</v>
      </c>
      <c r="AA562">
        <f>VLOOKUP(Table5[[#This Row],[Shortname]], Comp[], 24, FALSE)</f>
        <v>0</v>
      </c>
      <c r="AB562">
        <f>VLOOKUP(Table5[[#This Row],[Shortname]], Comp[], 25, FALSE)</f>
        <v>0</v>
      </c>
      <c r="AC562">
        <f>VLOOKUP(Table5[[#This Row],[Shortname]], Comp[], 26, FALSE)</f>
        <v>0</v>
      </c>
      <c r="AD562">
        <f>VLOOKUP(Table5[[#This Row],[Shortname]], Comp[], 27, FALSE)</f>
        <v>0</v>
      </c>
      <c r="AE562">
        <f>VLOOKUP(Table5[[#This Row],[Shortname]], Comp[], 28, FALSE)</f>
        <v>0</v>
      </c>
      <c r="AF562">
        <f>VLOOKUP(Table5[[#This Row],[Shortname]], Comp[], 29, FALSE)</f>
        <v>0</v>
      </c>
      <c r="AG562">
        <f>VLOOKUP(Table5[[#This Row],[Shortname]], Comp[], 30, FALSE)</f>
        <v>0</v>
      </c>
      <c r="AH562">
        <f>VLOOKUP(Table5[[#This Row],[Shortname]], Comp[], 31, FALSE)</f>
        <v>0</v>
      </c>
    </row>
    <row r="563" spans="1:34" x14ac:dyDescent="0.3">
      <c r="A563" s="12" t="s">
        <v>5666</v>
      </c>
      <c r="B563">
        <v>584</v>
      </c>
      <c r="D563" s="12" t="s">
        <v>484</v>
      </c>
      <c r="E563" s="12" t="s">
        <v>5660</v>
      </c>
      <c r="F563" s="12">
        <v>1088</v>
      </c>
      <c r="G563" s="12">
        <v>1368</v>
      </c>
      <c r="H563" s="12">
        <v>1439</v>
      </c>
      <c r="J563" s="14">
        <f>VLOOKUP(Table5[[#This Row],[Shortname]], Comp[], 7, FALSE)</f>
        <v>80.699999999999989</v>
      </c>
      <c r="K563">
        <f>VLOOKUP(Table5[[#This Row],[Shortname]], Comp[], 8, FALSE)</f>
        <v>0</v>
      </c>
      <c r="L563">
        <f>VLOOKUP(Table5[[#This Row],[Shortname]], Comp[], 9, FALSE)</f>
        <v>8.4</v>
      </c>
      <c r="M563">
        <f>VLOOKUP(Table5[[#This Row],[Shortname]], Comp[], 10, FALSE)</f>
        <v>0</v>
      </c>
      <c r="N563">
        <f>VLOOKUP(Table5[[#This Row],[Shortname]], Comp[], 11, FALSE)</f>
        <v>9.3000000000000007</v>
      </c>
      <c r="O563">
        <f>VLOOKUP(Table5[[#This Row],[Shortname]], Comp[],12, FALSE)</f>
        <v>0</v>
      </c>
      <c r="P563">
        <f>VLOOKUP(Table5[[#This Row],[Shortname]], Comp[], 13, FALSE)</f>
        <v>1.6</v>
      </c>
      <c r="Q563">
        <f>VLOOKUP(Table5[[#This Row],[Shortname]], Comp[], 14, FALSE)</f>
        <v>0</v>
      </c>
      <c r="R563">
        <f>VLOOKUP(Table5[[#This Row],[Shortname]], Comp[], 15, FALSE)</f>
        <v>0</v>
      </c>
      <c r="S563">
        <f>VLOOKUP(Table5[[#This Row],[Shortname]], Comp[], 16, FALSE)</f>
        <v>0</v>
      </c>
      <c r="T563">
        <f>VLOOKUP(Table5[[#This Row],[Shortname]], Comp[], 17, FALSE)</f>
        <v>0</v>
      </c>
      <c r="U563">
        <f>VLOOKUP(Table5[[#This Row],[Shortname]], Comp[], 18, FALSE)</f>
        <v>0</v>
      </c>
      <c r="V563">
        <f>VLOOKUP(Table5[[#This Row],[Shortname]], Comp[], 19, FALSE)</f>
        <v>0</v>
      </c>
      <c r="W563">
        <f>VLOOKUP(Table5[[#This Row],[Shortname]], Comp[], 20, FALSE)</f>
        <v>0</v>
      </c>
      <c r="X563">
        <f>VLOOKUP(Table5[[#This Row],[Shortname]], Comp[], 21, FALSE)</f>
        <v>0</v>
      </c>
      <c r="Y563">
        <f>VLOOKUP(Table5[[#This Row],[Shortname]], Comp[], 22, FALSE)</f>
        <v>0</v>
      </c>
      <c r="Z563">
        <f>VLOOKUP(Table5[[#This Row],[Shortname]], Comp[], 23, FALSE)</f>
        <v>0</v>
      </c>
      <c r="AA563">
        <f>VLOOKUP(Table5[[#This Row],[Shortname]], Comp[], 24, FALSE)</f>
        <v>0</v>
      </c>
      <c r="AB563">
        <f>VLOOKUP(Table5[[#This Row],[Shortname]], Comp[], 25, FALSE)</f>
        <v>0</v>
      </c>
      <c r="AC563">
        <f>VLOOKUP(Table5[[#This Row],[Shortname]], Comp[], 26, FALSE)</f>
        <v>0</v>
      </c>
      <c r="AD563">
        <f>VLOOKUP(Table5[[#This Row],[Shortname]], Comp[], 27, FALSE)</f>
        <v>0</v>
      </c>
      <c r="AE563">
        <f>VLOOKUP(Table5[[#This Row],[Shortname]], Comp[], 28, FALSE)</f>
        <v>0</v>
      </c>
      <c r="AF563">
        <f>VLOOKUP(Table5[[#This Row],[Shortname]], Comp[], 29, FALSE)</f>
        <v>0</v>
      </c>
      <c r="AG563">
        <f>VLOOKUP(Table5[[#This Row],[Shortname]], Comp[], 30, FALSE)</f>
        <v>0</v>
      </c>
      <c r="AH563">
        <f>VLOOKUP(Table5[[#This Row],[Shortname]], Comp[], 31, FALSE)</f>
        <v>0</v>
      </c>
    </row>
    <row r="564" spans="1:34" x14ac:dyDescent="0.3">
      <c r="A564" s="12" t="s">
        <v>5668</v>
      </c>
      <c r="B564">
        <v>585</v>
      </c>
      <c r="D564" s="12" t="s">
        <v>5669</v>
      </c>
      <c r="E564" s="12" t="s">
        <v>5660</v>
      </c>
      <c r="F564" s="12">
        <v>1117</v>
      </c>
      <c r="G564" s="12">
        <v>1348</v>
      </c>
      <c r="H564" s="12">
        <v>1429</v>
      </c>
      <c r="J564" s="14">
        <f>VLOOKUP(Table5[[#This Row],[Shortname]], Comp[], 7, FALSE)</f>
        <v>78.8</v>
      </c>
      <c r="K564">
        <f>VLOOKUP(Table5[[#This Row],[Shortname]], Comp[], 8, FALSE)</f>
        <v>0</v>
      </c>
      <c r="L564">
        <f>VLOOKUP(Table5[[#This Row],[Shortname]], Comp[], 9, FALSE)</f>
        <v>8.1999999999999993</v>
      </c>
      <c r="M564">
        <f>VLOOKUP(Table5[[#This Row],[Shortname]], Comp[], 10, FALSE)</f>
        <v>0</v>
      </c>
      <c r="N564">
        <f>VLOOKUP(Table5[[#This Row],[Shortname]], Comp[], 11, FALSE)</f>
        <v>11</v>
      </c>
      <c r="O564">
        <f>VLOOKUP(Table5[[#This Row],[Shortname]], Comp[],12, FALSE)</f>
        <v>0</v>
      </c>
      <c r="P564">
        <f>VLOOKUP(Table5[[#This Row],[Shortname]], Comp[], 13, FALSE)</f>
        <v>2</v>
      </c>
      <c r="Q564">
        <f>VLOOKUP(Table5[[#This Row],[Shortname]], Comp[], 14, FALSE)</f>
        <v>0</v>
      </c>
      <c r="R564">
        <f>VLOOKUP(Table5[[#This Row],[Shortname]], Comp[], 15, FALSE)</f>
        <v>0</v>
      </c>
      <c r="S564">
        <f>VLOOKUP(Table5[[#This Row],[Shortname]], Comp[], 16, FALSE)</f>
        <v>0</v>
      </c>
      <c r="T564">
        <f>VLOOKUP(Table5[[#This Row],[Shortname]], Comp[], 17, FALSE)</f>
        <v>0</v>
      </c>
      <c r="U564">
        <f>VLOOKUP(Table5[[#This Row],[Shortname]], Comp[], 18, FALSE)</f>
        <v>0</v>
      </c>
      <c r="V564">
        <f>VLOOKUP(Table5[[#This Row],[Shortname]], Comp[], 19, FALSE)</f>
        <v>0</v>
      </c>
      <c r="W564">
        <f>VLOOKUP(Table5[[#This Row],[Shortname]], Comp[], 20, FALSE)</f>
        <v>0</v>
      </c>
      <c r="X564">
        <f>VLOOKUP(Table5[[#This Row],[Shortname]], Comp[], 21, FALSE)</f>
        <v>0</v>
      </c>
      <c r="Y564">
        <f>VLOOKUP(Table5[[#This Row],[Shortname]], Comp[], 22, FALSE)</f>
        <v>0</v>
      </c>
      <c r="Z564">
        <f>VLOOKUP(Table5[[#This Row],[Shortname]], Comp[], 23, FALSE)</f>
        <v>0</v>
      </c>
      <c r="AA564">
        <f>VLOOKUP(Table5[[#This Row],[Shortname]], Comp[], 24, FALSE)</f>
        <v>0</v>
      </c>
      <c r="AB564">
        <f>VLOOKUP(Table5[[#This Row],[Shortname]], Comp[], 25, FALSE)</f>
        <v>0</v>
      </c>
      <c r="AC564">
        <f>VLOOKUP(Table5[[#This Row],[Shortname]], Comp[], 26, FALSE)</f>
        <v>0</v>
      </c>
      <c r="AD564">
        <f>VLOOKUP(Table5[[#This Row],[Shortname]], Comp[], 27, FALSE)</f>
        <v>0</v>
      </c>
      <c r="AE564">
        <f>VLOOKUP(Table5[[#This Row],[Shortname]], Comp[], 28, FALSE)</f>
        <v>0</v>
      </c>
      <c r="AF564">
        <f>VLOOKUP(Table5[[#This Row],[Shortname]], Comp[], 29, FALSE)</f>
        <v>0</v>
      </c>
      <c r="AG564">
        <f>VLOOKUP(Table5[[#This Row],[Shortname]], Comp[], 30, FALSE)</f>
        <v>0</v>
      </c>
      <c r="AH564">
        <f>VLOOKUP(Table5[[#This Row],[Shortname]], Comp[], 31, FALSE)</f>
        <v>0</v>
      </c>
    </row>
    <row r="565" spans="1:34" x14ac:dyDescent="0.3">
      <c r="A565" s="12" t="s">
        <v>5671</v>
      </c>
      <c r="B565">
        <v>586</v>
      </c>
      <c r="D565" s="12" t="s">
        <v>5672</v>
      </c>
      <c r="E565" s="12" t="s">
        <v>5660</v>
      </c>
      <c r="F565" s="12">
        <v>1121</v>
      </c>
      <c r="G565" s="12">
        <v>1353</v>
      </c>
      <c r="H565" s="12">
        <v>1419</v>
      </c>
      <c r="J565" s="14">
        <f>VLOOKUP(Table5[[#This Row],[Shortname]], Comp[], 7, FALSE)</f>
        <v>77</v>
      </c>
      <c r="K565">
        <f>VLOOKUP(Table5[[#This Row],[Shortname]], Comp[], 8, FALSE)</f>
        <v>0</v>
      </c>
      <c r="L565">
        <f>VLOOKUP(Table5[[#This Row],[Shortname]], Comp[], 9, FALSE)</f>
        <v>8.1</v>
      </c>
      <c r="M565">
        <f>VLOOKUP(Table5[[#This Row],[Shortname]], Comp[], 10, FALSE)</f>
        <v>0</v>
      </c>
      <c r="N565">
        <f>VLOOKUP(Table5[[#This Row],[Shortname]], Comp[], 11, FALSE)</f>
        <v>12.5</v>
      </c>
      <c r="O565">
        <f>VLOOKUP(Table5[[#This Row],[Shortname]], Comp[],12, FALSE)</f>
        <v>0</v>
      </c>
      <c r="P565">
        <f>VLOOKUP(Table5[[#This Row],[Shortname]], Comp[], 13, FALSE)</f>
        <v>2.4</v>
      </c>
      <c r="Q565">
        <f>VLOOKUP(Table5[[#This Row],[Shortname]], Comp[], 14, FALSE)</f>
        <v>0</v>
      </c>
      <c r="R565">
        <f>VLOOKUP(Table5[[#This Row],[Shortname]], Comp[], 15, FALSE)</f>
        <v>0</v>
      </c>
      <c r="S565">
        <f>VLOOKUP(Table5[[#This Row],[Shortname]], Comp[], 16, FALSE)</f>
        <v>0</v>
      </c>
      <c r="T565">
        <f>VLOOKUP(Table5[[#This Row],[Shortname]], Comp[], 17, FALSE)</f>
        <v>0</v>
      </c>
      <c r="U565">
        <f>VLOOKUP(Table5[[#This Row],[Shortname]], Comp[], 18, FALSE)</f>
        <v>0</v>
      </c>
      <c r="V565">
        <f>VLOOKUP(Table5[[#This Row],[Shortname]], Comp[], 19, FALSE)</f>
        <v>0</v>
      </c>
      <c r="W565">
        <f>VLOOKUP(Table5[[#This Row],[Shortname]], Comp[], 20, FALSE)</f>
        <v>0</v>
      </c>
      <c r="X565">
        <f>VLOOKUP(Table5[[#This Row],[Shortname]], Comp[], 21, FALSE)</f>
        <v>0</v>
      </c>
      <c r="Y565">
        <f>VLOOKUP(Table5[[#This Row],[Shortname]], Comp[], 22, FALSE)</f>
        <v>0</v>
      </c>
      <c r="Z565">
        <f>VLOOKUP(Table5[[#This Row],[Shortname]], Comp[], 23, FALSE)</f>
        <v>0</v>
      </c>
      <c r="AA565">
        <f>VLOOKUP(Table5[[#This Row],[Shortname]], Comp[], 24, FALSE)</f>
        <v>0</v>
      </c>
      <c r="AB565">
        <f>VLOOKUP(Table5[[#This Row],[Shortname]], Comp[], 25, FALSE)</f>
        <v>0</v>
      </c>
      <c r="AC565">
        <f>VLOOKUP(Table5[[#This Row],[Shortname]], Comp[], 26, FALSE)</f>
        <v>0</v>
      </c>
      <c r="AD565">
        <f>VLOOKUP(Table5[[#This Row],[Shortname]], Comp[], 27, FALSE)</f>
        <v>0</v>
      </c>
      <c r="AE565">
        <f>VLOOKUP(Table5[[#This Row],[Shortname]], Comp[], 28, FALSE)</f>
        <v>0</v>
      </c>
      <c r="AF565">
        <f>VLOOKUP(Table5[[#This Row],[Shortname]], Comp[], 29, FALSE)</f>
        <v>0</v>
      </c>
      <c r="AG565">
        <f>VLOOKUP(Table5[[#This Row],[Shortname]], Comp[], 30, FALSE)</f>
        <v>0</v>
      </c>
      <c r="AH565">
        <f>VLOOKUP(Table5[[#This Row],[Shortname]], Comp[], 31, FALSE)</f>
        <v>0</v>
      </c>
    </row>
    <row r="566" spans="1:34" x14ac:dyDescent="0.3">
      <c r="A566" s="12" t="s">
        <v>5687</v>
      </c>
      <c r="B566">
        <v>588</v>
      </c>
      <c r="D566" s="12" t="s">
        <v>5688</v>
      </c>
      <c r="E566" s="12" t="s">
        <v>5689</v>
      </c>
      <c r="F566" s="12">
        <v>1167</v>
      </c>
      <c r="J566" s="14">
        <f>VLOOKUP(Table5[[#This Row],[Shortname]], Comp[], 7, FALSE)</f>
        <v>81</v>
      </c>
      <c r="K566">
        <f>VLOOKUP(Table5[[#This Row],[Shortname]], Comp[], 8, FALSE)</f>
        <v>0</v>
      </c>
      <c r="L566">
        <f>VLOOKUP(Table5[[#This Row],[Shortname]], Comp[], 9, FALSE)</f>
        <v>0</v>
      </c>
      <c r="M566">
        <f>VLOOKUP(Table5[[#This Row],[Shortname]], Comp[], 10, FALSE)</f>
        <v>0</v>
      </c>
      <c r="N566">
        <f>VLOOKUP(Table5[[#This Row],[Shortname]], Comp[], 11, FALSE)</f>
        <v>0</v>
      </c>
      <c r="O566">
        <f>VLOOKUP(Table5[[#This Row],[Shortname]], Comp[],12, FALSE)</f>
        <v>8</v>
      </c>
      <c r="P566">
        <f>VLOOKUP(Table5[[#This Row],[Shortname]], Comp[], 13, FALSE)</f>
        <v>0</v>
      </c>
      <c r="Q566">
        <f>VLOOKUP(Table5[[#This Row],[Shortname]], Comp[], 14, FALSE)</f>
        <v>0</v>
      </c>
      <c r="R566">
        <f>VLOOKUP(Table5[[#This Row],[Shortname]], Comp[], 15, FALSE)</f>
        <v>11</v>
      </c>
      <c r="S566">
        <f>VLOOKUP(Table5[[#This Row],[Shortname]], Comp[], 16, FALSE)</f>
        <v>0</v>
      </c>
      <c r="T566">
        <f>VLOOKUP(Table5[[#This Row],[Shortname]], Comp[], 17, FALSE)</f>
        <v>0</v>
      </c>
      <c r="U566">
        <f>VLOOKUP(Table5[[#This Row],[Shortname]], Comp[], 18, FALSE)</f>
        <v>0</v>
      </c>
      <c r="V566">
        <f>VLOOKUP(Table5[[#This Row],[Shortname]], Comp[], 19, FALSE)</f>
        <v>0</v>
      </c>
      <c r="W566">
        <f>VLOOKUP(Table5[[#This Row],[Shortname]], Comp[], 20, FALSE)</f>
        <v>0</v>
      </c>
      <c r="X566">
        <f>VLOOKUP(Table5[[#This Row],[Shortname]], Comp[], 21, FALSE)</f>
        <v>0</v>
      </c>
      <c r="Y566">
        <f>VLOOKUP(Table5[[#This Row],[Shortname]], Comp[], 22, FALSE)</f>
        <v>0</v>
      </c>
      <c r="Z566">
        <f>VLOOKUP(Table5[[#This Row],[Shortname]], Comp[], 23, FALSE)</f>
        <v>0</v>
      </c>
      <c r="AA566">
        <f>VLOOKUP(Table5[[#This Row],[Shortname]], Comp[], 24, FALSE)</f>
        <v>0</v>
      </c>
      <c r="AB566">
        <f>VLOOKUP(Table5[[#This Row],[Shortname]], Comp[], 25, FALSE)</f>
        <v>0</v>
      </c>
      <c r="AC566">
        <f>VLOOKUP(Table5[[#This Row],[Shortname]], Comp[], 26, FALSE)</f>
        <v>0</v>
      </c>
      <c r="AD566">
        <f>VLOOKUP(Table5[[#This Row],[Shortname]], Comp[], 27, FALSE)</f>
        <v>0</v>
      </c>
      <c r="AE566">
        <f>VLOOKUP(Table5[[#This Row],[Shortname]], Comp[], 28, FALSE)</f>
        <v>0</v>
      </c>
      <c r="AF566">
        <f>VLOOKUP(Table5[[#This Row],[Shortname]], Comp[], 29, FALSE)</f>
        <v>0</v>
      </c>
      <c r="AG566">
        <f>VLOOKUP(Table5[[#This Row],[Shortname]], Comp[], 30, FALSE)</f>
        <v>0</v>
      </c>
      <c r="AH566">
        <f>VLOOKUP(Table5[[#This Row],[Shortname]], Comp[], 31, FALSE)</f>
        <v>0</v>
      </c>
    </row>
    <row r="567" spans="1:34" x14ac:dyDescent="0.3">
      <c r="A567" s="12" t="s">
        <v>5692</v>
      </c>
      <c r="B567">
        <v>589</v>
      </c>
      <c r="D567" s="12" t="s">
        <v>5693</v>
      </c>
      <c r="E567" s="12" t="s">
        <v>5694</v>
      </c>
      <c r="F567" s="12">
        <v>1114</v>
      </c>
      <c r="J567" s="14">
        <f>VLOOKUP(Table5[[#This Row],[Shortname]], Comp[], 7, FALSE)</f>
        <v>76</v>
      </c>
      <c r="K567">
        <f>VLOOKUP(Table5[[#This Row],[Shortname]], Comp[], 8, FALSE)</f>
        <v>5</v>
      </c>
      <c r="L567">
        <f>VLOOKUP(Table5[[#This Row],[Shortname]], Comp[], 9, FALSE)</f>
        <v>0</v>
      </c>
      <c r="M567">
        <f>VLOOKUP(Table5[[#This Row],[Shortname]], Comp[], 10, FALSE)</f>
        <v>0</v>
      </c>
      <c r="N567">
        <f>VLOOKUP(Table5[[#This Row],[Shortname]], Comp[], 11, FALSE)</f>
        <v>0</v>
      </c>
      <c r="O567">
        <f>VLOOKUP(Table5[[#This Row],[Shortname]], Comp[],12, FALSE)</f>
        <v>8</v>
      </c>
      <c r="P567">
        <f>VLOOKUP(Table5[[#This Row],[Shortname]], Comp[], 13, FALSE)</f>
        <v>0</v>
      </c>
      <c r="Q567">
        <f>VLOOKUP(Table5[[#This Row],[Shortname]], Comp[], 14, FALSE)</f>
        <v>0</v>
      </c>
      <c r="R567">
        <f>VLOOKUP(Table5[[#This Row],[Shortname]], Comp[], 15, FALSE)</f>
        <v>11</v>
      </c>
      <c r="S567">
        <f>VLOOKUP(Table5[[#This Row],[Shortname]], Comp[], 16, FALSE)</f>
        <v>0</v>
      </c>
      <c r="T567">
        <f>VLOOKUP(Table5[[#This Row],[Shortname]], Comp[], 17, FALSE)</f>
        <v>0</v>
      </c>
      <c r="U567">
        <f>VLOOKUP(Table5[[#This Row],[Shortname]], Comp[], 18, FALSE)</f>
        <v>0</v>
      </c>
      <c r="V567">
        <f>VLOOKUP(Table5[[#This Row],[Shortname]], Comp[], 19, FALSE)</f>
        <v>0</v>
      </c>
      <c r="W567">
        <f>VLOOKUP(Table5[[#This Row],[Shortname]], Comp[], 20, FALSE)</f>
        <v>0</v>
      </c>
      <c r="X567">
        <f>VLOOKUP(Table5[[#This Row],[Shortname]], Comp[], 21, FALSE)</f>
        <v>0</v>
      </c>
      <c r="Y567">
        <f>VLOOKUP(Table5[[#This Row],[Shortname]], Comp[], 22, FALSE)</f>
        <v>0</v>
      </c>
      <c r="Z567">
        <f>VLOOKUP(Table5[[#This Row],[Shortname]], Comp[], 23, FALSE)</f>
        <v>0</v>
      </c>
      <c r="AA567">
        <f>VLOOKUP(Table5[[#This Row],[Shortname]], Comp[], 24, FALSE)</f>
        <v>0</v>
      </c>
      <c r="AB567">
        <f>VLOOKUP(Table5[[#This Row],[Shortname]], Comp[], 25, FALSE)</f>
        <v>0</v>
      </c>
      <c r="AC567">
        <f>VLOOKUP(Table5[[#This Row],[Shortname]], Comp[], 26, FALSE)</f>
        <v>0</v>
      </c>
      <c r="AD567">
        <f>VLOOKUP(Table5[[#This Row],[Shortname]], Comp[], 27, FALSE)</f>
        <v>0</v>
      </c>
      <c r="AE567">
        <f>VLOOKUP(Table5[[#This Row],[Shortname]], Comp[], 28, FALSE)</f>
        <v>0</v>
      </c>
      <c r="AF567">
        <f>VLOOKUP(Table5[[#This Row],[Shortname]], Comp[], 29, FALSE)</f>
        <v>0</v>
      </c>
      <c r="AG567">
        <f>VLOOKUP(Table5[[#This Row],[Shortname]], Comp[], 30, FALSE)</f>
        <v>0</v>
      </c>
      <c r="AH567">
        <f>VLOOKUP(Table5[[#This Row],[Shortname]], Comp[], 31, FALSE)</f>
        <v>0</v>
      </c>
    </row>
    <row r="568" spans="1:34" x14ac:dyDescent="0.3">
      <c r="A568" s="12" t="s">
        <v>5697</v>
      </c>
      <c r="B568">
        <v>590</v>
      </c>
      <c r="D568" s="12" t="s">
        <v>5698</v>
      </c>
      <c r="E568" s="12" t="s">
        <v>5699</v>
      </c>
      <c r="F568" s="12">
        <v>1108</v>
      </c>
      <c r="J568" s="14">
        <f>VLOOKUP(Table5[[#This Row],[Shortname]], Comp[], 7, FALSE)</f>
        <v>71</v>
      </c>
      <c r="K568">
        <f>VLOOKUP(Table5[[#This Row],[Shortname]], Comp[], 8, FALSE)</f>
        <v>10</v>
      </c>
      <c r="L568">
        <f>VLOOKUP(Table5[[#This Row],[Shortname]], Comp[], 9, FALSE)</f>
        <v>0</v>
      </c>
      <c r="M568">
        <f>VLOOKUP(Table5[[#This Row],[Shortname]], Comp[], 10, FALSE)</f>
        <v>0</v>
      </c>
      <c r="N568">
        <f>VLOOKUP(Table5[[#This Row],[Shortname]], Comp[], 11, FALSE)</f>
        <v>0</v>
      </c>
      <c r="O568">
        <f>VLOOKUP(Table5[[#This Row],[Shortname]], Comp[],12, FALSE)</f>
        <v>8</v>
      </c>
      <c r="P568">
        <f>VLOOKUP(Table5[[#This Row],[Shortname]], Comp[], 13, FALSE)</f>
        <v>0</v>
      </c>
      <c r="Q568">
        <f>VLOOKUP(Table5[[#This Row],[Shortname]], Comp[], 14, FALSE)</f>
        <v>0</v>
      </c>
      <c r="R568">
        <f>VLOOKUP(Table5[[#This Row],[Shortname]], Comp[], 15, FALSE)</f>
        <v>11</v>
      </c>
      <c r="S568">
        <f>VLOOKUP(Table5[[#This Row],[Shortname]], Comp[], 16, FALSE)</f>
        <v>0</v>
      </c>
      <c r="T568">
        <f>VLOOKUP(Table5[[#This Row],[Shortname]], Comp[], 17, FALSE)</f>
        <v>0</v>
      </c>
      <c r="U568">
        <f>VLOOKUP(Table5[[#This Row],[Shortname]], Comp[], 18, FALSE)</f>
        <v>0</v>
      </c>
      <c r="V568">
        <f>VLOOKUP(Table5[[#This Row],[Shortname]], Comp[], 19, FALSE)</f>
        <v>0</v>
      </c>
      <c r="W568">
        <f>VLOOKUP(Table5[[#This Row],[Shortname]], Comp[], 20, FALSE)</f>
        <v>0</v>
      </c>
      <c r="X568">
        <f>VLOOKUP(Table5[[#This Row],[Shortname]], Comp[], 21, FALSE)</f>
        <v>0</v>
      </c>
      <c r="Y568">
        <f>VLOOKUP(Table5[[#This Row],[Shortname]], Comp[], 22, FALSE)</f>
        <v>0</v>
      </c>
      <c r="Z568">
        <f>VLOOKUP(Table5[[#This Row],[Shortname]], Comp[], 23, FALSE)</f>
        <v>0</v>
      </c>
      <c r="AA568">
        <f>VLOOKUP(Table5[[#This Row],[Shortname]], Comp[], 24, FALSE)</f>
        <v>0</v>
      </c>
      <c r="AB568">
        <f>VLOOKUP(Table5[[#This Row],[Shortname]], Comp[], 25, FALSE)</f>
        <v>0</v>
      </c>
      <c r="AC568">
        <f>VLOOKUP(Table5[[#This Row],[Shortname]], Comp[], 26, FALSE)</f>
        <v>0</v>
      </c>
      <c r="AD568">
        <f>VLOOKUP(Table5[[#This Row],[Shortname]], Comp[], 27, FALSE)</f>
        <v>0</v>
      </c>
      <c r="AE568">
        <f>VLOOKUP(Table5[[#This Row],[Shortname]], Comp[], 28, FALSE)</f>
        <v>0</v>
      </c>
      <c r="AF568">
        <f>VLOOKUP(Table5[[#This Row],[Shortname]], Comp[], 29, FALSE)</f>
        <v>0</v>
      </c>
      <c r="AG568">
        <f>VLOOKUP(Table5[[#This Row],[Shortname]], Comp[], 30, FALSE)</f>
        <v>0</v>
      </c>
      <c r="AH568">
        <f>VLOOKUP(Table5[[#This Row],[Shortname]], Comp[], 31, FALSE)</f>
        <v>0</v>
      </c>
    </row>
    <row r="569" spans="1:34" x14ac:dyDescent="0.3">
      <c r="A569" s="12" t="s">
        <v>5701</v>
      </c>
      <c r="B569">
        <v>591</v>
      </c>
      <c r="D569" s="12" t="s">
        <v>2120</v>
      </c>
      <c r="E569" s="12" t="s">
        <v>5702</v>
      </c>
      <c r="F569" s="12">
        <v>1090</v>
      </c>
      <c r="J569" s="14">
        <f>VLOOKUP(Table5[[#This Row],[Shortname]], Comp[], 7, FALSE)</f>
        <v>40.800000000000004</v>
      </c>
      <c r="K569">
        <f>VLOOKUP(Table5[[#This Row],[Shortname]], Comp[], 8, FALSE)</f>
        <v>29.8</v>
      </c>
      <c r="L569">
        <f>VLOOKUP(Table5[[#This Row],[Shortname]], Comp[], 9, FALSE)</f>
        <v>7.8</v>
      </c>
      <c r="M569">
        <f>VLOOKUP(Table5[[#This Row],[Shortname]], Comp[], 10, FALSE)</f>
        <v>14.4</v>
      </c>
      <c r="N569">
        <f>VLOOKUP(Table5[[#This Row],[Shortname]], Comp[], 11, FALSE)</f>
        <v>2</v>
      </c>
      <c r="O569">
        <f>VLOOKUP(Table5[[#This Row],[Shortname]], Comp[],12, FALSE)</f>
        <v>4.3</v>
      </c>
      <c r="P569">
        <f>VLOOKUP(Table5[[#This Row],[Shortname]], Comp[], 13, FALSE)</f>
        <v>0.9</v>
      </c>
      <c r="Q569">
        <f>VLOOKUP(Table5[[#This Row],[Shortname]], Comp[], 14, FALSE)</f>
        <v>0</v>
      </c>
      <c r="R569">
        <f>VLOOKUP(Table5[[#This Row],[Shortname]], Comp[], 15, FALSE)</f>
        <v>0</v>
      </c>
      <c r="S569">
        <f>VLOOKUP(Table5[[#This Row],[Shortname]], Comp[], 16, FALSE)</f>
        <v>0</v>
      </c>
      <c r="T569">
        <f>VLOOKUP(Table5[[#This Row],[Shortname]], Comp[], 17, FALSE)</f>
        <v>0</v>
      </c>
      <c r="U569">
        <f>VLOOKUP(Table5[[#This Row],[Shortname]], Comp[], 18, FALSE)</f>
        <v>0</v>
      </c>
      <c r="V569">
        <f>VLOOKUP(Table5[[#This Row],[Shortname]], Comp[], 19, FALSE)</f>
        <v>0</v>
      </c>
      <c r="W569">
        <f>VLOOKUP(Table5[[#This Row],[Shortname]], Comp[], 20, FALSE)</f>
        <v>0</v>
      </c>
      <c r="X569">
        <f>VLOOKUP(Table5[[#This Row],[Shortname]], Comp[], 21, FALSE)</f>
        <v>0</v>
      </c>
      <c r="Y569">
        <f>VLOOKUP(Table5[[#This Row],[Shortname]], Comp[], 22, FALSE)</f>
        <v>0</v>
      </c>
      <c r="Z569">
        <f>VLOOKUP(Table5[[#This Row],[Shortname]], Comp[], 23, FALSE)</f>
        <v>0</v>
      </c>
      <c r="AA569">
        <f>VLOOKUP(Table5[[#This Row],[Shortname]], Comp[], 24, FALSE)</f>
        <v>0</v>
      </c>
      <c r="AB569">
        <f>VLOOKUP(Table5[[#This Row],[Shortname]], Comp[], 25, FALSE)</f>
        <v>0</v>
      </c>
      <c r="AC569">
        <f>VLOOKUP(Table5[[#This Row],[Shortname]], Comp[], 26, FALSE)</f>
        <v>0</v>
      </c>
      <c r="AD569">
        <f>VLOOKUP(Table5[[#This Row],[Shortname]], Comp[], 27, FALSE)</f>
        <v>0</v>
      </c>
      <c r="AE569">
        <f>VLOOKUP(Table5[[#This Row],[Shortname]], Comp[], 28, FALSE)</f>
        <v>0</v>
      </c>
      <c r="AF569">
        <f>VLOOKUP(Table5[[#This Row],[Shortname]], Comp[], 29, FALSE)</f>
        <v>0</v>
      </c>
      <c r="AG569">
        <f>VLOOKUP(Table5[[#This Row],[Shortname]], Comp[], 30, FALSE)</f>
        <v>0</v>
      </c>
      <c r="AH569">
        <f>VLOOKUP(Table5[[#This Row],[Shortname]], Comp[], 31, FALSE)</f>
        <v>0</v>
      </c>
    </row>
    <row r="570" spans="1:34" x14ac:dyDescent="0.3">
      <c r="A570" s="12" t="s">
        <v>5705</v>
      </c>
      <c r="B570">
        <v>592</v>
      </c>
      <c r="D570" s="13" t="s">
        <v>5706</v>
      </c>
      <c r="E570" s="12" t="s">
        <v>5707</v>
      </c>
      <c r="F570" s="12">
        <v>1100</v>
      </c>
      <c r="J570" s="14">
        <f>VLOOKUP(Table5[[#This Row],[Shortname]], Comp[], 7, FALSE)</f>
        <v>39.800000000000004</v>
      </c>
      <c r="K570">
        <f>VLOOKUP(Table5[[#This Row],[Shortname]], Comp[], 8, FALSE)</f>
        <v>29.8</v>
      </c>
      <c r="L570">
        <f>VLOOKUP(Table5[[#This Row],[Shortname]], Comp[], 9, FALSE)</f>
        <v>8</v>
      </c>
      <c r="M570">
        <f>VLOOKUP(Table5[[#This Row],[Shortname]], Comp[], 10, FALSE)</f>
        <v>14.3</v>
      </c>
      <c r="N570">
        <f>VLOOKUP(Table5[[#This Row],[Shortname]], Comp[], 11, FALSE)</f>
        <v>2.9</v>
      </c>
      <c r="O570">
        <f>VLOOKUP(Table5[[#This Row],[Shortname]], Comp[],12, FALSE)</f>
        <v>4.2</v>
      </c>
      <c r="P570">
        <f>VLOOKUP(Table5[[#This Row],[Shortname]], Comp[], 13, FALSE)</f>
        <v>1</v>
      </c>
      <c r="Q570">
        <f>VLOOKUP(Table5[[#This Row],[Shortname]], Comp[], 14, FALSE)</f>
        <v>0</v>
      </c>
      <c r="R570">
        <f>VLOOKUP(Table5[[#This Row],[Shortname]], Comp[], 15, FALSE)</f>
        <v>0</v>
      </c>
      <c r="S570">
        <f>VLOOKUP(Table5[[#This Row],[Shortname]], Comp[], 16, FALSE)</f>
        <v>0</v>
      </c>
      <c r="T570">
        <f>VLOOKUP(Table5[[#This Row],[Shortname]], Comp[], 17, FALSE)</f>
        <v>0</v>
      </c>
      <c r="U570">
        <f>VLOOKUP(Table5[[#This Row],[Shortname]], Comp[], 18, FALSE)</f>
        <v>0</v>
      </c>
      <c r="V570">
        <f>VLOOKUP(Table5[[#This Row],[Shortname]], Comp[], 19, FALSE)</f>
        <v>0</v>
      </c>
      <c r="W570">
        <f>VLOOKUP(Table5[[#This Row],[Shortname]], Comp[], 20, FALSE)</f>
        <v>0</v>
      </c>
      <c r="X570">
        <f>VLOOKUP(Table5[[#This Row],[Shortname]], Comp[], 21, FALSE)</f>
        <v>0</v>
      </c>
      <c r="Y570">
        <f>VLOOKUP(Table5[[#This Row],[Shortname]], Comp[], 22, FALSE)</f>
        <v>0</v>
      </c>
      <c r="Z570">
        <f>VLOOKUP(Table5[[#This Row],[Shortname]], Comp[], 23, FALSE)</f>
        <v>0</v>
      </c>
      <c r="AA570">
        <f>VLOOKUP(Table5[[#This Row],[Shortname]], Comp[], 24, FALSE)</f>
        <v>0</v>
      </c>
      <c r="AB570">
        <f>VLOOKUP(Table5[[#This Row],[Shortname]], Comp[], 25, FALSE)</f>
        <v>0</v>
      </c>
      <c r="AC570">
        <f>VLOOKUP(Table5[[#This Row],[Shortname]], Comp[], 26, FALSE)</f>
        <v>0</v>
      </c>
      <c r="AD570">
        <f>VLOOKUP(Table5[[#This Row],[Shortname]], Comp[], 27, FALSE)</f>
        <v>0</v>
      </c>
      <c r="AE570">
        <f>VLOOKUP(Table5[[#This Row],[Shortname]], Comp[], 28, FALSE)</f>
        <v>0</v>
      </c>
      <c r="AF570">
        <f>VLOOKUP(Table5[[#This Row],[Shortname]], Comp[], 29, FALSE)</f>
        <v>0</v>
      </c>
      <c r="AG570">
        <f>VLOOKUP(Table5[[#This Row],[Shortname]], Comp[], 30, FALSE)</f>
        <v>0</v>
      </c>
      <c r="AH570">
        <f>VLOOKUP(Table5[[#This Row],[Shortname]], Comp[], 31, FALSE)</f>
        <v>0</v>
      </c>
    </row>
    <row r="571" spans="1:34" x14ac:dyDescent="0.3">
      <c r="A571" s="12" t="s">
        <v>5711</v>
      </c>
      <c r="B571">
        <v>593</v>
      </c>
      <c r="D571" s="13" t="s">
        <v>5712</v>
      </c>
      <c r="E571" s="12" t="s">
        <v>5713</v>
      </c>
      <c r="F571" s="12">
        <v>1081</v>
      </c>
      <c r="J571" s="14">
        <f>VLOOKUP(Table5[[#This Row],[Shortname]], Comp[], 7, FALSE)</f>
        <v>39.899999999999991</v>
      </c>
      <c r="K571">
        <f>VLOOKUP(Table5[[#This Row],[Shortname]], Comp[], 8, FALSE)</f>
        <v>29.8</v>
      </c>
      <c r="L571">
        <f>VLOOKUP(Table5[[#This Row],[Shortname]], Comp[], 9, FALSE)</f>
        <v>7.9</v>
      </c>
      <c r="M571">
        <f>VLOOKUP(Table5[[#This Row],[Shortname]], Comp[], 10, FALSE)</f>
        <v>14.2</v>
      </c>
      <c r="N571">
        <f>VLOOKUP(Table5[[#This Row],[Shortname]], Comp[], 11, FALSE)</f>
        <v>2</v>
      </c>
      <c r="O571">
        <f>VLOOKUP(Table5[[#This Row],[Shortname]], Comp[],12, FALSE)</f>
        <v>4.2</v>
      </c>
      <c r="P571">
        <f>VLOOKUP(Table5[[#This Row],[Shortname]], Comp[], 13, FALSE)</f>
        <v>1</v>
      </c>
      <c r="Q571">
        <f>VLOOKUP(Table5[[#This Row],[Shortname]], Comp[], 14, FALSE)</f>
        <v>0</v>
      </c>
      <c r="R571">
        <f>VLOOKUP(Table5[[#This Row],[Shortname]], Comp[], 15, FALSE)</f>
        <v>0</v>
      </c>
      <c r="S571">
        <f>VLOOKUP(Table5[[#This Row],[Shortname]], Comp[], 16, FALSE)</f>
        <v>1</v>
      </c>
      <c r="T571">
        <f>VLOOKUP(Table5[[#This Row],[Shortname]], Comp[], 17, FALSE)</f>
        <v>0</v>
      </c>
      <c r="U571">
        <f>VLOOKUP(Table5[[#This Row],[Shortname]], Comp[], 18, FALSE)</f>
        <v>0</v>
      </c>
      <c r="V571">
        <f>VLOOKUP(Table5[[#This Row],[Shortname]], Comp[], 19, FALSE)</f>
        <v>0</v>
      </c>
      <c r="W571">
        <f>VLOOKUP(Table5[[#This Row],[Shortname]], Comp[], 20, FALSE)</f>
        <v>0</v>
      </c>
      <c r="X571">
        <f>VLOOKUP(Table5[[#This Row],[Shortname]], Comp[], 21, FALSE)</f>
        <v>0</v>
      </c>
      <c r="Y571">
        <f>VLOOKUP(Table5[[#This Row],[Shortname]], Comp[], 22, FALSE)</f>
        <v>0</v>
      </c>
      <c r="Z571">
        <f>VLOOKUP(Table5[[#This Row],[Shortname]], Comp[], 23, FALSE)</f>
        <v>0</v>
      </c>
      <c r="AA571">
        <f>VLOOKUP(Table5[[#This Row],[Shortname]], Comp[], 24, FALSE)</f>
        <v>0</v>
      </c>
      <c r="AB571">
        <f>VLOOKUP(Table5[[#This Row],[Shortname]], Comp[], 25, FALSE)</f>
        <v>0</v>
      </c>
      <c r="AC571">
        <f>VLOOKUP(Table5[[#This Row],[Shortname]], Comp[], 26, FALSE)</f>
        <v>0</v>
      </c>
      <c r="AD571">
        <f>VLOOKUP(Table5[[#This Row],[Shortname]], Comp[], 27, FALSE)</f>
        <v>0</v>
      </c>
      <c r="AE571">
        <f>VLOOKUP(Table5[[#This Row],[Shortname]], Comp[], 28, FALSE)</f>
        <v>0</v>
      </c>
      <c r="AF571">
        <f>VLOOKUP(Table5[[#This Row],[Shortname]], Comp[], 29, FALSE)</f>
        <v>0</v>
      </c>
      <c r="AG571">
        <f>VLOOKUP(Table5[[#This Row],[Shortname]], Comp[], 30, FALSE)</f>
        <v>0</v>
      </c>
      <c r="AH571">
        <f>VLOOKUP(Table5[[#This Row],[Shortname]], Comp[], 31, FALSE)</f>
        <v>0</v>
      </c>
    </row>
    <row r="572" spans="1:34" x14ac:dyDescent="0.3">
      <c r="A572" s="12" t="s">
        <v>5716</v>
      </c>
      <c r="B572">
        <v>594</v>
      </c>
      <c r="D572" s="13" t="s">
        <v>5717</v>
      </c>
      <c r="E572" s="12" t="s">
        <v>5718</v>
      </c>
      <c r="F572" s="12">
        <v>1114</v>
      </c>
      <c r="J572" s="14">
        <f>VLOOKUP(Table5[[#This Row],[Shortname]], Comp[], 7, FALSE)</f>
        <v>39.70000000000001</v>
      </c>
      <c r="K572">
        <f>VLOOKUP(Table5[[#This Row],[Shortname]], Comp[], 8, FALSE)</f>
        <v>30</v>
      </c>
      <c r="L572">
        <f>VLOOKUP(Table5[[#This Row],[Shortname]], Comp[], 9, FALSE)</f>
        <v>7.8</v>
      </c>
      <c r="M572">
        <f>VLOOKUP(Table5[[#This Row],[Shortname]], Comp[], 10, FALSE)</f>
        <v>14.3</v>
      </c>
      <c r="N572">
        <f>VLOOKUP(Table5[[#This Row],[Shortname]], Comp[], 11, FALSE)</f>
        <v>2</v>
      </c>
      <c r="O572">
        <f>VLOOKUP(Table5[[#This Row],[Shortname]], Comp[],12, FALSE)</f>
        <v>5.3</v>
      </c>
      <c r="P572">
        <f>VLOOKUP(Table5[[#This Row],[Shortname]], Comp[], 13, FALSE)</f>
        <v>0.9</v>
      </c>
      <c r="Q572">
        <f>VLOOKUP(Table5[[#This Row],[Shortname]], Comp[], 14, FALSE)</f>
        <v>0</v>
      </c>
      <c r="R572">
        <f>VLOOKUP(Table5[[#This Row],[Shortname]], Comp[], 15, FALSE)</f>
        <v>0</v>
      </c>
      <c r="S572">
        <f>VLOOKUP(Table5[[#This Row],[Shortname]], Comp[], 16, FALSE)</f>
        <v>0</v>
      </c>
      <c r="T572">
        <f>VLOOKUP(Table5[[#This Row],[Shortname]], Comp[], 17, FALSE)</f>
        <v>0</v>
      </c>
      <c r="U572">
        <f>VLOOKUP(Table5[[#This Row],[Shortname]], Comp[], 18, FALSE)</f>
        <v>0</v>
      </c>
      <c r="V572">
        <f>VLOOKUP(Table5[[#This Row],[Shortname]], Comp[], 19, FALSE)</f>
        <v>0</v>
      </c>
      <c r="W572">
        <f>VLOOKUP(Table5[[#This Row],[Shortname]], Comp[], 20, FALSE)</f>
        <v>0</v>
      </c>
      <c r="X572">
        <f>VLOOKUP(Table5[[#This Row],[Shortname]], Comp[], 21, FALSE)</f>
        <v>0</v>
      </c>
      <c r="Y572">
        <f>VLOOKUP(Table5[[#This Row],[Shortname]], Comp[], 22, FALSE)</f>
        <v>0</v>
      </c>
      <c r="Z572">
        <f>VLOOKUP(Table5[[#This Row],[Shortname]], Comp[], 23, FALSE)</f>
        <v>0</v>
      </c>
      <c r="AA572">
        <f>VLOOKUP(Table5[[#This Row],[Shortname]], Comp[], 24, FALSE)</f>
        <v>0</v>
      </c>
      <c r="AB572">
        <f>VLOOKUP(Table5[[#This Row],[Shortname]], Comp[], 25, FALSE)</f>
        <v>0</v>
      </c>
      <c r="AC572">
        <f>VLOOKUP(Table5[[#This Row],[Shortname]], Comp[], 26, FALSE)</f>
        <v>0</v>
      </c>
      <c r="AD572">
        <f>VLOOKUP(Table5[[#This Row],[Shortname]], Comp[], 27, FALSE)</f>
        <v>0</v>
      </c>
      <c r="AE572">
        <f>VLOOKUP(Table5[[#This Row],[Shortname]], Comp[], 28, FALSE)</f>
        <v>0</v>
      </c>
      <c r="AF572">
        <f>VLOOKUP(Table5[[#This Row],[Shortname]], Comp[], 29, FALSE)</f>
        <v>0</v>
      </c>
      <c r="AG572">
        <f>VLOOKUP(Table5[[#This Row],[Shortname]], Comp[], 30, FALSE)</f>
        <v>0</v>
      </c>
      <c r="AH572">
        <f>VLOOKUP(Table5[[#This Row],[Shortname]], Comp[], 31, FALSE)</f>
        <v>0</v>
      </c>
    </row>
    <row r="573" spans="1:34" x14ac:dyDescent="0.3">
      <c r="A573" s="12" t="s">
        <v>5748</v>
      </c>
      <c r="B573">
        <v>595</v>
      </c>
      <c r="D573" s="12" t="s">
        <v>4928</v>
      </c>
      <c r="E573" s="12" t="s">
        <v>5749</v>
      </c>
      <c r="F573" s="12">
        <v>940</v>
      </c>
      <c r="G573" s="12">
        <v>1341</v>
      </c>
      <c r="H573" s="12" t="s">
        <v>6770</v>
      </c>
      <c r="J573" s="14">
        <f>VLOOKUP(Table5[[#This Row],[Shortname]], Comp[], 7, FALSE)</f>
        <v>56.9</v>
      </c>
      <c r="K573">
        <f>VLOOKUP(Table5[[#This Row],[Shortname]], Comp[], 8, FALSE)</f>
        <v>29.6</v>
      </c>
      <c r="L573">
        <f>VLOOKUP(Table5[[#This Row],[Shortname]], Comp[], 9, FALSE)</f>
        <v>10.5</v>
      </c>
      <c r="M573">
        <f>VLOOKUP(Table5[[#This Row],[Shortname]], Comp[], 10, FALSE)</f>
        <v>0</v>
      </c>
      <c r="N573">
        <f>VLOOKUP(Table5[[#This Row],[Shortname]], Comp[], 11, FALSE)</f>
        <v>0</v>
      </c>
      <c r="O573">
        <f>VLOOKUP(Table5[[#This Row],[Shortname]], Comp[],12, FALSE)</f>
        <v>0</v>
      </c>
      <c r="P573">
        <f>VLOOKUP(Table5[[#This Row],[Shortname]], Comp[], 13, FALSE)</f>
        <v>0</v>
      </c>
      <c r="Q573">
        <f>VLOOKUP(Table5[[#This Row],[Shortname]], Comp[], 14, FALSE)</f>
        <v>3</v>
      </c>
      <c r="R573">
        <f>VLOOKUP(Table5[[#This Row],[Shortname]], Comp[], 15, FALSE)</f>
        <v>0</v>
      </c>
      <c r="S573">
        <f>VLOOKUP(Table5[[#This Row],[Shortname]], Comp[], 16, FALSE)</f>
        <v>0</v>
      </c>
      <c r="T573">
        <f>VLOOKUP(Table5[[#This Row],[Shortname]], Comp[], 17, FALSE)</f>
        <v>0</v>
      </c>
      <c r="U573">
        <f>VLOOKUP(Table5[[#This Row],[Shortname]], Comp[], 18, FALSE)</f>
        <v>0</v>
      </c>
      <c r="V573">
        <f>VLOOKUP(Table5[[#This Row],[Shortname]], Comp[], 19, FALSE)</f>
        <v>0</v>
      </c>
      <c r="W573">
        <f>VLOOKUP(Table5[[#This Row],[Shortname]], Comp[], 20, FALSE)</f>
        <v>0</v>
      </c>
      <c r="X573">
        <f>VLOOKUP(Table5[[#This Row],[Shortname]], Comp[], 21, FALSE)</f>
        <v>0</v>
      </c>
      <c r="Y573">
        <f>VLOOKUP(Table5[[#This Row],[Shortname]], Comp[], 22, FALSE)</f>
        <v>0</v>
      </c>
      <c r="Z573">
        <f>VLOOKUP(Table5[[#This Row],[Shortname]], Comp[], 23, FALSE)</f>
        <v>0</v>
      </c>
      <c r="AA573">
        <f>VLOOKUP(Table5[[#This Row],[Shortname]], Comp[], 24, FALSE)</f>
        <v>0</v>
      </c>
      <c r="AB573">
        <f>VLOOKUP(Table5[[#This Row],[Shortname]], Comp[], 25, FALSE)</f>
        <v>0</v>
      </c>
      <c r="AC573">
        <f>VLOOKUP(Table5[[#This Row],[Shortname]], Comp[], 26, FALSE)</f>
        <v>0</v>
      </c>
      <c r="AD573">
        <f>VLOOKUP(Table5[[#This Row],[Shortname]], Comp[], 27, FALSE)</f>
        <v>0</v>
      </c>
      <c r="AE573">
        <f>VLOOKUP(Table5[[#This Row],[Shortname]], Comp[], 28, FALSE)</f>
        <v>0</v>
      </c>
      <c r="AF573">
        <f>VLOOKUP(Table5[[#This Row],[Shortname]], Comp[], 29, FALSE)</f>
        <v>0</v>
      </c>
      <c r="AG573">
        <f>VLOOKUP(Table5[[#This Row],[Shortname]], Comp[], 30, FALSE)</f>
        <v>0</v>
      </c>
      <c r="AH573">
        <f>VLOOKUP(Table5[[#This Row],[Shortname]], Comp[], 31, FALSE)</f>
        <v>0</v>
      </c>
    </row>
    <row r="574" spans="1:34" x14ac:dyDescent="0.3">
      <c r="A574" s="12" t="s">
        <v>5751</v>
      </c>
      <c r="B574">
        <v>596</v>
      </c>
      <c r="D574" s="12" t="s">
        <v>5752</v>
      </c>
      <c r="E574" s="12" t="s">
        <v>5753</v>
      </c>
      <c r="F574" s="12">
        <v>1042</v>
      </c>
      <c r="G574" s="12">
        <v>1306</v>
      </c>
      <c r="H574" s="12">
        <v>1388</v>
      </c>
      <c r="J574" s="14">
        <f>VLOOKUP(Table5[[#This Row],[Shortname]], Comp[], 7, FALSE)</f>
        <v>55.599999999999994</v>
      </c>
      <c r="K574">
        <f>VLOOKUP(Table5[[#This Row],[Shortname]], Comp[], 8, FALSE)</f>
        <v>28.9</v>
      </c>
      <c r="L574">
        <f>VLOOKUP(Table5[[#This Row],[Shortname]], Comp[], 9, FALSE)</f>
        <v>10.3</v>
      </c>
      <c r="M574">
        <f>VLOOKUP(Table5[[#This Row],[Shortname]], Comp[], 10, FALSE)</f>
        <v>0</v>
      </c>
      <c r="N574">
        <f>VLOOKUP(Table5[[#This Row],[Shortname]], Comp[], 11, FALSE)</f>
        <v>0</v>
      </c>
      <c r="O574">
        <f>VLOOKUP(Table5[[#This Row],[Shortname]], Comp[],12, FALSE)</f>
        <v>2.1</v>
      </c>
      <c r="P574">
        <f>VLOOKUP(Table5[[#This Row],[Shortname]], Comp[], 13, FALSE)</f>
        <v>0</v>
      </c>
      <c r="Q574">
        <f>VLOOKUP(Table5[[#This Row],[Shortname]], Comp[], 14, FALSE)</f>
        <v>3.1</v>
      </c>
      <c r="R574">
        <f>VLOOKUP(Table5[[#This Row],[Shortname]], Comp[], 15, FALSE)</f>
        <v>0</v>
      </c>
      <c r="S574">
        <f>VLOOKUP(Table5[[#This Row],[Shortname]], Comp[], 16, FALSE)</f>
        <v>0</v>
      </c>
      <c r="T574">
        <f>VLOOKUP(Table5[[#This Row],[Shortname]], Comp[], 17, FALSE)</f>
        <v>0</v>
      </c>
      <c r="U574">
        <f>VLOOKUP(Table5[[#This Row],[Shortname]], Comp[], 18, FALSE)</f>
        <v>0</v>
      </c>
      <c r="V574">
        <f>VLOOKUP(Table5[[#This Row],[Shortname]], Comp[], 19, FALSE)</f>
        <v>0</v>
      </c>
      <c r="W574">
        <f>VLOOKUP(Table5[[#This Row],[Shortname]], Comp[], 20, FALSE)</f>
        <v>0</v>
      </c>
      <c r="X574">
        <f>VLOOKUP(Table5[[#This Row],[Shortname]], Comp[], 21, FALSE)</f>
        <v>0</v>
      </c>
      <c r="Y574">
        <f>VLOOKUP(Table5[[#This Row],[Shortname]], Comp[], 22, FALSE)</f>
        <v>0</v>
      </c>
      <c r="Z574">
        <f>VLOOKUP(Table5[[#This Row],[Shortname]], Comp[], 23, FALSE)</f>
        <v>0</v>
      </c>
      <c r="AA574">
        <f>VLOOKUP(Table5[[#This Row],[Shortname]], Comp[], 24, FALSE)</f>
        <v>0</v>
      </c>
      <c r="AB574">
        <f>VLOOKUP(Table5[[#This Row],[Shortname]], Comp[], 25, FALSE)</f>
        <v>0</v>
      </c>
      <c r="AC574">
        <f>VLOOKUP(Table5[[#This Row],[Shortname]], Comp[], 26, FALSE)</f>
        <v>0</v>
      </c>
      <c r="AD574">
        <f>VLOOKUP(Table5[[#This Row],[Shortname]], Comp[], 27, FALSE)</f>
        <v>0</v>
      </c>
      <c r="AE574">
        <f>VLOOKUP(Table5[[#This Row],[Shortname]], Comp[], 28, FALSE)</f>
        <v>0</v>
      </c>
      <c r="AF574">
        <f>VLOOKUP(Table5[[#This Row],[Shortname]], Comp[], 29, FALSE)</f>
        <v>0</v>
      </c>
      <c r="AG574">
        <f>VLOOKUP(Table5[[#This Row],[Shortname]], Comp[], 30, FALSE)</f>
        <v>0</v>
      </c>
      <c r="AH574">
        <f>VLOOKUP(Table5[[#This Row],[Shortname]], Comp[], 31, FALSE)</f>
        <v>0</v>
      </c>
    </row>
    <row r="575" spans="1:34" x14ac:dyDescent="0.3">
      <c r="A575" s="12" t="s">
        <v>5756</v>
      </c>
      <c r="B575">
        <v>597</v>
      </c>
      <c r="D575" s="12" t="s">
        <v>2361</v>
      </c>
      <c r="E575" s="12" t="s">
        <v>5757</v>
      </c>
      <c r="F575" s="12">
        <v>1106</v>
      </c>
      <c r="G575" s="12">
        <v>1314</v>
      </c>
      <c r="H575" s="12">
        <v>1385</v>
      </c>
      <c r="J575" s="14">
        <f>VLOOKUP(Table5[[#This Row],[Shortname]], Comp[], 7, FALSE)</f>
        <v>55.499999999999993</v>
      </c>
      <c r="K575">
        <f>VLOOKUP(Table5[[#This Row],[Shortname]], Comp[], 8, FALSE)</f>
        <v>29</v>
      </c>
      <c r="L575">
        <f>VLOOKUP(Table5[[#This Row],[Shortname]], Comp[], 9, FALSE)</f>
        <v>10.1</v>
      </c>
      <c r="M575">
        <f>VLOOKUP(Table5[[#This Row],[Shortname]], Comp[], 10, FALSE)</f>
        <v>0</v>
      </c>
      <c r="N575">
        <f>VLOOKUP(Table5[[#This Row],[Shortname]], Comp[], 11, FALSE)</f>
        <v>0</v>
      </c>
      <c r="O575">
        <f>VLOOKUP(Table5[[#This Row],[Shortname]], Comp[],12, FALSE)</f>
        <v>0</v>
      </c>
      <c r="P575">
        <f>VLOOKUP(Table5[[#This Row],[Shortname]], Comp[], 13, FALSE)</f>
        <v>2.2000000000000002</v>
      </c>
      <c r="Q575">
        <f>VLOOKUP(Table5[[#This Row],[Shortname]], Comp[], 14, FALSE)</f>
        <v>3.2</v>
      </c>
      <c r="R575">
        <f>VLOOKUP(Table5[[#This Row],[Shortname]], Comp[], 15, FALSE)</f>
        <v>0</v>
      </c>
      <c r="S575">
        <f>VLOOKUP(Table5[[#This Row],[Shortname]], Comp[], 16, FALSE)</f>
        <v>0</v>
      </c>
      <c r="T575">
        <f>VLOOKUP(Table5[[#This Row],[Shortname]], Comp[], 17, FALSE)</f>
        <v>0</v>
      </c>
      <c r="U575">
        <f>VLOOKUP(Table5[[#This Row],[Shortname]], Comp[], 18, FALSE)</f>
        <v>0</v>
      </c>
      <c r="V575">
        <f>VLOOKUP(Table5[[#This Row],[Shortname]], Comp[], 19, FALSE)</f>
        <v>0</v>
      </c>
      <c r="W575">
        <f>VLOOKUP(Table5[[#This Row],[Shortname]], Comp[], 20, FALSE)</f>
        <v>0</v>
      </c>
      <c r="X575">
        <f>VLOOKUP(Table5[[#This Row],[Shortname]], Comp[], 21, FALSE)</f>
        <v>0</v>
      </c>
      <c r="Y575">
        <f>VLOOKUP(Table5[[#This Row],[Shortname]], Comp[], 22, FALSE)</f>
        <v>0</v>
      </c>
      <c r="Z575">
        <f>VLOOKUP(Table5[[#This Row],[Shortname]], Comp[], 23, FALSE)</f>
        <v>0</v>
      </c>
      <c r="AA575">
        <f>VLOOKUP(Table5[[#This Row],[Shortname]], Comp[], 24, FALSE)</f>
        <v>0</v>
      </c>
      <c r="AB575">
        <f>VLOOKUP(Table5[[#This Row],[Shortname]], Comp[], 25, FALSE)</f>
        <v>0</v>
      </c>
      <c r="AC575">
        <f>VLOOKUP(Table5[[#This Row],[Shortname]], Comp[], 26, FALSE)</f>
        <v>0</v>
      </c>
      <c r="AD575">
        <f>VLOOKUP(Table5[[#This Row],[Shortname]], Comp[], 27, FALSE)</f>
        <v>0</v>
      </c>
      <c r="AE575">
        <f>VLOOKUP(Table5[[#This Row],[Shortname]], Comp[], 28, FALSE)</f>
        <v>0</v>
      </c>
      <c r="AF575">
        <f>VLOOKUP(Table5[[#This Row],[Shortname]], Comp[], 29, FALSE)</f>
        <v>0</v>
      </c>
      <c r="AG575">
        <f>VLOOKUP(Table5[[#This Row],[Shortname]], Comp[], 30, FALSE)</f>
        <v>0</v>
      </c>
      <c r="AH575">
        <f>VLOOKUP(Table5[[#This Row],[Shortname]], Comp[], 31, FALSE)</f>
        <v>0</v>
      </c>
    </row>
    <row r="576" spans="1:34" x14ac:dyDescent="0.3">
      <c r="A576" s="12" t="s">
        <v>5761</v>
      </c>
      <c r="B576">
        <v>598</v>
      </c>
      <c r="D576" s="12" t="s">
        <v>5762</v>
      </c>
      <c r="E576" s="12" t="s">
        <v>5763</v>
      </c>
      <c r="F576" s="12">
        <v>1150</v>
      </c>
      <c r="G576" s="12">
        <v>1280</v>
      </c>
      <c r="H576" s="12">
        <v>1356</v>
      </c>
      <c r="J576" s="14">
        <f>VLOOKUP(Table5[[#This Row],[Shortname]], Comp[], 7, FALSE)</f>
        <v>53.599999999999994</v>
      </c>
      <c r="K576">
        <f>VLOOKUP(Table5[[#This Row],[Shortname]], Comp[], 8, FALSE)</f>
        <v>29.2</v>
      </c>
      <c r="L576">
        <f>VLOOKUP(Table5[[#This Row],[Shortname]], Comp[], 9, FALSE)</f>
        <v>9.8000000000000007</v>
      </c>
      <c r="M576">
        <f>VLOOKUP(Table5[[#This Row],[Shortname]], Comp[], 10, FALSE)</f>
        <v>0</v>
      </c>
      <c r="N576">
        <f>VLOOKUP(Table5[[#This Row],[Shortname]], Comp[], 11, FALSE)</f>
        <v>0</v>
      </c>
      <c r="O576">
        <f>VLOOKUP(Table5[[#This Row],[Shortname]], Comp[],12, FALSE)</f>
        <v>2.2000000000000002</v>
      </c>
      <c r="P576">
        <f>VLOOKUP(Table5[[#This Row],[Shortname]], Comp[], 13, FALSE)</f>
        <v>2</v>
      </c>
      <c r="Q576">
        <f>VLOOKUP(Table5[[#This Row],[Shortname]], Comp[], 14, FALSE)</f>
        <v>3.2</v>
      </c>
      <c r="R576">
        <f>VLOOKUP(Table5[[#This Row],[Shortname]], Comp[], 15, FALSE)</f>
        <v>0</v>
      </c>
      <c r="S576">
        <f>VLOOKUP(Table5[[#This Row],[Shortname]], Comp[], 16, FALSE)</f>
        <v>0</v>
      </c>
      <c r="T576">
        <f>VLOOKUP(Table5[[#This Row],[Shortname]], Comp[], 17, FALSE)</f>
        <v>0</v>
      </c>
      <c r="U576">
        <f>VLOOKUP(Table5[[#This Row],[Shortname]], Comp[], 18, FALSE)</f>
        <v>0</v>
      </c>
      <c r="V576">
        <f>VLOOKUP(Table5[[#This Row],[Shortname]], Comp[], 19, FALSE)</f>
        <v>0</v>
      </c>
      <c r="W576">
        <f>VLOOKUP(Table5[[#This Row],[Shortname]], Comp[], 20, FALSE)</f>
        <v>0</v>
      </c>
      <c r="X576">
        <f>VLOOKUP(Table5[[#This Row],[Shortname]], Comp[], 21, FALSE)</f>
        <v>0</v>
      </c>
      <c r="Y576">
        <f>VLOOKUP(Table5[[#This Row],[Shortname]], Comp[], 22, FALSE)</f>
        <v>0</v>
      </c>
      <c r="Z576">
        <f>VLOOKUP(Table5[[#This Row],[Shortname]], Comp[], 23, FALSE)</f>
        <v>0</v>
      </c>
      <c r="AA576">
        <f>VLOOKUP(Table5[[#This Row],[Shortname]], Comp[], 24, FALSE)</f>
        <v>0</v>
      </c>
      <c r="AB576">
        <f>VLOOKUP(Table5[[#This Row],[Shortname]], Comp[], 25, FALSE)</f>
        <v>0</v>
      </c>
      <c r="AC576">
        <f>VLOOKUP(Table5[[#This Row],[Shortname]], Comp[], 26, FALSE)</f>
        <v>0</v>
      </c>
      <c r="AD576">
        <f>VLOOKUP(Table5[[#This Row],[Shortname]], Comp[], 27, FALSE)</f>
        <v>0</v>
      </c>
      <c r="AE576">
        <f>VLOOKUP(Table5[[#This Row],[Shortname]], Comp[], 28, FALSE)</f>
        <v>0</v>
      </c>
      <c r="AF576">
        <f>VLOOKUP(Table5[[#This Row],[Shortname]], Comp[], 29, FALSE)</f>
        <v>0</v>
      </c>
      <c r="AG576">
        <f>VLOOKUP(Table5[[#This Row],[Shortname]], Comp[], 30, FALSE)</f>
        <v>0</v>
      </c>
      <c r="AH576">
        <f>VLOOKUP(Table5[[#This Row],[Shortname]], Comp[], 31, FALSE)</f>
        <v>0</v>
      </c>
    </row>
    <row r="577" spans="1:34" x14ac:dyDescent="0.3">
      <c r="A577" s="12" t="s">
        <v>5775</v>
      </c>
      <c r="B577">
        <v>599</v>
      </c>
      <c r="D577" s="12" t="s">
        <v>4948</v>
      </c>
      <c r="E577" s="12" t="s">
        <v>5776</v>
      </c>
      <c r="F577" s="12">
        <v>995</v>
      </c>
      <c r="J577" s="14">
        <f>VLOOKUP(Table5[[#This Row],[Shortname]], Comp[], 7, FALSE)</f>
        <v>69.3</v>
      </c>
      <c r="K577">
        <f>VLOOKUP(Table5[[#This Row],[Shortname]], Comp[], 8, FALSE)</f>
        <v>7.7</v>
      </c>
      <c r="L577">
        <f>VLOOKUP(Table5[[#This Row],[Shortname]], Comp[], 9, FALSE)</f>
        <v>12</v>
      </c>
      <c r="M577">
        <f>VLOOKUP(Table5[[#This Row],[Shortname]], Comp[], 10, FALSE)</f>
        <v>0</v>
      </c>
      <c r="N577">
        <f>VLOOKUP(Table5[[#This Row],[Shortname]], Comp[], 11, FALSE)</f>
        <v>11</v>
      </c>
      <c r="O577">
        <f>VLOOKUP(Table5[[#This Row],[Shortname]], Comp[],12, FALSE)</f>
        <v>0</v>
      </c>
      <c r="P577">
        <f>VLOOKUP(Table5[[#This Row],[Shortname]], Comp[], 13, FALSE)</f>
        <v>0</v>
      </c>
      <c r="Q577">
        <f>VLOOKUP(Table5[[#This Row],[Shortname]], Comp[], 14, FALSE)</f>
        <v>0</v>
      </c>
      <c r="R577">
        <f>VLOOKUP(Table5[[#This Row],[Shortname]], Comp[], 15, FALSE)</f>
        <v>0</v>
      </c>
      <c r="S577">
        <f>VLOOKUP(Table5[[#This Row],[Shortname]], Comp[], 16, FALSE)</f>
        <v>0</v>
      </c>
      <c r="T577">
        <f>VLOOKUP(Table5[[#This Row],[Shortname]], Comp[], 17, FALSE)</f>
        <v>0</v>
      </c>
      <c r="U577">
        <f>VLOOKUP(Table5[[#This Row],[Shortname]], Comp[], 18, FALSE)</f>
        <v>0</v>
      </c>
      <c r="V577">
        <f>VLOOKUP(Table5[[#This Row],[Shortname]], Comp[], 19, FALSE)</f>
        <v>0</v>
      </c>
      <c r="W577">
        <f>VLOOKUP(Table5[[#This Row],[Shortname]], Comp[], 20, FALSE)</f>
        <v>0</v>
      </c>
      <c r="X577">
        <f>VLOOKUP(Table5[[#This Row],[Shortname]], Comp[], 21, FALSE)</f>
        <v>0</v>
      </c>
      <c r="Y577">
        <f>VLOOKUP(Table5[[#This Row],[Shortname]], Comp[], 22, FALSE)</f>
        <v>0</v>
      </c>
      <c r="Z577">
        <f>VLOOKUP(Table5[[#This Row],[Shortname]], Comp[], 23, FALSE)</f>
        <v>0</v>
      </c>
      <c r="AA577">
        <f>VLOOKUP(Table5[[#This Row],[Shortname]], Comp[], 24, FALSE)</f>
        <v>0</v>
      </c>
      <c r="AB577">
        <f>VLOOKUP(Table5[[#This Row],[Shortname]], Comp[], 25, FALSE)</f>
        <v>0</v>
      </c>
      <c r="AC577">
        <f>VLOOKUP(Table5[[#This Row],[Shortname]], Comp[], 26, FALSE)</f>
        <v>0</v>
      </c>
      <c r="AD577">
        <f>VLOOKUP(Table5[[#This Row],[Shortname]], Comp[], 27, FALSE)</f>
        <v>0</v>
      </c>
      <c r="AE577">
        <f>VLOOKUP(Table5[[#This Row],[Shortname]], Comp[], 28, FALSE)</f>
        <v>0</v>
      </c>
      <c r="AF577">
        <f>VLOOKUP(Table5[[#This Row],[Shortname]], Comp[], 29, FALSE)</f>
        <v>0</v>
      </c>
      <c r="AG577">
        <f>VLOOKUP(Table5[[#This Row],[Shortname]], Comp[], 30, FALSE)</f>
        <v>0</v>
      </c>
      <c r="AH577">
        <f>VLOOKUP(Table5[[#This Row],[Shortname]], Comp[], 31, FALSE)</f>
        <v>0</v>
      </c>
    </row>
    <row r="578" spans="1:34" x14ac:dyDescent="0.3">
      <c r="A578" s="12" t="s">
        <v>5779</v>
      </c>
      <c r="B578">
        <v>600</v>
      </c>
      <c r="D578" s="12" t="s">
        <v>4849</v>
      </c>
      <c r="E578" s="12" t="s">
        <v>5780</v>
      </c>
      <c r="F578" s="12">
        <v>1022</v>
      </c>
      <c r="J578" s="14">
        <f>VLOOKUP(Table5[[#This Row],[Shortname]], Comp[], 7, FALSE)</f>
        <v>61.6</v>
      </c>
      <c r="K578">
        <f>VLOOKUP(Table5[[#This Row],[Shortname]], Comp[], 8, FALSE)</f>
        <v>15.4</v>
      </c>
      <c r="L578">
        <f>VLOOKUP(Table5[[#This Row],[Shortname]], Comp[], 9, FALSE)</f>
        <v>12</v>
      </c>
      <c r="M578">
        <f>VLOOKUP(Table5[[#This Row],[Shortname]], Comp[], 10, FALSE)</f>
        <v>0</v>
      </c>
      <c r="N578">
        <f>VLOOKUP(Table5[[#This Row],[Shortname]], Comp[], 11, FALSE)</f>
        <v>11</v>
      </c>
      <c r="O578">
        <f>VLOOKUP(Table5[[#This Row],[Shortname]], Comp[],12, FALSE)</f>
        <v>0</v>
      </c>
      <c r="P578">
        <f>VLOOKUP(Table5[[#This Row],[Shortname]], Comp[], 13, FALSE)</f>
        <v>0</v>
      </c>
      <c r="Q578">
        <f>VLOOKUP(Table5[[#This Row],[Shortname]], Comp[], 14, FALSE)</f>
        <v>0</v>
      </c>
      <c r="R578">
        <f>VLOOKUP(Table5[[#This Row],[Shortname]], Comp[], 15, FALSE)</f>
        <v>0</v>
      </c>
      <c r="S578">
        <f>VLOOKUP(Table5[[#This Row],[Shortname]], Comp[], 16, FALSE)</f>
        <v>0</v>
      </c>
      <c r="T578">
        <f>VLOOKUP(Table5[[#This Row],[Shortname]], Comp[], 17, FALSE)</f>
        <v>0</v>
      </c>
      <c r="U578">
        <f>VLOOKUP(Table5[[#This Row],[Shortname]], Comp[], 18, FALSE)</f>
        <v>0</v>
      </c>
      <c r="V578">
        <f>VLOOKUP(Table5[[#This Row],[Shortname]], Comp[], 19, FALSE)</f>
        <v>0</v>
      </c>
      <c r="W578">
        <f>VLOOKUP(Table5[[#This Row],[Shortname]], Comp[], 20, FALSE)</f>
        <v>0</v>
      </c>
      <c r="X578">
        <f>VLOOKUP(Table5[[#This Row],[Shortname]], Comp[], 21, FALSE)</f>
        <v>0</v>
      </c>
      <c r="Y578">
        <f>VLOOKUP(Table5[[#This Row],[Shortname]], Comp[], 22, FALSE)</f>
        <v>0</v>
      </c>
      <c r="Z578">
        <f>VLOOKUP(Table5[[#This Row],[Shortname]], Comp[], 23, FALSE)</f>
        <v>0</v>
      </c>
      <c r="AA578">
        <f>VLOOKUP(Table5[[#This Row],[Shortname]], Comp[], 24, FALSE)</f>
        <v>0</v>
      </c>
      <c r="AB578">
        <f>VLOOKUP(Table5[[#This Row],[Shortname]], Comp[], 25, FALSE)</f>
        <v>0</v>
      </c>
      <c r="AC578">
        <f>VLOOKUP(Table5[[#This Row],[Shortname]], Comp[], 26, FALSE)</f>
        <v>0</v>
      </c>
      <c r="AD578">
        <f>VLOOKUP(Table5[[#This Row],[Shortname]], Comp[], 27, FALSE)</f>
        <v>0</v>
      </c>
      <c r="AE578">
        <f>VLOOKUP(Table5[[#This Row],[Shortname]], Comp[], 28, FALSE)</f>
        <v>0</v>
      </c>
      <c r="AF578">
        <f>VLOOKUP(Table5[[#This Row],[Shortname]], Comp[], 29, FALSE)</f>
        <v>0</v>
      </c>
      <c r="AG578">
        <f>VLOOKUP(Table5[[#This Row],[Shortname]], Comp[], 30, FALSE)</f>
        <v>0</v>
      </c>
      <c r="AH578">
        <f>VLOOKUP(Table5[[#This Row],[Shortname]], Comp[], 31, FALSE)</f>
        <v>0</v>
      </c>
    </row>
    <row r="579" spans="1:34" x14ac:dyDescent="0.3">
      <c r="A579" s="12" t="s">
        <v>5783</v>
      </c>
      <c r="B579">
        <v>601</v>
      </c>
      <c r="D579" s="12" t="s">
        <v>5784</v>
      </c>
      <c r="E579" s="12" t="s">
        <v>5785</v>
      </c>
      <c r="F579" s="12">
        <v>1045</v>
      </c>
      <c r="J579" s="14">
        <f>VLOOKUP(Table5[[#This Row],[Shortname]], Comp[], 7, FALSE)</f>
        <v>61.6</v>
      </c>
      <c r="K579">
        <f>VLOOKUP(Table5[[#This Row],[Shortname]], Comp[], 8, FALSE)</f>
        <v>15.4</v>
      </c>
      <c r="L579">
        <f>VLOOKUP(Table5[[#This Row],[Shortname]], Comp[], 9, FALSE)</f>
        <v>12</v>
      </c>
      <c r="M579">
        <f>VLOOKUP(Table5[[#This Row],[Shortname]], Comp[], 10, FALSE)</f>
        <v>0</v>
      </c>
      <c r="N579">
        <f>VLOOKUP(Table5[[#This Row],[Shortname]], Comp[], 11, FALSE)</f>
        <v>9</v>
      </c>
      <c r="O579">
        <f>VLOOKUP(Table5[[#This Row],[Shortname]], Comp[],12, FALSE)</f>
        <v>0</v>
      </c>
      <c r="P579">
        <f>VLOOKUP(Table5[[#This Row],[Shortname]], Comp[], 13, FALSE)</f>
        <v>2</v>
      </c>
      <c r="Q579">
        <f>VLOOKUP(Table5[[#This Row],[Shortname]], Comp[], 14, FALSE)</f>
        <v>0</v>
      </c>
      <c r="R579">
        <f>VLOOKUP(Table5[[#This Row],[Shortname]], Comp[], 15, FALSE)</f>
        <v>0</v>
      </c>
      <c r="S579">
        <f>VLOOKUP(Table5[[#This Row],[Shortname]], Comp[], 16, FALSE)</f>
        <v>0</v>
      </c>
      <c r="T579">
        <f>VLOOKUP(Table5[[#This Row],[Shortname]], Comp[], 17, FALSE)</f>
        <v>0</v>
      </c>
      <c r="U579">
        <f>VLOOKUP(Table5[[#This Row],[Shortname]], Comp[], 18, FALSE)</f>
        <v>0</v>
      </c>
      <c r="V579">
        <f>VLOOKUP(Table5[[#This Row],[Shortname]], Comp[], 19, FALSE)</f>
        <v>0</v>
      </c>
      <c r="W579">
        <f>VLOOKUP(Table5[[#This Row],[Shortname]], Comp[], 20, FALSE)</f>
        <v>0</v>
      </c>
      <c r="X579">
        <f>VLOOKUP(Table5[[#This Row],[Shortname]], Comp[], 21, FALSE)</f>
        <v>0</v>
      </c>
      <c r="Y579">
        <f>VLOOKUP(Table5[[#This Row],[Shortname]], Comp[], 22, FALSE)</f>
        <v>0</v>
      </c>
      <c r="Z579">
        <f>VLOOKUP(Table5[[#This Row],[Shortname]], Comp[], 23, FALSE)</f>
        <v>0</v>
      </c>
      <c r="AA579">
        <f>VLOOKUP(Table5[[#This Row],[Shortname]], Comp[], 24, FALSE)</f>
        <v>0</v>
      </c>
      <c r="AB579">
        <f>VLOOKUP(Table5[[#This Row],[Shortname]], Comp[], 25, FALSE)</f>
        <v>0</v>
      </c>
      <c r="AC579">
        <f>VLOOKUP(Table5[[#This Row],[Shortname]], Comp[], 26, FALSE)</f>
        <v>0</v>
      </c>
      <c r="AD579">
        <f>VLOOKUP(Table5[[#This Row],[Shortname]], Comp[], 27, FALSE)</f>
        <v>0</v>
      </c>
      <c r="AE579">
        <f>VLOOKUP(Table5[[#This Row],[Shortname]], Comp[], 28, FALSE)</f>
        <v>0</v>
      </c>
      <c r="AF579">
        <f>VLOOKUP(Table5[[#This Row],[Shortname]], Comp[], 29, FALSE)</f>
        <v>0</v>
      </c>
      <c r="AG579">
        <f>VLOOKUP(Table5[[#This Row],[Shortname]], Comp[], 30, FALSE)</f>
        <v>0</v>
      </c>
      <c r="AH579">
        <f>VLOOKUP(Table5[[#This Row],[Shortname]], Comp[], 31, FALSE)</f>
        <v>0</v>
      </c>
    </row>
    <row r="580" spans="1:34" x14ac:dyDescent="0.3">
      <c r="A580" s="12" t="s">
        <v>5787</v>
      </c>
      <c r="B580">
        <v>602</v>
      </c>
      <c r="D580" s="12" t="s">
        <v>749</v>
      </c>
      <c r="E580" s="12" t="s">
        <v>743</v>
      </c>
      <c r="F580" s="12">
        <v>964</v>
      </c>
      <c r="G580" s="12">
        <v>1409</v>
      </c>
      <c r="H580" s="12">
        <v>1440</v>
      </c>
      <c r="J580" s="14">
        <f>VLOOKUP(Table5[[#This Row],[Shortname]], Comp[], 7, FALSE)</f>
        <v>81</v>
      </c>
      <c r="K580">
        <f>VLOOKUP(Table5[[#This Row],[Shortname]], Comp[], 8, FALSE)</f>
        <v>0</v>
      </c>
      <c r="L580">
        <f>VLOOKUP(Table5[[#This Row],[Shortname]], Comp[], 9, FALSE)</f>
        <v>5</v>
      </c>
      <c r="M580">
        <f>VLOOKUP(Table5[[#This Row],[Shortname]], Comp[], 10, FALSE)</f>
        <v>0</v>
      </c>
      <c r="N580">
        <f>VLOOKUP(Table5[[#This Row],[Shortname]], Comp[], 11, FALSE)</f>
        <v>0</v>
      </c>
      <c r="O580">
        <f>VLOOKUP(Table5[[#This Row],[Shortname]], Comp[],12, FALSE)</f>
        <v>0</v>
      </c>
      <c r="P580">
        <f>VLOOKUP(Table5[[#This Row],[Shortname]], Comp[], 13, FALSE)</f>
        <v>0</v>
      </c>
      <c r="Q580">
        <f>VLOOKUP(Table5[[#This Row],[Shortname]], Comp[], 14, FALSE)</f>
        <v>0</v>
      </c>
      <c r="R580">
        <f>VLOOKUP(Table5[[#This Row],[Shortname]], Comp[], 15, FALSE)</f>
        <v>14</v>
      </c>
      <c r="S580">
        <f>VLOOKUP(Table5[[#This Row],[Shortname]], Comp[], 16, FALSE)</f>
        <v>0</v>
      </c>
      <c r="T580">
        <f>VLOOKUP(Table5[[#This Row],[Shortname]], Comp[], 17, FALSE)</f>
        <v>0</v>
      </c>
      <c r="U580">
        <f>VLOOKUP(Table5[[#This Row],[Shortname]], Comp[], 18, FALSE)</f>
        <v>0</v>
      </c>
      <c r="V580">
        <f>VLOOKUP(Table5[[#This Row],[Shortname]], Comp[], 19, FALSE)</f>
        <v>0</v>
      </c>
      <c r="W580">
        <f>VLOOKUP(Table5[[#This Row],[Shortname]], Comp[], 20, FALSE)</f>
        <v>0</v>
      </c>
      <c r="X580">
        <f>VLOOKUP(Table5[[#This Row],[Shortname]], Comp[], 21, FALSE)</f>
        <v>0</v>
      </c>
      <c r="Y580">
        <f>VLOOKUP(Table5[[#This Row],[Shortname]], Comp[], 22, FALSE)</f>
        <v>0</v>
      </c>
      <c r="Z580">
        <f>VLOOKUP(Table5[[#This Row],[Shortname]], Comp[], 23, FALSE)</f>
        <v>0</v>
      </c>
      <c r="AA580">
        <f>VLOOKUP(Table5[[#This Row],[Shortname]], Comp[], 24, FALSE)</f>
        <v>0</v>
      </c>
      <c r="AB580">
        <f>VLOOKUP(Table5[[#This Row],[Shortname]], Comp[], 25, FALSE)</f>
        <v>0</v>
      </c>
      <c r="AC580">
        <f>VLOOKUP(Table5[[#This Row],[Shortname]], Comp[], 26, FALSE)</f>
        <v>0</v>
      </c>
      <c r="AD580">
        <f>VLOOKUP(Table5[[#This Row],[Shortname]], Comp[], 27, FALSE)</f>
        <v>0</v>
      </c>
      <c r="AE580">
        <f>VLOOKUP(Table5[[#This Row],[Shortname]], Comp[], 28, FALSE)</f>
        <v>0</v>
      </c>
      <c r="AF580">
        <f>VLOOKUP(Table5[[#This Row],[Shortname]], Comp[], 29, FALSE)</f>
        <v>0</v>
      </c>
      <c r="AG580">
        <f>VLOOKUP(Table5[[#This Row],[Shortname]], Comp[], 30, FALSE)</f>
        <v>0</v>
      </c>
      <c r="AH580">
        <f>VLOOKUP(Table5[[#This Row],[Shortname]], Comp[], 31, FALSE)</f>
        <v>0</v>
      </c>
    </row>
    <row r="581" spans="1:34" x14ac:dyDescent="0.3">
      <c r="A581" s="12" t="s">
        <v>5790</v>
      </c>
      <c r="B581">
        <v>603</v>
      </c>
      <c r="D581" s="12" t="s">
        <v>3899</v>
      </c>
      <c r="E581" s="12" t="s">
        <v>750</v>
      </c>
      <c r="F581" s="12">
        <v>1022</v>
      </c>
      <c r="G581" s="12">
        <v>1338</v>
      </c>
      <c r="H581" s="12">
        <v>1394</v>
      </c>
      <c r="J581" s="14">
        <f>VLOOKUP(Table5[[#This Row],[Shortname]], Comp[], 7, FALSE)</f>
        <v>79</v>
      </c>
      <c r="K581">
        <f>VLOOKUP(Table5[[#This Row],[Shortname]], Comp[], 8, FALSE)</f>
        <v>0</v>
      </c>
      <c r="L581">
        <f>VLOOKUP(Table5[[#This Row],[Shortname]], Comp[], 9, FALSE)</f>
        <v>5</v>
      </c>
      <c r="M581">
        <f>VLOOKUP(Table5[[#This Row],[Shortname]], Comp[], 10, FALSE)</f>
        <v>0</v>
      </c>
      <c r="N581">
        <f>VLOOKUP(Table5[[#This Row],[Shortname]], Comp[], 11, FALSE)</f>
        <v>0</v>
      </c>
      <c r="O581">
        <f>VLOOKUP(Table5[[#This Row],[Shortname]], Comp[],12, FALSE)</f>
        <v>2</v>
      </c>
      <c r="P581">
        <f>VLOOKUP(Table5[[#This Row],[Shortname]], Comp[], 13, FALSE)</f>
        <v>0</v>
      </c>
      <c r="Q581">
        <f>VLOOKUP(Table5[[#This Row],[Shortname]], Comp[], 14, FALSE)</f>
        <v>0</v>
      </c>
      <c r="R581">
        <f>VLOOKUP(Table5[[#This Row],[Shortname]], Comp[], 15, FALSE)</f>
        <v>14</v>
      </c>
      <c r="S581">
        <f>VLOOKUP(Table5[[#This Row],[Shortname]], Comp[], 16, FALSE)</f>
        <v>0</v>
      </c>
      <c r="T581">
        <f>VLOOKUP(Table5[[#This Row],[Shortname]], Comp[], 17, FALSE)</f>
        <v>0</v>
      </c>
      <c r="U581">
        <f>VLOOKUP(Table5[[#This Row],[Shortname]], Comp[], 18, FALSE)</f>
        <v>0</v>
      </c>
      <c r="V581">
        <f>VLOOKUP(Table5[[#This Row],[Shortname]], Comp[], 19, FALSE)</f>
        <v>0</v>
      </c>
      <c r="W581">
        <f>VLOOKUP(Table5[[#This Row],[Shortname]], Comp[], 20, FALSE)</f>
        <v>0</v>
      </c>
      <c r="X581">
        <f>VLOOKUP(Table5[[#This Row],[Shortname]], Comp[], 21, FALSE)</f>
        <v>0</v>
      </c>
      <c r="Y581">
        <f>VLOOKUP(Table5[[#This Row],[Shortname]], Comp[], 22, FALSE)</f>
        <v>0</v>
      </c>
      <c r="Z581">
        <f>VLOOKUP(Table5[[#This Row],[Shortname]], Comp[], 23, FALSE)</f>
        <v>0</v>
      </c>
      <c r="AA581">
        <f>VLOOKUP(Table5[[#This Row],[Shortname]], Comp[], 24, FALSE)</f>
        <v>0</v>
      </c>
      <c r="AB581">
        <f>VLOOKUP(Table5[[#This Row],[Shortname]], Comp[], 25, FALSE)</f>
        <v>0</v>
      </c>
      <c r="AC581">
        <f>VLOOKUP(Table5[[#This Row],[Shortname]], Comp[], 26, FALSE)</f>
        <v>0</v>
      </c>
      <c r="AD581">
        <f>VLOOKUP(Table5[[#This Row],[Shortname]], Comp[], 27, FALSE)</f>
        <v>0</v>
      </c>
      <c r="AE581">
        <f>VLOOKUP(Table5[[#This Row],[Shortname]], Comp[], 28, FALSE)</f>
        <v>0</v>
      </c>
      <c r="AF581">
        <f>VLOOKUP(Table5[[#This Row],[Shortname]], Comp[], 29, FALSE)</f>
        <v>0</v>
      </c>
      <c r="AG581">
        <f>VLOOKUP(Table5[[#This Row],[Shortname]], Comp[], 30, FALSE)</f>
        <v>0</v>
      </c>
      <c r="AH581">
        <f>VLOOKUP(Table5[[#This Row],[Shortname]], Comp[], 31, FALSE)</f>
        <v>0</v>
      </c>
    </row>
    <row r="582" spans="1:34" x14ac:dyDescent="0.3">
      <c r="A582" s="12" t="s">
        <v>5792</v>
      </c>
      <c r="B582">
        <v>604</v>
      </c>
      <c r="D582" s="12" t="s">
        <v>1637</v>
      </c>
      <c r="E582" s="12" t="s">
        <v>757</v>
      </c>
      <c r="F582" s="12">
        <v>948</v>
      </c>
      <c r="G582" s="12">
        <v>1410</v>
      </c>
      <c r="H582" s="12">
        <v>1444</v>
      </c>
      <c r="J582" s="14">
        <f>VLOOKUP(Table5[[#This Row],[Shortname]], Comp[], 7, FALSE)</f>
        <v>79</v>
      </c>
      <c r="K582">
        <f>VLOOKUP(Table5[[#This Row],[Shortname]], Comp[], 8, FALSE)</f>
        <v>0</v>
      </c>
      <c r="L582">
        <f>VLOOKUP(Table5[[#This Row],[Shortname]], Comp[], 9, FALSE)</f>
        <v>5</v>
      </c>
      <c r="M582">
        <f>VLOOKUP(Table5[[#This Row],[Shortname]], Comp[], 10, FALSE)</f>
        <v>2</v>
      </c>
      <c r="N582">
        <f>VLOOKUP(Table5[[#This Row],[Shortname]], Comp[], 11, FALSE)</f>
        <v>0</v>
      </c>
      <c r="O582">
        <f>VLOOKUP(Table5[[#This Row],[Shortname]], Comp[],12, FALSE)</f>
        <v>0</v>
      </c>
      <c r="P582">
        <f>VLOOKUP(Table5[[#This Row],[Shortname]], Comp[], 13, FALSE)</f>
        <v>0</v>
      </c>
      <c r="Q582">
        <f>VLOOKUP(Table5[[#This Row],[Shortname]], Comp[], 14, FALSE)</f>
        <v>0</v>
      </c>
      <c r="R582">
        <f>VLOOKUP(Table5[[#This Row],[Shortname]], Comp[], 15, FALSE)</f>
        <v>14</v>
      </c>
      <c r="S582">
        <f>VLOOKUP(Table5[[#This Row],[Shortname]], Comp[], 16, FALSE)</f>
        <v>0</v>
      </c>
      <c r="T582">
        <f>VLOOKUP(Table5[[#This Row],[Shortname]], Comp[], 17, FALSE)</f>
        <v>0</v>
      </c>
      <c r="U582">
        <f>VLOOKUP(Table5[[#This Row],[Shortname]], Comp[], 18, FALSE)</f>
        <v>0</v>
      </c>
      <c r="V582">
        <f>VLOOKUP(Table5[[#This Row],[Shortname]], Comp[], 19, FALSE)</f>
        <v>0</v>
      </c>
      <c r="W582">
        <f>VLOOKUP(Table5[[#This Row],[Shortname]], Comp[], 20, FALSE)</f>
        <v>0</v>
      </c>
      <c r="X582">
        <f>VLOOKUP(Table5[[#This Row],[Shortname]], Comp[], 21, FALSE)</f>
        <v>0</v>
      </c>
      <c r="Y582">
        <f>VLOOKUP(Table5[[#This Row],[Shortname]], Comp[], 22, FALSE)</f>
        <v>0</v>
      </c>
      <c r="Z582">
        <f>VLOOKUP(Table5[[#This Row],[Shortname]], Comp[], 23, FALSE)</f>
        <v>0</v>
      </c>
      <c r="AA582">
        <f>VLOOKUP(Table5[[#This Row],[Shortname]], Comp[], 24, FALSE)</f>
        <v>0</v>
      </c>
      <c r="AB582">
        <f>VLOOKUP(Table5[[#This Row],[Shortname]], Comp[], 25, FALSE)</f>
        <v>0</v>
      </c>
      <c r="AC582">
        <f>VLOOKUP(Table5[[#This Row],[Shortname]], Comp[], 26, FALSE)</f>
        <v>0</v>
      </c>
      <c r="AD582">
        <f>VLOOKUP(Table5[[#This Row],[Shortname]], Comp[], 27, FALSE)</f>
        <v>0</v>
      </c>
      <c r="AE582">
        <f>VLOOKUP(Table5[[#This Row],[Shortname]], Comp[], 28, FALSE)</f>
        <v>0</v>
      </c>
      <c r="AF582">
        <f>VLOOKUP(Table5[[#This Row],[Shortname]], Comp[], 29, FALSE)</f>
        <v>0</v>
      </c>
      <c r="AG582">
        <f>VLOOKUP(Table5[[#This Row],[Shortname]], Comp[], 30, FALSE)</f>
        <v>0</v>
      </c>
      <c r="AH582">
        <f>VLOOKUP(Table5[[#This Row],[Shortname]], Comp[], 31, FALSE)</f>
        <v>0</v>
      </c>
    </row>
    <row r="583" spans="1:34" x14ac:dyDescent="0.3">
      <c r="A583" s="12" t="s">
        <v>5794</v>
      </c>
      <c r="B583">
        <v>605</v>
      </c>
      <c r="D583" s="12" t="s">
        <v>3927</v>
      </c>
      <c r="E583" s="12" t="s">
        <v>766</v>
      </c>
      <c r="F583" s="12">
        <v>1032</v>
      </c>
      <c r="G583" s="12">
        <v>1309</v>
      </c>
      <c r="H583" s="12">
        <v>1418</v>
      </c>
      <c r="J583" s="14">
        <f>VLOOKUP(Table5[[#This Row],[Shortname]], Comp[], 7, FALSE)</f>
        <v>79</v>
      </c>
      <c r="K583">
        <f>VLOOKUP(Table5[[#This Row],[Shortname]], Comp[], 8, FALSE)</f>
        <v>0</v>
      </c>
      <c r="L583">
        <f>VLOOKUP(Table5[[#This Row],[Shortname]], Comp[], 9, FALSE)</f>
        <v>5</v>
      </c>
      <c r="M583">
        <f>VLOOKUP(Table5[[#This Row],[Shortname]], Comp[], 10, FALSE)</f>
        <v>0</v>
      </c>
      <c r="N583">
        <f>VLOOKUP(Table5[[#This Row],[Shortname]], Comp[], 11, FALSE)</f>
        <v>0</v>
      </c>
      <c r="O583">
        <f>VLOOKUP(Table5[[#This Row],[Shortname]], Comp[],12, FALSE)</f>
        <v>0</v>
      </c>
      <c r="P583">
        <f>VLOOKUP(Table5[[#This Row],[Shortname]], Comp[], 13, FALSE)</f>
        <v>0</v>
      </c>
      <c r="Q583">
        <f>VLOOKUP(Table5[[#This Row],[Shortname]], Comp[], 14, FALSE)</f>
        <v>2</v>
      </c>
      <c r="R583">
        <f>VLOOKUP(Table5[[#This Row],[Shortname]], Comp[], 15, FALSE)</f>
        <v>14</v>
      </c>
      <c r="S583">
        <f>VLOOKUP(Table5[[#This Row],[Shortname]], Comp[], 16, FALSE)</f>
        <v>0</v>
      </c>
      <c r="T583">
        <f>VLOOKUP(Table5[[#This Row],[Shortname]], Comp[], 17, FALSE)</f>
        <v>0</v>
      </c>
      <c r="U583">
        <f>VLOOKUP(Table5[[#This Row],[Shortname]], Comp[], 18, FALSE)</f>
        <v>0</v>
      </c>
      <c r="V583">
        <f>VLOOKUP(Table5[[#This Row],[Shortname]], Comp[], 19, FALSE)</f>
        <v>0</v>
      </c>
      <c r="W583">
        <f>VLOOKUP(Table5[[#This Row],[Shortname]], Comp[], 20, FALSE)</f>
        <v>0</v>
      </c>
      <c r="X583">
        <f>VLOOKUP(Table5[[#This Row],[Shortname]], Comp[], 21, FALSE)</f>
        <v>0</v>
      </c>
      <c r="Y583">
        <f>VLOOKUP(Table5[[#This Row],[Shortname]], Comp[], 22, FALSE)</f>
        <v>0</v>
      </c>
      <c r="Z583">
        <f>VLOOKUP(Table5[[#This Row],[Shortname]], Comp[], 23, FALSE)</f>
        <v>0</v>
      </c>
      <c r="AA583">
        <f>VLOOKUP(Table5[[#This Row],[Shortname]], Comp[], 24, FALSE)</f>
        <v>0</v>
      </c>
      <c r="AB583">
        <f>VLOOKUP(Table5[[#This Row],[Shortname]], Comp[], 25, FALSE)</f>
        <v>0</v>
      </c>
      <c r="AC583">
        <f>VLOOKUP(Table5[[#This Row],[Shortname]], Comp[], 26, FALSE)</f>
        <v>0</v>
      </c>
      <c r="AD583">
        <f>VLOOKUP(Table5[[#This Row],[Shortname]], Comp[], 27, FALSE)</f>
        <v>0</v>
      </c>
      <c r="AE583">
        <f>VLOOKUP(Table5[[#This Row],[Shortname]], Comp[], 28, FALSE)</f>
        <v>0</v>
      </c>
      <c r="AF583">
        <f>VLOOKUP(Table5[[#This Row],[Shortname]], Comp[], 29, FALSE)</f>
        <v>0</v>
      </c>
      <c r="AG583">
        <f>VLOOKUP(Table5[[#This Row],[Shortname]], Comp[], 30, FALSE)</f>
        <v>0</v>
      </c>
      <c r="AH583">
        <f>VLOOKUP(Table5[[#This Row],[Shortname]], Comp[], 31, FALSE)</f>
        <v>0</v>
      </c>
    </row>
    <row r="584" spans="1:34" x14ac:dyDescent="0.3">
      <c r="A584" s="12" t="s">
        <v>5796</v>
      </c>
      <c r="B584">
        <v>606</v>
      </c>
      <c r="D584" s="12" t="s">
        <v>1484</v>
      </c>
      <c r="E584" s="12" t="s">
        <v>774</v>
      </c>
      <c r="F584" s="12">
        <v>971</v>
      </c>
      <c r="G584" s="12">
        <v>1399</v>
      </c>
      <c r="H584" s="12">
        <v>1433</v>
      </c>
      <c r="J584" s="14">
        <f>VLOOKUP(Table5[[#This Row],[Shortname]], Comp[], 7, FALSE)</f>
        <v>79</v>
      </c>
      <c r="K584">
        <f>VLOOKUP(Table5[[#This Row],[Shortname]], Comp[], 8, FALSE)</f>
        <v>0</v>
      </c>
      <c r="L584">
        <f>VLOOKUP(Table5[[#This Row],[Shortname]], Comp[], 9, FALSE)</f>
        <v>5</v>
      </c>
      <c r="M584">
        <f>VLOOKUP(Table5[[#This Row],[Shortname]], Comp[], 10, FALSE)</f>
        <v>0</v>
      </c>
      <c r="N584">
        <f>VLOOKUP(Table5[[#This Row],[Shortname]], Comp[], 11, FALSE)</f>
        <v>0</v>
      </c>
      <c r="O584">
        <f>VLOOKUP(Table5[[#This Row],[Shortname]], Comp[],12, FALSE)</f>
        <v>0</v>
      </c>
      <c r="P584">
        <f>VLOOKUP(Table5[[#This Row],[Shortname]], Comp[], 13, FALSE)</f>
        <v>0</v>
      </c>
      <c r="Q584">
        <f>VLOOKUP(Table5[[#This Row],[Shortname]], Comp[], 14, FALSE)</f>
        <v>0</v>
      </c>
      <c r="R584">
        <f>VLOOKUP(Table5[[#This Row],[Shortname]], Comp[], 15, FALSE)</f>
        <v>14</v>
      </c>
      <c r="S584">
        <f>VLOOKUP(Table5[[#This Row],[Shortname]], Comp[], 16, FALSE)</f>
        <v>2</v>
      </c>
      <c r="T584">
        <f>VLOOKUP(Table5[[#This Row],[Shortname]], Comp[], 17, FALSE)</f>
        <v>0</v>
      </c>
      <c r="U584">
        <f>VLOOKUP(Table5[[#This Row],[Shortname]], Comp[], 18, FALSE)</f>
        <v>0</v>
      </c>
      <c r="V584">
        <f>VLOOKUP(Table5[[#This Row],[Shortname]], Comp[], 19, FALSE)</f>
        <v>0</v>
      </c>
      <c r="W584">
        <f>VLOOKUP(Table5[[#This Row],[Shortname]], Comp[], 20, FALSE)</f>
        <v>0</v>
      </c>
      <c r="X584">
        <f>VLOOKUP(Table5[[#This Row],[Shortname]], Comp[], 21, FALSE)</f>
        <v>0</v>
      </c>
      <c r="Y584">
        <f>VLOOKUP(Table5[[#This Row],[Shortname]], Comp[], 22, FALSE)</f>
        <v>0</v>
      </c>
      <c r="Z584">
        <f>VLOOKUP(Table5[[#This Row],[Shortname]], Comp[], 23, FALSE)</f>
        <v>0</v>
      </c>
      <c r="AA584">
        <f>VLOOKUP(Table5[[#This Row],[Shortname]], Comp[], 24, FALSE)</f>
        <v>0</v>
      </c>
      <c r="AB584">
        <f>VLOOKUP(Table5[[#This Row],[Shortname]], Comp[], 25, FALSE)</f>
        <v>0</v>
      </c>
      <c r="AC584">
        <f>VLOOKUP(Table5[[#This Row],[Shortname]], Comp[], 26, FALSE)</f>
        <v>0</v>
      </c>
      <c r="AD584">
        <f>VLOOKUP(Table5[[#This Row],[Shortname]], Comp[], 27, FALSE)</f>
        <v>0</v>
      </c>
      <c r="AE584">
        <f>VLOOKUP(Table5[[#This Row],[Shortname]], Comp[], 28, FALSE)</f>
        <v>0</v>
      </c>
      <c r="AF584">
        <f>VLOOKUP(Table5[[#This Row],[Shortname]], Comp[], 29, FALSE)</f>
        <v>0</v>
      </c>
      <c r="AG584">
        <f>VLOOKUP(Table5[[#This Row],[Shortname]], Comp[], 30, FALSE)</f>
        <v>0</v>
      </c>
      <c r="AH584">
        <f>VLOOKUP(Table5[[#This Row],[Shortname]], Comp[], 31, FALSE)</f>
        <v>0</v>
      </c>
    </row>
    <row r="585" spans="1:34" x14ac:dyDescent="0.3">
      <c r="A585" s="12" t="s">
        <v>5799</v>
      </c>
      <c r="B585">
        <v>607</v>
      </c>
      <c r="D585" s="12" t="s">
        <v>2354</v>
      </c>
      <c r="E585" s="12" t="s">
        <v>5800</v>
      </c>
      <c r="F585" s="12">
        <v>1070</v>
      </c>
      <c r="G585" s="12">
        <v>1354</v>
      </c>
      <c r="H585" s="12">
        <v>1411</v>
      </c>
      <c r="J585" s="14">
        <f>VLOOKUP(Table5[[#This Row],[Shortname]], Comp[], 7, FALSE)</f>
        <v>79</v>
      </c>
      <c r="K585">
        <f>VLOOKUP(Table5[[#This Row],[Shortname]], Comp[], 8, FALSE)</f>
        <v>0</v>
      </c>
      <c r="L585">
        <f>VLOOKUP(Table5[[#This Row],[Shortname]], Comp[], 9, FALSE)</f>
        <v>5</v>
      </c>
      <c r="M585">
        <f>VLOOKUP(Table5[[#This Row],[Shortname]], Comp[], 10, FALSE)</f>
        <v>0</v>
      </c>
      <c r="N585">
        <f>VLOOKUP(Table5[[#This Row],[Shortname]], Comp[], 11, FALSE)</f>
        <v>0</v>
      </c>
      <c r="O585">
        <f>VLOOKUP(Table5[[#This Row],[Shortname]], Comp[],12, FALSE)</f>
        <v>0</v>
      </c>
      <c r="P585">
        <f>VLOOKUP(Table5[[#This Row],[Shortname]], Comp[], 13, FALSE)</f>
        <v>2</v>
      </c>
      <c r="Q585">
        <f>VLOOKUP(Table5[[#This Row],[Shortname]], Comp[], 14, FALSE)</f>
        <v>0</v>
      </c>
      <c r="R585">
        <f>VLOOKUP(Table5[[#This Row],[Shortname]], Comp[], 15, FALSE)</f>
        <v>14</v>
      </c>
      <c r="S585">
        <f>VLOOKUP(Table5[[#This Row],[Shortname]], Comp[], 16, FALSE)</f>
        <v>0</v>
      </c>
      <c r="T585">
        <f>VLOOKUP(Table5[[#This Row],[Shortname]], Comp[], 17, FALSE)</f>
        <v>0</v>
      </c>
      <c r="U585">
        <f>VLOOKUP(Table5[[#This Row],[Shortname]], Comp[], 18, FALSE)</f>
        <v>0</v>
      </c>
      <c r="V585">
        <f>VLOOKUP(Table5[[#This Row],[Shortname]], Comp[], 19, FALSE)</f>
        <v>0</v>
      </c>
      <c r="W585">
        <f>VLOOKUP(Table5[[#This Row],[Shortname]], Comp[], 20, FALSE)</f>
        <v>0</v>
      </c>
      <c r="X585">
        <f>VLOOKUP(Table5[[#This Row],[Shortname]], Comp[], 21, FALSE)</f>
        <v>0</v>
      </c>
      <c r="Y585">
        <f>VLOOKUP(Table5[[#This Row],[Shortname]], Comp[], 22, FALSE)</f>
        <v>0</v>
      </c>
      <c r="Z585">
        <f>VLOOKUP(Table5[[#This Row],[Shortname]], Comp[], 23, FALSE)</f>
        <v>0</v>
      </c>
      <c r="AA585">
        <f>VLOOKUP(Table5[[#This Row],[Shortname]], Comp[], 24, FALSE)</f>
        <v>0</v>
      </c>
      <c r="AB585">
        <f>VLOOKUP(Table5[[#This Row],[Shortname]], Comp[], 25, FALSE)</f>
        <v>0</v>
      </c>
      <c r="AC585">
        <f>VLOOKUP(Table5[[#This Row],[Shortname]], Comp[], 26, FALSE)</f>
        <v>0</v>
      </c>
      <c r="AD585">
        <f>VLOOKUP(Table5[[#This Row],[Shortname]], Comp[], 27, FALSE)</f>
        <v>0</v>
      </c>
      <c r="AE585">
        <f>VLOOKUP(Table5[[#This Row],[Shortname]], Comp[], 28, FALSE)</f>
        <v>0</v>
      </c>
      <c r="AF585">
        <f>VLOOKUP(Table5[[#This Row],[Shortname]], Comp[], 29, FALSE)</f>
        <v>0</v>
      </c>
      <c r="AG585">
        <f>VLOOKUP(Table5[[#This Row],[Shortname]], Comp[], 30, FALSE)</f>
        <v>0</v>
      </c>
      <c r="AH585">
        <f>VLOOKUP(Table5[[#This Row],[Shortname]], Comp[], 31, FALSE)</f>
        <v>0</v>
      </c>
    </row>
    <row r="586" spans="1:34" x14ac:dyDescent="0.3">
      <c r="A586" s="12" t="s">
        <v>5802</v>
      </c>
      <c r="B586">
        <v>608</v>
      </c>
      <c r="D586" s="12" t="s">
        <v>5803</v>
      </c>
      <c r="E586" s="12" t="s">
        <v>733</v>
      </c>
      <c r="F586" s="12">
        <v>1003</v>
      </c>
      <c r="G586" s="12">
        <v>1412</v>
      </c>
      <c r="H586" s="12">
        <v>1445</v>
      </c>
      <c r="J586" s="14">
        <f>VLOOKUP(Table5[[#This Row],[Shortname]], Comp[], 7, FALSE)</f>
        <v>79</v>
      </c>
      <c r="K586">
        <f>VLOOKUP(Table5[[#This Row],[Shortname]], Comp[], 8, FALSE)</f>
        <v>0</v>
      </c>
      <c r="L586">
        <f>VLOOKUP(Table5[[#This Row],[Shortname]], Comp[], 9, FALSE)</f>
        <v>5</v>
      </c>
      <c r="M586">
        <f>VLOOKUP(Table5[[#This Row],[Shortname]], Comp[], 10, FALSE)</f>
        <v>0</v>
      </c>
      <c r="N586">
        <f>VLOOKUP(Table5[[#This Row],[Shortname]], Comp[], 11, FALSE)</f>
        <v>2</v>
      </c>
      <c r="O586">
        <f>VLOOKUP(Table5[[#This Row],[Shortname]], Comp[],12, FALSE)</f>
        <v>0</v>
      </c>
      <c r="P586">
        <f>VLOOKUP(Table5[[#This Row],[Shortname]], Comp[], 13, FALSE)</f>
        <v>0</v>
      </c>
      <c r="Q586">
        <f>VLOOKUP(Table5[[#This Row],[Shortname]], Comp[], 14, FALSE)</f>
        <v>0</v>
      </c>
      <c r="R586">
        <f>VLOOKUP(Table5[[#This Row],[Shortname]], Comp[], 15, FALSE)</f>
        <v>14</v>
      </c>
      <c r="S586">
        <f>VLOOKUP(Table5[[#This Row],[Shortname]], Comp[], 16, FALSE)</f>
        <v>0</v>
      </c>
      <c r="T586">
        <f>VLOOKUP(Table5[[#This Row],[Shortname]], Comp[], 17, FALSE)</f>
        <v>0</v>
      </c>
      <c r="U586">
        <f>VLOOKUP(Table5[[#This Row],[Shortname]], Comp[], 18, FALSE)</f>
        <v>0</v>
      </c>
      <c r="V586">
        <f>VLOOKUP(Table5[[#This Row],[Shortname]], Comp[], 19, FALSE)</f>
        <v>0</v>
      </c>
      <c r="W586">
        <f>VLOOKUP(Table5[[#This Row],[Shortname]], Comp[], 20, FALSE)</f>
        <v>0</v>
      </c>
      <c r="X586">
        <f>VLOOKUP(Table5[[#This Row],[Shortname]], Comp[], 21, FALSE)</f>
        <v>0</v>
      </c>
      <c r="Y586">
        <f>VLOOKUP(Table5[[#This Row],[Shortname]], Comp[], 22, FALSE)</f>
        <v>0</v>
      </c>
      <c r="Z586">
        <f>VLOOKUP(Table5[[#This Row],[Shortname]], Comp[], 23, FALSE)</f>
        <v>0</v>
      </c>
      <c r="AA586">
        <f>VLOOKUP(Table5[[#This Row],[Shortname]], Comp[], 24, FALSE)</f>
        <v>0</v>
      </c>
      <c r="AB586">
        <f>VLOOKUP(Table5[[#This Row],[Shortname]], Comp[], 25, FALSE)</f>
        <v>0</v>
      </c>
      <c r="AC586">
        <f>VLOOKUP(Table5[[#This Row],[Shortname]], Comp[], 26, FALSE)</f>
        <v>0</v>
      </c>
      <c r="AD586">
        <f>VLOOKUP(Table5[[#This Row],[Shortname]], Comp[], 27, FALSE)</f>
        <v>0</v>
      </c>
      <c r="AE586">
        <f>VLOOKUP(Table5[[#This Row],[Shortname]], Comp[], 28, FALSE)</f>
        <v>0</v>
      </c>
      <c r="AF586">
        <f>VLOOKUP(Table5[[#This Row],[Shortname]], Comp[], 29, FALSE)</f>
        <v>0</v>
      </c>
      <c r="AG586">
        <f>VLOOKUP(Table5[[#This Row],[Shortname]], Comp[], 30, FALSE)</f>
        <v>0</v>
      </c>
      <c r="AH586">
        <f>VLOOKUP(Table5[[#This Row],[Shortname]], Comp[], 31, FALSE)</f>
        <v>0</v>
      </c>
    </row>
    <row r="587" spans="1:34" x14ac:dyDescent="0.3">
      <c r="A587" s="12" t="s">
        <v>5805</v>
      </c>
      <c r="B587">
        <v>609</v>
      </c>
      <c r="D587" s="12" t="s">
        <v>4948</v>
      </c>
      <c r="E587" s="12" t="s">
        <v>782</v>
      </c>
      <c r="F587" s="12">
        <v>979</v>
      </c>
      <c r="G587" s="12">
        <v>1409</v>
      </c>
      <c r="H587" s="12">
        <v>1433</v>
      </c>
      <c r="J587" s="14">
        <f>VLOOKUP(Table5[[#This Row],[Shortname]], Comp[], 7, FALSE)</f>
        <v>70</v>
      </c>
      <c r="K587">
        <f>VLOOKUP(Table5[[#This Row],[Shortname]], Comp[], 8, FALSE)</f>
        <v>10</v>
      </c>
      <c r="L587">
        <f>VLOOKUP(Table5[[#This Row],[Shortname]], Comp[], 9, FALSE)</f>
        <v>8</v>
      </c>
      <c r="M587">
        <f>VLOOKUP(Table5[[#This Row],[Shortname]], Comp[], 10, FALSE)</f>
        <v>0</v>
      </c>
      <c r="N587">
        <f>VLOOKUP(Table5[[#This Row],[Shortname]], Comp[], 11, FALSE)</f>
        <v>0</v>
      </c>
      <c r="O587">
        <f>VLOOKUP(Table5[[#This Row],[Shortname]], Comp[],12, FALSE)</f>
        <v>0</v>
      </c>
      <c r="P587">
        <f>VLOOKUP(Table5[[#This Row],[Shortname]], Comp[], 13, FALSE)</f>
        <v>0</v>
      </c>
      <c r="Q587">
        <f>VLOOKUP(Table5[[#This Row],[Shortname]], Comp[], 14, FALSE)</f>
        <v>0</v>
      </c>
      <c r="R587">
        <f>VLOOKUP(Table5[[#This Row],[Shortname]], Comp[], 15, FALSE)</f>
        <v>12</v>
      </c>
      <c r="S587">
        <f>VLOOKUP(Table5[[#This Row],[Shortname]], Comp[], 16, FALSE)</f>
        <v>0</v>
      </c>
      <c r="T587">
        <f>VLOOKUP(Table5[[#This Row],[Shortname]], Comp[], 17, FALSE)</f>
        <v>0</v>
      </c>
      <c r="U587">
        <f>VLOOKUP(Table5[[#This Row],[Shortname]], Comp[], 18, FALSE)</f>
        <v>0</v>
      </c>
      <c r="V587">
        <f>VLOOKUP(Table5[[#This Row],[Shortname]], Comp[], 19, FALSE)</f>
        <v>0</v>
      </c>
      <c r="W587">
        <f>VLOOKUP(Table5[[#This Row],[Shortname]], Comp[], 20, FALSE)</f>
        <v>0</v>
      </c>
      <c r="X587">
        <f>VLOOKUP(Table5[[#This Row],[Shortname]], Comp[], 21, FALSE)</f>
        <v>0</v>
      </c>
      <c r="Y587">
        <f>VLOOKUP(Table5[[#This Row],[Shortname]], Comp[], 22, FALSE)</f>
        <v>0</v>
      </c>
      <c r="Z587">
        <f>VLOOKUP(Table5[[#This Row],[Shortname]], Comp[], 23, FALSE)</f>
        <v>0</v>
      </c>
      <c r="AA587">
        <f>VLOOKUP(Table5[[#This Row],[Shortname]], Comp[], 24, FALSE)</f>
        <v>0</v>
      </c>
      <c r="AB587">
        <f>VLOOKUP(Table5[[#This Row],[Shortname]], Comp[], 25, FALSE)</f>
        <v>0</v>
      </c>
      <c r="AC587">
        <f>VLOOKUP(Table5[[#This Row],[Shortname]], Comp[], 26, FALSE)</f>
        <v>0</v>
      </c>
      <c r="AD587">
        <f>VLOOKUP(Table5[[#This Row],[Shortname]], Comp[], 27, FALSE)</f>
        <v>0</v>
      </c>
      <c r="AE587">
        <f>VLOOKUP(Table5[[#This Row],[Shortname]], Comp[], 28, FALSE)</f>
        <v>0</v>
      </c>
      <c r="AF587">
        <f>VLOOKUP(Table5[[#This Row],[Shortname]], Comp[], 29, FALSE)</f>
        <v>0</v>
      </c>
      <c r="AG587">
        <f>VLOOKUP(Table5[[#This Row],[Shortname]], Comp[], 30, FALSE)</f>
        <v>0</v>
      </c>
      <c r="AH587">
        <f>VLOOKUP(Table5[[#This Row],[Shortname]], Comp[], 31, FALSE)</f>
        <v>0</v>
      </c>
    </row>
    <row r="588" spans="1:34" x14ac:dyDescent="0.3">
      <c r="A588" s="12" t="s">
        <v>5808</v>
      </c>
      <c r="B588">
        <v>610</v>
      </c>
      <c r="D588" s="12" t="s">
        <v>4849</v>
      </c>
      <c r="E588" s="12" t="s">
        <v>789</v>
      </c>
      <c r="F588" s="12">
        <v>1000</v>
      </c>
      <c r="G588" s="12">
        <v>1409</v>
      </c>
      <c r="H588" s="12">
        <v>1431</v>
      </c>
      <c r="J588" s="14">
        <f>VLOOKUP(Table5[[#This Row],[Shortname]], Comp[], 7, FALSE)</f>
        <v>60</v>
      </c>
      <c r="K588">
        <f>VLOOKUP(Table5[[#This Row],[Shortname]], Comp[], 8, FALSE)</f>
        <v>20</v>
      </c>
      <c r="L588">
        <f>VLOOKUP(Table5[[#This Row],[Shortname]], Comp[], 9, FALSE)</f>
        <v>8</v>
      </c>
      <c r="M588">
        <f>VLOOKUP(Table5[[#This Row],[Shortname]], Comp[], 10, FALSE)</f>
        <v>0</v>
      </c>
      <c r="N588">
        <f>VLOOKUP(Table5[[#This Row],[Shortname]], Comp[], 11, FALSE)</f>
        <v>0</v>
      </c>
      <c r="O588">
        <f>VLOOKUP(Table5[[#This Row],[Shortname]], Comp[],12, FALSE)</f>
        <v>0</v>
      </c>
      <c r="P588">
        <f>VLOOKUP(Table5[[#This Row],[Shortname]], Comp[], 13, FALSE)</f>
        <v>0</v>
      </c>
      <c r="Q588">
        <f>VLOOKUP(Table5[[#This Row],[Shortname]], Comp[], 14, FALSE)</f>
        <v>0</v>
      </c>
      <c r="R588">
        <f>VLOOKUP(Table5[[#This Row],[Shortname]], Comp[], 15, FALSE)</f>
        <v>12</v>
      </c>
      <c r="S588">
        <f>VLOOKUP(Table5[[#This Row],[Shortname]], Comp[], 16, FALSE)</f>
        <v>0</v>
      </c>
      <c r="T588">
        <f>VLOOKUP(Table5[[#This Row],[Shortname]], Comp[], 17, FALSE)</f>
        <v>0</v>
      </c>
      <c r="U588">
        <f>VLOOKUP(Table5[[#This Row],[Shortname]], Comp[], 18, FALSE)</f>
        <v>0</v>
      </c>
      <c r="V588">
        <f>VLOOKUP(Table5[[#This Row],[Shortname]], Comp[], 19, FALSE)</f>
        <v>0</v>
      </c>
      <c r="W588">
        <f>VLOOKUP(Table5[[#This Row],[Shortname]], Comp[], 20, FALSE)</f>
        <v>0</v>
      </c>
      <c r="X588">
        <f>VLOOKUP(Table5[[#This Row],[Shortname]], Comp[], 21, FALSE)</f>
        <v>0</v>
      </c>
      <c r="Y588">
        <f>VLOOKUP(Table5[[#This Row],[Shortname]], Comp[], 22, FALSE)</f>
        <v>0</v>
      </c>
      <c r="Z588">
        <f>VLOOKUP(Table5[[#This Row],[Shortname]], Comp[], 23, FALSE)</f>
        <v>0</v>
      </c>
      <c r="AA588">
        <f>VLOOKUP(Table5[[#This Row],[Shortname]], Comp[], 24, FALSE)</f>
        <v>0</v>
      </c>
      <c r="AB588">
        <f>VLOOKUP(Table5[[#This Row],[Shortname]], Comp[], 25, FALSE)</f>
        <v>0</v>
      </c>
      <c r="AC588">
        <f>VLOOKUP(Table5[[#This Row],[Shortname]], Comp[], 26, FALSE)</f>
        <v>0</v>
      </c>
      <c r="AD588">
        <f>VLOOKUP(Table5[[#This Row],[Shortname]], Comp[], 27, FALSE)</f>
        <v>0</v>
      </c>
      <c r="AE588">
        <f>VLOOKUP(Table5[[#This Row],[Shortname]], Comp[], 28, FALSE)</f>
        <v>0</v>
      </c>
      <c r="AF588">
        <f>VLOOKUP(Table5[[#This Row],[Shortname]], Comp[], 29, FALSE)</f>
        <v>0</v>
      </c>
      <c r="AG588">
        <f>VLOOKUP(Table5[[#This Row],[Shortname]], Comp[], 30, FALSE)</f>
        <v>0</v>
      </c>
      <c r="AH588">
        <f>VLOOKUP(Table5[[#This Row],[Shortname]], Comp[], 31, FALSE)</f>
        <v>0</v>
      </c>
    </row>
    <row r="589" spans="1:34" x14ac:dyDescent="0.3">
      <c r="A589" s="12" t="s">
        <v>5810</v>
      </c>
      <c r="B589">
        <v>611</v>
      </c>
      <c r="D589" s="12" t="s">
        <v>4928</v>
      </c>
      <c r="E589" s="12" t="s">
        <v>797</v>
      </c>
      <c r="F589" s="12">
        <v>1032</v>
      </c>
      <c r="G589" s="12">
        <v>1408</v>
      </c>
      <c r="H589" s="12">
        <v>1429</v>
      </c>
      <c r="J589" s="14">
        <f>VLOOKUP(Table5[[#This Row],[Shortname]], Comp[], 7, FALSE)</f>
        <v>50</v>
      </c>
      <c r="K589">
        <f>VLOOKUP(Table5[[#This Row],[Shortname]], Comp[], 8, FALSE)</f>
        <v>30</v>
      </c>
      <c r="L589">
        <f>VLOOKUP(Table5[[#This Row],[Shortname]], Comp[], 9, FALSE)</f>
        <v>8</v>
      </c>
      <c r="M589">
        <f>VLOOKUP(Table5[[#This Row],[Shortname]], Comp[], 10, FALSE)</f>
        <v>0</v>
      </c>
      <c r="N589">
        <f>VLOOKUP(Table5[[#This Row],[Shortname]], Comp[], 11, FALSE)</f>
        <v>0</v>
      </c>
      <c r="O589">
        <f>VLOOKUP(Table5[[#This Row],[Shortname]], Comp[],12, FALSE)</f>
        <v>0</v>
      </c>
      <c r="P589">
        <f>VLOOKUP(Table5[[#This Row],[Shortname]], Comp[], 13, FALSE)</f>
        <v>0</v>
      </c>
      <c r="Q589">
        <f>VLOOKUP(Table5[[#This Row],[Shortname]], Comp[], 14, FALSE)</f>
        <v>0</v>
      </c>
      <c r="R589">
        <f>VLOOKUP(Table5[[#This Row],[Shortname]], Comp[], 15, FALSE)</f>
        <v>12</v>
      </c>
      <c r="S589">
        <f>VLOOKUP(Table5[[#This Row],[Shortname]], Comp[], 16, FALSE)</f>
        <v>0</v>
      </c>
      <c r="T589">
        <f>VLOOKUP(Table5[[#This Row],[Shortname]], Comp[], 17, FALSE)</f>
        <v>0</v>
      </c>
      <c r="U589">
        <f>VLOOKUP(Table5[[#This Row],[Shortname]], Comp[], 18, FALSE)</f>
        <v>0</v>
      </c>
      <c r="V589">
        <f>VLOOKUP(Table5[[#This Row],[Shortname]], Comp[], 19, FALSE)</f>
        <v>0</v>
      </c>
      <c r="W589">
        <f>VLOOKUP(Table5[[#This Row],[Shortname]], Comp[], 20, FALSE)</f>
        <v>0</v>
      </c>
      <c r="X589">
        <f>VLOOKUP(Table5[[#This Row],[Shortname]], Comp[], 21, FALSE)</f>
        <v>0</v>
      </c>
      <c r="Y589">
        <f>VLOOKUP(Table5[[#This Row],[Shortname]], Comp[], 22, FALSE)</f>
        <v>0</v>
      </c>
      <c r="Z589">
        <f>VLOOKUP(Table5[[#This Row],[Shortname]], Comp[], 23, FALSE)</f>
        <v>0</v>
      </c>
      <c r="AA589">
        <f>VLOOKUP(Table5[[#This Row],[Shortname]], Comp[], 24, FALSE)</f>
        <v>0</v>
      </c>
      <c r="AB589">
        <f>VLOOKUP(Table5[[#This Row],[Shortname]], Comp[], 25, FALSE)</f>
        <v>0</v>
      </c>
      <c r="AC589">
        <f>VLOOKUP(Table5[[#This Row],[Shortname]], Comp[], 26, FALSE)</f>
        <v>0</v>
      </c>
      <c r="AD589">
        <f>VLOOKUP(Table5[[#This Row],[Shortname]], Comp[], 27, FALSE)</f>
        <v>0</v>
      </c>
      <c r="AE589">
        <f>VLOOKUP(Table5[[#This Row],[Shortname]], Comp[], 28, FALSE)</f>
        <v>0</v>
      </c>
      <c r="AF589">
        <f>VLOOKUP(Table5[[#This Row],[Shortname]], Comp[], 29, FALSE)</f>
        <v>0</v>
      </c>
      <c r="AG589">
        <f>VLOOKUP(Table5[[#This Row],[Shortname]], Comp[], 30, FALSE)</f>
        <v>0</v>
      </c>
      <c r="AH589">
        <f>VLOOKUP(Table5[[#This Row],[Shortname]], Comp[], 31, FALSE)</f>
        <v>0</v>
      </c>
    </row>
    <row r="590" spans="1:34" x14ac:dyDescent="0.3">
      <c r="A590" s="12" t="s">
        <v>5812</v>
      </c>
      <c r="B590">
        <v>612</v>
      </c>
      <c r="D590" s="12" t="s">
        <v>847</v>
      </c>
      <c r="E590" s="12" t="s">
        <v>805</v>
      </c>
      <c r="F590" s="12">
        <v>1119</v>
      </c>
      <c r="G590" s="12">
        <v>1349</v>
      </c>
      <c r="H590" s="12">
        <v>1395</v>
      </c>
      <c r="J590" s="14">
        <f>VLOOKUP(Table5[[#This Row],[Shortname]], Comp[], 7, FALSE)</f>
        <v>51</v>
      </c>
      <c r="K590">
        <f>VLOOKUP(Table5[[#This Row],[Shortname]], Comp[], 8, FALSE)</f>
        <v>30</v>
      </c>
      <c r="L590">
        <f>VLOOKUP(Table5[[#This Row],[Shortname]], Comp[], 9, FALSE)</f>
        <v>5</v>
      </c>
      <c r="M590">
        <f>VLOOKUP(Table5[[#This Row],[Shortname]], Comp[], 10, FALSE)</f>
        <v>0</v>
      </c>
      <c r="N590">
        <f>VLOOKUP(Table5[[#This Row],[Shortname]], Comp[], 11, FALSE)</f>
        <v>0</v>
      </c>
      <c r="O590">
        <f>VLOOKUP(Table5[[#This Row],[Shortname]], Comp[],12, FALSE)</f>
        <v>0</v>
      </c>
      <c r="P590">
        <f>VLOOKUP(Table5[[#This Row],[Shortname]], Comp[], 13, FALSE)</f>
        <v>4</v>
      </c>
      <c r="Q590">
        <f>VLOOKUP(Table5[[#This Row],[Shortname]], Comp[], 14, FALSE)</f>
        <v>0</v>
      </c>
      <c r="R590">
        <f>VLOOKUP(Table5[[#This Row],[Shortname]], Comp[], 15, FALSE)</f>
        <v>10</v>
      </c>
      <c r="S590">
        <f>VLOOKUP(Table5[[#This Row],[Shortname]], Comp[], 16, FALSE)</f>
        <v>0</v>
      </c>
      <c r="T590">
        <f>VLOOKUP(Table5[[#This Row],[Shortname]], Comp[], 17, FALSE)</f>
        <v>0</v>
      </c>
      <c r="U590">
        <f>VLOOKUP(Table5[[#This Row],[Shortname]], Comp[], 18, FALSE)</f>
        <v>0</v>
      </c>
      <c r="V590">
        <f>VLOOKUP(Table5[[#This Row],[Shortname]], Comp[], 19, FALSE)</f>
        <v>0</v>
      </c>
      <c r="W590">
        <f>VLOOKUP(Table5[[#This Row],[Shortname]], Comp[], 20, FALSE)</f>
        <v>0</v>
      </c>
      <c r="X590">
        <f>VLOOKUP(Table5[[#This Row],[Shortname]], Comp[], 21, FALSE)</f>
        <v>0</v>
      </c>
      <c r="Y590">
        <f>VLOOKUP(Table5[[#This Row],[Shortname]], Comp[], 22, FALSE)</f>
        <v>0</v>
      </c>
      <c r="Z590">
        <f>VLOOKUP(Table5[[#This Row],[Shortname]], Comp[], 23, FALSE)</f>
        <v>0</v>
      </c>
      <c r="AA590">
        <f>VLOOKUP(Table5[[#This Row],[Shortname]], Comp[], 24, FALSE)</f>
        <v>0</v>
      </c>
      <c r="AB590">
        <f>VLOOKUP(Table5[[#This Row],[Shortname]], Comp[], 25, FALSE)</f>
        <v>0</v>
      </c>
      <c r="AC590">
        <f>VLOOKUP(Table5[[#This Row],[Shortname]], Comp[], 26, FALSE)</f>
        <v>0</v>
      </c>
      <c r="AD590">
        <f>VLOOKUP(Table5[[#This Row],[Shortname]], Comp[], 27, FALSE)</f>
        <v>0</v>
      </c>
      <c r="AE590">
        <f>VLOOKUP(Table5[[#This Row],[Shortname]], Comp[], 28, FALSE)</f>
        <v>0</v>
      </c>
      <c r="AF590">
        <f>VLOOKUP(Table5[[#This Row],[Shortname]], Comp[], 29, FALSE)</f>
        <v>0</v>
      </c>
      <c r="AG590">
        <f>VLOOKUP(Table5[[#This Row],[Shortname]], Comp[], 30, FALSE)</f>
        <v>0</v>
      </c>
      <c r="AH590">
        <f>VLOOKUP(Table5[[#This Row],[Shortname]], Comp[], 31, FALSE)</f>
        <v>0</v>
      </c>
    </row>
    <row r="591" spans="1:34" x14ac:dyDescent="0.3">
      <c r="A591" s="12" t="s">
        <v>5815</v>
      </c>
      <c r="B591">
        <v>613</v>
      </c>
      <c r="D591" s="12" t="s">
        <v>856</v>
      </c>
      <c r="E591" s="12" t="s">
        <v>812</v>
      </c>
      <c r="F591" s="12">
        <v>1148</v>
      </c>
      <c r="G591" s="12">
        <v>1349</v>
      </c>
      <c r="H591" s="12">
        <v>1395</v>
      </c>
      <c r="J591" s="14">
        <f>VLOOKUP(Table5[[#This Row],[Shortname]], Comp[], 7, FALSE)</f>
        <v>51</v>
      </c>
      <c r="K591">
        <f>VLOOKUP(Table5[[#This Row],[Shortname]], Comp[], 8, FALSE)</f>
        <v>30</v>
      </c>
      <c r="L591">
        <f>VLOOKUP(Table5[[#This Row],[Shortname]], Comp[], 9, FALSE)</f>
        <v>7.5</v>
      </c>
      <c r="M591">
        <f>VLOOKUP(Table5[[#This Row],[Shortname]], Comp[], 10, FALSE)</f>
        <v>0</v>
      </c>
      <c r="N591">
        <f>VLOOKUP(Table5[[#This Row],[Shortname]], Comp[], 11, FALSE)</f>
        <v>0</v>
      </c>
      <c r="O591">
        <f>VLOOKUP(Table5[[#This Row],[Shortname]], Comp[],12, FALSE)</f>
        <v>0</v>
      </c>
      <c r="P591">
        <f>VLOOKUP(Table5[[#This Row],[Shortname]], Comp[], 13, FALSE)</f>
        <v>4</v>
      </c>
      <c r="Q591">
        <f>VLOOKUP(Table5[[#This Row],[Shortname]], Comp[], 14, FALSE)</f>
        <v>0</v>
      </c>
      <c r="R591">
        <f>VLOOKUP(Table5[[#This Row],[Shortname]], Comp[], 15, FALSE)</f>
        <v>7.5</v>
      </c>
      <c r="S591">
        <f>VLOOKUP(Table5[[#This Row],[Shortname]], Comp[], 16, FALSE)</f>
        <v>0</v>
      </c>
      <c r="T591">
        <f>VLOOKUP(Table5[[#This Row],[Shortname]], Comp[], 17, FALSE)</f>
        <v>0</v>
      </c>
      <c r="U591">
        <f>VLOOKUP(Table5[[#This Row],[Shortname]], Comp[], 18, FALSE)</f>
        <v>0</v>
      </c>
      <c r="V591">
        <f>VLOOKUP(Table5[[#This Row],[Shortname]], Comp[], 19, FALSE)</f>
        <v>0</v>
      </c>
      <c r="W591">
        <f>VLOOKUP(Table5[[#This Row],[Shortname]], Comp[], 20, FALSE)</f>
        <v>0</v>
      </c>
      <c r="X591">
        <f>VLOOKUP(Table5[[#This Row],[Shortname]], Comp[], 21, FALSE)</f>
        <v>0</v>
      </c>
      <c r="Y591">
        <f>VLOOKUP(Table5[[#This Row],[Shortname]], Comp[], 22, FALSE)</f>
        <v>0</v>
      </c>
      <c r="Z591">
        <f>VLOOKUP(Table5[[#This Row],[Shortname]], Comp[], 23, FALSE)</f>
        <v>0</v>
      </c>
      <c r="AA591">
        <f>VLOOKUP(Table5[[#This Row],[Shortname]], Comp[], 24, FALSE)</f>
        <v>0</v>
      </c>
      <c r="AB591">
        <f>VLOOKUP(Table5[[#This Row],[Shortname]], Comp[], 25, FALSE)</f>
        <v>0</v>
      </c>
      <c r="AC591">
        <f>VLOOKUP(Table5[[#This Row],[Shortname]], Comp[], 26, FALSE)</f>
        <v>0</v>
      </c>
      <c r="AD591">
        <f>VLOOKUP(Table5[[#This Row],[Shortname]], Comp[], 27, FALSE)</f>
        <v>0</v>
      </c>
      <c r="AE591">
        <f>VLOOKUP(Table5[[#This Row],[Shortname]], Comp[], 28, FALSE)</f>
        <v>0</v>
      </c>
      <c r="AF591">
        <f>VLOOKUP(Table5[[#This Row],[Shortname]], Comp[], 29, FALSE)</f>
        <v>0</v>
      </c>
      <c r="AG591">
        <f>VLOOKUP(Table5[[#This Row],[Shortname]], Comp[], 30, FALSE)</f>
        <v>0</v>
      </c>
      <c r="AH591">
        <f>VLOOKUP(Table5[[#This Row],[Shortname]], Comp[], 31, FALSE)</f>
        <v>0</v>
      </c>
    </row>
    <row r="592" spans="1:34" x14ac:dyDescent="0.3">
      <c r="A592" s="12" t="s">
        <v>5817</v>
      </c>
      <c r="B592">
        <v>614</v>
      </c>
      <c r="D592" s="12" t="s">
        <v>864</v>
      </c>
      <c r="E592" s="12" t="s">
        <v>819</v>
      </c>
      <c r="F592" s="12">
        <v>1172</v>
      </c>
      <c r="G592" s="12">
        <v>1349</v>
      </c>
      <c r="H592" s="12">
        <v>1395</v>
      </c>
      <c r="J592" s="14">
        <f>VLOOKUP(Table5[[#This Row],[Shortname]], Comp[], 7, FALSE)</f>
        <v>51</v>
      </c>
      <c r="K592">
        <f>VLOOKUP(Table5[[#This Row],[Shortname]], Comp[], 8, FALSE)</f>
        <v>30</v>
      </c>
      <c r="L592">
        <f>VLOOKUP(Table5[[#This Row],[Shortname]], Comp[], 9, FALSE)</f>
        <v>10</v>
      </c>
      <c r="M592">
        <f>VLOOKUP(Table5[[#This Row],[Shortname]], Comp[], 10, FALSE)</f>
        <v>0</v>
      </c>
      <c r="N592">
        <f>VLOOKUP(Table5[[#This Row],[Shortname]], Comp[], 11, FALSE)</f>
        <v>0</v>
      </c>
      <c r="O592">
        <f>VLOOKUP(Table5[[#This Row],[Shortname]], Comp[],12, FALSE)</f>
        <v>0</v>
      </c>
      <c r="P592">
        <f>VLOOKUP(Table5[[#This Row],[Shortname]], Comp[], 13, FALSE)</f>
        <v>4</v>
      </c>
      <c r="Q592">
        <f>VLOOKUP(Table5[[#This Row],[Shortname]], Comp[], 14, FALSE)</f>
        <v>0</v>
      </c>
      <c r="R592">
        <f>VLOOKUP(Table5[[#This Row],[Shortname]], Comp[], 15, FALSE)</f>
        <v>5</v>
      </c>
      <c r="S592">
        <f>VLOOKUP(Table5[[#This Row],[Shortname]], Comp[], 16, FALSE)</f>
        <v>0</v>
      </c>
      <c r="T592">
        <f>VLOOKUP(Table5[[#This Row],[Shortname]], Comp[], 17, FALSE)</f>
        <v>0</v>
      </c>
      <c r="U592">
        <f>VLOOKUP(Table5[[#This Row],[Shortname]], Comp[], 18, FALSE)</f>
        <v>0</v>
      </c>
      <c r="V592">
        <f>VLOOKUP(Table5[[#This Row],[Shortname]], Comp[], 19, FALSE)</f>
        <v>0</v>
      </c>
      <c r="W592">
        <f>VLOOKUP(Table5[[#This Row],[Shortname]], Comp[], 20, FALSE)</f>
        <v>0</v>
      </c>
      <c r="X592">
        <f>VLOOKUP(Table5[[#This Row],[Shortname]], Comp[], 21, FALSE)</f>
        <v>0</v>
      </c>
      <c r="Y592">
        <f>VLOOKUP(Table5[[#This Row],[Shortname]], Comp[], 22, FALSE)</f>
        <v>0</v>
      </c>
      <c r="Z592">
        <f>VLOOKUP(Table5[[#This Row],[Shortname]], Comp[], 23, FALSE)</f>
        <v>0</v>
      </c>
      <c r="AA592">
        <f>VLOOKUP(Table5[[#This Row],[Shortname]], Comp[], 24, FALSE)</f>
        <v>0</v>
      </c>
      <c r="AB592">
        <f>VLOOKUP(Table5[[#This Row],[Shortname]], Comp[], 25, FALSE)</f>
        <v>0</v>
      </c>
      <c r="AC592">
        <f>VLOOKUP(Table5[[#This Row],[Shortname]], Comp[], 26, FALSE)</f>
        <v>0</v>
      </c>
      <c r="AD592">
        <f>VLOOKUP(Table5[[#This Row],[Shortname]], Comp[], 27, FALSE)</f>
        <v>0</v>
      </c>
      <c r="AE592">
        <f>VLOOKUP(Table5[[#This Row],[Shortname]], Comp[], 28, FALSE)</f>
        <v>0</v>
      </c>
      <c r="AF592">
        <f>VLOOKUP(Table5[[#This Row],[Shortname]], Comp[], 29, FALSE)</f>
        <v>0</v>
      </c>
      <c r="AG592">
        <f>VLOOKUP(Table5[[#This Row],[Shortname]], Comp[], 30, FALSE)</f>
        <v>0</v>
      </c>
      <c r="AH592">
        <f>VLOOKUP(Table5[[#This Row],[Shortname]], Comp[], 31, FALSE)</f>
        <v>0</v>
      </c>
    </row>
    <row r="593" spans="1:34" x14ac:dyDescent="0.3">
      <c r="A593" s="12" t="s">
        <v>5820</v>
      </c>
      <c r="B593">
        <v>615</v>
      </c>
      <c r="D593" s="12" t="s">
        <v>6771</v>
      </c>
      <c r="E593" s="12" t="s">
        <v>833</v>
      </c>
      <c r="F593" s="12">
        <v>1242</v>
      </c>
      <c r="G593" s="12">
        <v>1313</v>
      </c>
      <c r="H593" s="12">
        <v>1367</v>
      </c>
      <c r="J593" s="14">
        <f>VLOOKUP(Table5[[#This Row],[Shortname]], Comp[], 7, FALSE)</f>
        <v>49</v>
      </c>
      <c r="K593">
        <f>VLOOKUP(Table5[[#This Row],[Shortname]], Comp[], 8, FALSE)</f>
        <v>30</v>
      </c>
      <c r="L593">
        <f>VLOOKUP(Table5[[#This Row],[Shortname]], Comp[], 9, FALSE)</f>
        <v>10</v>
      </c>
      <c r="M593">
        <f>VLOOKUP(Table5[[#This Row],[Shortname]], Comp[], 10, FALSE)</f>
        <v>0</v>
      </c>
      <c r="N593">
        <f>VLOOKUP(Table5[[#This Row],[Shortname]], Comp[], 11, FALSE)</f>
        <v>0</v>
      </c>
      <c r="O593">
        <f>VLOOKUP(Table5[[#This Row],[Shortname]], Comp[],12, FALSE)</f>
        <v>2</v>
      </c>
      <c r="P593">
        <f>VLOOKUP(Table5[[#This Row],[Shortname]], Comp[], 13, FALSE)</f>
        <v>4</v>
      </c>
      <c r="Q593">
        <f>VLOOKUP(Table5[[#This Row],[Shortname]], Comp[], 14, FALSE)</f>
        <v>0</v>
      </c>
      <c r="R593">
        <f>VLOOKUP(Table5[[#This Row],[Shortname]], Comp[], 15, FALSE)</f>
        <v>5</v>
      </c>
      <c r="S593">
        <f>VLOOKUP(Table5[[#This Row],[Shortname]], Comp[], 16, FALSE)</f>
        <v>0</v>
      </c>
      <c r="T593">
        <f>VLOOKUP(Table5[[#This Row],[Shortname]], Comp[], 17, FALSE)</f>
        <v>0</v>
      </c>
      <c r="U593">
        <f>VLOOKUP(Table5[[#This Row],[Shortname]], Comp[], 18, FALSE)</f>
        <v>0</v>
      </c>
      <c r="V593">
        <f>VLOOKUP(Table5[[#This Row],[Shortname]], Comp[], 19, FALSE)</f>
        <v>0</v>
      </c>
      <c r="W593">
        <f>VLOOKUP(Table5[[#This Row],[Shortname]], Comp[], 20, FALSE)</f>
        <v>0</v>
      </c>
      <c r="X593">
        <f>VLOOKUP(Table5[[#This Row],[Shortname]], Comp[], 21, FALSE)</f>
        <v>0</v>
      </c>
      <c r="Y593">
        <f>VLOOKUP(Table5[[#This Row],[Shortname]], Comp[], 22, FALSE)</f>
        <v>0</v>
      </c>
      <c r="Z593">
        <f>VLOOKUP(Table5[[#This Row],[Shortname]], Comp[], 23, FALSE)</f>
        <v>0</v>
      </c>
      <c r="AA593">
        <f>VLOOKUP(Table5[[#This Row],[Shortname]], Comp[], 24, FALSE)</f>
        <v>0</v>
      </c>
      <c r="AB593">
        <f>VLOOKUP(Table5[[#This Row],[Shortname]], Comp[], 25, FALSE)</f>
        <v>0</v>
      </c>
      <c r="AC593">
        <f>VLOOKUP(Table5[[#This Row],[Shortname]], Comp[], 26, FALSE)</f>
        <v>0</v>
      </c>
      <c r="AD593">
        <f>VLOOKUP(Table5[[#This Row],[Shortname]], Comp[], 27, FALSE)</f>
        <v>0</v>
      </c>
      <c r="AE593">
        <f>VLOOKUP(Table5[[#This Row],[Shortname]], Comp[], 28, FALSE)</f>
        <v>0</v>
      </c>
      <c r="AF593">
        <f>VLOOKUP(Table5[[#This Row],[Shortname]], Comp[], 29, FALSE)</f>
        <v>0</v>
      </c>
      <c r="AG593">
        <f>VLOOKUP(Table5[[#This Row],[Shortname]], Comp[], 30, FALSE)</f>
        <v>0</v>
      </c>
      <c r="AH593">
        <f>VLOOKUP(Table5[[#This Row],[Shortname]], Comp[], 31, FALSE)</f>
        <v>0</v>
      </c>
    </row>
    <row r="594" spans="1:34" x14ac:dyDescent="0.3">
      <c r="A594" s="12" t="s">
        <v>5840</v>
      </c>
      <c r="B594">
        <v>616</v>
      </c>
      <c r="D594" s="12" t="s">
        <v>5841</v>
      </c>
      <c r="E594" s="12" t="s">
        <v>5842</v>
      </c>
      <c r="F594" s="12">
        <v>914</v>
      </c>
      <c r="J594" s="14">
        <f>VLOOKUP(Table5[[#This Row],[Shortname]], Comp[], 7, FALSE)</f>
        <v>83.64</v>
      </c>
      <c r="K594">
        <f>VLOOKUP(Table5[[#This Row],[Shortname]], Comp[], 8, FALSE)</f>
        <v>0</v>
      </c>
      <c r="L594">
        <f>VLOOKUP(Table5[[#This Row],[Shortname]], Comp[], 9, FALSE)</f>
        <v>9.4600000000000009</v>
      </c>
      <c r="M594">
        <f>VLOOKUP(Table5[[#This Row],[Shortname]], Comp[], 10, FALSE)</f>
        <v>0</v>
      </c>
      <c r="N594">
        <f>VLOOKUP(Table5[[#This Row],[Shortname]], Comp[], 11, FALSE)</f>
        <v>0</v>
      </c>
      <c r="O594">
        <f>VLOOKUP(Table5[[#This Row],[Shortname]], Comp[],12, FALSE)</f>
        <v>0</v>
      </c>
      <c r="P594">
        <f>VLOOKUP(Table5[[#This Row],[Shortname]], Comp[], 13, FALSE)</f>
        <v>0</v>
      </c>
      <c r="Q594">
        <f>VLOOKUP(Table5[[#This Row],[Shortname]], Comp[], 14, FALSE)</f>
        <v>4</v>
      </c>
      <c r="R594">
        <f>VLOOKUP(Table5[[#This Row],[Shortname]], Comp[], 15, FALSE)</f>
        <v>0</v>
      </c>
      <c r="S594">
        <f>VLOOKUP(Table5[[#This Row],[Shortname]], Comp[], 16, FALSE)</f>
        <v>2.9</v>
      </c>
      <c r="T594">
        <f>VLOOKUP(Table5[[#This Row],[Shortname]], Comp[], 17, FALSE)</f>
        <v>0</v>
      </c>
      <c r="U594">
        <f>VLOOKUP(Table5[[#This Row],[Shortname]], Comp[], 18, FALSE)</f>
        <v>0</v>
      </c>
      <c r="V594">
        <f>VLOOKUP(Table5[[#This Row],[Shortname]], Comp[], 19, FALSE)</f>
        <v>0</v>
      </c>
      <c r="W594">
        <f>VLOOKUP(Table5[[#This Row],[Shortname]], Comp[], 20, FALSE)</f>
        <v>0</v>
      </c>
      <c r="X594">
        <f>VLOOKUP(Table5[[#This Row],[Shortname]], Comp[], 21, FALSE)</f>
        <v>0</v>
      </c>
      <c r="Y594">
        <f>VLOOKUP(Table5[[#This Row],[Shortname]], Comp[], 22, FALSE)</f>
        <v>0</v>
      </c>
      <c r="Z594">
        <f>VLOOKUP(Table5[[#This Row],[Shortname]], Comp[], 23, FALSE)</f>
        <v>0</v>
      </c>
      <c r="AA594">
        <f>VLOOKUP(Table5[[#This Row],[Shortname]], Comp[], 24, FALSE)</f>
        <v>0</v>
      </c>
      <c r="AB594">
        <f>VLOOKUP(Table5[[#This Row],[Shortname]], Comp[], 25, FALSE)</f>
        <v>0</v>
      </c>
      <c r="AC594">
        <f>VLOOKUP(Table5[[#This Row],[Shortname]], Comp[], 26, FALSE)</f>
        <v>0</v>
      </c>
      <c r="AD594">
        <f>VLOOKUP(Table5[[#This Row],[Shortname]], Comp[], 27, FALSE)</f>
        <v>0</v>
      </c>
      <c r="AE594">
        <f>VLOOKUP(Table5[[#This Row],[Shortname]], Comp[], 28, FALSE)</f>
        <v>0</v>
      </c>
      <c r="AF594">
        <f>VLOOKUP(Table5[[#This Row],[Shortname]], Comp[], 29, FALSE)</f>
        <v>0</v>
      </c>
      <c r="AG594">
        <f>VLOOKUP(Table5[[#This Row],[Shortname]], Comp[], 30, FALSE)</f>
        <v>0</v>
      </c>
      <c r="AH594">
        <f>VLOOKUP(Table5[[#This Row],[Shortname]], Comp[], 31, FALSE)</f>
        <v>0</v>
      </c>
    </row>
    <row r="595" spans="1:34" x14ac:dyDescent="0.3">
      <c r="A595" s="12" t="s">
        <v>5845</v>
      </c>
      <c r="B595">
        <v>617</v>
      </c>
      <c r="D595" s="12" t="s">
        <v>5846</v>
      </c>
      <c r="E595" s="12" t="s">
        <v>5847</v>
      </c>
      <c r="F595" s="12">
        <v>947</v>
      </c>
      <c r="J595" s="14">
        <f>VLOOKUP(Table5[[#This Row],[Shortname]], Comp[], 7, FALSE)</f>
        <v>81</v>
      </c>
      <c r="K595">
        <f>VLOOKUP(Table5[[#This Row],[Shortname]], Comp[], 8, FALSE)</f>
        <v>0</v>
      </c>
      <c r="L595">
        <f>VLOOKUP(Table5[[#This Row],[Shortname]], Comp[], 9, FALSE)</f>
        <v>9.1</v>
      </c>
      <c r="M595">
        <f>VLOOKUP(Table5[[#This Row],[Shortname]], Comp[], 10, FALSE)</f>
        <v>0</v>
      </c>
      <c r="N595">
        <f>VLOOKUP(Table5[[#This Row],[Shortname]], Comp[], 11, FALSE)</f>
        <v>0</v>
      </c>
      <c r="O595">
        <f>VLOOKUP(Table5[[#This Row],[Shortname]], Comp[],12, FALSE)</f>
        <v>0</v>
      </c>
      <c r="P595">
        <f>VLOOKUP(Table5[[#This Row],[Shortname]], Comp[], 13, FALSE)</f>
        <v>0</v>
      </c>
      <c r="Q595">
        <f>VLOOKUP(Table5[[#This Row],[Shortname]], Comp[], 14, FALSE)</f>
        <v>4.7</v>
      </c>
      <c r="R595">
        <f>VLOOKUP(Table5[[#This Row],[Shortname]], Comp[], 15, FALSE)</f>
        <v>0</v>
      </c>
      <c r="S595">
        <f>VLOOKUP(Table5[[#This Row],[Shortname]], Comp[], 16, FALSE)</f>
        <v>5.2</v>
      </c>
      <c r="T595">
        <f>VLOOKUP(Table5[[#This Row],[Shortname]], Comp[], 17, FALSE)</f>
        <v>0</v>
      </c>
      <c r="U595">
        <f>VLOOKUP(Table5[[#This Row],[Shortname]], Comp[], 18, FALSE)</f>
        <v>0</v>
      </c>
      <c r="V595">
        <f>VLOOKUP(Table5[[#This Row],[Shortname]], Comp[], 19, FALSE)</f>
        <v>0</v>
      </c>
      <c r="W595">
        <f>VLOOKUP(Table5[[#This Row],[Shortname]], Comp[], 20, FALSE)</f>
        <v>0</v>
      </c>
      <c r="X595">
        <f>VLOOKUP(Table5[[#This Row],[Shortname]], Comp[], 21, FALSE)</f>
        <v>0</v>
      </c>
      <c r="Y595">
        <f>VLOOKUP(Table5[[#This Row],[Shortname]], Comp[], 22, FALSE)</f>
        <v>0</v>
      </c>
      <c r="Z595">
        <f>VLOOKUP(Table5[[#This Row],[Shortname]], Comp[], 23, FALSE)</f>
        <v>0</v>
      </c>
      <c r="AA595">
        <f>VLOOKUP(Table5[[#This Row],[Shortname]], Comp[], 24, FALSE)</f>
        <v>0</v>
      </c>
      <c r="AB595">
        <f>VLOOKUP(Table5[[#This Row],[Shortname]], Comp[], 25, FALSE)</f>
        <v>0</v>
      </c>
      <c r="AC595">
        <f>VLOOKUP(Table5[[#This Row],[Shortname]], Comp[], 26, FALSE)</f>
        <v>0</v>
      </c>
      <c r="AD595">
        <f>VLOOKUP(Table5[[#This Row],[Shortname]], Comp[], 27, FALSE)</f>
        <v>0</v>
      </c>
      <c r="AE595">
        <f>VLOOKUP(Table5[[#This Row],[Shortname]], Comp[], 28, FALSE)</f>
        <v>0</v>
      </c>
      <c r="AF595">
        <f>VLOOKUP(Table5[[#This Row],[Shortname]], Comp[], 29, FALSE)</f>
        <v>0</v>
      </c>
      <c r="AG595">
        <f>VLOOKUP(Table5[[#This Row],[Shortname]], Comp[], 30, FALSE)</f>
        <v>0</v>
      </c>
      <c r="AH595">
        <f>VLOOKUP(Table5[[#This Row],[Shortname]], Comp[], 31, FALSE)</f>
        <v>0</v>
      </c>
    </row>
    <row r="596" spans="1:34" x14ac:dyDescent="0.3">
      <c r="A596" s="12" t="s">
        <v>5364</v>
      </c>
      <c r="B596">
        <v>618</v>
      </c>
      <c r="D596" s="12">
        <v>1</v>
      </c>
      <c r="E596" s="12" t="s">
        <v>5850</v>
      </c>
      <c r="F596" s="12">
        <v>913</v>
      </c>
      <c r="J596" s="14">
        <f>VLOOKUP(Table5[[#This Row],[Shortname]], Comp[], 7, FALSE)</f>
        <v>79.5</v>
      </c>
      <c r="K596">
        <f>VLOOKUP(Table5[[#This Row],[Shortname]], Comp[], 8, FALSE)</f>
        <v>0</v>
      </c>
      <c r="L596">
        <f>VLOOKUP(Table5[[#This Row],[Shortname]], Comp[], 9, FALSE)</f>
        <v>10.5</v>
      </c>
      <c r="M596">
        <f>VLOOKUP(Table5[[#This Row],[Shortname]], Comp[], 10, FALSE)</f>
        <v>0</v>
      </c>
      <c r="N596">
        <f>VLOOKUP(Table5[[#This Row],[Shortname]], Comp[], 11, FALSE)</f>
        <v>0</v>
      </c>
      <c r="O596">
        <f>VLOOKUP(Table5[[#This Row],[Shortname]], Comp[],12, FALSE)</f>
        <v>0</v>
      </c>
      <c r="P596">
        <f>VLOOKUP(Table5[[#This Row],[Shortname]], Comp[], 13, FALSE)</f>
        <v>0</v>
      </c>
      <c r="Q596">
        <f>VLOOKUP(Table5[[#This Row],[Shortname]], Comp[], 14, FALSE)</f>
        <v>2.8</v>
      </c>
      <c r="R596">
        <f>VLOOKUP(Table5[[#This Row],[Shortname]], Comp[], 15, FALSE)</f>
        <v>0</v>
      </c>
      <c r="S596">
        <f>VLOOKUP(Table5[[#This Row],[Shortname]], Comp[], 16, FALSE)</f>
        <v>7.2</v>
      </c>
      <c r="T596">
        <f>VLOOKUP(Table5[[#This Row],[Shortname]], Comp[], 17, FALSE)</f>
        <v>0</v>
      </c>
      <c r="U596">
        <f>VLOOKUP(Table5[[#This Row],[Shortname]], Comp[], 18, FALSE)</f>
        <v>0</v>
      </c>
      <c r="V596">
        <f>VLOOKUP(Table5[[#This Row],[Shortname]], Comp[], 19, FALSE)</f>
        <v>0</v>
      </c>
      <c r="W596">
        <f>VLOOKUP(Table5[[#This Row],[Shortname]], Comp[], 20, FALSE)</f>
        <v>0</v>
      </c>
      <c r="X596">
        <f>VLOOKUP(Table5[[#This Row],[Shortname]], Comp[], 21, FALSE)</f>
        <v>0</v>
      </c>
      <c r="Y596">
        <f>VLOOKUP(Table5[[#This Row],[Shortname]], Comp[], 22, FALSE)</f>
        <v>0</v>
      </c>
      <c r="Z596">
        <f>VLOOKUP(Table5[[#This Row],[Shortname]], Comp[], 23, FALSE)</f>
        <v>0</v>
      </c>
      <c r="AA596">
        <f>VLOOKUP(Table5[[#This Row],[Shortname]], Comp[], 24, FALSE)</f>
        <v>0</v>
      </c>
      <c r="AB596">
        <f>VLOOKUP(Table5[[#This Row],[Shortname]], Comp[], 25, FALSE)</f>
        <v>0</v>
      </c>
      <c r="AC596">
        <f>VLOOKUP(Table5[[#This Row],[Shortname]], Comp[], 26, FALSE)</f>
        <v>0</v>
      </c>
      <c r="AD596">
        <f>VLOOKUP(Table5[[#This Row],[Shortname]], Comp[], 27, FALSE)</f>
        <v>0</v>
      </c>
      <c r="AE596">
        <f>VLOOKUP(Table5[[#This Row],[Shortname]], Comp[], 28, FALSE)</f>
        <v>0</v>
      </c>
      <c r="AF596">
        <f>VLOOKUP(Table5[[#This Row],[Shortname]], Comp[], 29, FALSE)</f>
        <v>0</v>
      </c>
      <c r="AG596">
        <f>VLOOKUP(Table5[[#This Row],[Shortname]], Comp[], 30, FALSE)</f>
        <v>0</v>
      </c>
      <c r="AH596">
        <f>VLOOKUP(Table5[[#This Row],[Shortname]], Comp[], 31, FALSE)</f>
        <v>0</v>
      </c>
    </row>
    <row r="597" spans="1:34" x14ac:dyDescent="0.3">
      <c r="A597" s="12" t="s">
        <v>5852</v>
      </c>
      <c r="B597">
        <v>619</v>
      </c>
      <c r="D597" s="12">
        <v>2</v>
      </c>
      <c r="E597" s="12" t="s">
        <v>5853</v>
      </c>
      <c r="F597" s="12">
        <v>872</v>
      </c>
      <c r="J597" s="14">
        <f>VLOOKUP(Table5[[#This Row],[Shortname]], Comp[], 7, FALSE)</f>
        <v>82.2</v>
      </c>
      <c r="K597">
        <f>VLOOKUP(Table5[[#This Row],[Shortname]], Comp[], 8, FALSE)</f>
        <v>0</v>
      </c>
      <c r="L597">
        <f>VLOOKUP(Table5[[#This Row],[Shortname]], Comp[], 9, FALSE)</f>
        <v>10.199999999999999</v>
      </c>
      <c r="M597">
        <f>VLOOKUP(Table5[[#This Row],[Shortname]], Comp[], 10, FALSE)</f>
        <v>0</v>
      </c>
      <c r="N597">
        <f>VLOOKUP(Table5[[#This Row],[Shortname]], Comp[], 11, FALSE)</f>
        <v>0</v>
      </c>
      <c r="O597">
        <f>VLOOKUP(Table5[[#This Row],[Shortname]], Comp[],12, FALSE)</f>
        <v>0</v>
      </c>
      <c r="P597">
        <f>VLOOKUP(Table5[[#This Row],[Shortname]], Comp[], 13, FALSE)</f>
        <v>0</v>
      </c>
      <c r="Q597">
        <f>VLOOKUP(Table5[[#This Row],[Shortname]], Comp[], 14, FALSE)</f>
        <v>2.1</v>
      </c>
      <c r="R597">
        <f>VLOOKUP(Table5[[#This Row],[Shortname]], Comp[], 15, FALSE)</f>
        <v>0</v>
      </c>
      <c r="S597">
        <f>VLOOKUP(Table5[[#This Row],[Shortname]], Comp[], 16, FALSE)</f>
        <v>5.5</v>
      </c>
      <c r="T597">
        <f>VLOOKUP(Table5[[#This Row],[Shortname]], Comp[], 17, FALSE)</f>
        <v>0</v>
      </c>
      <c r="U597">
        <f>VLOOKUP(Table5[[#This Row],[Shortname]], Comp[], 18, FALSE)</f>
        <v>0</v>
      </c>
      <c r="V597">
        <f>VLOOKUP(Table5[[#This Row],[Shortname]], Comp[], 19, FALSE)</f>
        <v>0</v>
      </c>
      <c r="W597">
        <f>VLOOKUP(Table5[[#This Row],[Shortname]], Comp[], 20, FALSE)</f>
        <v>0</v>
      </c>
      <c r="X597">
        <f>VLOOKUP(Table5[[#This Row],[Shortname]], Comp[], 21, FALSE)</f>
        <v>0</v>
      </c>
      <c r="Y597">
        <f>VLOOKUP(Table5[[#This Row],[Shortname]], Comp[], 22, FALSE)</f>
        <v>0</v>
      </c>
      <c r="Z597">
        <f>VLOOKUP(Table5[[#This Row],[Shortname]], Comp[], 23, FALSE)</f>
        <v>0</v>
      </c>
      <c r="AA597">
        <f>VLOOKUP(Table5[[#This Row],[Shortname]], Comp[], 24, FALSE)</f>
        <v>0</v>
      </c>
      <c r="AB597">
        <f>VLOOKUP(Table5[[#This Row],[Shortname]], Comp[], 25, FALSE)</f>
        <v>0</v>
      </c>
      <c r="AC597">
        <f>VLOOKUP(Table5[[#This Row],[Shortname]], Comp[], 26, FALSE)</f>
        <v>0</v>
      </c>
      <c r="AD597">
        <f>VLOOKUP(Table5[[#This Row],[Shortname]], Comp[], 27, FALSE)</f>
        <v>0</v>
      </c>
      <c r="AE597">
        <f>VLOOKUP(Table5[[#This Row],[Shortname]], Comp[], 28, FALSE)</f>
        <v>0</v>
      </c>
      <c r="AF597">
        <f>VLOOKUP(Table5[[#This Row],[Shortname]], Comp[], 29, FALSE)</f>
        <v>0</v>
      </c>
      <c r="AG597">
        <f>VLOOKUP(Table5[[#This Row],[Shortname]], Comp[], 30, FALSE)</f>
        <v>0</v>
      </c>
      <c r="AH597">
        <f>VLOOKUP(Table5[[#This Row],[Shortname]], Comp[], 31, FALSE)</f>
        <v>0</v>
      </c>
    </row>
    <row r="598" spans="1:34" x14ac:dyDescent="0.3">
      <c r="A598" s="12" t="s">
        <v>5369</v>
      </c>
      <c r="B598">
        <v>620</v>
      </c>
      <c r="D598" s="12">
        <v>3</v>
      </c>
      <c r="E598" s="12" t="s">
        <v>5856</v>
      </c>
      <c r="F598" s="12">
        <v>860</v>
      </c>
      <c r="J598" s="14">
        <f>VLOOKUP(Table5[[#This Row],[Shortname]], Comp[], 7, FALSE)</f>
        <v>83.3</v>
      </c>
      <c r="K598">
        <f>VLOOKUP(Table5[[#This Row],[Shortname]], Comp[], 8, FALSE)</f>
        <v>0</v>
      </c>
      <c r="L598">
        <f>VLOOKUP(Table5[[#This Row],[Shortname]], Comp[], 9, FALSE)</f>
        <v>10.9</v>
      </c>
      <c r="M598">
        <f>VLOOKUP(Table5[[#This Row],[Shortname]], Comp[], 10, FALSE)</f>
        <v>0</v>
      </c>
      <c r="N598">
        <f>VLOOKUP(Table5[[#This Row],[Shortname]], Comp[], 11, FALSE)</f>
        <v>0</v>
      </c>
      <c r="O598">
        <f>VLOOKUP(Table5[[#This Row],[Shortname]], Comp[],12, FALSE)</f>
        <v>0</v>
      </c>
      <c r="P598">
        <f>VLOOKUP(Table5[[#This Row],[Shortname]], Comp[], 13, FALSE)</f>
        <v>0</v>
      </c>
      <c r="Q598">
        <f>VLOOKUP(Table5[[#This Row],[Shortname]], Comp[], 14, FALSE)</f>
        <v>1.6</v>
      </c>
      <c r="R598">
        <f>VLOOKUP(Table5[[#This Row],[Shortname]], Comp[], 15, FALSE)</f>
        <v>0</v>
      </c>
      <c r="S598">
        <f>VLOOKUP(Table5[[#This Row],[Shortname]], Comp[], 16, FALSE)</f>
        <v>4.2</v>
      </c>
      <c r="T598">
        <f>VLOOKUP(Table5[[#This Row],[Shortname]], Comp[], 17, FALSE)</f>
        <v>0</v>
      </c>
      <c r="U598">
        <f>VLOOKUP(Table5[[#This Row],[Shortname]], Comp[], 18, FALSE)</f>
        <v>0</v>
      </c>
      <c r="V598">
        <f>VLOOKUP(Table5[[#This Row],[Shortname]], Comp[], 19, FALSE)</f>
        <v>0</v>
      </c>
      <c r="W598">
        <f>VLOOKUP(Table5[[#This Row],[Shortname]], Comp[], 20, FALSE)</f>
        <v>0</v>
      </c>
      <c r="X598">
        <f>VLOOKUP(Table5[[#This Row],[Shortname]], Comp[], 21, FALSE)</f>
        <v>0</v>
      </c>
      <c r="Y598">
        <f>VLOOKUP(Table5[[#This Row],[Shortname]], Comp[], 22, FALSE)</f>
        <v>0</v>
      </c>
      <c r="Z598">
        <f>VLOOKUP(Table5[[#This Row],[Shortname]], Comp[], 23, FALSE)</f>
        <v>0</v>
      </c>
      <c r="AA598">
        <f>VLOOKUP(Table5[[#This Row],[Shortname]], Comp[], 24, FALSE)</f>
        <v>0</v>
      </c>
      <c r="AB598">
        <f>VLOOKUP(Table5[[#This Row],[Shortname]], Comp[], 25, FALSE)</f>
        <v>0</v>
      </c>
      <c r="AC598">
        <f>VLOOKUP(Table5[[#This Row],[Shortname]], Comp[], 26, FALSE)</f>
        <v>0</v>
      </c>
      <c r="AD598">
        <f>VLOOKUP(Table5[[#This Row],[Shortname]], Comp[], 27, FALSE)</f>
        <v>0</v>
      </c>
      <c r="AE598">
        <f>VLOOKUP(Table5[[#This Row],[Shortname]], Comp[], 28, FALSE)</f>
        <v>0</v>
      </c>
      <c r="AF598">
        <f>VLOOKUP(Table5[[#This Row],[Shortname]], Comp[], 29, FALSE)</f>
        <v>0</v>
      </c>
      <c r="AG598">
        <f>VLOOKUP(Table5[[#This Row],[Shortname]], Comp[], 30, FALSE)</f>
        <v>0</v>
      </c>
      <c r="AH598">
        <f>VLOOKUP(Table5[[#This Row],[Shortname]], Comp[], 31, FALSE)</f>
        <v>0</v>
      </c>
    </row>
    <row r="599" spans="1:34" x14ac:dyDescent="0.3">
      <c r="A599" s="12" t="s">
        <v>5374</v>
      </c>
      <c r="B599">
        <v>621</v>
      </c>
      <c r="D599" s="12">
        <v>4</v>
      </c>
      <c r="E599" s="12" t="s">
        <v>5858</v>
      </c>
      <c r="F599" s="12">
        <v>822</v>
      </c>
      <c r="J599" s="14">
        <f>VLOOKUP(Table5[[#This Row],[Shortname]], Comp[], 7, FALSE)</f>
        <v>83.3</v>
      </c>
      <c r="K599">
        <f>VLOOKUP(Table5[[#This Row],[Shortname]], Comp[], 8, FALSE)</f>
        <v>0</v>
      </c>
      <c r="L599">
        <f>VLOOKUP(Table5[[#This Row],[Shortname]], Comp[], 9, FALSE)</f>
        <v>10.1</v>
      </c>
      <c r="M599">
        <f>VLOOKUP(Table5[[#This Row],[Shortname]], Comp[], 10, FALSE)</f>
        <v>0</v>
      </c>
      <c r="N599">
        <f>VLOOKUP(Table5[[#This Row],[Shortname]], Comp[], 11, FALSE)</f>
        <v>0</v>
      </c>
      <c r="O599">
        <f>VLOOKUP(Table5[[#This Row],[Shortname]], Comp[],12, FALSE)</f>
        <v>0</v>
      </c>
      <c r="P599">
        <f>VLOOKUP(Table5[[#This Row],[Shortname]], Comp[], 13, FALSE)</f>
        <v>0</v>
      </c>
      <c r="Q599">
        <f>VLOOKUP(Table5[[#This Row],[Shortname]], Comp[], 14, FALSE)</f>
        <v>1</v>
      </c>
      <c r="R599">
        <f>VLOOKUP(Table5[[#This Row],[Shortname]], Comp[], 15, FALSE)</f>
        <v>0</v>
      </c>
      <c r="S599">
        <f>VLOOKUP(Table5[[#This Row],[Shortname]], Comp[], 16, FALSE)</f>
        <v>5.6</v>
      </c>
      <c r="T599">
        <f>VLOOKUP(Table5[[#This Row],[Shortname]], Comp[], 17, FALSE)</f>
        <v>0</v>
      </c>
      <c r="U599">
        <f>VLOOKUP(Table5[[#This Row],[Shortname]], Comp[], 18, FALSE)</f>
        <v>0</v>
      </c>
      <c r="V599">
        <f>VLOOKUP(Table5[[#This Row],[Shortname]], Comp[], 19, FALSE)</f>
        <v>0</v>
      </c>
      <c r="W599">
        <f>VLOOKUP(Table5[[#This Row],[Shortname]], Comp[], 20, FALSE)</f>
        <v>0</v>
      </c>
      <c r="X599">
        <f>VLOOKUP(Table5[[#This Row],[Shortname]], Comp[], 21, FALSE)</f>
        <v>0</v>
      </c>
      <c r="Y599">
        <f>VLOOKUP(Table5[[#This Row],[Shortname]], Comp[], 22, FALSE)</f>
        <v>0</v>
      </c>
      <c r="Z599">
        <f>VLOOKUP(Table5[[#This Row],[Shortname]], Comp[], 23, FALSE)</f>
        <v>0</v>
      </c>
      <c r="AA599">
        <f>VLOOKUP(Table5[[#This Row],[Shortname]], Comp[], 24, FALSE)</f>
        <v>0</v>
      </c>
      <c r="AB599">
        <f>VLOOKUP(Table5[[#This Row],[Shortname]], Comp[], 25, FALSE)</f>
        <v>0</v>
      </c>
      <c r="AC599">
        <f>VLOOKUP(Table5[[#This Row],[Shortname]], Comp[], 26, FALSE)</f>
        <v>0</v>
      </c>
      <c r="AD599">
        <f>VLOOKUP(Table5[[#This Row],[Shortname]], Comp[], 27, FALSE)</f>
        <v>0</v>
      </c>
      <c r="AE599">
        <f>VLOOKUP(Table5[[#This Row],[Shortname]], Comp[], 28, FALSE)</f>
        <v>0</v>
      </c>
      <c r="AF599">
        <f>VLOOKUP(Table5[[#This Row],[Shortname]], Comp[], 29, FALSE)</f>
        <v>0</v>
      </c>
      <c r="AG599">
        <f>VLOOKUP(Table5[[#This Row],[Shortname]], Comp[], 30, FALSE)</f>
        <v>0</v>
      </c>
      <c r="AH599">
        <f>VLOOKUP(Table5[[#This Row],[Shortname]], Comp[], 31, FALSE)</f>
        <v>0</v>
      </c>
    </row>
    <row r="600" spans="1:34" x14ac:dyDescent="0.3">
      <c r="A600" s="12" t="s">
        <v>5864</v>
      </c>
      <c r="B600">
        <v>622</v>
      </c>
      <c r="D600" s="12" t="s">
        <v>5865</v>
      </c>
      <c r="E600" s="12" t="s">
        <v>5866</v>
      </c>
      <c r="F600" s="12">
        <v>1082</v>
      </c>
      <c r="G600" s="12">
        <v>1364</v>
      </c>
      <c r="J600" s="14">
        <f>VLOOKUP(Table5[[#This Row],[Shortname]], Comp[], 7, FALSE)</f>
        <v>50.830000000000005</v>
      </c>
      <c r="K600">
        <f>VLOOKUP(Table5[[#This Row],[Shortname]], Comp[], 8, FALSE)</f>
        <v>30</v>
      </c>
      <c r="L600">
        <f>VLOOKUP(Table5[[#This Row],[Shortname]], Comp[], 9, FALSE)</f>
        <v>9</v>
      </c>
      <c r="M600">
        <f>VLOOKUP(Table5[[#This Row],[Shortname]], Comp[], 10, FALSE)</f>
        <v>0</v>
      </c>
      <c r="N600">
        <f>VLOOKUP(Table5[[#This Row],[Shortname]], Comp[], 11, FALSE)</f>
        <v>6</v>
      </c>
      <c r="O600">
        <f>VLOOKUP(Table5[[#This Row],[Shortname]], Comp[],12, FALSE)</f>
        <v>3</v>
      </c>
      <c r="P600">
        <f>VLOOKUP(Table5[[#This Row],[Shortname]], Comp[], 13, FALSE)</f>
        <v>1</v>
      </c>
      <c r="Q600">
        <f>VLOOKUP(Table5[[#This Row],[Shortname]], Comp[], 14, FALSE)</f>
        <v>0</v>
      </c>
      <c r="R600">
        <f>VLOOKUP(Table5[[#This Row],[Shortname]], Comp[], 15, FALSE)</f>
        <v>0</v>
      </c>
      <c r="S600">
        <f>VLOOKUP(Table5[[#This Row],[Shortname]], Comp[], 16, FALSE)</f>
        <v>0</v>
      </c>
      <c r="T600">
        <f>VLOOKUP(Table5[[#This Row],[Shortname]], Comp[], 17, FALSE)</f>
        <v>0</v>
      </c>
      <c r="U600">
        <f>VLOOKUP(Table5[[#This Row],[Shortname]], Comp[], 18, FALSE)</f>
        <v>0.05</v>
      </c>
      <c r="V600">
        <f>VLOOKUP(Table5[[#This Row],[Shortname]], Comp[], 19, FALSE)</f>
        <v>0.12</v>
      </c>
      <c r="W600">
        <f>VLOOKUP(Table5[[#This Row],[Shortname]], Comp[], 20, FALSE)</f>
        <v>0</v>
      </c>
      <c r="X600">
        <f>VLOOKUP(Table5[[#This Row],[Shortname]], Comp[], 21, FALSE)</f>
        <v>0</v>
      </c>
      <c r="Y600">
        <f>VLOOKUP(Table5[[#This Row],[Shortname]], Comp[], 22, FALSE)</f>
        <v>0</v>
      </c>
      <c r="Z600">
        <f>VLOOKUP(Table5[[#This Row],[Shortname]], Comp[], 23, FALSE)</f>
        <v>0</v>
      </c>
      <c r="AA600">
        <f>VLOOKUP(Table5[[#This Row],[Shortname]], Comp[], 24, FALSE)</f>
        <v>0</v>
      </c>
      <c r="AB600">
        <f>VLOOKUP(Table5[[#This Row],[Shortname]], Comp[], 25, FALSE)</f>
        <v>0</v>
      </c>
      <c r="AC600">
        <f>VLOOKUP(Table5[[#This Row],[Shortname]], Comp[], 26, FALSE)</f>
        <v>0</v>
      </c>
      <c r="AD600">
        <f>VLOOKUP(Table5[[#This Row],[Shortname]], Comp[], 27, FALSE)</f>
        <v>0</v>
      </c>
      <c r="AE600">
        <f>VLOOKUP(Table5[[#This Row],[Shortname]], Comp[], 28, FALSE)</f>
        <v>0</v>
      </c>
      <c r="AF600">
        <f>VLOOKUP(Table5[[#This Row],[Shortname]], Comp[], 29, FALSE)</f>
        <v>0</v>
      </c>
      <c r="AG600">
        <f>VLOOKUP(Table5[[#This Row],[Shortname]], Comp[], 30, FALSE)</f>
        <v>0</v>
      </c>
      <c r="AH600">
        <f>VLOOKUP(Table5[[#This Row],[Shortname]], Comp[], 31, FALSE)</f>
        <v>0</v>
      </c>
    </row>
    <row r="601" spans="1:34" x14ac:dyDescent="0.3">
      <c r="A601" s="12" t="s">
        <v>5869</v>
      </c>
      <c r="B601">
        <v>623</v>
      </c>
      <c r="D601" s="12" t="s">
        <v>5870</v>
      </c>
      <c r="E601" s="12" t="s">
        <v>5871</v>
      </c>
      <c r="F601" s="12">
        <v>1118</v>
      </c>
      <c r="G601" s="12">
        <v>1381</v>
      </c>
      <c r="J601" s="14">
        <f>VLOOKUP(Table5[[#This Row],[Shortname]], Comp[], 7, FALSE)</f>
        <v>44.830000000000005</v>
      </c>
      <c r="K601">
        <f>VLOOKUP(Table5[[#This Row],[Shortname]], Comp[], 8, FALSE)</f>
        <v>30</v>
      </c>
      <c r="L601">
        <f>VLOOKUP(Table5[[#This Row],[Shortname]], Comp[], 9, FALSE)</f>
        <v>9</v>
      </c>
      <c r="M601">
        <f>VLOOKUP(Table5[[#This Row],[Shortname]], Comp[], 10, FALSE)</f>
        <v>6</v>
      </c>
      <c r="N601">
        <f>VLOOKUP(Table5[[#This Row],[Shortname]], Comp[], 11, FALSE)</f>
        <v>6</v>
      </c>
      <c r="O601">
        <f>VLOOKUP(Table5[[#This Row],[Shortname]], Comp[],12, FALSE)</f>
        <v>3</v>
      </c>
      <c r="P601">
        <f>VLOOKUP(Table5[[#This Row],[Shortname]], Comp[], 13, FALSE)</f>
        <v>1</v>
      </c>
      <c r="Q601">
        <f>VLOOKUP(Table5[[#This Row],[Shortname]], Comp[], 14, FALSE)</f>
        <v>0</v>
      </c>
      <c r="R601">
        <f>VLOOKUP(Table5[[#This Row],[Shortname]], Comp[], 15, FALSE)</f>
        <v>0</v>
      </c>
      <c r="S601">
        <f>VLOOKUP(Table5[[#This Row],[Shortname]], Comp[], 16, FALSE)</f>
        <v>0</v>
      </c>
      <c r="T601">
        <f>VLOOKUP(Table5[[#This Row],[Shortname]], Comp[], 17, FALSE)</f>
        <v>0</v>
      </c>
      <c r="U601">
        <f>VLOOKUP(Table5[[#This Row],[Shortname]], Comp[], 18, FALSE)</f>
        <v>0.05</v>
      </c>
      <c r="V601">
        <f>VLOOKUP(Table5[[#This Row],[Shortname]], Comp[], 19, FALSE)</f>
        <v>0.12</v>
      </c>
      <c r="W601">
        <f>VLOOKUP(Table5[[#This Row],[Shortname]], Comp[], 20, FALSE)</f>
        <v>0</v>
      </c>
      <c r="X601">
        <f>VLOOKUP(Table5[[#This Row],[Shortname]], Comp[], 21, FALSE)</f>
        <v>0</v>
      </c>
      <c r="Y601">
        <f>VLOOKUP(Table5[[#This Row],[Shortname]], Comp[], 22, FALSE)</f>
        <v>0</v>
      </c>
      <c r="Z601">
        <f>VLOOKUP(Table5[[#This Row],[Shortname]], Comp[], 23, FALSE)</f>
        <v>0</v>
      </c>
      <c r="AA601">
        <f>VLOOKUP(Table5[[#This Row],[Shortname]], Comp[], 24, FALSE)</f>
        <v>0</v>
      </c>
      <c r="AB601">
        <f>VLOOKUP(Table5[[#This Row],[Shortname]], Comp[], 25, FALSE)</f>
        <v>0</v>
      </c>
      <c r="AC601">
        <f>VLOOKUP(Table5[[#This Row],[Shortname]], Comp[], 26, FALSE)</f>
        <v>0</v>
      </c>
      <c r="AD601">
        <f>VLOOKUP(Table5[[#This Row],[Shortname]], Comp[], 27, FALSE)</f>
        <v>0</v>
      </c>
      <c r="AE601">
        <f>VLOOKUP(Table5[[#This Row],[Shortname]], Comp[], 28, FALSE)</f>
        <v>0</v>
      </c>
      <c r="AF601">
        <f>VLOOKUP(Table5[[#This Row],[Shortname]], Comp[], 29, FALSE)</f>
        <v>0</v>
      </c>
      <c r="AG601">
        <f>VLOOKUP(Table5[[#This Row],[Shortname]], Comp[], 30, FALSE)</f>
        <v>0</v>
      </c>
      <c r="AH601">
        <f>VLOOKUP(Table5[[#This Row],[Shortname]], Comp[], 31, FALSE)</f>
        <v>0</v>
      </c>
    </row>
    <row r="602" spans="1:34" x14ac:dyDescent="0.3">
      <c r="A602" s="12" t="s">
        <v>5873</v>
      </c>
      <c r="B602">
        <v>624</v>
      </c>
      <c r="D602" s="12" t="s">
        <v>5874</v>
      </c>
      <c r="E602" s="12" t="s">
        <v>5875</v>
      </c>
      <c r="F602" s="12">
        <v>1138</v>
      </c>
      <c r="G602" s="12">
        <v>1394</v>
      </c>
      <c r="J602" s="14">
        <f>VLOOKUP(Table5[[#This Row],[Shortname]], Comp[], 7, FALSE)</f>
        <v>40.830000000000005</v>
      </c>
      <c r="K602">
        <f>VLOOKUP(Table5[[#This Row],[Shortname]], Comp[], 8, FALSE)</f>
        <v>30</v>
      </c>
      <c r="L602">
        <f>VLOOKUP(Table5[[#This Row],[Shortname]], Comp[], 9, FALSE)</f>
        <v>9</v>
      </c>
      <c r="M602">
        <f>VLOOKUP(Table5[[#This Row],[Shortname]], Comp[], 10, FALSE)</f>
        <v>10</v>
      </c>
      <c r="N602">
        <f>VLOOKUP(Table5[[#This Row],[Shortname]], Comp[], 11, FALSE)</f>
        <v>6</v>
      </c>
      <c r="O602">
        <f>VLOOKUP(Table5[[#This Row],[Shortname]], Comp[],12, FALSE)</f>
        <v>3</v>
      </c>
      <c r="P602">
        <f>VLOOKUP(Table5[[#This Row],[Shortname]], Comp[], 13, FALSE)</f>
        <v>1</v>
      </c>
      <c r="Q602">
        <f>VLOOKUP(Table5[[#This Row],[Shortname]], Comp[], 14, FALSE)</f>
        <v>0</v>
      </c>
      <c r="R602">
        <f>VLOOKUP(Table5[[#This Row],[Shortname]], Comp[], 15, FALSE)</f>
        <v>0</v>
      </c>
      <c r="S602">
        <f>VLOOKUP(Table5[[#This Row],[Shortname]], Comp[], 16, FALSE)</f>
        <v>0</v>
      </c>
      <c r="T602">
        <f>VLOOKUP(Table5[[#This Row],[Shortname]], Comp[], 17, FALSE)</f>
        <v>0</v>
      </c>
      <c r="U602">
        <f>VLOOKUP(Table5[[#This Row],[Shortname]], Comp[], 18, FALSE)</f>
        <v>0.05</v>
      </c>
      <c r="V602">
        <f>VLOOKUP(Table5[[#This Row],[Shortname]], Comp[], 19, FALSE)</f>
        <v>0.12</v>
      </c>
      <c r="W602">
        <f>VLOOKUP(Table5[[#This Row],[Shortname]], Comp[], 20, FALSE)</f>
        <v>0</v>
      </c>
      <c r="X602">
        <f>VLOOKUP(Table5[[#This Row],[Shortname]], Comp[], 21, FALSE)</f>
        <v>0</v>
      </c>
      <c r="Y602">
        <f>VLOOKUP(Table5[[#This Row],[Shortname]], Comp[], 22, FALSE)</f>
        <v>0</v>
      </c>
      <c r="Z602">
        <f>VLOOKUP(Table5[[#This Row],[Shortname]], Comp[], 23, FALSE)</f>
        <v>0</v>
      </c>
      <c r="AA602">
        <f>VLOOKUP(Table5[[#This Row],[Shortname]], Comp[], 24, FALSE)</f>
        <v>0</v>
      </c>
      <c r="AB602">
        <f>VLOOKUP(Table5[[#This Row],[Shortname]], Comp[], 25, FALSE)</f>
        <v>0</v>
      </c>
      <c r="AC602">
        <f>VLOOKUP(Table5[[#This Row],[Shortname]], Comp[], 26, FALSE)</f>
        <v>0</v>
      </c>
      <c r="AD602">
        <f>VLOOKUP(Table5[[#This Row],[Shortname]], Comp[], 27, FALSE)</f>
        <v>0</v>
      </c>
      <c r="AE602">
        <f>VLOOKUP(Table5[[#This Row],[Shortname]], Comp[], 28, FALSE)</f>
        <v>0</v>
      </c>
      <c r="AF602">
        <f>VLOOKUP(Table5[[#This Row],[Shortname]], Comp[], 29, FALSE)</f>
        <v>0</v>
      </c>
      <c r="AG602">
        <f>VLOOKUP(Table5[[#This Row],[Shortname]], Comp[], 30, FALSE)</f>
        <v>0</v>
      </c>
      <c r="AH602">
        <f>VLOOKUP(Table5[[#This Row],[Shortname]], Comp[], 31, FALSE)</f>
        <v>0</v>
      </c>
    </row>
    <row r="603" spans="1:34" x14ac:dyDescent="0.3">
      <c r="A603" s="12" t="s">
        <v>5877</v>
      </c>
      <c r="B603">
        <v>625</v>
      </c>
      <c r="D603" s="12" t="s">
        <v>5878</v>
      </c>
      <c r="E603" s="12" t="s">
        <v>5879</v>
      </c>
      <c r="F603" s="12">
        <v>1143</v>
      </c>
      <c r="J603" s="14">
        <f>VLOOKUP(Table5[[#This Row],[Shortname]], Comp[], 7, FALSE)</f>
        <v>36.830000000000005</v>
      </c>
      <c r="K603">
        <f>VLOOKUP(Table5[[#This Row],[Shortname]], Comp[], 8, FALSE)</f>
        <v>30</v>
      </c>
      <c r="L603">
        <f>VLOOKUP(Table5[[#This Row],[Shortname]], Comp[], 9, FALSE)</f>
        <v>9</v>
      </c>
      <c r="M603">
        <f>VLOOKUP(Table5[[#This Row],[Shortname]], Comp[], 10, FALSE)</f>
        <v>14</v>
      </c>
      <c r="N603">
        <f>VLOOKUP(Table5[[#This Row],[Shortname]], Comp[], 11, FALSE)</f>
        <v>6</v>
      </c>
      <c r="O603">
        <f>VLOOKUP(Table5[[#This Row],[Shortname]], Comp[],12, FALSE)</f>
        <v>3</v>
      </c>
      <c r="P603">
        <f>VLOOKUP(Table5[[#This Row],[Shortname]], Comp[], 13, FALSE)</f>
        <v>1</v>
      </c>
      <c r="Q603">
        <f>VLOOKUP(Table5[[#This Row],[Shortname]], Comp[], 14, FALSE)</f>
        <v>0</v>
      </c>
      <c r="R603">
        <f>VLOOKUP(Table5[[#This Row],[Shortname]], Comp[], 15, FALSE)</f>
        <v>0</v>
      </c>
      <c r="S603">
        <f>VLOOKUP(Table5[[#This Row],[Shortname]], Comp[], 16, FALSE)</f>
        <v>0</v>
      </c>
      <c r="T603">
        <f>VLOOKUP(Table5[[#This Row],[Shortname]], Comp[], 17, FALSE)</f>
        <v>0</v>
      </c>
      <c r="U603">
        <f>VLOOKUP(Table5[[#This Row],[Shortname]], Comp[], 18, FALSE)</f>
        <v>0.05</v>
      </c>
      <c r="V603">
        <f>VLOOKUP(Table5[[#This Row],[Shortname]], Comp[], 19, FALSE)</f>
        <v>0.12</v>
      </c>
      <c r="W603">
        <f>VLOOKUP(Table5[[#This Row],[Shortname]], Comp[], 20, FALSE)</f>
        <v>0</v>
      </c>
      <c r="X603">
        <f>VLOOKUP(Table5[[#This Row],[Shortname]], Comp[], 21, FALSE)</f>
        <v>0</v>
      </c>
      <c r="Y603">
        <f>VLOOKUP(Table5[[#This Row],[Shortname]], Comp[], 22, FALSE)</f>
        <v>0</v>
      </c>
      <c r="Z603">
        <f>VLOOKUP(Table5[[#This Row],[Shortname]], Comp[], 23, FALSE)</f>
        <v>0</v>
      </c>
      <c r="AA603">
        <f>VLOOKUP(Table5[[#This Row],[Shortname]], Comp[], 24, FALSE)</f>
        <v>0</v>
      </c>
      <c r="AB603">
        <f>VLOOKUP(Table5[[#This Row],[Shortname]], Comp[], 25, FALSE)</f>
        <v>0</v>
      </c>
      <c r="AC603">
        <f>VLOOKUP(Table5[[#This Row],[Shortname]], Comp[], 26, FALSE)</f>
        <v>0</v>
      </c>
      <c r="AD603">
        <f>VLOOKUP(Table5[[#This Row],[Shortname]], Comp[], 27, FALSE)</f>
        <v>0</v>
      </c>
      <c r="AE603">
        <f>VLOOKUP(Table5[[#This Row],[Shortname]], Comp[], 28, FALSE)</f>
        <v>0</v>
      </c>
      <c r="AF603">
        <f>VLOOKUP(Table5[[#This Row],[Shortname]], Comp[], 29, FALSE)</f>
        <v>0</v>
      </c>
      <c r="AG603">
        <f>VLOOKUP(Table5[[#This Row],[Shortname]], Comp[], 30, FALSE)</f>
        <v>0</v>
      </c>
      <c r="AH603">
        <f>VLOOKUP(Table5[[#This Row],[Shortname]], Comp[], 31, FALSE)</f>
        <v>0</v>
      </c>
    </row>
    <row r="604" spans="1:34" x14ac:dyDescent="0.3">
      <c r="A604" s="12" t="s">
        <v>5908</v>
      </c>
      <c r="B604">
        <v>626</v>
      </c>
      <c r="D604" s="12" t="s">
        <v>5909</v>
      </c>
      <c r="E604" s="12" t="s">
        <v>5910</v>
      </c>
      <c r="F604" s="12">
        <v>1090</v>
      </c>
      <c r="J604" s="14">
        <f>VLOOKUP(Table5[[#This Row],[Shortname]], Comp[], 7, FALSE)</f>
        <v>40.18</v>
      </c>
      <c r="K604">
        <f>VLOOKUP(Table5[[#This Row],[Shortname]], Comp[], 8, FALSE)</f>
        <v>30.08</v>
      </c>
      <c r="L604">
        <f>VLOOKUP(Table5[[#This Row],[Shortname]], Comp[], 9, FALSE)</f>
        <v>7.4</v>
      </c>
      <c r="M604">
        <f>VLOOKUP(Table5[[#This Row],[Shortname]], Comp[], 10, FALSE)</f>
        <v>14.09</v>
      </c>
      <c r="N604">
        <f>VLOOKUP(Table5[[#This Row],[Shortname]], Comp[], 11, FALSE)</f>
        <v>2</v>
      </c>
      <c r="O604">
        <f>VLOOKUP(Table5[[#This Row],[Shortname]], Comp[],12, FALSE)</f>
        <v>4.0599999999999996</v>
      </c>
      <c r="P604">
        <f>VLOOKUP(Table5[[#This Row],[Shortname]], Comp[], 13, FALSE)</f>
        <v>1</v>
      </c>
      <c r="Q604">
        <f>VLOOKUP(Table5[[#This Row],[Shortname]], Comp[], 14, FALSE)</f>
        <v>0</v>
      </c>
      <c r="R604">
        <f>VLOOKUP(Table5[[#This Row],[Shortname]], Comp[], 15, FALSE)</f>
        <v>0</v>
      </c>
      <c r="S604">
        <f>VLOOKUP(Table5[[#This Row],[Shortname]], Comp[], 16, FALSE)</f>
        <v>1.02</v>
      </c>
      <c r="T604">
        <f>VLOOKUP(Table5[[#This Row],[Shortname]], Comp[], 17, FALSE)</f>
        <v>0.02</v>
      </c>
      <c r="U604">
        <f>VLOOKUP(Table5[[#This Row],[Shortname]], Comp[], 18, FALSE)</f>
        <v>0</v>
      </c>
      <c r="V604">
        <f>VLOOKUP(Table5[[#This Row],[Shortname]], Comp[], 19, FALSE)</f>
        <v>0.15</v>
      </c>
      <c r="W604">
        <f>VLOOKUP(Table5[[#This Row],[Shortname]], Comp[], 20, FALSE)</f>
        <v>0</v>
      </c>
      <c r="X604">
        <f>VLOOKUP(Table5[[#This Row],[Shortname]], Comp[], 21, FALSE)</f>
        <v>0</v>
      </c>
      <c r="Y604">
        <f>VLOOKUP(Table5[[#This Row],[Shortname]], Comp[], 22, FALSE)</f>
        <v>0</v>
      </c>
      <c r="Z604">
        <f>VLOOKUP(Table5[[#This Row],[Shortname]], Comp[], 23, FALSE)</f>
        <v>0</v>
      </c>
      <c r="AA604">
        <f>VLOOKUP(Table5[[#This Row],[Shortname]], Comp[], 24, FALSE)</f>
        <v>0</v>
      </c>
      <c r="AB604">
        <f>VLOOKUP(Table5[[#This Row],[Shortname]], Comp[], 25, FALSE)</f>
        <v>0</v>
      </c>
      <c r="AC604">
        <f>VLOOKUP(Table5[[#This Row],[Shortname]], Comp[], 26, FALSE)</f>
        <v>0</v>
      </c>
      <c r="AD604">
        <f>VLOOKUP(Table5[[#This Row],[Shortname]], Comp[], 27, FALSE)</f>
        <v>0</v>
      </c>
      <c r="AE604">
        <f>VLOOKUP(Table5[[#This Row],[Shortname]], Comp[], 28, FALSE)</f>
        <v>0</v>
      </c>
      <c r="AF604">
        <f>VLOOKUP(Table5[[#This Row],[Shortname]], Comp[], 29, FALSE)</f>
        <v>0</v>
      </c>
      <c r="AG604">
        <f>VLOOKUP(Table5[[#This Row],[Shortname]], Comp[], 30, FALSE)</f>
        <v>0</v>
      </c>
      <c r="AH604">
        <f>VLOOKUP(Table5[[#This Row],[Shortname]], Comp[], 31, FALSE)</f>
        <v>0</v>
      </c>
    </row>
    <row r="605" spans="1:34" x14ac:dyDescent="0.3">
      <c r="A605" s="12" t="s">
        <v>5959</v>
      </c>
      <c r="B605">
        <v>627</v>
      </c>
      <c r="D605" s="12" t="s">
        <v>5960</v>
      </c>
      <c r="E605" s="12" t="s">
        <v>5961</v>
      </c>
      <c r="F605" s="12">
        <v>1037</v>
      </c>
      <c r="G605" s="12">
        <v>1319.3</v>
      </c>
      <c r="H605" s="12">
        <v>1382.7</v>
      </c>
      <c r="I605" s="12" t="s">
        <v>6772</v>
      </c>
      <c r="J605" s="14">
        <f>VLOOKUP(Table5[[#This Row],[Shortname]], Comp[], 7, FALSE)</f>
        <v>40.4</v>
      </c>
      <c r="K605">
        <f>VLOOKUP(Table5[[#This Row],[Shortname]], Comp[], 8, FALSE)</f>
        <v>34</v>
      </c>
      <c r="L605">
        <f>VLOOKUP(Table5[[#This Row],[Shortname]], Comp[], 9, FALSE)</f>
        <v>4.5</v>
      </c>
      <c r="M605">
        <f>VLOOKUP(Table5[[#This Row],[Shortname]], Comp[], 10, FALSE)</f>
        <v>15.6</v>
      </c>
      <c r="N605">
        <f>VLOOKUP(Table5[[#This Row],[Shortname]], Comp[], 11, FALSE)</f>
        <v>0</v>
      </c>
      <c r="O605">
        <f>VLOOKUP(Table5[[#This Row],[Shortname]], Comp[],12, FALSE)</f>
        <v>5.5</v>
      </c>
      <c r="P605">
        <f>VLOOKUP(Table5[[#This Row],[Shortname]], Comp[], 13, FALSE)</f>
        <v>0</v>
      </c>
      <c r="Q605">
        <f>VLOOKUP(Table5[[#This Row],[Shortname]], Comp[], 14, FALSE)</f>
        <v>0</v>
      </c>
      <c r="R605">
        <f>VLOOKUP(Table5[[#This Row],[Shortname]], Comp[], 15, FALSE)</f>
        <v>0</v>
      </c>
      <c r="S605">
        <f>VLOOKUP(Table5[[#This Row],[Shortname]], Comp[], 16, FALSE)</f>
        <v>0</v>
      </c>
      <c r="T605">
        <f>VLOOKUP(Table5[[#This Row],[Shortname]], Comp[], 17, FALSE)</f>
        <v>0</v>
      </c>
      <c r="U605">
        <f>VLOOKUP(Table5[[#This Row],[Shortname]], Comp[], 18, FALSE)</f>
        <v>0</v>
      </c>
      <c r="V605">
        <f>VLOOKUP(Table5[[#This Row],[Shortname]], Comp[], 19, FALSE)</f>
        <v>0</v>
      </c>
      <c r="W605">
        <f>VLOOKUP(Table5[[#This Row],[Shortname]], Comp[], 20, FALSE)</f>
        <v>0</v>
      </c>
      <c r="X605">
        <f>VLOOKUP(Table5[[#This Row],[Shortname]], Comp[], 21, FALSE)</f>
        <v>0</v>
      </c>
      <c r="Y605">
        <f>VLOOKUP(Table5[[#This Row],[Shortname]], Comp[], 22, FALSE)</f>
        <v>0</v>
      </c>
      <c r="Z605">
        <f>VLOOKUP(Table5[[#This Row],[Shortname]], Comp[], 23, FALSE)</f>
        <v>0</v>
      </c>
      <c r="AA605">
        <f>VLOOKUP(Table5[[#This Row],[Shortname]], Comp[], 24, FALSE)</f>
        <v>0</v>
      </c>
      <c r="AB605">
        <f>VLOOKUP(Table5[[#This Row],[Shortname]], Comp[], 25, FALSE)</f>
        <v>0</v>
      </c>
      <c r="AC605">
        <f>VLOOKUP(Table5[[#This Row],[Shortname]], Comp[], 26, FALSE)</f>
        <v>0</v>
      </c>
      <c r="AD605">
        <f>VLOOKUP(Table5[[#This Row],[Shortname]], Comp[], 27, FALSE)</f>
        <v>0</v>
      </c>
      <c r="AE605">
        <f>VLOOKUP(Table5[[#This Row],[Shortname]], Comp[], 28, FALSE)</f>
        <v>0</v>
      </c>
      <c r="AF605">
        <f>VLOOKUP(Table5[[#This Row],[Shortname]], Comp[], 29, FALSE)</f>
        <v>0</v>
      </c>
      <c r="AG605">
        <f>VLOOKUP(Table5[[#This Row],[Shortname]], Comp[], 30, FALSE)</f>
        <v>0</v>
      </c>
      <c r="AH605">
        <f>VLOOKUP(Table5[[#This Row],[Shortname]], Comp[], 31, FALSE)</f>
        <v>0</v>
      </c>
    </row>
    <row r="606" spans="1:34" x14ac:dyDescent="0.3">
      <c r="A606" s="12" t="s">
        <v>5965</v>
      </c>
      <c r="B606">
        <v>628</v>
      </c>
      <c r="D606" s="12" t="s">
        <v>5966</v>
      </c>
      <c r="E606" s="12" t="s">
        <v>5961</v>
      </c>
      <c r="F606" s="12">
        <v>1126.2</v>
      </c>
      <c r="G606" s="12">
        <v>1279.5</v>
      </c>
      <c r="H606" s="12">
        <v>1359.6</v>
      </c>
      <c r="I606" s="12" t="s">
        <v>6772</v>
      </c>
      <c r="J606" s="14">
        <f>VLOOKUP(Table5[[#This Row],[Shortname]], Comp[], 7, FALSE)</f>
        <v>38.4</v>
      </c>
      <c r="K606">
        <f>VLOOKUP(Table5[[#This Row],[Shortname]], Comp[], 8, FALSE)</f>
        <v>34.299999999999997</v>
      </c>
      <c r="L606">
        <f>VLOOKUP(Table5[[#This Row],[Shortname]], Comp[], 9, FALSE)</f>
        <v>4.7</v>
      </c>
      <c r="M606">
        <f>VLOOKUP(Table5[[#This Row],[Shortname]], Comp[], 10, FALSE)</f>
        <v>15.6</v>
      </c>
      <c r="N606">
        <f>VLOOKUP(Table5[[#This Row],[Shortname]], Comp[], 11, FALSE)</f>
        <v>0</v>
      </c>
      <c r="O606">
        <f>VLOOKUP(Table5[[#This Row],[Shortname]], Comp[],12, FALSE)</f>
        <v>5.0999999999999996</v>
      </c>
      <c r="P606">
        <f>VLOOKUP(Table5[[#This Row],[Shortname]], Comp[], 13, FALSE)</f>
        <v>1.9</v>
      </c>
      <c r="Q606">
        <f>VLOOKUP(Table5[[#This Row],[Shortname]], Comp[], 14, FALSE)</f>
        <v>0</v>
      </c>
      <c r="R606">
        <f>VLOOKUP(Table5[[#This Row],[Shortname]], Comp[], 15, FALSE)</f>
        <v>0</v>
      </c>
      <c r="S606">
        <f>VLOOKUP(Table5[[#This Row],[Shortname]], Comp[], 16, FALSE)</f>
        <v>0</v>
      </c>
      <c r="T606">
        <f>VLOOKUP(Table5[[#This Row],[Shortname]], Comp[], 17, FALSE)</f>
        <v>0</v>
      </c>
      <c r="U606">
        <f>VLOOKUP(Table5[[#This Row],[Shortname]], Comp[], 18, FALSE)</f>
        <v>0</v>
      </c>
      <c r="V606">
        <f>VLOOKUP(Table5[[#This Row],[Shortname]], Comp[], 19, FALSE)</f>
        <v>0</v>
      </c>
      <c r="W606">
        <f>VLOOKUP(Table5[[#This Row],[Shortname]], Comp[], 20, FALSE)</f>
        <v>0</v>
      </c>
      <c r="X606">
        <f>VLOOKUP(Table5[[#This Row],[Shortname]], Comp[], 21, FALSE)</f>
        <v>0</v>
      </c>
      <c r="Y606">
        <f>VLOOKUP(Table5[[#This Row],[Shortname]], Comp[], 22, FALSE)</f>
        <v>0</v>
      </c>
      <c r="Z606">
        <f>VLOOKUP(Table5[[#This Row],[Shortname]], Comp[], 23, FALSE)</f>
        <v>0</v>
      </c>
      <c r="AA606">
        <f>VLOOKUP(Table5[[#This Row],[Shortname]], Comp[], 24, FALSE)</f>
        <v>0</v>
      </c>
      <c r="AB606">
        <f>VLOOKUP(Table5[[#This Row],[Shortname]], Comp[], 25, FALSE)</f>
        <v>0</v>
      </c>
      <c r="AC606">
        <f>VLOOKUP(Table5[[#This Row],[Shortname]], Comp[], 26, FALSE)</f>
        <v>0</v>
      </c>
      <c r="AD606">
        <f>VLOOKUP(Table5[[#This Row],[Shortname]], Comp[], 27, FALSE)</f>
        <v>0</v>
      </c>
      <c r="AE606">
        <f>VLOOKUP(Table5[[#This Row],[Shortname]], Comp[], 28, FALSE)</f>
        <v>0</v>
      </c>
      <c r="AF606">
        <f>VLOOKUP(Table5[[#This Row],[Shortname]], Comp[], 29, FALSE)</f>
        <v>0</v>
      </c>
      <c r="AG606">
        <f>VLOOKUP(Table5[[#This Row],[Shortname]], Comp[], 30, FALSE)</f>
        <v>0</v>
      </c>
      <c r="AH606">
        <f>VLOOKUP(Table5[[#This Row],[Shortname]], Comp[], 31, FALSE)</f>
        <v>0</v>
      </c>
    </row>
    <row r="607" spans="1:34" x14ac:dyDescent="0.3">
      <c r="A607" s="12" t="s">
        <v>5969</v>
      </c>
      <c r="B607">
        <v>629</v>
      </c>
      <c r="D607" s="12" t="s">
        <v>5970</v>
      </c>
      <c r="E607" s="12" t="s">
        <v>5961</v>
      </c>
      <c r="F607" s="12">
        <v>1132.3</v>
      </c>
      <c r="G607" s="12">
        <v>1255.8</v>
      </c>
      <c r="H607" s="12">
        <v>1352.7</v>
      </c>
      <c r="I607" s="12" t="s">
        <v>6772</v>
      </c>
      <c r="J607" s="14">
        <f>VLOOKUP(Table5[[#This Row],[Shortname]], Comp[], 7, FALSE)</f>
        <v>38.6</v>
      </c>
      <c r="K607">
        <f>VLOOKUP(Table5[[#This Row],[Shortname]], Comp[], 8, FALSE)</f>
        <v>34.700000000000003</v>
      </c>
      <c r="L607">
        <f>VLOOKUP(Table5[[#This Row],[Shortname]], Comp[], 9, FALSE)</f>
        <v>4.5</v>
      </c>
      <c r="M607">
        <f>VLOOKUP(Table5[[#This Row],[Shortname]], Comp[], 10, FALSE)</f>
        <v>15.5</v>
      </c>
      <c r="N607">
        <f>VLOOKUP(Table5[[#This Row],[Shortname]], Comp[], 11, FALSE)</f>
        <v>0</v>
      </c>
      <c r="O607">
        <f>VLOOKUP(Table5[[#This Row],[Shortname]], Comp[],12, FALSE)</f>
        <v>4.9000000000000004</v>
      </c>
      <c r="P607">
        <f>VLOOKUP(Table5[[#This Row],[Shortname]], Comp[], 13, FALSE)</f>
        <v>0</v>
      </c>
      <c r="Q607">
        <f>VLOOKUP(Table5[[#This Row],[Shortname]], Comp[], 14, FALSE)</f>
        <v>1.8</v>
      </c>
      <c r="R607">
        <f>VLOOKUP(Table5[[#This Row],[Shortname]], Comp[], 15, FALSE)</f>
        <v>0</v>
      </c>
      <c r="S607">
        <f>VLOOKUP(Table5[[#This Row],[Shortname]], Comp[], 16, FALSE)</f>
        <v>0</v>
      </c>
      <c r="T607">
        <f>VLOOKUP(Table5[[#This Row],[Shortname]], Comp[], 17, FALSE)</f>
        <v>0</v>
      </c>
      <c r="U607">
        <f>VLOOKUP(Table5[[#This Row],[Shortname]], Comp[], 18, FALSE)</f>
        <v>0</v>
      </c>
      <c r="V607">
        <f>VLOOKUP(Table5[[#This Row],[Shortname]], Comp[], 19, FALSE)</f>
        <v>0</v>
      </c>
      <c r="W607">
        <f>VLOOKUP(Table5[[#This Row],[Shortname]], Comp[], 20, FALSE)</f>
        <v>0</v>
      </c>
      <c r="X607">
        <f>VLOOKUP(Table5[[#This Row],[Shortname]], Comp[], 21, FALSE)</f>
        <v>0</v>
      </c>
      <c r="Y607">
        <f>VLOOKUP(Table5[[#This Row],[Shortname]], Comp[], 22, FALSE)</f>
        <v>0</v>
      </c>
      <c r="Z607">
        <f>VLOOKUP(Table5[[#This Row],[Shortname]], Comp[], 23, FALSE)</f>
        <v>0</v>
      </c>
      <c r="AA607">
        <f>VLOOKUP(Table5[[#This Row],[Shortname]], Comp[], 24, FALSE)</f>
        <v>0</v>
      </c>
      <c r="AB607">
        <f>VLOOKUP(Table5[[#This Row],[Shortname]], Comp[], 25, FALSE)</f>
        <v>0</v>
      </c>
      <c r="AC607">
        <f>VLOOKUP(Table5[[#This Row],[Shortname]], Comp[], 26, FALSE)</f>
        <v>0</v>
      </c>
      <c r="AD607">
        <f>VLOOKUP(Table5[[#This Row],[Shortname]], Comp[], 27, FALSE)</f>
        <v>0</v>
      </c>
      <c r="AE607">
        <f>VLOOKUP(Table5[[#This Row],[Shortname]], Comp[], 28, FALSE)</f>
        <v>0</v>
      </c>
      <c r="AF607">
        <f>VLOOKUP(Table5[[#This Row],[Shortname]], Comp[], 29, FALSE)</f>
        <v>0</v>
      </c>
      <c r="AG607">
        <f>VLOOKUP(Table5[[#This Row],[Shortname]], Comp[], 30, FALSE)</f>
        <v>0</v>
      </c>
      <c r="AH607">
        <f>VLOOKUP(Table5[[#This Row],[Shortname]], Comp[], 31, FALSE)</f>
        <v>0</v>
      </c>
    </row>
    <row r="608" spans="1:34" x14ac:dyDescent="0.3">
      <c r="A608" s="12" t="s">
        <v>5973</v>
      </c>
      <c r="B608">
        <v>630</v>
      </c>
      <c r="D608" s="12" t="s">
        <v>5974</v>
      </c>
      <c r="E608" s="12" t="s">
        <v>5961</v>
      </c>
      <c r="F608" s="12">
        <v>1049.4000000000001</v>
      </c>
      <c r="G608" s="12">
        <v>1309.9000000000001</v>
      </c>
      <c r="H608" s="12">
        <v>1387.5</v>
      </c>
      <c r="I608" s="12" t="s">
        <v>6772</v>
      </c>
      <c r="J608" s="14">
        <f>VLOOKUP(Table5[[#This Row],[Shortname]], Comp[], 7, FALSE)</f>
        <v>37.5</v>
      </c>
      <c r="K608">
        <f>VLOOKUP(Table5[[#This Row],[Shortname]], Comp[], 8, FALSE)</f>
        <v>34.6</v>
      </c>
      <c r="L608">
        <f>VLOOKUP(Table5[[#This Row],[Shortname]], Comp[], 9, FALSE)</f>
        <v>4.4000000000000004</v>
      </c>
      <c r="M608">
        <f>VLOOKUP(Table5[[#This Row],[Shortname]], Comp[], 10, FALSE)</f>
        <v>15.4</v>
      </c>
      <c r="N608">
        <f>VLOOKUP(Table5[[#This Row],[Shortname]], Comp[], 11, FALSE)</f>
        <v>0.9</v>
      </c>
      <c r="O608">
        <f>VLOOKUP(Table5[[#This Row],[Shortname]], Comp[],12, FALSE)</f>
        <v>5.2</v>
      </c>
      <c r="P608">
        <f>VLOOKUP(Table5[[#This Row],[Shortname]], Comp[], 13, FALSE)</f>
        <v>0</v>
      </c>
      <c r="Q608">
        <f>VLOOKUP(Table5[[#This Row],[Shortname]], Comp[], 14, FALSE)</f>
        <v>0</v>
      </c>
      <c r="R608">
        <f>VLOOKUP(Table5[[#This Row],[Shortname]], Comp[], 15, FALSE)</f>
        <v>0</v>
      </c>
      <c r="S608">
        <f>VLOOKUP(Table5[[#This Row],[Shortname]], Comp[], 16, FALSE)</f>
        <v>2</v>
      </c>
      <c r="T608">
        <f>VLOOKUP(Table5[[#This Row],[Shortname]], Comp[], 17, FALSE)</f>
        <v>0</v>
      </c>
      <c r="U608">
        <f>VLOOKUP(Table5[[#This Row],[Shortname]], Comp[], 18, FALSE)</f>
        <v>0</v>
      </c>
      <c r="V608">
        <f>VLOOKUP(Table5[[#This Row],[Shortname]], Comp[], 19, FALSE)</f>
        <v>0</v>
      </c>
      <c r="W608">
        <f>VLOOKUP(Table5[[#This Row],[Shortname]], Comp[], 20, FALSE)</f>
        <v>0</v>
      </c>
      <c r="X608">
        <f>VLOOKUP(Table5[[#This Row],[Shortname]], Comp[], 21, FALSE)</f>
        <v>0</v>
      </c>
      <c r="Y608">
        <f>VLOOKUP(Table5[[#This Row],[Shortname]], Comp[], 22, FALSE)</f>
        <v>0</v>
      </c>
      <c r="Z608">
        <f>VLOOKUP(Table5[[#This Row],[Shortname]], Comp[], 23, FALSE)</f>
        <v>0</v>
      </c>
      <c r="AA608">
        <f>VLOOKUP(Table5[[#This Row],[Shortname]], Comp[], 24, FALSE)</f>
        <v>0</v>
      </c>
      <c r="AB608">
        <f>VLOOKUP(Table5[[#This Row],[Shortname]], Comp[], 25, FALSE)</f>
        <v>0</v>
      </c>
      <c r="AC608">
        <f>VLOOKUP(Table5[[#This Row],[Shortname]], Comp[], 26, FALSE)</f>
        <v>0</v>
      </c>
      <c r="AD608">
        <f>VLOOKUP(Table5[[#This Row],[Shortname]], Comp[], 27, FALSE)</f>
        <v>0</v>
      </c>
      <c r="AE608">
        <f>VLOOKUP(Table5[[#This Row],[Shortname]], Comp[], 28, FALSE)</f>
        <v>0</v>
      </c>
      <c r="AF608">
        <f>VLOOKUP(Table5[[#This Row],[Shortname]], Comp[], 29, FALSE)</f>
        <v>0</v>
      </c>
      <c r="AG608">
        <f>VLOOKUP(Table5[[#This Row],[Shortname]], Comp[], 30, FALSE)</f>
        <v>0</v>
      </c>
      <c r="AH608">
        <f>VLOOKUP(Table5[[#This Row],[Shortname]], Comp[], 31, FALSE)</f>
        <v>0</v>
      </c>
    </row>
    <row r="609" spans="1:34" x14ac:dyDescent="0.3">
      <c r="A609" s="12" t="s">
        <v>5979</v>
      </c>
      <c r="B609">
        <v>631</v>
      </c>
      <c r="D609" s="12" t="s">
        <v>5980</v>
      </c>
      <c r="E609" s="12" t="s">
        <v>5961</v>
      </c>
      <c r="F609" s="12">
        <v>1058.2</v>
      </c>
      <c r="G609" s="12">
        <v>1301.8</v>
      </c>
      <c r="H609" s="12">
        <v>1374.6</v>
      </c>
      <c r="I609" s="12" t="s">
        <v>6772</v>
      </c>
      <c r="J609" s="14">
        <f>VLOOKUP(Table5[[#This Row],[Shortname]], Comp[], 7, FALSE)</f>
        <v>37</v>
      </c>
      <c r="K609">
        <f>VLOOKUP(Table5[[#This Row],[Shortname]], Comp[], 8, FALSE)</f>
        <v>34.799999999999997</v>
      </c>
      <c r="L609">
        <f>VLOOKUP(Table5[[#This Row],[Shortname]], Comp[], 9, FALSE)</f>
        <v>4.7</v>
      </c>
      <c r="M609">
        <f>VLOOKUP(Table5[[#This Row],[Shortname]], Comp[], 10, FALSE)</f>
        <v>15.3</v>
      </c>
      <c r="N609">
        <f>VLOOKUP(Table5[[#This Row],[Shortname]], Comp[], 11, FALSE)</f>
        <v>3.1</v>
      </c>
      <c r="O609">
        <f>VLOOKUP(Table5[[#This Row],[Shortname]], Comp[],12, FALSE)</f>
        <v>5.0999999999999996</v>
      </c>
      <c r="P609">
        <f>VLOOKUP(Table5[[#This Row],[Shortname]], Comp[], 13, FALSE)</f>
        <v>0</v>
      </c>
      <c r="Q609">
        <f>VLOOKUP(Table5[[#This Row],[Shortname]], Comp[], 14, FALSE)</f>
        <v>0</v>
      </c>
      <c r="R609">
        <f>VLOOKUP(Table5[[#This Row],[Shortname]], Comp[], 15, FALSE)</f>
        <v>0</v>
      </c>
      <c r="S609">
        <f>VLOOKUP(Table5[[#This Row],[Shortname]], Comp[], 16, FALSE)</f>
        <v>0</v>
      </c>
      <c r="T609">
        <f>VLOOKUP(Table5[[#This Row],[Shortname]], Comp[], 17, FALSE)</f>
        <v>0</v>
      </c>
      <c r="U609">
        <f>VLOOKUP(Table5[[#This Row],[Shortname]], Comp[], 18, FALSE)</f>
        <v>0</v>
      </c>
      <c r="V609">
        <f>VLOOKUP(Table5[[#This Row],[Shortname]], Comp[], 19, FALSE)</f>
        <v>0</v>
      </c>
      <c r="W609">
        <f>VLOOKUP(Table5[[#This Row],[Shortname]], Comp[], 20, FALSE)</f>
        <v>0</v>
      </c>
      <c r="X609">
        <f>VLOOKUP(Table5[[#This Row],[Shortname]], Comp[], 21, FALSE)</f>
        <v>0</v>
      </c>
      <c r="Y609">
        <f>VLOOKUP(Table5[[#This Row],[Shortname]], Comp[], 22, FALSE)</f>
        <v>0</v>
      </c>
      <c r="Z609">
        <f>VLOOKUP(Table5[[#This Row],[Shortname]], Comp[], 23, FALSE)</f>
        <v>0</v>
      </c>
      <c r="AA609">
        <f>VLOOKUP(Table5[[#This Row],[Shortname]], Comp[], 24, FALSE)</f>
        <v>0</v>
      </c>
      <c r="AB609">
        <f>VLOOKUP(Table5[[#This Row],[Shortname]], Comp[], 25, FALSE)</f>
        <v>0</v>
      </c>
      <c r="AC609">
        <f>VLOOKUP(Table5[[#This Row],[Shortname]], Comp[], 26, FALSE)</f>
        <v>0</v>
      </c>
      <c r="AD609">
        <f>VLOOKUP(Table5[[#This Row],[Shortname]], Comp[], 27, FALSE)</f>
        <v>0</v>
      </c>
      <c r="AE609">
        <f>VLOOKUP(Table5[[#This Row],[Shortname]], Comp[], 28, FALSE)</f>
        <v>0</v>
      </c>
      <c r="AF609">
        <f>VLOOKUP(Table5[[#This Row],[Shortname]], Comp[], 29, FALSE)</f>
        <v>0</v>
      </c>
      <c r="AG609">
        <f>VLOOKUP(Table5[[#This Row],[Shortname]], Comp[], 30, FALSE)</f>
        <v>0</v>
      </c>
      <c r="AH609">
        <f>VLOOKUP(Table5[[#This Row],[Shortname]], Comp[], 31, FALSE)</f>
        <v>0</v>
      </c>
    </row>
    <row r="610" spans="1:34" x14ac:dyDescent="0.3">
      <c r="A610" s="12" t="s">
        <v>5983</v>
      </c>
      <c r="B610">
        <v>632</v>
      </c>
      <c r="D610" s="12" t="s">
        <v>5984</v>
      </c>
      <c r="E610" s="12" t="s">
        <v>5961</v>
      </c>
      <c r="F610" s="12">
        <v>1143.8</v>
      </c>
      <c r="G610" s="12">
        <v>1246.8</v>
      </c>
      <c r="H610" s="12">
        <v>1337.7</v>
      </c>
      <c r="I610" s="12" t="s">
        <v>6772</v>
      </c>
      <c r="J610" s="14">
        <f>VLOOKUP(Table5[[#This Row],[Shortname]], Comp[], 7, FALSE)</f>
        <v>34.200000000000003</v>
      </c>
      <c r="K610">
        <f>VLOOKUP(Table5[[#This Row],[Shortname]], Comp[], 8, FALSE)</f>
        <v>36.4</v>
      </c>
      <c r="L610">
        <f>VLOOKUP(Table5[[#This Row],[Shortname]], Comp[], 9, FALSE)</f>
        <v>4.7</v>
      </c>
      <c r="M610">
        <f>VLOOKUP(Table5[[#This Row],[Shortname]], Comp[], 10, FALSE)</f>
        <v>15.2</v>
      </c>
      <c r="N610">
        <f>VLOOKUP(Table5[[#This Row],[Shortname]], Comp[], 11, FALSE)</f>
        <v>1.2</v>
      </c>
      <c r="O610">
        <f>VLOOKUP(Table5[[#This Row],[Shortname]], Comp[],12, FALSE)</f>
        <v>5.2</v>
      </c>
      <c r="P610">
        <f>VLOOKUP(Table5[[#This Row],[Shortname]], Comp[], 13, FALSE)</f>
        <v>1</v>
      </c>
      <c r="Q610">
        <f>VLOOKUP(Table5[[#This Row],[Shortname]], Comp[], 14, FALSE)</f>
        <v>0</v>
      </c>
      <c r="R610">
        <f>VLOOKUP(Table5[[#This Row],[Shortname]], Comp[], 15, FALSE)</f>
        <v>0</v>
      </c>
      <c r="S610">
        <f>VLOOKUP(Table5[[#This Row],[Shortname]], Comp[], 16, FALSE)</f>
        <v>2.1</v>
      </c>
      <c r="T610">
        <f>VLOOKUP(Table5[[#This Row],[Shortname]], Comp[], 17, FALSE)</f>
        <v>0</v>
      </c>
      <c r="U610">
        <f>VLOOKUP(Table5[[#This Row],[Shortname]], Comp[], 18, FALSE)</f>
        <v>0</v>
      </c>
      <c r="V610">
        <f>VLOOKUP(Table5[[#This Row],[Shortname]], Comp[], 19, FALSE)</f>
        <v>0</v>
      </c>
      <c r="W610">
        <f>VLOOKUP(Table5[[#This Row],[Shortname]], Comp[], 20, FALSE)</f>
        <v>0</v>
      </c>
      <c r="X610">
        <f>VLOOKUP(Table5[[#This Row],[Shortname]], Comp[], 21, FALSE)</f>
        <v>0</v>
      </c>
      <c r="Y610">
        <f>VLOOKUP(Table5[[#This Row],[Shortname]], Comp[], 22, FALSE)</f>
        <v>0</v>
      </c>
      <c r="Z610">
        <f>VLOOKUP(Table5[[#This Row],[Shortname]], Comp[], 23, FALSE)</f>
        <v>0</v>
      </c>
      <c r="AA610">
        <f>VLOOKUP(Table5[[#This Row],[Shortname]], Comp[], 24, FALSE)</f>
        <v>0</v>
      </c>
      <c r="AB610">
        <f>VLOOKUP(Table5[[#This Row],[Shortname]], Comp[], 25, FALSE)</f>
        <v>0</v>
      </c>
      <c r="AC610">
        <f>VLOOKUP(Table5[[#This Row],[Shortname]], Comp[], 26, FALSE)</f>
        <v>0</v>
      </c>
      <c r="AD610">
        <f>VLOOKUP(Table5[[#This Row],[Shortname]], Comp[], 27, FALSE)</f>
        <v>0</v>
      </c>
      <c r="AE610">
        <f>VLOOKUP(Table5[[#This Row],[Shortname]], Comp[], 28, FALSE)</f>
        <v>0</v>
      </c>
      <c r="AF610">
        <f>VLOOKUP(Table5[[#This Row],[Shortname]], Comp[], 29, FALSE)</f>
        <v>0</v>
      </c>
      <c r="AG610">
        <f>VLOOKUP(Table5[[#This Row],[Shortname]], Comp[], 30, FALSE)</f>
        <v>0</v>
      </c>
      <c r="AH610">
        <f>VLOOKUP(Table5[[#This Row],[Shortname]], Comp[], 31, FALSE)</f>
        <v>0</v>
      </c>
    </row>
    <row r="611" spans="1:34" x14ac:dyDescent="0.3">
      <c r="A611" s="12" t="s">
        <v>5988</v>
      </c>
      <c r="B611">
        <v>633</v>
      </c>
      <c r="D611" s="12" t="s">
        <v>5989</v>
      </c>
      <c r="E611" s="12" t="s">
        <v>5961</v>
      </c>
      <c r="F611" s="12">
        <v>1122.9000000000001</v>
      </c>
      <c r="G611" s="12">
        <v>1271.7</v>
      </c>
      <c r="H611" s="12">
        <v>1353.8</v>
      </c>
      <c r="I611" s="12" t="s">
        <v>6772</v>
      </c>
      <c r="J611" s="14">
        <f>VLOOKUP(Table5[[#This Row],[Shortname]], Comp[], 7, FALSE)</f>
        <v>35.100000000000009</v>
      </c>
      <c r="K611">
        <f>VLOOKUP(Table5[[#This Row],[Shortname]], Comp[], 8, FALSE)</f>
        <v>34.4</v>
      </c>
      <c r="L611">
        <f>VLOOKUP(Table5[[#This Row],[Shortname]], Comp[], 9, FALSE)</f>
        <v>4.5</v>
      </c>
      <c r="M611">
        <f>VLOOKUP(Table5[[#This Row],[Shortname]], Comp[], 10, FALSE)</f>
        <v>15.7</v>
      </c>
      <c r="N611">
        <f>VLOOKUP(Table5[[#This Row],[Shortname]], Comp[], 11, FALSE)</f>
        <v>1.1000000000000001</v>
      </c>
      <c r="O611">
        <f>VLOOKUP(Table5[[#This Row],[Shortname]], Comp[],12, FALSE)</f>
        <v>7.4</v>
      </c>
      <c r="P611">
        <f>VLOOKUP(Table5[[#This Row],[Shortname]], Comp[], 13, FALSE)</f>
        <v>0</v>
      </c>
      <c r="Q611">
        <f>VLOOKUP(Table5[[#This Row],[Shortname]], Comp[], 14, FALSE)</f>
        <v>0</v>
      </c>
      <c r="R611">
        <f>VLOOKUP(Table5[[#This Row],[Shortname]], Comp[], 15, FALSE)</f>
        <v>0</v>
      </c>
      <c r="S611">
        <f>VLOOKUP(Table5[[#This Row],[Shortname]], Comp[], 16, FALSE)</f>
        <v>1.8</v>
      </c>
      <c r="T611">
        <f>VLOOKUP(Table5[[#This Row],[Shortname]], Comp[], 17, FALSE)</f>
        <v>0</v>
      </c>
      <c r="U611">
        <f>VLOOKUP(Table5[[#This Row],[Shortname]], Comp[], 18, FALSE)</f>
        <v>0</v>
      </c>
      <c r="V611">
        <f>VLOOKUP(Table5[[#This Row],[Shortname]], Comp[], 19, FALSE)</f>
        <v>0</v>
      </c>
      <c r="W611">
        <f>VLOOKUP(Table5[[#This Row],[Shortname]], Comp[], 20, FALSE)</f>
        <v>0</v>
      </c>
      <c r="X611">
        <f>VLOOKUP(Table5[[#This Row],[Shortname]], Comp[], 21, FALSE)</f>
        <v>0</v>
      </c>
      <c r="Y611">
        <f>VLOOKUP(Table5[[#This Row],[Shortname]], Comp[], 22, FALSE)</f>
        <v>0</v>
      </c>
      <c r="Z611">
        <f>VLOOKUP(Table5[[#This Row],[Shortname]], Comp[], 23, FALSE)</f>
        <v>0</v>
      </c>
      <c r="AA611">
        <f>VLOOKUP(Table5[[#This Row],[Shortname]], Comp[], 24, FALSE)</f>
        <v>0</v>
      </c>
      <c r="AB611">
        <f>VLOOKUP(Table5[[#This Row],[Shortname]], Comp[], 25, FALSE)</f>
        <v>0</v>
      </c>
      <c r="AC611">
        <f>VLOOKUP(Table5[[#This Row],[Shortname]], Comp[], 26, FALSE)</f>
        <v>0</v>
      </c>
      <c r="AD611">
        <f>VLOOKUP(Table5[[#This Row],[Shortname]], Comp[], 27, FALSE)</f>
        <v>0</v>
      </c>
      <c r="AE611">
        <f>VLOOKUP(Table5[[#This Row],[Shortname]], Comp[], 28, FALSE)</f>
        <v>0</v>
      </c>
      <c r="AF611">
        <f>VLOOKUP(Table5[[#This Row],[Shortname]], Comp[], 29, FALSE)</f>
        <v>0</v>
      </c>
      <c r="AG611">
        <f>VLOOKUP(Table5[[#This Row],[Shortname]], Comp[], 30, FALSE)</f>
        <v>0</v>
      </c>
      <c r="AH611">
        <f>VLOOKUP(Table5[[#This Row],[Shortname]], Comp[], 31, FALSE)</f>
        <v>0</v>
      </c>
    </row>
    <row r="612" spans="1:34" x14ac:dyDescent="0.3">
      <c r="A612" s="12" t="s">
        <v>5993</v>
      </c>
      <c r="B612">
        <v>634</v>
      </c>
      <c r="D612" s="12" t="s">
        <v>5994</v>
      </c>
      <c r="E612" s="12" t="s">
        <v>5995</v>
      </c>
      <c r="F612" s="12">
        <v>1150.5</v>
      </c>
      <c r="J612" s="14">
        <f>VLOOKUP(Table5[[#This Row],[Shortname]], Comp[], 7, FALSE)</f>
        <v>49.4</v>
      </c>
      <c r="K612">
        <f>VLOOKUP(Table5[[#This Row],[Shortname]], Comp[], 8, FALSE)</f>
        <v>29.5</v>
      </c>
      <c r="L612">
        <f>VLOOKUP(Table5[[#This Row],[Shortname]], Comp[], 9, FALSE)</f>
        <v>10.8</v>
      </c>
      <c r="M612">
        <f>VLOOKUP(Table5[[#This Row],[Shortname]], Comp[], 10, FALSE)</f>
        <v>3</v>
      </c>
      <c r="N612">
        <f>VLOOKUP(Table5[[#This Row],[Shortname]], Comp[], 11, FALSE)</f>
        <v>2.2000000000000002</v>
      </c>
      <c r="O612">
        <f>VLOOKUP(Table5[[#This Row],[Shortname]], Comp[],12, FALSE)</f>
        <v>2</v>
      </c>
      <c r="P612">
        <f>VLOOKUP(Table5[[#This Row],[Shortname]], Comp[], 13, FALSE)</f>
        <v>2.1</v>
      </c>
      <c r="Q612">
        <f>VLOOKUP(Table5[[#This Row],[Shortname]], Comp[], 14, FALSE)</f>
        <v>0</v>
      </c>
      <c r="R612">
        <f>VLOOKUP(Table5[[#This Row],[Shortname]], Comp[], 15, FALSE)</f>
        <v>0</v>
      </c>
      <c r="S612">
        <f>VLOOKUP(Table5[[#This Row],[Shortname]], Comp[], 16, FALSE)</f>
        <v>1</v>
      </c>
      <c r="T612">
        <f>VLOOKUP(Table5[[#This Row],[Shortname]], Comp[], 17, FALSE)</f>
        <v>0</v>
      </c>
      <c r="U612">
        <f>VLOOKUP(Table5[[#This Row],[Shortname]], Comp[], 18, FALSE)</f>
        <v>0</v>
      </c>
      <c r="V612">
        <f>VLOOKUP(Table5[[#This Row],[Shortname]], Comp[], 19, FALSE)</f>
        <v>0</v>
      </c>
      <c r="W612">
        <f>VLOOKUP(Table5[[#This Row],[Shortname]], Comp[], 20, FALSE)</f>
        <v>0</v>
      </c>
      <c r="X612">
        <f>VLOOKUP(Table5[[#This Row],[Shortname]], Comp[], 21, FALSE)</f>
        <v>0</v>
      </c>
      <c r="Y612">
        <f>VLOOKUP(Table5[[#This Row],[Shortname]], Comp[], 22, FALSE)</f>
        <v>0</v>
      </c>
      <c r="Z612">
        <f>VLOOKUP(Table5[[#This Row],[Shortname]], Comp[], 23, FALSE)</f>
        <v>0</v>
      </c>
      <c r="AA612">
        <f>VLOOKUP(Table5[[#This Row],[Shortname]], Comp[], 24, FALSE)</f>
        <v>0</v>
      </c>
      <c r="AB612">
        <f>VLOOKUP(Table5[[#This Row],[Shortname]], Comp[], 25, FALSE)</f>
        <v>0</v>
      </c>
      <c r="AC612">
        <f>VLOOKUP(Table5[[#This Row],[Shortname]], Comp[], 26, FALSE)</f>
        <v>0</v>
      </c>
      <c r="AD612">
        <f>VLOOKUP(Table5[[#This Row],[Shortname]], Comp[], 27, FALSE)</f>
        <v>0</v>
      </c>
      <c r="AE612">
        <f>VLOOKUP(Table5[[#This Row],[Shortname]], Comp[], 28, FALSE)</f>
        <v>0</v>
      </c>
      <c r="AF612">
        <f>VLOOKUP(Table5[[#This Row],[Shortname]], Comp[], 29, FALSE)</f>
        <v>0</v>
      </c>
      <c r="AG612">
        <f>VLOOKUP(Table5[[#This Row],[Shortname]], Comp[], 30, FALSE)</f>
        <v>0</v>
      </c>
      <c r="AH612">
        <f>VLOOKUP(Table5[[#This Row],[Shortname]], Comp[], 31, FALSE)</f>
        <v>0</v>
      </c>
    </row>
    <row r="613" spans="1:34" x14ac:dyDescent="0.3">
      <c r="A613" s="12" t="s">
        <v>5999</v>
      </c>
      <c r="B613">
        <v>635</v>
      </c>
      <c r="D613" s="12" t="s">
        <v>6000</v>
      </c>
      <c r="E613" s="12" t="s">
        <v>5995</v>
      </c>
      <c r="F613" s="12">
        <v>1191.3</v>
      </c>
      <c r="J613" s="14">
        <f>VLOOKUP(Table5[[#This Row],[Shortname]], Comp[], 7, FALSE)</f>
        <v>47.899999999999991</v>
      </c>
      <c r="K613">
        <f>VLOOKUP(Table5[[#This Row],[Shortname]], Comp[], 8, FALSE)</f>
        <v>29.4</v>
      </c>
      <c r="L613">
        <f>VLOOKUP(Table5[[#This Row],[Shortname]], Comp[], 9, FALSE)</f>
        <v>10.8</v>
      </c>
      <c r="M613">
        <f>VLOOKUP(Table5[[#This Row],[Shortname]], Comp[], 10, FALSE)</f>
        <v>3</v>
      </c>
      <c r="N613">
        <f>VLOOKUP(Table5[[#This Row],[Shortname]], Comp[], 11, FALSE)</f>
        <v>2.2000000000000002</v>
      </c>
      <c r="O613">
        <f>VLOOKUP(Table5[[#This Row],[Shortname]], Comp[],12, FALSE)</f>
        <v>3.6</v>
      </c>
      <c r="P613">
        <f>VLOOKUP(Table5[[#This Row],[Shortname]], Comp[], 13, FALSE)</f>
        <v>2.1</v>
      </c>
      <c r="Q613">
        <f>VLOOKUP(Table5[[#This Row],[Shortname]], Comp[], 14, FALSE)</f>
        <v>0</v>
      </c>
      <c r="R613">
        <f>VLOOKUP(Table5[[#This Row],[Shortname]], Comp[], 15, FALSE)</f>
        <v>0</v>
      </c>
      <c r="S613">
        <f>VLOOKUP(Table5[[#This Row],[Shortname]], Comp[], 16, FALSE)</f>
        <v>1</v>
      </c>
      <c r="T613">
        <f>VLOOKUP(Table5[[#This Row],[Shortname]], Comp[], 17, FALSE)</f>
        <v>0</v>
      </c>
      <c r="U613">
        <f>VLOOKUP(Table5[[#This Row],[Shortname]], Comp[], 18, FALSE)</f>
        <v>0</v>
      </c>
      <c r="V613">
        <f>VLOOKUP(Table5[[#This Row],[Shortname]], Comp[], 19, FALSE)</f>
        <v>0</v>
      </c>
      <c r="W613">
        <f>VLOOKUP(Table5[[#This Row],[Shortname]], Comp[], 20, FALSE)</f>
        <v>0</v>
      </c>
      <c r="X613">
        <f>VLOOKUP(Table5[[#This Row],[Shortname]], Comp[], 21, FALSE)</f>
        <v>0</v>
      </c>
      <c r="Y613">
        <f>VLOOKUP(Table5[[#This Row],[Shortname]], Comp[], 22, FALSE)</f>
        <v>0</v>
      </c>
      <c r="Z613">
        <f>VLOOKUP(Table5[[#This Row],[Shortname]], Comp[], 23, FALSE)</f>
        <v>0</v>
      </c>
      <c r="AA613">
        <f>VLOOKUP(Table5[[#This Row],[Shortname]], Comp[], 24, FALSE)</f>
        <v>0</v>
      </c>
      <c r="AB613">
        <f>VLOOKUP(Table5[[#This Row],[Shortname]], Comp[], 25, FALSE)</f>
        <v>0</v>
      </c>
      <c r="AC613">
        <f>VLOOKUP(Table5[[#This Row],[Shortname]], Comp[], 26, FALSE)</f>
        <v>0</v>
      </c>
      <c r="AD613">
        <f>VLOOKUP(Table5[[#This Row],[Shortname]], Comp[], 27, FALSE)</f>
        <v>0</v>
      </c>
      <c r="AE613">
        <f>VLOOKUP(Table5[[#This Row],[Shortname]], Comp[], 28, FALSE)</f>
        <v>0</v>
      </c>
      <c r="AF613">
        <f>VLOOKUP(Table5[[#This Row],[Shortname]], Comp[], 29, FALSE)</f>
        <v>0</v>
      </c>
      <c r="AG613">
        <f>VLOOKUP(Table5[[#This Row],[Shortname]], Comp[], 30, FALSE)</f>
        <v>0</v>
      </c>
      <c r="AH613">
        <f>VLOOKUP(Table5[[#This Row],[Shortname]], Comp[], 31, FALSE)</f>
        <v>0</v>
      </c>
    </row>
    <row r="614" spans="1:34" x14ac:dyDescent="0.3">
      <c r="A614" s="12" t="s">
        <v>6002</v>
      </c>
      <c r="B614">
        <v>636</v>
      </c>
      <c r="D614" s="12" t="s">
        <v>6003</v>
      </c>
      <c r="E614" s="12" t="s">
        <v>5995</v>
      </c>
      <c r="F614" s="12">
        <v>1206.5</v>
      </c>
      <c r="J614" s="14">
        <f>VLOOKUP(Table5[[#This Row],[Shortname]], Comp[], 7, FALSE)</f>
        <v>47.899999999999991</v>
      </c>
      <c r="K614">
        <f>VLOOKUP(Table5[[#This Row],[Shortname]], Comp[], 8, FALSE)</f>
        <v>29.4</v>
      </c>
      <c r="L614">
        <f>VLOOKUP(Table5[[#This Row],[Shortname]], Comp[], 9, FALSE)</f>
        <v>10.8</v>
      </c>
      <c r="M614">
        <f>VLOOKUP(Table5[[#This Row],[Shortname]], Comp[], 10, FALSE)</f>
        <v>3</v>
      </c>
      <c r="N614">
        <f>VLOOKUP(Table5[[#This Row],[Shortname]], Comp[], 11, FALSE)</f>
        <v>2.2000000000000002</v>
      </c>
      <c r="O614">
        <f>VLOOKUP(Table5[[#This Row],[Shortname]], Comp[],12, FALSE)</f>
        <v>2.1</v>
      </c>
      <c r="P614">
        <f>VLOOKUP(Table5[[#This Row],[Shortname]], Comp[], 13, FALSE)</f>
        <v>3.6</v>
      </c>
      <c r="Q614">
        <f>VLOOKUP(Table5[[#This Row],[Shortname]], Comp[], 14, FALSE)</f>
        <v>0</v>
      </c>
      <c r="R614">
        <f>VLOOKUP(Table5[[#This Row],[Shortname]], Comp[], 15, FALSE)</f>
        <v>0</v>
      </c>
      <c r="S614">
        <f>VLOOKUP(Table5[[#This Row],[Shortname]], Comp[], 16, FALSE)</f>
        <v>1</v>
      </c>
      <c r="T614">
        <f>VLOOKUP(Table5[[#This Row],[Shortname]], Comp[], 17, FALSE)</f>
        <v>0</v>
      </c>
      <c r="U614">
        <f>VLOOKUP(Table5[[#This Row],[Shortname]], Comp[], 18, FALSE)</f>
        <v>0</v>
      </c>
      <c r="V614">
        <f>VLOOKUP(Table5[[#This Row],[Shortname]], Comp[], 19, FALSE)</f>
        <v>0</v>
      </c>
      <c r="W614">
        <f>VLOOKUP(Table5[[#This Row],[Shortname]], Comp[], 20, FALSE)</f>
        <v>0</v>
      </c>
      <c r="X614">
        <f>VLOOKUP(Table5[[#This Row],[Shortname]], Comp[], 21, FALSE)</f>
        <v>0</v>
      </c>
      <c r="Y614">
        <f>VLOOKUP(Table5[[#This Row],[Shortname]], Comp[], 22, FALSE)</f>
        <v>0</v>
      </c>
      <c r="Z614">
        <f>VLOOKUP(Table5[[#This Row],[Shortname]], Comp[], 23, FALSE)</f>
        <v>0</v>
      </c>
      <c r="AA614">
        <f>VLOOKUP(Table5[[#This Row],[Shortname]], Comp[], 24, FALSE)</f>
        <v>0</v>
      </c>
      <c r="AB614">
        <f>VLOOKUP(Table5[[#This Row],[Shortname]], Comp[], 25, FALSE)</f>
        <v>0</v>
      </c>
      <c r="AC614">
        <f>VLOOKUP(Table5[[#This Row],[Shortname]], Comp[], 26, FALSE)</f>
        <v>0</v>
      </c>
      <c r="AD614">
        <f>VLOOKUP(Table5[[#This Row],[Shortname]], Comp[], 27, FALSE)</f>
        <v>0</v>
      </c>
      <c r="AE614">
        <f>VLOOKUP(Table5[[#This Row],[Shortname]], Comp[], 28, FALSE)</f>
        <v>0</v>
      </c>
      <c r="AF614">
        <f>VLOOKUP(Table5[[#This Row],[Shortname]], Comp[], 29, FALSE)</f>
        <v>0</v>
      </c>
      <c r="AG614">
        <f>VLOOKUP(Table5[[#This Row],[Shortname]], Comp[], 30, FALSE)</f>
        <v>0</v>
      </c>
      <c r="AH614">
        <f>VLOOKUP(Table5[[#This Row],[Shortname]], Comp[], 31, FALSE)</f>
        <v>0</v>
      </c>
    </row>
    <row r="615" spans="1:34" x14ac:dyDescent="0.3">
      <c r="A615" s="12" t="s">
        <v>6006</v>
      </c>
      <c r="B615">
        <v>637</v>
      </c>
      <c r="D615" s="12" t="s">
        <v>6007</v>
      </c>
      <c r="E615" s="12" t="s">
        <v>5995</v>
      </c>
      <c r="F615" s="12">
        <v>1141</v>
      </c>
      <c r="J615" s="14">
        <f>VLOOKUP(Table5[[#This Row],[Shortname]], Comp[], 7, FALSE)</f>
        <v>48.699999999999996</v>
      </c>
      <c r="K615">
        <f>VLOOKUP(Table5[[#This Row],[Shortname]], Comp[], 8, FALSE)</f>
        <v>29.6</v>
      </c>
      <c r="L615">
        <f>VLOOKUP(Table5[[#This Row],[Shortname]], Comp[], 9, FALSE)</f>
        <v>10.5</v>
      </c>
      <c r="M615">
        <f>VLOOKUP(Table5[[#This Row],[Shortname]], Comp[], 10, FALSE)</f>
        <v>3.1</v>
      </c>
      <c r="N615">
        <f>VLOOKUP(Table5[[#This Row],[Shortname]], Comp[], 11, FALSE)</f>
        <v>1.5</v>
      </c>
      <c r="O615">
        <f>VLOOKUP(Table5[[#This Row],[Shortname]], Comp[],12, FALSE)</f>
        <v>2</v>
      </c>
      <c r="P615">
        <f>VLOOKUP(Table5[[#This Row],[Shortname]], Comp[], 13, FALSE)</f>
        <v>2.1</v>
      </c>
      <c r="Q615">
        <f>VLOOKUP(Table5[[#This Row],[Shortname]], Comp[], 14, FALSE)</f>
        <v>0</v>
      </c>
      <c r="R615">
        <f>VLOOKUP(Table5[[#This Row],[Shortname]], Comp[], 15, FALSE)</f>
        <v>0</v>
      </c>
      <c r="S615">
        <f>VLOOKUP(Table5[[#This Row],[Shortname]], Comp[], 16, FALSE)</f>
        <v>2.5</v>
      </c>
      <c r="T615">
        <f>VLOOKUP(Table5[[#This Row],[Shortname]], Comp[], 17, FALSE)</f>
        <v>0</v>
      </c>
      <c r="U615">
        <f>VLOOKUP(Table5[[#This Row],[Shortname]], Comp[], 18, FALSE)</f>
        <v>0</v>
      </c>
      <c r="V615">
        <f>VLOOKUP(Table5[[#This Row],[Shortname]], Comp[], 19, FALSE)</f>
        <v>0</v>
      </c>
      <c r="W615">
        <f>VLOOKUP(Table5[[#This Row],[Shortname]], Comp[], 20, FALSE)</f>
        <v>0</v>
      </c>
      <c r="X615">
        <f>VLOOKUP(Table5[[#This Row],[Shortname]], Comp[], 21, FALSE)</f>
        <v>0</v>
      </c>
      <c r="Y615">
        <f>VLOOKUP(Table5[[#This Row],[Shortname]], Comp[], 22, FALSE)</f>
        <v>0</v>
      </c>
      <c r="Z615">
        <f>VLOOKUP(Table5[[#This Row],[Shortname]], Comp[], 23, FALSE)</f>
        <v>0</v>
      </c>
      <c r="AA615">
        <f>VLOOKUP(Table5[[#This Row],[Shortname]], Comp[], 24, FALSE)</f>
        <v>0</v>
      </c>
      <c r="AB615">
        <f>VLOOKUP(Table5[[#This Row],[Shortname]], Comp[], 25, FALSE)</f>
        <v>0</v>
      </c>
      <c r="AC615">
        <f>VLOOKUP(Table5[[#This Row],[Shortname]], Comp[], 26, FALSE)</f>
        <v>0</v>
      </c>
      <c r="AD615">
        <f>VLOOKUP(Table5[[#This Row],[Shortname]], Comp[], 27, FALSE)</f>
        <v>0</v>
      </c>
      <c r="AE615">
        <f>VLOOKUP(Table5[[#This Row],[Shortname]], Comp[], 28, FALSE)</f>
        <v>0</v>
      </c>
      <c r="AF615">
        <f>VLOOKUP(Table5[[#This Row],[Shortname]], Comp[], 29, FALSE)</f>
        <v>0</v>
      </c>
      <c r="AG615">
        <f>VLOOKUP(Table5[[#This Row],[Shortname]], Comp[], 30, FALSE)</f>
        <v>0</v>
      </c>
      <c r="AH615">
        <f>VLOOKUP(Table5[[#This Row],[Shortname]], Comp[], 31, FALSE)</f>
        <v>0</v>
      </c>
    </row>
    <row r="616" spans="1:34" x14ac:dyDescent="0.3">
      <c r="A616" s="12" t="s">
        <v>6011</v>
      </c>
      <c r="B616">
        <v>638</v>
      </c>
      <c r="D616" s="12" t="s">
        <v>6012</v>
      </c>
      <c r="E616" s="12" t="s">
        <v>5995</v>
      </c>
      <c r="F616" s="12">
        <v>1138.0999999999999</v>
      </c>
      <c r="J616" s="14">
        <f>VLOOKUP(Table5[[#This Row],[Shortname]], Comp[], 7, FALSE)</f>
        <v>48.4</v>
      </c>
      <c r="K616">
        <f>VLOOKUP(Table5[[#This Row],[Shortname]], Comp[], 8, FALSE)</f>
        <v>29.7</v>
      </c>
      <c r="L616">
        <f>VLOOKUP(Table5[[#This Row],[Shortname]], Comp[], 9, FALSE)</f>
        <v>10.5</v>
      </c>
      <c r="M616">
        <f>VLOOKUP(Table5[[#This Row],[Shortname]], Comp[], 10, FALSE)</f>
        <v>4.4000000000000004</v>
      </c>
      <c r="N616">
        <f>VLOOKUP(Table5[[#This Row],[Shortname]], Comp[], 11, FALSE)</f>
        <v>1.9</v>
      </c>
      <c r="O616">
        <f>VLOOKUP(Table5[[#This Row],[Shortname]], Comp[],12, FALSE)</f>
        <v>2</v>
      </c>
      <c r="P616">
        <f>VLOOKUP(Table5[[#This Row],[Shortname]], Comp[], 13, FALSE)</f>
        <v>2.1</v>
      </c>
      <c r="Q616">
        <f>VLOOKUP(Table5[[#This Row],[Shortname]], Comp[], 14, FALSE)</f>
        <v>0</v>
      </c>
      <c r="R616">
        <f>VLOOKUP(Table5[[#This Row],[Shortname]], Comp[], 15, FALSE)</f>
        <v>0</v>
      </c>
      <c r="S616">
        <f>VLOOKUP(Table5[[#This Row],[Shortname]], Comp[], 16, FALSE)</f>
        <v>1</v>
      </c>
      <c r="T616">
        <f>VLOOKUP(Table5[[#This Row],[Shortname]], Comp[], 17, FALSE)</f>
        <v>0</v>
      </c>
      <c r="U616">
        <f>VLOOKUP(Table5[[#This Row],[Shortname]], Comp[], 18, FALSE)</f>
        <v>0</v>
      </c>
      <c r="V616">
        <f>VLOOKUP(Table5[[#This Row],[Shortname]], Comp[], 19, FALSE)</f>
        <v>0</v>
      </c>
      <c r="W616">
        <f>VLOOKUP(Table5[[#This Row],[Shortname]], Comp[], 20, FALSE)</f>
        <v>0</v>
      </c>
      <c r="X616">
        <f>VLOOKUP(Table5[[#This Row],[Shortname]], Comp[], 21, FALSE)</f>
        <v>0</v>
      </c>
      <c r="Y616">
        <f>VLOOKUP(Table5[[#This Row],[Shortname]], Comp[], 22, FALSE)</f>
        <v>0</v>
      </c>
      <c r="Z616">
        <f>VLOOKUP(Table5[[#This Row],[Shortname]], Comp[], 23, FALSE)</f>
        <v>0</v>
      </c>
      <c r="AA616">
        <f>VLOOKUP(Table5[[#This Row],[Shortname]], Comp[], 24, FALSE)</f>
        <v>0</v>
      </c>
      <c r="AB616">
        <f>VLOOKUP(Table5[[#This Row],[Shortname]], Comp[], 25, FALSE)</f>
        <v>0</v>
      </c>
      <c r="AC616">
        <f>VLOOKUP(Table5[[#This Row],[Shortname]], Comp[], 26, FALSE)</f>
        <v>0</v>
      </c>
      <c r="AD616">
        <f>VLOOKUP(Table5[[#This Row],[Shortname]], Comp[], 27, FALSE)</f>
        <v>0</v>
      </c>
      <c r="AE616">
        <f>VLOOKUP(Table5[[#This Row],[Shortname]], Comp[], 28, FALSE)</f>
        <v>0</v>
      </c>
      <c r="AF616">
        <f>VLOOKUP(Table5[[#This Row],[Shortname]], Comp[], 29, FALSE)</f>
        <v>0</v>
      </c>
      <c r="AG616">
        <f>VLOOKUP(Table5[[#This Row],[Shortname]], Comp[], 30, FALSE)</f>
        <v>0</v>
      </c>
      <c r="AH616">
        <f>VLOOKUP(Table5[[#This Row],[Shortname]], Comp[], 31, FALSE)</f>
        <v>0</v>
      </c>
    </row>
    <row r="617" spans="1:34" x14ac:dyDescent="0.3">
      <c r="A617" s="12" t="s">
        <v>6015</v>
      </c>
      <c r="B617">
        <v>639</v>
      </c>
      <c r="D617" s="12" t="s">
        <v>6016</v>
      </c>
      <c r="E617" s="12" t="s">
        <v>5995</v>
      </c>
      <c r="F617" s="12">
        <v>1171.3</v>
      </c>
      <c r="J617" s="14">
        <f>VLOOKUP(Table5[[#This Row],[Shortname]], Comp[], 7, FALSE)</f>
        <v>47.999999999999993</v>
      </c>
      <c r="K617">
        <f>VLOOKUP(Table5[[#This Row],[Shortname]], Comp[], 8, FALSE)</f>
        <v>29.4</v>
      </c>
      <c r="L617">
        <f>VLOOKUP(Table5[[#This Row],[Shortname]], Comp[], 9, FALSE)</f>
        <v>10.8</v>
      </c>
      <c r="M617">
        <f>VLOOKUP(Table5[[#This Row],[Shortname]], Comp[], 10, FALSE)</f>
        <v>3</v>
      </c>
      <c r="N617">
        <f>VLOOKUP(Table5[[#This Row],[Shortname]], Comp[], 11, FALSE)</f>
        <v>2.2000000000000002</v>
      </c>
      <c r="O617">
        <f>VLOOKUP(Table5[[#This Row],[Shortname]], Comp[],12, FALSE)</f>
        <v>2</v>
      </c>
      <c r="P617">
        <f>VLOOKUP(Table5[[#This Row],[Shortname]], Comp[], 13, FALSE)</f>
        <v>2.1</v>
      </c>
      <c r="Q617">
        <f>VLOOKUP(Table5[[#This Row],[Shortname]], Comp[], 14, FALSE)</f>
        <v>1.5</v>
      </c>
      <c r="R617">
        <f>VLOOKUP(Table5[[#This Row],[Shortname]], Comp[], 15, FALSE)</f>
        <v>0</v>
      </c>
      <c r="S617">
        <f>VLOOKUP(Table5[[#This Row],[Shortname]], Comp[], 16, FALSE)</f>
        <v>1</v>
      </c>
      <c r="T617">
        <f>VLOOKUP(Table5[[#This Row],[Shortname]], Comp[], 17, FALSE)</f>
        <v>0</v>
      </c>
      <c r="U617">
        <f>VLOOKUP(Table5[[#This Row],[Shortname]], Comp[], 18, FALSE)</f>
        <v>0</v>
      </c>
      <c r="V617">
        <f>VLOOKUP(Table5[[#This Row],[Shortname]], Comp[], 19, FALSE)</f>
        <v>0</v>
      </c>
      <c r="W617">
        <f>VLOOKUP(Table5[[#This Row],[Shortname]], Comp[], 20, FALSE)</f>
        <v>0</v>
      </c>
      <c r="X617">
        <f>VLOOKUP(Table5[[#This Row],[Shortname]], Comp[], 21, FALSE)</f>
        <v>0</v>
      </c>
      <c r="Y617">
        <f>VLOOKUP(Table5[[#This Row],[Shortname]], Comp[], 22, FALSE)</f>
        <v>0</v>
      </c>
      <c r="Z617">
        <f>VLOOKUP(Table5[[#This Row],[Shortname]], Comp[], 23, FALSE)</f>
        <v>0</v>
      </c>
      <c r="AA617">
        <f>VLOOKUP(Table5[[#This Row],[Shortname]], Comp[], 24, FALSE)</f>
        <v>0</v>
      </c>
      <c r="AB617">
        <f>VLOOKUP(Table5[[#This Row],[Shortname]], Comp[], 25, FALSE)</f>
        <v>0</v>
      </c>
      <c r="AC617">
        <f>VLOOKUP(Table5[[#This Row],[Shortname]], Comp[], 26, FALSE)</f>
        <v>0</v>
      </c>
      <c r="AD617">
        <f>VLOOKUP(Table5[[#This Row],[Shortname]], Comp[], 27, FALSE)</f>
        <v>0</v>
      </c>
      <c r="AE617">
        <f>VLOOKUP(Table5[[#This Row],[Shortname]], Comp[], 28, FALSE)</f>
        <v>0</v>
      </c>
      <c r="AF617">
        <f>VLOOKUP(Table5[[#This Row],[Shortname]], Comp[], 29, FALSE)</f>
        <v>0</v>
      </c>
      <c r="AG617">
        <f>VLOOKUP(Table5[[#This Row],[Shortname]], Comp[], 30, FALSE)</f>
        <v>0</v>
      </c>
      <c r="AH617">
        <f>VLOOKUP(Table5[[#This Row],[Shortname]], Comp[], 31, FALSE)</f>
        <v>0</v>
      </c>
    </row>
    <row r="618" spans="1:34" x14ac:dyDescent="0.3">
      <c r="A618" s="12" t="s">
        <v>6018</v>
      </c>
      <c r="B618">
        <v>640</v>
      </c>
      <c r="D618" s="12" t="s">
        <v>6019</v>
      </c>
      <c r="E618" s="12" t="s">
        <v>5995</v>
      </c>
      <c r="F618" s="12">
        <v>1142.5</v>
      </c>
      <c r="J618" s="14">
        <f>VLOOKUP(Table5[[#This Row],[Shortname]], Comp[], 7, FALSE)</f>
        <v>48.6</v>
      </c>
      <c r="K618">
        <f>VLOOKUP(Table5[[#This Row],[Shortname]], Comp[], 8, FALSE)</f>
        <v>29.5</v>
      </c>
      <c r="L618">
        <f>VLOOKUP(Table5[[#This Row],[Shortname]], Comp[], 9, FALSE)</f>
        <v>11</v>
      </c>
      <c r="M618">
        <f>VLOOKUP(Table5[[#This Row],[Shortname]], Comp[], 10, FALSE)</f>
        <v>3</v>
      </c>
      <c r="N618">
        <f>VLOOKUP(Table5[[#This Row],[Shortname]], Comp[], 11, FALSE)</f>
        <v>1.8</v>
      </c>
      <c r="O618">
        <f>VLOOKUP(Table5[[#This Row],[Shortname]], Comp[],12, FALSE)</f>
        <v>2</v>
      </c>
      <c r="P618">
        <f>VLOOKUP(Table5[[#This Row],[Shortname]], Comp[], 13, FALSE)</f>
        <v>2</v>
      </c>
      <c r="Q618">
        <f>VLOOKUP(Table5[[#This Row],[Shortname]], Comp[], 14, FALSE)</f>
        <v>0</v>
      </c>
      <c r="R618">
        <f>VLOOKUP(Table5[[#This Row],[Shortname]], Comp[], 15, FALSE)</f>
        <v>0</v>
      </c>
      <c r="S618">
        <f>VLOOKUP(Table5[[#This Row],[Shortname]], Comp[], 16, FALSE)</f>
        <v>1</v>
      </c>
      <c r="T618">
        <f>VLOOKUP(Table5[[#This Row],[Shortname]], Comp[], 17, FALSE)</f>
        <v>0</v>
      </c>
      <c r="U618">
        <f>VLOOKUP(Table5[[#This Row],[Shortname]], Comp[], 18, FALSE)</f>
        <v>0</v>
      </c>
      <c r="V618">
        <f>VLOOKUP(Table5[[#This Row],[Shortname]], Comp[], 19, FALSE)</f>
        <v>0</v>
      </c>
      <c r="W618">
        <f>VLOOKUP(Table5[[#This Row],[Shortname]], Comp[], 20, FALSE)</f>
        <v>0</v>
      </c>
      <c r="X618">
        <f>VLOOKUP(Table5[[#This Row],[Shortname]], Comp[], 21, FALSE)</f>
        <v>1.1000000000000001</v>
      </c>
      <c r="Y618">
        <f>VLOOKUP(Table5[[#This Row],[Shortname]], Comp[], 22, FALSE)</f>
        <v>0</v>
      </c>
      <c r="Z618">
        <f>VLOOKUP(Table5[[#This Row],[Shortname]], Comp[], 23, FALSE)</f>
        <v>0</v>
      </c>
      <c r="AA618">
        <f>VLOOKUP(Table5[[#This Row],[Shortname]], Comp[], 24, FALSE)</f>
        <v>0</v>
      </c>
      <c r="AB618">
        <f>VLOOKUP(Table5[[#This Row],[Shortname]], Comp[], 25, FALSE)</f>
        <v>0</v>
      </c>
      <c r="AC618">
        <f>VLOOKUP(Table5[[#This Row],[Shortname]], Comp[], 26, FALSE)</f>
        <v>0</v>
      </c>
      <c r="AD618">
        <f>VLOOKUP(Table5[[#This Row],[Shortname]], Comp[], 27, FALSE)</f>
        <v>0</v>
      </c>
      <c r="AE618">
        <f>VLOOKUP(Table5[[#This Row],[Shortname]], Comp[], 28, FALSE)</f>
        <v>0</v>
      </c>
      <c r="AF618">
        <f>VLOOKUP(Table5[[#This Row],[Shortname]], Comp[], 29, FALSE)</f>
        <v>0</v>
      </c>
      <c r="AG618">
        <f>VLOOKUP(Table5[[#This Row],[Shortname]], Comp[], 30, FALSE)</f>
        <v>0</v>
      </c>
      <c r="AH618">
        <f>VLOOKUP(Table5[[#This Row],[Shortname]], Comp[], 31, FALSE)</f>
        <v>0</v>
      </c>
    </row>
    <row r="619" spans="1:34" x14ac:dyDescent="0.3">
      <c r="A619" s="12" t="s">
        <v>6022</v>
      </c>
      <c r="B619">
        <v>641</v>
      </c>
      <c r="D619" s="12" t="s">
        <v>6023</v>
      </c>
      <c r="E619" s="12" t="s">
        <v>5995</v>
      </c>
      <c r="F619" s="12">
        <v>1200.0999999999999</v>
      </c>
      <c r="J619" s="14">
        <f>VLOOKUP(Table5[[#This Row],[Shortname]], Comp[], 7, FALSE)</f>
        <v>44.999999999999993</v>
      </c>
      <c r="K619">
        <f>VLOOKUP(Table5[[#This Row],[Shortname]], Comp[], 8, FALSE)</f>
        <v>34.700000000000003</v>
      </c>
      <c r="L619">
        <f>VLOOKUP(Table5[[#This Row],[Shortname]], Comp[], 9, FALSE)</f>
        <v>11.1</v>
      </c>
      <c r="M619">
        <f>VLOOKUP(Table5[[#This Row],[Shortname]], Comp[], 10, FALSE)</f>
        <v>2.8</v>
      </c>
      <c r="N619">
        <f>VLOOKUP(Table5[[#This Row],[Shortname]], Comp[], 11, FALSE)</f>
        <v>1.1000000000000001</v>
      </c>
      <c r="O619">
        <f>VLOOKUP(Table5[[#This Row],[Shortname]], Comp[],12, FALSE)</f>
        <v>2</v>
      </c>
      <c r="P619">
        <f>VLOOKUP(Table5[[#This Row],[Shortname]], Comp[], 13, FALSE)</f>
        <v>2.2000000000000002</v>
      </c>
      <c r="Q619">
        <f>VLOOKUP(Table5[[#This Row],[Shortname]], Comp[], 14, FALSE)</f>
        <v>0</v>
      </c>
      <c r="R619">
        <f>VLOOKUP(Table5[[#This Row],[Shortname]], Comp[], 15, FALSE)</f>
        <v>0</v>
      </c>
      <c r="S619">
        <f>VLOOKUP(Table5[[#This Row],[Shortname]], Comp[], 16, FALSE)</f>
        <v>1.1000000000000001</v>
      </c>
      <c r="T619">
        <f>VLOOKUP(Table5[[#This Row],[Shortname]], Comp[], 17, FALSE)</f>
        <v>0</v>
      </c>
      <c r="U619">
        <f>VLOOKUP(Table5[[#This Row],[Shortname]], Comp[], 18, FALSE)</f>
        <v>0</v>
      </c>
      <c r="V619">
        <f>VLOOKUP(Table5[[#This Row],[Shortname]], Comp[], 19, FALSE)</f>
        <v>0</v>
      </c>
      <c r="W619">
        <f>VLOOKUP(Table5[[#This Row],[Shortname]], Comp[], 20, FALSE)</f>
        <v>0</v>
      </c>
      <c r="X619">
        <f>VLOOKUP(Table5[[#This Row],[Shortname]], Comp[], 21, FALSE)</f>
        <v>0</v>
      </c>
      <c r="Y619">
        <f>VLOOKUP(Table5[[#This Row],[Shortname]], Comp[], 22, FALSE)</f>
        <v>0</v>
      </c>
      <c r="Z619">
        <f>VLOOKUP(Table5[[#This Row],[Shortname]], Comp[], 23, FALSE)</f>
        <v>0</v>
      </c>
      <c r="AA619">
        <f>VLOOKUP(Table5[[#This Row],[Shortname]], Comp[], 24, FALSE)</f>
        <v>0</v>
      </c>
      <c r="AB619">
        <f>VLOOKUP(Table5[[#This Row],[Shortname]], Comp[], 25, FALSE)</f>
        <v>0</v>
      </c>
      <c r="AC619">
        <f>VLOOKUP(Table5[[#This Row],[Shortname]], Comp[], 26, FALSE)</f>
        <v>0</v>
      </c>
      <c r="AD619">
        <f>VLOOKUP(Table5[[#This Row],[Shortname]], Comp[], 27, FALSE)</f>
        <v>0</v>
      </c>
      <c r="AE619">
        <f>VLOOKUP(Table5[[#This Row],[Shortname]], Comp[], 28, FALSE)</f>
        <v>0</v>
      </c>
      <c r="AF619">
        <f>VLOOKUP(Table5[[#This Row],[Shortname]], Comp[], 29, FALSE)</f>
        <v>0</v>
      </c>
      <c r="AG619">
        <f>VLOOKUP(Table5[[#This Row],[Shortname]], Comp[], 30, FALSE)</f>
        <v>0</v>
      </c>
      <c r="AH619">
        <f>VLOOKUP(Table5[[#This Row],[Shortname]], Comp[], 31, FALSE)</f>
        <v>0</v>
      </c>
    </row>
    <row r="620" spans="1:34" x14ac:dyDescent="0.3">
      <c r="A620" s="12" t="s">
        <v>6026</v>
      </c>
      <c r="B620">
        <v>642</v>
      </c>
      <c r="D620" s="12" t="s">
        <v>6027</v>
      </c>
      <c r="E620" s="12" t="s">
        <v>5995</v>
      </c>
      <c r="F620" s="12">
        <v>1157.5999999999999</v>
      </c>
      <c r="J620" s="14">
        <f>VLOOKUP(Table5[[#This Row],[Shortname]], Comp[], 7, FALSE)</f>
        <v>48.8</v>
      </c>
      <c r="K620">
        <f>VLOOKUP(Table5[[#This Row],[Shortname]], Comp[], 8, FALSE)</f>
        <v>29.4</v>
      </c>
      <c r="L620">
        <f>VLOOKUP(Table5[[#This Row],[Shortname]], Comp[], 9, FALSE)</f>
        <v>11.8</v>
      </c>
      <c r="M620">
        <f>VLOOKUP(Table5[[#This Row],[Shortname]], Comp[], 10, FALSE)</f>
        <v>3</v>
      </c>
      <c r="N620">
        <f>VLOOKUP(Table5[[#This Row],[Shortname]], Comp[], 11, FALSE)</f>
        <v>1.8</v>
      </c>
      <c r="O620">
        <f>VLOOKUP(Table5[[#This Row],[Shortname]], Comp[],12, FALSE)</f>
        <v>2</v>
      </c>
      <c r="P620">
        <f>VLOOKUP(Table5[[#This Row],[Shortname]], Comp[], 13, FALSE)</f>
        <v>2.1</v>
      </c>
      <c r="Q620">
        <f>VLOOKUP(Table5[[#This Row],[Shortname]], Comp[], 14, FALSE)</f>
        <v>0</v>
      </c>
      <c r="R620">
        <f>VLOOKUP(Table5[[#This Row],[Shortname]], Comp[], 15, FALSE)</f>
        <v>0</v>
      </c>
      <c r="S620">
        <f>VLOOKUP(Table5[[#This Row],[Shortname]], Comp[], 16, FALSE)</f>
        <v>1.1000000000000001</v>
      </c>
      <c r="T620">
        <f>VLOOKUP(Table5[[#This Row],[Shortname]], Comp[], 17, FALSE)</f>
        <v>0</v>
      </c>
      <c r="U620">
        <f>VLOOKUP(Table5[[#This Row],[Shortname]], Comp[], 18, FALSE)</f>
        <v>0</v>
      </c>
      <c r="V620">
        <f>VLOOKUP(Table5[[#This Row],[Shortname]], Comp[], 19, FALSE)</f>
        <v>0</v>
      </c>
      <c r="W620">
        <f>VLOOKUP(Table5[[#This Row],[Shortname]], Comp[], 20, FALSE)</f>
        <v>0</v>
      </c>
      <c r="X620">
        <f>VLOOKUP(Table5[[#This Row],[Shortname]], Comp[], 21, FALSE)</f>
        <v>0</v>
      </c>
      <c r="Y620">
        <f>VLOOKUP(Table5[[#This Row],[Shortname]], Comp[], 22, FALSE)</f>
        <v>0</v>
      </c>
      <c r="Z620">
        <f>VLOOKUP(Table5[[#This Row],[Shortname]], Comp[], 23, FALSE)</f>
        <v>0</v>
      </c>
      <c r="AA620">
        <f>VLOOKUP(Table5[[#This Row],[Shortname]], Comp[], 24, FALSE)</f>
        <v>0</v>
      </c>
      <c r="AB620">
        <f>VLOOKUP(Table5[[#This Row],[Shortname]], Comp[], 25, FALSE)</f>
        <v>0</v>
      </c>
      <c r="AC620">
        <f>VLOOKUP(Table5[[#This Row],[Shortname]], Comp[], 26, FALSE)</f>
        <v>0</v>
      </c>
      <c r="AD620">
        <f>VLOOKUP(Table5[[#This Row],[Shortname]], Comp[], 27, FALSE)</f>
        <v>0</v>
      </c>
      <c r="AE620">
        <f>VLOOKUP(Table5[[#This Row],[Shortname]], Comp[], 28, FALSE)</f>
        <v>0</v>
      </c>
      <c r="AF620">
        <f>VLOOKUP(Table5[[#This Row],[Shortname]], Comp[], 29, FALSE)</f>
        <v>0</v>
      </c>
      <c r="AG620">
        <f>VLOOKUP(Table5[[#This Row],[Shortname]], Comp[], 30, FALSE)</f>
        <v>0</v>
      </c>
      <c r="AH620">
        <f>VLOOKUP(Table5[[#This Row],[Shortname]], Comp[], 31, FALSE)</f>
        <v>0</v>
      </c>
    </row>
    <row r="621" spans="1:34" x14ac:dyDescent="0.3">
      <c r="A621" s="12" t="s">
        <v>6030</v>
      </c>
      <c r="B621">
        <v>643</v>
      </c>
      <c r="D621" s="12" t="s">
        <v>6031</v>
      </c>
      <c r="E621" s="12" t="s">
        <v>5995</v>
      </c>
      <c r="F621" s="12">
        <v>1161.5</v>
      </c>
      <c r="J621" s="14">
        <f>VLOOKUP(Table5[[#This Row],[Shortname]], Comp[], 7, FALSE)</f>
        <v>48.199999999999996</v>
      </c>
      <c r="K621">
        <f>VLOOKUP(Table5[[#This Row],[Shortname]], Comp[], 8, FALSE)</f>
        <v>29.6</v>
      </c>
      <c r="L621">
        <f>VLOOKUP(Table5[[#This Row],[Shortname]], Comp[], 9, FALSE)</f>
        <v>11.1</v>
      </c>
      <c r="M621">
        <f>VLOOKUP(Table5[[#This Row],[Shortname]], Comp[], 10, FALSE)</f>
        <v>3</v>
      </c>
      <c r="N621">
        <f>VLOOKUP(Table5[[#This Row],[Shortname]], Comp[], 11, FALSE)</f>
        <v>2.8</v>
      </c>
      <c r="O621">
        <f>VLOOKUP(Table5[[#This Row],[Shortname]], Comp[],12, FALSE)</f>
        <v>2.1</v>
      </c>
      <c r="P621">
        <f>VLOOKUP(Table5[[#This Row],[Shortname]], Comp[], 13, FALSE)</f>
        <v>2.2000000000000002</v>
      </c>
      <c r="Q621">
        <f>VLOOKUP(Table5[[#This Row],[Shortname]], Comp[], 14, FALSE)</f>
        <v>0</v>
      </c>
      <c r="R621">
        <f>VLOOKUP(Table5[[#This Row],[Shortname]], Comp[], 15, FALSE)</f>
        <v>0</v>
      </c>
      <c r="S621">
        <f>VLOOKUP(Table5[[#This Row],[Shortname]], Comp[], 16, FALSE)</f>
        <v>1</v>
      </c>
      <c r="T621">
        <f>VLOOKUP(Table5[[#This Row],[Shortname]], Comp[], 17, FALSE)</f>
        <v>0</v>
      </c>
      <c r="U621">
        <f>VLOOKUP(Table5[[#This Row],[Shortname]], Comp[], 18, FALSE)</f>
        <v>0</v>
      </c>
      <c r="V621">
        <f>VLOOKUP(Table5[[#This Row],[Shortname]], Comp[], 19, FALSE)</f>
        <v>0</v>
      </c>
      <c r="W621">
        <f>VLOOKUP(Table5[[#This Row],[Shortname]], Comp[], 20, FALSE)</f>
        <v>0</v>
      </c>
      <c r="X621">
        <f>VLOOKUP(Table5[[#This Row],[Shortname]], Comp[], 21, FALSE)</f>
        <v>0</v>
      </c>
      <c r="Y621">
        <f>VLOOKUP(Table5[[#This Row],[Shortname]], Comp[], 22, FALSE)</f>
        <v>0</v>
      </c>
      <c r="Z621">
        <f>VLOOKUP(Table5[[#This Row],[Shortname]], Comp[], 23, FALSE)</f>
        <v>0</v>
      </c>
      <c r="AA621">
        <f>VLOOKUP(Table5[[#This Row],[Shortname]], Comp[], 24, FALSE)</f>
        <v>0</v>
      </c>
      <c r="AB621">
        <f>VLOOKUP(Table5[[#This Row],[Shortname]], Comp[], 25, FALSE)</f>
        <v>0</v>
      </c>
      <c r="AC621">
        <f>VLOOKUP(Table5[[#This Row],[Shortname]], Comp[], 26, FALSE)</f>
        <v>0</v>
      </c>
      <c r="AD621">
        <f>VLOOKUP(Table5[[#This Row],[Shortname]], Comp[], 27, FALSE)</f>
        <v>0</v>
      </c>
      <c r="AE621">
        <f>VLOOKUP(Table5[[#This Row],[Shortname]], Comp[], 28, FALSE)</f>
        <v>0</v>
      </c>
      <c r="AF621">
        <f>VLOOKUP(Table5[[#This Row],[Shortname]], Comp[], 29, FALSE)</f>
        <v>0</v>
      </c>
      <c r="AG621">
        <f>VLOOKUP(Table5[[#This Row],[Shortname]], Comp[], 30, FALSE)</f>
        <v>0</v>
      </c>
      <c r="AH621">
        <f>VLOOKUP(Table5[[#This Row],[Shortname]], Comp[], 31, FALSE)</f>
        <v>0</v>
      </c>
    </row>
    <row r="622" spans="1:34" x14ac:dyDescent="0.3">
      <c r="A622" s="12" t="s">
        <v>6033</v>
      </c>
      <c r="B622">
        <v>644</v>
      </c>
      <c r="D622" s="12" t="s">
        <v>6034</v>
      </c>
      <c r="E622" s="12" t="s">
        <v>6035</v>
      </c>
      <c r="F622" s="12">
        <v>1131</v>
      </c>
      <c r="G622" s="12">
        <v>1261</v>
      </c>
      <c r="J622" s="14">
        <f>VLOOKUP(Table5[[#This Row],[Shortname]], Comp[], 7, FALSE)</f>
        <v>82</v>
      </c>
      <c r="K622">
        <f>VLOOKUP(Table5[[#This Row],[Shortname]], Comp[], 8, FALSE)</f>
        <v>0</v>
      </c>
      <c r="L622">
        <f>VLOOKUP(Table5[[#This Row],[Shortname]], Comp[], 9, FALSE)</f>
        <v>0</v>
      </c>
      <c r="M622">
        <f>VLOOKUP(Table5[[#This Row],[Shortname]], Comp[], 10, FALSE)</f>
        <v>0</v>
      </c>
      <c r="N622">
        <f>VLOOKUP(Table5[[#This Row],[Shortname]], Comp[], 11, FALSE)</f>
        <v>2</v>
      </c>
      <c r="O622">
        <f>VLOOKUP(Table5[[#This Row],[Shortname]], Comp[],12, FALSE)</f>
        <v>4</v>
      </c>
      <c r="P622">
        <f>VLOOKUP(Table5[[#This Row],[Shortname]], Comp[], 13, FALSE)</f>
        <v>2</v>
      </c>
      <c r="Q622">
        <f>VLOOKUP(Table5[[#This Row],[Shortname]], Comp[], 14, FALSE)</f>
        <v>0</v>
      </c>
      <c r="R622">
        <f>VLOOKUP(Table5[[#This Row],[Shortname]], Comp[], 15, FALSE)</f>
        <v>10</v>
      </c>
      <c r="S622">
        <f>VLOOKUP(Table5[[#This Row],[Shortname]], Comp[], 16, FALSE)</f>
        <v>0</v>
      </c>
      <c r="T622">
        <f>VLOOKUP(Table5[[#This Row],[Shortname]], Comp[], 17, FALSE)</f>
        <v>0</v>
      </c>
      <c r="U622">
        <f>VLOOKUP(Table5[[#This Row],[Shortname]], Comp[], 18, FALSE)</f>
        <v>0</v>
      </c>
      <c r="V622">
        <f>VLOOKUP(Table5[[#This Row],[Shortname]], Comp[], 19, FALSE)</f>
        <v>0</v>
      </c>
      <c r="W622">
        <f>VLOOKUP(Table5[[#This Row],[Shortname]], Comp[], 20, FALSE)</f>
        <v>0</v>
      </c>
      <c r="X622">
        <f>VLOOKUP(Table5[[#This Row],[Shortname]], Comp[], 21, FALSE)</f>
        <v>0</v>
      </c>
      <c r="Y622">
        <f>VLOOKUP(Table5[[#This Row],[Shortname]], Comp[], 22, FALSE)</f>
        <v>0</v>
      </c>
      <c r="Z622">
        <f>VLOOKUP(Table5[[#This Row],[Shortname]], Comp[], 23, FALSE)</f>
        <v>0</v>
      </c>
      <c r="AA622">
        <f>VLOOKUP(Table5[[#This Row],[Shortname]], Comp[], 24, FALSE)</f>
        <v>0</v>
      </c>
      <c r="AB622">
        <f>VLOOKUP(Table5[[#This Row],[Shortname]], Comp[], 25, FALSE)</f>
        <v>0</v>
      </c>
      <c r="AC622">
        <f>VLOOKUP(Table5[[#This Row],[Shortname]], Comp[], 26, FALSE)</f>
        <v>0</v>
      </c>
      <c r="AD622">
        <f>VLOOKUP(Table5[[#This Row],[Shortname]], Comp[], 27, FALSE)</f>
        <v>0</v>
      </c>
      <c r="AE622">
        <f>VLOOKUP(Table5[[#This Row],[Shortname]], Comp[], 28, FALSE)</f>
        <v>0</v>
      </c>
      <c r="AF622">
        <f>VLOOKUP(Table5[[#This Row],[Shortname]], Comp[], 29, FALSE)</f>
        <v>0</v>
      </c>
      <c r="AG622">
        <f>VLOOKUP(Table5[[#This Row],[Shortname]], Comp[], 30, FALSE)</f>
        <v>0</v>
      </c>
      <c r="AH622">
        <f>VLOOKUP(Table5[[#This Row],[Shortname]], Comp[], 31, FALSE)</f>
        <v>0</v>
      </c>
    </row>
    <row r="623" spans="1:34" x14ac:dyDescent="0.3">
      <c r="A623" s="12" t="s">
        <v>6037</v>
      </c>
      <c r="B623">
        <v>645</v>
      </c>
      <c r="D623" s="13" t="s">
        <v>6038</v>
      </c>
      <c r="E623" s="12" t="s">
        <v>6039</v>
      </c>
      <c r="F623" s="12">
        <v>1193</v>
      </c>
      <c r="G623" s="12">
        <v>1242.0999999999999</v>
      </c>
      <c r="H623" s="12">
        <v>1273.4000000000001</v>
      </c>
      <c r="J623" s="14">
        <f>VLOOKUP(Table5[[#This Row],[Shortname]], Comp[], 7, FALSE)</f>
        <v>52.9</v>
      </c>
      <c r="K623">
        <f>VLOOKUP(Table5[[#This Row],[Shortname]], Comp[], 8, FALSE)</f>
        <v>19.7</v>
      </c>
      <c r="L623">
        <f>VLOOKUP(Table5[[#This Row],[Shortname]], Comp[], 9, FALSE)</f>
        <v>10.3</v>
      </c>
      <c r="M623">
        <f>VLOOKUP(Table5[[#This Row],[Shortname]], Comp[], 10, FALSE)</f>
        <v>6.9</v>
      </c>
      <c r="N623">
        <f>VLOOKUP(Table5[[#This Row],[Shortname]], Comp[], 11, FALSE)</f>
        <v>1</v>
      </c>
      <c r="O623">
        <f>VLOOKUP(Table5[[#This Row],[Shortname]], Comp[],12, FALSE)</f>
        <v>5.0999999999999996</v>
      </c>
      <c r="P623">
        <f>VLOOKUP(Table5[[#This Row],[Shortname]], Comp[], 13, FALSE)</f>
        <v>4.0999999999999996</v>
      </c>
      <c r="Q623">
        <f>VLOOKUP(Table5[[#This Row],[Shortname]], Comp[], 14, FALSE)</f>
        <v>0</v>
      </c>
      <c r="R623">
        <f>VLOOKUP(Table5[[#This Row],[Shortname]], Comp[], 15, FALSE)</f>
        <v>0</v>
      </c>
      <c r="S623">
        <f>VLOOKUP(Table5[[#This Row],[Shortname]], Comp[], 16, FALSE)</f>
        <v>0</v>
      </c>
      <c r="T623">
        <f>VLOOKUP(Table5[[#This Row],[Shortname]], Comp[], 17, FALSE)</f>
        <v>0</v>
      </c>
      <c r="U623">
        <f>VLOOKUP(Table5[[#This Row],[Shortname]], Comp[], 18, FALSE)</f>
        <v>0</v>
      </c>
      <c r="V623">
        <f>VLOOKUP(Table5[[#This Row],[Shortname]], Comp[], 19, FALSE)</f>
        <v>0</v>
      </c>
      <c r="W623">
        <f>VLOOKUP(Table5[[#This Row],[Shortname]], Comp[], 20, FALSE)</f>
        <v>0</v>
      </c>
      <c r="X623">
        <f>VLOOKUP(Table5[[#This Row],[Shortname]], Comp[], 21, FALSE)</f>
        <v>0</v>
      </c>
      <c r="Y623">
        <f>VLOOKUP(Table5[[#This Row],[Shortname]], Comp[], 22, FALSE)</f>
        <v>0</v>
      </c>
      <c r="Z623">
        <f>VLOOKUP(Table5[[#This Row],[Shortname]], Comp[], 23, FALSE)</f>
        <v>0</v>
      </c>
      <c r="AA623">
        <f>VLOOKUP(Table5[[#This Row],[Shortname]], Comp[], 24, FALSE)</f>
        <v>0</v>
      </c>
      <c r="AB623">
        <f>VLOOKUP(Table5[[#This Row],[Shortname]], Comp[], 25, FALSE)</f>
        <v>0</v>
      </c>
      <c r="AC623">
        <f>VLOOKUP(Table5[[#This Row],[Shortname]], Comp[], 26, FALSE)</f>
        <v>0</v>
      </c>
      <c r="AD623">
        <f>VLOOKUP(Table5[[#This Row],[Shortname]], Comp[], 27, FALSE)</f>
        <v>0</v>
      </c>
      <c r="AE623">
        <f>VLOOKUP(Table5[[#This Row],[Shortname]], Comp[], 28, FALSE)</f>
        <v>0</v>
      </c>
      <c r="AF623">
        <f>VLOOKUP(Table5[[#This Row],[Shortname]], Comp[], 29, FALSE)</f>
        <v>0</v>
      </c>
      <c r="AG623">
        <f>VLOOKUP(Table5[[#This Row],[Shortname]], Comp[], 30, FALSE)</f>
        <v>0</v>
      </c>
      <c r="AH623">
        <f>VLOOKUP(Table5[[#This Row],[Shortname]], Comp[], 31, FALSE)</f>
        <v>0</v>
      </c>
    </row>
    <row r="624" spans="1:34" x14ac:dyDescent="0.3">
      <c r="A624" s="12" t="s">
        <v>6043</v>
      </c>
      <c r="B624">
        <v>646</v>
      </c>
      <c r="D624" s="13" t="s">
        <v>6044</v>
      </c>
      <c r="E624" s="12" t="s">
        <v>6039</v>
      </c>
      <c r="F624" s="12">
        <v>1266.5</v>
      </c>
      <c r="G624" s="12">
        <v>1315.6</v>
      </c>
      <c r="H624" s="12">
        <v>1362.4</v>
      </c>
      <c r="J624" s="14">
        <f>VLOOKUP(Table5[[#This Row],[Shortname]], Comp[], 7, FALSE)</f>
        <v>42.6</v>
      </c>
      <c r="K624">
        <f>VLOOKUP(Table5[[#This Row],[Shortname]], Comp[], 8, FALSE)</f>
        <v>35.6</v>
      </c>
      <c r="L624">
        <f>VLOOKUP(Table5[[#This Row],[Shortname]], Comp[], 9, FALSE)</f>
        <v>11.9</v>
      </c>
      <c r="M624">
        <f>VLOOKUP(Table5[[#This Row],[Shortname]], Comp[], 10, FALSE)</f>
        <v>2.1</v>
      </c>
      <c r="N624">
        <f>VLOOKUP(Table5[[#This Row],[Shortname]], Comp[], 11, FALSE)</f>
        <v>1.3</v>
      </c>
      <c r="O624">
        <f>VLOOKUP(Table5[[#This Row],[Shortname]], Comp[],12, FALSE)</f>
        <v>2.2000000000000002</v>
      </c>
      <c r="P624">
        <f>VLOOKUP(Table5[[#This Row],[Shortname]], Comp[], 13, FALSE)</f>
        <v>4.3</v>
      </c>
      <c r="Q624">
        <f>VLOOKUP(Table5[[#This Row],[Shortname]], Comp[], 14, FALSE)</f>
        <v>0</v>
      </c>
      <c r="R624">
        <f>VLOOKUP(Table5[[#This Row],[Shortname]], Comp[], 15, FALSE)</f>
        <v>0</v>
      </c>
      <c r="S624">
        <f>VLOOKUP(Table5[[#This Row],[Shortname]], Comp[], 16, FALSE)</f>
        <v>0</v>
      </c>
      <c r="T624">
        <f>VLOOKUP(Table5[[#This Row],[Shortname]], Comp[], 17, FALSE)</f>
        <v>0</v>
      </c>
      <c r="U624">
        <f>VLOOKUP(Table5[[#This Row],[Shortname]], Comp[], 18, FALSE)</f>
        <v>0</v>
      </c>
      <c r="V624">
        <f>VLOOKUP(Table5[[#This Row],[Shortname]], Comp[], 19, FALSE)</f>
        <v>0</v>
      </c>
      <c r="W624">
        <f>VLOOKUP(Table5[[#This Row],[Shortname]], Comp[], 20, FALSE)</f>
        <v>0</v>
      </c>
      <c r="X624">
        <f>VLOOKUP(Table5[[#This Row],[Shortname]], Comp[], 21, FALSE)</f>
        <v>0</v>
      </c>
      <c r="Y624">
        <f>VLOOKUP(Table5[[#This Row],[Shortname]], Comp[], 22, FALSE)</f>
        <v>0</v>
      </c>
      <c r="Z624">
        <f>VLOOKUP(Table5[[#This Row],[Shortname]], Comp[], 23, FALSE)</f>
        <v>0</v>
      </c>
      <c r="AA624">
        <f>VLOOKUP(Table5[[#This Row],[Shortname]], Comp[], 24, FALSE)</f>
        <v>0</v>
      </c>
      <c r="AB624">
        <f>VLOOKUP(Table5[[#This Row],[Shortname]], Comp[], 25, FALSE)</f>
        <v>0</v>
      </c>
      <c r="AC624">
        <f>VLOOKUP(Table5[[#This Row],[Shortname]], Comp[], 26, FALSE)</f>
        <v>0</v>
      </c>
      <c r="AD624">
        <f>VLOOKUP(Table5[[#This Row],[Shortname]], Comp[], 27, FALSE)</f>
        <v>0</v>
      </c>
      <c r="AE624">
        <f>VLOOKUP(Table5[[#This Row],[Shortname]], Comp[], 28, FALSE)</f>
        <v>0</v>
      </c>
      <c r="AF624">
        <f>VLOOKUP(Table5[[#This Row],[Shortname]], Comp[], 29, FALSE)</f>
        <v>0</v>
      </c>
      <c r="AG624">
        <f>VLOOKUP(Table5[[#This Row],[Shortname]], Comp[], 30, FALSE)</f>
        <v>0</v>
      </c>
      <c r="AH624">
        <f>VLOOKUP(Table5[[#This Row],[Shortname]], Comp[], 31, FALSE)</f>
        <v>0</v>
      </c>
    </row>
    <row r="625" spans="1:34" x14ac:dyDescent="0.3">
      <c r="A625" s="12" t="s">
        <v>6050</v>
      </c>
      <c r="B625">
        <v>647</v>
      </c>
      <c r="D625" s="13" t="s">
        <v>6051</v>
      </c>
      <c r="E625" s="12" t="s">
        <v>6039</v>
      </c>
      <c r="F625" s="12">
        <v>1198.2</v>
      </c>
      <c r="G625" s="12">
        <v>1242.2</v>
      </c>
      <c r="H625" s="12">
        <v>1276.4000000000001</v>
      </c>
      <c r="J625" s="14">
        <f>VLOOKUP(Table5[[#This Row],[Shortname]], Comp[], 7, FALSE)</f>
        <v>52.300000000000004</v>
      </c>
      <c r="K625">
        <f>VLOOKUP(Table5[[#This Row],[Shortname]], Comp[], 8, FALSE)</f>
        <v>20.2</v>
      </c>
      <c r="L625">
        <f>VLOOKUP(Table5[[#This Row],[Shortname]], Comp[], 9, FALSE)</f>
        <v>9.8000000000000007</v>
      </c>
      <c r="M625">
        <f>VLOOKUP(Table5[[#This Row],[Shortname]], Comp[], 10, FALSE)</f>
        <v>7</v>
      </c>
      <c r="N625">
        <f>VLOOKUP(Table5[[#This Row],[Shortname]], Comp[], 11, FALSE)</f>
        <v>1.4</v>
      </c>
      <c r="O625">
        <f>VLOOKUP(Table5[[#This Row],[Shortname]], Comp[],12, FALSE)</f>
        <v>4.9000000000000004</v>
      </c>
      <c r="P625">
        <f>VLOOKUP(Table5[[#This Row],[Shortname]], Comp[], 13, FALSE)</f>
        <v>4.4000000000000004</v>
      </c>
      <c r="Q625">
        <f>VLOOKUP(Table5[[#This Row],[Shortname]], Comp[], 14, FALSE)</f>
        <v>0</v>
      </c>
      <c r="R625">
        <f>VLOOKUP(Table5[[#This Row],[Shortname]], Comp[], 15, FALSE)</f>
        <v>0</v>
      </c>
      <c r="S625">
        <f>VLOOKUP(Table5[[#This Row],[Shortname]], Comp[], 16, FALSE)</f>
        <v>0</v>
      </c>
      <c r="T625">
        <f>VLOOKUP(Table5[[#This Row],[Shortname]], Comp[], 17, FALSE)</f>
        <v>0</v>
      </c>
      <c r="U625">
        <f>VLOOKUP(Table5[[#This Row],[Shortname]], Comp[], 18, FALSE)</f>
        <v>0</v>
      </c>
      <c r="V625">
        <f>VLOOKUP(Table5[[#This Row],[Shortname]], Comp[], 19, FALSE)</f>
        <v>0</v>
      </c>
      <c r="W625">
        <f>VLOOKUP(Table5[[#This Row],[Shortname]], Comp[], 20, FALSE)</f>
        <v>0</v>
      </c>
      <c r="X625">
        <f>VLOOKUP(Table5[[#This Row],[Shortname]], Comp[], 21, FALSE)</f>
        <v>0</v>
      </c>
      <c r="Y625">
        <f>VLOOKUP(Table5[[#This Row],[Shortname]], Comp[], 22, FALSE)</f>
        <v>0</v>
      </c>
      <c r="Z625">
        <f>VLOOKUP(Table5[[#This Row],[Shortname]], Comp[], 23, FALSE)</f>
        <v>0</v>
      </c>
      <c r="AA625">
        <f>VLOOKUP(Table5[[#This Row],[Shortname]], Comp[], 24, FALSE)</f>
        <v>0</v>
      </c>
      <c r="AB625">
        <f>VLOOKUP(Table5[[#This Row],[Shortname]], Comp[], 25, FALSE)</f>
        <v>0</v>
      </c>
      <c r="AC625">
        <f>VLOOKUP(Table5[[#This Row],[Shortname]], Comp[], 26, FALSE)</f>
        <v>0</v>
      </c>
      <c r="AD625">
        <f>VLOOKUP(Table5[[#This Row],[Shortname]], Comp[], 27, FALSE)</f>
        <v>0</v>
      </c>
      <c r="AE625">
        <f>VLOOKUP(Table5[[#This Row],[Shortname]], Comp[], 28, FALSE)</f>
        <v>0</v>
      </c>
      <c r="AF625">
        <f>VLOOKUP(Table5[[#This Row],[Shortname]], Comp[], 29, FALSE)</f>
        <v>0</v>
      </c>
      <c r="AG625">
        <f>VLOOKUP(Table5[[#This Row],[Shortname]], Comp[], 30, FALSE)</f>
        <v>0</v>
      </c>
      <c r="AH625">
        <f>VLOOKUP(Table5[[#This Row],[Shortname]], Comp[], 31, FALSE)</f>
        <v>0</v>
      </c>
    </row>
    <row r="626" spans="1:34" x14ac:dyDescent="0.3">
      <c r="A626" s="12" t="s">
        <v>6055</v>
      </c>
      <c r="B626">
        <v>648</v>
      </c>
      <c r="D626" s="13" t="s">
        <v>6056</v>
      </c>
      <c r="E626" s="12" t="s">
        <v>6039</v>
      </c>
      <c r="F626" s="12">
        <v>1146.3</v>
      </c>
      <c r="G626" s="12">
        <v>1274</v>
      </c>
      <c r="H626" s="12">
        <v>1311.4</v>
      </c>
      <c r="J626" s="14">
        <f>VLOOKUP(Table5[[#This Row],[Shortname]], Comp[], 7, FALSE)</f>
        <v>45.599999999999994</v>
      </c>
      <c r="K626">
        <f>VLOOKUP(Table5[[#This Row],[Shortname]], Comp[], 8, FALSE)</f>
        <v>24.5</v>
      </c>
      <c r="L626">
        <f>VLOOKUP(Table5[[#This Row],[Shortname]], Comp[], 9, FALSE)</f>
        <v>12.5</v>
      </c>
      <c r="M626">
        <f>VLOOKUP(Table5[[#This Row],[Shortname]], Comp[], 10, FALSE)</f>
        <v>10</v>
      </c>
      <c r="N626">
        <f>VLOOKUP(Table5[[#This Row],[Shortname]], Comp[], 11, FALSE)</f>
        <v>1.2</v>
      </c>
      <c r="O626">
        <f>VLOOKUP(Table5[[#This Row],[Shortname]], Comp[],12, FALSE)</f>
        <v>2</v>
      </c>
      <c r="P626">
        <f>VLOOKUP(Table5[[#This Row],[Shortname]], Comp[], 13, FALSE)</f>
        <v>4.2</v>
      </c>
      <c r="Q626">
        <f>VLOOKUP(Table5[[#This Row],[Shortname]], Comp[], 14, FALSE)</f>
        <v>0</v>
      </c>
      <c r="R626">
        <f>VLOOKUP(Table5[[#This Row],[Shortname]], Comp[], 15, FALSE)</f>
        <v>0</v>
      </c>
      <c r="S626">
        <f>VLOOKUP(Table5[[#This Row],[Shortname]], Comp[], 16, FALSE)</f>
        <v>0</v>
      </c>
      <c r="T626">
        <f>VLOOKUP(Table5[[#This Row],[Shortname]], Comp[], 17, FALSE)</f>
        <v>0</v>
      </c>
      <c r="U626">
        <f>VLOOKUP(Table5[[#This Row],[Shortname]], Comp[], 18, FALSE)</f>
        <v>0</v>
      </c>
      <c r="V626">
        <f>VLOOKUP(Table5[[#This Row],[Shortname]], Comp[], 19, FALSE)</f>
        <v>0</v>
      </c>
      <c r="W626">
        <f>VLOOKUP(Table5[[#This Row],[Shortname]], Comp[], 20, FALSE)</f>
        <v>0</v>
      </c>
      <c r="X626">
        <f>VLOOKUP(Table5[[#This Row],[Shortname]], Comp[], 21, FALSE)</f>
        <v>0</v>
      </c>
      <c r="Y626">
        <f>VLOOKUP(Table5[[#This Row],[Shortname]], Comp[], 22, FALSE)</f>
        <v>0</v>
      </c>
      <c r="Z626">
        <f>VLOOKUP(Table5[[#This Row],[Shortname]], Comp[], 23, FALSE)</f>
        <v>0</v>
      </c>
      <c r="AA626">
        <f>VLOOKUP(Table5[[#This Row],[Shortname]], Comp[], 24, FALSE)</f>
        <v>0</v>
      </c>
      <c r="AB626">
        <f>VLOOKUP(Table5[[#This Row],[Shortname]], Comp[], 25, FALSE)</f>
        <v>0</v>
      </c>
      <c r="AC626">
        <f>VLOOKUP(Table5[[#This Row],[Shortname]], Comp[], 26, FALSE)</f>
        <v>0</v>
      </c>
      <c r="AD626">
        <f>VLOOKUP(Table5[[#This Row],[Shortname]], Comp[], 27, FALSE)</f>
        <v>0</v>
      </c>
      <c r="AE626">
        <f>VLOOKUP(Table5[[#This Row],[Shortname]], Comp[], 28, FALSE)</f>
        <v>0</v>
      </c>
      <c r="AF626">
        <f>VLOOKUP(Table5[[#This Row],[Shortname]], Comp[], 29, FALSE)</f>
        <v>0</v>
      </c>
      <c r="AG626">
        <f>VLOOKUP(Table5[[#This Row],[Shortname]], Comp[], 30, FALSE)</f>
        <v>0</v>
      </c>
      <c r="AH626">
        <f>VLOOKUP(Table5[[#This Row],[Shortname]], Comp[], 31, FALSE)</f>
        <v>0</v>
      </c>
    </row>
    <row r="627" spans="1:34" x14ac:dyDescent="0.3">
      <c r="A627" s="12" t="s">
        <v>6060</v>
      </c>
      <c r="B627">
        <v>649</v>
      </c>
      <c r="D627" s="13" t="s">
        <v>6061</v>
      </c>
      <c r="E627" s="12" t="s">
        <v>6039</v>
      </c>
      <c r="F627" s="12">
        <v>1259.0999999999999</v>
      </c>
      <c r="G627" s="12">
        <v>1295.2</v>
      </c>
      <c r="H627" s="12">
        <v>1344.2</v>
      </c>
      <c r="J627" s="14">
        <f>VLOOKUP(Table5[[#This Row],[Shortname]], Comp[], 7, FALSE)</f>
        <v>42.399999999999991</v>
      </c>
      <c r="K627">
        <f>VLOOKUP(Table5[[#This Row],[Shortname]], Comp[], 8, FALSE)</f>
        <v>35.6</v>
      </c>
      <c r="L627">
        <f>VLOOKUP(Table5[[#This Row],[Shortname]], Comp[], 9, FALSE)</f>
        <v>11.6</v>
      </c>
      <c r="M627">
        <f>VLOOKUP(Table5[[#This Row],[Shortname]], Comp[], 10, FALSE)</f>
        <v>2</v>
      </c>
      <c r="N627">
        <f>VLOOKUP(Table5[[#This Row],[Shortname]], Comp[], 11, FALSE)</f>
        <v>1.2</v>
      </c>
      <c r="O627">
        <f>VLOOKUP(Table5[[#This Row],[Shortname]], Comp[],12, FALSE)</f>
        <v>3</v>
      </c>
      <c r="P627">
        <f>VLOOKUP(Table5[[#This Row],[Shortname]], Comp[], 13, FALSE)</f>
        <v>4.2</v>
      </c>
      <c r="Q627">
        <f>VLOOKUP(Table5[[#This Row],[Shortname]], Comp[], 14, FALSE)</f>
        <v>0</v>
      </c>
      <c r="R627">
        <f>VLOOKUP(Table5[[#This Row],[Shortname]], Comp[], 15, FALSE)</f>
        <v>0</v>
      </c>
      <c r="S627">
        <f>VLOOKUP(Table5[[#This Row],[Shortname]], Comp[], 16, FALSE)</f>
        <v>0</v>
      </c>
      <c r="T627">
        <f>VLOOKUP(Table5[[#This Row],[Shortname]], Comp[], 17, FALSE)</f>
        <v>0</v>
      </c>
      <c r="U627">
        <f>VLOOKUP(Table5[[#This Row],[Shortname]], Comp[], 18, FALSE)</f>
        <v>0</v>
      </c>
      <c r="V627">
        <f>VLOOKUP(Table5[[#This Row],[Shortname]], Comp[], 19, FALSE)</f>
        <v>0</v>
      </c>
      <c r="W627">
        <f>VLOOKUP(Table5[[#This Row],[Shortname]], Comp[], 20, FALSE)</f>
        <v>0</v>
      </c>
      <c r="X627">
        <f>VLOOKUP(Table5[[#This Row],[Shortname]], Comp[], 21, FALSE)</f>
        <v>0</v>
      </c>
      <c r="Y627">
        <f>VLOOKUP(Table5[[#This Row],[Shortname]], Comp[], 22, FALSE)</f>
        <v>0</v>
      </c>
      <c r="Z627">
        <f>VLOOKUP(Table5[[#This Row],[Shortname]], Comp[], 23, FALSE)</f>
        <v>0</v>
      </c>
      <c r="AA627">
        <f>VLOOKUP(Table5[[#This Row],[Shortname]], Comp[], 24, FALSE)</f>
        <v>0</v>
      </c>
      <c r="AB627">
        <f>VLOOKUP(Table5[[#This Row],[Shortname]], Comp[], 25, FALSE)</f>
        <v>0</v>
      </c>
      <c r="AC627">
        <f>VLOOKUP(Table5[[#This Row],[Shortname]], Comp[], 26, FALSE)</f>
        <v>0</v>
      </c>
      <c r="AD627">
        <f>VLOOKUP(Table5[[#This Row],[Shortname]], Comp[], 27, FALSE)</f>
        <v>0</v>
      </c>
      <c r="AE627">
        <f>VLOOKUP(Table5[[#This Row],[Shortname]], Comp[], 28, FALSE)</f>
        <v>0</v>
      </c>
      <c r="AF627">
        <f>VLOOKUP(Table5[[#This Row],[Shortname]], Comp[], 29, FALSE)</f>
        <v>0</v>
      </c>
      <c r="AG627">
        <f>VLOOKUP(Table5[[#This Row],[Shortname]], Comp[], 30, FALSE)</f>
        <v>0</v>
      </c>
      <c r="AH627">
        <f>VLOOKUP(Table5[[#This Row],[Shortname]], Comp[], 31, FALSE)</f>
        <v>0</v>
      </c>
    </row>
    <row r="628" spans="1:34" x14ac:dyDescent="0.3">
      <c r="A628" s="12" t="s">
        <v>6064</v>
      </c>
      <c r="B628">
        <v>650</v>
      </c>
      <c r="D628" s="13" t="s">
        <v>6065</v>
      </c>
      <c r="E628" s="12" t="s">
        <v>6039</v>
      </c>
      <c r="F628" s="12">
        <v>1270.2</v>
      </c>
      <c r="G628" s="12">
        <v>1300.7</v>
      </c>
      <c r="H628" s="12">
        <v>1352</v>
      </c>
      <c r="J628" s="14">
        <f>VLOOKUP(Table5[[#This Row],[Shortname]], Comp[], 7, FALSE)</f>
        <v>42.5</v>
      </c>
      <c r="K628">
        <f>VLOOKUP(Table5[[#This Row],[Shortname]], Comp[], 8, FALSE)</f>
        <v>35.700000000000003</v>
      </c>
      <c r="L628">
        <f>VLOOKUP(Table5[[#This Row],[Shortname]], Comp[], 9, FALSE)</f>
        <v>11.3</v>
      </c>
      <c r="M628">
        <f>VLOOKUP(Table5[[#This Row],[Shortname]], Comp[], 10, FALSE)</f>
        <v>1.8</v>
      </c>
      <c r="N628">
        <f>VLOOKUP(Table5[[#This Row],[Shortname]], Comp[], 11, FALSE)</f>
        <v>1.5</v>
      </c>
      <c r="O628">
        <f>VLOOKUP(Table5[[#This Row],[Shortname]], Comp[],12, FALSE)</f>
        <v>3</v>
      </c>
      <c r="P628">
        <f>VLOOKUP(Table5[[#This Row],[Shortname]], Comp[], 13, FALSE)</f>
        <v>4.2</v>
      </c>
      <c r="Q628">
        <f>VLOOKUP(Table5[[#This Row],[Shortname]], Comp[], 14, FALSE)</f>
        <v>0</v>
      </c>
      <c r="R628">
        <f>VLOOKUP(Table5[[#This Row],[Shortname]], Comp[], 15, FALSE)</f>
        <v>0</v>
      </c>
      <c r="S628">
        <f>VLOOKUP(Table5[[#This Row],[Shortname]], Comp[], 16, FALSE)</f>
        <v>0</v>
      </c>
      <c r="T628">
        <f>VLOOKUP(Table5[[#This Row],[Shortname]], Comp[], 17, FALSE)</f>
        <v>0</v>
      </c>
      <c r="U628">
        <f>VLOOKUP(Table5[[#This Row],[Shortname]], Comp[], 18, FALSE)</f>
        <v>0</v>
      </c>
      <c r="V628">
        <f>VLOOKUP(Table5[[#This Row],[Shortname]], Comp[], 19, FALSE)</f>
        <v>0</v>
      </c>
      <c r="W628">
        <f>VLOOKUP(Table5[[#This Row],[Shortname]], Comp[], 20, FALSE)</f>
        <v>0</v>
      </c>
      <c r="X628">
        <f>VLOOKUP(Table5[[#This Row],[Shortname]], Comp[], 21, FALSE)</f>
        <v>0</v>
      </c>
      <c r="Y628">
        <f>VLOOKUP(Table5[[#This Row],[Shortname]], Comp[], 22, FALSE)</f>
        <v>0</v>
      </c>
      <c r="Z628">
        <f>VLOOKUP(Table5[[#This Row],[Shortname]], Comp[], 23, FALSE)</f>
        <v>0</v>
      </c>
      <c r="AA628">
        <f>VLOOKUP(Table5[[#This Row],[Shortname]], Comp[], 24, FALSE)</f>
        <v>0</v>
      </c>
      <c r="AB628">
        <f>VLOOKUP(Table5[[#This Row],[Shortname]], Comp[], 25, FALSE)</f>
        <v>0</v>
      </c>
      <c r="AC628">
        <f>VLOOKUP(Table5[[#This Row],[Shortname]], Comp[], 26, FALSE)</f>
        <v>0</v>
      </c>
      <c r="AD628">
        <f>VLOOKUP(Table5[[#This Row],[Shortname]], Comp[], 27, FALSE)</f>
        <v>0</v>
      </c>
      <c r="AE628">
        <f>VLOOKUP(Table5[[#This Row],[Shortname]], Comp[], 28, FALSE)</f>
        <v>0</v>
      </c>
      <c r="AF628">
        <f>VLOOKUP(Table5[[#This Row],[Shortname]], Comp[], 29, FALSE)</f>
        <v>0</v>
      </c>
      <c r="AG628">
        <f>VLOOKUP(Table5[[#This Row],[Shortname]], Comp[], 30, FALSE)</f>
        <v>0</v>
      </c>
      <c r="AH628">
        <f>VLOOKUP(Table5[[#This Row],[Shortname]], Comp[], 31, FALSE)</f>
        <v>0</v>
      </c>
    </row>
    <row r="629" spans="1:34" x14ac:dyDescent="0.3">
      <c r="A629" s="12" t="s">
        <v>6069</v>
      </c>
      <c r="B629">
        <v>651</v>
      </c>
      <c r="D629" s="13" t="s">
        <v>6070</v>
      </c>
      <c r="E629" s="12" t="s">
        <v>6039</v>
      </c>
      <c r="F629" s="12">
        <v>1271.3</v>
      </c>
      <c r="G629" s="12">
        <v>1305.8</v>
      </c>
      <c r="H629" s="12">
        <v>1355.1</v>
      </c>
      <c r="J629" s="14">
        <f>VLOOKUP(Table5[[#This Row],[Shortname]], Comp[], 7, FALSE)</f>
        <v>42.2</v>
      </c>
      <c r="K629">
        <f>VLOOKUP(Table5[[#This Row],[Shortname]], Comp[], 8, FALSE)</f>
        <v>36</v>
      </c>
      <c r="L629">
        <f>VLOOKUP(Table5[[#This Row],[Shortname]], Comp[], 9, FALSE)</f>
        <v>12.5</v>
      </c>
      <c r="M629">
        <f>VLOOKUP(Table5[[#This Row],[Shortname]], Comp[], 10, FALSE)</f>
        <v>2</v>
      </c>
      <c r="N629">
        <f>VLOOKUP(Table5[[#This Row],[Shortname]], Comp[], 11, FALSE)</f>
        <v>1.3</v>
      </c>
      <c r="O629">
        <f>VLOOKUP(Table5[[#This Row],[Shortname]], Comp[],12, FALSE)</f>
        <v>1.9</v>
      </c>
      <c r="P629">
        <f>VLOOKUP(Table5[[#This Row],[Shortname]], Comp[], 13, FALSE)</f>
        <v>4.0999999999999996</v>
      </c>
      <c r="Q629">
        <f>VLOOKUP(Table5[[#This Row],[Shortname]], Comp[], 14, FALSE)</f>
        <v>0</v>
      </c>
      <c r="R629">
        <f>VLOOKUP(Table5[[#This Row],[Shortname]], Comp[], 15, FALSE)</f>
        <v>0</v>
      </c>
      <c r="S629">
        <f>VLOOKUP(Table5[[#This Row],[Shortname]], Comp[], 16, FALSE)</f>
        <v>0</v>
      </c>
      <c r="T629">
        <f>VLOOKUP(Table5[[#This Row],[Shortname]], Comp[], 17, FALSE)</f>
        <v>0</v>
      </c>
      <c r="U629">
        <f>VLOOKUP(Table5[[#This Row],[Shortname]], Comp[], 18, FALSE)</f>
        <v>0</v>
      </c>
      <c r="V629">
        <f>VLOOKUP(Table5[[#This Row],[Shortname]], Comp[], 19, FALSE)</f>
        <v>0</v>
      </c>
      <c r="W629">
        <f>VLOOKUP(Table5[[#This Row],[Shortname]], Comp[], 20, FALSE)</f>
        <v>0</v>
      </c>
      <c r="X629">
        <f>VLOOKUP(Table5[[#This Row],[Shortname]], Comp[], 21, FALSE)</f>
        <v>0</v>
      </c>
      <c r="Y629">
        <f>VLOOKUP(Table5[[#This Row],[Shortname]], Comp[], 22, FALSE)</f>
        <v>0</v>
      </c>
      <c r="Z629">
        <f>VLOOKUP(Table5[[#This Row],[Shortname]], Comp[], 23, FALSE)</f>
        <v>0</v>
      </c>
      <c r="AA629">
        <f>VLOOKUP(Table5[[#This Row],[Shortname]], Comp[], 24, FALSE)</f>
        <v>0</v>
      </c>
      <c r="AB629">
        <f>VLOOKUP(Table5[[#This Row],[Shortname]], Comp[], 25, FALSE)</f>
        <v>0</v>
      </c>
      <c r="AC629">
        <f>VLOOKUP(Table5[[#This Row],[Shortname]], Comp[], 26, FALSE)</f>
        <v>0</v>
      </c>
      <c r="AD629">
        <f>VLOOKUP(Table5[[#This Row],[Shortname]], Comp[], 27, FALSE)</f>
        <v>0</v>
      </c>
      <c r="AE629">
        <f>VLOOKUP(Table5[[#This Row],[Shortname]], Comp[], 28, FALSE)</f>
        <v>0</v>
      </c>
      <c r="AF629">
        <f>VLOOKUP(Table5[[#This Row],[Shortname]], Comp[], 29, FALSE)</f>
        <v>0</v>
      </c>
      <c r="AG629">
        <f>VLOOKUP(Table5[[#This Row],[Shortname]], Comp[], 30, FALSE)</f>
        <v>0</v>
      </c>
      <c r="AH629">
        <f>VLOOKUP(Table5[[#This Row],[Shortname]], Comp[], 31, FALSE)</f>
        <v>0</v>
      </c>
    </row>
    <row r="630" spans="1:34" x14ac:dyDescent="0.3">
      <c r="A630" s="12" t="s">
        <v>6073</v>
      </c>
      <c r="B630">
        <v>652</v>
      </c>
      <c r="D630" s="13" t="s">
        <v>6074</v>
      </c>
      <c r="E630" s="12" t="s">
        <v>6039</v>
      </c>
      <c r="F630" s="12">
        <v>1274.4000000000001</v>
      </c>
      <c r="G630" s="12">
        <v>1305.5999999999999</v>
      </c>
      <c r="H630" s="12">
        <v>1352.5</v>
      </c>
      <c r="J630" s="14">
        <f>VLOOKUP(Table5[[#This Row],[Shortname]], Comp[], 7, FALSE)</f>
        <v>40.200000000000003</v>
      </c>
      <c r="K630">
        <f>VLOOKUP(Table5[[#This Row],[Shortname]], Comp[], 8, FALSE)</f>
        <v>37.299999999999997</v>
      </c>
      <c r="L630">
        <f>VLOOKUP(Table5[[#This Row],[Shortname]], Comp[], 9, FALSE)</f>
        <v>13.3</v>
      </c>
      <c r="M630">
        <f>VLOOKUP(Table5[[#This Row],[Shortname]], Comp[], 10, FALSE)</f>
        <v>2</v>
      </c>
      <c r="N630">
        <f>VLOOKUP(Table5[[#This Row],[Shortname]], Comp[], 11, FALSE)</f>
        <v>1.1000000000000001</v>
      </c>
      <c r="O630">
        <f>VLOOKUP(Table5[[#This Row],[Shortname]], Comp[],12, FALSE)</f>
        <v>2</v>
      </c>
      <c r="P630">
        <f>VLOOKUP(Table5[[#This Row],[Shortname]], Comp[], 13, FALSE)</f>
        <v>4.0999999999999996</v>
      </c>
      <c r="Q630">
        <f>VLOOKUP(Table5[[#This Row],[Shortname]], Comp[], 14, FALSE)</f>
        <v>0</v>
      </c>
      <c r="R630">
        <f>VLOOKUP(Table5[[#This Row],[Shortname]], Comp[], 15, FALSE)</f>
        <v>0</v>
      </c>
      <c r="S630">
        <f>VLOOKUP(Table5[[#This Row],[Shortname]], Comp[], 16, FALSE)</f>
        <v>0</v>
      </c>
      <c r="T630">
        <f>VLOOKUP(Table5[[#This Row],[Shortname]], Comp[], 17, FALSE)</f>
        <v>0</v>
      </c>
      <c r="U630">
        <f>VLOOKUP(Table5[[#This Row],[Shortname]], Comp[], 18, FALSE)</f>
        <v>0</v>
      </c>
      <c r="V630">
        <f>VLOOKUP(Table5[[#This Row],[Shortname]], Comp[], 19, FALSE)</f>
        <v>0</v>
      </c>
      <c r="W630">
        <f>VLOOKUP(Table5[[#This Row],[Shortname]], Comp[], 20, FALSE)</f>
        <v>0</v>
      </c>
      <c r="X630">
        <f>VLOOKUP(Table5[[#This Row],[Shortname]], Comp[], 21, FALSE)</f>
        <v>0</v>
      </c>
      <c r="Y630">
        <f>VLOOKUP(Table5[[#This Row],[Shortname]], Comp[], 22, FALSE)</f>
        <v>0</v>
      </c>
      <c r="Z630">
        <f>VLOOKUP(Table5[[#This Row],[Shortname]], Comp[], 23, FALSE)</f>
        <v>0</v>
      </c>
      <c r="AA630">
        <f>VLOOKUP(Table5[[#This Row],[Shortname]], Comp[], 24, FALSE)</f>
        <v>0</v>
      </c>
      <c r="AB630">
        <f>VLOOKUP(Table5[[#This Row],[Shortname]], Comp[], 25, FALSE)</f>
        <v>0</v>
      </c>
      <c r="AC630">
        <f>VLOOKUP(Table5[[#This Row],[Shortname]], Comp[], 26, FALSE)</f>
        <v>0</v>
      </c>
      <c r="AD630">
        <f>VLOOKUP(Table5[[#This Row],[Shortname]], Comp[], 27, FALSE)</f>
        <v>0</v>
      </c>
      <c r="AE630">
        <f>VLOOKUP(Table5[[#This Row],[Shortname]], Comp[], 28, FALSE)</f>
        <v>0</v>
      </c>
      <c r="AF630">
        <f>VLOOKUP(Table5[[#This Row],[Shortname]], Comp[], 29, FALSE)</f>
        <v>0</v>
      </c>
      <c r="AG630">
        <f>VLOOKUP(Table5[[#This Row],[Shortname]], Comp[], 30, FALSE)</f>
        <v>0</v>
      </c>
      <c r="AH630">
        <f>VLOOKUP(Table5[[#This Row],[Shortname]], Comp[], 31, FALSE)</f>
        <v>0</v>
      </c>
    </row>
    <row r="631" spans="1:34" x14ac:dyDescent="0.3">
      <c r="A631" s="12" t="s">
        <v>6077</v>
      </c>
      <c r="B631">
        <v>653</v>
      </c>
      <c r="D631" s="13" t="s">
        <v>6078</v>
      </c>
      <c r="E631" s="12" t="s">
        <v>6039</v>
      </c>
      <c r="F631" s="12">
        <v>1247.5999999999999</v>
      </c>
      <c r="G631" s="12">
        <v>1319.6</v>
      </c>
      <c r="H631" s="12">
        <v>1364.7</v>
      </c>
      <c r="J631" s="14">
        <f>VLOOKUP(Table5[[#This Row],[Shortname]], Comp[], 7, FALSE)</f>
        <v>43.199999999999996</v>
      </c>
      <c r="K631">
        <f>VLOOKUP(Table5[[#This Row],[Shortname]], Comp[], 8, FALSE)</f>
        <v>35.6</v>
      </c>
      <c r="L631">
        <f>VLOOKUP(Table5[[#This Row],[Shortname]], Comp[], 9, FALSE)</f>
        <v>11.3</v>
      </c>
      <c r="M631">
        <f>VLOOKUP(Table5[[#This Row],[Shortname]], Comp[], 10, FALSE)</f>
        <v>2</v>
      </c>
      <c r="N631">
        <f>VLOOKUP(Table5[[#This Row],[Shortname]], Comp[], 11, FALSE)</f>
        <v>1.8</v>
      </c>
      <c r="O631">
        <f>VLOOKUP(Table5[[#This Row],[Shortname]], Comp[],12, FALSE)</f>
        <v>2</v>
      </c>
      <c r="P631">
        <f>VLOOKUP(Table5[[#This Row],[Shortname]], Comp[], 13, FALSE)</f>
        <v>4.0999999999999996</v>
      </c>
      <c r="Q631">
        <f>VLOOKUP(Table5[[#This Row],[Shortname]], Comp[], 14, FALSE)</f>
        <v>0</v>
      </c>
      <c r="R631">
        <f>VLOOKUP(Table5[[#This Row],[Shortname]], Comp[], 15, FALSE)</f>
        <v>0</v>
      </c>
      <c r="S631">
        <f>VLOOKUP(Table5[[#This Row],[Shortname]], Comp[], 16, FALSE)</f>
        <v>0</v>
      </c>
      <c r="T631">
        <f>VLOOKUP(Table5[[#This Row],[Shortname]], Comp[], 17, FALSE)</f>
        <v>0</v>
      </c>
      <c r="U631">
        <f>VLOOKUP(Table5[[#This Row],[Shortname]], Comp[], 18, FALSE)</f>
        <v>0</v>
      </c>
      <c r="V631">
        <f>VLOOKUP(Table5[[#This Row],[Shortname]], Comp[], 19, FALSE)</f>
        <v>0</v>
      </c>
      <c r="W631">
        <f>VLOOKUP(Table5[[#This Row],[Shortname]], Comp[], 20, FALSE)</f>
        <v>0</v>
      </c>
      <c r="X631">
        <f>VLOOKUP(Table5[[#This Row],[Shortname]], Comp[], 21, FALSE)</f>
        <v>0</v>
      </c>
      <c r="Y631">
        <f>VLOOKUP(Table5[[#This Row],[Shortname]], Comp[], 22, FALSE)</f>
        <v>0</v>
      </c>
      <c r="Z631">
        <f>VLOOKUP(Table5[[#This Row],[Shortname]], Comp[], 23, FALSE)</f>
        <v>0</v>
      </c>
      <c r="AA631">
        <f>VLOOKUP(Table5[[#This Row],[Shortname]], Comp[], 24, FALSE)</f>
        <v>0</v>
      </c>
      <c r="AB631">
        <f>VLOOKUP(Table5[[#This Row],[Shortname]], Comp[], 25, FALSE)</f>
        <v>0</v>
      </c>
      <c r="AC631">
        <f>VLOOKUP(Table5[[#This Row],[Shortname]], Comp[], 26, FALSE)</f>
        <v>0</v>
      </c>
      <c r="AD631">
        <f>VLOOKUP(Table5[[#This Row],[Shortname]], Comp[], 27, FALSE)</f>
        <v>0</v>
      </c>
      <c r="AE631">
        <f>VLOOKUP(Table5[[#This Row],[Shortname]], Comp[], 28, FALSE)</f>
        <v>0</v>
      </c>
      <c r="AF631">
        <f>VLOOKUP(Table5[[#This Row],[Shortname]], Comp[], 29, FALSE)</f>
        <v>0</v>
      </c>
      <c r="AG631">
        <f>VLOOKUP(Table5[[#This Row],[Shortname]], Comp[], 30, FALSE)</f>
        <v>0</v>
      </c>
      <c r="AH631">
        <f>VLOOKUP(Table5[[#This Row],[Shortname]], Comp[], 31, FALSE)</f>
        <v>0</v>
      </c>
    </row>
    <row r="632" spans="1:34" x14ac:dyDescent="0.3">
      <c r="A632" s="12" t="s">
        <v>6080</v>
      </c>
      <c r="B632">
        <v>654</v>
      </c>
      <c r="D632" s="13" t="s">
        <v>6081</v>
      </c>
      <c r="E632" s="12" t="s">
        <v>6039</v>
      </c>
      <c r="F632" s="12">
        <v>1252.8</v>
      </c>
      <c r="G632" s="12">
        <v>1323</v>
      </c>
      <c r="H632" s="12">
        <v>1365.3</v>
      </c>
      <c r="J632" s="14">
        <f>VLOOKUP(Table5[[#This Row],[Shortname]], Comp[], 7, FALSE)</f>
        <v>42.899999999999991</v>
      </c>
      <c r="K632">
        <f>VLOOKUP(Table5[[#This Row],[Shortname]], Comp[], 8, FALSE)</f>
        <v>35.5</v>
      </c>
      <c r="L632">
        <f>VLOOKUP(Table5[[#This Row],[Shortname]], Comp[], 9, FALSE)</f>
        <v>13.2</v>
      </c>
      <c r="M632">
        <f>VLOOKUP(Table5[[#This Row],[Shortname]], Comp[], 10, FALSE)</f>
        <v>2.2000000000000002</v>
      </c>
      <c r="N632">
        <f>VLOOKUP(Table5[[#This Row],[Shortname]], Comp[], 11, FALSE)</f>
        <v>1.2</v>
      </c>
      <c r="O632">
        <f>VLOOKUP(Table5[[#This Row],[Shortname]], Comp[],12, FALSE)</f>
        <v>1</v>
      </c>
      <c r="P632">
        <f>VLOOKUP(Table5[[#This Row],[Shortname]], Comp[], 13, FALSE)</f>
        <v>4</v>
      </c>
      <c r="Q632">
        <f>VLOOKUP(Table5[[#This Row],[Shortname]], Comp[], 14, FALSE)</f>
        <v>0</v>
      </c>
      <c r="R632">
        <f>VLOOKUP(Table5[[#This Row],[Shortname]], Comp[], 15, FALSE)</f>
        <v>0</v>
      </c>
      <c r="S632">
        <f>VLOOKUP(Table5[[#This Row],[Shortname]], Comp[], 16, FALSE)</f>
        <v>0</v>
      </c>
      <c r="T632">
        <f>VLOOKUP(Table5[[#This Row],[Shortname]], Comp[], 17, FALSE)</f>
        <v>0</v>
      </c>
      <c r="U632">
        <f>VLOOKUP(Table5[[#This Row],[Shortname]], Comp[], 18, FALSE)</f>
        <v>0</v>
      </c>
      <c r="V632">
        <f>VLOOKUP(Table5[[#This Row],[Shortname]], Comp[], 19, FALSE)</f>
        <v>0</v>
      </c>
      <c r="W632">
        <f>VLOOKUP(Table5[[#This Row],[Shortname]], Comp[], 20, FALSE)</f>
        <v>0</v>
      </c>
      <c r="X632">
        <f>VLOOKUP(Table5[[#This Row],[Shortname]], Comp[], 21, FALSE)</f>
        <v>0</v>
      </c>
      <c r="Y632">
        <f>VLOOKUP(Table5[[#This Row],[Shortname]], Comp[], 22, FALSE)</f>
        <v>0</v>
      </c>
      <c r="Z632">
        <f>VLOOKUP(Table5[[#This Row],[Shortname]], Comp[], 23, FALSE)</f>
        <v>0</v>
      </c>
      <c r="AA632">
        <f>VLOOKUP(Table5[[#This Row],[Shortname]], Comp[], 24, FALSE)</f>
        <v>0</v>
      </c>
      <c r="AB632">
        <f>VLOOKUP(Table5[[#This Row],[Shortname]], Comp[], 25, FALSE)</f>
        <v>0</v>
      </c>
      <c r="AC632">
        <f>VLOOKUP(Table5[[#This Row],[Shortname]], Comp[], 26, FALSE)</f>
        <v>0</v>
      </c>
      <c r="AD632">
        <f>VLOOKUP(Table5[[#This Row],[Shortname]], Comp[], 27, FALSE)</f>
        <v>0</v>
      </c>
      <c r="AE632">
        <f>VLOOKUP(Table5[[#This Row],[Shortname]], Comp[], 28, FALSE)</f>
        <v>0</v>
      </c>
      <c r="AF632">
        <f>VLOOKUP(Table5[[#This Row],[Shortname]], Comp[], 29, FALSE)</f>
        <v>0</v>
      </c>
      <c r="AG632">
        <f>VLOOKUP(Table5[[#This Row],[Shortname]], Comp[], 30, FALSE)</f>
        <v>0</v>
      </c>
      <c r="AH632">
        <f>VLOOKUP(Table5[[#This Row],[Shortname]], Comp[], 31, FALSE)</f>
        <v>0</v>
      </c>
    </row>
    <row r="633" spans="1:34" x14ac:dyDescent="0.3">
      <c r="A633" s="12" t="s">
        <v>6086</v>
      </c>
      <c r="B633">
        <v>655</v>
      </c>
      <c r="D633" s="12" t="s">
        <v>2120</v>
      </c>
      <c r="E633" s="12" t="s">
        <v>6087</v>
      </c>
      <c r="F633" s="12">
        <v>1075</v>
      </c>
      <c r="G633" s="12">
        <v>1390</v>
      </c>
      <c r="J633" s="14">
        <f>VLOOKUP(Table5[[#This Row],[Shortname]], Comp[], 7, FALSE)</f>
        <v>53</v>
      </c>
      <c r="K633">
        <f>VLOOKUP(Table5[[#This Row],[Shortname]], Comp[], 8, FALSE)</f>
        <v>30</v>
      </c>
      <c r="L633">
        <f>VLOOKUP(Table5[[#This Row],[Shortname]], Comp[], 9, FALSE)</f>
        <v>10</v>
      </c>
      <c r="M633">
        <f>VLOOKUP(Table5[[#This Row],[Shortname]], Comp[], 10, FALSE)</f>
        <v>0</v>
      </c>
      <c r="N633">
        <f>VLOOKUP(Table5[[#This Row],[Shortname]], Comp[], 11, FALSE)</f>
        <v>0</v>
      </c>
      <c r="O633">
        <f>VLOOKUP(Table5[[#This Row],[Shortname]], Comp[],12, FALSE)</f>
        <v>0</v>
      </c>
      <c r="P633">
        <f>VLOOKUP(Table5[[#This Row],[Shortname]], Comp[], 13, FALSE)</f>
        <v>2</v>
      </c>
      <c r="Q633">
        <f>VLOOKUP(Table5[[#This Row],[Shortname]], Comp[], 14, FALSE)</f>
        <v>0</v>
      </c>
      <c r="R633">
        <f>VLOOKUP(Table5[[#This Row],[Shortname]], Comp[], 15, FALSE)</f>
        <v>5</v>
      </c>
      <c r="S633">
        <f>VLOOKUP(Table5[[#This Row],[Shortname]], Comp[], 16, FALSE)</f>
        <v>0</v>
      </c>
      <c r="T633">
        <f>VLOOKUP(Table5[[#This Row],[Shortname]], Comp[], 17, FALSE)</f>
        <v>0</v>
      </c>
      <c r="U633">
        <f>VLOOKUP(Table5[[#This Row],[Shortname]], Comp[], 18, FALSE)</f>
        <v>0</v>
      </c>
      <c r="V633">
        <f>VLOOKUP(Table5[[#This Row],[Shortname]], Comp[], 19, FALSE)</f>
        <v>0</v>
      </c>
      <c r="W633">
        <f>VLOOKUP(Table5[[#This Row],[Shortname]], Comp[], 20, FALSE)</f>
        <v>0</v>
      </c>
      <c r="X633">
        <f>VLOOKUP(Table5[[#This Row],[Shortname]], Comp[], 21, FALSE)</f>
        <v>0</v>
      </c>
      <c r="Y633">
        <f>VLOOKUP(Table5[[#This Row],[Shortname]], Comp[], 22, FALSE)</f>
        <v>0</v>
      </c>
      <c r="Z633">
        <f>VLOOKUP(Table5[[#This Row],[Shortname]], Comp[], 23, FALSE)</f>
        <v>0</v>
      </c>
      <c r="AA633">
        <f>VLOOKUP(Table5[[#This Row],[Shortname]], Comp[], 24, FALSE)</f>
        <v>0</v>
      </c>
      <c r="AB633">
        <f>VLOOKUP(Table5[[#This Row],[Shortname]], Comp[], 25, FALSE)</f>
        <v>0</v>
      </c>
      <c r="AC633">
        <f>VLOOKUP(Table5[[#This Row],[Shortname]], Comp[], 26, FALSE)</f>
        <v>0</v>
      </c>
      <c r="AD633">
        <f>VLOOKUP(Table5[[#This Row],[Shortname]], Comp[], 27, FALSE)</f>
        <v>0</v>
      </c>
      <c r="AE633">
        <f>VLOOKUP(Table5[[#This Row],[Shortname]], Comp[], 28, FALSE)</f>
        <v>0</v>
      </c>
      <c r="AF633">
        <f>VLOOKUP(Table5[[#This Row],[Shortname]], Comp[], 29, FALSE)</f>
        <v>0</v>
      </c>
      <c r="AG633">
        <f>VLOOKUP(Table5[[#This Row],[Shortname]], Comp[], 30, FALSE)</f>
        <v>0</v>
      </c>
      <c r="AH633">
        <f>VLOOKUP(Table5[[#This Row],[Shortname]], Comp[], 31, FALSE)</f>
        <v>0</v>
      </c>
    </row>
    <row r="634" spans="1:34" x14ac:dyDescent="0.3">
      <c r="A634" s="12" t="s">
        <v>6089</v>
      </c>
      <c r="B634">
        <v>656</v>
      </c>
      <c r="D634" s="12" t="s">
        <v>3899</v>
      </c>
      <c r="E634" s="12" t="s">
        <v>6087</v>
      </c>
      <c r="F634" s="12">
        <v>1152</v>
      </c>
      <c r="G634" s="12">
        <v>1345</v>
      </c>
      <c r="J634" s="14">
        <f>VLOOKUP(Table5[[#This Row],[Shortname]], Comp[], 7, FALSE)</f>
        <v>51</v>
      </c>
      <c r="K634">
        <f>VLOOKUP(Table5[[#This Row],[Shortname]], Comp[], 8, FALSE)</f>
        <v>30</v>
      </c>
      <c r="L634">
        <f>VLOOKUP(Table5[[#This Row],[Shortname]], Comp[], 9, FALSE)</f>
        <v>10</v>
      </c>
      <c r="M634">
        <f>VLOOKUP(Table5[[#This Row],[Shortname]], Comp[], 10, FALSE)</f>
        <v>0</v>
      </c>
      <c r="N634">
        <f>VLOOKUP(Table5[[#This Row],[Shortname]], Comp[], 11, FALSE)</f>
        <v>0</v>
      </c>
      <c r="O634">
        <f>VLOOKUP(Table5[[#This Row],[Shortname]], Comp[],12, FALSE)</f>
        <v>2</v>
      </c>
      <c r="P634">
        <f>VLOOKUP(Table5[[#This Row],[Shortname]], Comp[], 13, FALSE)</f>
        <v>2</v>
      </c>
      <c r="Q634">
        <f>VLOOKUP(Table5[[#This Row],[Shortname]], Comp[], 14, FALSE)</f>
        <v>0</v>
      </c>
      <c r="R634">
        <f>VLOOKUP(Table5[[#This Row],[Shortname]], Comp[], 15, FALSE)</f>
        <v>5</v>
      </c>
      <c r="S634">
        <f>VLOOKUP(Table5[[#This Row],[Shortname]], Comp[], 16, FALSE)</f>
        <v>0</v>
      </c>
      <c r="T634">
        <f>VLOOKUP(Table5[[#This Row],[Shortname]], Comp[], 17, FALSE)</f>
        <v>0</v>
      </c>
      <c r="U634">
        <f>VLOOKUP(Table5[[#This Row],[Shortname]], Comp[], 18, FALSE)</f>
        <v>0</v>
      </c>
      <c r="V634">
        <f>VLOOKUP(Table5[[#This Row],[Shortname]], Comp[], 19, FALSE)</f>
        <v>0</v>
      </c>
      <c r="W634">
        <f>VLOOKUP(Table5[[#This Row],[Shortname]], Comp[], 20, FALSE)</f>
        <v>0</v>
      </c>
      <c r="X634">
        <f>VLOOKUP(Table5[[#This Row],[Shortname]], Comp[], 21, FALSE)</f>
        <v>0</v>
      </c>
      <c r="Y634">
        <f>VLOOKUP(Table5[[#This Row],[Shortname]], Comp[], 22, FALSE)</f>
        <v>0</v>
      </c>
      <c r="Z634">
        <f>VLOOKUP(Table5[[#This Row],[Shortname]], Comp[], 23, FALSE)</f>
        <v>0</v>
      </c>
      <c r="AA634">
        <f>VLOOKUP(Table5[[#This Row],[Shortname]], Comp[], 24, FALSE)</f>
        <v>0</v>
      </c>
      <c r="AB634">
        <f>VLOOKUP(Table5[[#This Row],[Shortname]], Comp[], 25, FALSE)</f>
        <v>0</v>
      </c>
      <c r="AC634">
        <f>VLOOKUP(Table5[[#This Row],[Shortname]], Comp[], 26, FALSE)</f>
        <v>0</v>
      </c>
      <c r="AD634">
        <f>VLOOKUP(Table5[[#This Row],[Shortname]], Comp[], 27, FALSE)</f>
        <v>0</v>
      </c>
      <c r="AE634">
        <f>VLOOKUP(Table5[[#This Row],[Shortname]], Comp[], 28, FALSE)</f>
        <v>0</v>
      </c>
      <c r="AF634">
        <f>VLOOKUP(Table5[[#This Row],[Shortname]], Comp[], 29, FALSE)</f>
        <v>0</v>
      </c>
      <c r="AG634">
        <f>VLOOKUP(Table5[[#This Row],[Shortname]], Comp[], 30, FALSE)</f>
        <v>0</v>
      </c>
      <c r="AH634">
        <f>VLOOKUP(Table5[[#This Row],[Shortname]], Comp[], 31, FALSE)</f>
        <v>0</v>
      </c>
    </row>
    <row r="635" spans="1:34" x14ac:dyDescent="0.3">
      <c r="A635" s="12" t="s">
        <v>6091</v>
      </c>
      <c r="B635">
        <v>657</v>
      </c>
      <c r="D635" s="12" t="s">
        <v>3927</v>
      </c>
      <c r="E635" s="12" t="s">
        <v>6087</v>
      </c>
      <c r="F635" s="12">
        <v>1154</v>
      </c>
      <c r="G635" s="12">
        <v>1323</v>
      </c>
      <c r="J635" s="14">
        <f>VLOOKUP(Table5[[#This Row],[Shortname]], Comp[], 7, FALSE)</f>
        <v>51</v>
      </c>
      <c r="K635">
        <f>VLOOKUP(Table5[[#This Row],[Shortname]], Comp[], 8, FALSE)</f>
        <v>30</v>
      </c>
      <c r="L635">
        <f>VLOOKUP(Table5[[#This Row],[Shortname]], Comp[], 9, FALSE)</f>
        <v>10</v>
      </c>
      <c r="M635">
        <f>VLOOKUP(Table5[[#This Row],[Shortname]], Comp[], 10, FALSE)</f>
        <v>0</v>
      </c>
      <c r="N635">
        <f>VLOOKUP(Table5[[#This Row],[Shortname]], Comp[], 11, FALSE)</f>
        <v>0</v>
      </c>
      <c r="O635">
        <f>VLOOKUP(Table5[[#This Row],[Shortname]], Comp[],12, FALSE)</f>
        <v>0</v>
      </c>
      <c r="P635">
        <f>VLOOKUP(Table5[[#This Row],[Shortname]], Comp[], 13, FALSE)</f>
        <v>2</v>
      </c>
      <c r="Q635">
        <f>VLOOKUP(Table5[[#This Row],[Shortname]], Comp[], 14, FALSE)</f>
        <v>2</v>
      </c>
      <c r="R635">
        <f>VLOOKUP(Table5[[#This Row],[Shortname]], Comp[], 15, FALSE)</f>
        <v>5</v>
      </c>
      <c r="S635">
        <f>VLOOKUP(Table5[[#This Row],[Shortname]], Comp[], 16, FALSE)</f>
        <v>0</v>
      </c>
      <c r="T635">
        <f>VLOOKUP(Table5[[#This Row],[Shortname]], Comp[], 17, FALSE)</f>
        <v>0</v>
      </c>
      <c r="U635">
        <f>VLOOKUP(Table5[[#This Row],[Shortname]], Comp[], 18, FALSE)</f>
        <v>0</v>
      </c>
      <c r="V635">
        <f>VLOOKUP(Table5[[#This Row],[Shortname]], Comp[], 19, FALSE)</f>
        <v>0</v>
      </c>
      <c r="W635">
        <f>VLOOKUP(Table5[[#This Row],[Shortname]], Comp[], 20, FALSE)</f>
        <v>0</v>
      </c>
      <c r="X635">
        <f>VLOOKUP(Table5[[#This Row],[Shortname]], Comp[], 21, FALSE)</f>
        <v>0</v>
      </c>
      <c r="Y635">
        <f>VLOOKUP(Table5[[#This Row],[Shortname]], Comp[], 22, FALSE)</f>
        <v>0</v>
      </c>
      <c r="Z635">
        <f>VLOOKUP(Table5[[#This Row],[Shortname]], Comp[], 23, FALSE)</f>
        <v>0</v>
      </c>
      <c r="AA635">
        <f>VLOOKUP(Table5[[#This Row],[Shortname]], Comp[], 24, FALSE)</f>
        <v>0</v>
      </c>
      <c r="AB635">
        <f>VLOOKUP(Table5[[#This Row],[Shortname]], Comp[], 25, FALSE)</f>
        <v>0</v>
      </c>
      <c r="AC635">
        <f>VLOOKUP(Table5[[#This Row],[Shortname]], Comp[], 26, FALSE)</f>
        <v>0</v>
      </c>
      <c r="AD635">
        <f>VLOOKUP(Table5[[#This Row],[Shortname]], Comp[], 27, FALSE)</f>
        <v>0</v>
      </c>
      <c r="AE635">
        <f>VLOOKUP(Table5[[#This Row],[Shortname]], Comp[], 28, FALSE)</f>
        <v>0</v>
      </c>
      <c r="AF635">
        <f>VLOOKUP(Table5[[#This Row],[Shortname]], Comp[], 29, FALSE)</f>
        <v>0</v>
      </c>
      <c r="AG635">
        <f>VLOOKUP(Table5[[#This Row],[Shortname]], Comp[], 30, FALSE)</f>
        <v>0</v>
      </c>
      <c r="AH635">
        <f>VLOOKUP(Table5[[#This Row],[Shortname]], Comp[], 31, FALSE)</f>
        <v>0</v>
      </c>
    </row>
    <row r="636" spans="1:34" x14ac:dyDescent="0.3">
      <c r="A636" s="12" t="s">
        <v>6093</v>
      </c>
      <c r="B636">
        <v>658</v>
      </c>
      <c r="D636" s="12" t="s">
        <v>1484</v>
      </c>
      <c r="E636" s="12" t="s">
        <v>6087</v>
      </c>
      <c r="F636" s="12">
        <v>1098</v>
      </c>
      <c r="G636" s="12">
        <v>1378</v>
      </c>
      <c r="J636" s="14">
        <f>VLOOKUP(Table5[[#This Row],[Shortname]], Comp[], 7, FALSE)</f>
        <v>51</v>
      </c>
      <c r="K636">
        <f>VLOOKUP(Table5[[#This Row],[Shortname]], Comp[], 8, FALSE)</f>
        <v>30</v>
      </c>
      <c r="L636">
        <f>VLOOKUP(Table5[[#This Row],[Shortname]], Comp[], 9, FALSE)</f>
        <v>10</v>
      </c>
      <c r="M636">
        <f>VLOOKUP(Table5[[#This Row],[Shortname]], Comp[], 10, FALSE)</f>
        <v>0</v>
      </c>
      <c r="N636">
        <f>VLOOKUP(Table5[[#This Row],[Shortname]], Comp[], 11, FALSE)</f>
        <v>0</v>
      </c>
      <c r="O636">
        <f>VLOOKUP(Table5[[#This Row],[Shortname]], Comp[],12, FALSE)</f>
        <v>0</v>
      </c>
      <c r="P636">
        <f>VLOOKUP(Table5[[#This Row],[Shortname]], Comp[], 13, FALSE)</f>
        <v>2</v>
      </c>
      <c r="Q636">
        <f>VLOOKUP(Table5[[#This Row],[Shortname]], Comp[], 14, FALSE)</f>
        <v>0</v>
      </c>
      <c r="R636">
        <f>VLOOKUP(Table5[[#This Row],[Shortname]], Comp[], 15, FALSE)</f>
        <v>5</v>
      </c>
      <c r="S636">
        <f>VLOOKUP(Table5[[#This Row],[Shortname]], Comp[], 16, FALSE)</f>
        <v>2</v>
      </c>
      <c r="T636">
        <f>VLOOKUP(Table5[[#This Row],[Shortname]], Comp[], 17, FALSE)</f>
        <v>0</v>
      </c>
      <c r="U636">
        <f>VLOOKUP(Table5[[#This Row],[Shortname]], Comp[], 18, FALSE)</f>
        <v>0</v>
      </c>
      <c r="V636">
        <f>VLOOKUP(Table5[[#This Row],[Shortname]], Comp[], 19, FALSE)</f>
        <v>0</v>
      </c>
      <c r="W636">
        <f>VLOOKUP(Table5[[#This Row],[Shortname]], Comp[], 20, FALSE)</f>
        <v>0</v>
      </c>
      <c r="X636">
        <f>VLOOKUP(Table5[[#This Row],[Shortname]], Comp[], 21, FALSE)</f>
        <v>0</v>
      </c>
      <c r="Y636">
        <f>VLOOKUP(Table5[[#This Row],[Shortname]], Comp[], 22, FALSE)</f>
        <v>0</v>
      </c>
      <c r="Z636">
        <f>VLOOKUP(Table5[[#This Row],[Shortname]], Comp[], 23, FALSE)</f>
        <v>0</v>
      </c>
      <c r="AA636">
        <f>VLOOKUP(Table5[[#This Row],[Shortname]], Comp[], 24, FALSE)</f>
        <v>0</v>
      </c>
      <c r="AB636">
        <f>VLOOKUP(Table5[[#This Row],[Shortname]], Comp[], 25, FALSE)</f>
        <v>0</v>
      </c>
      <c r="AC636">
        <f>VLOOKUP(Table5[[#This Row],[Shortname]], Comp[], 26, FALSE)</f>
        <v>0</v>
      </c>
      <c r="AD636">
        <f>VLOOKUP(Table5[[#This Row],[Shortname]], Comp[], 27, FALSE)</f>
        <v>0</v>
      </c>
      <c r="AE636">
        <f>VLOOKUP(Table5[[#This Row],[Shortname]], Comp[], 28, FALSE)</f>
        <v>0</v>
      </c>
      <c r="AF636">
        <f>VLOOKUP(Table5[[#This Row],[Shortname]], Comp[], 29, FALSE)</f>
        <v>0</v>
      </c>
      <c r="AG636">
        <f>VLOOKUP(Table5[[#This Row],[Shortname]], Comp[], 30, FALSE)</f>
        <v>0</v>
      </c>
      <c r="AH636">
        <f>VLOOKUP(Table5[[#This Row],[Shortname]], Comp[], 31, FALSE)</f>
        <v>0</v>
      </c>
    </row>
    <row r="637" spans="1:34" x14ac:dyDescent="0.3">
      <c r="A637" s="12" t="s">
        <v>6095</v>
      </c>
      <c r="B637">
        <v>659</v>
      </c>
      <c r="D637" s="12" t="s">
        <v>5803</v>
      </c>
      <c r="E637" s="12" t="s">
        <v>6087</v>
      </c>
      <c r="F637" s="12">
        <v>1131</v>
      </c>
      <c r="G637" s="12">
        <v>1390</v>
      </c>
      <c r="J637" s="14">
        <f>VLOOKUP(Table5[[#This Row],[Shortname]], Comp[], 7, FALSE)</f>
        <v>51</v>
      </c>
      <c r="K637">
        <f>VLOOKUP(Table5[[#This Row],[Shortname]], Comp[], 8, FALSE)</f>
        <v>30</v>
      </c>
      <c r="L637">
        <f>VLOOKUP(Table5[[#This Row],[Shortname]], Comp[], 9, FALSE)</f>
        <v>10</v>
      </c>
      <c r="M637">
        <f>VLOOKUP(Table5[[#This Row],[Shortname]], Comp[], 10, FALSE)</f>
        <v>0</v>
      </c>
      <c r="N637">
        <f>VLOOKUP(Table5[[#This Row],[Shortname]], Comp[], 11, FALSE)</f>
        <v>2</v>
      </c>
      <c r="O637">
        <f>VLOOKUP(Table5[[#This Row],[Shortname]], Comp[],12, FALSE)</f>
        <v>0</v>
      </c>
      <c r="P637">
        <f>VLOOKUP(Table5[[#This Row],[Shortname]], Comp[], 13, FALSE)</f>
        <v>2</v>
      </c>
      <c r="Q637">
        <f>VLOOKUP(Table5[[#This Row],[Shortname]], Comp[], 14, FALSE)</f>
        <v>0</v>
      </c>
      <c r="R637">
        <f>VLOOKUP(Table5[[#This Row],[Shortname]], Comp[], 15, FALSE)</f>
        <v>5</v>
      </c>
      <c r="S637">
        <f>VLOOKUP(Table5[[#This Row],[Shortname]], Comp[], 16, FALSE)</f>
        <v>0</v>
      </c>
      <c r="T637">
        <f>VLOOKUP(Table5[[#This Row],[Shortname]], Comp[], 17, FALSE)</f>
        <v>0</v>
      </c>
      <c r="U637">
        <f>VLOOKUP(Table5[[#This Row],[Shortname]], Comp[], 18, FALSE)</f>
        <v>0</v>
      </c>
      <c r="V637">
        <f>VLOOKUP(Table5[[#This Row],[Shortname]], Comp[], 19, FALSE)</f>
        <v>0</v>
      </c>
      <c r="W637">
        <f>VLOOKUP(Table5[[#This Row],[Shortname]], Comp[], 20, FALSE)</f>
        <v>0</v>
      </c>
      <c r="X637">
        <f>VLOOKUP(Table5[[#This Row],[Shortname]], Comp[], 21, FALSE)</f>
        <v>0</v>
      </c>
      <c r="Y637">
        <f>VLOOKUP(Table5[[#This Row],[Shortname]], Comp[], 22, FALSE)</f>
        <v>0</v>
      </c>
      <c r="Z637">
        <f>VLOOKUP(Table5[[#This Row],[Shortname]], Comp[], 23, FALSE)</f>
        <v>0</v>
      </c>
      <c r="AA637">
        <f>VLOOKUP(Table5[[#This Row],[Shortname]], Comp[], 24, FALSE)</f>
        <v>0</v>
      </c>
      <c r="AB637">
        <f>VLOOKUP(Table5[[#This Row],[Shortname]], Comp[], 25, FALSE)</f>
        <v>0</v>
      </c>
      <c r="AC637">
        <f>VLOOKUP(Table5[[#This Row],[Shortname]], Comp[], 26, FALSE)</f>
        <v>0</v>
      </c>
      <c r="AD637">
        <f>VLOOKUP(Table5[[#This Row],[Shortname]], Comp[], 27, FALSE)</f>
        <v>0</v>
      </c>
      <c r="AE637">
        <f>VLOOKUP(Table5[[#This Row],[Shortname]], Comp[], 28, FALSE)</f>
        <v>0</v>
      </c>
      <c r="AF637">
        <f>VLOOKUP(Table5[[#This Row],[Shortname]], Comp[], 29, FALSE)</f>
        <v>0</v>
      </c>
      <c r="AG637">
        <f>VLOOKUP(Table5[[#This Row],[Shortname]], Comp[], 30, FALSE)</f>
        <v>0</v>
      </c>
      <c r="AH637">
        <f>VLOOKUP(Table5[[#This Row],[Shortname]], Comp[], 31, FALSE)</f>
        <v>0</v>
      </c>
    </row>
    <row r="638" spans="1:34" x14ac:dyDescent="0.3">
      <c r="A638" s="12" t="s">
        <v>6097</v>
      </c>
      <c r="B638">
        <v>660</v>
      </c>
      <c r="D638" s="12" t="s">
        <v>6098</v>
      </c>
      <c r="E638" s="12" t="s">
        <v>6099</v>
      </c>
      <c r="F638" s="12">
        <v>1142</v>
      </c>
      <c r="G638" s="12">
        <v>1328</v>
      </c>
      <c r="H638" s="12">
        <v>1378</v>
      </c>
      <c r="J638" s="14">
        <f>VLOOKUP(Table5[[#This Row],[Shortname]], Comp[], 7, FALSE)</f>
        <v>1.9999999999996021E-2</v>
      </c>
      <c r="K638">
        <f>VLOOKUP(Table5[[#This Row],[Shortname]], Comp[], 8, FALSE)</f>
        <v>74.88</v>
      </c>
      <c r="L638">
        <f>VLOOKUP(Table5[[#This Row],[Shortname]], Comp[], 9, FALSE)</f>
        <v>4.93</v>
      </c>
      <c r="M638">
        <f>VLOOKUP(Table5[[#This Row],[Shortname]], Comp[], 10, FALSE)</f>
        <v>14.9</v>
      </c>
      <c r="N638">
        <f>VLOOKUP(Table5[[#This Row],[Shortname]], Comp[], 11, FALSE)</f>
        <v>0</v>
      </c>
      <c r="O638">
        <f>VLOOKUP(Table5[[#This Row],[Shortname]], Comp[],12, FALSE)</f>
        <v>5.27</v>
      </c>
      <c r="P638">
        <f>VLOOKUP(Table5[[#This Row],[Shortname]], Comp[], 13, FALSE)</f>
        <v>0</v>
      </c>
      <c r="Q638">
        <f>VLOOKUP(Table5[[#This Row],[Shortname]], Comp[], 14, FALSE)</f>
        <v>0</v>
      </c>
      <c r="R638">
        <f>VLOOKUP(Table5[[#This Row],[Shortname]], Comp[], 15, FALSE)</f>
        <v>0</v>
      </c>
      <c r="S638">
        <f>VLOOKUP(Table5[[#This Row],[Shortname]], Comp[], 16, FALSE)</f>
        <v>0</v>
      </c>
      <c r="T638">
        <f>VLOOKUP(Table5[[#This Row],[Shortname]], Comp[], 17, FALSE)</f>
        <v>0</v>
      </c>
      <c r="U638">
        <f>VLOOKUP(Table5[[#This Row],[Shortname]], Comp[], 18, FALSE)</f>
        <v>0</v>
      </c>
      <c r="V638">
        <f>VLOOKUP(Table5[[#This Row],[Shortname]], Comp[], 19, FALSE)</f>
        <v>0</v>
      </c>
      <c r="W638">
        <f>VLOOKUP(Table5[[#This Row],[Shortname]], Comp[], 20, FALSE)</f>
        <v>0</v>
      </c>
      <c r="X638">
        <f>VLOOKUP(Table5[[#This Row],[Shortname]], Comp[], 21, FALSE)</f>
        <v>0</v>
      </c>
      <c r="Y638">
        <f>VLOOKUP(Table5[[#This Row],[Shortname]], Comp[], 22, FALSE)</f>
        <v>0</v>
      </c>
      <c r="Z638">
        <f>VLOOKUP(Table5[[#This Row],[Shortname]], Comp[], 23, FALSE)</f>
        <v>0</v>
      </c>
      <c r="AA638">
        <f>VLOOKUP(Table5[[#This Row],[Shortname]], Comp[], 24, FALSE)</f>
        <v>0</v>
      </c>
      <c r="AB638">
        <f>VLOOKUP(Table5[[#This Row],[Shortname]], Comp[], 25, FALSE)</f>
        <v>0</v>
      </c>
      <c r="AC638">
        <f>VLOOKUP(Table5[[#This Row],[Shortname]], Comp[], 26, FALSE)</f>
        <v>0</v>
      </c>
      <c r="AD638">
        <f>VLOOKUP(Table5[[#This Row],[Shortname]], Comp[], 27, FALSE)</f>
        <v>0</v>
      </c>
      <c r="AE638">
        <f>VLOOKUP(Table5[[#This Row],[Shortname]], Comp[], 28, FALSE)</f>
        <v>0</v>
      </c>
      <c r="AF638">
        <f>VLOOKUP(Table5[[#This Row],[Shortname]], Comp[], 29, FALSE)</f>
        <v>0</v>
      </c>
      <c r="AG638">
        <f>VLOOKUP(Table5[[#This Row],[Shortname]], Comp[], 30, FALSE)</f>
        <v>0</v>
      </c>
      <c r="AH638">
        <f>VLOOKUP(Table5[[#This Row],[Shortname]], Comp[], 31, FALSE)</f>
        <v>0</v>
      </c>
    </row>
    <row r="639" spans="1:34" x14ac:dyDescent="0.3">
      <c r="A639" s="12" t="s">
        <v>6102</v>
      </c>
      <c r="B639">
        <v>661</v>
      </c>
      <c r="D639" s="12" t="s">
        <v>6103</v>
      </c>
      <c r="E639" s="12" t="s">
        <v>6099</v>
      </c>
      <c r="F639" s="12">
        <v>1137</v>
      </c>
      <c r="G639" s="12">
        <v>1325</v>
      </c>
      <c r="H639" s="12">
        <v>1379</v>
      </c>
      <c r="J639" s="14">
        <f>VLOOKUP(Table5[[#This Row],[Shortname]], Comp[], 7, FALSE)</f>
        <v>9.6099999999999852</v>
      </c>
      <c r="K639">
        <f>VLOOKUP(Table5[[#This Row],[Shortname]], Comp[], 8, FALSE)</f>
        <v>65.2</v>
      </c>
      <c r="L639">
        <f>VLOOKUP(Table5[[#This Row],[Shortname]], Comp[], 9, FALSE)</f>
        <v>5.09</v>
      </c>
      <c r="M639">
        <f>VLOOKUP(Table5[[#This Row],[Shortname]], Comp[], 10, FALSE)</f>
        <v>14.9</v>
      </c>
      <c r="N639">
        <f>VLOOKUP(Table5[[#This Row],[Shortname]], Comp[], 11, FALSE)</f>
        <v>0</v>
      </c>
      <c r="O639">
        <f>VLOOKUP(Table5[[#This Row],[Shortname]], Comp[],12, FALSE)</f>
        <v>5.2</v>
      </c>
      <c r="P639">
        <f>VLOOKUP(Table5[[#This Row],[Shortname]], Comp[], 13, FALSE)</f>
        <v>0</v>
      </c>
      <c r="Q639">
        <f>VLOOKUP(Table5[[#This Row],[Shortname]], Comp[], 14, FALSE)</f>
        <v>0</v>
      </c>
      <c r="R639">
        <f>VLOOKUP(Table5[[#This Row],[Shortname]], Comp[], 15, FALSE)</f>
        <v>0</v>
      </c>
      <c r="S639">
        <f>VLOOKUP(Table5[[#This Row],[Shortname]], Comp[], 16, FALSE)</f>
        <v>0</v>
      </c>
      <c r="T639">
        <f>VLOOKUP(Table5[[#This Row],[Shortname]], Comp[], 17, FALSE)</f>
        <v>0</v>
      </c>
      <c r="U639">
        <f>VLOOKUP(Table5[[#This Row],[Shortname]], Comp[], 18, FALSE)</f>
        <v>0</v>
      </c>
      <c r="V639">
        <f>VLOOKUP(Table5[[#This Row],[Shortname]], Comp[], 19, FALSE)</f>
        <v>0</v>
      </c>
      <c r="W639">
        <f>VLOOKUP(Table5[[#This Row],[Shortname]], Comp[], 20, FALSE)</f>
        <v>0</v>
      </c>
      <c r="X639">
        <f>VLOOKUP(Table5[[#This Row],[Shortname]], Comp[], 21, FALSE)</f>
        <v>0</v>
      </c>
      <c r="Y639">
        <f>VLOOKUP(Table5[[#This Row],[Shortname]], Comp[], 22, FALSE)</f>
        <v>0</v>
      </c>
      <c r="Z639">
        <f>VLOOKUP(Table5[[#This Row],[Shortname]], Comp[], 23, FALSE)</f>
        <v>0</v>
      </c>
      <c r="AA639">
        <f>VLOOKUP(Table5[[#This Row],[Shortname]], Comp[], 24, FALSE)</f>
        <v>0</v>
      </c>
      <c r="AB639">
        <f>VLOOKUP(Table5[[#This Row],[Shortname]], Comp[], 25, FALSE)</f>
        <v>0</v>
      </c>
      <c r="AC639">
        <f>VLOOKUP(Table5[[#This Row],[Shortname]], Comp[], 26, FALSE)</f>
        <v>0</v>
      </c>
      <c r="AD639">
        <f>VLOOKUP(Table5[[#This Row],[Shortname]], Comp[], 27, FALSE)</f>
        <v>0</v>
      </c>
      <c r="AE639">
        <f>VLOOKUP(Table5[[#This Row],[Shortname]], Comp[], 28, FALSE)</f>
        <v>0</v>
      </c>
      <c r="AF639">
        <f>VLOOKUP(Table5[[#This Row],[Shortname]], Comp[], 29, FALSE)</f>
        <v>0</v>
      </c>
      <c r="AG639">
        <f>VLOOKUP(Table5[[#This Row],[Shortname]], Comp[], 30, FALSE)</f>
        <v>0</v>
      </c>
      <c r="AH639">
        <f>VLOOKUP(Table5[[#This Row],[Shortname]], Comp[], 31, FALSE)</f>
        <v>0</v>
      </c>
    </row>
    <row r="640" spans="1:34" x14ac:dyDescent="0.3">
      <c r="A640" s="12" t="s">
        <v>6107</v>
      </c>
      <c r="B640">
        <v>662</v>
      </c>
      <c r="D640" s="12" t="s">
        <v>6108</v>
      </c>
      <c r="E640" s="12" t="s">
        <v>6099</v>
      </c>
      <c r="F640" s="12">
        <v>1122</v>
      </c>
      <c r="G640" s="12">
        <v>1314</v>
      </c>
      <c r="H640" s="12">
        <v>1383</v>
      </c>
      <c r="J640" s="14">
        <f>VLOOKUP(Table5[[#This Row],[Shortname]], Comp[], 7, FALSE)</f>
        <v>18.64</v>
      </c>
      <c r="K640">
        <f>VLOOKUP(Table5[[#This Row],[Shortname]], Comp[], 8, FALSE)</f>
        <v>56.21</v>
      </c>
      <c r="L640">
        <f>VLOOKUP(Table5[[#This Row],[Shortname]], Comp[], 9, FALSE)</f>
        <v>5.08</v>
      </c>
      <c r="M640">
        <f>VLOOKUP(Table5[[#This Row],[Shortname]], Comp[], 10, FALSE)</f>
        <v>14.8</v>
      </c>
      <c r="N640">
        <f>VLOOKUP(Table5[[#This Row],[Shortname]], Comp[], 11, FALSE)</f>
        <v>0</v>
      </c>
      <c r="O640">
        <f>VLOOKUP(Table5[[#This Row],[Shortname]], Comp[],12, FALSE)</f>
        <v>5.27</v>
      </c>
      <c r="P640">
        <f>VLOOKUP(Table5[[#This Row],[Shortname]], Comp[], 13, FALSE)</f>
        <v>0</v>
      </c>
      <c r="Q640">
        <f>VLOOKUP(Table5[[#This Row],[Shortname]], Comp[], 14, FALSE)</f>
        <v>0</v>
      </c>
      <c r="R640">
        <f>VLOOKUP(Table5[[#This Row],[Shortname]], Comp[], 15, FALSE)</f>
        <v>0</v>
      </c>
      <c r="S640">
        <f>VLOOKUP(Table5[[#This Row],[Shortname]], Comp[], 16, FALSE)</f>
        <v>0</v>
      </c>
      <c r="T640">
        <f>VLOOKUP(Table5[[#This Row],[Shortname]], Comp[], 17, FALSE)</f>
        <v>0</v>
      </c>
      <c r="U640">
        <f>VLOOKUP(Table5[[#This Row],[Shortname]], Comp[], 18, FALSE)</f>
        <v>0</v>
      </c>
      <c r="V640">
        <f>VLOOKUP(Table5[[#This Row],[Shortname]], Comp[], 19, FALSE)</f>
        <v>0</v>
      </c>
      <c r="W640">
        <f>VLOOKUP(Table5[[#This Row],[Shortname]], Comp[], 20, FALSE)</f>
        <v>0</v>
      </c>
      <c r="X640">
        <f>VLOOKUP(Table5[[#This Row],[Shortname]], Comp[], 21, FALSE)</f>
        <v>0</v>
      </c>
      <c r="Y640">
        <f>VLOOKUP(Table5[[#This Row],[Shortname]], Comp[], 22, FALSE)</f>
        <v>0</v>
      </c>
      <c r="Z640">
        <f>VLOOKUP(Table5[[#This Row],[Shortname]], Comp[], 23, FALSE)</f>
        <v>0</v>
      </c>
      <c r="AA640">
        <f>VLOOKUP(Table5[[#This Row],[Shortname]], Comp[], 24, FALSE)</f>
        <v>0</v>
      </c>
      <c r="AB640">
        <f>VLOOKUP(Table5[[#This Row],[Shortname]], Comp[], 25, FALSE)</f>
        <v>0</v>
      </c>
      <c r="AC640">
        <f>VLOOKUP(Table5[[#This Row],[Shortname]], Comp[], 26, FALSE)</f>
        <v>0</v>
      </c>
      <c r="AD640">
        <f>VLOOKUP(Table5[[#This Row],[Shortname]], Comp[], 27, FALSE)</f>
        <v>0</v>
      </c>
      <c r="AE640">
        <f>VLOOKUP(Table5[[#This Row],[Shortname]], Comp[], 28, FALSE)</f>
        <v>0</v>
      </c>
      <c r="AF640">
        <f>VLOOKUP(Table5[[#This Row],[Shortname]], Comp[], 29, FALSE)</f>
        <v>0</v>
      </c>
      <c r="AG640">
        <f>VLOOKUP(Table5[[#This Row],[Shortname]], Comp[], 30, FALSE)</f>
        <v>0</v>
      </c>
      <c r="AH640">
        <f>VLOOKUP(Table5[[#This Row],[Shortname]], Comp[], 31, FALSE)</f>
        <v>0</v>
      </c>
    </row>
    <row r="641" spans="1:34" x14ac:dyDescent="0.3">
      <c r="A641" s="12" t="s">
        <v>6111</v>
      </c>
      <c r="B641">
        <v>663</v>
      </c>
      <c r="D641" s="12" t="s">
        <v>6112</v>
      </c>
      <c r="E641" s="12" t="s">
        <v>6099</v>
      </c>
      <c r="F641" s="12">
        <v>1103</v>
      </c>
      <c r="G641" s="12">
        <v>1315</v>
      </c>
      <c r="H641" s="12">
        <v>1386</v>
      </c>
      <c r="J641" s="14">
        <f>VLOOKUP(Table5[[#This Row],[Shortname]], Comp[], 7, FALSE)</f>
        <v>27.759999999999991</v>
      </c>
      <c r="K641">
        <f>VLOOKUP(Table5[[#This Row],[Shortname]], Comp[], 8, FALSE)</f>
        <v>47.2</v>
      </c>
      <c r="L641">
        <f>VLOOKUP(Table5[[#This Row],[Shortname]], Comp[], 9, FALSE)</f>
        <v>5.01</v>
      </c>
      <c r="M641">
        <f>VLOOKUP(Table5[[#This Row],[Shortname]], Comp[], 10, FALSE)</f>
        <v>14.8</v>
      </c>
      <c r="N641">
        <f>VLOOKUP(Table5[[#This Row],[Shortname]], Comp[], 11, FALSE)</f>
        <v>0</v>
      </c>
      <c r="O641">
        <f>VLOOKUP(Table5[[#This Row],[Shortname]], Comp[],12, FALSE)</f>
        <v>5.23</v>
      </c>
      <c r="P641">
        <f>VLOOKUP(Table5[[#This Row],[Shortname]], Comp[], 13, FALSE)</f>
        <v>0</v>
      </c>
      <c r="Q641">
        <f>VLOOKUP(Table5[[#This Row],[Shortname]], Comp[], 14, FALSE)</f>
        <v>0</v>
      </c>
      <c r="R641">
        <f>VLOOKUP(Table5[[#This Row],[Shortname]], Comp[], 15, FALSE)</f>
        <v>0</v>
      </c>
      <c r="S641">
        <f>VLOOKUP(Table5[[#This Row],[Shortname]], Comp[], 16, FALSE)</f>
        <v>0</v>
      </c>
      <c r="T641">
        <f>VLOOKUP(Table5[[#This Row],[Shortname]], Comp[], 17, FALSE)</f>
        <v>0</v>
      </c>
      <c r="U641">
        <f>VLOOKUP(Table5[[#This Row],[Shortname]], Comp[], 18, FALSE)</f>
        <v>0</v>
      </c>
      <c r="V641">
        <f>VLOOKUP(Table5[[#This Row],[Shortname]], Comp[], 19, FALSE)</f>
        <v>0</v>
      </c>
      <c r="W641">
        <f>VLOOKUP(Table5[[#This Row],[Shortname]], Comp[], 20, FALSE)</f>
        <v>0</v>
      </c>
      <c r="X641">
        <f>VLOOKUP(Table5[[#This Row],[Shortname]], Comp[], 21, FALSE)</f>
        <v>0</v>
      </c>
      <c r="Y641">
        <f>VLOOKUP(Table5[[#This Row],[Shortname]], Comp[], 22, FALSE)</f>
        <v>0</v>
      </c>
      <c r="Z641">
        <f>VLOOKUP(Table5[[#This Row],[Shortname]], Comp[], 23, FALSE)</f>
        <v>0</v>
      </c>
      <c r="AA641">
        <f>VLOOKUP(Table5[[#This Row],[Shortname]], Comp[], 24, FALSE)</f>
        <v>0</v>
      </c>
      <c r="AB641">
        <f>VLOOKUP(Table5[[#This Row],[Shortname]], Comp[], 25, FALSE)</f>
        <v>0</v>
      </c>
      <c r="AC641">
        <f>VLOOKUP(Table5[[#This Row],[Shortname]], Comp[], 26, FALSE)</f>
        <v>0</v>
      </c>
      <c r="AD641">
        <f>VLOOKUP(Table5[[#This Row],[Shortname]], Comp[], 27, FALSE)</f>
        <v>0</v>
      </c>
      <c r="AE641">
        <f>VLOOKUP(Table5[[#This Row],[Shortname]], Comp[], 28, FALSE)</f>
        <v>0</v>
      </c>
      <c r="AF641">
        <f>VLOOKUP(Table5[[#This Row],[Shortname]], Comp[], 29, FALSE)</f>
        <v>0</v>
      </c>
      <c r="AG641">
        <f>VLOOKUP(Table5[[#This Row],[Shortname]], Comp[], 30, FALSE)</f>
        <v>0</v>
      </c>
      <c r="AH641">
        <f>VLOOKUP(Table5[[#This Row],[Shortname]], Comp[], 31, FALSE)</f>
        <v>0</v>
      </c>
    </row>
    <row r="642" spans="1:34" x14ac:dyDescent="0.3">
      <c r="A642" s="12" t="s">
        <v>6115</v>
      </c>
      <c r="B642">
        <v>664</v>
      </c>
      <c r="D642" s="12" t="s">
        <v>6116</v>
      </c>
      <c r="E642" s="12" t="s">
        <v>6099</v>
      </c>
      <c r="F642" s="12">
        <v>1074</v>
      </c>
      <c r="G642" s="12">
        <v>1309</v>
      </c>
      <c r="H642" s="12">
        <v>1386</v>
      </c>
      <c r="J642" s="14">
        <f>VLOOKUP(Table5[[#This Row],[Shortname]], Comp[], 7, FALSE)</f>
        <v>37.21</v>
      </c>
      <c r="K642">
        <f>VLOOKUP(Table5[[#This Row],[Shortname]], Comp[], 8, FALSE)</f>
        <v>37.700000000000003</v>
      </c>
      <c r="L642">
        <f>VLOOKUP(Table5[[#This Row],[Shortname]], Comp[], 9, FALSE)</f>
        <v>5.01</v>
      </c>
      <c r="M642">
        <f>VLOOKUP(Table5[[#This Row],[Shortname]], Comp[], 10, FALSE)</f>
        <v>15</v>
      </c>
      <c r="N642">
        <f>VLOOKUP(Table5[[#This Row],[Shortname]], Comp[], 11, FALSE)</f>
        <v>0</v>
      </c>
      <c r="O642">
        <f>VLOOKUP(Table5[[#This Row],[Shortname]], Comp[],12, FALSE)</f>
        <v>5.08</v>
      </c>
      <c r="P642">
        <f>VLOOKUP(Table5[[#This Row],[Shortname]], Comp[], 13, FALSE)</f>
        <v>0</v>
      </c>
      <c r="Q642">
        <f>VLOOKUP(Table5[[#This Row],[Shortname]], Comp[], 14, FALSE)</f>
        <v>0</v>
      </c>
      <c r="R642">
        <f>VLOOKUP(Table5[[#This Row],[Shortname]], Comp[], 15, FALSE)</f>
        <v>0</v>
      </c>
      <c r="S642">
        <f>VLOOKUP(Table5[[#This Row],[Shortname]], Comp[], 16, FALSE)</f>
        <v>0</v>
      </c>
      <c r="T642">
        <f>VLOOKUP(Table5[[#This Row],[Shortname]], Comp[], 17, FALSE)</f>
        <v>0</v>
      </c>
      <c r="U642">
        <f>VLOOKUP(Table5[[#This Row],[Shortname]], Comp[], 18, FALSE)</f>
        <v>0</v>
      </c>
      <c r="V642">
        <f>VLOOKUP(Table5[[#This Row],[Shortname]], Comp[], 19, FALSE)</f>
        <v>0</v>
      </c>
      <c r="W642">
        <f>VLOOKUP(Table5[[#This Row],[Shortname]], Comp[], 20, FALSE)</f>
        <v>0</v>
      </c>
      <c r="X642">
        <f>VLOOKUP(Table5[[#This Row],[Shortname]], Comp[], 21, FALSE)</f>
        <v>0</v>
      </c>
      <c r="Y642">
        <f>VLOOKUP(Table5[[#This Row],[Shortname]], Comp[], 22, FALSE)</f>
        <v>0</v>
      </c>
      <c r="Z642">
        <f>VLOOKUP(Table5[[#This Row],[Shortname]], Comp[], 23, FALSE)</f>
        <v>0</v>
      </c>
      <c r="AA642">
        <f>VLOOKUP(Table5[[#This Row],[Shortname]], Comp[], 24, FALSE)</f>
        <v>0</v>
      </c>
      <c r="AB642">
        <f>VLOOKUP(Table5[[#This Row],[Shortname]], Comp[], 25, FALSE)</f>
        <v>0</v>
      </c>
      <c r="AC642">
        <f>VLOOKUP(Table5[[#This Row],[Shortname]], Comp[], 26, FALSE)</f>
        <v>0</v>
      </c>
      <c r="AD642">
        <f>VLOOKUP(Table5[[#This Row],[Shortname]], Comp[], 27, FALSE)</f>
        <v>0</v>
      </c>
      <c r="AE642">
        <f>VLOOKUP(Table5[[#This Row],[Shortname]], Comp[], 28, FALSE)</f>
        <v>0</v>
      </c>
      <c r="AF642">
        <f>VLOOKUP(Table5[[#This Row],[Shortname]], Comp[], 29, FALSE)</f>
        <v>0</v>
      </c>
      <c r="AG642">
        <f>VLOOKUP(Table5[[#This Row],[Shortname]], Comp[], 30, FALSE)</f>
        <v>0</v>
      </c>
      <c r="AH642">
        <f>VLOOKUP(Table5[[#This Row],[Shortname]], Comp[], 31, FALSE)</f>
        <v>0</v>
      </c>
    </row>
    <row r="643" spans="1:34" x14ac:dyDescent="0.3">
      <c r="A643" s="12" t="s">
        <v>6119</v>
      </c>
      <c r="B643">
        <v>665</v>
      </c>
      <c r="D643" s="12" t="s">
        <v>2317</v>
      </c>
      <c r="E643" s="12" t="s">
        <v>6099</v>
      </c>
      <c r="F643" s="12">
        <v>1036</v>
      </c>
      <c r="G643" s="12">
        <v>1306</v>
      </c>
      <c r="H643" s="12">
        <v>1391</v>
      </c>
      <c r="J643" s="14">
        <f>VLOOKUP(Table5[[#This Row],[Shortname]], Comp[], 7, FALSE)</f>
        <v>46.37</v>
      </c>
      <c r="K643">
        <f>VLOOKUP(Table5[[#This Row],[Shortname]], Comp[], 8, FALSE)</f>
        <v>28.43</v>
      </c>
      <c r="L643">
        <f>VLOOKUP(Table5[[#This Row],[Shortname]], Comp[], 9, FALSE)</f>
        <v>5</v>
      </c>
      <c r="M643">
        <f>VLOOKUP(Table5[[#This Row],[Shortname]], Comp[], 10, FALSE)</f>
        <v>15</v>
      </c>
      <c r="N643">
        <f>VLOOKUP(Table5[[#This Row],[Shortname]], Comp[], 11, FALSE)</f>
        <v>0</v>
      </c>
      <c r="O643">
        <f>VLOOKUP(Table5[[#This Row],[Shortname]], Comp[],12, FALSE)</f>
        <v>5.2</v>
      </c>
      <c r="P643">
        <f>VLOOKUP(Table5[[#This Row],[Shortname]], Comp[], 13, FALSE)</f>
        <v>0</v>
      </c>
      <c r="Q643">
        <f>VLOOKUP(Table5[[#This Row],[Shortname]], Comp[], 14, FALSE)</f>
        <v>0</v>
      </c>
      <c r="R643">
        <f>VLOOKUP(Table5[[#This Row],[Shortname]], Comp[], 15, FALSE)</f>
        <v>0</v>
      </c>
      <c r="S643">
        <f>VLOOKUP(Table5[[#This Row],[Shortname]], Comp[], 16, FALSE)</f>
        <v>0</v>
      </c>
      <c r="T643">
        <f>VLOOKUP(Table5[[#This Row],[Shortname]], Comp[], 17, FALSE)</f>
        <v>0</v>
      </c>
      <c r="U643">
        <f>VLOOKUP(Table5[[#This Row],[Shortname]], Comp[], 18, FALSE)</f>
        <v>0</v>
      </c>
      <c r="V643">
        <f>VLOOKUP(Table5[[#This Row],[Shortname]], Comp[], 19, FALSE)</f>
        <v>0</v>
      </c>
      <c r="W643">
        <f>VLOOKUP(Table5[[#This Row],[Shortname]], Comp[], 20, FALSE)</f>
        <v>0</v>
      </c>
      <c r="X643">
        <f>VLOOKUP(Table5[[#This Row],[Shortname]], Comp[], 21, FALSE)</f>
        <v>0</v>
      </c>
      <c r="Y643">
        <f>VLOOKUP(Table5[[#This Row],[Shortname]], Comp[], 22, FALSE)</f>
        <v>0</v>
      </c>
      <c r="Z643">
        <f>VLOOKUP(Table5[[#This Row],[Shortname]], Comp[], 23, FALSE)</f>
        <v>0</v>
      </c>
      <c r="AA643">
        <f>VLOOKUP(Table5[[#This Row],[Shortname]], Comp[], 24, FALSE)</f>
        <v>0</v>
      </c>
      <c r="AB643">
        <f>VLOOKUP(Table5[[#This Row],[Shortname]], Comp[], 25, FALSE)</f>
        <v>0</v>
      </c>
      <c r="AC643">
        <f>VLOOKUP(Table5[[#This Row],[Shortname]], Comp[], 26, FALSE)</f>
        <v>0</v>
      </c>
      <c r="AD643">
        <f>VLOOKUP(Table5[[#This Row],[Shortname]], Comp[], 27, FALSE)</f>
        <v>0</v>
      </c>
      <c r="AE643">
        <f>VLOOKUP(Table5[[#This Row],[Shortname]], Comp[], 28, FALSE)</f>
        <v>0</v>
      </c>
      <c r="AF643">
        <f>VLOOKUP(Table5[[#This Row],[Shortname]], Comp[], 29, FALSE)</f>
        <v>0</v>
      </c>
      <c r="AG643">
        <f>VLOOKUP(Table5[[#This Row],[Shortname]], Comp[], 30, FALSE)</f>
        <v>0</v>
      </c>
      <c r="AH643">
        <f>VLOOKUP(Table5[[#This Row],[Shortname]], Comp[], 31, FALSE)</f>
        <v>0</v>
      </c>
    </row>
    <row r="644" spans="1:34" x14ac:dyDescent="0.3">
      <c r="A644" s="12" t="s">
        <v>6122</v>
      </c>
      <c r="B644">
        <v>666</v>
      </c>
      <c r="D644" s="12" t="s">
        <v>2307</v>
      </c>
      <c r="E644" s="12" t="s">
        <v>6099</v>
      </c>
      <c r="F644" s="12">
        <v>989</v>
      </c>
      <c r="G644" s="12">
        <v>1298</v>
      </c>
      <c r="H644" s="12">
        <v>1395</v>
      </c>
      <c r="J644" s="14">
        <f>VLOOKUP(Table5[[#This Row],[Shortname]], Comp[], 7, FALSE)</f>
        <v>56.339999999999996</v>
      </c>
      <c r="K644">
        <f>VLOOKUP(Table5[[#This Row],[Shortname]], Comp[], 8, FALSE)</f>
        <v>18.53</v>
      </c>
      <c r="L644">
        <f>VLOOKUP(Table5[[#This Row],[Shortname]], Comp[], 9, FALSE)</f>
        <v>4.8600000000000003</v>
      </c>
      <c r="M644">
        <f>VLOOKUP(Table5[[#This Row],[Shortname]], Comp[], 10, FALSE)</f>
        <v>15.09</v>
      </c>
      <c r="N644">
        <f>VLOOKUP(Table5[[#This Row],[Shortname]], Comp[], 11, FALSE)</f>
        <v>0</v>
      </c>
      <c r="O644">
        <f>VLOOKUP(Table5[[#This Row],[Shortname]], Comp[],12, FALSE)</f>
        <v>5.18</v>
      </c>
      <c r="P644">
        <f>VLOOKUP(Table5[[#This Row],[Shortname]], Comp[], 13, FALSE)</f>
        <v>0</v>
      </c>
      <c r="Q644">
        <f>VLOOKUP(Table5[[#This Row],[Shortname]], Comp[], 14, FALSE)</f>
        <v>0</v>
      </c>
      <c r="R644">
        <f>VLOOKUP(Table5[[#This Row],[Shortname]], Comp[], 15, FALSE)</f>
        <v>0</v>
      </c>
      <c r="S644">
        <f>VLOOKUP(Table5[[#This Row],[Shortname]], Comp[], 16, FALSE)</f>
        <v>0</v>
      </c>
      <c r="T644">
        <f>VLOOKUP(Table5[[#This Row],[Shortname]], Comp[], 17, FALSE)</f>
        <v>0</v>
      </c>
      <c r="U644">
        <f>VLOOKUP(Table5[[#This Row],[Shortname]], Comp[], 18, FALSE)</f>
        <v>0</v>
      </c>
      <c r="V644">
        <f>VLOOKUP(Table5[[#This Row],[Shortname]], Comp[], 19, FALSE)</f>
        <v>0</v>
      </c>
      <c r="W644">
        <f>VLOOKUP(Table5[[#This Row],[Shortname]], Comp[], 20, FALSE)</f>
        <v>0</v>
      </c>
      <c r="X644">
        <f>VLOOKUP(Table5[[#This Row],[Shortname]], Comp[], 21, FALSE)</f>
        <v>0</v>
      </c>
      <c r="Y644">
        <f>VLOOKUP(Table5[[#This Row],[Shortname]], Comp[], 22, FALSE)</f>
        <v>0</v>
      </c>
      <c r="Z644">
        <f>VLOOKUP(Table5[[#This Row],[Shortname]], Comp[], 23, FALSE)</f>
        <v>0</v>
      </c>
      <c r="AA644">
        <f>VLOOKUP(Table5[[#This Row],[Shortname]], Comp[], 24, FALSE)</f>
        <v>0</v>
      </c>
      <c r="AB644">
        <f>VLOOKUP(Table5[[#This Row],[Shortname]], Comp[], 25, FALSE)</f>
        <v>0</v>
      </c>
      <c r="AC644">
        <f>VLOOKUP(Table5[[#This Row],[Shortname]], Comp[], 26, FALSE)</f>
        <v>0</v>
      </c>
      <c r="AD644">
        <f>VLOOKUP(Table5[[#This Row],[Shortname]], Comp[], 27, FALSE)</f>
        <v>0</v>
      </c>
      <c r="AE644">
        <f>VLOOKUP(Table5[[#This Row],[Shortname]], Comp[], 28, FALSE)</f>
        <v>0</v>
      </c>
      <c r="AF644">
        <f>VLOOKUP(Table5[[#This Row],[Shortname]], Comp[], 29, FALSE)</f>
        <v>0</v>
      </c>
      <c r="AG644">
        <f>VLOOKUP(Table5[[#This Row],[Shortname]], Comp[], 30, FALSE)</f>
        <v>0</v>
      </c>
      <c r="AH644">
        <f>VLOOKUP(Table5[[#This Row],[Shortname]], Comp[], 31, FALSE)</f>
        <v>0</v>
      </c>
    </row>
    <row r="645" spans="1:34" x14ac:dyDescent="0.3">
      <c r="A645" s="34" t="s">
        <v>6125</v>
      </c>
      <c r="B645">
        <v>667</v>
      </c>
      <c r="D645" s="12" t="s">
        <v>6126</v>
      </c>
      <c r="E645" s="12" t="s">
        <v>6127</v>
      </c>
      <c r="F645" s="12">
        <v>1268</v>
      </c>
      <c r="G645" s="12">
        <v>1296</v>
      </c>
      <c r="H645" s="12">
        <v>1373</v>
      </c>
      <c r="J645" s="14">
        <f>VLOOKUP(Table5[[#This Row],[Shortname]], Comp[], 7, FALSE)</f>
        <v>46.150000000000006</v>
      </c>
      <c r="K645">
        <f>VLOOKUP(Table5[[#This Row],[Shortname]], Comp[], 8, FALSE)</f>
        <v>29.99</v>
      </c>
      <c r="L645">
        <f>VLOOKUP(Table5[[#This Row],[Shortname]], Comp[], 9, FALSE)</f>
        <v>11.74</v>
      </c>
      <c r="M645">
        <f>VLOOKUP(Table5[[#This Row],[Shortname]], Comp[], 10, FALSE)</f>
        <v>0</v>
      </c>
      <c r="N645">
        <f>VLOOKUP(Table5[[#This Row],[Shortname]], Comp[], 11, FALSE)</f>
        <v>5.48</v>
      </c>
      <c r="O645">
        <f>VLOOKUP(Table5[[#This Row],[Shortname]], Comp[],12, FALSE)</f>
        <v>4.0599999999999996</v>
      </c>
      <c r="P645">
        <f>VLOOKUP(Table5[[#This Row],[Shortname]], Comp[], 13, FALSE)</f>
        <v>2.5</v>
      </c>
      <c r="Q645">
        <f>VLOOKUP(Table5[[#This Row],[Shortname]], Comp[], 14, FALSE)</f>
        <v>0</v>
      </c>
      <c r="R645">
        <f>VLOOKUP(Table5[[#This Row],[Shortname]], Comp[], 15, FALSE)</f>
        <v>0</v>
      </c>
      <c r="S645">
        <f>VLOOKUP(Table5[[#This Row],[Shortname]], Comp[], 16, FALSE)</f>
        <v>0</v>
      </c>
      <c r="T645">
        <f>VLOOKUP(Table5[[#This Row],[Shortname]], Comp[], 17, FALSE)</f>
        <v>0</v>
      </c>
      <c r="U645">
        <f>VLOOKUP(Table5[[#This Row],[Shortname]], Comp[], 18, FALSE)</f>
        <v>0</v>
      </c>
      <c r="V645">
        <f>VLOOKUP(Table5[[#This Row],[Shortname]], Comp[], 19, FALSE)</f>
        <v>0.08</v>
      </c>
      <c r="W645">
        <f>VLOOKUP(Table5[[#This Row],[Shortname]], Comp[], 20, FALSE)</f>
        <v>0</v>
      </c>
      <c r="X645">
        <f>VLOOKUP(Table5[[#This Row],[Shortname]], Comp[], 21, FALSE)</f>
        <v>0</v>
      </c>
      <c r="Y645">
        <f>VLOOKUP(Table5[[#This Row],[Shortname]], Comp[], 22, FALSE)</f>
        <v>0</v>
      </c>
      <c r="Z645">
        <f>VLOOKUP(Table5[[#This Row],[Shortname]], Comp[], 23, FALSE)</f>
        <v>0</v>
      </c>
      <c r="AA645">
        <f>VLOOKUP(Table5[[#This Row],[Shortname]], Comp[], 24, FALSE)</f>
        <v>0</v>
      </c>
      <c r="AB645">
        <f>VLOOKUP(Table5[[#This Row],[Shortname]], Comp[], 25, FALSE)</f>
        <v>0</v>
      </c>
      <c r="AC645">
        <f>VLOOKUP(Table5[[#This Row],[Shortname]], Comp[], 26, FALSE)</f>
        <v>0</v>
      </c>
      <c r="AD645">
        <f>VLOOKUP(Table5[[#This Row],[Shortname]], Comp[], 27, FALSE)</f>
        <v>0</v>
      </c>
      <c r="AE645">
        <f>VLOOKUP(Table5[[#This Row],[Shortname]], Comp[], 28, FALSE)</f>
        <v>0</v>
      </c>
      <c r="AF645">
        <f>VLOOKUP(Table5[[#This Row],[Shortname]], Comp[], 29, FALSE)</f>
        <v>0</v>
      </c>
      <c r="AG645">
        <f>VLOOKUP(Table5[[#This Row],[Shortname]], Comp[], 30, FALSE)</f>
        <v>0</v>
      </c>
      <c r="AH645">
        <f>VLOOKUP(Table5[[#This Row],[Shortname]], Comp[], 31, FALSE)</f>
        <v>0</v>
      </c>
    </row>
    <row r="646" spans="1:34" x14ac:dyDescent="0.3">
      <c r="A646" s="12" t="s">
        <v>6135</v>
      </c>
      <c r="B646">
        <v>668</v>
      </c>
      <c r="D646" s="12" t="s">
        <v>3899</v>
      </c>
      <c r="E646" s="12" t="s">
        <v>6136</v>
      </c>
      <c r="F646" s="12">
        <v>1181</v>
      </c>
      <c r="G646" s="12">
        <v>1339</v>
      </c>
      <c r="J646" s="14">
        <f>VLOOKUP(Table5[[#This Row],[Shortname]], Comp[], 7, FALSE)</f>
        <v>59</v>
      </c>
      <c r="K646">
        <f>VLOOKUP(Table5[[#This Row],[Shortname]], Comp[], 8, FALSE)</f>
        <v>30</v>
      </c>
      <c r="L646">
        <f>VLOOKUP(Table5[[#This Row],[Shortname]], Comp[], 9, FALSE)</f>
        <v>7</v>
      </c>
      <c r="M646">
        <f>VLOOKUP(Table5[[#This Row],[Shortname]], Comp[], 10, FALSE)</f>
        <v>0</v>
      </c>
      <c r="N646">
        <f>VLOOKUP(Table5[[#This Row],[Shortname]], Comp[], 11, FALSE)</f>
        <v>0</v>
      </c>
      <c r="O646">
        <f>VLOOKUP(Table5[[#This Row],[Shortname]], Comp[],12, FALSE)</f>
        <v>2</v>
      </c>
      <c r="P646">
        <f>VLOOKUP(Table5[[#This Row],[Shortname]], Comp[], 13, FALSE)</f>
        <v>0</v>
      </c>
      <c r="Q646">
        <f>VLOOKUP(Table5[[#This Row],[Shortname]], Comp[], 14, FALSE)</f>
        <v>2</v>
      </c>
      <c r="R646">
        <f>VLOOKUP(Table5[[#This Row],[Shortname]], Comp[], 15, FALSE)</f>
        <v>0</v>
      </c>
      <c r="S646">
        <f>VLOOKUP(Table5[[#This Row],[Shortname]], Comp[], 16, FALSE)</f>
        <v>0</v>
      </c>
      <c r="T646">
        <f>VLOOKUP(Table5[[#This Row],[Shortname]], Comp[], 17, FALSE)</f>
        <v>0</v>
      </c>
      <c r="U646">
        <f>VLOOKUP(Table5[[#This Row],[Shortname]], Comp[], 18, FALSE)</f>
        <v>0</v>
      </c>
      <c r="V646">
        <f>VLOOKUP(Table5[[#This Row],[Shortname]], Comp[], 19, FALSE)</f>
        <v>0</v>
      </c>
      <c r="W646">
        <f>VLOOKUP(Table5[[#This Row],[Shortname]], Comp[], 20, FALSE)</f>
        <v>0</v>
      </c>
      <c r="X646">
        <f>VLOOKUP(Table5[[#This Row],[Shortname]], Comp[], 21, FALSE)</f>
        <v>0</v>
      </c>
      <c r="Y646">
        <f>VLOOKUP(Table5[[#This Row],[Shortname]], Comp[], 22, FALSE)</f>
        <v>0</v>
      </c>
      <c r="Z646">
        <f>VLOOKUP(Table5[[#This Row],[Shortname]], Comp[], 23, FALSE)</f>
        <v>0</v>
      </c>
      <c r="AA646">
        <f>VLOOKUP(Table5[[#This Row],[Shortname]], Comp[], 24, FALSE)</f>
        <v>0</v>
      </c>
      <c r="AB646">
        <f>VLOOKUP(Table5[[#This Row],[Shortname]], Comp[], 25, FALSE)</f>
        <v>0</v>
      </c>
      <c r="AC646">
        <f>VLOOKUP(Table5[[#This Row],[Shortname]], Comp[], 26, FALSE)</f>
        <v>0</v>
      </c>
      <c r="AD646">
        <f>VLOOKUP(Table5[[#This Row],[Shortname]], Comp[], 27, FALSE)</f>
        <v>0</v>
      </c>
      <c r="AE646">
        <f>VLOOKUP(Table5[[#This Row],[Shortname]], Comp[], 28, FALSE)</f>
        <v>0</v>
      </c>
      <c r="AF646">
        <f>VLOOKUP(Table5[[#This Row],[Shortname]], Comp[], 29, FALSE)</f>
        <v>0</v>
      </c>
      <c r="AG646">
        <f>VLOOKUP(Table5[[#This Row],[Shortname]], Comp[], 30, FALSE)</f>
        <v>0</v>
      </c>
      <c r="AH646">
        <f>VLOOKUP(Table5[[#This Row],[Shortname]], Comp[], 31, FALSE)</f>
        <v>0</v>
      </c>
    </row>
    <row r="647" spans="1:34" x14ac:dyDescent="0.3">
      <c r="A647" s="12" t="s">
        <v>6138</v>
      </c>
      <c r="B647">
        <v>669</v>
      </c>
      <c r="D647" s="12" t="s">
        <v>3893</v>
      </c>
      <c r="E647" s="12" t="s">
        <v>6139</v>
      </c>
      <c r="F647" s="12">
        <v>1018</v>
      </c>
      <c r="G647" s="12">
        <v>1297</v>
      </c>
      <c r="J647" s="14">
        <f>VLOOKUP(Table5[[#This Row],[Shortname]], Comp[], 7, FALSE)</f>
        <v>57</v>
      </c>
      <c r="K647">
        <f>VLOOKUP(Table5[[#This Row],[Shortname]], Comp[], 8, FALSE)</f>
        <v>30</v>
      </c>
      <c r="L647">
        <f>VLOOKUP(Table5[[#This Row],[Shortname]], Comp[], 9, FALSE)</f>
        <v>7</v>
      </c>
      <c r="M647">
        <f>VLOOKUP(Table5[[#This Row],[Shortname]], Comp[], 10, FALSE)</f>
        <v>0</v>
      </c>
      <c r="N647">
        <f>VLOOKUP(Table5[[#This Row],[Shortname]], Comp[], 11, FALSE)</f>
        <v>0</v>
      </c>
      <c r="O647">
        <f>VLOOKUP(Table5[[#This Row],[Shortname]], Comp[],12, FALSE)</f>
        <v>4</v>
      </c>
      <c r="P647">
        <f>VLOOKUP(Table5[[#This Row],[Shortname]], Comp[], 13, FALSE)</f>
        <v>0</v>
      </c>
      <c r="Q647">
        <f>VLOOKUP(Table5[[#This Row],[Shortname]], Comp[], 14, FALSE)</f>
        <v>2</v>
      </c>
      <c r="R647">
        <f>VLOOKUP(Table5[[#This Row],[Shortname]], Comp[], 15, FALSE)</f>
        <v>0</v>
      </c>
      <c r="S647">
        <f>VLOOKUP(Table5[[#This Row],[Shortname]], Comp[], 16, FALSE)</f>
        <v>0</v>
      </c>
      <c r="T647">
        <f>VLOOKUP(Table5[[#This Row],[Shortname]], Comp[], 17, FALSE)</f>
        <v>0</v>
      </c>
      <c r="U647">
        <f>VLOOKUP(Table5[[#This Row],[Shortname]], Comp[], 18, FALSE)</f>
        <v>0</v>
      </c>
      <c r="V647">
        <f>VLOOKUP(Table5[[#This Row],[Shortname]], Comp[], 19, FALSE)</f>
        <v>0</v>
      </c>
      <c r="W647">
        <f>VLOOKUP(Table5[[#This Row],[Shortname]], Comp[], 20, FALSE)</f>
        <v>0</v>
      </c>
      <c r="X647">
        <f>VLOOKUP(Table5[[#This Row],[Shortname]], Comp[], 21, FALSE)</f>
        <v>0</v>
      </c>
      <c r="Y647">
        <f>VLOOKUP(Table5[[#This Row],[Shortname]], Comp[], 22, FALSE)</f>
        <v>0</v>
      </c>
      <c r="Z647">
        <f>VLOOKUP(Table5[[#This Row],[Shortname]], Comp[], 23, FALSE)</f>
        <v>0</v>
      </c>
      <c r="AA647">
        <f>VLOOKUP(Table5[[#This Row],[Shortname]], Comp[], 24, FALSE)</f>
        <v>0</v>
      </c>
      <c r="AB647">
        <f>VLOOKUP(Table5[[#This Row],[Shortname]], Comp[], 25, FALSE)</f>
        <v>0</v>
      </c>
      <c r="AC647">
        <f>VLOOKUP(Table5[[#This Row],[Shortname]], Comp[], 26, FALSE)</f>
        <v>0</v>
      </c>
      <c r="AD647">
        <f>VLOOKUP(Table5[[#This Row],[Shortname]], Comp[], 27, FALSE)</f>
        <v>0</v>
      </c>
      <c r="AE647">
        <f>VLOOKUP(Table5[[#This Row],[Shortname]], Comp[], 28, FALSE)</f>
        <v>0</v>
      </c>
      <c r="AF647">
        <f>VLOOKUP(Table5[[#This Row],[Shortname]], Comp[], 29, FALSE)</f>
        <v>0</v>
      </c>
      <c r="AG647">
        <f>VLOOKUP(Table5[[#This Row],[Shortname]], Comp[], 30, FALSE)</f>
        <v>0</v>
      </c>
      <c r="AH647">
        <f>VLOOKUP(Table5[[#This Row],[Shortname]], Comp[], 31, FALSE)</f>
        <v>0</v>
      </c>
    </row>
    <row r="648" spans="1:34" x14ac:dyDescent="0.3">
      <c r="A648" s="12" t="s">
        <v>6141</v>
      </c>
      <c r="B648">
        <v>670</v>
      </c>
      <c r="D648" s="12" t="s">
        <v>5263</v>
      </c>
      <c r="E648" s="12" t="s">
        <v>6142</v>
      </c>
      <c r="F648" s="12">
        <v>1079</v>
      </c>
      <c r="G648" s="12">
        <v>1271</v>
      </c>
      <c r="J648" s="14">
        <f>VLOOKUP(Table5[[#This Row],[Shortname]], Comp[], 7, FALSE)</f>
        <v>55</v>
      </c>
      <c r="K648">
        <f>VLOOKUP(Table5[[#This Row],[Shortname]], Comp[], 8, FALSE)</f>
        <v>30</v>
      </c>
      <c r="L648">
        <f>VLOOKUP(Table5[[#This Row],[Shortname]], Comp[], 9, FALSE)</f>
        <v>7</v>
      </c>
      <c r="M648">
        <f>VLOOKUP(Table5[[#This Row],[Shortname]], Comp[], 10, FALSE)</f>
        <v>0</v>
      </c>
      <c r="N648">
        <f>VLOOKUP(Table5[[#This Row],[Shortname]], Comp[], 11, FALSE)</f>
        <v>0</v>
      </c>
      <c r="O648">
        <f>VLOOKUP(Table5[[#This Row],[Shortname]], Comp[],12, FALSE)</f>
        <v>6</v>
      </c>
      <c r="P648">
        <f>VLOOKUP(Table5[[#This Row],[Shortname]], Comp[], 13, FALSE)</f>
        <v>0</v>
      </c>
      <c r="Q648">
        <f>VLOOKUP(Table5[[#This Row],[Shortname]], Comp[], 14, FALSE)</f>
        <v>2</v>
      </c>
      <c r="R648">
        <f>VLOOKUP(Table5[[#This Row],[Shortname]], Comp[], 15, FALSE)</f>
        <v>0</v>
      </c>
      <c r="S648">
        <f>VLOOKUP(Table5[[#This Row],[Shortname]], Comp[], 16, FALSE)</f>
        <v>0</v>
      </c>
      <c r="T648">
        <f>VLOOKUP(Table5[[#This Row],[Shortname]], Comp[], 17, FALSE)</f>
        <v>0</v>
      </c>
      <c r="U648">
        <f>VLOOKUP(Table5[[#This Row],[Shortname]], Comp[], 18, FALSE)</f>
        <v>0</v>
      </c>
      <c r="V648">
        <f>VLOOKUP(Table5[[#This Row],[Shortname]], Comp[], 19, FALSE)</f>
        <v>0</v>
      </c>
      <c r="W648">
        <f>VLOOKUP(Table5[[#This Row],[Shortname]], Comp[], 20, FALSE)</f>
        <v>0</v>
      </c>
      <c r="X648">
        <f>VLOOKUP(Table5[[#This Row],[Shortname]], Comp[], 21, FALSE)</f>
        <v>0</v>
      </c>
      <c r="Y648">
        <f>VLOOKUP(Table5[[#This Row],[Shortname]], Comp[], 22, FALSE)</f>
        <v>0</v>
      </c>
      <c r="Z648">
        <f>VLOOKUP(Table5[[#This Row],[Shortname]], Comp[], 23, FALSE)</f>
        <v>0</v>
      </c>
      <c r="AA648">
        <f>VLOOKUP(Table5[[#This Row],[Shortname]], Comp[], 24, FALSE)</f>
        <v>0</v>
      </c>
      <c r="AB648">
        <f>VLOOKUP(Table5[[#This Row],[Shortname]], Comp[], 25, FALSE)</f>
        <v>0</v>
      </c>
      <c r="AC648">
        <f>VLOOKUP(Table5[[#This Row],[Shortname]], Comp[], 26, FALSE)</f>
        <v>0</v>
      </c>
      <c r="AD648">
        <f>VLOOKUP(Table5[[#This Row],[Shortname]], Comp[], 27, FALSE)</f>
        <v>0</v>
      </c>
      <c r="AE648">
        <f>VLOOKUP(Table5[[#This Row],[Shortname]], Comp[], 28, FALSE)</f>
        <v>0</v>
      </c>
      <c r="AF648">
        <f>VLOOKUP(Table5[[#This Row],[Shortname]], Comp[], 29, FALSE)</f>
        <v>0</v>
      </c>
      <c r="AG648">
        <f>VLOOKUP(Table5[[#This Row],[Shortname]], Comp[], 30, FALSE)</f>
        <v>0</v>
      </c>
      <c r="AH648">
        <f>VLOOKUP(Table5[[#This Row],[Shortname]], Comp[], 31, FALSE)</f>
        <v>0</v>
      </c>
    </row>
    <row r="649" spans="1:34" x14ac:dyDescent="0.3">
      <c r="A649" s="12" t="s">
        <v>6145</v>
      </c>
      <c r="B649">
        <v>671</v>
      </c>
      <c r="D649" s="12" t="s">
        <v>6146</v>
      </c>
      <c r="E649" s="12" t="s">
        <v>6147</v>
      </c>
      <c r="F649" s="12">
        <v>980</v>
      </c>
      <c r="J649" s="14">
        <f>VLOOKUP(Table5[[#This Row],[Shortname]], Comp[], 7, FALSE)</f>
        <v>50.800000000000004</v>
      </c>
      <c r="K649">
        <f>VLOOKUP(Table5[[#This Row],[Shortname]], Comp[], 8, FALSE)</f>
        <v>30.2</v>
      </c>
      <c r="L649">
        <f>VLOOKUP(Table5[[#This Row],[Shortname]], Comp[], 9, FALSE)</f>
        <v>9.1</v>
      </c>
      <c r="M649">
        <f>VLOOKUP(Table5[[#This Row],[Shortname]], Comp[], 10, FALSE)</f>
        <v>0</v>
      </c>
      <c r="N649">
        <f>VLOOKUP(Table5[[#This Row],[Shortname]], Comp[], 11, FALSE)</f>
        <v>0</v>
      </c>
      <c r="O649">
        <f>VLOOKUP(Table5[[#This Row],[Shortname]], Comp[],12, FALSE)</f>
        <v>0</v>
      </c>
      <c r="P649">
        <f>VLOOKUP(Table5[[#This Row],[Shortname]], Comp[], 13, FALSE)</f>
        <v>0</v>
      </c>
      <c r="Q649">
        <f>VLOOKUP(Table5[[#This Row],[Shortname]], Comp[], 14, FALSE)</f>
        <v>2.2999999999999998</v>
      </c>
      <c r="R649">
        <f>VLOOKUP(Table5[[#This Row],[Shortname]], Comp[], 15, FALSE)</f>
        <v>0</v>
      </c>
      <c r="S649">
        <f>VLOOKUP(Table5[[#This Row],[Shortname]], Comp[], 16, FALSE)</f>
        <v>5.5</v>
      </c>
      <c r="T649">
        <f>VLOOKUP(Table5[[#This Row],[Shortname]], Comp[], 17, FALSE)</f>
        <v>0</v>
      </c>
      <c r="U649">
        <f>VLOOKUP(Table5[[#This Row],[Shortname]], Comp[], 18, FALSE)</f>
        <v>0</v>
      </c>
      <c r="V649">
        <f>VLOOKUP(Table5[[#This Row],[Shortname]], Comp[], 19, FALSE)</f>
        <v>0</v>
      </c>
      <c r="W649">
        <f>VLOOKUP(Table5[[#This Row],[Shortname]], Comp[], 20, FALSE)</f>
        <v>0</v>
      </c>
      <c r="X649">
        <f>VLOOKUP(Table5[[#This Row],[Shortname]], Comp[], 21, FALSE)</f>
        <v>0</v>
      </c>
      <c r="Y649">
        <f>VLOOKUP(Table5[[#This Row],[Shortname]], Comp[], 22, FALSE)</f>
        <v>0</v>
      </c>
      <c r="Z649">
        <f>VLOOKUP(Table5[[#This Row],[Shortname]], Comp[], 23, FALSE)</f>
        <v>0</v>
      </c>
      <c r="AA649">
        <f>VLOOKUP(Table5[[#This Row],[Shortname]], Comp[], 24, FALSE)</f>
        <v>0</v>
      </c>
      <c r="AB649">
        <f>VLOOKUP(Table5[[#This Row],[Shortname]], Comp[], 25, FALSE)</f>
        <v>0</v>
      </c>
      <c r="AC649">
        <f>VLOOKUP(Table5[[#This Row],[Shortname]], Comp[], 26, FALSE)</f>
        <v>0</v>
      </c>
      <c r="AD649">
        <f>VLOOKUP(Table5[[#This Row],[Shortname]], Comp[], 27, FALSE)</f>
        <v>0</v>
      </c>
      <c r="AE649">
        <f>VLOOKUP(Table5[[#This Row],[Shortname]], Comp[], 28, FALSE)</f>
        <v>0</v>
      </c>
      <c r="AF649">
        <f>VLOOKUP(Table5[[#This Row],[Shortname]], Comp[], 29, FALSE)</f>
        <v>2.1</v>
      </c>
      <c r="AG649">
        <f>VLOOKUP(Table5[[#This Row],[Shortname]], Comp[], 30, FALSE)</f>
        <v>0</v>
      </c>
      <c r="AH649">
        <f>VLOOKUP(Table5[[#This Row],[Shortname]], Comp[], 31, FALSE)</f>
        <v>0</v>
      </c>
    </row>
    <row r="650" spans="1:34" x14ac:dyDescent="0.3">
      <c r="A650" s="12" t="s">
        <v>6155</v>
      </c>
      <c r="B650">
        <v>672</v>
      </c>
      <c r="D650" s="12" t="s">
        <v>6156</v>
      </c>
      <c r="E650" s="12" t="s">
        <v>6157</v>
      </c>
      <c r="F650" s="12">
        <v>1066</v>
      </c>
      <c r="J650" s="14">
        <f>VLOOKUP(Table5[[#This Row],[Shortname]], Comp[], 7, FALSE)</f>
        <v>50.7</v>
      </c>
      <c r="K650">
        <f>VLOOKUP(Table5[[#This Row],[Shortname]], Comp[], 8, FALSE)</f>
        <v>30.3</v>
      </c>
      <c r="L650">
        <f>VLOOKUP(Table5[[#This Row],[Shortname]], Comp[], 9, FALSE)</f>
        <v>9.6999999999999993</v>
      </c>
      <c r="M650">
        <f>VLOOKUP(Table5[[#This Row],[Shortname]], Comp[], 10, FALSE)</f>
        <v>0</v>
      </c>
      <c r="N650">
        <f>VLOOKUP(Table5[[#This Row],[Shortname]], Comp[], 11, FALSE)</f>
        <v>0</v>
      </c>
      <c r="O650">
        <f>VLOOKUP(Table5[[#This Row],[Shortname]], Comp[],12, FALSE)</f>
        <v>1.9</v>
      </c>
      <c r="P650">
        <f>VLOOKUP(Table5[[#This Row],[Shortname]], Comp[], 13, FALSE)</f>
        <v>2.1</v>
      </c>
      <c r="Q650">
        <f>VLOOKUP(Table5[[#This Row],[Shortname]], Comp[], 14, FALSE)</f>
        <v>0</v>
      </c>
      <c r="R650">
        <f>VLOOKUP(Table5[[#This Row],[Shortname]], Comp[], 15, FALSE)</f>
        <v>0</v>
      </c>
      <c r="S650">
        <f>VLOOKUP(Table5[[#This Row],[Shortname]], Comp[], 16, FALSE)</f>
        <v>5.3</v>
      </c>
      <c r="T650">
        <f>VLOOKUP(Table5[[#This Row],[Shortname]], Comp[], 17, FALSE)</f>
        <v>0</v>
      </c>
      <c r="U650">
        <f>VLOOKUP(Table5[[#This Row],[Shortname]], Comp[], 18, FALSE)</f>
        <v>0</v>
      </c>
      <c r="V650">
        <f>VLOOKUP(Table5[[#This Row],[Shortname]], Comp[], 19, FALSE)</f>
        <v>0</v>
      </c>
      <c r="W650">
        <f>VLOOKUP(Table5[[#This Row],[Shortname]], Comp[], 20, FALSE)</f>
        <v>0</v>
      </c>
      <c r="X650">
        <f>VLOOKUP(Table5[[#This Row],[Shortname]], Comp[], 21, FALSE)</f>
        <v>0</v>
      </c>
      <c r="Y650">
        <f>VLOOKUP(Table5[[#This Row],[Shortname]], Comp[], 22, FALSE)</f>
        <v>0</v>
      </c>
      <c r="Z650">
        <f>VLOOKUP(Table5[[#This Row],[Shortname]], Comp[], 23, FALSE)</f>
        <v>0</v>
      </c>
      <c r="AA650">
        <f>VLOOKUP(Table5[[#This Row],[Shortname]], Comp[], 24, FALSE)</f>
        <v>0</v>
      </c>
      <c r="AB650">
        <f>VLOOKUP(Table5[[#This Row],[Shortname]], Comp[], 25, FALSE)</f>
        <v>0</v>
      </c>
      <c r="AC650">
        <f>VLOOKUP(Table5[[#This Row],[Shortname]], Comp[], 26, FALSE)</f>
        <v>0</v>
      </c>
      <c r="AD650">
        <f>VLOOKUP(Table5[[#This Row],[Shortname]], Comp[], 27, FALSE)</f>
        <v>0</v>
      </c>
      <c r="AE650">
        <f>VLOOKUP(Table5[[#This Row],[Shortname]], Comp[], 28, FALSE)</f>
        <v>0</v>
      </c>
      <c r="AF650">
        <f>VLOOKUP(Table5[[#This Row],[Shortname]], Comp[], 29, FALSE)</f>
        <v>0</v>
      </c>
      <c r="AG650">
        <f>VLOOKUP(Table5[[#This Row],[Shortname]], Comp[], 30, FALSE)</f>
        <v>0</v>
      </c>
      <c r="AH650">
        <f>VLOOKUP(Table5[[#This Row],[Shortname]], Comp[], 31, FALSE)</f>
        <v>0</v>
      </c>
    </row>
    <row r="651" spans="1:34" x14ac:dyDescent="0.3">
      <c r="A651" s="12" t="s">
        <v>6159</v>
      </c>
      <c r="B651">
        <v>673</v>
      </c>
      <c r="D651" s="12" t="s">
        <v>6160</v>
      </c>
      <c r="E651" s="12" t="s">
        <v>6161</v>
      </c>
      <c r="F651" s="12">
        <v>1093</v>
      </c>
      <c r="J651" s="14">
        <f>VLOOKUP(Table5[[#This Row],[Shortname]], Comp[], 7, FALSE)</f>
        <v>50.381999999999998</v>
      </c>
      <c r="K651">
        <f>VLOOKUP(Table5[[#This Row],[Shortname]], Comp[], 8, FALSE)</f>
        <v>30.2</v>
      </c>
      <c r="L651">
        <f>VLOOKUP(Table5[[#This Row],[Shortname]], Comp[], 9, FALSE)</f>
        <v>10.1</v>
      </c>
      <c r="M651">
        <f>VLOOKUP(Table5[[#This Row],[Shortname]], Comp[], 10, FALSE)</f>
        <v>0</v>
      </c>
      <c r="N651">
        <f>VLOOKUP(Table5[[#This Row],[Shortname]], Comp[], 11, FALSE)</f>
        <v>0</v>
      </c>
      <c r="O651">
        <f>VLOOKUP(Table5[[#This Row],[Shortname]], Comp[],12, FALSE)</f>
        <v>2.1</v>
      </c>
      <c r="P651">
        <f>VLOOKUP(Table5[[#This Row],[Shortname]], Comp[], 13, FALSE)</f>
        <v>2.1</v>
      </c>
      <c r="Q651">
        <f>VLOOKUP(Table5[[#This Row],[Shortname]], Comp[], 14, FALSE)</f>
        <v>0</v>
      </c>
      <c r="R651">
        <f>VLOOKUP(Table5[[#This Row],[Shortname]], Comp[], 15, FALSE)</f>
        <v>0</v>
      </c>
      <c r="S651">
        <f>VLOOKUP(Table5[[#This Row],[Shortname]], Comp[], 16, FALSE)</f>
        <v>5.0999999999999996</v>
      </c>
      <c r="T651">
        <f>VLOOKUP(Table5[[#This Row],[Shortname]], Comp[], 17, FALSE)</f>
        <v>0</v>
      </c>
      <c r="U651">
        <f>VLOOKUP(Table5[[#This Row],[Shortname]], Comp[], 18, FALSE)</f>
        <v>0</v>
      </c>
      <c r="V651">
        <f>VLOOKUP(Table5[[#This Row],[Shortname]], Comp[], 19, FALSE)</f>
        <v>1.7999999999999999E-2</v>
      </c>
      <c r="W651">
        <f>VLOOKUP(Table5[[#This Row],[Shortname]], Comp[], 20, FALSE)</f>
        <v>0</v>
      </c>
      <c r="X651">
        <f>VLOOKUP(Table5[[#This Row],[Shortname]], Comp[], 21, FALSE)</f>
        <v>0</v>
      </c>
      <c r="Y651">
        <f>VLOOKUP(Table5[[#This Row],[Shortname]], Comp[], 22, FALSE)</f>
        <v>0</v>
      </c>
      <c r="Z651">
        <f>VLOOKUP(Table5[[#This Row],[Shortname]], Comp[], 23, FALSE)</f>
        <v>0</v>
      </c>
      <c r="AA651">
        <f>VLOOKUP(Table5[[#This Row],[Shortname]], Comp[], 24, FALSE)</f>
        <v>0</v>
      </c>
      <c r="AB651">
        <f>VLOOKUP(Table5[[#This Row],[Shortname]], Comp[], 25, FALSE)</f>
        <v>0</v>
      </c>
      <c r="AC651">
        <f>VLOOKUP(Table5[[#This Row],[Shortname]], Comp[], 26, FALSE)</f>
        <v>0</v>
      </c>
      <c r="AD651">
        <f>VLOOKUP(Table5[[#This Row],[Shortname]], Comp[], 27, FALSE)</f>
        <v>0</v>
      </c>
      <c r="AE651">
        <f>VLOOKUP(Table5[[#This Row],[Shortname]], Comp[], 28, FALSE)</f>
        <v>0</v>
      </c>
      <c r="AF651">
        <f>VLOOKUP(Table5[[#This Row],[Shortname]], Comp[], 29, FALSE)</f>
        <v>0</v>
      </c>
      <c r="AG651">
        <f>VLOOKUP(Table5[[#This Row],[Shortname]], Comp[], 30, FALSE)</f>
        <v>0</v>
      </c>
      <c r="AH651">
        <f>VLOOKUP(Table5[[#This Row],[Shortname]], Comp[], 31, FALSE)</f>
        <v>0</v>
      </c>
    </row>
    <row r="652" spans="1:34" x14ac:dyDescent="0.3">
      <c r="A652" s="12" t="s">
        <v>6163</v>
      </c>
      <c r="B652">
        <v>674</v>
      </c>
      <c r="D652" s="12" t="s">
        <v>1898</v>
      </c>
      <c r="E652" s="12" t="s">
        <v>6164</v>
      </c>
      <c r="F652" s="12">
        <v>1102</v>
      </c>
      <c r="J652" s="14">
        <f>VLOOKUP(Table5[[#This Row],[Shortname]], Comp[], 7, FALSE)</f>
        <v>50.862999999999992</v>
      </c>
      <c r="K652">
        <f>VLOOKUP(Table5[[#This Row],[Shortname]], Comp[], 8, FALSE)</f>
        <v>30.1</v>
      </c>
      <c r="L652">
        <f>VLOOKUP(Table5[[#This Row],[Shortname]], Comp[], 9, FALSE)</f>
        <v>9.1</v>
      </c>
      <c r="M652">
        <f>VLOOKUP(Table5[[#This Row],[Shortname]], Comp[], 10, FALSE)</f>
        <v>0</v>
      </c>
      <c r="N652">
        <f>VLOOKUP(Table5[[#This Row],[Shortname]], Comp[], 11, FALSE)</f>
        <v>0</v>
      </c>
      <c r="O652">
        <f>VLOOKUP(Table5[[#This Row],[Shortname]], Comp[],12, FALSE)</f>
        <v>2.2000000000000002</v>
      </c>
      <c r="P652">
        <f>VLOOKUP(Table5[[#This Row],[Shortname]], Comp[], 13, FALSE)</f>
        <v>2.5</v>
      </c>
      <c r="Q652">
        <f>VLOOKUP(Table5[[#This Row],[Shortname]], Comp[], 14, FALSE)</f>
        <v>0</v>
      </c>
      <c r="R652">
        <f>VLOOKUP(Table5[[#This Row],[Shortname]], Comp[], 15, FALSE)</f>
        <v>0</v>
      </c>
      <c r="S652">
        <f>VLOOKUP(Table5[[#This Row],[Shortname]], Comp[], 16, FALSE)</f>
        <v>5.2</v>
      </c>
      <c r="T652">
        <f>VLOOKUP(Table5[[#This Row],[Shortname]], Comp[], 17, FALSE)</f>
        <v>0</v>
      </c>
      <c r="U652">
        <f>VLOOKUP(Table5[[#This Row],[Shortname]], Comp[], 18, FALSE)</f>
        <v>0</v>
      </c>
      <c r="V652">
        <f>VLOOKUP(Table5[[#This Row],[Shortname]], Comp[], 19, FALSE)</f>
        <v>3.6999999999999998E-2</v>
      </c>
      <c r="W652">
        <f>VLOOKUP(Table5[[#This Row],[Shortname]], Comp[], 20, FALSE)</f>
        <v>0</v>
      </c>
      <c r="X652">
        <f>VLOOKUP(Table5[[#This Row],[Shortname]], Comp[], 21, FALSE)</f>
        <v>0</v>
      </c>
      <c r="Y652">
        <f>VLOOKUP(Table5[[#This Row],[Shortname]], Comp[], 22, FALSE)</f>
        <v>0</v>
      </c>
      <c r="Z652">
        <f>VLOOKUP(Table5[[#This Row],[Shortname]], Comp[], 23, FALSE)</f>
        <v>0</v>
      </c>
      <c r="AA652">
        <f>VLOOKUP(Table5[[#This Row],[Shortname]], Comp[], 24, FALSE)</f>
        <v>0</v>
      </c>
      <c r="AB652">
        <f>VLOOKUP(Table5[[#This Row],[Shortname]], Comp[], 25, FALSE)</f>
        <v>0</v>
      </c>
      <c r="AC652">
        <f>VLOOKUP(Table5[[#This Row],[Shortname]], Comp[], 26, FALSE)</f>
        <v>0</v>
      </c>
      <c r="AD652">
        <f>VLOOKUP(Table5[[#This Row],[Shortname]], Comp[], 27, FALSE)</f>
        <v>0</v>
      </c>
      <c r="AE652">
        <f>VLOOKUP(Table5[[#This Row],[Shortname]], Comp[], 28, FALSE)</f>
        <v>0</v>
      </c>
      <c r="AF652">
        <f>VLOOKUP(Table5[[#This Row],[Shortname]], Comp[], 29, FALSE)</f>
        <v>0</v>
      </c>
      <c r="AG652">
        <f>VLOOKUP(Table5[[#This Row],[Shortname]], Comp[], 30, FALSE)</f>
        <v>0</v>
      </c>
      <c r="AH652">
        <f>VLOOKUP(Table5[[#This Row],[Shortname]], Comp[], 31, FALSE)</f>
        <v>0</v>
      </c>
    </row>
    <row r="653" spans="1:34" x14ac:dyDescent="0.3">
      <c r="A653" s="12" t="s">
        <v>6166</v>
      </c>
      <c r="B653">
        <v>675</v>
      </c>
      <c r="D653" s="12" t="s">
        <v>3537</v>
      </c>
      <c r="E653" s="12" t="s">
        <v>6167</v>
      </c>
      <c r="F653" s="12">
        <v>1087</v>
      </c>
      <c r="J653" s="14">
        <f>VLOOKUP(Table5[[#This Row],[Shortname]], Comp[], 7, FALSE)</f>
        <v>48.624000000000002</v>
      </c>
      <c r="K653">
        <f>VLOOKUP(Table5[[#This Row],[Shortname]], Comp[], 8, FALSE)</f>
        <v>31.4</v>
      </c>
      <c r="L653">
        <f>VLOOKUP(Table5[[#This Row],[Shortname]], Comp[], 9, FALSE)</f>
        <v>10.199999999999999</v>
      </c>
      <c r="M653">
        <f>VLOOKUP(Table5[[#This Row],[Shortname]], Comp[], 10, FALSE)</f>
        <v>0</v>
      </c>
      <c r="N653">
        <f>VLOOKUP(Table5[[#This Row],[Shortname]], Comp[], 11, FALSE)</f>
        <v>0</v>
      </c>
      <c r="O653">
        <f>VLOOKUP(Table5[[#This Row],[Shortname]], Comp[],12, FALSE)</f>
        <v>2.1</v>
      </c>
      <c r="P653">
        <f>VLOOKUP(Table5[[#This Row],[Shortname]], Comp[], 13, FALSE)</f>
        <v>2.2000000000000002</v>
      </c>
      <c r="Q653">
        <f>VLOOKUP(Table5[[#This Row],[Shortname]], Comp[], 14, FALSE)</f>
        <v>0</v>
      </c>
      <c r="R653">
        <f>VLOOKUP(Table5[[#This Row],[Shortname]], Comp[], 15, FALSE)</f>
        <v>0</v>
      </c>
      <c r="S653">
        <f>VLOOKUP(Table5[[#This Row],[Shortname]], Comp[], 16, FALSE)</f>
        <v>5.4</v>
      </c>
      <c r="T653">
        <f>VLOOKUP(Table5[[#This Row],[Shortname]], Comp[], 17, FALSE)</f>
        <v>0</v>
      </c>
      <c r="U653">
        <f>VLOOKUP(Table5[[#This Row],[Shortname]], Comp[], 18, FALSE)</f>
        <v>0</v>
      </c>
      <c r="V653">
        <f>VLOOKUP(Table5[[#This Row],[Shortname]], Comp[], 19, FALSE)</f>
        <v>7.5999999999999998E-2</v>
      </c>
      <c r="W653">
        <f>VLOOKUP(Table5[[#This Row],[Shortname]], Comp[], 20, FALSE)</f>
        <v>0</v>
      </c>
      <c r="X653">
        <f>VLOOKUP(Table5[[#This Row],[Shortname]], Comp[], 21, FALSE)</f>
        <v>0</v>
      </c>
      <c r="Y653">
        <f>VLOOKUP(Table5[[#This Row],[Shortname]], Comp[], 22, FALSE)</f>
        <v>0</v>
      </c>
      <c r="Z653">
        <f>VLOOKUP(Table5[[#This Row],[Shortname]], Comp[], 23, FALSE)</f>
        <v>0</v>
      </c>
      <c r="AA653">
        <f>VLOOKUP(Table5[[#This Row],[Shortname]], Comp[], 24, FALSE)</f>
        <v>0</v>
      </c>
      <c r="AB653">
        <f>VLOOKUP(Table5[[#This Row],[Shortname]], Comp[], 25, FALSE)</f>
        <v>0</v>
      </c>
      <c r="AC653">
        <f>VLOOKUP(Table5[[#This Row],[Shortname]], Comp[], 26, FALSE)</f>
        <v>0</v>
      </c>
      <c r="AD653">
        <f>VLOOKUP(Table5[[#This Row],[Shortname]], Comp[], 27, FALSE)</f>
        <v>0</v>
      </c>
      <c r="AE653">
        <f>VLOOKUP(Table5[[#This Row],[Shortname]], Comp[], 28, FALSE)</f>
        <v>0</v>
      </c>
      <c r="AF653">
        <f>VLOOKUP(Table5[[#This Row],[Shortname]], Comp[], 29, FALSE)</f>
        <v>0</v>
      </c>
      <c r="AG653">
        <f>VLOOKUP(Table5[[#This Row],[Shortname]], Comp[], 30, FALSE)</f>
        <v>0</v>
      </c>
      <c r="AH653">
        <f>VLOOKUP(Table5[[#This Row],[Shortname]], Comp[], 31, FALSE)</f>
        <v>0</v>
      </c>
    </row>
    <row r="654" spans="1:34" x14ac:dyDescent="0.3">
      <c r="A654" s="12" t="s">
        <v>6171</v>
      </c>
      <c r="B654">
        <v>676</v>
      </c>
      <c r="D654" s="12" t="s">
        <v>6172</v>
      </c>
      <c r="E654" s="12" t="s">
        <v>6173</v>
      </c>
      <c r="F654" s="12">
        <v>1090</v>
      </c>
      <c r="J654" s="14">
        <f>VLOOKUP(Table5[[#This Row],[Shortname]], Comp[], 7, FALSE)</f>
        <v>51.823</v>
      </c>
      <c r="K654">
        <f>VLOOKUP(Table5[[#This Row],[Shortname]], Comp[], 8, FALSE)</f>
        <v>29.7</v>
      </c>
      <c r="L654">
        <f>VLOOKUP(Table5[[#This Row],[Shortname]], Comp[], 9, FALSE)</f>
        <v>9.5</v>
      </c>
      <c r="M654">
        <f>VLOOKUP(Table5[[#This Row],[Shortname]], Comp[], 10, FALSE)</f>
        <v>0</v>
      </c>
      <c r="N654">
        <f>VLOOKUP(Table5[[#This Row],[Shortname]], Comp[], 11, FALSE)</f>
        <v>0</v>
      </c>
      <c r="O654">
        <f>VLOOKUP(Table5[[#This Row],[Shortname]], Comp[],12, FALSE)</f>
        <v>1.8</v>
      </c>
      <c r="P654">
        <f>VLOOKUP(Table5[[#This Row],[Shortname]], Comp[], 13, FALSE)</f>
        <v>1.9</v>
      </c>
      <c r="Q654">
        <f>VLOOKUP(Table5[[#This Row],[Shortname]], Comp[], 14, FALSE)</f>
        <v>0</v>
      </c>
      <c r="R654">
        <f>VLOOKUP(Table5[[#This Row],[Shortname]], Comp[], 15, FALSE)</f>
        <v>0</v>
      </c>
      <c r="S654">
        <f>VLOOKUP(Table5[[#This Row],[Shortname]], Comp[], 16, FALSE)</f>
        <v>5.0999999999999996</v>
      </c>
      <c r="T654">
        <f>VLOOKUP(Table5[[#This Row],[Shortname]], Comp[], 17, FALSE)</f>
        <v>0</v>
      </c>
      <c r="U654">
        <f>VLOOKUP(Table5[[#This Row],[Shortname]], Comp[], 18, FALSE)</f>
        <v>0</v>
      </c>
      <c r="V654">
        <f>VLOOKUP(Table5[[#This Row],[Shortname]], Comp[], 19, FALSE)</f>
        <v>0.17699999999999999</v>
      </c>
      <c r="W654">
        <f>VLOOKUP(Table5[[#This Row],[Shortname]], Comp[], 20, FALSE)</f>
        <v>0</v>
      </c>
      <c r="X654">
        <f>VLOOKUP(Table5[[#This Row],[Shortname]], Comp[], 21, FALSE)</f>
        <v>0</v>
      </c>
      <c r="Y654">
        <f>VLOOKUP(Table5[[#This Row],[Shortname]], Comp[], 22, FALSE)</f>
        <v>0</v>
      </c>
      <c r="Z654">
        <f>VLOOKUP(Table5[[#This Row],[Shortname]], Comp[], 23, FALSE)</f>
        <v>0</v>
      </c>
      <c r="AA654">
        <f>VLOOKUP(Table5[[#This Row],[Shortname]], Comp[], 24, FALSE)</f>
        <v>0</v>
      </c>
      <c r="AB654">
        <f>VLOOKUP(Table5[[#This Row],[Shortname]], Comp[], 25, FALSE)</f>
        <v>0</v>
      </c>
      <c r="AC654">
        <f>VLOOKUP(Table5[[#This Row],[Shortname]], Comp[], 26, FALSE)</f>
        <v>0</v>
      </c>
      <c r="AD654">
        <f>VLOOKUP(Table5[[#This Row],[Shortname]], Comp[], 27, FALSE)</f>
        <v>0</v>
      </c>
      <c r="AE654">
        <f>VLOOKUP(Table5[[#This Row],[Shortname]], Comp[], 28, FALSE)</f>
        <v>0</v>
      </c>
      <c r="AF654">
        <f>VLOOKUP(Table5[[#This Row],[Shortname]], Comp[], 29, FALSE)</f>
        <v>0</v>
      </c>
      <c r="AG654">
        <f>VLOOKUP(Table5[[#This Row],[Shortname]], Comp[], 30, FALSE)</f>
        <v>0</v>
      </c>
      <c r="AH654">
        <f>VLOOKUP(Table5[[#This Row],[Shortname]], Comp[], 31, FALSE)</f>
        <v>0</v>
      </c>
    </row>
    <row r="655" spans="1:34" x14ac:dyDescent="0.3">
      <c r="A655" s="12" t="s">
        <v>6176</v>
      </c>
      <c r="B655">
        <v>677</v>
      </c>
      <c r="D655" s="12" t="s">
        <v>6177</v>
      </c>
      <c r="E655" s="12" t="s">
        <v>6178</v>
      </c>
      <c r="F655" s="12">
        <v>1087</v>
      </c>
      <c r="J655" s="14">
        <f>VLOOKUP(Table5[[#This Row],[Shortname]], Comp[], 7, FALSE)</f>
        <v>50.326999999999998</v>
      </c>
      <c r="K655">
        <f>VLOOKUP(Table5[[#This Row],[Shortname]], Comp[], 8, FALSE)</f>
        <v>30.4</v>
      </c>
      <c r="L655">
        <f>VLOOKUP(Table5[[#This Row],[Shortname]], Comp[], 9, FALSE)</f>
        <v>9.8000000000000007</v>
      </c>
      <c r="M655">
        <f>VLOOKUP(Table5[[#This Row],[Shortname]], Comp[], 10, FALSE)</f>
        <v>0</v>
      </c>
      <c r="N655">
        <f>VLOOKUP(Table5[[#This Row],[Shortname]], Comp[], 11, FALSE)</f>
        <v>0</v>
      </c>
      <c r="O655">
        <f>VLOOKUP(Table5[[#This Row],[Shortname]], Comp[],12, FALSE)</f>
        <v>2.1</v>
      </c>
      <c r="P655">
        <f>VLOOKUP(Table5[[#This Row],[Shortname]], Comp[], 13, FALSE)</f>
        <v>2.1</v>
      </c>
      <c r="Q655">
        <f>VLOOKUP(Table5[[#This Row],[Shortname]], Comp[], 14, FALSE)</f>
        <v>0</v>
      </c>
      <c r="R655">
        <f>VLOOKUP(Table5[[#This Row],[Shortname]], Comp[], 15, FALSE)</f>
        <v>0</v>
      </c>
      <c r="S655">
        <f>VLOOKUP(Table5[[#This Row],[Shortname]], Comp[], 16, FALSE)</f>
        <v>4.9000000000000004</v>
      </c>
      <c r="T655">
        <f>VLOOKUP(Table5[[#This Row],[Shortname]], Comp[], 17, FALSE)</f>
        <v>0</v>
      </c>
      <c r="U655">
        <f>VLOOKUP(Table5[[#This Row],[Shortname]], Comp[], 18, FALSE)</f>
        <v>0</v>
      </c>
      <c r="V655">
        <f>VLOOKUP(Table5[[#This Row],[Shortname]], Comp[], 19, FALSE)</f>
        <v>0.373</v>
      </c>
      <c r="W655">
        <f>VLOOKUP(Table5[[#This Row],[Shortname]], Comp[], 20, FALSE)</f>
        <v>0</v>
      </c>
      <c r="X655">
        <f>VLOOKUP(Table5[[#This Row],[Shortname]], Comp[], 21, FALSE)</f>
        <v>0</v>
      </c>
      <c r="Y655">
        <f>VLOOKUP(Table5[[#This Row],[Shortname]], Comp[], 22, FALSE)</f>
        <v>0</v>
      </c>
      <c r="Z655">
        <f>VLOOKUP(Table5[[#This Row],[Shortname]], Comp[], 23, FALSE)</f>
        <v>0</v>
      </c>
      <c r="AA655">
        <f>VLOOKUP(Table5[[#This Row],[Shortname]], Comp[], 24, FALSE)</f>
        <v>0</v>
      </c>
      <c r="AB655">
        <f>VLOOKUP(Table5[[#This Row],[Shortname]], Comp[], 25, FALSE)</f>
        <v>0</v>
      </c>
      <c r="AC655">
        <f>VLOOKUP(Table5[[#This Row],[Shortname]], Comp[], 26, FALSE)</f>
        <v>0</v>
      </c>
      <c r="AD655">
        <f>VLOOKUP(Table5[[#This Row],[Shortname]], Comp[], 27, FALSE)</f>
        <v>0</v>
      </c>
      <c r="AE655">
        <f>VLOOKUP(Table5[[#This Row],[Shortname]], Comp[], 28, FALSE)</f>
        <v>0</v>
      </c>
      <c r="AF655">
        <f>VLOOKUP(Table5[[#This Row],[Shortname]], Comp[], 29, FALSE)</f>
        <v>0</v>
      </c>
      <c r="AG655">
        <f>VLOOKUP(Table5[[#This Row],[Shortname]], Comp[], 30, FALSE)</f>
        <v>0</v>
      </c>
      <c r="AH655">
        <f>VLOOKUP(Table5[[#This Row],[Shortname]], Comp[], 31, FALSE)</f>
        <v>0</v>
      </c>
    </row>
    <row r="656" spans="1:34" x14ac:dyDescent="0.3">
      <c r="A656" s="12" t="s">
        <v>6181</v>
      </c>
      <c r="B656">
        <v>678</v>
      </c>
      <c r="D656" s="12" t="s">
        <v>6182</v>
      </c>
      <c r="E656" s="12" t="s">
        <v>6183</v>
      </c>
      <c r="F656" s="12">
        <v>1082</v>
      </c>
      <c r="J656" s="14">
        <f>VLOOKUP(Table5[[#This Row],[Shortname]], Comp[], 7, FALSE)</f>
        <v>48.018000000000001</v>
      </c>
      <c r="K656">
        <f>VLOOKUP(Table5[[#This Row],[Shortname]], Comp[], 8, FALSE)</f>
        <v>31.2</v>
      </c>
      <c r="L656">
        <f>VLOOKUP(Table5[[#This Row],[Shortname]], Comp[], 9, FALSE)</f>
        <v>10.4</v>
      </c>
      <c r="M656">
        <f>VLOOKUP(Table5[[#This Row],[Shortname]], Comp[], 10, FALSE)</f>
        <v>0</v>
      </c>
      <c r="N656">
        <f>VLOOKUP(Table5[[#This Row],[Shortname]], Comp[], 11, FALSE)</f>
        <v>0</v>
      </c>
      <c r="O656">
        <f>VLOOKUP(Table5[[#This Row],[Shortname]], Comp[],12, FALSE)</f>
        <v>2.1</v>
      </c>
      <c r="P656">
        <f>VLOOKUP(Table5[[#This Row],[Shortname]], Comp[], 13, FALSE)</f>
        <v>2.2000000000000002</v>
      </c>
      <c r="Q656">
        <f>VLOOKUP(Table5[[#This Row],[Shortname]], Comp[], 14, FALSE)</f>
        <v>0</v>
      </c>
      <c r="R656">
        <f>VLOOKUP(Table5[[#This Row],[Shortname]], Comp[], 15, FALSE)</f>
        <v>0</v>
      </c>
      <c r="S656">
        <f>VLOOKUP(Table5[[#This Row],[Shortname]], Comp[], 16, FALSE)</f>
        <v>5.3</v>
      </c>
      <c r="T656">
        <f>VLOOKUP(Table5[[#This Row],[Shortname]], Comp[], 17, FALSE)</f>
        <v>0</v>
      </c>
      <c r="U656">
        <f>VLOOKUP(Table5[[#This Row],[Shortname]], Comp[], 18, FALSE)</f>
        <v>0</v>
      </c>
      <c r="V656">
        <f>VLOOKUP(Table5[[#This Row],[Shortname]], Comp[], 19, FALSE)</f>
        <v>0.78200000000000003</v>
      </c>
      <c r="W656">
        <f>VLOOKUP(Table5[[#This Row],[Shortname]], Comp[], 20, FALSE)</f>
        <v>0</v>
      </c>
      <c r="X656">
        <f>VLOOKUP(Table5[[#This Row],[Shortname]], Comp[], 21, FALSE)</f>
        <v>0</v>
      </c>
      <c r="Y656">
        <f>VLOOKUP(Table5[[#This Row],[Shortname]], Comp[], 22, FALSE)</f>
        <v>0</v>
      </c>
      <c r="Z656">
        <f>VLOOKUP(Table5[[#This Row],[Shortname]], Comp[], 23, FALSE)</f>
        <v>0</v>
      </c>
      <c r="AA656">
        <f>VLOOKUP(Table5[[#This Row],[Shortname]], Comp[], 24, FALSE)</f>
        <v>0</v>
      </c>
      <c r="AB656">
        <f>VLOOKUP(Table5[[#This Row],[Shortname]], Comp[], 25, FALSE)</f>
        <v>0</v>
      </c>
      <c r="AC656">
        <f>VLOOKUP(Table5[[#This Row],[Shortname]], Comp[], 26, FALSE)</f>
        <v>0</v>
      </c>
      <c r="AD656">
        <f>VLOOKUP(Table5[[#This Row],[Shortname]], Comp[], 27, FALSE)</f>
        <v>0</v>
      </c>
      <c r="AE656">
        <f>VLOOKUP(Table5[[#This Row],[Shortname]], Comp[], 28, FALSE)</f>
        <v>0</v>
      </c>
      <c r="AF656">
        <f>VLOOKUP(Table5[[#This Row],[Shortname]], Comp[], 29, FALSE)</f>
        <v>0</v>
      </c>
      <c r="AG656">
        <f>VLOOKUP(Table5[[#This Row],[Shortname]], Comp[], 30, FALSE)</f>
        <v>0</v>
      </c>
      <c r="AH656">
        <f>VLOOKUP(Table5[[#This Row],[Shortname]], Comp[], 31, FALSE)</f>
        <v>0</v>
      </c>
    </row>
    <row r="657" spans="1:34" x14ac:dyDescent="0.3">
      <c r="A657" s="12" t="s">
        <v>6186</v>
      </c>
      <c r="B657">
        <v>679</v>
      </c>
      <c r="D657" s="12" t="s">
        <v>6187</v>
      </c>
      <c r="E657" s="12" t="s">
        <v>6188</v>
      </c>
      <c r="F657" s="12">
        <v>1080</v>
      </c>
      <c r="G657" s="12">
        <v>1340</v>
      </c>
      <c r="J657" s="14">
        <f>VLOOKUP(Table5[[#This Row],[Shortname]], Comp[], 7, FALSE)</f>
        <v>50.499999999999993</v>
      </c>
      <c r="K657">
        <f>VLOOKUP(Table5[[#This Row],[Shortname]], Comp[], 8, FALSE)</f>
        <v>30.1</v>
      </c>
      <c r="L657">
        <f>VLOOKUP(Table5[[#This Row],[Shortname]], Comp[], 9, FALSE)</f>
        <v>9.1</v>
      </c>
      <c r="M657">
        <f>VLOOKUP(Table5[[#This Row],[Shortname]], Comp[], 10, FALSE)</f>
        <v>0</v>
      </c>
      <c r="N657">
        <f>VLOOKUP(Table5[[#This Row],[Shortname]], Comp[], 11, FALSE)</f>
        <v>0</v>
      </c>
      <c r="O657">
        <f>VLOOKUP(Table5[[#This Row],[Shortname]], Comp[],12, FALSE)</f>
        <v>2.2000000000000002</v>
      </c>
      <c r="P657">
        <f>VLOOKUP(Table5[[#This Row],[Shortname]], Comp[], 13, FALSE)</f>
        <v>2.5</v>
      </c>
      <c r="Q657">
        <f>VLOOKUP(Table5[[#This Row],[Shortname]], Comp[], 14, FALSE)</f>
        <v>0</v>
      </c>
      <c r="R657">
        <f>VLOOKUP(Table5[[#This Row],[Shortname]], Comp[], 15, FALSE)</f>
        <v>0</v>
      </c>
      <c r="S657">
        <f>VLOOKUP(Table5[[#This Row],[Shortname]], Comp[], 16, FALSE)</f>
        <v>5.2</v>
      </c>
      <c r="T657">
        <f>VLOOKUP(Table5[[#This Row],[Shortname]], Comp[], 17, FALSE)</f>
        <v>0.4</v>
      </c>
      <c r="U657">
        <f>VLOOKUP(Table5[[#This Row],[Shortname]], Comp[], 18, FALSE)</f>
        <v>0</v>
      </c>
      <c r="V657">
        <f>VLOOKUP(Table5[[#This Row],[Shortname]], Comp[], 19, FALSE)</f>
        <v>0</v>
      </c>
      <c r="W657">
        <f>VLOOKUP(Table5[[#This Row],[Shortname]], Comp[], 20, FALSE)</f>
        <v>0</v>
      </c>
      <c r="X657">
        <f>VLOOKUP(Table5[[#This Row],[Shortname]], Comp[], 21, FALSE)</f>
        <v>0</v>
      </c>
      <c r="Y657">
        <f>VLOOKUP(Table5[[#This Row],[Shortname]], Comp[], 22, FALSE)</f>
        <v>0</v>
      </c>
      <c r="Z657">
        <f>VLOOKUP(Table5[[#This Row],[Shortname]], Comp[], 23, FALSE)</f>
        <v>0</v>
      </c>
      <c r="AA657">
        <f>VLOOKUP(Table5[[#This Row],[Shortname]], Comp[], 24, FALSE)</f>
        <v>0</v>
      </c>
      <c r="AB657">
        <f>VLOOKUP(Table5[[#This Row],[Shortname]], Comp[], 25, FALSE)</f>
        <v>0</v>
      </c>
      <c r="AC657">
        <f>VLOOKUP(Table5[[#This Row],[Shortname]], Comp[], 26, FALSE)</f>
        <v>0</v>
      </c>
      <c r="AD657">
        <f>VLOOKUP(Table5[[#This Row],[Shortname]], Comp[], 27, FALSE)</f>
        <v>0</v>
      </c>
      <c r="AE657">
        <f>VLOOKUP(Table5[[#This Row],[Shortname]], Comp[], 28, FALSE)</f>
        <v>0</v>
      </c>
      <c r="AF657">
        <f>VLOOKUP(Table5[[#This Row],[Shortname]], Comp[], 29, FALSE)</f>
        <v>0</v>
      </c>
      <c r="AG657">
        <f>VLOOKUP(Table5[[#This Row],[Shortname]], Comp[], 30, FALSE)</f>
        <v>0</v>
      </c>
      <c r="AH657">
        <f>VLOOKUP(Table5[[#This Row],[Shortname]], Comp[], 31, FALSE)</f>
        <v>0</v>
      </c>
    </row>
    <row r="658" spans="1:34" x14ac:dyDescent="0.3">
      <c r="A658" s="12" t="s">
        <v>6190</v>
      </c>
      <c r="B658">
        <v>680</v>
      </c>
      <c r="D658" s="12" t="s">
        <v>6191</v>
      </c>
      <c r="E658" s="12" t="s">
        <v>6192</v>
      </c>
      <c r="F658" s="12">
        <v>866</v>
      </c>
      <c r="G658" s="12">
        <v>1312</v>
      </c>
      <c r="H658" s="12">
        <v>1421</v>
      </c>
      <c r="J658" s="14">
        <f>VLOOKUP(Table5[[#This Row],[Shortname]], Comp[], 7, FALSE)</f>
        <v>83.05</v>
      </c>
      <c r="K658">
        <f>VLOOKUP(Table5[[#This Row],[Shortname]], Comp[], 8, FALSE)</f>
        <v>0</v>
      </c>
      <c r="L658">
        <f>VLOOKUP(Table5[[#This Row],[Shortname]], Comp[], 9, FALSE)</f>
        <v>10.1</v>
      </c>
      <c r="M658">
        <f>VLOOKUP(Table5[[#This Row],[Shortname]], Comp[], 10, FALSE)</f>
        <v>0</v>
      </c>
      <c r="N658">
        <f>VLOOKUP(Table5[[#This Row],[Shortname]], Comp[], 11, FALSE)</f>
        <v>0</v>
      </c>
      <c r="O658">
        <f>VLOOKUP(Table5[[#This Row],[Shortname]], Comp[],12, FALSE)</f>
        <v>0</v>
      </c>
      <c r="P658">
        <f>VLOOKUP(Table5[[#This Row],[Shortname]], Comp[], 13, FALSE)</f>
        <v>0</v>
      </c>
      <c r="Q658">
        <f>VLOOKUP(Table5[[#This Row],[Shortname]], Comp[], 14, FALSE)</f>
        <v>2.1</v>
      </c>
      <c r="R658">
        <f>VLOOKUP(Table5[[#This Row],[Shortname]], Comp[], 15, FALSE)</f>
        <v>0.95</v>
      </c>
      <c r="S658">
        <f>VLOOKUP(Table5[[#This Row],[Shortname]], Comp[], 16, FALSE)</f>
        <v>3.8</v>
      </c>
      <c r="T658">
        <f>VLOOKUP(Table5[[#This Row],[Shortname]], Comp[], 17, FALSE)</f>
        <v>0</v>
      </c>
      <c r="U658">
        <f>VLOOKUP(Table5[[#This Row],[Shortname]], Comp[], 18, FALSE)</f>
        <v>0</v>
      </c>
      <c r="V658">
        <f>VLOOKUP(Table5[[#This Row],[Shortname]], Comp[], 19, FALSE)</f>
        <v>0</v>
      </c>
      <c r="W658">
        <f>VLOOKUP(Table5[[#This Row],[Shortname]], Comp[], 20, FALSE)</f>
        <v>0</v>
      </c>
      <c r="X658">
        <f>VLOOKUP(Table5[[#This Row],[Shortname]], Comp[], 21, FALSE)</f>
        <v>0</v>
      </c>
      <c r="Y658">
        <f>VLOOKUP(Table5[[#This Row],[Shortname]], Comp[], 22, FALSE)</f>
        <v>0</v>
      </c>
      <c r="Z658">
        <f>VLOOKUP(Table5[[#This Row],[Shortname]], Comp[], 23, FALSE)</f>
        <v>0</v>
      </c>
      <c r="AA658">
        <f>VLOOKUP(Table5[[#This Row],[Shortname]], Comp[], 24, FALSE)</f>
        <v>0</v>
      </c>
      <c r="AB658">
        <f>VLOOKUP(Table5[[#This Row],[Shortname]], Comp[], 25, FALSE)</f>
        <v>0</v>
      </c>
      <c r="AC658">
        <f>VLOOKUP(Table5[[#This Row],[Shortname]], Comp[], 26, FALSE)</f>
        <v>0</v>
      </c>
      <c r="AD658">
        <f>VLOOKUP(Table5[[#This Row],[Shortname]], Comp[], 27, FALSE)</f>
        <v>0</v>
      </c>
      <c r="AE658">
        <f>VLOOKUP(Table5[[#This Row],[Shortname]], Comp[], 28, FALSE)</f>
        <v>0</v>
      </c>
      <c r="AF658">
        <f>VLOOKUP(Table5[[#This Row],[Shortname]], Comp[], 29, FALSE)</f>
        <v>0</v>
      </c>
      <c r="AG658">
        <f>VLOOKUP(Table5[[#This Row],[Shortname]], Comp[], 30, FALSE)</f>
        <v>0</v>
      </c>
      <c r="AH658">
        <f>VLOOKUP(Table5[[#This Row],[Shortname]], Comp[], 31, FALSE)</f>
        <v>0</v>
      </c>
    </row>
    <row r="659" spans="1:34" x14ac:dyDescent="0.3">
      <c r="A659" s="12" t="s">
        <v>6195</v>
      </c>
      <c r="B659">
        <v>681</v>
      </c>
      <c r="D659" s="12" t="s">
        <v>6196</v>
      </c>
      <c r="E659" s="12" t="s">
        <v>6197</v>
      </c>
      <c r="F659" s="12">
        <v>869</v>
      </c>
      <c r="G659" s="12">
        <v>1317</v>
      </c>
      <c r="H659" s="12">
        <v>1412</v>
      </c>
      <c r="J659" s="14">
        <f>VLOOKUP(Table5[[#This Row],[Shortname]], Comp[], 7, FALSE)</f>
        <v>83.8</v>
      </c>
      <c r="K659">
        <f>VLOOKUP(Table5[[#This Row],[Shortname]], Comp[], 8, FALSE)</f>
        <v>0</v>
      </c>
      <c r="L659">
        <f>VLOOKUP(Table5[[#This Row],[Shortname]], Comp[], 9, FALSE)</f>
        <v>9.3000000000000007</v>
      </c>
      <c r="M659">
        <f>VLOOKUP(Table5[[#This Row],[Shortname]], Comp[], 10, FALSE)</f>
        <v>0</v>
      </c>
      <c r="N659">
        <f>VLOOKUP(Table5[[#This Row],[Shortname]], Comp[], 11, FALSE)</f>
        <v>0</v>
      </c>
      <c r="O659">
        <f>VLOOKUP(Table5[[#This Row],[Shortname]], Comp[],12, FALSE)</f>
        <v>0</v>
      </c>
      <c r="P659">
        <f>VLOOKUP(Table5[[#This Row],[Shortname]], Comp[], 13, FALSE)</f>
        <v>0</v>
      </c>
      <c r="Q659">
        <f>VLOOKUP(Table5[[#This Row],[Shortname]], Comp[], 14, FALSE)</f>
        <v>1.9</v>
      </c>
      <c r="R659">
        <f>VLOOKUP(Table5[[#This Row],[Shortname]], Comp[], 15, FALSE)</f>
        <v>2.1</v>
      </c>
      <c r="S659">
        <f>VLOOKUP(Table5[[#This Row],[Shortname]], Comp[], 16, FALSE)</f>
        <v>2.9</v>
      </c>
      <c r="T659">
        <f>VLOOKUP(Table5[[#This Row],[Shortname]], Comp[], 17, FALSE)</f>
        <v>0</v>
      </c>
      <c r="U659">
        <f>VLOOKUP(Table5[[#This Row],[Shortname]], Comp[], 18, FALSE)</f>
        <v>0</v>
      </c>
      <c r="V659">
        <f>VLOOKUP(Table5[[#This Row],[Shortname]], Comp[], 19, FALSE)</f>
        <v>0</v>
      </c>
      <c r="W659">
        <f>VLOOKUP(Table5[[#This Row],[Shortname]], Comp[], 20, FALSE)</f>
        <v>0</v>
      </c>
      <c r="X659">
        <f>VLOOKUP(Table5[[#This Row],[Shortname]], Comp[], 21, FALSE)</f>
        <v>0</v>
      </c>
      <c r="Y659">
        <f>VLOOKUP(Table5[[#This Row],[Shortname]], Comp[], 22, FALSE)</f>
        <v>0</v>
      </c>
      <c r="Z659">
        <f>VLOOKUP(Table5[[#This Row],[Shortname]], Comp[], 23, FALSE)</f>
        <v>0</v>
      </c>
      <c r="AA659">
        <f>VLOOKUP(Table5[[#This Row],[Shortname]], Comp[], 24, FALSE)</f>
        <v>0</v>
      </c>
      <c r="AB659">
        <f>VLOOKUP(Table5[[#This Row],[Shortname]], Comp[], 25, FALSE)</f>
        <v>0</v>
      </c>
      <c r="AC659">
        <f>VLOOKUP(Table5[[#This Row],[Shortname]], Comp[], 26, FALSE)</f>
        <v>0</v>
      </c>
      <c r="AD659">
        <f>VLOOKUP(Table5[[#This Row],[Shortname]], Comp[], 27, FALSE)</f>
        <v>0</v>
      </c>
      <c r="AE659">
        <f>VLOOKUP(Table5[[#This Row],[Shortname]], Comp[], 28, FALSE)</f>
        <v>0</v>
      </c>
      <c r="AF659">
        <f>VLOOKUP(Table5[[#This Row],[Shortname]], Comp[], 29, FALSE)</f>
        <v>0</v>
      </c>
      <c r="AG659">
        <f>VLOOKUP(Table5[[#This Row],[Shortname]], Comp[], 30, FALSE)</f>
        <v>0</v>
      </c>
      <c r="AH659">
        <f>VLOOKUP(Table5[[#This Row],[Shortname]], Comp[], 31, FALSE)</f>
        <v>0</v>
      </c>
    </row>
    <row r="660" spans="1:34" x14ac:dyDescent="0.3">
      <c r="A660" s="12" t="s">
        <v>6199</v>
      </c>
      <c r="B660">
        <v>682</v>
      </c>
      <c r="D660" s="12" t="s">
        <v>6200</v>
      </c>
      <c r="E660" s="12" t="s">
        <v>6201</v>
      </c>
      <c r="F660" s="12">
        <v>870</v>
      </c>
      <c r="G660" s="12">
        <v>1320</v>
      </c>
      <c r="H660" s="12">
        <v>1422</v>
      </c>
      <c r="J660" s="14">
        <f>VLOOKUP(Table5[[#This Row],[Shortname]], Comp[], 7, FALSE)</f>
        <v>83.3</v>
      </c>
      <c r="K660">
        <f>VLOOKUP(Table5[[#This Row],[Shortname]], Comp[], 8, FALSE)</f>
        <v>0</v>
      </c>
      <c r="L660">
        <f>VLOOKUP(Table5[[#This Row],[Shortname]], Comp[], 9, FALSE)</f>
        <v>9.8000000000000007</v>
      </c>
      <c r="M660">
        <f>VLOOKUP(Table5[[#This Row],[Shortname]], Comp[], 10, FALSE)</f>
        <v>0</v>
      </c>
      <c r="N660">
        <f>VLOOKUP(Table5[[#This Row],[Shortname]], Comp[], 11, FALSE)</f>
        <v>0</v>
      </c>
      <c r="O660">
        <f>VLOOKUP(Table5[[#This Row],[Shortname]], Comp[],12, FALSE)</f>
        <v>0</v>
      </c>
      <c r="P660">
        <f>VLOOKUP(Table5[[#This Row],[Shortname]], Comp[], 13, FALSE)</f>
        <v>0</v>
      </c>
      <c r="Q660">
        <f>VLOOKUP(Table5[[#This Row],[Shortname]], Comp[], 14, FALSE)</f>
        <v>2</v>
      </c>
      <c r="R660">
        <f>VLOOKUP(Table5[[#This Row],[Shortname]], Comp[], 15, FALSE)</f>
        <v>2.9</v>
      </c>
      <c r="S660">
        <f>VLOOKUP(Table5[[#This Row],[Shortname]], Comp[], 16, FALSE)</f>
        <v>2</v>
      </c>
      <c r="T660">
        <f>VLOOKUP(Table5[[#This Row],[Shortname]], Comp[], 17, FALSE)</f>
        <v>0</v>
      </c>
      <c r="U660">
        <f>VLOOKUP(Table5[[#This Row],[Shortname]], Comp[], 18, FALSE)</f>
        <v>0</v>
      </c>
      <c r="V660">
        <f>VLOOKUP(Table5[[#This Row],[Shortname]], Comp[], 19, FALSE)</f>
        <v>0</v>
      </c>
      <c r="W660">
        <f>VLOOKUP(Table5[[#This Row],[Shortname]], Comp[], 20, FALSE)</f>
        <v>0</v>
      </c>
      <c r="X660">
        <f>VLOOKUP(Table5[[#This Row],[Shortname]], Comp[], 21, FALSE)</f>
        <v>0</v>
      </c>
      <c r="Y660">
        <f>VLOOKUP(Table5[[#This Row],[Shortname]], Comp[], 22, FALSE)</f>
        <v>0</v>
      </c>
      <c r="Z660">
        <f>VLOOKUP(Table5[[#This Row],[Shortname]], Comp[], 23, FALSE)</f>
        <v>0</v>
      </c>
      <c r="AA660">
        <f>VLOOKUP(Table5[[#This Row],[Shortname]], Comp[], 24, FALSE)</f>
        <v>0</v>
      </c>
      <c r="AB660">
        <f>VLOOKUP(Table5[[#This Row],[Shortname]], Comp[], 25, FALSE)</f>
        <v>0</v>
      </c>
      <c r="AC660">
        <f>VLOOKUP(Table5[[#This Row],[Shortname]], Comp[], 26, FALSE)</f>
        <v>0</v>
      </c>
      <c r="AD660">
        <f>VLOOKUP(Table5[[#This Row],[Shortname]], Comp[], 27, FALSE)</f>
        <v>0</v>
      </c>
      <c r="AE660">
        <f>VLOOKUP(Table5[[#This Row],[Shortname]], Comp[], 28, FALSE)</f>
        <v>0</v>
      </c>
      <c r="AF660">
        <f>VLOOKUP(Table5[[#This Row],[Shortname]], Comp[], 29, FALSE)</f>
        <v>0</v>
      </c>
      <c r="AG660">
        <f>VLOOKUP(Table5[[#This Row],[Shortname]], Comp[], 30, FALSE)</f>
        <v>0</v>
      </c>
      <c r="AH660">
        <f>VLOOKUP(Table5[[#This Row],[Shortname]], Comp[], 31, FALSE)</f>
        <v>0</v>
      </c>
    </row>
    <row r="661" spans="1:34" x14ac:dyDescent="0.3">
      <c r="A661" s="12" t="s">
        <v>6204</v>
      </c>
      <c r="B661">
        <v>683</v>
      </c>
      <c r="D661" s="12" t="s">
        <v>6205</v>
      </c>
      <c r="E661" s="12" t="s">
        <v>6206</v>
      </c>
      <c r="F661" s="12">
        <v>874</v>
      </c>
      <c r="G661" s="12">
        <v>1321</v>
      </c>
      <c r="H661" s="12">
        <v>1417</v>
      </c>
      <c r="J661" s="14">
        <f>VLOOKUP(Table5[[#This Row],[Shortname]], Comp[], 7, FALSE)</f>
        <v>83.4</v>
      </c>
      <c r="K661">
        <f>VLOOKUP(Table5[[#This Row],[Shortname]], Comp[], 8, FALSE)</f>
        <v>0</v>
      </c>
      <c r="L661">
        <f>VLOOKUP(Table5[[#This Row],[Shortname]], Comp[], 9, FALSE)</f>
        <v>9.6999999999999993</v>
      </c>
      <c r="M661">
        <f>VLOOKUP(Table5[[#This Row],[Shortname]], Comp[], 10, FALSE)</f>
        <v>0</v>
      </c>
      <c r="N661">
        <f>VLOOKUP(Table5[[#This Row],[Shortname]], Comp[], 11, FALSE)</f>
        <v>0</v>
      </c>
      <c r="O661">
        <f>VLOOKUP(Table5[[#This Row],[Shortname]], Comp[],12, FALSE)</f>
        <v>0</v>
      </c>
      <c r="P661">
        <f>VLOOKUP(Table5[[#This Row],[Shortname]], Comp[], 13, FALSE)</f>
        <v>0</v>
      </c>
      <c r="Q661">
        <f>VLOOKUP(Table5[[#This Row],[Shortname]], Comp[], 14, FALSE)</f>
        <v>1.9</v>
      </c>
      <c r="R661">
        <f>VLOOKUP(Table5[[#This Row],[Shortname]], Comp[], 15, FALSE)</f>
        <v>3.9</v>
      </c>
      <c r="S661">
        <f>VLOOKUP(Table5[[#This Row],[Shortname]], Comp[], 16, FALSE)</f>
        <v>1.1000000000000001</v>
      </c>
      <c r="T661">
        <f>VLOOKUP(Table5[[#This Row],[Shortname]], Comp[], 17, FALSE)</f>
        <v>0</v>
      </c>
      <c r="U661">
        <f>VLOOKUP(Table5[[#This Row],[Shortname]], Comp[], 18, FALSE)</f>
        <v>0</v>
      </c>
      <c r="V661">
        <f>VLOOKUP(Table5[[#This Row],[Shortname]], Comp[], 19, FALSE)</f>
        <v>0</v>
      </c>
      <c r="W661">
        <f>VLOOKUP(Table5[[#This Row],[Shortname]], Comp[], 20, FALSE)</f>
        <v>0</v>
      </c>
      <c r="X661">
        <f>VLOOKUP(Table5[[#This Row],[Shortname]], Comp[], 21, FALSE)</f>
        <v>0</v>
      </c>
      <c r="Y661">
        <f>VLOOKUP(Table5[[#This Row],[Shortname]], Comp[], 22, FALSE)</f>
        <v>0</v>
      </c>
      <c r="Z661">
        <f>VLOOKUP(Table5[[#This Row],[Shortname]], Comp[], 23, FALSE)</f>
        <v>0</v>
      </c>
      <c r="AA661">
        <f>VLOOKUP(Table5[[#This Row],[Shortname]], Comp[], 24, FALSE)</f>
        <v>0</v>
      </c>
      <c r="AB661">
        <f>VLOOKUP(Table5[[#This Row],[Shortname]], Comp[], 25, FALSE)</f>
        <v>0</v>
      </c>
      <c r="AC661">
        <f>VLOOKUP(Table5[[#This Row],[Shortname]], Comp[], 26, FALSE)</f>
        <v>0</v>
      </c>
      <c r="AD661">
        <f>VLOOKUP(Table5[[#This Row],[Shortname]], Comp[], 27, FALSE)</f>
        <v>0</v>
      </c>
      <c r="AE661">
        <f>VLOOKUP(Table5[[#This Row],[Shortname]], Comp[], 28, FALSE)</f>
        <v>0</v>
      </c>
      <c r="AF661">
        <f>VLOOKUP(Table5[[#This Row],[Shortname]], Comp[], 29, FALSE)</f>
        <v>0</v>
      </c>
      <c r="AG661">
        <f>VLOOKUP(Table5[[#This Row],[Shortname]], Comp[], 30, FALSE)</f>
        <v>0</v>
      </c>
      <c r="AH661">
        <f>VLOOKUP(Table5[[#This Row],[Shortname]], Comp[], 31, FALSE)</f>
        <v>0</v>
      </c>
    </row>
    <row r="662" spans="1:34" x14ac:dyDescent="0.3">
      <c r="A662" s="12" t="s">
        <v>6209</v>
      </c>
      <c r="B662">
        <v>684</v>
      </c>
      <c r="D662" s="12" t="s">
        <v>6210</v>
      </c>
      <c r="E662" s="12" t="s">
        <v>6211</v>
      </c>
      <c r="F662" s="12">
        <v>876</v>
      </c>
      <c r="G662" s="12">
        <v>1310</v>
      </c>
      <c r="H662" s="12">
        <v>1414</v>
      </c>
      <c r="J662" s="14">
        <f>VLOOKUP(Table5[[#This Row],[Shortname]], Comp[], 7, FALSE)</f>
        <v>82.9</v>
      </c>
      <c r="K662">
        <f>VLOOKUP(Table5[[#This Row],[Shortname]], Comp[], 8, FALSE)</f>
        <v>0</v>
      </c>
      <c r="L662">
        <f>VLOOKUP(Table5[[#This Row],[Shortname]], Comp[], 9, FALSE)</f>
        <v>9.8000000000000007</v>
      </c>
      <c r="M662">
        <f>VLOOKUP(Table5[[#This Row],[Shortname]], Comp[], 10, FALSE)</f>
        <v>0</v>
      </c>
      <c r="N662">
        <f>VLOOKUP(Table5[[#This Row],[Shortname]], Comp[], 11, FALSE)</f>
        <v>0</v>
      </c>
      <c r="O662">
        <f>VLOOKUP(Table5[[#This Row],[Shortname]], Comp[],12, FALSE)</f>
        <v>0</v>
      </c>
      <c r="P662">
        <f>VLOOKUP(Table5[[#This Row],[Shortname]], Comp[], 13, FALSE)</f>
        <v>0</v>
      </c>
      <c r="Q662">
        <f>VLOOKUP(Table5[[#This Row],[Shortname]], Comp[], 14, FALSE)</f>
        <v>2</v>
      </c>
      <c r="R662">
        <f>VLOOKUP(Table5[[#This Row],[Shortname]], Comp[], 15, FALSE)</f>
        <v>5.3</v>
      </c>
      <c r="S662">
        <f>VLOOKUP(Table5[[#This Row],[Shortname]], Comp[], 16, FALSE)</f>
        <v>0</v>
      </c>
      <c r="T662">
        <f>VLOOKUP(Table5[[#This Row],[Shortname]], Comp[], 17, FALSE)</f>
        <v>0</v>
      </c>
      <c r="U662">
        <f>VLOOKUP(Table5[[#This Row],[Shortname]], Comp[], 18, FALSE)</f>
        <v>0</v>
      </c>
      <c r="V662">
        <f>VLOOKUP(Table5[[#This Row],[Shortname]], Comp[], 19, FALSE)</f>
        <v>0</v>
      </c>
      <c r="W662">
        <f>VLOOKUP(Table5[[#This Row],[Shortname]], Comp[], 20, FALSE)</f>
        <v>0</v>
      </c>
      <c r="X662">
        <f>VLOOKUP(Table5[[#This Row],[Shortname]], Comp[], 21, FALSE)</f>
        <v>0</v>
      </c>
      <c r="Y662">
        <f>VLOOKUP(Table5[[#This Row],[Shortname]], Comp[], 22, FALSE)</f>
        <v>0</v>
      </c>
      <c r="Z662">
        <f>VLOOKUP(Table5[[#This Row],[Shortname]], Comp[], 23, FALSE)</f>
        <v>0</v>
      </c>
      <c r="AA662">
        <f>VLOOKUP(Table5[[#This Row],[Shortname]], Comp[], 24, FALSE)</f>
        <v>0</v>
      </c>
      <c r="AB662">
        <f>VLOOKUP(Table5[[#This Row],[Shortname]], Comp[], 25, FALSE)</f>
        <v>0</v>
      </c>
      <c r="AC662">
        <f>VLOOKUP(Table5[[#This Row],[Shortname]], Comp[], 26, FALSE)</f>
        <v>0</v>
      </c>
      <c r="AD662">
        <f>VLOOKUP(Table5[[#This Row],[Shortname]], Comp[], 27, FALSE)</f>
        <v>0</v>
      </c>
      <c r="AE662">
        <f>VLOOKUP(Table5[[#This Row],[Shortname]], Comp[], 28, FALSE)</f>
        <v>0</v>
      </c>
      <c r="AF662">
        <f>VLOOKUP(Table5[[#This Row],[Shortname]], Comp[], 29, FALSE)</f>
        <v>0</v>
      </c>
      <c r="AG662">
        <f>VLOOKUP(Table5[[#This Row],[Shortname]], Comp[], 30, FALSE)</f>
        <v>0</v>
      </c>
      <c r="AH662">
        <f>VLOOKUP(Table5[[#This Row],[Shortname]], Comp[], 31, FALSE)</f>
        <v>0</v>
      </c>
    </row>
    <row r="663" spans="1:34" x14ac:dyDescent="0.3">
      <c r="A663" s="12" t="s">
        <v>6214</v>
      </c>
      <c r="B663">
        <v>685</v>
      </c>
      <c r="D663" s="12" t="s">
        <v>6215</v>
      </c>
      <c r="E663" s="12" t="s">
        <v>6216</v>
      </c>
      <c r="F663" s="12">
        <v>1017</v>
      </c>
      <c r="J663" s="14">
        <f>VLOOKUP(Table5[[#This Row],[Shortname]], Comp[], 7, FALSE)</f>
        <v>52.900000000000006</v>
      </c>
      <c r="K663">
        <f>VLOOKUP(Table5[[#This Row],[Shortname]], Comp[], 8, FALSE)</f>
        <v>30</v>
      </c>
      <c r="L663">
        <f>VLOOKUP(Table5[[#This Row],[Shortname]], Comp[], 9, FALSE)</f>
        <v>9.8000000000000007</v>
      </c>
      <c r="M663">
        <f>VLOOKUP(Table5[[#This Row],[Shortname]], Comp[], 10, FALSE)</f>
        <v>0</v>
      </c>
      <c r="N663">
        <f>VLOOKUP(Table5[[#This Row],[Shortname]], Comp[], 11, FALSE)</f>
        <v>0</v>
      </c>
      <c r="O663">
        <f>VLOOKUP(Table5[[#This Row],[Shortname]], Comp[],12, FALSE)</f>
        <v>0</v>
      </c>
      <c r="P663">
        <f>VLOOKUP(Table5[[#This Row],[Shortname]], Comp[], 13, FALSE)</f>
        <v>0</v>
      </c>
      <c r="Q663">
        <f>VLOOKUP(Table5[[#This Row],[Shortname]], Comp[], 14, FALSE)</f>
        <v>2</v>
      </c>
      <c r="R663">
        <f>VLOOKUP(Table5[[#This Row],[Shortname]], Comp[], 15, FALSE)</f>
        <v>5.3</v>
      </c>
      <c r="S663">
        <f>VLOOKUP(Table5[[#This Row],[Shortname]], Comp[], 16, FALSE)</f>
        <v>0</v>
      </c>
      <c r="T663">
        <f>VLOOKUP(Table5[[#This Row],[Shortname]], Comp[], 17, FALSE)</f>
        <v>0</v>
      </c>
      <c r="U663">
        <f>VLOOKUP(Table5[[#This Row],[Shortname]], Comp[], 18, FALSE)</f>
        <v>0</v>
      </c>
      <c r="V663">
        <f>VLOOKUP(Table5[[#This Row],[Shortname]], Comp[], 19, FALSE)</f>
        <v>0</v>
      </c>
      <c r="W663">
        <f>VLOOKUP(Table5[[#This Row],[Shortname]], Comp[], 20, FALSE)</f>
        <v>0</v>
      </c>
      <c r="X663">
        <f>VLOOKUP(Table5[[#This Row],[Shortname]], Comp[], 21, FALSE)</f>
        <v>0</v>
      </c>
      <c r="Y663">
        <f>VLOOKUP(Table5[[#This Row],[Shortname]], Comp[], 22, FALSE)</f>
        <v>0</v>
      </c>
      <c r="Z663">
        <f>VLOOKUP(Table5[[#This Row],[Shortname]], Comp[], 23, FALSE)</f>
        <v>0</v>
      </c>
      <c r="AA663">
        <f>VLOOKUP(Table5[[#This Row],[Shortname]], Comp[], 24, FALSE)</f>
        <v>0</v>
      </c>
      <c r="AB663">
        <f>VLOOKUP(Table5[[#This Row],[Shortname]], Comp[], 25, FALSE)</f>
        <v>0</v>
      </c>
      <c r="AC663">
        <f>VLOOKUP(Table5[[#This Row],[Shortname]], Comp[], 26, FALSE)</f>
        <v>0</v>
      </c>
      <c r="AD663">
        <f>VLOOKUP(Table5[[#This Row],[Shortname]], Comp[], 27, FALSE)</f>
        <v>0</v>
      </c>
      <c r="AE663">
        <f>VLOOKUP(Table5[[#This Row],[Shortname]], Comp[], 28, FALSE)</f>
        <v>0</v>
      </c>
      <c r="AF663">
        <f>VLOOKUP(Table5[[#This Row],[Shortname]], Comp[], 29, FALSE)</f>
        <v>0</v>
      </c>
      <c r="AG663">
        <f>VLOOKUP(Table5[[#This Row],[Shortname]], Comp[], 30, FALSE)</f>
        <v>0</v>
      </c>
      <c r="AH663">
        <f>VLOOKUP(Table5[[#This Row],[Shortname]], Comp[], 31, FALSE)</f>
        <v>0</v>
      </c>
    </row>
    <row r="664" spans="1:34" x14ac:dyDescent="0.3">
      <c r="A664" s="12" t="s">
        <v>6218</v>
      </c>
      <c r="B664">
        <v>686</v>
      </c>
      <c r="D664" s="12" t="s">
        <v>6219</v>
      </c>
      <c r="E664" s="12" t="s">
        <v>6220</v>
      </c>
      <c r="F664" s="12">
        <v>1071</v>
      </c>
      <c r="J664" s="14">
        <f>VLOOKUP(Table5[[#This Row],[Shortname]], Comp[], 7, FALSE)</f>
        <v>79.599999999999994</v>
      </c>
      <c r="K664">
        <f>VLOOKUP(Table5[[#This Row],[Shortname]], Comp[], 8, FALSE)</f>
        <v>0</v>
      </c>
      <c r="L664">
        <f>VLOOKUP(Table5[[#This Row],[Shortname]], Comp[], 9, FALSE)</f>
        <v>9.8000000000000007</v>
      </c>
      <c r="M664">
        <f>VLOOKUP(Table5[[#This Row],[Shortname]], Comp[], 10, FALSE)</f>
        <v>0</v>
      </c>
      <c r="N664">
        <f>VLOOKUP(Table5[[#This Row],[Shortname]], Comp[], 11, FALSE)</f>
        <v>7.4</v>
      </c>
      <c r="O664">
        <f>VLOOKUP(Table5[[#This Row],[Shortname]], Comp[],12, FALSE)</f>
        <v>2.7</v>
      </c>
      <c r="P664">
        <f>VLOOKUP(Table5[[#This Row],[Shortname]], Comp[], 13, FALSE)</f>
        <v>0</v>
      </c>
      <c r="Q664">
        <f>VLOOKUP(Table5[[#This Row],[Shortname]], Comp[], 14, FALSE)</f>
        <v>0</v>
      </c>
      <c r="R664">
        <f>VLOOKUP(Table5[[#This Row],[Shortname]], Comp[], 15, FALSE)</f>
        <v>0</v>
      </c>
      <c r="S664">
        <f>VLOOKUP(Table5[[#This Row],[Shortname]], Comp[], 16, FALSE)</f>
        <v>0</v>
      </c>
      <c r="T664">
        <f>VLOOKUP(Table5[[#This Row],[Shortname]], Comp[], 17, FALSE)</f>
        <v>0.4</v>
      </c>
      <c r="U664">
        <f>VLOOKUP(Table5[[#This Row],[Shortname]], Comp[], 18, FALSE)</f>
        <v>0</v>
      </c>
      <c r="V664">
        <f>VLOOKUP(Table5[[#This Row],[Shortname]], Comp[], 19, FALSE)</f>
        <v>0.1</v>
      </c>
      <c r="W664">
        <f>VLOOKUP(Table5[[#This Row],[Shortname]], Comp[], 20, FALSE)</f>
        <v>0</v>
      </c>
      <c r="X664">
        <f>VLOOKUP(Table5[[#This Row],[Shortname]], Comp[], 21, FALSE)</f>
        <v>0</v>
      </c>
      <c r="Y664">
        <f>VLOOKUP(Table5[[#This Row],[Shortname]], Comp[], 22, FALSE)</f>
        <v>0</v>
      </c>
      <c r="Z664">
        <f>VLOOKUP(Table5[[#This Row],[Shortname]], Comp[], 23, FALSE)</f>
        <v>0</v>
      </c>
      <c r="AA664">
        <f>VLOOKUP(Table5[[#This Row],[Shortname]], Comp[], 24, FALSE)</f>
        <v>0</v>
      </c>
      <c r="AB664">
        <f>VLOOKUP(Table5[[#This Row],[Shortname]], Comp[], 25, FALSE)</f>
        <v>0</v>
      </c>
      <c r="AC664">
        <f>VLOOKUP(Table5[[#This Row],[Shortname]], Comp[], 26, FALSE)</f>
        <v>0</v>
      </c>
      <c r="AD664">
        <f>VLOOKUP(Table5[[#This Row],[Shortname]], Comp[], 27, FALSE)</f>
        <v>0</v>
      </c>
      <c r="AE664">
        <f>VLOOKUP(Table5[[#This Row],[Shortname]], Comp[], 28, FALSE)</f>
        <v>0</v>
      </c>
      <c r="AF664">
        <f>VLOOKUP(Table5[[#This Row],[Shortname]], Comp[], 29, FALSE)</f>
        <v>0</v>
      </c>
      <c r="AG664">
        <f>VLOOKUP(Table5[[#This Row],[Shortname]], Comp[], 30, FALSE)</f>
        <v>0</v>
      </c>
      <c r="AH664">
        <f>VLOOKUP(Table5[[#This Row],[Shortname]], Comp[], 31, FALSE)</f>
        <v>0</v>
      </c>
    </row>
    <row r="665" spans="1:34" x14ac:dyDescent="0.3">
      <c r="A665" s="12" t="s">
        <v>5411</v>
      </c>
      <c r="B665">
        <v>687</v>
      </c>
      <c r="D665" s="12" t="s">
        <v>6222</v>
      </c>
      <c r="E665" s="12" t="s">
        <v>6223</v>
      </c>
      <c r="F665" s="12">
        <v>1138</v>
      </c>
      <c r="G665" s="12">
        <v>1220</v>
      </c>
      <c r="H665" s="12">
        <v>1312</v>
      </c>
      <c r="J665" s="14">
        <f>VLOOKUP(Table5[[#This Row],[Shortname]], Comp[], 7, FALSE)</f>
        <v>88</v>
      </c>
      <c r="K665">
        <f>VLOOKUP(Table5[[#This Row],[Shortname]], Comp[], 8, FALSE)</f>
        <v>0</v>
      </c>
      <c r="L665">
        <f>VLOOKUP(Table5[[#This Row],[Shortname]], Comp[], 9, FALSE)</f>
        <v>0</v>
      </c>
      <c r="M665">
        <f>VLOOKUP(Table5[[#This Row],[Shortname]], Comp[], 10, FALSE)</f>
        <v>0</v>
      </c>
      <c r="N665">
        <f>VLOOKUP(Table5[[#This Row],[Shortname]], Comp[], 11, FALSE)</f>
        <v>0</v>
      </c>
      <c r="O665">
        <f>VLOOKUP(Table5[[#This Row],[Shortname]], Comp[],12, FALSE)</f>
        <v>12</v>
      </c>
      <c r="P665">
        <f>VLOOKUP(Table5[[#This Row],[Shortname]], Comp[], 13, FALSE)</f>
        <v>0</v>
      </c>
      <c r="Q665">
        <f>VLOOKUP(Table5[[#This Row],[Shortname]], Comp[], 14, FALSE)</f>
        <v>0</v>
      </c>
      <c r="R665">
        <f>VLOOKUP(Table5[[#This Row],[Shortname]], Comp[], 15, FALSE)</f>
        <v>0</v>
      </c>
      <c r="S665">
        <f>VLOOKUP(Table5[[#This Row],[Shortname]], Comp[], 16, FALSE)</f>
        <v>0</v>
      </c>
      <c r="T665">
        <f>VLOOKUP(Table5[[#This Row],[Shortname]], Comp[], 17, FALSE)</f>
        <v>0</v>
      </c>
      <c r="U665">
        <f>VLOOKUP(Table5[[#This Row],[Shortname]], Comp[], 18, FALSE)</f>
        <v>0</v>
      </c>
      <c r="V665">
        <f>VLOOKUP(Table5[[#This Row],[Shortname]], Comp[], 19, FALSE)</f>
        <v>0</v>
      </c>
      <c r="W665">
        <f>VLOOKUP(Table5[[#This Row],[Shortname]], Comp[], 20, FALSE)</f>
        <v>0</v>
      </c>
      <c r="X665">
        <f>VLOOKUP(Table5[[#This Row],[Shortname]], Comp[], 21, FALSE)</f>
        <v>0</v>
      </c>
      <c r="Y665">
        <f>VLOOKUP(Table5[[#This Row],[Shortname]], Comp[], 22, FALSE)</f>
        <v>0</v>
      </c>
      <c r="Z665">
        <f>VLOOKUP(Table5[[#This Row],[Shortname]], Comp[], 23, FALSE)</f>
        <v>0</v>
      </c>
      <c r="AA665">
        <f>VLOOKUP(Table5[[#This Row],[Shortname]], Comp[], 24, FALSE)</f>
        <v>0</v>
      </c>
      <c r="AB665">
        <f>VLOOKUP(Table5[[#This Row],[Shortname]], Comp[], 25, FALSE)</f>
        <v>0</v>
      </c>
      <c r="AC665">
        <f>VLOOKUP(Table5[[#This Row],[Shortname]], Comp[], 26, FALSE)</f>
        <v>0</v>
      </c>
      <c r="AD665">
        <f>VLOOKUP(Table5[[#This Row],[Shortname]], Comp[], 27, FALSE)</f>
        <v>0</v>
      </c>
      <c r="AE665">
        <f>VLOOKUP(Table5[[#This Row],[Shortname]], Comp[], 28, FALSE)</f>
        <v>0</v>
      </c>
      <c r="AF665">
        <f>VLOOKUP(Table5[[#This Row],[Shortname]], Comp[], 29, FALSE)</f>
        <v>0</v>
      </c>
      <c r="AG665">
        <f>VLOOKUP(Table5[[#This Row],[Shortname]], Comp[], 30, FALSE)</f>
        <v>0</v>
      </c>
      <c r="AH665">
        <f>VLOOKUP(Table5[[#This Row],[Shortname]], Comp[], 31, FALSE)</f>
        <v>0</v>
      </c>
    </row>
    <row r="666" spans="1:34" x14ac:dyDescent="0.3">
      <c r="A666" s="12" t="s">
        <v>6225</v>
      </c>
      <c r="B666">
        <v>688</v>
      </c>
      <c r="D666" s="12" t="s">
        <v>6226</v>
      </c>
      <c r="E666" s="12" t="s">
        <v>6223</v>
      </c>
      <c r="F666" s="12">
        <v>1112</v>
      </c>
      <c r="G666" s="12">
        <v>1252</v>
      </c>
      <c r="H666" s="12">
        <v>1361</v>
      </c>
      <c r="J666" s="14">
        <f>VLOOKUP(Table5[[#This Row],[Shortname]], Comp[], 7, FALSE)</f>
        <v>83.61</v>
      </c>
      <c r="K666">
        <f>VLOOKUP(Table5[[#This Row],[Shortname]], Comp[], 8, FALSE)</f>
        <v>0</v>
      </c>
      <c r="L666">
        <f>VLOOKUP(Table5[[#This Row],[Shortname]], Comp[], 9, FALSE)</f>
        <v>0</v>
      </c>
      <c r="M666">
        <f>VLOOKUP(Table5[[#This Row],[Shortname]], Comp[], 10, FALSE)</f>
        <v>0</v>
      </c>
      <c r="N666">
        <f>VLOOKUP(Table5[[#This Row],[Shortname]], Comp[], 11, FALSE)</f>
        <v>0</v>
      </c>
      <c r="O666">
        <f>VLOOKUP(Table5[[#This Row],[Shortname]], Comp[],12, FALSE)</f>
        <v>10.199999999999999</v>
      </c>
      <c r="P666">
        <f>VLOOKUP(Table5[[#This Row],[Shortname]], Comp[], 13, FALSE)</f>
        <v>0</v>
      </c>
      <c r="Q666">
        <f>VLOOKUP(Table5[[#This Row],[Shortname]], Comp[], 14, FALSE)</f>
        <v>0</v>
      </c>
      <c r="R666">
        <f>VLOOKUP(Table5[[#This Row],[Shortname]], Comp[], 15, FALSE)</f>
        <v>6.19</v>
      </c>
      <c r="S666">
        <f>VLOOKUP(Table5[[#This Row],[Shortname]], Comp[], 16, FALSE)</f>
        <v>0</v>
      </c>
      <c r="T666">
        <f>VLOOKUP(Table5[[#This Row],[Shortname]], Comp[], 17, FALSE)</f>
        <v>0</v>
      </c>
      <c r="U666">
        <f>VLOOKUP(Table5[[#This Row],[Shortname]], Comp[], 18, FALSE)</f>
        <v>0</v>
      </c>
      <c r="V666">
        <f>VLOOKUP(Table5[[#This Row],[Shortname]], Comp[], 19, FALSE)</f>
        <v>0</v>
      </c>
      <c r="W666">
        <f>VLOOKUP(Table5[[#This Row],[Shortname]], Comp[], 20, FALSE)</f>
        <v>0</v>
      </c>
      <c r="X666">
        <f>VLOOKUP(Table5[[#This Row],[Shortname]], Comp[], 21, FALSE)</f>
        <v>0</v>
      </c>
      <c r="Y666">
        <f>VLOOKUP(Table5[[#This Row],[Shortname]], Comp[], 22, FALSE)</f>
        <v>0</v>
      </c>
      <c r="Z666">
        <f>VLOOKUP(Table5[[#This Row],[Shortname]], Comp[], 23, FALSE)</f>
        <v>0</v>
      </c>
      <c r="AA666">
        <f>VLOOKUP(Table5[[#This Row],[Shortname]], Comp[], 24, FALSE)</f>
        <v>0</v>
      </c>
      <c r="AB666">
        <f>VLOOKUP(Table5[[#This Row],[Shortname]], Comp[], 25, FALSE)</f>
        <v>0</v>
      </c>
      <c r="AC666">
        <f>VLOOKUP(Table5[[#This Row],[Shortname]], Comp[], 26, FALSE)</f>
        <v>0</v>
      </c>
      <c r="AD666">
        <f>VLOOKUP(Table5[[#This Row],[Shortname]], Comp[], 27, FALSE)</f>
        <v>0</v>
      </c>
      <c r="AE666">
        <f>VLOOKUP(Table5[[#This Row],[Shortname]], Comp[], 28, FALSE)</f>
        <v>0</v>
      </c>
      <c r="AF666">
        <f>VLOOKUP(Table5[[#This Row],[Shortname]], Comp[], 29, FALSE)</f>
        <v>0</v>
      </c>
      <c r="AG666">
        <f>VLOOKUP(Table5[[#This Row],[Shortname]], Comp[], 30, FALSE)</f>
        <v>0</v>
      </c>
      <c r="AH666">
        <f>VLOOKUP(Table5[[#This Row],[Shortname]], Comp[], 31, FALSE)</f>
        <v>0</v>
      </c>
    </row>
    <row r="667" spans="1:34" x14ac:dyDescent="0.3">
      <c r="A667" s="12" t="s">
        <v>6230</v>
      </c>
      <c r="B667">
        <v>689</v>
      </c>
      <c r="D667" s="12" t="s">
        <v>6231</v>
      </c>
      <c r="E667" s="12" t="s">
        <v>6223</v>
      </c>
      <c r="F667" s="12">
        <v>1055</v>
      </c>
      <c r="G667" s="12">
        <v>1297</v>
      </c>
      <c r="H667" s="12">
        <v>1388</v>
      </c>
      <c r="J667" s="14">
        <f>VLOOKUP(Table5[[#This Row],[Shortname]], Comp[], 7, FALSE)</f>
        <v>82.31</v>
      </c>
      <c r="K667">
        <f>VLOOKUP(Table5[[#This Row],[Shortname]], Comp[], 8, FALSE)</f>
        <v>0</v>
      </c>
      <c r="L667">
        <f>VLOOKUP(Table5[[#This Row],[Shortname]], Comp[], 9, FALSE)</f>
        <v>0</v>
      </c>
      <c r="M667">
        <f>VLOOKUP(Table5[[#This Row],[Shortname]], Comp[], 10, FALSE)</f>
        <v>0</v>
      </c>
      <c r="N667">
        <f>VLOOKUP(Table5[[#This Row],[Shortname]], Comp[], 11, FALSE)</f>
        <v>0</v>
      </c>
      <c r="O667">
        <f>VLOOKUP(Table5[[#This Row],[Shortname]], Comp[],12, FALSE)</f>
        <v>6.28</v>
      </c>
      <c r="P667">
        <f>VLOOKUP(Table5[[#This Row],[Shortname]], Comp[], 13, FALSE)</f>
        <v>0</v>
      </c>
      <c r="Q667">
        <f>VLOOKUP(Table5[[#This Row],[Shortname]], Comp[], 14, FALSE)</f>
        <v>0</v>
      </c>
      <c r="R667">
        <f>VLOOKUP(Table5[[#This Row],[Shortname]], Comp[], 15, FALSE)</f>
        <v>11.41</v>
      </c>
      <c r="S667">
        <f>VLOOKUP(Table5[[#This Row],[Shortname]], Comp[], 16, FALSE)</f>
        <v>0</v>
      </c>
      <c r="T667">
        <f>VLOOKUP(Table5[[#This Row],[Shortname]], Comp[], 17, FALSE)</f>
        <v>0</v>
      </c>
      <c r="U667">
        <f>VLOOKUP(Table5[[#This Row],[Shortname]], Comp[], 18, FALSE)</f>
        <v>0</v>
      </c>
      <c r="V667">
        <f>VLOOKUP(Table5[[#This Row],[Shortname]], Comp[], 19, FALSE)</f>
        <v>0</v>
      </c>
      <c r="W667">
        <f>VLOOKUP(Table5[[#This Row],[Shortname]], Comp[], 20, FALSE)</f>
        <v>0</v>
      </c>
      <c r="X667">
        <f>VLOOKUP(Table5[[#This Row],[Shortname]], Comp[], 21, FALSE)</f>
        <v>0</v>
      </c>
      <c r="Y667">
        <f>VLOOKUP(Table5[[#This Row],[Shortname]], Comp[], 22, FALSE)</f>
        <v>0</v>
      </c>
      <c r="Z667">
        <f>VLOOKUP(Table5[[#This Row],[Shortname]], Comp[], 23, FALSE)</f>
        <v>0</v>
      </c>
      <c r="AA667">
        <f>VLOOKUP(Table5[[#This Row],[Shortname]], Comp[], 24, FALSE)</f>
        <v>0</v>
      </c>
      <c r="AB667">
        <f>VLOOKUP(Table5[[#This Row],[Shortname]], Comp[], 25, FALSE)</f>
        <v>0</v>
      </c>
      <c r="AC667">
        <f>VLOOKUP(Table5[[#This Row],[Shortname]], Comp[], 26, FALSE)</f>
        <v>0</v>
      </c>
      <c r="AD667">
        <f>VLOOKUP(Table5[[#This Row],[Shortname]], Comp[], 27, FALSE)</f>
        <v>0</v>
      </c>
      <c r="AE667">
        <f>VLOOKUP(Table5[[#This Row],[Shortname]], Comp[], 28, FALSE)</f>
        <v>0</v>
      </c>
      <c r="AF667">
        <f>VLOOKUP(Table5[[#This Row],[Shortname]], Comp[], 29, FALSE)</f>
        <v>0</v>
      </c>
      <c r="AG667">
        <f>VLOOKUP(Table5[[#This Row],[Shortname]], Comp[], 30, FALSE)</f>
        <v>0</v>
      </c>
      <c r="AH667">
        <f>VLOOKUP(Table5[[#This Row],[Shortname]], Comp[], 31, FALSE)</f>
        <v>0</v>
      </c>
    </row>
    <row r="668" spans="1:34" x14ac:dyDescent="0.3">
      <c r="A668" s="12" t="s">
        <v>6258</v>
      </c>
      <c r="B668">
        <v>690</v>
      </c>
      <c r="D668" s="12" t="s">
        <v>6259</v>
      </c>
      <c r="E668" s="12" t="s">
        <v>6260</v>
      </c>
      <c r="F668" s="12">
        <v>1164</v>
      </c>
      <c r="G668" s="12">
        <v>1301</v>
      </c>
      <c r="H668" s="12">
        <v>1359</v>
      </c>
      <c r="J668" s="14">
        <f>VLOOKUP(Table5[[#This Row],[Shortname]], Comp[], 7, FALSE)</f>
        <v>36.199999999999996</v>
      </c>
      <c r="K668">
        <f>VLOOKUP(Table5[[#This Row],[Shortname]], Comp[], 8, FALSE)</f>
        <v>36.1</v>
      </c>
      <c r="L668">
        <f>VLOOKUP(Table5[[#This Row],[Shortname]], Comp[], 9, FALSE)</f>
        <v>13.1</v>
      </c>
      <c r="M668">
        <f>VLOOKUP(Table5[[#This Row],[Shortname]], Comp[], 10, FALSE)</f>
        <v>7.6</v>
      </c>
      <c r="N668">
        <f>VLOOKUP(Table5[[#This Row],[Shortname]], Comp[], 11, FALSE)</f>
        <v>3</v>
      </c>
      <c r="O668">
        <f>VLOOKUP(Table5[[#This Row],[Shortname]], Comp[],12, FALSE)</f>
        <v>3.9</v>
      </c>
      <c r="P668">
        <f>VLOOKUP(Table5[[#This Row],[Shortname]], Comp[], 13, FALSE)</f>
        <v>0</v>
      </c>
      <c r="Q668">
        <f>VLOOKUP(Table5[[#This Row],[Shortname]], Comp[], 14, FALSE)</f>
        <v>0</v>
      </c>
      <c r="R668">
        <f>VLOOKUP(Table5[[#This Row],[Shortname]], Comp[], 15, FALSE)</f>
        <v>0</v>
      </c>
      <c r="S668">
        <f>VLOOKUP(Table5[[#This Row],[Shortname]], Comp[], 16, FALSE)</f>
        <v>0.1</v>
      </c>
      <c r="T668">
        <f>VLOOKUP(Table5[[#This Row],[Shortname]], Comp[], 17, FALSE)</f>
        <v>0</v>
      </c>
      <c r="U668">
        <f>VLOOKUP(Table5[[#This Row],[Shortname]], Comp[], 18, FALSE)</f>
        <v>0</v>
      </c>
      <c r="V668">
        <f>VLOOKUP(Table5[[#This Row],[Shortname]], Comp[], 19, FALSE)</f>
        <v>0</v>
      </c>
      <c r="W668">
        <f>VLOOKUP(Table5[[#This Row],[Shortname]], Comp[], 20, FALSE)</f>
        <v>0</v>
      </c>
      <c r="X668">
        <f>VLOOKUP(Table5[[#This Row],[Shortname]], Comp[], 21, FALSE)</f>
        <v>0</v>
      </c>
      <c r="Y668">
        <f>VLOOKUP(Table5[[#This Row],[Shortname]], Comp[], 22, FALSE)</f>
        <v>0</v>
      </c>
      <c r="Z668">
        <f>VLOOKUP(Table5[[#This Row],[Shortname]], Comp[], 23, FALSE)</f>
        <v>0</v>
      </c>
      <c r="AA668">
        <f>VLOOKUP(Table5[[#This Row],[Shortname]], Comp[], 24, FALSE)</f>
        <v>0</v>
      </c>
      <c r="AB668">
        <f>VLOOKUP(Table5[[#This Row],[Shortname]], Comp[], 25, FALSE)</f>
        <v>0</v>
      </c>
      <c r="AC668">
        <f>VLOOKUP(Table5[[#This Row],[Shortname]], Comp[], 26, FALSE)</f>
        <v>0</v>
      </c>
      <c r="AD668">
        <f>VLOOKUP(Table5[[#This Row],[Shortname]], Comp[], 27, FALSE)</f>
        <v>0</v>
      </c>
      <c r="AE668">
        <f>VLOOKUP(Table5[[#This Row],[Shortname]], Comp[], 28, FALSE)</f>
        <v>0</v>
      </c>
      <c r="AF668">
        <f>VLOOKUP(Table5[[#This Row],[Shortname]], Comp[], 29, FALSE)</f>
        <v>0</v>
      </c>
      <c r="AG668">
        <f>VLOOKUP(Table5[[#This Row],[Shortname]], Comp[], 30, FALSE)</f>
        <v>0</v>
      </c>
      <c r="AH668">
        <f>VLOOKUP(Table5[[#This Row],[Shortname]], Comp[], 31, FALSE)</f>
        <v>0</v>
      </c>
    </row>
    <row r="669" spans="1:34" x14ac:dyDescent="0.3">
      <c r="A669" s="12" t="s">
        <v>6264</v>
      </c>
      <c r="B669">
        <v>691</v>
      </c>
      <c r="D669" s="12" t="s">
        <v>6265</v>
      </c>
      <c r="E669" s="12" t="s">
        <v>6266</v>
      </c>
      <c r="F669" s="12">
        <v>1040</v>
      </c>
      <c r="G669" s="12">
        <v>1384</v>
      </c>
      <c r="H669" s="12">
        <v>1412</v>
      </c>
      <c r="J669" s="14">
        <f>VLOOKUP(Table5[[#This Row],[Shortname]], Comp[], 7, FALSE)</f>
        <v>36.700000000000003</v>
      </c>
      <c r="K669">
        <f>VLOOKUP(Table5[[#This Row],[Shortname]], Comp[], 8, FALSE)</f>
        <v>37.299999999999997</v>
      </c>
      <c r="L669">
        <f>VLOOKUP(Table5[[#This Row],[Shortname]], Comp[], 9, FALSE)</f>
        <v>9.6</v>
      </c>
      <c r="M669">
        <f>VLOOKUP(Table5[[#This Row],[Shortname]], Comp[], 10, FALSE)</f>
        <v>7.6</v>
      </c>
      <c r="N669">
        <f>VLOOKUP(Table5[[#This Row],[Shortname]], Comp[], 11, FALSE)</f>
        <v>2.1</v>
      </c>
      <c r="O669">
        <f>VLOOKUP(Table5[[#This Row],[Shortname]], Comp[],12, FALSE)</f>
        <v>0.8</v>
      </c>
      <c r="P669">
        <f>VLOOKUP(Table5[[#This Row],[Shortname]], Comp[], 13, FALSE)</f>
        <v>0</v>
      </c>
      <c r="Q669">
        <f>VLOOKUP(Table5[[#This Row],[Shortname]], Comp[], 14, FALSE)</f>
        <v>0</v>
      </c>
      <c r="R669">
        <f>VLOOKUP(Table5[[#This Row],[Shortname]], Comp[], 15, FALSE)</f>
        <v>0</v>
      </c>
      <c r="S669">
        <f>VLOOKUP(Table5[[#This Row],[Shortname]], Comp[], 16, FALSE)</f>
        <v>5.9</v>
      </c>
      <c r="T669">
        <f>VLOOKUP(Table5[[#This Row],[Shortname]], Comp[], 17, FALSE)</f>
        <v>0</v>
      </c>
      <c r="U669">
        <f>VLOOKUP(Table5[[#This Row],[Shortname]], Comp[], 18, FALSE)</f>
        <v>0</v>
      </c>
      <c r="V669">
        <f>VLOOKUP(Table5[[#This Row],[Shortname]], Comp[], 19, FALSE)</f>
        <v>0</v>
      </c>
      <c r="W669">
        <f>VLOOKUP(Table5[[#This Row],[Shortname]], Comp[], 20, FALSE)</f>
        <v>0</v>
      </c>
      <c r="X669">
        <f>VLOOKUP(Table5[[#This Row],[Shortname]], Comp[], 21, FALSE)</f>
        <v>0</v>
      </c>
      <c r="Y669">
        <f>VLOOKUP(Table5[[#This Row],[Shortname]], Comp[], 22, FALSE)</f>
        <v>0</v>
      </c>
      <c r="Z669">
        <f>VLOOKUP(Table5[[#This Row],[Shortname]], Comp[], 23, FALSE)</f>
        <v>0</v>
      </c>
      <c r="AA669">
        <f>VLOOKUP(Table5[[#This Row],[Shortname]], Comp[], 24, FALSE)</f>
        <v>0</v>
      </c>
      <c r="AB669">
        <f>VLOOKUP(Table5[[#This Row],[Shortname]], Comp[], 25, FALSE)</f>
        <v>0</v>
      </c>
      <c r="AC669">
        <f>VLOOKUP(Table5[[#This Row],[Shortname]], Comp[], 26, FALSE)</f>
        <v>0</v>
      </c>
      <c r="AD669">
        <f>VLOOKUP(Table5[[#This Row],[Shortname]], Comp[], 27, FALSE)</f>
        <v>0</v>
      </c>
      <c r="AE669">
        <f>VLOOKUP(Table5[[#This Row],[Shortname]], Comp[], 28, FALSE)</f>
        <v>0</v>
      </c>
      <c r="AF669">
        <f>VLOOKUP(Table5[[#This Row],[Shortname]], Comp[], 29, FALSE)</f>
        <v>0</v>
      </c>
      <c r="AG669">
        <f>VLOOKUP(Table5[[#This Row],[Shortname]], Comp[], 30, FALSE)</f>
        <v>0</v>
      </c>
      <c r="AH669">
        <f>VLOOKUP(Table5[[#This Row],[Shortname]], Comp[], 31, FALSE)</f>
        <v>0</v>
      </c>
    </row>
    <row r="670" spans="1:34" x14ac:dyDescent="0.3">
      <c r="A670" s="12" t="s">
        <v>6270</v>
      </c>
      <c r="B670">
        <v>692</v>
      </c>
      <c r="D670" s="12" t="s">
        <v>6271</v>
      </c>
      <c r="E670" s="12" t="s">
        <v>6272</v>
      </c>
      <c r="F670" s="12">
        <v>985</v>
      </c>
      <c r="G670" s="12">
        <v>1399</v>
      </c>
      <c r="H670" s="12">
        <v>1427</v>
      </c>
      <c r="J670" s="14">
        <f>VLOOKUP(Table5[[#This Row],[Shortname]], Comp[], 7, FALSE)</f>
        <v>36.5</v>
      </c>
      <c r="K670">
        <f>VLOOKUP(Table5[[#This Row],[Shortname]], Comp[], 8, FALSE)</f>
        <v>38.299999999999997</v>
      </c>
      <c r="L670">
        <f>VLOOKUP(Table5[[#This Row],[Shortname]], Comp[], 9, FALSE)</f>
        <v>8.1</v>
      </c>
      <c r="M670">
        <f>VLOOKUP(Table5[[#This Row],[Shortname]], Comp[], 10, FALSE)</f>
        <v>7.6</v>
      </c>
      <c r="N670">
        <f>VLOOKUP(Table5[[#This Row],[Shortname]], Comp[], 11, FALSE)</f>
        <v>2.6</v>
      </c>
      <c r="O670">
        <f>VLOOKUP(Table5[[#This Row],[Shortname]], Comp[],12, FALSE)</f>
        <v>0</v>
      </c>
      <c r="P670">
        <f>VLOOKUP(Table5[[#This Row],[Shortname]], Comp[], 13, FALSE)</f>
        <v>0</v>
      </c>
      <c r="Q670">
        <f>VLOOKUP(Table5[[#This Row],[Shortname]], Comp[], 14, FALSE)</f>
        <v>0</v>
      </c>
      <c r="R670">
        <f>VLOOKUP(Table5[[#This Row],[Shortname]], Comp[], 15, FALSE)</f>
        <v>0</v>
      </c>
      <c r="S670">
        <f>VLOOKUP(Table5[[#This Row],[Shortname]], Comp[], 16, FALSE)</f>
        <v>6.9</v>
      </c>
      <c r="T670">
        <f>VLOOKUP(Table5[[#This Row],[Shortname]], Comp[], 17, FALSE)</f>
        <v>0</v>
      </c>
      <c r="U670">
        <f>VLOOKUP(Table5[[#This Row],[Shortname]], Comp[], 18, FALSE)</f>
        <v>0</v>
      </c>
      <c r="V670">
        <f>VLOOKUP(Table5[[#This Row],[Shortname]], Comp[], 19, FALSE)</f>
        <v>0</v>
      </c>
      <c r="W670">
        <f>VLOOKUP(Table5[[#This Row],[Shortname]], Comp[], 20, FALSE)</f>
        <v>0</v>
      </c>
      <c r="X670">
        <f>VLOOKUP(Table5[[#This Row],[Shortname]], Comp[], 21, FALSE)</f>
        <v>0</v>
      </c>
      <c r="Y670">
        <f>VLOOKUP(Table5[[#This Row],[Shortname]], Comp[], 22, FALSE)</f>
        <v>0</v>
      </c>
      <c r="Z670">
        <f>VLOOKUP(Table5[[#This Row],[Shortname]], Comp[], 23, FALSE)</f>
        <v>0</v>
      </c>
      <c r="AA670">
        <f>VLOOKUP(Table5[[#This Row],[Shortname]], Comp[], 24, FALSE)</f>
        <v>0</v>
      </c>
      <c r="AB670">
        <f>VLOOKUP(Table5[[#This Row],[Shortname]], Comp[], 25, FALSE)</f>
        <v>0</v>
      </c>
      <c r="AC670">
        <f>VLOOKUP(Table5[[#This Row],[Shortname]], Comp[], 26, FALSE)</f>
        <v>0</v>
      </c>
      <c r="AD670">
        <f>VLOOKUP(Table5[[#This Row],[Shortname]], Comp[], 27, FALSE)</f>
        <v>0</v>
      </c>
      <c r="AE670">
        <f>VLOOKUP(Table5[[#This Row],[Shortname]], Comp[], 28, FALSE)</f>
        <v>0</v>
      </c>
      <c r="AF670">
        <f>VLOOKUP(Table5[[#This Row],[Shortname]], Comp[], 29, FALSE)</f>
        <v>0</v>
      </c>
      <c r="AG670">
        <f>VLOOKUP(Table5[[#This Row],[Shortname]], Comp[], 30, FALSE)</f>
        <v>0</v>
      </c>
      <c r="AH670">
        <f>VLOOKUP(Table5[[#This Row],[Shortname]], Comp[], 31, FALSE)</f>
        <v>0</v>
      </c>
    </row>
    <row r="671" spans="1:34" x14ac:dyDescent="0.3">
      <c r="A671" s="12" t="s">
        <v>6367</v>
      </c>
      <c r="B671">
        <v>696</v>
      </c>
      <c r="D671" s="12" t="s">
        <v>6368</v>
      </c>
      <c r="E671" s="12" t="s">
        <v>6369</v>
      </c>
      <c r="F671" s="12">
        <v>1145</v>
      </c>
      <c r="G671" s="12">
        <v>1357</v>
      </c>
      <c r="H671" s="12">
        <v>1423</v>
      </c>
      <c r="J671" s="14">
        <f>VLOOKUP(Table5[[#This Row],[Shortname]], Comp[], 7, FALSE)</f>
        <v>42.5</v>
      </c>
      <c r="K671">
        <f>VLOOKUP(Table5[[#This Row],[Shortname]], Comp[], 8, FALSE)</f>
        <v>32</v>
      </c>
      <c r="L671">
        <f>VLOOKUP(Table5[[#This Row],[Shortname]], Comp[], 9, FALSE)</f>
        <v>8</v>
      </c>
      <c r="M671">
        <f>VLOOKUP(Table5[[#This Row],[Shortname]], Comp[], 10, FALSE)</f>
        <v>8</v>
      </c>
      <c r="N671">
        <f>VLOOKUP(Table5[[#This Row],[Shortname]], Comp[], 11, FALSE)</f>
        <v>5</v>
      </c>
      <c r="O671">
        <f>VLOOKUP(Table5[[#This Row],[Shortname]], Comp[],12, FALSE)</f>
        <v>2.5</v>
      </c>
      <c r="P671">
        <f>VLOOKUP(Table5[[#This Row],[Shortname]], Comp[], 13, FALSE)</f>
        <v>1.5</v>
      </c>
      <c r="Q671">
        <f>VLOOKUP(Table5[[#This Row],[Shortname]], Comp[], 14, FALSE)</f>
        <v>0</v>
      </c>
      <c r="R671">
        <f>VLOOKUP(Table5[[#This Row],[Shortname]], Comp[], 15, FALSE)</f>
        <v>0</v>
      </c>
      <c r="S671">
        <f>VLOOKUP(Table5[[#This Row],[Shortname]], Comp[], 16, FALSE)</f>
        <v>0</v>
      </c>
      <c r="T671">
        <f>VLOOKUP(Table5[[#This Row],[Shortname]], Comp[], 17, FALSE)</f>
        <v>0</v>
      </c>
      <c r="U671">
        <f>VLOOKUP(Table5[[#This Row],[Shortname]], Comp[], 18, FALSE)</f>
        <v>0</v>
      </c>
      <c r="V671">
        <f>VLOOKUP(Table5[[#This Row],[Shortname]], Comp[], 19, FALSE)</f>
        <v>0</v>
      </c>
      <c r="W671">
        <f>VLOOKUP(Table5[[#This Row],[Shortname]], Comp[], 20, FALSE)</f>
        <v>0</v>
      </c>
      <c r="X671">
        <f>VLOOKUP(Table5[[#This Row],[Shortname]], Comp[], 21, FALSE)</f>
        <v>0</v>
      </c>
      <c r="Y671">
        <f>VLOOKUP(Table5[[#This Row],[Shortname]], Comp[], 22, FALSE)</f>
        <v>0.4</v>
      </c>
      <c r="Z671">
        <f>VLOOKUP(Table5[[#This Row],[Shortname]], Comp[], 23, FALSE)</f>
        <v>0</v>
      </c>
      <c r="AA671">
        <f>VLOOKUP(Table5[[#This Row],[Shortname]], Comp[], 24, FALSE)</f>
        <v>0</v>
      </c>
      <c r="AB671">
        <f>VLOOKUP(Table5[[#This Row],[Shortname]], Comp[], 25, FALSE)</f>
        <v>0.1</v>
      </c>
      <c r="AC671">
        <f>VLOOKUP(Table5[[#This Row],[Shortname]], Comp[], 26, FALSE)</f>
        <v>0</v>
      </c>
      <c r="AD671">
        <f>VLOOKUP(Table5[[#This Row],[Shortname]], Comp[], 27, FALSE)</f>
        <v>0</v>
      </c>
      <c r="AE671">
        <f>VLOOKUP(Table5[[#This Row],[Shortname]], Comp[], 28, FALSE)</f>
        <v>0</v>
      </c>
      <c r="AF671">
        <f>VLOOKUP(Table5[[#This Row],[Shortname]], Comp[], 29, FALSE)</f>
        <v>0</v>
      </c>
      <c r="AG671">
        <f>VLOOKUP(Table5[[#This Row],[Shortname]], Comp[], 30, FALSE)</f>
        <v>0</v>
      </c>
      <c r="AH671">
        <f>VLOOKUP(Table5[[#This Row],[Shortname]], Comp[], 31, FALSE)</f>
        <v>0</v>
      </c>
    </row>
    <row r="672" spans="1:34" x14ac:dyDescent="0.3">
      <c r="A672" s="12" t="s">
        <v>6371</v>
      </c>
      <c r="B672">
        <v>697</v>
      </c>
      <c r="D672" s="12" t="s">
        <v>6372</v>
      </c>
      <c r="E672" s="12" t="s">
        <v>6373</v>
      </c>
      <c r="F672" s="12">
        <v>1195</v>
      </c>
      <c r="G672" s="12">
        <v>1355</v>
      </c>
      <c r="H672" s="12">
        <v>1417</v>
      </c>
      <c r="J672" s="14">
        <f>VLOOKUP(Table5[[#This Row],[Shortname]], Comp[], 7, FALSE)</f>
        <v>30</v>
      </c>
      <c r="K672">
        <f>VLOOKUP(Table5[[#This Row],[Shortname]], Comp[], 8, FALSE)</f>
        <v>44.5</v>
      </c>
      <c r="L672">
        <f>VLOOKUP(Table5[[#This Row],[Shortname]], Comp[], 9, FALSE)</f>
        <v>8</v>
      </c>
      <c r="M672">
        <f>VLOOKUP(Table5[[#This Row],[Shortname]], Comp[], 10, FALSE)</f>
        <v>8</v>
      </c>
      <c r="N672">
        <f>VLOOKUP(Table5[[#This Row],[Shortname]], Comp[], 11, FALSE)</f>
        <v>5</v>
      </c>
      <c r="O672">
        <f>VLOOKUP(Table5[[#This Row],[Shortname]], Comp[],12, FALSE)</f>
        <v>2.5</v>
      </c>
      <c r="P672">
        <f>VLOOKUP(Table5[[#This Row],[Shortname]], Comp[], 13, FALSE)</f>
        <v>1.5</v>
      </c>
      <c r="Q672">
        <f>VLOOKUP(Table5[[#This Row],[Shortname]], Comp[], 14, FALSE)</f>
        <v>0</v>
      </c>
      <c r="R672">
        <f>VLOOKUP(Table5[[#This Row],[Shortname]], Comp[], 15, FALSE)</f>
        <v>0</v>
      </c>
      <c r="S672">
        <f>VLOOKUP(Table5[[#This Row],[Shortname]], Comp[], 16, FALSE)</f>
        <v>0</v>
      </c>
      <c r="T672">
        <f>VLOOKUP(Table5[[#This Row],[Shortname]], Comp[], 17, FALSE)</f>
        <v>0</v>
      </c>
      <c r="U672">
        <f>VLOOKUP(Table5[[#This Row],[Shortname]], Comp[], 18, FALSE)</f>
        <v>0</v>
      </c>
      <c r="V672">
        <f>VLOOKUP(Table5[[#This Row],[Shortname]], Comp[], 19, FALSE)</f>
        <v>0</v>
      </c>
      <c r="W672">
        <f>VLOOKUP(Table5[[#This Row],[Shortname]], Comp[], 20, FALSE)</f>
        <v>0</v>
      </c>
      <c r="X672">
        <f>VLOOKUP(Table5[[#This Row],[Shortname]], Comp[], 21, FALSE)</f>
        <v>0</v>
      </c>
      <c r="Y672">
        <f>VLOOKUP(Table5[[#This Row],[Shortname]], Comp[], 22, FALSE)</f>
        <v>0.4</v>
      </c>
      <c r="Z672">
        <f>VLOOKUP(Table5[[#This Row],[Shortname]], Comp[], 23, FALSE)</f>
        <v>0</v>
      </c>
      <c r="AA672">
        <f>VLOOKUP(Table5[[#This Row],[Shortname]], Comp[], 24, FALSE)</f>
        <v>0</v>
      </c>
      <c r="AB672">
        <f>VLOOKUP(Table5[[#This Row],[Shortname]], Comp[], 25, FALSE)</f>
        <v>0.1</v>
      </c>
      <c r="AC672">
        <f>VLOOKUP(Table5[[#This Row],[Shortname]], Comp[], 26, FALSE)</f>
        <v>0</v>
      </c>
      <c r="AD672">
        <f>VLOOKUP(Table5[[#This Row],[Shortname]], Comp[], 27, FALSE)</f>
        <v>0</v>
      </c>
      <c r="AE672">
        <f>VLOOKUP(Table5[[#This Row],[Shortname]], Comp[], 28, FALSE)</f>
        <v>0</v>
      </c>
      <c r="AF672">
        <f>VLOOKUP(Table5[[#This Row],[Shortname]], Comp[], 29, FALSE)</f>
        <v>0</v>
      </c>
      <c r="AG672">
        <f>VLOOKUP(Table5[[#This Row],[Shortname]], Comp[], 30, FALSE)</f>
        <v>0</v>
      </c>
      <c r="AH672">
        <f>VLOOKUP(Table5[[#This Row],[Shortname]], Comp[], 31, FALSE)</f>
        <v>0</v>
      </c>
    </row>
    <row r="673" spans="1:34" x14ac:dyDescent="0.3">
      <c r="A673" s="12" t="s">
        <v>6420</v>
      </c>
      <c r="B673">
        <v>698</v>
      </c>
      <c r="D673" s="12" t="s">
        <v>2772</v>
      </c>
      <c r="E673" s="12" t="s">
        <v>6421</v>
      </c>
      <c r="F673" s="12">
        <v>1050</v>
      </c>
      <c r="J673" s="14">
        <f>VLOOKUP(Table5[[#This Row],[Shortname]], Comp[], 7, FALSE)</f>
        <v>37.6</v>
      </c>
      <c r="K673">
        <f>VLOOKUP(Table5[[#This Row],[Shortname]], Comp[], 8, FALSE)</f>
        <v>33.799999999999997</v>
      </c>
      <c r="L673">
        <f>VLOOKUP(Table5[[#This Row],[Shortname]], Comp[], 9, FALSE)</f>
        <v>8.6999999999999993</v>
      </c>
      <c r="M673">
        <f>VLOOKUP(Table5[[#This Row],[Shortname]], Comp[], 10, FALSE)</f>
        <v>13.5</v>
      </c>
      <c r="N673">
        <f>VLOOKUP(Table5[[#This Row],[Shortname]], Comp[], 11, FALSE)</f>
        <v>2.1</v>
      </c>
      <c r="O673">
        <f>VLOOKUP(Table5[[#This Row],[Shortname]], Comp[],12, FALSE)</f>
        <v>1</v>
      </c>
      <c r="P673">
        <f>VLOOKUP(Table5[[#This Row],[Shortname]], Comp[], 13, FALSE)</f>
        <v>0.9</v>
      </c>
      <c r="Q673">
        <f>VLOOKUP(Table5[[#This Row],[Shortname]], Comp[], 14, FALSE)</f>
        <v>0.3</v>
      </c>
      <c r="R673">
        <f>VLOOKUP(Table5[[#This Row],[Shortname]], Comp[], 15, FALSE)</f>
        <v>0</v>
      </c>
      <c r="S673">
        <f>VLOOKUP(Table5[[#This Row],[Shortname]], Comp[], 16, FALSE)</f>
        <v>2.1</v>
      </c>
      <c r="T673">
        <f>VLOOKUP(Table5[[#This Row],[Shortname]], Comp[], 17, FALSE)</f>
        <v>0</v>
      </c>
      <c r="U673">
        <f>VLOOKUP(Table5[[#This Row],[Shortname]], Comp[], 18, FALSE)</f>
        <v>0</v>
      </c>
      <c r="V673">
        <f>VLOOKUP(Table5[[#This Row],[Shortname]], Comp[], 19, FALSE)</f>
        <v>0</v>
      </c>
      <c r="W673">
        <f>VLOOKUP(Table5[[#This Row],[Shortname]], Comp[], 20, FALSE)</f>
        <v>0</v>
      </c>
      <c r="X673">
        <f>VLOOKUP(Table5[[#This Row],[Shortname]], Comp[], 21, FALSE)</f>
        <v>0</v>
      </c>
      <c r="Y673">
        <f>VLOOKUP(Table5[[#This Row],[Shortname]], Comp[], 22, FALSE)</f>
        <v>0</v>
      </c>
      <c r="Z673">
        <f>VLOOKUP(Table5[[#This Row],[Shortname]], Comp[], 23, FALSE)</f>
        <v>0</v>
      </c>
      <c r="AA673">
        <f>VLOOKUP(Table5[[#This Row],[Shortname]], Comp[], 24, FALSE)</f>
        <v>0</v>
      </c>
      <c r="AB673">
        <f>VLOOKUP(Table5[[#This Row],[Shortname]], Comp[], 25, FALSE)</f>
        <v>0</v>
      </c>
      <c r="AC673">
        <f>VLOOKUP(Table5[[#This Row],[Shortname]], Comp[], 26, FALSE)</f>
        <v>0</v>
      </c>
      <c r="AD673">
        <f>VLOOKUP(Table5[[#This Row],[Shortname]], Comp[], 27, FALSE)</f>
        <v>0</v>
      </c>
      <c r="AE673">
        <f>VLOOKUP(Table5[[#This Row],[Shortname]], Comp[], 28, FALSE)</f>
        <v>0</v>
      </c>
      <c r="AF673">
        <f>VLOOKUP(Table5[[#This Row],[Shortname]], Comp[], 29, FALSE)</f>
        <v>0</v>
      </c>
      <c r="AG673">
        <f>VLOOKUP(Table5[[#This Row],[Shortname]], Comp[], 30, FALSE)</f>
        <v>0</v>
      </c>
      <c r="AH673">
        <f>VLOOKUP(Table5[[#This Row],[Shortname]], Comp[], 31, FALSE)</f>
        <v>0</v>
      </c>
    </row>
    <row r="674" spans="1:34" x14ac:dyDescent="0.3">
      <c r="A674" s="12" t="s">
        <v>6426</v>
      </c>
      <c r="B674">
        <v>699</v>
      </c>
      <c r="D674" s="12" t="s">
        <v>2783</v>
      </c>
      <c r="E674" s="12" t="s">
        <v>6427</v>
      </c>
      <c r="F674" s="12">
        <v>1095</v>
      </c>
      <c r="J674" s="14">
        <f>VLOOKUP(Table5[[#This Row],[Shortname]], Comp[], 7, FALSE)</f>
        <v>40.699999999999996</v>
      </c>
      <c r="K674">
        <f>VLOOKUP(Table5[[#This Row],[Shortname]], Comp[], 8, FALSE)</f>
        <v>30</v>
      </c>
      <c r="L674">
        <f>VLOOKUP(Table5[[#This Row],[Shortname]], Comp[], 9, FALSE)</f>
        <v>8.1999999999999993</v>
      </c>
      <c r="M674">
        <f>VLOOKUP(Table5[[#This Row],[Shortname]], Comp[], 10, FALSE)</f>
        <v>14.2</v>
      </c>
      <c r="N674">
        <f>VLOOKUP(Table5[[#This Row],[Shortname]], Comp[], 11, FALSE)</f>
        <v>2</v>
      </c>
      <c r="O674">
        <f>VLOOKUP(Table5[[#This Row],[Shortname]], Comp[],12, FALSE)</f>
        <v>2.7</v>
      </c>
      <c r="P674">
        <f>VLOOKUP(Table5[[#This Row],[Shortname]], Comp[], 13, FALSE)</f>
        <v>1.3</v>
      </c>
      <c r="Q674">
        <f>VLOOKUP(Table5[[#This Row],[Shortname]], Comp[], 14, FALSE)</f>
        <v>0.9</v>
      </c>
      <c r="R674">
        <f>VLOOKUP(Table5[[#This Row],[Shortname]], Comp[], 15, FALSE)</f>
        <v>0</v>
      </c>
      <c r="S674">
        <f>VLOOKUP(Table5[[#This Row],[Shortname]], Comp[], 16, FALSE)</f>
        <v>0</v>
      </c>
      <c r="T674">
        <f>VLOOKUP(Table5[[#This Row],[Shortname]], Comp[], 17, FALSE)</f>
        <v>0</v>
      </c>
      <c r="U674">
        <f>VLOOKUP(Table5[[#This Row],[Shortname]], Comp[], 18, FALSE)</f>
        <v>0</v>
      </c>
      <c r="V674">
        <f>VLOOKUP(Table5[[#This Row],[Shortname]], Comp[], 19, FALSE)</f>
        <v>0</v>
      </c>
      <c r="W674">
        <f>VLOOKUP(Table5[[#This Row],[Shortname]], Comp[], 20, FALSE)</f>
        <v>0</v>
      </c>
      <c r="X674">
        <f>VLOOKUP(Table5[[#This Row],[Shortname]], Comp[], 21, FALSE)</f>
        <v>0</v>
      </c>
      <c r="Y674">
        <f>VLOOKUP(Table5[[#This Row],[Shortname]], Comp[], 22, FALSE)</f>
        <v>0</v>
      </c>
      <c r="Z674">
        <f>VLOOKUP(Table5[[#This Row],[Shortname]], Comp[], 23, FALSE)</f>
        <v>0</v>
      </c>
      <c r="AA674">
        <f>VLOOKUP(Table5[[#This Row],[Shortname]], Comp[], 24, FALSE)</f>
        <v>0</v>
      </c>
      <c r="AB674">
        <f>VLOOKUP(Table5[[#This Row],[Shortname]], Comp[], 25, FALSE)</f>
        <v>0</v>
      </c>
      <c r="AC674">
        <f>VLOOKUP(Table5[[#This Row],[Shortname]], Comp[], 26, FALSE)</f>
        <v>0</v>
      </c>
      <c r="AD674">
        <f>VLOOKUP(Table5[[#This Row],[Shortname]], Comp[], 27, FALSE)</f>
        <v>0</v>
      </c>
      <c r="AE674">
        <f>VLOOKUP(Table5[[#This Row],[Shortname]], Comp[], 28, FALSE)</f>
        <v>0</v>
      </c>
      <c r="AF674">
        <f>VLOOKUP(Table5[[#This Row],[Shortname]], Comp[], 29, FALSE)</f>
        <v>0</v>
      </c>
      <c r="AG674">
        <f>VLOOKUP(Table5[[#This Row],[Shortname]], Comp[], 30, FALSE)</f>
        <v>0</v>
      </c>
      <c r="AH674">
        <f>VLOOKUP(Table5[[#This Row],[Shortname]], Comp[], 31, FALSE)</f>
        <v>0</v>
      </c>
    </row>
    <row r="675" spans="1:34" x14ac:dyDescent="0.3">
      <c r="A675" s="12" t="s">
        <v>6459</v>
      </c>
      <c r="B675">
        <v>700</v>
      </c>
      <c r="D675" s="12" t="s">
        <v>6460</v>
      </c>
      <c r="E675" s="12" t="s">
        <v>6461</v>
      </c>
      <c r="F675" s="12">
        <v>977</v>
      </c>
      <c r="J675" s="14">
        <f>VLOOKUP(Table5[[#This Row],[Shortname]], Comp[], 7, FALSE)</f>
        <v>72.960000000000008</v>
      </c>
      <c r="K675">
        <f>VLOOKUP(Table5[[#This Row],[Shortname]], Comp[], 8, FALSE)</f>
        <v>10</v>
      </c>
      <c r="L675">
        <f>VLOOKUP(Table5[[#This Row],[Shortname]], Comp[], 9, FALSE)</f>
        <v>5</v>
      </c>
      <c r="M675">
        <f>VLOOKUP(Table5[[#This Row],[Shortname]], Comp[], 10, FALSE)</f>
        <v>0</v>
      </c>
      <c r="N675">
        <f>VLOOKUP(Table5[[#This Row],[Shortname]], Comp[], 11, FALSE)</f>
        <v>0</v>
      </c>
      <c r="O675">
        <f>VLOOKUP(Table5[[#This Row],[Shortname]], Comp[],12, FALSE)</f>
        <v>6</v>
      </c>
      <c r="P675">
        <f>VLOOKUP(Table5[[#This Row],[Shortname]], Comp[], 13, FALSE)</f>
        <v>0</v>
      </c>
      <c r="Q675">
        <f>VLOOKUP(Table5[[#This Row],[Shortname]], Comp[], 14, FALSE)</f>
        <v>3</v>
      </c>
      <c r="R675">
        <f>VLOOKUP(Table5[[#This Row],[Shortname]], Comp[], 15, FALSE)</f>
        <v>3</v>
      </c>
      <c r="S675">
        <f>VLOOKUP(Table5[[#This Row],[Shortname]], Comp[], 16, FALSE)</f>
        <v>0</v>
      </c>
      <c r="T675">
        <f>VLOOKUP(Table5[[#This Row],[Shortname]], Comp[], 17, FALSE)</f>
        <v>0</v>
      </c>
      <c r="U675">
        <f>VLOOKUP(Table5[[#This Row],[Shortname]], Comp[], 18, FALSE)</f>
        <v>0</v>
      </c>
      <c r="V675">
        <f>VLOOKUP(Table5[[#This Row],[Shortname]], Comp[], 19, FALSE)</f>
        <v>0.04</v>
      </c>
      <c r="W675">
        <f>VLOOKUP(Table5[[#This Row],[Shortname]], Comp[], 20, FALSE)</f>
        <v>0</v>
      </c>
      <c r="X675">
        <f>VLOOKUP(Table5[[#This Row],[Shortname]], Comp[], 21, FALSE)</f>
        <v>0</v>
      </c>
      <c r="Y675">
        <f>VLOOKUP(Table5[[#This Row],[Shortname]], Comp[], 22, FALSE)</f>
        <v>0</v>
      </c>
      <c r="Z675">
        <f>VLOOKUP(Table5[[#This Row],[Shortname]], Comp[], 23, FALSE)</f>
        <v>0</v>
      </c>
      <c r="AA675">
        <f>VLOOKUP(Table5[[#This Row],[Shortname]], Comp[], 24, FALSE)</f>
        <v>0</v>
      </c>
      <c r="AB675">
        <f>VLOOKUP(Table5[[#This Row],[Shortname]], Comp[], 25, FALSE)</f>
        <v>0</v>
      </c>
      <c r="AC675">
        <f>VLOOKUP(Table5[[#This Row],[Shortname]], Comp[], 26, FALSE)</f>
        <v>0</v>
      </c>
      <c r="AD675">
        <f>VLOOKUP(Table5[[#This Row],[Shortname]], Comp[], 27, FALSE)</f>
        <v>0</v>
      </c>
      <c r="AE675">
        <f>VLOOKUP(Table5[[#This Row],[Shortname]], Comp[], 28, FALSE)</f>
        <v>0</v>
      </c>
      <c r="AF675">
        <f>VLOOKUP(Table5[[#This Row],[Shortname]], Comp[], 29, FALSE)</f>
        <v>0</v>
      </c>
      <c r="AG675">
        <f>VLOOKUP(Table5[[#This Row],[Shortname]], Comp[], 30, FALSE)</f>
        <v>0</v>
      </c>
      <c r="AH675">
        <f>VLOOKUP(Table5[[#This Row],[Shortname]], Comp[], 31, FALSE)</f>
        <v>0</v>
      </c>
    </row>
    <row r="676" spans="1:34" x14ac:dyDescent="0.3">
      <c r="A676" s="12" t="s">
        <v>6464</v>
      </c>
      <c r="B676">
        <v>701</v>
      </c>
      <c r="D676" s="12" t="s">
        <v>6465</v>
      </c>
      <c r="E676" s="12" t="s">
        <v>6466</v>
      </c>
      <c r="F676" s="12">
        <v>1008</v>
      </c>
      <c r="J676" s="14">
        <f>VLOOKUP(Table5[[#This Row],[Shortname]], Comp[], 7, FALSE)</f>
        <v>68.960000000000008</v>
      </c>
      <c r="K676">
        <f>VLOOKUP(Table5[[#This Row],[Shortname]], Comp[], 8, FALSE)</f>
        <v>10</v>
      </c>
      <c r="L676">
        <f>VLOOKUP(Table5[[#This Row],[Shortname]], Comp[], 9, FALSE)</f>
        <v>5</v>
      </c>
      <c r="M676">
        <f>VLOOKUP(Table5[[#This Row],[Shortname]], Comp[], 10, FALSE)</f>
        <v>4</v>
      </c>
      <c r="N676">
        <f>VLOOKUP(Table5[[#This Row],[Shortname]], Comp[], 11, FALSE)</f>
        <v>0</v>
      </c>
      <c r="O676">
        <f>VLOOKUP(Table5[[#This Row],[Shortname]], Comp[],12, FALSE)</f>
        <v>6</v>
      </c>
      <c r="P676">
        <f>VLOOKUP(Table5[[#This Row],[Shortname]], Comp[], 13, FALSE)</f>
        <v>0</v>
      </c>
      <c r="Q676">
        <f>VLOOKUP(Table5[[#This Row],[Shortname]], Comp[], 14, FALSE)</f>
        <v>3</v>
      </c>
      <c r="R676">
        <f>VLOOKUP(Table5[[#This Row],[Shortname]], Comp[], 15, FALSE)</f>
        <v>3</v>
      </c>
      <c r="S676">
        <f>VLOOKUP(Table5[[#This Row],[Shortname]], Comp[], 16, FALSE)</f>
        <v>0</v>
      </c>
      <c r="T676">
        <f>VLOOKUP(Table5[[#This Row],[Shortname]], Comp[], 17, FALSE)</f>
        <v>0</v>
      </c>
      <c r="U676">
        <f>VLOOKUP(Table5[[#This Row],[Shortname]], Comp[], 18, FALSE)</f>
        <v>0</v>
      </c>
      <c r="V676">
        <f>VLOOKUP(Table5[[#This Row],[Shortname]], Comp[], 19, FALSE)</f>
        <v>0.04</v>
      </c>
      <c r="W676">
        <f>VLOOKUP(Table5[[#This Row],[Shortname]], Comp[], 20, FALSE)</f>
        <v>0</v>
      </c>
      <c r="X676">
        <f>VLOOKUP(Table5[[#This Row],[Shortname]], Comp[], 21, FALSE)</f>
        <v>0</v>
      </c>
      <c r="Y676">
        <f>VLOOKUP(Table5[[#This Row],[Shortname]], Comp[], 22, FALSE)</f>
        <v>0</v>
      </c>
      <c r="Z676">
        <f>VLOOKUP(Table5[[#This Row],[Shortname]], Comp[], 23, FALSE)</f>
        <v>0</v>
      </c>
      <c r="AA676">
        <f>VLOOKUP(Table5[[#This Row],[Shortname]], Comp[], 24, FALSE)</f>
        <v>0</v>
      </c>
      <c r="AB676">
        <f>VLOOKUP(Table5[[#This Row],[Shortname]], Comp[], 25, FALSE)</f>
        <v>0</v>
      </c>
      <c r="AC676">
        <f>VLOOKUP(Table5[[#This Row],[Shortname]], Comp[], 26, FALSE)</f>
        <v>0</v>
      </c>
      <c r="AD676">
        <f>VLOOKUP(Table5[[#This Row],[Shortname]], Comp[], 27, FALSE)</f>
        <v>0</v>
      </c>
      <c r="AE676">
        <f>VLOOKUP(Table5[[#This Row],[Shortname]], Comp[], 28, FALSE)</f>
        <v>0</v>
      </c>
      <c r="AF676">
        <f>VLOOKUP(Table5[[#This Row],[Shortname]], Comp[], 29, FALSE)</f>
        <v>0</v>
      </c>
      <c r="AG676">
        <f>VLOOKUP(Table5[[#This Row],[Shortname]], Comp[], 30, FALSE)</f>
        <v>0</v>
      </c>
      <c r="AH676">
        <f>VLOOKUP(Table5[[#This Row],[Shortname]], Comp[], 31, FALSE)</f>
        <v>0</v>
      </c>
    </row>
    <row r="677" spans="1:34" x14ac:dyDescent="0.3">
      <c r="A677" s="12" t="s">
        <v>6472</v>
      </c>
      <c r="B677">
        <v>702</v>
      </c>
      <c r="D677" s="12" t="s">
        <v>6473</v>
      </c>
      <c r="E677" s="12" t="s">
        <v>6474</v>
      </c>
      <c r="F677" s="12">
        <v>953</v>
      </c>
      <c r="J677" s="14">
        <f>VLOOKUP(Table5[[#This Row],[Shortname]], Comp[], 7, FALSE)</f>
        <v>68.960000000000008</v>
      </c>
      <c r="K677">
        <f>VLOOKUP(Table5[[#This Row],[Shortname]], Comp[], 8, FALSE)</f>
        <v>10</v>
      </c>
      <c r="L677">
        <f>VLOOKUP(Table5[[#This Row],[Shortname]], Comp[], 9, FALSE)</f>
        <v>5</v>
      </c>
      <c r="M677">
        <f>VLOOKUP(Table5[[#This Row],[Shortname]], Comp[], 10, FALSE)</f>
        <v>8</v>
      </c>
      <c r="N677">
        <f>VLOOKUP(Table5[[#This Row],[Shortname]], Comp[], 11, FALSE)</f>
        <v>0</v>
      </c>
      <c r="O677">
        <f>VLOOKUP(Table5[[#This Row],[Shortname]], Comp[],12, FALSE)</f>
        <v>2</v>
      </c>
      <c r="P677">
        <f>VLOOKUP(Table5[[#This Row],[Shortname]], Comp[], 13, FALSE)</f>
        <v>0</v>
      </c>
      <c r="Q677">
        <f>VLOOKUP(Table5[[#This Row],[Shortname]], Comp[], 14, FALSE)</f>
        <v>3</v>
      </c>
      <c r="R677">
        <f>VLOOKUP(Table5[[#This Row],[Shortname]], Comp[], 15, FALSE)</f>
        <v>3</v>
      </c>
      <c r="S677">
        <f>VLOOKUP(Table5[[#This Row],[Shortname]], Comp[], 16, FALSE)</f>
        <v>0</v>
      </c>
      <c r="T677">
        <f>VLOOKUP(Table5[[#This Row],[Shortname]], Comp[], 17, FALSE)</f>
        <v>0</v>
      </c>
      <c r="U677">
        <f>VLOOKUP(Table5[[#This Row],[Shortname]], Comp[], 18, FALSE)</f>
        <v>0</v>
      </c>
      <c r="V677">
        <f>VLOOKUP(Table5[[#This Row],[Shortname]], Comp[], 19, FALSE)</f>
        <v>0.04</v>
      </c>
      <c r="W677">
        <f>VLOOKUP(Table5[[#This Row],[Shortname]], Comp[], 20, FALSE)</f>
        <v>0</v>
      </c>
      <c r="X677">
        <f>VLOOKUP(Table5[[#This Row],[Shortname]], Comp[], 21, FALSE)</f>
        <v>0</v>
      </c>
      <c r="Y677">
        <f>VLOOKUP(Table5[[#This Row],[Shortname]], Comp[], 22, FALSE)</f>
        <v>0</v>
      </c>
      <c r="Z677">
        <f>VLOOKUP(Table5[[#This Row],[Shortname]], Comp[], 23, FALSE)</f>
        <v>0</v>
      </c>
      <c r="AA677">
        <f>VLOOKUP(Table5[[#This Row],[Shortname]], Comp[], 24, FALSE)</f>
        <v>0</v>
      </c>
      <c r="AB677">
        <f>VLOOKUP(Table5[[#This Row],[Shortname]], Comp[], 25, FALSE)</f>
        <v>0</v>
      </c>
      <c r="AC677">
        <f>VLOOKUP(Table5[[#This Row],[Shortname]], Comp[], 26, FALSE)</f>
        <v>0</v>
      </c>
      <c r="AD677">
        <f>VLOOKUP(Table5[[#This Row],[Shortname]], Comp[], 27, FALSE)</f>
        <v>0</v>
      </c>
      <c r="AE677">
        <f>VLOOKUP(Table5[[#This Row],[Shortname]], Comp[], 28, FALSE)</f>
        <v>0</v>
      </c>
      <c r="AF677">
        <f>VLOOKUP(Table5[[#This Row],[Shortname]], Comp[], 29, FALSE)</f>
        <v>0</v>
      </c>
      <c r="AG677">
        <f>VLOOKUP(Table5[[#This Row],[Shortname]], Comp[], 30, FALSE)</f>
        <v>0</v>
      </c>
      <c r="AH677">
        <f>VLOOKUP(Table5[[#This Row],[Shortname]], Comp[], 31, FALSE)</f>
        <v>0</v>
      </c>
    </row>
    <row r="678" spans="1:34" x14ac:dyDescent="0.3">
      <c r="A678" s="12" t="s">
        <v>6429</v>
      </c>
      <c r="B678">
        <v>703</v>
      </c>
      <c r="D678" s="12" t="s">
        <v>6430</v>
      </c>
      <c r="E678" s="12" t="s">
        <v>6431</v>
      </c>
      <c r="F678" s="12">
        <v>1184</v>
      </c>
      <c r="G678" s="12">
        <v>1318</v>
      </c>
      <c r="H678" s="12">
        <v>1377</v>
      </c>
      <c r="J678" s="14">
        <f>VLOOKUP(Table5[[#This Row],[Shortname]], Comp[], 7, FALSE)</f>
        <v>52.410000000000004</v>
      </c>
      <c r="K678">
        <f>VLOOKUP(Table5[[#This Row],[Shortname]], Comp[], 8, FALSE)</f>
        <v>17.489999999999998</v>
      </c>
      <c r="L678">
        <f>VLOOKUP(Table5[[#This Row],[Shortname]], Comp[], 9, FALSE)</f>
        <v>5.42</v>
      </c>
      <c r="M678">
        <f>VLOOKUP(Table5[[#This Row],[Shortname]], Comp[], 10, FALSE)</f>
        <v>4.17</v>
      </c>
      <c r="N678">
        <f>VLOOKUP(Table5[[#This Row],[Shortname]], Comp[], 11, FALSE)</f>
        <v>0</v>
      </c>
      <c r="O678">
        <f>VLOOKUP(Table5[[#This Row],[Shortname]], Comp[],12, FALSE)</f>
        <v>2.0299999999999998</v>
      </c>
      <c r="P678">
        <f>VLOOKUP(Table5[[#This Row],[Shortname]], Comp[], 13, FALSE)</f>
        <v>1.52</v>
      </c>
      <c r="Q678">
        <f>VLOOKUP(Table5[[#This Row],[Shortname]], Comp[], 14, FALSE)</f>
        <v>1.44</v>
      </c>
      <c r="R678">
        <f>VLOOKUP(Table5[[#This Row],[Shortname]], Comp[], 15, FALSE)</f>
        <v>3.08</v>
      </c>
      <c r="S678">
        <f>VLOOKUP(Table5[[#This Row],[Shortname]], Comp[], 16, FALSE)</f>
        <v>0</v>
      </c>
      <c r="T678">
        <f>VLOOKUP(Table5[[#This Row],[Shortname]], Comp[], 17, FALSE)</f>
        <v>0</v>
      </c>
      <c r="U678">
        <f>VLOOKUP(Table5[[#This Row],[Shortname]], Comp[], 18, FALSE)</f>
        <v>0</v>
      </c>
      <c r="V678">
        <f>VLOOKUP(Table5[[#This Row],[Shortname]], Comp[], 19, FALSE)</f>
        <v>0.08</v>
      </c>
      <c r="W678">
        <f>VLOOKUP(Table5[[#This Row],[Shortname]], Comp[], 20, FALSE)</f>
        <v>0</v>
      </c>
      <c r="X678">
        <f>VLOOKUP(Table5[[#This Row],[Shortname]], Comp[], 21, FALSE)</f>
        <v>0</v>
      </c>
      <c r="Y678">
        <f>VLOOKUP(Table5[[#This Row],[Shortname]], Comp[], 22, FALSE)</f>
        <v>0</v>
      </c>
      <c r="Z678">
        <f>VLOOKUP(Table5[[#This Row],[Shortname]], Comp[], 23, FALSE)</f>
        <v>12.36</v>
      </c>
      <c r="AA678">
        <f>VLOOKUP(Table5[[#This Row],[Shortname]], Comp[], 24, FALSE)</f>
        <v>0</v>
      </c>
      <c r="AB678">
        <f>VLOOKUP(Table5[[#This Row],[Shortname]], Comp[], 25, FALSE)</f>
        <v>0</v>
      </c>
      <c r="AC678">
        <f>VLOOKUP(Table5[[#This Row],[Shortname]], Comp[], 26, FALSE)</f>
        <v>0</v>
      </c>
      <c r="AD678">
        <f>VLOOKUP(Table5[[#This Row],[Shortname]], Comp[], 27, FALSE)</f>
        <v>0</v>
      </c>
      <c r="AE678">
        <f>VLOOKUP(Table5[[#This Row],[Shortname]], Comp[], 28, FALSE)</f>
        <v>0</v>
      </c>
      <c r="AF678">
        <f>VLOOKUP(Table5[[#This Row],[Shortname]], Comp[], 29, FALSE)</f>
        <v>0</v>
      </c>
      <c r="AG678">
        <f>VLOOKUP(Table5[[#This Row],[Shortname]], Comp[], 30, FALSE)</f>
        <v>0</v>
      </c>
      <c r="AH678">
        <f>VLOOKUP(Table5[[#This Row],[Shortname]], Comp[], 31, FALSE)</f>
        <v>0</v>
      </c>
    </row>
    <row r="679" spans="1:34" x14ac:dyDescent="0.3">
      <c r="A679" s="12" t="s">
        <v>6435</v>
      </c>
      <c r="B679">
        <v>704</v>
      </c>
      <c r="D679" s="12" t="s">
        <v>6436</v>
      </c>
      <c r="E679" s="12" t="s">
        <v>6431</v>
      </c>
      <c r="F679" s="12">
        <v>1189</v>
      </c>
      <c r="G679" s="12">
        <v>1313</v>
      </c>
      <c r="H679" s="12">
        <v>1377</v>
      </c>
      <c r="J679" s="14">
        <f>VLOOKUP(Table5[[#This Row],[Shortname]], Comp[], 7, FALSE)</f>
        <v>52.14</v>
      </c>
      <c r="K679">
        <f>VLOOKUP(Table5[[#This Row],[Shortname]], Comp[], 8, FALSE)</f>
        <v>15.53</v>
      </c>
      <c r="L679">
        <f>VLOOKUP(Table5[[#This Row],[Shortname]], Comp[], 9, FALSE)</f>
        <v>5.63</v>
      </c>
      <c r="M679">
        <f>VLOOKUP(Table5[[#This Row],[Shortname]], Comp[], 10, FALSE)</f>
        <v>4.18</v>
      </c>
      <c r="N679">
        <f>VLOOKUP(Table5[[#This Row],[Shortname]], Comp[], 11, FALSE)</f>
        <v>0</v>
      </c>
      <c r="O679">
        <f>VLOOKUP(Table5[[#This Row],[Shortname]], Comp[],12, FALSE)</f>
        <v>2.0699999999999998</v>
      </c>
      <c r="P679">
        <f>VLOOKUP(Table5[[#This Row],[Shortname]], Comp[], 13, FALSE)</f>
        <v>1.49</v>
      </c>
      <c r="Q679">
        <f>VLOOKUP(Table5[[#This Row],[Shortname]], Comp[], 14, FALSE)</f>
        <v>1.5</v>
      </c>
      <c r="R679">
        <f>VLOOKUP(Table5[[#This Row],[Shortname]], Comp[], 15, FALSE)</f>
        <v>3.07</v>
      </c>
      <c r="S679">
        <f>VLOOKUP(Table5[[#This Row],[Shortname]], Comp[], 16, FALSE)</f>
        <v>0</v>
      </c>
      <c r="T679">
        <f>VLOOKUP(Table5[[#This Row],[Shortname]], Comp[], 17, FALSE)</f>
        <v>0</v>
      </c>
      <c r="U679">
        <f>VLOOKUP(Table5[[#This Row],[Shortname]], Comp[], 18, FALSE)</f>
        <v>0</v>
      </c>
      <c r="V679">
        <f>VLOOKUP(Table5[[#This Row],[Shortname]], Comp[], 19, FALSE)</f>
        <v>0.08</v>
      </c>
      <c r="W679">
        <f>VLOOKUP(Table5[[#This Row],[Shortname]], Comp[], 20, FALSE)</f>
        <v>0</v>
      </c>
      <c r="X679">
        <f>VLOOKUP(Table5[[#This Row],[Shortname]], Comp[], 21, FALSE)</f>
        <v>0</v>
      </c>
      <c r="Y679">
        <f>VLOOKUP(Table5[[#This Row],[Shortname]], Comp[], 22, FALSE)</f>
        <v>0</v>
      </c>
      <c r="Z679">
        <f>VLOOKUP(Table5[[#This Row],[Shortname]], Comp[], 23, FALSE)</f>
        <v>14.31</v>
      </c>
      <c r="AA679">
        <f>VLOOKUP(Table5[[#This Row],[Shortname]], Comp[], 24, FALSE)</f>
        <v>0</v>
      </c>
      <c r="AB679">
        <f>VLOOKUP(Table5[[#This Row],[Shortname]], Comp[], 25, FALSE)</f>
        <v>0</v>
      </c>
      <c r="AC679">
        <f>VLOOKUP(Table5[[#This Row],[Shortname]], Comp[], 26, FALSE)</f>
        <v>0</v>
      </c>
      <c r="AD679">
        <f>VLOOKUP(Table5[[#This Row],[Shortname]], Comp[], 27, FALSE)</f>
        <v>0</v>
      </c>
      <c r="AE679">
        <f>VLOOKUP(Table5[[#This Row],[Shortname]], Comp[], 28, FALSE)</f>
        <v>0</v>
      </c>
      <c r="AF679">
        <f>VLOOKUP(Table5[[#This Row],[Shortname]], Comp[], 29, FALSE)</f>
        <v>0</v>
      </c>
      <c r="AG679">
        <f>VLOOKUP(Table5[[#This Row],[Shortname]], Comp[], 30, FALSE)</f>
        <v>0</v>
      </c>
      <c r="AH679">
        <f>VLOOKUP(Table5[[#This Row],[Shortname]], Comp[], 31, FALSE)</f>
        <v>0</v>
      </c>
    </row>
    <row r="680" spans="1:34" x14ac:dyDescent="0.3">
      <c r="A680" s="12" t="s">
        <v>6440</v>
      </c>
      <c r="B680">
        <v>705</v>
      </c>
      <c r="D680" s="12" t="s">
        <v>6441</v>
      </c>
      <c r="E680" s="12" t="s">
        <v>6431</v>
      </c>
      <c r="F680" s="12">
        <v>1198</v>
      </c>
      <c r="G680" s="12">
        <v>1313</v>
      </c>
      <c r="H680" s="12">
        <v>1373</v>
      </c>
      <c r="J680" s="14">
        <f>VLOOKUP(Table5[[#This Row],[Shortname]], Comp[], 7, FALSE)</f>
        <v>52.13</v>
      </c>
      <c r="K680">
        <f>VLOOKUP(Table5[[#This Row],[Shortname]], Comp[], 8, FALSE)</f>
        <v>11.78</v>
      </c>
      <c r="L680">
        <f>VLOOKUP(Table5[[#This Row],[Shortname]], Comp[], 9, FALSE)</f>
        <v>5.45</v>
      </c>
      <c r="M680">
        <f>VLOOKUP(Table5[[#This Row],[Shortname]], Comp[], 10, FALSE)</f>
        <v>4.1399999999999997</v>
      </c>
      <c r="N680">
        <f>VLOOKUP(Table5[[#This Row],[Shortname]], Comp[], 11, FALSE)</f>
        <v>0</v>
      </c>
      <c r="O680">
        <f>VLOOKUP(Table5[[#This Row],[Shortname]], Comp[],12, FALSE)</f>
        <v>2.06</v>
      </c>
      <c r="P680">
        <f>VLOOKUP(Table5[[#This Row],[Shortname]], Comp[], 13, FALSE)</f>
        <v>1.52</v>
      </c>
      <c r="Q680">
        <f>VLOOKUP(Table5[[#This Row],[Shortname]], Comp[], 14, FALSE)</f>
        <v>1.51</v>
      </c>
      <c r="R680">
        <f>VLOOKUP(Table5[[#This Row],[Shortname]], Comp[], 15, FALSE)</f>
        <v>3.06</v>
      </c>
      <c r="S680">
        <f>VLOOKUP(Table5[[#This Row],[Shortname]], Comp[], 16, FALSE)</f>
        <v>0</v>
      </c>
      <c r="T680">
        <f>VLOOKUP(Table5[[#This Row],[Shortname]], Comp[], 17, FALSE)</f>
        <v>0</v>
      </c>
      <c r="U680">
        <f>VLOOKUP(Table5[[#This Row],[Shortname]], Comp[], 18, FALSE)</f>
        <v>0</v>
      </c>
      <c r="V680">
        <f>VLOOKUP(Table5[[#This Row],[Shortname]], Comp[], 19, FALSE)</f>
        <v>0.08</v>
      </c>
      <c r="W680">
        <f>VLOOKUP(Table5[[#This Row],[Shortname]], Comp[], 20, FALSE)</f>
        <v>0</v>
      </c>
      <c r="X680">
        <f>VLOOKUP(Table5[[#This Row],[Shortname]], Comp[], 21, FALSE)</f>
        <v>0</v>
      </c>
      <c r="Y680">
        <f>VLOOKUP(Table5[[#This Row],[Shortname]], Comp[], 22, FALSE)</f>
        <v>0</v>
      </c>
      <c r="Z680">
        <f>VLOOKUP(Table5[[#This Row],[Shortname]], Comp[], 23, FALSE)</f>
        <v>18.27</v>
      </c>
      <c r="AA680">
        <f>VLOOKUP(Table5[[#This Row],[Shortname]], Comp[], 24, FALSE)</f>
        <v>0</v>
      </c>
      <c r="AB680">
        <f>VLOOKUP(Table5[[#This Row],[Shortname]], Comp[], 25, FALSE)</f>
        <v>0</v>
      </c>
      <c r="AC680">
        <f>VLOOKUP(Table5[[#This Row],[Shortname]], Comp[], 26, FALSE)</f>
        <v>0</v>
      </c>
      <c r="AD680">
        <f>VLOOKUP(Table5[[#This Row],[Shortname]], Comp[], 27, FALSE)</f>
        <v>0</v>
      </c>
      <c r="AE680">
        <f>VLOOKUP(Table5[[#This Row],[Shortname]], Comp[], 28, FALSE)</f>
        <v>0</v>
      </c>
      <c r="AF680">
        <f>VLOOKUP(Table5[[#This Row],[Shortname]], Comp[], 29, FALSE)</f>
        <v>0</v>
      </c>
      <c r="AG680">
        <f>VLOOKUP(Table5[[#This Row],[Shortname]], Comp[], 30, FALSE)</f>
        <v>0</v>
      </c>
      <c r="AH680">
        <f>VLOOKUP(Table5[[#This Row],[Shortname]], Comp[], 31, FALSE)</f>
        <v>0</v>
      </c>
    </row>
    <row r="681" spans="1:34" x14ac:dyDescent="0.3">
      <c r="A681" s="12" t="s">
        <v>6445</v>
      </c>
      <c r="B681">
        <v>706</v>
      </c>
      <c r="D681" s="12" t="s">
        <v>6446</v>
      </c>
      <c r="E681" s="12" t="s">
        <v>6431</v>
      </c>
      <c r="F681" s="12">
        <v>1189</v>
      </c>
      <c r="G681" s="12">
        <v>1308</v>
      </c>
      <c r="H681" s="12">
        <v>1368</v>
      </c>
      <c r="J681" s="14">
        <f>VLOOKUP(Table5[[#This Row],[Shortname]], Comp[], 7, FALSE)</f>
        <v>48.260000000000005</v>
      </c>
      <c r="K681">
        <f>VLOOKUP(Table5[[#This Row],[Shortname]], Comp[], 8, FALSE)</f>
        <v>17.440000000000001</v>
      </c>
      <c r="L681">
        <f>VLOOKUP(Table5[[#This Row],[Shortname]], Comp[], 9, FALSE)</f>
        <v>5.44</v>
      </c>
      <c r="M681">
        <f>VLOOKUP(Table5[[#This Row],[Shortname]], Comp[], 10, FALSE)</f>
        <v>8.32</v>
      </c>
      <c r="N681">
        <f>VLOOKUP(Table5[[#This Row],[Shortname]], Comp[], 11, FALSE)</f>
        <v>0</v>
      </c>
      <c r="O681">
        <f>VLOOKUP(Table5[[#This Row],[Shortname]], Comp[],12, FALSE)</f>
        <v>2.08</v>
      </c>
      <c r="P681">
        <f>VLOOKUP(Table5[[#This Row],[Shortname]], Comp[], 13, FALSE)</f>
        <v>1.55</v>
      </c>
      <c r="Q681">
        <f>VLOOKUP(Table5[[#This Row],[Shortname]], Comp[], 14, FALSE)</f>
        <v>1.48</v>
      </c>
      <c r="R681">
        <f>VLOOKUP(Table5[[#This Row],[Shortname]], Comp[], 15, FALSE)</f>
        <v>3.11</v>
      </c>
      <c r="S681">
        <f>VLOOKUP(Table5[[#This Row],[Shortname]], Comp[], 16, FALSE)</f>
        <v>0</v>
      </c>
      <c r="T681">
        <f>VLOOKUP(Table5[[#This Row],[Shortname]], Comp[], 17, FALSE)</f>
        <v>0</v>
      </c>
      <c r="U681">
        <f>VLOOKUP(Table5[[#This Row],[Shortname]], Comp[], 18, FALSE)</f>
        <v>0</v>
      </c>
      <c r="V681">
        <f>VLOOKUP(Table5[[#This Row],[Shortname]], Comp[], 19, FALSE)</f>
        <v>0.08</v>
      </c>
      <c r="W681">
        <f>VLOOKUP(Table5[[#This Row],[Shortname]], Comp[], 20, FALSE)</f>
        <v>0</v>
      </c>
      <c r="X681">
        <f>VLOOKUP(Table5[[#This Row],[Shortname]], Comp[], 21, FALSE)</f>
        <v>0</v>
      </c>
      <c r="Y681">
        <f>VLOOKUP(Table5[[#This Row],[Shortname]], Comp[], 22, FALSE)</f>
        <v>0</v>
      </c>
      <c r="Z681">
        <f>VLOOKUP(Table5[[#This Row],[Shortname]], Comp[], 23, FALSE)</f>
        <v>12.24</v>
      </c>
      <c r="AA681">
        <f>VLOOKUP(Table5[[#This Row],[Shortname]], Comp[], 24, FALSE)</f>
        <v>0</v>
      </c>
      <c r="AB681">
        <f>VLOOKUP(Table5[[#This Row],[Shortname]], Comp[], 25, FALSE)</f>
        <v>0</v>
      </c>
      <c r="AC681">
        <f>VLOOKUP(Table5[[#This Row],[Shortname]], Comp[], 26, FALSE)</f>
        <v>0</v>
      </c>
      <c r="AD681">
        <f>VLOOKUP(Table5[[#This Row],[Shortname]], Comp[], 27, FALSE)</f>
        <v>0</v>
      </c>
      <c r="AE681">
        <f>VLOOKUP(Table5[[#This Row],[Shortname]], Comp[], 28, FALSE)</f>
        <v>0</v>
      </c>
      <c r="AF681">
        <f>VLOOKUP(Table5[[#This Row],[Shortname]], Comp[], 29, FALSE)</f>
        <v>0</v>
      </c>
      <c r="AG681">
        <f>VLOOKUP(Table5[[#This Row],[Shortname]], Comp[], 30, FALSE)</f>
        <v>0</v>
      </c>
      <c r="AH681">
        <f>VLOOKUP(Table5[[#This Row],[Shortname]], Comp[], 31, FALSE)</f>
        <v>0</v>
      </c>
    </row>
    <row r="682" spans="1:34" x14ac:dyDescent="0.3">
      <c r="A682" s="12" t="s">
        <v>6451</v>
      </c>
      <c r="B682">
        <v>707</v>
      </c>
      <c r="D682" s="12" t="s">
        <v>6452</v>
      </c>
      <c r="E682" s="12" t="s">
        <v>6431</v>
      </c>
      <c r="F682" s="12">
        <v>1193</v>
      </c>
      <c r="G682" s="12">
        <v>1310</v>
      </c>
      <c r="H682" s="12">
        <v>1366</v>
      </c>
      <c r="J682" s="14">
        <f>VLOOKUP(Table5[[#This Row],[Shortname]], Comp[], 7, FALSE)</f>
        <v>48.25</v>
      </c>
      <c r="K682">
        <f>VLOOKUP(Table5[[#This Row],[Shortname]], Comp[], 8, FALSE)</f>
        <v>15.59</v>
      </c>
      <c r="L682">
        <f>VLOOKUP(Table5[[#This Row],[Shortname]], Comp[], 9, FALSE)</f>
        <v>5.44</v>
      </c>
      <c r="M682">
        <f>VLOOKUP(Table5[[#This Row],[Shortname]], Comp[], 10, FALSE)</f>
        <v>8.2899999999999991</v>
      </c>
      <c r="N682">
        <f>VLOOKUP(Table5[[#This Row],[Shortname]], Comp[], 11, FALSE)</f>
        <v>0</v>
      </c>
      <c r="O682">
        <f>VLOOKUP(Table5[[#This Row],[Shortname]], Comp[],12, FALSE)</f>
        <v>2.0699999999999998</v>
      </c>
      <c r="P682">
        <f>VLOOKUP(Table5[[#This Row],[Shortname]], Comp[], 13, FALSE)</f>
        <v>1.51</v>
      </c>
      <c r="Q682">
        <f>VLOOKUP(Table5[[#This Row],[Shortname]], Comp[], 14, FALSE)</f>
        <v>1.45</v>
      </c>
      <c r="R682">
        <f>VLOOKUP(Table5[[#This Row],[Shortname]], Comp[], 15, FALSE)</f>
        <v>3.1</v>
      </c>
      <c r="S682">
        <f>VLOOKUP(Table5[[#This Row],[Shortname]], Comp[], 16, FALSE)</f>
        <v>0</v>
      </c>
      <c r="T682">
        <f>VLOOKUP(Table5[[#This Row],[Shortname]], Comp[], 17, FALSE)</f>
        <v>0</v>
      </c>
      <c r="U682">
        <f>VLOOKUP(Table5[[#This Row],[Shortname]], Comp[], 18, FALSE)</f>
        <v>0</v>
      </c>
      <c r="V682">
        <f>VLOOKUP(Table5[[#This Row],[Shortname]], Comp[], 19, FALSE)</f>
        <v>0.08</v>
      </c>
      <c r="W682">
        <f>VLOOKUP(Table5[[#This Row],[Shortname]], Comp[], 20, FALSE)</f>
        <v>0</v>
      </c>
      <c r="X682">
        <f>VLOOKUP(Table5[[#This Row],[Shortname]], Comp[], 21, FALSE)</f>
        <v>0</v>
      </c>
      <c r="Y682">
        <f>VLOOKUP(Table5[[#This Row],[Shortname]], Comp[], 22, FALSE)</f>
        <v>0</v>
      </c>
      <c r="Z682">
        <f>VLOOKUP(Table5[[#This Row],[Shortname]], Comp[], 23, FALSE)</f>
        <v>14.22</v>
      </c>
      <c r="AA682">
        <f>VLOOKUP(Table5[[#This Row],[Shortname]], Comp[], 24, FALSE)</f>
        <v>0</v>
      </c>
      <c r="AB682">
        <f>VLOOKUP(Table5[[#This Row],[Shortname]], Comp[], 25, FALSE)</f>
        <v>0</v>
      </c>
      <c r="AC682">
        <f>VLOOKUP(Table5[[#This Row],[Shortname]], Comp[], 26, FALSE)</f>
        <v>0</v>
      </c>
      <c r="AD682">
        <f>VLOOKUP(Table5[[#This Row],[Shortname]], Comp[], 27, FALSE)</f>
        <v>0</v>
      </c>
      <c r="AE682">
        <f>VLOOKUP(Table5[[#This Row],[Shortname]], Comp[], 28, FALSE)</f>
        <v>0</v>
      </c>
      <c r="AF682">
        <f>VLOOKUP(Table5[[#This Row],[Shortname]], Comp[], 29, FALSE)</f>
        <v>0</v>
      </c>
      <c r="AG682">
        <f>VLOOKUP(Table5[[#This Row],[Shortname]], Comp[], 30, FALSE)</f>
        <v>0</v>
      </c>
      <c r="AH682">
        <f>VLOOKUP(Table5[[#This Row],[Shortname]], Comp[], 31, FALSE)</f>
        <v>0</v>
      </c>
    </row>
    <row r="683" spans="1:34" x14ac:dyDescent="0.3">
      <c r="A683" s="12" t="s">
        <v>6456</v>
      </c>
      <c r="B683">
        <v>708</v>
      </c>
      <c r="D683" s="12" t="s">
        <v>6457</v>
      </c>
      <c r="E683" s="12" t="s">
        <v>6431</v>
      </c>
      <c r="F683" s="12">
        <v>1201</v>
      </c>
      <c r="G683" s="12">
        <v>1311</v>
      </c>
      <c r="H683" s="12">
        <v>1365</v>
      </c>
      <c r="J683" s="14">
        <f>VLOOKUP(Table5[[#This Row],[Shortname]], Comp[], 7, FALSE)</f>
        <v>48.05</v>
      </c>
      <c r="K683">
        <f>VLOOKUP(Table5[[#This Row],[Shortname]], Comp[], 8, FALSE)</f>
        <v>11.81</v>
      </c>
      <c r="L683">
        <f>VLOOKUP(Table5[[#This Row],[Shortname]], Comp[], 9, FALSE)</f>
        <v>5.49</v>
      </c>
      <c r="M683">
        <f>VLOOKUP(Table5[[#This Row],[Shortname]], Comp[], 10, FALSE)</f>
        <v>8.3000000000000007</v>
      </c>
      <c r="N683">
        <f>VLOOKUP(Table5[[#This Row],[Shortname]], Comp[], 11, FALSE)</f>
        <v>0</v>
      </c>
      <c r="O683">
        <f>VLOOKUP(Table5[[#This Row],[Shortname]], Comp[],12, FALSE)</f>
        <v>2.04</v>
      </c>
      <c r="P683">
        <f>VLOOKUP(Table5[[#This Row],[Shortname]], Comp[], 13, FALSE)</f>
        <v>1.44</v>
      </c>
      <c r="Q683">
        <f>VLOOKUP(Table5[[#This Row],[Shortname]], Comp[], 14, FALSE)</f>
        <v>1.41</v>
      </c>
      <c r="R683">
        <f>VLOOKUP(Table5[[#This Row],[Shortname]], Comp[], 15, FALSE)</f>
        <v>3.1</v>
      </c>
      <c r="S683">
        <f>VLOOKUP(Table5[[#This Row],[Shortname]], Comp[], 16, FALSE)</f>
        <v>0</v>
      </c>
      <c r="T683">
        <f>VLOOKUP(Table5[[#This Row],[Shortname]], Comp[], 17, FALSE)</f>
        <v>0</v>
      </c>
      <c r="U683">
        <f>VLOOKUP(Table5[[#This Row],[Shortname]], Comp[], 18, FALSE)</f>
        <v>0</v>
      </c>
      <c r="V683">
        <f>VLOOKUP(Table5[[#This Row],[Shortname]], Comp[], 19, FALSE)</f>
        <v>0.08</v>
      </c>
      <c r="W683">
        <f>VLOOKUP(Table5[[#This Row],[Shortname]], Comp[], 20, FALSE)</f>
        <v>0</v>
      </c>
      <c r="X683">
        <f>VLOOKUP(Table5[[#This Row],[Shortname]], Comp[], 21, FALSE)</f>
        <v>0</v>
      </c>
      <c r="Y683">
        <f>VLOOKUP(Table5[[#This Row],[Shortname]], Comp[], 22, FALSE)</f>
        <v>0</v>
      </c>
      <c r="Z683">
        <f>VLOOKUP(Table5[[#This Row],[Shortname]], Comp[], 23, FALSE)</f>
        <v>18.28</v>
      </c>
      <c r="AA683">
        <f>VLOOKUP(Table5[[#This Row],[Shortname]], Comp[], 24, FALSE)</f>
        <v>0</v>
      </c>
      <c r="AB683">
        <f>VLOOKUP(Table5[[#This Row],[Shortname]], Comp[], 25, FALSE)</f>
        <v>0</v>
      </c>
      <c r="AC683">
        <f>VLOOKUP(Table5[[#This Row],[Shortname]], Comp[], 26, FALSE)</f>
        <v>0</v>
      </c>
      <c r="AD683">
        <f>VLOOKUP(Table5[[#This Row],[Shortname]], Comp[], 27, FALSE)</f>
        <v>0</v>
      </c>
      <c r="AE683">
        <f>VLOOKUP(Table5[[#This Row],[Shortname]], Comp[], 28, FALSE)</f>
        <v>0</v>
      </c>
      <c r="AF683">
        <f>VLOOKUP(Table5[[#This Row],[Shortname]], Comp[], 29, FALSE)</f>
        <v>0</v>
      </c>
      <c r="AG683">
        <f>VLOOKUP(Table5[[#This Row],[Shortname]], Comp[], 30, FALSE)</f>
        <v>0</v>
      </c>
      <c r="AH683">
        <f>VLOOKUP(Table5[[#This Row],[Shortname]], Comp[], 31, FALSE)</f>
        <v>0</v>
      </c>
    </row>
    <row r="684" spans="1:34" x14ac:dyDescent="0.3">
      <c r="A684" s="12" t="s">
        <v>6476</v>
      </c>
      <c r="B684">
        <v>709</v>
      </c>
      <c r="D684" s="12" t="s">
        <v>6477</v>
      </c>
      <c r="E684" s="12" t="s">
        <v>6478</v>
      </c>
      <c r="F684" s="12">
        <v>970</v>
      </c>
      <c r="G684" s="12">
        <v>1387</v>
      </c>
      <c r="H684" s="12">
        <v>1425</v>
      </c>
      <c r="J684" s="14">
        <f>VLOOKUP(Table5[[#This Row],[Shortname]], Comp[], 7, FALSE)</f>
        <v>73.03</v>
      </c>
      <c r="K684">
        <f>VLOOKUP(Table5[[#This Row],[Shortname]], Comp[], 8, FALSE)</f>
        <v>9.74</v>
      </c>
      <c r="L684">
        <f>VLOOKUP(Table5[[#This Row],[Shortname]], Comp[], 9, FALSE)</f>
        <v>4.9800000000000004</v>
      </c>
      <c r="M684">
        <f>VLOOKUP(Table5[[#This Row],[Shortname]], Comp[], 10, FALSE)</f>
        <v>4.1500000000000004</v>
      </c>
      <c r="N684">
        <f>VLOOKUP(Table5[[#This Row],[Shortname]], Comp[], 11, FALSE)</f>
        <v>0</v>
      </c>
      <c r="O684">
        <f>VLOOKUP(Table5[[#This Row],[Shortname]], Comp[],12, FALSE)</f>
        <v>2.04</v>
      </c>
      <c r="P684">
        <f>VLOOKUP(Table5[[#This Row],[Shortname]], Comp[], 13, FALSE)</f>
        <v>1.59</v>
      </c>
      <c r="Q684">
        <f>VLOOKUP(Table5[[#This Row],[Shortname]], Comp[], 14, FALSE)</f>
        <v>1.37</v>
      </c>
      <c r="R684">
        <f>VLOOKUP(Table5[[#This Row],[Shortname]], Comp[], 15, FALSE)</f>
        <v>3.02</v>
      </c>
      <c r="S684">
        <f>VLOOKUP(Table5[[#This Row],[Shortname]], Comp[], 16, FALSE)</f>
        <v>0</v>
      </c>
      <c r="T684">
        <f>VLOOKUP(Table5[[#This Row],[Shortname]], Comp[], 17, FALSE)</f>
        <v>0</v>
      </c>
      <c r="U684">
        <f>VLOOKUP(Table5[[#This Row],[Shortname]], Comp[], 18, FALSE)</f>
        <v>0</v>
      </c>
      <c r="V684">
        <f>VLOOKUP(Table5[[#This Row],[Shortname]], Comp[], 19, FALSE)</f>
        <v>0.08</v>
      </c>
      <c r="W684">
        <f>VLOOKUP(Table5[[#This Row],[Shortname]], Comp[], 20, FALSE)</f>
        <v>0</v>
      </c>
      <c r="X684">
        <f>VLOOKUP(Table5[[#This Row],[Shortname]], Comp[], 21, FALSE)</f>
        <v>0</v>
      </c>
      <c r="Y684">
        <f>VLOOKUP(Table5[[#This Row],[Shortname]], Comp[], 22, FALSE)</f>
        <v>0</v>
      </c>
      <c r="Z684">
        <f>VLOOKUP(Table5[[#This Row],[Shortname]], Comp[], 23, FALSE)</f>
        <v>0</v>
      </c>
      <c r="AA684">
        <f>VLOOKUP(Table5[[#This Row],[Shortname]], Comp[], 24, FALSE)</f>
        <v>0</v>
      </c>
      <c r="AB684">
        <f>VLOOKUP(Table5[[#This Row],[Shortname]], Comp[], 25, FALSE)</f>
        <v>0</v>
      </c>
      <c r="AC684">
        <f>VLOOKUP(Table5[[#This Row],[Shortname]], Comp[], 26, FALSE)</f>
        <v>0</v>
      </c>
      <c r="AD684">
        <f>VLOOKUP(Table5[[#This Row],[Shortname]], Comp[], 27, FALSE)</f>
        <v>0</v>
      </c>
      <c r="AE684">
        <f>VLOOKUP(Table5[[#This Row],[Shortname]], Comp[], 28, FALSE)</f>
        <v>0</v>
      </c>
      <c r="AF684">
        <f>VLOOKUP(Table5[[#This Row],[Shortname]], Comp[], 29, FALSE)</f>
        <v>0</v>
      </c>
      <c r="AG684">
        <f>VLOOKUP(Table5[[#This Row],[Shortname]], Comp[], 30, FALSE)</f>
        <v>0</v>
      </c>
      <c r="AH684">
        <f>VLOOKUP(Table5[[#This Row],[Shortname]], Comp[], 31, FALSE)</f>
        <v>0</v>
      </c>
    </row>
    <row r="685" spans="1:34" x14ac:dyDescent="0.3">
      <c r="A685" s="12" t="s">
        <v>6481</v>
      </c>
      <c r="B685">
        <v>710</v>
      </c>
      <c r="D685" s="12" t="s">
        <v>6482</v>
      </c>
      <c r="E685" s="12" t="s">
        <v>6483</v>
      </c>
      <c r="F685" s="12">
        <v>989</v>
      </c>
      <c r="G685" s="12">
        <v>1401</v>
      </c>
      <c r="H685" s="12">
        <v>1408</v>
      </c>
      <c r="J685" s="14">
        <f>VLOOKUP(Table5[[#This Row],[Shortname]], Comp[], 7, FALSE)</f>
        <v>63.180000000000007</v>
      </c>
      <c r="K685">
        <f>VLOOKUP(Table5[[#This Row],[Shortname]], Comp[], 8, FALSE)</f>
        <v>19.43</v>
      </c>
      <c r="L685">
        <f>VLOOKUP(Table5[[#This Row],[Shortname]], Comp[], 9, FALSE)</f>
        <v>5.13</v>
      </c>
      <c r="M685">
        <f>VLOOKUP(Table5[[#This Row],[Shortname]], Comp[], 10, FALSE)</f>
        <v>4.1100000000000003</v>
      </c>
      <c r="N685">
        <f>VLOOKUP(Table5[[#This Row],[Shortname]], Comp[], 11, FALSE)</f>
        <v>0</v>
      </c>
      <c r="O685">
        <f>VLOOKUP(Table5[[#This Row],[Shortname]], Comp[],12, FALSE)</f>
        <v>2.06</v>
      </c>
      <c r="P685">
        <f>VLOOKUP(Table5[[#This Row],[Shortname]], Comp[], 13, FALSE)</f>
        <v>1.59</v>
      </c>
      <c r="Q685">
        <f>VLOOKUP(Table5[[#This Row],[Shortname]], Comp[], 14, FALSE)</f>
        <v>1.37</v>
      </c>
      <c r="R685">
        <f>VLOOKUP(Table5[[#This Row],[Shortname]], Comp[], 15, FALSE)</f>
        <v>3.05</v>
      </c>
      <c r="S685">
        <f>VLOOKUP(Table5[[#This Row],[Shortname]], Comp[], 16, FALSE)</f>
        <v>0</v>
      </c>
      <c r="T685">
        <f>VLOOKUP(Table5[[#This Row],[Shortname]], Comp[], 17, FALSE)</f>
        <v>0</v>
      </c>
      <c r="U685">
        <f>VLOOKUP(Table5[[#This Row],[Shortname]], Comp[], 18, FALSE)</f>
        <v>0</v>
      </c>
      <c r="V685">
        <f>VLOOKUP(Table5[[#This Row],[Shortname]], Comp[], 19, FALSE)</f>
        <v>0.08</v>
      </c>
      <c r="W685">
        <f>VLOOKUP(Table5[[#This Row],[Shortname]], Comp[], 20, FALSE)</f>
        <v>0</v>
      </c>
      <c r="X685">
        <f>VLOOKUP(Table5[[#This Row],[Shortname]], Comp[], 21, FALSE)</f>
        <v>0</v>
      </c>
      <c r="Y685">
        <f>VLOOKUP(Table5[[#This Row],[Shortname]], Comp[], 22, FALSE)</f>
        <v>0</v>
      </c>
      <c r="Z685">
        <f>VLOOKUP(Table5[[#This Row],[Shortname]], Comp[], 23, FALSE)</f>
        <v>0</v>
      </c>
      <c r="AA685">
        <f>VLOOKUP(Table5[[#This Row],[Shortname]], Comp[], 24, FALSE)</f>
        <v>0</v>
      </c>
      <c r="AB685">
        <f>VLOOKUP(Table5[[#This Row],[Shortname]], Comp[], 25, FALSE)</f>
        <v>0</v>
      </c>
      <c r="AC685">
        <f>VLOOKUP(Table5[[#This Row],[Shortname]], Comp[], 26, FALSE)</f>
        <v>0</v>
      </c>
      <c r="AD685">
        <f>VLOOKUP(Table5[[#This Row],[Shortname]], Comp[], 27, FALSE)</f>
        <v>0</v>
      </c>
      <c r="AE685">
        <f>VLOOKUP(Table5[[#This Row],[Shortname]], Comp[], 28, FALSE)</f>
        <v>0</v>
      </c>
      <c r="AF685">
        <f>VLOOKUP(Table5[[#This Row],[Shortname]], Comp[], 29, FALSE)</f>
        <v>0</v>
      </c>
      <c r="AG685">
        <f>VLOOKUP(Table5[[#This Row],[Shortname]], Comp[], 30, FALSE)</f>
        <v>0</v>
      </c>
      <c r="AH685">
        <f>VLOOKUP(Table5[[#This Row],[Shortname]], Comp[], 31, FALSE)</f>
        <v>0</v>
      </c>
    </row>
    <row r="686" spans="1:34" x14ac:dyDescent="0.3">
      <c r="A686" s="12" t="s">
        <v>6486</v>
      </c>
      <c r="B686">
        <v>711</v>
      </c>
      <c r="D686" s="12" t="s">
        <v>6487</v>
      </c>
      <c r="E686" s="12" t="s">
        <v>6488</v>
      </c>
      <c r="F686" s="12">
        <v>1010</v>
      </c>
      <c r="G686" s="12">
        <v>1398</v>
      </c>
      <c r="H686" s="12">
        <v>1413</v>
      </c>
      <c r="J686" s="14">
        <f>VLOOKUP(Table5[[#This Row],[Shortname]], Comp[], 7, FALSE)</f>
        <v>52.580000000000005</v>
      </c>
      <c r="K686">
        <f>VLOOKUP(Table5[[#This Row],[Shortname]], Comp[], 8, FALSE)</f>
        <v>29.36</v>
      </c>
      <c r="L686">
        <f>VLOOKUP(Table5[[#This Row],[Shortname]], Comp[], 9, FALSE)</f>
        <v>5.44</v>
      </c>
      <c r="M686">
        <f>VLOOKUP(Table5[[#This Row],[Shortname]], Comp[], 10, FALSE)</f>
        <v>4.07</v>
      </c>
      <c r="N686">
        <f>VLOOKUP(Table5[[#This Row],[Shortname]], Comp[], 11, FALSE)</f>
        <v>0</v>
      </c>
      <c r="O686">
        <f>VLOOKUP(Table5[[#This Row],[Shortname]], Comp[],12, FALSE)</f>
        <v>2.27</v>
      </c>
      <c r="P686">
        <f>VLOOKUP(Table5[[#This Row],[Shortname]], Comp[], 13, FALSE)</f>
        <v>1.69</v>
      </c>
      <c r="Q686">
        <f>VLOOKUP(Table5[[#This Row],[Shortname]], Comp[], 14, FALSE)</f>
        <v>1.37</v>
      </c>
      <c r="R686">
        <f>VLOOKUP(Table5[[#This Row],[Shortname]], Comp[], 15, FALSE)</f>
        <v>3.14</v>
      </c>
      <c r="S686">
        <f>VLOOKUP(Table5[[#This Row],[Shortname]], Comp[], 16, FALSE)</f>
        <v>0</v>
      </c>
      <c r="T686">
        <f>VLOOKUP(Table5[[#This Row],[Shortname]], Comp[], 17, FALSE)</f>
        <v>0</v>
      </c>
      <c r="U686">
        <f>VLOOKUP(Table5[[#This Row],[Shortname]], Comp[], 18, FALSE)</f>
        <v>0</v>
      </c>
      <c r="V686">
        <f>VLOOKUP(Table5[[#This Row],[Shortname]], Comp[], 19, FALSE)</f>
        <v>0.08</v>
      </c>
      <c r="W686">
        <f>VLOOKUP(Table5[[#This Row],[Shortname]], Comp[], 20, FALSE)</f>
        <v>0</v>
      </c>
      <c r="X686">
        <f>VLOOKUP(Table5[[#This Row],[Shortname]], Comp[], 21, FALSE)</f>
        <v>0</v>
      </c>
      <c r="Y686">
        <f>VLOOKUP(Table5[[#This Row],[Shortname]], Comp[], 22, FALSE)</f>
        <v>0</v>
      </c>
      <c r="Z686">
        <f>VLOOKUP(Table5[[#This Row],[Shortname]], Comp[], 23, FALSE)</f>
        <v>0</v>
      </c>
      <c r="AA686">
        <f>VLOOKUP(Table5[[#This Row],[Shortname]], Comp[], 24, FALSE)</f>
        <v>0</v>
      </c>
      <c r="AB686">
        <f>VLOOKUP(Table5[[#This Row],[Shortname]], Comp[], 25, FALSE)</f>
        <v>0</v>
      </c>
      <c r="AC686">
        <f>VLOOKUP(Table5[[#This Row],[Shortname]], Comp[], 26, FALSE)</f>
        <v>0</v>
      </c>
      <c r="AD686">
        <f>VLOOKUP(Table5[[#This Row],[Shortname]], Comp[], 27, FALSE)</f>
        <v>0</v>
      </c>
      <c r="AE686">
        <f>VLOOKUP(Table5[[#This Row],[Shortname]], Comp[], 28, FALSE)</f>
        <v>0</v>
      </c>
      <c r="AF686">
        <f>VLOOKUP(Table5[[#This Row],[Shortname]], Comp[], 29, FALSE)</f>
        <v>0</v>
      </c>
      <c r="AG686">
        <f>VLOOKUP(Table5[[#This Row],[Shortname]], Comp[], 30, FALSE)</f>
        <v>0</v>
      </c>
      <c r="AH686">
        <f>VLOOKUP(Table5[[#This Row],[Shortname]], Comp[], 31, FALSE)</f>
        <v>0</v>
      </c>
    </row>
    <row r="687" spans="1:34" x14ac:dyDescent="0.3">
      <c r="A687" s="12" t="s">
        <v>6490</v>
      </c>
      <c r="B687">
        <v>712</v>
      </c>
      <c r="D687" s="12" t="s">
        <v>6491</v>
      </c>
      <c r="E687" s="12" t="s">
        <v>6492</v>
      </c>
      <c r="F687" s="12">
        <v>989</v>
      </c>
      <c r="G687" s="12">
        <v>1395</v>
      </c>
      <c r="H687" s="12">
        <v>1421</v>
      </c>
      <c r="J687" s="14">
        <f>VLOOKUP(Table5[[#This Row],[Shortname]], Comp[], 7, FALSE)</f>
        <v>68.84</v>
      </c>
      <c r="K687">
        <f>VLOOKUP(Table5[[#This Row],[Shortname]], Comp[], 8, FALSE)</f>
        <v>9.74</v>
      </c>
      <c r="L687">
        <f>VLOOKUP(Table5[[#This Row],[Shortname]], Comp[], 9, FALSE)</f>
        <v>5.04</v>
      </c>
      <c r="M687">
        <f>VLOOKUP(Table5[[#This Row],[Shortname]], Comp[], 10, FALSE)</f>
        <v>8.2200000000000006</v>
      </c>
      <c r="N687">
        <f>VLOOKUP(Table5[[#This Row],[Shortname]], Comp[], 11, FALSE)</f>
        <v>0</v>
      </c>
      <c r="O687">
        <f>VLOOKUP(Table5[[#This Row],[Shortname]], Comp[],12, FALSE)</f>
        <v>2.0699999999999998</v>
      </c>
      <c r="P687">
        <f>VLOOKUP(Table5[[#This Row],[Shortname]], Comp[], 13, FALSE)</f>
        <v>1.58</v>
      </c>
      <c r="Q687">
        <f>VLOOKUP(Table5[[#This Row],[Shortname]], Comp[], 14, FALSE)</f>
        <v>1.41</v>
      </c>
      <c r="R687">
        <f>VLOOKUP(Table5[[#This Row],[Shortname]], Comp[], 15, FALSE)</f>
        <v>3.02</v>
      </c>
      <c r="S687">
        <f>VLOOKUP(Table5[[#This Row],[Shortname]], Comp[], 16, FALSE)</f>
        <v>0</v>
      </c>
      <c r="T687">
        <f>VLOOKUP(Table5[[#This Row],[Shortname]], Comp[], 17, FALSE)</f>
        <v>0</v>
      </c>
      <c r="U687">
        <f>VLOOKUP(Table5[[#This Row],[Shortname]], Comp[], 18, FALSE)</f>
        <v>0</v>
      </c>
      <c r="V687">
        <f>VLOOKUP(Table5[[#This Row],[Shortname]], Comp[], 19, FALSE)</f>
        <v>0.08</v>
      </c>
      <c r="W687">
        <f>VLOOKUP(Table5[[#This Row],[Shortname]], Comp[], 20, FALSE)</f>
        <v>0</v>
      </c>
      <c r="X687">
        <f>VLOOKUP(Table5[[#This Row],[Shortname]], Comp[], 21, FALSE)</f>
        <v>0</v>
      </c>
      <c r="Y687">
        <f>VLOOKUP(Table5[[#This Row],[Shortname]], Comp[], 22, FALSE)</f>
        <v>0</v>
      </c>
      <c r="Z687">
        <f>VLOOKUP(Table5[[#This Row],[Shortname]], Comp[], 23, FALSE)</f>
        <v>0</v>
      </c>
      <c r="AA687">
        <f>VLOOKUP(Table5[[#This Row],[Shortname]], Comp[], 24, FALSE)</f>
        <v>0</v>
      </c>
      <c r="AB687">
        <f>VLOOKUP(Table5[[#This Row],[Shortname]], Comp[], 25, FALSE)</f>
        <v>0</v>
      </c>
      <c r="AC687">
        <f>VLOOKUP(Table5[[#This Row],[Shortname]], Comp[], 26, FALSE)</f>
        <v>0</v>
      </c>
      <c r="AD687">
        <f>VLOOKUP(Table5[[#This Row],[Shortname]], Comp[], 27, FALSE)</f>
        <v>0</v>
      </c>
      <c r="AE687">
        <f>VLOOKUP(Table5[[#This Row],[Shortname]], Comp[], 28, FALSE)</f>
        <v>0</v>
      </c>
      <c r="AF687">
        <f>VLOOKUP(Table5[[#This Row],[Shortname]], Comp[], 29, FALSE)</f>
        <v>0</v>
      </c>
      <c r="AG687">
        <f>VLOOKUP(Table5[[#This Row],[Shortname]], Comp[], 30, FALSE)</f>
        <v>0</v>
      </c>
      <c r="AH687">
        <f>VLOOKUP(Table5[[#This Row],[Shortname]], Comp[], 31, FALSE)</f>
        <v>0</v>
      </c>
    </row>
    <row r="688" spans="1:34" x14ac:dyDescent="0.3">
      <c r="A688" s="12" t="s">
        <v>6494</v>
      </c>
      <c r="B688">
        <v>713</v>
      </c>
      <c r="D688" s="12" t="s">
        <v>6495</v>
      </c>
      <c r="E688" s="12" t="s">
        <v>6496</v>
      </c>
      <c r="F688" s="12">
        <v>1006</v>
      </c>
      <c r="G688" s="12">
        <v>1388</v>
      </c>
      <c r="H688" s="12">
        <v>1413</v>
      </c>
      <c r="J688" s="14">
        <f>VLOOKUP(Table5[[#This Row],[Shortname]], Comp[], 7, FALSE)</f>
        <v>59.019999999999996</v>
      </c>
      <c r="K688">
        <f>VLOOKUP(Table5[[#This Row],[Shortname]], Comp[], 8, FALSE)</f>
        <v>19.54</v>
      </c>
      <c r="L688">
        <f>VLOOKUP(Table5[[#This Row],[Shortname]], Comp[], 9, FALSE)</f>
        <v>4.9800000000000004</v>
      </c>
      <c r="M688">
        <f>VLOOKUP(Table5[[#This Row],[Shortname]], Comp[], 10, FALSE)</f>
        <v>8.2899999999999991</v>
      </c>
      <c r="N688">
        <f>VLOOKUP(Table5[[#This Row],[Shortname]], Comp[], 11, FALSE)</f>
        <v>0</v>
      </c>
      <c r="O688">
        <f>VLOOKUP(Table5[[#This Row],[Shortname]], Comp[],12, FALSE)</f>
        <v>2.0699999999999998</v>
      </c>
      <c r="P688">
        <f>VLOOKUP(Table5[[#This Row],[Shortname]], Comp[], 13, FALSE)</f>
        <v>1.61</v>
      </c>
      <c r="Q688">
        <f>VLOOKUP(Table5[[#This Row],[Shortname]], Comp[], 14, FALSE)</f>
        <v>1.38</v>
      </c>
      <c r="R688">
        <f>VLOOKUP(Table5[[#This Row],[Shortname]], Comp[], 15, FALSE)</f>
        <v>3.03</v>
      </c>
      <c r="S688">
        <f>VLOOKUP(Table5[[#This Row],[Shortname]], Comp[], 16, FALSE)</f>
        <v>0</v>
      </c>
      <c r="T688">
        <f>VLOOKUP(Table5[[#This Row],[Shortname]], Comp[], 17, FALSE)</f>
        <v>0</v>
      </c>
      <c r="U688">
        <f>VLOOKUP(Table5[[#This Row],[Shortname]], Comp[], 18, FALSE)</f>
        <v>0</v>
      </c>
      <c r="V688">
        <f>VLOOKUP(Table5[[#This Row],[Shortname]], Comp[], 19, FALSE)</f>
        <v>0.08</v>
      </c>
      <c r="W688">
        <f>VLOOKUP(Table5[[#This Row],[Shortname]], Comp[], 20, FALSE)</f>
        <v>0</v>
      </c>
      <c r="X688">
        <f>VLOOKUP(Table5[[#This Row],[Shortname]], Comp[], 21, FALSE)</f>
        <v>0</v>
      </c>
      <c r="Y688">
        <f>VLOOKUP(Table5[[#This Row],[Shortname]], Comp[], 22, FALSE)</f>
        <v>0</v>
      </c>
      <c r="Z688">
        <f>VLOOKUP(Table5[[#This Row],[Shortname]], Comp[], 23, FALSE)</f>
        <v>0</v>
      </c>
      <c r="AA688">
        <f>VLOOKUP(Table5[[#This Row],[Shortname]], Comp[], 24, FALSE)</f>
        <v>0</v>
      </c>
      <c r="AB688">
        <f>VLOOKUP(Table5[[#This Row],[Shortname]], Comp[], 25, FALSE)</f>
        <v>0</v>
      </c>
      <c r="AC688">
        <f>VLOOKUP(Table5[[#This Row],[Shortname]], Comp[], 26, FALSE)</f>
        <v>0</v>
      </c>
      <c r="AD688">
        <f>VLOOKUP(Table5[[#This Row],[Shortname]], Comp[], 27, FALSE)</f>
        <v>0</v>
      </c>
      <c r="AE688">
        <f>VLOOKUP(Table5[[#This Row],[Shortname]], Comp[], 28, FALSE)</f>
        <v>0</v>
      </c>
      <c r="AF688">
        <f>VLOOKUP(Table5[[#This Row],[Shortname]], Comp[], 29, FALSE)</f>
        <v>0</v>
      </c>
      <c r="AG688">
        <f>VLOOKUP(Table5[[#This Row],[Shortname]], Comp[], 30, FALSE)</f>
        <v>0</v>
      </c>
      <c r="AH688">
        <f>VLOOKUP(Table5[[#This Row],[Shortname]], Comp[], 31, FALSE)</f>
        <v>0</v>
      </c>
    </row>
    <row r="689" spans="1:34" x14ac:dyDescent="0.3">
      <c r="A689" s="12" t="s">
        <v>6498</v>
      </c>
      <c r="B689">
        <v>714</v>
      </c>
      <c r="D689" s="12" t="s">
        <v>6499</v>
      </c>
      <c r="E689" s="12" t="s">
        <v>6500</v>
      </c>
      <c r="F689" s="12">
        <v>1031</v>
      </c>
      <c r="G689" s="12">
        <v>1382</v>
      </c>
      <c r="H689" s="12">
        <v>1410</v>
      </c>
      <c r="J689" s="14">
        <f>VLOOKUP(Table5[[#This Row],[Shortname]], Comp[], 7, FALSE)</f>
        <v>48.690000000000005</v>
      </c>
      <c r="K689">
        <f>VLOOKUP(Table5[[#This Row],[Shortname]], Comp[], 8, FALSE)</f>
        <v>29.66</v>
      </c>
      <c r="L689">
        <f>VLOOKUP(Table5[[#This Row],[Shortname]], Comp[], 9, FALSE)</f>
        <v>4.9800000000000004</v>
      </c>
      <c r="M689">
        <f>VLOOKUP(Table5[[#This Row],[Shortname]], Comp[], 10, FALSE)</f>
        <v>8.19</v>
      </c>
      <c r="N689">
        <f>VLOOKUP(Table5[[#This Row],[Shortname]], Comp[], 11, FALSE)</f>
        <v>0</v>
      </c>
      <c r="O689">
        <f>VLOOKUP(Table5[[#This Row],[Shortname]], Comp[],12, FALSE)</f>
        <v>2.08</v>
      </c>
      <c r="P689">
        <f>VLOOKUP(Table5[[#This Row],[Shortname]], Comp[], 13, FALSE)</f>
        <v>1.65</v>
      </c>
      <c r="Q689">
        <f>VLOOKUP(Table5[[#This Row],[Shortname]], Comp[], 14, FALSE)</f>
        <v>1.6</v>
      </c>
      <c r="R689">
        <f>VLOOKUP(Table5[[#This Row],[Shortname]], Comp[], 15, FALSE)</f>
        <v>3.07</v>
      </c>
      <c r="S689">
        <f>VLOOKUP(Table5[[#This Row],[Shortname]], Comp[], 16, FALSE)</f>
        <v>0</v>
      </c>
      <c r="T689">
        <f>VLOOKUP(Table5[[#This Row],[Shortname]], Comp[], 17, FALSE)</f>
        <v>0</v>
      </c>
      <c r="U689">
        <f>VLOOKUP(Table5[[#This Row],[Shortname]], Comp[], 18, FALSE)</f>
        <v>0</v>
      </c>
      <c r="V689">
        <f>VLOOKUP(Table5[[#This Row],[Shortname]], Comp[], 19, FALSE)</f>
        <v>0.08</v>
      </c>
      <c r="W689">
        <f>VLOOKUP(Table5[[#This Row],[Shortname]], Comp[], 20, FALSE)</f>
        <v>0</v>
      </c>
      <c r="X689">
        <f>VLOOKUP(Table5[[#This Row],[Shortname]], Comp[], 21, FALSE)</f>
        <v>0</v>
      </c>
      <c r="Y689">
        <f>VLOOKUP(Table5[[#This Row],[Shortname]], Comp[], 22, FALSE)</f>
        <v>0</v>
      </c>
      <c r="Z689">
        <f>VLOOKUP(Table5[[#This Row],[Shortname]], Comp[], 23, FALSE)</f>
        <v>0</v>
      </c>
      <c r="AA689">
        <f>VLOOKUP(Table5[[#This Row],[Shortname]], Comp[], 24, FALSE)</f>
        <v>0</v>
      </c>
      <c r="AB689">
        <f>VLOOKUP(Table5[[#This Row],[Shortname]], Comp[], 25, FALSE)</f>
        <v>0</v>
      </c>
      <c r="AC689">
        <f>VLOOKUP(Table5[[#This Row],[Shortname]], Comp[], 26, FALSE)</f>
        <v>0</v>
      </c>
      <c r="AD689">
        <f>VLOOKUP(Table5[[#This Row],[Shortname]], Comp[], 27, FALSE)</f>
        <v>0</v>
      </c>
      <c r="AE689">
        <f>VLOOKUP(Table5[[#This Row],[Shortname]], Comp[], 28, FALSE)</f>
        <v>0</v>
      </c>
      <c r="AF689">
        <f>VLOOKUP(Table5[[#This Row],[Shortname]], Comp[], 29, FALSE)</f>
        <v>0</v>
      </c>
      <c r="AG689">
        <f>VLOOKUP(Table5[[#This Row],[Shortname]], Comp[], 30, FALSE)</f>
        <v>0</v>
      </c>
      <c r="AH689">
        <f>VLOOKUP(Table5[[#This Row],[Shortname]], Comp[], 31, FALSE)</f>
        <v>0</v>
      </c>
    </row>
    <row r="690" spans="1:34" x14ac:dyDescent="0.3">
      <c r="A690" s="12" t="s">
        <v>6502</v>
      </c>
      <c r="B690">
        <v>715</v>
      </c>
      <c r="D690" s="12" t="s">
        <v>6503</v>
      </c>
      <c r="E690" s="12" t="s">
        <v>6504</v>
      </c>
      <c r="F690" s="12">
        <v>1036</v>
      </c>
      <c r="G690" s="12">
        <v>1438</v>
      </c>
      <c r="H690" s="12">
        <v>1459</v>
      </c>
      <c r="J690" s="14">
        <f>VLOOKUP(Table5[[#This Row],[Shortname]], Comp[], 7, FALSE)</f>
        <v>49.7</v>
      </c>
      <c r="K690">
        <f>VLOOKUP(Table5[[#This Row],[Shortname]], Comp[], 8, FALSE)</f>
        <v>29.2</v>
      </c>
      <c r="L690">
        <f>VLOOKUP(Table5[[#This Row],[Shortname]], Comp[], 9, FALSE)</f>
        <v>11.1</v>
      </c>
      <c r="M690">
        <f>VLOOKUP(Table5[[#This Row],[Shortname]], Comp[], 10, FALSE)</f>
        <v>4.2</v>
      </c>
      <c r="N690">
        <f>VLOOKUP(Table5[[#This Row],[Shortname]], Comp[], 11, FALSE)</f>
        <v>5.8</v>
      </c>
      <c r="O690">
        <f>VLOOKUP(Table5[[#This Row],[Shortname]], Comp[],12, FALSE)</f>
        <v>0</v>
      </c>
      <c r="P690">
        <f>VLOOKUP(Table5[[#This Row],[Shortname]], Comp[], 13, FALSE)</f>
        <v>0</v>
      </c>
      <c r="Q690">
        <f>VLOOKUP(Table5[[#This Row],[Shortname]], Comp[], 14, FALSE)</f>
        <v>0</v>
      </c>
      <c r="R690">
        <f>VLOOKUP(Table5[[#This Row],[Shortname]], Comp[], 15, FALSE)</f>
        <v>0</v>
      </c>
      <c r="S690">
        <f>VLOOKUP(Table5[[#This Row],[Shortname]], Comp[], 16, FALSE)</f>
        <v>0</v>
      </c>
      <c r="T690">
        <f>VLOOKUP(Table5[[#This Row],[Shortname]], Comp[], 17, FALSE)</f>
        <v>0</v>
      </c>
      <c r="U690">
        <f>VLOOKUP(Table5[[#This Row],[Shortname]], Comp[], 18, FALSE)</f>
        <v>0</v>
      </c>
      <c r="V690">
        <f>VLOOKUP(Table5[[#This Row],[Shortname]], Comp[], 19, FALSE)</f>
        <v>0</v>
      </c>
      <c r="W690">
        <f>VLOOKUP(Table5[[#This Row],[Shortname]], Comp[], 20, FALSE)</f>
        <v>0</v>
      </c>
      <c r="X690">
        <f>VLOOKUP(Table5[[#This Row],[Shortname]], Comp[], 21, FALSE)</f>
        <v>0</v>
      </c>
      <c r="Y690">
        <f>VLOOKUP(Table5[[#This Row],[Shortname]], Comp[], 22, FALSE)</f>
        <v>0</v>
      </c>
      <c r="Z690">
        <f>VLOOKUP(Table5[[#This Row],[Shortname]], Comp[], 23, FALSE)</f>
        <v>0</v>
      </c>
      <c r="AA690">
        <f>VLOOKUP(Table5[[#This Row],[Shortname]], Comp[], 24, FALSE)</f>
        <v>0</v>
      </c>
      <c r="AB690">
        <f>VLOOKUP(Table5[[#This Row],[Shortname]], Comp[], 25, FALSE)</f>
        <v>0</v>
      </c>
      <c r="AC690">
        <f>VLOOKUP(Table5[[#This Row],[Shortname]], Comp[], 26, FALSE)</f>
        <v>0</v>
      </c>
      <c r="AD690">
        <f>VLOOKUP(Table5[[#This Row],[Shortname]], Comp[], 27, FALSE)</f>
        <v>0</v>
      </c>
      <c r="AE690">
        <f>VLOOKUP(Table5[[#This Row],[Shortname]], Comp[], 28, FALSE)</f>
        <v>0</v>
      </c>
      <c r="AF690">
        <f>VLOOKUP(Table5[[#This Row],[Shortname]], Comp[], 29, FALSE)</f>
        <v>0</v>
      </c>
      <c r="AG690">
        <f>VLOOKUP(Table5[[#This Row],[Shortname]], Comp[], 30, FALSE)</f>
        <v>0</v>
      </c>
      <c r="AH690">
        <f>VLOOKUP(Table5[[#This Row],[Shortname]], Comp[], 31, FALSE)</f>
        <v>0</v>
      </c>
    </row>
    <row r="691" spans="1:34" x14ac:dyDescent="0.3">
      <c r="A691" s="12" t="s">
        <v>6506</v>
      </c>
      <c r="B691">
        <v>716</v>
      </c>
      <c r="D691" s="12" t="s">
        <v>6507</v>
      </c>
      <c r="E691" s="12" t="s">
        <v>6504</v>
      </c>
      <c r="F691" s="12">
        <v>1021</v>
      </c>
      <c r="G691" s="12">
        <v>1414</v>
      </c>
      <c r="H691" s="12">
        <v>1446</v>
      </c>
      <c r="J691" s="14">
        <f>VLOOKUP(Table5[[#This Row],[Shortname]], Comp[], 7, FALSE)</f>
        <v>45.9</v>
      </c>
      <c r="K691">
        <f>VLOOKUP(Table5[[#This Row],[Shortname]], Comp[], 8, FALSE)</f>
        <v>29.2</v>
      </c>
      <c r="L691">
        <f>VLOOKUP(Table5[[#This Row],[Shortname]], Comp[], 9, FALSE)</f>
        <v>10.9</v>
      </c>
      <c r="M691">
        <f>VLOOKUP(Table5[[#This Row],[Shortname]], Comp[], 10, FALSE)</f>
        <v>4.0999999999999996</v>
      </c>
      <c r="N691">
        <f>VLOOKUP(Table5[[#This Row],[Shortname]], Comp[], 11, FALSE)</f>
        <v>5.8</v>
      </c>
      <c r="O691">
        <f>VLOOKUP(Table5[[#This Row],[Shortname]], Comp[],12, FALSE)</f>
        <v>0</v>
      </c>
      <c r="P691">
        <f>VLOOKUP(Table5[[#This Row],[Shortname]], Comp[], 13, FALSE)</f>
        <v>0</v>
      </c>
      <c r="Q691">
        <f>VLOOKUP(Table5[[#This Row],[Shortname]], Comp[], 14, FALSE)</f>
        <v>0</v>
      </c>
      <c r="R691">
        <f>VLOOKUP(Table5[[#This Row],[Shortname]], Comp[], 15, FALSE)</f>
        <v>0</v>
      </c>
      <c r="S691">
        <f>VLOOKUP(Table5[[#This Row],[Shortname]], Comp[], 16, FALSE)</f>
        <v>0</v>
      </c>
      <c r="T691">
        <f>VLOOKUP(Table5[[#This Row],[Shortname]], Comp[], 17, FALSE)</f>
        <v>0</v>
      </c>
      <c r="U691">
        <f>VLOOKUP(Table5[[#This Row],[Shortname]], Comp[], 18, FALSE)</f>
        <v>0</v>
      </c>
      <c r="V691">
        <f>VLOOKUP(Table5[[#This Row],[Shortname]], Comp[], 19, FALSE)</f>
        <v>0</v>
      </c>
      <c r="W691">
        <f>VLOOKUP(Table5[[#This Row],[Shortname]], Comp[], 20, FALSE)</f>
        <v>0</v>
      </c>
      <c r="X691">
        <f>VLOOKUP(Table5[[#This Row],[Shortname]], Comp[], 21, FALSE)</f>
        <v>0</v>
      </c>
      <c r="Y691">
        <f>VLOOKUP(Table5[[#This Row],[Shortname]], Comp[], 22, FALSE)</f>
        <v>0</v>
      </c>
      <c r="Z691">
        <f>VLOOKUP(Table5[[#This Row],[Shortname]], Comp[], 23, FALSE)</f>
        <v>4.0999999999999996</v>
      </c>
      <c r="AA691">
        <f>VLOOKUP(Table5[[#This Row],[Shortname]], Comp[], 24, FALSE)</f>
        <v>0</v>
      </c>
      <c r="AB691">
        <f>VLOOKUP(Table5[[#This Row],[Shortname]], Comp[], 25, FALSE)</f>
        <v>0</v>
      </c>
      <c r="AC691">
        <f>VLOOKUP(Table5[[#This Row],[Shortname]], Comp[], 26, FALSE)</f>
        <v>0</v>
      </c>
      <c r="AD691">
        <f>VLOOKUP(Table5[[#This Row],[Shortname]], Comp[], 27, FALSE)</f>
        <v>0</v>
      </c>
      <c r="AE691">
        <f>VLOOKUP(Table5[[#This Row],[Shortname]], Comp[], 28, FALSE)</f>
        <v>0</v>
      </c>
      <c r="AF691">
        <f>VLOOKUP(Table5[[#This Row],[Shortname]], Comp[], 29, FALSE)</f>
        <v>0</v>
      </c>
      <c r="AG691">
        <f>VLOOKUP(Table5[[#This Row],[Shortname]], Comp[], 30, FALSE)</f>
        <v>0</v>
      </c>
      <c r="AH691">
        <f>VLOOKUP(Table5[[#This Row],[Shortname]], Comp[], 31, FALSE)</f>
        <v>0</v>
      </c>
    </row>
    <row r="692" spans="1:34" x14ac:dyDescent="0.3">
      <c r="A692" s="12" t="s">
        <v>6510</v>
      </c>
      <c r="B692">
        <v>717</v>
      </c>
      <c r="D692" s="12" t="s">
        <v>6511</v>
      </c>
      <c r="E692" s="12" t="s">
        <v>6504</v>
      </c>
      <c r="F692" s="12">
        <v>999</v>
      </c>
      <c r="G692" s="12">
        <v>1416</v>
      </c>
      <c r="H692" s="12">
        <v>1442</v>
      </c>
      <c r="J692" s="14">
        <f>VLOOKUP(Table5[[#This Row],[Shortname]], Comp[], 7, FALSE)</f>
        <v>41.899999999999991</v>
      </c>
      <c r="K692">
        <f>VLOOKUP(Table5[[#This Row],[Shortname]], Comp[], 8, FALSE)</f>
        <v>29.3</v>
      </c>
      <c r="L692">
        <f>VLOOKUP(Table5[[#This Row],[Shortname]], Comp[], 9, FALSE)</f>
        <v>10.8</v>
      </c>
      <c r="M692">
        <f>VLOOKUP(Table5[[#This Row],[Shortname]], Comp[], 10, FALSE)</f>
        <v>4.0999999999999996</v>
      </c>
      <c r="N692">
        <f>VLOOKUP(Table5[[#This Row],[Shortname]], Comp[], 11, FALSE)</f>
        <v>5.7</v>
      </c>
      <c r="O692">
        <f>VLOOKUP(Table5[[#This Row],[Shortname]], Comp[],12, FALSE)</f>
        <v>0</v>
      </c>
      <c r="P692">
        <f>VLOOKUP(Table5[[#This Row],[Shortname]], Comp[], 13, FALSE)</f>
        <v>0</v>
      </c>
      <c r="Q692">
        <f>VLOOKUP(Table5[[#This Row],[Shortname]], Comp[], 14, FALSE)</f>
        <v>0</v>
      </c>
      <c r="R692">
        <f>VLOOKUP(Table5[[#This Row],[Shortname]], Comp[], 15, FALSE)</f>
        <v>0</v>
      </c>
      <c r="S692">
        <f>VLOOKUP(Table5[[#This Row],[Shortname]], Comp[], 16, FALSE)</f>
        <v>0</v>
      </c>
      <c r="T692">
        <f>VLOOKUP(Table5[[#This Row],[Shortname]], Comp[], 17, FALSE)</f>
        <v>0</v>
      </c>
      <c r="U692">
        <f>VLOOKUP(Table5[[#This Row],[Shortname]], Comp[], 18, FALSE)</f>
        <v>0</v>
      </c>
      <c r="V692">
        <f>VLOOKUP(Table5[[#This Row],[Shortname]], Comp[], 19, FALSE)</f>
        <v>0</v>
      </c>
      <c r="W692">
        <f>VLOOKUP(Table5[[#This Row],[Shortname]], Comp[], 20, FALSE)</f>
        <v>0</v>
      </c>
      <c r="X692">
        <f>VLOOKUP(Table5[[#This Row],[Shortname]], Comp[], 21, FALSE)</f>
        <v>0</v>
      </c>
      <c r="Y692">
        <f>VLOOKUP(Table5[[#This Row],[Shortname]], Comp[], 22, FALSE)</f>
        <v>0</v>
      </c>
      <c r="Z692">
        <f>VLOOKUP(Table5[[#This Row],[Shortname]], Comp[], 23, FALSE)</f>
        <v>8.1999999999999993</v>
      </c>
      <c r="AA692">
        <f>VLOOKUP(Table5[[#This Row],[Shortname]], Comp[], 24, FALSE)</f>
        <v>0</v>
      </c>
      <c r="AB692">
        <f>VLOOKUP(Table5[[#This Row],[Shortname]], Comp[], 25, FALSE)</f>
        <v>0</v>
      </c>
      <c r="AC692">
        <f>VLOOKUP(Table5[[#This Row],[Shortname]], Comp[], 26, FALSE)</f>
        <v>0</v>
      </c>
      <c r="AD692">
        <f>VLOOKUP(Table5[[#This Row],[Shortname]], Comp[], 27, FALSE)</f>
        <v>0</v>
      </c>
      <c r="AE692">
        <f>VLOOKUP(Table5[[#This Row],[Shortname]], Comp[], 28, FALSE)</f>
        <v>0</v>
      </c>
      <c r="AF692">
        <f>VLOOKUP(Table5[[#This Row],[Shortname]], Comp[], 29, FALSE)</f>
        <v>0</v>
      </c>
      <c r="AG692">
        <f>VLOOKUP(Table5[[#This Row],[Shortname]], Comp[], 30, FALSE)</f>
        <v>0</v>
      </c>
      <c r="AH692">
        <f>VLOOKUP(Table5[[#This Row],[Shortname]], Comp[], 31, FALSE)</f>
        <v>0</v>
      </c>
    </row>
    <row r="693" spans="1:34" x14ac:dyDescent="0.3">
      <c r="A693" s="12" t="s">
        <v>6514</v>
      </c>
      <c r="B693">
        <v>718</v>
      </c>
      <c r="D693" s="12" t="s">
        <v>6515</v>
      </c>
      <c r="E693" s="12" t="s">
        <v>6504</v>
      </c>
      <c r="F693" s="12">
        <v>985</v>
      </c>
      <c r="G693" s="12">
        <v>1490</v>
      </c>
      <c r="H693" s="12">
        <v>1437</v>
      </c>
      <c r="J693" s="14">
        <f>VLOOKUP(Table5[[#This Row],[Shortname]], Comp[], 7, FALSE)</f>
        <v>38.199999999999989</v>
      </c>
      <c r="K693">
        <f>VLOOKUP(Table5[[#This Row],[Shortname]], Comp[], 8, FALSE)</f>
        <v>29.3</v>
      </c>
      <c r="L693">
        <f>VLOOKUP(Table5[[#This Row],[Shortname]], Comp[], 9, FALSE)</f>
        <v>10.4</v>
      </c>
      <c r="M693">
        <f>VLOOKUP(Table5[[#This Row],[Shortname]], Comp[], 10, FALSE)</f>
        <v>4.0999999999999996</v>
      </c>
      <c r="N693">
        <f>VLOOKUP(Table5[[#This Row],[Shortname]], Comp[], 11, FALSE)</f>
        <v>5.7</v>
      </c>
      <c r="O693">
        <f>VLOOKUP(Table5[[#This Row],[Shortname]], Comp[],12, FALSE)</f>
        <v>0</v>
      </c>
      <c r="P693">
        <f>VLOOKUP(Table5[[#This Row],[Shortname]], Comp[], 13, FALSE)</f>
        <v>0</v>
      </c>
      <c r="Q693">
        <f>VLOOKUP(Table5[[#This Row],[Shortname]], Comp[], 14, FALSE)</f>
        <v>0</v>
      </c>
      <c r="R693">
        <f>VLOOKUP(Table5[[#This Row],[Shortname]], Comp[], 15, FALSE)</f>
        <v>0</v>
      </c>
      <c r="S693">
        <f>VLOOKUP(Table5[[#This Row],[Shortname]], Comp[], 16, FALSE)</f>
        <v>0</v>
      </c>
      <c r="T693">
        <f>VLOOKUP(Table5[[#This Row],[Shortname]], Comp[], 17, FALSE)</f>
        <v>0</v>
      </c>
      <c r="U693">
        <f>VLOOKUP(Table5[[#This Row],[Shortname]], Comp[], 18, FALSE)</f>
        <v>0</v>
      </c>
      <c r="V693">
        <f>VLOOKUP(Table5[[#This Row],[Shortname]], Comp[], 19, FALSE)</f>
        <v>0</v>
      </c>
      <c r="W693">
        <f>VLOOKUP(Table5[[#This Row],[Shortname]], Comp[], 20, FALSE)</f>
        <v>0</v>
      </c>
      <c r="X693">
        <f>VLOOKUP(Table5[[#This Row],[Shortname]], Comp[], 21, FALSE)</f>
        <v>0</v>
      </c>
      <c r="Y693">
        <f>VLOOKUP(Table5[[#This Row],[Shortname]], Comp[], 22, FALSE)</f>
        <v>0</v>
      </c>
      <c r="Z693">
        <f>VLOOKUP(Table5[[#This Row],[Shortname]], Comp[], 23, FALSE)</f>
        <v>12.3</v>
      </c>
      <c r="AA693">
        <f>VLOOKUP(Table5[[#This Row],[Shortname]], Comp[], 24, FALSE)</f>
        <v>0</v>
      </c>
      <c r="AB693">
        <f>VLOOKUP(Table5[[#This Row],[Shortname]], Comp[], 25, FALSE)</f>
        <v>0</v>
      </c>
      <c r="AC693">
        <f>VLOOKUP(Table5[[#This Row],[Shortname]], Comp[], 26, FALSE)</f>
        <v>0</v>
      </c>
      <c r="AD693">
        <f>VLOOKUP(Table5[[#This Row],[Shortname]], Comp[], 27, FALSE)</f>
        <v>0</v>
      </c>
      <c r="AE693">
        <f>VLOOKUP(Table5[[#This Row],[Shortname]], Comp[], 28, FALSE)</f>
        <v>0</v>
      </c>
      <c r="AF693">
        <f>VLOOKUP(Table5[[#This Row],[Shortname]], Comp[], 29, FALSE)</f>
        <v>0</v>
      </c>
      <c r="AG693">
        <f>VLOOKUP(Table5[[#This Row],[Shortname]], Comp[], 30, FALSE)</f>
        <v>0</v>
      </c>
      <c r="AH693">
        <f>VLOOKUP(Table5[[#This Row],[Shortname]], Comp[], 31, FALSE)</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79ED-6D33-48F3-B560-9B8AA01B486A}">
  <dimension ref="A1:AF395"/>
  <sheetViews>
    <sheetView topLeftCell="A368" workbookViewId="0">
      <selection activeCell="F306" sqref="F306"/>
    </sheetView>
  </sheetViews>
  <sheetFormatPr defaultRowHeight="14.4" x14ac:dyDescent="0.3"/>
  <sheetData>
    <row r="1" spans="1:32" x14ac:dyDescent="0.3">
      <c r="A1" t="s">
        <v>6527</v>
      </c>
      <c r="B1" t="s">
        <v>6530</v>
      </c>
      <c r="C1" t="s">
        <v>6531</v>
      </c>
      <c r="D1" t="s">
        <v>6774</v>
      </c>
      <c r="E1" t="s">
        <v>6775</v>
      </c>
      <c r="F1" t="s">
        <v>6776</v>
      </c>
      <c r="G1" t="s">
        <v>6532</v>
      </c>
      <c r="H1" t="s">
        <v>0</v>
      </c>
      <c r="I1" t="s">
        <v>6533</v>
      </c>
      <c r="J1" t="s">
        <v>6534</v>
      </c>
      <c r="K1" t="s">
        <v>6535</v>
      </c>
      <c r="L1" t="s">
        <v>6536</v>
      </c>
      <c r="M1" t="s">
        <v>6537</v>
      </c>
      <c r="N1" t="s">
        <v>6538</v>
      </c>
      <c r="O1" t="s">
        <v>6539</v>
      </c>
      <c r="P1" t="s">
        <v>6540</v>
      </c>
      <c r="Q1" t="s">
        <v>6541</v>
      </c>
      <c r="R1" t="s">
        <v>6542</v>
      </c>
      <c r="S1" t="s">
        <v>6543</v>
      </c>
      <c r="T1" t="s">
        <v>5865</v>
      </c>
      <c r="U1" t="s">
        <v>6544</v>
      </c>
      <c r="V1" t="s">
        <v>6545</v>
      </c>
      <c r="W1" t="s">
        <v>6546</v>
      </c>
      <c r="X1" t="s">
        <v>6547</v>
      </c>
      <c r="Y1" t="s">
        <v>6548</v>
      </c>
      <c r="Z1" t="s">
        <v>6549</v>
      </c>
      <c r="AA1" t="s">
        <v>6550</v>
      </c>
      <c r="AB1" t="s">
        <v>6551</v>
      </c>
      <c r="AC1" t="s">
        <v>6552</v>
      </c>
      <c r="AD1" t="s">
        <v>6553</v>
      </c>
      <c r="AE1" t="s">
        <v>6554</v>
      </c>
      <c r="AF1" t="s">
        <v>6555</v>
      </c>
    </row>
    <row r="2" spans="1:32" x14ac:dyDescent="0.3">
      <c r="A2" t="s">
        <v>94</v>
      </c>
      <c r="B2" t="s">
        <v>97</v>
      </c>
      <c r="C2" s="15" t="s">
        <v>6646</v>
      </c>
      <c r="D2">
        <v>960</v>
      </c>
      <c r="E2">
        <v>1442</v>
      </c>
      <c r="F2">
        <v>1467</v>
      </c>
      <c r="G2">
        <f>VLOOKUP(Table55[[#This Row],[Shortname]], Comp[], 6, FALSE)</f>
        <v>9</v>
      </c>
      <c r="H2" s="14">
        <f>VLOOKUP(Table55[[#This Row],[Shortname]], Comp[], 7, FALSE)</f>
        <v>83.5</v>
      </c>
      <c r="I2">
        <f>VLOOKUP(Table55[[#This Row],[Shortname]], Comp[], 8, FALSE)</f>
        <v>0</v>
      </c>
      <c r="J2">
        <f>VLOOKUP(Table55[[#This Row],[Shortname]], Comp[], 9, FALSE)</f>
        <v>8.1</v>
      </c>
      <c r="K2">
        <f>VLOOKUP(Table55[[#This Row],[Shortname]], Comp[], 10, FALSE)</f>
        <v>0</v>
      </c>
      <c r="L2">
        <f>VLOOKUP(Table55[[#This Row],[Shortname]], Comp[], 11, FALSE)</f>
        <v>8.4</v>
      </c>
      <c r="M2">
        <f>VLOOKUP(Table55[[#This Row],[Shortname]], Comp[],12, FALSE)</f>
        <v>0</v>
      </c>
      <c r="N2">
        <f>VLOOKUP(Table55[[#This Row],[Shortname]], Comp[], 13, FALSE)</f>
        <v>0</v>
      </c>
      <c r="O2">
        <f>VLOOKUP(Table55[[#This Row],[Shortname]], Comp[], 14, FALSE)</f>
        <v>0</v>
      </c>
      <c r="P2">
        <f>VLOOKUP(Table55[[#This Row],[Shortname]], Comp[], 15, FALSE)</f>
        <v>0</v>
      </c>
      <c r="Q2">
        <f>VLOOKUP(Table55[[#This Row],[Shortname]], Comp[], 16, FALSE)</f>
        <v>0</v>
      </c>
      <c r="R2">
        <f>VLOOKUP(Table55[[#This Row],[Shortname]], Comp[], 17, FALSE)</f>
        <v>0</v>
      </c>
      <c r="S2">
        <f>VLOOKUP(Table55[[#This Row],[Shortname]], Comp[], 18, FALSE)</f>
        <v>0</v>
      </c>
      <c r="T2">
        <f>VLOOKUP(Table55[[#This Row],[Shortname]], Comp[], 19, FALSE)</f>
        <v>0</v>
      </c>
      <c r="U2">
        <f>VLOOKUP(Table55[[#This Row],[Shortname]], Comp[], 20, FALSE)</f>
        <v>0</v>
      </c>
      <c r="V2">
        <f>VLOOKUP(Table55[[#This Row],[Shortname]], Comp[], 21, FALSE)</f>
        <v>0</v>
      </c>
      <c r="W2">
        <f>VLOOKUP(Table55[[#This Row],[Shortname]], Comp[], 22, FALSE)</f>
        <v>0</v>
      </c>
      <c r="X2">
        <f>VLOOKUP(Table55[[#This Row],[Shortname]], Comp[], 23, FALSE)</f>
        <v>0</v>
      </c>
      <c r="Y2">
        <f>VLOOKUP(Table55[[#This Row],[Shortname]], Comp[], 24, FALSE)</f>
        <v>0</v>
      </c>
      <c r="Z2">
        <f>VLOOKUP(Table55[[#This Row],[Shortname]], Comp[], 25, FALSE)</f>
        <v>0</v>
      </c>
      <c r="AA2">
        <f>VLOOKUP(Table55[[#This Row],[Shortname]], Comp[], 26, FALSE)</f>
        <v>0</v>
      </c>
      <c r="AB2">
        <f>VLOOKUP(Table55[[#This Row],[Shortname]], Comp[], 27, FALSE)</f>
        <v>0</v>
      </c>
      <c r="AC2">
        <f>VLOOKUP(Table55[[#This Row],[Shortname]], Comp[], 28, FALSE)</f>
        <v>0</v>
      </c>
      <c r="AD2">
        <f>VLOOKUP(Table55[[#This Row],[Shortname]], Comp[], 29, FALSE)</f>
        <v>0</v>
      </c>
      <c r="AE2">
        <f>VLOOKUP(Table55[[#This Row],[Shortname]], Comp[], 30, FALSE)</f>
        <v>0</v>
      </c>
      <c r="AF2">
        <f>VLOOKUP(Table55[[#This Row],[Shortname]], Comp[], 31, FALSE)</f>
        <v>0</v>
      </c>
    </row>
    <row r="3" spans="1:32" x14ac:dyDescent="0.3">
      <c r="A3" t="s">
        <v>104</v>
      </c>
      <c r="B3" t="s">
        <v>106</v>
      </c>
      <c r="C3" s="15" t="s">
        <v>6647</v>
      </c>
      <c r="D3">
        <v>1065</v>
      </c>
      <c r="E3">
        <v>1373</v>
      </c>
      <c r="F3">
        <v>1422</v>
      </c>
      <c r="G3">
        <f>VLOOKUP(Table55[[#This Row],[Shortname]], Comp[], 6, FALSE)</f>
        <v>10</v>
      </c>
      <c r="H3" s="14">
        <f>VLOOKUP(Table55[[#This Row],[Shortname]], Comp[], 7, FALSE)</f>
        <v>78.599999999999994</v>
      </c>
      <c r="I3">
        <f>VLOOKUP(Table55[[#This Row],[Shortname]], Comp[], 8, FALSE)</f>
        <v>0</v>
      </c>
      <c r="J3">
        <f>VLOOKUP(Table55[[#This Row],[Shortname]], Comp[], 9, FALSE)</f>
        <v>9.4</v>
      </c>
      <c r="K3">
        <f>VLOOKUP(Table55[[#This Row],[Shortname]], Comp[], 10, FALSE)</f>
        <v>0</v>
      </c>
      <c r="L3">
        <f>VLOOKUP(Table55[[#This Row],[Shortname]], Comp[], 11, FALSE)</f>
        <v>10.199999999999999</v>
      </c>
      <c r="M3">
        <f>VLOOKUP(Table55[[#This Row],[Shortname]], Comp[],12, FALSE)</f>
        <v>0</v>
      </c>
      <c r="N3">
        <f>VLOOKUP(Table55[[#This Row],[Shortname]], Comp[], 13, FALSE)</f>
        <v>0</v>
      </c>
      <c r="O3">
        <f>VLOOKUP(Table55[[#This Row],[Shortname]], Comp[], 14, FALSE)</f>
        <v>1.8</v>
      </c>
      <c r="P3">
        <f>VLOOKUP(Table55[[#This Row],[Shortname]], Comp[], 15, FALSE)</f>
        <v>0</v>
      </c>
      <c r="Q3">
        <f>VLOOKUP(Table55[[#This Row],[Shortname]], Comp[], 16, FALSE)</f>
        <v>0</v>
      </c>
      <c r="R3">
        <f>VLOOKUP(Table55[[#This Row],[Shortname]], Comp[], 17, FALSE)</f>
        <v>0</v>
      </c>
      <c r="S3">
        <f>VLOOKUP(Table55[[#This Row],[Shortname]], Comp[], 18, FALSE)</f>
        <v>0</v>
      </c>
      <c r="T3">
        <f>VLOOKUP(Table55[[#This Row],[Shortname]], Comp[], 19, FALSE)</f>
        <v>0</v>
      </c>
      <c r="U3">
        <f>VLOOKUP(Table55[[#This Row],[Shortname]], Comp[], 20, FALSE)</f>
        <v>0</v>
      </c>
      <c r="V3">
        <f>VLOOKUP(Table55[[#This Row],[Shortname]], Comp[], 21, FALSE)</f>
        <v>0</v>
      </c>
      <c r="W3">
        <f>VLOOKUP(Table55[[#This Row],[Shortname]], Comp[], 22, FALSE)</f>
        <v>0</v>
      </c>
      <c r="X3">
        <f>VLOOKUP(Table55[[#This Row],[Shortname]], Comp[], 23, FALSE)</f>
        <v>0</v>
      </c>
      <c r="Y3">
        <f>VLOOKUP(Table55[[#This Row],[Shortname]], Comp[], 24, FALSE)</f>
        <v>0</v>
      </c>
      <c r="Z3">
        <f>VLOOKUP(Table55[[#This Row],[Shortname]], Comp[], 25, FALSE)</f>
        <v>0</v>
      </c>
      <c r="AA3">
        <f>VLOOKUP(Table55[[#This Row],[Shortname]], Comp[], 26, FALSE)</f>
        <v>0</v>
      </c>
      <c r="AB3">
        <f>VLOOKUP(Table55[[#This Row],[Shortname]], Comp[], 27, FALSE)</f>
        <v>0</v>
      </c>
      <c r="AC3">
        <f>VLOOKUP(Table55[[#This Row],[Shortname]], Comp[], 28, FALSE)</f>
        <v>0</v>
      </c>
      <c r="AD3">
        <f>VLOOKUP(Table55[[#This Row],[Shortname]], Comp[], 29, FALSE)</f>
        <v>0</v>
      </c>
      <c r="AE3">
        <f>VLOOKUP(Table55[[#This Row],[Shortname]], Comp[], 30, FALSE)</f>
        <v>0</v>
      </c>
      <c r="AF3">
        <f>VLOOKUP(Table55[[#This Row],[Shortname]], Comp[], 31, FALSE)</f>
        <v>0</v>
      </c>
    </row>
    <row r="4" spans="1:32" x14ac:dyDescent="0.3">
      <c r="A4" t="s">
        <v>114</v>
      </c>
      <c r="B4" t="s">
        <v>116</v>
      </c>
      <c r="C4" s="15" t="s">
        <v>6648</v>
      </c>
      <c r="D4">
        <v>1081</v>
      </c>
      <c r="E4">
        <v>1399</v>
      </c>
      <c r="F4">
        <v>1432</v>
      </c>
      <c r="G4">
        <f>VLOOKUP(Table55[[#This Row],[Shortname]], Comp[], 6, FALSE)</f>
        <v>11</v>
      </c>
      <c r="H4" s="14">
        <f>VLOOKUP(Table55[[#This Row],[Shortname]], Comp[], 7, FALSE)</f>
        <v>79.099999999999994</v>
      </c>
      <c r="I4">
        <f>VLOOKUP(Table55[[#This Row],[Shortname]], Comp[], 8, FALSE)</f>
        <v>0</v>
      </c>
      <c r="J4">
        <f>VLOOKUP(Table55[[#This Row],[Shortname]], Comp[], 9, FALSE)</f>
        <v>8.4</v>
      </c>
      <c r="K4">
        <f>VLOOKUP(Table55[[#This Row],[Shortname]], Comp[], 10, FALSE)</f>
        <v>0</v>
      </c>
      <c r="L4">
        <f>VLOOKUP(Table55[[#This Row],[Shortname]], Comp[], 11, FALSE)</f>
        <v>10.3</v>
      </c>
      <c r="M4">
        <f>VLOOKUP(Table55[[#This Row],[Shortname]], Comp[],12, FALSE)</f>
        <v>2.2000000000000002</v>
      </c>
      <c r="N4">
        <f>VLOOKUP(Table55[[#This Row],[Shortname]], Comp[], 13, FALSE)</f>
        <v>0</v>
      </c>
      <c r="O4">
        <f>VLOOKUP(Table55[[#This Row],[Shortname]], Comp[], 14, FALSE)</f>
        <v>0</v>
      </c>
      <c r="P4">
        <f>VLOOKUP(Table55[[#This Row],[Shortname]], Comp[], 15, FALSE)</f>
        <v>0</v>
      </c>
      <c r="Q4">
        <f>VLOOKUP(Table55[[#This Row],[Shortname]], Comp[], 16, FALSE)</f>
        <v>0</v>
      </c>
      <c r="R4">
        <f>VLOOKUP(Table55[[#This Row],[Shortname]], Comp[], 17, FALSE)</f>
        <v>0</v>
      </c>
      <c r="S4">
        <f>VLOOKUP(Table55[[#This Row],[Shortname]], Comp[], 18, FALSE)</f>
        <v>0</v>
      </c>
      <c r="T4">
        <f>VLOOKUP(Table55[[#This Row],[Shortname]], Comp[], 19, FALSE)</f>
        <v>0</v>
      </c>
      <c r="U4">
        <f>VLOOKUP(Table55[[#This Row],[Shortname]], Comp[], 20, FALSE)</f>
        <v>0</v>
      </c>
      <c r="V4">
        <f>VLOOKUP(Table55[[#This Row],[Shortname]], Comp[], 21, FALSE)</f>
        <v>0</v>
      </c>
      <c r="W4">
        <f>VLOOKUP(Table55[[#This Row],[Shortname]], Comp[], 22, FALSE)</f>
        <v>0</v>
      </c>
      <c r="X4">
        <f>VLOOKUP(Table55[[#This Row],[Shortname]], Comp[], 23, FALSE)</f>
        <v>0</v>
      </c>
      <c r="Y4">
        <f>VLOOKUP(Table55[[#This Row],[Shortname]], Comp[], 24, FALSE)</f>
        <v>0</v>
      </c>
      <c r="Z4">
        <f>VLOOKUP(Table55[[#This Row],[Shortname]], Comp[], 25, FALSE)</f>
        <v>0</v>
      </c>
      <c r="AA4">
        <f>VLOOKUP(Table55[[#This Row],[Shortname]], Comp[], 26, FALSE)</f>
        <v>0</v>
      </c>
      <c r="AB4">
        <f>VLOOKUP(Table55[[#This Row],[Shortname]], Comp[], 27, FALSE)</f>
        <v>0</v>
      </c>
      <c r="AC4">
        <f>VLOOKUP(Table55[[#This Row],[Shortname]], Comp[], 28, FALSE)</f>
        <v>0</v>
      </c>
      <c r="AD4">
        <f>VLOOKUP(Table55[[#This Row],[Shortname]], Comp[], 29, FALSE)</f>
        <v>0</v>
      </c>
      <c r="AE4">
        <f>VLOOKUP(Table55[[#This Row],[Shortname]], Comp[], 30, FALSE)</f>
        <v>0</v>
      </c>
      <c r="AF4">
        <f>VLOOKUP(Table55[[#This Row],[Shortname]], Comp[], 31, FALSE)</f>
        <v>0</v>
      </c>
    </row>
    <row r="5" spans="1:32" x14ac:dyDescent="0.3">
      <c r="A5" t="s">
        <v>124</v>
      </c>
      <c r="B5" t="s">
        <v>126</v>
      </c>
      <c r="C5" s="15" t="s">
        <v>6649</v>
      </c>
      <c r="D5">
        <v>1030</v>
      </c>
      <c r="E5">
        <v>1420</v>
      </c>
      <c r="F5">
        <v>1451</v>
      </c>
      <c r="G5">
        <f>VLOOKUP(Table55[[#This Row],[Shortname]], Comp[], 6, FALSE)</f>
        <v>12</v>
      </c>
      <c r="H5" s="14">
        <f>VLOOKUP(Table55[[#This Row],[Shortname]], Comp[], 7, FALSE)</f>
        <v>77.5</v>
      </c>
      <c r="I5">
        <f>VLOOKUP(Table55[[#This Row],[Shortname]], Comp[], 8, FALSE)</f>
        <v>0</v>
      </c>
      <c r="J5">
        <f>VLOOKUP(Table55[[#This Row],[Shortname]], Comp[], 9, FALSE)</f>
        <v>9</v>
      </c>
      <c r="K5">
        <f>VLOOKUP(Table55[[#This Row],[Shortname]], Comp[], 10, FALSE)</f>
        <v>0</v>
      </c>
      <c r="L5">
        <f>VLOOKUP(Table55[[#This Row],[Shortname]], Comp[], 11, FALSE)</f>
        <v>11.4</v>
      </c>
      <c r="M5">
        <f>VLOOKUP(Table55[[#This Row],[Shortname]], Comp[],12, FALSE)</f>
        <v>0</v>
      </c>
      <c r="N5">
        <f>VLOOKUP(Table55[[#This Row],[Shortname]], Comp[], 13, FALSE)</f>
        <v>0</v>
      </c>
      <c r="O5">
        <f>VLOOKUP(Table55[[#This Row],[Shortname]], Comp[], 14, FALSE)</f>
        <v>0</v>
      </c>
      <c r="P5">
        <f>VLOOKUP(Table55[[#This Row],[Shortname]], Comp[], 15, FALSE)</f>
        <v>2.1</v>
      </c>
      <c r="Q5">
        <f>VLOOKUP(Table55[[#This Row],[Shortname]], Comp[], 16, FALSE)</f>
        <v>0</v>
      </c>
      <c r="R5">
        <f>VLOOKUP(Table55[[#This Row],[Shortname]], Comp[], 17, FALSE)</f>
        <v>0</v>
      </c>
      <c r="S5">
        <f>VLOOKUP(Table55[[#This Row],[Shortname]], Comp[], 18, FALSE)</f>
        <v>0</v>
      </c>
      <c r="T5">
        <f>VLOOKUP(Table55[[#This Row],[Shortname]], Comp[], 19, FALSE)</f>
        <v>0</v>
      </c>
      <c r="U5">
        <f>VLOOKUP(Table55[[#This Row],[Shortname]], Comp[], 20, FALSE)</f>
        <v>0</v>
      </c>
      <c r="V5">
        <f>VLOOKUP(Table55[[#This Row],[Shortname]], Comp[], 21, FALSE)</f>
        <v>0</v>
      </c>
      <c r="W5">
        <f>VLOOKUP(Table55[[#This Row],[Shortname]], Comp[], 22, FALSE)</f>
        <v>0</v>
      </c>
      <c r="X5">
        <f>VLOOKUP(Table55[[#This Row],[Shortname]], Comp[], 23, FALSE)</f>
        <v>0</v>
      </c>
      <c r="Y5">
        <f>VLOOKUP(Table55[[#This Row],[Shortname]], Comp[], 24, FALSE)</f>
        <v>0</v>
      </c>
      <c r="Z5">
        <f>VLOOKUP(Table55[[#This Row],[Shortname]], Comp[], 25, FALSE)</f>
        <v>0</v>
      </c>
      <c r="AA5">
        <f>VLOOKUP(Table55[[#This Row],[Shortname]], Comp[], 26, FALSE)</f>
        <v>0</v>
      </c>
      <c r="AB5">
        <f>VLOOKUP(Table55[[#This Row],[Shortname]], Comp[], 27, FALSE)</f>
        <v>0</v>
      </c>
      <c r="AC5">
        <f>VLOOKUP(Table55[[#This Row],[Shortname]], Comp[], 28, FALSE)</f>
        <v>0</v>
      </c>
      <c r="AD5">
        <f>VLOOKUP(Table55[[#This Row],[Shortname]], Comp[], 29, FALSE)</f>
        <v>0</v>
      </c>
      <c r="AE5">
        <f>VLOOKUP(Table55[[#This Row],[Shortname]], Comp[], 30, FALSE)</f>
        <v>0</v>
      </c>
      <c r="AF5">
        <f>VLOOKUP(Table55[[#This Row],[Shortname]], Comp[], 31, FALSE)</f>
        <v>0</v>
      </c>
    </row>
    <row r="6" spans="1:32" x14ac:dyDescent="0.3">
      <c r="A6" t="s">
        <v>134</v>
      </c>
      <c r="B6" t="s">
        <v>136</v>
      </c>
      <c r="C6" s="15" t="s">
        <v>6650</v>
      </c>
      <c r="D6">
        <v>1102</v>
      </c>
      <c r="E6">
        <v>1377</v>
      </c>
      <c r="F6">
        <v>1416</v>
      </c>
      <c r="G6">
        <f>VLOOKUP(Table55[[#This Row],[Shortname]], Comp[], 6, FALSE)</f>
        <v>13</v>
      </c>
      <c r="H6" s="14">
        <f>VLOOKUP(Table55[[#This Row],[Shortname]], Comp[], 7, FALSE)</f>
        <v>81.300000000000011</v>
      </c>
      <c r="I6">
        <f>VLOOKUP(Table55[[#This Row],[Shortname]], Comp[], 8, FALSE)</f>
        <v>0</v>
      </c>
      <c r="J6">
        <f>VLOOKUP(Table55[[#This Row],[Shortname]], Comp[], 9, FALSE)</f>
        <v>7.6</v>
      </c>
      <c r="K6">
        <f>VLOOKUP(Table55[[#This Row],[Shortname]], Comp[], 10, FALSE)</f>
        <v>0</v>
      </c>
      <c r="L6">
        <f>VLOOKUP(Table55[[#This Row],[Shortname]], Comp[], 11, FALSE)</f>
        <v>9.1999999999999993</v>
      </c>
      <c r="M6">
        <f>VLOOKUP(Table55[[#This Row],[Shortname]], Comp[],12, FALSE)</f>
        <v>0</v>
      </c>
      <c r="N6">
        <f>VLOOKUP(Table55[[#This Row],[Shortname]], Comp[], 13, FALSE)</f>
        <v>1.9</v>
      </c>
      <c r="O6">
        <f>VLOOKUP(Table55[[#This Row],[Shortname]], Comp[], 14, FALSE)</f>
        <v>0</v>
      </c>
      <c r="P6">
        <f>VLOOKUP(Table55[[#This Row],[Shortname]], Comp[], 15, FALSE)</f>
        <v>0</v>
      </c>
      <c r="Q6">
        <f>VLOOKUP(Table55[[#This Row],[Shortname]], Comp[], 16, FALSE)</f>
        <v>0</v>
      </c>
      <c r="R6">
        <f>VLOOKUP(Table55[[#This Row],[Shortname]], Comp[], 17, FALSE)</f>
        <v>0</v>
      </c>
      <c r="S6">
        <f>VLOOKUP(Table55[[#This Row],[Shortname]], Comp[], 18, FALSE)</f>
        <v>0</v>
      </c>
      <c r="T6">
        <f>VLOOKUP(Table55[[#This Row],[Shortname]], Comp[], 19, FALSE)</f>
        <v>0</v>
      </c>
      <c r="U6">
        <f>VLOOKUP(Table55[[#This Row],[Shortname]], Comp[], 20, FALSE)</f>
        <v>0</v>
      </c>
      <c r="V6">
        <f>VLOOKUP(Table55[[#This Row],[Shortname]], Comp[], 21, FALSE)</f>
        <v>0</v>
      </c>
      <c r="W6">
        <f>VLOOKUP(Table55[[#This Row],[Shortname]], Comp[], 22, FALSE)</f>
        <v>0</v>
      </c>
      <c r="X6">
        <f>VLOOKUP(Table55[[#This Row],[Shortname]], Comp[], 23, FALSE)</f>
        <v>0</v>
      </c>
      <c r="Y6">
        <f>VLOOKUP(Table55[[#This Row],[Shortname]], Comp[], 24, FALSE)</f>
        <v>0</v>
      </c>
      <c r="Z6">
        <f>VLOOKUP(Table55[[#This Row],[Shortname]], Comp[], 25, FALSE)</f>
        <v>0</v>
      </c>
      <c r="AA6">
        <f>VLOOKUP(Table55[[#This Row],[Shortname]], Comp[], 26, FALSE)</f>
        <v>0</v>
      </c>
      <c r="AB6">
        <f>VLOOKUP(Table55[[#This Row],[Shortname]], Comp[], 27, FALSE)</f>
        <v>0</v>
      </c>
      <c r="AC6">
        <f>VLOOKUP(Table55[[#This Row],[Shortname]], Comp[], 28, FALSE)</f>
        <v>0</v>
      </c>
      <c r="AD6">
        <f>VLOOKUP(Table55[[#This Row],[Shortname]], Comp[], 29, FALSE)</f>
        <v>0</v>
      </c>
      <c r="AE6">
        <f>VLOOKUP(Table55[[#This Row],[Shortname]], Comp[], 30, FALSE)</f>
        <v>0</v>
      </c>
      <c r="AF6">
        <f>VLOOKUP(Table55[[#This Row],[Shortname]], Comp[], 31, FALSE)</f>
        <v>0</v>
      </c>
    </row>
    <row r="7" spans="1:32" x14ac:dyDescent="0.3">
      <c r="A7" t="s">
        <v>152</v>
      </c>
      <c r="B7" t="s">
        <v>154</v>
      </c>
      <c r="C7" s="15" t="s">
        <v>6651</v>
      </c>
      <c r="D7">
        <v>1101</v>
      </c>
      <c r="E7">
        <v>1410</v>
      </c>
      <c r="F7">
        <v>1438</v>
      </c>
      <c r="G7">
        <f>VLOOKUP(Table55[[#This Row],[Shortname]], Comp[], 6, FALSE)</f>
        <v>15</v>
      </c>
      <c r="H7" s="14">
        <f>VLOOKUP(Table55[[#This Row],[Shortname]], Comp[], 7, FALSE)</f>
        <v>81.5</v>
      </c>
      <c r="I7">
        <f>VLOOKUP(Table55[[#This Row],[Shortname]], Comp[], 8, FALSE)</f>
        <v>0</v>
      </c>
      <c r="J7">
        <f>VLOOKUP(Table55[[#This Row],[Shortname]], Comp[], 9, FALSE)</f>
        <v>8.1</v>
      </c>
      <c r="K7">
        <f>VLOOKUP(Table55[[#This Row],[Shortname]], Comp[], 10, FALSE)</f>
        <v>0</v>
      </c>
      <c r="L7">
        <f>VLOOKUP(Table55[[#This Row],[Shortname]], Comp[], 11, FALSE)</f>
        <v>8.4</v>
      </c>
      <c r="M7">
        <f>VLOOKUP(Table55[[#This Row],[Shortname]], Comp[],12, FALSE)</f>
        <v>0</v>
      </c>
      <c r="N7">
        <f>VLOOKUP(Table55[[#This Row],[Shortname]], Comp[], 13, FALSE)</f>
        <v>2</v>
      </c>
      <c r="O7">
        <f>VLOOKUP(Table55[[#This Row],[Shortname]], Comp[], 14, FALSE)</f>
        <v>0</v>
      </c>
      <c r="P7">
        <f>VLOOKUP(Table55[[#This Row],[Shortname]], Comp[], 15, FALSE)</f>
        <v>0</v>
      </c>
      <c r="Q7">
        <f>VLOOKUP(Table55[[#This Row],[Shortname]], Comp[], 16, FALSE)</f>
        <v>0</v>
      </c>
      <c r="R7">
        <f>VLOOKUP(Table55[[#This Row],[Shortname]], Comp[], 17, FALSE)</f>
        <v>0</v>
      </c>
      <c r="S7">
        <f>VLOOKUP(Table55[[#This Row],[Shortname]], Comp[], 18, FALSE)</f>
        <v>0</v>
      </c>
      <c r="T7">
        <f>VLOOKUP(Table55[[#This Row],[Shortname]], Comp[], 19, FALSE)</f>
        <v>0</v>
      </c>
      <c r="U7">
        <f>VLOOKUP(Table55[[#This Row],[Shortname]], Comp[], 20, FALSE)</f>
        <v>0</v>
      </c>
      <c r="V7">
        <f>VLOOKUP(Table55[[#This Row],[Shortname]], Comp[], 21, FALSE)</f>
        <v>0</v>
      </c>
      <c r="W7">
        <f>VLOOKUP(Table55[[#This Row],[Shortname]], Comp[], 22, FALSE)</f>
        <v>0</v>
      </c>
      <c r="X7">
        <f>VLOOKUP(Table55[[#This Row],[Shortname]], Comp[], 23, FALSE)</f>
        <v>0</v>
      </c>
      <c r="Y7">
        <f>VLOOKUP(Table55[[#This Row],[Shortname]], Comp[], 24, FALSE)</f>
        <v>0</v>
      </c>
      <c r="Z7">
        <f>VLOOKUP(Table55[[#This Row],[Shortname]], Comp[], 25, FALSE)</f>
        <v>0</v>
      </c>
      <c r="AA7">
        <f>VLOOKUP(Table55[[#This Row],[Shortname]], Comp[], 26, FALSE)</f>
        <v>0</v>
      </c>
      <c r="AB7">
        <f>VLOOKUP(Table55[[#This Row],[Shortname]], Comp[], 27, FALSE)</f>
        <v>0</v>
      </c>
      <c r="AC7">
        <f>VLOOKUP(Table55[[#This Row],[Shortname]], Comp[], 28, FALSE)</f>
        <v>0</v>
      </c>
      <c r="AD7">
        <f>VLOOKUP(Table55[[#This Row],[Shortname]], Comp[], 29, FALSE)</f>
        <v>0</v>
      </c>
      <c r="AE7">
        <f>VLOOKUP(Table55[[#This Row],[Shortname]], Comp[], 30, FALSE)</f>
        <v>0</v>
      </c>
      <c r="AF7">
        <f>VLOOKUP(Table55[[#This Row],[Shortname]], Comp[], 31, FALSE)</f>
        <v>0</v>
      </c>
    </row>
    <row r="8" spans="1:32" x14ac:dyDescent="0.3">
      <c r="A8" t="s">
        <v>159</v>
      </c>
      <c r="B8" t="s">
        <v>162</v>
      </c>
      <c r="C8" s="15" t="s">
        <v>6652</v>
      </c>
      <c r="D8">
        <v>1081</v>
      </c>
      <c r="E8">
        <v>1403</v>
      </c>
      <c r="F8">
        <v>1430</v>
      </c>
      <c r="G8">
        <f>VLOOKUP(Table55[[#This Row],[Shortname]], Comp[], 6, FALSE)</f>
        <v>16</v>
      </c>
      <c r="H8" s="14">
        <f>VLOOKUP(Table55[[#This Row],[Shortname]], Comp[], 7, FALSE)</f>
        <v>81.3</v>
      </c>
      <c r="I8">
        <f>VLOOKUP(Table55[[#This Row],[Shortname]], Comp[], 8, FALSE)</f>
        <v>0</v>
      </c>
      <c r="J8">
        <f>VLOOKUP(Table55[[#This Row],[Shortname]], Comp[], 9, FALSE)</f>
        <v>8</v>
      </c>
      <c r="K8">
        <f>VLOOKUP(Table55[[#This Row],[Shortname]], Comp[], 10, FALSE)</f>
        <v>1.9</v>
      </c>
      <c r="L8">
        <f>VLOOKUP(Table55[[#This Row],[Shortname]], Comp[], 11, FALSE)</f>
        <v>7.2</v>
      </c>
      <c r="M8">
        <f>VLOOKUP(Table55[[#This Row],[Shortname]], Comp[],12, FALSE)</f>
        <v>0</v>
      </c>
      <c r="N8">
        <f>VLOOKUP(Table55[[#This Row],[Shortname]], Comp[], 13, FALSE)</f>
        <v>1.6</v>
      </c>
      <c r="O8">
        <f>VLOOKUP(Table55[[#This Row],[Shortname]], Comp[], 14, FALSE)</f>
        <v>0</v>
      </c>
      <c r="P8">
        <f>VLOOKUP(Table55[[#This Row],[Shortname]], Comp[], 15, FALSE)</f>
        <v>0</v>
      </c>
      <c r="Q8">
        <f>VLOOKUP(Table55[[#This Row],[Shortname]], Comp[], 16, FALSE)</f>
        <v>0</v>
      </c>
      <c r="R8">
        <f>VLOOKUP(Table55[[#This Row],[Shortname]], Comp[], 17, FALSE)</f>
        <v>0</v>
      </c>
      <c r="S8">
        <f>VLOOKUP(Table55[[#This Row],[Shortname]], Comp[], 18, FALSE)</f>
        <v>0</v>
      </c>
      <c r="T8">
        <f>VLOOKUP(Table55[[#This Row],[Shortname]], Comp[], 19, FALSE)</f>
        <v>0</v>
      </c>
      <c r="U8">
        <f>VLOOKUP(Table55[[#This Row],[Shortname]], Comp[], 20, FALSE)</f>
        <v>0</v>
      </c>
      <c r="V8">
        <f>VLOOKUP(Table55[[#This Row],[Shortname]], Comp[], 21, FALSE)</f>
        <v>0</v>
      </c>
      <c r="W8">
        <f>VLOOKUP(Table55[[#This Row],[Shortname]], Comp[], 22, FALSE)</f>
        <v>0</v>
      </c>
      <c r="X8">
        <f>VLOOKUP(Table55[[#This Row],[Shortname]], Comp[], 23, FALSE)</f>
        <v>0</v>
      </c>
      <c r="Y8">
        <f>VLOOKUP(Table55[[#This Row],[Shortname]], Comp[], 24, FALSE)</f>
        <v>0</v>
      </c>
      <c r="Z8">
        <f>VLOOKUP(Table55[[#This Row],[Shortname]], Comp[], 25, FALSE)</f>
        <v>0</v>
      </c>
      <c r="AA8">
        <f>VLOOKUP(Table55[[#This Row],[Shortname]], Comp[], 26, FALSE)</f>
        <v>0</v>
      </c>
      <c r="AB8">
        <f>VLOOKUP(Table55[[#This Row],[Shortname]], Comp[], 27, FALSE)</f>
        <v>0</v>
      </c>
      <c r="AC8">
        <f>VLOOKUP(Table55[[#This Row],[Shortname]], Comp[], 28, FALSE)</f>
        <v>0</v>
      </c>
      <c r="AD8">
        <f>VLOOKUP(Table55[[#This Row],[Shortname]], Comp[], 29, FALSE)</f>
        <v>0</v>
      </c>
      <c r="AE8">
        <f>VLOOKUP(Table55[[#This Row],[Shortname]], Comp[], 30, FALSE)</f>
        <v>0</v>
      </c>
      <c r="AF8">
        <f>VLOOKUP(Table55[[#This Row],[Shortname]], Comp[], 31, FALSE)</f>
        <v>0</v>
      </c>
    </row>
    <row r="9" spans="1:32" x14ac:dyDescent="0.3">
      <c r="A9" t="s">
        <v>171</v>
      </c>
      <c r="B9" t="s">
        <v>173</v>
      </c>
      <c r="C9" s="15" t="s">
        <v>6653</v>
      </c>
      <c r="D9">
        <v>1078</v>
      </c>
      <c r="E9">
        <v>1387</v>
      </c>
      <c r="F9">
        <v>1409</v>
      </c>
      <c r="G9">
        <f>VLOOKUP(Table55[[#This Row],[Shortname]], Comp[], 6, FALSE)</f>
        <v>17</v>
      </c>
      <c r="H9" s="14">
        <f>VLOOKUP(Table55[[#This Row],[Shortname]], Comp[], 7, FALSE)</f>
        <v>82.4</v>
      </c>
      <c r="I9">
        <f>VLOOKUP(Table55[[#This Row],[Shortname]], Comp[], 8, FALSE)</f>
        <v>0</v>
      </c>
      <c r="J9">
        <f>VLOOKUP(Table55[[#This Row],[Shortname]], Comp[], 9, FALSE)</f>
        <v>8.1</v>
      </c>
      <c r="K9">
        <f>VLOOKUP(Table55[[#This Row],[Shortname]], Comp[], 10, FALSE)</f>
        <v>0</v>
      </c>
      <c r="L9">
        <f>VLOOKUP(Table55[[#This Row],[Shortname]], Comp[], 11, FALSE)</f>
        <v>6.7</v>
      </c>
      <c r="M9">
        <f>VLOOKUP(Table55[[#This Row],[Shortname]], Comp[],12, FALSE)</f>
        <v>0</v>
      </c>
      <c r="N9">
        <f>VLOOKUP(Table55[[#This Row],[Shortname]], Comp[], 13, FALSE)</f>
        <v>1.4</v>
      </c>
      <c r="O9">
        <f>VLOOKUP(Table55[[#This Row],[Shortname]], Comp[], 14, FALSE)</f>
        <v>1.4</v>
      </c>
      <c r="P9">
        <f>VLOOKUP(Table55[[#This Row],[Shortname]], Comp[], 15, FALSE)</f>
        <v>0</v>
      </c>
      <c r="Q9">
        <f>VLOOKUP(Table55[[#This Row],[Shortname]], Comp[], 16, FALSE)</f>
        <v>0</v>
      </c>
      <c r="R9">
        <f>VLOOKUP(Table55[[#This Row],[Shortname]], Comp[], 17, FALSE)</f>
        <v>0</v>
      </c>
      <c r="S9">
        <f>VLOOKUP(Table55[[#This Row],[Shortname]], Comp[], 18, FALSE)</f>
        <v>0</v>
      </c>
      <c r="T9">
        <f>VLOOKUP(Table55[[#This Row],[Shortname]], Comp[], 19, FALSE)</f>
        <v>0</v>
      </c>
      <c r="U9">
        <f>VLOOKUP(Table55[[#This Row],[Shortname]], Comp[], 20, FALSE)</f>
        <v>0</v>
      </c>
      <c r="V9">
        <f>VLOOKUP(Table55[[#This Row],[Shortname]], Comp[], 21, FALSE)</f>
        <v>0</v>
      </c>
      <c r="W9">
        <f>VLOOKUP(Table55[[#This Row],[Shortname]], Comp[], 22, FALSE)</f>
        <v>0</v>
      </c>
      <c r="X9">
        <f>VLOOKUP(Table55[[#This Row],[Shortname]], Comp[], 23, FALSE)</f>
        <v>0</v>
      </c>
      <c r="Y9">
        <f>VLOOKUP(Table55[[#This Row],[Shortname]], Comp[], 24, FALSE)</f>
        <v>0</v>
      </c>
      <c r="Z9">
        <f>VLOOKUP(Table55[[#This Row],[Shortname]], Comp[], 25, FALSE)</f>
        <v>0</v>
      </c>
      <c r="AA9">
        <f>VLOOKUP(Table55[[#This Row],[Shortname]], Comp[], 26, FALSE)</f>
        <v>0</v>
      </c>
      <c r="AB9">
        <f>VLOOKUP(Table55[[#This Row],[Shortname]], Comp[], 27, FALSE)</f>
        <v>0</v>
      </c>
      <c r="AC9">
        <f>VLOOKUP(Table55[[#This Row],[Shortname]], Comp[], 28, FALSE)</f>
        <v>0</v>
      </c>
      <c r="AD9">
        <f>VLOOKUP(Table55[[#This Row],[Shortname]], Comp[], 29, FALSE)</f>
        <v>0</v>
      </c>
      <c r="AE9">
        <f>VLOOKUP(Table55[[#This Row],[Shortname]], Comp[], 30, FALSE)</f>
        <v>0</v>
      </c>
      <c r="AF9">
        <f>VLOOKUP(Table55[[#This Row],[Shortname]], Comp[], 31, FALSE)</f>
        <v>0</v>
      </c>
    </row>
    <row r="10" spans="1:32" x14ac:dyDescent="0.3">
      <c r="A10" t="s">
        <v>181</v>
      </c>
      <c r="B10" t="s">
        <v>183</v>
      </c>
      <c r="C10" s="15" t="s">
        <v>6654</v>
      </c>
      <c r="D10">
        <v>1055</v>
      </c>
      <c r="E10">
        <v>1389</v>
      </c>
      <c r="F10">
        <v>1410</v>
      </c>
      <c r="G10">
        <f>VLOOKUP(Table55[[#This Row],[Shortname]], Comp[], 6, FALSE)</f>
        <v>18</v>
      </c>
      <c r="H10" s="14">
        <f>VLOOKUP(Table55[[#This Row],[Shortname]], Comp[], 7, FALSE)</f>
        <v>80.8</v>
      </c>
      <c r="I10">
        <f>VLOOKUP(Table55[[#This Row],[Shortname]], Comp[], 8, FALSE)</f>
        <v>0</v>
      </c>
      <c r="J10">
        <f>VLOOKUP(Table55[[#This Row],[Shortname]], Comp[], 9, FALSE)</f>
        <v>8.1</v>
      </c>
      <c r="K10">
        <f>VLOOKUP(Table55[[#This Row],[Shortname]], Comp[], 10, FALSE)</f>
        <v>0</v>
      </c>
      <c r="L10">
        <f>VLOOKUP(Table55[[#This Row],[Shortname]], Comp[], 11, FALSE)</f>
        <v>7.7</v>
      </c>
      <c r="M10">
        <f>VLOOKUP(Table55[[#This Row],[Shortname]], Comp[],12, FALSE)</f>
        <v>0</v>
      </c>
      <c r="N10">
        <f>VLOOKUP(Table55[[#This Row],[Shortname]], Comp[], 13, FALSE)</f>
        <v>1.6</v>
      </c>
      <c r="O10">
        <f>VLOOKUP(Table55[[#This Row],[Shortname]], Comp[], 14, FALSE)</f>
        <v>0</v>
      </c>
      <c r="P10">
        <f>VLOOKUP(Table55[[#This Row],[Shortname]], Comp[], 15, FALSE)</f>
        <v>0</v>
      </c>
      <c r="Q10">
        <f>VLOOKUP(Table55[[#This Row],[Shortname]], Comp[], 16, FALSE)</f>
        <v>0</v>
      </c>
      <c r="R10">
        <f>VLOOKUP(Table55[[#This Row],[Shortname]], Comp[], 17, FALSE)</f>
        <v>0</v>
      </c>
      <c r="S10">
        <f>VLOOKUP(Table55[[#This Row],[Shortname]], Comp[], 18, FALSE)</f>
        <v>0</v>
      </c>
      <c r="T10">
        <f>VLOOKUP(Table55[[#This Row],[Shortname]], Comp[], 19, FALSE)</f>
        <v>0</v>
      </c>
      <c r="U10">
        <f>VLOOKUP(Table55[[#This Row],[Shortname]], Comp[], 20, FALSE)</f>
        <v>0</v>
      </c>
      <c r="V10">
        <f>VLOOKUP(Table55[[#This Row],[Shortname]], Comp[], 21, FALSE)</f>
        <v>0</v>
      </c>
      <c r="W10">
        <f>VLOOKUP(Table55[[#This Row],[Shortname]], Comp[], 22, FALSE)</f>
        <v>1.8</v>
      </c>
      <c r="X10">
        <f>VLOOKUP(Table55[[#This Row],[Shortname]], Comp[], 23, FALSE)</f>
        <v>0</v>
      </c>
      <c r="Y10">
        <f>VLOOKUP(Table55[[#This Row],[Shortname]], Comp[], 24, FALSE)</f>
        <v>0</v>
      </c>
      <c r="Z10">
        <f>VLOOKUP(Table55[[#This Row],[Shortname]], Comp[], 25, FALSE)</f>
        <v>0</v>
      </c>
      <c r="AA10">
        <f>VLOOKUP(Table55[[#This Row],[Shortname]], Comp[], 26, FALSE)</f>
        <v>0</v>
      </c>
      <c r="AB10">
        <f>VLOOKUP(Table55[[#This Row],[Shortname]], Comp[], 27, FALSE)</f>
        <v>0</v>
      </c>
      <c r="AC10">
        <f>VLOOKUP(Table55[[#This Row],[Shortname]], Comp[], 28, FALSE)</f>
        <v>0</v>
      </c>
      <c r="AD10">
        <f>VLOOKUP(Table55[[#This Row],[Shortname]], Comp[], 29, FALSE)</f>
        <v>0</v>
      </c>
      <c r="AE10">
        <f>VLOOKUP(Table55[[#This Row],[Shortname]], Comp[], 30, FALSE)</f>
        <v>0</v>
      </c>
      <c r="AF10">
        <f>VLOOKUP(Table55[[#This Row],[Shortname]], Comp[], 31, FALSE)</f>
        <v>0</v>
      </c>
    </row>
    <row r="11" spans="1:32" x14ac:dyDescent="0.3">
      <c r="A11" t="s">
        <v>190</v>
      </c>
      <c r="B11" t="s">
        <v>192</v>
      </c>
      <c r="C11" s="15" t="s">
        <v>6655</v>
      </c>
      <c r="D11">
        <v>1115</v>
      </c>
      <c r="E11">
        <v>1399</v>
      </c>
      <c r="F11">
        <v>1425</v>
      </c>
      <c r="G11">
        <f>VLOOKUP(Table55[[#This Row],[Shortname]], Comp[], 6, FALSE)</f>
        <v>19</v>
      </c>
      <c r="H11" s="14">
        <f>VLOOKUP(Table55[[#This Row],[Shortname]], Comp[], 7, FALSE)</f>
        <v>80.400000000000006</v>
      </c>
      <c r="I11">
        <f>VLOOKUP(Table55[[#This Row],[Shortname]], Comp[], 8, FALSE)</f>
        <v>0</v>
      </c>
      <c r="J11">
        <f>VLOOKUP(Table55[[#This Row],[Shortname]], Comp[], 9, FALSE)</f>
        <v>8.1999999999999993</v>
      </c>
      <c r="K11">
        <f>VLOOKUP(Table55[[#This Row],[Shortname]], Comp[], 10, FALSE)</f>
        <v>0</v>
      </c>
      <c r="L11">
        <f>VLOOKUP(Table55[[#This Row],[Shortname]], Comp[], 11, FALSE)</f>
        <v>7.5</v>
      </c>
      <c r="M11">
        <f>VLOOKUP(Table55[[#This Row],[Shortname]], Comp[],12, FALSE)</f>
        <v>0</v>
      </c>
      <c r="N11">
        <f>VLOOKUP(Table55[[#This Row],[Shortname]], Comp[], 13, FALSE)</f>
        <v>1.9</v>
      </c>
      <c r="O11">
        <f>VLOOKUP(Table55[[#This Row],[Shortname]], Comp[], 14, FALSE)</f>
        <v>0</v>
      </c>
      <c r="P11">
        <f>VLOOKUP(Table55[[#This Row],[Shortname]], Comp[], 15, FALSE)</f>
        <v>2</v>
      </c>
      <c r="Q11">
        <f>VLOOKUP(Table55[[#This Row],[Shortname]], Comp[], 16, FALSE)</f>
        <v>0</v>
      </c>
      <c r="R11">
        <f>VLOOKUP(Table55[[#This Row],[Shortname]], Comp[], 17, FALSE)</f>
        <v>0</v>
      </c>
      <c r="S11">
        <f>VLOOKUP(Table55[[#This Row],[Shortname]], Comp[], 18, FALSE)</f>
        <v>0</v>
      </c>
      <c r="T11">
        <f>VLOOKUP(Table55[[#This Row],[Shortname]], Comp[], 19, FALSE)</f>
        <v>0</v>
      </c>
      <c r="U11">
        <f>VLOOKUP(Table55[[#This Row],[Shortname]], Comp[], 20, FALSE)</f>
        <v>0</v>
      </c>
      <c r="V11">
        <f>VLOOKUP(Table55[[#This Row],[Shortname]], Comp[], 21, FALSE)</f>
        <v>0</v>
      </c>
      <c r="W11">
        <f>VLOOKUP(Table55[[#This Row],[Shortname]], Comp[], 22, FALSE)</f>
        <v>0</v>
      </c>
      <c r="X11">
        <f>VLOOKUP(Table55[[#This Row],[Shortname]], Comp[], 23, FALSE)</f>
        <v>0</v>
      </c>
      <c r="Y11">
        <f>VLOOKUP(Table55[[#This Row],[Shortname]], Comp[], 24, FALSE)</f>
        <v>0</v>
      </c>
      <c r="Z11">
        <f>VLOOKUP(Table55[[#This Row],[Shortname]], Comp[], 25, FALSE)</f>
        <v>0</v>
      </c>
      <c r="AA11">
        <f>VLOOKUP(Table55[[#This Row],[Shortname]], Comp[], 26, FALSE)</f>
        <v>0</v>
      </c>
      <c r="AB11">
        <f>VLOOKUP(Table55[[#This Row],[Shortname]], Comp[], 27, FALSE)</f>
        <v>0</v>
      </c>
      <c r="AC11">
        <f>VLOOKUP(Table55[[#This Row],[Shortname]], Comp[], 28, FALSE)</f>
        <v>0</v>
      </c>
      <c r="AD11">
        <f>VLOOKUP(Table55[[#This Row],[Shortname]], Comp[], 29, FALSE)</f>
        <v>0</v>
      </c>
      <c r="AE11">
        <f>VLOOKUP(Table55[[#This Row],[Shortname]], Comp[], 30, FALSE)</f>
        <v>0</v>
      </c>
      <c r="AF11">
        <f>VLOOKUP(Table55[[#This Row],[Shortname]], Comp[], 31, FALSE)</f>
        <v>0</v>
      </c>
    </row>
    <row r="12" spans="1:32" x14ac:dyDescent="0.3">
      <c r="A12" t="s">
        <v>200</v>
      </c>
      <c r="B12" t="s">
        <v>202</v>
      </c>
      <c r="C12" s="15" t="s">
        <v>6656</v>
      </c>
      <c r="D12">
        <v>1082</v>
      </c>
      <c r="E12">
        <v>1397</v>
      </c>
      <c r="F12">
        <v>1416</v>
      </c>
      <c r="G12">
        <f>VLOOKUP(Table55[[#This Row],[Shortname]], Comp[], 6, FALSE)</f>
        <v>20</v>
      </c>
      <c r="H12" s="14">
        <f>VLOOKUP(Table55[[#This Row],[Shortname]], Comp[], 7, FALSE)</f>
        <v>78.599999999999994</v>
      </c>
      <c r="I12">
        <f>VLOOKUP(Table55[[#This Row],[Shortname]], Comp[], 8, FALSE)</f>
        <v>0</v>
      </c>
      <c r="J12">
        <f>VLOOKUP(Table55[[#This Row],[Shortname]], Comp[], 9, FALSE)</f>
        <v>8.1999999999999993</v>
      </c>
      <c r="K12">
        <f>VLOOKUP(Table55[[#This Row],[Shortname]], Comp[], 10, FALSE)</f>
        <v>0</v>
      </c>
      <c r="L12">
        <f>VLOOKUP(Table55[[#This Row],[Shortname]], Comp[], 11, FALSE)</f>
        <v>9.6</v>
      </c>
      <c r="M12">
        <f>VLOOKUP(Table55[[#This Row],[Shortname]], Comp[],12, FALSE)</f>
        <v>0</v>
      </c>
      <c r="N12">
        <f>VLOOKUP(Table55[[#This Row],[Shortname]], Comp[], 13, FALSE)</f>
        <v>1.8</v>
      </c>
      <c r="O12">
        <f>VLOOKUP(Table55[[#This Row],[Shortname]], Comp[], 14, FALSE)</f>
        <v>0</v>
      </c>
      <c r="P12">
        <f>VLOOKUP(Table55[[#This Row],[Shortname]], Comp[], 15, FALSE)</f>
        <v>0</v>
      </c>
      <c r="Q12">
        <f>VLOOKUP(Table55[[#This Row],[Shortname]], Comp[], 16, FALSE)</f>
        <v>1.8</v>
      </c>
      <c r="R12">
        <f>VLOOKUP(Table55[[#This Row],[Shortname]], Comp[], 17, FALSE)</f>
        <v>0</v>
      </c>
      <c r="S12">
        <f>VLOOKUP(Table55[[#This Row],[Shortname]], Comp[], 18, FALSE)</f>
        <v>0</v>
      </c>
      <c r="T12">
        <f>VLOOKUP(Table55[[#This Row],[Shortname]], Comp[], 19, FALSE)</f>
        <v>0</v>
      </c>
      <c r="U12">
        <f>VLOOKUP(Table55[[#This Row],[Shortname]], Comp[], 20, FALSE)</f>
        <v>0</v>
      </c>
      <c r="V12">
        <f>VLOOKUP(Table55[[#This Row],[Shortname]], Comp[], 21, FALSE)</f>
        <v>0</v>
      </c>
      <c r="W12">
        <f>VLOOKUP(Table55[[#This Row],[Shortname]], Comp[], 22, FALSE)</f>
        <v>0</v>
      </c>
      <c r="X12">
        <f>VLOOKUP(Table55[[#This Row],[Shortname]], Comp[], 23, FALSE)</f>
        <v>0</v>
      </c>
      <c r="Y12">
        <f>VLOOKUP(Table55[[#This Row],[Shortname]], Comp[], 24, FALSE)</f>
        <v>0</v>
      </c>
      <c r="Z12">
        <f>VLOOKUP(Table55[[#This Row],[Shortname]], Comp[], 25, FALSE)</f>
        <v>0</v>
      </c>
      <c r="AA12">
        <f>VLOOKUP(Table55[[#This Row],[Shortname]], Comp[], 26, FALSE)</f>
        <v>0</v>
      </c>
      <c r="AB12">
        <f>VLOOKUP(Table55[[#This Row],[Shortname]], Comp[], 27, FALSE)</f>
        <v>0</v>
      </c>
      <c r="AC12">
        <f>VLOOKUP(Table55[[#This Row],[Shortname]], Comp[], 28, FALSE)</f>
        <v>0</v>
      </c>
      <c r="AD12">
        <f>VLOOKUP(Table55[[#This Row],[Shortname]], Comp[], 29, FALSE)</f>
        <v>0</v>
      </c>
      <c r="AE12">
        <f>VLOOKUP(Table55[[#This Row],[Shortname]], Comp[], 30, FALSE)</f>
        <v>0</v>
      </c>
      <c r="AF12">
        <f>VLOOKUP(Table55[[#This Row],[Shortname]], Comp[], 31, FALSE)</f>
        <v>0</v>
      </c>
    </row>
    <row r="13" spans="1:32" x14ac:dyDescent="0.3">
      <c r="A13" t="s">
        <v>5315</v>
      </c>
      <c r="B13" t="s">
        <v>5317</v>
      </c>
      <c r="C13" s="15" t="s">
        <v>6657</v>
      </c>
      <c r="D13">
        <v>1137</v>
      </c>
      <c r="E13">
        <v>1492</v>
      </c>
      <c r="F13">
        <v>1452</v>
      </c>
      <c r="G13">
        <f>VLOOKUP(Table55[[#This Row],[Shortname]], Comp[], 6, FALSE)</f>
        <v>21000</v>
      </c>
      <c r="H13" s="14">
        <f>VLOOKUP(Table55[[#This Row],[Shortname]], Comp[], 7, FALSE)</f>
        <v>78.599999999999994</v>
      </c>
      <c r="I13">
        <f>VLOOKUP(Table55[[#This Row],[Shortname]], Comp[], 8, FALSE)</f>
        <v>0</v>
      </c>
      <c r="J13">
        <f>VLOOKUP(Table55[[#This Row],[Shortname]], Comp[], 9, FALSE)</f>
        <v>8.1</v>
      </c>
      <c r="K13">
        <f>VLOOKUP(Table55[[#This Row],[Shortname]], Comp[], 10, FALSE)</f>
        <v>0</v>
      </c>
      <c r="L13">
        <f>VLOOKUP(Table55[[#This Row],[Shortname]], Comp[], 11, FALSE)</f>
        <v>9.1</v>
      </c>
      <c r="M13">
        <f>VLOOKUP(Table55[[#This Row],[Shortname]], Comp[],12, FALSE)</f>
        <v>0</v>
      </c>
      <c r="N13">
        <f>VLOOKUP(Table55[[#This Row],[Shortname]], Comp[], 13, FALSE)</f>
        <v>1.7</v>
      </c>
      <c r="O13">
        <f>VLOOKUP(Table55[[#This Row],[Shortname]], Comp[], 14, FALSE)</f>
        <v>0</v>
      </c>
      <c r="P13">
        <f>VLOOKUP(Table55[[#This Row],[Shortname]], Comp[], 15, FALSE)</f>
        <v>0</v>
      </c>
      <c r="Q13">
        <f>VLOOKUP(Table55[[#This Row],[Shortname]], Comp[], 16, FALSE)</f>
        <v>0</v>
      </c>
      <c r="R13">
        <f>VLOOKUP(Table55[[#This Row],[Shortname]], Comp[], 17, FALSE)</f>
        <v>0</v>
      </c>
      <c r="S13">
        <f>VLOOKUP(Table55[[#This Row],[Shortname]], Comp[], 18, FALSE)</f>
        <v>0</v>
      </c>
      <c r="T13">
        <f>VLOOKUP(Table55[[#This Row],[Shortname]], Comp[], 19, FALSE)</f>
        <v>0</v>
      </c>
      <c r="U13">
        <f>VLOOKUP(Table55[[#This Row],[Shortname]], Comp[], 20, FALSE)</f>
        <v>2.5</v>
      </c>
      <c r="V13">
        <f>VLOOKUP(Table55[[#This Row],[Shortname]], Comp[], 21, FALSE)</f>
        <v>0</v>
      </c>
      <c r="W13">
        <f>VLOOKUP(Table55[[#This Row],[Shortname]], Comp[], 22, FALSE)</f>
        <v>0</v>
      </c>
      <c r="X13">
        <f>VLOOKUP(Table55[[#This Row],[Shortname]], Comp[], 23, FALSE)</f>
        <v>0</v>
      </c>
      <c r="Y13">
        <f>VLOOKUP(Table55[[#This Row],[Shortname]], Comp[], 24, FALSE)</f>
        <v>0</v>
      </c>
      <c r="Z13">
        <f>VLOOKUP(Table55[[#This Row],[Shortname]], Comp[], 25, FALSE)</f>
        <v>0</v>
      </c>
      <c r="AA13">
        <f>VLOOKUP(Table55[[#This Row],[Shortname]], Comp[], 26, FALSE)</f>
        <v>0</v>
      </c>
      <c r="AB13">
        <f>VLOOKUP(Table55[[#This Row],[Shortname]], Comp[], 27, FALSE)</f>
        <v>0</v>
      </c>
      <c r="AC13">
        <f>VLOOKUP(Table55[[#This Row],[Shortname]], Comp[], 28, FALSE)</f>
        <v>0</v>
      </c>
      <c r="AD13">
        <f>VLOOKUP(Table55[[#This Row],[Shortname]], Comp[], 29, FALSE)</f>
        <v>0</v>
      </c>
      <c r="AE13">
        <f>VLOOKUP(Table55[[#This Row],[Shortname]], Comp[], 30, FALSE)</f>
        <v>0</v>
      </c>
      <c r="AF13">
        <f>VLOOKUP(Table55[[#This Row],[Shortname]], Comp[], 31, FALSE)</f>
        <v>0</v>
      </c>
    </row>
    <row r="14" spans="1:32" x14ac:dyDescent="0.3">
      <c r="A14" t="s">
        <v>210</v>
      </c>
      <c r="B14" t="s">
        <v>212</v>
      </c>
      <c r="C14" s="15" t="s">
        <v>6658</v>
      </c>
      <c r="D14">
        <v>1077</v>
      </c>
      <c r="E14">
        <v>1403</v>
      </c>
      <c r="F14">
        <v>1428</v>
      </c>
      <c r="G14">
        <f>VLOOKUP(Table55[[#This Row],[Shortname]], Comp[], 6, FALSE)</f>
        <v>22</v>
      </c>
      <c r="H14" s="14">
        <f>VLOOKUP(Table55[[#This Row],[Shortname]], Comp[], 7, FALSE)</f>
        <v>82.8</v>
      </c>
      <c r="I14">
        <f>VLOOKUP(Table55[[#This Row],[Shortname]], Comp[], 8, FALSE)</f>
        <v>0</v>
      </c>
      <c r="J14">
        <f>VLOOKUP(Table55[[#This Row],[Shortname]], Comp[], 9, FALSE)</f>
        <v>8</v>
      </c>
      <c r="K14">
        <f>VLOOKUP(Table55[[#This Row],[Shortname]], Comp[], 10, FALSE)</f>
        <v>0</v>
      </c>
      <c r="L14">
        <f>VLOOKUP(Table55[[#This Row],[Shortname]], Comp[], 11, FALSE)</f>
        <v>5.7</v>
      </c>
      <c r="M14">
        <f>VLOOKUP(Table55[[#This Row],[Shortname]], Comp[],12, FALSE)</f>
        <v>0</v>
      </c>
      <c r="N14">
        <f>VLOOKUP(Table55[[#This Row],[Shortname]], Comp[], 13, FALSE)</f>
        <v>2</v>
      </c>
      <c r="O14">
        <f>VLOOKUP(Table55[[#This Row],[Shortname]], Comp[], 14, FALSE)</f>
        <v>0</v>
      </c>
      <c r="P14">
        <f>VLOOKUP(Table55[[#This Row],[Shortname]], Comp[], 15, FALSE)</f>
        <v>0</v>
      </c>
      <c r="Q14">
        <f>VLOOKUP(Table55[[#This Row],[Shortname]], Comp[], 16, FALSE)</f>
        <v>1.5</v>
      </c>
      <c r="R14">
        <f>VLOOKUP(Table55[[#This Row],[Shortname]], Comp[], 17, FALSE)</f>
        <v>0</v>
      </c>
      <c r="S14">
        <f>VLOOKUP(Table55[[#This Row],[Shortname]], Comp[], 18, FALSE)</f>
        <v>0</v>
      </c>
      <c r="T14">
        <f>VLOOKUP(Table55[[#This Row],[Shortname]], Comp[], 19, FALSE)</f>
        <v>0</v>
      </c>
      <c r="U14">
        <f>VLOOKUP(Table55[[#This Row],[Shortname]], Comp[], 20, FALSE)</f>
        <v>0</v>
      </c>
      <c r="V14">
        <f>VLOOKUP(Table55[[#This Row],[Shortname]], Comp[], 21, FALSE)</f>
        <v>0</v>
      </c>
      <c r="W14">
        <f>VLOOKUP(Table55[[#This Row],[Shortname]], Comp[], 22, FALSE)</f>
        <v>0</v>
      </c>
      <c r="X14">
        <f>VLOOKUP(Table55[[#This Row],[Shortname]], Comp[], 23, FALSE)</f>
        <v>0</v>
      </c>
      <c r="Y14">
        <f>VLOOKUP(Table55[[#This Row],[Shortname]], Comp[], 24, FALSE)</f>
        <v>0</v>
      </c>
      <c r="Z14">
        <f>VLOOKUP(Table55[[#This Row],[Shortname]], Comp[], 25, FALSE)</f>
        <v>0</v>
      </c>
      <c r="AA14">
        <f>VLOOKUP(Table55[[#This Row],[Shortname]], Comp[], 26, FALSE)</f>
        <v>0</v>
      </c>
      <c r="AB14">
        <f>VLOOKUP(Table55[[#This Row],[Shortname]], Comp[], 27, FALSE)</f>
        <v>0</v>
      </c>
      <c r="AC14">
        <f>VLOOKUP(Table55[[#This Row],[Shortname]], Comp[], 28, FALSE)</f>
        <v>0</v>
      </c>
      <c r="AD14">
        <f>VLOOKUP(Table55[[#This Row],[Shortname]], Comp[], 29, FALSE)</f>
        <v>0</v>
      </c>
      <c r="AE14">
        <f>VLOOKUP(Table55[[#This Row],[Shortname]], Comp[], 30, FALSE)</f>
        <v>0</v>
      </c>
      <c r="AF14">
        <f>VLOOKUP(Table55[[#This Row],[Shortname]], Comp[], 31, FALSE)</f>
        <v>0</v>
      </c>
    </row>
    <row r="15" spans="1:32" x14ac:dyDescent="0.3">
      <c r="A15" t="s">
        <v>219</v>
      </c>
      <c r="B15" t="s">
        <v>221</v>
      </c>
      <c r="C15" s="15" t="s">
        <v>6659</v>
      </c>
      <c r="D15">
        <v>1058</v>
      </c>
      <c r="E15">
        <v>1415</v>
      </c>
      <c r="F15">
        <v>1449</v>
      </c>
      <c r="G15">
        <f>VLOOKUP(Table55[[#This Row],[Shortname]], Comp[], 6, FALSE)</f>
        <v>23</v>
      </c>
      <c r="H15" s="14">
        <f>VLOOKUP(Table55[[#This Row],[Shortname]], Comp[], 7, FALSE)</f>
        <v>83.6</v>
      </c>
      <c r="I15">
        <f>VLOOKUP(Table55[[#This Row],[Shortname]], Comp[], 8, FALSE)</f>
        <v>0</v>
      </c>
      <c r="J15">
        <f>VLOOKUP(Table55[[#This Row],[Shortname]], Comp[], 9, FALSE)</f>
        <v>8.6999999999999993</v>
      </c>
      <c r="K15">
        <f>VLOOKUP(Table55[[#This Row],[Shortname]], Comp[], 10, FALSE)</f>
        <v>0</v>
      </c>
      <c r="L15">
        <f>VLOOKUP(Table55[[#This Row],[Shortname]], Comp[], 11, FALSE)</f>
        <v>5.5</v>
      </c>
      <c r="M15">
        <f>VLOOKUP(Table55[[#This Row],[Shortname]], Comp[],12, FALSE)</f>
        <v>0</v>
      </c>
      <c r="N15">
        <f>VLOOKUP(Table55[[#This Row],[Shortname]], Comp[], 13, FALSE)</f>
        <v>1.3</v>
      </c>
      <c r="O15">
        <f>VLOOKUP(Table55[[#This Row],[Shortname]], Comp[], 14, FALSE)</f>
        <v>0</v>
      </c>
      <c r="P15">
        <f>VLOOKUP(Table55[[#This Row],[Shortname]], Comp[], 15, FALSE)</f>
        <v>0</v>
      </c>
      <c r="Q15">
        <f>VLOOKUP(Table55[[#This Row],[Shortname]], Comp[], 16, FALSE)</f>
        <v>0</v>
      </c>
      <c r="R15">
        <f>VLOOKUP(Table55[[#This Row],[Shortname]], Comp[], 17, FALSE)</f>
        <v>0</v>
      </c>
      <c r="S15">
        <f>VLOOKUP(Table55[[#This Row],[Shortname]], Comp[], 18, FALSE)</f>
        <v>0</v>
      </c>
      <c r="T15">
        <f>VLOOKUP(Table55[[#This Row],[Shortname]], Comp[], 19, FALSE)</f>
        <v>0</v>
      </c>
      <c r="U15">
        <f>VLOOKUP(Table55[[#This Row],[Shortname]], Comp[], 20, FALSE)</f>
        <v>0.9</v>
      </c>
      <c r="V15">
        <f>VLOOKUP(Table55[[#This Row],[Shortname]], Comp[], 21, FALSE)</f>
        <v>0</v>
      </c>
      <c r="W15">
        <f>VLOOKUP(Table55[[#This Row],[Shortname]], Comp[], 22, FALSE)</f>
        <v>0</v>
      </c>
      <c r="X15">
        <f>VLOOKUP(Table55[[#This Row],[Shortname]], Comp[], 23, FALSE)</f>
        <v>0</v>
      </c>
      <c r="Y15">
        <f>VLOOKUP(Table55[[#This Row],[Shortname]], Comp[], 24, FALSE)</f>
        <v>0</v>
      </c>
      <c r="Z15">
        <f>VLOOKUP(Table55[[#This Row],[Shortname]], Comp[], 25, FALSE)</f>
        <v>0</v>
      </c>
      <c r="AA15">
        <f>VLOOKUP(Table55[[#This Row],[Shortname]], Comp[], 26, FALSE)</f>
        <v>0</v>
      </c>
      <c r="AB15">
        <f>VLOOKUP(Table55[[#This Row],[Shortname]], Comp[], 27, FALSE)</f>
        <v>0</v>
      </c>
      <c r="AC15">
        <f>VLOOKUP(Table55[[#This Row],[Shortname]], Comp[], 28, FALSE)</f>
        <v>0</v>
      </c>
      <c r="AD15">
        <f>VLOOKUP(Table55[[#This Row],[Shortname]], Comp[], 29, FALSE)</f>
        <v>0</v>
      </c>
      <c r="AE15">
        <f>VLOOKUP(Table55[[#This Row],[Shortname]], Comp[], 30, FALSE)</f>
        <v>0</v>
      </c>
      <c r="AF15">
        <f>VLOOKUP(Table55[[#This Row],[Shortname]], Comp[], 31, FALSE)</f>
        <v>0</v>
      </c>
    </row>
    <row r="16" spans="1:32" x14ac:dyDescent="0.3">
      <c r="A16" t="s">
        <v>230</v>
      </c>
      <c r="B16" t="s">
        <v>232</v>
      </c>
      <c r="C16" s="1" t="s">
        <v>6660</v>
      </c>
      <c r="D16">
        <v>977</v>
      </c>
      <c r="E16">
        <v>1425</v>
      </c>
      <c r="F16">
        <v>1454</v>
      </c>
      <c r="G16">
        <f>VLOOKUP(Table55[[#This Row],[Shortname]], Comp[], 6, FALSE)</f>
        <v>24</v>
      </c>
      <c r="H16" s="14">
        <f>VLOOKUP(Table55[[#This Row],[Shortname]], Comp[], 7, FALSE)</f>
        <v>77.8</v>
      </c>
      <c r="I16">
        <f>VLOOKUP(Table55[[#This Row],[Shortname]], Comp[], 8, FALSE)</f>
        <v>0</v>
      </c>
      <c r="J16">
        <f>VLOOKUP(Table55[[#This Row],[Shortname]], Comp[], 9, FALSE)</f>
        <v>8.6</v>
      </c>
      <c r="K16">
        <f>VLOOKUP(Table55[[#This Row],[Shortname]], Comp[], 10, FALSE)</f>
        <v>4.0999999999999996</v>
      </c>
      <c r="L16">
        <f>VLOOKUP(Table55[[#This Row],[Shortname]], Comp[], 11, FALSE)</f>
        <v>9.5</v>
      </c>
      <c r="M16">
        <f>VLOOKUP(Table55[[#This Row],[Shortname]], Comp[],12, FALSE)</f>
        <v>0</v>
      </c>
      <c r="N16">
        <f>VLOOKUP(Table55[[#This Row],[Shortname]], Comp[], 13, FALSE)</f>
        <v>0</v>
      </c>
      <c r="O16">
        <f>VLOOKUP(Table55[[#This Row],[Shortname]], Comp[], 14, FALSE)</f>
        <v>0</v>
      </c>
      <c r="P16">
        <f>VLOOKUP(Table55[[#This Row],[Shortname]], Comp[], 15, FALSE)</f>
        <v>0</v>
      </c>
      <c r="Q16">
        <f>VLOOKUP(Table55[[#This Row],[Shortname]], Comp[], 16, FALSE)</f>
        <v>0</v>
      </c>
      <c r="R16">
        <f>VLOOKUP(Table55[[#This Row],[Shortname]], Comp[], 17, FALSE)</f>
        <v>0</v>
      </c>
      <c r="S16">
        <f>VLOOKUP(Table55[[#This Row],[Shortname]], Comp[], 18, FALSE)</f>
        <v>0</v>
      </c>
      <c r="T16">
        <f>VLOOKUP(Table55[[#This Row],[Shortname]], Comp[], 19, FALSE)</f>
        <v>0</v>
      </c>
      <c r="U16">
        <f>VLOOKUP(Table55[[#This Row],[Shortname]], Comp[], 20, FALSE)</f>
        <v>0</v>
      </c>
      <c r="V16">
        <f>VLOOKUP(Table55[[#This Row],[Shortname]], Comp[], 21, FALSE)</f>
        <v>0</v>
      </c>
      <c r="W16">
        <f>VLOOKUP(Table55[[#This Row],[Shortname]], Comp[], 22, FALSE)</f>
        <v>0</v>
      </c>
      <c r="X16">
        <f>VLOOKUP(Table55[[#This Row],[Shortname]], Comp[], 23, FALSE)</f>
        <v>0</v>
      </c>
      <c r="Y16">
        <f>VLOOKUP(Table55[[#This Row],[Shortname]], Comp[], 24, FALSE)</f>
        <v>0</v>
      </c>
      <c r="Z16">
        <f>VLOOKUP(Table55[[#This Row],[Shortname]], Comp[], 25, FALSE)</f>
        <v>0</v>
      </c>
      <c r="AA16">
        <f>VLOOKUP(Table55[[#This Row],[Shortname]], Comp[], 26, FALSE)</f>
        <v>0</v>
      </c>
      <c r="AB16">
        <f>VLOOKUP(Table55[[#This Row],[Shortname]], Comp[], 27, FALSE)</f>
        <v>0</v>
      </c>
      <c r="AC16">
        <f>VLOOKUP(Table55[[#This Row],[Shortname]], Comp[], 28, FALSE)</f>
        <v>0</v>
      </c>
      <c r="AD16">
        <f>VLOOKUP(Table55[[#This Row],[Shortname]], Comp[], 29, FALSE)</f>
        <v>0</v>
      </c>
      <c r="AE16">
        <f>VLOOKUP(Table55[[#This Row],[Shortname]], Comp[], 30, FALSE)</f>
        <v>0</v>
      </c>
      <c r="AF16">
        <f>VLOOKUP(Table55[[#This Row],[Shortname]], Comp[], 31, FALSE)</f>
        <v>0</v>
      </c>
    </row>
    <row r="17" spans="1:32" x14ac:dyDescent="0.3">
      <c r="A17" t="s">
        <v>240</v>
      </c>
      <c r="B17" t="s">
        <v>242</v>
      </c>
      <c r="C17" s="1" t="s">
        <v>6589</v>
      </c>
      <c r="D17">
        <v>947</v>
      </c>
      <c r="E17">
        <v>1412</v>
      </c>
      <c r="F17">
        <v>1440</v>
      </c>
      <c r="G17">
        <f>VLOOKUP(Table55[[#This Row],[Shortname]], Comp[], 6, FALSE)</f>
        <v>25</v>
      </c>
      <c r="H17" s="14">
        <f>VLOOKUP(Table55[[#This Row],[Shortname]], Comp[], 7, FALSE)</f>
        <v>73.5</v>
      </c>
      <c r="I17">
        <f>VLOOKUP(Table55[[#This Row],[Shortname]], Comp[], 8, FALSE)</f>
        <v>0</v>
      </c>
      <c r="J17">
        <f>VLOOKUP(Table55[[#This Row],[Shortname]], Comp[], 9, FALSE)</f>
        <v>8.6999999999999993</v>
      </c>
      <c r="K17">
        <f>VLOOKUP(Table55[[#This Row],[Shortname]], Comp[], 10, FALSE)</f>
        <v>8.1999999999999993</v>
      </c>
      <c r="L17">
        <f>VLOOKUP(Table55[[#This Row],[Shortname]], Comp[], 11, FALSE)</f>
        <v>9.6</v>
      </c>
      <c r="M17">
        <f>VLOOKUP(Table55[[#This Row],[Shortname]], Comp[],12, FALSE)</f>
        <v>0</v>
      </c>
      <c r="N17">
        <f>VLOOKUP(Table55[[#This Row],[Shortname]], Comp[], 13, FALSE)</f>
        <v>0</v>
      </c>
      <c r="O17">
        <f>VLOOKUP(Table55[[#This Row],[Shortname]], Comp[], 14, FALSE)</f>
        <v>0</v>
      </c>
      <c r="P17">
        <f>VLOOKUP(Table55[[#This Row],[Shortname]], Comp[], 15, FALSE)</f>
        <v>0</v>
      </c>
      <c r="Q17">
        <f>VLOOKUP(Table55[[#This Row],[Shortname]], Comp[], 16, FALSE)</f>
        <v>0</v>
      </c>
      <c r="R17">
        <f>VLOOKUP(Table55[[#This Row],[Shortname]], Comp[], 17, FALSE)</f>
        <v>0</v>
      </c>
      <c r="S17">
        <f>VLOOKUP(Table55[[#This Row],[Shortname]], Comp[], 18, FALSE)</f>
        <v>0</v>
      </c>
      <c r="T17">
        <f>VLOOKUP(Table55[[#This Row],[Shortname]], Comp[], 19, FALSE)</f>
        <v>0</v>
      </c>
      <c r="U17">
        <f>VLOOKUP(Table55[[#This Row],[Shortname]], Comp[], 20, FALSE)</f>
        <v>0</v>
      </c>
      <c r="V17">
        <f>VLOOKUP(Table55[[#This Row],[Shortname]], Comp[], 21, FALSE)</f>
        <v>0</v>
      </c>
      <c r="W17">
        <f>VLOOKUP(Table55[[#This Row],[Shortname]], Comp[], 22, FALSE)</f>
        <v>0</v>
      </c>
      <c r="X17">
        <f>VLOOKUP(Table55[[#This Row],[Shortname]], Comp[], 23, FALSE)</f>
        <v>0</v>
      </c>
      <c r="Y17">
        <f>VLOOKUP(Table55[[#This Row],[Shortname]], Comp[], 24, FALSE)</f>
        <v>0</v>
      </c>
      <c r="Z17">
        <f>VLOOKUP(Table55[[#This Row],[Shortname]], Comp[], 25, FALSE)</f>
        <v>0</v>
      </c>
      <c r="AA17">
        <f>VLOOKUP(Table55[[#This Row],[Shortname]], Comp[], 26, FALSE)</f>
        <v>0</v>
      </c>
      <c r="AB17">
        <f>VLOOKUP(Table55[[#This Row],[Shortname]], Comp[], 27, FALSE)</f>
        <v>0</v>
      </c>
      <c r="AC17">
        <f>VLOOKUP(Table55[[#This Row],[Shortname]], Comp[], 28, FALSE)</f>
        <v>0</v>
      </c>
      <c r="AD17">
        <f>VLOOKUP(Table55[[#This Row],[Shortname]], Comp[], 29, FALSE)</f>
        <v>0</v>
      </c>
      <c r="AE17">
        <f>VLOOKUP(Table55[[#This Row],[Shortname]], Comp[], 30, FALSE)</f>
        <v>0</v>
      </c>
      <c r="AF17">
        <f>VLOOKUP(Table55[[#This Row],[Shortname]], Comp[], 31, FALSE)</f>
        <v>0</v>
      </c>
    </row>
    <row r="18" spans="1:32" x14ac:dyDescent="0.3">
      <c r="A18" t="s">
        <v>248</v>
      </c>
      <c r="B18" t="s">
        <v>250</v>
      </c>
      <c r="C18" s="1" t="s">
        <v>6661</v>
      </c>
      <c r="D18">
        <v>860</v>
      </c>
      <c r="E18">
        <v>1372</v>
      </c>
      <c r="F18">
        <v>1409</v>
      </c>
      <c r="G18">
        <f>VLOOKUP(Table55[[#This Row],[Shortname]], Comp[], 6, FALSE)</f>
        <v>26</v>
      </c>
      <c r="H18" s="14">
        <f>VLOOKUP(Table55[[#This Row],[Shortname]], Comp[], 7, FALSE)</f>
        <v>66.099999999999994</v>
      </c>
      <c r="I18">
        <f>VLOOKUP(Table55[[#This Row],[Shortname]], Comp[], 8, FALSE)</f>
        <v>0</v>
      </c>
      <c r="J18">
        <f>VLOOKUP(Table55[[#This Row],[Shortname]], Comp[], 9, FALSE)</f>
        <v>8.4</v>
      </c>
      <c r="K18">
        <f>VLOOKUP(Table55[[#This Row],[Shortname]], Comp[], 10, FALSE)</f>
        <v>16.5</v>
      </c>
      <c r="L18">
        <f>VLOOKUP(Table55[[#This Row],[Shortname]], Comp[], 11, FALSE)</f>
        <v>9</v>
      </c>
      <c r="M18">
        <f>VLOOKUP(Table55[[#This Row],[Shortname]], Comp[],12, FALSE)</f>
        <v>0</v>
      </c>
      <c r="N18">
        <f>VLOOKUP(Table55[[#This Row],[Shortname]], Comp[], 13, FALSE)</f>
        <v>0</v>
      </c>
      <c r="O18">
        <f>VLOOKUP(Table55[[#This Row],[Shortname]], Comp[], 14, FALSE)</f>
        <v>0</v>
      </c>
      <c r="P18">
        <f>VLOOKUP(Table55[[#This Row],[Shortname]], Comp[], 15, FALSE)</f>
        <v>0</v>
      </c>
      <c r="Q18">
        <f>VLOOKUP(Table55[[#This Row],[Shortname]], Comp[], 16, FALSE)</f>
        <v>0</v>
      </c>
      <c r="R18">
        <f>VLOOKUP(Table55[[#This Row],[Shortname]], Comp[], 17, FALSE)</f>
        <v>0</v>
      </c>
      <c r="S18">
        <f>VLOOKUP(Table55[[#This Row],[Shortname]], Comp[], 18, FALSE)</f>
        <v>0</v>
      </c>
      <c r="T18">
        <f>VLOOKUP(Table55[[#This Row],[Shortname]], Comp[], 19, FALSE)</f>
        <v>0</v>
      </c>
      <c r="U18">
        <f>VLOOKUP(Table55[[#This Row],[Shortname]], Comp[], 20, FALSE)</f>
        <v>0</v>
      </c>
      <c r="V18">
        <f>VLOOKUP(Table55[[#This Row],[Shortname]], Comp[], 21, FALSE)</f>
        <v>0</v>
      </c>
      <c r="W18">
        <f>VLOOKUP(Table55[[#This Row],[Shortname]], Comp[], 22, FALSE)</f>
        <v>0</v>
      </c>
      <c r="X18">
        <f>VLOOKUP(Table55[[#This Row],[Shortname]], Comp[], 23, FALSE)</f>
        <v>0</v>
      </c>
      <c r="Y18">
        <f>VLOOKUP(Table55[[#This Row],[Shortname]], Comp[], 24, FALSE)</f>
        <v>0</v>
      </c>
      <c r="Z18">
        <f>VLOOKUP(Table55[[#This Row],[Shortname]], Comp[], 25, FALSE)</f>
        <v>0</v>
      </c>
      <c r="AA18">
        <f>VLOOKUP(Table55[[#This Row],[Shortname]], Comp[], 26, FALSE)</f>
        <v>0</v>
      </c>
      <c r="AB18">
        <f>VLOOKUP(Table55[[#This Row],[Shortname]], Comp[], 27, FALSE)</f>
        <v>0</v>
      </c>
      <c r="AC18">
        <f>VLOOKUP(Table55[[#This Row],[Shortname]], Comp[], 28, FALSE)</f>
        <v>0</v>
      </c>
      <c r="AD18">
        <f>VLOOKUP(Table55[[#This Row],[Shortname]], Comp[], 29, FALSE)</f>
        <v>0</v>
      </c>
      <c r="AE18">
        <f>VLOOKUP(Table55[[#This Row],[Shortname]], Comp[], 30, FALSE)</f>
        <v>0</v>
      </c>
      <c r="AF18">
        <f>VLOOKUP(Table55[[#This Row],[Shortname]], Comp[], 31, FALSE)</f>
        <v>0</v>
      </c>
    </row>
    <row r="19" spans="1:32" x14ac:dyDescent="0.3">
      <c r="A19" t="s">
        <v>274</v>
      </c>
      <c r="B19" t="s">
        <v>276</v>
      </c>
      <c r="C19" s="1" t="s">
        <v>6662</v>
      </c>
      <c r="D19">
        <v>958</v>
      </c>
      <c r="E19">
        <v>1418</v>
      </c>
      <c r="F19">
        <v>1439</v>
      </c>
      <c r="G19">
        <f>VLOOKUP(Table55[[#This Row],[Shortname]], Comp[], 6, FALSE)</f>
        <v>29</v>
      </c>
      <c r="H19" s="14">
        <f>VLOOKUP(Table55[[#This Row],[Shortname]], Comp[], 7, FALSE)</f>
        <v>63.870000000000005</v>
      </c>
      <c r="I19">
        <f>VLOOKUP(Table55[[#This Row],[Shortname]], Comp[], 8, FALSE)</f>
        <v>9.1999999999999993</v>
      </c>
      <c r="J19">
        <f>VLOOKUP(Table55[[#This Row],[Shortname]], Comp[], 9, FALSE)</f>
        <v>9.1</v>
      </c>
      <c r="K19">
        <f>VLOOKUP(Table55[[#This Row],[Shortname]], Comp[], 10, FALSE)</f>
        <v>8.1999999999999993</v>
      </c>
      <c r="L19">
        <f>VLOOKUP(Table55[[#This Row],[Shortname]], Comp[], 11, FALSE)</f>
        <v>9.6300000000000008</v>
      </c>
      <c r="M19">
        <f>VLOOKUP(Table55[[#This Row],[Shortname]], Comp[],12, FALSE)</f>
        <v>0</v>
      </c>
      <c r="N19">
        <f>VLOOKUP(Table55[[#This Row],[Shortname]], Comp[], 13, FALSE)</f>
        <v>0</v>
      </c>
      <c r="O19">
        <f>VLOOKUP(Table55[[#This Row],[Shortname]], Comp[], 14, FALSE)</f>
        <v>0</v>
      </c>
      <c r="P19">
        <f>VLOOKUP(Table55[[#This Row],[Shortname]], Comp[], 15, FALSE)</f>
        <v>0</v>
      </c>
      <c r="Q19">
        <f>VLOOKUP(Table55[[#This Row],[Shortname]], Comp[], 16, FALSE)</f>
        <v>0</v>
      </c>
      <c r="R19">
        <f>VLOOKUP(Table55[[#This Row],[Shortname]], Comp[], 17, FALSE)</f>
        <v>0</v>
      </c>
      <c r="S19">
        <f>VLOOKUP(Table55[[#This Row],[Shortname]], Comp[], 18, FALSE)</f>
        <v>0</v>
      </c>
      <c r="T19">
        <f>VLOOKUP(Table55[[#This Row],[Shortname]], Comp[], 19, FALSE)</f>
        <v>0</v>
      </c>
      <c r="U19">
        <f>VLOOKUP(Table55[[#This Row],[Shortname]], Comp[], 20, FALSE)</f>
        <v>0</v>
      </c>
      <c r="V19">
        <f>VLOOKUP(Table55[[#This Row],[Shortname]], Comp[], 21, FALSE)</f>
        <v>0</v>
      </c>
      <c r="W19">
        <f>VLOOKUP(Table55[[#This Row],[Shortname]], Comp[], 22, FALSE)</f>
        <v>0</v>
      </c>
      <c r="X19">
        <f>VLOOKUP(Table55[[#This Row],[Shortname]], Comp[], 23, FALSE)</f>
        <v>0</v>
      </c>
      <c r="Y19">
        <f>VLOOKUP(Table55[[#This Row],[Shortname]], Comp[], 24, FALSE)</f>
        <v>0</v>
      </c>
      <c r="Z19">
        <f>VLOOKUP(Table55[[#This Row],[Shortname]], Comp[], 25, FALSE)</f>
        <v>0</v>
      </c>
      <c r="AA19">
        <f>VLOOKUP(Table55[[#This Row],[Shortname]], Comp[], 26, FALSE)</f>
        <v>0</v>
      </c>
      <c r="AB19">
        <f>VLOOKUP(Table55[[#This Row],[Shortname]], Comp[], 27, FALSE)</f>
        <v>0</v>
      </c>
      <c r="AC19">
        <f>VLOOKUP(Table55[[#This Row],[Shortname]], Comp[], 28, FALSE)</f>
        <v>0</v>
      </c>
      <c r="AD19">
        <f>VLOOKUP(Table55[[#This Row],[Shortname]], Comp[], 29, FALSE)</f>
        <v>0</v>
      </c>
      <c r="AE19">
        <f>VLOOKUP(Table55[[#This Row],[Shortname]], Comp[], 30, FALSE)</f>
        <v>0</v>
      </c>
      <c r="AF19">
        <f>VLOOKUP(Table55[[#This Row],[Shortname]], Comp[], 31, FALSE)</f>
        <v>0</v>
      </c>
    </row>
    <row r="20" spans="1:32" x14ac:dyDescent="0.3">
      <c r="A20" t="s">
        <v>283</v>
      </c>
      <c r="B20" t="s">
        <v>285</v>
      </c>
      <c r="C20" s="1" t="s">
        <v>6663</v>
      </c>
      <c r="D20">
        <v>978</v>
      </c>
      <c r="E20">
        <v>1420</v>
      </c>
      <c r="F20">
        <v>1441</v>
      </c>
      <c r="G20">
        <f>VLOOKUP(Table55[[#This Row],[Shortname]], Comp[], 6, FALSE)</f>
        <v>30</v>
      </c>
      <c r="H20" s="14">
        <f>VLOOKUP(Table55[[#This Row],[Shortname]], Comp[], 7, FALSE)</f>
        <v>56.5</v>
      </c>
      <c r="I20">
        <f>VLOOKUP(Table55[[#This Row],[Shortname]], Comp[], 8, FALSE)</f>
        <v>18</v>
      </c>
      <c r="J20">
        <f>VLOOKUP(Table55[[#This Row],[Shortname]], Comp[], 9, FALSE)</f>
        <v>8.6</v>
      </c>
      <c r="K20">
        <f>VLOOKUP(Table55[[#This Row],[Shortname]], Comp[], 10, FALSE)</f>
        <v>8.1</v>
      </c>
      <c r="L20">
        <f>VLOOKUP(Table55[[#This Row],[Shortname]], Comp[], 11, FALSE)</f>
        <v>8.8000000000000007</v>
      </c>
      <c r="M20">
        <f>VLOOKUP(Table55[[#This Row],[Shortname]], Comp[],12, FALSE)</f>
        <v>0</v>
      </c>
      <c r="N20">
        <f>VLOOKUP(Table55[[#This Row],[Shortname]], Comp[], 13, FALSE)</f>
        <v>0</v>
      </c>
      <c r="O20">
        <f>VLOOKUP(Table55[[#This Row],[Shortname]], Comp[], 14, FALSE)</f>
        <v>0</v>
      </c>
      <c r="P20">
        <f>VLOOKUP(Table55[[#This Row],[Shortname]], Comp[], 15, FALSE)</f>
        <v>0</v>
      </c>
      <c r="Q20">
        <f>VLOOKUP(Table55[[#This Row],[Shortname]], Comp[], 16, FALSE)</f>
        <v>0</v>
      </c>
      <c r="R20">
        <f>VLOOKUP(Table55[[#This Row],[Shortname]], Comp[], 17, FALSE)</f>
        <v>0</v>
      </c>
      <c r="S20">
        <f>VLOOKUP(Table55[[#This Row],[Shortname]], Comp[], 18, FALSE)</f>
        <v>0</v>
      </c>
      <c r="T20">
        <f>VLOOKUP(Table55[[#This Row],[Shortname]], Comp[], 19, FALSE)</f>
        <v>0</v>
      </c>
      <c r="U20">
        <f>VLOOKUP(Table55[[#This Row],[Shortname]], Comp[], 20, FALSE)</f>
        <v>0</v>
      </c>
      <c r="V20">
        <f>VLOOKUP(Table55[[#This Row],[Shortname]], Comp[], 21, FALSE)</f>
        <v>0</v>
      </c>
      <c r="W20">
        <f>VLOOKUP(Table55[[#This Row],[Shortname]], Comp[], 22, FALSE)</f>
        <v>0</v>
      </c>
      <c r="X20">
        <f>VLOOKUP(Table55[[#This Row],[Shortname]], Comp[], 23, FALSE)</f>
        <v>0</v>
      </c>
      <c r="Y20">
        <f>VLOOKUP(Table55[[#This Row],[Shortname]], Comp[], 24, FALSE)</f>
        <v>0</v>
      </c>
      <c r="Z20">
        <f>VLOOKUP(Table55[[#This Row],[Shortname]], Comp[], 25, FALSE)</f>
        <v>0</v>
      </c>
      <c r="AA20">
        <f>VLOOKUP(Table55[[#This Row],[Shortname]], Comp[], 26, FALSE)</f>
        <v>0</v>
      </c>
      <c r="AB20">
        <f>VLOOKUP(Table55[[#This Row],[Shortname]], Comp[], 27, FALSE)</f>
        <v>0</v>
      </c>
      <c r="AC20">
        <f>VLOOKUP(Table55[[#This Row],[Shortname]], Comp[], 28, FALSE)</f>
        <v>0</v>
      </c>
      <c r="AD20">
        <f>VLOOKUP(Table55[[#This Row],[Shortname]], Comp[], 29, FALSE)</f>
        <v>0</v>
      </c>
      <c r="AE20">
        <f>VLOOKUP(Table55[[#This Row],[Shortname]], Comp[], 30, FALSE)</f>
        <v>0</v>
      </c>
      <c r="AF20">
        <f>VLOOKUP(Table55[[#This Row],[Shortname]], Comp[], 31, FALSE)</f>
        <v>0</v>
      </c>
    </row>
    <row r="21" spans="1:32" x14ac:dyDescent="0.3">
      <c r="A21" t="s">
        <v>5315</v>
      </c>
      <c r="B21" t="s">
        <v>5323</v>
      </c>
      <c r="C21" s="1" t="s">
        <v>6664</v>
      </c>
      <c r="D21">
        <v>1137</v>
      </c>
      <c r="E21">
        <v>1426</v>
      </c>
      <c r="F21">
        <v>1454</v>
      </c>
      <c r="G21">
        <f>VLOOKUP(Table55[[#This Row],[Shortname]], Comp[], 6, FALSE)</f>
        <v>21000</v>
      </c>
      <c r="H21" s="14">
        <f>VLOOKUP(Table55[[#This Row],[Shortname]], Comp[], 7, FALSE)</f>
        <v>78.599999999999994</v>
      </c>
      <c r="I21">
        <f>VLOOKUP(Table55[[#This Row],[Shortname]], Comp[], 8, FALSE)</f>
        <v>0</v>
      </c>
      <c r="J21">
        <f>VLOOKUP(Table55[[#This Row],[Shortname]], Comp[], 9, FALSE)</f>
        <v>8.1</v>
      </c>
      <c r="K21">
        <f>VLOOKUP(Table55[[#This Row],[Shortname]], Comp[], 10, FALSE)</f>
        <v>0</v>
      </c>
      <c r="L21">
        <f>VLOOKUP(Table55[[#This Row],[Shortname]], Comp[], 11, FALSE)</f>
        <v>9.1</v>
      </c>
      <c r="M21">
        <f>VLOOKUP(Table55[[#This Row],[Shortname]], Comp[],12, FALSE)</f>
        <v>0</v>
      </c>
      <c r="N21">
        <f>VLOOKUP(Table55[[#This Row],[Shortname]], Comp[], 13, FALSE)</f>
        <v>1.7</v>
      </c>
      <c r="O21">
        <f>VLOOKUP(Table55[[#This Row],[Shortname]], Comp[], 14, FALSE)</f>
        <v>0</v>
      </c>
      <c r="P21">
        <f>VLOOKUP(Table55[[#This Row],[Shortname]], Comp[], 15, FALSE)</f>
        <v>0</v>
      </c>
      <c r="Q21">
        <f>VLOOKUP(Table55[[#This Row],[Shortname]], Comp[], 16, FALSE)</f>
        <v>0</v>
      </c>
      <c r="R21">
        <f>VLOOKUP(Table55[[#This Row],[Shortname]], Comp[], 17, FALSE)</f>
        <v>0</v>
      </c>
      <c r="S21">
        <f>VLOOKUP(Table55[[#This Row],[Shortname]], Comp[], 18, FALSE)</f>
        <v>0</v>
      </c>
      <c r="T21">
        <f>VLOOKUP(Table55[[#This Row],[Shortname]], Comp[], 19, FALSE)</f>
        <v>0</v>
      </c>
      <c r="U21">
        <f>VLOOKUP(Table55[[#This Row],[Shortname]], Comp[], 20, FALSE)</f>
        <v>2.5</v>
      </c>
      <c r="V21">
        <f>VLOOKUP(Table55[[#This Row],[Shortname]], Comp[], 21, FALSE)</f>
        <v>0</v>
      </c>
      <c r="W21">
        <f>VLOOKUP(Table55[[#This Row],[Shortname]], Comp[], 22, FALSE)</f>
        <v>0</v>
      </c>
      <c r="X21">
        <f>VLOOKUP(Table55[[#This Row],[Shortname]], Comp[], 23, FALSE)</f>
        <v>0</v>
      </c>
      <c r="Y21">
        <f>VLOOKUP(Table55[[#This Row],[Shortname]], Comp[], 24, FALSE)</f>
        <v>0</v>
      </c>
      <c r="Z21">
        <f>VLOOKUP(Table55[[#This Row],[Shortname]], Comp[], 25, FALSE)</f>
        <v>0</v>
      </c>
      <c r="AA21">
        <f>VLOOKUP(Table55[[#This Row],[Shortname]], Comp[], 26, FALSE)</f>
        <v>0</v>
      </c>
      <c r="AB21">
        <f>VLOOKUP(Table55[[#This Row],[Shortname]], Comp[], 27, FALSE)</f>
        <v>0</v>
      </c>
      <c r="AC21">
        <f>VLOOKUP(Table55[[#This Row],[Shortname]], Comp[], 28, FALSE)</f>
        <v>0</v>
      </c>
      <c r="AD21">
        <f>VLOOKUP(Table55[[#This Row],[Shortname]], Comp[], 29, FALSE)</f>
        <v>0</v>
      </c>
      <c r="AE21">
        <f>VLOOKUP(Table55[[#This Row],[Shortname]], Comp[], 30, FALSE)</f>
        <v>0</v>
      </c>
      <c r="AF21">
        <f>VLOOKUP(Table55[[#This Row],[Shortname]], Comp[], 31, FALSE)</f>
        <v>0</v>
      </c>
    </row>
    <row r="22" spans="1:32" x14ac:dyDescent="0.3">
      <c r="A22" t="s">
        <v>219</v>
      </c>
      <c r="B22" t="s">
        <v>5326</v>
      </c>
      <c r="C22" s="1" t="s">
        <v>6665</v>
      </c>
      <c r="D22">
        <v>1060</v>
      </c>
      <c r="E22">
        <v>1418</v>
      </c>
      <c r="F22">
        <v>1452</v>
      </c>
      <c r="G22">
        <f>VLOOKUP(Table55[[#This Row],[Shortname]], Comp[], 6, FALSE)</f>
        <v>23</v>
      </c>
      <c r="H22" s="14">
        <f>VLOOKUP(Table55[[#This Row],[Shortname]], Comp[], 7, FALSE)</f>
        <v>83.6</v>
      </c>
      <c r="I22">
        <f>VLOOKUP(Table55[[#This Row],[Shortname]], Comp[], 8, FALSE)</f>
        <v>0</v>
      </c>
      <c r="J22">
        <f>VLOOKUP(Table55[[#This Row],[Shortname]], Comp[], 9, FALSE)</f>
        <v>8.6999999999999993</v>
      </c>
      <c r="K22">
        <f>VLOOKUP(Table55[[#This Row],[Shortname]], Comp[], 10, FALSE)</f>
        <v>0</v>
      </c>
      <c r="L22">
        <f>VLOOKUP(Table55[[#This Row],[Shortname]], Comp[], 11, FALSE)</f>
        <v>5.5</v>
      </c>
      <c r="M22">
        <f>VLOOKUP(Table55[[#This Row],[Shortname]], Comp[],12, FALSE)</f>
        <v>0</v>
      </c>
      <c r="N22">
        <f>VLOOKUP(Table55[[#This Row],[Shortname]], Comp[], 13, FALSE)</f>
        <v>1.3</v>
      </c>
      <c r="O22">
        <f>VLOOKUP(Table55[[#This Row],[Shortname]], Comp[], 14, FALSE)</f>
        <v>0</v>
      </c>
      <c r="P22">
        <f>VLOOKUP(Table55[[#This Row],[Shortname]], Comp[], 15, FALSE)</f>
        <v>0</v>
      </c>
      <c r="Q22">
        <f>VLOOKUP(Table55[[#This Row],[Shortname]], Comp[], 16, FALSE)</f>
        <v>0</v>
      </c>
      <c r="R22">
        <f>VLOOKUP(Table55[[#This Row],[Shortname]], Comp[], 17, FALSE)</f>
        <v>0</v>
      </c>
      <c r="S22">
        <f>VLOOKUP(Table55[[#This Row],[Shortname]], Comp[], 18, FALSE)</f>
        <v>0</v>
      </c>
      <c r="T22">
        <f>VLOOKUP(Table55[[#This Row],[Shortname]], Comp[], 19, FALSE)</f>
        <v>0</v>
      </c>
      <c r="U22">
        <f>VLOOKUP(Table55[[#This Row],[Shortname]], Comp[], 20, FALSE)</f>
        <v>0.9</v>
      </c>
      <c r="V22">
        <f>VLOOKUP(Table55[[#This Row],[Shortname]], Comp[], 21, FALSE)</f>
        <v>0</v>
      </c>
      <c r="W22">
        <f>VLOOKUP(Table55[[#This Row],[Shortname]], Comp[], 22, FALSE)</f>
        <v>0</v>
      </c>
      <c r="X22">
        <f>VLOOKUP(Table55[[#This Row],[Shortname]], Comp[], 23, FALSE)</f>
        <v>0</v>
      </c>
      <c r="Y22">
        <f>VLOOKUP(Table55[[#This Row],[Shortname]], Comp[], 24, FALSE)</f>
        <v>0</v>
      </c>
      <c r="Z22">
        <f>VLOOKUP(Table55[[#This Row],[Shortname]], Comp[], 25, FALSE)</f>
        <v>0</v>
      </c>
      <c r="AA22">
        <f>VLOOKUP(Table55[[#This Row],[Shortname]], Comp[], 26, FALSE)</f>
        <v>0</v>
      </c>
      <c r="AB22">
        <f>VLOOKUP(Table55[[#This Row],[Shortname]], Comp[], 27, FALSE)</f>
        <v>0</v>
      </c>
      <c r="AC22">
        <f>VLOOKUP(Table55[[#This Row],[Shortname]], Comp[], 28, FALSE)</f>
        <v>0</v>
      </c>
      <c r="AD22">
        <f>VLOOKUP(Table55[[#This Row],[Shortname]], Comp[], 29, FALSE)</f>
        <v>0</v>
      </c>
      <c r="AE22">
        <f>VLOOKUP(Table55[[#This Row],[Shortname]], Comp[], 30, FALSE)</f>
        <v>0</v>
      </c>
      <c r="AF22">
        <f>VLOOKUP(Table55[[#This Row],[Shortname]], Comp[], 31, FALSE)</f>
        <v>0</v>
      </c>
    </row>
    <row r="23" spans="1:32" x14ac:dyDescent="0.3">
      <c r="A23" t="s">
        <v>293</v>
      </c>
      <c r="B23" t="s">
        <v>295</v>
      </c>
      <c r="C23" s="1" t="s">
        <v>6666</v>
      </c>
      <c r="D23">
        <v>932</v>
      </c>
      <c r="E23">
        <v>1431</v>
      </c>
      <c r="F23">
        <v>1453</v>
      </c>
      <c r="G23">
        <f>VLOOKUP(Table55[[#This Row],[Shortname]], Comp[], 6, FALSE)</f>
        <v>33</v>
      </c>
      <c r="H23" s="14">
        <f>VLOOKUP(Table55[[#This Row],[Shortname]], Comp[], 7, FALSE)</f>
        <v>75.7</v>
      </c>
      <c r="I23">
        <f>VLOOKUP(Table55[[#This Row],[Shortname]], Comp[], 8, FALSE)</f>
        <v>0</v>
      </c>
      <c r="J23">
        <f>VLOOKUP(Table55[[#This Row],[Shortname]], Comp[], 9, FALSE)</f>
        <v>7.5</v>
      </c>
      <c r="K23">
        <f>VLOOKUP(Table55[[#This Row],[Shortname]], Comp[], 10, FALSE)</f>
        <v>0</v>
      </c>
      <c r="L23">
        <f>VLOOKUP(Table55[[#This Row],[Shortname]], Comp[], 11, FALSE)</f>
        <v>8.8000000000000007</v>
      </c>
      <c r="M23">
        <f>VLOOKUP(Table55[[#This Row],[Shortname]], Comp[],12, FALSE)</f>
        <v>0</v>
      </c>
      <c r="N23">
        <f>VLOOKUP(Table55[[#This Row],[Shortname]], Comp[], 13, FALSE)</f>
        <v>0</v>
      </c>
      <c r="O23">
        <f>VLOOKUP(Table55[[#This Row],[Shortname]], Comp[], 14, FALSE)</f>
        <v>0</v>
      </c>
      <c r="P23">
        <f>VLOOKUP(Table55[[#This Row],[Shortname]], Comp[], 15, FALSE)</f>
        <v>0</v>
      </c>
      <c r="Q23">
        <f>VLOOKUP(Table55[[#This Row],[Shortname]], Comp[], 16, FALSE)</f>
        <v>0</v>
      </c>
      <c r="R23">
        <f>VLOOKUP(Table55[[#This Row],[Shortname]], Comp[], 17, FALSE)</f>
        <v>0</v>
      </c>
      <c r="S23">
        <f>VLOOKUP(Table55[[#This Row],[Shortname]], Comp[], 18, FALSE)</f>
        <v>0</v>
      </c>
      <c r="T23">
        <f>VLOOKUP(Table55[[#This Row],[Shortname]], Comp[], 19, FALSE)</f>
        <v>0</v>
      </c>
      <c r="U23">
        <f>VLOOKUP(Table55[[#This Row],[Shortname]], Comp[], 20, FALSE)</f>
        <v>0</v>
      </c>
      <c r="V23">
        <f>VLOOKUP(Table55[[#This Row],[Shortname]], Comp[], 21, FALSE)</f>
        <v>0</v>
      </c>
      <c r="W23">
        <f>VLOOKUP(Table55[[#This Row],[Shortname]], Comp[], 22, FALSE)</f>
        <v>0</v>
      </c>
      <c r="X23">
        <f>VLOOKUP(Table55[[#This Row],[Shortname]], Comp[], 23, FALSE)</f>
        <v>8</v>
      </c>
      <c r="Y23">
        <f>VLOOKUP(Table55[[#This Row],[Shortname]], Comp[], 24, FALSE)</f>
        <v>0</v>
      </c>
      <c r="Z23">
        <f>VLOOKUP(Table55[[#This Row],[Shortname]], Comp[], 25, FALSE)</f>
        <v>0</v>
      </c>
      <c r="AA23">
        <f>VLOOKUP(Table55[[#This Row],[Shortname]], Comp[], 26, FALSE)</f>
        <v>0</v>
      </c>
      <c r="AB23">
        <f>VLOOKUP(Table55[[#This Row],[Shortname]], Comp[], 27, FALSE)</f>
        <v>0</v>
      </c>
      <c r="AC23">
        <f>VLOOKUP(Table55[[#This Row],[Shortname]], Comp[], 28, FALSE)</f>
        <v>0</v>
      </c>
      <c r="AD23">
        <f>VLOOKUP(Table55[[#This Row],[Shortname]], Comp[], 29, FALSE)</f>
        <v>0</v>
      </c>
      <c r="AE23">
        <f>VLOOKUP(Table55[[#This Row],[Shortname]], Comp[], 30, FALSE)</f>
        <v>0</v>
      </c>
      <c r="AF23">
        <f>VLOOKUP(Table55[[#This Row],[Shortname]], Comp[], 31, FALSE)</f>
        <v>0</v>
      </c>
    </row>
    <row r="24" spans="1:32" x14ac:dyDescent="0.3">
      <c r="A24" t="s">
        <v>302</v>
      </c>
      <c r="B24" t="s">
        <v>304</v>
      </c>
      <c r="C24" s="1" t="s">
        <v>6667</v>
      </c>
      <c r="D24">
        <v>877</v>
      </c>
      <c r="E24">
        <v>1427</v>
      </c>
      <c r="F24">
        <v>1450</v>
      </c>
      <c r="G24">
        <f>VLOOKUP(Table55[[#This Row],[Shortname]], Comp[], 6, FALSE)</f>
        <v>34</v>
      </c>
      <c r="H24" s="14">
        <f>VLOOKUP(Table55[[#This Row],[Shortname]], Comp[], 7, FALSE)</f>
        <v>66.099999999999994</v>
      </c>
      <c r="I24">
        <f>VLOOKUP(Table55[[#This Row],[Shortname]], Comp[], 8, FALSE)</f>
        <v>0</v>
      </c>
      <c r="J24">
        <f>VLOOKUP(Table55[[#This Row],[Shortname]], Comp[], 9, FALSE)</f>
        <v>8.6</v>
      </c>
      <c r="K24">
        <f>VLOOKUP(Table55[[#This Row],[Shortname]], Comp[], 10, FALSE)</f>
        <v>0</v>
      </c>
      <c r="L24">
        <f>VLOOKUP(Table55[[#This Row],[Shortname]], Comp[], 11, FALSE)</f>
        <v>8.6</v>
      </c>
      <c r="M24">
        <f>VLOOKUP(Table55[[#This Row],[Shortname]], Comp[],12, FALSE)</f>
        <v>0</v>
      </c>
      <c r="N24">
        <f>VLOOKUP(Table55[[#This Row],[Shortname]], Comp[], 13, FALSE)</f>
        <v>0</v>
      </c>
      <c r="O24">
        <f>VLOOKUP(Table55[[#This Row],[Shortname]], Comp[], 14, FALSE)</f>
        <v>0</v>
      </c>
      <c r="P24">
        <f>VLOOKUP(Table55[[#This Row],[Shortname]], Comp[], 15, FALSE)</f>
        <v>0</v>
      </c>
      <c r="Q24">
        <f>VLOOKUP(Table55[[#This Row],[Shortname]], Comp[], 16, FALSE)</f>
        <v>0</v>
      </c>
      <c r="R24">
        <f>VLOOKUP(Table55[[#This Row],[Shortname]], Comp[], 17, FALSE)</f>
        <v>0</v>
      </c>
      <c r="S24">
        <f>VLOOKUP(Table55[[#This Row],[Shortname]], Comp[], 18, FALSE)</f>
        <v>0</v>
      </c>
      <c r="T24">
        <f>VLOOKUP(Table55[[#This Row],[Shortname]], Comp[], 19, FALSE)</f>
        <v>0</v>
      </c>
      <c r="U24">
        <f>VLOOKUP(Table55[[#This Row],[Shortname]], Comp[], 20, FALSE)</f>
        <v>0</v>
      </c>
      <c r="V24">
        <f>VLOOKUP(Table55[[#This Row],[Shortname]], Comp[], 21, FALSE)</f>
        <v>0</v>
      </c>
      <c r="W24">
        <f>VLOOKUP(Table55[[#This Row],[Shortname]], Comp[], 22, FALSE)</f>
        <v>0</v>
      </c>
      <c r="X24">
        <f>VLOOKUP(Table55[[#This Row],[Shortname]], Comp[], 23, FALSE)</f>
        <v>16.7</v>
      </c>
      <c r="Y24">
        <f>VLOOKUP(Table55[[#This Row],[Shortname]], Comp[], 24, FALSE)</f>
        <v>0</v>
      </c>
      <c r="Z24">
        <f>VLOOKUP(Table55[[#This Row],[Shortname]], Comp[], 25, FALSE)</f>
        <v>0</v>
      </c>
      <c r="AA24">
        <f>VLOOKUP(Table55[[#This Row],[Shortname]], Comp[], 26, FALSE)</f>
        <v>0</v>
      </c>
      <c r="AB24">
        <f>VLOOKUP(Table55[[#This Row],[Shortname]], Comp[], 27, FALSE)</f>
        <v>0</v>
      </c>
      <c r="AC24">
        <f>VLOOKUP(Table55[[#This Row],[Shortname]], Comp[], 28, FALSE)</f>
        <v>0</v>
      </c>
      <c r="AD24">
        <f>VLOOKUP(Table55[[#This Row],[Shortname]], Comp[], 29, FALSE)</f>
        <v>0</v>
      </c>
      <c r="AE24">
        <f>VLOOKUP(Table55[[#This Row],[Shortname]], Comp[], 30, FALSE)</f>
        <v>0</v>
      </c>
      <c r="AF24">
        <f>VLOOKUP(Table55[[#This Row],[Shortname]], Comp[], 31, FALSE)</f>
        <v>0</v>
      </c>
    </row>
    <row r="25" spans="1:32" x14ac:dyDescent="0.3">
      <c r="A25" t="s">
        <v>152</v>
      </c>
      <c r="B25" t="s">
        <v>2354</v>
      </c>
      <c r="C25" s="2" t="s">
        <v>6668</v>
      </c>
      <c r="D25">
        <v>1101</v>
      </c>
      <c r="E25">
        <v>1414</v>
      </c>
      <c r="F25">
        <v>1439</v>
      </c>
      <c r="G25">
        <f>VLOOKUP(Table55[[#This Row],[Shortname]], Comp[], 6, FALSE)</f>
        <v>15</v>
      </c>
      <c r="H25" s="14">
        <f>VLOOKUP(Table55[[#This Row],[Shortname]], Comp[], 7, FALSE)</f>
        <v>81.5</v>
      </c>
      <c r="I25">
        <f>VLOOKUP(Table55[[#This Row],[Shortname]], Comp[], 8, FALSE)</f>
        <v>0</v>
      </c>
      <c r="J25">
        <f>VLOOKUP(Table55[[#This Row],[Shortname]], Comp[], 9, FALSE)</f>
        <v>8.1</v>
      </c>
      <c r="K25">
        <f>VLOOKUP(Table55[[#This Row],[Shortname]], Comp[], 10, FALSE)</f>
        <v>0</v>
      </c>
      <c r="L25">
        <f>VLOOKUP(Table55[[#This Row],[Shortname]], Comp[], 11, FALSE)</f>
        <v>8.4</v>
      </c>
      <c r="M25">
        <f>VLOOKUP(Table55[[#This Row],[Shortname]], Comp[],12, FALSE)</f>
        <v>0</v>
      </c>
      <c r="N25">
        <f>VLOOKUP(Table55[[#This Row],[Shortname]], Comp[], 13, FALSE)</f>
        <v>2</v>
      </c>
      <c r="O25">
        <f>VLOOKUP(Table55[[#This Row],[Shortname]], Comp[], 14, FALSE)</f>
        <v>0</v>
      </c>
      <c r="P25">
        <f>VLOOKUP(Table55[[#This Row],[Shortname]], Comp[], 15, FALSE)</f>
        <v>0</v>
      </c>
      <c r="Q25">
        <f>VLOOKUP(Table55[[#This Row],[Shortname]], Comp[], 16, FALSE)</f>
        <v>0</v>
      </c>
      <c r="R25">
        <f>VLOOKUP(Table55[[#This Row],[Shortname]], Comp[], 17, FALSE)</f>
        <v>0</v>
      </c>
      <c r="S25">
        <f>VLOOKUP(Table55[[#This Row],[Shortname]], Comp[], 18, FALSE)</f>
        <v>0</v>
      </c>
      <c r="T25">
        <f>VLOOKUP(Table55[[#This Row],[Shortname]], Comp[], 19, FALSE)</f>
        <v>0</v>
      </c>
      <c r="U25">
        <f>VLOOKUP(Table55[[#This Row],[Shortname]], Comp[], 20, FALSE)</f>
        <v>0</v>
      </c>
      <c r="V25">
        <f>VLOOKUP(Table55[[#This Row],[Shortname]], Comp[], 21, FALSE)</f>
        <v>0</v>
      </c>
      <c r="W25">
        <f>VLOOKUP(Table55[[#This Row],[Shortname]], Comp[], 22, FALSE)</f>
        <v>0</v>
      </c>
      <c r="X25">
        <f>VLOOKUP(Table55[[#This Row],[Shortname]], Comp[], 23, FALSE)</f>
        <v>0</v>
      </c>
      <c r="Y25">
        <f>VLOOKUP(Table55[[#This Row],[Shortname]], Comp[], 24, FALSE)</f>
        <v>0</v>
      </c>
      <c r="Z25">
        <f>VLOOKUP(Table55[[#This Row],[Shortname]], Comp[], 25, FALSE)</f>
        <v>0</v>
      </c>
      <c r="AA25">
        <f>VLOOKUP(Table55[[#This Row],[Shortname]], Comp[], 26, FALSE)</f>
        <v>0</v>
      </c>
      <c r="AB25">
        <f>VLOOKUP(Table55[[#This Row],[Shortname]], Comp[], 27, FALSE)</f>
        <v>0</v>
      </c>
      <c r="AC25">
        <f>VLOOKUP(Table55[[#This Row],[Shortname]], Comp[], 28, FALSE)</f>
        <v>0</v>
      </c>
      <c r="AD25">
        <f>VLOOKUP(Table55[[#This Row],[Shortname]], Comp[], 29, FALSE)</f>
        <v>0</v>
      </c>
      <c r="AE25">
        <f>VLOOKUP(Table55[[#This Row],[Shortname]], Comp[], 30, FALSE)</f>
        <v>0</v>
      </c>
      <c r="AF25">
        <f>VLOOKUP(Table55[[#This Row],[Shortname]], Comp[], 31, FALSE)</f>
        <v>0</v>
      </c>
    </row>
    <row r="26" spans="1:32" x14ac:dyDescent="0.3">
      <c r="A26" t="s">
        <v>5315</v>
      </c>
      <c r="B26" t="s">
        <v>5317</v>
      </c>
      <c r="C26" s="2" t="s">
        <v>6669</v>
      </c>
      <c r="D26">
        <v>1137</v>
      </c>
      <c r="E26">
        <v>1426</v>
      </c>
      <c r="F26">
        <v>1454</v>
      </c>
      <c r="G26">
        <f>VLOOKUP(Table55[[#This Row],[Shortname]], Comp[], 6, FALSE)</f>
        <v>21000</v>
      </c>
      <c r="H26" s="14">
        <f>VLOOKUP(Table55[[#This Row],[Shortname]], Comp[], 7, FALSE)</f>
        <v>78.599999999999994</v>
      </c>
      <c r="I26">
        <f>VLOOKUP(Table55[[#This Row],[Shortname]], Comp[], 8, FALSE)</f>
        <v>0</v>
      </c>
      <c r="J26">
        <f>VLOOKUP(Table55[[#This Row],[Shortname]], Comp[], 9, FALSE)</f>
        <v>8.1</v>
      </c>
      <c r="K26">
        <f>VLOOKUP(Table55[[#This Row],[Shortname]], Comp[], 10, FALSE)</f>
        <v>0</v>
      </c>
      <c r="L26">
        <f>VLOOKUP(Table55[[#This Row],[Shortname]], Comp[], 11, FALSE)</f>
        <v>9.1</v>
      </c>
      <c r="M26">
        <f>VLOOKUP(Table55[[#This Row],[Shortname]], Comp[],12, FALSE)</f>
        <v>0</v>
      </c>
      <c r="N26">
        <f>VLOOKUP(Table55[[#This Row],[Shortname]], Comp[], 13, FALSE)</f>
        <v>1.7</v>
      </c>
      <c r="O26">
        <f>VLOOKUP(Table55[[#This Row],[Shortname]], Comp[], 14, FALSE)</f>
        <v>0</v>
      </c>
      <c r="P26">
        <f>VLOOKUP(Table55[[#This Row],[Shortname]], Comp[], 15, FALSE)</f>
        <v>0</v>
      </c>
      <c r="Q26">
        <f>VLOOKUP(Table55[[#This Row],[Shortname]], Comp[], 16, FALSE)</f>
        <v>0</v>
      </c>
      <c r="R26">
        <f>VLOOKUP(Table55[[#This Row],[Shortname]], Comp[], 17, FALSE)</f>
        <v>0</v>
      </c>
      <c r="S26">
        <f>VLOOKUP(Table55[[#This Row],[Shortname]], Comp[], 18, FALSE)</f>
        <v>0</v>
      </c>
      <c r="T26">
        <f>VLOOKUP(Table55[[#This Row],[Shortname]], Comp[], 19, FALSE)</f>
        <v>0</v>
      </c>
      <c r="U26">
        <f>VLOOKUP(Table55[[#This Row],[Shortname]], Comp[], 20, FALSE)</f>
        <v>2.5</v>
      </c>
      <c r="V26">
        <f>VLOOKUP(Table55[[#This Row],[Shortname]], Comp[], 21, FALSE)</f>
        <v>0</v>
      </c>
      <c r="W26">
        <f>VLOOKUP(Table55[[#This Row],[Shortname]], Comp[], 22, FALSE)</f>
        <v>0</v>
      </c>
      <c r="X26">
        <f>VLOOKUP(Table55[[#This Row],[Shortname]], Comp[], 23, FALSE)</f>
        <v>0</v>
      </c>
      <c r="Y26">
        <f>VLOOKUP(Table55[[#This Row],[Shortname]], Comp[], 24, FALSE)</f>
        <v>0</v>
      </c>
      <c r="Z26">
        <f>VLOOKUP(Table55[[#This Row],[Shortname]], Comp[], 25, FALSE)</f>
        <v>0</v>
      </c>
      <c r="AA26">
        <f>VLOOKUP(Table55[[#This Row],[Shortname]], Comp[], 26, FALSE)</f>
        <v>0</v>
      </c>
      <c r="AB26">
        <f>VLOOKUP(Table55[[#This Row],[Shortname]], Comp[], 27, FALSE)</f>
        <v>0</v>
      </c>
      <c r="AC26">
        <f>VLOOKUP(Table55[[#This Row],[Shortname]], Comp[], 28, FALSE)</f>
        <v>0</v>
      </c>
      <c r="AD26">
        <f>VLOOKUP(Table55[[#This Row],[Shortname]], Comp[], 29, FALSE)</f>
        <v>0</v>
      </c>
      <c r="AE26">
        <f>VLOOKUP(Table55[[#This Row],[Shortname]], Comp[], 30, FALSE)</f>
        <v>0</v>
      </c>
      <c r="AF26">
        <f>VLOOKUP(Table55[[#This Row],[Shortname]], Comp[], 31, FALSE)</f>
        <v>0</v>
      </c>
    </row>
    <row r="27" spans="1:32" x14ac:dyDescent="0.3">
      <c r="A27" t="s">
        <v>219</v>
      </c>
      <c r="B27" t="s">
        <v>5335</v>
      </c>
      <c r="C27" s="2" t="s">
        <v>6670</v>
      </c>
      <c r="D27">
        <v>1060</v>
      </c>
      <c r="E27">
        <v>1418</v>
      </c>
      <c r="F27">
        <v>1452</v>
      </c>
      <c r="G27">
        <f>VLOOKUP(Table55[[#This Row],[Shortname]], Comp[], 6, FALSE)</f>
        <v>23</v>
      </c>
      <c r="H27" s="14">
        <f>VLOOKUP(Table55[[#This Row],[Shortname]], Comp[], 7, FALSE)</f>
        <v>83.6</v>
      </c>
      <c r="I27">
        <f>VLOOKUP(Table55[[#This Row],[Shortname]], Comp[], 8, FALSE)</f>
        <v>0</v>
      </c>
      <c r="J27">
        <f>VLOOKUP(Table55[[#This Row],[Shortname]], Comp[], 9, FALSE)</f>
        <v>8.6999999999999993</v>
      </c>
      <c r="K27">
        <f>VLOOKUP(Table55[[#This Row],[Shortname]], Comp[], 10, FALSE)</f>
        <v>0</v>
      </c>
      <c r="L27">
        <f>VLOOKUP(Table55[[#This Row],[Shortname]], Comp[], 11, FALSE)</f>
        <v>5.5</v>
      </c>
      <c r="M27">
        <f>VLOOKUP(Table55[[#This Row],[Shortname]], Comp[],12, FALSE)</f>
        <v>0</v>
      </c>
      <c r="N27">
        <f>VLOOKUP(Table55[[#This Row],[Shortname]], Comp[], 13, FALSE)</f>
        <v>1.3</v>
      </c>
      <c r="O27">
        <f>VLOOKUP(Table55[[#This Row],[Shortname]], Comp[], 14, FALSE)</f>
        <v>0</v>
      </c>
      <c r="P27">
        <f>VLOOKUP(Table55[[#This Row],[Shortname]], Comp[], 15, FALSE)</f>
        <v>0</v>
      </c>
      <c r="Q27">
        <f>VLOOKUP(Table55[[#This Row],[Shortname]], Comp[], 16, FALSE)</f>
        <v>0</v>
      </c>
      <c r="R27">
        <f>VLOOKUP(Table55[[#This Row],[Shortname]], Comp[], 17, FALSE)</f>
        <v>0</v>
      </c>
      <c r="S27">
        <f>VLOOKUP(Table55[[#This Row],[Shortname]], Comp[], 18, FALSE)</f>
        <v>0</v>
      </c>
      <c r="T27">
        <f>VLOOKUP(Table55[[#This Row],[Shortname]], Comp[], 19, FALSE)</f>
        <v>0</v>
      </c>
      <c r="U27">
        <f>VLOOKUP(Table55[[#This Row],[Shortname]], Comp[], 20, FALSE)</f>
        <v>0.9</v>
      </c>
      <c r="V27">
        <f>VLOOKUP(Table55[[#This Row],[Shortname]], Comp[], 21, FALSE)</f>
        <v>0</v>
      </c>
      <c r="W27">
        <f>VLOOKUP(Table55[[#This Row],[Shortname]], Comp[], 22, FALSE)</f>
        <v>0</v>
      </c>
      <c r="X27">
        <f>VLOOKUP(Table55[[#This Row],[Shortname]], Comp[], 23, FALSE)</f>
        <v>0</v>
      </c>
      <c r="Y27">
        <f>VLOOKUP(Table55[[#This Row],[Shortname]], Comp[], 24, FALSE)</f>
        <v>0</v>
      </c>
      <c r="Z27">
        <f>VLOOKUP(Table55[[#This Row],[Shortname]], Comp[], 25, FALSE)</f>
        <v>0</v>
      </c>
      <c r="AA27">
        <f>VLOOKUP(Table55[[#This Row],[Shortname]], Comp[], 26, FALSE)</f>
        <v>0</v>
      </c>
      <c r="AB27">
        <f>VLOOKUP(Table55[[#This Row],[Shortname]], Comp[], 27, FALSE)</f>
        <v>0</v>
      </c>
      <c r="AC27">
        <f>VLOOKUP(Table55[[#This Row],[Shortname]], Comp[], 28, FALSE)</f>
        <v>0</v>
      </c>
      <c r="AD27">
        <f>VLOOKUP(Table55[[#This Row],[Shortname]], Comp[], 29, FALSE)</f>
        <v>0</v>
      </c>
      <c r="AE27">
        <f>VLOOKUP(Table55[[#This Row],[Shortname]], Comp[], 30, FALSE)</f>
        <v>0</v>
      </c>
      <c r="AF27">
        <f>VLOOKUP(Table55[[#This Row],[Shortname]], Comp[], 31, FALSE)</f>
        <v>0</v>
      </c>
    </row>
    <row r="28" spans="1:32" x14ac:dyDescent="0.3">
      <c r="A28" t="s">
        <v>322</v>
      </c>
      <c r="B28" t="s">
        <v>324</v>
      </c>
      <c r="C28" s="2" t="s">
        <v>6671</v>
      </c>
      <c r="D28">
        <v>1097</v>
      </c>
      <c r="E28">
        <v>1410</v>
      </c>
      <c r="F28">
        <v>1434</v>
      </c>
      <c r="G28">
        <f>VLOOKUP(Table55[[#This Row],[Shortname]], Comp[], 6, FALSE)</f>
        <v>39</v>
      </c>
      <c r="H28" s="14">
        <f>VLOOKUP(Table55[[#This Row],[Shortname]], Comp[], 7, FALSE)</f>
        <v>79.679999999999993</v>
      </c>
      <c r="I28">
        <f>VLOOKUP(Table55[[#This Row],[Shortname]], Comp[], 8, FALSE)</f>
        <v>0</v>
      </c>
      <c r="J28">
        <f>VLOOKUP(Table55[[#This Row],[Shortname]], Comp[], 9, FALSE)</f>
        <v>8.9</v>
      </c>
      <c r="K28">
        <f>VLOOKUP(Table55[[#This Row],[Shortname]], Comp[], 10, FALSE)</f>
        <v>0</v>
      </c>
      <c r="L28">
        <f>VLOOKUP(Table55[[#This Row],[Shortname]], Comp[], 11, FALSE)</f>
        <v>9.3000000000000007</v>
      </c>
      <c r="M28">
        <f>VLOOKUP(Table55[[#This Row],[Shortname]], Comp[],12, FALSE)</f>
        <v>0</v>
      </c>
      <c r="N28">
        <f>VLOOKUP(Table55[[#This Row],[Shortname]], Comp[], 13, FALSE)</f>
        <v>2</v>
      </c>
      <c r="O28">
        <f>VLOOKUP(Table55[[#This Row],[Shortname]], Comp[], 14, FALSE)</f>
        <v>0</v>
      </c>
      <c r="P28">
        <f>VLOOKUP(Table55[[#This Row],[Shortname]], Comp[], 15, FALSE)</f>
        <v>0</v>
      </c>
      <c r="Q28">
        <f>VLOOKUP(Table55[[#This Row],[Shortname]], Comp[], 16, FALSE)</f>
        <v>0</v>
      </c>
      <c r="R28">
        <f>VLOOKUP(Table55[[#This Row],[Shortname]], Comp[], 17, FALSE)</f>
        <v>0</v>
      </c>
      <c r="S28">
        <f>VLOOKUP(Table55[[#This Row],[Shortname]], Comp[], 18, FALSE)</f>
        <v>0</v>
      </c>
      <c r="T28">
        <f>VLOOKUP(Table55[[#This Row],[Shortname]], Comp[], 19, FALSE)</f>
        <v>0.12</v>
      </c>
      <c r="U28">
        <f>VLOOKUP(Table55[[#This Row],[Shortname]], Comp[], 20, FALSE)</f>
        <v>0</v>
      </c>
      <c r="V28">
        <f>VLOOKUP(Table55[[#This Row],[Shortname]], Comp[], 21, FALSE)</f>
        <v>0</v>
      </c>
      <c r="W28">
        <f>VLOOKUP(Table55[[#This Row],[Shortname]], Comp[], 22, FALSE)</f>
        <v>0</v>
      </c>
      <c r="X28">
        <f>VLOOKUP(Table55[[#This Row],[Shortname]], Comp[], 23, FALSE)</f>
        <v>0</v>
      </c>
      <c r="Y28">
        <f>VLOOKUP(Table55[[#This Row],[Shortname]], Comp[], 24, FALSE)</f>
        <v>0</v>
      </c>
      <c r="Z28">
        <f>VLOOKUP(Table55[[#This Row],[Shortname]], Comp[], 25, FALSE)</f>
        <v>0</v>
      </c>
      <c r="AA28">
        <f>VLOOKUP(Table55[[#This Row],[Shortname]], Comp[], 26, FALSE)</f>
        <v>0</v>
      </c>
      <c r="AB28">
        <f>VLOOKUP(Table55[[#This Row],[Shortname]], Comp[], 27, FALSE)</f>
        <v>0</v>
      </c>
      <c r="AC28">
        <f>VLOOKUP(Table55[[#This Row],[Shortname]], Comp[], 28, FALSE)</f>
        <v>0</v>
      </c>
      <c r="AD28">
        <f>VLOOKUP(Table55[[#This Row],[Shortname]], Comp[], 29, FALSE)</f>
        <v>0</v>
      </c>
      <c r="AE28">
        <f>VLOOKUP(Table55[[#This Row],[Shortname]], Comp[], 30, FALSE)</f>
        <v>0</v>
      </c>
      <c r="AF28">
        <f>VLOOKUP(Table55[[#This Row],[Shortname]], Comp[], 31, FALSE)</f>
        <v>0</v>
      </c>
    </row>
    <row r="29" spans="1:32" x14ac:dyDescent="0.3">
      <c r="A29" t="s">
        <v>94</v>
      </c>
      <c r="B29" t="s">
        <v>97</v>
      </c>
      <c r="C29" s="15" t="s">
        <v>6672</v>
      </c>
      <c r="D29">
        <v>963</v>
      </c>
      <c r="E29">
        <v>1445</v>
      </c>
      <c r="F29">
        <v>1469</v>
      </c>
      <c r="G29">
        <f>VLOOKUP(Table55[[#This Row],[Shortname]], Comp[], 6, FALSE)</f>
        <v>9</v>
      </c>
      <c r="H29" s="14">
        <f>VLOOKUP(Table55[[#This Row],[Shortname]], Comp[], 7, FALSE)</f>
        <v>83.5</v>
      </c>
      <c r="I29">
        <f>VLOOKUP(Table55[[#This Row],[Shortname]], Comp[], 8, FALSE)</f>
        <v>0</v>
      </c>
      <c r="J29">
        <f>VLOOKUP(Table55[[#This Row],[Shortname]], Comp[], 9, FALSE)</f>
        <v>8.1</v>
      </c>
      <c r="K29">
        <f>VLOOKUP(Table55[[#This Row],[Shortname]], Comp[], 10, FALSE)</f>
        <v>0</v>
      </c>
      <c r="L29">
        <f>VLOOKUP(Table55[[#This Row],[Shortname]], Comp[], 11, FALSE)</f>
        <v>8.4</v>
      </c>
      <c r="M29">
        <f>VLOOKUP(Table55[[#This Row],[Shortname]], Comp[],12, FALSE)</f>
        <v>0</v>
      </c>
      <c r="N29">
        <f>VLOOKUP(Table55[[#This Row],[Shortname]], Comp[], 13, FALSE)</f>
        <v>0</v>
      </c>
      <c r="O29">
        <f>VLOOKUP(Table55[[#This Row],[Shortname]], Comp[], 14, FALSE)</f>
        <v>0</v>
      </c>
      <c r="P29">
        <f>VLOOKUP(Table55[[#This Row],[Shortname]], Comp[], 15, FALSE)</f>
        <v>0</v>
      </c>
      <c r="Q29">
        <f>VLOOKUP(Table55[[#This Row],[Shortname]], Comp[], 16, FALSE)</f>
        <v>0</v>
      </c>
      <c r="R29">
        <f>VLOOKUP(Table55[[#This Row],[Shortname]], Comp[], 17, FALSE)</f>
        <v>0</v>
      </c>
      <c r="S29">
        <f>VLOOKUP(Table55[[#This Row],[Shortname]], Comp[], 18, FALSE)</f>
        <v>0</v>
      </c>
      <c r="T29">
        <f>VLOOKUP(Table55[[#This Row],[Shortname]], Comp[], 19, FALSE)</f>
        <v>0</v>
      </c>
      <c r="U29">
        <f>VLOOKUP(Table55[[#This Row],[Shortname]], Comp[], 20, FALSE)</f>
        <v>0</v>
      </c>
      <c r="V29">
        <f>VLOOKUP(Table55[[#This Row],[Shortname]], Comp[], 21, FALSE)</f>
        <v>0</v>
      </c>
      <c r="W29">
        <f>VLOOKUP(Table55[[#This Row],[Shortname]], Comp[], 22, FALSE)</f>
        <v>0</v>
      </c>
      <c r="X29">
        <f>VLOOKUP(Table55[[#This Row],[Shortname]], Comp[], 23, FALSE)</f>
        <v>0</v>
      </c>
      <c r="Y29">
        <f>VLOOKUP(Table55[[#This Row],[Shortname]], Comp[], 24, FALSE)</f>
        <v>0</v>
      </c>
      <c r="Z29">
        <f>VLOOKUP(Table55[[#This Row],[Shortname]], Comp[], 25, FALSE)</f>
        <v>0</v>
      </c>
      <c r="AA29">
        <f>VLOOKUP(Table55[[#This Row],[Shortname]], Comp[], 26, FALSE)</f>
        <v>0</v>
      </c>
      <c r="AB29">
        <f>VLOOKUP(Table55[[#This Row],[Shortname]], Comp[], 27, FALSE)</f>
        <v>0</v>
      </c>
      <c r="AC29">
        <f>VLOOKUP(Table55[[#This Row],[Shortname]], Comp[], 28, FALSE)</f>
        <v>0</v>
      </c>
      <c r="AD29">
        <f>VLOOKUP(Table55[[#This Row],[Shortname]], Comp[], 29, FALSE)</f>
        <v>0</v>
      </c>
      <c r="AE29">
        <f>VLOOKUP(Table55[[#This Row],[Shortname]], Comp[], 30, FALSE)</f>
        <v>0</v>
      </c>
      <c r="AF29">
        <f>VLOOKUP(Table55[[#This Row],[Shortname]], Comp[], 31, FALSE)</f>
        <v>0</v>
      </c>
    </row>
    <row r="30" spans="1:32" x14ac:dyDescent="0.3">
      <c r="A30" t="s">
        <v>331</v>
      </c>
      <c r="B30" t="s">
        <v>333</v>
      </c>
      <c r="C30" s="15" t="s">
        <v>6673</v>
      </c>
      <c r="D30">
        <v>985</v>
      </c>
      <c r="E30">
        <v>1441</v>
      </c>
      <c r="F30">
        <v>1466</v>
      </c>
      <c r="G30">
        <f>VLOOKUP(Table55[[#This Row],[Shortname]], Comp[], 6, FALSE)</f>
        <v>41</v>
      </c>
      <c r="H30" s="14">
        <f>VLOOKUP(Table55[[#This Row],[Shortname]], Comp[], 7, FALSE)</f>
        <v>81.900000000000006</v>
      </c>
      <c r="I30">
        <f>VLOOKUP(Table55[[#This Row],[Shortname]], Comp[], 8, FALSE)</f>
        <v>0</v>
      </c>
      <c r="J30">
        <f>VLOOKUP(Table55[[#This Row],[Shortname]], Comp[], 9, FALSE)</f>
        <v>8.5</v>
      </c>
      <c r="K30">
        <f>VLOOKUP(Table55[[#This Row],[Shortname]], Comp[], 10, FALSE)</f>
        <v>0</v>
      </c>
      <c r="L30">
        <f>VLOOKUP(Table55[[#This Row],[Shortname]], Comp[], 11, FALSE)</f>
        <v>9.6</v>
      </c>
      <c r="M30">
        <f>VLOOKUP(Table55[[#This Row],[Shortname]], Comp[],12, FALSE)</f>
        <v>0</v>
      </c>
      <c r="N30">
        <f>VLOOKUP(Table55[[#This Row],[Shortname]], Comp[], 13, FALSE)</f>
        <v>0</v>
      </c>
      <c r="O30">
        <f>VLOOKUP(Table55[[#This Row],[Shortname]], Comp[], 14, FALSE)</f>
        <v>0</v>
      </c>
      <c r="P30">
        <f>VLOOKUP(Table55[[#This Row],[Shortname]], Comp[], 15, FALSE)</f>
        <v>0</v>
      </c>
      <c r="Q30">
        <f>VLOOKUP(Table55[[#This Row],[Shortname]], Comp[], 16, FALSE)</f>
        <v>0</v>
      </c>
      <c r="R30">
        <f>VLOOKUP(Table55[[#This Row],[Shortname]], Comp[], 17, FALSE)</f>
        <v>0</v>
      </c>
      <c r="S30">
        <f>VLOOKUP(Table55[[#This Row],[Shortname]], Comp[], 18, FALSE)</f>
        <v>0</v>
      </c>
      <c r="T30">
        <f>VLOOKUP(Table55[[#This Row],[Shortname]], Comp[], 19, FALSE)</f>
        <v>0</v>
      </c>
      <c r="U30">
        <f>VLOOKUP(Table55[[#This Row],[Shortname]], Comp[], 20, FALSE)</f>
        <v>0</v>
      </c>
      <c r="V30">
        <f>VLOOKUP(Table55[[#This Row],[Shortname]], Comp[], 21, FALSE)</f>
        <v>0</v>
      </c>
      <c r="W30">
        <f>VLOOKUP(Table55[[#This Row],[Shortname]], Comp[], 22, FALSE)</f>
        <v>0</v>
      </c>
      <c r="X30">
        <f>VLOOKUP(Table55[[#This Row],[Shortname]], Comp[], 23, FALSE)</f>
        <v>0</v>
      </c>
      <c r="Y30">
        <f>VLOOKUP(Table55[[#This Row],[Shortname]], Comp[], 24, FALSE)</f>
        <v>0</v>
      </c>
      <c r="Z30">
        <f>VLOOKUP(Table55[[#This Row],[Shortname]], Comp[], 25, FALSE)</f>
        <v>0</v>
      </c>
      <c r="AA30">
        <f>VLOOKUP(Table55[[#This Row],[Shortname]], Comp[], 26, FALSE)</f>
        <v>0</v>
      </c>
      <c r="AB30">
        <f>VLOOKUP(Table55[[#This Row],[Shortname]], Comp[], 27, FALSE)</f>
        <v>0</v>
      </c>
      <c r="AC30">
        <f>VLOOKUP(Table55[[#This Row],[Shortname]], Comp[], 28, FALSE)</f>
        <v>0</v>
      </c>
      <c r="AD30">
        <f>VLOOKUP(Table55[[#This Row],[Shortname]], Comp[], 29, FALSE)</f>
        <v>0</v>
      </c>
      <c r="AE30">
        <f>VLOOKUP(Table55[[#This Row],[Shortname]], Comp[], 30, FALSE)</f>
        <v>0</v>
      </c>
      <c r="AF30">
        <f>VLOOKUP(Table55[[#This Row],[Shortname]], Comp[], 31, FALSE)</f>
        <v>0</v>
      </c>
    </row>
    <row r="31" spans="1:32" x14ac:dyDescent="0.3">
      <c r="A31" t="s">
        <v>339</v>
      </c>
      <c r="B31" t="s">
        <v>341</v>
      </c>
      <c r="C31" s="15" t="s">
        <v>6674</v>
      </c>
      <c r="D31">
        <v>986</v>
      </c>
      <c r="E31">
        <v>1440</v>
      </c>
      <c r="F31">
        <v>1467</v>
      </c>
      <c r="G31">
        <f>VLOOKUP(Table55[[#This Row],[Shortname]], Comp[], 6, FALSE)</f>
        <v>42</v>
      </c>
      <c r="H31" s="14">
        <f>VLOOKUP(Table55[[#This Row],[Shortname]], Comp[], 7, FALSE)</f>
        <v>81.86</v>
      </c>
      <c r="I31">
        <f>VLOOKUP(Table55[[#This Row],[Shortname]], Comp[], 8, FALSE)</f>
        <v>0</v>
      </c>
      <c r="J31">
        <f>VLOOKUP(Table55[[#This Row],[Shortname]], Comp[], 9, FALSE)</f>
        <v>8.4</v>
      </c>
      <c r="K31">
        <f>VLOOKUP(Table55[[#This Row],[Shortname]], Comp[], 10, FALSE)</f>
        <v>0</v>
      </c>
      <c r="L31">
        <f>VLOOKUP(Table55[[#This Row],[Shortname]], Comp[], 11, FALSE)</f>
        <v>9.6999999999999993</v>
      </c>
      <c r="M31">
        <f>VLOOKUP(Table55[[#This Row],[Shortname]], Comp[],12, FALSE)</f>
        <v>0</v>
      </c>
      <c r="N31">
        <f>VLOOKUP(Table55[[#This Row],[Shortname]], Comp[], 13, FALSE)</f>
        <v>0</v>
      </c>
      <c r="O31">
        <f>VLOOKUP(Table55[[#This Row],[Shortname]], Comp[], 14, FALSE)</f>
        <v>0</v>
      </c>
      <c r="P31">
        <f>VLOOKUP(Table55[[#This Row],[Shortname]], Comp[], 15, FALSE)</f>
        <v>0</v>
      </c>
      <c r="Q31">
        <f>VLOOKUP(Table55[[#This Row],[Shortname]], Comp[], 16, FALSE)</f>
        <v>0</v>
      </c>
      <c r="R31">
        <f>VLOOKUP(Table55[[#This Row],[Shortname]], Comp[], 17, FALSE)</f>
        <v>0</v>
      </c>
      <c r="S31">
        <f>VLOOKUP(Table55[[#This Row],[Shortname]], Comp[], 18, FALSE)</f>
        <v>0</v>
      </c>
      <c r="T31">
        <f>VLOOKUP(Table55[[#This Row],[Shortname]], Comp[], 19, FALSE)</f>
        <v>0.04</v>
      </c>
      <c r="U31">
        <f>VLOOKUP(Table55[[#This Row],[Shortname]], Comp[], 20, FALSE)</f>
        <v>0</v>
      </c>
      <c r="V31">
        <f>VLOOKUP(Table55[[#This Row],[Shortname]], Comp[], 21, FALSE)</f>
        <v>0</v>
      </c>
      <c r="W31">
        <f>VLOOKUP(Table55[[#This Row],[Shortname]], Comp[], 22, FALSE)</f>
        <v>0</v>
      </c>
      <c r="X31">
        <f>VLOOKUP(Table55[[#This Row],[Shortname]], Comp[], 23, FALSE)</f>
        <v>0</v>
      </c>
      <c r="Y31">
        <f>VLOOKUP(Table55[[#This Row],[Shortname]], Comp[], 24, FALSE)</f>
        <v>0</v>
      </c>
      <c r="Z31">
        <f>VLOOKUP(Table55[[#This Row],[Shortname]], Comp[], 25, FALSE)</f>
        <v>0</v>
      </c>
      <c r="AA31">
        <f>VLOOKUP(Table55[[#This Row],[Shortname]], Comp[], 26, FALSE)</f>
        <v>0</v>
      </c>
      <c r="AB31">
        <f>VLOOKUP(Table55[[#This Row],[Shortname]], Comp[], 27, FALSE)</f>
        <v>0</v>
      </c>
      <c r="AC31">
        <f>VLOOKUP(Table55[[#This Row],[Shortname]], Comp[], 28, FALSE)</f>
        <v>0</v>
      </c>
      <c r="AD31">
        <f>VLOOKUP(Table55[[#This Row],[Shortname]], Comp[], 29, FALSE)</f>
        <v>0</v>
      </c>
      <c r="AE31">
        <f>VLOOKUP(Table55[[#This Row],[Shortname]], Comp[], 30, FALSE)</f>
        <v>0</v>
      </c>
      <c r="AF31">
        <f>VLOOKUP(Table55[[#This Row],[Shortname]], Comp[], 31, FALSE)</f>
        <v>0</v>
      </c>
    </row>
    <row r="32" spans="1:32" x14ac:dyDescent="0.3">
      <c r="A32" t="s">
        <v>348</v>
      </c>
      <c r="B32" t="s">
        <v>350</v>
      </c>
      <c r="C32" s="15" t="s">
        <v>6675</v>
      </c>
      <c r="D32">
        <v>984</v>
      </c>
      <c r="E32">
        <v>1439</v>
      </c>
      <c r="F32">
        <v>1465</v>
      </c>
      <c r="G32">
        <f>VLOOKUP(Table55[[#This Row],[Shortname]], Comp[], 6, FALSE)</f>
        <v>43</v>
      </c>
      <c r="H32" s="14">
        <f>VLOOKUP(Table55[[#This Row],[Shortname]], Comp[], 7, FALSE)</f>
        <v>81.52000000000001</v>
      </c>
      <c r="I32">
        <f>VLOOKUP(Table55[[#This Row],[Shortname]], Comp[], 8, FALSE)</f>
        <v>0</v>
      </c>
      <c r="J32">
        <f>VLOOKUP(Table55[[#This Row],[Shortname]], Comp[], 9, FALSE)</f>
        <v>8.9</v>
      </c>
      <c r="K32">
        <f>VLOOKUP(Table55[[#This Row],[Shortname]], Comp[], 10, FALSE)</f>
        <v>0</v>
      </c>
      <c r="L32">
        <f>VLOOKUP(Table55[[#This Row],[Shortname]], Comp[], 11, FALSE)</f>
        <v>9.5</v>
      </c>
      <c r="M32">
        <f>VLOOKUP(Table55[[#This Row],[Shortname]], Comp[],12, FALSE)</f>
        <v>0</v>
      </c>
      <c r="N32">
        <f>VLOOKUP(Table55[[#This Row],[Shortname]], Comp[], 13, FALSE)</f>
        <v>0</v>
      </c>
      <c r="O32">
        <f>VLOOKUP(Table55[[#This Row],[Shortname]], Comp[], 14, FALSE)</f>
        <v>0</v>
      </c>
      <c r="P32">
        <f>VLOOKUP(Table55[[#This Row],[Shortname]], Comp[], 15, FALSE)</f>
        <v>0</v>
      </c>
      <c r="Q32">
        <f>VLOOKUP(Table55[[#This Row],[Shortname]], Comp[], 16, FALSE)</f>
        <v>0</v>
      </c>
      <c r="R32">
        <f>VLOOKUP(Table55[[#This Row],[Shortname]], Comp[], 17, FALSE)</f>
        <v>0</v>
      </c>
      <c r="S32">
        <f>VLOOKUP(Table55[[#This Row],[Shortname]], Comp[], 18, FALSE)</f>
        <v>0</v>
      </c>
      <c r="T32">
        <f>VLOOKUP(Table55[[#This Row],[Shortname]], Comp[], 19, FALSE)</f>
        <v>0.08</v>
      </c>
      <c r="U32">
        <f>VLOOKUP(Table55[[#This Row],[Shortname]], Comp[], 20, FALSE)</f>
        <v>0</v>
      </c>
      <c r="V32">
        <f>VLOOKUP(Table55[[#This Row],[Shortname]], Comp[], 21, FALSE)</f>
        <v>0</v>
      </c>
      <c r="W32">
        <f>VLOOKUP(Table55[[#This Row],[Shortname]], Comp[], 22, FALSE)</f>
        <v>0</v>
      </c>
      <c r="X32">
        <f>VLOOKUP(Table55[[#This Row],[Shortname]], Comp[], 23, FALSE)</f>
        <v>0</v>
      </c>
      <c r="Y32">
        <f>VLOOKUP(Table55[[#This Row],[Shortname]], Comp[], 24, FALSE)</f>
        <v>0</v>
      </c>
      <c r="Z32">
        <f>VLOOKUP(Table55[[#This Row],[Shortname]], Comp[], 25, FALSE)</f>
        <v>0</v>
      </c>
      <c r="AA32">
        <f>VLOOKUP(Table55[[#This Row],[Shortname]], Comp[], 26, FALSE)</f>
        <v>0</v>
      </c>
      <c r="AB32">
        <f>VLOOKUP(Table55[[#This Row],[Shortname]], Comp[], 27, FALSE)</f>
        <v>0</v>
      </c>
      <c r="AC32">
        <f>VLOOKUP(Table55[[#This Row],[Shortname]], Comp[], 28, FALSE)</f>
        <v>0</v>
      </c>
      <c r="AD32">
        <f>VLOOKUP(Table55[[#This Row],[Shortname]], Comp[], 29, FALSE)</f>
        <v>0</v>
      </c>
      <c r="AE32">
        <f>VLOOKUP(Table55[[#This Row],[Shortname]], Comp[], 30, FALSE)</f>
        <v>0</v>
      </c>
      <c r="AF32">
        <f>VLOOKUP(Table55[[#This Row],[Shortname]], Comp[], 31, FALSE)</f>
        <v>0</v>
      </c>
    </row>
    <row r="33" spans="1:32" x14ac:dyDescent="0.3">
      <c r="A33" t="s">
        <v>356</v>
      </c>
      <c r="B33" t="s">
        <v>358</v>
      </c>
      <c r="C33" s="15" t="s">
        <v>6676</v>
      </c>
      <c r="D33">
        <v>982</v>
      </c>
      <c r="E33">
        <v>1444</v>
      </c>
      <c r="F33">
        <v>1469</v>
      </c>
      <c r="G33">
        <f>VLOOKUP(Table55[[#This Row],[Shortname]], Comp[], 6, FALSE)</f>
        <v>44</v>
      </c>
      <c r="H33" s="14">
        <f>VLOOKUP(Table55[[#This Row],[Shortname]], Comp[], 7, FALSE)</f>
        <v>82.179999999999993</v>
      </c>
      <c r="I33">
        <f>VLOOKUP(Table55[[#This Row],[Shortname]], Comp[], 8, FALSE)</f>
        <v>0</v>
      </c>
      <c r="J33">
        <f>VLOOKUP(Table55[[#This Row],[Shortname]], Comp[], 9, FALSE)</f>
        <v>8.3000000000000007</v>
      </c>
      <c r="K33">
        <f>VLOOKUP(Table55[[#This Row],[Shortname]], Comp[], 10, FALSE)</f>
        <v>0</v>
      </c>
      <c r="L33">
        <f>VLOOKUP(Table55[[#This Row],[Shortname]], Comp[], 11, FALSE)</f>
        <v>9.4</v>
      </c>
      <c r="M33">
        <f>VLOOKUP(Table55[[#This Row],[Shortname]], Comp[],12, FALSE)</f>
        <v>0</v>
      </c>
      <c r="N33">
        <f>VLOOKUP(Table55[[#This Row],[Shortname]], Comp[], 13, FALSE)</f>
        <v>0</v>
      </c>
      <c r="O33">
        <f>VLOOKUP(Table55[[#This Row],[Shortname]], Comp[], 14, FALSE)</f>
        <v>0</v>
      </c>
      <c r="P33">
        <f>VLOOKUP(Table55[[#This Row],[Shortname]], Comp[], 15, FALSE)</f>
        <v>0</v>
      </c>
      <c r="Q33">
        <f>VLOOKUP(Table55[[#This Row],[Shortname]], Comp[], 16, FALSE)</f>
        <v>0</v>
      </c>
      <c r="R33">
        <f>VLOOKUP(Table55[[#This Row],[Shortname]], Comp[], 17, FALSE)</f>
        <v>0</v>
      </c>
      <c r="S33">
        <f>VLOOKUP(Table55[[#This Row],[Shortname]], Comp[], 18, FALSE)</f>
        <v>0</v>
      </c>
      <c r="T33">
        <f>VLOOKUP(Table55[[#This Row],[Shortname]], Comp[], 19, FALSE)</f>
        <v>0.12</v>
      </c>
      <c r="U33">
        <f>VLOOKUP(Table55[[#This Row],[Shortname]], Comp[], 20, FALSE)</f>
        <v>0</v>
      </c>
      <c r="V33">
        <f>VLOOKUP(Table55[[#This Row],[Shortname]], Comp[], 21, FALSE)</f>
        <v>0</v>
      </c>
      <c r="W33">
        <f>VLOOKUP(Table55[[#This Row],[Shortname]], Comp[], 22, FALSE)</f>
        <v>0</v>
      </c>
      <c r="X33">
        <f>VLOOKUP(Table55[[#This Row],[Shortname]], Comp[], 23, FALSE)</f>
        <v>0</v>
      </c>
      <c r="Y33">
        <f>VLOOKUP(Table55[[#This Row],[Shortname]], Comp[], 24, FALSE)</f>
        <v>0</v>
      </c>
      <c r="Z33">
        <f>VLOOKUP(Table55[[#This Row],[Shortname]], Comp[], 25, FALSE)</f>
        <v>0</v>
      </c>
      <c r="AA33">
        <f>VLOOKUP(Table55[[#This Row],[Shortname]], Comp[], 26, FALSE)</f>
        <v>0</v>
      </c>
      <c r="AB33">
        <f>VLOOKUP(Table55[[#This Row],[Shortname]], Comp[], 27, FALSE)</f>
        <v>0</v>
      </c>
      <c r="AC33">
        <f>VLOOKUP(Table55[[#This Row],[Shortname]], Comp[], 28, FALSE)</f>
        <v>0</v>
      </c>
      <c r="AD33">
        <f>VLOOKUP(Table55[[#This Row],[Shortname]], Comp[], 29, FALSE)</f>
        <v>0</v>
      </c>
      <c r="AE33">
        <f>VLOOKUP(Table55[[#This Row],[Shortname]], Comp[], 30, FALSE)</f>
        <v>0</v>
      </c>
      <c r="AF33">
        <f>VLOOKUP(Table55[[#This Row],[Shortname]], Comp[], 31, FALSE)</f>
        <v>0</v>
      </c>
    </row>
    <row r="34" spans="1:32" x14ac:dyDescent="0.3">
      <c r="A34" t="s">
        <v>363</v>
      </c>
      <c r="B34" t="s">
        <v>364</v>
      </c>
      <c r="C34" s="15" t="s">
        <v>6677</v>
      </c>
      <c r="D34">
        <v>1101</v>
      </c>
      <c r="E34">
        <v>1414</v>
      </c>
      <c r="F34">
        <v>1439</v>
      </c>
      <c r="G34">
        <f>VLOOKUP(Table55[[#This Row],[Shortname]], Comp[], 6, FALSE)</f>
        <v>45</v>
      </c>
      <c r="H34" s="14">
        <f>VLOOKUP(Table55[[#This Row],[Shortname]], Comp[], 7, FALSE)</f>
        <v>80.320000000000007</v>
      </c>
      <c r="I34">
        <f>VLOOKUP(Table55[[#This Row],[Shortname]], Comp[], 8, FALSE)</f>
        <v>0</v>
      </c>
      <c r="J34">
        <f>VLOOKUP(Table55[[#This Row],[Shortname]], Comp[], 9, FALSE)</f>
        <v>8.9</v>
      </c>
      <c r="K34">
        <f>VLOOKUP(Table55[[#This Row],[Shortname]], Comp[], 10, FALSE)</f>
        <v>0</v>
      </c>
      <c r="L34">
        <f>VLOOKUP(Table55[[#This Row],[Shortname]], Comp[], 11, FALSE)</f>
        <v>8.5</v>
      </c>
      <c r="M34">
        <f>VLOOKUP(Table55[[#This Row],[Shortname]], Comp[],12, FALSE)</f>
        <v>0</v>
      </c>
      <c r="N34">
        <f>VLOOKUP(Table55[[#This Row],[Shortname]], Comp[], 13, FALSE)</f>
        <v>2.2000000000000002</v>
      </c>
      <c r="O34">
        <f>VLOOKUP(Table55[[#This Row],[Shortname]], Comp[], 14, FALSE)</f>
        <v>0</v>
      </c>
      <c r="P34">
        <f>VLOOKUP(Table55[[#This Row],[Shortname]], Comp[], 15, FALSE)</f>
        <v>0</v>
      </c>
      <c r="Q34">
        <f>VLOOKUP(Table55[[#This Row],[Shortname]], Comp[], 16, FALSE)</f>
        <v>0</v>
      </c>
      <c r="R34">
        <f>VLOOKUP(Table55[[#This Row],[Shortname]], Comp[], 17, FALSE)</f>
        <v>0</v>
      </c>
      <c r="S34">
        <f>VLOOKUP(Table55[[#This Row],[Shortname]], Comp[], 18, FALSE)</f>
        <v>0</v>
      </c>
      <c r="T34">
        <f>VLOOKUP(Table55[[#This Row],[Shortname]], Comp[], 19, FALSE)</f>
        <v>0.08</v>
      </c>
      <c r="U34">
        <f>VLOOKUP(Table55[[#This Row],[Shortname]], Comp[], 20, FALSE)</f>
        <v>0</v>
      </c>
      <c r="V34">
        <f>VLOOKUP(Table55[[#This Row],[Shortname]], Comp[], 21, FALSE)</f>
        <v>0</v>
      </c>
      <c r="W34">
        <f>VLOOKUP(Table55[[#This Row],[Shortname]], Comp[], 22, FALSE)</f>
        <v>0</v>
      </c>
      <c r="X34">
        <f>VLOOKUP(Table55[[#This Row],[Shortname]], Comp[], 23, FALSE)</f>
        <v>0</v>
      </c>
      <c r="Y34">
        <f>VLOOKUP(Table55[[#This Row],[Shortname]], Comp[], 24, FALSE)</f>
        <v>0</v>
      </c>
      <c r="Z34">
        <f>VLOOKUP(Table55[[#This Row],[Shortname]], Comp[], 25, FALSE)</f>
        <v>0</v>
      </c>
      <c r="AA34">
        <f>VLOOKUP(Table55[[#This Row],[Shortname]], Comp[], 26, FALSE)</f>
        <v>0</v>
      </c>
      <c r="AB34">
        <f>VLOOKUP(Table55[[#This Row],[Shortname]], Comp[], 27, FALSE)</f>
        <v>0</v>
      </c>
      <c r="AC34">
        <f>VLOOKUP(Table55[[#This Row],[Shortname]], Comp[], 28, FALSE)</f>
        <v>0</v>
      </c>
      <c r="AD34">
        <f>VLOOKUP(Table55[[#This Row],[Shortname]], Comp[], 29, FALSE)</f>
        <v>0</v>
      </c>
      <c r="AE34">
        <f>VLOOKUP(Table55[[#This Row],[Shortname]], Comp[], 30, FALSE)</f>
        <v>0</v>
      </c>
      <c r="AF34">
        <f>VLOOKUP(Table55[[#This Row],[Shortname]], Comp[], 31, FALSE)</f>
        <v>0</v>
      </c>
    </row>
    <row r="35" spans="1:32" x14ac:dyDescent="0.3">
      <c r="A35" t="s">
        <v>322</v>
      </c>
      <c r="B35" t="s">
        <v>5339</v>
      </c>
      <c r="C35" s="15" t="s">
        <v>6678</v>
      </c>
      <c r="D35">
        <v>1097</v>
      </c>
      <c r="E35">
        <v>1410</v>
      </c>
      <c r="F35">
        <v>1434</v>
      </c>
      <c r="G35">
        <f>VLOOKUP(Table55[[#This Row],[Shortname]], Comp[], 6, FALSE)</f>
        <v>39</v>
      </c>
      <c r="H35" s="14">
        <f>VLOOKUP(Table55[[#This Row],[Shortname]], Comp[], 7, FALSE)</f>
        <v>79.679999999999993</v>
      </c>
      <c r="I35">
        <f>VLOOKUP(Table55[[#This Row],[Shortname]], Comp[], 8, FALSE)</f>
        <v>0</v>
      </c>
      <c r="J35">
        <f>VLOOKUP(Table55[[#This Row],[Shortname]], Comp[], 9, FALSE)</f>
        <v>8.9</v>
      </c>
      <c r="K35">
        <f>VLOOKUP(Table55[[#This Row],[Shortname]], Comp[], 10, FALSE)</f>
        <v>0</v>
      </c>
      <c r="L35">
        <f>VLOOKUP(Table55[[#This Row],[Shortname]], Comp[], 11, FALSE)</f>
        <v>9.3000000000000007</v>
      </c>
      <c r="M35">
        <f>VLOOKUP(Table55[[#This Row],[Shortname]], Comp[],12, FALSE)</f>
        <v>0</v>
      </c>
      <c r="N35">
        <f>VLOOKUP(Table55[[#This Row],[Shortname]], Comp[], 13, FALSE)</f>
        <v>2</v>
      </c>
      <c r="O35">
        <f>VLOOKUP(Table55[[#This Row],[Shortname]], Comp[], 14, FALSE)</f>
        <v>0</v>
      </c>
      <c r="P35">
        <f>VLOOKUP(Table55[[#This Row],[Shortname]], Comp[], 15, FALSE)</f>
        <v>0</v>
      </c>
      <c r="Q35">
        <f>VLOOKUP(Table55[[#This Row],[Shortname]], Comp[], 16, FALSE)</f>
        <v>0</v>
      </c>
      <c r="R35">
        <f>VLOOKUP(Table55[[#This Row],[Shortname]], Comp[], 17, FALSE)</f>
        <v>0</v>
      </c>
      <c r="S35">
        <f>VLOOKUP(Table55[[#This Row],[Shortname]], Comp[], 18, FALSE)</f>
        <v>0</v>
      </c>
      <c r="T35">
        <f>VLOOKUP(Table55[[#This Row],[Shortname]], Comp[], 19, FALSE)</f>
        <v>0.12</v>
      </c>
      <c r="U35">
        <f>VLOOKUP(Table55[[#This Row],[Shortname]], Comp[], 20, FALSE)</f>
        <v>0</v>
      </c>
      <c r="V35">
        <f>VLOOKUP(Table55[[#This Row],[Shortname]], Comp[], 21, FALSE)</f>
        <v>0</v>
      </c>
      <c r="W35">
        <f>VLOOKUP(Table55[[#This Row],[Shortname]], Comp[], 22, FALSE)</f>
        <v>0</v>
      </c>
      <c r="X35">
        <f>VLOOKUP(Table55[[#This Row],[Shortname]], Comp[], 23, FALSE)</f>
        <v>0</v>
      </c>
      <c r="Y35">
        <f>VLOOKUP(Table55[[#This Row],[Shortname]], Comp[], 24, FALSE)</f>
        <v>0</v>
      </c>
      <c r="Z35">
        <f>VLOOKUP(Table55[[#This Row],[Shortname]], Comp[], 25, FALSE)</f>
        <v>0</v>
      </c>
      <c r="AA35">
        <f>VLOOKUP(Table55[[#This Row],[Shortname]], Comp[], 26, FALSE)</f>
        <v>0</v>
      </c>
      <c r="AB35">
        <f>VLOOKUP(Table55[[#This Row],[Shortname]], Comp[], 27, FALSE)</f>
        <v>0</v>
      </c>
      <c r="AC35">
        <f>VLOOKUP(Table55[[#This Row],[Shortname]], Comp[], 28, FALSE)</f>
        <v>0</v>
      </c>
      <c r="AD35">
        <f>VLOOKUP(Table55[[#This Row],[Shortname]], Comp[], 29, FALSE)</f>
        <v>0</v>
      </c>
      <c r="AE35">
        <f>VLOOKUP(Table55[[#This Row],[Shortname]], Comp[], 30, FALSE)</f>
        <v>0</v>
      </c>
      <c r="AF35">
        <f>VLOOKUP(Table55[[#This Row],[Shortname]], Comp[], 31, FALSE)</f>
        <v>0</v>
      </c>
    </row>
    <row r="36" spans="1:32" x14ac:dyDescent="0.3">
      <c r="A36" t="s">
        <v>371</v>
      </c>
      <c r="B36" t="s">
        <v>372</v>
      </c>
      <c r="C36" s="15" t="s">
        <v>6679</v>
      </c>
      <c r="D36">
        <v>1079</v>
      </c>
      <c r="E36">
        <v>1390</v>
      </c>
      <c r="F36">
        <v>1411</v>
      </c>
      <c r="G36">
        <f>VLOOKUP(Table55[[#This Row],[Shortname]], Comp[], 6, FALSE)</f>
        <v>47</v>
      </c>
      <c r="H36" s="14">
        <f>VLOOKUP(Table55[[#This Row],[Shortname]], Comp[], 7, FALSE)</f>
        <v>82.5</v>
      </c>
      <c r="I36">
        <f>VLOOKUP(Table55[[#This Row],[Shortname]], Comp[], 8, FALSE)</f>
        <v>0</v>
      </c>
      <c r="J36">
        <f>VLOOKUP(Table55[[#This Row],[Shortname]], Comp[], 9, FALSE)</f>
        <v>8</v>
      </c>
      <c r="K36">
        <f>VLOOKUP(Table55[[#This Row],[Shortname]], Comp[], 10, FALSE)</f>
        <v>0</v>
      </c>
      <c r="L36">
        <f>VLOOKUP(Table55[[#This Row],[Shortname]], Comp[], 11, FALSE)</f>
        <v>6.7</v>
      </c>
      <c r="M36">
        <f>VLOOKUP(Table55[[#This Row],[Shortname]], Comp[],12, FALSE)</f>
        <v>0</v>
      </c>
      <c r="N36">
        <f>VLOOKUP(Table55[[#This Row],[Shortname]], Comp[], 13, FALSE)</f>
        <v>1.4</v>
      </c>
      <c r="O36">
        <f>VLOOKUP(Table55[[#This Row],[Shortname]], Comp[], 14, FALSE)</f>
        <v>1.4</v>
      </c>
      <c r="P36">
        <f>VLOOKUP(Table55[[#This Row],[Shortname]], Comp[], 15, FALSE)</f>
        <v>0</v>
      </c>
      <c r="Q36">
        <f>VLOOKUP(Table55[[#This Row],[Shortname]], Comp[], 16, FALSE)</f>
        <v>0</v>
      </c>
      <c r="R36">
        <f>VLOOKUP(Table55[[#This Row],[Shortname]], Comp[], 17, FALSE)</f>
        <v>0</v>
      </c>
      <c r="S36">
        <f>VLOOKUP(Table55[[#This Row],[Shortname]], Comp[], 18, FALSE)</f>
        <v>0</v>
      </c>
      <c r="T36">
        <f>VLOOKUP(Table55[[#This Row],[Shortname]], Comp[], 19, FALSE)</f>
        <v>0</v>
      </c>
      <c r="U36">
        <f>VLOOKUP(Table55[[#This Row],[Shortname]], Comp[], 20, FALSE)</f>
        <v>0</v>
      </c>
      <c r="V36">
        <f>VLOOKUP(Table55[[#This Row],[Shortname]], Comp[], 21, FALSE)</f>
        <v>0</v>
      </c>
      <c r="W36">
        <f>VLOOKUP(Table55[[#This Row],[Shortname]], Comp[], 22, FALSE)</f>
        <v>0</v>
      </c>
      <c r="X36">
        <f>VLOOKUP(Table55[[#This Row],[Shortname]], Comp[], 23, FALSE)</f>
        <v>0</v>
      </c>
      <c r="Y36">
        <f>VLOOKUP(Table55[[#This Row],[Shortname]], Comp[], 24, FALSE)</f>
        <v>0</v>
      </c>
      <c r="Z36">
        <f>VLOOKUP(Table55[[#This Row],[Shortname]], Comp[], 25, FALSE)</f>
        <v>0</v>
      </c>
      <c r="AA36">
        <f>VLOOKUP(Table55[[#This Row],[Shortname]], Comp[], 26, FALSE)</f>
        <v>0</v>
      </c>
      <c r="AB36">
        <f>VLOOKUP(Table55[[#This Row],[Shortname]], Comp[], 27, FALSE)</f>
        <v>0</v>
      </c>
      <c r="AC36">
        <f>VLOOKUP(Table55[[#This Row],[Shortname]], Comp[], 28, FALSE)</f>
        <v>0</v>
      </c>
      <c r="AD36">
        <f>VLOOKUP(Table55[[#This Row],[Shortname]], Comp[], 29, FALSE)</f>
        <v>0</v>
      </c>
      <c r="AE36">
        <f>VLOOKUP(Table55[[#This Row],[Shortname]], Comp[], 30, FALSE)</f>
        <v>0</v>
      </c>
      <c r="AF36">
        <f>VLOOKUP(Table55[[#This Row],[Shortname]], Comp[], 31, FALSE)</f>
        <v>0</v>
      </c>
    </row>
    <row r="37" spans="1:32" x14ac:dyDescent="0.3">
      <c r="A37" t="s">
        <v>377</v>
      </c>
      <c r="B37" t="s">
        <v>379</v>
      </c>
      <c r="C37" s="15" t="s">
        <v>6680</v>
      </c>
      <c r="D37">
        <v>1011</v>
      </c>
      <c r="E37">
        <v>1430</v>
      </c>
      <c r="F37">
        <v>1459</v>
      </c>
      <c r="G37">
        <f>VLOOKUP(Table55[[#This Row],[Shortname]], Comp[], 6, FALSE)</f>
        <v>48</v>
      </c>
      <c r="H37" s="14">
        <f>VLOOKUP(Table55[[#This Row],[Shortname]], Comp[], 7, FALSE)</f>
        <v>82</v>
      </c>
      <c r="I37">
        <f>VLOOKUP(Table55[[#This Row],[Shortname]], Comp[], 8, FALSE)</f>
        <v>0</v>
      </c>
      <c r="J37">
        <f>VLOOKUP(Table55[[#This Row],[Shortname]], Comp[], 9, FALSE)</f>
        <v>8.1999999999999993</v>
      </c>
      <c r="K37">
        <f>VLOOKUP(Table55[[#This Row],[Shortname]], Comp[], 10, FALSE)</f>
        <v>0</v>
      </c>
      <c r="L37">
        <f>VLOOKUP(Table55[[#This Row],[Shortname]], Comp[], 11, FALSE)</f>
        <v>9.4</v>
      </c>
      <c r="M37">
        <f>VLOOKUP(Table55[[#This Row],[Shortname]], Comp[],12, FALSE)</f>
        <v>0</v>
      </c>
      <c r="N37">
        <f>VLOOKUP(Table55[[#This Row],[Shortname]], Comp[], 13, FALSE)</f>
        <v>0</v>
      </c>
      <c r="O37">
        <f>VLOOKUP(Table55[[#This Row],[Shortname]], Comp[], 14, FALSE)</f>
        <v>0.4</v>
      </c>
      <c r="P37">
        <f>VLOOKUP(Table55[[#This Row],[Shortname]], Comp[], 15, FALSE)</f>
        <v>0</v>
      </c>
      <c r="Q37">
        <f>VLOOKUP(Table55[[#This Row],[Shortname]], Comp[], 16, FALSE)</f>
        <v>0</v>
      </c>
      <c r="R37">
        <f>VLOOKUP(Table55[[#This Row],[Shortname]], Comp[], 17, FALSE)</f>
        <v>0</v>
      </c>
      <c r="S37">
        <f>VLOOKUP(Table55[[#This Row],[Shortname]], Comp[], 18, FALSE)</f>
        <v>0</v>
      </c>
      <c r="T37">
        <f>VLOOKUP(Table55[[#This Row],[Shortname]], Comp[], 19, FALSE)</f>
        <v>0</v>
      </c>
      <c r="U37">
        <f>VLOOKUP(Table55[[#This Row],[Shortname]], Comp[], 20, FALSE)</f>
        <v>0</v>
      </c>
      <c r="V37">
        <f>VLOOKUP(Table55[[#This Row],[Shortname]], Comp[], 21, FALSE)</f>
        <v>0</v>
      </c>
      <c r="W37">
        <f>VLOOKUP(Table55[[#This Row],[Shortname]], Comp[], 22, FALSE)</f>
        <v>0</v>
      </c>
      <c r="X37">
        <f>VLOOKUP(Table55[[#This Row],[Shortname]], Comp[], 23, FALSE)</f>
        <v>0</v>
      </c>
      <c r="Y37">
        <f>VLOOKUP(Table55[[#This Row],[Shortname]], Comp[], 24, FALSE)</f>
        <v>0</v>
      </c>
      <c r="Z37">
        <f>VLOOKUP(Table55[[#This Row],[Shortname]], Comp[], 25, FALSE)</f>
        <v>0</v>
      </c>
      <c r="AA37">
        <f>VLOOKUP(Table55[[#This Row],[Shortname]], Comp[], 26, FALSE)</f>
        <v>0</v>
      </c>
      <c r="AB37">
        <f>VLOOKUP(Table55[[#This Row],[Shortname]], Comp[], 27, FALSE)</f>
        <v>0</v>
      </c>
      <c r="AC37">
        <f>VLOOKUP(Table55[[#This Row],[Shortname]], Comp[], 28, FALSE)</f>
        <v>0</v>
      </c>
      <c r="AD37">
        <f>VLOOKUP(Table55[[#This Row],[Shortname]], Comp[], 29, FALSE)</f>
        <v>0</v>
      </c>
      <c r="AE37">
        <f>VLOOKUP(Table55[[#This Row],[Shortname]], Comp[], 30, FALSE)</f>
        <v>0</v>
      </c>
      <c r="AF37">
        <f>VLOOKUP(Table55[[#This Row],[Shortname]], Comp[], 31, FALSE)</f>
        <v>0</v>
      </c>
    </row>
    <row r="38" spans="1:32" x14ac:dyDescent="0.3">
      <c r="A38" t="s">
        <v>104</v>
      </c>
      <c r="B38" t="s">
        <v>5343</v>
      </c>
      <c r="C38" s="15" t="s">
        <v>6681</v>
      </c>
      <c r="D38">
        <v>1064</v>
      </c>
      <c r="E38">
        <v>1377</v>
      </c>
      <c r="F38">
        <v>1426</v>
      </c>
      <c r="G38">
        <f>VLOOKUP(Table55[[#This Row],[Shortname]], Comp[], 6, FALSE)</f>
        <v>10</v>
      </c>
      <c r="H38" s="14">
        <f>VLOOKUP(Table55[[#This Row],[Shortname]], Comp[], 7, FALSE)</f>
        <v>78.599999999999994</v>
      </c>
      <c r="I38">
        <f>VLOOKUP(Table55[[#This Row],[Shortname]], Comp[], 8, FALSE)</f>
        <v>0</v>
      </c>
      <c r="J38">
        <f>VLOOKUP(Table55[[#This Row],[Shortname]], Comp[], 9, FALSE)</f>
        <v>9.4</v>
      </c>
      <c r="K38">
        <f>VLOOKUP(Table55[[#This Row],[Shortname]], Comp[], 10, FALSE)</f>
        <v>0</v>
      </c>
      <c r="L38">
        <f>VLOOKUP(Table55[[#This Row],[Shortname]], Comp[], 11, FALSE)</f>
        <v>10.199999999999999</v>
      </c>
      <c r="M38">
        <f>VLOOKUP(Table55[[#This Row],[Shortname]], Comp[],12, FALSE)</f>
        <v>0</v>
      </c>
      <c r="N38">
        <f>VLOOKUP(Table55[[#This Row],[Shortname]], Comp[], 13, FALSE)</f>
        <v>0</v>
      </c>
      <c r="O38">
        <f>VLOOKUP(Table55[[#This Row],[Shortname]], Comp[], 14, FALSE)</f>
        <v>1.8</v>
      </c>
      <c r="P38">
        <f>VLOOKUP(Table55[[#This Row],[Shortname]], Comp[], 15, FALSE)</f>
        <v>0</v>
      </c>
      <c r="Q38">
        <f>VLOOKUP(Table55[[#This Row],[Shortname]], Comp[], 16, FALSE)</f>
        <v>0</v>
      </c>
      <c r="R38">
        <f>VLOOKUP(Table55[[#This Row],[Shortname]], Comp[], 17, FALSE)</f>
        <v>0</v>
      </c>
      <c r="S38">
        <f>VLOOKUP(Table55[[#This Row],[Shortname]], Comp[], 18, FALSE)</f>
        <v>0</v>
      </c>
      <c r="T38">
        <f>VLOOKUP(Table55[[#This Row],[Shortname]], Comp[], 19, FALSE)</f>
        <v>0</v>
      </c>
      <c r="U38">
        <f>VLOOKUP(Table55[[#This Row],[Shortname]], Comp[], 20, FALSE)</f>
        <v>0</v>
      </c>
      <c r="V38">
        <f>VLOOKUP(Table55[[#This Row],[Shortname]], Comp[], 21, FALSE)</f>
        <v>0</v>
      </c>
      <c r="W38">
        <f>VLOOKUP(Table55[[#This Row],[Shortname]], Comp[], 22, FALSE)</f>
        <v>0</v>
      </c>
      <c r="X38">
        <f>VLOOKUP(Table55[[#This Row],[Shortname]], Comp[], 23, FALSE)</f>
        <v>0</v>
      </c>
      <c r="Y38">
        <f>VLOOKUP(Table55[[#This Row],[Shortname]], Comp[], 24, FALSE)</f>
        <v>0</v>
      </c>
      <c r="Z38">
        <f>VLOOKUP(Table55[[#This Row],[Shortname]], Comp[], 25, FALSE)</f>
        <v>0</v>
      </c>
      <c r="AA38">
        <f>VLOOKUP(Table55[[#This Row],[Shortname]], Comp[], 26, FALSE)</f>
        <v>0</v>
      </c>
      <c r="AB38">
        <f>VLOOKUP(Table55[[#This Row],[Shortname]], Comp[], 27, FALSE)</f>
        <v>0</v>
      </c>
      <c r="AC38">
        <f>VLOOKUP(Table55[[#This Row],[Shortname]], Comp[], 28, FALSE)</f>
        <v>0</v>
      </c>
      <c r="AD38">
        <f>VLOOKUP(Table55[[#This Row],[Shortname]], Comp[], 29, FALSE)</f>
        <v>0</v>
      </c>
      <c r="AE38">
        <f>VLOOKUP(Table55[[#This Row],[Shortname]], Comp[], 30, FALSE)</f>
        <v>0</v>
      </c>
      <c r="AF38">
        <f>VLOOKUP(Table55[[#This Row],[Shortname]], Comp[], 31, FALSE)</f>
        <v>0</v>
      </c>
    </row>
    <row r="39" spans="1:32" x14ac:dyDescent="0.3">
      <c r="A39" t="s">
        <v>385</v>
      </c>
      <c r="B39" t="s">
        <v>387</v>
      </c>
      <c r="C39" s="15" t="s">
        <v>6682</v>
      </c>
      <c r="D39">
        <v>994</v>
      </c>
      <c r="E39">
        <v>1436</v>
      </c>
      <c r="F39">
        <v>1461</v>
      </c>
      <c r="G39">
        <f>VLOOKUP(Table55[[#This Row],[Shortname]], Comp[], 6, FALSE)</f>
        <v>50</v>
      </c>
      <c r="H39" s="14">
        <f>VLOOKUP(Table55[[#This Row],[Shortname]], Comp[], 7, FALSE)</f>
        <v>81.259999999999991</v>
      </c>
      <c r="I39">
        <f>VLOOKUP(Table55[[#This Row],[Shortname]], Comp[], 8, FALSE)</f>
        <v>0</v>
      </c>
      <c r="J39">
        <f>VLOOKUP(Table55[[#This Row],[Shortname]], Comp[], 9, FALSE)</f>
        <v>8.1999999999999993</v>
      </c>
      <c r="K39">
        <f>VLOOKUP(Table55[[#This Row],[Shortname]], Comp[], 10, FALSE)</f>
        <v>0</v>
      </c>
      <c r="L39">
        <f>VLOOKUP(Table55[[#This Row],[Shortname]], Comp[], 11, FALSE)</f>
        <v>9.4</v>
      </c>
      <c r="M39">
        <f>VLOOKUP(Table55[[#This Row],[Shortname]], Comp[],12, FALSE)</f>
        <v>0</v>
      </c>
      <c r="N39">
        <f>VLOOKUP(Table55[[#This Row],[Shortname]], Comp[], 13, FALSE)</f>
        <v>0</v>
      </c>
      <c r="O39">
        <f>VLOOKUP(Table55[[#This Row],[Shortname]], Comp[], 14, FALSE)</f>
        <v>0</v>
      </c>
      <c r="P39">
        <f>VLOOKUP(Table55[[#This Row],[Shortname]], Comp[], 15, FALSE)</f>
        <v>0</v>
      </c>
      <c r="Q39">
        <f>VLOOKUP(Table55[[#This Row],[Shortname]], Comp[], 16, FALSE)</f>
        <v>1.1000000000000001</v>
      </c>
      <c r="R39">
        <f>VLOOKUP(Table55[[#This Row],[Shortname]], Comp[], 17, FALSE)</f>
        <v>0</v>
      </c>
      <c r="S39">
        <f>VLOOKUP(Table55[[#This Row],[Shortname]], Comp[], 18, FALSE)</f>
        <v>0</v>
      </c>
      <c r="T39">
        <f>VLOOKUP(Table55[[#This Row],[Shortname]], Comp[], 19, FALSE)</f>
        <v>0.04</v>
      </c>
      <c r="U39">
        <f>VLOOKUP(Table55[[#This Row],[Shortname]], Comp[], 20, FALSE)</f>
        <v>0</v>
      </c>
      <c r="V39">
        <f>VLOOKUP(Table55[[#This Row],[Shortname]], Comp[], 21, FALSE)</f>
        <v>0</v>
      </c>
      <c r="W39">
        <f>VLOOKUP(Table55[[#This Row],[Shortname]], Comp[], 22, FALSE)</f>
        <v>0</v>
      </c>
      <c r="X39">
        <f>VLOOKUP(Table55[[#This Row],[Shortname]], Comp[], 23, FALSE)</f>
        <v>0</v>
      </c>
      <c r="Y39">
        <f>VLOOKUP(Table55[[#This Row],[Shortname]], Comp[], 24, FALSE)</f>
        <v>0</v>
      </c>
      <c r="Z39">
        <f>VLOOKUP(Table55[[#This Row],[Shortname]], Comp[], 25, FALSE)</f>
        <v>0</v>
      </c>
      <c r="AA39">
        <f>VLOOKUP(Table55[[#This Row],[Shortname]], Comp[], 26, FALSE)</f>
        <v>0</v>
      </c>
      <c r="AB39">
        <f>VLOOKUP(Table55[[#This Row],[Shortname]], Comp[], 27, FALSE)</f>
        <v>0</v>
      </c>
      <c r="AC39">
        <f>VLOOKUP(Table55[[#This Row],[Shortname]], Comp[], 28, FALSE)</f>
        <v>0</v>
      </c>
      <c r="AD39">
        <f>VLOOKUP(Table55[[#This Row],[Shortname]], Comp[], 29, FALSE)</f>
        <v>0</v>
      </c>
      <c r="AE39">
        <f>VLOOKUP(Table55[[#This Row],[Shortname]], Comp[], 30, FALSE)</f>
        <v>0</v>
      </c>
      <c r="AF39">
        <f>VLOOKUP(Table55[[#This Row],[Shortname]], Comp[], 31, FALSE)</f>
        <v>0</v>
      </c>
    </row>
    <row r="40" spans="1:32" x14ac:dyDescent="0.3">
      <c r="A40" t="s">
        <v>393</v>
      </c>
      <c r="B40" t="s">
        <v>394</v>
      </c>
      <c r="C40" s="15" t="s">
        <v>6683</v>
      </c>
      <c r="D40">
        <v>1082</v>
      </c>
      <c r="E40">
        <v>1398</v>
      </c>
      <c r="F40">
        <v>1417</v>
      </c>
      <c r="G40">
        <f>VLOOKUP(Table55[[#This Row],[Shortname]], Comp[], 6, FALSE)</f>
        <v>51</v>
      </c>
      <c r="H40" s="14">
        <f>VLOOKUP(Table55[[#This Row],[Shortname]], Comp[], 7, FALSE)</f>
        <v>78.900000000000006</v>
      </c>
      <c r="I40">
        <f>VLOOKUP(Table55[[#This Row],[Shortname]], Comp[], 8, FALSE)</f>
        <v>0</v>
      </c>
      <c r="J40">
        <f>VLOOKUP(Table55[[#This Row],[Shortname]], Comp[], 9, FALSE)</f>
        <v>8.1999999999999993</v>
      </c>
      <c r="K40">
        <f>VLOOKUP(Table55[[#This Row],[Shortname]], Comp[], 10, FALSE)</f>
        <v>0</v>
      </c>
      <c r="L40">
        <f>VLOOKUP(Table55[[#This Row],[Shortname]], Comp[], 11, FALSE)</f>
        <v>9.6</v>
      </c>
      <c r="M40">
        <f>VLOOKUP(Table55[[#This Row],[Shortname]], Comp[],12, FALSE)</f>
        <v>0</v>
      </c>
      <c r="N40">
        <f>VLOOKUP(Table55[[#This Row],[Shortname]], Comp[], 13, FALSE)</f>
        <v>1.5</v>
      </c>
      <c r="O40">
        <f>VLOOKUP(Table55[[#This Row],[Shortname]], Comp[], 14, FALSE)</f>
        <v>0</v>
      </c>
      <c r="P40">
        <f>VLOOKUP(Table55[[#This Row],[Shortname]], Comp[], 15, FALSE)</f>
        <v>0</v>
      </c>
      <c r="Q40">
        <f>VLOOKUP(Table55[[#This Row],[Shortname]], Comp[], 16, FALSE)</f>
        <v>1.8</v>
      </c>
      <c r="R40">
        <f>VLOOKUP(Table55[[#This Row],[Shortname]], Comp[], 17, FALSE)</f>
        <v>0</v>
      </c>
      <c r="S40">
        <f>VLOOKUP(Table55[[#This Row],[Shortname]], Comp[], 18, FALSE)</f>
        <v>0</v>
      </c>
      <c r="T40">
        <f>VLOOKUP(Table55[[#This Row],[Shortname]], Comp[], 19, FALSE)</f>
        <v>0</v>
      </c>
      <c r="U40">
        <f>VLOOKUP(Table55[[#This Row],[Shortname]], Comp[], 20, FALSE)</f>
        <v>0</v>
      </c>
      <c r="V40">
        <f>VLOOKUP(Table55[[#This Row],[Shortname]], Comp[], 21, FALSE)</f>
        <v>0</v>
      </c>
      <c r="W40">
        <f>VLOOKUP(Table55[[#This Row],[Shortname]], Comp[], 22, FALSE)</f>
        <v>0</v>
      </c>
      <c r="X40">
        <f>VLOOKUP(Table55[[#This Row],[Shortname]], Comp[], 23, FALSE)</f>
        <v>0</v>
      </c>
      <c r="Y40">
        <f>VLOOKUP(Table55[[#This Row],[Shortname]], Comp[], 24, FALSE)</f>
        <v>0</v>
      </c>
      <c r="Z40">
        <f>VLOOKUP(Table55[[#This Row],[Shortname]], Comp[], 25, FALSE)</f>
        <v>0</v>
      </c>
      <c r="AA40">
        <f>VLOOKUP(Table55[[#This Row],[Shortname]], Comp[], 26, FALSE)</f>
        <v>0</v>
      </c>
      <c r="AB40">
        <f>VLOOKUP(Table55[[#This Row],[Shortname]], Comp[], 27, FALSE)</f>
        <v>0</v>
      </c>
      <c r="AC40">
        <f>VLOOKUP(Table55[[#This Row],[Shortname]], Comp[], 28, FALSE)</f>
        <v>0</v>
      </c>
      <c r="AD40">
        <f>VLOOKUP(Table55[[#This Row],[Shortname]], Comp[], 29, FALSE)</f>
        <v>0</v>
      </c>
      <c r="AE40">
        <f>VLOOKUP(Table55[[#This Row],[Shortname]], Comp[], 30, FALSE)</f>
        <v>0</v>
      </c>
      <c r="AF40">
        <f>VLOOKUP(Table55[[#This Row],[Shortname]], Comp[], 31, FALSE)</f>
        <v>0</v>
      </c>
    </row>
    <row r="41" spans="1:32" x14ac:dyDescent="0.3">
      <c r="A41" t="s">
        <v>400</v>
      </c>
      <c r="B41" t="s">
        <v>402</v>
      </c>
      <c r="C41" s="15" t="s">
        <v>6684</v>
      </c>
      <c r="D41">
        <v>989</v>
      </c>
      <c r="E41">
        <v>1434</v>
      </c>
      <c r="F41">
        <v>1462</v>
      </c>
      <c r="G41">
        <f>VLOOKUP(Table55[[#This Row],[Shortname]], Comp[], 6, FALSE)</f>
        <v>52</v>
      </c>
      <c r="H41" s="14">
        <f>VLOOKUP(Table55[[#This Row],[Shortname]], Comp[], 7, FALSE)</f>
        <v>81</v>
      </c>
      <c r="I41">
        <f>VLOOKUP(Table55[[#This Row],[Shortname]], Comp[], 8, FALSE)</f>
        <v>0</v>
      </c>
      <c r="J41">
        <f>VLOOKUP(Table55[[#This Row],[Shortname]], Comp[], 9, FALSE)</f>
        <v>8.4</v>
      </c>
      <c r="K41">
        <f>VLOOKUP(Table55[[#This Row],[Shortname]], Comp[], 10, FALSE)</f>
        <v>0</v>
      </c>
      <c r="L41">
        <f>VLOOKUP(Table55[[#This Row],[Shortname]], Comp[], 11, FALSE)</f>
        <v>10.1</v>
      </c>
      <c r="M41">
        <f>VLOOKUP(Table55[[#This Row],[Shortname]], Comp[],12, FALSE)</f>
        <v>0</v>
      </c>
      <c r="N41">
        <f>VLOOKUP(Table55[[#This Row],[Shortname]], Comp[], 13, FALSE)</f>
        <v>0</v>
      </c>
      <c r="O41">
        <f>VLOOKUP(Table55[[#This Row],[Shortname]], Comp[], 14, FALSE)</f>
        <v>0</v>
      </c>
      <c r="P41">
        <f>VLOOKUP(Table55[[#This Row],[Shortname]], Comp[], 15, FALSE)</f>
        <v>0</v>
      </c>
      <c r="Q41">
        <f>VLOOKUP(Table55[[#This Row],[Shortname]], Comp[], 16, FALSE)</f>
        <v>0</v>
      </c>
      <c r="R41">
        <f>VLOOKUP(Table55[[#This Row],[Shortname]], Comp[], 17, FALSE)</f>
        <v>0</v>
      </c>
      <c r="S41">
        <f>VLOOKUP(Table55[[#This Row],[Shortname]], Comp[], 18, FALSE)</f>
        <v>0</v>
      </c>
      <c r="T41">
        <f>VLOOKUP(Table55[[#This Row],[Shortname]], Comp[], 19, FALSE)</f>
        <v>0</v>
      </c>
      <c r="U41">
        <f>VLOOKUP(Table55[[#This Row],[Shortname]], Comp[], 20, FALSE)</f>
        <v>0</v>
      </c>
      <c r="V41">
        <f>VLOOKUP(Table55[[#This Row],[Shortname]], Comp[], 21, FALSE)</f>
        <v>0</v>
      </c>
      <c r="W41">
        <f>VLOOKUP(Table55[[#This Row],[Shortname]], Comp[], 22, FALSE)</f>
        <v>0.5</v>
      </c>
      <c r="X41">
        <f>VLOOKUP(Table55[[#This Row],[Shortname]], Comp[], 23, FALSE)</f>
        <v>0</v>
      </c>
      <c r="Y41">
        <f>VLOOKUP(Table55[[#This Row],[Shortname]], Comp[], 24, FALSE)</f>
        <v>0</v>
      </c>
      <c r="Z41">
        <f>VLOOKUP(Table55[[#This Row],[Shortname]], Comp[], 25, FALSE)</f>
        <v>0</v>
      </c>
      <c r="AA41">
        <f>VLOOKUP(Table55[[#This Row],[Shortname]], Comp[], 26, FALSE)</f>
        <v>0</v>
      </c>
      <c r="AB41">
        <f>VLOOKUP(Table55[[#This Row],[Shortname]], Comp[], 27, FALSE)</f>
        <v>0</v>
      </c>
      <c r="AC41">
        <f>VLOOKUP(Table55[[#This Row],[Shortname]], Comp[], 28, FALSE)</f>
        <v>0</v>
      </c>
      <c r="AD41">
        <f>VLOOKUP(Table55[[#This Row],[Shortname]], Comp[], 29, FALSE)</f>
        <v>0</v>
      </c>
      <c r="AE41">
        <f>VLOOKUP(Table55[[#This Row],[Shortname]], Comp[], 30, FALSE)</f>
        <v>0</v>
      </c>
      <c r="AF41">
        <f>VLOOKUP(Table55[[#This Row],[Shortname]], Comp[], 31, FALSE)</f>
        <v>0</v>
      </c>
    </row>
    <row r="42" spans="1:32" x14ac:dyDescent="0.3">
      <c r="A42" t="s">
        <v>410</v>
      </c>
      <c r="B42" t="s">
        <v>412</v>
      </c>
      <c r="C42" s="15" t="s">
        <v>6685</v>
      </c>
      <c r="D42">
        <v>998</v>
      </c>
      <c r="E42">
        <v>1414</v>
      </c>
      <c r="F42">
        <v>1449</v>
      </c>
      <c r="G42">
        <f>VLOOKUP(Table55[[#This Row],[Shortname]], Comp[], 6, FALSE)</f>
        <v>53</v>
      </c>
      <c r="H42" s="14">
        <f>VLOOKUP(Table55[[#This Row],[Shortname]], Comp[], 7, FALSE)</f>
        <v>79</v>
      </c>
      <c r="I42">
        <f>VLOOKUP(Table55[[#This Row],[Shortname]], Comp[], 8, FALSE)</f>
        <v>0</v>
      </c>
      <c r="J42">
        <f>VLOOKUP(Table55[[#This Row],[Shortname]], Comp[], 9, FALSE)</f>
        <v>8.6999999999999993</v>
      </c>
      <c r="K42">
        <f>VLOOKUP(Table55[[#This Row],[Shortname]], Comp[], 10, FALSE)</f>
        <v>0</v>
      </c>
      <c r="L42">
        <f>VLOOKUP(Table55[[#This Row],[Shortname]], Comp[], 11, FALSE)</f>
        <v>10.3</v>
      </c>
      <c r="M42">
        <f>VLOOKUP(Table55[[#This Row],[Shortname]], Comp[],12, FALSE)</f>
        <v>0</v>
      </c>
      <c r="N42">
        <f>VLOOKUP(Table55[[#This Row],[Shortname]], Comp[], 13, FALSE)</f>
        <v>0</v>
      </c>
      <c r="O42">
        <f>VLOOKUP(Table55[[#This Row],[Shortname]], Comp[], 14, FALSE)</f>
        <v>0</v>
      </c>
      <c r="P42">
        <f>VLOOKUP(Table55[[#This Row],[Shortname]], Comp[], 15, FALSE)</f>
        <v>0</v>
      </c>
      <c r="Q42">
        <f>VLOOKUP(Table55[[#This Row],[Shortname]], Comp[], 16, FALSE)</f>
        <v>0</v>
      </c>
      <c r="R42">
        <f>VLOOKUP(Table55[[#This Row],[Shortname]], Comp[], 17, FALSE)</f>
        <v>0</v>
      </c>
      <c r="S42">
        <f>VLOOKUP(Table55[[#This Row],[Shortname]], Comp[], 18, FALSE)</f>
        <v>0</v>
      </c>
      <c r="T42">
        <f>VLOOKUP(Table55[[#This Row],[Shortname]], Comp[], 19, FALSE)</f>
        <v>0</v>
      </c>
      <c r="U42">
        <f>VLOOKUP(Table55[[#This Row],[Shortname]], Comp[], 20, FALSE)</f>
        <v>0</v>
      </c>
      <c r="V42">
        <f>VLOOKUP(Table55[[#This Row],[Shortname]], Comp[], 21, FALSE)</f>
        <v>0</v>
      </c>
      <c r="W42">
        <f>VLOOKUP(Table55[[#This Row],[Shortname]], Comp[], 22, FALSE)</f>
        <v>2</v>
      </c>
      <c r="X42">
        <f>VLOOKUP(Table55[[#This Row],[Shortname]], Comp[], 23, FALSE)</f>
        <v>0</v>
      </c>
      <c r="Y42">
        <f>VLOOKUP(Table55[[#This Row],[Shortname]], Comp[], 24, FALSE)</f>
        <v>0</v>
      </c>
      <c r="Z42">
        <f>VLOOKUP(Table55[[#This Row],[Shortname]], Comp[], 25, FALSE)</f>
        <v>0</v>
      </c>
      <c r="AA42">
        <f>VLOOKUP(Table55[[#This Row],[Shortname]], Comp[], 26, FALSE)</f>
        <v>0</v>
      </c>
      <c r="AB42">
        <f>VLOOKUP(Table55[[#This Row],[Shortname]], Comp[], 27, FALSE)</f>
        <v>0</v>
      </c>
      <c r="AC42">
        <f>VLOOKUP(Table55[[#This Row],[Shortname]], Comp[], 28, FALSE)</f>
        <v>0</v>
      </c>
      <c r="AD42">
        <f>VLOOKUP(Table55[[#This Row],[Shortname]], Comp[], 29, FALSE)</f>
        <v>0</v>
      </c>
      <c r="AE42">
        <f>VLOOKUP(Table55[[#This Row],[Shortname]], Comp[], 30, FALSE)</f>
        <v>0</v>
      </c>
      <c r="AF42">
        <f>VLOOKUP(Table55[[#This Row],[Shortname]], Comp[], 31, FALSE)</f>
        <v>0</v>
      </c>
    </row>
    <row r="43" spans="1:32" x14ac:dyDescent="0.3">
      <c r="A43" t="s">
        <v>181</v>
      </c>
      <c r="B43" t="s">
        <v>5346</v>
      </c>
      <c r="C43" s="15" t="s">
        <v>6686</v>
      </c>
      <c r="D43">
        <v>1054</v>
      </c>
      <c r="E43">
        <v>1392</v>
      </c>
      <c r="F43">
        <v>1413</v>
      </c>
      <c r="G43">
        <f>VLOOKUP(Table55[[#This Row],[Shortname]], Comp[], 6, FALSE)</f>
        <v>18</v>
      </c>
      <c r="H43" s="14">
        <f>VLOOKUP(Table55[[#This Row],[Shortname]], Comp[], 7, FALSE)</f>
        <v>80.8</v>
      </c>
      <c r="I43">
        <f>VLOOKUP(Table55[[#This Row],[Shortname]], Comp[], 8, FALSE)</f>
        <v>0</v>
      </c>
      <c r="J43">
        <f>VLOOKUP(Table55[[#This Row],[Shortname]], Comp[], 9, FALSE)</f>
        <v>8.1</v>
      </c>
      <c r="K43">
        <f>VLOOKUP(Table55[[#This Row],[Shortname]], Comp[], 10, FALSE)</f>
        <v>0</v>
      </c>
      <c r="L43">
        <f>VLOOKUP(Table55[[#This Row],[Shortname]], Comp[], 11, FALSE)</f>
        <v>7.7</v>
      </c>
      <c r="M43">
        <f>VLOOKUP(Table55[[#This Row],[Shortname]], Comp[],12, FALSE)</f>
        <v>0</v>
      </c>
      <c r="N43">
        <f>VLOOKUP(Table55[[#This Row],[Shortname]], Comp[], 13, FALSE)</f>
        <v>1.6</v>
      </c>
      <c r="O43">
        <f>VLOOKUP(Table55[[#This Row],[Shortname]], Comp[], 14, FALSE)</f>
        <v>0</v>
      </c>
      <c r="P43">
        <f>VLOOKUP(Table55[[#This Row],[Shortname]], Comp[], 15, FALSE)</f>
        <v>0</v>
      </c>
      <c r="Q43">
        <f>VLOOKUP(Table55[[#This Row],[Shortname]], Comp[], 16, FALSE)</f>
        <v>0</v>
      </c>
      <c r="R43">
        <f>VLOOKUP(Table55[[#This Row],[Shortname]], Comp[], 17, FALSE)</f>
        <v>0</v>
      </c>
      <c r="S43">
        <f>VLOOKUP(Table55[[#This Row],[Shortname]], Comp[], 18, FALSE)</f>
        <v>0</v>
      </c>
      <c r="T43">
        <f>VLOOKUP(Table55[[#This Row],[Shortname]], Comp[], 19, FALSE)</f>
        <v>0</v>
      </c>
      <c r="U43">
        <f>VLOOKUP(Table55[[#This Row],[Shortname]], Comp[], 20, FALSE)</f>
        <v>0</v>
      </c>
      <c r="V43">
        <f>VLOOKUP(Table55[[#This Row],[Shortname]], Comp[], 21, FALSE)</f>
        <v>0</v>
      </c>
      <c r="W43">
        <f>VLOOKUP(Table55[[#This Row],[Shortname]], Comp[], 22, FALSE)</f>
        <v>1.8</v>
      </c>
      <c r="X43">
        <f>VLOOKUP(Table55[[#This Row],[Shortname]], Comp[], 23, FALSE)</f>
        <v>0</v>
      </c>
      <c r="Y43">
        <f>VLOOKUP(Table55[[#This Row],[Shortname]], Comp[], 24, FALSE)</f>
        <v>0</v>
      </c>
      <c r="Z43">
        <f>VLOOKUP(Table55[[#This Row],[Shortname]], Comp[], 25, FALSE)</f>
        <v>0</v>
      </c>
      <c r="AA43">
        <f>VLOOKUP(Table55[[#This Row],[Shortname]], Comp[], 26, FALSE)</f>
        <v>0</v>
      </c>
      <c r="AB43">
        <f>VLOOKUP(Table55[[#This Row],[Shortname]], Comp[], 27, FALSE)</f>
        <v>0</v>
      </c>
      <c r="AC43">
        <f>VLOOKUP(Table55[[#This Row],[Shortname]], Comp[], 28, FALSE)</f>
        <v>0</v>
      </c>
      <c r="AD43">
        <f>VLOOKUP(Table55[[#This Row],[Shortname]], Comp[], 29, FALSE)</f>
        <v>0</v>
      </c>
      <c r="AE43">
        <f>VLOOKUP(Table55[[#This Row],[Shortname]], Comp[], 30, FALSE)</f>
        <v>0</v>
      </c>
      <c r="AF43">
        <f>VLOOKUP(Table55[[#This Row],[Shortname]], Comp[], 31, FALSE)</f>
        <v>0</v>
      </c>
    </row>
    <row r="44" spans="1:32" x14ac:dyDescent="0.3">
      <c r="A44" t="s">
        <v>418</v>
      </c>
      <c r="B44" t="s">
        <v>420</v>
      </c>
      <c r="C44" s="15" t="s">
        <v>6687</v>
      </c>
      <c r="D44">
        <v>1153</v>
      </c>
      <c r="E44">
        <v>1392</v>
      </c>
      <c r="F44">
        <v>1411</v>
      </c>
      <c r="G44">
        <f>VLOOKUP(Table55[[#This Row],[Shortname]], Comp[], 6, FALSE)</f>
        <v>55</v>
      </c>
      <c r="H44" s="14">
        <f>VLOOKUP(Table55[[#This Row],[Shortname]], Comp[], 7, FALSE)</f>
        <v>79.2</v>
      </c>
      <c r="I44">
        <f>VLOOKUP(Table55[[#This Row],[Shortname]], Comp[], 8, FALSE)</f>
        <v>0</v>
      </c>
      <c r="J44">
        <f>VLOOKUP(Table55[[#This Row],[Shortname]], Comp[], 9, FALSE)</f>
        <v>7.6</v>
      </c>
      <c r="K44">
        <f>VLOOKUP(Table55[[#This Row],[Shortname]], Comp[], 10, FALSE)</f>
        <v>0</v>
      </c>
      <c r="L44">
        <f>VLOOKUP(Table55[[#This Row],[Shortname]], Comp[], 11, FALSE)</f>
        <v>9.1999999999999993</v>
      </c>
      <c r="M44">
        <f>VLOOKUP(Table55[[#This Row],[Shortname]], Comp[],12, FALSE)</f>
        <v>2.1</v>
      </c>
      <c r="N44">
        <f>VLOOKUP(Table55[[#This Row],[Shortname]], Comp[], 13, FALSE)</f>
        <v>1.9</v>
      </c>
      <c r="O44">
        <f>VLOOKUP(Table55[[#This Row],[Shortname]], Comp[], 14, FALSE)</f>
        <v>0</v>
      </c>
      <c r="P44">
        <f>VLOOKUP(Table55[[#This Row],[Shortname]], Comp[], 15, FALSE)</f>
        <v>0</v>
      </c>
      <c r="Q44">
        <f>VLOOKUP(Table55[[#This Row],[Shortname]], Comp[], 16, FALSE)</f>
        <v>0</v>
      </c>
      <c r="R44">
        <f>VLOOKUP(Table55[[#This Row],[Shortname]], Comp[], 17, FALSE)</f>
        <v>0</v>
      </c>
      <c r="S44">
        <f>VLOOKUP(Table55[[#This Row],[Shortname]], Comp[], 18, FALSE)</f>
        <v>0</v>
      </c>
      <c r="T44">
        <f>VLOOKUP(Table55[[#This Row],[Shortname]], Comp[], 19, FALSE)</f>
        <v>0</v>
      </c>
      <c r="U44">
        <f>VLOOKUP(Table55[[#This Row],[Shortname]], Comp[], 20, FALSE)</f>
        <v>0</v>
      </c>
      <c r="V44">
        <f>VLOOKUP(Table55[[#This Row],[Shortname]], Comp[], 21, FALSE)</f>
        <v>0</v>
      </c>
      <c r="W44">
        <f>VLOOKUP(Table55[[#This Row],[Shortname]], Comp[], 22, FALSE)</f>
        <v>0</v>
      </c>
      <c r="X44">
        <f>VLOOKUP(Table55[[#This Row],[Shortname]], Comp[], 23, FALSE)</f>
        <v>0</v>
      </c>
      <c r="Y44">
        <f>VLOOKUP(Table55[[#This Row],[Shortname]], Comp[], 24, FALSE)</f>
        <v>0</v>
      </c>
      <c r="Z44">
        <f>VLOOKUP(Table55[[#This Row],[Shortname]], Comp[], 25, FALSE)</f>
        <v>0</v>
      </c>
      <c r="AA44">
        <f>VLOOKUP(Table55[[#This Row],[Shortname]], Comp[], 26, FALSE)</f>
        <v>0</v>
      </c>
      <c r="AB44">
        <f>VLOOKUP(Table55[[#This Row],[Shortname]], Comp[], 27, FALSE)</f>
        <v>0</v>
      </c>
      <c r="AC44">
        <f>VLOOKUP(Table55[[#This Row],[Shortname]], Comp[], 28, FALSE)</f>
        <v>0</v>
      </c>
      <c r="AD44">
        <f>VLOOKUP(Table55[[#This Row],[Shortname]], Comp[], 29, FALSE)</f>
        <v>0</v>
      </c>
      <c r="AE44">
        <f>VLOOKUP(Table55[[#This Row],[Shortname]], Comp[], 30, FALSE)</f>
        <v>0</v>
      </c>
      <c r="AF44">
        <f>VLOOKUP(Table55[[#This Row],[Shortname]], Comp[], 31, FALSE)</f>
        <v>0</v>
      </c>
    </row>
    <row r="45" spans="1:32" x14ac:dyDescent="0.3">
      <c r="A45" t="s">
        <v>426</v>
      </c>
      <c r="B45" t="s">
        <v>428</v>
      </c>
      <c r="C45" s="15" t="s">
        <v>6688</v>
      </c>
      <c r="D45">
        <v>1075</v>
      </c>
      <c r="E45">
        <v>1413</v>
      </c>
      <c r="F45">
        <v>1438</v>
      </c>
      <c r="G45">
        <f>VLOOKUP(Table55[[#This Row],[Shortname]], Comp[], 6, FALSE)</f>
        <v>56</v>
      </c>
      <c r="H45" s="14">
        <f>VLOOKUP(Table55[[#This Row],[Shortname]], Comp[], 7, FALSE)</f>
        <v>80.86</v>
      </c>
      <c r="I45">
        <f>VLOOKUP(Table55[[#This Row],[Shortname]], Comp[], 8, FALSE)</f>
        <v>0</v>
      </c>
      <c r="J45">
        <f>VLOOKUP(Table55[[#This Row],[Shortname]], Comp[], 9, FALSE)</f>
        <v>7.9</v>
      </c>
      <c r="K45">
        <f>VLOOKUP(Table55[[#This Row],[Shortname]], Comp[], 10, FALSE)</f>
        <v>0</v>
      </c>
      <c r="L45">
        <f>VLOOKUP(Table55[[#This Row],[Shortname]], Comp[], 11, FALSE)</f>
        <v>9.1</v>
      </c>
      <c r="M45">
        <f>VLOOKUP(Table55[[#This Row],[Shortname]], Comp[],12, FALSE)</f>
        <v>2.1</v>
      </c>
      <c r="N45">
        <f>VLOOKUP(Table55[[#This Row],[Shortname]], Comp[], 13, FALSE)</f>
        <v>0</v>
      </c>
      <c r="O45">
        <f>VLOOKUP(Table55[[#This Row],[Shortname]], Comp[], 14, FALSE)</f>
        <v>0</v>
      </c>
      <c r="P45">
        <f>VLOOKUP(Table55[[#This Row],[Shortname]], Comp[], 15, FALSE)</f>
        <v>0</v>
      </c>
      <c r="Q45">
        <f>VLOOKUP(Table55[[#This Row],[Shortname]], Comp[], 16, FALSE)</f>
        <v>0</v>
      </c>
      <c r="R45">
        <f>VLOOKUP(Table55[[#This Row],[Shortname]], Comp[], 17, FALSE)</f>
        <v>0</v>
      </c>
      <c r="S45">
        <f>VLOOKUP(Table55[[#This Row],[Shortname]], Comp[], 18, FALSE)</f>
        <v>0</v>
      </c>
      <c r="T45">
        <f>VLOOKUP(Table55[[#This Row],[Shortname]], Comp[], 19, FALSE)</f>
        <v>0.04</v>
      </c>
      <c r="U45">
        <f>VLOOKUP(Table55[[#This Row],[Shortname]], Comp[], 20, FALSE)</f>
        <v>0</v>
      </c>
      <c r="V45">
        <f>VLOOKUP(Table55[[#This Row],[Shortname]], Comp[], 21, FALSE)</f>
        <v>0</v>
      </c>
      <c r="W45">
        <f>VLOOKUP(Table55[[#This Row],[Shortname]], Comp[], 22, FALSE)</f>
        <v>0</v>
      </c>
      <c r="X45">
        <f>VLOOKUP(Table55[[#This Row],[Shortname]], Comp[], 23, FALSE)</f>
        <v>0</v>
      </c>
      <c r="Y45">
        <f>VLOOKUP(Table55[[#This Row],[Shortname]], Comp[], 24, FALSE)</f>
        <v>0</v>
      </c>
      <c r="Z45">
        <f>VLOOKUP(Table55[[#This Row],[Shortname]], Comp[], 25, FALSE)</f>
        <v>0</v>
      </c>
      <c r="AA45">
        <f>VLOOKUP(Table55[[#This Row],[Shortname]], Comp[], 26, FALSE)</f>
        <v>0</v>
      </c>
      <c r="AB45">
        <f>VLOOKUP(Table55[[#This Row],[Shortname]], Comp[], 27, FALSE)</f>
        <v>0</v>
      </c>
      <c r="AC45">
        <f>VLOOKUP(Table55[[#This Row],[Shortname]], Comp[], 28, FALSE)</f>
        <v>0</v>
      </c>
      <c r="AD45">
        <f>VLOOKUP(Table55[[#This Row],[Shortname]], Comp[], 29, FALSE)</f>
        <v>0</v>
      </c>
      <c r="AE45">
        <f>VLOOKUP(Table55[[#This Row],[Shortname]], Comp[], 30, FALSE)</f>
        <v>0</v>
      </c>
      <c r="AF45">
        <f>VLOOKUP(Table55[[#This Row],[Shortname]], Comp[], 31, FALSE)</f>
        <v>0</v>
      </c>
    </row>
    <row r="46" spans="1:32" x14ac:dyDescent="0.3">
      <c r="A46" t="s">
        <v>435</v>
      </c>
      <c r="B46" t="s">
        <v>437</v>
      </c>
      <c r="C46" s="15" t="s">
        <v>6689</v>
      </c>
      <c r="D46">
        <v>1080</v>
      </c>
      <c r="E46">
        <v>1414</v>
      </c>
      <c r="F46">
        <v>1434</v>
      </c>
      <c r="G46">
        <f>VLOOKUP(Table55[[#This Row],[Shortname]], Comp[], 6, FALSE)</f>
        <v>57</v>
      </c>
      <c r="H46" s="14">
        <f>VLOOKUP(Table55[[#This Row],[Shortname]], Comp[], 7, FALSE)</f>
        <v>79.680000000000007</v>
      </c>
      <c r="I46">
        <f>VLOOKUP(Table55[[#This Row],[Shortname]], Comp[], 8, FALSE)</f>
        <v>0</v>
      </c>
      <c r="J46">
        <f>VLOOKUP(Table55[[#This Row],[Shortname]], Comp[], 9, FALSE)</f>
        <v>8.4</v>
      </c>
      <c r="K46">
        <f>VLOOKUP(Table55[[#This Row],[Shortname]], Comp[], 10, FALSE)</f>
        <v>0</v>
      </c>
      <c r="L46">
        <f>VLOOKUP(Table55[[#This Row],[Shortname]], Comp[], 11, FALSE)</f>
        <v>9.6</v>
      </c>
      <c r="M46">
        <f>VLOOKUP(Table55[[#This Row],[Shortname]], Comp[],12, FALSE)</f>
        <v>2.2000000000000002</v>
      </c>
      <c r="N46">
        <f>VLOOKUP(Table55[[#This Row],[Shortname]], Comp[], 13, FALSE)</f>
        <v>0</v>
      </c>
      <c r="O46">
        <f>VLOOKUP(Table55[[#This Row],[Shortname]], Comp[], 14, FALSE)</f>
        <v>0</v>
      </c>
      <c r="P46">
        <f>VLOOKUP(Table55[[#This Row],[Shortname]], Comp[], 15, FALSE)</f>
        <v>0</v>
      </c>
      <c r="Q46">
        <f>VLOOKUP(Table55[[#This Row],[Shortname]], Comp[], 16, FALSE)</f>
        <v>0</v>
      </c>
      <c r="R46">
        <f>VLOOKUP(Table55[[#This Row],[Shortname]], Comp[], 17, FALSE)</f>
        <v>0</v>
      </c>
      <c r="S46">
        <f>VLOOKUP(Table55[[#This Row],[Shortname]], Comp[], 18, FALSE)</f>
        <v>0</v>
      </c>
      <c r="T46">
        <f>VLOOKUP(Table55[[#This Row],[Shortname]], Comp[], 19, FALSE)</f>
        <v>0.12</v>
      </c>
      <c r="U46">
        <f>VLOOKUP(Table55[[#This Row],[Shortname]], Comp[], 20, FALSE)</f>
        <v>0</v>
      </c>
      <c r="V46">
        <f>VLOOKUP(Table55[[#This Row],[Shortname]], Comp[], 21, FALSE)</f>
        <v>0</v>
      </c>
      <c r="W46">
        <f>VLOOKUP(Table55[[#This Row],[Shortname]], Comp[], 22, FALSE)</f>
        <v>0</v>
      </c>
      <c r="X46">
        <f>VLOOKUP(Table55[[#This Row],[Shortname]], Comp[], 23, FALSE)</f>
        <v>0</v>
      </c>
      <c r="Y46">
        <f>VLOOKUP(Table55[[#This Row],[Shortname]], Comp[], 24, FALSE)</f>
        <v>0</v>
      </c>
      <c r="Z46">
        <f>VLOOKUP(Table55[[#This Row],[Shortname]], Comp[], 25, FALSE)</f>
        <v>0</v>
      </c>
      <c r="AA46">
        <f>VLOOKUP(Table55[[#This Row],[Shortname]], Comp[], 26, FALSE)</f>
        <v>0</v>
      </c>
      <c r="AB46">
        <f>VLOOKUP(Table55[[#This Row],[Shortname]], Comp[], 27, FALSE)</f>
        <v>0</v>
      </c>
      <c r="AC46">
        <f>VLOOKUP(Table55[[#This Row],[Shortname]], Comp[], 28, FALSE)</f>
        <v>0</v>
      </c>
      <c r="AD46">
        <f>VLOOKUP(Table55[[#This Row],[Shortname]], Comp[], 29, FALSE)</f>
        <v>0</v>
      </c>
      <c r="AE46">
        <f>VLOOKUP(Table55[[#This Row],[Shortname]], Comp[], 30, FALSE)</f>
        <v>0</v>
      </c>
      <c r="AF46">
        <f>VLOOKUP(Table55[[#This Row],[Shortname]], Comp[], 31, FALSE)</f>
        <v>0</v>
      </c>
    </row>
    <row r="47" spans="1:32" x14ac:dyDescent="0.3">
      <c r="A47" t="s">
        <v>442</v>
      </c>
      <c r="B47" t="s">
        <v>444</v>
      </c>
      <c r="C47" s="15" t="s">
        <v>6690</v>
      </c>
      <c r="D47">
        <v>1016</v>
      </c>
      <c r="E47">
        <v>1430</v>
      </c>
      <c r="F47">
        <v>1456</v>
      </c>
      <c r="G47">
        <f>VLOOKUP(Table55[[#This Row],[Shortname]], Comp[], 6, FALSE)</f>
        <v>58</v>
      </c>
      <c r="H47" s="14">
        <f>VLOOKUP(Table55[[#This Row],[Shortname]], Comp[], 7, FALSE)</f>
        <v>80.56</v>
      </c>
      <c r="I47">
        <f>VLOOKUP(Table55[[#This Row],[Shortname]], Comp[], 8, FALSE)</f>
        <v>0</v>
      </c>
      <c r="J47">
        <f>VLOOKUP(Table55[[#This Row],[Shortname]], Comp[], 9, FALSE)</f>
        <v>8</v>
      </c>
      <c r="K47">
        <f>VLOOKUP(Table55[[#This Row],[Shortname]], Comp[], 10, FALSE)</f>
        <v>0</v>
      </c>
      <c r="L47">
        <f>VLOOKUP(Table55[[#This Row],[Shortname]], Comp[], 11, FALSE)</f>
        <v>9.3000000000000007</v>
      </c>
      <c r="M47">
        <f>VLOOKUP(Table55[[#This Row],[Shortname]], Comp[],12, FALSE)</f>
        <v>0</v>
      </c>
      <c r="N47">
        <f>VLOOKUP(Table55[[#This Row],[Shortname]], Comp[], 13, FALSE)</f>
        <v>0</v>
      </c>
      <c r="O47">
        <f>VLOOKUP(Table55[[#This Row],[Shortname]], Comp[], 14, FALSE)</f>
        <v>0</v>
      </c>
      <c r="P47">
        <f>VLOOKUP(Table55[[#This Row],[Shortname]], Comp[], 15, FALSE)</f>
        <v>2.1</v>
      </c>
      <c r="Q47">
        <f>VLOOKUP(Table55[[#This Row],[Shortname]], Comp[], 16, FALSE)</f>
        <v>0</v>
      </c>
      <c r="R47">
        <f>VLOOKUP(Table55[[#This Row],[Shortname]], Comp[], 17, FALSE)</f>
        <v>0</v>
      </c>
      <c r="S47">
        <f>VLOOKUP(Table55[[#This Row],[Shortname]], Comp[], 18, FALSE)</f>
        <v>0</v>
      </c>
      <c r="T47">
        <f>VLOOKUP(Table55[[#This Row],[Shortname]], Comp[], 19, FALSE)</f>
        <v>0.04</v>
      </c>
      <c r="U47">
        <f>VLOOKUP(Table55[[#This Row],[Shortname]], Comp[], 20, FALSE)</f>
        <v>0</v>
      </c>
      <c r="V47">
        <f>VLOOKUP(Table55[[#This Row],[Shortname]], Comp[], 21, FALSE)</f>
        <v>0</v>
      </c>
      <c r="W47">
        <f>VLOOKUP(Table55[[#This Row],[Shortname]], Comp[], 22, FALSE)</f>
        <v>0</v>
      </c>
      <c r="X47">
        <f>VLOOKUP(Table55[[#This Row],[Shortname]], Comp[], 23, FALSE)</f>
        <v>0</v>
      </c>
      <c r="Y47">
        <f>VLOOKUP(Table55[[#This Row],[Shortname]], Comp[], 24, FALSE)</f>
        <v>0</v>
      </c>
      <c r="Z47">
        <f>VLOOKUP(Table55[[#This Row],[Shortname]], Comp[], 25, FALSE)</f>
        <v>0</v>
      </c>
      <c r="AA47">
        <f>VLOOKUP(Table55[[#This Row],[Shortname]], Comp[], 26, FALSE)</f>
        <v>0</v>
      </c>
      <c r="AB47">
        <f>VLOOKUP(Table55[[#This Row],[Shortname]], Comp[], 27, FALSE)</f>
        <v>0</v>
      </c>
      <c r="AC47">
        <f>VLOOKUP(Table55[[#This Row],[Shortname]], Comp[], 28, FALSE)</f>
        <v>0</v>
      </c>
      <c r="AD47">
        <f>VLOOKUP(Table55[[#This Row],[Shortname]], Comp[], 29, FALSE)</f>
        <v>0</v>
      </c>
      <c r="AE47">
        <f>VLOOKUP(Table55[[#This Row],[Shortname]], Comp[], 30, FALSE)</f>
        <v>0</v>
      </c>
      <c r="AF47">
        <f>VLOOKUP(Table55[[#This Row],[Shortname]], Comp[], 31, FALSE)</f>
        <v>0</v>
      </c>
    </row>
    <row r="48" spans="1:32" x14ac:dyDescent="0.3">
      <c r="A48" t="s">
        <v>449</v>
      </c>
      <c r="B48" t="s">
        <v>451</v>
      </c>
      <c r="C48" s="15" t="s">
        <v>6691</v>
      </c>
      <c r="D48">
        <v>975</v>
      </c>
      <c r="E48">
        <v>1439</v>
      </c>
      <c r="F48">
        <v>1464</v>
      </c>
      <c r="G48">
        <f>VLOOKUP(Table55[[#This Row],[Shortname]], Comp[], 6, FALSE)</f>
        <v>59</v>
      </c>
      <c r="H48" s="14">
        <f>VLOOKUP(Table55[[#This Row],[Shortname]], Comp[], 7, FALSE)</f>
        <v>80.460000000000008</v>
      </c>
      <c r="I48">
        <f>VLOOKUP(Table55[[#This Row],[Shortname]], Comp[], 8, FALSE)</f>
        <v>0</v>
      </c>
      <c r="J48">
        <f>VLOOKUP(Table55[[#This Row],[Shortname]], Comp[], 9, FALSE)</f>
        <v>8.1</v>
      </c>
      <c r="K48">
        <f>VLOOKUP(Table55[[#This Row],[Shortname]], Comp[], 10, FALSE)</f>
        <v>2</v>
      </c>
      <c r="L48">
        <f>VLOOKUP(Table55[[#This Row],[Shortname]], Comp[], 11, FALSE)</f>
        <v>9.4</v>
      </c>
      <c r="M48">
        <f>VLOOKUP(Table55[[#This Row],[Shortname]], Comp[],12, FALSE)</f>
        <v>0</v>
      </c>
      <c r="N48">
        <f>VLOOKUP(Table55[[#This Row],[Shortname]], Comp[], 13, FALSE)</f>
        <v>0</v>
      </c>
      <c r="O48">
        <f>VLOOKUP(Table55[[#This Row],[Shortname]], Comp[], 14, FALSE)</f>
        <v>0</v>
      </c>
      <c r="P48">
        <f>VLOOKUP(Table55[[#This Row],[Shortname]], Comp[], 15, FALSE)</f>
        <v>0</v>
      </c>
      <c r="Q48">
        <f>VLOOKUP(Table55[[#This Row],[Shortname]], Comp[], 16, FALSE)</f>
        <v>0</v>
      </c>
      <c r="R48">
        <f>VLOOKUP(Table55[[#This Row],[Shortname]], Comp[], 17, FALSE)</f>
        <v>0</v>
      </c>
      <c r="S48">
        <f>VLOOKUP(Table55[[#This Row],[Shortname]], Comp[], 18, FALSE)</f>
        <v>0</v>
      </c>
      <c r="T48">
        <f>VLOOKUP(Table55[[#This Row],[Shortname]], Comp[], 19, FALSE)</f>
        <v>0.04</v>
      </c>
      <c r="U48">
        <f>VLOOKUP(Table55[[#This Row],[Shortname]], Comp[], 20, FALSE)</f>
        <v>0</v>
      </c>
      <c r="V48">
        <f>VLOOKUP(Table55[[#This Row],[Shortname]], Comp[], 21, FALSE)</f>
        <v>0</v>
      </c>
      <c r="W48">
        <f>VLOOKUP(Table55[[#This Row],[Shortname]], Comp[], 22, FALSE)</f>
        <v>0</v>
      </c>
      <c r="X48">
        <f>VLOOKUP(Table55[[#This Row],[Shortname]], Comp[], 23, FALSE)</f>
        <v>0</v>
      </c>
      <c r="Y48">
        <f>VLOOKUP(Table55[[#This Row],[Shortname]], Comp[], 24, FALSE)</f>
        <v>0</v>
      </c>
      <c r="Z48">
        <f>VLOOKUP(Table55[[#This Row],[Shortname]], Comp[], 25, FALSE)</f>
        <v>0</v>
      </c>
      <c r="AA48">
        <f>VLOOKUP(Table55[[#This Row],[Shortname]], Comp[], 26, FALSE)</f>
        <v>0</v>
      </c>
      <c r="AB48">
        <f>VLOOKUP(Table55[[#This Row],[Shortname]], Comp[], 27, FALSE)</f>
        <v>0</v>
      </c>
      <c r="AC48">
        <f>VLOOKUP(Table55[[#This Row],[Shortname]], Comp[], 28, FALSE)</f>
        <v>0</v>
      </c>
      <c r="AD48">
        <f>VLOOKUP(Table55[[#This Row],[Shortname]], Comp[], 29, FALSE)</f>
        <v>0</v>
      </c>
      <c r="AE48">
        <f>VLOOKUP(Table55[[#This Row],[Shortname]], Comp[], 30, FALSE)</f>
        <v>0</v>
      </c>
      <c r="AF48">
        <f>VLOOKUP(Table55[[#This Row],[Shortname]], Comp[], 31, FALSE)</f>
        <v>0</v>
      </c>
    </row>
    <row r="49" spans="1:32" x14ac:dyDescent="0.3">
      <c r="A49" t="s">
        <v>513</v>
      </c>
      <c r="B49" t="s">
        <v>6692</v>
      </c>
      <c r="C49" s="1" t="s">
        <v>6693</v>
      </c>
      <c r="D49">
        <v>1137</v>
      </c>
      <c r="E49">
        <v>1277</v>
      </c>
      <c r="F49">
        <v>1383</v>
      </c>
      <c r="G49">
        <f>VLOOKUP(Table55[[#This Row],[Shortname]], Comp[], 6, FALSE)</f>
        <v>67</v>
      </c>
      <c r="H49" s="14">
        <f>VLOOKUP(Table55[[#This Row],[Shortname]], Comp[], 7, FALSE)</f>
        <v>72.5</v>
      </c>
      <c r="I49">
        <f>VLOOKUP(Table55[[#This Row],[Shortname]], Comp[], 8, FALSE)</f>
        <v>10</v>
      </c>
      <c r="J49">
        <f>VLOOKUP(Table55[[#This Row],[Shortname]], Comp[], 9, FALSE)</f>
        <v>4.5</v>
      </c>
      <c r="K49">
        <f>VLOOKUP(Table55[[#This Row],[Shortname]], Comp[], 10, FALSE)</f>
        <v>0</v>
      </c>
      <c r="L49">
        <f>VLOOKUP(Table55[[#This Row],[Shortname]], Comp[], 11, FALSE)</f>
        <v>5.2</v>
      </c>
      <c r="M49">
        <f>VLOOKUP(Table55[[#This Row],[Shortname]], Comp[],12, FALSE)</f>
        <v>7.8</v>
      </c>
      <c r="N49">
        <f>VLOOKUP(Table55[[#This Row],[Shortname]], Comp[], 13, FALSE)</f>
        <v>0</v>
      </c>
      <c r="O49">
        <f>VLOOKUP(Table55[[#This Row],[Shortname]], Comp[], 14, FALSE)</f>
        <v>0</v>
      </c>
      <c r="P49">
        <f>VLOOKUP(Table55[[#This Row],[Shortname]], Comp[], 15, FALSE)</f>
        <v>0</v>
      </c>
      <c r="Q49">
        <f>VLOOKUP(Table55[[#This Row],[Shortname]], Comp[], 16, FALSE)</f>
        <v>0</v>
      </c>
      <c r="R49">
        <f>VLOOKUP(Table55[[#This Row],[Shortname]], Comp[], 17, FALSE)</f>
        <v>0</v>
      </c>
      <c r="S49">
        <f>VLOOKUP(Table55[[#This Row],[Shortname]], Comp[], 18, FALSE)</f>
        <v>0</v>
      </c>
      <c r="T49">
        <f>VLOOKUP(Table55[[#This Row],[Shortname]], Comp[], 19, FALSE)</f>
        <v>0</v>
      </c>
      <c r="U49">
        <f>VLOOKUP(Table55[[#This Row],[Shortname]], Comp[], 20, FALSE)</f>
        <v>0</v>
      </c>
      <c r="V49">
        <f>VLOOKUP(Table55[[#This Row],[Shortname]], Comp[], 21, FALSE)</f>
        <v>0</v>
      </c>
      <c r="W49">
        <f>VLOOKUP(Table55[[#This Row],[Shortname]], Comp[], 22, FALSE)</f>
        <v>0</v>
      </c>
      <c r="X49">
        <f>VLOOKUP(Table55[[#This Row],[Shortname]], Comp[], 23, FALSE)</f>
        <v>0</v>
      </c>
      <c r="Y49">
        <f>VLOOKUP(Table55[[#This Row],[Shortname]], Comp[], 24, FALSE)</f>
        <v>0</v>
      </c>
      <c r="Z49">
        <f>VLOOKUP(Table55[[#This Row],[Shortname]], Comp[], 25, FALSE)</f>
        <v>0</v>
      </c>
      <c r="AA49">
        <f>VLOOKUP(Table55[[#This Row],[Shortname]], Comp[], 26, FALSE)</f>
        <v>0</v>
      </c>
      <c r="AB49">
        <f>VLOOKUP(Table55[[#This Row],[Shortname]], Comp[], 27, FALSE)</f>
        <v>0</v>
      </c>
      <c r="AC49">
        <f>VLOOKUP(Table55[[#This Row],[Shortname]], Comp[], 28, FALSE)</f>
        <v>0</v>
      </c>
      <c r="AD49">
        <f>VLOOKUP(Table55[[#This Row],[Shortname]], Comp[], 29, FALSE)</f>
        <v>0</v>
      </c>
      <c r="AE49">
        <f>VLOOKUP(Table55[[#This Row],[Shortname]], Comp[], 30, FALSE)</f>
        <v>0</v>
      </c>
      <c r="AF49">
        <f>VLOOKUP(Table55[[#This Row],[Shortname]], Comp[], 31, FALSE)</f>
        <v>0</v>
      </c>
    </row>
    <row r="50" spans="1:32" x14ac:dyDescent="0.3">
      <c r="A50" t="s">
        <v>525</v>
      </c>
      <c r="B50" t="s">
        <v>6694</v>
      </c>
      <c r="C50" s="1" t="s">
        <v>6693</v>
      </c>
      <c r="D50">
        <v>1109</v>
      </c>
      <c r="E50">
        <v>1322</v>
      </c>
      <c r="F50">
        <v>1409</v>
      </c>
      <c r="G50">
        <f>VLOOKUP(Table55[[#This Row],[Shortname]], Comp[], 6, FALSE)</f>
        <v>68</v>
      </c>
      <c r="H50" s="14">
        <f>VLOOKUP(Table55[[#This Row],[Shortname]], Comp[], 7, FALSE)</f>
        <v>72.400000000000006</v>
      </c>
      <c r="I50">
        <f>VLOOKUP(Table55[[#This Row],[Shortname]], Comp[], 8, FALSE)</f>
        <v>10.199999999999999</v>
      </c>
      <c r="J50">
        <f>VLOOKUP(Table55[[#This Row],[Shortname]], Comp[], 9, FALSE)</f>
        <v>5.4</v>
      </c>
      <c r="K50">
        <f>VLOOKUP(Table55[[#This Row],[Shortname]], Comp[], 10, FALSE)</f>
        <v>0</v>
      </c>
      <c r="L50">
        <f>VLOOKUP(Table55[[#This Row],[Shortname]], Comp[], 11, FALSE)</f>
        <v>6.1</v>
      </c>
      <c r="M50">
        <f>VLOOKUP(Table55[[#This Row],[Shortname]], Comp[],12, FALSE)</f>
        <v>5.9</v>
      </c>
      <c r="N50">
        <f>VLOOKUP(Table55[[#This Row],[Shortname]], Comp[], 13, FALSE)</f>
        <v>0</v>
      </c>
      <c r="O50">
        <f>VLOOKUP(Table55[[#This Row],[Shortname]], Comp[], 14, FALSE)</f>
        <v>0</v>
      </c>
      <c r="P50">
        <f>VLOOKUP(Table55[[#This Row],[Shortname]], Comp[], 15, FALSE)</f>
        <v>0</v>
      </c>
      <c r="Q50">
        <f>VLOOKUP(Table55[[#This Row],[Shortname]], Comp[], 16, FALSE)</f>
        <v>0</v>
      </c>
      <c r="R50">
        <f>VLOOKUP(Table55[[#This Row],[Shortname]], Comp[], 17, FALSE)</f>
        <v>0</v>
      </c>
      <c r="S50">
        <f>VLOOKUP(Table55[[#This Row],[Shortname]], Comp[], 18, FALSE)</f>
        <v>0</v>
      </c>
      <c r="T50">
        <f>VLOOKUP(Table55[[#This Row],[Shortname]], Comp[], 19, FALSE)</f>
        <v>0</v>
      </c>
      <c r="U50">
        <f>VLOOKUP(Table55[[#This Row],[Shortname]], Comp[], 20, FALSE)</f>
        <v>0</v>
      </c>
      <c r="V50">
        <f>VLOOKUP(Table55[[#This Row],[Shortname]], Comp[], 21, FALSE)</f>
        <v>0</v>
      </c>
      <c r="W50">
        <f>VLOOKUP(Table55[[#This Row],[Shortname]], Comp[], 22, FALSE)</f>
        <v>0</v>
      </c>
      <c r="X50">
        <f>VLOOKUP(Table55[[#This Row],[Shortname]], Comp[], 23, FALSE)</f>
        <v>0</v>
      </c>
      <c r="Y50">
        <f>VLOOKUP(Table55[[#This Row],[Shortname]], Comp[], 24, FALSE)</f>
        <v>0</v>
      </c>
      <c r="Z50">
        <f>VLOOKUP(Table55[[#This Row],[Shortname]], Comp[], 25, FALSE)</f>
        <v>0</v>
      </c>
      <c r="AA50">
        <f>VLOOKUP(Table55[[#This Row],[Shortname]], Comp[], 26, FALSE)</f>
        <v>0</v>
      </c>
      <c r="AB50">
        <f>VLOOKUP(Table55[[#This Row],[Shortname]], Comp[], 27, FALSE)</f>
        <v>0</v>
      </c>
      <c r="AC50">
        <f>VLOOKUP(Table55[[#This Row],[Shortname]], Comp[], 28, FALSE)</f>
        <v>0</v>
      </c>
      <c r="AD50">
        <f>VLOOKUP(Table55[[#This Row],[Shortname]], Comp[], 29, FALSE)</f>
        <v>0</v>
      </c>
      <c r="AE50">
        <f>VLOOKUP(Table55[[#This Row],[Shortname]], Comp[], 30, FALSE)</f>
        <v>0</v>
      </c>
      <c r="AF50">
        <f>VLOOKUP(Table55[[#This Row],[Shortname]], Comp[], 31, FALSE)</f>
        <v>0</v>
      </c>
    </row>
    <row r="51" spans="1:32" x14ac:dyDescent="0.3">
      <c r="A51" t="s">
        <v>496</v>
      </c>
      <c r="B51" t="s">
        <v>498</v>
      </c>
      <c r="C51" s="1" t="s">
        <v>6693</v>
      </c>
      <c r="D51">
        <v>1109</v>
      </c>
      <c r="E51">
        <v>1322</v>
      </c>
      <c r="F51">
        <v>1409</v>
      </c>
      <c r="G51">
        <f>VLOOKUP(Table55[[#This Row],[Shortname]], Comp[], 6, FALSE)</f>
        <v>65</v>
      </c>
      <c r="H51" s="14">
        <f>VLOOKUP(Table55[[#This Row],[Shortname]], Comp[], 7, FALSE)</f>
        <v>71.599999999999994</v>
      </c>
      <c r="I51">
        <f>VLOOKUP(Table55[[#This Row],[Shortname]], Comp[], 8, FALSE)</f>
        <v>10.1</v>
      </c>
      <c r="J51">
        <f>VLOOKUP(Table55[[#This Row],[Shortname]], Comp[], 9, FALSE)</f>
        <v>5.2</v>
      </c>
      <c r="K51">
        <f>VLOOKUP(Table55[[#This Row],[Shortname]], Comp[], 10, FALSE)</f>
        <v>0</v>
      </c>
      <c r="L51">
        <f>VLOOKUP(Table55[[#This Row],[Shortname]], Comp[], 11, FALSE)</f>
        <v>6.7</v>
      </c>
      <c r="M51">
        <f>VLOOKUP(Table55[[#This Row],[Shortname]], Comp[],12, FALSE)</f>
        <v>6.4</v>
      </c>
      <c r="N51">
        <f>VLOOKUP(Table55[[#This Row],[Shortname]], Comp[], 13, FALSE)</f>
        <v>0</v>
      </c>
      <c r="O51">
        <f>VLOOKUP(Table55[[#This Row],[Shortname]], Comp[], 14, FALSE)</f>
        <v>0</v>
      </c>
      <c r="P51">
        <f>VLOOKUP(Table55[[#This Row],[Shortname]], Comp[], 15, FALSE)</f>
        <v>0</v>
      </c>
      <c r="Q51">
        <f>VLOOKUP(Table55[[#This Row],[Shortname]], Comp[], 16, FALSE)</f>
        <v>0</v>
      </c>
      <c r="R51">
        <f>VLOOKUP(Table55[[#This Row],[Shortname]], Comp[], 17, FALSE)</f>
        <v>0</v>
      </c>
      <c r="S51">
        <f>VLOOKUP(Table55[[#This Row],[Shortname]], Comp[], 18, FALSE)</f>
        <v>0</v>
      </c>
      <c r="T51">
        <f>VLOOKUP(Table55[[#This Row],[Shortname]], Comp[], 19, FALSE)</f>
        <v>0</v>
      </c>
      <c r="U51">
        <f>VLOOKUP(Table55[[#This Row],[Shortname]], Comp[], 20, FALSE)</f>
        <v>0</v>
      </c>
      <c r="V51">
        <f>VLOOKUP(Table55[[#This Row],[Shortname]], Comp[], 21, FALSE)</f>
        <v>0</v>
      </c>
      <c r="W51">
        <f>VLOOKUP(Table55[[#This Row],[Shortname]], Comp[], 22, FALSE)</f>
        <v>0</v>
      </c>
      <c r="X51">
        <f>VLOOKUP(Table55[[#This Row],[Shortname]], Comp[], 23, FALSE)</f>
        <v>0</v>
      </c>
      <c r="Y51">
        <f>VLOOKUP(Table55[[#This Row],[Shortname]], Comp[], 24, FALSE)</f>
        <v>0</v>
      </c>
      <c r="Z51">
        <f>VLOOKUP(Table55[[#This Row],[Shortname]], Comp[], 25, FALSE)</f>
        <v>0</v>
      </c>
      <c r="AA51">
        <f>VLOOKUP(Table55[[#This Row],[Shortname]], Comp[], 26, FALSE)</f>
        <v>0</v>
      </c>
      <c r="AB51">
        <f>VLOOKUP(Table55[[#This Row],[Shortname]], Comp[], 27, FALSE)</f>
        <v>0</v>
      </c>
      <c r="AC51">
        <f>VLOOKUP(Table55[[#This Row],[Shortname]], Comp[], 28, FALSE)</f>
        <v>0</v>
      </c>
      <c r="AD51">
        <f>VLOOKUP(Table55[[#This Row],[Shortname]], Comp[], 29, FALSE)</f>
        <v>0</v>
      </c>
      <c r="AE51">
        <f>VLOOKUP(Table55[[#This Row],[Shortname]], Comp[], 30, FALSE)</f>
        <v>0</v>
      </c>
      <c r="AF51">
        <f>VLOOKUP(Table55[[#This Row],[Shortname]], Comp[], 31, FALSE)</f>
        <v>0</v>
      </c>
    </row>
    <row r="52" spans="1:32" x14ac:dyDescent="0.3">
      <c r="A52" t="s">
        <v>534</v>
      </c>
      <c r="B52" t="s">
        <v>6695</v>
      </c>
      <c r="C52" s="1" t="s">
        <v>6693</v>
      </c>
      <c r="D52">
        <v>1060</v>
      </c>
      <c r="E52">
        <v>1371</v>
      </c>
      <c r="F52">
        <v>1436</v>
      </c>
      <c r="G52">
        <f>VLOOKUP(Table55[[#This Row],[Shortname]], Comp[], 6, FALSE)</f>
        <v>69</v>
      </c>
      <c r="H52" s="14">
        <f>VLOOKUP(Table55[[#This Row],[Shortname]], Comp[], 7, FALSE)</f>
        <v>72.3</v>
      </c>
      <c r="I52">
        <f>VLOOKUP(Table55[[#This Row],[Shortname]], Comp[], 8, FALSE)</f>
        <v>10.3</v>
      </c>
      <c r="J52">
        <f>VLOOKUP(Table55[[#This Row],[Shortname]], Comp[], 9, FALSE)</f>
        <v>6.3</v>
      </c>
      <c r="K52">
        <f>VLOOKUP(Table55[[#This Row],[Shortname]], Comp[], 10, FALSE)</f>
        <v>0</v>
      </c>
      <c r="L52">
        <f>VLOOKUP(Table55[[#This Row],[Shortname]], Comp[], 11, FALSE)</f>
        <v>7</v>
      </c>
      <c r="M52">
        <f>VLOOKUP(Table55[[#This Row],[Shortname]], Comp[],12, FALSE)</f>
        <v>4.0999999999999996</v>
      </c>
      <c r="N52">
        <f>VLOOKUP(Table55[[#This Row],[Shortname]], Comp[], 13, FALSE)</f>
        <v>0</v>
      </c>
      <c r="O52">
        <f>VLOOKUP(Table55[[#This Row],[Shortname]], Comp[], 14, FALSE)</f>
        <v>0</v>
      </c>
      <c r="P52">
        <f>VLOOKUP(Table55[[#This Row],[Shortname]], Comp[], 15, FALSE)</f>
        <v>0</v>
      </c>
      <c r="Q52">
        <f>VLOOKUP(Table55[[#This Row],[Shortname]], Comp[], 16, FALSE)</f>
        <v>0</v>
      </c>
      <c r="R52">
        <f>VLOOKUP(Table55[[#This Row],[Shortname]], Comp[], 17, FALSE)</f>
        <v>0</v>
      </c>
      <c r="S52">
        <f>VLOOKUP(Table55[[#This Row],[Shortname]], Comp[], 18, FALSE)</f>
        <v>0</v>
      </c>
      <c r="T52">
        <f>VLOOKUP(Table55[[#This Row],[Shortname]], Comp[], 19, FALSE)</f>
        <v>0</v>
      </c>
      <c r="U52">
        <f>VLOOKUP(Table55[[#This Row],[Shortname]], Comp[], 20, FALSE)</f>
        <v>0</v>
      </c>
      <c r="V52">
        <f>VLOOKUP(Table55[[#This Row],[Shortname]], Comp[], 21, FALSE)</f>
        <v>0</v>
      </c>
      <c r="W52">
        <f>VLOOKUP(Table55[[#This Row],[Shortname]], Comp[], 22, FALSE)</f>
        <v>0</v>
      </c>
      <c r="X52">
        <f>VLOOKUP(Table55[[#This Row],[Shortname]], Comp[], 23, FALSE)</f>
        <v>0</v>
      </c>
      <c r="Y52">
        <f>VLOOKUP(Table55[[#This Row],[Shortname]], Comp[], 24, FALSE)</f>
        <v>0</v>
      </c>
      <c r="Z52">
        <f>VLOOKUP(Table55[[#This Row],[Shortname]], Comp[], 25, FALSE)</f>
        <v>0</v>
      </c>
      <c r="AA52">
        <f>VLOOKUP(Table55[[#This Row],[Shortname]], Comp[], 26, FALSE)</f>
        <v>0</v>
      </c>
      <c r="AB52">
        <f>VLOOKUP(Table55[[#This Row],[Shortname]], Comp[], 27, FALSE)</f>
        <v>0</v>
      </c>
      <c r="AC52">
        <f>VLOOKUP(Table55[[#This Row],[Shortname]], Comp[], 28, FALSE)</f>
        <v>0</v>
      </c>
      <c r="AD52">
        <f>VLOOKUP(Table55[[#This Row],[Shortname]], Comp[], 29, FALSE)</f>
        <v>0</v>
      </c>
      <c r="AE52">
        <f>VLOOKUP(Table55[[#This Row],[Shortname]], Comp[], 30, FALSE)</f>
        <v>0</v>
      </c>
      <c r="AF52">
        <f>VLOOKUP(Table55[[#This Row],[Shortname]], Comp[], 31, FALSE)</f>
        <v>0</v>
      </c>
    </row>
    <row r="53" spans="1:32" x14ac:dyDescent="0.3">
      <c r="A53" t="s">
        <v>544</v>
      </c>
      <c r="B53" t="s">
        <v>6696</v>
      </c>
      <c r="C53" s="1" t="s">
        <v>6693</v>
      </c>
      <c r="D53">
        <v>1035</v>
      </c>
      <c r="E53">
        <v>1398</v>
      </c>
      <c r="F53">
        <v>1458</v>
      </c>
      <c r="G53">
        <f>VLOOKUP(Table55[[#This Row],[Shortname]], Comp[], 6, FALSE)</f>
        <v>70</v>
      </c>
      <c r="H53" s="14">
        <f>VLOOKUP(Table55[[#This Row],[Shortname]], Comp[], 7, FALSE)</f>
        <v>72.3</v>
      </c>
      <c r="I53">
        <f>VLOOKUP(Table55[[#This Row],[Shortname]], Comp[], 8, FALSE)</f>
        <v>10.199999999999999</v>
      </c>
      <c r="J53">
        <f>VLOOKUP(Table55[[#This Row],[Shortname]], Comp[], 9, FALSE)</f>
        <v>7.3</v>
      </c>
      <c r="K53">
        <f>VLOOKUP(Table55[[#This Row],[Shortname]], Comp[], 10, FALSE)</f>
        <v>0</v>
      </c>
      <c r="L53">
        <f>VLOOKUP(Table55[[#This Row],[Shortname]], Comp[], 11, FALSE)</f>
        <v>8</v>
      </c>
      <c r="M53">
        <f>VLOOKUP(Table55[[#This Row],[Shortname]], Comp[],12, FALSE)</f>
        <v>2.2000000000000002</v>
      </c>
      <c r="N53">
        <f>VLOOKUP(Table55[[#This Row],[Shortname]], Comp[], 13, FALSE)</f>
        <v>0</v>
      </c>
      <c r="O53">
        <f>VLOOKUP(Table55[[#This Row],[Shortname]], Comp[], 14, FALSE)</f>
        <v>0</v>
      </c>
      <c r="P53">
        <f>VLOOKUP(Table55[[#This Row],[Shortname]], Comp[], 15, FALSE)</f>
        <v>0</v>
      </c>
      <c r="Q53">
        <f>VLOOKUP(Table55[[#This Row],[Shortname]], Comp[], 16, FALSE)</f>
        <v>0</v>
      </c>
      <c r="R53">
        <f>VLOOKUP(Table55[[#This Row],[Shortname]], Comp[], 17, FALSE)</f>
        <v>0</v>
      </c>
      <c r="S53">
        <f>VLOOKUP(Table55[[#This Row],[Shortname]], Comp[], 18, FALSE)</f>
        <v>0</v>
      </c>
      <c r="T53">
        <f>VLOOKUP(Table55[[#This Row],[Shortname]], Comp[], 19, FALSE)</f>
        <v>0</v>
      </c>
      <c r="U53">
        <f>VLOOKUP(Table55[[#This Row],[Shortname]], Comp[], 20, FALSE)</f>
        <v>0</v>
      </c>
      <c r="V53">
        <f>VLOOKUP(Table55[[#This Row],[Shortname]], Comp[], 21, FALSE)</f>
        <v>0</v>
      </c>
      <c r="W53">
        <f>VLOOKUP(Table55[[#This Row],[Shortname]], Comp[], 22, FALSE)</f>
        <v>0</v>
      </c>
      <c r="X53">
        <f>VLOOKUP(Table55[[#This Row],[Shortname]], Comp[], 23, FALSE)</f>
        <v>0</v>
      </c>
      <c r="Y53">
        <f>VLOOKUP(Table55[[#This Row],[Shortname]], Comp[], 24, FALSE)</f>
        <v>0</v>
      </c>
      <c r="Z53">
        <f>VLOOKUP(Table55[[#This Row],[Shortname]], Comp[], 25, FALSE)</f>
        <v>0</v>
      </c>
      <c r="AA53">
        <f>VLOOKUP(Table55[[#This Row],[Shortname]], Comp[], 26, FALSE)</f>
        <v>0</v>
      </c>
      <c r="AB53">
        <f>VLOOKUP(Table55[[#This Row],[Shortname]], Comp[], 27, FALSE)</f>
        <v>0</v>
      </c>
      <c r="AC53">
        <f>VLOOKUP(Table55[[#This Row],[Shortname]], Comp[], 28, FALSE)</f>
        <v>0</v>
      </c>
      <c r="AD53">
        <f>VLOOKUP(Table55[[#This Row],[Shortname]], Comp[], 29, FALSE)</f>
        <v>0</v>
      </c>
      <c r="AE53">
        <f>VLOOKUP(Table55[[#This Row],[Shortname]], Comp[], 30, FALSE)</f>
        <v>0</v>
      </c>
      <c r="AF53">
        <f>VLOOKUP(Table55[[#This Row],[Shortname]], Comp[], 31, FALSE)</f>
        <v>0</v>
      </c>
    </row>
    <row r="54" spans="1:32" x14ac:dyDescent="0.3">
      <c r="A54" t="s">
        <v>604</v>
      </c>
      <c r="B54" t="s">
        <v>606</v>
      </c>
      <c r="C54" s="1" t="s">
        <v>6693</v>
      </c>
      <c r="D54">
        <v>1031</v>
      </c>
      <c r="E54">
        <v>1316</v>
      </c>
      <c r="F54">
        <v>1382</v>
      </c>
      <c r="G54">
        <f>VLOOKUP(Table55[[#This Row],[Shortname]], Comp[], 6, FALSE)</f>
        <v>78</v>
      </c>
      <c r="H54" s="14">
        <f>VLOOKUP(Table55[[#This Row],[Shortname]], Comp[], 7, FALSE)</f>
        <v>74.099999999999994</v>
      </c>
      <c r="I54">
        <f>VLOOKUP(Table55[[#This Row],[Shortname]], Comp[], 8, FALSE)</f>
        <v>10.1</v>
      </c>
      <c r="J54">
        <f>VLOOKUP(Table55[[#This Row],[Shortname]], Comp[], 9, FALSE)</f>
        <v>5.7</v>
      </c>
      <c r="K54">
        <f>VLOOKUP(Table55[[#This Row],[Shortname]], Comp[], 10, FALSE)</f>
        <v>0</v>
      </c>
      <c r="L54">
        <f>VLOOKUP(Table55[[#This Row],[Shortname]], Comp[], 11, FALSE)</f>
        <v>3.9</v>
      </c>
      <c r="M54">
        <f>VLOOKUP(Table55[[#This Row],[Shortname]], Comp[],12, FALSE)</f>
        <v>6.2</v>
      </c>
      <c r="N54">
        <f>VLOOKUP(Table55[[#This Row],[Shortname]], Comp[], 13, FALSE)</f>
        <v>0</v>
      </c>
      <c r="O54">
        <f>VLOOKUP(Table55[[#This Row],[Shortname]], Comp[], 14, FALSE)</f>
        <v>0</v>
      </c>
      <c r="P54">
        <f>VLOOKUP(Table55[[#This Row],[Shortname]], Comp[], 15, FALSE)</f>
        <v>0</v>
      </c>
      <c r="Q54">
        <f>VLOOKUP(Table55[[#This Row],[Shortname]], Comp[], 16, FALSE)</f>
        <v>0</v>
      </c>
      <c r="R54">
        <f>VLOOKUP(Table55[[#This Row],[Shortname]], Comp[], 17, FALSE)</f>
        <v>0</v>
      </c>
      <c r="S54">
        <f>VLOOKUP(Table55[[#This Row],[Shortname]], Comp[], 18, FALSE)</f>
        <v>0</v>
      </c>
      <c r="T54">
        <f>VLOOKUP(Table55[[#This Row],[Shortname]], Comp[], 19, FALSE)</f>
        <v>0</v>
      </c>
      <c r="U54">
        <f>VLOOKUP(Table55[[#This Row],[Shortname]], Comp[], 20, FALSE)</f>
        <v>0</v>
      </c>
      <c r="V54">
        <f>VLOOKUP(Table55[[#This Row],[Shortname]], Comp[], 21, FALSE)</f>
        <v>0</v>
      </c>
      <c r="W54">
        <f>VLOOKUP(Table55[[#This Row],[Shortname]], Comp[], 22, FALSE)</f>
        <v>0</v>
      </c>
      <c r="X54">
        <f>VLOOKUP(Table55[[#This Row],[Shortname]], Comp[], 23, FALSE)</f>
        <v>0</v>
      </c>
      <c r="Y54">
        <f>VLOOKUP(Table55[[#This Row],[Shortname]], Comp[], 24, FALSE)</f>
        <v>0</v>
      </c>
      <c r="Z54">
        <f>VLOOKUP(Table55[[#This Row],[Shortname]], Comp[], 25, FALSE)</f>
        <v>0</v>
      </c>
      <c r="AA54">
        <f>VLOOKUP(Table55[[#This Row],[Shortname]], Comp[], 26, FALSE)</f>
        <v>0</v>
      </c>
      <c r="AB54">
        <f>VLOOKUP(Table55[[#This Row],[Shortname]], Comp[], 27, FALSE)</f>
        <v>0</v>
      </c>
      <c r="AC54">
        <f>VLOOKUP(Table55[[#This Row],[Shortname]], Comp[], 28, FALSE)</f>
        <v>0</v>
      </c>
      <c r="AD54">
        <f>VLOOKUP(Table55[[#This Row],[Shortname]], Comp[], 29, FALSE)</f>
        <v>0</v>
      </c>
      <c r="AE54">
        <f>VLOOKUP(Table55[[#This Row],[Shortname]], Comp[], 30, FALSE)</f>
        <v>0</v>
      </c>
      <c r="AF54">
        <f>VLOOKUP(Table55[[#This Row],[Shortname]], Comp[], 31, FALSE)</f>
        <v>0</v>
      </c>
    </row>
    <row r="55" spans="1:32" x14ac:dyDescent="0.3">
      <c r="A55" t="s">
        <v>552</v>
      </c>
      <c r="B55" t="s">
        <v>6697</v>
      </c>
      <c r="C55" s="1" t="s">
        <v>6693</v>
      </c>
      <c r="D55">
        <v>982</v>
      </c>
      <c r="E55">
        <v>1459</v>
      </c>
      <c r="F55">
        <v>1489</v>
      </c>
      <c r="G55">
        <f>VLOOKUP(Table55[[#This Row],[Shortname]], Comp[], 6, FALSE)</f>
        <v>71</v>
      </c>
      <c r="H55" s="14">
        <f>VLOOKUP(Table55[[#This Row],[Shortname]], Comp[], 7, FALSE)</f>
        <v>72.800000000000011</v>
      </c>
      <c r="I55">
        <f>VLOOKUP(Table55[[#This Row],[Shortname]], Comp[], 8, FALSE)</f>
        <v>10.199999999999999</v>
      </c>
      <c r="J55">
        <f>VLOOKUP(Table55[[#This Row],[Shortname]], Comp[], 9, FALSE)</f>
        <v>8.1</v>
      </c>
      <c r="K55">
        <f>VLOOKUP(Table55[[#This Row],[Shortname]], Comp[], 10, FALSE)</f>
        <v>0</v>
      </c>
      <c r="L55">
        <f>VLOOKUP(Table55[[#This Row],[Shortname]], Comp[], 11, FALSE)</f>
        <v>8.9</v>
      </c>
      <c r="M55">
        <f>VLOOKUP(Table55[[#This Row],[Shortname]], Comp[],12, FALSE)</f>
        <v>0</v>
      </c>
      <c r="N55">
        <f>VLOOKUP(Table55[[#This Row],[Shortname]], Comp[], 13, FALSE)</f>
        <v>0</v>
      </c>
      <c r="O55">
        <f>VLOOKUP(Table55[[#This Row],[Shortname]], Comp[], 14, FALSE)</f>
        <v>0</v>
      </c>
      <c r="P55">
        <f>VLOOKUP(Table55[[#This Row],[Shortname]], Comp[], 15, FALSE)</f>
        <v>0</v>
      </c>
      <c r="Q55">
        <f>VLOOKUP(Table55[[#This Row],[Shortname]], Comp[], 16, FALSE)</f>
        <v>0</v>
      </c>
      <c r="R55">
        <f>VLOOKUP(Table55[[#This Row],[Shortname]], Comp[], 17, FALSE)</f>
        <v>0</v>
      </c>
      <c r="S55">
        <f>VLOOKUP(Table55[[#This Row],[Shortname]], Comp[], 18, FALSE)</f>
        <v>0</v>
      </c>
      <c r="T55">
        <f>VLOOKUP(Table55[[#This Row],[Shortname]], Comp[], 19, FALSE)</f>
        <v>0</v>
      </c>
      <c r="U55">
        <f>VLOOKUP(Table55[[#This Row],[Shortname]], Comp[], 20, FALSE)</f>
        <v>0</v>
      </c>
      <c r="V55">
        <f>VLOOKUP(Table55[[#This Row],[Shortname]], Comp[], 21, FALSE)</f>
        <v>0</v>
      </c>
      <c r="W55">
        <f>VLOOKUP(Table55[[#This Row],[Shortname]], Comp[], 22, FALSE)</f>
        <v>0</v>
      </c>
      <c r="X55">
        <f>VLOOKUP(Table55[[#This Row],[Shortname]], Comp[], 23, FALSE)</f>
        <v>0</v>
      </c>
      <c r="Y55">
        <f>VLOOKUP(Table55[[#This Row],[Shortname]], Comp[], 24, FALSE)</f>
        <v>0</v>
      </c>
      <c r="Z55">
        <f>VLOOKUP(Table55[[#This Row],[Shortname]], Comp[], 25, FALSE)</f>
        <v>0</v>
      </c>
      <c r="AA55">
        <f>VLOOKUP(Table55[[#This Row],[Shortname]], Comp[], 26, FALSE)</f>
        <v>0</v>
      </c>
      <c r="AB55">
        <f>VLOOKUP(Table55[[#This Row],[Shortname]], Comp[], 27, FALSE)</f>
        <v>0</v>
      </c>
      <c r="AC55">
        <f>VLOOKUP(Table55[[#This Row],[Shortname]], Comp[], 28, FALSE)</f>
        <v>0</v>
      </c>
      <c r="AD55">
        <f>VLOOKUP(Table55[[#This Row],[Shortname]], Comp[], 29, FALSE)</f>
        <v>0</v>
      </c>
      <c r="AE55">
        <f>VLOOKUP(Table55[[#This Row],[Shortname]], Comp[], 30, FALSE)</f>
        <v>0</v>
      </c>
      <c r="AF55">
        <f>VLOOKUP(Table55[[#This Row],[Shortname]], Comp[], 31, FALSE)</f>
        <v>0</v>
      </c>
    </row>
    <row r="56" spans="1:32" x14ac:dyDescent="0.3">
      <c r="A56" t="s">
        <v>612</v>
      </c>
      <c r="B56" t="s">
        <v>614</v>
      </c>
      <c r="C56" s="1" t="s">
        <v>6693</v>
      </c>
      <c r="D56">
        <v>927</v>
      </c>
      <c r="E56">
        <v>1312</v>
      </c>
      <c r="F56">
        <v>1380</v>
      </c>
      <c r="G56">
        <f>VLOOKUP(Table55[[#This Row],[Shortname]], Comp[], 6, FALSE)</f>
        <v>79</v>
      </c>
      <c r="H56" s="14">
        <f>VLOOKUP(Table55[[#This Row],[Shortname]], Comp[], 7, FALSE)</f>
        <v>76</v>
      </c>
      <c r="I56">
        <f>VLOOKUP(Table55[[#This Row],[Shortname]], Comp[], 8, FALSE)</f>
        <v>10</v>
      </c>
      <c r="J56">
        <f>VLOOKUP(Table55[[#This Row],[Shortname]], Comp[], 9, FALSE)</f>
        <v>5.9</v>
      </c>
      <c r="K56">
        <f>VLOOKUP(Table55[[#This Row],[Shortname]], Comp[], 10, FALSE)</f>
        <v>0</v>
      </c>
      <c r="L56">
        <f>VLOOKUP(Table55[[#This Row],[Shortname]], Comp[], 11, FALSE)</f>
        <v>2</v>
      </c>
      <c r="M56">
        <f>VLOOKUP(Table55[[#This Row],[Shortname]], Comp[],12, FALSE)</f>
        <v>6.1</v>
      </c>
      <c r="N56">
        <f>VLOOKUP(Table55[[#This Row],[Shortname]], Comp[], 13, FALSE)</f>
        <v>0</v>
      </c>
      <c r="O56">
        <f>VLOOKUP(Table55[[#This Row],[Shortname]], Comp[], 14, FALSE)</f>
        <v>0</v>
      </c>
      <c r="P56">
        <f>VLOOKUP(Table55[[#This Row],[Shortname]], Comp[], 15, FALSE)</f>
        <v>0</v>
      </c>
      <c r="Q56">
        <f>VLOOKUP(Table55[[#This Row],[Shortname]], Comp[], 16, FALSE)</f>
        <v>0</v>
      </c>
      <c r="R56">
        <f>VLOOKUP(Table55[[#This Row],[Shortname]], Comp[], 17, FALSE)</f>
        <v>0</v>
      </c>
      <c r="S56">
        <f>VLOOKUP(Table55[[#This Row],[Shortname]], Comp[], 18, FALSE)</f>
        <v>0</v>
      </c>
      <c r="T56">
        <f>VLOOKUP(Table55[[#This Row],[Shortname]], Comp[], 19, FALSE)</f>
        <v>0</v>
      </c>
      <c r="U56">
        <f>VLOOKUP(Table55[[#This Row],[Shortname]], Comp[], 20, FALSE)</f>
        <v>0</v>
      </c>
      <c r="V56">
        <f>VLOOKUP(Table55[[#This Row],[Shortname]], Comp[], 21, FALSE)</f>
        <v>0</v>
      </c>
      <c r="W56">
        <f>VLOOKUP(Table55[[#This Row],[Shortname]], Comp[], 22, FALSE)</f>
        <v>0</v>
      </c>
      <c r="X56">
        <f>VLOOKUP(Table55[[#This Row],[Shortname]], Comp[], 23, FALSE)</f>
        <v>0</v>
      </c>
      <c r="Y56">
        <f>VLOOKUP(Table55[[#This Row],[Shortname]], Comp[], 24, FALSE)</f>
        <v>0</v>
      </c>
      <c r="Z56">
        <f>VLOOKUP(Table55[[#This Row],[Shortname]], Comp[], 25, FALSE)</f>
        <v>0</v>
      </c>
      <c r="AA56">
        <f>VLOOKUP(Table55[[#This Row],[Shortname]], Comp[], 26, FALSE)</f>
        <v>0</v>
      </c>
      <c r="AB56">
        <f>VLOOKUP(Table55[[#This Row],[Shortname]], Comp[], 27, FALSE)</f>
        <v>0</v>
      </c>
      <c r="AC56">
        <f>VLOOKUP(Table55[[#This Row],[Shortname]], Comp[], 28, FALSE)</f>
        <v>0</v>
      </c>
      <c r="AD56">
        <f>VLOOKUP(Table55[[#This Row],[Shortname]], Comp[], 29, FALSE)</f>
        <v>0</v>
      </c>
      <c r="AE56">
        <f>VLOOKUP(Table55[[#This Row],[Shortname]], Comp[], 30, FALSE)</f>
        <v>0</v>
      </c>
      <c r="AF56">
        <f>VLOOKUP(Table55[[#This Row],[Shortname]], Comp[], 31, FALSE)</f>
        <v>0</v>
      </c>
    </row>
    <row r="57" spans="1:32" x14ac:dyDescent="0.3">
      <c r="A57" t="s">
        <v>595</v>
      </c>
      <c r="B57" t="s">
        <v>597</v>
      </c>
      <c r="C57" s="1" t="s">
        <v>6693</v>
      </c>
      <c r="D57">
        <v>850</v>
      </c>
      <c r="E57">
        <v>1310</v>
      </c>
      <c r="F57">
        <v>1378</v>
      </c>
      <c r="G57">
        <f>VLOOKUP(Table55[[#This Row],[Shortname]], Comp[], 6, FALSE)</f>
        <v>77</v>
      </c>
      <c r="H57" s="14">
        <f>VLOOKUP(Table55[[#This Row],[Shortname]], Comp[], 7, FALSE)</f>
        <v>78</v>
      </c>
      <c r="I57">
        <f>VLOOKUP(Table55[[#This Row],[Shortname]], Comp[], 8, FALSE)</f>
        <v>10</v>
      </c>
      <c r="J57">
        <f>VLOOKUP(Table55[[#This Row],[Shortname]], Comp[], 9, FALSE)</f>
        <v>5.8</v>
      </c>
      <c r="K57">
        <f>VLOOKUP(Table55[[#This Row],[Shortname]], Comp[], 10, FALSE)</f>
        <v>0</v>
      </c>
      <c r="L57">
        <f>VLOOKUP(Table55[[#This Row],[Shortname]], Comp[], 11, FALSE)</f>
        <v>0</v>
      </c>
      <c r="M57">
        <f>VLOOKUP(Table55[[#This Row],[Shortname]], Comp[],12, FALSE)</f>
        <v>6.2</v>
      </c>
      <c r="N57">
        <f>VLOOKUP(Table55[[#This Row],[Shortname]], Comp[], 13, FALSE)</f>
        <v>0</v>
      </c>
      <c r="O57">
        <f>VLOOKUP(Table55[[#This Row],[Shortname]], Comp[], 14, FALSE)</f>
        <v>0</v>
      </c>
      <c r="P57">
        <f>VLOOKUP(Table55[[#This Row],[Shortname]], Comp[], 15, FALSE)</f>
        <v>0</v>
      </c>
      <c r="Q57">
        <f>VLOOKUP(Table55[[#This Row],[Shortname]], Comp[], 16, FALSE)</f>
        <v>0</v>
      </c>
      <c r="R57">
        <f>VLOOKUP(Table55[[#This Row],[Shortname]], Comp[], 17, FALSE)</f>
        <v>0</v>
      </c>
      <c r="S57">
        <f>VLOOKUP(Table55[[#This Row],[Shortname]], Comp[], 18, FALSE)</f>
        <v>0</v>
      </c>
      <c r="T57">
        <f>VLOOKUP(Table55[[#This Row],[Shortname]], Comp[], 19, FALSE)</f>
        <v>0</v>
      </c>
      <c r="U57">
        <f>VLOOKUP(Table55[[#This Row],[Shortname]], Comp[], 20, FALSE)</f>
        <v>0</v>
      </c>
      <c r="V57">
        <f>VLOOKUP(Table55[[#This Row],[Shortname]], Comp[], 21, FALSE)</f>
        <v>0</v>
      </c>
      <c r="W57">
        <f>VLOOKUP(Table55[[#This Row],[Shortname]], Comp[], 22, FALSE)</f>
        <v>0</v>
      </c>
      <c r="X57">
        <f>VLOOKUP(Table55[[#This Row],[Shortname]], Comp[], 23, FALSE)</f>
        <v>0</v>
      </c>
      <c r="Y57">
        <f>VLOOKUP(Table55[[#This Row],[Shortname]], Comp[], 24, FALSE)</f>
        <v>0</v>
      </c>
      <c r="Z57">
        <f>VLOOKUP(Table55[[#This Row],[Shortname]], Comp[], 25, FALSE)</f>
        <v>0</v>
      </c>
      <c r="AA57">
        <f>VLOOKUP(Table55[[#This Row],[Shortname]], Comp[], 26, FALSE)</f>
        <v>0</v>
      </c>
      <c r="AB57">
        <f>VLOOKUP(Table55[[#This Row],[Shortname]], Comp[], 27, FALSE)</f>
        <v>0</v>
      </c>
      <c r="AC57">
        <f>VLOOKUP(Table55[[#This Row],[Shortname]], Comp[], 28, FALSE)</f>
        <v>0</v>
      </c>
      <c r="AD57">
        <f>VLOOKUP(Table55[[#This Row],[Shortname]], Comp[], 29, FALSE)</f>
        <v>0</v>
      </c>
      <c r="AE57">
        <f>VLOOKUP(Table55[[#This Row],[Shortname]], Comp[], 30, FALSE)</f>
        <v>0</v>
      </c>
      <c r="AF57">
        <f>VLOOKUP(Table55[[#This Row],[Shortname]], Comp[], 31, FALSE)</f>
        <v>0</v>
      </c>
    </row>
    <row r="58" spans="1:32" x14ac:dyDescent="0.3">
      <c r="A58" t="s">
        <v>870</v>
      </c>
      <c r="B58" t="s">
        <v>872</v>
      </c>
      <c r="C58" s="17" t="s">
        <v>873</v>
      </c>
      <c r="D58">
        <v>1242</v>
      </c>
      <c r="E58">
        <v>1313</v>
      </c>
      <c r="F58">
        <v>1367</v>
      </c>
      <c r="G58">
        <f>VLOOKUP(Table55[[#This Row],[Shortname]], Comp[], 6, FALSE)</f>
        <v>112</v>
      </c>
      <c r="H58" s="14">
        <f>VLOOKUP(Table55[[#This Row],[Shortname]], Comp[], 7, FALSE)</f>
        <v>49</v>
      </c>
      <c r="I58">
        <f>VLOOKUP(Table55[[#This Row],[Shortname]], Comp[], 8, FALSE)</f>
        <v>30</v>
      </c>
      <c r="J58">
        <f>VLOOKUP(Table55[[#This Row],[Shortname]], Comp[], 9, FALSE)</f>
        <v>10</v>
      </c>
      <c r="K58">
        <f>VLOOKUP(Table55[[#This Row],[Shortname]], Comp[], 10, FALSE)</f>
        <v>0</v>
      </c>
      <c r="L58">
        <f>VLOOKUP(Table55[[#This Row],[Shortname]], Comp[], 11, FALSE)</f>
        <v>0</v>
      </c>
      <c r="M58">
        <f>VLOOKUP(Table55[[#This Row],[Shortname]], Comp[],12, FALSE)</f>
        <v>2</v>
      </c>
      <c r="N58">
        <f>VLOOKUP(Table55[[#This Row],[Shortname]], Comp[], 13, FALSE)</f>
        <v>4</v>
      </c>
      <c r="O58">
        <f>VLOOKUP(Table55[[#This Row],[Shortname]], Comp[], 14, FALSE)</f>
        <v>0</v>
      </c>
      <c r="P58">
        <f>VLOOKUP(Table55[[#This Row],[Shortname]], Comp[], 15, FALSE)</f>
        <v>5</v>
      </c>
      <c r="Q58">
        <f>VLOOKUP(Table55[[#This Row],[Shortname]], Comp[], 16, FALSE)</f>
        <v>0</v>
      </c>
      <c r="R58">
        <f>VLOOKUP(Table55[[#This Row],[Shortname]], Comp[], 17, FALSE)</f>
        <v>0</v>
      </c>
      <c r="S58">
        <f>VLOOKUP(Table55[[#This Row],[Shortname]], Comp[], 18, FALSE)</f>
        <v>0</v>
      </c>
      <c r="T58">
        <f>VLOOKUP(Table55[[#This Row],[Shortname]], Comp[], 19, FALSE)</f>
        <v>0</v>
      </c>
      <c r="U58">
        <f>VLOOKUP(Table55[[#This Row],[Shortname]], Comp[], 20, FALSE)</f>
        <v>0</v>
      </c>
      <c r="V58">
        <f>VLOOKUP(Table55[[#This Row],[Shortname]], Comp[], 21, FALSE)</f>
        <v>0</v>
      </c>
      <c r="W58">
        <f>VLOOKUP(Table55[[#This Row],[Shortname]], Comp[], 22, FALSE)</f>
        <v>0</v>
      </c>
      <c r="X58">
        <f>VLOOKUP(Table55[[#This Row],[Shortname]], Comp[], 23, FALSE)</f>
        <v>0</v>
      </c>
      <c r="Y58">
        <f>VLOOKUP(Table55[[#This Row],[Shortname]], Comp[], 24, FALSE)</f>
        <v>0</v>
      </c>
      <c r="Z58">
        <f>VLOOKUP(Table55[[#This Row],[Shortname]], Comp[], 25, FALSE)</f>
        <v>0</v>
      </c>
      <c r="AA58">
        <f>VLOOKUP(Table55[[#This Row],[Shortname]], Comp[], 26, FALSE)</f>
        <v>0</v>
      </c>
      <c r="AB58">
        <f>VLOOKUP(Table55[[#This Row],[Shortname]], Comp[], 27, FALSE)</f>
        <v>0</v>
      </c>
      <c r="AC58">
        <f>VLOOKUP(Table55[[#This Row],[Shortname]], Comp[], 28, FALSE)</f>
        <v>0</v>
      </c>
      <c r="AD58">
        <f>VLOOKUP(Table55[[#This Row],[Shortname]], Comp[], 29, FALSE)</f>
        <v>0</v>
      </c>
      <c r="AE58">
        <f>VLOOKUP(Table55[[#This Row],[Shortname]], Comp[], 30, FALSE)</f>
        <v>0</v>
      </c>
      <c r="AF58">
        <f>VLOOKUP(Table55[[#This Row],[Shortname]], Comp[], 31, FALSE)</f>
        <v>0</v>
      </c>
    </row>
    <row r="59" spans="1:32" x14ac:dyDescent="0.3">
      <c r="A59" t="s">
        <v>870</v>
      </c>
      <c r="B59" t="s">
        <v>864</v>
      </c>
      <c r="C59" s="17" t="s">
        <v>865</v>
      </c>
      <c r="D59">
        <v>1172</v>
      </c>
      <c r="E59">
        <v>1349</v>
      </c>
      <c r="F59">
        <v>1395</v>
      </c>
      <c r="G59">
        <f>VLOOKUP(Table55[[#This Row],[Shortname]], Comp[], 6, FALSE)</f>
        <v>112</v>
      </c>
      <c r="H59" s="14">
        <f>VLOOKUP(Table55[[#This Row],[Shortname]], Comp[], 7, FALSE)</f>
        <v>49</v>
      </c>
      <c r="I59">
        <f>VLOOKUP(Table55[[#This Row],[Shortname]], Comp[], 8, FALSE)</f>
        <v>30</v>
      </c>
      <c r="J59">
        <f>VLOOKUP(Table55[[#This Row],[Shortname]], Comp[], 9, FALSE)</f>
        <v>10</v>
      </c>
      <c r="K59">
        <f>VLOOKUP(Table55[[#This Row],[Shortname]], Comp[], 10, FALSE)</f>
        <v>0</v>
      </c>
      <c r="L59">
        <f>VLOOKUP(Table55[[#This Row],[Shortname]], Comp[], 11, FALSE)</f>
        <v>0</v>
      </c>
      <c r="M59">
        <f>VLOOKUP(Table55[[#This Row],[Shortname]], Comp[],12, FALSE)</f>
        <v>2</v>
      </c>
      <c r="N59">
        <f>VLOOKUP(Table55[[#This Row],[Shortname]], Comp[], 13, FALSE)</f>
        <v>4</v>
      </c>
      <c r="O59">
        <f>VLOOKUP(Table55[[#This Row],[Shortname]], Comp[], 14, FALSE)</f>
        <v>0</v>
      </c>
      <c r="P59">
        <f>VLOOKUP(Table55[[#This Row],[Shortname]], Comp[], 15, FALSE)</f>
        <v>5</v>
      </c>
      <c r="Q59">
        <f>VLOOKUP(Table55[[#This Row],[Shortname]], Comp[], 16, FALSE)</f>
        <v>0</v>
      </c>
      <c r="R59">
        <f>VLOOKUP(Table55[[#This Row],[Shortname]], Comp[], 17, FALSE)</f>
        <v>0</v>
      </c>
      <c r="S59">
        <f>VLOOKUP(Table55[[#This Row],[Shortname]], Comp[], 18, FALSE)</f>
        <v>0</v>
      </c>
      <c r="T59">
        <f>VLOOKUP(Table55[[#This Row],[Shortname]], Comp[], 19, FALSE)</f>
        <v>0</v>
      </c>
      <c r="U59">
        <f>VLOOKUP(Table55[[#This Row],[Shortname]], Comp[], 20, FALSE)</f>
        <v>0</v>
      </c>
      <c r="V59">
        <f>VLOOKUP(Table55[[#This Row],[Shortname]], Comp[], 21, FALSE)</f>
        <v>0</v>
      </c>
      <c r="W59">
        <f>VLOOKUP(Table55[[#This Row],[Shortname]], Comp[], 22, FALSE)</f>
        <v>0</v>
      </c>
      <c r="X59">
        <f>VLOOKUP(Table55[[#This Row],[Shortname]], Comp[], 23, FALSE)</f>
        <v>0</v>
      </c>
      <c r="Y59">
        <f>VLOOKUP(Table55[[#This Row],[Shortname]], Comp[], 24, FALSE)</f>
        <v>0</v>
      </c>
      <c r="Z59">
        <f>VLOOKUP(Table55[[#This Row],[Shortname]], Comp[], 25, FALSE)</f>
        <v>0</v>
      </c>
      <c r="AA59">
        <f>VLOOKUP(Table55[[#This Row],[Shortname]], Comp[], 26, FALSE)</f>
        <v>0</v>
      </c>
      <c r="AB59">
        <f>VLOOKUP(Table55[[#This Row],[Shortname]], Comp[], 27, FALSE)</f>
        <v>0</v>
      </c>
      <c r="AC59">
        <f>VLOOKUP(Table55[[#This Row],[Shortname]], Comp[], 28, FALSE)</f>
        <v>0</v>
      </c>
      <c r="AD59">
        <f>VLOOKUP(Table55[[#This Row],[Shortname]], Comp[], 29, FALSE)</f>
        <v>0</v>
      </c>
      <c r="AE59">
        <f>VLOOKUP(Table55[[#This Row],[Shortname]], Comp[], 30, FALSE)</f>
        <v>0</v>
      </c>
      <c r="AF59">
        <f>VLOOKUP(Table55[[#This Row],[Shortname]], Comp[], 31, FALSE)</f>
        <v>0</v>
      </c>
    </row>
    <row r="60" spans="1:32" x14ac:dyDescent="0.3">
      <c r="A60" t="s">
        <v>854</v>
      </c>
      <c r="B60" t="s">
        <v>856</v>
      </c>
      <c r="C60" s="17" t="s">
        <v>857</v>
      </c>
      <c r="D60">
        <v>1148</v>
      </c>
      <c r="E60">
        <v>1349</v>
      </c>
      <c r="F60">
        <v>1395</v>
      </c>
      <c r="G60">
        <f>VLOOKUP(Table55[[#This Row],[Shortname]], Comp[], 6, FALSE)</f>
        <v>110</v>
      </c>
      <c r="H60" s="14">
        <f>VLOOKUP(Table55[[#This Row],[Shortname]], Comp[], 7, FALSE)</f>
        <v>51</v>
      </c>
      <c r="I60">
        <f>VLOOKUP(Table55[[#This Row],[Shortname]], Comp[], 8, FALSE)</f>
        <v>30</v>
      </c>
      <c r="J60">
        <f>VLOOKUP(Table55[[#This Row],[Shortname]], Comp[], 9, FALSE)</f>
        <v>7.5</v>
      </c>
      <c r="K60">
        <f>VLOOKUP(Table55[[#This Row],[Shortname]], Comp[], 10, FALSE)</f>
        <v>0</v>
      </c>
      <c r="L60">
        <f>VLOOKUP(Table55[[#This Row],[Shortname]], Comp[], 11, FALSE)</f>
        <v>0</v>
      </c>
      <c r="M60">
        <f>VLOOKUP(Table55[[#This Row],[Shortname]], Comp[],12, FALSE)</f>
        <v>0</v>
      </c>
      <c r="N60">
        <f>VLOOKUP(Table55[[#This Row],[Shortname]], Comp[], 13, FALSE)</f>
        <v>4</v>
      </c>
      <c r="O60">
        <f>VLOOKUP(Table55[[#This Row],[Shortname]], Comp[], 14, FALSE)</f>
        <v>0</v>
      </c>
      <c r="P60">
        <f>VLOOKUP(Table55[[#This Row],[Shortname]], Comp[], 15, FALSE)</f>
        <v>7.5</v>
      </c>
      <c r="Q60">
        <f>VLOOKUP(Table55[[#This Row],[Shortname]], Comp[], 16, FALSE)</f>
        <v>0</v>
      </c>
      <c r="R60">
        <f>VLOOKUP(Table55[[#This Row],[Shortname]], Comp[], 17, FALSE)</f>
        <v>0</v>
      </c>
      <c r="S60">
        <f>VLOOKUP(Table55[[#This Row],[Shortname]], Comp[], 18, FALSE)</f>
        <v>0</v>
      </c>
      <c r="T60">
        <f>VLOOKUP(Table55[[#This Row],[Shortname]], Comp[], 19, FALSE)</f>
        <v>0</v>
      </c>
      <c r="U60">
        <f>VLOOKUP(Table55[[#This Row],[Shortname]], Comp[], 20, FALSE)</f>
        <v>0</v>
      </c>
      <c r="V60">
        <f>VLOOKUP(Table55[[#This Row],[Shortname]], Comp[], 21, FALSE)</f>
        <v>0</v>
      </c>
      <c r="W60">
        <f>VLOOKUP(Table55[[#This Row],[Shortname]], Comp[], 22, FALSE)</f>
        <v>0</v>
      </c>
      <c r="X60">
        <f>VLOOKUP(Table55[[#This Row],[Shortname]], Comp[], 23, FALSE)</f>
        <v>0</v>
      </c>
      <c r="Y60">
        <f>VLOOKUP(Table55[[#This Row],[Shortname]], Comp[], 24, FALSE)</f>
        <v>0</v>
      </c>
      <c r="Z60">
        <f>VLOOKUP(Table55[[#This Row],[Shortname]], Comp[], 25, FALSE)</f>
        <v>0</v>
      </c>
      <c r="AA60">
        <f>VLOOKUP(Table55[[#This Row],[Shortname]], Comp[], 26, FALSE)</f>
        <v>0</v>
      </c>
      <c r="AB60">
        <f>VLOOKUP(Table55[[#This Row],[Shortname]], Comp[], 27, FALSE)</f>
        <v>0</v>
      </c>
      <c r="AC60">
        <f>VLOOKUP(Table55[[#This Row],[Shortname]], Comp[], 28, FALSE)</f>
        <v>0</v>
      </c>
      <c r="AD60">
        <f>VLOOKUP(Table55[[#This Row],[Shortname]], Comp[], 29, FALSE)</f>
        <v>0</v>
      </c>
      <c r="AE60">
        <f>VLOOKUP(Table55[[#This Row],[Shortname]], Comp[], 30, FALSE)</f>
        <v>0</v>
      </c>
      <c r="AF60">
        <f>VLOOKUP(Table55[[#This Row],[Shortname]], Comp[], 31, FALSE)</f>
        <v>0</v>
      </c>
    </row>
    <row r="61" spans="1:32" x14ac:dyDescent="0.3">
      <c r="A61" t="s">
        <v>845</v>
      </c>
      <c r="B61" t="s">
        <v>847</v>
      </c>
      <c r="C61" s="17" t="s">
        <v>848</v>
      </c>
      <c r="D61">
        <v>1119</v>
      </c>
      <c r="E61">
        <v>1349</v>
      </c>
      <c r="F61">
        <v>1395</v>
      </c>
      <c r="G61">
        <f>VLOOKUP(Table55[[#This Row],[Shortname]], Comp[], 6, FALSE)</f>
        <v>109</v>
      </c>
      <c r="H61" s="14">
        <f>VLOOKUP(Table55[[#This Row],[Shortname]], Comp[], 7, FALSE)</f>
        <v>51</v>
      </c>
      <c r="I61">
        <f>VLOOKUP(Table55[[#This Row],[Shortname]], Comp[], 8, FALSE)</f>
        <v>30</v>
      </c>
      <c r="J61">
        <f>VLOOKUP(Table55[[#This Row],[Shortname]], Comp[], 9, FALSE)</f>
        <v>5</v>
      </c>
      <c r="K61">
        <f>VLOOKUP(Table55[[#This Row],[Shortname]], Comp[], 10, FALSE)</f>
        <v>0</v>
      </c>
      <c r="L61">
        <f>VLOOKUP(Table55[[#This Row],[Shortname]], Comp[], 11, FALSE)</f>
        <v>0</v>
      </c>
      <c r="M61">
        <f>VLOOKUP(Table55[[#This Row],[Shortname]], Comp[],12, FALSE)</f>
        <v>0</v>
      </c>
      <c r="N61">
        <f>VLOOKUP(Table55[[#This Row],[Shortname]], Comp[], 13, FALSE)</f>
        <v>4</v>
      </c>
      <c r="O61">
        <f>VLOOKUP(Table55[[#This Row],[Shortname]], Comp[], 14, FALSE)</f>
        <v>0</v>
      </c>
      <c r="P61">
        <f>VLOOKUP(Table55[[#This Row],[Shortname]], Comp[], 15, FALSE)</f>
        <v>10</v>
      </c>
      <c r="Q61">
        <f>VLOOKUP(Table55[[#This Row],[Shortname]], Comp[], 16, FALSE)</f>
        <v>0</v>
      </c>
      <c r="R61">
        <f>VLOOKUP(Table55[[#This Row],[Shortname]], Comp[], 17, FALSE)</f>
        <v>0</v>
      </c>
      <c r="S61">
        <f>VLOOKUP(Table55[[#This Row],[Shortname]], Comp[], 18, FALSE)</f>
        <v>0</v>
      </c>
      <c r="T61">
        <f>VLOOKUP(Table55[[#This Row],[Shortname]], Comp[], 19, FALSE)</f>
        <v>0</v>
      </c>
      <c r="U61">
        <f>VLOOKUP(Table55[[#This Row],[Shortname]], Comp[], 20, FALSE)</f>
        <v>0</v>
      </c>
      <c r="V61">
        <f>VLOOKUP(Table55[[#This Row],[Shortname]], Comp[], 21, FALSE)</f>
        <v>0</v>
      </c>
      <c r="W61">
        <f>VLOOKUP(Table55[[#This Row],[Shortname]], Comp[], 22, FALSE)</f>
        <v>0</v>
      </c>
      <c r="X61">
        <f>VLOOKUP(Table55[[#This Row],[Shortname]], Comp[], 23, FALSE)</f>
        <v>0</v>
      </c>
      <c r="Y61">
        <f>VLOOKUP(Table55[[#This Row],[Shortname]], Comp[], 24, FALSE)</f>
        <v>0</v>
      </c>
      <c r="Z61">
        <f>VLOOKUP(Table55[[#This Row],[Shortname]], Comp[], 25, FALSE)</f>
        <v>0</v>
      </c>
      <c r="AA61">
        <f>VLOOKUP(Table55[[#This Row],[Shortname]], Comp[], 26, FALSE)</f>
        <v>0</v>
      </c>
      <c r="AB61">
        <f>VLOOKUP(Table55[[#This Row],[Shortname]], Comp[], 27, FALSE)</f>
        <v>0</v>
      </c>
      <c r="AC61">
        <f>VLOOKUP(Table55[[#This Row],[Shortname]], Comp[], 28, FALSE)</f>
        <v>0</v>
      </c>
      <c r="AD61">
        <f>VLOOKUP(Table55[[#This Row],[Shortname]], Comp[], 29, FALSE)</f>
        <v>0</v>
      </c>
      <c r="AE61">
        <f>VLOOKUP(Table55[[#This Row],[Shortname]], Comp[], 30, FALSE)</f>
        <v>0</v>
      </c>
      <c r="AF61">
        <f>VLOOKUP(Table55[[#This Row],[Shortname]], Comp[], 31, FALSE)</f>
        <v>0</v>
      </c>
    </row>
    <row r="62" spans="1:32" x14ac:dyDescent="0.3">
      <c r="A62" t="s">
        <v>802</v>
      </c>
      <c r="B62" t="s">
        <v>804</v>
      </c>
      <c r="C62" s="17" t="s">
        <v>805</v>
      </c>
      <c r="D62">
        <v>1070</v>
      </c>
      <c r="E62">
        <v>1354</v>
      </c>
      <c r="F62">
        <v>1411</v>
      </c>
      <c r="G62">
        <f>VLOOKUP(Table55[[#This Row],[Shortname]], Comp[], 6, FALSE)</f>
        <v>103</v>
      </c>
      <c r="H62" s="14">
        <f>VLOOKUP(Table55[[#This Row],[Shortname]], Comp[], 7, FALSE)</f>
        <v>79</v>
      </c>
      <c r="I62">
        <f>VLOOKUP(Table55[[#This Row],[Shortname]], Comp[], 8, FALSE)</f>
        <v>0</v>
      </c>
      <c r="J62">
        <f>VLOOKUP(Table55[[#This Row],[Shortname]], Comp[], 9, FALSE)</f>
        <v>5</v>
      </c>
      <c r="K62">
        <f>VLOOKUP(Table55[[#This Row],[Shortname]], Comp[], 10, FALSE)</f>
        <v>0</v>
      </c>
      <c r="L62">
        <f>VLOOKUP(Table55[[#This Row],[Shortname]], Comp[], 11, FALSE)</f>
        <v>0</v>
      </c>
      <c r="M62">
        <f>VLOOKUP(Table55[[#This Row],[Shortname]], Comp[],12, FALSE)</f>
        <v>0</v>
      </c>
      <c r="N62">
        <f>VLOOKUP(Table55[[#This Row],[Shortname]], Comp[], 13, FALSE)</f>
        <v>2</v>
      </c>
      <c r="O62">
        <f>VLOOKUP(Table55[[#This Row],[Shortname]], Comp[], 14, FALSE)</f>
        <v>0</v>
      </c>
      <c r="P62">
        <f>VLOOKUP(Table55[[#This Row],[Shortname]], Comp[], 15, FALSE)</f>
        <v>14</v>
      </c>
      <c r="Q62">
        <f>VLOOKUP(Table55[[#This Row],[Shortname]], Comp[], 16, FALSE)</f>
        <v>0</v>
      </c>
      <c r="R62">
        <f>VLOOKUP(Table55[[#This Row],[Shortname]], Comp[], 17, FALSE)</f>
        <v>0</v>
      </c>
      <c r="S62">
        <f>VLOOKUP(Table55[[#This Row],[Shortname]], Comp[], 18, FALSE)</f>
        <v>0</v>
      </c>
      <c r="T62">
        <f>VLOOKUP(Table55[[#This Row],[Shortname]], Comp[], 19, FALSE)</f>
        <v>0</v>
      </c>
      <c r="U62">
        <f>VLOOKUP(Table55[[#This Row],[Shortname]], Comp[], 20, FALSE)</f>
        <v>0</v>
      </c>
      <c r="V62">
        <f>VLOOKUP(Table55[[#This Row],[Shortname]], Comp[], 21, FALSE)</f>
        <v>0</v>
      </c>
      <c r="W62">
        <f>VLOOKUP(Table55[[#This Row],[Shortname]], Comp[], 22, FALSE)</f>
        <v>0</v>
      </c>
      <c r="X62">
        <f>VLOOKUP(Table55[[#This Row],[Shortname]], Comp[], 23, FALSE)</f>
        <v>0</v>
      </c>
      <c r="Y62">
        <f>VLOOKUP(Table55[[#This Row],[Shortname]], Comp[], 24, FALSE)</f>
        <v>0</v>
      </c>
      <c r="Z62">
        <f>VLOOKUP(Table55[[#This Row],[Shortname]], Comp[], 25, FALSE)</f>
        <v>0</v>
      </c>
      <c r="AA62">
        <f>VLOOKUP(Table55[[#This Row],[Shortname]], Comp[], 26, FALSE)</f>
        <v>0</v>
      </c>
      <c r="AB62">
        <f>VLOOKUP(Table55[[#This Row],[Shortname]], Comp[], 27, FALSE)</f>
        <v>0</v>
      </c>
      <c r="AC62">
        <f>VLOOKUP(Table55[[#This Row],[Shortname]], Comp[], 28, FALSE)</f>
        <v>0</v>
      </c>
      <c r="AD62">
        <f>VLOOKUP(Table55[[#This Row],[Shortname]], Comp[], 29, FALSE)</f>
        <v>0</v>
      </c>
      <c r="AE62">
        <f>VLOOKUP(Table55[[#This Row],[Shortname]], Comp[], 30, FALSE)</f>
        <v>0</v>
      </c>
      <c r="AF62">
        <f>VLOOKUP(Table55[[#This Row],[Shortname]], Comp[], 31, FALSE)</f>
        <v>0</v>
      </c>
    </row>
    <row r="63" spans="1:32" x14ac:dyDescent="0.3">
      <c r="A63" t="s">
        <v>838</v>
      </c>
      <c r="B63" t="s">
        <v>840</v>
      </c>
      <c r="C63" s="17" t="s">
        <v>841</v>
      </c>
      <c r="D63">
        <v>1032</v>
      </c>
      <c r="E63">
        <v>1408</v>
      </c>
      <c r="F63">
        <v>1429</v>
      </c>
      <c r="G63">
        <f>VLOOKUP(Table55[[#This Row],[Shortname]], Comp[], 6, FALSE)</f>
        <v>108</v>
      </c>
      <c r="H63" s="14">
        <f>VLOOKUP(Table55[[#This Row],[Shortname]], Comp[], 7, FALSE)</f>
        <v>50</v>
      </c>
      <c r="I63">
        <f>VLOOKUP(Table55[[#This Row],[Shortname]], Comp[], 8, FALSE)</f>
        <v>30</v>
      </c>
      <c r="J63">
        <f>VLOOKUP(Table55[[#This Row],[Shortname]], Comp[], 9, FALSE)</f>
        <v>8</v>
      </c>
      <c r="K63">
        <f>VLOOKUP(Table55[[#This Row],[Shortname]], Comp[], 10, FALSE)</f>
        <v>0</v>
      </c>
      <c r="L63">
        <f>VLOOKUP(Table55[[#This Row],[Shortname]], Comp[], 11, FALSE)</f>
        <v>0</v>
      </c>
      <c r="M63">
        <f>VLOOKUP(Table55[[#This Row],[Shortname]], Comp[],12, FALSE)</f>
        <v>0</v>
      </c>
      <c r="N63">
        <f>VLOOKUP(Table55[[#This Row],[Shortname]], Comp[], 13, FALSE)</f>
        <v>0</v>
      </c>
      <c r="O63">
        <f>VLOOKUP(Table55[[#This Row],[Shortname]], Comp[], 14, FALSE)</f>
        <v>0</v>
      </c>
      <c r="P63">
        <f>VLOOKUP(Table55[[#This Row],[Shortname]], Comp[], 15, FALSE)</f>
        <v>12</v>
      </c>
      <c r="Q63">
        <f>VLOOKUP(Table55[[#This Row],[Shortname]], Comp[], 16, FALSE)</f>
        <v>0</v>
      </c>
      <c r="R63">
        <f>VLOOKUP(Table55[[#This Row],[Shortname]], Comp[], 17, FALSE)</f>
        <v>0</v>
      </c>
      <c r="S63">
        <f>VLOOKUP(Table55[[#This Row],[Shortname]], Comp[], 18, FALSE)</f>
        <v>0</v>
      </c>
      <c r="T63">
        <f>VLOOKUP(Table55[[#This Row],[Shortname]], Comp[], 19, FALSE)</f>
        <v>0</v>
      </c>
      <c r="U63">
        <f>VLOOKUP(Table55[[#This Row],[Shortname]], Comp[], 20, FALSE)</f>
        <v>0</v>
      </c>
      <c r="V63">
        <f>VLOOKUP(Table55[[#This Row],[Shortname]], Comp[], 21, FALSE)</f>
        <v>0</v>
      </c>
      <c r="W63">
        <f>VLOOKUP(Table55[[#This Row],[Shortname]], Comp[], 22, FALSE)</f>
        <v>0</v>
      </c>
      <c r="X63">
        <f>VLOOKUP(Table55[[#This Row],[Shortname]], Comp[], 23, FALSE)</f>
        <v>0</v>
      </c>
      <c r="Y63">
        <f>VLOOKUP(Table55[[#This Row],[Shortname]], Comp[], 24, FALSE)</f>
        <v>0</v>
      </c>
      <c r="Z63">
        <f>VLOOKUP(Table55[[#This Row],[Shortname]], Comp[], 25, FALSE)</f>
        <v>0</v>
      </c>
      <c r="AA63">
        <f>VLOOKUP(Table55[[#This Row],[Shortname]], Comp[], 26, FALSE)</f>
        <v>0</v>
      </c>
      <c r="AB63">
        <f>VLOOKUP(Table55[[#This Row],[Shortname]], Comp[], 27, FALSE)</f>
        <v>0</v>
      </c>
      <c r="AC63">
        <f>VLOOKUP(Table55[[#This Row],[Shortname]], Comp[], 28, FALSE)</f>
        <v>0</v>
      </c>
      <c r="AD63">
        <f>VLOOKUP(Table55[[#This Row],[Shortname]], Comp[], 29, FALSE)</f>
        <v>0</v>
      </c>
      <c r="AE63">
        <f>VLOOKUP(Table55[[#This Row],[Shortname]], Comp[], 30, FALSE)</f>
        <v>0</v>
      </c>
      <c r="AF63">
        <f>VLOOKUP(Table55[[#This Row],[Shortname]], Comp[], 31, FALSE)</f>
        <v>0</v>
      </c>
    </row>
    <row r="64" spans="1:32" x14ac:dyDescent="0.3">
      <c r="A64" t="s">
        <v>786</v>
      </c>
      <c r="B64" t="s">
        <v>788</v>
      </c>
      <c r="C64" s="17" t="s">
        <v>789</v>
      </c>
      <c r="D64">
        <v>1032</v>
      </c>
      <c r="E64">
        <v>1309</v>
      </c>
      <c r="F64">
        <v>1309</v>
      </c>
      <c r="G64">
        <f>VLOOKUP(Table55[[#This Row],[Shortname]], Comp[], 6, FALSE)</f>
        <v>101</v>
      </c>
      <c r="H64" s="14">
        <f>VLOOKUP(Table55[[#This Row],[Shortname]], Comp[], 7, FALSE)</f>
        <v>79</v>
      </c>
      <c r="I64">
        <f>VLOOKUP(Table55[[#This Row],[Shortname]], Comp[], 8, FALSE)</f>
        <v>0</v>
      </c>
      <c r="J64">
        <f>VLOOKUP(Table55[[#This Row],[Shortname]], Comp[], 9, FALSE)</f>
        <v>5</v>
      </c>
      <c r="K64">
        <f>VLOOKUP(Table55[[#This Row],[Shortname]], Comp[], 10, FALSE)</f>
        <v>0</v>
      </c>
      <c r="L64">
        <f>VLOOKUP(Table55[[#This Row],[Shortname]], Comp[], 11, FALSE)</f>
        <v>0</v>
      </c>
      <c r="M64">
        <f>VLOOKUP(Table55[[#This Row],[Shortname]], Comp[],12, FALSE)</f>
        <v>0</v>
      </c>
      <c r="N64">
        <f>VLOOKUP(Table55[[#This Row],[Shortname]], Comp[], 13, FALSE)</f>
        <v>0</v>
      </c>
      <c r="O64">
        <f>VLOOKUP(Table55[[#This Row],[Shortname]], Comp[], 14, FALSE)</f>
        <v>2</v>
      </c>
      <c r="P64">
        <f>VLOOKUP(Table55[[#This Row],[Shortname]], Comp[], 15, FALSE)</f>
        <v>14</v>
      </c>
      <c r="Q64">
        <f>VLOOKUP(Table55[[#This Row],[Shortname]], Comp[], 16, FALSE)</f>
        <v>0</v>
      </c>
      <c r="R64">
        <f>VLOOKUP(Table55[[#This Row],[Shortname]], Comp[], 17, FALSE)</f>
        <v>0</v>
      </c>
      <c r="S64">
        <f>VLOOKUP(Table55[[#This Row],[Shortname]], Comp[], 18, FALSE)</f>
        <v>0</v>
      </c>
      <c r="T64">
        <f>VLOOKUP(Table55[[#This Row],[Shortname]], Comp[], 19, FALSE)</f>
        <v>0</v>
      </c>
      <c r="U64">
        <f>VLOOKUP(Table55[[#This Row],[Shortname]], Comp[], 20, FALSE)</f>
        <v>0</v>
      </c>
      <c r="V64">
        <f>VLOOKUP(Table55[[#This Row],[Shortname]], Comp[], 21, FALSE)</f>
        <v>0</v>
      </c>
      <c r="W64">
        <f>VLOOKUP(Table55[[#This Row],[Shortname]], Comp[], 22, FALSE)</f>
        <v>0</v>
      </c>
      <c r="X64">
        <f>VLOOKUP(Table55[[#This Row],[Shortname]], Comp[], 23, FALSE)</f>
        <v>0</v>
      </c>
      <c r="Y64">
        <f>VLOOKUP(Table55[[#This Row],[Shortname]], Comp[], 24, FALSE)</f>
        <v>0</v>
      </c>
      <c r="Z64">
        <f>VLOOKUP(Table55[[#This Row],[Shortname]], Comp[], 25, FALSE)</f>
        <v>0</v>
      </c>
      <c r="AA64">
        <f>VLOOKUP(Table55[[#This Row],[Shortname]], Comp[], 26, FALSE)</f>
        <v>0</v>
      </c>
      <c r="AB64">
        <f>VLOOKUP(Table55[[#This Row],[Shortname]], Comp[], 27, FALSE)</f>
        <v>0</v>
      </c>
      <c r="AC64">
        <f>VLOOKUP(Table55[[#This Row],[Shortname]], Comp[], 28, FALSE)</f>
        <v>0</v>
      </c>
      <c r="AD64">
        <f>VLOOKUP(Table55[[#This Row],[Shortname]], Comp[], 29, FALSE)</f>
        <v>0</v>
      </c>
      <c r="AE64">
        <f>VLOOKUP(Table55[[#This Row],[Shortname]], Comp[], 30, FALSE)</f>
        <v>0</v>
      </c>
      <c r="AF64">
        <f>VLOOKUP(Table55[[#This Row],[Shortname]], Comp[], 31, FALSE)</f>
        <v>0</v>
      </c>
    </row>
    <row r="65" spans="1:32" x14ac:dyDescent="0.3">
      <c r="A65" t="s">
        <v>730</v>
      </c>
      <c r="B65" t="s">
        <v>732</v>
      </c>
      <c r="C65" s="17" t="s">
        <v>733</v>
      </c>
      <c r="D65">
        <v>1022</v>
      </c>
      <c r="E65">
        <v>1338</v>
      </c>
      <c r="F65">
        <v>1394</v>
      </c>
      <c r="G65">
        <f>VLOOKUP(Table55[[#This Row],[Shortname]], Comp[], 6, FALSE)</f>
        <v>93</v>
      </c>
      <c r="H65" s="14">
        <f>VLOOKUP(Table55[[#This Row],[Shortname]], Comp[], 7, FALSE)</f>
        <v>79</v>
      </c>
      <c r="I65">
        <f>VLOOKUP(Table55[[#This Row],[Shortname]], Comp[], 8, FALSE)</f>
        <v>0</v>
      </c>
      <c r="J65">
        <f>VLOOKUP(Table55[[#This Row],[Shortname]], Comp[], 9, FALSE)</f>
        <v>5</v>
      </c>
      <c r="K65">
        <f>VLOOKUP(Table55[[#This Row],[Shortname]], Comp[], 10, FALSE)</f>
        <v>0</v>
      </c>
      <c r="L65">
        <f>VLOOKUP(Table55[[#This Row],[Shortname]], Comp[], 11, FALSE)</f>
        <v>0</v>
      </c>
      <c r="M65">
        <f>VLOOKUP(Table55[[#This Row],[Shortname]], Comp[],12, FALSE)</f>
        <v>2</v>
      </c>
      <c r="N65">
        <f>VLOOKUP(Table55[[#This Row],[Shortname]], Comp[], 13, FALSE)</f>
        <v>0</v>
      </c>
      <c r="O65">
        <f>VLOOKUP(Table55[[#This Row],[Shortname]], Comp[], 14, FALSE)</f>
        <v>0</v>
      </c>
      <c r="P65">
        <f>VLOOKUP(Table55[[#This Row],[Shortname]], Comp[], 15, FALSE)</f>
        <v>14</v>
      </c>
      <c r="Q65">
        <f>VLOOKUP(Table55[[#This Row],[Shortname]], Comp[], 16, FALSE)</f>
        <v>0</v>
      </c>
      <c r="R65">
        <f>VLOOKUP(Table55[[#This Row],[Shortname]], Comp[], 17, FALSE)</f>
        <v>0</v>
      </c>
      <c r="S65">
        <f>VLOOKUP(Table55[[#This Row],[Shortname]], Comp[], 18, FALSE)</f>
        <v>0</v>
      </c>
      <c r="T65">
        <f>VLOOKUP(Table55[[#This Row],[Shortname]], Comp[], 19, FALSE)</f>
        <v>0</v>
      </c>
      <c r="U65">
        <f>VLOOKUP(Table55[[#This Row],[Shortname]], Comp[], 20, FALSE)</f>
        <v>0</v>
      </c>
      <c r="V65">
        <f>VLOOKUP(Table55[[#This Row],[Shortname]], Comp[], 21, FALSE)</f>
        <v>0</v>
      </c>
      <c r="W65">
        <f>VLOOKUP(Table55[[#This Row],[Shortname]], Comp[], 22, FALSE)</f>
        <v>0</v>
      </c>
      <c r="X65">
        <f>VLOOKUP(Table55[[#This Row],[Shortname]], Comp[], 23, FALSE)</f>
        <v>0</v>
      </c>
      <c r="Y65">
        <f>VLOOKUP(Table55[[#This Row],[Shortname]], Comp[], 24, FALSE)</f>
        <v>0</v>
      </c>
      <c r="Z65">
        <f>VLOOKUP(Table55[[#This Row],[Shortname]], Comp[], 25, FALSE)</f>
        <v>0</v>
      </c>
      <c r="AA65">
        <f>VLOOKUP(Table55[[#This Row],[Shortname]], Comp[], 26, FALSE)</f>
        <v>0</v>
      </c>
      <c r="AB65">
        <f>VLOOKUP(Table55[[#This Row],[Shortname]], Comp[], 27, FALSE)</f>
        <v>0</v>
      </c>
      <c r="AC65">
        <f>VLOOKUP(Table55[[#This Row],[Shortname]], Comp[], 28, FALSE)</f>
        <v>0</v>
      </c>
      <c r="AD65">
        <f>VLOOKUP(Table55[[#This Row],[Shortname]], Comp[], 29, FALSE)</f>
        <v>0</v>
      </c>
      <c r="AE65">
        <f>VLOOKUP(Table55[[#This Row],[Shortname]], Comp[], 30, FALSE)</f>
        <v>0</v>
      </c>
      <c r="AF65">
        <f>VLOOKUP(Table55[[#This Row],[Shortname]], Comp[], 31, FALSE)</f>
        <v>0</v>
      </c>
    </row>
    <row r="66" spans="1:32" x14ac:dyDescent="0.3">
      <c r="A66" t="s">
        <v>809</v>
      </c>
      <c r="B66" t="s">
        <v>811</v>
      </c>
      <c r="C66" s="17" t="s">
        <v>812</v>
      </c>
      <c r="D66">
        <v>1003</v>
      </c>
      <c r="E66">
        <v>1412</v>
      </c>
      <c r="F66">
        <v>1445</v>
      </c>
      <c r="G66">
        <f>VLOOKUP(Table55[[#This Row],[Shortname]], Comp[], 6, FALSE)</f>
        <v>104</v>
      </c>
      <c r="H66" s="14">
        <f>VLOOKUP(Table55[[#This Row],[Shortname]], Comp[], 7, FALSE)</f>
        <v>79</v>
      </c>
      <c r="I66">
        <f>VLOOKUP(Table55[[#This Row],[Shortname]], Comp[], 8, FALSE)</f>
        <v>0</v>
      </c>
      <c r="J66">
        <f>VLOOKUP(Table55[[#This Row],[Shortname]], Comp[], 9, FALSE)</f>
        <v>5</v>
      </c>
      <c r="K66">
        <f>VLOOKUP(Table55[[#This Row],[Shortname]], Comp[], 10, FALSE)</f>
        <v>0</v>
      </c>
      <c r="L66">
        <f>VLOOKUP(Table55[[#This Row],[Shortname]], Comp[], 11, FALSE)</f>
        <v>2</v>
      </c>
      <c r="M66">
        <f>VLOOKUP(Table55[[#This Row],[Shortname]], Comp[],12, FALSE)</f>
        <v>0</v>
      </c>
      <c r="N66">
        <f>VLOOKUP(Table55[[#This Row],[Shortname]], Comp[], 13, FALSE)</f>
        <v>0</v>
      </c>
      <c r="O66">
        <f>VLOOKUP(Table55[[#This Row],[Shortname]], Comp[], 14, FALSE)</f>
        <v>0</v>
      </c>
      <c r="P66">
        <f>VLOOKUP(Table55[[#This Row],[Shortname]], Comp[], 15, FALSE)</f>
        <v>14</v>
      </c>
      <c r="Q66">
        <f>VLOOKUP(Table55[[#This Row],[Shortname]], Comp[], 16, FALSE)</f>
        <v>0</v>
      </c>
      <c r="R66">
        <f>VLOOKUP(Table55[[#This Row],[Shortname]], Comp[], 17, FALSE)</f>
        <v>0</v>
      </c>
      <c r="S66">
        <f>VLOOKUP(Table55[[#This Row],[Shortname]], Comp[], 18, FALSE)</f>
        <v>0</v>
      </c>
      <c r="T66">
        <f>VLOOKUP(Table55[[#This Row],[Shortname]], Comp[], 19, FALSE)</f>
        <v>0</v>
      </c>
      <c r="U66">
        <f>VLOOKUP(Table55[[#This Row],[Shortname]], Comp[], 20, FALSE)</f>
        <v>0</v>
      </c>
      <c r="V66">
        <f>VLOOKUP(Table55[[#This Row],[Shortname]], Comp[], 21, FALSE)</f>
        <v>0</v>
      </c>
      <c r="W66">
        <f>VLOOKUP(Table55[[#This Row],[Shortname]], Comp[], 22, FALSE)</f>
        <v>0</v>
      </c>
      <c r="X66">
        <f>VLOOKUP(Table55[[#This Row],[Shortname]], Comp[], 23, FALSE)</f>
        <v>0</v>
      </c>
      <c r="Y66">
        <f>VLOOKUP(Table55[[#This Row],[Shortname]], Comp[], 24, FALSE)</f>
        <v>0</v>
      </c>
      <c r="Z66">
        <f>VLOOKUP(Table55[[#This Row],[Shortname]], Comp[], 25, FALSE)</f>
        <v>0</v>
      </c>
      <c r="AA66">
        <f>VLOOKUP(Table55[[#This Row],[Shortname]], Comp[], 26, FALSE)</f>
        <v>0</v>
      </c>
      <c r="AB66">
        <f>VLOOKUP(Table55[[#This Row],[Shortname]], Comp[], 27, FALSE)</f>
        <v>0</v>
      </c>
      <c r="AC66">
        <f>VLOOKUP(Table55[[#This Row],[Shortname]], Comp[], 28, FALSE)</f>
        <v>0</v>
      </c>
      <c r="AD66">
        <f>VLOOKUP(Table55[[#This Row],[Shortname]], Comp[], 29, FALSE)</f>
        <v>0</v>
      </c>
      <c r="AE66">
        <f>VLOOKUP(Table55[[#This Row],[Shortname]], Comp[], 30, FALSE)</f>
        <v>0</v>
      </c>
      <c r="AF66">
        <f>VLOOKUP(Table55[[#This Row],[Shortname]], Comp[], 31, FALSE)</f>
        <v>0</v>
      </c>
    </row>
    <row r="67" spans="1:32" x14ac:dyDescent="0.3">
      <c r="A67" t="s">
        <v>830</v>
      </c>
      <c r="B67" t="s">
        <v>832</v>
      </c>
      <c r="C67" s="17" t="s">
        <v>833</v>
      </c>
      <c r="D67">
        <v>1000</v>
      </c>
      <c r="E67">
        <v>1409</v>
      </c>
      <c r="F67">
        <v>1431</v>
      </c>
      <c r="G67">
        <f>VLOOKUP(Table55[[#This Row],[Shortname]], Comp[], 6, FALSE)</f>
        <v>107</v>
      </c>
      <c r="H67" s="14">
        <f>VLOOKUP(Table55[[#This Row],[Shortname]], Comp[], 7, FALSE)</f>
        <v>60</v>
      </c>
      <c r="I67">
        <f>VLOOKUP(Table55[[#This Row],[Shortname]], Comp[], 8, FALSE)</f>
        <v>20</v>
      </c>
      <c r="J67">
        <f>VLOOKUP(Table55[[#This Row],[Shortname]], Comp[], 9, FALSE)</f>
        <v>8</v>
      </c>
      <c r="K67">
        <f>VLOOKUP(Table55[[#This Row],[Shortname]], Comp[], 10, FALSE)</f>
        <v>0</v>
      </c>
      <c r="L67">
        <f>VLOOKUP(Table55[[#This Row],[Shortname]], Comp[], 11, FALSE)</f>
        <v>0</v>
      </c>
      <c r="M67">
        <f>VLOOKUP(Table55[[#This Row],[Shortname]], Comp[],12, FALSE)</f>
        <v>0</v>
      </c>
      <c r="N67">
        <f>VLOOKUP(Table55[[#This Row],[Shortname]], Comp[], 13, FALSE)</f>
        <v>0</v>
      </c>
      <c r="O67">
        <f>VLOOKUP(Table55[[#This Row],[Shortname]], Comp[], 14, FALSE)</f>
        <v>0</v>
      </c>
      <c r="P67">
        <f>VLOOKUP(Table55[[#This Row],[Shortname]], Comp[], 15, FALSE)</f>
        <v>12</v>
      </c>
      <c r="Q67">
        <f>VLOOKUP(Table55[[#This Row],[Shortname]], Comp[], 16, FALSE)</f>
        <v>0</v>
      </c>
      <c r="R67">
        <f>VLOOKUP(Table55[[#This Row],[Shortname]], Comp[], 17, FALSE)</f>
        <v>0</v>
      </c>
      <c r="S67">
        <f>VLOOKUP(Table55[[#This Row],[Shortname]], Comp[], 18, FALSE)</f>
        <v>0</v>
      </c>
      <c r="T67">
        <f>VLOOKUP(Table55[[#This Row],[Shortname]], Comp[], 19, FALSE)</f>
        <v>0</v>
      </c>
      <c r="U67">
        <f>VLOOKUP(Table55[[#This Row],[Shortname]], Comp[], 20, FALSE)</f>
        <v>0</v>
      </c>
      <c r="V67">
        <f>VLOOKUP(Table55[[#This Row],[Shortname]], Comp[], 21, FALSE)</f>
        <v>0</v>
      </c>
      <c r="W67">
        <f>VLOOKUP(Table55[[#This Row],[Shortname]], Comp[], 22, FALSE)</f>
        <v>0</v>
      </c>
      <c r="X67">
        <f>VLOOKUP(Table55[[#This Row],[Shortname]], Comp[], 23, FALSE)</f>
        <v>0</v>
      </c>
      <c r="Y67">
        <f>VLOOKUP(Table55[[#This Row],[Shortname]], Comp[], 24, FALSE)</f>
        <v>0</v>
      </c>
      <c r="Z67">
        <f>VLOOKUP(Table55[[#This Row],[Shortname]], Comp[], 25, FALSE)</f>
        <v>0</v>
      </c>
      <c r="AA67">
        <f>VLOOKUP(Table55[[#This Row],[Shortname]], Comp[], 26, FALSE)</f>
        <v>0</v>
      </c>
      <c r="AB67">
        <f>VLOOKUP(Table55[[#This Row],[Shortname]], Comp[], 27, FALSE)</f>
        <v>0</v>
      </c>
      <c r="AC67">
        <f>VLOOKUP(Table55[[#This Row],[Shortname]], Comp[], 28, FALSE)</f>
        <v>0</v>
      </c>
      <c r="AD67">
        <f>VLOOKUP(Table55[[#This Row],[Shortname]], Comp[], 29, FALSE)</f>
        <v>0</v>
      </c>
      <c r="AE67">
        <f>VLOOKUP(Table55[[#This Row],[Shortname]], Comp[], 30, FALSE)</f>
        <v>0</v>
      </c>
      <c r="AF67">
        <f>VLOOKUP(Table55[[#This Row],[Shortname]], Comp[], 31, FALSE)</f>
        <v>0</v>
      </c>
    </row>
    <row r="68" spans="1:32" x14ac:dyDescent="0.3">
      <c r="A68" t="s">
        <v>824</v>
      </c>
      <c r="B68" t="s">
        <v>826</v>
      </c>
      <c r="C68" s="17" t="s">
        <v>819</v>
      </c>
      <c r="D68">
        <v>979</v>
      </c>
      <c r="E68">
        <v>1409</v>
      </c>
      <c r="F68">
        <v>1433</v>
      </c>
      <c r="G68">
        <f>VLOOKUP(Table55[[#This Row],[Shortname]], Comp[], 6, FALSE)</f>
        <v>106</v>
      </c>
      <c r="H68" s="14">
        <f>VLOOKUP(Table55[[#This Row],[Shortname]], Comp[], 7, FALSE)</f>
        <v>70</v>
      </c>
      <c r="I68">
        <f>VLOOKUP(Table55[[#This Row],[Shortname]], Comp[], 8, FALSE)</f>
        <v>10</v>
      </c>
      <c r="J68">
        <f>VLOOKUP(Table55[[#This Row],[Shortname]], Comp[], 9, FALSE)</f>
        <v>8</v>
      </c>
      <c r="K68">
        <f>VLOOKUP(Table55[[#This Row],[Shortname]], Comp[], 10, FALSE)</f>
        <v>0</v>
      </c>
      <c r="L68">
        <f>VLOOKUP(Table55[[#This Row],[Shortname]], Comp[], 11, FALSE)</f>
        <v>0</v>
      </c>
      <c r="M68">
        <f>VLOOKUP(Table55[[#This Row],[Shortname]], Comp[],12, FALSE)</f>
        <v>0</v>
      </c>
      <c r="N68">
        <f>VLOOKUP(Table55[[#This Row],[Shortname]], Comp[], 13, FALSE)</f>
        <v>0</v>
      </c>
      <c r="O68">
        <f>VLOOKUP(Table55[[#This Row],[Shortname]], Comp[], 14, FALSE)</f>
        <v>0</v>
      </c>
      <c r="P68">
        <f>VLOOKUP(Table55[[#This Row],[Shortname]], Comp[], 15, FALSE)</f>
        <v>12</v>
      </c>
      <c r="Q68">
        <f>VLOOKUP(Table55[[#This Row],[Shortname]], Comp[], 16, FALSE)</f>
        <v>0</v>
      </c>
      <c r="R68">
        <f>VLOOKUP(Table55[[#This Row],[Shortname]], Comp[], 17, FALSE)</f>
        <v>0</v>
      </c>
      <c r="S68">
        <f>VLOOKUP(Table55[[#This Row],[Shortname]], Comp[], 18, FALSE)</f>
        <v>0</v>
      </c>
      <c r="T68">
        <f>VLOOKUP(Table55[[#This Row],[Shortname]], Comp[], 19, FALSE)</f>
        <v>0</v>
      </c>
      <c r="U68">
        <f>VLOOKUP(Table55[[#This Row],[Shortname]], Comp[], 20, FALSE)</f>
        <v>0</v>
      </c>
      <c r="V68">
        <f>VLOOKUP(Table55[[#This Row],[Shortname]], Comp[], 21, FALSE)</f>
        <v>0</v>
      </c>
      <c r="W68">
        <f>VLOOKUP(Table55[[#This Row],[Shortname]], Comp[], 22, FALSE)</f>
        <v>0</v>
      </c>
      <c r="X68">
        <f>VLOOKUP(Table55[[#This Row],[Shortname]], Comp[], 23, FALSE)</f>
        <v>0</v>
      </c>
      <c r="Y68">
        <f>VLOOKUP(Table55[[#This Row],[Shortname]], Comp[], 24, FALSE)</f>
        <v>0</v>
      </c>
      <c r="Z68">
        <f>VLOOKUP(Table55[[#This Row],[Shortname]], Comp[], 25, FALSE)</f>
        <v>0</v>
      </c>
      <c r="AA68">
        <f>VLOOKUP(Table55[[#This Row],[Shortname]], Comp[], 26, FALSE)</f>
        <v>0</v>
      </c>
      <c r="AB68">
        <f>VLOOKUP(Table55[[#This Row],[Shortname]], Comp[], 27, FALSE)</f>
        <v>0</v>
      </c>
      <c r="AC68">
        <f>VLOOKUP(Table55[[#This Row],[Shortname]], Comp[], 28, FALSE)</f>
        <v>0</v>
      </c>
      <c r="AD68">
        <f>VLOOKUP(Table55[[#This Row],[Shortname]], Comp[], 29, FALSE)</f>
        <v>0</v>
      </c>
      <c r="AE68">
        <f>VLOOKUP(Table55[[#This Row],[Shortname]], Comp[], 30, FALSE)</f>
        <v>0</v>
      </c>
      <c r="AF68">
        <f>VLOOKUP(Table55[[#This Row],[Shortname]], Comp[], 31, FALSE)</f>
        <v>0</v>
      </c>
    </row>
    <row r="69" spans="1:32" x14ac:dyDescent="0.3">
      <c r="A69" t="s">
        <v>794</v>
      </c>
      <c r="B69" t="s">
        <v>796</v>
      </c>
      <c r="C69" s="17" t="s">
        <v>797</v>
      </c>
      <c r="D69">
        <v>971</v>
      </c>
      <c r="E69">
        <v>1399</v>
      </c>
      <c r="F69">
        <v>1399</v>
      </c>
      <c r="G69">
        <f>VLOOKUP(Table55[[#This Row],[Shortname]], Comp[], 6, FALSE)</f>
        <v>102</v>
      </c>
      <c r="H69" s="14">
        <f>VLOOKUP(Table55[[#This Row],[Shortname]], Comp[], 7, FALSE)</f>
        <v>79</v>
      </c>
      <c r="I69">
        <f>VLOOKUP(Table55[[#This Row],[Shortname]], Comp[], 8, FALSE)</f>
        <v>0</v>
      </c>
      <c r="J69">
        <f>VLOOKUP(Table55[[#This Row],[Shortname]], Comp[], 9, FALSE)</f>
        <v>5</v>
      </c>
      <c r="K69">
        <f>VLOOKUP(Table55[[#This Row],[Shortname]], Comp[], 10, FALSE)</f>
        <v>0</v>
      </c>
      <c r="L69">
        <f>VLOOKUP(Table55[[#This Row],[Shortname]], Comp[], 11, FALSE)</f>
        <v>0</v>
      </c>
      <c r="M69">
        <f>VLOOKUP(Table55[[#This Row],[Shortname]], Comp[],12, FALSE)</f>
        <v>0</v>
      </c>
      <c r="N69">
        <f>VLOOKUP(Table55[[#This Row],[Shortname]], Comp[], 13, FALSE)</f>
        <v>0</v>
      </c>
      <c r="O69">
        <f>VLOOKUP(Table55[[#This Row],[Shortname]], Comp[], 14, FALSE)</f>
        <v>0</v>
      </c>
      <c r="P69">
        <f>VLOOKUP(Table55[[#This Row],[Shortname]], Comp[], 15, FALSE)</f>
        <v>14</v>
      </c>
      <c r="Q69">
        <f>VLOOKUP(Table55[[#This Row],[Shortname]], Comp[], 16, FALSE)</f>
        <v>2</v>
      </c>
      <c r="R69">
        <f>VLOOKUP(Table55[[#This Row],[Shortname]], Comp[], 17, FALSE)</f>
        <v>0</v>
      </c>
      <c r="S69">
        <f>VLOOKUP(Table55[[#This Row],[Shortname]], Comp[], 18, FALSE)</f>
        <v>0</v>
      </c>
      <c r="T69">
        <f>VLOOKUP(Table55[[#This Row],[Shortname]], Comp[], 19, FALSE)</f>
        <v>0</v>
      </c>
      <c r="U69">
        <f>VLOOKUP(Table55[[#This Row],[Shortname]], Comp[], 20, FALSE)</f>
        <v>0</v>
      </c>
      <c r="V69">
        <f>VLOOKUP(Table55[[#This Row],[Shortname]], Comp[], 21, FALSE)</f>
        <v>0</v>
      </c>
      <c r="W69">
        <f>VLOOKUP(Table55[[#This Row],[Shortname]], Comp[], 22, FALSE)</f>
        <v>0</v>
      </c>
      <c r="X69">
        <f>VLOOKUP(Table55[[#This Row],[Shortname]], Comp[], 23, FALSE)</f>
        <v>0</v>
      </c>
      <c r="Y69">
        <f>VLOOKUP(Table55[[#This Row],[Shortname]], Comp[], 24, FALSE)</f>
        <v>0</v>
      </c>
      <c r="Z69">
        <f>VLOOKUP(Table55[[#This Row],[Shortname]], Comp[], 25, FALSE)</f>
        <v>0</v>
      </c>
      <c r="AA69">
        <f>VLOOKUP(Table55[[#This Row],[Shortname]], Comp[], 26, FALSE)</f>
        <v>0</v>
      </c>
      <c r="AB69">
        <f>VLOOKUP(Table55[[#This Row],[Shortname]], Comp[], 27, FALSE)</f>
        <v>0</v>
      </c>
      <c r="AC69">
        <f>VLOOKUP(Table55[[#This Row],[Shortname]], Comp[], 28, FALSE)</f>
        <v>0</v>
      </c>
      <c r="AD69">
        <f>VLOOKUP(Table55[[#This Row],[Shortname]], Comp[], 29, FALSE)</f>
        <v>0</v>
      </c>
      <c r="AE69">
        <f>VLOOKUP(Table55[[#This Row],[Shortname]], Comp[], 30, FALSE)</f>
        <v>0</v>
      </c>
      <c r="AF69">
        <f>VLOOKUP(Table55[[#This Row],[Shortname]], Comp[], 31, FALSE)</f>
        <v>0</v>
      </c>
    </row>
    <row r="70" spans="1:32" x14ac:dyDescent="0.3">
      <c r="A70" t="s">
        <v>816</v>
      </c>
      <c r="B70" t="s">
        <v>818</v>
      </c>
      <c r="C70" s="17" t="s">
        <v>819</v>
      </c>
      <c r="D70">
        <v>964</v>
      </c>
      <c r="E70">
        <v>1409</v>
      </c>
      <c r="F70">
        <v>1440</v>
      </c>
      <c r="G70">
        <f>VLOOKUP(Table55[[#This Row],[Shortname]], Comp[], 6, FALSE)</f>
        <v>105</v>
      </c>
      <c r="H70" s="14">
        <f>VLOOKUP(Table55[[#This Row],[Shortname]], Comp[], 7, FALSE)</f>
        <v>80</v>
      </c>
      <c r="I70">
        <f>VLOOKUP(Table55[[#This Row],[Shortname]], Comp[], 8, FALSE)</f>
        <v>0</v>
      </c>
      <c r="J70">
        <f>VLOOKUP(Table55[[#This Row],[Shortname]], Comp[], 9, FALSE)</f>
        <v>8</v>
      </c>
      <c r="K70">
        <f>VLOOKUP(Table55[[#This Row],[Shortname]], Comp[], 10, FALSE)</f>
        <v>0</v>
      </c>
      <c r="L70">
        <f>VLOOKUP(Table55[[#This Row],[Shortname]], Comp[], 11, FALSE)</f>
        <v>0</v>
      </c>
      <c r="M70">
        <f>VLOOKUP(Table55[[#This Row],[Shortname]], Comp[],12, FALSE)</f>
        <v>0</v>
      </c>
      <c r="N70">
        <f>VLOOKUP(Table55[[#This Row],[Shortname]], Comp[], 13, FALSE)</f>
        <v>0</v>
      </c>
      <c r="O70">
        <f>VLOOKUP(Table55[[#This Row],[Shortname]], Comp[], 14, FALSE)</f>
        <v>0</v>
      </c>
      <c r="P70">
        <f>VLOOKUP(Table55[[#This Row],[Shortname]], Comp[], 15, FALSE)</f>
        <v>12</v>
      </c>
      <c r="Q70">
        <f>VLOOKUP(Table55[[#This Row],[Shortname]], Comp[], 16, FALSE)</f>
        <v>0</v>
      </c>
      <c r="R70">
        <f>VLOOKUP(Table55[[#This Row],[Shortname]], Comp[], 17, FALSE)</f>
        <v>0</v>
      </c>
      <c r="S70">
        <f>VLOOKUP(Table55[[#This Row],[Shortname]], Comp[], 18, FALSE)</f>
        <v>0</v>
      </c>
      <c r="T70">
        <f>VLOOKUP(Table55[[#This Row],[Shortname]], Comp[], 19, FALSE)</f>
        <v>0</v>
      </c>
      <c r="U70">
        <f>VLOOKUP(Table55[[#This Row],[Shortname]], Comp[], 20, FALSE)</f>
        <v>0</v>
      </c>
      <c r="V70">
        <f>VLOOKUP(Table55[[#This Row],[Shortname]], Comp[], 21, FALSE)</f>
        <v>0</v>
      </c>
      <c r="W70">
        <f>VLOOKUP(Table55[[#This Row],[Shortname]], Comp[], 22, FALSE)</f>
        <v>0</v>
      </c>
      <c r="X70">
        <f>VLOOKUP(Table55[[#This Row],[Shortname]], Comp[], 23, FALSE)</f>
        <v>0</v>
      </c>
      <c r="Y70">
        <f>VLOOKUP(Table55[[#This Row],[Shortname]], Comp[], 24, FALSE)</f>
        <v>0</v>
      </c>
      <c r="Z70">
        <f>VLOOKUP(Table55[[#This Row],[Shortname]], Comp[], 25, FALSE)</f>
        <v>0</v>
      </c>
      <c r="AA70">
        <f>VLOOKUP(Table55[[#This Row],[Shortname]], Comp[], 26, FALSE)</f>
        <v>0</v>
      </c>
      <c r="AB70">
        <f>VLOOKUP(Table55[[#This Row],[Shortname]], Comp[], 27, FALSE)</f>
        <v>0</v>
      </c>
      <c r="AC70">
        <f>VLOOKUP(Table55[[#This Row],[Shortname]], Comp[], 28, FALSE)</f>
        <v>0</v>
      </c>
      <c r="AD70">
        <f>VLOOKUP(Table55[[#This Row],[Shortname]], Comp[], 29, FALSE)</f>
        <v>0</v>
      </c>
      <c r="AE70">
        <f>VLOOKUP(Table55[[#This Row],[Shortname]], Comp[], 30, FALSE)</f>
        <v>0</v>
      </c>
      <c r="AF70">
        <f>VLOOKUP(Table55[[#This Row],[Shortname]], Comp[], 31, FALSE)</f>
        <v>0</v>
      </c>
    </row>
    <row r="71" spans="1:32" x14ac:dyDescent="0.3">
      <c r="A71" t="s">
        <v>779</v>
      </c>
      <c r="B71" t="s">
        <v>781</v>
      </c>
      <c r="C71" s="17" t="s">
        <v>782</v>
      </c>
      <c r="D71">
        <v>948</v>
      </c>
      <c r="E71">
        <v>1410</v>
      </c>
      <c r="F71">
        <v>1444</v>
      </c>
      <c r="G71">
        <f>VLOOKUP(Table55[[#This Row],[Shortname]], Comp[], 6, FALSE)</f>
        <v>100</v>
      </c>
      <c r="H71" s="14">
        <f>VLOOKUP(Table55[[#This Row],[Shortname]], Comp[], 7, FALSE)</f>
        <v>79</v>
      </c>
      <c r="I71">
        <f>VLOOKUP(Table55[[#This Row],[Shortname]], Comp[], 8, FALSE)</f>
        <v>0</v>
      </c>
      <c r="J71">
        <f>VLOOKUP(Table55[[#This Row],[Shortname]], Comp[], 9, FALSE)</f>
        <v>5</v>
      </c>
      <c r="K71">
        <f>VLOOKUP(Table55[[#This Row],[Shortname]], Comp[], 10, FALSE)</f>
        <v>2</v>
      </c>
      <c r="L71">
        <f>VLOOKUP(Table55[[#This Row],[Shortname]], Comp[], 11, FALSE)</f>
        <v>0</v>
      </c>
      <c r="M71">
        <f>VLOOKUP(Table55[[#This Row],[Shortname]], Comp[],12, FALSE)</f>
        <v>0</v>
      </c>
      <c r="N71">
        <f>VLOOKUP(Table55[[#This Row],[Shortname]], Comp[], 13, FALSE)</f>
        <v>0</v>
      </c>
      <c r="O71">
        <f>VLOOKUP(Table55[[#This Row],[Shortname]], Comp[], 14, FALSE)</f>
        <v>0</v>
      </c>
      <c r="P71">
        <f>VLOOKUP(Table55[[#This Row],[Shortname]], Comp[], 15, FALSE)</f>
        <v>14</v>
      </c>
      <c r="Q71">
        <f>VLOOKUP(Table55[[#This Row],[Shortname]], Comp[], 16, FALSE)</f>
        <v>0</v>
      </c>
      <c r="R71">
        <f>VLOOKUP(Table55[[#This Row],[Shortname]], Comp[], 17, FALSE)</f>
        <v>0</v>
      </c>
      <c r="S71">
        <f>VLOOKUP(Table55[[#This Row],[Shortname]], Comp[], 18, FALSE)</f>
        <v>0</v>
      </c>
      <c r="T71">
        <f>VLOOKUP(Table55[[#This Row],[Shortname]], Comp[], 19, FALSE)</f>
        <v>0</v>
      </c>
      <c r="U71">
        <f>VLOOKUP(Table55[[#This Row],[Shortname]], Comp[], 20, FALSE)</f>
        <v>0</v>
      </c>
      <c r="V71">
        <f>VLOOKUP(Table55[[#This Row],[Shortname]], Comp[], 21, FALSE)</f>
        <v>0</v>
      </c>
      <c r="W71">
        <f>VLOOKUP(Table55[[#This Row],[Shortname]], Comp[], 22, FALSE)</f>
        <v>0</v>
      </c>
      <c r="X71">
        <f>VLOOKUP(Table55[[#This Row],[Shortname]], Comp[], 23, FALSE)</f>
        <v>0</v>
      </c>
      <c r="Y71">
        <f>VLOOKUP(Table55[[#This Row],[Shortname]], Comp[], 24, FALSE)</f>
        <v>0</v>
      </c>
      <c r="Z71">
        <f>VLOOKUP(Table55[[#This Row],[Shortname]], Comp[], 25, FALSE)</f>
        <v>0</v>
      </c>
      <c r="AA71">
        <f>VLOOKUP(Table55[[#This Row],[Shortname]], Comp[], 26, FALSE)</f>
        <v>0</v>
      </c>
      <c r="AB71">
        <f>VLOOKUP(Table55[[#This Row],[Shortname]], Comp[], 27, FALSE)</f>
        <v>0</v>
      </c>
      <c r="AC71">
        <f>VLOOKUP(Table55[[#This Row],[Shortname]], Comp[], 28, FALSE)</f>
        <v>0</v>
      </c>
      <c r="AD71">
        <f>VLOOKUP(Table55[[#This Row],[Shortname]], Comp[], 29, FALSE)</f>
        <v>0</v>
      </c>
      <c r="AE71">
        <f>VLOOKUP(Table55[[#This Row],[Shortname]], Comp[], 30, FALSE)</f>
        <v>0</v>
      </c>
      <c r="AF71">
        <f>VLOOKUP(Table55[[#This Row],[Shortname]], Comp[], 31, FALSE)</f>
        <v>0</v>
      </c>
    </row>
    <row r="72" spans="1:32" x14ac:dyDescent="0.3">
      <c r="A72" t="s">
        <v>945</v>
      </c>
      <c r="B72" t="s">
        <v>6700</v>
      </c>
      <c r="C72" s="15" t="s">
        <v>6701</v>
      </c>
      <c r="D72">
        <v>1286</v>
      </c>
      <c r="E72">
        <v>1310</v>
      </c>
      <c r="F72">
        <v>1351</v>
      </c>
      <c r="G72">
        <f>VLOOKUP(Table55[[#This Row],[Shortname]], Comp[], 6, FALSE)</f>
        <v>122</v>
      </c>
      <c r="H72" s="14">
        <f>VLOOKUP(Table55[[#This Row],[Shortname]], Comp[], 7, FALSE)</f>
        <v>50</v>
      </c>
      <c r="I72">
        <f>VLOOKUP(Table55[[#This Row],[Shortname]], Comp[], 8, FALSE)</f>
        <v>30</v>
      </c>
      <c r="J72">
        <f>VLOOKUP(Table55[[#This Row],[Shortname]], Comp[], 9, FALSE)</f>
        <v>12</v>
      </c>
      <c r="K72">
        <f>VLOOKUP(Table55[[#This Row],[Shortname]], Comp[], 10, FALSE)</f>
        <v>0</v>
      </c>
      <c r="L72">
        <f>VLOOKUP(Table55[[#This Row],[Shortname]], Comp[], 11, FALSE)</f>
        <v>0</v>
      </c>
      <c r="M72">
        <f>VLOOKUP(Table55[[#This Row],[Shortname]], Comp[],12, FALSE)</f>
        <v>0</v>
      </c>
      <c r="N72">
        <f>VLOOKUP(Table55[[#This Row],[Shortname]], Comp[], 13, FALSE)</f>
        <v>8</v>
      </c>
      <c r="O72">
        <f>VLOOKUP(Table55[[#This Row],[Shortname]], Comp[], 14, FALSE)</f>
        <v>0</v>
      </c>
      <c r="P72">
        <f>VLOOKUP(Table55[[#This Row],[Shortname]], Comp[], 15, FALSE)</f>
        <v>0</v>
      </c>
      <c r="Q72">
        <f>VLOOKUP(Table55[[#This Row],[Shortname]], Comp[], 16, FALSE)</f>
        <v>0</v>
      </c>
      <c r="R72">
        <f>VLOOKUP(Table55[[#This Row],[Shortname]], Comp[], 17, FALSE)</f>
        <v>0</v>
      </c>
      <c r="S72">
        <f>VLOOKUP(Table55[[#This Row],[Shortname]], Comp[], 18, FALSE)</f>
        <v>0</v>
      </c>
      <c r="T72">
        <f>VLOOKUP(Table55[[#This Row],[Shortname]], Comp[], 19, FALSE)</f>
        <v>0</v>
      </c>
      <c r="U72">
        <f>VLOOKUP(Table55[[#This Row],[Shortname]], Comp[], 20, FALSE)</f>
        <v>0</v>
      </c>
      <c r="V72">
        <f>VLOOKUP(Table55[[#This Row],[Shortname]], Comp[], 21, FALSE)</f>
        <v>0</v>
      </c>
      <c r="W72">
        <f>VLOOKUP(Table55[[#This Row],[Shortname]], Comp[], 22, FALSE)</f>
        <v>0</v>
      </c>
      <c r="X72">
        <f>VLOOKUP(Table55[[#This Row],[Shortname]], Comp[], 23, FALSE)</f>
        <v>0</v>
      </c>
      <c r="Y72">
        <f>VLOOKUP(Table55[[#This Row],[Shortname]], Comp[], 24, FALSE)</f>
        <v>0</v>
      </c>
      <c r="Z72">
        <f>VLOOKUP(Table55[[#This Row],[Shortname]], Comp[], 25, FALSE)</f>
        <v>0</v>
      </c>
      <c r="AA72">
        <f>VLOOKUP(Table55[[#This Row],[Shortname]], Comp[], 26, FALSE)</f>
        <v>0</v>
      </c>
      <c r="AB72">
        <f>VLOOKUP(Table55[[#This Row],[Shortname]], Comp[], 27, FALSE)</f>
        <v>0</v>
      </c>
      <c r="AC72">
        <f>VLOOKUP(Table55[[#This Row],[Shortname]], Comp[], 28, FALSE)</f>
        <v>0</v>
      </c>
      <c r="AD72">
        <f>VLOOKUP(Table55[[#This Row],[Shortname]], Comp[], 29, FALSE)</f>
        <v>0</v>
      </c>
      <c r="AE72">
        <f>VLOOKUP(Table55[[#This Row],[Shortname]], Comp[], 30, FALSE)</f>
        <v>0</v>
      </c>
      <c r="AF72">
        <f>VLOOKUP(Table55[[#This Row],[Shortname]], Comp[], 31, FALSE)</f>
        <v>0</v>
      </c>
    </row>
    <row r="73" spans="1:32" x14ac:dyDescent="0.3">
      <c r="A73" t="s">
        <v>938</v>
      </c>
      <c r="B73" t="s">
        <v>6702</v>
      </c>
      <c r="C73" s="15" t="s">
        <v>6703</v>
      </c>
      <c r="D73">
        <v>1237</v>
      </c>
      <c r="E73">
        <v>1336</v>
      </c>
      <c r="F73">
        <v>1379</v>
      </c>
      <c r="G73">
        <f>VLOOKUP(Table55[[#This Row],[Shortname]], Comp[], 6, FALSE)</f>
        <v>121</v>
      </c>
      <c r="H73" s="14">
        <f>VLOOKUP(Table55[[#This Row],[Shortname]], Comp[], 7, FALSE)</f>
        <v>52</v>
      </c>
      <c r="I73">
        <f>VLOOKUP(Table55[[#This Row],[Shortname]], Comp[], 8, FALSE)</f>
        <v>30</v>
      </c>
      <c r="J73">
        <f>VLOOKUP(Table55[[#This Row],[Shortname]], Comp[], 9, FALSE)</f>
        <v>12</v>
      </c>
      <c r="K73">
        <f>VLOOKUP(Table55[[#This Row],[Shortname]], Comp[], 10, FALSE)</f>
        <v>0</v>
      </c>
      <c r="L73">
        <f>VLOOKUP(Table55[[#This Row],[Shortname]], Comp[], 11, FALSE)</f>
        <v>0</v>
      </c>
      <c r="M73">
        <f>VLOOKUP(Table55[[#This Row],[Shortname]], Comp[],12, FALSE)</f>
        <v>0</v>
      </c>
      <c r="N73">
        <f>VLOOKUP(Table55[[#This Row],[Shortname]], Comp[], 13, FALSE)</f>
        <v>6</v>
      </c>
      <c r="O73">
        <f>VLOOKUP(Table55[[#This Row],[Shortname]], Comp[], 14, FALSE)</f>
        <v>0</v>
      </c>
      <c r="P73">
        <f>VLOOKUP(Table55[[#This Row],[Shortname]], Comp[], 15, FALSE)</f>
        <v>0</v>
      </c>
      <c r="Q73">
        <f>VLOOKUP(Table55[[#This Row],[Shortname]], Comp[], 16, FALSE)</f>
        <v>0</v>
      </c>
      <c r="R73">
        <f>VLOOKUP(Table55[[#This Row],[Shortname]], Comp[], 17, FALSE)</f>
        <v>0</v>
      </c>
      <c r="S73">
        <f>VLOOKUP(Table55[[#This Row],[Shortname]], Comp[], 18, FALSE)</f>
        <v>0</v>
      </c>
      <c r="T73">
        <f>VLOOKUP(Table55[[#This Row],[Shortname]], Comp[], 19, FALSE)</f>
        <v>0</v>
      </c>
      <c r="U73">
        <f>VLOOKUP(Table55[[#This Row],[Shortname]], Comp[], 20, FALSE)</f>
        <v>0</v>
      </c>
      <c r="V73">
        <f>VLOOKUP(Table55[[#This Row],[Shortname]], Comp[], 21, FALSE)</f>
        <v>0</v>
      </c>
      <c r="W73">
        <f>VLOOKUP(Table55[[#This Row],[Shortname]], Comp[], 22, FALSE)</f>
        <v>0</v>
      </c>
      <c r="X73">
        <f>VLOOKUP(Table55[[#This Row],[Shortname]], Comp[], 23, FALSE)</f>
        <v>0</v>
      </c>
      <c r="Y73">
        <f>VLOOKUP(Table55[[#This Row],[Shortname]], Comp[], 24, FALSE)</f>
        <v>0</v>
      </c>
      <c r="Z73">
        <f>VLOOKUP(Table55[[#This Row],[Shortname]], Comp[], 25, FALSE)</f>
        <v>0</v>
      </c>
      <c r="AA73">
        <f>VLOOKUP(Table55[[#This Row],[Shortname]], Comp[], 26, FALSE)</f>
        <v>0</v>
      </c>
      <c r="AB73">
        <f>VLOOKUP(Table55[[#This Row],[Shortname]], Comp[], 27, FALSE)</f>
        <v>0</v>
      </c>
      <c r="AC73">
        <f>VLOOKUP(Table55[[#This Row],[Shortname]], Comp[], 28, FALSE)</f>
        <v>0</v>
      </c>
      <c r="AD73">
        <f>VLOOKUP(Table55[[#This Row],[Shortname]], Comp[], 29, FALSE)</f>
        <v>0</v>
      </c>
      <c r="AE73">
        <f>VLOOKUP(Table55[[#This Row],[Shortname]], Comp[], 30, FALSE)</f>
        <v>0</v>
      </c>
      <c r="AF73">
        <f>VLOOKUP(Table55[[#This Row],[Shortname]], Comp[], 31, FALSE)</f>
        <v>0</v>
      </c>
    </row>
    <row r="74" spans="1:32" x14ac:dyDescent="0.3">
      <c r="A74" t="s">
        <v>931</v>
      </c>
      <c r="B74" t="s">
        <v>6704</v>
      </c>
      <c r="C74" s="15" t="s">
        <v>6705</v>
      </c>
      <c r="D74">
        <v>1161</v>
      </c>
      <c r="E74">
        <v>1364</v>
      </c>
      <c r="F74">
        <v>1402</v>
      </c>
      <c r="G74">
        <f>VLOOKUP(Table55[[#This Row],[Shortname]], Comp[], 6, FALSE)</f>
        <v>120</v>
      </c>
      <c r="H74" s="14">
        <f>VLOOKUP(Table55[[#This Row],[Shortname]], Comp[], 7, FALSE)</f>
        <v>54</v>
      </c>
      <c r="I74">
        <f>VLOOKUP(Table55[[#This Row],[Shortname]], Comp[], 8, FALSE)</f>
        <v>30</v>
      </c>
      <c r="J74">
        <f>VLOOKUP(Table55[[#This Row],[Shortname]], Comp[], 9, FALSE)</f>
        <v>12</v>
      </c>
      <c r="K74">
        <f>VLOOKUP(Table55[[#This Row],[Shortname]], Comp[], 10, FALSE)</f>
        <v>0</v>
      </c>
      <c r="L74">
        <f>VLOOKUP(Table55[[#This Row],[Shortname]], Comp[], 11, FALSE)</f>
        <v>0</v>
      </c>
      <c r="M74">
        <f>VLOOKUP(Table55[[#This Row],[Shortname]], Comp[],12, FALSE)</f>
        <v>0</v>
      </c>
      <c r="N74">
        <f>VLOOKUP(Table55[[#This Row],[Shortname]], Comp[], 13, FALSE)</f>
        <v>4</v>
      </c>
      <c r="O74">
        <f>VLOOKUP(Table55[[#This Row],[Shortname]], Comp[], 14, FALSE)</f>
        <v>0</v>
      </c>
      <c r="P74">
        <f>VLOOKUP(Table55[[#This Row],[Shortname]], Comp[], 15, FALSE)</f>
        <v>0</v>
      </c>
      <c r="Q74">
        <f>VLOOKUP(Table55[[#This Row],[Shortname]], Comp[], 16, FALSE)</f>
        <v>0</v>
      </c>
      <c r="R74">
        <f>VLOOKUP(Table55[[#This Row],[Shortname]], Comp[], 17, FALSE)</f>
        <v>0</v>
      </c>
      <c r="S74">
        <f>VLOOKUP(Table55[[#This Row],[Shortname]], Comp[], 18, FALSE)</f>
        <v>0</v>
      </c>
      <c r="T74">
        <f>VLOOKUP(Table55[[#This Row],[Shortname]], Comp[], 19, FALSE)</f>
        <v>0</v>
      </c>
      <c r="U74">
        <f>VLOOKUP(Table55[[#This Row],[Shortname]], Comp[], 20, FALSE)</f>
        <v>0</v>
      </c>
      <c r="V74">
        <f>VLOOKUP(Table55[[#This Row],[Shortname]], Comp[], 21, FALSE)</f>
        <v>0</v>
      </c>
      <c r="W74">
        <f>VLOOKUP(Table55[[#This Row],[Shortname]], Comp[], 22, FALSE)</f>
        <v>0</v>
      </c>
      <c r="X74">
        <f>VLOOKUP(Table55[[#This Row],[Shortname]], Comp[], 23, FALSE)</f>
        <v>0</v>
      </c>
      <c r="Y74">
        <f>VLOOKUP(Table55[[#This Row],[Shortname]], Comp[], 24, FALSE)</f>
        <v>0</v>
      </c>
      <c r="Z74">
        <f>VLOOKUP(Table55[[#This Row],[Shortname]], Comp[], 25, FALSE)</f>
        <v>0</v>
      </c>
      <c r="AA74">
        <f>VLOOKUP(Table55[[#This Row],[Shortname]], Comp[], 26, FALSE)</f>
        <v>0</v>
      </c>
      <c r="AB74">
        <f>VLOOKUP(Table55[[#This Row],[Shortname]], Comp[], 27, FALSE)</f>
        <v>0</v>
      </c>
      <c r="AC74">
        <f>VLOOKUP(Table55[[#This Row],[Shortname]], Comp[], 28, FALSE)</f>
        <v>0</v>
      </c>
      <c r="AD74">
        <f>VLOOKUP(Table55[[#This Row],[Shortname]], Comp[], 29, FALSE)</f>
        <v>0</v>
      </c>
      <c r="AE74">
        <f>VLOOKUP(Table55[[#This Row],[Shortname]], Comp[], 30, FALSE)</f>
        <v>0</v>
      </c>
      <c r="AF74">
        <f>VLOOKUP(Table55[[#This Row],[Shortname]], Comp[], 31, FALSE)</f>
        <v>0</v>
      </c>
    </row>
    <row r="75" spans="1:32" x14ac:dyDescent="0.3">
      <c r="A75" t="s">
        <v>899</v>
      </c>
      <c r="B75" t="s">
        <v>901</v>
      </c>
      <c r="C75" s="1" t="s">
        <v>6706</v>
      </c>
      <c r="D75">
        <v>1048</v>
      </c>
      <c r="E75">
        <v>1395</v>
      </c>
      <c r="F75">
        <v>1428</v>
      </c>
      <c r="G75">
        <f>VLOOKUP(Table55[[#This Row],[Shortname]], Comp[], 6, FALSE)</f>
        <v>116</v>
      </c>
      <c r="H75" s="14">
        <f>VLOOKUP(Table55[[#This Row],[Shortname]], Comp[], 7, FALSE)</f>
        <v>56</v>
      </c>
      <c r="I75">
        <f>VLOOKUP(Table55[[#This Row],[Shortname]], Comp[], 8, FALSE)</f>
        <v>30</v>
      </c>
      <c r="J75">
        <f>VLOOKUP(Table55[[#This Row],[Shortname]], Comp[], 9, FALSE)</f>
        <v>12</v>
      </c>
      <c r="K75">
        <f>VLOOKUP(Table55[[#This Row],[Shortname]], Comp[], 10, FALSE)</f>
        <v>0</v>
      </c>
      <c r="L75">
        <f>VLOOKUP(Table55[[#This Row],[Shortname]], Comp[], 11, FALSE)</f>
        <v>0</v>
      </c>
      <c r="M75">
        <f>VLOOKUP(Table55[[#This Row],[Shortname]], Comp[],12, FALSE)</f>
        <v>0</v>
      </c>
      <c r="N75">
        <f>VLOOKUP(Table55[[#This Row],[Shortname]], Comp[], 13, FALSE)</f>
        <v>2</v>
      </c>
      <c r="O75">
        <f>VLOOKUP(Table55[[#This Row],[Shortname]], Comp[], 14, FALSE)</f>
        <v>0</v>
      </c>
      <c r="P75">
        <f>VLOOKUP(Table55[[#This Row],[Shortname]], Comp[], 15, FALSE)</f>
        <v>0</v>
      </c>
      <c r="Q75">
        <f>VLOOKUP(Table55[[#This Row],[Shortname]], Comp[], 16, FALSE)</f>
        <v>0</v>
      </c>
      <c r="R75">
        <f>VLOOKUP(Table55[[#This Row],[Shortname]], Comp[], 17, FALSE)</f>
        <v>0</v>
      </c>
      <c r="S75">
        <f>VLOOKUP(Table55[[#This Row],[Shortname]], Comp[], 18, FALSE)</f>
        <v>0</v>
      </c>
      <c r="T75">
        <f>VLOOKUP(Table55[[#This Row],[Shortname]], Comp[], 19, FALSE)</f>
        <v>0</v>
      </c>
      <c r="U75">
        <f>VLOOKUP(Table55[[#This Row],[Shortname]], Comp[], 20, FALSE)</f>
        <v>0</v>
      </c>
      <c r="V75">
        <f>VLOOKUP(Table55[[#This Row],[Shortname]], Comp[], 21, FALSE)</f>
        <v>0</v>
      </c>
      <c r="W75">
        <f>VLOOKUP(Table55[[#This Row],[Shortname]], Comp[], 22, FALSE)</f>
        <v>0</v>
      </c>
      <c r="X75">
        <f>VLOOKUP(Table55[[#This Row],[Shortname]], Comp[], 23, FALSE)</f>
        <v>0</v>
      </c>
      <c r="Y75">
        <f>VLOOKUP(Table55[[#This Row],[Shortname]], Comp[], 24, FALSE)</f>
        <v>0</v>
      </c>
      <c r="Z75">
        <f>VLOOKUP(Table55[[#This Row],[Shortname]], Comp[], 25, FALSE)</f>
        <v>0</v>
      </c>
      <c r="AA75">
        <f>VLOOKUP(Table55[[#This Row],[Shortname]], Comp[], 26, FALSE)</f>
        <v>0</v>
      </c>
      <c r="AB75">
        <f>VLOOKUP(Table55[[#This Row],[Shortname]], Comp[], 27, FALSE)</f>
        <v>0</v>
      </c>
      <c r="AC75">
        <f>VLOOKUP(Table55[[#This Row],[Shortname]], Comp[], 28, FALSE)</f>
        <v>0</v>
      </c>
      <c r="AD75">
        <f>VLOOKUP(Table55[[#This Row],[Shortname]], Comp[], 29, FALSE)</f>
        <v>0</v>
      </c>
      <c r="AE75">
        <f>VLOOKUP(Table55[[#This Row],[Shortname]], Comp[], 30, FALSE)</f>
        <v>0</v>
      </c>
      <c r="AF75">
        <f>VLOOKUP(Table55[[#This Row],[Shortname]], Comp[], 31, FALSE)</f>
        <v>0</v>
      </c>
    </row>
    <row r="76" spans="1:32" x14ac:dyDescent="0.3">
      <c r="A76" t="s">
        <v>892</v>
      </c>
      <c r="B76" t="s">
        <v>894</v>
      </c>
      <c r="C76" s="1" t="s">
        <v>6707</v>
      </c>
      <c r="D76">
        <v>1003</v>
      </c>
      <c r="E76">
        <v>1396</v>
      </c>
      <c r="F76">
        <v>1442</v>
      </c>
      <c r="G76">
        <f>VLOOKUP(Table55[[#This Row],[Shortname]], Comp[], 6, FALSE)</f>
        <v>115</v>
      </c>
      <c r="H76" s="14">
        <f>VLOOKUP(Table55[[#This Row],[Shortname]], Comp[], 7, FALSE)</f>
        <v>66</v>
      </c>
      <c r="I76">
        <f>VLOOKUP(Table55[[#This Row],[Shortname]], Comp[], 8, FALSE)</f>
        <v>20</v>
      </c>
      <c r="J76">
        <f>VLOOKUP(Table55[[#This Row],[Shortname]], Comp[], 9, FALSE)</f>
        <v>12</v>
      </c>
      <c r="K76">
        <f>VLOOKUP(Table55[[#This Row],[Shortname]], Comp[], 10, FALSE)</f>
        <v>0</v>
      </c>
      <c r="L76">
        <f>VLOOKUP(Table55[[#This Row],[Shortname]], Comp[], 11, FALSE)</f>
        <v>0</v>
      </c>
      <c r="M76">
        <f>VLOOKUP(Table55[[#This Row],[Shortname]], Comp[],12, FALSE)</f>
        <v>0</v>
      </c>
      <c r="N76">
        <f>VLOOKUP(Table55[[#This Row],[Shortname]], Comp[], 13, FALSE)</f>
        <v>2</v>
      </c>
      <c r="O76">
        <f>VLOOKUP(Table55[[#This Row],[Shortname]], Comp[], 14, FALSE)</f>
        <v>0</v>
      </c>
      <c r="P76">
        <f>VLOOKUP(Table55[[#This Row],[Shortname]], Comp[], 15, FALSE)</f>
        <v>0</v>
      </c>
      <c r="Q76">
        <f>VLOOKUP(Table55[[#This Row],[Shortname]], Comp[], 16, FALSE)</f>
        <v>0</v>
      </c>
      <c r="R76">
        <f>VLOOKUP(Table55[[#This Row],[Shortname]], Comp[], 17, FALSE)</f>
        <v>0</v>
      </c>
      <c r="S76">
        <f>VLOOKUP(Table55[[#This Row],[Shortname]], Comp[], 18, FALSE)</f>
        <v>0</v>
      </c>
      <c r="T76">
        <f>VLOOKUP(Table55[[#This Row],[Shortname]], Comp[], 19, FALSE)</f>
        <v>0</v>
      </c>
      <c r="U76">
        <f>VLOOKUP(Table55[[#This Row],[Shortname]], Comp[], 20, FALSE)</f>
        <v>0</v>
      </c>
      <c r="V76">
        <f>VLOOKUP(Table55[[#This Row],[Shortname]], Comp[], 21, FALSE)</f>
        <v>0</v>
      </c>
      <c r="W76">
        <f>VLOOKUP(Table55[[#This Row],[Shortname]], Comp[], 22, FALSE)</f>
        <v>0</v>
      </c>
      <c r="X76">
        <f>VLOOKUP(Table55[[#This Row],[Shortname]], Comp[], 23, FALSE)</f>
        <v>0</v>
      </c>
      <c r="Y76">
        <f>VLOOKUP(Table55[[#This Row],[Shortname]], Comp[], 24, FALSE)</f>
        <v>0</v>
      </c>
      <c r="Z76">
        <f>VLOOKUP(Table55[[#This Row],[Shortname]], Comp[], 25, FALSE)</f>
        <v>0</v>
      </c>
      <c r="AA76">
        <f>VLOOKUP(Table55[[#This Row],[Shortname]], Comp[], 26, FALSE)</f>
        <v>0</v>
      </c>
      <c r="AB76">
        <f>VLOOKUP(Table55[[#This Row],[Shortname]], Comp[], 27, FALSE)</f>
        <v>0</v>
      </c>
      <c r="AC76">
        <f>VLOOKUP(Table55[[#This Row],[Shortname]], Comp[], 28, FALSE)</f>
        <v>0</v>
      </c>
      <c r="AD76">
        <f>VLOOKUP(Table55[[#This Row],[Shortname]], Comp[], 29, FALSE)</f>
        <v>0</v>
      </c>
      <c r="AE76">
        <f>VLOOKUP(Table55[[#This Row],[Shortname]], Comp[], 30, FALSE)</f>
        <v>0</v>
      </c>
      <c r="AF76">
        <f>VLOOKUP(Table55[[#This Row],[Shortname]], Comp[], 31, FALSE)</f>
        <v>0</v>
      </c>
    </row>
    <row r="77" spans="1:32" x14ac:dyDescent="0.3">
      <c r="A77" t="s">
        <v>885</v>
      </c>
      <c r="B77" t="s">
        <v>887</v>
      </c>
      <c r="C77" s="1" t="s">
        <v>6708</v>
      </c>
      <c r="D77">
        <v>974</v>
      </c>
      <c r="E77">
        <v>1396</v>
      </c>
      <c r="F77">
        <v>1446</v>
      </c>
      <c r="G77">
        <f>VLOOKUP(Table55[[#This Row],[Shortname]], Comp[], 6, FALSE)</f>
        <v>114</v>
      </c>
      <c r="H77" s="14">
        <f>VLOOKUP(Table55[[#This Row],[Shortname]], Comp[], 7, FALSE)</f>
        <v>76</v>
      </c>
      <c r="I77">
        <f>VLOOKUP(Table55[[#This Row],[Shortname]], Comp[], 8, FALSE)</f>
        <v>10</v>
      </c>
      <c r="J77">
        <f>VLOOKUP(Table55[[#This Row],[Shortname]], Comp[], 9, FALSE)</f>
        <v>12</v>
      </c>
      <c r="K77">
        <f>VLOOKUP(Table55[[#This Row],[Shortname]], Comp[], 10, FALSE)</f>
        <v>0</v>
      </c>
      <c r="L77">
        <f>VLOOKUP(Table55[[#This Row],[Shortname]], Comp[], 11, FALSE)</f>
        <v>0</v>
      </c>
      <c r="M77">
        <f>VLOOKUP(Table55[[#This Row],[Shortname]], Comp[],12, FALSE)</f>
        <v>0</v>
      </c>
      <c r="N77">
        <f>VLOOKUP(Table55[[#This Row],[Shortname]], Comp[], 13, FALSE)</f>
        <v>2</v>
      </c>
      <c r="O77">
        <f>VLOOKUP(Table55[[#This Row],[Shortname]], Comp[], 14, FALSE)</f>
        <v>0</v>
      </c>
      <c r="P77">
        <f>VLOOKUP(Table55[[#This Row],[Shortname]], Comp[], 15, FALSE)</f>
        <v>0</v>
      </c>
      <c r="Q77">
        <f>VLOOKUP(Table55[[#This Row],[Shortname]], Comp[], 16, FALSE)</f>
        <v>0</v>
      </c>
      <c r="R77">
        <f>VLOOKUP(Table55[[#This Row],[Shortname]], Comp[], 17, FALSE)</f>
        <v>0</v>
      </c>
      <c r="S77">
        <f>VLOOKUP(Table55[[#This Row],[Shortname]], Comp[], 18, FALSE)</f>
        <v>0</v>
      </c>
      <c r="T77">
        <f>VLOOKUP(Table55[[#This Row],[Shortname]], Comp[], 19, FALSE)</f>
        <v>0</v>
      </c>
      <c r="U77">
        <f>VLOOKUP(Table55[[#This Row],[Shortname]], Comp[], 20, FALSE)</f>
        <v>0</v>
      </c>
      <c r="V77">
        <f>VLOOKUP(Table55[[#This Row],[Shortname]], Comp[], 21, FALSE)</f>
        <v>0</v>
      </c>
      <c r="W77">
        <f>VLOOKUP(Table55[[#This Row],[Shortname]], Comp[], 22, FALSE)</f>
        <v>0</v>
      </c>
      <c r="X77">
        <f>VLOOKUP(Table55[[#This Row],[Shortname]], Comp[], 23, FALSE)</f>
        <v>0</v>
      </c>
      <c r="Y77">
        <f>VLOOKUP(Table55[[#This Row],[Shortname]], Comp[], 24, FALSE)</f>
        <v>0</v>
      </c>
      <c r="Z77">
        <f>VLOOKUP(Table55[[#This Row],[Shortname]], Comp[], 25, FALSE)</f>
        <v>0</v>
      </c>
      <c r="AA77">
        <f>VLOOKUP(Table55[[#This Row],[Shortname]], Comp[], 26, FALSE)</f>
        <v>0</v>
      </c>
      <c r="AB77">
        <f>VLOOKUP(Table55[[#This Row],[Shortname]], Comp[], 27, FALSE)</f>
        <v>0</v>
      </c>
      <c r="AC77">
        <f>VLOOKUP(Table55[[#This Row],[Shortname]], Comp[], 28, FALSE)</f>
        <v>0</v>
      </c>
      <c r="AD77">
        <f>VLOOKUP(Table55[[#This Row],[Shortname]], Comp[], 29, FALSE)</f>
        <v>0</v>
      </c>
      <c r="AE77">
        <f>VLOOKUP(Table55[[#This Row],[Shortname]], Comp[], 30, FALSE)</f>
        <v>0</v>
      </c>
      <c r="AF77">
        <f>VLOOKUP(Table55[[#This Row],[Shortname]], Comp[], 31, FALSE)</f>
        <v>0</v>
      </c>
    </row>
    <row r="78" spans="1:32" x14ac:dyDescent="0.3">
      <c r="A78" t="s">
        <v>877</v>
      </c>
      <c r="B78" t="s">
        <v>879</v>
      </c>
      <c r="C78" s="1" t="s">
        <v>6709</v>
      </c>
      <c r="D78">
        <v>949</v>
      </c>
      <c r="E78">
        <v>1396</v>
      </c>
      <c r="F78">
        <v>1448</v>
      </c>
      <c r="G78">
        <f>VLOOKUP(Table55[[#This Row],[Shortname]], Comp[], 6, FALSE)</f>
        <v>113</v>
      </c>
      <c r="H78" s="14">
        <f>VLOOKUP(Table55[[#This Row],[Shortname]], Comp[], 7, FALSE)</f>
        <v>86</v>
      </c>
      <c r="I78">
        <f>VLOOKUP(Table55[[#This Row],[Shortname]], Comp[], 8, FALSE)</f>
        <v>0</v>
      </c>
      <c r="J78">
        <f>VLOOKUP(Table55[[#This Row],[Shortname]], Comp[], 9, FALSE)</f>
        <v>12</v>
      </c>
      <c r="K78">
        <f>VLOOKUP(Table55[[#This Row],[Shortname]], Comp[], 10, FALSE)</f>
        <v>0</v>
      </c>
      <c r="L78">
        <f>VLOOKUP(Table55[[#This Row],[Shortname]], Comp[], 11, FALSE)</f>
        <v>0</v>
      </c>
      <c r="M78">
        <f>VLOOKUP(Table55[[#This Row],[Shortname]], Comp[],12, FALSE)</f>
        <v>0</v>
      </c>
      <c r="N78">
        <f>VLOOKUP(Table55[[#This Row],[Shortname]], Comp[], 13, FALSE)</f>
        <v>2</v>
      </c>
      <c r="O78">
        <f>VLOOKUP(Table55[[#This Row],[Shortname]], Comp[], 14, FALSE)</f>
        <v>0</v>
      </c>
      <c r="P78">
        <f>VLOOKUP(Table55[[#This Row],[Shortname]], Comp[], 15, FALSE)</f>
        <v>0</v>
      </c>
      <c r="Q78">
        <f>VLOOKUP(Table55[[#This Row],[Shortname]], Comp[], 16, FALSE)</f>
        <v>0</v>
      </c>
      <c r="R78">
        <f>VLOOKUP(Table55[[#This Row],[Shortname]], Comp[], 17, FALSE)</f>
        <v>0</v>
      </c>
      <c r="S78">
        <f>VLOOKUP(Table55[[#This Row],[Shortname]], Comp[], 18, FALSE)</f>
        <v>0</v>
      </c>
      <c r="T78">
        <f>VLOOKUP(Table55[[#This Row],[Shortname]], Comp[], 19, FALSE)</f>
        <v>0</v>
      </c>
      <c r="U78">
        <f>VLOOKUP(Table55[[#This Row],[Shortname]], Comp[], 20, FALSE)</f>
        <v>0</v>
      </c>
      <c r="V78">
        <f>VLOOKUP(Table55[[#This Row],[Shortname]], Comp[], 21, FALSE)</f>
        <v>0</v>
      </c>
      <c r="W78">
        <f>VLOOKUP(Table55[[#This Row],[Shortname]], Comp[], 22, FALSE)</f>
        <v>0</v>
      </c>
      <c r="X78">
        <f>VLOOKUP(Table55[[#This Row],[Shortname]], Comp[], 23, FALSE)</f>
        <v>0</v>
      </c>
      <c r="Y78">
        <f>VLOOKUP(Table55[[#This Row],[Shortname]], Comp[], 24, FALSE)</f>
        <v>0</v>
      </c>
      <c r="Z78">
        <f>VLOOKUP(Table55[[#This Row],[Shortname]], Comp[], 25, FALSE)</f>
        <v>0</v>
      </c>
      <c r="AA78">
        <f>VLOOKUP(Table55[[#This Row],[Shortname]], Comp[], 26, FALSE)</f>
        <v>0</v>
      </c>
      <c r="AB78">
        <f>VLOOKUP(Table55[[#This Row],[Shortname]], Comp[], 27, FALSE)</f>
        <v>0</v>
      </c>
      <c r="AC78">
        <f>VLOOKUP(Table55[[#This Row],[Shortname]], Comp[], 28, FALSE)</f>
        <v>0</v>
      </c>
      <c r="AD78">
        <f>VLOOKUP(Table55[[#This Row],[Shortname]], Comp[], 29, FALSE)</f>
        <v>0</v>
      </c>
      <c r="AE78">
        <f>VLOOKUP(Table55[[#This Row],[Shortname]], Comp[], 30, FALSE)</f>
        <v>0</v>
      </c>
      <c r="AF78">
        <f>VLOOKUP(Table55[[#This Row],[Shortname]], Comp[], 31, FALSE)</f>
        <v>0</v>
      </c>
    </row>
    <row r="79" spans="1:32" x14ac:dyDescent="0.3">
      <c r="A79" t="s">
        <v>1038</v>
      </c>
      <c r="B79" t="s">
        <v>1040</v>
      </c>
      <c r="C79" t="s">
        <v>6601</v>
      </c>
      <c r="D79">
        <v>1154</v>
      </c>
      <c r="E79">
        <v>1261</v>
      </c>
      <c r="F79">
        <v>1341</v>
      </c>
      <c r="G79">
        <f>VLOOKUP(Table55[[#This Row],[Shortname]], Comp[], 6, FALSE)</f>
        <v>133</v>
      </c>
      <c r="H79" s="14">
        <f>VLOOKUP(Table55[[#This Row],[Shortname]], Comp[], 7, FALSE)</f>
        <v>16.799999999999983</v>
      </c>
      <c r="I79">
        <f>VLOOKUP(Table55[[#This Row],[Shortname]], Comp[], 8, FALSE)</f>
        <v>50.7</v>
      </c>
      <c r="J79">
        <f>VLOOKUP(Table55[[#This Row],[Shortname]], Comp[], 9, FALSE)</f>
        <v>2.7</v>
      </c>
      <c r="K79">
        <f>VLOOKUP(Table55[[#This Row],[Shortname]], Comp[], 10, FALSE)</f>
        <v>21.9</v>
      </c>
      <c r="L79">
        <f>VLOOKUP(Table55[[#This Row],[Shortname]], Comp[], 11, FALSE)</f>
        <v>0</v>
      </c>
      <c r="M79">
        <f>VLOOKUP(Table55[[#This Row],[Shortname]], Comp[],12, FALSE)</f>
        <v>7.9</v>
      </c>
      <c r="N79">
        <f>VLOOKUP(Table55[[#This Row],[Shortname]], Comp[], 13, FALSE)</f>
        <v>0</v>
      </c>
      <c r="O79">
        <f>VLOOKUP(Table55[[#This Row],[Shortname]], Comp[], 14, FALSE)</f>
        <v>0</v>
      </c>
      <c r="P79">
        <f>VLOOKUP(Table55[[#This Row],[Shortname]], Comp[], 15, FALSE)</f>
        <v>0</v>
      </c>
      <c r="Q79">
        <f>VLOOKUP(Table55[[#This Row],[Shortname]], Comp[], 16, FALSE)</f>
        <v>0</v>
      </c>
      <c r="R79">
        <f>VLOOKUP(Table55[[#This Row],[Shortname]], Comp[], 17, FALSE)</f>
        <v>0</v>
      </c>
      <c r="S79">
        <f>VLOOKUP(Table55[[#This Row],[Shortname]], Comp[], 18, FALSE)</f>
        <v>0</v>
      </c>
      <c r="T79">
        <f>VLOOKUP(Table55[[#This Row],[Shortname]], Comp[], 19, FALSE)</f>
        <v>0</v>
      </c>
      <c r="U79">
        <f>VLOOKUP(Table55[[#This Row],[Shortname]], Comp[], 20, FALSE)</f>
        <v>0</v>
      </c>
      <c r="V79">
        <f>VLOOKUP(Table55[[#This Row],[Shortname]], Comp[], 21, FALSE)</f>
        <v>0</v>
      </c>
      <c r="W79">
        <f>VLOOKUP(Table55[[#This Row],[Shortname]], Comp[], 22, FALSE)</f>
        <v>0</v>
      </c>
      <c r="X79">
        <f>VLOOKUP(Table55[[#This Row],[Shortname]], Comp[], 23, FALSE)</f>
        <v>0</v>
      </c>
      <c r="Y79">
        <f>VLOOKUP(Table55[[#This Row],[Shortname]], Comp[], 24, FALSE)</f>
        <v>0</v>
      </c>
      <c r="Z79">
        <f>VLOOKUP(Table55[[#This Row],[Shortname]], Comp[], 25, FALSE)</f>
        <v>0</v>
      </c>
      <c r="AA79">
        <f>VLOOKUP(Table55[[#This Row],[Shortname]], Comp[], 26, FALSE)</f>
        <v>0</v>
      </c>
      <c r="AB79">
        <f>VLOOKUP(Table55[[#This Row],[Shortname]], Comp[], 27, FALSE)</f>
        <v>0</v>
      </c>
      <c r="AC79">
        <f>VLOOKUP(Table55[[#This Row],[Shortname]], Comp[], 28, FALSE)</f>
        <v>0</v>
      </c>
      <c r="AD79">
        <f>VLOOKUP(Table55[[#This Row],[Shortname]], Comp[], 29, FALSE)</f>
        <v>0</v>
      </c>
      <c r="AE79">
        <f>VLOOKUP(Table55[[#This Row],[Shortname]], Comp[], 30, FALSE)</f>
        <v>0</v>
      </c>
      <c r="AF79">
        <f>VLOOKUP(Table55[[#This Row],[Shortname]], Comp[], 31, FALSE)</f>
        <v>0</v>
      </c>
    </row>
    <row r="80" spans="1:32" x14ac:dyDescent="0.3">
      <c r="A80" t="s">
        <v>1081</v>
      </c>
      <c r="B80" t="s">
        <v>1083</v>
      </c>
      <c r="C80" t="s">
        <v>6601</v>
      </c>
      <c r="D80">
        <v>1152</v>
      </c>
      <c r="E80">
        <v>1273</v>
      </c>
      <c r="F80">
        <v>1359</v>
      </c>
      <c r="G80">
        <f>VLOOKUP(Table55[[#This Row],[Shortname]], Comp[], 6, FALSE)</f>
        <v>138</v>
      </c>
      <c r="H80" s="14">
        <f>VLOOKUP(Table55[[#This Row],[Shortname]], Comp[], 7, FALSE)</f>
        <v>24.700000000000003</v>
      </c>
      <c r="I80">
        <f>VLOOKUP(Table55[[#This Row],[Shortname]], Comp[], 8, FALSE)</f>
        <v>51.2</v>
      </c>
      <c r="J80">
        <f>VLOOKUP(Table55[[#This Row],[Shortname]], Comp[], 9, FALSE)</f>
        <v>6</v>
      </c>
      <c r="K80">
        <f>VLOOKUP(Table55[[#This Row],[Shortname]], Comp[], 10, FALSE)</f>
        <v>12.6</v>
      </c>
      <c r="L80">
        <f>VLOOKUP(Table55[[#This Row],[Shortname]], Comp[], 11, FALSE)</f>
        <v>0</v>
      </c>
      <c r="M80">
        <f>VLOOKUP(Table55[[#This Row],[Shortname]], Comp[],12, FALSE)</f>
        <v>5.5</v>
      </c>
      <c r="N80">
        <f>VLOOKUP(Table55[[#This Row],[Shortname]], Comp[], 13, FALSE)</f>
        <v>0</v>
      </c>
      <c r="O80">
        <f>VLOOKUP(Table55[[#This Row],[Shortname]], Comp[], 14, FALSE)</f>
        <v>0</v>
      </c>
      <c r="P80">
        <f>VLOOKUP(Table55[[#This Row],[Shortname]], Comp[], 15, FALSE)</f>
        <v>0</v>
      </c>
      <c r="Q80">
        <f>VLOOKUP(Table55[[#This Row],[Shortname]], Comp[], 16, FALSE)</f>
        <v>0</v>
      </c>
      <c r="R80">
        <f>VLOOKUP(Table55[[#This Row],[Shortname]], Comp[], 17, FALSE)</f>
        <v>0</v>
      </c>
      <c r="S80">
        <f>VLOOKUP(Table55[[#This Row],[Shortname]], Comp[], 18, FALSE)</f>
        <v>0</v>
      </c>
      <c r="T80">
        <f>VLOOKUP(Table55[[#This Row],[Shortname]], Comp[], 19, FALSE)</f>
        <v>0</v>
      </c>
      <c r="U80">
        <f>VLOOKUP(Table55[[#This Row],[Shortname]], Comp[], 20, FALSE)</f>
        <v>0</v>
      </c>
      <c r="V80">
        <f>VLOOKUP(Table55[[#This Row],[Shortname]], Comp[], 21, FALSE)</f>
        <v>0</v>
      </c>
      <c r="W80">
        <f>VLOOKUP(Table55[[#This Row],[Shortname]], Comp[], 22, FALSE)</f>
        <v>0</v>
      </c>
      <c r="X80">
        <f>VLOOKUP(Table55[[#This Row],[Shortname]], Comp[], 23, FALSE)</f>
        <v>0</v>
      </c>
      <c r="Y80">
        <f>VLOOKUP(Table55[[#This Row],[Shortname]], Comp[], 24, FALSE)</f>
        <v>0</v>
      </c>
      <c r="Z80">
        <f>VLOOKUP(Table55[[#This Row],[Shortname]], Comp[], 25, FALSE)</f>
        <v>0</v>
      </c>
      <c r="AA80">
        <f>VLOOKUP(Table55[[#This Row],[Shortname]], Comp[], 26, FALSE)</f>
        <v>0</v>
      </c>
      <c r="AB80">
        <f>VLOOKUP(Table55[[#This Row],[Shortname]], Comp[], 27, FALSE)</f>
        <v>0</v>
      </c>
      <c r="AC80">
        <f>VLOOKUP(Table55[[#This Row],[Shortname]], Comp[], 28, FALSE)</f>
        <v>0</v>
      </c>
      <c r="AD80">
        <f>VLOOKUP(Table55[[#This Row],[Shortname]], Comp[], 29, FALSE)</f>
        <v>0</v>
      </c>
      <c r="AE80">
        <f>VLOOKUP(Table55[[#This Row],[Shortname]], Comp[], 30, FALSE)</f>
        <v>0</v>
      </c>
      <c r="AF80">
        <f>VLOOKUP(Table55[[#This Row],[Shortname]], Comp[], 31, FALSE)</f>
        <v>0</v>
      </c>
    </row>
    <row r="81" spans="1:32" x14ac:dyDescent="0.3">
      <c r="A81" t="s">
        <v>1021</v>
      </c>
      <c r="B81" t="s">
        <v>1023</v>
      </c>
      <c r="C81" t="s">
        <v>6601</v>
      </c>
      <c r="D81">
        <v>1147</v>
      </c>
      <c r="E81">
        <v>1264</v>
      </c>
      <c r="F81">
        <v>1359</v>
      </c>
      <c r="G81">
        <f>VLOOKUP(Table55[[#This Row],[Shortname]], Comp[], 6, FALSE)</f>
        <v>131</v>
      </c>
      <c r="H81" s="14">
        <f>VLOOKUP(Table55[[#This Row],[Shortname]], Comp[], 7, FALSE)</f>
        <v>35.599999999999994</v>
      </c>
      <c r="I81">
        <f>VLOOKUP(Table55[[#This Row],[Shortname]], Comp[], 8, FALSE)</f>
        <v>37.1</v>
      </c>
      <c r="J81">
        <f>VLOOKUP(Table55[[#This Row],[Shortname]], Comp[], 9, FALSE)</f>
        <v>3.1</v>
      </c>
      <c r="K81">
        <f>VLOOKUP(Table55[[#This Row],[Shortname]], Comp[], 10, FALSE)</f>
        <v>16.3</v>
      </c>
      <c r="L81">
        <f>VLOOKUP(Table55[[#This Row],[Shortname]], Comp[], 11, FALSE)</f>
        <v>0</v>
      </c>
      <c r="M81">
        <f>VLOOKUP(Table55[[#This Row],[Shortname]], Comp[],12, FALSE)</f>
        <v>7.9</v>
      </c>
      <c r="N81">
        <f>VLOOKUP(Table55[[#This Row],[Shortname]], Comp[], 13, FALSE)</f>
        <v>0</v>
      </c>
      <c r="O81">
        <f>VLOOKUP(Table55[[#This Row],[Shortname]], Comp[], 14, FALSE)</f>
        <v>0</v>
      </c>
      <c r="P81">
        <f>VLOOKUP(Table55[[#This Row],[Shortname]], Comp[], 15, FALSE)</f>
        <v>0</v>
      </c>
      <c r="Q81">
        <f>VLOOKUP(Table55[[#This Row],[Shortname]], Comp[], 16, FALSE)</f>
        <v>0</v>
      </c>
      <c r="R81">
        <f>VLOOKUP(Table55[[#This Row],[Shortname]], Comp[], 17, FALSE)</f>
        <v>0</v>
      </c>
      <c r="S81">
        <f>VLOOKUP(Table55[[#This Row],[Shortname]], Comp[], 18, FALSE)</f>
        <v>0</v>
      </c>
      <c r="T81">
        <f>VLOOKUP(Table55[[#This Row],[Shortname]], Comp[], 19, FALSE)</f>
        <v>0</v>
      </c>
      <c r="U81">
        <f>VLOOKUP(Table55[[#This Row],[Shortname]], Comp[], 20, FALSE)</f>
        <v>0</v>
      </c>
      <c r="V81">
        <f>VLOOKUP(Table55[[#This Row],[Shortname]], Comp[], 21, FALSE)</f>
        <v>0</v>
      </c>
      <c r="W81">
        <f>VLOOKUP(Table55[[#This Row],[Shortname]], Comp[], 22, FALSE)</f>
        <v>0</v>
      </c>
      <c r="X81">
        <f>VLOOKUP(Table55[[#This Row],[Shortname]], Comp[], 23, FALSE)</f>
        <v>0</v>
      </c>
      <c r="Y81">
        <f>VLOOKUP(Table55[[#This Row],[Shortname]], Comp[], 24, FALSE)</f>
        <v>0</v>
      </c>
      <c r="Z81">
        <f>VLOOKUP(Table55[[#This Row],[Shortname]], Comp[], 25, FALSE)</f>
        <v>0</v>
      </c>
      <c r="AA81">
        <f>VLOOKUP(Table55[[#This Row],[Shortname]], Comp[], 26, FALSE)</f>
        <v>0</v>
      </c>
      <c r="AB81">
        <f>VLOOKUP(Table55[[#This Row],[Shortname]], Comp[], 27, FALSE)</f>
        <v>0</v>
      </c>
      <c r="AC81">
        <f>VLOOKUP(Table55[[#This Row],[Shortname]], Comp[], 28, FALSE)</f>
        <v>0</v>
      </c>
      <c r="AD81">
        <f>VLOOKUP(Table55[[#This Row],[Shortname]], Comp[], 29, FALSE)</f>
        <v>0</v>
      </c>
      <c r="AE81">
        <f>VLOOKUP(Table55[[#This Row],[Shortname]], Comp[], 30, FALSE)</f>
        <v>0</v>
      </c>
      <c r="AF81">
        <f>VLOOKUP(Table55[[#This Row],[Shortname]], Comp[], 31, FALSE)</f>
        <v>0</v>
      </c>
    </row>
    <row r="82" spans="1:32" x14ac:dyDescent="0.3">
      <c r="A82" t="s">
        <v>1054</v>
      </c>
      <c r="B82" t="s">
        <v>1056</v>
      </c>
      <c r="C82" t="s">
        <v>6601</v>
      </c>
      <c r="D82">
        <v>1135</v>
      </c>
      <c r="E82">
        <v>1294</v>
      </c>
      <c r="F82">
        <v>1371</v>
      </c>
      <c r="G82">
        <f>VLOOKUP(Table55[[#This Row],[Shortname]], Comp[], 6, FALSE)</f>
        <v>135</v>
      </c>
      <c r="H82" s="14">
        <f>VLOOKUP(Table55[[#This Row],[Shortname]], Comp[], 7, FALSE)</f>
        <v>18</v>
      </c>
      <c r="I82">
        <f>VLOOKUP(Table55[[#This Row],[Shortname]], Comp[], 8, FALSE)</f>
        <v>54.3</v>
      </c>
      <c r="J82">
        <f>VLOOKUP(Table55[[#This Row],[Shortname]], Comp[], 9, FALSE)</f>
        <v>4.3</v>
      </c>
      <c r="K82">
        <f>VLOOKUP(Table55[[#This Row],[Shortname]], Comp[], 10, FALSE)</f>
        <v>15.7</v>
      </c>
      <c r="L82">
        <f>VLOOKUP(Table55[[#This Row],[Shortname]], Comp[], 11, FALSE)</f>
        <v>0</v>
      </c>
      <c r="M82">
        <f>VLOOKUP(Table55[[#This Row],[Shortname]], Comp[],12, FALSE)</f>
        <v>7.7</v>
      </c>
      <c r="N82">
        <f>VLOOKUP(Table55[[#This Row],[Shortname]], Comp[], 13, FALSE)</f>
        <v>0</v>
      </c>
      <c r="O82">
        <f>VLOOKUP(Table55[[#This Row],[Shortname]], Comp[], 14, FALSE)</f>
        <v>0</v>
      </c>
      <c r="P82">
        <f>VLOOKUP(Table55[[#This Row],[Shortname]], Comp[], 15, FALSE)</f>
        <v>0</v>
      </c>
      <c r="Q82">
        <f>VLOOKUP(Table55[[#This Row],[Shortname]], Comp[], 16, FALSE)</f>
        <v>0</v>
      </c>
      <c r="R82">
        <f>VLOOKUP(Table55[[#This Row],[Shortname]], Comp[], 17, FALSE)</f>
        <v>0</v>
      </c>
      <c r="S82">
        <f>VLOOKUP(Table55[[#This Row],[Shortname]], Comp[], 18, FALSE)</f>
        <v>0</v>
      </c>
      <c r="T82">
        <f>VLOOKUP(Table55[[#This Row],[Shortname]], Comp[], 19, FALSE)</f>
        <v>0</v>
      </c>
      <c r="U82">
        <f>VLOOKUP(Table55[[#This Row],[Shortname]], Comp[], 20, FALSE)</f>
        <v>0</v>
      </c>
      <c r="V82">
        <f>VLOOKUP(Table55[[#This Row],[Shortname]], Comp[], 21, FALSE)</f>
        <v>0</v>
      </c>
      <c r="W82">
        <f>VLOOKUP(Table55[[#This Row],[Shortname]], Comp[], 22, FALSE)</f>
        <v>0</v>
      </c>
      <c r="X82">
        <f>VLOOKUP(Table55[[#This Row],[Shortname]], Comp[], 23, FALSE)</f>
        <v>0</v>
      </c>
      <c r="Y82">
        <f>VLOOKUP(Table55[[#This Row],[Shortname]], Comp[], 24, FALSE)</f>
        <v>0</v>
      </c>
      <c r="Z82">
        <f>VLOOKUP(Table55[[#This Row],[Shortname]], Comp[], 25, FALSE)</f>
        <v>0</v>
      </c>
      <c r="AA82">
        <f>VLOOKUP(Table55[[#This Row],[Shortname]], Comp[], 26, FALSE)</f>
        <v>0</v>
      </c>
      <c r="AB82">
        <f>VLOOKUP(Table55[[#This Row],[Shortname]], Comp[], 27, FALSE)</f>
        <v>0</v>
      </c>
      <c r="AC82">
        <f>VLOOKUP(Table55[[#This Row],[Shortname]], Comp[], 28, FALSE)</f>
        <v>0</v>
      </c>
      <c r="AD82">
        <f>VLOOKUP(Table55[[#This Row],[Shortname]], Comp[], 29, FALSE)</f>
        <v>0</v>
      </c>
      <c r="AE82">
        <f>VLOOKUP(Table55[[#This Row],[Shortname]], Comp[], 30, FALSE)</f>
        <v>0</v>
      </c>
      <c r="AF82">
        <f>VLOOKUP(Table55[[#This Row],[Shortname]], Comp[], 31, FALSE)</f>
        <v>0</v>
      </c>
    </row>
    <row r="83" spans="1:32" x14ac:dyDescent="0.3">
      <c r="A83" t="s">
        <v>1012</v>
      </c>
      <c r="B83" t="s">
        <v>1014</v>
      </c>
      <c r="C83" t="s">
        <v>6601</v>
      </c>
      <c r="D83">
        <v>1135</v>
      </c>
      <c r="E83">
        <v>1248</v>
      </c>
      <c r="F83">
        <v>1349</v>
      </c>
      <c r="G83">
        <f>VLOOKUP(Table55[[#This Row],[Shortname]], Comp[], 6, FALSE)</f>
        <v>130</v>
      </c>
      <c r="H83" s="14">
        <f>VLOOKUP(Table55[[#This Row],[Shortname]], Comp[], 7, FALSE)</f>
        <v>32.599999999999994</v>
      </c>
      <c r="I83">
        <f>VLOOKUP(Table55[[#This Row],[Shortname]], Comp[], 8, FALSE)</f>
        <v>34.200000000000003</v>
      </c>
      <c r="J83">
        <f>VLOOKUP(Table55[[#This Row],[Shortname]], Comp[], 9, FALSE)</f>
        <v>3.6</v>
      </c>
      <c r="K83">
        <f>VLOOKUP(Table55[[#This Row],[Shortname]], Comp[], 10, FALSE)</f>
        <v>21.5</v>
      </c>
      <c r="L83">
        <f>VLOOKUP(Table55[[#This Row],[Shortname]], Comp[], 11, FALSE)</f>
        <v>0</v>
      </c>
      <c r="M83">
        <f>VLOOKUP(Table55[[#This Row],[Shortname]], Comp[],12, FALSE)</f>
        <v>8.1</v>
      </c>
      <c r="N83">
        <f>VLOOKUP(Table55[[#This Row],[Shortname]], Comp[], 13, FALSE)</f>
        <v>0</v>
      </c>
      <c r="O83">
        <f>VLOOKUP(Table55[[#This Row],[Shortname]], Comp[], 14, FALSE)</f>
        <v>0</v>
      </c>
      <c r="P83">
        <f>VLOOKUP(Table55[[#This Row],[Shortname]], Comp[], 15, FALSE)</f>
        <v>0</v>
      </c>
      <c r="Q83">
        <f>VLOOKUP(Table55[[#This Row],[Shortname]], Comp[], 16, FALSE)</f>
        <v>0</v>
      </c>
      <c r="R83">
        <f>VLOOKUP(Table55[[#This Row],[Shortname]], Comp[], 17, FALSE)</f>
        <v>0</v>
      </c>
      <c r="S83">
        <f>VLOOKUP(Table55[[#This Row],[Shortname]], Comp[], 18, FALSE)</f>
        <v>0</v>
      </c>
      <c r="T83">
        <f>VLOOKUP(Table55[[#This Row],[Shortname]], Comp[], 19, FALSE)</f>
        <v>0</v>
      </c>
      <c r="U83">
        <f>VLOOKUP(Table55[[#This Row],[Shortname]], Comp[], 20, FALSE)</f>
        <v>0</v>
      </c>
      <c r="V83">
        <f>VLOOKUP(Table55[[#This Row],[Shortname]], Comp[], 21, FALSE)</f>
        <v>0</v>
      </c>
      <c r="W83">
        <f>VLOOKUP(Table55[[#This Row],[Shortname]], Comp[], 22, FALSE)</f>
        <v>0</v>
      </c>
      <c r="X83">
        <f>VLOOKUP(Table55[[#This Row],[Shortname]], Comp[], 23, FALSE)</f>
        <v>0</v>
      </c>
      <c r="Y83">
        <f>VLOOKUP(Table55[[#This Row],[Shortname]], Comp[], 24, FALSE)</f>
        <v>0</v>
      </c>
      <c r="Z83">
        <f>VLOOKUP(Table55[[#This Row],[Shortname]], Comp[], 25, FALSE)</f>
        <v>0</v>
      </c>
      <c r="AA83">
        <f>VLOOKUP(Table55[[#This Row],[Shortname]], Comp[], 26, FALSE)</f>
        <v>0</v>
      </c>
      <c r="AB83">
        <f>VLOOKUP(Table55[[#This Row],[Shortname]], Comp[], 27, FALSE)</f>
        <v>0</v>
      </c>
      <c r="AC83">
        <f>VLOOKUP(Table55[[#This Row],[Shortname]], Comp[], 28, FALSE)</f>
        <v>0</v>
      </c>
      <c r="AD83">
        <f>VLOOKUP(Table55[[#This Row],[Shortname]], Comp[], 29, FALSE)</f>
        <v>0</v>
      </c>
      <c r="AE83">
        <f>VLOOKUP(Table55[[#This Row],[Shortname]], Comp[], 30, FALSE)</f>
        <v>0</v>
      </c>
      <c r="AF83">
        <f>VLOOKUP(Table55[[#This Row],[Shortname]], Comp[], 31, FALSE)</f>
        <v>0</v>
      </c>
    </row>
    <row r="84" spans="1:32" x14ac:dyDescent="0.3">
      <c r="A84" t="s">
        <v>992</v>
      </c>
      <c r="B84" t="s">
        <v>994</v>
      </c>
      <c r="C84" t="s">
        <v>6601</v>
      </c>
      <c r="D84">
        <v>1122</v>
      </c>
      <c r="E84">
        <v>1302</v>
      </c>
      <c r="F84">
        <v>1371</v>
      </c>
      <c r="G84">
        <f>VLOOKUP(Table55[[#This Row],[Shortname]], Comp[], 6, FALSE)</f>
        <v>128</v>
      </c>
      <c r="H84" s="14">
        <f>VLOOKUP(Table55[[#This Row],[Shortname]], Comp[], 7, FALSE)</f>
        <v>19.5</v>
      </c>
      <c r="I84">
        <f>VLOOKUP(Table55[[#This Row],[Shortname]], Comp[], 8, FALSE)</f>
        <v>58.3</v>
      </c>
      <c r="J84">
        <f>VLOOKUP(Table55[[#This Row],[Shortname]], Comp[], 9, FALSE)</f>
        <v>3.2</v>
      </c>
      <c r="K84">
        <f>VLOOKUP(Table55[[#This Row],[Shortname]], Comp[], 10, FALSE)</f>
        <v>10.8</v>
      </c>
      <c r="L84">
        <f>VLOOKUP(Table55[[#This Row],[Shortname]], Comp[], 11, FALSE)</f>
        <v>0</v>
      </c>
      <c r="M84">
        <f>VLOOKUP(Table55[[#This Row],[Shortname]], Comp[],12, FALSE)</f>
        <v>8.1999999999999993</v>
      </c>
      <c r="N84">
        <f>VLOOKUP(Table55[[#This Row],[Shortname]], Comp[], 13, FALSE)</f>
        <v>0</v>
      </c>
      <c r="O84">
        <f>VLOOKUP(Table55[[#This Row],[Shortname]], Comp[], 14, FALSE)</f>
        <v>0</v>
      </c>
      <c r="P84">
        <f>VLOOKUP(Table55[[#This Row],[Shortname]], Comp[], 15, FALSE)</f>
        <v>0</v>
      </c>
      <c r="Q84">
        <f>VLOOKUP(Table55[[#This Row],[Shortname]], Comp[], 16, FALSE)</f>
        <v>0</v>
      </c>
      <c r="R84">
        <f>VLOOKUP(Table55[[#This Row],[Shortname]], Comp[], 17, FALSE)</f>
        <v>0</v>
      </c>
      <c r="S84">
        <f>VLOOKUP(Table55[[#This Row],[Shortname]], Comp[], 18, FALSE)</f>
        <v>0</v>
      </c>
      <c r="T84">
        <f>VLOOKUP(Table55[[#This Row],[Shortname]], Comp[], 19, FALSE)</f>
        <v>0</v>
      </c>
      <c r="U84">
        <f>VLOOKUP(Table55[[#This Row],[Shortname]], Comp[], 20, FALSE)</f>
        <v>0</v>
      </c>
      <c r="V84">
        <f>VLOOKUP(Table55[[#This Row],[Shortname]], Comp[], 21, FALSE)</f>
        <v>0</v>
      </c>
      <c r="W84">
        <f>VLOOKUP(Table55[[#This Row],[Shortname]], Comp[], 22, FALSE)</f>
        <v>0</v>
      </c>
      <c r="X84">
        <f>VLOOKUP(Table55[[#This Row],[Shortname]], Comp[], 23, FALSE)</f>
        <v>0</v>
      </c>
      <c r="Y84">
        <f>VLOOKUP(Table55[[#This Row],[Shortname]], Comp[], 24, FALSE)</f>
        <v>0</v>
      </c>
      <c r="Z84">
        <f>VLOOKUP(Table55[[#This Row],[Shortname]], Comp[], 25, FALSE)</f>
        <v>0</v>
      </c>
      <c r="AA84">
        <f>VLOOKUP(Table55[[#This Row],[Shortname]], Comp[], 26, FALSE)</f>
        <v>0</v>
      </c>
      <c r="AB84">
        <f>VLOOKUP(Table55[[#This Row],[Shortname]], Comp[], 27, FALSE)</f>
        <v>0</v>
      </c>
      <c r="AC84">
        <f>VLOOKUP(Table55[[#This Row],[Shortname]], Comp[], 28, FALSE)</f>
        <v>0</v>
      </c>
      <c r="AD84">
        <f>VLOOKUP(Table55[[#This Row],[Shortname]], Comp[], 29, FALSE)</f>
        <v>0</v>
      </c>
      <c r="AE84">
        <f>VLOOKUP(Table55[[#This Row],[Shortname]], Comp[], 30, FALSE)</f>
        <v>0</v>
      </c>
      <c r="AF84">
        <f>VLOOKUP(Table55[[#This Row],[Shortname]], Comp[], 31, FALSE)</f>
        <v>0</v>
      </c>
    </row>
    <row r="85" spans="1:32" x14ac:dyDescent="0.3">
      <c r="A85" t="s">
        <v>1107</v>
      </c>
      <c r="B85" t="s">
        <v>1109</v>
      </c>
      <c r="C85" t="s">
        <v>6601</v>
      </c>
      <c r="D85">
        <v>1120</v>
      </c>
      <c r="E85">
        <v>1301</v>
      </c>
      <c r="F85">
        <v>1379</v>
      </c>
      <c r="G85">
        <f>VLOOKUP(Table55[[#This Row],[Shortname]], Comp[], 6, FALSE)</f>
        <v>141</v>
      </c>
      <c r="H85" s="14">
        <f>VLOOKUP(Table55[[#This Row],[Shortname]], Comp[], 7, FALSE)</f>
        <v>18.299999999999997</v>
      </c>
      <c r="I85">
        <f>VLOOKUP(Table55[[#This Row],[Shortname]], Comp[], 8, FALSE)</f>
        <v>54.9</v>
      </c>
      <c r="J85">
        <f>VLOOKUP(Table55[[#This Row],[Shortname]], Comp[], 9, FALSE)</f>
        <v>5.6</v>
      </c>
      <c r="K85">
        <f>VLOOKUP(Table55[[#This Row],[Shortname]], Comp[], 10, FALSE)</f>
        <v>15.9</v>
      </c>
      <c r="L85">
        <f>VLOOKUP(Table55[[#This Row],[Shortname]], Comp[], 11, FALSE)</f>
        <v>0</v>
      </c>
      <c r="M85">
        <f>VLOOKUP(Table55[[#This Row],[Shortname]], Comp[],12, FALSE)</f>
        <v>5.3</v>
      </c>
      <c r="N85">
        <f>VLOOKUP(Table55[[#This Row],[Shortname]], Comp[], 13, FALSE)</f>
        <v>0</v>
      </c>
      <c r="O85">
        <f>VLOOKUP(Table55[[#This Row],[Shortname]], Comp[], 14, FALSE)</f>
        <v>0</v>
      </c>
      <c r="P85">
        <f>VLOOKUP(Table55[[#This Row],[Shortname]], Comp[], 15, FALSE)</f>
        <v>0</v>
      </c>
      <c r="Q85">
        <f>VLOOKUP(Table55[[#This Row],[Shortname]], Comp[], 16, FALSE)</f>
        <v>0</v>
      </c>
      <c r="R85">
        <f>VLOOKUP(Table55[[#This Row],[Shortname]], Comp[], 17, FALSE)</f>
        <v>0</v>
      </c>
      <c r="S85">
        <f>VLOOKUP(Table55[[#This Row],[Shortname]], Comp[], 18, FALSE)</f>
        <v>0</v>
      </c>
      <c r="T85">
        <f>VLOOKUP(Table55[[#This Row],[Shortname]], Comp[], 19, FALSE)</f>
        <v>0</v>
      </c>
      <c r="U85">
        <f>VLOOKUP(Table55[[#This Row],[Shortname]], Comp[], 20, FALSE)</f>
        <v>0</v>
      </c>
      <c r="V85">
        <f>VLOOKUP(Table55[[#This Row],[Shortname]], Comp[], 21, FALSE)</f>
        <v>0</v>
      </c>
      <c r="W85">
        <f>VLOOKUP(Table55[[#This Row],[Shortname]], Comp[], 22, FALSE)</f>
        <v>0</v>
      </c>
      <c r="X85">
        <f>VLOOKUP(Table55[[#This Row],[Shortname]], Comp[], 23, FALSE)</f>
        <v>0</v>
      </c>
      <c r="Y85">
        <f>VLOOKUP(Table55[[#This Row],[Shortname]], Comp[], 24, FALSE)</f>
        <v>0</v>
      </c>
      <c r="Z85">
        <f>VLOOKUP(Table55[[#This Row],[Shortname]], Comp[], 25, FALSE)</f>
        <v>0</v>
      </c>
      <c r="AA85">
        <f>VLOOKUP(Table55[[#This Row],[Shortname]], Comp[], 26, FALSE)</f>
        <v>0</v>
      </c>
      <c r="AB85">
        <f>VLOOKUP(Table55[[#This Row],[Shortname]], Comp[], 27, FALSE)</f>
        <v>0</v>
      </c>
      <c r="AC85">
        <f>VLOOKUP(Table55[[#This Row],[Shortname]], Comp[], 28, FALSE)</f>
        <v>0</v>
      </c>
      <c r="AD85">
        <f>VLOOKUP(Table55[[#This Row],[Shortname]], Comp[], 29, FALSE)</f>
        <v>0</v>
      </c>
      <c r="AE85">
        <f>VLOOKUP(Table55[[#This Row],[Shortname]], Comp[], 30, FALSE)</f>
        <v>0</v>
      </c>
      <c r="AF85">
        <f>VLOOKUP(Table55[[#This Row],[Shortname]], Comp[], 31, FALSE)</f>
        <v>0</v>
      </c>
    </row>
    <row r="86" spans="1:32" x14ac:dyDescent="0.3">
      <c r="A86" t="s">
        <v>1073</v>
      </c>
      <c r="B86" t="s">
        <v>1075</v>
      </c>
      <c r="C86" t="s">
        <v>6601</v>
      </c>
      <c r="D86">
        <v>1099</v>
      </c>
      <c r="E86">
        <v>1337</v>
      </c>
      <c r="F86">
        <v>1392</v>
      </c>
      <c r="G86">
        <f>VLOOKUP(Table55[[#This Row],[Shortname]], Comp[], 6, FALSE)</f>
        <v>137</v>
      </c>
      <c r="H86" s="14">
        <f>VLOOKUP(Table55[[#This Row],[Shortname]], Comp[], 7, FALSE)</f>
        <v>19.5</v>
      </c>
      <c r="I86">
        <f>VLOOKUP(Table55[[#This Row],[Shortname]], Comp[], 8, FALSE)</f>
        <v>59.5</v>
      </c>
      <c r="J86">
        <f>VLOOKUP(Table55[[#This Row],[Shortname]], Comp[], 9, FALSE)</f>
        <v>4.5</v>
      </c>
      <c r="K86">
        <f>VLOOKUP(Table55[[#This Row],[Shortname]], Comp[], 10, FALSE)</f>
        <v>10.9</v>
      </c>
      <c r="L86">
        <f>VLOOKUP(Table55[[#This Row],[Shortname]], Comp[], 11, FALSE)</f>
        <v>0</v>
      </c>
      <c r="M86">
        <f>VLOOKUP(Table55[[#This Row],[Shortname]], Comp[],12, FALSE)</f>
        <v>5.6</v>
      </c>
      <c r="N86">
        <f>VLOOKUP(Table55[[#This Row],[Shortname]], Comp[], 13, FALSE)</f>
        <v>0</v>
      </c>
      <c r="O86">
        <f>VLOOKUP(Table55[[#This Row],[Shortname]], Comp[], 14, FALSE)</f>
        <v>0</v>
      </c>
      <c r="P86">
        <f>VLOOKUP(Table55[[#This Row],[Shortname]], Comp[], 15, FALSE)</f>
        <v>0</v>
      </c>
      <c r="Q86">
        <f>VLOOKUP(Table55[[#This Row],[Shortname]], Comp[], 16, FALSE)</f>
        <v>0</v>
      </c>
      <c r="R86">
        <f>VLOOKUP(Table55[[#This Row],[Shortname]], Comp[], 17, FALSE)</f>
        <v>0</v>
      </c>
      <c r="S86">
        <f>VLOOKUP(Table55[[#This Row],[Shortname]], Comp[], 18, FALSE)</f>
        <v>0</v>
      </c>
      <c r="T86">
        <f>VLOOKUP(Table55[[#This Row],[Shortname]], Comp[], 19, FALSE)</f>
        <v>0</v>
      </c>
      <c r="U86">
        <f>VLOOKUP(Table55[[#This Row],[Shortname]], Comp[], 20, FALSE)</f>
        <v>0</v>
      </c>
      <c r="V86">
        <f>VLOOKUP(Table55[[#This Row],[Shortname]], Comp[], 21, FALSE)</f>
        <v>0</v>
      </c>
      <c r="W86">
        <f>VLOOKUP(Table55[[#This Row],[Shortname]], Comp[], 22, FALSE)</f>
        <v>0</v>
      </c>
      <c r="X86">
        <f>VLOOKUP(Table55[[#This Row],[Shortname]], Comp[], 23, FALSE)</f>
        <v>0</v>
      </c>
      <c r="Y86">
        <f>VLOOKUP(Table55[[#This Row],[Shortname]], Comp[], 24, FALSE)</f>
        <v>0</v>
      </c>
      <c r="Z86">
        <f>VLOOKUP(Table55[[#This Row],[Shortname]], Comp[], 25, FALSE)</f>
        <v>0</v>
      </c>
      <c r="AA86">
        <f>VLOOKUP(Table55[[#This Row],[Shortname]], Comp[], 26, FALSE)</f>
        <v>0</v>
      </c>
      <c r="AB86">
        <f>VLOOKUP(Table55[[#This Row],[Shortname]], Comp[], 27, FALSE)</f>
        <v>0</v>
      </c>
      <c r="AC86">
        <f>VLOOKUP(Table55[[#This Row],[Shortname]], Comp[], 28, FALSE)</f>
        <v>0</v>
      </c>
      <c r="AD86">
        <f>VLOOKUP(Table55[[#This Row],[Shortname]], Comp[], 29, FALSE)</f>
        <v>0</v>
      </c>
      <c r="AE86">
        <f>VLOOKUP(Table55[[#This Row],[Shortname]], Comp[], 30, FALSE)</f>
        <v>0</v>
      </c>
      <c r="AF86">
        <f>VLOOKUP(Table55[[#This Row],[Shortname]], Comp[], 31, FALSE)</f>
        <v>0</v>
      </c>
    </row>
    <row r="87" spans="1:32" x14ac:dyDescent="0.3">
      <c r="A87" t="s">
        <v>1124</v>
      </c>
      <c r="B87" t="s">
        <v>1126</v>
      </c>
      <c r="C87" t="s">
        <v>6601</v>
      </c>
      <c r="D87">
        <v>1094</v>
      </c>
      <c r="E87">
        <v>1305</v>
      </c>
      <c r="F87">
        <v>1385</v>
      </c>
      <c r="G87">
        <f>VLOOKUP(Table55[[#This Row],[Shortname]], Comp[], 6, FALSE)</f>
        <v>143</v>
      </c>
      <c r="H87" s="14">
        <f>VLOOKUP(Table55[[#This Row],[Shortname]], Comp[], 7, FALSE)</f>
        <v>36.5</v>
      </c>
      <c r="I87">
        <f>VLOOKUP(Table55[[#This Row],[Shortname]], Comp[], 8, FALSE)</f>
        <v>36.799999999999997</v>
      </c>
      <c r="J87">
        <f>VLOOKUP(Table55[[#This Row],[Shortname]], Comp[], 9, FALSE)</f>
        <v>5.4</v>
      </c>
      <c r="K87">
        <f>VLOOKUP(Table55[[#This Row],[Shortname]], Comp[], 10, FALSE)</f>
        <v>16.100000000000001</v>
      </c>
      <c r="L87">
        <f>VLOOKUP(Table55[[#This Row],[Shortname]], Comp[], 11, FALSE)</f>
        <v>0</v>
      </c>
      <c r="M87">
        <f>VLOOKUP(Table55[[#This Row],[Shortname]], Comp[],12, FALSE)</f>
        <v>5.2</v>
      </c>
      <c r="N87">
        <f>VLOOKUP(Table55[[#This Row],[Shortname]], Comp[], 13, FALSE)</f>
        <v>0</v>
      </c>
      <c r="O87">
        <f>VLOOKUP(Table55[[#This Row],[Shortname]], Comp[], 14, FALSE)</f>
        <v>0</v>
      </c>
      <c r="P87">
        <f>VLOOKUP(Table55[[#This Row],[Shortname]], Comp[], 15, FALSE)</f>
        <v>0</v>
      </c>
      <c r="Q87">
        <f>VLOOKUP(Table55[[#This Row],[Shortname]], Comp[], 16, FALSE)</f>
        <v>0</v>
      </c>
      <c r="R87">
        <f>VLOOKUP(Table55[[#This Row],[Shortname]], Comp[], 17, FALSE)</f>
        <v>0</v>
      </c>
      <c r="S87">
        <f>VLOOKUP(Table55[[#This Row],[Shortname]], Comp[], 18, FALSE)</f>
        <v>0</v>
      </c>
      <c r="T87">
        <f>VLOOKUP(Table55[[#This Row],[Shortname]], Comp[], 19, FALSE)</f>
        <v>0</v>
      </c>
      <c r="U87">
        <f>VLOOKUP(Table55[[#This Row],[Shortname]], Comp[], 20, FALSE)</f>
        <v>0</v>
      </c>
      <c r="V87">
        <f>VLOOKUP(Table55[[#This Row],[Shortname]], Comp[], 21, FALSE)</f>
        <v>0</v>
      </c>
      <c r="W87">
        <f>VLOOKUP(Table55[[#This Row],[Shortname]], Comp[], 22, FALSE)</f>
        <v>0</v>
      </c>
      <c r="X87">
        <f>VLOOKUP(Table55[[#This Row],[Shortname]], Comp[], 23, FALSE)</f>
        <v>0</v>
      </c>
      <c r="Y87">
        <f>VLOOKUP(Table55[[#This Row],[Shortname]], Comp[], 24, FALSE)</f>
        <v>0</v>
      </c>
      <c r="Z87">
        <f>VLOOKUP(Table55[[#This Row],[Shortname]], Comp[], 25, FALSE)</f>
        <v>0</v>
      </c>
      <c r="AA87">
        <f>VLOOKUP(Table55[[#This Row],[Shortname]], Comp[], 26, FALSE)</f>
        <v>0</v>
      </c>
      <c r="AB87">
        <f>VLOOKUP(Table55[[#This Row],[Shortname]], Comp[], 27, FALSE)</f>
        <v>0</v>
      </c>
      <c r="AC87">
        <f>VLOOKUP(Table55[[#This Row],[Shortname]], Comp[], 28, FALSE)</f>
        <v>0</v>
      </c>
      <c r="AD87">
        <f>VLOOKUP(Table55[[#This Row],[Shortname]], Comp[], 29, FALSE)</f>
        <v>0</v>
      </c>
      <c r="AE87">
        <f>VLOOKUP(Table55[[#This Row],[Shortname]], Comp[], 30, FALSE)</f>
        <v>0</v>
      </c>
      <c r="AF87">
        <f>VLOOKUP(Table55[[#This Row],[Shortname]], Comp[], 31, FALSE)</f>
        <v>0</v>
      </c>
    </row>
    <row r="88" spans="1:32" x14ac:dyDescent="0.3">
      <c r="A88" t="s">
        <v>1212</v>
      </c>
      <c r="B88" t="s">
        <v>1214</v>
      </c>
      <c r="C88" t="s">
        <v>6601</v>
      </c>
      <c r="D88">
        <v>1088</v>
      </c>
      <c r="E88">
        <v>1324</v>
      </c>
      <c r="F88">
        <v>1392</v>
      </c>
      <c r="G88">
        <f>VLOOKUP(Table55[[#This Row],[Shortname]], Comp[], 6, FALSE)</f>
        <v>154</v>
      </c>
      <c r="H88" s="14">
        <f>VLOOKUP(Table55[[#This Row],[Shortname]], Comp[], 7, FALSE)</f>
        <v>17.5</v>
      </c>
      <c r="I88">
        <f>VLOOKUP(Table55[[#This Row],[Shortname]], Comp[], 8, FALSE)</f>
        <v>50.6</v>
      </c>
      <c r="J88">
        <f>VLOOKUP(Table55[[#This Row],[Shortname]], Comp[], 9, FALSE)</f>
        <v>8.5</v>
      </c>
      <c r="K88">
        <f>VLOOKUP(Table55[[#This Row],[Shortname]], Comp[], 10, FALSE)</f>
        <v>20.9</v>
      </c>
      <c r="L88">
        <f>VLOOKUP(Table55[[#This Row],[Shortname]], Comp[], 11, FALSE)</f>
        <v>0</v>
      </c>
      <c r="M88">
        <f>VLOOKUP(Table55[[#This Row],[Shortname]], Comp[],12, FALSE)</f>
        <v>2.5</v>
      </c>
      <c r="N88">
        <f>VLOOKUP(Table55[[#This Row],[Shortname]], Comp[], 13, FALSE)</f>
        <v>0</v>
      </c>
      <c r="O88">
        <f>VLOOKUP(Table55[[#This Row],[Shortname]], Comp[], 14, FALSE)</f>
        <v>0</v>
      </c>
      <c r="P88">
        <f>VLOOKUP(Table55[[#This Row],[Shortname]], Comp[], 15, FALSE)</f>
        <v>0</v>
      </c>
      <c r="Q88">
        <f>VLOOKUP(Table55[[#This Row],[Shortname]], Comp[], 16, FALSE)</f>
        <v>0</v>
      </c>
      <c r="R88">
        <f>VLOOKUP(Table55[[#This Row],[Shortname]], Comp[], 17, FALSE)</f>
        <v>0</v>
      </c>
      <c r="S88">
        <f>VLOOKUP(Table55[[#This Row],[Shortname]], Comp[], 18, FALSE)</f>
        <v>0</v>
      </c>
      <c r="T88">
        <f>VLOOKUP(Table55[[#This Row],[Shortname]], Comp[], 19, FALSE)</f>
        <v>0</v>
      </c>
      <c r="U88">
        <f>VLOOKUP(Table55[[#This Row],[Shortname]], Comp[], 20, FALSE)</f>
        <v>0</v>
      </c>
      <c r="V88">
        <f>VLOOKUP(Table55[[#This Row],[Shortname]], Comp[], 21, FALSE)</f>
        <v>0</v>
      </c>
      <c r="W88">
        <f>VLOOKUP(Table55[[#This Row],[Shortname]], Comp[], 22, FALSE)</f>
        <v>0</v>
      </c>
      <c r="X88">
        <f>VLOOKUP(Table55[[#This Row],[Shortname]], Comp[], 23, FALSE)</f>
        <v>0</v>
      </c>
      <c r="Y88">
        <f>VLOOKUP(Table55[[#This Row],[Shortname]], Comp[], 24, FALSE)</f>
        <v>0</v>
      </c>
      <c r="Z88">
        <f>VLOOKUP(Table55[[#This Row],[Shortname]], Comp[], 25, FALSE)</f>
        <v>0</v>
      </c>
      <c r="AA88">
        <f>VLOOKUP(Table55[[#This Row],[Shortname]], Comp[], 26, FALSE)</f>
        <v>0</v>
      </c>
      <c r="AB88">
        <f>VLOOKUP(Table55[[#This Row],[Shortname]], Comp[], 27, FALSE)</f>
        <v>0</v>
      </c>
      <c r="AC88">
        <f>VLOOKUP(Table55[[#This Row],[Shortname]], Comp[], 28, FALSE)</f>
        <v>0</v>
      </c>
      <c r="AD88">
        <f>VLOOKUP(Table55[[#This Row],[Shortname]], Comp[], 29, FALSE)</f>
        <v>0</v>
      </c>
      <c r="AE88">
        <f>VLOOKUP(Table55[[#This Row],[Shortname]], Comp[], 30, FALSE)</f>
        <v>0</v>
      </c>
      <c r="AF88">
        <f>VLOOKUP(Table55[[#This Row],[Shortname]], Comp[], 31, FALSE)</f>
        <v>0</v>
      </c>
    </row>
    <row r="89" spans="1:32" x14ac:dyDescent="0.3">
      <c r="A89" t="s">
        <v>1064</v>
      </c>
      <c r="B89" t="s">
        <v>1066</v>
      </c>
      <c r="C89" t="s">
        <v>6601</v>
      </c>
      <c r="D89">
        <v>1082</v>
      </c>
      <c r="E89">
        <v>1298</v>
      </c>
      <c r="F89">
        <v>1378</v>
      </c>
      <c r="G89">
        <f>VLOOKUP(Table55[[#This Row],[Shortname]], Comp[], 6, FALSE)</f>
        <v>136</v>
      </c>
      <c r="H89" s="14">
        <f>VLOOKUP(Table55[[#This Row],[Shortname]], Comp[], 7, FALSE)</f>
        <v>39.000000000000007</v>
      </c>
      <c r="I89">
        <f>VLOOKUP(Table55[[#This Row],[Shortname]], Comp[], 8, FALSE)</f>
        <v>39.799999999999997</v>
      </c>
      <c r="J89">
        <f>VLOOKUP(Table55[[#This Row],[Shortname]], Comp[], 9, FALSE)</f>
        <v>2.8</v>
      </c>
      <c r="K89">
        <f>VLOOKUP(Table55[[#This Row],[Shortname]], Comp[], 10, FALSE)</f>
        <v>10.8</v>
      </c>
      <c r="L89">
        <f>VLOOKUP(Table55[[#This Row],[Shortname]], Comp[], 11, FALSE)</f>
        <v>0</v>
      </c>
      <c r="M89">
        <f>VLOOKUP(Table55[[#This Row],[Shortname]], Comp[],12, FALSE)</f>
        <v>7.6</v>
      </c>
      <c r="N89">
        <f>VLOOKUP(Table55[[#This Row],[Shortname]], Comp[], 13, FALSE)</f>
        <v>0</v>
      </c>
      <c r="O89">
        <f>VLOOKUP(Table55[[#This Row],[Shortname]], Comp[], 14, FALSE)</f>
        <v>0</v>
      </c>
      <c r="P89">
        <f>VLOOKUP(Table55[[#This Row],[Shortname]], Comp[], 15, FALSE)</f>
        <v>0</v>
      </c>
      <c r="Q89">
        <f>VLOOKUP(Table55[[#This Row],[Shortname]], Comp[], 16, FALSE)</f>
        <v>0</v>
      </c>
      <c r="R89">
        <f>VLOOKUP(Table55[[#This Row],[Shortname]], Comp[], 17, FALSE)</f>
        <v>0</v>
      </c>
      <c r="S89">
        <f>VLOOKUP(Table55[[#This Row],[Shortname]], Comp[], 18, FALSE)</f>
        <v>0</v>
      </c>
      <c r="T89">
        <f>VLOOKUP(Table55[[#This Row],[Shortname]], Comp[], 19, FALSE)</f>
        <v>0</v>
      </c>
      <c r="U89">
        <f>VLOOKUP(Table55[[#This Row],[Shortname]], Comp[], 20, FALSE)</f>
        <v>0</v>
      </c>
      <c r="V89">
        <f>VLOOKUP(Table55[[#This Row],[Shortname]], Comp[], 21, FALSE)</f>
        <v>0</v>
      </c>
      <c r="W89">
        <f>VLOOKUP(Table55[[#This Row],[Shortname]], Comp[], 22, FALSE)</f>
        <v>0</v>
      </c>
      <c r="X89">
        <f>VLOOKUP(Table55[[#This Row],[Shortname]], Comp[], 23, FALSE)</f>
        <v>0</v>
      </c>
      <c r="Y89">
        <f>VLOOKUP(Table55[[#This Row],[Shortname]], Comp[], 24, FALSE)</f>
        <v>0</v>
      </c>
      <c r="Z89">
        <f>VLOOKUP(Table55[[#This Row],[Shortname]], Comp[], 25, FALSE)</f>
        <v>0</v>
      </c>
      <c r="AA89">
        <f>VLOOKUP(Table55[[#This Row],[Shortname]], Comp[], 26, FALSE)</f>
        <v>0</v>
      </c>
      <c r="AB89">
        <f>VLOOKUP(Table55[[#This Row],[Shortname]], Comp[], 27, FALSE)</f>
        <v>0</v>
      </c>
      <c r="AC89">
        <f>VLOOKUP(Table55[[#This Row],[Shortname]], Comp[], 28, FALSE)</f>
        <v>0</v>
      </c>
      <c r="AD89">
        <f>VLOOKUP(Table55[[#This Row],[Shortname]], Comp[], 29, FALSE)</f>
        <v>0</v>
      </c>
      <c r="AE89">
        <f>VLOOKUP(Table55[[#This Row],[Shortname]], Comp[], 30, FALSE)</f>
        <v>0</v>
      </c>
      <c r="AF89">
        <f>VLOOKUP(Table55[[#This Row],[Shortname]], Comp[], 31, FALSE)</f>
        <v>0</v>
      </c>
    </row>
    <row r="90" spans="1:32" x14ac:dyDescent="0.3">
      <c r="A90" t="s">
        <v>1139</v>
      </c>
      <c r="B90" t="s">
        <v>1141</v>
      </c>
      <c r="C90" t="s">
        <v>6601</v>
      </c>
      <c r="D90">
        <v>1080</v>
      </c>
      <c r="E90">
        <v>1351</v>
      </c>
      <c r="F90">
        <v>1400</v>
      </c>
      <c r="G90">
        <f>VLOOKUP(Table55[[#This Row],[Shortname]], Comp[], 6, FALSE)</f>
        <v>145</v>
      </c>
      <c r="H90" s="14">
        <f>VLOOKUP(Table55[[#This Row],[Shortname]], Comp[], 7, FALSE)</f>
        <v>51.1</v>
      </c>
      <c r="I90">
        <f>VLOOKUP(Table55[[#This Row],[Shortname]], Comp[], 8, FALSE)</f>
        <v>17</v>
      </c>
      <c r="J90">
        <f>VLOOKUP(Table55[[#This Row],[Shortname]], Comp[], 9, FALSE)</f>
        <v>5.5</v>
      </c>
      <c r="K90">
        <f>VLOOKUP(Table55[[#This Row],[Shortname]], Comp[], 10, FALSE)</f>
        <v>21.4</v>
      </c>
      <c r="L90">
        <f>VLOOKUP(Table55[[#This Row],[Shortname]], Comp[], 11, FALSE)</f>
        <v>0</v>
      </c>
      <c r="M90">
        <f>VLOOKUP(Table55[[#This Row],[Shortname]], Comp[],12, FALSE)</f>
        <v>5</v>
      </c>
      <c r="N90">
        <f>VLOOKUP(Table55[[#This Row],[Shortname]], Comp[], 13, FALSE)</f>
        <v>0</v>
      </c>
      <c r="O90">
        <f>VLOOKUP(Table55[[#This Row],[Shortname]], Comp[], 14, FALSE)</f>
        <v>0</v>
      </c>
      <c r="P90">
        <f>VLOOKUP(Table55[[#This Row],[Shortname]], Comp[], 15, FALSE)</f>
        <v>0</v>
      </c>
      <c r="Q90">
        <f>VLOOKUP(Table55[[#This Row],[Shortname]], Comp[], 16, FALSE)</f>
        <v>0</v>
      </c>
      <c r="R90">
        <f>VLOOKUP(Table55[[#This Row],[Shortname]], Comp[], 17, FALSE)</f>
        <v>0</v>
      </c>
      <c r="S90">
        <f>VLOOKUP(Table55[[#This Row],[Shortname]], Comp[], 18, FALSE)</f>
        <v>0</v>
      </c>
      <c r="T90">
        <f>VLOOKUP(Table55[[#This Row],[Shortname]], Comp[], 19, FALSE)</f>
        <v>0</v>
      </c>
      <c r="U90">
        <f>VLOOKUP(Table55[[#This Row],[Shortname]], Comp[], 20, FALSE)</f>
        <v>0</v>
      </c>
      <c r="V90">
        <f>VLOOKUP(Table55[[#This Row],[Shortname]], Comp[], 21, FALSE)</f>
        <v>0</v>
      </c>
      <c r="W90">
        <f>VLOOKUP(Table55[[#This Row],[Shortname]], Comp[], 22, FALSE)</f>
        <v>0</v>
      </c>
      <c r="X90">
        <f>VLOOKUP(Table55[[#This Row],[Shortname]], Comp[], 23, FALSE)</f>
        <v>0</v>
      </c>
      <c r="Y90">
        <f>VLOOKUP(Table55[[#This Row],[Shortname]], Comp[], 24, FALSE)</f>
        <v>0</v>
      </c>
      <c r="Z90">
        <f>VLOOKUP(Table55[[#This Row],[Shortname]], Comp[], 25, FALSE)</f>
        <v>0</v>
      </c>
      <c r="AA90">
        <f>VLOOKUP(Table55[[#This Row],[Shortname]], Comp[], 26, FALSE)</f>
        <v>0</v>
      </c>
      <c r="AB90">
        <f>VLOOKUP(Table55[[#This Row],[Shortname]], Comp[], 27, FALSE)</f>
        <v>0</v>
      </c>
      <c r="AC90">
        <f>VLOOKUP(Table55[[#This Row],[Shortname]], Comp[], 28, FALSE)</f>
        <v>0</v>
      </c>
      <c r="AD90">
        <f>VLOOKUP(Table55[[#This Row],[Shortname]], Comp[], 29, FALSE)</f>
        <v>0</v>
      </c>
      <c r="AE90">
        <f>VLOOKUP(Table55[[#This Row],[Shortname]], Comp[], 30, FALSE)</f>
        <v>0</v>
      </c>
      <c r="AF90">
        <f>VLOOKUP(Table55[[#This Row],[Shortname]], Comp[], 31, FALSE)</f>
        <v>0</v>
      </c>
    </row>
    <row r="91" spans="1:32" x14ac:dyDescent="0.3">
      <c r="A91" t="s">
        <v>1030</v>
      </c>
      <c r="B91" t="s">
        <v>1032</v>
      </c>
      <c r="C91" t="s">
        <v>6601</v>
      </c>
      <c r="D91">
        <v>1078</v>
      </c>
      <c r="E91">
        <v>1225</v>
      </c>
      <c r="F91">
        <v>1361</v>
      </c>
      <c r="G91">
        <f>VLOOKUP(Table55[[#This Row],[Shortname]], Comp[], 6, FALSE)</f>
        <v>132</v>
      </c>
      <c r="H91" s="14">
        <f>VLOOKUP(Table55[[#This Row],[Shortname]], Comp[], 7, FALSE)</f>
        <v>59.199999999999996</v>
      </c>
      <c r="I91">
        <f>VLOOKUP(Table55[[#This Row],[Shortname]], Comp[], 8, FALSE)</f>
        <v>17.3</v>
      </c>
      <c r="J91">
        <f>VLOOKUP(Table55[[#This Row],[Shortname]], Comp[], 9, FALSE)</f>
        <v>3.1</v>
      </c>
      <c r="K91">
        <f>VLOOKUP(Table55[[#This Row],[Shortname]], Comp[], 10, FALSE)</f>
        <v>12.5</v>
      </c>
      <c r="L91">
        <f>VLOOKUP(Table55[[#This Row],[Shortname]], Comp[], 11, FALSE)</f>
        <v>0</v>
      </c>
      <c r="M91">
        <f>VLOOKUP(Table55[[#This Row],[Shortname]], Comp[],12, FALSE)</f>
        <v>7.9</v>
      </c>
      <c r="N91">
        <f>VLOOKUP(Table55[[#This Row],[Shortname]], Comp[], 13, FALSE)</f>
        <v>0</v>
      </c>
      <c r="O91">
        <f>VLOOKUP(Table55[[#This Row],[Shortname]], Comp[], 14, FALSE)</f>
        <v>0</v>
      </c>
      <c r="P91">
        <f>VLOOKUP(Table55[[#This Row],[Shortname]], Comp[], 15, FALSE)</f>
        <v>0</v>
      </c>
      <c r="Q91">
        <f>VLOOKUP(Table55[[#This Row],[Shortname]], Comp[], 16, FALSE)</f>
        <v>0</v>
      </c>
      <c r="R91">
        <f>VLOOKUP(Table55[[#This Row],[Shortname]], Comp[], 17, FALSE)</f>
        <v>0</v>
      </c>
      <c r="S91">
        <f>VLOOKUP(Table55[[#This Row],[Shortname]], Comp[], 18, FALSE)</f>
        <v>0</v>
      </c>
      <c r="T91">
        <f>VLOOKUP(Table55[[#This Row],[Shortname]], Comp[], 19, FALSE)</f>
        <v>0</v>
      </c>
      <c r="U91">
        <f>VLOOKUP(Table55[[#This Row],[Shortname]], Comp[], 20, FALSE)</f>
        <v>0</v>
      </c>
      <c r="V91">
        <f>VLOOKUP(Table55[[#This Row],[Shortname]], Comp[], 21, FALSE)</f>
        <v>0</v>
      </c>
      <c r="W91">
        <f>VLOOKUP(Table55[[#This Row],[Shortname]], Comp[], 22, FALSE)</f>
        <v>0</v>
      </c>
      <c r="X91">
        <f>VLOOKUP(Table55[[#This Row],[Shortname]], Comp[], 23, FALSE)</f>
        <v>0</v>
      </c>
      <c r="Y91">
        <f>VLOOKUP(Table55[[#This Row],[Shortname]], Comp[], 24, FALSE)</f>
        <v>0</v>
      </c>
      <c r="Z91">
        <f>VLOOKUP(Table55[[#This Row],[Shortname]], Comp[], 25, FALSE)</f>
        <v>0</v>
      </c>
      <c r="AA91">
        <f>VLOOKUP(Table55[[#This Row],[Shortname]], Comp[], 26, FALSE)</f>
        <v>0</v>
      </c>
      <c r="AB91">
        <f>VLOOKUP(Table55[[#This Row],[Shortname]], Comp[], 27, FALSE)</f>
        <v>0</v>
      </c>
      <c r="AC91">
        <f>VLOOKUP(Table55[[#This Row],[Shortname]], Comp[], 28, FALSE)</f>
        <v>0</v>
      </c>
      <c r="AD91">
        <f>VLOOKUP(Table55[[#This Row],[Shortname]], Comp[], 29, FALSE)</f>
        <v>0</v>
      </c>
      <c r="AE91">
        <f>VLOOKUP(Table55[[#This Row],[Shortname]], Comp[], 30, FALSE)</f>
        <v>0</v>
      </c>
      <c r="AF91">
        <f>VLOOKUP(Table55[[#This Row],[Shortname]], Comp[], 31, FALSE)</f>
        <v>0</v>
      </c>
    </row>
    <row r="92" spans="1:32" x14ac:dyDescent="0.3">
      <c r="A92" t="s">
        <v>1149</v>
      </c>
      <c r="B92" t="s">
        <v>1151</v>
      </c>
      <c r="C92" t="s">
        <v>6601</v>
      </c>
      <c r="D92">
        <v>1077</v>
      </c>
      <c r="E92">
        <v>1357</v>
      </c>
      <c r="F92">
        <v>1410</v>
      </c>
      <c r="G92">
        <f>VLOOKUP(Table55[[#This Row],[Shortname]], Comp[], 6, FALSE)</f>
        <v>146</v>
      </c>
      <c r="H92" s="14">
        <f>VLOOKUP(Table55[[#This Row],[Shortname]], Comp[], 7, FALSE)</f>
        <v>19.599999999999994</v>
      </c>
      <c r="I92">
        <f>VLOOKUP(Table55[[#This Row],[Shortname]], Comp[], 8, FALSE)</f>
        <v>58.4</v>
      </c>
      <c r="J92">
        <f>VLOOKUP(Table55[[#This Row],[Shortname]], Comp[], 9, FALSE)</f>
        <v>8.6</v>
      </c>
      <c r="K92">
        <f>VLOOKUP(Table55[[#This Row],[Shortname]], Comp[], 10, FALSE)</f>
        <v>10.7</v>
      </c>
      <c r="L92">
        <f>VLOOKUP(Table55[[#This Row],[Shortname]], Comp[], 11, FALSE)</f>
        <v>0</v>
      </c>
      <c r="M92">
        <f>VLOOKUP(Table55[[#This Row],[Shortname]], Comp[],12, FALSE)</f>
        <v>2.7</v>
      </c>
      <c r="N92">
        <f>VLOOKUP(Table55[[#This Row],[Shortname]], Comp[], 13, FALSE)</f>
        <v>0</v>
      </c>
      <c r="O92">
        <f>VLOOKUP(Table55[[#This Row],[Shortname]], Comp[], 14, FALSE)</f>
        <v>0</v>
      </c>
      <c r="P92">
        <f>VLOOKUP(Table55[[#This Row],[Shortname]], Comp[], 15, FALSE)</f>
        <v>0</v>
      </c>
      <c r="Q92">
        <f>VLOOKUP(Table55[[#This Row],[Shortname]], Comp[], 16, FALSE)</f>
        <v>0</v>
      </c>
      <c r="R92">
        <f>VLOOKUP(Table55[[#This Row],[Shortname]], Comp[], 17, FALSE)</f>
        <v>0</v>
      </c>
      <c r="S92">
        <f>VLOOKUP(Table55[[#This Row],[Shortname]], Comp[], 18, FALSE)</f>
        <v>0</v>
      </c>
      <c r="T92">
        <f>VLOOKUP(Table55[[#This Row],[Shortname]], Comp[], 19, FALSE)</f>
        <v>0</v>
      </c>
      <c r="U92">
        <f>VLOOKUP(Table55[[#This Row],[Shortname]], Comp[], 20, FALSE)</f>
        <v>0</v>
      </c>
      <c r="V92">
        <f>VLOOKUP(Table55[[#This Row],[Shortname]], Comp[], 21, FALSE)</f>
        <v>0</v>
      </c>
      <c r="W92">
        <f>VLOOKUP(Table55[[#This Row],[Shortname]], Comp[], 22, FALSE)</f>
        <v>0</v>
      </c>
      <c r="X92">
        <f>VLOOKUP(Table55[[#This Row],[Shortname]], Comp[], 23, FALSE)</f>
        <v>0</v>
      </c>
      <c r="Y92">
        <f>VLOOKUP(Table55[[#This Row],[Shortname]], Comp[], 24, FALSE)</f>
        <v>0</v>
      </c>
      <c r="Z92">
        <f>VLOOKUP(Table55[[#This Row],[Shortname]], Comp[], 25, FALSE)</f>
        <v>0</v>
      </c>
      <c r="AA92">
        <f>VLOOKUP(Table55[[#This Row],[Shortname]], Comp[], 26, FALSE)</f>
        <v>0</v>
      </c>
      <c r="AB92">
        <f>VLOOKUP(Table55[[#This Row],[Shortname]], Comp[], 27, FALSE)</f>
        <v>0</v>
      </c>
      <c r="AC92">
        <f>VLOOKUP(Table55[[#This Row],[Shortname]], Comp[], 28, FALSE)</f>
        <v>0</v>
      </c>
      <c r="AD92">
        <f>VLOOKUP(Table55[[#This Row],[Shortname]], Comp[], 29, FALSE)</f>
        <v>0</v>
      </c>
      <c r="AE92">
        <f>VLOOKUP(Table55[[#This Row],[Shortname]], Comp[], 30, FALSE)</f>
        <v>0</v>
      </c>
      <c r="AF92">
        <f>VLOOKUP(Table55[[#This Row],[Shortname]], Comp[], 31, FALSE)</f>
        <v>0</v>
      </c>
    </row>
    <row r="93" spans="1:32" x14ac:dyDescent="0.3">
      <c r="A93" t="s">
        <v>1173</v>
      </c>
      <c r="B93" t="s">
        <v>1175</v>
      </c>
      <c r="C93" t="s">
        <v>6601</v>
      </c>
      <c r="D93">
        <v>1074</v>
      </c>
      <c r="E93">
        <v>1342</v>
      </c>
      <c r="F93">
        <v>1399</v>
      </c>
      <c r="G93">
        <f>VLOOKUP(Table55[[#This Row],[Shortname]], Comp[], 6, FALSE)</f>
        <v>149</v>
      </c>
      <c r="H93" s="14">
        <f>VLOOKUP(Table55[[#This Row],[Shortname]], Comp[], 7, FALSE)</f>
        <v>18.399999999999991</v>
      </c>
      <c r="I93">
        <f>VLOOKUP(Table55[[#This Row],[Shortname]], Comp[], 8, FALSE)</f>
        <v>54.8</v>
      </c>
      <c r="J93">
        <f>VLOOKUP(Table55[[#This Row],[Shortname]], Comp[], 9, FALSE)</f>
        <v>8</v>
      </c>
      <c r="K93">
        <f>VLOOKUP(Table55[[#This Row],[Shortname]], Comp[], 10, FALSE)</f>
        <v>16.100000000000001</v>
      </c>
      <c r="L93">
        <f>VLOOKUP(Table55[[#This Row],[Shortname]], Comp[], 11, FALSE)</f>
        <v>0</v>
      </c>
      <c r="M93">
        <f>VLOOKUP(Table55[[#This Row],[Shortname]], Comp[],12, FALSE)</f>
        <v>2.7</v>
      </c>
      <c r="N93">
        <f>VLOOKUP(Table55[[#This Row],[Shortname]], Comp[], 13, FALSE)</f>
        <v>0</v>
      </c>
      <c r="O93">
        <f>VLOOKUP(Table55[[#This Row],[Shortname]], Comp[], 14, FALSE)</f>
        <v>0</v>
      </c>
      <c r="P93">
        <f>VLOOKUP(Table55[[#This Row],[Shortname]], Comp[], 15, FALSE)</f>
        <v>0</v>
      </c>
      <c r="Q93">
        <f>VLOOKUP(Table55[[#This Row],[Shortname]], Comp[], 16, FALSE)</f>
        <v>0</v>
      </c>
      <c r="R93">
        <f>VLOOKUP(Table55[[#This Row],[Shortname]], Comp[], 17, FALSE)</f>
        <v>0</v>
      </c>
      <c r="S93">
        <f>VLOOKUP(Table55[[#This Row],[Shortname]], Comp[], 18, FALSE)</f>
        <v>0</v>
      </c>
      <c r="T93">
        <f>VLOOKUP(Table55[[#This Row],[Shortname]], Comp[], 19, FALSE)</f>
        <v>0</v>
      </c>
      <c r="U93">
        <f>VLOOKUP(Table55[[#This Row],[Shortname]], Comp[], 20, FALSE)</f>
        <v>0</v>
      </c>
      <c r="V93">
        <f>VLOOKUP(Table55[[#This Row],[Shortname]], Comp[], 21, FALSE)</f>
        <v>0</v>
      </c>
      <c r="W93">
        <f>VLOOKUP(Table55[[#This Row],[Shortname]], Comp[], 22, FALSE)</f>
        <v>0</v>
      </c>
      <c r="X93">
        <f>VLOOKUP(Table55[[#This Row],[Shortname]], Comp[], 23, FALSE)</f>
        <v>0</v>
      </c>
      <c r="Y93">
        <f>VLOOKUP(Table55[[#This Row],[Shortname]], Comp[], 24, FALSE)</f>
        <v>0</v>
      </c>
      <c r="Z93">
        <f>VLOOKUP(Table55[[#This Row],[Shortname]], Comp[], 25, FALSE)</f>
        <v>0</v>
      </c>
      <c r="AA93">
        <f>VLOOKUP(Table55[[#This Row],[Shortname]], Comp[], 26, FALSE)</f>
        <v>0</v>
      </c>
      <c r="AB93">
        <f>VLOOKUP(Table55[[#This Row],[Shortname]], Comp[], 27, FALSE)</f>
        <v>0</v>
      </c>
      <c r="AC93">
        <f>VLOOKUP(Table55[[#This Row],[Shortname]], Comp[], 28, FALSE)</f>
        <v>0</v>
      </c>
      <c r="AD93">
        <f>VLOOKUP(Table55[[#This Row],[Shortname]], Comp[], 29, FALSE)</f>
        <v>0</v>
      </c>
      <c r="AE93">
        <f>VLOOKUP(Table55[[#This Row],[Shortname]], Comp[], 30, FALSE)</f>
        <v>0</v>
      </c>
      <c r="AF93">
        <f>VLOOKUP(Table55[[#This Row],[Shortname]], Comp[], 31, FALSE)</f>
        <v>0</v>
      </c>
    </row>
    <row r="94" spans="1:32" x14ac:dyDescent="0.3">
      <c r="A94" t="s">
        <v>1131</v>
      </c>
      <c r="B94" t="s">
        <v>1133</v>
      </c>
      <c r="C94" t="s">
        <v>6601</v>
      </c>
      <c r="D94">
        <v>1071</v>
      </c>
      <c r="E94">
        <v>1284</v>
      </c>
      <c r="F94">
        <v>1370</v>
      </c>
      <c r="G94">
        <f>VLOOKUP(Table55[[#This Row],[Shortname]], Comp[], 6, FALSE)</f>
        <v>144</v>
      </c>
      <c r="H94" s="14">
        <f>VLOOKUP(Table55[[#This Row],[Shortname]], Comp[], 7, FALSE)</f>
        <v>33.5</v>
      </c>
      <c r="I94">
        <f>VLOOKUP(Table55[[#This Row],[Shortname]], Comp[], 8, FALSE)</f>
        <v>34.4</v>
      </c>
      <c r="J94">
        <f>VLOOKUP(Table55[[#This Row],[Shortname]], Comp[], 9, FALSE)</f>
        <v>5.7</v>
      </c>
      <c r="K94">
        <f>VLOOKUP(Table55[[#This Row],[Shortname]], Comp[], 10, FALSE)</f>
        <v>21.2</v>
      </c>
      <c r="L94">
        <f>VLOOKUP(Table55[[#This Row],[Shortname]], Comp[], 11, FALSE)</f>
        <v>0</v>
      </c>
      <c r="M94">
        <f>VLOOKUP(Table55[[#This Row],[Shortname]], Comp[],12, FALSE)</f>
        <v>5.2</v>
      </c>
      <c r="N94">
        <f>VLOOKUP(Table55[[#This Row],[Shortname]], Comp[], 13, FALSE)</f>
        <v>0</v>
      </c>
      <c r="O94">
        <f>VLOOKUP(Table55[[#This Row],[Shortname]], Comp[], 14, FALSE)</f>
        <v>0</v>
      </c>
      <c r="P94">
        <f>VLOOKUP(Table55[[#This Row],[Shortname]], Comp[], 15, FALSE)</f>
        <v>0</v>
      </c>
      <c r="Q94">
        <f>VLOOKUP(Table55[[#This Row],[Shortname]], Comp[], 16, FALSE)</f>
        <v>0</v>
      </c>
      <c r="R94">
        <f>VLOOKUP(Table55[[#This Row],[Shortname]], Comp[], 17, FALSE)</f>
        <v>0</v>
      </c>
      <c r="S94">
        <f>VLOOKUP(Table55[[#This Row],[Shortname]], Comp[], 18, FALSE)</f>
        <v>0</v>
      </c>
      <c r="T94">
        <f>VLOOKUP(Table55[[#This Row],[Shortname]], Comp[], 19, FALSE)</f>
        <v>0</v>
      </c>
      <c r="U94">
        <f>VLOOKUP(Table55[[#This Row],[Shortname]], Comp[], 20, FALSE)</f>
        <v>0</v>
      </c>
      <c r="V94">
        <f>VLOOKUP(Table55[[#This Row],[Shortname]], Comp[], 21, FALSE)</f>
        <v>0</v>
      </c>
      <c r="W94">
        <f>VLOOKUP(Table55[[#This Row],[Shortname]], Comp[], 22, FALSE)</f>
        <v>0</v>
      </c>
      <c r="X94">
        <f>VLOOKUP(Table55[[#This Row],[Shortname]], Comp[], 23, FALSE)</f>
        <v>0</v>
      </c>
      <c r="Y94">
        <f>VLOOKUP(Table55[[#This Row],[Shortname]], Comp[], 24, FALSE)</f>
        <v>0</v>
      </c>
      <c r="Z94">
        <f>VLOOKUP(Table55[[#This Row],[Shortname]], Comp[], 25, FALSE)</f>
        <v>0</v>
      </c>
      <c r="AA94">
        <f>VLOOKUP(Table55[[#This Row],[Shortname]], Comp[], 26, FALSE)</f>
        <v>0</v>
      </c>
      <c r="AB94">
        <f>VLOOKUP(Table55[[#This Row],[Shortname]], Comp[], 27, FALSE)</f>
        <v>0</v>
      </c>
      <c r="AC94">
        <f>VLOOKUP(Table55[[#This Row],[Shortname]], Comp[], 28, FALSE)</f>
        <v>0</v>
      </c>
      <c r="AD94">
        <f>VLOOKUP(Table55[[#This Row],[Shortname]], Comp[], 29, FALSE)</f>
        <v>0</v>
      </c>
      <c r="AE94">
        <f>VLOOKUP(Table55[[#This Row],[Shortname]], Comp[], 30, FALSE)</f>
        <v>0</v>
      </c>
      <c r="AF94">
        <f>VLOOKUP(Table55[[#This Row],[Shortname]], Comp[], 31, FALSE)</f>
        <v>0</v>
      </c>
    </row>
    <row r="95" spans="1:32" x14ac:dyDescent="0.3">
      <c r="A95" t="s">
        <v>1099</v>
      </c>
      <c r="B95" t="s">
        <v>1101</v>
      </c>
      <c r="C95" t="s">
        <v>6601</v>
      </c>
      <c r="D95">
        <v>1064</v>
      </c>
      <c r="E95">
        <v>1307</v>
      </c>
      <c r="F95">
        <v>1396</v>
      </c>
      <c r="G95">
        <f>VLOOKUP(Table55[[#This Row],[Shortname]], Comp[], 6, FALSE)</f>
        <v>140</v>
      </c>
      <c r="H95" s="14">
        <f>VLOOKUP(Table55[[#This Row],[Shortname]], Comp[], 7, FALSE)</f>
        <v>39.1</v>
      </c>
      <c r="I95">
        <f>VLOOKUP(Table55[[#This Row],[Shortname]], Comp[], 8, FALSE)</f>
        <v>39.200000000000003</v>
      </c>
      <c r="J95">
        <f>VLOOKUP(Table55[[#This Row],[Shortname]], Comp[], 9, FALSE)</f>
        <v>5.9</v>
      </c>
      <c r="K95">
        <f>VLOOKUP(Table55[[#This Row],[Shortname]], Comp[], 10, FALSE)</f>
        <v>10.5</v>
      </c>
      <c r="L95">
        <f>VLOOKUP(Table55[[#This Row],[Shortname]], Comp[], 11, FALSE)</f>
        <v>0</v>
      </c>
      <c r="M95">
        <f>VLOOKUP(Table55[[#This Row],[Shortname]], Comp[],12, FALSE)</f>
        <v>5.3</v>
      </c>
      <c r="N95">
        <f>VLOOKUP(Table55[[#This Row],[Shortname]], Comp[], 13, FALSE)</f>
        <v>0</v>
      </c>
      <c r="O95">
        <f>VLOOKUP(Table55[[#This Row],[Shortname]], Comp[], 14, FALSE)</f>
        <v>0</v>
      </c>
      <c r="P95">
        <f>VLOOKUP(Table55[[#This Row],[Shortname]], Comp[], 15, FALSE)</f>
        <v>0</v>
      </c>
      <c r="Q95">
        <f>VLOOKUP(Table55[[#This Row],[Shortname]], Comp[], 16, FALSE)</f>
        <v>0</v>
      </c>
      <c r="R95">
        <f>VLOOKUP(Table55[[#This Row],[Shortname]], Comp[], 17, FALSE)</f>
        <v>0</v>
      </c>
      <c r="S95">
        <f>VLOOKUP(Table55[[#This Row],[Shortname]], Comp[], 18, FALSE)</f>
        <v>0</v>
      </c>
      <c r="T95">
        <f>VLOOKUP(Table55[[#This Row],[Shortname]], Comp[], 19, FALSE)</f>
        <v>0</v>
      </c>
      <c r="U95">
        <f>VLOOKUP(Table55[[#This Row],[Shortname]], Comp[], 20, FALSE)</f>
        <v>0</v>
      </c>
      <c r="V95">
        <f>VLOOKUP(Table55[[#This Row],[Shortname]], Comp[], 21, FALSE)</f>
        <v>0</v>
      </c>
      <c r="W95">
        <f>VLOOKUP(Table55[[#This Row],[Shortname]], Comp[], 22, FALSE)</f>
        <v>0</v>
      </c>
      <c r="X95">
        <f>VLOOKUP(Table55[[#This Row],[Shortname]], Comp[], 23, FALSE)</f>
        <v>0</v>
      </c>
      <c r="Y95">
        <f>VLOOKUP(Table55[[#This Row],[Shortname]], Comp[], 24, FALSE)</f>
        <v>0</v>
      </c>
      <c r="Z95">
        <f>VLOOKUP(Table55[[#This Row],[Shortname]], Comp[], 25, FALSE)</f>
        <v>0</v>
      </c>
      <c r="AA95">
        <f>VLOOKUP(Table55[[#This Row],[Shortname]], Comp[], 26, FALSE)</f>
        <v>0</v>
      </c>
      <c r="AB95">
        <f>VLOOKUP(Table55[[#This Row],[Shortname]], Comp[], 27, FALSE)</f>
        <v>0</v>
      </c>
      <c r="AC95">
        <f>VLOOKUP(Table55[[#This Row],[Shortname]], Comp[], 28, FALSE)</f>
        <v>0</v>
      </c>
      <c r="AD95">
        <f>VLOOKUP(Table55[[#This Row],[Shortname]], Comp[], 29, FALSE)</f>
        <v>0</v>
      </c>
      <c r="AE95">
        <f>VLOOKUP(Table55[[#This Row],[Shortname]], Comp[], 30, FALSE)</f>
        <v>0</v>
      </c>
      <c r="AF95">
        <f>VLOOKUP(Table55[[#This Row],[Shortname]], Comp[], 31, FALSE)</f>
        <v>0</v>
      </c>
    </row>
    <row r="96" spans="1:32" x14ac:dyDescent="0.3">
      <c r="A96" t="s">
        <v>1002</v>
      </c>
      <c r="B96" t="s">
        <v>1004</v>
      </c>
      <c r="C96" t="s">
        <v>6601</v>
      </c>
      <c r="D96">
        <v>1062</v>
      </c>
      <c r="E96">
        <v>1278</v>
      </c>
      <c r="F96">
        <v>1376</v>
      </c>
      <c r="G96">
        <f>VLOOKUP(Table55[[#This Row],[Shortname]], Comp[], 6, FALSE)</f>
        <v>129</v>
      </c>
      <c r="H96" s="14">
        <f>VLOOKUP(Table55[[#This Row],[Shortname]], Comp[], 7, FALSE)</f>
        <v>50.699999999999996</v>
      </c>
      <c r="I96">
        <f>VLOOKUP(Table55[[#This Row],[Shortname]], Comp[], 8, FALSE)</f>
        <v>27.2</v>
      </c>
      <c r="J96">
        <f>VLOOKUP(Table55[[#This Row],[Shortname]], Comp[], 9, FALSE)</f>
        <v>3.1</v>
      </c>
      <c r="K96">
        <f>VLOOKUP(Table55[[#This Row],[Shortname]], Comp[], 10, FALSE)</f>
        <v>10.9</v>
      </c>
      <c r="L96">
        <f>VLOOKUP(Table55[[#This Row],[Shortname]], Comp[], 11, FALSE)</f>
        <v>0</v>
      </c>
      <c r="M96">
        <f>VLOOKUP(Table55[[#This Row],[Shortname]], Comp[],12, FALSE)</f>
        <v>8.1</v>
      </c>
      <c r="N96">
        <f>VLOOKUP(Table55[[#This Row],[Shortname]], Comp[], 13, FALSE)</f>
        <v>0</v>
      </c>
      <c r="O96">
        <f>VLOOKUP(Table55[[#This Row],[Shortname]], Comp[], 14, FALSE)</f>
        <v>0</v>
      </c>
      <c r="P96">
        <f>VLOOKUP(Table55[[#This Row],[Shortname]], Comp[], 15, FALSE)</f>
        <v>0</v>
      </c>
      <c r="Q96">
        <f>VLOOKUP(Table55[[#This Row],[Shortname]], Comp[], 16, FALSE)</f>
        <v>0</v>
      </c>
      <c r="R96">
        <f>VLOOKUP(Table55[[#This Row],[Shortname]], Comp[], 17, FALSE)</f>
        <v>0</v>
      </c>
      <c r="S96">
        <f>VLOOKUP(Table55[[#This Row],[Shortname]], Comp[], 18, FALSE)</f>
        <v>0</v>
      </c>
      <c r="T96">
        <f>VLOOKUP(Table55[[#This Row],[Shortname]], Comp[], 19, FALSE)</f>
        <v>0</v>
      </c>
      <c r="U96">
        <f>VLOOKUP(Table55[[#This Row],[Shortname]], Comp[], 20, FALSE)</f>
        <v>0</v>
      </c>
      <c r="V96">
        <f>VLOOKUP(Table55[[#This Row],[Shortname]], Comp[], 21, FALSE)</f>
        <v>0</v>
      </c>
      <c r="W96">
        <f>VLOOKUP(Table55[[#This Row],[Shortname]], Comp[], 22, FALSE)</f>
        <v>0</v>
      </c>
      <c r="X96">
        <f>VLOOKUP(Table55[[#This Row],[Shortname]], Comp[], 23, FALSE)</f>
        <v>0</v>
      </c>
      <c r="Y96">
        <f>VLOOKUP(Table55[[#This Row],[Shortname]], Comp[], 24, FALSE)</f>
        <v>0</v>
      </c>
      <c r="Z96">
        <f>VLOOKUP(Table55[[#This Row],[Shortname]], Comp[], 25, FALSE)</f>
        <v>0</v>
      </c>
      <c r="AA96">
        <f>VLOOKUP(Table55[[#This Row],[Shortname]], Comp[], 26, FALSE)</f>
        <v>0</v>
      </c>
      <c r="AB96">
        <f>VLOOKUP(Table55[[#This Row],[Shortname]], Comp[], 27, FALSE)</f>
        <v>0</v>
      </c>
      <c r="AC96">
        <f>VLOOKUP(Table55[[#This Row],[Shortname]], Comp[], 28, FALSE)</f>
        <v>0</v>
      </c>
      <c r="AD96">
        <f>VLOOKUP(Table55[[#This Row],[Shortname]], Comp[], 29, FALSE)</f>
        <v>0</v>
      </c>
      <c r="AE96">
        <f>VLOOKUP(Table55[[#This Row],[Shortname]], Comp[], 30, FALSE)</f>
        <v>0</v>
      </c>
      <c r="AF96">
        <f>VLOOKUP(Table55[[#This Row],[Shortname]], Comp[], 31, FALSE)</f>
        <v>0</v>
      </c>
    </row>
    <row r="97" spans="1:32" x14ac:dyDescent="0.3">
      <c r="A97" t="s">
        <v>1046</v>
      </c>
      <c r="B97" t="s">
        <v>1048</v>
      </c>
      <c r="C97" t="s">
        <v>6601</v>
      </c>
      <c r="D97">
        <v>1055</v>
      </c>
      <c r="E97">
        <v>1251</v>
      </c>
      <c r="F97">
        <v>1375</v>
      </c>
      <c r="G97">
        <f>VLOOKUP(Table55[[#This Row],[Shortname]], Comp[], 6, FALSE)</f>
        <v>134</v>
      </c>
      <c r="H97" s="14">
        <f>VLOOKUP(Table55[[#This Row],[Shortname]], Comp[], 7, FALSE)</f>
        <v>54.7</v>
      </c>
      <c r="I97">
        <f>VLOOKUP(Table55[[#This Row],[Shortname]], Comp[], 8, FALSE)</f>
        <v>18.3</v>
      </c>
      <c r="J97">
        <f>VLOOKUP(Table55[[#This Row],[Shortname]], Comp[], 9, FALSE)</f>
        <v>3</v>
      </c>
      <c r="K97">
        <f>VLOOKUP(Table55[[#This Row],[Shortname]], Comp[], 10, FALSE)</f>
        <v>16.2</v>
      </c>
      <c r="L97">
        <f>VLOOKUP(Table55[[#This Row],[Shortname]], Comp[], 11, FALSE)</f>
        <v>0</v>
      </c>
      <c r="M97">
        <f>VLOOKUP(Table55[[#This Row],[Shortname]], Comp[],12, FALSE)</f>
        <v>7.8</v>
      </c>
      <c r="N97">
        <f>VLOOKUP(Table55[[#This Row],[Shortname]], Comp[], 13, FALSE)</f>
        <v>0</v>
      </c>
      <c r="O97">
        <f>VLOOKUP(Table55[[#This Row],[Shortname]], Comp[], 14, FALSE)</f>
        <v>0</v>
      </c>
      <c r="P97">
        <f>VLOOKUP(Table55[[#This Row],[Shortname]], Comp[], 15, FALSE)</f>
        <v>0</v>
      </c>
      <c r="Q97">
        <f>VLOOKUP(Table55[[#This Row],[Shortname]], Comp[], 16, FALSE)</f>
        <v>0</v>
      </c>
      <c r="R97">
        <f>VLOOKUP(Table55[[#This Row],[Shortname]], Comp[], 17, FALSE)</f>
        <v>0</v>
      </c>
      <c r="S97">
        <f>VLOOKUP(Table55[[#This Row],[Shortname]], Comp[], 18, FALSE)</f>
        <v>0</v>
      </c>
      <c r="T97">
        <f>VLOOKUP(Table55[[#This Row],[Shortname]], Comp[], 19, FALSE)</f>
        <v>0</v>
      </c>
      <c r="U97">
        <f>VLOOKUP(Table55[[#This Row],[Shortname]], Comp[], 20, FALSE)</f>
        <v>0</v>
      </c>
      <c r="V97">
        <f>VLOOKUP(Table55[[#This Row],[Shortname]], Comp[], 21, FALSE)</f>
        <v>0</v>
      </c>
      <c r="W97">
        <f>VLOOKUP(Table55[[#This Row],[Shortname]], Comp[], 22, FALSE)</f>
        <v>0</v>
      </c>
      <c r="X97">
        <f>VLOOKUP(Table55[[#This Row],[Shortname]], Comp[], 23, FALSE)</f>
        <v>0</v>
      </c>
      <c r="Y97">
        <f>VLOOKUP(Table55[[#This Row],[Shortname]], Comp[], 24, FALSE)</f>
        <v>0</v>
      </c>
      <c r="Z97">
        <f>VLOOKUP(Table55[[#This Row],[Shortname]], Comp[], 25, FALSE)</f>
        <v>0</v>
      </c>
      <c r="AA97">
        <f>VLOOKUP(Table55[[#This Row],[Shortname]], Comp[], 26, FALSE)</f>
        <v>0</v>
      </c>
      <c r="AB97">
        <f>VLOOKUP(Table55[[#This Row],[Shortname]], Comp[], 27, FALSE)</f>
        <v>0</v>
      </c>
      <c r="AC97">
        <f>VLOOKUP(Table55[[#This Row],[Shortname]], Comp[], 28, FALSE)</f>
        <v>0</v>
      </c>
      <c r="AD97">
        <f>VLOOKUP(Table55[[#This Row],[Shortname]], Comp[], 29, FALSE)</f>
        <v>0</v>
      </c>
      <c r="AE97">
        <f>VLOOKUP(Table55[[#This Row],[Shortname]], Comp[], 30, FALSE)</f>
        <v>0</v>
      </c>
      <c r="AF97">
        <f>VLOOKUP(Table55[[#This Row],[Shortname]], Comp[], 31, FALSE)</f>
        <v>0</v>
      </c>
    </row>
    <row r="98" spans="1:32" x14ac:dyDescent="0.3">
      <c r="A98" t="s">
        <v>1165</v>
      </c>
      <c r="B98" t="s">
        <v>1167</v>
      </c>
      <c r="C98" t="s">
        <v>6601</v>
      </c>
      <c r="D98">
        <v>1014</v>
      </c>
      <c r="E98">
        <v>1350</v>
      </c>
      <c r="F98">
        <v>1406</v>
      </c>
      <c r="G98">
        <f>VLOOKUP(Table55[[#This Row],[Shortname]], Comp[], 6, FALSE)</f>
        <v>148</v>
      </c>
      <c r="H98" s="14">
        <f>VLOOKUP(Table55[[#This Row],[Shortname]], Comp[], 7, FALSE)</f>
        <v>36.599999999999994</v>
      </c>
      <c r="I98">
        <f>VLOOKUP(Table55[[#This Row],[Shortname]], Comp[], 8, FALSE)</f>
        <v>36.1</v>
      </c>
      <c r="J98">
        <f>VLOOKUP(Table55[[#This Row],[Shortname]], Comp[], 9, FALSE)</f>
        <v>8.6</v>
      </c>
      <c r="K98">
        <f>VLOOKUP(Table55[[#This Row],[Shortname]], Comp[], 10, FALSE)</f>
        <v>16</v>
      </c>
      <c r="L98">
        <f>VLOOKUP(Table55[[#This Row],[Shortname]], Comp[], 11, FALSE)</f>
        <v>0</v>
      </c>
      <c r="M98">
        <f>VLOOKUP(Table55[[#This Row],[Shortname]], Comp[],12, FALSE)</f>
        <v>2.7</v>
      </c>
      <c r="N98">
        <f>VLOOKUP(Table55[[#This Row],[Shortname]], Comp[], 13, FALSE)</f>
        <v>0</v>
      </c>
      <c r="O98">
        <f>VLOOKUP(Table55[[#This Row],[Shortname]], Comp[], 14, FALSE)</f>
        <v>0</v>
      </c>
      <c r="P98">
        <f>VLOOKUP(Table55[[#This Row],[Shortname]], Comp[], 15, FALSE)</f>
        <v>0</v>
      </c>
      <c r="Q98">
        <f>VLOOKUP(Table55[[#This Row],[Shortname]], Comp[], 16, FALSE)</f>
        <v>0</v>
      </c>
      <c r="R98">
        <f>VLOOKUP(Table55[[#This Row],[Shortname]], Comp[], 17, FALSE)</f>
        <v>0</v>
      </c>
      <c r="S98">
        <f>VLOOKUP(Table55[[#This Row],[Shortname]], Comp[], 18, FALSE)</f>
        <v>0</v>
      </c>
      <c r="T98">
        <f>VLOOKUP(Table55[[#This Row],[Shortname]], Comp[], 19, FALSE)</f>
        <v>0</v>
      </c>
      <c r="U98">
        <f>VLOOKUP(Table55[[#This Row],[Shortname]], Comp[], 20, FALSE)</f>
        <v>0</v>
      </c>
      <c r="V98">
        <f>VLOOKUP(Table55[[#This Row],[Shortname]], Comp[], 21, FALSE)</f>
        <v>0</v>
      </c>
      <c r="W98">
        <f>VLOOKUP(Table55[[#This Row],[Shortname]], Comp[], 22, FALSE)</f>
        <v>0</v>
      </c>
      <c r="X98">
        <f>VLOOKUP(Table55[[#This Row],[Shortname]], Comp[], 23, FALSE)</f>
        <v>0</v>
      </c>
      <c r="Y98">
        <f>VLOOKUP(Table55[[#This Row],[Shortname]], Comp[], 24, FALSE)</f>
        <v>0</v>
      </c>
      <c r="Z98">
        <f>VLOOKUP(Table55[[#This Row],[Shortname]], Comp[], 25, FALSE)</f>
        <v>0</v>
      </c>
      <c r="AA98">
        <f>VLOOKUP(Table55[[#This Row],[Shortname]], Comp[], 26, FALSE)</f>
        <v>0</v>
      </c>
      <c r="AB98">
        <f>VLOOKUP(Table55[[#This Row],[Shortname]], Comp[], 27, FALSE)</f>
        <v>0</v>
      </c>
      <c r="AC98">
        <f>VLOOKUP(Table55[[#This Row],[Shortname]], Comp[], 28, FALSE)</f>
        <v>0</v>
      </c>
      <c r="AD98">
        <f>VLOOKUP(Table55[[#This Row],[Shortname]], Comp[], 29, FALSE)</f>
        <v>0</v>
      </c>
      <c r="AE98">
        <f>VLOOKUP(Table55[[#This Row],[Shortname]], Comp[], 30, FALSE)</f>
        <v>0</v>
      </c>
      <c r="AF98">
        <f>VLOOKUP(Table55[[#This Row],[Shortname]], Comp[], 31, FALSE)</f>
        <v>0</v>
      </c>
    </row>
    <row r="99" spans="1:32" x14ac:dyDescent="0.3">
      <c r="A99" t="s">
        <v>1180</v>
      </c>
      <c r="B99" t="s">
        <v>1182</v>
      </c>
      <c r="C99" t="s">
        <v>6601</v>
      </c>
      <c r="D99">
        <v>1011</v>
      </c>
      <c r="E99">
        <v>1302</v>
      </c>
      <c r="F99">
        <v>1392</v>
      </c>
      <c r="G99">
        <f>VLOOKUP(Table55[[#This Row],[Shortname]], Comp[], 6, FALSE)</f>
        <v>150</v>
      </c>
      <c r="H99" s="14">
        <f>VLOOKUP(Table55[[#This Row],[Shortname]], Comp[], 7, FALSE)</f>
        <v>33.5</v>
      </c>
      <c r="I99">
        <f>VLOOKUP(Table55[[#This Row],[Shortname]], Comp[], 8, FALSE)</f>
        <v>34</v>
      </c>
      <c r="J99">
        <f>VLOOKUP(Table55[[#This Row],[Shortname]], Comp[], 9, FALSE)</f>
        <v>8.1999999999999993</v>
      </c>
      <c r="K99">
        <f>VLOOKUP(Table55[[#This Row],[Shortname]], Comp[], 10, FALSE)</f>
        <v>21.6</v>
      </c>
      <c r="L99">
        <f>VLOOKUP(Table55[[#This Row],[Shortname]], Comp[], 11, FALSE)</f>
        <v>0</v>
      </c>
      <c r="M99">
        <f>VLOOKUP(Table55[[#This Row],[Shortname]], Comp[],12, FALSE)</f>
        <v>2.7</v>
      </c>
      <c r="N99">
        <f>VLOOKUP(Table55[[#This Row],[Shortname]], Comp[], 13, FALSE)</f>
        <v>0</v>
      </c>
      <c r="O99">
        <f>VLOOKUP(Table55[[#This Row],[Shortname]], Comp[], 14, FALSE)</f>
        <v>0</v>
      </c>
      <c r="P99">
        <f>VLOOKUP(Table55[[#This Row],[Shortname]], Comp[], 15, FALSE)</f>
        <v>0</v>
      </c>
      <c r="Q99">
        <f>VLOOKUP(Table55[[#This Row],[Shortname]], Comp[], 16, FALSE)</f>
        <v>0</v>
      </c>
      <c r="R99">
        <f>VLOOKUP(Table55[[#This Row],[Shortname]], Comp[], 17, FALSE)</f>
        <v>0</v>
      </c>
      <c r="S99">
        <f>VLOOKUP(Table55[[#This Row],[Shortname]], Comp[], 18, FALSE)</f>
        <v>0</v>
      </c>
      <c r="T99">
        <f>VLOOKUP(Table55[[#This Row],[Shortname]], Comp[], 19, FALSE)</f>
        <v>0</v>
      </c>
      <c r="U99">
        <f>VLOOKUP(Table55[[#This Row],[Shortname]], Comp[], 20, FALSE)</f>
        <v>0</v>
      </c>
      <c r="V99">
        <f>VLOOKUP(Table55[[#This Row],[Shortname]], Comp[], 21, FALSE)</f>
        <v>0</v>
      </c>
      <c r="W99">
        <f>VLOOKUP(Table55[[#This Row],[Shortname]], Comp[], 22, FALSE)</f>
        <v>0</v>
      </c>
      <c r="X99">
        <f>VLOOKUP(Table55[[#This Row],[Shortname]], Comp[], 23, FALSE)</f>
        <v>0</v>
      </c>
      <c r="Y99">
        <f>VLOOKUP(Table55[[#This Row],[Shortname]], Comp[], 24, FALSE)</f>
        <v>0</v>
      </c>
      <c r="Z99">
        <f>VLOOKUP(Table55[[#This Row],[Shortname]], Comp[], 25, FALSE)</f>
        <v>0</v>
      </c>
      <c r="AA99">
        <f>VLOOKUP(Table55[[#This Row],[Shortname]], Comp[], 26, FALSE)</f>
        <v>0</v>
      </c>
      <c r="AB99">
        <f>VLOOKUP(Table55[[#This Row],[Shortname]], Comp[], 27, FALSE)</f>
        <v>0</v>
      </c>
      <c r="AC99">
        <f>VLOOKUP(Table55[[#This Row],[Shortname]], Comp[], 28, FALSE)</f>
        <v>0</v>
      </c>
      <c r="AD99">
        <f>VLOOKUP(Table55[[#This Row],[Shortname]], Comp[], 29, FALSE)</f>
        <v>0</v>
      </c>
      <c r="AE99">
        <f>VLOOKUP(Table55[[#This Row],[Shortname]], Comp[], 30, FALSE)</f>
        <v>0</v>
      </c>
      <c r="AF99">
        <f>VLOOKUP(Table55[[#This Row],[Shortname]], Comp[], 31, FALSE)</f>
        <v>0</v>
      </c>
    </row>
    <row r="100" spans="1:32" x14ac:dyDescent="0.3">
      <c r="A100" t="s">
        <v>1196</v>
      </c>
      <c r="B100" t="s">
        <v>1198</v>
      </c>
      <c r="C100" t="s">
        <v>6601</v>
      </c>
      <c r="D100">
        <v>999</v>
      </c>
      <c r="E100">
        <v>1364</v>
      </c>
      <c r="F100" t="s">
        <v>6710</v>
      </c>
      <c r="G100">
        <f>VLOOKUP(Table55[[#This Row],[Shortname]], Comp[], 6, FALSE)</f>
        <v>152</v>
      </c>
      <c r="H100" s="14">
        <f>VLOOKUP(Table55[[#This Row],[Shortname]], Comp[], 7, FALSE)</f>
        <v>39.4</v>
      </c>
      <c r="I100">
        <f>VLOOKUP(Table55[[#This Row],[Shortname]], Comp[], 8, FALSE)</f>
        <v>39.700000000000003</v>
      </c>
      <c r="J100">
        <f>VLOOKUP(Table55[[#This Row],[Shortname]], Comp[], 9, FALSE)</f>
        <v>7.5</v>
      </c>
      <c r="K100">
        <f>VLOOKUP(Table55[[#This Row],[Shortname]], Comp[], 10, FALSE)</f>
        <v>10.8</v>
      </c>
      <c r="L100">
        <f>VLOOKUP(Table55[[#This Row],[Shortname]], Comp[], 11, FALSE)</f>
        <v>0</v>
      </c>
      <c r="M100">
        <f>VLOOKUP(Table55[[#This Row],[Shortname]], Comp[],12, FALSE)</f>
        <v>2.6</v>
      </c>
      <c r="N100">
        <f>VLOOKUP(Table55[[#This Row],[Shortname]], Comp[], 13, FALSE)</f>
        <v>0</v>
      </c>
      <c r="O100">
        <f>VLOOKUP(Table55[[#This Row],[Shortname]], Comp[], 14, FALSE)</f>
        <v>0</v>
      </c>
      <c r="P100">
        <f>VLOOKUP(Table55[[#This Row],[Shortname]], Comp[], 15, FALSE)</f>
        <v>0</v>
      </c>
      <c r="Q100">
        <f>VLOOKUP(Table55[[#This Row],[Shortname]], Comp[], 16, FALSE)</f>
        <v>0</v>
      </c>
      <c r="R100">
        <f>VLOOKUP(Table55[[#This Row],[Shortname]], Comp[], 17, FALSE)</f>
        <v>0</v>
      </c>
      <c r="S100">
        <f>VLOOKUP(Table55[[#This Row],[Shortname]], Comp[], 18, FALSE)</f>
        <v>0</v>
      </c>
      <c r="T100">
        <f>VLOOKUP(Table55[[#This Row],[Shortname]], Comp[], 19, FALSE)</f>
        <v>0</v>
      </c>
      <c r="U100">
        <f>VLOOKUP(Table55[[#This Row],[Shortname]], Comp[], 20, FALSE)</f>
        <v>0</v>
      </c>
      <c r="V100">
        <f>VLOOKUP(Table55[[#This Row],[Shortname]], Comp[], 21, FALSE)</f>
        <v>0</v>
      </c>
      <c r="W100">
        <f>VLOOKUP(Table55[[#This Row],[Shortname]], Comp[], 22, FALSE)</f>
        <v>0</v>
      </c>
      <c r="X100">
        <f>VLOOKUP(Table55[[#This Row],[Shortname]], Comp[], 23, FALSE)</f>
        <v>0</v>
      </c>
      <c r="Y100">
        <f>VLOOKUP(Table55[[#This Row],[Shortname]], Comp[], 24, FALSE)</f>
        <v>0</v>
      </c>
      <c r="Z100">
        <f>VLOOKUP(Table55[[#This Row],[Shortname]], Comp[], 25, FALSE)</f>
        <v>0</v>
      </c>
      <c r="AA100">
        <f>VLOOKUP(Table55[[#This Row],[Shortname]], Comp[], 26, FALSE)</f>
        <v>0</v>
      </c>
      <c r="AB100">
        <f>VLOOKUP(Table55[[#This Row],[Shortname]], Comp[], 27, FALSE)</f>
        <v>0</v>
      </c>
      <c r="AC100">
        <f>VLOOKUP(Table55[[#This Row],[Shortname]], Comp[], 28, FALSE)</f>
        <v>0</v>
      </c>
      <c r="AD100">
        <f>VLOOKUP(Table55[[#This Row],[Shortname]], Comp[], 29, FALSE)</f>
        <v>0</v>
      </c>
      <c r="AE100">
        <f>VLOOKUP(Table55[[#This Row],[Shortname]], Comp[], 30, FALSE)</f>
        <v>0</v>
      </c>
      <c r="AF100">
        <f>VLOOKUP(Table55[[#This Row],[Shortname]], Comp[], 31, FALSE)</f>
        <v>0</v>
      </c>
    </row>
    <row r="101" spans="1:32" x14ac:dyDescent="0.3">
      <c r="A101" t="s">
        <v>1116</v>
      </c>
      <c r="B101" t="s">
        <v>1118</v>
      </c>
      <c r="C101" t="s">
        <v>6601</v>
      </c>
      <c r="D101">
        <v>985</v>
      </c>
      <c r="E101">
        <v>1295</v>
      </c>
      <c r="F101">
        <v>1392</v>
      </c>
      <c r="G101">
        <f>VLOOKUP(Table55[[#This Row],[Shortname]], Comp[], 6, FALSE)</f>
        <v>142</v>
      </c>
      <c r="H101" s="14">
        <f>VLOOKUP(Table55[[#This Row],[Shortname]], Comp[], 7, FALSE)</f>
        <v>55.399999999999991</v>
      </c>
      <c r="I101">
        <f>VLOOKUP(Table55[[#This Row],[Shortname]], Comp[], 8, FALSE)</f>
        <v>18.3</v>
      </c>
      <c r="J101">
        <f>VLOOKUP(Table55[[#This Row],[Shortname]], Comp[], 9, FALSE)</f>
        <v>5</v>
      </c>
      <c r="K101">
        <f>VLOOKUP(Table55[[#This Row],[Shortname]], Comp[], 10, FALSE)</f>
        <v>16.100000000000001</v>
      </c>
      <c r="L101">
        <f>VLOOKUP(Table55[[#This Row],[Shortname]], Comp[], 11, FALSE)</f>
        <v>0</v>
      </c>
      <c r="M101">
        <f>VLOOKUP(Table55[[#This Row],[Shortname]], Comp[],12, FALSE)</f>
        <v>5.2</v>
      </c>
      <c r="N101">
        <f>VLOOKUP(Table55[[#This Row],[Shortname]], Comp[], 13, FALSE)</f>
        <v>0</v>
      </c>
      <c r="O101">
        <f>VLOOKUP(Table55[[#This Row],[Shortname]], Comp[], 14, FALSE)</f>
        <v>0</v>
      </c>
      <c r="P101">
        <f>VLOOKUP(Table55[[#This Row],[Shortname]], Comp[], 15, FALSE)</f>
        <v>0</v>
      </c>
      <c r="Q101">
        <f>VLOOKUP(Table55[[#This Row],[Shortname]], Comp[], 16, FALSE)</f>
        <v>0</v>
      </c>
      <c r="R101">
        <f>VLOOKUP(Table55[[#This Row],[Shortname]], Comp[], 17, FALSE)</f>
        <v>0</v>
      </c>
      <c r="S101">
        <f>VLOOKUP(Table55[[#This Row],[Shortname]], Comp[], 18, FALSE)</f>
        <v>0</v>
      </c>
      <c r="T101">
        <f>VLOOKUP(Table55[[#This Row],[Shortname]], Comp[], 19, FALSE)</f>
        <v>0</v>
      </c>
      <c r="U101">
        <f>VLOOKUP(Table55[[#This Row],[Shortname]], Comp[], 20, FALSE)</f>
        <v>0</v>
      </c>
      <c r="V101">
        <f>VLOOKUP(Table55[[#This Row],[Shortname]], Comp[], 21, FALSE)</f>
        <v>0</v>
      </c>
      <c r="W101">
        <f>VLOOKUP(Table55[[#This Row],[Shortname]], Comp[], 22, FALSE)</f>
        <v>0</v>
      </c>
      <c r="X101">
        <f>VLOOKUP(Table55[[#This Row],[Shortname]], Comp[], 23, FALSE)</f>
        <v>0</v>
      </c>
      <c r="Y101">
        <f>VLOOKUP(Table55[[#This Row],[Shortname]], Comp[], 24, FALSE)</f>
        <v>0</v>
      </c>
      <c r="Z101">
        <f>VLOOKUP(Table55[[#This Row],[Shortname]], Comp[], 25, FALSE)</f>
        <v>0</v>
      </c>
      <c r="AA101">
        <f>VLOOKUP(Table55[[#This Row],[Shortname]], Comp[], 26, FALSE)</f>
        <v>0</v>
      </c>
      <c r="AB101">
        <f>VLOOKUP(Table55[[#This Row],[Shortname]], Comp[], 27, FALSE)</f>
        <v>0</v>
      </c>
      <c r="AC101">
        <f>VLOOKUP(Table55[[#This Row],[Shortname]], Comp[], 28, FALSE)</f>
        <v>0</v>
      </c>
      <c r="AD101">
        <f>VLOOKUP(Table55[[#This Row],[Shortname]], Comp[], 29, FALSE)</f>
        <v>0</v>
      </c>
      <c r="AE101">
        <f>VLOOKUP(Table55[[#This Row],[Shortname]], Comp[], 30, FALSE)</f>
        <v>0</v>
      </c>
      <c r="AF101">
        <f>VLOOKUP(Table55[[#This Row],[Shortname]], Comp[], 31, FALSE)</f>
        <v>0</v>
      </c>
    </row>
    <row r="102" spans="1:32" x14ac:dyDescent="0.3">
      <c r="A102" t="s">
        <v>1090</v>
      </c>
      <c r="B102" t="s">
        <v>1092</v>
      </c>
      <c r="C102" t="s">
        <v>6601</v>
      </c>
      <c r="D102">
        <v>963</v>
      </c>
      <c r="E102">
        <v>1288</v>
      </c>
      <c r="F102">
        <v>1402</v>
      </c>
      <c r="G102">
        <f>VLOOKUP(Table55[[#This Row],[Shortname]], Comp[], 6, FALSE)</f>
        <v>139</v>
      </c>
      <c r="H102" s="14">
        <f>VLOOKUP(Table55[[#This Row],[Shortname]], Comp[], 7, FALSE)</f>
        <v>58.6</v>
      </c>
      <c r="I102">
        <f>VLOOKUP(Table55[[#This Row],[Shortname]], Comp[], 8, FALSE)</f>
        <v>19.7</v>
      </c>
      <c r="J102">
        <f>VLOOKUP(Table55[[#This Row],[Shortname]], Comp[], 9, FALSE)</f>
        <v>5.4</v>
      </c>
      <c r="K102">
        <f>VLOOKUP(Table55[[#This Row],[Shortname]], Comp[], 10, FALSE)</f>
        <v>11</v>
      </c>
      <c r="L102">
        <f>VLOOKUP(Table55[[#This Row],[Shortname]], Comp[], 11, FALSE)</f>
        <v>0</v>
      </c>
      <c r="M102">
        <f>VLOOKUP(Table55[[#This Row],[Shortname]], Comp[],12, FALSE)</f>
        <v>5.3</v>
      </c>
      <c r="N102">
        <f>VLOOKUP(Table55[[#This Row],[Shortname]], Comp[], 13, FALSE)</f>
        <v>0</v>
      </c>
      <c r="O102">
        <f>VLOOKUP(Table55[[#This Row],[Shortname]], Comp[], 14, FALSE)</f>
        <v>0</v>
      </c>
      <c r="P102">
        <f>VLOOKUP(Table55[[#This Row],[Shortname]], Comp[], 15, FALSE)</f>
        <v>0</v>
      </c>
      <c r="Q102">
        <f>VLOOKUP(Table55[[#This Row],[Shortname]], Comp[], 16, FALSE)</f>
        <v>0</v>
      </c>
      <c r="R102">
        <f>VLOOKUP(Table55[[#This Row],[Shortname]], Comp[], 17, FALSE)</f>
        <v>0</v>
      </c>
      <c r="S102">
        <f>VLOOKUP(Table55[[#This Row],[Shortname]], Comp[], 18, FALSE)</f>
        <v>0</v>
      </c>
      <c r="T102">
        <f>VLOOKUP(Table55[[#This Row],[Shortname]], Comp[], 19, FALSE)</f>
        <v>0</v>
      </c>
      <c r="U102">
        <f>VLOOKUP(Table55[[#This Row],[Shortname]], Comp[], 20, FALSE)</f>
        <v>0</v>
      </c>
      <c r="V102">
        <f>VLOOKUP(Table55[[#This Row],[Shortname]], Comp[], 21, FALSE)</f>
        <v>0</v>
      </c>
      <c r="W102">
        <f>VLOOKUP(Table55[[#This Row],[Shortname]], Comp[], 22, FALSE)</f>
        <v>0</v>
      </c>
      <c r="X102">
        <f>VLOOKUP(Table55[[#This Row],[Shortname]], Comp[], 23, FALSE)</f>
        <v>0</v>
      </c>
      <c r="Y102">
        <f>VLOOKUP(Table55[[#This Row],[Shortname]], Comp[], 24, FALSE)</f>
        <v>0</v>
      </c>
      <c r="Z102">
        <f>VLOOKUP(Table55[[#This Row],[Shortname]], Comp[], 25, FALSE)</f>
        <v>0</v>
      </c>
      <c r="AA102">
        <f>VLOOKUP(Table55[[#This Row],[Shortname]], Comp[], 26, FALSE)</f>
        <v>0</v>
      </c>
      <c r="AB102">
        <f>VLOOKUP(Table55[[#This Row],[Shortname]], Comp[], 27, FALSE)</f>
        <v>0</v>
      </c>
      <c r="AC102">
        <f>VLOOKUP(Table55[[#This Row],[Shortname]], Comp[], 28, FALSE)</f>
        <v>0</v>
      </c>
      <c r="AD102">
        <f>VLOOKUP(Table55[[#This Row],[Shortname]], Comp[], 29, FALSE)</f>
        <v>0</v>
      </c>
      <c r="AE102">
        <f>VLOOKUP(Table55[[#This Row],[Shortname]], Comp[], 30, FALSE)</f>
        <v>0</v>
      </c>
      <c r="AF102">
        <f>VLOOKUP(Table55[[#This Row],[Shortname]], Comp[], 31, FALSE)</f>
        <v>0</v>
      </c>
    </row>
    <row r="103" spans="1:32" x14ac:dyDescent="0.3">
      <c r="A103" t="s">
        <v>1157</v>
      </c>
      <c r="B103" t="s">
        <v>1159</v>
      </c>
      <c r="C103" t="s">
        <v>6601</v>
      </c>
      <c r="D103">
        <v>916</v>
      </c>
      <c r="E103">
        <v>1342</v>
      </c>
      <c r="F103">
        <v>1411</v>
      </c>
      <c r="G103">
        <f>VLOOKUP(Table55[[#This Row],[Shortname]], Comp[], 6, FALSE)</f>
        <v>147</v>
      </c>
      <c r="H103" s="14">
        <f>VLOOKUP(Table55[[#This Row],[Shortname]], Comp[], 7, FALSE)</f>
        <v>54.699999999999996</v>
      </c>
      <c r="I103">
        <f>VLOOKUP(Table55[[#This Row],[Shortname]], Comp[], 8, FALSE)</f>
        <v>19</v>
      </c>
      <c r="J103">
        <f>VLOOKUP(Table55[[#This Row],[Shortname]], Comp[], 9, FALSE)</f>
        <v>7.1</v>
      </c>
      <c r="K103">
        <f>VLOOKUP(Table55[[#This Row],[Shortname]], Comp[], 10, FALSE)</f>
        <v>16.5</v>
      </c>
      <c r="L103">
        <f>VLOOKUP(Table55[[#This Row],[Shortname]], Comp[], 11, FALSE)</f>
        <v>0</v>
      </c>
      <c r="M103">
        <f>VLOOKUP(Table55[[#This Row],[Shortname]], Comp[],12, FALSE)</f>
        <v>2.7</v>
      </c>
      <c r="N103">
        <f>VLOOKUP(Table55[[#This Row],[Shortname]], Comp[], 13, FALSE)</f>
        <v>0</v>
      </c>
      <c r="O103">
        <f>VLOOKUP(Table55[[#This Row],[Shortname]], Comp[], 14, FALSE)</f>
        <v>0</v>
      </c>
      <c r="P103">
        <f>VLOOKUP(Table55[[#This Row],[Shortname]], Comp[], 15, FALSE)</f>
        <v>0</v>
      </c>
      <c r="Q103">
        <f>VLOOKUP(Table55[[#This Row],[Shortname]], Comp[], 16, FALSE)</f>
        <v>0</v>
      </c>
      <c r="R103">
        <f>VLOOKUP(Table55[[#This Row],[Shortname]], Comp[], 17, FALSE)</f>
        <v>0</v>
      </c>
      <c r="S103">
        <f>VLOOKUP(Table55[[#This Row],[Shortname]], Comp[], 18, FALSE)</f>
        <v>0</v>
      </c>
      <c r="T103">
        <f>VLOOKUP(Table55[[#This Row],[Shortname]], Comp[], 19, FALSE)</f>
        <v>0</v>
      </c>
      <c r="U103">
        <f>VLOOKUP(Table55[[#This Row],[Shortname]], Comp[], 20, FALSE)</f>
        <v>0</v>
      </c>
      <c r="V103">
        <f>VLOOKUP(Table55[[#This Row],[Shortname]], Comp[], 21, FALSE)</f>
        <v>0</v>
      </c>
      <c r="W103">
        <f>VLOOKUP(Table55[[#This Row],[Shortname]], Comp[], 22, FALSE)</f>
        <v>0</v>
      </c>
      <c r="X103">
        <f>VLOOKUP(Table55[[#This Row],[Shortname]], Comp[], 23, FALSE)</f>
        <v>0</v>
      </c>
      <c r="Y103">
        <f>VLOOKUP(Table55[[#This Row],[Shortname]], Comp[], 24, FALSE)</f>
        <v>0</v>
      </c>
      <c r="Z103">
        <f>VLOOKUP(Table55[[#This Row],[Shortname]], Comp[], 25, FALSE)</f>
        <v>0</v>
      </c>
      <c r="AA103">
        <f>VLOOKUP(Table55[[#This Row],[Shortname]], Comp[], 26, FALSE)</f>
        <v>0</v>
      </c>
      <c r="AB103">
        <f>VLOOKUP(Table55[[#This Row],[Shortname]], Comp[], 27, FALSE)</f>
        <v>0</v>
      </c>
      <c r="AC103">
        <f>VLOOKUP(Table55[[#This Row],[Shortname]], Comp[], 28, FALSE)</f>
        <v>0</v>
      </c>
      <c r="AD103">
        <f>VLOOKUP(Table55[[#This Row],[Shortname]], Comp[], 29, FALSE)</f>
        <v>0</v>
      </c>
      <c r="AE103">
        <f>VLOOKUP(Table55[[#This Row],[Shortname]], Comp[], 30, FALSE)</f>
        <v>0</v>
      </c>
      <c r="AF103">
        <f>VLOOKUP(Table55[[#This Row],[Shortname]], Comp[], 31, FALSE)</f>
        <v>0</v>
      </c>
    </row>
    <row r="104" spans="1:32" x14ac:dyDescent="0.3">
      <c r="A104" t="s">
        <v>1188</v>
      </c>
      <c r="B104" t="s">
        <v>1190</v>
      </c>
      <c r="C104" t="s">
        <v>6601</v>
      </c>
      <c r="D104">
        <v>903</v>
      </c>
      <c r="E104">
        <v>1361</v>
      </c>
      <c r="F104" t="s">
        <v>6710</v>
      </c>
      <c r="G104">
        <f>VLOOKUP(Table55[[#This Row],[Shortname]], Comp[], 6, FALSE)</f>
        <v>151</v>
      </c>
      <c r="H104" s="14">
        <f>VLOOKUP(Table55[[#This Row],[Shortname]], Comp[], 7, FALSE)</f>
        <v>59.1</v>
      </c>
      <c r="I104">
        <f>VLOOKUP(Table55[[#This Row],[Shortname]], Comp[], 8, FALSE)</f>
        <v>19.7</v>
      </c>
      <c r="J104">
        <f>VLOOKUP(Table55[[#This Row],[Shortname]], Comp[], 9, FALSE)</f>
        <v>7.5</v>
      </c>
      <c r="K104">
        <f>VLOOKUP(Table55[[#This Row],[Shortname]], Comp[], 10, FALSE)</f>
        <v>11.1</v>
      </c>
      <c r="L104">
        <f>VLOOKUP(Table55[[#This Row],[Shortname]], Comp[], 11, FALSE)</f>
        <v>0</v>
      </c>
      <c r="M104">
        <f>VLOOKUP(Table55[[#This Row],[Shortname]], Comp[],12, FALSE)</f>
        <v>2.6</v>
      </c>
      <c r="N104">
        <f>VLOOKUP(Table55[[#This Row],[Shortname]], Comp[], 13, FALSE)</f>
        <v>0</v>
      </c>
      <c r="O104">
        <f>VLOOKUP(Table55[[#This Row],[Shortname]], Comp[], 14, FALSE)</f>
        <v>0</v>
      </c>
      <c r="P104">
        <f>VLOOKUP(Table55[[#This Row],[Shortname]], Comp[], 15, FALSE)</f>
        <v>0</v>
      </c>
      <c r="Q104">
        <f>VLOOKUP(Table55[[#This Row],[Shortname]], Comp[], 16, FALSE)</f>
        <v>0</v>
      </c>
      <c r="R104">
        <f>VLOOKUP(Table55[[#This Row],[Shortname]], Comp[], 17, FALSE)</f>
        <v>0</v>
      </c>
      <c r="S104">
        <f>VLOOKUP(Table55[[#This Row],[Shortname]], Comp[], 18, FALSE)</f>
        <v>0</v>
      </c>
      <c r="T104">
        <f>VLOOKUP(Table55[[#This Row],[Shortname]], Comp[], 19, FALSE)</f>
        <v>0</v>
      </c>
      <c r="U104">
        <f>VLOOKUP(Table55[[#This Row],[Shortname]], Comp[], 20, FALSE)</f>
        <v>0</v>
      </c>
      <c r="V104">
        <f>VLOOKUP(Table55[[#This Row],[Shortname]], Comp[], 21, FALSE)</f>
        <v>0</v>
      </c>
      <c r="W104">
        <f>VLOOKUP(Table55[[#This Row],[Shortname]], Comp[], 22, FALSE)</f>
        <v>0</v>
      </c>
      <c r="X104">
        <f>VLOOKUP(Table55[[#This Row],[Shortname]], Comp[], 23, FALSE)</f>
        <v>0</v>
      </c>
      <c r="Y104">
        <f>VLOOKUP(Table55[[#This Row],[Shortname]], Comp[], 24, FALSE)</f>
        <v>0</v>
      </c>
      <c r="Z104">
        <f>VLOOKUP(Table55[[#This Row],[Shortname]], Comp[], 25, FALSE)</f>
        <v>0</v>
      </c>
      <c r="AA104">
        <f>VLOOKUP(Table55[[#This Row],[Shortname]], Comp[], 26, FALSE)</f>
        <v>0</v>
      </c>
      <c r="AB104">
        <f>VLOOKUP(Table55[[#This Row],[Shortname]], Comp[], 27, FALSE)</f>
        <v>0</v>
      </c>
      <c r="AC104">
        <f>VLOOKUP(Table55[[#This Row],[Shortname]], Comp[], 28, FALSE)</f>
        <v>0</v>
      </c>
      <c r="AD104">
        <f>VLOOKUP(Table55[[#This Row],[Shortname]], Comp[], 29, FALSE)</f>
        <v>0</v>
      </c>
      <c r="AE104">
        <f>VLOOKUP(Table55[[#This Row],[Shortname]], Comp[], 30, FALSE)</f>
        <v>0</v>
      </c>
      <c r="AF104">
        <f>VLOOKUP(Table55[[#This Row],[Shortname]], Comp[], 31, FALSE)</f>
        <v>0</v>
      </c>
    </row>
    <row r="105" spans="1:32" x14ac:dyDescent="0.3">
      <c r="A105" t="s">
        <v>1203</v>
      </c>
      <c r="B105" t="s">
        <v>1205</v>
      </c>
      <c r="C105" t="s">
        <v>6601</v>
      </c>
      <c r="D105">
        <v>899</v>
      </c>
      <c r="E105">
        <v>1311</v>
      </c>
      <c r="F105">
        <v>1401</v>
      </c>
      <c r="G105">
        <f>VLOOKUP(Table55[[#This Row],[Shortname]], Comp[], 6, FALSE)</f>
        <v>153</v>
      </c>
      <c r="H105" s="14">
        <f>VLOOKUP(Table55[[#This Row],[Shortname]], Comp[], 7, FALSE)</f>
        <v>50.6</v>
      </c>
      <c r="I105">
        <f>VLOOKUP(Table55[[#This Row],[Shortname]], Comp[], 8, FALSE)</f>
        <v>17.2</v>
      </c>
      <c r="J105">
        <f>VLOOKUP(Table55[[#This Row],[Shortname]], Comp[], 9, FALSE)</f>
        <v>7.8</v>
      </c>
      <c r="K105">
        <f>VLOOKUP(Table55[[#This Row],[Shortname]], Comp[], 10, FALSE)</f>
        <v>21.8</v>
      </c>
      <c r="L105">
        <f>VLOOKUP(Table55[[#This Row],[Shortname]], Comp[], 11, FALSE)</f>
        <v>0</v>
      </c>
      <c r="M105">
        <f>VLOOKUP(Table55[[#This Row],[Shortname]], Comp[],12, FALSE)</f>
        <v>2.6</v>
      </c>
      <c r="N105">
        <f>VLOOKUP(Table55[[#This Row],[Shortname]], Comp[], 13, FALSE)</f>
        <v>0</v>
      </c>
      <c r="O105">
        <f>VLOOKUP(Table55[[#This Row],[Shortname]], Comp[], 14, FALSE)</f>
        <v>0</v>
      </c>
      <c r="P105">
        <f>VLOOKUP(Table55[[#This Row],[Shortname]], Comp[], 15, FALSE)</f>
        <v>0</v>
      </c>
      <c r="Q105">
        <f>VLOOKUP(Table55[[#This Row],[Shortname]], Comp[], 16, FALSE)</f>
        <v>0</v>
      </c>
      <c r="R105">
        <f>VLOOKUP(Table55[[#This Row],[Shortname]], Comp[], 17, FALSE)</f>
        <v>0</v>
      </c>
      <c r="S105">
        <f>VLOOKUP(Table55[[#This Row],[Shortname]], Comp[], 18, FALSE)</f>
        <v>0</v>
      </c>
      <c r="T105">
        <f>VLOOKUP(Table55[[#This Row],[Shortname]], Comp[], 19, FALSE)</f>
        <v>0</v>
      </c>
      <c r="U105">
        <f>VLOOKUP(Table55[[#This Row],[Shortname]], Comp[], 20, FALSE)</f>
        <v>0</v>
      </c>
      <c r="V105">
        <f>VLOOKUP(Table55[[#This Row],[Shortname]], Comp[], 21, FALSE)</f>
        <v>0</v>
      </c>
      <c r="W105">
        <f>VLOOKUP(Table55[[#This Row],[Shortname]], Comp[], 22, FALSE)</f>
        <v>0</v>
      </c>
      <c r="X105">
        <f>VLOOKUP(Table55[[#This Row],[Shortname]], Comp[], 23, FALSE)</f>
        <v>0</v>
      </c>
      <c r="Y105">
        <f>VLOOKUP(Table55[[#This Row],[Shortname]], Comp[], 24, FALSE)</f>
        <v>0</v>
      </c>
      <c r="Z105">
        <f>VLOOKUP(Table55[[#This Row],[Shortname]], Comp[], 25, FALSE)</f>
        <v>0</v>
      </c>
      <c r="AA105">
        <f>VLOOKUP(Table55[[#This Row],[Shortname]], Comp[], 26, FALSE)</f>
        <v>0</v>
      </c>
      <c r="AB105">
        <f>VLOOKUP(Table55[[#This Row],[Shortname]], Comp[], 27, FALSE)</f>
        <v>0</v>
      </c>
      <c r="AC105">
        <f>VLOOKUP(Table55[[#This Row],[Shortname]], Comp[], 28, FALSE)</f>
        <v>0</v>
      </c>
      <c r="AD105">
        <f>VLOOKUP(Table55[[#This Row],[Shortname]], Comp[], 29, FALSE)</f>
        <v>0</v>
      </c>
      <c r="AE105">
        <f>VLOOKUP(Table55[[#This Row],[Shortname]], Comp[], 30, FALSE)</f>
        <v>0</v>
      </c>
      <c r="AF105">
        <f>VLOOKUP(Table55[[#This Row],[Shortname]], Comp[], 31, FALSE)</f>
        <v>0</v>
      </c>
    </row>
    <row r="106" spans="1:32" x14ac:dyDescent="0.3">
      <c r="A106" t="s">
        <v>1221</v>
      </c>
      <c r="B106" t="s">
        <v>1223</v>
      </c>
      <c r="C106" s="4" t="s">
        <v>1224</v>
      </c>
      <c r="D106">
        <v>1225</v>
      </c>
      <c r="E106">
        <v>1337</v>
      </c>
      <c r="F106">
        <v>1399</v>
      </c>
      <c r="G106">
        <f>VLOOKUP(Table55[[#This Row],[Shortname]], Comp[], 6, FALSE)</f>
        <v>155</v>
      </c>
      <c r="H106" s="14">
        <f>VLOOKUP(Table55[[#This Row],[Shortname]], Comp[], 7, FALSE)</f>
        <v>48.1</v>
      </c>
      <c r="I106">
        <f>VLOOKUP(Table55[[#This Row],[Shortname]], Comp[], 8, FALSE)</f>
        <v>29</v>
      </c>
      <c r="J106">
        <f>VLOOKUP(Table55[[#This Row],[Shortname]], Comp[], 9, FALSE)</f>
        <v>12.1</v>
      </c>
      <c r="K106">
        <f>VLOOKUP(Table55[[#This Row],[Shortname]], Comp[], 10, FALSE)</f>
        <v>0</v>
      </c>
      <c r="L106">
        <f>VLOOKUP(Table55[[#This Row],[Shortname]], Comp[], 11, FALSE)</f>
        <v>5.8</v>
      </c>
      <c r="M106">
        <f>VLOOKUP(Table55[[#This Row],[Shortname]], Comp[],12, FALSE)</f>
        <v>2.2400000000000002</v>
      </c>
      <c r="N106">
        <f>VLOOKUP(Table55[[#This Row],[Shortname]], Comp[], 13, FALSE)</f>
        <v>2.66</v>
      </c>
      <c r="O106">
        <f>VLOOKUP(Table55[[#This Row],[Shortname]], Comp[], 14, FALSE)</f>
        <v>0</v>
      </c>
      <c r="P106">
        <f>VLOOKUP(Table55[[#This Row],[Shortname]], Comp[], 15, FALSE)</f>
        <v>0</v>
      </c>
      <c r="Q106">
        <f>VLOOKUP(Table55[[#This Row],[Shortname]], Comp[], 16, FALSE)</f>
        <v>0</v>
      </c>
      <c r="R106">
        <f>VLOOKUP(Table55[[#This Row],[Shortname]], Comp[], 17, FALSE)</f>
        <v>0</v>
      </c>
      <c r="S106">
        <f>VLOOKUP(Table55[[#This Row],[Shortname]], Comp[], 18, FALSE)</f>
        <v>0</v>
      </c>
      <c r="T106">
        <f>VLOOKUP(Table55[[#This Row],[Shortname]], Comp[], 19, FALSE)</f>
        <v>0.1</v>
      </c>
      <c r="U106">
        <f>VLOOKUP(Table55[[#This Row],[Shortname]], Comp[], 20, FALSE)</f>
        <v>0</v>
      </c>
      <c r="V106">
        <f>VLOOKUP(Table55[[#This Row],[Shortname]], Comp[], 21, FALSE)</f>
        <v>0</v>
      </c>
      <c r="W106">
        <f>VLOOKUP(Table55[[#This Row],[Shortname]], Comp[], 22, FALSE)</f>
        <v>0</v>
      </c>
      <c r="X106">
        <f>VLOOKUP(Table55[[#This Row],[Shortname]], Comp[], 23, FALSE)</f>
        <v>0</v>
      </c>
      <c r="Y106">
        <f>VLOOKUP(Table55[[#This Row],[Shortname]], Comp[], 24, FALSE)</f>
        <v>0</v>
      </c>
      <c r="Z106">
        <f>VLOOKUP(Table55[[#This Row],[Shortname]], Comp[], 25, FALSE)</f>
        <v>0</v>
      </c>
      <c r="AA106">
        <f>VLOOKUP(Table55[[#This Row],[Shortname]], Comp[], 26, FALSE)</f>
        <v>0</v>
      </c>
      <c r="AB106">
        <f>VLOOKUP(Table55[[#This Row],[Shortname]], Comp[], 27, FALSE)</f>
        <v>0</v>
      </c>
      <c r="AC106">
        <f>VLOOKUP(Table55[[#This Row],[Shortname]], Comp[], 28, FALSE)</f>
        <v>0</v>
      </c>
      <c r="AD106">
        <f>VLOOKUP(Table55[[#This Row],[Shortname]], Comp[], 29, FALSE)</f>
        <v>0</v>
      </c>
      <c r="AE106">
        <f>VLOOKUP(Table55[[#This Row],[Shortname]], Comp[], 30, FALSE)</f>
        <v>0</v>
      </c>
      <c r="AF106">
        <f>VLOOKUP(Table55[[#This Row],[Shortname]], Comp[], 31, FALSE)</f>
        <v>0</v>
      </c>
    </row>
    <row r="107" spans="1:32" x14ac:dyDescent="0.3">
      <c r="A107" t="s">
        <v>1234</v>
      </c>
      <c r="B107" t="s">
        <v>1236</v>
      </c>
      <c r="C107" s="4" t="s">
        <v>1224</v>
      </c>
      <c r="D107">
        <v>1188</v>
      </c>
      <c r="E107">
        <v>1318</v>
      </c>
      <c r="F107">
        <v>1390</v>
      </c>
      <c r="G107">
        <f>VLOOKUP(Table55[[#This Row],[Shortname]], Comp[], 6, FALSE)</f>
        <v>156</v>
      </c>
      <c r="H107" s="14">
        <f>VLOOKUP(Table55[[#This Row],[Shortname]], Comp[], 7, FALSE)</f>
        <v>45.5</v>
      </c>
      <c r="I107">
        <f>VLOOKUP(Table55[[#This Row],[Shortname]], Comp[], 8, FALSE)</f>
        <v>29.2</v>
      </c>
      <c r="J107">
        <f>VLOOKUP(Table55[[#This Row],[Shortname]], Comp[], 9, FALSE)</f>
        <v>11.1</v>
      </c>
      <c r="K107">
        <f>VLOOKUP(Table55[[#This Row],[Shortname]], Comp[], 10, FALSE)</f>
        <v>4.0999999999999996</v>
      </c>
      <c r="L107">
        <f>VLOOKUP(Table55[[#This Row],[Shortname]], Comp[], 11, FALSE)</f>
        <v>5.68</v>
      </c>
      <c r="M107">
        <f>VLOOKUP(Table55[[#This Row],[Shortname]], Comp[],12, FALSE)</f>
        <v>2.04</v>
      </c>
      <c r="N107">
        <f>VLOOKUP(Table55[[#This Row],[Shortname]], Comp[], 13, FALSE)</f>
        <v>2.2799999999999998</v>
      </c>
      <c r="O107">
        <f>VLOOKUP(Table55[[#This Row],[Shortname]], Comp[], 14, FALSE)</f>
        <v>0</v>
      </c>
      <c r="P107">
        <f>VLOOKUP(Table55[[#This Row],[Shortname]], Comp[], 15, FALSE)</f>
        <v>0</v>
      </c>
      <c r="Q107">
        <f>VLOOKUP(Table55[[#This Row],[Shortname]], Comp[], 16, FALSE)</f>
        <v>0</v>
      </c>
      <c r="R107">
        <f>VLOOKUP(Table55[[#This Row],[Shortname]], Comp[], 17, FALSE)</f>
        <v>0</v>
      </c>
      <c r="S107">
        <f>VLOOKUP(Table55[[#This Row],[Shortname]], Comp[], 18, FALSE)</f>
        <v>0</v>
      </c>
      <c r="T107">
        <f>VLOOKUP(Table55[[#This Row],[Shortname]], Comp[], 19, FALSE)</f>
        <v>0.1</v>
      </c>
      <c r="U107">
        <f>VLOOKUP(Table55[[#This Row],[Shortname]], Comp[], 20, FALSE)</f>
        <v>0</v>
      </c>
      <c r="V107">
        <f>VLOOKUP(Table55[[#This Row],[Shortname]], Comp[], 21, FALSE)</f>
        <v>0</v>
      </c>
      <c r="W107">
        <f>VLOOKUP(Table55[[#This Row],[Shortname]], Comp[], 22, FALSE)</f>
        <v>0</v>
      </c>
      <c r="X107">
        <f>VLOOKUP(Table55[[#This Row],[Shortname]], Comp[], 23, FALSE)</f>
        <v>0</v>
      </c>
      <c r="Y107">
        <f>VLOOKUP(Table55[[#This Row],[Shortname]], Comp[], 24, FALSE)</f>
        <v>0</v>
      </c>
      <c r="Z107">
        <f>VLOOKUP(Table55[[#This Row],[Shortname]], Comp[], 25, FALSE)</f>
        <v>0</v>
      </c>
      <c r="AA107">
        <f>VLOOKUP(Table55[[#This Row],[Shortname]], Comp[], 26, FALSE)</f>
        <v>0</v>
      </c>
      <c r="AB107">
        <f>VLOOKUP(Table55[[#This Row],[Shortname]], Comp[], 27, FALSE)</f>
        <v>0</v>
      </c>
      <c r="AC107">
        <f>VLOOKUP(Table55[[#This Row],[Shortname]], Comp[], 28, FALSE)</f>
        <v>0</v>
      </c>
      <c r="AD107">
        <f>VLOOKUP(Table55[[#This Row],[Shortname]], Comp[], 29, FALSE)</f>
        <v>0</v>
      </c>
      <c r="AE107">
        <f>VLOOKUP(Table55[[#This Row],[Shortname]], Comp[], 30, FALSE)</f>
        <v>0</v>
      </c>
      <c r="AF107">
        <f>VLOOKUP(Table55[[#This Row],[Shortname]], Comp[], 31, FALSE)</f>
        <v>0</v>
      </c>
    </row>
    <row r="108" spans="1:32" x14ac:dyDescent="0.3">
      <c r="A108" t="s">
        <v>1253</v>
      </c>
      <c r="B108" t="s">
        <v>1255</v>
      </c>
      <c r="C108" s="4" t="s">
        <v>1224</v>
      </c>
      <c r="D108">
        <v>1152</v>
      </c>
      <c r="E108">
        <v>1308</v>
      </c>
      <c r="F108">
        <v>1380</v>
      </c>
      <c r="G108">
        <f>VLOOKUP(Table55[[#This Row],[Shortname]], Comp[], 6, FALSE)</f>
        <v>158</v>
      </c>
      <c r="H108" s="14">
        <f>VLOOKUP(Table55[[#This Row],[Shortname]], Comp[], 7, FALSE)</f>
        <v>42.2</v>
      </c>
      <c r="I108">
        <f>VLOOKUP(Table55[[#This Row],[Shortname]], Comp[], 8, FALSE)</f>
        <v>29.5</v>
      </c>
      <c r="J108">
        <f>VLOOKUP(Table55[[#This Row],[Shortname]], Comp[], 9, FALSE)</f>
        <v>10.5</v>
      </c>
      <c r="K108">
        <f>VLOOKUP(Table55[[#This Row],[Shortname]], Comp[], 10, FALSE)</f>
        <v>8.02</v>
      </c>
      <c r="L108">
        <f>VLOOKUP(Table55[[#This Row],[Shortname]], Comp[], 11, FALSE)</f>
        <v>5.14</v>
      </c>
      <c r="M108">
        <f>VLOOKUP(Table55[[#This Row],[Shortname]], Comp[],12, FALSE)</f>
        <v>1.85</v>
      </c>
      <c r="N108">
        <f>VLOOKUP(Table55[[#This Row],[Shortname]], Comp[], 13, FALSE)</f>
        <v>2.69</v>
      </c>
      <c r="O108">
        <f>VLOOKUP(Table55[[#This Row],[Shortname]], Comp[], 14, FALSE)</f>
        <v>0</v>
      </c>
      <c r="P108">
        <f>VLOOKUP(Table55[[#This Row],[Shortname]], Comp[], 15, FALSE)</f>
        <v>0</v>
      </c>
      <c r="Q108">
        <f>VLOOKUP(Table55[[#This Row],[Shortname]], Comp[], 16, FALSE)</f>
        <v>0</v>
      </c>
      <c r="R108">
        <f>VLOOKUP(Table55[[#This Row],[Shortname]], Comp[], 17, FALSE)</f>
        <v>0</v>
      </c>
      <c r="S108">
        <f>VLOOKUP(Table55[[#This Row],[Shortname]], Comp[], 18, FALSE)</f>
        <v>0</v>
      </c>
      <c r="T108">
        <f>VLOOKUP(Table55[[#This Row],[Shortname]], Comp[], 19, FALSE)</f>
        <v>0.1</v>
      </c>
      <c r="U108">
        <f>VLOOKUP(Table55[[#This Row],[Shortname]], Comp[], 20, FALSE)</f>
        <v>0</v>
      </c>
      <c r="V108">
        <f>VLOOKUP(Table55[[#This Row],[Shortname]], Comp[], 21, FALSE)</f>
        <v>0</v>
      </c>
      <c r="W108">
        <f>VLOOKUP(Table55[[#This Row],[Shortname]], Comp[], 22, FALSE)</f>
        <v>0</v>
      </c>
      <c r="X108">
        <f>VLOOKUP(Table55[[#This Row],[Shortname]], Comp[], 23, FALSE)</f>
        <v>0</v>
      </c>
      <c r="Y108">
        <f>VLOOKUP(Table55[[#This Row],[Shortname]], Comp[], 24, FALSE)</f>
        <v>0</v>
      </c>
      <c r="Z108">
        <f>VLOOKUP(Table55[[#This Row],[Shortname]], Comp[], 25, FALSE)</f>
        <v>0</v>
      </c>
      <c r="AA108">
        <f>VLOOKUP(Table55[[#This Row],[Shortname]], Comp[], 26, FALSE)</f>
        <v>0</v>
      </c>
      <c r="AB108">
        <f>VLOOKUP(Table55[[#This Row],[Shortname]], Comp[], 27, FALSE)</f>
        <v>0</v>
      </c>
      <c r="AC108">
        <f>VLOOKUP(Table55[[#This Row],[Shortname]], Comp[], 28, FALSE)</f>
        <v>0</v>
      </c>
      <c r="AD108">
        <f>VLOOKUP(Table55[[#This Row],[Shortname]], Comp[], 29, FALSE)</f>
        <v>0</v>
      </c>
      <c r="AE108">
        <f>VLOOKUP(Table55[[#This Row],[Shortname]], Comp[], 30, FALSE)</f>
        <v>0</v>
      </c>
      <c r="AF108">
        <f>VLOOKUP(Table55[[#This Row],[Shortname]], Comp[], 31, FALSE)</f>
        <v>0</v>
      </c>
    </row>
    <row r="109" spans="1:32" x14ac:dyDescent="0.3">
      <c r="A109" t="s">
        <v>1243</v>
      </c>
      <c r="B109" t="s">
        <v>1245</v>
      </c>
      <c r="C109" s="4" t="s">
        <v>1224</v>
      </c>
      <c r="D109">
        <v>1118</v>
      </c>
      <c r="E109">
        <v>1299</v>
      </c>
      <c r="F109">
        <v>1368</v>
      </c>
      <c r="G109">
        <f>VLOOKUP(Table55[[#This Row],[Shortname]], Comp[], 6, FALSE)</f>
        <v>157</v>
      </c>
      <c r="H109" s="14">
        <f>VLOOKUP(Table55[[#This Row],[Shortname]], Comp[], 7, FALSE)</f>
        <v>39.15</v>
      </c>
      <c r="I109">
        <f>VLOOKUP(Table55[[#This Row],[Shortname]], Comp[], 8, FALSE)</f>
        <v>28.9</v>
      </c>
      <c r="J109">
        <f>VLOOKUP(Table55[[#This Row],[Shortname]], Comp[], 9, FALSE)</f>
        <v>10.1</v>
      </c>
      <c r="K109">
        <f>VLOOKUP(Table55[[#This Row],[Shortname]], Comp[], 10, FALSE)</f>
        <v>12.5</v>
      </c>
      <c r="L109">
        <f>VLOOKUP(Table55[[#This Row],[Shortname]], Comp[], 11, FALSE)</f>
        <v>5.09</v>
      </c>
      <c r="M109">
        <f>VLOOKUP(Table55[[#This Row],[Shortname]], Comp[],12, FALSE)</f>
        <v>1.86</v>
      </c>
      <c r="N109">
        <f>VLOOKUP(Table55[[#This Row],[Shortname]], Comp[], 13, FALSE)</f>
        <v>2.2999999999999998</v>
      </c>
      <c r="O109">
        <f>VLOOKUP(Table55[[#This Row],[Shortname]], Comp[], 14, FALSE)</f>
        <v>0</v>
      </c>
      <c r="P109">
        <f>VLOOKUP(Table55[[#This Row],[Shortname]], Comp[], 15, FALSE)</f>
        <v>0</v>
      </c>
      <c r="Q109">
        <f>VLOOKUP(Table55[[#This Row],[Shortname]], Comp[], 16, FALSE)</f>
        <v>0</v>
      </c>
      <c r="R109">
        <f>VLOOKUP(Table55[[#This Row],[Shortname]], Comp[], 17, FALSE)</f>
        <v>0</v>
      </c>
      <c r="S109">
        <f>VLOOKUP(Table55[[#This Row],[Shortname]], Comp[], 18, FALSE)</f>
        <v>0</v>
      </c>
      <c r="T109">
        <f>VLOOKUP(Table55[[#This Row],[Shortname]], Comp[], 19, FALSE)</f>
        <v>0.1</v>
      </c>
      <c r="U109">
        <f>VLOOKUP(Table55[[#This Row],[Shortname]], Comp[], 20, FALSE)</f>
        <v>0</v>
      </c>
      <c r="V109">
        <f>VLOOKUP(Table55[[#This Row],[Shortname]], Comp[], 21, FALSE)</f>
        <v>0</v>
      </c>
      <c r="W109">
        <f>VLOOKUP(Table55[[#This Row],[Shortname]], Comp[], 22, FALSE)</f>
        <v>0</v>
      </c>
      <c r="X109">
        <f>VLOOKUP(Table55[[#This Row],[Shortname]], Comp[], 23, FALSE)</f>
        <v>0</v>
      </c>
      <c r="Y109">
        <f>VLOOKUP(Table55[[#This Row],[Shortname]], Comp[], 24, FALSE)</f>
        <v>0</v>
      </c>
      <c r="Z109">
        <f>VLOOKUP(Table55[[#This Row],[Shortname]], Comp[], 25, FALSE)</f>
        <v>0</v>
      </c>
      <c r="AA109">
        <f>VLOOKUP(Table55[[#This Row],[Shortname]], Comp[], 26, FALSE)</f>
        <v>0</v>
      </c>
      <c r="AB109">
        <f>VLOOKUP(Table55[[#This Row],[Shortname]], Comp[], 27, FALSE)</f>
        <v>0</v>
      </c>
      <c r="AC109">
        <f>VLOOKUP(Table55[[#This Row],[Shortname]], Comp[], 28, FALSE)</f>
        <v>0</v>
      </c>
      <c r="AD109">
        <f>VLOOKUP(Table55[[#This Row],[Shortname]], Comp[], 29, FALSE)</f>
        <v>0</v>
      </c>
      <c r="AE109">
        <f>VLOOKUP(Table55[[#This Row],[Shortname]], Comp[], 30, FALSE)</f>
        <v>0</v>
      </c>
      <c r="AF109">
        <f>VLOOKUP(Table55[[#This Row],[Shortname]], Comp[], 31, FALSE)</f>
        <v>0</v>
      </c>
    </row>
    <row r="110" spans="1:32" x14ac:dyDescent="0.3">
      <c r="A110" t="s">
        <v>1298</v>
      </c>
      <c r="B110" t="s">
        <v>1300</v>
      </c>
      <c r="C110" s="3" t="s">
        <v>1301</v>
      </c>
      <c r="D110">
        <v>1100</v>
      </c>
      <c r="E110">
        <v>1419</v>
      </c>
      <c r="F110">
        <v>1427</v>
      </c>
      <c r="G110">
        <f>VLOOKUP(Table55[[#This Row],[Shortname]], Comp[], 6, FALSE)</f>
        <v>165</v>
      </c>
      <c r="H110" s="14">
        <f>VLOOKUP(Table55[[#This Row],[Shortname]], Comp[], 7, FALSE)</f>
        <v>80.06</v>
      </c>
      <c r="I110">
        <f>VLOOKUP(Table55[[#This Row],[Shortname]], Comp[], 8, FALSE)</f>
        <v>0</v>
      </c>
      <c r="J110">
        <f>VLOOKUP(Table55[[#This Row],[Shortname]], Comp[], 9, FALSE)</f>
        <v>6.76</v>
      </c>
      <c r="K110">
        <f>VLOOKUP(Table55[[#This Row],[Shortname]], Comp[], 10, FALSE)</f>
        <v>0</v>
      </c>
      <c r="L110">
        <f>VLOOKUP(Table55[[#This Row],[Shortname]], Comp[], 11, FALSE)</f>
        <v>8.89</v>
      </c>
      <c r="M110">
        <f>VLOOKUP(Table55[[#This Row],[Shortname]], Comp[],12, FALSE)</f>
        <v>0</v>
      </c>
      <c r="N110">
        <f>VLOOKUP(Table55[[#This Row],[Shortname]], Comp[], 13, FALSE)</f>
        <v>0</v>
      </c>
      <c r="O110">
        <f>VLOOKUP(Table55[[#This Row],[Shortname]], Comp[], 14, FALSE)</f>
        <v>0</v>
      </c>
      <c r="P110">
        <f>VLOOKUP(Table55[[#This Row],[Shortname]], Comp[], 15, FALSE)</f>
        <v>4.29</v>
      </c>
      <c r="Q110">
        <f>VLOOKUP(Table55[[#This Row],[Shortname]], Comp[], 16, FALSE)</f>
        <v>0</v>
      </c>
      <c r="R110">
        <f>VLOOKUP(Table55[[#This Row],[Shortname]], Comp[], 17, FALSE)</f>
        <v>0</v>
      </c>
      <c r="S110">
        <f>VLOOKUP(Table55[[#This Row],[Shortname]], Comp[], 18, FALSE)</f>
        <v>0</v>
      </c>
      <c r="T110">
        <f>VLOOKUP(Table55[[#This Row],[Shortname]], Comp[], 19, FALSE)</f>
        <v>0</v>
      </c>
      <c r="U110">
        <f>VLOOKUP(Table55[[#This Row],[Shortname]], Comp[], 20, FALSE)</f>
        <v>0</v>
      </c>
      <c r="V110">
        <f>VLOOKUP(Table55[[#This Row],[Shortname]], Comp[], 21, FALSE)</f>
        <v>0</v>
      </c>
      <c r="W110">
        <f>VLOOKUP(Table55[[#This Row],[Shortname]], Comp[], 22, FALSE)</f>
        <v>0</v>
      </c>
      <c r="X110">
        <f>VLOOKUP(Table55[[#This Row],[Shortname]], Comp[], 23, FALSE)</f>
        <v>0</v>
      </c>
      <c r="Y110">
        <f>VLOOKUP(Table55[[#This Row],[Shortname]], Comp[], 24, FALSE)</f>
        <v>0</v>
      </c>
      <c r="Z110">
        <f>VLOOKUP(Table55[[#This Row],[Shortname]], Comp[], 25, FALSE)</f>
        <v>0</v>
      </c>
      <c r="AA110">
        <f>VLOOKUP(Table55[[#This Row],[Shortname]], Comp[], 26, FALSE)</f>
        <v>0</v>
      </c>
      <c r="AB110">
        <f>VLOOKUP(Table55[[#This Row],[Shortname]], Comp[], 27, FALSE)</f>
        <v>0</v>
      </c>
      <c r="AC110">
        <f>VLOOKUP(Table55[[#This Row],[Shortname]], Comp[], 28, FALSE)</f>
        <v>0</v>
      </c>
      <c r="AD110">
        <f>VLOOKUP(Table55[[#This Row],[Shortname]], Comp[], 29, FALSE)</f>
        <v>0</v>
      </c>
      <c r="AE110">
        <f>VLOOKUP(Table55[[#This Row],[Shortname]], Comp[], 30, FALSE)</f>
        <v>0</v>
      </c>
      <c r="AF110">
        <f>VLOOKUP(Table55[[#This Row],[Shortname]], Comp[], 31, FALSE)</f>
        <v>0</v>
      </c>
    </row>
    <row r="111" spans="1:32" x14ac:dyDescent="0.3">
      <c r="A111" t="s">
        <v>1326</v>
      </c>
      <c r="B111" t="s">
        <v>1328</v>
      </c>
      <c r="C111" s="10" t="s">
        <v>1329</v>
      </c>
      <c r="D111">
        <v>1085</v>
      </c>
      <c r="E111">
        <v>1379</v>
      </c>
      <c r="F111">
        <v>1448</v>
      </c>
      <c r="G111">
        <f>VLOOKUP(Table55[[#This Row],[Shortname]], Comp[], 6, FALSE)</f>
        <v>168</v>
      </c>
      <c r="H111" s="14">
        <f>VLOOKUP(Table55[[#This Row],[Shortname]], Comp[], 7, FALSE)</f>
        <v>81.8</v>
      </c>
      <c r="I111">
        <f>VLOOKUP(Table55[[#This Row],[Shortname]], Comp[], 8, FALSE)</f>
        <v>0</v>
      </c>
      <c r="J111">
        <f>VLOOKUP(Table55[[#This Row],[Shortname]], Comp[], 9, FALSE)</f>
        <v>8.75</v>
      </c>
      <c r="K111">
        <f>VLOOKUP(Table55[[#This Row],[Shortname]], Comp[], 10, FALSE)</f>
        <v>0</v>
      </c>
      <c r="L111">
        <f>VLOOKUP(Table55[[#This Row],[Shortname]], Comp[], 11, FALSE)</f>
        <v>7.56</v>
      </c>
      <c r="M111">
        <f>VLOOKUP(Table55[[#This Row],[Shortname]], Comp[],12, FALSE)</f>
        <v>0</v>
      </c>
      <c r="N111">
        <f>VLOOKUP(Table55[[#This Row],[Shortname]], Comp[], 13, FALSE)</f>
        <v>1.89</v>
      </c>
      <c r="O111">
        <f>VLOOKUP(Table55[[#This Row],[Shortname]], Comp[], 14, FALSE)</f>
        <v>0</v>
      </c>
      <c r="P111">
        <f>VLOOKUP(Table55[[#This Row],[Shortname]], Comp[], 15, FALSE)</f>
        <v>0</v>
      </c>
      <c r="Q111">
        <f>VLOOKUP(Table55[[#This Row],[Shortname]], Comp[], 16, FALSE)</f>
        <v>0</v>
      </c>
      <c r="R111">
        <f>VLOOKUP(Table55[[#This Row],[Shortname]], Comp[], 17, FALSE)</f>
        <v>0</v>
      </c>
      <c r="S111">
        <f>VLOOKUP(Table55[[#This Row],[Shortname]], Comp[], 18, FALSE)</f>
        <v>0</v>
      </c>
      <c r="T111">
        <f>VLOOKUP(Table55[[#This Row],[Shortname]], Comp[], 19, FALSE)</f>
        <v>0</v>
      </c>
      <c r="U111">
        <f>VLOOKUP(Table55[[#This Row],[Shortname]], Comp[], 20, FALSE)</f>
        <v>0</v>
      </c>
      <c r="V111">
        <f>VLOOKUP(Table55[[#This Row],[Shortname]], Comp[], 21, FALSE)</f>
        <v>0</v>
      </c>
      <c r="W111">
        <f>VLOOKUP(Table55[[#This Row],[Shortname]], Comp[], 22, FALSE)</f>
        <v>0</v>
      </c>
      <c r="X111">
        <f>VLOOKUP(Table55[[#This Row],[Shortname]], Comp[], 23, FALSE)</f>
        <v>0</v>
      </c>
      <c r="Y111">
        <f>VLOOKUP(Table55[[#This Row],[Shortname]], Comp[], 24, FALSE)</f>
        <v>0</v>
      </c>
      <c r="Z111">
        <f>VLOOKUP(Table55[[#This Row],[Shortname]], Comp[], 25, FALSE)</f>
        <v>0</v>
      </c>
      <c r="AA111">
        <f>VLOOKUP(Table55[[#This Row],[Shortname]], Comp[], 26, FALSE)</f>
        <v>0</v>
      </c>
      <c r="AB111">
        <f>VLOOKUP(Table55[[#This Row],[Shortname]], Comp[], 27, FALSE)</f>
        <v>0</v>
      </c>
      <c r="AC111">
        <f>VLOOKUP(Table55[[#This Row],[Shortname]], Comp[], 28, FALSE)</f>
        <v>0</v>
      </c>
      <c r="AD111">
        <f>VLOOKUP(Table55[[#This Row],[Shortname]], Comp[], 29, FALSE)</f>
        <v>0</v>
      </c>
      <c r="AE111">
        <f>VLOOKUP(Table55[[#This Row],[Shortname]], Comp[], 30, FALSE)</f>
        <v>0</v>
      </c>
      <c r="AF111">
        <f>VLOOKUP(Table55[[#This Row],[Shortname]], Comp[], 31, FALSE)</f>
        <v>0</v>
      </c>
    </row>
    <row r="112" spans="1:32" x14ac:dyDescent="0.3">
      <c r="A112" t="s">
        <v>1334</v>
      </c>
      <c r="B112" t="s">
        <v>1336</v>
      </c>
      <c r="C112" s="10" t="s">
        <v>1337</v>
      </c>
      <c r="D112">
        <v>1005</v>
      </c>
      <c r="E112">
        <v>1389</v>
      </c>
      <c r="F112">
        <v>1439</v>
      </c>
      <c r="G112">
        <f>VLOOKUP(Table55[[#This Row],[Shortname]], Comp[], 6, FALSE)</f>
        <v>169</v>
      </c>
      <c r="H112" s="14">
        <f>VLOOKUP(Table55[[#This Row],[Shortname]], Comp[], 7, FALSE)</f>
        <v>49.9</v>
      </c>
      <c r="I112">
        <f>VLOOKUP(Table55[[#This Row],[Shortname]], Comp[], 8, FALSE)</f>
        <v>15.9</v>
      </c>
      <c r="J112">
        <f>VLOOKUP(Table55[[#This Row],[Shortname]], Comp[], 9, FALSE)</f>
        <v>13.6</v>
      </c>
      <c r="K112">
        <f>VLOOKUP(Table55[[#This Row],[Shortname]], Comp[], 10, FALSE)</f>
        <v>0</v>
      </c>
      <c r="L112">
        <f>VLOOKUP(Table55[[#This Row],[Shortname]], Comp[], 11, FALSE)</f>
        <v>19</v>
      </c>
      <c r="M112">
        <f>VLOOKUP(Table55[[#This Row],[Shortname]], Comp[],12, FALSE)</f>
        <v>0</v>
      </c>
      <c r="N112">
        <f>VLOOKUP(Table55[[#This Row],[Shortname]], Comp[], 13, FALSE)</f>
        <v>0.7</v>
      </c>
      <c r="O112">
        <f>VLOOKUP(Table55[[#This Row],[Shortname]], Comp[], 14, FALSE)</f>
        <v>0</v>
      </c>
      <c r="P112">
        <f>VLOOKUP(Table55[[#This Row],[Shortname]], Comp[], 15, FALSE)</f>
        <v>0</v>
      </c>
      <c r="Q112">
        <f>VLOOKUP(Table55[[#This Row],[Shortname]], Comp[], 16, FALSE)</f>
        <v>0.6</v>
      </c>
      <c r="R112">
        <f>VLOOKUP(Table55[[#This Row],[Shortname]], Comp[], 17, FALSE)</f>
        <v>0</v>
      </c>
      <c r="S112">
        <f>VLOOKUP(Table55[[#This Row],[Shortname]], Comp[], 18, FALSE)</f>
        <v>0</v>
      </c>
      <c r="T112">
        <f>VLOOKUP(Table55[[#This Row],[Shortname]], Comp[], 19, FALSE)</f>
        <v>0</v>
      </c>
      <c r="U112">
        <f>VLOOKUP(Table55[[#This Row],[Shortname]], Comp[], 20, FALSE)</f>
        <v>0</v>
      </c>
      <c r="V112">
        <f>VLOOKUP(Table55[[#This Row],[Shortname]], Comp[], 21, FALSE)</f>
        <v>0.3</v>
      </c>
      <c r="W112">
        <f>VLOOKUP(Table55[[#This Row],[Shortname]], Comp[], 22, FALSE)</f>
        <v>0</v>
      </c>
      <c r="X112">
        <f>VLOOKUP(Table55[[#This Row],[Shortname]], Comp[], 23, FALSE)</f>
        <v>0</v>
      </c>
      <c r="Y112">
        <f>VLOOKUP(Table55[[#This Row],[Shortname]], Comp[], 24, FALSE)</f>
        <v>0</v>
      </c>
      <c r="Z112">
        <f>VLOOKUP(Table55[[#This Row],[Shortname]], Comp[], 25, FALSE)</f>
        <v>0</v>
      </c>
      <c r="AA112">
        <f>VLOOKUP(Table55[[#This Row],[Shortname]], Comp[], 26, FALSE)</f>
        <v>0</v>
      </c>
      <c r="AB112">
        <f>VLOOKUP(Table55[[#This Row],[Shortname]], Comp[], 27, FALSE)</f>
        <v>0</v>
      </c>
      <c r="AC112">
        <f>VLOOKUP(Table55[[#This Row],[Shortname]], Comp[], 28, FALSE)</f>
        <v>0</v>
      </c>
      <c r="AD112">
        <f>VLOOKUP(Table55[[#This Row],[Shortname]], Comp[], 29, FALSE)</f>
        <v>0</v>
      </c>
      <c r="AE112">
        <f>VLOOKUP(Table55[[#This Row],[Shortname]], Comp[], 30, FALSE)</f>
        <v>0</v>
      </c>
      <c r="AF112">
        <f>VLOOKUP(Table55[[#This Row],[Shortname]], Comp[], 31, FALSE)</f>
        <v>0</v>
      </c>
    </row>
    <row r="113" spans="1:32" x14ac:dyDescent="0.3">
      <c r="A113" t="s">
        <v>1424</v>
      </c>
      <c r="B113" t="s">
        <v>1426</v>
      </c>
      <c r="C113" s="5" t="s">
        <v>1351</v>
      </c>
      <c r="D113">
        <v>1128</v>
      </c>
      <c r="E113">
        <v>1340</v>
      </c>
      <c r="F113">
        <v>1413</v>
      </c>
      <c r="G113">
        <f>VLOOKUP(Table55[[#This Row],[Shortname]], Comp[], 6, FALSE)</f>
        <v>182</v>
      </c>
      <c r="H113" s="14">
        <f>VLOOKUP(Table55[[#This Row],[Shortname]], Comp[], 7, FALSE)</f>
        <v>79</v>
      </c>
      <c r="I113">
        <f>VLOOKUP(Table55[[#This Row],[Shortname]], Comp[], 8, FALSE)</f>
        <v>0</v>
      </c>
      <c r="J113">
        <f>VLOOKUP(Table55[[#This Row],[Shortname]], Comp[], 9, FALSE)</f>
        <v>9</v>
      </c>
      <c r="K113">
        <f>VLOOKUP(Table55[[#This Row],[Shortname]], Comp[], 10, FALSE)</f>
        <v>0</v>
      </c>
      <c r="L113">
        <f>VLOOKUP(Table55[[#This Row],[Shortname]], Comp[], 11, FALSE)</f>
        <v>8</v>
      </c>
      <c r="M113">
        <f>VLOOKUP(Table55[[#This Row],[Shortname]], Comp[],12, FALSE)</f>
        <v>0</v>
      </c>
      <c r="N113">
        <f>VLOOKUP(Table55[[#This Row],[Shortname]], Comp[], 13, FALSE)</f>
        <v>4</v>
      </c>
      <c r="O113">
        <f>VLOOKUP(Table55[[#This Row],[Shortname]], Comp[], 14, FALSE)</f>
        <v>0</v>
      </c>
      <c r="P113">
        <f>VLOOKUP(Table55[[#This Row],[Shortname]], Comp[], 15, FALSE)</f>
        <v>0</v>
      </c>
      <c r="Q113">
        <f>VLOOKUP(Table55[[#This Row],[Shortname]], Comp[], 16, FALSE)</f>
        <v>0</v>
      </c>
      <c r="R113">
        <f>VLOOKUP(Table55[[#This Row],[Shortname]], Comp[], 17, FALSE)</f>
        <v>0</v>
      </c>
      <c r="S113">
        <f>VLOOKUP(Table55[[#This Row],[Shortname]], Comp[], 18, FALSE)</f>
        <v>0</v>
      </c>
      <c r="T113">
        <f>VLOOKUP(Table55[[#This Row],[Shortname]], Comp[], 19, FALSE)</f>
        <v>0</v>
      </c>
      <c r="U113">
        <f>VLOOKUP(Table55[[#This Row],[Shortname]], Comp[], 20, FALSE)</f>
        <v>0</v>
      </c>
      <c r="V113">
        <f>VLOOKUP(Table55[[#This Row],[Shortname]], Comp[], 21, FALSE)</f>
        <v>0</v>
      </c>
      <c r="W113">
        <f>VLOOKUP(Table55[[#This Row],[Shortname]], Comp[], 22, FALSE)</f>
        <v>0</v>
      </c>
      <c r="X113">
        <f>VLOOKUP(Table55[[#This Row],[Shortname]], Comp[], 23, FALSE)</f>
        <v>0</v>
      </c>
      <c r="Y113">
        <f>VLOOKUP(Table55[[#This Row],[Shortname]], Comp[], 24, FALSE)</f>
        <v>0</v>
      </c>
      <c r="Z113">
        <f>VLOOKUP(Table55[[#This Row],[Shortname]], Comp[], 25, FALSE)</f>
        <v>0</v>
      </c>
      <c r="AA113">
        <f>VLOOKUP(Table55[[#This Row],[Shortname]], Comp[], 26, FALSE)</f>
        <v>0</v>
      </c>
      <c r="AB113">
        <f>VLOOKUP(Table55[[#This Row],[Shortname]], Comp[], 27, FALSE)</f>
        <v>0</v>
      </c>
      <c r="AC113">
        <f>VLOOKUP(Table55[[#This Row],[Shortname]], Comp[], 28, FALSE)</f>
        <v>0</v>
      </c>
      <c r="AD113">
        <f>VLOOKUP(Table55[[#This Row],[Shortname]], Comp[], 29, FALSE)</f>
        <v>0</v>
      </c>
      <c r="AE113">
        <f>VLOOKUP(Table55[[#This Row],[Shortname]], Comp[], 30, FALSE)</f>
        <v>0</v>
      </c>
      <c r="AF113">
        <f>VLOOKUP(Table55[[#This Row],[Shortname]], Comp[], 31, FALSE)</f>
        <v>0</v>
      </c>
    </row>
    <row r="114" spans="1:32" x14ac:dyDescent="0.3">
      <c r="A114" t="s">
        <v>1388</v>
      </c>
      <c r="B114" t="s">
        <v>1390</v>
      </c>
      <c r="C114" s="5" t="s">
        <v>1351</v>
      </c>
      <c r="D114">
        <v>1128</v>
      </c>
      <c r="E114">
        <v>1351</v>
      </c>
      <c r="F114">
        <v>1407</v>
      </c>
      <c r="G114">
        <f>VLOOKUP(Table55[[#This Row],[Shortname]], Comp[], 6, FALSE)</f>
        <v>176</v>
      </c>
      <c r="H114" s="14">
        <f>VLOOKUP(Table55[[#This Row],[Shortname]], Comp[], 7, FALSE)</f>
        <v>77</v>
      </c>
      <c r="I114">
        <f>VLOOKUP(Table55[[#This Row],[Shortname]], Comp[], 8, FALSE)</f>
        <v>0</v>
      </c>
      <c r="J114">
        <f>VLOOKUP(Table55[[#This Row],[Shortname]], Comp[], 9, FALSE)</f>
        <v>9</v>
      </c>
      <c r="K114">
        <f>VLOOKUP(Table55[[#This Row],[Shortname]], Comp[], 10, FALSE)</f>
        <v>0</v>
      </c>
      <c r="L114">
        <f>VLOOKUP(Table55[[#This Row],[Shortname]], Comp[], 11, FALSE)</f>
        <v>10</v>
      </c>
      <c r="M114">
        <f>VLOOKUP(Table55[[#This Row],[Shortname]], Comp[],12, FALSE)</f>
        <v>0</v>
      </c>
      <c r="N114">
        <f>VLOOKUP(Table55[[#This Row],[Shortname]], Comp[], 13, FALSE)</f>
        <v>4</v>
      </c>
      <c r="O114">
        <f>VLOOKUP(Table55[[#This Row],[Shortname]], Comp[], 14, FALSE)</f>
        <v>0</v>
      </c>
      <c r="P114">
        <f>VLOOKUP(Table55[[#This Row],[Shortname]], Comp[], 15, FALSE)</f>
        <v>0</v>
      </c>
      <c r="Q114">
        <f>VLOOKUP(Table55[[#This Row],[Shortname]], Comp[], 16, FALSE)</f>
        <v>0</v>
      </c>
      <c r="R114">
        <f>VLOOKUP(Table55[[#This Row],[Shortname]], Comp[], 17, FALSE)</f>
        <v>0</v>
      </c>
      <c r="S114">
        <f>VLOOKUP(Table55[[#This Row],[Shortname]], Comp[], 18, FALSE)</f>
        <v>0</v>
      </c>
      <c r="T114">
        <f>VLOOKUP(Table55[[#This Row],[Shortname]], Comp[], 19, FALSE)</f>
        <v>0</v>
      </c>
      <c r="U114">
        <f>VLOOKUP(Table55[[#This Row],[Shortname]], Comp[], 20, FALSE)</f>
        <v>0</v>
      </c>
      <c r="V114">
        <f>VLOOKUP(Table55[[#This Row],[Shortname]], Comp[], 21, FALSE)</f>
        <v>0</v>
      </c>
      <c r="W114">
        <f>VLOOKUP(Table55[[#This Row],[Shortname]], Comp[], 22, FALSE)</f>
        <v>0</v>
      </c>
      <c r="X114">
        <f>VLOOKUP(Table55[[#This Row],[Shortname]], Comp[], 23, FALSE)</f>
        <v>0</v>
      </c>
      <c r="Y114">
        <f>VLOOKUP(Table55[[#This Row],[Shortname]], Comp[], 24, FALSE)</f>
        <v>0</v>
      </c>
      <c r="Z114">
        <f>VLOOKUP(Table55[[#This Row],[Shortname]], Comp[], 25, FALSE)</f>
        <v>0</v>
      </c>
      <c r="AA114">
        <f>VLOOKUP(Table55[[#This Row],[Shortname]], Comp[], 26, FALSE)</f>
        <v>0</v>
      </c>
      <c r="AB114">
        <f>VLOOKUP(Table55[[#This Row],[Shortname]], Comp[], 27, FALSE)</f>
        <v>0</v>
      </c>
      <c r="AC114">
        <f>VLOOKUP(Table55[[#This Row],[Shortname]], Comp[], 28, FALSE)</f>
        <v>0</v>
      </c>
      <c r="AD114">
        <f>VLOOKUP(Table55[[#This Row],[Shortname]], Comp[], 29, FALSE)</f>
        <v>0</v>
      </c>
      <c r="AE114">
        <f>VLOOKUP(Table55[[#This Row],[Shortname]], Comp[], 30, FALSE)</f>
        <v>0</v>
      </c>
      <c r="AF114">
        <f>VLOOKUP(Table55[[#This Row],[Shortname]], Comp[], 31, FALSE)</f>
        <v>0</v>
      </c>
    </row>
    <row r="115" spans="1:32" x14ac:dyDescent="0.3">
      <c r="A115" t="s">
        <v>1412</v>
      </c>
      <c r="B115" t="s">
        <v>1414</v>
      </c>
      <c r="C115" s="5" t="s">
        <v>1351</v>
      </c>
      <c r="D115">
        <v>1126</v>
      </c>
      <c r="E115">
        <v>1352</v>
      </c>
      <c r="F115">
        <v>1412</v>
      </c>
      <c r="G115">
        <f>VLOOKUP(Table55[[#This Row],[Shortname]], Comp[], 6, FALSE)</f>
        <v>180</v>
      </c>
      <c r="H115" s="14">
        <f>VLOOKUP(Table55[[#This Row],[Shortname]], Comp[], 7, FALSE)</f>
        <v>79</v>
      </c>
      <c r="I115">
        <f>VLOOKUP(Table55[[#This Row],[Shortname]], Comp[], 8, FALSE)</f>
        <v>0</v>
      </c>
      <c r="J115">
        <f>VLOOKUP(Table55[[#This Row],[Shortname]], Comp[], 9, FALSE)</f>
        <v>7</v>
      </c>
      <c r="K115">
        <f>VLOOKUP(Table55[[#This Row],[Shortname]], Comp[], 10, FALSE)</f>
        <v>0</v>
      </c>
      <c r="L115">
        <f>VLOOKUP(Table55[[#This Row],[Shortname]], Comp[], 11, FALSE)</f>
        <v>10</v>
      </c>
      <c r="M115">
        <f>VLOOKUP(Table55[[#This Row],[Shortname]], Comp[],12, FALSE)</f>
        <v>0</v>
      </c>
      <c r="N115">
        <f>VLOOKUP(Table55[[#This Row],[Shortname]], Comp[], 13, FALSE)</f>
        <v>4</v>
      </c>
      <c r="O115">
        <f>VLOOKUP(Table55[[#This Row],[Shortname]], Comp[], 14, FALSE)</f>
        <v>0</v>
      </c>
      <c r="P115">
        <f>VLOOKUP(Table55[[#This Row],[Shortname]], Comp[], 15, FALSE)</f>
        <v>0</v>
      </c>
      <c r="Q115">
        <f>VLOOKUP(Table55[[#This Row],[Shortname]], Comp[], 16, FALSE)</f>
        <v>0</v>
      </c>
      <c r="R115">
        <f>VLOOKUP(Table55[[#This Row],[Shortname]], Comp[], 17, FALSE)</f>
        <v>0</v>
      </c>
      <c r="S115">
        <f>VLOOKUP(Table55[[#This Row],[Shortname]], Comp[], 18, FALSE)</f>
        <v>0</v>
      </c>
      <c r="T115">
        <f>VLOOKUP(Table55[[#This Row],[Shortname]], Comp[], 19, FALSE)</f>
        <v>0</v>
      </c>
      <c r="U115">
        <f>VLOOKUP(Table55[[#This Row],[Shortname]], Comp[], 20, FALSE)</f>
        <v>0</v>
      </c>
      <c r="V115">
        <f>VLOOKUP(Table55[[#This Row],[Shortname]], Comp[], 21, FALSE)</f>
        <v>0</v>
      </c>
      <c r="W115">
        <f>VLOOKUP(Table55[[#This Row],[Shortname]], Comp[], 22, FALSE)</f>
        <v>0</v>
      </c>
      <c r="X115">
        <f>VLOOKUP(Table55[[#This Row],[Shortname]], Comp[], 23, FALSE)</f>
        <v>0</v>
      </c>
      <c r="Y115">
        <f>VLOOKUP(Table55[[#This Row],[Shortname]], Comp[], 24, FALSE)</f>
        <v>0</v>
      </c>
      <c r="Z115">
        <f>VLOOKUP(Table55[[#This Row],[Shortname]], Comp[], 25, FALSE)</f>
        <v>0</v>
      </c>
      <c r="AA115">
        <f>VLOOKUP(Table55[[#This Row],[Shortname]], Comp[], 26, FALSE)</f>
        <v>0</v>
      </c>
      <c r="AB115">
        <f>VLOOKUP(Table55[[#This Row],[Shortname]], Comp[], 27, FALSE)</f>
        <v>0</v>
      </c>
      <c r="AC115">
        <f>VLOOKUP(Table55[[#This Row],[Shortname]], Comp[], 28, FALSE)</f>
        <v>0</v>
      </c>
      <c r="AD115">
        <f>VLOOKUP(Table55[[#This Row],[Shortname]], Comp[], 29, FALSE)</f>
        <v>0</v>
      </c>
      <c r="AE115">
        <f>VLOOKUP(Table55[[#This Row],[Shortname]], Comp[], 30, FALSE)</f>
        <v>0</v>
      </c>
      <c r="AF115">
        <f>VLOOKUP(Table55[[#This Row],[Shortname]], Comp[], 31, FALSE)</f>
        <v>0</v>
      </c>
    </row>
    <row r="116" spans="1:32" x14ac:dyDescent="0.3">
      <c r="A116" t="s">
        <v>1369</v>
      </c>
      <c r="B116" t="s">
        <v>1371</v>
      </c>
      <c r="C116" s="5" t="s">
        <v>1351</v>
      </c>
      <c r="D116">
        <v>1115</v>
      </c>
      <c r="E116">
        <v>1366</v>
      </c>
      <c r="F116">
        <v>1435</v>
      </c>
      <c r="G116">
        <f>VLOOKUP(Table55[[#This Row],[Shortname]], Comp[], 6, FALSE)</f>
        <v>173</v>
      </c>
      <c r="H116" s="14">
        <f>VLOOKUP(Table55[[#This Row],[Shortname]], Comp[], 7, FALSE)</f>
        <v>77</v>
      </c>
      <c r="I116">
        <f>VLOOKUP(Table55[[#This Row],[Shortname]], Comp[], 8, FALSE)</f>
        <v>0</v>
      </c>
      <c r="J116">
        <f>VLOOKUP(Table55[[#This Row],[Shortname]], Comp[], 9, FALSE)</f>
        <v>9</v>
      </c>
      <c r="K116">
        <f>VLOOKUP(Table55[[#This Row],[Shortname]], Comp[], 10, FALSE)</f>
        <v>0</v>
      </c>
      <c r="L116">
        <f>VLOOKUP(Table55[[#This Row],[Shortname]], Comp[], 11, FALSE)</f>
        <v>12</v>
      </c>
      <c r="M116">
        <f>VLOOKUP(Table55[[#This Row],[Shortname]], Comp[],12, FALSE)</f>
        <v>0</v>
      </c>
      <c r="N116">
        <f>VLOOKUP(Table55[[#This Row],[Shortname]], Comp[], 13, FALSE)</f>
        <v>2</v>
      </c>
      <c r="O116">
        <f>VLOOKUP(Table55[[#This Row],[Shortname]], Comp[], 14, FALSE)</f>
        <v>0</v>
      </c>
      <c r="P116">
        <f>VLOOKUP(Table55[[#This Row],[Shortname]], Comp[], 15, FALSE)</f>
        <v>0</v>
      </c>
      <c r="Q116">
        <f>VLOOKUP(Table55[[#This Row],[Shortname]], Comp[], 16, FALSE)</f>
        <v>0</v>
      </c>
      <c r="R116">
        <f>VLOOKUP(Table55[[#This Row],[Shortname]], Comp[], 17, FALSE)</f>
        <v>0</v>
      </c>
      <c r="S116">
        <f>VLOOKUP(Table55[[#This Row],[Shortname]], Comp[], 18, FALSE)</f>
        <v>0</v>
      </c>
      <c r="T116">
        <f>VLOOKUP(Table55[[#This Row],[Shortname]], Comp[], 19, FALSE)</f>
        <v>0</v>
      </c>
      <c r="U116">
        <f>VLOOKUP(Table55[[#This Row],[Shortname]], Comp[], 20, FALSE)</f>
        <v>0</v>
      </c>
      <c r="V116">
        <f>VLOOKUP(Table55[[#This Row],[Shortname]], Comp[], 21, FALSE)</f>
        <v>0</v>
      </c>
      <c r="W116">
        <f>VLOOKUP(Table55[[#This Row],[Shortname]], Comp[], 22, FALSE)</f>
        <v>0</v>
      </c>
      <c r="X116">
        <f>VLOOKUP(Table55[[#This Row],[Shortname]], Comp[], 23, FALSE)</f>
        <v>0</v>
      </c>
      <c r="Y116">
        <f>VLOOKUP(Table55[[#This Row],[Shortname]], Comp[], 24, FALSE)</f>
        <v>0</v>
      </c>
      <c r="Z116">
        <f>VLOOKUP(Table55[[#This Row],[Shortname]], Comp[], 25, FALSE)</f>
        <v>0</v>
      </c>
      <c r="AA116">
        <f>VLOOKUP(Table55[[#This Row],[Shortname]], Comp[], 26, FALSE)</f>
        <v>0</v>
      </c>
      <c r="AB116">
        <f>VLOOKUP(Table55[[#This Row],[Shortname]], Comp[], 27, FALSE)</f>
        <v>0</v>
      </c>
      <c r="AC116">
        <f>VLOOKUP(Table55[[#This Row],[Shortname]], Comp[], 28, FALSE)</f>
        <v>0</v>
      </c>
      <c r="AD116">
        <f>VLOOKUP(Table55[[#This Row],[Shortname]], Comp[], 29, FALSE)</f>
        <v>0</v>
      </c>
      <c r="AE116">
        <f>VLOOKUP(Table55[[#This Row],[Shortname]], Comp[], 30, FALSE)</f>
        <v>0</v>
      </c>
      <c r="AF116">
        <f>VLOOKUP(Table55[[#This Row],[Shortname]], Comp[], 31, FALSE)</f>
        <v>0</v>
      </c>
    </row>
    <row r="117" spans="1:32" x14ac:dyDescent="0.3">
      <c r="A117" t="s">
        <v>1348</v>
      </c>
      <c r="B117" t="s">
        <v>1350</v>
      </c>
      <c r="C117" s="5" t="s">
        <v>1351</v>
      </c>
      <c r="D117">
        <v>1114</v>
      </c>
      <c r="E117">
        <v>1380</v>
      </c>
      <c r="F117">
        <v>1444</v>
      </c>
      <c r="G117">
        <f>VLOOKUP(Table55[[#This Row],[Shortname]], Comp[], 6, FALSE)</f>
        <v>170</v>
      </c>
      <c r="H117" s="14">
        <f>VLOOKUP(Table55[[#This Row],[Shortname]], Comp[], 7, FALSE)</f>
        <v>79</v>
      </c>
      <c r="I117">
        <f>VLOOKUP(Table55[[#This Row],[Shortname]], Comp[], 8, FALSE)</f>
        <v>0</v>
      </c>
      <c r="J117">
        <f>VLOOKUP(Table55[[#This Row],[Shortname]], Comp[], 9, FALSE)</f>
        <v>9</v>
      </c>
      <c r="K117">
        <f>VLOOKUP(Table55[[#This Row],[Shortname]], Comp[], 10, FALSE)</f>
        <v>0</v>
      </c>
      <c r="L117">
        <f>VLOOKUP(Table55[[#This Row],[Shortname]], Comp[], 11, FALSE)</f>
        <v>10</v>
      </c>
      <c r="M117">
        <f>VLOOKUP(Table55[[#This Row],[Shortname]], Comp[],12, FALSE)</f>
        <v>0</v>
      </c>
      <c r="N117">
        <f>VLOOKUP(Table55[[#This Row],[Shortname]], Comp[], 13, FALSE)</f>
        <v>2</v>
      </c>
      <c r="O117">
        <f>VLOOKUP(Table55[[#This Row],[Shortname]], Comp[], 14, FALSE)</f>
        <v>0</v>
      </c>
      <c r="P117">
        <f>VLOOKUP(Table55[[#This Row],[Shortname]], Comp[], 15, FALSE)</f>
        <v>0</v>
      </c>
      <c r="Q117">
        <f>VLOOKUP(Table55[[#This Row],[Shortname]], Comp[], 16, FALSE)</f>
        <v>0</v>
      </c>
      <c r="R117">
        <f>VLOOKUP(Table55[[#This Row],[Shortname]], Comp[], 17, FALSE)</f>
        <v>0</v>
      </c>
      <c r="S117">
        <f>VLOOKUP(Table55[[#This Row],[Shortname]], Comp[], 18, FALSE)</f>
        <v>0</v>
      </c>
      <c r="T117">
        <f>VLOOKUP(Table55[[#This Row],[Shortname]], Comp[], 19, FALSE)</f>
        <v>0</v>
      </c>
      <c r="U117">
        <f>VLOOKUP(Table55[[#This Row],[Shortname]], Comp[], 20, FALSE)</f>
        <v>0</v>
      </c>
      <c r="V117">
        <f>VLOOKUP(Table55[[#This Row],[Shortname]], Comp[], 21, FALSE)</f>
        <v>0</v>
      </c>
      <c r="W117">
        <f>VLOOKUP(Table55[[#This Row],[Shortname]], Comp[], 22, FALSE)</f>
        <v>0</v>
      </c>
      <c r="X117">
        <f>VLOOKUP(Table55[[#This Row],[Shortname]], Comp[], 23, FALSE)</f>
        <v>0</v>
      </c>
      <c r="Y117">
        <f>VLOOKUP(Table55[[#This Row],[Shortname]], Comp[], 24, FALSE)</f>
        <v>0</v>
      </c>
      <c r="Z117">
        <f>VLOOKUP(Table55[[#This Row],[Shortname]], Comp[], 25, FALSE)</f>
        <v>0</v>
      </c>
      <c r="AA117">
        <f>VLOOKUP(Table55[[#This Row],[Shortname]], Comp[], 26, FALSE)</f>
        <v>0</v>
      </c>
      <c r="AB117">
        <f>VLOOKUP(Table55[[#This Row],[Shortname]], Comp[], 27, FALSE)</f>
        <v>0</v>
      </c>
      <c r="AC117">
        <f>VLOOKUP(Table55[[#This Row],[Shortname]], Comp[], 28, FALSE)</f>
        <v>0</v>
      </c>
      <c r="AD117">
        <f>VLOOKUP(Table55[[#This Row],[Shortname]], Comp[], 29, FALSE)</f>
        <v>0</v>
      </c>
      <c r="AE117">
        <f>VLOOKUP(Table55[[#This Row],[Shortname]], Comp[], 30, FALSE)</f>
        <v>0</v>
      </c>
      <c r="AF117">
        <f>VLOOKUP(Table55[[#This Row],[Shortname]], Comp[], 31, FALSE)</f>
        <v>0</v>
      </c>
    </row>
    <row r="118" spans="1:32" x14ac:dyDescent="0.3">
      <c r="A118" t="s">
        <v>1400</v>
      </c>
      <c r="B118" t="s">
        <v>1402</v>
      </c>
      <c r="C118" s="5" t="s">
        <v>1351</v>
      </c>
      <c r="D118">
        <v>1112</v>
      </c>
      <c r="E118">
        <v>1380</v>
      </c>
      <c r="F118">
        <v>1446</v>
      </c>
      <c r="G118">
        <f>VLOOKUP(Table55[[#This Row],[Shortname]], Comp[], 6, FALSE)</f>
        <v>178</v>
      </c>
      <c r="H118" s="14">
        <f>VLOOKUP(Table55[[#This Row],[Shortname]], Comp[], 7, FALSE)</f>
        <v>79</v>
      </c>
      <c r="I118">
        <f>VLOOKUP(Table55[[#This Row],[Shortname]], Comp[], 8, FALSE)</f>
        <v>0</v>
      </c>
      <c r="J118">
        <f>VLOOKUP(Table55[[#This Row],[Shortname]], Comp[], 9, FALSE)</f>
        <v>7</v>
      </c>
      <c r="K118">
        <f>VLOOKUP(Table55[[#This Row],[Shortname]], Comp[], 10, FALSE)</f>
        <v>0</v>
      </c>
      <c r="L118">
        <f>VLOOKUP(Table55[[#This Row],[Shortname]], Comp[], 11, FALSE)</f>
        <v>12</v>
      </c>
      <c r="M118">
        <f>VLOOKUP(Table55[[#This Row],[Shortname]], Comp[],12, FALSE)</f>
        <v>0</v>
      </c>
      <c r="N118">
        <f>VLOOKUP(Table55[[#This Row],[Shortname]], Comp[], 13, FALSE)</f>
        <v>2</v>
      </c>
      <c r="O118">
        <f>VLOOKUP(Table55[[#This Row],[Shortname]], Comp[], 14, FALSE)</f>
        <v>0</v>
      </c>
      <c r="P118">
        <f>VLOOKUP(Table55[[#This Row],[Shortname]], Comp[], 15, FALSE)</f>
        <v>0</v>
      </c>
      <c r="Q118">
        <f>VLOOKUP(Table55[[#This Row],[Shortname]], Comp[], 16, FALSE)</f>
        <v>0</v>
      </c>
      <c r="R118">
        <f>VLOOKUP(Table55[[#This Row],[Shortname]], Comp[], 17, FALSE)</f>
        <v>0</v>
      </c>
      <c r="S118">
        <f>VLOOKUP(Table55[[#This Row],[Shortname]], Comp[], 18, FALSE)</f>
        <v>0</v>
      </c>
      <c r="T118">
        <f>VLOOKUP(Table55[[#This Row],[Shortname]], Comp[], 19, FALSE)</f>
        <v>0</v>
      </c>
      <c r="U118">
        <f>VLOOKUP(Table55[[#This Row],[Shortname]], Comp[], 20, FALSE)</f>
        <v>0</v>
      </c>
      <c r="V118">
        <f>VLOOKUP(Table55[[#This Row],[Shortname]], Comp[], 21, FALSE)</f>
        <v>0</v>
      </c>
      <c r="W118">
        <f>VLOOKUP(Table55[[#This Row],[Shortname]], Comp[], 22, FALSE)</f>
        <v>0</v>
      </c>
      <c r="X118">
        <f>VLOOKUP(Table55[[#This Row],[Shortname]], Comp[], 23, FALSE)</f>
        <v>0</v>
      </c>
      <c r="Y118">
        <f>VLOOKUP(Table55[[#This Row],[Shortname]], Comp[], 24, FALSE)</f>
        <v>0</v>
      </c>
      <c r="Z118">
        <f>VLOOKUP(Table55[[#This Row],[Shortname]], Comp[], 25, FALSE)</f>
        <v>0</v>
      </c>
      <c r="AA118">
        <f>VLOOKUP(Table55[[#This Row],[Shortname]], Comp[], 26, FALSE)</f>
        <v>0</v>
      </c>
      <c r="AB118">
        <f>VLOOKUP(Table55[[#This Row],[Shortname]], Comp[], 27, FALSE)</f>
        <v>0</v>
      </c>
      <c r="AC118">
        <f>VLOOKUP(Table55[[#This Row],[Shortname]], Comp[], 28, FALSE)</f>
        <v>0</v>
      </c>
      <c r="AD118">
        <f>VLOOKUP(Table55[[#This Row],[Shortname]], Comp[], 29, FALSE)</f>
        <v>0</v>
      </c>
      <c r="AE118">
        <f>VLOOKUP(Table55[[#This Row],[Shortname]], Comp[], 30, FALSE)</f>
        <v>0</v>
      </c>
      <c r="AF118">
        <f>VLOOKUP(Table55[[#This Row],[Shortname]], Comp[], 31, FALSE)</f>
        <v>0</v>
      </c>
    </row>
    <row r="119" spans="1:32" x14ac:dyDescent="0.3">
      <c r="A119" t="s">
        <v>1362</v>
      </c>
      <c r="B119" t="s">
        <v>1364</v>
      </c>
      <c r="C119" s="5" t="s">
        <v>1351</v>
      </c>
      <c r="D119">
        <v>1106</v>
      </c>
      <c r="E119">
        <v>1373</v>
      </c>
      <c r="F119">
        <v>1428</v>
      </c>
      <c r="G119">
        <f>VLOOKUP(Table55[[#This Row],[Shortname]], Comp[], 6, FALSE)</f>
        <v>172</v>
      </c>
      <c r="H119" s="14">
        <f>VLOOKUP(Table55[[#This Row],[Shortname]], Comp[], 7, FALSE)</f>
        <v>77</v>
      </c>
      <c r="I119">
        <f>VLOOKUP(Table55[[#This Row],[Shortname]], Comp[], 8, FALSE)</f>
        <v>0</v>
      </c>
      <c r="J119">
        <f>VLOOKUP(Table55[[#This Row],[Shortname]], Comp[], 9, FALSE)</f>
        <v>11</v>
      </c>
      <c r="K119">
        <f>VLOOKUP(Table55[[#This Row],[Shortname]], Comp[], 10, FALSE)</f>
        <v>0</v>
      </c>
      <c r="L119">
        <f>VLOOKUP(Table55[[#This Row],[Shortname]], Comp[], 11, FALSE)</f>
        <v>10</v>
      </c>
      <c r="M119">
        <f>VLOOKUP(Table55[[#This Row],[Shortname]], Comp[],12, FALSE)</f>
        <v>0</v>
      </c>
      <c r="N119">
        <f>VLOOKUP(Table55[[#This Row],[Shortname]], Comp[], 13, FALSE)</f>
        <v>2</v>
      </c>
      <c r="O119">
        <f>VLOOKUP(Table55[[#This Row],[Shortname]], Comp[], 14, FALSE)</f>
        <v>0</v>
      </c>
      <c r="P119">
        <f>VLOOKUP(Table55[[#This Row],[Shortname]], Comp[], 15, FALSE)</f>
        <v>0</v>
      </c>
      <c r="Q119">
        <f>VLOOKUP(Table55[[#This Row],[Shortname]], Comp[], 16, FALSE)</f>
        <v>0</v>
      </c>
      <c r="R119">
        <f>VLOOKUP(Table55[[#This Row],[Shortname]], Comp[], 17, FALSE)</f>
        <v>0</v>
      </c>
      <c r="S119">
        <f>VLOOKUP(Table55[[#This Row],[Shortname]], Comp[], 18, FALSE)</f>
        <v>0</v>
      </c>
      <c r="T119">
        <f>VLOOKUP(Table55[[#This Row],[Shortname]], Comp[], 19, FALSE)</f>
        <v>0</v>
      </c>
      <c r="U119">
        <f>VLOOKUP(Table55[[#This Row],[Shortname]], Comp[], 20, FALSE)</f>
        <v>0</v>
      </c>
      <c r="V119">
        <f>VLOOKUP(Table55[[#This Row],[Shortname]], Comp[], 21, FALSE)</f>
        <v>0</v>
      </c>
      <c r="W119">
        <f>VLOOKUP(Table55[[#This Row],[Shortname]], Comp[], 22, FALSE)</f>
        <v>0</v>
      </c>
      <c r="X119">
        <f>VLOOKUP(Table55[[#This Row],[Shortname]], Comp[], 23, FALSE)</f>
        <v>0</v>
      </c>
      <c r="Y119">
        <f>VLOOKUP(Table55[[#This Row],[Shortname]], Comp[], 24, FALSE)</f>
        <v>0</v>
      </c>
      <c r="Z119">
        <f>VLOOKUP(Table55[[#This Row],[Shortname]], Comp[], 25, FALSE)</f>
        <v>0</v>
      </c>
      <c r="AA119">
        <f>VLOOKUP(Table55[[#This Row],[Shortname]], Comp[], 26, FALSE)</f>
        <v>0</v>
      </c>
      <c r="AB119">
        <f>VLOOKUP(Table55[[#This Row],[Shortname]], Comp[], 27, FALSE)</f>
        <v>0</v>
      </c>
      <c r="AC119">
        <f>VLOOKUP(Table55[[#This Row],[Shortname]], Comp[], 28, FALSE)</f>
        <v>0</v>
      </c>
      <c r="AD119">
        <f>VLOOKUP(Table55[[#This Row],[Shortname]], Comp[], 29, FALSE)</f>
        <v>0</v>
      </c>
      <c r="AE119">
        <f>VLOOKUP(Table55[[#This Row],[Shortname]], Comp[], 30, FALSE)</f>
        <v>0</v>
      </c>
      <c r="AF119">
        <f>VLOOKUP(Table55[[#This Row],[Shortname]], Comp[], 31, FALSE)</f>
        <v>0</v>
      </c>
    </row>
    <row r="120" spans="1:32" x14ac:dyDescent="0.3">
      <c r="A120" t="s">
        <v>1394</v>
      </c>
      <c r="B120" t="s">
        <v>1396</v>
      </c>
      <c r="C120" s="5" t="s">
        <v>1351</v>
      </c>
      <c r="D120">
        <v>1104</v>
      </c>
      <c r="E120">
        <v>1365</v>
      </c>
      <c r="F120">
        <v>1435</v>
      </c>
      <c r="G120">
        <f>VLOOKUP(Table55[[#This Row],[Shortname]], Comp[], 6, FALSE)</f>
        <v>177</v>
      </c>
      <c r="H120" s="14">
        <f>VLOOKUP(Table55[[#This Row],[Shortname]], Comp[], 7, FALSE)</f>
        <v>79</v>
      </c>
      <c r="I120">
        <f>VLOOKUP(Table55[[#This Row],[Shortname]], Comp[], 8, FALSE)</f>
        <v>0</v>
      </c>
      <c r="J120">
        <f>VLOOKUP(Table55[[#This Row],[Shortname]], Comp[], 9, FALSE)</f>
        <v>11</v>
      </c>
      <c r="K120">
        <f>VLOOKUP(Table55[[#This Row],[Shortname]], Comp[], 10, FALSE)</f>
        <v>0</v>
      </c>
      <c r="L120">
        <f>VLOOKUP(Table55[[#This Row],[Shortname]], Comp[], 11, FALSE)</f>
        <v>8</v>
      </c>
      <c r="M120">
        <f>VLOOKUP(Table55[[#This Row],[Shortname]], Comp[],12, FALSE)</f>
        <v>0</v>
      </c>
      <c r="N120">
        <f>VLOOKUP(Table55[[#This Row],[Shortname]], Comp[], 13, FALSE)</f>
        <v>2</v>
      </c>
      <c r="O120">
        <f>VLOOKUP(Table55[[#This Row],[Shortname]], Comp[], 14, FALSE)</f>
        <v>0</v>
      </c>
      <c r="P120">
        <f>VLOOKUP(Table55[[#This Row],[Shortname]], Comp[], 15, FALSE)</f>
        <v>0</v>
      </c>
      <c r="Q120">
        <f>VLOOKUP(Table55[[#This Row],[Shortname]], Comp[], 16, FALSE)</f>
        <v>0</v>
      </c>
      <c r="R120">
        <f>VLOOKUP(Table55[[#This Row],[Shortname]], Comp[], 17, FALSE)</f>
        <v>0</v>
      </c>
      <c r="S120">
        <f>VLOOKUP(Table55[[#This Row],[Shortname]], Comp[], 18, FALSE)</f>
        <v>0</v>
      </c>
      <c r="T120">
        <f>VLOOKUP(Table55[[#This Row],[Shortname]], Comp[], 19, FALSE)</f>
        <v>0</v>
      </c>
      <c r="U120">
        <f>VLOOKUP(Table55[[#This Row],[Shortname]], Comp[], 20, FALSE)</f>
        <v>0</v>
      </c>
      <c r="V120">
        <f>VLOOKUP(Table55[[#This Row],[Shortname]], Comp[], 21, FALSE)</f>
        <v>0</v>
      </c>
      <c r="W120">
        <f>VLOOKUP(Table55[[#This Row],[Shortname]], Comp[], 22, FALSE)</f>
        <v>0</v>
      </c>
      <c r="X120">
        <f>VLOOKUP(Table55[[#This Row],[Shortname]], Comp[], 23, FALSE)</f>
        <v>0</v>
      </c>
      <c r="Y120">
        <f>VLOOKUP(Table55[[#This Row],[Shortname]], Comp[], 24, FALSE)</f>
        <v>0</v>
      </c>
      <c r="Z120">
        <f>VLOOKUP(Table55[[#This Row],[Shortname]], Comp[], 25, FALSE)</f>
        <v>0</v>
      </c>
      <c r="AA120">
        <f>VLOOKUP(Table55[[#This Row],[Shortname]], Comp[], 26, FALSE)</f>
        <v>0</v>
      </c>
      <c r="AB120">
        <f>VLOOKUP(Table55[[#This Row],[Shortname]], Comp[], 27, FALSE)</f>
        <v>0</v>
      </c>
      <c r="AC120">
        <f>VLOOKUP(Table55[[#This Row],[Shortname]], Comp[], 28, FALSE)</f>
        <v>0</v>
      </c>
      <c r="AD120">
        <f>VLOOKUP(Table55[[#This Row],[Shortname]], Comp[], 29, FALSE)</f>
        <v>0</v>
      </c>
      <c r="AE120">
        <f>VLOOKUP(Table55[[#This Row],[Shortname]], Comp[], 30, FALSE)</f>
        <v>0</v>
      </c>
      <c r="AF120">
        <f>VLOOKUP(Table55[[#This Row],[Shortname]], Comp[], 31, FALSE)</f>
        <v>0</v>
      </c>
    </row>
    <row r="121" spans="1:32" x14ac:dyDescent="0.3">
      <c r="A121" t="s">
        <v>1376</v>
      </c>
      <c r="B121" t="s">
        <v>1377</v>
      </c>
      <c r="C121" s="5" t="s">
        <v>1351</v>
      </c>
      <c r="D121">
        <v>1085</v>
      </c>
      <c r="E121">
        <v>1377</v>
      </c>
      <c r="F121">
        <v>1448</v>
      </c>
      <c r="G121">
        <f>VLOOKUP(Table55[[#This Row],[Shortname]], Comp[], 6, FALSE)</f>
        <v>174</v>
      </c>
      <c r="H121" s="14">
        <f>VLOOKUP(Table55[[#This Row],[Shortname]], Comp[], 7, FALSE)</f>
        <v>81</v>
      </c>
      <c r="I121">
        <f>VLOOKUP(Table55[[#This Row],[Shortname]], Comp[], 8, FALSE)</f>
        <v>0</v>
      </c>
      <c r="J121">
        <f>VLOOKUP(Table55[[#This Row],[Shortname]], Comp[], 9, FALSE)</f>
        <v>9</v>
      </c>
      <c r="K121">
        <f>VLOOKUP(Table55[[#This Row],[Shortname]], Comp[], 10, FALSE)</f>
        <v>0</v>
      </c>
      <c r="L121">
        <f>VLOOKUP(Table55[[#This Row],[Shortname]], Comp[], 11, FALSE)</f>
        <v>8</v>
      </c>
      <c r="M121">
        <f>VLOOKUP(Table55[[#This Row],[Shortname]], Comp[],12, FALSE)</f>
        <v>0</v>
      </c>
      <c r="N121">
        <f>VLOOKUP(Table55[[#This Row],[Shortname]], Comp[], 13, FALSE)</f>
        <v>2</v>
      </c>
      <c r="O121">
        <f>VLOOKUP(Table55[[#This Row],[Shortname]], Comp[], 14, FALSE)</f>
        <v>0</v>
      </c>
      <c r="P121">
        <f>VLOOKUP(Table55[[#This Row],[Shortname]], Comp[], 15, FALSE)</f>
        <v>0</v>
      </c>
      <c r="Q121">
        <f>VLOOKUP(Table55[[#This Row],[Shortname]], Comp[], 16, FALSE)</f>
        <v>0</v>
      </c>
      <c r="R121">
        <f>VLOOKUP(Table55[[#This Row],[Shortname]], Comp[], 17, FALSE)</f>
        <v>0</v>
      </c>
      <c r="S121">
        <f>VLOOKUP(Table55[[#This Row],[Shortname]], Comp[], 18, FALSE)</f>
        <v>0</v>
      </c>
      <c r="T121">
        <f>VLOOKUP(Table55[[#This Row],[Shortname]], Comp[], 19, FALSE)</f>
        <v>0</v>
      </c>
      <c r="U121">
        <f>VLOOKUP(Table55[[#This Row],[Shortname]], Comp[], 20, FALSE)</f>
        <v>0</v>
      </c>
      <c r="V121">
        <f>VLOOKUP(Table55[[#This Row],[Shortname]], Comp[], 21, FALSE)</f>
        <v>0</v>
      </c>
      <c r="W121">
        <f>VLOOKUP(Table55[[#This Row],[Shortname]], Comp[], 22, FALSE)</f>
        <v>0</v>
      </c>
      <c r="X121">
        <f>VLOOKUP(Table55[[#This Row],[Shortname]], Comp[], 23, FALSE)</f>
        <v>0</v>
      </c>
      <c r="Y121">
        <f>VLOOKUP(Table55[[#This Row],[Shortname]], Comp[], 24, FALSE)</f>
        <v>0</v>
      </c>
      <c r="Z121">
        <f>VLOOKUP(Table55[[#This Row],[Shortname]], Comp[], 25, FALSE)</f>
        <v>0</v>
      </c>
      <c r="AA121">
        <f>VLOOKUP(Table55[[#This Row],[Shortname]], Comp[], 26, FALSE)</f>
        <v>0</v>
      </c>
      <c r="AB121">
        <f>VLOOKUP(Table55[[#This Row],[Shortname]], Comp[], 27, FALSE)</f>
        <v>0</v>
      </c>
      <c r="AC121">
        <f>VLOOKUP(Table55[[#This Row],[Shortname]], Comp[], 28, FALSE)</f>
        <v>0</v>
      </c>
      <c r="AD121">
        <f>VLOOKUP(Table55[[#This Row],[Shortname]], Comp[], 29, FALSE)</f>
        <v>0</v>
      </c>
      <c r="AE121">
        <f>VLOOKUP(Table55[[#This Row],[Shortname]], Comp[], 30, FALSE)</f>
        <v>0</v>
      </c>
      <c r="AF121">
        <f>VLOOKUP(Table55[[#This Row],[Shortname]], Comp[], 31, FALSE)</f>
        <v>0</v>
      </c>
    </row>
    <row r="122" spans="1:32" x14ac:dyDescent="0.3">
      <c r="A122" t="s">
        <v>1438</v>
      </c>
      <c r="B122" t="s">
        <v>1440</v>
      </c>
      <c r="C122" s="5" t="s">
        <v>1351</v>
      </c>
      <c r="D122">
        <v>1083</v>
      </c>
      <c r="E122">
        <v>1346</v>
      </c>
      <c r="F122">
        <v>1425</v>
      </c>
      <c r="G122">
        <f>VLOOKUP(Table55[[#This Row],[Shortname]], Comp[], 6, FALSE)</f>
        <v>184</v>
      </c>
      <c r="H122" s="14">
        <f>VLOOKUP(Table55[[#This Row],[Shortname]], Comp[], 7, FALSE)</f>
        <v>80.5</v>
      </c>
      <c r="I122">
        <f>VLOOKUP(Table55[[#This Row],[Shortname]], Comp[], 8, FALSE)</f>
        <v>0</v>
      </c>
      <c r="J122">
        <f>VLOOKUP(Table55[[#This Row],[Shortname]], Comp[], 9, FALSE)</f>
        <v>11</v>
      </c>
      <c r="K122">
        <f>VLOOKUP(Table55[[#This Row],[Shortname]], Comp[], 10, FALSE)</f>
        <v>0</v>
      </c>
      <c r="L122">
        <f>VLOOKUP(Table55[[#This Row],[Shortname]], Comp[], 11, FALSE)</f>
        <v>5.9</v>
      </c>
      <c r="M122">
        <f>VLOOKUP(Table55[[#This Row],[Shortname]], Comp[],12, FALSE)</f>
        <v>0</v>
      </c>
      <c r="N122">
        <f>VLOOKUP(Table55[[#This Row],[Shortname]], Comp[], 13, FALSE)</f>
        <v>2.6</v>
      </c>
      <c r="O122">
        <f>VLOOKUP(Table55[[#This Row],[Shortname]], Comp[], 14, FALSE)</f>
        <v>0</v>
      </c>
      <c r="P122">
        <f>VLOOKUP(Table55[[#This Row],[Shortname]], Comp[], 15, FALSE)</f>
        <v>0</v>
      </c>
      <c r="Q122">
        <f>VLOOKUP(Table55[[#This Row],[Shortname]], Comp[], 16, FALSE)</f>
        <v>0</v>
      </c>
      <c r="R122">
        <f>VLOOKUP(Table55[[#This Row],[Shortname]], Comp[], 17, FALSE)</f>
        <v>0</v>
      </c>
      <c r="S122">
        <f>VLOOKUP(Table55[[#This Row],[Shortname]], Comp[], 18, FALSE)</f>
        <v>0</v>
      </c>
      <c r="T122">
        <f>VLOOKUP(Table55[[#This Row],[Shortname]], Comp[], 19, FALSE)</f>
        <v>0</v>
      </c>
      <c r="U122">
        <f>VLOOKUP(Table55[[#This Row],[Shortname]], Comp[], 20, FALSE)</f>
        <v>0</v>
      </c>
      <c r="V122">
        <f>VLOOKUP(Table55[[#This Row],[Shortname]], Comp[], 21, FALSE)</f>
        <v>0</v>
      </c>
      <c r="W122">
        <f>VLOOKUP(Table55[[#This Row],[Shortname]], Comp[], 22, FALSE)</f>
        <v>0</v>
      </c>
      <c r="X122">
        <f>VLOOKUP(Table55[[#This Row],[Shortname]], Comp[], 23, FALSE)</f>
        <v>0</v>
      </c>
      <c r="Y122">
        <f>VLOOKUP(Table55[[#This Row],[Shortname]], Comp[], 24, FALSE)</f>
        <v>0</v>
      </c>
      <c r="Z122">
        <f>VLOOKUP(Table55[[#This Row],[Shortname]], Comp[], 25, FALSE)</f>
        <v>0</v>
      </c>
      <c r="AA122">
        <f>VLOOKUP(Table55[[#This Row],[Shortname]], Comp[], 26, FALSE)</f>
        <v>0</v>
      </c>
      <c r="AB122">
        <f>VLOOKUP(Table55[[#This Row],[Shortname]], Comp[], 27, FALSE)</f>
        <v>0</v>
      </c>
      <c r="AC122">
        <f>VLOOKUP(Table55[[#This Row],[Shortname]], Comp[], 28, FALSE)</f>
        <v>0</v>
      </c>
      <c r="AD122">
        <f>VLOOKUP(Table55[[#This Row],[Shortname]], Comp[], 29, FALSE)</f>
        <v>0</v>
      </c>
      <c r="AE122">
        <f>VLOOKUP(Table55[[#This Row],[Shortname]], Comp[], 30, FALSE)</f>
        <v>0</v>
      </c>
      <c r="AF122">
        <f>VLOOKUP(Table55[[#This Row],[Shortname]], Comp[], 31, FALSE)</f>
        <v>0</v>
      </c>
    </row>
    <row r="123" spans="1:32" x14ac:dyDescent="0.3">
      <c r="A123" t="s">
        <v>1418</v>
      </c>
      <c r="B123" t="s">
        <v>1420</v>
      </c>
      <c r="C123" s="5" t="s">
        <v>1351</v>
      </c>
      <c r="D123">
        <v>1080</v>
      </c>
      <c r="E123">
        <v>1439</v>
      </c>
      <c r="F123">
        <v>1474</v>
      </c>
      <c r="G123">
        <f>VLOOKUP(Table55[[#This Row],[Shortname]], Comp[], 6, FALSE)</f>
        <v>181</v>
      </c>
      <c r="H123" s="14">
        <f>VLOOKUP(Table55[[#This Row],[Shortname]], Comp[], 7, FALSE)</f>
        <v>79</v>
      </c>
      <c r="I123">
        <f>VLOOKUP(Table55[[#This Row],[Shortname]], Comp[], 8, FALSE)</f>
        <v>0</v>
      </c>
      <c r="J123">
        <f>VLOOKUP(Table55[[#This Row],[Shortname]], Comp[], 9, FALSE)</f>
        <v>9</v>
      </c>
      <c r="K123">
        <f>VLOOKUP(Table55[[#This Row],[Shortname]], Comp[], 10, FALSE)</f>
        <v>0</v>
      </c>
      <c r="L123">
        <f>VLOOKUP(Table55[[#This Row],[Shortname]], Comp[], 11, FALSE)</f>
        <v>12</v>
      </c>
      <c r="M123">
        <f>VLOOKUP(Table55[[#This Row],[Shortname]], Comp[],12, FALSE)</f>
        <v>0</v>
      </c>
      <c r="N123">
        <f>VLOOKUP(Table55[[#This Row],[Shortname]], Comp[], 13, FALSE)</f>
        <v>0</v>
      </c>
      <c r="O123">
        <f>VLOOKUP(Table55[[#This Row],[Shortname]], Comp[], 14, FALSE)</f>
        <v>0</v>
      </c>
      <c r="P123">
        <f>VLOOKUP(Table55[[#This Row],[Shortname]], Comp[], 15, FALSE)</f>
        <v>0</v>
      </c>
      <c r="Q123">
        <f>VLOOKUP(Table55[[#This Row],[Shortname]], Comp[], 16, FALSE)</f>
        <v>0</v>
      </c>
      <c r="R123">
        <f>VLOOKUP(Table55[[#This Row],[Shortname]], Comp[], 17, FALSE)</f>
        <v>0</v>
      </c>
      <c r="S123">
        <f>VLOOKUP(Table55[[#This Row],[Shortname]], Comp[], 18, FALSE)</f>
        <v>0</v>
      </c>
      <c r="T123">
        <f>VLOOKUP(Table55[[#This Row],[Shortname]], Comp[], 19, FALSE)</f>
        <v>0</v>
      </c>
      <c r="U123">
        <f>VLOOKUP(Table55[[#This Row],[Shortname]], Comp[], 20, FALSE)</f>
        <v>0</v>
      </c>
      <c r="V123">
        <f>VLOOKUP(Table55[[#This Row],[Shortname]], Comp[], 21, FALSE)</f>
        <v>0</v>
      </c>
      <c r="W123">
        <f>VLOOKUP(Table55[[#This Row],[Shortname]], Comp[], 22, FALSE)</f>
        <v>0</v>
      </c>
      <c r="X123">
        <f>VLOOKUP(Table55[[#This Row],[Shortname]], Comp[], 23, FALSE)</f>
        <v>0</v>
      </c>
      <c r="Y123">
        <f>VLOOKUP(Table55[[#This Row],[Shortname]], Comp[], 24, FALSE)</f>
        <v>0</v>
      </c>
      <c r="Z123">
        <f>VLOOKUP(Table55[[#This Row],[Shortname]], Comp[], 25, FALSE)</f>
        <v>0</v>
      </c>
      <c r="AA123">
        <f>VLOOKUP(Table55[[#This Row],[Shortname]], Comp[], 26, FALSE)</f>
        <v>0</v>
      </c>
      <c r="AB123">
        <f>VLOOKUP(Table55[[#This Row],[Shortname]], Comp[], 27, FALSE)</f>
        <v>0</v>
      </c>
      <c r="AC123">
        <f>VLOOKUP(Table55[[#This Row],[Shortname]], Comp[], 28, FALSE)</f>
        <v>0</v>
      </c>
      <c r="AD123">
        <f>VLOOKUP(Table55[[#This Row],[Shortname]], Comp[], 29, FALSE)</f>
        <v>0</v>
      </c>
      <c r="AE123">
        <f>VLOOKUP(Table55[[#This Row],[Shortname]], Comp[], 30, FALSE)</f>
        <v>0</v>
      </c>
      <c r="AF123">
        <f>VLOOKUP(Table55[[#This Row],[Shortname]], Comp[], 31, FALSE)</f>
        <v>0</v>
      </c>
    </row>
    <row r="124" spans="1:32" x14ac:dyDescent="0.3">
      <c r="A124" t="s">
        <v>1430</v>
      </c>
      <c r="B124" t="s">
        <v>1432</v>
      </c>
      <c r="C124" s="5" t="s">
        <v>1351</v>
      </c>
      <c r="D124">
        <v>1080</v>
      </c>
      <c r="E124">
        <v>1306</v>
      </c>
      <c r="F124">
        <v>1398</v>
      </c>
      <c r="G124">
        <f>VLOOKUP(Table55[[#This Row],[Shortname]], Comp[], 6, FALSE)</f>
        <v>183</v>
      </c>
      <c r="H124" s="14">
        <f>VLOOKUP(Table55[[#This Row],[Shortname]], Comp[], 7, FALSE)</f>
        <v>79.599999999999994</v>
      </c>
      <c r="I124">
        <f>VLOOKUP(Table55[[#This Row],[Shortname]], Comp[], 8, FALSE)</f>
        <v>0</v>
      </c>
      <c r="J124">
        <f>VLOOKUP(Table55[[#This Row],[Shortname]], Comp[], 9, FALSE)</f>
        <v>13.3</v>
      </c>
      <c r="K124">
        <f>VLOOKUP(Table55[[#This Row],[Shortname]], Comp[], 10, FALSE)</f>
        <v>0</v>
      </c>
      <c r="L124">
        <f>VLOOKUP(Table55[[#This Row],[Shortname]], Comp[], 11, FALSE)</f>
        <v>3.9</v>
      </c>
      <c r="M124">
        <f>VLOOKUP(Table55[[#This Row],[Shortname]], Comp[],12, FALSE)</f>
        <v>0</v>
      </c>
      <c r="N124">
        <f>VLOOKUP(Table55[[#This Row],[Shortname]], Comp[], 13, FALSE)</f>
        <v>3.2</v>
      </c>
      <c r="O124">
        <f>VLOOKUP(Table55[[#This Row],[Shortname]], Comp[], 14, FALSE)</f>
        <v>0</v>
      </c>
      <c r="P124">
        <f>VLOOKUP(Table55[[#This Row],[Shortname]], Comp[], 15, FALSE)</f>
        <v>0</v>
      </c>
      <c r="Q124">
        <f>VLOOKUP(Table55[[#This Row],[Shortname]], Comp[], 16, FALSE)</f>
        <v>0</v>
      </c>
      <c r="R124">
        <f>VLOOKUP(Table55[[#This Row],[Shortname]], Comp[], 17, FALSE)</f>
        <v>0</v>
      </c>
      <c r="S124">
        <f>VLOOKUP(Table55[[#This Row],[Shortname]], Comp[], 18, FALSE)</f>
        <v>0</v>
      </c>
      <c r="T124">
        <f>VLOOKUP(Table55[[#This Row],[Shortname]], Comp[], 19, FALSE)</f>
        <v>0</v>
      </c>
      <c r="U124">
        <f>VLOOKUP(Table55[[#This Row],[Shortname]], Comp[], 20, FALSE)</f>
        <v>0</v>
      </c>
      <c r="V124">
        <f>VLOOKUP(Table55[[#This Row],[Shortname]], Comp[], 21, FALSE)</f>
        <v>0</v>
      </c>
      <c r="W124">
        <f>VLOOKUP(Table55[[#This Row],[Shortname]], Comp[], 22, FALSE)</f>
        <v>0</v>
      </c>
      <c r="X124">
        <f>VLOOKUP(Table55[[#This Row],[Shortname]], Comp[], 23, FALSE)</f>
        <v>0</v>
      </c>
      <c r="Y124">
        <f>VLOOKUP(Table55[[#This Row],[Shortname]], Comp[], 24, FALSE)</f>
        <v>0</v>
      </c>
      <c r="Z124">
        <f>VLOOKUP(Table55[[#This Row],[Shortname]], Comp[], 25, FALSE)</f>
        <v>0</v>
      </c>
      <c r="AA124">
        <f>VLOOKUP(Table55[[#This Row],[Shortname]], Comp[], 26, FALSE)</f>
        <v>0</v>
      </c>
      <c r="AB124">
        <f>VLOOKUP(Table55[[#This Row],[Shortname]], Comp[], 27, FALSE)</f>
        <v>0</v>
      </c>
      <c r="AC124">
        <f>VLOOKUP(Table55[[#This Row],[Shortname]], Comp[], 28, FALSE)</f>
        <v>0</v>
      </c>
      <c r="AD124">
        <f>VLOOKUP(Table55[[#This Row],[Shortname]], Comp[], 29, FALSE)</f>
        <v>0</v>
      </c>
      <c r="AE124">
        <f>VLOOKUP(Table55[[#This Row],[Shortname]], Comp[], 30, FALSE)</f>
        <v>0</v>
      </c>
      <c r="AF124">
        <f>VLOOKUP(Table55[[#This Row],[Shortname]], Comp[], 31, FALSE)</f>
        <v>0</v>
      </c>
    </row>
    <row r="125" spans="1:32" x14ac:dyDescent="0.3">
      <c r="A125" t="s">
        <v>1355</v>
      </c>
      <c r="B125" t="s">
        <v>1357</v>
      </c>
      <c r="C125" s="5" t="s">
        <v>1351</v>
      </c>
      <c r="D125">
        <v>1073</v>
      </c>
      <c r="E125">
        <v>1391</v>
      </c>
      <c r="F125">
        <v>1455</v>
      </c>
      <c r="G125">
        <f>VLOOKUP(Table55[[#This Row],[Shortname]], Comp[], 6, FALSE)</f>
        <v>171</v>
      </c>
      <c r="H125" s="14">
        <f>VLOOKUP(Table55[[#This Row],[Shortname]], Comp[], 7, FALSE)</f>
        <v>81</v>
      </c>
      <c r="I125">
        <f>VLOOKUP(Table55[[#This Row],[Shortname]], Comp[], 8, FALSE)</f>
        <v>0</v>
      </c>
      <c r="J125">
        <f>VLOOKUP(Table55[[#This Row],[Shortname]], Comp[], 9, FALSE)</f>
        <v>7</v>
      </c>
      <c r="K125">
        <f>VLOOKUP(Table55[[#This Row],[Shortname]], Comp[], 10, FALSE)</f>
        <v>0</v>
      </c>
      <c r="L125">
        <f>VLOOKUP(Table55[[#This Row],[Shortname]], Comp[], 11, FALSE)</f>
        <v>10</v>
      </c>
      <c r="M125">
        <f>VLOOKUP(Table55[[#This Row],[Shortname]], Comp[],12, FALSE)</f>
        <v>0</v>
      </c>
      <c r="N125">
        <f>VLOOKUP(Table55[[#This Row],[Shortname]], Comp[], 13, FALSE)</f>
        <v>2</v>
      </c>
      <c r="O125">
        <f>VLOOKUP(Table55[[#This Row],[Shortname]], Comp[], 14, FALSE)</f>
        <v>0</v>
      </c>
      <c r="P125">
        <f>VLOOKUP(Table55[[#This Row],[Shortname]], Comp[], 15, FALSE)</f>
        <v>0</v>
      </c>
      <c r="Q125">
        <f>VLOOKUP(Table55[[#This Row],[Shortname]], Comp[], 16, FALSE)</f>
        <v>0</v>
      </c>
      <c r="R125">
        <f>VLOOKUP(Table55[[#This Row],[Shortname]], Comp[], 17, FALSE)</f>
        <v>0</v>
      </c>
      <c r="S125">
        <f>VLOOKUP(Table55[[#This Row],[Shortname]], Comp[], 18, FALSE)</f>
        <v>0</v>
      </c>
      <c r="T125">
        <f>VLOOKUP(Table55[[#This Row],[Shortname]], Comp[], 19, FALSE)</f>
        <v>0</v>
      </c>
      <c r="U125">
        <f>VLOOKUP(Table55[[#This Row],[Shortname]], Comp[], 20, FALSE)</f>
        <v>0</v>
      </c>
      <c r="V125">
        <f>VLOOKUP(Table55[[#This Row],[Shortname]], Comp[], 21, FALSE)</f>
        <v>0</v>
      </c>
      <c r="W125">
        <f>VLOOKUP(Table55[[#This Row],[Shortname]], Comp[], 22, FALSE)</f>
        <v>0</v>
      </c>
      <c r="X125">
        <f>VLOOKUP(Table55[[#This Row],[Shortname]], Comp[], 23, FALSE)</f>
        <v>0</v>
      </c>
      <c r="Y125">
        <f>VLOOKUP(Table55[[#This Row],[Shortname]], Comp[], 24, FALSE)</f>
        <v>0</v>
      </c>
      <c r="Z125">
        <f>VLOOKUP(Table55[[#This Row],[Shortname]], Comp[], 25, FALSE)</f>
        <v>0</v>
      </c>
      <c r="AA125">
        <f>VLOOKUP(Table55[[#This Row],[Shortname]], Comp[], 26, FALSE)</f>
        <v>0</v>
      </c>
      <c r="AB125">
        <f>VLOOKUP(Table55[[#This Row],[Shortname]], Comp[], 27, FALSE)</f>
        <v>0</v>
      </c>
      <c r="AC125">
        <f>VLOOKUP(Table55[[#This Row],[Shortname]], Comp[], 28, FALSE)</f>
        <v>0</v>
      </c>
      <c r="AD125">
        <f>VLOOKUP(Table55[[#This Row],[Shortname]], Comp[], 29, FALSE)</f>
        <v>0</v>
      </c>
      <c r="AE125">
        <f>VLOOKUP(Table55[[#This Row],[Shortname]], Comp[], 30, FALSE)</f>
        <v>0</v>
      </c>
      <c r="AF125">
        <f>VLOOKUP(Table55[[#This Row],[Shortname]], Comp[], 31, FALSE)</f>
        <v>0</v>
      </c>
    </row>
    <row r="126" spans="1:32" x14ac:dyDescent="0.3">
      <c r="A126" t="s">
        <v>1406</v>
      </c>
      <c r="B126" t="s">
        <v>1408</v>
      </c>
      <c r="C126" s="5" t="s">
        <v>1351</v>
      </c>
      <c r="D126">
        <v>1055</v>
      </c>
      <c r="E126">
        <v>1437</v>
      </c>
      <c r="F126">
        <v>1467</v>
      </c>
      <c r="G126">
        <f>VLOOKUP(Table55[[#This Row],[Shortname]], Comp[], 6, FALSE)</f>
        <v>179</v>
      </c>
      <c r="H126" s="14">
        <f>VLOOKUP(Table55[[#This Row],[Shortname]], Comp[], 7, FALSE)</f>
        <v>79</v>
      </c>
      <c r="I126">
        <f>VLOOKUP(Table55[[#This Row],[Shortname]], Comp[], 8, FALSE)</f>
        <v>0</v>
      </c>
      <c r="J126">
        <f>VLOOKUP(Table55[[#This Row],[Shortname]], Comp[], 9, FALSE)</f>
        <v>11</v>
      </c>
      <c r="K126">
        <f>VLOOKUP(Table55[[#This Row],[Shortname]], Comp[], 10, FALSE)</f>
        <v>0</v>
      </c>
      <c r="L126">
        <f>VLOOKUP(Table55[[#This Row],[Shortname]], Comp[], 11, FALSE)</f>
        <v>10</v>
      </c>
      <c r="M126">
        <f>VLOOKUP(Table55[[#This Row],[Shortname]], Comp[],12, FALSE)</f>
        <v>0</v>
      </c>
      <c r="N126">
        <f>VLOOKUP(Table55[[#This Row],[Shortname]], Comp[], 13, FALSE)</f>
        <v>0</v>
      </c>
      <c r="O126">
        <f>VLOOKUP(Table55[[#This Row],[Shortname]], Comp[], 14, FALSE)</f>
        <v>0</v>
      </c>
      <c r="P126">
        <f>VLOOKUP(Table55[[#This Row],[Shortname]], Comp[], 15, FALSE)</f>
        <v>0</v>
      </c>
      <c r="Q126">
        <f>VLOOKUP(Table55[[#This Row],[Shortname]], Comp[], 16, FALSE)</f>
        <v>0</v>
      </c>
      <c r="R126">
        <f>VLOOKUP(Table55[[#This Row],[Shortname]], Comp[], 17, FALSE)</f>
        <v>0</v>
      </c>
      <c r="S126">
        <f>VLOOKUP(Table55[[#This Row],[Shortname]], Comp[], 18, FALSE)</f>
        <v>0</v>
      </c>
      <c r="T126">
        <f>VLOOKUP(Table55[[#This Row],[Shortname]], Comp[], 19, FALSE)</f>
        <v>0</v>
      </c>
      <c r="U126">
        <f>VLOOKUP(Table55[[#This Row],[Shortname]], Comp[], 20, FALSE)</f>
        <v>0</v>
      </c>
      <c r="V126">
        <f>VLOOKUP(Table55[[#This Row],[Shortname]], Comp[], 21, FALSE)</f>
        <v>0</v>
      </c>
      <c r="W126">
        <f>VLOOKUP(Table55[[#This Row],[Shortname]], Comp[], 22, FALSE)</f>
        <v>0</v>
      </c>
      <c r="X126">
        <f>VLOOKUP(Table55[[#This Row],[Shortname]], Comp[], 23, FALSE)</f>
        <v>0</v>
      </c>
      <c r="Y126">
        <f>VLOOKUP(Table55[[#This Row],[Shortname]], Comp[], 24, FALSE)</f>
        <v>0</v>
      </c>
      <c r="Z126">
        <f>VLOOKUP(Table55[[#This Row],[Shortname]], Comp[], 25, FALSE)</f>
        <v>0</v>
      </c>
      <c r="AA126">
        <f>VLOOKUP(Table55[[#This Row],[Shortname]], Comp[], 26, FALSE)</f>
        <v>0</v>
      </c>
      <c r="AB126">
        <f>VLOOKUP(Table55[[#This Row],[Shortname]], Comp[], 27, FALSE)</f>
        <v>0</v>
      </c>
      <c r="AC126">
        <f>VLOOKUP(Table55[[#This Row],[Shortname]], Comp[], 28, FALSE)</f>
        <v>0</v>
      </c>
      <c r="AD126">
        <f>VLOOKUP(Table55[[#This Row],[Shortname]], Comp[], 29, FALSE)</f>
        <v>0</v>
      </c>
      <c r="AE126">
        <f>VLOOKUP(Table55[[#This Row],[Shortname]], Comp[], 30, FALSE)</f>
        <v>0</v>
      </c>
      <c r="AF126">
        <f>VLOOKUP(Table55[[#This Row],[Shortname]], Comp[], 31, FALSE)</f>
        <v>0</v>
      </c>
    </row>
    <row r="127" spans="1:32" x14ac:dyDescent="0.3">
      <c r="A127" t="s">
        <v>1381</v>
      </c>
      <c r="B127" t="s">
        <v>1383</v>
      </c>
      <c r="C127" s="5" t="s">
        <v>1351</v>
      </c>
      <c r="D127">
        <v>1034</v>
      </c>
      <c r="E127">
        <v>1449</v>
      </c>
      <c r="F127">
        <v>1482</v>
      </c>
      <c r="G127">
        <f>VLOOKUP(Table55[[#This Row],[Shortname]], Comp[], 6, FALSE)</f>
        <v>175</v>
      </c>
      <c r="H127" s="14">
        <f>VLOOKUP(Table55[[#This Row],[Shortname]], Comp[], 7, FALSE)</f>
        <v>81</v>
      </c>
      <c r="I127">
        <f>VLOOKUP(Table55[[#This Row],[Shortname]], Comp[], 8, FALSE)</f>
        <v>0</v>
      </c>
      <c r="J127">
        <f>VLOOKUP(Table55[[#This Row],[Shortname]], Comp[], 9, FALSE)</f>
        <v>9</v>
      </c>
      <c r="K127">
        <f>VLOOKUP(Table55[[#This Row],[Shortname]], Comp[], 10, FALSE)</f>
        <v>0</v>
      </c>
      <c r="L127">
        <f>VLOOKUP(Table55[[#This Row],[Shortname]], Comp[], 11, FALSE)</f>
        <v>10</v>
      </c>
      <c r="M127">
        <f>VLOOKUP(Table55[[#This Row],[Shortname]], Comp[],12, FALSE)</f>
        <v>0</v>
      </c>
      <c r="N127">
        <f>VLOOKUP(Table55[[#This Row],[Shortname]], Comp[], 13, FALSE)</f>
        <v>0</v>
      </c>
      <c r="O127">
        <f>VLOOKUP(Table55[[#This Row],[Shortname]], Comp[], 14, FALSE)</f>
        <v>0</v>
      </c>
      <c r="P127">
        <f>VLOOKUP(Table55[[#This Row],[Shortname]], Comp[], 15, FALSE)</f>
        <v>0</v>
      </c>
      <c r="Q127">
        <f>VLOOKUP(Table55[[#This Row],[Shortname]], Comp[], 16, FALSE)</f>
        <v>0</v>
      </c>
      <c r="R127">
        <f>VLOOKUP(Table55[[#This Row],[Shortname]], Comp[], 17, FALSE)</f>
        <v>0</v>
      </c>
      <c r="S127">
        <f>VLOOKUP(Table55[[#This Row],[Shortname]], Comp[], 18, FALSE)</f>
        <v>0</v>
      </c>
      <c r="T127">
        <f>VLOOKUP(Table55[[#This Row],[Shortname]], Comp[], 19, FALSE)</f>
        <v>0</v>
      </c>
      <c r="U127">
        <f>VLOOKUP(Table55[[#This Row],[Shortname]], Comp[], 20, FALSE)</f>
        <v>0</v>
      </c>
      <c r="V127">
        <f>VLOOKUP(Table55[[#This Row],[Shortname]], Comp[], 21, FALSE)</f>
        <v>0</v>
      </c>
      <c r="W127">
        <f>VLOOKUP(Table55[[#This Row],[Shortname]], Comp[], 22, FALSE)</f>
        <v>0</v>
      </c>
      <c r="X127">
        <f>VLOOKUP(Table55[[#This Row],[Shortname]], Comp[], 23, FALSE)</f>
        <v>0</v>
      </c>
      <c r="Y127">
        <f>VLOOKUP(Table55[[#This Row],[Shortname]], Comp[], 24, FALSE)</f>
        <v>0</v>
      </c>
      <c r="Z127">
        <f>VLOOKUP(Table55[[#This Row],[Shortname]], Comp[], 25, FALSE)</f>
        <v>0</v>
      </c>
      <c r="AA127">
        <f>VLOOKUP(Table55[[#This Row],[Shortname]], Comp[], 26, FALSE)</f>
        <v>0</v>
      </c>
      <c r="AB127">
        <f>VLOOKUP(Table55[[#This Row],[Shortname]], Comp[], 27, FALSE)</f>
        <v>0</v>
      </c>
      <c r="AC127">
        <f>VLOOKUP(Table55[[#This Row],[Shortname]], Comp[], 28, FALSE)</f>
        <v>0</v>
      </c>
      <c r="AD127">
        <f>VLOOKUP(Table55[[#This Row],[Shortname]], Comp[], 29, FALSE)</f>
        <v>0</v>
      </c>
      <c r="AE127">
        <f>VLOOKUP(Table55[[#This Row],[Shortname]], Comp[], 30, FALSE)</f>
        <v>0</v>
      </c>
      <c r="AF127">
        <f>VLOOKUP(Table55[[#This Row],[Shortname]], Comp[], 31, FALSE)</f>
        <v>0</v>
      </c>
    </row>
    <row r="128" spans="1:32" x14ac:dyDescent="0.3">
      <c r="A128" t="s">
        <v>1510</v>
      </c>
      <c r="B128" t="s">
        <v>1512</v>
      </c>
      <c r="C128" s="6" t="s">
        <v>1513</v>
      </c>
      <c r="D128">
        <v>712</v>
      </c>
      <c r="E128">
        <v>1100</v>
      </c>
      <c r="F128">
        <v>1372</v>
      </c>
      <c r="G128">
        <f>VLOOKUP(Table55[[#This Row],[Shortname]], Comp[], 6, FALSE)</f>
        <v>193</v>
      </c>
      <c r="H128" s="14">
        <f>VLOOKUP(Table55[[#This Row],[Shortname]], Comp[], 7, FALSE)</f>
        <v>75.489999999999995</v>
      </c>
      <c r="I128">
        <f>VLOOKUP(Table55[[#This Row],[Shortname]], Comp[], 8, FALSE)</f>
        <v>0</v>
      </c>
      <c r="J128">
        <f>VLOOKUP(Table55[[#This Row],[Shortname]], Comp[], 9, FALSE)</f>
        <v>11.65</v>
      </c>
      <c r="K128">
        <f>VLOOKUP(Table55[[#This Row],[Shortname]], Comp[], 10, FALSE)</f>
        <v>0</v>
      </c>
      <c r="L128">
        <f>VLOOKUP(Table55[[#This Row],[Shortname]], Comp[], 11, FALSE)</f>
        <v>9.0299999999999994</v>
      </c>
      <c r="M128">
        <f>VLOOKUP(Table55[[#This Row],[Shortname]], Comp[],12, FALSE)</f>
        <v>2.14</v>
      </c>
      <c r="N128">
        <f>VLOOKUP(Table55[[#This Row],[Shortname]], Comp[], 13, FALSE)</f>
        <v>1.69</v>
      </c>
      <c r="O128">
        <f>VLOOKUP(Table55[[#This Row],[Shortname]], Comp[], 14, FALSE)</f>
        <v>0</v>
      </c>
      <c r="P128">
        <f>VLOOKUP(Table55[[#This Row],[Shortname]], Comp[], 15, FALSE)</f>
        <v>0</v>
      </c>
      <c r="Q128">
        <f>VLOOKUP(Table55[[#This Row],[Shortname]], Comp[], 16, FALSE)</f>
        <v>0</v>
      </c>
      <c r="R128">
        <f>VLOOKUP(Table55[[#This Row],[Shortname]], Comp[], 17, FALSE)</f>
        <v>0</v>
      </c>
      <c r="S128">
        <f>VLOOKUP(Table55[[#This Row],[Shortname]], Comp[], 18, FALSE)</f>
        <v>0</v>
      </c>
      <c r="T128">
        <f>VLOOKUP(Table55[[#This Row],[Shortname]], Comp[], 19, FALSE)</f>
        <v>0</v>
      </c>
      <c r="U128">
        <f>VLOOKUP(Table55[[#This Row],[Shortname]], Comp[], 20, FALSE)</f>
        <v>0</v>
      </c>
      <c r="V128">
        <f>VLOOKUP(Table55[[#This Row],[Shortname]], Comp[], 21, FALSE)</f>
        <v>0</v>
      </c>
      <c r="W128">
        <f>VLOOKUP(Table55[[#This Row],[Shortname]], Comp[], 22, FALSE)</f>
        <v>0</v>
      </c>
      <c r="X128">
        <f>VLOOKUP(Table55[[#This Row],[Shortname]], Comp[], 23, FALSE)</f>
        <v>0</v>
      </c>
      <c r="Y128">
        <f>VLOOKUP(Table55[[#This Row],[Shortname]], Comp[], 24, FALSE)</f>
        <v>0</v>
      </c>
      <c r="Z128">
        <f>VLOOKUP(Table55[[#This Row],[Shortname]], Comp[], 25, FALSE)</f>
        <v>0</v>
      </c>
      <c r="AA128">
        <f>VLOOKUP(Table55[[#This Row],[Shortname]], Comp[], 26, FALSE)</f>
        <v>0</v>
      </c>
      <c r="AB128">
        <f>VLOOKUP(Table55[[#This Row],[Shortname]], Comp[], 27, FALSE)</f>
        <v>0</v>
      </c>
      <c r="AC128">
        <f>VLOOKUP(Table55[[#This Row],[Shortname]], Comp[], 28, FALSE)</f>
        <v>0</v>
      </c>
      <c r="AD128">
        <f>VLOOKUP(Table55[[#This Row],[Shortname]], Comp[], 29, FALSE)</f>
        <v>0</v>
      </c>
      <c r="AE128">
        <f>VLOOKUP(Table55[[#This Row],[Shortname]], Comp[], 30, FALSE)</f>
        <v>0</v>
      </c>
      <c r="AF128">
        <f>VLOOKUP(Table55[[#This Row],[Shortname]], Comp[], 31, FALSE)</f>
        <v>0</v>
      </c>
    </row>
    <row r="129" spans="1:32" x14ac:dyDescent="0.3">
      <c r="A129" t="s">
        <v>1519</v>
      </c>
      <c r="B129" t="s">
        <v>1521</v>
      </c>
      <c r="C129" s="6" t="s">
        <v>1513</v>
      </c>
      <c r="D129">
        <v>710</v>
      </c>
      <c r="E129">
        <v>1010</v>
      </c>
      <c r="F129">
        <v>1443</v>
      </c>
      <c r="G129">
        <f>VLOOKUP(Table55[[#This Row],[Shortname]], Comp[], 6, FALSE)</f>
        <v>194</v>
      </c>
      <c r="H129" s="14">
        <f>VLOOKUP(Table55[[#This Row],[Shortname]], Comp[], 7, FALSE)</f>
        <v>78.63</v>
      </c>
      <c r="I129">
        <f>VLOOKUP(Table55[[#This Row],[Shortname]], Comp[], 8, FALSE)</f>
        <v>0</v>
      </c>
      <c r="J129">
        <f>VLOOKUP(Table55[[#This Row],[Shortname]], Comp[], 9, FALSE)</f>
        <v>13.66</v>
      </c>
      <c r="K129">
        <f>VLOOKUP(Table55[[#This Row],[Shortname]], Comp[], 10, FALSE)</f>
        <v>0</v>
      </c>
      <c r="L129">
        <f>VLOOKUP(Table55[[#This Row],[Shortname]], Comp[], 11, FALSE)</f>
        <v>7.71</v>
      </c>
      <c r="M129">
        <f>VLOOKUP(Table55[[#This Row],[Shortname]], Comp[],12, FALSE)</f>
        <v>0</v>
      </c>
      <c r="N129">
        <f>VLOOKUP(Table55[[#This Row],[Shortname]], Comp[], 13, FALSE)</f>
        <v>0</v>
      </c>
      <c r="O129">
        <f>VLOOKUP(Table55[[#This Row],[Shortname]], Comp[], 14, FALSE)</f>
        <v>0</v>
      </c>
      <c r="P129">
        <f>VLOOKUP(Table55[[#This Row],[Shortname]], Comp[], 15, FALSE)</f>
        <v>0</v>
      </c>
      <c r="Q129">
        <f>VLOOKUP(Table55[[#This Row],[Shortname]], Comp[], 16, FALSE)</f>
        <v>0</v>
      </c>
      <c r="R129">
        <f>VLOOKUP(Table55[[#This Row],[Shortname]], Comp[], 17, FALSE)</f>
        <v>0</v>
      </c>
      <c r="S129">
        <f>VLOOKUP(Table55[[#This Row],[Shortname]], Comp[], 18, FALSE)</f>
        <v>0</v>
      </c>
      <c r="T129">
        <f>VLOOKUP(Table55[[#This Row],[Shortname]], Comp[], 19, FALSE)</f>
        <v>0</v>
      </c>
      <c r="U129">
        <f>VLOOKUP(Table55[[#This Row],[Shortname]], Comp[], 20, FALSE)</f>
        <v>0</v>
      </c>
      <c r="V129">
        <f>VLOOKUP(Table55[[#This Row],[Shortname]], Comp[], 21, FALSE)</f>
        <v>0</v>
      </c>
      <c r="W129">
        <f>VLOOKUP(Table55[[#This Row],[Shortname]], Comp[], 22, FALSE)</f>
        <v>0</v>
      </c>
      <c r="X129">
        <f>VLOOKUP(Table55[[#This Row],[Shortname]], Comp[], 23, FALSE)</f>
        <v>0</v>
      </c>
      <c r="Y129">
        <f>VLOOKUP(Table55[[#This Row],[Shortname]], Comp[], 24, FALSE)</f>
        <v>0</v>
      </c>
      <c r="Z129">
        <f>VLOOKUP(Table55[[#This Row],[Shortname]], Comp[], 25, FALSE)</f>
        <v>0</v>
      </c>
      <c r="AA129">
        <f>VLOOKUP(Table55[[#This Row],[Shortname]], Comp[], 26, FALSE)</f>
        <v>0</v>
      </c>
      <c r="AB129">
        <f>VLOOKUP(Table55[[#This Row],[Shortname]], Comp[], 27, FALSE)</f>
        <v>0</v>
      </c>
      <c r="AC129">
        <f>VLOOKUP(Table55[[#This Row],[Shortname]], Comp[], 28, FALSE)</f>
        <v>0</v>
      </c>
      <c r="AD129">
        <f>VLOOKUP(Table55[[#This Row],[Shortname]], Comp[], 29, FALSE)</f>
        <v>0</v>
      </c>
      <c r="AE129">
        <f>VLOOKUP(Table55[[#This Row],[Shortname]], Comp[], 30, FALSE)</f>
        <v>0</v>
      </c>
      <c r="AF129">
        <f>VLOOKUP(Table55[[#This Row],[Shortname]], Comp[], 31, FALSE)</f>
        <v>0</v>
      </c>
    </row>
    <row r="130" spans="1:32" x14ac:dyDescent="0.3">
      <c r="A130" s="7" t="s">
        <v>4980</v>
      </c>
      <c r="B130" t="s">
        <v>4982</v>
      </c>
      <c r="C130" s="6" t="s">
        <v>4983</v>
      </c>
      <c r="D130" s="6">
        <v>1060</v>
      </c>
      <c r="E130">
        <v>1363</v>
      </c>
      <c r="F130">
        <v>1428</v>
      </c>
      <c r="G130">
        <f>VLOOKUP(Table55[[#This Row],[Shortname]], Comp[], 6, FALSE)</f>
        <v>764</v>
      </c>
      <c r="H130" s="14">
        <f>VLOOKUP(Table55[[#This Row],[Shortname]], Comp[], 7, FALSE)</f>
        <v>32.38000000000001</v>
      </c>
      <c r="I130">
        <f>VLOOKUP(Table55[[#This Row],[Shortname]], Comp[], 8, FALSE)</f>
        <v>37.6</v>
      </c>
      <c r="J130">
        <f>VLOOKUP(Table55[[#This Row],[Shortname]], Comp[], 9, FALSE)</f>
        <v>8.9</v>
      </c>
      <c r="K130">
        <f>VLOOKUP(Table55[[#This Row],[Shortname]], Comp[], 10, FALSE)</f>
        <v>15.8</v>
      </c>
      <c r="L130">
        <f>VLOOKUP(Table55[[#This Row],[Shortname]], Comp[], 11, FALSE)</f>
        <v>2.8</v>
      </c>
      <c r="M130">
        <f>VLOOKUP(Table55[[#This Row],[Shortname]], Comp[],12, FALSE)</f>
        <v>1.8</v>
      </c>
      <c r="N130">
        <f>VLOOKUP(Table55[[#This Row],[Shortname]], Comp[], 13, FALSE)</f>
        <v>0.5</v>
      </c>
      <c r="O130">
        <f>VLOOKUP(Table55[[#This Row],[Shortname]], Comp[], 14, FALSE)</f>
        <v>0</v>
      </c>
      <c r="P130">
        <f>VLOOKUP(Table55[[#This Row],[Shortname]], Comp[], 15, FALSE)</f>
        <v>0</v>
      </c>
      <c r="Q130">
        <f>VLOOKUP(Table55[[#This Row],[Shortname]], Comp[], 16, FALSE)</f>
        <v>0</v>
      </c>
      <c r="R130">
        <f>VLOOKUP(Table55[[#This Row],[Shortname]], Comp[], 17, FALSE)</f>
        <v>0.14000000000000001</v>
      </c>
      <c r="S130">
        <f>VLOOKUP(Table55[[#This Row],[Shortname]], Comp[], 18, FALSE)</f>
        <v>0.03</v>
      </c>
      <c r="T130">
        <f>VLOOKUP(Table55[[#This Row],[Shortname]], Comp[], 19, FALSE)</f>
        <v>0.05</v>
      </c>
      <c r="U130">
        <f>VLOOKUP(Table55[[#This Row],[Shortname]], Comp[], 20, FALSE)</f>
        <v>0</v>
      </c>
      <c r="V130">
        <f>VLOOKUP(Table55[[#This Row],[Shortname]], Comp[], 21, FALSE)</f>
        <v>0</v>
      </c>
      <c r="W130">
        <f>VLOOKUP(Table55[[#This Row],[Shortname]], Comp[], 22, FALSE)</f>
        <v>0</v>
      </c>
      <c r="X130">
        <f>VLOOKUP(Table55[[#This Row],[Shortname]], Comp[], 23, FALSE)</f>
        <v>0</v>
      </c>
      <c r="Y130">
        <f>VLOOKUP(Table55[[#This Row],[Shortname]], Comp[], 24, FALSE)</f>
        <v>0</v>
      </c>
      <c r="Z130">
        <f>VLOOKUP(Table55[[#This Row],[Shortname]], Comp[], 25, FALSE)</f>
        <v>0</v>
      </c>
      <c r="AA130">
        <f>VLOOKUP(Table55[[#This Row],[Shortname]], Comp[], 26, FALSE)</f>
        <v>0</v>
      </c>
      <c r="AB130">
        <f>VLOOKUP(Table55[[#This Row],[Shortname]], Comp[], 27, FALSE)</f>
        <v>0</v>
      </c>
      <c r="AC130">
        <f>VLOOKUP(Table55[[#This Row],[Shortname]], Comp[], 28, FALSE)</f>
        <v>0</v>
      </c>
      <c r="AD130">
        <f>VLOOKUP(Table55[[#This Row],[Shortname]], Comp[], 29, FALSE)</f>
        <v>0</v>
      </c>
      <c r="AE130">
        <f>VLOOKUP(Table55[[#This Row],[Shortname]], Comp[], 30, FALSE)</f>
        <v>0</v>
      </c>
      <c r="AF130">
        <f>VLOOKUP(Table55[[#This Row],[Shortname]], Comp[], 31, FALSE)</f>
        <v>0</v>
      </c>
    </row>
    <row r="131" spans="1:32" x14ac:dyDescent="0.3">
      <c r="A131" t="s">
        <v>1526</v>
      </c>
      <c r="B131" t="s">
        <v>1528</v>
      </c>
      <c r="C131" s="17" t="s">
        <v>1529</v>
      </c>
      <c r="D131">
        <v>1070</v>
      </c>
      <c r="E131">
        <v>1305</v>
      </c>
      <c r="G131">
        <f>VLOOKUP(Table55[[#This Row],[Shortname]], Comp[], 6, FALSE)</f>
        <v>195</v>
      </c>
      <c r="H131" s="14">
        <f>VLOOKUP(Table55[[#This Row],[Shortname]], Comp[], 7, FALSE)</f>
        <v>42.330000000000005</v>
      </c>
      <c r="I131">
        <f>VLOOKUP(Table55[[#This Row],[Shortname]], Comp[], 8, FALSE)</f>
        <v>32</v>
      </c>
      <c r="J131">
        <f>VLOOKUP(Table55[[#This Row],[Shortname]], Comp[], 9, FALSE)</f>
        <v>6</v>
      </c>
      <c r="K131">
        <f>VLOOKUP(Table55[[#This Row],[Shortname]], Comp[], 10, FALSE)</f>
        <v>12</v>
      </c>
      <c r="L131">
        <f>VLOOKUP(Table55[[#This Row],[Shortname]], Comp[], 11, FALSE)</f>
        <v>3</v>
      </c>
      <c r="M131">
        <f>VLOOKUP(Table55[[#This Row],[Shortname]], Comp[],12, FALSE)</f>
        <v>2.5</v>
      </c>
      <c r="N131">
        <f>VLOOKUP(Table55[[#This Row],[Shortname]], Comp[], 13, FALSE)</f>
        <v>1.5</v>
      </c>
      <c r="O131">
        <f>VLOOKUP(Table55[[#This Row],[Shortname]], Comp[], 14, FALSE)</f>
        <v>0</v>
      </c>
      <c r="P131">
        <f>VLOOKUP(Table55[[#This Row],[Shortname]], Comp[], 15, FALSE)</f>
        <v>0</v>
      </c>
      <c r="Q131">
        <f>VLOOKUP(Table55[[#This Row],[Shortname]], Comp[], 16, FALSE)</f>
        <v>0</v>
      </c>
      <c r="R131">
        <f>VLOOKUP(Table55[[#This Row],[Shortname]], Comp[], 17, FALSE)</f>
        <v>0.08</v>
      </c>
      <c r="S131">
        <f>VLOOKUP(Table55[[#This Row],[Shortname]], Comp[], 18, FALSE)</f>
        <v>0.01</v>
      </c>
      <c r="T131">
        <f>VLOOKUP(Table55[[#This Row],[Shortname]], Comp[], 19, FALSE)</f>
        <v>0.08</v>
      </c>
      <c r="U131">
        <f>VLOOKUP(Table55[[#This Row],[Shortname]], Comp[], 20, FALSE)</f>
        <v>0</v>
      </c>
      <c r="V131">
        <f>VLOOKUP(Table55[[#This Row],[Shortname]], Comp[], 21, FALSE)</f>
        <v>0</v>
      </c>
      <c r="W131">
        <f>VLOOKUP(Table55[[#This Row],[Shortname]], Comp[], 22, FALSE)</f>
        <v>0.4</v>
      </c>
      <c r="X131">
        <f>VLOOKUP(Table55[[#This Row],[Shortname]], Comp[], 23, FALSE)</f>
        <v>0</v>
      </c>
      <c r="Y131">
        <f>VLOOKUP(Table55[[#This Row],[Shortname]], Comp[], 24, FALSE)</f>
        <v>0</v>
      </c>
      <c r="Z131">
        <f>VLOOKUP(Table55[[#This Row],[Shortname]], Comp[], 25, FALSE)</f>
        <v>0.1</v>
      </c>
      <c r="AA131">
        <f>VLOOKUP(Table55[[#This Row],[Shortname]], Comp[], 26, FALSE)</f>
        <v>0</v>
      </c>
      <c r="AB131">
        <f>VLOOKUP(Table55[[#This Row],[Shortname]], Comp[], 27, FALSE)</f>
        <v>0</v>
      </c>
      <c r="AC131">
        <f>VLOOKUP(Table55[[#This Row],[Shortname]], Comp[], 28, FALSE)</f>
        <v>0</v>
      </c>
      <c r="AD131">
        <f>VLOOKUP(Table55[[#This Row],[Shortname]], Comp[], 29, FALSE)</f>
        <v>0</v>
      </c>
      <c r="AE131">
        <f>VLOOKUP(Table55[[#This Row],[Shortname]], Comp[], 30, FALSE)</f>
        <v>0</v>
      </c>
      <c r="AF131">
        <f>VLOOKUP(Table55[[#This Row],[Shortname]], Comp[], 31, FALSE)</f>
        <v>0</v>
      </c>
    </row>
    <row r="132" spans="1:32" x14ac:dyDescent="0.3">
      <c r="A132" t="s">
        <v>1538</v>
      </c>
      <c r="B132" t="s">
        <v>1540</v>
      </c>
      <c r="C132" s="17" t="s">
        <v>1529</v>
      </c>
      <c r="D132">
        <v>1030</v>
      </c>
      <c r="E132">
        <v>1365</v>
      </c>
      <c r="G132">
        <f>VLOOKUP(Table55[[#This Row],[Shortname]], Comp[], 6, FALSE)</f>
        <v>196</v>
      </c>
      <c r="H132" s="14">
        <f>VLOOKUP(Table55[[#This Row],[Shortname]], Comp[], 7, FALSE)</f>
        <v>41.03</v>
      </c>
      <c r="I132">
        <f>VLOOKUP(Table55[[#This Row],[Shortname]], Comp[], 8, FALSE)</f>
        <v>31.8</v>
      </c>
      <c r="J132">
        <f>VLOOKUP(Table55[[#This Row],[Shortname]], Comp[], 9, FALSE)</f>
        <v>8.6999999999999993</v>
      </c>
      <c r="K132">
        <f>VLOOKUP(Table55[[#This Row],[Shortname]], Comp[], 10, FALSE)</f>
        <v>12.6</v>
      </c>
      <c r="L132">
        <f>VLOOKUP(Table55[[#This Row],[Shortname]], Comp[], 11, FALSE)</f>
        <v>4.7</v>
      </c>
      <c r="M132">
        <f>VLOOKUP(Table55[[#This Row],[Shortname]], Comp[],12, FALSE)</f>
        <v>0.3</v>
      </c>
      <c r="N132">
        <f>VLOOKUP(Table55[[#This Row],[Shortname]], Comp[], 13, FALSE)</f>
        <v>0.2</v>
      </c>
      <c r="O132">
        <f>VLOOKUP(Table55[[#This Row],[Shortname]], Comp[], 14, FALSE)</f>
        <v>0</v>
      </c>
      <c r="P132">
        <f>VLOOKUP(Table55[[#This Row],[Shortname]], Comp[], 15, FALSE)</f>
        <v>0</v>
      </c>
      <c r="Q132">
        <f>VLOOKUP(Table55[[#This Row],[Shortname]], Comp[], 16, FALSE)</f>
        <v>0</v>
      </c>
      <c r="R132">
        <f>VLOOKUP(Table55[[#This Row],[Shortname]], Comp[], 17, FALSE)</f>
        <v>0.08</v>
      </c>
      <c r="S132">
        <f>VLOOKUP(Table55[[#This Row],[Shortname]], Comp[], 18, FALSE)</f>
        <v>0.01</v>
      </c>
      <c r="T132">
        <f>VLOOKUP(Table55[[#This Row],[Shortname]], Comp[], 19, FALSE)</f>
        <v>0.08</v>
      </c>
      <c r="U132">
        <f>VLOOKUP(Table55[[#This Row],[Shortname]], Comp[], 20, FALSE)</f>
        <v>0</v>
      </c>
      <c r="V132">
        <f>VLOOKUP(Table55[[#This Row],[Shortname]], Comp[], 21, FALSE)</f>
        <v>0</v>
      </c>
      <c r="W132">
        <f>VLOOKUP(Table55[[#This Row],[Shortname]], Comp[], 22, FALSE)</f>
        <v>0.4</v>
      </c>
      <c r="X132">
        <f>VLOOKUP(Table55[[#This Row],[Shortname]], Comp[], 23, FALSE)</f>
        <v>0</v>
      </c>
      <c r="Y132">
        <f>VLOOKUP(Table55[[#This Row],[Shortname]], Comp[], 24, FALSE)</f>
        <v>0</v>
      </c>
      <c r="Z132">
        <f>VLOOKUP(Table55[[#This Row],[Shortname]], Comp[], 25, FALSE)</f>
        <v>0.1</v>
      </c>
      <c r="AA132">
        <f>VLOOKUP(Table55[[#This Row],[Shortname]], Comp[], 26, FALSE)</f>
        <v>0</v>
      </c>
      <c r="AB132">
        <f>VLOOKUP(Table55[[#This Row],[Shortname]], Comp[], 27, FALSE)</f>
        <v>0</v>
      </c>
      <c r="AC132">
        <f>VLOOKUP(Table55[[#This Row],[Shortname]], Comp[], 28, FALSE)</f>
        <v>0</v>
      </c>
      <c r="AD132">
        <f>VLOOKUP(Table55[[#This Row],[Shortname]], Comp[], 29, FALSE)</f>
        <v>0</v>
      </c>
      <c r="AE132">
        <f>VLOOKUP(Table55[[#This Row],[Shortname]], Comp[], 30, FALSE)</f>
        <v>0</v>
      </c>
      <c r="AF132">
        <f>VLOOKUP(Table55[[#This Row],[Shortname]], Comp[], 31, FALSE)</f>
        <v>0</v>
      </c>
    </row>
    <row r="133" spans="1:32" x14ac:dyDescent="0.3">
      <c r="A133" t="s">
        <v>1613</v>
      </c>
      <c r="B133" t="s">
        <v>1615</v>
      </c>
      <c r="C133" s="3" t="s">
        <v>1568</v>
      </c>
      <c r="D133">
        <v>1035</v>
      </c>
      <c r="E133">
        <v>1274</v>
      </c>
      <c r="F133">
        <v>1370</v>
      </c>
      <c r="G133">
        <f>VLOOKUP(Table55[[#This Row],[Shortname]], Comp[], 6, FALSE)</f>
        <v>205</v>
      </c>
      <c r="H133" s="14">
        <f>VLOOKUP(Table55[[#This Row],[Shortname]], Comp[], 7, FALSE)</f>
        <v>43.83</v>
      </c>
      <c r="I133">
        <f>VLOOKUP(Table55[[#This Row],[Shortname]], Comp[], 8, FALSE)</f>
        <v>29.69</v>
      </c>
      <c r="J133">
        <f>VLOOKUP(Table55[[#This Row],[Shortname]], Comp[], 9, FALSE)</f>
        <v>9.0500000000000007</v>
      </c>
      <c r="K133">
        <f>VLOOKUP(Table55[[#This Row],[Shortname]], Comp[], 10, FALSE)</f>
        <v>12.43</v>
      </c>
      <c r="L133">
        <f>VLOOKUP(Table55[[#This Row],[Shortname]], Comp[], 11, FALSE)</f>
        <v>1.26</v>
      </c>
      <c r="M133">
        <f>VLOOKUP(Table55[[#This Row],[Shortname]], Comp[],12, FALSE)</f>
        <v>0</v>
      </c>
      <c r="N133">
        <f>VLOOKUP(Table55[[#This Row],[Shortname]], Comp[], 13, FALSE)</f>
        <v>0</v>
      </c>
      <c r="O133">
        <f>VLOOKUP(Table55[[#This Row],[Shortname]], Comp[], 14, FALSE)</f>
        <v>3.74</v>
      </c>
      <c r="P133">
        <f>VLOOKUP(Table55[[#This Row],[Shortname]], Comp[], 15, FALSE)</f>
        <v>0</v>
      </c>
      <c r="Q133">
        <f>VLOOKUP(Table55[[#This Row],[Shortname]], Comp[], 16, FALSE)</f>
        <v>0</v>
      </c>
      <c r="R133">
        <f>VLOOKUP(Table55[[#This Row],[Shortname]], Comp[], 17, FALSE)</f>
        <v>0</v>
      </c>
      <c r="S133">
        <f>VLOOKUP(Table55[[#This Row],[Shortname]], Comp[], 18, FALSE)</f>
        <v>0</v>
      </c>
      <c r="T133">
        <f>VLOOKUP(Table55[[#This Row],[Shortname]], Comp[], 19, FALSE)</f>
        <v>0</v>
      </c>
      <c r="U133">
        <f>VLOOKUP(Table55[[#This Row],[Shortname]], Comp[], 20, FALSE)</f>
        <v>0</v>
      </c>
      <c r="V133">
        <f>VLOOKUP(Table55[[#This Row],[Shortname]], Comp[], 21, FALSE)</f>
        <v>0</v>
      </c>
      <c r="W133">
        <f>VLOOKUP(Table55[[#This Row],[Shortname]], Comp[], 22, FALSE)</f>
        <v>0</v>
      </c>
      <c r="X133">
        <f>VLOOKUP(Table55[[#This Row],[Shortname]], Comp[], 23, FALSE)</f>
        <v>0</v>
      </c>
      <c r="Y133">
        <f>VLOOKUP(Table55[[#This Row],[Shortname]], Comp[], 24, FALSE)</f>
        <v>0</v>
      </c>
      <c r="Z133">
        <f>VLOOKUP(Table55[[#This Row],[Shortname]], Comp[], 25, FALSE)</f>
        <v>0</v>
      </c>
      <c r="AA133">
        <f>VLOOKUP(Table55[[#This Row],[Shortname]], Comp[], 26, FALSE)</f>
        <v>0</v>
      </c>
      <c r="AB133">
        <f>VLOOKUP(Table55[[#This Row],[Shortname]], Comp[], 27, FALSE)</f>
        <v>0</v>
      </c>
      <c r="AC133">
        <f>VLOOKUP(Table55[[#This Row],[Shortname]], Comp[], 28, FALSE)</f>
        <v>0</v>
      </c>
      <c r="AD133">
        <f>VLOOKUP(Table55[[#This Row],[Shortname]], Comp[], 29, FALSE)</f>
        <v>0</v>
      </c>
      <c r="AE133">
        <f>VLOOKUP(Table55[[#This Row],[Shortname]], Comp[], 30, FALSE)</f>
        <v>0</v>
      </c>
      <c r="AF133">
        <f>VLOOKUP(Table55[[#This Row],[Shortname]], Comp[], 31, FALSE)</f>
        <v>0</v>
      </c>
    </row>
    <row r="134" spans="1:32" x14ac:dyDescent="0.3">
      <c r="A134" t="s">
        <v>1607</v>
      </c>
      <c r="B134" t="s">
        <v>1609</v>
      </c>
      <c r="C134" s="3" t="s">
        <v>1568</v>
      </c>
      <c r="D134">
        <v>1005</v>
      </c>
      <c r="E134">
        <v>1342</v>
      </c>
      <c r="F134">
        <v>1403</v>
      </c>
      <c r="G134">
        <f>VLOOKUP(Table55[[#This Row],[Shortname]], Comp[], 6, FALSE)</f>
        <v>204</v>
      </c>
      <c r="H134" s="14">
        <f>VLOOKUP(Table55[[#This Row],[Shortname]], Comp[], 7, FALSE)</f>
        <v>44.41</v>
      </c>
      <c r="I134">
        <f>VLOOKUP(Table55[[#This Row],[Shortname]], Comp[], 8, FALSE)</f>
        <v>29.89</v>
      </c>
      <c r="J134">
        <f>VLOOKUP(Table55[[#This Row],[Shortname]], Comp[], 9, FALSE)</f>
        <v>8.69</v>
      </c>
      <c r="K134">
        <f>VLOOKUP(Table55[[#This Row],[Shortname]], Comp[], 10, FALSE)</f>
        <v>12.11</v>
      </c>
      <c r="L134">
        <f>VLOOKUP(Table55[[#This Row],[Shortname]], Comp[], 11, FALSE)</f>
        <v>3.09</v>
      </c>
      <c r="M134">
        <f>VLOOKUP(Table55[[#This Row],[Shortname]], Comp[],12, FALSE)</f>
        <v>0</v>
      </c>
      <c r="N134">
        <f>VLOOKUP(Table55[[#This Row],[Shortname]], Comp[], 13, FALSE)</f>
        <v>0</v>
      </c>
      <c r="O134">
        <f>VLOOKUP(Table55[[#This Row],[Shortname]], Comp[], 14, FALSE)</f>
        <v>1.81</v>
      </c>
      <c r="P134">
        <f>VLOOKUP(Table55[[#This Row],[Shortname]], Comp[], 15, FALSE)</f>
        <v>0</v>
      </c>
      <c r="Q134">
        <f>VLOOKUP(Table55[[#This Row],[Shortname]], Comp[], 16, FALSE)</f>
        <v>0</v>
      </c>
      <c r="R134">
        <f>VLOOKUP(Table55[[#This Row],[Shortname]], Comp[], 17, FALSE)</f>
        <v>0</v>
      </c>
      <c r="S134">
        <f>VLOOKUP(Table55[[#This Row],[Shortname]], Comp[], 18, FALSE)</f>
        <v>0</v>
      </c>
      <c r="T134">
        <f>VLOOKUP(Table55[[#This Row],[Shortname]], Comp[], 19, FALSE)</f>
        <v>0</v>
      </c>
      <c r="U134">
        <f>VLOOKUP(Table55[[#This Row],[Shortname]], Comp[], 20, FALSE)</f>
        <v>0</v>
      </c>
      <c r="V134">
        <f>VLOOKUP(Table55[[#This Row],[Shortname]], Comp[], 21, FALSE)</f>
        <v>0</v>
      </c>
      <c r="W134">
        <f>VLOOKUP(Table55[[#This Row],[Shortname]], Comp[], 22, FALSE)</f>
        <v>0</v>
      </c>
      <c r="X134">
        <f>VLOOKUP(Table55[[#This Row],[Shortname]], Comp[], 23, FALSE)</f>
        <v>0</v>
      </c>
      <c r="Y134">
        <f>VLOOKUP(Table55[[#This Row],[Shortname]], Comp[], 24, FALSE)</f>
        <v>0</v>
      </c>
      <c r="Z134">
        <f>VLOOKUP(Table55[[#This Row],[Shortname]], Comp[], 25, FALSE)</f>
        <v>0</v>
      </c>
      <c r="AA134">
        <f>VLOOKUP(Table55[[#This Row],[Shortname]], Comp[], 26, FALSE)</f>
        <v>0</v>
      </c>
      <c r="AB134">
        <f>VLOOKUP(Table55[[#This Row],[Shortname]], Comp[], 27, FALSE)</f>
        <v>0</v>
      </c>
      <c r="AC134">
        <f>VLOOKUP(Table55[[#This Row],[Shortname]], Comp[], 28, FALSE)</f>
        <v>0</v>
      </c>
      <c r="AD134">
        <f>VLOOKUP(Table55[[#This Row],[Shortname]], Comp[], 29, FALSE)</f>
        <v>0</v>
      </c>
      <c r="AE134">
        <f>VLOOKUP(Table55[[#This Row],[Shortname]], Comp[], 30, FALSE)</f>
        <v>0</v>
      </c>
      <c r="AF134">
        <f>VLOOKUP(Table55[[#This Row],[Shortname]], Comp[], 31, FALSE)</f>
        <v>0</v>
      </c>
    </row>
    <row r="135" spans="1:32" x14ac:dyDescent="0.3">
      <c r="A135" t="s">
        <v>1599</v>
      </c>
      <c r="B135" t="s">
        <v>1601</v>
      </c>
      <c r="C135" s="3" t="s">
        <v>1568</v>
      </c>
      <c r="D135">
        <v>996</v>
      </c>
      <c r="E135">
        <v>1380</v>
      </c>
      <c r="F135">
        <v>1422</v>
      </c>
      <c r="G135">
        <f>VLOOKUP(Table55[[#This Row],[Shortname]], Comp[], 6, FALSE)</f>
        <v>203</v>
      </c>
      <c r="H135" s="14">
        <f>VLOOKUP(Table55[[#This Row],[Shortname]], Comp[], 7, FALSE)</f>
        <v>43.760000000000005</v>
      </c>
      <c r="I135">
        <f>VLOOKUP(Table55[[#This Row],[Shortname]], Comp[], 8, FALSE)</f>
        <v>29.91</v>
      </c>
      <c r="J135">
        <f>VLOOKUP(Table55[[#This Row],[Shortname]], Comp[], 9, FALSE)</f>
        <v>9.0299999999999994</v>
      </c>
      <c r="K135">
        <f>VLOOKUP(Table55[[#This Row],[Shortname]], Comp[], 10, FALSE)</f>
        <v>12.19</v>
      </c>
      <c r="L135">
        <f>VLOOKUP(Table55[[#This Row],[Shortname]], Comp[], 11, FALSE)</f>
        <v>4.07</v>
      </c>
      <c r="M135">
        <f>VLOOKUP(Table55[[#This Row],[Shortname]], Comp[],12, FALSE)</f>
        <v>0</v>
      </c>
      <c r="N135">
        <f>VLOOKUP(Table55[[#This Row],[Shortname]], Comp[], 13, FALSE)</f>
        <v>0</v>
      </c>
      <c r="O135">
        <f>VLOOKUP(Table55[[#This Row],[Shortname]], Comp[], 14, FALSE)</f>
        <v>1.04</v>
      </c>
      <c r="P135">
        <f>VLOOKUP(Table55[[#This Row],[Shortname]], Comp[], 15, FALSE)</f>
        <v>0</v>
      </c>
      <c r="Q135">
        <f>VLOOKUP(Table55[[#This Row],[Shortname]], Comp[], 16, FALSE)</f>
        <v>0</v>
      </c>
      <c r="R135">
        <f>VLOOKUP(Table55[[#This Row],[Shortname]], Comp[], 17, FALSE)</f>
        <v>0</v>
      </c>
      <c r="S135">
        <f>VLOOKUP(Table55[[#This Row],[Shortname]], Comp[], 18, FALSE)</f>
        <v>0</v>
      </c>
      <c r="T135">
        <f>VLOOKUP(Table55[[#This Row],[Shortname]], Comp[], 19, FALSE)</f>
        <v>0</v>
      </c>
      <c r="U135">
        <f>VLOOKUP(Table55[[#This Row],[Shortname]], Comp[], 20, FALSE)</f>
        <v>0</v>
      </c>
      <c r="V135">
        <f>VLOOKUP(Table55[[#This Row],[Shortname]], Comp[], 21, FALSE)</f>
        <v>0</v>
      </c>
      <c r="W135">
        <f>VLOOKUP(Table55[[#This Row],[Shortname]], Comp[], 22, FALSE)</f>
        <v>0</v>
      </c>
      <c r="X135">
        <f>VLOOKUP(Table55[[#This Row],[Shortname]], Comp[], 23, FALSE)</f>
        <v>0</v>
      </c>
      <c r="Y135">
        <f>VLOOKUP(Table55[[#This Row],[Shortname]], Comp[], 24, FALSE)</f>
        <v>0</v>
      </c>
      <c r="Z135">
        <f>VLOOKUP(Table55[[#This Row],[Shortname]], Comp[], 25, FALSE)</f>
        <v>0</v>
      </c>
      <c r="AA135">
        <f>VLOOKUP(Table55[[#This Row],[Shortname]], Comp[], 26, FALSE)</f>
        <v>0</v>
      </c>
      <c r="AB135">
        <f>VLOOKUP(Table55[[#This Row],[Shortname]], Comp[], 27, FALSE)</f>
        <v>0</v>
      </c>
      <c r="AC135">
        <f>VLOOKUP(Table55[[#This Row],[Shortname]], Comp[], 28, FALSE)</f>
        <v>0</v>
      </c>
      <c r="AD135">
        <f>VLOOKUP(Table55[[#This Row],[Shortname]], Comp[], 29, FALSE)</f>
        <v>0</v>
      </c>
      <c r="AE135">
        <f>VLOOKUP(Table55[[#This Row],[Shortname]], Comp[], 30, FALSE)</f>
        <v>0</v>
      </c>
      <c r="AF135">
        <f>VLOOKUP(Table55[[#This Row],[Shortname]], Comp[], 31, FALSE)</f>
        <v>0</v>
      </c>
    </row>
    <row r="136" spans="1:32" x14ac:dyDescent="0.3">
      <c r="A136" t="s">
        <v>1565</v>
      </c>
      <c r="B136" t="s">
        <v>1567</v>
      </c>
      <c r="C136" s="3" t="s">
        <v>1568</v>
      </c>
      <c r="D136">
        <v>973</v>
      </c>
      <c r="E136">
        <v>1415</v>
      </c>
      <c r="F136">
        <v>1440</v>
      </c>
      <c r="G136">
        <f>VLOOKUP(Table55[[#This Row],[Shortname]], Comp[], 6, FALSE)</f>
        <v>199</v>
      </c>
      <c r="H136" s="14">
        <f>VLOOKUP(Table55[[#This Row],[Shortname]], Comp[], 7, FALSE)</f>
        <v>44.04</v>
      </c>
      <c r="I136">
        <f>VLOOKUP(Table55[[#This Row],[Shortname]], Comp[], 8, FALSE)</f>
        <v>29.71</v>
      </c>
      <c r="J136">
        <f>VLOOKUP(Table55[[#This Row],[Shortname]], Comp[], 9, FALSE)</f>
        <v>8.86</v>
      </c>
      <c r="K136">
        <f>VLOOKUP(Table55[[#This Row],[Shortname]], Comp[], 10, FALSE)</f>
        <v>12.32</v>
      </c>
      <c r="L136">
        <f>VLOOKUP(Table55[[#This Row],[Shortname]], Comp[], 11, FALSE)</f>
        <v>5.07</v>
      </c>
      <c r="M136">
        <f>VLOOKUP(Table55[[#This Row],[Shortname]], Comp[],12, FALSE)</f>
        <v>0</v>
      </c>
      <c r="N136">
        <f>VLOOKUP(Table55[[#This Row],[Shortname]], Comp[], 13, FALSE)</f>
        <v>0</v>
      </c>
      <c r="O136">
        <f>VLOOKUP(Table55[[#This Row],[Shortname]], Comp[], 14, FALSE)</f>
        <v>0</v>
      </c>
      <c r="P136">
        <f>VLOOKUP(Table55[[#This Row],[Shortname]], Comp[], 15, FALSE)</f>
        <v>0</v>
      </c>
      <c r="Q136">
        <f>VLOOKUP(Table55[[#This Row],[Shortname]], Comp[], 16, FALSE)</f>
        <v>0</v>
      </c>
      <c r="R136">
        <f>VLOOKUP(Table55[[#This Row],[Shortname]], Comp[], 17, FALSE)</f>
        <v>0</v>
      </c>
      <c r="S136">
        <f>VLOOKUP(Table55[[#This Row],[Shortname]], Comp[], 18, FALSE)</f>
        <v>0</v>
      </c>
      <c r="T136">
        <f>VLOOKUP(Table55[[#This Row],[Shortname]], Comp[], 19, FALSE)</f>
        <v>0</v>
      </c>
      <c r="U136">
        <f>VLOOKUP(Table55[[#This Row],[Shortname]], Comp[], 20, FALSE)</f>
        <v>0</v>
      </c>
      <c r="V136">
        <f>VLOOKUP(Table55[[#This Row],[Shortname]], Comp[], 21, FALSE)</f>
        <v>0</v>
      </c>
      <c r="W136">
        <f>VLOOKUP(Table55[[#This Row],[Shortname]], Comp[], 22, FALSE)</f>
        <v>0</v>
      </c>
      <c r="X136">
        <f>VLOOKUP(Table55[[#This Row],[Shortname]], Comp[], 23, FALSE)</f>
        <v>0</v>
      </c>
      <c r="Y136">
        <f>VLOOKUP(Table55[[#This Row],[Shortname]], Comp[], 24, FALSE)</f>
        <v>0</v>
      </c>
      <c r="Z136">
        <f>VLOOKUP(Table55[[#This Row],[Shortname]], Comp[], 25, FALSE)</f>
        <v>0</v>
      </c>
      <c r="AA136">
        <f>VLOOKUP(Table55[[#This Row],[Shortname]], Comp[], 26, FALSE)</f>
        <v>0</v>
      </c>
      <c r="AB136">
        <f>VLOOKUP(Table55[[#This Row],[Shortname]], Comp[], 27, FALSE)</f>
        <v>0</v>
      </c>
      <c r="AC136">
        <f>VLOOKUP(Table55[[#This Row],[Shortname]], Comp[], 28, FALSE)</f>
        <v>0</v>
      </c>
      <c r="AD136">
        <f>VLOOKUP(Table55[[#This Row],[Shortname]], Comp[], 29, FALSE)</f>
        <v>0</v>
      </c>
      <c r="AE136">
        <f>VLOOKUP(Table55[[#This Row],[Shortname]], Comp[], 30, FALSE)</f>
        <v>0</v>
      </c>
      <c r="AF136">
        <f>VLOOKUP(Table55[[#This Row],[Shortname]], Comp[], 31, FALSE)</f>
        <v>0</v>
      </c>
    </row>
    <row r="137" spans="1:32" x14ac:dyDescent="0.3">
      <c r="A137" t="s">
        <v>1574</v>
      </c>
      <c r="B137" t="s">
        <v>1576</v>
      </c>
      <c r="C137" s="3" t="s">
        <v>1568</v>
      </c>
      <c r="D137">
        <v>964</v>
      </c>
      <c r="E137">
        <v>1409</v>
      </c>
      <c r="F137">
        <v>1433</v>
      </c>
      <c r="G137">
        <f>VLOOKUP(Table55[[#This Row],[Shortname]], Comp[], 6, FALSE)</f>
        <v>200</v>
      </c>
      <c r="H137" s="14">
        <f>VLOOKUP(Table55[[#This Row],[Shortname]], Comp[], 7, FALSE)</f>
        <v>44.07</v>
      </c>
      <c r="I137">
        <f>VLOOKUP(Table55[[#This Row],[Shortname]], Comp[], 8, FALSE)</f>
        <v>29.49</v>
      </c>
      <c r="J137">
        <f>VLOOKUP(Table55[[#This Row],[Shortname]], Comp[], 9, FALSE)</f>
        <v>8.9</v>
      </c>
      <c r="K137">
        <f>VLOOKUP(Table55[[#This Row],[Shortname]], Comp[], 10, FALSE)</f>
        <v>12.58</v>
      </c>
      <c r="L137">
        <f>VLOOKUP(Table55[[#This Row],[Shortname]], Comp[], 11, FALSE)</f>
        <v>3.92</v>
      </c>
      <c r="M137">
        <f>VLOOKUP(Table55[[#This Row],[Shortname]], Comp[],12, FALSE)</f>
        <v>0</v>
      </c>
      <c r="N137">
        <f>VLOOKUP(Table55[[#This Row],[Shortname]], Comp[], 13, FALSE)</f>
        <v>0</v>
      </c>
      <c r="O137">
        <f>VLOOKUP(Table55[[#This Row],[Shortname]], Comp[], 14, FALSE)</f>
        <v>0</v>
      </c>
      <c r="P137">
        <f>VLOOKUP(Table55[[#This Row],[Shortname]], Comp[], 15, FALSE)</f>
        <v>0</v>
      </c>
      <c r="Q137">
        <f>VLOOKUP(Table55[[#This Row],[Shortname]], Comp[], 16, FALSE)</f>
        <v>1.04</v>
      </c>
      <c r="R137">
        <f>VLOOKUP(Table55[[#This Row],[Shortname]], Comp[], 17, FALSE)</f>
        <v>0</v>
      </c>
      <c r="S137">
        <f>VLOOKUP(Table55[[#This Row],[Shortname]], Comp[], 18, FALSE)</f>
        <v>0</v>
      </c>
      <c r="T137">
        <f>VLOOKUP(Table55[[#This Row],[Shortname]], Comp[], 19, FALSE)</f>
        <v>0</v>
      </c>
      <c r="U137">
        <f>VLOOKUP(Table55[[#This Row],[Shortname]], Comp[], 20, FALSE)</f>
        <v>0</v>
      </c>
      <c r="V137">
        <f>VLOOKUP(Table55[[#This Row],[Shortname]], Comp[], 21, FALSE)</f>
        <v>0</v>
      </c>
      <c r="W137">
        <f>VLOOKUP(Table55[[#This Row],[Shortname]], Comp[], 22, FALSE)</f>
        <v>0</v>
      </c>
      <c r="X137">
        <f>VLOOKUP(Table55[[#This Row],[Shortname]], Comp[], 23, FALSE)</f>
        <v>0</v>
      </c>
      <c r="Y137">
        <f>VLOOKUP(Table55[[#This Row],[Shortname]], Comp[], 24, FALSE)</f>
        <v>0</v>
      </c>
      <c r="Z137">
        <f>VLOOKUP(Table55[[#This Row],[Shortname]], Comp[], 25, FALSE)</f>
        <v>0</v>
      </c>
      <c r="AA137">
        <f>VLOOKUP(Table55[[#This Row],[Shortname]], Comp[], 26, FALSE)</f>
        <v>0</v>
      </c>
      <c r="AB137">
        <f>VLOOKUP(Table55[[#This Row],[Shortname]], Comp[], 27, FALSE)</f>
        <v>0</v>
      </c>
      <c r="AC137">
        <f>VLOOKUP(Table55[[#This Row],[Shortname]], Comp[], 28, FALSE)</f>
        <v>0</v>
      </c>
      <c r="AD137">
        <f>VLOOKUP(Table55[[#This Row],[Shortname]], Comp[], 29, FALSE)</f>
        <v>0</v>
      </c>
      <c r="AE137">
        <f>VLOOKUP(Table55[[#This Row],[Shortname]], Comp[], 30, FALSE)</f>
        <v>0</v>
      </c>
      <c r="AF137">
        <f>VLOOKUP(Table55[[#This Row],[Shortname]], Comp[], 31, FALSE)</f>
        <v>0</v>
      </c>
    </row>
    <row r="138" spans="1:32" x14ac:dyDescent="0.3">
      <c r="A138" t="s">
        <v>1580</v>
      </c>
      <c r="B138" t="s">
        <v>1582</v>
      </c>
      <c r="C138" s="3" t="s">
        <v>1568</v>
      </c>
      <c r="D138">
        <v>949</v>
      </c>
      <c r="E138">
        <v>1410</v>
      </c>
      <c r="F138">
        <v>1433</v>
      </c>
      <c r="G138">
        <f>VLOOKUP(Table55[[#This Row],[Shortname]], Comp[], 6, FALSE)</f>
        <v>201</v>
      </c>
      <c r="H138" s="14">
        <f>VLOOKUP(Table55[[#This Row],[Shortname]], Comp[], 7, FALSE)</f>
        <v>44.220000000000006</v>
      </c>
      <c r="I138">
        <f>VLOOKUP(Table55[[#This Row],[Shortname]], Comp[], 8, FALSE)</f>
        <v>29.89</v>
      </c>
      <c r="J138">
        <f>VLOOKUP(Table55[[#This Row],[Shortname]], Comp[], 9, FALSE)</f>
        <v>8.91</v>
      </c>
      <c r="K138">
        <f>VLOOKUP(Table55[[#This Row],[Shortname]], Comp[], 10, FALSE)</f>
        <v>12.1</v>
      </c>
      <c r="L138">
        <f>VLOOKUP(Table55[[#This Row],[Shortname]], Comp[], 11, FALSE)</f>
        <v>3.09</v>
      </c>
      <c r="M138">
        <f>VLOOKUP(Table55[[#This Row],[Shortname]], Comp[],12, FALSE)</f>
        <v>0</v>
      </c>
      <c r="N138">
        <f>VLOOKUP(Table55[[#This Row],[Shortname]], Comp[], 13, FALSE)</f>
        <v>0</v>
      </c>
      <c r="O138">
        <f>VLOOKUP(Table55[[#This Row],[Shortname]], Comp[], 14, FALSE)</f>
        <v>0</v>
      </c>
      <c r="P138">
        <f>VLOOKUP(Table55[[#This Row],[Shortname]], Comp[], 15, FALSE)</f>
        <v>0</v>
      </c>
      <c r="Q138">
        <f>VLOOKUP(Table55[[#This Row],[Shortname]], Comp[], 16, FALSE)</f>
        <v>1.79</v>
      </c>
      <c r="R138">
        <f>VLOOKUP(Table55[[#This Row],[Shortname]], Comp[], 17, FALSE)</f>
        <v>0</v>
      </c>
      <c r="S138">
        <f>VLOOKUP(Table55[[#This Row],[Shortname]], Comp[], 18, FALSE)</f>
        <v>0</v>
      </c>
      <c r="T138">
        <f>VLOOKUP(Table55[[#This Row],[Shortname]], Comp[], 19, FALSE)</f>
        <v>0</v>
      </c>
      <c r="U138">
        <f>VLOOKUP(Table55[[#This Row],[Shortname]], Comp[], 20, FALSE)</f>
        <v>0</v>
      </c>
      <c r="V138">
        <f>VLOOKUP(Table55[[#This Row],[Shortname]], Comp[], 21, FALSE)</f>
        <v>0</v>
      </c>
      <c r="W138">
        <f>VLOOKUP(Table55[[#This Row],[Shortname]], Comp[], 22, FALSE)</f>
        <v>0</v>
      </c>
      <c r="X138">
        <f>VLOOKUP(Table55[[#This Row],[Shortname]], Comp[], 23, FALSE)</f>
        <v>0</v>
      </c>
      <c r="Y138">
        <f>VLOOKUP(Table55[[#This Row],[Shortname]], Comp[], 24, FALSE)</f>
        <v>0</v>
      </c>
      <c r="Z138">
        <f>VLOOKUP(Table55[[#This Row],[Shortname]], Comp[], 25, FALSE)</f>
        <v>0</v>
      </c>
      <c r="AA138">
        <f>VLOOKUP(Table55[[#This Row],[Shortname]], Comp[], 26, FALSE)</f>
        <v>0</v>
      </c>
      <c r="AB138">
        <f>VLOOKUP(Table55[[#This Row],[Shortname]], Comp[], 27, FALSE)</f>
        <v>0</v>
      </c>
      <c r="AC138">
        <f>VLOOKUP(Table55[[#This Row],[Shortname]], Comp[], 28, FALSE)</f>
        <v>0</v>
      </c>
      <c r="AD138">
        <f>VLOOKUP(Table55[[#This Row],[Shortname]], Comp[], 29, FALSE)</f>
        <v>0</v>
      </c>
      <c r="AE138">
        <f>VLOOKUP(Table55[[#This Row],[Shortname]], Comp[], 30, FALSE)</f>
        <v>0</v>
      </c>
      <c r="AF138">
        <f>VLOOKUP(Table55[[#This Row],[Shortname]], Comp[], 31, FALSE)</f>
        <v>0</v>
      </c>
    </row>
    <row r="139" spans="1:32" x14ac:dyDescent="0.3">
      <c r="A139" t="s">
        <v>1620</v>
      </c>
      <c r="B139" t="s">
        <v>1622</v>
      </c>
      <c r="C139" s="3" t="s">
        <v>1623</v>
      </c>
      <c r="D139">
        <v>778</v>
      </c>
      <c r="E139">
        <v>1365</v>
      </c>
      <c r="F139">
        <v>1425</v>
      </c>
      <c r="G139">
        <f>VLOOKUP(Table55[[#This Row],[Shortname]], Comp[], 6, FALSE)</f>
        <v>206</v>
      </c>
      <c r="H139" s="14">
        <f>VLOOKUP(Table55[[#This Row],[Shortname]], Comp[], 7, FALSE)</f>
        <v>60</v>
      </c>
      <c r="I139">
        <f>VLOOKUP(Table55[[#This Row],[Shortname]], Comp[], 8, FALSE)</f>
        <v>30</v>
      </c>
      <c r="J139">
        <f>VLOOKUP(Table55[[#This Row],[Shortname]], Comp[], 9, FALSE)</f>
        <v>6.7</v>
      </c>
      <c r="K139">
        <f>VLOOKUP(Table55[[#This Row],[Shortname]], Comp[], 10, FALSE)</f>
        <v>0</v>
      </c>
      <c r="L139">
        <f>VLOOKUP(Table55[[#This Row],[Shortname]], Comp[], 11, FALSE)</f>
        <v>0</v>
      </c>
      <c r="M139">
        <f>VLOOKUP(Table55[[#This Row],[Shortname]], Comp[],12, FALSE)</f>
        <v>3.3</v>
      </c>
      <c r="N139">
        <f>VLOOKUP(Table55[[#This Row],[Shortname]], Comp[], 13, FALSE)</f>
        <v>0</v>
      </c>
      <c r="O139">
        <f>VLOOKUP(Table55[[#This Row],[Shortname]], Comp[], 14, FALSE)</f>
        <v>0</v>
      </c>
      <c r="P139">
        <f>VLOOKUP(Table55[[#This Row],[Shortname]], Comp[], 15, FALSE)</f>
        <v>0</v>
      </c>
      <c r="Q139">
        <f>VLOOKUP(Table55[[#This Row],[Shortname]], Comp[], 16, FALSE)</f>
        <v>0</v>
      </c>
      <c r="R139">
        <f>VLOOKUP(Table55[[#This Row],[Shortname]], Comp[], 17, FALSE)</f>
        <v>0</v>
      </c>
      <c r="S139">
        <f>VLOOKUP(Table55[[#This Row],[Shortname]], Comp[], 18, FALSE)</f>
        <v>0</v>
      </c>
      <c r="T139">
        <f>VLOOKUP(Table55[[#This Row],[Shortname]], Comp[], 19, FALSE)</f>
        <v>0</v>
      </c>
      <c r="U139">
        <f>VLOOKUP(Table55[[#This Row],[Shortname]], Comp[], 20, FALSE)</f>
        <v>0</v>
      </c>
      <c r="V139">
        <f>VLOOKUP(Table55[[#This Row],[Shortname]], Comp[], 21, FALSE)</f>
        <v>0</v>
      </c>
      <c r="W139">
        <f>VLOOKUP(Table55[[#This Row],[Shortname]], Comp[], 22, FALSE)</f>
        <v>0</v>
      </c>
      <c r="X139">
        <f>VLOOKUP(Table55[[#This Row],[Shortname]], Comp[], 23, FALSE)</f>
        <v>0</v>
      </c>
      <c r="Y139">
        <f>VLOOKUP(Table55[[#This Row],[Shortname]], Comp[], 24, FALSE)</f>
        <v>0</v>
      </c>
      <c r="Z139">
        <f>VLOOKUP(Table55[[#This Row],[Shortname]], Comp[], 25, FALSE)</f>
        <v>0</v>
      </c>
      <c r="AA139">
        <f>VLOOKUP(Table55[[#This Row],[Shortname]], Comp[], 26, FALSE)</f>
        <v>0</v>
      </c>
      <c r="AB139">
        <f>VLOOKUP(Table55[[#This Row],[Shortname]], Comp[], 27, FALSE)</f>
        <v>0</v>
      </c>
      <c r="AC139">
        <f>VLOOKUP(Table55[[#This Row],[Shortname]], Comp[], 28, FALSE)</f>
        <v>0</v>
      </c>
      <c r="AD139">
        <f>VLOOKUP(Table55[[#This Row],[Shortname]], Comp[], 29, FALSE)</f>
        <v>0</v>
      </c>
      <c r="AE139">
        <f>VLOOKUP(Table55[[#This Row],[Shortname]], Comp[], 30, FALSE)</f>
        <v>0</v>
      </c>
      <c r="AF139">
        <f>VLOOKUP(Table55[[#This Row],[Shortname]], Comp[], 31, FALSE)</f>
        <v>0</v>
      </c>
    </row>
    <row r="140" spans="1:32" x14ac:dyDescent="0.3">
      <c r="A140" t="s">
        <v>1629</v>
      </c>
      <c r="B140" t="s">
        <v>1631</v>
      </c>
      <c r="C140" s="3" t="s">
        <v>1623</v>
      </c>
      <c r="D140">
        <v>775</v>
      </c>
      <c r="E140">
        <v>1399</v>
      </c>
      <c r="F140">
        <v>1443</v>
      </c>
      <c r="G140">
        <f>VLOOKUP(Table55[[#This Row],[Shortname]], Comp[], 6, FALSE)</f>
        <v>207</v>
      </c>
      <c r="H140" s="14">
        <f>VLOOKUP(Table55[[#This Row],[Shortname]], Comp[], 7, FALSE)</f>
        <v>60</v>
      </c>
      <c r="I140">
        <f>VLOOKUP(Table55[[#This Row],[Shortname]], Comp[], 8, FALSE)</f>
        <v>30</v>
      </c>
      <c r="J140">
        <f>VLOOKUP(Table55[[#This Row],[Shortname]], Comp[], 9, FALSE)</f>
        <v>7.5</v>
      </c>
      <c r="K140">
        <f>VLOOKUP(Table55[[#This Row],[Shortname]], Comp[], 10, FALSE)</f>
        <v>0</v>
      </c>
      <c r="L140">
        <f>VLOOKUP(Table55[[#This Row],[Shortname]], Comp[], 11, FALSE)</f>
        <v>0</v>
      </c>
      <c r="M140">
        <f>VLOOKUP(Table55[[#This Row],[Shortname]], Comp[],12, FALSE)</f>
        <v>2.5</v>
      </c>
      <c r="N140">
        <f>VLOOKUP(Table55[[#This Row],[Shortname]], Comp[], 13, FALSE)</f>
        <v>0</v>
      </c>
      <c r="O140">
        <f>VLOOKUP(Table55[[#This Row],[Shortname]], Comp[], 14, FALSE)</f>
        <v>0</v>
      </c>
      <c r="P140">
        <f>VLOOKUP(Table55[[#This Row],[Shortname]], Comp[], 15, FALSE)</f>
        <v>0</v>
      </c>
      <c r="Q140">
        <f>VLOOKUP(Table55[[#This Row],[Shortname]], Comp[], 16, FALSE)</f>
        <v>0</v>
      </c>
      <c r="R140">
        <f>VLOOKUP(Table55[[#This Row],[Shortname]], Comp[], 17, FALSE)</f>
        <v>0</v>
      </c>
      <c r="S140">
        <f>VLOOKUP(Table55[[#This Row],[Shortname]], Comp[], 18, FALSE)</f>
        <v>0</v>
      </c>
      <c r="T140">
        <f>VLOOKUP(Table55[[#This Row],[Shortname]], Comp[], 19, FALSE)</f>
        <v>0</v>
      </c>
      <c r="U140">
        <f>VLOOKUP(Table55[[#This Row],[Shortname]], Comp[], 20, FALSE)</f>
        <v>0</v>
      </c>
      <c r="V140">
        <f>VLOOKUP(Table55[[#This Row],[Shortname]], Comp[], 21, FALSE)</f>
        <v>0</v>
      </c>
      <c r="W140">
        <f>VLOOKUP(Table55[[#This Row],[Shortname]], Comp[], 22, FALSE)</f>
        <v>0</v>
      </c>
      <c r="X140">
        <f>VLOOKUP(Table55[[#This Row],[Shortname]], Comp[], 23, FALSE)</f>
        <v>0</v>
      </c>
      <c r="Y140">
        <f>VLOOKUP(Table55[[#This Row],[Shortname]], Comp[], 24, FALSE)</f>
        <v>0</v>
      </c>
      <c r="Z140">
        <f>VLOOKUP(Table55[[#This Row],[Shortname]], Comp[], 25, FALSE)</f>
        <v>0</v>
      </c>
      <c r="AA140">
        <f>VLOOKUP(Table55[[#This Row],[Shortname]], Comp[], 26, FALSE)</f>
        <v>0</v>
      </c>
      <c r="AB140">
        <f>VLOOKUP(Table55[[#This Row],[Shortname]], Comp[], 27, FALSE)</f>
        <v>0</v>
      </c>
      <c r="AC140">
        <f>VLOOKUP(Table55[[#This Row],[Shortname]], Comp[], 28, FALSE)</f>
        <v>0</v>
      </c>
      <c r="AD140">
        <f>VLOOKUP(Table55[[#This Row],[Shortname]], Comp[], 29, FALSE)</f>
        <v>0</v>
      </c>
      <c r="AE140">
        <f>VLOOKUP(Table55[[#This Row],[Shortname]], Comp[], 30, FALSE)</f>
        <v>0</v>
      </c>
      <c r="AF140">
        <f>VLOOKUP(Table55[[#This Row],[Shortname]], Comp[], 31, FALSE)</f>
        <v>0</v>
      </c>
    </row>
    <row r="141" spans="1:32" x14ac:dyDescent="0.3">
      <c r="A141" t="s">
        <v>1646</v>
      </c>
      <c r="B141" t="s">
        <v>1648</v>
      </c>
      <c r="C141" s="3" t="s">
        <v>1623</v>
      </c>
      <c r="D141">
        <v>766</v>
      </c>
      <c r="E141">
        <v>1397</v>
      </c>
      <c r="F141">
        <v>1442</v>
      </c>
      <c r="G141">
        <f>VLOOKUP(Table55[[#This Row],[Shortname]], Comp[], 6, FALSE)</f>
        <v>210</v>
      </c>
      <c r="H141" s="14">
        <f>VLOOKUP(Table55[[#This Row],[Shortname]], Comp[], 7, FALSE)</f>
        <v>60</v>
      </c>
      <c r="I141">
        <f>VLOOKUP(Table55[[#This Row],[Shortname]], Comp[], 8, FALSE)</f>
        <v>30</v>
      </c>
      <c r="J141">
        <f>VLOOKUP(Table55[[#This Row],[Shortname]], Comp[], 9, FALSE)</f>
        <v>8.3000000000000007</v>
      </c>
      <c r="K141">
        <f>VLOOKUP(Table55[[#This Row],[Shortname]], Comp[], 10, FALSE)</f>
        <v>0</v>
      </c>
      <c r="L141">
        <f>VLOOKUP(Table55[[#This Row],[Shortname]], Comp[], 11, FALSE)</f>
        <v>0</v>
      </c>
      <c r="M141">
        <f>VLOOKUP(Table55[[#This Row],[Shortname]], Comp[],12, FALSE)</f>
        <v>1.7</v>
      </c>
      <c r="N141">
        <f>VLOOKUP(Table55[[#This Row],[Shortname]], Comp[], 13, FALSE)</f>
        <v>0</v>
      </c>
      <c r="O141">
        <f>VLOOKUP(Table55[[#This Row],[Shortname]], Comp[], 14, FALSE)</f>
        <v>0</v>
      </c>
      <c r="P141">
        <f>VLOOKUP(Table55[[#This Row],[Shortname]], Comp[], 15, FALSE)</f>
        <v>0</v>
      </c>
      <c r="Q141">
        <f>VLOOKUP(Table55[[#This Row],[Shortname]], Comp[], 16, FALSE)</f>
        <v>0</v>
      </c>
      <c r="R141">
        <f>VLOOKUP(Table55[[#This Row],[Shortname]], Comp[], 17, FALSE)</f>
        <v>0</v>
      </c>
      <c r="S141">
        <f>VLOOKUP(Table55[[#This Row],[Shortname]], Comp[], 18, FALSE)</f>
        <v>0</v>
      </c>
      <c r="T141">
        <f>VLOOKUP(Table55[[#This Row],[Shortname]], Comp[], 19, FALSE)</f>
        <v>0</v>
      </c>
      <c r="U141">
        <f>VLOOKUP(Table55[[#This Row],[Shortname]], Comp[], 20, FALSE)</f>
        <v>0</v>
      </c>
      <c r="V141">
        <f>VLOOKUP(Table55[[#This Row],[Shortname]], Comp[], 21, FALSE)</f>
        <v>0</v>
      </c>
      <c r="W141">
        <f>VLOOKUP(Table55[[#This Row],[Shortname]], Comp[], 22, FALSE)</f>
        <v>0</v>
      </c>
      <c r="X141">
        <f>VLOOKUP(Table55[[#This Row],[Shortname]], Comp[], 23, FALSE)</f>
        <v>0</v>
      </c>
      <c r="Y141">
        <f>VLOOKUP(Table55[[#This Row],[Shortname]], Comp[], 24, FALSE)</f>
        <v>0</v>
      </c>
      <c r="Z141">
        <f>VLOOKUP(Table55[[#This Row],[Shortname]], Comp[], 25, FALSE)</f>
        <v>0</v>
      </c>
      <c r="AA141">
        <f>VLOOKUP(Table55[[#This Row],[Shortname]], Comp[], 26, FALSE)</f>
        <v>0</v>
      </c>
      <c r="AB141">
        <f>VLOOKUP(Table55[[#This Row],[Shortname]], Comp[], 27, FALSE)</f>
        <v>0</v>
      </c>
      <c r="AC141">
        <f>VLOOKUP(Table55[[#This Row],[Shortname]], Comp[], 28, FALSE)</f>
        <v>0</v>
      </c>
      <c r="AD141">
        <f>VLOOKUP(Table55[[#This Row],[Shortname]], Comp[], 29, FALSE)</f>
        <v>0</v>
      </c>
      <c r="AE141">
        <f>VLOOKUP(Table55[[#This Row],[Shortname]], Comp[], 30, FALSE)</f>
        <v>0</v>
      </c>
      <c r="AF141">
        <f>VLOOKUP(Table55[[#This Row],[Shortname]], Comp[], 31, FALSE)</f>
        <v>0</v>
      </c>
    </row>
    <row r="142" spans="1:32" x14ac:dyDescent="0.3">
      <c r="A142" t="s">
        <v>1641</v>
      </c>
      <c r="B142" t="s">
        <v>1484</v>
      </c>
      <c r="C142" s="3" t="s">
        <v>1623</v>
      </c>
      <c r="D142">
        <v>732</v>
      </c>
      <c r="E142">
        <v>1419</v>
      </c>
      <c r="F142">
        <v>1454</v>
      </c>
      <c r="G142">
        <f>VLOOKUP(Table55[[#This Row],[Shortname]], Comp[], 6, FALSE)</f>
        <v>209</v>
      </c>
      <c r="H142" s="14">
        <f>VLOOKUP(Table55[[#This Row],[Shortname]], Comp[], 7, FALSE)</f>
        <v>58</v>
      </c>
      <c r="I142">
        <f>VLOOKUP(Table55[[#This Row],[Shortname]], Comp[], 8, FALSE)</f>
        <v>30</v>
      </c>
      <c r="J142">
        <f>VLOOKUP(Table55[[#This Row],[Shortname]], Comp[], 9, FALSE)</f>
        <v>7.5</v>
      </c>
      <c r="K142">
        <f>VLOOKUP(Table55[[#This Row],[Shortname]], Comp[], 10, FALSE)</f>
        <v>0</v>
      </c>
      <c r="L142">
        <f>VLOOKUP(Table55[[#This Row],[Shortname]], Comp[], 11, FALSE)</f>
        <v>0</v>
      </c>
      <c r="M142">
        <f>VLOOKUP(Table55[[#This Row],[Shortname]], Comp[],12, FALSE)</f>
        <v>2.5</v>
      </c>
      <c r="N142">
        <f>VLOOKUP(Table55[[#This Row],[Shortname]], Comp[], 13, FALSE)</f>
        <v>0</v>
      </c>
      <c r="O142">
        <f>VLOOKUP(Table55[[#This Row],[Shortname]], Comp[], 14, FALSE)</f>
        <v>0</v>
      </c>
      <c r="P142">
        <f>VLOOKUP(Table55[[#This Row],[Shortname]], Comp[], 15, FALSE)</f>
        <v>0</v>
      </c>
      <c r="Q142">
        <f>VLOOKUP(Table55[[#This Row],[Shortname]], Comp[], 16, FALSE)</f>
        <v>2</v>
      </c>
      <c r="R142">
        <f>VLOOKUP(Table55[[#This Row],[Shortname]], Comp[], 17, FALSE)</f>
        <v>0</v>
      </c>
      <c r="S142">
        <f>VLOOKUP(Table55[[#This Row],[Shortname]], Comp[], 18, FALSE)</f>
        <v>0</v>
      </c>
      <c r="T142">
        <f>VLOOKUP(Table55[[#This Row],[Shortname]], Comp[], 19, FALSE)</f>
        <v>0</v>
      </c>
      <c r="U142">
        <f>VLOOKUP(Table55[[#This Row],[Shortname]], Comp[], 20, FALSE)</f>
        <v>0</v>
      </c>
      <c r="V142">
        <f>VLOOKUP(Table55[[#This Row],[Shortname]], Comp[], 21, FALSE)</f>
        <v>0</v>
      </c>
      <c r="W142">
        <f>VLOOKUP(Table55[[#This Row],[Shortname]], Comp[], 22, FALSE)</f>
        <v>0</v>
      </c>
      <c r="X142">
        <f>VLOOKUP(Table55[[#This Row],[Shortname]], Comp[], 23, FALSE)</f>
        <v>0</v>
      </c>
      <c r="Y142">
        <f>VLOOKUP(Table55[[#This Row],[Shortname]], Comp[], 24, FALSE)</f>
        <v>0</v>
      </c>
      <c r="Z142">
        <f>VLOOKUP(Table55[[#This Row],[Shortname]], Comp[], 25, FALSE)</f>
        <v>0</v>
      </c>
      <c r="AA142">
        <f>VLOOKUP(Table55[[#This Row],[Shortname]], Comp[], 26, FALSE)</f>
        <v>0</v>
      </c>
      <c r="AB142">
        <f>VLOOKUP(Table55[[#This Row],[Shortname]], Comp[], 27, FALSE)</f>
        <v>0</v>
      </c>
      <c r="AC142">
        <f>VLOOKUP(Table55[[#This Row],[Shortname]], Comp[], 28, FALSE)</f>
        <v>0</v>
      </c>
      <c r="AD142">
        <f>VLOOKUP(Table55[[#This Row],[Shortname]], Comp[], 29, FALSE)</f>
        <v>0</v>
      </c>
      <c r="AE142">
        <f>VLOOKUP(Table55[[#This Row],[Shortname]], Comp[], 30, FALSE)</f>
        <v>0</v>
      </c>
      <c r="AF142">
        <f>VLOOKUP(Table55[[#This Row],[Shortname]], Comp[], 31, FALSE)</f>
        <v>0</v>
      </c>
    </row>
    <row r="143" spans="1:32" x14ac:dyDescent="0.3">
      <c r="A143" t="s">
        <v>1635</v>
      </c>
      <c r="B143" t="s">
        <v>1637</v>
      </c>
      <c r="C143" s="3" t="s">
        <v>1623</v>
      </c>
      <c r="D143">
        <v>730</v>
      </c>
      <c r="E143">
        <v>1400</v>
      </c>
      <c r="F143">
        <v>1445</v>
      </c>
      <c r="G143">
        <f>VLOOKUP(Table55[[#This Row],[Shortname]], Comp[], 6, FALSE)</f>
        <v>208</v>
      </c>
      <c r="H143" s="14">
        <f>VLOOKUP(Table55[[#This Row],[Shortname]], Comp[], 7, FALSE)</f>
        <v>58</v>
      </c>
      <c r="I143">
        <f>VLOOKUP(Table55[[#This Row],[Shortname]], Comp[], 8, FALSE)</f>
        <v>30</v>
      </c>
      <c r="J143">
        <f>VLOOKUP(Table55[[#This Row],[Shortname]], Comp[], 9, FALSE)</f>
        <v>7.5</v>
      </c>
      <c r="K143">
        <f>VLOOKUP(Table55[[#This Row],[Shortname]], Comp[], 10, FALSE)</f>
        <v>2</v>
      </c>
      <c r="L143">
        <f>VLOOKUP(Table55[[#This Row],[Shortname]], Comp[], 11, FALSE)</f>
        <v>0</v>
      </c>
      <c r="M143">
        <f>VLOOKUP(Table55[[#This Row],[Shortname]], Comp[],12, FALSE)</f>
        <v>2.5</v>
      </c>
      <c r="N143">
        <f>VLOOKUP(Table55[[#This Row],[Shortname]], Comp[], 13, FALSE)</f>
        <v>0</v>
      </c>
      <c r="O143">
        <f>VLOOKUP(Table55[[#This Row],[Shortname]], Comp[], 14, FALSE)</f>
        <v>0</v>
      </c>
      <c r="P143">
        <f>VLOOKUP(Table55[[#This Row],[Shortname]], Comp[], 15, FALSE)</f>
        <v>0</v>
      </c>
      <c r="Q143">
        <f>VLOOKUP(Table55[[#This Row],[Shortname]], Comp[], 16, FALSE)</f>
        <v>0</v>
      </c>
      <c r="R143">
        <f>VLOOKUP(Table55[[#This Row],[Shortname]], Comp[], 17, FALSE)</f>
        <v>0</v>
      </c>
      <c r="S143">
        <f>VLOOKUP(Table55[[#This Row],[Shortname]], Comp[], 18, FALSE)</f>
        <v>0</v>
      </c>
      <c r="T143">
        <f>VLOOKUP(Table55[[#This Row],[Shortname]], Comp[], 19, FALSE)</f>
        <v>0</v>
      </c>
      <c r="U143">
        <f>VLOOKUP(Table55[[#This Row],[Shortname]], Comp[], 20, FALSE)</f>
        <v>0</v>
      </c>
      <c r="V143">
        <f>VLOOKUP(Table55[[#This Row],[Shortname]], Comp[], 21, FALSE)</f>
        <v>0</v>
      </c>
      <c r="W143">
        <f>VLOOKUP(Table55[[#This Row],[Shortname]], Comp[], 22, FALSE)</f>
        <v>0</v>
      </c>
      <c r="X143">
        <f>VLOOKUP(Table55[[#This Row],[Shortname]], Comp[], 23, FALSE)</f>
        <v>0</v>
      </c>
      <c r="Y143">
        <f>VLOOKUP(Table55[[#This Row],[Shortname]], Comp[], 24, FALSE)</f>
        <v>0</v>
      </c>
      <c r="Z143">
        <f>VLOOKUP(Table55[[#This Row],[Shortname]], Comp[], 25, FALSE)</f>
        <v>0</v>
      </c>
      <c r="AA143">
        <f>VLOOKUP(Table55[[#This Row],[Shortname]], Comp[], 26, FALSE)</f>
        <v>0</v>
      </c>
      <c r="AB143">
        <f>VLOOKUP(Table55[[#This Row],[Shortname]], Comp[], 27, FALSE)</f>
        <v>0</v>
      </c>
      <c r="AC143">
        <f>VLOOKUP(Table55[[#This Row],[Shortname]], Comp[], 28, FALSE)</f>
        <v>0</v>
      </c>
      <c r="AD143">
        <f>VLOOKUP(Table55[[#This Row],[Shortname]], Comp[], 29, FALSE)</f>
        <v>0</v>
      </c>
      <c r="AE143">
        <f>VLOOKUP(Table55[[#This Row],[Shortname]], Comp[], 30, FALSE)</f>
        <v>0</v>
      </c>
      <c r="AF143">
        <f>VLOOKUP(Table55[[#This Row],[Shortname]], Comp[], 31, FALSE)</f>
        <v>0</v>
      </c>
    </row>
    <row r="144" spans="1:32" x14ac:dyDescent="0.3">
      <c r="A144" s="18" t="s">
        <v>1680</v>
      </c>
      <c r="B144" s="18" t="s">
        <v>1682</v>
      </c>
      <c r="C144" s="3" t="s">
        <v>1676</v>
      </c>
      <c r="D144">
        <v>1119</v>
      </c>
      <c r="E144">
        <v>1193</v>
      </c>
      <c r="F144">
        <v>1290</v>
      </c>
      <c r="G144">
        <f>VLOOKUP(Table55[[#This Row],[Shortname]], Comp[], 6, FALSE)</f>
        <v>214</v>
      </c>
      <c r="H144" s="14">
        <f>VLOOKUP(Table55[[#This Row],[Shortname]], Comp[], 7, FALSE)</f>
        <v>84</v>
      </c>
      <c r="I144">
        <f>VLOOKUP(Table55[[#This Row],[Shortname]], Comp[], 8, FALSE)</f>
        <v>0</v>
      </c>
      <c r="J144">
        <f>VLOOKUP(Table55[[#This Row],[Shortname]], Comp[], 9, FALSE)</f>
        <v>0</v>
      </c>
      <c r="K144">
        <f>VLOOKUP(Table55[[#This Row],[Shortname]], Comp[], 10, FALSE)</f>
        <v>0</v>
      </c>
      <c r="L144">
        <f>VLOOKUP(Table55[[#This Row],[Shortname]], Comp[], 11, FALSE)</f>
        <v>0</v>
      </c>
      <c r="M144">
        <f>VLOOKUP(Table55[[#This Row],[Shortname]], Comp[],12, FALSE)</f>
        <v>12</v>
      </c>
      <c r="N144">
        <f>VLOOKUP(Table55[[#This Row],[Shortname]], Comp[], 13, FALSE)</f>
        <v>0</v>
      </c>
      <c r="O144">
        <f>VLOOKUP(Table55[[#This Row],[Shortname]], Comp[], 14, FALSE)</f>
        <v>0</v>
      </c>
      <c r="P144">
        <f>VLOOKUP(Table55[[#This Row],[Shortname]], Comp[], 15, FALSE)</f>
        <v>0</v>
      </c>
      <c r="Q144">
        <f>VLOOKUP(Table55[[#This Row],[Shortname]], Comp[], 16, FALSE)</f>
        <v>4</v>
      </c>
      <c r="R144">
        <f>VLOOKUP(Table55[[#This Row],[Shortname]], Comp[], 17, FALSE)</f>
        <v>0</v>
      </c>
      <c r="S144">
        <f>VLOOKUP(Table55[[#This Row],[Shortname]], Comp[], 18, FALSE)</f>
        <v>0</v>
      </c>
      <c r="T144">
        <f>VLOOKUP(Table55[[#This Row],[Shortname]], Comp[], 19, FALSE)</f>
        <v>0</v>
      </c>
      <c r="U144">
        <f>VLOOKUP(Table55[[#This Row],[Shortname]], Comp[], 20, FALSE)</f>
        <v>0</v>
      </c>
      <c r="V144">
        <f>VLOOKUP(Table55[[#This Row],[Shortname]], Comp[], 21, FALSE)</f>
        <v>0</v>
      </c>
      <c r="W144">
        <f>VLOOKUP(Table55[[#This Row],[Shortname]], Comp[], 22, FALSE)</f>
        <v>0</v>
      </c>
      <c r="X144">
        <f>VLOOKUP(Table55[[#This Row],[Shortname]], Comp[], 23, FALSE)</f>
        <v>0</v>
      </c>
      <c r="Y144">
        <f>VLOOKUP(Table55[[#This Row],[Shortname]], Comp[], 24, FALSE)</f>
        <v>0</v>
      </c>
      <c r="Z144">
        <f>VLOOKUP(Table55[[#This Row],[Shortname]], Comp[], 25, FALSE)</f>
        <v>0</v>
      </c>
      <c r="AA144">
        <f>VLOOKUP(Table55[[#This Row],[Shortname]], Comp[], 26, FALSE)</f>
        <v>0</v>
      </c>
      <c r="AB144">
        <f>VLOOKUP(Table55[[#This Row],[Shortname]], Comp[], 27, FALSE)</f>
        <v>0</v>
      </c>
      <c r="AC144">
        <f>VLOOKUP(Table55[[#This Row],[Shortname]], Comp[], 28, FALSE)</f>
        <v>0</v>
      </c>
      <c r="AD144">
        <f>VLOOKUP(Table55[[#This Row],[Shortname]], Comp[], 29, FALSE)</f>
        <v>0</v>
      </c>
      <c r="AE144">
        <f>VLOOKUP(Table55[[#This Row],[Shortname]], Comp[], 30, FALSE)</f>
        <v>0</v>
      </c>
      <c r="AF144">
        <f>VLOOKUP(Table55[[#This Row],[Shortname]], Comp[], 31, FALSE)</f>
        <v>0</v>
      </c>
    </row>
    <row r="145" spans="1:32" x14ac:dyDescent="0.3">
      <c r="A145" s="18" t="s">
        <v>1686</v>
      </c>
      <c r="B145" s="18" t="s">
        <v>1688</v>
      </c>
      <c r="C145" s="3" t="s">
        <v>1676</v>
      </c>
      <c r="D145">
        <v>1062</v>
      </c>
      <c r="E145">
        <v>1205</v>
      </c>
      <c r="F145">
        <v>1321</v>
      </c>
      <c r="G145">
        <f>VLOOKUP(Table55[[#This Row],[Shortname]], Comp[], 6, FALSE)</f>
        <v>215</v>
      </c>
      <c r="H145" s="14">
        <f>VLOOKUP(Table55[[#This Row],[Shortname]], Comp[], 7, FALSE)</f>
        <v>84</v>
      </c>
      <c r="I145">
        <f>VLOOKUP(Table55[[#This Row],[Shortname]], Comp[], 8, FALSE)</f>
        <v>0</v>
      </c>
      <c r="J145">
        <f>VLOOKUP(Table55[[#This Row],[Shortname]], Comp[], 9, FALSE)</f>
        <v>0</v>
      </c>
      <c r="K145">
        <f>VLOOKUP(Table55[[#This Row],[Shortname]], Comp[], 10, FALSE)</f>
        <v>4</v>
      </c>
      <c r="L145">
        <f>VLOOKUP(Table55[[#This Row],[Shortname]], Comp[], 11, FALSE)</f>
        <v>0</v>
      </c>
      <c r="M145">
        <f>VLOOKUP(Table55[[#This Row],[Shortname]], Comp[],12, FALSE)</f>
        <v>12</v>
      </c>
      <c r="N145">
        <f>VLOOKUP(Table55[[#This Row],[Shortname]], Comp[], 13, FALSE)</f>
        <v>0</v>
      </c>
      <c r="O145">
        <f>VLOOKUP(Table55[[#This Row],[Shortname]], Comp[], 14, FALSE)</f>
        <v>0</v>
      </c>
      <c r="P145">
        <f>VLOOKUP(Table55[[#This Row],[Shortname]], Comp[], 15, FALSE)</f>
        <v>0</v>
      </c>
      <c r="Q145">
        <f>VLOOKUP(Table55[[#This Row],[Shortname]], Comp[], 16, FALSE)</f>
        <v>0</v>
      </c>
      <c r="R145">
        <f>VLOOKUP(Table55[[#This Row],[Shortname]], Comp[], 17, FALSE)</f>
        <v>0</v>
      </c>
      <c r="S145">
        <f>VLOOKUP(Table55[[#This Row],[Shortname]], Comp[], 18, FALSE)</f>
        <v>0</v>
      </c>
      <c r="T145">
        <f>VLOOKUP(Table55[[#This Row],[Shortname]], Comp[], 19, FALSE)</f>
        <v>0</v>
      </c>
      <c r="U145">
        <f>VLOOKUP(Table55[[#This Row],[Shortname]], Comp[], 20, FALSE)</f>
        <v>0</v>
      </c>
      <c r="V145">
        <f>VLOOKUP(Table55[[#This Row],[Shortname]], Comp[], 21, FALSE)</f>
        <v>0</v>
      </c>
      <c r="W145">
        <f>VLOOKUP(Table55[[#This Row],[Shortname]], Comp[], 22, FALSE)</f>
        <v>0</v>
      </c>
      <c r="X145">
        <f>VLOOKUP(Table55[[#This Row],[Shortname]], Comp[], 23, FALSE)</f>
        <v>0</v>
      </c>
      <c r="Y145">
        <f>VLOOKUP(Table55[[#This Row],[Shortname]], Comp[], 24, FALSE)</f>
        <v>0</v>
      </c>
      <c r="Z145">
        <f>VLOOKUP(Table55[[#This Row],[Shortname]], Comp[], 25, FALSE)</f>
        <v>0</v>
      </c>
      <c r="AA145">
        <f>VLOOKUP(Table55[[#This Row],[Shortname]], Comp[], 26, FALSE)</f>
        <v>0</v>
      </c>
      <c r="AB145">
        <f>VLOOKUP(Table55[[#This Row],[Shortname]], Comp[], 27, FALSE)</f>
        <v>0</v>
      </c>
      <c r="AC145">
        <f>VLOOKUP(Table55[[#This Row],[Shortname]], Comp[], 28, FALSE)</f>
        <v>0</v>
      </c>
      <c r="AD145">
        <f>VLOOKUP(Table55[[#This Row],[Shortname]], Comp[], 29, FALSE)</f>
        <v>0</v>
      </c>
      <c r="AE145">
        <f>VLOOKUP(Table55[[#This Row],[Shortname]], Comp[], 30, FALSE)</f>
        <v>0</v>
      </c>
      <c r="AF145">
        <f>VLOOKUP(Table55[[#This Row],[Shortname]], Comp[], 31, FALSE)</f>
        <v>0</v>
      </c>
    </row>
    <row r="146" spans="1:32" x14ac:dyDescent="0.3">
      <c r="A146" t="s">
        <v>1673</v>
      </c>
      <c r="B146" t="s">
        <v>1675</v>
      </c>
      <c r="C146" s="3" t="s">
        <v>1676</v>
      </c>
      <c r="D146">
        <v>1005</v>
      </c>
      <c r="E146">
        <v>1219</v>
      </c>
      <c r="F146">
        <v>1318</v>
      </c>
      <c r="G146">
        <f>VLOOKUP(Table55[[#This Row],[Shortname]], Comp[], 6, FALSE)</f>
        <v>213</v>
      </c>
      <c r="H146" s="14">
        <f>VLOOKUP(Table55[[#This Row],[Shortname]], Comp[], 7, FALSE)</f>
        <v>88</v>
      </c>
      <c r="I146">
        <f>VLOOKUP(Table55[[#This Row],[Shortname]], Comp[], 8, FALSE)</f>
        <v>0</v>
      </c>
      <c r="J146">
        <f>VLOOKUP(Table55[[#This Row],[Shortname]], Comp[], 9, FALSE)</f>
        <v>0</v>
      </c>
      <c r="K146">
        <f>VLOOKUP(Table55[[#This Row],[Shortname]], Comp[], 10, FALSE)</f>
        <v>0</v>
      </c>
      <c r="L146">
        <f>VLOOKUP(Table55[[#This Row],[Shortname]], Comp[], 11, FALSE)</f>
        <v>0</v>
      </c>
      <c r="M146">
        <f>VLOOKUP(Table55[[#This Row],[Shortname]], Comp[],12, FALSE)</f>
        <v>12</v>
      </c>
      <c r="N146">
        <f>VLOOKUP(Table55[[#This Row],[Shortname]], Comp[], 13, FALSE)</f>
        <v>0</v>
      </c>
      <c r="O146">
        <f>VLOOKUP(Table55[[#This Row],[Shortname]], Comp[], 14, FALSE)</f>
        <v>0</v>
      </c>
      <c r="P146">
        <f>VLOOKUP(Table55[[#This Row],[Shortname]], Comp[], 15, FALSE)</f>
        <v>0</v>
      </c>
      <c r="Q146">
        <f>VLOOKUP(Table55[[#This Row],[Shortname]], Comp[], 16, FALSE)</f>
        <v>0</v>
      </c>
      <c r="R146">
        <f>VLOOKUP(Table55[[#This Row],[Shortname]], Comp[], 17, FALSE)</f>
        <v>0</v>
      </c>
      <c r="S146">
        <f>VLOOKUP(Table55[[#This Row],[Shortname]], Comp[], 18, FALSE)</f>
        <v>0</v>
      </c>
      <c r="T146">
        <f>VLOOKUP(Table55[[#This Row],[Shortname]], Comp[], 19, FALSE)</f>
        <v>0</v>
      </c>
      <c r="U146">
        <f>VLOOKUP(Table55[[#This Row],[Shortname]], Comp[], 20, FALSE)</f>
        <v>0</v>
      </c>
      <c r="V146">
        <f>VLOOKUP(Table55[[#This Row],[Shortname]], Comp[], 21, FALSE)</f>
        <v>0</v>
      </c>
      <c r="W146">
        <f>VLOOKUP(Table55[[#This Row],[Shortname]], Comp[], 22, FALSE)</f>
        <v>0</v>
      </c>
      <c r="X146">
        <f>VLOOKUP(Table55[[#This Row],[Shortname]], Comp[], 23, FALSE)</f>
        <v>0</v>
      </c>
      <c r="Y146">
        <f>VLOOKUP(Table55[[#This Row],[Shortname]], Comp[], 24, FALSE)</f>
        <v>0</v>
      </c>
      <c r="Z146">
        <f>VLOOKUP(Table55[[#This Row],[Shortname]], Comp[], 25, FALSE)</f>
        <v>0</v>
      </c>
      <c r="AA146">
        <f>VLOOKUP(Table55[[#This Row],[Shortname]], Comp[], 26, FALSE)</f>
        <v>0</v>
      </c>
      <c r="AB146">
        <f>VLOOKUP(Table55[[#This Row],[Shortname]], Comp[], 27, FALSE)</f>
        <v>0</v>
      </c>
      <c r="AC146">
        <f>VLOOKUP(Table55[[#This Row],[Shortname]], Comp[], 28, FALSE)</f>
        <v>0</v>
      </c>
      <c r="AD146">
        <f>VLOOKUP(Table55[[#This Row],[Shortname]], Comp[], 29, FALSE)</f>
        <v>0</v>
      </c>
      <c r="AE146">
        <f>VLOOKUP(Table55[[#This Row],[Shortname]], Comp[], 30, FALSE)</f>
        <v>0</v>
      </c>
      <c r="AF146">
        <f>VLOOKUP(Table55[[#This Row],[Shortname]], Comp[], 31, FALSE)</f>
        <v>0</v>
      </c>
    </row>
    <row r="147" spans="1:32" x14ac:dyDescent="0.3">
      <c r="A147" t="s">
        <v>1751</v>
      </c>
      <c r="B147" t="s">
        <v>1753</v>
      </c>
      <c r="C147" s="3" t="s">
        <v>1754</v>
      </c>
      <c r="D147">
        <v>1137</v>
      </c>
      <c r="E147">
        <v>1369</v>
      </c>
      <c r="F147">
        <v>1421</v>
      </c>
      <c r="H147" s="14">
        <f>VLOOKUP(Table55[[#This Row],[Shortname]], Comp[], 7, FALSE)</f>
        <v>59.289999999999992</v>
      </c>
      <c r="I147">
        <f>VLOOKUP(Table55[[#This Row],[Shortname]], Comp[], 8, FALSE)</f>
        <v>23.42</v>
      </c>
      <c r="J147">
        <f>VLOOKUP(Table55[[#This Row],[Shortname]], Comp[], 9, FALSE)</f>
        <v>9.49</v>
      </c>
      <c r="K147">
        <f>VLOOKUP(Table55[[#This Row],[Shortname]], Comp[], 10, FALSE)</f>
        <v>1.89</v>
      </c>
      <c r="L147">
        <f>VLOOKUP(Table55[[#This Row],[Shortname]], Comp[], 11, FALSE)</f>
        <v>4.0999999999999996</v>
      </c>
      <c r="M147">
        <f>VLOOKUP(Table55[[#This Row],[Shortname]], Comp[],12, FALSE)</f>
        <v>0</v>
      </c>
      <c r="N147">
        <f>VLOOKUP(Table55[[#This Row],[Shortname]], Comp[], 13, FALSE)</f>
        <v>1.81</v>
      </c>
      <c r="O147">
        <f>VLOOKUP(Table55[[#This Row],[Shortname]], Comp[], 14, FALSE)</f>
        <v>0</v>
      </c>
      <c r="P147">
        <f>VLOOKUP(Table55[[#This Row],[Shortname]], Comp[], 15, FALSE)</f>
        <v>0</v>
      </c>
      <c r="Q147">
        <f>VLOOKUP(Table55[[#This Row],[Shortname]], Comp[], 16, FALSE)</f>
        <v>0</v>
      </c>
      <c r="R147">
        <f>VLOOKUP(Table55[[#This Row],[Shortname]], Comp[], 17, FALSE)</f>
        <v>0</v>
      </c>
      <c r="S147">
        <f>VLOOKUP(Table55[[#This Row],[Shortname]], Comp[], 18, FALSE)</f>
        <v>0</v>
      </c>
      <c r="T147">
        <f>VLOOKUP(Table55[[#This Row],[Shortname]], Comp[], 19, FALSE)</f>
        <v>0</v>
      </c>
      <c r="U147">
        <f>VLOOKUP(Table55[[#This Row],[Shortname]], Comp[], 20, FALSE)</f>
        <v>0</v>
      </c>
      <c r="V147">
        <f>VLOOKUP(Table55[[#This Row],[Shortname]], Comp[], 21, FALSE)</f>
        <v>0</v>
      </c>
      <c r="W147">
        <f>VLOOKUP(Table55[[#This Row],[Shortname]], Comp[], 22, FALSE)</f>
        <v>0</v>
      </c>
      <c r="X147">
        <f>VLOOKUP(Table55[[#This Row],[Shortname]], Comp[], 23, FALSE)</f>
        <v>0</v>
      </c>
      <c r="Y147">
        <f>VLOOKUP(Table55[[#This Row],[Shortname]], Comp[], 24, FALSE)</f>
        <v>0</v>
      </c>
      <c r="Z147">
        <f>VLOOKUP(Table55[[#This Row],[Shortname]], Comp[], 25, FALSE)</f>
        <v>0</v>
      </c>
      <c r="AA147">
        <f>VLOOKUP(Table55[[#This Row],[Shortname]], Comp[], 26, FALSE)</f>
        <v>0</v>
      </c>
      <c r="AB147">
        <f>VLOOKUP(Table55[[#This Row],[Shortname]], Comp[], 27, FALSE)</f>
        <v>0</v>
      </c>
      <c r="AC147">
        <f>VLOOKUP(Table55[[#This Row],[Shortname]], Comp[], 28, FALSE)</f>
        <v>0</v>
      </c>
      <c r="AD147">
        <f>VLOOKUP(Table55[[#This Row],[Shortname]], Comp[], 29, FALSE)</f>
        <v>0</v>
      </c>
      <c r="AE147">
        <f>VLOOKUP(Table55[[#This Row],[Shortname]], Comp[], 30, FALSE)</f>
        <v>0</v>
      </c>
      <c r="AF147">
        <f>VLOOKUP(Table55[[#This Row],[Shortname]], Comp[], 31, FALSE)</f>
        <v>0</v>
      </c>
    </row>
    <row r="148" spans="1:32" x14ac:dyDescent="0.3">
      <c r="A148" t="s">
        <v>1823</v>
      </c>
      <c r="B148" t="s">
        <v>1825</v>
      </c>
      <c r="C148" t="s">
        <v>6714</v>
      </c>
      <c r="D148">
        <v>1200</v>
      </c>
      <c r="E148">
        <v>1304</v>
      </c>
      <c r="F148">
        <v>1400</v>
      </c>
      <c r="H148" s="14">
        <f>VLOOKUP(Table55[[#This Row],[Shortname]], Comp[], 7, FALSE)</f>
        <v>82</v>
      </c>
      <c r="I148">
        <f>VLOOKUP(Table55[[#This Row],[Shortname]], Comp[], 8, FALSE)</f>
        <v>0</v>
      </c>
      <c r="J148">
        <f>VLOOKUP(Table55[[#This Row],[Shortname]], Comp[], 9, FALSE)</f>
        <v>5.6</v>
      </c>
      <c r="K148">
        <f>VLOOKUP(Table55[[#This Row],[Shortname]], Comp[], 10, FALSE)</f>
        <v>0</v>
      </c>
      <c r="L148">
        <f>VLOOKUP(Table55[[#This Row],[Shortname]], Comp[], 11, FALSE)</f>
        <v>5.8</v>
      </c>
      <c r="M148">
        <f>VLOOKUP(Table55[[#This Row],[Shortname]], Comp[],12, FALSE)</f>
        <v>6.6</v>
      </c>
      <c r="N148">
        <f>VLOOKUP(Table55[[#This Row],[Shortname]], Comp[], 13, FALSE)</f>
        <v>0</v>
      </c>
      <c r="O148">
        <f>VLOOKUP(Table55[[#This Row],[Shortname]], Comp[], 14, FALSE)</f>
        <v>0</v>
      </c>
      <c r="P148">
        <f>VLOOKUP(Table55[[#This Row],[Shortname]], Comp[], 15, FALSE)</f>
        <v>0</v>
      </c>
      <c r="Q148">
        <f>VLOOKUP(Table55[[#This Row],[Shortname]], Comp[], 16, FALSE)</f>
        <v>0</v>
      </c>
      <c r="R148">
        <f>VLOOKUP(Table55[[#This Row],[Shortname]], Comp[], 17, FALSE)</f>
        <v>0</v>
      </c>
      <c r="S148">
        <f>VLOOKUP(Table55[[#This Row],[Shortname]], Comp[], 18, FALSE)</f>
        <v>0</v>
      </c>
      <c r="T148">
        <f>VLOOKUP(Table55[[#This Row],[Shortname]], Comp[], 19, FALSE)</f>
        <v>0</v>
      </c>
      <c r="U148">
        <f>VLOOKUP(Table55[[#This Row],[Shortname]], Comp[], 20, FALSE)</f>
        <v>0</v>
      </c>
      <c r="V148">
        <f>VLOOKUP(Table55[[#This Row],[Shortname]], Comp[], 21, FALSE)</f>
        <v>0</v>
      </c>
      <c r="W148">
        <f>VLOOKUP(Table55[[#This Row],[Shortname]], Comp[], 22, FALSE)</f>
        <v>0</v>
      </c>
      <c r="X148">
        <f>VLOOKUP(Table55[[#This Row],[Shortname]], Comp[], 23, FALSE)</f>
        <v>0</v>
      </c>
      <c r="Y148">
        <f>VLOOKUP(Table55[[#This Row],[Shortname]], Comp[], 24, FALSE)</f>
        <v>0</v>
      </c>
      <c r="Z148">
        <f>VLOOKUP(Table55[[#This Row],[Shortname]], Comp[], 25, FALSE)</f>
        <v>0</v>
      </c>
      <c r="AA148">
        <f>VLOOKUP(Table55[[#This Row],[Shortname]], Comp[], 26, FALSE)</f>
        <v>0</v>
      </c>
      <c r="AB148">
        <f>VLOOKUP(Table55[[#This Row],[Shortname]], Comp[], 27, FALSE)</f>
        <v>0</v>
      </c>
      <c r="AC148">
        <f>VLOOKUP(Table55[[#This Row],[Shortname]], Comp[], 28, FALSE)</f>
        <v>0</v>
      </c>
      <c r="AD148">
        <f>VLOOKUP(Table55[[#This Row],[Shortname]], Comp[], 29, FALSE)</f>
        <v>0</v>
      </c>
      <c r="AE148">
        <f>VLOOKUP(Table55[[#This Row],[Shortname]], Comp[], 30, FALSE)</f>
        <v>0</v>
      </c>
      <c r="AF148">
        <f>VLOOKUP(Table55[[#This Row],[Shortname]], Comp[], 31, FALSE)</f>
        <v>0</v>
      </c>
    </row>
    <row r="149" spans="1:32" x14ac:dyDescent="0.3">
      <c r="A149" t="s">
        <v>1839</v>
      </c>
      <c r="B149" t="s">
        <v>1841</v>
      </c>
      <c r="C149" t="s">
        <v>6714</v>
      </c>
      <c r="D149">
        <v>1159</v>
      </c>
      <c r="E149">
        <v>1200</v>
      </c>
      <c r="F149">
        <v>1298</v>
      </c>
      <c r="H149" s="14">
        <f>VLOOKUP(Table55[[#This Row],[Shortname]], Comp[], 7, FALSE)</f>
        <v>83</v>
      </c>
      <c r="I149">
        <f>VLOOKUP(Table55[[#This Row],[Shortname]], Comp[], 8, FALSE)</f>
        <v>0</v>
      </c>
      <c r="J149">
        <f>VLOOKUP(Table55[[#This Row],[Shortname]], Comp[], 9, FALSE)</f>
        <v>1.9</v>
      </c>
      <c r="K149">
        <f>VLOOKUP(Table55[[#This Row],[Shortname]], Comp[], 10, FALSE)</f>
        <v>0</v>
      </c>
      <c r="L149">
        <f>VLOOKUP(Table55[[#This Row],[Shortname]], Comp[], 11, FALSE)</f>
        <v>1.9</v>
      </c>
      <c r="M149">
        <f>VLOOKUP(Table55[[#This Row],[Shortname]], Comp[],12, FALSE)</f>
        <v>13.2</v>
      </c>
      <c r="N149">
        <f>VLOOKUP(Table55[[#This Row],[Shortname]], Comp[], 13, FALSE)</f>
        <v>0</v>
      </c>
      <c r="O149">
        <f>VLOOKUP(Table55[[#This Row],[Shortname]], Comp[], 14, FALSE)</f>
        <v>0</v>
      </c>
      <c r="P149">
        <f>VLOOKUP(Table55[[#This Row],[Shortname]], Comp[], 15, FALSE)</f>
        <v>0</v>
      </c>
      <c r="Q149">
        <f>VLOOKUP(Table55[[#This Row],[Shortname]], Comp[], 16, FALSE)</f>
        <v>0</v>
      </c>
      <c r="R149">
        <f>VLOOKUP(Table55[[#This Row],[Shortname]], Comp[], 17, FALSE)</f>
        <v>0</v>
      </c>
      <c r="S149">
        <f>VLOOKUP(Table55[[#This Row],[Shortname]], Comp[], 18, FALSE)</f>
        <v>0</v>
      </c>
      <c r="T149">
        <f>VLOOKUP(Table55[[#This Row],[Shortname]], Comp[], 19, FALSE)</f>
        <v>0</v>
      </c>
      <c r="U149">
        <f>VLOOKUP(Table55[[#This Row],[Shortname]], Comp[], 20, FALSE)</f>
        <v>0</v>
      </c>
      <c r="V149">
        <f>VLOOKUP(Table55[[#This Row],[Shortname]], Comp[], 21, FALSE)</f>
        <v>0</v>
      </c>
      <c r="W149">
        <f>VLOOKUP(Table55[[#This Row],[Shortname]], Comp[], 22, FALSE)</f>
        <v>0</v>
      </c>
      <c r="X149">
        <f>VLOOKUP(Table55[[#This Row],[Shortname]], Comp[], 23, FALSE)</f>
        <v>0</v>
      </c>
      <c r="Y149">
        <f>VLOOKUP(Table55[[#This Row],[Shortname]], Comp[], 24, FALSE)</f>
        <v>0</v>
      </c>
      <c r="Z149">
        <f>VLOOKUP(Table55[[#This Row],[Shortname]], Comp[], 25, FALSE)</f>
        <v>0</v>
      </c>
      <c r="AA149">
        <f>VLOOKUP(Table55[[#This Row],[Shortname]], Comp[], 26, FALSE)</f>
        <v>0</v>
      </c>
      <c r="AB149">
        <f>VLOOKUP(Table55[[#This Row],[Shortname]], Comp[], 27, FALSE)</f>
        <v>0</v>
      </c>
      <c r="AC149">
        <f>VLOOKUP(Table55[[#This Row],[Shortname]], Comp[], 28, FALSE)</f>
        <v>0</v>
      </c>
      <c r="AD149">
        <f>VLOOKUP(Table55[[#This Row],[Shortname]], Comp[], 29, FALSE)</f>
        <v>0</v>
      </c>
      <c r="AE149">
        <f>VLOOKUP(Table55[[#This Row],[Shortname]], Comp[], 30, FALSE)</f>
        <v>0</v>
      </c>
      <c r="AF149">
        <f>VLOOKUP(Table55[[#This Row],[Shortname]], Comp[], 31, FALSE)</f>
        <v>0</v>
      </c>
    </row>
    <row r="150" spans="1:32" x14ac:dyDescent="0.3">
      <c r="A150" t="s">
        <v>1830</v>
      </c>
      <c r="B150" t="s">
        <v>1832</v>
      </c>
      <c r="C150" t="s">
        <v>6714</v>
      </c>
      <c r="D150">
        <v>1157</v>
      </c>
      <c r="E150">
        <v>1241</v>
      </c>
      <c r="F150">
        <v>1356</v>
      </c>
      <c r="H150" s="14">
        <f>VLOOKUP(Table55[[#This Row],[Shortname]], Comp[], 7, FALSE)</f>
        <v>82.5</v>
      </c>
      <c r="I150">
        <f>VLOOKUP(Table55[[#This Row],[Shortname]], Comp[], 8, FALSE)</f>
        <v>0</v>
      </c>
      <c r="J150">
        <f>VLOOKUP(Table55[[#This Row],[Shortname]], Comp[], 9, FALSE)</f>
        <v>3.8</v>
      </c>
      <c r="K150">
        <f>VLOOKUP(Table55[[#This Row],[Shortname]], Comp[], 10, FALSE)</f>
        <v>0</v>
      </c>
      <c r="L150">
        <f>VLOOKUP(Table55[[#This Row],[Shortname]], Comp[], 11, FALSE)</f>
        <v>3.8</v>
      </c>
      <c r="M150">
        <f>VLOOKUP(Table55[[#This Row],[Shortname]], Comp[],12, FALSE)</f>
        <v>9.9</v>
      </c>
      <c r="N150">
        <f>VLOOKUP(Table55[[#This Row],[Shortname]], Comp[], 13, FALSE)</f>
        <v>0</v>
      </c>
      <c r="O150">
        <f>VLOOKUP(Table55[[#This Row],[Shortname]], Comp[], 14, FALSE)</f>
        <v>0</v>
      </c>
      <c r="P150">
        <f>VLOOKUP(Table55[[#This Row],[Shortname]], Comp[], 15, FALSE)</f>
        <v>0</v>
      </c>
      <c r="Q150">
        <f>VLOOKUP(Table55[[#This Row],[Shortname]], Comp[], 16, FALSE)</f>
        <v>0</v>
      </c>
      <c r="R150">
        <f>VLOOKUP(Table55[[#This Row],[Shortname]], Comp[], 17, FALSE)</f>
        <v>0</v>
      </c>
      <c r="S150">
        <f>VLOOKUP(Table55[[#This Row],[Shortname]], Comp[], 18, FALSE)</f>
        <v>0</v>
      </c>
      <c r="T150">
        <f>VLOOKUP(Table55[[#This Row],[Shortname]], Comp[], 19, FALSE)</f>
        <v>0</v>
      </c>
      <c r="U150">
        <f>VLOOKUP(Table55[[#This Row],[Shortname]], Comp[], 20, FALSE)</f>
        <v>0</v>
      </c>
      <c r="V150">
        <f>VLOOKUP(Table55[[#This Row],[Shortname]], Comp[], 21, FALSE)</f>
        <v>0</v>
      </c>
      <c r="W150">
        <f>VLOOKUP(Table55[[#This Row],[Shortname]], Comp[], 22, FALSE)</f>
        <v>0</v>
      </c>
      <c r="X150">
        <f>VLOOKUP(Table55[[#This Row],[Shortname]], Comp[], 23, FALSE)</f>
        <v>0</v>
      </c>
      <c r="Y150">
        <f>VLOOKUP(Table55[[#This Row],[Shortname]], Comp[], 24, FALSE)</f>
        <v>0</v>
      </c>
      <c r="Z150">
        <f>VLOOKUP(Table55[[#This Row],[Shortname]], Comp[], 25, FALSE)</f>
        <v>0</v>
      </c>
      <c r="AA150">
        <f>VLOOKUP(Table55[[#This Row],[Shortname]], Comp[], 26, FALSE)</f>
        <v>0</v>
      </c>
      <c r="AB150">
        <f>VLOOKUP(Table55[[#This Row],[Shortname]], Comp[], 27, FALSE)</f>
        <v>0</v>
      </c>
      <c r="AC150">
        <f>VLOOKUP(Table55[[#This Row],[Shortname]], Comp[], 28, FALSE)</f>
        <v>0</v>
      </c>
      <c r="AD150">
        <f>VLOOKUP(Table55[[#This Row],[Shortname]], Comp[], 29, FALSE)</f>
        <v>0</v>
      </c>
      <c r="AE150">
        <f>VLOOKUP(Table55[[#This Row],[Shortname]], Comp[], 30, FALSE)</f>
        <v>0</v>
      </c>
      <c r="AF150">
        <f>VLOOKUP(Table55[[#This Row],[Shortname]], Comp[], 31, FALSE)</f>
        <v>0</v>
      </c>
    </row>
    <row r="151" spans="1:32" x14ac:dyDescent="0.3">
      <c r="A151" t="s">
        <v>1848</v>
      </c>
      <c r="B151" t="s">
        <v>1850</v>
      </c>
      <c r="C151" t="s">
        <v>6714</v>
      </c>
      <c r="D151">
        <v>1156</v>
      </c>
      <c r="E151">
        <v>1156</v>
      </c>
      <c r="F151">
        <v>1175</v>
      </c>
      <c r="H151" s="14">
        <f>VLOOKUP(Table55[[#This Row],[Shortname]], Comp[], 7, FALSE)</f>
        <v>83.5</v>
      </c>
      <c r="I151">
        <f>VLOOKUP(Table55[[#This Row],[Shortname]], Comp[], 8, FALSE)</f>
        <v>0</v>
      </c>
      <c r="J151">
        <f>VLOOKUP(Table55[[#This Row],[Shortname]], Comp[], 9, FALSE)</f>
        <v>0</v>
      </c>
      <c r="K151">
        <f>VLOOKUP(Table55[[#This Row],[Shortname]], Comp[], 10, FALSE)</f>
        <v>0</v>
      </c>
      <c r="L151">
        <f>VLOOKUP(Table55[[#This Row],[Shortname]], Comp[], 11, FALSE)</f>
        <v>0</v>
      </c>
      <c r="M151">
        <f>VLOOKUP(Table55[[#This Row],[Shortname]], Comp[],12, FALSE)</f>
        <v>16.5</v>
      </c>
      <c r="N151">
        <f>VLOOKUP(Table55[[#This Row],[Shortname]], Comp[], 13, FALSE)</f>
        <v>0</v>
      </c>
      <c r="O151">
        <f>VLOOKUP(Table55[[#This Row],[Shortname]], Comp[], 14, FALSE)</f>
        <v>0</v>
      </c>
      <c r="P151">
        <f>VLOOKUP(Table55[[#This Row],[Shortname]], Comp[], 15, FALSE)</f>
        <v>0</v>
      </c>
      <c r="Q151">
        <f>VLOOKUP(Table55[[#This Row],[Shortname]], Comp[], 16, FALSE)</f>
        <v>0</v>
      </c>
      <c r="R151">
        <f>VLOOKUP(Table55[[#This Row],[Shortname]], Comp[], 17, FALSE)</f>
        <v>0</v>
      </c>
      <c r="S151">
        <f>VLOOKUP(Table55[[#This Row],[Shortname]], Comp[], 18, FALSE)</f>
        <v>0</v>
      </c>
      <c r="T151">
        <f>VLOOKUP(Table55[[#This Row],[Shortname]], Comp[], 19, FALSE)</f>
        <v>0</v>
      </c>
      <c r="U151">
        <f>VLOOKUP(Table55[[#This Row],[Shortname]], Comp[], 20, FALSE)</f>
        <v>0</v>
      </c>
      <c r="V151">
        <f>VLOOKUP(Table55[[#This Row],[Shortname]], Comp[], 21, FALSE)</f>
        <v>0</v>
      </c>
      <c r="W151">
        <f>VLOOKUP(Table55[[#This Row],[Shortname]], Comp[], 22, FALSE)</f>
        <v>0</v>
      </c>
      <c r="X151">
        <f>VLOOKUP(Table55[[#This Row],[Shortname]], Comp[], 23, FALSE)</f>
        <v>0</v>
      </c>
      <c r="Y151">
        <f>VLOOKUP(Table55[[#This Row],[Shortname]], Comp[], 24, FALSE)</f>
        <v>0</v>
      </c>
      <c r="Z151">
        <f>VLOOKUP(Table55[[#This Row],[Shortname]], Comp[], 25, FALSE)</f>
        <v>0</v>
      </c>
      <c r="AA151">
        <f>VLOOKUP(Table55[[#This Row],[Shortname]], Comp[], 26, FALSE)</f>
        <v>0</v>
      </c>
      <c r="AB151">
        <f>VLOOKUP(Table55[[#This Row],[Shortname]], Comp[], 27, FALSE)</f>
        <v>0</v>
      </c>
      <c r="AC151">
        <f>VLOOKUP(Table55[[#This Row],[Shortname]], Comp[], 28, FALSE)</f>
        <v>0</v>
      </c>
      <c r="AD151">
        <f>VLOOKUP(Table55[[#This Row],[Shortname]], Comp[], 29, FALSE)</f>
        <v>0</v>
      </c>
      <c r="AE151">
        <f>VLOOKUP(Table55[[#This Row],[Shortname]], Comp[], 30, FALSE)</f>
        <v>0</v>
      </c>
      <c r="AF151">
        <f>VLOOKUP(Table55[[#This Row],[Shortname]], Comp[], 31, FALSE)</f>
        <v>0</v>
      </c>
    </row>
    <row r="152" spans="1:32" x14ac:dyDescent="0.3">
      <c r="A152" t="s">
        <v>1818</v>
      </c>
      <c r="B152" t="s">
        <v>1622</v>
      </c>
      <c r="C152" t="s">
        <v>6714</v>
      </c>
      <c r="D152">
        <v>1118</v>
      </c>
      <c r="E152">
        <v>1378</v>
      </c>
      <c r="F152">
        <v>1441</v>
      </c>
      <c r="H152" s="14">
        <f>VLOOKUP(Table55[[#This Row],[Shortname]], Comp[], 7, FALSE)</f>
        <v>81.5</v>
      </c>
      <c r="I152">
        <f>VLOOKUP(Table55[[#This Row],[Shortname]], Comp[], 8, FALSE)</f>
        <v>0</v>
      </c>
      <c r="J152">
        <f>VLOOKUP(Table55[[#This Row],[Shortname]], Comp[], 9, FALSE)</f>
        <v>7.5</v>
      </c>
      <c r="K152">
        <f>VLOOKUP(Table55[[#This Row],[Shortname]], Comp[], 10, FALSE)</f>
        <v>0</v>
      </c>
      <c r="L152">
        <f>VLOOKUP(Table55[[#This Row],[Shortname]], Comp[], 11, FALSE)</f>
        <v>7.7</v>
      </c>
      <c r="M152">
        <f>VLOOKUP(Table55[[#This Row],[Shortname]], Comp[],12, FALSE)</f>
        <v>3.3</v>
      </c>
      <c r="N152">
        <f>VLOOKUP(Table55[[#This Row],[Shortname]], Comp[], 13, FALSE)</f>
        <v>0</v>
      </c>
      <c r="O152">
        <f>VLOOKUP(Table55[[#This Row],[Shortname]], Comp[], 14, FALSE)</f>
        <v>0</v>
      </c>
      <c r="P152">
        <f>VLOOKUP(Table55[[#This Row],[Shortname]], Comp[], 15, FALSE)</f>
        <v>0</v>
      </c>
      <c r="Q152">
        <f>VLOOKUP(Table55[[#This Row],[Shortname]], Comp[], 16, FALSE)</f>
        <v>0</v>
      </c>
      <c r="R152">
        <f>VLOOKUP(Table55[[#This Row],[Shortname]], Comp[], 17, FALSE)</f>
        <v>0</v>
      </c>
      <c r="S152">
        <f>VLOOKUP(Table55[[#This Row],[Shortname]], Comp[], 18, FALSE)</f>
        <v>0</v>
      </c>
      <c r="T152">
        <f>VLOOKUP(Table55[[#This Row],[Shortname]], Comp[], 19, FALSE)</f>
        <v>0</v>
      </c>
      <c r="U152">
        <f>VLOOKUP(Table55[[#This Row],[Shortname]], Comp[], 20, FALSE)</f>
        <v>0</v>
      </c>
      <c r="V152">
        <f>VLOOKUP(Table55[[#This Row],[Shortname]], Comp[], 21, FALSE)</f>
        <v>0</v>
      </c>
      <c r="W152">
        <f>VLOOKUP(Table55[[#This Row],[Shortname]], Comp[], 22, FALSE)</f>
        <v>0</v>
      </c>
      <c r="X152">
        <f>VLOOKUP(Table55[[#This Row],[Shortname]], Comp[], 23, FALSE)</f>
        <v>0</v>
      </c>
      <c r="Y152">
        <f>VLOOKUP(Table55[[#This Row],[Shortname]], Comp[], 24, FALSE)</f>
        <v>0</v>
      </c>
      <c r="Z152">
        <f>VLOOKUP(Table55[[#This Row],[Shortname]], Comp[], 25, FALSE)</f>
        <v>0</v>
      </c>
      <c r="AA152">
        <f>VLOOKUP(Table55[[#This Row],[Shortname]], Comp[], 26, FALSE)</f>
        <v>0</v>
      </c>
      <c r="AB152">
        <f>VLOOKUP(Table55[[#This Row],[Shortname]], Comp[], 27, FALSE)</f>
        <v>0</v>
      </c>
      <c r="AC152">
        <f>VLOOKUP(Table55[[#This Row],[Shortname]], Comp[], 28, FALSE)</f>
        <v>0</v>
      </c>
      <c r="AD152">
        <f>VLOOKUP(Table55[[#This Row],[Shortname]], Comp[], 29, FALSE)</f>
        <v>0</v>
      </c>
      <c r="AE152">
        <f>VLOOKUP(Table55[[#This Row],[Shortname]], Comp[], 30, FALSE)</f>
        <v>0</v>
      </c>
      <c r="AF152">
        <f>VLOOKUP(Table55[[#This Row],[Shortname]], Comp[], 31, FALSE)</f>
        <v>0</v>
      </c>
    </row>
    <row r="153" spans="1:32" x14ac:dyDescent="0.3">
      <c r="A153" t="s">
        <v>1812</v>
      </c>
      <c r="B153" t="s">
        <v>1813</v>
      </c>
      <c r="C153" t="s">
        <v>6714</v>
      </c>
      <c r="D153">
        <v>1025</v>
      </c>
      <c r="E153">
        <v>1455</v>
      </c>
      <c r="F153">
        <v>1480</v>
      </c>
      <c r="H153" s="14">
        <f>VLOOKUP(Table55[[#This Row],[Shortname]], Comp[], 7, FALSE)</f>
        <v>81</v>
      </c>
      <c r="I153">
        <f>VLOOKUP(Table55[[#This Row],[Shortname]], Comp[], 8, FALSE)</f>
        <v>0</v>
      </c>
      <c r="J153">
        <f>VLOOKUP(Table55[[#This Row],[Shortname]], Comp[], 9, FALSE)</f>
        <v>9.4</v>
      </c>
      <c r="K153">
        <f>VLOOKUP(Table55[[#This Row],[Shortname]], Comp[], 10, FALSE)</f>
        <v>0</v>
      </c>
      <c r="L153">
        <f>VLOOKUP(Table55[[#This Row],[Shortname]], Comp[], 11, FALSE)</f>
        <v>9.6</v>
      </c>
      <c r="M153">
        <f>VLOOKUP(Table55[[#This Row],[Shortname]], Comp[],12, FALSE)</f>
        <v>0</v>
      </c>
      <c r="N153">
        <f>VLOOKUP(Table55[[#This Row],[Shortname]], Comp[], 13, FALSE)</f>
        <v>0</v>
      </c>
      <c r="O153">
        <f>VLOOKUP(Table55[[#This Row],[Shortname]], Comp[], 14, FALSE)</f>
        <v>0</v>
      </c>
      <c r="P153">
        <f>VLOOKUP(Table55[[#This Row],[Shortname]], Comp[], 15, FALSE)</f>
        <v>0</v>
      </c>
      <c r="Q153">
        <f>VLOOKUP(Table55[[#This Row],[Shortname]], Comp[], 16, FALSE)</f>
        <v>0</v>
      </c>
      <c r="R153">
        <f>VLOOKUP(Table55[[#This Row],[Shortname]], Comp[], 17, FALSE)</f>
        <v>0</v>
      </c>
      <c r="S153">
        <f>VLOOKUP(Table55[[#This Row],[Shortname]], Comp[], 18, FALSE)</f>
        <v>0</v>
      </c>
      <c r="T153">
        <f>VLOOKUP(Table55[[#This Row],[Shortname]], Comp[], 19, FALSE)</f>
        <v>0</v>
      </c>
      <c r="U153">
        <f>VLOOKUP(Table55[[#This Row],[Shortname]], Comp[], 20, FALSE)</f>
        <v>0</v>
      </c>
      <c r="V153">
        <f>VLOOKUP(Table55[[#This Row],[Shortname]], Comp[], 21, FALSE)</f>
        <v>0</v>
      </c>
      <c r="W153">
        <f>VLOOKUP(Table55[[#This Row],[Shortname]], Comp[], 22, FALSE)</f>
        <v>0</v>
      </c>
      <c r="X153">
        <f>VLOOKUP(Table55[[#This Row],[Shortname]], Comp[], 23, FALSE)</f>
        <v>0</v>
      </c>
      <c r="Y153">
        <f>VLOOKUP(Table55[[#This Row],[Shortname]], Comp[], 24, FALSE)</f>
        <v>0</v>
      </c>
      <c r="Z153">
        <f>VLOOKUP(Table55[[#This Row],[Shortname]], Comp[], 25, FALSE)</f>
        <v>0</v>
      </c>
      <c r="AA153">
        <f>VLOOKUP(Table55[[#This Row],[Shortname]], Comp[], 26, FALSE)</f>
        <v>0</v>
      </c>
      <c r="AB153">
        <f>VLOOKUP(Table55[[#This Row],[Shortname]], Comp[], 27, FALSE)</f>
        <v>0</v>
      </c>
      <c r="AC153">
        <f>VLOOKUP(Table55[[#This Row],[Shortname]], Comp[], 28, FALSE)</f>
        <v>0</v>
      </c>
      <c r="AD153">
        <f>VLOOKUP(Table55[[#This Row],[Shortname]], Comp[], 29, FALSE)</f>
        <v>0</v>
      </c>
      <c r="AE153">
        <f>VLOOKUP(Table55[[#This Row],[Shortname]], Comp[], 30, FALSE)</f>
        <v>0</v>
      </c>
      <c r="AF153">
        <f>VLOOKUP(Table55[[#This Row],[Shortname]], Comp[], 31, FALSE)</f>
        <v>0</v>
      </c>
    </row>
    <row r="154" spans="1:32" x14ac:dyDescent="0.3">
      <c r="A154" s="20" t="s">
        <v>1940</v>
      </c>
      <c r="B154" s="20" t="s">
        <v>1942</v>
      </c>
      <c r="C154" t="s">
        <v>6716</v>
      </c>
      <c r="D154">
        <v>1218</v>
      </c>
      <c r="E154">
        <v>1359</v>
      </c>
      <c r="F154">
        <v>1411</v>
      </c>
      <c r="H154" s="14">
        <f>VLOOKUP(Table55[[#This Row],[Shortname]], Comp[], 7, FALSE)</f>
        <v>48.9</v>
      </c>
      <c r="I154">
        <f>VLOOKUP(Table55[[#This Row],[Shortname]], Comp[], 8, FALSE)</f>
        <v>30</v>
      </c>
      <c r="J154">
        <f>VLOOKUP(Table55[[#This Row],[Shortname]], Comp[], 9, FALSE)</f>
        <v>9</v>
      </c>
      <c r="K154">
        <f>VLOOKUP(Table55[[#This Row],[Shortname]], Comp[], 10, FALSE)</f>
        <v>0</v>
      </c>
      <c r="L154">
        <f>VLOOKUP(Table55[[#This Row],[Shortname]], Comp[], 11, FALSE)</f>
        <v>7</v>
      </c>
      <c r="M154">
        <f>VLOOKUP(Table55[[#This Row],[Shortname]], Comp[],12, FALSE)</f>
        <v>3</v>
      </c>
      <c r="N154">
        <f>VLOOKUP(Table55[[#This Row],[Shortname]], Comp[], 13, FALSE)</f>
        <v>2</v>
      </c>
      <c r="O154">
        <f>VLOOKUP(Table55[[#This Row],[Shortname]], Comp[], 14, FALSE)</f>
        <v>0</v>
      </c>
      <c r="P154">
        <f>VLOOKUP(Table55[[#This Row],[Shortname]], Comp[], 15, FALSE)</f>
        <v>0</v>
      </c>
      <c r="Q154">
        <f>VLOOKUP(Table55[[#This Row],[Shortname]], Comp[], 16, FALSE)</f>
        <v>0</v>
      </c>
      <c r="R154">
        <f>VLOOKUP(Table55[[#This Row],[Shortname]], Comp[], 17, FALSE)</f>
        <v>0</v>
      </c>
      <c r="S154">
        <f>VLOOKUP(Table55[[#This Row],[Shortname]], Comp[], 18, FALSE)</f>
        <v>0</v>
      </c>
      <c r="T154">
        <f>VLOOKUP(Table55[[#This Row],[Shortname]], Comp[], 19, FALSE)</f>
        <v>0.1</v>
      </c>
      <c r="U154">
        <f>VLOOKUP(Table55[[#This Row],[Shortname]], Comp[], 20, FALSE)</f>
        <v>0</v>
      </c>
      <c r="V154">
        <f>VLOOKUP(Table55[[#This Row],[Shortname]], Comp[], 21, FALSE)</f>
        <v>0</v>
      </c>
      <c r="W154">
        <f>VLOOKUP(Table55[[#This Row],[Shortname]], Comp[], 22, FALSE)</f>
        <v>0</v>
      </c>
      <c r="X154">
        <f>VLOOKUP(Table55[[#This Row],[Shortname]], Comp[], 23, FALSE)</f>
        <v>0</v>
      </c>
      <c r="Y154">
        <f>VLOOKUP(Table55[[#This Row],[Shortname]], Comp[], 24, FALSE)</f>
        <v>0</v>
      </c>
      <c r="Z154">
        <f>VLOOKUP(Table55[[#This Row],[Shortname]], Comp[], 25, FALSE)</f>
        <v>0</v>
      </c>
      <c r="AA154">
        <f>VLOOKUP(Table55[[#This Row],[Shortname]], Comp[], 26, FALSE)</f>
        <v>0</v>
      </c>
      <c r="AB154">
        <f>VLOOKUP(Table55[[#This Row],[Shortname]], Comp[], 27, FALSE)</f>
        <v>0</v>
      </c>
      <c r="AC154">
        <f>VLOOKUP(Table55[[#This Row],[Shortname]], Comp[], 28, FALSE)</f>
        <v>0</v>
      </c>
      <c r="AD154">
        <f>VLOOKUP(Table55[[#This Row],[Shortname]], Comp[], 29, FALSE)</f>
        <v>0</v>
      </c>
      <c r="AE154">
        <f>VLOOKUP(Table55[[#This Row],[Shortname]], Comp[], 30, FALSE)</f>
        <v>0</v>
      </c>
      <c r="AF154">
        <f>VLOOKUP(Table55[[#This Row],[Shortname]], Comp[], 31, FALSE)</f>
        <v>0</v>
      </c>
    </row>
    <row r="155" spans="1:32" x14ac:dyDescent="0.3">
      <c r="A155" t="s">
        <v>1920</v>
      </c>
      <c r="B155" t="s">
        <v>1922</v>
      </c>
      <c r="C155" s="21" t="s">
        <v>6716</v>
      </c>
      <c r="D155">
        <v>1195</v>
      </c>
      <c r="E155">
        <v>1298</v>
      </c>
      <c r="F155">
        <v>1374</v>
      </c>
      <c r="H155" s="14">
        <f>VLOOKUP(Table55[[#This Row],[Shortname]], Comp[], 7, FALSE)</f>
        <v>76</v>
      </c>
      <c r="I155">
        <f>VLOOKUP(Table55[[#This Row],[Shortname]], Comp[], 8, FALSE)</f>
        <v>0</v>
      </c>
      <c r="J155">
        <f>VLOOKUP(Table55[[#This Row],[Shortname]], Comp[], 9, FALSE)</f>
        <v>10.5</v>
      </c>
      <c r="K155">
        <f>VLOOKUP(Table55[[#This Row],[Shortname]], Comp[], 10, FALSE)</f>
        <v>0</v>
      </c>
      <c r="L155">
        <f>VLOOKUP(Table55[[#This Row],[Shortname]], Comp[], 11, FALSE)</f>
        <v>7</v>
      </c>
      <c r="M155">
        <f>VLOOKUP(Table55[[#This Row],[Shortname]], Comp[],12, FALSE)</f>
        <v>4</v>
      </c>
      <c r="N155">
        <f>VLOOKUP(Table55[[#This Row],[Shortname]], Comp[], 13, FALSE)</f>
        <v>2.5</v>
      </c>
      <c r="O155">
        <f>VLOOKUP(Table55[[#This Row],[Shortname]], Comp[], 14, FALSE)</f>
        <v>0</v>
      </c>
      <c r="P155">
        <f>VLOOKUP(Table55[[#This Row],[Shortname]], Comp[], 15, FALSE)</f>
        <v>0</v>
      </c>
      <c r="Q155">
        <f>VLOOKUP(Table55[[#This Row],[Shortname]], Comp[], 16, FALSE)</f>
        <v>0</v>
      </c>
      <c r="R155">
        <f>VLOOKUP(Table55[[#This Row],[Shortname]], Comp[], 17, FALSE)</f>
        <v>0</v>
      </c>
      <c r="S155">
        <f>VLOOKUP(Table55[[#This Row],[Shortname]], Comp[], 18, FALSE)</f>
        <v>0</v>
      </c>
      <c r="T155">
        <f>VLOOKUP(Table55[[#This Row],[Shortname]], Comp[], 19, FALSE)</f>
        <v>0</v>
      </c>
      <c r="U155">
        <f>VLOOKUP(Table55[[#This Row],[Shortname]], Comp[], 20, FALSE)</f>
        <v>0</v>
      </c>
      <c r="V155">
        <f>VLOOKUP(Table55[[#This Row],[Shortname]], Comp[], 21, FALSE)</f>
        <v>0</v>
      </c>
      <c r="W155">
        <f>VLOOKUP(Table55[[#This Row],[Shortname]], Comp[], 22, FALSE)</f>
        <v>0</v>
      </c>
      <c r="X155">
        <f>VLOOKUP(Table55[[#This Row],[Shortname]], Comp[], 23, FALSE)</f>
        <v>0</v>
      </c>
      <c r="Y155">
        <f>VLOOKUP(Table55[[#This Row],[Shortname]], Comp[], 24, FALSE)</f>
        <v>0</v>
      </c>
      <c r="Z155">
        <f>VLOOKUP(Table55[[#This Row],[Shortname]], Comp[], 25, FALSE)</f>
        <v>0</v>
      </c>
      <c r="AA155">
        <f>VLOOKUP(Table55[[#This Row],[Shortname]], Comp[], 26, FALSE)</f>
        <v>0</v>
      </c>
      <c r="AB155">
        <f>VLOOKUP(Table55[[#This Row],[Shortname]], Comp[], 27, FALSE)</f>
        <v>0</v>
      </c>
      <c r="AC155">
        <f>VLOOKUP(Table55[[#This Row],[Shortname]], Comp[], 28, FALSE)</f>
        <v>0</v>
      </c>
      <c r="AD155">
        <f>VLOOKUP(Table55[[#This Row],[Shortname]], Comp[], 29, FALSE)</f>
        <v>0</v>
      </c>
      <c r="AE155">
        <f>VLOOKUP(Table55[[#This Row],[Shortname]], Comp[], 30, FALSE)</f>
        <v>0</v>
      </c>
      <c r="AF155">
        <f>VLOOKUP(Table55[[#This Row],[Shortname]], Comp[], 31, FALSE)</f>
        <v>0</v>
      </c>
    </row>
    <row r="156" spans="1:32" x14ac:dyDescent="0.3">
      <c r="A156" t="s">
        <v>1926</v>
      </c>
      <c r="B156" t="s">
        <v>1928</v>
      </c>
      <c r="C156" s="21" t="s">
        <v>6716</v>
      </c>
      <c r="D156">
        <v>1194</v>
      </c>
      <c r="E156">
        <v>1304</v>
      </c>
      <c r="F156">
        <v>1374</v>
      </c>
      <c r="H156" s="14">
        <f>VLOOKUP(Table55[[#This Row],[Shortname]], Comp[], 7, FALSE)</f>
        <v>77</v>
      </c>
      <c r="I156">
        <f>VLOOKUP(Table55[[#This Row],[Shortname]], Comp[], 8, FALSE)</f>
        <v>0</v>
      </c>
      <c r="J156">
        <f>VLOOKUP(Table55[[#This Row],[Shortname]], Comp[], 9, FALSE)</f>
        <v>11</v>
      </c>
      <c r="K156">
        <f>VLOOKUP(Table55[[#This Row],[Shortname]], Comp[], 10, FALSE)</f>
        <v>0</v>
      </c>
      <c r="L156">
        <f>VLOOKUP(Table55[[#This Row],[Shortname]], Comp[], 11, FALSE)</f>
        <v>5.5</v>
      </c>
      <c r="M156">
        <f>VLOOKUP(Table55[[#This Row],[Shortname]], Comp[],12, FALSE)</f>
        <v>4</v>
      </c>
      <c r="N156">
        <f>VLOOKUP(Table55[[#This Row],[Shortname]], Comp[], 13, FALSE)</f>
        <v>2.5</v>
      </c>
      <c r="O156">
        <f>VLOOKUP(Table55[[#This Row],[Shortname]], Comp[], 14, FALSE)</f>
        <v>0</v>
      </c>
      <c r="P156">
        <f>VLOOKUP(Table55[[#This Row],[Shortname]], Comp[], 15, FALSE)</f>
        <v>0</v>
      </c>
      <c r="Q156">
        <f>VLOOKUP(Table55[[#This Row],[Shortname]], Comp[], 16, FALSE)</f>
        <v>0</v>
      </c>
      <c r="R156">
        <f>VLOOKUP(Table55[[#This Row],[Shortname]], Comp[], 17, FALSE)</f>
        <v>0</v>
      </c>
      <c r="S156">
        <f>VLOOKUP(Table55[[#This Row],[Shortname]], Comp[], 18, FALSE)</f>
        <v>0</v>
      </c>
      <c r="T156">
        <f>VLOOKUP(Table55[[#This Row],[Shortname]], Comp[], 19, FALSE)</f>
        <v>0</v>
      </c>
      <c r="U156">
        <f>VLOOKUP(Table55[[#This Row],[Shortname]], Comp[], 20, FALSE)</f>
        <v>0</v>
      </c>
      <c r="V156">
        <f>VLOOKUP(Table55[[#This Row],[Shortname]], Comp[], 21, FALSE)</f>
        <v>0</v>
      </c>
      <c r="W156">
        <f>VLOOKUP(Table55[[#This Row],[Shortname]], Comp[], 22, FALSE)</f>
        <v>0</v>
      </c>
      <c r="X156">
        <f>VLOOKUP(Table55[[#This Row],[Shortname]], Comp[], 23, FALSE)</f>
        <v>0</v>
      </c>
      <c r="Y156">
        <f>VLOOKUP(Table55[[#This Row],[Shortname]], Comp[], 24, FALSE)</f>
        <v>0</v>
      </c>
      <c r="Z156">
        <f>VLOOKUP(Table55[[#This Row],[Shortname]], Comp[], 25, FALSE)</f>
        <v>0</v>
      </c>
      <c r="AA156">
        <f>VLOOKUP(Table55[[#This Row],[Shortname]], Comp[], 26, FALSE)</f>
        <v>0</v>
      </c>
      <c r="AB156">
        <f>VLOOKUP(Table55[[#This Row],[Shortname]], Comp[], 27, FALSE)</f>
        <v>0</v>
      </c>
      <c r="AC156">
        <f>VLOOKUP(Table55[[#This Row],[Shortname]], Comp[], 28, FALSE)</f>
        <v>0</v>
      </c>
      <c r="AD156">
        <f>VLOOKUP(Table55[[#This Row],[Shortname]], Comp[], 29, FALSE)</f>
        <v>0</v>
      </c>
      <c r="AE156">
        <f>VLOOKUP(Table55[[#This Row],[Shortname]], Comp[], 30, FALSE)</f>
        <v>0</v>
      </c>
      <c r="AF156">
        <f>VLOOKUP(Table55[[#This Row],[Shortname]], Comp[], 31, FALSE)</f>
        <v>0</v>
      </c>
    </row>
    <row r="157" spans="1:32" x14ac:dyDescent="0.3">
      <c r="A157" t="s">
        <v>1932</v>
      </c>
      <c r="B157" t="s">
        <v>1934</v>
      </c>
      <c r="C157" s="21" t="s">
        <v>6716</v>
      </c>
      <c r="D157">
        <v>1188</v>
      </c>
      <c r="E157">
        <v>1298</v>
      </c>
      <c r="F157">
        <v>1371</v>
      </c>
      <c r="H157" s="14">
        <f>VLOOKUP(Table55[[#This Row],[Shortname]], Comp[], 7, FALSE)</f>
        <v>78.5</v>
      </c>
      <c r="I157">
        <f>VLOOKUP(Table55[[#This Row],[Shortname]], Comp[], 8, FALSE)</f>
        <v>0</v>
      </c>
      <c r="J157">
        <f>VLOOKUP(Table55[[#This Row],[Shortname]], Comp[], 9, FALSE)</f>
        <v>11.5</v>
      </c>
      <c r="K157">
        <f>VLOOKUP(Table55[[#This Row],[Shortname]], Comp[], 10, FALSE)</f>
        <v>0</v>
      </c>
      <c r="L157">
        <f>VLOOKUP(Table55[[#This Row],[Shortname]], Comp[], 11, FALSE)</f>
        <v>3.5</v>
      </c>
      <c r="M157">
        <f>VLOOKUP(Table55[[#This Row],[Shortname]], Comp[],12, FALSE)</f>
        <v>4</v>
      </c>
      <c r="N157">
        <f>VLOOKUP(Table55[[#This Row],[Shortname]], Comp[], 13, FALSE)</f>
        <v>2.5</v>
      </c>
      <c r="O157">
        <f>VLOOKUP(Table55[[#This Row],[Shortname]], Comp[], 14, FALSE)</f>
        <v>0</v>
      </c>
      <c r="P157">
        <f>VLOOKUP(Table55[[#This Row],[Shortname]], Comp[], 15, FALSE)</f>
        <v>0</v>
      </c>
      <c r="Q157">
        <f>VLOOKUP(Table55[[#This Row],[Shortname]], Comp[], 16, FALSE)</f>
        <v>0</v>
      </c>
      <c r="R157">
        <f>VLOOKUP(Table55[[#This Row],[Shortname]], Comp[], 17, FALSE)</f>
        <v>0</v>
      </c>
      <c r="S157">
        <f>VLOOKUP(Table55[[#This Row],[Shortname]], Comp[], 18, FALSE)</f>
        <v>0</v>
      </c>
      <c r="T157">
        <f>VLOOKUP(Table55[[#This Row],[Shortname]], Comp[], 19, FALSE)</f>
        <v>0</v>
      </c>
      <c r="U157">
        <f>VLOOKUP(Table55[[#This Row],[Shortname]], Comp[], 20, FALSE)</f>
        <v>0</v>
      </c>
      <c r="V157">
        <f>VLOOKUP(Table55[[#This Row],[Shortname]], Comp[], 21, FALSE)</f>
        <v>0</v>
      </c>
      <c r="W157">
        <f>VLOOKUP(Table55[[#This Row],[Shortname]], Comp[], 22, FALSE)</f>
        <v>0</v>
      </c>
      <c r="X157">
        <f>VLOOKUP(Table55[[#This Row],[Shortname]], Comp[], 23, FALSE)</f>
        <v>0</v>
      </c>
      <c r="Y157">
        <f>VLOOKUP(Table55[[#This Row],[Shortname]], Comp[], 24, FALSE)</f>
        <v>0</v>
      </c>
      <c r="Z157">
        <f>VLOOKUP(Table55[[#This Row],[Shortname]], Comp[], 25, FALSE)</f>
        <v>0</v>
      </c>
      <c r="AA157">
        <f>VLOOKUP(Table55[[#This Row],[Shortname]], Comp[], 26, FALSE)</f>
        <v>0</v>
      </c>
      <c r="AB157">
        <f>VLOOKUP(Table55[[#This Row],[Shortname]], Comp[], 27, FALSE)</f>
        <v>0</v>
      </c>
      <c r="AC157">
        <f>VLOOKUP(Table55[[#This Row],[Shortname]], Comp[], 28, FALSE)</f>
        <v>0</v>
      </c>
      <c r="AD157">
        <f>VLOOKUP(Table55[[#This Row],[Shortname]], Comp[], 29, FALSE)</f>
        <v>0</v>
      </c>
      <c r="AE157">
        <f>VLOOKUP(Table55[[#This Row],[Shortname]], Comp[], 30, FALSE)</f>
        <v>0</v>
      </c>
      <c r="AF157">
        <f>VLOOKUP(Table55[[#This Row],[Shortname]], Comp[], 31, FALSE)</f>
        <v>0</v>
      </c>
    </row>
    <row r="158" spans="1:32" x14ac:dyDescent="0.3">
      <c r="A158" t="s">
        <v>1948</v>
      </c>
      <c r="B158" t="s">
        <v>1950</v>
      </c>
      <c r="C158" s="21" t="s">
        <v>6716</v>
      </c>
      <c r="D158">
        <v>1135</v>
      </c>
      <c r="E158">
        <v>1336</v>
      </c>
      <c r="F158">
        <v>1404</v>
      </c>
      <c r="H158" s="14">
        <f>VLOOKUP(Table55[[#This Row],[Shortname]], Comp[], 7, FALSE)</f>
        <v>55</v>
      </c>
      <c r="I158">
        <f>VLOOKUP(Table55[[#This Row],[Shortname]], Comp[], 8, FALSE)</f>
        <v>0</v>
      </c>
      <c r="J158">
        <f>VLOOKUP(Table55[[#This Row],[Shortname]], Comp[], 9, FALSE)</f>
        <v>10.5</v>
      </c>
      <c r="K158">
        <f>VLOOKUP(Table55[[#This Row],[Shortname]], Comp[], 10, FALSE)</f>
        <v>0</v>
      </c>
      <c r="L158">
        <f>VLOOKUP(Table55[[#This Row],[Shortname]], Comp[], 11, FALSE)</f>
        <v>7.5</v>
      </c>
      <c r="M158">
        <f>VLOOKUP(Table55[[#This Row],[Shortname]], Comp[],12, FALSE)</f>
        <v>2</v>
      </c>
      <c r="N158">
        <f>VLOOKUP(Table55[[#This Row],[Shortname]], Comp[], 13, FALSE)</f>
        <v>25</v>
      </c>
      <c r="O158">
        <f>VLOOKUP(Table55[[#This Row],[Shortname]], Comp[], 14, FALSE)</f>
        <v>0</v>
      </c>
      <c r="P158">
        <f>VLOOKUP(Table55[[#This Row],[Shortname]], Comp[], 15, FALSE)</f>
        <v>0</v>
      </c>
      <c r="Q158">
        <f>VLOOKUP(Table55[[#This Row],[Shortname]], Comp[], 16, FALSE)</f>
        <v>0</v>
      </c>
      <c r="R158">
        <f>VLOOKUP(Table55[[#This Row],[Shortname]], Comp[], 17, FALSE)</f>
        <v>0</v>
      </c>
      <c r="S158">
        <f>VLOOKUP(Table55[[#This Row],[Shortname]], Comp[], 18, FALSE)</f>
        <v>0</v>
      </c>
      <c r="T158">
        <f>VLOOKUP(Table55[[#This Row],[Shortname]], Comp[], 19, FALSE)</f>
        <v>0</v>
      </c>
      <c r="U158">
        <f>VLOOKUP(Table55[[#This Row],[Shortname]], Comp[], 20, FALSE)</f>
        <v>0</v>
      </c>
      <c r="V158">
        <f>VLOOKUP(Table55[[#This Row],[Shortname]], Comp[], 21, FALSE)</f>
        <v>0</v>
      </c>
      <c r="W158">
        <f>VLOOKUP(Table55[[#This Row],[Shortname]], Comp[], 22, FALSE)</f>
        <v>0</v>
      </c>
      <c r="X158">
        <f>VLOOKUP(Table55[[#This Row],[Shortname]], Comp[], 23, FALSE)</f>
        <v>0</v>
      </c>
      <c r="Y158">
        <f>VLOOKUP(Table55[[#This Row],[Shortname]], Comp[], 24, FALSE)</f>
        <v>0</v>
      </c>
      <c r="Z158">
        <f>VLOOKUP(Table55[[#This Row],[Shortname]], Comp[], 25, FALSE)</f>
        <v>0</v>
      </c>
      <c r="AA158">
        <f>VLOOKUP(Table55[[#This Row],[Shortname]], Comp[], 26, FALSE)</f>
        <v>0</v>
      </c>
      <c r="AB158">
        <f>VLOOKUP(Table55[[#This Row],[Shortname]], Comp[], 27, FALSE)</f>
        <v>0</v>
      </c>
      <c r="AC158">
        <f>VLOOKUP(Table55[[#This Row],[Shortname]], Comp[], 28, FALSE)</f>
        <v>0</v>
      </c>
      <c r="AD158">
        <f>VLOOKUP(Table55[[#This Row],[Shortname]], Comp[], 29, FALSE)</f>
        <v>0</v>
      </c>
      <c r="AE158">
        <f>VLOOKUP(Table55[[#This Row],[Shortname]], Comp[], 30, FALSE)</f>
        <v>0</v>
      </c>
      <c r="AF158">
        <f>VLOOKUP(Table55[[#This Row],[Shortname]], Comp[], 31, FALSE)</f>
        <v>0</v>
      </c>
    </row>
    <row r="159" spans="1:32" x14ac:dyDescent="0.3">
      <c r="A159" t="s">
        <v>1955</v>
      </c>
      <c r="B159" t="s">
        <v>1957</v>
      </c>
      <c r="C159" s="21" t="s">
        <v>6716</v>
      </c>
      <c r="D159">
        <v>1126</v>
      </c>
      <c r="E159">
        <v>1337</v>
      </c>
      <c r="F159">
        <v>1403</v>
      </c>
      <c r="H159" s="14">
        <f>VLOOKUP(Table55[[#This Row],[Shortname]], Comp[], 7, FALSE)</f>
        <v>79</v>
      </c>
      <c r="I159">
        <f>VLOOKUP(Table55[[#This Row],[Shortname]], Comp[], 8, FALSE)</f>
        <v>0</v>
      </c>
      <c r="J159">
        <f>VLOOKUP(Table55[[#This Row],[Shortname]], Comp[], 9, FALSE)</f>
        <v>11</v>
      </c>
      <c r="K159">
        <f>VLOOKUP(Table55[[#This Row],[Shortname]], Comp[], 10, FALSE)</f>
        <v>0</v>
      </c>
      <c r="L159">
        <f>VLOOKUP(Table55[[#This Row],[Shortname]], Comp[], 11, FALSE)</f>
        <v>5.5</v>
      </c>
      <c r="M159">
        <f>VLOOKUP(Table55[[#This Row],[Shortname]], Comp[],12, FALSE)</f>
        <v>2</v>
      </c>
      <c r="N159">
        <f>VLOOKUP(Table55[[#This Row],[Shortname]], Comp[], 13, FALSE)</f>
        <v>2.5</v>
      </c>
      <c r="O159">
        <f>VLOOKUP(Table55[[#This Row],[Shortname]], Comp[], 14, FALSE)</f>
        <v>0</v>
      </c>
      <c r="P159">
        <f>VLOOKUP(Table55[[#This Row],[Shortname]], Comp[], 15, FALSE)</f>
        <v>0</v>
      </c>
      <c r="Q159">
        <f>VLOOKUP(Table55[[#This Row],[Shortname]], Comp[], 16, FALSE)</f>
        <v>0</v>
      </c>
      <c r="R159">
        <f>VLOOKUP(Table55[[#This Row],[Shortname]], Comp[], 17, FALSE)</f>
        <v>0</v>
      </c>
      <c r="S159">
        <f>VLOOKUP(Table55[[#This Row],[Shortname]], Comp[], 18, FALSE)</f>
        <v>0</v>
      </c>
      <c r="T159">
        <f>VLOOKUP(Table55[[#This Row],[Shortname]], Comp[], 19, FALSE)</f>
        <v>0</v>
      </c>
      <c r="U159">
        <f>VLOOKUP(Table55[[#This Row],[Shortname]], Comp[], 20, FALSE)</f>
        <v>0</v>
      </c>
      <c r="V159">
        <f>VLOOKUP(Table55[[#This Row],[Shortname]], Comp[], 21, FALSE)</f>
        <v>0</v>
      </c>
      <c r="W159">
        <f>VLOOKUP(Table55[[#This Row],[Shortname]], Comp[], 22, FALSE)</f>
        <v>0</v>
      </c>
      <c r="X159">
        <f>VLOOKUP(Table55[[#This Row],[Shortname]], Comp[], 23, FALSE)</f>
        <v>0</v>
      </c>
      <c r="Y159">
        <f>VLOOKUP(Table55[[#This Row],[Shortname]], Comp[], 24, FALSE)</f>
        <v>0</v>
      </c>
      <c r="Z159">
        <f>VLOOKUP(Table55[[#This Row],[Shortname]], Comp[], 25, FALSE)</f>
        <v>0</v>
      </c>
      <c r="AA159">
        <f>VLOOKUP(Table55[[#This Row],[Shortname]], Comp[], 26, FALSE)</f>
        <v>0</v>
      </c>
      <c r="AB159">
        <f>VLOOKUP(Table55[[#This Row],[Shortname]], Comp[], 27, FALSE)</f>
        <v>0</v>
      </c>
      <c r="AC159">
        <f>VLOOKUP(Table55[[#This Row],[Shortname]], Comp[], 28, FALSE)</f>
        <v>0</v>
      </c>
      <c r="AD159">
        <f>VLOOKUP(Table55[[#This Row],[Shortname]], Comp[], 29, FALSE)</f>
        <v>0</v>
      </c>
      <c r="AE159">
        <f>VLOOKUP(Table55[[#This Row],[Shortname]], Comp[], 30, FALSE)</f>
        <v>0</v>
      </c>
      <c r="AF159">
        <f>VLOOKUP(Table55[[#This Row],[Shortname]], Comp[], 31, FALSE)</f>
        <v>0</v>
      </c>
    </row>
    <row r="160" spans="1:32" x14ac:dyDescent="0.3">
      <c r="A160" t="s">
        <v>1913</v>
      </c>
      <c r="B160" t="s">
        <v>1915</v>
      </c>
      <c r="C160" s="21" t="s">
        <v>6716</v>
      </c>
      <c r="D160">
        <v>1088</v>
      </c>
      <c r="E160">
        <v>1355</v>
      </c>
      <c r="F160">
        <v>1403</v>
      </c>
      <c r="H160" s="14">
        <f>VLOOKUP(Table55[[#This Row],[Shortname]], Comp[], 7, FALSE)</f>
        <v>82</v>
      </c>
      <c r="I160">
        <f>VLOOKUP(Table55[[#This Row],[Shortname]], Comp[], 8, FALSE)</f>
        <v>0</v>
      </c>
      <c r="J160">
        <f>VLOOKUP(Table55[[#This Row],[Shortname]], Comp[], 9, FALSE)</f>
        <v>7</v>
      </c>
      <c r="K160">
        <f>VLOOKUP(Table55[[#This Row],[Shortname]], Comp[], 10, FALSE)</f>
        <v>0</v>
      </c>
      <c r="L160">
        <f>VLOOKUP(Table55[[#This Row],[Shortname]], Comp[], 11, FALSE)</f>
        <v>5</v>
      </c>
      <c r="M160">
        <f>VLOOKUP(Table55[[#This Row],[Shortname]], Comp[],12, FALSE)</f>
        <v>4</v>
      </c>
      <c r="N160">
        <f>VLOOKUP(Table55[[#This Row],[Shortname]], Comp[], 13, FALSE)</f>
        <v>2</v>
      </c>
      <c r="O160">
        <f>VLOOKUP(Table55[[#This Row],[Shortname]], Comp[], 14, FALSE)</f>
        <v>0</v>
      </c>
      <c r="P160">
        <f>VLOOKUP(Table55[[#This Row],[Shortname]], Comp[], 15, FALSE)</f>
        <v>0</v>
      </c>
      <c r="Q160">
        <f>VLOOKUP(Table55[[#This Row],[Shortname]], Comp[], 16, FALSE)</f>
        <v>0</v>
      </c>
      <c r="R160">
        <f>VLOOKUP(Table55[[#This Row],[Shortname]], Comp[], 17, FALSE)</f>
        <v>0</v>
      </c>
      <c r="S160">
        <f>VLOOKUP(Table55[[#This Row],[Shortname]], Comp[], 18, FALSE)</f>
        <v>0</v>
      </c>
      <c r="T160">
        <f>VLOOKUP(Table55[[#This Row],[Shortname]], Comp[], 19, FALSE)</f>
        <v>0</v>
      </c>
      <c r="U160">
        <f>VLOOKUP(Table55[[#This Row],[Shortname]], Comp[], 20, FALSE)</f>
        <v>0</v>
      </c>
      <c r="V160">
        <f>VLOOKUP(Table55[[#This Row],[Shortname]], Comp[], 21, FALSE)</f>
        <v>0</v>
      </c>
      <c r="W160">
        <f>VLOOKUP(Table55[[#This Row],[Shortname]], Comp[], 22, FALSE)</f>
        <v>0</v>
      </c>
      <c r="X160">
        <f>VLOOKUP(Table55[[#This Row],[Shortname]], Comp[], 23, FALSE)</f>
        <v>0</v>
      </c>
      <c r="Y160">
        <f>VLOOKUP(Table55[[#This Row],[Shortname]], Comp[], 24, FALSE)</f>
        <v>0</v>
      </c>
      <c r="Z160">
        <f>VLOOKUP(Table55[[#This Row],[Shortname]], Comp[], 25, FALSE)</f>
        <v>0</v>
      </c>
      <c r="AA160">
        <f>VLOOKUP(Table55[[#This Row],[Shortname]], Comp[], 26, FALSE)</f>
        <v>0</v>
      </c>
      <c r="AB160">
        <f>VLOOKUP(Table55[[#This Row],[Shortname]], Comp[], 27, FALSE)</f>
        <v>0</v>
      </c>
      <c r="AC160">
        <f>VLOOKUP(Table55[[#This Row],[Shortname]], Comp[], 28, FALSE)</f>
        <v>0</v>
      </c>
      <c r="AD160">
        <f>VLOOKUP(Table55[[#This Row],[Shortname]], Comp[], 29, FALSE)</f>
        <v>0</v>
      </c>
      <c r="AE160">
        <f>VLOOKUP(Table55[[#This Row],[Shortname]], Comp[], 30, FALSE)</f>
        <v>0</v>
      </c>
      <c r="AF160">
        <f>VLOOKUP(Table55[[#This Row],[Shortname]], Comp[], 31, FALSE)</f>
        <v>0</v>
      </c>
    </row>
    <row r="161" spans="1:32" x14ac:dyDescent="0.3">
      <c r="A161" s="7" t="s">
        <v>1994</v>
      </c>
      <c r="B161" s="7" t="s">
        <v>1996</v>
      </c>
      <c r="C161" t="s">
        <v>6717</v>
      </c>
      <c r="D161">
        <v>975</v>
      </c>
      <c r="E161">
        <v>1404</v>
      </c>
      <c r="F161">
        <v>1432</v>
      </c>
      <c r="H161" s="14">
        <f>VLOOKUP(Table55[[#This Row],[Shortname]], Comp[], 7, FALSE)</f>
        <v>62.900000000000006</v>
      </c>
      <c r="I161">
        <f>VLOOKUP(Table55[[#This Row],[Shortname]], Comp[], 8, FALSE)</f>
        <v>19.600000000000001</v>
      </c>
      <c r="J161">
        <f>VLOOKUP(Table55[[#This Row],[Shortname]], Comp[], 9, FALSE)</f>
        <v>10.199999999999999</v>
      </c>
      <c r="K161">
        <f>VLOOKUP(Table55[[#This Row],[Shortname]], Comp[], 10, FALSE)</f>
        <v>0</v>
      </c>
      <c r="L161">
        <f>VLOOKUP(Table55[[#This Row],[Shortname]], Comp[], 11, FALSE)</f>
        <v>7</v>
      </c>
      <c r="M161">
        <f>VLOOKUP(Table55[[#This Row],[Shortname]], Comp[],12, FALSE)</f>
        <v>0</v>
      </c>
      <c r="N161">
        <f>VLOOKUP(Table55[[#This Row],[Shortname]], Comp[], 13, FALSE)</f>
        <v>0</v>
      </c>
      <c r="O161">
        <f>VLOOKUP(Table55[[#This Row],[Shortname]], Comp[], 14, FALSE)</f>
        <v>0</v>
      </c>
      <c r="P161">
        <f>VLOOKUP(Table55[[#This Row],[Shortname]], Comp[], 15, FALSE)</f>
        <v>0</v>
      </c>
      <c r="Q161">
        <f>VLOOKUP(Table55[[#This Row],[Shortname]], Comp[], 16, FALSE)</f>
        <v>0</v>
      </c>
      <c r="R161">
        <f>VLOOKUP(Table55[[#This Row],[Shortname]], Comp[], 17, FALSE)</f>
        <v>0</v>
      </c>
      <c r="S161">
        <f>VLOOKUP(Table55[[#This Row],[Shortname]], Comp[], 18, FALSE)</f>
        <v>0</v>
      </c>
      <c r="T161">
        <f>VLOOKUP(Table55[[#This Row],[Shortname]], Comp[], 19, FALSE)</f>
        <v>0</v>
      </c>
      <c r="U161">
        <f>VLOOKUP(Table55[[#This Row],[Shortname]], Comp[], 20, FALSE)</f>
        <v>0</v>
      </c>
      <c r="V161">
        <f>VLOOKUP(Table55[[#This Row],[Shortname]], Comp[], 21, FALSE)</f>
        <v>0</v>
      </c>
      <c r="W161">
        <f>VLOOKUP(Table55[[#This Row],[Shortname]], Comp[], 22, FALSE)</f>
        <v>0.3</v>
      </c>
      <c r="X161">
        <f>VLOOKUP(Table55[[#This Row],[Shortname]], Comp[], 23, FALSE)</f>
        <v>0</v>
      </c>
      <c r="Y161">
        <f>VLOOKUP(Table55[[#This Row],[Shortname]], Comp[], 24, FALSE)</f>
        <v>0</v>
      </c>
      <c r="Z161">
        <f>VLOOKUP(Table55[[#This Row],[Shortname]], Comp[], 25, FALSE)</f>
        <v>0</v>
      </c>
      <c r="AA161">
        <f>VLOOKUP(Table55[[#This Row],[Shortname]], Comp[], 26, FALSE)</f>
        <v>0</v>
      </c>
      <c r="AB161">
        <f>VLOOKUP(Table55[[#This Row],[Shortname]], Comp[], 27, FALSE)</f>
        <v>0</v>
      </c>
      <c r="AC161">
        <f>VLOOKUP(Table55[[#This Row],[Shortname]], Comp[], 28, FALSE)</f>
        <v>0</v>
      </c>
      <c r="AD161">
        <f>VLOOKUP(Table55[[#This Row],[Shortname]], Comp[], 29, FALSE)</f>
        <v>0</v>
      </c>
      <c r="AE161">
        <f>VLOOKUP(Table55[[#This Row],[Shortname]], Comp[], 30, FALSE)</f>
        <v>0</v>
      </c>
      <c r="AF161">
        <f>VLOOKUP(Table55[[#This Row],[Shortname]], Comp[], 31, FALSE)</f>
        <v>0</v>
      </c>
    </row>
    <row r="162" spans="1:32" x14ac:dyDescent="0.3">
      <c r="A162" s="7" t="s">
        <v>1961</v>
      </c>
      <c r="B162" s="7" t="s">
        <v>1813</v>
      </c>
      <c r="C162" t="s">
        <v>6717</v>
      </c>
      <c r="D162">
        <v>974</v>
      </c>
      <c r="E162">
        <v>1417</v>
      </c>
      <c r="F162">
        <v>1439</v>
      </c>
      <c r="H162" s="14">
        <f>VLOOKUP(Table55[[#This Row],[Shortname]], Comp[], 7, FALSE)</f>
        <v>63.2</v>
      </c>
      <c r="I162">
        <f>VLOOKUP(Table55[[#This Row],[Shortname]], Comp[], 8, FALSE)</f>
        <v>19.5</v>
      </c>
      <c r="J162">
        <f>VLOOKUP(Table55[[#This Row],[Shortname]], Comp[], 9, FALSE)</f>
        <v>10.199999999999999</v>
      </c>
      <c r="K162">
        <f>VLOOKUP(Table55[[#This Row],[Shortname]], Comp[], 10, FALSE)</f>
        <v>0</v>
      </c>
      <c r="L162">
        <f>VLOOKUP(Table55[[#This Row],[Shortname]], Comp[], 11, FALSE)</f>
        <v>7.1</v>
      </c>
      <c r="M162">
        <f>VLOOKUP(Table55[[#This Row],[Shortname]], Comp[],12, FALSE)</f>
        <v>0</v>
      </c>
      <c r="N162">
        <f>VLOOKUP(Table55[[#This Row],[Shortname]], Comp[], 13, FALSE)</f>
        <v>0</v>
      </c>
      <c r="O162">
        <f>VLOOKUP(Table55[[#This Row],[Shortname]], Comp[], 14, FALSE)</f>
        <v>0</v>
      </c>
      <c r="P162">
        <f>VLOOKUP(Table55[[#This Row],[Shortname]], Comp[], 15, FALSE)</f>
        <v>0</v>
      </c>
      <c r="Q162">
        <f>VLOOKUP(Table55[[#This Row],[Shortname]], Comp[], 16, FALSE)</f>
        <v>0</v>
      </c>
      <c r="R162">
        <f>VLOOKUP(Table55[[#This Row],[Shortname]], Comp[], 17, FALSE)</f>
        <v>0</v>
      </c>
      <c r="S162">
        <f>VLOOKUP(Table55[[#This Row],[Shortname]], Comp[], 18, FALSE)</f>
        <v>0</v>
      </c>
      <c r="T162">
        <f>VLOOKUP(Table55[[#This Row],[Shortname]], Comp[], 19, FALSE)</f>
        <v>0</v>
      </c>
      <c r="U162">
        <f>VLOOKUP(Table55[[#This Row],[Shortname]], Comp[], 20, FALSE)</f>
        <v>0</v>
      </c>
      <c r="V162">
        <f>VLOOKUP(Table55[[#This Row],[Shortname]], Comp[], 21, FALSE)</f>
        <v>0</v>
      </c>
      <c r="W162">
        <f>VLOOKUP(Table55[[#This Row],[Shortname]], Comp[], 22, FALSE)</f>
        <v>0</v>
      </c>
      <c r="X162">
        <f>VLOOKUP(Table55[[#This Row],[Shortname]], Comp[], 23, FALSE)</f>
        <v>0</v>
      </c>
      <c r="Y162">
        <f>VLOOKUP(Table55[[#This Row],[Shortname]], Comp[], 24, FALSE)</f>
        <v>0</v>
      </c>
      <c r="Z162">
        <f>VLOOKUP(Table55[[#This Row],[Shortname]], Comp[], 25, FALSE)</f>
        <v>0</v>
      </c>
      <c r="AA162">
        <f>VLOOKUP(Table55[[#This Row],[Shortname]], Comp[], 26, FALSE)</f>
        <v>0</v>
      </c>
      <c r="AB162">
        <f>VLOOKUP(Table55[[#This Row],[Shortname]], Comp[], 27, FALSE)</f>
        <v>0</v>
      </c>
      <c r="AC162">
        <f>VLOOKUP(Table55[[#This Row],[Shortname]], Comp[], 28, FALSE)</f>
        <v>0</v>
      </c>
      <c r="AD162">
        <f>VLOOKUP(Table55[[#This Row],[Shortname]], Comp[], 29, FALSE)</f>
        <v>0</v>
      </c>
      <c r="AE162">
        <f>VLOOKUP(Table55[[#This Row],[Shortname]], Comp[], 30, FALSE)</f>
        <v>0</v>
      </c>
      <c r="AF162">
        <f>VLOOKUP(Table55[[#This Row],[Shortname]], Comp[], 31, FALSE)</f>
        <v>0</v>
      </c>
    </row>
    <row r="163" spans="1:32" x14ac:dyDescent="0.3">
      <c r="A163" t="s">
        <v>2001</v>
      </c>
      <c r="B163" t="s">
        <v>2002</v>
      </c>
      <c r="C163" t="s">
        <v>6717</v>
      </c>
      <c r="D163">
        <v>973</v>
      </c>
      <c r="E163">
        <v>1390</v>
      </c>
      <c r="F163">
        <v>1424</v>
      </c>
      <c r="H163" s="14">
        <f>VLOOKUP(Table55[[#This Row],[Shortname]], Comp[], 7, FALSE)</f>
        <v>62.5</v>
      </c>
      <c r="I163">
        <f>VLOOKUP(Table55[[#This Row],[Shortname]], Comp[], 8, FALSE)</f>
        <v>19.600000000000001</v>
      </c>
      <c r="J163">
        <f>VLOOKUP(Table55[[#This Row],[Shortname]], Comp[], 9, FALSE)</f>
        <v>10</v>
      </c>
      <c r="K163">
        <f>VLOOKUP(Table55[[#This Row],[Shortname]], Comp[], 10, FALSE)</f>
        <v>0</v>
      </c>
      <c r="L163">
        <f>VLOOKUP(Table55[[#This Row],[Shortname]], Comp[], 11, FALSE)</f>
        <v>6.9</v>
      </c>
      <c r="M163">
        <f>VLOOKUP(Table55[[#This Row],[Shortname]], Comp[],12, FALSE)</f>
        <v>0</v>
      </c>
      <c r="N163">
        <f>VLOOKUP(Table55[[#This Row],[Shortname]], Comp[], 13, FALSE)</f>
        <v>0</v>
      </c>
      <c r="O163">
        <f>VLOOKUP(Table55[[#This Row],[Shortname]], Comp[], 14, FALSE)</f>
        <v>0</v>
      </c>
      <c r="P163">
        <f>VLOOKUP(Table55[[#This Row],[Shortname]], Comp[], 15, FALSE)</f>
        <v>0</v>
      </c>
      <c r="Q163">
        <f>VLOOKUP(Table55[[#This Row],[Shortname]], Comp[], 16, FALSE)</f>
        <v>0</v>
      </c>
      <c r="R163">
        <f>VLOOKUP(Table55[[#This Row],[Shortname]], Comp[], 17, FALSE)</f>
        <v>0</v>
      </c>
      <c r="S163">
        <f>VLOOKUP(Table55[[#This Row],[Shortname]], Comp[], 18, FALSE)</f>
        <v>0</v>
      </c>
      <c r="T163">
        <f>VLOOKUP(Table55[[#This Row],[Shortname]], Comp[], 19, FALSE)</f>
        <v>0</v>
      </c>
      <c r="U163">
        <f>VLOOKUP(Table55[[#This Row],[Shortname]], Comp[], 20, FALSE)</f>
        <v>0</v>
      </c>
      <c r="V163">
        <f>VLOOKUP(Table55[[#This Row],[Shortname]], Comp[], 21, FALSE)</f>
        <v>0</v>
      </c>
      <c r="W163">
        <f>VLOOKUP(Table55[[#This Row],[Shortname]], Comp[], 22, FALSE)</f>
        <v>1</v>
      </c>
      <c r="X163">
        <f>VLOOKUP(Table55[[#This Row],[Shortname]], Comp[], 23, FALSE)</f>
        <v>0</v>
      </c>
      <c r="Y163">
        <f>VLOOKUP(Table55[[#This Row],[Shortname]], Comp[], 24, FALSE)</f>
        <v>0</v>
      </c>
      <c r="Z163">
        <f>VLOOKUP(Table55[[#This Row],[Shortname]], Comp[], 25, FALSE)</f>
        <v>0</v>
      </c>
      <c r="AA163">
        <f>VLOOKUP(Table55[[#This Row],[Shortname]], Comp[], 26, FALSE)</f>
        <v>0</v>
      </c>
      <c r="AB163">
        <f>VLOOKUP(Table55[[#This Row],[Shortname]], Comp[], 27, FALSE)</f>
        <v>0</v>
      </c>
      <c r="AC163">
        <f>VLOOKUP(Table55[[#This Row],[Shortname]], Comp[], 28, FALSE)</f>
        <v>0</v>
      </c>
      <c r="AD163">
        <f>VLOOKUP(Table55[[#This Row],[Shortname]], Comp[], 29, FALSE)</f>
        <v>0</v>
      </c>
      <c r="AE163">
        <f>VLOOKUP(Table55[[#This Row],[Shortname]], Comp[], 30, FALSE)</f>
        <v>0</v>
      </c>
      <c r="AF163">
        <f>VLOOKUP(Table55[[#This Row],[Shortname]], Comp[], 31, FALSE)</f>
        <v>0</v>
      </c>
    </row>
    <row r="164" spans="1:32" x14ac:dyDescent="0.3">
      <c r="A164" s="7" t="s">
        <v>2008</v>
      </c>
      <c r="B164" s="7" t="s">
        <v>2009</v>
      </c>
      <c r="C164" t="s">
        <v>6717</v>
      </c>
      <c r="D164">
        <v>966</v>
      </c>
      <c r="E164">
        <v>1359</v>
      </c>
      <c r="F164">
        <v>1410</v>
      </c>
      <c r="H164" s="14">
        <f>VLOOKUP(Table55[[#This Row],[Shortname]], Comp[], 7, FALSE)</f>
        <v>61.5</v>
      </c>
      <c r="I164">
        <f>VLOOKUP(Table55[[#This Row],[Shortname]], Comp[], 8, FALSE)</f>
        <v>19.8</v>
      </c>
      <c r="J164">
        <f>VLOOKUP(Table55[[#This Row],[Shortname]], Comp[], 9, FALSE)</f>
        <v>10.199999999999999</v>
      </c>
      <c r="K164">
        <f>VLOOKUP(Table55[[#This Row],[Shortname]], Comp[], 10, FALSE)</f>
        <v>0</v>
      </c>
      <c r="L164">
        <f>VLOOKUP(Table55[[#This Row],[Shortname]], Comp[], 11, FALSE)</f>
        <v>6.7</v>
      </c>
      <c r="M164">
        <f>VLOOKUP(Table55[[#This Row],[Shortname]], Comp[],12, FALSE)</f>
        <v>0</v>
      </c>
      <c r="N164">
        <f>VLOOKUP(Table55[[#This Row],[Shortname]], Comp[], 13, FALSE)</f>
        <v>0</v>
      </c>
      <c r="O164">
        <f>VLOOKUP(Table55[[#This Row],[Shortname]], Comp[], 14, FALSE)</f>
        <v>0</v>
      </c>
      <c r="P164">
        <f>VLOOKUP(Table55[[#This Row],[Shortname]], Comp[], 15, FALSE)</f>
        <v>0</v>
      </c>
      <c r="Q164">
        <f>VLOOKUP(Table55[[#This Row],[Shortname]], Comp[], 16, FALSE)</f>
        <v>0</v>
      </c>
      <c r="R164">
        <f>VLOOKUP(Table55[[#This Row],[Shortname]], Comp[], 17, FALSE)</f>
        <v>0</v>
      </c>
      <c r="S164">
        <f>VLOOKUP(Table55[[#This Row],[Shortname]], Comp[], 18, FALSE)</f>
        <v>0</v>
      </c>
      <c r="T164">
        <f>VLOOKUP(Table55[[#This Row],[Shortname]], Comp[], 19, FALSE)</f>
        <v>0</v>
      </c>
      <c r="U164">
        <f>VLOOKUP(Table55[[#This Row],[Shortname]], Comp[], 20, FALSE)</f>
        <v>0</v>
      </c>
      <c r="V164">
        <f>VLOOKUP(Table55[[#This Row],[Shortname]], Comp[], 21, FALSE)</f>
        <v>0</v>
      </c>
      <c r="W164">
        <f>VLOOKUP(Table55[[#This Row],[Shortname]], Comp[], 22, FALSE)</f>
        <v>1.8</v>
      </c>
      <c r="X164">
        <f>VLOOKUP(Table55[[#This Row],[Shortname]], Comp[], 23, FALSE)</f>
        <v>0</v>
      </c>
      <c r="Y164">
        <f>VLOOKUP(Table55[[#This Row],[Shortname]], Comp[], 24, FALSE)</f>
        <v>0</v>
      </c>
      <c r="Z164">
        <f>VLOOKUP(Table55[[#This Row],[Shortname]], Comp[], 25, FALSE)</f>
        <v>0</v>
      </c>
      <c r="AA164">
        <f>VLOOKUP(Table55[[#This Row],[Shortname]], Comp[], 26, FALSE)</f>
        <v>0</v>
      </c>
      <c r="AB164">
        <f>VLOOKUP(Table55[[#This Row],[Shortname]], Comp[], 27, FALSE)</f>
        <v>0</v>
      </c>
      <c r="AC164">
        <f>VLOOKUP(Table55[[#This Row],[Shortname]], Comp[], 28, FALSE)</f>
        <v>0</v>
      </c>
      <c r="AD164">
        <f>VLOOKUP(Table55[[#This Row],[Shortname]], Comp[], 29, FALSE)</f>
        <v>0</v>
      </c>
      <c r="AE164">
        <f>VLOOKUP(Table55[[#This Row],[Shortname]], Comp[], 30, FALSE)</f>
        <v>0</v>
      </c>
      <c r="AF164">
        <f>VLOOKUP(Table55[[#This Row],[Shortname]], Comp[], 31, FALSE)</f>
        <v>0</v>
      </c>
    </row>
    <row r="165" spans="1:32" x14ac:dyDescent="0.3">
      <c r="A165" t="s">
        <v>1969</v>
      </c>
      <c r="B165" t="s">
        <v>1971</v>
      </c>
      <c r="C165" t="s">
        <v>6717</v>
      </c>
      <c r="D165">
        <v>936</v>
      </c>
      <c r="E165">
        <v>1410</v>
      </c>
      <c r="F165">
        <v>1432</v>
      </c>
      <c r="H165" s="14">
        <f>VLOOKUP(Table55[[#This Row],[Shortname]], Comp[], 7, FALSE)</f>
        <v>58.099999999999994</v>
      </c>
      <c r="I165">
        <f>VLOOKUP(Table55[[#This Row],[Shortname]], Comp[], 8, FALSE)</f>
        <v>19.600000000000001</v>
      </c>
      <c r="J165">
        <f>VLOOKUP(Table55[[#This Row],[Shortname]], Comp[], 9, FALSE)</f>
        <v>10.3</v>
      </c>
      <c r="K165">
        <f>VLOOKUP(Table55[[#This Row],[Shortname]], Comp[], 10, FALSE)</f>
        <v>0</v>
      </c>
      <c r="L165">
        <f>VLOOKUP(Table55[[#This Row],[Shortname]], Comp[], 11, FALSE)</f>
        <v>6.8</v>
      </c>
      <c r="M165">
        <f>VLOOKUP(Table55[[#This Row],[Shortname]], Comp[],12, FALSE)</f>
        <v>0</v>
      </c>
      <c r="N165">
        <f>VLOOKUP(Table55[[#This Row],[Shortname]], Comp[], 13, FALSE)</f>
        <v>0</v>
      </c>
      <c r="O165">
        <f>VLOOKUP(Table55[[#This Row],[Shortname]], Comp[], 14, FALSE)</f>
        <v>0</v>
      </c>
      <c r="P165">
        <f>VLOOKUP(Table55[[#This Row],[Shortname]], Comp[], 15, FALSE)</f>
        <v>0</v>
      </c>
      <c r="Q165">
        <f>VLOOKUP(Table55[[#This Row],[Shortname]], Comp[], 16, FALSE)</f>
        <v>0</v>
      </c>
      <c r="R165">
        <f>VLOOKUP(Table55[[#This Row],[Shortname]], Comp[], 17, FALSE)</f>
        <v>0</v>
      </c>
      <c r="S165">
        <f>VLOOKUP(Table55[[#This Row],[Shortname]], Comp[], 18, FALSE)</f>
        <v>0</v>
      </c>
      <c r="T165">
        <f>VLOOKUP(Table55[[#This Row],[Shortname]], Comp[], 19, FALSE)</f>
        <v>0</v>
      </c>
      <c r="U165">
        <f>VLOOKUP(Table55[[#This Row],[Shortname]], Comp[], 20, FALSE)</f>
        <v>0</v>
      </c>
      <c r="V165">
        <f>VLOOKUP(Table55[[#This Row],[Shortname]], Comp[], 21, FALSE)</f>
        <v>0</v>
      </c>
      <c r="W165">
        <f>VLOOKUP(Table55[[#This Row],[Shortname]], Comp[], 22, FALSE)</f>
        <v>0</v>
      </c>
      <c r="X165">
        <f>VLOOKUP(Table55[[#This Row],[Shortname]], Comp[], 23, FALSE)</f>
        <v>5.2</v>
      </c>
      <c r="Y165">
        <f>VLOOKUP(Table55[[#This Row],[Shortname]], Comp[], 24, FALSE)</f>
        <v>0</v>
      </c>
      <c r="Z165">
        <f>VLOOKUP(Table55[[#This Row],[Shortname]], Comp[], 25, FALSE)</f>
        <v>0</v>
      </c>
      <c r="AA165">
        <f>VLOOKUP(Table55[[#This Row],[Shortname]], Comp[], 26, FALSE)</f>
        <v>0</v>
      </c>
      <c r="AB165">
        <f>VLOOKUP(Table55[[#This Row],[Shortname]], Comp[], 27, FALSE)</f>
        <v>0</v>
      </c>
      <c r="AC165">
        <f>VLOOKUP(Table55[[#This Row],[Shortname]], Comp[], 28, FALSE)</f>
        <v>0</v>
      </c>
      <c r="AD165">
        <f>VLOOKUP(Table55[[#This Row],[Shortname]], Comp[], 29, FALSE)</f>
        <v>0</v>
      </c>
      <c r="AE165">
        <f>VLOOKUP(Table55[[#This Row],[Shortname]], Comp[], 30, FALSE)</f>
        <v>0</v>
      </c>
      <c r="AF165">
        <f>VLOOKUP(Table55[[#This Row],[Shortname]], Comp[], 31, FALSE)</f>
        <v>0</v>
      </c>
    </row>
    <row r="166" spans="1:32" x14ac:dyDescent="0.3">
      <c r="A166" s="7" t="s">
        <v>1978</v>
      </c>
      <c r="B166" s="7" t="s">
        <v>1980</v>
      </c>
      <c r="C166" t="s">
        <v>6717</v>
      </c>
      <c r="D166">
        <v>892</v>
      </c>
      <c r="E166">
        <v>1403</v>
      </c>
      <c r="F166">
        <v>1426</v>
      </c>
      <c r="H166" s="14">
        <f>VLOOKUP(Table55[[#This Row],[Shortname]], Comp[], 7, FALSE)</f>
        <v>53.2</v>
      </c>
      <c r="I166">
        <f>VLOOKUP(Table55[[#This Row],[Shortname]], Comp[], 8, FALSE)</f>
        <v>19.8</v>
      </c>
      <c r="J166">
        <f>VLOOKUP(Table55[[#This Row],[Shortname]], Comp[], 9, FALSE)</f>
        <v>10.3</v>
      </c>
      <c r="K166">
        <f>VLOOKUP(Table55[[#This Row],[Shortname]], Comp[], 10, FALSE)</f>
        <v>0</v>
      </c>
      <c r="L166">
        <f>VLOOKUP(Table55[[#This Row],[Shortname]], Comp[], 11, FALSE)</f>
        <v>6.4</v>
      </c>
      <c r="M166">
        <f>VLOOKUP(Table55[[#This Row],[Shortname]], Comp[],12, FALSE)</f>
        <v>0</v>
      </c>
      <c r="N166">
        <f>VLOOKUP(Table55[[#This Row],[Shortname]], Comp[], 13, FALSE)</f>
        <v>0</v>
      </c>
      <c r="O166">
        <f>VLOOKUP(Table55[[#This Row],[Shortname]], Comp[], 14, FALSE)</f>
        <v>0</v>
      </c>
      <c r="P166">
        <f>VLOOKUP(Table55[[#This Row],[Shortname]], Comp[], 15, FALSE)</f>
        <v>0</v>
      </c>
      <c r="Q166">
        <f>VLOOKUP(Table55[[#This Row],[Shortname]], Comp[], 16, FALSE)</f>
        <v>0</v>
      </c>
      <c r="R166">
        <f>VLOOKUP(Table55[[#This Row],[Shortname]], Comp[], 17, FALSE)</f>
        <v>0</v>
      </c>
      <c r="S166">
        <f>VLOOKUP(Table55[[#This Row],[Shortname]], Comp[], 18, FALSE)</f>
        <v>0</v>
      </c>
      <c r="T166">
        <f>VLOOKUP(Table55[[#This Row],[Shortname]], Comp[], 19, FALSE)</f>
        <v>0</v>
      </c>
      <c r="U166">
        <f>VLOOKUP(Table55[[#This Row],[Shortname]], Comp[], 20, FALSE)</f>
        <v>0</v>
      </c>
      <c r="V166">
        <f>VLOOKUP(Table55[[#This Row],[Shortname]], Comp[], 21, FALSE)</f>
        <v>0</v>
      </c>
      <c r="W166">
        <f>VLOOKUP(Table55[[#This Row],[Shortname]], Comp[], 22, FALSE)</f>
        <v>0</v>
      </c>
      <c r="X166">
        <f>VLOOKUP(Table55[[#This Row],[Shortname]], Comp[], 23, FALSE)</f>
        <v>10.3</v>
      </c>
      <c r="Y166">
        <f>VLOOKUP(Table55[[#This Row],[Shortname]], Comp[], 24, FALSE)</f>
        <v>0</v>
      </c>
      <c r="Z166">
        <f>VLOOKUP(Table55[[#This Row],[Shortname]], Comp[], 25, FALSE)</f>
        <v>0</v>
      </c>
      <c r="AA166">
        <f>VLOOKUP(Table55[[#This Row],[Shortname]], Comp[], 26, FALSE)</f>
        <v>0</v>
      </c>
      <c r="AB166">
        <f>VLOOKUP(Table55[[#This Row],[Shortname]], Comp[], 27, FALSE)</f>
        <v>0</v>
      </c>
      <c r="AC166">
        <f>VLOOKUP(Table55[[#This Row],[Shortname]], Comp[], 28, FALSE)</f>
        <v>0</v>
      </c>
      <c r="AD166">
        <f>VLOOKUP(Table55[[#This Row],[Shortname]], Comp[], 29, FALSE)</f>
        <v>0</v>
      </c>
      <c r="AE166">
        <f>VLOOKUP(Table55[[#This Row],[Shortname]], Comp[], 30, FALSE)</f>
        <v>0</v>
      </c>
      <c r="AF166">
        <f>VLOOKUP(Table55[[#This Row],[Shortname]], Comp[], 31, FALSE)</f>
        <v>0</v>
      </c>
    </row>
    <row r="167" spans="1:32" x14ac:dyDescent="0.3">
      <c r="A167" t="s">
        <v>1987</v>
      </c>
      <c r="B167" t="s">
        <v>1989</v>
      </c>
      <c r="C167" t="s">
        <v>6717</v>
      </c>
      <c r="D167">
        <v>860</v>
      </c>
      <c r="E167">
        <v>1395</v>
      </c>
      <c r="F167">
        <v>1419</v>
      </c>
      <c r="H167" s="14">
        <f>VLOOKUP(Table55[[#This Row],[Shortname]], Comp[], 7, FALSE)</f>
        <v>48.2</v>
      </c>
      <c r="I167">
        <f>VLOOKUP(Table55[[#This Row],[Shortname]], Comp[], 8, FALSE)</f>
        <v>19.7</v>
      </c>
      <c r="J167">
        <f>VLOOKUP(Table55[[#This Row],[Shortname]], Comp[], 9, FALSE)</f>
        <v>10.3</v>
      </c>
      <c r="K167">
        <f>VLOOKUP(Table55[[#This Row],[Shortname]], Comp[], 10, FALSE)</f>
        <v>0</v>
      </c>
      <c r="L167">
        <f>VLOOKUP(Table55[[#This Row],[Shortname]], Comp[], 11, FALSE)</f>
        <v>6.5</v>
      </c>
      <c r="M167">
        <f>VLOOKUP(Table55[[#This Row],[Shortname]], Comp[],12, FALSE)</f>
        <v>0</v>
      </c>
      <c r="N167">
        <f>VLOOKUP(Table55[[#This Row],[Shortname]], Comp[], 13, FALSE)</f>
        <v>0</v>
      </c>
      <c r="O167">
        <f>VLOOKUP(Table55[[#This Row],[Shortname]], Comp[], 14, FALSE)</f>
        <v>0</v>
      </c>
      <c r="P167">
        <f>VLOOKUP(Table55[[#This Row],[Shortname]], Comp[], 15, FALSE)</f>
        <v>0</v>
      </c>
      <c r="Q167">
        <f>VLOOKUP(Table55[[#This Row],[Shortname]], Comp[], 16, FALSE)</f>
        <v>0</v>
      </c>
      <c r="R167">
        <f>VLOOKUP(Table55[[#This Row],[Shortname]], Comp[], 17, FALSE)</f>
        <v>0</v>
      </c>
      <c r="S167">
        <f>VLOOKUP(Table55[[#This Row],[Shortname]], Comp[], 18, FALSE)</f>
        <v>0</v>
      </c>
      <c r="T167">
        <f>VLOOKUP(Table55[[#This Row],[Shortname]], Comp[], 19, FALSE)</f>
        <v>0</v>
      </c>
      <c r="U167">
        <f>VLOOKUP(Table55[[#This Row],[Shortname]], Comp[], 20, FALSE)</f>
        <v>0</v>
      </c>
      <c r="V167">
        <f>VLOOKUP(Table55[[#This Row],[Shortname]], Comp[], 21, FALSE)</f>
        <v>0</v>
      </c>
      <c r="W167">
        <f>VLOOKUP(Table55[[#This Row],[Shortname]], Comp[], 22, FALSE)</f>
        <v>0</v>
      </c>
      <c r="X167">
        <f>VLOOKUP(Table55[[#This Row],[Shortname]], Comp[], 23, FALSE)</f>
        <v>15.3</v>
      </c>
      <c r="Y167">
        <f>VLOOKUP(Table55[[#This Row],[Shortname]], Comp[], 24, FALSE)</f>
        <v>0</v>
      </c>
      <c r="Z167">
        <f>VLOOKUP(Table55[[#This Row],[Shortname]], Comp[], 25, FALSE)</f>
        <v>0</v>
      </c>
      <c r="AA167">
        <f>VLOOKUP(Table55[[#This Row],[Shortname]], Comp[], 26, FALSE)</f>
        <v>0</v>
      </c>
      <c r="AB167">
        <f>VLOOKUP(Table55[[#This Row],[Shortname]], Comp[], 27, FALSE)</f>
        <v>0</v>
      </c>
      <c r="AC167">
        <f>VLOOKUP(Table55[[#This Row],[Shortname]], Comp[], 28, FALSE)</f>
        <v>0</v>
      </c>
      <c r="AD167">
        <f>VLOOKUP(Table55[[#This Row],[Shortname]], Comp[], 29, FALSE)</f>
        <v>0</v>
      </c>
      <c r="AE167">
        <f>VLOOKUP(Table55[[#This Row],[Shortname]], Comp[], 30, FALSE)</f>
        <v>0</v>
      </c>
      <c r="AF167">
        <f>VLOOKUP(Table55[[#This Row],[Shortname]], Comp[], 31, FALSE)</f>
        <v>0</v>
      </c>
    </row>
    <row r="168" spans="1:32" x14ac:dyDescent="0.3">
      <c r="A168" t="s">
        <v>2020</v>
      </c>
      <c r="B168" t="s">
        <v>2022</v>
      </c>
      <c r="C168" t="s">
        <v>6718</v>
      </c>
      <c r="D168">
        <v>1167</v>
      </c>
      <c r="E168">
        <v>1366</v>
      </c>
      <c r="F168">
        <v>1419</v>
      </c>
      <c r="H168" s="14">
        <f>VLOOKUP(Table55[[#This Row],[Shortname]], Comp[], 7, FALSE)</f>
        <v>51</v>
      </c>
      <c r="I168">
        <f>VLOOKUP(Table55[[#This Row],[Shortname]], Comp[], 8, FALSE)</f>
        <v>30</v>
      </c>
      <c r="J168">
        <f>VLOOKUP(Table55[[#This Row],[Shortname]], Comp[], 9, FALSE)</f>
        <v>7</v>
      </c>
      <c r="K168">
        <f>VLOOKUP(Table55[[#This Row],[Shortname]], Comp[], 10, FALSE)</f>
        <v>0</v>
      </c>
      <c r="L168">
        <f>VLOOKUP(Table55[[#This Row],[Shortname]], Comp[], 11, FALSE)</f>
        <v>7</v>
      </c>
      <c r="M168">
        <f>VLOOKUP(Table55[[#This Row],[Shortname]], Comp[],12, FALSE)</f>
        <v>4</v>
      </c>
      <c r="N168">
        <f>VLOOKUP(Table55[[#This Row],[Shortname]], Comp[], 13, FALSE)</f>
        <v>1</v>
      </c>
      <c r="O168">
        <f>VLOOKUP(Table55[[#This Row],[Shortname]], Comp[], 14, FALSE)</f>
        <v>0</v>
      </c>
      <c r="P168">
        <f>VLOOKUP(Table55[[#This Row],[Shortname]], Comp[], 15, FALSE)</f>
        <v>0</v>
      </c>
      <c r="Q168">
        <f>VLOOKUP(Table55[[#This Row],[Shortname]], Comp[], 16, FALSE)</f>
        <v>0</v>
      </c>
      <c r="R168">
        <f>VLOOKUP(Table55[[#This Row],[Shortname]], Comp[], 17, FALSE)</f>
        <v>0</v>
      </c>
      <c r="S168">
        <f>VLOOKUP(Table55[[#This Row],[Shortname]], Comp[], 18, FALSE)</f>
        <v>0</v>
      </c>
      <c r="T168">
        <f>VLOOKUP(Table55[[#This Row],[Shortname]], Comp[], 19, FALSE)</f>
        <v>0</v>
      </c>
      <c r="U168">
        <f>VLOOKUP(Table55[[#This Row],[Shortname]], Comp[], 20, FALSE)</f>
        <v>0</v>
      </c>
      <c r="V168">
        <f>VLOOKUP(Table55[[#This Row],[Shortname]], Comp[], 21, FALSE)</f>
        <v>0</v>
      </c>
      <c r="W168">
        <f>VLOOKUP(Table55[[#This Row],[Shortname]], Comp[], 22, FALSE)</f>
        <v>0</v>
      </c>
      <c r="X168">
        <f>VLOOKUP(Table55[[#This Row],[Shortname]], Comp[], 23, FALSE)</f>
        <v>0</v>
      </c>
      <c r="Y168">
        <f>VLOOKUP(Table55[[#This Row],[Shortname]], Comp[], 24, FALSE)</f>
        <v>0</v>
      </c>
      <c r="Z168">
        <f>VLOOKUP(Table55[[#This Row],[Shortname]], Comp[], 25, FALSE)</f>
        <v>0</v>
      </c>
      <c r="AA168">
        <f>VLOOKUP(Table55[[#This Row],[Shortname]], Comp[], 26, FALSE)</f>
        <v>0</v>
      </c>
      <c r="AB168">
        <f>VLOOKUP(Table55[[#This Row],[Shortname]], Comp[], 27, FALSE)</f>
        <v>0</v>
      </c>
      <c r="AC168">
        <f>VLOOKUP(Table55[[#This Row],[Shortname]], Comp[], 28, FALSE)</f>
        <v>0</v>
      </c>
      <c r="AD168">
        <f>VLOOKUP(Table55[[#This Row],[Shortname]], Comp[], 29, FALSE)</f>
        <v>0</v>
      </c>
      <c r="AE168">
        <f>VLOOKUP(Table55[[#This Row],[Shortname]], Comp[], 30, FALSE)</f>
        <v>0</v>
      </c>
      <c r="AF168">
        <f>VLOOKUP(Table55[[#This Row],[Shortname]], Comp[], 31, FALSE)</f>
        <v>0</v>
      </c>
    </row>
    <row r="169" spans="1:32" x14ac:dyDescent="0.3">
      <c r="A169" s="7" t="s">
        <v>2013</v>
      </c>
      <c r="B169" s="7" t="s">
        <v>2015</v>
      </c>
      <c r="C169" t="s">
        <v>6718</v>
      </c>
      <c r="D169">
        <v>1134</v>
      </c>
      <c r="E169">
        <v>1351</v>
      </c>
      <c r="F169">
        <v>1413</v>
      </c>
      <c r="H169" s="14">
        <f>VLOOKUP(Table55[[#This Row],[Shortname]], Comp[], 7, FALSE)</f>
        <v>71</v>
      </c>
      <c r="I169">
        <f>VLOOKUP(Table55[[#This Row],[Shortname]], Comp[], 8, FALSE)</f>
        <v>10</v>
      </c>
      <c r="J169">
        <f>VLOOKUP(Table55[[#This Row],[Shortname]], Comp[], 9, FALSE)</f>
        <v>7</v>
      </c>
      <c r="K169">
        <f>VLOOKUP(Table55[[#This Row],[Shortname]], Comp[], 10, FALSE)</f>
        <v>0</v>
      </c>
      <c r="L169">
        <f>VLOOKUP(Table55[[#This Row],[Shortname]], Comp[], 11, FALSE)</f>
        <v>7</v>
      </c>
      <c r="M169">
        <f>VLOOKUP(Table55[[#This Row],[Shortname]], Comp[],12, FALSE)</f>
        <v>4</v>
      </c>
      <c r="N169">
        <f>VLOOKUP(Table55[[#This Row],[Shortname]], Comp[], 13, FALSE)</f>
        <v>1</v>
      </c>
      <c r="O169">
        <f>VLOOKUP(Table55[[#This Row],[Shortname]], Comp[], 14, FALSE)</f>
        <v>0</v>
      </c>
      <c r="P169">
        <f>VLOOKUP(Table55[[#This Row],[Shortname]], Comp[], 15, FALSE)</f>
        <v>0</v>
      </c>
      <c r="Q169">
        <f>VLOOKUP(Table55[[#This Row],[Shortname]], Comp[], 16, FALSE)</f>
        <v>0</v>
      </c>
      <c r="R169">
        <f>VLOOKUP(Table55[[#This Row],[Shortname]], Comp[], 17, FALSE)</f>
        <v>0</v>
      </c>
      <c r="S169">
        <f>VLOOKUP(Table55[[#This Row],[Shortname]], Comp[], 18, FALSE)</f>
        <v>0</v>
      </c>
      <c r="T169">
        <f>VLOOKUP(Table55[[#This Row],[Shortname]], Comp[], 19, FALSE)</f>
        <v>0</v>
      </c>
      <c r="U169">
        <f>VLOOKUP(Table55[[#This Row],[Shortname]], Comp[], 20, FALSE)</f>
        <v>0</v>
      </c>
      <c r="V169">
        <f>VLOOKUP(Table55[[#This Row],[Shortname]], Comp[], 21, FALSE)</f>
        <v>0</v>
      </c>
      <c r="W169">
        <f>VLOOKUP(Table55[[#This Row],[Shortname]], Comp[], 22, FALSE)</f>
        <v>0</v>
      </c>
      <c r="X169">
        <f>VLOOKUP(Table55[[#This Row],[Shortname]], Comp[], 23, FALSE)</f>
        <v>0</v>
      </c>
      <c r="Y169">
        <f>VLOOKUP(Table55[[#This Row],[Shortname]], Comp[], 24, FALSE)</f>
        <v>0</v>
      </c>
      <c r="Z169">
        <f>VLOOKUP(Table55[[#This Row],[Shortname]], Comp[], 25, FALSE)</f>
        <v>0</v>
      </c>
      <c r="AA169">
        <f>VLOOKUP(Table55[[#This Row],[Shortname]], Comp[], 26, FALSE)</f>
        <v>0</v>
      </c>
      <c r="AB169">
        <f>VLOOKUP(Table55[[#This Row],[Shortname]], Comp[], 27, FALSE)</f>
        <v>0</v>
      </c>
      <c r="AC169">
        <f>VLOOKUP(Table55[[#This Row],[Shortname]], Comp[], 28, FALSE)</f>
        <v>0</v>
      </c>
      <c r="AD169">
        <f>VLOOKUP(Table55[[#This Row],[Shortname]], Comp[], 29, FALSE)</f>
        <v>0</v>
      </c>
      <c r="AE169">
        <f>VLOOKUP(Table55[[#This Row],[Shortname]], Comp[], 30, FALSE)</f>
        <v>0</v>
      </c>
      <c r="AF169">
        <f>VLOOKUP(Table55[[#This Row],[Shortname]], Comp[], 31, FALSE)</f>
        <v>0</v>
      </c>
    </row>
    <row r="170" spans="1:32" x14ac:dyDescent="0.3">
      <c r="A170" t="s">
        <v>2056</v>
      </c>
      <c r="B170" t="s">
        <v>2058</v>
      </c>
      <c r="C170" t="s">
        <v>6718</v>
      </c>
      <c r="D170">
        <v>1126</v>
      </c>
      <c r="E170">
        <v>1317</v>
      </c>
      <c r="F170">
        <v>1385</v>
      </c>
      <c r="H170" s="14">
        <f>VLOOKUP(Table55[[#This Row],[Shortname]], Comp[], 7, FALSE)</f>
        <v>52</v>
      </c>
      <c r="I170">
        <f>VLOOKUP(Table55[[#This Row],[Shortname]], Comp[], 8, FALSE)</f>
        <v>30</v>
      </c>
      <c r="J170">
        <f>VLOOKUP(Table55[[#This Row],[Shortname]], Comp[], 9, FALSE)</f>
        <v>7</v>
      </c>
      <c r="K170">
        <f>VLOOKUP(Table55[[#This Row],[Shortname]], Comp[], 10, FALSE)</f>
        <v>0</v>
      </c>
      <c r="L170">
        <f>VLOOKUP(Table55[[#This Row],[Shortname]], Comp[], 11, FALSE)</f>
        <v>2</v>
      </c>
      <c r="M170">
        <f>VLOOKUP(Table55[[#This Row],[Shortname]], Comp[],12, FALSE)</f>
        <v>4</v>
      </c>
      <c r="N170">
        <f>VLOOKUP(Table55[[#This Row],[Shortname]], Comp[], 13, FALSE)</f>
        <v>1</v>
      </c>
      <c r="O170">
        <f>VLOOKUP(Table55[[#This Row],[Shortname]], Comp[], 14, FALSE)</f>
        <v>1</v>
      </c>
      <c r="P170">
        <f>VLOOKUP(Table55[[#This Row],[Shortname]], Comp[], 15, FALSE)</f>
        <v>0</v>
      </c>
      <c r="Q170">
        <f>VLOOKUP(Table55[[#This Row],[Shortname]], Comp[], 16, FALSE)</f>
        <v>3</v>
      </c>
      <c r="R170">
        <f>VLOOKUP(Table55[[#This Row],[Shortname]], Comp[], 17, FALSE)</f>
        <v>0</v>
      </c>
      <c r="S170">
        <f>VLOOKUP(Table55[[#This Row],[Shortname]], Comp[], 18, FALSE)</f>
        <v>0</v>
      </c>
      <c r="T170">
        <f>VLOOKUP(Table55[[#This Row],[Shortname]], Comp[], 19, FALSE)</f>
        <v>0</v>
      </c>
      <c r="U170">
        <f>VLOOKUP(Table55[[#This Row],[Shortname]], Comp[], 20, FALSE)</f>
        <v>0</v>
      </c>
      <c r="V170">
        <f>VLOOKUP(Table55[[#This Row],[Shortname]], Comp[], 21, FALSE)</f>
        <v>0</v>
      </c>
      <c r="W170">
        <f>VLOOKUP(Table55[[#This Row],[Shortname]], Comp[], 22, FALSE)</f>
        <v>0</v>
      </c>
      <c r="X170">
        <f>VLOOKUP(Table55[[#This Row],[Shortname]], Comp[], 23, FALSE)</f>
        <v>0</v>
      </c>
      <c r="Y170">
        <f>VLOOKUP(Table55[[#This Row],[Shortname]], Comp[], 24, FALSE)</f>
        <v>0</v>
      </c>
      <c r="Z170">
        <f>VLOOKUP(Table55[[#This Row],[Shortname]], Comp[], 25, FALSE)</f>
        <v>0</v>
      </c>
      <c r="AA170">
        <f>VLOOKUP(Table55[[#This Row],[Shortname]], Comp[], 26, FALSE)</f>
        <v>0</v>
      </c>
      <c r="AB170">
        <f>VLOOKUP(Table55[[#This Row],[Shortname]], Comp[], 27, FALSE)</f>
        <v>0</v>
      </c>
      <c r="AC170">
        <f>VLOOKUP(Table55[[#This Row],[Shortname]], Comp[], 28, FALSE)</f>
        <v>0</v>
      </c>
      <c r="AD170">
        <f>VLOOKUP(Table55[[#This Row],[Shortname]], Comp[], 29, FALSE)</f>
        <v>0</v>
      </c>
      <c r="AE170">
        <f>VLOOKUP(Table55[[#This Row],[Shortname]], Comp[], 30, FALSE)</f>
        <v>0</v>
      </c>
      <c r="AF170">
        <f>VLOOKUP(Table55[[#This Row],[Shortname]], Comp[], 31, FALSE)</f>
        <v>0</v>
      </c>
    </row>
    <row r="171" spans="1:32" x14ac:dyDescent="0.3">
      <c r="A171" t="s">
        <v>2044</v>
      </c>
      <c r="B171" t="s">
        <v>2046</v>
      </c>
      <c r="C171" t="s">
        <v>6718</v>
      </c>
      <c r="D171">
        <v>1105</v>
      </c>
      <c r="E171">
        <v>1314</v>
      </c>
      <c r="F171">
        <v>1367</v>
      </c>
      <c r="H171" s="14">
        <f>VLOOKUP(Table55[[#This Row],[Shortname]], Comp[], 7, FALSE)</f>
        <v>52</v>
      </c>
      <c r="I171">
        <f>VLOOKUP(Table55[[#This Row],[Shortname]], Comp[], 8, FALSE)</f>
        <v>30</v>
      </c>
      <c r="J171">
        <f>VLOOKUP(Table55[[#This Row],[Shortname]], Comp[], 9, FALSE)</f>
        <v>7</v>
      </c>
      <c r="K171">
        <f>VLOOKUP(Table55[[#This Row],[Shortname]], Comp[], 10, FALSE)</f>
        <v>0</v>
      </c>
      <c r="L171">
        <f>VLOOKUP(Table55[[#This Row],[Shortname]], Comp[], 11, FALSE)</f>
        <v>0</v>
      </c>
      <c r="M171">
        <f>VLOOKUP(Table55[[#This Row],[Shortname]], Comp[],12, FALSE)</f>
        <v>4</v>
      </c>
      <c r="N171">
        <f>VLOOKUP(Table55[[#This Row],[Shortname]], Comp[], 13, FALSE)</f>
        <v>1</v>
      </c>
      <c r="O171">
        <f>VLOOKUP(Table55[[#This Row],[Shortname]], Comp[], 14, FALSE)</f>
        <v>1</v>
      </c>
      <c r="P171">
        <f>VLOOKUP(Table55[[#This Row],[Shortname]], Comp[], 15, FALSE)</f>
        <v>0</v>
      </c>
      <c r="Q171">
        <f>VLOOKUP(Table55[[#This Row],[Shortname]], Comp[], 16, FALSE)</f>
        <v>5</v>
      </c>
      <c r="R171">
        <f>VLOOKUP(Table55[[#This Row],[Shortname]], Comp[], 17, FALSE)</f>
        <v>0</v>
      </c>
      <c r="S171">
        <f>VLOOKUP(Table55[[#This Row],[Shortname]], Comp[], 18, FALSE)</f>
        <v>0</v>
      </c>
      <c r="T171">
        <f>VLOOKUP(Table55[[#This Row],[Shortname]], Comp[], 19, FALSE)</f>
        <v>0</v>
      </c>
      <c r="U171">
        <f>VLOOKUP(Table55[[#This Row],[Shortname]], Comp[], 20, FALSE)</f>
        <v>0</v>
      </c>
      <c r="V171">
        <f>VLOOKUP(Table55[[#This Row],[Shortname]], Comp[], 21, FALSE)</f>
        <v>0</v>
      </c>
      <c r="W171">
        <f>VLOOKUP(Table55[[#This Row],[Shortname]], Comp[], 22, FALSE)</f>
        <v>0</v>
      </c>
      <c r="X171">
        <f>VLOOKUP(Table55[[#This Row],[Shortname]], Comp[], 23, FALSE)</f>
        <v>0</v>
      </c>
      <c r="Y171">
        <f>VLOOKUP(Table55[[#This Row],[Shortname]], Comp[], 24, FALSE)</f>
        <v>0</v>
      </c>
      <c r="Z171">
        <f>VLOOKUP(Table55[[#This Row],[Shortname]], Comp[], 25, FALSE)</f>
        <v>0</v>
      </c>
      <c r="AA171">
        <f>VLOOKUP(Table55[[#This Row],[Shortname]], Comp[], 26, FALSE)</f>
        <v>0</v>
      </c>
      <c r="AB171">
        <f>VLOOKUP(Table55[[#This Row],[Shortname]], Comp[], 27, FALSE)</f>
        <v>0</v>
      </c>
      <c r="AC171">
        <f>VLOOKUP(Table55[[#This Row],[Shortname]], Comp[], 28, FALSE)</f>
        <v>0</v>
      </c>
      <c r="AD171">
        <f>VLOOKUP(Table55[[#This Row],[Shortname]], Comp[], 29, FALSE)</f>
        <v>0</v>
      </c>
      <c r="AE171">
        <f>VLOOKUP(Table55[[#This Row],[Shortname]], Comp[], 30, FALSE)</f>
        <v>0</v>
      </c>
      <c r="AF171">
        <f>VLOOKUP(Table55[[#This Row],[Shortname]], Comp[], 31, FALSE)</f>
        <v>0</v>
      </c>
    </row>
    <row r="172" spans="1:32" x14ac:dyDescent="0.3">
      <c r="A172" t="s">
        <v>2032</v>
      </c>
      <c r="B172" t="s">
        <v>2034</v>
      </c>
      <c r="C172" t="s">
        <v>6718</v>
      </c>
      <c r="D172">
        <v>1082</v>
      </c>
      <c r="E172">
        <v>1301</v>
      </c>
      <c r="F172">
        <v>1353</v>
      </c>
      <c r="H172" s="14">
        <f>VLOOKUP(Table55[[#This Row],[Shortname]], Comp[], 7, FALSE)</f>
        <v>52</v>
      </c>
      <c r="I172">
        <f>VLOOKUP(Table55[[#This Row],[Shortname]], Comp[], 8, FALSE)</f>
        <v>30</v>
      </c>
      <c r="J172">
        <f>VLOOKUP(Table55[[#This Row],[Shortname]], Comp[], 9, FALSE)</f>
        <v>7</v>
      </c>
      <c r="K172">
        <f>VLOOKUP(Table55[[#This Row],[Shortname]], Comp[], 10, FALSE)</f>
        <v>0</v>
      </c>
      <c r="L172">
        <f>VLOOKUP(Table55[[#This Row],[Shortname]], Comp[], 11, FALSE)</f>
        <v>0</v>
      </c>
      <c r="M172">
        <f>VLOOKUP(Table55[[#This Row],[Shortname]], Comp[],12, FALSE)</f>
        <v>4</v>
      </c>
      <c r="N172">
        <f>VLOOKUP(Table55[[#This Row],[Shortname]], Comp[], 13, FALSE)</f>
        <v>0</v>
      </c>
      <c r="O172">
        <f>VLOOKUP(Table55[[#This Row],[Shortname]], Comp[], 14, FALSE)</f>
        <v>2</v>
      </c>
      <c r="P172">
        <f>VLOOKUP(Table55[[#This Row],[Shortname]], Comp[], 15, FALSE)</f>
        <v>0</v>
      </c>
      <c r="Q172">
        <f>VLOOKUP(Table55[[#This Row],[Shortname]], Comp[], 16, FALSE)</f>
        <v>5</v>
      </c>
      <c r="R172">
        <f>VLOOKUP(Table55[[#This Row],[Shortname]], Comp[], 17, FALSE)</f>
        <v>0</v>
      </c>
      <c r="S172">
        <f>VLOOKUP(Table55[[#This Row],[Shortname]], Comp[], 18, FALSE)</f>
        <v>0</v>
      </c>
      <c r="T172">
        <f>VLOOKUP(Table55[[#This Row],[Shortname]], Comp[], 19, FALSE)</f>
        <v>0</v>
      </c>
      <c r="U172">
        <f>VLOOKUP(Table55[[#This Row],[Shortname]], Comp[], 20, FALSE)</f>
        <v>0</v>
      </c>
      <c r="V172">
        <f>VLOOKUP(Table55[[#This Row],[Shortname]], Comp[], 21, FALSE)</f>
        <v>0</v>
      </c>
      <c r="W172">
        <f>VLOOKUP(Table55[[#This Row],[Shortname]], Comp[], 22, FALSE)</f>
        <v>0</v>
      </c>
      <c r="X172">
        <f>VLOOKUP(Table55[[#This Row],[Shortname]], Comp[], 23, FALSE)</f>
        <v>0</v>
      </c>
      <c r="Y172">
        <f>VLOOKUP(Table55[[#This Row],[Shortname]], Comp[], 24, FALSE)</f>
        <v>0</v>
      </c>
      <c r="Z172">
        <f>VLOOKUP(Table55[[#This Row],[Shortname]], Comp[], 25, FALSE)</f>
        <v>0</v>
      </c>
      <c r="AA172">
        <f>VLOOKUP(Table55[[#This Row],[Shortname]], Comp[], 26, FALSE)</f>
        <v>0</v>
      </c>
      <c r="AB172">
        <f>VLOOKUP(Table55[[#This Row],[Shortname]], Comp[], 27, FALSE)</f>
        <v>0</v>
      </c>
      <c r="AC172">
        <f>VLOOKUP(Table55[[#This Row],[Shortname]], Comp[], 28, FALSE)</f>
        <v>0</v>
      </c>
      <c r="AD172">
        <f>VLOOKUP(Table55[[#This Row],[Shortname]], Comp[], 29, FALSE)</f>
        <v>0</v>
      </c>
      <c r="AE172">
        <f>VLOOKUP(Table55[[#This Row],[Shortname]], Comp[], 30, FALSE)</f>
        <v>0</v>
      </c>
      <c r="AF172">
        <f>VLOOKUP(Table55[[#This Row],[Shortname]], Comp[], 31, FALSE)</f>
        <v>0</v>
      </c>
    </row>
    <row r="173" spans="1:32" x14ac:dyDescent="0.3">
      <c r="A173" t="s">
        <v>2050</v>
      </c>
      <c r="B173" t="s">
        <v>2052</v>
      </c>
      <c r="C173" t="s">
        <v>6718</v>
      </c>
      <c r="D173">
        <v>1076</v>
      </c>
      <c r="E173">
        <v>1300</v>
      </c>
      <c r="F173">
        <v>1377</v>
      </c>
      <c r="H173" s="14">
        <f>VLOOKUP(Table55[[#This Row],[Shortname]], Comp[], 7, FALSE)</f>
        <v>72</v>
      </c>
      <c r="I173">
        <f>VLOOKUP(Table55[[#This Row],[Shortname]], Comp[], 8, FALSE)</f>
        <v>10</v>
      </c>
      <c r="J173">
        <f>VLOOKUP(Table55[[#This Row],[Shortname]], Comp[], 9, FALSE)</f>
        <v>7</v>
      </c>
      <c r="K173">
        <f>VLOOKUP(Table55[[#This Row],[Shortname]], Comp[], 10, FALSE)</f>
        <v>0</v>
      </c>
      <c r="L173">
        <f>VLOOKUP(Table55[[#This Row],[Shortname]], Comp[], 11, FALSE)</f>
        <v>2</v>
      </c>
      <c r="M173">
        <f>VLOOKUP(Table55[[#This Row],[Shortname]], Comp[],12, FALSE)</f>
        <v>4</v>
      </c>
      <c r="N173">
        <f>VLOOKUP(Table55[[#This Row],[Shortname]], Comp[], 13, FALSE)</f>
        <v>1</v>
      </c>
      <c r="O173">
        <f>VLOOKUP(Table55[[#This Row],[Shortname]], Comp[], 14, FALSE)</f>
        <v>1</v>
      </c>
      <c r="P173">
        <f>VLOOKUP(Table55[[#This Row],[Shortname]], Comp[], 15, FALSE)</f>
        <v>0</v>
      </c>
      <c r="Q173">
        <f>VLOOKUP(Table55[[#This Row],[Shortname]], Comp[], 16, FALSE)</f>
        <v>3</v>
      </c>
      <c r="R173">
        <f>VLOOKUP(Table55[[#This Row],[Shortname]], Comp[], 17, FALSE)</f>
        <v>0</v>
      </c>
      <c r="S173">
        <f>VLOOKUP(Table55[[#This Row],[Shortname]], Comp[], 18, FALSE)</f>
        <v>0</v>
      </c>
      <c r="T173">
        <f>VLOOKUP(Table55[[#This Row],[Shortname]], Comp[], 19, FALSE)</f>
        <v>0</v>
      </c>
      <c r="U173">
        <f>VLOOKUP(Table55[[#This Row],[Shortname]], Comp[], 20, FALSE)</f>
        <v>0</v>
      </c>
      <c r="V173">
        <f>VLOOKUP(Table55[[#This Row],[Shortname]], Comp[], 21, FALSE)</f>
        <v>0</v>
      </c>
      <c r="W173">
        <f>VLOOKUP(Table55[[#This Row],[Shortname]], Comp[], 22, FALSE)</f>
        <v>0</v>
      </c>
      <c r="X173">
        <f>VLOOKUP(Table55[[#This Row],[Shortname]], Comp[], 23, FALSE)</f>
        <v>0</v>
      </c>
      <c r="Y173">
        <f>VLOOKUP(Table55[[#This Row],[Shortname]], Comp[], 24, FALSE)</f>
        <v>0</v>
      </c>
      <c r="Z173">
        <f>VLOOKUP(Table55[[#This Row],[Shortname]], Comp[], 25, FALSE)</f>
        <v>0</v>
      </c>
      <c r="AA173">
        <f>VLOOKUP(Table55[[#This Row],[Shortname]], Comp[], 26, FALSE)</f>
        <v>0</v>
      </c>
      <c r="AB173">
        <f>VLOOKUP(Table55[[#This Row],[Shortname]], Comp[], 27, FALSE)</f>
        <v>0</v>
      </c>
      <c r="AC173">
        <f>VLOOKUP(Table55[[#This Row],[Shortname]], Comp[], 28, FALSE)</f>
        <v>0</v>
      </c>
      <c r="AD173">
        <f>VLOOKUP(Table55[[#This Row],[Shortname]], Comp[], 29, FALSE)</f>
        <v>0</v>
      </c>
      <c r="AE173">
        <f>VLOOKUP(Table55[[#This Row],[Shortname]], Comp[], 30, FALSE)</f>
        <v>0</v>
      </c>
      <c r="AF173">
        <f>VLOOKUP(Table55[[#This Row],[Shortname]], Comp[], 31, FALSE)</f>
        <v>0</v>
      </c>
    </row>
    <row r="174" spans="1:32" x14ac:dyDescent="0.3">
      <c r="A174" t="s">
        <v>2038</v>
      </c>
      <c r="B174" t="s">
        <v>2040</v>
      </c>
      <c r="C174" t="s">
        <v>6718</v>
      </c>
      <c r="D174">
        <v>1033</v>
      </c>
      <c r="E174">
        <v>1294</v>
      </c>
      <c r="F174">
        <v>1367</v>
      </c>
      <c r="H174" s="14">
        <f>VLOOKUP(Table55[[#This Row],[Shortname]], Comp[], 7, FALSE)</f>
        <v>72</v>
      </c>
      <c r="I174">
        <f>VLOOKUP(Table55[[#This Row],[Shortname]], Comp[], 8, FALSE)</f>
        <v>10</v>
      </c>
      <c r="J174">
        <f>VLOOKUP(Table55[[#This Row],[Shortname]], Comp[], 9, FALSE)</f>
        <v>7</v>
      </c>
      <c r="K174">
        <f>VLOOKUP(Table55[[#This Row],[Shortname]], Comp[], 10, FALSE)</f>
        <v>0</v>
      </c>
      <c r="L174">
        <f>VLOOKUP(Table55[[#This Row],[Shortname]], Comp[], 11, FALSE)</f>
        <v>0</v>
      </c>
      <c r="M174">
        <f>VLOOKUP(Table55[[#This Row],[Shortname]], Comp[],12, FALSE)</f>
        <v>4</v>
      </c>
      <c r="N174">
        <f>VLOOKUP(Table55[[#This Row],[Shortname]], Comp[], 13, FALSE)</f>
        <v>1</v>
      </c>
      <c r="O174">
        <f>VLOOKUP(Table55[[#This Row],[Shortname]], Comp[], 14, FALSE)</f>
        <v>1</v>
      </c>
      <c r="P174">
        <f>VLOOKUP(Table55[[#This Row],[Shortname]], Comp[], 15, FALSE)</f>
        <v>0</v>
      </c>
      <c r="Q174">
        <f>VLOOKUP(Table55[[#This Row],[Shortname]], Comp[], 16, FALSE)</f>
        <v>5</v>
      </c>
      <c r="R174">
        <f>VLOOKUP(Table55[[#This Row],[Shortname]], Comp[], 17, FALSE)</f>
        <v>0</v>
      </c>
      <c r="S174">
        <f>VLOOKUP(Table55[[#This Row],[Shortname]], Comp[], 18, FALSE)</f>
        <v>0</v>
      </c>
      <c r="T174">
        <f>VLOOKUP(Table55[[#This Row],[Shortname]], Comp[], 19, FALSE)</f>
        <v>0</v>
      </c>
      <c r="U174">
        <f>VLOOKUP(Table55[[#This Row],[Shortname]], Comp[], 20, FALSE)</f>
        <v>0</v>
      </c>
      <c r="V174">
        <f>VLOOKUP(Table55[[#This Row],[Shortname]], Comp[], 21, FALSE)</f>
        <v>0</v>
      </c>
      <c r="W174">
        <f>VLOOKUP(Table55[[#This Row],[Shortname]], Comp[], 22, FALSE)</f>
        <v>0</v>
      </c>
      <c r="X174">
        <f>VLOOKUP(Table55[[#This Row],[Shortname]], Comp[], 23, FALSE)</f>
        <v>0</v>
      </c>
      <c r="Y174">
        <f>VLOOKUP(Table55[[#This Row],[Shortname]], Comp[], 24, FALSE)</f>
        <v>0</v>
      </c>
      <c r="Z174">
        <f>VLOOKUP(Table55[[#This Row],[Shortname]], Comp[], 25, FALSE)</f>
        <v>0</v>
      </c>
      <c r="AA174">
        <f>VLOOKUP(Table55[[#This Row],[Shortname]], Comp[], 26, FALSE)</f>
        <v>0</v>
      </c>
      <c r="AB174">
        <f>VLOOKUP(Table55[[#This Row],[Shortname]], Comp[], 27, FALSE)</f>
        <v>0</v>
      </c>
      <c r="AC174">
        <f>VLOOKUP(Table55[[#This Row],[Shortname]], Comp[], 28, FALSE)</f>
        <v>0</v>
      </c>
      <c r="AD174">
        <f>VLOOKUP(Table55[[#This Row],[Shortname]], Comp[], 29, FALSE)</f>
        <v>0</v>
      </c>
      <c r="AE174">
        <f>VLOOKUP(Table55[[#This Row],[Shortname]], Comp[], 30, FALSE)</f>
        <v>0</v>
      </c>
      <c r="AF174">
        <f>VLOOKUP(Table55[[#This Row],[Shortname]], Comp[], 31, FALSE)</f>
        <v>0</v>
      </c>
    </row>
    <row r="175" spans="1:32" x14ac:dyDescent="0.3">
      <c r="A175" t="s">
        <v>2026</v>
      </c>
      <c r="B175" t="s">
        <v>2028</v>
      </c>
      <c r="C175" t="s">
        <v>6718</v>
      </c>
      <c r="D175">
        <v>1021</v>
      </c>
      <c r="E175">
        <v>1277</v>
      </c>
      <c r="F175">
        <v>1360</v>
      </c>
      <c r="H175" s="14">
        <f>VLOOKUP(Table55[[#This Row],[Shortname]], Comp[], 7, FALSE)</f>
        <v>72</v>
      </c>
      <c r="I175">
        <f>VLOOKUP(Table55[[#This Row],[Shortname]], Comp[], 8, FALSE)</f>
        <v>10</v>
      </c>
      <c r="J175">
        <f>VLOOKUP(Table55[[#This Row],[Shortname]], Comp[], 9, FALSE)</f>
        <v>7</v>
      </c>
      <c r="K175">
        <f>VLOOKUP(Table55[[#This Row],[Shortname]], Comp[], 10, FALSE)</f>
        <v>0</v>
      </c>
      <c r="L175">
        <f>VLOOKUP(Table55[[#This Row],[Shortname]], Comp[], 11, FALSE)</f>
        <v>0</v>
      </c>
      <c r="M175">
        <f>VLOOKUP(Table55[[#This Row],[Shortname]], Comp[],12, FALSE)</f>
        <v>4</v>
      </c>
      <c r="N175">
        <f>VLOOKUP(Table55[[#This Row],[Shortname]], Comp[], 13, FALSE)</f>
        <v>0</v>
      </c>
      <c r="O175">
        <f>VLOOKUP(Table55[[#This Row],[Shortname]], Comp[], 14, FALSE)</f>
        <v>2</v>
      </c>
      <c r="P175">
        <f>VLOOKUP(Table55[[#This Row],[Shortname]], Comp[], 15, FALSE)</f>
        <v>0</v>
      </c>
      <c r="Q175">
        <f>VLOOKUP(Table55[[#This Row],[Shortname]], Comp[], 16, FALSE)</f>
        <v>5</v>
      </c>
      <c r="R175">
        <f>VLOOKUP(Table55[[#This Row],[Shortname]], Comp[], 17, FALSE)</f>
        <v>0</v>
      </c>
      <c r="S175">
        <f>VLOOKUP(Table55[[#This Row],[Shortname]], Comp[], 18, FALSE)</f>
        <v>0</v>
      </c>
      <c r="T175">
        <f>VLOOKUP(Table55[[#This Row],[Shortname]], Comp[], 19, FALSE)</f>
        <v>0</v>
      </c>
      <c r="U175">
        <f>VLOOKUP(Table55[[#This Row],[Shortname]], Comp[], 20, FALSE)</f>
        <v>0</v>
      </c>
      <c r="V175">
        <f>VLOOKUP(Table55[[#This Row],[Shortname]], Comp[], 21, FALSE)</f>
        <v>0</v>
      </c>
      <c r="W175">
        <f>VLOOKUP(Table55[[#This Row],[Shortname]], Comp[], 22, FALSE)</f>
        <v>0</v>
      </c>
      <c r="X175">
        <f>VLOOKUP(Table55[[#This Row],[Shortname]], Comp[], 23, FALSE)</f>
        <v>0</v>
      </c>
      <c r="Y175">
        <f>VLOOKUP(Table55[[#This Row],[Shortname]], Comp[], 24, FALSE)</f>
        <v>0</v>
      </c>
      <c r="Z175">
        <f>VLOOKUP(Table55[[#This Row],[Shortname]], Comp[], 25, FALSE)</f>
        <v>0</v>
      </c>
      <c r="AA175">
        <f>VLOOKUP(Table55[[#This Row],[Shortname]], Comp[], 26, FALSE)</f>
        <v>0</v>
      </c>
      <c r="AB175">
        <f>VLOOKUP(Table55[[#This Row],[Shortname]], Comp[], 27, FALSE)</f>
        <v>0</v>
      </c>
      <c r="AC175">
        <f>VLOOKUP(Table55[[#This Row],[Shortname]], Comp[], 28, FALSE)</f>
        <v>0</v>
      </c>
      <c r="AD175">
        <f>VLOOKUP(Table55[[#This Row],[Shortname]], Comp[], 29, FALSE)</f>
        <v>0</v>
      </c>
      <c r="AE175">
        <f>VLOOKUP(Table55[[#This Row],[Shortname]], Comp[], 30, FALSE)</f>
        <v>0</v>
      </c>
      <c r="AF175">
        <f>VLOOKUP(Table55[[#This Row],[Shortname]], Comp[], 31, FALSE)</f>
        <v>0</v>
      </c>
    </row>
    <row r="176" spans="1:32" x14ac:dyDescent="0.3">
      <c r="A176" s="7" t="s">
        <v>2154</v>
      </c>
      <c r="B176" s="7" t="s">
        <v>2156</v>
      </c>
      <c r="C176" t="s">
        <v>6720</v>
      </c>
      <c r="D176">
        <v>998.36</v>
      </c>
      <c r="E176">
        <v>1420</v>
      </c>
      <c r="F176">
        <v>1441</v>
      </c>
      <c r="H176" s="14">
        <f>VLOOKUP(Table55[[#This Row],[Shortname]], Comp[], 7, FALSE)</f>
        <v>78.8</v>
      </c>
      <c r="I176">
        <f>VLOOKUP(Table55[[#This Row],[Shortname]], Comp[], 8, FALSE)</f>
        <v>0</v>
      </c>
      <c r="J176">
        <f>VLOOKUP(Table55[[#This Row],[Shortname]], Comp[], 9, FALSE)</f>
        <v>9.1999999999999993</v>
      </c>
      <c r="K176">
        <f>VLOOKUP(Table55[[#This Row],[Shortname]], Comp[], 10, FALSE)</f>
        <v>2.5</v>
      </c>
      <c r="L176">
        <f>VLOOKUP(Table55[[#This Row],[Shortname]], Comp[], 11, FALSE)</f>
        <v>9</v>
      </c>
      <c r="M176">
        <f>VLOOKUP(Table55[[#This Row],[Shortname]], Comp[],12, FALSE)</f>
        <v>0</v>
      </c>
      <c r="N176">
        <f>VLOOKUP(Table55[[#This Row],[Shortname]], Comp[], 13, FALSE)</f>
        <v>0</v>
      </c>
      <c r="O176">
        <f>VLOOKUP(Table55[[#This Row],[Shortname]], Comp[], 14, FALSE)</f>
        <v>0</v>
      </c>
      <c r="P176">
        <f>VLOOKUP(Table55[[#This Row],[Shortname]], Comp[], 15, FALSE)</f>
        <v>0</v>
      </c>
      <c r="Q176">
        <f>VLOOKUP(Table55[[#This Row],[Shortname]], Comp[], 16, FALSE)</f>
        <v>0</v>
      </c>
      <c r="R176">
        <f>VLOOKUP(Table55[[#This Row],[Shortname]], Comp[], 17, FALSE)</f>
        <v>0.5</v>
      </c>
      <c r="S176">
        <f>VLOOKUP(Table55[[#This Row],[Shortname]], Comp[], 18, FALSE)</f>
        <v>0</v>
      </c>
      <c r="T176">
        <f>VLOOKUP(Table55[[#This Row],[Shortname]], Comp[], 19, FALSE)</f>
        <v>0</v>
      </c>
      <c r="U176">
        <f>VLOOKUP(Table55[[#This Row],[Shortname]], Comp[], 20, FALSE)</f>
        <v>0</v>
      </c>
      <c r="V176">
        <f>VLOOKUP(Table55[[#This Row],[Shortname]], Comp[], 21, FALSE)</f>
        <v>0</v>
      </c>
      <c r="W176">
        <f>VLOOKUP(Table55[[#This Row],[Shortname]], Comp[], 22, FALSE)</f>
        <v>0</v>
      </c>
      <c r="X176">
        <f>VLOOKUP(Table55[[#This Row],[Shortname]], Comp[], 23, FALSE)</f>
        <v>0</v>
      </c>
      <c r="Y176">
        <f>VLOOKUP(Table55[[#This Row],[Shortname]], Comp[], 24, FALSE)</f>
        <v>0</v>
      </c>
      <c r="Z176">
        <f>VLOOKUP(Table55[[#This Row],[Shortname]], Comp[], 25, FALSE)</f>
        <v>0</v>
      </c>
      <c r="AA176">
        <f>VLOOKUP(Table55[[#This Row],[Shortname]], Comp[], 26, FALSE)</f>
        <v>0</v>
      </c>
      <c r="AB176">
        <f>VLOOKUP(Table55[[#This Row],[Shortname]], Comp[], 27, FALSE)</f>
        <v>0</v>
      </c>
      <c r="AC176">
        <f>VLOOKUP(Table55[[#This Row],[Shortname]], Comp[], 28, FALSE)</f>
        <v>0</v>
      </c>
      <c r="AD176">
        <f>VLOOKUP(Table55[[#This Row],[Shortname]], Comp[], 29, FALSE)</f>
        <v>0</v>
      </c>
      <c r="AE176">
        <f>VLOOKUP(Table55[[#This Row],[Shortname]], Comp[], 30, FALSE)</f>
        <v>0</v>
      </c>
      <c r="AF176">
        <f>VLOOKUP(Table55[[#This Row],[Shortname]], Comp[], 31, FALSE)</f>
        <v>0</v>
      </c>
    </row>
    <row r="177" spans="1:32" x14ac:dyDescent="0.3">
      <c r="A177" t="s">
        <v>2163</v>
      </c>
      <c r="B177" t="s">
        <v>2165</v>
      </c>
      <c r="C177" t="s">
        <v>6720</v>
      </c>
      <c r="D177">
        <v>972.15</v>
      </c>
      <c r="E177">
        <v>1416</v>
      </c>
      <c r="F177">
        <v>1434</v>
      </c>
      <c r="H177" s="14">
        <f>VLOOKUP(Table55[[#This Row],[Shortname]], Comp[], 7, FALSE)</f>
        <v>76.3</v>
      </c>
      <c r="I177">
        <f>VLOOKUP(Table55[[#This Row],[Shortname]], Comp[], 8, FALSE)</f>
        <v>0</v>
      </c>
      <c r="J177">
        <f>VLOOKUP(Table55[[#This Row],[Shortname]], Comp[], 9, FALSE)</f>
        <v>9.1999999999999993</v>
      </c>
      <c r="K177">
        <f>VLOOKUP(Table55[[#This Row],[Shortname]], Comp[], 10, FALSE)</f>
        <v>5</v>
      </c>
      <c r="L177">
        <f>VLOOKUP(Table55[[#This Row],[Shortname]], Comp[], 11, FALSE)</f>
        <v>9</v>
      </c>
      <c r="M177">
        <f>VLOOKUP(Table55[[#This Row],[Shortname]], Comp[],12, FALSE)</f>
        <v>0</v>
      </c>
      <c r="N177">
        <f>VLOOKUP(Table55[[#This Row],[Shortname]], Comp[], 13, FALSE)</f>
        <v>0</v>
      </c>
      <c r="O177">
        <f>VLOOKUP(Table55[[#This Row],[Shortname]], Comp[], 14, FALSE)</f>
        <v>0</v>
      </c>
      <c r="P177">
        <f>VLOOKUP(Table55[[#This Row],[Shortname]], Comp[], 15, FALSE)</f>
        <v>0</v>
      </c>
      <c r="Q177">
        <f>VLOOKUP(Table55[[#This Row],[Shortname]], Comp[], 16, FALSE)</f>
        <v>0</v>
      </c>
      <c r="R177">
        <f>VLOOKUP(Table55[[#This Row],[Shortname]], Comp[], 17, FALSE)</f>
        <v>0.5</v>
      </c>
      <c r="S177">
        <f>VLOOKUP(Table55[[#This Row],[Shortname]], Comp[], 18, FALSE)</f>
        <v>0</v>
      </c>
      <c r="T177">
        <f>VLOOKUP(Table55[[#This Row],[Shortname]], Comp[], 19, FALSE)</f>
        <v>0</v>
      </c>
      <c r="U177">
        <f>VLOOKUP(Table55[[#This Row],[Shortname]], Comp[], 20, FALSE)</f>
        <v>0</v>
      </c>
      <c r="V177">
        <f>VLOOKUP(Table55[[#This Row],[Shortname]], Comp[], 21, FALSE)</f>
        <v>0</v>
      </c>
      <c r="W177">
        <f>VLOOKUP(Table55[[#This Row],[Shortname]], Comp[], 22, FALSE)</f>
        <v>0</v>
      </c>
      <c r="X177">
        <f>VLOOKUP(Table55[[#This Row],[Shortname]], Comp[], 23, FALSE)</f>
        <v>0</v>
      </c>
      <c r="Y177">
        <f>VLOOKUP(Table55[[#This Row],[Shortname]], Comp[], 24, FALSE)</f>
        <v>0</v>
      </c>
      <c r="Z177">
        <f>VLOOKUP(Table55[[#This Row],[Shortname]], Comp[], 25, FALSE)</f>
        <v>0</v>
      </c>
      <c r="AA177">
        <f>VLOOKUP(Table55[[#This Row],[Shortname]], Comp[], 26, FALSE)</f>
        <v>0</v>
      </c>
      <c r="AB177">
        <f>VLOOKUP(Table55[[#This Row],[Shortname]], Comp[], 27, FALSE)</f>
        <v>0</v>
      </c>
      <c r="AC177">
        <f>VLOOKUP(Table55[[#This Row],[Shortname]], Comp[], 28, FALSE)</f>
        <v>0</v>
      </c>
      <c r="AD177">
        <f>VLOOKUP(Table55[[#This Row],[Shortname]], Comp[], 29, FALSE)</f>
        <v>0</v>
      </c>
      <c r="AE177">
        <f>VLOOKUP(Table55[[#This Row],[Shortname]], Comp[], 30, FALSE)</f>
        <v>0</v>
      </c>
      <c r="AF177">
        <f>VLOOKUP(Table55[[#This Row],[Shortname]], Comp[], 31, FALSE)</f>
        <v>0</v>
      </c>
    </row>
    <row r="178" spans="1:32" x14ac:dyDescent="0.3">
      <c r="A178" t="s">
        <v>2169</v>
      </c>
      <c r="B178" t="s">
        <v>2171</v>
      </c>
      <c r="C178" t="s">
        <v>6720</v>
      </c>
      <c r="D178">
        <v>967.13</v>
      </c>
      <c r="E178">
        <v>1377</v>
      </c>
      <c r="F178">
        <v>1388</v>
      </c>
      <c r="H178" s="14">
        <f>VLOOKUP(Table55[[#This Row],[Shortname]], Comp[], 7, FALSE)</f>
        <v>73.8</v>
      </c>
      <c r="I178">
        <f>VLOOKUP(Table55[[#This Row],[Shortname]], Comp[], 8, FALSE)</f>
        <v>0</v>
      </c>
      <c r="J178">
        <f>VLOOKUP(Table55[[#This Row],[Shortname]], Comp[], 9, FALSE)</f>
        <v>9.1999999999999993</v>
      </c>
      <c r="K178">
        <f>VLOOKUP(Table55[[#This Row],[Shortname]], Comp[], 10, FALSE)</f>
        <v>7.5</v>
      </c>
      <c r="L178">
        <f>VLOOKUP(Table55[[#This Row],[Shortname]], Comp[], 11, FALSE)</f>
        <v>9</v>
      </c>
      <c r="M178">
        <f>VLOOKUP(Table55[[#This Row],[Shortname]], Comp[],12, FALSE)</f>
        <v>0</v>
      </c>
      <c r="N178">
        <f>VLOOKUP(Table55[[#This Row],[Shortname]], Comp[], 13, FALSE)</f>
        <v>0</v>
      </c>
      <c r="O178">
        <f>VLOOKUP(Table55[[#This Row],[Shortname]], Comp[], 14, FALSE)</f>
        <v>0</v>
      </c>
      <c r="P178">
        <f>VLOOKUP(Table55[[#This Row],[Shortname]], Comp[], 15, FALSE)</f>
        <v>0</v>
      </c>
      <c r="Q178">
        <f>VLOOKUP(Table55[[#This Row],[Shortname]], Comp[], 16, FALSE)</f>
        <v>0</v>
      </c>
      <c r="R178">
        <f>VLOOKUP(Table55[[#This Row],[Shortname]], Comp[], 17, FALSE)</f>
        <v>0.5</v>
      </c>
      <c r="S178">
        <f>VLOOKUP(Table55[[#This Row],[Shortname]], Comp[], 18, FALSE)</f>
        <v>0</v>
      </c>
      <c r="T178">
        <f>VLOOKUP(Table55[[#This Row],[Shortname]], Comp[], 19, FALSE)</f>
        <v>0</v>
      </c>
      <c r="U178">
        <f>VLOOKUP(Table55[[#This Row],[Shortname]], Comp[], 20, FALSE)</f>
        <v>0</v>
      </c>
      <c r="V178">
        <f>VLOOKUP(Table55[[#This Row],[Shortname]], Comp[], 21, FALSE)</f>
        <v>0</v>
      </c>
      <c r="W178">
        <f>VLOOKUP(Table55[[#This Row],[Shortname]], Comp[], 22, FALSE)</f>
        <v>0</v>
      </c>
      <c r="X178">
        <f>VLOOKUP(Table55[[#This Row],[Shortname]], Comp[], 23, FALSE)</f>
        <v>0</v>
      </c>
      <c r="Y178">
        <f>VLOOKUP(Table55[[#This Row],[Shortname]], Comp[], 24, FALSE)</f>
        <v>0</v>
      </c>
      <c r="Z178">
        <f>VLOOKUP(Table55[[#This Row],[Shortname]], Comp[], 25, FALSE)</f>
        <v>0</v>
      </c>
      <c r="AA178">
        <f>VLOOKUP(Table55[[#This Row],[Shortname]], Comp[], 26, FALSE)</f>
        <v>0</v>
      </c>
      <c r="AB178">
        <f>VLOOKUP(Table55[[#This Row],[Shortname]], Comp[], 27, FALSE)</f>
        <v>0</v>
      </c>
      <c r="AC178">
        <f>VLOOKUP(Table55[[#This Row],[Shortname]], Comp[], 28, FALSE)</f>
        <v>0</v>
      </c>
      <c r="AD178">
        <f>VLOOKUP(Table55[[#This Row],[Shortname]], Comp[], 29, FALSE)</f>
        <v>0</v>
      </c>
      <c r="AE178">
        <f>VLOOKUP(Table55[[#This Row],[Shortname]], Comp[], 30, FALSE)</f>
        <v>0</v>
      </c>
      <c r="AF178">
        <f>VLOOKUP(Table55[[#This Row],[Shortname]], Comp[], 31, FALSE)</f>
        <v>0</v>
      </c>
    </row>
    <row r="179" spans="1:32" x14ac:dyDescent="0.3">
      <c r="A179" t="s">
        <v>2315</v>
      </c>
      <c r="B179" t="s">
        <v>2317</v>
      </c>
      <c r="C179" t="s">
        <v>6723</v>
      </c>
      <c r="D179">
        <v>1020</v>
      </c>
      <c r="E179">
        <v>1310</v>
      </c>
      <c r="F179">
        <v>1389</v>
      </c>
      <c r="H179" s="14">
        <f>VLOOKUP(Table55[[#This Row],[Shortname]], Comp[], 7, FALSE)</f>
        <v>48.379999999999995</v>
      </c>
      <c r="I179">
        <f>VLOOKUP(Table55[[#This Row],[Shortname]], Comp[], 8, FALSE)</f>
        <v>27.27</v>
      </c>
      <c r="J179">
        <f>VLOOKUP(Table55[[#This Row],[Shortname]], Comp[], 9, FALSE)</f>
        <v>4.91</v>
      </c>
      <c r="K179">
        <f>VLOOKUP(Table55[[#This Row],[Shortname]], Comp[], 10, FALSE)</f>
        <v>14.52</v>
      </c>
      <c r="L179">
        <f>VLOOKUP(Table55[[#This Row],[Shortname]], Comp[], 11, FALSE)</f>
        <v>0</v>
      </c>
      <c r="M179">
        <f>VLOOKUP(Table55[[#This Row],[Shortname]], Comp[],12, FALSE)</f>
        <v>4.92</v>
      </c>
      <c r="N179">
        <f>VLOOKUP(Table55[[#This Row],[Shortname]], Comp[], 13, FALSE)</f>
        <v>0</v>
      </c>
      <c r="O179">
        <f>VLOOKUP(Table55[[#This Row],[Shortname]], Comp[], 14, FALSE)</f>
        <v>0</v>
      </c>
      <c r="P179">
        <f>VLOOKUP(Table55[[#This Row],[Shortname]], Comp[], 15, FALSE)</f>
        <v>0</v>
      </c>
      <c r="Q179">
        <f>VLOOKUP(Table55[[#This Row],[Shortname]], Comp[], 16, FALSE)</f>
        <v>0</v>
      </c>
      <c r="R179">
        <f>VLOOKUP(Table55[[#This Row],[Shortname]], Comp[], 17, FALSE)</f>
        <v>0</v>
      </c>
      <c r="S179">
        <f>VLOOKUP(Table55[[#This Row],[Shortname]], Comp[], 18, FALSE)</f>
        <v>0</v>
      </c>
      <c r="T179">
        <f>VLOOKUP(Table55[[#This Row],[Shortname]], Comp[], 19, FALSE)</f>
        <v>0</v>
      </c>
      <c r="U179">
        <f>VLOOKUP(Table55[[#This Row],[Shortname]], Comp[], 20, FALSE)</f>
        <v>0</v>
      </c>
      <c r="V179">
        <f>VLOOKUP(Table55[[#This Row],[Shortname]], Comp[], 21, FALSE)</f>
        <v>0</v>
      </c>
      <c r="W179">
        <f>VLOOKUP(Table55[[#This Row],[Shortname]], Comp[], 22, FALSE)</f>
        <v>0</v>
      </c>
      <c r="X179">
        <f>VLOOKUP(Table55[[#This Row],[Shortname]], Comp[], 23, FALSE)</f>
        <v>0</v>
      </c>
      <c r="Y179">
        <f>VLOOKUP(Table55[[#This Row],[Shortname]], Comp[], 24, FALSE)</f>
        <v>0</v>
      </c>
      <c r="Z179">
        <f>VLOOKUP(Table55[[#This Row],[Shortname]], Comp[], 25, FALSE)</f>
        <v>0</v>
      </c>
      <c r="AA179">
        <f>VLOOKUP(Table55[[#This Row],[Shortname]], Comp[], 26, FALSE)</f>
        <v>0</v>
      </c>
      <c r="AB179">
        <f>VLOOKUP(Table55[[#This Row],[Shortname]], Comp[], 27, FALSE)</f>
        <v>0</v>
      </c>
      <c r="AC179">
        <f>VLOOKUP(Table55[[#This Row],[Shortname]], Comp[], 28, FALSE)</f>
        <v>0</v>
      </c>
      <c r="AD179">
        <f>VLOOKUP(Table55[[#This Row],[Shortname]], Comp[], 29, FALSE)</f>
        <v>0</v>
      </c>
      <c r="AE179">
        <f>VLOOKUP(Table55[[#This Row],[Shortname]], Comp[], 30, FALSE)</f>
        <v>0</v>
      </c>
      <c r="AF179">
        <f>VLOOKUP(Table55[[#This Row],[Shortname]], Comp[], 31, FALSE)</f>
        <v>0</v>
      </c>
    </row>
    <row r="180" spans="1:32" x14ac:dyDescent="0.3">
      <c r="A180" t="s">
        <v>2305</v>
      </c>
      <c r="B180" t="s">
        <v>2307</v>
      </c>
      <c r="C180" t="s">
        <v>6723</v>
      </c>
      <c r="D180">
        <v>983</v>
      </c>
      <c r="E180">
        <v>1300</v>
      </c>
      <c r="F180">
        <v>1390</v>
      </c>
      <c r="H180" s="14">
        <f>VLOOKUP(Table55[[#This Row],[Shortname]], Comp[], 7, FALSE)</f>
        <v>57.03</v>
      </c>
      <c r="I180">
        <f>VLOOKUP(Table55[[#This Row],[Shortname]], Comp[], 8, FALSE)</f>
        <v>18.89</v>
      </c>
      <c r="J180">
        <f>VLOOKUP(Table55[[#This Row],[Shortname]], Comp[], 9, FALSE)</f>
        <v>4.3099999999999996</v>
      </c>
      <c r="K180">
        <f>VLOOKUP(Table55[[#This Row],[Shortname]], Comp[], 10, FALSE)</f>
        <v>14.71</v>
      </c>
      <c r="L180">
        <f>VLOOKUP(Table55[[#This Row],[Shortname]], Comp[], 11, FALSE)</f>
        <v>0</v>
      </c>
      <c r="M180">
        <f>VLOOKUP(Table55[[#This Row],[Shortname]], Comp[],12, FALSE)</f>
        <v>5.0599999999999996</v>
      </c>
      <c r="N180">
        <f>VLOOKUP(Table55[[#This Row],[Shortname]], Comp[], 13, FALSE)</f>
        <v>0</v>
      </c>
      <c r="O180">
        <f>VLOOKUP(Table55[[#This Row],[Shortname]], Comp[], 14, FALSE)</f>
        <v>0</v>
      </c>
      <c r="P180">
        <f>VLOOKUP(Table55[[#This Row],[Shortname]], Comp[], 15, FALSE)</f>
        <v>0</v>
      </c>
      <c r="Q180">
        <f>VLOOKUP(Table55[[#This Row],[Shortname]], Comp[], 16, FALSE)</f>
        <v>0</v>
      </c>
      <c r="R180">
        <f>VLOOKUP(Table55[[#This Row],[Shortname]], Comp[], 17, FALSE)</f>
        <v>0</v>
      </c>
      <c r="S180">
        <f>VLOOKUP(Table55[[#This Row],[Shortname]], Comp[], 18, FALSE)</f>
        <v>0</v>
      </c>
      <c r="T180">
        <f>VLOOKUP(Table55[[#This Row],[Shortname]], Comp[], 19, FALSE)</f>
        <v>0</v>
      </c>
      <c r="U180">
        <f>VLOOKUP(Table55[[#This Row],[Shortname]], Comp[], 20, FALSE)</f>
        <v>0</v>
      </c>
      <c r="V180">
        <f>VLOOKUP(Table55[[#This Row],[Shortname]], Comp[], 21, FALSE)</f>
        <v>0</v>
      </c>
      <c r="W180">
        <f>VLOOKUP(Table55[[#This Row],[Shortname]], Comp[], 22, FALSE)</f>
        <v>0</v>
      </c>
      <c r="X180">
        <f>VLOOKUP(Table55[[#This Row],[Shortname]], Comp[], 23, FALSE)</f>
        <v>0</v>
      </c>
      <c r="Y180">
        <f>VLOOKUP(Table55[[#This Row],[Shortname]], Comp[], 24, FALSE)</f>
        <v>0</v>
      </c>
      <c r="Z180">
        <f>VLOOKUP(Table55[[#This Row],[Shortname]], Comp[], 25, FALSE)</f>
        <v>0</v>
      </c>
      <c r="AA180">
        <f>VLOOKUP(Table55[[#This Row],[Shortname]], Comp[], 26, FALSE)</f>
        <v>0</v>
      </c>
      <c r="AB180">
        <f>VLOOKUP(Table55[[#This Row],[Shortname]], Comp[], 27, FALSE)</f>
        <v>0</v>
      </c>
      <c r="AC180">
        <f>VLOOKUP(Table55[[#This Row],[Shortname]], Comp[], 28, FALSE)</f>
        <v>0</v>
      </c>
      <c r="AD180">
        <f>VLOOKUP(Table55[[#This Row],[Shortname]], Comp[], 29, FALSE)</f>
        <v>0</v>
      </c>
      <c r="AE180">
        <f>VLOOKUP(Table55[[#This Row],[Shortname]], Comp[], 30, FALSE)</f>
        <v>0</v>
      </c>
      <c r="AF180">
        <f>VLOOKUP(Table55[[#This Row],[Shortname]], Comp[], 31, FALSE)</f>
        <v>0</v>
      </c>
    </row>
    <row r="181" spans="1:32" x14ac:dyDescent="0.3">
      <c r="A181" s="7" t="s">
        <v>2335</v>
      </c>
      <c r="B181" s="7" t="s">
        <v>2337</v>
      </c>
      <c r="C181" s="6" t="s">
        <v>2338</v>
      </c>
      <c r="D181" s="6">
        <v>1112</v>
      </c>
      <c r="E181">
        <v>1339</v>
      </c>
      <c r="F181">
        <v>1408</v>
      </c>
      <c r="H181" s="14">
        <f>VLOOKUP(Table55[[#This Row],[Shortname]], Comp[], 7, FALSE)</f>
        <v>55.5</v>
      </c>
      <c r="I181">
        <f>VLOOKUP(Table55[[#This Row],[Shortname]], Comp[], 8, FALSE)</f>
        <v>20</v>
      </c>
      <c r="J181">
        <f>VLOOKUP(Table55[[#This Row],[Shortname]], Comp[], 9, FALSE)</f>
        <v>8</v>
      </c>
      <c r="K181">
        <f>VLOOKUP(Table55[[#This Row],[Shortname]], Comp[], 10, FALSE)</f>
        <v>6</v>
      </c>
      <c r="L181">
        <f>VLOOKUP(Table55[[#This Row],[Shortname]], Comp[], 11, FALSE)</f>
        <v>5</v>
      </c>
      <c r="M181">
        <f>VLOOKUP(Table55[[#This Row],[Shortname]], Comp[],12, FALSE)</f>
        <v>2.5</v>
      </c>
      <c r="N181">
        <f>VLOOKUP(Table55[[#This Row],[Shortname]], Comp[], 13, FALSE)</f>
        <v>1.5</v>
      </c>
      <c r="O181">
        <f>VLOOKUP(Table55[[#This Row],[Shortname]], Comp[], 14, FALSE)</f>
        <v>0</v>
      </c>
      <c r="P181">
        <f>VLOOKUP(Table55[[#This Row],[Shortname]], Comp[], 15, FALSE)</f>
        <v>0</v>
      </c>
      <c r="Q181">
        <f>VLOOKUP(Table55[[#This Row],[Shortname]], Comp[], 16, FALSE)</f>
        <v>0</v>
      </c>
      <c r="R181">
        <f>VLOOKUP(Table55[[#This Row],[Shortname]], Comp[], 17, FALSE)</f>
        <v>0</v>
      </c>
      <c r="S181">
        <f>VLOOKUP(Table55[[#This Row],[Shortname]], Comp[], 18, FALSE)</f>
        <v>0</v>
      </c>
      <c r="T181">
        <f>VLOOKUP(Table55[[#This Row],[Shortname]], Comp[], 19, FALSE)</f>
        <v>0</v>
      </c>
      <c r="U181">
        <f>VLOOKUP(Table55[[#This Row],[Shortname]], Comp[], 20, FALSE)</f>
        <v>0</v>
      </c>
      <c r="V181">
        <f>VLOOKUP(Table55[[#This Row],[Shortname]], Comp[], 21, FALSE)</f>
        <v>0</v>
      </c>
      <c r="W181">
        <f>VLOOKUP(Table55[[#This Row],[Shortname]], Comp[], 22, FALSE)</f>
        <v>1.4</v>
      </c>
      <c r="X181">
        <f>VLOOKUP(Table55[[#This Row],[Shortname]], Comp[], 23, FALSE)</f>
        <v>0</v>
      </c>
      <c r="Y181">
        <f>VLOOKUP(Table55[[#This Row],[Shortname]], Comp[], 24, FALSE)</f>
        <v>0</v>
      </c>
      <c r="Z181">
        <f>VLOOKUP(Table55[[#This Row],[Shortname]], Comp[], 25, FALSE)</f>
        <v>0.1</v>
      </c>
      <c r="AA181">
        <f>VLOOKUP(Table55[[#This Row],[Shortname]], Comp[], 26, FALSE)</f>
        <v>0</v>
      </c>
      <c r="AB181">
        <f>VLOOKUP(Table55[[#This Row],[Shortname]], Comp[], 27, FALSE)</f>
        <v>0</v>
      </c>
      <c r="AC181">
        <f>VLOOKUP(Table55[[#This Row],[Shortname]], Comp[], 28, FALSE)</f>
        <v>0</v>
      </c>
      <c r="AD181">
        <f>VLOOKUP(Table55[[#This Row],[Shortname]], Comp[], 29, FALSE)</f>
        <v>0</v>
      </c>
      <c r="AE181">
        <f>VLOOKUP(Table55[[#This Row],[Shortname]], Comp[], 30, FALSE)</f>
        <v>0</v>
      </c>
      <c r="AF181">
        <f>VLOOKUP(Table55[[#This Row],[Shortname]], Comp[], 31, FALSE)</f>
        <v>0</v>
      </c>
    </row>
    <row r="182" spans="1:32" x14ac:dyDescent="0.3">
      <c r="A182" s="7" t="s">
        <v>2335</v>
      </c>
      <c r="B182" s="7" t="s">
        <v>2337</v>
      </c>
      <c r="C182" t="s">
        <v>6724</v>
      </c>
      <c r="D182">
        <v>1100</v>
      </c>
      <c r="E182">
        <v>1294</v>
      </c>
      <c r="F182">
        <v>1398</v>
      </c>
      <c r="G182" t="s">
        <v>6725</v>
      </c>
      <c r="H182" s="14">
        <f>VLOOKUP(Table55[[#This Row],[Shortname]], Comp[], 7, FALSE)</f>
        <v>55.5</v>
      </c>
      <c r="I182">
        <f>VLOOKUP(Table55[[#This Row],[Shortname]], Comp[], 8, FALSE)</f>
        <v>20</v>
      </c>
      <c r="J182">
        <f>VLOOKUP(Table55[[#This Row],[Shortname]], Comp[], 9, FALSE)</f>
        <v>8</v>
      </c>
      <c r="K182">
        <f>VLOOKUP(Table55[[#This Row],[Shortname]], Comp[], 10, FALSE)</f>
        <v>6</v>
      </c>
      <c r="L182">
        <f>VLOOKUP(Table55[[#This Row],[Shortname]], Comp[], 11, FALSE)</f>
        <v>5</v>
      </c>
      <c r="M182">
        <f>VLOOKUP(Table55[[#This Row],[Shortname]], Comp[],12, FALSE)</f>
        <v>2.5</v>
      </c>
      <c r="N182">
        <f>VLOOKUP(Table55[[#This Row],[Shortname]], Comp[], 13, FALSE)</f>
        <v>1.5</v>
      </c>
      <c r="O182">
        <f>VLOOKUP(Table55[[#This Row],[Shortname]], Comp[], 14, FALSE)</f>
        <v>0</v>
      </c>
      <c r="P182">
        <f>VLOOKUP(Table55[[#This Row],[Shortname]], Comp[], 15, FALSE)</f>
        <v>0</v>
      </c>
      <c r="Q182">
        <f>VLOOKUP(Table55[[#This Row],[Shortname]], Comp[], 16, FALSE)</f>
        <v>0</v>
      </c>
      <c r="R182">
        <f>VLOOKUP(Table55[[#This Row],[Shortname]], Comp[], 17, FALSE)</f>
        <v>0</v>
      </c>
      <c r="S182">
        <f>VLOOKUP(Table55[[#This Row],[Shortname]], Comp[], 18, FALSE)</f>
        <v>0</v>
      </c>
      <c r="T182">
        <f>VLOOKUP(Table55[[#This Row],[Shortname]], Comp[], 19, FALSE)</f>
        <v>0</v>
      </c>
      <c r="U182">
        <f>VLOOKUP(Table55[[#This Row],[Shortname]], Comp[], 20, FALSE)</f>
        <v>0</v>
      </c>
      <c r="V182">
        <f>VLOOKUP(Table55[[#This Row],[Shortname]], Comp[], 21, FALSE)</f>
        <v>0</v>
      </c>
      <c r="W182">
        <f>VLOOKUP(Table55[[#This Row],[Shortname]], Comp[], 22, FALSE)</f>
        <v>1.4</v>
      </c>
      <c r="X182">
        <f>VLOOKUP(Table55[[#This Row],[Shortname]], Comp[], 23, FALSE)</f>
        <v>0</v>
      </c>
      <c r="Y182">
        <f>VLOOKUP(Table55[[#This Row],[Shortname]], Comp[], 24, FALSE)</f>
        <v>0</v>
      </c>
      <c r="Z182">
        <f>VLOOKUP(Table55[[#This Row],[Shortname]], Comp[], 25, FALSE)</f>
        <v>0.1</v>
      </c>
      <c r="AA182">
        <f>VLOOKUP(Table55[[#This Row],[Shortname]], Comp[], 26, FALSE)</f>
        <v>0</v>
      </c>
      <c r="AB182">
        <f>VLOOKUP(Table55[[#This Row],[Shortname]], Comp[], 27, FALSE)</f>
        <v>0</v>
      </c>
      <c r="AC182">
        <f>VLOOKUP(Table55[[#This Row],[Shortname]], Comp[], 28, FALSE)</f>
        <v>0</v>
      </c>
      <c r="AD182">
        <f>VLOOKUP(Table55[[#This Row],[Shortname]], Comp[], 29, FALSE)</f>
        <v>0</v>
      </c>
      <c r="AE182">
        <f>VLOOKUP(Table55[[#This Row],[Shortname]], Comp[], 30, FALSE)</f>
        <v>0</v>
      </c>
      <c r="AF182">
        <f>VLOOKUP(Table55[[#This Row],[Shortname]], Comp[], 31, FALSE)</f>
        <v>0</v>
      </c>
    </row>
    <row r="183" spans="1:32" x14ac:dyDescent="0.3">
      <c r="A183" s="7" t="s">
        <v>2405</v>
      </c>
      <c r="B183" s="7" t="s">
        <v>2406</v>
      </c>
      <c r="C183" t="s">
        <v>2407</v>
      </c>
      <c r="D183">
        <v>1129</v>
      </c>
      <c r="E183">
        <v>1339</v>
      </c>
      <c r="F183">
        <v>1379</v>
      </c>
      <c r="H183" s="14">
        <f>VLOOKUP(Table55[[#This Row],[Shortname]], Comp[], 7, FALSE)</f>
        <v>28.840000000000003</v>
      </c>
      <c r="I183">
        <f>VLOOKUP(Table55[[#This Row],[Shortname]], Comp[], 8, FALSE)</f>
        <v>40</v>
      </c>
      <c r="J183">
        <f>VLOOKUP(Table55[[#This Row],[Shortname]], Comp[], 9, FALSE)</f>
        <v>10</v>
      </c>
      <c r="K183">
        <f>VLOOKUP(Table55[[#This Row],[Shortname]], Comp[], 10, FALSE)</f>
        <v>10</v>
      </c>
      <c r="L183">
        <f>VLOOKUP(Table55[[#This Row],[Shortname]], Comp[], 11, FALSE)</f>
        <v>7.5</v>
      </c>
      <c r="M183">
        <f>VLOOKUP(Table55[[#This Row],[Shortname]], Comp[],12, FALSE)</f>
        <v>0</v>
      </c>
      <c r="N183">
        <f>VLOOKUP(Table55[[#This Row],[Shortname]], Comp[], 13, FALSE)</f>
        <v>3</v>
      </c>
      <c r="O183">
        <f>VLOOKUP(Table55[[#This Row],[Shortname]], Comp[], 14, FALSE)</f>
        <v>0</v>
      </c>
      <c r="P183">
        <f>VLOOKUP(Table55[[#This Row],[Shortname]], Comp[], 15, FALSE)</f>
        <v>0</v>
      </c>
      <c r="Q183">
        <f>VLOOKUP(Table55[[#This Row],[Shortname]], Comp[], 16, FALSE)</f>
        <v>0</v>
      </c>
      <c r="R183">
        <f>VLOOKUP(Table55[[#This Row],[Shortname]], Comp[], 17, FALSE)</f>
        <v>0.6</v>
      </c>
      <c r="S183">
        <f>VLOOKUP(Table55[[#This Row],[Shortname]], Comp[], 18, FALSE)</f>
        <v>0</v>
      </c>
      <c r="T183">
        <f>VLOOKUP(Table55[[#This Row],[Shortname]], Comp[], 19, FALSE)</f>
        <v>0.06</v>
      </c>
      <c r="U183">
        <f>VLOOKUP(Table55[[#This Row],[Shortname]], Comp[], 20, FALSE)</f>
        <v>0</v>
      </c>
      <c r="V183">
        <f>VLOOKUP(Table55[[#This Row],[Shortname]], Comp[], 21, FALSE)</f>
        <v>0</v>
      </c>
      <c r="W183">
        <f>VLOOKUP(Table55[[#This Row],[Shortname]], Comp[], 22, FALSE)</f>
        <v>0</v>
      </c>
      <c r="X183">
        <f>VLOOKUP(Table55[[#This Row],[Shortname]], Comp[], 23, FALSE)</f>
        <v>0</v>
      </c>
      <c r="Y183">
        <f>VLOOKUP(Table55[[#This Row],[Shortname]], Comp[], 24, FALSE)</f>
        <v>0</v>
      </c>
      <c r="Z183">
        <f>VLOOKUP(Table55[[#This Row],[Shortname]], Comp[], 25, FALSE)</f>
        <v>0</v>
      </c>
      <c r="AA183">
        <f>VLOOKUP(Table55[[#This Row],[Shortname]], Comp[], 26, FALSE)</f>
        <v>0</v>
      </c>
      <c r="AB183">
        <f>VLOOKUP(Table55[[#This Row],[Shortname]], Comp[], 27, FALSE)</f>
        <v>0</v>
      </c>
      <c r="AC183">
        <f>VLOOKUP(Table55[[#This Row],[Shortname]], Comp[], 28, FALSE)</f>
        <v>0</v>
      </c>
      <c r="AD183">
        <f>VLOOKUP(Table55[[#This Row],[Shortname]], Comp[], 29, FALSE)</f>
        <v>0</v>
      </c>
      <c r="AE183">
        <f>VLOOKUP(Table55[[#This Row],[Shortname]], Comp[], 30, FALSE)</f>
        <v>0</v>
      </c>
      <c r="AF183">
        <f>VLOOKUP(Table55[[#This Row],[Shortname]], Comp[], 31, FALSE)</f>
        <v>0</v>
      </c>
    </row>
    <row r="184" spans="1:32" x14ac:dyDescent="0.3">
      <c r="A184" t="s">
        <v>2473</v>
      </c>
      <c r="B184" t="s">
        <v>2475</v>
      </c>
      <c r="C184" s="3" t="s">
        <v>2469</v>
      </c>
      <c r="D184">
        <v>950</v>
      </c>
      <c r="E184">
        <v>1338</v>
      </c>
      <c r="F184">
        <v>1411</v>
      </c>
      <c r="H184" s="14">
        <f>VLOOKUP(Table55[[#This Row],[Shortname]], Comp[], 7, FALSE)</f>
        <v>63</v>
      </c>
      <c r="I184">
        <f>VLOOKUP(Table55[[#This Row],[Shortname]], Comp[], 8, FALSE)</f>
        <v>20</v>
      </c>
      <c r="J184">
        <f>VLOOKUP(Table55[[#This Row],[Shortname]], Comp[], 9, FALSE)</f>
        <v>10</v>
      </c>
      <c r="K184">
        <f>VLOOKUP(Table55[[#This Row],[Shortname]], Comp[], 10, FALSE)</f>
        <v>0</v>
      </c>
      <c r="L184">
        <f>VLOOKUP(Table55[[#This Row],[Shortname]], Comp[], 11, FALSE)</f>
        <v>0</v>
      </c>
      <c r="M184">
        <f>VLOOKUP(Table55[[#This Row],[Shortname]], Comp[],12, FALSE)</f>
        <v>0</v>
      </c>
      <c r="N184">
        <f>VLOOKUP(Table55[[#This Row],[Shortname]], Comp[], 13, FALSE)</f>
        <v>0</v>
      </c>
      <c r="O184">
        <f>VLOOKUP(Table55[[#This Row],[Shortname]], Comp[], 14, FALSE)</f>
        <v>2</v>
      </c>
      <c r="P184">
        <f>VLOOKUP(Table55[[#This Row],[Shortname]], Comp[], 15, FALSE)</f>
        <v>0</v>
      </c>
      <c r="Q184">
        <f>VLOOKUP(Table55[[#This Row],[Shortname]], Comp[], 16, FALSE)</f>
        <v>5</v>
      </c>
      <c r="R184">
        <f>VLOOKUP(Table55[[#This Row],[Shortname]], Comp[], 17, FALSE)</f>
        <v>0</v>
      </c>
      <c r="S184">
        <f>VLOOKUP(Table55[[#This Row],[Shortname]], Comp[], 18, FALSE)</f>
        <v>0</v>
      </c>
      <c r="T184">
        <f>VLOOKUP(Table55[[#This Row],[Shortname]], Comp[], 19, FALSE)</f>
        <v>0</v>
      </c>
      <c r="U184">
        <f>VLOOKUP(Table55[[#This Row],[Shortname]], Comp[], 20, FALSE)</f>
        <v>0</v>
      </c>
      <c r="V184">
        <f>VLOOKUP(Table55[[#This Row],[Shortname]], Comp[], 21, FALSE)</f>
        <v>0</v>
      </c>
      <c r="W184">
        <f>VLOOKUP(Table55[[#This Row],[Shortname]], Comp[], 22, FALSE)</f>
        <v>0</v>
      </c>
      <c r="X184">
        <f>VLOOKUP(Table55[[#This Row],[Shortname]], Comp[], 23, FALSE)</f>
        <v>0</v>
      </c>
      <c r="Y184">
        <f>VLOOKUP(Table55[[#This Row],[Shortname]], Comp[], 24, FALSE)</f>
        <v>0</v>
      </c>
      <c r="Z184">
        <f>VLOOKUP(Table55[[#This Row],[Shortname]], Comp[], 25, FALSE)</f>
        <v>0</v>
      </c>
      <c r="AA184">
        <f>VLOOKUP(Table55[[#This Row],[Shortname]], Comp[], 26, FALSE)</f>
        <v>0</v>
      </c>
      <c r="AB184">
        <f>VLOOKUP(Table55[[#This Row],[Shortname]], Comp[], 27, FALSE)</f>
        <v>0</v>
      </c>
      <c r="AC184">
        <f>VLOOKUP(Table55[[#This Row],[Shortname]], Comp[], 28, FALSE)</f>
        <v>0</v>
      </c>
      <c r="AD184">
        <f>VLOOKUP(Table55[[#This Row],[Shortname]], Comp[], 29, FALSE)</f>
        <v>0</v>
      </c>
      <c r="AE184">
        <f>VLOOKUP(Table55[[#This Row],[Shortname]], Comp[], 30, FALSE)</f>
        <v>0</v>
      </c>
      <c r="AF184">
        <f>VLOOKUP(Table55[[#This Row],[Shortname]], Comp[], 31, FALSE)</f>
        <v>0</v>
      </c>
    </row>
    <row r="185" spans="1:32" x14ac:dyDescent="0.3">
      <c r="A185" t="s">
        <v>2467</v>
      </c>
      <c r="B185" t="s">
        <v>2468</v>
      </c>
      <c r="C185" s="3" t="s">
        <v>2469</v>
      </c>
      <c r="D185">
        <v>861</v>
      </c>
      <c r="E185">
        <v>1318</v>
      </c>
      <c r="F185">
        <v>1421</v>
      </c>
      <c r="H185" s="14">
        <f>VLOOKUP(Table55[[#This Row],[Shortname]], Comp[], 7, FALSE)</f>
        <v>83</v>
      </c>
      <c r="I185">
        <f>VLOOKUP(Table55[[#This Row],[Shortname]], Comp[], 8, FALSE)</f>
        <v>0</v>
      </c>
      <c r="J185">
        <f>VLOOKUP(Table55[[#This Row],[Shortname]], Comp[], 9, FALSE)</f>
        <v>10</v>
      </c>
      <c r="K185">
        <f>VLOOKUP(Table55[[#This Row],[Shortname]], Comp[], 10, FALSE)</f>
        <v>0</v>
      </c>
      <c r="L185">
        <f>VLOOKUP(Table55[[#This Row],[Shortname]], Comp[], 11, FALSE)</f>
        <v>0</v>
      </c>
      <c r="M185">
        <f>VLOOKUP(Table55[[#This Row],[Shortname]], Comp[],12, FALSE)</f>
        <v>0</v>
      </c>
      <c r="N185">
        <f>VLOOKUP(Table55[[#This Row],[Shortname]], Comp[], 13, FALSE)</f>
        <v>0</v>
      </c>
      <c r="O185">
        <f>VLOOKUP(Table55[[#This Row],[Shortname]], Comp[], 14, FALSE)</f>
        <v>2</v>
      </c>
      <c r="P185">
        <f>VLOOKUP(Table55[[#This Row],[Shortname]], Comp[], 15, FALSE)</f>
        <v>0</v>
      </c>
      <c r="Q185">
        <f>VLOOKUP(Table55[[#This Row],[Shortname]], Comp[], 16, FALSE)</f>
        <v>5</v>
      </c>
      <c r="R185">
        <f>VLOOKUP(Table55[[#This Row],[Shortname]], Comp[], 17, FALSE)</f>
        <v>0</v>
      </c>
      <c r="S185">
        <f>VLOOKUP(Table55[[#This Row],[Shortname]], Comp[], 18, FALSE)</f>
        <v>0</v>
      </c>
      <c r="T185">
        <f>VLOOKUP(Table55[[#This Row],[Shortname]], Comp[], 19, FALSE)</f>
        <v>0</v>
      </c>
      <c r="U185">
        <f>VLOOKUP(Table55[[#This Row],[Shortname]], Comp[], 20, FALSE)</f>
        <v>0</v>
      </c>
      <c r="V185">
        <f>VLOOKUP(Table55[[#This Row],[Shortname]], Comp[], 21, FALSE)</f>
        <v>0</v>
      </c>
      <c r="W185">
        <f>VLOOKUP(Table55[[#This Row],[Shortname]], Comp[], 22, FALSE)</f>
        <v>0</v>
      </c>
      <c r="X185">
        <f>VLOOKUP(Table55[[#This Row],[Shortname]], Comp[], 23, FALSE)</f>
        <v>0</v>
      </c>
      <c r="Y185">
        <f>VLOOKUP(Table55[[#This Row],[Shortname]], Comp[], 24, FALSE)</f>
        <v>0</v>
      </c>
      <c r="Z185">
        <f>VLOOKUP(Table55[[#This Row],[Shortname]], Comp[], 25, FALSE)</f>
        <v>0</v>
      </c>
      <c r="AA185">
        <f>VLOOKUP(Table55[[#This Row],[Shortname]], Comp[], 26, FALSE)</f>
        <v>0</v>
      </c>
      <c r="AB185">
        <f>VLOOKUP(Table55[[#This Row],[Shortname]], Comp[], 27, FALSE)</f>
        <v>0</v>
      </c>
      <c r="AC185">
        <f>VLOOKUP(Table55[[#This Row],[Shortname]], Comp[], 28, FALSE)</f>
        <v>0</v>
      </c>
      <c r="AD185">
        <f>VLOOKUP(Table55[[#This Row],[Shortname]], Comp[], 29, FALSE)</f>
        <v>0</v>
      </c>
      <c r="AE185">
        <f>VLOOKUP(Table55[[#This Row],[Shortname]], Comp[], 30, FALSE)</f>
        <v>0</v>
      </c>
      <c r="AF185">
        <f>VLOOKUP(Table55[[#This Row],[Shortname]], Comp[], 31, FALSE)</f>
        <v>0</v>
      </c>
    </row>
    <row r="186" spans="1:32" x14ac:dyDescent="0.3">
      <c r="A186" s="7" t="s">
        <v>2524</v>
      </c>
      <c r="B186" s="7" t="s">
        <v>2526</v>
      </c>
      <c r="C186" t="s">
        <v>6729</v>
      </c>
      <c r="D186">
        <v>1087</v>
      </c>
      <c r="E186">
        <v>1362</v>
      </c>
      <c r="H186" s="14">
        <f>VLOOKUP(Table55[[#This Row],[Shortname]], Comp[], 7, FALSE)</f>
        <v>79</v>
      </c>
      <c r="I186">
        <f>VLOOKUP(Table55[[#This Row],[Shortname]], Comp[], 8, FALSE)</f>
        <v>0</v>
      </c>
      <c r="J186">
        <f>VLOOKUP(Table55[[#This Row],[Shortname]], Comp[], 9, FALSE)</f>
        <v>10</v>
      </c>
      <c r="K186">
        <f>VLOOKUP(Table55[[#This Row],[Shortname]], Comp[], 10, FALSE)</f>
        <v>0</v>
      </c>
      <c r="L186">
        <f>VLOOKUP(Table55[[#This Row],[Shortname]], Comp[], 11, FALSE)</f>
        <v>8.4</v>
      </c>
      <c r="M186">
        <f>VLOOKUP(Table55[[#This Row],[Shortname]], Comp[],12, FALSE)</f>
        <v>1.4</v>
      </c>
      <c r="N186">
        <f>VLOOKUP(Table55[[#This Row],[Shortname]], Comp[], 13, FALSE)</f>
        <v>0</v>
      </c>
      <c r="O186">
        <f>VLOOKUP(Table55[[#This Row],[Shortname]], Comp[], 14, FALSE)</f>
        <v>1.2</v>
      </c>
      <c r="P186">
        <f>VLOOKUP(Table55[[#This Row],[Shortname]], Comp[], 15, FALSE)</f>
        <v>0</v>
      </c>
      <c r="Q186">
        <f>VLOOKUP(Table55[[#This Row],[Shortname]], Comp[], 16, FALSE)</f>
        <v>0</v>
      </c>
      <c r="R186">
        <f>VLOOKUP(Table55[[#This Row],[Shortname]], Comp[], 17, FALSE)</f>
        <v>0</v>
      </c>
      <c r="S186">
        <f>VLOOKUP(Table55[[#This Row],[Shortname]], Comp[], 18, FALSE)</f>
        <v>0</v>
      </c>
      <c r="T186">
        <f>VLOOKUP(Table55[[#This Row],[Shortname]], Comp[], 19, FALSE)</f>
        <v>0</v>
      </c>
      <c r="U186">
        <f>VLOOKUP(Table55[[#This Row],[Shortname]], Comp[], 20, FALSE)</f>
        <v>0</v>
      </c>
      <c r="V186">
        <f>VLOOKUP(Table55[[#This Row],[Shortname]], Comp[], 21, FALSE)</f>
        <v>0</v>
      </c>
      <c r="W186">
        <f>VLOOKUP(Table55[[#This Row],[Shortname]], Comp[], 22, FALSE)</f>
        <v>0</v>
      </c>
      <c r="X186">
        <f>VLOOKUP(Table55[[#This Row],[Shortname]], Comp[], 23, FALSE)</f>
        <v>0</v>
      </c>
      <c r="Y186">
        <f>VLOOKUP(Table55[[#This Row],[Shortname]], Comp[], 24, FALSE)</f>
        <v>0</v>
      </c>
      <c r="Z186">
        <f>VLOOKUP(Table55[[#This Row],[Shortname]], Comp[], 25, FALSE)</f>
        <v>0</v>
      </c>
      <c r="AA186">
        <f>VLOOKUP(Table55[[#This Row],[Shortname]], Comp[], 26, FALSE)</f>
        <v>0</v>
      </c>
      <c r="AB186">
        <f>VLOOKUP(Table55[[#This Row],[Shortname]], Comp[], 27, FALSE)</f>
        <v>0</v>
      </c>
      <c r="AC186">
        <f>VLOOKUP(Table55[[#This Row],[Shortname]], Comp[], 28, FALSE)</f>
        <v>0</v>
      </c>
      <c r="AD186">
        <f>VLOOKUP(Table55[[#This Row],[Shortname]], Comp[], 29, FALSE)</f>
        <v>0</v>
      </c>
      <c r="AE186">
        <f>VLOOKUP(Table55[[#This Row],[Shortname]], Comp[], 30, FALSE)</f>
        <v>0</v>
      </c>
      <c r="AF186">
        <f>VLOOKUP(Table55[[#This Row],[Shortname]], Comp[], 31, FALSE)</f>
        <v>0</v>
      </c>
    </row>
    <row r="187" spans="1:32" x14ac:dyDescent="0.3">
      <c r="A187" t="s">
        <v>2532</v>
      </c>
      <c r="B187" t="s">
        <v>2534</v>
      </c>
      <c r="C187" t="s">
        <v>6729</v>
      </c>
      <c r="D187">
        <v>1074</v>
      </c>
      <c r="E187">
        <v>1370</v>
      </c>
      <c r="H187" s="14">
        <f>VLOOKUP(Table55[[#This Row],[Shortname]], Comp[], 7, FALSE)</f>
        <v>79.8</v>
      </c>
      <c r="I187">
        <f>VLOOKUP(Table55[[#This Row],[Shortname]], Comp[], 8, FALSE)</f>
        <v>0</v>
      </c>
      <c r="J187">
        <f>VLOOKUP(Table55[[#This Row],[Shortname]], Comp[], 9, FALSE)</f>
        <v>10.3</v>
      </c>
      <c r="K187">
        <f>VLOOKUP(Table55[[#This Row],[Shortname]], Comp[], 10, FALSE)</f>
        <v>0</v>
      </c>
      <c r="L187">
        <f>VLOOKUP(Table55[[#This Row],[Shortname]], Comp[], 11, FALSE)</f>
        <v>7.9</v>
      </c>
      <c r="M187">
        <f>VLOOKUP(Table55[[#This Row],[Shortname]], Comp[],12, FALSE)</f>
        <v>0</v>
      </c>
      <c r="N187">
        <f>VLOOKUP(Table55[[#This Row],[Shortname]], Comp[], 13, FALSE)</f>
        <v>1.1000000000000001</v>
      </c>
      <c r="O187">
        <f>VLOOKUP(Table55[[#This Row],[Shortname]], Comp[], 14, FALSE)</f>
        <v>0.9</v>
      </c>
      <c r="P187">
        <f>VLOOKUP(Table55[[#This Row],[Shortname]], Comp[], 15, FALSE)</f>
        <v>0</v>
      </c>
      <c r="Q187">
        <f>VLOOKUP(Table55[[#This Row],[Shortname]], Comp[], 16, FALSE)</f>
        <v>0</v>
      </c>
      <c r="R187">
        <f>VLOOKUP(Table55[[#This Row],[Shortname]], Comp[], 17, FALSE)</f>
        <v>0</v>
      </c>
      <c r="S187">
        <f>VLOOKUP(Table55[[#This Row],[Shortname]], Comp[], 18, FALSE)</f>
        <v>0</v>
      </c>
      <c r="T187">
        <f>VLOOKUP(Table55[[#This Row],[Shortname]], Comp[], 19, FALSE)</f>
        <v>0</v>
      </c>
      <c r="U187">
        <f>VLOOKUP(Table55[[#This Row],[Shortname]], Comp[], 20, FALSE)</f>
        <v>0</v>
      </c>
      <c r="V187">
        <f>VLOOKUP(Table55[[#This Row],[Shortname]], Comp[], 21, FALSE)</f>
        <v>0</v>
      </c>
      <c r="W187">
        <f>VLOOKUP(Table55[[#This Row],[Shortname]], Comp[], 22, FALSE)</f>
        <v>0</v>
      </c>
      <c r="X187">
        <f>VLOOKUP(Table55[[#This Row],[Shortname]], Comp[], 23, FALSE)</f>
        <v>0</v>
      </c>
      <c r="Y187">
        <f>VLOOKUP(Table55[[#This Row],[Shortname]], Comp[], 24, FALSE)</f>
        <v>0</v>
      </c>
      <c r="Z187">
        <f>VLOOKUP(Table55[[#This Row],[Shortname]], Comp[], 25, FALSE)</f>
        <v>0</v>
      </c>
      <c r="AA187">
        <f>VLOOKUP(Table55[[#This Row],[Shortname]], Comp[], 26, FALSE)</f>
        <v>0</v>
      </c>
      <c r="AB187">
        <f>VLOOKUP(Table55[[#This Row],[Shortname]], Comp[], 27, FALSE)</f>
        <v>0</v>
      </c>
      <c r="AC187">
        <f>VLOOKUP(Table55[[#This Row],[Shortname]], Comp[], 28, FALSE)</f>
        <v>0</v>
      </c>
      <c r="AD187">
        <f>VLOOKUP(Table55[[#This Row],[Shortname]], Comp[], 29, FALSE)</f>
        <v>0</v>
      </c>
      <c r="AE187">
        <f>VLOOKUP(Table55[[#This Row],[Shortname]], Comp[], 30, FALSE)</f>
        <v>0</v>
      </c>
      <c r="AF187">
        <f>VLOOKUP(Table55[[#This Row],[Shortname]], Comp[], 31, FALSE)</f>
        <v>0</v>
      </c>
    </row>
    <row r="188" spans="1:32" x14ac:dyDescent="0.3">
      <c r="A188" s="7" t="s">
        <v>1735</v>
      </c>
      <c r="B188" s="7" t="s">
        <v>2615</v>
      </c>
      <c r="C188" t="s">
        <v>6731</v>
      </c>
      <c r="D188">
        <v>1098</v>
      </c>
      <c r="E188">
        <v>1389</v>
      </c>
      <c r="H188" s="14">
        <f>VLOOKUP(Table55[[#This Row],[Shortname]], Comp[], 7, FALSE)</f>
        <v>79.400000000000006</v>
      </c>
      <c r="I188">
        <f>VLOOKUP(Table55[[#This Row],[Shortname]], Comp[], 8, FALSE)</f>
        <v>0</v>
      </c>
      <c r="J188">
        <f>VLOOKUP(Table55[[#This Row],[Shortname]], Comp[], 9, FALSE)</f>
        <v>8.8000000000000007</v>
      </c>
      <c r="K188">
        <f>VLOOKUP(Table55[[#This Row],[Shortname]], Comp[], 10, FALSE)</f>
        <v>0</v>
      </c>
      <c r="L188">
        <f>VLOOKUP(Table55[[#This Row],[Shortname]], Comp[], 11, FALSE)</f>
        <v>9.8000000000000007</v>
      </c>
      <c r="M188">
        <f>VLOOKUP(Table55[[#This Row],[Shortname]], Comp[],12, FALSE)</f>
        <v>0</v>
      </c>
      <c r="N188">
        <f>VLOOKUP(Table55[[#This Row],[Shortname]], Comp[], 13, FALSE)</f>
        <v>2</v>
      </c>
      <c r="O188">
        <f>VLOOKUP(Table55[[#This Row],[Shortname]], Comp[], 14, FALSE)</f>
        <v>0</v>
      </c>
      <c r="P188">
        <f>VLOOKUP(Table55[[#This Row],[Shortname]], Comp[], 15, FALSE)</f>
        <v>0</v>
      </c>
      <c r="Q188">
        <f>VLOOKUP(Table55[[#This Row],[Shortname]], Comp[], 16, FALSE)</f>
        <v>0</v>
      </c>
      <c r="R188">
        <f>VLOOKUP(Table55[[#This Row],[Shortname]], Comp[], 17, FALSE)</f>
        <v>0</v>
      </c>
      <c r="S188">
        <f>VLOOKUP(Table55[[#This Row],[Shortname]], Comp[], 18, FALSE)</f>
        <v>0</v>
      </c>
      <c r="T188">
        <f>VLOOKUP(Table55[[#This Row],[Shortname]], Comp[], 19, FALSE)</f>
        <v>0</v>
      </c>
      <c r="U188">
        <f>VLOOKUP(Table55[[#This Row],[Shortname]], Comp[], 20, FALSE)</f>
        <v>0</v>
      </c>
      <c r="V188">
        <f>VLOOKUP(Table55[[#This Row],[Shortname]], Comp[], 21, FALSE)</f>
        <v>0</v>
      </c>
      <c r="W188">
        <f>VLOOKUP(Table55[[#This Row],[Shortname]], Comp[], 22, FALSE)</f>
        <v>0</v>
      </c>
      <c r="X188">
        <f>VLOOKUP(Table55[[#This Row],[Shortname]], Comp[], 23, FALSE)</f>
        <v>0</v>
      </c>
      <c r="Y188">
        <f>VLOOKUP(Table55[[#This Row],[Shortname]], Comp[], 24, FALSE)</f>
        <v>0</v>
      </c>
      <c r="Z188">
        <f>VLOOKUP(Table55[[#This Row],[Shortname]], Comp[], 25, FALSE)</f>
        <v>0</v>
      </c>
      <c r="AA188">
        <f>VLOOKUP(Table55[[#This Row],[Shortname]], Comp[], 26, FALSE)</f>
        <v>0</v>
      </c>
      <c r="AB188">
        <f>VLOOKUP(Table55[[#This Row],[Shortname]], Comp[], 27, FALSE)</f>
        <v>0</v>
      </c>
      <c r="AC188">
        <f>VLOOKUP(Table55[[#This Row],[Shortname]], Comp[], 28, FALSE)</f>
        <v>0</v>
      </c>
      <c r="AD188">
        <f>VLOOKUP(Table55[[#This Row],[Shortname]], Comp[], 29, FALSE)</f>
        <v>0</v>
      </c>
      <c r="AE188">
        <f>VLOOKUP(Table55[[#This Row],[Shortname]], Comp[], 30, FALSE)</f>
        <v>0</v>
      </c>
      <c r="AF188">
        <f>VLOOKUP(Table55[[#This Row],[Shortname]], Comp[], 31, FALSE)</f>
        <v>0</v>
      </c>
    </row>
    <row r="189" spans="1:32" x14ac:dyDescent="0.3">
      <c r="A189" s="7" t="s">
        <v>2593</v>
      </c>
      <c r="B189" s="7" t="s">
        <v>2595</v>
      </c>
      <c r="C189" t="s">
        <v>6731</v>
      </c>
      <c r="D189">
        <v>1076</v>
      </c>
      <c r="E189">
        <v>1391</v>
      </c>
      <c r="H189" s="14">
        <f>VLOOKUP(Table55[[#This Row],[Shortname]], Comp[], 7, FALSE)</f>
        <v>79.400000000000006</v>
      </c>
      <c r="I189">
        <f>VLOOKUP(Table55[[#This Row],[Shortname]], Comp[], 8, FALSE)</f>
        <v>0</v>
      </c>
      <c r="J189">
        <f>VLOOKUP(Table55[[#This Row],[Shortname]], Comp[], 9, FALSE)</f>
        <v>8.8000000000000007</v>
      </c>
      <c r="K189">
        <f>VLOOKUP(Table55[[#This Row],[Shortname]], Comp[], 10, FALSE)</f>
        <v>0</v>
      </c>
      <c r="L189">
        <f>VLOOKUP(Table55[[#This Row],[Shortname]], Comp[], 11, FALSE)</f>
        <v>9.8000000000000007</v>
      </c>
      <c r="M189">
        <f>VLOOKUP(Table55[[#This Row],[Shortname]], Comp[],12, FALSE)</f>
        <v>2</v>
      </c>
      <c r="N189">
        <f>VLOOKUP(Table55[[#This Row],[Shortname]], Comp[], 13, FALSE)</f>
        <v>0</v>
      </c>
      <c r="O189">
        <f>VLOOKUP(Table55[[#This Row],[Shortname]], Comp[], 14, FALSE)</f>
        <v>0</v>
      </c>
      <c r="P189">
        <f>VLOOKUP(Table55[[#This Row],[Shortname]], Comp[], 15, FALSE)</f>
        <v>0</v>
      </c>
      <c r="Q189">
        <f>VLOOKUP(Table55[[#This Row],[Shortname]], Comp[], 16, FALSE)</f>
        <v>0</v>
      </c>
      <c r="R189">
        <f>VLOOKUP(Table55[[#This Row],[Shortname]], Comp[], 17, FALSE)</f>
        <v>0</v>
      </c>
      <c r="S189">
        <f>VLOOKUP(Table55[[#This Row],[Shortname]], Comp[], 18, FALSE)</f>
        <v>0</v>
      </c>
      <c r="T189">
        <f>VLOOKUP(Table55[[#This Row],[Shortname]], Comp[], 19, FALSE)</f>
        <v>0</v>
      </c>
      <c r="U189">
        <f>VLOOKUP(Table55[[#This Row],[Shortname]], Comp[], 20, FALSE)</f>
        <v>0</v>
      </c>
      <c r="V189">
        <f>VLOOKUP(Table55[[#This Row],[Shortname]], Comp[], 21, FALSE)</f>
        <v>0</v>
      </c>
      <c r="W189">
        <f>VLOOKUP(Table55[[#This Row],[Shortname]], Comp[], 22, FALSE)</f>
        <v>0</v>
      </c>
      <c r="X189">
        <f>VLOOKUP(Table55[[#This Row],[Shortname]], Comp[], 23, FALSE)</f>
        <v>0</v>
      </c>
      <c r="Y189">
        <f>VLOOKUP(Table55[[#This Row],[Shortname]], Comp[], 24, FALSE)</f>
        <v>0</v>
      </c>
      <c r="Z189">
        <f>VLOOKUP(Table55[[#This Row],[Shortname]], Comp[], 25, FALSE)</f>
        <v>0</v>
      </c>
      <c r="AA189">
        <f>VLOOKUP(Table55[[#This Row],[Shortname]], Comp[], 26, FALSE)</f>
        <v>0</v>
      </c>
      <c r="AB189">
        <f>VLOOKUP(Table55[[#This Row],[Shortname]], Comp[], 27, FALSE)</f>
        <v>0</v>
      </c>
      <c r="AC189">
        <f>VLOOKUP(Table55[[#This Row],[Shortname]], Comp[], 28, FALSE)</f>
        <v>0</v>
      </c>
      <c r="AD189">
        <f>VLOOKUP(Table55[[#This Row],[Shortname]], Comp[], 29, FALSE)</f>
        <v>0</v>
      </c>
      <c r="AE189">
        <f>VLOOKUP(Table55[[#This Row],[Shortname]], Comp[], 30, FALSE)</f>
        <v>0</v>
      </c>
      <c r="AF189">
        <f>VLOOKUP(Table55[[#This Row],[Shortname]], Comp[], 31, FALSE)</f>
        <v>0</v>
      </c>
    </row>
    <row r="190" spans="1:32" x14ac:dyDescent="0.3">
      <c r="A190" s="7" t="s">
        <v>2610</v>
      </c>
      <c r="B190" s="7" t="s">
        <v>2611</v>
      </c>
      <c r="C190" t="s">
        <v>6731</v>
      </c>
      <c r="D190">
        <v>1073</v>
      </c>
      <c r="E190">
        <v>1347</v>
      </c>
      <c r="H190" s="14">
        <f>VLOOKUP(Table55[[#This Row],[Shortname]], Comp[], 7, FALSE)</f>
        <v>79.400000000000006</v>
      </c>
      <c r="I190">
        <f>VLOOKUP(Table55[[#This Row],[Shortname]], Comp[], 8, FALSE)</f>
        <v>0</v>
      </c>
      <c r="J190">
        <f>VLOOKUP(Table55[[#This Row],[Shortname]], Comp[], 9, FALSE)</f>
        <v>8.8000000000000007</v>
      </c>
      <c r="K190">
        <f>VLOOKUP(Table55[[#This Row],[Shortname]], Comp[], 10, FALSE)</f>
        <v>0</v>
      </c>
      <c r="L190">
        <f>VLOOKUP(Table55[[#This Row],[Shortname]], Comp[], 11, FALSE)</f>
        <v>9.8000000000000007</v>
      </c>
      <c r="M190">
        <f>VLOOKUP(Table55[[#This Row],[Shortname]], Comp[],12, FALSE)</f>
        <v>0</v>
      </c>
      <c r="N190">
        <f>VLOOKUP(Table55[[#This Row],[Shortname]], Comp[], 13, FALSE)</f>
        <v>0</v>
      </c>
      <c r="O190">
        <f>VLOOKUP(Table55[[#This Row],[Shortname]], Comp[], 14, FALSE)</f>
        <v>2</v>
      </c>
      <c r="P190">
        <f>VLOOKUP(Table55[[#This Row],[Shortname]], Comp[], 15, FALSE)</f>
        <v>0</v>
      </c>
      <c r="Q190">
        <f>VLOOKUP(Table55[[#This Row],[Shortname]], Comp[], 16, FALSE)</f>
        <v>0</v>
      </c>
      <c r="R190">
        <f>VLOOKUP(Table55[[#This Row],[Shortname]], Comp[], 17, FALSE)</f>
        <v>0</v>
      </c>
      <c r="S190">
        <f>VLOOKUP(Table55[[#This Row],[Shortname]], Comp[], 18, FALSE)</f>
        <v>0</v>
      </c>
      <c r="T190">
        <f>VLOOKUP(Table55[[#This Row],[Shortname]], Comp[], 19, FALSE)</f>
        <v>0</v>
      </c>
      <c r="U190">
        <f>VLOOKUP(Table55[[#This Row],[Shortname]], Comp[], 20, FALSE)</f>
        <v>0</v>
      </c>
      <c r="V190">
        <f>VLOOKUP(Table55[[#This Row],[Shortname]], Comp[], 21, FALSE)</f>
        <v>0</v>
      </c>
      <c r="W190">
        <f>VLOOKUP(Table55[[#This Row],[Shortname]], Comp[], 22, FALSE)</f>
        <v>0</v>
      </c>
      <c r="X190">
        <f>VLOOKUP(Table55[[#This Row],[Shortname]], Comp[], 23, FALSE)</f>
        <v>0</v>
      </c>
      <c r="Y190">
        <f>VLOOKUP(Table55[[#This Row],[Shortname]], Comp[], 24, FALSE)</f>
        <v>0</v>
      </c>
      <c r="Z190">
        <f>VLOOKUP(Table55[[#This Row],[Shortname]], Comp[], 25, FALSE)</f>
        <v>0</v>
      </c>
      <c r="AA190">
        <f>VLOOKUP(Table55[[#This Row],[Shortname]], Comp[], 26, FALSE)</f>
        <v>0</v>
      </c>
      <c r="AB190">
        <f>VLOOKUP(Table55[[#This Row],[Shortname]], Comp[], 27, FALSE)</f>
        <v>0</v>
      </c>
      <c r="AC190">
        <f>VLOOKUP(Table55[[#This Row],[Shortname]], Comp[], 28, FALSE)</f>
        <v>0</v>
      </c>
      <c r="AD190">
        <f>VLOOKUP(Table55[[#This Row],[Shortname]], Comp[], 29, FALSE)</f>
        <v>0</v>
      </c>
      <c r="AE190">
        <f>VLOOKUP(Table55[[#This Row],[Shortname]], Comp[], 30, FALSE)</f>
        <v>0</v>
      </c>
      <c r="AF190">
        <f>VLOOKUP(Table55[[#This Row],[Shortname]], Comp[], 31, FALSE)</f>
        <v>0</v>
      </c>
    </row>
    <row r="191" spans="1:32" x14ac:dyDescent="0.3">
      <c r="A191" s="7" t="s">
        <v>2661</v>
      </c>
      <c r="B191" s="7" t="s">
        <v>2663</v>
      </c>
      <c r="C191" t="s">
        <v>6731</v>
      </c>
      <c r="D191">
        <v>1041</v>
      </c>
      <c r="E191">
        <v>1386</v>
      </c>
      <c r="H191" s="14">
        <f>VLOOKUP(Table55[[#This Row],[Shortname]], Comp[], 7, FALSE)</f>
        <v>79.400000000000006</v>
      </c>
      <c r="I191">
        <f>VLOOKUP(Table55[[#This Row],[Shortname]], Comp[], 8, FALSE)</f>
        <v>0</v>
      </c>
      <c r="J191">
        <f>VLOOKUP(Table55[[#This Row],[Shortname]], Comp[], 9, FALSE)</f>
        <v>8.8000000000000007</v>
      </c>
      <c r="K191">
        <f>VLOOKUP(Table55[[#This Row],[Shortname]], Comp[], 10, FALSE)</f>
        <v>0</v>
      </c>
      <c r="L191">
        <f>VLOOKUP(Table55[[#This Row],[Shortname]], Comp[], 11, FALSE)</f>
        <v>9.8000000000000007</v>
      </c>
      <c r="M191">
        <f>VLOOKUP(Table55[[#This Row],[Shortname]], Comp[],12, FALSE)</f>
        <v>0</v>
      </c>
      <c r="N191">
        <f>VLOOKUP(Table55[[#This Row],[Shortname]], Comp[], 13, FALSE)</f>
        <v>0</v>
      </c>
      <c r="O191">
        <f>VLOOKUP(Table55[[#This Row],[Shortname]], Comp[], 14, FALSE)</f>
        <v>0</v>
      </c>
      <c r="P191">
        <f>VLOOKUP(Table55[[#This Row],[Shortname]], Comp[], 15, FALSE)</f>
        <v>0</v>
      </c>
      <c r="Q191">
        <f>VLOOKUP(Table55[[#This Row],[Shortname]], Comp[], 16, FALSE)</f>
        <v>0</v>
      </c>
      <c r="R191">
        <f>VLOOKUP(Table55[[#This Row],[Shortname]], Comp[], 17, FALSE)</f>
        <v>0</v>
      </c>
      <c r="S191">
        <f>VLOOKUP(Table55[[#This Row],[Shortname]], Comp[], 18, FALSE)</f>
        <v>0</v>
      </c>
      <c r="T191">
        <f>VLOOKUP(Table55[[#This Row],[Shortname]], Comp[], 19, FALSE)</f>
        <v>0</v>
      </c>
      <c r="U191">
        <f>VLOOKUP(Table55[[#This Row],[Shortname]], Comp[], 20, FALSE)</f>
        <v>0</v>
      </c>
      <c r="V191">
        <f>VLOOKUP(Table55[[#This Row],[Shortname]], Comp[], 21, FALSE)</f>
        <v>0</v>
      </c>
      <c r="W191">
        <f>VLOOKUP(Table55[[#This Row],[Shortname]], Comp[], 22, FALSE)</f>
        <v>0</v>
      </c>
      <c r="X191">
        <f>VLOOKUP(Table55[[#This Row],[Shortname]], Comp[], 23, FALSE)</f>
        <v>0</v>
      </c>
      <c r="Y191">
        <f>VLOOKUP(Table55[[#This Row],[Shortname]], Comp[], 24, FALSE)</f>
        <v>0</v>
      </c>
      <c r="Z191">
        <f>VLOOKUP(Table55[[#This Row],[Shortname]], Comp[], 25, FALSE)</f>
        <v>2</v>
      </c>
      <c r="AA191">
        <f>VLOOKUP(Table55[[#This Row],[Shortname]], Comp[], 26, FALSE)</f>
        <v>0</v>
      </c>
      <c r="AB191">
        <f>VLOOKUP(Table55[[#This Row],[Shortname]], Comp[], 27, FALSE)</f>
        <v>0</v>
      </c>
      <c r="AC191">
        <f>VLOOKUP(Table55[[#This Row],[Shortname]], Comp[], 28, FALSE)</f>
        <v>0</v>
      </c>
      <c r="AD191">
        <f>VLOOKUP(Table55[[#This Row],[Shortname]], Comp[], 29, FALSE)</f>
        <v>0</v>
      </c>
      <c r="AE191">
        <f>VLOOKUP(Table55[[#This Row],[Shortname]], Comp[], 30, FALSE)</f>
        <v>0</v>
      </c>
      <c r="AF191">
        <f>VLOOKUP(Table55[[#This Row],[Shortname]], Comp[], 31, FALSE)</f>
        <v>0</v>
      </c>
    </row>
    <row r="192" spans="1:32" x14ac:dyDescent="0.3">
      <c r="A192" s="7" t="s">
        <v>2604</v>
      </c>
      <c r="B192" s="7" t="s">
        <v>2606</v>
      </c>
      <c r="C192" t="s">
        <v>6731</v>
      </c>
      <c r="D192">
        <v>1033</v>
      </c>
      <c r="E192">
        <v>1438</v>
      </c>
      <c r="H192" s="14">
        <f>VLOOKUP(Table55[[#This Row],[Shortname]], Comp[], 7, FALSE)</f>
        <v>79.400000000000006</v>
      </c>
      <c r="I192">
        <f>VLOOKUP(Table55[[#This Row],[Shortname]], Comp[], 8, FALSE)</f>
        <v>0</v>
      </c>
      <c r="J192">
        <f>VLOOKUP(Table55[[#This Row],[Shortname]], Comp[], 9, FALSE)</f>
        <v>8.8000000000000007</v>
      </c>
      <c r="K192">
        <f>VLOOKUP(Table55[[#This Row],[Shortname]], Comp[], 10, FALSE)</f>
        <v>0</v>
      </c>
      <c r="L192">
        <f>VLOOKUP(Table55[[#This Row],[Shortname]], Comp[], 11, FALSE)</f>
        <v>9.8000000000000007</v>
      </c>
      <c r="M192">
        <f>VLOOKUP(Table55[[#This Row],[Shortname]], Comp[],12, FALSE)</f>
        <v>0</v>
      </c>
      <c r="N192">
        <f>VLOOKUP(Table55[[#This Row],[Shortname]], Comp[], 13, FALSE)</f>
        <v>0</v>
      </c>
      <c r="O192">
        <f>VLOOKUP(Table55[[#This Row],[Shortname]], Comp[], 14, FALSE)</f>
        <v>0</v>
      </c>
      <c r="P192">
        <f>VLOOKUP(Table55[[#This Row],[Shortname]], Comp[], 15, FALSE)</f>
        <v>2</v>
      </c>
      <c r="Q192">
        <f>VLOOKUP(Table55[[#This Row],[Shortname]], Comp[], 16, FALSE)</f>
        <v>0</v>
      </c>
      <c r="R192">
        <f>VLOOKUP(Table55[[#This Row],[Shortname]], Comp[], 17, FALSE)</f>
        <v>0</v>
      </c>
      <c r="S192">
        <f>VLOOKUP(Table55[[#This Row],[Shortname]], Comp[], 18, FALSE)</f>
        <v>0</v>
      </c>
      <c r="T192">
        <f>VLOOKUP(Table55[[#This Row],[Shortname]], Comp[], 19, FALSE)</f>
        <v>0</v>
      </c>
      <c r="U192">
        <f>VLOOKUP(Table55[[#This Row],[Shortname]], Comp[], 20, FALSE)</f>
        <v>0</v>
      </c>
      <c r="V192">
        <f>VLOOKUP(Table55[[#This Row],[Shortname]], Comp[], 21, FALSE)</f>
        <v>0</v>
      </c>
      <c r="W192">
        <f>VLOOKUP(Table55[[#This Row],[Shortname]], Comp[], 22, FALSE)</f>
        <v>0</v>
      </c>
      <c r="X192">
        <f>VLOOKUP(Table55[[#This Row],[Shortname]], Comp[], 23, FALSE)</f>
        <v>0</v>
      </c>
      <c r="Y192">
        <f>VLOOKUP(Table55[[#This Row],[Shortname]], Comp[], 24, FALSE)</f>
        <v>0</v>
      </c>
      <c r="Z192">
        <f>VLOOKUP(Table55[[#This Row],[Shortname]], Comp[], 25, FALSE)</f>
        <v>0</v>
      </c>
      <c r="AA192">
        <f>VLOOKUP(Table55[[#This Row],[Shortname]], Comp[], 26, FALSE)</f>
        <v>0</v>
      </c>
      <c r="AB192">
        <f>VLOOKUP(Table55[[#This Row],[Shortname]], Comp[], 27, FALSE)</f>
        <v>0</v>
      </c>
      <c r="AC192">
        <f>VLOOKUP(Table55[[#This Row],[Shortname]], Comp[], 28, FALSE)</f>
        <v>0</v>
      </c>
      <c r="AD192">
        <f>VLOOKUP(Table55[[#This Row],[Shortname]], Comp[], 29, FALSE)</f>
        <v>0</v>
      </c>
      <c r="AE192">
        <f>VLOOKUP(Table55[[#This Row],[Shortname]], Comp[], 30, FALSE)</f>
        <v>0</v>
      </c>
      <c r="AF192">
        <f>VLOOKUP(Table55[[#This Row],[Shortname]], Comp[], 31, FALSE)</f>
        <v>0</v>
      </c>
    </row>
    <row r="193" spans="1:32" x14ac:dyDescent="0.3">
      <c r="A193" s="7" t="s">
        <v>2654</v>
      </c>
      <c r="B193" s="7" t="s">
        <v>2656</v>
      </c>
      <c r="C193" t="s">
        <v>6731</v>
      </c>
      <c r="D193">
        <v>1020</v>
      </c>
      <c r="E193">
        <v>1382</v>
      </c>
      <c r="H193" s="14">
        <f>VLOOKUP(Table55[[#This Row],[Shortname]], Comp[], 7, FALSE)</f>
        <v>79.400000000000006</v>
      </c>
      <c r="I193">
        <f>VLOOKUP(Table55[[#This Row],[Shortname]], Comp[], 8, FALSE)</f>
        <v>0</v>
      </c>
      <c r="J193">
        <f>VLOOKUP(Table55[[#This Row],[Shortname]], Comp[], 9, FALSE)</f>
        <v>8.8000000000000007</v>
      </c>
      <c r="K193">
        <f>VLOOKUP(Table55[[#This Row],[Shortname]], Comp[], 10, FALSE)</f>
        <v>0</v>
      </c>
      <c r="L193">
        <f>VLOOKUP(Table55[[#This Row],[Shortname]], Comp[], 11, FALSE)</f>
        <v>9.8000000000000007</v>
      </c>
      <c r="M193">
        <f>VLOOKUP(Table55[[#This Row],[Shortname]], Comp[],12, FALSE)</f>
        <v>0</v>
      </c>
      <c r="N193">
        <f>VLOOKUP(Table55[[#This Row],[Shortname]], Comp[], 13, FALSE)</f>
        <v>0</v>
      </c>
      <c r="O193">
        <f>VLOOKUP(Table55[[#This Row],[Shortname]], Comp[], 14, FALSE)</f>
        <v>0</v>
      </c>
      <c r="P193">
        <f>VLOOKUP(Table55[[#This Row],[Shortname]], Comp[], 15, FALSE)</f>
        <v>0</v>
      </c>
      <c r="Q193">
        <f>VLOOKUP(Table55[[#This Row],[Shortname]], Comp[], 16, FALSE)</f>
        <v>0</v>
      </c>
      <c r="R193">
        <f>VLOOKUP(Table55[[#This Row],[Shortname]], Comp[], 17, FALSE)</f>
        <v>0</v>
      </c>
      <c r="S193">
        <f>VLOOKUP(Table55[[#This Row],[Shortname]], Comp[], 18, FALSE)</f>
        <v>2</v>
      </c>
      <c r="T193">
        <f>VLOOKUP(Table55[[#This Row],[Shortname]], Comp[], 19, FALSE)</f>
        <v>0</v>
      </c>
      <c r="U193">
        <f>VLOOKUP(Table55[[#This Row],[Shortname]], Comp[], 20, FALSE)</f>
        <v>0</v>
      </c>
      <c r="V193">
        <f>VLOOKUP(Table55[[#This Row],[Shortname]], Comp[], 21, FALSE)</f>
        <v>0</v>
      </c>
      <c r="W193">
        <f>VLOOKUP(Table55[[#This Row],[Shortname]], Comp[], 22, FALSE)</f>
        <v>0</v>
      </c>
      <c r="X193">
        <f>VLOOKUP(Table55[[#This Row],[Shortname]], Comp[], 23, FALSE)</f>
        <v>0</v>
      </c>
      <c r="Y193">
        <f>VLOOKUP(Table55[[#This Row],[Shortname]], Comp[], 24, FALSE)</f>
        <v>0</v>
      </c>
      <c r="Z193">
        <f>VLOOKUP(Table55[[#This Row],[Shortname]], Comp[], 25, FALSE)</f>
        <v>0</v>
      </c>
      <c r="AA193">
        <f>VLOOKUP(Table55[[#This Row],[Shortname]], Comp[], 26, FALSE)</f>
        <v>0</v>
      </c>
      <c r="AB193">
        <f>VLOOKUP(Table55[[#This Row],[Shortname]], Comp[], 27, FALSE)</f>
        <v>0</v>
      </c>
      <c r="AC193">
        <f>VLOOKUP(Table55[[#This Row],[Shortname]], Comp[], 28, FALSE)</f>
        <v>0</v>
      </c>
      <c r="AD193">
        <f>VLOOKUP(Table55[[#This Row],[Shortname]], Comp[], 29, FALSE)</f>
        <v>0</v>
      </c>
      <c r="AE193">
        <f>VLOOKUP(Table55[[#This Row],[Shortname]], Comp[], 30, FALSE)</f>
        <v>0</v>
      </c>
      <c r="AF193">
        <f>VLOOKUP(Table55[[#This Row],[Shortname]], Comp[], 31, FALSE)</f>
        <v>0</v>
      </c>
    </row>
    <row r="194" spans="1:32" x14ac:dyDescent="0.3">
      <c r="A194" s="7" t="s">
        <v>2675</v>
      </c>
      <c r="B194" s="7" t="s">
        <v>2677</v>
      </c>
      <c r="C194" t="s">
        <v>6731</v>
      </c>
      <c r="D194">
        <v>1017</v>
      </c>
      <c r="E194">
        <v>1457</v>
      </c>
      <c r="H194" s="14">
        <f>VLOOKUP(Table55[[#This Row],[Shortname]], Comp[], 7, FALSE)</f>
        <v>79.400000000000006</v>
      </c>
      <c r="I194">
        <f>VLOOKUP(Table55[[#This Row],[Shortname]], Comp[], 8, FALSE)</f>
        <v>0</v>
      </c>
      <c r="J194">
        <f>VLOOKUP(Table55[[#This Row],[Shortname]], Comp[], 9, FALSE)</f>
        <v>8.8000000000000007</v>
      </c>
      <c r="K194">
        <f>VLOOKUP(Table55[[#This Row],[Shortname]], Comp[], 10, FALSE)</f>
        <v>0</v>
      </c>
      <c r="L194">
        <f>VLOOKUP(Table55[[#This Row],[Shortname]], Comp[], 11, FALSE)</f>
        <v>9.8000000000000007</v>
      </c>
      <c r="M194">
        <f>VLOOKUP(Table55[[#This Row],[Shortname]], Comp[],12, FALSE)</f>
        <v>0</v>
      </c>
      <c r="N194">
        <f>VLOOKUP(Table55[[#This Row],[Shortname]], Comp[], 13, FALSE)</f>
        <v>0</v>
      </c>
      <c r="O194">
        <f>VLOOKUP(Table55[[#This Row],[Shortname]], Comp[], 14, FALSE)</f>
        <v>0</v>
      </c>
      <c r="P194">
        <f>VLOOKUP(Table55[[#This Row],[Shortname]], Comp[], 15, FALSE)</f>
        <v>0</v>
      </c>
      <c r="Q194">
        <f>VLOOKUP(Table55[[#This Row],[Shortname]], Comp[], 16, FALSE)</f>
        <v>0</v>
      </c>
      <c r="R194">
        <f>VLOOKUP(Table55[[#This Row],[Shortname]], Comp[], 17, FALSE)</f>
        <v>0</v>
      </c>
      <c r="S194">
        <f>VLOOKUP(Table55[[#This Row],[Shortname]], Comp[], 18, FALSE)</f>
        <v>0</v>
      </c>
      <c r="T194">
        <f>VLOOKUP(Table55[[#This Row],[Shortname]], Comp[], 19, FALSE)</f>
        <v>0</v>
      </c>
      <c r="U194">
        <f>VLOOKUP(Table55[[#This Row],[Shortname]], Comp[], 20, FALSE)</f>
        <v>2</v>
      </c>
      <c r="V194">
        <f>VLOOKUP(Table55[[#This Row],[Shortname]], Comp[], 21, FALSE)</f>
        <v>0</v>
      </c>
      <c r="W194">
        <f>VLOOKUP(Table55[[#This Row],[Shortname]], Comp[], 22, FALSE)</f>
        <v>0</v>
      </c>
      <c r="X194">
        <f>VLOOKUP(Table55[[#This Row],[Shortname]], Comp[], 23, FALSE)</f>
        <v>0</v>
      </c>
      <c r="Y194">
        <f>VLOOKUP(Table55[[#This Row],[Shortname]], Comp[], 24, FALSE)</f>
        <v>0</v>
      </c>
      <c r="Z194">
        <f>VLOOKUP(Table55[[#This Row],[Shortname]], Comp[], 25, FALSE)</f>
        <v>0</v>
      </c>
      <c r="AA194">
        <f>VLOOKUP(Table55[[#This Row],[Shortname]], Comp[], 26, FALSE)</f>
        <v>0</v>
      </c>
      <c r="AB194">
        <f>VLOOKUP(Table55[[#This Row],[Shortname]], Comp[], 27, FALSE)</f>
        <v>0</v>
      </c>
      <c r="AC194">
        <f>VLOOKUP(Table55[[#This Row],[Shortname]], Comp[], 28, FALSE)</f>
        <v>0</v>
      </c>
      <c r="AD194">
        <f>VLOOKUP(Table55[[#This Row],[Shortname]], Comp[], 29, FALSE)</f>
        <v>0</v>
      </c>
      <c r="AE194">
        <f>VLOOKUP(Table55[[#This Row],[Shortname]], Comp[], 30, FALSE)</f>
        <v>0</v>
      </c>
      <c r="AF194">
        <f>VLOOKUP(Table55[[#This Row],[Shortname]], Comp[], 31, FALSE)</f>
        <v>0</v>
      </c>
    </row>
    <row r="195" spans="1:32" x14ac:dyDescent="0.3">
      <c r="A195" s="7" t="s">
        <v>2600</v>
      </c>
      <c r="B195" s="7" t="s">
        <v>698</v>
      </c>
      <c r="C195" t="s">
        <v>6731</v>
      </c>
      <c r="D195">
        <v>1016</v>
      </c>
      <c r="E195">
        <v>1449</v>
      </c>
      <c r="H195" s="14">
        <f>VLOOKUP(Table55[[#This Row],[Shortname]], Comp[], 7, FALSE)</f>
        <v>81</v>
      </c>
      <c r="I195">
        <f>VLOOKUP(Table55[[#This Row],[Shortname]], Comp[], 8, FALSE)</f>
        <v>0</v>
      </c>
      <c r="J195">
        <f>VLOOKUP(Table55[[#This Row],[Shortname]], Comp[], 9, FALSE)</f>
        <v>9</v>
      </c>
      <c r="K195">
        <f>VLOOKUP(Table55[[#This Row],[Shortname]], Comp[], 10, FALSE)</f>
        <v>0</v>
      </c>
      <c r="L195">
        <f>VLOOKUP(Table55[[#This Row],[Shortname]], Comp[], 11, FALSE)</f>
        <v>10</v>
      </c>
      <c r="M195">
        <f>VLOOKUP(Table55[[#This Row],[Shortname]], Comp[],12, FALSE)</f>
        <v>0</v>
      </c>
      <c r="N195">
        <f>VLOOKUP(Table55[[#This Row],[Shortname]], Comp[], 13, FALSE)</f>
        <v>0</v>
      </c>
      <c r="O195">
        <f>VLOOKUP(Table55[[#This Row],[Shortname]], Comp[], 14, FALSE)</f>
        <v>0</v>
      </c>
      <c r="P195">
        <f>VLOOKUP(Table55[[#This Row],[Shortname]], Comp[], 15, FALSE)</f>
        <v>0</v>
      </c>
      <c r="Q195">
        <f>VLOOKUP(Table55[[#This Row],[Shortname]], Comp[], 16, FALSE)</f>
        <v>0</v>
      </c>
      <c r="R195">
        <f>VLOOKUP(Table55[[#This Row],[Shortname]], Comp[], 17, FALSE)</f>
        <v>0</v>
      </c>
      <c r="S195">
        <f>VLOOKUP(Table55[[#This Row],[Shortname]], Comp[], 18, FALSE)</f>
        <v>0</v>
      </c>
      <c r="T195">
        <f>VLOOKUP(Table55[[#This Row],[Shortname]], Comp[], 19, FALSE)</f>
        <v>0</v>
      </c>
      <c r="U195">
        <f>VLOOKUP(Table55[[#This Row],[Shortname]], Comp[], 20, FALSE)</f>
        <v>0</v>
      </c>
      <c r="V195">
        <f>VLOOKUP(Table55[[#This Row],[Shortname]], Comp[], 21, FALSE)</f>
        <v>0</v>
      </c>
      <c r="W195">
        <f>VLOOKUP(Table55[[#This Row],[Shortname]], Comp[], 22, FALSE)</f>
        <v>0</v>
      </c>
      <c r="X195">
        <f>VLOOKUP(Table55[[#This Row],[Shortname]], Comp[], 23, FALSE)</f>
        <v>0</v>
      </c>
      <c r="Y195">
        <f>VLOOKUP(Table55[[#This Row],[Shortname]], Comp[], 24, FALSE)</f>
        <v>0</v>
      </c>
      <c r="Z195">
        <f>VLOOKUP(Table55[[#This Row],[Shortname]], Comp[], 25, FALSE)</f>
        <v>0</v>
      </c>
      <c r="AA195">
        <f>VLOOKUP(Table55[[#This Row],[Shortname]], Comp[], 26, FALSE)</f>
        <v>0</v>
      </c>
      <c r="AB195">
        <f>VLOOKUP(Table55[[#This Row],[Shortname]], Comp[], 27, FALSE)</f>
        <v>0</v>
      </c>
      <c r="AC195">
        <f>VLOOKUP(Table55[[#This Row],[Shortname]], Comp[], 28, FALSE)</f>
        <v>0</v>
      </c>
      <c r="AD195">
        <f>VLOOKUP(Table55[[#This Row],[Shortname]], Comp[], 29, FALSE)</f>
        <v>0</v>
      </c>
      <c r="AE195">
        <f>VLOOKUP(Table55[[#This Row],[Shortname]], Comp[], 30, FALSE)</f>
        <v>0</v>
      </c>
      <c r="AF195">
        <f>VLOOKUP(Table55[[#This Row],[Shortname]], Comp[], 31, FALSE)</f>
        <v>0</v>
      </c>
    </row>
    <row r="196" spans="1:32" x14ac:dyDescent="0.3">
      <c r="A196" s="7" t="s">
        <v>2623</v>
      </c>
      <c r="B196" s="7" t="s">
        <v>2625</v>
      </c>
      <c r="C196" t="s">
        <v>6731</v>
      </c>
      <c r="D196">
        <v>1016</v>
      </c>
      <c r="E196">
        <v>1431</v>
      </c>
      <c r="H196" s="14">
        <f>VLOOKUP(Table55[[#This Row],[Shortname]], Comp[], 7, FALSE)</f>
        <v>79.400000000000006</v>
      </c>
      <c r="I196">
        <f>VLOOKUP(Table55[[#This Row],[Shortname]], Comp[], 8, FALSE)</f>
        <v>0</v>
      </c>
      <c r="J196">
        <f>VLOOKUP(Table55[[#This Row],[Shortname]], Comp[], 9, FALSE)</f>
        <v>8.8000000000000007</v>
      </c>
      <c r="K196">
        <f>VLOOKUP(Table55[[#This Row],[Shortname]], Comp[], 10, FALSE)</f>
        <v>0</v>
      </c>
      <c r="L196">
        <f>VLOOKUP(Table55[[#This Row],[Shortname]], Comp[], 11, FALSE)</f>
        <v>9.8000000000000007</v>
      </c>
      <c r="M196">
        <f>VLOOKUP(Table55[[#This Row],[Shortname]], Comp[],12, FALSE)</f>
        <v>0</v>
      </c>
      <c r="N196">
        <f>VLOOKUP(Table55[[#This Row],[Shortname]], Comp[], 13, FALSE)</f>
        <v>0</v>
      </c>
      <c r="O196">
        <f>VLOOKUP(Table55[[#This Row],[Shortname]], Comp[], 14, FALSE)</f>
        <v>0</v>
      </c>
      <c r="P196">
        <f>VLOOKUP(Table55[[#This Row],[Shortname]], Comp[], 15, FALSE)</f>
        <v>0</v>
      </c>
      <c r="Q196">
        <f>VLOOKUP(Table55[[#This Row],[Shortname]], Comp[], 16, FALSE)</f>
        <v>2</v>
      </c>
      <c r="R196">
        <f>VLOOKUP(Table55[[#This Row],[Shortname]], Comp[], 17, FALSE)</f>
        <v>0</v>
      </c>
      <c r="S196">
        <f>VLOOKUP(Table55[[#This Row],[Shortname]], Comp[], 18, FALSE)</f>
        <v>0</v>
      </c>
      <c r="T196">
        <f>VLOOKUP(Table55[[#This Row],[Shortname]], Comp[], 19, FALSE)</f>
        <v>0</v>
      </c>
      <c r="U196">
        <f>VLOOKUP(Table55[[#This Row],[Shortname]], Comp[], 20, FALSE)</f>
        <v>0</v>
      </c>
      <c r="V196">
        <f>VLOOKUP(Table55[[#This Row],[Shortname]], Comp[], 21, FALSE)</f>
        <v>0</v>
      </c>
      <c r="W196">
        <f>VLOOKUP(Table55[[#This Row],[Shortname]], Comp[], 22, FALSE)</f>
        <v>0</v>
      </c>
      <c r="X196">
        <f>VLOOKUP(Table55[[#This Row],[Shortname]], Comp[], 23, FALSE)</f>
        <v>0</v>
      </c>
      <c r="Y196">
        <f>VLOOKUP(Table55[[#This Row],[Shortname]], Comp[], 24, FALSE)</f>
        <v>0</v>
      </c>
      <c r="Z196">
        <f>VLOOKUP(Table55[[#This Row],[Shortname]], Comp[], 25, FALSE)</f>
        <v>0</v>
      </c>
      <c r="AA196">
        <f>VLOOKUP(Table55[[#This Row],[Shortname]], Comp[], 26, FALSE)</f>
        <v>0</v>
      </c>
      <c r="AB196">
        <f>VLOOKUP(Table55[[#This Row],[Shortname]], Comp[], 27, FALSE)</f>
        <v>0</v>
      </c>
      <c r="AC196">
        <f>VLOOKUP(Table55[[#This Row],[Shortname]], Comp[], 28, FALSE)</f>
        <v>0</v>
      </c>
      <c r="AD196">
        <f>VLOOKUP(Table55[[#This Row],[Shortname]], Comp[], 29, FALSE)</f>
        <v>0</v>
      </c>
      <c r="AE196">
        <f>VLOOKUP(Table55[[#This Row],[Shortname]], Comp[], 30, FALSE)</f>
        <v>0</v>
      </c>
      <c r="AF196">
        <f>VLOOKUP(Table55[[#This Row],[Shortname]], Comp[], 31, FALSE)</f>
        <v>0</v>
      </c>
    </row>
    <row r="197" spans="1:32" x14ac:dyDescent="0.3">
      <c r="A197" s="7" t="s">
        <v>2649</v>
      </c>
      <c r="B197" s="7" t="s">
        <v>2650</v>
      </c>
      <c r="C197" t="s">
        <v>6731</v>
      </c>
      <c r="D197">
        <v>1015</v>
      </c>
      <c r="E197">
        <v>1398</v>
      </c>
      <c r="H197" s="14">
        <f>VLOOKUP(Table55[[#This Row],[Shortname]], Comp[], 7, FALSE)</f>
        <v>79.400000000000006</v>
      </c>
      <c r="I197">
        <f>VLOOKUP(Table55[[#This Row],[Shortname]], Comp[], 8, FALSE)</f>
        <v>0</v>
      </c>
      <c r="J197">
        <f>VLOOKUP(Table55[[#This Row],[Shortname]], Comp[], 9, FALSE)</f>
        <v>8.8000000000000007</v>
      </c>
      <c r="K197">
        <f>VLOOKUP(Table55[[#This Row],[Shortname]], Comp[], 10, FALSE)</f>
        <v>0</v>
      </c>
      <c r="L197">
        <f>VLOOKUP(Table55[[#This Row],[Shortname]], Comp[], 11, FALSE)</f>
        <v>9.8000000000000007</v>
      </c>
      <c r="M197">
        <f>VLOOKUP(Table55[[#This Row],[Shortname]], Comp[],12, FALSE)</f>
        <v>0</v>
      </c>
      <c r="N197">
        <f>VLOOKUP(Table55[[#This Row],[Shortname]], Comp[], 13, FALSE)</f>
        <v>0</v>
      </c>
      <c r="O197">
        <f>VLOOKUP(Table55[[#This Row],[Shortname]], Comp[], 14, FALSE)</f>
        <v>0</v>
      </c>
      <c r="P197">
        <f>VLOOKUP(Table55[[#This Row],[Shortname]], Comp[], 15, FALSE)</f>
        <v>0</v>
      </c>
      <c r="Q197">
        <f>VLOOKUP(Table55[[#This Row],[Shortname]], Comp[], 16, FALSE)</f>
        <v>0</v>
      </c>
      <c r="R197">
        <f>VLOOKUP(Table55[[#This Row],[Shortname]], Comp[], 17, FALSE)</f>
        <v>0</v>
      </c>
      <c r="S197">
        <f>VLOOKUP(Table55[[#This Row],[Shortname]], Comp[], 18, FALSE)</f>
        <v>0</v>
      </c>
      <c r="T197">
        <f>VLOOKUP(Table55[[#This Row],[Shortname]], Comp[], 19, FALSE)</f>
        <v>0</v>
      </c>
      <c r="U197">
        <f>VLOOKUP(Table55[[#This Row],[Shortname]], Comp[], 20, FALSE)</f>
        <v>0</v>
      </c>
      <c r="V197">
        <f>VLOOKUP(Table55[[#This Row],[Shortname]], Comp[], 21, FALSE)</f>
        <v>0</v>
      </c>
      <c r="W197">
        <f>VLOOKUP(Table55[[#This Row],[Shortname]], Comp[], 22, FALSE)</f>
        <v>2</v>
      </c>
      <c r="X197">
        <f>VLOOKUP(Table55[[#This Row],[Shortname]], Comp[], 23, FALSE)</f>
        <v>0</v>
      </c>
      <c r="Y197">
        <f>VLOOKUP(Table55[[#This Row],[Shortname]], Comp[], 24, FALSE)</f>
        <v>0</v>
      </c>
      <c r="Z197">
        <f>VLOOKUP(Table55[[#This Row],[Shortname]], Comp[], 25, FALSE)</f>
        <v>0</v>
      </c>
      <c r="AA197">
        <f>VLOOKUP(Table55[[#This Row],[Shortname]], Comp[], 26, FALSE)</f>
        <v>0</v>
      </c>
      <c r="AB197">
        <f>VLOOKUP(Table55[[#This Row],[Shortname]], Comp[], 27, FALSE)</f>
        <v>0</v>
      </c>
      <c r="AC197">
        <f>VLOOKUP(Table55[[#This Row],[Shortname]], Comp[], 28, FALSE)</f>
        <v>0</v>
      </c>
      <c r="AD197">
        <f>VLOOKUP(Table55[[#This Row],[Shortname]], Comp[], 29, FALSE)</f>
        <v>0</v>
      </c>
      <c r="AE197">
        <f>VLOOKUP(Table55[[#This Row],[Shortname]], Comp[], 30, FALSE)</f>
        <v>0</v>
      </c>
      <c r="AF197">
        <f>VLOOKUP(Table55[[#This Row],[Shortname]], Comp[], 31, FALSE)</f>
        <v>0</v>
      </c>
    </row>
    <row r="198" spans="1:32" x14ac:dyDescent="0.3">
      <c r="A198" s="7" t="s">
        <v>2643</v>
      </c>
      <c r="B198" s="7" t="s">
        <v>2645</v>
      </c>
      <c r="C198" t="s">
        <v>6731</v>
      </c>
      <c r="D198">
        <v>1011</v>
      </c>
      <c r="E198">
        <v>1452</v>
      </c>
      <c r="H198" s="14">
        <f>VLOOKUP(Table55[[#This Row],[Shortname]], Comp[], 7, FALSE)</f>
        <v>79.400000000000006</v>
      </c>
      <c r="I198">
        <f>VLOOKUP(Table55[[#This Row],[Shortname]], Comp[], 8, FALSE)</f>
        <v>2</v>
      </c>
      <c r="J198">
        <f>VLOOKUP(Table55[[#This Row],[Shortname]], Comp[], 9, FALSE)</f>
        <v>8.8000000000000007</v>
      </c>
      <c r="K198">
        <f>VLOOKUP(Table55[[#This Row],[Shortname]], Comp[], 10, FALSE)</f>
        <v>0</v>
      </c>
      <c r="L198">
        <f>VLOOKUP(Table55[[#This Row],[Shortname]], Comp[], 11, FALSE)</f>
        <v>9.8000000000000007</v>
      </c>
      <c r="M198">
        <f>VLOOKUP(Table55[[#This Row],[Shortname]], Comp[],12, FALSE)</f>
        <v>0</v>
      </c>
      <c r="N198">
        <f>VLOOKUP(Table55[[#This Row],[Shortname]], Comp[], 13, FALSE)</f>
        <v>0</v>
      </c>
      <c r="O198">
        <f>VLOOKUP(Table55[[#This Row],[Shortname]], Comp[], 14, FALSE)</f>
        <v>0</v>
      </c>
      <c r="P198">
        <f>VLOOKUP(Table55[[#This Row],[Shortname]], Comp[], 15, FALSE)</f>
        <v>0</v>
      </c>
      <c r="Q198">
        <f>VLOOKUP(Table55[[#This Row],[Shortname]], Comp[], 16, FALSE)</f>
        <v>0</v>
      </c>
      <c r="R198">
        <f>VLOOKUP(Table55[[#This Row],[Shortname]], Comp[], 17, FALSE)</f>
        <v>0</v>
      </c>
      <c r="S198">
        <f>VLOOKUP(Table55[[#This Row],[Shortname]], Comp[], 18, FALSE)</f>
        <v>0</v>
      </c>
      <c r="T198">
        <f>VLOOKUP(Table55[[#This Row],[Shortname]], Comp[], 19, FALSE)</f>
        <v>0</v>
      </c>
      <c r="U198">
        <f>VLOOKUP(Table55[[#This Row],[Shortname]], Comp[], 20, FALSE)</f>
        <v>0</v>
      </c>
      <c r="V198">
        <f>VLOOKUP(Table55[[#This Row],[Shortname]], Comp[], 21, FALSE)</f>
        <v>0</v>
      </c>
      <c r="W198">
        <f>VLOOKUP(Table55[[#This Row],[Shortname]], Comp[], 22, FALSE)</f>
        <v>0</v>
      </c>
      <c r="X198">
        <f>VLOOKUP(Table55[[#This Row],[Shortname]], Comp[], 23, FALSE)</f>
        <v>0</v>
      </c>
      <c r="Y198">
        <f>VLOOKUP(Table55[[#This Row],[Shortname]], Comp[], 24, FALSE)</f>
        <v>0</v>
      </c>
      <c r="Z198">
        <f>VLOOKUP(Table55[[#This Row],[Shortname]], Comp[], 25, FALSE)</f>
        <v>0</v>
      </c>
      <c r="AA198">
        <f>VLOOKUP(Table55[[#This Row],[Shortname]], Comp[], 26, FALSE)</f>
        <v>0</v>
      </c>
      <c r="AB198">
        <f>VLOOKUP(Table55[[#This Row],[Shortname]], Comp[], 27, FALSE)</f>
        <v>0</v>
      </c>
      <c r="AC198">
        <f>VLOOKUP(Table55[[#This Row],[Shortname]], Comp[], 28, FALSE)</f>
        <v>0</v>
      </c>
      <c r="AD198">
        <f>VLOOKUP(Table55[[#This Row],[Shortname]], Comp[], 29, FALSE)</f>
        <v>0</v>
      </c>
      <c r="AE198">
        <f>VLOOKUP(Table55[[#This Row],[Shortname]], Comp[], 30, FALSE)</f>
        <v>0</v>
      </c>
      <c r="AF198">
        <f>VLOOKUP(Table55[[#This Row],[Shortname]], Comp[], 31, FALSE)</f>
        <v>0</v>
      </c>
    </row>
    <row r="199" spans="1:32" x14ac:dyDescent="0.3">
      <c r="A199" s="7" t="s">
        <v>2668</v>
      </c>
      <c r="B199" s="7" t="s">
        <v>2670</v>
      </c>
      <c r="C199" t="s">
        <v>6731</v>
      </c>
      <c r="D199">
        <v>1008</v>
      </c>
      <c r="E199">
        <v>1454</v>
      </c>
      <c r="H199" s="14">
        <f>VLOOKUP(Table55[[#This Row],[Shortname]], Comp[], 7, FALSE)</f>
        <v>79.400000000000006</v>
      </c>
      <c r="I199">
        <f>VLOOKUP(Table55[[#This Row],[Shortname]], Comp[], 8, FALSE)</f>
        <v>0</v>
      </c>
      <c r="J199">
        <f>VLOOKUP(Table55[[#This Row],[Shortname]], Comp[], 9, FALSE)</f>
        <v>8.8000000000000007</v>
      </c>
      <c r="K199">
        <f>VLOOKUP(Table55[[#This Row],[Shortname]], Comp[], 10, FALSE)</f>
        <v>0</v>
      </c>
      <c r="L199">
        <f>VLOOKUP(Table55[[#This Row],[Shortname]], Comp[], 11, FALSE)</f>
        <v>9.8000000000000007</v>
      </c>
      <c r="M199">
        <f>VLOOKUP(Table55[[#This Row],[Shortname]], Comp[],12, FALSE)</f>
        <v>0</v>
      </c>
      <c r="N199">
        <f>VLOOKUP(Table55[[#This Row],[Shortname]], Comp[], 13, FALSE)</f>
        <v>0</v>
      </c>
      <c r="O199">
        <f>VLOOKUP(Table55[[#This Row],[Shortname]], Comp[], 14, FALSE)</f>
        <v>0</v>
      </c>
      <c r="P199">
        <f>VLOOKUP(Table55[[#This Row],[Shortname]], Comp[], 15, FALSE)</f>
        <v>0</v>
      </c>
      <c r="Q199">
        <f>VLOOKUP(Table55[[#This Row],[Shortname]], Comp[], 16, FALSE)</f>
        <v>0</v>
      </c>
      <c r="R199">
        <f>VLOOKUP(Table55[[#This Row],[Shortname]], Comp[], 17, FALSE)</f>
        <v>0</v>
      </c>
      <c r="S199">
        <f>VLOOKUP(Table55[[#This Row],[Shortname]], Comp[], 18, FALSE)</f>
        <v>0</v>
      </c>
      <c r="T199">
        <f>VLOOKUP(Table55[[#This Row],[Shortname]], Comp[], 19, FALSE)</f>
        <v>0</v>
      </c>
      <c r="U199">
        <f>VLOOKUP(Table55[[#This Row],[Shortname]], Comp[], 20, FALSE)</f>
        <v>0</v>
      </c>
      <c r="V199">
        <f>VLOOKUP(Table55[[#This Row],[Shortname]], Comp[], 21, FALSE)</f>
        <v>0</v>
      </c>
      <c r="W199">
        <f>VLOOKUP(Table55[[#This Row],[Shortname]], Comp[], 22, FALSE)</f>
        <v>0</v>
      </c>
      <c r="X199">
        <f>VLOOKUP(Table55[[#This Row],[Shortname]], Comp[], 23, FALSE)</f>
        <v>0</v>
      </c>
      <c r="Y199">
        <f>VLOOKUP(Table55[[#This Row],[Shortname]], Comp[], 24, FALSE)</f>
        <v>0</v>
      </c>
      <c r="Z199">
        <f>VLOOKUP(Table55[[#This Row],[Shortname]], Comp[], 25, FALSE)</f>
        <v>0</v>
      </c>
      <c r="AA199">
        <f>VLOOKUP(Table55[[#This Row],[Shortname]], Comp[], 26, FALSE)</f>
        <v>0</v>
      </c>
      <c r="AB199">
        <f>VLOOKUP(Table55[[#This Row],[Shortname]], Comp[], 27, FALSE)</f>
        <v>0</v>
      </c>
      <c r="AC199">
        <f>VLOOKUP(Table55[[#This Row],[Shortname]], Comp[], 28, FALSE)</f>
        <v>0</v>
      </c>
      <c r="AD199">
        <f>VLOOKUP(Table55[[#This Row],[Shortname]], Comp[], 29, FALSE)</f>
        <v>2</v>
      </c>
      <c r="AE199">
        <f>VLOOKUP(Table55[[#This Row],[Shortname]], Comp[], 30, FALSE)</f>
        <v>0</v>
      </c>
      <c r="AF199">
        <f>VLOOKUP(Table55[[#This Row],[Shortname]], Comp[], 31, FALSE)</f>
        <v>0</v>
      </c>
    </row>
    <row r="200" spans="1:32" x14ac:dyDescent="0.3">
      <c r="A200" s="7" t="s">
        <v>2636</v>
      </c>
      <c r="B200" s="7" t="s">
        <v>2638</v>
      </c>
      <c r="C200" t="s">
        <v>6731</v>
      </c>
      <c r="D200">
        <v>1003</v>
      </c>
      <c r="E200">
        <v>1447</v>
      </c>
      <c r="H200" s="14">
        <f>VLOOKUP(Table55[[#This Row],[Shortname]], Comp[], 7, FALSE)</f>
        <v>79.400000000000006</v>
      </c>
      <c r="I200">
        <f>VLOOKUP(Table55[[#This Row],[Shortname]], Comp[], 8, FALSE)</f>
        <v>0</v>
      </c>
      <c r="J200">
        <f>VLOOKUP(Table55[[#This Row],[Shortname]], Comp[], 9, FALSE)</f>
        <v>8.8000000000000007</v>
      </c>
      <c r="K200">
        <f>VLOOKUP(Table55[[#This Row],[Shortname]], Comp[], 10, FALSE)</f>
        <v>0</v>
      </c>
      <c r="L200">
        <f>VLOOKUP(Table55[[#This Row],[Shortname]], Comp[], 11, FALSE)</f>
        <v>9.8000000000000007</v>
      </c>
      <c r="M200">
        <f>VLOOKUP(Table55[[#This Row],[Shortname]], Comp[],12, FALSE)</f>
        <v>0</v>
      </c>
      <c r="N200">
        <f>VLOOKUP(Table55[[#This Row],[Shortname]], Comp[], 13, FALSE)</f>
        <v>0</v>
      </c>
      <c r="O200">
        <f>VLOOKUP(Table55[[#This Row],[Shortname]], Comp[], 14, FALSE)</f>
        <v>0</v>
      </c>
      <c r="P200">
        <f>VLOOKUP(Table55[[#This Row],[Shortname]], Comp[], 15, FALSE)</f>
        <v>0</v>
      </c>
      <c r="Q200">
        <f>VLOOKUP(Table55[[#This Row],[Shortname]], Comp[], 16, FALSE)</f>
        <v>0</v>
      </c>
      <c r="R200">
        <f>VLOOKUP(Table55[[#This Row],[Shortname]], Comp[], 17, FALSE)</f>
        <v>0</v>
      </c>
      <c r="S200">
        <f>VLOOKUP(Table55[[#This Row],[Shortname]], Comp[], 18, FALSE)</f>
        <v>0</v>
      </c>
      <c r="T200">
        <f>VLOOKUP(Table55[[#This Row],[Shortname]], Comp[], 19, FALSE)</f>
        <v>0</v>
      </c>
      <c r="U200">
        <f>VLOOKUP(Table55[[#This Row],[Shortname]], Comp[], 20, FALSE)</f>
        <v>0</v>
      </c>
      <c r="V200">
        <f>VLOOKUP(Table55[[#This Row],[Shortname]], Comp[], 21, FALSE)</f>
        <v>0</v>
      </c>
      <c r="W200">
        <f>VLOOKUP(Table55[[#This Row],[Shortname]], Comp[], 22, FALSE)</f>
        <v>0</v>
      </c>
      <c r="X200">
        <f>VLOOKUP(Table55[[#This Row],[Shortname]], Comp[], 23, FALSE)</f>
        <v>2</v>
      </c>
      <c r="Y200">
        <f>VLOOKUP(Table55[[#This Row],[Shortname]], Comp[], 24, FALSE)</f>
        <v>0</v>
      </c>
      <c r="Z200">
        <f>VLOOKUP(Table55[[#This Row],[Shortname]], Comp[], 25, FALSE)</f>
        <v>0</v>
      </c>
      <c r="AA200">
        <f>VLOOKUP(Table55[[#This Row],[Shortname]], Comp[], 26, FALSE)</f>
        <v>0</v>
      </c>
      <c r="AB200">
        <f>VLOOKUP(Table55[[#This Row],[Shortname]], Comp[], 27, FALSE)</f>
        <v>0</v>
      </c>
      <c r="AC200">
        <f>VLOOKUP(Table55[[#This Row],[Shortname]], Comp[], 28, FALSE)</f>
        <v>0</v>
      </c>
      <c r="AD200">
        <f>VLOOKUP(Table55[[#This Row],[Shortname]], Comp[], 29, FALSE)</f>
        <v>0</v>
      </c>
      <c r="AE200">
        <f>VLOOKUP(Table55[[#This Row],[Shortname]], Comp[], 30, FALSE)</f>
        <v>0</v>
      </c>
      <c r="AF200">
        <f>VLOOKUP(Table55[[#This Row],[Shortname]], Comp[], 31, FALSE)</f>
        <v>0</v>
      </c>
    </row>
    <row r="201" spans="1:32" x14ac:dyDescent="0.3">
      <c r="A201" s="7" t="s">
        <v>2617</v>
      </c>
      <c r="B201" s="7" t="s">
        <v>2619</v>
      </c>
      <c r="C201" t="s">
        <v>6731</v>
      </c>
      <c r="D201">
        <v>1002</v>
      </c>
      <c r="E201">
        <v>1443</v>
      </c>
      <c r="H201" s="14">
        <f>VLOOKUP(Table55[[#This Row],[Shortname]], Comp[], 7, FALSE)</f>
        <v>79.400000000000006</v>
      </c>
      <c r="I201">
        <f>VLOOKUP(Table55[[#This Row],[Shortname]], Comp[], 8, FALSE)</f>
        <v>0</v>
      </c>
      <c r="J201">
        <f>VLOOKUP(Table55[[#This Row],[Shortname]], Comp[], 9, FALSE)</f>
        <v>8.8000000000000007</v>
      </c>
      <c r="K201">
        <f>VLOOKUP(Table55[[#This Row],[Shortname]], Comp[], 10, FALSE)</f>
        <v>2</v>
      </c>
      <c r="L201">
        <f>VLOOKUP(Table55[[#This Row],[Shortname]], Comp[], 11, FALSE)</f>
        <v>9.8000000000000007</v>
      </c>
      <c r="M201">
        <f>VLOOKUP(Table55[[#This Row],[Shortname]], Comp[],12, FALSE)</f>
        <v>0</v>
      </c>
      <c r="N201">
        <f>VLOOKUP(Table55[[#This Row],[Shortname]], Comp[], 13, FALSE)</f>
        <v>0</v>
      </c>
      <c r="O201">
        <f>VLOOKUP(Table55[[#This Row],[Shortname]], Comp[], 14, FALSE)</f>
        <v>0</v>
      </c>
      <c r="P201">
        <f>VLOOKUP(Table55[[#This Row],[Shortname]], Comp[], 15, FALSE)</f>
        <v>0</v>
      </c>
      <c r="Q201">
        <f>VLOOKUP(Table55[[#This Row],[Shortname]], Comp[], 16, FALSE)</f>
        <v>0</v>
      </c>
      <c r="R201">
        <f>VLOOKUP(Table55[[#This Row],[Shortname]], Comp[], 17, FALSE)</f>
        <v>0</v>
      </c>
      <c r="S201">
        <f>VLOOKUP(Table55[[#This Row],[Shortname]], Comp[], 18, FALSE)</f>
        <v>0</v>
      </c>
      <c r="T201">
        <f>VLOOKUP(Table55[[#This Row],[Shortname]], Comp[], 19, FALSE)</f>
        <v>0</v>
      </c>
      <c r="U201">
        <f>VLOOKUP(Table55[[#This Row],[Shortname]], Comp[], 20, FALSE)</f>
        <v>0</v>
      </c>
      <c r="V201">
        <f>VLOOKUP(Table55[[#This Row],[Shortname]], Comp[], 21, FALSE)</f>
        <v>0</v>
      </c>
      <c r="W201">
        <f>VLOOKUP(Table55[[#This Row],[Shortname]], Comp[], 22, FALSE)</f>
        <v>0</v>
      </c>
      <c r="X201">
        <f>VLOOKUP(Table55[[#This Row],[Shortname]], Comp[], 23, FALSE)</f>
        <v>0</v>
      </c>
      <c r="Y201">
        <f>VLOOKUP(Table55[[#This Row],[Shortname]], Comp[], 24, FALSE)</f>
        <v>0</v>
      </c>
      <c r="Z201">
        <f>VLOOKUP(Table55[[#This Row],[Shortname]], Comp[], 25, FALSE)</f>
        <v>0</v>
      </c>
      <c r="AA201">
        <f>VLOOKUP(Table55[[#This Row],[Shortname]], Comp[], 26, FALSE)</f>
        <v>0</v>
      </c>
      <c r="AB201">
        <f>VLOOKUP(Table55[[#This Row],[Shortname]], Comp[], 27, FALSE)</f>
        <v>0</v>
      </c>
      <c r="AC201">
        <f>VLOOKUP(Table55[[#This Row],[Shortname]], Comp[], 28, FALSE)</f>
        <v>0</v>
      </c>
      <c r="AD201">
        <f>VLOOKUP(Table55[[#This Row],[Shortname]], Comp[], 29, FALSE)</f>
        <v>0</v>
      </c>
      <c r="AE201">
        <f>VLOOKUP(Table55[[#This Row],[Shortname]], Comp[], 30, FALSE)</f>
        <v>0</v>
      </c>
      <c r="AF201">
        <f>VLOOKUP(Table55[[#This Row],[Shortname]], Comp[], 31, FALSE)</f>
        <v>0</v>
      </c>
    </row>
    <row r="202" spans="1:32" x14ac:dyDescent="0.3">
      <c r="A202" s="7" t="s">
        <v>2629</v>
      </c>
      <c r="B202" s="7" t="s">
        <v>2631</v>
      </c>
      <c r="C202" t="s">
        <v>6731</v>
      </c>
      <c r="D202">
        <v>997</v>
      </c>
      <c r="E202">
        <v>1436</v>
      </c>
      <c r="H202" s="14">
        <f>VLOOKUP(Table55[[#This Row],[Shortname]], Comp[], 7, FALSE)</f>
        <v>79.400000000000006</v>
      </c>
      <c r="I202">
        <f>VLOOKUP(Table55[[#This Row],[Shortname]], Comp[], 8, FALSE)</f>
        <v>0</v>
      </c>
      <c r="J202">
        <f>VLOOKUP(Table55[[#This Row],[Shortname]], Comp[], 9, FALSE)</f>
        <v>8.8000000000000007</v>
      </c>
      <c r="K202">
        <f>VLOOKUP(Table55[[#This Row],[Shortname]], Comp[], 10, FALSE)</f>
        <v>0</v>
      </c>
      <c r="L202">
        <f>VLOOKUP(Table55[[#This Row],[Shortname]], Comp[], 11, FALSE)</f>
        <v>9.8000000000000007</v>
      </c>
      <c r="M202">
        <f>VLOOKUP(Table55[[#This Row],[Shortname]], Comp[],12, FALSE)</f>
        <v>0</v>
      </c>
      <c r="N202">
        <f>VLOOKUP(Table55[[#This Row],[Shortname]], Comp[], 13, FALSE)</f>
        <v>0</v>
      </c>
      <c r="O202">
        <f>VLOOKUP(Table55[[#This Row],[Shortname]], Comp[], 14, FALSE)</f>
        <v>0</v>
      </c>
      <c r="P202">
        <f>VLOOKUP(Table55[[#This Row],[Shortname]], Comp[], 15, FALSE)</f>
        <v>0</v>
      </c>
      <c r="Q202">
        <f>VLOOKUP(Table55[[#This Row],[Shortname]], Comp[], 16, FALSE)</f>
        <v>0</v>
      </c>
      <c r="R202">
        <f>VLOOKUP(Table55[[#This Row],[Shortname]], Comp[], 17, FALSE)</f>
        <v>0</v>
      </c>
      <c r="S202">
        <f>VLOOKUP(Table55[[#This Row],[Shortname]], Comp[], 18, FALSE)</f>
        <v>0</v>
      </c>
      <c r="T202">
        <f>VLOOKUP(Table55[[#This Row],[Shortname]], Comp[], 19, FALSE)</f>
        <v>0</v>
      </c>
      <c r="U202">
        <f>VLOOKUP(Table55[[#This Row],[Shortname]], Comp[], 20, FALSE)</f>
        <v>0</v>
      </c>
      <c r="V202">
        <f>VLOOKUP(Table55[[#This Row],[Shortname]], Comp[], 21, FALSE)</f>
        <v>0</v>
      </c>
      <c r="W202">
        <f>VLOOKUP(Table55[[#This Row],[Shortname]], Comp[], 22, FALSE)</f>
        <v>0</v>
      </c>
      <c r="X202">
        <f>VLOOKUP(Table55[[#This Row],[Shortname]], Comp[], 23, FALSE)</f>
        <v>0</v>
      </c>
      <c r="Y202">
        <f>VLOOKUP(Table55[[#This Row],[Shortname]], Comp[], 24, FALSE)</f>
        <v>0</v>
      </c>
      <c r="Z202">
        <f>VLOOKUP(Table55[[#This Row],[Shortname]], Comp[], 25, FALSE)</f>
        <v>0</v>
      </c>
      <c r="AA202">
        <f>VLOOKUP(Table55[[#This Row],[Shortname]], Comp[], 26, FALSE)</f>
        <v>0</v>
      </c>
      <c r="AB202">
        <f>VLOOKUP(Table55[[#This Row],[Shortname]], Comp[], 27, FALSE)</f>
        <v>2</v>
      </c>
      <c r="AC202">
        <f>VLOOKUP(Table55[[#This Row],[Shortname]], Comp[], 28, FALSE)</f>
        <v>0</v>
      </c>
      <c r="AD202">
        <f>VLOOKUP(Table55[[#This Row],[Shortname]], Comp[], 29, FALSE)</f>
        <v>0</v>
      </c>
      <c r="AE202">
        <f>VLOOKUP(Table55[[#This Row],[Shortname]], Comp[], 30, FALSE)</f>
        <v>0</v>
      </c>
      <c r="AF202">
        <f>VLOOKUP(Table55[[#This Row],[Shortname]], Comp[], 31, FALSE)</f>
        <v>0</v>
      </c>
    </row>
    <row r="203" spans="1:32" x14ac:dyDescent="0.3">
      <c r="A203" s="7" t="s">
        <v>2794</v>
      </c>
      <c r="B203" s="7" t="s">
        <v>2796</v>
      </c>
      <c r="C203" t="s">
        <v>6733</v>
      </c>
      <c r="D203">
        <v>1103</v>
      </c>
      <c r="E203">
        <v>1354</v>
      </c>
      <c r="H203" s="14">
        <f>VLOOKUP(Table55[[#This Row],[Shortname]], Comp[], 7, FALSE)</f>
        <v>54.2</v>
      </c>
      <c r="I203">
        <f>VLOOKUP(Table55[[#This Row],[Shortname]], Comp[], 8, FALSE)</f>
        <v>19.8</v>
      </c>
      <c r="J203">
        <f>VLOOKUP(Table55[[#This Row],[Shortname]], Comp[], 9, FALSE)</f>
        <v>11.4</v>
      </c>
      <c r="K203">
        <f>VLOOKUP(Table55[[#This Row],[Shortname]], Comp[], 10, FALSE)</f>
        <v>4.9000000000000004</v>
      </c>
      <c r="L203">
        <f>VLOOKUP(Table55[[#This Row],[Shortname]], Comp[], 11, FALSE)</f>
        <v>8.1999999999999993</v>
      </c>
      <c r="M203">
        <f>VLOOKUP(Table55[[#This Row],[Shortname]], Comp[],12, FALSE)</f>
        <v>0</v>
      </c>
      <c r="N203">
        <f>VLOOKUP(Table55[[#This Row],[Shortname]], Comp[], 13, FALSE)</f>
        <v>1.5</v>
      </c>
      <c r="O203">
        <f>VLOOKUP(Table55[[#This Row],[Shortname]], Comp[], 14, FALSE)</f>
        <v>0</v>
      </c>
      <c r="P203">
        <f>VLOOKUP(Table55[[#This Row],[Shortname]], Comp[], 15, FALSE)</f>
        <v>0</v>
      </c>
      <c r="Q203">
        <f>VLOOKUP(Table55[[#This Row],[Shortname]], Comp[], 16, FALSE)</f>
        <v>0</v>
      </c>
      <c r="R203">
        <f>VLOOKUP(Table55[[#This Row],[Shortname]], Comp[], 17, FALSE)</f>
        <v>0</v>
      </c>
      <c r="S203">
        <f>VLOOKUP(Table55[[#This Row],[Shortname]], Comp[], 18, FALSE)</f>
        <v>0</v>
      </c>
      <c r="T203">
        <f>VLOOKUP(Table55[[#This Row],[Shortname]], Comp[], 19, FALSE)</f>
        <v>0</v>
      </c>
      <c r="U203">
        <f>VLOOKUP(Table55[[#This Row],[Shortname]], Comp[], 20, FALSE)</f>
        <v>0</v>
      </c>
      <c r="V203">
        <f>VLOOKUP(Table55[[#This Row],[Shortname]], Comp[], 21, FALSE)</f>
        <v>0</v>
      </c>
      <c r="W203">
        <f>VLOOKUP(Table55[[#This Row],[Shortname]], Comp[], 22, FALSE)</f>
        <v>0</v>
      </c>
      <c r="X203">
        <f>VLOOKUP(Table55[[#This Row],[Shortname]], Comp[], 23, FALSE)</f>
        <v>0</v>
      </c>
      <c r="Y203">
        <f>VLOOKUP(Table55[[#This Row],[Shortname]], Comp[], 24, FALSE)</f>
        <v>0</v>
      </c>
      <c r="Z203">
        <f>VLOOKUP(Table55[[#This Row],[Shortname]], Comp[], 25, FALSE)</f>
        <v>0</v>
      </c>
      <c r="AA203">
        <f>VLOOKUP(Table55[[#This Row],[Shortname]], Comp[], 26, FALSE)</f>
        <v>0</v>
      </c>
      <c r="AB203">
        <f>VLOOKUP(Table55[[#This Row],[Shortname]], Comp[], 27, FALSE)</f>
        <v>0</v>
      </c>
      <c r="AC203">
        <f>VLOOKUP(Table55[[#This Row],[Shortname]], Comp[], 28, FALSE)</f>
        <v>0</v>
      </c>
      <c r="AD203">
        <f>VLOOKUP(Table55[[#This Row],[Shortname]], Comp[], 29, FALSE)</f>
        <v>0</v>
      </c>
      <c r="AE203">
        <f>VLOOKUP(Table55[[#This Row],[Shortname]], Comp[], 30, FALSE)</f>
        <v>0</v>
      </c>
      <c r="AF203">
        <f>VLOOKUP(Table55[[#This Row],[Shortname]], Comp[], 31, FALSE)</f>
        <v>0</v>
      </c>
    </row>
    <row r="204" spans="1:32" x14ac:dyDescent="0.3">
      <c r="A204" s="7" t="s">
        <v>2787</v>
      </c>
      <c r="B204" s="7" t="s">
        <v>2789</v>
      </c>
      <c r="C204" t="s">
        <v>6733</v>
      </c>
      <c r="D204">
        <v>1051</v>
      </c>
      <c r="E204">
        <v>1402</v>
      </c>
      <c r="H204" s="14">
        <f>VLOOKUP(Table55[[#This Row],[Shortname]], Comp[], 7, FALSE)</f>
        <v>58.4</v>
      </c>
      <c r="I204">
        <f>VLOOKUP(Table55[[#This Row],[Shortname]], Comp[], 8, FALSE)</f>
        <v>19.899999999999999</v>
      </c>
      <c r="J204">
        <f>VLOOKUP(Table55[[#This Row],[Shortname]], Comp[], 9, FALSE)</f>
        <v>9.1</v>
      </c>
      <c r="K204">
        <f>VLOOKUP(Table55[[#This Row],[Shortname]], Comp[], 10, FALSE)</f>
        <v>5</v>
      </c>
      <c r="L204">
        <f>VLOOKUP(Table55[[#This Row],[Shortname]], Comp[], 11, FALSE)</f>
        <v>6.4</v>
      </c>
      <c r="M204">
        <f>VLOOKUP(Table55[[#This Row],[Shortname]], Comp[],12, FALSE)</f>
        <v>0</v>
      </c>
      <c r="N204">
        <f>VLOOKUP(Table55[[#This Row],[Shortname]], Comp[], 13, FALSE)</f>
        <v>1.2</v>
      </c>
      <c r="O204">
        <f>VLOOKUP(Table55[[#This Row],[Shortname]], Comp[], 14, FALSE)</f>
        <v>0</v>
      </c>
      <c r="P204">
        <f>VLOOKUP(Table55[[#This Row],[Shortname]], Comp[], 15, FALSE)</f>
        <v>0</v>
      </c>
      <c r="Q204">
        <f>VLOOKUP(Table55[[#This Row],[Shortname]], Comp[], 16, FALSE)</f>
        <v>0</v>
      </c>
      <c r="R204">
        <f>VLOOKUP(Table55[[#This Row],[Shortname]], Comp[], 17, FALSE)</f>
        <v>0</v>
      </c>
      <c r="S204">
        <f>VLOOKUP(Table55[[#This Row],[Shortname]], Comp[], 18, FALSE)</f>
        <v>0</v>
      </c>
      <c r="T204">
        <f>VLOOKUP(Table55[[#This Row],[Shortname]], Comp[], 19, FALSE)</f>
        <v>0</v>
      </c>
      <c r="U204">
        <f>VLOOKUP(Table55[[#This Row],[Shortname]], Comp[], 20, FALSE)</f>
        <v>0</v>
      </c>
      <c r="V204">
        <f>VLOOKUP(Table55[[#This Row],[Shortname]], Comp[], 21, FALSE)</f>
        <v>0</v>
      </c>
      <c r="W204">
        <f>VLOOKUP(Table55[[#This Row],[Shortname]], Comp[], 22, FALSE)</f>
        <v>0</v>
      </c>
      <c r="X204">
        <f>VLOOKUP(Table55[[#This Row],[Shortname]], Comp[], 23, FALSE)</f>
        <v>0</v>
      </c>
      <c r="Y204">
        <f>VLOOKUP(Table55[[#This Row],[Shortname]], Comp[], 24, FALSE)</f>
        <v>0</v>
      </c>
      <c r="Z204">
        <f>VLOOKUP(Table55[[#This Row],[Shortname]], Comp[], 25, FALSE)</f>
        <v>0</v>
      </c>
      <c r="AA204">
        <f>VLOOKUP(Table55[[#This Row],[Shortname]], Comp[], 26, FALSE)</f>
        <v>0</v>
      </c>
      <c r="AB204">
        <f>VLOOKUP(Table55[[#This Row],[Shortname]], Comp[], 27, FALSE)</f>
        <v>0</v>
      </c>
      <c r="AC204">
        <f>VLOOKUP(Table55[[#This Row],[Shortname]], Comp[], 28, FALSE)</f>
        <v>0</v>
      </c>
      <c r="AD204">
        <f>VLOOKUP(Table55[[#This Row],[Shortname]], Comp[], 29, FALSE)</f>
        <v>0</v>
      </c>
      <c r="AE204">
        <f>VLOOKUP(Table55[[#This Row],[Shortname]], Comp[], 30, FALSE)</f>
        <v>0</v>
      </c>
      <c r="AF204">
        <f>VLOOKUP(Table55[[#This Row],[Shortname]], Comp[], 31, FALSE)</f>
        <v>0</v>
      </c>
    </row>
    <row r="205" spans="1:32" x14ac:dyDescent="0.3">
      <c r="A205" s="7" t="s">
        <v>2781</v>
      </c>
      <c r="B205" s="7" t="s">
        <v>2783</v>
      </c>
      <c r="C205" t="s">
        <v>6733</v>
      </c>
      <c r="D205">
        <v>946</v>
      </c>
      <c r="E205">
        <v>1430</v>
      </c>
      <c r="H205" s="14">
        <f>VLOOKUP(Table55[[#This Row],[Shortname]], Comp[], 7, FALSE)</f>
        <v>62.400000000000006</v>
      </c>
      <c r="I205">
        <f>VLOOKUP(Table55[[#This Row],[Shortname]], Comp[], 8, FALSE)</f>
        <v>19.899999999999999</v>
      </c>
      <c r="J205">
        <f>VLOOKUP(Table55[[#This Row],[Shortname]], Comp[], 9, FALSE)</f>
        <v>7</v>
      </c>
      <c r="K205">
        <f>VLOOKUP(Table55[[#This Row],[Shortname]], Comp[], 10, FALSE)</f>
        <v>5</v>
      </c>
      <c r="L205">
        <f>VLOOKUP(Table55[[#This Row],[Shortname]], Comp[], 11, FALSE)</f>
        <v>4.8</v>
      </c>
      <c r="M205">
        <f>VLOOKUP(Table55[[#This Row],[Shortname]], Comp[],12, FALSE)</f>
        <v>0</v>
      </c>
      <c r="N205">
        <f>VLOOKUP(Table55[[#This Row],[Shortname]], Comp[], 13, FALSE)</f>
        <v>0.9</v>
      </c>
      <c r="O205">
        <f>VLOOKUP(Table55[[#This Row],[Shortname]], Comp[], 14, FALSE)</f>
        <v>0</v>
      </c>
      <c r="P205">
        <f>VLOOKUP(Table55[[#This Row],[Shortname]], Comp[], 15, FALSE)</f>
        <v>0</v>
      </c>
      <c r="Q205">
        <f>VLOOKUP(Table55[[#This Row],[Shortname]], Comp[], 16, FALSE)</f>
        <v>0</v>
      </c>
      <c r="R205">
        <f>VLOOKUP(Table55[[#This Row],[Shortname]], Comp[], 17, FALSE)</f>
        <v>0</v>
      </c>
      <c r="S205">
        <f>VLOOKUP(Table55[[#This Row],[Shortname]], Comp[], 18, FALSE)</f>
        <v>0</v>
      </c>
      <c r="T205">
        <f>VLOOKUP(Table55[[#This Row],[Shortname]], Comp[], 19, FALSE)</f>
        <v>0</v>
      </c>
      <c r="U205">
        <f>VLOOKUP(Table55[[#This Row],[Shortname]], Comp[], 20, FALSE)</f>
        <v>0</v>
      </c>
      <c r="V205">
        <f>VLOOKUP(Table55[[#This Row],[Shortname]], Comp[], 21, FALSE)</f>
        <v>0</v>
      </c>
      <c r="W205">
        <f>VLOOKUP(Table55[[#This Row],[Shortname]], Comp[], 22, FALSE)</f>
        <v>0</v>
      </c>
      <c r="X205">
        <f>VLOOKUP(Table55[[#This Row],[Shortname]], Comp[], 23, FALSE)</f>
        <v>0</v>
      </c>
      <c r="Y205">
        <f>VLOOKUP(Table55[[#This Row],[Shortname]], Comp[], 24, FALSE)</f>
        <v>0</v>
      </c>
      <c r="Z205">
        <f>VLOOKUP(Table55[[#This Row],[Shortname]], Comp[], 25, FALSE)</f>
        <v>0</v>
      </c>
      <c r="AA205">
        <f>VLOOKUP(Table55[[#This Row],[Shortname]], Comp[], 26, FALSE)</f>
        <v>0</v>
      </c>
      <c r="AB205">
        <f>VLOOKUP(Table55[[#This Row],[Shortname]], Comp[], 27, FALSE)</f>
        <v>0</v>
      </c>
      <c r="AC205">
        <f>VLOOKUP(Table55[[#This Row],[Shortname]], Comp[], 28, FALSE)</f>
        <v>0</v>
      </c>
      <c r="AD205">
        <f>VLOOKUP(Table55[[#This Row],[Shortname]], Comp[], 29, FALSE)</f>
        <v>0</v>
      </c>
      <c r="AE205">
        <f>VLOOKUP(Table55[[#This Row],[Shortname]], Comp[], 30, FALSE)</f>
        <v>0</v>
      </c>
      <c r="AF205">
        <f>VLOOKUP(Table55[[#This Row],[Shortname]], Comp[], 31, FALSE)</f>
        <v>0</v>
      </c>
    </row>
    <row r="206" spans="1:32" x14ac:dyDescent="0.3">
      <c r="A206" s="7" t="s">
        <v>2461</v>
      </c>
      <c r="B206" s="7" t="s">
        <v>5239</v>
      </c>
      <c r="C206" t="s">
        <v>6734</v>
      </c>
      <c r="D206">
        <v>1005</v>
      </c>
      <c r="E206">
        <v>1389</v>
      </c>
      <c r="F206">
        <v>1439</v>
      </c>
      <c r="H206" s="14">
        <f>VLOOKUP(Table55[[#This Row],[Shortname]], Comp[], 7, FALSE)</f>
        <v>67</v>
      </c>
      <c r="I206">
        <f>VLOOKUP(Table55[[#This Row],[Shortname]], Comp[], 8, FALSE)</f>
        <v>15.9</v>
      </c>
      <c r="J206">
        <f>VLOOKUP(Table55[[#This Row],[Shortname]], Comp[], 9, FALSE)</f>
        <v>13.6</v>
      </c>
      <c r="K206">
        <f>VLOOKUP(Table55[[#This Row],[Shortname]], Comp[], 10, FALSE)</f>
        <v>0</v>
      </c>
      <c r="L206">
        <f>VLOOKUP(Table55[[#This Row],[Shortname]], Comp[], 11, FALSE)</f>
        <v>1.9</v>
      </c>
      <c r="M206">
        <f>VLOOKUP(Table55[[#This Row],[Shortname]], Comp[],12, FALSE)</f>
        <v>0</v>
      </c>
      <c r="N206">
        <f>VLOOKUP(Table55[[#This Row],[Shortname]], Comp[], 13, FALSE)</f>
        <v>0.7</v>
      </c>
      <c r="O206">
        <f>VLOOKUP(Table55[[#This Row],[Shortname]], Comp[], 14, FALSE)</f>
        <v>0</v>
      </c>
      <c r="P206">
        <f>VLOOKUP(Table55[[#This Row],[Shortname]], Comp[], 15, FALSE)</f>
        <v>0</v>
      </c>
      <c r="Q206">
        <f>VLOOKUP(Table55[[#This Row],[Shortname]], Comp[], 16, FALSE)</f>
        <v>0.6</v>
      </c>
      <c r="R206">
        <f>VLOOKUP(Table55[[#This Row],[Shortname]], Comp[], 17, FALSE)</f>
        <v>0</v>
      </c>
      <c r="S206">
        <f>VLOOKUP(Table55[[#This Row],[Shortname]], Comp[], 18, FALSE)</f>
        <v>0</v>
      </c>
      <c r="T206">
        <f>VLOOKUP(Table55[[#This Row],[Shortname]], Comp[], 19, FALSE)</f>
        <v>0</v>
      </c>
      <c r="U206">
        <f>VLOOKUP(Table55[[#This Row],[Shortname]], Comp[], 20, FALSE)</f>
        <v>0</v>
      </c>
      <c r="V206">
        <f>VLOOKUP(Table55[[#This Row],[Shortname]], Comp[], 21, FALSE)</f>
        <v>0.3</v>
      </c>
      <c r="W206">
        <f>VLOOKUP(Table55[[#This Row],[Shortname]], Comp[], 22, FALSE)</f>
        <v>0</v>
      </c>
      <c r="X206">
        <f>VLOOKUP(Table55[[#This Row],[Shortname]], Comp[], 23, FALSE)</f>
        <v>0</v>
      </c>
      <c r="Y206">
        <f>VLOOKUP(Table55[[#This Row],[Shortname]], Comp[], 24, FALSE)</f>
        <v>0</v>
      </c>
      <c r="Z206">
        <f>VLOOKUP(Table55[[#This Row],[Shortname]], Comp[], 25, FALSE)</f>
        <v>0</v>
      </c>
      <c r="AA206">
        <f>VLOOKUP(Table55[[#This Row],[Shortname]], Comp[], 26, FALSE)</f>
        <v>0</v>
      </c>
      <c r="AB206">
        <f>VLOOKUP(Table55[[#This Row],[Shortname]], Comp[], 27, FALSE)</f>
        <v>0</v>
      </c>
      <c r="AC206">
        <f>VLOOKUP(Table55[[#This Row],[Shortname]], Comp[], 28, FALSE)</f>
        <v>0</v>
      </c>
      <c r="AD206">
        <f>VLOOKUP(Table55[[#This Row],[Shortname]], Comp[], 29, FALSE)</f>
        <v>0</v>
      </c>
      <c r="AE206">
        <f>VLOOKUP(Table55[[#This Row],[Shortname]], Comp[], 30, FALSE)</f>
        <v>0</v>
      </c>
      <c r="AF206">
        <f>VLOOKUP(Table55[[#This Row],[Shortname]], Comp[], 31, FALSE)</f>
        <v>0</v>
      </c>
    </row>
    <row r="207" spans="1:32" x14ac:dyDescent="0.3">
      <c r="A207" s="7" t="s">
        <v>2984</v>
      </c>
      <c r="B207" s="7" t="s">
        <v>2985</v>
      </c>
      <c r="C207" s="9" t="s">
        <v>6621</v>
      </c>
      <c r="D207">
        <v>974</v>
      </c>
      <c r="E207">
        <v>1449</v>
      </c>
      <c r="F207">
        <v>1479</v>
      </c>
      <c r="H207" s="14">
        <f>VLOOKUP(Table55[[#This Row],[Shortname]], Comp[], 7, FALSE)</f>
        <v>80.699999999999989</v>
      </c>
      <c r="I207">
        <f>VLOOKUP(Table55[[#This Row],[Shortname]], Comp[], 8, FALSE)</f>
        <v>0</v>
      </c>
      <c r="J207">
        <f>VLOOKUP(Table55[[#This Row],[Shortname]], Comp[], 9, FALSE)</f>
        <v>8.9</v>
      </c>
      <c r="K207">
        <f>VLOOKUP(Table55[[#This Row],[Shortname]], Comp[], 10, FALSE)</f>
        <v>0</v>
      </c>
      <c r="L207">
        <f>VLOOKUP(Table55[[#This Row],[Shortname]], Comp[], 11, FALSE)</f>
        <v>10.3</v>
      </c>
      <c r="M207">
        <f>VLOOKUP(Table55[[#This Row],[Shortname]], Comp[],12, FALSE)</f>
        <v>0</v>
      </c>
      <c r="N207">
        <f>VLOOKUP(Table55[[#This Row],[Shortname]], Comp[], 13, FALSE)</f>
        <v>0</v>
      </c>
      <c r="O207">
        <f>VLOOKUP(Table55[[#This Row],[Shortname]], Comp[], 14, FALSE)</f>
        <v>0</v>
      </c>
      <c r="P207">
        <f>VLOOKUP(Table55[[#This Row],[Shortname]], Comp[], 15, FALSE)</f>
        <v>0</v>
      </c>
      <c r="Q207">
        <f>VLOOKUP(Table55[[#This Row],[Shortname]], Comp[], 16, FALSE)</f>
        <v>0</v>
      </c>
      <c r="R207">
        <f>VLOOKUP(Table55[[#This Row],[Shortname]], Comp[], 17, FALSE)</f>
        <v>0</v>
      </c>
      <c r="S207">
        <f>VLOOKUP(Table55[[#This Row],[Shortname]], Comp[], 18, FALSE)</f>
        <v>0</v>
      </c>
      <c r="T207">
        <f>VLOOKUP(Table55[[#This Row],[Shortname]], Comp[], 19, FALSE)</f>
        <v>0.1</v>
      </c>
      <c r="U207">
        <f>VLOOKUP(Table55[[#This Row],[Shortname]], Comp[], 20, FALSE)</f>
        <v>0</v>
      </c>
      <c r="V207">
        <f>VLOOKUP(Table55[[#This Row],[Shortname]], Comp[], 21, FALSE)</f>
        <v>0</v>
      </c>
      <c r="W207">
        <f>VLOOKUP(Table55[[#This Row],[Shortname]], Comp[], 22, FALSE)</f>
        <v>0</v>
      </c>
      <c r="X207">
        <f>VLOOKUP(Table55[[#This Row],[Shortname]], Comp[], 23, FALSE)</f>
        <v>0</v>
      </c>
      <c r="Y207">
        <f>VLOOKUP(Table55[[#This Row],[Shortname]], Comp[], 24, FALSE)</f>
        <v>0</v>
      </c>
      <c r="Z207">
        <f>VLOOKUP(Table55[[#This Row],[Shortname]], Comp[], 25, FALSE)</f>
        <v>0</v>
      </c>
      <c r="AA207">
        <f>VLOOKUP(Table55[[#This Row],[Shortname]], Comp[], 26, FALSE)</f>
        <v>0</v>
      </c>
      <c r="AB207">
        <f>VLOOKUP(Table55[[#This Row],[Shortname]], Comp[], 27, FALSE)</f>
        <v>0</v>
      </c>
      <c r="AC207">
        <f>VLOOKUP(Table55[[#This Row],[Shortname]], Comp[], 28, FALSE)</f>
        <v>0</v>
      </c>
      <c r="AD207">
        <f>VLOOKUP(Table55[[#This Row],[Shortname]], Comp[], 29, FALSE)</f>
        <v>0</v>
      </c>
      <c r="AE207">
        <f>VLOOKUP(Table55[[#This Row],[Shortname]], Comp[], 30, FALSE)</f>
        <v>0</v>
      </c>
      <c r="AF207">
        <f>VLOOKUP(Table55[[#This Row],[Shortname]], Comp[], 31, FALSE)</f>
        <v>0</v>
      </c>
    </row>
    <row r="208" spans="1:32" x14ac:dyDescent="0.3">
      <c r="A208" s="7" t="s">
        <v>2980</v>
      </c>
      <c r="B208" s="7" t="s">
        <v>2969</v>
      </c>
      <c r="C208" s="9" t="s">
        <v>6621</v>
      </c>
      <c r="D208">
        <v>927</v>
      </c>
      <c r="E208">
        <v>1459</v>
      </c>
      <c r="F208">
        <v>1475</v>
      </c>
      <c r="H208" s="14">
        <f>VLOOKUP(Table55[[#This Row],[Shortname]], Comp[], 7, FALSE)</f>
        <v>82.7</v>
      </c>
      <c r="I208">
        <f>VLOOKUP(Table55[[#This Row],[Shortname]], Comp[], 8, FALSE)</f>
        <v>0</v>
      </c>
      <c r="J208">
        <f>VLOOKUP(Table55[[#This Row],[Shortname]], Comp[], 9, FALSE)</f>
        <v>8.5</v>
      </c>
      <c r="K208">
        <f>VLOOKUP(Table55[[#This Row],[Shortname]], Comp[], 10, FALSE)</f>
        <v>0</v>
      </c>
      <c r="L208">
        <f>VLOOKUP(Table55[[#This Row],[Shortname]], Comp[], 11, FALSE)</f>
        <v>8.6999999999999993</v>
      </c>
      <c r="M208">
        <f>VLOOKUP(Table55[[#This Row],[Shortname]], Comp[],12, FALSE)</f>
        <v>0</v>
      </c>
      <c r="N208">
        <f>VLOOKUP(Table55[[#This Row],[Shortname]], Comp[], 13, FALSE)</f>
        <v>0</v>
      </c>
      <c r="O208">
        <f>VLOOKUP(Table55[[#This Row],[Shortname]], Comp[], 14, FALSE)</f>
        <v>0</v>
      </c>
      <c r="P208">
        <f>VLOOKUP(Table55[[#This Row],[Shortname]], Comp[], 15, FALSE)</f>
        <v>0</v>
      </c>
      <c r="Q208">
        <f>VLOOKUP(Table55[[#This Row],[Shortname]], Comp[], 16, FALSE)</f>
        <v>0</v>
      </c>
      <c r="R208">
        <f>VLOOKUP(Table55[[#This Row],[Shortname]], Comp[], 17, FALSE)</f>
        <v>0</v>
      </c>
      <c r="S208">
        <f>VLOOKUP(Table55[[#This Row],[Shortname]], Comp[], 18, FALSE)</f>
        <v>0</v>
      </c>
      <c r="T208">
        <f>VLOOKUP(Table55[[#This Row],[Shortname]], Comp[], 19, FALSE)</f>
        <v>0.1</v>
      </c>
      <c r="U208">
        <f>VLOOKUP(Table55[[#This Row],[Shortname]], Comp[], 20, FALSE)</f>
        <v>0</v>
      </c>
      <c r="V208">
        <f>VLOOKUP(Table55[[#This Row],[Shortname]], Comp[], 21, FALSE)</f>
        <v>0</v>
      </c>
      <c r="W208">
        <f>VLOOKUP(Table55[[#This Row],[Shortname]], Comp[], 22, FALSE)</f>
        <v>0</v>
      </c>
      <c r="X208">
        <f>VLOOKUP(Table55[[#This Row],[Shortname]], Comp[], 23, FALSE)</f>
        <v>0</v>
      </c>
      <c r="Y208">
        <f>VLOOKUP(Table55[[#This Row],[Shortname]], Comp[], 24, FALSE)</f>
        <v>0</v>
      </c>
      <c r="Z208">
        <f>VLOOKUP(Table55[[#This Row],[Shortname]], Comp[], 25, FALSE)</f>
        <v>0</v>
      </c>
      <c r="AA208">
        <f>VLOOKUP(Table55[[#This Row],[Shortname]], Comp[], 26, FALSE)</f>
        <v>0</v>
      </c>
      <c r="AB208">
        <f>VLOOKUP(Table55[[#This Row],[Shortname]], Comp[], 27, FALSE)</f>
        <v>0</v>
      </c>
      <c r="AC208">
        <f>VLOOKUP(Table55[[#This Row],[Shortname]], Comp[], 28, FALSE)</f>
        <v>0</v>
      </c>
      <c r="AD208">
        <f>VLOOKUP(Table55[[#This Row],[Shortname]], Comp[], 29, FALSE)</f>
        <v>0</v>
      </c>
      <c r="AE208">
        <f>VLOOKUP(Table55[[#This Row],[Shortname]], Comp[], 30, FALSE)</f>
        <v>0</v>
      </c>
      <c r="AF208">
        <f>VLOOKUP(Table55[[#This Row],[Shortname]], Comp[], 31, FALSE)</f>
        <v>0</v>
      </c>
    </row>
    <row r="209" spans="1:32" x14ac:dyDescent="0.3">
      <c r="A209" s="7" t="s">
        <v>2974</v>
      </c>
      <c r="B209" s="7" t="s">
        <v>2975</v>
      </c>
      <c r="C209" s="9" t="s">
        <v>6621</v>
      </c>
      <c r="D209">
        <v>920</v>
      </c>
      <c r="E209">
        <v>1457</v>
      </c>
      <c r="F209">
        <v>1486</v>
      </c>
      <c r="H209" s="14">
        <f>VLOOKUP(Table55[[#This Row],[Shortname]], Comp[], 7, FALSE)</f>
        <v>84</v>
      </c>
      <c r="I209">
        <f>VLOOKUP(Table55[[#This Row],[Shortname]], Comp[], 8, FALSE)</f>
        <v>0</v>
      </c>
      <c r="J209">
        <f>VLOOKUP(Table55[[#This Row],[Shortname]], Comp[], 9, FALSE)</f>
        <v>8.5</v>
      </c>
      <c r="K209">
        <f>VLOOKUP(Table55[[#This Row],[Shortname]], Comp[], 10, FALSE)</f>
        <v>0</v>
      </c>
      <c r="L209">
        <f>VLOOKUP(Table55[[#This Row],[Shortname]], Comp[], 11, FALSE)</f>
        <v>7.4</v>
      </c>
      <c r="M209">
        <f>VLOOKUP(Table55[[#This Row],[Shortname]], Comp[],12, FALSE)</f>
        <v>0</v>
      </c>
      <c r="N209">
        <f>VLOOKUP(Table55[[#This Row],[Shortname]], Comp[], 13, FALSE)</f>
        <v>0</v>
      </c>
      <c r="O209">
        <f>VLOOKUP(Table55[[#This Row],[Shortname]], Comp[], 14, FALSE)</f>
        <v>0</v>
      </c>
      <c r="P209">
        <f>VLOOKUP(Table55[[#This Row],[Shortname]], Comp[], 15, FALSE)</f>
        <v>0</v>
      </c>
      <c r="Q209">
        <f>VLOOKUP(Table55[[#This Row],[Shortname]], Comp[], 16, FALSE)</f>
        <v>0</v>
      </c>
      <c r="R209">
        <f>VLOOKUP(Table55[[#This Row],[Shortname]], Comp[], 17, FALSE)</f>
        <v>0</v>
      </c>
      <c r="S209">
        <f>VLOOKUP(Table55[[#This Row],[Shortname]], Comp[], 18, FALSE)</f>
        <v>0</v>
      </c>
      <c r="T209">
        <f>VLOOKUP(Table55[[#This Row],[Shortname]], Comp[], 19, FALSE)</f>
        <v>0.1</v>
      </c>
      <c r="U209">
        <f>VLOOKUP(Table55[[#This Row],[Shortname]], Comp[], 20, FALSE)</f>
        <v>0</v>
      </c>
      <c r="V209">
        <f>VLOOKUP(Table55[[#This Row],[Shortname]], Comp[], 21, FALSE)</f>
        <v>0</v>
      </c>
      <c r="W209">
        <f>VLOOKUP(Table55[[#This Row],[Shortname]], Comp[], 22, FALSE)</f>
        <v>0</v>
      </c>
      <c r="X209">
        <f>VLOOKUP(Table55[[#This Row],[Shortname]], Comp[], 23, FALSE)</f>
        <v>0</v>
      </c>
      <c r="Y209">
        <f>VLOOKUP(Table55[[#This Row],[Shortname]], Comp[], 24, FALSE)</f>
        <v>0</v>
      </c>
      <c r="Z209">
        <f>VLOOKUP(Table55[[#This Row],[Shortname]], Comp[], 25, FALSE)</f>
        <v>0</v>
      </c>
      <c r="AA209">
        <f>VLOOKUP(Table55[[#This Row],[Shortname]], Comp[], 26, FALSE)</f>
        <v>0</v>
      </c>
      <c r="AB209">
        <f>VLOOKUP(Table55[[#This Row],[Shortname]], Comp[], 27, FALSE)</f>
        <v>0</v>
      </c>
      <c r="AC209">
        <f>VLOOKUP(Table55[[#This Row],[Shortname]], Comp[], 28, FALSE)</f>
        <v>0</v>
      </c>
      <c r="AD209">
        <f>VLOOKUP(Table55[[#This Row],[Shortname]], Comp[], 29, FALSE)</f>
        <v>0</v>
      </c>
      <c r="AE209">
        <f>VLOOKUP(Table55[[#This Row],[Shortname]], Comp[], 30, FALSE)</f>
        <v>0</v>
      </c>
      <c r="AF209">
        <f>VLOOKUP(Table55[[#This Row],[Shortname]], Comp[], 31, FALSE)</f>
        <v>0</v>
      </c>
    </row>
    <row r="210" spans="1:32" x14ac:dyDescent="0.3">
      <c r="A210" s="7" t="s">
        <v>2996</v>
      </c>
      <c r="B210" s="7" t="s">
        <v>2998</v>
      </c>
      <c r="C210" t="s">
        <v>6622</v>
      </c>
      <c r="D210">
        <v>1166</v>
      </c>
      <c r="E210">
        <v>1344</v>
      </c>
      <c r="F210">
        <v>1403</v>
      </c>
      <c r="H210" s="14">
        <f>VLOOKUP(Table55[[#This Row],[Shortname]], Comp[], 7, FALSE)</f>
        <v>49.82</v>
      </c>
      <c r="I210">
        <f>VLOOKUP(Table55[[#This Row],[Shortname]], Comp[], 8, FALSE)</f>
        <v>30.83</v>
      </c>
      <c r="J210">
        <f>VLOOKUP(Table55[[#This Row],[Shortname]], Comp[], 9, FALSE)</f>
        <v>9.16</v>
      </c>
      <c r="K210">
        <f>VLOOKUP(Table55[[#This Row],[Shortname]], Comp[], 10, FALSE)</f>
        <v>0</v>
      </c>
      <c r="L210">
        <f>VLOOKUP(Table55[[#This Row],[Shortname]], Comp[], 11, FALSE)</f>
        <v>5.09</v>
      </c>
      <c r="M210">
        <f>VLOOKUP(Table55[[#This Row],[Shortname]], Comp[],12, FALSE)</f>
        <v>4.0999999999999996</v>
      </c>
      <c r="N210">
        <f>VLOOKUP(Table55[[#This Row],[Shortname]], Comp[], 13, FALSE)</f>
        <v>1</v>
      </c>
      <c r="O210">
        <f>VLOOKUP(Table55[[#This Row],[Shortname]], Comp[], 14, FALSE)</f>
        <v>0</v>
      </c>
      <c r="P210">
        <f>VLOOKUP(Table55[[#This Row],[Shortname]], Comp[], 15, FALSE)</f>
        <v>0</v>
      </c>
      <c r="Q210">
        <f>VLOOKUP(Table55[[#This Row],[Shortname]], Comp[], 16, FALSE)</f>
        <v>0</v>
      </c>
      <c r="R210">
        <f>VLOOKUP(Table55[[#This Row],[Shortname]], Comp[], 17, FALSE)</f>
        <v>0</v>
      </c>
      <c r="S210">
        <f>VLOOKUP(Table55[[#This Row],[Shortname]], Comp[], 18, FALSE)</f>
        <v>0</v>
      </c>
      <c r="T210">
        <f>VLOOKUP(Table55[[#This Row],[Shortname]], Comp[], 19, FALSE)</f>
        <v>0</v>
      </c>
      <c r="U210">
        <f>VLOOKUP(Table55[[#This Row],[Shortname]], Comp[], 20, FALSE)</f>
        <v>0</v>
      </c>
      <c r="V210">
        <f>VLOOKUP(Table55[[#This Row],[Shortname]], Comp[], 21, FALSE)</f>
        <v>0</v>
      </c>
      <c r="W210">
        <f>VLOOKUP(Table55[[#This Row],[Shortname]], Comp[], 22, FALSE)</f>
        <v>0</v>
      </c>
      <c r="X210">
        <f>VLOOKUP(Table55[[#This Row],[Shortname]], Comp[], 23, FALSE)</f>
        <v>0</v>
      </c>
      <c r="Y210">
        <f>VLOOKUP(Table55[[#This Row],[Shortname]], Comp[], 24, FALSE)</f>
        <v>0</v>
      </c>
      <c r="Z210">
        <f>VLOOKUP(Table55[[#This Row],[Shortname]], Comp[], 25, FALSE)</f>
        <v>0</v>
      </c>
      <c r="AA210">
        <f>VLOOKUP(Table55[[#This Row],[Shortname]], Comp[], 26, FALSE)</f>
        <v>0</v>
      </c>
      <c r="AB210">
        <f>VLOOKUP(Table55[[#This Row],[Shortname]], Comp[], 27, FALSE)</f>
        <v>0</v>
      </c>
      <c r="AC210">
        <f>VLOOKUP(Table55[[#This Row],[Shortname]], Comp[], 28, FALSE)</f>
        <v>0</v>
      </c>
      <c r="AD210">
        <f>VLOOKUP(Table55[[#This Row],[Shortname]], Comp[], 29, FALSE)</f>
        <v>0</v>
      </c>
      <c r="AE210">
        <f>VLOOKUP(Table55[[#This Row],[Shortname]], Comp[], 30, FALSE)</f>
        <v>0</v>
      </c>
      <c r="AF210">
        <f>VLOOKUP(Table55[[#This Row],[Shortname]], Comp[], 31, FALSE)</f>
        <v>0</v>
      </c>
    </row>
    <row r="211" spans="1:32" x14ac:dyDescent="0.3">
      <c r="A211" s="7" t="s">
        <v>3085</v>
      </c>
      <c r="B211" s="7" t="s">
        <v>2526</v>
      </c>
      <c r="C211" t="s">
        <v>6737</v>
      </c>
      <c r="D211">
        <v>1087</v>
      </c>
      <c r="E211">
        <v>1362</v>
      </c>
      <c r="F211">
        <v>1423</v>
      </c>
      <c r="H211" s="14">
        <f>VLOOKUP(Table55[[#This Row],[Shortname]], Comp[], 7, FALSE)</f>
        <v>78.3</v>
      </c>
      <c r="I211">
        <f>VLOOKUP(Table55[[#This Row],[Shortname]], Comp[], 8, FALSE)</f>
        <v>0</v>
      </c>
      <c r="J211">
        <f>VLOOKUP(Table55[[#This Row],[Shortname]], Comp[], 9, FALSE)</f>
        <v>10.6</v>
      </c>
      <c r="K211">
        <f>VLOOKUP(Table55[[#This Row],[Shortname]], Comp[], 10, FALSE)</f>
        <v>0</v>
      </c>
      <c r="L211">
        <f>VLOOKUP(Table55[[#This Row],[Shortname]], Comp[], 11, FALSE)</f>
        <v>8.3000000000000007</v>
      </c>
      <c r="M211">
        <f>VLOOKUP(Table55[[#This Row],[Shortname]], Comp[],12, FALSE)</f>
        <v>1.6</v>
      </c>
      <c r="N211">
        <f>VLOOKUP(Table55[[#This Row],[Shortname]], Comp[], 13, FALSE)</f>
        <v>0</v>
      </c>
      <c r="O211">
        <f>VLOOKUP(Table55[[#This Row],[Shortname]], Comp[], 14, FALSE)</f>
        <v>1.2</v>
      </c>
      <c r="P211">
        <f>VLOOKUP(Table55[[#This Row],[Shortname]], Comp[], 15, FALSE)</f>
        <v>0</v>
      </c>
      <c r="Q211">
        <f>VLOOKUP(Table55[[#This Row],[Shortname]], Comp[], 16, FALSE)</f>
        <v>0</v>
      </c>
      <c r="R211">
        <f>VLOOKUP(Table55[[#This Row],[Shortname]], Comp[], 17, FALSE)</f>
        <v>0</v>
      </c>
      <c r="S211">
        <f>VLOOKUP(Table55[[#This Row],[Shortname]], Comp[], 18, FALSE)</f>
        <v>0</v>
      </c>
      <c r="T211">
        <f>VLOOKUP(Table55[[#This Row],[Shortname]], Comp[], 19, FALSE)</f>
        <v>0</v>
      </c>
      <c r="U211">
        <f>VLOOKUP(Table55[[#This Row],[Shortname]], Comp[], 20, FALSE)</f>
        <v>0</v>
      </c>
      <c r="V211">
        <f>VLOOKUP(Table55[[#This Row],[Shortname]], Comp[], 21, FALSE)</f>
        <v>0</v>
      </c>
      <c r="W211">
        <f>VLOOKUP(Table55[[#This Row],[Shortname]], Comp[], 22, FALSE)</f>
        <v>0</v>
      </c>
      <c r="X211">
        <f>VLOOKUP(Table55[[#This Row],[Shortname]], Comp[], 23, FALSE)</f>
        <v>0</v>
      </c>
      <c r="Y211">
        <f>VLOOKUP(Table55[[#This Row],[Shortname]], Comp[], 24, FALSE)</f>
        <v>0</v>
      </c>
      <c r="Z211">
        <f>VLOOKUP(Table55[[#This Row],[Shortname]], Comp[], 25, FALSE)</f>
        <v>0</v>
      </c>
      <c r="AA211">
        <f>VLOOKUP(Table55[[#This Row],[Shortname]], Comp[], 26, FALSE)</f>
        <v>0</v>
      </c>
      <c r="AB211">
        <f>VLOOKUP(Table55[[#This Row],[Shortname]], Comp[], 27, FALSE)</f>
        <v>0</v>
      </c>
      <c r="AC211">
        <f>VLOOKUP(Table55[[#This Row],[Shortname]], Comp[], 28, FALSE)</f>
        <v>0</v>
      </c>
      <c r="AD211">
        <f>VLOOKUP(Table55[[#This Row],[Shortname]], Comp[], 29, FALSE)</f>
        <v>0</v>
      </c>
      <c r="AE211">
        <f>VLOOKUP(Table55[[#This Row],[Shortname]], Comp[], 30, FALSE)</f>
        <v>0</v>
      </c>
      <c r="AF211">
        <f>VLOOKUP(Table55[[#This Row],[Shortname]], Comp[], 31, FALSE)</f>
        <v>0</v>
      </c>
    </row>
    <row r="212" spans="1:32" x14ac:dyDescent="0.3">
      <c r="A212" s="7" t="s">
        <v>3093</v>
      </c>
      <c r="B212" s="7" t="s">
        <v>2534</v>
      </c>
      <c r="C212" t="s">
        <v>6737</v>
      </c>
      <c r="D212">
        <v>1074</v>
      </c>
      <c r="E212">
        <v>1370</v>
      </c>
      <c r="F212">
        <v>1430</v>
      </c>
      <c r="H212" s="14">
        <f>VLOOKUP(Table55[[#This Row],[Shortname]], Comp[], 7, FALSE)</f>
        <v>78.8</v>
      </c>
      <c r="I212">
        <f>VLOOKUP(Table55[[#This Row],[Shortname]], Comp[], 8, FALSE)</f>
        <v>0</v>
      </c>
      <c r="J212">
        <f>VLOOKUP(Table55[[#This Row],[Shortname]], Comp[], 9, FALSE)</f>
        <v>11.3</v>
      </c>
      <c r="K212">
        <f>VLOOKUP(Table55[[#This Row],[Shortname]], Comp[], 10, FALSE)</f>
        <v>0</v>
      </c>
      <c r="L212">
        <f>VLOOKUP(Table55[[#This Row],[Shortname]], Comp[], 11, FALSE)</f>
        <v>7.9</v>
      </c>
      <c r="M212">
        <f>VLOOKUP(Table55[[#This Row],[Shortname]], Comp[],12, FALSE)</f>
        <v>0</v>
      </c>
      <c r="N212">
        <f>VLOOKUP(Table55[[#This Row],[Shortname]], Comp[], 13, FALSE)</f>
        <v>1.1000000000000001</v>
      </c>
      <c r="O212">
        <f>VLOOKUP(Table55[[#This Row],[Shortname]], Comp[], 14, FALSE)</f>
        <v>0.9</v>
      </c>
      <c r="P212">
        <f>VLOOKUP(Table55[[#This Row],[Shortname]], Comp[], 15, FALSE)</f>
        <v>0</v>
      </c>
      <c r="Q212">
        <f>VLOOKUP(Table55[[#This Row],[Shortname]], Comp[], 16, FALSE)</f>
        <v>0</v>
      </c>
      <c r="R212">
        <f>VLOOKUP(Table55[[#This Row],[Shortname]], Comp[], 17, FALSE)</f>
        <v>0</v>
      </c>
      <c r="S212">
        <f>VLOOKUP(Table55[[#This Row],[Shortname]], Comp[], 18, FALSE)</f>
        <v>0</v>
      </c>
      <c r="T212">
        <f>VLOOKUP(Table55[[#This Row],[Shortname]], Comp[], 19, FALSE)</f>
        <v>0</v>
      </c>
      <c r="U212">
        <f>VLOOKUP(Table55[[#This Row],[Shortname]], Comp[], 20, FALSE)</f>
        <v>0</v>
      </c>
      <c r="V212">
        <f>VLOOKUP(Table55[[#This Row],[Shortname]], Comp[], 21, FALSE)</f>
        <v>0</v>
      </c>
      <c r="W212">
        <f>VLOOKUP(Table55[[#This Row],[Shortname]], Comp[], 22, FALSE)</f>
        <v>0</v>
      </c>
      <c r="X212">
        <f>VLOOKUP(Table55[[#This Row],[Shortname]], Comp[], 23, FALSE)</f>
        <v>0</v>
      </c>
      <c r="Y212">
        <f>VLOOKUP(Table55[[#This Row],[Shortname]], Comp[], 24, FALSE)</f>
        <v>0</v>
      </c>
      <c r="Z212">
        <f>VLOOKUP(Table55[[#This Row],[Shortname]], Comp[], 25, FALSE)</f>
        <v>0</v>
      </c>
      <c r="AA212">
        <f>VLOOKUP(Table55[[#This Row],[Shortname]], Comp[], 26, FALSE)</f>
        <v>0</v>
      </c>
      <c r="AB212">
        <f>VLOOKUP(Table55[[#This Row],[Shortname]], Comp[], 27, FALSE)</f>
        <v>0</v>
      </c>
      <c r="AC212">
        <f>VLOOKUP(Table55[[#This Row],[Shortname]], Comp[], 28, FALSE)</f>
        <v>0</v>
      </c>
      <c r="AD212">
        <f>VLOOKUP(Table55[[#This Row],[Shortname]], Comp[], 29, FALSE)</f>
        <v>0</v>
      </c>
      <c r="AE212">
        <f>VLOOKUP(Table55[[#This Row],[Shortname]], Comp[], 30, FALSE)</f>
        <v>0</v>
      </c>
      <c r="AF212">
        <f>VLOOKUP(Table55[[#This Row],[Shortname]], Comp[], 31, FALSE)</f>
        <v>0</v>
      </c>
    </row>
    <row r="213" spans="1:32" x14ac:dyDescent="0.3">
      <c r="A213" s="7" t="s">
        <v>2989</v>
      </c>
      <c r="B213" s="7" t="s">
        <v>3118</v>
      </c>
      <c r="C213" t="s">
        <v>6738</v>
      </c>
      <c r="D213">
        <v>1044</v>
      </c>
      <c r="E213">
        <v>1324</v>
      </c>
      <c r="H213" s="14">
        <f>VLOOKUP(Table55[[#This Row],[Shortname]], Comp[], 7, FALSE)</f>
        <v>84</v>
      </c>
      <c r="I213">
        <f>VLOOKUP(Table55[[#This Row],[Shortname]], Comp[], 8, FALSE)</f>
        <v>0</v>
      </c>
      <c r="J213">
        <f>VLOOKUP(Table55[[#This Row],[Shortname]], Comp[], 9, FALSE)</f>
        <v>0</v>
      </c>
      <c r="K213">
        <f>VLOOKUP(Table55[[#This Row],[Shortname]], Comp[], 10, FALSE)</f>
        <v>0</v>
      </c>
      <c r="L213">
        <f>VLOOKUP(Table55[[#This Row],[Shortname]], Comp[], 11, FALSE)</f>
        <v>0</v>
      </c>
      <c r="M213">
        <f>VLOOKUP(Table55[[#This Row],[Shortname]], Comp[],12, FALSE)</f>
        <v>2</v>
      </c>
      <c r="N213">
        <f>VLOOKUP(Table55[[#This Row],[Shortname]], Comp[], 13, FALSE)</f>
        <v>2</v>
      </c>
      <c r="O213">
        <f>VLOOKUP(Table55[[#This Row],[Shortname]], Comp[], 14, FALSE)</f>
        <v>0</v>
      </c>
      <c r="P213">
        <f>VLOOKUP(Table55[[#This Row],[Shortname]], Comp[], 15, FALSE)</f>
        <v>12</v>
      </c>
      <c r="Q213">
        <f>VLOOKUP(Table55[[#This Row],[Shortname]], Comp[], 16, FALSE)</f>
        <v>0</v>
      </c>
      <c r="R213">
        <f>VLOOKUP(Table55[[#This Row],[Shortname]], Comp[], 17, FALSE)</f>
        <v>0</v>
      </c>
      <c r="S213">
        <f>VLOOKUP(Table55[[#This Row],[Shortname]], Comp[], 18, FALSE)</f>
        <v>0</v>
      </c>
      <c r="T213">
        <f>VLOOKUP(Table55[[#This Row],[Shortname]], Comp[], 19, FALSE)</f>
        <v>0</v>
      </c>
      <c r="U213">
        <f>VLOOKUP(Table55[[#This Row],[Shortname]], Comp[], 20, FALSE)</f>
        <v>0</v>
      </c>
      <c r="V213">
        <f>VLOOKUP(Table55[[#This Row],[Shortname]], Comp[], 21, FALSE)</f>
        <v>0</v>
      </c>
      <c r="W213">
        <f>VLOOKUP(Table55[[#This Row],[Shortname]], Comp[], 22, FALSE)</f>
        <v>0</v>
      </c>
      <c r="X213">
        <f>VLOOKUP(Table55[[#This Row],[Shortname]], Comp[], 23, FALSE)</f>
        <v>0</v>
      </c>
      <c r="Y213">
        <f>VLOOKUP(Table55[[#This Row],[Shortname]], Comp[], 24, FALSE)</f>
        <v>0</v>
      </c>
      <c r="Z213">
        <f>VLOOKUP(Table55[[#This Row],[Shortname]], Comp[], 25, FALSE)</f>
        <v>0</v>
      </c>
      <c r="AA213">
        <f>VLOOKUP(Table55[[#This Row],[Shortname]], Comp[], 26, FALSE)</f>
        <v>0</v>
      </c>
      <c r="AB213">
        <f>VLOOKUP(Table55[[#This Row],[Shortname]], Comp[], 27, FALSE)</f>
        <v>0</v>
      </c>
      <c r="AC213">
        <f>VLOOKUP(Table55[[#This Row],[Shortname]], Comp[], 28, FALSE)</f>
        <v>0</v>
      </c>
      <c r="AD213">
        <f>VLOOKUP(Table55[[#This Row],[Shortname]], Comp[], 29, FALSE)</f>
        <v>0</v>
      </c>
      <c r="AE213">
        <f>VLOOKUP(Table55[[#This Row],[Shortname]], Comp[], 30, FALSE)</f>
        <v>0</v>
      </c>
      <c r="AF213">
        <f>VLOOKUP(Table55[[#This Row],[Shortname]], Comp[], 31, FALSE)</f>
        <v>0</v>
      </c>
    </row>
    <row r="214" spans="1:32" x14ac:dyDescent="0.3">
      <c r="A214" s="7" t="s">
        <v>3138</v>
      </c>
      <c r="B214" s="7" t="s">
        <v>3140</v>
      </c>
      <c r="C214" t="s">
        <v>6738</v>
      </c>
      <c r="D214">
        <v>983</v>
      </c>
      <c r="E214">
        <v>1371</v>
      </c>
      <c r="G214" t="s">
        <v>6739</v>
      </c>
      <c r="H214" s="14">
        <f>VLOOKUP(Table55[[#This Row],[Shortname]], Comp[], 7, FALSE)</f>
        <v>84</v>
      </c>
      <c r="I214">
        <f>VLOOKUP(Table55[[#This Row],[Shortname]], Comp[], 8, FALSE)</f>
        <v>0</v>
      </c>
      <c r="J214">
        <f>VLOOKUP(Table55[[#This Row],[Shortname]], Comp[], 9, FALSE)</f>
        <v>2</v>
      </c>
      <c r="K214">
        <f>VLOOKUP(Table55[[#This Row],[Shortname]], Comp[], 10, FALSE)</f>
        <v>0</v>
      </c>
      <c r="L214">
        <f>VLOOKUP(Table55[[#This Row],[Shortname]], Comp[], 11, FALSE)</f>
        <v>0</v>
      </c>
      <c r="M214">
        <f>VLOOKUP(Table55[[#This Row],[Shortname]], Comp[],12, FALSE)</f>
        <v>0</v>
      </c>
      <c r="N214">
        <f>VLOOKUP(Table55[[#This Row],[Shortname]], Comp[], 13, FALSE)</f>
        <v>2</v>
      </c>
      <c r="O214">
        <f>VLOOKUP(Table55[[#This Row],[Shortname]], Comp[], 14, FALSE)</f>
        <v>0</v>
      </c>
      <c r="P214">
        <f>VLOOKUP(Table55[[#This Row],[Shortname]], Comp[], 15, FALSE)</f>
        <v>12</v>
      </c>
      <c r="Q214">
        <f>VLOOKUP(Table55[[#This Row],[Shortname]], Comp[], 16, FALSE)</f>
        <v>0</v>
      </c>
      <c r="R214">
        <f>VLOOKUP(Table55[[#This Row],[Shortname]], Comp[], 17, FALSE)</f>
        <v>0</v>
      </c>
      <c r="S214">
        <f>VLOOKUP(Table55[[#This Row],[Shortname]], Comp[], 18, FALSE)</f>
        <v>0</v>
      </c>
      <c r="T214">
        <f>VLOOKUP(Table55[[#This Row],[Shortname]], Comp[], 19, FALSE)</f>
        <v>0</v>
      </c>
      <c r="U214">
        <f>VLOOKUP(Table55[[#This Row],[Shortname]], Comp[], 20, FALSE)</f>
        <v>0</v>
      </c>
      <c r="V214">
        <f>VLOOKUP(Table55[[#This Row],[Shortname]], Comp[], 21, FALSE)</f>
        <v>0</v>
      </c>
      <c r="W214">
        <f>VLOOKUP(Table55[[#This Row],[Shortname]], Comp[], 22, FALSE)</f>
        <v>0</v>
      </c>
      <c r="X214">
        <f>VLOOKUP(Table55[[#This Row],[Shortname]], Comp[], 23, FALSE)</f>
        <v>0</v>
      </c>
      <c r="Y214">
        <f>VLOOKUP(Table55[[#This Row],[Shortname]], Comp[], 24, FALSE)</f>
        <v>0</v>
      </c>
      <c r="Z214">
        <f>VLOOKUP(Table55[[#This Row],[Shortname]], Comp[], 25, FALSE)</f>
        <v>0</v>
      </c>
      <c r="AA214">
        <f>VLOOKUP(Table55[[#This Row],[Shortname]], Comp[], 26, FALSE)</f>
        <v>0</v>
      </c>
      <c r="AB214">
        <f>VLOOKUP(Table55[[#This Row],[Shortname]], Comp[], 27, FALSE)</f>
        <v>0</v>
      </c>
      <c r="AC214">
        <f>VLOOKUP(Table55[[#This Row],[Shortname]], Comp[], 28, FALSE)</f>
        <v>0</v>
      </c>
      <c r="AD214">
        <f>VLOOKUP(Table55[[#This Row],[Shortname]], Comp[], 29, FALSE)</f>
        <v>0</v>
      </c>
      <c r="AE214">
        <f>VLOOKUP(Table55[[#This Row],[Shortname]], Comp[], 30, FALSE)</f>
        <v>0</v>
      </c>
      <c r="AF214">
        <f>VLOOKUP(Table55[[#This Row],[Shortname]], Comp[], 31, FALSE)</f>
        <v>0</v>
      </c>
    </row>
    <row r="215" spans="1:32" x14ac:dyDescent="0.3">
      <c r="A215" s="7" t="s">
        <v>3132</v>
      </c>
      <c r="B215" s="7" t="s">
        <v>3134</v>
      </c>
      <c r="C215" t="s">
        <v>6738</v>
      </c>
      <c r="D215">
        <v>974</v>
      </c>
      <c r="E215">
        <v>1379</v>
      </c>
      <c r="H215" s="14">
        <f>VLOOKUP(Table55[[#This Row],[Shortname]], Comp[], 7, FALSE)</f>
        <v>86</v>
      </c>
      <c r="I215">
        <f>VLOOKUP(Table55[[#This Row],[Shortname]], Comp[], 8, FALSE)</f>
        <v>0</v>
      </c>
      <c r="J215">
        <f>VLOOKUP(Table55[[#This Row],[Shortname]], Comp[], 9, FALSE)</f>
        <v>0</v>
      </c>
      <c r="K215">
        <f>VLOOKUP(Table55[[#This Row],[Shortname]], Comp[], 10, FALSE)</f>
        <v>0</v>
      </c>
      <c r="L215">
        <f>VLOOKUP(Table55[[#This Row],[Shortname]], Comp[], 11, FALSE)</f>
        <v>0</v>
      </c>
      <c r="M215">
        <f>VLOOKUP(Table55[[#This Row],[Shortname]], Comp[],12, FALSE)</f>
        <v>0</v>
      </c>
      <c r="N215">
        <f>VLOOKUP(Table55[[#This Row],[Shortname]], Comp[], 13, FALSE)</f>
        <v>2</v>
      </c>
      <c r="O215">
        <f>VLOOKUP(Table55[[#This Row],[Shortname]], Comp[], 14, FALSE)</f>
        <v>0</v>
      </c>
      <c r="P215">
        <f>VLOOKUP(Table55[[#This Row],[Shortname]], Comp[], 15, FALSE)</f>
        <v>12</v>
      </c>
      <c r="Q215">
        <f>VLOOKUP(Table55[[#This Row],[Shortname]], Comp[], 16, FALSE)</f>
        <v>0</v>
      </c>
      <c r="R215">
        <f>VLOOKUP(Table55[[#This Row],[Shortname]], Comp[], 17, FALSE)</f>
        <v>0</v>
      </c>
      <c r="S215">
        <f>VLOOKUP(Table55[[#This Row],[Shortname]], Comp[], 18, FALSE)</f>
        <v>0</v>
      </c>
      <c r="T215">
        <f>VLOOKUP(Table55[[#This Row],[Shortname]], Comp[], 19, FALSE)</f>
        <v>0</v>
      </c>
      <c r="U215">
        <f>VLOOKUP(Table55[[#This Row],[Shortname]], Comp[], 20, FALSE)</f>
        <v>0</v>
      </c>
      <c r="V215">
        <f>VLOOKUP(Table55[[#This Row],[Shortname]], Comp[], 21, FALSE)</f>
        <v>0</v>
      </c>
      <c r="W215">
        <f>VLOOKUP(Table55[[#This Row],[Shortname]], Comp[], 22, FALSE)</f>
        <v>0</v>
      </c>
      <c r="X215">
        <f>VLOOKUP(Table55[[#This Row],[Shortname]], Comp[], 23, FALSE)</f>
        <v>0</v>
      </c>
      <c r="Y215">
        <f>VLOOKUP(Table55[[#This Row],[Shortname]], Comp[], 24, FALSE)</f>
        <v>0</v>
      </c>
      <c r="Z215">
        <f>VLOOKUP(Table55[[#This Row],[Shortname]], Comp[], 25, FALSE)</f>
        <v>0</v>
      </c>
      <c r="AA215">
        <f>VLOOKUP(Table55[[#This Row],[Shortname]], Comp[], 26, FALSE)</f>
        <v>0</v>
      </c>
      <c r="AB215">
        <f>VLOOKUP(Table55[[#This Row],[Shortname]], Comp[], 27, FALSE)</f>
        <v>0</v>
      </c>
      <c r="AC215">
        <f>VLOOKUP(Table55[[#This Row],[Shortname]], Comp[], 28, FALSE)</f>
        <v>0</v>
      </c>
      <c r="AD215">
        <f>VLOOKUP(Table55[[#This Row],[Shortname]], Comp[], 29, FALSE)</f>
        <v>0</v>
      </c>
      <c r="AE215">
        <f>VLOOKUP(Table55[[#This Row],[Shortname]], Comp[], 30, FALSE)</f>
        <v>0</v>
      </c>
      <c r="AF215">
        <f>VLOOKUP(Table55[[#This Row],[Shortname]], Comp[], 31, FALSE)</f>
        <v>0</v>
      </c>
    </row>
    <row r="216" spans="1:32" x14ac:dyDescent="0.3">
      <c r="A216" s="7" t="s">
        <v>3223</v>
      </c>
      <c r="B216" s="7" t="s">
        <v>3225</v>
      </c>
      <c r="C216" s="11" t="s">
        <v>6743</v>
      </c>
      <c r="D216">
        <v>1100</v>
      </c>
      <c r="E216">
        <v>1395</v>
      </c>
      <c r="F216">
        <v>1426</v>
      </c>
      <c r="H216" s="14">
        <f>VLOOKUP(Table55[[#This Row],[Shortname]], Comp[], 7, FALSE)</f>
        <v>60.7</v>
      </c>
      <c r="I216">
        <f>VLOOKUP(Table55[[#This Row],[Shortname]], Comp[], 8, FALSE)</f>
        <v>16</v>
      </c>
      <c r="J216">
        <f>VLOOKUP(Table55[[#This Row],[Shortname]], Comp[], 9, FALSE)</f>
        <v>9.5</v>
      </c>
      <c r="K216">
        <f>VLOOKUP(Table55[[#This Row],[Shortname]], Comp[], 10, FALSE)</f>
        <v>6</v>
      </c>
      <c r="L216">
        <f>VLOOKUP(Table55[[#This Row],[Shortname]], Comp[], 11, FALSE)</f>
        <v>5</v>
      </c>
      <c r="M216">
        <f>VLOOKUP(Table55[[#This Row],[Shortname]], Comp[],12, FALSE)</f>
        <v>0</v>
      </c>
      <c r="N216">
        <f>VLOOKUP(Table55[[#This Row],[Shortname]], Comp[], 13, FALSE)</f>
        <v>2.8</v>
      </c>
      <c r="O216">
        <f>VLOOKUP(Table55[[#This Row],[Shortname]], Comp[], 14, FALSE)</f>
        <v>0</v>
      </c>
      <c r="P216">
        <f>VLOOKUP(Table55[[#This Row],[Shortname]], Comp[], 15, FALSE)</f>
        <v>0</v>
      </c>
      <c r="Q216">
        <f>VLOOKUP(Table55[[#This Row],[Shortname]], Comp[], 16, FALSE)</f>
        <v>0</v>
      </c>
      <c r="R216">
        <f>VLOOKUP(Table55[[#This Row],[Shortname]], Comp[], 17, FALSE)</f>
        <v>0</v>
      </c>
      <c r="S216">
        <f>VLOOKUP(Table55[[#This Row],[Shortname]], Comp[], 18, FALSE)</f>
        <v>0</v>
      </c>
      <c r="T216">
        <f>VLOOKUP(Table55[[#This Row],[Shortname]], Comp[], 19, FALSE)</f>
        <v>0</v>
      </c>
      <c r="U216">
        <f>VLOOKUP(Table55[[#This Row],[Shortname]], Comp[], 20, FALSE)</f>
        <v>0</v>
      </c>
      <c r="V216">
        <f>VLOOKUP(Table55[[#This Row],[Shortname]], Comp[], 21, FALSE)</f>
        <v>0</v>
      </c>
      <c r="W216">
        <f>VLOOKUP(Table55[[#This Row],[Shortname]], Comp[], 22, FALSE)</f>
        <v>0</v>
      </c>
      <c r="X216">
        <f>VLOOKUP(Table55[[#This Row],[Shortname]], Comp[], 23, FALSE)</f>
        <v>0</v>
      </c>
      <c r="Y216">
        <f>VLOOKUP(Table55[[#This Row],[Shortname]], Comp[], 24, FALSE)</f>
        <v>0</v>
      </c>
      <c r="Z216">
        <f>VLOOKUP(Table55[[#This Row],[Shortname]], Comp[], 25, FALSE)</f>
        <v>0</v>
      </c>
      <c r="AA216">
        <f>VLOOKUP(Table55[[#This Row],[Shortname]], Comp[], 26, FALSE)</f>
        <v>0</v>
      </c>
      <c r="AB216">
        <f>VLOOKUP(Table55[[#This Row],[Shortname]], Comp[], 27, FALSE)</f>
        <v>0</v>
      </c>
      <c r="AC216">
        <f>VLOOKUP(Table55[[#This Row],[Shortname]], Comp[], 28, FALSE)</f>
        <v>0</v>
      </c>
      <c r="AD216">
        <f>VLOOKUP(Table55[[#This Row],[Shortname]], Comp[], 29, FALSE)</f>
        <v>0</v>
      </c>
      <c r="AE216">
        <f>VLOOKUP(Table55[[#This Row],[Shortname]], Comp[], 30, FALSE)</f>
        <v>0</v>
      </c>
      <c r="AF216">
        <f>VLOOKUP(Table55[[#This Row],[Shortname]], Comp[], 31, FALSE)</f>
        <v>0</v>
      </c>
    </row>
    <row r="217" spans="1:32" x14ac:dyDescent="0.3">
      <c r="A217" s="7" t="s">
        <v>3217</v>
      </c>
      <c r="B217" s="7" t="s">
        <v>3219</v>
      </c>
      <c r="C217" s="11" t="s">
        <v>6743</v>
      </c>
      <c r="D217">
        <v>1040</v>
      </c>
      <c r="E217">
        <v>1412</v>
      </c>
      <c r="F217">
        <v>1434</v>
      </c>
      <c r="H217" s="14">
        <f>VLOOKUP(Table55[[#This Row],[Shortname]], Comp[], 7, FALSE)</f>
        <v>61.7</v>
      </c>
      <c r="I217">
        <f>VLOOKUP(Table55[[#This Row],[Shortname]], Comp[], 8, FALSE)</f>
        <v>16</v>
      </c>
      <c r="J217">
        <f>VLOOKUP(Table55[[#This Row],[Shortname]], Comp[], 9, FALSE)</f>
        <v>9.5</v>
      </c>
      <c r="K217">
        <f>VLOOKUP(Table55[[#This Row],[Shortname]], Comp[], 10, FALSE)</f>
        <v>6</v>
      </c>
      <c r="L217">
        <f>VLOOKUP(Table55[[#This Row],[Shortname]], Comp[], 11, FALSE)</f>
        <v>5</v>
      </c>
      <c r="M217">
        <f>VLOOKUP(Table55[[#This Row],[Shortname]], Comp[],12, FALSE)</f>
        <v>0</v>
      </c>
      <c r="N217">
        <f>VLOOKUP(Table55[[#This Row],[Shortname]], Comp[], 13, FALSE)</f>
        <v>1.8</v>
      </c>
      <c r="O217">
        <f>VLOOKUP(Table55[[#This Row],[Shortname]], Comp[], 14, FALSE)</f>
        <v>0</v>
      </c>
      <c r="P217">
        <f>VLOOKUP(Table55[[#This Row],[Shortname]], Comp[], 15, FALSE)</f>
        <v>0</v>
      </c>
      <c r="Q217">
        <f>VLOOKUP(Table55[[#This Row],[Shortname]], Comp[], 16, FALSE)</f>
        <v>0</v>
      </c>
      <c r="R217">
        <f>VLOOKUP(Table55[[#This Row],[Shortname]], Comp[], 17, FALSE)</f>
        <v>0</v>
      </c>
      <c r="S217">
        <f>VLOOKUP(Table55[[#This Row],[Shortname]], Comp[], 18, FALSE)</f>
        <v>0</v>
      </c>
      <c r="T217">
        <f>VLOOKUP(Table55[[#This Row],[Shortname]], Comp[], 19, FALSE)</f>
        <v>0</v>
      </c>
      <c r="U217">
        <f>VLOOKUP(Table55[[#This Row],[Shortname]], Comp[], 20, FALSE)</f>
        <v>0</v>
      </c>
      <c r="V217">
        <f>VLOOKUP(Table55[[#This Row],[Shortname]], Comp[], 21, FALSE)</f>
        <v>0</v>
      </c>
      <c r="W217">
        <f>VLOOKUP(Table55[[#This Row],[Shortname]], Comp[], 22, FALSE)</f>
        <v>0</v>
      </c>
      <c r="X217">
        <f>VLOOKUP(Table55[[#This Row],[Shortname]], Comp[], 23, FALSE)</f>
        <v>0</v>
      </c>
      <c r="Y217">
        <f>VLOOKUP(Table55[[#This Row],[Shortname]], Comp[], 24, FALSE)</f>
        <v>0</v>
      </c>
      <c r="Z217">
        <f>VLOOKUP(Table55[[#This Row],[Shortname]], Comp[], 25, FALSE)</f>
        <v>0</v>
      </c>
      <c r="AA217">
        <f>VLOOKUP(Table55[[#This Row],[Shortname]], Comp[], 26, FALSE)</f>
        <v>0</v>
      </c>
      <c r="AB217">
        <f>VLOOKUP(Table55[[#This Row],[Shortname]], Comp[], 27, FALSE)</f>
        <v>0</v>
      </c>
      <c r="AC217">
        <f>VLOOKUP(Table55[[#This Row],[Shortname]], Comp[], 28, FALSE)</f>
        <v>0</v>
      </c>
      <c r="AD217">
        <f>VLOOKUP(Table55[[#This Row],[Shortname]], Comp[], 29, FALSE)</f>
        <v>0</v>
      </c>
      <c r="AE217">
        <f>VLOOKUP(Table55[[#This Row],[Shortname]], Comp[], 30, FALSE)</f>
        <v>0</v>
      </c>
      <c r="AF217">
        <f>VLOOKUP(Table55[[#This Row],[Shortname]], Comp[], 31, FALSE)</f>
        <v>0</v>
      </c>
    </row>
    <row r="218" spans="1:32" x14ac:dyDescent="0.3">
      <c r="A218" s="7" t="s">
        <v>3210</v>
      </c>
      <c r="B218" s="7" t="s">
        <v>3212</v>
      </c>
      <c r="C218" s="11" t="s">
        <v>6743</v>
      </c>
      <c r="D218">
        <v>930</v>
      </c>
      <c r="E218">
        <v>1428</v>
      </c>
      <c r="F218">
        <v>1444</v>
      </c>
      <c r="H218" s="14">
        <f>VLOOKUP(Table55[[#This Row],[Shortname]], Comp[], 7, FALSE)</f>
        <v>63.5</v>
      </c>
      <c r="I218">
        <f>VLOOKUP(Table55[[#This Row],[Shortname]], Comp[], 8, FALSE)</f>
        <v>16</v>
      </c>
      <c r="J218">
        <f>VLOOKUP(Table55[[#This Row],[Shortname]], Comp[], 9, FALSE)</f>
        <v>9.5</v>
      </c>
      <c r="K218">
        <f>VLOOKUP(Table55[[#This Row],[Shortname]], Comp[], 10, FALSE)</f>
        <v>6</v>
      </c>
      <c r="L218">
        <f>VLOOKUP(Table55[[#This Row],[Shortname]], Comp[], 11, FALSE)</f>
        <v>5</v>
      </c>
      <c r="M218">
        <f>VLOOKUP(Table55[[#This Row],[Shortname]], Comp[],12, FALSE)</f>
        <v>0</v>
      </c>
      <c r="N218">
        <f>VLOOKUP(Table55[[#This Row],[Shortname]], Comp[], 13, FALSE)</f>
        <v>0</v>
      </c>
      <c r="O218">
        <f>VLOOKUP(Table55[[#This Row],[Shortname]], Comp[], 14, FALSE)</f>
        <v>0</v>
      </c>
      <c r="P218">
        <f>VLOOKUP(Table55[[#This Row],[Shortname]], Comp[], 15, FALSE)</f>
        <v>0</v>
      </c>
      <c r="Q218">
        <f>VLOOKUP(Table55[[#This Row],[Shortname]], Comp[], 16, FALSE)</f>
        <v>0</v>
      </c>
      <c r="R218">
        <f>VLOOKUP(Table55[[#This Row],[Shortname]], Comp[], 17, FALSE)</f>
        <v>0</v>
      </c>
      <c r="S218">
        <f>VLOOKUP(Table55[[#This Row],[Shortname]], Comp[], 18, FALSE)</f>
        <v>0</v>
      </c>
      <c r="T218">
        <f>VLOOKUP(Table55[[#This Row],[Shortname]], Comp[], 19, FALSE)</f>
        <v>0</v>
      </c>
      <c r="U218">
        <f>VLOOKUP(Table55[[#This Row],[Shortname]], Comp[], 20, FALSE)</f>
        <v>0</v>
      </c>
      <c r="V218">
        <f>VLOOKUP(Table55[[#This Row],[Shortname]], Comp[], 21, FALSE)</f>
        <v>0</v>
      </c>
      <c r="W218">
        <f>VLOOKUP(Table55[[#This Row],[Shortname]], Comp[], 22, FALSE)</f>
        <v>0</v>
      </c>
      <c r="X218">
        <f>VLOOKUP(Table55[[#This Row],[Shortname]], Comp[], 23, FALSE)</f>
        <v>0</v>
      </c>
      <c r="Y218">
        <f>VLOOKUP(Table55[[#This Row],[Shortname]], Comp[], 24, FALSE)</f>
        <v>0</v>
      </c>
      <c r="Z218">
        <f>VLOOKUP(Table55[[#This Row],[Shortname]], Comp[], 25, FALSE)</f>
        <v>0</v>
      </c>
      <c r="AA218">
        <f>VLOOKUP(Table55[[#This Row],[Shortname]], Comp[], 26, FALSE)</f>
        <v>0</v>
      </c>
      <c r="AB218">
        <f>VLOOKUP(Table55[[#This Row],[Shortname]], Comp[], 27, FALSE)</f>
        <v>0</v>
      </c>
      <c r="AC218">
        <f>VLOOKUP(Table55[[#This Row],[Shortname]], Comp[], 28, FALSE)</f>
        <v>0</v>
      </c>
      <c r="AD218">
        <f>VLOOKUP(Table55[[#This Row],[Shortname]], Comp[], 29, FALSE)</f>
        <v>0</v>
      </c>
      <c r="AE218">
        <f>VLOOKUP(Table55[[#This Row],[Shortname]], Comp[], 30, FALSE)</f>
        <v>0</v>
      </c>
      <c r="AF218">
        <f>VLOOKUP(Table55[[#This Row],[Shortname]], Comp[], 31, FALSE)</f>
        <v>0</v>
      </c>
    </row>
    <row r="219" spans="1:32" x14ac:dyDescent="0.3">
      <c r="A219" s="7" t="s">
        <v>3229</v>
      </c>
      <c r="B219" s="7" t="s">
        <v>3231</v>
      </c>
      <c r="C219" s="3" t="s">
        <v>3232</v>
      </c>
      <c r="D219">
        <v>1080</v>
      </c>
      <c r="E219">
        <v>1369</v>
      </c>
      <c r="F219">
        <v>1424</v>
      </c>
      <c r="H219" s="14">
        <f>VLOOKUP(Table55[[#This Row],[Shortname]], Comp[], 7, FALSE)</f>
        <v>66</v>
      </c>
      <c r="I219">
        <f>VLOOKUP(Table55[[#This Row],[Shortname]], Comp[], 8, FALSE)</f>
        <v>17</v>
      </c>
      <c r="J219">
        <f>VLOOKUP(Table55[[#This Row],[Shortname]], Comp[], 9, FALSE)</f>
        <v>9</v>
      </c>
      <c r="K219">
        <f>VLOOKUP(Table55[[#This Row],[Shortname]], Comp[], 10, FALSE)</f>
        <v>0</v>
      </c>
      <c r="L219">
        <f>VLOOKUP(Table55[[#This Row],[Shortname]], Comp[], 11, FALSE)</f>
        <v>5</v>
      </c>
      <c r="M219">
        <f>VLOOKUP(Table55[[#This Row],[Shortname]], Comp[],12, FALSE)</f>
        <v>3</v>
      </c>
      <c r="N219">
        <f>VLOOKUP(Table55[[#This Row],[Shortname]], Comp[], 13, FALSE)</f>
        <v>0</v>
      </c>
      <c r="O219">
        <f>VLOOKUP(Table55[[#This Row],[Shortname]], Comp[], 14, FALSE)</f>
        <v>0</v>
      </c>
      <c r="P219">
        <f>VLOOKUP(Table55[[#This Row],[Shortname]], Comp[], 15, FALSE)</f>
        <v>0</v>
      </c>
      <c r="Q219">
        <f>VLOOKUP(Table55[[#This Row],[Shortname]], Comp[], 16, FALSE)</f>
        <v>0</v>
      </c>
      <c r="R219">
        <f>VLOOKUP(Table55[[#This Row],[Shortname]], Comp[], 17, FALSE)</f>
        <v>0</v>
      </c>
      <c r="S219">
        <f>VLOOKUP(Table55[[#This Row],[Shortname]], Comp[], 18, FALSE)</f>
        <v>0</v>
      </c>
      <c r="T219">
        <f>VLOOKUP(Table55[[#This Row],[Shortname]], Comp[], 19, FALSE)</f>
        <v>0</v>
      </c>
      <c r="U219">
        <f>VLOOKUP(Table55[[#This Row],[Shortname]], Comp[], 20, FALSE)</f>
        <v>0</v>
      </c>
      <c r="V219">
        <f>VLOOKUP(Table55[[#This Row],[Shortname]], Comp[], 21, FALSE)</f>
        <v>0</v>
      </c>
      <c r="W219">
        <f>VLOOKUP(Table55[[#This Row],[Shortname]], Comp[], 22, FALSE)</f>
        <v>0</v>
      </c>
      <c r="X219">
        <f>VLOOKUP(Table55[[#This Row],[Shortname]], Comp[], 23, FALSE)</f>
        <v>0</v>
      </c>
      <c r="Y219">
        <f>VLOOKUP(Table55[[#This Row],[Shortname]], Comp[], 24, FALSE)</f>
        <v>0</v>
      </c>
      <c r="Z219">
        <f>VLOOKUP(Table55[[#This Row],[Shortname]], Comp[], 25, FALSE)</f>
        <v>0</v>
      </c>
      <c r="AA219">
        <f>VLOOKUP(Table55[[#This Row],[Shortname]], Comp[], 26, FALSE)</f>
        <v>0</v>
      </c>
      <c r="AB219">
        <f>VLOOKUP(Table55[[#This Row],[Shortname]], Comp[], 27, FALSE)</f>
        <v>0</v>
      </c>
      <c r="AC219">
        <f>VLOOKUP(Table55[[#This Row],[Shortname]], Comp[], 28, FALSE)</f>
        <v>0</v>
      </c>
      <c r="AD219">
        <f>VLOOKUP(Table55[[#This Row],[Shortname]], Comp[], 29, FALSE)</f>
        <v>0</v>
      </c>
      <c r="AE219">
        <f>VLOOKUP(Table55[[#This Row],[Shortname]], Comp[], 30, FALSE)</f>
        <v>0</v>
      </c>
      <c r="AF219">
        <f>VLOOKUP(Table55[[#This Row],[Shortname]], Comp[], 31, FALSE)</f>
        <v>0</v>
      </c>
    </row>
    <row r="220" spans="1:32" x14ac:dyDescent="0.3">
      <c r="A220" s="7" t="s">
        <v>3236</v>
      </c>
      <c r="B220" s="7" t="s">
        <v>1567</v>
      </c>
      <c r="C220" s="23" t="s">
        <v>6744</v>
      </c>
      <c r="D220">
        <v>1100</v>
      </c>
      <c r="E220">
        <v>1395</v>
      </c>
      <c r="F220">
        <v>1426</v>
      </c>
      <c r="H220" s="14">
        <f>VLOOKUP(Table55[[#This Row],[Shortname]], Comp[], 7, FALSE)</f>
        <v>59.3</v>
      </c>
      <c r="I220">
        <f>VLOOKUP(Table55[[#This Row],[Shortname]], Comp[], 8, FALSE)</f>
        <v>17</v>
      </c>
      <c r="J220">
        <f>VLOOKUP(Table55[[#This Row],[Shortname]], Comp[], 9, FALSE)</f>
        <v>10</v>
      </c>
      <c r="K220">
        <f>VLOOKUP(Table55[[#This Row],[Shortname]], Comp[], 10, FALSE)</f>
        <v>6</v>
      </c>
      <c r="L220">
        <f>VLOOKUP(Table55[[#This Row],[Shortname]], Comp[], 11, FALSE)</f>
        <v>5</v>
      </c>
      <c r="M220">
        <f>VLOOKUP(Table55[[#This Row],[Shortname]], Comp[],12, FALSE)</f>
        <v>0</v>
      </c>
      <c r="N220">
        <f>VLOOKUP(Table55[[#This Row],[Shortname]], Comp[], 13, FALSE)</f>
        <v>2.7</v>
      </c>
      <c r="O220">
        <f>VLOOKUP(Table55[[#This Row],[Shortname]], Comp[], 14, FALSE)</f>
        <v>0</v>
      </c>
      <c r="P220">
        <f>VLOOKUP(Table55[[#This Row],[Shortname]], Comp[], 15, FALSE)</f>
        <v>0</v>
      </c>
      <c r="Q220">
        <f>VLOOKUP(Table55[[#This Row],[Shortname]], Comp[], 16, FALSE)</f>
        <v>0</v>
      </c>
      <c r="R220">
        <f>VLOOKUP(Table55[[#This Row],[Shortname]], Comp[], 17, FALSE)</f>
        <v>0</v>
      </c>
      <c r="S220">
        <f>VLOOKUP(Table55[[#This Row],[Shortname]], Comp[], 18, FALSE)</f>
        <v>0</v>
      </c>
      <c r="T220">
        <f>VLOOKUP(Table55[[#This Row],[Shortname]], Comp[], 19, FALSE)</f>
        <v>0</v>
      </c>
      <c r="U220">
        <f>VLOOKUP(Table55[[#This Row],[Shortname]], Comp[], 20, FALSE)</f>
        <v>0</v>
      </c>
      <c r="V220">
        <f>VLOOKUP(Table55[[#This Row],[Shortname]], Comp[], 21, FALSE)</f>
        <v>0</v>
      </c>
      <c r="W220">
        <f>VLOOKUP(Table55[[#This Row],[Shortname]], Comp[], 22, FALSE)</f>
        <v>0</v>
      </c>
      <c r="X220">
        <f>VLOOKUP(Table55[[#This Row],[Shortname]], Comp[], 23, FALSE)</f>
        <v>0</v>
      </c>
      <c r="Y220">
        <f>VLOOKUP(Table55[[#This Row],[Shortname]], Comp[], 24, FALSE)</f>
        <v>0</v>
      </c>
      <c r="Z220">
        <f>VLOOKUP(Table55[[#This Row],[Shortname]], Comp[], 25, FALSE)</f>
        <v>0</v>
      </c>
      <c r="AA220">
        <f>VLOOKUP(Table55[[#This Row],[Shortname]], Comp[], 26, FALSE)</f>
        <v>0</v>
      </c>
      <c r="AB220">
        <f>VLOOKUP(Table55[[#This Row],[Shortname]], Comp[], 27, FALSE)</f>
        <v>0</v>
      </c>
      <c r="AC220">
        <f>VLOOKUP(Table55[[#This Row],[Shortname]], Comp[], 28, FALSE)</f>
        <v>0</v>
      </c>
      <c r="AD220">
        <f>VLOOKUP(Table55[[#This Row],[Shortname]], Comp[], 29, FALSE)</f>
        <v>0</v>
      </c>
      <c r="AE220">
        <f>VLOOKUP(Table55[[#This Row],[Shortname]], Comp[], 30, FALSE)</f>
        <v>0</v>
      </c>
      <c r="AF220">
        <f>VLOOKUP(Table55[[#This Row],[Shortname]], Comp[], 31, FALSE)</f>
        <v>0</v>
      </c>
    </row>
    <row r="221" spans="1:32" x14ac:dyDescent="0.3">
      <c r="A221" s="7" t="s">
        <v>5142</v>
      </c>
      <c r="B221" t="s">
        <v>5144</v>
      </c>
      <c r="C221" s="3" t="s">
        <v>3245</v>
      </c>
      <c r="D221" s="24">
        <v>1130</v>
      </c>
      <c r="E221">
        <v>1449</v>
      </c>
      <c r="H221" s="14">
        <f>VLOOKUP(Table55[[#This Row],[Shortname]], Comp[], 7, FALSE)</f>
        <v>22.5</v>
      </c>
      <c r="I221">
        <f>VLOOKUP(Table55[[#This Row],[Shortname]], Comp[], 8, FALSE)</f>
        <v>60</v>
      </c>
      <c r="J221">
        <f>VLOOKUP(Table55[[#This Row],[Shortname]], Comp[], 9, FALSE)</f>
        <v>10</v>
      </c>
      <c r="K221">
        <f>VLOOKUP(Table55[[#This Row],[Shortname]], Comp[], 10, FALSE)</f>
        <v>0</v>
      </c>
      <c r="L221">
        <f>VLOOKUP(Table55[[#This Row],[Shortname]], Comp[], 11, FALSE)</f>
        <v>7.5</v>
      </c>
      <c r="M221">
        <f>VLOOKUP(Table55[[#This Row],[Shortname]], Comp[],12, FALSE)</f>
        <v>0</v>
      </c>
      <c r="N221">
        <f>VLOOKUP(Table55[[#This Row],[Shortname]], Comp[], 13, FALSE)</f>
        <v>0</v>
      </c>
      <c r="O221">
        <f>VLOOKUP(Table55[[#This Row],[Shortname]], Comp[], 14, FALSE)</f>
        <v>0</v>
      </c>
      <c r="P221">
        <f>VLOOKUP(Table55[[#This Row],[Shortname]], Comp[], 15, FALSE)</f>
        <v>0</v>
      </c>
      <c r="Q221">
        <f>VLOOKUP(Table55[[#This Row],[Shortname]], Comp[], 16, FALSE)</f>
        <v>0</v>
      </c>
      <c r="R221">
        <f>VLOOKUP(Table55[[#This Row],[Shortname]], Comp[], 17, FALSE)</f>
        <v>0</v>
      </c>
      <c r="S221">
        <f>VLOOKUP(Table55[[#This Row],[Shortname]], Comp[], 18, FALSE)</f>
        <v>0</v>
      </c>
      <c r="T221">
        <f>VLOOKUP(Table55[[#This Row],[Shortname]], Comp[], 19, FALSE)</f>
        <v>0</v>
      </c>
      <c r="U221">
        <f>VLOOKUP(Table55[[#This Row],[Shortname]], Comp[], 20, FALSE)</f>
        <v>0</v>
      </c>
      <c r="V221">
        <f>VLOOKUP(Table55[[#This Row],[Shortname]], Comp[], 21, FALSE)</f>
        <v>0</v>
      </c>
      <c r="W221">
        <f>VLOOKUP(Table55[[#This Row],[Shortname]], Comp[], 22, FALSE)</f>
        <v>0</v>
      </c>
      <c r="X221">
        <f>VLOOKUP(Table55[[#This Row],[Shortname]], Comp[], 23, FALSE)</f>
        <v>0</v>
      </c>
      <c r="Y221">
        <f>VLOOKUP(Table55[[#This Row],[Shortname]], Comp[], 24, FALSE)</f>
        <v>0</v>
      </c>
      <c r="Z221">
        <f>VLOOKUP(Table55[[#This Row],[Shortname]], Comp[], 25, FALSE)</f>
        <v>0</v>
      </c>
      <c r="AA221">
        <f>VLOOKUP(Table55[[#This Row],[Shortname]], Comp[], 26, FALSE)</f>
        <v>0</v>
      </c>
      <c r="AB221">
        <f>VLOOKUP(Table55[[#This Row],[Shortname]], Comp[], 27, FALSE)</f>
        <v>0</v>
      </c>
      <c r="AC221">
        <f>VLOOKUP(Table55[[#This Row],[Shortname]], Comp[], 28, FALSE)</f>
        <v>0</v>
      </c>
      <c r="AD221">
        <f>VLOOKUP(Table55[[#This Row],[Shortname]], Comp[], 29, FALSE)</f>
        <v>0</v>
      </c>
      <c r="AE221">
        <f>VLOOKUP(Table55[[#This Row],[Shortname]], Comp[], 30, FALSE)</f>
        <v>0</v>
      </c>
      <c r="AF221">
        <f>VLOOKUP(Table55[[#This Row],[Shortname]], Comp[], 31, FALSE)</f>
        <v>0</v>
      </c>
    </row>
    <row r="222" spans="1:32" x14ac:dyDescent="0.3">
      <c r="A222" s="7" t="s">
        <v>5123</v>
      </c>
      <c r="B222" t="s">
        <v>5125</v>
      </c>
      <c r="C222" s="3" t="s">
        <v>3245</v>
      </c>
      <c r="D222">
        <v>1225</v>
      </c>
      <c r="E222">
        <v>1448</v>
      </c>
      <c r="H222" s="14">
        <f>VLOOKUP(Table55[[#This Row],[Shortname]], Comp[], 7, FALSE)</f>
        <v>0</v>
      </c>
      <c r="I222">
        <f>VLOOKUP(Table55[[#This Row],[Shortname]], Comp[], 8, FALSE)</f>
        <v>80</v>
      </c>
      <c r="J222">
        <f>VLOOKUP(Table55[[#This Row],[Shortname]], Comp[], 9, FALSE)</f>
        <v>10</v>
      </c>
      <c r="K222">
        <f>VLOOKUP(Table55[[#This Row],[Shortname]], Comp[], 10, FALSE)</f>
        <v>0</v>
      </c>
      <c r="L222">
        <f>VLOOKUP(Table55[[#This Row],[Shortname]], Comp[], 11, FALSE)</f>
        <v>10</v>
      </c>
      <c r="M222">
        <f>VLOOKUP(Table55[[#This Row],[Shortname]], Comp[],12, FALSE)</f>
        <v>0</v>
      </c>
      <c r="N222">
        <f>VLOOKUP(Table55[[#This Row],[Shortname]], Comp[], 13, FALSE)</f>
        <v>0</v>
      </c>
      <c r="O222">
        <f>VLOOKUP(Table55[[#This Row],[Shortname]], Comp[], 14, FALSE)</f>
        <v>0</v>
      </c>
      <c r="P222">
        <f>VLOOKUP(Table55[[#This Row],[Shortname]], Comp[], 15, FALSE)</f>
        <v>0</v>
      </c>
      <c r="Q222">
        <f>VLOOKUP(Table55[[#This Row],[Shortname]], Comp[], 16, FALSE)</f>
        <v>0</v>
      </c>
      <c r="R222">
        <f>VLOOKUP(Table55[[#This Row],[Shortname]], Comp[], 17, FALSE)</f>
        <v>0</v>
      </c>
      <c r="S222">
        <f>VLOOKUP(Table55[[#This Row],[Shortname]], Comp[], 18, FALSE)</f>
        <v>0</v>
      </c>
      <c r="T222">
        <f>VLOOKUP(Table55[[#This Row],[Shortname]], Comp[], 19, FALSE)</f>
        <v>0</v>
      </c>
      <c r="U222">
        <f>VLOOKUP(Table55[[#This Row],[Shortname]], Comp[], 20, FALSE)</f>
        <v>0</v>
      </c>
      <c r="V222">
        <f>VLOOKUP(Table55[[#This Row],[Shortname]], Comp[], 21, FALSE)</f>
        <v>0</v>
      </c>
      <c r="W222">
        <f>VLOOKUP(Table55[[#This Row],[Shortname]], Comp[], 22, FALSE)</f>
        <v>0</v>
      </c>
      <c r="X222">
        <f>VLOOKUP(Table55[[#This Row],[Shortname]], Comp[], 23, FALSE)</f>
        <v>0</v>
      </c>
      <c r="Y222">
        <f>VLOOKUP(Table55[[#This Row],[Shortname]], Comp[], 24, FALSE)</f>
        <v>0</v>
      </c>
      <c r="Z222">
        <f>VLOOKUP(Table55[[#This Row],[Shortname]], Comp[], 25, FALSE)</f>
        <v>0</v>
      </c>
      <c r="AA222">
        <f>VLOOKUP(Table55[[#This Row],[Shortname]], Comp[], 26, FALSE)</f>
        <v>0</v>
      </c>
      <c r="AB222">
        <f>VLOOKUP(Table55[[#This Row],[Shortname]], Comp[], 27, FALSE)</f>
        <v>0</v>
      </c>
      <c r="AC222">
        <f>VLOOKUP(Table55[[#This Row],[Shortname]], Comp[], 28, FALSE)</f>
        <v>0</v>
      </c>
      <c r="AD222">
        <f>VLOOKUP(Table55[[#This Row],[Shortname]], Comp[], 29, FALSE)</f>
        <v>0</v>
      </c>
      <c r="AE222">
        <f>VLOOKUP(Table55[[#This Row],[Shortname]], Comp[], 30, FALSE)</f>
        <v>0</v>
      </c>
      <c r="AF222">
        <f>VLOOKUP(Table55[[#This Row],[Shortname]], Comp[], 31, FALSE)</f>
        <v>0</v>
      </c>
    </row>
    <row r="223" spans="1:32" x14ac:dyDescent="0.3">
      <c r="A223" s="7" t="s">
        <v>5117</v>
      </c>
      <c r="B223" t="s">
        <v>5119</v>
      </c>
      <c r="C223" s="3" t="s">
        <v>3245</v>
      </c>
      <c r="D223">
        <v>1204</v>
      </c>
      <c r="E223">
        <v>1448</v>
      </c>
      <c r="H223" s="14">
        <f>VLOOKUP(Table55[[#This Row],[Shortname]], Comp[], 7, FALSE)</f>
        <v>10</v>
      </c>
      <c r="I223">
        <f>VLOOKUP(Table55[[#This Row],[Shortname]], Comp[], 8, FALSE)</f>
        <v>70</v>
      </c>
      <c r="J223">
        <f>VLOOKUP(Table55[[#This Row],[Shortname]], Comp[], 9, FALSE)</f>
        <v>10</v>
      </c>
      <c r="K223">
        <f>VLOOKUP(Table55[[#This Row],[Shortname]], Comp[], 10, FALSE)</f>
        <v>0</v>
      </c>
      <c r="L223">
        <f>VLOOKUP(Table55[[#This Row],[Shortname]], Comp[], 11, FALSE)</f>
        <v>10</v>
      </c>
      <c r="M223">
        <f>VLOOKUP(Table55[[#This Row],[Shortname]], Comp[],12, FALSE)</f>
        <v>0</v>
      </c>
      <c r="N223">
        <f>VLOOKUP(Table55[[#This Row],[Shortname]], Comp[], 13, FALSE)</f>
        <v>0</v>
      </c>
      <c r="O223">
        <f>VLOOKUP(Table55[[#This Row],[Shortname]], Comp[], 14, FALSE)</f>
        <v>0</v>
      </c>
      <c r="P223">
        <f>VLOOKUP(Table55[[#This Row],[Shortname]], Comp[], 15, FALSE)</f>
        <v>0</v>
      </c>
      <c r="Q223">
        <f>VLOOKUP(Table55[[#This Row],[Shortname]], Comp[], 16, FALSE)</f>
        <v>0</v>
      </c>
      <c r="R223">
        <f>VLOOKUP(Table55[[#This Row],[Shortname]], Comp[], 17, FALSE)</f>
        <v>0</v>
      </c>
      <c r="S223">
        <f>VLOOKUP(Table55[[#This Row],[Shortname]], Comp[], 18, FALSE)</f>
        <v>0</v>
      </c>
      <c r="T223">
        <f>VLOOKUP(Table55[[#This Row],[Shortname]], Comp[], 19, FALSE)</f>
        <v>0</v>
      </c>
      <c r="U223">
        <f>VLOOKUP(Table55[[#This Row],[Shortname]], Comp[], 20, FALSE)</f>
        <v>0</v>
      </c>
      <c r="V223">
        <f>VLOOKUP(Table55[[#This Row],[Shortname]], Comp[], 21, FALSE)</f>
        <v>0</v>
      </c>
      <c r="W223">
        <f>VLOOKUP(Table55[[#This Row],[Shortname]], Comp[], 22, FALSE)</f>
        <v>0</v>
      </c>
      <c r="X223">
        <f>VLOOKUP(Table55[[#This Row],[Shortname]], Comp[], 23, FALSE)</f>
        <v>0</v>
      </c>
      <c r="Y223">
        <f>VLOOKUP(Table55[[#This Row],[Shortname]], Comp[], 24, FALSE)</f>
        <v>0</v>
      </c>
      <c r="Z223">
        <f>VLOOKUP(Table55[[#This Row],[Shortname]], Comp[], 25, FALSE)</f>
        <v>0</v>
      </c>
      <c r="AA223">
        <f>VLOOKUP(Table55[[#This Row],[Shortname]], Comp[], 26, FALSE)</f>
        <v>0</v>
      </c>
      <c r="AB223">
        <f>VLOOKUP(Table55[[#This Row],[Shortname]], Comp[], 27, FALSE)</f>
        <v>0</v>
      </c>
      <c r="AC223">
        <f>VLOOKUP(Table55[[#This Row],[Shortname]], Comp[], 28, FALSE)</f>
        <v>0</v>
      </c>
      <c r="AD223">
        <f>VLOOKUP(Table55[[#This Row],[Shortname]], Comp[], 29, FALSE)</f>
        <v>0</v>
      </c>
      <c r="AE223">
        <f>VLOOKUP(Table55[[#This Row],[Shortname]], Comp[], 30, FALSE)</f>
        <v>0</v>
      </c>
      <c r="AF223">
        <f>VLOOKUP(Table55[[#This Row],[Shortname]], Comp[], 31, FALSE)</f>
        <v>0</v>
      </c>
    </row>
    <row r="224" spans="1:32" x14ac:dyDescent="0.3">
      <c r="A224" s="7" t="s">
        <v>5111</v>
      </c>
      <c r="B224" t="s">
        <v>5113</v>
      </c>
      <c r="C224" s="3" t="s">
        <v>3245</v>
      </c>
      <c r="D224">
        <v>1170</v>
      </c>
      <c r="E224">
        <v>1442</v>
      </c>
      <c r="H224" s="14">
        <f>VLOOKUP(Table55[[#This Row],[Shortname]], Comp[], 7, FALSE)</f>
        <v>20</v>
      </c>
      <c r="I224">
        <f>VLOOKUP(Table55[[#This Row],[Shortname]], Comp[], 8, FALSE)</f>
        <v>60</v>
      </c>
      <c r="J224">
        <f>VLOOKUP(Table55[[#This Row],[Shortname]], Comp[], 9, FALSE)</f>
        <v>10</v>
      </c>
      <c r="K224">
        <f>VLOOKUP(Table55[[#This Row],[Shortname]], Comp[], 10, FALSE)</f>
        <v>0</v>
      </c>
      <c r="L224">
        <f>VLOOKUP(Table55[[#This Row],[Shortname]], Comp[], 11, FALSE)</f>
        <v>10</v>
      </c>
      <c r="M224">
        <f>VLOOKUP(Table55[[#This Row],[Shortname]], Comp[],12, FALSE)</f>
        <v>0</v>
      </c>
      <c r="N224">
        <f>VLOOKUP(Table55[[#This Row],[Shortname]], Comp[], 13, FALSE)</f>
        <v>0</v>
      </c>
      <c r="O224">
        <f>VLOOKUP(Table55[[#This Row],[Shortname]], Comp[], 14, FALSE)</f>
        <v>0</v>
      </c>
      <c r="P224">
        <f>VLOOKUP(Table55[[#This Row],[Shortname]], Comp[], 15, FALSE)</f>
        <v>0</v>
      </c>
      <c r="Q224">
        <f>VLOOKUP(Table55[[#This Row],[Shortname]], Comp[], 16, FALSE)</f>
        <v>0</v>
      </c>
      <c r="R224">
        <f>VLOOKUP(Table55[[#This Row],[Shortname]], Comp[], 17, FALSE)</f>
        <v>0</v>
      </c>
      <c r="S224">
        <f>VLOOKUP(Table55[[#This Row],[Shortname]], Comp[], 18, FALSE)</f>
        <v>0</v>
      </c>
      <c r="T224">
        <f>VLOOKUP(Table55[[#This Row],[Shortname]], Comp[], 19, FALSE)</f>
        <v>0</v>
      </c>
      <c r="U224">
        <f>VLOOKUP(Table55[[#This Row],[Shortname]], Comp[], 20, FALSE)</f>
        <v>0</v>
      </c>
      <c r="V224">
        <f>VLOOKUP(Table55[[#This Row],[Shortname]], Comp[], 21, FALSE)</f>
        <v>0</v>
      </c>
      <c r="W224">
        <f>VLOOKUP(Table55[[#This Row],[Shortname]], Comp[], 22, FALSE)</f>
        <v>0</v>
      </c>
      <c r="X224">
        <f>VLOOKUP(Table55[[#This Row],[Shortname]], Comp[], 23, FALSE)</f>
        <v>0</v>
      </c>
      <c r="Y224">
        <f>VLOOKUP(Table55[[#This Row],[Shortname]], Comp[], 24, FALSE)</f>
        <v>0</v>
      </c>
      <c r="Z224">
        <f>VLOOKUP(Table55[[#This Row],[Shortname]], Comp[], 25, FALSE)</f>
        <v>0</v>
      </c>
      <c r="AA224">
        <f>VLOOKUP(Table55[[#This Row],[Shortname]], Comp[], 26, FALSE)</f>
        <v>0</v>
      </c>
      <c r="AB224">
        <f>VLOOKUP(Table55[[#This Row],[Shortname]], Comp[], 27, FALSE)</f>
        <v>0</v>
      </c>
      <c r="AC224">
        <f>VLOOKUP(Table55[[#This Row],[Shortname]], Comp[], 28, FALSE)</f>
        <v>0</v>
      </c>
      <c r="AD224">
        <f>VLOOKUP(Table55[[#This Row],[Shortname]], Comp[], 29, FALSE)</f>
        <v>0</v>
      </c>
      <c r="AE224">
        <f>VLOOKUP(Table55[[#This Row],[Shortname]], Comp[], 30, FALSE)</f>
        <v>0</v>
      </c>
      <c r="AF224">
        <f>VLOOKUP(Table55[[#This Row],[Shortname]], Comp[], 31, FALSE)</f>
        <v>0</v>
      </c>
    </row>
    <row r="225" spans="1:32" x14ac:dyDescent="0.3">
      <c r="A225" s="7" t="s">
        <v>5106</v>
      </c>
      <c r="B225" t="s">
        <v>5108</v>
      </c>
      <c r="C225" s="3" t="s">
        <v>3245</v>
      </c>
      <c r="D225">
        <v>1150</v>
      </c>
      <c r="E225">
        <v>1439</v>
      </c>
      <c r="H225" s="14">
        <f>VLOOKUP(Table55[[#This Row],[Shortname]], Comp[], 7, FALSE)</f>
        <v>30</v>
      </c>
      <c r="I225">
        <f>VLOOKUP(Table55[[#This Row],[Shortname]], Comp[], 8, FALSE)</f>
        <v>50</v>
      </c>
      <c r="J225">
        <f>VLOOKUP(Table55[[#This Row],[Shortname]], Comp[], 9, FALSE)</f>
        <v>10</v>
      </c>
      <c r="K225">
        <f>VLOOKUP(Table55[[#This Row],[Shortname]], Comp[], 10, FALSE)</f>
        <v>0</v>
      </c>
      <c r="L225">
        <f>VLOOKUP(Table55[[#This Row],[Shortname]], Comp[], 11, FALSE)</f>
        <v>10</v>
      </c>
      <c r="M225">
        <f>VLOOKUP(Table55[[#This Row],[Shortname]], Comp[],12, FALSE)</f>
        <v>0</v>
      </c>
      <c r="N225">
        <f>VLOOKUP(Table55[[#This Row],[Shortname]], Comp[], 13, FALSE)</f>
        <v>0</v>
      </c>
      <c r="O225">
        <f>VLOOKUP(Table55[[#This Row],[Shortname]], Comp[], 14, FALSE)</f>
        <v>0</v>
      </c>
      <c r="P225">
        <f>VLOOKUP(Table55[[#This Row],[Shortname]], Comp[], 15, FALSE)</f>
        <v>0</v>
      </c>
      <c r="Q225">
        <f>VLOOKUP(Table55[[#This Row],[Shortname]], Comp[], 16, FALSE)</f>
        <v>0</v>
      </c>
      <c r="R225">
        <f>VLOOKUP(Table55[[#This Row],[Shortname]], Comp[], 17, FALSE)</f>
        <v>0</v>
      </c>
      <c r="S225">
        <f>VLOOKUP(Table55[[#This Row],[Shortname]], Comp[], 18, FALSE)</f>
        <v>0</v>
      </c>
      <c r="T225">
        <f>VLOOKUP(Table55[[#This Row],[Shortname]], Comp[], 19, FALSE)</f>
        <v>0</v>
      </c>
      <c r="U225">
        <f>VLOOKUP(Table55[[#This Row],[Shortname]], Comp[], 20, FALSE)</f>
        <v>0</v>
      </c>
      <c r="V225">
        <f>VLOOKUP(Table55[[#This Row],[Shortname]], Comp[], 21, FALSE)</f>
        <v>0</v>
      </c>
      <c r="W225">
        <f>VLOOKUP(Table55[[#This Row],[Shortname]], Comp[], 22, FALSE)</f>
        <v>0</v>
      </c>
      <c r="X225">
        <f>VLOOKUP(Table55[[#This Row],[Shortname]], Comp[], 23, FALSE)</f>
        <v>0</v>
      </c>
      <c r="Y225">
        <f>VLOOKUP(Table55[[#This Row],[Shortname]], Comp[], 24, FALSE)</f>
        <v>0</v>
      </c>
      <c r="Z225">
        <f>VLOOKUP(Table55[[#This Row],[Shortname]], Comp[], 25, FALSE)</f>
        <v>0</v>
      </c>
      <c r="AA225">
        <f>VLOOKUP(Table55[[#This Row],[Shortname]], Comp[], 26, FALSE)</f>
        <v>0</v>
      </c>
      <c r="AB225">
        <f>VLOOKUP(Table55[[#This Row],[Shortname]], Comp[], 27, FALSE)</f>
        <v>0</v>
      </c>
      <c r="AC225">
        <f>VLOOKUP(Table55[[#This Row],[Shortname]], Comp[], 28, FALSE)</f>
        <v>0</v>
      </c>
      <c r="AD225">
        <f>VLOOKUP(Table55[[#This Row],[Shortname]], Comp[], 29, FALSE)</f>
        <v>0</v>
      </c>
      <c r="AE225">
        <f>VLOOKUP(Table55[[#This Row],[Shortname]], Comp[], 30, FALSE)</f>
        <v>0</v>
      </c>
      <c r="AF225">
        <f>VLOOKUP(Table55[[#This Row],[Shortname]], Comp[], 31, FALSE)</f>
        <v>0</v>
      </c>
    </row>
    <row r="226" spans="1:32" x14ac:dyDescent="0.3">
      <c r="A226" s="7" t="s">
        <v>3318</v>
      </c>
      <c r="B226" s="7" t="s">
        <v>3320</v>
      </c>
      <c r="C226" t="s">
        <v>6626</v>
      </c>
      <c r="D226">
        <v>1123</v>
      </c>
      <c r="E226">
        <v>1439</v>
      </c>
      <c r="F226">
        <v>1439</v>
      </c>
      <c r="H226" s="14">
        <f>VLOOKUP(Table55[[#This Row],[Shortname]], Comp[], 7, FALSE)</f>
        <v>40</v>
      </c>
      <c r="I226">
        <f>VLOOKUP(Table55[[#This Row],[Shortname]], Comp[], 8, FALSE)</f>
        <v>40</v>
      </c>
      <c r="J226">
        <f>VLOOKUP(Table55[[#This Row],[Shortname]], Comp[], 9, FALSE)</f>
        <v>10</v>
      </c>
      <c r="K226">
        <f>VLOOKUP(Table55[[#This Row],[Shortname]], Comp[], 10, FALSE)</f>
        <v>0</v>
      </c>
      <c r="L226">
        <f>VLOOKUP(Table55[[#This Row],[Shortname]], Comp[], 11, FALSE)</f>
        <v>10</v>
      </c>
      <c r="M226">
        <f>VLOOKUP(Table55[[#This Row],[Shortname]], Comp[],12, FALSE)</f>
        <v>0</v>
      </c>
      <c r="N226">
        <f>VLOOKUP(Table55[[#This Row],[Shortname]], Comp[], 13, FALSE)</f>
        <v>0</v>
      </c>
      <c r="O226">
        <f>VLOOKUP(Table55[[#This Row],[Shortname]], Comp[], 14, FALSE)</f>
        <v>0</v>
      </c>
      <c r="P226">
        <f>VLOOKUP(Table55[[#This Row],[Shortname]], Comp[], 15, FALSE)</f>
        <v>0</v>
      </c>
      <c r="Q226">
        <f>VLOOKUP(Table55[[#This Row],[Shortname]], Comp[], 16, FALSE)</f>
        <v>0</v>
      </c>
      <c r="R226">
        <f>VLOOKUP(Table55[[#This Row],[Shortname]], Comp[], 17, FALSE)</f>
        <v>0</v>
      </c>
      <c r="S226">
        <f>VLOOKUP(Table55[[#This Row],[Shortname]], Comp[], 18, FALSE)</f>
        <v>0</v>
      </c>
      <c r="T226">
        <f>VLOOKUP(Table55[[#This Row],[Shortname]], Comp[], 19, FALSE)</f>
        <v>0</v>
      </c>
      <c r="U226">
        <f>VLOOKUP(Table55[[#This Row],[Shortname]], Comp[], 20, FALSE)</f>
        <v>0</v>
      </c>
      <c r="V226">
        <f>VLOOKUP(Table55[[#This Row],[Shortname]], Comp[], 21, FALSE)</f>
        <v>0</v>
      </c>
      <c r="W226">
        <f>VLOOKUP(Table55[[#This Row],[Shortname]], Comp[], 22, FALSE)</f>
        <v>0</v>
      </c>
      <c r="X226">
        <f>VLOOKUP(Table55[[#This Row],[Shortname]], Comp[], 23, FALSE)</f>
        <v>0</v>
      </c>
      <c r="Y226">
        <f>VLOOKUP(Table55[[#This Row],[Shortname]], Comp[], 24, FALSE)</f>
        <v>0</v>
      </c>
      <c r="Z226">
        <f>VLOOKUP(Table55[[#This Row],[Shortname]], Comp[], 25, FALSE)</f>
        <v>0</v>
      </c>
      <c r="AA226">
        <f>VLOOKUP(Table55[[#This Row],[Shortname]], Comp[], 26, FALSE)</f>
        <v>0</v>
      </c>
      <c r="AB226">
        <f>VLOOKUP(Table55[[#This Row],[Shortname]], Comp[], 27, FALSE)</f>
        <v>0</v>
      </c>
      <c r="AC226">
        <f>VLOOKUP(Table55[[#This Row],[Shortname]], Comp[], 28, FALSE)</f>
        <v>0</v>
      </c>
      <c r="AD226">
        <f>VLOOKUP(Table55[[#This Row],[Shortname]], Comp[], 29, FALSE)</f>
        <v>0</v>
      </c>
      <c r="AE226">
        <f>VLOOKUP(Table55[[#This Row],[Shortname]], Comp[], 30, FALSE)</f>
        <v>0</v>
      </c>
      <c r="AF226">
        <f>VLOOKUP(Table55[[#This Row],[Shortname]], Comp[], 31, FALSE)</f>
        <v>0</v>
      </c>
    </row>
    <row r="227" spans="1:32" x14ac:dyDescent="0.3">
      <c r="A227" s="7" t="s">
        <v>3318</v>
      </c>
      <c r="B227" t="s">
        <v>5104</v>
      </c>
      <c r="C227" s="3" t="s">
        <v>3245</v>
      </c>
      <c r="D227">
        <v>1122</v>
      </c>
      <c r="E227">
        <v>1438</v>
      </c>
      <c r="H227" s="14">
        <f>VLOOKUP(Table55[[#This Row],[Shortname]], Comp[], 7, FALSE)</f>
        <v>40</v>
      </c>
      <c r="I227">
        <f>VLOOKUP(Table55[[#This Row],[Shortname]], Comp[], 8, FALSE)</f>
        <v>40</v>
      </c>
      <c r="J227">
        <f>VLOOKUP(Table55[[#This Row],[Shortname]], Comp[], 9, FALSE)</f>
        <v>10</v>
      </c>
      <c r="K227">
        <f>VLOOKUP(Table55[[#This Row],[Shortname]], Comp[], 10, FALSE)</f>
        <v>0</v>
      </c>
      <c r="L227">
        <f>VLOOKUP(Table55[[#This Row],[Shortname]], Comp[], 11, FALSE)</f>
        <v>10</v>
      </c>
      <c r="M227">
        <f>VLOOKUP(Table55[[#This Row],[Shortname]], Comp[],12, FALSE)</f>
        <v>0</v>
      </c>
      <c r="N227">
        <f>VLOOKUP(Table55[[#This Row],[Shortname]], Comp[], 13, FALSE)</f>
        <v>0</v>
      </c>
      <c r="O227">
        <f>VLOOKUP(Table55[[#This Row],[Shortname]], Comp[], 14, FALSE)</f>
        <v>0</v>
      </c>
      <c r="P227">
        <f>VLOOKUP(Table55[[#This Row],[Shortname]], Comp[], 15, FALSE)</f>
        <v>0</v>
      </c>
      <c r="Q227">
        <f>VLOOKUP(Table55[[#This Row],[Shortname]], Comp[], 16, FALSE)</f>
        <v>0</v>
      </c>
      <c r="R227">
        <f>VLOOKUP(Table55[[#This Row],[Shortname]], Comp[], 17, FALSE)</f>
        <v>0</v>
      </c>
      <c r="S227">
        <f>VLOOKUP(Table55[[#This Row],[Shortname]], Comp[], 18, FALSE)</f>
        <v>0</v>
      </c>
      <c r="T227">
        <f>VLOOKUP(Table55[[#This Row],[Shortname]], Comp[], 19, FALSE)</f>
        <v>0</v>
      </c>
      <c r="U227">
        <f>VLOOKUP(Table55[[#This Row],[Shortname]], Comp[], 20, FALSE)</f>
        <v>0</v>
      </c>
      <c r="V227">
        <f>VLOOKUP(Table55[[#This Row],[Shortname]], Comp[], 21, FALSE)</f>
        <v>0</v>
      </c>
      <c r="W227">
        <f>VLOOKUP(Table55[[#This Row],[Shortname]], Comp[], 22, FALSE)</f>
        <v>0</v>
      </c>
      <c r="X227">
        <f>VLOOKUP(Table55[[#This Row],[Shortname]], Comp[], 23, FALSE)</f>
        <v>0</v>
      </c>
      <c r="Y227">
        <f>VLOOKUP(Table55[[#This Row],[Shortname]], Comp[], 24, FALSE)</f>
        <v>0</v>
      </c>
      <c r="Z227">
        <f>VLOOKUP(Table55[[#This Row],[Shortname]], Comp[], 25, FALSE)</f>
        <v>0</v>
      </c>
      <c r="AA227">
        <f>VLOOKUP(Table55[[#This Row],[Shortname]], Comp[], 26, FALSE)</f>
        <v>0</v>
      </c>
      <c r="AB227">
        <f>VLOOKUP(Table55[[#This Row],[Shortname]], Comp[], 27, FALSE)</f>
        <v>0</v>
      </c>
      <c r="AC227">
        <f>VLOOKUP(Table55[[#This Row],[Shortname]], Comp[], 28, FALSE)</f>
        <v>0</v>
      </c>
      <c r="AD227">
        <f>VLOOKUP(Table55[[#This Row],[Shortname]], Comp[], 29, FALSE)</f>
        <v>0</v>
      </c>
      <c r="AE227">
        <f>VLOOKUP(Table55[[#This Row],[Shortname]], Comp[], 30, FALSE)</f>
        <v>0</v>
      </c>
      <c r="AF227">
        <f>VLOOKUP(Table55[[#This Row],[Shortname]], Comp[], 31, FALSE)</f>
        <v>0</v>
      </c>
    </row>
    <row r="228" spans="1:32" x14ac:dyDescent="0.3">
      <c r="A228" s="7" t="s">
        <v>5137</v>
      </c>
      <c r="B228" t="s">
        <v>5139</v>
      </c>
      <c r="C228" s="3" t="s">
        <v>3245</v>
      </c>
      <c r="D228">
        <v>1109</v>
      </c>
      <c r="E228">
        <v>1444</v>
      </c>
      <c r="H228" s="14">
        <f>VLOOKUP(Table55[[#This Row],[Shortname]], Comp[], 7, FALSE)</f>
        <v>32.5</v>
      </c>
      <c r="I228">
        <f>VLOOKUP(Table55[[#This Row],[Shortname]], Comp[], 8, FALSE)</f>
        <v>50</v>
      </c>
      <c r="J228">
        <f>VLOOKUP(Table55[[#This Row],[Shortname]], Comp[], 9, FALSE)</f>
        <v>10</v>
      </c>
      <c r="K228">
        <f>VLOOKUP(Table55[[#This Row],[Shortname]], Comp[], 10, FALSE)</f>
        <v>0</v>
      </c>
      <c r="L228">
        <f>VLOOKUP(Table55[[#This Row],[Shortname]], Comp[], 11, FALSE)</f>
        <v>7.5</v>
      </c>
      <c r="M228">
        <f>VLOOKUP(Table55[[#This Row],[Shortname]], Comp[],12, FALSE)</f>
        <v>0</v>
      </c>
      <c r="N228">
        <f>VLOOKUP(Table55[[#This Row],[Shortname]], Comp[], 13, FALSE)</f>
        <v>0</v>
      </c>
      <c r="O228">
        <f>VLOOKUP(Table55[[#This Row],[Shortname]], Comp[], 14, FALSE)</f>
        <v>0</v>
      </c>
      <c r="P228">
        <f>VLOOKUP(Table55[[#This Row],[Shortname]], Comp[], 15, FALSE)</f>
        <v>0</v>
      </c>
      <c r="Q228">
        <f>VLOOKUP(Table55[[#This Row],[Shortname]], Comp[], 16, FALSE)</f>
        <v>0</v>
      </c>
      <c r="R228">
        <f>VLOOKUP(Table55[[#This Row],[Shortname]], Comp[], 17, FALSE)</f>
        <v>0</v>
      </c>
      <c r="S228">
        <f>VLOOKUP(Table55[[#This Row],[Shortname]], Comp[], 18, FALSE)</f>
        <v>0</v>
      </c>
      <c r="T228">
        <f>VLOOKUP(Table55[[#This Row],[Shortname]], Comp[], 19, FALSE)</f>
        <v>0</v>
      </c>
      <c r="U228">
        <f>VLOOKUP(Table55[[#This Row],[Shortname]], Comp[], 20, FALSE)</f>
        <v>0</v>
      </c>
      <c r="V228">
        <f>VLOOKUP(Table55[[#This Row],[Shortname]], Comp[], 21, FALSE)</f>
        <v>0</v>
      </c>
      <c r="W228">
        <f>VLOOKUP(Table55[[#This Row],[Shortname]], Comp[], 22, FALSE)</f>
        <v>0</v>
      </c>
      <c r="X228">
        <f>VLOOKUP(Table55[[#This Row],[Shortname]], Comp[], 23, FALSE)</f>
        <v>0</v>
      </c>
      <c r="Y228">
        <f>VLOOKUP(Table55[[#This Row],[Shortname]], Comp[], 24, FALSE)</f>
        <v>0</v>
      </c>
      <c r="Z228">
        <f>VLOOKUP(Table55[[#This Row],[Shortname]], Comp[], 25, FALSE)</f>
        <v>0</v>
      </c>
      <c r="AA228">
        <f>VLOOKUP(Table55[[#This Row],[Shortname]], Comp[], 26, FALSE)</f>
        <v>0</v>
      </c>
      <c r="AB228">
        <f>VLOOKUP(Table55[[#This Row],[Shortname]], Comp[], 27, FALSE)</f>
        <v>0</v>
      </c>
      <c r="AC228">
        <f>VLOOKUP(Table55[[#This Row],[Shortname]], Comp[], 28, FALSE)</f>
        <v>0</v>
      </c>
      <c r="AD228">
        <f>VLOOKUP(Table55[[#This Row],[Shortname]], Comp[], 29, FALSE)</f>
        <v>0</v>
      </c>
      <c r="AE228">
        <f>VLOOKUP(Table55[[#This Row],[Shortname]], Comp[], 30, FALSE)</f>
        <v>0</v>
      </c>
      <c r="AF228">
        <f>VLOOKUP(Table55[[#This Row],[Shortname]], Comp[], 31, FALSE)</f>
        <v>0</v>
      </c>
    </row>
    <row r="229" spans="1:32" x14ac:dyDescent="0.3">
      <c r="A229" s="7" t="s">
        <v>3287</v>
      </c>
      <c r="B229" s="7" t="s">
        <v>3289</v>
      </c>
      <c r="C229" t="s">
        <v>6626</v>
      </c>
      <c r="D229">
        <v>1096</v>
      </c>
      <c r="E229">
        <v>1439</v>
      </c>
      <c r="F229">
        <v>1439</v>
      </c>
      <c r="H229" s="14">
        <f>VLOOKUP(Table55[[#This Row],[Shortname]], Comp[], 7, FALSE)</f>
        <v>50</v>
      </c>
      <c r="I229">
        <f>VLOOKUP(Table55[[#This Row],[Shortname]], Comp[], 8, FALSE)</f>
        <v>30</v>
      </c>
      <c r="J229">
        <f>VLOOKUP(Table55[[#This Row],[Shortname]], Comp[], 9, FALSE)</f>
        <v>10</v>
      </c>
      <c r="K229">
        <f>VLOOKUP(Table55[[#This Row],[Shortname]], Comp[], 10, FALSE)</f>
        <v>0</v>
      </c>
      <c r="L229">
        <f>VLOOKUP(Table55[[#This Row],[Shortname]], Comp[], 11, FALSE)</f>
        <v>10</v>
      </c>
      <c r="M229">
        <f>VLOOKUP(Table55[[#This Row],[Shortname]], Comp[],12, FALSE)</f>
        <v>0</v>
      </c>
      <c r="N229">
        <f>VLOOKUP(Table55[[#This Row],[Shortname]], Comp[], 13, FALSE)</f>
        <v>0</v>
      </c>
      <c r="O229">
        <f>VLOOKUP(Table55[[#This Row],[Shortname]], Comp[], 14, FALSE)</f>
        <v>0</v>
      </c>
      <c r="P229">
        <f>VLOOKUP(Table55[[#This Row],[Shortname]], Comp[], 15, FALSE)</f>
        <v>0</v>
      </c>
      <c r="Q229">
        <f>VLOOKUP(Table55[[#This Row],[Shortname]], Comp[], 16, FALSE)</f>
        <v>0</v>
      </c>
      <c r="R229">
        <f>VLOOKUP(Table55[[#This Row],[Shortname]], Comp[], 17, FALSE)</f>
        <v>0</v>
      </c>
      <c r="S229">
        <f>VLOOKUP(Table55[[#This Row],[Shortname]], Comp[], 18, FALSE)</f>
        <v>0</v>
      </c>
      <c r="T229">
        <f>VLOOKUP(Table55[[#This Row],[Shortname]], Comp[], 19, FALSE)</f>
        <v>0</v>
      </c>
      <c r="U229">
        <f>VLOOKUP(Table55[[#This Row],[Shortname]], Comp[], 20, FALSE)</f>
        <v>0</v>
      </c>
      <c r="V229">
        <f>VLOOKUP(Table55[[#This Row],[Shortname]], Comp[], 21, FALSE)</f>
        <v>0</v>
      </c>
      <c r="W229">
        <f>VLOOKUP(Table55[[#This Row],[Shortname]], Comp[], 22, FALSE)</f>
        <v>0</v>
      </c>
      <c r="X229">
        <f>VLOOKUP(Table55[[#This Row],[Shortname]], Comp[], 23, FALSE)</f>
        <v>0</v>
      </c>
      <c r="Y229">
        <f>VLOOKUP(Table55[[#This Row],[Shortname]], Comp[], 24, FALSE)</f>
        <v>0</v>
      </c>
      <c r="Z229">
        <f>VLOOKUP(Table55[[#This Row],[Shortname]], Comp[], 25, FALSE)</f>
        <v>0</v>
      </c>
      <c r="AA229">
        <f>VLOOKUP(Table55[[#This Row],[Shortname]], Comp[], 26, FALSE)</f>
        <v>0</v>
      </c>
      <c r="AB229">
        <f>VLOOKUP(Table55[[#This Row],[Shortname]], Comp[], 27, FALSE)</f>
        <v>0</v>
      </c>
      <c r="AC229">
        <f>VLOOKUP(Table55[[#This Row],[Shortname]], Comp[], 28, FALSE)</f>
        <v>0</v>
      </c>
      <c r="AD229">
        <f>VLOOKUP(Table55[[#This Row],[Shortname]], Comp[], 29, FALSE)</f>
        <v>0</v>
      </c>
      <c r="AE229">
        <f>VLOOKUP(Table55[[#This Row],[Shortname]], Comp[], 30, FALSE)</f>
        <v>0</v>
      </c>
      <c r="AF229">
        <f>VLOOKUP(Table55[[#This Row],[Shortname]], Comp[], 31, FALSE)</f>
        <v>0</v>
      </c>
    </row>
    <row r="230" spans="1:32" x14ac:dyDescent="0.3">
      <c r="A230" s="7" t="s">
        <v>3287</v>
      </c>
      <c r="B230" t="s">
        <v>5102</v>
      </c>
      <c r="C230" s="3" t="s">
        <v>3245</v>
      </c>
      <c r="D230">
        <v>1095</v>
      </c>
      <c r="E230">
        <v>1436</v>
      </c>
      <c r="H230" s="14">
        <f>VLOOKUP(Table55[[#This Row],[Shortname]], Comp[], 7, FALSE)</f>
        <v>50</v>
      </c>
      <c r="I230">
        <f>VLOOKUP(Table55[[#This Row],[Shortname]], Comp[], 8, FALSE)</f>
        <v>30</v>
      </c>
      <c r="J230">
        <f>VLOOKUP(Table55[[#This Row],[Shortname]], Comp[], 9, FALSE)</f>
        <v>10</v>
      </c>
      <c r="K230">
        <f>VLOOKUP(Table55[[#This Row],[Shortname]], Comp[], 10, FALSE)</f>
        <v>0</v>
      </c>
      <c r="L230">
        <f>VLOOKUP(Table55[[#This Row],[Shortname]], Comp[], 11, FALSE)</f>
        <v>10</v>
      </c>
      <c r="M230">
        <f>VLOOKUP(Table55[[#This Row],[Shortname]], Comp[],12, FALSE)</f>
        <v>0</v>
      </c>
      <c r="N230">
        <f>VLOOKUP(Table55[[#This Row],[Shortname]], Comp[], 13, FALSE)</f>
        <v>0</v>
      </c>
      <c r="O230">
        <f>VLOOKUP(Table55[[#This Row],[Shortname]], Comp[], 14, FALSE)</f>
        <v>0</v>
      </c>
      <c r="P230">
        <f>VLOOKUP(Table55[[#This Row],[Shortname]], Comp[], 15, FALSE)</f>
        <v>0</v>
      </c>
      <c r="Q230">
        <f>VLOOKUP(Table55[[#This Row],[Shortname]], Comp[], 16, FALSE)</f>
        <v>0</v>
      </c>
      <c r="R230">
        <f>VLOOKUP(Table55[[#This Row],[Shortname]], Comp[], 17, FALSE)</f>
        <v>0</v>
      </c>
      <c r="S230">
        <f>VLOOKUP(Table55[[#This Row],[Shortname]], Comp[], 18, FALSE)</f>
        <v>0</v>
      </c>
      <c r="T230">
        <f>VLOOKUP(Table55[[#This Row],[Shortname]], Comp[], 19, FALSE)</f>
        <v>0</v>
      </c>
      <c r="U230">
        <f>VLOOKUP(Table55[[#This Row],[Shortname]], Comp[], 20, FALSE)</f>
        <v>0</v>
      </c>
      <c r="V230">
        <f>VLOOKUP(Table55[[#This Row],[Shortname]], Comp[], 21, FALSE)</f>
        <v>0</v>
      </c>
      <c r="W230">
        <f>VLOOKUP(Table55[[#This Row],[Shortname]], Comp[], 22, FALSE)</f>
        <v>0</v>
      </c>
      <c r="X230">
        <f>VLOOKUP(Table55[[#This Row],[Shortname]], Comp[], 23, FALSE)</f>
        <v>0</v>
      </c>
      <c r="Y230">
        <f>VLOOKUP(Table55[[#This Row],[Shortname]], Comp[], 24, FALSE)</f>
        <v>0</v>
      </c>
      <c r="Z230">
        <f>VLOOKUP(Table55[[#This Row],[Shortname]], Comp[], 25, FALSE)</f>
        <v>0</v>
      </c>
      <c r="AA230">
        <f>VLOOKUP(Table55[[#This Row],[Shortname]], Comp[], 26, FALSE)</f>
        <v>0</v>
      </c>
      <c r="AB230">
        <f>VLOOKUP(Table55[[#This Row],[Shortname]], Comp[], 27, FALSE)</f>
        <v>0</v>
      </c>
      <c r="AC230">
        <f>VLOOKUP(Table55[[#This Row],[Shortname]], Comp[], 28, FALSE)</f>
        <v>0</v>
      </c>
      <c r="AD230">
        <f>VLOOKUP(Table55[[#This Row],[Shortname]], Comp[], 29, FALSE)</f>
        <v>0</v>
      </c>
      <c r="AE230">
        <f>VLOOKUP(Table55[[#This Row],[Shortname]], Comp[], 30, FALSE)</f>
        <v>0</v>
      </c>
      <c r="AF230">
        <f>VLOOKUP(Table55[[#This Row],[Shortname]], Comp[], 31, FALSE)</f>
        <v>0</v>
      </c>
    </row>
    <row r="231" spans="1:32" x14ac:dyDescent="0.3">
      <c r="A231" s="7" t="s">
        <v>3324</v>
      </c>
      <c r="B231" s="7" t="s">
        <v>3326</v>
      </c>
      <c r="C231" t="s">
        <v>6626</v>
      </c>
      <c r="D231">
        <v>1075</v>
      </c>
      <c r="E231">
        <v>1444</v>
      </c>
      <c r="F231">
        <v>1444</v>
      </c>
      <c r="H231" s="14">
        <f>VLOOKUP(Table55[[#This Row],[Shortname]], Comp[], 7, FALSE)</f>
        <v>42.5</v>
      </c>
      <c r="I231">
        <f>VLOOKUP(Table55[[#This Row],[Shortname]], Comp[], 8, FALSE)</f>
        <v>40</v>
      </c>
      <c r="J231">
        <f>VLOOKUP(Table55[[#This Row],[Shortname]], Comp[], 9, FALSE)</f>
        <v>10</v>
      </c>
      <c r="K231">
        <f>VLOOKUP(Table55[[#This Row],[Shortname]], Comp[], 10, FALSE)</f>
        <v>0</v>
      </c>
      <c r="L231">
        <f>VLOOKUP(Table55[[#This Row],[Shortname]], Comp[], 11, FALSE)</f>
        <v>7.5</v>
      </c>
      <c r="M231">
        <f>VLOOKUP(Table55[[#This Row],[Shortname]], Comp[],12, FALSE)</f>
        <v>0</v>
      </c>
      <c r="N231">
        <f>VLOOKUP(Table55[[#This Row],[Shortname]], Comp[], 13, FALSE)</f>
        <v>0</v>
      </c>
      <c r="O231">
        <f>VLOOKUP(Table55[[#This Row],[Shortname]], Comp[], 14, FALSE)</f>
        <v>0</v>
      </c>
      <c r="P231">
        <f>VLOOKUP(Table55[[#This Row],[Shortname]], Comp[], 15, FALSE)</f>
        <v>0</v>
      </c>
      <c r="Q231">
        <f>VLOOKUP(Table55[[#This Row],[Shortname]], Comp[], 16, FALSE)</f>
        <v>0</v>
      </c>
      <c r="R231">
        <f>VLOOKUP(Table55[[#This Row],[Shortname]], Comp[], 17, FALSE)</f>
        <v>0</v>
      </c>
      <c r="S231">
        <f>VLOOKUP(Table55[[#This Row],[Shortname]], Comp[], 18, FALSE)</f>
        <v>0</v>
      </c>
      <c r="T231">
        <f>VLOOKUP(Table55[[#This Row],[Shortname]], Comp[], 19, FALSE)</f>
        <v>0</v>
      </c>
      <c r="U231">
        <f>VLOOKUP(Table55[[#This Row],[Shortname]], Comp[], 20, FALSE)</f>
        <v>0</v>
      </c>
      <c r="V231">
        <f>VLOOKUP(Table55[[#This Row],[Shortname]], Comp[], 21, FALSE)</f>
        <v>0</v>
      </c>
      <c r="W231">
        <f>VLOOKUP(Table55[[#This Row],[Shortname]], Comp[], 22, FALSE)</f>
        <v>0</v>
      </c>
      <c r="X231">
        <f>VLOOKUP(Table55[[#This Row],[Shortname]], Comp[], 23, FALSE)</f>
        <v>0</v>
      </c>
      <c r="Y231">
        <f>VLOOKUP(Table55[[#This Row],[Shortname]], Comp[], 24, FALSE)</f>
        <v>0</v>
      </c>
      <c r="Z231">
        <f>VLOOKUP(Table55[[#This Row],[Shortname]], Comp[], 25, FALSE)</f>
        <v>0</v>
      </c>
      <c r="AA231">
        <f>VLOOKUP(Table55[[#This Row],[Shortname]], Comp[], 26, FALSE)</f>
        <v>0</v>
      </c>
      <c r="AB231">
        <f>VLOOKUP(Table55[[#This Row],[Shortname]], Comp[], 27, FALSE)</f>
        <v>0</v>
      </c>
      <c r="AC231">
        <f>VLOOKUP(Table55[[#This Row],[Shortname]], Comp[], 28, FALSE)</f>
        <v>0</v>
      </c>
      <c r="AD231">
        <f>VLOOKUP(Table55[[#This Row],[Shortname]], Comp[], 29, FALSE)</f>
        <v>0</v>
      </c>
      <c r="AE231">
        <f>VLOOKUP(Table55[[#This Row],[Shortname]], Comp[], 30, FALSE)</f>
        <v>0</v>
      </c>
      <c r="AF231">
        <f>VLOOKUP(Table55[[#This Row],[Shortname]], Comp[], 31, FALSE)</f>
        <v>0</v>
      </c>
    </row>
    <row r="232" spans="1:32" x14ac:dyDescent="0.3">
      <c r="A232" s="7" t="s">
        <v>3324</v>
      </c>
      <c r="B232" t="s">
        <v>5135</v>
      </c>
      <c r="C232" s="3" t="s">
        <v>3245</v>
      </c>
      <c r="D232">
        <v>1075</v>
      </c>
      <c r="E232">
        <v>1445</v>
      </c>
      <c r="H232" s="14">
        <f>VLOOKUP(Table55[[#This Row],[Shortname]], Comp[], 7, FALSE)</f>
        <v>42.5</v>
      </c>
      <c r="I232">
        <f>VLOOKUP(Table55[[#This Row],[Shortname]], Comp[], 8, FALSE)</f>
        <v>40</v>
      </c>
      <c r="J232">
        <f>VLOOKUP(Table55[[#This Row],[Shortname]], Comp[], 9, FALSE)</f>
        <v>10</v>
      </c>
      <c r="K232">
        <f>VLOOKUP(Table55[[#This Row],[Shortname]], Comp[], 10, FALSE)</f>
        <v>0</v>
      </c>
      <c r="L232">
        <f>VLOOKUP(Table55[[#This Row],[Shortname]], Comp[], 11, FALSE)</f>
        <v>7.5</v>
      </c>
      <c r="M232">
        <f>VLOOKUP(Table55[[#This Row],[Shortname]], Comp[],12, FALSE)</f>
        <v>0</v>
      </c>
      <c r="N232">
        <f>VLOOKUP(Table55[[#This Row],[Shortname]], Comp[], 13, FALSE)</f>
        <v>0</v>
      </c>
      <c r="O232">
        <f>VLOOKUP(Table55[[#This Row],[Shortname]], Comp[], 14, FALSE)</f>
        <v>0</v>
      </c>
      <c r="P232">
        <f>VLOOKUP(Table55[[#This Row],[Shortname]], Comp[], 15, FALSE)</f>
        <v>0</v>
      </c>
      <c r="Q232">
        <f>VLOOKUP(Table55[[#This Row],[Shortname]], Comp[], 16, FALSE)</f>
        <v>0</v>
      </c>
      <c r="R232">
        <f>VLOOKUP(Table55[[#This Row],[Shortname]], Comp[], 17, FALSE)</f>
        <v>0</v>
      </c>
      <c r="S232">
        <f>VLOOKUP(Table55[[#This Row],[Shortname]], Comp[], 18, FALSE)</f>
        <v>0</v>
      </c>
      <c r="T232">
        <f>VLOOKUP(Table55[[#This Row],[Shortname]], Comp[], 19, FALSE)</f>
        <v>0</v>
      </c>
      <c r="U232">
        <f>VLOOKUP(Table55[[#This Row],[Shortname]], Comp[], 20, FALSE)</f>
        <v>0</v>
      </c>
      <c r="V232">
        <f>VLOOKUP(Table55[[#This Row],[Shortname]], Comp[], 21, FALSE)</f>
        <v>0</v>
      </c>
      <c r="W232">
        <f>VLOOKUP(Table55[[#This Row],[Shortname]], Comp[], 22, FALSE)</f>
        <v>0</v>
      </c>
      <c r="X232">
        <f>VLOOKUP(Table55[[#This Row],[Shortname]], Comp[], 23, FALSE)</f>
        <v>0</v>
      </c>
      <c r="Y232">
        <f>VLOOKUP(Table55[[#This Row],[Shortname]], Comp[], 24, FALSE)</f>
        <v>0</v>
      </c>
      <c r="Z232">
        <f>VLOOKUP(Table55[[#This Row],[Shortname]], Comp[], 25, FALSE)</f>
        <v>0</v>
      </c>
      <c r="AA232">
        <f>VLOOKUP(Table55[[#This Row],[Shortname]], Comp[], 26, FALSE)</f>
        <v>0</v>
      </c>
      <c r="AB232">
        <f>VLOOKUP(Table55[[#This Row],[Shortname]], Comp[], 27, FALSE)</f>
        <v>0</v>
      </c>
      <c r="AC232">
        <f>VLOOKUP(Table55[[#This Row],[Shortname]], Comp[], 28, FALSE)</f>
        <v>0</v>
      </c>
      <c r="AD232">
        <f>VLOOKUP(Table55[[#This Row],[Shortname]], Comp[], 29, FALSE)</f>
        <v>0</v>
      </c>
      <c r="AE232">
        <f>VLOOKUP(Table55[[#This Row],[Shortname]], Comp[], 30, FALSE)</f>
        <v>0</v>
      </c>
      <c r="AF232">
        <f>VLOOKUP(Table55[[#This Row],[Shortname]], Comp[], 31, FALSE)</f>
        <v>0</v>
      </c>
    </row>
    <row r="233" spans="1:32" x14ac:dyDescent="0.3">
      <c r="A233" s="7" t="s">
        <v>3293</v>
      </c>
      <c r="B233" s="7" t="s">
        <v>3295</v>
      </c>
      <c r="C233" t="s">
        <v>6626</v>
      </c>
      <c r="D233">
        <v>1049</v>
      </c>
      <c r="E233">
        <v>1447</v>
      </c>
      <c r="F233">
        <v>1447</v>
      </c>
      <c r="H233" s="14">
        <f>VLOOKUP(Table55[[#This Row],[Shortname]], Comp[], 7, FALSE)</f>
        <v>52.5</v>
      </c>
      <c r="I233">
        <f>VLOOKUP(Table55[[#This Row],[Shortname]], Comp[], 8, FALSE)</f>
        <v>30</v>
      </c>
      <c r="J233">
        <f>VLOOKUP(Table55[[#This Row],[Shortname]], Comp[], 9, FALSE)</f>
        <v>10</v>
      </c>
      <c r="K233">
        <f>VLOOKUP(Table55[[#This Row],[Shortname]], Comp[], 10, FALSE)</f>
        <v>0</v>
      </c>
      <c r="L233">
        <f>VLOOKUP(Table55[[#This Row],[Shortname]], Comp[], 11, FALSE)</f>
        <v>7.5</v>
      </c>
      <c r="M233">
        <f>VLOOKUP(Table55[[#This Row],[Shortname]], Comp[],12, FALSE)</f>
        <v>0</v>
      </c>
      <c r="N233">
        <f>VLOOKUP(Table55[[#This Row],[Shortname]], Comp[], 13, FALSE)</f>
        <v>0</v>
      </c>
      <c r="O233">
        <f>VLOOKUP(Table55[[#This Row],[Shortname]], Comp[], 14, FALSE)</f>
        <v>0</v>
      </c>
      <c r="P233">
        <f>VLOOKUP(Table55[[#This Row],[Shortname]], Comp[], 15, FALSE)</f>
        <v>0</v>
      </c>
      <c r="Q233">
        <f>VLOOKUP(Table55[[#This Row],[Shortname]], Comp[], 16, FALSE)</f>
        <v>0</v>
      </c>
      <c r="R233">
        <f>VLOOKUP(Table55[[#This Row],[Shortname]], Comp[], 17, FALSE)</f>
        <v>0</v>
      </c>
      <c r="S233">
        <f>VLOOKUP(Table55[[#This Row],[Shortname]], Comp[], 18, FALSE)</f>
        <v>0</v>
      </c>
      <c r="T233">
        <f>VLOOKUP(Table55[[#This Row],[Shortname]], Comp[], 19, FALSE)</f>
        <v>0</v>
      </c>
      <c r="U233">
        <f>VLOOKUP(Table55[[#This Row],[Shortname]], Comp[], 20, FALSE)</f>
        <v>0</v>
      </c>
      <c r="V233">
        <f>VLOOKUP(Table55[[#This Row],[Shortname]], Comp[], 21, FALSE)</f>
        <v>0</v>
      </c>
      <c r="W233">
        <f>VLOOKUP(Table55[[#This Row],[Shortname]], Comp[], 22, FALSE)</f>
        <v>0</v>
      </c>
      <c r="X233">
        <f>VLOOKUP(Table55[[#This Row],[Shortname]], Comp[], 23, FALSE)</f>
        <v>0</v>
      </c>
      <c r="Y233">
        <f>VLOOKUP(Table55[[#This Row],[Shortname]], Comp[], 24, FALSE)</f>
        <v>0</v>
      </c>
      <c r="Z233">
        <f>VLOOKUP(Table55[[#This Row],[Shortname]], Comp[], 25, FALSE)</f>
        <v>0</v>
      </c>
      <c r="AA233">
        <f>VLOOKUP(Table55[[#This Row],[Shortname]], Comp[], 26, FALSE)</f>
        <v>0</v>
      </c>
      <c r="AB233">
        <f>VLOOKUP(Table55[[#This Row],[Shortname]], Comp[], 27, FALSE)</f>
        <v>0</v>
      </c>
      <c r="AC233">
        <f>VLOOKUP(Table55[[#This Row],[Shortname]], Comp[], 28, FALSE)</f>
        <v>0</v>
      </c>
      <c r="AD233">
        <f>VLOOKUP(Table55[[#This Row],[Shortname]], Comp[], 29, FALSE)</f>
        <v>0</v>
      </c>
      <c r="AE233">
        <f>VLOOKUP(Table55[[#This Row],[Shortname]], Comp[], 30, FALSE)</f>
        <v>0</v>
      </c>
      <c r="AF233">
        <f>VLOOKUP(Table55[[#This Row],[Shortname]], Comp[], 31, FALSE)</f>
        <v>0</v>
      </c>
    </row>
    <row r="234" spans="1:32" x14ac:dyDescent="0.3">
      <c r="A234" s="7" t="s">
        <v>3293</v>
      </c>
      <c r="B234" t="s">
        <v>5133</v>
      </c>
      <c r="C234" s="3" t="s">
        <v>3245</v>
      </c>
      <c r="D234">
        <v>1049</v>
      </c>
      <c r="E234">
        <v>1447</v>
      </c>
      <c r="H234" s="14">
        <f>VLOOKUP(Table55[[#This Row],[Shortname]], Comp[], 7, FALSE)</f>
        <v>52.5</v>
      </c>
      <c r="I234">
        <f>VLOOKUP(Table55[[#This Row],[Shortname]], Comp[], 8, FALSE)</f>
        <v>30</v>
      </c>
      <c r="J234">
        <f>VLOOKUP(Table55[[#This Row],[Shortname]], Comp[], 9, FALSE)</f>
        <v>10</v>
      </c>
      <c r="K234">
        <f>VLOOKUP(Table55[[#This Row],[Shortname]], Comp[], 10, FALSE)</f>
        <v>0</v>
      </c>
      <c r="L234">
        <f>VLOOKUP(Table55[[#This Row],[Shortname]], Comp[], 11, FALSE)</f>
        <v>7.5</v>
      </c>
      <c r="M234">
        <f>VLOOKUP(Table55[[#This Row],[Shortname]], Comp[],12, FALSE)</f>
        <v>0</v>
      </c>
      <c r="N234">
        <f>VLOOKUP(Table55[[#This Row],[Shortname]], Comp[], 13, FALSE)</f>
        <v>0</v>
      </c>
      <c r="O234">
        <f>VLOOKUP(Table55[[#This Row],[Shortname]], Comp[], 14, FALSE)</f>
        <v>0</v>
      </c>
      <c r="P234">
        <f>VLOOKUP(Table55[[#This Row],[Shortname]], Comp[], 15, FALSE)</f>
        <v>0</v>
      </c>
      <c r="Q234">
        <f>VLOOKUP(Table55[[#This Row],[Shortname]], Comp[], 16, FALSE)</f>
        <v>0</v>
      </c>
      <c r="R234">
        <f>VLOOKUP(Table55[[#This Row],[Shortname]], Comp[], 17, FALSE)</f>
        <v>0</v>
      </c>
      <c r="S234">
        <f>VLOOKUP(Table55[[#This Row],[Shortname]], Comp[], 18, FALSE)</f>
        <v>0</v>
      </c>
      <c r="T234">
        <f>VLOOKUP(Table55[[#This Row],[Shortname]], Comp[], 19, FALSE)</f>
        <v>0</v>
      </c>
      <c r="U234">
        <f>VLOOKUP(Table55[[#This Row],[Shortname]], Comp[], 20, FALSE)</f>
        <v>0</v>
      </c>
      <c r="V234">
        <f>VLOOKUP(Table55[[#This Row],[Shortname]], Comp[], 21, FALSE)</f>
        <v>0</v>
      </c>
      <c r="W234">
        <f>VLOOKUP(Table55[[#This Row],[Shortname]], Comp[], 22, FALSE)</f>
        <v>0</v>
      </c>
      <c r="X234">
        <f>VLOOKUP(Table55[[#This Row],[Shortname]], Comp[], 23, FALSE)</f>
        <v>0</v>
      </c>
      <c r="Y234">
        <f>VLOOKUP(Table55[[#This Row],[Shortname]], Comp[], 24, FALSE)</f>
        <v>0</v>
      </c>
      <c r="Z234">
        <f>VLOOKUP(Table55[[#This Row],[Shortname]], Comp[], 25, FALSE)</f>
        <v>0</v>
      </c>
      <c r="AA234">
        <f>VLOOKUP(Table55[[#This Row],[Shortname]], Comp[], 26, FALSE)</f>
        <v>0</v>
      </c>
      <c r="AB234">
        <f>VLOOKUP(Table55[[#This Row],[Shortname]], Comp[], 27, FALSE)</f>
        <v>0</v>
      </c>
      <c r="AC234">
        <f>VLOOKUP(Table55[[#This Row],[Shortname]], Comp[], 28, FALSE)</f>
        <v>0</v>
      </c>
      <c r="AD234">
        <f>VLOOKUP(Table55[[#This Row],[Shortname]], Comp[], 29, FALSE)</f>
        <v>0</v>
      </c>
      <c r="AE234">
        <f>VLOOKUP(Table55[[#This Row],[Shortname]], Comp[], 30, FALSE)</f>
        <v>0</v>
      </c>
      <c r="AF234">
        <f>VLOOKUP(Table55[[#This Row],[Shortname]], Comp[], 31, FALSE)</f>
        <v>0</v>
      </c>
    </row>
    <row r="235" spans="1:32" x14ac:dyDescent="0.3">
      <c r="A235" s="7" t="s">
        <v>5082</v>
      </c>
      <c r="B235" t="s">
        <v>5084</v>
      </c>
      <c r="C235" s="3" t="s">
        <v>3245</v>
      </c>
      <c r="D235" s="6">
        <v>1031</v>
      </c>
      <c r="E235">
        <v>1440</v>
      </c>
      <c r="H235" s="14">
        <f>VLOOKUP(Table55[[#This Row],[Shortname]], Comp[], 7, FALSE)</f>
        <v>80</v>
      </c>
      <c r="I235">
        <f>VLOOKUP(Table55[[#This Row],[Shortname]], Comp[], 8, FALSE)</f>
        <v>0</v>
      </c>
      <c r="J235">
        <f>VLOOKUP(Table55[[#This Row],[Shortname]], Comp[], 9, FALSE)</f>
        <v>10</v>
      </c>
      <c r="K235">
        <f>VLOOKUP(Table55[[#This Row],[Shortname]], Comp[], 10, FALSE)</f>
        <v>0</v>
      </c>
      <c r="L235">
        <f>VLOOKUP(Table55[[#This Row],[Shortname]], Comp[], 11, FALSE)</f>
        <v>10</v>
      </c>
      <c r="M235">
        <f>VLOOKUP(Table55[[#This Row],[Shortname]], Comp[],12, FALSE)</f>
        <v>0</v>
      </c>
      <c r="N235">
        <f>VLOOKUP(Table55[[#This Row],[Shortname]], Comp[], 13, FALSE)</f>
        <v>0</v>
      </c>
      <c r="O235">
        <f>VLOOKUP(Table55[[#This Row],[Shortname]], Comp[], 14, FALSE)</f>
        <v>0</v>
      </c>
      <c r="P235">
        <f>VLOOKUP(Table55[[#This Row],[Shortname]], Comp[], 15, FALSE)</f>
        <v>0</v>
      </c>
      <c r="Q235">
        <f>VLOOKUP(Table55[[#This Row],[Shortname]], Comp[], 16, FALSE)</f>
        <v>0</v>
      </c>
      <c r="R235">
        <f>VLOOKUP(Table55[[#This Row],[Shortname]], Comp[], 17, FALSE)</f>
        <v>0</v>
      </c>
      <c r="S235">
        <f>VLOOKUP(Table55[[#This Row],[Shortname]], Comp[], 18, FALSE)</f>
        <v>0</v>
      </c>
      <c r="T235">
        <f>VLOOKUP(Table55[[#This Row],[Shortname]], Comp[], 19, FALSE)</f>
        <v>0</v>
      </c>
      <c r="U235">
        <f>VLOOKUP(Table55[[#This Row],[Shortname]], Comp[], 20, FALSE)</f>
        <v>0</v>
      </c>
      <c r="V235">
        <f>VLOOKUP(Table55[[#This Row],[Shortname]], Comp[], 21, FALSE)</f>
        <v>0</v>
      </c>
      <c r="W235">
        <f>VLOOKUP(Table55[[#This Row],[Shortname]], Comp[], 22, FALSE)</f>
        <v>0</v>
      </c>
      <c r="X235">
        <f>VLOOKUP(Table55[[#This Row],[Shortname]], Comp[], 23, FALSE)</f>
        <v>0</v>
      </c>
      <c r="Y235">
        <f>VLOOKUP(Table55[[#This Row],[Shortname]], Comp[], 24, FALSE)</f>
        <v>0</v>
      </c>
      <c r="Z235">
        <f>VLOOKUP(Table55[[#This Row],[Shortname]], Comp[], 25, FALSE)</f>
        <v>0</v>
      </c>
      <c r="AA235">
        <f>VLOOKUP(Table55[[#This Row],[Shortname]], Comp[], 26, FALSE)</f>
        <v>0</v>
      </c>
      <c r="AB235">
        <f>VLOOKUP(Table55[[#This Row],[Shortname]], Comp[], 27, FALSE)</f>
        <v>0</v>
      </c>
      <c r="AC235">
        <f>VLOOKUP(Table55[[#This Row],[Shortname]], Comp[], 28, FALSE)</f>
        <v>0</v>
      </c>
      <c r="AD235">
        <f>VLOOKUP(Table55[[#This Row],[Shortname]], Comp[], 29, FALSE)</f>
        <v>0</v>
      </c>
      <c r="AE235">
        <f>VLOOKUP(Table55[[#This Row],[Shortname]], Comp[], 30, FALSE)</f>
        <v>0</v>
      </c>
      <c r="AF235">
        <f>VLOOKUP(Table55[[#This Row],[Shortname]], Comp[], 31, FALSE)</f>
        <v>0</v>
      </c>
    </row>
    <row r="236" spans="1:32" x14ac:dyDescent="0.3">
      <c r="A236" s="7" t="s">
        <v>3355</v>
      </c>
      <c r="B236" s="7" t="s">
        <v>3355</v>
      </c>
      <c r="C236" t="s">
        <v>6745</v>
      </c>
      <c r="D236">
        <v>944.7</v>
      </c>
      <c r="E236">
        <v>1428.5</v>
      </c>
      <c r="F236">
        <v>1463.7</v>
      </c>
      <c r="H236" s="14">
        <f>VLOOKUP(Table55[[#This Row],[Shortname]], Comp[], 7, FALSE)</f>
        <v>96.5</v>
      </c>
      <c r="I236">
        <f>VLOOKUP(Table55[[#This Row],[Shortname]], Comp[], 8, FALSE)</f>
        <v>0</v>
      </c>
      <c r="J236">
        <f>VLOOKUP(Table55[[#This Row],[Shortname]], Comp[], 9, FALSE)</f>
        <v>0</v>
      </c>
      <c r="K236">
        <f>VLOOKUP(Table55[[#This Row],[Shortname]], Comp[], 10, FALSE)</f>
        <v>0</v>
      </c>
      <c r="L236">
        <f>VLOOKUP(Table55[[#This Row],[Shortname]], Comp[], 11, FALSE)</f>
        <v>0</v>
      </c>
      <c r="M236">
        <f>VLOOKUP(Table55[[#This Row],[Shortname]], Comp[],12, FALSE)</f>
        <v>0</v>
      </c>
      <c r="N236">
        <f>VLOOKUP(Table55[[#This Row],[Shortname]], Comp[], 13, FALSE)</f>
        <v>3.5</v>
      </c>
      <c r="O236">
        <f>VLOOKUP(Table55[[#This Row],[Shortname]], Comp[], 14, FALSE)</f>
        <v>0</v>
      </c>
      <c r="P236">
        <f>VLOOKUP(Table55[[#This Row],[Shortname]], Comp[], 15, FALSE)</f>
        <v>0</v>
      </c>
      <c r="Q236">
        <f>VLOOKUP(Table55[[#This Row],[Shortname]], Comp[], 16, FALSE)</f>
        <v>0</v>
      </c>
      <c r="R236">
        <f>VLOOKUP(Table55[[#This Row],[Shortname]], Comp[], 17, FALSE)</f>
        <v>0</v>
      </c>
      <c r="S236">
        <f>VLOOKUP(Table55[[#This Row],[Shortname]], Comp[], 18, FALSE)</f>
        <v>0</v>
      </c>
      <c r="T236">
        <f>VLOOKUP(Table55[[#This Row],[Shortname]], Comp[], 19, FALSE)</f>
        <v>0</v>
      </c>
      <c r="U236">
        <f>VLOOKUP(Table55[[#This Row],[Shortname]], Comp[], 20, FALSE)</f>
        <v>0</v>
      </c>
      <c r="V236">
        <f>VLOOKUP(Table55[[#This Row],[Shortname]], Comp[], 21, FALSE)</f>
        <v>0</v>
      </c>
      <c r="W236">
        <f>VLOOKUP(Table55[[#This Row],[Shortname]], Comp[], 22, FALSE)</f>
        <v>0</v>
      </c>
      <c r="X236">
        <f>VLOOKUP(Table55[[#This Row],[Shortname]], Comp[], 23, FALSE)</f>
        <v>0</v>
      </c>
      <c r="Y236">
        <f>VLOOKUP(Table55[[#This Row],[Shortname]], Comp[], 24, FALSE)</f>
        <v>0</v>
      </c>
      <c r="Z236">
        <f>VLOOKUP(Table55[[#This Row],[Shortname]], Comp[], 25, FALSE)</f>
        <v>0</v>
      </c>
      <c r="AA236">
        <f>VLOOKUP(Table55[[#This Row],[Shortname]], Comp[], 26, FALSE)</f>
        <v>0</v>
      </c>
      <c r="AB236">
        <f>VLOOKUP(Table55[[#This Row],[Shortname]], Comp[], 27, FALSE)</f>
        <v>0</v>
      </c>
      <c r="AC236">
        <f>VLOOKUP(Table55[[#This Row],[Shortname]], Comp[], 28, FALSE)</f>
        <v>0</v>
      </c>
      <c r="AD236">
        <f>VLOOKUP(Table55[[#This Row],[Shortname]], Comp[], 29, FALSE)</f>
        <v>0</v>
      </c>
      <c r="AE236">
        <f>VLOOKUP(Table55[[#This Row],[Shortname]], Comp[], 30, FALSE)</f>
        <v>0</v>
      </c>
      <c r="AF236">
        <f>VLOOKUP(Table55[[#This Row],[Shortname]], Comp[], 31, FALSE)</f>
        <v>0</v>
      </c>
    </row>
    <row r="237" spans="1:32" x14ac:dyDescent="0.3">
      <c r="A237" s="7" t="s">
        <v>3446</v>
      </c>
      <c r="B237" s="7" t="s">
        <v>3448</v>
      </c>
      <c r="C237" t="s">
        <v>6747</v>
      </c>
      <c r="D237">
        <v>1233</v>
      </c>
      <c r="E237">
        <v>1324</v>
      </c>
      <c r="H237" s="14">
        <f>VLOOKUP(Table55[[#This Row],[Shortname]], Comp[], 7, FALSE)</f>
        <v>40.000000000000007</v>
      </c>
      <c r="I237">
        <f>VLOOKUP(Table55[[#This Row],[Shortname]], Comp[], 8, FALSE)</f>
        <v>34.799999999999997</v>
      </c>
      <c r="J237">
        <f>VLOOKUP(Table55[[#This Row],[Shortname]], Comp[], 9, FALSE)</f>
        <v>14</v>
      </c>
      <c r="K237">
        <f>VLOOKUP(Table55[[#This Row],[Shortname]], Comp[], 10, FALSE)</f>
        <v>3.3</v>
      </c>
      <c r="L237">
        <f>VLOOKUP(Table55[[#This Row],[Shortname]], Comp[], 11, FALSE)</f>
        <v>4.4000000000000004</v>
      </c>
      <c r="M237">
        <f>VLOOKUP(Table55[[#This Row],[Shortname]], Comp[],12, FALSE)</f>
        <v>0</v>
      </c>
      <c r="N237">
        <f>VLOOKUP(Table55[[#This Row],[Shortname]], Comp[], 13, FALSE)</f>
        <v>3.5</v>
      </c>
      <c r="O237">
        <f>VLOOKUP(Table55[[#This Row],[Shortname]], Comp[], 14, FALSE)</f>
        <v>0</v>
      </c>
      <c r="P237">
        <f>VLOOKUP(Table55[[#This Row],[Shortname]], Comp[], 15, FALSE)</f>
        <v>0</v>
      </c>
      <c r="Q237">
        <f>VLOOKUP(Table55[[#This Row],[Shortname]], Comp[], 16, FALSE)</f>
        <v>0</v>
      </c>
      <c r="R237">
        <f>VLOOKUP(Table55[[#This Row],[Shortname]], Comp[], 17, FALSE)</f>
        <v>0</v>
      </c>
      <c r="S237">
        <f>VLOOKUP(Table55[[#This Row],[Shortname]], Comp[], 18, FALSE)</f>
        <v>0</v>
      </c>
      <c r="T237">
        <f>VLOOKUP(Table55[[#This Row],[Shortname]], Comp[], 19, FALSE)</f>
        <v>0</v>
      </c>
      <c r="U237">
        <f>VLOOKUP(Table55[[#This Row],[Shortname]], Comp[], 20, FALSE)</f>
        <v>0</v>
      </c>
      <c r="V237">
        <f>VLOOKUP(Table55[[#This Row],[Shortname]], Comp[], 21, FALSE)</f>
        <v>0</v>
      </c>
      <c r="W237">
        <f>VLOOKUP(Table55[[#This Row],[Shortname]], Comp[], 22, FALSE)</f>
        <v>0</v>
      </c>
      <c r="X237">
        <f>VLOOKUP(Table55[[#This Row],[Shortname]], Comp[], 23, FALSE)</f>
        <v>0</v>
      </c>
      <c r="Y237">
        <f>VLOOKUP(Table55[[#This Row],[Shortname]], Comp[], 24, FALSE)</f>
        <v>0</v>
      </c>
      <c r="Z237">
        <f>VLOOKUP(Table55[[#This Row],[Shortname]], Comp[], 25, FALSE)</f>
        <v>0</v>
      </c>
      <c r="AA237">
        <f>VLOOKUP(Table55[[#This Row],[Shortname]], Comp[], 26, FALSE)</f>
        <v>0</v>
      </c>
      <c r="AB237">
        <f>VLOOKUP(Table55[[#This Row],[Shortname]], Comp[], 27, FALSE)</f>
        <v>0</v>
      </c>
      <c r="AC237">
        <f>VLOOKUP(Table55[[#This Row],[Shortname]], Comp[], 28, FALSE)</f>
        <v>0</v>
      </c>
      <c r="AD237">
        <f>VLOOKUP(Table55[[#This Row],[Shortname]], Comp[], 29, FALSE)</f>
        <v>0</v>
      </c>
      <c r="AE237">
        <f>VLOOKUP(Table55[[#This Row],[Shortname]], Comp[], 30, FALSE)</f>
        <v>0</v>
      </c>
      <c r="AF237">
        <f>VLOOKUP(Table55[[#This Row],[Shortname]], Comp[], 31, FALSE)</f>
        <v>0</v>
      </c>
    </row>
    <row r="238" spans="1:32" x14ac:dyDescent="0.3">
      <c r="A238" s="7" t="s">
        <v>3463</v>
      </c>
      <c r="B238" s="7" t="s">
        <v>3465</v>
      </c>
      <c r="C238" t="s">
        <v>6747</v>
      </c>
      <c r="D238">
        <v>1196</v>
      </c>
      <c r="E238">
        <v>1340</v>
      </c>
      <c r="H238" s="14">
        <f>VLOOKUP(Table55[[#This Row],[Shortname]], Comp[], 7, FALSE)</f>
        <v>39.799999999999997</v>
      </c>
      <c r="I238">
        <f>VLOOKUP(Table55[[#This Row],[Shortname]], Comp[], 8, FALSE)</f>
        <v>37.1</v>
      </c>
      <c r="J238">
        <f>VLOOKUP(Table55[[#This Row],[Shortname]], Comp[], 9, FALSE)</f>
        <v>13.1</v>
      </c>
      <c r="K238">
        <f>VLOOKUP(Table55[[#This Row],[Shortname]], Comp[], 10, FALSE)</f>
        <v>5.5</v>
      </c>
      <c r="L238">
        <f>VLOOKUP(Table55[[#This Row],[Shortname]], Comp[], 11, FALSE)</f>
        <v>1</v>
      </c>
      <c r="M238">
        <f>VLOOKUP(Table55[[#This Row],[Shortname]], Comp[],12, FALSE)</f>
        <v>0</v>
      </c>
      <c r="N238">
        <f>VLOOKUP(Table55[[#This Row],[Shortname]], Comp[], 13, FALSE)</f>
        <v>3.5</v>
      </c>
      <c r="O238">
        <f>VLOOKUP(Table55[[#This Row],[Shortname]], Comp[], 14, FALSE)</f>
        <v>0</v>
      </c>
      <c r="P238">
        <f>VLOOKUP(Table55[[#This Row],[Shortname]], Comp[], 15, FALSE)</f>
        <v>0</v>
      </c>
      <c r="Q238">
        <f>VLOOKUP(Table55[[#This Row],[Shortname]], Comp[], 16, FALSE)</f>
        <v>0</v>
      </c>
      <c r="R238">
        <f>VLOOKUP(Table55[[#This Row],[Shortname]], Comp[], 17, FALSE)</f>
        <v>0</v>
      </c>
      <c r="S238">
        <f>VLOOKUP(Table55[[#This Row],[Shortname]], Comp[], 18, FALSE)</f>
        <v>0</v>
      </c>
      <c r="T238">
        <f>VLOOKUP(Table55[[#This Row],[Shortname]], Comp[], 19, FALSE)</f>
        <v>0</v>
      </c>
      <c r="U238">
        <f>VLOOKUP(Table55[[#This Row],[Shortname]], Comp[], 20, FALSE)</f>
        <v>0</v>
      </c>
      <c r="V238">
        <f>VLOOKUP(Table55[[#This Row],[Shortname]], Comp[], 21, FALSE)</f>
        <v>0</v>
      </c>
      <c r="W238">
        <f>VLOOKUP(Table55[[#This Row],[Shortname]], Comp[], 22, FALSE)</f>
        <v>0</v>
      </c>
      <c r="X238">
        <f>VLOOKUP(Table55[[#This Row],[Shortname]], Comp[], 23, FALSE)</f>
        <v>0</v>
      </c>
      <c r="Y238">
        <f>VLOOKUP(Table55[[#This Row],[Shortname]], Comp[], 24, FALSE)</f>
        <v>0</v>
      </c>
      <c r="Z238">
        <f>VLOOKUP(Table55[[#This Row],[Shortname]], Comp[], 25, FALSE)</f>
        <v>0</v>
      </c>
      <c r="AA238">
        <f>VLOOKUP(Table55[[#This Row],[Shortname]], Comp[], 26, FALSE)</f>
        <v>0</v>
      </c>
      <c r="AB238">
        <f>VLOOKUP(Table55[[#This Row],[Shortname]], Comp[], 27, FALSE)</f>
        <v>0</v>
      </c>
      <c r="AC238">
        <f>VLOOKUP(Table55[[#This Row],[Shortname]], Comp[], 28, FALSE)</f>
        <v>0</v>
      </c>
      <c r="AD238">
        <f>VLOOKUP(Table55[[#This Row],[Shortname]], Comp[], 29, FALSE)</f>
        <v>0</v>
      </c>
      <c r="AE238">
        <f>VLOOKUP(Table55[[#This Row],[Shortname]], Comp[], 30, FALSE)</f>
        <v>0</v>
      </c>
      <c r="AF238">
        <f>VLOOKUP(Table55[[#This Row],[Shortname]], Comp[], 31, FALSE)</f>
        <v>0</v>
      </c>
    </row>
    <row r="239" spans="1:32" x14ac:dyDescent="0.3">
      <c r="A239" s="7" t="s">
        <v>3454</v>
      </c>
      <c r="B239" s="7" t="s">
        <v>3456</v>
      </c>
      <c r="C239" t="s">
        <v>6747</v>
      </c>
      <c r="D239">
        <v>1191</v>
      </c>
      <c r="E239">
        <v>1331</v>
      </c>
      <c r="H239" s="14">
        <f>VLOOKUP(Table55[[#This Row],[Shortname]], Comp[], 7, FALSE)</f>
        <v>40.4</v>
      </c>
      <c r="I239">
        <f>VLOOKUP(Table55[[#This Row],[Shortname]], Comp[], 8, FALSE)</f>
        <v>35.200000000000003</v>
      </c>
      <c r="J239">
        <f>VLOOKUP(Table55[[#This Row],[Shortname]], Comp[], 9, FALSE)</f>
        <v>14.3</v>
      </c>
      <c r="K239">
        <f>VLOOKUP(Table55[[#This Row],[Shortname]], Comp[], 10, FALSE)</f>
        <v>5.9</v>
      </c>
      <c r="L239">
        <f>VLOOKUP(Table55[[#This Row],[Shortname]], Comp[], 11, FALSE)</f>
        <v>1</v>
      </c>
      <c r="M239">
        <f>VLOOKUP(Table55[[#This Row],[Shortname]], Comp[],12, FALSE)</f>
        <v>0</v>
      </c>
      <c r="N239">
        <f>VLOOKUP(Table55[[#This Row],[Shortname]], Comp[], 13, FALSE)</f>
        <v>3.2</v>
      </c>
      <c r="O239">
        <f>VLOOKUP(Table55[[#This Row],[Shortname]], Comp[], 14, FALSE)</f>
        <v>0</v>
      </c>
      <c r="P239">
        <f>VLOOKUP(Table55[[#This Row],[Shortname]], Comp[], 15, FALSE)</f>
        <v>0</v>
      </c>
      <c r="Q239">
        <f>VLOOKUP(Table55[[#This Row],[Shortname]], Comp[], 16, FALSE)</f>
        <v>0</v>
      </c>
      <c r="R239">
        <f>VLOOKUP(Table55[[#This Row],[Shortname]], Comp[], 17, FALSE)</f>
        <v>0</v>
      </c>
      <c r="S239">
        <f>VLOOKUP(Table55[[#This Row],[Shortname]], Comp[], 18, FALSE)</f>
        <v>0</v>
      </c>
      <c r="T239">
        <f>VLOOKUP(Table55[[#This Row],[Shortname]], Comp[], 19, FALSE)</f>
        <v>0</v>
      </c>
      <c r="U239">
        <f>VLOOKUP(Table55[[#This Row],[Shortname]], Comp[], 20, FALSE)</f>
        <v>0</v>
      </c>
      <c r="V239">
        <f>VLOOKUP(Table55[[#This Row],[Shortname]], Comp[], 21, FALSE)</f>
        <v>0</v>
      </c>
      <c r="W239">
        <f>VLOOKUP(Table55[[#This Row],[Shortname]], Comp[], 22, FALSE)</f>
        <v>0</v>
      </c>
      <c r="X239">
        <f>VLOOKUP(Table55[[#This Row],[Shortname]], Comp[], 23, FALSE)</f>
        <v>0</v>
      </c>
      <c r="Y239">
        <f>VLOOKUP(Table55[[#This Row],[Shortname]], Comp[], 24, FALSE)</f>
        <v>0</v>
      </c>
      <c r="Z239">
        <f>VLOOKUP(Table55[[#This Row],[Shortname]], Comp[], 25, FALSE)</f>
        <v>0</v>
      </c>
      <c r="AA239">
        <f>VLOOKUP(Table55[[#This Row],[Shortname]], Comp[], 26, FALSE)</f>
        <v>0</v>
      </c>
      <c r="AB239">
        <f>VLOOKUP(Table55[[#This Row],[Shortname]], Comp[], 27, FALSE)</f>
        <v>0</v>
      </c>
      <c r="AC239">
        <f>VLOOKUP(Table55[[#This Row],[Shortname]], Comp[], 28, FALSE)</f>
        <v>0</v>
      </c>
      <c r="AD239">
        <f>VLOOKUP(Table55[[#This Row],[Shortname]], Comp[], 29, FALSE)</f>
        <v>0</v>
      </c>
      <c r="AE239">
        <f>VLOOKUP(Table55[[#This Row],[Shortname]], Comp[], 30, FALSE)</f>
        <v>0</v>
      </c>
      <c r="AF239">
        <f>VLOOKUP(Table55[[#This Row],[Shortname]], Comp[], 31, FALSE)</f>
        <v>0</v>
      </c>
    </row>
    <row r="240" spans="1:32" x14ac:dyDescent="0.3">
      <c r="A240" s="7" t="s">
        <v>1735</v>
      </c>
      <c r="B240" s="7" t="s">
        <v>2354</v>
      </c>
      <c r="C240" s="11" t="s">
        <v>6748</v>
      </c>
      <c r="D240">
        <v>1079</v>
      </c>
      <c r="E240">
        <v>1407</v>
      </c>
      <c r="F240">
        <v>1451</v>
      </c>
      <c r="H240" s="14">
        <f>VLOOKUP(Table55[[#This Row],[Shortname]], Comp[], 7, FALSE)</f>
        <v>79.400000000000006</v>
      </c>
      <c r="I240">
        <f>VLOOKUP(Table55[[#This Row],[Shortname]], Comp[], 8, FALSE)</f>
        <v>0</v>
      </c>
      <c r="J240">
        <f>VLOOKUP(Table55[[#This Row],[Shortname]], Comp[], 9, FALSE)</f>
        <v>8.8000000000000007</v>
      </c>
      <c r="K240">
        <f>VLOOKUP(Table55[[#This Row],[Shortname]], Comp[], 10, FALSE)</f>
        <v>0</v>
      </c>
      <c r="L240">
        <f>VLOOKUP(Table55[[#This Row],[Shortname]], Comp[], 11, FALSE)</f>
        <v>9.8000000000000007</v>
      </c>
      <c r="M240">
        <f>VLOOKUP(Table55[[#This Row],[Shortname]], Comp[],12, FALSE)</f>
        <v>0</v>
      </c>
      <c r="N240">
        <f>VLOOKUP(Table55[[#This Row],[Shortname]], Comp[], 13, FALSE)</f>
        <v>2</v>
      </c>
      <c r="O240">
        <f>VLOOKUP(Table55[[#This Row],[Shortname]], Comp[], 14, FALSE)</f>
        <v>0</v>
      </c>
      <c r="P240">
        <f>VLOOKUP(Table55[[#This Row],[Shortname]], Comp[], 15, FALSE)</f>
        <v>0</v>
      </c>
      <c r="Q240">
        <f>VLOOKUP(Table55[[#This Row],[Shortname]], Comp[], 16, FALSE)</f>
        <v>0</v>
      </c>
      <c r="R240">
        <f>VLOOKUP(Table55[[#This Row],[Shortname]], Comp[], 17, FALSE)</f>
        <v>0</v>
      </c>
      <c r="S240">
        <f>VLOOKUP(Table55[[#This Row],[Shortname]], Comp[], 18, FALSE)</f>
        <v>0</v>
      </c>
      <c r="T240">
        <f>VLOOKUP(Table55[[#This Row],[Shortname]], Comp[], 19, FALSE)</f>
        <v>0</v>
      </c>
      <c r="U240">
        <f>VLOOKUP(Table55[[#This Row],[Shortname]], Comp[], 20, FALSE)</f>
        <v>0</v>
      </c>
      <c r="V240">
        <f>VLOOKUP(Table55[[#This Row],[Shortname]], Comp[], 21, FALSE)</f>
        <v>0</v>
      </c>
      <c r="W240">
        <f>VLOOKUP(Table55[[#This Row],[Shortname]], Comp[], 22, FALSE)</f>
        <v>0</v>
      </c>
      <c r="X240">
        <f>VLOOKUP(Table55[[#This Row],[Shortname]], Comp[], 23, FALSE)</f>
        <v>0</v>
      </c>
      <c r="Y240">
        <f>VLOOKUP(Table55[[#This Row],[Shortname]], Comp[], 24, FALSE)</f>
        <v>0</v>
      </c>
      <c r="Z240">
        <f>VLOOKUP(Table55[[#This Row],[Shortname]], Comp[], 25, FALSE)</f>
        <v>0</v>
      </c>
      <c r="AA240">
        <f>VLOOKUP(Table55[[#This Row],[Shortname]], Comp[], 26, FALSE)</f>
        <v>0</v>
      </c>
      <c r="AB240">
        <f>VLOOKUP(Table55[[#This Row],[Shortname]], Comp[], 27, FALSE)</f>
        <v>0</v>
      </c>
      <c r="AC240">
        <f>VLOOKUP(Table55[[#This Row],[Shortname]], Comp[], 28, FALSE)</f>
        <v>0</v>
      </c>
      <c r="AD240">
        <f>VLOOKUP(Table55[[#This Row],[Shortname]], Comp[], 29, FALSE)</f>
        <v>0</v>
      </c>
      <c r="AE240">
        <f>VLOOKUP(Table55[[#This Row],[Shortname]], Comp[], 30, FALSE)</f>
        <v>0</v>
      </c>
      <c r="AF240">
        <f>VLOOKUP(Table55[[#This Row],[Shortname]], Comp[], 31, FALSE)</f>
        <v>0</v>
      </c>
    </row>
    <row r="241" spans="1:32" x14ac:dyDescent="0.3">
      <c r="A241" s="7" t="s">
        <v>1728</v>
      </c>
      <c r="B241" s="7" t="s">
        <v>2150</v>
      </c>
      <c r="C241" s="11" t="s">
        <v>6748</v>
      </c>
      <c r="D241">
        <v>1033</v>
      </c>
      <c r="E241">
        <v>1451</v>
      </c>
      <c r="F241">
        <v>1477</v>
      </c>
      <c r="H241" s="14">
        <f>VLOOKUP(Table55[[#This Row],[Shortname]], Comp[], 7, FALSE)</f>
        <v>79.900000000000006</v>
      </c>
      <c r="I241">
        <f>VLOOKUP(Table55[[#This Row],[Shortname]], Comp[], 8, FALSE)</f>
        <v>0</v>
      </c>
      <c r="J241">
        <f>VLOOKUP(Table55[[#This Row],[Shortname]], Comp[], 9, FALSE)</f>
        <v>9.4</v>
      </c>
      <c r="K241">
        <f>VLOOKUP(Table55[[#This Row],[Shortname]], Comp[], 10, FALSE)</f>
        <v>0</v>
      </c>
      <c r="L241">
        <f>VLOOKUP(Table55[[#This Row],[Shortname]], Comp[], 11, FALSE)</f>
        <v>10.7</v>
      </c>
      <c r="M241">
        <f>VLOOKUP(Table55[[#This Row],[Shortname]], Comp[],12, FALSE)</f>
        <v>0</v>
      </c>
      <c r="N241">
        <f>VLOOKUP(Table55[[#This Row],[Shortname]], Comp[], 13, FALSE)</f>
        <v>0</v>
      </c>
      <c r="O241">
        <f>VLOOKUP(Table55[[#This Row],[Shortname]], Comp[], 14, FALSE)</f>
        <v>0</v>
      </c>
      <c r="P241">
        <f>VLOOKUP(Table55[[#This Row],[Shortname]], Comp[], 15, FALSE)</f>
        <v>0</v>
      </c>
      <c r="Q241">
        <f>VLOOKUP(Table55[[#This Row],[Shortname]], Comp[], 16, FALSE)</f>
        <v>0</v>
      </c>
      <c r="R241">
        <f>VLOOKUP(Table55[[#This Row],[Shortname]], Comp[], 17, FALSE)</f>
        <v>0</v>
      </c>
      <c r="S241">
        <f>VLOOKUP(Table55[[#This Row],[Shortname]], Comp[], 18, FALSE)</f>
        <v>0</v>
      </c>
      <c r="T241">
        <f>VLOOKUP(Table55[[#This Row],[Shortname]], Comp[], 19, FALSE)</f>
        <v>0</v>
      </c>
      <c r="U241">
        <f>VLOOKUP(Table55[[#This Row],[Shortname]], Comp[], 20, FALSE)</f>
        <v>0</v>
      </c>
      <c r="V241">
        <f>VLOOKUP(Table55[[#This Row],[Shortname]], Comp[], 21, FALSE)</f>
        <v>0</v>
      </c>
      <c r="W241">
        <f>VLOOKUP(Table55[[#This Row],[Shortname]], Comp[], 22, FALSE)</f>
        <v>0</v>
      </c>
      <c r="X241">
        <f>VLOOKUP(Table55[[#This Row],[Shortname]], Comp[], 23, FALSE)</f>
        <v>0</v>
      </c>
      <c r="Y241">
        <f>VLOOKUP(Table55[[#This Row],[Shortname]], Comp[], 24, FALSE)</f>
        <v>0</v>
      </c>
      <c r="Z241">
        <f>VLOOKUP(Table55[[#This Row],[Shortname]], Comp[], 25, FALSE)</f>
        <v>0</v>
      </c>
      <c r="AA241">
        <f>VLOOKUP(Table55[[#This Row],[Shortname]], Comp[], 26, FALSE)</f>
        <v>0</v>
      </c>
      <c r="AB241">
        <f>VLOOKUP(Table55[[#This Row],[Shortname]], Comp[], 27, FALSE)</f>
        <v>0</v>
      </c>
      <c r="AC241">
        <f>VLOOKUP(Table55[[#This Row],[Shortname]], Comp[], 28, FALSE)</f>
        <v>0</v>
      </c>
      <c r="AD241">
        <f>VLOOKUP(Table55[[#This Row],[Shortname]], Comp[], 29, FALSE)</f>
        <v>0</v>
      </c>
      <c r="AE241">
        <f>VLOOKUP(Table55[[#This Row],[Shortname]], Comp[], 30, FALSE)</f>
        <v>0</v>
      </c>
      <c r="AF241">
        <f>VLOOKUP(Table55[[#This Row],[Shortname]], Comp[], 31, FALSE)</f>
        <v>0</v>
      </c>
    </row>
    <row r="242" spans="1:32" x14ac:dyDescent="0.3">
      <c r="A242" s="7" t="s">
        <v>3182</v>
      </c>
      <c r="B242" s="7" t="s">
        <v>97</v>
      </c>
      <c r="C242" s="11" t="s">
        <v>6748</v>
      </c>
      <c r="D242">
        <v>1000</v>
      </c>
      <c r="E242">
        <v>1458</v>
      </c>
      <c r="F242">
        <v>1490</v>
      </c>
      <c r="H242" s="14">
        <f>VLOOKUP(Table55[[#This Row],[Shortname]], Comp[], 7, FALSE)</f>
        <v>81.8</v>
      </c>
      <c r="I242">
        <f>VLOOKUP(Table55[[#This Row],[Shortname]], Comp[], 8, FALSE)</f>
        <v>0</v>
      </c>
      <c r="J242">
        <f>VLOOKUP(Table55[[#This Row],[Shortname]], Comp[], 9, FALSE)</f>
        <v>9.1999999999999993</v>
      </c>
      <c r="K242">
        <f>VLOOKUP(Table55[[#This Row],[Shortname]], Comp[], 10, FALSE)</f>
        <v>0</v>
      </c>
      <c r="L242">
        <f>VLOOKUP(Table55[[#This Row],[Shortname]], Comp[], 11, FALSE)</f>
        <v>9</v>
      </c>
      <c r="M242">
        <f>VLOOKUP(Table55[[#This Row],[Shortname]], Comp[],12, FALSE)</f>
        <v>0</v>
      </c>
      <c r="N242">
        <f>VLOOKUP(Table55[[#This Row],[Shortname]], Comp[], 13, FALSE)</f>
        <v>0</v>
      </c>
      <c r="O242">
        <f>VLOOKUP(Table55[[#This Row],[Shortname]], Comp[], 14, FALSE)</f>
        <v>0</v>
      </c>
      <c r="P242">
        <f>VLOOKUP(Table55[[#This Row],[Shortname]], Comp[], 15, FALSE)</f>
        <v>0</v>
      </c>
      <c r="Q242">
        <f>VLOOKUP(Table55[[#This Row],[Shortname]], Comp[], 16, FALSE)</f>
        <v>0</v>
      </c>
      <c r="R242">
        <f>VLOOKUP(Table55[[#This Row],[Shortname]], Comp[], 17, FALSE)</f>
        <v>0</v>
      </c>
      <c r="S242">
        <f>VLOOKUP(Table55[[#This Row],[Shortname]], Comp[], 18, FALSE)</f>
        <v>0</v>
      </c>
      <c r="T242">
        <f>VLOOKUP(Table55[[#This Row],[Shortname]], Comp[], 19, FALSE)</f>
        <v>0</v>
      </c>
      <c r="U242">
        <f>VLOOKUP(Table55[[#This Row],[Shortname]], Comp[], 20, FALSE)</f>
        <v>0</v>
      </c>
      <c r="V242">
        <f>VLOOKUP(Table55[[#This Row],[Shortname]], Comp[], 21, FALSE)</f>
        <v>0</v>
      </c>
      <c r="W242">
        <f>VLOOKUP(Table55[[#This Row],[Shortname]], Comp[], 22, FALSE)</f>
        <v>0</v>
      </c>
      <c r="X242">
        <f>VLOOKUP(Table55[[#This Row],[Shortname]], Comp[], 23, FALSE)</f>
        <v>0</v>
      </c>
      <c r="Y242">
        <f>VLOOKUP(Table55[[#This Row],[Shortname]], Comp[], 24, FALSE)</f>
        <v>0</v>
      </c>
      <c r="Z242">
        <f>VLOOKUP(Table55[[#This Row],[Shortname]], Comp[], 25, FALSE)</f>
        <v>0</v>
      </c>
      <c r="AA242">
        <f>VLOOKUP(Table55[[#This Row],[Shortname]], Comp[], 26, FALSE)</f>
        <v>0</v>
      </c>
      <c r="AB242">
        <f>VLOOKUP(Table55[[#This Row],[Shortname]], Comp[], 27, FALSE)</f>
        <v>0</v>
      </c>
      <c r="AC242">
        <f>VLOOKUP(Table55[[#This Row],[Shortname]], Comp[], 28, FALSE)</f>
        <v>0</v>
      </c>
      <c r="AD242">
        <f>VLOOKUP(Table55[[#This Row],[Shortname]], Comp[], 29, FALSE)</f>
        <v>0</v>
      </c>
      <c r="AE242">
        <f>VLOOKUP(Table55[[#This Row],[Shortname]], Comp[], 30, FALSE)</f>
        <v>0</v>
      </c>
      <c r="AF242">
        <f>VLOOKUP(Table55[[#This Row],[Shortname]], Comp[], 31, FALSE)</f>
        <v>0</v>
      </c>
    </row>
    <row r="243" spans="1:32" x14ac:dyDescent="0.3">
      <c r="A243" s="7" t="s">
        <v>2901</v>
      </c>
      <c r="B243" s="7" t="s">
        <v>5256</v>
      </c>
      <c r="C243" s="11" t="s">
        <v>6748</v>
      </c>
      <c r="D243">
        <v>994</v>
      </c>
      <c r="E243">
        <v>1469</v>
      </c>
      <c r="F243">
        <v>1493</v>
      </c>
      <c r="H243" s="14">
        <f>VLOOKUP(Table55[[#This Row],[Shortname]], Comp[], 7, FALSE)</f>
        <v>79.400000000000006</v>
      </c>
      <c r="I243">
        <f>VLOOKUP(Table55[[#This Row],[Shortname]], Comp[], 8, FALSE)</f>
        <v>0</v>
      </c>
      <c r="J243">
        <f>VLOOKUP(Table55[[#This Row],[Shortname]], Comp[], 9, FALSE)</f>
        <v>8.8000000000000007</v>
      </c>
      <c r="K243">
        <f>VLOOKUP(Table55[[#This Row],[Shortname]], Comp[], 10, FALSE)</f>
        <v>0</v>
      </c>
      <c r="L243">
        <f>VLOOKUP(Table55[[#This Row],[Shortname]], Comp[], 11, FALSE)</f>
        <v>9.8000000000000007</v>
      </c>
      <c r="M243">
        <f>VLOOKUP(Table55[[#This Row],[Shortname]], Comp[],12, FALSE)</f>
        <v>0</v>
      </c>
      <c r="N243">
        <f>VLOOKUP(Table55[[#This Row],[Shortname]], Comp[], 13, FALSE)</f>
        <v>0</v>
      </c>
      <c r="O243">
        <f>VLOOKUP(Table55[[#This Row],[Shortname]], Comp[], 14, FALSE)</f>
        <v>0</v>
      </c>
      <c r="P243">
        <f>VLOOKUP(Table55[[#This Row],[Shortname]], Comp[], 15, FALSE)</f>
        <v>0</v>
      </c>
      <c r="Q243">
        <f>VLOOKUP(Table55[[#This Row],[Shortname]], Comp[], 16, FALSE)</f>
        <v>0</v>
      </c>
      <c r="R243">
        <f>VLOOKUP(Table55[[#This Row],[Shortname]], Comp[], 17, FALSE)</f>
        <v>0</v>
      </c>
      <c r="S243">
        <f>VLOOKUP(Table55[[#This Row],[Shortname]], Comp[], 18, FALSE)</f>
        <v>0</v>
      </c>
      <c r="T243">
        <f>VLOOKUP(Table55[[#This Row],[Shortname]], Comp[], 19, FALSE)</f>
        <v>0</v>
      </c>
      <c r="U243">
        <f>VLOOKUP(Table55[[#This Row],[Shortname]], Comp[], 20, FALSE)</f>
        <v>0</v>
      </c>
      <c r="V243">
        <f>VLOOKUP(Table55[[#This Row],[Shortname]], Comp[], 21, FALSE)</f>
        <v>2</v>
      </c>
      <c r="W243">
        <f>VLOOKUP(Table55[[#This Row],[Shortname]], Comp[], 22, FALSE)</f>
        <v>0</v>
      </c>
      <c r="X243">
        <f>VLOOKUP(Table55[[#This Row],[Shortname]], Comp[], 23, FALSE)</f>
        <v>0</v>
      </c>
      <c r="Y243">
        <f>VLOOKUP(Table55[[#This Row],[Shortname]], Comp[], 24, FALSE)</f>
        <v>0</v>
      </c>
      <c r="Z243">
        <f>VLOOKUP(Table55[[#This Row],[Shortname]], Comp[], 25, FALSE)</f>
        <v>0</v>
      </c>
      <c r="AA243">
        <f>VLOOKUP(Table55[[#This Row],[Shortname]], Comp[], 26, FALSE)</f>
        <v>0</v>
      </c>
      <c r="AB243">
        <f>VLOOKUP(Table55[[#This Row],[Shortname]], Comp[], 27, FALSE)</f>
        <v>0</v>
      </c>
      <c r="AC243">
        <f>VLOOKUP(Table55[[#This Row],[Shortname]], Comp[], 28, FALSE)</f>
        <v>0</v>
      </c>
      <c r="AD243">
        <f>VLOOKUP(Table55[[#This Row],[Shortname]], Comp[], 29, FALSE)</f>
        <v>0</v>
      </c>
      <c r="AE243">
        <f>VLOOKUP(Table55[[#This Row],[Shortname]], Comp[], 30, FALSE)</f>
        <v>0</v>
      </c>
      <c r="AF243">
        <f>VLOOKUP(Table55[[#This Row],[Shortname]], Comp[], 31, FALSE)</f>
        <v>0</v>
      </c>
    </row>
    <row r="244" spans="1:32" x14ac:dyDescent="0.3">
      <c r="A244" s="7" t="s">
        <v>3482</v>
      </c>
      <c r="B244" s="7" t="s">
        <v>3483</v>
      </c>
      <c r="C244" s="11" t="s">
        <v>6748</v>
      </c>
      <c r="D244">
        <v>960</v>
      </c>
      <c r="E244">
        <v>1412</v>
      </c>
      <c r="F244">
        <v>1453</v>
      </c>
      <c r="H244" s="14">
        <f>VLOOKUP(Table55[[#This Row],[Shortname]], Comp[], 7, FALSE)</f>
        <v>77.900000000000006</v>
      </c>
      <c r="I244">
        <f>VLOOKUP(Table55[[#This Row],[Shortname]], Comp[], 8, FALSE)</f>
        <v>0</v>
      </c>
      <c r="J244">
        <f>VLOOKUP(Table55[[#This Row],[Shortname]], Comp[], 9, FALSE)</f>
        <v>7.8</v>
      </c>
      <c r="K244">
        <f>VLOOKUP(Table55[[#This Row],[Shortname]], Comp[], 10, FALSE)</f>
        <v>4.5</v>
      </c>
      <c r="L244">
        <f>VLOOKUP(Table55[[#This Row],[Shortname]], Comp[], 11, FALSE)</f>
        <v>7.8</v>
      </c>
      <c r="M244">
        <f>VLOOKUP(Table55[[#This Row],[Shortname]], Comp[],12, FALSE)</f>
        <v>0</v>
      </c>
      <c r="N244">
        <f>VLOOKUP(Table55[[#This Row],[Shortname]], Comp[], 13, FALSE)</f>
        <v>2</v>
      </c>
      <c r="O244">
        <f>VLOOKUP(Table55[[#This Row],[Shortname]], Comp[], 14, FALSE)</f>
        <v>0</v>
      </c>
      <c r="P244">
        <f>VLOOKUP(Table55[[#This Row],[Shortname]], Comp[], 15, FALSE)</f>
        <v>0</v>
      </c>
      <c r="Q244">
        <f>VLOOKUP(Table55[[#This Row],[Shortname]], Comp[], 16, FALSE)</f>
        <v>0</v>
      </c>
      <c r="R244">
        <f>VLOOKUP(Table55[[#This Row],[Shortname]], Comp[], 17, FALSE)</f>
        <v>0</v>
      </c>
      <c r="S244">
        <f>VLOOKUP(Table55[[#This Row],[Shortname]], Comp[], 18, FALSE)</f>
        <v>0</v>
      </c>
      <c r="T244">
        <f>VLOOKUP(Table55[[#This Row],[Shortname]], Comp[], 19, FALSE)</f>
        <v>0</v>
      </c>
      <c r="U244">
        <f>VLOOKUP(Table55[[#This Row],[Shortname]], Comp[], 20, FALSE)</f>
        <v>0</v>
      </c>
      <c r="V244">
        <f>VLOOKUP(Table55[[#This Row],[Shortname]], Comp[], 21, FALSE)</f>
        <v>0</v>
      </c>
      <c r="W244">
        <f>VLOOKUP(Table55[[#This Row],[Shortname]], Comp[], 22, FALSE)</f>
        <v>0</v>
      </c>
      <c r="X244">
        <f>VLOOKUP(Table55[[#This Row],[Shortname]], Comp[], 23, FALSE)</f>
        <v>0</v>
      </c>
      <c r="Y244">
        <f>VLOOKUP(Table55[[#This Row],[Shortname]], Comp[], 24, FALSE)</f>
        <v>0</v>
      </c>
      <c r="Z244">
        <f>VLOOKUP(Table55[[#This Row],[Shortname]], Comp[], 25, FALSE)</f>
        <v>0</v>
      </c>
      <c r="AA244">
        <f>VLOOKUP(Table55[[#This Row],[Shortname]], Comp[], 26, FALSE)</f>
        <v>0</v>
      </c>
      <c r="AB244">
        <f>VLOOKUP(Table55[[#This Row],[Shortname]], Comp[], 27, FALSE)</f>
        <v>0</v>
      </c>
      <c r="AC244">
        <f>VLOOKUP(Table55[[#This Row],[Shortname]], Comp[], 28, FALSE)</f>
        <v>0</v>
      </c>
      <c r="AD244">
        <f>VLOOKUP(Table55[[#This Row],[Shortname]], Comp[], 29, FALSE)</f>
        <v>0</v>
      </c>
      <c r="AE244">
        <f>VLOOKUP(Table55[[#This Row],[Shortname]], Comp[], 30, FALSE)</f>
        <v>0</v>
      </c>
      <c r="AF244">
        <f>VLOOKUP(Table55[[#This Row],[Shortname]], Comp[], 31, FALSE)</f>
        <v>0</v>
      </c>
    </row>
    <row r="245" spans="1:32" x14ac:dyDescent="0.3">
      <c r="A245" s="7" t="s">
        <v>3497</v>
      </c>
      <c r="B245" s="7" t="s">
        <v>3498</v>
      </c>
      <c r="C245" t="s">
        <v>6749</v>
      </c>
      <c r="D245">
        <v>1079</v>
      </c>
      <c r="E245">
        <v>1407</v>
      </c>
      <c r="F245">
        <v>1451</v>
      </c>
      <c r="H245" s="14">
        <f>VLOOKUP(Table55[[#This Row],[Shortname]], Comp[], 7, FALSE)</f>
        <v>80</v>
      </c>
      <c r="I245">
        <f>VLOOKUP(Table55[[#This Row],[Shortname]], Comp[], 8, FALSE)</f>
        <v>0</v>
      </c>
      <c r="J245">
        <f>VLOOKUP(Table55[[#This Row],[Shortname]], Comp[], 9, FALSE)</f>
        <v>9</v>
      </c>
      <c r="K245">
        <f>VLOOKUP(Table55[[#This Row],[Shortname]], Comp[], 10, FALSE)</f>
        <v>0</v>
      </c>
      <c r="L245">
        <f>VLOOKUP(Table55[[#This Row],[Shortname]], Comp[], 11, FALSE)</f>
        <v>9</v>
      </c>
      <c r="M245">
        <f>VLOOKUP(Table55[[#This Row],[Shortname]], Comp[],12, FALSE)</f>
        <v>0</v>
      </c>
      <c r="N245">
        <f>VLOOKUP(Table55[[#This Row],[Shortname]], Comp[], 13, FALSE)</f>
        <v>2</v>
      </c>
      <c r="O245">
        <f>VLOOKUP(Table55[[#This Row],[Shortname]], Comp[], 14, FALSE)</f>
        <v>0</v>
      </c>
      <c r="P245">
        <f>VLOOKUP(Table55[[#This Row],[Shortname]], Comp[], 15, FALSE)</f>
        <v>0</v>
      </c>
      <c r="Q245">
        <f>VLOOKUP(Table55[[#This Row],[Shortname]], Comp[], 16, FALSE)</f>
        <v>0</v>
      </c>
      <c r="R245">
        <f>VLOOKUP(Table55[[#This Row],[Shortname]], Comp[], 17, FALSE)</f>
        <v>0</v>
      </c>
      <c r="S245">
        <f>VLOOKUP(Table55[[#This Row],[Shortname]], Comp[], 18, FALSE)</f>
        <v>0</v>
      </c>
      <c r="T245">
        <f>VLOOKUP(Table55[[#This Row],[Shortname]], Comp[], 19, FALSE)</f>
        <v>0</v>
      </c>
      <c r="U245">
        <f>VLOOKUP(Table55[[#This Row],[Shortname]], Comp[], 20, FALSE)</f>
        <v>0</v>
      </c>
      <c r="V245">
        <f>VLOOKUP(Table55[[#This Row],[Shortname]], Comp[], 21, FALSE)</f>
        <v>0</v>
      </c>
      <c r="W245">
        <f>VLOOKUP(Table55[[#This Row],[Shortname]], Comp[], 22, FALSE)</f>
        <v>0</v>
      </c>
      <c r="X245">
        <f>VLOOKUP(Table55[[#This Row],[Shortname]], Comp[], 23, FALSE)</f>
        <v>0</v>
      </c>
      <c r="Y245">
        <f>VLOOKUP(Table55[[#This Row],[Shortname]], Comp[], 24, FALSE)</f>
        <v>0</v>
      </c>
      <c r="Z245">
        <f>VLOOKUP(Table55[[#This Row],[Shortname]], Comp[], 25, FALSE)</f>
        <v>0</v>
      </c>
      <c r="AA245">
        <f>VLOOKUP(Table55[[#This Row],[Shortname]], Comp[], 26, FALSE)</f>
        <v>0</v>
      </c>
      <c r="AB245">
        <f>VLOOKUP(Table55[[#This Row],[Shortname]], Comp[], 27, FALSE)</f>
        <v>0</v>
      </c>
      <c r="AC245">
        <f>VLOOKUP(Table55[[#This Row],[Shortname]], Comp[], 28, FALSE)</f>
        <v>0</v>
      </c>
      <c r="AD245">
        <f>VLOOKUP(Table55[[#This Row],[Shortname]], Comp[], 29, FALSE)</f>
        <v>0</v>
      </c>
      <c r="AE245">
        <f>VLOOKUP(Table55[[#This Row],[Shortname]], Comp[], 30, FALSE)</f>
        <v>0</v>
      </c>
      <c r="AF245">
        <f>VLOOKUP(Table55[[#This Row],[Shortname]], Comp[], 31, FALSE)</f>
        <v>0</v>
      </c>
    </row>
    <row r="246" spans="1:32" x14ac:dyDescent="0.3">
      <c r="A246" s="7" t="s">
        <v>641</v>
      </c>
      <c r="B246" s="7" t="s">
        <v>3494</v>
      </c>
      <c r="C246" t="s">
        <v>6749</v>
      </c>
      <c r="D246">
        <v>964</v>
      </c>
      <c r="E246">
        <v>1458</v>
      </c>
      <c r="F246">
        <v>1490</v>
      </c>
      <c r="H246" s="14">
        <f>VLOOKUP(Table55[[#This Row],[Shortname]], Comp[], 7, FALSE)</f>
        <v>82</v>
      </c>
      <c r="I246">
        <f>VLOOKUP(Table55[[#This Row],[Shortname]], Comp[], 8, FALSE)</f>
        <v>0</v>
      </c>
      <c r="J246">
        <f>VLOOKUP(Table55[[#This Row],[Shortname]], Comp[], 9, FALSE)</f>
        <v>9</v>
      </c>
      <c r="K246">
        <f>VLOOKUP(Table55[[#This Row],[Shortname]], Comp[], 10, FALSE)</f>
        <v>0</v>
      </c>
      <c r="L246">
        <f>VLOOKUP(Table55[[#This Row],[Shortname]], Comp[], 11, FALSE)</f>
        <v>9</v>
      </c>
      <c r="M246">
        <f>VLOOKUP(Table55[[#This Row],[Shortname]], Comp[],12, FALSE)</f>
        <v>0</v>
      </c>
      <c r="N246">
        <f>VLOOKUP(Table55[[#This Row],[Shortname]], Comp[], 13, FALSE)</f>
        <v>0</v>
      </c>
      <c r="O246">
        <f>VLOOKUP(Table55[[#This Row],[Shortname]], Comp[], 14, FALSE)</f>
        <v>0</v>
      </c>
      <c r="P246">
        <f>VLOOKUP(Table55[[#This Row],[Shortname]], Comp[], 15, FALSE)</f>
        <v>0</v>
      </c>
      <c r="Q246">
        <f>VLOOKUP(Table55[[#This Row],[Shortname]], Comp[], 16, FALSE)</f>
        <v>0</v>
      </c>
      <c r="R246">
        <f>VLOOKUP(Table55[[#This Row],[Shortname]], Comp[], 17, FALSE)</f>
        <v>0</v>
      </c>
      <c r="S246">
        <f>VLOOKUP(Table55[[#This Row],[Shortname]], Comp[], 18, FALSE)</f>
        <v>0</v>
      </c>
      <c r="T246">
        <f>VLOOKUP(Table55[[#This Row],[Shortname]], Comp[], 19, FALSE)</f>
        <v>0</v>
      </c>
      <c r="U246">
        <f>VLOOKUP(Table55[[#This Row],[Shortname]], Comp[], 20, FALSE)</f>
        <v>0</v>
      </c>
      <c r="V246">
        <f>VLOOKUP(Table55[[#This Row],[Shortname]], Comp[], 21, FALSE)</f>
        <v>0</v>
      </c>
      <c r="W246">
        <f>VLOOKUP(Table55[[#This Row],[Shortname]], Comp[], 22, FALSE)</f>
        <v>0</v>
      </c>
      <c r="X246">
        <f>VLOOKUP(Table55[[#This Row],[Shortname]], Comp[], 23, FALSE)</f>
        <v>0</v>
      </c>
      <c r="Y246">
        <f>VLOOKUP(Table55[[#This Row],[Shortname]], Comp[], 24, FALSE)</f>
        <v>0</v>
      </c>
      <c r="Z246">
        <f>VLOOKUP(Table55[[#This Row],[Shortname]], Comp[], 25, FALSE)</f>
        <v>0</v>
      </c>
      <c r="AA246">
        <f>VLOOKUP(Table55[[#This Row],[Shortname]], Comp[], 26, FALSE)</f>
        <v>0</v>
      </c>
      <c r="AB246">
        <f>VLOOKUP(Table55[[#This Row],[Shortname]], Comp[], 27, FALSE)</f>
        <v>0</v>
      </c>
      <c r="AC246">
        <f>VLOOKUP(Table55[[#This Row],[Shortname]], Comp[], 28, FALSE)</f>
        <v>0</v>
      </c>
      <c r="AD246">
        <f>VLOOKUP(Table55[[#This Row],[Shortname]], Comp[], 29, FALSE)</f>
        <v>0</v>
      </c>
      <c r="AE246">
        <f>VLOOKUP(Table55[[#This Row],[Shortname]], Comp[], 30, FALSE)</f>
        <v>0</v>
      </c>
      <c r="AF246">
        <f>VLOOKUP(Table55[[#This Row],[Shortname]], Comp[], 31, FALSE)</f>
        <v>0</v>
      </c>
    </row>
    <row r="247" spans="1:32" x14ac:dyDescent="0.3">
      <c r="A247" s="7" t="s">
        <v>1721</v>
      </c>
      <c r="B247" s="7" t="s">
        <v>5263</v>
      </c>
      <c r="C247" s="11" t="s">
        <v>6751</v>
      </c>
      <c r="D247">
        <v>1085</v>
      </c>
      <c r="E247">
        <v>1233</v>
      </c>
      <c r="F247">
        <v>1394</v>
      </c>
      <c r="H247" s="14">
        <f>VLOOKUP(Table55[[#This Row],[Shortname]], Comp[], 7, FALSE)</f>
        <v>79</v>
      </c>
      <c r="I247">
        <f>VLOOKUP(Table55[[#This Row],[Shortname]], Comp[], 8, FALSE)</f>
        <v>0</v>
      </c>
      <c r="J247">
        <f>VLOOKUP(Table55[[#This Row],[Shortname]], Comp[], 9, FALSE)</f>
        <v>6.7</v>
      </c>
      <c r="K247">
        <f>VLOOKUP(Table55[[#This Row],[Shortname]], Comp[], 10, FALSE)</f>
        <v>0</v>
      </c>
      <c r="L247">
        <f>VLOOKUP(Table55[[#This Row],[Shortname]], Comp[], 11, FALSE)</f>
        <v>8.1</v>
      </c>
      <c r="M247">
        <f>VLOOKUP(Table55[[#This Row],[Shortname]], Comp[],12, FALSE)</f>
        <v>6.2</v>
      </c>
      <c r="N247">
        <f>VLOOKUP(Table55[[#This Row],[Shortname]], Comp[], 13, FALSE)</f>
        <v>0</v>
      </c>
      <c r="O247">
        <f>VLOOKUP(Table55[[#This Row],[Shortname]], Comp[], 14, FALSE)</f>
        <v>0</v>
      </c>
      <c r="P247">
        <f>VLOOKUP(Table55[[#This Row],[Shortname]], Comp[], 15, FALSE)</f>
        <v>0</v>
      </c>
      <c r="Q247">
        <f>VLOOKUP(Table55[[#This Row],[Shortname]], Comp[], 16, FALSE)</f>
        <v>0</v>
      </c>
      <c r="R247">
        <f>VLOOKUP(Table55[[#This Row],[Shortname]], Comp[], 17, FALSE)</f>
        <v>0</v>
      </c>
      <c r="S247">
        <f>VLOOKUP(Table55[[#This Row],[Shortname]], Comp[], 18, FALSE)</f>
        <v>0</v>
      </c>
      <c r="T247">
        <f>VLOOKUP(Table55[[#This Row],[Shortname]], Comp[], 19, FALSE)</f>
        <v>0</v>
      </c>
      <c r="U247">
        <f>VLOOKUP(Table55[[#This Row],[Shortname]], Comp[], 20, FALSE)</f>
        <v>0</v>
      </c>
      <c r="V247">
        <f>VLOOKUP(Table55[[#This Row],[Shortname]], Comp[], 21, FALSE)</f>
        <v>0</v>
      </c>
      <c r="W247">
        <f>VLOOKUP(Table55[[#This Row],[Shortname]], Comp[], 22, FALSE)</f>
        <v>0</v>
      </c>
      <c r="X247">
        <f>VLOOKUP(Table55[[#This Row],[Shortname]], Comp[], 23, FALSE)</f>
        <v>0</v>
      </c>
      <c r="Y247">
        <f>VLOOKUP(Table55[[#This Row],[Shortname]], Comp[], 24, FALSE)</f>
        <v>0</v>
      </c>
      <c r="Z247">
        <f>VLOOKUP(Table55[[#This Row],[Shortname]], Comp[], 25, FALSE)</f>
        <v>0</v>
      </c>
      <c r="AA247">
        <f>VLOOKUP(Table55[[#This Row],[Shortname]], Comp[], 26, FALSE)</f>
        <v>0</v>
      </c>
      <c r="AB247">
        <f>VLOOKUP(Table55[[#This Row],[Shortname]], Comp[], 27, FALSE)</f>
        <v>0</v>
      </c>
      <c r="AC247">
        <f>VLOOKUP(Table55[[#This Row],[Shortname]], Comp[], 28, FALSE)</f>
        <v>0</v>
      </c>
      <c r="AD247">
        <f>VLOOKUP(Table55[[#This Row],[Shortname]], Comp[], 29, FALSE)</f>
        <v>0</v>
      </c>
      <c r="AE247">
        <f>VLOOKUP(Table55[[#This Row],[Shortname]], Comp[], 30, FALSE)</f>
        <v>0</v>
      </c>
      <c r="AF247">
        <f>VLOOKUP(Table55[[#This Row],[Shortname]], Comp[], 31, FALSE)</f>
        <v>0</v>
      </c>
    </row>
    <row r="248" spans="1:32" x14ac:dyDescent="0.3">
      <c r="A248" s="7" t="s">
        <v>1735</v>
      </c>
      <c r="B248" s="7" t="s">
        <v>2354</v>
      </c>
      <c r="C248" s="11" t="s">
        <v>6751</v>
      </c>
      <c r="D248">
        <v>1079</v>
      </c>
      <c r="E248">
        <v>1406</v>
      </c>
      <c r="F248">
        <v>1445</v>
      </c>
      <c r="H248" s="14">
        <f>VLOOKUP(Table55[[#This Row],[Shortname]], Comp[], 7, FALSE)</f>
        <v>79.400000000000006</v>
      </c>
      <c r="I248">
        <f>VLOOKUP(Table55[[#This Row],[Shortname]], Comp[], 8, FALSE)</f>
        <v>0</v>
      </c>
      <c r="J248">
        <f>VLOOKUP(Table55[[#This Row],[Shortname]], Comp[], 9, FALSE)</f>
        <v>8.8000000000000007</v>
      </c>
      <c r="K248">
        <f>VLOOKUP(Table55[[#This Row],[Shortname]], Comp[], 10, FALSE)</f>
        <v>0</v>
      </c>
      <c r="L248">
        <f>VLOOKUP(Table55[[#This Row],[Shortname]], Comp[], 11, FALSE)</f>
        <v>9.8000000000000007</v>
      </c>
      <c r="M248">
        <f>VLOOKUP(Table55[[#This Row],[Shortname]], Comp[],12, FALSE)</f>
        <v>0</v>
      </c>
      <c r="N248">
        <f>VLOOKUP(Table55[[#This Row],[Shortname]], Comp[], 13, FALSE)</f>
        <v>2</v>
      </c>
      <c r="O248">
        <f>VLOOKUP(Table55[[#This Row],[Shortname]], Comp[], 14, FALSE)</f>
        <v>0</v>
      </c>
      <c r="P248">
        <f>VLOOKUP(Table55[[#This Row],[Shortname]], Comp[], 15, FALSE)</f>
        <v>0</v>
      </c>
      <c r="Q248">
        <f>VLOOKUP(Table55[[#This Row],[Shortname]], Comp[], 16, FALSE)</f>
        <v>0</v>
      </c>
      <c r="R248">
        <f>VLOOKUP(Table55[[#This Row],[Shortname]], Comp[], 17, FALSE)</f>
        <v>0</v>
      </c>
      <c r="S248">
        <f>VLOOKUP(Table55[[#This Row],[Shortname]], Comp[], 18, FALSE)</f>
        <v>0</v>
      </c>
      <c r="T248">
        <f>VLOOKUP(Table55[[#This Row],[Shortname]], Comp[], 19, FALSE)</f>
        <v>0</v>
      </c>
      <c r="U248">
        <f>VLOOKUP(Table55[[#This Row],[Shortname]], Comp[], 20, FALSE)</f>
        <v>0</v>
      </c>
      <c r="V248">
        <f>VLOOKUP(Table55[[#This Row],[Shortname]], Comp[], 21, FALSE)</f>
        <v>0</v>
      </c>
      <c r="W248">
        <f>VLOOKUP(Table55[[#This Row],[Shortname]], Comp[], 22, FALSE)</f>
        <v>0</v>
      </c>
      <c r="X248">
        <f>VLOOKUP(Table55[[#This Row],[Shortname]], Comp[], 23, FALSE)</f>
        <v>0</v>
      </c>
      <c r="Y248">
        <f>VLOOKUP(Table55[[#This Row],[Shortname]], Comp[], 24, FALSE)</f>
        <v>0</v>
      </c>
      <c r="Z248">
        <f>VLOOKUP(Table55[[#This Row],[Shortname]], Comp[], 25, FALSE)</f>
        <v>0</v>
      </c>
      <c r="AA248">
        <f>VLOOKUP(Table55[[#This Row],[Shortname]], Comp[], 26, FALSE)</f>
        <v>0</v>
      </c>
      <c r="AB248">
        <f>VLOOKUP(Table55[[#This Row],[Shortname]], Comp[], 27, FALSE)</f>
        <v>0</v>
      </c>
      <c r="AC248">
        <f>VLOOKUP(Table55[[#This Row],[Shortname]], Comp[], 28, FALSE)</f>
        <v>0</v>
      </c>
      <c r="AD248">
        <f>VLOOKUP(Table55[[#This Row],[Shortname]], Comp[], 29, FALSE)</f>
        <v>0</v>
      </c>
      <c r="AE248">
        <f>VLOOKUP(Table55[[#This Row],[Shortname]], Comp[], 30, FALSE)</f>
        <v>0</v>
      </c>
      <c r="AF248">
        <f>VLOOKUP(Table55[[#This Row],[Shortname]], Comp[], 31, FALSE)</f>
        <v>0</v>
      </c>
    </row>
    <row r="249" spans="1:32" x14ac:dyDescent="0.3">
      <c r="A249" s="7" t="s">
        <v>1728</v>
      </c>
      <c r="B249" s="7" t="s">
        <v>1730</v>
      </c>
      <c r="C249" s="11" t="s">
        <v>6751</v>
      </c>
      <c r="D249">
        <v>1033</v>
      </c>
      <c r="E249">
        <v>1445</v>
      </c>
      <c r="F249">
        <v>1479</v>
      </c>
      <c r="H249" s="14">
        <f>VLOOKUP(Table55[[#This Row],[Shortname]], Comp[], 7, FALSE)</f>
        <v>79.900000000000006</v>
      </c>
      <c r="I249">
        <f>VLOOKUP(Table55[[#This Row],[Shortname]], Comp[], 8, FALSE)</f>
        <v>0</v>
      </c>
      <c r="J249">
        <f>VLOOKUP(Table55[[#This Row],[Shortname]], Comp[], 9, FALSE)</f>
        <v>9.4</v>
      </c>
      <c r="K249">
        <f>VLOOKUP(Table55[[#This Row],[Shortname]], Comp[], 10, FALSE)</f>
        <v>0</v>
      </c>
      <c r="L249">
        <f>VLOOKUP(Table55[[#This Row],[Shortname]], Comp[], 11, FALSE)</f>
        <v>10.7</v>
      </c>
      <c r="M249">
        <f>VLOOKUP(Table55[[#This Row],[Shortname]], Comp[],12, FALSE)</f>
        <v>0</v>
      </c>
      <c r="N249">
        <f>VLOOKUP(Table55[[#This Row],[Shortname]], Comp[], 13, FALSE)</f>
        <v>0</v>
      </c>
      <c r="O249">
        <f>VLOOKUP(Table55[[#This Row],[Shortname]], Comp[], 14, FALSE)</f>
        <v>0</v>
      </c>
      <c r="P249">
        <f>VLOOKUP(Table55[[#This Row],[Shortname]], Comp[], 15, FALSE)</f>
        <v>0</v>
      </c>
      <c r="Q249">
        <f>VLOOKUP(Table55[[#This Row],[Shortname]], Comp[], 16, FALSE)</f>
        <v>0</v>
      </c>
      <c r="R249">
        <f>VLOOKUP(Table55[[#This Row],[Shortname]], Comp[], 17, FALSE)</f>
        <v>0</v>
      </c>
      <c r="S249">
        <f>VLOOKUP(Table55[[#This Row],[Shortname]], Comp[], 18, FALSE)</f>
        <v>0</v>
      </c>
      <c r="T249">
        <f>VLOOKUP(Table55[[#This Row],[Shortname]], Comp[], 19, FALSE)</f>
        <v>0</v>
      </c>
      <c r="U249">
        <f>VLOOKUP(Table55[[#This Row],[Shortname]], Comp[], 20, FALSE)</f>
        <v>0</v>
      </c>
      <c r="V249">
        <f>VLOOKUP(Table55[[#This Row],[Shortname]], Comp[], 21, FALSE)</f>
        <v>0</v>
      </c>
      <c r="W249">
        <f>VLOOKUP(Table55[[#This Row],[Shortname]], Comp[], 22, FALSE)</f>
        <v>0</v>
      </c>
      <c r="X249">
        <f>VLOOKUP(Table55[[#This Row],[Shortname]], Comp[], 23, FALSE)</f>
        <v>0</v>
      </c>
      <c r="Y249">
        <f>VLOOKUP(Table55[[#This Row],[Shortname]], Comp[], 24, FALSE)</f>
        <v>0</v>
      </c>
      <c r="Z249">
        <f>VLOOKUP(Table55[[#This Row],[Shortname]], Comp[], 25, FALSE)</f>
        <v>0</v>
      </c>
      <c r="AA249">
        <f>VLOOKUP(Table55[[#This Row],[Shortname]], Comp[], 26, FALSE)</f>
        <v>0</v>
      </c>
      <c r="AB249">
        <f>VLOOKUP(Table55[[#This Row],[Shortname]], Comp[], 27, FALSE)</f>
        <v>0</v>
      </c>
      <c r="AC249">
        <f>VLOOKUP(Table55[[#This Row],[Shortname]], Comp[], 28, FALSE)</f>
        <v>0</v>
      </c>
      <c r="AD249">
        <f>VLOOKUP(Table55[[#This Row],[Shortname]], Comp[], 29, FALSE)</f>
        <v>0</v>
      </c>
      <c r="AE249">
        <f>VLOOKUP(Table55[[#This Row],[Shortname]], Comp[], 30, FALSE)</f>
        <v>0</v>
      </c>
      <c r="AF249">
        <f>VLOOKUP(Table55[[#This Row],[Shortname]], Comp[], 31, FALSE)</f>
        <v>0</v>
      </c>
    </row>
    <row r="250" spans="1:32" x14ac:dyDescent="0.3">
      <c r="A250" s="7" t="s">
        <v>2857</v>
      </c>
      <c r="B250" s="7" t="s">
        <v>3483</v>
      </c>
      <c r="C250" s="11" t="s">
        <v>6751</v>
      </c>
      <c r="D250">
        <v>975</v>
      </c>
      <c r="E250">
        <v>1412</v>
      </c>
      <c r="F250">
        <v>1452</v>
      </c>
      <c r="H250" s="14">
        <f>VLOOKUP(Table55[[#This Row],[Shortname]], Comp[], 7, FALSE)</f>
        <v>78.400000000000006</v>
      </c>
      <c r="I250">
        <f>VLOOKUP(Table55[[#This Row],[Shortname]], Comp[], 8, FALSE)</f>
        <v>0</v>
      </c>
      <c r="J250">
        <f>VLOOKUP(Table55[[#This Row],[Shortname]], Comp[], 9, FALSE)</f>
        <v>7.8</v>
      </c>
      <c r="K250">
        <f>VLOOKUP(Table55[[#This Row],[Shortname]], Comp[], 10, FALSE)</f>
        <v>4.5</v>
      </c>
      <c r="L250">
        <f>VLOOKUP(Table55[[#This Row],[Shortname]], Comp[], 11, FALSE)</f>
        <v>7.8</v>
      </c>
      <c r="M250">
        <f>VLOOKUP(Table55[[#This Row],[Shortname]], Comp[],12, FALSE)</f>
        <v>0</v>
      </c>
      <c r="N250">
        <f>VLOOKUP(Table55[[#This Row],[Shortname]], Comp[], 13, FALSE)</f>
        <v>1.5</v>
      </c>
      <c r="O250">
        <f>VLOOKUP(Table55[[#This Row],[Shortname]], Comp[], 14, FALSE)</f>
        <v>0</v>
      </c>
      <c r="P250">
        <f>VLOOKUP(Table55[[#This Row],[Shortname]], Comp[], 15, FALSE)</f>
        <v>0</v>
      </c>
      <c r="Q250">
        <f>VLOOKUP(Table55[[#This Row],[Shortname]], Comp[], 16, FALSE)</f>
        <v>0</v>
      </c>
      <c r="R250">
        <f>VLOOKUP(Table55[[#This Row],[Shortname]], Comp[], 17, FALSE)</f>
        <v>0</v>
      </c>
      <c r="S250">
        <f>VLOOKUP(Table55[[#This Row],[Shortname]], Comp[], 18, FALSE)</f>
        <v>0</v>
      </c>
      <c r="T250">
        <f>VLOOKUP(Table55[[#This Row],[Shortname]], Comp[], 19, FALSE)</f>
        <v>0</v>
      </c>
      <c r="U250">
        <f>VLOOKUP(Table55[[#This Row],[Shortname]], Comp[], 20, FALSE)</f>
        <v>0</v>
      </c>
      <c r="V250">
        <f>VLOOKUP(Table55[[#This Row],[Shortname]], Comp[], 21, FALSE)</f>
        <v>0</v>
      </c>
      <c r="W250">
        <f>VLOOKUP(Table55[[#This Row],[Shortname]], Comp[], 22, FALSE)</f>
        <v>0</v>
      </c>
      <c r="X250">
        <f>VLOOKUP(Table55[[#This Row],[Shortname]], Comp[], 23, FALSE)</f>
        <v>0</v>
      </c>
      <c r="Y250">
        <f>VLOOKUP(Table55[[#This Row],[Shortname]], Comp[], 24, FALSE)</f>
        <v>0</v>
      </c>
      <c r="Z250">
        <f>VLOOKUP(Table55[[#This Row],[Shortname]], Comp[], 25, FALSE)</f>
        <v>0</v>
      </c>
      <c r="AA250">
        <f>VLOOKUP(Table55[[#This Row],[Shortname]], Comp[], 26, FALSE)</f>
        <v>0</v>
      </c>
      <c r="AB250">
        <f>VLOOKUP(Table55[[#This Row],[Shortname]], Comp[], 27, FALSE)</f>
        <v>0</v>
      </c>
      <c r="AC250">
        <f>VLOOKUP(Table55[[#This Row],[Shortname]], Comp[], 28, FALSE)</f>
        <v>0</v>
      </c>
      <c r="AD250">
        <f>VLOOKUP(Table55[[#This Row],[Shortname]], Comp[], 29, FALSE)</f>
        <v>0</v>
      </c>
      <c r="AE250">
        <f>VLOOKUP(Table55[[#This Row],[Shortname]], Comp[], 30, FALSE)</f>
        <v>0</v>
      </c>
      <c r="AF250">
        <f>VLOOKUP(Table55[[#This Row],[Shortname]], Comp[], 31, FALSE)</f>
        <v>0</v>
      </c>
    </row>
    <row r="251" spans="1:32" x14ac:dyDescent="0.3">
      <c r="A251" s="7" t="s">
        <v>3679</v>
      </c>
      <c r="B251" s="7" t="s">
        <v>3680</v>
      </c>
      <c r="C251" t="s">
        <v>6752</v>
      </c>
      <c r="D251">
        <v>1005</v>
      </c>
      <c r="E251">
        <v>1447</v>
      </c>
      <c r="H251" s="14">
        <f>VLOOKUP(Table55[[#This Row],[Shortname]], Comp[], 7, FALSE)</f>
        <v>81.7</v>
      </c>
      <c r="I251">
        <f>VLOOKUP(Table55[[#This Row],[Shortname]], Comp[], 8, FALSE)</f>
        <v>0</v>
      </c>
      <c r="J251">
        <f>VLOOKUP(Table55[[#This Row],[Shortname]], Comp[], 9, FALSE)</f>
        <v>9.1</v>
      </c>
      <c r="K251">
        <f>VLOOKUP(Table55[[#This Row],[Shortname]], Comp[], 10, FALSE)</f>
        <v>0</v>
      </c>
      <c r="L251">
        <f>VLOOKUP(Table55[[#This Row],[Shortname]], Comp[], 11, FALSE)</f>
        <v>9.1999999999999993</v>
      </c>
      <c r="M251">
        <f>VLOOKUP(Table55[[#This Row],[Shortname]], Comp[],12, FALSE)</f>
        <v>0</v>
      </c>
      <c r="N251">
        <f>VLOOKUP(Table55[[#This Row],[Shortname]], Comp[], 13, FALSE)</f>
        <v>0</v>
      </c>
      <c r="O251">
        <f>VLOOKUP(Table55[[#This Row],[Shortname]], Comp[], 14, FALSE)</f>
        <v>0</v>
      </c>
      <c r="P251">
        <f>VLOOKUP(Table55[[#This Row],[Shortname]], Comp[], 15, FALSE)</f>
        <v>0</v>
      </c>
      <c r="Q251">
        <f>VLOOKUP(Table55[[#This Row],[Shortname]], Comp[], 16, FALSE)</f>
        <v>0</v>
      </c>
      <c r="R251">
        <f>VLOOKUP(Table55[[#This Row],[Shortname]], Comp[], 17, FALSE)</f>
        <v>0</v>
      </c>
      <c r="S251">
        <f>VLOOKUP(Table55[[#This Row],[Shortname]], Comp[], 18, FALSE)</f>
        <v>0</v>
      </c>
      <c r="T251">
        <f>VLOOKUP(Table55[[#This Row],[Shortname]], Comp[], 19, FALSE)</f>
        <v>0</v>
      </c>
      <c r="U251">
        <f>VLOOKUP(Table55[[#This Row],[Shortname]], Comp[], 20, FALSE)</f>
        <v>0</v>
      </c>
      <c r="V251">
        <f>VLOOKUP(Table55[[#This Row],[Shortname]], Comp[], 21, FALSE)</f>
        <v>0</v>
      </c>
      <c r="W251">
        <f>VLOOKUP(Table55[[#This Row],[Shortname]], Comp[], 22, FALSE)</f>
        <v>0</v>
      </c>
      <c r="X251">
        <f>VLOOKUP(Table55[[#This Row],[Shortname]], Comp[], 23, FALSE)</f>
        <v>0</v>
      </c>
      <c r="Y251">
        <f>VLOOKUP(Table55[[#This Row],[Shortname]], Comp[], 24, FALSE)</f>
        <v>0</v>
      </c>
      <c r="Z251">
        <f>VLOOKUP(Table55[[#This Row],[Shortname]], Comp[], 25, FALSE)</f>
        <v>0</v>
      </c>
      <c r="AA251">
        <f>VLOOKUP(Table55[[#This Row],[Shortname]], Comp[], 26, FALSE)</f>
        <v>0</v>
      </c>
      <c r="AB251">
        <f>VLOOKUP(Table55[[#This Row],[Shortname]], Comp[], 27, FALSE)</f>
        <v>0</v>
      </c>
      <c r="AC251">
        <f>VLOOKUP(Table55[[#This Row],[Shortname]], Comp[], 28, FALSE)</f>
        <v>0</v>
      </c>
      <c r="AD251">
        <f>VLOOKUP(Table55[[#This Row],[Shortname]], Comp[], 29, FALSE)</f>
        <v>0</v>
      </c>
      <c r="AE251">
        <f>VLOOKUP(Table55[[#This Row],[Shortname]], Comp[], 30, FALSE)</f>
        <v>0</v>
      </c>
      <c r="AF251">
        <f>VLOOKUP(Table55[[#This Row],[Shortname]], Comp[], 31, FALSE)</f>
        <v>0</v>
      </c>
    </row>
    <row r="252" spans="1:32" x14ac:dyDescent="0.3">
      <c r="A252" s="7" t="s">
        <v>3750</v>
      </c>
      <c r="B252" s="7" t="s">
        <v>3752</v>
      </c>
      <c r="C252" s="6" t="s">
        <v>3746</v>
      </c>
      <c r="D252" s="6">
        <v>1174</v>
      </c>
      <c r="E252">
        <v>1319</v>
      </c>
      <c r="F252">
        <v>1400</v>
      </c>
      <c r="H252" s="14">
        <f>VLOOKUP(Table55[[#This Row],[Shortname]], Comp[], 7, FALSE)</f>
        <v>44.5</v>
      </c>
      <c r="I252">
        <f>VLOOKUP(Table55[[#This Row],[Shortname]], Comp[], 8, FALSE)</f>
        <v>32</v>
      </c>
      <c r="J252">
        <f>VLOOKUP(Table55[[#This Row],[Shortname]], Comp[], 9, FALSE)</f>
        <v>8</v>
      </c>
      <c r="K252">
        <f>VLOOKUP(Table55[[#This Row],[Shortname]], Comp[], 10, FALSE)</f>
        <v>6</v>
      </c>
      <c r="L252">
        <f>VLOOKUP(Table55[[#This Row],[Shortname]], Comp[], 11, FALSE)</f>
        <v>5</v>
      </c>
      <c r="M252">
        <f>VLOOKUP(Table55[[#This Row],[Shortname]], Comp[],12, FALSE)</f>
        <v>2.5</v>
      </c>
      <c r="N252">
        <f>VLOOKUP(Table55[[#This Row],[Shortname]], Comp[], 13, FALSE)</f>
        <v>1.5</v>
      </c>
      <c r="O252">
        <f>VLOOKUP(Table55[[#This Row],[Shortname]], Comp[], 14, FALSE)</f>
        <v>0</v>
      </c>
      <c r="P252">
        <f>VLOOKUP(Table55[[#This Row],[Shortname]], Comp[], 15, FALSE)</f>
        <v>0</v>
      </c>
      <c r="Q252">
        <f>VLOOKUP(Table55[[#This Row],[Shortname]], Comp[], 16, FALSE)</f>
        <v>0</v>
      </c>
      <c r="R252">
        <f>VLOOKUP(Table55[[#This Row],[Shortname]], Comp[], 17, FALSE)</f>
        <v>0</v>
      </c>
      <c r="S252">
        <f>VLOOKUP(Table55[[#This Row],[Shortname]], Comp[], 18, FALSE)</f>
        <v>0</v>
      </c>
      <c r="T252">
        <f>VLOOKUP(Table55[[#This Row],[Shortname]], Comp[], 19, FALSE)</f>
        <v>0</v>
      </c>
      <c r="U252">
        <f>VLOOKUP(Table55[[#This Row],[Shortname]], Comp[], 20, FALSE)</f>
        <v>0</v>
      </c>
      <c r="V252">
        <f>VLOOKUP(Table55[[#This Row],[Shortname]], Comp[], 21, FALSE)</f>
        <v>0</v>
      </c>
      <c r="W252">
        <f>VLOOKUP(Table55[[#This Row],[Shortname]], Comp[], 22, FALSE)</f>
        <v>0.4</v>
      </c>
      <c r="X252">
        <f>VLOOKUP(Table55[[#This Row],[Shortname]], Comp[], 23, FALSE)</f>
        <v>0</v>
      </c>
      <c r="Y252">
        <f>VLOOKUP(Table55[[#This Row],[Shortname]], Comp[], 24, FALSE)</f>
        <v>0</v>
      </c>
      <c r="Z252">
        <f>VLOOKUP(Table55[[#This Row],[Shortname]], Comp[], 25, FALSE)</f>
        <v>0.1</v>
      </c>
      <c r="AA252">
        <f>VLOOKUP(Table55[[#This Row],[Shortname]], Comp[], 26, FALSE)</f>
        <v>0</v>
      </c>
      <c r="AB252">
        <f>VLOOKUP(Table55[[#This Row],[Shortname]], Comp[], 27, FALSE)</f>
        <v>0</v>
      </c>
      <c r="AC252">
        <f>VLOOKUP(Table55[[#This Row],[Shortname]], Comp[], 28, FALSE)</f>
        <v>0</v>
      </c>
      <c r="AD252">
        <f>VLOOKUP(Table55[[#This Row],[Shortname]], Comp[], 29, FALSE)</f>
        <v>0</v>
      </c>
      <c r="AE252">
        <f>VLOOKUP(Table55[[#This Row],[Shortname]], Comp[], 30, FALSE)</f>
        <v>0</v>
      </c>
      <c r="AF252">
        <f>VLOOKUP(Table55[[#This Row],[Shortname]], Comp[], 31, FALSE)</f>
        <v>0</v>
      </c>
    </row>
    <row r="253" spans="1:32" x14ac:dyDescent="0.3">
      <c r="A253" s="7" t="s">
        <v>3762</v>
      </c>
      <c r="B253" s="7" t="s">
        <v>3764</v>
      </c>
      <c r="C253" s="6" t="s">
        <v>3746</v>
      </c>
      <c r="D253" s="6">
        <v>1169</v>
      </c>
      <c r="E253">
        <v>1343</v>
      </c>
      <c r="F253">
        <v>1384</v>
      </c>
      <c r="H253" s="14">
        <f>VLOOKUP(Table55[[#This Row],[Shortname]], Comp[], 7, FALSE)</f>
        <v>43.5</v>
      </c>
      <c r="I253">
        <f>VLOOKUP(Table55[[#This Row],[Shortname]], Comp[], 8, FALSE)</f>
        <v>32</v>
      </c>
      <c r="J253">
        <f>VLOOKUP(Table55[[#This Row],[Shortname]], Comp[], 9, FALSE)</f>
        <v>8</v>
      </c>
      <c r="K253">
        <f>VLOOKUP(Table55[[#This Row],[Shortname]], Comp[], 10, FALSE)</f>
        <v>6</v>
      </c>
      <c r="L253">
        <f>VLOOKUP(Table55[[#This Row],[Shortname]], Comp[], 11, FALSE)</f>
        <v>5.7</v>
      </c>
      <c r="M253">
        <f>VLOOKUP(Table55[[#This Row],[Shortname]], Comp[],12, FALSE)</f>
        <v>2.5</v>
      </c>
      <c r="N253">
        <f>VLOOKUP(Table55[[#This Row],[Shortname]], Comp[], 13, FALSE)</f>
        <v>1.8</v>
      </c>
      <c r="O253">
        <f>VLOOKUP(Table55[[#This Row],[Shortname]], Comp[], 14, FALSE)</f>
        <v>0</v>
      </c>
      <c r="P253">
        <f>VLOOKUP(Table55[[#This Row],[Shortname]], Comp[], 15, FALSE)</f>
        <v>0</v>
      </c>
      <c r="Q253">
        <f>VLOOKUP(Table55[[#This Row],[Shortname]], Comp[], 16, FALSE)</f>
        <v>0</v>
      </c>
      <c r="R253">
        <f>VLOOKUP(Table55[[#This Row],[Shortname]], Comp[], 17, FALSE)</f>
        <v>0</v>
      </c>
      <c r="S253">
        <f>VLOOKUP(Table55[[#This Row],[Shortname]], Comp[], 18, FALSE)</f>
        <v>0</v>
      </c>
      <c r="T253">
        <f>VLOOKUP(Table55[[#This Row],[Shortname]], Comp[], 19, FALSE)</f>
        <v>0</v>
      </c>
      <c r="U253">
        <f>VLOOKUP(Table55[[#This Row],[Shortname]], Comp[], 20, FALSE)</f>
        <v>0</v>
      </c>
      <c r="V253">
        <f>VLOOKUP(Table55[[#This Row],[Shortname]], Comp[], 21, FALSE)</f>
        <v>0</v>
      </c>
      <c r="W253">
        <f>VLOOKUP(Table55[[#This Row],[Shortname]], Comp[], 22, FALSE)</f>
        <v>0.4</v>
      </c>
      <c r="X253">
        <f>VLOOKUP(Table55[[#This Row],[Shortname]], Comp[], 23, FALSE)</f>
        <v>0</v>
      </c>
      <c r="Y253">
        <f>VLOOKUP(Table55[[#This Row],[Shortname]], Comp[], 24, FALSE)</f>
        <v>0</v>
      </c>
      <c r="Z253">
        <f>VLOOKUP(Table55[[#This Row],[Shortname]], Comp[], 25, FALSE)</f>
        <v>0.1</v>
      </c>
      <c r="AA253">
        <f>VLOOKUP(Table55[[#This Row],[Shortname]], Comp[], 26, FALSE)</f>
        <v>0</v>
      </c>
      <c r="AB253">
        <f>VLOOKUP(Table55[[#This Row],[Shortname]], Comp[], 27, FALSE)</f>
        <v>0</v>
      </c>
      <c r="AC253">
        <f>VLOOKUP(Table55[[#This Row],[Shortname]], Comp[], 28, FALSE)</f>
        <v>0</v>
      </c>
      <c r="AD253">
        <f>VLOOKUP(Table55[[#This Row],[Shortname]], Comp[], 29, FALSE)</f>
        <v>0</v>
      </c>
      <c r="AE253">
        <f>VLOOKUP(Table55[[#This Row],[Shortname]], Comp[], 30, FALSE)</f>
        <v>0</v>
      </c>
      <c r="AF253">
        <f>VLOOKUP(Table55[[#This Row],[Shortname]], Comp[], 31, FALSE)</f>
        <v>0</v>
      </c>
    </row>
    <row r="254" spans="1:32" x14ac:dyDescent="0.3">
      <c r="A254" s="7" t="s">
        <v>3756</v>
      </c>
      <c r="B254" s="7" t="s">
        <v>3758</v>
      </c>
      <c r="C254" s="6" t="s">
        <v>3746</v>
      </c>
      <c r="D254" s="6">
        <v>1160</v>
      </c>
      <c r="E254">
        <v>1323</v>
      </c>
      <c r="F254">
        <v>1412</v>
      </c>
      <c r="H254" s="14">
        <f>VLOOKUP(Table55[[#This Row],[Shortname]], Comp[], 7, FALSE)</f>
        <v>43.5</v>
      </c>
      <c r="I254">
        <f>VLOOKUP(Table55[[#This Row],[Shortname]], Comp[], 8, FALSE)</f>
        <v>32</v>
      </c>
      <c r="J254">
        <f>VLOOKUP(Table55[[#This Row],[Shortname]], Comp[], 9, FALSE)</f>
        <v>8</v>
      </c>
      <c r="K254">
        <f>VLOOKUP(Table55[[#This Row],[Shortname]], Comp[], 10, FALSE)</f>
        <v>6</v>
      </c>
      <c r="L254">
        <f>VLOOKUP(Table55[[#This Row],[Shortname]], Comp[], 11, FALSE)</f>
        <v>5</v>
      </c>
      <c r="M254">
        <f>VLOOKUP(Table55[[#This Row],[Shortname]], Comp[],12, FALSE)</f>
        <v>2.5</v>
      </c>
      <c r="N254">
        <f>VLOOKUP(Table55[[#This Row],[Shortname]], Comp[], 13, FALSE)</f>
        <v>1.5</v>
      </c>
      <c r="O254">
        <f>VLOOKUP(Table55[[#This Row],[Shortname]], Comp[], 14, FALSE)</f>
        <v>0</v>
      </c>
      <c r="P254">
        <f>VLOOKUP(Table55[[#This Row],[Shortname]], Comp[], 15, FALSE)</f>
        <v>0</v>
      </c>
      <c r="Q254">
        <f>VLOOKUP(Table55[[#This Row],[Shortname]], Comp[], 16, FALSE)</f>
        <v>0</v>
      </c>
      <c r="R254">
        <f>VLOOKUP(Table55[[#This Row],[Shortname]], Comp[], 17, FALSE)</f>
        <v>0</v>
      </c>
      <c r="S254">
        <f>VLOOKUP(Table55[[#This Row],[Shortname]], Comp[], 18, FALSE)</f>
        <v>0</v>
      </c>
      <c r="T254">
        <f>VLOOKUP(Table55[[#This Row],[Shortname]], Comp[], 19, FALSE)</f>
        <v>0</v>
      </c>
      <c r="U254">
        <f>VLOOKUP(Table55[[#This Row],[Shortname]], Comp[], 20, FALSE)</f>
        <v>0</v>
      </c>
      <c r="V254">
        <f>VLOOKUP(Table55[[#This Row],[Shortname]], Comp[], 21, FALSE)</f>
        <v>1</v>
      </c>
      <c r="W254">
        <f>VLOOKUP(Table55[[#This Row],[Shortname]], Comp[], 22, FALSE)</f>
        <v>0.4</v>
      </c>
      <c r="X254">
        <f>VLOOKUP(Table55[[#This Row],[Shortname]], Comp[], 23, FALSE)</f>
        <v>0</v>
      </c>
      <c r="Y254">
        <f>VLOOKUP(Table55[[#This Row],[Shortname]], Comp[], 24, FALSE)</f>
        <v>0</v>
      </c>
      <c r="Z254">
        <f>VLOOKUP(Table55[[#This Row],[Shortname]], Comp[], 25, FALSE)</f>
        <v>0.1</v>
      </c>
      <c r="AA254">
        <f>VLOOKUP(Table55[[#This Row],[Shortname]], Comp[], 26, FALSE)</f>
        <v>0</v>
      </c>
      <c r="AB254">
        <f>VLOOKUP(Table55[[#This Row],[Shortname]], Comp[], 27, FALSE)</f>
        <v>0</v>
      </c>
      <c r="AC254">
        <f>VLOOKUP(Table55[[#This Row],[Shortname]], Comp[], 28, FALSE)</f>
        <v>0</v>
      </c>
      <c r="AD254">
        <f>VLOOKUP(Table55[[#This Row],[Shortname]], Comp[], 29, FALSE)</f>
        <v>0</v>
      </c>
      <c r="AE254">
        <f>VLOOKUP(Table55[[#This Row],[Shortname]], Comp[], 30, FALSE)</f>
        <v>0</v>
      </c>
      <c r="AF254">
        <f>VLOOKUP(Table55[[#This Row],[Shortname]], Comp[], 31, FALSE)</f>
        <v>0</v>
      </c>
    </row>
    <row r="255" spans="1:32" x14ac:dyDescent="0.3">
      <c r="A255" s="7" t="s">
        <v>4974</v>
      </c>
      <c r="B255" s="7" t="s">
        <v>4976</v>
      </c>
      <c r="C255" s="3" t="s">
        <v>4968</v>
      </c>
      <c r="D255">
        <v>1079</v>
      </c>
      <c r="E255">
        <v>1465</v>
      </c>
      <c r="H255" s="14">
        <f>VLOOKUP(Table55[[#This Row],[Shortname]], Comp[], 7, FALSE)</f>
        <v>36</v>
      </c>
      <c r="I255">
        <f>VLOOKUP(Table55[[#This Row],[Shortname]], Comp[], 8, FALSE)</f>
        <v>45</v>
      </c>
      <c r="J255">
        <f>VLOOKUP(Table55[[#This Row],[Shortname]], Comp[], 9, FALSE)</f>
        <v>9</v>
      </c>
      <c r="K255">
        <f>VLOOKUP(Table55[[#This Row],[Shortname]], Comp[], 10, FALSE)</f>
        <v>0</v>
      </c>
      <c r="L255">
        <f>VLOOKUP(Table55[[#This Row],[Shortname]], Comp[], 11, FALSE)</f>
        <v>10</v>
      </c>
      <c r="M255">
        <f>VLOOKUP(Table55[[#This Row],[Shortname]], Comp[],12, FALSE)</f>
        <v>0</v>
      </c>
      <c r="N255">
        <f>VLOOKUP(Table55[[#This Row],[Shortname]], Comp[], 13, FALSE)</f>
        <v>0</v>
      </c>
      <c r="O255">
        <f>VLOOKUP(Table55[[#This Row],[Shortname]], Comp[], 14, FALSE)</f>
        <v>0</v>
      </c>
      <c r="P255">
        <f>VLOOKUP(Table55[[#This Row],[Shortname]], Comp[], 15, FALSE)</f>
        <v>0</v>
      </c>
      <c r="Q255">
        <f>VLOOKUP(Table55[[#This Row],[Shortname]], Comp[], 16, FALSE)</f>
        <v>0</v>
      </c>
      <c r="R255">
        <f>VLOOKUP(Table55[[#This Row],[Shortname]], Comp[], 17, FALSE)</f>
        <v>0</v>
      </c>
      <c r="S255">
        <f>VLOOKUP(Table55[[#This Row],[Shortname]], Comp[], 18, FALSE)</f>
        <v>0</v>
      </c>
      <c r="T255">
        <f>VLOOKUP(Table55[[#This Row],[Shortname]], Comp[], 19, FALSE)</f>
        <v>0</v>
      </c>
      <c r="U255">
        <f>VLOOKUP(Table55[[#This Row],[Shortname]], Comp[], 20, FALSE)</f>
        <v>0</v>
      </c>
      <c r="V255">
        <f>VLOOKUP(Table55[[#This Row],[Shortname]], Comp[], 21, FALSE)</f>
        <v>0</v>
      </c>
      <c r="W255">
        <f>VLOOKUP(Table55[[#This Row],[Shortname]], Comp[], 22, FALSE)</f>
        <v>0</v>
      </c>
      <c r="X255">
        <f>VLOOKUP(Table55[[#This Row],[Shortname]], Comp[], 23, FALSE)</f>
        <v>0</v>
      </c>
      <c r="Y255">
        <f>VLOOKUP(Table55[[#This Row],[Shortname]], Comp[], 24, FALSE)</f>
        <v>0</v>
      </c>
      <c r="Z255">
        <f>VLOOKUP(Table55[[#This Row],[Shortname]], Comp[], 25, FALSE)</f>
        <v>0</v>
      </c>
      <c r="AA255">
        <f>VLOOKUP(Table55[[#This Row],[Shortname]], Comp[], 26, FALSE)</f>
        <v>0</v>
      </c>
      <c r="AB255">
        <f>VLOOKUP(Table55[[#This Row],[Shortname]], Comp[], 27, FALSE)</f>
        <v>0</v>
      </c>
      <c r="AC255">
        <f>VLOOKUP(Table55[[#This Row],[Shortname]], Comp[], 28, FALSE)</f>
        <v>0</v>
      </c>
      <c r="AD255">
        <f>VLOOKUP(Table55[[#This Row],[Shortname]], Comp[], 29, FALSE)</f>
        <v>0</v>
      </c>
      <c r="AE255">
        <f>VLOOKUP(Table55[[#This Row],[Shortname]], Comp[], 30, FALSE)</f>
        <v>0</v>
      </c>
      <c r="AF255">
        <f>VLOOKUP(Table55[[#This Row],[Shortname]], Comp[], 31, FALSE)</f>
        <v>0</v>
      </c>
    </row>
    <row r="256" spans="1:32" x14ac:dyDescent="0.3">
      <c r="A256" s="7" t="s">
        <v>689</v>
      </c>
      <c r="B256" s="7" t="s">
        <v>4972</v>
      </c>
      <c r="C256" s="3" t="s">
        <v>4968</v>
      </c>
      <c r="D256">
        <v>1049</v>
      </c>
      <c r="E256">
        <v>1464</v>
      </c>
      <c r="H256" s="14">
        <f>VLOOKUP(Table55[[#This Row],[Shortname]], Comp[], 7, FALSE)</f>
        <v>46</v>
      </c>
      <c r="I256">
        <f>VLOOKUP(Table55[[#This Row],[Shortname]], Comp[], 8, FALSE)</f>
        <v>35</v>
      </c>
      <c r="J256">
        <f>VLOOKUP(Table55[[#This Row],[Shortname]], Comp[], 9, FALSE)</f>
        <v>9</v>
      </c>
      <c r="K256">
        <f>VLOOKUP(Table55[[#This Row],[Shortname]], Comp[], 10, FALSE)</f>
        <v>0</v>
      </c>
      <c r="L256">
        <f>VLOOKUP(Table55[[#This Row],[Shortname]], Comp[], 11, FALSE)</f>
        <v>10</v>
      </c>
      <c r="M256">
        <f>VLOOKUP(Table55[[#This Row],[Shortname]], Comp[],12, FALSE)</f>
        <v>0</v>
      </c>
      <c r="N256">
        <f>VLOOKUP(Table55[[#This Row],[Shortname]], Comp[], 13, FALSE)</f>
        <v>0</v>
      </c>
      <c r="O256">
        <f>VLOOKUP(Table55[[#This Row],[Shortname]], Comp[], 14, FALSE)</f>
        <v>0</v>
      </c>
      <c r="P256">
        <f>VLOOKUP(Table55[[#This Row],[Shortname]], Comp[], 15, FALSE)</f>
        <v>0</v>
      </c>
      <c r="Q256">
        <f>VLOOKUP(Table55[[#This Row],[Shortname]], Comp[], 16, FALSE)</f>
        <v>0</v>
      </c>
      <c r="R256">
        <f>VLOOKUP(Table55[[#This Row],[Shortname]], Comp[], 17, FALSE)</f>
        <v>0</v>
      </c>
      <c r="S256">
        <f>VLOOKUP(Table55[[#This Row],[Shortname]], Comp[], 18, FALSE)</f>
        <v>0</v>
      </c>
      <c r="T256">
        <f>VLOOKUP(Table55[[#This Row],[Shortname]], Comp[], 19, FALSE)</f>
        <v>0</v>
      </c>
      <c r="U256">
        <f>VLOOKUP(Table55[[#This Row],[Shortname]], Comp[], 20, FALSE)</f>
        <v>0</v>
      </c>
      <c r="V256">
        <f>VLOOKUP(Table55[[#This Row],[Shortname]], Comp[], 21, FALSE)</f>
        <v>0</v>
      </c>
      <c r="W256">
        <f>VLOOKUP(Table55[[#This Row],[Shortname]], Comp[], 22, FALSE)</f>
        <v>0</v>
      </c>
      <c r="X256">
        <f>VLOOKUP(Table55[[#This Row],[Shortname]], Comp[], 23, FALSE)</f>
        <v>0</v>
      </c>
      <c r="Y256">
        <f>VLOOKUP(Table55[[#This Row],[Shortname]], Comp[], 24, FALSE)</f>
        <v>0</v>
      </c>
      <c r="Z256">
        <f>VLOOKUP(Table55[[#This Row],[Shortname]], Comp[], 25, FALSE)</f>
        <v>0</v>
      </c>
      <c r="AA256">
        <f>VLOOKUP(Table55[[#This Row],[Shortname]], Comp[], 26, FALSE)</f>
        <v>0</v>
      </c>
      <c r="AB256">
        <f>VLOOKUP(Table55[[#This Row],[Shortname]], Comp[], 27, FALSE)</f>
        <v>0</v>
      </c>
      <c r="AC256">
        <f>VLOOKUP(Table55[[#This Row],[Shortname]], Comp[], 28, FALSE)</f>
        <v>0</v>
      </c>
      <c r="AD256">
        <f>VLOOKUP(Table55[[#This Row],[Shortname]], Comp[], 29, FALSE)</f>
        <v>0</v>
      </c>
      <c r="AE256">
        <f>VLOOKUP(Table55[[#This Row],[Shortname]], Comp[], 30, FALSE)</f>
        <v>0</v>
      </c>
      <c r="AF256">
        <f>VLOOKUP(Table55[[#This Row],[Shortname]], Comp[], 31, FALSE)</f>
        <v>0</v>
      </c>
    </row>
    <row r="257" spans="1:32" x14ac:dyDescent="0.3">
      <c r="A257" s="7" t="s">
        <v>682</v>
      </c>
      <c r="B257" s="7" t="s">
        <v>4970</v>
      </c>
      <c r="C257" s="3" t="s">
        <v>4968</v>
      </c>
      <c r="D257">
        <v>1037</v>
      </c>
      <c r="E257">
        <v>1464</v>
      </c>
      <c r="H257" s="14">
        <f>VLOOKUP(Table55[[#This Row],[Shortname]], Comp[], 7, FALSE)</f>
        <v>56</v>
      </c>
      <c r="I257">
        <f>VLOOKUP(Table55[[#This Row],[Shortname]], Comp[], 8, FALSE)</f>
        <v>25</v>
      </c>
      <c r="J257">
        <f>VLOOKUP(Table55[[#This Row],[Shortname]], Comp[], 9, FALSE)</f>
        <v>9</v>
      </c>
      <c r="K257">
        <f>VLOOKUP(Table55[[#This Row],[Shortname]], Comp[], 10, FALSE)</f>
        <v>0</v>
      </c>
      <c r="L257">
        <f>VLOOKUP(Table55[[#This Row],[Shortname]], Comp[], 11, FALSE)</f>
        <v>10</v>
      </c>
      <c r="M257">
        <f>VLOOKUP(Table55[[#This Row],[Shortname]], Comp[],12, FALSE)</f>
        <v>0</v>
      </c>
      <c r="N257">
        <f>VLOOKUP(Table55[[#This Row],[Shortname]], Comp[], 13, FALSE)</f>
        <v>0</v>
      </c>
      <c r="O257">
        <f>VLOOKUP(Table55[[#This Row],[Shortname]], Comp[], 14, FALSE)</f>
        <v>0</v>
      </c>
      <c r="P257">
        <f>VLOOKUP(Table55[[#This Row],[Shortname]], Comp[], 15, FALSE)</f>
        <v>0</v>
      </c>
      <c r="Q257">
        <f>VLOOKUP(Table55[[#This Row],[Shortname]], Comp[], 16, FALSE)</f>
        <v>0</v>
      </c>
      <c r="R257">
        <f>VLOOKUP(Table55[[#This Row],[Shortname]], Comp[], 17, FALSE)</f>
        <v>0</v>
      </c>
      <c r="S257">
        <f>VLOOKUP(Table55[[#This Row],[Shortname]], Comp[], 18, FALSE)</f>
        <v>0</v>
      </c>
      <c r="T257">
        <f>VLOOKUP(Table55[[#This Row],[Shortname]], Comp[], 19, FALSE)</f>
        <v>0</v>
      </c>
      <c r="U257">
        <f>VLOOKUP(Table55[[#This Row],[Shortname]], Comp[], 20, FALSE)</f>
        <v>0</v>
      </c>
      <c r="V257">
        <f>VLOOKUP(Table55[[#This Row],[Shortname]], Comp[], 21, FALSE)</f>
        <v>0</v>
      </c>
      <c r="W257">
        <f>VLOOKUP(Table55[[#This Row],[Shortname]], Comp[], 22, FALSE)</f>
        <v>0</v>
      </c>
      <c r="X257">
        <f>VLOOKUP(Table55[[#This Row],[Shortname]], Comp[], 23, FALSE)</f>
        <v>0</v>
      </c>
      <c r="Y257">
        <f>VLOOKUP(Table55[[#This Row],[Shortname]], Comp[], 24, FALSE)</f>
        <v>0</v>
      </c>
      <c r="Z257">
        <f>VLOOKUP(Table55[[#This Row],[Shortname]], Comp[], 25, FALSE)</f>
        <v>0</v>
      </c>
      <c r="AA257">
        <f>VLOOKUP(Table55[[#This Row],[Shortname]], Comp[], 26, FALSE)</f>
        <v>0</v>
      </c>
      <c r="AB257">
        <f>VLOOKUP(Table55[[#This Row],[Shortname]], Comp[], 27, FALSE)</f>
        <v>0</v>
      </c>
      <c r="AC257">
        <f>VLOOKUP(Table55[[#This Row],[Shortname]], Comp[], 28, FALSE)</f>
        <v>0</v>
      </c>
      <c r="AD257">
        <f>VLOOKUP(Table55[[#This Row],[Shortname]], Comp[], 29, FALSE)</f>
        <v>0</v>
      </c>
      <c r="AE257">
        <f>VLOOKUP(Table55[[#This Row],[Shortname]], Comp[], 30, FALSE)</f>
        <v>0</v>
      </c>
      <c r="AF257">
        <f>VLOOKUP(Table55[[#This Row],[Shortname]], Comp[], 31, FALSE)</f>
        <v>0</v>
      </c>
    </row>
    <row r="258" spans="1:32" x14ac:dyDescent="0.3">
      <c r="A258" s="7" t="s">
        <v>672</v>
      </c>
      <c r="B258" s="7" t="s">
        <v>4967</v>
      </c>
      <c r="C258" s="3" t="s">
        <v>4968</v>
      </c>
      <c r="D258">
        <v>1030</v>
      </c>
      <c r="E258">
        <v>1460</v>
      </c>
      <c r="H258" s="14">
        <f>VLOOKUP(Table55[[#This Row],[Shortname]], Comp[], 7, FALSE)</f>
        <v>66</v>
      </c>
      <c r="I258">
        <f>VLOOKUP(Table55[[#This Row],[Shortname]], Comp[], 8, FALSE)</f>
        <v>15</v>
      </c>
      <c r="J258">
        <f>VLOOKUP(Table55[[#This Row],[Shortname]], Comp[], 9, FALSE)</f>
        <v>9</v>
      </c>
      <c r="K258">
        <f>VLOOKUP(Table55[[#This Row],[Shortname]], Comp[], 10, FALSE)</f>
        <v>0</v>
      </c>
      <c r="L258">
        <f>VLOOKUP(Table55[[#This Row],[Shortname]], Comp[], 11, FALSE)</f>
        <v>10</v>
      </c>
      <c r="M258">
        <f>VLOOKUP(Table55[[#This Row],[Shortname]], Comp[],12, FALSE)</f>
        <v>0</v>
      </c>
      <c r="N258">
        <f>VLOOKUP(Table55[[#This Row],[Shortname]], Comp[], 13, FALSE)</f>
        <v>0</v>
      </c>
      <c r="O258">
        <f>VLOOKUP(Table55[[#This Row],[Shortname]], Comp[], 14, FALSE)</f>
        <v>0</v>
      </c>
      <c r="P258">
        <f>VLOOKUP(Table55[[#This Row],[Shortname]], Comp[], 15, FALSE)</f>
        <v>0</v>
      </c>
      <c r="Q258">
        <f>VLOOKUP(Table55[[#This Row],[Shortname]], Comp[], 16, FALSE)</f>
        <v>0</v>
      </c>
      <c r="R258">
        <f>VLOOKUP(Table55[[#This Row],[Shortname]], Comp[], 17, FALSE)</f>
        <v>0</v>
      </c>
      <c r="S258">
        <f>VLOOKUP(Table55[[#This Row],[Shortname]], Comp[], 18, FALSE)</f>
        <v>0</v>
      </c>
      <c r="T258">
        <f>VLOOKUP(Table55[[#This Row],[Shortname]], Comp[], 19, FALSE)</f>
        <v>0</v>
      </c>
      <c r="U258">
        <f>VLOOKUP(Table55[[#This Row],[Shortname]], Comp[], 20, FALSE)</f>
        <v>0</v>
      </c>
      <c r="V258">
        <f>VLOOKUP(Table55[[#This Row],[Shortname]], Comp[], 21, FALSE)</f>
        <v>0</v>
      </c>
      <c r="W258">
        <f>VLOOKUP(Table55[[#This Row],[Shortname]], Comp[], 22, FALSE)</f>
        <v>0</v>
      </c>
      <c r="X258">
        <f>VLOOKUP(Table55[[#This Row],[Shortname]], Comp[], 23, FALSE)</f>
        <v>0</v>
      </c>
      <c r="Y258">
        <f>VLOOKUP(Table55[[#This Row],[Shortname]], Comp[], 24, FALSE)</f>
        <v>0</v>
      </c>
      <c r="Z258">
        <f>VLOOKUP(Table55[[#This Row],[Shortname]], Comp[], 25, FALSE)</f>
        <v>0</v>
      </c>
      <c r="AA258">
        <f>VLOOKUP(Table55[[#This Row],[Shortname]], Comp[], 26, FALSE)</f>
        <v>0</v>
      </c>
      <c r="AB258">
        <f>VLOOKUP(Table55[[#This Row],[Shortname]], Comp[], 27, FALSE)</f>
        <v>0</v>
      </c>
      <c r="AC258">
        <f>VLOOKUP(Table55[[#This Row],[Shortname]], Comp[], 28, FALSE)</f>
        <v>0</v>
      </c>
      <c r="AD258">
        <f>VLOOKUP(Table55[[#This Row],[Shortname]], Comp[], 29, FALSE)</f>
        <v>0</v>
      </c>
      <c r="AE258">
        <f>VLOOKUP(Table55[[#This Row],[Shortname]], Comp[], 30, FALSE)</f>
        <v>0</v>
      </c>
      <c r="AF258">
        <f>VLOOKUP(Table55[[#This Row],[Shortname]], Comp[], 31, FALSE)</f>
        <v>0</v>
      </c>
    </row>
    <row r="259" spans="1:32" x14ac:dyDescent="0.3">
      <c r="A259" s="7" t="s">
        <v>1348</v>
      </c>
      <c r="B259" s="7" t="s">
        <v>2354</v>
      </c>
      <c r="C259" s="11" t="s">
        <v>6756</v>
      </c>
      <c r="D259">
        <v>1100</v>
      </c>
      <c r="E259">
        <v>1412</v>
      </c>
      <c r="F259">
        <v>1455</v>
      </c>
      <c r="H259" s="14">
        <f>VLOOKUP(Table55[[#This Row],[Shortname]], Comp[], 7, FALSE)</f>
        <v>79</v>
      </c>
      <c r="I259">
        <f>VLOOKUP(Table55[[#This Row],[Shortname]], Comp[], 8, FALSE)</f>
        <v>0</v>
      </c>
      <c r="J259">
        <f>VLOOKUP(Table55[[#This Row],[Shortname]], Comp[], 9, FALSE)</f>
        <v>9</v>
      </c>
      <c r="K259">
        <f>VLOOKUP(Table55[[#This Row],[Shortname]], Comp[], 10, FALSE)</f>
        <v>0</v>
      </c>
      <c r="L259">
        <f>VLOOKUP(Table55[[#This Row],[Shortname]], Comp[], 11, FALSE)</f>
        <v>10</v>
      </c>
      <c r="M259">
        <f>VLOOKUP(Table55[[#This Row],[Shortname]], Comp[],12, FALSE)</f>
        <v>0</v>
      </c>
      <c r="N259">
        <f>VLOOKUP(Table55[[#This Row],[Shortname]], Comp[], 13, FALSE)</f>
        <v>2</v>
      </c>
      <c r="O259">
        <f>VLOOKUP(Table55[[#This Row],[Shortname]], Comp[], 14, FALSE)</f>
        <v>0</v>
      </c>
      <c r="P259">
        <f>VLOOKUP(Table55[[#This Row],[Shortname]], Comp[], 15, FALSE)</f>
        <v>0</v>
      </c>
      <c r="Q259">
        <f>VLOOKUP(Table55[[#This Row],[Shortname]], Comp[], 16, FALSE)</f>
        <v>0</v>
      </c>
      <c r="R259">
        <f>VLOOKUP(Table55[[#This Row],[Shortname]], Comp[], 17, FALSE)</f>
        <v>0</v>
      </c>
      <c r="S259">
        <f>VLOOKUP(Table55[[#This Row],[Shortname]], Comp[], 18, FALSE)</f>
        <v>0</v>
      </c>
      <c r="T259">
        <f>VLOOKUP(Table55[[#This Row],[Shortname]], Comp[], 19, FALSE)</f>
        <v>0</v>
      </c>
      <c r="U259">
        <f>VLOOKUP(Table55[[#This Row],[Shortname]], Comp[], 20, FALSE)</f>
        <v>0</v>
      </c>
      <c r="V259">
        <f>VLOOKUP(Table55[[#This Row],[Shortname]], Comp[], 21, FALSE)</f>
        <v>0</v>
      </c>
      <c r="W259">
        <f>VLOOKUP(Table55[[#This Row],[Shortname]], Comp[], 22, FALSE)</f>
        <v>0</v>
      </c>
      <c r="X259">
        <f>VLOOKUP(Table55[[#This Row],[Shortname]], Comp[], 23, FALSE)</f>
        <v>0</v>
      </c>
      <c r="Y259">
        <f>VLOOKUP(Table55[[#This Row],[Shortname]], Comp[], 24, FALSE)</f>
        <v>0</v>
      </c>
      <c r="Z259">
        <f>VLOOKUP(Table55[[#This Row],[Shortname]], Comp[], 25, FALSE)</f>
        <v>0</v>
      </c>
      <c r="AA259">
        <f>VLOOKUP(Table55[[#This Row],[Shortname]], Comp[], 26, FALSE)</f>
        <v>0</v>
      </c>
      <c r="AB259">
        <f>VLOOKUP(Table55[[#This Row],[Shortname]], Comp[], 27, FALSE)</f>
        <v>0</v>
      </c>
      <c r="AC259">
        <f>VLOOKUP(Table55[[#This Row],[Shortname]], Comp[], 28, FALSE)</f>
        <v>0</v>
      </c>
      <c r="AD259">
        <f>VLOOKUP(Table55[[#This Row],[Shortname]], Comp[], 29, FALSE)</f>
        <v>0</v>
      </c>
      <c r="AE259">
        <f>VLOOKUP(Table55[[#This Row],[Shortname]], Comp[], 30, FALSE)</f>
        <v>0</v>
      </c>
      <c r="AF259">
        <f>VLOOKUP(Table55[[#This Row],[Shortname]], Comp[], 31, FALSE)</f>
        <v>0</v>
      </c>
    </row>
    <row r="260" spans="1:32" x14ac:dyDescent="0.3">
      <c r="A260" s="7" t="s">
        <v>3898</v>
      </c>
      <c r="B260" s="7" t="s">
        <v>3899</v>
      </c>
      <c r="C260" s="11" t="s">
        <v>6756</v>
      </c>
      <c r="D260">
        <v>1065</v>
      </c>
      <c r="E260">
        <v>1408</v>
      </c>
      <c r="F260">
        <v>1468</v>
      </c>
      <c r="H260" s="14">
        <f>VLOOKUP(Table55[[#This Row],[Shortname]], Comp[], 7, FALSE)</f>
        <v>79</v>
      </c>
      <c r="I260">
        <f>VLOOKUP(Table55[[#This Row],[Shortname]], Comp[], 8, FALSE)</f>
        <v>0</v>
      </c>
      <c r="J260">
        <f>VLOOKUP(Table55[[#This Row],[Shortname]], Comp[], 9, FALSE)</f>
        <v>9</v>
      </c>
      <c r="K260">
        <f>VLOOKUP(Table55[[#This Row],[Shortname]], Comp[], 10, FALSE)</f>
        <v>0</v>
      </c>
      <c r="L260">
        <f>VLOOKUP(Table55[[#This Row],[Shortname]], Comp[], 11, FALSE)</f>
        <v>10</v>
      </c>
      <c r="M260">
        <f>VLOOKUP(Table55[[#This Row],[Shortname]], Comp[],12, FALSE)</f>
        <v>2</v>
      </c>
      <c r="N260">
        <f>VLOOKUP(Table55[[#This Row],[Shortname]], Comp[], 13, FALSE)</f>
        <v>0</v>
      </c>
      <c r="O260">
        <f>VLOOKUP(Table55[[#This Row],[Shortname]], Comp[], 14, FALSE)</f>
        <v>0</v>
      </c>
      <c r="P260">
        <f>VLOOKUP(Table55[[#This Row],[Shortname]], Comp[], 15, FALSE)</f>
        <v>0</v>
      </c>
      <c r="Q260">
        <f>VLOOKUP(Table55[[#This Row],[Shortname]], Comp[], 16, FALSE)</f>
        <v>0</v>
      </c>
      <c r="R260">
        <f>VLOOKUP(Table55[[#This Row],[Shortname]], Comp[], 17, FALSE)</f>
        <v>0</v>
      </c>
      <c r="S260">
        <f>VLOOKUP(Table55[[#This Row],[Shortname]], Comp[], 18, FALSE)</f>
        <v>0</v>
      </c>
      <c r="T260">
        <f>VLOOKUP(Table55[[#This Row],[Shortname]], Comp[], 19, FALSE)</f>
        <v>0</v>
      </c>
      <c r="U260">
        <f>VLOOKUP(Table55[[#This Row],[Shortname]], Comp[], 20, FALSE)</f>
        <v>0</v>
      </c>
      <c r="V260">
        <f>VLOOKUP(Table55[[#This Row],[Shortname]], Comp[], 21, FALSE)</f>
        <v>0</v>
      </c>
      <c r="W260">
        <f>VLOOKUP(Table55[[#This Row],[Shortname]], Comp[], 22, FALSE)</f>
        <v>0</v>
      </c>
      <c r="X260">
        <f>VLOOKUP(Table55[[#This Row],[Shortname]], Comp[], 23, FALSE)</f>
        <v>0</v>
      </c>
      <c r="Y260">
        <f>VLOOKUP(Table55[[#This Row],[Shortname]], Comp[], 24, FALSE)</f>
        <v>0</v>
      </c>
      <c r="Z260">
        <f>VLOOKUP(Table55[[#This Row],[Shortname]], Comp[], 25, FALSE)</f>
        <v>0</v>
      </c>
      <c r="AA260">
        <f>VLOOKUP(Table55[[#This Row],[Shortname]], Comp[], 26, FALSE)</f>
        <v>0</v>
      </c>
      <c r="AB260">
        <f>VLOOKUP(Table55[[#This Row],[Shortname]], Comp[], 27, FALSE)</f>
        <v>0</v>
      </c>
      <c r="AC260">
        <f>VLOOKUP(Table55[[#This Row],[Shortname]], Comp[], 28, FALSE)</f>
        <v>0</v>
      </c>
      <c r="AD260">
        <f>VLOOKUP(Table55[[#This Row],[Shortname]], Comp[], 29, FALSE)</f>
        <v>0</v>
      </c>
      <c r="AE260">
        <f>VLOOKUP(Table55[[#This Row],[Shortname]], Comp[], 30, FALSE)</f>
        <v>0</v>
      </c>
      <c r="AF260">
        <f>VLOOKUP(Table55[[#This Row],[Shortname]], Comp[], 31, FALSE)</f>
        <v>0</v>
      </c>
    </row>
    <row r="261" spans="1:32" x14ac:dyDescent="0.3">
      <c r="A261" s="7" t="s">
        <v>3926</v>
      </c>
      <c r="B261" s="7" t="s">
        <v>3927</v>
      </c>
      <c r="C261" s="11" t="s">
        <v>6756</v>
      </c>
      <c r="D261">
        <v>1047</v>
      </c>
      <c r="E261">
        <v>1405</v>
      </c>
      <c r="F261">
        <v>1464</v>
      </c>
      <c r="H261" s="14">
        <f>VLOOKUP(Table55[[#This Row],[Shortname]], Comp[], 7, FALSE)</f>
        <v>79</v>
      </c>
      <c r="I261">
        <f>VLOOKUP(Table55[[#This Row],[Shortname]], Comp[], 8, FALSE)</f>
        <v>0</v>
      </c>
      <c r="J261">
        <f>VLOOKUP(Table55[[#This Row],[Shortname]], Comp[], 9, FALSE)</f>
        <v>9</v>
      </c>
      <c r="K261">
        <f>VLOOKUP(Table55[[#This Row],[Shortname]], Comp[], 10, FALSE)</f>
        <v>0</v>
      </c>
      <c r="L261">
        <f>VLOOKUP(Table55[[#This Row],[Shortname]], Comp[], 11, FALSE)</f>
        <v>10</v>
      </c>
      <c r="M261">
        <f>VLOOKUP(Table55[[#This Row],[Shortname]], Comp[],12, FALSE)</f>
        <v>0</v>
      </c>
      <c r="N261">
        <f>VLOOKUP(Table55[[#This Row],[Shortname]], Comp[], 13, FALSE)</f>
        <v>0</v>
      </c>
      <c r="O261">
        <f>VLOOKUP(Table55[[#This Row],[Shortname]], Comp[], 14, FALSE)</f>
        <v>2</v>
      </c>
      <c r="P261">
        <f>VLOOKUP(Table55[[#This Row],[Shortname]], Comp[], 15, FALSE)</f>
        <v>0</v>
      </c>
      <c r="Q261">
        <f>VLOOKUP(Table55[[#This Row],[Shortname]], Comp[], 16, FALSE)</f>
        <v>0</v>
      </c>
      <c r="R261">
        <f>VLOOKUP(Table55[[#This Row],[Shortname]], Comp[], 17, FALSE)</f>
        <v>0</v>
      </c>
      <c r="S261">
        <f>VLOOKUP(Table55[[#This Row],[Shortname]], Comp[], 18, FALSE)</f>
        <v>0</v>
      </c>
      <c r="T261">
        <f>VLOOKUP(Table55[[#This Row],[Shortname]], Comp[], 19, FALSE)</f>
        <v>0</v>
      </c>
      <c r="U261">
        <f>VLOOKUP(Table55[[#This Row],[Shortname]], Comp[], 20, FALSE)</f>
        <v>0</v>
      </c>
      <c r="V261">
        <f>VLOOKUP(Table55[[#This Row],[Shortname]], Comp[], 21, FALSE)</f>
        <v>0</v>
      </c>
      <c r="W261">
        <f>VLOOKUP(Table55[[#This Row],[Shortname]], Comp[], 22, FALSE)</f>
        <v>0</v>
      </c>
      <c r="X261">
        <f>VLOOKUP(Table55[[#This Row],[Shortname]], Comp[], 23, FALSE)</f>
        <v>0</v>
      </c>
      <c r="Y261">
        <f>VLOOKUP(Table55[[#This Row],[Shortname]], Comp[], 24, FALSE)</f>
        <v>0</v>
      </c>
      <c r="Z261">
        <f>VLOOKUP(Table55[[#This Row],[Shortname]], Comp[], 25, FALSE)</f>
        <v>0</v>
      </c>
      <c r="AA261">
        <f>VLOOKUP(Table55[[#This Row],[Shortname]], Comp[], 26, FALSE)</f>
        <v>0</v>
      </c>
      <c r="AB261">
        <f>VLOOKUP(Table55[[#This Row],[Shortname]], Comp[], 27, FALSE)</f>
        <v>0</v>
      </c>
      <c r="AC261">
        <f>VLOOKUP(Table55[[#This Row],[Shortname]], Comp[], 28, FALSE)</f>
        <v>0</v>
      </c>
      <c r="AD261">
        <f>VLOOKUP(Table55[[#This Row],[Shortname]], Comp[], 29, FALSE)</f>
        <v>0</v>
      </c>
      <c r="AE261">
        <f>VLOOKUP(Table55[[#This Row],[Shortname]], Comp[], 30, FALSE)</f>
        <v>0</v>
      </c>
      <c r="AF261">
        <f>VLOOKUP(Table55[[#This Row],[Shortname]], Comp[], 31, FALSE)</f>
        <v>0</v>
      </c>
    </row>
    <row r="262" spans="1:32" x14ac:dyDescent="0.3">
      <c r="A262" s="7" t="s">
        <v>2600</v>
      </c>
      <c r="B262" s="7" t="s">
        <v>3903</v>
      </c>
      <c r="C262" s="11" t="s">
        <v>6756</v>
      </c>
      <c r="D262">
        <v>1029</v>
      </c>
      <c r="E262">
        <v>1459</v>
      </c>
      <c r="F262">
        <v>1476</v>
      </c>
      <c r="H262" s="14">
        <f>VLOOKUP(Table55[[#This Row],[Shortname]], Comp[], 7, FALSE)</f>
        <v>81</v>
      </c>
      <c r="I262">
        <f>VLOOKUP(Table55[[#This Row],[Shortname]], Comp[], 8, FALSE)</f>
        <v>0</v>
      </c>
      <c r="J262">
        <f>VLOOKUP(Table55[[#This Row],[Shortname]], Comp[], 9, FALSE)</f>
        <v>9</v>
      </c>
      <c r="K262">
        <f>VLOOKUP(Table55[[#This Row],[Shortname]], Comp[], 10, FALSE)</f>
        <v>0</v>
      </c>
      <c r="L262">
        <f>VLOOKUP(Table55[[#This Row],[Shortname]], Comp[], 11, FALSE)</f>
        <v>10</v>
      </c>
      <c r="M262">
        <f>VLOOKUP(Table55[[#This Row],[Shortname]], Comp[],12, FALSE)</f>
        <v>0</v>
      </c>
      <c r="N262">
        <f>VLOOKUP(Table55[[#This Row],[Shortname]], Comp[], 13, FALSE)</f>
        <v>0</v>
      </c>
      <c r="O262">
        <f>VLOOKUP(Table55[[#This Row],[Shortname]], Comp[], 14, FALSE)</f>
        <v>0</v>
      </c>
      <c r="P262">
        <f>VLOOKUP(Table55[[#This Row],[Shortname]], Comp[], 15, FALSE)</f>
        <v>0</v>
      </c>
      <c r="Q262">
        <f>VLOOKUP(Table55[[#This Row],[Shortname]], Comp[], 16, FALSE)</f>
        <v>0</v>
      </c>
      <c r="R262">
        <f>VLOOKUP(Table55[[#This Row],[Shortname]], Comp[], 17, FALSE)</f>
        <v>0</v>
      </c>
      <c r="S262">
        <f>VLOOKUP(Table55[[#This Row],[Shortname]], Comp[], 18, FALSE)</f>
        <v>0</v>
      </c>
      <c r="T262">
        <f>VLOOKUP(Table55[[#This Row],[Shortname]], Comp[], 19, FALSE)</f>
        <v>0</v>
      </c>
      <c r="U262">
        <f>VLOOKUP(Table55[[#This Row],[Shortname]], Comp[], 20, FALSE)</f>
        <v>0</v>
      </c>
      <c r="V262">
        <f>VLOOKUP(Table55[[#This Row],[Shortname]], Comp[], 21, FALSE)</f>
        <v>0</v>
      </c>
      <c r="W262">
        <f>VLOOKUP(Table55[[#This Row],[Shortname]], Comp[], 22, FALSE)</f>
        <v>0</v>
      </c>
      <c r="X262">
        <f>VLOOKUP(Table55[[#This Row],[Shortname]], Comp[], 23, FALSE)</f>
        <v>0</v>
      </c>
      <c r="Y262">
        <f>VLOOKUP(Table55[[#This Row],[Shortname]], Comp[], 24, FALSE)</f>
        <v>0</v>
      </c>
      <c r="Z262">
        <f>VLOOKUP(Table55[[#This Row],[Shortname]], Comp[], 25, FALSE)</f>
        <v>0</v>
      </c>
      <c r="AA262">
        <f>VLOOKUP(Table55[[#This Row],[Shortname]], Comp[], 26, FALSE)</f>
        <v>0</v>
      </c>
      <c r="AB262">
        <f>VLOOKUP(Table55[[#This Row],[Shortname]], Comp[], 27, FALSE)</f>
        <v>0</v>
      </c>
      <c r="AC262">
        <f>VLOOKUP(Table55[[#This Row],[Shortname]], Comp[], 28, FALSE)</f>
        <v>0</v>
      </c>
      <c r="AD262">
        <f>VLOOKUP(Table55[[#This Row],[Shortname]], Comp[], 29, FALSE)</f>
        <v>0</v>
      </c>
      <c r="AE262">
        <f>VLOOKUP(Table55[[#This Row],[Shortname]], Comp[], 30, FALSE)</f>
        <v>0</v>
      </c>
      <c r="AF262">
        <f>VLOOKUP(Table55[[#This Row],[Shortname]], Comp[], 31, FALSE)</f>
        <v>0</v>
      </c>
    </row>
    <row r="263" spans="1:32" x14ac:dyDescent="0.3">
      <c r="A263" s="7" t="s">
        <v>3917</v>
      </c>
      <c r="B263" s="7" t="s">
        <v>1484</v>
      </c>
      <c r="C263" s="11" t="s">
        <v>6756</v>
      </c>
      <c r="D263">
        <v>1018</v>
      </c>
      <c r="E263">
        <v>1440</v>
      </c>
      <c r="F263">
        <v>1468</v>
      </c>
      <c r="H263" s="14">
        <f>VLOOKUP(Table55[[#This Row],[Shortname]], Comp[], 7, FALSE)</f>
        <v>79</v>
      </c>
      <c r="I263">
        <f>VLOOKUP(Table55[[#This Row],[Shortname]], Comp[], 8, FALSE)</f>
        <v>0</v>
      </c>
      <c r="J263">
        <f>VLOOKUP(Table55[[#This Row],[Shortname]], Comp[], 9, FALSE)</f>
        <v>9</v>
      </c>
      <c r="K263">
        <f>VLOOKUP(Table55[[#This Row],[Shortname]], Comp[], 10, FALSE)</f>
        <v>0</v>
      </c>
      <c r="L263">
        <f>VLOOKUP(Table55[[#This Row],[Shortname]], Comp[], 11, FALSE)</f>
        <v>10</v>
      </c>
      <c r="M263">
        <f>VLOOKUP(Table55[[#This Row],[Shortname]], Comp[],12, FALSE)</f>
        <v>0</v>
      </c>
      <c r="N263">
        <f>VLOOKUP(Table55[[#This Row],[Shortname]], Comp[], 13, FALSE)</f>
        <v>0</v>
      </c>
      <c r="O263">
        <f>VLOOKUP(Table55[[#This Row],[Shortname]], Comp[], 14, FALSE)</f>
        <v>0</v>
      </c>
      <c r="P263">
        <f>VLOOKUP(Table55[[#This Row],[Shortname]], Comp[], 15, FALSE)</f>
        <v>0</v>
      </c>
      <c r="Q263">
        <f>VLOOKUP(Table55[[#This Row],[Shortname]], Comp[], 16, FALSE)</f>
        <v>2</v>
      </c>
      <c r="R263">
        <f>VLOOKUP(Table55[[#This Row],[Shortname]], Comp[], 17, FALSE)</f>
        <v>0</v>
      </c>
      <c r="S263">
        <f>VLOOKUP(Table55[[#This Row],[Shortname]], Comp[], 18, FALSE)</f>
        <v>0</v>
      </c>
      <c r="T263">
        <f>VLOOKUP(Table55[[#This Row],[Shortname]], Comp[], 19, FALSE)</f>
        <v>0</v>
      </c>
      <c r="U263">
        <f>VLOOKUP(Table55[[#This Row],[Shortname]], Comp[], 20, FALSE)</f>
        <v>0</v>
      </c>
      <c r="V263">
        <f>VLOOKUP(Table55[[#This Row],[Shortname]], Comp[], 21, FALSE)</f>
        <v>0</v>
      </c>
      <c r="W263">
        <f>VLOOKUP(Table55[[#This Row],[Shortname]], Comp[], 22, FALSE)</f>
        <v>0</v>
      </c>
      <c r="X263">
        <f>VLOOKUP(Table55[[#This Row],[Shortname]], Comp[], 23, FALSE)</f>
        <v>0</v>
      </c>
      <c r="Y263">
        <f>VLOOKUP(Table55[[#This Row],[Shortname]], Comp[], 24, FALSE)</f>
        <v>0</v>
      </c>
      <c r="Z263">
        <f>VLOOKUP(Table55[[#This Row],[Shortname]], Comp[], 25, FALSE)</f>
        <v>0</v>
      </c>
      <c r="AA263">
        <f>VLOOKUP(Table55[[#This Row],[Shortname]], Comp[], 26, FALSE)</f>
        <v>0</v>
      </c>
      <c r="AB263">
        <f>VLOOKUP(Table55[[#This Row],[Shortname]], Comp[], 27, FALSE)</f>
        <v>0</v>
      </c>
      <c r="AC263">
        <f>VLOOKUP(Table55[[#This Row],[Shortname]], Comp[], 28, FALSE)</f>
        <v>0</v>
      </c>
      <c r="AD263">
        <f>VLOOKUP(Table55[[#This Row],[Shortname]], Comp[], 29, FALSE)</f>
        <v>0</v>
      </c>
      <c r="AE263">
        <f>VLOOKUP(Table55[[#This Row],[Shortname]], Comp[], 30, FALSE)</f>
        <v>0</v>
      </c>
      <c r="AF263">
        <f>VLOOKUP(Table55[[#This Row],[Shortname]], Comp[], 31, FALSE)</f>
        <v>0</v>
      </c>
    </row>
    <row r="264" spans="1:32" x14ac:dyDescent="0.3">
      <c r="A264" s="7" t="s">
        <v>3905</v>
      </c>
      <c r="B264" s="7" t="s">
        <v>3906</v>
      </c>
      <c r="C264" s="11" t="s">
        <v>6756</v>
      </c>
      <c r="D264">
        <v>997</v>
      </c>
      <c r="E264">
        <v>1443</v>
      </c>
      <c r="F264">
        <v>1472</v>
      </c>
      <c r="H264" s="14">
        <f>VLOOKUP(Table55[[#This Row],[Shortname]], Comp[], 7, FALSE)</f>
        <v>79</v>
      </c>
      <c r="I264">
        <f>VLOOKUP(Table55[[#This Row],[Shortname]], Comp[], 8, FALSE)</f>
        <v>0</v>
      </c>
      <c r="J264">
        <f>VLOOKUP(Table55[[#This Row],[Shortname]], Comp[], 9, FALSE)</f>
        <v>9</v>
      </c>
      <c r="K264">
        <f>VLOOKUP(Table55[[#This Row],[Shortname]], Comp[], 10, FALSE)</f>
        <v>0</v>
      </c>
      <c r="L264">
        <f>VLOOKUP(Table55[[#This Row],[Shortname]], Comp[], 11, FALSE)</f>
        <v>10</v>
      </c>
      <c r="M264">
        <f>VLOOKUP(Table55[[#This Row],[Shortname]], Comp[],12, FALSE)</f>
        <v>0</v>
      </c>
      <c r="N264">
        <f>VLOOKUP(Table55[[#This Row],[Shortname]], Comp[], 13, FALSE)</f>
        <v>0</v>
      </c>
      <c r="O264">
        <f>VLOOKUP(Table55[[#This Row],[Shortname]], Comp[], 14, FALSE)</f>
        <v>0</v>
      </c>
      <c r="P264">
        <f>VLOOKUP(Table55[[#This Row],[Shortname]], Comp[], 15, FALSE)</f>
        <v>2</v>
      </c>
      <c r="Q264">
        <f>VLOOKUP(Table55[[#This Row],[Shortname]], Comp[], 16, FALSE)</f>
        <v>0</v>
      </c>
      <c r="R264">
        <f>VLOOKUP(Table55[[#This Row],[Shortname]], Comp[], 17, FALSE)</f>
        <v>0</v>
      </c>
      <c r="S264">
        <f>VLOOKUP(Table55[[#This Row],[Shortname]], Comp[], 18, FALSE)</f>
        <v>0</v>
      </c>
      <c r="T264">
        <f>VLOOKUP(Table55[[#This Row],[Shortname]], Comp[], 19, FALSE)</f>
        <v>0</v>
      </c>
      <c r="U264">
        <f>VLOOKUP(Table55[[#This Row],[Shortname]], Comp[], 20, FALSE)</f>
        <v>0</v>
      </c>
      <c r="V264">
        <f>VLOOKUP(Table55[[#This Row],[Shortname]], Comp[], 21, FALSE)</f>
        <v>0</v>
      </c>
      <c r="W264">
        <f>VLOOKUP(Table55[[#This Row],[Shortname]], Comp[], 22, FALSE)</f>
        <v>0</v>
      </c>
      <c r="X264">
        <f>VLOOKUP(Table55[[#This Row],[Shortname]], Comp[], 23, FALSE)</f>
        <v>0</v>
      </c>
      <c r="Y264">
        <f>VLOOKUP(Table55[[#This Row],[Shortname]], Comp[], 24, FALSE)</f>
        <v>0</v>
      </c>
      <c r="Z264">
        <f>VLOOKUP(Table55[[#This Row],[Shortname]], Comp[], 25, FALSE)</f>
        <v>0</v>
      </c>
      <c r="AA264">
        <f>VLOOKUP(Table55[[#This Row],[Shortname]], Comp[], 26, FALSE)</f>
        <v>0</v>
      </c>
      <c r="AB264">
        <f>VLOOKUP(Table55[[#This Row],[Shortname]], Comp[], 27, FALSE)</f>
        <v>0</v>
      </c>
      <c r="AC264">
        <f>VLOOKUP(Table55[[#This Row],[Shortname]], Comp[], 28, FALSE)</f>
        <v>0</v>
      </c>
      <c r="AD264">
        <f>VLOOKUP(Table55[[#This Row],[Shortname]], Comp[], 29, FALSE)</f>
        <v>0</v>
      </c>
      <c r="AE264">
        <f>VLOOKUP(Table55[[#This Row],[Shortname]], Comp[], 30, FALSE)</f>
        <v>0</v>
      </c>
      <c r="AF264">
        <f>VLOOKUP(Table55[[#This Row],[Shortname]], Comp[], 31, FALSE)</f>
        <v>0</v>
      </c>
    </row>
    <row r="265" spans="1:32" x14ac:dyDescent="0.3">
      <c r="A265" s="7" t="s">
        <v>4163</v>
      </c>
      <c r="B265" s="7" t="s">
        <v>4165</v>
      </c>
      <c r="C265" s="3" t="s">
        <v>4158</v>
      </c>
      <c r="D265">
        <v>1169</v>
      </c>
      <c r="E265">
        <v>1209</v>
      </c>
      <c r="F265">
        <v>1311</v>
      </c>
      <c r="H265" s="14">
        <f>VLOOKUP(Table55[[#This Row],[Shortname]], Comp[], 7, FALSE)</f>
        <v>80.900000000000006</v>
      </c>
      <c r="I265">
        <f>VLOOKUP(Table55[[#This Row],[Shortname]], Comp[], 8, FALSE)</f>
        <v>0</v>
      </c>
      <c r="J265">
        <f>VLOOKUP(Table55[[#This Row],[Shortname]], Comp[], 9, FALSE)</f>
        <v>3</v>
      </c>
      <c r="K265">
        <f>VLOOKUP(Table55[[#This Row],[Shortname]], Comp[], 10, FALSE)</f>
        <v>0</v>
      </c>
      <c r="L265">
        <f>VLOOKUP(Table55[[#This Row],[Shortname]], Comp[], 11, FALSE)</f>
        <v>2.6</v>
      </c>
      <c r="M265">
        <f>VLOOKUP(Table55[[#This Row],[Shortname]], Comp[],12, FALSE)</f>
        <v>13.5</v>
      </c>
      <c r="N265">
        <f>VLOOKUP(Table55[[#This Row],[Shortname]], Comp[], 13, FALSE)</f>
        <v>0</v>
      </c>
      <c r="O265">
        <f>VLOOKUP(Table55[[#This Row],[Shortname]], Comp[], 14, FALSE)</f>
        <v>0</v>
      </c>
      <c r="P265">
        <f>VLOOKUP(Table55[[#This Row],[Shortname]], Comp[], 15, FALSE)</f>
        <v>0</v>
      </c>
      <c r="Q265">
        <f>VLOOKUP(Table55[[#This Row],[Shortname]], Comp[], 16, FALSE)</f>
        <v>0</v>
      </c>
      <c r="R265">
        <f>VLOOKUP(Table55[[#This Row],[Shortname]], Comp[], 17, FALSE)</f>
        <v>0</v>
      </c>
      <c r="S265">
        <f>VLOOKUP(Table55[[#This Row],[Shortname]], Comp[], 18, FALSE)</f>
        <v>0</v>
      </c>
      <c r="T265">
        <f>VLOOKUP(Table55[[#This Row],[Shortname]], Comp[], 19, FALSE)</f>
        <v>0</v>
      </c>
      <c r="U265">
        <f>VLOOKUP(Table55[[#This Row],[Shortname]], Comp[], 20, FALSE)</f>
        <v>0</v>
      </c>
      <c r="V265">
        <f>VLOOKUP(Table55[[#This Row],[Shortname]], Comp[], 21, FALSE)</f>
        <v>0</v>
      </c>
      <c r="W265">
        <f>VLOOKUP(Table55[[#This Row],[Shortname]], Comp[], 22, FALSE)</f>
        <v>0</v>
      </c>
      <c r="X265">
        <f>VLOOKUP(Table55[[#This Row],[Shortname]], Comp[], 23, FALSE)</f>
        <v>0</v>
      </c>
      <c r="Y265">
        <f>VLOOKUP(Table55[[#This Row],[Shortname]], Comp[], 24, FALSE)</f>
        <v>0</v>
      </c>
      <c r="Z265">
        <f>VLOOKUP(Table55[[#This Row],[Shortname]], Comp[], 25, FALSE)</f>
        <v>0</v>
      </c>
      <c r="AA265">
        <f>VLOOKUP(Table55[[#This Row],[Shortname]], Comp[], 26, FALSE)</f>
        <v>0</v>
      </c>
      <c r="AB265">
        <f>VLOOKUP(Table55[[#This Row],[Shortname]], Comp[], 27, FALSE)</f>
        <v>0</v>
      </c>
      <c r="AC265">
        <f>VLOOKUP(Table55[[#This Row],[Shortname]], Comp[], 28, FALSE)</f>
        <v>0</v>
      </c>
      <c r="AD265">
        <f>VLOOKUP(Table55[[#This Row],[Shortname]], Comp[], 29, FALSE)</f>
        <v>0</v>
      </c>
      <c r="AE265">
        <f>VLOOKUP(Table55[[#This Row],[Shortname]], Comp[], 30, FALSE)</f>
        <v>0</v>
      </c>
      <c r="AF265">
        <f>VLOOKUP(Table55[[#This Row],[Shortname]], Comp[], 31, FALSE)</f>
        <v>0</v>
      </c>
    </row>
    <row r="266" spans="1:32" x14ac:dyDescent="0.3">
      <c r="A266" s="7" t="s">
        <v>4178</v>
      </c>
      <c r="B266" s="7" t="s">
        <v>4180</v>
      </c>
      <c r="C266" s="3" t="s">
        <v>4158</v>
      </c>
      <c r="D266">
        <v>1158</v>
      </c>
      <c r="E266">
        <v>1199</v>
      </c>
      <c r="F266">
        <v>1315</v>
      </c>
      <c r="H266" s="14">
        <f>VLOOKUP(Table55[[#This Row],[Shortname]], Comp[], 7, FALSE)</f>
        <v>82</v>
      </c>
      <c r="I266">
        <f>VLOOKUP(Table55[[#This Row],[Shortname]], Comp[], 8, FALSE)</f>
        <v>2.1</v>
      </c>
      <c r="J266">
        <f>VLOOKUP(Table55[[#This Row],[Shortname]], Comp[], 9, FALSE)</f>
        <v>0</v>
      </c>
      <c r="K266">
        <f>VLOOKUP(Table55[[#This Row],[Shortname]], Comp[], 10, FALSE)</f>
        <v>0</v>
      </c>
      <c r="L266">
        <f>VLOOKUP(Table55[[#This Row],[Shortname]], Comp[], 11, FALSE)</f>
        <v>2.7</v>
      </c>
      <c r="M266">
        <f>VLOOKUP(Table55[[#This Row],[Shortname]], Comp[],12, FALSE)</f>
        <v>13.2</v>
      </c>
      <c r="N266">
        <f>VLOOKUP(Table55[[#This Row],[Shortname]], Comp[], 13, FALSE)</f>
        <v>0</v>
      </c>
      <c r="O266">
        <f>VLOOKUP(Table55[[#This Row],[Shortname]], Comp[], 14, FALSE)</f>
        <v>0</v>
      </c>
      <c r="P266">
        <f>VLOOKUP(Table55[[#This Row],[Shortname]], Comp[], 15, FALSE)</f>
        <v>0</v>
      </c>
      <c r="Q266">
        <f>VLOOKUP(Table55[[#This Row],[Shortname]], Comp[], 16, FALSE)</f>
        <v>0</v>
      </c>
      <c r="R266">
        <f>VLOOKUP(Table55[[#This Row],[Shortname]], Comp[], 17, FALSE)</f>
        <v>0</v>
      </c>
      <c r="S266">
        <f>VLOOKUP(Table55[[#This Row],[Shortname]], Comp[], 18, FALSE)</f>
        <v>0</v>
      </c>
      <c r="T266">
        <f>VLOOKUP(Table55[[#This Row],[Shortname]], Comp[], 19, FALSE)</f>
        <v>0</v>
      </c>
      <c r="U266">
        <f>VLOOKUP(Table55[[#This Row],[Shortname]], Comp[], 20, FALSE)</f>
        <v>0</v>
      </c>
      <c r="V266">
        <f>VLOOKUP(Table55[[#This Row],[Shortname]], Comp[], 21, FALSE)</f>
        <v>0</v>
      </c>
      <c r="W266">
        <f>VLOOKUP(Table55[[#This Row],[Shortname]], Comp[], 22, FALSE)</f>
        <v>0</v>
      </c>
      <c r="X266">
        <f>VLOOKUP(Table55[[#This Row],[Shortname]], Comp[], 23, FALSE)</f>
        <v>0</v>
      </c>
      <c r="Y266">
        <f>VLOOKUP(Table55[[#This Row],[Shortname]], Comp[], 24, FALSE)</f>
        <v>0</v>
      </c>
      <c r="Z266">
        <f>VLOOKUP(Table55[[#This Row],[Shortname]], Comp[], 25, FALSE)</f>
        <v>0</v>
      </c>
      <c r="AA266">
        <f>VLOOKUP(Table55[[#This Row],[Shortname]], Comp[], 26, FALSE)</f>
        <v>0</v>
      </c>
      <c r="AB266">
        <f>VLOOKUP(Table55[[#This Row],[Shortname]], Comp[], 27, FALSE)</f>
        <v>0</v>
      </c>
      <c r="AC266">
        <f>VLOOKUP(Table55[[#This Row],[Shortname]], Comp[], 28, FALSE)</f>
        <v>0</v>
      </c>
      <c r="AD266">
        <f>VLOOKUP(Table55[[#This Row],[Shortname]], Comp[], 29, FALSE)</f>
        <v>0</v>
      </c>
      <c r="AE266">
        <f>VLOOKUP(Table55[[#This Row],[Shortname]], Comp[], 30, FALSE)</f>
        <v>0</v>
      </c>
      <c r="AF266">
        <f>VLOOKUP(Table55[[#This Row],[Shortname]], Comp[], 31, FALSE)</f>
        <v>0</v>
      </c>
    </row>
    <row r="267" spans="1:32" x14ac:dyDescent="0.3">
      <c r="A267" s="7" t="s">
        <v>4186</v>
      </c>
      <c r="B267" s="7" t="s">
        <v>4188</v>
      </c>
      <c r="C267" s="3" t="s">
        <v>4158</v>
      </c>
      <c r="D267">
        <v>1157</v>
      </c>
      <c r="E267">
        <v>1192</v>
      </c>
      <c r="F267">
        <v>1313</v>
      </c>
      <c r="H267" s="14">
        <f>VLOOKUP(Table55[[#This Row],[Shortname]], Comp[], 7, FALSE)</f>
        <v>78.2</v>
      </c>
      <c r="I267">
        <f>VLOOKUP(Table55[[#This Row],[Shortname]], Comp[], 8, FALSE)</f>
        <v>4.2</v>
      </c>
      <c r="J267">
        <f>VLOOKUP(Table55[[#This Row],[Shortname]], Comp[], 9, FALSE)</f>
        <v>0</v>
      </c>
      <c r="K267">
        <f>VLOOKUP(Table55[[#This Row],[Shortname]], Comp[], 10, FALSE)</f>
        <v>0</v>
      </c>
      <c r="L267">
        <f>VLOOKUP(Table55[[#This Row],[Shortname]], Comp[], 11, FALSE)</f>
        <v>4.9000000000000004</v>
      </c>
      <c r="M267">
        <f>VLOOKUP(Table55[[#This Row],[Shortname]], Comp[],12, FALSE)</f>
        <v>12.7</v>
      </c>
      <c r="N267">
        <f>VLOOKUP(Table55[[#This Row],[Shortname]], Comp[], 13, FALSE)</f>
        <v>0</v>
      </c>
      <c r="O267">
        <f>VLOOKUP(Table55[[#This Row],[Shortname]], Comp[], 14, FALSE)</f>
        <v>0</v>
      </c>
      <c r="P267">
        <f>VLOOKUP(Table55[[#This Row],[Shortname]], Comp[], 15, FALSE)</f>
        <v>0</v>
      </c>
      <c r="Q267">
        <f>VLOOKUP(Table55[[#This Row],[Shortname]], Comp[], 16, FALSE)</f>
        <v>0</v>
      </c>
      <c r="R267">
        <f>VLOOKUP(Table55[[#This Row],[Shortname]], Comp[], 17, FALSE)</f>
        <v>0</v>
      </c>
      <c r="S267">
        <f>VLOOKUP(Table55[[#This Row],[Shortname]], Comp[], 18, FALSE)</f>
        <v>0</v>
      </c>
      <c r="T267">
        <f>VLOOKUP(Table55[[#This Row],[Shortname]], Comp[], 19, FALSE)</f>
        <v>0</v>
      </c>
      <c r="U267">
        <f>VLOOKUP(Table55[[#This Row],[Shortname]], Comp[], 20, FALSE)</f>
        <v>0</v>
      </c>
      <c r="V267">
        <f>VLOOKUP(Table55[[#This Row],[Shortname]], Comp[], 21, FALSE)</f>
        <v>0</v>
      </c>
      <c r="W267">
        <f>VLOOKUP(Table55[[#This Row],[Shortname]], Comp[], 22, FALSE)</f>
        <v>0</v>
      </c>
      <c r="X267">
        <f>VLOOKUP(Table55[[#This Row],[Shortname]], Comp[], 23, FALSE)</f>
        <v>0</v>
      </c>
      <c r="Y267">
        <f>VLOOKUP(Table55[[#This Row],[Shortname]], Comp[], 24, FALSE)</f>
        <v>0</v>
      </c>
      <c r="Z267">
        <f>VLOOKUP(Table55[[#This Row],[Shortname]], Comp[], 25, FALSE)</f>
        <v>0</v>
      </c>
      <c r="AA267">
        <f>VLOOKUP(Table55[[#This Row],[Shortname]], Comp[], 26, FALSE)</f>
        <v>0</v>
      </c>
      <c r="AB267">
        <f>VLOOKUP(Table55[[#This Row],[Shortname]], Comp[], 27, FALSE)</f>
        <v>0</v>
      </c>
      <c r="AC267">
        <f>VLOOKUP(Table55[[#This Row],[Shortname]], Comp[], 28, FALSE)</f>
        <v>0</v>
      </c>
      <c r="AD267">
        <f>VLOOKUP(Table55[[#This Row],[Shortname]], Comp[], 29, FALSE)</f>
        <v>0</v>
      </c>
      <c r="AE267">
        <f>VLOOKUP(Table55[[#This Row],[Shortname]], Comp[], 30, FALSE)</f>
        <v>0</v>
      </c>
      <c r="AF267">
        <f>VLOOKUP(Table55[[#This Row],[Shortname]], Comp[], 31, FALSE)</f>
        <v>0</v>
      </c>
    </row>
    <row r="268" spans="1:32" x14ac:dyDescent="0.3">
      <c r="A268" s="7" t="s">
        <v>4171</v>
      </c>
      <c r="B268" s="7" t="s">
        <v>4173</v>
      </c>
      <c r="C268" s="3" t="s">
        <v>4158</v>
      </c>
      <c r="D268">
        <v>1153</v>
      </c>
      <c r="E268">
        <v>1202</v>
      </c>
      <c r="F268">
        <v>1311</v>
      </c>
      <c r="H268" s="14">
        <f>VLOOKUP(Table55[[#This Row],[Shortname]], Comp[], 7, FALSE)</f>
        <v>78.5</v>
      </c>
      <c r="I268">
        <f>VLOOKUP(Table55[[#This Row],[Shortname]], Comp[], 8, FALSE)</f>
        <v>0</v>
      </c>
      <c r="J268">
        <f>VLOOKUP(Table55[[#This Row],[Shortname]], Comp[], 9, FALSE)</f>
        <v>5.6</v>
      </c>
      <c r="K268">
        <f>VLOOKUP(Table55[[#This Row],[Shortname]], Comp[], 10, FALSE)</f>
        <v>0</v>
      </c>
      <c r="L268">
        <f>VLOOKUP(Table55[[#This Row],[Shortname]], Comp[], 11, FALSE)</f>
        <v>2.6</v>
      </c>
      <c r="M268">
        <f>VLOOKUP(Table55[[#This Row],[Shortname]], Comp[],12, FALSE)</f>
        <v>13.3</v>
      </c>
      <c r="N268">
        <f>VLOOKUP(Table55[[#This Row],[Shortname]], Comp[], 13, FALSE)</f>
        <v>0</v>
      </c>
      <c r="O268">
        <f>VLOOKUP(Table55[[#This Row],[Shortname]], Comp[], 14, FALSE)</f>
        <v>0</v>
      </c>
      <c r="P268">
        <f>VLOOKUP(Table55[[#This Row],[Shortname]], Comp[], 15, FALSE)</f>
        <v>0</v>
      </c>
      <c r="Q268">
        <f>VLOOKUP(Table55[[#This Row],[Shortname]], Comp[], 16, FALSE)</f>
        <v>0</v>
      </c>
      <c r="R268">
        <f>VLOOKUP(Table55[[#This Row],[Shortname]], Comp[], 17, FALSE)</f>
        <v>0</v>
      </c>
      <c r="S268">
        <f>VLOOKUP(Table55[[#This Row],[Shortname]], Comp[], 18, FALSE)</f>
        <v>0</v>
      </c>
      <c r="T268">
        <f>VLOOKUP(Table55[[#This Row],[Shortname]], Comp[], 19, FALSE)</f>
        <v>0</v>
      </c>
      <c r="U268">
        <f>VLOOKUP(Table55[[#This Row],[Shortname]], Comp[], 20, FALSE)</f>
        <v>0</v>
      </c>
      <c r="V268">
        <f>VLOOKUP(Table55[[#This Row],[Shortname]], Comp[], 21, FALSE)</f>
        <v>0</v>
      </c>
      <c r="W268">
        <f>VLOOKUP(Table55[[#This Row],[Shortname]], Comp[], 22, FALSE)</f>
        <v>0</v>
      </c>
      <c r="X268">
        <f>VLOOKUP(Table55[[#This Row],[Shortname]], Comp[], 23, FALSE)</f>
        <v>0</v>
      </c>
      <c r="Y268">
        <f>VLOOKUP(Table55[[#This Row],[Shortname]], Comp[], 24, FALSE)</f>
        <v>0</v>
      </c>
      <c r="Z268">
        <f>VLOOKUP(Table55[[#This Row],[Shortname]], Comp[], 25, FALSE)</f>
        <v>0</v>
      </c>
      <c r="AA268">
        <f>VLOOKUP(Table55[[#This Row],[Shortname]], Comp[], 26, FALSE)</f>
        <v>0</v>
      </c>
      <c r="AB268">
        <f>VLOOKUP(Table55[[#This Row],[Shortname]], Comp[], 27, FALSE)</f>
        <v>0</v>
      </c>
      <c r="AC268">
        <f>VLOOKUP(Table55[[#This Row],[Shortname]], Comp[], 28, FALSE)</f>
        <v>0</v>
      </c>
      <c r="AD268">
        <f>VLOOKUP(Table55[[#This Row],[Shortname]], Comp[], 29, FALSE)</f>
        <v>0</v>
      </c>
      <c r="AE268">
        <f>VLOOKUP(Table55[[#This Row],[Shortname]], Comp[], 30, FALSE)</f>
        <v>0</v>
      </c>
      <c r="AF268">
        <f>VLOOKUP(Table55[[#This Row],[Shortname]], Comp[], 31, FALSE)</f>
        <v>0</v>
      </c>
    </row>
    <row r="269" spans="1:32" x14ac:dyDescent="0.3">
      <c r="A269" s="7" t="s">
        <v>4155</v>
      </c>
      <c r="B269" s="7" t="s">
        <v>4157</v>
      </c>
      <c r="C269" s="3" t="s">
        <v>4158</v>
      </c>
      <c r="D269">
        <v>1144</v>
      </c>
      <c r="E269">
        <v>1216</v>
      </c>
      <c r="F269">
        <v>1318</v>
      </c>
      <c r="H269" s="14">
        <f>VLOOKUP(Table55[[#This Row],[Shortname]], Comp[], 7, FALSE)</f>
        <v>82.2</v>
      </c>
      <c r="I269">
        <f>VLOOKUP(Table55[[#This Row],[Shortname]], Comp[], 8, FALSE)</f>
        <v>0</v>
      </c>
      <c r="J269">
        <f>VLOOKUP(Table55[[#This Row],[Shortname]], Comp[], 9, FALSE)</f>
        <v>0</v>
      </c>
      <c r="K269">
        <f>VLOOKUP(Table55[[#This Row],[Shortname]], Comp[], 10, FALSE)</f>
        <v>0</v>
      </c>
      <c r="L269">
        <f>VLOOKUP(Table55[[#This Row],[Shortname]], Comp[], 11, FALSE)</f>
        <v>3.1</v>
      </c>
      <c r="M269">
        <f>VLOOKUP(Table55[[#This Row],[Shortname]], Comp[],12, FALSE)</f>
        <v>14.7</v>
      </c>
      <c r="N269">
        <f>VLOOKUP(Table55[[#This Row],[Shortname]], Comp[], 13, FALSE)</f>
        <v>0</v>
      </c>
      <c r="O269">
        <f>VLOOKUP(Table55[[#This Row],[Shortname]], Comp[], 14, FALSE)</f>
        <v>0</v>
      </c>
      <c r="P269">
        <f>VLOOKUP(Table55[[#This Row],[Shortname]], Comp[], 15, FALSE)</f>
        <v>0</v>
      </c>
      <c r="Q269">
        <f>VLOOKUP(Table55[[#This Row],[Shortname]], Comp[], 16, FALSE)</f>
        <v>0</v>
      </c>
      <c r="R269">
        <f>VLOOKUP(Table55[[#This Row],[Shortname]], Comp[], 17, FALSE)</f>
        <v>0</v>
      </c>
      <c r="S269">
        <f>VLOOKUP(Table55[[#This Row],[Shortname]], Comp[], 18, FALSE)</f>
        <v>0</v>
      </c>
      <c r="T269">
        <f>VLOOKUP(Table55[[#This Row],[Shortname]], Comp[], 19, FALSE)</f>
        <v>0</v>
      </c>
      <c r="U269">
        <f>VLOOKUP(Table55[[#This Row],[Shortname]], Comp[], 20, FALSE)</f>
        <v>0</v>
      </c>
      <c r="V269">
        <f>VLOOKUP(Table55[[#This Row],[Shortname]], Comp[], 21, FALSE)</f>
        <v>0</v>
      </c>
      <c r="W269">
        <f>VLOOKUP(Table55[[#This Row],[Shortname]], Comp[], 22, FALSE)</f>
        <v>0</v>
      </c>
      <c r="X269">
        <f>VLOOKUP(Table55[[#This Row],[Shortname]], Comp[], 23, FALSE)</f>
        <v>0</v>
      </c>
      <c r="Y269">
        <f>VLOOKUP(Table55[[#This Row],[Shortname]], Comp[], 24, FALSE)</f>
        <v>0</v>
      </c>
      <c r="Z269">
        <f>VLOOKUP(Table55[[#This Row],[Shortname]], Comp[], 25, FALSE)</f>
        <v>0</v>
      </c>
      <c r="AA269">
        <f>VLOOKUP(Table55[[#This Row],[Shortname]], Comp[], 26, FALSE)</f>
        <v>0</v>
      </c>
      <c r="AB269">
        <f>VLOOKUP(Table55[[#This Row],[Shortname]], Comp[], 27, FALSE)</f>
        <v>0</v>
      </c>
      <c r="AC269">
        <f>VLOOKUP(Table55[[#This Row],[Shortname]], Comp[], 28, FALSE)</f>
        <v>0</v>
      </c>
      <c r="AD269">
        <f>VLOOKUP(Table55[[#This Row],[Shortname]], Comp[], 29, FALSE)</f>
        <v>0</v>
      </c>
      <c r="AE269">
        <f>VLOOKUP(Table55[[#This Row],[Shortname]], Comp[], 30, FALSE)</f>
        <v>0</v>
      </c>
      <c r="AF269">
        <f>VLOOKUP(Table55[[#This Row],[Shortname]], Comp[], 31, FALSE)</f>
        <v>0</v>
      </c>
    </row>
    <row r="270" spans="1:32" x14ac:dyDescent="0.3">
      <c r="A270" s="7" t="s">
        <v>4232</v>
      </c>
      <c r="B270" s="7" t="s">
        <v>4234</v>
      </c>
      <c r="C270" s="11" t="s">
        <v>6633</v>
      </c>
      <c r="D270">
        <v>1135</v>
      </c>
      <c r="E270">
        <v>1153</v>
      </c>
      <c r="F270">
        <v>1327</v>
      </c>
      <c r="H270" s="14">
        <f>VLOOKUP(Table55[[#This Row],[Shortname]], Comp[], 7, FALSE)</f>
        <v>74</v>
      </c>
      <c r="I270">
        <f>VLOOKUP(Table55[[#This Row],[Shortname]], Comp[], 8, FALSE)</f>
        <v>0</v>
      </c>
      <c r="J270">
        <f>VLOOKUP(Table55[[#This Row],[Shortname]], Comp[], 9, FALSE)</f>
        <v>0</v>
      </c>
      <c r="K270">
        <f>VLOOKUP(Table55[[#This Row],[Shortname]], Comp[], 10, FALSE)</f>
        <v>15</v>
      </c>
      <c r="L270">
        <f>VLOOKUP(Table55[[#This Row],[Shortname]], Comp[], 11, FALSE)</f>
        <v>0</v>
      </c>
      <c r="M270">
        <f>VLOOKUP(Table55[[#This Row],[Shortname]], Comp[],12, FALSE)</f>
        <v>11</v>
      </c>
      <c r="N270">
        <f>VLOOKUP(Table55[[#This Row],[Shortname]], Comp[], 13, FALSE)</f>
        <v>0</v>
      </c>
      <c r="O270">
        <f>VLOOKUP(Table55[[#This Row],[Shortname]], Comp[], 14, FALSE)</f>
        <v>0</v>
      </c>
      <c r="P270">
        <f>VLOOKUP(Table55[[#This Row],[Shortname]], Comp[], 15, FALSE)</f>
        <v>0</v>
      </c>
      <c r="Q270">
        <f>VLOOKUP(Table55[[#This Row],[Shortname]], Comp[], 16, FALSE)</f>
        <v>0</v>
      </c>
      <c r="R270">
        <f>VLOOKUP(Table55[[#This Row],[Shortname]], Comp[], 17, FALSE)</f>
        <v>0</v>
      </c>
      <c r="S270">
        <f>VLOOKUP(Table55[[#This Row],[Shortname]], Comp[], 18, FALSE)</f>
        <v>0</v>
      </c>
      <c r="T270">
        <f>VLOOKUP(Table55[[#This Row],[Shortname]], Comp[], 19, FALSE)</f>
        <v>0</v>
      </c>
      <c r="U270">
        <f>VLOOKUP(Table55[[#This Row],[Shortname]], Comp[], 20, FALSE)</f>
        <v>0</v>
      </c>
      <c r="V270">
        <f>VLOOKUP(Table55[[#This Row],[Shortname]], Comp[], 21, FALSE)</f>
        <v>0</v>
      </c>
      <c r="W270">
        <f>VLOOKUP(Table55[[#This Row],[Shortname]], Comp[], 22, FALSE)</f>
        <v>0</v>
      </c>
      <c r="X270">
        <f>VLOOKUP(Table55[[#This Row],[Shortname]], Comp[], 23, FALSE)</f>
        <v>0</v>
      </c>
      <c r="Y270">
        <f>VLOOKUP(Table55[[#This Row],[Shortname]], Comp[], 24, FALSE)</f>
        <v>0</v>
      </c>
      <c r="Z270">
        <f>VLOOKUP(Table55[[#This Row],[Shortname]], Comp[], 25, FALSE)</f>
        <v>0</v>
      </c>
      <c r="AA270">
        <f>VLOOKUP(Table55[[#This Row],[Shortname]], Comp[], 26, FALSE)</f>
        <v>0</v>
      </c>
      <c r="AB270">
        <f>VLOOKUP(Table55[[#This Row],[Shortname]], Comp[], 27, FALSE)</f>
        <v>0</v>
      </c>
      <c r="AC270">
        <f>VLOOKUP(Table55[[#This Row],[Shortname]], Comp[], 28, FALSE)</f>
        <v>0</v>
      </c>
      <c r="AD270">
        <f>VLOOKUP(Table55[[#This Row],[Shortname]], Comp[], 29, FALSE)</f>
        <v>0</v>
      </c>
      <c r="AE270">
        <f>VLOOKUP(Table55[[#This Row],[Shortname]], Comp[], 30, FALSE)</f>
        <v>0</v>
      </c>
      <c r="AF270">
        <f>VLOOKUP(Table55[[#This Row],[Shortname]], Comp[], 31, FALSE)</f>
        <v>0</v>
      </c>
    </row>
    <row r="271" spans="1:32" x14ac:dyDescent="0.3">
      <c r="A271" s="7" t="s">
        <v>4240</v>
      </c>
      <c r="B271" s="7" t="s">
        <v>4242</v>
      </c>
      <c r="C271" s="3" t="s">
        <v>4243</v>
      </c>
      <c r="D271">
        <v>1038</v>
      </c>
      <c r="E271">
        <v>1410</v>
      </c>
      <c r="F271">
        <v>1452</v>
      </c>
      <c r="H271" s="14">
        <f>VLOOKUP(Table55[[#This Row],[Shortname]], Comp[], 7, FALSE)</f>
        <v>36.46</v>
      </c>
      <c r="I271">
        <f>VLOOKUP(Table55[[#This Row],[Shortname]], Comp[], 8, FALSE)</f>
        <v>37.5</v>
      </c>
      <c r="J271">
        <f>VLOOKUP(Table55[[#This Row],[Shortname]], Comp[], 9, FALSE)</f>
        <v>9</v>
      </c>
      <c r="K271">
        <f>VLOOKUP(Table55[[#This Row],[Shortname]], Comp[], 10, FALSE)</f>
        <v>8</v>
      </c>
      <c r="L271">
        <f>VLOOKUP(Table55[[#This Row],[Shortname]], Comp[], 11, FALSE)</f>
        <v>9</v>
      </c>
      <c r="M271">
        <f>VLOOKUP(Table55[[#This Row],[Shortname]], Comp[],12, FALSE)</f>
        <v>0</v>
      </c>
      <c r="N271">
        <f>VLOOKUP(Table55[[#This Row],[Shortname]], Comp[], 13, FALSE)</f>
        <v>0</v>
      </c>
      <c r="O271">
        <f>VLOOKUP(Table55[[#This Row],[Shortname]], Comp[], 14, FALSE)</f>
        <v>0</v>
      </c>
      <c r="P271">
        <f>VLOOKUP(Table55[[#This Row],[Shortname]], Comp[], 15, FALSE)</f>
        <v>0</v>
      </c>
      <c r="Q271">
        <f>VLOOKUP(Table55[[#This Row],[Shortname]], Comp[], 16, FALSE)</f>
        <v>0</v>
      </c>
      <c r="R271">
        <f>VLOOKUP(Table55[[#This Row],[Shortname]], Comp[], 17, FALSE)</f>
        <v>0</v>
      </c>
      <c r="S271">
        <f>VLOOKUP(Table55[[#This Row],[Shortname]], Comp[], 18, FALSE)</f>
        <v>0</v>
      </c>
      <c r="T271">
        <f>VLOOKUP(Table55[[#This Row],[Shortname]], Comp[], 19, FALSE)</f>
        <v>0.04</v>
      </c>
      <c r="U271">
        <f>VLOOKUP(Table55[[#This Row],[Shortname]], Comp[], 20, FALSE)</f>
        <v>0</v>
      </c>
      <c r="V271">
        <f>VLOOKUP(Table55[[#This Row],[Shortname]], Comp[], 21, FALSE)</f>
        <v>0</v>
      </c>
      <c r="W271">
        <f>VLOOKUP(Table55[[#This Row],[Shortname]], Comp[], 22, FALSE)</f>
        <v>0</v>
      </c>
      <c r="X271">
        <f>VLOOKUP(Table55[[#This Row],[Shortname]], Comp[], 23, FALSE)</f>
        <v>0</v>
      </c>
      <c r="Y271">
        <f>VLOOKUP(Table55[[#This Row],[Shortname]], Comp[], 24, FALSE)</f>
        <v>0</v>
      </c>
      <c r="Z271">
        <f>VLOOKUP(Table55[[#This Row],[Shortname]], Comp[], 25, FALSE)</f>
        <v>0</v>
      </c>
      <c r="AA271">
        <f>VLOOKUP(Table55[[#This Row],[Shortname]], Comp[], 26, FALSE)</f>
        <v>0</v>
      </c>
      <c r="AB271">
        <f>VLOOKUP(Table55[[#This Row],[Shortname]], Comp[], 27, FALSE)</f>
        <v>0</v>
      </c>
      <c r="AC271">
        <f>VLOOKUP(Table55[[#This Row],[Shortname]], Comp[], 28, FALSE)</f>
        <v>0</v>
      </c>
      <c r="AD271">
        <f>VLOOKUP(Table55[[#This Row],[Shortname]], Comp[], 29, FALSE)</f>
        <v>0</v>
      </c>
      <c r="AE271">
        <f>VLOOKUP(Table55[[#This Row],[Shortname]], Comp[], 30, FALSE)</f>
        <v>0</v>
      </c>
      <c r="AF271">
        <f>VLOOKUP(Table55[[#This Row],[Shortname]], Comp[], 31, FALSE)</f>
        <v>0</v>
      </c>
    </row>
    <row r="272" spans="1:32" x14ac:dyDescent="0.3">
      <c r="A272" s="7" t="s">
        <v>4248</v>
      </c>
      <c r="B272" s="7" t="s">
        <v>4250</v>
      </c>
      <c r="C272" s="3" t="s">
        <v>4243</v>
      </c>
      <c r="D272">
        <v>975</v>
      </c>
      <c r="E272">
        <v>1412</v>
      </c>
      <c r="F272">
        <v>1454</v>
      </c>
      <c r="H272" s="14">
        <f>VLOOKUP(Table55[[#This Row],[Shortname]], Comp[], 7, FALSE)</f>
        <v>55.160000000000004</v>
      </c>
      <c r="I272">
        <f>VLOOKUP(Table55[[#This Row],[Shortname]], Comp[], 8, FALSE)</f>
        <v>18.8</v>
      </c>
      <c r="J272">
        <f>VLOOKUP(Table55[[#This Row],[Shortname]], Comp[], 9, FALSE)</f>
        <v>9</v>
      </c>
      <c r="K272">
        <f>VLOOKUP(Table55[[#This Row],[Shortname]], Comp[], 10, FALSE)</f>
        <v>8</v>
      </c>
      <c r="L272">
        <f>VLOOKUP(Table55[[#This Row],[Shortname]], Comp[], 11, FALSE)</f>
        <v>9</v>
      </c>
      <c r="M272">
        <f>VLOOKUP(Table55[[#This Row],[Shortname]], Comp[],12, FALSE)</f>
        <v>0</v>
      </c>
      <c r="N272">
        <f>VLOOKUP(Table55[[#This Row],[Shortname]], Comp[], 13, FALSE)</f>
        <v>0</v>
      </c>
      <c r="O272">
        <f>VLOOKUP(Table55[[#This Row],[Shortname]], Comp[], 14, FALSE)</f>
        <v>0</v>
      </c>
      <c r="P272">
        <f>VLOOKUP(Table55[[#This Row],[Shortname]], Comp[], 15, FALSE)</f>
        <v>0</v>
      </c>
      <c r="Q272">
        <f>VLOOKUP(Table55[[#This Row],[Shortname]], Comp[], 16, FALSE)</f>
        <v>0</v>
      </c>
      <c r="R272">
        <f>VLOOKUP(Table55[[#This Row],[Shortname]], Comp[], 17, FALSE)</f>
        <v>0</v>
      </c>
      <c r="S272">
        <f>VLOOKUP(Table55[[#This Row],[Shortname]], Comp[], 18, FALSE)</f>
        <v>0</v>
      </c>
      <c r="T272">
        <f>VLOOKUP(Table55[[#This Row],[Shortname]], Comp[], 19, FALSE)</f>
        <v>0.04</v>
      </c>
      <c r="U272">
        <f>VLOOKUP(Table55[[#This Row],[Shortname]], Comp[], 20, FALSE)</f>
        <v>0</v>
      </c>
      <c r="V272">
        <f>VLOOKUP(Table55[[#This Row],[Shortname]], Comp[], 21, FALSE)</f>
        <v>0</v>
      </c>
      <c r="W272">
        <f>VLOOKUP(Table55[[#This Row],[Shortname]], Comp[], 22, FALSE)</f>
        <v>0</v>
      </c>
      <c r="X272">
        <f>VLOOKUP(Table55[[#This Row],[Shortname]], Comp[], 23, FALSE)</f>
        <v>0</v>
      </c>
      <c r="Y272">
        <f>VLOOKUP(Table55[[#This Row],[Shortname]], Comp[], 24, FALSE)</f>
        <v>0</v>
      </c>
      <c r="Z272">
        <f>VLOOKUP(Table55[[#This Row],[Shortname]], Comp[], 25, FALSE)</f>
        <v>0</v>
      </c>
      <c r="AA272">
        <f>VLOOKUP(Table55[[#This Row],[Shortname]], Comp[], 26, FALSE)</f>
        <v>0</v>
      </c>
      <c r="AB272">
        <f>VLOOKUP(Table55[[#This Row],[Shortname]], Comp[], 27, FALSE)</f>
        <v>0</v>
      </c>
      <c r="AC272">
        <f>VLOOKUP(Table55[[#This Row],[Shortname]], Comp[], 28, FALSE)</f>
        <v>0</v>
      </c>
      <c r="AD272">
        <f>VLOOKUP(Table55[[#This Row],[Shortname]], Comp[], 29, FALSE)</f>
        <v>0</v>
      </c>
      <c r="AE272">
        <f>VLOOKUP(Table55[[#This Row],[Shortname]], Comp[], 30, FALSE)</f>
        <v>0</v>
      </c>
      <c r="AF272">
        <f>VLOOKUP(Table55[[#This Row],[Shortname]], Comp[], 31, FALSE)</f>
        <v>0</v>
      </c>
    </row>
    <row r="273" spans="1:32" x14ac:dyDescent="0.3">
      <c r="A273" s="7" t="s">
        <v>4255</v>
      </c>
      <c r="B273" s="7" t="s">
        <v>4256</v>
      </c>
      <c r="C273" s="3" t="s">
        <v>4243</v>
      </c>
      <c r="D273">
        <v>951</v>
      </c>
      <c r="E273">
        <v>1413</v>
      </c>
      <c r="F273">
        <v>1456</v>
      </c>
      <c r="H273" s="14">
        <f>VLOOKUP(Table55[[#This Row],[Shortname]], Comp[], 7, FALSE)</f>
        <v>73.960000000000008</v>
      </c>
      <c r="I273">
        <f>VLOOKUP(Table55[[#This Row],[Shortname]], Comp[], 8, FALSE)</f>
        <v>0</v>
      </c>
      <c r="J273">
        <f>VLOOKUP(Table55[[#This Row],[Shortname]], Comp[], 9, FALSE)</f>
        <v>9</v>
      </c>
      <c r="K273">
        <f>VLOOKUP(Table55[[#This Row],[Shortname]], Comp[], 10, FALSE)</f>
        <v>8</v>
      </c>
      <c r="L273">
        <f>VLOOKUP(Table55[[#This Row],[Shortname]], Comp[], 11, FALSE)</f>
        <v>9</v>
      </c>
      <c r="M273">
        <f>VLOOKUP(Table55[[#This Row],[Shortname]], Comp[],12, FALSE)</f>
        <v>0</v>
      </c>
      <c r="N273">
        <f>VLOOKUP(Table55[[#This Row],[Shortname]], Comp[], 13, FALSE)</f>
        <v>0</v>
      </c>
      <c r="O273">
        <f>VLOOKUP(Table55[[#This Row],[Shortname]], Comp[], 14, FALSE)</f>
        <v>0</v>
      </c>
      <c r="P273">
        <f>VLOOKUP(Table55[[#This Row],[Shortname]], Comp[], 15, FALSE)</f>
        <v>0</v>
      </c>
      <c r="Q273">
        <f>VLOOKUP(Table55[[#This Row],[Shortname]], Comp[], 16, FALSE)</f>
        <v>0</v>
      </c>
      <c r="R273">
        <f>VLOOKUP(Table55[[#This Row],[Shortname]], Comp[], 17, FALSE)</f>
        <v>0</v>
      </c>
      <c r="S273">
        <f>VLOOKUP(Table55[[#This Row],[Shortname]], Comp[], 18, FALSE)</f>
        <v>0</v>
      </c>
      <c r="T273">
        <f>VLOOKUP(Table55[[#This Row],[Shortname]], Comp[], 19, FALSE)</f>
        <v>0.04</v>
      </c>
      <c r="U273">
        <f>VLOOKUP(Table55[[#This Row],[Shortname]], Comp[], 20, FALSE)</f>
        <v>0</v>
      </c>
      <c r="V273">
        <f>VLOOKUP(Table55[[#This Row],[Shortname]], Comp[], 21, FALSE)</f>
        <v>0</v>
      </c>
      <c r="W273">
        <f>VLOOKUP(Table55[[#This Row],[Shortname]], Comp[], 22, FALSE)</f>
        <v>0</v>
      </c>
      <c r="X273">
        <f>VLOOKUP(Table55[[#This Row],[Shortname]], Comp[], 23, FALSE)</f>
        <v>0</v>
      </c>
      <c r="Y273">
        <f>VLOOKUP(Table55[[#This Row],[Shortname]], Comp[], 24, FALSE)</f>
        <v>0</v>
      </c>
      <c r="Z273">
        <f>VLOOKUP(Table55[[#This Row],[Shortname]], Comp[], 25, FALSE)</f>
        <v>0</v>
      </c>
      <c r="AA273">
        <f>VLOOKUP(Table55[[#This Row],[Shortname]], Comp[], 26, FALSE)</f>
        <v>0</v>
      </c>
      <c r="AB273">
        <f>VLOOKUP(Table55[[#This Row],[Shortname]], Comp[], 27, FALSE)</f>
        <v>0</v>
      </c>
      <c r="AC273">
        <f>VLOOKUP(Table55[[#This Row],[Shortname]], Comp[], 28, FALSE)</f>
        <v>0</v>
      </c>
      <c r="AD273">
        <f>VLOOKUP(Table55[[#This Row],[Shortname]], Comp[], 29, FALSE)</f>
        <v>0</v>
      </c>
      <c r="AE273">
        <f>VLOOKUP(Table55[[#This Row],[Shortname]], Comp[], 30, FALSE)</f>
        <v>0</v>
      </c>
      <c r="AF273">
        <f>VLOOKUP(Table55[[#This Row],[Shortname]], Comp[], 31, FALSE)</f>
        <v>0</v>
      </c>
    </row>
    <row r="274" spans="1:32" x14ac:dyDescent="0.3">
      <c r="A274" s="7" t="s">
        <v>4280</v>
      </c>
      <c r="B274" s="7" t="s">
        <v>4282</v>
      </c>
      <c r="C274" t="s">
        <v>6634</v>
      </c>
      <c r="D274">
        <v>1040</v>
      </c>
      <c r="E274">
        <v>1410</v>
      </c>
      <c r="F274">
        <v>1452</v>
      </c>
      <c r="H274" s="14">
        <f>VLOOKUP(Table55[[#This Row],[Shortname]], Comp[], 7, FALSE)</f>
        <v>38.160000000000004</v>
      </c>
      <c r="I274">
        <f>VLOOKUP(Table55[[#This Row],[Shortname]], Comp[], 8, FALSE)</f>
        <v>37.5</v>
      </c>
      <c r="J274">
        <f>VLOOKUP(Table55[[#This Row],[Shortname]], Comp[], 9, FALSE)</f>
        <v>9</v>
      </c>
      <c r="K274">
        <f>VLOOKUP(Table55[[#This Row],[Shortname]], Comp[], 10, FALSE)</f>
        <v>8</v>
      </c>
      <c r="L274">
        <f>VLOOKUP(Table55[[#This Row],[Shortname]], Comp[], 11, FALSE)</f>
        <v>7.3</v>
      </c>
      <c r="M274">
        <f>VLOOKUP(Table55[[#This Row],[Shortname]], Comp[],12, FALSE)</f>
        <v>0</v>
      </c>
      <c r="N274">
        <f>VLOOKUP(Table55[[#This Row],[Shortname]], Comp[], 13, FALSE)</f>
        <v>0</v>
      </c>
      <c r="O274">
        <f>VLOOKUP(Table55[[#This Row],[Shortname]], Comp[], 14, FALSE)</f>
        <v>0</v>
      </c>
      <c r="P274">
        <f>VLOOKUP(Table55[[#This Row],[Shortname]], Comp[], 15, FALSE)</f>
        <v>0</v>
      </c>
      <c r="Q274">
        <f>VLOOKUP(Table55[[#This Row],[Shortname]], Comp[], 16, FALSE)</f>
        <v>0</v>
      </c>
      <c r="R274">
        <f>VLOOKUP(Table55[[#This Row],[Shortname]], Comp[], 17, FALSE)</f>
        <v>0</v>
      </c>
      <c r="S274">
        <f>VLOOKUP(Table55[[#This Row],[Shortname]], Comp[], 18, FALSE)</f>
        <v>0</v>
      </c>
      <c r="T274">
        <f>VLOOKUP(Table55[[#This Row],[Shortname]], Comp[], 19, FALSE)</f>
        <v>0.04</v>
      </c>
      <c r="U274">
        <f>VLOOKUP(Table55[[#This Row],[Shortname]], Comp[], 20, FALSE)</f>
        <v>0</v>
      </c>
      <c r="V274">
        <f>VLOOKUP(Table55[[#This Row],[Shortname]], Comp[], 21, FALSE)</f>
        <v>0</v>
      </c>
      <c r="W274">
        <f>VLOOKUP(Table55[[#This Row],[Shortname]], Comp[], 22, FALSE)</f>
        <v>0</v>
      </c>
      <c r="X274">
        <f>VLOOKUP(Table55[[#This Row],[Shortname]], Comp[], 23, FALSE)</f>
        <v>0</v>
      </c>
      <c r="Y274">
        <f>VLOOKUP(Table55[[#This Row],[Shortname]], Comp[], 24, FALSE)</f>
        <v>0</v>
      </c>
      <c r="Z274">
        <f>VLOOKUP(Table55[[#This Row],[Shortname]], Comp[], 25, FALSE)</f>
        <v>0</v>
      </c>
      <c r="AA274">
        <f>VLOOKUP(Table55[[#This Row],[Shortname]], Comp[], 26, FALSE)</f>
        <v>0</v>
      </c>
      <c r="AB274">
        <f>VLOOKUP(Table55[[#This Row],[Shortname]], Comp[], 27, FALSE)</f>
        <v>0</v>
      </c>
      <c r="AC274">
        <f>VLOOKUP(Table55[[#This Row],[Shortname]], Comp[], 28, FALSE)</f>
        <v>0</v>
      </c>
      <c r="AD274">
        <f>VLOOKUP(Table55[[#This Row],[Shortname]], Comp[], 29, FALSE)</f>
        <v>0</v>
      </c>
      <c r="AE274">
        <f>VLOOKUP(Table55[[#This Row],[Shortname]], Comp[], 30, FALSE)</f>
        <v>0</v>
      </c>
      <c r="AF274">
        <f>VLOOKUP(Table55[[#This Row],[Shortname]], Comp[], 31, FALSE)</f>
        <v>0</v>
      </c>
    </row>
    <row r="275" spans="1:32" x14ac:dyDescent="0.3">
      <c r="A275" s="7" t="s">
        <v>4260</v>
      </c>
      <c r="B275" s="7" t="s">
        <v>4262</v>
      </c>
      <c r="C275" t="s">
        <v>6634</v>
      </c>
      <c r="D275">
        <v>1027</v>
      </c>
      <c r="E275">
        <v>1445</v>
      </c>
      <c r="F275">
        <v>1479</v>
      </c>
      <c r="H275" s="14">
        <f>VLOOKUP(Table55[[#This Row],[Shortname]], Comp[], 7, FALSE)</f>
        <v>41.48</v>
      </c>
      <c r="I275">
        <f>VLOOKUP(Table55[[#This Row],[Shortname]], Comp[], 8, FALSE)</f>
        <v>41.5</v>
      </c>
      <c r="J275">
        <f>VLOOKUP(Table55[[#This Row],[Shortname]], Comp[], 9, FALSE)</f>
        <v>9.6</v>
      </c>
      <c r="K275">
        <f>VLOOKUP(Table55[[#This Row],[Shortname]], Comp[], 10, FALSE)</f>
        <v>0</v>
      </c>
      <c r="L275">
        <f>VLOOKUP(Table55[[#This Row],[Shortname]], Comp[], 11, FALSE)</f>
        <v>7.38</v>
      </c>
      <c r="M275">
        <f>VLOOKUP(Table55[[#This Row],[Shortname]], Comp[],12, FALSE)</f>
        <v>0</v>
      </c>
      <c r="N275">
        <f>VLOOKUP(Table55[[#This Row],[Shortname]], Comp[], 13, FALSE)</f>
        <v>0</v>
      </c>
      <c r="O275">
        <f>VLOOKUP(Table55[[#This Row],[Shortname]], Comp[], 14, FALSE)</f>
        <v>0</v>
      </c>
      <c r="P275">
        <f>VLOOKUP(Table55[[#This Row],[Shortname]], Comp[], 15, FALSE)</f>
        <v>0</v>
      </c>
      <c r="Q275">
        <f>VLOOKUP(Table55[[#This Row],[Shortname]], Comp[], 16, FALSE)</f>
        <v>0</v>
      </c>
      <c r="R275">
        <f>VLOOKUP(Table55[[#This Row],[Shortname]], Comp[], 17, FALSE)</f>
        <v>0</v>
      </c>
      <c r="S275">
        <f>VLOOKUP(Table55[[#This Row],[Shortname]], Comp[], 18, FALSE)</f>
        <v>0</v>
      </c>
      <c r="T275">
        <f>VLOOKUP(Table55[[#This Row],[Shortname]], Comp[], 19, FALSE)</f>
        <v>0.04</v>
      </c>
      <c r="U275">
        <f>VLOOKUP(Table55[[#This Row],[Shortname]], Comp[], 20, FALSE)</f>
        <v>0</v>
      </c>
      <c r="V275">
        <f>VLOOKUP(Table55[[#This Row],[Shortname]], Comp[], 21, FALSE)</f>
        <v>0</v>
      </c>
      <c r="W275">
        <f>VLOOKUP(Table55[[#This Row],[Shortname]], Comp[], 22, FALSE)</f>
        <v>0</v>
      </c>
      <c r="X275">
        <f>VLOOKUP(Table55[[#This Row],[Shortname]], Comp[], 23, FALSE)</f>
        <v>0</v>
      </c>
      <c r="Y275">
        <f>VLOOKUP(Table55[[#This Row],[Shortname]], Comp[], 24, FALSE)</f>
        <v>0</v>
      </c>
      <c r="Z275">
        <f>VLOOKUP(Table55[[#This Row],[Shortname]], Comp[], 25, FALSE)</f>
        <v>0</v>
      </c>
      <c r="AA275">
        <f>VLOOKUP(Table55[[#This Row],[Shortname]], Comp[], 26, FALSE)</f>
        <v>0</v>
      </c>
      <c r="AB275">
        <f>VLOOKUP(Table55[[#This Row],[Shortname]], Comp[], 27, FALSE)</f>
        <v>0</v>
      </c>
      <c r="AC275">
        <f>VLOOKUP(Table55[[#This Row],[Shortname]], Comp[], 28, FALSE)</f>
        <v>0</v>
      </c>
      <c r="AD275">
        <f>VLOOKUP(Table55[[#This Row],[Shortname]], Comp[], 29, FALSE)</f>
        <v>0</v>
      </c>
      <c r="AE275">
        <f>VLOOKUP(Table55[[#This Row],[Shortname]], Comp[], 30, FALSE)</f>
        <v>0</v>
      </c>
      <c r="AF275">
        <f>VLOOKUP(Table55[[#This Row],[Shortname]], Comp[], 31, FALSE)</f>
        <v>0</v>
      </c>
    </row>
    <row r="276" spans="1:32" x14ac:dyDescent="0.3">
      <c r="A276" s="7" t="s">
        <v>4268</v>
      </c>
      <c r="B276" s="7" t="s">
        <v>4270</v>
      </c>
      <c r="C276" t="s">
        <v>6634</v>
      </c>
      <c r="D276">
        <v>984</v>
      </c>
      <c r="E276">
        <v>1447</v>
      </c>
      <c r="F276">
        <v>1477</v>
      </c>
      <c r="H276" s="14">
        <f>VLOOKUP(Table55[[#This Row],[Shortname]], Comp[], 7, FALSE)</f>
        <v>62.6</v>
      </c>
      <c r="I276">
        <f>VLOOKUP(Table55[[#This Row],[Shortname]], Comp[], 8, FALSE)</f>
        <v>20.75</v>
      </c>
      <c r="J276">
        <f>VLOOKUP(Table55[[#This Row],[Shortname]], Comp[], 9, FALSE)</f>
        <v>9.1999999999999993</v>
      </c>
      <c r="K276">
        <f>VLOOKUP(Table55[[#This Row],[Shortname]], Comp[], 10, FALSE)</f>
        <v>0</v>
      </c>
      <c r="L276">
        <f>VLOOKUP(Table55[[#This Row],[Shortname]], Comp[], 11, FALSE)</f>
        <v>7.41</v>
      </c>
      <c r="M276">
        <f>VLOOKUP(Table55[[#This Row],[Shortname]], Comp[],12, FALSE)</f>
        <v>0</v>
      </c>
      <c r="N276">
        <f>VLOOKUP(Table55[[#This Row],[Shortname]], Comp[], 13, FALSE)</f>
        <v>0</v>
      </c>
      <c r="O276">
        <f>VLOOKUP(Table55[[#This Row],[Shortname]], Comp[], 14, FALSE)</f>
        <v>0</v>
      </c>
      <c r="P276">
        <f>VLOOKUP(Table55[[#This Row],[Shortname]], Comp[], 15, FALSE)</f>
        <v>0</v>
      </c>
      <c r="Q276">
        <f>VLOOKUP(Table55[[#This Row],[Shortname]], Comp[], 16, FALSE)</f>
        <v>0</v>
      </c>
      <c r="R276">
        <f>VLOOKUP(Table55[[#This Row],[Shortname]], Comp[], 17, FALSE)</f>
        <v>0</v>
      </c>
      <c r="S276">
        <f>VLOOKUP(Table55[[#This Row],[Shortname]], Comp[], 18, FALSE)</f>
        <v>0</v>
      </c>
      <c r="T276">
        <f>VLOOKUP(Table55[[#This Row],[Shortname]], Comp[], 19, FALSE)</f>
        <v>0.04</v>
      </c>
      <c r="U276">
        <f>VLOOKUP(Table55[[#This Row],[Shortname]], Comp[], 20, FALSE)</f>
        <v>0</v>
      </c>
      <c r="V276">
        <f>VLOOKUP(Table55[[#This Row],[Shortname]], Comp[], 21, FALSE)</f>
        <v>0</v>
      </c>
      <c r="W276">
        <f>VLOOKUP(Table55[[#This Row],[Shortname]], Comp[], 22, FALSE)</f>
        <v>0</v>
      </c>
      <c r="X276">
        <f>VLOOKUP(Table55[[#This Row],[Shortname]], Comp[], 23, FALSE)</f>
        <v>0</v>
      </c>
      <c r="Y276">
        <f>VLOOKUP(Table55[[#This Row],[Shortname]], Comp[], 24, FALSE)</f>
        <v>0</v>
      </c>
      <c r="Z276">
        <f>VLOOKUP(Table55[[#This Row],[Shortname]], Comp[], 25, FALSE)</f>
        <v>0</v>
      </c>
      <c r="AA276">
        <f>VLOOKUP(Table55[[#This Row],[Shortname]], Comp[], 26, FALSE)</f>
        <v>0</v>
      </c>
      <c r="AB276">
        <f>VLOOKUP(Table55[[#This Row],[Shortname]], Comp[], 27, FALSE)</f>
        <v>0</v>
      </c>
      <c r="AC276">
        <f>VLOOKUP(Table55[[#This Row],[Shortname]], Comp[], 28, FALSE)</f>
        <v>0</v>
      </c>
      <c r="AD276">
        <f>VLOOKUP(Table55[[#This Row],[Shortname]], Comp[], 29, FALSE)</f>
        <v>0</v>
      </c>
      <c r="AE276">
        <f>VLOOKUP(Table55[[#This Row],[Shortname]], Comp[], 30, FALSE)</f>
        <v>0</v>
      </c>
      <c r="AF276">
        <f>VLOOKUP(Table55[[#This Row],[Shortname]], Comp[], 31, FALSE)</f>
        <v>0</v>
      </c>
    </row>
    <row r="277" spans="1:32" x14ac:dyDescent="0.3">
      <c r="A277" s="7" t="s">
        <v>4286</v>
      </c>
      <c r="B277" s="7" t="s">
        <v>4288</v>
      </c>
      <c r="C277" t="s">
        <v>6634</v>
      </c>
      <c r="D277">
        <v>975</v>
      </c>
      <c r="E277">
        <v>1422</v>
      </c>
      <c r="F277">
        <v>1455</v>
      </c>
      <c r="H277" s="14">
        <f>VLOOKUP(Table55[[#This Row],[Shortname]], Comp[], 7, FALSE)</f>
        <v>56.41</v>
      </c>
      <c r="I277">
        <f>VLOOKUP(Table55[[#This Row],[Shortname]], Comp[], 8, FALSE)</f>
        <v>18.75</v>
      </c>
      <c r="J277">
        <f>VLOOKUP(Table55[[#This Row],[Shortname]], Comp[], 9, FALSE)</f>
        <v>9.1999999999999993</v>
      </c>
      <c r="K277">
        <f>VLOOKUP(Table55[[#This Row],[Shortname]], Comp[], 10, FALSE)</f>
        <v>8</v>
      </c>
      <c r="L277">
        <f>VLOOKUP(Table55[[#This Row],[Shortname]], Comp[], 11, FALSE)</f>
        <v>7.6</v>
      </c>
      <c r="M277">
        <f>VLOOKUP(Table55[[#This Row],[Shortname]], Comp[],12, FALSE)</f>
        <v>0</v>
      </c>
      <c r="N277">
        <f>VLOOKUP(Table55[[#This Row],[Shortname]], Comp[], 13, FALSE)</f>
        <v>0</v>
      </c>
      <c r="O277">
        <f>VLOOKUP(Table55[[#This Row],[Shortname]], Comp[], 14, FALSE)</f>
        <v>0</v>
      </c>
      <c r="P277">
        <f>VLOOKUP(Table55[[#This Row],[Shortname]], Comp[], 15, FALSE)</f>
        <v>0</v>
      </c>
      <c r="Q277">
        <f>VLOOKUP(Table55[[#This Row],[Shortname]], Comp[], 16, FALSE)</f>
        <v>0</v>
      </c>
      <c r="R277">
        <f>VLOOKUP(Table55[[#This Row],[Shortname]], Comp[], 17, FALSE)</f>
        <v>0</v>
      </c>
      <c r="S277">
        <f>VLOOKUP(Table55[[#This Row],[Shortname]], Comp[], 18, FALSE)</f>
        <v>0</v>
      </c>
      <c r="T277">
        <f>VLOOKUP(Table55[[#This Row],[Shortname]], Comp[], 19, FALSE)</f>
        <v>0.04</v>
      </c>
      <c r="U277">
        <f>VLOOKUP(Table55[[#This Row],[Shortname]], Comp[], 20, FALSE)</f>
        <v>0</v>
      </c>
      <c r="V277">
        <f>VLOOKUP(Table55[[#This Row],[Shortname]], Comp[], 21, FALSE)</f>
        <v>0</v>
      </c>
      <c r="W277">
        <f>VLOOKUP(Table55[[#This Row],[Shortname]], Comp[], 22, FALSE)</f>
        <v>0</v>
      </c>
      <c r="X277">
        <f>VLOOKUP(Table55[[#This Row],[Shortname]], Comp[], 23, FALSE)</f>
        <v>0</v>
      </c>
      <c r="Y277">
        <f>VLOOKUP(Table55[[#This Row],[Shortname]], Comp[], 24, FALSE)</f>
        <v>0</v>
      </c>
      <c r="Z277">
        <f>VLOOKUP(Table55[[#This Row],[Shortname]], Comp[], 25, FALSE)</f>
        <v>0</v>
      </c>
      <c r="AA277">
        <f>VLOOKUP(Table55[[#This Row],[Shortname]], Comp[], 26, FALSE)</f>
        <v>0</v>
      </c>
      <c r="AB277">
        <f>VLOOKUP(Table55[[#This Row],[Shortname]], Comp[], 27, FALSE)</f>
        <v>0</v>
      </c>
      <c r="AC277">
        <f>VLOOKUP(Table55[[#This Row],[Shortname]], Comp[], 28, FALSE)</f>
        <v>0</v>
      </c>
      <c r="AD277">
        <f>VLOOKUP(Table55[[#This Row],[Shortname]], Comp[], 29, FALSE)</f>
        <v>0</v>
      </c>
      <c r="AE277">
        <f>VLOOKUP(Table55[[#This Row],[Shortname]], Comp[], 30, FALSE)</f>
        <v>0</v>
      </c>
      <c r="AF277">
        <f>VLOOKUP(Table55[[#This Row],[Shortname]], Comp[], 31, FALSE)</f>
        <v>0</v>
      </c>
    </row>
    <row r="278" spans="1:32" x14ac:dyDescent="0.3">
      <c r="A278" s="7" t="s">
        <v>4275</v>
      </c>
      <c r="B278" s="7" t="s">
        <v>4276</v>
      </c>
      <c r="C278" t="s">
        <v>6634</v>
      </c>
      <c r="D278">
        <v>958</v>
      </c>
      <c r="E278">
        <v>1447</v>
      </c>
      <c r="F278">
        <v>1477</v>
      </c>
      <c r="H278" s="14">
        <f>VLOOKUP(Table55[[#This Row],[Shortname]], Comp[], 7, FALSE)</f>
        <v>83.03</v>
      </c>
      <c r="I278">
        <f>VLOOKUP(Table55[[#This Row],[Shortname]], Comp[], 8, FALSE)</f>
        <v>0</v>
      </c>
      <c r="J278">
        <f>VLOOKUP(Table55[[#This Row],[Shortname]], Comp[], 9, FALSE)</f>
        <v>9.4</v>
      </c>
      <c r="K278">
        <f>VLOOKUP(Table55[[#This Row],[Shortname]], Comp[], 10, FALSE)</f>
        <v>0</v>
      </c>
      <c r="L278">
        <f>VLOOKUP(Table55[[#This Row],[Shortname]], Comp[], 11, FALSE)</f>
        <v>7.53</v>
      </c>
      <c r="M278">
        <f>VLOOKUP(Table55[[#This Row],[Shortname]], Comp[],12, FALSE)</f>
        <v>0</v>
      </c>
      <c r="N278">
        <f>VLOOKUP(Table55[[#This Row],[Shortname]], Comp[], 13, FALSE)</f>
        <v>0</v>
      </c>
      <c r="O278">
        <f>VLOOKUP(Table55[[#This Row],[Shortname]], Comp[], 14, FALSE)</f>
        <v>0</v>
      </c>
      <c r="P278">
        <f>VLOOKUP(Table55[[#This Row],[Shortname]], Comp[], 15, FALSE)</f>
        <v>0</v>
      </c>
      <c r="Q278">
        <f>VLOOKUP(Table55[[#This Row],[Shortname]], Comp[], 16, FALSE)</f>
        <v>0</v>
      </c>
      <c r="R278">
        <f>VLOOKUP(Table55[[#This Row],[Shortname]], Comp[], 17, FALSE)</f>
        <v>0</v>
      </c>
      <c r="S278">
        <f>VLOOKUP(Table55[[#This Row],[Shortname]], Comp[], 18, FALSE)</f>
        <v>0</v>
      </c>
      <c r="T278">
        <f>VLOOKUP(Table55[[#This Row],[Shortname]], Comp[], 19, FALSE)</f>
        <v>0.04</v>
      </c>
      <c r="U278">
        <f>VLOOKUP(Table55[[#This Row],[Shortname]], Comp[], 20, FALSE)</f>
        <v>0</v>
      </c>
      <c r="V278">
        <f>VLOOKUP(Table55[[#This Row],[Shortname]], Comp[], 21, FALSE)</f>
        <v>0</v>
      </c>
      <c r="W278">
        <f>VLOOKUP(Table55[[#This Row],[Shortname]], Comp[], 22, FALSE)</f>
        <v>0</v>
      </c>
      <c r="X278">
        <f>VLOOKUP(Table55[[#This Row],[Shortname]], Comp[], 23, FALSE)</f>
        <v>0</v>
      </c>
      <c r="Y278">
        <f>VLOOKUP(Table55[[#This Row],[Shortname]], Comp[], 24, FALSE)</f>
        <v>0</v>
      </c>
      <c r="Z278">
        <f>VLOOKUP(Table55[[#This Row],[Shortname]], Comp[], 25, FALSE)</f>
        <v>0</v>
      </c>
      <c r="AA278">
        <f>VLOOKUP(Table55[[#This Row],[Shortname]], Comp[], 26, FALSE)</f>
        <v>0</v>
      </c>
      <c r="AB278">
        <f>VLOOKUP(Table55[[#This Row],[Shortname]], Comp[], 27, FALSE)</f>
        <v>0</v>
      </c>
      <c r="AC278">
        <f>VLOOKUP(Table55[[#This Row],[Shortname]], Comp[], 28, FALSE)</f>
        <v>0</v>
      </c>
      <c r="AD278">
        <f>VLOOKUP(Table55[[#This Row],[Shortname]], Comp[], 29, FALSE)</f>
        <v>0</v>
      </c>
      <c r="AE278">
        <f>VLOOKUP(Table55[[#This Row],[Shortname]], Comp[], 30, FALSE)</f>
        <v>0</v>
      </c>
      <c r="AF278">
        <f>VLOOKUP(Table55[[#This Row],[Shortname]], Comp[], 31, FALSE)</f>
        <v>0</v>
      </c>
    </row>
    <row r="279" spans="1:32" x14ac:dyDescent="0.3">
      <c r="A279" s="7" t="s">
        <v>4292</v>
      </c>
      <c r="B279" s="7" t="s">
        <v>4294</v>
      </c>
      <c r="C279" t="s">
        <v>6634</v>
      </c>
      <c r="D279">
        <v>950</v>
      </c>
      <c r="E279">
        <v>1412</v>
      </c>
      <c r="F279">
        <v>1452</v>
      </c>
      <c r="H279" s="14">
        <f>VLOOKUP(Table55[[#This Row],[Shortname]], Comp[], 7, FALSE)</f>
        <v>75.36</v>
      </c>
      <c r="I279">
        <f>VLOOKUP(Table55[[#This Row],[Shortname]], Comp[], 8, FALSE)</f>
        <v>0</v>
      </c>
      <c r="J279">
        <f>VLOOKUP(Table55[[#This Row],[Shortname]], Comp[], 9, FALSE)</f>
        <v>8.6999999999999993</v>
      </c>
      <c r="K279">
        <f>VLOOKUP(Table55[[#This Row],[Shortname]], Comp[], 10, FALSE)</f>
        <v>8</v>
      </c>
      <c r="L279">
        <f>VLOOKUP(Table55[[#This Row],[Shortname]], Comp[], 11, FALSE)</f>
        <v>7.9</v>
      </c>
      <c r="M279">
        <f>VLOOKUP(Table55[[#This Row],[Shortname]], Comp[],12, FALSE)</f>
        <v>0</v>
      </c>
      <c r="N279">
        <f>VLOOKUP(Table55[[#This Row],[Shortname]], Comp[], 13, FALSE)</f>
        <v>0</v>
      </c>
      <c r="O279">
        <f>VLOOKUP(Table55[[#This Row],[Shortname]], Comp[], 14, FALSE)</f>
        <v>0</v>
      </c>
      <c r="P279">
        <f>VLOOKUP(Table55[[#This Row],[Shortname]], Comp[], 15, FALSE)</f>
        <v>0</v>
      </c>
      <c r="Q279">
        <f>VLOOKUP(Table55[[#This Row],[Shortname]], Comp[], 16, FALSE)</f>
        <v>0</v>
      </c>
      <c r="R279">
        <f>VLOOKUP(Table55[[#This Row],[Shortname]], Comp[], 17, FALSE)</f>
        <v>0</v>
      </c>
      <c r="S279">
        <f>VLOOKUP(Table55[[#This Row],[Shortname]], Comp[], 18, FALSE)</f>
        <v>0</v>
      </c>
      <c r="T279">
        <f>VLOOKUP(Table55[[#This Row],[Shortname]], Comp[], 19, FALSE)</f>
        <v>0.04</v>
      </c>
      <c r="U279">
        <f>VLOOKUP(Table55[[#This Row],[Shortname]], Comp[], 20, FALSE)</f>
        <v>0</v>
      </c>
      <c r="V279">
        <f>VLOOKUP(Table55[[#This Row],[Shortname]], Comp[], 21, FALSE)</f>
        <v>0</v>
      </c>
      <c r="W279">
        <f>VLOOKUP(Table55[[#This Row],[Shortname]], Comp[], 22, FALSE)</f>
        <v>0</v>
      </c>
      <c r="X279">
        <f>VLOOKUP(Table55[[#This Row],[Shortname]], Comp[], 23, FALSE)</f>
        <v>0</v>
      </c>
      <c r="Y279">
        <f>VLOOKUP(Table55[[#This Row],[Shortname]], Comp[], 24, FALSE)</f>
        <v>0</v>
      </c>
      <c r="Z279">
        <f>VLOOKUP(Table55[[#This Row],[Shortname]], Comp[], 25, FALSE)</f>
        <v>0</v>
      </c>
      <c r="AA279">
        <f>VLOOKUP(Table55[[#This Row],[Shortname]], Comp[], 26, FALSE)</f>
        <v>0</v>
      </c>
      <c r="AB279">
        <f>VLOOKUP(Table55[[#This Row],[Shortname]], Comp[], 27, FALSE)</f>
        <v>0</v>
      </c>
      <c r="AC279">
        <f>VLOOKUP(Table55[[#This Row],[Shortname]], Comp[], 28, FALSE)</f>
        <v>0</v>
      </c>
      <c r="AD279">
        <f>VLOOKUP(Table55[[#This Row],[Shortname]], Comp[], 29, FALSE)</f>
        <v>0</v>
      </c>
      <c r="AE279">
        <f>VLOOKUP(Table55[[#This Row],[Shortname]], Comp[], 30, FALSE)</f>
        <v>0</v>
      </c>
      <c r="AF279">
        <f>VLOOKUP(Table55[[#This Row],[Shortname]], Comp[], 31, FALSE)</f>
        <v>0</v>
      </c>
    </row>
    <row r="280" spans="1:32" x14ac:dyDescent="0.3">
      <c r="A280" s="7" t="s">
        <v>4318</v>
      </c>
      <c r="B280" s="26" t="s">
        <v>4320</v>
      </c>
      <c r="C280" s="27" t="s">
        <v>6635</v>
      </c>
      <c r="D280">
        <v>1037</v>
      </c>
      <c r="E280">
        <v>1274</v>
      </c>
      <c r="F280">
        <v>1357</v>
      </c>
      <c r="H280" s="14">
        <f>VLOOKUP(Table55[[#This Row],[Shortname]], Comp[], 7, FALSE)</f>
        <v>87</v>
      </c>
      <c r="I280">
        <f>VLOOKUP(Table55[[#This Row],[Shortname]], Comp[], 8, FALSE)</f>
        <v>0</v>
      </c>
      <c r="J280">
        <f>VLOOKUP(Table55[[#This Row],[Shortname]], Comp[], 9, FALSE)</f>
        <v>1.4</v>
      </c>
      <c r="K280">
        <f>VLOOKUP(Table55[[#This Row],[Shortname]], Comp[], 10, FALSE)</f>
        <v>0</v>
      </c>
      <c r="L280">
        <f>VLOOKUP(Table55[[#This Row],[Shortname]], Comp[], 11, FALSE)</f>
        <v>1.3</v>
      </c>
      <c r="M280">
        <f>VLOOKUP(Table55[[#This Row],[Shortname]], Comp[],12, FALSE)</f>
        <v>10.3</v>
      </c>
      <c r="N280">
        <f>VLOOKUP(Table55[[#This Row],[Shortname]], Comp[], 13, FALSE)</f>
        <v>0</v>
      </c>
      <c r="O280">
        <f>VLOOKUP(Table55[[#This Row],[Shortname]], Comp[], 14, FALSE)</f>
        <v>0</v>
      </c>
      <c r="P280">
        <f>VLOOKUP(Table55[[#This Row],[Shortname]], Comp[], 15, FALSE)</f>
        <v>0</v>
      </c>
      <c r="Q280">
        <f>VLOOKUP(Table55[[#This Row],[Shortname]], Comp[], 16, FALSE)</f>
        <v>0</v>
      </c>
      <c r="R280">
        <f>VLOOKUP(Table55[[#This Row],[Shortname]], Comp[], 17, FALSE)</f>
        <v>0</v>
      </c>
      <c r="S280">
        <f>VLOOKUP(Table55[[#This Row],[Shortname]], Comp[], 18, FALSE)</f>
        <v>0</v>
      </c>
      <c r="T280">
        <f>VLOOKUP(Table55[[#This Row],[Shortname]], Comp[], 19, FALSE)</f>
        <v>0</v>
      </c>
      <c r="U280">
        <f>VLOOKUP(Table55[[#This Row],[Shortname]], Comp[], 20, FALSE)</f>
        <v>0</v>
      </c>
      <c r="V280">
        <f>VLOOKUP(Table55[[#This Row],[Shortname]], Comp[], 21, FALSE)</f>
        <v>0</v>
      </c>
      <c r="W280">
        <f>VLOOKUP(Table55[[#This Row],[Shortname]], Comp[], 22, FALSE)</f>
        <v>0</v>
      </c>
      <c r="X280">
        <f>VLOOKUP(Table55[[#This Row],[Shortname]], Comp[], 23, FALSE)</f>
        <v>0</v>
      </c>
      <c r="Y280">
        <f>VLOOKUP(Table55[[#This Row],[Shortname]], Comp[], 24, FALSE)</f>
        <v>0</v>
      </c>
      <c r="Z280">
        <f>VLOOKUP(Table55[[#This Row],[Shortname]], Comp[], 25, FALSE)</f>
        <v>0</v>
      </c>
      <c r="AA280">
        <f>VLOOKUP(Table55[[#This Row],[Shortname]], Comp[], 26, FALSE)</f>
        <v>0</v>
      </c>
      <c r="AB280">
        <f>VLOOKUP(Table55[[#This Row],[Shortname]], Comp[], 27, FALSE)</f>
        <v>0</v>
      </c>
      <c r="AC280">
        <f>VLOOKUP(Table55[[#This Row],[Shortname]], Comp[], 28, FALSE)</f>
        <v>0</v>
      </c>
      <c r="AD280">
        <f>VLOOKUP(Table55[[#This Row],[Shortname]], Comp[], 29, FALSE)</f>
        <v>0</v>
      </c>
      <c r="AE280">
        <f>VLOOKUP(Table55[[#This Row],[Shortname]], Comp[], 30, FALSE)</f>
        <v>0</v>
      </c>
      <c r="AF280">
        <f>VLOOKUP(Table55[[#This Row],[Shortname]], Comp[], 31, FALSE)</f>
        <v>0</v>
      </c>
    </row>
    <row r="281" spans="1:32" x14ac:dyDescent="0.3">
      <c r="A281" s="7" t="s">
        <v>4333</v>
      </c>
      <c r="B281" s="26" t="s">
        <v>4334</v>
      </c>
      <c r="C281" s="27" t="s">
        <v>6635</v>
      </c>
      <c r="D281">
        <v>1035</v>
      </c>
      <c r="E281">
        <v>1276</v>
      </c>
      <c r="F281">
        <v>1383</v>
      </c>
      <c r="H281" s="14">
        <f>VLOOKUP(Table55[[#This Row],[Shortname]], Comp[], 7, FALSE)</f>
        <v>86.2</v>
      </c>
      <c r="I281">
        <f>VLOOKUP(Table55[[#This Row],[Shortname]], Comp[], 8, FALSE)</f>
        <v>0</v>
      </c>
      <c r="J281">
        <f>VLOOKUP(Table55[[#This Row],[Shortname]], Comp[], 9, FALSE)</f>
        <v>2.8</v>
      </c>
      <c r="K281">
        <f>VLOOKUP(Table55[[#This Row],[Shortname]], Comp[], 10, FALSE)</f>
        <v>0</v>
      </c>
      <c r="L281">
        <f>VLOOKUP(Table55[[#This Row],[Shortname]], Comp[], 11, FALSE)</f>
        <v>2.5</v>
      </c>
      <c r="M281">
        <f>VLOOKUP(Table55[[#This Row],[Shortname]], Comp[],12, FALSE)</f>
        <v>8.5</v>
      </c>
      <c r="N281">
        <f>VLOOKUP(Table55[[#This Row],[Shortname]], Comp[], 13, FALSE)</f>
        <v>0</v>
      </c>
      <c r="O281">
        <f>VLOOKUP(Table55[[#This Row],[Shortname]], Comp[], 14, FALSE)</f>
        <v>0</v>
      </c>
      <c r="P281">
        <f>VLOOKUP(Table55[[#This Row],[Shortname]], Comp[], 15, FALSE)</f>
        <v>0</v>
      </c>
      <c r="Q281">
        <f>VLOOKUP(Table55[[#This Row],[Shortname]], Comp[], 16, FALSE)</f>
        <v>0</v>
      </c>
      <c r="R281">
        <f>VLOOKUP(Table55[[#This Row],[Shortname]], Comp[], 17, FALSE)</f>
        <v>0</v>
      </c>
      <c r="S281">
        <f>VLOOKUP(Table55[[#This Row],[Shortname]], Comp[], 18, FALSE)</f>
        <v>0</v>
      </c>
      <c r="T281">
        <f>VLOOKUP(Table55[[#This Row],[Shortname]], Comp[], 19, FALSE)</f>
        <v>0</v>
      </c>
      <c r="U281">
        <f>VLOOKUP(Table55[[#This Row],[Shortname]], Comp[], 20, FALSE)</f>
        <v>0</v>
      </c>
      <c r="V281">
        <f>VLOOKUP(Table55[[#This Row],[Shortname]], Comp[], 21, FALSE)</f>
        <v>0</v>
      </c>
      <c r="W281">
        <f>VLOOKUP(Table55[[#This Row],[Shortname]], Comp[], 22, FALSE)</f>
        <v>0</v>
      </c>
      <c r="X281">
        <f>VLOOKUP(Table55[[#This Row],[Shortname]], Comp[], 23, FALSE)</f>
        <v>0</v>
      </c>
      <c r="Y281">
        <f>VLOOKUP(Table55[[#This Row],[Shortname]], Comp[], 24, FALSE)</f>
        <v>0</v>
      </c>
      <c r="Z281">
        <f>VLOOKUP(Table55[[#This Row],[Shortname]], Comp[], 25, FALSE)</f>
        <v>0</v>
      </c>
      <c r="AA281">
        <f>VLOOKUP(Table55[[#This Row],[Shortname]], Comp[], 26, FALSE)</f>
        <v>0</v>
      </c>
      <c r="AB281">
        <f>VLOOKUP(Table55[[#This Row],[Shortname]], Comp[], 27, FALSE)</f>
        <v>0</v>
      </c>
      <c r="AC281">
        <f>VLOOKUP(Table55[[#This Row],[Shortname]], Comp[], 28, FALSE)</f>
        <v>0</v>
      </c>
      <c r="AD281">
        <f>VLOOKUP(Table55[[#This Row],[Shortname]], Comp[], 29, FALSE)</f>
        <v>0</v>
      </c>
      <c r="AE281">
        <f>VLOOKUP(Table55[[#This Row],[Shortname]], Comp[], 30, FALSE)</f>
        <v>0</v>
      </c>
      <c r="AF281">
        <f>VLOOKUP(Table55[[#This Row],[Shortname]], Comp[], 31, FALSE)</f>
        <v>0</v>
      </c>
    </row>
    <row r="282" spans="1:32" x14ac:dyDescent="0.3">
      <c r="A282" s="7" t="s">
        <v>4347</v>
      </c>
      <c r="B282" s="26" t="s">
        <v>4349</v>
      </c>
      <c r="C282" s="27" t="s">
        <v>6635</v>
      </c>
      <c r="D282">
        <v>1032</v>
      </c>
      <c r="E282">
        <v>1322</v>
      </c>
      <c r="F282">
        <v>1414</v>
      </c>
      <c r="H282" s="14">
        <f>VLOOKUP(Table55[[#This Row],[Shortname]], Comp[], 7, FALSE)</f>
        <v>85.3</v>
      </c>
      <c r="I282">
        <f>VLOOKUP(Table55[[#This Row],[Shortname]], Comp[], 8, FALSE)</f>
        <v>0</v>
      </c>
      <c r="J282">
        <f>VLOOKUP(Table55[[#This Row],[Shortname]], Comp[], 9, FALSE)</f>
        <v>4.5</v>
      </c>
      <c r="K282">
        <f>VLOOKUP(Table55[[#This Row],[Shortname]], Comp[], 10, FALSE)</f>
        <v>0</v>
      </c>
      <c r="L282">
        <f>VLOOKUP(Table55[[#This Row],[Shortname]], Comp[], 11, FALSE)</f>
        <v>4.0999999999999996</v>
      </c>
      <c r="M282">
        <f>VLOOKUP(Table55[[#This Row],[Shortname]], Comp[],12, FALSE)</f>
        <v>6.1</v>
      </c>
      <c r="N282">
        <f>VLOOKUP(Table55[[#This Row],[Shortname]], Comp[], 13, FALSE)</f>
        <v>0</v>
      </c>
      <c r="O282">
        <f>VLOOKUP(Table55[[#This Row],[Shortname]], Comp[], 14, FALSE)</f>
        <v>0</v>
      </c>
      <c r="P282">
        <f>VLOOKUP(Table55[[#This Row],[Shortname]], Comp[], 15, FALSE)</f>
        <v>0</v>
      </c>
      <c r="Q282">
        <f>VLOOKUP(Table55[[#This Row],[Shortname]], Comp[], 16, FALSE)</f>
        <v>0</v>
      </c>
      <c r="R282">
        <f>VLOOKUP(Table55[[#This Row],[Shortname]], Comp[], 17, FALSE)</f>
        <v>0</v>
      </c>
      <c r="S282">
        <f>VLOOKUP(Table55[[#This Row],[Shortname]], Comp[], 18, FALSE)</f>
        <v>0</v>
      </c>
      <c r="T282">
        <f>VLOOKUP(Table55[[#This Row],[Shortname]], Comp[], 19, FALSE)</f>
        <v>0</v>
      </c>
      <c r="U282">
        <f>VLOOKUP(Table55[[#This Row],[Shortname]], Comp[], 20, FALSE)</f>
        <v>0</v>
      </c>
      <c r="V282">
        <f>VLOOKUP(Table55[[#This Row],[Shortname]], Comp[], 21, FALSE)</f>
        <v>0</v>
      </c>
      <c r="W282">
        <f>VLOOKUP(Table55[[#This Row],[Shortname]], Comp[], 22, FALSE)</f>
        <v>0</v>
      </c>
      <c r="X282">
        <f>VLOOKUP(Table55[[#This Row],[Shortname]], Comp[], 23, FALSE)</f>
        <v>0</v>
      </c>
      <c r="Y282">
        <f>VLOOKUP(Table55[[#This Row],[Shortname]], Comp[], 24, FALSE)</f>
        <v>0</v>
      </c>
      <c r="Z282">
        <f>VLOOKUP(Table55[[#This Row],[Shortname]], Comp[], 25, FALSE)</f>
        <v>0</v>
      </c>
      <c r="AA282">
        <f>VLOOKUP(Table55[[#This Row],[Shortname]], Comp[], 26, FALSE)</f>
        <v>0</v>
      </c>
      <c r="AB282">
        <f>VLOOKUP(Table55[[#This Row],[Shortname]], Comp[], 27, FALSE)</f>
        <v>0</v>
      </c>
      <c r="AC282">
        <f>VLOOKUP(Table55[[#This Row],[Shortname]], Comp[], 28, FALSE)</f>
        <v>0</v>
      </c>
      <c r="AD282">
        <f>VLOOKUP(Table55[[#This Row],[Shortname]], Comp[], 29, FALSE)</f>
        <v>0</v>
      </c>
      <c r="AE282">
        <f>VLOOKUP(Table55[[#This Row],[Shortname]], Comp[], 30, FALSE)</f>
        <v>0</v>
      </c>
      <c r="AF282">
        <f>VLOOKUP(Table55[[#This Row],[Shortname]], Comp[], 31, FALSE)</f>
        <v>0</v>
      </c>
    </row>
    <row r="283" spans="1:32" x14ac:dyDescent="0.3">
      <c r="A283" s="7" t="s">
        <v>4359</v>
      </c>
      <c r="B283" s="26" t="s">
        <v>4361</v>
      </c>
      <c r="C283" s="27" t="s">
        <v>6635</v>
      </c>
      <c r="D283">
        <v>1017</v>
      </c>
      <c r="E283">
        <v>1365</v>
      </c>
      <c r="F283">
        <v>1435</v>
      </c>
      <c r="H283" s="14">
        <f>VLOOKUP(Table55[[#This Row],[Shortname]], Comp[], 7, FALSE)</f>
        <v>83.2</v>
      </c>
      <c r="I283">
        <f>VLOOKUP(Table55[[#This Row],[Shortname]], Comp[], 8, FALSE)</f>
        <v>0</v>
      </c>
      <c r="J283">
        <f>VLOOKUP(Table55[[#This Row],[Shortname]], Comp[], 9, FALSE)</f>
        <v>7</v>
      </c>
      <c r="K283">
        <f>VLOOKUP(Table55[[#This Row],[Shortname]], Comp[], 10, FALSE)</f>
        <v>0</v>
      </c>
      <c r="L283">
        <f>VLOOKUP(Table55[[#This Row],[Shortname]], Comp[], 11, FALSE)</f>
        <v>6.1</v>
      </c>
      <c r="M283">
        <f>VLOOKUP(Table55[[#This Row],[Shortname]], Comp[],12, FALSE)</f>
        <v>3.7</v>
      </c>
      <c r="N283">
        <f>VLOOKUP(Table55[[#This Row],[Shortname]], Comp[], 13, FALSE)</f>
        <v>0</v>
      </c>
      <c r="O283">
        <f>VLOOKUP(Table55[[#This Row],[Shortname]], Comp[], 14, FALSE)</f>
        <v>0</v>
      </c>
      <c r="P283">
        <f>VLOOKUP(Table55[[#This Row],[Shortname]], Comp[], 15, FALSE)</f>
        <v>0</v>
      </c>
      <c r="Q283">
        <f>VLOOKUP(Table55[[#This Row],[Shortname]], Comp[], 16, FALSE)</f>
        <v>0</v>
      </c>
      <c r="R283">
        <f>VLOOKUP(Table55[[#This Row],[Shortname]], Comp[], 17, FALSE)</f>
        <v>0</v>
      </c>
      <c r="S283">
        <f>VLOOKUP(Table55[[#This Row],[Shortname]], Comp[], 18, FALSE)</f>
        <v>0</v>
      </c>
      <c r="T283">
        <f>VLOOKUP(Table55[[#This Row],[Shortname]], Comp[], 19, FALSE)</f>
        <v>0</v>
      </c>
      <c r="U283">
        <f>VLOOKUP(Table55[[#This Row],[Shortname]], Comp[], 20, FALSE)</f>
        <v>0</v>
      </c>
      <c r="V283">
        <f>VLOOKUP(Table55[[#This Row],[Shortname]], Comp[], 21, FALSE)</f>
        <v>0</v>
      </c>
      <c r="W283">
        <f>VLOOKUP(Table55[[#This Row],[Shortname]], Comp[], 22, FALSE)</f>
        <v>0</v>
      </c>
      <c r="X283">
        <f>VLOOKUP(Table55[[#This Row],[Shortname]], Comp[], 23, FALSE)</f>
        <v>0</v>
      </c>
      <c r="Y283">
        <f>VLOOKUP(Table55[[#This Row],[Shortname]], Comp[], 24, FALSE)</f>
        <v>0</v>
      </c>
      <c r="Z283">
        <f>VLOOKUP(Table55[[#This Row],[Shortname]], Comp[], 25, FALSE)</f>
        <v>0</v>
      </c>
      <c r="AA283">
        <f>VLOOKUP(Table55[[#This Row],[Shortname]], Comp[], 26, FALSE)</f>
        <v>0</v>
      </c>
      <c r="AB283">
        <f>VLOOKUP(Table55[[#This Row],[Shortname]], Comp[], 27, FALSE)</f>
        <v>0</v>
      </c>
      <c r="AC283">
        <f>VLOOKUP(Table55[[#This Row],[Shortname]], Comp[], 28, FALSE)</f>
        <v>0</v>
      </c>
      <c r="AD283">
        <f>VLOOKUP(Table55[[#This Row],[Shortname]], Comp[], 29, FALSE)</f>
        <v>0</v>
      </c>
      <c r="AE283">
        <f>VLOOKUP(Table55[[#This Row],[Shortname]], Comp[], 30, FALSE)</f>
        <v>0</v>
      </c>
      <c r="AF283">
        <f>VLOOKUP(Table55[[#This Row],[Shortname]], Comp[], 31, FALSE)</f>
        <v>0</v>
      </c>
    </row>
    <row r="284" spans="1:32" x14ac:dyDescent="0.3">
      <c r="A284" s="7" t="s">
        <v>4372</v>
      </c>
      <c r="B284" s="26" t="s">
        <v>4374</v>
      </c>
      <c r="C284" s="27" t="s">
        <v>6635</v>
      </c>
      <c r="D284">
        <v>1009</v>
      </c>
      <c r="E284">
        <v>1397</v>
      </c>
      <c r="F284">
        <v>1458</v>
      </c>
      <c r="H284" s="14">
        <f>VLOOKUP(Table55[[#This Row],[Shortname]], Comp[], 7, FALSE)</f>
        <v>82.2</v>
      </c>
      <c r="I284">
        <f>VLOOKUP(Table55[[#This Row],[Shortname]], Comp[], 8, FALSE)</f>
        <v>0</v>
      </c>
      <c r="J284">
        <f>VLOOKUP(Table55[[#This Row],[Shortname]], Comp[], 9, FALSE)</f>
        <v>8.4</v>
      </c>
      <c r="K284">
        <f>VLOOKUP(Table55[[#This Row],[Shortname]], Comp[], 10, FALSE)</f>
        <v>0</v>
      </c>
      <c r="L284">
        <f>VLOOKUP(Table55[[#This Row],[Shortname]], Comp[], 11, FALSE)</f>
        <v>7.5</v>
      </c>
      <c r="M284">
        <f>VLOOKUP(Table55[[#This Row],[Shortname]], Comp[],12, FALSE)</f>
        <v>1.9</v>
      </c>
      <c r="N284">
        <f>VLOOKUP(Table55[[#This Row],[Shortname]], Comp[], 13, FALSE)</f>
        <v>0</v>
      </c>
      <c r="O284">
        <f>VLOOKUP(Table55[[#This Row],[Shortname]], Comp[], 14, FALSE)</f>
        <v>0</v>
      </c>
      <c r="P284">
        <f>VLOOKUP(Table55[[#This Row],[Shortname]], Comp[], 15, FALSE)</f>
        <v>0</v>
      </c>
      <c r="Q284">
        <f>VLOOKUP(Table55[[#This Row],[Shortname]], Comp[], 16, FALSE)</f>
        <v>0</v>
      </c>
      <c r="R284">
        <f>VLOOKUP(Table55[[#This Row],[Shortname]], Comp[], 17, FALSE)</f>
        <v>0</v>
      </c>
      <c r="S284">
        <f>VLOOKUP(Table55[[#This Row],[Shortname]], Comp[], 18, FALSE)</f>
        <v>0</v>
      </c>
      <c r="T284">
        <f>VLOOKUP(Table55[[#This Row],[Shortname]], Comp[], 19, FALSE)</f>
        <v>0</v>
      </c>
      <c r="U284">
        <f>VLOOKUP(Table55[[#This Row],[Shortname]], Comp[], 20, FALSE)</f>
        <v>0</v>
      </c>
      <c r="V284">
        <f>VLOOKUP(Table55[[#This Row],[Shortname]], Comp[], 21, FALSE)</f>
        <v>0</v>
      </c>
      <c r="W284">
        <f>VLOOKUP(Table55[[#This Row],[Shortname]], Comp[], 22, FALSE)</f>
        <v>0</v>
      </c>
      <c r="X284">
        <f>VLOOKUP(Table55[[#This Row],[Shortname]], Comp[], 23, FALSE)</f>
        <v>0</v>
      </c>
      <c r="Y284">
        <f>VLOOKUP(Table55[[#This Row],[Shortname]], Comp[], 24, FALSE)</f>
        <v>0</v>
      </c>
      <c r="Z284">
        <f>VLOOKUP(Table55[[#This Row],[Shortname]], Comp[], 25, FALSE)</f>
        <v>0</v>
      </c>
      <c r="AA284">
        <f>VLOOKUP(Table55[[#This Row],[Shortname]], Comp[], 26, FALSE)</f>
        <v>0</v>
      </c>
      <c r="AB284">
        <f>VLOOKUP(Table55[[#This Row],[Shortname]], Comp[], 27, FALSE)</f>
        <v>0</v>
      </c>
      <c r="AC284">
        <f>VLOOKUP(Table55[[#This Row],[Shortname]], Comp[], 28, FALSE)</f>
        <v>0</v>
      </c>
      <c r="AD284">
        <f>VLOOKUP(Table55[[#This Row],[Shortname]], Comp[], 29, FALSE)</f>
        <v>0</v>
      </c>
      <c r="AE284">
        <f>VLOOKUP(Table55[[#This Row],[Shortname]], Comp[], 30, FALSE)</f>
        <v>0</v>
      </c>
      <c r="AF284">
        <f>VLOOKUP(Table55[[#This Row],[Shortname]], Comp[], 31, FALSE)</f>
        <v>0</v>
      </c>
    </row>
    <row r="285" spans="1:32" x14ac:dyDescent="0.3">
      <c r="A285" s="7" t="s">
        <v>4378</v>
      </c>
      <c r="B285" s="26" t="s">
        <v>4380</v>
      </c>
      <c r="C285" s="27" t="s">
        <v>6635</v>
      </c>
      <c r="D285">
        <v>991</v>
      </c>
      <c r="E285">
        <v>1446</v>
      </c>
      <c r="F285" s="18"/>
      <c r="H285" s="14">
        <f>VLOOKUP(Table55[[#This Row],[Shortname]], Comp[], 7, FALSE)</f>
        <v>81.3</v>
      </c>
      <c r="I285">
        <f>VLOOKUP(Table55[[#This Row],[Shortname]], Comp[], 8, FALSE)</f>
        <v>0</v>
      </c>
      <c r="J285">
        <f>VLOOKUP(Table55[[#This Row],[Shortname]], Comp[], 9, FALSE)</f>
        <v>9.9</v>
      </c>
      <c r="K285">
        <f>VLOOKUP(Table55[[#This Row],[Shortname]], Comp[], 10, FALSE)</f>
        <v>0</v>
      </c>
      <c r="L285">
        <f>VLOOKUP(Table55[[#This Row],[Shortname]], Comp[], 11, FALSE)</f>
        <v>8.8000000000000007</v>
      </c>
      <c r="M285">
        <f>VLOOKUP(Table55[[#This Row],[Shortname]], Comp[],12, FALSE)</f>
        <v>0</v>
      </c>
      <c r="N285">
        <f>VLOOKUP(Table55[[#This Row],[Shortname]], Comp[], 13, FALSE)</f>
        <v>0</v>
      </c>
      <c r="O285">
        <f>VLOOKUP(Table55[[#This Row],[Shortname]], Comp[], 14, FALSE)</f>
        <v>0</v>
      </c>
      <c r="P285">
        <f>VLOOKUP(Table55[[#This Row],[Shortname]], Comp[], 15, FALSE)</f>
        <v>0</v>
      </c>
      <c r="Q285">
        <f>VLOOKUP(Table55[[#This Row],[Shortname]], Comp[], 16, FALSE)</f>
        <v>0</v>
      </c>
      <c r="R285">
        <f>VLOOKUP(Table55[[#This Row],[Shortname]], Comp[], 17, FALSE)</f>
        <v>0</v>
      </c>
      <c r="S285">
        <f>VLOOKUP(Table55[[#This Row],[Shortname]], Comp[], 18, FALSE)</f>
        <v>0</v>
      </c>
      <c r="T285">
        <f>VLOOKUP(Table55[[#This Row],[Shortname]], Comp[], 19, FALSE)</f>
        <v>0</v>
      </c>
      <c r="U285">
        <f>VLOOKUP(Table55[[#This Row],[Shortname]], Comp[], 20, FALSE)</f>
        <v>0</v>
      </c>
      <c r="V285">
        <f>VLOOKUP(Table55[[#This Row],[Shortname]], Comp[], 21, FALSE)</f>
        <v>0</v>
      </c>
      <c r="W285">
        <f>VLOOKUP(Table55[[#This Row],[Shortname]], Comp[], 22, FALSE)</f>
        <v>0</v>
      </c>
      <c r="X285">
        <f>VLOOKUP(Table55[[#This Row],[Shortname]], Comp[], 23, FALSE)</f>
        <v>0</v>
      </c>
      <c r="Y285">
        <f>VLOOKUP(Table55[[#This Row],[Shortname]], Comp[], 24, FALSE)</f>
        <v>0</v>
      </c>
      <c r="Z285">
        <f>VLOOKUP(Table55[[#This Row],[Shortname]], Comp[], 25, FALSE)</f>
        <v>0</v>
      </c>
      <c r="AA285">
        <f>VLOOKUP(Table55[[#This Row],[Shortname]], Comp[], 26, FALSE)</f>
        <v>0</v>
      </c>
      <c r="AB285">
        <f>VLOOKUP(Table55[[#This Row],[Shortname]], Comp[], 27, FALSE)</f>
        <v>0</v>
      </c>
      <c r="AC285">
        <f>VLOOKUP(Table55[[#This Row],[Shortname]], Comp[], 28, FALSE)</f>
        <v>0</v>
      </c>
      <c r="AD285">
        <f>VLOOKUP(Table55[[#This Row],[Shortname]], Comp[], 29, FALSE)</f>
        <v>0</v>
      </c>
      <c r="AE285">
        <f>VLOOKUP(Table55[[#This Row],[Shortname]], Comp[], 30, FALSE)</f>
        <v>0</v>
      </c>
      <c r="AF285">
        <f>VLOOKUP(Table55[[#This Row],[Shortname]], Comp[], 31, FALSE)</f>
        <v>0</v>
      </c>
    </row>
    <row r="286" spans="1:32" x14ac:dyDescent="0.3">
      <c r="A286" s="7" t="s">
        <v>4414</v>
      </c>
      <c r="B286" s="26" t="s">
        <v>4391</v>
      </c>
      <c r="C286" s="24" t="s">
        <v>6762</v>
      </c>
      <c r="D286">
        <v>1097</v>
      </c>
      <c r="E286">
        <v>1280</v>
      </c>
      <c r="F286">
        <v>1381</v>
      </c>
      <c r="H286" s="14">
        <f>VLOOKUP(Table55[[#This Row],[Shortname]], Comp[], 7, FALSE)</f>
        <v>43.92</v>
      </c>
      <c r="I286">
        <f>VLOOKUP(Table55[[#This Row],[Shortname]], Comp[], 8, FALSE)</f>
        <v>30</v>
      </c>
      <c r="J286">
        <f>VLOOKUP(Table55[[#This Row],[Shortname]], Comp[], 9, FALSE)</f>
        <v>4</v>
      </c>
      <c r="K286">
        <f>VLOOKUP(Table55[[#This Row],[Shortname]], Comp[], 10, FALSE)</f>
        <v>12</v>
      </c>
      <c r="L286">
        <f>VLOOKUP(Table55[[#This Row],[Shortname]], Comp[], 11, FALSE)</f>
        <v>2</v>
      </c>
      <c r="M286">
        <f>VLOOKUP(Table55[[#This Row],[Shortname]], Comp[],12, FALSE)</f>
        <v>4.9000000000000004</v>
      </c>
      <c r="N286">
        <f>VLOOKUP(Table55[[#This Row],[Shortname]], Comp[], 13, FALSE)</f>
        <v>1</v>
      </c>
      <c r="O286">
        <f>VLOOKUP(Table55[[#This Row],[Shortname]], Comp[], 14, FALSE)</f>
        <v>0</v>
      </c>
      <c r="P286">
        <f>VLOOKUP(Table55[[#This Row],[Shortname]], Comp[], 15, FALSE)</f>
        <v>0</v>
      </c>
      <c r="Q286">
        <f>VLOOKUP(Table55[[#This Row],[Shortname]], Comp[], 16, FALSE)</f>
        <v>1.5</v>
      </c>
      <c r="R286">
        <f>VLOOKUP(Table55[[#This Row],[Shortname]], Comp[], 17, FALSE)</f>
        <v>7.0000000000000007E-2</v>
      </c>
      <c r="S286">
        <f>VLOOKUP(Table55[[#This Row],[Shortname]], Comp[], 18, FALSE)</f>
        <v>0.01</v>
      </c>
      <c r="T286">
        <f>VLOOKUP(Table55[[#This Row],[Shortname]], Comp[], 19, FALSE)</f>
        <v>0.09</v>
      </c>
      <c r="U286">
        <f>VLOOKUP(Table55[[#This Row],[Shortname]], Comp[], 20, FALSE)</f>
        <v>0</v>
      </c>
      <c r="V286">
        <f>VLOOKUP(Table55[[#This Row],[Shortname]], Comp[], 21, FALSE)</f>
        <v>0</v>
      </c>
      <c r="W286">
        <f>VLOOKUP(Table55[[#This Row],[Shortname]], Comp[], 22, FALSE)</f>
        <v>0.41</v>
      </c>
      <c r="X286">
        <f>VLOOKUP(Table55[[#This Row],[Shortname]], Comp[], 23, FALSE)</f>
        <v>0</v>
      </c>
      <c r="Y286">
        <f>VLOOKUP(Table55[[#This Row],[Shortname]], Comp[], 24, FALSE)</f>
        <v>0</v>
      </c>
      <c r="Z286">
        <f>VLOOKUP(Table55[[#This Row],[Shortname]], Comp[], 25, FALSE)</f>
        <v>0.1</v>
      </c>
      <c r="AA286">
        <f>VLOOKUP(Table55[[#This Row],[Shortname]], Comp[], 26, FALSE)</f>
        <v>0</v>
      </c>
      <c r="AB286">
        <f>VLOOKUP(Table55[[#This Row],[Shortname]], Comp[], 27, FALSE)</f>
        <v>0</v>
      </c>
      <c r="AC286">
        <f>VLOOKUP(Table55[[#This Row],[Shortname]], Comp[], 28, FALSE)</f>
        <v>0</v>
      </c>
      <c r="AD286">
        <f>VLOOKUP(Table55[[#This Row],[Shortname]], Comp[], 29, FALSE)</f>
        <v>0</v>
      </c>
      <c r="AE286">
        <f>VLOOKUP(Table55[[#This Row],[Shortname]], Comp[], 30, FALSE)</f>
        <v>0</v>
      </c>
      <c r="AF286">
        <f>VLOOKUP(Table55[[#This Row],[Shortname]], Comp[], 31, FALSE)</f>
        <v>0</v>
      </c>
    </row>
    <row r="287" spans="1:32" x14ac:dyDescent="0.3">
      <c r="A287" s="7" t="s">
        <v>4419</v>
      </c>
      <c r="B287" s="26" t="s">
        <v>4420</v>
      </c>
      <c r="C287" s="24" t="s">
        <v>6762</v>
      </c>
      <c r="D287">
        <v>1097</v>
      </c>
      <c r="E287">
        <v>1291</v>
      </c>
      <c r="F287">
        <v>1381</v>
      </c>
      <c r="H287" s="14">
        <f>VLOOKUP(Table55[[#This Row],[Shortname]], Comp[], 7, FALSE)</f>
        <v>43.134999999999998</v>
      </c>
      <c r="I287">
        <f>VLOOKUP(Table55[[#This Row],[Shortname]], Comp[], 8, FALSE)</f>
        <v>30</v>
      </c>
      <c r="J287">
        <f>VLOOKUP(Table55[[#This Row],[Shortname]], Comp[], 9, FALSE)</f>
        <v>5.5</v>
      </c>
      <c r="K287">
        <f>VLOOKUP(Table55[[#This Row],[Shortname]], Comp[], 10, FALSE)</f>
        <v>12</v>
      </c>
      <c r="L287">
        <f>VLOOKUP(Table55[[#This Row],[Shortname]], Comp[], 11, FALSE)</f>
        <v>2</v>
      </c>
      <c r="M287">
        <f>VLOOKUP(Table55[[#This Row],[Shortname]], Comp[],12, FALSE)</f>
        <v>4.2</v>
      </c>
      <c r="N287">
        <f>VLOOKUP(Table55[[#This Row],[Shortname]], Comp[], 13, FALSE)</f>
        <v>1</v>
      </c>
      <c r="O287">
        <f>VLOOKUP(Table55[[#This Row],[Shortname]], Comp[], 14, FALSE)</f>
        <v>0</v>
      </c>
      <c r="P287">
        <f>VLOOKUP(Table55[[#This Row],[Shortname]], Comp[], 15, FALSE)</f>
        <v>0</v>
      </c>
      <c r="Q287">
        <f>VLOOKUP(Table55[[#This Row],[Shortname]], Comp[], 16, FALSE)</f>
        <v>1.5</v>
      </c>
      <c r="R287">
        <f>VLOOKUP(Table55[[#This Row],[Shortname]], Comp[], 17, FALSE)</f>
        <v>7.0999999999999994E-2</v>
      </c>
      <c r="S287">
        <f>VLOOKUP(Table55[[#This Row],[Shortname]], Comp[], 18, FALSE)</f>
        <v>8.9999999999999993E-3</v>
      </c>
      <c r="T287">
        <f>VLOOKUP(Table55[[#This Row],[Shortname]], Comp[], 19, FALSE)</f>
        <v>8.5000000000000006E-2</v>
      </c>
      <c r="U287">
        <f>VLOOKUP(Table55[[#This Row],[Shortname]], Comp[], 20, FALSE)</f>
        <v>0</v>
      </c>
      <c r="V287">
        <f>VLOOKUP(Table55[[#This Row],[Shortname]], Comp[], 21, FALSE)</f>
        <v>0</v>
      </c>
      <c r="W287">
        <f>VLOOKUP(Table55[[#This Row],[Shortname]], Comp[], 22, FALSE)</f>
        <v>0.39</v>
      </c>
      <c r="X287">
        <f>VLOOKUP(Table55[[#This Row],[Shortname]], Comp[], 23, FALSE)</f>
        <v>0</v>
      </c>
      <c r="Y287">
        <f>VLOOKUP(Table55[[#This Row],[Shortname]], Comp[], 24, FALSE)</f>
        <v>0</v>
      </c>
      <c r="Z287">
        <f>VLOOKUP(Table55[[#This Row],[Shortname]], Comp[], 25, FALSE)</f>
        <v>0.11</v>
      </c>
      <c r="AA287">
        <f>VLOOKUP(Table55[[#This Row],[Shortname]], Comp[], 26, FALSE)</f>
        <v>0</v>
      </c>
      <c r="AB287">
        <f>VLOOKUP(Table55[[#This Row],[Shortname]], Comp[], 27, FALSE)</f>
        <v>0</v>
      </c>
      <c r="AC287">
        <f>VLOOKUP(Table55[[#This Row],[Shortname]], Comp[], 28, FALSE)</f>
        <v>0</v>
      </c>
      <c r="AD287">
        <f>VLOOKUP(Table55[[#This Row],[Shortname]], Comp[], 29, FALSE)</f>
        <v>0</v>
      </c>
      <c r="AE287">
        <f>VLOOKUP(Table55[[#This Row],[Shortname]], Comp[], 30, FALSE)</f>
        <v>0</v>
      </c>
      <c r="AF287">
        <f>VLOOKUP(Table55[[#This Row],[Shortname]], Comp[], 31, FALSE)</f>
        <v>0</v>
      </c>
    </row>
    <row r="288" spans="1:32" x14ac:dyDescent="0.3">
      <c r="A288" s="7" t="s">
        <v>4430</v>
      </c>
      <c r="B288" s="26" t="s">
        <v>4409</v>
      </c>
      <c r="C288" s="24" t="s">
        <v>6762</v>
      </c>
      <c r="D288">
        <v>1095</v>
      </c>
      <c r="E288">
        <v>1283</v>
      </c>
      <c r="F288">
        <v>1380</v>
      </c>
      <c r="H288" s="14">
        <f>VLOOKUP(Table55[[#This Row],[Shortname]], Comp[], 7, FALSE)</f>
        <v>42.326000000000001</v>
      </c>
      <c r="I288">
        <f>VLOOKUP(Table55[[#This Row],[Shortname]], Comp[], 8, FALSE)</f>
        <v>30</v>
      </c>
      <c r="J288">
        <f>VLOOKUP(Table55[[#This Row],[Shortname]], Comp[], 9, FALSE)</f>
        <v>7</v>
      </c>
      <c r="K288">
        <f>VLOOKUP(Table55[[#This Row],[Shortname]], Comp[], 10, FALSE)</f>
        <v>12</v>
      </c>
      <c r="L288">
        <f>VLOOKUP(Table55[[#This Row],[Shortname]], Comp[], 11, FALSE)</f>
        <v>2</v>
      </c>
      <c r="M288">
        <f>VLOOKUP(Table55[[#This Row],[Shortname]], Comp[],12, FALSE)</f>
        <v>3.5</v>
      </c>
      <c r="N288">
        <f>VLOOKUP(Table55[[#This Row],[Shortname]], Comp[], 13, FALSE)</f>
        <v>1</v>
      </c>
      <c r="O288">
        <f>VLOOKUP(Table55[[#This Row],[Shortname]], Comp[], 14, FALSE)</f>
        <v>0</v>
      </c>
      <c r="P288">
        <f>VLOOKUP(Table55[[#This Row],[Shortname]], Comp[], 15, FALSE)</f>
        <v>0</v>
      </c>
      <c r="Q288">
        <f>VLOOKUP(Table55[[#This Row],[Shortname]], Comp[], 16, FALSE)</f>
        <v>1.5</v>
      </c>
      <c r="R288">
        <f>VLOOKUP(Table55[[#This Row],[Shortname]], Comp[], 17, FALSE)</f>
        <v>0.08</v>
      </c>
      <c r="S288">
        <f>VLOOKUP(Table55[[#This Row],[Shortname]], Comp[], 18, FALSE)</f>
        <v>8.9999999999999993E-3</v>
      </c>
      <c r="T288">
        <f>VLOOKUP(Table55[[#This Row],[Shortname]], Comp[], 19, FALSE)</f>
        <v>8.5000000000000006E-2</v>
      </c>
      <c r="U288">
        <f>VLOOKUP(Table55[[#This Row],[Shortname]], Comp[], 20, FALSE)</f>
        <v>0</v>
      </c>
      <c r="V288">
        <f>VLOOKUP(Table55[[#This Row],[Shortname]], Comp[], 21, FALSE)</f>
        <v>0</v>
      </c>
      <c r="W288">
        <f>VLOOKUP(Table55[[#This Row],[Shortname]], Comp[], 22, FALSE)</f>
        <v>0.39</v>
      </c>
      <c r="X288">
        <f>VLOOKUP(Table55[[#This Row],[Shortname]], Comp[], 23, FALSE)</f>
        <v>0</v>
      </c>
      <c r="Y288">
        <f>VLOOKUP(Table55[[#This Row],[Shortname]], Comp[], 24, FALSE)</f>
        <v>0</v>
      </c>
      <c r="Z288">
        <f>VLOOKUP(Table55[[#This Row],[Shortname]], Comp[], 25, FALSE)</f>
        <v>0.11</v>
      </c>
      <c r="AA288">
        <f>VLOOKUP(Table55[[#This Row],[Shortname]], Comp[], 26, FALSE)</f>
        <v>0</v>
      </c>
      <c r="AB288">
        <f>VLOOKUP(Table55[[#This Row],[Shortname]], Comp[], 27, FALSE)</f>
        <v>0</v>
      </c>
      <c r="AC288">
        <f>VLOOKUP(Table55[[#This Row],[Shortname]], Comp[], 28, FALSE)</f>
        <v>0</v>
      </c>
      <c r="AD288">
        <f>VLOOKUP(Table55[[#This Row],[Shortname]], Comp[], 29, FALSE)</f>
        <v>0</v>
      </c>
      <c r="AE288">
        <f>VLOOKUP(Table55[[#This Row],[Shortname]], Comp[], 30, FALSE)</f>
        <v>0</v>
      </c>
      <c r="AF288">
        <f>VLOOKUP(Table55[[#This Row],[Shortname]], Comp[], 31, FALSE)</f>
        <v>0</v>
      </c>
    </row>
    <row r="289" spans="1:32" x14ac:dyDescent="0.3">
      <c r="A289" s="7" t="s">
        <v>4424</v>
      </c>
      <c r="B289" s="26" t="s">
        <v>4425</v>
      </c>
      <c r="C289" s="24" t="s">
        <v>6762</v>
      </c>
      <c r="D289">
        <v>1083</v>
      </c>
      <c r="E289">
        <v>1298</v>
      </c>
      <c r="F289">
        <v>1390</v>
      </c>
      <c r="H289" s="14">
        <f>VLOOKUP(Table55[[#This Row],[Shortname]], Comp[], 7, FALSE)</f>
        <v>43.321999999999996</v>
      </c>
      <c r="I289">
        <f>VLOOKUP(Table55[[#This Row],[Shortname]], Comp[], 8, FALSE)</f>
        <v>30</v>
      </c>
      <c r="J289">
        <f>VLOOKUP(Table55[[#This Row],[Shortname]], Comp[], 9, FALSE)</f>
        <v>6</v>
      </c>
      <c r="K289">
        <f>VLOOKUP(Table55[[#This Row],[Shortname]], Comp[], 10, FALSE)</f>
        <v>12</v>
      </c>
      <c r="L289">
        <f>VLOOKUP(Table55[[#This Row],[Shortname]], Comp[], 11, FALSE)</f>
        <v>2</v>
      </c>
      <c r="M289">
        <f>VLOOKUP(Table55[[#This Row],[Shortname]], Comp[],12, FALSE)</f>
        <v>3.5</v>
      </c>
      <c r="N289">
        <f>VLOOKUP(Table55[[#This Row],[Shortname]], Comp[], 13, FALSE)</f>
        <v>1</v>
      </c>
      <c r="O289">
        <f>VLOOKUP(Table55[[#This Row],[Shortname]], Comp[], 14, FALSE)</f>
        <v>0</v>
      </c>
      <c r="P289">
        <f>VLOOKUP(Table55[[#This Row],[Shortname]], Comp[], 15, FALSE)</f>
        <v>0</v>
      </c>
      <c r="Q289">
        <f>VLOOKUP(Table55[[#This Row],[Shortname]], Comp[], 16, FALSE)</f>
        <v>1.5</v>
      </c>
      <c r="R289">
        <f>VLOOKUP(Table55[[#This Row],[Shortname]], Comp[], 17, FALSE)</f>
        <v>8.5000000000000006E-2</v>
      </c>
      <c r="S289">
        <f>VLOOKUP(Table55[[#This Row],[Shortname]], Comp[], 18, FALSE)</f>
        <v>8.9999999999999993E-3</v>
      </c>
      <c r="T289">
        <f>VLOOKUP(Table55[[#This Row],[Shortname]], Comp[], 19, FALSE)</f>
        <v>8.4000000000000005E-2</v>
      </c>
      <c r="U289">
        <f>VLOOKUP(Table55[[#This Row],[Shortname]], Comp[], 20, FALSE)</f>
        <v>0</v>
      </c>
      <c r="V289">
        <f>VLOOKUP(Table55[[#This Row],[Shortname]], Comp[], 21, FALSE)</f>
        <v>0</v>
      </c>
      <c r="W289">
        <f>VLOOKUP(Table55[[#This Row],[Shortname]], Comp[], 22, FALSE)</f>
        <v>0.39</v>
      </c>
      <c r="X289">
        <f>VLOOKUP(Table55[[#This Row],[Shortname]], Comp[], 23, FALSE)</f>
        <v>0</v>
      </c>
      <c r="Y289">
        <f>VLOOKUP(Table55[[#This Row],[Shortname]], Comp[], 24, FALSE)</f>
        <v>0</v>
      </c>
      <c r="Z289">
        <f>VLOOKUP(Table55[[#This Row],[Shortname]], Comp[], 25, FALSE)</f>
        <v>0.11</v>
      </c>
      <c r="AA289">
        <f>VLOOKUP(Table55[[#This Row],[Shortname]], Comp[], 26, FALSE)</f>
        <v>0</v>
      </c>
      <c r="AB289">
        <f>VLOOKUP(Table55[[#This Row],[Shortname]], Comp[], 27, FALSE)</f>
        <v>0</v>
      </c>
      <c r="AC289">
        <f>VLOOKUP(Table55[[#This Row],[Shortname]], Comp[], 28, FALSE)</f>
        <v>0</v>
      </c>
      <c r="AD289">
        <f>VLOOKUP(Table55[[#This Row],[Shortname]], Comp[], 29, FALSE)</f>
        <v>0</v>
      </c>
      <c r="AE289">
        <f>VLOOKUP(Table55[[#This Row],[Shortname]], Comp[], 30, FALSE)</f>
        <v>0</v>
      </c>
      <c r="AF289">
        <f>VLOOKUP(Table55[[#This Row],[Shortname]], Comp[], 31, FALSE)</f>
        <v>0</v>
      </c>
    </row>
    <row r="290" spans="1:32" x14ac:dyDescent="0.3">
      <c r="A290" s="7" t="s">
        <v>4448</v>
      </c>
      <c r="B290" s="7" t="s">
        <v>4450</v>
      </c>
      <c r="C290" s="11" t="s">
        <v>6763</v>
      </c>
      <c r="D290">
        <v>1105</v>
      </c>
      <c r="E290">
        <v>1309</v>
      </c>
      <c r="H290" s="14">
        <f>VLOOKUP(Table55[[#This Row],[Shortname]], Comp[], 7, FALSE)</f>
        <v>89</v>
      </c>
      <c r="I290">
        <f>VLOOKUP(Table55[[#This Row],[Shortname]], Comp[], 8, FALSE)</f>
        <v>0</v>
      </c>
      <c r="J290">
        <f>VLOOKUP(Table55[[#This Row],[Shortname]], Comp[], 9, FALSE)</f>
        <v>8</v>
      </c>
      <c r="K290">
        <f>VLOOKUP(Table55[[#This Row],[Shortname]], Comp[], 10, FALSE)</f>
        <v>0</v>
      </c>
      <c r="L290">
        <f>VLOOKUP(Table55[[#This Row],[Shortname]], Comp[], 11, FALSE)</f>
        <v>3</v>
      </c>
      <c r="M290">
        <f>VLOOKUP(Table55[[#This Row],[Shortname]], Comp[],12, FALSE)</f>
        <v>0</v>
      </c>
      <c r="N290">
        <f>VLOOKUP(Table55[[#This Row],[Shortname]], Comp[], 13, FALSE)</f>
        <v>0</v>
      </c>
      <c r="O290">
        <f>VLOOKUP(Table55[[#This Row],[Shortname]], Comp[], 14, FALSE)</f>
        <v>0</v>
      </c>
      <c r="P290">
        <f>VLOOKUP(Table55[[#This Row],[Shortname]], Comp[], 15, FALSE)</f>
        <v>0</v>
      </c>
      <c r="Q290">
        <f>VLOOKUP(Table55[[#This Row],[Shortname]], Comp[], 16, FALSE)</f>
        <v>0</v>
      </c>
      <c r="R290">
        <f>VLOOKUP(Table55[[#This Row],[Shortname]], Comp[], 17, FALSE)</f>
        <v>0</v>
      </c>
      <c r="S290">
        <f>VLOOKUP(Table55[[#This Row],[Shortname]], Comp[], 18, FALSE)</f>
        <v>0</v>
      </c>
      <c r="T290">
        <f>VLOOKUP(Table55[[#This Row],[Shortname]], Comp[], 19, FALSE)</f>
        <v>0</v>
      </c>
      <c r="U290">
        <f>VLOOKUP(Table55[[#This Row],[Shortname]], Comp[], 20, FALSE)</f>
        <v>0</v>
      </c>
      <c r="V290">
        <f>VLOOKUP(Table55[[#This Row],[Shortname]], Comp[], 21, FALSE)</f>
        <v>0</v>
      </c>
      <c r="W290">
        <f>VLOOKUP(Table55[[#This Row],[Shortname]], Comp[], 22, FALSE)</f>
        <v>0</v>
      </c>
      <c r="X290">
        <f>VLOOKUP(Table55[[#This Row],[Shortname]], Comp[], 23, FALSE)</f>
        <v>0</v>
      </c>
      <c r="Y290">
        <f>VLOOKUP(Table55[[#This Row],[Shortname]], Comp[], 24, FALSE)</f>
        <v>0</v>
      </c>
      <c r="Z290">
        <f>VLOOKUP(Table55[[#This Row],[Shortname]], Comp[], 25, FALSE)</f>
        <v>0</v>
      </c>
      <c r="AA290">
        <f>VLOOKUP(Table55[[#This Row],[Shortname]], Comp[], 26, FALSE)</f>
        <v>0</v>
      </c>
      <c r="AB290">
        <f>VLOOKUP(Table55[[#This Row],[Shortname]], Comp[], 27, FALSE)</f>
        <v>0</v>
      </c>
      <c r="AC290">
        <f>VLOOKUP(Table55[[#This Row],[Shortname]], Comp[], 28, FALSE)</f>
        <v>0</v>
      </c>
      <c r="AD290">
        <f>VLOOKUP(Table55[[#This Row],[Shortname]], Comp[], 29, FALSE)</f>
        <v>0</v>
      </c>
      <c r="AE290">
        <f>VLOOKUP(Table55[[#This Row],[Shortname]], Comp[], 30, FALSE)</f>
        <v>0</v>
      </c>
      <c r="AF290">
        <f>VLOOKUP(Table55[[#This Row],[Shortname]], Comp[], 31, FALSE)</f>
        <v>0</v>
      </c>
    </row>
    <row r="291" spans="1:32" x14ac:dyDescent="0.3">
      <c r="A291" s="7" t="s">
        <v>4454</v>
      </c>
      <c r="B291" s="7" t="s">
        <v>4456</v>
      </c>
      <c r="C291" s="11" t="s">
        <v>6763</v>
      </c>
      <c r="D291">
        <v>1095</v>
      </c>
      <c r="E291">
        <v>1303</v>
      </c>
      <c r="H291" s="14">
        <f>VLOOKUP(Table55[[#This Row],[Shortname]], Comp[], 7, FALSE)</f>
        <v>89</v>
      </c>
      <c r="I291">
        <f>VLOOKUP(Table55[[#This Row],[Shortname]], Comp[], 8, FALSE)</f>
        <v>0</v>
      </c>
      <c r="J291">
        <f>VLOOKUP(Table55[[#This Row],[Shortname]], Comp[], 9, FALSE)</f>
        <v>8</v>
      </c>
      <c r="K291">
        <f>VLOOKUP(Table55[[#This Row],[Shortname]], Comp[], 10, FALSE)</f>
        <v>0</v>
      </c>
      <c r="L291">
        <f>VLOOKUP(Table55[[#This Row],[Shortname]], Comp[], 11, FALSE)</f>
        <v>2</v>
      </c>
      <c r="M291">
        <f>VLOOKUP(Table55[[#This Row],[Shortname]], Comp[],12, FALSE)</f>
        <v>0</v>
      </c>
      <c r="N291">
        <f>VLOOKUP(Table55[[#This Row],[Shortname]], Comp[], 13, FALSE)</f>
        <v>0</v>
      </c>
      <c r="O291">
        <f>VLOOKUP(Table55[[#This Row],[Shortname]], Comp[], 14, FALSE)</f>
        <v>0</v>
      </c>
      <c r="P291">
        <f>VLOOKUP(Table55[[#This Row],[Shortname]], Comp[], 15, FALSE)</f>
        <v>0</v>
      </c>
      <c r="Q291">
        <f>VLOOKUP(Table55[[#This Row],[Shortname]], Comp[], 16, FALSE)</f>
        <v>1</v>
      </c>
      <c r="R291">
        <f>VLOOKUP(Table55[[#This Row],[Shortname]], Comp[], 17, FALSE)</f>
        <v>0</v>
      </c>
      <c r="S291">
        <f>VLOOKUP(Table55[[#This Row],[Shortname]], Comp[], 18, FALSE)</f>
        <v>0</v>
      </c>
      <c r="T291">
        <f>VLOOKUP(Table55[[#This Row],[Shortname]], Comp[], 19, FALSE)</f>
        <v>0</v>
      </c>
      <c r="U291">
        <f>VLOOKUP(Table55[[#This Row],[Shortname]], Comp[], 20, FALSE)</f>
        <v>0</v>
      </c>
      <c r="V291">
        <f>VLOOKUP(Table55[[#This Row],[Shortname]], Comp[], 21, FALSE)</f>
        <v>0</v>
      </c>
      <c r="W291">
        <f>VLOOKUP(Table55[[#This Row],[Shortname]], Comp[], 22, FALSE)</f>
        <v>0</v>
      </c>
      <c r="X291">
        <f>VLOOKUP(Table55[[#This Row],[Shortname]], Comp[], 23, FALSE)</f>
        <v>0</v>
      </c>
      <c r="Y291">
        <f>VLOOKUP(Table55[[#This Row],[Shortname]], Comp[], 24, FALSE)</f>
        <v>0</v>
      </c>
      <c r="Z291">
        <f>VLOOKUP(Table55[[#This Row],[Shortname]], Comp[], 25, FALSE)</f>
        <v>0</v>
      </c>
      <c r="AA291">
        <f>VLOOKUP(Table55[[#This Row],[Shortname]], Comp[], 26, FALSE)</f>
        <v>0</v>
      </c>
      <c r="AB291">
        <f>VLOOKUP(Table55[[#This Row],[Shortname]], Comp[], 27, FALSE)</f>
        <v>0</v>
      </c>
      <c r="AC291">
        <f>VLOOKUP(Table55[[#This Row],[Shortname]], Comp[], 28, FALSE)</f>
        <v>0</v>
      </c>
      <c r="AD291">
        <f>VLOOKUP(Table55[[#This Row],[Shortname]], Comp[], 29, FALSE)</f>
        <v>0</v>
      </c>
      <c r="AE291">
        <f>VLOOKUP(Table55[[#This Row],[Shortname]], Comp[], 30, FALSE)</f>
        <v>0</v>
      </c>
      <c r="AF291">
        <f>VLOOKUP(Table55[[#This Row],[Shortname]], Comp[], 31, FALSE)</f>
        <v>0</v>
      </c>
    </row>
    <row r="292" spans="1:32" x14ac:dyDescent="0.3">
      <c r="A292" s="7" t="s">
        <v>4435</v>
      </c>
      <c r="B292" s="7" t="s">
        <v>4437</v>
      </c>
      <c r="C292" s="11" t="s">
        <v>6763</v>
      </c>
      <c r="D292">
        <v>1086</v>
      </c>
      <c r="E292">
        <v>1326</v>
      </c>
      <c r="H292" s="14">
        <f>VLOOKUP(Table55[[#This Row],[Shortname]], Comp[], 7, FALSE)</f>
        <v>91</v>
      </c>
      <c r="I292">
        <f>VLOOKUP(Table55[[#This Row],[Shortname]], Comp[], 8, FALSE)</f>
        <v>0</v>
      </c>
      <c r="J292">
        <f>VLOOKUP(Table55[[#This Row],[Shortname]], Comp[], 9, FALSE)</f>
        <v>6</v>
      </c>
      <c r="K292">
        <f>VLOOKUP(Table55[[#This Row],[Shortname]], Comp[], 10, FALSE)</f>
        <v>0</v>
      </c>
      <c r="L292">
        <f>VLOOKUP(Table55[[#This Row],[Shortname]], Comp[], 11, FALSE)</f>
        <v>3</v>
      </c>
      <c r="M292">
        <f>VLOOKUP(Table55[[#This Row],[Shortname]], Comp[],12, FALSE)</f>
        <v>0</v>
      </c>
      <c r="N292">
        <f>VLOOKUP(Table55[[#This Row],[Shortname]], Comp[], 13, FALSE)</f>
        <v>0</v>
      </c>
      <c r="O292">
        <f>VLOOKUP(Table55[[#This Row],[Shortname]], Comp[], 14, FALSE)</f>
        <v>0</v>
      </c>
      <c r="P292">
        <f>VLOOKUP(Table55[[#This Row],[Shortname]], Comp[], 15, FALSE)</f>
        <v>0</v>
      </c>
      <c r="Q292">
        <f>VLOOKUP(Table55[[#This Row],[Shortname]], Comp[], 16, FALSE)</f>
        <v>0</v>
      </c>
      <c r="R292">
        <f>VLOOKUP(Table55[[#This Row],[Shortname]], Comp[], 17, FALSE)</f>
        <v>0</v>
      </c>
      <c r="S292">
        <f>VLOOKUP(Table55[[#This Row],[Shortname]], Comp[], 18, FALSE)</f>
        <v>0</v>
      </c>
      <c r="T292">
        <f>VLOOKUP(Table55[[#This Row],[Shortname]], Comp[], 19, FALSE)</f>
        <v>0</v>
      </c>
      <c r="U292">
        <f>VLOOKUP(Table55[[#This Row],[Shortname]], Comp[], 20, FALSE)</f>
        <v>0</v>
      </c>
      <c r="V292">
        <f>VLOOKUP(Table55[[#This Row],[Shortname]], Comp[], 21, FALSE)</f>
        <v>0</v>
      </c>
      <c r="W292">
        <f>VLOOKUP(Table55[[#This Row],[Shortname]], Comp[], 22, FALSE)</f>
        <v>0</v>
      </c>
      <c r="X292">
        <f>VLOOKUP(Table55[[#This Row],[Shortname]], Comp[], 23, FALSE)</f>
        <v>0</v>
      </c>
      <c r="Y292">
        <f>VLOOKUP(Table55[[#This Row],[Shortname]], Comp[], 24, FALSE)</f>
        <v>0</v>
      </c>
      <c r="Z292">
        <f>VLOOKUP(Table55[[#This Row],[Shortname]], Comp[], 25, FALSE)</f>
        <v>0</v>
      </c>
      <c r="AA292">
        <f>VLOOKUP(Table55[[#This Row],[Shortname]], Comp[], 26, FALSE)</f>
        <v>0</v>
      </c>
      <c r="AB292">
        <f>VLOOKUP(Table55[[#This Row],[Shortname]], Comp[], 27, FALSE)</f>
        <v>0</v>
      </c>
      <c r="AC292">
        <f>VLOOKUP(Table55[[#This Row],[Shortname]], Comp[], 28, FALSE)</f>
        <v>0</v>
      </c>
      <c r="AD292">
        <f>VLOOKUP(Table55[[#This Row],[Shortname]], Comp[], 29, FALSE)</f>
        <v>0</v>
      </c>
      <c r="AE292">
        <f>VLOOKUP(Table55[[#This Row],[Shortname]], Comp[], 30, FALSE)</f>
        <v>0</v>
      </c>
      <c r="AF292">
        <f>VLOOKUP(Table55[[#This Row],[Shortname]], Comp[], 31, FALSE)</f>
        <v>0</v>
      </c>
    </row>
    <row r="293" spans="1:32" x14ac:dyDescent="0.3">
      <c r="A293" s="7" t="s">
        <v>4460</v>
      </c>
      <c r="B293" s="7" t="s">
        <v>4462</v>
      </c>
      <c r="C293" s="11" t="s">
        <v>6763</v>
      </c>
      <c r="D293">
        <v>1086</v>
      </c>
      <c r="E293">
        <v>1299</v>
      </c>
      <c r="H293" s="14">
        <f>VLOOKUP(Table55[[#This Row],[Shortname]], Comp[], 7, FALSE)</f>
        <v>89</v>
      </c>
      <c r="I293">
        <f>VLOOKUP(Table55[[#This Row],[Shortname]], Comp[], 8, FALSE)</f>
        <v>0</v>
      </c>
      <c r="J293">
        <f>VLOOKUP(Table55[[#This Row],[Shortname]], Comp[], 9, FALSE)</f>
        <v>8</v>
      </c>
      <c r="K293">
        <f>VLOOKUP(Table55[[#This Row],[Shortname]], Comp[], 10, FALSE)</f>
        <v>0</v>
      </c>
      <c r="L293">
        <f>VLOOKUP(Table55[[#This Row],[Shortname]], Comp[], 11, FALSE)</f>
        <v>1</v>
      </c>
      <c r="M293">
        <f>VLOOKUP(Table55[[#This Row],[Shortname]], Comp[],12, FALSE)</f>
        <v>0</v>
      </c>
      <c r="N293">
        <f>VLOOKUP(Table55[[#This Row],[Shortname]], Comp[], 13, FALSE)</f>
        <v>0</v>
      </c>
      <c r="O293">
        <f>VLOOKUP(Table55[[#This Row],[Shortname]], Comp[], 14, FALSE)</f>
        <v>0</v>
      </c>
      <c r="P293">
        <f>VLOOKUP(Table55[[#This Row],[Shortname]], Comp[], 15, FALSE)</f>
        <v>0</v>
      </c>
      <c r="Q293">
        <f>VLOOKUP(Table55[[#This Row],[Shortname]], Comp[], 16, FALSE)</f>
        <v>2</v>
      </c>
      <c r="R293">
        <f>VLOOKUP(Table55[[#This Row],[Shortname]], Comp[], 17, FALSE)</f>
        <v>0</v>
      </c>
      <c r="S293">
        <f>VLOOKUP(Table55[[#This Row],[Shortname]], Comp[], 18, FALSE)</f>
        <v>0</v>
      </c>
      <c r="T293">
        <f>VLOOKUP(Table55[[#This Row],[Shortname]], Comp[], 19, FALSE)</f>
        <v>0</v>
      </c>
      <c r="U293">
        <f>VLOOKUP(Table55[[#This Row],[Shortname]], Comp[], 20, FALSE)</f>
        <v>0</v>
      </c>
      <c r="V293">
        <f>VLOOKUP(Table55[[#This Row],[Shortname]], Comp[], 21, FALSE)</f>
        <v>0</v>
      </c>
      <c r="W293">
        <f>VLOOKUP(Table55[[#This Row],[Shortname]], Comp[], 22, FALSE)</f>
        <v>0</v>
      </c>
      <c r="X293">
        <f>VLOOKUP(Table55[[#This Row],[Shortname]], Comp[], 23, FALSE)</f>
        <v>0</v>
      </c>
      <c r="Y293">
        <f>VLOOKUP(Table55[[#This Row],[Shortname]], Comp[], 24, FALSE)</f>
        <v>0</v>
      </c>
      <c r="Z293">
        <f>VLOOKUP(Table55[[#This Row],[Shortname]], Comp[], 25, FALSE)</f>
        <v>0</v>
      </c>
      <c r="AA293">
        <f>VLOOKUP(Table55[[#This Row],[Shortname]], Comp[], 26, FALSE)</f>
        <v>0</v>
      </c>
      <c r="AB293">
        <f>VLOOKUP(Table55[[#This Row],[Shortname]], Comp[], 27, FALSE)</f>
        <v>0</v>
      </c>
      <c r="AC293">
        <f>VLOOKUP(Table55[[#This Row],[Shortname]], Comp[], 28, FALSE)</f>
        <v>0</v>
      </c>
      <c r="AD293">
        <f>VLOOKUP(Table55[[#This Row],[Shortname]], Comp[], 29, FALSE)</f>
        <v>0</v>
      </c>
      <c r="AE293">
        <f>VLOOKUP(Table55[[#This Row],[Shortname]], Comp[], 30, FALSE)</f>
        <v>0</v>
      </c>
      <c r="AF293">
        <f>VLOOKUP(Table55[[#This Row],[Shortname]], Comp[], 31, FALSE)</f>
        <v>0</v>
      </c>
    </row>
    <row r="294" spans="1:32" x14ac:dyDescent="0.3">
      <c r="A294" s="7" t="s">
        <v>4442</v>
      </c>
      <c r="B294" s="7" t="s">
        <v>4444</v>
      </c>
      <c r="C294" s="11" t="s">
        <v>6763</v>
      </c>
      <c r="D294">
        <v>1074</v>
      </c>
      <c r="E294">
        <v>1320</v>
      </c>
      <c r="H294" s="14">
        <f>VLOOKUP(Table55[[#This Row],[Shortname]], Comp[], 7, FALSE)</f>
        <v>91</v>
      </c>
      <c r="I294">
        <f>VLOOKUP(Table55[[#This Row],[Shortname]], Comp[], 8, FALSE)</f>
        <v>0</v>
      </c>
      <c r="J294">
        <f>VLOOKUP(Table55[[#This Row],[Shortname]], Comp[], 9, FALSE)</f>
        <v>6</v>
      </c>
      <c r="K294">
        <f>VLOOKUP(Table55[[#This Row],[Shortname]], Comp[], 10, FALSE)</f>
        <v>0</v>
      </c>
      <c r="L294">
        <f>VLOOKUP(Table55[[#This Row],[Shortname]], Comp[], 11, FALSE)</f>
        <v>2</v>
      </c>
      <c r="M294">
        <f>VLOOKUP(Table55[[#This Row],[Shortname]], Comp[],12, FALSE)</f>
        <v>0</v>
      </c>
      <c r="N294">
        <f>VLOOKUP(Table55[[#This Row],[Shortname]], Comp[], 13, FALSE)</f>
        <v>0</v>
      </c>
      <c r="O294">
        <f>VLOOKUP(Table55[[#This Row],[Shortname]], Comp[], 14, FALSE)</f>
        <v>0</v>
      </c>
      <c r="P294">
        <f>VLOOKUP(Table55[[#This Row],[Shortname]], Comp[], 15, FALSE)</f>
        <v>0</v>
      </c>
      <c r="Q294">
        <f>VLOOKUP(Table55[[#This Row],[Shortname]], Comp[], 16, FALSE)</f>
        <v>1</v>
      </c>
      <c r="R294">
        <f>VLOOKUP(Table55[[#This Row],[Shortname]], Comp[], 17, FALSE)</f>
        <v>0</v>
      </c>
      <c r="S294">
        <f>VLOOKUP(Table55[[#This Row],[Shortname]], Comp[], 18, FALSE)</f>
        <v>0</v>
      </c>
      <c r="T294">
        <f>VLOOKUP(Table55[[#This Row],[Shortname]], Comp[], 19, FALSE)</f>
        <v>0</v>
      </c>
      <c r="U294">
        <f>VLOOKUP(Table55[[#This Row],[Shortname]], Comp[], 20, FALSE)</f>
        <v>0</v>
      </c>
      <c r="V294">
        <f>VLOOKUP(Table55[[#This Row],[Shortname]], Comp[], 21, FALSE)</f>
        <v>0</v>
      </c>
      <c r="W294">
        <f>VLOOKUP(Table55[[#This Row],[Shortname]], Comp[], 22, FALSE)</f>
        <v>0</v>
      </c>
      <c r="X294">
        <f>VLOOKUP(Table55[[#This Row],[Shortname]], Comp[], 23, FALSE)</f>
        <v>0</v>
      </c>
      <c r="Y294">
        <f>VLOOKUP(Table55[[#This Row],[Shortname]], Comp[], 24, FALSE)</f>
        <v>0</v>
      </c>
      <c r="Z294">
        <f>VLOOKUP(Table55[[#This Row],[Shortname]], Comp[], 25, FALSE)</f>
        <v>0</v>
      </c>
      <c r="AA294">
        <f>VLOOKUP(Table55[[#This Row],[Shortname]], Comp[], 26, FALSE)</f>
        <v>0</v>
      </c>
      <c r="AB294">
        <f>VLOOKUP(Table55[[#This Row],[Shortname]], Comp[], 27, FALSE)</f>
        <v>0</v>
      </c>
      <c r="AC294">
        <f>VLOOKUP(Table55[[#This Row],[Shortname]], Comp[], 28, FALSE)</f>
        <v>0</v>
      </c>
      <c r="AD294">
        <f>VLOOKUP(Table55[[#This Row],[Shortname]], Comp[], 29, FALSE)</f>
        <v>0</v>
      </c>
      <c r="AE294">
        <f>VLOOKUP(Table55[[#This Row],[Shortname]], Comp[], 30, FALSE)</f>
        <v>0</v>
      </c>
      <c r="AF294">
        <f>VLOOKUP(Table55[[#This Row],[Shortname]], Comp[], 31, FALSE)</f>
        <v>0</v>
      </c>
    </row>
    <row r="295" spans="1:32" x14ac:dyDescent="0.3">
      <c r="A295" s="7" t="s">
        <v>4840</v>
      </c>
      <c r="B295" s="7" t="s">
        <v>4842</v>
      </c>
      <c r="C295" s="11" t="s">
        <v>6765</v>
      </c>
      <c r="D295">
        <v>1166</v>
      </c>
      <c r="E295">
        <v>1312</v>
      </c>
      <c r="H295" s="14">
        <f>VLOOKUP(Table55[[#This Row],[Shortname]], Comp[], 7, FALSE)</f>
        <v>79</v>
      </c>
      <c r="I295">
        <f>VLOOKUP(Table55[[#This Row],[Shortname]], Comp[], 8, FALSE)</f>
        <v>0</v>
      </c>
      <c r="J295">
        <f>VLOOKUP(Table55[[#This Row],[Shortname]], Comp[], 9, FALSE)</f>
        <v>7</v>
      </c>
      <c r="K295">
        <f>VLOOKUP(Table55[[#This Row],[Shortname]], Comp[], 10, FALSE)</f>
        <v>0</v>
      </c>
      <c r="L295">
        <f>VLOOKUP(Table55[[#This Row],[Shortname]], Comp[], 11, FALSE)</f>
        <v>7</v>
      </c>
      <c r="M295">
        <f>VLOOKUP(Table55[[#This Row],[Shortname]], Comp[],12, FALSE)</f>
        <v>4</v>
      </c>
      <c r="N295">
        <f>VLOOKUP(Table55[[#This Row],[Shortname]], Comp[], 13, FALSE)</f>
        <v>2</v>
      </c>
      <c r="O295">
        <f>VLOOKUP(Table55[[#This Row],[Shortname]], Comp[], 14, FALSE)</f>
        <v>0</v>
      </c>
      <c r="P295">
        <f>VLOOKUP(Table55[[#This Row],[Shortname]], Comp[], 15, FALSE)</f>
        <v>1</v>
      </c>
      <c r="Q295">
        <f>VLOOKUP(Table55[[#This Row],[Shortname]], Comp[], 16, FALSE)</f>
        <v>0</v>
      </c>
      <c r="R295">
        <f>VLOOKUP(Table55[[#This Row],[Shortname]], Comp[], 17, FALSE)</f>
        <v>0</v>
      </c>
      <c r="S295">
        <f>VLOOKUP(Table55[[#This Row],[Shortname]], Comp[], 18, FALSE)</f>
        <v>0</v>
      </c>
      <c r="T295">
        <f>VLOOKUP(Table55[[#This Row],[Shortname]], Comp[], 19, FALSE)</f>
        <v>0</v>
      </c>
      <c r="U295">
        <f>VLOOKUP(Table55[[#This Row],[Shortname]], Comp[], 20, FALSE)</f>
        <v>0</v>
      </c>
      <c r="V295">
        <f>VLOOKUP(Table55[[#This Row],[Shortname]], Comp[], 21, FALSE)</f>
        <v>0</v>
      </c>
      <c r="W295">
        <f>VLOOKUP(Table55[[#This Row],[Shortname]], Comp[], 22, FALSE)</f>
        <v>0</v>
      </c>
      <c r="X295">
        <f>VLOOKUP(Table55[[#This Row],[Shortname]], Comp[], 23, FALSE)</f>
        <v>0</v>
      </c>
      <c r="Y295">
        <f>VLOOKUP(Table55[[#This Row],[Shortname]], Comp[], 24, FALSE)</f>
        <v>0</v>
      </c>
      <c r="Z295">
        <f>VLOOKUP(Table55[[#This Row],[Shortname]], Comp[], 25, FALSE)</f>
        <v>0</v>
      </c>
      <c r="AA295">
        <f>VLOOKUP(Table55[[#This Row],[Shortname]], Comp[], 26, FALSE)</f>
        <v>0</v>
      </c>
      <c r="AB295">
        <f>VLOOKUP(Table55[[#This Row],[Shortname]], Comp[], 27, FALSE)</f>
        <v>0</v>
      </c>
      <c r="AC295">
        <f>VLOOKUP(Table55[[#This Row],[Shortname]], Comp[], 28, FALSE)</f>
        <v>0</v>
      </c>
      <c r="AD295">
        <f>VLOOKUP(Table55[[#This Row],[Shortname]], Comp[], 29, FALSE)</f>
        <v>0</v>
      </c>
      <c r="AE295">
        <f>VLOOKUP(Table55[[#This Row],[Shortname]], Comp[], 30, FALSE)</f>
        <v>0</v>
      </c>
      <c r="AF295">
        <f>VLOOKUP(Table55[[#This Row],[Shortname]], Comp[], 31, FALSE)</f>
        <v>0</v>
      </c>
    </row>
    <row r="296" spans="1:32" x14ac:dyDescent="0.3">
      <c r="A296" s="7" t="s">
        <v>3951</v>
      </c>
      <c r="B296" s="7" t="s">
        <v>5303</v>
      </c>
      <c r="C296" s="11" t="s">
        <v>6765</v>
      </c>
      <c r="D296">
        <v>1160</v>
      </c>
      <c r="E296">
        <v>1313</v>
      </c>
      <c r="H296" s="14">
        <f>VLOOKUP(Table55[[#This Row],[Shortname]], Comp[], 7, FALSE)</f>
        <v>80</v>
      </c>
      <c r="I296">
        <f>VLOOKUP(Table55[[#This Row],[Shortname]], Comp[], 8, FALSE)</f>
        <v>0</v>
      </c>
      <c r="J296">
        <f>VLOOKUP(Table55[[#This Row],[Shortname]], Comp[], 9, FALSE)</f>
        <v>7</v>
      </c>
      <c r="K296">
        <f>VLOOKUP(Table55[[#This Row],[Shortname]], Comp[], 10, FALSE)</f>
        <v>0</v>
      </c>
      <c r="L296">
        <f>VLOOKUP(Table55[[#This Row],[Shortname]], Comp[], 11, FALSE)</f>
        <v>7</v>
      </c>
      <c r="M296">
        <f>VLOOKUP(Table55[[#This Row],[Shortname]], Comp[],12, FALSE)</f>
        <v>4</v>
      </c>
      <c r="N296">
        <f>VLOOKUP(Table55[[#This Row],[Shortname]], Comp[], 13, FALSE)</f>
        <v>2</v>
      </c>
      <c r="O296">
        <f>VLOOKUP(Table55[[#This Row],[Shortname]], Comp[], 14, FALSE)</f>
        <v>0</v>
      </c>
      <c r="P296">
        <f>VLOOKUP(Table55[[#This Row],[Shortname]], Comp[], 15, FALSE)</f>
        <v>0</v>
      </c>
      <c r="Q296">
        <f>VLOOKUP(Table55[[#This Row],[Shortname]], Comp[], 16, FALSE)</f>
        <v>0</v>
      </c>
      <c r="R296">
        <f>VLOOKUP(Table55[[#This Row],[Shortname]], Comp[], 17, FALSE)</f>
        <v>0</v>
      </c>
      <c r="S296">
        <f>VLOOKUP(Table55[[#This Row],[Shortname]], Comp[], 18, FALSE)</f>
        <v>0</v>
      </c>
      <c r="T296">
        <f>VLOOKUP(Table55[[#This Row],[Shortname]], Comp[], 19, FALSE)</f>
        <v>0</v>
      </c>
      <c r="U296">
        <f>VLOOKUP(Table55[[#This Row],[Shortname]], Comp[], 20, FALSE)</f>
        <v>0</v>
      </c>
      <c r="V296">
        <f>VLOOKUP(Table55[[#This Row],[Shortname]], Comp[], 21, FALSE)</f>
        <v>0</v>
      </c>
      <c r="W296">
        <f>VLOOKUP(Table55[[#This Row],[Shortname]], Comp[], 22, FALSE)</f>
        <v>0</v>
      </c>
      <c r="X296">
        <f>VLOOKUP(Table55[[#This Row],[Shortname]], Comp[], 23, FALSE)</f>
        <v>0</v>
      </c>
      <c r="Y296">
        <f>VLOOKUP(Table55[[#This Row],[Shortname]], Comp[], 24, FALSE)</f>
        <v>0</v>
      </c>
      <c r="Z296">
        <f>VLOOKUP(Table55[[#This Row],[Shortname]], Comp[], 25, FALSE)</f>
        <v>0</v>
      </c>
      <c r="AA296">
        <f>VLOOKUP(Table55[[#This Row],[Shortname]], Comp[], 26, FALSE)</f>
        <v>0</v>
      </c>
      <c r="AB296">
        <f>VLOOKUP(Table55[[#This Row],[Shortname]], Comp[], 27, FALSE)</f>
        <v>0</v>
      </c>
      <c r="AC296">
        <f>VLOOKUP(Table55[[#This Row],[Shortname]], Comp[], 28, FALSE)</f>
        <v>0</v>
      </c>
      <c r="AD296">
        <f>VLOOKUP(Table55[[#This Row],[Shortname]], Comp[], 29, FALSE)</f>
        <v>0</v>
      </c>
      <c r="AE296">
        <f>VLOOKUP(Table55[[#This Row],[Shortname]], Comp[], 30, FALSE)</f>
        <v>0</v>
      </c>
      <c r="AF296">
        <f>VLOOKUP(Table55[[#This Row],[Shortname]], Comp[], 31, FALSE)</f>
        <v>0</v>
      </c>
    </row>
    <row r="297" spans="1:32" x14ac:dyDescent="0.3">
      <c r="A297" s="7" t="s">
        <v>4834</v>
      </c>
      <c r="B297" s="7" t="s">
        <v>4836</v>
      </c>
      <c r="C297" s="11" t="s">
        <v>6765</v>
      </c>
      <c r="D297">
        <v>1150</v>
      </c>
      <c r="E297">
        <v>1285</v>
      </c>
      <c r="H297" s="14">
        <f>VLOOKUP(Table55[[#This Row],[Shortname]], Comp[], 7, FALSE)</f>
        <v>80</v>
      </c>
      <c r="I297">
        <f>VLOOKUP(Table55[[#This Row],[Shortname]], Comp[], 8, FALSE)</f>
        <v>0</v>
      </c>
      <c r="J297">
        <f>VLOOKUP(Table55[[#This Row],[Shortname]], Comp[], 9, FALSE)</f>
        <v>7</v>
      </c>
      <c r="K297">
        <f>VLOOKUP(Table55[[#This Row],[Shortname]], Comp[], 10, FALSE)</f>
        <v>0</v>
      </c>
      <c r="L297">
        <f>VLOOKUP(Table55[[#This Row],[Shortname]], Comp[], 11, FALSE)</f>
        <v>6</v>
      </c>
      <c r="M297">
        <f>VLOOKUP(Table55[[#This Row],[Shortname]], Comp[],12, FALSE)</f>
        <v>4</v>
      </c>
      <c r="N297">
        <f>VLOOKUP(Table55[[#This Row],[Shortname]], Comp[], 13, FALSE)</f>
        <v>2</v>
      </c>
      <c r="O297">
        <f>VLOOKUP(Table55[[#This Row],[Shortname]], Comp[], 14, FALSE)</f>
        <v>1</v>
      </c>
      <c r="P297">
        <f>VLOOKUP(Table55[[#This Row],[Shortname]], Comp[], 15, FALSE)</f>
        <v>0</v>
      </c>
      <c r="Q297">
        <f>VLOOKUP(Table55[[#This Row],[Shortname]], Comp[], 16, FALSE)</f>
        <v>0</v>
      </c>
      <c r="R297">
        <f>VLOOKUP(Table55[[#This Row],[Shortname]], Comp[], 17, FALSE)</f>
        <v>0</v>
      </c>
      <c r="S297">
        <f>VLOOKUP(Table55[[#This Row],[Shortname]], Comp[], 18, FALSE)</f>
        <v>0</v>
      </c>
      <c r="T297">
        <f>VLOOKUP(Table55[[#This Row],[Shortname]], Comp[], 19, FALSE)</f>
        <v>0</v>
      </c>
      <c r="U297">
        <f>VLOOKUP(Table55[[#This Row],[Shortname]], Comp[], 20, FALSE)</f>
        <v>0</v>
      </c>
      <c r="V297">
        <f>VLOOKUP(Table55[[#This Row],[Shortname]], Comp[], 21, FALSE)</f>
        <v>0</v>
      </c>
      <c r="W297">
        <f>VLOOKUP(Table55[[#This Row],[Shortname]], Comp[], 22, FALSE)</f>
        <v>0</v>
      </c>
      <c r="X297">
        <f>VLOOKUP(Table55[[#This Row],[Shortname]], Comp[], 23, FALSE)</f>
        <v>0</v>
      </c>
      <c r="Y297">
        <f>VLOOKUP(Table55[[#This Row],[Shortname]], Comp[], 24, FALSE)</f>
        <v>0</v>
      </c>
      <c r="Z297">
        <f>VLOOKUP(Table55[[#This Row],[Shortname]], Comp[], 25, FALSE)</f>
        <v>0</v>
      </c>
      <c r="AA297">
        <f>VLOOKUP(Table55[[#This Row],[Shortname]], Comp[], 26, FALSE)</f>
        <v>0</v>
      </c>
      <c r="AB297">
        <f>VLOOKUP(Table55[[#This Row],[Shortname]], Comp[], 27, FALSE)</f>
        <v>0</v>
      </c>
      <c r="AC297">
        <f>VLOOKUP(Table55[[#This Row],[Shortname]], Comp[], 28, FALSE)</f>
        <v>0</v>
      </c>
      <c r="AD297">
        <f>VLOOKUP(Table55[[#This Row],[Shortname]], Comp[], 29, FALSE)</f>
        <v>0</v>
      </c>
      <c r="AE297">
        <f>VLOOKUP(Table55[[#This Row],[Shortname]], Comp[], 30, FALSE)</f>
        <v>0</v>
      </c>
      <c r="AF297">
        <f>VLOOKUP(Table55[[#This Row],[Shortname]], Comp[], 31, FALSE)</f>
        <v>0</v>
      </c>
    </row>
    <row r="298" spans="1:32" x14ac:dyDescent="0.3">
      <c r="A298" s="7" t="s">
        <v>4828</v>
      </c>
      <c r="B298" s="7" t="s">
        <v>4830</v>
      </c>
      <c r="C298" s="11" t="s">
        <v>6765</v>
      </c>
      <c r="D298">
        <v>1143</v>
      </c>
      <c r="E298">
        <v>1317</v>
      </c>
      <c r="H298" s="14">
        <f>VLOOKUP(Table55[[#This Row],[Shortname]], Comp[], 7, FALSE)</f>
        <v>80</v>
      </c>
      <c r="I298">
        <f>VLOOKUP(Table55[[#This Row],[Shortname]], Comp[], 8, FALSE)</f>
        <v>0</v>
      </c>
      <c r="J298">
        <f>VLOOKUP(Table55[[#This Row],[Shortname]], Comp[], 9, FALSE)</f>
        <v>7</v>
      </c>
      <c r="K298">
        <f>VLOOKUP(Table55[[#This Row],[Shortname]], Comp[], 10, FALSE)</f>
        <v>0</v>
      </c>
      <c r="L298">
        <f>VLOOKUP(Table55[[#This Row],[Shortname]], Comp[], 11, FALSE)</f>
        <v>6</v>
      </c>
      <c r="M298">
        <f>VLOOKUP(Table55[[#This Row],[Shortname]], Comp[],12, FALSE)</f>
        <v>4</v>
      </c>
      <c r="N298">
        <f>VLOOKUP(Table55[[#This Row],[Shortname]], Comp[], 13, FALSE)</f>
        <v>2</v>
      </c>
      <c r="O298">
        <f>VLOOKUP(Table55[[#This Row],[Shortname]], Comp[], 14, FALSE)</f>
        <v>0</v>
      </c>
      <c r="P298">
        <f>VLOOKUP(Table55[[#This Row],[Shortname]], Comp[], 15, FALSE)</f>
        <v>0</v>
      </c>
      <c r="Q298">
        <f>VLOOKUP(Table55[[#This Row],[Shortname]], Comp[], 16, FALSE)</f>
        <v>1</v>
      </c>
      <c r="R298">
        <f>VLOOKUP(Table55[[#This Row],[Shortname]], Comp[], 17, FALSE)</f>
        <v>0</v>
      </c>
      <c r="S298">
        <f>VLOOKUP(Table55[[#This Row],[Shortname]], Comp[], 18, FALSE)</f>
        <v>0</v>
      </c>
      <c r="T298">
        <f>VLOOKUP(Table55[[#This Row],[Shortname]], Comp[], 19, FALSE)</f>
        <v>0</v>
      </c>
      <c r="U298">
        <f>VLOOKUP(Table55[[#This Row],[Shortname]], Comp[], 20, FALSE)</f>
        <v>0</v>
      </c>
      <c r="V298">
        <f>VLOOKUP(Table55[[#This Row],[Shortname]], Comp[], 21, FALSE)</f>
        <v>0</v>
      </c>
      <c r="W298">
        <f>VLOOKUP(Table55[[#This Row],[Shortname]], Comp[], 22, FALSE)</f>
        <v>0</v>
      </c>
      <c r="X298">
        <f>VLOOKUP(Table55[[#This Row],[Shortname]], Comp[], 23, FALSE)</f>
        <v>0</v>
      </c>
      <c r="Y298">
        <f>VLOOKUP(Table55[[#This Row],[Shortname]], Comp[], 24, FALSE)</f>
        <v>0</v>
      </c>
      <c r="Z298">
        <f>VLOOKUP(Table55[[#This Row],[Shortname]], Comp[], 25, FALSE)</f>
        <v>0</v>
      </c>
      <c r="AA298">
        <f>VLOOKUP(Table55[[#This Row],[Shortname]], Comp[], 26, FALSE)</f>
        <v>0</v>
      </c>
      <c r="AB298">
        <f>VLOOKUP(Table55[[#This Row],[Shortname]], Comp[], 27, FALSE)</f>
        <v>0</v>
      </c>
      <c r="AC298">
        <f>VLOOKUP(Table55[[#This Row],[Shortname]], Comp[], 28, FALSE)</f>
        <v>0</v>
      </c>
      <c r="AD298">
        <f>VLOOKUP(Table55[[#This Row],[Shortname]], Comp[], 29, FALSE)</f>
        <v>0</v>
      </c>
      <c r="AE298">
        <f>VLOOKUP(Table55[[#This Row],[Shortname]], Comp[], 30, FALSE)</f>
        <v>0</v>
      </c>
      <c r="AF298">
        <f>VLOOKUP(Table55[[#This Row],[Shortname]], Comp[], 31, FALSE)</f>
        <v>0</v>
      </c>
    </row>
    <row r="299" spans="1:32" x14ac:dyDescent="0.3">
      <c r="A299" s="7" t="s">
        <v>4822</v>
      </c>
      <c r="B299" s="7" t="s">
        <v>2552</v>
      </c>
      <c r="C299" s="11" t="s">
        <v>6765</v>
      </c>
      <c r="D299">
        <v>1094</v>
      </c>
      <c r="E299">
        <v>1323</v>
      </c>
      <c r="H299" s="14">
        <f>VLOOKUP(Table55[[#This Row],[Shortname]], Comp[], 7, FALSE)</f>
        <v>76</v>
      </c>
      <c r="I299">
        <f>VLOOKUP(Table55[[#This Row],[Shortname]], Comp[], 8, FALSE)</f>
        <v>0</v>
      </c>
      <c r="J299">
        <f>VLOOKUP(Table55[[#This Row],[Shortname]], Comp[], 9, FALSE)</f>
        <v>7</v>
      </c>
      <c r="K299">
        <f>VLOOKUP(Table55[[#This Row],[Shortname]], Comp[], 10, FALSE)</f>
        <v>4</v>
      </c>
      <c r="L299">
        <f>VLOOKUP(Table55[[#This Row],[Shortname]], Comp[], 11, FALSE)</f>
        <v>7</v>
      </c>
      <c r="M299">
        <f>VLOOKUP(Table55[[#This Row],[Shortname]], Comp[],12, FALSE)</f>
        <v>4</v>
      </c>
      <c r="N299">
        <f>VLOOKUP(Table55[[#This Row],[Shortname]], Comp[], 13, FALSE)</f>
        <v>2</v>
      </c>
      <c r="O299">
        <f>VLOOKUP(Table55[[#This Row],[Shortname]], Comp[], 14, FALSE)</f>
        <v>0</v>
      </c>
      <c r="P299">
        <f>VLOOKUP(Table55[[#This Row],[Shortname]], Comp[], 15, FALSE)</f>
        <v>0</v>
      </c>
      <c r="Q299">
        <f>VLOOKUP(Table55[[#This Row],[Shortname]], Comp[], 16, FALSE)</f>
        <v>0</v>
      </c>
      <c r="R299">
        <f>VLOOKUP(Table55[[#This Row],[Shortname]], Comp[], 17, FALSE)</f>
        <v>0</v>
      </c>
      <c r="S299">
        <f>VLOOKUP(Table55[[#This Row],[Shortname]], Comp[], 18, FALSE)</f>
        <v>0</v>
      </c>
      <c r="T299">
        <f>VLOOKUP(Table55[[#This Row],[Shortname]], Comp[], 19, FALSE)</f>
        <v>0</v>
      </c>
      <c r="U299">
        <f>VLOOKUP(Table55[[#This Row],[Shortname]], Comp[], 20, FALSE)</f>
        <v>0</v>
      </c>
      <c r="V299">
        <f>VLOOKUP(Table55[[#This Row],[Shortname]], Comp[], 21, FALSE)</f>
        <v>0</v>
      </c>
      <c r="W299">
        <f>VLOOKUP(Table55[[#This Row],[Shortname]], Comp[], 22, FALSE)</f>
        <v>0</v>
      </c>
      <c r="X299">
        <f>VLOOKUP(Table55[[#This Row],[Shortname]], Comp[], 23, FALSE)</f>
        <v>0</v>
      </c>
      <c r="Y299">
        <f>VLOOKUP(Table55[[#This Row],[Shortname]], Comp[], 24, FALSE)</f>
        <v>0</v>
      </c>
      <c r="Z299">
        <f>VLOOKUP(Table55[[#This Row],[Shortname]], Comp[], 25, FALSE)</f>
        <v>0</v>
      </c>
      <c r="AA299">
        <f>VLOOKUP(Table55[[#This Row],[Shortname]], Comp[], 26, FALSE)</f>
        <v>0</v>
      </c>
      <c r="AB299">
        <f>VLOOKUP(Table55[[#This Row],[Shortname]], Comp[], 27, FALSE)</f>
        <v>0</v>
      </c>
      <c r="AC299">
        <f>VLOOKUP(Table55[[#This Row],[Shortname]], Comp[], 28, FALSE)</f>
        <v>0</v>
      </c>
      <c r="AD299">
        <f>VLOOKUP(Table55[[#This Row],[Shortname]], Comp[], 29, FALSE)</f>
        <v>0</v>
      </c>
      <c r="AE299">
        <f>VLOOKUP(Table55[[#This Row],[Shortname]], Comp[], 30, FALSE)</f>
        <v>0</v>
      </c>
      <c r="AF299">
        <f>VLOOKUP(Table55[[#This Row],[Shortname]], Comp[], 31, FALSE)</f>
        <v>0</v>
      </c>
    </row>
    <row r="300" spans="1:32" x14ac:dyDescent="0.3">
      <c r="A300" s="7" t="s">
        <v>4881</v>
      </c>
      <c r="B300" s="7" t="s">
        <v>4883</v>
      </c>
      <c r="C300" t="s">
        <v>6768</v>
      </c>
      <c r="D300">
        <v>1090</v>
      </c>
      <c r="E300">
        <v>1310</v>
      </c>
      <c r="F300">
        <v>1372</v>
      </c>
      <c r="H300" s="14">
        <f>VLOOKUP(Table55[[#This Row],[Shortname]], Comp[], 7, FALSE)</f>
        <v>76</v>
      </c>
      <c r="I300">
        <f>VLOOKUP(Table55[[#This Row],[Shortname]], Comp[], 8, FALSE)</f>
        <v>0</v>
      </c>
      <c r="J300">
        <f>VLOOKUP(Table55[[#This Row],[Shortname]], Comp[], 9, FALSE)</f>
        <v>8</v>
      </c>
      <c r="K300">
        <f>VLOOKUP(Table55[[#This Row],[Shortname]], Comp[], 10, FALSE)</f>
        <v>14</v>
      </c>
      <c r="L300">
        <f>VLOOKUP(Table55[[#This Row],[Shortname]], Comp[], 11, FALSE)</f>
        <v>2</v>
      </c>
      <c r="M300">
        <f>VLOOKUP(Table55[[#This Row],[Shortname]], Comp[],12, FALSE)</f>
        <v>0</v>
      </c>
      <c r="N300">
        <f>VLOOKUP(Table55[[#This Row],[Shortname]], Comp[], 13, FALSE)</f>
        <v>0</v>
      </c>
      <c r="O300">
        <f>VLOOKUP(Table55[[#This Row],[Shortname]], Comp[], 14, FALSE)</f>
        <v>0</v>
      </c>
      <c r="P300">
        <f>VLOOKUP(Table55[[#This Row],[Shortname]], Comp[], 15, FALSE)</f>
        <v>0</v>
      </c>
      <c r="Q300">
        <f>VLOOKUP(Table55[[#This Row],[Shortname]], Comp[], 16, FALSE)</f>
        <v>0</v>
      </c>
      <c r="R300">
        <f>VLOOKUP(Table55[[#This Row],[Shortname]], Comp[], 17, FALSE)</f>
        <v>0</v>
      </c>
      <c r="S300">
        <f>VLOOKUP(Table55[[#This Row],[Shortname]], Comp[], 18, FALSE)</f>
        <v>0</v>
      </c>
      <c r="T300">
        <f>VLOOKUP(Table55[[#This Row],[Shortname]], Comp[], 19, FALSE)</f>
        <v>0</v>
      </c>
      <c r="U300">
        <f>VLOOKUP(Table55[[#This Row],[Shortname]], Comp[], 20, FALSE)</f>
        <v>0</v>
      </c>
      <c r="V300">
        <f>VLOOKUP(Table55[[#This Row],[Shortname]], Comp[], 21, FALSE)</f>
        <v>0</v>
      </c>
      <c r="W300">
        <f>VLOOKUP(Table55[[#This Row],[Shortname]], Comp[], 22, FALSE)</f>
        <v>0</v>
      </c>
      <c r="X300">
        <f>VLOOKUP(Table55[[#This Row],[Shortname]], Comp[], 23, FALSE)</f>
        <v>0</v>
      </c>
      <c r="Y300">
        <f>VLOOKUP(Table55[[#This Row],[Shortname]], Comp[], 24, FALSE)</f>
        <v>0</v>
      </c>
      <c r="Z300">
        <f>VLOOKUP(Table55[[#This Row],[Shortname]], Comp[], 25, FALSE)</f>
        <v>0</v>
      </c>
      <c r="AA300">
        <f>VLOOKUP(Table55[[#This Row],[Shortname]], Comp[], 26, FALSE)</f>
        <v>0</v>
      </c>
      <c r="AB300">
        <f>VLOOKUP(Table55[[#This Row],[Shortname]], Comp[], 27, FALSE)</f>
        <v>0</v>
      </c>
      <c r="AC300">
        <f>VLOOKUP(Table55[[#This Row],[Shortname]], Comp[], 28, FALSE)</f>
        <v>0</v>
      </c>
      <c r="AD300">
        <f>VLOOKUP(Table55[[#This Row],[Shortname]], Comp[], 29, FALSE)</f>
        <v>0</v>
      </c>
      <c r="AE300">
        <f>VLOOKUP(Table55[[#This Row],[Shortname]], Comp[], 30, FALSE)</f>
        <v>0</v>
      </c>
      <c r="AF300">
        <f>VLOOKUP(Table55[[#This Row],[Shortname]], Comp[], 31, FALSE)</f>
        <v>0</v>
      </c>
    </row>
    <row r="301" spans="1:32" x14ac:dyDescent="0.3">
      <c r="A301" s="12" t="s">
        <v>5591</v>
      </c>
      <c r="B301" s="12" t="s">
        <v>5592</v>
      </c>
      <c r="C301" s="12" t="s">
        <v>5593</v>
      </c>
      <c r="D301" s="12">
        <v>1218</v>
      </c>
      <c r="E301" s="12">
        <v>1338</v>
      </c>
      <c r="F301" s="12">
        <v>1391</v>
      </c>
      <c r="H301" s="14">
        <f>VLOOKUP(Table55[[#This Row],[Shortname]], Comp[], 7, FALSE)</f>
        <v>50.120000000000005</v>
      </c>
      <c r="I301">
        <f>VLOOKUP(Table55[[#This Row],[Shortname]], Comp[], 8, FALSE)</f>
        <v>30.2</v>
      </c>
      <c r="J301">
        <f>VLOOKUP(Table55[[#This Row],[Shortname]], Comp[], 9, FALSE)</f>
        <v>9.83</v>
      </c>
      <c r="K301">
        <f>VLOOKUP(Table55[[#This Row],[Shortname]], Comp[], 10, FALSE)</f>
        <v>0</v>
      </c>
      <c r="L301">
        <f>VLOOKUP(Table55[[#This Row],[Shortname]], Comp[], 11, FALSE)</f>
        <v>4.0199999999999996</v>
      </c>
      <c r="M301">
        <f>VLOOKUP(Table55[[#This Row],[Shortname]], Comp[],12, FALSE)</f>
        <v>3.93</v>
      </c>
      <c r="N301">
        <f>VLOOKUP(Table55[[#This Row],[Shortname]], Comp[], 13, FALSE)</f>
        <v>1.9</v>
      </c>
      <c r="O301">
        <f>VLOOKUP(Table55[[#This Row],[Shortname]], Comp[], 14, FALSE)</f>
        <v>0</v>
      </c>
      <c r="P301">
        <f>VLOOKUP(Table55[[#This Row],[Shortname]], Comp[], 15, FALSE)</f>
        <v>0</v>
      </c>
      <c r="Q301">
        <f>VLOOKUP(Table55[[#This Row],[Shortname]], Comp[], 16, FALSE)</f>
        <v>0</v>
      </c>
      <c r="R301">
        <f>VLOOKUP(Table55[[#This Row],[Shortname]], Comp[], 17, FALSE)</f>
        <v>0</v>
      </c>
      <c r="S301">
        <f>VLOOKUP(Table55[[#This Row],[Shortname]], Comp[], 18, FALSE)</f>
        <v>0</v>
      </c>
      <c r="T301">
        <f>VLOOKUP(Table55[[#This Row],[Shortname]], Comp[], 19, FALSE)</f>
        <v>0</v>
      </c>
      <c r="U301">
        <f>VLOOKUP(Table55[[#This Row],[Shortname]], Comp[], 20, FALSE)</f>
        <v>0</v>
      </c>
      <c r="V301">
        <f>VLOOKUP(Table55[[#This Row],[Shortname]], Comp[], 21, FALSE)</f>
        <v>0</v>
      </c>
      <c r="W301">
        <f>VLOOKUP(Table55[[#This Row],[Shortname]], Comp[], 22, FALSE)</f>
        <v>0</v>
      </c>
      <c r="X301">
        <f>VLOOKUP(Table55[[#This Row],[Shortname]], Comp[], 23, FALSE)</f>
        <v>0</v>
      </c>
      <c r="Y301">
        <f>VLOOKUP(Table55[[#This Row],[Shortname]], Comp[], 24, FALSE)</f>
        <v>0</v>
      </c>
      <c r="Z301">
        <f>VLOOKUP(Table55[[#This Row],[Shortname]], Comp[], 25, FALSE)</f>
        <v>0</v>
      </c>
      <c r="AA301">
        <f>VLOOKUP(Table55[[#This Row],[Shortname]], Comp[], 26, FALSE)</f>
        <v>0</v>
      </c>
      <c r="AB301">
        <f>VLOOKUP(Table55[[#This Row],[Shortname]], Comp[], 27, FALSE)</f>
        <v>0</v>
      </c>
      <c r="AC301">
        <f>VLOOKUP(Table55[[#This Row],[Shortname]], Comp[], 28, FALSE)</f>
        <v>0</v>
      </c>
      <c r="AD301">
        <f>VLOOKUP(Table55[[#This Row],[Shortname]], Comp[], 29, FALSE)</f>
        <v>0</v>
      </c>
      <c r="AE301">
        <f>VLOOKUP(Table55[[#This Row],[Shortname]], Comp[], 30, FALSE)</f>
        <v>0</v>
      </c>
      <c r="AF301">
        <f>VLOOKUP(Table55[[#This Row],[Shortname]], Comp[], 31, FALSE)</f>
        <v>0</v>
      </c>
    </row>
    <row r="302" spans="1:32" x14ac:dyDescent="0.3">
      <c r="A302" s="12" t="s">
        <v>5624</v>
      </c>
      <c r="B302" s="12" t="s">
        <v>5625</v>
      </c>
      <c r="C302" s="12" t="s">
        <v>5626</v>
      </c>
      <c r="D302" s="12">
        <v>980</v>
      </c>
      <c r="E302" s="12">
        <v>1322</v>
      </c>
      <c r="F302" s="12">
        <v>1395</v>
      </c>
      <c r="H302" s="14">
        <f>VLOOKUP(Table55[[#This Row],[Shortname]], Comp[], 7, FALSE)</f>
        <v>45.900000000000006</v>
      </c>
      <c r="I302">
        <f>VLOOKUP(Table55[[#This Row],[Shortname]], Comp[], 8, FALSE)</f>
        <v>29.7</v>
      </c>
      <c r="J302">
        <f>VLOOKUP(Table55[[#This Row],[Shortname]], Comp[], 9, FALSE)</f>
        <v>9.6</v>
      </c>
      <c r="K302">
        <f>VLOOKUP(Table55[[#This Row],[Shortname]], Comp[], 10, FALSE)</f>
        <v>8.1999999999999993</v>
      </c>
      <c r="L302">
        <f>VLOOKUP(Table55[[#This Row],[Shortname]], Comp[], 11, FALSE)</f>
        <v>0</v>
      </c>
      <c r="M302">
        <f>VLOOKUP(Table55[[#This Row],[Shortname]], Comp[],12, FALSE)</f>
        <v>0</v>
      </c>
      <c r="N302">
        <f>VLOOKUP(Table55[[#This Row],[Shortname]], Comp[], 13, FALSE)</f>
        <v>0</v>
      </c>
      <c r="O302">
        <f>VLOOKUP(Table55[[#This Row],[Shortname]], Comp[], 14, FALSE)</f>
        <v>1.8</v>
      </c>
      <c r="P302">
        <f>VLOOKUP(Table55[[#This Row],[Shortname]], Comp[], 15, FALSE)</f>
        <v>0</v>
      </c>
      <c r="Q302">
        <f>VLOOKUP(Table55[[#This Row],[Shortname]], Comp[], 16, FALSE)</f>
        <v>4.8</v>
      </c>
      <c r="R302">
        <f>VLOOKUP(Table55[[#This Row],[Shortname]], Comp[], 17, FALSE)</f>
        <v>0</v>
      </c>
      <c r="S302">
        <f>VLOOKUP(Table55[[#This Row],[Shortname]], Comp[], 18, FALSE)</f>
        <v>0</v>
      </c>
      <c r="T302">
        <f>VLOOKUP(Table55[[#This Row],[Shortname]], Comp[], 19, FALSE)</f>
        <v>0</v>
      </c>
      <c r="U302">
        <f>VLOOKUP(Table55[[#This Row],[Shortname]], Comp[], 20, FALSE)</f>
        <v>0</v>
      </c>
      <c r="V302">
        <f>VLOOKUP(Table55[[#This Row],[Shortname]], Comp[], 21, FALSE)</f>
        <v>0</v>
      </c>
      <c r="W302">
        <f>VLOOKUP(Table55[[#This Row],[Shortname]], Comp[], 22, FALSE)</f>
        <v>0</v>
      </c>
      <c r="X302">
        <f>VLOOKUP(Table55[[#This Row],[Shortname]], Comp[], 23, FALSE)</f>
        <v>0</v>
      </c>
      <c r="Y302">
        <f>VLOOKUP(Table55[[#This Row],[Shortname]], Comp[], 24, FALSE)</f>
        <v>0</v>
      </c>
      <c r="Z302">
        <f>VLOOKUP(Table55[[#This Row],[Shortname]], Comp[], 25, FALSE)</f>
        <v>0</v>
      </c>
      <c r="AA302">
        <f>VLOOKUP(Table55[[#This Row],[Shortname]], Comp[], 26, FALSE)</f>
        <v>0</v>
      </c>
      <c r="AB302">
        <f>VLOOKUP(Table55[[#This Row],[Shortname]], Comp[], 27, FALSE)</f>
        <v>0</v>
      </c>
      <c r="AC302">
        <f>VLOOKUP(Table55[[#This Row],[Shortname]], Comp[], 28, FALSE)</f>
        <v>0</v>
      </c>
      <c r="AD302">
        <f>VLOOKUP(Table55[[#This Row],[Shortname]], Comp[], 29, FALSE)</f>
        <v>0</v>
      </c>
      <c r="AE302">
        <f>VLOOKUP(Table55[[#This Row],[Shortname]], Comp[], 30, FALSE)</f>
        <v>0</v>
      </c>
      <c r="AF302">
        <f>VLOOKUP(Table55[[#This Row],[Shortname]], Comp[], 31, FALSE)</f>
        <v>0</v>
      </c>
    </row>
    <row r="303" spans="1:32" x14ac:dyDescent="0.3">
      <c r="A303" s="12" t="s">
        <v>5628</v>
      </c>
      <c r="B303" s="12" t="s">
        <v>5629</v>
      </c>
      <c r="C303" s="12" t="s">
        <v>5630</v>
      </c>
      <c r="D303" s="12">
        <v>1061</v>
      </c>
      <c r="E303" s="12">
        <v>1261</v>
      </c>
      <c r="F303" s="12">
        <v>1352</v>
      </c>
      <c r="H303" s="14">
        <f>VLOOKUP(Table55[[#This Row],[Shortname]], Comp[], 7, FALSE)</f>
        <v>43.3</v>
      </c>
      <c r="I303">
        <f>VLOOKUP(Table55[[#This Row],[Shortname]], Comp[], 8, FALSE)</f>
        <v>30.7</v>
      </c>
      <c r="J303">
        <f>VLOOKUP(Table55[[#This Row],[Shortname]], Comp[], 9, FALSE)</f>
        <v>9.5</v>
      </c>
      <c r="K303">
        <f>VLOOKUP(Table55[[#This Row],[Shortname]], Comp[], 10, FALSE)</f>
        <v>7.8</v>
      </c>
      <c r="L303">
        <f>VLOOKUP(Table55[[#This Row],[Shortname]], Comp[], 11, FALSE)</f>
        <v>0</v>
      </c>
      <c r="M303">
        <f>VLOOKUP(Table55[[#This Row],[Shortname]], Comp[],12, FALSE)</f>
        <v>2.1</v>
      </c>
      <c r="N303">
        <f>VLOOKUP(Table55[[#This Row],[Shortname]], Comp[], 13, FALSE)</f>
        <v>0</v>
      </c>
      <c r="O303">
        <f>VLOOKUP(Table55[[#This Row],[Shortname]], Comp[], 14, FALSE)</f>
        <v>1.9</v>
      </c>
      <c r="P303">
        <f>VLOOKUP(Table55[[#This Row],[Shortname]], Comp[], 15, FALSE)</f>
        <v>0</v>
      </c>
      <c r="Q303">
        <f>VLOOKUP(Table55[[#This Row],[Shortname]], Comp[], 16, FALSE)</f>
        <v>4.7</v>
      </c>
      <c r="R303">
        <f>VLOOKUP(Table55[[#This Row],[Shortname]], Comp[], 17, FALSE)</f>
        <v>0</v>
      </c>
      <c r="S303">
        <f>VLOOKUP(Table55[[#This Row],[Shortname]], Comp[], 18, FALSE)</f>
        <v>0</v>
      </c>
      <c r="T303">
        <f>VLOOKUP(Table55[[#This Row],[Shortname]], Comp[], 19, FALSE)</f>
        <v>0</v>
      </c>
      <c r="U303">
        <f>VLOOKUP(Table55[[#This Row],[Shortname]], Comp[], 20, FALSE)</f>
        <v>0</v>
      </c>
      <c r="V303">
        <f>VLOOKUP(Table55[[#This Row],[Shortname]], Comp[], 21, FALSE)</f>
        <v>0</v>
      </c>
      <c r="W303">
        <f>VLOOKUP(Table55[[#This Row],[Shortname]], Comp[], 22, FALSE)</f>
        <v>0</v>
      </c>
      <c r="X303">
        <f>VLOOKUP(Table55[[#This Row],[Shortname]], Comp[], 23, FALSE)</f>
        <v>0</v>
      </c>
      <c r="Y303">
        <f>VLOOKUP(Table55[[#This Row],[Shortname]], Comp[], 24, FALSE)</f>
        <v>0</v>
      </c>
      <c r="Z303">
        <f>VLOOKUP(Table55[[#This Row],[Shortname]], Comp[], 25, FALSE)</f>
        <v>0</v>
      </c>
      <c r="AA303">
        <f>VLOOKUP(Table55[[#This Row],[Shortname]], Comp[], 26, FALSE)</f>
        <v>0</v>
      </c>
      <c r="AB303">
        <f>VLOOKUP(Table55[[#This Row],[Shortname]], Comp[], 27, FALSE)</f>
        <v>0</v>
      </c>
      <c r="AC303">
        <f>VLOOKUP(Table55[[#This Row],[Shortname]], Comp[], 28, FALSE)</f>
        <v>0</v>
      </c>
      <c r="AD303">
        <f>VLOOKUP(Table55[[#This Row],[Shortname]], Comp[], 29, FALSE)</f>
        <v>0</v>
      </c>
      <c r="AE303">
        <f>VLOOKUP(Table55[[#This Row],[Shortname]], Comp[], 30, FALSE)</f>
        <v>0</v>
      </c>
      <c r="AF303">
        <f>VLOOKUP(Table55[[#This Row],[Shortname]], Comp[], 31, FALSE)</f>
        <v>0</v>
      </c>
    </row>
    <row r="304" spans="1:32" x14ac:dyDescent="0.3">
      <c r="A304" s="12" t="s">
        <v>5632</v>
      </c>
      <c r="B304" s="12" t="s">
        <v>5633</v>
      </c>
      <c r="C304" s="12" t="s">
        <v>5634</v>
      </c>
      <c r="D304" s="12">
        <v>1095</v>
      </c>
      <c r="E304" s="12">
        <v>1226</v>
      </c>
      <c r="F304" s="12">
        <v>1325</v>
      </c>
      <c r="H304" s="14">
        <f>VLOOKUP(Table55[[#This Row],[Shortname]], Comp[], 7, FALSE)</f>
        <v>40.900000000000006</v>
      </c>
      <c r="I304">
        <f>VLOOKUP(Table55[[#This Row],[Shortname]], Comp[], 8, FALSE)</f>
        <v>30.4</v>
      </c>
      <c r="J304">
        <f>VLOOKUP(Table55[[#This Row],[Shortname]], Comp[], 9, FALSE)</f>
        <v>9.6999999999999993</v>
      </c>
      <c r="K304">
        <f>VLOOKUP(Table55[[#This Row],[Shortname]], Comp[], 10, FALSE)</f>
        <v>8.1</v>
      </c>
      <c r="L304">
        <f>VLOOKUP(Table55[[#This Row],[Shortname]], Comp[], 11, FALSE)</f>
        <v>0</v>
      </c>
      <c r="M304">
        <f>VLOOKUP(Table55[[#This Row],[Shortname]], Comp[],12, FALSE)</f>
        <v>3.9</v>
      </c>
      <c r="N304">
        <f>VLOOKUP(Table55[[#This Row],[Shortname]], Comp[], 13, FALSE)</f>
        <v>0</v>
      </c>
      <c r="O304">
        <f>VLOOKUP(Table55[[#This Row],[Shortname]], Comp[], 14, FALSE)</f>
        <v>1.9</v>
      </c>
      <c r="P304">
        <f>VLOOKUP(Table55[[#This Row],[Shortname]], Comp[], 15, FALSE)</f>
        <v>0</v>
      </c>
      <c r="Q304">
        <f>VLOOKUP(Table55[[#This Row],[Shortname]], Comp[], 16, FALSE)</f>
        <v>5.0999999999999996</v>
      </c>
      <c r="R304">
        <f>VLOOKUP(Table55[[#This Row],[Shortname]], Comp[], 17, FALSE)</f>
        <v>0</v>
      </c>
      <c r="S304">
        <f>VLOOKUP(Table55[[#This Row],[Shortname]], Comp[], 18, FALSE)</f>
        <v>0</v>
      </c>
      <c r="T304">
        <f>VLOOKUP(Table55[[#This Row],[Shortname]], Comp[], 19, FALSE)</f>
        <v>0</v>
      </c>
      <c r="U304">
        <f>VLOOKUP(Table55[[#This Row],[Shortname]], Comp[], 20, FALSE)</f>
        <v>0</v>
      </c>
      <c r="V304">
        <f>VLOOKUP(Table55[[#This Row],[Shortname]], Comp[], 21, FALSE)</f>
        <v>0</v>
      </c>
      <c r="W304">
        <f>VLOOKUP(Table55[[#This Row],[Shortname]], Comp[], 22, FALSE)</f>
        <v>0</v>
      </c>
      <c r="X304">
        <f>VLOOKUP(Table55[[#This Row],[Shortname]], Comp[], 23, FALSE)</f>
        <v>0</v>
      </c>
      <c r="Y304">
        <f>VLOOKUP(Table55[[#This Row],[Shortname]], Comp[], 24, FALSE)</f>
        <v>0</v>
      </c>
      <c r="Z304">
        <f>VLOOKUP(Table55[[#This Row],[Shortname]], Comp[], 25, FALSE)</f>
        <v>0</v>
      </c>
      <c r="AA304">
        <f>VLOOKUP(Table55[[#This Row],[Shortname]], Comp[], 26, FALSE)</f>
        <v>0</v>
      </c>
      <c r="AB304">
        <f>VLOOKUP(Table55[[#This Row],[Shortname]], Comp[], 27, FALSE)</f>
        <v>0</v>
      </c>
      <c r="AC304">
        <f>VLOOKUP(Table55[[#This Row],[Shortname]], Comp[], 28, FALSE)</f>
        <v>0</v>
      </c>
      <c r="AD304">
        <f>VLOOKUP(Table55[[#This Row],[Shortname]], Comp[], 29, FALSE)</f>
        <v>0</v>
      </c>
      <c r="AE304">
        <f>VLOOKUP(Table55[[#This Row],[Shortname]], Comp[], 30, FALSE)</f>
        <v>0</v>
      </c>
      <c r="AF304">
        <f>VLOOKUP(Table55[[#This Row],[Shortname]], Comp[], 31, FALSE)</f>
        <v>0</v>
      </c>
    </row>
    <row r="305" spans="1:32" x14ac:dyDescent="0.3">
      <c r="A305" s="12" t="s">
        <v>5658</v>
      </c>
      <c r="B305" s="12" t="s">
        <v>5659</v>
      </c>
      <c r="C305" s="12" t="s">
        <v>5660</v>
      </c>
      <c r="D305" s="12">
        <v>864</v>
      </c>
      <c r="E305" s="12">
        <v>1442</v>
      </c>
      <c r="F305" s="12">
        <v>1463</v>
      </c>
      <c r="H305" s="14">
        <f>VLOOKUP(Table55[[#This Row],[Shortname]], Comp[], 7, FALSE)</f>
        <v>87.3</v>
      </c>
      <c r="I305">
        <f>VLOOKUP(Table55[[#This Row],[Shortname]], Comp[], 8, FALSE)</f>
        <v>0</v>
      </c>
      <c r="J305">
        <f>VLOOKUP(Table55[[#This Row],[Shortname]], Comp[], 9, FALSE)</f>
        <v>8.4</v>
      </c>
      <c r="K305">
        <f>VLOOKUP(Table55[[#This Row],[Shortname]], Comp[], 10, FALSE)</f>
        <v>0</v>
      </c>
      <c r="L305">
        <f>VLOOKUP(Table55[[#This Row],[Shortname]], Comp[], 11, FALSE)</f>
        <v>4.0999999999999996</v>
      </c>
      <c r="M305">
        <f>VLOOKUP(Table55[[#This Row],[Shortname]], Comp[],12, FALSE)</f>
        <v>0</v>
      </c>
      <c r="N305">
        <f>VLOOKUP(Table55[[#This Row],[Shortname]], Comp[], 13, FALSE)</f>
        <v>0.2</v>
      </c>
      <c r="O305">
        <f>VLOOKUP(Table55[[#This Row],[Shortname]], Comp[], 14, FALSE)</f>
        <v>0</v>
      </c>
      <c r="P305">
        <f>VLOOKUP(Table55[[#This Row],[Shortname]], Comp[], 15, FALSE)</f>
        <v>0</v>
      </c>
      <c r="Q305">
        <f>VLOOKUP(Table55[[#This Row],[Shortname]], Comp[], 16, FALSE)</f>
        <v>0</v>
      </c>
      <c r="R305">
        <f>VLOOKUP(Table55[[#This Row],[Shortname]], Comp[], 17, FALSE)</f>
        <v>0</v>
      </c>
      <c r="S305">
        <f>VLOOKUP(Table55[[#This Row],[Shortname]], Comp[], 18, FALSE)</f>
        <v>0</v>
      </c>
      <c r="T305">
        <f>VLOOKUP(Table55[[#This Row],[Shortname]], Comp[], 19, FALSE)</f>
        <v>0</v>
      </c>
      <c r="U305">
        <f>VLOOKUP(Table55[[#This Row],[Shortname]], Comp[], 20, FALSE)</f>
        <v>0</v>
      </c>
      <c r="V305">
        <f>VLOOKUP(Table55[[#This Row],[Shortname]], Comp[], 21, FALSE)</f>
        <v>0</v>
      </c>
      <c r="W305">
        <f>VLOOKUP(Table55[[#This Row],[Shortname]], Comp[], 22, FALSE)</f>
        <v>0</v>
      </c>
      <c r="X305">
        <f>VLOOKUP(Table55[[#This Row],[Shortname]], Comp[], 23, FALSE)</f>
        <v>0</v>
      </c>
      <c r="Y305">
        <f>VLOOKUP(Table55[[#This Row],[Shortname]], Comp[], 24, FALSE)</f>
        <v>0</v>
      </c>
      <c r="Z305">
        <f>VLOOKUP(Table55[[#This Row],[Shortname]], Comp[], 25, FALSE)</f>
        <v>0</v>
      </c>
      <c r="AA305">
        <f>VLOOKUP(Table55[[#This Row],[Shortname]], Comp[], 26, FALSE)</f>
        <v>0</v>
      </c>
      <c r="AB305">
        <f>VLOOKUP(Table55[[#This Row],[Shortname]], Comp[], 27, FALSE)</f>
        <v>0</v>
      </c>
      <c r="AC305">
        <f>VLOOKUP(Table55[[#This Row],[Shortname]], Comp[], 28, FALSE)</f>
        <v>0</v>
      </c>
      <c r="AD305">
        <f>VLOOKUP(Table55[[#This Row],[Shortname]], Comp[], 29, FALSE)</f>
        <v>0</v>
      </c>
      <c r="AE305">
        <f>VLOOKUP(Table55[[#This Row],[Shortname]], Comp[], 30, FALSE)</f>
        <v>0</v>
      </c>
      <c r="AF305">
        <f>VLOOKUP(Table55[[#This Row],[Shortname]], Comp[], 31, FALSE)</f>
        <v>0</v>
      </c>
    </row>
    <row r="306" spans="1:32" x14ac:dyDescent="0.3">
      <c r="A306" s="12" t="s">
        <v>5662</v>
      </c>
      <c r="B306" s="12" t="s">
        <v>469</v>
      </c>
      <c r="C306" s="12" t="s">
        <v>5660</v>
      </c>
      <c r="D306" s="12">
        <v>984</v>
      </c>
      <c r="E306" s="12">
        <v>1430</v>
      </c>
      <c r="F306" s="12">
        <v>1454</v>
      </c>
      <c r="H306" s="14">
        <f>VLOOKUP(Table55[[#This Row],[Shortname]], Comp[], 7, FALSE)</f>
        <v>84.8</v>
      </c>
      <c r="I306">
        <f>VLOOKUP(Table55[[#This Row],[Shortname]], Comp[], 8, FALSE)</f>
        <v>0</v>
      </c>
      <c r="J306">
        <f>VLOOKUP(Table55[[#This Row],[Shortname]], Comp[], 9, FALSE)</f>
        <v>8.6</v>
      </c>
      <c r="K306">
        <f>VLOOKUP(Table55[[#This Row],[Shortname]], Comp[], 10, FALSE)</f>
        <v>0</v>
      </c>
      <c r="L306">
        <f>VLOOKUP(Table55[[#This Row],[Shortname]], Comp[], 11, FALSE)</f>
        <v>6</v>
      </c>
      <c r="M306">
        <f>VLOOKUP(Table55[[#This Row],[Shortname]], Comp[],12, FALSE)</f>
        <v>0</v>
      </c>
      <c r="N306">
        <f>VLOOKUP(Table55[[#This Row],[Shortname]], Comp[], 13, FALSE)</f>
        <v>0.6</v>
      </c>
      <c r="O306">
        <f>VLOOKUP(Table55[[#This Row],[Shortname]], Comp[], 14, FALSE)</f>
        <v>0</v>
      </c>
      <c r="P306">
        <f>VLOOKUP(Table55[[#This Row],[Shortname]], Comp[], 15, FALSE)</f>
        <v>0</v>
      </c>
      <c r="Q306">
        <f>VLOOKUP(Table55[[#This Row],[Shortname]], Comp[], 16, FALSE)</f>
        <v>0</v>
      </c>
      <c r="R306">
        <f>VLOOKUP(Table55[[#This Row],[Shortname]], Comp[], 17, FALSE)</f>
        <v>0</v>
      </c>
      <c r="S306">
        <f>VLOOKUP(Table55[[#This Row],[Shortname]], Comp[], 18, FALSE)</f>
        <v>0</v>
      </c>
      <c r="T306">
        <f>VLOOKUP(Table55[[#This Row],[Shortname]], Comp[], 19, FALSE)</f>
        <v>0</v>
      </c>
      <c r="U306">
        <f>VLOOKUP(Table55[[#This Row],[Shortname]], Comp[], 20, FALSE)</f>
        <v>0</v>
      </c>
      <c r="V306">
        <f>VLOOKUP(Table55[[#This Row],[Shortname]], Comp[], 21, FALSE)</f>
        <v>0</v>
      </c>
      <c r="W306">
        <f>VLOOKUP(Table55[[#This Row],[Shortname]], Comp[], 22, FALSE)</f>
        <v>0</v>
      </c>
      <c r="X306">
        <f>VLOOKUP(Table55[[#This Row],[Shortname]], Comp[], 23, FALSE)</f>
        <v>0</v>
      </c>
      <c r="Y306">
        <f>VLOOKUP(Table55[[#This Row],[Shortname]], Comp[], 24, FALSE)</f>
        <v>0</v>
      </c>
      <c r="Z306">
        <f>VLOOKUP(Table55[[#This Row],[Shortname]], Comp[], 25, FALSE)</f>
        <v>0</v>
      </c>
      <c r="AA306">
        <f>VLOOKUP(Table55[[#This Row],[Shortname]], Comp[], 26, FALSE)</f>
        <v>0</v>
      </c>
      <c r="AB306">
        <f>VLOOKUP(Table55[[#This Row],[Shortname]], Comp[], 27, FALSE)</f>
        <v>0</v>
      </c>
      <c r="AC306">
        <f>VLOOKUP(Table55[[#This Row],[Shortname]], Comp[], 28, FALSE)</f>
        <v>0</v>
      </c>
      <c r="AD306">
        <f>VLOOKUP(Table55[[#This Row],[Shortname]], Comp[], 29, FALSE)</f>
        <v>0</v>
      </c>
      <c r="AE306">
        <f>VLOOKUP(Table55[[#This Row],[Shortname]], Comp[], 30, FALSE)</f>
        <v>0</v>
      </c>
      <c r="AF306">
        <f>VLOOKUP(Table55[[#This Row],[Shortname]], Comp[], 31, FALSE)</f>
        <v>0</v>
      </c>
    </row>
    <row r="307" spans="1:32" x14ac:dyDescent="0.3">
      <c r="A307" s="12" t="s">
        <v>5664</v>
      </c>
      <c r="B307" s="12" t="s">
        <v>477</v>
      </c>
      <c r="C307" s="12" t="s">
        <v>5660</v>
      </c>
      <c r="D307" s="12">
        <v>1038</v>
      </c>
      <c r="E307" s="12">
        <v>1419</v>
      </c>
      <c r="F307" s="12">
        <v>1448</v>
      </c>
      <c r="H307" s="14">
        <f>VLOOKUP(Table55[[#This Row],[Shortname]], Comp[], 7, FALSE)</f>
        <v>82.7</v>
      </c>
      <c r="I307">
        <f>VLOOKUP(Table55[[#This Row],[Shortname]], Comp[], 8, FALSE)</f>
        <v>0</v>
      </c>
      <c r="J307">
        <f>VLOOKUP(Table55[[#This Row],[Shortname]], Comp[], 9, FALSE)</f>
        <v>8.5</v>
      </c>
      <c r="K307">
        <f>VLOOKUP(Table55[[#This Row],[Shortname]], Comp[], 10, FALSE)</f>
        <v>0</v>
      </c>
      <c r="L307">
        <f>VLOOKUP(Table55[[#This Row],[Shortname]], Comp[], 11, FALSE)</f>
        <v>7.7</v>
      </c>
      <c r="M307">
        <f>VLOOKUP(Table55[[#This Row],[Shortname]], Comp[],12, FALSE)</f>
        <v>0</v>
      </c>
      <c r="N307">
        <f>VLOOKUP(Table55[[#This Row],[Shortname]], Comp[], 13, FALSE)</f>
        <v>1.1000000000000001</v>
      </c>
      <c r="O307">
        <f>VLOOKUP(Table55[[#This Row],[Shortname]], Comp[], 14, FALSE)</f>
        <v>0</v>
      </c>
      <c r="P307">
        <f>VLOOKUP(Table55[[#This Row],[Shortname]], Comp[], 15, FALSE)</f>
        <v>0</v>
      </c>
      <c r="Q307">
        <f>VLOOKUP(Table55[[#This Row],[Shortname]], Comp[], 16, FALSE)</f>
        <v>0</v>
      </c>
      <c r="R307">
        <f>VLOOKUP(Table55[[#This Row],[Shortname]], Comp[], 17, FALSE)</f>
        <v>0</v>
      </c>
      <c r="S307">
        <f>VLOOKUP(Table55[[#This Row],[Shortname]], Comp[], 18, FALSE)</f>
        <v>0</v>
      </c>
      <c r="T307">
        <f>VLOOKUP(Table55[[#This Row],[Shortname]], Comp[], 19, FALSE)</f>
        <v>0</v>
      </c>
      <c r="U307">
        <f>VLOOKUP(Table55[[#This Row],[Shortname]], Comp[], 20, FALSE)</f>
        <v>0</v>
      </c>
      <c r="V307">
        <f>VLOOKUP(Table55[[#This Row],[Shortname]], Comp[], 21, FALSE)</f>
        <v>0</v>
      </c>
      <c r="W307">
        <f>VLOOKUP(Table55[[#This Row],[Shortname]], Comp[], 22, FALSE)</f>
        <v>0</v>
      </c>
      <c r="X307">
        <f>VLOOKUP(Table55[[#This Row],[Shortname]], Comp[], 23, FALSE)</f>
        <v>0</v>
      </c>
      <c r="Y307">
        <f>VLOOKUP(Table55[[#This Row],[Shortname]], Comp[], 24, FALSE)</f>
        <v>0</v>
      </c>
      <c r="Z307">
        <f>VLOOKUP(Table55[[#This Row],[Shortname]], Comp[], 25, FALSE)</f>
        <v>0</v>
      </c>
      <c r="AA307">
        <f>VLOOKUP(Table55[[#This Row],[Shortname]], Comp[], 26, FALSE)</f>
        <v>0</v>
      </c>
      <c r="AB307">
        <f>VLOOKUP(Table55[[#This Row],[Shortname]], Comp[], 27, FALSE)</f>
        <v>0</v>
      </c>
      <c r="AC307">
        <f>VLOOKUP(Table55[[#This Row],[Shortname]], Comp[], 28, FALSE)</f>
        <v>0</v>
      </c>
      <c r="AD307">
        <f>VLOOKUP(Table55[[#This Row],[Shortname]], Comp[], 29, FALSE)</f>
        <v>0</v>
      </c>
      <c r="AE307">
        <f>VLOOKUP(Table55[[#This Row],[Shortname]], Comp[], 30, FALSE)</f>
        <v>0</v>
      </c>
      <c r="AF307">
        <f>VLOOKUP(Table55[[#This Row],[Shortname]], Comp[], 31, FALSE)</f>
        <v>0</v>
      </c>
    </row>
    <row r="308" spans="1:32" x14ac:dyDescent="0.3">
      <c r="A308" s="12" t="s">
        <v>5666</v>
      </c>
      <c r="B308" s="12" t="s">
        <v>484</v>
      </c>
      <c r="C308" s="12" t="s">
        <v>5660</v>
      </c>
      <c r="D308" s="12">
        <v>1088</v>
      </c>
      <c r="E308" s="12">
        <v>1368</v>
      </c>
      <c r="F308" s="12">
        <v>1439</v>
      </c>
      <c r="H308" s="14">
        <f>VLOOKUP(Table55[[#This Row],[Shortname]], Comp[], 7, FALSE)</f>
        <v>80.699999999999989</v>
      </c>
      <c r="I308">
        <f>VLOOKUP(Table55[[#This Row],[Shortname]], Comp[], 8, FALSE)</f>
        <v>0</v>
      </c>
      <c r="J308">
        <f>VLOOKUP(Table55[[#This Row],[Shortname]], Comp[], 9, FALSE)</f>
        <v>8.4</v>
      </c>
      <c r="K308">
        <f>VLOOKUP(Table55[[#This Row],[Shortname]], Comp[], 10, FALSE)</f>
        <v>0</v>
      </c>
      <c r="L308">
        <f>VLOOKUP(Table55[[#This Row],[Shortname]], Comp[], 11, FALSE)</f>
        <v>9.3000000000000007</v>
      </c>
      <c r="M308">
        <f>VLOOKUP(Table55[[#This Row],[Shortname]], Comp[],12, FALSE)</f>
        <v>0</v>
      </c>
      <c r="N308">
        <f>VLOOKUP(Table55[[#This Row],[Shortname]], Comp[], 13, FALSE)</f>
        <v>1.6</v>
      </c>
      <c r="O308">
        <f>VLOOKUP(Table55[[#This Row],[Shortname]], Comp[], 14, FALSE)</f>
        <v>0</v>
      </c>
      <c r="P308">
        <f>VLOOKUP(Table55[[#This Row],[Shortname]], Comp[], 15, FALSE)</f>
        <v>0</v>
      </c>
      <c r="Q308">
        <f>VLOOKUP(Table55[[#This Row],[Shortname]], Comp[], 16, FALSE)</f>
        <v>0</v>
      </c>
      <c r="R308">
        <f>VLOOKUP(Table55[[#This Row],[Shortname]], Comp[], 17, FALSE)</f>
        <v>0</v>
      </c>
      <c r="S308">
        <f>VLOOKUP(Table55[[#This Row],[Shortname]], Comp[], 18, FALSE)</f>
        <v>0</v>
      </c>
      <c r="T308">
        <f>VLOOKUP(Table55[[#This Row],[Shortname]], Comp[], 19, FALSE)</f>
        <v>0</v>
      </c>
      <c r="U308">
        <f>VLOOKUP(Table55[[#This Row],[Shortname]], Comp[], 20, FALSE)</f>
        <v>0</v>
      </c>
      <c r="V308">
        <f>VLOOKUP(Table55[[#This Row],[Shortname]], Comp[], 21, FALSE)</f>
        <v>0</v>
      </c>
      <c r="W308">
        <f>VLOOKUP(Table55[[#This Row],[Shortname]], Comp[], 22, FALSE)</f>
        <v>0</v>
      </c>
      <c r="X308">
        <f>VLOOKUP(Table55[[#This Row],[Shortname]], Comp[], 23, FALSE)</f>
        <v>0</v>
      </c>
      <c r="Y308">
        <f>VLOOKUP(Table55[[#This Row],[Shortname]], Comp[], 24, FALSE)</f>
        <v>0</v>
      </c>
      <c r="Z308">
        <f>VLOOKUP(Table55[[#This Row],[Shortname]], Comp[], 25, FALSE)</f>
        <v>0</v>
      </c>
      <c r="AA308">
        <f>VLOOKUP(Table55[[#This Row],[Shortname]], Comp[], 26, FALSE)</f>
        <v>0</v>
      </c>
      <c r="AB308">
        <f>VLOOKUP(Table55[[#This Row],[Shortname]], Comp[], 27, FALSE)</f>
        <v>0</v>
      </c>
      <c r="AC308">
        <f>VLOOKUP(Table55[[#This Row],[Shortname]], Comp[], 28, FALSE)</f>
        <v>0</v>
      </c>
      <c r="AD308">
        <f>VLOOKUP(Table55[[#This Row],[Shortname]], Comp[], 29, FALSE)</f>
        <v>0</v>
      </c>
      <c r="AE308">
        <f>VLOOKUP(Table55[[#This Row],[Shortname]], Comp[], 30, FALSE)</f>
        <v>0</v>
      </c>
      <c r="AF308">
        <f>VLOOKUP(Table55[[#This Row],[Shortname]], Comp[], 31, FALSE)</f>
        <v>0</v>
      </c>
    </row>
    <row r="309" spans="1:32" x14ac:dyDescent="0.3">
      <c r="A309" s="12" t="s">
        <v>5668</v>
      </c>
      <c r="B309" s="12" t="s">
        <v>5669</v>
      </c>
      <c r="C309" s="12" t="s">
        <v>5660</v>
      </c>
      <c r="D309" s="12">
        <v>1117</v>
      </c>
      <c r="E309" s="12">
        <v>1348</v>
      </c>
      <c r="F309" s="12">
        <v>1429</v>
      </c>
      <c r="H309" s="14">
        <f>VLOOKUP(Table55[[#This Row],[Shortname]], Comp[], 7, FALSE)</f>
        <v>78.8</v>
      </c>
      <c r="I309">
        <f>VLOOKUP(Table55[[#This Row],[Shortname]], Comp[], 8, FALSE)</f>
        <v>0</v>
      </c>
      <c r="J309">
        <f>VLOOKUP(Table55[[#This Row],[Shortname]], Comp[], 9, FALSE)</f>
        <v>8.1999999999999993</v>
      </c>
      <c r="K309">
        <f>VLOOKUP(Table55[[#This Row],[Shortname]], Comp[], 10, FALSE)</f>
        <v>0</v>
      </c>
      <c r="L309">
        <f>VLOOKUP(Table55[[#This Row],[Shortname]], Comp[], 11, FALSE)</f>
        <v>11</v>
      </c>
      <c r="M309">
        <f>VLOOKUP(Table55[[#This Row],[Shortname]], Comp[],12, FALSE)</f>
        <v>0</v>
      </c>
      <c r="N309">
        <f>VLOOKUP(Table55[[#This Row],[Shortname]], Comp[], 13, FALSE)</f>
        <v>2</v>
      </c>
      <c r="O309">
        <f>VLOOKUP(Table55[[#This Row],[Shortname]], Comp[], 14, FALSE)</f>
        <v>0</v>
      </c>
      <c r="P309">
        <f>VLOOKUP(Table55[[#This Row],[Shortname]], Comp[], 15, FALSE)</f>
        <v>0</v>
      </c>
      <c r="Q309">
        <f>VLOOKUP(Table55[[#This Row],[Shortname]], Comp[], 16, FALSE)</f>
        <v>0</v>
      </c>
      <c r="R309">
        <f>VLOOKUP(Table55[[#This Row],[Shortname]], Comp[], 17, FALSE)</f>
        <v>0</v>
      </c>
      <c r="S309">
        <f>VLOOKUP(Table55[[#This Row],[Shortname]], Comp[], 18, FALSE)</f>
        <v>0</v>
      </c>
      <c r="T309">
        <f>VLOOKUP(Table55[[#This Row],[Shortname]], Comp[], 19, FALSE)</f>
        <v>0</v>
      </c>
      <c r="U309">
        <f>VLOOKUP(Table55[[#This Row],[Shortname]], Comp[], 20, FALSE)</f>
        <v>0</v>
      </c>
      <c r="V309">
        <f>VLOOKUP(Table55[[#This Row],[Shortname]], Comp[], 21, FALSE)</f>
        <v>0</v>
      </c>
      <c r="W309">
        <f>VLOOKUP(Table55[[#This Row],[Shortname]], Comp[], 22, FALSE)</f>
        <v>0</v>
      </c>
      <c r="X309">
        <f>VLOOKUP(Table55[[#This Row],[Shortname]], Comp[], 23, FALSE)</f>
        <v>0</v>
      </c>
      <c r="Y309">
        <f>VLOOKUP(Table55[[#This Row],[Shortname]], Comp[], 24, FALSE)</f>
        <v>0</v>
      </c>
      <c r="Z309">
        <f>VLOOKUP(Table55[[#This Row],[Shortname]], Comp[], 25, FALSE)</f>
        <v>0</v>
      </c>
      <c r="AA309">
        <f>VLOOKUP(Table55[[#This Row],[Shortname]], Comp[], 26, FALSE)</f>
        <v>0</v>
      </c>
      <c r="AB309">
        <f>VLOOKUP(Table55[[#This Row],[Shortname]], Comp[], 27, FALSE)</f>
        <v>0</v>
      </c>
      <c r="AC309">
        <f>VLOOKUP(Table55[[#This Row],[Shortname]], Comp[], 28, FALSE)</f>
        <v>0</v>
      </c>
      <c r="AD309">
        <f>VLOOKUP(Table55[[#This Row],[Shortname]], Comp[], 29, FALSE)</f>
        <v>0</v>
      </c>
      <c r="AE309">
        <f>VLOOKUP(Table55[[#This Row],[Shortname]], Comp[], 30, FALSE)</f>
        <v>0</v>
      </c>
      <c r="AF309">
        <f>VLOOKUP(Table55[[#This Row],[Shortname]], Comp[], 31, FALSE)</f>
        <v>0</v>
      </c>
    </row>
    <row r="310" spans="1:32" x14ac:dyDescent="0.3">
      <c r="A310" s="12" t="s">
        <v>5671</v>
      </c>
      <c r="B310" s="12" t="s">
        <v>5672</v>
      </c>
      <c r="C310" s="12" t="s">
        <v>5660</v>
      </c>
      <c r="D310" s="12">
        <v>1121</v>
      </c>
      <c r="E310" s="12">
        <v>1353</v>
      </c>
      <c r="F310" s="12">
        <v>1419</v>
      </c>
      <c r="H310" s="14">
        <f>VLOOKUP(Table55[[#This Row],[Shortname]], Comp[], 7, FALSE)</f>
        <v>77</v>
      </c>
      <c r="I310">
        <f>VLOOKUP(Table55[[#This Row],[Shortname]], Comp[], 8, FALSE)</f>
        <v>0</v>
      </c>
      <c r="J310">
        <f>VLOOKUP(Table55[[#This Row],[Shortname]], Comp[], 9, FALSE)</f>
        <v>8.1</v>
      </c>
      <c r="K310">
        <f>VLOOKUP(Table55[[#This Row],[Shortname]], Comp[], 10, FALSE)</f>
        <v>0</v>
      </c>
      <c r="L310">
        <f>VLOOKUP(Table55[[#This Row],[Shortname]], Comp[], 11, FALSE)</f>
        <v>12.5</v>
      </c>
      <c r="M310">
        <f>VLOOKUP(Table55[[#This Row],[Shortname]], Comp[],12, FALSE)</f>
        <v>0</v>
      </c>
      <c r="N310">
        <f>VLOOKUP(Table55[[#This Row],[Shortname]], Comp[], 13, FALSE)</f>
        <v>2.4</v>
      </c>
      <c r="O310">
        <f>VLOOKUP(Table55[[#This Row],[Shortname]], Comp[], 14, FALSE)</f>
        <v>0</v>
      </c>
      <c r="P310">
        <f>VLOOKUP(Table55[[#This Row],[Shortname]], Comp[], 15, FALSE)</f>
        <v>0</v>
      </c>
      <c r="Q310">
        <f>VLOOKUP(Table55[[#This Row],[Shortname]], Comp[], 16, FALSE)</f>
        <v>0</v>
      </c>
      <c r="R310">
        <f>VLOOKUP(Table55[[#This Row],[Shortname]], Comp[], 17, FALSE)</f>
        <v>0</v>
      </c>
      <c r="S310">
        <f>VLOOKUP(Table55[[#This Row],[Shortname]], Comp[], 18, FALSE)</f>
        <v>0</v>
      </c>
      <c r="T310">
        <f>VLOOKUP(Table55[[#This Row],[Shortname]], Comp[], 19, FALSE)</f>
        <v>0</v>
      </c>
      <c r="U310">
        <f>VLOOKUP(Table55[[#This Row],[Shortname]], Comp[], 20, FALSE)</f>
        <v>0</v>
      </c>
      <c r="V310">
        <f>VLOOKUP(Table55[[#This Row],[Shortname]], Comp[], 21, FALSE)</f>
        <v>0</v>
      </c>
      <c r="W310">
        <f>VLOOKUP(Table55[[#This Row],[Shortname]], Comp[], 22, FALSE)</f>
        <v>0</v>
      </c>
      <c r="X310">
        <f>VLOOKUP(Table55[[#This Row],[Shortname]], Comp[], 23, FALSE)</f>
        <v>0</v>
      </c>
      <c r="Y310">
        <f>VLOOKUP(Table55[[#This Row],[Shortname]], Comp[], 24, FALSE)</f>
        <v>0</v>
      </c>
      <c r="Z310">
        <f>VLOOKUP(Table55[[#This Row],[Shortname]], Comp[], 25, FALSE)</f>
        <v>0</v>
      </c>
      <c r="AA310">
        <f>VLOOKUP(Table55[[#This Row],[Shortname]], Comp[], 26, FALSE)</f>
        <v>0</v>
      </c>
      <c r="AB310">
        <f>VLOOKUP(Table55[[#This Row],[Shortname]], Comp[], 27, FALSE)</f>
        <v>0</v>
      </c>
      <c r="AC310">
        <f>VLOOKUP(Table55[[#This Row],[Shortname]], Comp[], 28, FALSE)</f>
        <v>0</v>
      </c>
      <c r="AD310">
        <f>VLOOKUP(Table55[[#This Row],[Shortname]], Comp[], 29, FALSE)</f>
        <v>0</v>
      </c>
      <c r="AE310">
        <f>VLOOKUP(Table55[[#This Row],[Shortname]], Comp[], 30, FALSE)</f>
        <v>0</v>
      </c>
      <c r="AF310">
        <f>VLOOKUP(Table55[[#This Row],[Shortname]], Comp[], 31, FALSE)</f>
        <v>0</v>
      </c>
    </row>
    <row r="311" spans="1:32" x14ac:dyDescent="0.3">
      <c r="A311" s="12" t="s">
        <v>5748</v>
      </c>
      <c r="B311" s="12" t="s">
        <v>4928</v>
      </c>
      <c r="C311" s="12" t="s">
        <v>5749</v>
      </c>
      <c r="D311" s="12">
        <v>940</v>
      </c>
      <c r="E311" s="12">
        <v>1341</v>
      </c>
      <c r="F311" s="12"/>
      <c r="H311" s="14">
        <f>VLOOKUP(Table55[[#This Row],[Shortname]], Comp[], 7, FALSE)</f>
        <v>56.9</v>
      </c>
      <c r="I311">
        <f>VLOOKUP(Table55[[#This Row],[Shortname]], Comp[], 8, FALSE)</f>
        <v>29.6</v>
      </c>
      <c r="J311">
        <f>VLOOKUP(Table55[[#This Row],[Shortname]], Comp[], 9, FALSE)</f>
        <v>10.5</v>
      </c>
      <c r="K311">
        <f>VLOOKUP(Table55[[#This Row],[Shortname]], Comp[], 10, FALSE)</f>
        <v>0</v>
      </c>
      <c r="L311">
        <f>VLOOKUP(Table55[[#This Row],[Shortname]], Comp[], 11, FALSE)</f>
        <v>0</v>
      </c>
      <c r="M311">
        <f>VLOOKUP(Table55[[#This Row],[Shortname]], Comp[],12, FALSE)</f>
        <v>0</v>
      </c>
      <c r="N311">
        <f>VLOOKUP(Table55[[#This Row],[Shortname]], Comp[], 13, FALSE)</f>
        <v>0</v>
      </c>
      <c r="O311">
        <f>VLOOKUP(Table55[[#This Row],[Shortname]], Comp[], 14, FALSE)</f>
        <v>3</v>
      </c>
      <c r="P311">
        <f>VLOOKUP(Table55[[#This Row],[Shortname]], Comp[], 15, FALSE)</f>
        <v>0</v>
      </c>
      <c r="Q311">
        <f>VLOOKUP(Table55[[#This Row],[Shortname]], Comp[], 16, FALSE)</f>
        <v>0</v>
      </c>
      <c r="R311">
        <f>VLOOKUP(Table55[[#This Row],[Shortname]], Comp[], 17, FALSE)</f>
        <v>0</v>
      </c>
      <c r="S311">
        <f>VLOOKUP(Table55[[#This Row],[Shortname]], Comp[], 18, FALSE)</f>
        <v>0</v>
      </c>
      <c r="T311">
        <f>VLOOKUP(Table55[[#This Row],[Shortname]], Comp[], 19, FALSE)</f>
        <v>0</v>
      </c>
      <c r="U311">
        <f>VLOOKUP(Table55[[#This Row],[Shortname]], Comp[], 20, FALSE)</f>
        <v>0</v>
      </c>
      <c r="V311">
        <f>VLOOKUP(Table55[[#This Row],[Shortname]], Comp[], 21, FALSE)</f>
        <v>0</v>
      </c>
      <c r="W311">
        <f>VLOOKUP(Table55[[#This Row],[Shortname]], Comp[], 22, FALSE)</f>
        <v>0</v>
      </c>
      <c r="X311">
        <f>VLOOKUP(Table55[[#This Row],[Shortname]], Comp[], 23, FALSE)</f>
        <v>0</v>
      </c>
      <c r="Y311">
        <f>VLOOKUP(Table55[[#This Row],[Shortname]], Comp[], 24, FALSE)</f>
        <v>0</v>
      </c>
      <c r="Z311">
        <f>VLOOKUP(Table55[[#This Row],[Shortname]], Comp[], 25, FALSE)</f>
        <v>0</v>
      </c>
      <c r="AA311">
        <f>VLOOKUP(Table55[[#This Row],[Shortname]], Comp[], 26, FALSE)</f>
        <v>0</v>
      </c>
      <c r="AB311">
        <f>VLOOKUP(Table55[[#This Row],[Shortname]], Comp[], 27, FALSE)</f>
        <v>0</v>
      </c>
      <c r="AC311">
        <f>VLOOKUP(Table55[[#This Row],[Shortname]], Comp[], 28, FALSE)</f>
        <v>0</v>
      </c>
      <c r="AD311">
        <f>VLOOKUP(Table55[[#This Row],[Shortname]], Comp[], 29, FALSE)</f>
        <v>0</v>
      </c>
      <c r="AE311">
        <f>VLOOKUP(Table55[[#This Row],[Shortname]], Comp[], 30, FALSE)</f>
        <v>0</v>
      </c>
      <c r="AF311">
        <f>VLOOKUP(Table55[[#This Row],[Shortname]], Comp[], 31, FALSE)</f>
        <v>0</v>
      </c>
    </row>
    <row r="312" spans="1:32" x14ac:dyDescent="0.3">
      <c r="A312" s="12" t="s">
        <v>5751</v>
      </c>
      <c r="B312" s="12" t="s">
        <v>5752</v>
      </c>
      <c r="C312" s="12" t="s">
        <v>5753</v>
      </c>
      <c r="D312" s="12">
        <v>1042</v>
      </c>
      <c r="E312" s="12">
        <v>1306</v>
      </c>
      <c r="F312" s="12">
        <v>1388</v>
      </c>
      <c r="H312" s="14">
        <f>VLOOKUP(Table55[[#This Row],[Shortname]], Comp[], 7, FALSE)</f>
        <v>55.599999999999994</v>
      </c>
      <c r="I312">
        <f>VLOOKUP(Table55[[#This Row],[Shortname]], Comp[], 8, FALSE)</f>
        <v>28.9</v>
      </c>
      <c r="J312">
        <f>VLOOKUP(Table55[[#This Row],[Shortname]], Comp[], 9, FALSE)</f>
        <v>10.3</v>
      </c>
      <c r="K312">
        <f>VLOOKUP(Table55[[#This Row],[Shortname]], Comp[], 10, FALSE)</f>
        <v>0</v>
      </c>
      <c r="L312">
        <f>VLOOKUP(Table55[[#This Row],[Shortname]], Comp[], 11, FALSE)</f>
        <v>0</v>
      </c>
      <c r="M312">
        <f>VLOOKUP(Table55[[#This Row],[Shortname]], Comp[],12, FALSE)</f>
        <v>2.1</v>
      </c>
      <c r="N312">
        <f>VLOOKUP(Table55[[#This Row],[Shortname]], Comp[], 13, FALSE)</f>
        <v>0</v>
      </c>
      <c r="O312">
        <f>VLOOKUP(Table55[[#This Row],[Shortname]], Comp[], 14, FALSE)</f>
        <v>3.1</v>
      </c>
      <c r="P312">
        <f>VLOOKUP(Table55[[#This Row],[Shortname]], Comp[], 15, FALSE)</f>
        <v>0</v>
      </c>
      <c r="Q312">
        <f>VLOOKUP(Table55[[#This Row],[Shortname]], Comp[], 16, FALSE)</f>
        <v>0</v>
      </c>
      <c r="R312">
        <f>VLOOKUP(Table55[[#This Row],[Shortname]], Comp[], 17, FALSE)</f>
        <v>0</v>
      </c>
      <c r="S312">
        <f>VLOOKUP(Table55[[#This Row],[Shortname]], Comp[], 18, FALSE)</f>
        <v>0</v>
      </c>
      <c r="T312">
        <f>VLOOKUP(Table55[[#This Row],[Shortname]], Comp[], 19, FALSE)</f>
        <v>0</v>
      </c>
      <c r="U312">
        <f>VLOOKUP(Table55[[#This Row],[Shortname]], Comp[], 20, FALSE)</f>
        <v>0</v>
      </c>
      <c r="V312">
        <f>VLOOKUP(Table55[[#This Row],[Shortname]], Comp[], 21, FALSE)</f>
        <v>0</v>
      </c>
      <c r="W312">
        <f>VLOOKUP(Table55[[#This Row],[Shortname]], Comp[], 22, FALSE)</f>
        <v>0</v>
      </c>
      <c r="X312">
        <f>VLOOKUP(Table55[[#This Row],[Shortname]], Comp[], 23, FALSE)</f>
        <v>0</v>
      </c>
      <c r="Y312">
        <f>VLOOKUP(Table55[[#This Row],[Shortname]], Comp[], 24, FALSE)</f>
        <v>0</v>
      </c>
      <c r="Z312">
        <f>VLOOKUP(Table55[[#This Row],[Shortname]], Comp[], 25, FALSE)</f>
        <v>0</v>
      </c>
      <c r="AA312">
        <f>VLOOKUP(Table55[[#This Row],[Shortname]], Comp[], 26, FALSE)</f>
        <v>0</v>
      </c>
      <c r="AB312">
        <f>VLOOKUP(Table55[[#This Row],[Shortname]], Comp[], 27, FALSE)</f>
        <v>0</v>
      </c>
      <c r="AC312">
        <f>VLOOKUP(Table55[[#This Row],[Shortname]], Comp[], 28, FALSE)</f>
        <v>0</v>
      </c>
      <c r="AD312">
        <f>VLOOKUP(Table55[[#This Row],[Shortname]], Comp[], 29, FALSE)</f>
        <v>0</v>
      </c>
      <c r="AE312">
        <f>VLOOKUP(Table55[[#This Row],[Shortname]], Comp[], 30, FALSE)</f>
        <v>0</v>
      </c>
      <c r="AF312">
        <f>VLOOKUP(Table55[[#This Row],[Shortname]], Comp[], 31, FALSE)</f>
        <v>0</v>
      </c>
    </row>
    <row r="313" spans="1:32" x14ac:dyDescent="0.3">
      <c r="A313" s="12" t="s">
        <v>5756</v>
      </c>
      <c r="B313" s="12" t="s">
        <v>2361</v>
      </c>
      <c r="C313" s="12" t="s">
        <v>5757</v>
      </c>
      <c r="D313" s="12">
        <v>1106</v>
      </c>
      <c r="E313" s="12">
        <v>1314</v>
      </c>
      <c r="F313" s="12">
        <v>1385</v>
      </c>
      <c r="H313" s="14">
        <f>VLOOKUP(Table55[[#This Row],[Shortname]], Comp[], 7, FALSE)</f>
        <v>55.499999999999993</v>
      </c>
      <c r="I313">
        <f>VLOOKUP(Table55[[#This Row],[Shortname]], Comp[], 8, FALSE)</f>
        <v>29</v>
      </c>
      <c r="J313">
        <f>VLOOKUP(Table55[[#This Row],[Shortname]], Comp[], 9, FALSE)</f>
        <v>10.1</v>
      </c>
      <c r="K313">
        <f>VLOOKUP(Table55[[#This Row],[Shortname]], Comp[], 10, FALSE)</f>
        <v>0</v>
      </c>
      <c r="L313">
        <f>VLOOKUP(Table55[[#This Row],[Shortname]], Comp[], 11, FALSE)</f>
        <v>0</v>
      </c>
      <c r="M313">
        <f>VLOOKUP(Table55[[#This Row],[Shortname]], Comp[],12, FALSE)</f>
        <v>0</v>
      </c>
      <c r="N313">
        <f>VLOOKUP(Table55[[#This Row],[Shortname]], Comp[], 13, FALSE)</f>
        <v>2.2000000000000002</v>
      </c>
      <c r="O313">
        <f>VLOOKUP(Table55[[#This Row],[Shortname]], Comp[], 14, FALSE)</f>
        <v>3.2</v>
      </c>
      <c r="P313">
        <f>VLOOKUP(Table55[[#This Row],[Shortname]], Comp[], 15, FALSE)</f>
        <v>0</v>
      </c>
      <c r="Q313">
        <f>VLOOKUP(Table55[[#This Row],[Shortname]], Comp[], 16, FALSE)</f>
        <v>0</v>
      </c>
      <c r="R313">
        <f>VLOOKUP(Table55[[#This Row],[Shortname]], Comp[], 17, FALSE)</f>
        <v>0</v>
      </c>
      <c r="S313">
        <f>VLOOKUP(Table55[[#This Row],[Shortname]], Comp[], 18, FALSE)</f>
        <v>0</v>
      </c>
      <c r="T313">
        <f>VLOOKUP(Table55[[#This Row],[Shortname]], Comp[], 19, FALSE)</f>
        <v>0</v>
      </c>
      <c r="U313">
        <f>VLOOKUP(Table55[[#This Row],[Shortname]], Comp[], 20, FALSE)</f>
        <v>0</v>
      </c>
      <c r="V313">
        <f>VLOOKUP(Table55[[#This Row],[Shortname]], Comp[], 21, FALSE)</f>
        <v>0</v>
      </c>
      <c r="W313">
        <f>VLOOKUP(Table55[[#This Row],[Shortname]], Comp[], 22, FALSE)</f>
        <v>0</v>
      </c>
      <c r="X313">
        <f>VLOOKUP(Table55[[#This Row],[Shortname]], Comp[], 23, FALSE)</f>
        <v>0</v>
      </c>
      <c r="Y313">
        <f>VLOOKUP(Table55[[#This Row],[Shortname]], Comp[], 24, FALSE)</f>
        <v>0</v>
      </c>
      <c r="Z313">
        <f>VLOOKUP(Table55[[#This Row],[Shortname]], Comp[], 25, FALSE)</f>
        <v>0</v>
      </c>
      <c r="AA313">
        <f>VLOOKUP(Table55[[#This Row],[Shortname]], Comp[], 26, FALSE)</f>
        <v>0</v>
      </c>
      <c r="AB313">
        <f>VLOOKUP(Table55[[#This Row],[Shortname]], Comp[], 27, FALSE)</f>
        <v>0</v>
      </c>
      <c r="AC313">
        <f>VLOOKUP(Table55[[#This Row],[Shortname]], Comp[], 28, FALSE)</f>
        <v>0</v>
      </c>
      <c r="AD313">
        <f>VLOOKUP(Table55[[#This Row],[Shortname]], Comp[], 29, FALSE)</f>
        <v>0</v>
      </c>
      <c r="AE313">
        <f>VLOOKUP(Table55[[#This Row],[Shortname]], Comp[], 30, FALSE)</f>
        <v>0</v>
      </c>
      <c r="AF313">
        <f>VLOOKUP(Table55[[#This Row],[Shortname]], Comp[], 31, FALSE)</f>
        <v>0</v>
      </c>
    </row>
    <row r="314" spans="1:32" x14ac:dyDescent="0.3">
      <c r="A314" s="12" t="s">
        <v>5761</v>
      </c>
      <c r="B314" s="12" t="s">
        <v>5762</v>
      </c>
      <c r="C314" s="12" t="s">
        <v>5763</v>
      </c>
      <c r="D314" s="12">
        <v>1150</v>
      </c>
      <c r="E314" s="12">
        <v>1280</v>
      </c>
      <c r="F314" s="12">
        <v>1356</v>
      </c>
      <c r="H314" s="14">
        <f>VLOOKUP(Table55[[#This Row],[Shortname]], Comp[], 7, FALSE)</f>
        <v>53.599999999999994</v>
      </c>
      <c r="I314">
        <f>VLOOKUP(Table55[[#This Row],[Shortname]], Comp[], 8, FALSE)</f>
        <v>29.2</v>
      </c>
      <c r="J314">
        <f>VLOOKUP(Table55[[#This Row],[Shortname]], Comp[], 9, FALSE)</f>
        <v>9.8000000000000007</v>
      </c>
      <c r="K314">
        <f>VLOOKUP(Table55[[#This Row],[Shortname]], Comp[], 10, FALSE)</f>
        <v>0</v>
      </c>
      <c r="L314">
        <f>VLOOKUP(Table55[[#This Row],[Shortname]], Comp[], 11, FALSE)</f>
        <v>0</v>
      </c>
      <c r="M314">
        <f>VLOOKUP(Table55[[#This Row],[Shortname]], Comp[],12, FALSE)</f>
        <v>2.2000000000000002</v>
      </c>
      <c r="N314">
        <f>VLOOKUP(Table55[[#This Row],[Shortname]], Comp[], 13, FALSE)</f>
        <v>2</v>
      </c>
      <c r="O314">
        <f>VLOOKUP(Table55[[#This Row],[Shortname]], Comp[], 14, FALSE)</f>
        <v>3.2</v>
      </c>
      <c r="P314">
        <f>VLOOKUP(Table55[[#This Row],[Shortname]], Comp[], 15, FALSE)</f>
        <v>0</v>
      </c>
      <c r="Q314">
        <f>VLOOKUP(Table55[[#This Row],[Shortname]], Comp[], 16, FALSE)</f>
        <v>0</v>
      </c>
      <c r="R314">
        <f>VLOOKUP(Table55[[#This Row],[Shortname]], Comp[], 17, FALSE)</f>
        <v>0</v>
      </c>
      <c r="S314">
        <f>VLOOKUP(Table55[[#This Row],[Shortname]], Comp[], 18, FALSE)</f>
        <v>0</v>
      </c>
      <c r="T314">
        <f>VLOOKUP(Table55[[#This Row],[Shortname]], Comp[], 19, FALSE)</f>
        <v>0</v>
      </c>
      <c r="U314">
        <f>VLOOKUP(Table55[[#This Row],[Shortname]], Comp[], 20, FALSE)</f>
        <v>0</v>
      </c>
      <c r="V314">
        <f>VLOOKUP(Table55[[#This Row],[Shortname]], Comp[], 21, FALSE)</f>
        <v>0</v>
      </c>
      <c r="W314">
        <f>VLOOKUP(Table55[[#This Row],[Shortname]], Comp[], 22, FALSE)</f>
        <v>0</v>
      </c>
      <c r="X314">
        <f>VLOOKUP(Table55[[#This Row],[Shortname]], Comp[], 23, FALSE)</f>
        <v>0</v>
      </c>
      <c r="Y314">
        <f>VLOOKUP(Table55[[#This Row],[Shortname]], Comp[], 24, FALSE)</f>
        <v>0</v>
      </c>
      <c r="Z314">
        <f>VLOOKUP(Table55[[#This Row],[Shortname]], Comp[], 25, FALSE)</f>
        <v>0</v>
      </c>
      <c r="AA314">
        <f>VLOOKUP(Table55[[#This Row],[Shortname]], Comp[], 26, FALSE)</f>
        <v>0</v>
      </c>
      <c r="AB314">
        <f>VLOOKUP(Table55[[#This Row],[Shortname]], Comp[], 27, FALSE)</f>
        <v>0</v>
      </c>
      <c r="AC314">
        <f>VLOOKUP(Table55[[#This Row],[Shortname]], Comp[], 28, FALSE)</f>
        <v>0</v>
      </c>
      <c r="AD314">
        <f>VLOOKUP(Table55[[#This Row],[Shortname]], Comp[], 29, FALSE)</f>
        <v>0</v>
      </c>
      <c r="AE314">
        <f>VLOOKUP(Table55[[#This Row],[Shortname]], Comp[], 30, FALSE)</f>
        <v>0</v>
      </c>
      <c r="AF314">
        <f>VLOOKUP(Table55[[#This Row],[Shortname]], Comp[], 31, FALSE)</f>
        <v>0</v>
      </c>
    </row>
    <row r="315" spans="1:32" x14ac:dyDescent="0.3">
      <c r="A315" s="12" t="s">
        <v>5787</v>
      </c>
      <c r="B315" s="12" t="s">
        <v>749</v>
      </c>
      <c r="C315" s="12" t="s">
        <v>743</v>
      </c>
      <c r="D315" s="12">
        <v>964</v>
      </c>
      <c r="E315" s="12">
        <v>1409</v>
      </c>
      <c r="F315" s="12">
        <v>1440</v>
      </c>
      <c r="H315" s="14">
        <f>VLOOKUP(Table55[[#This Row],[Shortname]], Comp[], 7, FALSE)</f>
        <v>81</v>
      </c>
      <c r="I315">
        <f>VLOOKUP(Table55[[#This Row],[Shortname]], Comp[], 8, FALSE)</f>
        <v>0</v>
      </c>
      <c r="J315">
        <f>VLOOKUP(Table55[[#This Row],[Shortname]], Comp[], 9, FALSE)</f>
        <v>5</v>
      </c>
      <c r="K315">
        <f>VLOOKUP(Table55[[#This Row],[Shortname]], Comp[], 10, FALSE)</f>
        <v>0</v>
      </c>
      <c r="L315">
        <f>VLOOKUP(Table55[[#This Row],[Shortname]], Comp[], 11, FALSE)</f>
        <v>0</v>
      </c>
      <c r="M315">
        <f>VLOOKUP(Table55[[#This Row],[Shortname]], Comp[],12, FALSE)</f>
        <v>0</v>
      </c>
      <c r="N315">
        <f>VLOOKUP(Table55[[#This Row],[Shortname]], Comp[], 13, FALSE)</f>
        <v>0</v>
      </c>
      <c r="O315">
        <f>VLOOKUP(Table55[[#This Row],[Shortname]], Comp[], 14, FALSE)</f>
        <v>0</v>
      </c>
      <c r="P315">
        <f>VLOOKUP(Table55[[#This Row],[Shortname]], Comp[], 15, FALSE)</f>
        <v>14</v>
      </c>
      <c r="Q315">
        <f>VLOOKUP(Table55[[#This Row],[Shortname]], Comp[], 16, FALSE)</f>
        <v>0</v>
      </c>
      <c r="R315">
        <f>VLOOKUP(Table55[[#This Row],[Shortname]], Comp[], 17, FALSE)</f>
        <v>0</v>
      </c>
      <c r="S315">
        <f>VLOOKUP(Table55[[#This Row],[Shortname]], Comp[], 18, FALSE)</f>
        <v>0</v>
      </c>
      <c r="T315">
        <f>VLOOKUP(Table55[[#This Row],[Shortname]], Comp[], 19, FALSE)</f>
        <v>0</v>
      </c>
      <c r="U315">
        <f>VLOOKUP(Table55[[#This Row],[Shortname]], Comp[], 20, FALSE)</f>
        <v>0</v>
      </c>
      <c r="V315">
        <f>VLOOKUP(Table55[[#This Row],[Shortname]], Comp[], 21, FALSE)</f>
        <v>0</v>
      </c>
      <c r="W315">
        <f>VLOOKUP(Table55[[#This Row],[Shortname]], Comp[], 22, FALSE)</f>
        <v>0</v>
      </c>
      <c r="X315">
        <f>VLOOKUP(Table55[[#This Row],[Shortname]], Comp[], 23, FALSE)</f>
        <v>0</v>
      </c>
      <c r="Y315">
        <f>VLOOKUP(Table55[[#This Row],[Shortname]], Comp[], 24, FALSE)</f>
        <v>0</v>
      </c>
      <c r="Z315">
        <f>VLOOKUP(Table55[[#This Row],[Shortname]], Comp[], 25, FALSE)</f>
        <v>0</v>
      </c>
      <c r="AA315">
        <f>VLOOKUP(Table55[[#This Row],[Shortname]], Comp[], 26, FALSE)</f>
        <v>0</v>
      </c>
      <c r="AB315">
        <f>VLOOKUP(Table55[[#This Row],[Shortname]], Comp[], 27, FALSE)</f>
        <v>0</v>
      </c>
      <c r="AC315">
        <f>VLOOKUP(Table55[[#This Row],[Shortname]], Comp[], 28, FALSE)</f>
        <v>0</v>
      </c>
      <c r="AD315">
        <f>VLOOKUP(Table55[[#This Row],[Shortname]], Comp[], 29, FALSE)</f>
        <v>0</v>
      </c>
      <c r="AE315">
        <f>VLOOKUP(Table55[[#This Row],[Shortname]], Comp[], 30, FALSE)</f>
        <v>0</v>
      </c>
      <c r="AF315">
        <f>VLOOKUP(Table55[[#This Row],[Shortname]], Comp[], 31, FALSE)</f>
        <v>0</v>
      </c>
    </row>
    <row r="316" spans="1:32" x14ac:dyDescent="0.3">
      <c r="A316" s="12" t="s">
        <v>5790</v>
      </c>
      <c r="B316" s="12" t="s">
        <v>3899</v>
      </c>
      <c r="C316" s="12" t="s">
        <v>750</v>
      </c>
      <c r="D316" s="12">
        <v>1022</v>
      </c>
      <c r="E316" s="12">
        <v>1338</v>
      </c>
      <c r="F316" s="12">
        <v>1394</v>
      </c>
      <c r="H316" s="14">
        <f>VLOOKUP(Table55[[#This Row],[Shortname]], Comp[], 7, FALSE)</f>
        <v>79</v>
      </c>
      <c r="I316">
        <f>VLOOKUP(Table55[[#This Row],[Shortname]], Comp[], 8, FALSE)</f>
        <v>0</v>
      </c>
      <c r="J316">
        <f>VLOOKUP(Table55[[#This Row],[Shortname]], Comp[], 9, FALSE)</f>
        <v>5</v>
      </c>
      <c r="K316">
        <f>VLOOKUP(Table55[[#This Row],[Shortname]], Comp[], 10, FALSE)</f>
        <v>0</v>
      </c>
      <c r="L316">
        <f>VLOOKUP(Table55[[#This Row],[Shortname]], Comp[], 11, FALSE)</f>
        <v>0</v>
      </c>
      <c r="M316">
        <f>VLOOKUP(Table55[[#This Row],[Shortname]], Comp[],12, FALSE)</f>
        <v>2</v>
      </c>
      <c r="N316">
        <f>VLOOKUP(Table55[[#This Row],[Shortname]], Comp[], 13, FALSE)</f>
        <v>0</v>
      </c>
      <c r="O316">
        <f>VLOOKUP(Table55[[#This Row],[Shortname]], Comp[], 14, FALSE)</f>
        <v>0</v>
      </c>
      <c r="P316">
        <f>VLOOKUP(Table55[[#This Row],[Shortname]], Comp[], 15, FALSE)</f>
        <v>14</v>
      </c>
      <c r="Q316">
        <f>VLOOKUP(Table55[[#This Row],[Shortname]], Comp[], 16, FALSE)</f>
        <v>0</v>
      </c>
      <c r="R316">
        <f>VLOOKUP(Table55[[#This Row],[Shortname]], Comp[], 17, FALSE)</f>
        <v>0</v>
      </c>
      <c r="S316">
        <f>VLOOKUP(Table55[[#This Row],[Shortname]], Comp[], 18, FALSE)</f>
        <v>0</v>
      </c>
      <c r="T316">
        <f>VLOOKUP(Table55[[#This Row],[Shortname]], Comp[], 19, FALSE)</f>
        <v>0</v>
      </c>
      <c r="U316">
        <f>VLOOKUP(Table55[[#This Row],[Shortname]], Comp[], 20, FALSE)</f>
        <v>0</v>
      </c>
      <c r="V316">
        <f>VLOOKUP(Table55[[#This Row],[Shortname]], Comp[], 21, FALSE)</f>
        <v>0</v>
      </c>
      <c r="W316">
        <f>VLOOKUP(Table55[[#This Row],[Shortname]], Comp[], 22, FALSE)</f>
        <v>0</v>
      </c>
      <c r="X316">
        <f>VLOOKUP(Table55[[#This Row],[Shortname]], Comp[], 23, FALSE)</f>
        <v>0</v>
      </c>
      <c r="Y316">
        <f>VLOOKUP(Table55[[#This Row],[Shortname]], Comp[], 24, FALSE)</f>
        <v>0</v>
      </c>
      <c r="Z316">
        <f>VLOOKUP(Table55[[#This Row],[Shortname]], Comp[], 25, FALSE)</f>
        <v>0</v>
      </c>
      <c r="AA316">
        <f>VLOOKUP(Table55[[#This Row],[Shortname]], Comp[], 26, FALSE)</f>
        <v>0</v>
      </c>
      <c r="AB316">
        <f>VLOOKUP(Table55[[#This Row],[Shortname]], Comp[], 27, FALSE)</f>
        <v>0</v>
      </c>
      <c r="AC316">
        <f>VLOOKUP(Table55[[#This Row],[Shortname]], Comp[], 28, FALSE)</f>
        <v>0</v>
      </c>
      <c r="AD316">
        <f>VLOOKUP(Table55[[#This Row],[Shortname]], Comp[], 29, FALSE)</f>
        <v>0</v>
      </c>
      <c r="AE316">
        <f>VLOOKUP(Table55[[#This Row],[Shortname]], Comp[], 30, FALSE)</f>
        <v>0</v>
      </c>
      <c r="AF316">
        <f>VLOOKUP(Table55[[#This Row],[Shortname]], Comp[], 31, FALSE)</f>
        <v>0</v>
      </c>
    </row>
    <row r="317" spans="1:32" x14ac:dyDescent="0.3">
      <c r="A317" s="12" t="s">
        <v>5792</v>
      </c>
      <c r="B317" s="12" t="s">
        <v>1637</v>
      </c>
      <c r="C317" s="12" t="s">
        <v>757</v>
      </c>
      <c r="D317" s="12">
        <v>948</v>
      </c>
      <c r="E317" s="12">
        <v>1410</v>
      </c>
      <c r="F317" s="12">
        <v>1444</v>
      </c>
      <c r="H317" s="14">
        <f>VLOOKUP(Table55[[#This Row],[Shortname]], Comp[], 7, FALSE)</f>
        <v>79</v>
      </c>
      <c r="I317">
        <f>VLOOKUP(Table55[[#This Row],[Shortname]], Comp[], 8, FALSE)</f>
        <v>0</v>
      </c>
      <c r="J317">
        <f>VLOOKUP(Table55[[#This Row],[Shortname]], Comp[], 9, FALSE)</f>
        <v>5</v>
      </c>
      <c r="K317">
        <f>VLOOKUP(Table55[[#This Row],[Shortname]], Comp[], 10, FALSE)</f>
        <v>2</v>
      </c>
      <c r="L317">
        <f>VLOOKUP(Table55[[#This Row],[Shortname]], Comp[], 11, FALSE)</f>
        <v>0</v>
      </c>
      <c r="M317">
        <f>VLOOKUP(Table55[[#This Row],[Shortname]], Comp[],12, FALSE)</f>
        <v>0</v>
      </c>
      <c r="N317">
        <f>VLOOKUP(Table55[[#This Row],[Shortname]], Comp[], 13, FALSE)</f>
        <v>0</v>
      </c>
      <c r="O317">
        <f>VLOOKUP(Table55[[#This Row],[Shortname]], Comp[], 14, FALSE)</f>
        <v>0</v>
      </c>
      <c r="P317">
        <f>VLOOKUP(Table55[[#This Row],[Shortname]], Comp[], 15, FALSE)</f>
        <v>14</v>
      </c>
      <c r="Q317">
        <f>VLOOKUP(Table55[[#This Row],[Shortname]], Comp[], 16, FALSE)</f>
        <v>0</v>
      </c>
      <c r="R317">
        <f>VLOOKUP(Table55[[#This Row],[Shortname]], Comp[], 17, FALSE)</f>
        <v>0</v>
      </c>
      <c r="S317">
        <f>VLOOKUP(Table55[[#This Row],[Shortname]], Comp[], 18, FALSE)</f>
        <v>0</v>
      </c>
      <c r="T317">
        <f>VLOOKUP(Table55[[#This Row],[Shortname]], Comp[], 19, FALSE)</f>
        <v>0</v>
      </c>
      <c r="U317">
        <f>VLOOKUP(Table55[[#This Row],[Shortname]], Comp[], 20, FALSE)</f>
        <v>0</v>
      </c>
      <c r="V317">
        <f>VLOOKUP(Table55[[#This Row],[Shortname]], Comp[], 21, FALSE)</f>
        <v>0</v>
      </c>
      <c r="W317">
        <f>VLOOKUP(Table55[[#This Row],[Shortname]], Comp[], 22, FALSE)</f>
        <v>0</v>
      </c>
      <c r="X317">
        <f>VLOOKUP(Table55[[#This Row],[Shortname]], Comp[], 23, FALSE)</f>
        <v>0</v>
      </c>
      <c r="Y317">
        <f>VLOOKUP(Table55[[#This Row],[Shortname]], Comp[], 24, FALSE)</f>
        <v>0</v>
      </c>
      <c r="Z317">
        <f>VLOOKUP(Table55[[#This Row],[Shortname]], Comp[], 25, FALSE)</f>
        <v>0</v>
      </c>
      <c r="AA317">
        <f>VLOOKUP(Table55[[#This Row],[Shortname]], Comp[], 26, FALSE)</f>
        <v>0</v>
      </c>
      <c r="AB317">
        <f>VLOOKUP(Table55[[#This Row],[Shortname]], Comp[], 27, FALSE)</f>
        <v>0</v>
      </c>
      <c r="AC317">
        <f>VLOOKUP(Table55[[#This Row],[Shortname]], Comp[], 28, FALSE)</f>
        <v>0</v>
      </c>
      <c r="AD317">
        <f>VLOOKUP(Table55[[#This Row],[Shortname]], Comp[], 29, FALSE)</f>
        <v>0</v>
      </c>
      <c r="AE317">
        <f>VLOOKUP(Table55[[#This Row],[Shortname]], Comp[], 30, FALSE)</f>
        <v>0</v>
      </c>
      <c r="AF317">
        <f>VLOOKUP(Table55[[#This Row],[Shortname]], Comp[], 31, FALSE)</f>
        <v>0</v>
      </c>
    </row>
    <row r="318" spans="1:32" x14ac:dyDescent="0.3">
      <c r="A318" s="12" t="s">
        <v>5794</v>
      </c>
      <c r="B318" s="12" t="s">
        <v>3927</v>
      </c>
      <c r="C318" s="12" t="s">
        <v>766</v>
      </c>
      <c r="D318" s="12">
        <v>1032</v>
      </c>
      <c r="E318" s="12">
        <v>1309</v>
      </c>
      <c r="F318" s="12">
        <v>1418</v>
      </c>
      <c r="H318" s="14">
        <f>VLOOKUP(Table55[[#This Row],[Shortname]], Comp[], 7, FALSE)</f>
        <v>79</v>
      </c>
      <c r="I318">
        <f>VLOOKUP(Table55[[#This Row],[Shortname]], Comp[], 8, FALSE)</f>
        <v>0</v>
      </c>
      <c r="J318">
        <f>VLOOKUP(Table55[[#This Row],[Shortname]], Comp[], 9, FALSE)</f>
        <v>5</v>
      </c>
      <c r="K318">
        <f>VLOOKUP(Table55[[#This Row],[Shortname]], Comp[], 10, FALSE)</f>
        <v>0</v>
      </c>
      <c r="L318">
        <f>VLOOKUP(Table55[[#This Row],[Shortname]], Comp[], 11, FALSE)</f>
        <v>0</v>
      </c>
      <c r="M318">
        <f>VLOOKUP(Table55[[#This Row],[Shortname]], Comp[],12, FALSE)</f>
        <v>0</v>
      </c>
      <c r="N318">
        <f>VLOOKUP(Table55[[#This Row],[Shortname]], Comp[], 13, FALSE)</f>
        <v>0</v>
      </c>
      <c r="O318">
        <f>VLOOKUP(Table55[[#This Row],[Shortname]], Comp[], 14, FALSE)</f>
        <v>2</v>
      </c>
      <c r="P318">
        <f>VLOOKUP(Table55[[#This Row],[Shortname]], Comp[], 15, FALSE)</f>
        <v>14</v>
      </c>
      <c r="Q318">
        <f>VLOOKUP(Table55[[#This Row],[Shortname]], Comp[], 16, FALSE)</f>
        <v>0</v>
      </c>
      <c r="R318">
        <f>VLOOKUP(Table55[[#This Row],[Shortname]], Comp[], 17, FALSE)</f>
        <v>0</v>
      </c>
      <c r="S318">
        <f>VLOOKUP(Table55[[#This Row],[Shortname]], Comp[], 18, FALSE)</f>
        <v>0</v>
      </c>
      <c r="T318">
        <f>VLOOKUP(Table55[[#This Row],[Shortname]], Comp[], 19, FALSE)</f>
        <v>0</v>
      </c>
      <c r="U318">
        <f>VLOOKUP(Table55[[#This Row],[Shortname]], Comp[], 20, FALSE)</f>
        <v>0</v>
      </c>
      <c r="V318">
        <f>VLOOKUP(Table55[[#This Row],[Shortname]], Comp[], 21, FALSE)</f>
        <v>0</v>
      </c>
      <c r="W318">
        <f>VLOOKUP(Table55[[#This Row],[Shortname]], Comp[], 22, FALSE)</f>
        <v>0</v>
      </c>
      <c r="X318">
        <f>VLOOKUP(Table55[[#This Row],[Shortname]], Comp[], 23, FALSE)</f>
        <v>0</v>
      </c>
      <c r="Y318">
        <f>VLOOKUP(Table55[[#This Row],[Shortname]], Comp[], 24, FALSE)</f>
        <v>0</v>
      </c>
      <c r="Z318">
        <f>VLOOKUP(Table55[[#This Row],[Shortname]], Comp[], 25, FALSE)</f>
        <v>0</v>
      </c>
      <c r="AA318">
        <f>VLOOKUP(Table55[[#This Row],[Shortname]], Comp[], 26, FALSE)</f>
        <v>0</v>
      </c>
      <c r="AB318">
        <f>VLOOKUP(Table55[[#This Row],[Shortname]], Comp[], 27, FALSE)</f>
        <v>0</v>
      </c>
      <c r="AC318">
        <f>VLOOKUP(Table55[[#This Row],[Shortname]], Comp[], 28, FALSE)</f>
        <v>0</v>
      </c>
      <c r="AD318">
        <f>VLOOKUP(Table55[[#This Row],[Shortname]], Comp[], 29, FALSE)</f>
        <v>0</v>
      </c>
      <c r="AE318">
        <f>VLOOKUP(Table55[[#This Row],[Shortname]], Comp[], 30, FALSE)</f>
        <v>0</v>
      </c>
      <c r="AF318">
        <f>VLOOKUP(Table55[[#This Row],[Shortname]], Comp[], 31, FALSE)</f>
        <v>0</v>
      </c>
    </row>
    <row r="319" spans="1:32" x14ac:dyDescent="0.3">
      <c r="A319" s="12" t="s">
        <v>5796</v>
      </c>
      <c r="B319" s="12" t="s">
        <v>1484</v>
      </c>
      <c r="C319" s="12" t="s">
        <v>774</v>
      </c>
      <c r="D319" s="12">
        <v>971</v>
      </c>
      <c r="E319" s="12">
        <v>1399</v>
      </c>
      <c r="F319" s="12">
        <v>1433</v>
      </c>
      <c r="H319" s="14">
        <f>VLOOKUP(Table55[[#This Row],[Shortname]], Comp[], 7, FALSE)</f>
        <v>79</v>
      </c>
      <c r="I319">
        <f>VLOOKUP(Table55[[#This Row],[Shortname]], Comp[], 8, FALSE)</f>
        <v>0</v>
      </c>
      <c r="J319">
        <f>VLOOKUP(Table55[[#This Row],[Shortname]], Comp[], 9, FALSE)</f>
        <v>5</v>
      </c>
      <c r="K319">
        <f>VLOOKUP(Table55[[#This Row],[Shortname]], Comp[], 10, FALSE)</f>
        <v>0</v>
      </c>
      <c r="L319">
        <f>VLOOKUP(Table55[[#This Row],[Shortname]], Comp[], 11, FALSE)</f>
        <v>0</v>
      </c>
      <c r="M319">
        <f>VLOOKUP(Table55[[#This Row],[Shortname]], Comp[],12, FALSE)</f>
        <v>0</v>
      </c>
      <c r="N319">
        <f>VLOOKUP(Table55[[#This Row],[Shortname]], Comp[], 13, FALSE)</f>
        <v>0</v>
      </c>
      <c r="O319">
        <f>VLOOKUP(Table55[[#This Row],[Shortname]], Comp[], 14, FALSE)</f>
        <v>0</v>
      </c>
      <c r="P319">
        <f>VLOOKUP(Table55[[#This Row],[Shortname]], Comp[], 15, FALSE)</f>
        <v>14</v>
      </c>
      <c r="Q319">
        <f>VLOOKUP(Table55[[#This Row],[Shortname]], Comp[], 16, FALSE)</f>
        <v>2</v>
      </c>
      <c r="R319">
        <f>VLOOKUP(Table55[[#This Row],[Shortname]], Comp[], 17, FALSE)</f>
        <v>0</v>
      </c>
      <c r="S319">
        <f>VLOOKUP(Table55[[#This Row],[Shortname]], Comp[], 18, FALSE)</f>
        <v>0</v>
      </c>
      <c r="T319">
        <f>VLOOKUP(Table55[[#This Row],[Shortname]], Comp[], 19, FALSE)</f>
        <v>0</v>
      </c>
      <c r="U319">
        <f>VLOOKUP(Table55[[#This Row],[Shortname]], Comp[], 20, FALSE)</f>
        <v>0</v>
      </c>
      <c r="V319">
        <f>VLOOKUP(Table55[[#This Row],[Shortname]], Comp[], 21, FALSE)</f>
        <v>0</v>
      </c>
      <c r="W319">
        <f>VLOOKUP(Table55[[#This Row],[Shortname]], Comp[], 22, FALSE)</f>
        <v>0</v>
      </c>
      <c r="X319">
        <f>VLOOKUP(Table55[[#This Row],[Shortname]], Comp[], 23, FALSE)</f>
        <v>0</v>
      </c>
      <c r="Y319">
        <f>VLOOKUP(Table55[[#This Row],[Shortname]], Comp[], 24, FALSE)</f>
        <v>0</v>
      </c>
      <c r="Z319">
        <f>VLOOKUP(Table55[[#This Row],[Shortname]], Comp[], 25, FALSE)</f>
        <v>0</v>
      </c>
      <c r="AA319">
        <f>VLOOKUP(Table55[[#This Row],[Shortname]], Comp[], 26, FALSE)</f>
        <v>0</v>
      </c>
      <c r="AB319">
        <f>VLOOKUP(Table55[[#This Row],[Shortname]], Comp[], 27, FALSE)</f>
        <v>0</v>
      </c>
      <c r="AC319">
        <f>VLOOKUP(Table55[[#This Row],[Shortname]], Comp[], 28, FALSE)</f>
        <v>0</v>
      </c>
      <c r="AD319">
        <f>VLOOKUP(Table55[[#This Row],[Shortname]], Comp[], 29, FALSE)</f>
        <v>0</v>
      </c>
      <c r="AE319">
        <f>VLOOKUP(Table55[[#This Row],[Shortname]], Comp[], 30, FALSE)</f>
        <v>0</v>
      </c>
      <c r="AF319">
        <f>VLOOKUP(Table55[[#This Row],[Shortname]], Comp[], 31, FALSE)</f>
        <v>0</v>
      </c>
    </row>
    <row r="320" spans="1:32" x14ac:dyDescent="0.3">
      <c r="A320" s="12" t="s">
        <v>5799</v>
      </c>
      <c r="B320" s="12" t="s">
        <v>2354</v>
      </c>
      <c r="C320" s="12" t="s">
        <v>5800</v>
      </c>
      <c r="D320" s="12">
        <v>1070</v>
      </c>
      <c r="E320" s="12">
        <v>1354</v>
      </c>
      <c r="F320" s="12">
        <v>1411</v>
      </c>
      <c r="H320" s="14">
        <f>VLOOKUP(Table55[[#This Row],[Shortname]], Comp[], 7, FALSE)</f>
        <v>79</v>
      </c>
      <c r="I320">
        <f>VLOOKUP(Table55[[#This Row],[Shortname]], Comp[], 8, FALSE)</f>
        <v>0</v>
      </c>
      <c r="J320">
        <f>VLOOKUP(Table55[[#This Row],[Shortname]], Comp[], 9, FALSE)</f>
        <v>5</v>
      </c>
      <c r="K320">
        <f>VLOOKUP(Table55[[#This Row],[Shortname]], Comp[], 10, FALSE)</f>
        <v>0</v>
      </c>
      <c r="L320">
        <f>VLOOKUP(Table55[[#This Row],[Shortname]], Comp[], 11, FALSE)</f>
        <v>0</v>
      </c>
      <c r="M320">
        <f>VLOOKUP(Table55[[#This Row],[Shortname]], Comp[],12, FALSE)</f>
        <v>0</v>
      </c>
      <c r="N320">
        <f>VLOOKUP(Table55[[#This Row],[Shortname]], Comp[], 13, FALSE)</f>
        <v>2</v>
      </c>
      <c r="O320">
        <f>VLOOKUP(Table55[[#This Row],[Shortname]], Comp[], 14, FALSE)</f>
        <v>0</v>
      </c>
      <c r="P320">
        <f>VLOOKUP(Table55[[#This Row],[Shortname]], Comp[], 15, FALSE)</f>
        <v>14</v>
      </c>
      <c r="Q320">
        <f>VLOOKUP(Table55[[#This Row],[Shortname]], Comp[], 16, FALSE)</f>
        <v>0</v>
      </c>
      <c r="R320">
        <f>VLOOKUP(Table55[[#This Row],[Shortname]], Comp[], 17, FALSE)</f>
        <v>0</v>
      </c>
      <c r="S320">
        <f>VLOOKUP(Table55[[#This Row],[Shortname]], Comp[], 18, FALSE)</f>
        <v>0</v>
      </c>
      <c r="T320">
        <f>VLOOKUP(Table55[[#This Row],[Shortname]], Comp[], 19, FALSE)</f>
        <v>0</v>
      </c>
      <c r="U320">
        <f>VLOOKUP(Table55[[#This Row],[Shortname]], Comp[], 20, FALSE)</f>
        <v>0</v>
      </c>
      <c r="V320">
        <f>VLOOKUP(Table55[[#This Row],[Shortname]], Comp[], 21, FALSE)</f>
        <v>0</v>
      </c>
      <c r="W320">
        <f>VLOOKUP(Table55[[#This Row],[Shortname]], Comp[], 22, FALSE)</f>
        <v>0</v>
      </c>
      <c r="X320">
        <f>VLOOKUP(Table55[[#This Row],[Shortname]], Comp[], 23, FALSE)</f>
        <v>0</v>
      </c>
      <c r="Y320">
        <f>VLOOKUP(Table55[[#This Row],[Shortname]], Comp[], 24, FALSE)</f>
        <v>0</v>
      </c>
      <c r="Z320">
        <f>VLOOKUP(Table55[[#This Row],[Shortname]], Comp[], 25, FALSE)</f>
        <v>0</v>
      </c>
      <c r="AA320">
        <f>VLOOKUP(Table55[[#This Row],[Shortname]], Comp[], 26, FALSE)</f>
        <v>0</v>
      </c>
      <c r="AB320">
        <f>VLOOKUP(Table55[[#This Row],[Shortname]], Comp[], 27, FALSE)</f>
        <v>0</v>
      </c>
      <c r="AC320">
        <f>VLOOKUP(Table55[[#This Row],[Shortname]], Comp[], 28, FALSE)</f>
        <v>0</v>
      </c>
      <c r="AD320">
        <f>VLOOKUP(Table55[[#This Row],[Shortname]], Comp[], 29, FALSE)</f>
        <v>0</v>
      </c>
      <c r="AE320">
        <f>VLOOKUP(Table55[[#This Row],[Shortname]], Comp[], 30, FALSE)</f>
        <v>0</v>
      </c>
      <c r="AF320">
        <f>VLOOKUP(Table55[[#This Row],[Shortname]], Comp[], 31, FALSE)</f>
        <v>0</v>
      </c>
    </row>
    <row r="321" spans="1:32" x14ac:dyDescent="0.3">
      <c r="A321" s="12" t="s">
        <v>5802</v>
      </c>
      <c r="B321" s="12" t="s">
        <v>5803</v>
      </c>
      <c r="C321" s="12" t="s">
        <v>733</v>
      </c>
      <c r="D321" s="12">
        <v>1003</v>
      </c>
      <c r="E321" s="12">
        <v>1412</v>
      </c>
      <c r="F321" s="12">
        <v>1445</v>
      </c>
      <c r="H321" s="14">
        <f>VLOOKUP(Table55[[#This Row],[Shortname]], Comp[], 7, FALSE)</f>
        <v>79</v>
      </c>
      <c r="I321">
        <f>VLOOKUP(Table55[[#This Row],[Shortname]], Comp[], 8, FALSE)</f>
        <v>0</v>
      </c>
      <c r="J321">
        <f>VLOOKUP(Table55[[#This Row],[Shortname]], Comp[], 9, FALSE)</f>
        <v>5</v>
      </c>
      <c r="K321">
        <f>VLOOKUP(Table55[[#This Row],[Shortname]], Comp[], 10, FALSE)</f>
        <v>0</v>
      </c>
      <c r="L321">
        <f>VLOOKUP(Table55[[#This Row],[Shortname]], Comp[], 11, FALSE)</f>
        <v>2</v>
      </c>
      <c r="M321">
        <f>VLOOKUP(Table55[[#This Row],[Shortname]], Comp[],12, FALSE)</f>
        <v>0</v>
      </c>
      <c r="N321">
        <f>VLOOKUP(Table55[[#This Row],[Shortname]], Comp[], 13, FALSE)</f>
        <v>0</v>
      </c>
      <c r="O321">
        <f>VLOOKUP(Table55[[#This Row],[Shortname]], Comp[], 14, FALSE)</f>
        <v>0</v>
      </c>
      <c r="P321">
        <f>VLOOKUP(Table55[[#This Row],[Shortname]], Comp[], 15, FALSE)</f>
        <v>14</v>
      </c>
      <c r="Q321">
        <f>VLOOKUP(Table55[[#This Row],[Shortname]], Comp[], 16, FALSE)</f>
        <v>0</v>
      </c>
      <c r="R321">
        <f>VLOOKUP(Table55[[#This Row],[Shortname]], Comp[], 17, FALSE)</f>
        <v>0</v>
      </c>
      <c r="S321">
        <f>VLOOKUP(Table55[[#This Row],[Shortname]], Comp[], 18, FALSE)</f>
        <v>0</v>
      </c>
      <c r="T321">
        <f>VLOOKUP(Table55[[#This Row],[Shortname]], Comp[], 19, FALSE)</f>
        <v>0</v>
      </c>
      <c r="U321">
        <f>VLOOKUP(Table55[[#This Row],[Shortname]], Comp[], 20, FALSE)</f>
        <v>0</v>
      </c>
      <c r="V321">
        <f>VLOOKUP(Table55[[#This Row],[Shortname]], Comp[], 21, FALSE)</f>
        <v>0</v>
      </c>
      <c r="W321">
        <f>VLOOKUP(Table55[[#This Row],[Shortname]], Comp[], 22, FALSE)</f>
        <v>0</v>
      </c>
      <c r="X321">
        <f>VLOOKUP(Table55[[#This Row],[Shortname]], Comp[], 23, FALSE)</f>
        <v>0</v>
      </c>
      <c r="Y321">
        <f>VLOOKUP(Table55[[#This Row],[Shortname]], Comp[], 24, FALSE)</f>
        <v>0</v>
      </c>
      <c r="Z321">
        <f>VLOOKUP(Table55[[#This Row],[Shortname]], Comp[], 25, FALSE)</f>
        <v>0</v>
      </c>
      <c r="AA321">
        <f>VLOOKUP(Table55[[#This Row],[Shortname]], Comp[], 26, FALSE)</f>
        <v>0</v>
      </c>
      <c r="AB321">
        <f>VLOOKUP(Table55[[#This Row],[Shortname]], Comp[], 27, FALSE)</f>
        <v>0</v>
      </c>
      <c r="AC321">
        <f>VLOOKUP(Table55[[#This Row],[Shortname]], Comp[], 28, FALSE)</f>
        <v>0</v>
      </c>
      <c r="AD321">
        <f>VLOOKUP(Table55[[#This Row],[Shortname]], Comp[], 29, FALSE)</f>
        <v>0</v>
      </c>
      <c r="AE321">
        <f>VLOOKUP(Table55[[#This Row],[Shortname]], Comp[], 30, FALSE)</f>
        <v>0</v>
      </c>
      <c r="AF321">
        <f>VLOOKUP(Table55[[#This Row],[Shortname]], Comp[], 31, FALSE)</f>
        <v>0</v>
      </c>
    </row>
    <row r="322" spans="1:32" x14ac:dyDescent="0.3">
      <c r="A322" s="12" t="s">
        <v>5805</v>
      </c>
      <c r="B322" s="12" t="s">
        <v>4948</v>
      </c>
      <c r="C322" s="12" t="s">
        <v>782</v>
      </c>
      <c r="D322" s="12">
        <v>979</v>
      </c>
      <c r="E322" s="12">
        <v>1409</v>
      </c>
      <c r="F322" s="12">
        <v>1433</v>
      </c>
      <c r="H322" s="14">
        <f>VLOOKUP(Table55[[#This Row],[Shortname]], Comp[], 7, FALSE)</f>
        <v>70</v>
      </c>
      <c r="I322">
        <f>VLOOKUP(Table55[[#This Row],[Shortname]], Comp[], 8, FALSE)</f>
        <v>10</v>
      </c>
      <c r="J322">
        <f>VLOOKUP(Table55[[#This Row],[Shortname]], Comp[], 9, FALSE)</f>
        <v>8</v>
      </c>
      <c r="K322">
        <f>VLOOKUP(Table55[[#This Row],[Shortname]], Comp[], 10, FALSE)</f>
        <v>0</v>
      </c>
      <c r="L322">
        <f>VLOOKUP(Table55[[#This Row],[Shortname]], Comp[], 11, FALSE)</f>
        <v>0</v>
      </c>
      <c r="M322">
        <f>VLOOKUP(Table55[[#This Row],[Shortname]], Comp[],12, FALSE)</f>
        <v>0</v>
      </c>
      <c r="N322">
        <f>VLOOKUP(Table55[[#This Row],[Shortname]], Comp[], 13, FALSE)</f>
        <v>0</v>
      </c>
      <c r="O322">
        <f>VLOOKUP(Table55[[#This Row],[Shortname]], Comp[], 14, FALSE)</f>
        <v>0</v>
      </c>
      <c r="P322">
        <f>VLOOKUP(Table55[[#This Row],[Shortname]], Comp[], 15, FALSE)</f>
        <v>12</v>
      </c>
      <c r="Q322">
        <f>VLOOKUP(Table55[[#This Row],[Shortname]], Comp[], 16, FALSE)</f>
        <v>0</v>
      </c>
      <c r="R322">
        <f>VLOOKUP(Table55[[#This Row],[Shortname]], Comp[], 17, FALSE)</f>
        <v>0</v>
      </c>
      <c r="S322">
        <f>VLOOKUP(Table55[[#This Row],[Shortname]], Comp[], 18, FALSE)</f>
        <v>0</v>
      </c>
      <c r="T322">
        <f>VLOOKUP(Table55[[#This Row],[Shortname]], Comp[], 19, FALSE)</f>
        <v>0</v>
      </c>
      <c r="U322">
        <f>VLOOKUP(Table55[[#This Row],[Shortname]], Comp[], 20, FALSE)</f>
        <v>0</v>
      </c>
      <c r="V322">
        <f>VLOOKUP(Table55[[#This Row],[Shortname]], Comp[], 21, FALSE)</f>
        <v>0</v>
      </c>
      <c r="W322">
        <f>VLOOKUP(Table55[[#This Row],[Shortname]], Comp[], 22, FALSE)</f>
        <v>0</v>
      </c>
      <c r="X322">
        <f>VLOOKUP(Table55[[#This Row],[Shortname]], Comp[], 23, FALSE)</f>
        <v>0</v>
      </c>
      <c r="Y322">
        <f>VLOOKUP(Table55[[#This Row],[Shortname]], Comp[], 24, FALSE)</f>
        <v>0</v>
      </c>
      <c r="Z322">
        <f>VLOOKUP(Table55[[#This Row],[Shortname]], Comp[], 25, FALSE)</f>
        <v>0</v>
      </c>
      <c r="AA322">
        <f>VLOOKUP(Table55[[#This Row],[Shortname]], Comp[], 26, FALSE)</f>
        <v>0</v>
      </c>
      <c r="AB322">
        <f>VLOOKUP(Table55[[#This Row],[Shortname]], Comp[], 27, FALSE)</f>
        <v>0</v>
      </c>
      <c r="AC322">
        <f>VLOOKUP(Table55[[#This Row],[Shortname]], Comp[], 28, FALSE)</f>
        <v>0</v>
      </c>
      <c r="AD322">
        <f>VLOOKUP(Table55[[#This Row],[Shortname]], Comp[], 29, FALSE)</f>
        <v>0</v>
      </c>
      <c r="AE322">
        <f>VLOOKUP(Table55[[#This Row],[Shortname]], Comp[], 30, FALSE)</f>
        <v>0</v>
      </c>
      <c r="AF322">
        <f>VLOOKUP(Table55[[#This Row],[Shortname]], Comp[], 31, FALSE)</f>
        <v>0</v>
      </c>
    </row>
    <row r="323" spans="1:32" x14ac:dyDescent="0.3">
      <c r="A323" s="12" t="s">
        <v>5808</v>
      </c>
      <c r="B323" s="12" t="s">
        <v>4849</v>
      </c>
      <c r="C323" s="12" t="s">
        <v>789</v>
      </c>
      <c r="D323" s="12">
        <v>1000</v>
      </c>
      <c r="E323" s="12">
        <v>1409</v>
      </c>
      <c r="F323" s="12">
        <v>1431</v>
      </c>
      <c r="H323" s="14">
        <f>VLOOKUP(Table55[[#This Row],[Shortname]], Comp[], 7, FALSE)</f>
        <v>60</v>
      </c>
      <c r="I323">
        <f>VLOOKUP(Table55[[#This Row],[Shortname]], Comp[], 8, FALSE)</f>
        <v>20</v>
      </c>
      <c r="J323">
        <f>VLOOKUP(Table55[[#This Row],[Shortname]], Comp[], 9, FALSE)</f>
        <v>8</v>
      </c>
      <c r="K323">
        <f>VLOOKUP(Table55[[#This Row],[Shortname]], Comp[], 10, FALSE)</f>
        <v>0</v>
      </c>
      <c r="L323">
        <f>VLOOKUP(Table55[[#This Row],[Shortname]], Comp[], 11, FALSE)</f>
        <v>0</v>
      </c>
      <c r="M323">
        <f>VLOOKUP(Table55[[#This Row],[Shortname]], Comp[],12, FALSE)</f>
        <v>0</v>
      </c>
      <c r="N323">
        <f>VLOOKUP(Table55[[#This Row],[Shortname]], Comp[], 13, FALSE)</f>
        <v>0</v>
      </c>
      <c r="O323">
        <f>VLOOKUP(Table55[[#This Row],[Shortname]], Comp[], 14, FALSE)</f>
        <v>0</v>
      </c>
      <c r="P323">
        <f>VLOOKUP(Table55[[#This Row],[Shortname]], Comp[], 15, FALSE)</f>
        <v>12</v>
      </c>
      <c r="Q323">
        <f>VLOOKUP(Table55[[#This Row],[Shortname]], Comp[], 16, FALSE)</f>
        <v>0</v>
      </c>
      <c r="R323">
        <f>VLOOKUP(Table55[[#This Row],[Shortname]], Comp[], 17, FALSE)</f>
        <v>0</v>
      </c>
      <c r="S323">
        <f>VLOOKUP(Table55[[#This Row],[Shortname]], Comp[], 18, FALSE)</f>
        <v>0</v>
      </c>
      <c r="T323">
        <f>VLOOKUP(Table55[[#This Row],[Shortname]], Comp[], 19, FALSE)</f>
        <v>0</v>
      </c>
      <c r="U323">
        <f>VLOOKUP(Table55[[#This Row],[Shortname]], Comp[], 20, FALSE)</f>
        <v>0</v>
      </c>
      <c r="V323">
        <f>VLOOKUP(Table55[[#This Row],[Shortname]], Comp[], 21, FALSE)</f>
        <v>0</v>
      </c>
      <c r="W323">
        <f>VLOOKUP(Table55[[#This Row],[Shortname]], Comp[], 22, FALSE)</f>
        <v>0</v>
      </c>
      <c r="X323">
        <f>VLOOKUP(Table55[[#This Row],[Shortname]], Comp[], 23, FALSE)</f>
        <v>0</v>
      </c>
      <c r="Y323">
        <f>VLOOKUP(Table55[[#This Row],[Shortname]], Comp[], 24, FALSE)</f>
        <v>0</v>
      </c>
      <c r="Z323">
        <f>VLOOKUP(Table55[[#This Row],[Shortname]], Comp[], 25, FALSE)</f>
        <v>0</v>
      </c>
      <c r="AA323">
        <f>VLOOKUP(Table55[[#This Row],[Shortname]], Comp[], 26, FALSE)</f>
        <v>0</v>
      </c>
      <c r="AB323">
        <f>VLOOKUP(Table55[[#This Row],[Shortname]], Comp[], 27, FALSE)</f>
        <v>0</v>
      </c>
      <c r="AC323">
        <f>VLOOKUP(Table55[[#This Row],[Shortname]], Comp[], 28, FALSE)</f>
        <v>0</v>
      </c>
      <c r="AD323">
        <f>VLOOKUP(Table55[[#This Row],[Shortname]], Comp[], 29, FALSE)</f>
        <v>0</v>
      </c>
      <c r="AE323">
        <f>VLOOKUP(Table55[[#This Row],[Shortname]], Comp[], 30, FALSE)</f>
        <v>0</v>
      </c>
      <c r="AF323">
        <f>VLOOKUP(Table55[[#This Row],[Shortname]], Comp[], 31, FALSE)</f>
        <v>0</v>
      </c>
    </row>
    <row r="324" spans="1:32" x14ac:dyDescent="0.3">
      <c r="A324" s="12" t="s">
        <v>5810</v>
      </c>
      <c r="B324" s="12" t="s">
        <v>4928</v>
      </c>
      <c r="C324" s="12" t="s">
        <v>797</v>
      </c>
      <c r="D324" s="12">
        <v>1032</v>
      </c>
      <c r="E324" s="12">
        <v>1408</v>
      </c>
      <c r="F324" s="12">
        <v>1429</v>
      </c>
      <c r="H324" s="14">
        <f>VLOOKUP(Table55[[#This Row],[Shortname]], Comp[], 7, FALSE)</f>
        <v>50</v>
      </c>
      <c r="I324">
        <f>VLOOKUP(Table55[[#This Row],[Shortname]], Comp[], 8, FALSE)</f>
        <v>30</v>
      </c>
      <c r="J324">
        <f>VLOOKUP(Table55[[#This Row],[Shortname]], Comp[], 9, FALSE)</f>
        <v>8</v>
      </c>
      <c r="K324">
        <f>VLOOKUP(Table55[[#This Row],[Shortname]], Comp[], 10, FALSE)</f>
        <v>0</v>
      </c>
      <c r="L324">
        <f>VLOOKUP(Table55[[#This Row],[Shortname]], Comp[], 11, FALSE)</f>
        <v>0</v>
      </c>
      <c r="M324">
        <f>VLOOKUP(Table55[[#This Row],[Shortname]], Comp[],12, FALSE)</f>
        <v>0</v>
      </c>
      <c r="N324">
        <f>VLOOKUP(Table55[[#This Row],[Shortname]], Comp[], 13, FALSE)</f>
        <v>0</v>
      </c>
      <c r="O324">
        <f>VLOOKUP(Table55[[#This Row],[Shortname]], Comp[], 14, FALSE)</f>
        <v>0</v>
      </c>
      <c r="P324">
        <f>VLOOKUP(Table55[[#This Row],[Shortname]], Comp[], 15, FALSE)</f>
        <v>12</v>
      </c>
      <c r="Q324">
        <f>VLOOKUP(Table55[[#This Row],[Shortname]], Comp[], 16, FALSE)</f>
        <v>0</v>
      </c>
      <c r="R324">
        <f>VLOOKUP(Table55[[#This Row],[Shortname]], Comp[], 17, FALSE)</f>
        <v>0</v>
      </c>
      <c r="S324">
        <f>VLOOKUP(Table55[[#This Row],[Shortname]], Comp[], 18, FALSE)</f>
        <v>0</v>
      </c>
      <c r="T324">
        <f>VLOOKUP(Table55[[#This Row],[Shortname]], Comp[], 19, FALSE)</f>
        <v>0</v>
      </c>
      <c r="U324">
        <f>VLOOKUP(Table55[[#This Row],[Shortname]], Comp[], 20, FALSE)</f>
        <v>0</v>
      </c>
      <c r="V324">
        <f>VLOOKUP(Table55[[#This Row],[Shortname]], Comp[], 21, FALSE)</f>
        <v>0</v>
      </c>
      <c r="W324">
        <f>VLOOKUP(Table55[[#This Row],[Shortname]], Comp[], 22, FALSE)</f>
        <v>0</v>
      </c>
      <c r="X324">
        <f>VLOOKUP(Table55[[#This Row],[Shortname]], Comp[], 23, FALSE)</f>
        <v>0</v>
      </c>
      <c r="Y324">
        <f>VLOOKUP(Table55[[#This Row],[Shortname]], Comp[], 24, FALSE)</f>
        <v>0</v>
      </c>
      <c r="Z324">
        <f>VLOOKUP(Table55[[#This Row],[Shortname]], Comp[], 25, FALSE)</f>
        <v>0</v>
      </c>
      <c r="AA324">
        <f>VLOOKUP(Table55[[#This Row],[Shortname]], Comp[], 26, FALSE)</f>
        <v>0</v>
      </c>
      <c r="AB324">
        <f>VLOOKUP(Table55[[#This Row],[Shortname]], Comp[], 27, FALSE)</f>
        <v>0</v>
      </c>
      <c r="AC324">
        <f>VLOOKUP(Table55[[#This Row],[Shortname]], Comp[], 28, FALSE)</f>
        <v>0</v>
      </c>
      <c r="AD324">
        <f>VLOOKUP(Table55[[#This Row],[Shortname]], Comp[], 29, FALSE)</f>
        <v>0</v>
      </c>
      <c r="AE324">
        <f>VLOOKUP(Table55[[#This Row],[Shortname]], Comp[], 30, FALSE)</f>
        <v>0</v>
      </c>
      <c r="AF324">
        <f>VLOOKUP(Table55[[#This Row],[Shortname]], Comp[], 31, FALSE)</f>
        <v>0</v>
      </c>
    </row>
    <row r="325" spans="1:32" x14ac:dyDescent="0.3">
      <c r="A325" s="12" t="s">
        <v>5812</v>
      </c>
      <c r="B325" s="12" t="s">
        <v>847</v>
      </c>
      <c r="C325" s="12" t="s">
        <v>805</v>
      </c>
      <c r="D325" s="12">
        <v>1119</v>
      </c>
      <c r="E325" s="12">
        <v>1349</v>
      </c>
      <c r="F325" s="12">
        <v>1395</v>
      </c>
      <c r="H325" s="14">
        <f>VLOOKUP(Table55[[#This Row],[Shortname]], Comp[], 7, FALSE)</f>
        <v>51</v>
      </c>
      <c r="I325">
        <f>VLOOKUP(Table55[[#This Row],[Shortname]], Comp[], 8, FALSE)</f>
        <v>30</v>
      </c>
      <c r="J325">
        <f>VLOOKUP(Table55[[#This Row],[Shortname]], Comp[], 9, FALSE)</f>
        <v>5</v>
      </c>
      <c r="K325">
        <f>VLOOKUP(Table55[[#This Row],[Shortname]], Comp[], 10, FALSE)</f>
        <v>0</v>
      </c>
      <c r="L325">
        <f>VLOOKUP(Table55[[#This Row],[Shortname]], Comp[], 11, FALSE)</f>
        <v>0</v>
      </c>
      <c r="M325">
        <f>VLOOKUP(Table55[[#This Row],[Shortname]], Comp[],12, FALSE)</f>
        <v>0</v>
      </c>
      <c r="N325">
        <f>VLOOKUP(Table55[[#This Row],[Shortname]], Comp[], 13, FALSE)</f>
        <v>4</v>
      </c>
      <c r="O325">
        <f>VLOOKUP(Table55[[#This Row],[Shortname]], Comp[], 14, FALSE)</f>
        <v>0</v>
      </c>
      <c r="P325">
        <f>VLOOKUP(Table55[[#This Row],[Shortname]], Comp[], 15, FALSE)</f>
        <v>10</v>
      </c>
      <c r="Q325">
        <f>VLOOKUP(Table55[[#This Row],[Shortname]], Comp[], 16, FALSE)</f>
        <v>0</v>
      </c>
      <c r="R325">
        <f>VLOOKUP(Table55[[#This Row],[Shortname]], Comp[], 17, FALSE)</f>
        <v>0</v>
      </c>
      <c r="S325">
        <f>VLOOKUP(Table55[[#This Row],[Shortname]], Comp[], 18, FALSE)</f>
        <v>0</v>
      </c>
      <c r="T325">
        <f>VLOOKUP(Table55[[#This Row],[Shortname]], Comp[], 19, FALSE)</f>
        <v>0</v>
      </c>
      <c r="U325">
        <f>VLOOKUP(Table55[[#This Row],[Shortname]], Comp[], 20, FALSE)</f>
        <v>0</v>
      </c>
      <c r="V325">
        <f>VLOOKUP(Table55[[#This Row],[Shortname]], Comp[], 21, FALSE)</f>
        <v>0</v>
      </c>
      <c r="W325">
        <f>VLOOKUP(Table55[[#This Row],[Shortname]], Comp[], 22, FALSE)</f>
        <v>0</v>
      </c>
      <c r="X325">
        <f>VLOOKUP(Table55[[#This Row],[Shortname]], Comp[], 23, FALSE)</f>
        <v>0</v>
      </c>
      <c r="Y325">
        <f>VLOOKUP(Table55[[#This Row],[Shortname]], Comp[], 24, FALSE)</f>
        <v>0</v>
      </c>
      <c r="Z325">
        <f>VLOOKUP(Table55[[#This Row],[Shortname]], Comp[], 25, FALSE)</f>
        <v>0</v>
      </c>
      <c r="AA325">
        <f>VLOOKUP(Table55[[#This Row],[Shortname]], Comp[], 26, FALSE)</f>
        <v>0</v>
      </c>
      <c r="AB325">
        <f>VLOOKUP(Table55[[#This Row],[Shortname]], Comp[], 27, FALSE)</f>
        <v>0</v>
      </c>
      <c r="AC325">
        <f>VLOOKUP(Table55[[#This Row],[Shortname]], Comp[], 28, FALSE)</f>
        <v>0</v>
      </c>
      <c r="AD325">
        <f>VLOOKUP(Table55[[#This Row],[Shortname]], Comp[], 29, FALSE)</f>
        <v>0</v>
      </c>
      <c r="AE325">
        <f>VLOOKUP(Table55[[#This Row],[Shortname]], Comp[], 30, FALSE)</f>
        <v>0</v>
      </c>
      <c r="AF325">
        <f>VLOOKUP(Table55[[#This Row],[Shortname]], Comp[], 31, FALSE)</f>
        <v>0</v>
      </c>
    </row>
    <row r="326" spans="1:32" x14ac:dyDescent="0.3">
      <c r="A326" s="12" t="s">
        <v>5815</v>
      </c>
      <c r="B326" s="12" t="s">
        <v>856</v>
      </c>
      <c r="C326" s="12" t="s">
        <v>812</v>
      </c>
      <c r="D326" s="12">
        <v>1148</v>
      </c>
      <c r="E326" s="12">
        <v>1349</v>
      </c>
      <c r="F326" s="12">
        <v>1395</v>
      </c>
      <c r="H326" s="14">
        <f>VLOOKUP(Table55[[#This Row],[Shortname]], Comp[], 7, FALSE)</f>
        <v>51</v>
      </c>
      <c r="I326">
        <f>VLOOKUP(Table55[[#This Row],[Shortname]], Comp[], 8, FALSE)</f>
        <v>30</v>
      </c>
      <c r="J326">
        <f>VLOOKUP(Table55[[#This Row],[Shortname]], Comp[], 9, FALSE)</f>
        <v>7.5</v>
      </c>
      <c r="K326">
        <f>VLOOKUP(Table55[[#This Row],[Shortname]], Comp[], 10, FALSE)</f>
        <v>0</v>
      </c>
      <c r="L326">
        <f>VLOOKUP(Table55[[#This Row],[Shortname]], Comp[], 11, FALSE)</f>
        <v>0</v>
      </c>
      <c r="M326">
        <f>VLOOKUP(Table55[[#This Row],[Shortname]], Comp[],12, FALSE)</f>
        <v>0</v>
      </c>
      <c r="N326">
        <f>VLOOKUP(Table55[[#This Row],[Shortname]], Comp[], 13, FALSE)</f>
        <v>4</v>
      </c>
      <c r="O326">
        <f>VLOOKUP(Table55[[#This Row],[Shortname]], Comp[], 14, FALSE)</f>
        <v>0</v>
      </c>
      <c r="P326">
        <f>VLOOKUP(Table55[[#This Row],[Shortname]], Comp[], 15, FALSE)</f>
        <v>7.5</v>
      </c>
      <c r="Q326">
        <f>VLOOKUP(Table55[[#This Row],[Shortname]], Comp[], 16, FALSE)</f>
        <v>0</v>
      </c>
      <c r="R326">
        <f>VLOOKUP(Table55[[#This Row],[Shortname]], Comp[], 17, FALSE)</f>
        <v>0</v>
      </c>
      <c r="S326">
        <f>VLOOKUP(Table55[[#This Row],[Shortname]], Comp[], 18, FALSE)</f>
        <v>0</v>
      </c>
      <c r="T326">
        <f>VLOOKUP(Table55[[#This Row],[Shortname]], Comp[], 19, FALSE)</f>
        <v>0</v>
      </c>
      <c r="U326">
        <f>VLOOKUP(Table55[[#This Row],[Shortname]], Comp[], 20, FALSE)</f>
        <v>0</v>
      </c>
      <c r="V326">
        <f>VLOOKUP(Table55[[#This Row],[Shortname]], Comp[], 21, FALSE)</f>
        <v>0</v>
      </c>
      <c r="W326">
        <f>VLOOKUP(Table55[[#This Row],[Shortname]], Comp[], 22, FALSE)</f>
        <v>0</v>
      </c>
      <c r="X326">
        <f>VLOOKUP(Table55[[#This Row],[Shortname]], Comp[], 23, FALSE)</f>
        <v>0</v>
      </c>
      <c r="Y326">
        <f>VLOOKUP(Table55[[#This Row],[Shortname]], Comp[], 24, FALSE)</f>
        <v>0</v>
      </c>
      <c r="Z326">
        <f>VLOOKUP(Table55[[#This Row],[Shortname]], Comp[], 25, FALSE)</f>
        <v>0</v>
      </c>
      <c r="AA326">
        <f>VLOOKUP(Table55[[#This Row],[Shortname]], Comp[], 26, FALSE)</f>
        <v>0</v>
      </c>
      <c r="AB326">
        <f>VLOOKUP(Table55[[#This Row],[Shortname]], Comp[], 27, FALSE)</f>
        <v>0</v>
      </c>
      <c r="AC326">
        <f>VLOOKUP(Table55[[#This Row],[Shortname]], Comp[], 28, FALSE)</f>
        <v>0</v>
      </c>
      <c r="AD326">
        <f>VLOOKUP(Table55[[#This Row],[Shortname]], Comp[], 29, FALSE)</f>
        <v>0</v>
      </c>
      <c r="AE326">
        <f>VLOOKUP(Table55[[#This Row],[Shortname]], Comp[], 30, FALSE)</f>
        <v>0</v>
      </c>
      <c r="AF326">
        <f>VLOOKUP(Table55[[#This Row],[Shortname]], Comp[], 31, FALSE)</f>
        <v>0</v>
      </c>
    </row>
    <row r="327" spans="1:32" x14ac:dyDescent="0.3">
      <c r="A327" s="12" t="s">
        <v>5817</v>
      </c>
      <c r="B327" s="12" t="s">
        <v>864</v>
      </c>
      <c r="C327" s="12" t="s">
        <v>819</v>
      </c>
      <c r="D327" s="12">
        <v>1172</v>
      </c>
      <c r="E327" s="12">
        <v>1349</v>
      </c>
      <c r="F327" s="12">
        <v>1395</v>
      </c>
      <c r="H327" s="14">
        <f>VLOOKUP(Table55[[#This Row],[Shortname]], Comp[], 7, FALSE)</f>
        <v>51</v>
      </c>
      <c r="I327">
        <f>VLOOKUP(Table55[[#This Row],[Shortname]], Comp[], 8, FALSE)</f>
        <v>30</v>
      </c>
      <c r="J327">
        <f>VLOOKUP(Table55[[#This Row],[Shortname]], Comp[], 9, FALSE)</f>
        <v>10</v>
      </c>
      <c r="K327">
        <f>VLOOKUP(Table55[[#This Row],[Shortname]], Comp[], 10, FALSE)</f>
        <v>0</v>
      </c>
      <c r="L327">
        <f>VLOOKUP(Table55[[#This Row],[Shortname]], Comp[], 11, FALSE)</f>
        <v>0</v>
      </c>
      <c r="M327">
        <f>VLOOKUP(Table55[[#This Row],[Shortname]], Comp[],12, FALSE)</f>
        <v>0</v>
      </c>
      <c r="N327">
        <f>VLOOKUP(Table55[[#This Row],[Shortname]], Comp[], 13, FALSE)</f>
        <v>4</v>
      </c>
      <c r="O327">
        <f>VLOOKUP(Table55[[#This Row],[Shortname]], Comp[], 14, FALSE)</f>
        <v>0</v>
      </c>
      <c r="P327">
        <f>VLOOKUP(Table55[[#This Row],[Shortname]], Comp[], 15, FALSE)</f>
        <v>5</v>
      </c>
      <c r="Q327">
        <f>VLOOKUP(Table55[[#This Row],[Shortname]], Comp[], 16, FALSE)</f>
        <v>0</v>
      </c>
      <c r="R327">
        <f>VLOOKUP(Table55[[#This Row],[Shortname]], Comp[], 17, FALSE)</f>
        <v>0</v>
      </c>
      <c r="S327">
        <f>VLOOKUP(Table55[[#This Row],[Shortname]], Comp[], 18, FALSE)</f>
        <v>0</v>
      </c>
      <c r="T327">
        <f>VLOOKUP(Table55[[#This Row],[Shortname]], Comp[], 19, FALSE)</f>
        <v>0</v>
      </c>
      <c r="U327">
        <f>VLOOKUP(Table55[[#This Row],[Shortname]], Comp[], 20, FALSE)</f>
        <v>0</v>
      </c>
      <c r="V327">
        <f>VLOOKUP(Table55[[#This Row],[Shortname]], Comp[], 21, FALSE)</f>
        <v>0</v>
      </c>
      <c r="W327">
        <f>VLOOKUP(Table55[[#This Row],[Shortname]], Comp[], 22, FALSE)</f>
        <v>0</v>
      </c>
      <c r="X327">
        <f>VLOOKUP(Table55[[#This Row],[Shortname]], Comp[], 23, FALSE)</f>
        <v>0</v>
      </c>
      <c r="Y327">
        <f>VLOOKUP(Table55[[#This Row],[Shortname]], Comp[], 24, FALSE)</f>
        <v>0</v>
      </c>
      <c r="Z327">
        <f>VLOOKUP(Table55[[#This Row],[Shortname]], Comp[], 25, FALSE)</f>
        <v>0</v>
      </c>
      <c r="AA327">
        <f>VLOOKUP(Table55[[#This Row],[Shortname]], Comp[], 26, FALSE)</f>
        <v>0</v>
      </c>
      <c r="AB327">
        <f>VLOOKUP(Table55[[#This Row],[Shortname]], Comp[], 27, FALSE)</f>
        <v>0</v>
      </c>
      <c r="AC327">
        <f>VLOOKUP(Table55[[#This Row],[Shortname]], Comp[], 28, FALSE)</f>
        <v>0</v>
      </c>
      <c r="AD327">
        <f>VLOOKUP(Table55[[#This Row],[Shortname]], Comp[], 29, FALSE)</f>
        <v>0</v>
      </c>
      <c r="AE327">
        <f>VLOOKUP(Table55[[#This Row],[Shortname]], Comp[], 30, FALSE)</f>
        <v>0</v>
      </c>
      <c r="AF327">
        <f>VLOOKUP(Table55[[#This Row],[Shortname]], Comp[], 31, FALSE)</f>
        <v>0</v>
      </c>
    </row>
    <row r="328" spans="1:32" x14ac:dyDescent="0.3">
      <c r="A328" s="12" t="s">
        <v>5820</v>
      </c>
      <c r="B328" s="12" t="s">
        <v>6771</v>
      </c>
      <c r="C328" s="12" t="s">
        <v>833</v>
      </c>
      <c r="D328" s="12">
        <v>1242</v>
      </c>
      <c r="E328" s="12">
        <v>1313</v>
      </c>
      <c r="F328" s="12">
        <v>1367</v>
      </c>
      <c r="H328" s="14">
        <f>VLOOKUP(Table55[[#This Row],[Shortname]], Comp[], 7, FALSE)</f>
        <v>49</v>
      </c>
      <c r="I328">
        <f>VLOOKUP(Table55[[#This Row],[Shortname]], Comp[], 8, FALSE)</f>
        <v>30</v>
      </c>
      <c r="J328">
        <f>VLOOKUP(Table55[[#This Row],[Shortname]], Comp[], 9, FALSE)</f>
        <v>10</v>
      </c>
      <c r="K328">
        <f>VLOOKUP(Table55[[#This Row],[Shortname]], Comp[], 10, FALSE)</f>
        <v>0</v>
      </c>
      <c r="L328">
        <f>VLOOKUP(Table55[[#This Row],[Shortname]], Comp[], 11, FALSE)</f>
        <v>0</v>
      </c>
      <c r="M328">
        <f>VLOOKUP(Table55[[#This Row],[Shortname]], Comp[],12, FALSE)</f>
        <v>2</v>
      </c>
      <c r="N328">
        <f>VLOOKUP(Table55[[#This Row],[Shortname]], Comp[], 13, FALSE)</f>
        <v>4</v>
      </c>
      <c r="O328">
        <f>VLOOKUP(Table55[[#This Row],[Shortname]], Comp[], 14, FALSE)</f>
        <v>0</v>
      </c>
      <c r="P328">
        <f>VLOOKUP(Table55[[#This Row],[Shortname]], Comp[], 15, FALSE)</f>
        <v>5</v>
      </c>
      <c r="Q328">
        <f>VLOOKUP(Table55[[#This Row],[Shortname]], Comp[], 16, FALSE)</f>
        <v>0</v>
      </c>
      <c r="R328">
        <f>VLOOKUP(Table55[[#This Row],[Shortname]], Comp[], 17, FALSE)</f>
        <v>0</v>
      </c>
      <c r="S328">
        <f>VLOOKUP(Table55[[#This Row],[Shortname]], Comp[], 18, FALSE)</f>
        <v>0</v>
      </c>
      <c r="T328">
        <f>VLOOKUP(Table55[[#This Row],[Shortname]], Comp[], 19, FALSE)</f>
        <v>0</v>
      </c>
      <c r="U328">
        <f>VLOOKUP(Table55[[#This Row],[Shortname]], Comp[], 20, FALSE)</f>
        <v>0</v>
      </c>
      <c r="V328">
        <f>VLOOKUP(Table55[[#This Row],[Shortname]], Comp[], 21, FALSE)</f>
        <v>0</v>
      </c>
      <c r="W328">
        <f>VLOOKUP(Table55[[#This Row],[Shortname]], Comp[], 22, FALSE)</f>
        <v>0</v>
      </c>
      <c r="X328">
        <f>VLOOKUP(Table55[[#This Row],[Shortname]], Comp[], 23, FALSE)</f>
        <v>0</v>
      </c>
      <c r="Y328">
        <f>VLOOKUP(Table55[[#This Row],[Shortname]], Comp[], 24, FALSE)</f>
        <v>0</v>
      </c>
      <c r="Z328">
        <f>VLOOKUP(Table55[[#This Row],[Shortname]], Comp[], 25, FALSE)</f>
        <v>0</v>
      </c>
      <c r="AA328">
        <f>VLOOKUP(Table55[[#This Row],[Shortname]], Comp[], 26, FALSE)</f>
        <v>0</v>
      </c>
      <c r="AB328">
        <f>VLOOKUP(Table55[[#This Row],[Shortname]], Comp[], 27, FALSE)</f>
        <v>0</v>
      </c>
      <c r="AC328">
        <f>VLOOKUP(Table55[[#This Row],[Shortname]], Comp[], 28, FALSE)</f>
        <v>0</v>
      </c>
      <c r="AD328">
        <f>VLOOKUP(Table55[[#This Row],[Shortname]], Comp[], 29, FALSE)</f>
        <v>0</v>
      </c>
      <c r="AE328">
        <f>VLOOKUP(Table55[[#This Row],[Shortname]], Comp[], 30, FALSE)</f>
        <v>0</v>
      </c>
      <c r="AF328">
        <f>VLOOKUP(Table55[[#This Row],[Shortname]], Comp[], 31, FALSE)</f>
        <v>0</v>
      </c>
    </row>
    <row r="329" spans="1:32" x14ac:dyDescent="0.3">
      <c r="A329" s="12" t="s">
        <v>5864</v>
      </c>
      <c r="B329" s="12" t="s">
        <v>5865</v>
      </c>
      <c r="C329" s="12" t="s">
        <v>5866</v>
      </c>
      <c r="D329" s="12">
        <v>1082</v>
      </c>
      <c r="E329" s="12">
        <v>1364</v>
      </c>
      <c r="H329" s="14">
        <f>VLOOKUP(Table55[[#This Row],[Shortname]], Comp[], 7, FALSE)</f>
        <v>50.830000000000005</v>
      </c>
      <c r="I329">
        <f>VLOOKUP(Table55[[#This Row],[Shortname]], Comp[], 8, FALSE)</f>
        <v>30</v>
      </c>
      <c r="J329">
        <f>VLOOKUP(Table55[[#This Row],[Shortname]], Comp[], 9, FALSE)</f>
        <v>9</v>
      </c>
      <c r="K329">
        <f>VLOOKUP(Table55[[#This Row],[Shortname]], Comp[], 10, FALSE)</f>
        <v>0</v>
      </c>
      <c r="L329">
        <f>VLOOKUP(Table55[[#This Row],[Shortname]], Comp[], 11, FALSE)</f>
        <v>6</v>
      </c>
      <c r="M329">
        <f>VLOOKUP(Table55[[#This Row],[Shortname]], Comp[],12, FALSE)</f>
        <v>3</v>
      </c>
      <c r="N329">
        <f>VLOOKUP(Table55[[#This Row],[Shortname]], Comp[], 13, FALSE)</f>
        <v>1</v>
      </c>
      <c r="O329">
        <f>VLOOKUP(Table55[[#This Row],[Shortname]], Comp[], 14, FALSE)</f>
        <v>0</v>
      </c>
      <c r="P329">
        <f>VLOOKUP(Table55[[#This Row],[Shortname]], Comp[], 15, FALSE)</f>
        <v>0</v>
      </c>
      <c r="Q329">
        <f>VLOOKUP(Table55[[#This Row],[Shortname]], Comp[], 16, FALSE)</f>
        <v>0</v>
      </c>
      <c r="R329">
        <f>VLOOKUP(Table55[[#This Row],[Shortname]], Comp[], 17, FALSE)</f>
        <v>0</v>
      </c>
      <c r="S329">
        <f>VLOOKUP(Table55[[#This Row],[Shortname]], Comp[], 18, FALSE)</f>
        <v>0.05</v>
      </c>
      <c r="T329">
        <f>VLOOKUP(Table55[[#This Row],[Shortname]], Comp[], 19, FALSE)</f>
        <v>0.12</v>
      </c>
      <c r="U329">
        <f>VLOOKUP(Table55[[#This Row],[Shortname]], Comp[], 20, FALSE)</f>
        <v>0</v>
      </c>
      <c r="V329">
        <f>VLOOKUP(Table55[[#This Row],[Shortname]], Comp[], 21, FALSE)</f>
        <v>0</v>
      </c>
      <c r="W329">
        <f>VLOOKUP(Table55[[#This Row],[Shortname]], Comp[], 22, FALSE)</f>
        <v>0</v>
      </c>
      <c r="X329">
        <f>VLOOKUP(Table55[[#This Row],[Shortname]], Comp[], 23, FALSE)</f>
        <v>0</v>
      </c>
      <c r="Y329">
        <f>VLOOKUP(Table55[[#This Row],[Shortname]], Comp[], 24, FALSE)</f>
        <v>0</v>
      </c>
      <c r="Z329">
        <f>VLOOKUP(Table55[[#This Row],[Shortname]], Comp[], 25, FALSE)</f>
        <v>0</v>
      </c>
      <c r="AA329">
        <f>VLOOKUP(Table55[[#This Row],[Shortname]], Comp[], 26, FALSE)</f>
        <v>0</v>
      </c>
      <c r="AB329">
        <f>VLOOKUP(Table55[[#This Row],[Shortname]], Comp[], 27, FALSE)</f>
        <v>0</v>
      </c>
      <c r="AC329">
        <f>VLOOKUP(Table55[[#This Row],[Shortname]], Comp[], 28, FALSE)</f>
        <v>0</v>
      </c>
      <c r="AD329">
        <f>VLOOKUP(Table55[[#This Row],[Shortname]], Comp[], 29, FALSE)</f>
        <v>0</v>
      </c>
      <c r="AE329">
        <f>VLOOKUP(Table55[[#This Row],[Shortname]], Comp[], 30, FALSE)</f>
        <v>0</v>
      </c>
      <c r="AF329">
        <f>VLOOKUP(Table55[[#This Row],[Shortname]], Comp[], 31, FALSE)</f>
        <v>0</v>
      </c>
    </row>
    <row r="330" spans="1:32" x14ac:dyDescent="0.3">
      <c r="A330" s="12" t="s">
        <v>5869</v>
      </c>
      <c r="B330" s="12" t="s">
        <v>5870</v>
      </c>
      <c r="C330" s="12" t="s">
        <v>5871</v>
      </c>
      <c r="D330" s="12">
        <v>1118</v>
      </c>
      <c r="E330" s="12">
        <v>1381</v>
      </c>
      <c r="H330" s="14">
        <f>VLOOKUP(Table55[[#This Row],[Shortname]], Comp[], 7, FALSE)</f>
        <v>44.830000000000005</v>
      </c>
      <c r="I330">
        <f>VLOOKUP(Table55[[#This Row],[Shortname]], Comp[], 8, FALSE)</f>
        <v>30</v>
      </c>
      <c r="J330">
        <f>VLOOKUP(Table55[[#This Row],[Shortname]], Comp[], 9, FALSE)</f>
        <v>9</v>
      </c>
      <c r="K330">
        <f>VLOOKUP(Table55[[#This Row],[Shortname]], Comp[], 10, FALSE)</f>
        <v>6</v>
      </c>
      <c r="L330">
        <f>VLOOKUP(Table55[[#This Row],[Shortname]], Comp[], 11, FALSE)</f>
        <v>6</v>
      </c>
      <c r="M330">
        <f>VLOOKUP(Table55[[#This Row],[Shortname]], Comp[],12, FALSE)</f>
        <v>3</v>
      </c>
      <c r="N330">
        <f>VLOOKUP(Table55[[#This Row],[Shortname]], Comp[], 13, FALSE)</f>
        <v>1</v>
      </c>
      <c r="O330">
        <f>VLOOKUP(Table55[[#This Row],[Shortname]], Comp[], 14, FALSE)</f>
        <v>0</v>
      </c>
      <c r="P330">
        <f>VLOOKUP(Table55[[#This Row],[Shortname]], Comp[], 15, FALSE)</f>
        <v>0</v>
      </c>
      <c r="Q330">
        <f>VLOOKUP(Table55[[#This Row],[Shortname]], Comp[], 16, FALSE)</f>
        <v>0</v>
      </c>
      <c r="R330">
        <f>VLOOKUP(Table55[[#This Row],[Shortname]], Comp[], 17, FALSE)</f>
        <v>0</v>
      </c>
      <c r="S330">
        <f>VLOOKUP(Table55[[#This Row],[Shortname]], Comp[], 18, FALSE)</f>
        <v>0.05</v>
      </c>
      <c r="T330">
        <f>VLOOKUP(Table55[[#This Row],[Shortname]], Comp[], 19, FALSE)</f>
        <v>0.12</v>
      </c>
      <c r="U330">
        <f>VLOOKUP(Table55[[#This Row],[Shortname]], Comp[], 20, FALSE)</f>
        <v>0</v>
      </c>
      <c r="V330">
        <f>VLOOKUP(Table55[[#This Row],[Shortname]], Comp[], 21, FALSE)</f>
        <v>0</v>
      </c>
      <c r="W330">
        <f>VLOOKUP(Table55[[#This Row],[Shortname]], Comp[], 22, FALSE)</f>
        <v>0</v>
      </c>
      <c r="X330">
        <f>VLOOKUP(Table55[[#This Row],[Shortname]], Comp[], 23, FALSE)</f>
        <v>0</v>
      </c>
      <c r="Y330">
        <f>VLOOKUP(Table55[[#This Row],[Shortname]], Comp[], 24, FALSE)</f>
        <v>0</v>
      </c>
      <c r="Z330">
        <f>VLOOKUP(Table55[[#This Row],[Shortname]], Comp[], 25, FALSE)</f>
        <v>0</v>
      </c>
      <c r="AA330">
        <f>VLOOKUP(Table55[[#This Row],[Shortname]], Comp[], 26, FALSE)</f>
        <v>0</v>
      </c>
      <c r="AB330">
        <f>VLOOKUP(Table55[[#This Row],[Shortname]], Comp[], 27, FALSE)</f>
        <v>0</v>
      </c>
      <c r="AC330">
        <f>VLOOKUP(Table55[[#This Row],[Shortname]], Comp[], 28, FALSE)</f>
        <v>0</v>
      </c>
      <c r="AD330">
        <f>VLOOKUP(Table55[[#This Row],[Shortname]], Comp[], 29, FALSE)</f>
        <v>0</v>
      </c>
      <c r="AE330">
        <f>VLOOKUP(Table55[[#This Row],[Shortname]], Comp[], 30, FALSE)</f>
        <v>0</v>
      </c>
      <c r="AF330">
        <f>VLOOKUP(Table55[[#This Row],[Shortname]], Comp[], 31, FALSE)</f>
        <v>0</v>
      </c>
    </row>
    <row r="331" spans="1:32" x14ac:dyDescent="0.3">
      <c r="A331" s="12" t="s">
        <v>5873</v>
      </c>
      <c r="B331" s="12" t="s">
        <v>5874</v>
      </c>
      <c r="C331" s="12" t="s">
        <v>5875</v>
      </c>
      <c r="D331" s="12">
        <v>1138</v>
      </c>
      <c r="E331" s="12">
        <v>1394</v>
      </c>
      <c r="H331" s="14">
        <f>VLOOKUP(Table55[[#This Row],[Shortname]], Comp[], 7, FALSE)</f>
        <v>40.830000000000005</v>
      </c>
      <c r="I331">
        <f>VLOOKUP(Table55[[#This Row],[Shortname]], Comp[], 8, FALSE)</f>
        <v>30</v>
      </c>
      <c r="J331">
        <f>VLOOKUP(Table55[[#This Row],[Shortname]], Comp[], 9, FALSE)</f>
        <v>9</v>
      </c>
      <c r="K331">
        <f>VLOOKUP(Table55[[#This Row],[Shortname]], Comp[], 10, FALSE)</f>
        <v>10</v>
      </c>
      <c r="L331">
        <f>VLOOKUP(Table55[[#This Row],[Shortname]], Comp[], 11, FALSE)</f>
        <v>6</v>
      </c>
      <c r="M331">
        <f>VLOOKUP(Table55[[#This Row],[Shortname]], Comp[],12, FALSE)</f>
        <v>3</v>
      </c>
      <c r="N331">
        <f>VLOOKUP(Table55[[#This Row],[Shortname]], Comp[], 13, FALSE)</f>
        <v>1</v>
      </c>
      <c r="O331">
        <f>VLOOKUP(Table55[[#This Row],[Shortname]], Comp[], 14, FALSE)</f>
        <v>0</v>
      </c>
      <c r="P331">
        <f>VLOOKUP(Table55[[#This Row],[Shortname]], Comp[], 15, FALSE)</f>
        <v>0</v>
      </c>
      <c r="Q331">
        <f>VLOOKUP(Table55[[#This Row],[Shortname]], Comp[], 16, FALSE)</f>
        <v>0</v>
      </c>
      <c r="R331">
        <f>VLOOKUP(Table55[[#This Row],[Shortname]], Comp[], 17, FALSE)</f>
        <v>0</v>
      </c>
      <c r="S331">
        <f>VLOOKUP(Table55[[#This Row],[Shortname]], Comp[], 18, FALSE)</f>
        <v>0.05</v>
      </c>
      <c r="T331">
        <f>VLOOKUP(Table55[[#This Row],[Shortname]], Comp[], 19, FALSE)</f>
        <v>0.12</v>
      </c>
      <c r="U331">
        <f>VLOOKUP(Table55[[#This Row],[Shortname]], Comp[], 20, FALSE)</f>
        <v>0</v>
      </c>
      <c r="V331">
        <f>VLOOKUP(Table55[[#This Row],[Shortname]], Comp[], 21, FALSE)</f>
        <v>0</v>
      </c>
      <c r="W331">
        <f>VLOOKUP(Table55[[#This Row],[Shortname]], Comp[], 22, FALSE)</f>
        <v>0</v>
      </c>
      <c r="X331">
        <f>VLOOKUP(Table55[[#This Row],[Shortname]], Comp[], 23, FALSE)</f>
        <v>0</v>
      </c>
      <c r="Y331">
        <f>VLOOKUP(Table55[[#This Row],[Shortname]], Comp[], 24, FALSE)</f>
        <v>0</v>
      </c>
      <c r="Z331">
        <f>VLOOKUP(Table55[[#This Row],[Shortname]], Comp[], 25, FALSE)</f>
        <v>0</v>
      </c>
      <c r="AA331">
        <f>VLOOKUP(Table55[[#This Row],[Shortname]], Comp[], 26, FALSE)</f>
        <v>0</v>
      </c>
      <c r="AB331">
        <f>VLOOKUP(Table55[[#This Row],[Shortname]], Comp[], 27, FALSE)</f>
        <v>0</v>
      </c>
      <c r="AC331">
        <f>VLOOKUP(Table55[[#This Row],[Shortname]], Comp[], 28, FALSE)</f>
        <v>0</v>
      </c>
      <c r="AD331">
        <f>VLOOKUP(Table55[[#This Row],[Shortname]], Comp[], 29, FALSE)</f>
        <v>0</v>
      </c>
      <c r="AE331">
        <f>VLOOKUP(Table55[[#This Row],[Shortname]], Comp[], 30, FALSE)</f>
        <v>0</v>
      </c>
      <c r="AF331">
        <f>VLOOKUP(Table55[[#This Row],[Shortname]], Comp[], 31, FALSE)</f>
        <v>0</v>
      </c>
    </row>
    <row r="332" spans="1:32" x14ac:dyDescent="0.3">
      <c r="A332" s="12" t="s">
        <v>5959</v>
      </c>
      <c r="B332" s="12" t="s">
        <v>5960</v>
      </c>
      <c r="C332" s="12" t="s">
        <v>5961</v>
      </c>
      <c r="D332" s="12">
        <v>1037</v>
      </c>
      <c r="E332" s="12">
        <v>1319.3</v>
      </c>
      <c r="F332" s="12">
        <v>1382.7</v>
      </c>
      <c r="G332" s="12" t="s">
        <v>6772</v>
      </c>
      <c r="H332" s="14">
        <f>VLOOKUP(Table55[[#This Row],[Shortname]], Comp[], 7, FALSE)</f>
        <v>40.4</v>
      </c>
      <c r="I332">
        <f>VLOOKUP(Table55[[#This Row],[Shortname]], Comp[], 8, FALSE)</f>
        <v>34</v>
      </c>
      <c r="J332">
        <f>VLOOKUP(Table55[[#This Row],[Shortname]], Comp[], 9, FALSE)</f>
        <v>4.5</v>
      </c>
      <c r="K332">
        <f>VLOOKUP(Table55[[#This Row],[Shortname]], Comp[], 10, FALSE)</f>
        <v>15.6</v>
      </c>
      <c r="L332">
        <f>VLOOKUP(Table55[[#This Row],[Shortname]], Comp[], 11, FALSE)</f>
        <v>0</v>
      </c>
      <c r="M332">
        <f>VLOOKUP(Table55[[#This Row],[Shortname]], Comp[],12, FALSE)</f>
        <v>5.5</v>
      </c>
      <c r="N332">
        <f>VLOOKUP(Table55[[#This Row],[Shortname]], Comp[], 13, FALSE)</f>
        <v>0</v>
      </c>
      <c r="O332">
        <f>VLOOKUP(Table55[[#This Row],[Shortname]], Comp[], 14, FALSE)</f>
        <v>0</v>
      </c>
      <c r="P332">
        <f>VLOOKUP(Table55[[#This Row],[Shortname]], Comp[], 15, FALSE)</f>
        <v>0</v>
      </c>
      <c r="Q332">
        <f>VLOOKUP(Table55[[#This Row],[Shortname]], Comp[], 16, FALSE)</f>
        <v>0</v>
      </c>
      <c r="R332">
        <f>VLOOKUP(Table55[[#This Row],[Shortname]], Comp[], 17, FALSE)</f>
        <v>0</v>
      </c>
      <c r="S332">
        <f>VLOOKUP(Table55[[#This Row],[Shortname]], Comp[], 18, FALSE)</f>
        <v>0</v>
      </c>
      <c r="T332">
        <f>VLOOKUP(Table55[[#This Row],[Shortname]], Comp[], 19, FALSE)</f>
        <v>0</v>
      </c>
      <c r="U332">
        <f>VLOOKUP(Table55[[#This Row],[Shortname]], Comp[], 20, FALSE)</f>
        <v>0</v>
      </c>
      <c r="V332">
        <f>VLOOKUP(Table55[[#This Row],[Shortname]], Comp[], 21, FALSE)</f>
        <v>0</v>
      </c>
      <c r="W332">
        <f>VLOOKUP(Table55[[#This Row],[Shortname]], Comp[], 22, FALSE)</f>
        <v>0</v>
      </c>
      <c r="X332">
        <f>VLOOKUP(Table55[[#This Row],[Shortname]], Comp[], 23, FALSE)</f>
        <v>0</v>
      </c>
      <c r="Y332">
        <f>VLOOKUP(Table55[[#This Row],[Shortname]], Comp[], 24, FALSE)</f>
        <v>0</v>
      </c>
      <c r="Z332">
        <f>VLOOKUP(Table55[[#This Row],[Shortname]], Comp[], 25, FALSE)</f>
        <v>0</v>
      </c>
      <c r="AA332">
        <f>VLOOKUP(Table55[[#This Row],[Shortname]], Comp[], 26, FALSE)</f>
        <v>0</v>
      </c>
      <c r="AB332">
        <f>VLOOKUP(Table55[[#This Row],[Shortname]], Comp[], 27, FALSE)</f>
        <v>0</v>
      </c>
      <c r="AC332">
        <f>VLOOKUP(Table55[[#This Row],[Shortname]], Comp[], 28, FALSE)</f>
        <v>0</v>
      </c>
      <c r="AD332">
        <f>VLOOKUP(Table55[[#This Row],[Shortname]], Comp[], 29, FALSE)</f>
        <v>0</v>
      </c>
      <c r="AE332">
        <f>VLOOKUP(Table55[[#This Row],[Shortname]], Comp[], 30, FALSE)</f>
        <v>0</v>
      </c>
      <c r="AF332">
        <f>VLOOKUP(Table55[[#This Row],[Shortname]], Comp[], 31, FALSE)</f>
        <v>0</v>
      </c>
    </row>
    <row r="333" spans="1:32" x14ac:dyDescent="0.3">
      <c r="A333" s="12" t="s">
        <v>5965</v>
      </c>
      <c r="B333" s="12" t="s">
        <v>5966</v>
      </c>
      <c r="C333" s="12" t="s">
        <v>5961</v>
      </c>
      <c r="D333" s="12">
        <v>1126.2</v>
      </c>
      <c r="E333" s="12">
        <v>1279.5</v>
      </c>
      <c r="F333" s="12">
        <v>1359.6</v>
      </c>
      <c r="G333" s="12" t="s">
        <v>6772</v>
      </c>
      <c r="H333" s="14">
        <f>VLOOKUP(Table55[[#This Row],[Shortname]], Comp[], 7, FALSE)</f>
        <v>38.4</v>
      </c>
      <c r="I333">
        <f>VLOOKUP(Table55[[#This Row],[Shortname]], Comp[], 8, FALSE)</f>
        <v>34.299999999999997</v>
      </c>
      <c r="J333">
        <f>VLOOKUP(Table55[[#This Row],[Shortname]], Comp[], 9, FALSE)</f>
        <v>4.7</v>
      </c>
      <c r="K333">
        <f>VLOOKUP(Table55[[#This Row],[Shortname]], Comp[], 10, FALSE)</f>
        <v>15.6</v>
      </c>
      <c r="L333">
        <f>VLOOKUP(Table55[[#This Row],[Shortname]], Comp[], 11, FALSE)</f>
        <v>0</v>
      </c>
      <c r="M333">
        <f>VLOOKUP(Table55[[#This Row],[Shortname]], Comp[],12, FALSE)</f>
        <v>5.0999999999999996</v>
      </c>
      <c r="N333">
        <f>VLOOKUP(Table55[[#This Row],[Shortname]], Comp[], 13, FALSE)</f>
        <v>1.9</v>
      </c>
      <c r="O333">
        <f>VLOOKUP(Table55[[#This Row],[Shortname]], Comp[], 14, FALSE)</f>
        <v>0</v>
      </c>
      <c r="P333">
        <f>VLOOKUP(Table55[[#This Row],[Shortname]], Comp[], 15, FALSE)</f>
        <v>0</v>
      </c>
      <c r="Q333">
        <f>VLOOKUP(Table55[[#This Row],[Shortname]], Comp[], 16, FALSE)</f>
        <v>0</v>
      </c>
      <c r="R333">
        <f>VLOOKUP(Table55[[#This Row],[Shortname]], Comp[], 17, FALSE)</f>
        <v>0</v>
      </c>
      <c r="S333">
        <f>VLOOKUP(Table55[[#This Row],[Shortname]], Comp[], 18, FALSE)</f>
        <v>0</v>
      </c>
      <c r="T333">
        <f>VLOOKUP(Table55[[#This Row],[Shortname]], Comp[], 19, FALSE)</f>
        <v>0</v>
      </c>
      <c r="U333">
        <f>VLOOKUP(Table55[[#This Row],[Shortname]], Comp[], 20, FALSE)</f>
        <v>0</v>
      </c>
      <c r="V333">
        <f>VLOOKUP(Table55[[#This Row],[Shortname]], Comp[], 21, FALSE)</f>
        <v>0</v>
      </c>
      <c r="W333">
        <f>VLOOKUP(Table55[[#This Row],[Shortname]], Comp[], 22, FALSE)</f>
        <v>0</v>
      </c>
      <c r="X333">
        <f>VLOOKUP(Table55[[#This Row],[Shortname]], Comp[], 23, FALSE)</f>
        <v>0</v>
      </c>
      <c r="Y333">
        <f>VLOOKUP(Table55[[#This Row],[Shortname]], Comp[], 24, FALSE)</f>
        <v>0</v>
      </c>
      <c r="Z333">
        <f>VLOOKUP(Table55[[#This Row],[Shortname]], Comp[], 25, FALSE)</f>
        <v>0</v>
      </c>
      <c r="AA333">
        <f>VLOOKUP(Table55[[#This Row],[Shortname]], Comp[], 26, FALSE)</f>
        <v>0</v>
      </c>
      <c r="AB333">
        <f>VLOOKUP(Table55[[#This Row],[Shortname]], Comp[], 27, FALSE)</f>
        <v>0</v>
      </c>
      <c r="AC333">
        <f>VLOOKUP(Table55[[#This Row],[Shortname]], Comp[], 28, FALSE)</f>
        <v>0</v>
      </c>
      <c r="AD333">
        <f>VLOOKUP(Table55[[#This Row],[Shortname]], Comp[], 29, FALSE)</f>
        <v>0</v>
      </c>
      <c r="AE333">
        <f>VLOOKUP(Table55[[#This Row],[Shortname]], Comp[], 30, FALSE)</f>
        <v>0</v>
      </c>
      <c r="AF333">
        <f>VLOOKUP(Table55[[#This Row],[Shortname]], Comp[], 31, FALSE)</f>
        <v>0</v>
      </c>
    </row>
    <row r="334" spans="1:32" x14ac:dyDescent="0.3">
      <c r="A334" s="12" t="s">
        <v>5969</v>
      </c>
      <c r="B334" s="12" t="s">
        <v>5970</v>
      </c>
      <c r="C334" s="12" t="s">
        <v>5961</v>
      </c>
      <c r="D334" s="12">
        <v>1132.3</v>
      </c>
      <c r="E334" s="12">
        <v>1255.8</v>
      </c>
      <c r="F334" s="12">
        <v>1352.7</v>
      </c>
      <c r="G334" s="12" t="s">
        <v>6772</v>
      </c>
      <c r="H334" s="14">
        <f>VLOOKUP(Table55[[#This Row],[Shortname]], Comp[], 7, FALSE)</f>
        <v>38.6</v>
      </c>
      <c r="I334">
        <f>VLOOKUP(Table55[[#This Row],[Shortname]], Comp[], 8, FALSE)</f>
        <v>34.700000000000003</v>
      </c>
      <c r="J334">
        <f>VLOOKUP(Table55[[#This Row],[Shortname]], Comp[], 9, FALSE)</f>
        <v>4.5</v>
      </c>
      <c r="K334">
        <f>VLOOKUP(Table55[[#This Row],[Shortname]], Comp[], 10, FALSE)</f>
        <v>15.5</v>
      </c>
      <c r="L334">
        <f>VLOOKUP(Table55[[#This Row],[Shortname]], Comp[], 11, FALSE)</f>
        <v>0</v>
      </c>
      <c r="M334">
        <f>VLOOKUP(Table55[[#This Row],[Shortname]], Comp[],12, FALSE)</f>
        <v>4.9000000000000004</v>
      </c>
      <c r="N334">
        <f>VLOOKUP(Table55[[#This Row],[Shortname]], Comp[], 13, FALSE)</f>
        <v>0</v>
      </c>
      <c r="O334">
        <f>VLOOKUP(Table55[[#This Row],[Shortname]], Comp[], 14, FALSE)</f>
        <v>1.8</v>
      </c>
      <c r="P334">
        <f>VLOOKUP(Table55[[#This Row],[Shortname]], Comp[], 15, FALSE)</f>
        <v>0</v>
      </c>
      <c r="Q334">
        <f>VLOOKUP(Table55[[#This Row],[Shortname]], Comp[], 16, FALSE)</f>
        <v>0</v>
      </c>
      <c r="R334">
        <f>VLOOKUP(Table55[[#This Row],[Shortname]], Comp[], 17, FALSE)</f>
        <v>0</v>
      </c>
      <c r="S334">
        <f>VLOOKUP(Table55[[#This Row],[Shortname]], Comp[], 18, FALSE)</f>
        <v>0</v>
      </c>
      <c r="T334">
        <f>VLOOKUP(Table55[[#This Row],[Shortname]], Comp[], 19, FALSE)</f>
        <v>0</v>
      </c>
      <c r="U334">
        <f>VLOOKUP(Table55[[#This Row],[Shortname]], Comp[], 20, FALSE)</f>
        <v>0</v>
      </c>
      <c r="V334">
        <f>VLOOKUP(Table55[[#This Row],[Shortname]], Comp[], 21, FALSE)</f>
        <v>0</v>
      </c>
      <c r="W334">
        <f>VLOOKUP(Table55[[#This Row],[Shortname]], Comp[], 22, FALSE)</f>
        <v>0</v>
      </c>
      <c r="X334">
        <f>VLOOKUP(Table55[[#This Row],[Shortname]], Comp[], 23, FALSE)</f>
        <v>0</v>
      </c>
      <c r="Y334">
        <f>VLOOKUP(Table55[[#This Row],[Shortname]], Comp[], 24, FALSE)</f>
        <v>0</v>
      </c>
      <c r="Z334">
        <f>VLOOKUP(Table55[[#This Row],[Shortname]], Comp[], 25, FALSE)</f>
        <v>0</v>
      </c>
      <c r="AA334">
        <f>VLOOKUP(Table55[[#This Row],[Shortname]], Comp[], 26, FALSE)</f>
        <v>0</v>
      </c>
      <c r="AB334">
        <f>VLOOKUP(Table55[[#This Row],[Shortname]], Comp[], 27, FALSE)</f>
        <v>0</v>
      </c>
      <c r="AC334">
        <f>VLOOKUP(Table55[[#This Row],[Shortname]], Comp[], 28, FALSE)</f>
        <v>0</v>
      </c>
      <c r="AD334">
        <f>VLOOKUP(Table55[[#This Row],[Shortname]], Comp[], 29, FALSE)</f>
        <v>0</v>
      </c>
      <c r="AE334">
        <f>VLOOKUP(Table55[[#This Row],[Shortname]], Comp[], 30, FALSE)</f>
        <v>0</v>
      </c>
      <c r="AF334">
        <f>VLOOKUP(Table55[[#This Row],[Shortname]], Comp[], 31, FALSE)</f>
        <v>0</v>
      </c>
    </row>
    <row r="335" spans="1:32" x14ac:dyDescent="0.3">
      <c r="A335" s="12" t="s">
        <v>5973</v>
      </c>
      <c r="B335" s="12" t="s">
        <v>5974</v>
      </c>
      <c r="C335" s="12" t="s">
        <v>5961</v>
      </c>
      <c r="D335" s="12">
        <v>1049.4000000000001</v>
      </c>
      <c r="E335" s="12">
        <v>1309.9000000000001</v>
      </c>
      <c r="F335" s="12">
        <v>1387.5</v>
      </c>
      <c r="G335" s="12" t="s">
        <v>6772</v>
      </c>
      <c r="H335" s="14">
        <f>VLOOKUP(Table55[[#This Row],[Shortname]], Comp[], 7, FALSE)</f>
        <v>37.5</v>
      </c>
      <c r="I335">
        <f>VLOOKUP(Table55[[#This Row],[Shortname]], Comp[], 8, FALSE)</f>
        <v>34.6</v>
      </c>
      <c r="J335">
        <f>VLOOKUP(Table55[[#This Row],[Shortname]], Comp[], 9, FALSE)</f>
        <v>4.4000000000000004</v>
      </c>
      <c r="K335">
        <f>VLOOKUP(Table55[[#This Row],[Shortname]], Comp[], 10, FALSE)</f>
        <v>15.4</v>
      </c>
      <c r="L335">
        <f>VLOOKUP(Table55[[#This Row],[Shortname]], Comp[], 11, FALSE)</f>
        <v>0.9</v>
      </c>
      <c r="M335">
        <f>VLOOKUP(Table55[[#This Row],[Shortname]], Comp[],12, FALSE)</f>
        <v>5.2</v>
      </c>
      <c r="N335">
        <f>VLOOKUP(Table55[[#This Row],[Shortname]], Comp[], 13, FALSE)</f>
        <v>0</v>
      </c>
      <c r="O335">
        <f>VLOOKUP(Table55[[#This Row],[Shortname]], Comp[], 14, FALSE)</f>
        <v>0</v>
      </c>
      <c r="P335">
        <f>VLOOKUP(Table55[[#This Row],[Shortname]], Comp[], 15, FALSE)</f>
        <v>0</v>
      </c>
      <c r="Q335">
        <f>VLOOKUP(Table55[[#This Row],[Shortname]], Comp[], 16, FALSE)</f>
        <v>2</v>
      </c>
      <c r="R335">
        <f>VLOOKUP(Table55[[#This Row],[Shortname]], Comp[], 17, FALSE)</f>
        <v>0</v>
      </c>
      <c r="S335">
        <f>VLOOKUP(Table55[[#This Row],[Shortname]], Comp[], 18, FALSE)</f>
        <v>0</v>
      </c>
      <c r="T335">
        <f>VLOOKUP(Table55[[#This Row],[Shortname]], Comp[], 19, FALSE)</f>
        <v>0</v>
      </c>
      <c r="U335">
        <f>VLOOKUP(Table55[[#This Row],[Shortname]], Comp[], 20, FALSE)</f>
        <v>0</v>
      </c>
      <c r="V335">
        <f>VLOOKUP(Table55[[#This Row],[Shortname]], Comp[], 21, FALSE)</f>
        <v>0</v>
      </c>
      <c r="W335">
        <f>VLOOKUP(Table55[[#This Row],[Shortname]], Comp[], 22, FALSE)</f>
        <v>0</v>
      </c>
      <c r="X335">
        <f>VLOOKUP(Table55[[#This Row],[Shortname]], Comp[], 23, FALSE)</f>
        <v>0</v>
      </c>
      <c r="Y335">
        <f>VLOOKUP(Table55[[#This Row],[Shortname]], Comp[], 24, FALSE)</f>
        <v>0</v>
      </c>
      <c r="Z335">
        <f>VLOOKUP(Table55[[#This Row],[Shortname]], Comp[], 25, FALSE)</f>
        <v>0</v>
      </c>
      <c r="AA335">
        <f>VLOOKUP(Table55[[#This Row],[Shortname]], Comp[], 26, FALSE)</f>
        <v>0</v>
      </c>
      <c r="AB335">
        <f>VLOOKUP(Table55[[#This Row],[Shortname]], Comp[], 27, FALSE)</f>
        <v>0</v>
      </c>
      <c r="AC335">
        <f>VLOOKUP(Table55[[#This Row],[Shortname]], Comp[], 28, FALSE)</f>
        <v>0</v>
      </c>
      <c r="AD335">
        <f>VLOOKUP(Table55[[#This Row],[Shortname]], Comp[], 29, FALSE)</f>
        <v>0</v>
      </c>
      <c r="AE335">
        <f>VLOOKUP(Table55[[#This Row],[Shortname]], Comp[], 30, FALSE)</f>
        <v>0</v>
      </c>
      <c r="AF335">
        <f>VLOOKUP(Table55[[#This Row],[Shortname]], Comp[], 31, FALSE)</f>
        <v>0</v>
      </c>
    </row>
    <row r="336" spans="1:32" x14ac:dyDescent="0.3">
      <c r="A336" s="12" t="s">
        <v>5979</v>
      </c>
      <c r="B336" s="12" t="s">
        <v>5980</v>
      </c>
      <c r="C336" s="12" t="s">
        <v>5961</v>
      </c>
      <c r="D336" s="12">
        <v>1058.2</v>
      </c>
      <c r="E336" s="12">
        <v>1301.8</v>
      </c>
      <c r="F336" s="12">
        <v>1374.6</v>
      </c>
      <c r="G336" s="12" t="s">
        <v>6772</v>
      </c>
      <c r="H336" s="14">
        <f>VLOOKUP(Table55[[#This Row],[Shortname]], Comp[], 7, FALSE)</f>
        <v>37</v>
      </c>
      <c r="I336">
        <f>VLOOKUP(Table55[[#This Row],[Shortname]], Comp[], 8, FALSE)</f>
        <v>34.799999999999997</v>
      </c>
      <c r="J336">
        <f>VLOOKUP(Table55[[#This Row],[Shortname]], Comp[], 9, FALSE)</f>
        <v>4.7</v>
      </c>
      <c r="K336">
        <f>VLOOKUP(Table55[[#This Row],[Shortname]], Comp[], 10, FALSE)</f>
        <v>15.3</v>
      </c>
      <c r="L336">
        <f>VLOOKUP(Table55[[#This Row],[Shortname]], Comp[], 11, FALSE)</f>
        <v>3.1</v>
      </c>
      <c r="M336">
        <f>VLOOKUP(Table55[[#This Row],[Shortname]], Comp[],12, FALSE)</f>
        <v>5.0999999999999996</v>
      </c>
      <c r="N336">
        <f>VLOOKUP(Table55[[#This Row],[Shortname]], Comp[], 13, FALSE)</f>
        <v>0</v>
      </c>
      <c r="O336">
        <f>VLOOKUP(Table55[[#This Row],[Shortname]], Comp[], 14, FALSE)</f>
        <v>0</v>
      </c>
      <c r="P336">
        <f>VLOOKUP(Table55[[#This Row],[Shortname]], Comp[], 15, FALSE)</f>
        <v>0</v>
      </c>
      <c r="Q336">
        <f>VLOOKUP(Table55[[#This Row],[Shortname]], Comp[], 16, FALSE)</f>
        <v>0</v>
      </c>
      <c r="R336">
        <f>VLOOKUP(Table55[[#This Row],[Shortname]], Comp[], 17, FALSE)</f>
        <v>0</v>
      </c>
      <c r="S336">
        <f>VLOOKUP(Table55[[#This Row],[Shortname]], Comp[], 18, FALSE)</f>
        <v>0</v>
      </c>
      <c r="T336">
        <f>VLOOKUP(Table55[[#This Row],[Shortname]], Comp[], 19, FALSE)</f>
        <v>0</v>
      </c>
      <c r="U336">
        <f>VLOOKUP(Table55[[#This Row],[Shortname]], Comp[], 20, FALSE)</f>
        <v>0</v>
      </c>
      <c r="V336">
        <f>VLOOKUP(Table55[[#This Row],[Shortname]], Comp[], 21, FALSE)</f>
        <v>0</v>
      </c>
      <c r="W336">
        <f>VLOOKUP(Table55[[#This Row],[Shortname]], Comp[], 22, FALSE)</f>
        <v>0</v>
      </c>
      <c r="X336">
        <f>VLOOKUP(Table55[[#This Row],[Shortname]], Comp[], 23, FALSE)</f>
        <v>0</v>
      </c>
      <c r="Y336">
        <f>VLOOKUP(Table55[[#This Row],[Shortname]], Comp[], 24, FALSE)</f>
        <v>0</v>
      </c>
      <c r="Z336">
        <f>VLOOKUP(Table55[[#This Row],[Shortname]], Comp[], 25, FALSE)</f>
        <v>0</v>
      </c>
      <c r="AA336">
        <f>VLOOKUP(Table55[[#This Row],[Shortname]], Comp[], 26, FALSE)</f>
        <v>0</v>
      </c>
      <c r="AB336">
        <f>VLOOKUP(Table55[[#This Row],[Shortname]], Comp[], 27, FALSE)</f>
        <v>0</v>
      </c>
      <c r="AC336">
        <f>VLOOKUP(Table55[[#This Row],[Shortname]], Comp[], 28, FALSE)</f>
        <v>0</v>
      </c>
      <c r="AD336">
        <f>VLOOKUP(Table55[[#This Row],[Shortname]], Comp[], 29, FALSE)</f>
        <v>0</v>
      </c>
      <c r="AE336">
        <f>VLOOKUP(Table55[[#This Row],[Shortname]], Comp[], 30, FALSE)</f>
        <v>0</v>
      </c>
      <c r="AF336">
        <f>VLOOKUP(Table55[[#This Row],[Shortname]], Comp[], 31, FALSE)</f>
        <v>0</v>
      </c>
    </row>
    <row r="337" spans="1:32" x14ac:dyDescent="0.3">
      <c r="A337" s="12" t="s">
        <v>5983</v>
      </c>
      <c r="B337" s="12" t="s">
        <v>5984</v>
      </c>
      <c r="C337" s="12" t="s">
        <v>5961</v>
      </c>
      <c r="D337" s="12">
        <v>1143.8</v>
      </c>
      <c r="E337" s="12">
        <v>1246.8</v>
      </c>
      <c r="F337" s="12">
        <v>1337.7</v>
      </c>
      <c r="G337" s="12" t="s">
        <v>6772</v>
      </c>
      <c r="H337" s="14">
        <f>VLOOKUP(Table55[[#This Row],[Shortname]], Comp[], 7, FALSE)</f>
        <v>34.200000000000003</v>
      </c>
      <c r="I337">
        <f>VLOOKUP(Table55[[#This Row],[Shortname]], Comp[], 8, FALSE)</f>
        <v>36.4</v>
      </c>
      <c r="J337">
        <f>VLOOKUP(Table55[[#This Row],[Shortname]], Comp[], 9, FALSE)</f>
        <v>4.7</v>
      </c>
      <c r="K337">
        <f>VLOOKUP(Table55[[#This Row],[Shortname]], Comp[], 10, FALSE)</f>
        <v>15.2</v>
      </c>
      <c r="L337">
        <f>VLOOKUP(Table55[[#This Row],[Shortname]], Comp[], 11, FALSE)</f>
        <v>1.2</v>
      </c>
      <c r="M337">
        <f>VLOOKUP(Table55[[#This Row],[Shortname]], Comp[],12, FALSE)</f>
        <v>5.2</v>
      </c>
      <c r="N337">
        <f>VLOOKUP(Table55[[#This Row],[Shortname]], Comp[], 13, FALSE)</f>
        <v>1</v>
      </c>
      <c r="O337">
        <f>VLOOKUP(Table55[[#This Row],[Shortname]], Comp[], 14, FALSE)</f>
        <v>0</v>
      </c>
      <c r="P337">
        <f>VLOOKUP(Table55[[#This Row],[Shortname]], Comp[], 15, FALSE)</f>
        <v>0</v>
      </c>
      <c r="Q337">
        <f>VLOOKUP(Table55[[#This Row],[Shortname]], Comp[], 16, FALSE)</f>
        <v>2.1</v>
      </c>
      <c r="R337">
        <f>VLOOKUP(Table55[[#This Row],[Shortname]], Comp[], 17, FALSE)</f>
        <v>0</v>
      </c>
      <c r="S337">
        <f>VLOOKUP(Table55[[#This Row],[Shortname]], Comp[], 18, FALSE)</f>
        <v>0</v>
      </c>
      <c r="T337">
        <f>VLOOKUP(Table55[[#This Row],[Shortname]], Comp[], 19, FALSE)</f>
        <v>0</v>
      </c>
      <c r="U337">
        <f>VLOOKUP(Table55[[#This Row],[Shortname]], Comp[], 20, FALSE)</f>
        <v>0</v>
      </c>
      <c r="V337">
        <f>VLOOKUP(Table55[[#This Row],[Shortname]], Comp[], 21, FALSE)</f>
        <v>0</v>
      </c>
      <c r="W337">
        <f>VLOOKUP(Table55[[#This Row],[Shortname]], Comp[], 22, FALSE)</f>
        <v>0</v>
      </c>
      <c r="X337">
        <f>VLOOKUP(Table55[[#This Row],[Shortname]], Comp[], 23, FALSE)</f>
        <v>0</v>
      </c>
      <c r="Y337">
        <f>VLOOKUP(Table55[[#This Row],[Shortname]], Comp[], 24, FALSE)</f>
        <v>0</v>
      </c>
      <c r="Z337">
        <f>VLOOKUP(Table55[[#This Row],[Shortname]], Comp[], 25, FALSE)</f>
        <v>0</v>
      </c>
      <c r="AA337">
        <f>VLOOKUP(Table55[[#This Row],[Shortname]], Comp[], 26, FALSE)</f>
        <v>0</v>
      </c>
      <c r="AB337">
        <f>VLOOKUP(Table55[[#This Row],[Shortname]], Comp[], 27, FALSE)</f>
        <v>0</v>
      </c>
      <c r="AC337">
        <f>VLOOKUP(Table55[[#This Row],[Shortname]], Comp[], 28, FALSE)</f>
        <v>0</v>
      </c>
      <c r="AD337">
        <f>VLOOKUP(Table55[[#This Row],[Shortname]], Comp[], 29, FALSE)</f>
        <v>0</v>
      </c>
      <c r="AE337">
        <f>VLOOKUP(Table55[[#This Row],[Shortname]], Comp[], 30, FALSE)</f>
        <v>0</v>
      </c>
      <c r="AF337">
        <f>VLOOKUP(Table55[[#This Row],[Shortname]], Comp[], 31, FALSE)</f>
        <v>0</v>
      </c>
    </row>
    <row r="338" spans="1:32" x14ac:dyDescent="0.3">
      <c r="A338" s="12" t="s">
        <v>5988</v>
      </c>
      <c r="B338" s="12" t="s">
        <v>5989</v>
      </c>
      <c r="C338" s="12" t="s">
        <v>5961</v>
      </c>
      <c r="D338" s="12">
        <v>1122.9000000000001</v>
      </c>
      <c r="E338" s="12">
        <v>1271.7</v>
      </c>
      <c r="F338" s="12">
        <v>1353.8</v>
      </c>
      <c r="G338" s="12" t="s">
        <v>6772</v>
      </c>
      <c r="H338" s="14">
        <f>VLOOKUP(Table55[[#This Row],[Shortname]], Comp[], 7, FALSE)</f>
        <v>35.100000000000009</v>
      </c>
      <c r="I338">
        <f>VLOOKUP(Table55[[#This Row],[Shortname]], Comp[], 8, FALSE)</f>
        <v>34.4</v>
      </c>
      <c r="J338">
        <f>VLOOKUP(Table55[[#This Row],[Shortname]], Comp[], 9, FALSE)</f>
        <v>4.5</v>
      </c>
      <c r="K338">
        <f>VLOOKUP(Table55[[#This Row],[Shortname]], Comp[], 10, FALSE)</f>
        <v>15.7</v>
      </c>
      <c r="L338">
        <f>VLOOKUP(Table55[[#This Row],[Shortname]], Comp[], 11, FALSE)</f>
        <v>1.1000000000000001</v>
      </c>
      <c r="M338">
        <f>VLOOKUP(Table55[[#This Row],[Shortname]], Comp[],12, FALSE)</f>
        <v>7.4</v>
      </c>
      <c r="N338">
        <f>VLOOKUP(Table55[[#This Row],[Shortname]], Comp[], 13, FALSE)</f>
        <v>0</v>
      </c>
      <c r="O338">
        <f>VLOOKUP(Table55[[#This Row],[Shortname]], Comp[], 14, FALSE)</f>
        <v>0</v>
      </c>
      <c r="P338">
        <f>VLOOKUP(Table55[[#This Row],[Shortname]], Comp[], 15, FALSE)</f>
        <v>0</v>
      </c>
      <c r="Q338">
        <f>VLOOKUP(Table55[[#This Row],[Shortname]], Comp[], 16, FALSE)</f>
        <v>1.8</v>
      </c>
      <c r="R338">
        <f>VLOOKUP(Table55[[#This Row],[Shortname]], Comp[], 17, FALSE)</f>
        <v>0</v>
      </c>
      <c r="S338">
        <f>VLOOKUP(Table55[[#This Row],[Shortname]], Comp[], 18, FALSE)</f>
        <v>0</v>
      </c>
      <c r="T338">
        <f>VLOOKUP(Table55[[#This Row],[Shortname]], Comp[], 19, FALSE)</f>
        <v>0</v>
      </c>
      <c r="U338">
        <f>VLOOKUP(Table55[[#This Row],[Shortname]], Comp[], 20, FALSE)</f>
        <v>0</v>
      </c>
      <c r="V338">
        <f>VLOOKUP(Table55[[#This Row],[Shortname]], Comp[], 21, FALSE)</f>
        <v>0</v>
      </c>
      <c r="W338">
        <f>VLOOKUP(Table55[[#This Row],[Shortname]], Comp[], 22, FALSE)</f>
        <v>0</v>
      </c>
      <c r="X338">
        <f>VLOOKUP(Table55[[#This Row],[Shortname]], Comp[], 23, FALSE)</f>
        <v>0</v>
      </c>
      <c r="Y338">
        <f>VLOOKUP(Table55[[#This Row],[Shortname]], Comp[], 24, FALSE)</f>
        <v>0</v>
      </c>
      <c r="Z338">
        <f>VLOOKUP(Table55[[#This Row],[Shortname]], Comp[], 25, FALSE)</f>
        <v>0</v>
      </c>
      <c r="AA338">
        <f>VLOOKUP(Table55[[#This Row],[Shortname]], Comp[], 26, FALSE)</f>
        <v>0</v>
      </c>
      <c r="AB338">
        <f>VLOOKUP(Table55[[#This Row],[Shortname]], Comp[], 27, FALSE)</f>
        <v>0</v>
      </c>
      <c r="AC338">
        <f>VLOOKUP(Table55[[#This Row],[Shortname]], Comp[], 28, FALSE)</f>
        <v>0</v>
      </c>
      <c r="AD338">
        <f>VLOOKUP(Table55[[#This Row],[Shortname]], Comp[], 29, FALSE)</f>
        <v>0</v>
      </c>
      <c r="AE338">
        <f>VLOOKUP(Table55[[#This Row],[Shortname]], Comp[], 30, FALSE)</f>
        <v>0</v>
      </c>
      <c r="AF338">
        <f>VLOOKUP(Table55[[#This Row],[Shortname]], Comp[], 31, FALSE)</f>
        <v>0</v>
      </c>
    </row>
    <row r="339" spans="1:32" x14ac:dyDescent="0.3">
      <c r="A339" s="12" t="s">
        <v>6033</v>
      </c>
      <c r="B339" s="12" t="s">
        <v>6034</v>
      </c>
      <c r="C339" s="12" t="s">
        <v>6035</v>
      </c>
      <c r="D339" s="12">
        <v>1131</v>
      </c>
      <c r="E339" s="12">
        <v>1261</v>
      </c>
      <c r="H339" s="14">
        <f>VLOOKUP(Table55[[#This Row],[Shortname]], Comp[], 7, FALSE)</f>
        <v>82</v>
      </c>
      <c r="I339">
        <f>VLOOKUP(Table55[[#This Row],[Shortname]], Comp[], 8, FALSE)</f>
        <v>0</v>
      </c>
      <c r="J339">
        <f>VLOOKUP(Table55[[#This Row],[Shortname]], Comp[], 9, FALSE)</f>
        <v>0</v>
      </c>
      <c r="K339">
        <f>VLOOKUP(Table55[[#This Row],[Shortname]], Comp[], 10, FALSE)</f>
        <v>0</v>
      </c>
      <c r="L339">
        <f>VLOOKUP(Table55[[#This Row],[Shortname]], Comp[], 11, FALSE)</f>
        <v>2</v>
      </c>
      <c r="M339">
        <f>VLOOKUP(Table55[[#This Row],[Shortname]], Comp[],12, FALSE)</f>
        <v>4</v>
      </c>
      <c r="N339">
        <f>VLOOKUP(Table55[[#This Row],[Shortname]], Comp[], 13, FALSE)</f>
        <v>2</v>
      </c>
      <c r="O339">
        <f>VLOOKUP(Table55[[#This Row],[Shortname]], Comp[], 14, FALSE)</f>
        <v>0</v>
      </c>
      <c r="P339">
        <f>VLOOKUP(Table55[[#This Row],[Shortname]], Comp[], 15, FALSE)</f>
        <v>10</v>
      </c>
      <c r="Q339">
        <f>VLOOKUP(Table55[[#This Row],[Shortname]], Comp[], 16, FALSE)</f>
        <v>0</v>
      </c>
      <c r="R339">
        <f>VLOOKUP(Table55[[#This Row],[Shortname]], Comp[], 17, FALSE)</f>
        <v>0</v>
      </c>
      <c r="S339">
        <f>VLOOKUP(Table55[[#This Row],[Shortname]], Comp[], 18, FALSE)</f>
        <v>0</v>
      </c>
      <c r="T339">
        <f>VLOOKUP(Table55[[#This Row],[Shortname]], Comp[], 19, FALSE)</f>
        <v>0</v>
      </c>
      <c r="U339">
        <f>VLOOKUP(Table55[[#This Row],[Shortname]], Comp[], 20, FALSE)</f>
        <v>0</v>
      </c>
      <c r="V339">
        <f>VLOOKUP(Table55[[#This Row],[Shortname]], Comp[], 21, FALSE)</f>
        <v>0</v>
      </c>
      <c r="W339">
        <f>VLOOKUP(Table55[[#This Row],[Shortname]], Comp[], 22, FALSE)</f>
        <v>0</v>
      </c>
      <c r="X339">
        <f>VLOOKUP(Table55[[#This Row],[Shortname]], Comp[], 23, FALSE)</f>
        <v>0</v>
      </c>
      <c r="Y339">
        <f>VLOOKUP(Table55[[#This Row],[Shortname]], Comp[], 24, FALSE)</f>
        <v>0</v>
      </c>
      <c r="Z339">
        <f>VLOOKUP(Table55[[#This Row],[Shortname]], Comp[], 25, FALSE)</f>
        <v>0</v>
      </c>
      <c r="AA339">
        <f>VLOOKUP(Table55[[#This Row],[Shortname]], Comp[], 26, FALSE)</f>
        <v>0</v>
      </c>
      <c r="AB339">
        <f>VLOOKUP(Table55[[#This Row],[Shortname]], Comp[], 27, FALSE)</f>
        <v>0</v>
      </c>
      <c r="AC339">
        <f>VLOOKUP(Table55[[#This Row],[Shortname]], Comp[], 28, FALSE)</f>
        <v>0</v>
      </c>
      <c r="AD339">
        <f>VLOOKUP(Table55[[#This Row],[Shortname]], Comp[], 29, FALSE)</f>
        <v>0</v>
      </c>
      <c r="AE339">
        <f>VLOOKUP(Table55[[#This Row],[Shortname]], Comp[], 30, FALSE)</f>
        <v>0</v>
      </c>
      <c r="AF339">
        <f>VLOOKUP(Table55[[#This Row],[Shortname]], Comp[], 31, FALSE)</f>
        <v>0</v>
      </c>
    </row>
    <row r="340" spans="1:32" x14ac:dyDescent="0.3">
      <c r="A340" s="12" t="s">
        <v>6037</v>
      </c>
      <c r="B340" s="13" t="s">
        <v>6038</v>
      </c>
      <c r="C340" s="12" t="s">
        <v>6039</v>
      </c>
      <c r="D340" s="12">
        <v>1193</v>
      </c>
      <c r="E340" s="12">
        <v>1242.0999999999999</v>
      </c>
      <c r="F340" s="12">
        <v>1273.4000000000001</v>
      </c>
      <c r="H340" s="14">
        <f>VLOOKUP(Table55[[#This Row],[Shortname]], Comp[], 7, FALSE)</f>
        <v>52.9</v>
      </c>
      <c r="I340">
        <f>VLOOKUP(Table55[[#This Row],[Shortname]], Comp[], 8, FALSE)</f>
        <v>19.7</v>
      </c>
      <c r="J340">
        <f>VLOOKUP(Table55[[#This Row],[Shortname]], Comp[], 9, FALSE)</f>
        <v>10.3</v>
      </c>
      <c r="K340">
        <f>VLOOKUP(Table55[[#This Row],[Shortname]], Comp[], 10, FALSE)</f>
        <v>6.9</v>
      </c>
      <c r="L340">
        <f>VLOOKUP(Table55[[#This Row],[Shortname]], Comp[], 11, FALSE)</f>
        <v>1</v>
      </c>
      <c r="M340">
        <f>VLOOKUP(Table55[[#This Row],[Shortname]], Comp[],12, FALSE)</f>
        <v>5.0999999999999996</v>
      </c>
      <c r="N340">
        <f>VLOOKUP(Table55[[#This Row],[Shortname]], Comp[], 13, FALSE)</f>
        <v>4.0999999999999996</v>
      </c>
      <c r="O340">
        <f>VLOOKUP(Table55[[#This Row],[Shortname]], Comp[], 14, FALSE)</f>
        <v>0</v>
      </c>
      <c r="P340">
        <f>VLOOKUP(Table55[[#This Row],[Shortname]], Comp[], 15, FALSE)</f>
        <v>0</v>
      </c>
      <c r="Q340">
        <f>VLOOKUP(Table55[[#This Row],[Shortname]], Comp[], 16, FALSE)</f>
        <v>0</v>
      </c>
      <c r="R340">
        <f>VLOOKUP(Table55[[#This Row],[Shortname]], Comp[], 17, FALSE)</f>
        <v>0</v>
      </c>
      <c r="S340">
        <f>VLOOKUP(Table55[[#This Row],[Shortname]], Comp[], 18, FALSE)</f>
        <v>0</v>
      </c>
      <c r="T340">
        <f>VLOOKUP(Table55[[#This Row],[Shortname]], Comp[], 19, FALSE)</f>
        <v>0</v>
      </c>
      <c r="U340">
        <f>VLOOKUP(Table55[[#This Row],[Shortname]], Comp[], 20, FALSE)</f>
        <v>0</v>
      </c>
      <c r="V340">
        <f>VLOOKUP(Table55[[#This Row],[Shortname]], Comp[], 21, FALSE)</f>
        <v>0</v>
      </c>
      <c r="W340">
        <f>VLOOKUP(Table55[[#This Row],[Shortname]], Comp[], 22, FALSE)</f>
        <v>0</v>
      </c>
      <c r="X340">
        <f>VLOOKUP(Table55[[#This Row],[Shortname]], Comp[], 23, FALSE)</f>
        <v>0</v>
      </c>
      <c r="Y340">
        <f>VLOOKUP(Table55[[#This Row],[Shortname]], Comp[], 24, FALSE)</f>
        <v>0</v>
      </c>
      <c r="Z340">
        <f>VLOOKUP(Table55[[#This Row],[Shortname]], Comp[], 25, FALSE)</f>
        <v>0</v>
      </c>
      <c r="AA340">
        <f>VLOOKUP(Table55[[#This Row],[Shortname]], Comp[], 26, FALSE)</f>
        <v>0</v>
      </c>
      <c r="AB340">
        <f>VLOOKUP(Table55[[#This Row],[Shortname]], Comp[], 27, FALSE)</f>
        <v>0</v>
      </c>
      <c r="AC340">
        <f>VLOOKUP(Table55[[#This Row],[Shortname]], Comp[], 28, FALSE)</f>
        <v>0</v>
      </c>
      <c r="AD340">
        <f>VLOOKUP(Table55[[#This Row],[Shortname]], Comp[], 29, FALSE)</f>
        <v>0</v>
      </c>
      <c r="AE340">
        <f>VLOOKUP(Table55[[#This Row],[Shortname]], Comp[], 30, FALSE)</f>
        <v>0</v>
      </c>
      <c r="AF340">
        <f>VLOOKUP(Table55[[#This Row],[Shortname]], Comp[], 31, FALSE)</f>
        <v>0</v>
      </c>
    </row>
    <row r="341" spans="1:32" x14ac:dyDescent="0.3">
      <c r="A341" s="12" t="s">
        <v>6043</v>
      </c>
      <c r="B341" s="13" t="s">
        <v>6044</v>
      </c>
      <c r="C341" s="12" t="s">
        <v>6039</v>
      </c>
      <c r="D341" s="12">
        <v>1266.5</v>
      </c>
      <c r="E341" s="12">
        <v>1315.6</v>
      </c>
      <c r="F341" s="12">
        <v>1362.4</v>
      </c>
      <c r="H341" s="14">
        <f>VLOOKUP(Table55[[#This Row],[Shortname]], Comp[], 7, FALSE)</f>
        <v>42.6</v>
      </c>
      <c r="I341">
        <f>VLOOKUP(Table55[[#This Row],[Shortname]], Comp[], 8, FALSE)</f>
        <v>35.6</v>
      </c>
      <c r="J341">
        <f>VLOOKUP(Table55[[#This Row],[Shortname]], Comp[], 9, FALSE)</f>
        <v>11.9</v>
      </c>
      <c r="K341">
        <f>VLOOKUP(Table55[[#This Row],[Shortname]], Comp[], 10, FALSE)</f>
        <v>2.1</v>
      </c>
      <c r="L341">
        <f>VLOOKUP(Table55[[#This Row],[Shortname]], Comp[], 11, FALSE)</f>
        <v>1.3</v>
      </c>
      <c r="M341">
        <f>VLOOKUP(Table55[[#This Row],[Shortname]], Comp[],12, FALSE)</f>
        <v>2.2000000000000002</v>
      </c>
      <c r="N341">
        <f>VLOOKUP(Table55[[#This Row],[Shortname]], Comp[], 13, FALSE)</f>
        <v>4.3</v>
      </c>
      <c r="O341">
        <f>VLOOKUP(Table55[[#This Row],[Shortname]], Comp[], 14, FALSE)</f>
        <v>0</v>
      </c>
      <c r="P341">
        <f>VLOOKUP(Table55[[#This Row],[Shortname]], Comp[], 15, FALSE)</f>
        <v>0</v>
      </c>
      <c r="Q341">
        <f>VLOOKUP(Table55[[#This Row],[Shortname]], Comp[], 16, FALSE)</f>
        <v>0</v>
      </c>
      <c r="R341">
        <f>VLOOKUP(Table55[[#This Row],[Shortname]], Comp[], 17, FALSE)</f>
        <v>0</v>
      </c>
      <c r="S341">
        <f>VLOOKUP(Table55[[#This Row],[Shortname]], Comp[], 18, FALSE)</f>
        <v>0</v>
      </c>
      <c r="T341">
        <f>VLOOKUP(Table55[[#This Row],[Shortname]], Comp[], 19, FALSE)</f>
        <v>0</v>
      </c>
      <c r="U341">
        <f>VLOOKUP(Table55[[#This Row],[Shortname]], Comp[], 20, FALSE)</f>
        <v>0</v>
      </c>
      <c r="V341">
        <f>VLOOKUP(Table55[[#This Row],[Shortname]], Comp[], 21, FALSE)</f>
        <v>0</v>
      </c>
      <c r="W341">
        <f>VLOOKUP(Table55[[#This Row],[Shortname]], Comp[], 22, FALSE)</f>
        <v>0</v>
      </c>
      <c r="X341">
        <f>VLOOKUP(Table55[[#This Row],[Shortname]], Comp[], 23, FALSE)</f>
        <v>0</v>
      </c>
      <c r="Y341">
        <f>VLOOKUP(Table55[[#This Row],[Shortname]], Comp[], 24, FALSE)</f>
        <v>0</v>
      </c>
      <c r="Z341">
        <f>VLOOKUP(Table55[[#This Row],[Shortname]], Comp[], 25, FALSE)</f>
        <v>0</v>
      </c>
      <c r="AA341">
        <f>VLOOKUP(Table55[[#This Row],[Shortname]], Comp[], 26, FALSE)</f>
        <v>0</v>
      </c>
      <c r="AB341">
        <f>VLOOKUP(Table55[[#This Row],[Shortname]], Comp[], 27, FALSE)</f>
        <v>0</v>
      </c>
      <c r="AC341">
        <f>VLOOKUP(Table55[[#This Row],[Shortname]], Comp[], 28, FALSE)</f>
        <v>0</v>
      </c>
      <c r="AD341">
        <f>VLOOKUP(Table55[[#This Row],[Shortname]], Comp[], 29, FALSE)</f>
        <v>0</v>
      </c>
      <c r="AE341">
        <f>VLOOKUP(Table55[[#This Row],[Shortname]], Comp[], 30, FALSE)</f>
        <v>0</v>
      </c>
      <c r="AF341">
        <f>VLOOKUP(Table55[[#This Row],[Shortname]], Comp[], 31, FALSE)</f>
        <v>0</v>
      </c>
    </row>
    <row r="342" spans="1:32" x14ac:dyDescent="0.3">
      <c r="A342" s="12" t="s">
        <v>6050</v>
      </c>
      <c r="B342" s="13" t="s">
        <v>6051</v>
      </c>
      <c r="C342" s="12" t="s">
        <v>6039</v>
      </c>
      <c r="D342" s="12">
        <v>1198.2</v>
      </c>
      <c r="E342" s="12">
        <v>1242.2</v>
      </c>
      <c r="F342" s="12">
        <v>1276.4000000000001</v>
      </c>
      <c r="H342" s="14">
        <f>VLOOKUP(Table55[[#This Row],[Shortname]], Comp[], 7, FALSE)</f>
        <v>52.300000000000004</v>
      </c>
      <c r="I342">
        <f>VLOOKUP(Table55[[#This Row],[Shortname]], Comp[], 8, FALSE)</f>
        <v>20.2</v>
      </c>
      <c r="J342">
        <f>VLOOKUP(Table55[[#This Row],[Shortname]], Comp[], 9, FALSE)</f>
        <v>9.8000000000000007</v>
      </c>
      <c r="K342">
        <f>VLOOKUP(Table55[[#This Row],[Shortname]], Comp[], 10, FALSE)</f>
        <v>7</v>
      </c>
      <c r="L342">
        <f>VLOOKUP(Table55[[#This Row],[Shortname]], Comp[], 11, FALSE)</f>
        <v>1.4</v>
      </c>
      <c r="M342">
        <f>VLOOKUP(Table55[[#This Row],[Shortname]], Comp[],12, FALSE)</f>
        <v>4.9000000000000004</v>
      </c>
      <c r="N342">
        <f>VLOOKUP(Table55[[#This Row],[Shortname]], Comp[], 13, FALSE)</f>
        <v>4.4000000000000004</v>
      </c>
      <c r="O342">
        <f>VLOOKUP(Table55[[#This Row],[Shortname]], Comp[], 14, FALSE)</f>
        <v>0</v>
      </c>
      <c r="P342">
        <f>VLOOKUP(Table55[[#This Row],[Shortname]], Comp[], 15, FALSE)</f>
        <v>0</v>
      </c>
      <c r="Q342">
        <f>VLOOKUP(Table55[[#This Row],[Shortname]], Comp[], 16, FALSE)</f>
        <v>0</v>
      </c>
      <c r="R342">
        <f>VLOOKUP(Table55[[#This Row],[Shortname]], Comp[], 17, FALSE)</f>
        <v>0</v>
      </c>
      <c r="S342">
        <f>VLOOKUP(Table55[[#This Row],[Shortname]], Comp[], 18, FALSE)</f>
        <v>0</v>
      </c>
      <c r="T342">
        <f>VLOOKUP(Table55[[#This Row],[Shortname]], Comp[], 19, FALSE)</f>
        <v>0</v>
      </c>
      <c r="U342">
        <f>VLOOKUP(Table55[[#This Row],[Shortname]], Comp[], 20, FALSE)</f>
        <v>0</v>
      </c>
      <c r="V342">
        <f>VLOOKUP(Table55[[#This Row],[Shortname]], Comp[], 21, FALSE)</f>
        <v>0</v>
      </c>
      <c r="W342">
        <f>VLOOKUP(Table55[[#This Row],[Shortname]], Comp[], 22, FALSE)</f>
        <v>0</v>
      </c>
      <c r="X342">
        <f>VLOOKUP(Table55[[#This Row],[Shortname]], Comp[], 23, FALSE)</f>
        <v>0</v>
      </c>
      <c r="Y342">
        <f>VLOOKUP(Table55[[#This Row],[Shortname]], Comp[], 24, FALSE)</f>
        <v>0</v>
      </c>
      <c r="Z342">
        <f>VLOOKUP(Table55[[#This Row],[Shortname]], Comp[], 25, FALSE)</f>
        <v>0</v>
      </c>
      <c r="AA342">
        <f>VLOOKUP(Table55[[#This Row],[Shortname]], Comp[], 26, FALSE)</f>
        <v>0</v>
      </c>
      <c r="AB342">
        <f>VLOOKUP(Table55[[#This Row],[Shortname]], Comp[], 27, FALSE)</f>
        <v>0</v>
      </c>
      <c r="AC342">
        <f>VLOOKUP(Table55[[#This Row],[Shortname]], Comp[], 28, FALSE)</f>
        <v>0</v>
      </c>
      <c r="AD342">
        <f>VLOOKUP(Table55[[#This Row],[Shortname]], Comp[], 29, FALSE)</f>
        <v>0</v>
      </c>
      <c r="AE342">
        <f>VLOOKUP(Table55[[#This Row],[Shortname]], Comp[], 30, FALSE)</f>
        <v>0</v>
      </c>
      <c r="AF342">
        <f>VLOOKUP(Table55[[#This Row],[Shortname]], Comp[], 31, FALSE)</f>
        <v>0</v>
      </c>
    </row>
    <row r="343" spans="1:32" x14ac:dyDescent="0.3">
      <c r="A343" s="12" t="s">
        <v>6055</v>
      </c>
      <c r="B343" s="13" t="s">
        <v>6056</v>
      </c>
      <c r="C343" s="12" t="s">
        <v>6039</v>
      </c>
      <c r="D343" s="12">
        <v>1146.3</v>
      </c>
      <c r="E343" s="12">
        <v>1274</v>
      </c>
      <c r="F343" s="12">
        <v>1311.4</v>
      </c>
      <c r="H343" s="14">
        <f>VLOOKUP(Table55[[#This Row],[Shortname]], Comp[], 7, FALSE)</f>
        <v>45.599999999999994</v>
      </c>
      <c r="I343">
        <f>VLOOKUP(Table55[[#This Row],[Shortname]], Comp[], 8, FALSE)</f>
        <v>24.5</v>
      </c>
      <c r="J343">
        <f>VLOOKUP(Table55[[#This Row],[Shortname]], Comp[], 9, FALSE)</f>
        <v>12.5</v>
      </c>
      <c r="K343">
        <f>VLOOKUP(Table55[[#This Row],[Shortname]], Comp[], 10, FALSE)</f>
        <v>10</v>
      </c>
      <c r="L343">
        <f>VLOOKUP(Table55[[#This Row],[Shortname]], Comp[], 11, FALSE)</f>
        <v>1.2</v>
      </c>
      <c r="M343">
        <f>VLOOKUP(Table55[[#This Row],[Shortname]], Comp[],12, FALSE)</f>
        <v>2</v>
      </c>
      <c r="N343">
        <f>VLOOKUP(Table55[[#This Row],[Shortname]], Comp[], 13, FALSE)</f>
        <v>4.2</v>
      </c>
      <c r="O343">
        <f>VLOOKUP(Table55[[#This Row],[Shortname]], Comp[], 14, FALSE)</f>
        <v>0</v>
      </c>
      <c r="P343">
        <f>VLOOKUP(Table55[[#This Row],[Shortname]], Comp[], 15, FALSE)</f>
        <v>0</v>
      </c>
      <c r="Q343">
        <f>VLOOKUP(Table55[[#This Row],[Shortname]], Comp[], 16, FALSE)</f>
        <v>0</v>
      </c>
      <c r="R343">
        <f>VLOOKUP(Table55[[#This Row],[Shortname]], Comp[], 17, FALSE)</f>
        <v>0</v>
      </c>
      <c r="S343">
        <f>VLOOKUP(Table55[[#This Row],[Shortname]], Comp[], 18, FALSE)</f>
        <v>0</v>
      </c>
      <c r="T343">
        <f>VLOOKUP(Table55[[#This Row],[Shortname]], Comp[], 19, FALSE)</f>
        <v>0</v>
      </c>
      <c r="U343">
        <f>VLOOKUP(Table55[[#This Row],[Shortname]], Comp[], 20, FALSE)</f>
        <v>0</v>
      </c>
      <c r="V343">
        <f>VLOOKUP(Table55[[#This Row],[Shortname]], Comp[], 21, FALSE)</f>
        <v>0</v>
      </c>
      <c r="W343">
        <f>VLOOKUP(Table55[[#This Row],[Shortname]], Comp[], 22, FALSE)</f>
        <v>0</v>
      </c>
      <c r="X343">
        <f>VLOOKUP(Table55[[#This Row],[Shortname]], Comp[], 23, FALSE)</f>
        <v>0</v>
      </c>
      <c r="Y343">
        <f>VLOOKUP(Table55[[#This Row],[Shortname]], Comp[], 24, FALSE)</f>
        <v>0</v>
      </c>
      <c r="Z343">
        <f>VLOOKUP(Table55[[#This Row],[Shortname]], Comp[], 25, FALSE)</f>
        <v>0</v>
      </c>
      <c r="AA343">
        <f>VLOOKUP(Table55[[#This Row],[Shortname]], Comp[], 26, FALSE)</f>
        <v>0</v>
      </c>
      <c r="AB343">
        <f>VLOOKUP(Table55[[#This Row],[Shortname]], Comp[], 27, FALSE)</f>
        <v>0</v>
      </c>
      <c r="AC343">
        <f>VLOOKUP(Table55[[#This Row],[Shortname]], Comp[], 28, FALSE)</f>
        <v>0</v>
      </c>
      <c r="AD343">
        <f>VLOOKUP(Table55[[#This Row],[Shortname]], Comp[], 29, FALSE)</f>
        <v>0</v>
      </c>
      <c r="AE343">
        <f>VLOOKUP(Table55[[#This Row],[Shortname]], Comp[], 30, FALSE)</f>
        <v>0</v>
      </c>
      <c r="AF343">
        <f>VLOOKUP(Table55[[#This Row],[Shortname]], Comp[], 31, FALSE)</f>
        <v>0</v>
      </c>
    </row>
    <row r="344" spans="1:32" x14ac:dyDescent="0.3">
      <c r="A344" s="12" t="s">
        <v>6060</v>
      </c>
      <c r="B344" s="13" t="s">
        <v>6061</v>
      </c>
      <c r="C344" s="12" t="s">
        <v>6039</v>
      </c>
      <c r="D344" s="12">
        <v>1259.0999999999999</v>
      </c>
      <c r="E344" s="12">
        <v>1295.2</v>
      </c>
      <c r="F344" s="12">
        <v>1344.2</v>
      </c>
      <c r="H344" s="14">
        <f>VLOOKUP(Table55[[#This Row],[Shortname]], Comp[], 7, FALSE)</f>
        <v>42.399999999999991</v>
      </c>
      <c r="I344">
        <f>VLOOKUP(Table55[[#This Row],[Shortname]], Comp[], 8, FALSE)</f>
        <v>35.6</v>
      </c>
      <c r="J344">
        <f>VLOOKUP(Table55[[#This Row],[Shortname]], Comp[], 9, FALSE)</f>
        <v>11.6</v>
      </c>
      <c r="K344">
        <f>VLOOKUP(Table55[[#This Row],[Shortname]], Comp[], 10, FALSE)</f>
        <v>2</v>
      </c>
      <c r="L344">
        <f>VLOOKUP(Table55[[#This Row],[Shortname]], Comp[], 11, FALSE)</f>
        <v>1.2</v>
      </c>
      <c r="M344">
        <f>VLOOKUP(Table55[[#This Row],[Shortname]], Comp[],12, FALSE)</f>
        <v>3</v>
      </c>
      <c r="N344">
        <f>VLOOKUP(Table55[[#This Row],[Shortname]], Comp[], 13, FALSE)</f>
        <v>4.2</v>
      </c>
      <c r="O344">
        <f>VLOOKUP(Table55[[#This Row],[Shortname]], Comp[], 14, FALSE)</f>
        <v>0</v>
      </c>
      <c r="P344">
        <f>VLOOKUP(Table55[[#This Row],[Shortname]], Comp[], 15, FALSE)</f>
        <v>0</v>
      </c>
      <c r="Q344">
        <f>VLOOKUP(Table55[[#This Row],[Shortname]], Comp[], 16, FALSE)</f>
        <v>0</v>
      </c>
      <c r="R344">
        <f>VLOOKUP(Table55[[#This Row],[Shortname]], Comp[], 17, FALSE)</f>
        <v>0</v>
      </c>
      <c r="S344">
        <f>VLOOKUP(Table55[[#This Row],[Shortname]], Comp[], 18, FALSE)</f>
        <v>0</v>
      </c>
      <c r="T344">
        <f>VLOOKUP(Table55[[#This Row],[Shortname]], Comp[], 19, FALSE)</f>
        <v>0</v>
      </c>
      <c r="U344">
        <f>VLOOKUP(Table55[[#This Row],[Shortname]], Comp[], 20, FALSE)</f>
        <v>0</v>
      </c>
      <c r="V344">
        <f>VLOOKUP(Table55[[#This Row],[Shortname]], Comp[], 21, FALSE)</f>
        <v>0</v>
      </c>
      <c r="W344">
        <f>VLOOKUP(Table55[[#This Row],[Shortname]], Comp[], 22, FALSE)</f>
        <v>0</v>
      </c>
      <c r="X344">
        <f>VLOOKUP(Table55[[#This Row],[Shortname]], Comp[], 23, FALSE)</f>
        <v>0</v>
      </c>
      <c r="Y344">
        <f>VLOOKUP(Table55[[#This Row],[Shortname]], Comp[], 24, FALSE)</f>
        <v>0</v>
      </c>
      <c r="Z344">
        <f>VLOOKUP(Table55[[#This Row],[Shortname]], Comp[], 25, FALSE)</f>
        <v>0</v>
      </c>
      <c r="AA344">
        <f>VLOOKUP(Table55[[#This Row],[Shortname]], Comp[], 26, FALSE)</f>
        <v>0</v>
      </c>
      <c r="AB344">
        <f>VLOOKUP(Table55[[#This Row],[Shortname]], Comp[], 27, FALSE)</f>
        <v>0</v>
      </c>
      <c r="AC344">
        <f>VLOOKUP(Table55[[#This Row],[Shortname]], Comp[], 28, FALSE)</f>
        <v>0</v>
      </c>
      <c r="AD344">
        <f>VLOOKUP(Table55[[#This Row],[Shortname]], Comp[], 29, FALSE)</f>
        <v>0</v>
      </c>
      <c r="AE344">
        <f>VLOOKUP(Table55[[#This Row],[Shortname]], Comp[], 30, FALSE)</f>
        <v>0</v>
      </c>
      <c r="AF344">
        <f>VLOOKUP(Table55[[#This Row],[Shortname]], Comp[], 31, FALSE)</f>
        <v>0</v>
      </c>
    </row>
    <row r="345" spans="1:32" x14ac:dyDescent="0.3">
      <c r="A345" s="12" t="s">
        <v>6064</v>
      </c>
      <c r="B345" s="13" t="s">
        <v>6065</v>
      </c>
      <c r="C345" s="12" t="s">
        <v>6039</v>
      </c>
      <c r="D345" s="12">
        <v>1270.2</v>
      </c>
      <c r="E345" s="12">
        <v>1300.7</v>
      </c>
      <c r="F345" s="12">
        <v>1352</v>
      </c>
      <c r="H345" s="14">
        <f>VLOOKUP(Table55[[#This Row],[Shortname]], Comp[], 7, FALSE)</f>
        <v>42.5</v>
      </c>
      <c r="I345">
        <f>VLOOKUP(Table55[[#This Row],[Shortname]], Comp[], 8, FALSE)</f>
        <v>35.700000000000003</v>
      </c>
      <c r="J345">
        <f>VLOOKUP(Table55[[#This Row],[Shortname]], Comp[], 9, FALSE)</f>
        <v>11.3</v>
      </c>
      <c r="K345">
        <f>VLOOKUP(Table55[[#This Row],[Shortname]], Comp[], 10, FALSE)</f>
        <v>1.8</v>
      </c>
      <c r="L345">
        <f>VLOOKUP(Table55[[#This Row],[Shortname]], Comp[], 11, FALSE)</f>
        <v>1.5</v>
      </c>
      <c r="M345">
        <f>VLOOKUP(Table55[[#This Row],[Shortname]], Comp[],12, FALSE)</f>
        <v>3</v>
      </c>
      <c r="N345">
        <f>VLOOKUP(Table55[[#This Row],[Shortname]], Comp[], 13, FALSE)</f>
        <v>4.2</v>
      </c>
      <c r="O345">
        <f>VLOOKUP(Table55[[#This Row],[Shortname]], Comp[], 14, FALSE)</f>
        <v>0</v>
      </c>
      <c r="P345">
        <f>VLOOKUP(Table55[[#This Row],[Shortname]], Comp[], 15, FALSE)</f>
        <v>0</v>
      </c>
      <c r="Q345">
        <f>VLOOKUP(Table55[[#This Row],[Shortname]], Comp[], 16, FALSE)</f>
        <v>0</v>
      </c>
      <c r="R345">
        <f>VLOOKUP(Table55[[#This Row],[Shortname]], Comp[], 17, FALSE)</f>
        <v>0</v>
      </c>
      <c r="S345">
        <f>VLOOKUP(Table55[[#This Row],[Shortname]], Comp[], 18, FALSE)</f>
        <v>0</v>
      </c>
      <c r="T345">
        <f>VLOOKUP(Table55[[#This Row],[Shortname]], Comp[], 19, FALSE)</f>
        <v>0</v>
      </c>
      <c r="U345">
        <f>VLOOKUP(Table55[[#This Row],[Shortname]], Comp[], 20, FALSE)</f>
        <v>0</v>
      </c>
      <c r="V345">
        <f>VLOOKUP(Table55[[#This Row],[Shortname]], Comp[], 21, FALSE)</f>
        <v>0</v>
      </c>
      <c r="W345">
        <f>VLOOKUP(Table55[[#This Row],[Shortname]], Comp[], 22, FALSE)</f>
        <v>0</v>
      </c>
      <c r="X345">
        <f>VLOOKUP(Table55[[#This Row],[Shortname]], Comp[], 23, FALSE)</f>
        <v>0</v>
      </c>
      <c r="Y345">
        <f>VLOOKUP(Table55[[#This Row],[Shortname]], Comp[], 24, FALSE)</f>
        <v>0</v>
      </c>
      <c r="Z345">
        <f>VLOOKUP(Table55[[#This Row],[Shortname]], Comp[], 25, FALSE)</f>
        <v>0</v>
      </c>
      <c r="AA345">
        <f>VLOOKUP(Table55[[#This Row],[Shortname]], Comp[], 26, FALSE)</f>
        <v>0</v>
      </c>
      <c r="AB345">
        <f>VLOOKUP(Table55[[#This Row],[Shortname]], Comp[], 27, FALSE)</f>
        <v>0</v>
      </c>
      <c r="AC345">
        <f>VLOOKUP(Table55[[#This Row],[Shortname]], Comp[], 28, FALSE)</f>
        <v>0</v>
      </c>
      <c r="AD345">
        <f>VLOOKUP(Table55[[#This Row],[Shortname]], Comp[], 29, FALSE)</f>
        <v>0</v>
      </c>
      <c r="AE345">
        <f>VLOOKUP(Table55[[#This Row],[Shortname]], Comp[], 30, FALSE)</f>
        <v>0</v>
      </c>
      <c r="AF345">
        <f>VLOOKUP(Table55[[#This Row],[Shortname]], Comp[], 31, FALSE)</f>
        <v>0</v>
      </c>
    </row>
    <row r="346" spans="1:32" x14ac:dyDescent="0.3">
      <c r="A346" s="12" t="s">
        <v>6069</v>
      </c>
      <c r="B346" s="13" t="s">
        <v>6070</v>
      </c>
      <c r="C346" s="12" t="s">
        <v>6039</v>
      </c>
      <c r="D346" s="12">
        <v>1271.3</v>
      </c>
      <c r="E346" s="12">
        <v>1305.8</v>
      </c>
      <c r="F346" s="12">
        <v>1355.1</v>
      </c>
      <c r="H346" s="14">
        <f>VLOOKUP(Table55[[#This Row],[Shortname]], Comp[], 7, FALSE)</f>
        <v>42.2</v>
      </c>
      <c r="I346">
        <f>VLOOKUP(Table55[[#This Row],[Shortname]], Comp[], 8, FALSE)</f>
        <v>36</v>
      </c>
      <c r="J346">
        <f>VLOOKUP(Table55[[#This Row],[Shortname]], Comp[], 9, FALSE)</f>
        <v>12.5</v>
      </c>
      <c r="K346">
        <f>VLOOKUP(Table55[[#This Row],[Shortname]], Comp[], 10, FALSE)</f>
        <v>2</v>
      </c>
      <c r="L346">
        <f>VLOOKUP(Table55[[#This Row],[Shortname]], Comp[], 11, FALSE)</f>
        <v>1.3</v>
      </c>
      <c r="M346">
        <f>VLOOKUP(Table55[[#This Row],[Shortname]], Comp[],12, FALSE)</f>
        <v>1.9</v>
      </c>
      <c r="N346">
        <f>VLOOKUP(Table55[[#This Row],[Shortname]], Comp[], 13, FALSE)</f>
        <v>4.0999999999999996</v>
      </c>
      <c r="O346">
        <f>VLOOKUP(Table55[[#This Row],[Shortname]], Comp[], 14, FALSE)</f>
        <v>0</v>
      </c>
      <c r="P346">
        <f>VLOOKUP(Table55[[#This Row],[Shortname]], Comp[], 15, FALSE)</f>
        <v>0</v>
      </c>
      <c r="Q346">
        <f>VLOOKUP(Table55[[#This Row],[Shortname]], Comp[], 16, FALSE)</f>
        <v>0</v>
      </c>
      <c r="R346">
        <f>VLOOKUP(Table55[[#This Row],[Shortname]], Comp[], 17, FALSE)</f>
        <v>0</v>
      </c>
      <c r="S346">
        <f>VLOOKUP(Table55[[#This Row],[Shortname]], Comp[], 18, FALSE)</f>
        <v>0</v>
      </c>
      <c r="T346">
        <f>VLOOKUP(Table55[[#This Row],[Shortname]], Comp[], 19, FALSE)</f>
        <v>0</v>
      </c>
      <c r="U346">
        <f>VLOOKUP(Table55[[#This Row],[Shortname]], Comp[], 20, FALSE)</f>
        <v>0</v>
      </c>
      <c r="V346">
        <f>VLOOKUP(Table55[[#This Row],[Shortname]], Comp[], 21, FALSE)</f>
        <v>0</v>
      </c>
      <c r="W346">
        <f>VLOOKUP(Table55[[#This Row],[Shortname]], Comp[], 22, FALSE)</f>
        <v>0</v>
      </c>
      <c r="X346">
        <f>VLOOKUP(Table55[[#This Row],[Shortname]], Comp[], 23, FALSE)</f>
        <v>0</v>
      </c>
      <c r="Y346">
        <f>VLOOKUP(Table55[[#This Row],[Shortname]], Comp[], 24, FALSE)</f>
        <v>0</v>
      </c>
      <c r="Z346">
        <f>VLOOKUP(Table55[[#This Row],[Shortname]], Comp[], 25, FALSE)</f>
        <v>0</v>
      </c>
      <c r="AA346">
        <f>VLOOKUP(Table55[[#This Row],[Shortname]], Comp[], 26, FALSE)</f>
        <v>0</v>
      </c>
      <c r="AB346">
        <f>VLOOKUP(Table55[[#This Row],[Shortname]], Comp[], 27, FALSE)</f>
        <v>0</v>
      </c>
      <c r="AC346">
        <f>VLOOKUP(Table55[[#This Row],[Shortname]], Comp[], 28, FALSE)</f>
        <v>0</v>
      </c>
      <c r="AD346">
        <f>VLOOKUP(Table55[[#This Row],[Shortname]], Comp[], 29, FALSE)</f>
        <v>0</v>
      </c>
      <c r="AE346">
        <f>VLOOKUP(Table55[[#This Row],[Shortname]], Comp[], 30, FALSE)</f>
        <v>0</v>
      </c>
      <c r="AF346">
        <f>VLOOKUP(Table55[[#This Row],[Shortname]], Comp[], 31, FALSE)</f>
        <v>0</v>
      </c>
    </row>
    <row r="347" spans="1:32" x14ac:dyDescent="0.3">
      <c r="A347" s="12" t="s">
        <v>6073</v>
      </c>
      <c r="B347" s="13" t="s">
        <v>6074</v>
      </c>
      <c r="C347" s="12" t="s">
        <v>6039</v>
      </c>
      <c r="D347" s="12">
        <v>1274.4000000000001</v>
      </c>
      <c r="E347" s="12">
        <v>1305.5999999999999</v>
      </c>
      <c r="F347" s="12">
        <v>1352.5</v>
      </c>
      <c r="H347" s="14">
        <f>VLOOKUP(Table55[[#This Row],[Shortname]], Comp[], 7, FALSE)</f>
        <v>40.200000000000003</v>
      </c>
      <c r="I347">
        <f>VLOOKUP(Table55[[#This Row],[Shortname]], Comp[], 8, FALSE)</f>
        <v>37.299999999999997</v>
      </c>
      <c r="J347">
        <f>VLOOKUP(Table55[[#This Row],[Shortname]], Comp[], 9, FALSE)</f>
        <v>13.3</v>
      </c>
      <c r="K347">
        <f>VLOOKUP(Table55[[#This Row],[Shortname]], Comp[], 10, FALSE)</f>
        <v>2</v>
      </c>
      <c r="L347">
        <f>VLOOKUP(Table55[[#This Row],[Shortname]], Comp[], 11, FALSE)</f>
        <v>1.1000000000000001</v>
      </c>
      <c r="M347">
        <f>VLOOKUP(Table55[[#This Row],[Shortname]], Comp[],12, FALSE)</f>
        <v>2</v>
      </c>
      <c r="N347">
        <f>VLOOKUP(Table55[[#This Row],[Shortname]], Comp[], 13, FALSE)</f>
        <v>4.0999999999999996</v>
      </c>
      <c r="O347">
        <f>VLOOKUP(Table55[[#This Row],[Shortname]], Comp[], 14, FALSE)</f>
        <v>0</v>
      </c>
      <c r="P347">
        <f>VLOOKUP(Table55[[#This Row],[Shortname]], Comp[], 15, FALSE)</f>
        <v>0</v>
      </c>
      <c r="Q347">
        <f>VLOOKUP(Table55[[#This Row],[Shortname]], Comp[], 16, FALSE)</f>
        <v>0</v>
      </c>
      <c r="R347">
        <f>VLOOKUP(Table55[[#This Row],[Shortname]], Comp[], 17, FALSE)</f>
        <v>0</v>
      </c>
      <c r="S347">
        <f>VLOOKUP(Table55[[#This Row],[Shortname]], Comp[], 18, FALSE)</f>
        <v>0</v>
      </c>
      <c r="T347">
        <f>VLOOKUP(Table55[[#This Row],[Shortname]], Comp[], 19, FALSE)</f>
        <v>0</v>
      </c>
      <c r="U347">
        <f>VLOOKUP(Table55[[#This Row],[Shortname]], Comp[], 20, FALSE)</f>
        <v>0</v>
      </c>
      <c r="V347">
        <f>VLOOKUP(Table55[[#This Row],[Shortname]], Comp[], 21, FALSE)</f>
        <v>0</v>
      </c>
      <c r="W347">
        <f>VLOOKUP(Table55[[#This Row],[Shortname]], Comp[], 22, FALSE)</f>
        <v>0</v>
      </c>
      <c r="X347">
        <f>VLOOKUP(Table55[[#This Row],[Shortname]], Comp[], 23, FALSE)</f>
        <v>0</v>
      </c>
      <c r="Y347">
        <f>VLOOKUP(Table55[[#This Row],[Shortname]], Comp[], 24, FALSE)</f>
        <v>0</v>
      </c>
      <c r="Z347">
        <f>VLOOKUP(Table55[[#This Row],[Shortname]], Comp[], 25, FALSE)</f>
        <v>0</v>
      </c>
      <c r="AA347">
        <f>VLOOKUP(Table55[[#This Row],[Shortname]], Comp[], 26, FALSE)</f>
        <v>0</v>
      </c>
      <c r="AB347">
        <f>VLOOKUP(Table55[[#This Row],[Shortname]], Comp[], 27, FALSE)</f>
        <v>0</v>
      </c>
      <c r="AC347">
        <f>VLOOKUP(Table55[[#This Row],[Shortname]], Comp[], 28, FALSE)</f>
        <v>0</v>
      </c>
      <c r="AD347">
        <f>VLOOKUP(Table55[[#This Row],[Shortname]], Comp[], 29, FALSE)</f>
        <v>0</v>
      </c>
      <c r="AE347">
        <f>VLOOKUP(Table55[[#This Row],[Shortname]], Comp[], 30, FALSE)</f>
        <v>0</v>
      </c>
      <c r="AF347">
        <f>VLOOKUP(Table55[[#This Row],[Shortname]], Comp[], 31, FALSE)</f>
        <v>0</v>
      </c>
    </row>
    <row r="348" spans="1:32" x14ac:dyDescent="0.3">
      <c r="A348" s="12" t="s">
        <v>6077</v>
      </c>
      <c r="B348" s="13" t="s">
        <v>6078</v>
      </c>
      <c r="C348" s="12" t="s">
        <v>6039</v>
      </c>
      <c r="D348" s="12">
        <v>1247.5999999999999</v>
      </c>
      <c r="E348" s="12">
        <v>1319.6</v>
      </c>
      <c r="F348" s="12">
        <v>1364.7</v>
      </c>
      <c r="H348" s="14">
        <f>VLOOKUP(Table55[[#This Row],[Shortname]], Comp[], 7, FALSE)</f>
        <v>43.199999999999996</v>
      </c>
      <c r="I348">
        <f>VLOOKUP(Table55[[#This Row],[Shortname]], Comp[], 8, FALSE)</f>
        <v>35.6</v>
      </c>
      <c r="J348">
        <f>VLOOKUP(Table55[[#This Row],[Shortname]], Comp[], 9, FALSE)</f>
        <v>11.3</v>
      </c>
      <c r="K348">
        <f>VLOOKUP(Table55[[#This Row],[Shortname]], Comp[], 10, FALSE)</f>
        <v>2</v>
      </c>
      <c r="L348">
        <f>VLOOKUP(Table55[[#This Row],[Shortname]], Comp[], 11, FALSE)</f>
        <v>1.8</v>
      </c>
      <c r="M348">
        <f>VLOOKUP(Table55[[#This Row],[Shortname]], Comp[],12, FALSE)</f>
        <v>2</v>
      </c>
      <c r="N348">
        <f>VLOOKUP(Table55[[#This Row],[Shortname]], Comp[], 13, FALSE)</f>
        <v>4.0999999999999996</v>
      </c>
      <c r="O348">
        <f>VLOOKUP(Table55[[#This Row],[Shortname]], Comp[], 14, FALSE)</f>
        <v>0</v>
      </c>
      <c r="P348">
        <f>VLOOKUP(Table55[[#This Row],[Shortname]], Comp[], 15, FALSE)</f>
        <v>0</v>
      </c>
      <c r="Q348">
        <f>VLOOKUP(Table55[[#This Row],[Shortname]], Comp[], 16, FALSE)</f>
        <v>0</v>
      </c>
      <c r="R348">
        <f>VLOOKUP(Table55[[#This Row],[Shortname]], Comp[], 17, FALSE)</f>
        <v>0</v>
      </c>
      <c r="S348">
        <f>VLOOKUP(Table55[[#This Row],[Shortname]], Comp[], 18, FALSE)</f>
        <v>0</v>
      </c>
      <c r="T348">
        <f>VLOOKUP(Table55[[#This Row],[Shortname]], Comp[], 19, FALSE)</f>
        <v>0</v>
      </c>
      <c r="U348">
        <f>VLOOKUP(Table55[[#This Row],[Shortname]], Comp[], 20, FALSE)</f>
        <v>0</v>
      </c>
      <c r="V348">
        <f>VLOOKUP(Table55[[#This Row],[Shortname]], Comp[], 21, FALSE)</f>
        <v>0</v>
      </c>
      <c r="W348">
        <f>VLOOKUP(Table55[[#This Row],[Shortname]], Comp[], 22, FALSE)</f>
        <v>0</v>
      </c>
      <c r="X348">
        <f>VLOOKUP(Table55[[#This Row],[Shortname]], Comp[], 23, FALSE)</f>
        <v>0</v>
      </c>
      <c r="Y348">
        <f>VLOOKUP(Table55[[#This Row],[Shortname]], Comp[], 24, FALSE)</f>
        <v>0</v>
      </c>
      <c r="Z348">
        <f>VLOOKUP(Table55[[#This Row],[Shortname]], Comp[], 25, FALSE)</f>
        <v>0</v>
      </c>
      <c r="AA348">
        <f>VLOOKUP(Table55[[#This Row],[Shortname]], Comp[], 26, FALSE)</f>
        <v>0</v>
      </c>
      <c r="AB348">
        <f>VLOOKUP(Table55[[#This Row],[Shortname]], Comp[], 27, FALSE)</f>
        <v>0</v>
      </c>
      <c r="AC348">
        <f>VLOOKUP(Table55[[#This Row],[Shortname]], Comp[], 28, FALSE)</f>
        <v>0</v>
      </c>
      <c r="AD348">
        <f>VLOOKUP(Table55[[#This Row],[Shortname]], Comp[], 29, FALSE)</f>
        <v>0</v>
      </c>
      <c r="AE348">
        <f>VLOOKUP(Table55[[#This Row],[Shortname]], Comp[], 30, FALSE)</f>
        <v>0</v>
      </c>
      <c r="AF348">
        <f>VLOOKUP(Table55[[#This Row],[Shortname]], Comp[], 31, FALSE)</f>
        <v>0</v>
      </c>
    </row>
    <row r="349" spans="1:32" x14ac:dyDescent="0.3">
      <c r="A349" s="12" t="s">
        <v>6080</v>
      </c>
      <c r="B349" s="13" t="s">
        <v>6081</v>
      </c>
      <c r="C349" s="12" t="s">
        <v>6039</v>
      </c>
      <c r="D349" s="12">
        <v>1252.8</v>
      </c>
      <c r="E349" s="12">
        <v>1323</v>
      </c>
      <c r="F349" s="12">
        <v>1365.3</v>
      </c>
      <c r="H349" s="14">
        <f>VLOOKUP(Table55[[#This Row],[Shortname]], Comp[], 7, FALSE)</f>
        <v>42.899999999999991</v>
      </c>
      <c r="I349">
        <f>VLOOKUP(Table55[[#This Row],[Shortname]], Comp[], 8, FALSE)</f>
        <v>35.5</v>
      </c>
      <c r="J349">
        <f>VLOOKUP(Table55[[#This Row],[Shortname]], Comp[], 9, FALSE)</f>
        <v>13.2</v>
      </c>
      <c r="K349">
        <f>VLOOKUP(Table55[[#This Row],[Shortname]], Comp[], 10, FALSE)</f>
        <v>2.2000000000000002</v>
      </c>
      <c r="L349">
        <f>VLOOKUP(Table55[[#This Row],[Shortname]], Comp[], 11, FALSE)</f>
        <v>1.2</v>
      </c>
      <c r="M349">
        <f>VLOOKUP(Table55[[#This Row],[Shortname]], Comp[],12, FALSE)</f>
        <v>1</v>
      </c>
      <c r="N349">
        <f>VLOOKUP(Table55[[#This Row],[Shortname]], Comp[], 13, FALSE)</f>
        <v>4</v>
      </c>
      <c r="O349">
        <f>VLOOKUP(Table55[[#This Row],[Shortname]], Comp[], 14, FALSE)</f>
        <v>0</v>
      </c>
      <c r="P349">
        <f>VLOOKUP(Table55[[#This Row],[Shortname]], Comp[], 15, FALSE)</f>
        <v>0</v>
      </c>
      <c r="Q349">
        <f>VLOOKUP(Table55[[#This Row],[Shortname]], Comp[], 16, FALSE)</f>
        <v>0</v>
      </c>
      <c r="R349">
        <f>VLOOKUP(Table55[[#This Row],[Shortname]], Comp[], 17, FALSE)</f>
        <v>0</v>
      </c>
      <c r="S349">
        <f>VLOOKUP(Table55[[#This Row],[Shortname]], Comp[], 18, FALSE)</f>
        <v>0</v>
      </c>
      <c r="T349">
        <f>VLOOKUP(Table55[[#This Row],[Shortname]], Comp[], 19, FALSE)</f>
        <v>0</v>
      </c>
      <c r="U349">
        <f>VLOOKUP(Table55[[#This Row],[Shortname]], Comp[], 20, FALSE)</f>
        <v>0</v>
      </c>
      <c r="V349">
        <f>VLOOKUP(Table55[[#This Row],[Shortname]], Comp[], 21, FALSE)</f>
        <v>0</v>
      </c>
      <c r="W349">
        <f>VLOOKUP(Table55[[#This Row],[Shortname]], Comp[], 22, FALSE)</f>
        <v>0</v>
      </c>
      <c r="X349">
        <f>VLOOKUP(Table55[[#This Row],[Shortname]], Comp[], 23, FALSE)</f>
        <v>0</v>
      </c>
      <c r="Y349">
        <f>VLOOKUP(Table55[[#This Row],[Shortname]], Comp[], 24, FALSE)</f>
        <v>0</v>
      </c>
      <c r="Z349">
        <f>VLOOKUP(Table55[[#This Row],[Shortname]], Comp[], 25, FALSE)</f>
        <v>0</v>
      </c>
      <c r="AA349">
        <f>VLOOKUP(Table55[[#This Row],[Shortname]], Comp[], 26, FALSE)</f>
        <v>0</v>
      </c>
      <c r="AB349">
        <f>VLOOKUP(Table55[[#This Row],[Shortname]], Comp[], 27, FALSE)</f>
        <v>0</v>
      </c>
      <c r="AC349">
        <f>VLOOKUP(Table55[[#This Row],[Shortname]], Comp[], 28, FALSE)</f>
        <v>0</v>
      </c>
      <c r="AD349">
        <f>VLOOKUP(Table55[[#This Row],[Shortname]], Comp[], 29, FALSE)</f>
        <v>0</v>
      </c>
      <c r="AE349">
        <f>VLOOKUP(Table55[[#This Row],[Shortname]], Comp[], 30, FALSE)</f>
        <v>0</v>
      </c>
      <c r="AF349">
        <f>VLOOKUP(Table55[[#This Row],[Shortname]], Comp[], 31, FALSE)</f>
        <v>0</v>
      </c>
    </row>
    <row r="350" spans="1:32" x14ac:dyDescent="0.3">
      <c r="A350" s="12" t="s">
        <v>6086</v>
      </c>
      <c r="B350" s="12" t="s">
        <v>2120</v>
      </c>
      <c r="C350" s="12" t="s">
        <v>6087</v>
      </c>
      <c r="D350" s="12">
        <v>1075</v>
      </c>
      <c r="E350" s="12">
        <v>1390</v>
      </c>
      <c r="H350" s="14">
        <f>VLOOKUP(Table55[[#This Row],[Shortname]], Comp[], 7, FALSE)</f>
        <v>53</v>
      </c>
      <c r="I350">
        <f>VLOOKUP(Table55[[#This Row],[Shortname]], Comp[], 8, FALSE)</f>
        <v>30</v>
      </c>
      <c r="J350">
        <f>VLOOKUP(Table55[[#This Row],[Shortname]], Comp[], 9, FALSE)</f>
        <v>10</v>
      </c>
      <c r="K350">
        <f>VLOOKUP(Table55[[#This Row],[Shortname]], Comp[], 10, FALSE)</f>
        <v>0</v>
      </c>
      <c r="L350">
        <f>VLOOKUP(Table55[[#This Row],[Shortname]], Comp[], 11, FALSE)</f>
        <v>0</v>
      </c>
      <c r="M350">
        <f>VLOOKUP(Table55[[#This Row],[Shortname]], Comp[],12, FALSE)</f>
        <v>0</v>
      </c>
      <c r="N350">
        <f>VLOOKUP(Table55[[#This Row],[Shortname]], Comp[], 13, FALSE)</f>
        <v>2</v>
      </c>
      <c r="O350">
        <f>VLOOKUP(Table55[[#This Row],[Shortname]], Comp[], 14, FALSE)</f>
        <v>0</v>
      </c>
      <c r="P350">
        <f>VLOOKUP(Table55[[#This Row],[Shortname]], Comp[], 15, FALSE)</f>
        <v>5</v>
      </c>
      <c r="Q350">
        <f>VLOOKUP(Table55[[#This Row],[Shortname]], Comp[], 16, FALSE)</f>
        <v>0</v>
      </c>
      <c r="R350">
        <f>VLOOKUP(Table55[[#This Row],[Shortname]], Comp[], 17, FALSE)</f>
        <v>0</v>
      </c>
      <c r="S350">
        <f>VLOOKUP(Table55[[#This Row],[Shortname]], Comp[], 18, FALSE)</f>
        <v>0</v>
      </c>
      <c r="T350">
        <f>VLOOKUP(Table55[[#This Row],[Shortname]], Comp[], 19, FALSE)</f>
        <v>0</v>
      </c>
      <c r="U350">
        <f>VLOOKUP(Table55[[#This Row],[Shortname]], Comp[], 20, FALSE)</f>
        <v>0</v>
      </c>
      <c r="V350">
        <f>VLOOKUP(Table55[[#This Row],[Shortname]], Comp[], 21, FALSE)</f>
        <v>0</v>
      </c>
      <c r="W350">
        <f>VLOOKUP(Table55[[#This Row],[Shortname]], Comp[], 22, FALSE)</f>
        <v>0</v>
      </c>
      <c r="X350">
        <f>VLOOKUP(Table55[[#This Row],[Shortname]], Comp[], 23, FALSE)</f>
        <v>0</v>
      </c>
      <c r="Y350">
        <f>VLOOKUP(Table55[[#This Row],[Shortname]], Comp[], 24, FALSE)</f>
        <v>0</v>
      </c>
      <c r="Z350">
        <f>VLOOKUP(Table55[[#This Row],[Shortname]], Comp[], 25, FALSE)</f>
        <v>0</v>
      </c>
      <c r="AA350">
        <f>VLOOKUP(Table55[[#This Row],[Shortname]], Comp[], 26, FALSE)</f>
        <v>0</v>
      </c>
      <c r="AB350">
        <f>VLOOKUP(Table55[[#This Row],[Shortname]], Comp[], 27, FALSE)</f>
        <v>0</v>
      </c>
      <c r="AC350">
        <f>VLOOKUP(Table55[[#This Row],[Shortname]], Comp[], 28, FALSE)</f>
        <v>0</v>
      </c>
      <c r="AD350">
        <f>VLOOKUP(Table55[[#This Row],[Shortname]], Comp[], 29, FALSE)</f>
        <v>0</v>
      </c>
      <c r="AE350">
        <f>VLOOKUP(Table55[[#This Row],[Shortname]], Comp[], 30, FALSE)</f>
        <v>0</v>
      </c>
      <c r="AF350">
        <f>VLOOKUP(Table55[[#This Row],[Shortname]], Comp[], 31, FALSE)</f>
        <v>0</v>
      </c>
    </row>
    <row r="351" spans="1:32" x14ac:dyDescent="0.3">
      <c r="A351" s="12" t="s">
        <v>6089</v>
      </c>
      <c r="B351" s="12" t="s">
        <v>3899</v>
      </c>
      <c r="C351" s="12" t="s">
        <v>6087</v>
      </c>
      <c r="D351" s="12">
        <v>1152</v>
      </c>
      <c r="E351" s="12">
        <v>1345</v>
      </c>
      <c r="H351" s="14">
        <f>VLOOKUP(Table55[[#This Row],[Shortname]], Comp[], 7, FALSE)</f>
        <v>51</v>
      </c>
      <c r="I351">
        <f>VLOOKUP(Table55[[#This Row],[Shortname]], Comp[], 8, FALSE)</f>
        <v>30</v>
      </c>
      <c r="J351">
        <f>VLOOKUP(Table55[[#This Row],[Shortname]], Comp[], 9, FALSE)</f>
        <v>10</v>
      </c>
      <c r="K351">
        <f>VLOOKUP(Table55[[#This Row],[Shortname]], Comp[], 10, FALSE)</f>
        <v>0</v>
      </c>
      <c r="L351">
        <f>VLOOKUP(Table55[[#This Row],[Shortname]], Comp[], 11, FALSE)</f>
        <v>0</v>
      </c>
      <c r="M351">
        <f>VLOOKUP(Table55[[#This Row],[Shortname]], Comp[],12, FALSE)</f>
        <v>2</v>
      </c>
      <c r="N351">
        <f>VLOOKUP(Table55[[#This Row],[Shortname]], Comp[], 13, FALSE)</f>
        <v>2</v>
      </c>
      <c r="O351">
        <f>VLOOKUP(Table55[[#This Row],[Shortname]], Comp[], 14, FALSE)</f>
        <v>0</v>
      </c>
      <c r="P351">
        <f>VLOOKUP(Table55[[#This Row],[Shortname]], Comp[], 15, FALSE)</f>
        <v>5</v>
      </c>
      <c r="Q351">
        <f>VLOOKUP(Table55[[#This Row],[Shortname]], Comp[], 16, FALSE)</f>
        <v>0</v>
      </c>
      <c r="R351">
        <f>VLOOKUP(Table55[[#This Row],[Shortname]], Comp[], 17, FALSE)</f>
        <v>0</v>
      </c>
      <c r="S351">
        <f>VLOOKUP(Table55[[#This Row],[Shortname]], Comp[], 18, FALSE)</f>
        <v>0</v>
      </c>
      <c r="T351">
        <f>VLOOKUP(Table55[[#This Row],[Shortname]], Comp[], 19, FALSE)</f>
        <v>0</v>
      </c>
      <c r="U351">
        <f>VLOOKUP(Table55[[#This Row],[Shortname]], Comp[], 20, FALSE)</f>
        <v>0</v>
      </c>
      <c r="V351">
        <f>VLOOKUP(Table55[[#This Row],[Shortname]], Comp[], 21, FALSE)</f>
        <v>0</v>
      </c>
      <c r="W351">
        <f>VLOOKUP(Table55[[#This Row],[Shortname]], Comp[], 22, FALSE)</f>
        <v>0</v>
      </c>
      <c r="X351">
        <f>VLOOKUP(Table55[[#This Row],[Shortname]], Comp[], 23, FALSE)</f>
        <v>0</v>
      </c>
      <c r="Y351">
        <f>VLOOKUP(Table55[[#This Row],[Shortname]], Comp[], 24, FALSE)</f>
        <v>0</v>
      </c>
      <c r="Z351">
        <f>VLOOKUP(Table55[[#This Row],[Shortname]], Comp[], 25, FALSE)</f>
        <v>0</v>
      </c>
      <c r="AA351">
        <f>VLOOKUP(Table55[[#This Row],[Shortname]], Comp[], 26, FALSE)</f>
        <v>0</v>
      </c>
      <c r="AB351">
        <f>VLOOKUP(Table55[[#This Row],[Shortname]], Comp[], 27, FALSE)</f>
        <v>0</v>
      </c>
      <c r="AC351">
        <f>VLOOKUP(Table55[[#This Row],[Shortname]], Comp[], 28, FALSE)</f>
        <v>0</v>
      </c>
      <c r="AD351">
        <f>VLOOKUP(Table55[[#This Row],[Shortname]], Comp[], 29, FALSE)</f>
        <v>0</v>
      </c>
      <c r="AE351">
        <f>VLOOKUP(Table55[[#This Row],[Shortname]], Comp[], 30, FALSE)</f>
        <v>0</v>
      </c>
      <c r="AF351">
        <f>VLOOKUP(Table55[[#This Row],[Shortname]], Comp[], 31, FALSE)</f>
        <v>0</v>
      </c>
    </row>
    <row r="352" spans="1:32" x14ac:dyDescent="0.3">
      <c r="A352" s="12" t="s">
        <v>6091</v>
      </c>
      <c r="B352" s="12" t="s">
        <v>3927</v>
      </c>
      <c r="C352" s="12" t="s">
        <v>6087</v>
      </c>
      <c r="D352" s="12">
        <v>1154</v>
      </c>
      <c r="E352" s="12">
        <v>1323</v>
      </c>
      <c r="H352" s="14">
        <f>VLOOKUP(Table55[[#This Row],[Shortname]], Comp[], 7, FALSE)</f>
        <v>51</v>
      </c>
      <c r="I352">
        <f>VLOOKUP(Table55[[#This Row],[Shortname]], Comp[], 8, FALSE)</f>
        <v>30</v>
      </c>
      <c r="J352">
        <f>VLOOKUP(Table55[[#This Row],[Shortname]], Comp[], 9, FALSE)</f>
        <v>10</v>
      </c>
      <c r="K352">
        <f>VLOOKUP(Table55[[#This Row],[Shortname]], Comp[], 10, FALSE)</f>
        <v>0</v>
      </c>
      <c r="L352">
        <f>VLOOKUP(Table55[[#This Row],[Shortname]], Comp[], 11, FALSE)</f>
        <v>0</v>
      </c>
      <c r="M352">
        <f>VLOOKUP(Table55[[#This Row],[Shortname]], Comp[],12, FALSE)</f>
        <v>0</v>
      </c>
      <c r="N352">
        <f>VLOOKUP(Table55[[#This Row],[Shortname]], Comp[], 13, FALSE)</f>
        <v>2</v>
      </c>
      <c r="O352">
        <f>VLOOKUP(Table55[[#This Row],[Shortname]], Comp[], 14, FALSE)</f>
        <v>2</v>
      </c>
      <c r="P352">
        <f>VLOOKUP(Table55[[#This Row],[Shortname]], Comp[], 15, FALSE)</f>
        <v>5</v>
      </c>
      <c r="Q352">
        <f>VLOOKUP(Table55[[#This Row],[Shortname]], Comp[], 16, FALSE)</f>
        <v>0</v>
      </c>
      <c r="R352">
        <f>VLOOKUP(Table55[[#This Row],[Shortname]], Comp[], 17, FALSE)</f>
        <v>0</v>
      </c>
      <c r="S352">
        <f>VLOOKUP(Table55[[#This Row],[Shortname]], Comp[], 18, FALSE)</f>
        <v>0</v>
      </c>
      <c r="T352">
        <f>VLOOKUP(Table55[[#This Row],[Shortname]], Comp[], 19, FALSE)</f>
        <v>0</v>
      </c>
      <c r="U352">
        <f>VLOOKUP(Table55[[#This Row],[Shortname]], Comp[], 20, FALSE)</f>
        <v>0</v>
      </c>
      <c r="V352">
        <f>VLOOKUP(Table55[[#This Row],[Shortname]], Comp[], 21, FALSE)</f>
        <v>0</v>
      </c>
      <c r="W352">
        <f>VLOOKUP(Table55[[#This Row],[Shortname]], Comp[], 22, FALSE)</f>
        <v>0</v>
      </c>
      <c r="X352">
        <f>VLOOKUP(Table55[[#This Row],[Shortname]], Comp[], 23, FALSE)</f>
        <v>0</v>
      </c>
      <c r="Y352">
        <f>VLOOKUP(Table55[[#This Row],[Shortname]], Comp[], 24, FALSE)</f>
        <v>0</v>
      </c>
      <c r="Z352">
        <f>VLOOKUP(Table55[[#This Row],[Shortname]], Comp[], 25, FALSE)</f>
        <v>0</v>
      </c>
      <c r="AA352">
        <f>VLOOKUP(Table55[[#This Row],[Shortname]], Comp[], 26, FALSE)</f>
        <v>0</v>
      </c>
      <c r="AB352">
        <f>VLOOKUP(Table55[[#This Row],[Shortname]], Comp[], 27, FALSE)</f>
        <v>0</v>
      </c>
      <c r="AC352">
        <f>VLOOKUP(Table55[[#This Row],[Shortname]], Comp[], 28, FALSE)</f>
        <v>0</v>
      </c>
      <c r="AD352">
        <f>VLOOKUP(Table55[[#This Row],[Shortname]], Comp[], 29, FALSE)</f>
        <v>0</v>
      </c>
      <c r="AE352">
        <f>VLOOKUP(Table55[[#This Row],[Shortname]], Comp[], 30, FALSE)</f>
        <v>0</v>
      </c>
      <c r="AF352">
        <f>VLOOKUP(Table55[[#This Row],[Shortname]], Comp[], 31, FALSE)</f>
        <v>0</v>
      </c>
    </row>
    <row r="353" spans="1:32" x14ac:dyDescent="0.3">
      <c r="A353" s="12" t="s">
        <v>6093</v>
      </c>
      <c r="B353" s="12" t="s">
        <v>1484</v>
      </c>
      <c r="C353" s="12" t="s">
        <v>6087</v>
      </c>
      <c r="D353" s="12">
        <v>1098</v>
      </c>
      <c r="E353" s="12">
        <v>1378</v>
      </c>
      <c r="H353" s="14">
        <f>VLOOKUP(Table55[[#This Row],[Shortname]], Comp[], 7, FALSE)</f>
        <v>51</v>
      </c>
      <c r="I353">
        <f>VLOOKUP(Table55[[#This Row],[Shortname]], Comp[], 8, FALSE)</f>
        <v>30</v>
      </c>
      <c r="J353">
        <f>VLOOKUP(Table55[[#This Row],[Shortname]], Comp[], 9, FALSE)</f>
        <v>10</v>
      </c>
      <c r="K353">
        <f>VLOOKUP(Table55[[#This Row],[Shortname]], Comp[], 10, FALSE)</f>
        <v>0</v>
      </c>
      <c r="L353">
        <f>VLOOKUP(Table55[[#This Row],[Shortname]], Comp[], 11, FALSE)</f>
        <v>0</v>
      </c>
      <c r="M353">
        <f>VLOOKUP(Table55[[#This Row],[Shortname]], Comp[],12, FALSE)</f>
        <v>0</v>
      </c>
      <c r="N353">
        <f>VLOOKUP(Table55[[#This Row],[Shortname]], Comp[], 13, FALSE)</f>
        <v>2</v>
      </c>
      <c r="O353">
        <f>VLOOKUP(Table55[[#This Row],[Shortname]], Comp[], 14, FALSE)</f>
        <v>0</v>
      </c>
      <c r="P353">
        <f>VLOOKUP(Table55[[#This Row],[Shortname]], Comp[], 15, FALSE)</f>
        <v>5</v>
      </c>
      <c r="Q353">
        <f>VLOOKUP(Table55[[#This Row],[Shortname]], Comp[], 16, FALSE)</f>
        <v>2</v>
      </c>
      <c r="R353">
        <f>VLOOKUP(Table55[[#This Row],[Shortname]], Comp[], 17, FALSE)</f>
        <v>0</v>
      </c>
      <c r="S353">
        <f>VLOOKUP(Table55[[#This Row],[Shortname]], Comp[], 18, FALSE)</f>
        <v>0</v>
      </c>
      <c r="T353">
        <f>VLOOKUP(Table55[[#This Row],[Shortname]], Comp[], 19, FALSE)</f>
        <v>0</v>
      </c>
      <c r="U353">
        <f>VLOOKUP(Table55[[#This Row],[Shortname]], Comp[], 20, FALSE)</f>
        <v>0</v>
      </c>
      <c r="V353">
        <f>VLOOKUP(Table55[[#This Row],[Shortname]], Comp[], 21, FALSE)</f>
        <v>0</v>
      </c>
      <c r="W353">
        <f>VLOOKUP(Table55[[#This Row],[Shortname]], Comp[], 22, FALSE)</f>
        <v>0</v>
      </c>
      <c r="X353">
        <f>VLOOKUP(Table55[[#This Row],[Shortname]], Comp[], 23, FALSE)</f>
        <v>0</v>
      </c>
      <c r="Y353">
        <f>VLOOKUP(Table55[[#This Row],[Shortname]], Comp[], 24, FALSE)</f>
        <v>0</v>
      </c>
      <c r="Z353">
        <f>VLOOKUP(Table55[[#This Row],[Shortname]], Comp[], 25, FALSE)</f>
        <v>0</v>
      </c>
      <c r="AA353">
        <f>VLOOKUP(Table55[[#This Row],[Shortname]], Comp[], 26, FALSE)</f>
        <v>0</v>
      </c>
      <c r="AB353">
        <f>VLOOKUP(Table55[[#This Row],[Shortname]], Comp[], 27, FALSE)</f>
        <v>0</v>
      </c>
      <c r="AC353">
        <f>VLOOKUP(Table55[[#This Row],[Shortname]], Comp[], 28, FALSE)</f>
        <v>0</v>
      </c>
      <c r="AD353">
        <f>VLOOKUP(Table55[[#This Row],[Shortname]], Comp[], 29, FALSE)</f>
        <v>0</v>
      </c>
      <c r="AE353">
        <f>VLOOKUP(Table55[[#This Row],[Shortname]], Comp[], 30, FALSE)</f>
        <v>0</v>
      </c>
      <c r="AF353">
        <f>VLOOKUP(Table55[[#This Row],[Shortname]], Comp[], 31, FALSE)</f>
        <v>0</v>
      </c>
    </row>
    <row r="354" spans="1:32" x14ac:dyDescent="0.3">
      <c r="A354" s="12" t="s">
        <v>6095</v>
      </c>
      <c r="B354" s="12" t="s">
        <v>5803</v>
      </c>
      <c r="C354" s="12" t="s">
        <v>6087</v>
      </c>
      <c r="D354" s="12">
        <v>1131</v>
      </c>
      <c r="E354" s="12">
        <v>1390</v>
      </c>
      <c r="H354" s="14">
        <f>VLOOKUP(Table55[[#This Row],[Shortname]], Comp[], 7, FALSE)</f>
        <v>51</v>
      </c>
      <c r="I354">
        <f>VLOOKUP(Table55[[#This Row],[Shortname]], Comp[], 8, FALSE)</f>
        <v>30</v>
      </c>
      <c r="J354">
        <f>VLOOKUP(Table55[[#This Row],[Shortname]], Comp[], 9, FALSE)</f>
        <v>10</v>
      </c>
      <c r="K354">
        <f>VLOOKUP(Table55[[#This Row],[Shortname]], Comp[], 10, FALSE)</f>
        <v>0</v>
      </c>
      <c r="L354">
        <f>VLOOKUP(Table55[[#This Row],[Shortname]], Comp[], 11, FALSE)</f>
        <v>2</v>
      </c>
      <c r="M354">
        <f>VLOOKUP(Table55[[#This Row],[Shortname]], Comp[],12, FALSE)</f>
        <v>0</v>
      </c>
      <c r="N354">
        <f>VLOOKUP(Table55[[#This Row],[Shortname]], Comp[], 13, FALSE)</f>
        <v>2</v>
      </c>
      <c r="O354">
        <f>VLOOKUP(Table55[[#This Row],[Shortname]], Comp[], 14, FALSE)</f>
        <v>0</v>
      </c>
      <c r="P354">
        <f>VLOOKUP(Table55[[#This Row],[Shortname]], Comp[], 15, FALSE)</f>
        <v>5</v>
      </c>
      <c r="Q354">
        <f>VLOOKUP(Table55[[#This Row],[Shortname]], Comp[], 16, FALSE)</f>
        <v>0</v>
      </c>
      <c r="R354">
        <f>VLOOKUP(Table55[[#This Row],[Shortname]], Comp[], 17, FALSE)</f>
        <v>0</v>
      </c>
      <c r="S354">
        <f>VLOOKUP(Table55[[#This Row],[Shortname]], Comp[], 18, FALSE)</f>
        <v>0</v>
      </c>
      <c r="T354">
        <f>VLOOKUP(Table55[[#This Row],[Shortname]], Comp[], 19, FALSE)</f>
        <v>0</v>
      </c>
      <c r="U354">
        <f>VLOOKUP(Table55[[#This Row],[Shortname]], Comp[], 20, FALSE)</f>
        <v>0</v>
      </c>
      <c r="V354">
        <f>VLOOKUP(Table55[[#This Row],[Shortname]], Comp[], 21, FALSE)</f>
        <v>0</v>
      </c>
      <c r="W354">
        <f>VLOOKUP(Table55[[#This Row],[Shortname]], Comp[], 22, FALSE)</f>
        <v>0</v>
      </c>
      <c r="X354">
        <f>VLOOKUP(Table55[[#This Row],[Shortname]], Comp[], 23, FALSE)</f>
        <v>0</v>
      </c>
      <c r="Y354">
        <f>VLOOKUP(Table55[[#This Row],[Shortname]], Comp[], 24, FALSE)</f>
        <v>0</v>
      </c>
      <c r="Z354">
        <f>VLOOKUP(Table55[[#This Row],[Shortname]], Comp[], 25, FALSE)</f>
        <v>0</v>
      </c>
      <c r="AA354">
        <f>VLOOKUP(Table55[[#This Row],[Shortname]], Comp[], 26, FALSE)</f>
        <v>0</v>
      </c>
      <c r="AB354">
        <f>VLOOKUP(Table55[[#This Row],[Shortname]], Comp[], 27, FALSE)</f>
        <v>0</v>
      </c>
      <c r="AC354">
        <f>VLOOKUP(Table55[[#This Row],[Shortname]], Comp[], 28, FALSE)</f>
        <v>0</v>
      </c>
      <c r="AD354">
        <f>VLOOKUP(Table55[[#This Row],[Shortname]], Comp[], 29, FALSE)</f>
        <v>0</v>
      </c>
      <c r="AE354">
        <f>VLOOKUP(Table55[[#This Row],[Shortname]], Comp[], 30, FALSE)</f>
        <v>0</v>
      </c>
      <c r="AF354">
        <f>VLOOKUP(Table55[[#This Row],[Shortname]], Comp[], 31, FALSE)</f>
        <v>0</v>
      </c>
    </row>
    <row r="355" spans="1:32" x14ac:dyDescent="0.3">
      <c r="A355" s="12" t="s">
        <v>6097</v>
      </c>
      <c r="B355" s="12" t="s">
        <v>6098</v>
      </c>
      <c r="C355" s="12" t="s">
        <v>6099</v>
      </c>
      <c r="D355" s="12">
        <v>1142</v>
      </c>
      <c r="E355" s="12">
        <v>1328</v>
      </c>
      <c r="F355" s="12">
        <v>1378</v>
      </c>
      <c r="H355" s="14">
        <f>VLOOKUP(Table55[[#This Row],[Shortname]], Comp[], 7, FALSE)</f>
        <v>1.9999999999996021E-2</v>
      </c>
      <c r="I355">
        <f>VLOOKUP(Table55[[#This Row],[Shortname]], Comp[], 8, FALSE)</f>
        <v>74.88</v>
      </c>
      <c r="J355">
        <f>VLOOKUP(Table55[[#This Row],[Shortname]], Comp[], 9, FALSE)</f>
        <v>4.93</v>
      </c>
      <c r="K355">
        <f>VLOOKUP(Table55[[#This Row],[Shortname]], Comp[], 10, FALSE)</f>
        <v>14.9</v>
      </c>
      <c r="L355">
        <f>VLOOKUP(Table55[[#This Row],[Shortname]], Comp[], 11, FALSE)</f>
        <v>0</v>
      </c>
      <c r="M355">
        <f>VLOOKUP(Table55[[#This Row],[Shortname]], Comp[],12, FALSE)</f>
        <v>5.27</v>
      </c>
      <c r="N355">
        <f>VLOOKUP(Table55[[#This Row],[Shortname]], Comp[], 13, FALSE)</f>
        <v>0</v>
      </c>
      <c r="O355">
        <f>VLOOKUP(Table55[[#This Row],[Shortname]], Comp[], 14, FALSE)</f>
        <v>0</v>
      </c>
      <c r="P355">
        <f>VLOOKUP(Table55[[#This Row],[Shortname]], Comp[], 15, FALSE)</f>
        <v>0</v>
      </c>
      <c r="Q355">
        <f>VLOOKUP(Table55[[#This Row],[Shortname]], Comp[], 16, FALSE)</f>
        <v>0</v>
      </c>
      <c r="R355">
        <f>VLOOKUP(Table55[[#This Row],[Shortname]], Comp[], 17, FALSE)</f>
        <v>0</v>
      </c>
      <c r="S355">
        <f>VLOOKUP(Table55[[#This Row],[Shortname]], Comp[], 18, FALSE)</f>
        <v>0</v>
      </c>
      <c r="T355">
        <f>VLOOKUP(Table55[[#This Row],[Shortname]], Comp[], 19, FALSE)</f>
        <v>0</v>
      </c>
      <c r="U355">
        <f>VLOOKUP(Table55[[#This Row],[Shortname]], Comp[], 20, FALSE)</f>
        <v>0</v>
      </c>
      <c r="V355">
        <f>VLOOKUP(Table55[[#This Row],[Shortname]], Comp[], 21, FALSE)</f>
        <v>0</v>
      </c>
      <c r="W355">
        <f>VLOOKUP(Table55[[#This Row],[Shortname]], Comp[], 22, FALSE)</f>
        <v>0</v>
      </c>
      <c r="X355">
        <f>VLOOKUP(Table55[[#This Row],[Shortname]], Comp[], 23, FALSE)</f>
        <v>0</v>
      </c>
      <c r="Y355">
        <f>VLOOKUP(Table55[[#This Row],[Shortname]], Comp[], 24, FALSE)</f>
        <v>0</v>
      </c>
      <c r="Z355">
        <f>VLOOKUP(Table55[[#This Row],[Shortname]], Comp[], 25, FALSE)</f>
        <v>0</v>
      </c>
      <c r="AA355">
        <f>VLOOKUP(Table55[[#This Row],[Shortname]], Comp[], 26, FALSE)</f>
        <v>0</v>
      </c>
      <c r="AB355">
        <f>VLOOKUP(Table55[[#This Row],[Shortname]], Comp[], 27, FALSE)</f>
        <v>0</v>
      </c>
      <c r="AC355">
        <f>VLOOKUP(Table55[[#This Row],[Shortname]], Comp[], 28, FALSE)</f>
        <v>0</v>
      </c>
      <c r="AD355">
        <f>VLOOKUP(Table55[[#This Row],[Shortname]], Comp[], 29, FALSE)</f>
        <v>0</v>
      </c>
      <c r="AE355">
        <f>VLOOKUP(Table55[[#This Row],[Shortname]], Comp[], 30, FALSE)</f>
        <v>0</v>
      </c>
      <c r="AF355">
        <f>VLOOKUP(Table55[[#This Row],[Shortname]], Comp[], 31, FALSE)</f>
        <v>0</v>
      </c>
    </row>
    <row r="356" spans="1:32" x14ac:dyDescent="0.3">
      <c r="A356" s="12" t="s">
        <v>6102</v>
      </c>
      <c r="B356" s="12" t="s">
        <v>6103</v>
      </c>
      <c r="C356" s="12" t="s">
        <v>6099</v>
      </c>
      <c r="D356" s="12">
        <v>1137</v>
      </c>
      <c r="E356" s="12">
        <v>1325</v>
      </c>
      <c r="F356" s="12">
        <v>1379</v>
      </c>
      <c r="H356" s="14">
        <f>VLOOKUP(Table55[[#This Row],[Shortname]], Comp[], 7, FALSE)</f>
        <v>9.6099999999999852</v>
      </c>
      <c r="I356">
        <f>VLOOKUP(Table55[[#This Row],[Shortname]], Comp[], 8, FALSE)</f>
        <v>65.2</v>
      </c>
      <c r="J356">
        <f>VLOOKUP(Table55[[#This Row],[Shortname]], Comp[], 9, FALSE)</f>
        <v>5.09</v>
      </c>
      <c r="K356">
        <f>VLOOKUP(Table55[[#This Row],[Shortname]], Comp[], 10, FALSE)</f>
        <v>14.9</v>
      </c>
      <c r="L356">
        <f>VLOOKUP(Table55[[#This Row],[Shortname]], Comp[], 11, FALSE)</f>
        <v>0</v>
      </c>
      <c r="M356">
        <f>VLOOKUP(Table55[[#This Row],[Shortname]], Comp[],12, FALSE)</f>
        <v>5.2</v>
      </c>
      <c r="N356">
        <f>VLOOKUP(Table55[[#This Row],[Shortname]], Comp[], 13, FALSE)</f>
        <v>0</v>
      </c>
      <c r="O356">
        <f>VLOOKUP(Table55[[#This Row],[Shortname]], Comp[], 14, FALSE)</f>
        <v>0</v>
      </c>
      <c r="P356">
        <f>VLOOKUP(Table55[[#This Row],[Shortname]], Comp[], 15, FALSE)</f>
        <v>0</v>
      </c>
      <c r="Q356">
        <f>VLOOKUP(Table55[[#This Row],[Shortname]], Comp[], 16, FALSE)</f>
        <v>0</v>
      </c>
      <c r="R356">
        <f>VLOOKUP(Table55[[#This Row],[Shortname]], Comp[], 17, FALSE)</f>
        <v>0</v>
      </c>
      <c r="S356">
        <f>VLOOKUP(Table55[[#This Row],[Shortname]], Comp[], 18, FALSE)</f>
        <v>0</v>
      </c>
      <c r="T356">
        <f>VLOOKUP(Table55[[#This Row],[Shortname]], Comp[], 19, FALSE)</f>
        <v>0</v>
      </c>
      <c r="U356">
        <f>VLOOKUP(Table55[[#This Row],[Shortname]], Comp[], 20, FALSE)</f>
        <v>0</v>
      </c>
      <c r="V356">
        <f>VLOOKUP(Table55[[#This Row],[Shortname]], Comp[], 21, FALSE)</f>
        <v>0</v>
      </c>
      <c r="W356">
        <f>VLOOKUP(Table55[[#This Row],[Shortname]], Comp[], 22, FALSE)</f>
        <v>0</v>
      </c>
      <c r="X356">
        <f>VLOOKUP(Table55[[#This Row],[Shortname]], Comp[], 23, FALSE)</f>
        <v>0</v>
      </c>
      <c r="Y356">
        <f>VLOOKUP(Table55[[#This Row],[Shortname]], Comp[], 24, FALSE)</f>
        <v>0</v>
      </c>
      <c r="Z356">
        <f>VLOOKUP(Table55[[#This Row],[Shortname]], Comp[], 25, FALSE)</f>
        <v>0</v>
      </c>
      <c r="AA356">
        <f>VLOOKUP(Table55[[#This Row],[Shortname]], Comp[], 26, FALSE)</f>
        <v>0</v>
      </c>
      <c r="AB356">
        <f>VLOOKUP(Table55[[#This Row],[Shortname]], Comp[], 27, FALSE)</f>
        <v>0</v>
      </c>
      <c r="AC356">
        <f>VLOOKUP(Table55[[#This Row],[Shortname]], Comp[], 28, FALSE)</f>
        <v>0</v>
      </c>
      <c r="AD356">
        <f>VLOOKUP(Table55[[#This Row],[Shortname]], Comp[], 29, FALSE)</f>
        <v>0</v>
      </c>
      <c r="AE356">
        <f>VLOOKUP(Table55[[#This Row],[Shortname]], Comp[], 30, FALSE)</f>
        <v>0</v>
      </c>
      <c r="AF356">
        <f>VLOOKUP(Table55[[#This Row],[Shortname]], Comp[], 31, FALSE)</f>
        <v>0</v>
      </c>
    </row>
    <row r="357" spans="1:32" x14ac:dyDescent="0.3">
      <c r="A357" s="12" t="s">
        <v>6107</v>
      </c>
      <c r="B357" s="12" t="s">
        <v>6108</v>
      </c>
      <c r="C357" s="12" t="s">
        <v>6099</v>
      </c>
      <c r="D357" s="12">
        <v>1122</v>
      </c>
      <c r="E357" s="12">
        <v>1314</v>
      </c>
      <c r="F357" s="12">
        <v>1383</v>
      </c>
      <c r="H357" s="14">
        <f>VLOOKUP(Table55[[#This Row],[Shortname]], Comp[], 7, FALSE)</f>
        <v>18.64</v>
      </c>
      <c r="I357">
        <f>VLOOKUP(Table55[[#This Row],[Shortname]], Comp[], 8, FALSE)</f>
        <v>56.21</v>
      </c>
      <c r="J357">
        <f>VLOOKUP(Table55[[#This Row],[Shortname]], Comp[], 9, FALSE)</f>
        <v>5.08</v>
      </c>
      <c r="K357">
        <f>VLOOKUP(Table55[[#This Row],[Shortname]], Comp[], 10, FALSE)</f>
        <v>14.8</v>
      </c>
      <c r="L357">
        <f>VLOOKUP(Table55[[#This Row],[Shortname]], Comp[], 11, FALSE)</f>
        <v>0</v>
      </c>
      <c r="M357">
        <f>VLOOKUP(Table55[[#This Row],[Shortname]], Comp[],12, FALSE)</f>
        <v>5.27</v>
      </c>
      <c r="N357">
        <f>VLOOKUP(Table55[[#This Row],[Shortname]], Comp[], 13, FALSE)</f>
        <v>0</v>
      </c>
      <c r="O357">
        <f>VLOOKUP(Table55[[#This Row],[Shortname]], Comp[], 14, FALSE)</f>
        <v>0</v>
      </c>
      <c r="P357">
        <f>VLOOKUP(Table55[[#This Row],[Shortname]], Comp[], 15, FALSE)</f>
        <v>0</v>
      </c>
      <c r="Q357">
        <f>VLOOKUP(Table55[[#This Row],[Shortname]], Comp[], 16, FALSE)</f>
        <v>0</v>
      </c>
      <c r="R357">
        <f>VLOOKUP(Table55[[#This Row],[Shortname]], Comp[], 17, FALSE)</f>
        <v>0</v>
      </c>
      <c r="S357">
        <f>VLOOKUP(Table55[[#This Row],[Shortname]], Comp[], 18, FALSE)</f>
        <v>0</v>
      </c>
      <c r="T357">
        <f>VLOOKUP(Table55[[#This Row],[Shortname]], Comp[], 19, FALSE)</f>
        <v>0</v>
      </c>
      <c r="U357">
        <f>VLOOKUP(Table55[[#This Row],[Shortname]], Comp[], 20, FALSE)</f>
        <v>0</v>
      </c>
      <c r="V357">
        <f>VLOOKUP(Table55[[#This Row],[Shortname]], Comp[], 21, FALSE)</f>
        <v>0</v>
      </c>
      <c r="W357">
        <f>VLOOKUP(Table55[[#This Row],[Shortname]], Comp[], 22, FALSE)</f>
        <v>0</v>
      </c>
      <c r="X357">
        <f>VLOOKUP(Table55[[#This Row],[Shortname]], Comp[], 23, FALSE)</f>
        <v>0</v>
      </c>
      <c r="Y357">
        <f>VLOOKUP(Table55[[#This Row],[Shortname]], Comp[], 24, FALSE)</f>
        <v>0</v>
      </c>
      <c r="Z357">
        <f>VLOOKUP(Table55[[#This Row],[Shortname]], Comp[], 25, FALSE)</f>
        <v>0</v>
      </c>
      <c r="AA357">
        <f>VLOOKUP(Table55[[#This Row],[Shortname]], Comp[], 26, FALSE)</f>
        <v>0</v>
      </c>
      <c r="AB357">
        <f>VLOOKUP(Table55[[#This Row],[Shortname]], Comp[], 27, FALSE)</f>
        <v>0</v>
      </c>
      <c r="AC357">
        <f>VLOOKUP(Table55[[#This Row],[Shortname]], Comp[], 28, FALSE)</f>
        <v>0</v>
      </c>
      <c r="AD357">
        <f>VLOOKUP(Table55[[#This Row],[Shortname]], Comp[], 29, FALSE)</f>
        <v>0</v>
      </c>
      <c r="AE357">
        <f>VLOOKUP(Table55[[#This Row],[Shortname]], Comp[], 30, FALSE)</f>
        <v>0</v>
      </c>
      <c r="AF357">
        <f>VLOOKUP(Table55[[#This Row],[Shortname]], Comp[], 31, FALSE)</f>
        <v>0</v>
      </c>
    </row>
    <row r="358" spans="1:32" x14ac:dyDescent="0.3">
      <c r="A358" s="12" t="s">
        <v>6111</v>
      </c>
      <c r="B358" s="12" t="s">
        <v>6112</v>
      </c>
      <c r="C358" s="12" t="s">
        <v>6099</v>
      </c>
      <c r="D358" s="12">
        <v>1103</v>
      </c>
      <c r="E358" s="12">
        <v>1315</v>
      </c>
      <c r="F358" s="12">
        <v>1386</v>
      </c>
      <c r="H358" s="14">
        <f>VLOOKUP(Table55[[#This Row],[Shortname]], Comp[], 7, FALSE)</f>
        <v>27.759999999999991</v>
      </c>
      <c r="I358">
        <f>VLOOKUP(Table55[[#This Row],[Shortname]], Comp[], 8, FALSE)</f>
        <v>47.2</v>
      </c>
      <c r="J358">
        <f>VLOOKUP(Table55[[#This Row],[Shortname]], Comp[], 9, FALSE)</f>
        <v>5.01</v>
      </c>
      <c r="K358">
        <f>VLOOKUP(Table55[[#This Row],[Shortname]], Comp[], 10, FALSE)</f>
        <v>14.8</v>
      </c>
      <c r="L358">
        <f>VLOOKUP(Table55[[#This Row],[Shortname]], Comp[], 11, FALSE)</f>
        <v>0</v>
      </c>
      <c r="M358">
        <f>VLOOKUP(Table55[[#This Row],[Shortname]], Comp[],12, FALSE)</f>
        <v>5.23</v>
      </c>
      <c r="N358">
        <f>VLOOKUP(Table55[[#This Row],[Shortname]], Comp[], 13, FALSE)</f>
        <v>0</v>
      </c>
      <c r="O358">
        <f>VLOOKUP(Table55[[#This Row],[Shortname]], Comp[], 14, FALSE)</f>
        <v>0</v>
      </c>
      <c r="P358">
        <f>VLOOKUP(Table55[[#This Row],[Shortname]], Comp[], 15, FALSE)</f>
        <v>0</v>
      </c>
      <c r="Q358">
        <f>VLOOKUP(Table55[[#This Row],[Shortname]], Comp[], 16, FALSE)</f>
        <v>0</v>
      </c>
      <c r="R358">
        <f>VLOOKUP(Table55[[#This Row],[Shortname]], Comp[], 17, FALSE)</f>
        <v>0</v>
      </c>
      <c r="S358">
        <f>VLOOKUP(Table55[[#This Row],[Shortname]], Comp[], 18, FALSE)</f>
        <v>0</v>
      </c>
      <c r="T358">
        <f>VLOOKUP(Table55[[#This Row],[Shortname]], Comp[], 19, FALSE)</f>
        <v>0</v>
      </c>
      <c r="U358">
        <f>VLOOKUP(Table55[[#This Row],[Shortname]], Comp[], 20, FALSE)</f>
        <v>0</v>
      </c>
      <c r="V358">
        <f>VLOOKUP(Table55[[#This Row],[Shortname]], Comp[], 21, FALSE)</f>
        <v>0</v>
      </c>
      <c r="W358">
        <f>VLOOKUP(Table55[[#This Row],[Shortname]], Comp[], 22, FALSE)</f>
        <v>0</v>
      </c>
      <c r="X358">
        <f>VLOOKUP(Table55[[#This Row],[Shortname]], Comp[], 23, FALSE)</f>
        <v>0</v>
      </c>
      <c r="Y358">
        <f>VLOOKUP(Table55[[#This Row],[Shortname]], Comp[], 24, FALSE)</f>
        <v>0</v>
      </c>
      <c r="Z358">
        <f>VLOOKUP(Table55[[#This Row],[Shortname]], Comp[], 25, FALSE)</f>
        <v>0</v>
      </c>
      <c r="AA358">
        <f>VLOOKUP(Table55[[#This Row],[Shortname]], Comp[], 26, FALSE)</f>
        <v>0</v>
      </c>
      <c r="AB358">
        <f>VLOOKUP(Table55[[#This Row],[Shortname]], Comp[], 27, FALSE)</f>
        <v>0</v>
      </c>
      <c r="AC358">
        <f>VLOOKUP(Table55[[#This Row],[Shortname]], Comp[], 28, FALSE)</f>
        <v>0</v>
      </c>
      <c r="AD358">
        <f>VLOOKUP(Table55[[#This Row],[Shortname]], Comp[], 29, FALSE)</f>
        <v>0</v>
      </c>
      <c r="AE358">
        <f>VLOOKUP(Table55[[#This Row],[Shortname]], Comp[], 30, FALSE)</f>
        <v>0</v>
      </c>
      <c r="AF358">
        <f>VLOOKUP(Table55[[#This Row],[Shortname]], Comp[], 31, FALSE)</f>
        <v>0</v>
      </c>
    </row>
    <row r="359" spans="1:32" x14ac:dyDescent="0.3">
      <c r="A359" s="12" t="s">
        <v>6115</v>
      </c>
      <c r="B359" s="12" t="s">
        <v>6116</v>
      </c>
      <c r="C359" s="12" t="s">
        <v>6099</v>
      </c>
      <c r="D359" s="12">
        <v>1074</v>
      </c>
      <c r="E359" s="12">
        <v>1309</v>
      </c>
      <c r="F359" s="12">
        <v>1386</v>
      </c>
      <c r="H359" s="14">
        <f>VLOOKUP(Table55[[#This Row],[Shortname]], Comp[], 7, FALSE)</f>
        <v>37.21</v>
      </c>
      <c r="I359">
        <f>VLOOKUP(Table55[[#This Row],[Shortname]], Comp[], 8, FALSE)</f>
        <v>37.700000000000003</v>
      </c>
      <c r="J359">
        <f>VLOOKUP(Table55[[#This Row],[Shortname]], Comp[], 9, FALSE)</f>
        <v>5.01</v>
      </c>
      <c r="K359">
        <f>VLOOKUP(Table55[[#This Row],[Shortname]], Comp[], 10, FALSE)</f>
        <v>15</v>
      </c>
      <c r="L359">
        <f>VLOOKUP(Table55[[#This Row],[Shortname]], Comp[], 11, FALSE)</f>
        <v>0</v>
      </c>
      <c r="M359">
        <f>VLOOKUP(Table55[[#This Row],[Shortname]], Comp[],12, FALSE)</f>
        <v>5.08</v>
      </c>
      <c r="N359">
        <f>VLOOKUP(Table55[[#This Row],[Shortname]], Comp[], 13, FALSE)</f>
        <v>0</v>
      </c>
      <c r="O359">
        <f>VLOOKUP(Table55[[#This Row],[Shortname]], Comp[], 14, FALSE)</f>
        <v>0</v>
      </c>
      <c r="P359">
        <f>VLOOKUP(Table55[[#This Row],[Shortname]], Comp[], 15, FALSE)</f>
        <v>0</v>
      </c>
      <c r="Q359">
        <f>VLOOKUP(Table55[[#This Row],[Shortname]], Comp[], 16, FALSE)</f>
        <v>0</v>
      </c>
      <c r="R359">
        <f>VLOOKUP(Table55[[#This Row],[Shortname]], Comp[], 17, FALSE)</f>
        <v>0</v>
      </c>
      <c r="S359">
        <f>VLOOKUP(Table55[[#This Row],[Shortname]], Comp[], 18, FALSE)</f>
        <v>0</v>
      </c>
      <c r="T359">
        <f>VLOOKUP(Table55[[#This Row],[Shortname]], Comp[], 19, FALSE)</f>
        <v>0</v>
      </c>
      <c r="U359">
        <f>VLOOKUP(Table55[[#This Row],[Shortname]], Comp[], 20, FALSE)</f>
        <v>0</v>
      </c>
      <c r="V359">
        <f>VLOOKUP(Table55[[#This Row],[Shortname]], Comp[], 21, FALSE)</f>
        <v>0</v>
      </c>
      <c r="W359">
        <f>VLOOKUP(Table55[[#This Row],[Shortname]], Comp[], 22, FALSE)</f>
        <v>0</v>
      </c>
      <c r="X359">
        <f>VLOOKUP(Table55[[#This Row],[Shortname]], Comp[], 23, FALSE)</f>
        <v>0</v>
      </c>
      <c r="Y359">
        <f>VLOOKUP(Table55[[#This Row],[Shortname]], Comp[], 24, FALSE)</f>
        <v>0</v>
      </c>
      <c r="Z359">
        <f>VLOOKUP(Table55[[#This Row],[Shortname]], Comp[], 25, FALSE)</f>
        <v>0</v>
      </c>
      <c r="AA359">
        <f>VLOOKUP(Table55[[#This Row],[Shortname]], Comp[], 26, FALSE)</f>
        <v>0</v>
      </c>
      <c r="AB359">
        <f>VLOOKUP(Table55[[#This Row],[Shortname]], Comp[], 27, FALSE)</f>
        <v>0</v>
      </c>
      <c r="AC359">
        <f>VLOOKUP(Table55[[#This Row],[Shortname]], Comp[], 28, FALSE)</f>
        <v>0</v>
      </c>
      <c r="AD359">
        <f>VLOOKUP(Table55[[#This Row],[Shortname]], Comp[], 29, FALSE)</f>
        <v>0</v>
      </c>
      <c r="AE359">
        <f>VLOOKUP(Table55[[#This Row],[Shortname]], Comp[], 30, FALSE)</f>
        <v>0</v>
      </c>
      <c r="AF359">
        <f>VLOOKUP(Table55[[#This Row],[Shortname]], Comp[], 31, FALSE)</f>
        <v>0</v>
      </c>
    </row>
    <row r="360" spans="1:32" x14ac:dyDescent="0.3">
      <c r="A360" s="12" t="s">
        <v>6119</v>
      </c>
      <c r="B360" s="12" t="s">
        <v>2317</v>
      </c>
      <c r="C360" s="12" t="s">
        <v>6099</v>
      </c>
      <c r="D360" s="12">
        <v>1036</v>
      </c>
      <c r="E360" s="12">
        <v>1306</v>
      </c>
      <c r="F360" s="12">
        <v>1391</v>
      </c>
      <c r="H360" s="14">
        <f>VLOOKUP(Table55[[#This Row],[Shortname]], Comp[], 7, FALSE)</f>
        <v>46.37</v>
      </c>
      <c r="I360">
        <f>VLOOKUP(Table55[[#This Row],[Shortname]], Comp[], 8, FALSE)</f>
        <v>28.43</v>
      </c>
      <c r="J360">
        <f>VLOOKUP(Table55[[#This Row],[Shortname]], Comp[], 9, FALSE)</f>
        <v>5</v>
      </c>
      <c r="K360">
        <f>VLOOKUP(Table55[[#This Row],[Shortname]], Comp[], 10, FALSE)</f>
        <v>15</v>
      </c>
      <c r="L360">
        <f>VLOOKUP(Table55[[#This Row],[Shortname]], Comp[], 11, FALSE)</f>
        <v>0</v>
      </c>
      <c r="M360">
        <f>VLOOKUP(Table55[[#This Row],[Shortname]], Comp[],12, FALSE)</f>
        <v>5.2</v>
      </c>
      <c r="N360">
        <f>VLOOKUP(Table55[[#This Row],[Shortname]], Comp[], 13, FALSE)</f>
        <v>0</v>
      </c>
      <c r="O360">
        <f>VLOOKUP(Table55[[#This Row],[Shortname]], Comp[], 14, FALSE)</f>
        <v>0</v>
      </c>
      <c r="P360">
        <f>VLOOKUP(Table55[[#This Row],[Shortname]], Comp[], 15, FALSE)</f>
        <v>0</v>
      </c>
      <c r="Q360">
        <f>VLOOKUP(Table55[[#This Row],[Shortname]], Comp[], 16, FALSE)</f>
        <v>0</v>
      </c>
      <c r="R360">
        <f>VLOOKUP(Table55[[#This Row],[Shortname]], Comp[], 17, FALSE)</f>
        <v>0</v>
      </c>
      <c r="S360">
        <f>VLOOKUP(Table55[[#This Row],[Shortname]], Comp[], 18, FALSE)</f>
        <v>0</v>
      </c>
      <c r="T360">
        <f>VLOOKUP(Table55[[#This Row],[Shortname]], Comp[], 19, FALSE)</f>
        <v>0</v>
      </c>
      <c r="U360">
        <f>VLOOKUP(Table55[[#This Row],[Shortname]], Comp[], 20, FALSE)</f>
        <v>0</v>
      </c>
      <c r="V360">
        <f>VLOOKUP(Table55[[#This Row],[Shortname]], Comp[], 21, FALSE)</f>
        <v>0</v>
      </c>
      <c r="W360">
        <f>VLOOKUP(Table55[[#This Row],[Shortname]], Comp[], 22, FALSE)</f>
        <v>0</v>
      </c>
      <c r="X360">
        <f>VLOOKUP(Table55[[#This Row],[Shortname]], Comp[], 23, FALSE)</f>
        <v>0</v>
      </c>
      <c r="Y360">
        <f>VLOOKUP(Table55[[#This Row],[Shortname]], Comp[], 24, FALSE)</f>
        <v>0</v>
      </c>
      <c r="Z360">
        <f>VLOOKUP(Table55[[#This Row],[Shortname]], Comp[], 25, FALSE)</f>
        <v>0</v>
      </c>
      <c r="AA360">
        <f>VLOOKUP(Table55[[#This Row],[Shortname]], Comp[], 26, FALSE)</f>
        <v>0</v>
      </c>
      <c r="AB360">
        <f>VLOOKUP(Table55[[#This Row],[Shortname]], Comp[], 27, FALSE)</f>
        <v>0</v>
      </c>
      <c r="AC360">
        <f>VLOOKUP(Table55[[#This Row],[Shortname]], Comp[], 28, FALSE)</f>
        <v>0</v>
      </c>
      <c r="AD360">
        <f>VLOOKUP(Table55[[#This Row],[Shortname]], Comp[], 29, FALSE)</f>
        <v>0</v>
      </c>
      <c r="AE360">
        <f>VLOOKUP(Table55[[#This Row],[Shortname]], Comp[], 30, FALSE)</f>
        <v>0</v>
      </c>
      <c r="AF360">
        <f>VLOOKUP(Table55[[#This Row],[Shortname]], Comp[], 31, FALSE)</f>
        <v>0</v>
      </c>
    </row>
    <row r="361" spans="1:32" x14ac:dyDescent="0.3">
      <c r="A361" s="12" t="s">
        <v>6122</v>
      </c>
      <c r="B361" s="12" t="s">
        <v>2307</v>
      </c>
      <c r="C361" s="12" t="s">
        <v>6099</v>
      </c>
      <c r="D361" s="12">
        <v>989</v>
      </c>
      <c r="E361" s="12">
        <v>1298</v>
      </c>
      <c r="F361" s="12">
        <v>1395</v>
      </c>
      <c r="H361" s="14">
        <f>VLOOKUP(Table55[[#This Row],[Shortname]], Comp[], 7, FALSE)</f>
        <v>56.339999999999996</v>
      </c>
      <c r="I361">
        <f>VLOOKUP(Table55[[#This Row],[Shortname]], Comp[], 8, FALSE)</f>
        <v>18.53</v>
      </c>
      <c r="J361">
        <f>VLOOKUP(Table55[[#This Row],[Shortname]], Comp[], 9, FALSE)</f>
        <v>4.8600000000000003</v>
      </c>
      <c r="K361">
        <f>VLOOKUP(Table55[[#This Row],[Shortname]], Comp[], 10, FALSE)</f>
        <v>15.09</v>
      </c>
      <c r="L361">
        <f>VLOOKUP(Table55[[#This Row],[Shortname]], Comp[], 11, FALSE)</f>
        <v>0</v>
      </c>
      <c r="M361">
        <f>VLOOKUP(Table55[[#This Row],[Shortname]], Comp[],12, FALSE)</f>
        <v>5.18</v>
      </c>
      <c r="N361">
        <f>VLOOKUP(Table55[[#This Row],[Shortname]], Comp[], 13, FALSE)</f>
        <v>0</v>
      </c>
      <c r="O361">
        <f>VLOOKUP(Table55[[#This Row],[Shortname]], Comp[], 14, FALSE)</f>
        <v>0</v>
      </c>
      <c r="P361">
        <f>VLOOKUP(Table55[[#This Row],[Shortname]], Comp[], 15, FALSE)</f>
        <v>0</v>
      </c>
      <c r="Q361">
        <f>VLOOKUP(Table55[[#This Row],[Shortname]], Comp[], 16, FALSE)</f>
        <v>0</v>
      </c>
      <c r="R361">
        <f>VLOOKUP(Table55[[#This Row],[Shortname]], Comp[], 17, FALSE)</f>
        <v>0</v>
      </c>
      <c r="S361">
        <f>VLOOKUP(Table55[[#This Row],[Shortname]], Comp[], 18, FALSE)</f>
        <v>0</v>
      </c>
      <c r="T361">
        <f>VLOOKUP(Table55[[#This Row],[Shortname]], Comp[], 19, FALSE)</f>
        <v>0</v>
      </c>
      <c r="U361">
        <f>VLOOKUP(Table55[[#This Row],[Shortname]], Comp[], 20, FALSE)</f>
        <v>0</v>
      </c>
      <c r="V361">
        <f>VLOOKUP(Table55[[#This Row],[Shortname]], Comp[], 21, FALSE)</f>
        <v>0</v>
      </c>
      <c r="W361">
        <f>VLOOKUP(Table55[[#This Row],[Shortname]], Comp[], 22, FALSE)</f>
        <v>0</v>
      </c>
      <c r="X361">
        <f>VLOOKUP(Table55[[#This Row],[Shortname]], Comp[], 23, FALSE)</f>
        <v>0</v>
      </c>
      <c r="Y361">
        <f>VLOOKUP(Table55[[#This Row],[Shortname]], Comp[], 24, FALSE)</f>
        <v>0</v>
      </c>
      <c r="Z361">
        <f>VLOOKUP(Table55[[#This Row],[Shortname]], Comp[], 25, FALSE)</f>
        <v>0</v>
      </c>
      <c r="AA361">
        <f>VLOOKUP(Table55[[#This Row],[Shortname]], Comp[], 26, FALSE)</f>
        <v>0</v>
      </c>
      <c r="AB361">
        <f>VLOOKUP(Table55[[#This Row],[Shortname]], Comp[], 27, FALSE)</f>
        <v>0</v>
      </c>
      <c r="AC361">
        <f>VLOOKUP(Table55[[#This Row],[Shortname]], Comp[], 28, FALSE)</f>
        <v>0</v>
      </c>
      <c r="AD361">
        <f>VLOOKUP(Table55[[#This Row],[Shortname]], Comp[], 29, FALSE)</f>
        <v>0</v>
      </c>
      <c r="AE361">
        <f>VLOOKUP(Table55[[#This Row],[Shortname]], Comp[], 30, FALSE)</f>
        <v>0</v>
      </c>
      <c r="AF361">
        <f>VLOOKUP(Table55[[#This Row],[Shortname]], Comp[], 31, FALSE)</f>
        <v>0</v>
      </c>
    </row>
    <row r="362" spans="1:32" x14ac:dyDescent="0.3">
      <c r="A362" s="34" t="s">
        <v>6125</v>
      </c>
      <c r="B362" s="12" t="s">
        <v>6126</v>
      </c>
      <c r="C362" s="12" t="s">
        <v>6127</v>
      </c>
      <c r="D362" s="12">
        <v>1268</v>
      </c>
      <c r="E362" s="12">
        <v>1296</v>
      </c>
      <c r="F362" s="12">
        <v>1373</v>
      </c>
      <c r="H362" s="14">
        <f>VLOOKUP(Table55[[#This Row],[Shortname]], Comp[], 7, FALSE)</f>
        <v>46.150000000000006</v>
      </c>
      <c r="I362">
        <f>VLOOKUP(Table55[[#This Row],[Shortname]], Comp[], 8, FALSE)</f>
        <v>29.99</v>
      </c>
      <c r="J362">
        <f>VLOOKUP(Table55[[#This Row],[Shortname]], Comp[], 9, FALSE)</f>
        <v>11.74</v>
      </c>
      <c r="K362">
        <f>VLOOKUP(Table55[[#This Row],[Shortname]], Comp[], 10, FALSE)</f>
        <v>0</v>
      </c>
      <c r="L362">
        <f>VLOOKUP(Table55[[#This Row],[Shortname]], Comp[], 11, FALSE)</f>
        <v>5.48</v>
      </c>
      <c r="M362">
        <f>VLOOKUP(Table55[[#This Row],[Shortname]], Comp[],12, FALSE)</f>
        <v>4.0599999999999996</v>
      </c>
      <c r="N362">
        <f>VLOOKUP(Table55[[#This Row],[Shortname]], Comp[], 13, FALSE)</f>
        <v>2.5</v>
      </c>
      <c r="O362">
        <f>VLOOKUP(Table55[[#This Row],[Shortname]], Comp[], 14, FALSE)</f>
        <v>0</v>
      </c>
      <c r="P362">
        <f>VLOOKUP(Table55[[#This Row],[Shortname]], Comp[], 15, FALSE)</f>
        <v>0</v>
      </c>
      <c r="Q362">
        <f>VLOOKUP(Table55[[#This Row],[Shortname]], Comp[], 16, FALSE)</f>
        <v>0</v>
      </c>
      <c r="R362">
        <f>VLOOKUP(Table55[[#This Row],[Shortname]], Comp[], 17, FALSE)</f>
        <v>0</v>
      </c>
      <c r="S362">
        <f>VLOOKUP(Table55[[#This Row],[Shortname]], Comp[], 18, FALSE)</f>
        <v>0</v>
      </c>
      <c r="T362">
        <f>VLOOKUP(Table55[[#This Row],[Shortname]], Comp[], 19, FALSE)</f>
        <v>0.08</v>
      </c>
      <c r="U362">
        <f>VLOOKUP(Table55[[#This Row],[Shortname]], Comp[], 20, FALSE)</f>
        <v>0</v>
      </c>
      <c r="V362">
        <f>VLOOKUP(Table55[[#This Row],[Shortname]], Comp[], 21, FALSE)</f>
        <v>0</v>
      </c>
      <c r="W362">
        <f>VLOOKUP(Table55[[#This Row],[Shortname]], Comp[], 22, FALSE)</f>
        <v>0</v>
      </c>
      <c r="X362">
        <f>VLOOKUP(Table55[[#This Row],[Shortname]], Comp[], 23, FALSE)</f>
        <v>0</v>
      </c>
      <c r="Y362">
        <f>VLOOKUP(Table55[[#This Row],[Shortname]], Comp[], 24, FALSE)</f>
        <v>0</v>
      </c>
      <c r="Z362">
        <f>VLOOKUP(Table55[[#This Row],[Shortname]], Comp[], 25, FALSE)</f>
        <v>0</v>
      </c>
      <c r="AA362">
        <f>VLOOKUP(Table55[[#This Row],[Shortname]], Comp[], 26, FALSE)</f>
        <v>0</v>
      </c>
      <c r="AB362">
        <f>VLOOKUP(Table55[[#This Row],[Shortname]], Comp[], 27, FALSE)</f>
        <v>0</v>
      </c>
      <c r="AC362">
        <f>VLOOKUP(Table55[[#This Row],[Shortname]], Comp[], 28, FALSE)</f>
        <v>0</v>
      </c>
      <c r="AD362">
        <f>VLOOKUP(Table55[[#This Row],[Shortname]], Comp[], 29, FALSE)</f>
        <v>0</v>
      </c>
      <c r="AE362">
        <f>VLOOKUP(Table55[[#This Row],[Shortname]], Comp[], 30, FALSE)</f>
        <v>0</v>
      </c>
      <c r="AF362">
        <f>VLOOKUP(Table55[[#This Row],[Shortname]], Comp[], 31, FALSE)</f>
        <v>0</v>
      </c>
    </row>
    <row r="363" spans="1:32" x14ac:dyDescent="0.3">
      <c r="A363" s="12" t="s">
        <v>6135</v>
      </c>
      <c r="B363" s="12" t="s">
        <v>3899</v>
      </c>
      <c r="C363" s="12" t="s">
        <v>6136</v>
      </c>
      <c r="D363" s="12">
        <v>1181</v>
      </c>
      <c r="E363" s="12">
        <v>1339</v>
      </c>
      <c r="H363" s="14">
        <f>VLOOKUP(Table55[[#This Row],[Shortname]], Comp[], 7, FALSE)</f>
        <v>59</v>
      </c>
      <c r="I363">
        <f>VLOOKUP(Table55[[#This Row],[Shortname]], Comp[], 8, FALSE)</f>
        <v>30</v>
      </c>
      <c r="J363">
        <f>VLOOKUP(Table55[[#This Row],[Shortname]], Comp[], 9, FALSE)</f>
        <v>7</v>
      </c>
      <c r="K363">
        <f>VLOOKUP(Table55[[#This Row],[Shortname]], Comp[], 10, FALSE)</f>
        <v>0</v>
      </c>
      <c r="L363">
        <f>VLOOKUP(Table55[[#This Row],[Shortname]], Comp[], 11, FALSE)</f>
        <v>0</v>
      </c>
      <c r="M363">
        <f>VLOOKUP(Table55[[#This Row],[Shortname]], Comp[],12, FALSE)</f>
        <v>2</v>
      </c>
      <c r="N363">
        <f>VLOOKUP(Table55[[#This Row],[Shortname]], Comp[], 13, FALSE)</f>
        <v>0</v>
      </c>
      <c r="O363">
        <f>VLOOKUP(Table55[[#This Row],[Shortname]], Comp[], 14, FALSE)</f>
        <v>2</v>
      </c>
      <c r="P363">
        <f>VLOOKUP(Table55[[#This Row],[Shortname]], Comp[], 15, FALSE)</f>
        <v>0</v>
      </c>
      <c r="Q363">
        <f>VLOOKUP(Table55[[#This Row],[Shortname]], Comp[], 16, FALSE)</f>
        <v>0</v>
      </c>
      <c r="R363">
        <f>VLOOKUP(Table55[[#This Row],[Shortname]], Comp[], 17, FALSE)</f>
        <v>0</v>
      </c>
      <c r="S363">
        <f>VLOOKUP(Table55[[#This Row],[Shortname]], Comp[], 18, FALSE)</f>
        <v>0</v>
      </c>
      <c r="T363">
        <f>VLOOKUP(Table55[[#This Row],[Shortname]], Comp[], 19, FALSE)</f>
        <v>0</v>
      </c>
      <c r="U363">
        <f>VLOOKUP(Table55[[#This Row],[Shortname]], Comp[], 20, FALSE)</f>
        <v>0</v>
      </c>
      <c r="V363">
        <f>VLOOKUP(Table55[[#This Row],[Shortname]], Comp[], 21, FALSE)</f>
        <v>0</v>
      </c>
      <c r="W363">
        <f>VLOOKUP(Table55[[#This Row],[Shortname]], Comp[], 22, FALSE)</f>
        <v>0</v>
      </c>
      <c r="X363">
        <f>VLOOKUP(Table55[[#This Row],[Shortname]], Comp[], 23, FALSE)</f>
        <v>0</v>
      </c>
      <c r="Y363">
        <f>VLOOKUP(Table55[[#This Row],[Shortname]], Comp[], 24, FALSE)</f>
        <v>0</v>
      </c>
      <c r="Z363">
        <f>VLOOKUP(Table55[[#This Row],[Shortname]], Comp[], 25, FALSE)</f>
        <v>0</v>
      </c>
      <c r="AA363">
        <f>VLOOKUP(Table55[[#This Row],[Shortname]], Comp[], 26, FALSE)</f>
        <v>0</v>
      </c>
      <c r="AB363">
        <f>VLOOKUP(Table55[[#This Row],[Shortname]], Comp[], 27, FALSE)</f>
        <v>0</v>
      </c>
      <c r="AC363">
        <f>VLOOKUP(Table55[[#This Row],[Shortname]], Comp[], 28, FALSE)</f>
        <v>0</v>
      </c>
      <c r="AD363">
        <f>VLOOKUP(Table55[[#This Row],[Shortname]], Comp[], 29, FALSE)</f>
        <v>0</v>
      </c>
      <c r="AE363">
        <f>VLOOKUP(Table55[[#This Row],[Shortname]], Comp[], 30, FALSE)</f>
        <v>0</v>
      </c>
      <c r="AF363">
        <f>VLOOKUP(Table55[[#This Row],[Shortname]], Comp[], 31, FALSE)</f>
        <v>0</v>
      </c>
    </row>
    <row r="364" spans="1:32" x14ac:dyDescent="0.3">
      <c r="A364" s="12" t="s">
        <v>6138</v>
      </c>
      <c r="B364" s="12" t="s">
        <v>3893</v>
      </c>
      <c r="C364" s="12" t="s">
        <v>6139</v>
      </c>
      <c r="D364" s="12">
        <v>1018</v>
      </c>
      <c r="E364" s="12">
        <v>1297</v>
      </c>
      <c r="H364" s="14">
        <f>VLOOKUP(Table55[[#This Row],[Shortname]], Comp[], 7, FALSE)</f>
        <v>57</v>
      </c>
      <c r="I364">
        <f>VLOOKUP(Table55[[#This Row],[Shortname]], Comp[], 8, FALSE)</f>
        <v>30</v>
      </c>
      <c r="J364">
        <f>VLOOKUP(Table55[[#This Row],[Shortname]], Comp[], 9, FALSE)</f>
        <v>7</v>
      </c>
      <c r="K364">
        <f>VLOOKUP(Table55[[#This Row],[Shortname]], Comp[], 10, FALSE)</f>
        <v>0</v>
      </c>
      <c r="L364">
        <f>VLOOKUP(Table55[[#This Row],[Shortname]], Comp[], 11, FALSE)</f>
        <v>0</v>
      </c>
      <c r="M364">
        <f>VLOOKUP(Table55[[#This Row],[Shortname]], Comp[],12, FALSE)</f>
        <v>4</v>
      </c>
      <c r="N364">
        <f>VLOOKUP(Table55[[#This Row],[Shortname]], Comp[], 13, FALSE)</f>
        <v>0</v>
      </c>
      <c r="O364">
        <f>VLOOKUP(Table55[[#This Row],[Shortname]], Comp[], 14, FALSE)</f>
        <v>2</v>
      </c>
      <c r="P364">
        <f>VLOOKUP(Table55[[#This Row],[Shortname]], Comp[], 15, FALSE)</f>
        <v>0</v>
      </c>
      <c r="Q364">
        <f>VLOOKUP(Table55[[#This Row],[Shortname]], Comp[], 16, FALSE)</f>
        <v>0</v>
      </c>
      <c r="R364">
        <f>VLOOKUP(Table55[[#This Row],[Shortname]], Comp[], 17, FALSE)</f>
        <v>0</v>
      </c>
      <c r="S364">
        <f>VLOOKUP(Table55[[#This Row],[Shortname]], Comp[], 18, FALSE)</f>
        <v>0</v>
      </c>
      <c r="T364">
        <f>VLOOKUP(Table55[[#This Row],[Shortname]], Comp[], 19, FALSE)</f>
        <v>0</v>
      </c>
      <c r="U364">
        <f>VLOOKUP(Table55[[#This Row],[Shortname]], Comp[], 20, FALSE)</f>
        <v>0</v>
      </c>
      <c r="V364">
        <f>VLOOKUP(Table55[[#This Row],[Shortname]], Comp[], 21, FALSE)</f>
        <v>0</v>
      </c>
      <c r="W364">
        <f>VLOOKUP(Table55[[#This Row],[Shortname]], Comp[], 22, FALSE)</f>
        <v>0</v>
      </c>
      <c r="X364">
        <f>VLOOKUP(Table55[[#This Row],[Shortname]], Comp[], 23, FALSE)</f>
        <v>0</v>
      </c>
      <c r="Y364">
        <f>VLOOKUP(Table55[[#This Row],[Shortname]], Comp[], 24, FALSE)</f>
        <v>0</v>
      </c>
      <c r="Z364">
        <f>VLOOKUP(Table55[[#This Row],[Shortname]], Comp[], 25, FALSE)</f>
        <v>0</v>
      </c>
      <c r="AA364">
        <f>VLOOKUP(Table55[[#This Row],[Shortname]], Comp[], 26, FALSE)</f>
        <v>0</v>
      </c>
      <c r="AB364">
        <f>VLOOKUP(Table55[[#This Row],[Shortname]], Comp[], 27, FALSE)</f>
        <v>0</v>
      </c>
      <c r="AC364">
        <f>VLOOKUP(Table55[[#This Row],[Shortname]], Comp[], 28, FALSE)</f>
        <v>0</v>
      </c>
      <c r="AD364">
        <f>VLOOKUP(Table55[[#This Row],[Shortname]], Comp[], 29, FALSE)</f>
        <v>0</v>
      </c>
      <c r="AE364">
        <f>VLOOKUP(Table55[[#This Row],[Shortname]], Comp[], 30, FALSE)</f>
        <v>0</v>
      </c>
      <c r="AF364">
        <f>VLOOKUP(Table55[[#This Row],[Shortname]], Comp[], 31, FALSE)</f>
        <v>0</v>
      </c>
    </row>
    <row r="365" spans="1:32" x14ac:dyDescent="0.3">
      <c r="A365" s="12" t="s">
        <v>6141</v>
      </c>
      <c r="B365" s="12" t="s">
        <v>5263</v>
      </c>
      <c r="C365" s="12" t="s">
        <v>6142</v>
      </c>
      <c r="D365" s="12">
        <v>1079</v>
      </c>
      <c r="E365" s="12">
        <v>1271</v>
      </c>
      <c r="H365" s="14">
        <f>VLOOKUP(Table55[[#This Row],[Shortname]], Comp[], 7, FALSE)</f>
        <v>55</v>
      </c>
      <c r="I365">
        <f>VLOOKUP(Table55[[#This Row],[Shortname]], Comp[], 8, FALSE)</f>
        <v>30</v>
      </c>
      <c r="J365">
        <f>VLOOKUP(Table55[[#This Row],[Shortname]], Comp[], 9, FALSE)</f>
        <v>7</v>
      </c>
      <c r="K365">
        <f>VLOOKUP(Table55[[#This Row],[Shortname]], Comp[], 10, FALSE)</f>
        <v>0</v>
      </c>
      <c r="L365">
        <f>VLOOKUP(Table55[[#This Row],[Shortname]], Comp[], 11, FALSE)</f>
        <v>0</v>
      </c>
      <c r="M365">
        <f>VLOOKUP(Table55[[#This Row],[Shortname]], Comp[],12, FALSE)</f>
        <v>6</v>
      </c>
      <c r="N365">
        <f>VLOOKUP(Table55[[#This Row],[Shortname]], Comp[], 13, FALSE)</f>
        <v>0</v>
      </c>
      <c r="O365">
        <f>VLOOKUP(Table55[[#This Row],[Shortname]], Comp[], 14, FALSE)</f>
        <v>2</v>
      </c>
      <c r="P365">
        <f>VLOOKUP(Table55[[#This Row],[Shortname]], Comp[], 15, FALSE)</f>
        <v>0</v>
      </c>
      <c r="Q365">
        <f>VLOOKUP(Table55[[#This Row],[Shortname]], Comp[], 16, FALSE)</f>
        <v>0</v>
      </c>
      <c r="R365">
        <f>VLOOKUP(Table55[[#This Row],[Shortname]], Comp[], 17, FALSE)</f>
        <v>0</v>
      </c>
      <c r="S365">
        <f>VLOOKUP(Table55[[#This Row],[Shortname]], Comp[], 18, FALSE)</f>
        <v>0</v>
      </c>
      <c r="T365">
        <f>VLOOKUP(Table55[[#This Row],[Shortname]], Comp[], 19, FALSE)</f>
        <v>0</v>
      </c>
      <c r="U365">
        <f>VLOOKUP(Table55[[#This Row],[Shortname]], Comp[], 20, FALSE)</f>
        <v>0</v>
      </c>
      <c r="V365">
        <f>VLOOKUP(Table55[[#This Row],[Shortname]], Comp[], 21, FALSE)</f>
        <v>0</v>
      </c>
      <c r="W365">
        <f>VLOOKUP(Table55[[#This Row],[Shortname]], Comp[], 22, FALSE)</f>
        <v>0</v>
      </c>
      <c r="X365">
        <f>VLOOKUP(Table55[[#This Row],[Shortname]], Comp[], 23, FALSE)</f>
        <v>0</v>
      </c>
      <c r="Y365">
        <f>VLOOKUP(Table55[[#This Row],[Shortname]], Comp[], 24, FALSE)</f>
        <v>0</v>
      </c>
      <c r="Z365">
        <f>VLOOKUP(Table55[[#This Row],[Shortname]], Comp[], 25, FALSE)</f>
        <v>0</v>
      </c>
      <c r="AA365">
        <f>VLOOKUP(Table55[[#This Row],[Shortname]], Comp[], 26, FALSE)</f>
        <v>0</v>
      </c>
      <c r="AB365">
        <f>VLOOKUP(Table55[[#This Row],[Shortname]], Comp[], 27, FALSE)</f>
        <v>0</v>
      </c>
      <c r="AC365">
        <f>VLOOKUP(Table55[[#This Row],[Shortname]], Comp[], 28, FALSE)</f>
        <v>0</v>
      </c>
      <c r="AD365">
        <f>VLOOKUP(Table55[[#This Row],[Shortname]], Comp[], 29, FALSE)</f>
        <v>0</v>
      </c>
      <c r="AE365">
        <f>VLOOKUP(Table55[[#This Row],[Shortname]], Comp[], 30, FALSE)</f>
        <v>0</v>
      </c>
      <c r="AF365">
        <f>VLOOKUP(Table55[[#This Row],[Shortname]], Comp[], 31, FALSE)</f>
        <v>0</v>
      </c>
    </row>
    <row r="366" spans="1:32" x14ac:dyDescent="0.3">
      <c r="A366" s="12" t="s">
        <v>6186</v>
      </c>
      <c r="B366" s="12" t="s">
        <v>6187</v>
      </c>
      <c r="C366" s="12" t="s">
        <v>6188</v>
      </c>
      <c r="D366" s="12">
        <v>1080</v>
      </c>
      <c r="E366" s="12">
        <v>1340</v>
      </c>
      <c r="H366" s="14">
        <f>VLOOKUP(Table55[[#This Row],[Shortname]], Comp[], 7, FALSE)</f>
        <v>50.499999999999993</v>
      </c>
      <c r="I366">
        <f>VLOOKUP(Table55[[#This Row],[Shortname]], Comp[], 8, FALSE)</f>
        <v>30.1</v>
      </c>
      <c r="J366">
        <f>VLOOKUP(Table55[[#This Row],[Shortname]], Comp[], 9, FALSE)</f>
        <v>9.1</v>
      </c>
      <c r="K366">
        <f>VLOOKUP(Table55[[#This Row],[Shortname]], Comp[], 10, FALSE)</f>
        <v>0</v>
      </c>
      <c r="L366">
        <f>VLOOKUP(Table55[[#This Row],[Shortname]], Comp[], 11, FALSE)</f>
        <v>0</v>
      </c>
      <c r="M366">
        <f>VLOOKUP(Table55[[#This Row],[Shortname]], Comp[],12, FALSE)</f>
        <v>2.2000000000000002</v>
      </c>
      <c r="N366">
        <f>VLOOKUP(Table55[[#This Row],[Shortname]], Comp[], 13, FALSE)</f>
        <v>2.5</v>
      </c>
      <c r="O366">
        <f>VLOOKUP(Table55[[#This Row],[Shortname]], Comp[], 14, FALSE)</f>
        <v>0</v>
      </c>
      <c r="P366">
        <f>VLOOKUP(Table55[[#This Row],[Shortname]], Comp[], 15, FALSE)</f>
        <v>0</v>
      </c>
      <c r="Q366">
        <f>VLOOKUP(Table55[[#This Row],[Shortname]], Comp[], 16, FALSE)</f>
        <v>5.2</v>
      </c>
      <c r="R366">
        <f>VLOOKUP(Table55[[#This Row],[Shortname]], Comp[], 17, FALSE)</f>
        <v>0.4</v>
      </c>
      <c r="S366">
        <f>VLOOKUP(Table55[[#This Row],[Shortname]], Comp[], 18, FALSE)</f>
        <v>0</v>
      </c>
      <c r="T366">
        <f>VLOOKUP(Table55[[#This Row],[Shortname]], Comp[], 19, FALSE)</f>
        <v>0</v>
      </c>
      <c r="U366">
        <f>VLOOKUP(Table55[[#This Row],[Shortname]], Comp[], 20, FALSE)</f>
        <v>0</v>
      </c>
      <c r="V366">
        <f>VLOOKUP(Table55[[#This Row],[Shortname]], Comp[], 21, FALSE)</f>
        <v>0</v>
      </c>
      <c r="W366">
        <f>VLOOKUP(Table55[[#This Row],[Shortname]], Comp[], 22, FALSE)</f>
        <v>0</v>
      </c>
      <c r="X366">
        <f>VLOOKUP(Table55[[#This Row],[Shortname]], Comp[], 23, FALSE)</f>
        <v>0</v>
      </c>
      <c r="Y366">
        <f>VLOOKUP(Table55[[#This Row],[Shortname]], Comp[], 24, FALSE)</f>
        <v>0</v>
      </c>
      <c r="Z366">
        <f>VLOOKUP(Table55[[#This Row],[Shortname]], Comp[], 25, FALSE)</f>
        <v>0</v>
      </c>
      <c r="AA366">
        <f>VLOOKUP(Table55[[#This Row],[Shortname]], Comp[], 26, FALSE)</f>
        <v>0</v>
      </c>
      <c r="AB366">
        <f>VLOOKUP(Table55[[#This Row],[Shortname]], Comp[], 27, FALSE)</f>
        <v>0</v>
      </c>
      <c r="AC366">
        <f>VLOOKUP(Table55[[#This Row],[Shortname]], Comp[], 28, FALSE)</f>
        <v>0</v>
      </c>
      <c r="AD366">
        <f>VLOOKUP(Table55[[#This Row],[Shortname]], Comp[], 29, FALSE)</f>
        <v>0</v>
      </c>
      <c r="AE366">
        <f>VLOOKUP(Table55[[#This Row],[Shortname]], Comp[], 30, FALSE)</f>
        <v>0</v>
      </c>
      <c r="AF366">
        <f>VLOOKUP(Table55[[#This Row],[Shortname]], Comp[], 31, FALSE)</f>
        <v>0</v>
      </c>
    </row>
    <row r="367" spans="1:32" x14ac:dyDescent="0.3">
      <c r="A367" s="12" t="s">
        <v>6190</v>
      </c>
      <c r="B367" s="12" t="s">
        <v>6191</v>
      </c>
      <c r="C367" s="12" t="s">
        <v>6192</v>
      </c>
      <c r="D367" s="12">
        <v>866</v>
      </c>
      <c r="E367" s="12">
        <v>1312</v>
      </c>
      <c r="F367" s="12">
        <v>1421</v>
      </c>
      <c r="H367" s="14">
        <f>VLOOKUP(Table55[[#This Row],[Shortname]], Comp[], 7, FALSE)</f>
        <v>83.05</v>
      </c>
      <c r="I367">
        <f>VLOOKUP(Table55[[#This Row],[Shortname]], Comp[], 8, FALSE)</f>
        <v>0</v>
      </c>
      <c r="J367">
        <f>VLOOKUP(Table55[[#This Row],[Shortname]], Comp[], 9, FALSE)</f>
        <v>10.1</v>
      </c>
      <c r="K367">
        <f>VLOOKUP(Table55[[#This Row],[Shortname]], Comp[], 10, FALSE)</f>
        <v>0</v>
      </c>
      <c r="L367">
        <f>VLOOKUP(Table55[[#This Row],[Shortname]], Comp[], 11, FALSE)</f>
        <v>0</v>
      </c>
      <c r="M367">
        <f>VLOOKUP(Table55[[#This Row],[Shortname]], Comp[],12, FALSE)</f>
        <v>0</v>
      </c>
      <c r="N367">
        <f>VLOOKUP(Table55[[#This Row],[Shortname]], Comp[], 13, FALSE)</f>
        <v>0</v>
      </c>
      <c r="O367">
        <f>VLOOKUP(Table55[[#This Row],[Shortname]], Comp[], 14, FALSE)</f>
        <v>2.1</v>
      </c>
      <c r="P367">
        <f>VLOOKUP(Table55[[#This Row],[Shortname]], Comp[], 15, FALSE)</f>
        <v>0.95</v>
      </c>
      <c r="Q367">
        <f>VLOOKUP(Table55[[#This Row],[Shortname]], Comp[], 16, FALSE)</f>
        <v>3.8</v>
      </c>
      <c r="R367">
        <f>VLOOKUP(Table55[[#This Row],[Shortname]], Comp[], 17, FALSE)</f>
        <v>0</v>
      </c>
      <c r="S367">
        <f>VLOOKUP(Table55[[#This Row],[Shortname]], Comp[], 18, FALSE)</f>
        <v>0</v>
      </c>
      <c r="T367">
        <f>VLOOKUP(Table55[[#This Row],[Shortname]], Comp[], 19, FALSE)</f>
        <v>0</v>
      </c>
      <c r="U367">
        <f>VLOOKUP(Table55[[#This Row],[Shortname]], Comp[], 20, FALSE)</f>
        <v>0</v>
      </c>
      <c r="V367">
        <f>VLOOKUP(Table55[[#This Row],[Shortname]], Comp[], 21, FALSE)</f>
        <v>0</v>
      </c>
      <c r="W367">
        <f>VLOOKUP(Table55[[#This Row],[Shortname]], Comp[], 22, FALSE)</f>
        <v>0</v>
      </c>
      <c r="X367">
        <f>VLOOKUP(Table55[[#This Row],[Shortname]], Comp[], 23, FALSE)</f>
        <v>0</v>
      </c>
      <c r="Y367">
        <f>VLOOKUP(Table55[[#This Row],[Shortname]], Comp[], 24, FALSE)</f>
        <v>0</v>
      </c>
      <c r="Z367">
        <f>VLOOKUP(Table55[[#This Row],[Shortname]], Comp[], 25, FALSE)</f>
        <v>0</v>
      </c>
      <c r="AA367">
        <f>VLOOKUP(Table55[[#This Row],[Shortname]], Comp[], 26, FALSE)</f>
        <v>0</v>
      </c>
      <c r="AB367">
        <f>VLOOKUP(Table55[[#This Row],[Shortname]], Comp[], 27, FALSE)</f>
        <v>0</v>
      </c>
      <c r="AC367">
        <f>VLOOKUP(Table55[[#This Row],[Shortname]], Comp[], 28, FALSE)</f>
        <v>0</v>
      </c>
      <c r="AD367">
        <f>VLOOKUP(Table55[[#This Row],[Shortname]], Comp[], 29, FALSE)</f>
        <v>0</v>
      </c>
      <c r="AE367">
        <f>VLOOKUP(Table55[[#This Row],[Shortname]], Comp[], 30, FALSE)</f>
        <v>0</v>
      </c>
      <c r="AF367">
        <f>VLOOKUP(Table55[[#This Row],[Shortname]], Comp[], 31, FALSE)</f>
        <v>0</v>
      </c>
    </row>
    <row r="368" spans="1:32" x14ac:dyDescent="0.3">
      <c r="A368" s="12" t="s">
        <v>6195</v>
      </c>
      <c r="B368" s="12" t="s">
        <v>6196</v>
      </c>
      <c r="C368" s="12" t="s">
        <v>6197</v>
      </c>
      <c r="D368" s="12">
        <v>869</v>
      </c>
      <c r="E368" s="12">
        <v>1317</v>
      </c>
      <c r="F368" s="12">
        <v>1412</v>
      </c>
      <c r="H368" s="14">
        <f>VLOOKUP(Table55[[#This Row],[Shortname]], Comp[], 7, FALSE)</f>
        <v>83.8</v>
      </c>
      <c r="I368">
        <f>VLOOKUP(Table55[[#This Row],[Shortname]], Comp[], 8, FALSE)</f>
        <v>0</v>
      </c>
      <c r="J368">
        <f>VLOOKUP(Table55[[#This Row],[Shortname]], Comp[], 9, FALSE)</f>
        <v>9.3000000000000007</v>
      </c>
      <c r="K368">
        <f>VLOOKUP(Table55[[#This Row],[Shortname]], Comp[], 10, FALSE)</f>
        <v>0</v>
      </c>
      <c r="L368">
        <f>VLOOKUP(Table55[[#This Row],[Shortname]], Comp[], 11, FALSE)</f>
        <v>0</v>
      </c>
      <c r="M368">
        <f>VLOOKUP(Table55[[#This Row],[Shortname]], Comp[],12, FALSE)</f>
        <v>0</v>
      </c>
      <c r="N368">
        <f>VLOOKUP(Table55[[#This Row],[Shortname]], Comp[], 13, FALSE)</f>
        <v>0</v>
      </c>
      <c r="O368">
        <f>VLOOKUP(Table55[[#This Row],[Shortname]], Comp[], 14, FALSE)</f>
        <v>1.9</v>
      </c>
      <c r="P368">
        <f>VLOOKUP(Table55[[#This Row],[Shortname]], Comp[], 15, FALSE)</f>
        <v>2.1</v>
      </c>
      <c r="Q368">
        <f>VLOOKUP(Table55[[#This Row],[Shortname]], Comp[], 16, FALSE)</f>
        <v>2.9</v>
      </c>
      <c r="R368">
        <f>VLOOKUP(Table55[[#This Row],[Shortname]], Comp[], 17, FALSE)</f>
        <v>0</v>
      </c>
      <c r="S368">
        <f>VLOOKUP(Table55[[#This Row],[Shortname]], Comp[], 18, FALSE)</f>
        <v>0</v>
      </c>
      <c r="T368">
        <f>VLOOKUP(Table55[[#This Row],[Shortname]], Comp[], 19, FALSE)</f>
        <v>0</v>
      </c>
      <c r="U368">
        <f>VLOOKUP(Table55[[#This Row],[Shortname]], Comp[], 20, FALSE)</f>
        <v>0</v>
      </c>
      <c r="V368">
        <f>VLOOKUP(Table55[[#This Row],[Shortname]], Comp[], 21, FALSE)</f>
        <v>0</v>
      </c>
      <c r="W368">
        <f>VLOOKUP(Table55[[#This Row],[Shortname]], Comp[], 22, FALSE)</f>
        <v>0</v>
      </c>
      <c r="X368">
        <f>VLOOKUP(Table55[[#This Row],[Shortname]], Comp[], 23, FALSE)</f>
        <v>0</v>
      </c>
      <c r="Y368">
        <f>VLOOKUP(Table55[[#This Row],[Shortname]], Comp[], 24, FALSE)</f>
        <v>0</v>
      </c>
      <c r="Z368">
        <f>VLOOKUP(Table55[[#This Row],[Shortname]], Comp[], 25, FALSE)</f>
        <v>0</v>
      </c>
      <c r="AA368">
        <f>VLOOKUP(Table55[[#This Row],[Shortname]], Comp[], 26, FALSE)</f>
        <v>0</v>
      </c>
      <c r="AB368">
        <f>VLOOKUP(Table55[[#This Row],[Shortname]], Comp[], 27, FALSE)</f>
        <v>0</v>
      </c>
      <c r="AC368">
        <f>VLOOKUP(Table55[[#This Row],[Shortname]], Comp[], 28, FALSE)</f>
        <v>0</v>
      </c>
      <c r="AD368">
        <f>VLOOKUP(Table55[[#This Row],[Shortname]], Comp[], 29, FALSE)</f>
        <v>0</v>
      </c>
      <c r="AE368">
        <f>VLOOKUP(Table55[[#This Row],[Shortname]], Comp[], 30, FALSE)</f>
        <v>0</v>
      </c>
      <c r="AF368">
        <f>VLOOKUP(Table55[[#This Row],[Shortname]], Comp[], 31, FALSE)</f>
        <v>0</v>
      </c>
    </row>
    <row r="369" spans="1:32" x14ac:dyDescent="0.3">
      <c r="A369" s="12" t="s">
        <v>6199</v>
      </c>
      <c r="B369" s="12" t="s">
        <v>6200</v>
      </c>
      <c r="C369" s="12" t="s">
        <v>6201</v>
      </c>
      <c r="D369" s="12">
        <v>870</v>
      </c>
      <c r="E369" s="12">
        <v>1320</v>
      </c>
      <c r="F369" s="12">
        <v>1422</v>
      </c>
      <c r="H369" s="14">
        <f>VLOOKUP(Table55[[#This Row],[Shortname]], Comp[], 7, FALSE)</f>
        <v>83.3</v>
      </c>
      <c r="I369">
        <f>VLOOKUP(Table55[[#This Row],[Shortname]], Comp[], 8, FALSE)</f>
        <v>0</v>
      </c>
      <c r="J369">
        <f>VLOOKUP(Table55[[#This Row],[Shortname]], Comp[], 9, FALSE)</f>
        <v>9.8000000000000007</v>
      </c>
      <c r="K369">
        <f>VLOOKUP(Table55[[#This Row],[Shortname]], Comp[], 10, FALSE)</f>
        <v>0</v>
      </c>
      <c r="L369">
        <f>VLOOKUP(Table55[[#This Row],[Shortname]], Comp[], 11, FALSE)</f>
        <v>0</v>
      </c>
      <c r="M369">
        <f>VLOOKUP(Table55[[#This Row],[Shortname]], Comp[],12, FALSE)</f>
        <v>0</v>
      </c>
      <c r="N369">
        <f>VLOOKUP(Table55[[#This Row],[Shortname]], Comp[], 13, FALSE)</f>
        <v>0</v>
      </c>
      <c r="O369">
        <f>VLOOKUP(Table55[[#This Row],[Shortname]], Comp[], 14, FALSE)</f>
        <v>2</v>
      </c>
      <c r="P369">
        <f>VLOOKUP(Table55[[#This Row],[Shortname]], Comp[], 15, FALSE)</f>
        <v>2.9</v>
      </c>
      <c r="Q369">
        <f>VLOOKUP(Table55[[#This Row],[Shortname]], Comp[], 16, FALSE)</f>
        <v>2</v>
      </c>
      <c r="R369">
        <f>VLOOKUP(Table55[[#This Row],[Shortname]], Comp[], 17, FALSE)</f>
        <v>0</v>
      </c>
      <c r="S369">
        <f>VLOOKUP(Table55[[#This Row],[Shortname]], Comp[], 18, FALSE)</f>
        <v>0</v>
      </c>
      <c r="T369">
        <f>VLOOKUP(Table55[[#This Row],[Shortname]], Comp[], 19, FALSE)</f>
        <v>0</v>
      </c>
      <c r="U369">
        <f>VLOOKUP(Table55[[#This Row],[Shortname]], Comp[], 20, FALSE)</f>
        <v>0</v>
      </c>
      <c r="V369">
        <f>VLOOKUP(Table55[[#This Row],[Shortname]], Comp[], 21, FALSE)</f>
        <v>0</v>
      </c>
      <c r="W369">
        <f>VLOOKUP(Table55[[#This Row],[Shortname]], Comp[], 22, FALSE)</f>
        <v>0</v>
      </c>
      <c r="X369">
        <f>VLOOKUP(Table55[[#This Row],[Shortname]], Comp[], 23, FALSE)</f>
        <v>0</v>
      </c>
      <c r="Y369">
        <f>VLOOKUP(Table55[[#This Row],[Shortname]], Comp[], 24, FALSE)</f>
        <v>0</v>
      </c>
      <c r="Z369">
        <f>VLOOKUP(Table55[[#This Row],[Shortname]], Comp[], 25, FALSE)</f>
        <v>0</v>
      </c>
      <c r="AA369">
        <f>VLOOKUP(Table55[[#This Row],[Shortname]], Comp[], 26, FALSE)</f>
        <v>0</v>
      </c>
      <c r="AB369">
        <f>VLOOKUP(Table55[[#This Row],[Shortname]], Comp[], 27, FALSE)</f>
        <v>0</v>
      </c>
      <c r="AC369">
        <f>VLOOKUP(Table55[[#This Row],[Shortname]], Comp[], 28, FALSE)</f>
        <v>0</v>
      </c>
      <c r="AD369">
        <f>VLOOKUP(Table55[[#This Row],[Shortname]], Comp[], 29, FALSE)</f>
        <v>0</v>
      </c>
      <c r="AE369">
        <f>VLOOKUP(Table55[[#This Row],[Shortname]], Comp[], 30, FALSE)</f>
        <v>0</v>
      </c>
      <c r="AF369">
        <f>VLOOKUP(Table55[[#This Row],[Shortname]], Comp[], 31, FALSE)</f>
        <v>0</v>
      </c>
    </row>
    <row r="370" spans="1:32" x14ac:dyDescent="0.3">
      <c r="A370" s="12" t="s">
        <v>6204</v>
      </c>
      <c r="B370" s="12" t="s">
        <v>6205</v>
      </c>
      <c r="C370" s="12" t="s">
        <v>6206</v>
      </c>
      <c r="D370" s="12">
        <v>874</v>
      </c>
      <c r="E370" s="12">
        <v>1321</v>
      </c>
      <c r="F370" s="12">
        <v>1417</v>
      </c>
      <c r="H370" s="14">
        <f>VLOOKUP(Table55[[#This Row],[Shortname]], Comp[], 7, FALSE)</f>
        <v>83.4</v>
      </c>
      <c r="I370">
        <f>VLOOKUP(Table55[[#This Row],[Shortname]], Comp[], 8, FALSE)</f>
        <v>0</v>
      </c>
      <c r="J370">
        <f>VLOOKUP(Table55[[#This Row],[Shortname]], Comp[], 9, FALSE)</f>
        <v>9.6999999999999993</v>
      </c>
      <c r="K370">
        <f>VLOOKUP(Table55[[#This Row],[Shortname]], Comp[], 10, FALSE)</f>
        <v>0</v>
      </c>
      <c r="L370">
        <f>VLOOKUP(Table55[[#This Row],[Shortname]], Comp[], 11, FALSE)</f>
        <v>0</v>
      </c>
      <c r="M370">
        <f>VLOOKUP(Table55[[#This Row],[Shortname]], Comp[],12, FALSE)</f>
        <v>0</v>
      </c>
      <c r="N370">
        <f>VLOOKUP(Table55[[#This Row],[Shortname]], Comp[], 13, FALSE)</f>
        <v>0</v>
      </c>
      <c r="O370">
        <f>VLOOKUP(Table55[[#This Row],[Shortname]], Comp[], 14, FALSE)</f>
        <v>1.9</v>
      </c>
      <c r="P370">
        <f>VLOOKUP(Table55[[#This Row],[Shortname]], Comp[], 15, FALSE)</f>
        <v>3.9</v>
      </c>
      <c r="Q370">
        <f>VLOOKUP(Table55[[#This Row],[Shortname]], Comp[], 16, FALSE)</f>
        <v>1.1000000000000001</v>
      </c>
      <c r="R370">
        <f>VLOOKUP(Table55[[#This Row],[Shortname]], Comp[], 17, FALSE)</f>
        <v>0</v>
      </c>
      <c r="S370">
        <f>VLOOKUP(Table55[[#This Row],[Shortname]], Comp[], 18, FALSE)</f>
        <v>0</v>
      </c>
      <c r="T370">
        <f>VLOOKUP(Table55[[#This Row],[Shortname]], Comp[], 19, FALSE)</f>
        <v>0</v>
      </c>
      <c r="U370">
        <f>VLOOKUP(Table55[[#This Row],[Shortname]], Comp[], 20, FALSE)</f>
        <v>0</v>
      </c>
      <c r="V370">
        <f>VLOOKUP(Table55[[#This Row],[Shortname]], Comp[], 21, FALSE)</f>
        <v>0</v>
      </c>
      <c r="W370">
        <f>VLOOKUP(Table55[[#This Row],[Shortname]], Comp[], 22, FALSE)</f>
        <v>0</v>
      </c>
      <c r="X370">
        <f>VLOOKUP(Table55[[#This Row],[Shortname]], Comp[], 23, FALSE)</f>
        <v>0</v>
      </c>
      <c r="Y370">
        <f>VLOOKUP(Table55[[#This Row],[Shortname]], Comp[], 24, FALSE)</f>
        <v>0</v>
      </c>
      <c r="Z370">
        <f>VLOOKUP(Table55[[#This Row],[Shortname]], Comp[], 25, FALSE)</f>
        <v>0</v>
      </c>
      <c r="AA370">
        <f>VLOOKUP(Table55[[#This Row],[Shortname]], Comp[], 26, FALSE)</f>
        <v>0</v>
      </c>
      <c r="AB370">
        <f>VLOOKUP(Table55[[#This Row],[Shortname]], Comp[], 27, FALSE)</f>
        <v>0</v>
      </c>
      <c r="AC370">
        <f>VLOOKUP(Table55[[#This Row],[Shortname]], Comp[], 28, FALSE)</f>
        <v>0</v>
      </c>
      <c r="AD370">
        <f>VLOOKUP(Table55[[#This Row],[Shortname]], Comp[], 29, FALSE)</f>
        <v>0</v>
      </c>
      <c r="AE370">
        <f>VLOOKUP(Table55[[#This Row],[Shortname]], Comp[], 30, FALSE)</f>
        <v>0</v>
      </c>
      <c r="AF370">
        <f>VLOOKUP(Table55[[#This Row],[Shortname]], Comp[], 31, FALSE)</f>
        <v>0</v>
      </c>
    </row>
    <row r="371" spans="1:32" x14ac:dyDescent="0.3">
      <c r="A371" s="12" t="s">
        <v>6209</v>
      </c>
      <c r="B371" s="12" t="s">
        <v>6210</v>
      </c>
      <c r="C371" s="12" t="s">
        <v>6211</v>
      </c>
      <c r="D371" s="12">
        <v>876</v>
      </c>
      <c r="E371" s="12">
        <v>1310</v>
      </c>
      <c r="F371" s="12">
        <v>1414</v>
      </c>
      <c r="H371" s="14">
        <f>VLOOKUP(Table55[[#This Row],[Shortname]], Comp[], 7, FALSE)</f>
        <v>82.9</v>
      </c>
      <c r="I371">
        <f>VLOOKUP(Table55[[#This Row],[Shortname]], Comp[], 8, FALSE)</f>
        <v>0</v>
      </c>
      <c r="J371">
        <f>VLOOKUP(Table55[[#This Row],[Shortname]], Comp[], 9, FALSE)</f>
        <v>9.8000000000000007</v>
      </c>
      <c r="K371">
        <f>VLOOKUP(Table55[[#This Row],[Shortname]], Comp[], 10, FALSE)</f>
        <v>0</v>
      </c>
      <c r="L371">
        <f>VLOOKUP(Table55[[#This Row],[Shortname]], Comp[], 11, FALSE)</f>
        <v>0</v>
      </c>
      <c r="M371">
        <f>VLOOKUP(Table55[[#This Row],[Shortname]], Comp[],12, FALSE)</f>
        <v>0</v>
      </c>
      <c r="N371">
        <f>VLOOKUP(Table55[[#This Row],[Shortname]], Comp[], 13, FALSE)</f>
        <v>0</v>
      </c>
      <c r="O371">
        <f>VLOOKUP(Table55[[#This Row],[Shortname]], Comp[], 14, FALSE)</f>
        <v>2</v>
      </c>
      <c r="P371">
        <f>VLOOKUP(Table55[[#This Row],[Shortname]], Comp[], 15, FALSE)</f>
        <v>5.3</v>
      </c>
      <c r="Q371">
        <f>VLOOKUP(Table55[[#This Row],[Shortname]], Comp[], 16, FALSE)</f>
        <v>0</v>
      </c>
      <c r="R371">
        <f>VLOOKUP(Table55[[#This Row],[Shortname]], Comp[], 17, FALSE)</f>
        <v>0</v>
      </c>
      <c r="S371">
        <f>VLOOKUP(Table55[[#This Row],[Shortname]], Comp[], 18, FALSE)</f>
        <v>0</v>
      </c>
      <c r="T371">
        <f>VLOOKUP(Table55[[#This Row],[Shortname]], Comp[], 19, FALSE)</f>
        <v>0</v>
      </c>
      <c r="U371">
        <f>VLOOKUP(Table55[[#This Row],[Shortname]], Comp[], 20, FALSE)</f>
        <v>0</v>
      </c>
      <c r="V371">
        <f>VLOOKUP(Table55[[#This Row],[Shortname]], Comp[], 21, FALSE)</f>
        <v>0</v>
      </c>
      <c r="W371">
        <f>VLOOKUP(Table55[[#This Row],[Shortname]], Comp[], 22, FALSE)</f>
        <v>0</v>
      </c>
      <c r="X371">
        <f>VLOOKUP(Table55[[#This Row],[Shortname]], Comp[], 23, FALSE)</f>
        <v>0</v>
      </c>
      <c r="Y371">
        <f>VLOOKUP(Table55[[#This Row],[Shortname]], Comp[], 24, FALSE)</f>
        <v>0</v>
      </c>
      <c r="Z371">
        <f>VLOOKUP(Table55[[#This Row],[Shortname]], Comp[], 25, FALSE)</f>
        <v>0</v>
      </c>
      <c r="AA371">
        <f>VLOOKUP(Table55[[#This Row],[Shortname]], Comp[], 26, FALSE)</f>
        <v>0</v>
      </c>
      <c r="AB371">
        <f>VLOOKUP(Table55[[#This Row],[Shortname]], Comp[], 27, FALSE)</f>
        <v>0</v>
      </c>
      <c r="AC371">
        <f>VLOOKUP(Table55[[#This Row],[Shortname]], Comp[], 28, FALSE)</f>
        <v>0</v>
      </c>
      <c r="AD371">
        <f>VLOOKUP(Table55[[#This Row],[Shortname]], Comp[], 29, FALSE)</f>
        <v>0</v>
      </c>
      <c r="AE371">
        <f>VLOOKUP(Table55[[#This Row],[Shortname]], Comp[], 30, FALSE)</f>
        <v>0</v>
      </c>
      <c r="AF371">
        <f>VLOOKUP(Table55[[#This Row],[Shortname]], Comp[], 31, FALSE)</f>
        <v>0</v>
      </c>
    </row>
    <row r="372" spans="1:32" x14ac:dyDescent="0.3">
      <c r="A372" s="12" t="s">
        <v>5411</v>
      </c>
      <c r="B372" s="12" t="s">
        <v>6222</v>
      </c>
      <c r="C372" s="12" t="s">
        <v>6223</v>
      </c>
      <c r="D372" s="12">
        <v>1138</v>
      </c>
      <c r="E372" s="12">
        <v>1220</v>
      </c>
      <c r="F372" s="12">
        <v>1312</v>
      </c>
      <c r="H372" s="14">
        <f>VLOOKUP(Table55[[#This Row],[Shortname]], Comp[], 7, FALSE)</f>
        <v>88</v>
      </c>
      <c r="I372">
        <f>VLOOKUP(Table55[[#This Row],[Shortname]], Comp[], 8, FALSE)</f>
        <v>0</v>
      </c>
      <c r="J372">
        <f>VLOOKUP(Table55[[#This Row],[Shortname]], Comp[], 9, FALSE)</f>
        <v>0</v>
      </c>
      <c r="K372">
        <f>VLOOKUP(Table55[[#This Row],[Shortname]], Comp[], 10, FALSE)</f>
        <v>0</v>
      </c>
      <c r="L372">
        <f>VLOOKUP(Table55[[#This Row],[Shortname]], Comp[], 11, FALSE)</f>
        <v>0</v>
      </c>
      <c r="M372">
        <f>VLOOKUP(Table55[[#This Row],[Shortname]], Comp[],12, FALSE)</f>
        <v>12</v>
      </c>
      <c r="N372">
        <f>VLOOKUP(Table55[[#This Row],[Shortname]], Comp[], 13, FALSE)</f>
        <v>0</v>
      </c>
      <c r="O372">
        <f>VLOOKUP(Table55[[#This Row],[Shortname]], Comp[], 14, FALSE)</f>
        <v>0</v>
      </c>
      <c r="P372">
        <f>VLOOKUP(Table55[[#This Row],[Shortname]], Comp[], 15, FALSE)</f>
        <v>0</v>
      </c>
      <c r="Q372">
        <f>VLOOKUP(Table55[[#This Row],[Shortname]], Comp[], 16, FALSE)</f>
        <v>0</v>
      </c>
      <c r="R372">
        <f>VLOOKUP(Table55[[#This Row],[Shortname]], Comp[], 17, FALSE)</f>
        <v>0</v>
      </c>
      <c r="S372">
        <f>VLOOKUP(Table55[[#This Row],[Shortname]], Comp[], 18, FALSE)</f>
        <v>0</v>
      </c>
      <c r="T372">
        <f>VLOOKUP(Table55[[#This Row],[Shortname]], Comp[], 19, FALSE)</f>
        <v>0</v>
      </c>
      <c r="U372">
        <f>VLOOKUP(Table55[[#This Row],[Shortname]], Comp[], 20, FALSE)</f>
        <v>0</v>
      </c>
      <c r="V372">
        <f>VLOOKUP(Table55[[#This Row],[Shortname]], Comp[], 21, FALSE)</f>
        <v>0</v>
      </c>
      <c r="W372">
        <f>VLOOKUP(Table55[[#This Row],[Shortname]], Comp[], 22, FALSE)</f>
        <v>0</v>
      </c>
      <c r="X372">
        <f>VLOOKUP(Table55[[#This Row],[Shortname]], Comp[], 23, FALSE)</f>
        <v>0</v>
      </c>
      <c r="Y372">
        <f>VLOOKUP(Table55[[#This Row],[Shortname]], Comp[], 24, FALSE)</f>
        <v>0</v>
      </c>
      <c r="Z372">
        <f>VLOOKUP(Table55[[#This Row],[Shortname]], Comp[], 25, FALSE)</f>
        <v>0</v>
      </c>
      <c r="AA372">
        <f>VLOOKUP(Table55[[#This Row],[Shortname]], Comp[], 26, FALSE)</f>
        <v>0</v>
      </c>
      <c r="AB372">
        <f>VLOOKUP(Table55[[#This Row],[Shortname]], Comp[], 27, FALSE)</f>
        <v>0</v>
      </c>
      <c r="AC372">
        <f>VLOOKUP(Table55[[#This Row],[Shortname]], Comp[], 28, FALSE)</f>
        <v>0</v>
      </c>
      <c r="AD372">
        <f>VLOOKUP(Table55[[#This Row],[Shortname]], Comp[], 29, FALSE)</f>
        <v>0</v>
      </c>
      <c r="AE372">
        <f>VLOOKUP(Table55[[#This Row],[Shortname]], Comp[], 30, FALSE)</f>
        <v>0</v>
      </c>
      <c r="AF372">
        <f>VLOOKUP(Table55[[#This Row],[Shortname]], Comp[], 31, FALSE)</f>
        <v>0</v>
      </c>
    </row>
    <row r="373" spans="1:32" x14ac:dyDescent="0.3">
      <c r="A373" s="12" t="s">
        <v>6225</v>
      </c>
      <c r="B373" s="12" t="s">
        <v>6226</v>
      </c>
      <c r="C373" s="12" t="s">
        <v>6223</v>
      </c>
      <c r="D373" s="12">
        <v>1112</v>
      </c>
      <c r="E373" s="12">
        <v>1252</v>
      </c>
      <c r="F373" s="12">
        <v>1361</v>
      </c>
      <c r="H373" s="14">
        <f>VLOOKUP(Table55[[#This Row],[Shortname]], Comp[], 7, FALSE)</f>
        <v>83.61</v>
      </c>
      <c r="I373">
        <f>VLOOKUP(Table55[[#This Row],[Shortname]], Comp[], 8, FALSE)</f>
        <v>0</v>
      </c>
      <c r="J373">
        <f>VLOOKUP(Table55[[#This Row],[Shortname]], Comp[], 9, FALSE)</f>
        <v>0</v>
      </c>
      <c r="K373">
        <f>VLOOKUP(Table55[[#This Row],[Shortname]], Comp[], 10, FALSE)</f>
        <v>0</v>
      </c>
      <c r="L373">
        <f>VLOOKUP(Table55[[#This Row],[Shortname]], Comp[], 11, FALSE)</f>
        <v>0</v>
      </c>
      <c r="M373">
        <f>VLOOKUP(Table55[[#This Row],[Shortname]], Comp[],12, FALSE)</f>
        <v>10.199999999999999</v>
      </c>
      <c r="N373">
        <f>VLOOKUP(Table55[[#This Row],[Shortname]], Comp[], 13, FALSE)</f>
        <v>0</v>
      </c>
      <c r="O373">
        <f>VLOOKUP(Table55[[#This Row],[Shortname]], Comp[], 14, FALSE)</f>
        <v>0</v>
      </c>
      <c r="P373">
        <f>VLOOKUP(Table55[[#This Row],[Shortname]], Comp[], 15, FALSE)</f>
        <v>6.19</v>
      </c>
      <c r="Q373">
        <f>VLOOKUP(Table55[[#This Row],[Shortname]], Comp[], 16, FALSE)</f>
        <v>0</v>
      </c>
      <c r="R373">
        <f>VLOOKUP(Table55[[#This Row],[Shortname]], Comp[], 17, FALSE)</f>
        <v>0</v>
      </c>
      <c r="S373">
        <f>VLOOKUP(Table55[[#This Row],[Shortname]], Comp[], 18, FALSE)</f>
        <v>0</v>
      </c>
      <c r="T373">
        <f>VLOOKUP(Table55[[#This Row],[Shortname]], Comp[], 19, FALSE)</f>
        <v>0</v>
      </c>
      <c r="U373">
        <f>VLOOKUP(Table55[[#This Row],[Shortname]], Comp[], 20, FALSE)</f>
        <v>0</v>
      </c>
      <c r="V373">
        <f>VLOOKUP(Table55[[#This Row],[Shortname]], Comp[], 21, FALSE)</f>
        <v>0</v>
      </c>
      <c r="W373">
        <f>VLOOKUP(Table55[[#This Row],[Shortname]], Comp[], 22, FALSE)</f>
        <v>0</v>
      </c>
      <c r="X373">
        <f>VLOOKUP(Table55[[#This Row],[Shortname]], Comp[], 23, FALSE)</f>
        <v>0</v>
      </c>
      <c r="Y373">
        <f>VLOOKUP(Table55[[#This Row],[Shortname]], Comp[], 24, FALSE)</f>
        <v>0</v>
      </c>
      <c r="Z373">
        <f>VLOOKUP(Table55[[#This Row],[Shortname]], Comp[], 25, FALSE)</f>
        <v>0</v>
      </c>
      <c r="AA373">
        <f>VLOOKUP(Table55[[#This Row],[Shortname]], Comp[], 26, FALSE)</f>
        <v>0</v>
      </c>
      <c r="AB373">
        <f>VLOOKUP(Table55[[#This Row],[Shortname]], Comp[], 27, FALSE)</f>
        <v>0</v>
      </c>
      <c r="AC373">
        <f>VLOOKUP(Table55[[#This Row],[Shortname]], Comp[], 28, FALSE)</f>
        <v>0</v>
      </c>
      <c r="AD373">
        <f>VLOOKUP(Table55[[#This Row],[Shortname]], Comp[], 29, FALSE)</f>
        <v>0</v>
      </c>
      <c r="AE373">
        <f>VLOOKUP(Table55[[#This Row],[Shortname]], Comp[], 30, FALSE)</f>
        <v>0</v>
      </c>
      <c r="AF373">
        <f>VLOOKUP(Table55[[#This Row],[Shortname]], Comp[], 31, FALSE)</f>
        <v>0</v>
      </c>
    </row>
    <row r="374" spans="1:32" x14ac:dyDescent="0.3">
      <c r="A374" s="12" t="s">
        <v>6230</v>
      </c>
      <c r="B374" s="12" t="s">
        <v>6231</v>
      </c>
      <c r="C374" s="12" t="s">
        <v>6223</v>
      </c>
      <c r="D374" s="12">
        <v>1055</v>
      </c>
      <c r="E374" s="12">
        <v>1297</v>
      </c>
      <c r="F374" s="12">
        <v>1388</v>
      </c>
      <c r="H374" s="14">
        <f>VLOOKUP(Table55[[#This Row],[Shortname]], Comp[], 7, FALSE)</f>
        <v>82.31</v>
      </c>
      <c r="I374">
        <f>VLOOKUP(Table55[[#This Row],[Shortname]], Comp[], 8, FALSE)</f>
        <v>0</v>
      </c>
      <c r="J374">
        <f>VLOOKUP(Table55[[#This Row],[Shortname]], Comp[], 9, FALSE)</f>
        <v>0</v>
      </c>
      <c r="K374">
        <f>VLOOKUP(Table55[[#This Row],[Shortname]], Comp[], 10, FALSE)</f>
        <v>0</v>
      </c>
      <c r="L374">
        <f>VLOOKUP(Table55[[#This Row],[Shortname]], Comp[], 11, FALSE)</f>
        <v>0</v>
      </c>
      <c r="M374">
        <f>VLOOKUP(Table55[[#This Row],[Shortname]], Comp[],12, FALSE)</f>
        <v>6.28</v>
      </c>
      <c r="N374">
        <f>VLOOKUP(Table55[[#This Row],[Shortname]], Comp[], 13, FALSE)</f>
        <v>0</v>
      </c>
      <c r="O374">
        <f>VLOOKUP(Table55[[#This Row],[Shortname]], Comp[], 14, FALSE)</f>
        <v>0</v>
      </c>
      <c r="P374">
        <f>VLOOKUP(Table55[[#This Row],[Shortname]], Comp[], 15, FALSE)</f>
        <v>11.41</v>
      </c>
      <c r="Q374">
        <f>VLOOKUP(Table55[[#This Row],[Shortname]], Comp[], 16, FALSE)</f>
        <v>0</v>
      </c>
      <c r="R374">
        <f>VLOOKUP(Table55[[#This Row],[Shortname]], Comp[], 17, FALSE)</f>
        <v>0</v>
      </c>
      <c r="S374">
        <f>VLOOKUP(Table55[[#This Row],[Shortname]], Comp[], 18, FALSE)</f>
        <v>0</v>
      </c>
      <c r="T374">
        <f>VLOOKUP(Table55[[#This Row],[Shortname]], Comp[], 19, FALSE)</f>
        <v>0</v>
      </c>
      <c r="U374">
        <f>VLOOKUP(Table55[[#This Row],[Shortname]], Comp[], 20, FALSE)</f>
        <v>0</v>
      </c>
      <c r="V374">
        <f>VLOOKUP(Table55[[#This Row],[Shortname]], Comp[], 21, FALSE)</f>
        <v>0</v>
      </c>
      <c r="W374">
        <f>VLOOKUP(Table55[[#This Row],[Shortname]], Comp[], 22, FALSE)</f>
        <v>0</v>
      </c>
      <c r="X374">
        <f>VLOOKUP(Table55[[#This Row],[Shortname]], Comp[], 23, FALSE)</f>
        <v>0</v>
      </c>
      <c r="Y374">
        <f>VLOOKUP(Table55[[#This Row],[Shortname]], Comp[], 24, FALSE)</f>
        <v>0</v>
      </c>
      <c r="Z374">
        <f>VLOOKUP(Table55[[#This Row],[Shortname]], Comp[], 25, FALSE)</f>
        <v>0</v>
      </c>
      <c r="AA374">
        <f>VLOOKUP(Table55[[#This Row],[Shortname]], Comp[], 26, FALSE)</f>
        <v>0</v>
      </c>
      <c r="AB374">
        <f>VLOOKUP(Table55[[#This Row],[Shortname]], Comp[], 27, FALSE)</f>
        <v>0</v>
      </c>
      <c r="AC374">
        <f>VLOOKUP(Table55[[#This Row],[Shortname]], Comp[], 28, FALSE)</f>
        <v>0</v>
      </c>
      <c r="AD374">
        <f>VLOOKUP(Table55[[#This Row],[Shortname]], Comp[], 29, FALSE)</f>
        <v>0</v>
      </c>
      <c r="AE374">
        <f>VLOOKUP(Table55[[#This Row],[Shortname]], Comp[], 30, FALSE)</f>
        <v>0</v>
      </c>
      <c r="AF374">
        <f>VLOOKUP(Table55[[#This Row],[Shortname]], Comp[], 31, FALSE)</f>
        <v>0</v>
      </c>
    </row>
    <row r="375" spans="1:32" x14ac:dyDescent="0.3">
      <c r="A375" s="12" t="s">
        <v>6258</v>
      </c>
      <c r="B375" s="12" t="s">
        <v>6259</v>
      </c>
      <c r="C375" s="12" t="s">
        <v>6260</v>
      </c>
      <c r="D375" s="12">
        <v>1164</v>
      </c>
      <c r="E375" s="12">
        <v>1301</v>
      </c>
      <c r="F375" s="12">
        <v>1359</v>
      </c>
      <c r="H375" s="14">
        <f>VLOOKUP(Table55[[#This Row],[Shortname]], Comp[], 7, FALSE)</f>
        <v>36.199999999999996</v>
      </c>
      <c r="I375">
        <f>VLOOKUP(Table55[[#This Row],[Shortname]], Comp[], 8, FALSE)</f>
        <v>36.1</v>
      </c>
      <c r="J375">
        <f>VLOOKUP(Table55[[#This Row],[Shortname]], Comp[], 9, FALSE)</f>
        <v>13.1</v>
      </c>
      <c r="K375">
        <f>VLOOKUP(Table55[[#This Row],[Shortname]], Comp[], 10, FALSE)</f>
        <v>7.6</v>
      </c>
      <c r="L375">
        <f>VLOOKUP(Table55[[#This Row],[Shortname]], Comp[], 11, FALSE)</f>
        <v>3</v>
      </c>
      <c r="M375">
        <f>VLOOKUP(Table55[[#This Row],[Shortname]], Comp[],12, FALSE)</f>
        <v>3.9</v>
      </c>
      <c r="N375">
        <f>VLOOKUP(Table55[[#This Row],[Shortname]], Comp[], 13, FALSE)</f>
        <v>0</v>
      </c>
      <c r="O375">
        <f>VLOOKUP(Table55[[#This Row],[Shortname]], Comp[], 14, FALSE)</f>
        <v>0</v>
      </c>
      <c r="P375">
        <f>VLOOKUP(Table55[[#This Row],[Shortname]], Comp[], 15, FALSE)</f>
        <v>0</v>
      </c>
      <c r="Q375">
        <f>VLOOKUP(Table55[[#This Row],[Shortname]], Comp[], 16, FALSE)</f>
        <v>0.1</v>
      </c>
      <c r="R375">
        <f>VLOOKUP(Table55[[#This Row],[Shortname]], Comp[], 17, FALSE)</f>
        <v>0</v>
      </c>
      <c r="S375">
        <f>VLOOKUP(Table55[[#This Row],[Shortname]], Comp[], 18, FALSE)</f>
        <v>0</v>
      </c>
      <c r="T375">
        <f>VLOOKUP(Table55[[#This Row],[Shortname]], Comp[], 19, FALSE)</f>
        <v>0</v>
      </c>
      <c r="U375">
        <f>VLOOKUP(Table55[[#This Row],[Shortname]], Comp[], 20, FALSE)</f>
        <v>0</v>
      </c>
      <c r="V375">
        <f>VLOOKUP(Table55[[#This Row],[Shortname]], Comp[], 21, FALSE)</f>
        <v>0</v>
      </c>
      <c r="W375">
        <f>VLOOKUP(Table55[[#This Row],[Shortname]], Comp[], 22, FALSE)</f>
        <v>0</v>
      </c>
      <c r="X375">
        <f>VLOOKUP(Table55[[#This Row],[Shortname]], Comp[], 23, FALSE)</f>
        <v>0</v>
      </c>
      <c r="Y375">
        <f>VLOOKUP(Table55[[#This Row],[Shortname]], Comp[], 24, FALSE)</f>
        <v>0</v>
      </c>
      <c r="Z375">
        <f>VLOOKUP(Table55[[#This Row],[Shortname]], Comp[], 25, FALSE)</f>
        <v>0</v>
      </c>
      <c r="AA375">
        <f>VLOOKUP(Table55[[#This Row],[Shortname]], Comp[], 26, FALSE)</f>
        <v>0</v>
      </c>
      <c r="AB375">
        <f>VLOOKUP(Table55[[#This Row],[Shortname]], Comp[], 27, FALSE)</f>
        <v>0</v>
      </c>
      <c r="AC375">
        <f>VLOOKUP(Table55[[#This Row],[Shortname]], Comp[], 28, FALSE)</f>
        <v>0</v>
      </c>
      <c r="AD375">
        <f>VLOOKUP(Table55[[#This Row],[Shortname]], Comp[], 29, FALSE)</f>
        <v>0</v>
      </c>
      <c r="AE375">
        <f>VLOOKUP(Table55[[#This Row],[Shortname]], Comp[], 30, FALSE)</f>
        <v>0</v>
      </c>
      <c r="AF375">
        <f>VLOOKUP(Table55[[#This Row],[Shortname]], Comp[], 31, FALSE)</f>
        <v>0</v>
      </c>
    </row>
    <row r="376" spans="1:32" x14ac:dyDescent="0.3">
      <c r="A376" s="12" t="s">
        <v>6264</v>
      </c>
      <c r="B376" s="12" t="s">
        <v>6265</v>
      </c>
      <c r="C376" s="12" t="s">
        <v>6266</v>
      </c>
      <c r="D376" s="12">
        <v>1040</v>
      </c>
      <c r="E376" s="12">
        <v>1384</v>
      </c>
      <c r="F376" s="12">
        <v>1412</v>
      </c>
      <c r="H376" s="14">
        <f>VLOOKUP(Table55[[#This Row],[Shortname]], Comp[], 7, FALSE)</f>
        <v>36.700000000000003</v>
      </c>
      <c r="I376">
        <f>VLOOKUP(Table55[[#This Row],[Shortname]], Comp[], 8, FALSE)</f>
        <v>37.299999999999997</v>
      </c>
      <c r="J376">
        <f>VLOOKUP(Table55[[#This Row],[Shortname]], Comp[], 9, FALSE)</f>
        <v>9.6</v>
      </c>
      <c r="K376">
        <f>VLOOKUP(Table55[[#This Row],[Shortname]], Comp[], 10, FALSE)</f>
        <v>7.6</v>
      </c>
      <c r="L376">
        <f>VLOOKUP(Table55[[#This Row],[Shortname]], Comp[], 11, FALSE)</f>
        <v>2.1</v>
      </c>
      <c r="M376">
        <f>VLOOKUP(Table55[[#This Row],[Shortname]], Comp[],12, FALSE)</f>
        <v>0.8</v>
      </c>
      <c r="N376">
        <f>VLOOKUP(Table55[[#This Row],[Shortname]], Comp[], 13, FALSE)</f>
        <v>0</v>
      </c>
      <c r="O376">
        <f>VLOOKUP(Table55[[#This Row],[Shortname]], Comp[], 14, FALSE)</f>
        <v>0</v>
      </c>
      <c r="P376">
        <f>VLOOKUP(Table55[[#This Row],[Shortname]], Comp[], 15, FALSE)</f>
        <v>0</v>
      </c>
      <c r="Q376">
        <f>VLOOKUP(Table55[[#This Row],[Shortname]], Comp[], 16, FALSE)</f>
        <v>5.9</v>
      </c>
      <c r="R376">
        <f>VLOOKUP(Table55[[#This Row],[Shortname]], Comp[], 17, FALSE)</f>
        <v>0</v>
      </c>
      <c r="S376">
        <f>VLOOKUP(Table55[[#This Row],[Shortname]], Comp[], 18, FALSE)</f>
        <v>0</v>
      </c>
      <c r="T376">
        <f>VLOOKUP(Table55[[#This Row],[Shortname]], Comp[], 19, FALSE)</f>
        <v>0</v>
      </c>
      <c r="U376">
        <f>VLOOKUP(Table55[[#This Row],[Shortname]], Comp[], 20, FALSE)</f>
        <v>0</v>
      </c>
      <c r="V376">
        <f>VLOOKUP(Table55[[#This Row],[Shortname]], Comp[], 21, FALSE)</f>
        <v>0</v>
      </c>
      <c r="W376">
        <f>VLOOKUP(Table55[[#This Row],[Shortname]], Comp[], 22, FALSE)</f>
        <v>0</v>
      </c>
      <c r="X376">
        <f>VLOOKUP(Table55[[#This Row],[Shortname]], Comp[], 23, FALSE)</f>
        <v>0</v>
      </c>
      <c r="Y376">
        <f>VLOOKUP(Table55[[#This Row],[Shortname]], Comp[], 24, FALSE)</f>
        <v>0</v>
      </c>
      <c r="Z376">
        <f>VLOOKUP(Table55[[#This Row],[Shortname]], Comp[], 25, FALSE)</f>
        <v>0</v>
      </c>
      <c r="AA376">
        <f>VLOOKUP(Table55[[#This Row],[Shortname]], Comp[], 26, FALSE)</f>
        <v>0</v>
      </c>
      <c r="AB376">
        <f>VLOOKUP(Table55[[#This Row],[Shortname]], Comp[], 27, FALSE)</f>
        <v>0</v>
      </c>
      <c r="AC376">
        <f>VLOOKUP(Table55[[#This Row],[Shortname]], Comp[], 28, FALSE)</f>
        <v>0</v>
      </c>
      <c r="AD376">
        <f>VLOOKUP(Table55[[#This Row],[Shortname]], Comp[], 29, FALSE)</f>
        <v>0</v>
      </c>
      <c r="AE376">
        <f>VLOOKUP(Table55[[#This Row],[Shortname]], Comp[], 30, FALSE)</f>
        <v>0</v>
      </c>
      <c r="AF376">
        <f>VLOOKUP(Table55[[#This Row],[Shortname]], Comp[], 31, FALSE)</f>
        <v>0</v>
      </c>
    </row>
    <row r="377" spans="1:32" x14ac:dyDescent="0.3">
      <c r="A377" s="12" t="s">
        <v>6270</v>
      </c>
      <c r="B377" s="12" t="s">
        <v>6271</v>
      </c>
      <c r="C377" s="12" t="s">
        <v>6272</v>
      </c>
      <c r="D377" s="12">
        <v>985</v>
      </c>
      <c r="E377" s="12">
        <v>1399</v>
      </c>
      <c r="F377" s="12">
        <v>1427</v>
      </c>
      <c r="H377" s="14">
        <f>VLOOKUP(Table55[[#This Row],[Shortname]], Comp[], 7, FALSE)</f>
        <v>36.5</v>
      </c>
      <c r="I377">
        <f>VLOOKUP(Table55[[#This Row],[Shortname]], Comp[], 8, FALSE)</f>
        <v>38.299999999999997</v>
      </c>
      <c r="J377">
        <f>VLOOKUP(Table55[[#This Row],[Shortname]], Comp[], 9, FALSE)</f>
        <v>8.1</v>
      </c>
      <c r="K377">
        <f>VLOOKUP(Table55[[#This Row],[Shortname]], Comp[], 10, FALSE)</f>
        <v>7.6</v>
      </c>
      <c r="L377">
        <f>VLOOKUP(Table55[[#This Row],[Shortname]], Comp[], 11, FALSE)</f>
        <v>2.6</v>
      </c>
      <c r="M377">
        <f>VLOOKUP(Table55[[#This Row],[Shortname]], Comp[],12, FALSE)</f>
        <v>0</v>
      </c>
      <c r="N377">
        <f>VLOOKUP(Table55[[#This Row],[Shortname]], Comp[], 13, FALSE)</f>
        <v>0</v>
      </c>
      <c r="O377">
        <f>VLOOKUP(Table55[[#This Row],[Shortname]], Comp[], 14, FALSE)</f>
        <v>0</v>
      </c>
      <c r="P377">
        <f>VLOOKUP(Table55[[#This Row],[Shortname]], Comp[], 15, FALSE)</f>
        <v>0</v>
      </c>
      <c r="Q377">
        <f>VLOOKUP(Table55[[#This Row],[Shortname]], Comp[], 16, FALSE)</f>
        <v>6.9</v>
      </c>
      <c r="R377">
        <f>VLOOKUP(Table55[[#This Row],[Shortname]], Comp[], 17, FALSE)</f>
        <v>0</v>
      </c>
      <c r="S377">
        <f>VLOOKUP(Table55[[#This Row],[Shortname]], Comp[], 18, FALSE)</f>
        <v>0</v>
      </c>
      <c r="T377">
        <f>VLOOKUP(Table55[[#This Row],[Shortname]], Comp[], 19, FALSE)</f>
        <v>0</v>
      </c>
      <c r="U377">
        <f>VLOOKUP(Table55[[#This Row],[Shortname]], Comp[], 20, FALSE)</f>
        <v>0</v>
      </c>
      <c r="V377">
        <f>VLOOKUP(Table55[[#This Row],[Shortname]], Comp[], 21, FALSE)</f>
        <v>0</v>
      </c>
      <c r="W377">
        <f>VLOOKUP(Table55[[#This Row],[Shortname]], Comp[], 22, FALSE)</f>
        <v>0</v>
      </c>
      <c r="X377">
        <f>VLOOKUP(Table55[[#This Row],[Shortname]], Comp[], 23, FALSE)</f>
        <v>0</v>
      </c>
      <c r="Y377">
        <f>VLOOKUP(Table55[[#This Row],[Shortname]], Comp[], 24, FALSE)</f>
        <v>0</v>
      </c>
      <c r="Z377">
        <f>VLOOKUP(Table55[[#This Row],[Shortname]], Comp[], 25, FALSE)</f>
        <v>0</v>
      </c>
      <c r="AA377">
        <f>VLOOKUP(Table55[[#This Row],[Shortname]], Comp[], 26, FALSE)</f>
        <v>0</v>
      </c>
      <c r="AB377">
        <f>VLOOKUP(Table55[[#This Row],[Shortname]], Comp[], 27, FALSE)</f>
        <v>0</v>
      </c>
      <c r="AC377">
        <f>VLOOKUP(Table55[[#This Row],[Shortname]], Comp[], 28, FALSE)</f>
        <v>0</v>
      </c>
      <c r="AD377">
        <f>VLOOKUP(Table55[[#This Row],[Shortname]], Comp[], 29, FALSE)</f>
        <v>0</v>
      </c>
      <c r="AE377">
        <f>VLOOKUP(Table55[[#This Row],[Shortname]], Comp[], 30, FALSE)</f>
        <v>0</v>
      </c>
      <c r="AF377">
        <f>VLOOKUP(Table55[[#This Row],[Shortname]], Comp[], 31, FALSE)</f>
        <v>0</v>
      </c>
    </row>
    <row r="378" spans="1:32" x14ac:dyDescent="0.3">
      <c r="A378" s="12" t="s">
        <v>6367</v>
      </c>
      <c r="B378" s="12" t="s">
        <v>6368</v>
      </c>
      <c r="C378" s="12" t="s">
        <v>6369</v>
      </c>
      <c r="D378" s="12">
        <v>1145</v>
      </c>
      <c r="E378" s="12">
        <v>1357</v>
      </c>
      <c r="F378" s="12">
        <v>1423</v>
      </c>
      <c r="H378" s="14">
        <f>VLOOKUP(Table55[[#This Row],[Shortname]], Comp[], 7, FALSE)</f>
        <v>42.5</v>
      </c>
      <c r="I378">
        <f>VLOOKUP(Table55[[#This Row],[Shortname]], Comp[], 8, FALSE)</f>
        <v>32</v>
      </c>
      <c r="J378">
        <f>VLOOKUP(Table55[[#This Row],[Shortname]], Comp[], 9, FALSE)</f>
        <v>8</v>
      </c>
      <c r="K378">
        <f>VLOOKUP(Table55[[#This Row],[Shortname]], Comp[], 10, FALSE)</f>
        <v>8</v>
      </c>
      <c r="L378">
        <f>VLOOKUP(Table55[[#This Row],[Shortname]], Comp[], 11, FALSE)</f>
        <v>5</v>
      </c>
      <c r="M378">
        <f>VLOOKUP(Table55[[#This Row],[Shortname]], Comp[],12, FALSE)</f>
        <v>2.5</v>
      </c>
      <c r="N378">
        <f>VLOOKUP(Table55[[#This Row],[Shortname]], Comp[], 13, FALSE)</f>
        <v>1.5</v>
      </c>
      <c r="O378">
        <f>VLOOKUP(Table55[[#This Row],[Shortname]], Comp[], 14, FALSE)</f>
        <v>0</v>
      </c>
      <c r="P378">
        <f>VLOOKUP(Table55[[#This Row],[Shortname]], Comp[], 15, FALSE)</f>
        <v>0</v>
      </c>
      <c r="Q378">
        <f>VLOOKUP(Table55[[#This Row],[Shortname]], Comp[], 16, FALSE)</f>
        <v>0</v>
      </c>
      <c r="R378">
        <f>VLOOKUP(Table55[[#This Row],[Shortname]], Comp[], 17, FALSE)</f>
        <v>0</v>
      </c>
      <c r="S378">
        <f>VLOOKUP(Table55[[#This Row],[Shortname]], Comp[], 18, FALSE)</f>
        <v>0</v>
      </c>
      <c r="T378">
        <f>VLOOKUP(Table55[[#This Row],[Shortname]], Comp[], 19, FALSE)</f>
        <v>0</v>
      </c>
      <c r="U378">
        <f>VLOOKUP(Table55[[#This Row],[Shortname]], Comp[], 20, FALSE)</f>
        <v>0</v>
      </c>
      <c r="V378">
        <f>VLOOKUP(Table55[[#This Row],[Shortname]], Comp[], 21, FALSE)</f>
        <v>0</v>
      </c>
      <c r="W378">
        <f>VLOOKUP(Table55[[#This Row],[Shortname]], Comp[], 22, FALSE)</f>
        <v>0.4</v>
      </c>
      <c r="X378">
        <f>VLOOKUP(Table55[[#This Row],[Shortname]], Comp[], 23, FALSE)</f>
        <v>0</v>
      </c>
      <c r="Y378">
        <f>VLOOKUP(Table55[[#This Row],[Shortname]], Comp[], 24, FALSE)</f>
        <v>0</v>
      </c>
      <c r="Z378">
        <f>VLOOKUP(Table55[[#This Row],[Shortname]], Comp[], 25, FALSE)</f>
        <v>0.1</v>
      </c>
      <c r="AA378">
        <f>VLOOKUP(Table55[[#This Row],[Shortname]], Comp[], 26, FALSE)</f>
        <v>0</v>
      </c>
      <c r="AB378">
        <f>VLOOKUP(Table55[[#This Row],[Shortname]], Comp[], 27, FALSE)</f>
        <v>0</v>
      </c>
      <c r="AC378">
        <f>VLOOKUP(Table55[[#This Row],[Shortname]], Comp[], 28, FALSE)</f>
        <v>0</v>
      </c>
      <c r="AD378">
        <f>VLOOKUP(Table55[[#This Row],[Shortname]], Comp[], 29, FALSE)</f>
        <v>0</v>
      </c>
      <c r="AE378">
        <f>VLOOKUP(Table55[[#This Row],[Shortname]], Comp[], 30, FALSE)</f>
        <v>0</v>
      </c>
      <c r="AF378">
        <f>VLOOKUP(Table55[[#This Row],[Shortname]], Comp[], 31, FALSE)</f>
        <v>0</v>
      </c>
    </row>
    <row r="379" spans="1:32" x14ac:dyDescent="0.3">
      <c r="A379" s="12" t="s">
        <v>6371</v>
      </c>
      <c r="B379" s="12" t="s">
        <v>6372</v>
      </c>
      <c r="C379" s="12" t="s">
        <v>6373</v>
      </c>
      <c r="D379" s="12">
        <v>1195</v>
      </c>
      <c r="E379" s="12">
        <v>1355</v>
      </c>
      <c r="F379" s="12">
        <v>1417</v>
      </c>
      <c r="H379" s="14">
        <f>VLOOKUP(Table55[[#This Row],[Shortname]], Comp[], 7, FALSE)</f>
        <v>30</v>
      </c>
      <c r="I379">
        <f>VLOOKUP(Table55[[#This Row],[Shortname]], Comp[], 8, FALSE)</f>
        <v>44.5</v>
      </c>
      <c r="J379">
        <f>VLOOKUP(Table55[[#This Row],[Shortname]], Comp[], 9, FALSE)</f>
        <v>8</v>
      </c>
      <c r="K379">
        <f>VLOOKUP(Table55[[#This Row],[Shortname]], Comp[], 10, FALSE)</f>
        <v>8</v>
      </c>
      <c r="L379">
        <f>VLOOKUP(Table55[[#This Row],[Shortname]], Comp[], 11, FALSE)</f>
        <v>5</v>
      </c>
      <c r="M379">
        <f>VLOOKUP(Table55[[#This Row],[Shortname]], Comp[],12, FALSE)</f>
        <v>2.5</v>
      </c>
      <c r="N379">
        <f>VLOOKUP(Table55[[#This Row],[Shortname]], Comp[], 13, FALSE)</f>
        <v>1.5</v>
      </c>
      <c r="O379">
        <f>VLOOKUP(Table55[[#This Row],[Shortname]], Comp[], 14, FALSE)</f>
        <v>0</v>
      </c>
      <c r="P379">
        <f>VLOOKUP(Table55[[#This Row],[Shortname]], Comp[], 15, FALSE)</f>
        <v>0</v>
      </c>
      <c r="Q379">
        <f>VLOOKUP(Table55[[#This Row],[Shortname]], Comp[], 16, FALSE)</f>
        <v>0</v>
      </c>
      <c r="R379">
        <f>VLOOKUP(Table55[[#This Row],[Shortname]], Comp[], 17, FALSE)</f>
        <v>0</v>
      </c>
      <c r="S379">
        <f>VLOOKUP(Table55[[#This Row],[Shortname]], Comp[], 18, FALSE)</f>
        <v>0</v>
      </c>
      <c r="T379">
        <f>VLOOKUP(Table55[[#This Row],[Shortname]], Comp[], 19, FALSE)</f>
        <v>0</v>
      </c>
      <c r="U379">
        <f>VLOOKUP(Table55[[#This Row],[Shortname]], Comp[], 20, FALSE)</f>
        <v>0</v>
      </c>
      <c r="V379">
        <f>VLOOKUP(Table55[[#This Row],[Shortname]], Comp[], 21, FALSE)</f>
        <v>0</v>
      </c>
      <c r="W379">
        <f>VLOOKUP(Table55[[#This Row],[Shortname]], Comp[], 22, FALSE)</f>
        <v>0.4</v>
      </c>
      <c r="X379">
        <f>VLOOKUP(Table55[[#This Row],[Shortname]], Comp[], 23, FALSE)</f>
        <v>0</v>
      </c>
      <c r="Y379">
        <f>VLOOKUP(Table55[[#This Row],[Shortname]], Comp[], 24, FALSE)</f>
        <v>0</v>
      </c>
      <c r="Z379">
        <f>VLOOKUP(Table55[[#This Row],[Shortname]], Comp[], 25, FALSE)</f>
        <v>0.1</v>
      </c>
      <c r="AA379">
        <f>VLOOKUP(Table55[[#This Row],[Shortname]], Comp[], 26, FALSE)</f>
        <v>0</v>
      </c>
      <c r="AB379">
        <f>VLOOKUP(Table55[[#This Row],[Shortname]], Comp[], 27, FALSE)</f>
        <v>0</v>
      </c>
      <c r="AC379">
        <f>VLOOKUP(Table55[[#This Row],[Shortname]], Comp[], 28, FALSE)</f>
        <v>0</v>
      </c>
      <c r="AD379">
        <f>VLOOKUP(Table55[[#This Row],[Shortname]], Comp[], 29, FALSE)</f>
        <v>0</v>
      </c>
      <c r="AE379">
        <f>VLOOKUP(Table55[[#This Row],[Shortname]], Comp[], 30, FALSE)</f>
        <v>0</v>
      </c>
      <c r="AF379">
        <f>VLOOKUP(Table55[[#This Row],[Shortname]], Comp[], 31, FALSE)</f>
        <v>0</v>
      </c>
    </row>
    <row r="380" spans="1:32" x14ac:dyDescent="0.3">
      <c r="A380" s="12" t="s">
        <v>6429</v>
      </c>
      <c r="B380" s="12" t="s">
        <v>6430</v>
      </c>
      <c r="C380" s="12" t="s">
        <v>6431</v>
      </c>
      <c r="D380" s="12">
        <v>1184</v>
      </c>
      <c r="E380" s="12">
        <v>1318</v>
      </c>
      <c r="F380" s="12">
        <v>1377</v>
      </c>
      <c r="H380" s="14">
        <f>VLOOKUP(Table55[[#This Row],[Shortname]], Comp[], 7, FALSE)</f>
        <v>52.410000000000004</v>
      </c>
      <c r="I380">
        <f>VLOOKUP(Table55[[#This Row],[Shortname]], Comp[], 8, FALSE)</f>
        <v>17.489999999999998</v>
      </c>
      <c r="J380">
        <f>VLOOKUP(Table55[[#This Row],[Shortname]], Comp[], 9, FALSE)</f>
        <v>5.42</v>
      </c>
      <c r="K380">
        <f>VLOOKUP(Table55[[#This Row],[Shortname]], Comp[], 10, FALSE)</f>
        <v>4.17</v>
      </c>
      <c r="L380">
        <f>VLOOKUP(Table55[[#This Row],[Shortname]], Comp[], 11, FALSE)</f>
        <v>0</v>
      </c>
      <c r="M380">
        <f>VLOOKUP(Table55[[#This Row],[Shortname]], Comp[],12, FALSE)</f>
        <v>2.0299999999999998</v>
      </c>
      <c r="N380">
        <f>VLOOKUP(Table55[[#This Row],[Shortname]], Comp[], 13, FALSE)</f>
        <v>1.52</v>
      </c>
      <c r="O380">
        <f>VLOOKUP(Table55[[#This Row],[Shortname]], Comp[], 14, FALSE)</f>
        <v>1.44</v>
      </c>
      <c r="P380">
        <f>VLOOKUP(Table55[[#This Row],[Shortname]], Comp[], 15, FALSE)</f>
        <v>3.08</v>
      </c>
      <c r="Q380">
        <f>VLOOKUP(Table55[[#This Row],[Shortname]], Comp[], 16, FALSE)</f>
        <v>0</v>
      </c>
      <c r="R380">
        <f>VLOOKUP(Table55[[#This Row],[Shortname]], Comp[], 17, FALSE)</f>
        <v>0</v>
      </c>
      <c r="S380">
        <f>VLOOKUP(Table55[[#This Row],[Shortname]], Comp[], 18, FALSE)</f>
        <v>0</v>
      </c>
      <c r="T380">
        <f>VLOOKUP(Table55[[#This Row],[Shortname]], Comp[], 19, FALSE)</f>
        <v>0.08</v>
      </c>
      <c r="U380">
        <f>VLOOKUP(Table55[[#This Row],[Shortname]], Comp[], 20, FALSE)</f>
        <v>0</v>
      </c>
      <c r="V380">
        <f>VLOOKUP(Table55[[#This Row],[Shortname]], Comp[], 21, FALSE)</f>
        <v>0</v>
      </c>
      <c r="W380">
        <f>VLOOKUP(Table55[[#This Row],[Shortname]], Comp[], 22, FALSE)</f>
        <v>0</v>
      </c>
      <c r="X380">
        <f>VLOOKUP(Table55[[#This Row],[Shortname]], Comp[], 23, FALSE)</f>
        <v>12.36</v>
      </c>
      <c r="Y380">
        <f>VLOOKUP(Table55[[#This Row],[Shortname]], Comp[], 24, FALSE)</f>
        <v>0</v>
      </c>
      <c r="Z380">
        <f>VLOOKUP(Table55[[#This Row],[Shortname]], Comp[], 25, FALSE)</f>
        <v>0</v>
      </c>
      <c r="AA380">
        <f>VLOOKUP(Table55[[#This Row],[Shortname]], Comp[], 26, FALSE)</f>
        <v>0</v>
      </c>
      <c r="AB380">
        <f>VLOOKUP(Table55[[#This Row],[Shortname]], Comp[], 27, FALSE)</f>
        <v>0</v>
      </c>
      <c r="AC380">
        <f>VLOOKUP(Table55[[#This Row],[Shortname]], Comp[], 28, FALSE)</f>
        <v>0</v>
      </c>
      <c r="AD380">
        <f>VLOOKUP(Table55[[#This Row],[Shortname]], Comp[], 29, FALSE)</f>
        <v>0</v>
      </c>
      <c r="AE380">
        <f>VLOOKUP(Table55[[#This Row],[Shortname]], Comp[], 30, FALSE)</f>
        <v>0</v>
      </c>
      <c r="AF380">
        <f>VLOOKUP(Table55[[#This Row],[Shortname]], Comp[], 31, FALSE)</f>
        <v>0</v>
      </c>
    </row>
    <row r="381" spans="1:32" x14ac:dyDescent="0.3">
      <c r="A381" s="12" t="s">
        <v>6435</v>
      </c>
      <c r="B381" s="12" t="s">
        <v>6436</v>
      </c>
      <c r="C381" s="12" t="s">
        <v>6431</v>
      </c>
      <c r="D381" s="12">
        <v>1189</v>
      </c>
      <c r="E381" s="12">
        <v>1313</v>
      </c>
      <c r="F381" s="12">
        <v>1377</v>
      </c>
      <c r="H381" s="14">
        <f>VLOOKUP(Table55[[#This Row],[Shortname]], Comp[], 7, FALSE)</f>
        <v>52.14</v>
      </c>
      <c r="I381">
        <f>VLOOKUP(Table55[[#This Row],[Shortname]], Comp[], 8, FALSE)</f>
        <v>15.53</v>
      </c>
      <c r="J381">
        <f>VLOOKUP(Table55[[#This Row],[Shortname]], Comp[], 9, FALSE)</f>
        <v>5.63</v>
      </c>
      <c r="K381">
        <f>VLOOKUP(Table55[[#This Row],[Shortname]], Comp[], 10, FALSE)</f>
        <v>4.18</v>
      </c>
      <c r="L381">
        <f>VLOOKUP(Table55[[#This Row],[Shortname]], Comp[], 11, FALSE)</f>
        <v>0</v>
      </c>
      <c r="M381">
        <f>VLOOKUP(Table55[[#This Row],[Shortname]], Comp[],12, FALSE)</f>
        <v>2.0699999999999998</v>
      </c>
      <c r="N381">
        <f>VLOOKUP(Table55[[#This Row],[Shortname]], Comp[], 13, FALSE)</f>
        <v>1.49</v>
      </c>
      <c r="O381">
        <f>VLOOKUP(Table55[[#This Row],[Shortname]], Comp[], 14, FALSE)</f>
        <v>1.5</v>
      </c>
      <c r="P381">
        <f>VLOOKUP(Table55[[#This Row],[Shortname]], Comp[], 15, FALSE)</f>
        <v>3.07</v>
      </c>
      <c r="Q381">
        <f>VLOOKUP(Table55[[#This Row],[Shortname]], Comp[], 16, FALSE)</f>
        <v>0</v>
      </c>
      <c r="R381">
        <f>VLOOKUP(Table55[[#This Row],[Shortname]], Comp[], 17, FALSE)</f>
        <v>0</v>
      </c>
      <c r="S381">
        <f>VLOOKUP(Table55[[#This Row],[Shortname]], Comp[], 18, FALSE)</f>
        <v>0</v>
      </c>
      <c r="T381">
        <f>VLOOKUP(Table55[[#This Row],[Shortname]], Comp[], 19, FALSE)</f>
        <v>0.08</v>
      </c>
      <c r="U381">
        <f>VLOOKUP(Table55[[#This Row],[Shortname]], Comp[], 20, FALSE)</f>
        <v>0</v>
      </c>
      <c r="V381">
        <f>VLOOKUP(Table55[[#This Row],[Shortname]], Comp[], 21, FALSE)</f>
        <v>0</v>
      </c>
      <c r="W381">
        <f>VLOOKUP(Table55[[#This Row],[Shortname]], Comp[], 22, FALSE)</f>
        <v>0</v>
      </c>
      <c r="X381">
        <f>VLOOKUP(Table55[[#This Row],[Shortname]], Comp[], 23, FALSE)</f>
        <v>14.31</v>
      </c>
      <c r="Y381">
        <f>VLOOKUP(Table55[[#This Row],[Shortname]], Comp[], 24, FALSE)</f>
        <v>0</v>
      </c>
      <c r="Z381">
        <f>VLOOKUP(Table55[[#This Row],[Shortname]], Comp[], 25, FALSE)</f>
        <v>0</v>
      </c>
      <c r="AA381">
        <f>VLOOKUP(Table55[[#This Row],[Shortname]], Comp[], 26, FALSE)</f>
        <v>0</v>
      </c>
      <c r="AB381">
        <f>VLOOKUP(Table55[[#This Row],[Shortname]], Comp[], 27, FALSE)</f>
        <v>0</v>
      </c>
      <c r="AC381">
        <f>VLOOKUP(Table55[[#This Row],[Shortname]], Comp[], 28, FALSE)</f>
        <v>0</v>
      </c>
      <c r="AD381">
        <f>VLOOKUP(Table55[[#This Row],[Shortname]], Comp[], 29, FALSE)</f>
        <v>0</v>
      </c>
      <c r="AE381">
        <f>VLOOKUP(Table55[[#This Row],[Shortname]], Comp[], 30, FALSE)</f>
        <v>0</v>
      </c>
      <c r="AF381">
        <f>VLOOKUP(Table55[[#This Row],[Shortname]], Comp[], 31, FALSE)</f>
        <v>0</v>
      </c>
    </row>
    <row r="382" spans="1:32" x14ac:dyDescent="0.3">
      <c r="A382" s="12" t="s">
        <v>6440</v>
      </c>
      <c r="B382" s="12" t="s">
        <v>6441</v>
      </c>
      <c r="C382" s="12" t="s">
        <v>6431</v>
      </c>
      <c r="D382" s="12">
        <v>1198</v>
      </c>
      <c r="E382" s="12">
        <v>1313</v>
      </c>
      <c r="F382" s="12">
        <v>1373</v>
      </c>
      <c r="H382" s="14">
        <f>VLOOKUP(Table55[[#This Row],[Shortname]], Comp[], 7, FALSE)</f>
        <v>52.13</v>
      </c>
      <c r="I382">
        <f>VLOOKUP(Table55[[#This Row],[Shortname]], Comp[], 8, FALSE)</f>
        <v>11.78</v>
      </c>
      <c r="J382">
        <f>VLOOKUP(Table55[[#This Row],[Shortname]], Comp[], 9, FALSE)</f>
        <v>5.45</v>
      </c>
      <c r="K382">
        <f>VLOOKUP(Table55[[#This Row],[Shortname]], Comp[], 10, FALSE)</f>
        <v>4.1399999999999997</v>
      </c>
      <c r="L382">
        <f>VLOOKUP(Table55[[#This Row],[Shortname]], Comp[], 11, FALSE)</f>
        <v>0</v>
      </c>
      <c r="M382">
        <f>VLOOKUP(Table55[[#This Row],[Shortname]], Comp[],12, FALSE)</f>
        <v>2.06</v>
      </c>
      <c r="N382">
        <f>VLOOKUP(Table55[[#This Row],[Shortname]], Comp[], 13, FALSE)</f>
        <v>1.52</v>
      </c>
      <c r="O382">
        <f>VLOOKUP(Table55[[#This Row],[Shortname]], Comp[], 14, FALSE)</f>
        <v>1.51</v>
      </c>
      <c r="P382">
        <f>VLOOKUP(Table55[[#This Row],[Shortname]], Comp[], 15, FALSE)</f>
        <v>3.06</v>
      </c>
      <c r="Q382">
        <f>VLOOKUP(Table55[[#This Row],[Shortname]], Comp[], 16, FALSE)</f>
        <v>0</v>
      </c>
      <c r="R382">
        <f>VLOOKUP(Table55[[#This Row],[Shortname]], Comp[], 17, FALSE)</f>
        <v>0</v>
      </c>
      <c r="S382">
        <f>VLOOKUP(Table55[[#This Row],[Shortname]], Comp[], 18, FALSE)</f>
        <v>0</v>
      </c>
      <c r="T382">
        <f>VLOOKUP(Table55[[#This Row],[Shortname]], Comp[], 19, FALSE)</f>
        <v>0.08</v>
      </c>
      <c r="U382">
        <f>VLOOKUP(Table55[[#This Row],[Shortname]], Comp[], 20, FALSE)</f>
        <v>0</v>
      </c>
      <c r="V382">
        <f>VLOOKUP(Table55[[#This Row],[Shortname]], Comp[], 21, FALSE)</f>
        <v>0</v>
      </c>
      <c r="W382">
        <f>VLOOKUP(Table55[[#This Row],[Shortname]], Comp[], 22, FALSE)</f>
        <v>0</v>
      </c>
      <c r="X382">
        <f>VLOOKUP(Table55[[#This Row],[Shortname]], Comp[], 23, FALSE)</f>
        <v>18.27</v>
      </c>
      <c r="Y382">
        <f>VLOOKUP(Table55[[#This Row],[Shortname]], Comp[], 24, FALSE)</f>
        <v>0</v>
      </c>
      <c r="Z382">
        <f>VLOOKUP(Table55[[#This Row],[Shortname]], Comp[], 25, FALSE)</f>
        <v>0</v>
      </c>
      <c r="AA382">
        <f>VLOOKUP(Table55[[#This Row],[Shortname]], Comp[], 26, FALSE)</f>
        <v>0</v>
      </c>
      <c r="AB382">
        <f>VLOOKUP(Table55[[#This Row],[Shortname]], Comp[], 27, FALSE)</f>
        <v>0</v>
      </c>
      <c r="AC382">
        <f>VLOOKUP(Table55[[#This Row],[Shortname]], Comp[], 28, FALSE)</f>
        <v>0</v>
      </c>
      <c r="AD382">
        <f>VLOOKUP(Table55[[#This Row],[Shortname]], Comp[], 29, FALSE)</f>
        <v>0</v>
      </c>
      <c r="AE382">
        <f>VLOOKUP(Table55[[#This Row],[Shortname]], Comp[], 30, FALSE)</f>
        <v>0</v>
      </c>
      <c r="AF382">
        <f>VLOOKUP(Table55[[#This Row],[Shortname]], Comp[], 31, FALSE)</f>
        <v>0</v>
      </c>
    </row>
    <row r="383" spans="1:32" x14ac:dyDescent="0.3">
      <c r="A383" s="12" t="s">
        <v>6445</v>
      </c>
      <c r="B383" s="12" t="s">
        <v>6446</v>
      </c>
      <c r="C383" s="12" t="s">
        <v>6431</v>
      </c>
      <c r="D383" s="12">
        <v>1189</v>
      </c>
      <c r="E383" s="12">
        <v>1308</v>
      </c>
      <c r="F383" s="12">
        <v>1368</v>
      </c>
      <c r="H383" s="14">
        <f>VLOOKUP(Table55[[#This Row],[Shortname]], Comp[], 7, FALSE)</f>
        <v>48.260000000000005</v>
      </c>
      <c r="I383">
        <f>VLOOKUP(Table55[[#This Row],[Shortname]], Comp[], 8, FALSE)</f>
        <v>17.440000000000001</v>
      </c>
      <c r="J383">
        <f>VLOOKUP(Table55[[#This Row],[Shortname]], Comp[], 9, FALSE)</f>
        <v>5.44</v>
      </c>
      <c r="K383">
        <f>VLOOKUP(Table55[[#This Row],[Shortname]], Comp[], 10, FALSE)</f>
        <v>8.32</v>
      </c>
      <c r="L383">
        <f>VLOOKUP(Table55[[#This Row],[Shortname]], Comp[], 11, FALSE)</f>
        <v>0</v>
      </c>
      <c r="M383">
        <f>VLOOKUP(Table55[[#This Row],[Shortname]], Comp[],12, FALSE)</f>
        <v>2.08</v>
      </c>
      <c r="N383">
        <f>VLOOKUP(Table55[[#This Row],[Shortname]], Comp[], 13, FALSE)</f>
        <v>1.55</v>
      </c>
      <c r="O383">
        <f>VLOOKUP(Table55[[#This Row],[Shortname]], Comp[], 14, FALSE)</f>
        <v>1.48</v>
      </c>
      <c r="P383">
        <f>VLOOKUP(Table55[[#This Row],[Shortname]], Comp[], 15, FALSE)</f>
        <v>3.11</v>
      </c>
      <c r="Q383">
        <f>VLOOKUP(Table55[[#This Row],[Shortname]], Comp[], 16, FALSE)</f>
        <v>0</v>
      </c>
      <c r="R383">
        <f>VLOOKUP(Table55[[#This Row],[Shortname]], Comp[], 17, FALSE)</f>
        <v>0</v>
      </c>
      <c r="S383">
        <f>VLOOKUP(Table55[[#This Row],[Shortname]], Comp[], 18, FALSE)</f>
        <v>0</v>
      </c>
      <c r="T383">
        <f>VLOOKUP(Table55[[#This Row],[Shortname]], Comp[], 19, FALSE)</f>
        <v>0.08</v>
      </c>
      <c r="U383">
        <f>VLOOKUP(Table55[[#This Row],[Shortname]], Comp[], 20, FALSE)</f>
        <v>0</v>
      </c>
      <c r="V383">
        <f>VLOOKUP(Table55[[#This Row],[Shortname]], Comp[], 21, FALSE)</f>
        <v>0</v>
      </c>
      <c r="W383">
        <f>VLOOKUP(Table55[[#This Row],[Shortname]], Comp[], 22, FALSE)</f>
        <v>0</v>
      </c>
      <c r="X383">
        <f>VLOOKUP(Table55[[#This Row],[Shortname]], Comp[], 23, FALSE)</f>
        <v>12.24</v>
      </c>
      <c r="Y383">
        <f>VLOOKUP(Table55[[#This Row],[Shortname]], Comp[], 24, FALSE)</f>
        <v>0</v>
      </c>
      <c r="Z383">
        <f>VLOOKUP(Table55[[#This Row],[Shortname]], Comp[], 25, FALSE)</f>
        <v>0</v>
      </c>
      <c r="AA383">
        <f>VLOOKUP(Table55[[#This Row],[Shortname]], Comp[], 26, FALSE)</f>
        <v>0</v>
      </c>
      <c r="AB383">
        <f>VLOOKUP(Table55[[#This Row],[Shortname]], Comp[], 27, FALSE)</f>
        <v>0</v>
      </c>
      <c r="AC383">
        <f>VLOOKUP(Table55[[#This Row],[Shortname]], Comp[], 28, FALSE)</f>
        <v>0</v>
      </c>
      <c r="AD383">
        <f>VLOOKUP(Table55[[#This Row],[Shortname]], Comp[], 29, FALSE)</f>
        <v>0</v>
      </c>
      <c r="AE383">
        <f>VLOOKUP(Table55[[#This Row],[Shortname]], Comp[], 30, FALSE)</f>
        <v>0</v>
      </c>
      <c r="AF383">
        <f>VLOOKUP(Table55[[#This Row],[Shortname]], Comp[], 31, FALSE)</f>
        <v>0</v>
      </c>
    </row>
    <row r="384" spans="1:32" x14ac:dyDescent="0.3">
      <c r="A384" s="12" t="s">
        <v>6451</v>
      </c>
      <c r="B384" s="12" t="s">
        <v>6452</v>
      </c>
      <c r="C384" s="12" t="s">
        <v>6431</v>
      </c>
      <c r="D384" s="12">
        <v>1193</v>
      </c>
      <c r="E384" s="12">
        <v>1310</v>
      </c>
      <c r="F384" s="12">
        <v>1366</v>
      </c>
      <c r="H384" s="14">
        <f>VLOOKUP(Table55[[#This Row],[Shortname]], Comp[], 7, FALSE)</f>
        <v>48.25</v>
      </c>
      <c r="I384">
        <f>VLOOKUP(Table55[[#This Row],[Shortname]], Comp[], 8, FALSE)</f>
        <v>15.59</v>
      </c>
      <c r="J384">
        <f>VLOOKUP(Table55[[#This Row],[Shortname]], Comp[], 9, FALSE)</f>
        <v>5.44</v>
      </c>
      <c r="K384">
        <f>VLOOKUP(Table55[[#This Row],[Shortname]], Comp[], 10, FALSE)</f>
        <v>8.2899999999999991</v>
      </c>
      <c r="L384">
        <f>VLOOKUP(Table55[[#This Row],[Shortname]], Comp[], 11, FALSE)</f>
        <v>0</v>
      </c>
      <c r="M384">
        <f>VLOOKUP(Table55[[#This Row],[Shortname]], Comp[],12, FALSE)</f>
        <v>2.0699999999999998</v>
      </c>
      <c r="N384">
        <f>VLOOKUP(Table55[[#This Row],[Shortname]], Comp[], 13, FALSE)</f>
        <v>1.51</v>
      </c>
      <c r="O384">
        <f>VLOOKUP(Table55[[#This Row],[Shortname]], Comp[], 14, FALSE)</f>
        <v>1.45</v>
      </c>
      <c r="P384">
        <f>VLOOKUP(Table55[[#This Row],[Shortname]], Comp[], 15, FALSE)</f>
        <v>3.1</v>
      </c>
      <c r="Q384">
        <f>VLOOKUP(Table55[[#This Row],[Shortname]], Comp[], 16, FALSE)</f>
        <v>0</v>
      </c>
      <c r="R384">
        <f>VLOOKUP(Table55[[#This Row],[Shortname]], Comp[], 17, FALSE)</f>
        <v>0</v>
      </c>
      <c r="S384">
        <f>VLOOKUP(Table55[[#This Row],[Shortname]], Comp[], 18, FALSE)</f>
        <v>0</v>
      </c>
      <c r="T384">
        <f>VLOOKUP(Table55[[#This Row],[Shortname]], Comp[], 19, FALSE)</f>
        <v>0.08</v>
      </c>
      <c r="U384">
        <f>VLOOKUP(Table55[[#This Row],[Shortname]], Comp[], 20, FALSE)</f>
        <v>0</v>
      </c>
      <c r="V384">
        <f>VLOOKUP(Table55[[#This Row],[Shortname]], Comp[], 21, FALSE)</f>
        <v>0</v>
      </c>
      <c r="W384">
        <f>VLOOKUP(Table55[[#This Row],[Shortname]], Comp[], 22, FALSE)</f>
        <v>0</v>
      </c>
      <c r="X384">
        <f>VLOOKUP(Table55[[#This Row],[Shortname]], Comp[], 23, FALSE)</f>
        <v>14.22</v>
      </c>
      <c r="Y384">
        <f>VLOOKUP(Table55[[#This Row],[Shortname]], Comp[], 24, FALSE)</f>
        <v>0</v>
      </c>
      <c r="Z384">
        <f>VLOOKUP(Table55[[#This Row],[Shortname]], Comp[], 25, FALSE)</f>
        <v>0</v>
      </c>
      <c r="AA384">
        <f>VLOOKUP(Table55[[#This Row],[Shortname]], Comp[], 26, FALSE)</f>
        <v>0</v>
      </c>
      <c r="AB384">
        <f>VLOOKUP(Table55[[#This Row],[Shortname]], Comp[], 27, FALSE)</f>
        <v>0</v>
      </c>
      <c r="AC384">
        <f>VLOOKUP(Table55[[#This Row],[Shortname]], Comp[], 28, FALSE)</f>
        <v>0</v>
      </c>
      <c r="AD384">
        <f>VLOOKUP(Table55[[#This Row],[Shortname]], Comp[], 29, FALSE)</f>
        <v>0</v>
      </c>
      <c r="AE384">
        <f>VLOOKUP(Table55[[#This Row],[Shortname]], Comp[], 30, FALSE)</f>
        <v>0</v>
      </c>
      <c r="AF384">
        <f>VLOOKUP(Table55[[#This Row],[Shortname]], Comp[], 31, FALSE)</f>
        <v>0</v>
      </c>
    </row>
    <row r="385" spans="1:32" x14ac:dyDescent="0.3">
      <c r="A385" s="12" t="s">
        <v>6456</v>
      </c>
      <c r="B385" s="12" t="s">
        <v>6457</v>
      </c>
      <c r="C385" s="12" t="s">
        <v>6431</v>
      </c>
      <c r="D385" s="12">
        <v>1201</v>
      </c>
      <c r="E385" s="12">
        <v>1311</v>
      </c>
      <c r="F385" s="12">
        <v>1365</v>
      </c>
      <c r="H385" s="14">
        <f>VLOOKUP(Table55[[#This Row],[Shortname]], Comp[], 7, FALSE)</f>
        <v>48.05</v>
      </c>
      <c r="I385">
        <f>VLOOKUP(Table55[[#This Row],[Shortname]], Comp[], 8, FALSE)</f>
        <v>11.81</v>
      </c>
      <c r="J385">
        <f>VLOOKUP(Table55[[#This Row],[Shortname]], Comp[], 9, FALSE)</f>
        <v>5.49</v>
      </c>
      <c r="K385">
        <f>VLOOKUP(Table55[[#This Row],[Shortname]], Comp[], 10, FALSE)</f>
        <v>8.3000000000000007</v>
      </c>
      <c r="L385">
        <f>VLOOKUP(Table55[[#This Row],[Shortname]], Comp[], 11, FALSE)</f>
        <v>0</v>
      </c>
      <c r="M385">
        <f>VLOOKUP(Table55[[#This Row],[Shortname]], Comp[],12, FALSE)</f>
        <v>2.04</v>
      </c>
      <c r="N385">
        <f>VLOOKUP(Table55[[#This Row],[Shortname]], Comp[], 13, FALSE)</f>
        <v>1.44</v>
      </c>
      <c r="O385">
        <f>VLOOKUP(Table55[[#This Row],[Shortname]], Comp[], 14, FALSE)</f>
        <v>1.41</v>
      </c>
      <c r="P385">
        <f>VLOOKUP(Table55[[#This Row],[Shortname]], Comp[], 15, FALSE)</f>
        <v>3.1</v>
      </c>
      <c r="Q385">
        <f>VLOOKUP(Table55[[#This Row],[Shortname]], Comp[], 16, FALSE)</f>
        <v>0</v>
      </c>
      <c r="R385">
        <f>VLOOKUP(Table55[[#This Row],[Shortname]], Comp[], 17, FALSE)</f>
        <v>0</v>
      </c>
      <c r="S385">
        <f>VLOOKUP(Table55[[#This Row],[Shortname]], Comp[], 18, FALSE)</f>
        <v>0</v>
      </c>
      <c r="T385">
        <f>VLOOKUP(Table55[[#This Row],[Shortname]], Comp[], 19, FALSE)</f>
        <v>0.08</v>
      </c>
      <c r="U385">
        <f>VLOOKUP(Table55[[#This Row],[Shortname]], Comp[], 20, FALSE)</f>
        <v>0</v>
      </c>
      <c r="V385">
        <f>VLOOKUP(Table55[[#This Row],[Shortname]], Comp[], 21, FALSE)</f>
        <v>0</v>
      </c>
      <c r="W385">
        <f>VLOOKUP(Table55[[#This Row],[Shortname]], Comp[], 22, FALSE)</f>
        <v>0</v>
      </c>
      <c r="X385">
        <f>VLOOKUP(Table55[[#This Row],[Shortname]], Comp[], 23, FALSE)</f>
        <v>18.28</v>
      </c>
      <c r="Y385">
        <f>VLOOKUP(Table55[[#This Row],[Shortname]], Comp[], 24, FALSE)</f>
        <v>0</v>
      </c>
      <c r="Z385">
        <f>VLOOKUP(Table55[[#This Row],[Shortname]], Comp[], 25, FALSE)</f>
        <v>0</v>
      </c>
      <c r="AA385">
        <f>VLOOKUP(Table55[[#This Row],[Shortname]], Comp[], 26, FALSE)</f>
        <v>0</v>
      </c>
      <c r="AB385">
        <f>VLOOKUP(Table55[[#This Row],[Shortname]], Comp[], 27, FALSE)</f>
        <v>0</v>
      </c>
      <c r="AC385">
        <f>VLOOKUP(Table55[[#This Row],[Shortname]], Comp[], 28, FALSE)</f>
        <v>0</v>
      </c>
      <c r="AD385">
        <f>VLOOKUP(Table55[[#This Row],[Shortname]], Comp[], 29, FALSE)</f>
        <v>0</v>
      </c>
      <c r="AE385">
        <f>VLOOKUP(Table55[[#This Row],[Shortname]], Comp[], 30, FALSE)</f>
        <v>0</v>
      </c>
      <c r="AF385">
        <f>VLOOKUP(Table55[[#This Row],[Shortname]], Comp[], 31, FALSE)</f>
        <v>0</v>
      </c>
    </row>
    <row r="386" spans="1:32" x14ac:dyDescent="0.3">
      <c r="A386" s="12" t="s">
        <v>6476</v>
      </c>
      <c r="B386" s="12" t="s">
        <v>6477</v>
      </c>
      <c r="C386" s="12" t="s">
        <v>6478</v>
      </c>
      <c r="D386" s="12">
        <v>970</v>
      </c>
      <c r="E386" s="12">
        <v>1387</v>
      </c>
      <c r="F386" s="12">
        <v>1425</v>
      </c>
      <c r="H386" s="14">
        <f>VLOOKUP(Table55[[#This Row],[Shortname]], Comp[], 7, FALSE)</f>
        <v>73.03</v>
      </c>
      <c r="I386">
        <f>VLOOKUP(Table55[[#This Row],[Shortname]], Comp[], 8, FALSE)</f>
        <v>9.74</v>
      </c>
      <c r="J386">
        <f>VLOOKUP(Table55[[#This Row],[Shortname]], Comp[], 9, FALSE)</f>
        <v>4.9800000000000004</v>
      </c>
      <c r="K386">
        <f>VLOOKUP(Table55[[#This Row],[Shortname]], Comp[], 10, FALSE)</f>
        <v>4.1500000000000004</v>
      </c>
      <c r="L386">
        <f>VLOOKUP(Table55[[#This Row],[Shortname]], Comp[], 11, FALSE)</f>
        <v>0</v>
      </c>
      <c r="M386">
        <f>VLOOKUP(Table55[[#This Row],[Shortname]], Comp[],12, FALSE)</f>
        <v>2.04</v>
      </c>
      <c r="N386">
        <f>VLOOKUP(Table55[[#This Row],[Shortname]], Comp[], 13, FALSE)</f>
        <v>1.59</v>
      </c>
      <c r="O386">
        <f>VLOOKUP(Table55[[#This Row],[Shortname]], Comp[], 14, FALSE)</f>
        <v>1.37</v>
      </c>
      <c r="P386">
        <f>VLOOKUP(Table55[[#This Row],[Shortname]], Comp[], 15, FALSE)</f>
        <v>3.02</v>
      </c>
      <c r="Q386">
        <f>VLOOKUP(Table55[[#This Row],[Shortname]], Comp[], 16, FALSE)</f>
        <v>0</v>
      </c>
      <c r="R386">
        <f>VLOOKUP(Table55[[#This Row],[Shortname]], Comp[], 17, FALSE)</f>
        <v>0</v>
      </c>
      <c r="S386">
        <f>VLOOKUP(Table55[[#This Row],[Shortname]], Comp[], 18, FALSE)</f>
        <v>0</v>
      </c>
      <c r="T386">
        <f>VLOOKUP(Table55[[#This Row],[Shortname]], Comp[], 19, FALSE)</f>
        <v>0.08</v>
      </c>
      <c r="U386">
        <f>VLOOKUP(Table55[[#This Row],[Shortname]], Comp[], 20, FALSE)</f>
        <v>0</v>
      </c>
      <c r="V386">
        <f>VLOOKUP(Table55[[#This Row],[Shortname]], Comp[], 21, FALSE)</f>
        <v>0</v>
      </c>
      <c r="W386">
        <f>VLOOKUP(Table55[[#This Row],[Shortname]], Comp[], 22, FALSE)</f>
        <v>0</v>
      </c>
      <c r="X386">
        <f>VLOOKUP(Table55[[#This Row],[Shortname]], Comp[], 23, FALSE)</f>
        <v>0</v>
      </c>
      <c r="Y386">
        <f>VLOOKUP(Table55[[#This Row],[Shortname]], Comp[], 24, FALSE)</f>
        <v>0</v>
      </c>
      <c r="Z386">
        <f>VLOOKUP(Table55[[#This Row],[Shortname]], Comp[], 25, FALSE)</f>
        <v>0</v>
      </c>
      <c r="AA386">
        <f>VLOOKUP(Table55[[#This Row],[Shortname]], Comp[], 26, FALSE)</f>
        <v>0</v>
      </c>
      <c r="AB386">
        <f>VLOOKUP(Table55[[#This Row],[Shortname]], Comp[], 27, FALSE)</f>
        <v>0</v>
      </c>
      <c r="AC386">
        <f>VLOOKUP(Table55[[#This Row],[Shortname]], Comp[], 28, FALSE)</f>
        <v>0</v>
      </c>
      <c r="AD386">
        <f>VLOOKUP(Table55[[#This Row],[Shortname]], Comp[], 29, FALSE)</f>
        <v>0</v>
      </c>
      <c r="AE386">
        <f>VLOOKUP(Table55[[#This Row],[Shortname]], Comp[], 30, FALSE)</f>
        <v>0</v>
      </c>
      <c r="AF386">
        <f>VLOOKUP(Table55[[#This Row],[Shortname]], Comp[], 31, FALSE)</f>
        <v>0</v>
      </c>
    </row>
    <row r="387" spans="1:32" x14ac:dyDescent="0.3">
      <c r="A387" s="12" t="s">
        <v>6481</v>
      </c>
      <c r="B387" s="12" t="s">
        <v>6482</v>
      </c>
      <c r="C387" s="12" t="s">
        <v>6483</v>
      </c>
      <c r="D387" s="12">
        <v>989</v>
      </c>
      <c r="E387" s="12">
        <v>1401</v>
      </c>
      <c r="F387" s="12">
        <v>1408</v>
      </c>
      <c r="H387" s="14">
        <f>VLOOKUP(Table55[[#This Row],[Shortname]], Comp[], 7, FALSE)</f>
        <v>63.180000000000007</v>
      </c>
      <c r="I387">
        <f>VLOOKUP(Table55[[#This Row],[Shortname]], Comp[], 8, FALSE)</f>
        <v>19.43</v>
      </c>
      <c r="J387">
        <f>VLOOKUP(Table55[[#This Row],[Shortname]], Comp[], 9, FALSE)</f>
        <v>5.13</v>
      </c>
      <c r="K387">
        <f>VLOOKUP(Table55[[#This Row],[Shortname]], Comp[], 10, FALSE)</f>
        <v>4.1100000000000003</v>
      </c>
      <c r="L387">
        <f>VLOOKUP(Table55[[#This Row],[Shortname]], Comp[], 11, FALSE)</f>
        <v>0</v>
      </c>
      <c r="M387">
        <f>VLOOKUP(Table55[[#This Row],[Shortname]], Comp[],12, FALSE)</f>
        <v>2.06</v>
      </c>
      <c r="N387">
        <f>VLOOKUP(Table55[[#This Row],[Shortname]], Comp[], 13, FALSE)</f>
        <v>1.59</v>
      </c>
      <c r="O387">
        <f>VLOOKUP(Table55[[#This Row],[Shortname]], Comp[], 14, FALSE)</f>
        <v>1.37</v>
      </c>
      <c r="P387">
        <f>VLOOKUP(Table55[[#This Row],[Shortname]], Comp[], 15, FALSE)</f>
        <v>3.05</v>
      </c>
      <c r="Q387">
        <f>VLOOKUP(Table55[[#This Row],[Shortname]], Comp[], 16, FALSE)</f>
        <v>0</v>
      </c>
      <c r="R387">
        <f>VLOOKUP(Table55[[#This Row],[Shortname]], Comp[], 17, FALSE)</f>
        <v>0</v>
      </c>
      <c r="S387">
        <f>VLOOKUP(Table55[[#This Row],[Shortname]], Comp[], 18, FALSE)</f>
        <v>0</v>
      </c>
      <c r="T387">
        <f>VLOOKUP(Table55[[#This Row],[Shortname]], Comp[], 19, FALSE)</f>
        <v>0.08</v>
      </c>
      <c r="U387">
        <f>VLOOKUP(Table55[[#This Row],[Shortname]], Comp[], 20, FALSE)</f>
        <v>0</v>
      </c>
      <c r="V387">
        <f>VLOOKUP(Table55[[#This Row],[Shortname]], Comp[], 21, FALSE)</f>
        <v>0</v>
      </c>
      <c r="W387">
        <f>VLOOKUP(Table55[[#This Row],[Shortname]], Comp[], 22, FALSE)</f>
        <v>0</v>
      </c>
      <c r="X387">
        <f>VLOOKUP(Table55[[#This Row],[Shortname]], Comp[], 23, FALSE)</f>
        <v>0</v>
      </c>
      <c r="Y387">
        <f>VLOOKUP(Table55[[#This Row],[Shortname]], Comp[], 24, FALSE)</f>
        <v>0</v>
      </c>
      <c r="Z387">
        <f>VLOOKUP(Table55[[#This Row],[Shortname]], Comp[], 25, FALSE)</f>
        <v>0</v>
      </c>
      <c r="AA387">
        <f>VLOOKUP(Table55[[#This Row],[Shortname]], Comp[], 26, FALSE)</f>
        <v>0</v>
      </c>
      <c r="AB387">
        <f>VLOOKUP(Table55[[#This Row],[Shortname]], Comp[], 27, FALSE)</f>
        <v>0</v>
      </c>
      <c r="AC387">
        <f>VLOOKUP(Table55[[#This Row],[Shortname]], Comp[], 28, FALSE)</f>
        <v>0</v>
      </c>
      <c r="AD387">
        <f>VLOOKUP(Table55[[#This Row],[Shortname]], Comp[], 29, FALSE)</f>
        <v>0</v>
      </c>
      <c r="AE387">
        <f>VLOOKUP(Table55[[#This Row],[Shortname]], Comp[], 30, FALSE)</f>
        <v>0</v>
      </c>
      <c r="AF387">
        <f>VLOOKUP(Table55[[#This Row],[Shortname]], Comp[], 31, FALSE)</f>
        <v>0</v>
      </c>
    </row>
    <row r="388" spans="1:32" x14ac:dyDescent="0.3">
      <c r="A388" s="12" t="s">
        <v>6486</v>
      </c>
      <c r="B388" s="12" t="s">
        <v>6487</v>
      </c>
      <c r="C388" s="12" t="s">
        <v>6488</v>
      </c>
      <c r="D388" s="12">
        <v>1010</v>
      </c>
      <c r="E388" s="12">
        <v>1398</v>
      </c>
      <c r="F388" s="12">
        <v>1413</v>
      </c>
      <c r="H388" s="14">
        <f>VLOOKUP(Table55[[#This Row],[Shortname]], Comp[], 7, FALSE)</f>
        <v>52.580000000000005</v>
      </c>
      <c r="I388">
        <f>VLOOKUP(Table55[[#This Row],[Shortname]], Comp[], 8, FALSE)</f>
        <v>29.36</v>
      </c>
      <c r="J388">
        <f>VLOOKUP(Table55[[#This Row],[Shortname]], Comp[], 9, FALSE)</f>
        <v>5.44</v>
      </c>
      <c r="K388">
        <f>VLOOKUP(Table55[[#This Row],[Shortname]], Comp[], 10, FALSE)</f>
        <v>4.07</v>
      </c>
      <c r="L388">
        <f>VLOOKUP(Table55[[#This Row],[Shortname]], Comp[], 11, FALSE)</f>
        <v>0</v>
      </c>
      <c r="M388">
        <f>VLOOKUP(Table55[[#This Row],[Shortname]], Comp[],12, FALSE)</f>
        <v>2.27</v>
      </c>
      <c r="N388">
        <f>VLOOKUP(Table55[[#This Row],[Shortname]], Comp[], 13, FALSE)</f>
        <v>1.69</v>
      </c>
      <c r="O388">
        <f>VLOOKUP(Table55[[#This Row],[Shortname]], Comp[], 14, FALSE)</f>
        <v>1.37</v>
      </c>
      <c r="P388">
        <f>VLOOKUP(Table55[[#This Row],[Shortname]], Comp[], 15, FALSE)</f>
        <v>3.14</v>
      </c>
      <c r="Q388">
        <f>VLOOKUP(Table55[[#This Row],[Shortname]], Comp[], 16, FALSE)</f>
        <v>0</v>
      </c>
      <c r="R388">
        <f>VLOOKUP(Table55[[#This Row],[Shortname]], Comp[], 17, FALSE)</f>
        <v>0</v>
      </c>
      <c r="S388">
        <f>VLOOKUP(Table55[[#This Row],[Shortname]], Comp[], 18, FALSE)</f>
        <v>0</v>
      </c>
      <c r="T388">
        <f>VLOOKUP(Table55[[#This Row],[Shortname]], Comp[], 19, FALSE)</f>
        <v>0.08</v>
      </c>
      <c r="U388">
        <f>VLOOKUP(Table55[[#This Row],[Shortname]], Comp[], 20, FALSE)</f>
        <v>0</v>
      </c>
      <c r="V388">
        <f>VLOOKUP(Table55[[#This Row],[Shortname]], Comp[], 21, FALSE)</f>
        <v>0</v>
      </c>
      <c r="W388">
        <f>VLOOKUP(Table55[[#This Row],[Shortname]], Comp[], 22, FALSE)</f>
        <v>0</v>
      </c>
      <c r="X388">
        <f>VLOOKUP(Table55[[#This Row],[Shortname]], Comp[], 23, FALSE)</f>
        <v>0</v>
      </c>
      <c r="Y388">
        <f>VLOOKUP(Table55[[#This Row],[Shortname]], Comp[], 24, FALSE)</f>
        <v>0</v>
      </c>
      <c r="Z388">
        <f>VLOOKUP(Table55[[#This Row],[Shortname]], Comp[], 25, FALSE)</f>
        <v>0</v>
      </c>
      <c r="AA388">
        <f>VLOOKUP(Table55[[#This Row],[Shortname]], Comp[], 26, FALSE)</f>
        <v>0</v>
      </c>
      <c r="AB388">
        <f>VLOOKUP(Table55[[#This Row],[Shortname]], Comp[], 27, FALSE)</f>
        <v>0</v>
      </c>
      <c r="AC388">
        <f>VLOOKUP(Table55[[#This Row],[Shortname]], Comp[], 28, FALSE)</f>
        <v>0</v>
      </c>
      <c r="AD388">
        <f>VLOOKUP(Table55[[#This Row],[Shortname]], Comp[], 29, FALSE)</f>
        <v>0</v>
      </c>
      <c r="AE388">
        <f>VLOOKUP(Table55[[#This Row],[Shortname]], Comp[], 30, FALSE)</f>
        <v>0</v>
      </c>
      <c r="AF388">
        <f>VLOOKUP(Table55[[#This Row],[Shortname]], Comp[], 31, FALSE)</f>
        <v>0</v>
      </c>
    </row>
    <row r="389" spans="1:32" x14ac:dyDescent="0.3">
      <c r="A389" s="12" t="s">
        <v>6490</v>
      </c>
      <c r="B389" s="12" t="s">
        <v>6491</v>
      </c>
      <c r="C389" s="12" t="s">
        <v>6492</v>
      </c>
      <c r="D389" s="12">
        <v>989</v>
      </c>
      <c r="E389" s="12">
        <v>1395</v>
      </c>
      <c r="F389" s="12">
        <v>1421</v>
      </c>
      <c r="H389" s="14">
        <f>VLOOKUP(Table55[[#This Row],[Shortname]], Comp[], 7, FALSE)</f>
        <v>68.84</v>
      </c>
      <c r="I389">
        <f>VLOOKUP(Table55[[#This Row],[Shortname]], Comp[], 8, FALSE)</f>
        <v>9.74</v>
      </c>
      <c r="J389">
        <f>VLOOKUP(Table55[[#This Row],[Shortname]], Comp[], 9, FALSE)</f>
        <v>5.04</v>
      </c>
      <c r="K389">
        <f>VLOOKUP(Table55[[#This Row],[Shortname]], Comp[], 10, FALSE)</f>
        <v>8.2200000000000006</v>
      </c>
      <c r="L389">
        <f>VLOOKUP(Table55[[#This Row],[Shortname]], Comp[], 11, FALSE)</f>
        <v>0</v>
      </c>
      <c r="M389">
        <f>VLOOKUP(Table55[[#This Row],[Shortname]], Comp[],12, FALSE)</f>
        <v>2.0699999999999998</v>
      </c>
      <c r="N389">
        <f>VLOOKUP(Table55[[#This Row],[Shortname]], Comp[], 13, FALSE)</f>
        <v>1.58</v>
      </c>
      <c r="O389">
        <f>VLOOKUP(Table55[[#This Row],[Shortname]], Comp[], 14, FALSE)</f>
        <v>1.41</v>
      </c>
      <c r="P389">
        <f>VLOOKUP(Table55[[#This Row],[Shortname]], Comp[], 15, FALSE)</f>
        <v>3.02</v>
      </c>
      <c r="Q389">
        <f>VLOOKUP(Table55[[#This Row],[Shortname]], Comp[], 16, FALSE)</f>
        <v>0</v>
      </c>
      <c r="R389">
        <f>VLOOKUP(Table55[[#This Row],[Shortname]], Comp[], 17, FALSE)</f>
        <v>0</v>
      </c>
      <c r="S389">
        <f>VLOOKUP(Table55[[#This Row],[Shortname]], Comp[], 18, FALSE)</f>
        <v>0</v>
      </c>
      <c r="T389">
        <f>VLOOKUP(Table55[[#This Row],[Shortname]], Comp[], 19, FALSE)</f>
        <v>0.08</v>
      </c>
      <c r="U389">
        <f>VLOOKUP(Table55[[#This Row],[Shortname]], Comp[], 20, FALSE)</f>
        <v>0</v>
      </c>
      <c r="V389">
        <f>VLOOKUP(Table55[[#This Row],[Shortname]], Comp[], 21, FALSE)</f>
        <v>0</v>
      </c>
      <c r="W389">
        <f>VLOOKUP(Table55[[#This Row],[Shortname]], Comp[], 22, FALSE)</f>
        <v>0</v>
      </c>
      <c r="X389">
        <f>VLOOKUP(Table55[[#This Row],[Shortname]], Comp[], 23, FALSE)</f>
        <v>0</v>
      </c>
      <c r="Y389">
        <f>VLOOKUP(Table55[[#This Row],[Shortname]], Comp[], 24, FALSE)</f>
        <v>0</v>
      </c>
      <c r="Z389">
        <f>VLOOKUP(Table55[[#This Row],[Shortname]], Comp[], 25, FALSE)</f>
        <v>0</v>
      </c>
      <c r="AA389">
        <f>VLOOKUP(Table55[[#This Row],[Shortname]], Comp[], 26, FALSE)</f>
        <v>0</v>
      </c>
      <c r="AB389">
        <f>VLOOKUP(Table55[[#This Row],[Shortname]], Comp[], 27, FALSE)</f>
        <v>0</v>
      </c>
      <c r="AC389">
        <f>VLOOKUP(Table55[[#This Row],[Shortname]], Comp[], 28, FALSE)</f>
        <v>0</v>
      </c>
      <c r="AD389">
        <f>VLOOKUP(Table55[[#This Row],[Shortname]], Comp[], 29, FALSE)</f>
        <v>0</v>
      </c>
      <c r="AE389">
        <f>VLOOKUP(Table55[[#This Row],[Shortname]], Comp[], 30, FALSE)</f>
        <v>0</v>
      </c>
      <c r="AF389">
        <f>VLOOKUP(Table55[[#This Row],[Shortname]], Comp[], 31, FALSE)</f>
        <v>0</v>
      </c>
    </row>
    <row r="390" spans="1:32" x14ac:dyDescent="0.3">
      <c r="A390" s="12" t="s">
        <v>6494</v>
      </c>
      <c r="B390" s="12" t="s">
        <v>6495</v>
      </c>
      <c r="C390" s="12" t="s">
        <v>6496</v>
      </c>
      <c r="D390" s="12">
        <v>1006</v>
      </c>
      <c r="E390" s="12">
        <v>1388</v>
      </c>
      <c r="F390" s="12">
        <v>1413</v>
      </c>
      <c r="H390" s="14">
        <f>VLOOKUP(Table55[[#This Row],[Shortname]], Comp[], 7, FALSE)</f>
        <v>59.019999999999996</v>
      </c>
      <c r="I390">
        <f>VLOOKUP(Table55[[#This Row],[Shortname]], Comp[], 8, FALSE)</f>
        <v>19.54</v>
      </c>
      <c r="J390">
        <f>VLOOKUP(Table55[[#This Row],[Shortname]], Comp[], 9, FALSE)</f>
        <v>4.9800000000000004</v>
      </c>
      <c r="K390">
        <f>VLOOKUP(Table55[[#This Row],[Shortname]], Comp[], 10, FALSE)</f>
        <v>8.2899999999999991</v>
      </c>
      <c r="L390">
        <f>VLOOKUP(Table55[[#This Row],[Shortname]], Comp[], 11, FALSE)</f>
        <v>0</v>
      </c>
      <c r="M390">
        <f>VLOOKUP(Table55[[#This Row],[Shortname]], Comp[],12, FALSE)</f>
        <v>2.0699999999999998</v>
      </c>
      <c r="N390">
        <f>VLOOKUP(Table55[[#This Row],[Shortname]], Comp[], 13, FALSE)</f>
        <v>1.61</v>
      </c>
      <c r="O390">
        <f>VLOOKUP(Table55[[#This Row],[Shortname]], Comp[], 14, FALSE)</f>
        <v>1.38</v>
      </c>
      <c r="P390">
        <f>VLOOKUP(Table55[[#This Row],[Shortname]], Comp[], 15, FALSE)</f>
        <v>3.03</v>
      </c>
      <c r="Q390">
        <f>VLOOKUP(Table55[[#This Row],[Shortname]], Comp[], 16, FALSE)</f>
        <v>0</v>
      </c>
      <c r="R390">
        <f>VLOOKUP(Table55[[#This Row],[Shortname]], Comp[], 17, FALSE)</f>
        <v>0</v>
      </c>
      <c r="S390">
        <f>VLOOKUP(Table55[[#This Row],[Shortname]], Comp[], 18, FALSE)</f>
        <v>0</v>
      </c>
      <c r="T390">
        <f>VLOOKUP(Table55[[#This Row],[Shortname]], Comp[], 19, FALSE)</f>
        <v>0.08</v>
      </c>
      <c r="U390">
        <f>VLOOKUP(Table55[[#This Row],[Shortname]], Comp[], 20, FALSE)</f>
        <v>0</v>
      </c>
      <c r="V390">
        <f>VLOOKUP(Table55[[#This Row],[Shortname]], Comp[], 21, FALSE)</f>
        <v>0</v>
      </c>
      <c r="W390">
        <f>VLOOKUP(Table55[[#This Row],[Shortname]], Comp[], 22, FALSE)</f>
        <v>0</v>
      </c>
      <c r="X390">
        <f>VLOOKUP(Table55[[#This Row],[Shortname]], Comp[], 23, FALSE)</f>
        <v>0</v>
      </c>
      <c r="Y390">
        <f>VLOOKUP(Table55[[#This Row],[Shortname]], Comp[], 24, FALSE)</f>
        <v>0</v>
      </c>
      <c r="Z390">
        <f>VLOOKUP(Table55[[#This Row],[Shortname]], Comp[], 25, FALSE)</f>
        <v>0</v>
      </c>
      <c r="AA390">
        <f>VLOOKUP(Table55[[#This Row],[Shortname]], Comp[], 26, FALSE)</f>
        <v>0</v>
      </c>
      <c r="AB390">
        <f>VLOOKUP(Table55[[#This Row],[Shortname]], Comp[], 27, FALSE)</f>
        <v>0</v>
      </c>
      <c r="AC390">
        <f>VLOOKUP(Table55[[#This Row],[Shortname]], Comp[], 28, FALSE)</f>
        <v>0</v>
      </c>
      <c r="AD390">
        <f>VLOOKUP(Table55[[#This Row],[Shortname]], Comp[], 29, FALSE)</f>
        <v>0</v>
      </c>
      <c r="AE390">
        <f>VLOOKUP(Table55[[#This Row],[Shortname]], Comp[], 30, FALSE)</f>
        <v>0</v>
      </c>
      <c r="AF390">
        <f>VLOOKUP(Table55[[#This Row],[Shortname]], Comp[], 31, FALSE)</f>
        <v>0</v>
      </c>
    </row>
    <row r="391" spans="1:32" x14ac:dyDescent="0.3">
      <c r="A391" s="12" t="s">
        <v>6498</v>
      </c>
      <c r="B391" s="12" t="s">
        <v>6499</v>
      </c>
      <c r="C391" s="12" t="s">
        <v>6500</v>
      </c>
      <c r="D391" s="12">
        <v>1031</v>
      </c>
      <c r="E391" s="12">
        <v>1382</v>
      </c>
      <c r="F391" s="12">
        <v>1410</v>
      </c>
      <c r="H391" s="14">
        <f>VLOOKUP(Table55[[#This Row],[Shortname]], Comp[], 7, FALSE)</f>
        <v>48.690000000000005</v>
      </c>
      <c r="I391">
        <f>VLOOKUP(Table55[[#This Row],[Shortname]], Comp[], 8, FALSE)</f>
        <v>29.66</v>
      </c>
      <c r="J391">
        <f>VLOOKUP(Table55[[#This Row],[Shortname]], Comp[], 9, FALSE)</f>
        <v>4.9800000000000004</v>
      </c>
      <c r="K391">
        <f>VLOOKUP(Table55[[#This Row],[Shortname]], Comp[], 10, FALSE)</f>
        <v>8.19</v>
      </c>
      <c r="L391">
        <f>VLOOKUP(Table55[[#This Row],[Shortname]], Comp[], 11, FALSE)</f>
        <v>0</v>
      </c>
      <c r="M391">
        <f>VLOOKUP(Table55[[#This Row],[Shortname]], Comp[],12, FALSE)</f>
        <v>2.08</v>
      </c>
      <c r="N391">
        <f>VLOOKUP(Table55[[#This Row],[Shortname]], Comp[], 13, FALSE)</f>
        <v>1.65</v>
      </c>
      <c r="O391">
        <f>VLOOKUP(Table55[[#This Row],[Shortname]], Comp[], 14, FALSE)</f>
        <v>1.6</v>
      </c>
      <c r="P391">
        <f>VLOOKUP(Table55[[#This Row],[Shortname]], Comp[], 15, FALSE)</f>
        <v>3.07</v>
      </c>
      <c r="Q391">
        <f>VLOOKUP(Table55[[#This Row],[Shortname]], Comp[], 16, FALSE)</f>
        <v>0</v>
      </c>
      <c r="R391">
        <f>VLOOKUP(Table55[[#This Row],[Shortname]], Comp[], 17, FALSE)</f>
        <v>0</v>
      </c>
      <c r="S391">
        <f>VLOOKUP(Table55[[#This Row],[Shortname]], Comp[], 18, FALSE)</f>
        <v>0</v>
      </c>
      <c r="T391">
        <f>VLOOKUP(Table55[[#This Row],[Shortname]], Comp[], 19, FALSE)</f>
        <v>0.08</v>
      </c>
      <c r="U391">
        <f>VLOOKUP(Table55[[#This Row],[Shortname]], Comp[], 20, FALSE)</f>
        <v>0</v>
      </c>
      <c r="V391">
        <f>VLOOKUP(Table55[[#This Row],[Shortname]], Comp[], 21, FALSE)</f>
        <v>0</v>
      </c>
      <c r="W391">
        <f>VLOOKUP(Table55[[#This Row],[Shortname]], Comp[], 22, FALSE)</f>
        <v>0</v>
      </c>
      <c r="X391">
        <f>VLOOKUP(Table55[[#This Row],[Shortname]], Comp[], 23, FALSE)</f>
        <v>0</v>
      </c>
      <c r="Y391">
        <f>VLOOKUP(Table55[[#This Row],[Shortname]], Comp[], 24, FALSE)</f>
        <v>0</v>
      </c>
      <c r="Z391">
        <f>VLOOKUP(Table55[[#This Row],[Shortname]], Comp[], 25, FALSE)</f>
        <v>0</v>
      </c>
      <c r="AA391">
        <f>VLOOKUP(Table55[[#This Row],[Shortname]], Comp[], 26, FALSE)</f>
        <v>0</v>
      </c>
      <c r="AB391">
        <f>VLOOKUP(Table55[[#This Row],[Shortname]], Comp[], 27, FALSE)</f>
        <v>0</v>
      </c>
      <c r="AC391">
        <f>VLOOKUP(Table55[[#This Row],[Shortname]], Comp[], 28, FALSE)</f>
        <v>0</v>
      </c>
      <c r="AD391">
        <f>VLOOKUP(Table55[[#This Row],[Shortname]], Comp[], 29, FALSE)</f>
        <v>0</v>
      </c>
      <c r="AE391">
        <f>VLOOKUP(Table55[[#This Row],[Shortname]], Comp[], 30, FALSE)</f>
        <v>0</v>
      </c>
      <c r="AF391">
        <f>VLOOKUP(Table55[[#This Row],[Shortname]], Comp[], 31, FALSE)</f>
        <v>0</v>
      </c>
    </row>
    <row r="392" spans="1:32" x14ac:dyDescent="0.3">
      <c r="A392" s="12" t="s">
        <v>6502</v>
      </c>
      <c r="B392" s="12" t="s">
        <v>6503</v>
      </c>
      <c r="C392" s="12" t="s">
        <v>6504</v>
      </c>
      <c r="D392" s="12">
        <v>1036</v>
      </c>
      <c r="E392" s="12">
        <v>1438</v>
      </c>
      <c r="F392" s="12">
        <v>1459</v>
      </c>
      <c r="H392" s="14">
        <f>VLOOKUP(Table55[[#This Row],[Shortname]], Comp[], 7, FALSE)</f>
        <v>49.7</v>
      </c>
      <c r="I392">
        <f>VLOOKUP(Table55[[#This Row],[Shortname]], Comp[], 8, FALSE)</f>
        <v>29.2</v>
      </c>
      <c r="J392">
        <f>VLOOKUP(Table55[[#This Row],[Shortname]], Comp[], 9, FALSE)</f>
        <v>11.1</v>
      </c>
      <c r="K392">
        <f>VLOOKUP(Table55[[#This Row],[Shortname]], Comp[], 10, FALSE)</f>
        <v>4.2</v>
      </c>
      <c r="L392">
        <f>VLOOKUP(Table55[[#This Row],[Shortname]], Comp[], 11, FALSE)</f>
        <v>5.8</v>
      </c>
      <c r="M392">
        <f>VLOOKUP(Table55[[#This Row],[Shortname]], Comp[],12, FALSE)</f>
        <v>0</v>
      </c>
      <c r="N392">
        <f>VLOOKUP(Table55[[#This Row],[Shortname]], Comp[], 13, FALSE)</f>
        <v>0</v>
      </c>
      <c r="O392">
        <f>VLOOKUP(Table55[[#This Row],[Shortname]], Comp[], 14, FALSE)</f>
        <v>0</v>
      </c>
      <c r="P392">
        <f>VLOOKUP(Table55[[#This Row],[Shortname]], Comp[], 15, FALSE)</f>
        <v>0</v>
      </c>
      <c r="Q392">
        <f>VLOOKUP(Table55[[#This Row],[Shortname]], Comp[], 16, FALSE)</f>
        <v>0</v>
      </c>
      <c r="R392">
        <f>VLOOKUP(Table55[[#This Row],[Shortname]], Comp[], 17, FALSE)</f>
        <v>0</v>
      </c>
      <c r="S392">
        <f>VLOOKUP(Table55[[#This Row],[Shortname]], Comp[], 18, FALSE)</f>
        <v>0</v>
      </c>
      <c r="T392">
        <f>VLOOKUP(Table55[[#This Row],[Shortname]], Comp[], 19, FALSE)</f>
        <v>0</v>
      </c>
      <c r="U392">
        <f>VLOOKUP(Table55[[#This Row],[Shortname]], Comp[], 20, FALSE)</f>
        <v>0</v>
      </c>
      <c r="V392">
        <f>VLOOKUP(Table55[[#This Row],[Shortname]], Comp[], 21, FALSE)</f>
        <v>0</v>
      </c>
      <c r="W392">
        <f>VLOOKUP(Table55[[#This Row],[Shortname]], Comp[], 22, FALSE)</f>
        <v>0</v>
      </c>
      <c r="X392">
        <f>VLOOKUP(Table55[[#This Row],[Shortname]], Comp[], 23, FALSE)</f>
        <v>0</v>
      </c>
      <c r="Y392">
        <f>VLOOKUP(Table55[[#This Row],[Shortname]], Comp[], 24, FALSE)</f>
        <v>0</v>
      </c>
      <c r="Z392">
        <f>VLOOKUP(Table55[[#This Row],[Shortname]], Comp[], 25, FALSE)</f>
        <v>0</v>
      </c>
      <c r="AA392">
        <f>VLOOKUP(Table55[[#This Row],[Shortname]], Comp[], 26, FALSE)</f>
        <v>0</v>
      </c>
      <c r="AB392">
        <f>VLOOKUP(Table55[[#This Row],[Shortname]], Comp[], 27, FALSE)</f>
        <v>0</v>
      </c>
      <c r="AC392">
        <f>VLOOKUP(Table55[[#This Row],[Shortname]], Comp[], 28, FALSE)</f>
        <v>0</v>
      </c>
      <c r="AD392">
        <f>VLOOKUP(Table55[[#This Row],[Shortname]], Comp[], 29, FALSE)</f>
        <v>0</v>
      </c>
      <c r="AE392">
        <f>VLOOKUP(Table55[[#This Row],[Shortname]], Comp[], 30, FALSE)</f>
        <v>0</v>
      </c>
      <c r="AF392">
        <f>VLOOKUP(Table55[[#This Row],[Shortname]], Comp[], 31, FALSE)</f>
        <v>0</v>
      </c>
    </row>
    <row r="393" spans="1:32" x14ac:dyDescent="0.3">
      <c r="A393" s="12" t="s">
        <v>6506</v>
      </c>
      <c r="B393" s="12" t="s">
        <v>6507</v>
      </c>
      <c r="C393" s="12" t="s">
        <v>6504</v>
      </c>
      <c r="D393" s="12">
        <v>1021</v>
      </c>
      <c r="E393" s="12">
        <v>1414</v>
      </c>
      <c r="F393" s="12">
        <v>1446</v>
      </c>
      <c r="H393" s="14">
        <f>VLOOKUP(Table55[[#This Row],[Shortname]], Comp[], 7, FALSE)</f>
        <v>45.9</v>
      </c>
      <c r="I393">
        <f>VLOOKUP(Table55[[#This Row],[Shortname]], Comp[], 8, FALSE)</f>
        <v>29.2</v>
      </c>
      <c r="J393">
        <f>VLOOKUP(Table55[[#This Row],[Shortname]], Comp[], 9, FALSE)</f>
        <v>10.9</v>
      </c>
      <c r="K393">
        <f>VLOOKUP(Table55[[#This Row],[Shortname]], Comp[], 10, FALSE)</f>
        <v>4.0999999999999996</v>
      </c>
      <c r="L393">
        <f>VLOOKUP(Table55[[#This Row],[Shortname]], Comp[], 11, FALSE)</f>
        <v>5.8</v>
      </c>
      <c r="M393">
        <f>VLOOKUP(Table55[[#This Row],[Shortname]], Comp[],12, FALSE)</f>
        <v>0</v>
      </c>
      <c r="N393">
        <f>VLOOKUP(Table55[[#This Row],[Shortname]], Comp[], 13, FALSE)</f>
        <v>0</v>
      </c>
      <c r="O393">
        <f>VLOOKUP(Table55[[#This Row],[Shortname]], Comp[], 14, FALSE)</f>
        <v>0</v>
      </c>
      <c r="P393">
        <f>VLOOKUP(Table55[[#This Row],[Shortname]], Comp[], 15, FALSE)</f>
        <v>0</v>
      </c>
      <c r="Q393">
        <f>VLOOKUP(Table55[[#This Row],[Shortname]], Comp[], 16, FALSE)</f>
        <v>0</v>
      </c>
      <c r="R393">
        <f>VLOOKUP(Table55[[#This Row],[Shortname]], Comp[], 17, FALSE)</f>
        <v>0</v>
      </c>
      <c r="S393">
        <f>VLOOKUP(Table55[[#This Row],[Shortname]], Comp[], 18, FALSE)</f>
        <v>0</v>
      </c>
      <c r="T393">
        <f>VLOOKUP(Table55[[#This Row],[Shortname]], Comp[], 19, FALSE)</f>
        <v>0</v>
      </c>
      <c r="U393">
        <f>VLOOKUP(Table55[[#This Row],[Shortname]], Comp[], 20, FALSE)</f>
        <v>0</v>
      </c>
      <c r="V393">
        <f>VLOOKUP(Table55[[#This Row],[Shortname]], Comp[], 21, FALSE)</f>
        <v>0</v>
      </c>
      <c r="W393">
        <f>VLOOKUP(Table55[[#This Row],[Shortname]], Comp[], 22, FALSE)</f>
        <v>0</v>
      </c>
      <c r="X393">
        <f>VLOOKUP(Table55[[#This Row],[Shortname]], Comp[], 23, FALSE)</f>
        <v>4.0999999999999996</v>
      </c>
      <c r="Y393">
        <f>VLOOKUP(Table55[[#This Row],[Shortname]], Comp[], 24, FALSE)</f>
        <v>0</v>
      </c>
      <c r="Z393">
        <f>VLOOKUP(Table55[[#This Row],[Shortname]], Comp[], 25, FALSE)</f>
        <v>0</v>
      </c>
      <c r="AA393">
        <f>VLOOKUP(Table55[[#This Row],[Shortname]], Comp[], 26, FALSE)</f>
        <v>0</v>
      </c>
      <c r="AB393">
        <f>VLOOKUP(Table55[[#This Row],[Shortname]], Comp[], 27, FALSE)</f>
        <v>0</v>
      </c>
      <c r="AC393">
        <f>VLOOKUP(Table55[[#This Row],[Shortname]], Comp[], 28, FALSE)</f>
        <v>0</v>
      </c>
      <c r="AD393">
        <f>VLOOKUP(Table55[[#This Row],[Shortname]], Comp[], 29, FALSE)</f>
        <v>0</v>
      </c>
      <c r="AE393">
        <f>VLOOKUP(Table55[[#This Row],[Shortname]], Comp[], 30, FALSE)</f>
        <v>0</v>
      </c>
      <c r="AF393">
        <f>VLOOKUP(Table55[[#This Row],[Shortname]], Comp[], 31, FALSE)</f>
        <v>0</v>
      </c>
    </row>
    <row r="394" spans="1:32" x14ac:dyDescent="0.3">
      <c r="A394" s="12" t="s">
        <v>6510</v>
      </c>
      <c r="B394" s="12" t="s">
        <v>6511</v>
      </c>
      <c r="C394" s="12" t="s">
        <v>6504</v>
      </c>
      <c r="D394" s="12">
        <v>999</v>
      </c>
      <c r="E394" s="12">
        <v>1416</v>
      </c>
      <c r="F394" s="12">
        <v>1442</v>
      </c>
      <c r="H394" s="14">
        <f>VLOOKUP(Table55[[#This Row],[Shortname]], Comp[], 7, FALSE)</f>
        <v>41.899999999999991</v>
      </c>
      <c r="I394">
        <f>VLOOKUP(Table55[[#This Row],[Shortname]], Comp[], 8, FALSE)</f>
        <v>29.3</v>
      </c>
      <c r="J394">
        <f>VLOOKUP(Table55[[#This Row],[Shortname]], Comp[], 9, FALSE)</f>
        <v>10.8</v>
      </c>
      <c r="K394">
        <f>VLOOKUP(Table55[[#This Row],[Shortname]], Comp[], 10, FALSE)</f>
        <v>4.0999999999999996</v>
      </c>
      <c r="L394">
        <f>VLOOKUP(Table55[[#This Row],[Shortname]], Comp[], 11, FALSE)</f>
        <v>5.7</v>
      </c>
      <c r="M394">
        <f>VLOOKUP(Table55[[#This Row],[Shortname]], Comp[],12, FALSE)</f>
        <v>0</v>
      </c>
      <c r="N394">
        <f>VLOOKUP(Table55[[#This Row],[Shortname]], Comp[], 13, FALSE)</f>
        <v>0</v>
      </c>
      <c r="O394">
        <f>VLOOKUP(Table55[[#This Row],[Shortname]], Comp[], 14, FALSE)</f>
        <v>0</v>
      </c>
      <c r="P394">
        <f>VLOOKUP(Table55[[#This Row],[Shortname]], Comp[], 15, FALSE)</f>
        <v>0</v>
      </c>
      <c r="Q394">
        <f>VLOOKUP(Table55[[#This Row],[Shortname]], Comp[], 16, FALSE)</f>
        <v>0</v>
      </c>
      <c r="R394">
        <f>VLOOKUP(Table55[[#This Row],[Shortname]], Comp[], 17, FALSE)</f>
        <v>0</v>
      </c>
      <c r="S394">
        <f>VLOOKUP(Table55[[#This Row],[Shortname]], Comp[], 18, FALSE)</f>
        <v>0</v>
      </c>
      <c r="T394">
        <f>VLOOKUP(Table55[[#This Row],[Shortname]], Comp[], 19, FALSE)</f>
        <v>0</v>
      </c>
      <c r="U394">
        <f>VLOOKUP(Table55[[#This Row],[Shortname]], Comp[], 20, FALSE)</f>
        <v>0</v>
      </c>
      <c r="V394">
        <f>VLOOKUP(Table55[[#This Row],[Shortname]], Comp[], 21, FALSE)</f>
        <v>0</v>
      </c>
      <c r="W394">
        <f>VLOOKUP(Table55[[#This Row],[Shortname]], Comp[], 22, FALSE)</f>
        <v>0</v>
      </c>
      <c r="X394">
        <f>VLOOKUP(Table55[[#This Row],[Shortname]], Comp[], 23, FALSE)</f>
        <v>8.1999999999999993</v>
      </c>
      <c r="Y394">
        <f>VLOOKUP(Table55[[#This Row],[Shortname]], Comp[], 24, FALSE)</f>
        <v>0</v>
      </c>
      <c r="Z394">
        <f>VLOOKUP(Table55[[#This Row],[Shortname]], Comp[], 25, FALSE)</f>
        <v>0</v>
      </c>
      <c r="AA394">
        <f>VLOOKUP(Table55[[#This Row],[Shortname]], Comp[], 26, FALSE)</f>
        <v>0</v>
      </c>
      <c r="AB394">
        <f>VLOOKUP(Table55[[#This Row],[Shortname]], Comp[], 27, FALSE)</f>
        <v>0</v>
      </c>
      <c r="AC394">
        <f>VLOOKUP(Table55[[#This Row],[Shortname]], Comp[], 28, FALSE)</f>
        <v>0</v>
      </c>
      <c r="AD394">
        <f>VLOOKUP(Table55[[#This Row],[Shortname]], Comp[], 29, FALSE)</f>
        <v>0</v>
      </c>
      <c r="AE394">
        <f>VLOOKUP(Table55[[#This Row],[Shortname]], Comp[], 30, FALSE)</f>
        <v>0</v>
      </c>
      <c r="AF394">
        <f>VLOOKUP(Table55[[#This Row],[Shortname]], Comp[], 31, FALSE)</f>
        <v>0</v>
      </c>
    </row>
    <row r="395" spans="1:32" x14ac:dyDescent="0.3">
      <c r="A395" s="12" t="s">
        <v>6514</v>
      </c>
      <c r="B395" s="12" t="s">
        <v>6515</v>
      </c>
      <c r="C395" s="12" t="s">
        <v>6504</v>
      </c>
      <c r="D395" s="12">
        <v>985</v>
      </c>
      <c r="E395" s="12">
        <v>1490</v>
      </c>
      <c r="F395" s="12">
        <v>1437</v>
      </c>
      <c r="H395" s="14">
        <f>VLOOKUP(Table55[[#This Row],[Shortname]], Comp[], 7, FALSE)</f>
        <v>38.199999999999989</v>
      </c>
      <c r="I395">
        <f>VLOOKUP(Table55[[#This Row],[Shortname]], Comp[], 8, FALSE)</f>
        <v>29.3</v>
      </c>
      <c r="J395">
        <f>VLOOKUP(Table55[[#This Row],[Shortname]], Comp[], 9, FALSE)</f>
        <v>10.4</v>
      </c>
      <c r="K395">
        <f>VLOOKUP(Table55[[#This Row],[Shortname]], Comp[], 10, FALSE)</f>
        <v>4.0999999999999996</v>
      </c>
      <c r="L395">
        <f>VLOOKUP(Table55[[#This Row],[Shortname]], Comp[], 11, FALSE)</f>
        <v>5.7</v>
      </c>
      <c r="M395">
        <f>VLOOKUP(Table55[[#This Row],[Shortname]], Comp[],12, FALSE)</f>
        <v>0</v>
      </c>
      <c r="N395">
        <f>VLOOKUP(Table55[[#This Row],[Shortname]], Comp[], 13, FALSE)</f>
        <v>0</v>
      </c>
      <c r="O395">
        <f>VLOOKUP(Table55[[#This Row],[Shortname]], Comp[], 14, FALSE)</f>
        <v>0</v>
      </c>
      <c r="P395">
        <f>VLOOKUP(Table55[[#This Row],[Shortname]], Comp[], 15, FALSE)</f>
        <v>0</v>
      </c>
      <c r="Q395">
        <f>VLOOKUP(Table55[[#This Row],[Shortname]], Comp[], 16, FALSE)</f>
        <v>0</v>
      </c>
      <c r="R395">
        <f>VLOOKUP(Table55[[#This Row],[Shortname]], Comp[], 17, FALSE)</f>
        <v>0</v>
      </c>
      <c r="S395">
        <f>VLOOKUP(Table55[[#This Row],[Shortname]], Comp[], 18, FALSE)</f>
        <v>0</v>
      </c>
      <c r="T395">
        <f>VLOOKUP(Table55[[#This Row],[Shortname]], Comp[], 19, FALSE)</f>
        <v>0</v>
      </c>
      <c r="U395">
        <f>VLOOKUP(Table55[[#This Row],[Shortname]], Comp[], 20, FALSE)</f>
        <v>0</v>
      </c>
      <c r="V395">
        <f>VLOOKUP(Table55[[#This Row],[Shortname]], Comp[], 21, FALSE)</f>
        <v>0</v>
      </c>
      <c r="W395">
        <f>VLOOKUP(Table55[[#This Row],[Shortname]], Comp[], 22, FALSE)</f>
        <v>0</v>
      </c>
      <c r="X395">
        <f>VLOOKUP(Table55[[#This Row],[Shortname]], Comp[], 23, FALSE)</f>
        <v>12.3</v>
      </c>
      <c r="Y395">
        <f>VLOOKUP(Table55[[#This Row],[Shortname]], Comp[], 24, FALSE)</f>
        <v>0</v>
      </c>
      <c r="Z395">
        <f>VLOOKUP(Table55[[#This Row],[Shortname]], Comp[], 25, FALSE)</f>
        <v>0</v>
      </c>
      <c r="AA395">
        <f>VLOOKUP(Table55[[#This Row],[Shortname]], Comp[], 26, FALSE)</f>
        <v>0</v>
      </c>
      <c r="AB395">
        <f>VLOOKUP(Table55[[#This Row],[Shortname]], Comp[], 27, FALSE)</f>
        <v>0</v>
      </c>
      <c r="AC395">
        <f>VLOOKUP(Table55[[#This Row],[Shortname]], Comp[], 28, FALSE)</f>
        <v>0</v>
      </c>
      <c r="AD395">
        <f>VLOOKUP(Table55[[#This Row],[Shortname]], Comp[], 29, FALSE)</f>
        <v>0</v>
      </c>
      <c r="AE395">
        <f>VLOOKUP(Table55[[#This Row],[Shortname]], Comp[], 30, FALSE)</f>
        <v>0</v>
      </c>
      <c r="AF395">
        <f>VLOOKUP(Table55[[#This Row],[Shortname]], Comp[], 31, FALSE)</f>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4231-8FB0-4FEA-9FE6-63F95EC6CC88}">
  <dimension ref="A1:AF373"/>
  <sheetViews>
    <sheetView topLeftCell="J348" workbookViewId="0">
      <selection activeCell="A358" sqref="A358:AF373"/>
    </sheetView>
  </sheetViews>
  <sheetFormatPr defaultRowHeight="14.4" x14ac:dyDescent="0.3"/>
  <sheetData>
    <row r="1" spans="1:32" x14ac:dyDescent="0.3">
      <c r="A1" t="s">
        <v>6527</v>
      </c>
      <c r="B1" t="s">
        <v>6530</v>
      </c>
      <c r="C1" t="s">
        <v>6531</v>
      </c>
      <c r="D1" t="s">
        <v>6774</v>
      </c>
      <c r="E1" t="s">
        <v>6775</v>
      </c>
      <c r="F1" t="s">
        <v>6776</v>
      </c>
      <c r="G1" t="s">
        <v>6532</v>
      </c>
      <c r="H1" t="s">
        <v>0</v>
      </c>
      <c r="I1" t="s">
        <v>6533</v>
      </c>
      <c r="J1" t="s">
        <v>6534</v>
      </c>
      <c r="K1" t="s">
        <v>6535</v>
      </c>
      <c r="L1" t="s">
        <v>6536</v>
      </c>
      <c r="M1" t="s">
        <v>6537</v>
      </c>
      <c r="N1" t="s">
        <v>6538</v>
      </c>
      <c r="O1" t="s">
        <v>6539</v>
      </c>
      <c r="P1" t="s">
        <v>6540</v>
      </c>
      <c r="Q1" t="s">
        <v>6541</v>
      </c>
      <c r="R1" t="s">
        <v>6542</v>
      </c>
      <c r="S1" t="s">
        <v>6543</v>
      </c>
      <c r="T1" t="s">
        <v>5865</v>
      </c>
      <c r="U1" t="s">
        <v>6544</v>
      </c>
      <c r="V1" t="s">
        <v>6545</v>
      </c>
      <c r="W1" t="s">
        <v>6546</v>
      </c>
      <c r="X1" t="s">
        <v>6547</v>
      </c>
      <c r="Y1" t="s">
        <v>6548</v>
      </c>
      <c r="Z1" t="s">
        <v>6549</v>
      </c>
      <c r="AA1" t="s">
        <v>6550</v>
      </c>
      <c r="AB1" t="s">
        <v>6551</v>
      </c>
      <c r="AC1" t="s">
        <v>6552</v>
      </c>
      <c r="AD1" t="s">
        <v>6553</v>
      </c>
      <c r="AE1" t="s">
        <v>6554</v>
      </c>
      <c r="AF1" t="s">
        <v>6555</v>
      </c>
    </row>
    <row r="2" spans="1:32" x14ac:dyDescent="0.3">
      <c r="A2" t="s">
        <v>94</v>
      </c>
      <c r="B2" t="s">
        <v>97</v>
      </c>
      <c r="C2" s="15" t="s">
        <v>6646</v>
      </c>
      <c r="D2">
        <v>960</v>
      </c>
      <c r="E2">
        <v>1442</v>
      </c>
      <c r="F2">
        <v>1467</v>
      </c>
      <c r="G2">
        <f>VLOOKUP(Table56[[#This Row],[Shortname]], Comp[], 6, FALSE)</f>
        <v>9</v>
      </c>
      <c r="H2" s="14">
        <f>VLOOKUP(Table56[[#This Row],[Shortname]], Comp[], 7, FALSE)</f>
        <v>83.5</v>
      </c>
      <c r="I2">
        <f>VLOOKUP(Table56[[#This Row],[Shortname]], Comp[], 8, FALSE)</f>
        <v>0</v>
      </c>
      <c r="J2">
        <f>VLOOKUP(Table56[[#This Row],[Shortname]], Comp[], 9, FALSE)</f>
        <v>8.1</v>
      </c>
      <c r="K2">
        <f>VLOOKUP(Table56[[#This Row],[Shortname]], Comp[], 10, FALSE)</f>
        <v>0</v>
      </c>
      <c r="L2">
        <f>VLOOKUP(Table56[[#This Row],[Shortname]], Comp[], 11, FALSE)</f>
        <v>8.4</v>
      </c>
      <c r="M2">
        <f>VLOOKUP(Table56[[#This Row],[Shortname]], Comp[],12, FALSE)</f>
        <v>0</v>
      </c>
      <c r="N2">
        <f>VLOOKUP(Table56[[#This Row],[Shortname]], Comp[], 13, FALSE)</f>
        <v>0</v>
      </c>
      <c r="O2">
        <f>VLOOKUP(Table56[[#This Row],[Shortname]], Comp[], 14, FALSE)</f>
        <v>0</v>
      </c>
      <c r="P2">
        <f>VLOOKUP(Table56[[#This Row],[Shortname]], Comp[], 15, FALSE)</f>
        <v>0</v>
      </c>
      <c r="Q2">
        <f>VLOOKUP(Table56[[#This Row],[Shortname]], Comp[], 16, FALSE)</f>
        <v>0</v>
      </c>
      <c r="R2">
        <f>VLOOKUP(Table56[[#This Row],[Shortname]], Comp[], 17, FALSE)</f>
        <v>0</v>
      </c>
      <c r="S2">
        <f>VLOOKUP(Table56[[#This Row],[Shortname]], Comp[], 18, FALSE)</f>
        <v>0</v>
      </c>
      <c r="T2">
        <f>VLOOKUP(Table56[[#This Row],[Shortname]], Comp[], 19, FALSE)</f>
        <v>0</v>
      </c>
      <c r="U2">
        <f>VLOOKUP(Table56[[#This Row],[Shortname]], Comp[], 20, FALSE)</f>
        <v>0</v>
      </c>
      <c r="V2">
        <f>VLOOKUP(Table56[[#This Row],[Shortname]], Comp[], 21, FALSE)</f>
        <v>0</v>
      </c>
      <c r="W2">
        <f>VLOOKUP(Table56[[#This Row],[Shortname]], Comp[], 22, FALSE)</f>
        <v>0</v>
      </c>
      <c r="X2">
        <f>VLOOKUP(Table56[[#This Row],[Shortname]], Comp[], 23, FALSE)</f>
        <v>0</v>
      </c>
      <c r="Y2">
        <f>VLOOKUP(Table56[[#This Row],[Shortname]], Comp[], 24, FALSE)</f>
        <v>0</v>
      </c>
      <c r="Z2">
        <f>VLOOKUP(Table56[[#This Row],[Shortname]], Comp[], 25, FALSE)</f>
        <v>0</v>
      </c>
      <c r="AA2">
        <f>VLOOKUP(Table56[[#This Row],[Shortname]], Comp[], 26, FALSE)</f>
        <v>0</v>
      </c>
      <c r="AB2">
        <f>VLOOKUP(Table56[[#This Row],[Shortname]], Comp[], 27, FALSE)</f>
        <v>0</v>
      </c>
      <c r="AC2">
        <f>VLOOKUP(Table56[[#This Row],[Shortname]], Comp[], 28, FALSE)</f>
        <v>0</v>
      </c>
      <c r="AD2">
        <f>VLOOKUP(Table56[[#This Row],[Shortname]], Comp[], 29, FALSE)</f>
        <v>0</v>
      </c>
      <c r="AE2">
        <f>VLOOKUP(Table56[[#This Row],[Shortname]], Comp[], 30, FALSE)</f>
        <v>0</v>
      </c>
      <c r="AF2">
        <f>VLOOKUP(Table56[[#This Row],[Shortname]], Comp[], 31, FALSE)</f>
        <v>0</v>
      </c>
    </row>
    <row r="3" spans="1:32" x14ac:dyDescent="0.3">
      <c r="A3" t="s">
        <v>104</v>
      </c>
      <c r="B3" t="s">
        <v>106</v>
      </c>
      <c r="C3" s="15" t="s">
        <v>6647</v>
      </c>
      <c r="D3">
        <v>1065</v>
      </c>
      <c r="E3">
        <v>1373</v>
      </c>
      <c r="F3">
        <v>1422</v>
      </c>
      <c r="G3">
        <f>VLOOKUP(Table56[[#This Row],[Shortname]], Comp[], 6, FALSE)</f>
        <v>10</v>
      </c>
      <c r="H3" s="14">
        <f>VLOOKUP(Table56[[#This Row],[Shortname]], Comp[], 7, FALSE)</f>
        <v>78.599999999999994</v>
      </c>
      <c r="I3">
        <f>VLOOKUP(Table56[[#This Row],[Shortname]], Comp[], 8, FALSE)</f>
        <v>0</v>
      </c>
      <c r="J3">
        <f>VLOOKUP(Table56[[#This Row],[Shortname]], Comp[], 9, FALSE)</f>
        <v>9.4</v>
      </c>
      <c r="K3">
        <f>VLOOKUP(Table56[[#This Row],[Shortname]], Comp[], 10, FALSE)</f>
        <v>0</v>
      </c>
      <c r="L3">
        <f>VLOOKUP(Table56[[#This Row],[Shortname]], Comp[], 11, FALSE)</f>
        <v>10.199999999999999</v>
      </c>
      <c r="M3">
        <f>VLOOKUP(Table56[[#This Row],[Shortname]], Comp[],12, FALSE)</f>
        <v>0</v>
      </c>
      <c r="N3">
        <f>VLOOKUP(Table56[[#This Row],[Shortname]], Comp[], 13, FALSE)</f>
        <v>0</v>
      </c>
      <c r="O3">
        <f>VLOOKUP(Table56[[#This Row],[Shortname]], Comp[], 14, FALSE)</f>
        <v>1.8</v>
      </c>
      <c r="P3">
        <f>VLOOKUP(Table56[[#This Row],[Shortname]], Comp[], 15, FALSE)</f>
        <v>0</v>
      </c>
      <c r="Q3">
        <f>VLOOKUP(Table56[[#This Row],[Shortname]], Comp[], 16, FALSE)</f>
        <v>0</v>
      </c>
      <c r="R3">
        <f>VLOOKUP(Table56[[#This Row],[Shortname]], Comp[], 17, FALSE)</f>
        <v>0</v>
      </c>
      <c r="S3">
        <f>VLOOKUP(Table56[[#This Row],[Shortname]], Comp[], 18, FALSE)</f>
        <v>0</v>
      </c>
      <c r="T3">
        <f>VLOOKUP(Table56[[#This Row],[Shortname]], Comp[], 19, FALSE)</f>
        <v>0</v>
      </c>
      <c r="U3">
        <f>VLOOKUP(Table56[[#This Row],[Shortname]], Comp[], 20, FALSE)</f>
        <v>0</v>
      </c>
      <c r="V3">
        <f>VLOOKUP(Table56[[#This Row],[Shortname]], Comp[], 21, FALSE)</f>
        <v>0</v>
      </c>
      <c r="W3">
        <f>VLOOKUP(Table56[[#This Row],[Shortname]], Comp[], 22, FALSE)</f>
        <v>0</v>
      </c>
      <c r="X3">
        <f>VLOOKUP(Table56[[#This Row],[Shortname]], Comp[], 23, FALSE)</f>
        <v>0</v>
      </c>
      <c r="Y3">
        <f>VLOOKUP(Table56[[#This Row],[Shortname]], Comp[], 24, FALSE)</f>
        <v>0</v>
      </c>
      <c r="Z3">
        <f>VLOOKUP(Table56[[#This Row],[Shortname]], Comp[], 25, FALSE)</f>
        <v>0</v>
      </c>
      <c r="AA3">
        <f>VLOOKUP(Table56[[#This Row],[Shortname]], Comp[], 26, FALSE)</f>
        <v>0</v>
      </c>
      <c r="AB3">
        <f>VLOOKUP(Table56[[#This Row],[Shortname]], Comp[], 27, FALSE)</f>
        <v>0</v>
      </c>
      <c r="AC3">
        <f>VLOOKUP(Table56[[#This Row],[Shortname]], Comp[], 28, FALSE)</f>
        <v>0</v>
      </c>
      <c r="AD3">
        <f>VLOOKUP(Table56[[#This Row],[Shortname]], Comp[], 29, FALSE)</f>
        <v>0</v>
      </c>
      <c r="AE3">
        <f>VLOOKUP(Table56[[#This Row],[Shortname]], Comp[], 30, FALSE)</f>
        <v>0</v>
      </c>
      <c r="AF3">
        <f>VLOOKUP(Table56[[#This Row],[Shortname]], Comp[], 31, FALSE)</f>
        <v>0</v>
      </c>
    </row>
    <row r="4" spans="1:32" x14ac:dyDescent="0.3">
      <c r="A4" t="s">
        <v>114</v>
      </c>
      <c r="B4" t="s">
        <v>116</v>
      </c>
      <c r="C4" s="15" t="s">
        <v>6648</v>
      </c>
      <c r="D4">
        <v>1081</v>
      </c>
      <c r="E4">
        <v>1399</v>
      </c>
      <c r="F4">
        <v>1432</v>
      </c>
      <c r="G4">
        <f>VLOOKUP(Table56[[#This Row],[Shortname]], Comp[], 6, FALSE)</f>
        <v>11</v>
      </c>
      <c r="H4" s="14">
        <f>VLOOKUP(Table56[[#This Row],[Shortname]], Comp[], 7, FALSE)</f>
        <v>79.099999999999994</v>
      </c>
      <c r="I4">
        <f>VLOOKUP(Table56[[#This Row],[Shortname]], Comp[], 8, FALSE)</f>
        <v>0</v>
      </c>
      <c r="J4">
        <f>VLOOKUP(Table56[[#This Row],[Shortname]], Comp[], 9, FALSE)</f>
        <v>8.4</v>
      </c>
      <c r="K4">
        <f>VLOOKUP(Table56[[#This Row],[Shortname]], Comp[], 10, FALSE)</f>
        <v>0</v>
      </c>
      <c r="L4">
        <f>VLOOKUP(Table56[[#This Row],[Shortname]], Comp[], 11, FALSE)</f>
        <v>10.3</v>
      </c>
      <c r="M4">
        <f>VLOOKUP(Table56[[#This Row],[Shortname]], Comp[],12, FALSE)</f>
        <v>2.2000000000000002</v>
      </c>
      <c r="N4">
        <f>VLOOKUP(Table56[[#This Row],[Shortname]], Comp[], 13, FALSE)</f>
        <v>0</v>
      </c>
      <c r="O4">
        <f>VLOOKUP(Table56[[#This Row],[Shortname]], Comp[], 14, FALSE)</f>
        <v>0</v>
      </c>
      <c r="P4">
        <f>VLOOKUP(Table56[[#This Row],[Shortname]], Comp[], 15, FALSE)</f>
        <v>0</v>
      </c>
      <c r="Q4">
        <f>VLOOKUP(Table56[[#This Row],[Shortname]], Comp[], 16, FALSE)</f>
        <v>0</v>
      </c>
      <c r="R4">
        <f>VLOOKUP(Table56[[#This Row],[Shortname]], Comp[], 17, FALSE)</f>
        <v>0</v>
      </c>
      <c r="S4">
        <f>VLOOKUP(Table56[[#This Row],[Shortname]], Comp[], 18, FALSE)</f>
        <v>0</v>
      </c>
      <c r="T4">
        <f>VLOOKUP(Table56[[#This Row],[Shortname]], Comp[], 19, FALSE)</f>
        <v>0</v>
      </c>
      <c r="U4">
        <f>VLOOKUP(Table56[[#This Row],[Shortname]], Comp[], 20, FALSE)</f>
        <v>0</v>
      </c>
      <c r="V4">
        <f>VLOOKUP(Table56[[#This Row],[Shortname]], Comp[], 21, FALSE)</f>
        <v>0</v>
      </c>
      <c r="W4">
        <f>VLOOKUP(Table56[[#This Row],[Shortname]], Comp[], 22, FALSE)</f>
        <v>0</v>
      </c>
      <c r="X4">
        <f>VLOOKUP(Table56[[#This Row],[Shortname]], Comp[], 23, FALSE)</f>
        <v>0</v>
      </c>
      <c r="Y4">
        <f>VLOOKUP(Table56[[#This Row],[Shortname]], Comp[], 24, FALSE)</f>
        <v>0</v>
      </c>
      <c r="Z4">
        <f>VLOOKUP(Table56[[#This Row],[Shortname]], Comp[], 25, FALSE)</f>
        <v>0</v>
      </c>
      <c r="AA4">
        <f>VLOOKUP(Table56[[#This Row],[Shortname]], Comp[], 26, FALSE)</f>
        <v>0</v>
      </c>
      <c r="AB4">
        <f>VLOOKUP(Table56[[#This Row],[Shortname]], Comp[], 27, FALSE)</f>
        <v>0</v>
      </c>
      <c r="AC4">
        <f>VLOOKUP(Table56[[#This Row],[Shortname]], Comp[], 28, FALSE)</f>
        <v>0</v>
      </c>
      <c r="AD4">
        <f>VLOOKUP(Table56[[#This Row],[Shortname]], Comp[], 29, FALSE)</f>
        <v>0</v>
      </c>
      <c r="AE4">
        <f>VLOOKUP(Table56[[#This Row],[Shortname]], Comp[], 30, FALSE)</f>
        <v>0</v>
      </c>
      <c r="AF4">
        <f>VLOOKUP(Table56[[#This Row],[Shortname]], Comp[], 31, FALSE)</f>
        <v>0</v>
      </c>
    </row>
    <row r="5" spans="1:32" x14ac:dyDescent="0.3">
      <c r="A5" t="s">
        <v>124</v>
      </c>
      <c r="B5" t="s">
        <v>126</v>
      </c>
      <c r="C5" s="15" t="s">
        <v>6649</v>
      </c>
      <c r="D5">
        <v>1030</v>
      </c>
      <c r="E5">
        <v>1420</v>
      </c>
      <c r="F5">
        <v>1451</v>
      </c>
      <c r="G5">
        <f>VLOOKUP(Table56[[#This Row],[Shortname]], Comp[], 6, FALSE)</f>
        <v>12</v>
      </c>
      <c r="H5" s="14">
        <f>VLOOKUP(Table56[[#This Row],[Shortname]], Comp[], 7, FALSE)</f>
        <v>77.5</v>
      </c>
      <c r="I5">
        <f>VLOOKUP(Table56[[#This Row],[Shortname]], Comp[], 8, FALSE)</f>
        <v>0</v>
      </c>
      <c r="J5">
        <f>VLOOKUP(Table56[[#This Row],[Shortname]], Comp[], 9, FALSE)</f>
        <v>9</v>
      </c>
      <c r="K5">
        <f>VLOOKUP(Table56[[#This Row],[Shortname]], Comp[], 10, FALSE)</f>
        <v>0</v>
      </c>
      <c r="L5">
        <f>VLOOKUP(Table56[[#This Row],[Shortname]], Comp[], 11, FALSE)</f>
        <v>11.4</v>
      </c>
      <c r="M5">
        <f>VLOOKUP(Table56[[#This Row],[Shortname]], Comp[],12, FALSE)</f>
        <v>0</v>
      </c>
      <c r="N5">
        <f>VLOOKUP(Table56[[#This Row],[Shortname]], Comp[], 13, FALSE)</f>
        <v>0</v>
      </c>
      <c r="O5">
        <f>VLOOKUP(Table56[[#This Row],[Shortname]], Comp[], 14, FALSE)</f>
        <v>0</v>
      </c>
      <c r="P5">
        <f>VLOOKUP(Table56[[#This Row],[Shortname]], Comp[], 15, FALSE)</f>
        <v>2.1</v>
      </c>
      <c r="Q5">
        <f>VLOOKUP(Table56[[#This Row],[Shortname]], Comp[], 16, FALSE)</f>
        <v>0</v>
      </c>
      <c r="R5">
        <f>VLOOKUP(Table56[[#This Row],[Shortname]], Comp[], 17, FALSE)</f>
        <v>0</v>
      </c>
      <c r="S5">
        <f>VLOOKUP(Table56[[#This Row],[Shortname]], Comp[], 18, FALSE)</f>
        <v>0</v>
      </c>
      <c r="T5">
        <f>VLOOKUP(Table56[[#This Row],[Shortname]], Comp[], 19, FALSE)</f>
        <v>0</v>
      </c>
      <c r="U5">
        <f>VLOOKUP(Table56[[#This Row],[Shortname]], Comp[], 20, FALSE)</f>
        <v>0</v>
      </c>
      <c r="V5">
        <f>VLOOKUP(Table56[[#This Row],[Shortname]], Comp[], 21, FALSE)</f>
        <v>0</v>
      </c>
      <c r="W5">
        <f>VLOOKUP(Table56[[#This Row],[Shortname]], Comp[], 22, FALSE)</f>
        <v>0</v>
      </c>
      <c r="X5">
        <f>VLOOKUP(Table56[[#This Row],[Shortname]], Comp[], 23, FALSE)</f>
        <v>0</v>
      </c>
      <c r="Y5">
        <f>VLOOKUP(Table56[[#This Row],[Shortname]], Comp[], 24, FALSE)</f>
        <v>0</v>
      </c>
      <c r="Z5">
        <f>VLOOKUP(Table56[[#This Row],[Shortname]], Comp[], 25, FALSE)</f>
        <v>0</v>
      </c>
      <c r="AA5">
        <f>VLOOKUP(Table56[[#This Row],[Shortname]], Comp[], 26, FALSE)</f>
        <v>0</v>
      </c>
      <c r="AB5">
        <f>VLOOKUP(Table56[[#This Row],[Shortname]], Comp[], 27, FALSE)</f>
        <v>0</v>
      </c>
      <c r="AC5">
        <f>VLOOKUP(Table56[[#This Row],[Shortname]], Comp[], 28, FALSE)</f>
        <v>0</v>
      </c>
      <c r="AD5">
        <f>VLOOKUP(Table56[[#This Row],[Shortname]], Comp[], 29, FALSE)</f>
        <v>0</v>
      </c>
      <c r="AE5">
        <f>VLOOKUP(Table56[[#This Row],[Shortname]], Comp[], 30, FALSE)</f>
        <v>0</v>
      </c>
      <c r="AF5">
        <f>VLOOKUP(Table56[[#This Row],[Shortname]], Comp[], 31, FALSE)</f>
        <v>0</v>
      </c>
    </row>
    <row r="6" spans="1:32" x14ac:dyDescent="0.3">
      <c r="A6" t="s">
        <v>134</v>
      </c>
      <c r="B6" t="s">
        <v>136</v>
      </c>
      <c r="C6" s="15" t="s">
        <v>6650</v>
      </c>
      <c r="D6">
        <v>1102</v>
      </c>
      <c r="E6">
        <v>1377</v>
      </c>
      <c r="F6">
        <v>1416</v>
      </c>
      <c r="G6">
        <f>VLOOKUP(Table56[[#This Row],[Shortname]], Comp[], 6, FALSE)</f>
        <v>13</v>
      </c>
      <c r="H6" s="14">
        <f>VLOOKUP(Table56[[#This Row],[Shortname]], Comp[], 7, FALSE)</f>
        <v>81.300000000000011</v>
      </c>
      <c r="I6">
        <f>VLOOKUP(Table56[[#This Row],[Shortname]], Comp[], 8, FALSE)</f>
        <v>0</v>
      </c>
      <c r="J6">
        <f>VLOOKUP(Table56[[#This Row],[Shortname]], Comp[], 9, FALSE)</f>
        <v>7.6</v>
      </c>
      <c r="K6">
        <f>VLOOKUP(Table56[[#This Row],[Shortname]], Comp[], 10, FALSE)</f>
        <v>0</v>
      </c>
      <c r="L6">
        <f>VLOOKUP(Table56[[#This Row],[Shortname]], Comp[], 11, FALSE)</f>
        <v>9.1999999999999993</v>
      </c>
      <c r="M6">
        <f>VLOOKUP(Table56[[#This Row],[Shortname]], Comp[],12, FALSE)</f>
        <v>0</v>
      </c>
      <c r="N6">
        <f>VLOOKUP(Table56[[#This Row],[Shortname]], Comp[], 13, FALSE)</f>
        <v>1.9</v>
      </c>
      <c r="O6">
        <f>VLOOKUP(Table56[[#This Row],[Shortname]], Comp[], 14, FALSE)</f>
        <v>0</v>
      </c>
      <c r="P6">
        <f>VLOOKUP(Table56[[#This Row],[Shortname]], Comp[], 15, FALSE)</f>
        <v>0</v>
      </c>
      <c r="Q6">
        <f>VLOOKUP(Table56[[#This Row],[Shortname]], Comp[], 16, FALSE)</f>
        <v>0</v>
      </c>
      <c r="R6">
        <f>VLOOKUP(Table56[[#This Row],[Shortname]], Comp[], 17, FALSE)</f>
        <v>0</v>
      </c>
      <c r="S6">
        <f>VLOOKUP(Table56[[#This Row],[Shortname]], Comp[], 18, FALSE)</f>
        <v>0</v>
      </c>
      <c r="T6">
        <f>VLOOKUP(Table56[[#This Row],[Shortname]], Comp[], 19, FALSE)</f>
        <v>0</v>
      </c>
      <c r="U6">
        <f>VLOOKUP(Table56[[#This Row],[Shortname]], Comp[], 20, FALSE)</f>
        <v>0</v>
      </c>
      <c r="V6">
        <f>VLOOKUP(Table56[[#This Row],[Shortname]], Comp[], 21, FALSE)</f>
        <v>0</v>
      </c>
      <c r="W6">
        <f>VLOOKUP(Table56[[#This Row],[Shortname]], Comp[], 22, FALSE)</f>
        <v>0</v>
      </c>
      <c r="X6">
        <f>VLOOKUP(Table56[[#This Row],[Shortname]], Comp[], 23, FALSE)</f>
        <v>0</v>
      </c>
      <c r="Y6">
        <f>VLOOKUP(Table56[[#This Row],[Shortname]], Comp[], 24, FALSE)</f>
        <v>0</v>
      </c>
      <c r="Z6">
        <f>VLOOKUP(Table56[[#This Row],[Shortname]], Comp[], 25, FALSE)</f>
        <v>0</v>
      </c>
      <c r="AA6">
        <f>VLOOKUP(Table56[[#This Row],[Shortname]], Comp[], 26, FALSE)</f>
        <v>0</v>
      </c>
      <c r="AB6">
        <f>VLOOKUP(Table56[[#This Row],[Shortname]], Comp[], 27, FALSE)</f>
        <v>0</v>
      </c>
      <c r="AC6">
        <f>VLOOKUP(Table56[[#This Row],[Shortname]], Comp[], 28, FALSE)</f>
        <v>0</v>
      </c>
      <c r="AD6">
        <f>VLOOKUP(Table56[[#This Row],[Shortname]], Comp[], 29, FALSE)</f>
        <v>0</v>
      </c>
      <c r="AE6">
        <f>VLOOKUP(Table56[[#This Row],[Shortname]], Comp[], 30, FALSE)</f>
        <v>0</v>
      </c>
      <c r="AF6">
        <f>VLOOKUP(Table56[[#This Row],[Shortname]], Comp[], 31, FALSE)</f>
        <v>0</v>
      </c>
    </row>
    <row r="7" spans="1:32" x14ac:dyDescent="0.3">
      <c r="A7" t="s">
        <v>152</v>
      </c>
      <c r="B7" t="s">
        <v>154</v>
      </c>
      <c r="C7" s="15" t="s">
        <v>6651</v>
      </c>
      <c r="D7">
        <v>1101</v>
      </c>
      <c r="E7">
        <v>1410</v>
      </c>
      <c r="F7">
        <v>1438</v>
      </c>
      <c r="G7">
        <f>VLOOKUP(Table56[[#This Row],[Shortname]], Comp[], 6, FALSE)</f>
        <v>15</v>
      </c>
      <c r="H7" s="14">
        <f>VLOOKUP(Table56[[#This Row],[Shortname]], Comp[], 7, FALSE)</f>
        <v>81.5</v>
      </c>
      <c r="I7">
        <f>VLOOKUP(Table56[[#This Row],[Shortname]], Comp[], 8, FALSE)</f>
        <v>0</v>
      </c>
      <c r="J7">
        <f>VLOOKUP(Table56[[#This Row],[Shortname]], Comp[], 9, FALSE)</f>
        <v>8.1</v>
      </c>
      <c r="K7">
        <f>VLOOKUP(Table56[[#This Row],[Shortname]], Comp[], 10, FALSE)</f>
        <v>0</v>
      </c>
      <c r="L7">
        <f>VLOOKUP(Table56[[#This Row],[Shortname]], Comp[], 11, FALSE)</f>
        <v>8.4</v>
      </c>
      <c r="M7">
        <f>VLOOKUP(Table56[[#This Row],[Shortname]], Comp[],12, FALSE)</f>
        <v>0</v>
      </c>
      <c r="N7">
        <f>VLOOKUP(Table56[[#This Row],[Shortname]], Comp[], 13, FALSE)</f>
        <v>2</v>
      </c>
      <c r="O7">
        <f>VLOOKUP(Table56[[#This Row],[Shortname]], Comp[], 14, FALSE)</f>
        <v>0</v>
      </c>
      <c r="P7">
        <f>VLOOKUP(Table56[[#This Row],[Shortname]], Comp[], 15, FALSE)</f>
        <v>0</v>
      </c>
      <c r="Q7">
        <f>VLOOKUP(Table56[[#This Row],[Shortname]], Comp[], 16, FALSE)</f>
        <v>0</v>
      </c>
      <c r="R7">
        <f>VLOOKUP(Table56[[#This Row],[Shortname]], Comp[], 17, FALSE)</f>
        <v>0</v>
      </c>
      <c r="S7">
        <f>VLOOKUP(Table56[[#This Row],[Shortname]], Comp[], 18, FALSE)</f>
        <v>0</v>
      </c>
      <c r="T7">
        <f>VLOOKUP(Table56[[#This Row],[Shortname]], Comp[], 19, FALSE)</f>
        <v>0</v>
      </c>
      <c r="U7">
        <f>VLOOKUP(Table56[[#This Row],[Shortname]], Comp[], 20, FALSE)</f>
        <v>0</v>
      </c>
      <c r="V7">
        <f>VLOOKUP(Table56[[#This Row],[Shortname]], Comp[], 21, FALSE)</f>
        <v>0</v>
      </c>
      <c r="W7">
        <f>VLOOKUP(Table56[[#This Row],[Shortname]], Comp[], 22, FALSE)</f>
        <v>0</v>
      </c>
      <c r="X7">
        <f>VLOOKUP(Table56[[#This Row],[Shortname]], Comp[], 23, FALSE)</f>
        <v>0</v>
      </c>
      <c r="Y7">
        <f>VLOOKUP(Table56[[#This Row],[Shortname]], Comp[], 24, FALSE)</f>
        <v>0</v>
      </c>
      <c r="Z7">
        <f>VLOOKUP(Table56[[#This Row],[Shortname]], Comp[], 25, FALSE)</f>
        <v>0</v>
      </c>
      <c r="AA7">
        <f>VLOOKUP(Table56[[#This Row],[Shortname]], Comp[], 26, FALSE)</f>
        <v>0</v>
      </c>
      <c r="AB7">
        <f>VLOOKUP(Table56[[#This Row],[Shortname]], Comp[], 27, FALSE)</f>
        <v>0</v>
      </c>
      <c r="AC7">
        <f>VLOOKUP(Table56[[#This Row],[Shortname]], Comp[], 28, FALSE)</f>
        <v>0</v>
      </c>
      <c r="AD7">
        <f>VLOOKUP(Table56[[#This Row],[Shortname]], Comp[], 29, FALSE)</f>
        <v>0</v>
      </c>
      <c r="AE7">
        <f>VLOOKUP(Table56[[#This Row],[Shortname]], Comp[], 30, FALSE)</f>
        <v>0</v>
      </c>
      <c r="AF7">
        <f>VLOOKUP(Table56[[#This Row],[Shortname]], Comp[], 31, FALSE)</f>
        <v>0</v>
      </c>
    </row>
    <row r="8" spans="1:32" x14ac:dyDescent="0.3">
      <c r="A8" t="s">
        <v>159</v>
      </c>
      <c r="B8" t="s">
        <v>162</v>
      </c>
      <c r="C8" s="15" t="s">
        <v>6652</v>
      </c>
      <c r="D8">
        <v>1081</v>
      </c>
      <c r="E8">
        <v>1403</v>
      </c>
      <c r="F8">
        <v>1430</v>
      </c>
      <c r="G8">
        <f>VLOOKUP(Table56[[#This Row],[Shortname]], Comp[], 6, FALSE)</f>
        <v>16</v>
      </c>
      <c r="H8" s="14">
        <f>VLOOKUP(Table56[[#This Row],[Shortname]], Comp[], 7, FALSE)</f>
        <v>81.3</v>
      </c>
      <c r="I8">
        <f>VLOOKUP(Table56[[#This Row],[Shortname]], Comp[], 8, FALSE)</f>
        <v>0</v>
      </c>
      <c r="J8">
        <f>VLOOKUP(Table56[[#This Row],[Shortname]], Comp[], 9, FALSE)</f>
        <v>8</v>
      </c>
      <c r="K8">
        <f>VLOOKUP(Table56[[#This Row],[Shortname]], Comp[], 10, FALSE)</f>
        <v>1.9</v>
      </c>
      <c r="L8">
        <f>VLOOKUP(Table56[[#This Row],[Shortname]], Comp[], 11, FALSE)</f>
        <v>7.2</v>
      </c>
      <c r="M8">
        <f>VLOOKUP(Table56[[#This Row],[Shortname]], Comp[],12, FALSE)</f>
        <v>0</v>
      </c>
      <c r="N8">
        <f>VLOOKUP(Table56[[#This Row],[Shortname]], Comp[], 13, FALSE)</f>
        <v>1.6</v>
      </c>
      <c r="O8">
        <f>VLOOKUP(Table56[[#This Row],[Shortname]], Comp[], 14, FALSE)</f>
        <v>0</v>
      </c>
      <c r="P8">
        <f>VLOOKUP(Table56[[#This Row],[Shortname]], Comp[], 15, FALSE)</f>
        <v>0</v>
      </c>
      <c r="Q8">
        <f>VLOOKUP(Table56[[#This Row],[Shortname]], Comp[], 16, FALSE)</f>
        <v>0</v>
      </c>
      <c r="R8">
        <f>VLOOKUP(Table56[[#This Row],[Shortname]], Comp[], 17, FALSE)</f>
        <v>0</v>
      </c>
      <c r="S8">
        <f>VLOOKUP(Table56[[#This Row],[Shortname]], Comp[], 18, FALSE)</f>
        <v>0</v>
      </c>
      <c r="T8">
        <f>VLOOKUP(Table56[[#This Row],[Shortname]], Comp[], 19, FALSE)</f>
        <v>0</v>
      </c>
      <c r="U8">
        <f>VLOOKUP(Table56[[#This Row],[Shortname]], Comp[], 20, FALSE)</f>
        <v>0</v>
      </c>
      <c r="V8">
        <f>VLOOKUP(Table56[[#This Row],[Shortname]], Comp[], 21, FALSE)</f>
        <v>0</v>
      </c>
      <c r="W8">
        <f>VLOOKUP(Table56[[#This Row],[Shortname]], Comp[], 22, FALSE)</f>
        <v>0</v>
      </c>
      <c r="X8">
        <f>VLOOKUP(Table56[[#This Row],[Shortname]], Comp[], 23, FALSE)</f>
        <v>0</v>
      </c>
      <c r="Y8">
        <f>VLOOKUP(Table56[[#This Row],[Shortname]], Comp[], 24, FALSE)</f>
        <v>0</v>
      </c>
      <c r="Z8">
        <f>VLOOKUP(Table56[[#This Row],[Shortname]], Comp[], 25, FALSE)</f>
        <v>0</v>
      </c>
      <c r="AA8">
        <f>VLOOKUP(Table56[[#This Row],[Shortname]], Comp[], 26, FALSE)</f>
        <v>0</v>
      </c>
      <c r="AB8">
        <f>VLOOKUP(Table56[[#This Row],[Shortname]], Comp[], 27, FALSE)</f>
        <v>0</v>
      </c>
      <c r="AC8">
        <f>VLOOKUP(Table56[[#This Row],[Shortname]], Comp[], 28, FALSE)</f>
        <v>0</v>
      </c>
      <c r="AD8">
        <f>VLOOKUP(Table56[[#This Row],[Shortname]], Comp[], 29, FALSE)</f>
        <v>0</v>
      </c>
      <c r="AE8">
        <f>VLOOKUP(Table56[[#This Row],[Shortname]], Comp[], 30, FALSE)</f>
        <v>0</v>
      </c>
      <c r="AF8">
        <f>VLOOKUP(Table56[[#This Row],[Shortname]], Comp[], 31, FALSE)</f>
        <v>0</v>
      </c>
    </row>
    <row r="9" spans="1:32" x14ac:dyDescent="0.3">
      <c r="A9" t="s">
        <v>171</v>
      </c>
      <c r="B9" t="s">
        <v>173</v>
      </c>
      <c r="C9" s="15" t="s">
        <v>6653</v>
      </c>
      <c r="D9">
        <v>1078</v>
      </c>
      <c r="E9">
        <v>1387</v>
      </c>
      <c r="F9">
        <v>1409</v>
      </c>
      <c r="G9">
        <f>VLOOKUP(Table56[[#This Row],[Shortname]], Comp[], 6, FALSE)</f>
        <v>17</v>
      </c>
      <c r="H9" s="14">
        <f>VLOOKUP(Table56[[#This Row],[Shortname]], Comp[], 7, FALSE)</f>
        <v>82.4</v>
      </c>
      <c r="I9">
        <f>VLOOKUP(Table56[[#This Row],[Shortname]], Comp[], 8, FALSE)</f>
        <v>0</v>
      </c>
      <c r="J9">
        <f>VLOOKUP(Table56[[#This Row],[Shortname]], Comp[], 9, FALSE)</f>
        <v>8.1</v>
      </c>
      <c r="K9">
        <f>VLOOKUP(Table56[[#This Row],[Shortname]], Comp[], 10, FALSE)</f>
        <v>0</v>
      </c>
      <c r="L9">
        <f>VLOOKUP(Table56[[#This Row],[Shortname]], Comp[], 11, FALSE)</f>
        <v>6.7</v>
      </c>
      <c r="M9">
        <f>VLOOKUP(Table56[[#This Row],[Shortname]], Comp[],12, FALSE)</f>
        <v>0</v>
      </c>
      <c r="N9">
        <f>VLOOKUP(Table56[[#This Row],[Shortname]], Comp[], 13, FALSE)</f>
        <v>1.4</v>
      </c>
      <c r="O9">
        <f>VLOOKUP(Table56[[#This Row],[Shortname]], Comp[], 14, FALSE)</f>
        <v>1.4</v>
      </c>
      <c r="P9">
        <f>VLOOKUP(Table56[[#This Row],[Shortname]], Comp[], 15, FALSE)</f>
        <v>0</v>
      </c>
      <c r="Q9">
        <f>VLOOKUP(Table56[[#This Row],[Shortname]], Comp[], 16, FALSE)</f>
        <v>0</v>
      </c>
      <c r="R9">
        <f>VLOOKUP(Table56[[#This Row],[Shortname]], Comp[], 17, FALSE)</f>
        <v>0</v>
      </c>
      <c r="S9">
        <f>VLOOKUP(Table56[[#This Row],[Shortname]], Comp[], 18, FALSE)</f>
        <v>0</v>
      </c>
      <c r="T9">
        <f>VLOOKUP(Table56[[#This Row],[Shortname]], Comp[], 19, FALSE)</f>
        <v>0</v>
      </c>
      <c r="U9">
        <f>VLOOKUP(Table56[[#This Row],[Shortname]], Comp[], 20, FALSE)</f>
        <v>0</v>
      </c>
      <c r="V9">
        <f>VLOOKUP(Table56[[#This Row],[Shortname]], Comp[], 21, FALSE)</f>
        <v>0</v>
      </c>
      <c r="W9">
        <f>VLOOKUP(Table56[[#This Row],[Shortname]], Comp[], 22, FALSE)</f>
        <v>0</v>
      </c>
      <c r="X9">
        <f>VLOOKUP(Table56[[#This Row],[Shortname]], Comp[], 23, FALSE)</f>
        <v>0</v>
      </c>
      <c r="Y9">
        <f>VLOOKUP(Table56[[#This Row],[Shortname]], Comp[], 24, FALSE)</f>
        <v>0</v>
      </c>
      <c r="Z9">
        <f>VLOOKUP(Table56[[#This Row],[Shortname]], Comp[], 25, FALSE)</f>
        <v>0</v>
      </c>
      <c r="AA9">
        <f>VLOOKUP(Table56[[#This Row],[Shortname]], Comp[], 26, FALSE)</f>
        <v>0</v>
      </c>
      <c r="AB9">
        <f>VLOOKUP(Table56[[#This Row],[Shortname]], Comp[], 27, FALSE)</f>
        <v>0</v>
      </c>
      <c r="AC9">
        <f>VLOOKUP(Table56[[#This Row],[Shortname]], Comp[], 28, FALSE)</f>
        <v>0</v>
      </c>
      <c r="AD9">
        <f>VLOOKUP(Table56[[#This Row],[Shortname]], Comp[], 29, FALSE)</f>
        <v>0</v>
      </c>
      <c r="AE9">
        <f>VLOOKUP(Table56[[#This Row],[Shortname]], Comp[], 30, FALSE)</f>
        <v>0</v>
      </c>
      <c r="AF9">
        <f>VLOOKUP(Table56[[#This Row],[Shortname]], Comp[], 31, FALSE)</f>
        <v>0</v>
      </c>
    </row>
    <row r="10" spans="1:32" x14ac:dyDescent="0.3">
      <c r="A10" t="s">
        <v>181</v>
      </c>
      <c r="B10" t="s">
        <v>183</v>
      </c>
      <c r="C10" s="15" t="s">
        <v>6654</v>
      </c>
      <c r="D10">
        <v>1055</v>
      </c>
      <c r="E10">
        <v>1389</v>
      </c>
      <c r="F10">
        <v>1410</v>
      </c>
      <c r="G10">
        <f>VLOOKUP(Table56[[#This Row],[Shortname]], Comp[], 6, FALSE)</f>
        <v>18</v>
      </c>
      <c r="H10" s="14">
        <f>VLOOKUP(Table56[[#This Row],[Shortname]], Comp[], 7, FALSE)</f>
        <v>80.8</v>
      </c>
      <c r="I10">
        <f>VLOOKUP(Table56[[#This Row],[Shortname]], Comp[], 8, FALSE)</f>
        <v>0</v>
      </c>
      <c r="J10">
        <f>VLOOKUP(Table56[[#This Row],[Shortname]], Comp[], 9, FALSE)</f>
        <v>8.1</v>
      </c>
      <c r="K10">
        <f>VLOOKUP(Table56[[#This Row],[Shortname]], Comp[], 10, FALSE)</f>
        <v>0</v>
      </c>
      <c r="L10">
        <f>VLOOKUP(Table56[[#This Row],[Shortname]], Comp[], 11, FALSE)</f>
        <v>7.7</v>
      </c>
      <c r="M10">
        <f>VLOOKUP(Table56[[#This Row],[Shortname]], Comp[],12, FALSE)</f>
        <v>0</v>
      </c>
      <c r="N10">
        <f>VLOOKUP(Table56[[#This Row],[Shortname]], Comp[], 13, FALSE)</f>
        <v>1.6</v>
      </c>
      <c r="O10">
        <f>VLOOKUP(Table56[[#This Row],[Shortname]], Comp[], 14, FALSE)</f>
        <v>0</v>
      </c>
      <c r="P10">
        <f>VLOOKUP(Table56[[#This Row],[Shortname]], Comp[], 15, FALSE)</f>
        <v>0</v>
      </c>
      <c r="Q10">
        <f>VLOOKUP(Table56[[#This Row],[Shortname]], Comp[], 16, FALSE)</f>
        <v>0</v>
      </c>
      <c r="R10">
        <f>VLOOKUP(Table56[[#This Row],[Shortname]], Comp[], 17, FALSE)</f>
        <v>0</v>
      </c>
      <c r="S10">
        <f>VLOOKUP(Table56[[#This Row],[Shortname]], Comp[], 18, FALSE)</f>
        <v>0</v>
      </c>
      <c r="T10">
        <f>VLOOKUP(Table56[[#This Row],[Shortname]], Comp[], 19, FALSE)</f>
        <v>0</v>
      </c>
      <c r="U10">
        <f>VLOOKUP(Table56[[#This Row],[Shortname]], Comp[], 20, FALSE)</f>
        <v>0</v>
      </c>
      <c r="V10">
        <f>VLOOKUP(Table56[[#This Row],[Shortname]], Comp[], 21, FALSE)</f>
        <v>0</v>
      </c>
      <c r="W10">
        <f>VLOOKUP(Table56[[#This Row],[Shortname]], Comp[], 22, FALSE)</f>
        <v>1.8</v>
      </c>
      <c r="X10">
        <f>VLOOKUP(Table56[[#This Row],[Shortname]], Comp[], 23, FALSE)</f>
        <v>0</v>
      </c>
      <c r="Y10">
        <f>VLOOKUP(Table56[[#This Row],[Shortname]], Comp[], 24, FALSE)</f>
        <v>0</v>
      </c>
      <c r="Z10">
        <f>VLOOKUP(Table56[[#This Row],[Shortname]], Comp[], 25, FALSE)</f>
        <v>0</v>
      </c>
      <c r="AA10">
        <f>VLOOKUP(Table56[[#This Row],[Shortname]], Comp[], 26, FALSE)</f>
        <v>0</v>
      </c>
      <c r="AB10">
        <f>VLOOKUP(Table56[[#This Row],[Shortname]], Comp[], 27, FALSE)</f>
        <v>0</v>
      </c>
      <c r="AC10">
        <f>VLOOKUP(Table56[[#This Row],[Shortname]], Comp[], 28, FALSE)</f>
        <v>0</v>
      </c>
      <c r="AD10">
        <f>VLOOKUP(Table56[[#This Row],[Shortname]], Comp[], 29, FALSE)</f>
        <v>0</v>
      </c>
      <c r="AE10">
        <f>VLOOKUP(Table56[[#This Row],[Shortname]], Comp[], 30, FALSE)</f>
        <v>0</v>
      </c>
      <c r="AF10">
        <f>VLOOKUP(Table56[[#This Row],[Shortname]], Comp[], 31, FALSE)</f>
        <v>0</v>
      </c>
    </row>
    <row r="11" spans="1:32" x14ac:dyDescent="0.3">
      <c r="A11" t="s">
        <v>190</v>
      </c>
      <c r="B11" t="s">
        <v>192</v>
      </c>
      <c r="C11" s="15" t="s">
        <v>6655</v>
      </c>
      <c r="D11">
        <v>1115</v>
      </c>
      <c r="E11">
        <v>1399</v>
      </c>
      <c r="F11">
        <v>1425</v>
      </c>
      <c r="G11">
        <f>VLOOKUP(Table56[[#This Row],[Shortname]], Comp[], 6, FALSE)</f>
        <v>19</v>
      </c>
      <c r="H11" s="14">
        <f>VLOOKUP(Table56[[#This Row],[Shortname]], Comp[], 7, FALSE)</f>
        <v>80.400000000000006</v>
      </c>
      <c r="I11">
        <f>VLOOKUP(Table56[[#This Row],[Shortname]], Comp[], 8, FALSE)</f>
        <v>0</v>
      </c>
      <c r="J11">
        <f>VLOOKUP(Table56[[#This Row],[Shortname]], Comp[], 9, FALSE)</f>
        <v>8.1999999999999993</v>
      </c>
      <c r="K11">
        <f>VLOOKUP(Table56[[#This Row],[Shortname]], Comp[], 10, FALSE)</f>
        <v>0</v>
      </c>
      <c r="L11">
        <f>VLOOKUP(Table56[[#This Row],[Shortname]], Comp[], 11, FALSE)</f>
        <v>7.5</v>
      </c>
      <c r="M11">
        <f>VLOOKUP(Table56[[#This Row],[Shortname]], Comp[],12, FALSE)</f>
        <v>0</v>
      </c>
      <c r="N11">
        <f>VLOOKUP(Table56[[#This Row],[Shortname]], Comp[], 13, FALSE)</f>
        <v>1.9</v>
      </c>
      <c r="O11">
        <f>VLOOKUP(Table56[[#This Row],[Shortname]], Comp[], 14, FALSE)</f>
        <v>0</v>
      </c>
      <c r="P11">
        <f>VLOOKUP(Table56[[#This Row],[Shortname]], Comp[], 15, FALSE)</f>
        <v>2</v>
      </c>
      <c r="Q11">
        <f>VLOOKUP(Table56[[#This Row],[Shortname]], Comp[], 16, FALSE)</f>
        <v>0</v>
      </c>
      <c r="R11">
        <f>VLOOKUP(Table56[[#This Row],[Shortname]], Comp[], 17, FALSE)</f>
        <v>0</v>
      </c>
      <c r="S11">
        <f>VLOOKUP(Table56[[#This Row],[Shortname]], Comp[], 18, FALSE)</f>
        <v>0</v>
      </c>
      <c r="T11">
        <f>VLOOKUP(Table56[[#This Row],[Shortname]], Comp[], 19, FALSE)</f>
        <v>0</v>
      </c>
      <c r="U11">
        <f>VLOOKUP(Table56[[#This Row],[Shortname]], Comp[], 20, FALSE)</f>
        <v>0</v>
      </c>
      <c r="V11">
        <f>VLOOKUP(Table56[[#This Row],[Shortname]], Comp[], 21, FALSE)</f>
        <v>0</v>
      </c>
      <c r="W11">
        <f>VLOOKUP(Table56[[#This Row],[Shortname]], Comp[], 22, FALSE)</f>
        <v>0</v>
      </c>
      <c r="X11">
        <f>VLOOKUP(Table56[[#This Row],[Shortname]], Comp[], 23, FALSE)</f>
        <v>0</v>
      </c>
      <c r="Y11">
        <f>VLOOKUP(Table56[[#This Row],[Shortname]], Comp[], 24, FALSE)</f>
        <v>0</v>
      </c>
      <c r="Z11">
        <f>VLOOKUP(Table56[[#This Row],[Shortname]], Comp[], 25, FALSE)</f>
        <v>0</v>
      </c>
      <c r="AA11">
        <f>VLOOKUP(Table56[[#This Row],[Shortname]], Comp[], 26, FALSE)</f>
        <v>0</v>
      </c>
      <c r="AB11">
        <f>VLOOKUP(Table56[[#This Row],[Shortname]], Comp[], 27, FALSE)</f>
        <v>0</v>
      </c>
      <c r="AC11">
        <f>VLOOKUP(Table56[[#This Row],[Shortname]], Comp[], 28, FALSE)</f>
        <v>0</v>
      </c>
      <c r="AD11">
        <f>VLOOKUP(Table56[[#This Row],[Shortname]], Comp[], 29, FALSE)</f>
        <v>0</v>
      </c>
      <c r="AE11">
        <f>VLOOKUP(Table56[[#This Row],[Shortname]], Comp[], 30, FALSE)</f>
        <v>0</v>
      </c>
      <c r="AF11">
        <f>VLOOKUP(Table56[[#This Row],[Shortname]], Comp[], 31, FALSE)</f>
        <v>0</v>
      </c>
    </row>
    <row r="12" spans="1:32" x14ac:dyDescent="0.3">
      <c r="A12" t="s">
        <v>200</v>
      </c>
      <c r="B12" t="s">
        <v>202</v>
      </c>
      <c r="C12" s="15" t="s">
        <v>6656</v>
      </c>
      <c r="D12">
        <v>1082</v>
      </c>
      <c r="E12">
        <v>1397</v>
      </c>
      <c r="F12">
        <v>1416</v>
      </c>
      <c r="G12">
        <f>VLOOKUP(Table56[[#This Row],[Shortname]], Comp[], 6, FALSE)</f>
        <v>20</v>
      </c>
      <c r="H12" s="14">
        <f>VLOOKUP(Table56[[#This Row],[Shortname]], Comp[], 7, FALSE)</f>
        <v>78.599999999999994</v>
      </c>
      <c r="I12">
        <f>VLOOKUP(Table56[[#This Row],[Shortname]], Comp[], 8, FALSE)</f>
        <v>0</v>
      </c>
      <c r="J12">
        <f>VLOOKUP(Table56[[#This Row],[Shortname]], Comp[], 9, FALSE)</f>
        <v>8.1999999999999993</v>
      </c>
      <c r="K12">
        <f>VLOOKUP(Table56[[#This Row],[Shortname]], Comp[], 10, FALSE)</f>
        <v>0</v>
      </c>
      <c r="L12">
        <f>VLOOKUP(Table56[[#This Row],[Shortname]], Comp[], 11, FALSE)</f>
        <v>9.6</v>
      </c>
      <c r="M12">
        <f>VLOOKUP(Table56[[#This Row],[Shortname]], Comp[],12, FALSE)</f>
        <v>0</v>
      </c>
      <c r="N12">
        <f>VLOOKUP(Table56[[#This Row],[Shortname]], Comp[], 13, FALSE)</f>
        <v>1.8</v>
      </c>
      <c r="O12">
        <f>VLOOKUP(Table56[[#This Row],[Shortname]], Comp[], 14, FALSE)</f>
        <v>0</v>
      </c>
      <c r="P12">
        <f>VLOOKUP(Table56[[#This Row],[Shortname]], Comp[], 15, FALSE)</f>
        <v>0</v>
      </c>
      <c r="Q12">
        <f>VLOOKUP(Table56[[#This Row],[Shortname]], Comp[], 16, FALSE)</f>
        <v>1.8</v>
      </c>
      <c r="R12">
        <f>VLOOKUP(Table56[[#This Row],[Shortname]], Comp[], 17, FALSE)</f>
        <v>0</v>
      </c>
      <c r="S12">
        <f>VLOOKUP(Table56[[#This Row],[Shortname]], Comp[], 18, FALSE)</f>
        <v>0</v>
      </c>
      <c r="T12">
        <f>VLOOKUP(Table56[[#This Row],[Shortname]], Comp[], 19, FALSE)</f>
        <v>0</v>
      </c>
      <c r="U12">
        <f>VLOOKUP(Table56[[#This Row],[Shortname]], Comp[], 20, FALSE)</f>
        <v>0</v>
      </c>
      <c r="V12">
        <f>VLOOKUP(Table56[[#This Row],[Shortname]], Comp[], 21, FALSE)</f>
        <v>0</v>
      </c>
      <c r="W12">
        <f>VLOOKUP(Table56[[#This Row],[Shortname]], Comp[], 22, FALSE)</f>
        <v>0</v>
      </c>
      <c r="X12">
        <f>VLOOKUP(Table56[[#This Row],[Shortname]], Comp[], 23, FALSE)</f>
        <v>0</v>
      </c>
      <c r="Y12">
        <f>VLOOKUP(Table56[[#This Row],[Shortname]], Comp[], 24, FALSE)</f>
        <v>0</v>
      </c>
      <c r="Z12">
        <f>VLOOKUP(Table56[[#This Row],[Shortname]], Comp[], 25, FALSE)</f>
        <v>0</v>
      </c>
      <c r="AA12">
        <f>VLOOKUP(Table56[[#This Row],[Shortname]], Comp[], 26, FALSE)</f>
        <v>0</v>
      </c>
      <c r="AB12">
        <f>VLOOKUP(Table56[[#This Row],[Shortname]], Comp[], 27, FALSE)</f>
        <v>0</v>
      </c>
      <c r="AC12">
        <f>VLOOKUP(Table56[[#This Row],[Shortname]], Comp[], 28, FALSE)</f>
        <v>0</v>
      </c>
      <c r="AD12">
        <f>VLOOKUP(Table56[[#This Row],[Shortname]], Comp[], 29, FALSE)</f>
        <v>0</v>
      </c>
      <c r="AE12">
        <f>VLOOKUP(Table56[[#This Row],[Shortname]], Comp[], 30, FALSE)</f>
        <v>0</v>
      </c>
      <c r="AF12">
        <f>VLOOKUP(Table56[[#This Row],[Shortname]], Comp[], 31, FALSE)</f>
        <v>0</v>
      </c>
    </row>
    <row r="13" spans="1:32" x14ac:dyDescent="0.3">
      <c r="A13" t="s">
        <v>5315</v>
      </c>
      <c r="B13" t="s">
        <v>5317</v>
      </c>
      <c r="C13" s="15" t="s">
        <v>6657</v>
      </c>
      <c r="D13">
        <v>1137</v>
      </c>
      <c r="E13">
        <v>1492</v>
      </c>
      <c r="F13">
        <v>1452</v>
      </c>
      <c r="G13">
        <f>VLOOKUP(Table56[[#This Row],[Shortname]], Comp[], 6, FALSE)</f>
        <v>21000</v>
      </c>
      <c r="H13" s="14">
        <f>VLOOKUP(Table56[[#This Row],[Shortname]], Comp[], 7, FALSE)</f>
        <v>78.599999999999994</v>
      </c>
      <c r="I13">
        <f>VLOOKUP(Table56[[#This Row],[Shortname]], Comp[], 8, FALSE)</f>
        <v>0</v>
      </c>
      <c r="J13">
        <f>VLOOKUP(Table56[[#This Row],[Shortname]], Comp[], 9, FALSE)</f>
        <v>8.1</v>
      </c>
      <c r="K13">
        <f>VLOOKUP(Table56[[#This Row],[Shortname]], Comp[], 10, FALSE)</f>
        <v>0</v>
      </c>
      <c r="L13">
        <f>VLOOKUP(Table56[[#This Row],[Shortname]], Comp[], 11, FALSE)</f>
        <v>9.1</v>
      </c>
      <c r="M13">
        <f>VLOOKUP(Table56[[#This Row],[Shortname]], Comp[],12, FALSE)</f>
        <v>0</v>
      </c>
      <c r="N13">
        <f>VLOOKUP(Table56[[#This Row],[Shortname]], Comp[], 13, FALSE)</f>
        <v>1.7</v>
      </c>
      <c r="O13">
        <f>VLOOKUP(Table56[[#This Row],[Shortname]], Comp[], 14, FALSE)</f>
        <v>0</v>
      </c>
      <c r="P13">
        <f>VLOOKUP(Table56[[#This Row],[Shortname]], Comp[], 15, FALSE)</f>
        <v>0</v>
      </c>
      <c r="Q13">
        <f>VLOOKUP(Table56[[#This Row],[Shortname]], Comp[], 16, FALSE)</f>
        <v>0</v>
      </c>
      <c r="R13">
        <f>VLOOKUP(Table56[[#This Row],[Shortname]], Comp[], 17, FALSE)</f>
        <v>0</v>
      </c>
      <c r="S13">
        <f>VLOOKUP(Table56[[#This Row],[Shortname]], Comp[], 18, FALSE)</f>
        <v>0</v>
      </c>
      <c r="T13">
        <f>VLOOKUP(Table56[[#This Row],[Shortname]], Comp[], 19, FALSE)</f>
        <v>0</v>
      </c>
      <c r="U13">
        <f>VLOOKUP(Table56[[#This Row],[Shortname]], Comp[], 20, FALSE)</f>
        <v>2.5</v>
      </c>
      <c r="V13">
        <f>VLOOKUP(Table56[[#This Row],[Shortname]], Comp[], 21, FALSE)</f>
        <v>0</v>
      </c>
      <c r="W13">
        <f>VLOOKUP(Table56[[#This Row],[Shortname]], Comp[], 22, FALSE)</f>
        <v>0</v>
      </c>
      <c r="X13">
        <f>VLOOKUP(Table56[[#This Row],[Shortname]], Comp[], 23, FALSE)</f>
        <v>0</v>
      </c>
      <c r="Y13">
        <f>VLOOKUP(Table56[[#This Row],[Shortname]], Comp[], 24, FALSE)</f>
        <v>0</v>
      </c>
      <c r="Z13">
        <f>VLOOKUP(Table56[[#This Row],[Shortname]], Comp[], 25, FALSE)</f>
        <v>0</v>
      </c>
      <c r="AA13">
        <f>VLOOKUP(Table56[[#This Row],[Shortname]], Comp[], 26, FALSE)</f>
        <v>0</v>
      </c>
      <c r="AB13">
        <f>VLOOKUP(Table56[[#This Row],[Shortname]], Comp[], 27, FALSE)</f>
        <v>0</v>
      </c>
      <c r="AC13">
        <f>VLOOKUP(Table56[[#This Row],[Shortname]], Comp[], 28, FALSE)</f>
        <v>0</v>
      </c>
      <c r="AD13">
        <f>VLOOKUP(Table56[[#This Row],[Shortname]], Comp[], 29, FALSE)</f>
        <v>0</v>
      </c>
      <c r="AE13">
        <f>VLOOKUP(Table56[[#This Row],[Shortname]], Comp[], 30, FALSE)</f>
        <v>0</v>
      </c>
      <c r="AF13">
        <f>VLOOKUP(Table56[[#This Row],[Shortname]], Comp[], 31, FALSE)</f>
        <v>0</v>
      </c>
    </row>
    <row r="14" spans="1:32" x14ac:dyDescent="0.3">
      <c r="A14" t="s">
        <v>210</v>
      </c>
      <c r="B14" t="s">
        <v>212</v>
      </c>
      <c r="C14" s="15" t="s">
        <v>6658</v>
      </c>
      <c r="D14">
        <v>1077</v>
      </c>
      <c r="E14">
        <v>1403</v>
      </c>
      <c r="F14">
        <v>1428</v>
      </c>
      <c r="G14">
        <f>VLOOKUP(Table56[[#This Row],[Shortname]], Comp[], 6, FALSE)</f>
        <v>22</v>
      </c>
      <c r="H14" s="14">
        <f>VLOOKUP(Table56[[#This Row],[Shortname]], Comp[], 7, FALSE)</f>
        <v>82.8</v>
      </c>
      <c r="I14">
        <f>VLOOKUP(Table56[[#This Row],[Shortname]], Comp[], 8, FALSE)</f>
        <v>0</v>
      </c>
      <c r="J14">
        <f>VLOOKUP(Table56[[#This Row],[Shortname]], Comp[], 9, FALSE)</f>
        <v>8</v>
      </c>
      <c r="K14">
        <f>VLOOKUP(Table56[[#This Row],[Shortname]], Comp[], 10, FALSE)</f>
        <v>0</v>
      </c>
      <c r="L14">
        <f>VLOOKUP(Table56[[#This Row],[Shortname]], Comp[], 11, FALSE)</f>
        <v>5.7</v>
      </c>
      <c r="M14">
        <f>VLOOKUP(Table56[[#This Row],[Shortname]], Comp[],12, FALSE)</f>
        <v>0</v>
      </c>
      <c r="N14">
        <f>VLOOKUP(Table56[[#This Row],[Shortname]], Comp[], 13, FALSE)</f>
        <v>2</v>
      </c>
      <c r="O14">
        <f>VLOOKUP(Table56[[#This Row],[Shortname]], Comp[], 14, FALSE)</f>
        <v>0</v>
      </c>
      <c r="P14">
        <f>VLOOKUP(Table56[[#This Row],[Shortname]], Comp[], 15, FALSE)</f>
        <v>0</v>
      </c>
      <c r="Q14">
        <f>VLOOKUP(Table56[[#This Row],[Shortname]], Comp[], 16, FALSE)</f>
        <v>1.5</v>
      </c>
      <c r="R14">
        <f>VLOOKUP(Table56[[#This Row],[Shortname]], Comp[], 17, FALSE)</f>
        <v>0</v>
      </c>
      <c r="S14">
        <f>VLOOKUP(Table56[[#This Row],[Shortname]], Comp[], 18, FALSE)</f>
        <v>0</v>
      </c>
      <c r="T14">
        <f>VLOOKUP(Table56[[#This Row],[Shortname]], Comp[], 19, FALSE)</f>
        <v>0</v>
      </c>
      <c r="U14">
        <f>VLOOKUP(Table56[[#This Row],[Shortname]], Comp[], 20, FALSE)</f>
        <v>0</v>
      </c>
      <c r="V14">
        <f>VLOOKUP(Table56[[#This Row],[Shortname]], Comp[], 21, FALSE)</f>
        <v>0</v>
      </c>
      <c r="W14">
        <f>VLOOKUP(Table56[[#This Row],[Shortname]], Comp[], 22, FALSE)</f>
        <v>0</v>
      </c>
      <c r="X14">
        <f>VLOOKUP(Table56[[#This Row],[Shortname]], Comp[], 23, FALSE)</f>
        <v>0</v>
      </c>
      <c r="Y14">
        <f>VLOOKUP(Table56[[#This Row],[Shortname]], Comp[], 24, FALSE)</f>
        <v>0</v>
      </c>
      <c r="Z14">
        <f>VLOOKUP(Table56[[#This Row],[Shortname]], Comp[], 25, FALSE)</f>
        <v>0</v>
      </c>
      <c r="AA14">
        <f>VLOOKUP(Table56[[#This Row],[Shortname]], Comp[], 26, FALSE)</f>
        <v>0</v>
      </c>
      <c r="AB14">
        <f>VLOOKUP(Table56[[#This Row],[Shortname]], Comp[], 27, FALSE)</f>
        <v>0</v>
      </c>
      <c r="AC14">
        <f>VLOOKUP(Table56[[#This Row],[Shortname]], Comp[], 28, FALSE)</f>
        <v>0</v>
      </c>
      <c r="AD14">
        <f>VLOOKUP(Table56[[#This Row],[Shortname]], Comp[], 29, FALSE)</f>
        <v>0</v>
      </c>
      <c r="AE14">
        <f>VLOOKUP(Table56[[#This Row],[Shortname]], Comp[], 30, FALSE)</f>
        <v>0</v>
      </c>
      <c r="AF14">
        <f>VLOOKUP(Table56[[#This Row],[Shortname]], Comp[], 31, FALSE)</f>
        <v>0</v>
      </c>
    </row>
    <row r="15" spans="1:32" x14ac:dyDescent="0.3">
      <c r="A15" t="s">
        <v>219</v>
      </c>
      <c r="B15" t="s">
        <v>221</v>
      </c>
      <c r="C15" s="15" t="s">
        <v>6659</v>
      </c>
      <c r="D15">
        <v>1058</v>
      </c>
      <c r="E15">
        <v>1415</v>
      </c>
      <c r="F15">
        <v>1449</v>
      </c>
      <c r="G15">
        <f>VLOOKUP(Table56[[#This Row],[Shortname]], Comp[], 6, FALSE)</f>
        <v>23</v>
      </c>
      <c r="H15" s="14">
        <f>VLOOKUP(Table56[[#This Row],[Shortname]], Comp[], 7, FALSE)</f>
        <v>83.6</v>
      </c>
      <c r="I15">
        <f>VLOOKUP(Table56[[#This Row],[Shortname]], Comp[], 8, FALSE)</f>
        <v>0</v>
      </c>
      <c r="J15">
        <f>VLOOKUP(Table56[[#This Row],[Shortname]], Comp[], 9, FALSE)</f>
        <v>8.6999999999999993</v>
      </c>
      <c r="K15">
        <f>VLOOKUP(Table56[[#This Row],[Shortname]], Comp[], 10, FALSE)</f>
        <v>0</v>
      </c>
      <c r="L15">
        <f>VLOOKUP(Table56[[#This Row],[Shortname]], Comp[], 11, FALSE)</f>
        <v>5.5</v>
      </c>
      <c r="M15">
        <f>VLOOKUP(Table56[[#This Row],[Shortname]], Comp[],12, FALSE)</f>
        <v>0</v>
      </c>
      <c r="N15">
        <f>VLOOKUP(Table56[[#This Row],[Shortname]], Comp[], 13, FALSE)</f>
        <v>1.3</v>
      </c>
      <c r="O15">
        <f>VLOOKUP(Table56[[#This Row],[Shortname]], Comp[], 14, FALSE)</f>
        <v>0</v>
      </c>
      <c r="P15">
        <f>VLOOKUP(Table56[[#This Row],[Shortname]], Comp[], 15, FALSE)</f>
        <v>0</v>
      </c>
      <c r="Q15">
        <f>VLOOKUP(Table56[[#This Row],[Shortname]], Comp[], 16, FALSE)</f>
        <v>0</v>
      </c>
      <c r="R15">
        <f>VLOOKUP(Table56[[#This Row],[Shortname]], Comp[], 17, FALSE)</f>
        <v>0</v>
      </c>
      <c r="S15">
        <f>VLOOKUP(Table56[[#This Row],[Shortname]], Comp[], 18, FALSE)</f>
        <v>0</v>
      </c>
      <c r="T15">
        <f>VLOOKUP(Table56[[#This Row],[Shortname]], Comp[], 19, FALSE)</f>
        <v>0</v>
      </c>
      <c r="U15">
        <f>VLOOKUP(Table56[[#This Row],[Shortname]], Comp[], 20, FALSE)</f>
        <v>0.9</v>
      </c>
      <c r="V15">
        <f>VLOOKUP(Table56[[#This Row],[Shortname]], Comp[], 21, FALSE)</f>
        <v>0</v>
      </c>
      <c r="W15">
        <f>VLOOKUP(Table56[[#This Row],[Shortname]], Comp[], 22, FALSE)</f>
        <v>0</v>
      </c>
      <c r="X15">
        <f>VLOOKUP(Table56[[#This Row],[Shortname]], Comp[], 23, FALSE)</f>
        <v>0</v>
      </c>
      <c r="Y15">
        <f>VLOOKUP(Table56[[#This Row],[Shortname]], Comp[], 24, FALSE)</f>
        <v>0</v>
      </c>
      <c r="Z15">
        <f>VLOOKUP(Table56[[#This Row],[Shortname]], Comp[], 25, FALSE)</f>
        <v>0</v>
      </c>
      <c r="AA15">
        <f>VLOOKUP(Table56[[#This Row],[Shortname]], Comp[], 26, FALSE)</f>
        <v>0</v>
      </c>
      <c r="AB15">
        <f>VLOOKUP(Table56[[#This Row],[Shortname]], Comp[], 27, FALSE)</f>
        <v>0</v>
      </c>
      <c r="AC15">
        <f>VLOOKUP(Table56[[#This Row],[Shortname]], Comp[], 28, FALSE)</f>
        <v>0</v>
      </c>
      <c r="AD15">
        <f>VLOOKUP(Table56[[#This Row],[Shortname]], Comp[], 29, FALSE)</f>
        <v>0</v>
      </c>
      <c r="AE15">
        <f>VLOOKUP(Table56[[#This Row],[Shortname]], Comp[], 30, FALSE)</f>
        <v>0</v>
      </c>
      <c r="AF15">
        <f>VLOOKUP(Table56[[#This Row],[Shortname]], Comp[], 31, FALSE)</f>
        <v>0</v>
      </c>
    </row>
    <row r="16" spans="1:32" x14ac:dyDescent="0.3">
      <c r="A16" t="s">
        <v>230</v>
      </c>
      <c r="B16" t="s">
        <v>232</v>
      </c>
      <c r="C16" s="1" t="s">
        <v>6660</v>
      </c>
      <c r="D16">
        <v>977</v>
      </c>
      <c r="E16">
        <v>1425</v>
      </c>
      <c r="F16">
        <v>1454</v>
      </c>
      <c r="G16">
        <f>VLOOKUP(Table56[[#This Row],[Shortname]], Comp[], 6, FALSE)</f>
        <v>24</v>
      </c>
      <c r="H16" s="14">
        <f>VLOOKUP(Table56[[#This Row],[Shortname]], Comp[], 7, FALSE)</f>
        <v>77.8</v>
      </c>
      <c r="I16">
        <f>VLOOKUP(Table56[[#This Row],[Shortname]], Comp[], 8, FALSE)</f>
        <v>0</v>
      </c>
      <c r="J16">
        <f>VLOOKUP(Table56[[#This Row],[Shortname]], Comp[], 9, FALSE)</f>
        <v>8.6</v>
      </c>
      <c r="K16">
        <f>VLOOKUP(Table56[[#This Row],[Shortname]], Comp[], 10, FALSE)</f>
        <v>4.0999999999999996</v>
      </c>
      <c r="L16">
        <f>VLOOKUP(Table56[[#This Row],[Shortname]], Comp[], 11, FALSE)</f>
        <v>9.5</v>
      </c>
      <c r="M16">
        <f>VLOOKUP(Table56[[#This Row],[Shortname]], Comp[],12, FALSE)</f>
        <v>0</v>
      </c>
      <c r="N16">
        <f>VLOOKUP(Table56[[#This Row],[Shortname]], Comp[], 13, FALSE)</f>
        <v>0</v>
      </c>
      <c r="O16">
        <f>VLOOKUP(Table56[[#This Row],[Shortname]], Comp[], 14, FALSE)</f>
        <v>0</v>
      </c>
      <c r="P16">
        <f>VLOOKUP(Table56[[#This Row],[Shortname]], Comp[], 15, FALSE)</f>
        <v>0</v>
      </c>
      <c r="Q16">
        <f>VLOOKUP(Table56[[#This Row],[Shortname]], Comp[], 16, FALSE)</f>
        <v>0</v>
      </c>
      <c r="R16">
        <f>VLOOKUP(Table56[[#This Row],[Shortname]], Comp[], 17, FALSE)</f>
        <v>0</v>
      </c>
      <c r="S16">
        <f>VLOOKUP(Table56[[#This Row],[Shortname]], Comp[], 18, FALSE)</f>
        <v>0</v>
      </c>
      <c r="T16">
        <f>VLOOKUP(Table56[[#This Row],[Shortname]], Comp[], 19, FALSE)</f>
        <v>0</v>
      </c>
      <c r="U16">
        <f>VLOOKUP(Table56[[#This Row],[Shortname]], Comp[], 20, FALSE)</f>
        <v>0</v>
      </c>
      <c r="V16">
        <f>VLOOKUP(Table56[[#This Row],[Shortname]], Comp[], 21, FALSE)</f>
        <v>0</v>
      </c>
      <c r="W16">
        <f>VLOOKUP(Table56[[#This Row],[Shortname]], Comp[], 22, FALSE)</f>
        <v>0</v>
      </c>
      <c r="X16">
        <f>VLOOKUP(Table56[[#This Row],[Shortname]], Comp[], 23, FALSE)</f>
        <v>0</v>
      </c>
      <c r="Y16">
        <f>VLOOKUP(Table56[[#This Row],[Shortname]], Comp[], 24, FALSE)</f>
        <v>0</v>
      </c>
      <c r="Z16">
        <f>VLOOKUP(Table56[[#This Row],[Shortname]], Comp[], 25, FALSE)</f>
        <v>0</v>
      </c>
      <c r="AA16">
        <f>VLOOKUP(Table56[[#This Row],[Shortname]], Comp[], 26, FALSE)</f>
        <v>0</v>
      </c>
      <c r="AB16">
        <f>VLOOKUP(Table56[[#This Row],[Shortname]], Comp[], 27, FALSE)</f>
        <v>0</v>
      </c>
      <c r="AC16">
        <f>VLOOKUP(Table56[[#This Row],[Shortname]], Comp[], 28, FALSE)</f>
        <v>0</v>
      </c>
      <c r="AD16">
        <f>VLOOKUP(Table56[[#This Row],[Shortname]], Comp[], 29, FALSE)</f>
        <v>0</v>
      </c>
      <c r="AE16">
        <f>VLOOKUP(Table56[[#This Row],[Shortname]], Comp[], 30, FALSE)</f>
        <v>0</v>
      </c>
      <c r="AF16">
        <f>VLOOKUP(Table56[[#This Row],[Shortname]], Comp[], 31, FALSE)</f>
        <v>0</v>
      </c>
    </row>
    <row r="17" spans="1:32" x14ac:dyDescent="0.3">
      <c r="A17" t="s">
        <v>240</v>
      </c>
      <c r="B17" t="s">
        <v>242</v>
      </c>
      <c r="C17" s="1" t="s">
        <v>6589</v>
      </c>
      <c r="D17">
        <v>947</v>
      </c>
      <c r="E17">
        <v>1412</v>
      </c>
      <c r="F17">
        <v>1440</v>
      </c>
      <c r="G17">
        <f>VLOOKUP(Table56[[#This Row],[Shortname]], Comp[], 6, FALSE)</f>
        <v>25</v>
      </c>
      <c r="H17" s="14">
        <f>VLOOKUP(Table56[[#This Row],[Shortname]], Comp[], 7, FALSE)</f>
        <v>73.5</v>
      </c>
      <c r="I17">
        <f>VLOOKUP(Table56[[#This Row],[Shortname]], Comp[], 8, FALSE)</f>
        <v>0</v>
      </c>
      <c r="J17">
        <f>VLOOKUP(Table56[[#This Row],[Shortname]], Comp[], 9, FALSE)</f>
        <v>8.6999999999999993</v>
      </c>
      <c r="K17">
        <f>VLOOKUP(Table56[[#This Row],[Shortname]], Comp[], 10, FALSE)</f>
        <v>8.1999999999999993</v>
      </c>
      <c r="L17">
        <f>VLOOKUP(Table56[[#This Row],[Shortname]], Comp[], 11, FALSE)</f>
        <v>9.6</v>
      </c>
      <c r="M17">
        <f>VLOOKUP(Table56[[#This Row],[Shortname]], Comp[],12, FALSE)</f>
        <v>0</v>
      </c>
      <c r="N17">
        <f>VLOOKUP(Table56[[#This Row],[Shortname]], Comp[], 13, FALSE)</f>
        <v>0</v>
      </c>
      <c r="O17">
        <f>VLOOKUP(Table56[[#This Row],[Shortname]], Comp[], 14, FALSE)</f>
        <v>0</v>
      </c>
      <c r="P17">
        <f>VLOOKUP(Table56[[#This Row],[Shortname]], Comp[], 15, FALSE)</f>
        <v>0</v>
      </c>
      <c r="Q17">
        <f>VLOOKUP(Table56[[#This Row],[Shortname]], Comp[], 16, FALSE)</f>
        <v>0</v>
      </c>
      <c r="R17">
        <f>VLOOKUP(Table56[[#This Row],[Shortname]], Comp[], 17, FALSE)</f>
        <v>0</v>
      </c>
      <c r="S17">
        <f>VLOOKUP(Table56[[#This Row],[Shortname]], Comp[], 18, FALSE)</f>
        <v>0</v>
      </c>
      <c r="T17">
        <f>VLOOKUP(Table56[[#This Row],[Shortname]], Comp[], 19, FALSE)</f>
        <v>0</v>
      </c>
      <c r="U17">
        <f>VLOOKUP(Table56[[#This Row],[Shortname]], Comp[], 20, FALSE)</f>
        <v>0</v>
      </c>
      <c r="V17">
        <f>VLOOKUP(Table56[[#This Row],[Shortname]], Comp[], 21, FALSE)</f>
        <v>0</v>
      </c>
      <c r="W17">
        <f>VLOOKUP(Table56[[#This Row],[Shortname]], Comp[], 22, FALSE)</f>
        <v>0</v>
      </c>
      <c r="X17">
        <f>VLOOKUP(Table56[[#This Row],[Shortname]], Comp[], 23, FALSE)</f>
        <v>0</v>
      </c>
      <c r="Y17">
        <f>VLOOKUP(Table56[[#This Row],[Shortname]], Comp[], 24, FALSE)</f>
        <v>0</v>
      </c>
      <c r="Z17">
        <f>VLOOKUP(Table56[[#This Row],[Shortname]], Comp[], 25, FALSE)</f>
        <v>0</v>
      </c>
      <c r="AA17">
        <f>VLOOKUP(Table56[[#This Row],[Shortname]], Comp[], 26, FALSE)</f>
        <v>0</v>
      </c>
      <c r="AB17">
        <f>VLOOKUP(Table56[[#This Row],[Shortname]], Comp[], 27, FALSE)</f>
        <v>0</v>
      </c>
      <c r="AC17">
        <f>VLOOKUP(Table56[[#This Row],[Shortname]], Comp[], 28, FALSE)</f>
        <v>0</v>
      </c>
      <c r="AD17">
        <f>VLOOKUP(Table56[[#This Row],[Shortname]], Comp[], 29, FALSE)</f>
        <v>0</v>
      </c>
      <c r="AE17">
        <f>VLOOKUP(Table56[[#This Row],[Shortname]], Comp[], 30, FALSE)</f>
        <v>0</v>
      </c>
      <c r="AF17">
        <f>VLOOKUP(Table56[[#This Row],[Shortname]], Comp[], 31, FALSE)</f>
        <v>0</v>
      </c>
    </row>
    <row r="18" spans="1:32" x14ac:dyDescent="0.3">
      <c r="A18" t="s">
        <v>248</v>
      </c>
      <c r="B18" t="s">
        <v>250</v>
      </c>
      <c r="C18" s="1" t="s">
        <v>6661</v>
      </c>
      <c r="D18">
        <v>860</v>
      </c>
      <c r="E18">
        <v>1372</v>
      </c>
      <c r="F18">
        <v>1409</v>
      </c>
      <c r="G18">
        <f>VLOOKUP(Table56[[#This Row],[Shortname]], Comp[], 6, FALSE)</f>
        <v>26</v>
      </c>
      <c r="H18" s="14">
        <f>VLOOKUP(Table56[[#This Row],[Shortname]], Comp[], 7, FALSE)</f>
        <v>66.099999999999994</v>
      </c>
      <c r="I18">
        <f>VLOOKUP(Table56[[#This Row],[Shortname]], Comp[], 8, FALSE)</f>
        <v>0</v>
      </c>
      <c r="J18">
        <f>VLOOKUP(Table56[[#This Row],[Shortname]], Comp[], 9, FALSE)</f>
        <v>8.4</v>
      </c>
      <c r="K18">
        <f>VLOOKUP(Table56[[#This Row],[Shortname]], Comp[], 10, FALSE)</f>
        <v>16.5</v>
      </c>
      <c r="L18">
        <f>VLOOKUP(Table56[[#This Row],[Shortname]], Comp[], 11, FALSE)</f>
        <v>9</v>
      </c>
      <c r="M18">
        <f>VLOOKUP(Table56[[#This Row],[Shortname]], Comp[],12, FALSE)</f>
        <v>0</v>
      </c>
      <c r="N18">
        <f>VLOOKUP(Table56[[#This Row],[Shortname]], Comp[], 13, FALSE)</f>
        <v>0</v>
      </c>
      <c r="O18">
        <f>VLOOKUP(Table56[[#This Row],[Shortname]], Comp[], 14, FALSE)</f>
        <v>0</v>
      </c>
      <c r="P18">
        <f>VLOOKUP(Table56[[#This Row],[Shortname]], Comp[], 15, FALSE)</f>
        <v>0</v>
      </c>
      <c r="Q18">
        <f>VLOOKUP(Table56[[#This Row],[Shortname]], Comp[], 16, FALSE)</f>
        <v>0</v>
      </c>
      <c r="R18">
        <f>VLOOKUP(Table56[[#This Row],[Shortname]], Comp[], 17, FALSE)</f>
        <v>0</v>
      </c>
      <c r="S18">
        <f>VLOOKUP(Table56[[#This Row],[Shortname]], Comp[], 18, FALSE)</f>
        <v>0</v>
      </c>
      <c r="T18">
        <f>VLOOKUP(Table56[[#This Row],[Shortname]], Comp[], 19, FALSE)</f>
        <v>0</v>
      </c>
      <c r="U18">
        <f>VLOOKUP(Table56[[#This Row],[Shortname]], Comp[], 20, FALSE)</f>
        <v>0</v>
      </c>
      <c r="V18">
        <f>VLOOKUP(Table56[[#This Row],[Shortname]], Comp[], 21, FALSE)</f>
        <v>0</v>
      </c>
      <c r="W18">
        <f>VLOOKUP(Table56[[#This Row],[Shortname]], Comp[], 22, FALSE)</f>
        <v>0</v>
      </c>
      <c r="X18">
        <f>VLOOKUP(Table56[[#This Row],[Shortname]], Comp[], 23, FALSE)</f>
        <v>0</v>
      </c>
      <c r="Y18">
        <f>VLOOKUP(Table56[[#This Row],[Shortname]], Comp[], 24, FALSE)</f>
        <v>0</v>
      </c>
      <c r="Z18">
        <f>VLOOKUP(Table56[[#This Row],[Shortname]], Comp[], 25, FALSE)</f>
        <v>0</v>
      </c>
      <c r="AA18">
        <f>VLOOKUP(Table56[[#This Row],[Shortname]], Comp[], 26, FALSE)</f>
        <v>0</v>
      </c>
      <c r="AB18">
        <f>VLOOKUP(Table56[[#This Row],[Shortname]], Comp[], 27, FALSE)</f>
        <v>0</v>
      </c>
      <c r="AC18">
        <f>VLOOKUP(Table56[[#This Row],[Shortname]], Comp[], 28, FALSE)</f>
        <v>0</v>
      </c>
      <c r="AD18">
        <f>VLOOKUP(Table56[[#This Row],[Shortname]], Comp[], 29, FALSE)</f>
        <v>0</v>
      </c>
      <c r="AE18">
        <f>VLOOKUP(Table56[[#This Row],[Shortname]], Comp[], 30, FALSE)</f>
        <v>0</v>
      </c>
      <c r="AF18">
        <f>VLOOKUP(Table56[[#This Row],[Shortname]], Comp[], 31, FALSE)</f>
        <v>0</v>
      </c>
    </row>
    <row r="19" spans="1:32" x14ac:dyDescent="0.3">
      <c r="A19" t="s">
        <v>274</v>
      </c>
      <c r="B19" t="s">
        <v>276</v>
      </c>
      <c r="C19" s="1" t="s">
        <v>6662</v>
      </c>
      <c r="D19">
        <v>958</v>
      </c>
      <c r="E19">
        <v>1418</v>
      </c>
      <c r="F19">
        <v>1439</v>
      </c>
      <c r="G19">
        <f>VLOOKUP(Table56[[#This Row],[Shortname]], Comp[], 6, FALSE)</f>
        <v>29</v>
      </c>
      <c r="H19" s="14">
        <f>VLOOKUP(Table56[[#This Row],[Shortname]], Comp[], 7, FALSE)</f>
        <v>63.870000000000005</v>
      </c>
      <c r="I19">
        <f>VLOOKUP(Table56[[#This Row],[Shortname]], Comp[], 8, FALSE)</f>
        <v>9.1999999999999993</v>
      </c>
      <c r="J19">
        <f>VLOOKUP(Table56[[#This Row],[Shortname]], Comp[], 9, FALSE)</f>
        <v>9.1</v>
      </c>
      <c r="K19">
        <f>VLOOKUP(Table56[[#This Row],[Shortname]], Comp[], 10, FALSE)</f>
        <v>8.1999999999999993</v>
      </c>
      <c r="L19">
        <f>VLOOKUP(Table56[[#This Row],[Shortname]], Comp[], 11, FALSE)</f>
        <v>9.6300000000000008</v>
      </c>
      <c r="M19">
        <f>VLOOKUP(Table56[[#This Row],[Shortname]], Comp[],12, FALSE)</f>
        <v>0</v>
      </c>
      <c r="N19">
        <f>VLOOKUP(Table56[[#This Row],[Shortname]], Comp[], 13, FALSE)</f>
        <v>0</v>
      </c>
      <c r="O19">
        <f>VLOOKUP(Table56[[#This Row],[Shortname]], Comp[], 14, FALSE)</f>
        <v>0</v>
      </c>
      <c r="P19">
        <f>VLOOKUP(Table56[[#This Row],[Shortname]], Comp[], 15, FALSE)</f>
        <v>0</v>
      </c>
      <c r="Q19">
        <f>VLOOKUP(Table56[[#This Row],[Shortname]], Comp[], 16, FALSE)</f>
        <v>0</v>
      </c>
      <c r="R19">
        <f>VLOOKUP(Table56[[#This Row],[Shortname]], Comp[], 17, FALSE)</f>
        <v>0</v>
      </c>
      <c r="S19">
        <f>VLOOKUP(Table56[[#This Row],[Shortname]], Comp[], 18, FALSE)</f>
        <v>0</v>
      </c>
      <c r="T19">
        <f>VLOOKUP(Table56[[#This Row],[Shortname]], Comp[], 19, FALSE)</f>
        <v>0</v>
      </c>
      <c r="U19">
        <f>VLOOKUP(Table56[[#This Row],[Shortname]], Comp[], 20, FALSE)</f>
        <v>0</v>
      </c>
      <c r="V19">
        <f>VLOOKUP(Table56[[#This Row],[Shortname]], Comp[], 21, FALSE)</f>
        <v>0</v>
      </c>
      <c r="W19">
        <f>VLOOKUP(Table56[[#This Row],[Shortname]], Comp[], 22, FALSE)</f>
        <v>0</v>
      </c>
      <c r="X19">
        <f>VLOOKUP(Table56[[#This Row],[Shortname]], Comp[], 23, FALSE)</f>
        <v>0</v>
      </c>
      <c r="Y19">
        <f>VLOOKUP(Table56[[#This Row],[Shortname]], Comp[], 24, FALSE)</f>
        <v>0</v>
      </c>
      <c r="Z19">
        <f>VLOOKUP(Table56[[#This Row],[Shortname]], Comp[], 25, FALSE)</f>
        <v>0</v>
      </c>
      <c r="AA19">
        <f>VLOOKUP(Table56[[#This Row],[Shortname]], Comp[], 26, FALSE)</f>
        <v>0</v>
      </c>
      <c r="AB19">
        <f>VLOOKUP(Table56[[#This Row],[Shortname]], Comp[], 27, FALSE)</f>
        <v>0</v>
      </c>
      <c r="AC19">
        <f>VLOOKUP(Table56[[#This Row],[Shortname]], Comp[], 28, FALSE)</f>
        <v>0</v>
      </c>
      <c r="AD19">
        <f>VLOOKUP(Table56[[#This Row],[Shortname]], Comp[], 29, FALSE)</f>
        <v>0</v>
      </c>
      <c r="AE19">
        <f>VLOOKUP(Table56[[#This Row],[Shortname]], Comp[], 30, FALSE)</f>
        <v>0</v>
      </c>
      <c r="AF19">
        <f>VLOOKUP(Table56[[#This Row],[Shortname]], Comp[], 31, FALSE)</f>
        <v>0</v>
      </c>
    </row>
    <row r="20" spans="1:32" x14ac:dyDescent="0.3">
      <c r="A20" t="s">
        <v>283</v>
      </c>
      <c r="B20" t="s">
        <v>285</v>
      </c>
      <c r="C20" s="1" t="s">
        <v>6663</v>
      </c>
      <c r="D20">
        <v>978</v>
      </c>
      <c r="E20">
        <v>1420</v>
      </c>
      <c r="F20">
        <v>1441</v>
      </c>
      <c r="G20">
        <f>VLOOKUP(Table56[[#This Row],[Shortname]], Comp[], 6, FALSE)</f>
        <v>30</v>
      </c>
      <c r="H20" s="14">
        <f>VLOOKUP(Table56[[#This Row],[Shortname]], Comp[], 7, FALSE)</f>
        <v>56.5</v>
      </c>
      <c r="I20">
        <f>VLOOKUP(Table56[[#This Row],[Shortname]], Comp[], 8, FALSE)</f>
        <v>18</v>
      </c>
      <c r="J20">
        <f>VLOOKUP(Table56[[#This Row],[Shortname]], Comp[], 9, FALSE)</f>
        <v>8.6</v>
      </c>
      <c r="K20">
        <f>VLOOKUP(Table56[[#This Row],[Shortname]], Comp[], 10, FALSE)</f>
        <v>8.1</v>
      </c>
      <c r="L20">
        <f>VLOOKUP(Table56[[#This Row],[Shortname]], Comp[], 11, FALSE)</f>
        <v>8.8000000000000007</v>
      </c>
      <c r="M20">
        <f>VLOOKUP(Table56[[#This Row],[Shortname]], Comp[],12, FALSE)</f>
        <v>0</v>
      </c>
      <c r="N20">
        <f>VLOOKUP(Table56[[#This Row],[Shortname]], Comp[], 13, FALSE)</f>
        <v>0</v>
      </c>
      <c r="O20">
        <f>VLOOKUP(Table56[[#This Row],[Shortname]], Comp[], 14, FALSE)</f>
        <v>0</v>
      </c>
      <c r="P20">
        <f>VLOOKUP(Table56[[#This Row],[Shortname]], Comp[], 15, FALSE)</f>
        <v>0</v>
      </c>
      <c r="Q20">
        <f>VLOOKUP(Table56[[#This Row],[Shortname]], Comp[], 16, FALSE)</f>
        <v>0</v>
      </c>
      <c r="R20">
        <f>VLOOKUP(Table56[[#This Row],[Shortname]], Comp[], 17, FALSE)</f>
        <v>0</v>
      </c>
      <c r="S20">
        <f>VLOOKUP(Table56[[#This Row],[Shortname]], Comp[], 18, FALSE)</f>
        <v>0</v>
      </c>
      <c r="T20">
        <f>VLOOKUP(Table56[[#This Row],[Shortname]], Comp[], 19, FALSE)</f>
        <v>0</v>
      </c>
      <c r="U20">
        <f>VLOOKUP(Table56[[#This Row],[Shortname]], Comp[], 20, FALSE)</f>
        <v>0</v>
      </c>
      <c r="V20">
        <f>VLOOKUP(Table56[[#This Row],[Shortname]], Comp[], 21, FALSE)</f>
        <v>0</v>
      </c>
      <c r="W20">
        <f>VLOOKUP(Table56[[#This Row],[Shortname]], Comp[], 22, FALSE)</f>
        <v>0</v>
      </c>
      <c r="X20">
        <f>VLOOKUP(Table56[[#This Row],[Shortname]], Comp[], 23, FALSE)</f>
        <v>0</v>
      </c>
      <c r="Y20">
        <f>VLOOKUP(Table56[[#This Row],[Shortname]], Comp[], 24, FALSE)</f>
        <v>0</v>
      </c>
      <c r="Z20">
        <f>VLOOKUP(Table56[[#This Row],[Shortname]], Comp[], 25, FALSE)</f>
        <v>0</v>
      </c>
      <c r="AA20">
        <f>VLOOKUP(Table56[[#This Row],[Shortname]], Comp[], 26, FALSE)</f>
        <v>0</v>
      </c>
      <c r="AB20">
        <f>VLOOKUP(Table56[[#This Row],[Shortname]], Comp[], 27, FALSE)</f>
        <v>0</v>
      </c>
      <c r="AC20">
        <f>VLOOKUP(Table56[[#This Row],[Shortname]], Comp[], 28, FALSE)</f>
        <v>0</v>
      </c>
      <c r="AD20">
        <f>VLOOKUP(Table56[[#This Row],[Shortname]], Comp[], 29, FALSE)</f>
        <v>0</v>
      </c>
      <c r="AE20">
        <f>VLOOKUP(Table56[[#This Row],[Shortname]], Comp[], 30, FALSE)</f>
        <v>0</v>
      </c>
      <c r="AF20">
        <f>VLOOKUP(Table56[[#This Row],[Shortname]], Comp[], 31, FALSE)</f>
        <v>0</v>
      </c>
    </row>
    <row r="21" spans="1:32" x14ac:dyDescent="0.3">
      <c r="A21" t="s">
        <v>5315</v>
      </c>
      <c r="B21" t="s">
        <v>5323</v>
      </c>
      <c r="C21" s="1" t="s">
        <v>6664</v>
      </c>
      <c r="D21">
        <v>1137</v>
      </c>
      <c r="E21">
        <v>1426</v>
      </c>
      <c r="F21">
        <v>1454</v>
      </c>
      <c r="G21">
        <f>VLOOKUP(Table56[[#This Row],[Shortname]], Comp[], 6, FALSE)</f>
        <v>21000</v>
      </c>
      <c r="H21" s="14">
        <f>VLOOKUP(Table56[[#This Row],[Shortname]], Comp[], 7, FALSE)</f>
        <v>78.599999999999994</v>
      </c>
      <c r="I21">
        <f>VLOOKUP(Table56[[#This Row],[Shortname]], Comp[], 8, FALSE)</f>
        <v>0</v>
      </c>
      <c r="J21">
        <f>VLOOKUP(Table56[[#This Row],[Shortname]], Comp[], 9, FALSE)</f>
        <v>8.1</v>
      </c>
      <c r="K21">
        <f>VLOOKUP(Table56[[#This Row],[Shortname]], Comp[], 10, FALSE)</f>
        <v>0</v>
      </c>
      <c r="L21">
        <f>VLOOKUP(Table56[[#This Row],[Shortname]], Comp[], 11, FALSE)</f>
        <v>9.1</v>
      </c>
      <c r="M21">
        <f>VLOOKUP(Table56[[#This Row],[Shortname]], Comp[],12, FALSE)</f>
        <v>0</v>
      </c>
      <c r="N21">
        <f>VLOOKUP(Table56[[#This Row],[Shortname]], Comp[], 13, FALSE)</f>
        <v>1.7</v>
      </c>
      <c r="O21">
        <f>VLOOKUP(Table56[[#This Row],[Shortname]], Comp[], 14, FALSE)</f>
        <v>0</v>
      </c>
      <c r="P21">
        <f>VLOOKUP(Table56[[#This Row],[Shortname]], Comp[], 15, FALSE)</f>
        <v>0</v>
      </c>
      <c r="Q21">
        <f>VLOOKUP(Table56[[#This Row],[Shortname]], Comp[], 16, FALSE)</f>
        <v>0</v>
      </c>
      <c r="R21">
        <f>VLOOKUP(Table56[[#This Row],[Shortname]], Comp[], 17, FALSE)</f>
        <v>0</v>
      </c>
      <c r="S21">
        <f>VLOOKUP(Table56[[#This Row],[Shortname]], Comp[], 18, FALSE)</f>
        <v>0</v>
      </c>
      <c r="T21">
        <f>VLOOKUP(Table56[[#This Row],[Shortname]], Comp[], 19, FALSE)</f>
        <v>0</v>
      </c>
      <c r="U21">
        <f>VLOOKUP(Table56[[#This Row],[Shortname]], Comp[], 20, FALSE)</f>
        <v>2.5</v>
      </c>
      <c r="V21">
        <f>VLOOKUP(Table56[[#This Row],[Shortname]], Comp[], 21, FALSE)</f>
        <v>0</v>
      </c>
      <c r="W21">
        <f>VLOOKUP(Table56[[#This Row],[Shortname]], Comp[], 22, FALSE)</f>
        <v>0</v>
      </c>
      <c r="X21">
        <f>VLOOKUP(Table56[[#This Row],[Shortname]], Comp[], 23, FALSE)</f>
        <v>0</v>
      </c>
      <c r="Y21">
        <f>VLOOKUP(Table56[[#This Row],[Shortname]], Comp[], 24, FALSE)</f>
        <v>0</v>
      </c>
      <c r="Z21">
        <f>VLOOKUP(Table56[[#This Row],[Shortname]], Comp[], 25, FALSE)</f>
        <v>0</v>
      </c>
      <c r="AA21">
        <f>VLOOKUP(Table56[[#This Row],[Shortname]], Comp[], 26, FALSE)</f>
        <v>0</v>
      </c>
      <c r="AB21">
        <f>VLOOKUP(Table56[[#This Row],[Shortname]], Comp[], 27, FALSE)</f>
        <v>0</v>
      </c>
      <c r="AC21">
        <f>VLOOKUP(Table56[[#This Row],[Shortname]], Comp[], 28, FALSE)</f>
        <v>0</v>
      </c>
      <c r="AD21">
        <f>VLOOKUP(Table56[[#This Row],[Shortname]], Comp[], 29, FALSE)</f>
        <v>0</v>
      </c>
      <c r="AE21">
        <f>VLOOKUP(Table56[[#This Row],[Shortname]], Comp[], 30, FALSE)</f>
        <v>0</v>
      </c>
      <c r="AF21">
        <f>VLOOKUP(Table56[[#This Row],[Shortname]], Comp[], 31, FALSE)</f>
        <v>0</v>
      </c>
    </row>
    <row r="22" spans="1:32" x14ac:dyDescent="0.3">
      <c r="A22" t="s">
        <v>219</v>
      </c>
      <c r="B22" t="s">
        <v>5326</v>
      </c>
      <c r="C22" s="1" t="s">
        <v>6665</v>
      </c>
      <c r="D22">
        <v>1060</v>
      </c>
      <c r="E22">
        <v>1418</v>
      </c>
      <c r="F22">
        <v>1452</v>
      </c>
      <c r="G22">
        <f>VLOOKUP(Table56[[#This Row],[Shortname]], Comp[], 6, FALSE)</f>
        <v>23</v>
      </c>
      <c r="H22" s="14">
        <f>VLOOKUP(Table56[[#This Row],[Shortname]], Comp[], 7, FALSE)</f>
        <v>83.6</v>
      </c>
      <c r="I22">
        <f>VLOOKUP(Table56[[#This Row],[Shortname]], Comp[], 8, FALSE)</f>
        <v>0</v>
      </c>
      <c r="J22">
        <f>VLOOKUP(Table56[[#This Row],[Shortname]], Comp[], 9, FALSE)</f>
        <v>8.6999999999999993</v>
      </c>
      <c r="K22">
        <f>VLOOKUP(Table56[[#This Row],[Shortname]], Comp[], 10, FALSE)</f>
        <v>0</v>
      </c>
      <c r="L22">
        <f>VLOOKUP(Table56[[#This Row],[Shortname]], Comp[], 11, FALSE)</f>
        <v>5.5</v>
      </c>
      <c r="M22">
        <f>VLOOKUP(Table56[[#This Row],[Shortname]], Comp[],12, FALSE)</f>
        <v>0</v>
      </c>
      <c r="N22">
        <f>VLOOKUP(Table56[[#This Row],[Shortname]], Comp[], 13, FALSE)</f>
        <v>1.3</v>
      </c>
      <c r="O22">
        <f>VLOOKUP(Table56[[#This Row],[Shortname]], Comp[], 14, FALSE)</f>
        <v>0</v>
      </c>
      <c r="P22">
        <f>VLOOKUP(Table56[[#This Row],[Shortname]], Comp[], 15, FALSE)</f>
        <v>0</v>
      </c>
      <c r="Q22">
        <f>VLOOKUP(Table56[[#This Row],[Shortname]], Comp[], 16, FALSE)</f>
        <v>0</v>
      </c>
      <c r="R22">
        <f>VLOOKUP(Table56[[#This Row],[Shortname]], Comp[], 17, FALSE)</f>
        <v>0</v>
      </c>
      <c r="S22">
        <f>VLOOKUP(Table56[[#This Row],[Shortname]], Comp[], 18, FALSE)</f>
        <v>0</v>
      </c>
      <c r="T22">
        <f>VLOOKUP(Table56[[#This Row],[Shortname]], Comp[], 19, FALSE)</f>
        <v>0</v>
      </c>
      <c r="U22">
        <f>VLOOKUP(Table56[[#This Row],[Shortname]], Comp[], 20, FALSE)</f>
        <v>0.9</v>
      </c>
      <c r="V22">
        <f>VLOOKUP(Table56[[#This Row],[Shortname]], Comp[], 21, FALSE)</f>
        <v>0</v>
      </c>
      <c r="W22">
        <f>VLOOKUP(Table56[[#This Row],[Shortname]], Comp[], 22, FALSE)</f>
        <v>0</v>
      </c>
      <c r="X22">
        <f>VLOOKUP(Table56[[#This Row],[Shortname]], Comp[], 23, FALSE)</f>
        <v>0</v>
      </c>
      <c r="Y22">
        <f>VLOOKUP(Table56[[#This Row],[Shortname]], Comp[], 24, FALSE)</f>
        <v>0</v>
      </c>
      <c r="Z22">
        <f>VLOOKUP(Table56[[#This Row],[Shortname]], Comp[], 25, FALSE)</f>
        <v>0</v>
      </c>
      <c r="AA22">
        <f>VLOOKUP(Table56[[#This Row],[Shortname]], Comp[], 26, FALSE)</f>
        <v>0</v>
      </c>
      <c r="AB22">
        <f>VLOOKUP(Table56[[#This Row],[Shortname]], Comp[], 27, FALSE)</f>
        <v>0</v>
      </c>
      <c r="AC22">
        <f>VLOOKUP(Table56[[#This Row],[Shortname]], Comp[], 28, FALSE)</f>
        <v>0</v>
      </c>
      <c r="AD22">
        <f>VLOOKUP(Table56[[#This Row],[Shortname]], Comp[], 29, FALSE)</f>
        <v>0</v>
      </c>
      <c r="AE22">
        <f>VLOOKUP(Table56[[#This Row],[Shortname]], Comp[], 30, FALSE)</f>
        <v>0</v>
      </c>
      <c r="AF22">
        <f>VLOOKUP(Table56[[#This Row],[Shortname]], Comp[], 31, FALSE)</f>
        <v>0</v>
      </c>
    </row>
    <row r="23" spans="1:32" x14ac:dyDescent="0.3">
      <c r="A23" t="s">
        <v>293</v>
      </c>
      <c r="B23" t="s">
        <v>295</v>
      </c>
      <c r="C23" s="1" t="s">
        <v>6666</v>
      </c>
      <c r="D23">
        <v>932</v>
      </c>
      <c r="E23">
        <v>1431</v>
      </c>
      <c r="F23">
        <v>1453</v>
      </c>
      <c r="G23">
        <f>VLOOKUP(Table56[[#This Row],[Shortname]], Comp[], 6, FALSE)</f>
        <v>33</v>
      </c>
      <c r="H23" s="14">
        <f>VLOOKUP(Table56[[#This Row],[Shortname]], Comp[], 7, FALSE)</f>
        <v>75.7</v>
      </c>
      <c r="I23">
        <f>VLOOKUP(Table56[[#This Row],[Shortname]], Comp[], 8, FALSE)</f>
        <v>0</v>
      </c>
      <c r="J23">
        <f>VLOOKUP(Table56[[#This Row],[Shortname]], Comp[], 9, FALSE)</f>
        <v>7.5</v>
      </c>
      <c r="K23">
        <f>VLOOKUP(Table56[[#This Row],[Shortname]], Comp[], 10, FALSE)</f>
        <v>0</v>
      </c>
      <c r="L23">
        <f>VLOOKUP(Table56[[#This Row],[Shortname]], Comp[], 11, FALSE)</f>
        <v>8.8000000000000007</v>
      </c>
      <c r="M23">
        <f>VLOOKUP(Table56[[#This Row],[Shortname]], Comp[],12, FALSE)</f>
        <v>0</v>
      </c>
      <c r="N23">
        <f>VLOOKUP(Table56[[#This Row],[Shortname]], Comp[], 13, FALSE)</f>
        <v>0</v>
      </c>
      <c r="O23">
        <f>VLOOKUP(Table56[[#This Row],[Shortname]], Comp[], 14, FALSE)</f>
        <v>0</v>
      </c>
      <c r="P23">
        <f>VLOOKUP(Table56[[#This Row],[Shortname]], Comp[], 15, FALSE)</f>
        <v>0</v>
      </c>
      <c r="Q23">
        <f>VLOOKUP(Table56[[#This Row],[Shortname]], Comp[], 16, FALSE)</f>
        <v>0</v>
      </c>
      <c r="R23">
        <f>VLOOKUP(Table56[[#This Row],[Shortname]], Comp[], 17, FALSE)</f>
        <v>0</v>
      </c>
      <c r="S23">
        <f>VLOOKUP(Table56[[#This Row],[Shortname]], Comp[], 18, FALSE)</f>
        <v>0</v>
      </c>
      <c r="T23">
        <f>VLOOKUP(Table56[[#This Row],[Shortname]], Comp[], 19, FALSE)</f>
        <v>0</v>
      </c>
      <c r="U23">
        <f>VLOOKUP(Table56[[#This Row],[Shortname]], Comp[], 20, FALSE)</f>
        <v>0</v>
      </c>
      <c r="V23">
        <f>VLOOKUP(Table56[[#This Row],[Shortname]], Comp[], 21, FALSE)</f>
        <v>0</v>
      </c>
      <c r="W23">
        <f>VLOOKUP(Table56[[#This Row],[Shortname]], Comp[], 22, FALSE)</f>
        <v>0</v>
      </c>
      <c r="X23">
        <f>VLOOKUP(Table56[[#This Row],[Shortname]], Comp[], 23, FALSE)</f>
        <v>8</v>
      </c>
      <c r="Y23">
        <f>VLOOKUP(Table56[[#This Row],[Shortname]], Comp[], 24, FALSE)</f>
        <v>0</v>
      </c>
      <c r="Z23">
        <f>VLOOKUP(Table56[[#This Row],[Shortname]], Comp[], 25, FALSE)</f>
        <v>0</v>
      </c>
      <c r="AA23">
        <f>VLOOKUP(Table56[[#This Row],[Shortname]], Comp[], 26, FALSE)</f>
        <v>0</v>
      </c>
      <c r="AB23">
        <f>VLOOKUP(Table56[[#This Row],[Shortname]], Comp[], 27, FALSE)</f>
        <v>0</v>
      </c>
      <c r="AC23">
        <f>VLOOKUP(Table56[[#This Row],[Shortname]], Comp[], 28, FALSE)</f>
        <v>0</v>
      </c>
      <c r="AD23">
        <f>VLOOKUP(Table56[[#This Row],[Shortname]], Comp[], 29, FALSE)</f>
        <v>0</v>
      </c>
      <c r="AE23">
        <f>VLOOKUP(Table56[[#This Row],[Shortname]], Comp[], 30, FALSE)</f>
        <v>0</v>
      </c>
      <c r="AF23">
        <f>VLOOKUP(Table56[[#This Row],[Shortname]], Comp[], 31, FALSE)</f>
        <v>0</v>
      </c>
    </row>
    <row r="24" spans="1:32" x14ac:dyDescent="0.3">
      <c r="A24" t="s">
        <v>302</v>
      </c>
      <c r="B24" t="s">
        <v>304</v>
      </c>
      <c r="C24" s="1" t="s">
        <v>6667</v>
      </c>
      <c r="D24">
        <v>877</v>
      </c>
      <c r="E24">
        <v>1427</v>
      </c>
      <c r="F24">
        <v>1450</v>
      </c>
      <c r="G24">
        <f>VLOOKUP(Table56[[#This Row],[Shortname]], Comp[], 6, FALSE)</f>
        <v>34</v>
      </c>
      <c r="H24" s="14">
        <f>VLOOKUP(Table56[[#This Row],[Shortname]], Comp[], 7, FALSE)</f>
        <v>66.099999999999994</v>
      </c>
      <c r="I24">
        <f>VLOOKUP(Table56[[#This Row],[Shortname]], Comp[], 8, FALSE)</f>
        <v>0</v>
      </c>
      <c r="J24">
        <f>VLOOKUP(Table56[[#This Row],[Shortname]], Comp[], 9, FALSE)</f>
        <v>8.6</v>
      </c>
      <c r="K24">
        <f>VLOOKUP(Table56[[#This Row],[Shortname]], Comp[], 10, FALSE)</f>
        <v>0</v>
      </c>
      <c r="L24">
        <f>VLOOKUP(Table56[[#This Row],[Shortname]], Comp[], 11, FALSE)</f>
        <v>8.6</v>
      </c>
      <c r="M24">
        <f>VLOOKUP(Table56[[#This Row],[Shortname]], Comp[],12, FALSE)</f>
        <v>0</v>
      </c>
      <c r="N24">
        <f>VLOOKUP(Table56[[#This Row],[Shortname]], Comp[], 13, FALSE)</f>
        <v>0</v>
      </c>
      <c r="O24">
        <f>VLOOKUP(Table56[[#This Row],[Shortname]], Comp[], 14, FALSE)</f>
        <v>0</v>
      </c>
      <c r="P24">
        <f>VLOOKUP(Table56[[#This Row],[Shortname]], Comp[], 15, FALSE)</f>
        <v>0</v>
      </c>
      <c r="Q24">
        <f>VLOOKUP(Table56[[#This Row],[Shortname]], Comp[], 16, FALSE)</f>
        <v>0</v>
      </c>
      <c r="R24">
        <f>VLOOKUP(Table56[[#This Row],[Shortname]], Comp[], 17, FALSE)</f>
        <v>0</v>
      </c>
      <c r="S24">
        <f>VLOOKUP(Table56[[#This Row],[Shortname]], Comp[], 18, FALSE)</f>
        <v>0</v>
      </c>
      <c r="T24">
        <f>VLOOKUP(Table56[[#This Row],[Shortname]], Comp[], 19, FALSE)</f>
        <v>0</v>
      </c>
      <c r="U24">
        <f>VLOOKUP(Table56[[#This Row],[Shortname]], Comp[], 20, FALSE)</f>
        <v>0</v>
      </c>
      <c r="V24">
        <f>VLOOKUP(Table56[[#This Row],[Shortname]], Comp[], 21, FALSE)</f>
        <v>0</v>
      </c>
      <c r="W24">
        <f>VLOOKUP(Table56[[#This Row],[Shortname]], Comp[], 22, FALSE)</f>
        <v>0</v>
      </c>
      <c r="X24">
        <f>VLOOKUP(Table56[[#This Row],[Shortname]], Comp[], 23, FALSE)</f>
        <v>16.7</v>
      </c>
      <c r="Y24">
        <f>VLOOKUP(Table56[[#This Row],[Shortname]], Comp[], 24, FALSE)</f>
        <v>0</v>
      </c>
      <c r="Z24">
        <f>VLOOKUP(Table56[[#This Row],[Shortname]], Comp[], 25, FALSE)</f>
        <v>0</v>
      </c>
      <c r="AA24">
        <f>VLOOKUP(Table56[[#This Row],[Shortname]], Comp[], 26, FALSE)</f>
        <v>0</v>
      </c>
      <c r="AB24">
        <f>VLOOKUP(Table56[[#This Row],[Shortname]], Comp[], 27, FALSE)</f>
        <v>0</v>
      </c>
      <c r="AC24">
        <f>VLOOKUP(Table56[[#This Row],[Shortname]], Comp[], 28, FALSE)</f>
        <v>0</v>
      </c>
      <c r="AD24">
        <f>VLOOKUP(Table56[[#This Row],[Shortname]], Comp[], 29, FALSE)</f>
        <v>0</v>
      </c>
      <c r="AE24">
        <f>VLOOKUP(Table56[[#This Row],[Shortname]], Comp[], 30, FALSE)</f>
        <v>0</v>
      </c>
      <c r="AF24">
        <f>VLOOKUP(Table56[[#This Row],[Shortname]], Comp[], 31, FALSE)</f>
        <v>0</v>
      </c>
    </row>
    <row r="25" spans="1:32" x14ac:dyDescent="0.3">
      <c r="A25" t="s">
        <v>152</v>
      </c>
      <c r="B25" t="s">
        <v>2354</v>
      </c>
      <c r="C25" s="2" t="s">
        <v>6668</v>
      </c>
      <c r="D25">
        <v>1101</v>
      </c>
      <c r="E25">
        <v>1414</v>
      </c>
      <c r="F25">
        <v>1439</v>
      </c>
      <c r="G25">
        <f>VLOOKUP(Table56[[#This Row],[Shortname]], Comp[], 6, FALSE)</f>
        <v>15</v>
      </c>
      <c r="H25" s="14">
        <f>VLOOKUP(Table56[[#This Row],[Shortname]], Comp[], 7, FALSE)</f>
        <v>81.5</v>
      </c>
      <c r="I25">
        <f>VLOOKUP(Table56[[#This Row],[Shortname]], Comp[], 8, FALSE)</f>
        <v>0</v>
      </c>
      <c r="J25">
        <f>VLOOKUP(Table56[[#This Row],[Shortname]], Comp[], 9, FALSE)</f>
        <v>8.1</v>
      </c>
      <c r="K25">
        <f>VLOOKUP(Table56[[#This Row],[Shortname]], Comp[], 10, FALSE)</f>
        <v>0</v>
      </c>
      <c r="L25">
        <f>VLOOKUP(Table56[[#This Row],[Shortname]], Comp[], 11, FALSE)</f>
        <v>8.4</v>
      </c>
      <c r="M25">
        <f>VLOOKUP(Table56[[#This Row],[Shortname]], Comp[],12, FALSE)</f>
        <v>0</v>
      </c>
      <c r="N25">
        <f>VLOOKUP(Table56[[#This Row],[Shortname]], Comp[], 13, FALSE)</f>
        <v>2</v>
      </c>
      <c r="O25">
        <f>VLOOKUP(Table56[[#This Row],[Shortname]], Comp[], 14, FALSE)</f>
        <v>0</v>
      </c>
      <c r="P25">
        <f>VLOOKUP(Table56[[#This Row],[Shortname]], Comp[], 15, FALSE)</f>
        <v>0</v>
      </c>
      <c r="Q25">
        <f>VLOOKUP(Table56[[#This Row],[Shortname]], Comp[], 16, FALSE)</f>
        <v>0</v>
      </c>
      <c r="R25">
        <f>VLOOKUP(Table56[[#This Row],[Shortname]], Comp[], 17, FALSE)</f>
        <v>0</v>
      </c>
      <c r="S25">
        <f>VLOOKUP(Table56[[#This Row],[Shortname]], Comp[], 18, FALSE)</f>
        <v>0</v>
      </c>
      <c r="T25">
        <f>VLOOKUP(Table56[[#This Row],[Shortname]], Comp[], 19, FALSE)</f>
        <v>0</v>
      </c>
      <c r="U25">
        <f>VLOOKUP(Table56[[#This Row],[Shortname]], Comp[], 20, FALSE)</f>
        <v>0</v>
      </c>
      <c r="V25">
        <f>VLOOKUP(Table56[[#This Row],[Shortname]], Comp[], 21, FALSE)</f>
        <v>0</v>
      </c>
      <c r="W25">
        <f>VLOOKUP(Table56[[#This Row],[Shortname]], Comp[], 22, FALSE)</f>
        <v>0</v>
      </c>
      <c r="X25">
        <f>VLOOKUP(Table56[[#This Row],[Shortname]], Comp[], 23, FALSE)</f>
        <v>0</v>
      </c>
      <c r="Y25">
        <f>VLOOKUP(Table56[[#This Row],[Shortname]], Comp[], 24, FALSE)</f>
        <v>0</v>
      </c>
      <c r="Z25">
        <f>VLOOKUP(Table56[[#This Row],[Shortname]], Comp[], 25, FALSE)</f>
        <v>0</v>
      </c>
      <c r="AA25">
        <f>VLOOKUP(Table56[[#This Row],[Shortname]], Comp[], 26, FALSE)</f>
        <v>0</v>
      </c>
      <c r="AB25">
        <f>VLOOKUP(Table56[[#This Row],[Shortname]], Comp[], 27, FALSE)</f>
        <v>0</v>
      </c>
      <c r="AC25">
        <f>VLOOKUP(Table56[[#This Row],[Shortname]], Comp[], 28, FALSE)</f>
        <v>0</v>
      </c>
      <c r="AD25">
        <f>VLOOKUP(Table56[[#This Row],[Shortname]], Comp[], 29, FALSE)</f>
        <v>0</v>
      </c>
      <c r="AE25">
        <f>VLOOKUP(Table56[[#This Row],[Shortname]], Comp[], 30, FALSE)</f>
        <v>0</v>
      </c>
      <c r="AF25">
        <f>VLOOKUP(Table56[[#This Row],[Shortname]], Comp[], 31, FALSE)</f>
        <v>0</v>
      </c>
    </row>
    <row r="26" spans="1:32" x14ac:dyDescent="0.3">
      <c r="A26" t="s">
        <v>5315</v>
      </c>
      <c r="B26" t="s">
        <v>5317</v>
      </c>
      <c r="C26" s="2" t="s">
        <v>6669</v>
      </c>
      <c r="D26">
        <v>1137</v>
      </c>
      <c r="E26">
        <v>1426</v>
      </c>
      <c r="F26">
        <v>1454</v>
      </c>
      <c r="G26">
        <f>VLOOKUP(Table56[[#This Row],[Shortname]], Comp[], 6, FALSE)</f>
        <v>21000</v>
      </c>
      <c r="H26" s="14">
        <f>VLOOKUP(Table56[[#This Row],[Shortname]], Comp[], 7, FALSE)</f>
        <v>78.599999999999994</v>
      </c>
      <c r="I26">
        <f>VLOOKUP(Table56[[#This Row],[Shortname]], Comp[], 8, FALSE)</f>
        <v>0</v>
      </c>
      <c r="J26">
        <f>VLOOKUP(Table56[[#This Row],[Shortname]], Comp[], 9, FALSE)</f>
        <v>8.1</v>
      </c>
      <c r="K26">
        <f>VLOOKUP(Table56[[#This Row],[Shortname]], Comp[], 10, FALSE)</f>
        <v>0</v>
      </c>
      <c r="L26">
        <f>VLOOKUP(Table56[[#This Row],[Shortname]], Comp[], 11, FALSE)</f>
        <v>9.1</v>
      </c>
      <c r="M26">
        <f>VLOOKUP(Table56[[#This Row],[Shortname]], Comp[],12, FALSE)</f>
        <v>0</v>
      </c>
      <c r="N26">
        <f>VLOOKUP(Table56[[#This Row],[Shortname]], Comp[], 13, FALSE)</f>
        <v>1.7</v>
      </c>
      <c r="O26">
        <f>VLOOKUP(Table56[[#This Row],[Shortname]], Comp[], 14, FALSE)</f>
        <v>0</v>
      </c>
      <c r="P26">
        <f>VLOOKUP(Table56[[#This Row],[Shortname]], Comp[], 15, FALSE)</f>
        <v>0</v>
      </c>
      <c r="Q26">
        <f>VLOOKUP(Table56[[#This Row],[Shortname]], Comp[], 16, FALSE)</f>
        <v>0</v>
      </c>
      <c r="R26">
        <f>VLOOKUP(Table56[[#This Row],[Shortname]], Comp[], 17, FALSE)</f>
        <v>0</v>
      </c>
      <c r="S26">
        <f>VLOOKUP(Table56[[#This Row],[Shortname]], Comp[], 18, FALSE)</f>
        <v>0</v>
      </c>
      <c r="T26">
        <f>VLOOKUP(Table56[[#This Row],[Shortname]], Comp[], 19, FALSE)</f>
        <v>0</v>
      </c>
      <c r="U26">
        <f>VLOOKUP(Table56[[#This Row],[Shortname]], Comp[], 20, FALSE)</f>
        <v>2.5</v>
      </c>
      <c r="V26">
        <f>VLOOKUP(Table56[[#This Row],[Shortname]], Comp[], 21, FALSE)</f>
        <v>0</v>
      </c>
      <c r="W26">
        <f>VLOOKUP(Table56[[#This Row],[Shortname]], Comp[], 22, FALSE)</f>
        <v>0</v>
      </c>
      <c r="X26">
        <f>VLOOKUP(Table56[[#This Row],[Shortname]], Comp[], 23, FALSE)</f>
        <v>0</v>
      </c>
      <c r="Y26">
        <f>VLOOKUP(Table56[[#This Row],[Shortname]], Comp[], 24, FALSE)</f>
        <v>0</v>
      </c>
      <c r="Z26">
        <f>VLOOKUP(Table56[[#This Row],[Shortname]], Comp[], 25, FALSE)</f>
        <v>0</v>
      </c>
      <c r="AA26">
        <f>VLOOKUP(Table56[[#This Row],[Shortname]], Comp[], 26, FALSE)</f>
        <v>0</v>
      </c>
      <c r="AB26">
        <f>VLOOKUP(Table56[[#This Row],[Shortname]], Comp[], 27, FALSE)</f>
        <v>0</v>
      </c>
      <c r="AC26">
        <f>VLOOKUP(Table56[[#This Row],[Shortname]], Comp[], 28, FALSE)</f>
        <v>0</v>
      </c>
      <c r="AD26">
        <f>VLOOKUP(Table56[[#This Row],[Shortname]], Comp[], 29, FALSE)</f>
        <v>0</v>
      </c>
      <c r="AE26">
        <f>VLOOKUP(Table56[[#This Row],[Shortname]], Comp[], 30, FALSE)</f>
        <v>0</v>
      </c>
      <c r="AF26">
        <f>VLOOKUP(Table56[[#This Row],[Shortname]], Comp[], 31, FALSE)</f>
        <v>0</v>
      </c>
    </row>
    <row r="27" spans="1:32" x14ac:dyDescent="0.3">
      <c r="A27" t="s">
        <v>219</v>
      </c>
      <c r="B27" t="s">
        <v>5335</v>
      </c>
      <c r="C27" s="2" t="s">
        <v>6670</v>
      </c>
      <c r="D27">
        <v>1060</v>
      </c>
      <c r="E27">
        <v>1418</v>
      </c>
      <c r="F27">
        <v>1452</v>
      </c>
      <c r="G27">
        <f>VLOOKUP(Table56[[#This Row],[Shortname]], Comp[], 6, FALSE)</f>
        <v>23</v>
      </c>
      <c r="H27" s="14">
        <f>VLOOKUP(Table56[[#This Row],[Shortname]], Comp[], 7, FALSE)</f>
        <v>83.6</v>
      </c>
      <c r="I27">
        <f>VLOOKUP(Table56[[#This Row],[Shortname]], Comp[], 8, FALSE)</f>
        <v>0</v>
      </c>
      <c r="J27">
        <f>VLOOKUP(Table56[[#This Row],[Shortname]], Comp[], 9, FALSE)</f>
        <v>8.6999999999999993</v>
      </c>
      <c r="K27">
        <f>VLOOKUP(Table56[[#This Row],[Shortname]], Comp[], 10, FALSE)</f>
        <v>0</v>
      </c>
      <c r="L27">
        <f>VLOOKUP(Table56[[#This Row],[Shortname]], Comp[], 11, FALSE)</f>
        <v>5.5</v>
      </c>
      <c r="M27">
        <f>VLOOKUP(Table56[[#This Row],[Shortname]], Comp[],12, FALSE)</f>
        <v>0</v>
      </c>
      <c r="N27">
        <f>VLOOKUP(Table56[[#This Row],[Shortname]], Comp[], 13, FALSE)</f>
        <v>1.3</v>
      </c>
      <c r="O27">
        <f>VLOOKUP(Table56[[#This Row],[Shortname]], Comp[], 14, FALSE)</f>
        <v>0</v>
      </c>
      <c r="P27">
        <f>VLOOKUP(Table56[[#This Row],[Shortname]], Comp[], 15, FALSE)</f>
        <v>0</v>
      </c>
      <c r="Q27">
        <f>VLOOKUP(Table56[[#This Row],[Shortname]], Comp[], 16, FALSE)</f>
        <v>0</v>
      </c>
      <c r="R27">
        <f>VLOOKUP(Table56[[#This Row],[Shortname]], Comp[], 17, FALSE)</f>
        <v>0</v>
      </c>
      <c r="S27">
        <f>VLOOKUP(Table56[[#This Row],[Shortname]], Comp[], 18, FALSE)</f>
        <v>0</v>
      </c>
      <c r="T27">
        <f>VLOOKUP(Table56[[#This Row],[Shortname]], Comp[], 19, FALSE)</f>
        <v>0</v>
      </c>
      <c r="U27">
        <f>VLOOKUP(Table56[[#This Row],[Shortname]], Comp[], 20, FALSE)</f>
        <v>0.9</v>
      </c>
      <c r="V27">
        <f>VLOOKUP(Table56[[#This Row],[Shortname]], Comp[], 21, FALSE)</f>
        <v>0</v>
      </c>
      <c r="W27">
        <f>VLOOKUP(Table56[[#This Row],[Shortname]], Comp[], 22, FALSE)</f>
        <v>0</v>
      </c>
      <c r="X27">
        <f>VLOOKUP(Table56[[#This Row],[Shortname]], Comp[], 23, FALSE)</f>
        <v>0</v>
      </c>
      <c r="Y27">
        <f>VLOOKUP(Table56[[#This Row],[Shortname]], Comp[], 24, FALSE)</f>
        <v>0</v>
      </c>
      <c r="Z27">
        <f>VLOOKUP(Table56[[#This Row],[Shortname]], Comp[], 25, FALSE)</f>
        <v>0</v>
      </c>
      <c r="AA27">
        <f>VLOOKUP(Table56[[#This Row],[Shortname]], Comp[], 26, FALSE)</f>
        <v>0</v>
      </c>
      <c r="AB27">
        <f>VLOOKUP(Table56[[#This Row],[Shortname]], Comp[], 27, FALSE)</f>
        <v>0</v>
      </c>
      <c r="AC27">
        <f>VLOOKUP(Table56[[#This Row],[Shortname]], Comp[], 28, FALSE)</f>
        <v>0</v>
      </c>
      <c r="AD27">
        <f>VLOOKUP(Table56[[#This Row],[Shortname]], Comp[], 29, FALSE)</f>
        <v>0</v>
      </c>
      <c r="AE27">
        <f>VLOOKUP(Table56[[#This Row],[Shortname]], Comp[], 30, FALSE)</f>
        <v>0</v>
      </c>
      <c r="AF27">
        <f>VLOOKUP(Table56[[#This Row],[Shortname]], Comp[], 31, FALSE)</f>
        <v>0</v>
      </c>
    </row>
    <row r="28" spans="1:32" x14ac:dyDescent="0.3">
      <c r="A28" t="s">
        <v>322</v>
      </c>
      <c r="B28" t="s">
        <v>324</v>
      </c>
      <c r="C28" s="2" t="s">
        <v>6671</v>
      </c>
      <c r="D28">
        <v>1097</v>
      </c>
      <c r="E28">
        <v>1410</v>
      </c>
      <c r="F28">
        <v>1434</v>
      </c>
      <c r="G28">
        <f>VLOOKUP(Table56[[#This Row],[Shortname]], Comp[], 6, FALSE)</f>
        <v>39</v>
      </c>
      <c r="H28" s="14">
        <f>VLOOKUP(Table56[[#This Row],[Shortname]], Comp[], 7, FALSE)</f>
        <v>79.679999999999993</v>
      </c>
      <c r="I28">
        <f>VLOOKUP(Table56[[#This Row],[Shortname]], Comp[], 8, FALSE)</f>
        <v>0</v>
      </c>
      <c r="J28">
        <f>VLOOKUP(Table56[[#This Row],[Shortname]], Comp[], 9, FALSE)</f>
        <v>8.9</v>
      </c>
      <c r="K28">
        <f>VLOOKUP(Table56[[#This Row],[Shortname]], Comp[], 10, FALSE)</f>
        <v>0</v>
      </c>
      <c r="L28">
        <f>VLOOKUP(Table56[[#This Row],[Shortname]], Comp[], 11, FALSE)</f>
        <v>9.3000000000000007</v>
      </c>
      <c r="M28">
        <f>VLOOKUP(Table56[[#This Row],[Shortname]], Comp[],12, FALSE)</f>
        <v>0</v>
      </c>
      <c r="N28">
        <f>VLOOKUP(Table56[[#This Row],[Shortname]], Comp[], 13, FALSE)</f>
        <v>2</v>
      </c>
      <c r="O28">
        <f>VLOOKUP(Table56[[#This Row],[Shortname]], Comp[], 14, FALSE)</f>
        <v>0</v>
      </c>
      <c r="P28">
        <f>VLOOKUP(Table56[[#This Row],[Shortname]], Comp[], 15, FALSE)</f>
        <v>0</v>
      </c>
      <c r="Q28">
        <f>VLOOKUP(Table56[[#This Row],[Shortname]], Comp[], 16, FALSE)</f>
        <v>0</v>
      </c>
      <c r="R28">
        <f>VLOOKUP(Table56[[#This Row],[Shortname]], Comp[], 17, FALSE)</f>
        <v>0</v>
      </c>
      <c r="S28">
        <f>VLOOKUP(Table56[[#This Row],[Shortname]], Comp[], 18, FALSE)</f>
        <v>0</v>
      </c>
      <c r="T28">
        <f>VLOOKUP(Table56[[#This Row],[Shortname]], Comp[], 19, FALSE)</f>
        <v>0.12</v>
      </c>
      <c r="U28">
        <f>VLOOKUP(Table56[[#This Row],[Shortname]], Comp[], 20, FALSE)</f>
        <v>0</v>
      </c>
      <c r="V28">
        <f>VLOOKUP(Table56[[#This Row],[Shortname]], Comp[], 21, FALSE)</f>
        <v>0</v>
      </c>
      <c r="W28">
        <f>VLOOKUP(Table56[[#This Row],[Shortname]], Comp[], 22, FALSE)</f>
        <v>0</v>
      </c>
      <c r="X28">
        <f>VLOOKUP(Table56[[#This Row],[Shortname]], Comp[], 23, FALSE)</f>
        <v>0</v>
      </c>
      <c r="Y28">
        <f>VLOOKUP(Table56[[#This Row],[Shortname]], Comp[], 24, FALSE)</f>
        <v>0</v>
      </c>
      <c r="Z28">
        <f>VLOOKUP(Table56[[#This Row],[Shortname]], Comp[], 25, FALSE)</f>
        <v>0</v>
      </c>
      <c r="AA28">
        <f>VLOOKUP(Table56[[#This Row],[Shortname]], Comp[], 26, FALSE)</f>
        <v>0</v>
      </c>
      <c r="AB28">
        <f>VLOOKUP(Table56[[#This Row],[Shortname]], Comp[], 27, FALSE)</f>
        <v>0</v>
      </c>
      <c r="AC28">
        <f>VLOOKUP(Table56[[#This Row],[Shortname]], Comp[], 28, FALSE)</f>
        <v>0</v>
      </c>
      <c r="AD28">
        <f>VLOOKUP(Table56[[#This Row],[Shortname]], Comp[], 29, FALSE)</f>
        <v>0</v>
      </c>
      <c r="AE28">
        <f>VLOOKUP(Table56[[#This Row],[Shortname]], Comp[], 30, FALSE)</f>
        <v>0</v>
      </c>
      <c r="AF28">
        <f>VLOOKUP(Table56[[#This Row],[Shortname]], Comp[], 31, FALSE)</f>
        <v>0</v>
      </c>
    </row>
    <row r="29" spans="1:32" x14ac:dyDescent="0.3">
      <c r="A29" t="s">
        <v>94</v>
      </c>
      <c r="B29" t="s">
        <v>97</v>
      </c>
      <c r="C29" s="15" t="s">
        <v>6672</v>
      </c>
      <c r="D29">
        <v>963</v>
      </c>
      <c r="E29">
        <v>1445</v>
      </c>
      <c r="F29">
        <v>1469</v>
      </c>
      <c r="G29">
        <f>VLOOKUP(Table56[[#This Row],[Shortname]], Comp[], 6, FALSE)</f>
        <v>9</v>
      </c>
      <c r="H29" s="14">
        <f>VLOOKUP(Table56[[#This Row],[Shortname]], Comp[], 7, FALSE)</f>
        <v>83.5</v>
      </c>
      <c r="I29">
        <f>VLOOKUP(Table56[[#This Row],[Shortname]], Comp[], 8, FALSE)</f>
        <v>0</v>
      </c>
      <c r="J29">
        <f>VLOOKUP(Table56[[#This Row],[Shortname]], Comp[], 9, FALSE)</f>
        <v>8.1</v>
      </c>
      <c r="K29">
        <f>VLOOKUP(Table56[[#This Row],[Shortname]], Comp[], 10, FALSE)</f>
        <v>0</v>
      </c>
      <c r="L29">
        <f>VLOOKUP(Table56[[#This Row],[Shortname]], Comp[], 11, FALSE)</f>
        <v>8.4</v>
      </c>
      <c r="M29">
        <f>VLOOKUP(Table56[[#This Row],[Shortname]], Comp[],12, FALSE)</f>
        <v>0</v>
      </c>
      <c r="N29">
        <f>VLOOKUP(Table56[[#This Row],[Shortname]], Comp[], 13, FALSE)</f>
        <v>0</v>
      </c>
      <c r="O29">
        <f>VLOOKUP(Table56[[#This Row],[Shortname]], Comp[], 14, FALSE)</f>
        <v>0</v>
      </c>
      <c r="P29">
        <f>VLOOKUP(Table56[[#This Row],[Shortname]], Comp[], 15, FALSE)</f>
        <v>0</v>
      </c>
      <c r="Q29">
        <f>VLOOKUP(Table56[[#This Row],[Shortname]], Comp[], 16, FALSE)</f>
        <v>0</v>
      </c>
      <c r="R29">
        <f>VLOOKUP(Table56[[#This Row],[Shortname]], Comp[], 17, FALSE)</f>
        <v>0</v>
      </c>
      <c r="S29">
        <f>VLOOKUP(Table56[[#This Row],[Shortname]], Comp[], 18, FALSE)</f>
        <v>0</v>
      </c>
      <c r="T29">
        <f>VLOOKUP(Table56[[#This Row],[Shortname]], Comp[], 19, FALSE)</f>
        <v>0</v>
      </c>
      <c r="U29">
        <f>VLOOKUP(Table56[[#This Row],[Shortname]], Comp[], 20, FALSE)</f>
        <v>0</v>
      </c>
      <c r="V29">
        <f>VLOOKUP(Table56[[#This Row],[Shortname]], Comp[], 21, FALSE)</f>
        <v>0</v>
      </c>
      <c r="W29">
        <f>VLOOKUP(Table56[[#This Row],[Shortname]], Comp[], 22, FALSE)</f>
        <v>0</v>
      </c>
      <c r="X29">
        <f>VLOOKUP(Table56[[#This Row],[Shortname]], Comp[], 23, FALSE)</f>
        <v>0</v>
      </c>
      <c r="Y29">
        <f>VLOOKUP(Table56[[#This Row],[Shortname]], Comp[], 24, FALSE)</f>
        <v>0</v>
      </c>
      <c r="Z29">
        <f>VLOOKUP(Table56[[#This Row],[Shortname]], Comp[], 25, FALSE)</f>
        <v>0</v>
      </c>
      <c r="AA29">
        <f>VLOOKUP(Table56[[#This Row],[Shortname]], Comp[], 26, FALSE)</f>
        <v>0</v>
      </c>
      <c r="AB29">
        <f>VLOOKUP(Table56[[#This Row],[Shortname]], Comp[], 27, FALSE)</f>
        <v>0</v>
      </c>
      <c r="AC29">
        <f>VLOOKUP(Table56[[#This Row],[Shortname]], Comp[], 28, FALSE)</f>
        <v>0</v>
      </c>
      <c r="AD29">
        <f>VLOOKUP(Table56[[#This Row],[Shortname]], Comp[], 29, FALSE)</f>
        <v>0</v>
      </c>
      <c r="AE29">
        <f>VLOOKUP(Table56[[#This Row],[Shortname]], Comp[], 30, FALSE)</f>
        <v>0</v>
      </c>
      <c r="AF29">
        <f>VLOOKUP(Table56[[#This Row],[Shortname]], Comp[], 31, FALSE)</f>
        <v>0</v>
      </c>
    </row>
    <row r="30" spans="1:32" x14ac:dyDescent="0.3">
      <c r="A30" t="s">
        <v>331</v>
      </c>
      <c r="B30" t="s">
        <v>333</v>
      </c>
      <c r="C30" s="15" t="s">
        <v>6673</v>
      </c>
      <c r="D30">
        <v>985</v>
      </c>
      <c r="E30">
        <v>1441</v>
      </c>
      <c r="F30">
        <v>1466</v>
      </c>
      <c r="G30">
        <f>VLOOKUP(Table56[[#This Row],[Shortname]], Comp[], 6, FALSE)</f>
        <v>41</v>
      </c>
      <c r="H30" s="14">
        <f>VLOOKUP(Table56[[#This Row],[Shortname]], Comp[], 7, FALSE)</f>
        <v>81.900000000000006</v>
      </c>
      <c r="I30">
        <f>VLOOKUP(Table56[[#This Row],[Shortname]], Comp[], 8, FALSE)</f>
        <v>0</v>
      </c>
      <c r="J30">
        <f>VLOOKUP(Table56[[#This Row],[Shortname]], Comp[], 9, FALSE)</f>
        <v>8.5</v>
      </c>
      <c r="K30">
        <f>VLOOKUP(Table56[[#This Row],[Shortname]], Comp[], 10, FALSE)</f>
        <v>0</v>
      </c>
      <c r="L30">
        <f>VLOOKUP(Table56[[#This Row],[Shortname]], Comp[], 11, FALSE)</f>
        <v>9.6</v>
      </c>
      <c r="M30">
        <f>VLOOKUP(Table56[[#This Row],[Shortname]], Comp[],12, FALSE)</f>
        <v>0</v>
      </c>
      <c r="N30">
        <f>VLOOKUP(Table56[[#This Row],[Shortname]], Comp[], 13, FALSE)</f>
        <v>0</v>
      </c>
      <c r="O30">
        <f>VLOOKUP(Table56[[#This Row],[Shortname]], Comp[], 14, FALSE)</f>
        <v>0</v>
      </c>
      <c r="P30">
        <f>VLOOKUP(Table56[[#This Row],[Shortname]], Comp[], 15, FALSE)</f>
        <v>0</v>
      </c>
      <c r="Q30">
        <f>VLOOKUP(Table56[[#This Row],[Shortname]], Comp[], 16, FALSE)</f>
        <v>0</v>
      </c>
      <c r="R30">
        <f>VLOOKUP(Table56[[#This Row],[Shortname]], Comp[], 17, FALSE)</f>
        <v>0</v>
      </c>
      <c r="S30">
        <f>VLOOKUP(Table56[[#This Row],[Shortname]], Comp[], 18, FALSE)</f>
        <v>0</v>
      </c>
      <c r="T30">
        <f>VLOOKUP(Table56[[#This Row],[Shortname]], Comp[], 19, FALSE)</f>
        <v>0</v>
      </c>
      <c r="U30">
        <f>VLOOKUP(Table56[[#This Row],[Shortname]], Comp[], 20, FALSE)</f>
        <v>0</v>
      </c>
      <c r="V30">
        <f>VLOOKUP(Table56[[#This Row],[Shortname]], Comp[], 21, FALSE)</f>
        <v>0</v>
      </c>
      <c r="W30">
        <f>VLOOKUP(Table56[[#This Row],[Shortname]], Comp[], 22, FALSE)</f>
        <v>0</v>
      </c>
      <c r="X30">
        <f>VLOOKUP(Table56[[#This Row],[Shortname]], Comp[], 23, FALSE)</f>
        <v>0</v>
      </c>
      <c r="Y30">
        <f>VLOOKUP(Table56[[#This Row],[Shortname]], Comp[], 24, FALSE)</f>
        <v>0</v>
      </c>
      <c r="Z30">
        <f>VLOOKUP(Table56[[#This Row],[Shortname]], Comp[], 25, FALSE)</f>
        <v>0</v>
      </c>
      <c r="AA30">
        <f>VLOOKUP(Table56[[#This Row],[Shortname]], Comp[], 26, FALSE)</f>
        <v>0</v>
      </c>
      <c r="AB30">
        <f>VLOOKUP(Table56[[#This Row],[Shortname]], Comp[], 27, FALSE)</f>
        <v>0</v>
      </c>
      <c r="AC30">
        <f>VLOOKUP(Table56[[#This Row],[Shortname]], Comp[], 28, FALSE)</f>
        <v>0</v>
      </c>
      <c r="AD30">
        <f>VLOOKUP(Table56[[#This Row],[Shortname]], Comp[], 29, FALSE)</f>
        <v>0</v>
      </c>
      <c r="AE30">
        <f>VLOOKUP(Table56[[#This Row],[Shortname]], Comp[], 30, FALSE)</f>
        <v>0</v>
      </c>
      <c r="AF30">
        <f>VLOOKUP(Table56[[#This Row],[Shortname]], Comp[], 31, FALSE)</f>
        <v>0</v>
      </c>
    </row>
    <row r="31" spans="1:32" x14ac:dyDescent="0.3">
      <c r="A31" t="s">
        <v>339</v>
      </c>
      <c r="B31" t="s">
        <v>341</v>
      </c>
      <c r="C31" s="15" t="s">
        <v>6674</v>
      </c>
      <c r="D31">
        <v>986</v>
      </c>
      <c r="E31">
        <v>1440</v>
      </c>
      <c r="F31">
        <v>1467</v>
      </c>
      <c r="G31">
        <f>VLOOKUP(Table56[[#This Row],[Shortname]], Comp[], 6, FALSE)</f>
        <v>42</v>
      </c>
      <c r="H31" s="14">
        <f>VLOOKUP(Table56[[#This Row],[Shortname]], Comp[], 7, FALSE)</f>
        <v>81.86</v>
      </c>
      <c r="I31">
        <f>VLOOKUP(Table56[[#This Row],[Shortname]], Comp[], 8, FALSE)</f>
        <v>0</v>
      </c>
      <c r="J31">
        <f>VLOOKUP(Table56[[#This Row],[Shortname]], Comp[], 9, FALSE)</f>
        <v>8.4</v>
      </c>
      <c r="K31">
        <f>VLOOKUP(Table56[[#This Row],[Shortname]], Comp[], 10, FALSE)</f>
        <v>0</v>
      </c>
      <c r="L31">
        <f>VLOOKUP(Table56[[#This Row],[Shortname]], Comp[], 11, FALSE)</f>
        <v>9.6999999999999993</v>
      </c>
      <c r="M31">
        <f>VLOOKUP(Table56[[#This Row],[Shortname]], Comp[],12, FALSE)</f>
        <v>0</v>
      </c>
      <c r="N31">
        <f>VLOOKUP(Table56[[#This Row],[Shortname]], Comp[], 13, FALSE)</f>
        <v>0</v>
      </c>
      <c r="O31">
        <f>VLOOKUP(Table56[[#This Row],[Shortname]], Comp[], 14, FALSE)</f>
        <v>0</v>
      </c>
      <c r="P31">
        <f>VLOOKUP(Table56[[#This Row],[Shortname]], Comp[], 15, FALSE)</f>
        <v>0</v>
      </c>
      <c r="Q31">
        <f>VLOOKUP(Table56[[#This Row],[Shortname]], Comp[], 16, FALSE)</f>
        <v>0</v>
      </c>
      <c r="R31">
        <f>VLOOKUP(Table56[[#This Row],[Shortname]], Comp[], 17, FALSE)</f>
        <v>0</v>
      </c>
      <c r="S31">
        <f>VLOOKUP(Table56[[#This Row],[Shortname]], Comp[], 18, FALSE)</f>
        <v>0</v>
      </c>
      <c r="T31">
        <f>VLOOKUP(Table56[[#This Row],[Shortname]], Comp[], 19, FALSE)</f>
        <v>0.04</v>
      </c>
      <c r="U31">
        <f>VLOOKUP(Table56[[#This Row],[Shortname]], Comp[], 20, FALSE)</f>
        <v>0</v>
      </c>
      <c r="V31">
        <f>VLOOKUP(Table56[[#This Row],[Shortname]], Comp[], 21, FALSE)</f>
        <v>0</v>
      </c>
      <c r="W31">
        <f>VLOOKUP(Table56[[#This Row],[Shortname]], Comp[], 22, FALSE)</f>
        <v>0</v>
      </c>
      <c r="X31">
        <f>VLOOKUP(Table56[[#This Row],[Shortname]], Comp[], 23, FALSE)</f>
        <v>0</v>
      </c>
      <c r="Y31">
        <f>VLOOKUP(Table56[[#This Row],[Shortname]], Comp[], 24, FALSE)</f>
        <v>0</v>
      </c>
      <c r="Z31">
        <f>VLOOKUP(Table56[[#This Row],[Shortname]], Comp[], 25, FALSE)</f>
        <v>0</v>
      </c>
      <c r="AA31">
        <f>VLOOKUP(Table56[[#This Row],[Shortname]], Comp[], 26, FALSE)</f>
        <v>0</v>
      </c>
      <c r="AB31">
        <f>VLOOKUP(Table56[[#This Row],[Shortname]], Comp[], 27, FALSE)</f>
        <v>0</v>
      </c>
      <c r="AC31">
        <f>VLOOKUP(Table56[[#This Row],[Shortname]], Comp[], 28, FALSE)</f>
        <v>0</v>
      </c>
      <c r="AD31">
        <f>VLOOKUP(Table56[[#This Row],[Shortname]], Comp[], 29, FALSE)</f>
        <v>0</v>
      </c>
      <c r="AE31">
        <f>VLOOKUP(Table56[[#This Row],[Shortname]], Comp[], 30, FALSE)</f>
        <v>0</v>
      </c>
      <c r="AF31">
        <f>VLOOKUP(Table56[[#This Row],[Shortname]], Comp[], 31, FALSE)</f>
        <v>0</v>
      </c>
    </row>
    <row r="32" spans="1:32" x14ac:dyDescent="0.3">
      <c r="A32" t="s">
        <v>348</v>
      </c>
      <c r="B32" t="s">
        <v>350</v>
      </c>
      <c r="C32" s="15" t="s">
        <v>6675</v>
      </c>
      <c r="D32">
        <v>984</v>
      </c>
      <c r="E32">
        <v>1439</v>
      </c>
      <c r="F32">
        <v>1465</v>
      </c>
      <c r="G32">
        <f>VLOOKUP(Table56[[#This Row],[Shortname]], Comp[], 6, FALSE)</f>
        <v>43</v>
      </c>
      <c r="H32" s="14">
        <f>VLOOKUP(Table56[[#This Row],[Shortname]], Comp[], 7, FALSE)</f>
        <v>81.52000000000001</v>
      </c>
      <c r="I32">
        <f>VLOOKUP(Table56[[#This Row],[Shortname]], Comp[], 8, FALSE)</f>
        <v>0</v>
      </c>
      <c r="J32">
        <f>VLOOKUP(Table56[[#This Row],[Shortname]], Comp[], 9, FALSE)</f>
        <v>8.9</v>
      </c>
      <c r="K32">
        <f>VLOOKUP(Table56[[#This Row],[Shortname]], Comp[], 10, FALSE)</f>
        <v>0</v>
      </c>
      <c r="L32">
        <f>VLOOKUP(Table56[[#This Row],[Shortname]], Comp[], 11, FALSE)</f>
        <v>9.5</v>
      </c>
      <c r="M32">
        <f>VLOOKUP(Table56[[#This Row],[Shortname]], Comp[],12, FALSE)</f>
        <v>0</v>
      </c>
      <c r="N32">
        <f>VLOOKUP(Table56[[#This Row],[Shortname]], Comp[], 13, FALSE)</f>
        <v>0</v>
      </c>
      <c r="O32">
        <f>VLOOKUP(Table56[[#This Row],[Shortname]], Comp[], 14, FALSE)</f>
        <v>0</v>
      </c>
      <c r="P32">
        <f>VLOOKUP(Table56[[#This Row],[Shortname]], Comp[], 15, FALSE)</f>
        <v>0</v>
      </c>
      <c r="Q32">
        <f>VLOOKUP(Table56[[#This Row],[Shortname]], Comp[], 16, FALSE)</f>
        <v>0</v>
      </c>
      <c r="R32">
        <f>VLOOKUP(Table56[[#This Row],[Shortname]], Comp[], 17, FALSE)</f>
        <v>0</v>
      </c>
      <c r="S32">
        <f>VLOOKUP(Table56[[#This Row],[Shortname]], Comp[], 18, FALSE)</f>
        <v>0</v>
      </c>
      <c r="T32">
        <f>VLOOKUP(Table56[[#This Row],[Shortname]], Comp[], 19, FALSE)</f>
        <v>0.08</v>
      </c>
      <c r="U32">
        <f>VLOOKUP(Table56[[#This Row],[Shortname]], Comp[], 20, FALSE)</f>
        <v>0</v>
      </c>
      <c r="V32">
        <f>VLOOKUP(Table56[[#This Row],[Shortname]], Comp[], 21, FALSE)</f>
        <v>0</v>
      </c>
      <c r="W32">
        <f>VLOOKUP(Table56[[#This Row],[Shortname]], Comp[], 22, FALSE)</f>
        <v>0</v>
      </c>
      <c r="X32">
        <f>VLOOKUP(Table56[[#This Row],[Shortname]], Comp[], 23, FALSE)</f>
        <v>0</v>
      </c>
      <c r="Y32">
        <f>VLOOKUP(Table56[[#This Row],[Shortname]], Comp[], 24, FALSE)</f>
        <v>0</v>
      </c>
      <c r="Z32">
        <f>VLOOKUP(Table56[[#This Row],[Shortname]], Comp[], 25, FALSE)</f>
        <v>0</v>
      </c>
      <c r="AA32">
        <f>VLOOKUP(Table56[[#This Row],[Shortname]], Comp[], 26, FALSE)</f>
        <v>0</v>
      </c>
      <c r="AB32">
        <f>VLOOKUP(Table56[[#This Row],[Shortname]], Comp[], 27, FALSE)</f>
        <v>0</v>
      </c>
      <c r="AC32">
        <f>VLOOKUP(Table56[[#This Row],[Shortname]], Comp[], 28, FALSE)</f>
        <v>0</v>
      </c>
      <c r="AD32">
        <f>VLOOKUP(Table56[[#This Row],[Shortname]], Comp[], 29, FALSE)</f>
        <v>0</v>
      </c>
      <c r="AE32">
        <f>VLOOKUP(Table56[[#This Row],[Shortname]], Comp[], 30, FALSE)</f>
        <v>0</v>
      </c>
      <c r="AF32">
        <f>VLOOKUP(Table56[[#This Row],[Shortname]], Comp[], 31, FALSE)</f>
        <v>0</v>
      </c>
    </row>
    <row r="33" spans="1:32" x14ac:dyDescent="0.3">
      <c r="A33" t="s">
        <v>356</v>
      </c>
      <c r="B33" t="s">
        <v>358</v>
      </c>
      <c r="C33" s="15" t="s">
        <v>6676</v>
      </c>
      <c r="D33">
        <v>982</v>
      </c>
      <c r="E33">
        <v>1444</v>
      </c>
      <c r="F33">
        <v>1469</v>
      </c>
      <c r="G33">
        <f>VLOOKUP(Table56[[#This Row],[Shortname]], Comp[], 6, FALSE)</f>
        <v>44</v>
      </c>
      <c r="H33" s="14">
        <f>VLOOKUP(Table56[[#This Row],[Shortname]], Comp[], 7, FALSE)</f>
        <v>82.179999999999993</v>
      </c>
      <c r="I33">
        <f>VLOOKUP(Table56[[#This Row],[Shortname]], Comp[], 8, FALSE)</f>
        <v>0</v>
      </c>
      <c r="J33">
        <f>VLOOKUP(Table56[[#This Row],[Shortname]], Comp[], 9, FALSE)</f>
        <v>8.3000000000000007</v>
      </c>
      <c r="K33">
        <f>VLOOKUP(Table56[[#This Row],[Shortname]], Comp[], 10, FALSE)</f>
        <v>0</v>
      </c>
      <c r="L33">
        <f>VLOOKUP(Table56[[#This Row],[Shortname]], Comp[], 11, FALSE)</f>
        <v>9.4</v>
      </c>
      <c r="M33">
        <f>VLOOKUP(Table56[[#This Row],[Shortname]], Comp[],12, FALSE)</f>
        <v>0</v>
      </c>
      <c r="N33">
        <f>VLOOKUP(Table56[[#This Row],[Shortname]], Comp[], 13, FALSE)</f>
        <v>0</v>
      </c>
      <c r="O33">
        <f>VLOOKUP(Table56[[#This Row],[Shortname]], Comp[], 14, FALSE)</f>
        <v>0</v>
      </c>
      <c r="P33">
        <f>VLOOKUP(Table56[[#This Row],[Shortname]], Comp[], 15, FALSE)</f>
        <v>0</v>
      </c>
      <c r="Q33">
        <f>VLOOKUP(Table56[[#This Row],[Shortname]], Comp[], 16, FALSE)</f>
        <v>0</v>
      </c>
      <c r="R33">
        <f>VLOOKUP(Table56[[#This Row],[Shortname]], Comp[], 17, FALSE)</f>
        <v>0</v>
      </c>
      <c r="S33">
        <f>VLOOKUP(Table56[[#This Row],[Shortname]], Comp[], 18, FALSE)</f>
        <v>0</v>
      </c>
      <c r="T33">
        <f>VLOOKUP(Table56[[#This Row],[Shortname]], Comp[], 19, FALSE)</f>
        <v>0.12</v>
      </c>
      <c r="U33">
        <f>VLOOKUP(Table56[[#This Row],[Shortname]], Comp[], 20, FALSE)</f>
        <v>0</v>
      </c>
      <c r="V33">
        <f>VLOOKUP(Table56[[#This Row],[Shortname]], Comp[], 21, FALSE)</f>
        <v>0</v>
      </c>
      <c r="W33">
        <f>VLOOKUP(Table56[[#This Row],[Shortname]], Comp[], 22, FALSE)</f>
        <v>0</v>
      </c>
      <c r="X33">
        <f>VLOOKUP(Table56[[#This Row],[Shortname]], Comp[], 23, FALSE)</f>
        <v>0</v>
      </c>
      <c r="Y33">
        <f>VLOOKUP(Table56[[#This Row],[Shortname]], Comp[], 24, FALSE)</f>
        <v>0</v>
      </c>
      <c r="Z33">
        <f>VLOOKUP(Table56[[#This Row],[Shortname]], Comp[], 25, FALSE)</f>
        <v>0</v>
      </c>
      <c r="AA33">
        <f>VLOOKUP(Table56[[#This Row],[Shortname]], Comp[], 26, FALSE)</f>
        <v>0</v>
      </c>
      <c r="AB33">
        <f>VLOOKUP(Table56[[#This Row],[Shortname]], Comp[], 27, FALSE)</f>
        <v>0</v>
      </c>
      <c r="AC33">
        <f>VLOOKUP(Table56[[#This Row],[Shortname]], Comp[], 28, FALSE)</f>
        <v>0</v>
      </c>
      <c r="AD33">
        <f>VLOOKUP(Table56[[#This Row],[Shortname]], Comp[], 29, FALSE)</f>
        <v>0</v>
      </c>
      <c r="AE33">
        <f>VLOOKUP(Table56[[#This Row],[Shortname]], Comp[], 30, FALSE)</f>
        <v>0</v>
      </c>
      <c r="AF33">
        <f>VLOOKUP(Table56[[#This Row],[Shortname]], Comp[], 31, FALSE)</f>
        <v>0</v>
      </c>
    </row>
    <row r="34" spans="1:32" x14ac:dyDescent="0.3">
      <c r="A34" t="s">
        <v>363</v>
      </c>
      <c r="B34" t="s">
        <v>364</v>
      </c>
      <c r="C34" s="15" t="s">
        <v>6677</v>
      </c>
      <c r="D34">
        <v>1101</v>
      </c>
      <c r="E34">
        <v>1414</v>
      </c>
      <c r="F34">
        <v>1439</v>
      </c>
      <c r="G34">
        <f>VLOOKUP(Table56[[#This Row],[Shortname]], Comp[], 6, FALSE)</f>
        <v>45</v>
      </c>
      <c r="H34" s="14">
        <f>VLOOKUP(Table56[[#This Row],[Shortname]], Comp[], 7, FALSE)</f>
        <v>80.320000000000007</v>
      </c>
      <c r="I34">
        <f>VLOOKUP(Table56[[#This Row],[Shortname]], Comp[], 8, FALSE)</f>
        <v>0</v>
      </c>
      <c r="J34">
        <f>VLOOKUP(Table56[[#This Row],[Shortname]], Comp[], 9, FALSE)</f>
        <v>8.9</v>
      </c>
      <c r="K34">
        <f>VLOOKUP(Table56[[#This Row],[Shortname]], Comp[], 10, FALSE)</f>
        <v>0</v>
      </c>
      <c r="L34">
        <f>VLOOKUP(Table56[[#This Row],[Shortname]], Comp[], 11, FALSE)</f>
        <v>8.5</v>
      </c>
      <c r="M34">
        <f>VLOOKUP(Table56[[#This Row],[Shortname]], Comp[],12, FALSE)</f>
        <v>0</v>
      </c>
      <c r="N34">
        <f>VLOOKUP(Table56[[#This Row],[Shortname]], Comp[], 13, FALSE)</f>
        <v>2.2000000000000002</v>
      </c>
      <c r="O34">
        <f>VLOOKUP(Table56[[#This Row],[Shortname]], Comp[], 14, FALSE)</f>
        <v>0</v>
      </c>
      <c r="P34">
        <f>VLOOKUP(Table56[[#This Row],[Shortname]], Comp[], 15, FALSE)</f>
        <v>0</v>
      </c>
      <c r="Q34">
        <f>VLOOKUP(Table56[[#This Row],[Shortname]], Comp[], 16, FALSE)</f>
        <v>0</v>
      </c>
      <c r="R34">
        <f>VLOOKUP(Table56[[#This Row],[Shortname]], Comp[], 17, FALSE)</f>
        <v>0</v>
      </c>
      <c r="S34">
        <f>VLOOKUP(Table56[[#This Row],[Shortname]], Comp[], 18, FALSE)</f>
        <v>0</v>
      </c>
      <c r="T34">
        <f>VLOOKUP(Table56[[#This Row],[Shortname]], Comp[], 19, FALSE)</f>
        <v>0.08</v>
      </c>
      <c r="U34">
        <f>VLOOKUP(Table56[[#This Row],[Shortname]], Comp[], 20, FALSE)</f>
        <v>0</v>
      </c>
      <c r="V34">
        <f>VLOOKUP(Table56[[#This Row],[Shortname]], Comp[], 21, FALSE)</f>
        <v>0</v>
      </c>
      <c r="W34">
        <f>VLOOKUP(Table56[[#This Row],[Shortname]], Comp[], 22, FALSE)</f>
        <v>0</v>
      </c>
      <c r="X34">
        <f>VLOOKUP(Table56[[#This Row],[Shortname]], Comp[], 23, FALSE)</f>
        <v>0</v>
      </c>
      <c r="Y34">
        <f>VLOOKUP(Table56[[#This Row],[Shortname]], Comp[], 24, FALSE)</f>
        <v>0</v>
      </c>
      <c r="Z34">
        <f>VLOOKUP(Table56[[#This Row],[Shortname]], Comp[], 25, FALSE)</f>
        <v>0</v>
      </c>
      <c r="AA34">
        <f>VLOOKUP(Table56[[#This Row],[Shortname]], Comp[], 26, FALSE)</f>
        <v>0</v>
      </c>
      <c r="AB34">
        <f>VLOOKUP(Table56[[#This Row],[Shortname]], Comp[], 27, FALSE)</f>
        <v>0</v>
      </c>
      <c r="AC34">
        <f>VLOOKUP(Table56[[#This Row],[Shortname]], Comp[], 28, FALSE)</f>
        <v>0</v>
      </c>
      <c r="AD34">
        <f>VLOOKUP(Table56[[#This Row],[Shortname]], Comp[], 29, FALSE)</f>
        <v>0</v>
      </c>
      <c r="AE34">
        <f>VLOOKUP(Table56[[#This Row],[Shortname]], Comp[], 30, FALSE)</f>
        <v>0</v>
      </c>
      <c r="AF34">
        <f>VLOOKUP(Table56[[#This Row],[Shortname]], Comp[], 31, FALSE)</f>
        <v>0</v>
      </c>
    </row>
    <row r="35" spans="1:32" x14ac:dyDescent="0.3">
      <c r="A35" t="s">
        <v>322</v>
      </c>
      <c r="B35" t="s">
        <v>5339</v>
      </c>
      <c r="C35" s="15" t="s">
        <v>6678</v>
      </c>
      <c r="D35">
        <v>1097</v>
      </c>
      <c r="E35">
        <v>1410</v>
      </c>
      <c r="F35">
        <v>1434</v>
      </c>
      <c r="G35">
        <f>VLOOKUP(Table56[[#This Row],[Shortname]], Comp[], 6, FALSE)</f>
        <v>39</v>
      </c>
      <c r="H35" s="14">
        <f>VLOOKUP(Table56[[#This Row],[Shortname]], Comp[], 7, FALSE)</f>
        <v>79.679999999999993</v>
      </c>
      <c r="I35">
        <f>VLOOKUP(Table56[[#This Row],[Shortname]], Comp[], 8, FALSE)</f>
        <v>0</v>
      </c>
      <c r="J35">
        <f>VLOOKUP(Table56[[#This Row],[Shortname]], Comp[], 9, FALSE)</f>
        <v>8.9</v>
      </c>
      <c r="K35">
        <f>VLOOKUP(Table56[[#This Row],[Shortname]], Comp[], 10, FALSE)</f>
        <v>0</v>
      </c>
      <c r="L35">
        <f>VLOOKUP(Table56[[#This Row],[Shortname]], Comp[], 11, FALSE)</f>
        <v>9.3000000000000007</v>
      </c>
      <c r="M35">
        <f>VLOOKUP(Table56[[#This Row],[Shortname]], Comp[],12, FALSE)</f>
        <v>0</v>
      </c>
      <c r="N35">
        <f>VLOOKUP(Table56[[#This Row],[Shortname]], Comp[], 13, FALSE)</f>
        <v>2</v>
      </c>
      <c r="O35">
        <f>VLOOKUP(Table56[[#This Row],[Shortname]], Comp[], 14, FALSE)</f>
        <v>0</v>
      </c>
      <c r="P35">
        <f>VLOOKUP(Table56[[#This Row],[Shortname]], Comp[], 15, FALSE)</f>
        <v>0</v>
      </c>
      <c r="Q35">
        <f>VLOOKUP(Table56[[#This Row],[Shortname]], Comp[], 16, FALSE)</f>
        <v>0</v>
      </c>
      <c r="R35">
        <f>VLOOKUP(Table56[[#This Row],[Shortname]], Comp[], 17, FALSE)</f>
        <v>0</v>
      </c>
      <c r="S35">
        <f>VLOOKUP(Table56[[#This Row],[Shortname]], Comp[], 18, FALSE)</f>
        <v>0</v>
      </c>
      <c r="T35">
        <f>VLOOKUP(Table56[[#This Row],[Shortname]], Comp[], 19, FALSE)</f>
        <v>0.12</v>
      </c>
      <c r="U35">
        <f>VLOOKUP(Table56[[#This Row],[Shortname]], Comp[], 20, FALSE)</f>
        <v>0</v>
      </c>
      <c r="V35">
        <f>VLOOKUP(Table56[[#This Row],[Shortname]], Comp[], 21, FALSE)</f>
        <v>0</v>
      </c>
      <c r="W35">
        <f>VLOOKUP(Table56[[#This Row],[Shortname]], Comp[], 22, FALSE)</f>
        <v>0</v>
      </c>
      <c r="X35">
        <f>VLOOKUP(Table56[[#This Row],[Shortname]], Comp[], 23, FALSE)</f>
        <v>0</v>
      </c>
      <c r="Y35">
        <f>VLOOKUP(Table56[[#This Row],[Shortname]], Comp[], 24, FALSE)</f>
        <v>0</v>
      </c>
      <c r="Z35">
        <f>VLOOKUP(Table56[[#This Row],[Shortname]], Comp[], 25, FALSE)</f>
        <v>0</v>
      </c>
      <c r="AA35">
        <f>VLOOKUP(Table56[[#This Row],[Shortname]], Comp[], 26, FALSE)</f>
        <v>0</v>
      </c>
      <c r="AB35">
        <f>VLOOKUP(Table56[[#This Row],[Shortname]], Comp[], 27, FALSE)</f>
        <v>0</v>
      </c>
      <c r="AC35">
        <f>VLOOKUP(Table56[[#This Row],[Shortname]], Comp[], 28, FALSE)</f>
        <v>0</v>
      </c>
      <c r="AD35">
        <f>VLOOKUP(Table56[[#This Row],[Shortname]], Comp[], 29, FALSE)</f>
        <v>0</v>
      </c>
      <c r="AE35">
        <f>VLOOKUP(Table56[[#This Row],[Shortname]], Comp[], 30, FALSE)</f>
        <v>0</v>
      </c>
      <c r="AF35">
        <f>VLOOKUP(Table56[[#This Row],[Shortname]], Comp[], 31, FALSE)</f>
        <v>0</v>
      </c>
    </row>
    <row r="36" spans="1:32" x14ac:dyDescent="0.3">
      <c r="A36" t="s">
        <v>371</v>
      </c>
      <c r="B36" t="s">
        <v>372</v>
      </c>
      <c r="C36" s="15" t="s">
        <v>6679</v>
      </c>
      <c r="D36">
        <v>1079</v>
      </c>
      <c r="E36">
        <v>1390</v>
      </c>
      <c r="F36">
        <v>1411</v>
      </c>
      <c r="G36">
        <f>VLOOKUP(Table56[[#This Row],[Shortname]], Comp[], 6, FALSE)</f>
        <v>47</v>
      </c>
      <c r="H36" s="14">
        <f>VLOOKUP(Table56[[#This Row],[Shortname]], Comp[], 7, FALSE)</f>
        <v>82.5</v>
      </c>
      <c r="I36">
        <f>VLOOKUP(Table56[[#This Row],[Shortname]], Comp[], 8, FALSE)</f>
        <v>0</v>
      </c>
      <c r="J36">
        <f>VLOOKUP(Table56[[#This Row],[Shortname]], Comp[], 9, FALSE)</f>
        <v>8</v>
      </c>
      <c r="K36">
        <f>VLOOKUP(Table56[[#This Row],[Shortname]], Comp[], 10, FALSE)</f>
        <v>0</v>
      </c>
      <c r="L36">
        <f>VLOOKUP(Table56[[#This Row],[Shortname]], Comp[], 11, FALSE)</f>
        <v>6.7</v>
      </c>
      <c r="M36">
        <f>VLOOKUP(Table56[[#This Row],[Shortname]], Comp[],12, FALSE)</f>
        <v>0</v>
      </c>
      <c r="N36">
        <f>VLOOKUP(Table56[[#This Row],[Shortname]], Comp[], 13, FALSE)</f>
        <v>1.4</v>
      </c>
      <c r="O36">
        <f>VLOOKUP(Table56[[#This Row],[Shortname]], Comp[], 14, FALSE)</f>
        <v>1.4</v>
      </c>
      <c r="P36">
        <f>VLOOKUP(Table56[[#This Row],[Shortname]], Comp[], 15, FALSE)</f>
        <v>0</v>
      </c>
      <c r="Q36">
        <f>VLOOKUP(Table56[[#This Row],[Shortname]], Comp[], 16, FALSE)</f>
        <v>0</v>
      </c>
      <c r="R36">
        <f>VLOOKUP(Table56[[#This Row],[Shortname]], Comp[], 17, FALSE)</f>
        <v>0</v>
      </c>
      <c r="S36">
        <f>VLOOKUP(Table56[[#This Row],[Shortname]], Comp[], 18, FALSE)</f>
        <v>0</v>
      </c>
      <c r="T36">
        <f>VLOOKUP(Table56[[#This Row],[Shortname]], Comp[], 19, FALSE)</f>
        <v>0</v>
      </c>
      <c r="U36">
        <f>VLOOKUP(Table56[[#This Row],[Shortname]], Comp[], 20, FALSE)</f>
        <v>0</v>
      </c>
      <c r="V36">
        <f>VLOOKUP(Table56[[#This Row],[Shortname]], Comp[], 21, FALSE)</f>
        <v>0</v>
      </c>
      <c r="W36">
        <f>VLOOKUP(Table56[[#This Row],[Shortname]], Comp[], 22, FALSE)</f>
        <v>0</v>
      </c>
      <c r="X36">
        <f>VLOOKUP(Table56[[#This Row],[Shortname]], Comp[], 23, FALSE)</f>
        <v>0</v>
      </c>
      <c r="Y36">
        <f>VLOOKUP(Table56[[#This Row],[Shortname]], Comp[], 24, FALSE)</f>
        <v>0</v>
      </c>
      <c r="Z36">
        <f>VLOOKUP(Table56[[#This Row],[Shortname]], Comp[], 25, FALSE)</f>
        <v>0</v>
      </c>
      <c r="AA36">
        <f>VLOOKUP(Table56[[#This Row],[Shortname]], Comp[], 26, FALSE)</f>
        <v>0</v>
      </c>
      <c r="AB36">
        <f>VLOOKUP(Table56[[#This Row],[Shortname]], Comp[], 27, FALSE)</f>
        <v>0</v>
      </c>
      <c r="AC36">
        <f>VLOOKUP(Table56[[#This Row],[Shortname]], Comp[], 28, FALSE)</f>
        <v>0</v>
      </c>
      <c r="AD36">
        <f>VLOOKUP(Table56[[#This Row],[Shortname]], Comp[], 29, FALSE)</f>
        <v>0</v>
      </c>
      <c r="AE36">
        <f>VLOOKUP(Table56[[#This Row],[Shortname]], Comp[], 30, FALSE)</f>
        <v>0</v>
      </c>
      <c r="AF36">
        <f>VLOOKUP(Table56[[#This Row],[Shortname]], Comp[], 31, FALSE)</f>
        <v>0</v>
      </c>
    </row>
    <row r="37" spans="1:32" x14ac:dyDescent="0.3">
      <c r="A37" t="s">
        <v>377</v>
      </c>
      <c r="B37" t="s">
        <v>379</v>
      </c>
      <c r="C37" s="15" t="s">
        <v>6680</v>
      </c>
      <c r="D37">
        <v>1011</v>
      </c>
      <c r="E37">
        <v>1430</v>
      </c>
      <c r="F37">
        <v>1459</v>
      </c>
      <c r="G37">
        <f>VLOOKUP(Table56[[#This Row],[Shortname]], Comp[], 6, FALSE)</f>
        <v>48</v>
      </c>
      <c r="H37" s="14">
        <f>VLOOKUP(Table56[[#This Row],[Shortname]], Comp[], 7, FALSE)</f>
        <v>82</v>
      </c>
      <c r="I37">
        <f>VLOOKUP(Table56[[#This Row],[Shortname]], Comp[], 8, FALSE)</f>
        <v>0</v>
      </c>
      <c r="J37">
        <f>VLOOKUP(Table56[[#This Row],[Shortname]], Comp[], 9, FALSE)</f>
        <v>8.1999999999999993</v>
      </c>
      <c r="K37">
        <f>VLOOKUP(Table56[[#This Row],[Shortname]], Comp[], 10, FALSE)</f>
        <v>0</v>
      </c>
      <c r="L37">
        <f>VLOOKUP(Table56[[#This Row],[Shortname]], Comp[], 11, FALSE)</f>
        <v>9.4</v>
      </c>
      <c r="M37">
        <f>VLOOKUP(Table56[[#This Row],[Shortname]], Comp[],12, FALSE)</f>
        <v>0</v>
      </c>
      <c r="N37">
        <f>VLOOKUP(Table56[[#This Row],[Shortname]], Comp[], 13, FALSE)</f>
        <v>0</v>
      </c>
      <c r="O37">
        <f>VLOOKUP(Table56[[#This Row],[Shortname]], Comp[], 14, FALSE)</f>
        <v>0.4</v>
      </c>
      <c r="P37">
        <f>VLOOKUP(Table56[[#This Row],[Shortname]], Comp[], 15, FALSE)</f>
        <v>0</v>
      </c>
      <c r="Q37">
        <f>VLOOKUP(Table56[[#This Row],[Shortname]], Comp[], 16, FALSE)</f>
        <v>0</v>
      </c>
      <c r="R37">
        <f>VLOOKUP(Table56[[#This Row],[Shortname]], Comp[], 17, FALSE)</f>
        <v>0</v>
      </c>
      <c r="S37">
        <f>VLOOKUP(Table56[[#This Row],[Shortname]], Comp[], 18, FALSE)</f>
        <v>0</v>
      </c>
      <c r="T37">
        <f>VLOOKUP(Table56[[#This Row],[Shortname]], Comp[], 19, FALSE)</f>
        <v>0</v>
      </c>
      <c r="U37">
        <f>VLOOKUP(Table56[[#This Row],[Shortname]], Comp[], 20, FALSE)</f>
        <v>0</v>
      </c>
      <c r="V37">
        <f>VLOOKUP(Table56[[#This Row],[Shortname]], Comp[], 21, FALSE)</f>
        <v>0</v>
      </c>
      <c r="W37">
        <f>VLOOKUP(Table56[[#This Row],[Shortname]], Comp[], 22, FALSE)</f>
        <v>0</v>
      </c>
      <c r="X37">
        <f>VLOOKUP(Table56[[#This Row],[Shortname]], Comp[], 23, FALSE)</f>
        <v>0</v>
      </c>
      <c r="Y37">
        <f>VLOOKUP(Table56[[#This Row],[Shortname]], Comp[], 24, FALSE)</f>
        <v>0</v>
      </c>
      <c r="Z37">
        <f>VLOOKUP(Table56[[#This Row],[Shortname]], Comp[], 25, FALSE)</f>
        <v>0</v>
      </c>
      <c r="AA37">
        <f>VLOOKUP(Table56[[#This Row],[Shortname]], Comp[], 26, FALSE)</f>
        <v>0</v>
      </c>
      <c r="AB37">
        <f>VLOOKUP(Table56[[#This Row],[Shortname]], Comp[], 27, FALSE)</f>
        <v>0</v>
      </c>
      <c r="AC37">
        <f>VLOOKUP(Table56[[#This Row],[Shortname]], Comp[], 28, FALSE)</f>
        <v>0</v>
      </c>
      <c r="AD37">
        <f>VLOOKUP(Table56[[#This Row],[Shortname]], Comp[], 29, FALSE)</f>
        <v>0</v>
      </c>
      <c r="AE37">
        <f>VLOOKUP(Table56[[#This Row],[Shortname]], Comp[], 30, FALSE)</f>
        <v>0</v>
      </c>
      <c r="AF37">
        <f>VLOOKUP(Table56[[#This Row],[Shortname]], Comp[], 31, FALSE)</f>
        <v>0</v>
      </c>
    </row>
    <row r="38" spans="1:32" x14ac:dyDescent="0.3">
      <c r="A38" t="s">
        <v>104</v>
      </c>
      <c r="B38" t="s">
        <v>5343</v>
      </c>
      <c r="C38" s="15" t="s">
        <v>6681</v>
      </c>
      <c r="D38">
        <v>1064</v>
      </c>
      <c r="E38">
        <v>1377</v>
      </c>
      <c r="F38">
        <v>1426</v>
      </c>
      <c r="G38">
        <f>VLOOKUP(Table56[[#This Row],[Shortname]], Comp[], 6, FALSE)</f>
        <v>10</v>
      </c>
      <c r="H38" s="14">
        <f>VLOOKUP(Table56[[#This Row],[Shortname]], Comp[], 7, FALSE)</f>
        <v>78.599999999999994</v>
      </c>
      <c r="I38">
        <f>VLOOKUP(Table56[[#This Row],[Shortname]], Comp[], 8, FALSE)</f>
        <v>0</v>
      </c>
      <c r="J38">
        <f>VLOOKUP(Table56[[#This Row],[Shortname]], Comp[], 9, FALSE)</f>
        <v>9.4</v>
      </c>
      <c r="K38">
        <f>VLOOKUP(Table56[[#This Row],[Shortname]], Comp[], 10, FALSE)</f>
        <v>0</v>
      </c>
      <c r="L38">
        <f>VLOOKUP(Table56[[#This Row],[Shortname]], Comp[], 11, FALSE)</f>
        <v>10.199999999999999</v>
      </c>
      <c r="M38">
        <f>VLOOKUP(Table56[[#This Row],[Shortname]], Comp[],12, FALSE)</f>
        <v>0</v>
      </c>
      <c r="N38">
        <f>VLOOKUP(Table56[[#This Row],[Shortname]], Comp[], 13, FALSE)</f>
        <v>0</v>
      </c>
      <c r="O38">
        <f>VLOOKUP(Table56[[#This Row],[Shortname]], Comp[], 14, FALSE)</f>
        <v>1.8</v>
      </c>
      <c r="P38">
        <f>VLOOKUP(Table56[[#This Row],[Shortname]], Comp[], 15, FALSE)</f>
        <v>0</v>
      </c>
      <c r="Q38">
        <f>VLOOKUP(Table56[[#This Row],[Shortname]], Comp[], 16, FALSE)</f>
        <v>0</v>
      </c>
      <c r="R38">
        <f>VLOOKUP(Table56[[#This Row],[Shortname]], Comp[], 17, FALSE)</f>
        <v>0</v>
      </c>
      <c r="S38">
        <f>VLOOKUP(Table56[[#This Row],[Shortname]], Comp[], 18, FALSE)</f>
        <v>0</v>
      </c>
      <c r="T38">
        <f>VLOOKUP(Table56[[#This Row],[Shortname]], Comp[], 19, FALSE)</f>
        <v>0</v>
      </c>
      <c r="U38">
        <f>VLOOKUP(Table56[[#This Row],[Shortname]], Comp[], 20, FALSE)</f>
        <v>0</v>
      </c>
      <c r="V38">
        <f>VLOOKUP(Table56[[#This Row],[Shortname]], Comp[], 21, FALSE)</f>
        <v>0</v>
      </c>
      <c r="W38">
        <f>VLOOKUP(Table56[[#This Row],[Shortname]], Comp[], 22, FALSE)</f>
        <v>0</v>
      </c>
      <c r="X38">
        <f>VLOOKUP(Table56[[#This Row],[Shortname]], Comp[], 23, FALSE)</f>
        <v>0</v>
      </c>
      <c r="Y38">
        <f>VLOOKUP(Table56[[#This Row],[Shortname]], Comp[], 24, FALSE)</f>
        <v>0</v>
      </c>
      <c r="Z38">
        <f>VLOOKUP(Table56[[#This Row],[Shortname]], Comp[], 25, FALSE)</f>
        <v>0</v>
      </c>
      <c r="AA38">
        <f>VLOOKUP(Table56[[#This Row],[Shortname]], Comp[], 26, FALSE)</f>
        <v>0</v>
      </c>
      <c r="AB38">
        <f>VLOOKUP(Table56[[#This Row],[Shortname]], Comp[], 27, FALSE)</f>
        <v>0</v>
      </c>
      <c r="AC38">
        <f>VLOOKUP(Table56[[#This Row],[Shortname]], Comp[], 28, FALSE)</f>
        <v>0</v>
      </c>
      <c r="AD38">
        <f>VLOOKUP(Table56[[#This Row],[Shortname]], Comp[], 29, FALSE)</f>
        <v>0</v>
      </c>
      <c r="AE38">
        <f>VLOOKUP(Table56[[#This Row],[Shortname]], Comp[], 30, FALSE)</f>
        <v>0</v>
      </c>
      <c r="AF38">
        <f>VLOOKUP(Table56[[#This Row],[Shortname]], Comp[], 31, FALSE)</f>
        <v>0</v>
      </c>
    </row>
    <row r="39" spans="1:32" x14ac:dyDescent="0.3">
      <c r="A39" t="s">
        <v>385</v>
      </c>
      <c r="B39" t="s">
        <v>387</v>
      </c>
      <c r="C39" s="15" t="s">
        <v>6682</v>
      </c>
      <c r="D39">
        <v>994</v>
      </c>
      <c r="E39">
        <v>1436</v>
      </c>
      <c r="F39">
        <v>1461</v>
      </c>
      <c r="G39">
        <f>VLOOKUP(Table56[[#This Row],[Shortname]], Comp[], 6, FALSE)</f>
        <v>50</v>
      </c>
      <c r="H39" s="14">
        <f>VLOOKUP(Table56[[#This Row],[Shortname]], Comp[], 7, FALSE)</f>
        <v>81.259999999999991</v>
      </c>
      <c r="I39">
        <f>VLOOKUP(Table56[[#This Row],[Shortname]], Comp[], 8, FALSE)</f>
        <v>0</v>
      </c>
      <c r="J39">
        <f>VLOOKUP(Table56[[#This Row],[Shortname]], Comp[], 9, FALSE)</f>
        <v>8.1999999999999993</v>
      </c>
      <c r="K39">
        <f>VLOOKUP(Table56[[#This Row],[Shortname]], Comp[], 10, FALSE)</f>
        <v>0</v>
      </c>
      <c r="L39">
        <f>VLOOKUP(Table56[[#This Row],[Shortname]], Comp[], 11, FALSE)</f>
        <v>9.4</v>
      </c>
      <c r="M39">
        <f>VLOOKUP(Table56[[#This Row],[Shortname]], Comp[],12, FALSE)</f>
        <v>0</v>
      </c>
      <c r="N39">
        <f>VLOOKUP(Table56[[#This Row],[Shortname]], Comp[], 13, FALSE)</f>
        <v>0</v>
      </c>
      <c r="O39">
        <f>VLOOKUP(Table56[[#This Row],[Shortname]], Comp[], 14, FALSE)</f>
        <v>0</v>
      </c>
      <c r="P39">
        <f>VLOOKUP(Table56[[#This Row],[Shortname]], Comp[], 15, FALSE)</f>
        <v>0</v>
      </c>
      <c r="Q39">
        <f>VLOOKUP(Table56[[#This Row],[Shortname]], Comp[], 16, FALSE)</f>
        <v>1.1000000000000001</v>
      </c>
      <c r="R39">
        <f>VLOOKUP(Table56[[#This Row],[Shortname]], Comp[], 17, FALSE)</f>
        <v>0</v>
      </c>
      <c r="S39">
        <f>VLOOKUP(Table56[[#This Row],[Shortname]], Comp[], 18, FALSE)</f>
        <v>0</v>
      </c>
      <c r="T39">
        <f>VLOOKUP(Table56[[#This Row],[Shortname]], Comp[], 19, FALSE)</f>
        <v>0.04</v>
      </c>
      <c r="U39">
        <f>VLOOKUP(Table56[[#This Row],[Shortname]], Comp[], 20, FALSE)</f>
        <v>0</v>
      </c>
      <c r="V39">
        <f>VLOOKUP(Table56[[#This Row],[Shortname]], Comp[], 21, FALSE)</f>
        <v>0</v>
      </c>
      <c r="W39">
        <f>VLOOKUP(Table56[[#This Row],[Shortname]], Comp[], 22, FALSE)</f>
        <v>0</v>
      </c>
      <c r="X39">
        <f>VLOOKUP(Table56[[#This Row],[Shortname]], Comp[], 23, FALSE)</f>
        <v>0</v>
      </c>
      <c r="Y39">
        <f>VLOOKUP(Table56[[#This Row],[Shortname]], Comp[], 24, FALSE)</f>
        <v>0</v>
      </c>
      <c r="Z39">
        <f>VLOOKUP(Table56[[#This Row],[Shortname]], Comp[], 25, FALSE)</f>
        <v>0</v>
      </c>
      <c r="AA39">
        <f>VLOOKUP(Table56[[#This Row],[Shortname]], Comp[], 26, FALSE)</f>
        <v>0</v>
      </c>
      <c r="AB39">
        <f>VLOOKUP(Table56[[#This Row],[Shortname]], Comp[], 27, FALSE)</f>
        <v>0</v>
      </c>
      <c r="AC39">
        <f>VLOOKUP(Table56[[#This Row],[Shortname]], Comp[], 28, FALSE)</f>
        <v>0</v>
      </c>
      <c r="AD39">
        <f>VLOOKUP(Table56[[#This Row],[Shortname]], Comp[], 29, FALSE)</f>
        <v>0</v>
      </c>
      <c r="AE39">
        <f>VLOOKUP(Table56[[#This Row],[Shortname]], Comp[], 30, FALSE)</f>
        <v>0</v>
      </c>
      <c r="AF39">
        <f>VLOOKUP(Table56[[#This Row],[Shortname]], Comp[], 31, FALSE)</f>
        <v>0</v>
      </c>
    </row>
    <row r="40" spans="1:32" x14ac:dyDescent="0.3">
      <c r="A40" t="s">
        <v>393</v>
      </c>
      <c r="B40" t="s">
        <v>394</v>
      </c>
      <c r="C40" s="15" t="s">
        <v>6683</v>
      </c>
      <c r="D40">
        <v>1082</v>
      </c>
      <c r="E40">
        <v>1398</v>
      </c>
      <c r="F40">
        <v>1417</v>
      </c>
      <c r="G40">
        <f>VLOOKUP(Table56[[#This Row],[Shortname]], Comp[], 6, FALSE)</f>
        <v>51</v>
      </c>
      <c r="H40" s="14">
        <f>VLOOKUP(Table56[[#This Row],[Shortname]], Comp[], 7, FALSE)</f>
        <v>78.900000000000006</v>
      </c>
      <c r="I40">
        <f>VLOOKUP(Table56[[#This Row],[Shortname]], Comp[], 8, FALSE)</f>
        <v>0</v>
      </c>
      <c r="J40">
        <f>VLOOKUP(Table56[[#This Row],[Shortname]], Comp[], 9, FALSE)</f>
        <v>8.1999999999999993</v>
      </c>
      <c r="K40">
        <f>VLOOKUP(Table56[[#This Row],[Shortname]], Comp[], 10, FALSE)</f>
        <v>0</v>
      </c>
      <c r="L40">
        <f>VLOOKUP(Table56[[#This Row],[Shortname]], Comp[], 11, FALSE)</f>
        <v>9.6</v>
      </c>
      <c r="M40">
        <f>VLOOKUP(Table56[[#This Row],[Shortname]], Comp[],12, FALSE)</f>
        <v>0</v>
      </c>
      <c r="N40">
        <f>VLOOKUP(Table56[[#This Row],[Shortname]], Comp[], 13, FALSE)</f>
        <v>1.5</v>
      </c>
      <c r="O40">
        <f>VLOOKUP(Table56[[#This Row],[Shortname]], Comp[], 14, FALSE)</f>
        <v>0</v>
      </c>
      <c r="P40">
        <f>VLOOKUP(Table56[[#This Row],[Shortname]], Comp[], 15, FALSE)</f>
        <v>0</v>
      </c>
      <c r="Q40">
        <f>VLOOKUP(Table56[[#This Row],[Shortname]], Comp[], 16, FALSE)</f>
        <v>1.8</v>
      </c>
      <c r="R40">
        <f>VLOOKUP(Table56[[#This Row],[Shortname]], Comp[], 17, FALSE)</f>
        <v>0</v>
      </c>
      <c r="S40">
        <f>VLOOKUP(Table56[[#This Row],[Shortname]], Comp[], 18, FALSE)</f>
        <v>0</v>
      </c>
      <c r="T40">
        <f>VLOOKUP(Table56[[#This Row],[Shortname]], Comp[], 19, FALSE)</f>
        <v>0</v>
      </c>
      <c r="U40">
        <f>VLOOKUP(Table56[[#This Row],[Shortname]], Comp[], 20, FALSE)</f>
        <v>0</v>
      </c>
      <c r="V40">
        <f>VLOOKUP(Table56[[#This Row],[Shortname]], Comp[], 21, FALSE)</f>
        <v>0</v>
      </c>
      <c r="W40">
        <f>VLOOKUP(Table56[[#This Row],[Shortname]], Comp[], 22, FALSE)</f>
        <v>0</v>
      </c>
      <c r="X40">
        <f>VLOOKUP(Table56[[#This Row],[Shortname]], Comp[], 23, FALSE)</f>
        <v>0</v>
      </c>
      <c r="Y40">
        <f>VLOOKUP(Table56[[#This Row],[Shortname]], Comp[], 24, FALSE)</f>
        <v>0</v>
      </c>
      <c r="Z40">
        <f>VLOOKUP(Table56[[#This Row],[Shortname]], Comp[], 25, FALSE)</f>
        <v>0</v>
      </c>
      <c r="AA40">
        <f>VLOOKUP(Table56[[#This Row],[Shortname]], Comp[], 26, FALSE)</f>
        <v>0</v>
      </c>
      <c r="AB40">
        <f>VLOOKUP(Table56[[#This Row],[Shortname]], Comp[], 27, FALSE)</f>
        <v>0</v>
      </c>
      <c r="AC40">
        <f>VLOOKUP(Table56[[#This Row],[Shortname]], Comp[], 28, FALSE)</f>
        <v>0</v>
      </c>
      <c r="AD40">
        <f>VLOOKUP(Table56[[#This Row],[Shortname]], Comp[], 29, FALSE)</f>
        <v>0</v>
      </c>
      <c r="AE40">
        <f>VLOOKUP(Table56[[#This Row],[Shortname]], Comp[], 30, FALSE)</f>
        <v>0</v>
      </c>
      <c r="AF40">
        <f>VLOOKUP(Table56[[#This Row],[Shortname]], Comp[], 31, FALSE)</f>
        <v>0</v>
      </c>
    </row>
    <row r="41" spans="1:32" x14ac:dyDescent="0.3">
      <c r="A41" t="s">
        <v>400</v>
      </c>
      <c r="B41" t="s">
        <v>402</v>
      </c>
      <c r="C41" s="15" t="s">
        <v>6684</v>
      </c>
      <c r="D41">
        <v>989</v>
      </c>
      <c r="E41">
        <v>1434</v>
      </c>
      <c r="F41">
        <v>1462</v>
      </c>
      <c r="G41">
        <f>VLOOKUP(Table56[[#This Row],[Shortname]], Comp[], 6, FALSE)</f>
        <v>52</v>
      </c>
      <c r="H41" s="14">
        <f>VLOOKUP(Table56[[#This Row],[Shortname]], Comp[], 7, FALSE)</f>
        <v>81</v>
      </c>
      <c r="I41">
        <f>VLOOKUP(Table56[[#This Row],[Shortname]], Comp[], 8, FALSE)</f>
        <v>0</v>
      </c>
      <c r="J41">
        <f>VLOOKUP(Table56[[#This Row],[Shortname]], Comp[], 9, FALSE)</f>
        <v>8.4</v>
      </c>
      <c r="K41">
        <f>VLOOKUP(Table56[[#This Row],[Shortname]], Comp[], 10, FALSE)</f>
        <v>0</v>
      </c>
      <c r="L41">
        <f>VLOOKUP(Table56[[#This Row],[Shortname]], Comp[], 11, FALSE)</f>
        <v>10.1</v>
      </c>
      <c r="M41">
        <f>VLOOKUP(Table56[[#This Row],[Shortname]], Comp[],12, FALSE)</f>
        <v>0</v>
      </c>
      <c r="N41">
        <f>VLOOKUP(Table56[[#This Row],[Shortname]], Comp[], 13, FALSE)</f>
        <v>0</v>
      </c>
      <c r="O41">
        <f>VLOOKUP(Table56[[#This Row],[Shortname]], Comp[], 14, FALSE)</f>
        <v>0</v>
      </c>
      <c r="P41">
        <f>VLOOKUP(Table56[[#This Row],[Shortname]], Comp[], 15, FALSE)</f>
        <v>0</v>
      </c>
      <c r="Q41">
        <f>VLOOKUP(Table56[[#This Row],[Shortname]], Comp[], 16, FALSE)</f>
        <v>0</v>
      </c>
      <c r="R41">
        <f>VLOOKUP(Table56[[#This Row],[Shortname]], Comp[], 17, FALSE)</f>
        <v>0</v>
      </c>
      <c r="S41">
        <f>VLOOKUP(Table56[[#This Row],[Shortname]], Comp[], 18, FALSE)</f>
        <v>0</v>
      </c>
      <c r="T41">
        <f>VLOOKUP(Table56[[#This Row],[Shortname]], Comp[], 19, FALSE)</f>
        <v>0</v>
      </c>
      <c r="U41">
        <f>VLOOKUP(Table56[[#This Row],[Shortname]], Comp[], 20, FALSE)</f>
        <v>0</v>
      </c>
      <c r="V41">
        <f>VLOOKUP(Table56[[#This Row],[Shortname]], Comp[], 21, FALSE)</f>
        <v>0</v>
      </c>
      <c r="W41">
        <f>VLOOKUP(Table56[[#This Row],[Shortname]], Comp[], 22, FALSE)</f>
        <v>0.5</v>
      </c>
      <c r="X41">
        <f>VLOOKUP(Table56[[#This Row],[Shortname]], Comp[], 23, FALSE)</f>
        <v>0</v>
      </c>
      <c r="Y41">
        <f>VLOOKUP(Table56[[#This Row],[Shortname]], Comp[], 24, FALSE)</f>
        <v>0</v>
      </c>
      <c r="Z41">
        <f>VLOOKUP(Table56[[#This Row],[Shortname]], Comp[], 25, FALSE)</f>
        <v>0</v>
      </c>
      <c r="AA41">
        <f>VLOOKUP(Table56[[#This Row],[Shortname]], Comp[], 26, FALSE)</f>
        <v>0</v>
      </c>
      <c r="AB41">
        <f>VLOOKUP(Table56[[#This Row],[Shortname]], Comp[], 27, FALSE)</f>
        <v>0</v>
      </c>
      <c r="AC41">
        <f>VLOOKUP(Table56[[#This Row],[Shortname]], Comp[], 28, FALSE)</f>
        <v>0</v>
      </c>
      <c r="AD41">
        <f>VLOOKUP(Table56[[#This Row],[Shortname]], Comp[], 29, FALSE)</f>
        <v>0</v>
      </c>
      <c r="AE41">
        <f>VLOOKUP(Table56[[#This Row],[Shortname]], Comp[], 30, FALSE)</f>
        <v>0</v>
      </c>
      <c r="AF41">
        <f>VLOOKUP(Table56[[#This Row],[Shortname]], Comp[], 31, FALSE)</f>
        <v>0</v>
      </c>
    </row>
    <row r="42" spans="1:32" x14ac:dyDescent="0.3">
      <c r="A42" t="s">
        <v>410</v>
      </c>
      <c r="B42" t="s">
        <v>412</v>
      </c>
      <c r="C42" s="15" t="s">
        <v>6685</v>
      </c>
      <c r="D42">
        <v>998</v>
      </c>
      <c r="E42">
        <v>1414</v>
      </c>
      <c r="F42">
        <v>1449</v>
      </c>
      <c r="G42">
        <f>VLOOKUP(Table56[[#This Row],[Shortname]], Comp[], 6, FALSE)</f>
        <v>53</v>
      </c>
      <c r="H42" s="14">
        <f>VLOOKUP(Table56[[#This Row],[Shortname]], Comp[], 7, FALSE)</f>
        <v>79</v>
      </c>
      <c r="I42">
        <f>VLOOKUP(Table56[[#This Row],[Shortname]], Comp[], 8, FALSE)</f>
        <v>0</v>
      </c>
      <c r="J42">
        <f>VLOOKUP(Table56[[#This Row],[Shortname]], Comp[], 9, FALSE)</f>
        <v>8.6999999999999993</v>
      </c>
      <c r="K42">
        <f>VLOOKUP(Table56[[#This Row],[Shortname]], Comp[], 10, FALSE)</f>
        <v>0</v>
      </c>
      <c r="L42">
        <f>VLOOKUP(Table56[[#This Row],[Shortname]], Comp[], 11, FALSE)</f>
        <v>10.3</v>
      </c>
      <c r="M42">
        <f>VLOOKUP(Table56[[#This Row],[Shortname]], Comp[],12, FALSE)</f>
        <v>0</v>
      </c>
      <c r="N42">
        <f>VLOOKUP(Table56[[#This Row],[Shortname]], Comp[], 13, FALSE)</f>
        <v>0</v>
      </c>
      <c r="O42">
        <f>VLOOKUP(Table56[[#This Row],[Shortname]], Comp[], 14, FALSE)</f>
        <v>0</v>
      </c>
      <c r="P42">
        <f>VLOOKUP(Table56[[#This Row],[Shortname]], Comp[], 15, FALSE)</f>
        <v>0</v>
      </c>
      <c r="Q42">
        <f>VLOOKUP(Table56[[#This Row],[Shortname]], Comp[], 16, FALSE)</f>
        <v>0</v>
      </c>
      <c r="R42">
        <f>VLOOKUP(Table56[[#This Row],[Shortname]], Comp[], 17, FALSE)</f>
        <v>0</v>
      </c>
      <c r="S42">
        <f>VLOOKUP(Table56[[#This Row],[Shortname]], Comp[], 18, FALSE)</f>
        <v>0</v>
      </c>
      <c r="T42">
        <f>VLOOKUP(Table56[[#This Row],[Shortname]], Comp[], 19, FALSE)</f>
        <v>0</v>
      </c>
      <c r="U42">
        <f>VLOOKUP(Table56[[#This Row],[Shortname]], Comp[], 20, FALSE)</f>
        <v>0</v>
      </c>
      <c r="V42">
        <f>VLOOKUP(Table56[[#This Row],[Shortname]], Comp[], 21, FALSE)</f>
        <v>0</v>
      </c>
      <c r="W42">
        <f>VLOOKUP(Table56[[#This Row],[Shortname]], Comp[], 22, FALSE)</f>
        <v>2</v>
      </c>
      <c r="X42">
        <f>VLOOKUP(Table56[[#This Row],[Shortname]], Comp[], 23, FALSE)</f>
        <v>0</v>
      </c>
      <c r="Y42">
        <f>VLOOKUP(Table56[[#This Row],[Shortname]], Comp[], 24, FALSE)</f>
        <v>0</v>
      </c>
      <c r="Z42">
        <f>VLOOKUP(Table56[[#This Row],[Shortname]], Comp[], 25, FALSE)</f>
        <v>0</v>
      </c>
      <c r="AA42">
        <f>VLOOKUP(Table56[[#This Row],[Shortname]], Comp[], 26, FALSE)</f>
        <v>0</v>
      </c>
      <c r="AB42">
        <f>VLOOKUP(Table56[[#This Row],[Shortname]], Comp[], 27, FALSE)</f>
        <v>0</v>
      </c>
      <c r="AC42">
        <f>VLOOKUP(Table56[[#This Row],[Shortname]], Comp[], 28, FALSE)</f>
        <v>0</v>
      </c>
      <c r="AD42">
        <f>VLOOKUP(Table56[[#This Row],[Shortname]], Comp[], 29, FALSE)</f>
        <v>0</v>
      </c>
      <c r="AE42">
        <f>VLOOKUP(Table56[[#This Row],[Shortname]], Comp[], 30, FALSE)</f>
        <v>0</v>
      </c>
      <c r="AF42">
        <f>VLOOKUP(Table56[[#This Row],[Shortname]], Comp[], 31, FALSE)</f>
        <v>0</v>
      </c>
    </row>
    <row r="43" spans="1:32" x14ac:dyDescent="0.3">
      <c r="A43" t="s">
        <v>181</v>
      </c>
      <c r="B43" t="s">
        <v>5346</v>
      </c>
      <c r="C43" s="15" t="s">
        <v>6686</v>
      </c>
      <c r="D43">
        <v>1054</v>
      </c>
      <c r="E43">
        <v>1392</v>
      </c>
      <c r="F43">
        <v>1413</v>
      </c>
      <c r="G43">
        <f>VLOOKUP(Table56[[#This Row],[Shortname]], Comp[], 6, FALSE)</f>
        <v>18</v>
      </c>
      <c r="H43" s="14">
        <f>VLOOKUP(Table56[[#This Row],[Shortname]], Comp[], 7, FALSE)</f>
        <v>80.8</v>
      </c>
      <c r="I43">
        <f>VLOOKUP(Table56[[#This Row],[Shortname]], Comp[], 8, FALSE)</f>
        <v>0</v>
      </c>
      <c r="J43">
        <f>VLOOKUP(Table56[[#This Row],[Shortname]], Comp[], 9, FALSE)</f>
        <v>8.1</v>
      </c>
      <c r="K43">
        <f>VLOOKUP(Table56[[#This Row],[Shortname]], Comp[], 10, FALSE)</f>
        <v>0</v>
      </c>
      <c r="L43">
        <f>VLOOKUP(Table56[[#This Row],[Shortname]], Comp[], 11, FALSE)</f>
        <v>7.7</v>
      </c>
      <c r="M43">
        <f>VLOOKUP(Table56[[#This Row],[Shortname]], Comp[],12, FALSE)</f>
        <v>0</v>
      </c>
      <c r="N43">
        <f>VLOOKUP(Table56[[#This Row],[Shortname]], Comp[], 13, FALSE)</f>
        <v>1.6</v>
      </c>
      <c r="O43">
        <f>VLOOKUP(Table56[[#This Row],[Shortname]], Comp[], 14, FALSE)</f>
        <v>0</v>
      </c>
      <c r="P43">
        <f>VLOOKUP(Table56[[#This Row],[Shortname]], Comp[], 15, FALSE)</f>
        <v>0</v>
      </c>
      <c r="Q43">
        <f>VLOOKUP(Table56[[#This Row],[Shortname]], Comp[], 16, FALSE)</f>
        <v>0</v>
      </c>
      <c r="R43">
        <f>VLOOKUP(Table56[[#This Row],[Shortname]], Comp[], 17, FALSE)</f>
        <v>0</v>
      </c>
      <c r="S43">
        <f>VLOOKUP(Table56[[#This Row],[Shortname]], Comp[], 18, FALSE)</f>
        <v>0</v>
      </c>
      <c r="T43">
        <f>VLOOKUP(Table56[[#This Row],[Shortname]], Comp[], 19, FALSE)</f>
        <v>0</v>
      </c>
      <c r="U43">
        <f>VLOOKUP(Table56[[#This Row],[Shortname]], Comp[], 20, FALSE)</f>
        <v>0</v>
      </c>
      <c r="V43">
        <f>VLOOKUP(Table56[[#This Row],[Shortname]], Comp[], 21, FALSE)</f>
        <v>0</v>
      </c>
      <c r="W43">
        <f>VLOOKUP(Table56[[#This Row],[Shortname]], Comp[], 22, FALSE)</f>
        <v>1.8</v>
      </c>
      <c r="X43">
        <f>VLOOKUP(Table56[[#This Row],[Shortname]], Comp[], 23, FALSE)</f>
        <v>0</v>
      </c>
      <c r="Y43">
        <f>VLOOKUP(Table56[[#This Row],[Shortname]], Comp[], 24, FALSE)</f>
        <v>0</v>
      </c>
      <c r="Z43">
        <f>VLOOKUP(Table56[[#This Row],[Shortname]], Comp[], 25, FALSE)</f>
        <v>0</v>
      </c>
      <c r="AA43">
        <f>VLOOKUP(Table56[[#This Row],[Shortname]], Comp[], 26, FALSE)</f>
        <v>0</v>
      </c>
      <c r="AB43">
        <f>VLOOKUP(Table56[[#This Row],[Shortname]], Comp[], 27, FALSE)</f>
        <v>0</v>
      </c>
      <c r="AC43">
        <f>VLOOKUP(Table56[[#This Row],[Shortname]], Comp[], 28, FALSE)</f>
        <v>0</v>
      </c>
      <c r="AD43">
        <f>VLOOKUP(Table56[[#This Row],[Shortname]], Comp[], 29, FALSE)</f>
        <v>0</v>
      </c>
      <c r="AE43">
        <f>VLOOKUP(Table56[[#This Row],[Shortname]], Comp[], 30, FALSE)</f>
        <v>0</v>
      </c>
      <c r="AF43">
        <f>VLOOKUP(Table56[[#This Row],[Shortname]], Comp[], 31, FALSE)</f>
        <v>0</v>
      </c>
    </row>
    <row r="44" spans="1:32" x14ac:dyDescent="0.3">
      <c r="A44" t="s">
        <v>418</v>
      </c>
      <c r="B44" t="s">
        <v>420</v>
      </c>
      <c r="C44" s="15" t="s">
        <v>6687</v>
      </c>
      <c r="D44">
        <v>1153</v>
      </c>
      <c r="E44">
        <v>1392</v>
      </c>
      <c r="F44">
        <v>1411</v>
      </c>
      <c r="G44">
        <f>VLOOKUP(Table56[[#This Row],[Shortname]], Comp[], 6, FALSE)</f>
        <v>55</v>
      </c>
      <c r="H44" s="14">
        <f>VLOOKUP(Table56[[#This Row],[Shortname]], Comp[], 7, FALSE)</f>
        <v>79.2</v>
      </c>
      <c r="I44">
        <f>VLOOKUP(Table56[[#This Row],[Shortname]], Comp[], 8, FALSE)</f>
        <v>0</v>
      </c>
      <c r="J44">
        <f>VLOOKUP(Table56[[#This Row],[Shortname]], Comp[], 9, FALSE)</f>
        <v>7.6</v>
      </c>
      <c r="K44">
        <f>VLOOKUP(Table56[[#This Row],[Shortname]], Comp[], 10, FALSE)</f>
        <v>0</v>
      </c>
      <c r="L44">
        <f>VLOOKUP(Table56[[#This Row],[Shortname]], Comp[], 11, FALSE)</f>
        <v>9.1999999999999993</v>
      </c>
      <c r="M44">
        <f>VLOOKUP(Table56[[#This Row],[Shortname]], Comp[],12, FALSE)</f>
        <v>2.1</v>
      </c>
      <c r="N44">
        <f>VLOOKUP(Table56[[#This Row],[Shortname]], Comp[], 13, FALSE)</f>
        <v>1.9</v>
      </c>
      <c r="O44">
        <f>VLOOKUP(Table56[[#This Row],[Shortname]], Comp[], 14, FALSE)</f>
        <v>0</v>
      </c>
      <c r="P44">
        <f>VLOOKUP(Table56[[#This Row],[Shortname]], Comp[], 15, FALSE)</f>
        <v>0</v>
      </c>
      <c r="Q44">
        <f>VLOOKUP(Table56[[#This Row],[Shortname]], Comp[], 16, FALSE)</f>
        <v>0</v>
      </c>
      <c r="R44">
        <f>VLOOKUP(Table56[[#This Row],[Shortname]], Comp[], 17, FALSE)</f>
        <v>0</v>
      </c>
      <c r="S44">
        <f>VLOOKUP(Table56[[#This Row],[Shortname]], Comp[], 18, FALSE)</f>
        <v>0</v>
      </c>
      <c r="T44">
        <f>VLOOKUP(Table56[[#This Row],[Shortname]], Comp[], 19, FALSE)</f>
        <v>0</v>
      </c>
      <c r="U44">
        <f>VLOOKUP(Table56[[#This Row],[Shortname]], Comp[], 20, FALSE)</f>
        <v>0</v>
      </c>
      <c r="V44">
        <f>VLOOKUP(Table56[[#This Row],[Shortname]], Comp[], 21, FALSE)</f>
        <v>0</v>
      </c>
      <c r="W44">
        <f>VLOOKUP(Table56[[#This Row],[Shortname]], Comp[], 22, FALSE)</f>
        <v>0</v>
      </c>
      <c r="X44">
        <f>VLOOKUP(Table56[[#This Row],[Shortname]], Comp[], 23, FALSE)</f>
        <v>0</v>
      </c>
      <c r="Y44">
        <f>VLOOKUP(Table56[[#This Row],[Shortname]], Comp[], 24, FALSE)</f>
        <v>0</v>
      </c>
      <c r="Z44">
        <f>VLOOKUP(Table56[[#This Row],[Shortname]], Comp[], 25, FALSE)</f>
        <v>0</v>
      </c>
      <c r="AA44">
        <f>VLOOKUP(Table56[[#This Row],[Shortname]], Comp[], 26, FALSE)</f>
        <v>0</v>
      </c>
      <c r="AB44">
        <f>VLOOKUP(Table56[[#This Row],[Shortname]], Comp[], 27, FALSE)</f>
        <v>0</v>
      </c>
      <c r="AC44">
        <f>VLOOKUP(Table56[[#This Row],[Shortname]], Comp[], 28, FALSE)</f>
        <v>0</v>
      </c>
      <c r="AD44">
        <f>VLOOKUP(Table56[[#This Row],[Shortname]], Comp[], 29, FALSE)</f>
        <v>0</v>
      </c>
      <c r="AE44">
        <f>VLOOKUP(Table56[[#This Row],[Shortname]], Comp[], 30, FALSE)</f>
        <v>0</v>
      </c>
      <c r="AF44">
        <f>VLOOKUP(Table56[[#This Row],[Shortname]], Comp[], 31, FALSE)</f>
        <v>0</v>
      </c>
    </row>
    <row r="45" spans="1:32" x14ac:dyDescent="0.3">
      <c r="A45" t="s">
        <v>426</v>
      </c>
      <c r="B45" t="s">
        <v>428</v>
      </c>
      <c r="C45" s="15" t="s">
        <v>6688</v>
      </c>
      <c r="D45">
        <v>1075</v>
      </c>
      <c r="E45">
        <v>1413</v>
      </c>
      <c r="F45">
        <v>1438</v>
      </c>
      <c r="G45">
        <f>VLOOKUP(Table56[[#This Row],[Shortname]], Comp[], 6, FALSE)</f>
        <v>56</v>
      </c>
      <c r="H45" s="14">
        <f>VLOOKUP(Table56[[#This Row],[Shortname]], Comp[], 7, FALSE)</f>
        <v>80.86</v>
      </c>
      <c r="I45">
        <f>VLOOKUP(Table56[[#This Row],[Shortname]], Comp[], 8, FALSE)</f>
        <v>0</v>
      </c>
      <c r="J45">
        <f>VLOOKUP(Table56[[#This Row],[Shortname]], Comp[], 9, FALSE)</f>
        <v>7.9</v>
      </c>
      <c r="K45">
        <f>VLOOKUP(Table56[[#This Row],[Shortname]], Comp[], 10, FALSE)</f>
        <v>0</v>
      </c>
      <c r="L45">
        <f>VLOOKUP(Table56[[#This Row],[Shortname]], Comp[], 11, FALSE)</f>
        <v>9.1</v>
      </c>
      <c r="M45">
        <f>VLOOKUP(Table56[[#This Row],[Shortname]], Comp[],12, FALSE)</f>
        <v>2.1</v>
      </c>
      <c r="N45">
        <f>VLOOKUP(Table56[[#This Row],[Shortname]], Comp[], 13, FALSE)</f>
        <v>0</v>
      </c>
      <c r="O45">
        <f>VLOOKUP(Table56[[#This Row],[Shortname]], Comp[], 14, FALSE)</f>
        <v>0</v>
      </c>
      <c r="P45">
        <f>VLOOKUP(Table56[[#This Row],[Shortname]], Comp[], 15, FALSE)</f>
        <v>0</v>
      </c>
      <c r="Q45">
        <f>VLOOKUP(Table56[[#This Row],[Shortname]], Comp[], 16, FALSE)</f>
        <v>0</v>
      </c>
      <c r="R45">
        <f>VLOOKUP(Table56[[#This Row],[Shortname]], Comp[], 17, FALSE)</f>
        <v>0</v>
      </c>
      <c r="S45">
        <f>VLOOKUP(Table56[[#This Row],[Shortname]], Comp[], 18, FALSE)</f>
        <v>0</v>
      </c>
      <c r="T45">
        <f>VLOOKUP(Table56[[#This Row],[Shortname]], Comp[], 19, FALSE)</f>
        <v>0.04</v>
      </c>
      <c r="U45">
        <f>VLOOKUP(Table56[[#This Row],[Shortname]], Comp[], 20, FALSE)</f>
        <v>0</v>
      </c>
      <c r="V45">
        <f>VLOOKUP(Table56[[#This Row],[Shortname]], Comp[], 21, FALSE)</f>
        <v>0</v>
      </c>
      <c r="W45">
        <f>VLOOKUP(Table56[[#This Row],[Shortname]], Comp[], 22, FALSE)</f>
        <v>0</v>
      </c>
      <c r="X45">
        <f>VLOOKUP(Table56[[#This Row],[Shortname]], Comp[], 23, FALSE)</f>
        <v>0</v>
      </c>
      <c r="Y45">
        <f>VLOOKUP(Table56[[#This Row],[Shortname]], Comp[], 24, FALSE)</f>
        <v>0</v>
      </c>
      <c r="Z45">
        <f>VLOOKUP(Table56[[#This Row],[Shortname]], Comp[], 25, FALSE)</f>
        <v>0</v>
      </c>
      <c r="AA45">
        <f>VLOOKUP(Table56[[#This Row],[Shortname]], Comp[], 26, FALSE)</f>
        <v>0</v>
      </c>
      <c r="AB45">
        <f>VLOOKUP(Table56[[#This Row],[Shortname]], Comp[], 27, FALSE)</f>
        <v>0</v>
      </c>
      <c r="AC45">
        <f>VLOOKUP(Table56[[#This Row],[Shortname]], Comp[], 28, FALSE)</f>
        <v>0</v>
      </c>
      <c r="AD45">
        <f>VLOOKUP(Table56[[#This Row],[Shortname]], Comp[], 29, FALSE)</f>
        <v>0</v>
      </c>
      <c r="AE45">
        <f>VLOOKUP(Table56[[#This Row],[Shortname]], Comp[], 30, FALSE)</f>
        <v>0</v>
      </c>
      <c r="AF45">
        <f>VLOOKUP(Table56[[#This Row],[Shortname]], Comp[], 31, FALSE)</f>
        <v>0</v>
      </c>
    </row>
    <row r="46" spans="1:32" x14ac:dyDescent="0.3">
      <c r="A46" t="s">
        <v>435</v>
      </c>
      <c r="B46" t="s">
        <v>437</v>
      </c>
      <c r="C46" s="15" t="s">
        <v>6689</v>
      </c>
      <c r="D46">
        <v>1080</v>
      </c>
      <c r="E46">
        <v>1414</v>
      </c>
      <c r="F46">
        <v>1434</v>
      </c>
      <c r="G46">
        <f>VLOOKUP(Table56[[#This Row],[Shortname]], Comp[], 6, FALSE)</f>
        <v>57</v>
      </c>
      <c r="H46" s="14">
        <f>VLOOKUP(Table56[[#This Row],[Shortname]], Comp[], 7, FALSE)</f>
        <v>79.680000000000007</v>
      </c>
      <c r="I46">
        <f>VLOOKUP(Table56[[#This Row],[Shortname]], Comp[], 8, FALSE)</f>
        <v>0</v>
      </c>
      <c r="J46">
        <f>VLOOKUP(Table56[[#This Row],[Shortname]], Comp[], 9, FALSE)</f>
        <v>8.4</v>
      </c>
      <c r="K46">
        <f>VLOOKUP(Table56[[#This Row],[Shortname]], Comp[], 10, FALSE)</f>
        <v>0</v>
      </c>
      <c r="L46">
        <f>VLOOKUP(Table56[[#This Row],[Shortname]], Comp[], 11, FALSE)</f>
        <v>9.6</v>
      </c>
      <c r="M46">
        <f>VLOOKUP(Table56[[#This Row],[Shortname]], Comp[],12, FALSE)</f>
        <v>2.2000000000000002</v>
      </c>
      <c r="N46">
        <f>VLOOKUP(Table56[[#This Row],[Shortname]], Comp[], 13, FALSE)</f>
        <v>0</v>
      </c>
      <c r="O46">
        <f>VLOOKUP(Table56[[#This Row],[Shortname]], Comp[], 14, FALSE)</f>
        <v>0</v>
      </c>
      <c r="P46">
        <f>VLOOKUP(Table56[[#This Row],[Shortname]], Comp[], 15, FALSE)</f>
        <v>0</v>
      </c>
      <c r="Q46">
        <f>VLOOKUP(Table56[[#This Row],[Shortname]], Comp[], 16, FALSE)</f>
        <v>0</v>
      </c>
      <c r="R46">
        <f>VLOOKUP(Table56[[#This Row],[Shortname]], Comp[], 17, FALSE)</f>
        <v>0</v>
      </c>
      <c r="S46">
        <f>VLOOKUP(Table56[[#This Row],[Shortname]], Comp[], 18, FALSE)</f>
        <v>0</v>
      </c>
      <c r="T46">
        <f>VLOOKUP(Table56[[#This Row],[Shortname]], Comp[], 19, FALSE)</f>
        <v>0.12</v>
      </c>
      <c r="U46">
        <f>VLOOKUP(Table56[[#This Row],[Shortname]], Comp[], 20, FALSE)</f>
        <v>0</v>
      </c>
      <c r="V46">
        <f>VLOOKUP(Table56[[#This Row],[Shortname]], Comp[], 21, FALSE)</f>
        <v>0</v>
      </c>
      <c r="W46">
        <f>VLOOKUP(Table56[[#This Row],[Shortname]], Comp[], 22, FALSE)</f>
        <v>0</v>
      </c>
      <c r="X46">
        <f>VLOOKUP(Table56[[#This Row],[Shortname]], Comp[], 23, FALSE)</f>
        <v>0</v>
      </c>
      <c r="Y46">
        <f>VLOOKUP(Table56[[#This Row],[Shortname]], Comp[], 24, FALSE)</f>
        <v>0</v>
      </c>
      <c r="Z46">
        <f>VLOOKUP(Table56[[#This Row],[Shortname]], Comp[], 25, FALSE)</f>
        <v>0</v>
      </c>
      <c r="AA46">
        <f>VLOOKUP(Table56[[#This Row],[Shortname]], Comp[], 26, FALSE)</f>
        <v>0</v>
      </c>
      <c r="AB46">
        <f>VLOOKUP(Table56[[#This Row],[Shortname]], Comp[], 27, FALSE)</f>
        <v>0</v>
      </c>
      <c r="AC46">
        <f>VLOOKUP(Table56[[#This Row],[Shortname]], Comp[], 28, FALSE)</f>
        <v>0</v>
      </c>
      <c r="AD46">
        <f>VLOOKUP(Table56[[#This Row],[Shortname]], Comp[], 29, FALSE)</f>
        <v>0</v>
      </c>
      <c r="AE46">
        <f>VLOOKUP(Table56[[#This Row],[Shortname]], Comp[], 30, FALSE)</f>
        <v>0</v>
      </c>
      <c r="AF46">
        <f>VLOOKUP(Table56[[#This Row],[Shortname]], Comp[], 31, FALSE)</f>
        <v>0</v>
      </c>
    </row>
    <row r="47" spans="1:32" x14ac:dyDescent="0.3">
      <c r="A47" t="s">
        <v>442</v>
      </c>
      <c r="B47" t="s">
        <v>444</v>
      </c>
      <c r="C47" s="15" t="s">
        <v>6690</v>
      </c>
      <c r="D47">
        <v>1016</v>
      </c>
      <c r="E47">
        <v>1430</v>
      </c>
      <c r="F47">
        <v>1456</v>
      </c>
      <c r="G47">
        <f>VLOOKUP(Table56[[#This Row],[Shortname]], Comp[], 6, FALSE)</f>
        <v>58</v>
      </c>
      <c r="H47" s="14">
        <f>VLOOKUP(Table56[[#This Row],[Shortname]], Comp[], 7, FALSE)</f>
        <v>80.56</v>
      </c>
      <c r="I47">
        <f>VLOOKUP(Table56[[#This Row],[Shortname]], Comp[], 8, FALSE)</f>
        <v>0</v>
      </c>
      <c r="J47">
        <f>VLOOKUP(Table56[[#This Row],[Shortname]], Comp[], 9, FALSE)</f>
        <v>8</v>
      </c>
      <c r="K47">
        <f>VLOOKUP(Table56[[#This Row],[Shortname]], Comp[], 10, FALSE)</f>
        <v>0</v>
      </c>
      <c r="L47">
        <f>VLOOKUP(Table56[[#This Row],[Shortname]], Comp[], 11, FALSE)</f>
        <v>9.3000000000000007</v>
      </c>
      <c r="M47">
        <f>VLOOKUP(Table56[[#This Row],[Shortname]], Comp[],12, FALSE)</f>
        <v>0</v>
      </c>
      <c r="N47">
        <f>VLOOKUP(Table56[[#This Row],[Shortname]], Comp[], 13, FALSE)</f>
        <v>0</v>
      </c>
      <c r="O47">
        <f>VLOOKUP(Table56[[#This Row],[Shortname]], Comp[], 14, FALSE)</f>
        <v>0</v>
      </c>
      <c r="P47">
        <f>VLOOKUP(Table56[[#This Row],[Shortname]], Comp[], 15, FALSE)</f>
        <v>2.1</v>
      </c>
      <c r="Q47">
        <f>VLOOKUP(Table56[[#This Row],[Shortname]], Comp[], 16, FALSE)</f>
        <v>0</v>
      </c>
      <c r="R47">
        <f>VLOOKUP(Table56[[#This Row],[Shortname]], Comp[], 17, FALSE)</f>
        <v>0</v>
      </c>
      <c r="S47">
        <f>VLOOKUP(Table56[[#This Row],[Shortname]], Comp[], 18, FALSE)</f>
        <v>0</v>
      </c>
      <c r="T47">
        <f>VLOOKUP(Table56[[#This Row],[Shortname]], Comp[], 19, FALSE)</f>
        <v>0.04</v>
      </c>
      <c r="U47">
        <f>VLOOKUP(Table56[[#This Row],[Shortname]], Comp[], 20, FALSE)</f>
        <v>0</v>
      </c>
      <c r="V47">
        <f>VLOOKUP(Table56[[#This Row],[Shortname]], Comp[], 21, FALSE)</f>
        <v>0</v>
      </c>
      <c r="W47">
        <f>VLOOKUP(Table56[[#This Row],[Shortname]], Comp[], 22, FALSE)</f>
        <v>0</v>
      </c>
      <c r="X47">
        <f>VLOOKUP(Table56[[#This Row],[Shortname]], Comp[], 23, FALSE)</f>
        <v>0</v>
      </c>
      <c r="Y47">
        <f>VLOOKUP(Table56[[#This Row],[Shortname]], Comp[], 24, FALSE)</f>
        <v>0</v>
      </c>
      <c r="Z47">
        <f>VLOOKUP(Table56[[#This Row],[Shortname]], Comp[], 25, FALSE)</f>
        <v>0</v>
      </c>
      <c r="AA47">
        <f>VLOOKUP(Table56[[#This Row],[Shortname]], Comp[], 26, FALSE)</f>
        <v>0</v>
      </c>
      <c r="AB47">
        <f>VLOOKUP(Table56[[#This Row],[Shortname]], Comp[], 27, FALSE)</f>
        <v>0</v>
      </c>
      <c r="AC47">
        <f>VLOOKUP(Table56[[#This Row],[Shortname]], Comp[], 28, FALSE)</f>
        <v>0</v>
      </c>
      <c r="AD47">
        <f>VLOOKUP(Table56[[#This Row],[Shortname]], Comp[], 29, FALSE)</f>
        <v>0</v>
      </c>
      <c r="AE47">
        <f>VLOOKUP(Table56[[#This Row],[Shortname]], Comp[], 30, FALSE)</f>
        <v>0</v>
      </c>
      <c r="AF47">
        <f>VLOOKUP(Table56[[#This Row],[Shortname]], Comp[], 31, FALSE)</f>
        <v>0</v>
      </c>
    </row>
    <row r="48" spans="1:32" x14ac:dyDescent="0.3">
      <c r="A48" t="s">
        <v>449</v>
      </c>
      <c r="B48" t="s">
        <v>451</v>
      </c>
      <c r="C48" s="15" t="s">
        <v>6691</v>
      </c>
      <c r="D48">
        <v>975</v>
      </c>
      <c r="E48">
        <v>1439</v>
      </c>
      <c r="F48">
        <v>1464</v>
      </c>
      <c r="G48">
        <f>VLOOKUP(Table56[[#This Row],[Shortname]], Comp[], 6, FALSE)</f>
        <v>59</v>
      </c>
      <c r="H48" s="14">
        <f>VLOOKUP(Table56[[#This Row],[Shortname]], Comp[], 7, FALSE)</f>
        <v>80.460000000000008</v>
      </c>
      <c r="I48">
        <f>VLOOKUP(Table56[[#This Row],[Shortname]], Comp[], 8, FALSE)</f>
        <v>0</v>
      </c>
      <c r="J48">
        <f>VLOOKUP(Table56[[#This Row],[Shortname]], Comp[], 9, FALSE)</f>
        <v>8.1</v>
      </c>
      <c r="K48">
        <f>VLOOKUP(Table56[[#This Row],[Shortname]], Comp[], 10, FALSE)</f>
        <v>2</v>
      </c>
      <c r="L48">
        <f>VLOOKUP(Table56[[#This Row],[Shortname]], Comp[], 11, FALSE)</f>
        <v>9.4</v>
      </c>
      <c r="M48">
        <f>VLOOKUP(Table56[[#This Row],[Shortname]], Comp[],12, FALSE)</f>
        <v>0</v>
      </c>
      <c r="N48">
        <f>VLOOKUP(Table56[[#This Row],[Shortname]], Comp[], 13, FALSE)</f>
        <v>0</v>
      </c>
      <c r="O48">
        <f>VLOOKUP(Table56[[#This Row],[Shortname]], Comp[], 14, FALSE)</f>
        <v>0</v>
      </c>
      <c r="P48">
        <f>VLOOKUP(Table56[[#This Row],[Shortname]], Comp[], 15, FALSE)</f>
        <v>0</v>
      </c>
      <c r="Q48">
        <f>VLOOKUP(Table56[[#This Row],[Shortname]], Comp[], 16, FALSE)</f>
        <v>0</v>
      </c>
      <c r="R48">
        <f>VLOOKUP(Table56[[#This Row],[Shortname]], Comp[], 17, FALSE)</f>
        <v>0</v>
      </c>
      <c r="S48">
        <f>VLOOKUP(Table56[[#This Row],[Shortname]], Comp[], 18, FALSE)</f>
        <v>0</v>
      </c>
      <c r="T48">
        <f>VLOOKUP(Table56[[#This Row],[Shortname]], Comp[], 19, FALSE)</f>
        <v>0.04</v>
      </c>
      <c r="U48">
        <f>VLOOKUP(Table56[[#This Row],[Shortname]], Comp[], 20, FALSE)</f>
        <v>0</v>
      </c>
      <c r="V48">
        <f>VLOOKUP(Table56[[#This Row],[Shortname]], Comp[], 21, FALSE)</f>
        <v>0</v>
      </c>
      <c r="W48">
        <f>VLOOKUP(Table56[[#This Row],[Shortname]], Comp[], 22, FALSE)</f>
        <v>0</v>
      </c>
      <c r="X48">
        <f>VLOOKUP(Table56[[#This Row],[Shortname]], Comp[], 23, FALSE)</f>
        <v>0</v>
      </c>
      <c r="Y48">
        <f>VLOOKUP(Table56[[#This Row],[Shortname]], Comp[], 24, FALSE)</f>
        <v>0</v>
      </c>
      <c r="Z48">
        <f>VLOOKUP(Table56[[#This Row],[Shortname]], Comp[], 25, FALSE)</f>
        <v>0</v>
      </c>
      <c r="AA48">
        <f>VLOOKUP(Table56[[#This Row],[Shortname]], Comp[], 26, FALSE)</f>
        <v>0</v>
      </c>
      <c r="AB48">
        <f>VLOOKUP(Table56[[#This Row],[Shortname]], Comp[], 27, FALSE)</f>
        <v>0</v>
      </c>
      <c r="AC48">
        <f>VLOOKUP(Table56[[#This Row],[Shortname]], Comp[], 28, FALSE)</f>
        <v>0</v>
      </c>
      <c r="AD48">
        <f>VLOOKUP(Table56[[#This Row],[Shortname]], Comp[], 29, FALSE)</f>
        <v>0</v>
      </c>
      <c r="AE48">
        <f>VLOOKUP(Table56[[#This Row],[Shortname]], Comp[], 30, FALSE)</f>
        <v>0</v>
      </c>
      <c r="AF48">
        <f>VLOOKUP(Table56[[#This Row],[Shortname]], Comp[], 31, FALSE)</f>
        <v>0</v>
      </c>
    </row>
    <row r="49" spans="1:32" x14ac:dyDescent="0.3">
      <c r="A49" t="s">
        <v>513</v>
      </c>
      <c r="B49" t="s">
        <v>6692</v>
      </c>
      <c r="C49" s="1" t="s">
        <v>6693</v>
      </c>
      <c r="D49">
        <v>1137</v>
      </c>
      <c r="E49">
        <v>1277</v>
      </c>
      <c r="F49">
        <v>1383</v>
      </c>
      <c r="G49">
        <f>VLOOKUP(Table56[[#This Row],[Shortname]], Comp[], 6, FALSE)</f>
        <v>67</v>
      </c>
      <c r="H49" s="14">
        <f>VLOOKUP(Table56[[#This Row],[Shortname]], Comp[], 7, FALSE)</f>
        <v>72.5</v>
      </c>
      <c r="I49">
        <f>VLOOKUP(Table56[[#This Row],[Shortname]], Comp[], 8, FALSE)</f>
        <v>10</v>
      </c>
      <c r="J49">
        <f>VLOOKUP(Table56[[#This Row],[Shortname]], Comp[], 9, FALSE)</f>
        <v>4.5</v>
      </c>
      <c r="K49">
        <f>VLOOKUP(Table56[[#This Row],[Shortname]], Comp[], 10, FALSE)</f>
        <v>0</v>
      </c>
      <c r="L49">
        <f>VLOOKUP(Table56[[#This Row],[Shortname]], Comp[], 11, FALSE)</f>
        <v>5.2</v>
      </c>
      <c r="M49">
        <f>VLOOKUP(Table56[[#This Row],[Shortname]], Comp[],12, FALSE)</f>
        <v>7.8</v>
      </c>
      <c r="N49">
        <f>VLOOKUP(Table56[[#This Row],[Shortname]], Comp[], 13, FALSE)</f>
        <v>0</v>
      </c>
      <c r="O49">
        <f>VLOOKUP(Table56[[#This Row],[Shortname]], Comp[], 14, FALSE)</f>
        <v>0</v>
      </c>
      <c r="P49">
        <f>VLOOKUP(Table56[[#This Row],[Shortname]], Comp[], 15, FALSE)</f>
        <v>0</v>
      </c>
      <c r="Q49">
        <f>VLOOKUP(Table56[[#This Row],[Shortname]], Comp[], 16, FALSE)</f>
        <v>0</v>
      </c>
      <c r="R49">
        <f>VLOOKUP(Table56[[#This Row],[Shortname]], Comp[], 17, FALSE)</f>
        <v>0</v>
      </c>
      <c r="S49">
        <f>VLOOKUP(Table56[[#This Row],[Shortname]], Comp[], 18, FALSE)</f>
        <v>0</v>
      </c>
      <c r="T49">
        <f>VLOOKUP(Table56[[#This Row],[Shortname]], Comp[], 19, FALSE)</f>
        <v>0</v>
      </c>
      <c r="U49">
        <f>VLOOKUP(Table56[[#This Row],[Shortname]], Comp[], 20, FALSE)</f>
        <v>0</v>
      </c>
      <c r="V49">
        <f>VLOOKUP(Table56[[#This Row],[Shortname]], Comp[], 21, FALSE)</f>
        <v>0</v>
      </c>
      <c r="W49">
        <f>VLOOKUP(Table56[[#This Row],[Shortname]], Comp[], 22, FALSE)</f>
        <v>0</v>
      </c>
      <c r="X49">
        <f>VLOOKUP(Table56[[#This Row],[Shortname]], Comp[], 23, FALSE)</f>
        <v>0</v>
      </c>
      <c r="Y49">
        <f>VLOOKUP(Table56[[#This Row],[Shortname]], Comp[], 24, FALSE)</f>
        <v>0</v>
      </c>
      <c r="Z49">
        <f>VLOOKUP(Table56[[#This Row],[Shortname]], Comp[], 25, FALSE)</f>
        <v>0</v>
      </c>
      <c r="AA49">
        <f>VLOOKUP(Table56[[#This Row],[Shortname]], Comp[], 26, FALSE)</f>
        <v>0</v>
      </c>
      <c r="AB49">
        <f>VLOOKUP(Table56[[#This Row],[Shortname]], Comp[], 27, FALSE)</f>
        <v>0</v>
      </c>
      <c r="AC49">
        <f>VLOOKUP(Table56[[#This Row],[Shortname]], Comp[], 28, FALSE)</f>
        <v>0</v>
      </c>
      <c r="AD49">
        <f>VLOOKUP(Table56[[#This Row],[Shortname]], Comp[], 29, FALSE)</f>
        <v>0</v>
      </c>
      <c r="AE49">
        <f>VLOOKUP(Table56[[#This Row],[Shortname]], Comp[], 30, FALSE)</f>
        <v>0</v>
      </c>
      <c r="AF49">
        <f>VLOOKUP(Table56[[#This Row],[Shortname]], Comp[], 31, FALSE)</f>
        <v>0</v>
      </c>
    </row>
    <row r="50" spans="1:32" x14ac:dyDescent="0.3">
      <c r="A50" t="s">
        <v>525</v>
      </c>
      <c r="B50" t="s">
        <v>6694</v>
      </c>
      <c r="C50" s="1" t="s">
        <v>6693</v>
      </c>
      <c r="D50">
        <v>1109</v>
      </c>
      <c r="E50">
        <v>1322</v>
      </c>
      <c r="F50">
        <v>1409</v>
      </c>
      <c r="G50">
        <f>VLOOKUP(Table56[[#This Row],[Shortname]], Comp[], 6, FALSE)</f>
        <v>68</v>
      </c>
      <c r="H50" s="14">
        <f>VLOOKUP(Table56[[#This Row],[Shortname]], Comp[], 7, FALSE)</f>
        <v>72.400000000000006</v>
      </c>
      <c r="I50">
        <f>VLOOKUP(Table56[[#This Row],[Shortname]], Comp[], 8, FALSE)</f>
        <v>10.199999999999999</v>
      </c>
      <c r="J50">
        <f>VLOOKUP(Table56[[#This Row],[Shortname]], Comp[], 9, FALSE)</f>
        <v>5.4</v>
      </c>
      <c r="K50">
        <f>VLOOKUP(Table56[[#This Row],[Shortname]], Comp[], 10, FALSE)</f>
        <v>0</v>
      </c>
      <c r="L50">
        <f>VLOOKUP(Table56[[#This Row],[Shortname]], Comp[], 11, FALSE)</f>
        <v>6.1</v>
      </c>
      <c r="M50">
        <f>VLOOKUP(Table56[[#This Row],[Shortname]], Comp[],12, FALSE)</f>
        <v>5.9</v>
      </c>
      <c r="N50">
        <f>VLOOKUP(Table56[[#This Row],[Shortname]], Comp[], 13, FALSE)</f>
        <v>0</v>
      </c>
      <c r="O50">
        <f>VLOOKUP(Table56[[#This Row],[Shortname]], Comp[], 14, FALSE)</f>
        <v>0</v>
      </c>
      <c r="P50">
        <f>VLOOKUP(Table56[[#This Row],[Shortname]], Comp[], 15, FALSE)</f>
        <v>0</v>
      </c>
      <c r="Q50">
        <f>VLOOKUP(Table56[[#This Row],[Shortname]], Comp[], 16, FALSE)</f>
        <v>0</v>
      </c>
      <c r="R50">
        <f>VLOOKUP(Table56[[#This Row],[Shortname]], Comp[], 17, FALSE)</f>
        <v>0</v>
      </c>
      <c r="S50">
        <f>VLOOKUP(Table56[[#This Row],[Shortname]], Comp[], 18, FALSE)</f>
        <v>0</v>
      </c>
      <c r="T50">
        <f>VLOOKUP(Table56[[#This Row],[Shortname]], Comp[], 19, FALSE)</f>
        <v>0</v>
      </c>
      <c r="U50">
        <f>VLOOKUP(Table56[[#This Row],[Shortname]], Comp[], 20, FALSE)</f>
        <v>0</v>
      </c>
      <c r="V50">
        <f>VLOOKUP(Table56[[#This Row],[Shortname]], Comp[], 21, FALSE)</f>
        <v>0</v>
      </c>
      <c r="W50">
        <f>VLOOKUP(Table56[[#This Row],[Shortname]], Comp[], 22, FALSE)</f>
        <v>0</v>
      </c>
      <c r="X50">
        <f>VLOOKUP(Table56[[#This Row],[Shortname]], Comp[], 23, FALSE)</f>
        <v>0</v>
      </c>
      <c r="Y50">
        <f>VLOOKUP(Table56[[#This Row],[Shortname]], Comp[], 24, FALSE)</f>
        <v>0</v>
      </c>
      <c r="Z50">
        <f>VLOOKUP(Table56[[#This Row],[Shortname]], Comp[], 25, FALSE)</f>
        <v>0</v>
      </c>
      <c r="AA50">
        <f>VLOOKUP(Table56[[#This Row],[Shortname]], Comp[], 26, FALSE)</f>
        <v>0</v>
      </c>
      <c r="AB50">
        <f>VLOOKUP(Table56[[#This Row],[Shortname]], Comp[], 27, FALSE)</f>
        <v>0</v>
      </c>
      <c r="AC50">
        <f>VLOOKUP(Table56[[#This Row],[Shortname]], Comp[], 28, FALSE)</f>
        <v>0</v>
      </c>
      <c r="AD50">
        <f>VLOOKUP(Table56[[#This Row],[Shortname]], Comp[], 29, FALSE)</f>
        <v>0</v>
      </c>
      <c r="AE50">
        <f>VLOOKUP(Table56[[#This Row],[Shortname]], Comp[], 30, FALSE)</f>
        <v>0</v>
      </c>
      <c r="AF50">
        <f>VLOOKUP(Table56[[#This Row],[Shortname]], Comp[], 31, FALSE)</f>
        <v>0</v>
      </c>
    </row>
    <row r="51" spans="1:32" x14ac:dyDescent="0.3">
      <c r="A51" t="s">
        <v>496</v>
      </c>
      <c r="B51" t="s">
        <v>498</v>
      </c>
      <c r="C51" s="1" t="s">
        <v>6693</v>
      </c>
      <c r="D51">
        <v>1109</v>
      </c>
      <c r="E51">
        <v>1322</v>
      </c>
      <c r="F51">
        <v>1409</v>
      </c>
      <c r="G51">
        <f>VLOOKUP(Table56[[#This Row],[Shortname]], Comp[], 6, FALSE)</f>
        <v>65</v>
      </c>
      <c r="H51" s="14">
        <f>VLOOKUP(Table56[[#This Row],[Shortname]], Comp[], 7, FALSE)</f>
        <v>71.599999999999994</v>
      </c>
      <c r="I51">
        <f>VLOOKUP(Table56[[#This Row],[Shortname]], Comp[], 8, FALSE)</f>
        <v>10.1</v>
      </c>
      <c r="J51">
        <f>VLOOKUP(Table56[[#This Row],[Shortname]], Comp[], 9, FALSE)</f>
        <v>5.2</v>
      </c>
      <c r="K51">
        <f>VLOOKUP(Table56[[#This Row],[Shortname]], Comp[], 10, FALSE)</f>
        <v>0</v>
      </c>
      <c r="L51">
        <f>VLOOKUP(Table56[[#This Row],[Shortname]], Comp[], 11, FALSE)</f>
        <v>6.7</v>
      </c>
      <c r="M51">
        <f>VLOOKUP(Table56[[#This Row],[Shortname]], Comp[],12, FALSE)</f>
        <v>6.4</v>
      </c>
      <c r="N51">
        <f>VLOOKUP(Table56[[#This Row],[Shortname]], Comp[], 13, FALSE)</f>
        <v>0</v>
      </c>
      <c r="O51">
        <f>VLOOKUP(Table56[[#This Row],[Shortname]], Comp[], 14, FALSE)</f>
        <v>0</v>
      </c>
      <c r="P51">
        <f>VLOOKUP(Table56[[#This Row],[Shortname]], Comp[], 15, FALSE)</f>
        <v>0</v>
      </c>
      <c r="Q51">
        <f>VLOOKUP(Table56[[#This Row],[Shortname]], Comp[], 16, FALSE)</f>
        <v>0</v>
      </c>
      <c r="R51">
        <f>VLOOKUP(Table56[[#This Row],[Shortname]], Comp[], 17, FALSE)</f>
        <v>0</v>
      </c>
      <c r="S51">
        <f>VLOOKUP(Table56[[#This Row],[Shortname]], Comp[], 18, FALSE)</f>
        <v>0</v>
      </c>
      <c r="T51">
        <f>VLOOKUP(Table56[[#This Row],[Shortname]], Comp[], 19, FALSE)</f>
        <v>0</v>
      </c>
      <c r="U51">
        <f>VLOOKUP(Table56[[#This Row],[Shortname]], Comp[], 20, FALSE)</f>
        <v>0</v>
      </c>
      <c r="V51">
        <f>VLOOKUP(Table56[[#This Row],[Shortname]], Comp[], 21, FALSE)</f>
        <v>0</v>
      </c>
      <c r="W51">
        <f>VLOOKUP(Table56[[#This Row],[Shortname]], Comp[], 22, FALSE)</f>
        <v>0</v>
      </c>
      <c r="X51">
        <f>VLOOKUP(Table56[[#This Row],[Shortname]], Comp[], 23, FALSE)</f>
        <v>0</v>
      </c>
      <c r="Y51">
        <f>VLOOKUP(Table56[[#This Row],[Shortname]], Comp[], 24, FALSE)</f>
        <v>0</v>
      </c>
      <c r="Z51">
        <f>VLOOKUP(Table56[[#This Row],[Shortname]], Comp[], 25, FALSE)</f>
        <v>0</v>
      </c>
      <c r="AA51">
        <f>VLOOKUP(Table56[[#This Row],[Shortname]], Comp[], 26, FALSE)</f>
        <v>0</v>
      </c>
      <c r="AB51">
        <f>VLOOKUP(Table56[[#This Row],[Shortname]], Comp[], 27, FALSE)</f>
        <v>0</v>
      </c>
      <c r="AC51">
        <f>VLOOKUP(Table56[[#This Row],[Shortname]], Comp[], 28, FALSE)</f>
        <v>0</v>
      </c>
      <c r="AD51">
        <f>VLOOKUP(Table56[[#This Row],[Shortname]], Comp[], 29, FALSE)</f>
        <v>0</v>
      </c>
      <c r="AE51">
        <f>VLOOKUP(Table56[[#This Row],[Shortname]], Comp[], 30, FALSE)</f>
        <v>0</v>
      </c>
      <c r="AF51">
        <f>VLOOKUP(Table56[[#This Row],[Shortname]], Comp[], 31, FALSE)</f>
        <v>0</v>
      </c>
    </row>
    <row r="52" spans="1:32" x14ac:dyDescent="0.3">
      <c r="A52" t="s">
        <v>534</v>
      </c>
      <c r="B52" t="s">
        <v>6695</v>
      </c>
      <c r="C52" s="1" t="s">
        <v>6693</v>
      </c>
      <c r="D52">
        <v>1060</v>
      </c>
      <c r="E52">
        <v>1371</v>
      </c>
      <c r="F52">
        <v>1436</v>
      </c>
      <c r="G52">
        <f>VLOOKUP(Table56[[#This Row],[Shortname]], Comp[], 6, FALSE)</f>
        <v>69</v>
      </c>
      <c r="H52" s="14">
        <f>VLOOKUP(Table56[[#This Row],[Shortname]], Comp[], 7, FALSE)</f>
        <v>72.3</v>
      </c>
      <c r="I52">
        <f>VLOOKUP(Table56[[#This Row],[Shortname]], Comp[], 8, FALSE)</f>
        <v>10.3</v>
      </c>
      <c r="J52">
        <f>VLOOKUP(Table56[[#This Row],[Shortname]], Comp[], 9, FALSE)</f>
        <v>6.3</v>
      </c>
      <c r="K52">
        <f>VLOOKUP(Table56[[#This Row],[Shortname]], Comp[], 10, FALSE)</f>
        <v>0</v>
      </c>
      <c r="L52">
        <f>VLOOKUP(Table56[[#This Row],[Shortname]], Comp[], 11, FALSE)</f>
        <v>7</v>
      </c>
      <c r="M52">
        <f>VLOOKUP(Table56[[#This Row],[Shortname]], Comp[],12, FALSE)</f>
        <v>4.0999999999999996</v>
      </c>
      <c r="N52">
        <f>VLOOKUP(Table56[[#This Row],[Shortname]], Comp[], 13, FALSE)</f>
        <v>0</v>
      </c>
      <c r="O52">
        <f>VLOOKUP(Table56[[#This Row],[Shortname]], Comp[], 14, FALSE)</f>
        <v>0</v>
      </c>
      <c r="P52">
        <f>VLOOKUP(Table56[[#This Row],[Shortname]], Comp[], 15, FALSE)</f>
        <v>0</v>
      </c>
      <c r="Q52">
        <f>VLOOKUP(Table56[[#This Row],[Shortname]], Comp[], 16, FALSE)</f>
        <v>0</v>
      </c>
      <c r="R52">
        <f>VLOOKUP(Table56[[#This Row],[Shortname]], Comp[], 17, FALSE)</f>
        <v>0</v>
      </c>
      <c r="S52">
        <f>VLOOKUP(Table56[[#This Row],[Shortname]], Comp[], 18, FALSE)</f>
        <v>0</v>
      </c>
      <c r="T52">
        <f>VLOOKUP(Table56[[#This Row],[Shortname]], Comp[], 19, FALSE)</f>
        <v>0</v>
      </c>
      <c r="U52">
        <f>VLOOKUP(Table56[[#This Row],[Shortname]], Comp[], 20, FALSE)</f>
        <v>0</v>
      </c>
      <c r="V52">
        <f>VLOOKUP(Table56[[#This Row],[Shortname]], Comp[], 21, FALSE)</f>
        <v>0</v>
      </c>
      <c r="W52">
        <f>VLOOKUP(Table56[[#This Row],[Shortname]], Comp[], 22, FALSE)</f>
        <v>0</v>
      </c>
      <c r="X52">
        <f>VLOOKUP(Table56[[#This Row],[Shortname]], Comp[], 23, FALSE)</f>
        <v>0</v>
      </c>
      <c r="Y52">
        <f>VLOOKUP(Table56[[#This Row],[Shortname]], Comp[], 24, FALSE)</f>
        <v>0</v>
      </c>
      <c r="Z52">
        <f>VLOOKUP(Table56[[#This Row],[Shortname]], Comp[], 25, FALSE)</f>
        <v>0</v>
      </c>
      <c r="AA52">
        <f>VLOOKUP(Table56[[#This Row],[Shortname]], Comp[], 26, FALSE)</f>
        <v>0</v>
      </c>
      <c r="AB52">
        <f>VLOOKUP(Table56[[#This Row],[Shortname]], Comp[], 27, FALSE)</f>
        <v>0</v>
      </c>
      <c r="AC52">
        <f>VLOOKUP(Table56[[#This Row],[Shortname]], Comp[], 28, FALSE)</f>
        <v>0</v>
      </c>
      <c r="AD52">
        <f>VLOOKUP(Table56[[#This Row],[Shortname]], Comp[], 29, FALSE)</f>
        <v>0</v>
      </c>
      <c r="AE52">
        <f>VLOOKUP(Table56[[#This Row],[Shortname]], Comp[], 30, FALSE)</f>
        <v>0</v>
      </c>
      <c r="AF52">
        <f>VLOOKUP(Table56[[#This Row],[Shortname]], Comp[], 31, FALSE)</f>
        <v>0</v>
      </c>
    </row>
    <row r="53" spans="1:32" x14ac:dyDescent="0.3">
      <c r="A53" t="s">
        <v>544</v>
      </c>
      <c r="B53" t="s">
        <v>6696</v>
      </c>
      <c r="C53" s="1" t="s">
        <v>6693</v>
      </c>
      <c r="D53">
        <v>1035</v>
      </c>
      <c r="E53">
        <v>1398</v>
      </c>
      <c r="F53">
        <v>1458</v>
      </c>
      <c r="G53">
        <f>VLOOKUP(Table56[[#This Row],[Shortname]], Comp[], 6, FALSE)</f>
        <v>70</v>
      </c>
      <c r="H53" s="14">
        <f>VLOOKUP(Table56[[#This Row],[Shortname]], Comp[], 7, FALSE)</f>
        <v>72.3</v>
      </c>
      <c r="I53">
        <f>VLOOKUP(Table56[[#This Row],[Shortname]], Comp[], 8, FALSE)</f>
        <v>10.199999999999999</v>
      </c>
      <c r="J53">
        <f>VLOOKUP(Table56[[#This Row],[Shortname]], Comp[], 9, FALSE)</f>
        <v>7.3</v>
      </c>
      <c r="K53">
        <f>VLOOKUP(Table56[[#This Row],[Shortname]], Comp[], 10, FALSE)</f>
        <v>0</v>
      </c>
      <c r="L53">
        <f>VLOOKUP(Table56[[#This Row],[Shortname]], Comp[], 11, FALSE)</f>
        <v>8</v>
      </c>
      <c r="M53">
        <f>VLOOKUP(Table56[[#This Row],[Shortname]], Comp[],12, FALSE)</f>
        <v>2.2000000000000002</v>
      </c>
      <c r="N53">
        <f>VLOOKUP(Table56[[#This Row],[Shortname]], Comp[], 13, FALSE)</f>
        <v>0</v>
      </c>
      <c r="O53">
        <f>VLOOKUP(Table56[[#This Row],[Shortname]], Comp[], 14, FALSE)</f>
        <v>0</v>
      </c>
      <c r="P53">
        <f>VLOOKUP(Table56[[#This Row],[Shortname]], Comp[], 15, FALSE)</f>
        <v>0</v>
      </c>
      <c r="Q53">
        <f>VLOOKUP(Table56[[#This Row],[Shortname]], Comp[], 16, FALSE)</f>
        <v>0</v>
      </c>
      <c r="R53">
        <f>VLOOKUP(Table56[[#This Row],[Shortname]], Comp[], 17, FALSE)</f>
        <v>0</v>
      </c>
      <c r="S53">
        <f>VLOOKUP(Table56[[#This Row],[Shortname]], Comp[], 18, FALSE)</f>
        <v>0</v>
      </c>
      <c r="T53">
        <f>VLOOKUP(Table56[[#This Row],[Shortname]], Comp[], 19, FALSE)</f>
        <v>0</v>
      </c>
      <c r="U53">
        <f>VLOOKUP(Table56[[#This Row],[Shortname]], Comp[], 20, FALSE)</f>
        <v>0</v>
      </c>
      <c r="V53">
        <f>VLOOKUP(Table56[[#This Row],[Shortname]], Comp[], 21, FALSE)</f>
        <v>0</v>
      </c>
      <c r="W53">
        <f>VLOOKUP(Table56[[#This Row],[Shortname]], Comp[], 22, FALSE)</f>
        <v>0</v>
      </c>
      <c r="X53">
        <f>VLOOKUP(Table56[[#This Row],[Shortname]], Comp[], 23, FALSE)</f>
        <v>0</v>
      </c>
      <c r="Y53">
        <f>VLOOKUP(Table56[[#This Row],[Shortname]], Comp[], 24, FALSE)</f>
        <v>0</v>
      </c>
      <c r="Z53">
        <f>VLOOKUP(Table56[[#This Row],[Shortname]], Comp[], 25, FALSE)</f>
        <v>0</v>
      </c>
      <c r="AA53">
        <f>VLOOKUP(Table56[[#This Row],[Shortname]], Comp[], 26, FALSE)</f>
        <v>0</v>
      </c>
      <c r="AB53">
        <f>VLOOKUP(Table56[[#This Row],[Shortname]], Comp[], 27, FALSE)</f>
        <v>0</v>
      </c>
      <c r="AC53">
        <f>VLOOKUP(Table56[[#This Row],[Shortname]], Comp[], 28, FALSE)</f>
        <v>0</v>
      </c>
      <c r="AD53">
        <f>VLOOKUP(Table56[[#This Row],[Shortname]], Comp[], 29, FALSE)</f>
        <v>0</v>
      </c>
      <c r="AE53">
        <f>VLOOKUP(Table56[[#This Row],[Shortname]], Comp[], 30, FALSE)</f>
        <v>0</v>
      </c>
      <c r="AF53">
        <f>VLOOKUP(Table56[[#This Row],[Shortname]], Comp[], 31, FALSE)</f>
        <v>0</v>
      </c>
    </row>
    <row r="54" spans="1:32" x14ac:dyDescent="0.3">
      <c r="A54" t="s">
        <v>604</v>
      </c>
      <c r="B54" t="s">
        <v>606</v>
      </c>
      <c r="C54" s="1" t="s">
        <v>6693</v>
      </c>
      <c r="D54">
        <v>1031</v>
      </c>
      <c r="E54">
        <v>1316</v>
      </c>
      <c r="F54">
        <v>1382</v>
      </c>
      <c r="G54">
        <f>VLOOKUP(Table56[[#This Row],[Shortname]], Comp[], 6, FALSE)</f>
        <v>78</v>
      </c>
      <c r="H54" s="14">
        <f>VLOOKUP(Table56[[#This Row],[Shortname]], Comp[], 7, FALSE)</f>
        <v>74.099999999999994</v>
      </c>
      <c r="I54">
        <f>VLOOKUP(Table56[[#This Row],[Shortname]], Comp[], 8, FALSE)</f>
        <v>10.1</v>
      </c>
      <c r="J54">
        <f>VLOOKUP(Table56[[#This Row],[Shortname]], Comp[], 9, FALSE)</f>
        <v>5.7</v>
      </c>
      <c r="K54">
        <f>VLOOKUP(Table56[[#This Row],[Shortname]], Comp[], 10, FALSE)</f>
        <v>0</v>
      </c>
      <c r="L54">
        <f>VLOOKUP(Table56[[#This Row],[Shortname]], Comp[], 11, FALSE)</f>
        <v>3.9</v>
      </c>
      <c r="M54">
        <f>VLOOKUP(Table56[[#This Row],[Shortname]], Comp[],12, FALSE)</f>
        <v>6.2</v>
      </c>
      <c r="N54">
        <f>VLOOKUP(Table56[[#This Row],[Shortname]], Comp[], 13, FALSE)</f>
        <v>0</v>
      </c>
      <c r="O54">
        <f>VLOOKUP(Table56[[#This Row],[Shortname]], Comp[], 14, FALSE)</f>
        <v>0</v>
      </c>
      <c r="P54">
        <f>VLOOKUP(Table56[[#This Row],[Shortname]], Comp[], 15, FALSE)</f>
        <v>0</v>
      </c>
      <c r="Q54">
        <f>VLOOKUP(Table56[[#This Row],[Shortname]], Comp[], 16, FALSE)</f>
        <v>0</v>
      </c>
      <c r="R54">
        <f>VLOOKUP(Table56[[#This Row],[Shortname]], Comp[], 17, FALSE)</f>
        <v>0</v>
      </c>
      <c r="S54">
        <f>VLOOKUP(Table56[[#This Row],[Shortname]], Comp[], 18, FALSE)</f>
        <v>0</v>
      </c>
      <c r="T54">
        <f>VLOOKUP(Table56[[#This Row],[Shortname]], Comp[], 19, FALSE)</f>
        <v>0</v>
      </c>
      <c r="U54">
        <f>VLOOKUP(Table56[[#This Row],[Shortname]], Comp[], 20, FALSE)</f>
        <v>0</v>
      </c>
      <c r="V54">
        <f>VLOOKUP(Table56[[#This Row],[Shortname]], Comp[], 21, FALSE)</f>
        <v>0</v>
      </c>
      <c r="W54">
        <f>VLOOKUP(Table56[[#This Row],[Shortname]], Comp[], 22, FALSE)</f>
        <v>0</v>
      </c>
      <c r="X54">
        <f>VLOOKUP(Table56[[#This Row],[Shortname]], Comp[], 23, FALSE)</f>
        <v>0</v>
      </c>
      <c r="Y54">
        <f>VLOOKUP(Table56[[#This Row],[Shortname]], Comp[], 24, FALSE)</f>
        <v>0</v>
      </c>
      <c r="Z54">
        <f>VLOOKUP(Table56[[#This Row],[Shortname]], Comp[], 25, FALSE)</f>
        <v>0</v>
      </c>
      <c r="AA54">
        <f>VLOOKUP(Table56[[#This Row],[Shortname]], Comp[], 26, FALSE)</f>
        <v>0</v>
      </c>
      <c r="AB54">
        <f>VLOOKUP(Table56[[#This Row],[Shortname]], Comp[], 27, FALSE)</f>
        <v>0</v>
      </c>
      <c r="AC54">
        <f>VLOOKUP(Table56[[#This Row],[Shortname]], Comp[], 28, FALSE)</f>
        <v>0</v>
      </c>
      <c r="AD54">
        <f>VLOOKUP(Table56[[#This Row],[Shortname]], Comp[], 29, FALSE)</f>
        <v>0</v>
      </c>
      <c r="AE54">
        <f>VLOOKUP(Table56[[#This Row],[Shortname]], Comp[], 30, FALSE)</f>
        <v>0</v>
      </c>
      <c r="AF54">
        <f>VLOOKUP(Table56[[#This Row],[Shortname]], Comp[], 31, FALSE)</f>
        <v>0</v>
      </c>
    </row>
    <row r="55" spans="1:32" x14ac:dyDescent="0.3">
      <c r="A55" t="s">
        <v>552</v>
      </c>
      <c r="B55" t="s">
        <v>6697</v>
      </c>
      <c r="C55" s="1" t="s">
        <v>6693</v>
      </c>
      <c r="D55">
        <v>982</v>
      </c>
      <c r="E55">
        <v>1459</v>
      </c>
      <c r="F55">
        <v>1489</v>
      </c>
      <c r="G55">
        <f>VLOOKUP(Table56[[#This Row],[Shortname]], Comp[], 6, FALSE)</f>
        <v>71</v>
      </c>
      <c r="H55" s="14">
        <f>VLOOKUP(Table56[[#This Row],[Shortname]], Comp[], 7, FALSE)</f>
        <v>72.800000000000011</v>
      </c>
      <c r="I55">
        <f>VLOOKUP(Table56[[#This Row],[Shortname]], Comp[], 8, FALSE)</f>
        <v>10.199999999999999</v>
      </c>
      <c r="J55">
        <f>VLOOKUP(Table56[[#This Row],[Shortname]], Comp[], 9, FALSE)</f>
        <v>8.1</v>
      </c>
      <c r="K55">
        <f>VLOOKUP(Table56[[#This Row],[Shortname]], Comp[], 10, FALSE)</f>
        <v>0</v>
      </c>
      <c r="L55">
        <f>VLOOKUP(Table56[[#This Row],[Shortname]], Comp[], 11, FALSE)</f>
        <v>8.9</v>
      </c>
      <c r="M55">
        <f>VLOOKUP(Table56[[#This Row],[Shortname]], Comp[],12, FALSE)</f>
        <v>0</v>
      </c>
      <c r="N55">
        <f>VLOOKUP(Table56[[#This Row],[Shortname]], Comp[], 13, FALSE)</f>
        <v>0</v>
      </c>
      <c r="O55">
        <f>VLOOKUP(Table56[[#This Row],[Shortname]], Comp[], 14, FALSE)</f>
        <v>0</v>
      </c>
      <c r="P55">
        <f>VLOOKUP(Table56[[#This Row],[Shortname]], Comp[], 15, FALSE)</f>
        <v>0</v>
      </c>
      <c r="Q55">
        <f>VLOOKUP(Table56[[#This Row],[Shortname]], Comp[], 16, FALSE)</f>
        <v>0</v>
      </c>
      <c r="R55">
        <f>VLOOKUP(Table56[[#This Row],[Shortname]], Comp[], 17, FALSE)</f>
        <v>0</v>
      </c>
      <c r="S55">
        <f>VLOOKUP(Table56[[#This Row],[Shortname]], Comp[], 18, FALSE)</f>
        <v>0</v>
      </c>
      <c r="T55">
        <f>VLOOKUP(Table56[[#This Row],[Shortname]], Comp[], 19, FALSE)</f>
        <v>0</v>
      </c>
      <c r="U55">
        <f>VLOOKUP(Table56[[#This Row],[Shortname]], Comp[], 20, FALSE)</f>
        <v>0</v>
      </c>
      <c r="V55">
        <f>VLOOKUP(Table56[[#This Row],[Shortname]], Comp[], 21, FALSE)</f>
        <v>0</v>
      </c>
      <c r="W55">
        <f>VLOOKUP(Table56[[#This Row],[Shortname]], Comp[], 22, FALSE)</f>
        <v>0</v>
      </c>
      <c r="X55">
        <f>VLOOKUP(Table56[[#This Row],[Shortname]], Comp[], 23, FALSE)</f>
        <v>0</v>
      </c>
      <c r="Y55">
        <f>VLOOKUP(Table56[[#This Row],[Shortname]], Comp[], 24, FALSE)</f>
        <v>0</v>
      </c>
      <c r="Z55">
        <f>VLOOKUP(Table56[[#This Row],[Shortname]], Comp[], 25, FALSE)</f>
        <v>0</v>
      </c>
      <c r="AA55">
        <f>VLOOKUP(Table56[[#This Row],[Shortname]], Comp[], 26, FALSE)</f>
        <v>0</v>
      </c>
      <c r="AB55">
        <f>VLOOKUP(Table56[[#This Row],[Shortname]], Comp[], 27, FALSE)</f>
        <v>0</v>
      </c>
      <c r="AC55">
        <f>VLOOKUP(Table56[[#This Row],[Shortname]], Comp[], 28, FALSE)</f>
        <v>0</v>
      </c>
      <c r="AD55">
        <f>VLOOKUP(Table56[[#This Row],[Shortname]], Comp[], 29, FALSE)</f>
        <v>0</v>
      </c>
      <c r="AE55">
        <f>VLOOKUP(Table56[[#This Row],[Shortname]], Comp[], 30, FALSE)</f>
        <v>0</v>
      </c>
      <c r="AF55">
        <f>VLOOKUP(Table56[[#This Row],[Shortname]], Comp[], 31, FALSE)</f>
        <v>0</v>
      </c>
    </row>
    <row r="56" spans="1:32" x14ac:dyDescent="0.3">
      <c r="A56" t="s">
        <v>612</v>
      </c>
      <c r="B56" t="s">
        <v>614</v>
      </c>
      <c r="C56" s="1" t="s">
        <v>6693</v>
      </c>
      <c r="D56">
        <v>927</v>
      </c>
      <c r="E56">
        <v>1312</v>
      </c>
      <c r="F56">
        <v>1380</v>
      </c>
      <c r="G56">
        <f>VLOOKUP(Table56[[#This Row],[Shortname]], Comp[], 6, FALSE)</f>
        <v>79</v>
      </c>
      <c r="H56" s="14">
        <f>VLOOKUP(Table56[[#This Row],[Shortname]], Comp[], 7, FALSE)</f>
        <v>76</v>
      </c>
      <c r="I56">
        <f>VLOOKUP(Table56[[#This Row],[Shortname]], Comp[], 8, FALSE)</f>
        <v>10</v>
      </c>
      <c r="J56">
        <f>VLOOKUP(Table56[[#This Row],[Shortname]], Comp[], 9, FALSE)</f>
        <v>5.9</v>
      </c>
      <c r="K56">
        <f>VLOOKUP(Table56[[#This Row],[Shortname]], Comp[], 10, FALSE)</f>
        <v>0</v>
      </c>
      <c r="L56">
        <f>VLOOKUP(Table56[[#This Row],[Shortname]], Comp[], 11, FALSE)</f>
        <v>2</v>
      </c>
      <c r="M56">
        <f>VLOOKUP(Table56[[#This Row],[Shortname]], Comp[],12, FALSE)</f>
        <v>6.1</v>
      </c>
      <c r="N56">
        <f>VLOOKUP(Table56[[#This Row],[Shortname]], Comp[], 13, FALSE)</f>
        <v>0</v>
      </c>
      <c r="O56">
        <f>VLOOKUP(Table56[[#This Row],[Shortname]], Comp[], 14, FALSE)</f>
        <v>0</v>
      </c>
      <c r="P56">
        <f>VLOOKUP(Table56[[#This Row],[Shortname]], Comp[], 15, FALSE)</f>
        <v>0</v>
      </c>
      <c r="Q56">
        <f>VLOOKUP(Table56[[#This Row],[Shortname]], Comp[], 16, FALSE)</f>
        <v>0</v>
      </c>
      <c r="R56">
        <f>VLOOKUP(Table56[[#This Row],[Shortname]], Comp[], 17, FALSE)</f>
        <v>0</v>
      </c>
      <c r="S56">
        <f>VLOOKUP(Table56[[#This Row],[Shortname]], Comp[], 18, FALSE)</f>
        <v>0</v>
      </c>
      <c r="T56">
        <f>VLOOKUP(Table56[[#This Row],[Shortname]], Comp[], 19, FALSE)</f>
        <v>0</v>
      </c>
      <c r="U56">
        <f>VLOOKUP(Table56[[#This Row],[Shortname]], Comp[], 20, FALSE)</f>
        <v>0</v>
      </c>
      <c r="V56">
        <f>VLOOKUP(Table56[[#This Row],[Shortname]], Comp[], 21, FALSE)</f>
        <v>0</v>
      </c>
      <c r="W56">
        <f>VLOOKUP(Table56[[#This Row],[Shortname]], Comp[], 22, FALSE)</f>
        <v>0</v>
      </c>
      <c r="X56">
        <f>VLOOKUP(Table56[[#This Row],[Shortname]], Comp[], 23, FALSE)</f>
        <v>0</v>
      </c>
      <c r="Y56">
        <f>VLOOKUP(Table56[[#This Row],[Shortname]], Comp[], 24, FALSE)</f>
        <v>0</v>
      </c>
      <c r="Z56">
        <f>VLOOKUP(Table56[[#This Row],[Shortname]], Comp[], 25, FALSE)</f>
        <v>0</v>
      </c>
      <c r="AA56">
        <f>VLOOKUP(Table56[[#This Row],[Shortname]], Comp[], 26, FALSE)</f>
        <v>0</v>
      </c>
      <c r="AB56">
        <f>VLOOKUP(Table56[[#This Row],[Shortname]], Comp[], 27, FALSE)</f>
        <v>0</v>
      </c>
      <c r="AC56">
        <f>VLOOKUP(Table56[[#This Row],[Shortname]], Comp[], 28, FALSE)</f>
        <v>0</v>
      </c>
      <c r="AD56">
        <f>VLOOKUP(Table56[[#This Row],[Shortname]], Comp[], 29, FALSE)</f>
        <v>0</v>
      </c>
      <c r="AE56">
        <f>VLOOKUP(Table56[[#This Row],[Shortname]], Comp[], 30, FALSE)</f>
        <v>0</v>
      </c>
      <c r="AF56">
        <f>VLOOKUP(Table56[[#This Row],[Shortname]], Comp[], 31, FALSE)</f>
        <v>0</v>
      </c>
    </row>
    <row r="57" spans="1:32" x14ac:dyDescent="0.3">
      <c r="A57" t="s">
        <v>595</v>
      </c>
      <c r="B57" t="s">
        <v>597</v>
      </c>
      <c r="C57" s="1" t="s">
        <v>6693</v>
      </c>
      <c r="D57">
        <v>850</v>
      </c>
      <c r="E57">
        <v>1310</v>
      </c>
      <c r="F57">
        <v>1378</v>
      </c>
      <c r="G57">
        <f>VLOOKUP(Table56[[#This Row],[Shortname]], Comp[], 6, FALSE)</f>
        <v>77</v>
      </c>
      <c r="H57" s="14">
        <f>VLOOKUP(Table56[[#This Row],[Shortname]], Comp[], 7, FALSE)</f>
        <v>78</v>
      </c>
      <c r="I57">
        <f>VLOOKUP(Table56[[#This Row],[Shortname]], Comp[], 8, FALSE)</f>
        <v>10</v>
      </c>
      <c r="J57">
        <f>VLOOKUP(Table56[[#This Row],[Shortname]], Comp[], 9, FALSE)</f>
        <v>5.8</v>
      </c>
      <c r="K57">
        <f>VLOOKUP(Table56[[#This Row],[Shortname]], Comp[], 10, FALSE)</f>
        <v>0</v>
      </c>
      <c r="L57">
        <f>VLOOKUP(Table56[[#This Row],[Shortname]], Comp[], 11, FALSE)</f>
        <v>0</v>
      </c>
      <c r="M57">
        <f>VLOOKUP(Table56[[#This Row],[Shortname]], Comp[],12, FALSE)</f>
        <v>6.2</v>
      </c>
      <c r="N57">
        <f>VLOOKUP(Table56[[#This Row],[Shortname]], Comp[], 13, FALSE)</f>
        <v>0</v>
      </c>
      <c r="O57">
        <f>VLOOKUP(Table56[[#This Row],[Shortname]], Comp[], 14, FALSE)</f>
        <v>0</v>
      </c>
      <c r="P57">
        <f>VLOOKUP(Table56[[#This Row],[Shortname]], Comp[], 15, FALSE)</f>
        <v>0</v>
      </c>
      <c r="Q57">
        <f>VLOOKUP(Table56[[#This Row],[Shortname]], Comp[], 16, FALSE)</f>
        <v>0</v>
      </c>
      <c r="R57">
        <f>VLOOKUP(Table56[[#This Row],[Shortname]], Comp[], 17, FALSE)</f>
        <v>0</v>
      </c>
      <c r="S57">
        <f>VLOOKUP(Table56[[#This Row],[Shortname]], Comp[], 18, FALSE)</f>
        <v>0</v>
      </c>
      <c r="T57">
        <f>VLOOKUP(Table56[[#This Row],[Shortname]], Comp[], 19, FALSE)</f>
        <v>0</v>
      </c>
      <c r="U57">
        <f>VLOOKUP(Table56[[#This Row],[Shortname]], Comp[], 20, FALSE)</f>
        <v>0</v>
      </c>
      <c r="V57">
        <f>VLOOKUP(Table56[[#This Row],[Shortname]], Comp[], 21, FALSE)</f>
        <v>0</v>
      </c>
      <c r="W57">
        <f>VLOOKUP(Table56[[#This Row],[Shortname]], Comp[], 22, FALSE)</f>
        <v>0</v>
      </c>
      <c r="X57">
        <f>VLOOKUP(Table56[[#This Row],[Shortname]], Comp[], 23, FALSE)</f>
        <v>0</v>
      </c>
      <c r="Y57">
        <f>VLOOKUP(Table56[[#This Row],[Shortname]], Comp[], 24, FALSE)</f>
        <v>0</v>
      </c>
      <c r="Z57">
        <f>VLOOKUP(Table56[[#This Row],[Shortname]], Comp[], 25, FALSE)</f>
        <v>0</v>
      </c>
      <c r="AA57">
        <f>VLOOKUP(Table56[[#This Row],[Shortname]], Comp[], 26, FALSE)</f>
        <v>0</v>
      </c>
      <c r="AB57">
        <f>VLOOKUP(Table56[[#This Row],[Shortname]], Comp[], 27, FALSE)</f>
        <v>0</v>
      </c>
      <c r="AC57">
        <f>VLOOKUP(Table56[[#This Row],[Shortname]], Comp[], 28, FALSE)</f>
        <v>0</v>
      </c>
      <c r="AD57">
        <f>VLOOKUP(Table56[[#This Row],[Shortname]], Comp[], 29, FALSE)</f>
        <v>0</v>
      </c>
      <c r="AE57">
        <f>VLOOKUP(Table56[[#This Row],[Shortname]], Comp[], 30, FALSE)</f>
        <v>0</v>
      </c>
      <c r="AF57">
        <f>VLOOKUP(Table56[[#This Row],[Shortname]], Comp[], 31, FALSE)</f>
        <v>0</v>
      </c>
    </row>
    <row r="58" spans="1:32" x14ac:dyDescent="0.3">
      <c r="A58" t="s">
        <v>652</v>
      </c>
      <c r="B58" t="s">
        <v>654</v>
      </c>
      <c r="C58" s="16" t="s">
        <v>6698</v>
      </c>
      <c r="D58">
        <v>1100</v>
      </c>
      <c r="F58">
        <v>1372</v>
      </c>
      <c r="G58">
        <f>VLOOKUP(Table56[[#This Row],[Shortname]], Comp[], 6, FALSE)</f>
        <v>84</v>
      </c>
      <c r="H58" s="14">
        <f>VLOOKUP(Table56[[#This Row],[Shortname]], Comp[], 7, FALSE)</f>
        <v>73.400000000000006</v>
      </c>
      <c r="I58">
        <f>VLOOKUP(Table56[[#This Row],[Shortname]], Comp[], 8, FALSE)</f>
        <v>0</v>
      </c>
      <c r="J58">
        <f>VLOOKUP(Table56[[#This Row],[Shortname]], Comp[], 9, FALSE)</f>
        <v>11.7</v>
      </c>
      <c r="K58">
        <f>VLOOKUP(Table56[[#This Row],[Shortname]], Comp[], 10, FALSE)</f>
        <v>0</v>
      </c>
      <c r="L58">
        <f>VLOOKUP(Table56[[#This Row],[Shortname]], Comp[], 11, FALSE)</f>
        <v>14.01</v>
      </c>
      <c r="M58">
        <f>VLOOKUP(Table56[[#This Row],[Shortname]], Comp[],12, FALSE)</f>
        <v>0.48</v>
      </c>
      <c r="N58">
        <f>VLOOKUP(Table56[[#This Row],[Shortname]], Comp[], 13, FALSE)</f>
        <v>0.41</v>
      </c>
      <c r="O58">
        <f>VLOOKUP(Table56[[#This Row],[Shortname]], Comp[], 14, FALSE)</f>
        <v>0</v>
      </c>
      <c r="P58">
        <f>VLOOKUP(Table56[[#This Row],[Shortname]], Comp[], 15, FALSE)</f>
        <v>0</v>
      </c>
      <c r="Q58">
        <f>VLOOKUP(Table56[[#This Row],[Shortname]], Comp[], 16, FALSE)</f>
        <v>0</v>
      </c>
      <c r="R58">
        <f>VLOOKUP(Table56[[#This Row],[Shortname]], Comp[], 17, FALSE)</f>
        <v>0</v>
      </c>
      <c r="S58">
        <f>VLOOKUP(Table56[[#This Row],[Shortname]], Comp[], 18, FALSE)</f>
        <v>0</v>
      </c>
      <c r="T58">
        <f>VLOOKUP(Table56[[#This Row],[Shortname]], Comp[], 19, FALSE)</f>
        <v>0</v>
      </c>
      <c r="U58">
        <f>VLOOKUP(Table56[[#This Row],[Shortname]], Comp[], 20, FALSE)</f>
        <v>0</v>
      </c>
      <c r="V58">
        <f>VLOOKUP(Table56[[#This Row],[Shortname]], Comp[], 21, FALSE)</f>
        <v>0</v>
      </c>
      <c r="W58">
        <f>VLOOKUP(Table56[[#This Row],[Shortname]], Comp[], 22, FALSE)</f>
        <v>0</v>
      </c>
      <c r="X58">
        <f>VLOOKUP(Table56[[#This Row],[Shortname]], Comp[], 23, FALSE)</f>
        <v>0</v>
      </c>
      <c r="Y58">
        <f>VLOOKUP(Table56[[#This Row],[Shortname]], Comp[], 24, FALSE)</f>
        <v>0</v>
      </c>
      <c r="Z58">
        <f>VLOOKUP(Table56[[#This Row],[Shortname]], Comp[], 25, FALSE)</f>
        <v>0</v>
      </c>
      <c r="AA58">
        <f>VLOOKUP(Table56[[#This Row],[Shortname]], Comp[], 26, FALSE)</f>
        <v>0</v>
      </c>
      <c r="AB58">
        <f>VLOOKUP(Table56[[#This Row],[Shortname]], Comp[], 27, FALSE)</f>
        <v>0</v>
      </c>
      <c r="AC58">
        <f>VLOOKUP(Table56[[#This Row],[Shortname]], Comp[], 28, FALSE)</f>
        <v>0</v>
      </c>
      <c r="AD58">
        <f>VLOOKUP(Table56[[#This Row],[Shortname]], Comp[], 29, FALSE)</f>
        <v>0</v>
      </c>
      <c r="AE58">
        <f>VLOOKUP(Table56[[#This Row],[Shortname]], Comp[], 30, FALSE)</f>
        <v>0</v>
      </c>
      <c r="AF58">
        <f>VLOOKUP(Table56[[#This Row],[Shortname]], Comp[], 31, FALSE)</f>
        <v>0</v>
      </c>
    </row>
    <row r="59" spans="1:32" x14ac:dyDescent="0.3">
      <c r="A59" t="s">
        <v>664</v>
      </c>
      <c r="B59" t="s">
        <v>666</v>
      </c>
      <c r="C59" s="16" t="s">
        <v>6699</v>
      </c>
      <c r="D59">
        <v>1010</v>
      </c>
      <c r="F59">
        <v>1445</v>
      </c>
      <c r="G59">
        <f>VLOOKUP(Table56[[#This Row],[Shortname]], Comp[], 6, FALSE)</f>
        <v>85</v>
      </c>
      <c r="H59" s="14">
        <f>VLOOKUP(Table56[[#This Row],[Shortname]], Comp[], 7, FALSE)</f>
        <v>79.569999999999993</v>
      </c>
      <c r="I59">
        <f>VLOOKUP(Table56[[#This Row],[Shortname]], Comp[], 8, FALSE)</f>
        <v>0</v>
      </c>
      <c r="J59">
        <f>VLOOKUP(Table56[[#This Row],[Shortname]], Comp[], 9, FALSE)</f>
        <v>8.35</v>
      </c>
      <c r="K59">
        <f>VLOOKUP(Table56[[#This Row],[Shortname]], Comp[], 10, FALSE)</f>
        <v>0</v>
      </c>
      <c r="L59">
        <f>VLOOKUP(Table56[[#This Row],[Shortname]], Comp[], 11, FALSE)</f>
        <v>12.08</v>
      </c>
      <c r="M59">
        <f>VLOOKUP(Table56[[#This Row],[Shortname]], Comp[],12, FALSE)</f>
        <v>0</v>
      </c>
      <c r="N59">
        <f>VLOOKUP(Table56[[#This Row],[Shortname]], Comp[], 13, FALSE)</f>
        <v>0</v>
      </c>
      <c r="O59">
        <f>VLOOKUP(Table56[[#This Row],[Shortname]], Comp[], 14, FALSE)</f>
        <v>0</v>
      </c>
      <c r="P59">
        <f>VLOOKUP(Table56[[#This Row],[Shortname]], Comp[], 15, FALSE)</f>
        <v>0</v>
      </c>
      <c r="Q59">
        <f>VLOOKUP(Table56[[#This Row],[Shortname]], Comp[], 16, FALSE)</f>
        <v>0</v>
      </c>
      <c r="R59">
        <f>VLOOKUP(Table56[[#This Row],[Shortname]], Comp[], 17, FALSE)</f>
        <v>0</v>
      </c>
      <c r="S59">
        <f>VLOOKUP(Table56[[#This Row],[Shortname]], Comp[], 18, FALSE)</f>
        <v>0</v>
      </c>
      <c r="T59">
        <f>VLOOKUP(Table56[[#This Row],[Shortname]], Comp[], 19, FALSE)</f>
        <v>0</v>
      </c>
      <c r="U59">
        <f>VLOOKUP(Table56[[#This Row],[Shortname]], Comp[], 20, FALSE)</f>
        <v>0</v>
      </c>
      <c r="V59">
        <f>VLOOKUP(Table56[[#This Row],[Shortname]], Comp[], 21, FALSE)</f>
        <v>0</v>
      </c>
      <c r="W59">
        <f>VLOOKUP(Table56[[#This Row],[Shortname]], Comp[], 22, FALSE)</f>
        <v>0</v>
      </c>
      <c r="X59">
        <f>VLOOKUP(Table56[[#This Row],[Shortname]], Comp[], 23, FALSE)</f>
        <v>0</v>
      </c>
      <c r="Y59">
        <f>VLOOKUP(Table56[[#This Row],[Shortname]], Comp[], 24, FALSE)</f>
        <v>0</v>
      </c>
      <c r="Z59">
        <f>VLOOKUP(Table56[[#This Row],[Shortname]], Comp[], 25, FALSE)</f>
        <v>0</v>
      </c>
      <c r="AA59">
        <f>VLOOKUP(Table56[[#This Row],[Shortname]], Comp[], 26, FALSE)</f>
        <v>0</v>
      </c>
      <c r="AB59">
        <f>VLOOKUP(Table56[[#This Row],[Shortname]], Comp[], 27, FALSE)</f>
        <v>0</v>
      </c>
      <c r="AC59">
        <f>VLOOKUP(Table56[[#This Row],[Shortname]], Comp[], 28, FALSE)</f>
        <v>0</v>
      </c>
      <c r="AD59">
        <f>VLOOKUP(Table56[[#This Row],[Shortname]], Comp[], 29, FALSE)</f>
        <v>0</v>
      </c>
      <c r="AE59">
        <f>VLOOKUP(Table56[[#This Row],[Shortname]], Comp[], 30, FALSE)</f>
        <v>0</v>
      </c>
      <c r="AF59">
        <f>VLOOKUP(Table56[[#This Row],[Shortname]], Comp[], 31, FALSE)</f>
        <v>0</v>
      </c>
    </row>
    <row r="60" spans="1:32" x14ac:dyDescent="0.3">
      <c r="A60" t="s">
        <v>870</v>
      </c>
      <c r="B60" t="s">
        <v>872</v>
      </c>
      <c r="C60" s="17" t="s">
        <v>873</v>
      </c>
      <c r="D60">
        <v>1242</v>
      </c>
      <c r="E60">
        <v>1313</v>
      </c>
      <c r="F60">
        <v>1367</v>
      </c>
      <c r="G60">
        <f>VLOOKUP(Table56[[#This Row],[Shortname]], Comp[], 6, FALSE)</f>
        <v>112</v>
      </c>
      <c r="H60" s="14">
        <f>VLOOKUP(Table56[[#This Row],[Shortname]], Comp[], 7, FALSE)</f>
        <v>49</v>
      </c>
      <c r="I60">
        <f>VLOOKUP(Table56[[#This Row],[Shortname]], Comp[], 8, FALSE)</f>
        <v>30</v>
      </c>
      <c r="J60">
        <f>VLOOKUP(Table56[[#This Row],[Shortname]], Comp[], 9, FALSE)</f>
        <v>10</v>
      </c>
      <c r="K60">
        <f>VLOOKUP(Table56[[#This Row],[Shortname]], Comp[], 10, FALSE)</f>
        <v>0</v>
      </c>
      <c r="L60">
        <f>VLOOKUP(Table56[[#This Row],[Shortname]], Comp[], 11, FALSE)</f>
        <v>0</v>
      </c>
      <c r="M60">
        <f>VLOOKUP(Table56[[#This Row],[Shortname]], Comp[],12, FALSE)</f>
        <v>2</v>
      </c>
      <c r="N60">
        <f>VLOOKUP(Table56[[#This Row],[Shortname]], Comp[], 13, FALSE)</f>
        <v>4</v>
      </c>
      <c r="O60">
        <f>VLOOKUP(Table56[[#This Row],[Shortname]], Comp[], 14, FALSE)</f>
        <v>0</v>
      </c>
      <c r="P60">
        <f>VLOOKUP(Table56[[#This Row],[Shortname]], Comp[], 15, FALSE)</f>
        <v>5</v>
      </c>
      <c r="Q60">
        <f>VLOOKUP(Table56[[#This Row],[Shortname]], Comp[], 16, FALSE)</f>
        <v>0</v>
      </c>
      <c r="R60">
        <f>VLOOKUP(Table56[[#This Row],[Shortname]], Comp[], 17, FALSE)</f>
        <v>0</v>
      </c>
      <c r="S60">
        <f>VLOOKUP(Table56[[#This Row],[Shortname]], Comp[], 18, FALSE)</f>
        <v>0</v>
      </c>
      <c r="T60">
        <f>VLOOKUP(Table56[[#This Row],[Shortname]], Comp[], 19, FALSE)</f>
        <v>0</v>
      </c>
      <c r="U60">
        <f>VLOOKUP(Table56[[#This Row],[Shortname]], Comp[], 20, FALSE)</f>
        <v>0</v>
      </c>
      <c r="V60">
        <f>VLOOKUP(Table56[[#This Row],[Shortname]], Comp[], 21, FALSE)</f>
        <v>0</v>
      </c>
      <c r="W60">
        <f>VLOOKUP(Table56[[#This Row],[Shortname]], Comp[], 22, FALSE)</f>
        <v>0</v>
      </c>
      <c r="X60">
        <f>VLOOKUP(Table56[[#This Row],[Shortname]], Comp[], 23, FALSE)</f>
        <v>0</v>
      </c>
      <c r="Y60">
        <f>VLOOKUP(Table56[[#This Row],[Shortname]], Comp[], 24, FALSE)</f>
        <v>0</v>
      </c>
      <c r="Z60">
        <f>VLOOKUP(Table56[[#This Row],[Shortname]], Comp[], 25, FALSE)</f>
        <v>0</v>
      </c>
      <c r="AA60">
        <f>VLOOKUP(Table56[[#This Row],[Shortname]], Comp[], 26, FALSE)</f>
        <v>0</v>
      </c>
      <c r="AB60">
        <f>VLOOKUP(Table56[[#This Row],[Shortname]], Comp[], 27, FALSE)</f>
        <v>0</v>
      </c>
      <c r="AC60">
        <f>VLOOKUP(Table56[[#This Row],[Shortname]], Comp[], 28, FALSE)</f>
        <v>0</v>
      </c>
      <c r="AD60">
        <f>VLOOKUP(Table56[[#This Row],[Shortname]], Comp[], 29, FALSE)</f>
        <v>0</v>
      </c>
      <c r="AE60">
        <f>VLOOKUP(Table56[[#This Row],[Shortname]], Comp[], 30, FALSE)</f>
        <v>0</v>
      </c>
      <c r="AF60">
        <f>VLOOKUP(Table56[[#This Row],[Shortname]], Comp[], 31, FALSE)</f>
        <v>0</v>
      </c>
    </row>
    <row r="61" spans="1:32" x14ac:dyDescent="0.3">
      <c r="A61" t="s">
        <v>870</v>
      </c>
      <c r="B61" t="s">
        <v>864</v>
      </c>
      <c r="C61" s="17" t="s">
        <v>865</v>
      </c>
      <c r="D61">
        <v>1172</v>
      </c>
      <c r="E61">
        <v>1349</v>
      </c>
      <c r="F61">
        <v>1395</v>
      </c>
      <c r="G61">
        <f>VLOOKUP(Table56[[#This Row],[Shortname]], Comp[], 6, FALSE)</f>
        <v>112</v>
      </c>
      <c r="H61" s="14">
        <f>VLOOKUP(Table56[[#This Row],[Shortname]], Comp[], 7, FALSE)</f>
        <v>49</v>
      </c>
      <c r="I61">
        <f>VLOOKUP(Table56[[#This Row],[Shortname]], Comp[], 8, FALSE)</f>
        <v>30</v>
      </c>
      <c r="J61">
        <f>VLOOKUP(Table56[[#This Row],[Shortname]], Comp[], 9, FALSE)</f>
        <v>10</v>
      </c>
      <c r="K61">
        <f>VLOOKUP(Table56[[#This Row],[Shortname]], Comp[], 10, FALSE)</f>
        <v>0</v>
      </c>
      <c r="L61">
        <f>VLOOKUP(Table56[[#This Row],[Shortname]], Comp[], 11, FALSE)</f>
        <v>0</v>
      </c>
      <c r="M61">
        <f>VLOOKUP(Table56[[#This Row],[Shortname]], Comp[],12, FALSE)</f>
        <v>2</v>
      </c>
      <c r="N61">
        <f>VLOOKUP(Table56[[#This Row],[Shortname]], Comp[], 13, FALSE)</f>
        <v>4</v>
      </c>
      <c r="O61">
        <f>VLOOKUP(Table56[[#This Row],[Shortname]], Comp[], 14, FALSE)</f>
        <v>0</v>
      </c>
      <c r="P61">
        <f>VLOOKUP(Table56[[#This Row],[Shortname]], Comp[], 15, FALSE)</f>
        <v>5</v>
      </c>
      <c r="Q61">
        <f>VLOOKUP(Table56[[#This Row],[Shortname]], Comp[], 16, FALSE)</f>
        <v>0</v>
      </c>
      <c r="R61">
        <f>VLOOKUP(Table56[[#This Row],[Shortname]], Comp[], 17, FALSE)</f>
        <v>0</v>
      </c>
      <c r="S61">
        <f>VLOOKUP(Table56[[#This Row],[Shortname]], Comp[], 18, FALSE)</f>
        <v>0</v>
      </c>
      <c r="T61">
        <f>VLOOKUP(Table56[[#This Row],[Shortname]], Comp[], 19, FALSE)</f>
        <v>0</v>
      </c>
      <c r="U61">
        <f>VLOOKUP(Table56[[#This Row],[Shortname]], Comp[], 20, FALSE)</f>
        <v>0</v>
      </c>
      <c r="V61">
        <f>VLOOKUP(Table56[[#This Row],[Shortname]], Comp[], 21, FALSE)</f>
        <v>0</v>
      </c>
      <c r="W61">
        <f>VLOOKUP(Table56[[#This Row],[Shortname]], Comp[], 22, FALSE)</f>
        <v>0</v>
      </c>
      <c r="X61">
        <f>VLOOKUP(Table56[[#This Row],[Shortname]], Comp[], 23, FALSE)</f>
        <v>0</v>
      </c>
      <c r="Y61">
        <f>VLOOKUP(Table56[[#This Row],[Shortname]], Comp[], 24, FALSE)</f>
        <v>0</v>
      </c>
      <c r="Z61">
        <f>VLOOKUP(Table56[[#This Row],[Shortname]], Comp[], 25, FALSE)</f>
        <v>0</v>
      </c>
      <c r="AA61">
        <f>VLOOKUP(Table56[[#This Row],[Shortname]], Comp[], 26, FALSE)</f>
        <v>0</v>
      </c>
      <c r="AB61">
        <f>VLOOKUP(Table56[[#This Row],[Shortname]], Comp[], 27, FALSE)</f>
        <v>0</v>
      </c>
      <c r="AC61">
        <f>VLOOKUP(Table56[[#This Row],[Shortname]], Comp[], 28, FALSE)</f>
        <v>0</v>
      </c>
      <c r="AD61">
        <f>VLOOKUP(Table56[[#This Row],[Shortname]], Comp[], 29, FALSE)</f>
        <v>0</v>
      </c>
      <c r="AE61">
        <f>VLOOKUP(Table56[[#This Row],[Shortname]], Comp[], 30, FALSE)</f>
        <v>0</v>
      </c>
      <c r="AF61">
        <f>VLOOKUP(Table56[[#This Row],[Shortname]], Comp[], 31, FALSE)</f>
        <v>0</v>
      </c>
    </row>
    <row r="62" spans="1:32" x14ac:dyDescent="0.3">
      <c r="A62" t="s">
        <v>854</v>
      </c>
      <c r="B62" t="s">
        <v>856</v>
      </c>
      <c r="C62" s="17" t="s">
        <v>857</v>
      </c>
      <c r="D62">
        <v>1148</v>
      </c>
      <c r="E62">
        <v>1349</v>
      </c>
      <c r="F62">
        <v>1395</v>
      </c>
      <c r="G62">
        <f>VLOOKUP(Table56[[#This Row],[Shortname]], Comp[], 6, FALSE)</f>
        <v>110</v>
      </c>
      <c r="H62" s="14">
        <f>VLOOKUP(Table56[[#This Row],[Shortname]], Comp[], 7, FALSE)</f>
        <v>51</v>
      </c>
      <c r="I62">
        <f>VLOOKUP(Table56[[#This Row],[Shortname]], Comp[], 8, FALSE)</f>
        <v>30</v>
      </c>
      <c r="J62">
        <f>VLOOKUP(Table56[[#This Row],[Shortname]], Comp[], 9, FALSE)</f>
        <v>7.5</v>
      </c>
      <c r="K62">
        <f>VLOOKUP(Table56[[#This Row],[Shortname]], Comp[], 10, FALSE)</f>
        <v>0</v>
      </c>
      <c r="L62">
        <f>VLOOKUP(Table56[[#This Row],[Shortname]], Comp[], 11, FALSE)</f>
        <v>0</v>
      </c>
      <c r="M62">
        <f>VLOOKUP(Table56[[#This Row],[Shortname]], Comp[],12, FALSE)</f>
        <v>0</v>
      </c>
      <c r="N62">
        <f>VLOOKUP(Table56[[#This Row],[Shortname]], Comp[], 13, FALSE)</f>
        <v>4</v>
      </c>
      <c r="O62">
        <f>VLOOKUP(Table56[[#This Row],[Shortname]], Comp[], 14, FALSE)</f>
        <v>0</v>
      </c>
      <c r="P62">
        <f>VLOOKUP(Table56[[#This Row],[Shortname]], Comp[], 15, FALSE)</f>
        <v>7.5</v>
      </c>
      <c r="Q62">
        <f>VLOOKUP(Table56[[#This Row],[Shortname]], Comp[], 16, FALSE)</f>
        <v>0</v>
      </c>
      <c r="R62">
        <f>VLOOKUP(Table56[[#This Row],[Shortname]], Comp[], 17, FALSE)</f>
        <v>0</v>
      </c>
      <c r="S62">
        <f>VLOOKUP(Table56[[#This Row],[Shortname]], Comp[], 18, FALSE)</f>
        <v>0</v>
      </c>
      <c r="T62">
        <f>VLOOKUP(Table56[[#This Row],[Shortname]], Comp[], 19, FALSE)</f>
        <v>0</v>
      </c>
      <c r="U62">
        <f>VLOOKUP(Table56[[#This Row],[Shortname]], Comp[], 20, FALSE)</f>
        <v>0</v>
      </c>
      <c r="V62">
        <f>VLOOKUP(Table56[[#This Row],[Shortname]], Comp[], 21, FALSE)</f>
        <v>0</v>
      </c>
      <c r="W62">
        <f>VLOOKUP(Table56[[#This Row],[Shortname]], Comp[], 22, FALSE)</f>
        <v>0</v>
      </c>
      <c r="X62">
        <f>VLOOKUP(Table56[[#This Row],[Shortname]], Comp[], 23, FALSE)</f>
        <v>0</v>
      </c>
      <c r="Y62">
        <f>VLOOKUP(Table56[[#This Row],[Shortname]], Comp[], 24, FALSE)</f>
        <v>0</v>
      </c>
      <c r="Z62">
        <f>VLOOKUP(Table56[[#This Row],[Shortname]], Comp[], 25, FALSE)</f>
        <v>0</v>
      </c>
      <c r="AA62">
        <f>VLOOKUP(Table56[[#This Row],[Shortname]], Comp[], 26, FALSE)</f>
        <v>0</v>
      </c>
      <c r="AB62">
        <f>VLOOKUP(Table56[[#This Row],[Shortname]], Comp[], 27, FALSE)</f>
        <v>0</v>
      </c>
      <c r="AC62">
        <f>VLOOKUP(Table56[[#This Row],[Shortname]], Comp[], 28, FALSE)</f>
        <v>0</v>
      </c>
      <c r="AD62">
        <f>VLOOKUP(Table56[[#This Row],[Shortname]], Comp[], 29, FALSE)</f>
        <v>0</v>
      </c>
      <c r="AE62">
        <f>VLOOKUP(Table56[[#This Row],[Shortname]], Comp[], 30, FALSE)</f>
        <v>0</v>
      </c>
      <c r="AF62">
        <f>VLOOKUP(Table56[[#This Row],[Shortname]], Comp[], 31, FALSE)</f>
        <v>0</v>
      </c>
    </row>
    <row r="63" spans="1:32" x14ac:dyDescent="0.3">
      <c r="A63" t="s">
        <v>845</v>
      </c>
      <c r="B63" t="s">
        <v>847</v>
      </c>
      <c r="C63" s="17" t="s">
        <v>848</v>
      </c>
      <c r="D63">
        <v>1119</v>
      </c>
      <c r="E63">
        <v>1349</v>
      </c>
      <c r="F63">
        <v>1395</v>
      </c>
      <c r="G63">
        <f>VLOOKUP(Table56[[#This Row],[Shortname]], Comp[], 6, FALSE)</f>
        <v>109</v>
      </c>
      <c r="H63" s="14">
        <f>VLOOKUP(Table56[[#This Row],[Shortname]], Comp[], 7, FALSE)</f>
        <v>51</v>
      </c>
      <c r="I63">
        <f>VLOOKUP(Table56[[#This Row],[Shortname]], Comp[], 8, FALSE)</f>
        <v>30</v>
      </c>
      <c r="J63">
        <f>VLOOKUP(Table56[[#This Row],[Shortname]], Comp[], 9, FALSE)</f>
        <v>5</v>
      </c>
      <c r="K63">
        <f>VLOOKUP(Table56[[#This Row],[Shortname]], Comp[], 10, FALSE)</f>
        <v>0</v>
      </c>
      <c r="L63">
        <f>VLOOKUP(Table56[[#This Row],[Shortname]], Comp[], 11, FALSE)</f>
        <v>0</v>
      </c>
      <c r="M63">
        <f>VLOOKUP(Table56[[#This Row],[Shortname]], Comp[],12, FALSE)</f>
        <v>0</v>
      </c>
      <c r="N63">
        <f>VLOOKUP(Table56[[#This Row],[Shortname]], Comp[], 13, FALSE)</f>
        <v>4</v>
      </c>
      <c r="O63">
        <f>VLOOKUP(Table56[[#This Row],[Shortname]], Comp[], 14, FALSE)</f>
        <v>0</v>
      </c>
      <c r="P63">
        <f>VLOOKUP(Table56[[#This Row],[Shortname]], Comp[], 15, FALSE)</f>
        <v>10</v>
      </c>
      <c r="Q63">
        <f>VLOOKUP(Table56[[#This Row],[Shortname]], Comp[], 16, FALSE)</f>
        <v>0</v>
      </c>
      <c r="R63">
        <f>VLOOKUP(Table56[[#This Row],[Shortname]], Comp[], 17, FALSE)</f>
        <v>0</v>
      </c>
      <c r="S63">
        <f>VLOOKUP(Table56[[#This Row],[Shortname]], Comp[], 18, FALSE)</f>
        <v>0</v>
      </c>
      <c r="T63">
        <f>VLOOKUP(Table56[[#This Row],[Shortname]], Comp[], 19, FALSE)</f>
        <v>0</v>
      </c>
      <c r="U63">
        <f>VLOOKUP(Table56[[#This Row],[Shortname]], Comp[], 20, FALSE)</f>
        <v>0</v>
      </c>
      <c r="V63">
        <f>VLOOKUP(Table56[[#This Row],[Shortname]], Comp[], 21, FALSE)</f>
        <v>0</v>
      </c>
      <c r="W63">
        <f>VLOOKUP(Table56[[#This Row],[Shortname]], Comp[], 22, FALSE)</f>
        <v>0</v>
      </c>
      <c r="X63">
        <f>VLOOKUP(Table56[[#This Row],[Shortname]], Comp[], 23, FALSE)</f>
        <v>0</v>
      </c>
      <c r="Y63">
        <f>VLOOKUP(Table56[[#This Row],[Shortname]], Comp[], 24, FALSE)</f>
        <v>0</v>
      </c>
      <c r="Z63">
        <f>VLOOKUP(Table56[[#This Row],[Shortname]], Comp[], 25, FALSE)</f>
        <v>0</v>
      </c>
      <c r="AA63">
        <f>VLOOKUP(Table56[[#This Row],[Shortname]], Comp[], 26, FALSE)</f>
        <v>0</v>
      </c>
      <c r="AB63">
        <f>VLOOKUP(Table56[[#This Row],[Shortname]], Comp[], 27, FALSE)</f>
        <v>0</v>
      </c>
      <c r="AC63">
        <f>VLOOKUP(Table56[[#This Row],[Shortname]], Comp[], 28, FALSE)</f>
        <v>0</v>
      </c>
      <c r="AD63">
        <f>VLOOKUP(Table56[[#This Row],[Shortname]], Comp[], 29, FALSE)</f>
        <v>0</v>
      </c>
      <c r="AE63">
        <f>VLOOKUP(Table56[[#This Row],[Shortname]], Comp[], 30, FALSE)</f>
        <v>0</v>
      </c>
      <c r="AF63">
        <f>VLOOKUP(Table56[[#This Row],[Shortname]], Comp[], 31, FALSE)</f>
        <v>0</v>
      </c>
    </row>
    <row r="64" spans="1:32" x14ac:dyDescent="0.3">
      <c r="A64" t="s">
        <v>802</v>
      </c>
      <c r="B64" t="s">
        <v>804</v>
      </c>
      <c r="C64" s="17" t="s">
        <v>805</v>
      </c>
      <c r="D64">
        <v>1070</v>
      </c>
      <c r="E64">
        <v>1354</v>
      </c>
      <c r="F64">
        <v>1411</v>
      </c>
      <c r="G64">
        <f>VLOOKUP(Table56[[#This Row],[Shortname]], Comp[], 6, FALSE)</f>
        <v>103</v>
      </c>
      <c r="H64" s="14">
        <f>VLOOKUP(Table56[[#This Row],[Shortname]], Comp[], 7, FALSE)</f>
        <v>79</v>
      </c>
      <c r="I64">
        <f>VLOOKUP(Table56[[#This Row],[Shortname]], Comp[], 8, FALSE)</f>
        <v>0</v>
      </c>
      <c r="J64">
        <f>VLOOKUP(Table56[[#This Row],[Shortname]], Comp[], 9, FALSE)</f>
        <v>5</v>
      </c>
      <c r="K64">
        <f>VLOOKUP(Table56[[#This Row],[Shortname]], Comp[], 10, FALSE)</f>
        <v>0</v>
      </c>
      <c r="L64">
        <f>VLOOKUP(Table56[[#This Row],[Shortname]], Comp[], 11, FALSE)</f>
        <v>0</v>
      </c>
      <c r="M64">
        <f>VLOOKUP(Table56[[#This Row],[Shortname]], Comp[],12, FALSE)</f>
        <v>0</v>
      </c>
      <c r="N64">
        <f>VLOOKUP(Table56[[#This Row],[Shortname]], Comp[], 13, FALSE)</f>
        <v>2</v>
      </c>
      <c r="O64">
        <f>VLOOKUP(Table56[[#This Row],[Shortname]], Comp[], 14, FALSE)</f>
        <v>0</v>
      </c>
      <c r="P64">
        <f>VLOOKUP(Table56[[#This Row],[Shortname]], Comp[], 15, FALSE)</f>
        <v>14</v>
      </c>
      <c r="Q64">
        <f>VLOOKUP(Table56[[#This Row],[Shortname]], Comp[], 16, FALSE)</f>
        <v>0</v>
      </c>
      <c r="R64">
        <f>VLOOKUP(Table56[[#This Row],[Shortname]], Comp[], 17, FALSE)</f>
        <v>0</v>
      </c>
      <c r="S64">
        <f>VLOOKUP(Table56[[#This Row],[Shortname]], Comp[], 18, FALSE)</f>
        <v>0</v>
      </c>
      <c r="T64">
        <f>VLOOKUP(Table56[[#This Row],[Shortname]], Comp[], 19, FALSE)</f>
        <v>0</v>
      </c>
      <c r="U64">
        <f>VLOOKUP(Table56[[#This Row],[Shortname]], Comp[], 20, FALSE)</f>
        <v>0</v>
      </c>
      <c r="V64">
        <f>VLOOKUP(Table56[[#This Row],[Shortname]], Comp[], 21, FALSE)</f>
        <v>0</v>
      </c>
      <c r="W64">
        <f>VLOOKUP(Table56[[#This Row],[Shortname]], Comp[], 22, FALSE)</f>
        <v>0</v>
      </c>
      <c r="X64">
        <f>VLOOKUP(Table56[[#This Row],[Shortname]], Comp[], 23, FALSE)</f>
        <v>0</v>
      </c>
      <c r="Y64">
        <f>VLOOKUP(Table56[[#This Row],[Shortname]], Comp[], 24, FALSE)</f>
        <v>0</v>
      </c>
      <c r="Z64">
        <f>VLOOKUP(Table56[[#This Row],[Shortname]], Comp[], 25, FALSE)</f>
        <v>0</v>
      </c>
      <c r="AA64">
        <f>VLOOKUP(Table56[[#This Row],[Shortname]], Comp[], 26, FALSE)</f>
        <v>0</v>
      </c>
      <c r="AB64">
        <f>VLOOKUP(Table56[[#This Row],[Shortname]], Comp[], 27, FALSE)</f>
        <v>0</v>
      </c>
      <c r="AC64">
        <f>VLOOKUP(Table56[[#This Row],[Shortname]], Comp[], 28, FALSE)</f>
        <v>0</v>
      </c>
      <c r="AD64">
        <f>VLOOKUP(Table56[[#This Row],[Shortname]], Comp[], 29, FALSE)</f>
        <v>0</v>
      </c>
      <c r="AE64">
        <f>VLOOKUP(Table56[[#This Row],[Shortname]], Comp[], 30, FALSE)</f>
        <v>0</v>
      </c>
      <c r="AF64">
        <f>VLOOKUP(Table56[[#This Row],[Shortname]], Comp[], 31, FALSE)</f>
        <v>0</v>
      </c>
    </row>
    <row r="65" spans="1:32" x14ac:dyDescent="0.3">
      <c r="A65" t="s">
        <v>838</v>
      </c>
      <c r="B65" t="s">
        <v>840</v>
      </c>
      <c r="C65" s="17" t="s">
        <v>841</v>
      </c>
      <c r="D65">
        <v>1032</v>
      </c>
      <c r="E65">
        <v>1408</v>
      </c>
      <c r="F65">
        <v>1429</v>
      </c>
      <c r="G65">
        <f>VLOOKUP(Table56[[#This Row],[Shortname]], Comp[], 6, FALSE)</f>
        <v>108</v>
      </c>
      <c r="H65" s="14">
        <f>VLOOKUP(Table56[[#This Row],[Shortname]], Comp[], 7, FALSE)</f>
        <v>50</v>
      </c>
      <c r="I65">
        <f>VLOOKUP(Table56[[#This Row],[Shortname]], Comp[], 8, FALSE)</f>
        <v>30</v>
      </c>
      <c r="J65">
        <f>VLOOKUP(Table56[[#This Row],[Shortname]], Comp[], 9, FALSE)</f>
        <v>8</v>
      </c>
      <c r="K65">
        <f>VLOOKUP(Table56[[#This Row],[Shortname]], Comp[], 10, FALSE)</f>
        <v>0</v>
      </c>
      <c r="L65">
        <f>VLOOKUP(Table56[[#This Row],[Shortname]], Comp[], 11, FALSE)</f>
        <v>0</v>
      </c>
      <c r="M65">
        <f>VLOOKUP(Table56[[#This Row],[Shortname]], Comp[],12, FALSE)</f>
        <v>0</v>
      </c>
      <c r="N65">
        <f>VLOOKUP(Table56[[#This Row],[Shortname]], Comp[], 13, FALSE)</f>
        <v>0</v>
      </c>
      <c r="O65">
        <f>VLOOKUP(Table56[[#This Row],[Shortname]], Comp[], 14, FALSE)</f>
        <v>0</v>
      </c>
      <c r="P65">
        <f>VLOOKUP(Table56[[#This Row],[Shortname]], Comp[], 15, FALSE)</f>
        <v>12</v>
      </c>
      <c r="Q65">
        <f>VLOOKUP(Table56[[#This Row],[Shortname]], Comp[], 16, FALSE)</f>
        <v>0</v>
      </c>
      <c r="R65">
        <f>VLOOKUP(Table56[[#This Row],[Shortname]], Comp[], 17, FALSE)</f>
        <v>0</v>
      </c>
      <c r="S65">
        <f>VLOOKUP(Table56[[#This Row],[Shortname]], Comp[], 18, FALSE)</f>
        <v>0</v>
      </c>
      <c r="T65">
        <f>VLOOKUP(Table56[[#This Row],[Shortname]], Comp[], 19, FALSE)</f>
        <v>0</v>
      </c>
      <c r="U65">
        <f>VLOOKUP(Table56[[#This Row],[Shortname]], Comp[], 20, FALSE)</f>
        <v>0</v>
      </c>
      <c r="V65">
        <f>VLOOKUP(Table56[[#This Row],[Shortname]], Comp[], 21, FALSE)</f>
        <v>0</v>
      </c>
      <c r="W65">
        <f>VLOOKUP(Table56[[#This Row],[Shortname]], Comp[], 22, FALSE)</f>
        <v>0</v>
      </c>
      <c r="X65">
        <f>VLOOKUP(Table56[[#This Row],[Shortname]], Comp[], 23, FALSE)</f>
        <v>0</v>
      </c>
      <c r="Y65">
        <f>VLOOKUP(Table56[[#This Row],[Shortname]], Comp[], 24, FALSE)</f>
        <v>0</v>
      </c>
      <c r="Z65">
        <f>VLOOKUP(Table56[[#This Row],[Shortname]], Comp[], 25, FALSE)</f>
        <v>0</v>
      </c>
      <c r="AA65">
        <f>VLOOKUP(Table56[[#This Row],[Shortname]], Comp[], 26, FALSE)</f>
        <v>0</v>
      </c>
      <c r="AB65">
        <f>VLOOKUP(Table56[[#This Row],[Shortname]], Comp[], 27, FALSE)</f>
        <v>0</v>
      </c>
      <c r="AC65">
        <f>VLOOKUP(Table56[[#This Row],[Shortname]], Comp[], 28, FALSE)</f>
        <v>0</v>
      </c>
      <c r="AD65">
        <f>VLOOKUP(Table56[[#This Row],[Shortname]], Comp[], 29, FALSE)</f>
        <v>0</v>
      </c>
      <c r="AE65">
        <f>VLOOKUP(Table56[[#This Row],[Shortname]], Comp[], 30, FALSE)</f>
        <v>0</v>
      </c>
      <c r="AF65">
        <f>VLOOKUP(Table56[[#This Row],[Shortname]], Comp[], 31, FALSE)</f>
        <v>0</v>
      </c>
    </row>
    <row r="66" spans="1:32" x14ac:dyDescent="0.3">
      <c r="A66" t="s">
        <v>786</v>
      </c>
      <c r="B66" t="s">
        <v>788</v>
      </c>
      <c r="C66" s="17" t="s">
        <v>789</v>
      </c>
      <c r="D66">
        <v>1032</v>
      </c>
      <c r="E66">
        <v>1309</v>
      </c>
      <c r="F66">
        <v>1309</v>
      </c>
      <c r="G66">
        <f>VLOOKUP(Table56[[#This Row],[Shortname]], Comp[], 6, FALSE)</f>
        <v>101</v>
      </c>
      <c r="H66" s="14">
        <f>VLOOKUP(Table56[[#This Row],[Shortname]], Comp[], 7, FALSE)</f>
        <v>79</v>
      </c>
      <c r="I66">
        <f>VLOOKUP(Table56[[#This Row],[Shortname]], Comp[], 8, FALSE)</f>
        <v>0</v>
      </c>
      <c r="J66">
        <f>VLOOKUP(Table56[[#This Row],[Shortname]], Comp[], 9, FALSE)</f>
        <v>5</v>
      </c>
      <c r="K66">
        <f>VLOOKUP(Table56[[#This Row],[Shortname]], Comp[], 10, FALSE)</f>
        <v>0</v>
      </c>
      <c r="L66">
        <f>VLOOKUP(Table56[[#This Row],[Shortname]], Comp[], 11, FALSE)</f>
        <v>0</v>
      </c>
      <c r="M66">
        <f>VLOOKUP(Table56[[#This Row],[Shortname]], Comp[],12, FALSE)</f>
        <v>0</v>
      </c>
      <c r="N66">
        <f>VLOOKUP(Table56[[#This Row],[Shortname]], Comp[], 13, FALSE)</f>
        <v>0</v>
      </c>
      <c r="O66">
        <f>VLOOKUP(Table56[[#This Row],[Shortname]], Comp[], 14, FALSE)</f>
        <v>2</v>
      </c>
      <c r="P66">
        <f>VLOOKUP(Table56[[#This Row],[Shortname]], Comp[], 15, FALSE)</f>
        <v>14</v>
      </c>
      <c r="Q66">
        <f>VLOOKUP(Table56[[#This Row],[Shortname]], Comp[], 16, FALSE)</f>
        <v>0</v>
      </c>
      <c r="R66">
        <f>VLOOKUP(Table56[[#This Row],[Shortname]], Comp[], 17, FALSE)</f>
        <v>0</v>
      </c>
      <c r="S66">
        <f>VLOOKUP(Table56[[#This Row],[Shortname]], Comp[], 18, FALSE)</f>
        <v>0</v>
      </c>
      <c r="T66">
        <f>VLOOKUP(Table56[[#This Row],[Shortname]], Comp[], 19, FALSE)</f>
        <v>0</v>
      </c>
      <c r="U66">
        <f>VLOOKUP(Table56[[#This Row],[Shortname]], Comp[], 20, FALSE)</f>
        <v>0</v>
      </c>
      <c r="V66">
        <f>VLOOKUP(Table56[[#This Row],[Shortname]], Comp[], 21, FALSE)</f>
        <v>0</v>
      </c>
      <c r="W66">
        <f>VLOOKUP(Table56[[#This Row],[Shortname]], Comp[], 22, FALSE)</f>
        <v>0</v>
      </c>
      <c r="X66">
        <f>VLOOKUP(Table56[[#This Row],[Shortname]], Comp[], 23, FALSE)</f>
        <v>0</v>
      </c>
      <c r="Y66">
        <f>VLOOKUP(Table56[[#This Row],[Shortname]], Comp[], 24, FALSE)</f>
        <v>0</v>
      </c>
      <c r="Z66">
        <f>VLOOKUP(Table56[[#This Row],[Shortname]], Comp[], 25, FALSE)</f>
        <v>0</v>
      </c>
      <c r="AA66">
        <f>VLOOKUP(Table56[[#This Row],[Shortname]], Comp[], 26, FALSE)</f>
        <v>0</v>
      </c>
      <c r="AB66">
        <f>VLOOKUP(Table56[[#This Row],[Shortname]], Comp[], 27, FALSE)</f>
        <v>0</v>
      </c>
      <c r="AC66">
        <f>VLOOKUP(Table56[[#This Row],[Shortname]], Comp[], 28, FALSE)</f>
        <v>0</v>
      </c>
      <c r="AD66">
        <f>VLOOKUP(Table56[[#This Row],[Shortname]], Comp[], 29, FALSE)</f>
        <v>0</v>
      </c>
      <c r="AE66">
        <f>VLOOKUP(Table56[[#This Row],[Shortname]], Comp[], 30, FALSE)</f>
        <v>0</v>
      </c>
      <c r="AF66">
        <f>VLOOKUP(Table56[[#This Row],[Shortname]], Comp[], 31, FALSE)</f>
        <v>0</v>
      </c>
    </row>
    <row r="67" spans="1:32" x14ac:dyDescent="0.3">
      <c r="A67" t="s">
        <v>730</v>
      </c>
      <c r="B67" t="s">
        <v>732</v>
      </c>
      <c r="C67" s="17" t="s">
        <v>733</v>
      </c>
      <c r="D67">
        <v>1022</v>
      </c>
      <c r="E67">
        <v>1338</v>
      </c>
      <c r="F67">
        <v>1394</v>
      </c>
      <c r="G67">
        <f>VLOOKUP(Table56[[#This Row],[Shortname]], Comp[], 6, FALSE)</f>
        <v>93</v>
      </c>
      <c r="H67" s="14">
        <f>VLOOKUP(Table56[[#This Row],[Shortname]], Comp[], 7, FALSE)</f>
        <v>79</v>
      </c>
      <c r="I67">
        <f>VLOOKUP(Table56[[#This Row],[Shortname]], Comp[], 8, FALSE)</f>
        <v>0</v>
      </c>
      <c r="J67">
        <f>VLOOKUP(Table56[[#This Row],[Shortname]], Comp[], 9, FALSE)</f>
        <v>5</v>
      </c>
      <c r="K67">
        <f>VLOOKUP(Table56[[#This Row],[Shortname]], Comp[], 10, FALSE)</f>
        <v>0</v>
      </c>
      <c r="L67">
        <f>VLOOKUP(Table56[[#This Row],[Shortname]], Comp[], 11, FALSE)</f>
        <v>0</v>
      </c>
      <c r="M67">
        <f>VLOOKUP(Table56[[#This Row],[Shortname]], Comp[],12, FALSE)</f>
        <v>2</v>
      </c>
      <c r="N67">
        <f>VLOOKUP(Table56[[#This Row],[Shortname]], Comp[], 13, FALSE)</f>
        <v>0</v>
      </c>
      <c r="O67">
        <f>VLOOKUP(Table56[[#This Row],[Shortname]], Comp[], 14, FALSE)</f>
        <v>0</v>
      </c>
      <c r="P67">
        <f>VLOOKUP(Table56[[#This Row],[Shortname]], Comp[], 15, FALSE)</f>
        <v>14</v>
      </c>
      <c r="Q67">
        <f>VLOOKUP(Table56[[#This Row],[Shortname]], Comp[], 16, FALSE)</f>
        <v>0</v>
      </c>
      <c r="R67">
        <f>VLOOKUP(Table56[[#This Row],[Shortname]], Comp[], 17, FALSE)</f>
        <v>0</v>
      </c>
      <c r="S67">
        <f>VLOOKUP(Table56[[#This Row],[Shortname]], Comp[], 18, FALSE)</f>
        <v>0</v>
      </c>
      <c r="T67">
        <f>VLOOKUP(Table56[[#This Row],[Shortname]], Comp[], 19, FALSE)</f>
        <v>0</v>
      </c>
      <c r="U67">
        <f>VLOOKUP(Table56[[#This Row],[Shortname]], Comp[], 20, FALSE)</f>
        <v>0</v>
      </c>
      <c r="V67">
        <f>VLOOKUP(Table56[[#This Row],[Shortname]], Comp[], 21, FALSE)</f>
        <v>0</v>
      </c>
      <c r="W67">
        <f>VLOOKUP(Table56[[#This Row],[Shortname]], Comp[], 22, FALSE)</f>
        <v>0</v>
      </c>
      <c r="X67">
        <f>VLOOKUP(Table56[[#This Row],[Shortname]], Comp[], 23, FALSE)</f>
        <v>0</v>
      </c>
      <c r="Y67">
        <f>VLOOKUP(Table56[[#This Row],[Shortname]], Comp[], 24, FALSE)</f>
        <v>0</v>
      </c>
      <c r="Z67">
        <f>VLOOKUP(Table56[[#This Row],[Shortname]], Comp[], 25, FALSE)</f>
        <v>0</v>
      </c>
      <c r="AA67">
        <f>VLOOKUP(Table56[[#This Row],[Shortname]], Comp[], 26, FALSE)</f>
        <v>0</v>
      </c>
      <c r="AB67">
        <f>VLOOKUP(Table56[[#This Row],[Shortname]], Comp[], 27, FALSE)</f>
        <v>0</v>
      </c>
      <c r="AC67">
        <f>VLOOKUP(Table56[[#This Row],[Shortname]], Comp[], 28, FALSE)</f>
        <v>0</v>
      </c>
      <c r="AD67">
        <f>VLOOKUP(Table56[[#This Row],[Shortname]], Comp[], 29, FALSE)</f>
        <v>0</v>
      </c>
      <c r="AE67">
        <f>VLOOKUP(Table56[[#This Row],[Shortname]], Comp[], 30, FALSE)</f>
        <v>0</v>
      </c>
      <c r="AF67">
        <f>VLOOKUP(Table56[[#This Row],[Shortname]], Comp[], 31, FALSE)</f>
        <v>0</v>
      </c>
    </row>
    <row r="68" spans="1:32" x14ac:dyDescent="0.3">
      <c r="A68" t="s">
        <v>809</v>
      </c>
      <c r="B68" t="s">
        <v>811</v>
      </c>
      <c r="C68" s="17" t="s">
        <v>812</v>
      </c>
      <c r="D68">
        <v>1003</v>
      </c>
      <c r="E68">
        <v>1412</v>
      </c>
      <c r="F68">
        <v>1445</v>
      </c>
      <c r="G68">
        <f>VLOOKUP(Table56[[#This Row],[Shortname]], Comp[], 6, FALSE)</f>
        <v>104</v>
      </c>
      <c r="H68" s="14">
        <f>VLOOKUP(Table56[[#This Row],[Shortname]], Comp[], 7, FALSE)</f>
        <v>79</v>
      </c>
      <c r="I68">
        <f>VLOOKUP(Table56[[#This Row],[Shortname]], Comp[], 8, FALSE)</f>
        <v>0</v>
      </c>
      <c r="J68">
        <f>VLOOKUP(Table56[[#This Row],[Shortname]], Comp[], 9, FALSE)</f>
        <v>5</v>
      </c>
      <c r="K68">
        <f>VLOOKUP(Table56[[#This Row],[Shortname]], Comp[], 10, FALSE)</f>
        <v>0</v>
      </c>
      <c r="L68">
        <f>VLOOKUP(Table56[[#This Row],[Shortname]], Comp[], 11, FALSE)</f>
        <v>2</v>
      </c>
      <c r="M68">
        <f>VLOOKUP(Table56[[#This Row],[Shortname]], Comp[],12, FALSE)</f>
        <v>0</v>
      </c>
      <c r="N68">
        <f>VLOOKUP(Table56[[#This Row],[Shortname]], Comp[], 13, FALSE)</f>
        <v>0</v>
      </c>
      <c r="O68">
        <f>VLOOKUP(Table56[[#This Row],[Shortname]], Comp[], 14, FALSE)</f>
        <v>0</v>
      </c>
      <c r="P68">
        <f>VLOOKUP(Table56[[#This Row],[Shortname]], Comp[], 15, FALSE)</f>
        <v>14</v>
      </c>
      <c r="Q68">
        <f>VLOOKUP(Table56[[#This Row],[Shortname]], Comp[], 16, FALSE)</f>
        <v>0</v>
      </c>
      <c r="R68">
        <f>VLOOKUP(Table56[[#This Row],[Shortname]], Comp[], 17, FALSE)</f>
        <v>0</v>
      </c>
      <c r="S68">
        <f>VLOOKUP(Table56[[#This Row],[Shortname]], Comp[], 18, FALSE)</f>
        <v>0</v>
      </c>
      <c r="T68">
        <f>VLOOKUP(Table56[[#This Row],[Shortname]], Comp[], 19, FALSE)</f>
        <v>0</v>
      </c>
      <c r="U68">
        <f>VLOOKUP(Table56[[#This Row],[Shortname]], Comp[], 20, FALSE)</f>
        <v>0</v>
      </c>
      <c r="V68">
        <f>VLOOKUP(Table56[[#This Row],[Shortname]], Comp[], 21, FALSE)</f>
        <v>0</v>
      </c>
      <c r="W68">
        <f>VLOOKUP(Table56[[#This Row],[Shortname]], Comp[], 22, FALSE)</f>
        <v>0</v>
      </c>
      <c r="X68">
        <f>VLOOKUP(Table56[[#This Row],[Shortname]], Comp[], 23, FALSE)</f>
        <v>0</v>
      </c>
      <c r="Y68">
        <f>VLOOKUP(Table56[[#This Row],[Shortname]], Comp[], 24, FALSE)</f>
        <v>0</v>
      </c>
      <c r="Z68">
        <f>VLOOKUP(Table56[[#This Row],[Shortname]], Comp[], 25, FALSE)</f>
        <v>0</v>
      </c>
      <c r="AA68">
        <f>VLOOKUP(Table56[[#This Row],[Shortname]], Comp[], 26, FALSE)</f>
        <v>0</v>
      </c>
      <c r="AB68">
        <f>VLOOKUP(Table56[[#This Row],[Shortname]], Comp[], 27, FALSE)</f>
        <v>0</v>
      </c>
      <c r="AC68">
        <f>VLOOKUP(Table56[[#This Row],[Shortname]], Comp[], 28, FALSE)</f>
        <v>0</v>
      </c>
      <c r="AD68">
        <f>VLOOKUP(Table56[[#This Row],[Shortname]], Comp[], 29, FALSE)</f>
        <v>0</v>
      </c>
      <c r="AE68">
        <f>VLOOKUP(Table56[[#This Row],[Shortname]], Comp[], 30, FALSE)</f>
        <v>0</v>
      </c>
      <c r="AF68">
        <f>VLOOKUP(Table56[[#This Row],[Shortname]], Comp[], 31, FALSE)</f>
        <v>0</v>
      </c>
    </row>
    <row r="69" spans="1:32" x14ac:dyDescent="0.3">
      <c r="A69" t="s">
        <v>830</v>
      </c>
      <c r="B69" t="s">
        <v>832</v>
      </c>
      <c r="C69" s="17" t="s">
        <v>833</v>
      </c>
      <c r="D69">
        <v>1000</v>
      </c>
      <c r="E69">
        <v>1409</v>
      </c>
      <c r="F69">
        <v>1431</v>
      </c>
      <c r="G69">
        <f>VLOOKUP(Table56[[#This Row],[Shortname]], Comp[], 6, FALSE)</f>
        <v>107</v>
      </c>
      <c r="H69" s="14">
        <f>VLOOKUP(Table56[[#This Row],[Shortname]], Comp[], 7, FALSE)</f>
        <v>60</v>
      </c>
      <c r="I69">
        <f>VLOOKUP(Table56[[#This Row],[Shortname]], Comp[], 8, FALSE)</f>
        <v>20</v>
      </c>
      <c r="J69">
        <f>VLOOKUP(Table56[[#This Row],[Shortname]], Comp[], 9, FALSE)</f>
        <v>8</v>
      </c>
      <c r="K69">
        <f>VLOOKUP(Table56[[#This Row],[Shortname]], Comp[], 10, FALSE)</f>
        <v>0</v>
      </c>
      <c r="L69">
        <f>VLOOKUP(Table56[[#This Row],[Shortname]], Comp[], 11, FALSE)</f>
        <v>0</v>
      </c>
      <c r="M69">
        <f>VLOOKUP(Table56[[#This Row],[Shortname]], Comp[],12, FALSE)</f>
        <v>0</v>
      </c>
      <c r="N69">
        <f>VLOOKUP(Table56[[#This Row],[Shortname]], Comp[], 13, FALSE)</f>
        <v>0</v>
      </c>
      <c r="O69">
        <f>VLOOKUP(Table56[[#This Row],[Shortname]], Comp[], 14, FALSE)</f>
        <v>0</v>
      </c>
      <c r="P69">
        <f>VLOOKUP(Table56[[#This Row],[Shortname]], Comp[], 15, FALSE)</f>
        <v>12</v>
      </c>
      <c r="Q69">
        <f>VLOOKUP(Table56[[#This Row],[Shortname]], Comp[], 16, FALSE)</f>
        <v>0</v>
      </c>
      <c r="R69">
        <f>VLOOKUP(Table56[[#This Row],[Shortname]], Comp[], 17, FALSE)</f>
        <v>0</v>
      </c>
      <c r="S69">
        <f>VLOOKUP(Table56[[#This Row],[Shortname]], Comp[], 18, FALSE)</f>
        <v>0</v>
      </c>
      <c r="T69">
        <f>VLOOKUP(Table56[[#This Row],[Shortname]], Comp[], 19, FALSE)</f>
        <v>0</v>
      </c>
      <c r="U69">
        <f>VLOOKUP(Table56[[#This Row],[Shortname]], Comp[], 20, FALSE)</f>
        <v>0</v>
      </c>
      <c r="V69">
        <f>VLOOKUP(Table56[[#This Row],[Shortname]], Comp[], 21, FALSE)</f>
        <v>0</v>
      </c>
      <c r="W69">
        <f>VLOOKUP(Table56[[#This Row],[Shortname]], Comp[], 22, FALSE)</f>
        <v>0</v>
      </c>
      <c r="X69">
        <f>VLOOKUP(Table56[[#This Row],[Shortname]], Comp[], 23, FALSE)</f>
        <v>0</v>
      </c>
      <c r="Y69">
        <f>VLOOKUP(Table56[[#This Row],[Shortname]], Comp[], 24, FALSE)</f>
        <v>0</v>
      </c>
      <c r="Z69">
        <f>VLOOKUP(Table56[[#This Row],[Shortname]], Comp[], 25, FALSE)</f>
        <v>0</v>
      </c>
      <c r="AA69">
        <f>VLOOKUP(Table56[[#This Row],[Shortname]], Comp[], 26, FALSE)</f>
        <v>0</v>
      </c>
      <c r="AB69">
        <f>VLOOKUP(Table56[[#This Row],[Shortname]], Comp[], 27, FALSE)</f>
        <v>0</v>
      </c>
      <c r="AC69">
        <f>VLOOKUP(Table56[[#This Row],[Shortname]], Comp[], 28, FALSE)</f>
        <v>0</v>
      </c>
      <c r="AD69">
        <f>VLOOKUP(Table56[[#This Row],[Shortname]], Comp[], 29, FALSE)</f>
        <v>0</v>
      </c>
      <c r="AE69">
        <f>VLOOKUP(Table56[[#This Row],[Shortname]], Comp[], 30, FALSE)</f>
        <v>0</v>
      </c>
      <c r="AF69">
        <f>VLOOKUP(Table56[[#This Row],[Shortname]], Comp[], 31, FALSE)</f>
        <v>0</v>
      </c>
    </row>
    <row r="70" spans="1:32" x14ac:dyDescent="0.3">
      <c r="A70" t="s">
        <v>824</v>
      </c>
      <c r="B70" t="s">
        <v>826</v>
      </c>
      <c r="C70" s="17" t="s">
        <v>819</v>
      </c>
      <c r="D70">
        <v>979</v>
      </c>
      <c r="E70">
        <v>1409</v>
      </c>
      <c r="F70">
        <v>1433</v>
      </c>
      <c r="G70">
        <f>VLOOKUP(Table56[[#This Row],[Shortname]], Comp[], 6, FALSE)</f>
        <v>106</v>
      </c>
      <c r="H70" s="14">
        <f>VLOOKUP(Table56[[#This Row],[Shortname]], Comp[], 7, FALSE)</f>
        <v>70</v>
      </c>
      <c r="I70">
        <f>VLOOKUP(Table56[[#This Row],[Shortname]], Comp[], 8, FALSE)</f>
        <v>10</v>
      </c>
      <c r="J70">
        <f>VLOOKUP(Table56[[#This Row],[Shortname]], Comp[], 9, FALSE)</f>
        <v>8</v>
      </c>
      <c r="K70">
        <f>VLOOKUP(Table56[[#This Row],[Shortname]], Comp[], 10, FALSE)</f>
        <v>0</v>
      </c>
      <c r="L70">
        <f>VLOOKUP(Table56[[#This Row],[Shortname]], Comp[], 11, FALSE)</f>
        <v>0</v>
      </c>
      <c r="M70">
        <f>VLOOKUP(Table56[[#This Row],[Shortname]], Comp[],12, FALSE)</f>
        <v>0</v>
      </c>
      <c r="N70">
        <f>VLOOKUP(Table56[[#This Row],[Shortname]], Comp[], 13, FALSE)</f>
        <v>0</v>
      </c>
      <c r="O70">
        <f>VLOOKUP(Table56[[#This Row],[Shortname]], Comp[], 14, FALSE)</f>
        <v>0</v>
      </c>
      <c r="P70">
        <f>VLOOKUP(Table56[[#This Row],[Shortname]], Comp[], 15, FALSE)</f>
        <v>12</v>
      </c>
      <c r="Q70">
        <f>VLOOKUP(Table56[[#This Row],[Shortname]], Comp[], 16, FALSE)</f>
        <v>0</v>
      </c>
      <c r="R70">
        <f>VLOOKUP(Table56[[#This Row],[Shortname]], Comp[], 17, FALSE)</f>
        <v>0</v>
      </c>
      <c r="S70">
        <f>VLOOKUP(Table56[[#This Row],[Shortname]], Comp[], 18, FALSE)</f>
        <v>0</v>
      </c>
      <c r="T70">
        <f>VLOOKUP(Table56[[#This Row],[Shortname]], Comp[], 19, FALSE)</f>
        <v>0</v>
      </c>
      <c r="U70">
        <f>VLOOKUP(Table56[[#This Row],[Shortname]], Comp[], 20, FALSE)</f>
        <v>0</v>
      </c>
      <c r="V70">
        <f>VLOOKUP(Table56[[#This Row],[Shortname]], Comp[], 21, FALSE)</f>
        <v>0</v>
      </c>
      <c r="W70">
        <f>VLOOKUP(Table56[[#This Row],[Shortname]], Comp[], 22, FALSE)</f>
        <v>0</v>
      </c>
      <c r="X70">
        <f>VLOOKUP(Table56[[#This Row],[Shortname]], Comp[], 23, FALSE)</f>
        <v>0</v>
      </c>
      <c r="Y70">
        <f>VLOOKUP(Table56[[#This Row],[Shortname]], Comp[], 24, FALSE)</f>
        <v>0</v>
      </c>
      <c r="Z70">
        <f>VLOOKUP(Table56[[#This Row],[Shortname]], Comp[], 25, FALSE)</f>
        <v>0</v>
      </c>
      <c r="AA70">
        <f>VLOOKUP(Table56[[#This Row],[Shortname]], Comp[], 26, FALSE)</f>
        <v>0</v>
      </c>
      <c r="AB70">
        <f>VLOOKUP(Table56[[#This Row],[Shortname]], Comp[], 27, FALSE)</f>
        <v>0</v>
      </c>
      <c r="AC70">
        <f>VLOOKUP(Table56[[#This Row],[Shortname]], Comp[], 28, FALSE)</f>
        <v>0</v>
      </c>
      <c r="AD70">
        <f>VLOOKUP(Table56[[#This Row],[Shortname]], Comp[], 29, FALSE)</f>
        <v>0</v>
      </c>
      <c r="AE70">
        <f>VLOOKUP(Table56[[#This Row],[Shortname]], Comp[], 30, FALSE)</f>
        <v>0</v>
      </c>
      <c r="AF70">
        <f>VLOOKUP(Table56[[#This Row],[Shortname]], Comp[], 31, FALSE)</f>
        <v>0</v>
      </c>
    </row>
    <row r="71" spans="1:32" x14ac:dyDescent="0.3">
      <c r="A71" t="s">
        <v>794</v>
      </c>
      <c r="B71" t="s">
        <v>796</v>
      </c>
      <c r="C71" s="17" t="s">
        <v>797</v>
      </c>
      <c r="D71">
        <v>971</v>
      </c>
      <c r="E71">
        <v>1399</v>
      </c>
      <c r="F71">
        <v>1399</v>
      </c>
      <c r="G71">
        <f>VLOOKUP(Table56[[#This Row],[Shortname]], Comp[], 6, FALSE)</f>
        <v>102</v>
      </c>
      <c r="H71" s="14">
        <f>VLOOKUP(Table56[[#This Row],[Shortname]], Comp[], 7, FALSE)</f>
        <v>79</v>
      </c>
      <c r="I71">
        <f>VLOOKUP(Table56[[#This Row],[Shortname]], Comp[], 8, FALSE)</f>
        <v>0</v>
      </c>
      <c r="J71">
        <f>VLOOKUP(Table56[[#This Row],[Shortname]], Comp[], 9, FALSE)</f>
        <v>5</v>
      </c>
      <c r="K71">
        <f>VLOOKUP(Table56[[#This Row],[Shortname]], Comp[], 10, FALSE)</f>
        <v>0</v>
      </c>
      <c r="L71">
        <f>VLOOKUP(Table56[[#This Row],[Shortname]], Comp[], 11, FALSE)</f>
        <v>0</v>
      </c>
      <c r="M71">
        <f>VLOOKUP(Table56[[#This Row],[Shortname]], Comp[],12, FALSE)</f>
        <v>0</v>
      </c>
      <c r="N71">
        <f>VLOOKUP(Table56[[#This Row],[Shortname]], Comp[], 13, FALSE)</f>
        <v>0</v>
      </c>
      <c r="O71">
        <f>VLOOKUP(Table56[[#This Row],[Shortname]], Comp[], 14, FALSE)</f>
        <v>0</v>
      </c>
      <c r="P71">
        <f>VLOOKUP(Table56[[#This Row],[Shortname]], Comp[], 15, FALSE)</f>
        <v>14</v>
      </c>
      <c r="Q71">
        <f>VLOOKUP(Table56[[#This Row],[Shortname]], Comp[], 16, FALSE)</f>
        <v>2</v>
      </c>
      <c r="R71">
        <f>VLOOKUP(Table56[[#This Row],[Shortname]], Comp[], 17, FALSE)</f>
        <v>0</v>
      </c>
      <c r="S71">
        <f>VLOOKUP(Table56[[#This Row],[Shortname]], Comp[], 18, FALSE)</f>
        <v>0</v>
      </c>
      <c r="T71">
        <f>VLOOKUP(Table56[[#This Row],[Shortname]], Comp[], 19, FALSE)</f>
        <v>0</v>
      </c>
      <c r="U71">
        <f>VLOOKUP(Table56[[#This Row],[Shortname]], Comp[], 20, FALSE)</f>
        <v>0</v>
      </c>
      <c r="V71">
        <f>VLOOKUP(Table56[[#This Row],[Shortname]], Comp[], 21, FALSE)</f>
        <v>0</v>
      </c>
      <c r="W71">
        <f>VLOOKUP(Table56[[#This Row],[Shortname]], Comp[], 22, FALSE)</f>
        <v>0</v>
      </c>
      <c r="X71">
        <f>VLOOKUP(Table56[[#This Row],[Shortname]], Comp[], 23, FALSE)</f>
        <v>0</v>
      </c>
      <c r="Y71">
        <f>VLOOKUP(Table56[[#This Row],[Shortname]], Comp[], 24, FALSE)</f>
        <v>0</v>
      </c>
      <c r="Z71">
        <f>VLOOKUP(Table56[[#This Row],[Shortname]], Comp[], 25, FALSE)</f>
        <v>0</v>
      </c>
      <c r="AA71">
        <f>VLOOKUP(Table56[[#This Row],[Shortname]], Comp[], 26, FALSE)</f>
        <v>0</v>
      </c>
      <c r="AB71">
        <f>VLOOKUP(Table56[[#This Row],[Shortname]], Comp[], 27, FALSE)</f>
        <v>0</v>
      </c>
      <c r="AC71">
        <f>VLOOKUP(Table56[[#This Row],[Shortname]], Comp[], 28, FALSE)</f>
        <v>0</v>
      </c>
      <c r="AD71">
        <f>VLOOKUP(Table56[[#This Row],[Shortname]], Comp[], 29, FALSE)</f>
        <v>0</v>
      </c>
      <c r="AE71">
        <f>VLOOKUP(Table56[[#This Row],[Shortname]], Comp[], 30, FALSE)</f>
        <v>0</v>
      </c>
      <c r="AF71">
        <f>VLOOKUP(Table56[[#This Row],[Shortname]], Comp[], 31, FALSE)</f>
        <v>0</v>
      </c>
    </row>
    <row r="72" spans="1:32" x14ac:dyDescent="0.3">
      <c r="A72" t="s">
        <v>816</v>
      </c>
      <c r="B72" t="s">
        <v>818</v>
      </c>
      <c r="C72" s="17" t="s">
        <v>819</v>
      </c>
      <c r="D72">
        <v>964</v>
      </c>
      <c r="E72">
        <v>1409</v>
      </c>
      <c r="F72">
        <v>1440</v>
      </c>
      <c r="G72">
        <f>VLOOKUP(Table56[[#This Row],[Shortname]], Comp[], 6, FALSE)</f>
        <v>105</v>
      </c>
      <c r="H72" s="14">
        <f>VLOOKUP(Table56[[#This Row],[Shortname]], Comp[], 7, FALSE)</f>
        <v>80</v>
      </c>
      <c r="I72">
        <f>VLOOKUP(Table56[[#This Row],[Shortname]], Comp[], 8, FALSE)</f>
        <v>0</v>
      </c>
      <c r="J72">
        <f>VLOOKUP(Table56[[#This Row],[Shortname]], Comp[], 9, FALSE)</f>
        <v>8</v>
      </c>
      <c r="K72">
        <f>VLOOKUP(Table56[[#This Row],[Shortname]], Comp[], 10, FALSE)</f>
        <v>0</v>
      </c>
      <c r="L72">
        <f>VLOOKUP(Table56[[#This Row],[Shortname]], Comp[], 11, FALSE)</f>
        <v>0</v>
      </c>
      <c r="M72">
        <f>VLOOKUP(Table56[[#This Row],[Shortname]], Comp[],12, FALSE)</f>
        <v>0</v>
      </c>
      <c r="N72">
        <f>VLOOKUP(Table56[[#This Row],[Shortname]], Comp[], 13, FALSE)</f>
        <v>0</v>
      </c>
      <c r="O72">
        <f>VLOOKUP(Table56[[#This Row],[Shortname]], Comp[], 14, FALSE)</f>
        <v>0</v>
      </c>
      <c r="P72">
        <f>VLOOKUP(Table56[[#This Row],[Shortname]], Comp[], 15, FALSE)</f>
        <v>12</v>
      </c>
      <c r="Q72">
        <f>VLOOKUP(Table56[[#This Row],[Shortname]], Comp[], 16, FALSE)</f>
        <v>0</v>
      </c>
      <c r="R72">
        <f>VLOOKUP(Table56[[#This Row],[Shortname]], Comp[], 17, FALSE)</f>
        <v>0</v>
      </c>
      <c r="S72">
        <f>VLOOKUP(Table56[[#This Row],[Shortname]], Comp[], 18, FALSE)</f>
        <v>0</v>
      </c>
      <c r="T72">
        <f>VLOOKUP(Table56[[#This Row],[Shortname]], Comp[], 19, FALSE)</f>
        <v>0</v>
      </c>
      <c r="U72">
        <f>VLOOKUP(Table56[[#This Row],[Shortname]], Comp[], 20, FALSE)</f>
        <v>0</v>
      </c>
      <c r="V72">
        <f>VLOOKUP(Table56[[#This Row],[Shortname]], Comp[], 21, FALSE)</f>
        <v>0</v>
      </c>
      <c r="W72">
        <f>VLOOKUP(Table56[[#This Row],[Shortname]], Comp[], 22, FALSE)</f>
        <v>0</v>
      </c>
      <c r="X72">
        <f>VLOOKUP(Table56[[#This Row],[Shortname]], Comp[], 23, FALSE)</f>
        <v>0</v>
      </c>
      <c r="Y72">
        <f>VLOOKUP(Table56[[#This Row],[Shortname]], Comp[], 24, FALSE)</f>
        <v>0</v>
      </c>
      <c r="Z72">
        <f>VLOOKUP(Table56[[#This Row],[Shortname]], Comp[], 25, FALSE)</f>
        <v>0</v>
      </c>
      <c r="AA72">
        <f>VLOOKUP(Table56[[#This Row],[Shortname]], Comp[], 26, FALSE)</f>
        <v>0</v>
      </c>
      <c r="AB72">
        <f>VLOOKUP(Table56[[#This Row],[Shortname]], Comp[], 27, FALSE)</f>
        <v>0</v>
      </c>
      <c r="AC72">
        <f>VLOOKUP(Table56[[#This Row],[Shortname]], Comp[], 28, FALSE)</f>
        <v>0</v>
      </c>
      <c r="AD72">
        <f>VLOOKUP(Table56[[#This Row],[Shortname]], Comp[], 29, FALSE)</f>
        <v>0</v>
      </c>
      <c r="AE72">
        <f>VLOOKUP(Table56[[#This Row],[Shortname]], Comp[], 30, FALSE)</f>
        <v>0</v>
      </c>
      <c r="AF72">
        <f>VLOOKUP(Table56[[#This Row],[Shortname]], Comp[], 31, FALSE)</f>
        <v>0</v>
      </c>
    </row>
    <row r="73" spans="1:32" x14ac:dyDescent="0.3">
      <c r="A73" t="s">
        <v>779</v>
      </c>
      <c r="B73" t="s">
        <v>781</v>
      </c>
      <c r="C73" s="17" t="s">
        <v>782</v>
      </c>
      <c r="D73">
        <v>948</v>
      </c>
      <c r="E73">
        <v>1410</v>
      </c>
      <c r="F73">
        <v>1444</v>
      </c>
      <c r="G73">
        <f>VLOOKUP(Table56[[#This Row],[Shortname]], Comp[], 6, FALSE)</f>
        <v>100</v>
      </c>
      <c r="H73" s="14">
        <f>VLOOKUP(Table56[[#This Row],[Shortname]], Comp[], 7, FALSE)</f>
        <v>79</v>
      </c>
      <c r="I73">
        <f>VLOOKUP(Table56[[#This Row],[Shortname]], Comp[], 8, FALSE)</f>
        <v>0</v>
      </c>
      <c r="J73">
        <f>VLOOKUP(Table56[[#This Row],[Shortname]], Comp[], 9, FALSE)</f>
        <v>5</v>
      </c>
      <c r="K73">
        <f>VLOOKUP(Table56[[#This Row],[Shortname]], Comp[], 10, FALSE)</f>
        <v>2</v>
      </c>
      <c r="L73">
        <f>VLOOKUP(Table56[[#This Row],[Shortname]], Comp[], 11, FALSE)</f>
        <v>0</v>
      </c>
      <c r="M73">
        <f>VLOOKUP(Table56[[#This Row],[Shortname]], Comp[],12, FALSE)</f>
        <v>0</v>
      </c>
      <c r="N73">
        <f>VLOOKUP(Table56[[#This Row],[Shortname]], Comp[], 13, FALSE)</f>
        <v>0</v>
      </c>
      <c r="O73">
        <f>VLOOKUP(Table56[[#This Row],[Shortname]], Comp[], 14, FALSE)</f>
        <v>0</v>
      </c>
      <c r="P73">
        <f>VLOOKUP(Table56[[#This Row],[Shortname]], Comp[], 15, FALSE)</f>
        <v>14</v>
      </c>
      <c r="Q73">
        <f>VLOOKUP(Table56[[#This Row],[Shortname]], Comp[], 16, FALSE)</f>
        <v>0</v>
      </c>
      <c r="R73">
        <f>VLOOKUP(Table56[[#This Row],[Shortname]], Comp[], 17, FALSE)</f>
        <v>0</v>
      </c>
      <c r="S73">
        <f>VLOOKUP(Table56[[#This Row],[Shortname]], Comp[], 18, FALSE)</f>
        <v>0</v>
      </c>
      <c r="T73">
        <f>VLOOKUP(Table56[[#This Row],[Shortname]], Comp[], 19, FALSE)</f>
        <v>0</v>
      </c>
      <c r="U73">
        <f>VLOOKUP(Table56[[#This Row],[Shortname]], Comp[], 20, FALSE)</f>
        <v>0</v>
      </c>
      <c r="V73">
        <f>VLOOKUP(Table56[[#This Row],[Shortname]], Comp[], 21, FALSE)</f>
        <v>0</v>
      </c>
      <c r="W73">
        <f>VLOOKUP(Table56[[#This Row],[Shortname]], Comp[], 22, FALSE)</f>
        <v>0</v>
      </c>
      <c r="X73">
        <f>VLOOKUP(Table56[[#This Row],[Shortname]], Comp[], 23, FALSE)</f>
        <v>0</v>
      </c>
      <c r="Y73">
        <f>VLOOKUP(Table56[[#This Row],[Shortname]], Comp[], 24, FALSE)</f>
        <v>0</v>
      </c>
      <c r="Z73">
        <f>VLOOKUP(Table56[[#This Row],[Shortname]], Comp[], 25, FALSE)</f>
        <v>0</v>
      </c>
      <c r="AA73">
        <f>VLOOKUP(Table56[[#This Row],[Shortname]], Comp[], 26, FALSE)</f>
        <v>0</v>
      </c>
      <c r="AB73">
        <f>VLOOKUP(Table56[[#This Row],[Shortname]], Comp[], 27, FALSE)</f>
        <v>0</v>
      </c>
      <c r="AC73">
        <f>VLOOKUP(Table56[[#This Row],[Shortname]], Comp[], 28, FALSE)</f>
        <v>0</v>
      </c>
      <c r="AD73">
        <f>VLOOKUP(Table56[[#This Row],[Shortname]], Comp[], 29, FALSE)</f>
        <v>0</v>
      </c>
      <c r="AE73">
        <f>VLOOKUP(Table56[[#This Row],[Shortname]], Comp[], 30, FALSE)</f>
        <v>0</v>
      </c>
      <c r="AF73">
        <f>VLOOKUP(Table56[[#This Row],[Shortname]], Comp[], 31, FALSE)</f>
        <v>0</v>
      </c>
    </row>
    <row r="74" spans="1:32" x14ac:dyDescent="0.3">
      <c r="A74" t="s">
        <v>945</v>
      </c>
      <c r="B74" t="s">
        <v>6700</v>
      </c>
      <c r="C74" s="15" t="s">
        <v>6701</v>
      </c>
      <c r="D74">
        <v>1286</v>
      </c>
      <c r="E74">
        <v>1310</v>
      </c>
      <c r="F74">
        <v>1351</v>
      </c>
      <c r="G74">
        <f>VLOOKUP(Table56[[#This Row],[Shortname]], Comp[], 6, FALSE)</f>
        <v>122</v>
      </c>
      <c r="H74" s="14">
        <f>VLOOKUP(Table56[[#This Row],[Shortname]], Comp[], 7, FALSE)</f>
        <v>50</v>
      </c>
      <c r="I74">
        <f>VLOOKUP(Table56[[#This Row],[Shortname]], Comp[], 8, FALSE)</f>
        <v>30</v>
      </c>
      <c r="J74">
        <f>VLOOKUP(Table56[[#This Row],[Shortname]], Comp[], 9, FALSE)</f>
        <v>12</v>
      </c>
      <c r="K74">
        <f>VLOOKUP(Table56[[#This Row],[Shortname]], Comp[], 10, FALSE)</f>
        <v>0</v>
      </c>
      <c r="L74">
        <f>VLOOKUP(Table56[[#This Row],[Shortname]], Comp[], 11, FALSE)</f>
        <v>0</v>
      </c>
      <c r="M74">
        <f>VLOOKUP(Table56[[#This Row],[Shortname]], Comp[],12, FALSE)</f>
        <v>0</v>
      </c>
      <c r="N74">
        <f>VLOOKUP(Table56[[#This Row],[Shortname]], Comp[], 13, FALSE)</f>
        <v>8</v>
      </c>
      <c r="O74">
        <f>VLOOKUP(Table56[[#This Row],[Shortname]], Comp[], 14, FALSE)</f>
        <v>0</v>
      </c>
      <c r="P74">
        <f>VLOOKUP(Table56[[#This Row],[Shortname]], Comp[], 15, FALSE)</f>
        <v>0</v>
      </c>
      <c r="Q74">
        <f>VLOOKUP(Table56[[#This Row],[Shortname]], Comp[], 16, FALSE)</f>
        <v>0</v>
      </c>
      <c r="R74">
        <f>VLOOKUP(Table56[[#This Row],[Shortname]], Comp[], 17, FALSE)</f>
        <v>0</v>
      </c>
      <c r="S74">
        <f>VLOOKUP(Table56[[#This Row],[Shortname]], Comp[], 18, FALSE)</f>
        <v>0</v>
      </c>
      <c r="T74">
        <f>VLOOKUP(Table56[[#This Row],[Shortname]], Comp[], 19, FALSE)</f>
        <v>0</v>
      </c>
      <c r="U74">
        <f>VLOOKUP(Table56[[#This Row],[Shortname]], Comp[], 20, FALSE)</f>
        <v>0</v>
      </c>
      <c r="V74">
        <f>VLOOKUP(Table56[[#This Row],[Shortname]], Comp[], 21, FALSE)</f>
        <v>0</v>
      </c>
      <c r="W74">
        <f>VLOOKUP(Table56[[#This Row],[Shortname]], Comp[], 22, FALSE)</f>
        <v>0</v>
      </c>
      <c r="X74">
        <f>VLOOKUP(Table56[[#This Row],[Shortname]], Comp[], 23, FALSE)</f>
        <v>0</v>
      </c>
      <c r="Y74">
        <f>VLOOKUP(Table56[[#This Row],[Shortname]], Comp[], 24, FALSE)</f>
        <v>0</v>
      </c>
      <c r="Z74">
        <f>VLOOKUP(Table56[[#This Row],[Shortname]], Comp[], 25, FALSE)</f>
        <v>0</v>
      </c>
      <c r="AA74">
        <f>VLOOKUP(Table56[[#This Row],[Shortname]], Comp[], 26, FALSE)</f>
        <v>0</v>
      </c>
      <c r="AB74">
        <f>VLOOKUP(Table56[[#This Row],[Shortname]], Comp[], 27, FALSE)</f>
        <v>0</v>
      </c>
      <c r="AC74">
        <f>VLOOKUP(Table56[[#This Row],[Shortname]], Comp[], 28, FALSE)</f>
        <v>0</v>
      </c>
      <c r="AD74">
        <f>VLOOKUP(Table56[[#This Row],[Shortname]], Comp[], 29, FALSE)</f>
        <v>0</v>
      </c>
      <c r="AE74">
        <f>VLOOKUP(Table56[[#This Row],[Shortname]], Comp[], 30, FALSE)</f>
        <v>0</v>
      </c>
      <c r="AF74">
        <f>VLOOKUP(Table56[[#This Row],[Shortname]], Comp[], 31, FALSE)</f>
        <v>0</v>
      </c>
    </row>
    <row r="75" spans="1:32" x14ac:dyDescent="0.3">
      <c r="A75" t="s">
        <v>938</v>
      </c>
      <c r="B75" t="s">
        <v>6702</v>
      </c>
      <c r="C75" s="15" t="s">
        <v>6703</v>
      </c>
      <c r="D75">
        <v>1237</v>
      </c>
      <c r="E75">
        <v>1336</v>
      </c>
      <c r="F75">
        <v>1379</v>
      </c>
      <c r="G75">
        <f>VLOOKUP(Table56[[#This Row],[Shortname]], Comp[], 6, FALSE)</f>
        <v>121</v>
      </c>
      <c r="H75" s="14">
        <f>VLOOKUP(Table56[[#This Row],[Shortname]], Comp[], 7, FALSE)</f>
        <v>52</v>
      </c>
      <c r="I75">
        <f>VLOOKUP(Table56[[#This Row],[Shortname]], Comp[], 8, FALSE)</f>
        <v>30</v>
      </c>
      <c r="J75">
        <f>VLOOKUP(Table56[[#This Row],[Shortname]], Comp[], 9, FALSE)</f>
        <v>12</v>
      </c>
      <c r="K75">
        <f>VLOOKUP(Table56[[#This Row],[Shortname]], Comp[], 10, FALSE)</f>
        <v>0</v>
      </c>
      <c r="L75">
        <f>VLOOKUP(Table56[[#This Row],[Shortname]], Comp[], 11, FALSE)</f>
        <v>0</v>
      </c>
      <c r="M75">
        <f>VLOOKUP(Table56[[#This Row],[Shortname]], Comp[],12, FALSE)</f>
        <v>0</v>
      </c>
      <c r="N75">
        <f>VLOOKUP(Table56[[#This Row],[Shortname]], Comp[], 13, FALSE)</f>
        <v>6</v>
      </c>
      <c r="O75">
        <f>VLOOKUP(Table56[[#This Row],[Shortname]], Comp[], 14, FALSE)</f>
        <v>0</v>
      </c>
      <c r="P75">
        <f>VLOOKUP(Table56[[#This Row],[Shortname]], Comp[], 15, FALSE)</f>
        <v>0</v>
      </c>
      <c r="Q75">
        <f>VLOOKUP(Table56[[#This Row],[Shortname]], Comp[], 16, FALSE)</f>
        <v>0</v>
      </c>
      <c r="R75">
        <f>VLOOKUP(Table56[[#This Row],[Shortname]], Comp[], 17, FALSE)</f>
        <v>0</v>
      </c>
      <c r="S75">
        <f>VLOOKUP(Table56[[#This Row],[Shortname]], Comp[], 18, FALSE)</f>
        <v>0</v>
      </c>
      <c r="T75">
        <f>VLOOKUP(Table56[[#This Row],[Shortname]], Comp[], 19, FALSE)</f>
        <v>0</v>
      </c>
      <c r="U75">
        <f>VLOOKUP(Table56[[#This Row],[Shortname]], Comp[], 20, FALSE)</f>
        <v>0</v>
      </c>
      <c r="V75">
        <f>VLOOKUP(Table56[[#This Row],[Shortname]], Comp[], 21, FALSE)</f>
        <v>0</v>
      </c>
      <c r="W75">
        <f>VLOOKUP(Table56[[#This Row],[Shortname]], Comp[], 22, FALSE)</f>
        <v>0</v>
      </c>
      <c r="X75">
        <f>VLOOKUP(Table56[[#This Row],[Shortname]], Comp[], 23, FALSE)</f>
        <v>0</v>
      </c>
      <c r="Y75">
        <f>VLOOKUP(Table56[[#This Row],[Shortname]], Comp[], 24, FALSE)</f>
        <v>0</v>
      </c>
      <c r="Z75">
        <f>VLOOKUP(Table56[[#This Row],[Shortname]], Comp[], 25, FALSE)</f>
        <v>0</v>
      </c>
      <c r="AA75">
        <f>VLOOKUP(Table56[[#This Row],[Shortname]], Comp[], 26, FALSE)</f>
        <v>0</v>
      </c>
      <c r="AB75">
        <f>VLOOKUP(Table56[[#This Row],[Shortname]], Comp[], 27, FALSE)</f>
        <v>0</v>
      </c>
      <c r="AC75">
        <f>VLOOKUP(Table56[[#This Row],[Shortname]], Comp[], 28, FALSE)</f>
        <v>0</v>
      </c>
      <c r="AD75">
        <f>VLOOKUP(Table56[[#This Row],[Shortname]], Comp[], 29, FALSE)</f>
        <v>0</v>
      </c>
      <c r="AE75">
        <f>VLOOKUP(Table56[[#This Row],[Shortname]], Comp[], 30, FALSE)</f>
        <v>0</v>
      </c>
      <c r="AF75">
        <f>VLOOKUP(Table56[[#This Row],[Shortname]], Comp[], 31, FALSE)</f>
        <v>0</v>
      </c>
    </row>
    <row r="76" spans="1:32" x14ac:dyDescent="0.3">
      <c r="A76" t="s">
        <v>931</v>
      </c>
      <c r="B76" t="s">
        <v>6704</v>
      </c>
      <c r="C76" s="15" t="s">
        <v>6705</v>
      </c>
      <c r="D76">
        <v>1161</v>
      </c>
      <c r="E76">
        <v>1364</v>
      </c>
      <c r="F76">
        <v>1402</v>
      </c>
      <c r="G76">
        <f>VLOOKUP(Table56[[#This Row],[Shortname]], Comp[], 6, FALSE)</f>
        <v>120</v>
      </c>
      <c r="H76" s="14">
        <f>VLOOKUP(Table56[[#This Row],[Shortname]], Comp[], 7, FALSE)</f>
        <v>54</v>
      </c>
      <c r="I76">
        <f>VLOOKUP(Table56[[#This Row],[Shortname]], Comp[], 8, FALSE)</f>
        <v>30</v>
      </c>
      <c r="J76">
        <f>VLOOKUP(Table56[[#This Row],[Shortname]], Comp[], 9, FALSE)</f>
        <v>12</v>
      </c>
      <c r="K76">
        <f>VLOOKUP(Table56[[#This Row],[Shortname]], Comp[], 10, FALSE)</f>
        <v>0</v>
      </c>
      <c r="L76">
        <f>VLOOKUP(Table56[[#This Row],[Shortname]], Comp[], 11, FALSE)</f>
        <v>0</v>
      </c>
      <c r="M76">
        <f>VLOOKUP(Table56[[#This Row],[Shortname]], Comp[],12, FALSE)</f>
        <v>0</v>
      </c>
      <c r="N76">
        <f>VLOOKUP(Table56[[#This Row],[Shortname]], Comp[], 13, FALSE)</f>
        <v>4</v>
      </c>
      <c r="O76">
        <f>VLOOKUP(Table56[[#This Row],[Shortname]], Comp[], 14, FALSE)</f>
        <v>0</v>
      </c>
      <c r="P76">
        <f>VLOOKUP(Table56[[#This Row],[Shortname]], Comp[], 15, FALSE)</f>
        <v>0</v>
      </c>
      <c r="Q76">
        <f>VLOOKUP(Table56[[#This Row],[Shortname]], Comp[], 16, FALSE)</f>
        <v>0</v>
      </c>
      <c r="R76">
        <f>VLOOKUP(Table56[[#This Row],[Shortname]], Comp[], 17, FALSE)</f>
        <v>0</v>
      </c>
      <c r="S76">
        <f>VLOOKUP(Table56[[#This Row],[Shortname]], Comp[], 18, FALSE)</f>
        <v>0</v>
      </c>
      <c r="T76">
        <f>VLOOKUP(Table56[[#This Row],[Shortname]], Comp[], 19, FALSE)</f>
        <v>0</v>
      </c>
      <c r="U76">
        <f>VLOOKUP(Table56[[#This Row],[Shortname]], Comp[], 20, FALSE)</f>
        <v>0</v>
      </c>
      <c r="V76">
        <f>VLOOKUP(Table56[[#This Row],[Shortname]], Comp[], 21, FALSE)</f>
        <v>0</v>
      </c>
      <c r="W76">
        <f>VLOOKUP(Table56[[#This Row],[Shortname]], Comp[], 22, FALSE)</f>
        <v>0</v>
      </c>
      <c r="X76">
        <f>VLOOKUP(Table56[[#This Row],[Shortname]], Comp[], 23, FALSE)</f>
        <v>0</v>
      </c>
      <c r="Y76">
        <f>VLOOKUP(Table56[[#This Row],[Shortname]], Comp[], 24, FALSE)</f>
        <v>0</v>
      </c>
      <c r="Z76">
        <f>VLOOKUP(Table56[[#This Row],[Shortname]], Comp[], 25, FALSE)</f>
        <v>0</v>
      </c>
      <c r="AA76">
        <f>VLOOKUP(Table56[[#This Row],[Shortname]], Comp[], 26, FALSE)</f>
        <v>0</v>
      </c>
      <c r="AB76">
        <f>VLOOKUP(Table56[[#This Row],[Shortname]], Comp[], 27, FALSE)</f>
        <v>0</v>
      </c>
      <c r="AC76">
        <f>VLOOKUP(Table56[[#This Row],[Shortname]], Comp[], 28, FALSE)</f>
        <v>0</v>
      </c>
      <c r="AD76">
        <f>VLOOKUP(Table56[[#This Row],[Shortname]], Comp[], 29, FALSE)</f>
        <v>0</v>
      </c>
      <c r="AE76">
        <f>VLOOKUP(Table56[[#This Row],[Shortname]], Comp[], 30, FALSE)</f>
        <v>0</v>
      </c>
      <c r="AF76">
        <f>VLOOKUP(Table56[[#This Row],[Shortname]], Comp[], 31, FALSE)</f>
        <v>0</v>
      </c>
    </row>
    <row r="77" spans="1:32" x14ac:dyDescent="0.3">
      <c r="A77" t="s">
        <v>899</v>
      </c>
      <c r="B77" t="s">
        <v>901</v>
      </c>
      <c r="C77" s="1" t="s">
        <v>6706</v>
      </c>
      <c r="D77">
        <v>1048</v>
      </c>
      <c r="E77">
        <v>1395</v>
      </c>
      <c r="F77">
        <v>1428</v>
      </c>
      <c r="G77">
        <f>VLOOKUP(Table56[[#This Row],[Shortname]], Comp[], 6, FALSE)</f>
        <v>116</v>
      </c>
      <c r="H77" s="14">
        <f>VLOOKUP(Table56[[#This Row],[Shortname]], Comp[], 7, FALSE)</f>
        <v>56</v>
      </c>
      <c r="I77">
        <f>VLOOKUP(Table56[[#This Row],[Shortname]], Comp[], 8, FALSE)</f>
        <v>30</v>
      </c>
      <c r="J77">
        <f>VLOOKUP(Table56[[#This Row],[Shortname]], Comp[], 9, FALSE)</f>
        <v>12</v>
      </c>
      <c r="K77">
        <f>VLOOKUP(Table56[[#This Row],[Shortname]], Comp[], 10, FALSE)</f>
        <v>0</v>
      </c>
      <c r="L77">
        <f>VLOOKUP(Table56[[#This Row],[Shortname]], Comp[], 11, FALSE)</f>
        <v>0</v>
      </c>
      <c r="M77">
        <f>VLOOKUP(Table56[[#This Row],[Shortname]], Comp[],12, FALSE)</f>
        <v>0</v>
      </c>
      <c r="N77">
        <f>VLOOKUP(Table56[[#This Row],[Shortname]], Comp[], 13, FALSE)</f>
        <v>2</v>
      </c>
      <c r="O77">
        <f>VLOOKUP(Table56[[#This Row],[Shortname]], Comp[], 14, FALSE)</f>
        <v>0</v>
      </c>
      <c r="P77">
        <f>VLOOKUP(Table56[[#This Row],[Shortname]], Comp[], 15, FALSE)</f>
        <v>0</v>
      </c>
      <c r="Q77">
        <f>VLOOKUP(Table56[[#This Row],[Shortname]], Comp[], 16, FALSE)</f>
        <v>0</v>
      </c>
      <c r="R77">
        <f>VLOOKUP(Table56[[#This Row],[Shortname]], Comp[], 17, FALSE)</f>
        <v>0</v>
      </c>
      <c r="S77">
        <f>VLOOKUP(Table56[[#This Row],[Shortname]], Comp[], 18, FALSE)</f>
        <v>0</v>
      </c>
      <c r="T77">
        <f>VLOOKUP(Table56[[#This Row],[Shortname]], Comp[], 19, FALSE)</f>
        <v>0</v>
      </c>
      <c r="U77">
        <f>VLOOKUP(Table56[[#This Row],[Shortname]], Comp[], 20, FALSE)</f>
        <v>0</v>
      </c>
      <c r="V77">
        <f>VLOOKUP(Table56[[#This Row],[Shortname]], Comp[], 21, FALSE)</f>
        <v>0</v>
      </c>
      <c r="W77">
        <f>VLOOKUP(Table56[[#This Row],[Shortname]], Comp[], 22, FALSE)</f>
        <v>0</v>
      </c>
      <c r="X77">
        <f>VLOOKUP(Table56[[#This Row],[Shortname]], Comp[], 23, FALSE)</f>
        <v>0</v>
      </c>
      <c r="Y77">
        <f>VLOOKUP(Table56[[#This Row],[Shortname]], Comp[], 24, FALSE)</f>
        <v>0</v>
      </c>
      <c r="Z77">
        <f>VLOOKUP(Table56[[#This Row],[Shortname]], Comp[], 25, FALSE)</f>
        <v>0</v>
      </c>
      <c r="AA77">
        <f>VLOOKUP(Table56[[#This Row],[Shortname]], Comp[], 26, FALSE)</f>
        <v>0</v>
      </c>
      <c r="AB77">
        <f>VLOOKUP(Table56[[#This Row],[Shortname]], Comp[], 27, FALSE)</f>
        <v>0</v>
      </c>
      <c r="AC77">
        <f>VLOOKUP(Table56[[#This Row],[Shortname]], Comp[], 28, FALSE)</f>
        <v>0</v>
      </c>
      <c r="AD77">
        <f>VLOOKUP(Table56[[#This Row],[Shortname]], Comp[], 29, FALSE)</f>
        <v>0</v>
      </c>
      <c r="AE77">
        <f>VLOOKUP(Table56[[#This Row],[Shortname]], Comp[], 30, FALSE)</f>
        <v>0</v>
      </c>
      <c r="AF77">
        <f>VLOOKUP(Table56[[#This Row],[Shortname]], Comp[], 31, FALSE)</f>
        <v>0</v>
      </c>
    </row>
    <row r="78" spans="1:32" x14ac:dyDescent="0.3">
      <c r="A78" t="s">
        <v>892</v>
      </c>
      <c r="B78" t="s">
        <v>894</v>
      </c>
      <c r="C78" s="1" t="s">
        <v>6707</v>
      </c>
      <c r="D78">
        <v>1003</v>
      </c>
      <c r="E78">
        <v>1396</v>
      </c>
      <c r="F78">
        <v>1442</v>
      </c>
      <c r="G78">
        <f>VLOOKUP(Table56[[#This Row],[Shortname]], Comp[], 6, FALSE)</f>
        <v>115</v>
      </c>
      <c r="H78" s="14">
        <f>VLOOKUP(Table56[[#This Row],[Shortname]], Comp[], 7, FALSE)</f>
        <v>66</v>
      </c>
      <c r="I78">
        <f>VLOOKUP(Table56[[#This Row],[Shortname]], Comp[], 8, FALSE)</f>
        <v>20</v>
      </c>
      <c r="J78">
        <f>VLOOKUP(Table56[[#This Row],[Shortname]], Comp[], 9, FALSE)</f>
        <v>12</v>
      </c>
      <c r="K78">
        <f>VLOOKUP(Table56[[#This Row],[Shortname]], Comp[], 10, FALSE)</f>
        <v>0</v>
      </c>
      <c r="L78">
        <f>VLOOKUP(Table56[[#This Row],[Shortname]], Comp[], 11, FALSE)</f>
        <v>0</v>
      </c>
      <c r="M78">
        <f>VLOOKUP(Table56[[#This Row],[Shortname]], Comp[],12, FALSE)</f>
        <v>0</v>
      </c>
      <c r="N78">
        <f>VLOOKUP(Table56[[#This Row],[Shortname]], Comp[], 13, FALSE)</f>
        <v>2</v>
      </c>
      <c r="O78">
        <f>VLOOKUP(Table56[[#This Row],[Shortname]], Comp[], 14, FALSE)</f>
        <v>0</v>
      </c>
      <c r="P78">
        <f>VLOOKUP(Table56[[#This Row],[Shortname]], Comp[], 15, FALSE)</f>
        <v>0</v>
      </c>
      <c r="Q78">
        <f>VLOOKUP(Table56[[#This Row],[Shortname]], Comp[], 16, FALSE)</f>
        <v>0</v>
      </c>
      <c r="R78">
        <f>VLOOKUP(Table56[[#This Row],[Shortname]], Comp[], 17, FALSE)</f>
        <v>0</v>
      </c>
      <c r="S78">
        <f>VLOOKUP(Table56[[#This Row],[Shortname]], Comp[], 18, FALSE)</f>
        <v>0</v>
      </c>
      <c r="T78">
        <f>VLOOKUP(Table56[[#This Row],[Shortname]], Comp[], 19, FALSE)</f>
        <v>0</v>
      </c>
      <c r="U78">
        <f>VLOOKUP(Table56[[#This Row],[Shortname]], Comp[], 20, FALSE)</f>
        <v>0</v>
      </c>
      <c r="V78">
        <f>VLOOKUP(Table56[[#This Row],[Shortname]], Comp[], 21, FALSE)</f>
        <v>0</v>
      </c>
      <c r="W78">
        <f>VLOOKUP(Table56[[#This Row],[Shortname]], Comp[], 22, FALSE)</f>
        <v>0</v>
      </c>
      <c r="X78">
        <f>VLOOKUP(Table56[[#This Row],[Shortname]], Comp[], 23, FALSE)</f>
        <v>0</v>
      </c>
      <c r="Y78">
        <f>VLOOKUP(Table56[[#This Row],[Shortname]], Comp[], 24, FALSE)</f>
        <v>0</v>
      </c>
      <c r="Z78">
        <f>VLOOKUP(Table56[[#This Row],[Shortname]], Comp[], 25, FALSE)</f>
        <v>0</v>
      </c>
      <c r="AA78">
        <f>VLOOKUP(Table56[[#This Row],[Shortname]], Comp[], 26, FALSE)</f>
        <v>0</v>
      </c>
      <c r="AB78">
        <f>VLOOKUP(Table56[[#This Row],[Shortname]], Comp[], 27, FALSE)</f>
        <v>0</v>
      </c>
      <c r="AC78">
        <f>VLOOKUP(Table56[[#This Row],[Shortname]], Comp[], 28, FALSE)</f>
        <v>0</v>
      </c>
      <c r="AD78">
        <f>VLOOKUP(Table56[[#This Row],[Shortname]], Comp[], 29, FALSE)</f>
        <v>0</v>
      </c>
      <c r="AE78">
        <f>VLOOKUP(Table56[[#This Row],[Shortname]], Comp[], 30, FALSE)</f>
        <v>0</v>
      </c>
      <c r="AF78">
        <f>VLOOKUP(Table56[[#This Row],[Shortname]], Comp[], 31, FALSE)</f>
        <v>0</v>
      </c>
    </row>
    <row r="79" spans="1:32" x14ac:dyDescent="0.3">
      <c r="A79" t="s">
        <v>885</v>
      </c>
      <c r="B79" t="s">
        <v>887</v>
      </c>
      <c r="C79" s="1" t="s">
        <v>6708</v>
      </c>
      <c r="D79">
        <v>974</v>
      </c>
      <c r="E79">
        <v>1396</v>
      </c>
      <c r="F79">
        <v>1446</v>
      </c>
      <c r="G79">
        <f>VLOOKUP(Table56[[#This Row],[Shortname]], Comp[], 6, FALSE)</f>
        <v>114</v>
      </c>
      <c r="H79" s="14">
        <f>VLOOKUP(Table56[[#This Row],[Shortname]], Comp[], 7, FALSE)</f>
        <v>76</v>
      </c>
      <c r="I79">
        <f>VLOOKUP(Table56[[#This Row],[Shortname]], Comp[], 8, FALSE)</f>
        <v>10</v>
      </c>
      <c r="J79">
        <f>VLOOKUP(Table56[[#This Row],[Shortname]], Comp[], 9, FALSE)</f>
        <v>12</v>
      </c>
      <c r="K79">
        <f>VLOOKUP(Table56[[#This Row],[Shortname]], Comp[], 10, FALSE)</f>
        <v>0</v>
      </c>
      <c r="L79">
        <f>VLOOKUP(Table56[[#This Row],[Shortname]], Comp[], 11, FALSE)</f>
        <v>0</v>
      </c>
      <c r="M79">
        <f>VLOOKUP(Table56[[#This Row],[Shortname]], Comp[],12, FALSE)</f>
        <v>0</v>
      </c>
      <c r="N79">
        <f>VLOOKUP(Table56[[#This Row],[Shortname]], Comp[], 13, FALSE)</f>
        <v>2</v>
      </c>
      <c r="O79">
        <f>VLOOKUP(Table56[[#This Row],[Shortname]], Comp[], 14, FALSE)</f>
        <v>0</v>
      </c>
      <c r="P79">
        <f>VLOOKUP(Table56[[#This Row],[Shortname]], Comp[], 15, FALSE)</f>
        <v>0</v>
      </c>
      <c r="Q79">
        <f>VLOOKUP(Table56[[#This Row],[Shortname]], Comp[], 16, FALSE)</f>
        <v>0</v>
      </c>
      <c r="R79">
        <f>VLOOKUP(Table56[[#This Row],[Shortname]], Comp[], 17, FALSE)</f>
        <v>0</v>
      </c>
      <c r="S79">
        <f>VLOOKUP(Table56[[#This Row],[Shortname]], Comp[], 18, FALSE)</f>
        <v>0</v>
      </c>
      <c r="T79">
        <f>VLOOKUP(Table56[[#This Row],[Shortname]], Comp[], 19, FALSE)</f>
        <v>0</v>
      </c>
      <c r="U79">
        <f>VLOOKUP(Table56[[#This Row],[Shortname]], Comp[], 20, FALSE)</f>
        <v>0</v>
      </c>
      <c r="V79">
        <f>VLOOKUP(Table56[[#This Row],[Shortname]], Comp[], 21, FALSE)</f>
        <v>0</v>
      </c>
      <c r="W79">
        <f>VLOOKUP(Table56[[#This Row],[Shortname]], Comp[], 22, FALSE)</f>
        <v>0</v>
      </c>
      <c r="X79">
        <f>VLOOKUP(Table56[[#This Row],[Shortname]], Comp[], 23, FALSE)</f>
        <v>0</v>
      </c>
      <c r="Y79">
        <f>VLOOKUP(Table56[[#This Row],[Shortname]], Comp[], 24, FALSE)</f>
        <v>0</v>
      </c>
      <c r="Z79">
        <f>VLOOKUP(Table56[[#This Row],[Shortname]], Comp[], 25, FALSE)</f>
        <v>0</v>
      </c>
      <c r="AA79">
        <f>VLOOKUP(Table56[[#This Row],[Shortname]], Comp[], 26, FALSE)</f>
        <v>0</v>
      </c>
      <c r="AB79">
        <f>VLOOKUP(Table56[[#This Row],[Shortname]], Comp[], 27, FALSE)</f>
        <v>0</v>
      </c>
      <c r="AC79">
        <f>VLOOKUP(Table56[[#This Row],[Shortname]], Comp[], 28, FALSE)</f>
        <v>0</v>
      </c>
      <c r="AD79">
        <f>VLOOKUP(Table56[[#This Row],[Shortname]], Comp[], 29, FALSE)</f>
        <v>0</v>
      </c>
      <c r="AE79">
        <f>VLOOKUP(Table56[[#This Row],[Shortname]], Comp[], 30, FALSE)</f>
        <v>0</v>
      </c>
      <c r="AF79">
        <f>VLOOKUP(Table56[[#This Row],[Shortname]], Comp[], 31, FALSE)</f>
        <v>0</v>
      </c>
    </row>
    <row r="80" spans="1:32" x14ac:dyDescent="0.3">
      <c r="A80" t="s">
        <v>877</v>
      </c>
      <c r="B80" t="s">
        <v>879</v>
      </c>
      <c r="C80" s="1" t="s">
        <v>6709</v>
      </c>
      <c r="D80">
        <v>949</v>
      </c>
      <c r="E80">
        <v>1396</v>
      </c>
      <c r="F80">
        <v>1448</v>
      </c>
      <c r="G80">
        <f>VLOOKUP(Table56[[#This Row],[Shortname]], Comp[], 6, FALSE)</f>
        <v>113</v>
      </c>
      <c r="H80" s="14">
        <f>VLOOKUP(Table56[[#This Row],[Shortname]], Comp[], 7, FALSE)</f>
        <v>86</v>
      </c>
      <c r="I80">
        <f>VLOOKUP(Table56[[#This Row],[Shortname]], Comp[], 8, FALSE)</f>
        <v>0</v>
      </c>
      <c r="J80">
        <f>VLOOKUP(Table56[[#This Row],[Shortname]], Comp[], 9, FALSE)</f>
        <v>12</v>
      </c>
      <c r="K80">
        <f>VLOOKUP(Table56[[#This Row],[Shortname]], Comp[], 10, FALSE)</f>
        <v>0</v>
      </c>
      <c r="L80">
        <f>VLOOKUP(Table56[[#This Row],[Shortname]], Comp[], 11, FALSE)</f>
        <v>0</v>
      </c>
      <c r="M80">
        <f>VLOOKUP(Table56[[#This Row],[Shortname]], Comp[],12, FALSE)</f>
        <v>0</v>
      </c>
      <c r="N80">
        <f>VLOOKUP(Table56[[#This Row],[Shortname]], Comp[], 13, FALSE)</f>
        <v>2</v>
      </c>
      <c r="O80">
        <f>VLOOKUP(Table56[[#This Row],[Shortname]], Comp[], 14, FALSE)</f>
        <v>0</v>
      </c>
      <c r="P80">
        <f>VLOOKUP(Table56[[#This Row],[Shortname]], Comp[], 15, FALSE)</f>
        <v>0</v>
      </c>
      <c r="Q80">
        <f>VLOOKUP(Table56[[#This Row],[Shortname]], Comp[], 16, FALSE)</f>
        <v>0</v>
      </c>
      <c r="R80">
        <f>VLOOKUP(Table56[[#This Row],[Shortname]], Comp[], 17, FALSE)</f>
        <v>0</v>
      </c>
      <c r="S80">
        <f>VLOOKUP(Table56[[#This Row],[Shortname]], Comp[], 18, FALSE)</f>
        <v>0</v>
      </c>
      <c r="T80">
        <f>VLOOKUP(Table56[[#This Row],[Shortname]], Comp[], 19, FALSE)</f>
        <v>0</v>
      </c>
      <c r="U80">
        <f>VLOOKUP(Table56[[#This Row],[Shortname]], Comp[], 20, FALSE)</f>
        <v>0</v>
      </c>
      <c r="V80">
        <f>VLOOKUP(Table56[[#This Row],[Shortname]], Comp[], 21, FALSE)</f>
        <v>0</v>
      </c>
      <c r="W80">
        <f>VLOOKUP(Table56[[#This Row],[Shortname]], Comp[], 22, FALSE)</f>
        <v>0</v>
      </c>
      <c r="X80">
        <f>VLOOKUP(Table56[[#This Row],[Shortname]], Comp[], 23, FALSE)</f>
        <v>0</v>
      </c>
      <c r="Y80">
        <f>VLOOKUP(Table56[[#This Row],[Shortname]], Comp[], 24, FALSE)</f>
        <v>0</v>
      </c>
      <c r="Z80">
        <f>VLOOKUP(Table56[[#This Row],[Shortname]], Comp[], 25, FALSE)</f>
        <v>0</v>
      </c>
      <c r="AA80">
        <f>VLOOKUP(Table56[[#This Row],[Shortname]], Comp[], 26, FALSE)</f>
        <v>0</v>
      </c>
      <c r="AB80">
        <f>VLOOKUP(Table56[[#This Row],[Shortname]], Comp[], 27, FALSE)</f>
        <v>0</v>
      </c>
      <c r="AC80">
        <f>VLOOKUP(Table56[[#This Row],[Shortname]], Comp[], 28, FALSE)</f>
        <v>0</v>
      </c>
      <c r="AD80">
        <f>VLOOKUP(Table56[[#This Row],[Shortname]], Comp[], 29, FALSE)</f>
        <v>0</v>
      </c>
      <c r="AE80">
        <f>VLOOKUP(Table56[[#This Row],[Shortname]], Comp[], 30, FALSE)</f>
        <v>0</v>
      </c>
      <c r="AF80">
        <f>VLOOKUP(Table56[[#This Row],[Shortname]], Comp[], 31, FALSE)</f>
        <v>0</v>
      </c>
    </row>
    <row r="81" spans="1:32" x14ac:dyDescent="0.3">
      <c r="A81" t="s">
        <v>1038</v>
      </c>
      <c r="B81" t="s">
        <v>1040</v>
      </c>
      <c r="C81" t="s">
        <v>6601</v>
      </c>
      <c r="D81">
        <v>1154</v>
      </c>
      <c r="E81">
        <v>1261</v>
      </c>
      <c r="F81">
        <v>1341</v>
      </c>
      <c r="G81">
        <f>VLOOKUP(Table56[[#This Row],[Shortname]], Comp[], 6, FALSE)</f>
        <v>133</v>
      </c>
      <c r="H81" s="14">
        <f>VLOOKUP(Table56[[#This Row],[Shortname]], Comp[], 7, FALSE)</f>
        <v>16.799999999999983</v>
      </c>
      <c r="I81">
        <f>VLOOKUP(Table56[[#This Row],[Shortname]], Comp[], 8, FALSE)</f>
        <v>50.7</v>
      </c>
      <c r="J81">
        <f>VLOOKUP(Table56[[#This Row],[Shortname]], Comp[], 9, FALSE)</f>
        <v>2.7</v>
      </c>
      <c r="K81">
        <f>VLOOKUP(Table56[[#This Row],[Shortname]], Comp[], 10, FALSE)</f>
        <v>21.9</v>
      </c>
      <c r="L81">
        <f>VLOOKUP(Table56[[#This Row],[Shortname]], Comp[], 11, FALSE)</f>
        <v>0</v>
      </c>
      <c r="M81">
        <f>VLOOKUP(Table56[[#This Row],[Shortname]], Comp[],12, FALSE)</f>
        <v>7.9</v>
      </c>
      <c r="N81">
        <f>VLOOKUP(Table56[[#This Row],[Shortname]], Comp[], 13, FALSE)</f>
        <v>0</v>
      </c>
      <c r="O81">
        <f>VLOOKUP(Table56[[#This Row],[Shortname]], Comp[], 14, FALSE)</f>
        <v>0</v>
      </c>
      <c r="P81">
        <f>VLOOKUP(Table56[[#This Row],[Shortname]], Comp[], 15, FALSE)</f>
        <v>0</v>
      </c>
      <c r="Q81">
        <f>VLOOKUP(Table56[[#This Row],[Shortname]], Comp[], 16, FALSE)</f>
        <v>0</v>
      </c>
      <c r="R81">
        <f>VLOOKUP(Table56[[#This Row],[Shortname]], Comp[], 17, FALSE)</f>
        <v>0</v>
      </c>
      <c r="S81">
        <f>VLOOKUP(Table56[[#This Row],[Shortname]], Comp[], 18, FALSE)</f>
        <v>0</v>
      </c>
      <c r="T81">
        <f>VLOOKUP(Table56[[#This Row],[Shortname]], Comp[], 19, FALSE)</f>
        <v>0</v>
      </c>
      <c r="U81">
        <f>VLOOKUP(Table56[[#This Row],[Shortname]], Comp[], 20, FALSE)</f>
        <v>0</v>
      </c>
      <c r="V81">
        <f>VLOOKUP(Table56[[#This Row],[Shortname]], Comp[], 21, FALSE)</f>
        <v>0</v>
      </c>
      <c r="W81">
        <f>VLOOKUP(Table56[[#This Row],[Shortname]], Comp[], 22, FALSE)</f>
        <v>0</v>
      </c>
      <c r="X81">
        <f>VLOOKUP(Table56[[#This Row],[Shortname]], Comp[], 23, FALSE)</f>
        <v>0</v>
      </c>
      <c r="Y81">
        <f>VLOOKUP(Table56[[#This Row],[Shortname]], Comp[], 24, FALSE)</f>
        <v>0</v>
      </c>
      <c r="Z81">
        <f>VLOOKUP(Table56[[#This Row],[Shortname]], Comp[], 25, FALSE)</f>
        <v>0</v>
      </c>
      <c r="AA81">
        <f>VLOOKUP(Table56[[#This Row],[Shortname]], Comp[], 26, FALSE)</f>
        <v>0</v>
      </c>
      <c r="AB81">
        <f>VLOOKUP(Table56[[#This Row],[Shortname]], Comp[], 27, FALSE)</f>
        <v>0</v>
      </c>
      <c r="AC81">
        <f>VLOOKUP(Table56[[#This Row],[Shortname]], Comp[], 28, FALSE)</f>
        <v>0</v>
      </c>
      <c r="AD81">
        <f>VLOOKUP(Table56[[#This Row],[Shortname]], Comp[], 29, FALSE)</f>
        <v>0</v>
      </c>
      <c r="AE81">
        <f>VLOOKUP(Table56[[#This Row],[Shortname]], Comp[], 30, FALSE)</f>
        <v>0</v>
      </c>
      <c r="AF81">
        <f>VLOOKUP(Table56[[#This Row],[Shortname]], Comp[], 31, FALSE)</f>
        <v>0</v>
      </c>
    </row>
    <row r="82" spans="1:32" x14ac:dyDescent="0.3">
      <c r="A82" t="s">
        <v>1081</v>
      </c>
      <c r="B82" t="s">
        <v>1083</v>
      </c>
      <c r="C82" t="s">
        <v>6601</v>
      </c>
      <c r="D82">
        <v>1152</v>
      </c>
      <c r="E82">
        <v>1273</v>
      </c>
      <c r="F82">
        <v>1359</v>
      </c>
      <c r="G82">
        <f>VLOOKUP(Table56[[#This Row],[Shortname]], Comp[], 6, FALSE)</f>
        <v>138</v>
      </c>
      <c r="H82" s="14">
        <f>VLOOKUP(Table56[[#This Row],[Shortname]], Comp[], 7, FALSE)</f>
        <v>24.700000000000003</v>
      </c>
      <c r="I82">
        <f>VLOOKUP(Table56[[#This Row],[Shortname]], Comp[], 8, FALSE)</f>
        <v>51.2</v>
      </c>
      <c r="J82">
        <f>VLOOKUP(Table56[[#This Row],[Shortname]], Comp[], 9, FALSE)</f>
        <v>6</v>
      </c>
      <c r="K82">
        <f>VLOOKUP(Table56[[#This Row],[Shortname]], Comp[], 10, FALSE)</f>
        <v>12.6</v>
      </c>
      <c r="L82">
        <f>VLOOKUP(Table56[[#This Row],[Shortname]], Comp[], 11, FALSE)</f>
        <v>0</v>
      </c>
      <c r="M82">
        <f>VLOOKUP(Table56[[#This Row],[Shortname]], Comp[],12, FALSE)</f>
        <v>5.5</v>
      </c>
      <c r="N82">
        <f>VLOOKUP(Table56[[#This Row],[Shortname]], Comp[], 13, FALSE)</f>
        <v>0</v>
      </c>
      <c r="O82">
        <f>VLOOKUP(Table56[[#This Row],[Shortname]], Comp[], 14, FALSE)</f>
        <v>0</v>
      </c>
      <c r="P82">
        <f>VLOOKUP(Table56[[#This Row],[Shortname]], Comp[], 15, FALSE)</f>
        <v>0</v>
      </c>
      <c r="Q82">
        <f>VLOOKUP(Table56[[#This Row],[Shortname]], Comp[], 16, FALSE)</f>
        <v>0</v>
      </c>
      <c r="R82">
        <f>VLOOKUP(Table56[[#This Row],[Shortname]], Comp[], 17, FALSE)</f>
        <v>0</v>
      </c>
      <c r="S82">
        <f>VLOOKUP(Table56[[#This Row],[Shortname]], Comp[], 18, FALSE)</f>
        <v>0</v>
      </c>
      <c r="T82">
        <f>VLOOKUP(Table56[[#This Row],[Shortname]], Comp[], 19, FALSE)</f>
        <v>0</v>
      </c>
      <c r="U82">
        <f>VLOOKUP(Table56[[#This Row],[Shortname]], Comp[], 20, FALSE)</f>
        <v>0</v>
      </c>
      <c r="V82">
        <f>VLOOKUP(Table56[[#This Row],[Shortname]], Comp[], 21, FALSE)</f>
        <v>0</v>
      </c>
      <c r="W82">
        <f>VLOOKUP(Table56[[#This Row],[Shortname]], Comp[], 22, FALSE)</f>
        <v>0</v>
      </c>
      <c r="X82">
        <f>VLOOKUP(Table56[[#This Row],[Shortname]], Comp[], 23, FALSE)</f>
        <v>0</v>
      </c>
      <c r="Y82">
        <f>VLOOKUP(Table56[[#This Row],[Shortname]], Comp[], 24, FALSE)</f>
        <v>0</v>
      </c>
      <c r="Z82">
        <f>VLOOKUP(Table56[[#This Row],[Shortname]], Comp[], 25, FALSE)</f>
        <v>0</v>
      </c>
      <c r="AA82">
        <f>VLOOKUP(Table56[[#This Row],[Shortname]], Comp[], 26, FALSE)</f>
        <v>0</v>
      </c>
      <c r="AB82">
        <f>VLOOKUP(Table56[[#This Row],[Shortname]], Comp[], 27, FALSE)</f>
        <v>0</v>
      </c>
      <c r="AC82">
        <f>VLOOKUP(Table56[[#This Row],[Shortname]], Comp[], 28, FALSE)</f>
        <v>0</v>
      </c>
      <c r="AD82">
        <f>VLOOKUP(Table56[[#This Row],[Shortname]], Comp[], 29, FALSE)</f>
        <v>0</v>
      </c>
      <c r="AE82">
        <f>VLOOKUP(Table56[[#This Row],[Shortname]], Comp[], 30, FALSE)</f>
        <v>0</v>
      </c>
      <c r="AF82">
        <f>VLOOKUP(Table56[[#This Row],[Shortname]], Comp[], 31, FALSE)</f>
        <v>0</v>
      </c>
    </row>
    <row r="83" spans="1:32" x14ac:dyDescent="0.3">
      <c r="A83" t="s">
        <v>1021</v>
      </c>
      <c r="B83" t="s">
        <v>1023</v>
      </c>
      <c r="C83" t="s">
        <v>6601</v>
      </c>
      <c r="D83">
        <v>1147</v>
      </c>
      <c r="E83">
        <v>1264</v>
      </c>
      <c r="F83">
        <v>1359</v>
      </c>
      <c r="G83">
        <f>VLOOKUP(Table56[[#This Row],[Shortname]], Comp[], 6, FALSE)</f>
        <v>131</v>
      </c>
      <c r="H83" s="14">
        <f>VLOOKUP(Table56[[#This Row],[Shortname]], Comp[], 7, FALSE)</f>
        <v>35.599999999999994</v>
      </c>
      <c r="I83">
        <f>VLOOKUP(Table56[[#This Row],[Shortname]], Comp[], 8, FALSE)</f>
        <v>37.1</v>
      </c>
      <c r="J83">
        <f>VLOOKUP(Table56[[#This Row],[Shortname]], Comp[], 9, FALSE)</f>
        <v>3.1</v>
      </c>
      <c r="K83">
        <f>VLOOKUP(Table56[[#This Row],[Shortname]], Comp[], 10, FALSE)</f>
        <v>16.3</v>
      </c>
      <c r="L83">
        <f>VLOOKUP(Table56[[#This Row],[Shortname]], Comp[], 11, FALSE)</f>
        <v>0</v>
      </c>
      <c r="M83">
        <f>VLOOKUP(Table56[[#This Row],[Shortname]], Comp[],12, FALSE)</f>
        <v>7.9</v>
      </c>
      <c r="N83">
        <f>VLOOKUP(Table56[[#This Row],[Shortname]], Comp[], 13, FALSE)</f>
        <v>0</v>
      </c>
      <c r="O83">
        <f>VLOOKUP(Table56[[#This Row],[Shortname]], Comp[], 14, FALSE)</f>
        <v>0</v>
      </c>
      <c r="P83">
        <f>VLOOKUP(Table56[[#This Row],[Shortname]], Comp[], 15, FALSE)</f>
        <v>0</v>
      </c>
      <c r="Q83">
        <f>VLOOKUP(Table56[[#This Row],[Shortname]], Comp[], 16, FALSE)</f>
        <v>0</v>
      </c>
      <c r="R83">
        <f>VLOOKUP(Table56[[#This Row],[Shortname]], Comp[], 17, FALSE)</f>
        <v>0</v>
      </c>
      <c r="S83">
        <f>VLOOKUP(Table56[[#This Row],[Shortname]], Comp[], 18, FALSE)</f>
        <v>0</v>
      </c>
      <c r="T83">
        <f>VLOOKUP(Table56[[#This Row],[Shortname]], Comp[], 19, FALSE)</f>
        <v>0</v>
      </c>
      <c r="U83">
        <f>VLOOKUP(Table56[[#This Row],[Shortname]], Comp[], 20, FALSE)</f>
        <v>0</v>
      </c>
      <c r="V83">
        <f>VLOOKUP(Table56[[#This Row],[Shortname]], Comp[], 21, FALSE)</f>
        <v>0</v>
      </c>
      <c r="W83">
        <f>VLOOKUP(Table56[[#This Row],[Shortname]], Comp[], 22, FALSE)</f>
        <v>0</v>
      </c>
      <c r="X83">
        <f>VLOOKUP(Table56[[#This Row],[Shortname]], Comp[], 23, FALSE)</f>
        <v>0</v>
      </c>
      <c r="Y83">
        <f>VLOOKUP(Table56[[#This Row],[Shortname]], Comp[], 24, FALSE)</f>
        <v>0</v>
      </c>
      <c r="Z83">
        <f>VLOOKUP(Table56[[#This Row],[Shortname]], Comp[], 25, FALSE)</f>
        <v>0</v>
      </c>
      <c r="AA83">
        <f>VLOOKUP(Table56[[#This Row],[Shortname]], Comp[], 26, FALSE)</f>
        <v>0</v>
      </c>
      <c r="AB83">
        <f>VLOOKUP(Table56[[#This Row],[Shortname]], Comp[], 27, FALSE)</f>
        <v>0</v>
      </c>
      <c r="AC83">
        <f>VLOOKUP(Table56[[#This Row],[Shortname]], Comp[], 28, FALSE)</f>
        <v>0</v>
      </c>
      <c r="AD83">
        <f>VLOOKUP(Table56[[#This Row],[Shortname]], Comp[], 29, FALSE)</f>
        <v>0</v>
      </c>
      <c r="AE83">
        <f>VLOOKUP(Table56[[#This Row],[Shortname]], Comp[], 30, FALSE)</f>
        <v>0</v>
      </c>
      <c r="AF83">
        <f>VLOOKUP(Table56[[#This Row],[Shortname]], Comp[], 31, FALSE)</f>
        <v>0</v>
      </c>
    </row>
    <row r="84" spans="1:32" x14ac:dyDescent="0.3">
      <c r="A84" t="s">
        <v>1054</v>
      </c>
      <c r="B84" t="s">
        <v>1056</v>
      </c>
      <c r="C84" t="s">
        <v>6601</v>
      </c>
      <c r="D84">
        <v>1135</v>
      </c>
      <c r="E84">
        <v>1294</v>
      </c>
      <c r="F84">
        <v>1371</v>
      </c>
      <c r="G84">
        <f>VLOOKUP(Table56[[#This Row],[Shortname]], Comp[], 6, FALSE)</f>
        <v>135</v>
      </c>
      <c r="H84" s="14">
        <f>VLOOKUP(Table56[[#This Row],[Shortname]], Comp[], 7, FALSE)</f>
        <v>18</v>
      </c>
      <c r="I84">
        <f>VLOOKUP(Table56[[#This Row],[Shortname]], Comp[], 8, FALSE)</f>
        <v>54.3</v>
      </c>
      <c r="J84">
        <f>VLOOKUP(Table56[[#This Row],[Shortname]], Comp[], 9, FALSE)</f>
        <v>4.3</v>
      </c>
      <c r="K84">
        <f>VLOOKUP(Table56[[#This Row],[Shortname]], Comp[], 10, FALSE)</f>
        <v>15.7</v>
      </c>
      <c r="L84">
        <f>VLOOKUP(Table56[[#This Row],[Shortname]], Comp[], 11, FALSE)</f>
        <v>0</v>
      </c>
      <c r="M84">
        <f>VLOOKUP(Table56[[#This Row],[Shortname]], Comp[],12, FALSE)</f>
        <v>7.7</v>
      </c>
      <c r="N84">
        <f>VLOOKUP(Table56[[#This Row],[Shortname]], Comp[], 13, FALSE)</f>
        <v>0</v>
      </c>
      <c r="O84">
        <f>VLOOKUP(Table56[[#This Row],[Shortname]], Comp[], 14, FALSE)</f>
        <v>0</v>
      </c>
      <c r="P84">
        <f>VLOOKUP(Table56[[#This Row],[Shortname]], Comp[], 15, FALSE)</f>
        <v>0</v>
      </c>
      <c r="Q84">
        <f>VLOOKUP(Table56[[#This Row],[Shortname]], Comp[], 16, FALSE)</f>
        <v>0</v>
      </c>
      <c r="R84">
        <f>VLOOKUP(Table56[[#This Row],[Shortname]], Comp[], 17, FALSE)</f>
        <v>0</v>
      </c>
      <c r="S84">
        <f>VLOOKUP(Table56[[#This Row],[Shortname]], Comp[], 18, FALSE)</f>
        <v>0</v>
      </c>
      <c r="T84">
        <f>VLOOKUP(Table56[[#This Row],[Shortname]], Comp[], 19, FALSE)</f>
        <v>0</v>
      </c>
      <c r="U84">
        <f>VLOOKUP(Table56[[#This Row],[Shortname]], Comp[], 20, FALSE)</f>
        <v>0</v>
      </c>
      <c r="V84">
        <f>VLOOKUP(Table56[[#This Row],[Shortname]], Comp[], 21, FALSE)</f>
        <v>0</v>
      </c>
      <c r="W84">
        <f>VLOOKUP(Table56[[#This Row],[Shortname]], Comp[], 22, FALSE)</f>
        <v>0</v>
      </c>
      <c r="X84">
        <f>VLOOKUP(Table56[[#This Row],[Shortname]], Comp[], 23, FALSE)</f>
        <v>0</v>
      </c>
      <c r="Y84">
        <f>VLOOKUP(Table56[[#This Row],[Shortname]], Comp[], 24, FALSE)</f>
        <v>0</v>
      </c>
      <c r="Z84">
        <f>VLOOKUP(Table56[[#This Row],[Shortname]], Comp[], 25, FALSE)</f>
        <v>0</v>
      </c>
      <c r="AA84">
        <f>VLOOKUP(Table56[[#This Row],[Shortname]], Comp[], 26, FALSE)</f>
        <v>0</v>
      </c>
      <c r="AB84">
        <f>VLOOKUP(Table56[[#This Row],[Shortname]], Comp[], 27, FALSE)</f>
        <v>0</v>
      </c>
      <c r="AC84">
        <f>VLOOKUP(Table56[[#This Row],[Shortname]], Comp[], 28, FALSE)</f>
        <v>0</v>
      </c>
      <c r="AD84">
        <f>VLOOKUP(Table56[[#This Row],[Shortname]], Comp[], 29, FALSE)</f>
        <v>0</v>
      </c>
      <c r="AE84">
        <f>VLOOKUP(Table56[[#This Row],[Shortname]], Comp[], 30, FALSE)</f>
        <v>0</v>
      </c>
      <c r="AF84">
        <f>VLOOKUP(Table56[[#This Row],[Shortname]], Comp[], 31, FALSE)</f>
        <v>0</v>
      </c>
    </row>
    <row r="85" spans="1:32" x14ac:dyDescent="0.3">
      <c r="A85" t="s">
        <v>1012</v>
      </c>
      <c r="B85" t="s">
        <v>1014</v>
      </c>
      <c r="C85" t="s">
        <v>6601</v>
      </c>
      <c r="D85">
        <v>1135</v>
      </c>
      <c r="E85">
        <v>1248</v>
      </c>
      <c r="F85">
        <v>1349</v>
      </c>
      <c r="G85">
        <f>VLOOKUP(Table56[[#This Row],[Shortname]], Comp[], 6, FALSE)</f>
        <v>130</v>
      </c>
      <c r="H85" s="14">
        <f>VLOOKUP(Table56[[#This Row],[Shortname]], Comp[], 7, FALSE)</f>
        <v>32.599999999999994</v>
      </c>
      <c r="I85">
        <f>VLOOKUP(Table56[[#This Row],[Shortname]], Comp[], 8, FALSE)</f>
        <v>34.200000000000003</v>
      </c>
      <c r="J85">
        <f>VLOOKUP(Table56[[#This Row],[Shortname]], Comp[], 9, FALSE)</f>
        <v>3.6</v>
      </c>
      <c r="K85">
        <f>VLOOKUP(Table56[[#This Row],[Shortname]], Comp[], 10, FALSE)</f>
        <v>21.5</v>
      </c>
      <c r="L85">
        <f>VLOOKUP(Table56[[#This Row],[Shortname]], Comp[], 11, FALSE)</f>
        <v>0</v>
      </c>
      <c r="M85">
        <f>VLOOKUP(Table56[[#This Row],[Shortname]], Comp[],12, FALSE)</f>
        <v>8.1</v>
      </c>
      <c r="N85">
        <f>VLOOKUP(Table56[[#This Row],[Shortname]], Comp[], 13, FALSE)</f>
        <v>0</v>
      </c>
      <c r="O85">
        <f>VLOOKUP(Table56[[#This Row],[Shortname]], Comp[], 14, FALSE)</f>
        <v>0</v>
      </c>
      <c r="P85">
        <f>VLOOKUP(Table56[[#This Row],[Shortname]], Comp[], 15, FALSE)</f>
        <v>0</v>
      </c>
      <c r="Q85">
        <f>VLOOKUP(Table56[[#This Row],[Shortname]], Comp[], 16, FALSE)</f>
        <v>0</v>
      </c>
      <c r="R85">
        <f>VLOOKUP(Table56[[#This Row],[Shortname]], Comp[], 17, FALSE)</f>
        <v>0</v>
      </c>
      <c r="S85">
        <f>VLOOKUP(Table56[[#This Row],[Shortname]], Comp[], 18, FALSE)</f>
        <v>0</v>
      </c>
      <c r="T85">
        <f>VLOOKUP(Table56[[#This Row],[Shortname]], Comp[], 19, FALSE)</f>
        <v>0</v>
      </c>
      <c r="U85">
        <f>VLOOKUP(Table56[[#This Row],[Shortname]], Comp[], 20, FALSE)</f>
        <v>0</v>
      </c>
      <c r="V85">
        <f>VLOOKUP(Table56[[#This Row],[Shortname]], Comp[], 21, FALSE)</f>
        <v>0</v>
      </c>
      <c r="W85">
        <f>VLOOKUP(Table56[[#This Row],[Shortname]], Comp[], 22, FALSE)</f>
        <v>0</v>
      </c>
      <c r="X85">
        <f>VLOOKUP(Table56[[#This Row],[Shortname]], Comp[], 23, FALSE)</f>
        <v>0</v>
      </c>
      <c r="Y85">
        <f>VLOOKUP(Table56[[#This Row],[Shortname]], Comp[], 24, FALSE)</f>
        <v>0</v>
      </c>
      <c r="Z85">
        <f>VLOOKUP(Table56[[#This Row],[Shortname]], Comp[], 25, FALSE)</f>
        <v>0</v>
      </c>
      <c r="AA85">
        <f>VLOOKUP(Table56[[#This Row],[Shortname]], Comp[], 26, FALSE)</f>
        <v>0</v>
      </c>
      <c r="AB85">
        <f>VLOOKUP(Table56[[#This Row],[Shortname]], Comp[], 27, FALSE)</f>
        <v>0</v>
      </c>
      <c r="AC85">
        <f>VLOOKUP(Table56[[#This Row],[Shortname]], Comp[], 28, FALSE)</f>
        <v>0</v>
      </c>
      <c r="AD85">
        <f>VLOOKUP(Table56[[#This Row],[Shortname]], Comp[], 29, FALSE)</f>
        <v>0</v>
      </c>
      <c r="AE85">
        <f>VLOOKUP(Table56[[#This Row],[Shortname]], Comp[], 30, FALSE)</f>
        <v>0</v>
      </c>
      <c r="AF85">
        <f>VLOOKUP(Table56[[#This Row],[Shortname]], Comp[], 31, FALSE)</f>
        <v>0</v>
      </c>
    </row>
    <row r="86" spans="1:32" x14ac:dyDescent="0.3">
      <c r="A86" t="s">
        <v>992</v>
      </c>
      <c r="B86" t="s">
        <v>994</v>
      </c>
      <c r="C86" t="s">
        <v>6601</v>
      </c>
      <c r="D86">
        <v>1122</v>
      </c>
      <c r="E86">
        <v>1302</v>
      </c>
      <c r="F86">
        <v>1371</v>
      </c>
      <c r="G86">
        <f>VLOOKUP(Table56[[#This Row],[Shortname]], Comp[], 6, FALSE)</f>
        <v>128</v>
      </c>
      <c r="H86" s="14">
        <f>VLOOKUP(Table56[[#This Row],[Shortname]], Comp[], 7, FALSE)</f>
        <v>19.5</v>
      </c>
      <c r="I86">
        <f>VLOOKUP(Table56[[#This Row],[Shortname]], Comp[], 8, FALSE)</f>
        <v>58.3</v>
      </c>
      <c r="J86">
        <f>VLOOKUP(Table56[[#This Row],[Shortname]], Comp[], 9, FALSE)</f>
        <v>3.2</v>
      </c>
      <c r="K86">
        <f>VLOOKUP(Table56[[#This Row],[Shortname]], Comp[], 10, FALSE)</f>
        <v>10.8</v>
      </c>
      <c r="L86">
        <f>VLOOKUP(Table56[[#This Row],[Shortname]], Comp[], 11, FALSE)</f>
        <v>0</v>
      </c>
      <c r="M86">
        <f>VLOOKUP(Table56[[#This Row],[Shortname]], Comp[],12, FALSE)</f>
        <v>8.1999999999999993</v>
      </c>
      <c r="N86">
        <f>VLOOKUP(Table56[[#This Row],[Shortname]], Comp[], 13, FALSE)</f>
        <v>0</v>
      </c>
      <c r="O86">
        <f>VLOOKUP(Table56[[#This Row],[Shortname]], Comp[], 14, FALSE)</f>
        <v>0</v>
      </c>
      <c r="P86">
        <f>VLOOKUP(Table56[[#This Row],[Shortname]], Comp[], 15, FALSE)</f>
        <v>0</v>
      </c>
      <c r="Q86">
        <f>VLOOKUP(Table56[[#This Row],[Shortname]], Comp[], 16, FALSE)</f>
        <v>0</v>
      </c>
      <c r="R86">
        <f>VLOOKUP(Table56[[#This Row],[Shortname]], Comp[], 17, FALSE)</f>
        <v>0</v>
      </c>
      <c r="S86">
        <f>VLOOKUP(Table56[[#This Row],[Shortname]], Comp[], 18, FALSE)</f>
        <v>0</v>
      </c>
      <c r="T86">
        <f>VLOOKUP(Table56[[#This Row],[Shortname]], Comp[], 19, FALSE)</f>
        <v>0</v>
      </c>
      <c r="U86">
        <f>VLOOKUP(Table56[[#This Row],[Shortname]], Comp[], 20, FALSE)</f>
        <v>0</v>
      </c>
      <c r="V86">
        <f>VLOOKUP(Table56[[#This Row],[Shortname]], Comp[], 21, FALSE)</f>
        <v>0</v>
      </c>
      <c r="W86">
        <f>VLOOKUP(Table56[[#This Row],[Shortname]], Comp[], 22, FALSE)</f>
        <v>0</v>
      </c>
      <c r="X86">
        <f>VLOOKUP(Table56[[#This Row],[Shortname]], Comp[], 23, FALSE)</f>
        <v>0</v>
      </c>
      <c r="Y86">
        <f>VLOOKUP(Table56[[#This Row],[Shortname]], Comp[], 24, FALSE)</f>
        <v>0</v>
      </c>
      <c r="Z86">
        <f>VLOOKUP(Table56[[#This Row],[Shortname]], Comp[], 25, FALSE)</f>
        <v>0</v>
      </c>
      <c r="AA86">
        <f>VLOOKUP(Table56[[#This Row],[Shortname]], Comp[], 26, FALSE)</f>
        <v>0</v>
      </c>
      <c r="AB86">
        <f>VLOOKUP(Table56[[#This Row],[Shortname]], Comp[], 27, FALSE)</f>
        <v>0</v>
      </c>
      <c r="AC86">
        <f>VLOOKUP(Table56[[#This Row],[Shortname]], Comp[], 28, FALSE)</f>
        <v>0</v>
      </c>
      <c r="AD86">
        <f>VLOOKUP(Table56[[#This Row],[Shortname]], Comp[], 29, FALSE)</f>
        <v>0</v>
      </c>
      <c r="AE86">
        <f>VLOOKUP(Table56[[#This Row],[Shortname]], Comp[], 30, FALSE)</f>
        <v>0</v>
      </c>
      <c r="AF86">
        <f>VLOOKUP(Table56[[#This Row],[Shortname]], Comp[], 31, FALSE)</f>
        <v>0</v>
      </c>
    </row>
    <row r="87" spans="1:32" x14ac:dyDescent="0.3">
      <c r="A87" t="s">
        <v>1107</v>
      </c>
      <c r="B87" t="s">
        <v>1109</v>
      </c>
      <c r="C87" t="s">
        <v>6601</v>
      </c>
      <c r="D87">
        <v>1120</v>
      </c>
      <c r="E87">
        <v>1301</v>
      </c>
      <c r="F87">
        <v>1379</v>
      </c>
      <c r="G87">
        <f>VLOOKUP(Table56[[#This Row],[Shortname]], Comp[], 6, FALSE)</f>
        <v>141</v>
      </c>
      <c r="H87" s="14">
        <f>VLOOKUP(Table56[[#This Row],[Shortname]], Comp[], 7, FALSE)</f>
        <v>18.299999999999997</v>
      </c>
      <c r="I87">
        <f>VLOOKUP(Table56[[#This Row],[Shortname]], Comp[], 8, FALSE)</f>
        <v>54.9</v>
      </c>
      <c r="J87">
        <f>VLOOKUP(Table56[[#This Row],[Shortname]], Comp[], 9, FALSE)</f>
        <v>5.6</v>
      </c>
      <c r="K87">
        <f>VLOOKUP(Table56[[#This Row],[Shortname]], Comp[], 10, FALSE)</f>
        <v>15.9</v>
      </c>
      <c r="L87">
        <f>VLOOKUP(Table56[[#This Row],[Shortname]], Comp[], 11, FALSE)</f>
        <v>0</v>
      </c>
      <c r="M87">
        <f>VLOOKUP(Table56[[#This Row],[Shortname]], Comp[],12, FALSE)</f>
        <v>5.3</v>
      </c>
      <c r="N87">
        <f>VLOOKUP(Table56[[#This Row],[Shortname]], Comp[], 13, FALSE)</f>
        <v>0</v>
      </c>
      <c r="O87">
        <f>VLOOKUP(Table56[[#This Row],[Shortname]], Comp[], 14, FALSE)</f>
        <v>0</v>
      </c>
      <c r="P87">
        <f>VLOOKUP(Table56[[#This Row],[Shortname]], Comp[], 15, FALSE)</f>
        <v>0</v>
      </c>
      <c r="Q87">
        <f>VLOOKUP(Table56[[#This Row],[Shortname]], Comp[], 16, FALSE)</f>
        <v>0</v>
      </c>
      <c r="R87">
        <f>VLOOKUP(Table56[[#This Row],[Shortname]], Comp[], 17, FALSE)</f>
        <v>0</v>
      </c>
      <c r="S87">
        <f>VLOOKUP(Table56[[#This Row],[Shortname]], Comp[], 18, FALSE)</f>
        <v>0</v>
      </c>
      <c r="T87">
        <f>VLOOKUP(Table56[[#This Row],[Shortname]], Comp[], 19, FALSE)</f>
        <v>0</v>
      </c>
      <c r="U87">
        <f>VLOOKUP(Table56[[#This Row],[Shortname]], Comp[], 20, FALSE)</f>
        <v>0</v>
      </c>
      <c r="V87">
        <f>VLOOKUP(Table56[[#This Row],[Shortname]], Comp[], 21, FALSE)</f>
        <v>0</v>
      </c>
      <c r="W87">
        <f>VLOOKUP(Table56[[#This Row],[Shortname]], Comp[], 22, FALSE)</f>
        <v>0</v>
      </c>
      <c r="X87">
        <f>VLOOKUP(Table56[[#This Row],[Shortname]], Comp[], 23, FALSE)</f>
        <v>0</v>
      </c>
      <c r="Y87">
        <f>VLOOKUP(Table56[[#This Row],[Shortname]], Comp[], 24, FALSE)</f>
        <v>0</v>
      </c>
      <c r="Z87">
        <f>VLOOKUP(Table56[[#This Row],[Shortname]], Comp[], 25, FALSE)</f>
        <v>0</v>
      </c>
      <c r="AA87">
        <f>VLOOKUP(Table56[[#This Row],[Shortname]], Comp[], 26, FALSE)</f>
        <v>0</v>
      </c>
      <c r="AB87">
        <f>VLOOKUP(Table56[[#This Row],[Shortname]], Comp[], 27, FALSE)</f>
        <v>0</v>
      </c>
      <c r="AC87">
        <f>VLOOKUP(Table56[[#This Row],[Shortname]], Comp[], 28, FALSE)</f>
        <v>0</v>
      </c>
      <c r="AD87">
        <f>VLOOKUP(Table56[[#This Row],[Shortname]], Comp[], 29, FALSE)</f>
        <v>0</v>
      </c>
      <c r="AE87">
        <f>VLOOKUP(Table56[[#This Row],[Shortname]], Comp[], 30, FALSE)</f>
        <v>0</v>
      </c>
      <c r="AF87">
        <f>VLOOKUP(Table56[[#This Row],[Shortname]], Comp[], 31, FALSE)</f>
        <v>0</v>
      </c>
    </row>
    <row r="88" spans="1:32" x14ac:dyDescent="0.3">
      <c r="A88" t="s">
        <v>1073</v>
      </c>
      <c r="B88" t="s">
        <v>1075</v>
      </c>
      <c r="C88" t="s">
        <v>6601</v>
      </c>
      <c r="D88">
        <v>1099</v>
      </c>
      <c r="E88">
        <v>1337</v>
      </c>
      <c r="F88">
        <v>1392</v>
      </c>
      <c r="G88">
        <f>VLOOKUP(Table56[[#This Row],[Shortname]], Comp[], 6, FALSE)</f>
        <v>137</v>
      </c>
      <c r="H88" s="14">
        <f>VLOOKUP(Table56[[#This Row],[Shortname]], Comp[], 7, FALSE)</f>
        <v>19.5</v>
      </c>
      <c r="I88">
        <f>VLOOKUP(Table56[[#This Row],[Shortname]], Comp[], 8, FALSE)</f>
        <v>59.5</v>
      </c>
      <c r="J88">
        <f>VLOOKUP(Table56[[#This Row],[Shortname]], Comp[], 9, FALSE)</f>
        <v>4.5</v>
      </c>
      <c r="K88">
        <f>VLOOKUP(Table56[[#This Row],[Shortname]], Comp[], 10, FALSE)</f>
        <v>10.9</v>
      </c>
      <c r="L88">
        <f>VLOOKUP(Table56[[#This Row],[Shortname]], Comp[], 11, FALSE)</f>
        <v>0</v>
      </c>
      <c r="M88">
        <f>VLOOKUP(Table56[[#This Row],[Shortname]], Comp[],12, FALSE)</f>
        <v>5.6</v>
      </c>
      <c r="N88">
        <f>VLOOKUP(Table56[[#This Row],[Shortname]], Comp[], 13, FALSE)</f>
        <v>0</v>
      </c>
      <c r="O88">
        <f>VLOOKUP(Table56[[#This Row],[Shortname]], Comp[], 14, FALSE)</f>
        <v>0</v>
      </c>
      <c r="P88">
        <f>VLOOKUP(Table56[[#This Row],[Shortname]], Comp[], 15, FALSE)</f>
        <v>0</v>
      </c>
      <c r="Q88">
        <f>VLOOKUP(Table56[[#This Row],[Shortname]], Comp[], 16, FALSE)</f>
        <v>0</v>
      </c>
      <c r="R88">
        <f>VLOOKUP(Table56[[#This Row],[Shortname]], Comp[], 17, FALSE)</f>
        <v>0</v>
      </c>
      <c r="S88">
        <f>VLOOKUP(Table56[[#This Row],[Shortname]], Comp[], 18, FALSE)</f>
        <v>0</v>
      </c>
      <c r="T88">
        <f>VLOOKUP(Table56[[#This Row],[Shortname]], Comp[], 19, FALSE)</f>
        <v>0</v>
      </c>
      <c r="U88">
        <f>VLOOKUP(Table56[[#This Row],[Shortname]], Comp[], 20, FALSE)</f>
        <v>0</v>
      </c>
      <c r="V88">
        <f>VLOOKUP(Table56[[#This Row],[Shortname]], Comp[], 21, FALSE)</f>
        <v>0</v>
      </c>
      <c r="W88">
        <f>VLOOKUP(Table56[[#This Row],[Shortname]], Comp[], 22, FALSE)</f>
        <v>0</v>
      </c>
      <c r="X88">
        <f>VLOOKUP(Table56[[#This Row],[Shortname]], Comp[], 23, FALSE)</f>
        <v>0</v>
      </c>
      <c r="Y88">
        <f>VLOOKUP(Table56[[#This Row],[Shortname]], Comp[], 24, FALSE)</f>
        <v>0</v>
      </c>
      <c r="Z88">
        <f>VLOOKUP(Table56[[#This Row],[Shortname]], Comp[], 25, FALSE)</f>
        <v>0</v>
      </c>
      <c r="AA88">
        <f>VLOOKUP(Table56[[#This Row],[Shortname]], Comp[], 26, FALSE)</f>
        <v>0</v>
      </c>
      <c r="AB88">
        <f>VLOOKUP(Table56[[#This Row],[Shortname]], Comp[], 27, FALSE)</f>
        <v>0</v>
      </c>
      <c r="AC88">
        <f>VLOOKUP(Table56[[#This Row],[Shortname]], Comp[], 28, FALSE)</f>
        <v>0</v>
      </c>
      <c r="AD88">
        <f>VLOOKUP(Table56[[#This Row],[Shortname]], Comp[], 29, FALSE)</f>
        <v>0</v>
      </c>
      <c r="AE88">
        <f>VLOOKUP(Table56[[#This Row],[Shortname]], Comp[], 30, FALSE)</f>
        <v>0</v>
      </c>
      <c r="AF88">
        <f>VLOOKUP(Table56[[#This Row],[Shortname]], Comp[], 31, FALSE)</f>
        <v>0</v>
      </c>
    </row>
    <row r="89" spans="1:32" x14ac:dyDescent="0.3">
      <c r="A89" t="s">
        <v>1124</v>
      </c>
      <c r="B89" t="s">
        <v>1126</v>
      </c>
      <c r="C89" t="s">
        <v>6601</v>
      </c>
      <c r="D89">
        <v>1094</v>
      </c>
      <c r="E89">
        <v>1305</v>
      </c>
      <c r="F89">
        <v>1385</v>
      </c>
      <c r="G89">
        <f>VLOOKUP(Table56[[#This Row],[Shortname]], Comp[], 6, FALSE)</f>
        <v>143</v>
      </c>
      <c r="H89" s="14">
        <f>VLOOKUP(Table56[[#This Row],[Shortname]], Comp[], 7, FALSE)</f>
        <v>36.5</v>
      </c>
      <c r="I89">
        <f>VLOOKUP(Table56[[#This Row],[Shortname]], Comp[], 8, FALSE)</f>
        <v>36.799999999999997</v>
      </c>
      <c r="J89">
        <f>VLOOKUP(Table56[[#This Row],[Shortname]], Comp[], 9, FALSE)</f>
        <v>5.4</v>
      </c>
      <c r="K89">
        <f>VLOOKUP(Table56[[#This Row],[Shortname]], Comp[], 10, FALSE)</f>
        <v>16.100000000000001</v>
      </c>
      <c r="L89">
        <f>VLOOKUP(Table56[[#This Row],[Shortname]], Comp[], 11, FALSE)</f>
        <v>0</v>
      </c>
      <c r="M89">
        <f>VLOOKUP(Table56[[#This Row],[Shortname]], Comp[],12, FALSE)</f>
        <v>5.2</v>
      </c>
      <c r="N89">
        <f>VLOOKUP(Table56[[#This Row],[Shortname]], Comp[], 13, FALSE)</f>
        <v>0</v>
      </c>
      <c r="O89">
        <f>VLOOKUP(Table56[[#This Row],[Shortname]], Comp[], 14, FALSE)</f>
        <v>0</v>
      </c>
      <c r="P89">
        <f>VLOOKUP(Table56[[#This Row],[Shortname]], Comp[], 15, FALSE)</f>
        <v>0</v>
      </c>
      <c r="Q89">
        <f>VLOOKUP(Table56[[#This Row],[Shortname]], Comp[], 16, FALSE)</f>
        <v>0</v>
      </c>
      <c r="R89">
        <f>VLOOKUP(Table56[[#This Row],[Shortname]], Comp[], 17, FALSE)</f>
        <v>0</v>
      </c>
      <c r="S89">
        <f>VLOOKUP(Table56[[#This Row],[Shortname]], Comp[], 18, FALSE)</f>
        <v>0</v>
      </c>
      <c r="T89">
        <f>VLOOKUP(Table56[[#This Row],[Shortname]], Comp[], 19, FALSE)</f>
        <v>0</v>
      </c>
      <c r="U89">
        <f>VLOOKUP(Table56[[#This Row],[Shortname]], Comp[], 20, FALSE)</f>
        <v>0</v>
      </c>
      <c r="V89">
        <f>VLOOKUP(Table56[[#This Row],[Shortname]], Comp[], 21, FALSE)</f>
        <v>0</v>
      </c>
      <c r="W89">
        <f>VLOOKUP(Table56[[#This Row],[Shortname]], Comp[], 22, FALSE)</f>
        <v>0</v>
      </c>
      <c r="X89">
        <f>VLOOKUP(Table56[[#This Row],[Shortname]], Comp[], 23, FALSE)</f>
        <v>0</v>
      </c>
      <c r="Y89">
        <f>VLOOKUP(Table56[[#This Row],[Shortname]], Comp[], 24, FALSE)</f>
        <v>0</v>
      </c>
      <c r="Z89">
        <f>VLOOKUP(Table56[[#This Row],[Shortname]], Comp[], 25, FALSE)</f>
        <v>0</v>
      </c>
      <c r="AA89">
        <f>VLOOKUP(Table56[[#This Row],[Shortname]], Comp[], 26, FALSE)</f>
        <v>0</v>
      </c>
      <c r="AB89">
        <f>VLOOKUP(Table56[[#This Row],[Shortname]], Comp[], 27, FALSE)</f>
        <v>0</v>
      </c>
      <c r="AC89">
        <f>VLOOKUP(Table56[[#This Row],[Shortname]], Comp[], 28, FALSE)</f>
        <v>0</v>
      </c>
      <c r="AD89">
        <f>VLOOKUP(Table56[[#This Row],[Shortname]], Comp[], 29, FALSE)</f>
        <v>0</v>
      </c>
      <c r="AE89">
        <f>VLOOKUP(Table56[[#This Row],[Shortname]], Comp[], 30, FALSE)</f>
        <v>0</v>
      </c>
      <c r="AF89">
        <f>VLOOKUP(Table56[[#This Row],[Shortname]], Comp[], 31, FALSE)</f>
        <v>0</v>
      </c>
    </row>
    <row r="90" spans="1:32" x14ac:dyDescent="0.3">
      <c r="A90" t="s">
        <v>1212</v>
      </c>
      <c r="B90" t="s">
        <v>1214</v>
      </c>
      <c r="C90" t="s">
        <v>6601</v>
      </c>
      <c r="D90">
        <v>1088</v>
      </c>
      <c r="E90">
        <v>1324</v>
      </c>
      <c r="F90">
        <v>1392</v>
      </c>
      <c r="G90">
        <f>VLOOKUP(Table56[[#This Row],[Shortname]], Comp[], 6, FALSE)</f>
        <v>154</v>
      </c>
      <c r="H90" s="14">
        <f>VLOOKUP(Table56[[#This Row],[Shortname]], Comp[], 7, FALSE)</f>
        <v>17.5</v>
      </c>
      <c r="I90">
        <f>VLOOKUP(Table56[[#This Row],[Shortname]], Comp[], 8, FALSE)</f>
        <v>50.6</v>
      </c>
      <c r="J90">
        <f>VLOOKUP(Table56[[#This Row],[Shortname]], Comp[], 9, FALSE)</f>
        <v>8.5</v>
      </c>
      <c r="K90">
        <f>VLOOKUP(Table56[[#This Row],[Shortname]], Comp[], 10, FALSE)</f>
        <v>20.9</v>
      </c>
      <c r="L90">
        <f>VLOOKUP(Table56[[#This Row],[Shortname]], Comp[], 11, FALSE)</f>
        <v>0</v>
      </c>
      <c r="M90">
        <f>VLOOKUP(Table56[[#This Row],[Shortname]], Comp[],12, FALSE)</f>
        <v>2.5</v>
      </c>
      <c r="N90">
        <f>VLOOKUP(Table56[[#This Row],[Shortname]], Comp[], 13, FALSE)</f>
        <v>0</v>
      </c>
      <c r="O90">
        <f>VLOOKUP(Table56[[#This Row],[Shortname]], Comp[], 14, FALSE)</f>
        <v>0</v>
      </c>
      <c r="P90">
        <f>VLOOKUP(Table56[[#This Row],[Shortname]], Comp[], 15, FALSE)</f>
        <v>0</v>
      </c>
      <c r="Q90">
        <f>VLOOKUP(Table56[[#This Row],[Shortname]], Comp[], 16, FALSE)</f>
        <v>0</v>
      </c>
      <c r="R90">
        <f>VLOOKUP(Table56[[#This Row],[Shortname]], Comp[], 17, FALSE)</f>
        <v>0</v>
      </c>
      <c r="S90">
        <f>VLOOKUP(Table56[[#This Row],[Shortname]], Comp[], 18, FALSE)</f>
        <v>0</v>
      </c>
      <c r="T90">
        <f>VLOOKUP(Table56[[#This Row],[Shortname]], Comp[], 19, FALSE)</f>
        <v>0</v>
      </c>
      <c r="U90">
        <f>VLOOKUP(Table56[[#This Row],[Shortname]], Comp[], 20, FALSE)</f>
        <v>0</v>
      </c>
      <c r="V90">
        <f>VLOOKUP(Table56[[#This Row],[Shortname]], Comp[], 21, FALSE)</f>
        <v>0</v>
      </c>
      <c r="W90">
        <f>VLOOKUP(Table56[[#This Row],[Shortname]], Comp[], 22, FALSE)</f>
        <v>0</v>
      </c>
      <c r="X90">
        <f>VLOOKUP(Table56[[#This Row],[Shortname]], Comp[], 23, FALSE)</f>
        <v>0</v>
      </c>
      <c r="Y90">
        <f>VLOOKUP(Table56[[#This Row],[Shortname]], Comp[], 24, FALSE)</f>
        <v>0</v>
      </c>
      <c r="Z90">
        <f>VLOOKUP(Table56[[#This Row],[Shortname]], Comp[], 25, FALSE)</f>
        <v>0</v>
      </c>
      <c r="AA90">
        <f>VLOOKUP(Table56[[#This Row],[Shortname]], Comp[], 26, FALSE)</f>
        <v>0</v>
      </c>
      <c r="AB90">
        <f>VLOOKUP(Table56[[#This Row],[Shortname]], Comp[], 27, FALSE)</f>
        <v>0</v>
      </c>
      <c r="AC90">
        <f>VLOOKUP(Table56[[#This Row],[Shortname]], Comp[], 28, FALSE)</f>
        <v>0</v>
      </c>
      <c r="AD90">
        <f>VLOOKUP(Table56[[#This Row],[Shortname]], Comp[], 29, FALSE)</f>
        <v>0</v>
      </c>
      <c r="AE90">
        <f>VLOOKUP(Table56[[#This Row],[Shortname]], Comp[], 30, FALSE)</f>
        <v>0</v>
      </c>
      <c r="AF90">
        <f>VLOOKUP(Table56[[#This Row],[Shortname]], Comp[], 31, FALSE)</f>
        <v>0</v>
      </c>
    </row>
    <row r="91" spans="1:32" x14ac:dyDescent="0.3">
      <c r="A91" t="s">
        <v>1064</v>
      </c>
      <c r="B91" t="s">
        <v>1066</v>
      </c>
      <c r="C91" t="s">
        <v>6601</v>
      </c>
      <c r="D91">
        <v>1082</v>
      </c>
      <c r="E91">
        <v>1298</v>
      </c>
      <c r="F91">
        <v>1378</v>
      </c>
      <c r="G91">
        <f>VLOOKUP(Table56[[#This Row],[Shortname]], Comp[], 6, FALSE)</f>
        <v>136</v>
      </c>
      <c r="H91" s="14">
        <f>VLOOKUP(Table56[[#This Row],[Shortname]], Comp[], 7, FALSE)</f>
        <v>39.000000000000007</v>
      </c>
      <c r="I91">
        <f>VLOOKUP(Table56[[#This Row],[Shortname]], Comp[], 8, FALSE)</f>
        <v>39.799999999999997</v>
      </c>
      <c r="J91">
        <f>VLOOKUP(Table56[[#This Row],[Shortname]], Comp[], 9, FALSE)</f>
        <v>2.8</v>
      </c>
      <c r="K91">
        <f>VLOOKUP(Table56[[#This Row],[Shortname]], Comp[], 10, FALSE)</f>
        <v>10.8</v>
      </c>
      <c r="L91">
        <f>VLOOKUP(Table56[[#This Row],[Shortname]], Comp[], 11, FALSE)</f>
        <v>0</v>
      </c>
      <c r="M91">
        <f>VLOOKUP(Table56[[#This Row],[Shortname]], Comp[],12, FALSE)</f>
        <v>7.6</v>
      </c>
      <c r="N91">
        <f>VLOOKUP(Table56[[#This Row],[Shortname]], Comp[], 13, FALSE)</f>
        <v>0</v>
      </c>
      <c r="O91">
        <f>VLOOKUP(Table56[[#This Row],[Shortname]], Comp[], 14, FALSE)</f>
        <v>0</v>
      </c>
      <c r="P91">
        <f>VLOOKUP(Table56[[#This Row],[Shortname]], Comp[], 15, FALSE)</f>
        <v>0</v>
      </c>
      <c r="Q91">
        <f>VLOOKUP(Table56[[#This Row],[Shortname]], Comp[], 16, FALSE)</f>
        <v>0</v>
      </c>
      <c r="R91">
        <f>VLOOKUP(Table56[[#This Row],[Shortname]], Comp[], 17, FALSE)</f>
        <v>0</v>
      </c>
      <c r="S91">
        <f>VLOOKUP(Table56[[#This Row],[Shortname]], Comp[], 18, FALSE)</f>
        <v>0</v>
      </c>
      <c r="T91">
        <f>VLOOKUP(Table56[[#This Row],[Shortname]], Comp[], 19, FALSE)</f>
        <v>0</v>
      </c>
      <c r="U91">
        <f>VLOOKUP(Table56[[#This Row],[Shortname]], Comp[], 20, FALSE)</f>
        <v>0</v>
      </c>
      <c r="V91">
        <f>VLOOKUP(Table56[[#This Row],[Shortname]], Comp[], 21, FALSE)</f>
        <v>0</v>
      </c>
      <c r="W91">
        <f>VLOOKUP(Table56[[#This Row],[Shortname]], Comp[], 22, FALSE)</f>
        <v>0</v>
      </c>
      <c r="X91">
        <f>VLOOKUP(Table56[[#This Row],[Shortname]], Comp[], 23, FALSE)</f>
        <v>0</v>
      </c>
      <c r="Y91">
        <f>VLOOKUP(Table56[[#This Row],[Shortname]], Comp[], 24, FALSE)</f>
        <v>0</v>
      </c>
      <c r="Z91">
        <f>VLOOKUP(Table56[[#This Row],[Shortname]], Comp[], 25, FALSE)</f>
        <v>0</v>
      </c>
      <c r="AA91">
        <f>VLOOKUP(Table56[[#This Row],[Shortname]], Comp[], 26, FALSE)</f>
        <v>0</v>
      </c>
      <c r="AB91">
        <f>VLOOKUP(Table56[[#This Row],[Shortname]], Comp[], 27, FALSE)</f>
        <v>0</v>
      </c>
      <c r="AC91">
        <f>VLOOKUP(Table56[[#This Row],[Shortname]], Comp[], 28, FALSE)</f>
        <v>0</v>
      </c>
      <c r="AD91">
        <f>VLOOKUP(Table56[[#This Row],[Shortname]], Comp[], 29, FALSE)</f>
        <v>0</v>
      </c>
      <c r="AE91">
        <f>VLOOKUP(Table56[[#This Row],[Shortname]], Comp[], 30, FALSE)</f>
        <v>0</v>
      </c>
      <c r="AF91">
        <f>VLOOKUP(Table56[[#This Row],[Shortname]], Comp[], 31, FALSE)</f>
        <v>0</v>
      </c>
    </row>
    <row r="92" spans="1:32" x14ac:dyDescent="0.3">
      <c r="A92" t="s">
        <v>1139</v>
      </c>
      <c r="B92" t="s">
        <v>1141</v>
      </c>
      <c r="C92" t="s">
        <v>6601</v>
      </c>
      <c r="D92">
        <v>1080</v>
      </c>
      <c r="E92">
        <v>1351</v>
      </c>
      <c r="F92">
        <v>1400</v>
      </c>
      <c r="G92">
        <f>VLOOKUP(Table56[[#This Row],[Shortname]], Comp[], 6, FALSE)</f>
        <v>145</v>
      </c>
      <c r="H92" s="14">
        <f>VLOOKUP(Table56[[#This Row],[Shortname]], Comp[], 7, FALSE)</f>
        <v>51.1</v>
      </c>
      <c r="I92">
        <f>VLOOKUP(Table56[[#This Row],[Shortname]], Comp[], 8, FALSE)</f>
        <v>17</v>
      </c>
      <c r="J92">
        <f>VLOOKUP(Table56[[#This Row],[Shortname]], Comp[], 9, FALSE)</f>
        <v>5.5</v>
      </c>
      <c r="K92">
        <f>VLOOKUP(Table56[[#This Row],[Shortname]], Comp[], 10, FALSE)</f>
        <v>21.4</v>
      </c>
      <c r="L92">
        <f>VLOOKUP(Table56[[#This Row],[Shortname]], Comp[], 11, FALSE)</f>
        <v>0</v>
      </c>
      <c r="M92">
        <f>VLOOKUP(Table56[[#This Row],[Shortname]], Comp[],12, FALSE)</f>
        <v>5</v>
      </c>
      <c r="N92">
        <f>VLOOKUP(Table56[[#This Row],[Shortname]], Comp[], 13, FALSE)</f>
        <v>0</v>
      </c>
      <c r="O92">
        <f>VLOOKUP(Table56[[#This Row],[Shortname]], Comp[], 14, FALSE)</f>
        <v>0</v>
      </c>
      <c r="P92">
        <f>VLOOKUP(Table56[[#This Row],[Shortname]], Comp[], 15, FALSE)</f>
        <v>0</v>
      </c>
      <c r="Q92">
        <f>VLOOKUP(Table56[[#This Row],[Shortname]], Comp[], 16, FALSE)</f>
        <v>0</v>
      </c>
      <c r="R92">
        <f>VLOOKUP(Table56[[#This Row],[Shortname]], Comp[], 17, FALSE)</f>
        <v>0</v>
      </c>
      <c r="S92">
        <f>VLOOKUP(Table56[[#This Row],[Shortname]], Comp[], 18, FALSE)</f>
        <v>0</v>
      </c>
      <c r="T92">
        <f>VLOOKUP(Table56[[#This Row],[Shortname]], Comp[], 19, FALSE)</f>
        <v>0</v>
      </c>
      <c r="U92">
        <f>VLOOKUP(Table56[[#This Row],[Shortname]], Comp[], 20, FALSE)</f>
        <v>0</v>
      </c>
      <c r="V92">
        <f>VLOOKUP(Table56[[#This Row],[Shortname]], Comp[], 21, FALSE)</f>
        <v>0</v>
      </c>
      <c r="W92">
        <f>VLOOKUP(Table56[[#This Row],[Shortname]], Comp[], 22, FALSE)</f>
        <v>0</v>
      </c>
      <c r="X92">
        <f>VLOOKUP(Table56[[#This Row],[Shortname]], Comp[], 23, FALSE)</f>
        <v>0</v>
      </c>
      <c r="Y92">
        <f>VLOOKUP(Table56[[#This Row],[Shortname]], Comp[], 24, FALSE)</f>
        <v>0</v>
      </c>
      <c r="Z92">
        <f>VLOOKUP(Table56[[#This Row],[Shortname]], Comp[], 25, FALSE)</f>
        <v>0</v>
      </c>
      <c r="AA92">
        <f>VLOOKUP(Table56[[#This Row],[Shortname]], Comp[], 26, FALSE)</f>
        <v>0</v>
      </c>
      <c r="AB92">
        <f>VLOOKUP(Table56[[#This Row],[Shortname]], Comp[], 27, FALSE)</f>
        <v>0</v>
      </c>
      <c r="AC92">
        <f>VLOOKUP(Table56[[#This Row],[Shortname]], Comp[], 28, FALSE)</f>
        <v>0</v>
      </c>
      <c r="AD92">
        <f>VLOOKUP(Table56[[#This Row],[Shortname]], Comp[], 29, FALSE)</f>
        <v>0</v>
      </c>
      <c r="AE92">
        <f>VLOOKUP(Table56[[#This Row],[Shortname]], Comp[], 30, FALSE)</f>
        <v>0</v>
      </c>
      <c r="AF92">
        <f>VLOOKUP(Table56[[#This Row],[Shortname]], Comp[], 31, FALSE)</f>
        <v>0</v>
      </c>
    </row>
    <row r="93" spans="1:32" x14ac:dyDescent="0.3">
      <c r="A93" t="s">
        <v>1030</v>
      </c>
      <c r="B93" t="s">
        <v>1032</v>
      </c>
      <c r="C93" t="s">
        <v>6601</v>
      </c>
      <c r="D93">
        <v>1078</v>
      </c>
      <c r="E93">
        <v>1225</v>
      </c>
      <c r="F93">
        <v>1361</v>
      </c>
      <c r="G93">
        <f>VLOOKUP(Table56[[#This Row],[Shortname]], Comp[], 6, FALSE)</f>
        <v>132</v>
      </c>
      <c r="H93" s="14">
        <f>VLOOKUP(Table56[[#This Row],[Shortname]], Comp[], 7, FALSE)</f>
        <v>59.199999999999996</v>
      </c>
      <c r="I93">
        <f>VLOOKUP(Table56[[#This Row],[Shortname]], Comp[], 8, FALSE)</f>
        <v>17.3</v>
      </c>
      <c r="J93">
        <f>VLOOKUP(Table56[[#This Row],[Shortname]], Comp[], 9, FALSE)</f>
        <v>3.1</v>
      </c>
      <c r="K93">
        <f>VLOOKUP(Table56[[#This Row],[Shortname]], Comp[], 10, FALSE)</f>
        <v>12.5</v>
      </c>
      <c r="L93">
        <f>VLOOKUP(Table56[[#This Row],[Shortname]], Comp[], 11, FALSE)</f>
        <v>0</v>
      </c>
      <c r="M93">
        <f>VLOOKUP(Table56[[#This Row],[Shortname]], Comp[],12, FALSE)</f>
        <v>7.9</v>
      </c>
      <c r="N93">
        <f>VLOOKUP(Table56[[#This Row],[Shortname]], Comp[], 13, FALSE)</f>
        <v>0</v>
      </c>
      <c r="O93">
        <f>VLOOKUP(Table56[[#This Row],[Shortname]], Comp[], 14, FALSE)</f>
        <v>0</v>
      </c>
      <c r="P93">
        <f>VLOOKUP(Table56[[#This Row],[Shortname]], Comp[], 15, FALSE)</f>
        <v>0</v>
      </c>
      <c r="Q93">
        <f>VLOOKUP(Table56[[#This Row],[Shortname]], Comp[], 16, FALSE)</f>
        <v>0</v>
      </c>
      <c r="R93">
        <f>VLOOKUP(Table56[[#This Row],[Shortname]], Comp[], 17, FALSE)</f>
        <v>0</v>
      </c>
      <c r="S93">
        <f>VLOOKUP(Table56[[#This Row],[Shortname]], Comp[], 18, FALSE)</f>
        <v>0</v>
      </c>
      <c r="T93">
        <f>VLOOKUP(Table56[[#This Row],[Shortname]], Comp[], 19, FALSE)</f>
        <v>0</v>
      </c>
      <c r="U93">
        <f>VLOOKUP(Table56[[#This Row],[Shortname]], Comp[], 20, FALSE)</f>
        <v>0</v>
      </c>
      <c r="V93">
        <f>VLOOKUP(Table56[[#This Row],[Shortname]], Comp[], 21, FALSE)</f>
        <v>0</v>
      </c>
      <c r="W93">
        <f>VLOOKUP(Table56[[#This Row],[Shortname]], Comp[], 22, FALSE)</f>
        <v>0</v>
      </c>
      <c r="X93">
        <f>VLOOKUP(Table56[[#This Row],[Shortname]], Comp[], 23, FALSE)</f>
        <v>0</v>
      </c>
      <c r="Y93">
        <f>VLOOKUP(Table56[[#This Row],[Shortname]], Comp[], 24, FALSE)</f>
        <v>0</v>
      </c>
      <c r="Z93">
        <f>VLOOKUP(Table56[[#This Row],[Shortname]], Comp[], 25, FALSE)</f>
        <v>0</v>
      </c>
      <c r="AA93">
        <f>VLOOKUP(Table56[[#This Row],[Shortname]], Comp[], 26, FALSE)</f>
        <v>0</v>
      </c>
      <c r="AB93">
        <f>VLOOKUP(Table56[[#This Row],[Shortname]], Comp[], 27, FALSE)</f>
        <v>0</v>
      </c>
      <c r="AC93">
        <f>VLOOKUP(Table56[[#This Row],[Shortname]], Comp[], 28, FALSE)</f>
        <v>0</v>
      </c>
      <c r="AD93">
        <f>VLOOKUP(Table56[[#This Row],[Shortname]], Comp[], 29, FALSE)</f>
        <v>0</v>
      </c>
      <c r="AE93">
        <f>VLOOKUP(Table56[[#This Row],[Shortname]], Comp[], 30, FALSE)</f>
        <v>0</v>
      </c>
      <c r="AF93">
        <f>VLOOKUP(Table56[[#This Row],[Shortname]], Comp[], 31, FALSE)</f>
        <v>0</v>
      </c>
    </row>
    <row r="94" spans="1:32" x14ac:dyDescent="0.3">
      <c r="A94" t="s">
        <v>1149</v>
      </c>
      <c r="B94" t="s">
        <v>1151</v>
      </c>
      <c r="C94" t="s">
        <v>6601</v>
      </c>
      <c r="D94">
        <v>1077</v>
      </c>
      <c r="E94">
        <v>1357</v>
      </c>
      <c r="F94">
        <v>1410</v>
      </c>
      <c r="G94">
        <f>VLOOKUP(Table56[[#This Row],[Shortname]], Comp[], 6, FALSE)</f>
        <v>146</v>
      </c>
      <c r="H94" s="14">
        <f>VLOOKUP(Table56[[#This Row],[Shortname]], Comp[], 7, FALSE)</f>
        <v>19.599999999999994</v>
      </c>
      <c r="I94">
        <f>VLOOKUP(Table56[[#This Row],[Shortname]], Comp[], 8, FALSE)</f>
        <v>58.4</v>
      </c>
      <c r="J94">
        <f>VLOOKUP(Table56[[#This Row],[Shortname]], Comp[], 9, FALSE)</f>
        <v>8.6</v>
      </c>
      <c r="K94">
        <f>VLOOKUP(Table56[[#This Row],[Shortname]], Comp[], 10, FALSE)</f>
        <v>10.7</v>
      </c>
      <c r="L94">
        <f>VLOOKUP(Table56[[#This Row],[Shortname]], Comp[], 11, FALSE)</f>
        <v>0</v>
      </c>
      <c r="M94">
        <f>VLOOKUP(Table56[[#This Row],[Shortname]], Comp[],12, FALSE)</f>
        <v>2.7</v>
      </c>
      <c r="N94">
        <f>VLOOKUP(Table56[[#This Row],[Shortname]], Comp[], 13, FALSE)</f>
        <v>0</v>
      </c>
      <c r="O94">
        <f>VLOOKUP(Table56[[#This Row],[Shortname]], Comp[], 14, FALSE)</f>
        <v>0</v>
      </c>
      <c r="P94">
        <f>VLOOKUP(Table56[[#This Row],[Shortname]], Comp[], 15, FALSE)</f>
        <v>0</v>
      </c>
      <c r="Q94">
        <f>VLOOKUP(Table56[[#This Row],[Shortname]], Comp[], 16, FALSE)</f>
        <v>0</v>
      </c>
      <c r="R94">
        <f>VLOOKUP(Table56[[#This Row],[Shortname]], Comp[], 17, FALSE)</f>
        <v>0</v>
      </c>
      <c r="S94">
        <f>VLOOKUP(Table56[[#This Row],[Shortname]], Comp[], 18, FALSE)</f>
        <v>0</v>
      </c>
      <c r="T94">
        <f>VLOOKUP(Table56[[#This Row],[Shortname]], Comp[], 19, FALSE)</f>
        <v>0</v>
      </c>
      <c r="U94">
        <f>VLOOKUP(Table56[[#This Row],[Shortname]], Comp[], 20, FALSE)</f>
        <v>0</v>
      </c>
      <c r="V94">
        <f>VLOOKUP(Table56[[#This Row],[Shortname]], Comp[], 21, FALSE)</f>
        <v>0</v>
      </c>
      <c r="W94">
        <f>VLOOKUP(Table56[[#This Row],[Shortname]], Comp[], 22, FALSE)</f>
        <v>0</v>
      </c>
      <c r="X94">
        <f>VLOOKUP(Table56[[#This Row],[Shortname]], Comp[], 23, FALSE)</f>
        <v>0</v>
      </c>
      <c r="Y94">
        <f>VLOOKUP(Table56[[#This Row],[Shortname]], Comp[], 24, FALSE)</f>
        <v>0</v>
      </c>
      <c r="Z94">
        <f>VLOOKUP(Table56[[#This Row],[Shortname]], Comp[], 25, FALSE)</f>
        <v>0</v>
      </c>
      <c r="AA94">
        <f>VLOOKUP(Table56[[#This Row],[Shortname]], Comp[], 26, FALSE)</f>
        <v>0</v>
      </c>
      <c r="AB94">
        <f>VLOOKUP(Table56[[#This Row],[Shortname]], Comp[], 27, FALSE)</f>
        <v>0</v>
      </c>
      <c r="AC94">
        <f>VLOOKUP(Table56[[#This Row],[Shortname]], Comp[], 28, FALSE)</f>
        <v>0</v>
      </c>
      <c r="AD94">
        <f>VLOOKUP(Table56[[#This Row],[Shortname]], Comp[], 29, FALSE)</f>
        <v>0</v>
      </c>
      <c r="AE94">
        <f>VLOOKUP(Table56[[#This Row],[Shortname]], Comp[], 30, FALSE)</f>
        <v>0</v>
      </c>
      <c r="AF94">
        <f>VLOOKUP(Table56[[#This Row],[Shortname]], Comp[], 31, FALSE)</f>
        <v>0</v>
      </c>
    </row>
    <row r="95" spans="1:32" x14ac:dyDescent="0.3">
      <c r="A95" t="s">
        <v>1173</v>
      </c>
      <c r="B95" t="s">
        <v>1175</v>
      </c>
      <c r="C95" t="s">
        <v>6601</v>
      </c>
      <c r="D95">
        <v>1074</v>
      </c>
      <c r="E95">
        <v>1342</v>
      </c>
      <c r="F95">
        <v>1399</v>
      </c>
      <c r="G95">
        <f>VLOOKUP(Table56[[#This Row],[Shortname]], Comp[], 6, FALSE)</f>
        <v>149</v>
      </c>
      <c r="H95" s="14">
        <f>VLOOKUP(Table56[[#This Row],[Shortname]], Comp[], 7, FALSE)</f>
        <v>18.399999999999991</v>
      </c>
      <c r="I95">
        <f>VLOOKUP(Table56[[#This Row],[Shortname]], Comp[], 8, FALSE)</f>
        <v>54.8</v>
      </c>
      <c r="J95">
        <f>VLOOKUP(Table56[[#This Row],[Shortname]], Comp[], 9, FALSE)</f>
        <v>8</v>
      </c>
      <c r="K95">
        <f>VLOOKUP(Table56[[#This Row],[Shortname]], Comp[], 10, FALSE)</f>
        <v>16.100000000000001</v>
      </c>
      <c r="L95">
        <f>VLOOKUP(Table56[[#This Row],[Shortname]], Comp[], 11, FALSE)</f>
        <v>0</v>
      </c>
      <c r="M95">
        <f>VLOOKUP(Table56[[#This Row],[Shortname]], Comp[],12, FALSE)</f>
        <v>2.7</v>
      </c>
      <c r="N95">
        <f>VLOOKUP(Table56[[#This Row],[Shortname]], Comp[], 13, FALSE)</f>
        <v>0</v>
      </c>
      <c r="O95">
        <f>VLOOKUP(Table56[[#This Row],[Shortname]], Comp[], 14, FALSE)</f>
        <v>0</v>
      </c>
      <c r="P95">
        <f>VLOOKUP(Table56[[#This Row],[Shortname]], Comp[], 15, FALSE)</f>
        <v>0</v>
      </c>
      <c r="Q95">
        <f>VLOOKUP(Table56[[#This Row],[Shortname]], Comp[], 16, FALSE)</f>
        <v>0</v>
      </c>
      <c r="R95">
        <f>VLOOKUP(Table56[[#This Row],[Shortname]], Comp[], 17, FALSE)</f>
        <v>0</v>
      </c>
      <c r="S95">
        <f>VLOOKUP(Table56[[#This Row],[Shortname]], Comp[], 18, FALSE)</f>
        <v>0</v>
      </c>
      <c r="T95">
        <f>VLOOKUP(Table56[[#This Row],[Shortname]], Comp[], 19, FALSE)</f>
        <v>0</v>
      </c>
      <c r="U95">
        <f>VLOOKUP(Table56[[#This Row],[Shortname]], Comp[], 20, FALSE)</f>
        <v>0</v>
      </c>
      <c r="V95">
        <f>VLOOKUP(Table56[[#This Row],[Shortname]], Comp[], 21, FALSE)</f>
        <v>0</v>
      </c>
      <c r="W95">
        <f>VLOOKUP(Table56[[#This Row],[Shortname]], Comp[], 22, FALSE)</f>
        <v>0</v>
      </c>
      <c r="X95">
        <f>VLOOKUP(Table56[[#This Row],[Shortname]], Comp[], 23, FALSE)</f>
        <v>0</v>
      </c>
      <c r="Y95">
        <f>VLOOKUP(Table56[[#This Row],[Shortname]], Comp[], 24, FALSE)</f>
        <v>0</v>
      </c>
      <c r="Z95">
        <f>VLOOKUP(Table56[[#This Row],[Shortname]], Comp[], 25, FALSE)</f>
        <v>0</v>
      </c>
      <c r="AA95">
        <f>VLOOKUP(Table56[[#This Row],[Shortname]], Comp[], 26, FALSE)</f>
        <v>0</v>
      </c>
      <c r="AB95">
        <f>VLOOKUP(Table56[[#This Row],[Shortname]], Comp[], 27, FALSE)</f>
        <v>0</v>
      </c>
      <c r="AC95">
        <f>VLOOKUP(Table56[[#This Row],[Shortname]], Comp[], 28, FALSE)</f>
        <v>0</v>
      </c>
      <c r="AD95">
        <f>VLOOKUP(Table56[[#This Row],[Shortname]], Comp[], 29, FALSE)</f>
        <v>0</v>
      </c>
      <c r="AE95">
        <f>VLOOKUP(Table56[[#This Row],[Shortname]], Comp[], 30, FALSE)</f>
        <v>0</v>
      </c>
      <c r="AF95">
        <f>VLOOKUP(Table56[[#This Row],[Shortname]], Comp[], 31, FALSE)</f>
        <v>0</v>
      </c>
    </row>
    <row r="96" spans="1:32" x14ac:dyDescent="0.3">
      <c r="A96" t="s">
        <v>1131</v>
      </c>
      <c r="B96" t="s">
        <v>1133</v>
      </c>
      <c r="C96" t="s">
        <v>6601</v>
      </c>
      <c r="D96">
        <v>1071</v>
      </c>
      <c r="E96">
        <v>1284</v>
      </c>
      <c r="F96">
        <v>1370</v>
      </c>
      <c r="G96">
        <f>VLOOKUP(Table56[[#This Row],[Shortname]], Comp[], 6, FALSE)</f>
        <v>144</v>
      </c>
      <c r="H96" s="14">
        <f>VLOOKUP(Table56[[#This Row],[Shortname]], Comp[], 7, FALSE)</f>
        <v>33.5</v>
      </c>
      <c r="I96">
        <f>VLOOKUP(Table56[[#This Row],[Shortname]], Comp[], 8, FALSE)</f>
        <v>34.4</v>
      </c>
      <c r="J96">
        <f>VLOOKUP(Table56[[#This Row],[Shortname]], Comp[], 9, FALSE)</f>
        <v>5.7</v>
      </c>
      <c r="K96">
        <f>VLOOKUP(Table56[[#This Row],[Shortname]], Comp[], 10, FALSE)</f>
        <v>21.2</v>
      </c>
      <c r="L96">
        <f>VLOOKUP(Table56[[#This Row],[Shortname]], Comp[], 11, FALSE)</f>
        <v>0</v>
      </c>
      <c r="M96">
        <f>VLOOKUP(Table56[[#This Row],[Shortname]], Comp[],12, FALSE)</f>
        <v>5.2</v>
      </c>
      <c r="N96">
        <f>VLOOKUP(Table56[[#This Row],[Shortname]], Comp[], 13, FALSE)</f>
        <v>0</v>
      </c>
      <c r="O96">
        <f>VLOOKUP(Table56[[#This Row],[Shortname]], Comp[], 14, FALSE)</f>
        <v>0</v>
      </c>
      <c r="P96">
        <f>VLOOKUP(Table56[[#This Row],[Shortname]], Comp[], 15, FALSE)</f>
        <v>0</v>
      </c>
      <c r="Q96">
        <f>VLOOKUP(Table56[[#This Row],[Shortname]], Comp[], 16, FALSE)</f>
        <v>0</v>
      </c>
      <c r="R96">
        <f>VLOOKUP(Table56[[#This Row],[Shortname]], Comp[], 17, FALSE)</f>
        <v>0</v>
      </c>
      <c r="S96">
        <f>VLOOKUP(Table56[[#This Row],[Shortname]], Comp[], 18, FALSE)</f>
        <v>0</v>
      </c>
      <c r="T96">
        <f>VLOOKUP(Table56[[#This Row],[Shortname]], Comp[], 19, FALSE)</f>
        <v>0</v>
      </c>
      <c r="U96">
        <f>VLOOKUP(Table56[[#This Row],[Shortname]], Comp[], 20, FALSE)</f>
        <v>0</v>
      </c>
      <c r="V96">
        <f>VLOOKUP(Table56[[#This Row],[Shortname]], Comp[], 21, FALSE)</f>
        <v>0</v>
      </c>
      <c r="W96">
        <f>VLOOKUP(Table56[[#This Row],[Shortname]], Comp[], 22, FALSE)</f>
        <v>0</v>
      </c>
      <c r="X96">
        <f>VLOOKUP(Table56[[#This Row],[Shortname]], Comp[], 23, FALSE)</f>
        <v>0</v>
      </c>
      <c r="Y96">
        <f>VLOOKUP(Table56[[#This Row],[Shortname]], Comp[], 24, FALSE)</f>
        <v>0</v>
      </c>
      <c r="Z96">
        <f>VLOOKUP(Table56[[#This Row],[Shortname]], Comp[], 25, FALSE)</f>
        <v>0</v>
      </c>
      <c r="AA96">
        <f>VLOOKUP(Table56[[#This Row],[Shortname]], Comp[], 26, FALSE)</f>
        <v>0</v>
      </c>
      <c r="AB96">
        <f>VLOOKUP(Table56[[#This Row],[Shortname]], Comp[], 27, FALSE)</f>
        <v>0</v>
      </c>
      <c r="AC96">
        <f>VLOOKUP(Table56[[#This Row],[Shortname]], Comp[], 28, FALSE)</f>
        <v>0</v>
      </c>
      <c r="AD96">
        <f>VLOOKUP(Table56[[#This Row],[Shortname]], Comp[], 29, FALSE)</f>
        <v>0</v>
      </c>
      <c r="AE96">
        <f>VLOOKUP(Table56[[#This Row],[Shortname]], Comp[], 30, FALSE)</f>
        <v>0</v>
      </c>
      <c r="AF96">
        <f>VLOOKUP(Table56[[#This Row],[Shortname]], Comp[], 31, FALSE)</f>
        <v>0</v>
      </c>
    </row>
    <row r="97" spans="1:32" x14ac:dyDescent="0.3">
      <c r="A97" t="s">
        <v>1099</v>
      </c>
      <c r="B97" t="s">
        <v>1101</v>
      </c>
      <c r="C97" t="s">
        <v>6601</v>
      </c>
      <c r="D97">
        <v>1064</v>
      </c>
      <c r="E97">
        <v>1307</v>
      </c>
      <c r="F97">
        <v>1396</v>
      </c>
      <c r="G97">
        <f>VLOOKUP(Table56[[#This Row],[Shortname]], Comp[], 6, FALSE)</f>
        <v>140</v>
      </c>
      <c r="H97" s="14">
        <f>VLOOKUP(Table56[[#This Row],[Shortname]], Comp[], 7, FALSE)</f>
        <v>39.1</v>
      </c>
      <c r="I97">
        <f>VLOOKUP(Table56[[#This Row],[Shortname]], Comp[], 8, FALSE)</f>
        <v>39.200000000000003</v>
      </c>
      <c r="J97">
        <f>VLOOKUP(Table56[[#This Row],[Shortname]], Comp[], 9, FALSE)</f>
        <v>5.9</v>
      </c>
      <c r="K97">
        <f>VLOOKUP(Table56[[#This Row],[Shortname]], Comp[], 10, FALSE)</f>
        <v>10.5</v>
      </c>
      <c r="L97">
        <f>VLOOKUP(Table56[[#This Row],[Shortname]], Comp[], 11, FALSE)</f>
        <v>0</v>
      </c>
      <c r="M97">
        <f>VLOOKUP(Table56[[#This Row],[Shortname]], Comp[],12, FALSE)</f>
        <v>5.3</v>
      </c>
      <c r="N97">
        <f>VLOOKUP(Table56[[#This Row],[Shortname]], Comp[], 13, FALSE)</f>
        <v>0</v>
      </c>
      <c r="O97">
        <f>VLOOKUP(Table56[[#This Row],[Shortname]], Comp[], 14, FALSE)</f>
        <v>0</v>
      </c>
      <c r="P97">
        <f>VLOOKUP(Table56[[#This Row],[Shortname]], Comp[], 15, FALSE)</f>
        <v>0</v>
      </c>
      <c r="Q97">
        <f>VLOOKUP(Table56[[#This Row],[Shortname]], Comp[], 16, FALSE)</f>
        <v>0</v>
      </c>
      <c r="R97">
        <f>VLOOKUP(Table56[[#This Row],[Shortname]], Comp[], 17, FALSE)</f>
        <v>0</v>
      </c>
      <c r="S97">
        <f>VLOOKUP(Table56[[#This Row],[Shortname]], Comp[], 18, FALSE)</f>
        <v>0</v>
      </c>
      <c r="T97">
        <f>VLOOKUP(Table56[[#This Row],[Shortname]], Comp[], 19, FALSE)</f>
        <v>0</v>
      </c>
      <c r="U97">
        <f>VLOOKUP(Table56[[#This Row],[Shortname]], Comp[], 20, FALSE)</f>
        <v>0</v>
      </c>
      <c r="V97">
        <f>VLOOKUP(Table56[[#This Row],[Shortname]], Comp[], 21, FALSE)</f>
        <v>0</v>
      </c>
      <c r="W97">
        <f>VLOOKUP(Table56[[#This Row],[Shortname]], Comp[], 22, FALSE)</f>
        <v>0</v>
      </c>
      <c r="X97">
        <f>VLOOKUP(Table56[[#This Row],[Shortname]], Comp[], 23, FALSE)</f>
        <v>0</v>
      </c>
      <c r="Y97">
        <f>VLOOKUP(Table56[[#This Row],[Shortname]], Comp[], 24, FALSE)</f>
        <v>0</v>
      </c>
      <c r="Z97">
        <f>VLOOKUP(Table56[[#This Row],[Shortname]], Comp[], 25, FALSE)</f>
        <v>0</v>
      </c>
      <c r="AA97">
        <f>VLOOKUP(Table56[[#This Row],[Shortname]], Comp[], 26, FALSE)</f>
        <v>0</v>
      </c>
      <c r="AB97">
        <f>VLOOKUP(Table56[[#This Row],[Shortname]], Comp[], 27, FALSE)</f>
        <v>0</v>
      </c>
      <c r="AC97">
        <f>VLOOKUP(Table56[[#This Row],[Shortname]], Comp[], 28, FALSE)</f>
        <v>0</v>
      </c>
      <c r="AD97">
        <f>VLOOKUP(Table56[[#This Row],[Shortname]], Comp[], 29, FALSE)</f>
        <v>0</v>
      </c>
      <c r="AE97">
        <f>VLOOKUP(Table56[[#This Row],[Shortname]], Comp[], 30, FALSE)</f>
        <v>0</v>
      </c>
      <c r="AF97">
        <f>VLOOKUP(Table56[[#This Row],[Shortname]], Comp[], 31, FALSE)</f>
        <v>0</v>
      </c>
    </row>
    <row r="98" spans="1:32" x14ac:dyDescent="0.3">
      <c r="A98" t="s">
        <v>1002</v>
      </c>
      <c r="B98" t="s">
        <v>1004</v>
      </c>
      <c r="C98" t="s">
        <v>6601</v>
      </c>
      <c r="D98">
        <v>1062</v>
      </c>
      <c r="E98">
        <v>1278</v>
      </c>
      <c r="F98">
        <v>1376</v>
      </c>
      <c r="G98">
        <f>VLOOKUP(Table56[[#This Row],[Shortname]], Comp[], 6, FALSE)</f>
        <v>129</v>
      </c>
      <c r="H98" s="14">
        <f>VLOOKUP(Table56[[#This Row],[Shortname]], Comp[], 7, FALSE)</f>
        <v>50.699999999999996</v>
      </c>
      <c r="I98">
        <f>VLOOKUP(Table56[[#This Row],[Shortname]], Comp[], 8, FALSE)</f>
        <v>27.2</v>
      </c>
      <c r="J98">
        <f>VLOOKUP(Table56[[#This Row],[Shortname]], Comp[], 9, FALSE)</f>
        <v>3.1</v>
      </c>
      <c r="K98">
        <f>VLOOKUP(Table56[[#This Row],[Shortname]], Comp[], 10, FALSE)</f>
        <v>10.9</v>
      </c>
      <c r="L98">
        <f>VLOOKUP(Table56[[#This Row],[Shortname]], Comp[], 11, FALSE)</f>
        <v>0</v>
      </c>
      <c r="M98">
        <f>VLOOKUP(Table56[[#This Row],[Shortname]], Comp[],12, FALSE)</f>
        <v>8.1</v>
      </c>
      <c r="N98">
        <f>VLOOKUP(Table56[[#This Row],[Shortname]], Comp[], 13, FALSE)</f>
        <v>0</v>
      </c>
      <c r="O98">
        <f>VLOOKUP(Table56[[#This Row],[Shortname]], Comp[], 14, FALSE)</f>
        <v>0</v>
      </c>
      <c r="P98">
        <f>VLOOKUP(Table56[[#This Row],[Shortname]], Comp[], 15, FALSE)</f>
        <v>0</v>
      </c>
      <c r="Q98">
        <f>VLOOKUP(Table56[[#This Row],[Shortname]], Comp[], 16, FALSE)</f>
        <v>0</v>
      </c>
      <c r="R98">
        <f>VLOOKUP(Table56[[#This Row],[Shortname]], Comp[], 17, FALSE)</f>
        <v>0</v>
      </c>
      <c r="S98">
        <f>VLOOKUP(Table56[[#This Row],[Shortname]], Comp[], 18, FALSE)</f>
        <v>0</v>
      </c>
      <c r="T98">
        <f>VLOOKUP(Table56[[#This Row],[Shortname]], Comp[], 19, FALSE)</f>
        <v>0</v>
      </c>
      <c r="U98">
        <f>VLOOKUP(Table56[[#This Row],[Shortname]], Comp[], 20, FALSE)</f>
        <v>0</v>
      </c>
      <c r="V98">
        <f>VLOOKUP(Table56[[#This Row],[Shortname]], Comp[], 21, FALSE)</f>
        <v>0</v>
      </c>
      <c r="W98">
        <f>VLOOKUP(Table56[[#This Row],[Shortname]], Comp[], 22, FALSE)</f>
        <v>0</v>
      </c>
      <c r="X98">
        <f>VLOOKUP(Table56[[#This Row],[Shortname]], Comp[], 23, FALSE)</f>
        <v>0</v>
      </c>
      <c r="Y98">
        <f>VLOOKUP(Table56[[#This Row],[Shortname]], Comp[], 24, FALSE)</f>
        <v>0</v>
      </c>
      <c r="Z98">
        <f>VLOOKUP(Table56[[#This Row],[Shortname]], Comp[], 25, FALSE)</f>
        <v>0</v>
      </c>
      <c r="AA98">
        <f>VLOOKUP(Table56[[#This Row],[Shortname]], Comp[], 26, FALSE)</f>
        <v>0</v>
      </c>
      <c r="AB98">
        <f>VLOOKUP(Table56[[#This Row],[Shortname]], Comp[], 27, FALSE)</f>
        <v>0</v>
      </c>
      <c r="AC98">
        <f>VLOOKUP(Table56[[#This Row],[Shortname]], Comp[], 28, FALSE)</f>
        <v>0</v>
      </c>
      <c r="AD98">
        <f>VLOOKUP(Table56[[#This Row],[Shortname]], Comp[], 29, FALSE)</f>
        <v>0</v>
      </c>
      <c r="AE98">
        <f>VLOOKUP(Table56[[#This Row],[Shortname]], Comp[], 30, FALSE)</f>
        <v>0</v>
      </c>
      <c r="AF98">
        <f>VLOOKUP(Table56[[#This Row],[Shortname]], Comp[], 31, FALSE)</f>
        <v>0</v>
      </c>
    </row>
    <row r="99" spans="1:32" x14ac:dyDescent="0.3">
      <c r="A99" t="s">
        <v>1046</v>
      </c>
      <c r="B99" t="s">
        <v>1048</v>
      </c>
      <c r="C99" t="s">
        <v>6601</v>
      </c>
      <c r="D99">
        <v>1055</v>
      </c>
      <c r="E99">
        <v>1251</v>
      </c>
      <c r="F99">
        <v>1375</v>
      </c>
      <c r="G99">
        <f>VLOOKUP(Table56[[#This Row],[Shortname]], Comp[], 6, FALSE)</f>
        <v>134</v>
      </c>
      <c r="H99" s="14">
        <f>VLOOKUP(Table56[[#This Row],[Shortname]], Comp[], 7, FALSE)</f>
        <v>54.7</v>
      </c>
      <c r="I99">
        <f>VLOOKUP(Table56[[#This Row],[Shortname]], Comp[], 8, FALSE)</f>
        <v>18.3</v>
      </c>
      <c r="J99">
        <f>VLOOKUP(Table56[[#This Row],[Shortname]], Comp[], 9, FALSE)</f>
        <v>3</v>
      </c>
      <c r="K99">
        <f>VLOOKUP(Table56[[#This Row],[Shortname]], Comp[], 10, FALSE)</f>
        <v>16.2</v>
      </c>
      <c r="L99">
        <f>VLOOKUP(Table56[[#This Row],[Shortname]], Comp[], 11, FALSE)</f>
        <v>0</v>
      </c>
      <c r="M99">
        <f>VLOOKUP(Table56[[#This Row],[Shortname]], Comp[],12, FALSE)</f>
        <v>7.8</v>
      </c>
      <c r="N99">
        <f>VLOOKUP(Table56[[#This Row],[Shortname]], Comp[], 13, FALSE)</f>
        <v>0</v>
      </c>
      <c r="O99">
        <f>VLOOKUP(Table56[[#This Row],[Shortname]], Comp[], 14, FALSE)</f>
        <v>0</v>
      </c>
      <c r="P99">
        <f>VLOOKUP(Table56[[#This Row],[Shortname]], Comp[], 15, FALSE)</f>
        <v>0</v>
      </c>
      <c r="Q99">
        <f>VLOOKUP(Table56[[#This Row],[Shortname]], Comp[], 16, FALSE)</f>
        <v>0</v>
      </c>
      <c r="R99">
        <f>VLOOKUP(Table56[[#This Row],[Shortname]], Comp[], 17, FALSE)</f>
        <v>0</v>
      </c>
      <c r="S99">
        <f>VLOOKUP(Table56[[#This Row],[Shortname]], Comp[], 18, FALSE)</f>
        <v>0</v>
      </c>
      <c r="T99">
        <f>VLOOKUP(Table56[[#This Row],[Shortname]], Comp[], 19, FALSE)</f>
        <v>0</v>
      </c>
      <c r="U99">
        <f>VLOOKUP(Table56[[#This Row],[Shortname]], Comp[], 20, FALSE)</f>
        <v>0</v>
      </c>
      <c r="V99">
        <f>VLOOKUP(Table56[[#This Row],[Shortname]], Comp[], 21, FALSE)</f>
        <v>0</v>
      </c>
      <c r="W99">
        <f>VLOOKUP(Table56[[#This Row],[Shortname]], Comp[], 22, FALSE)</f>
        <v>0</v>
      </c>
      <c r="X99">
        <f>VLOOKUP(Table56[[#This Row],[Shortname]], Comp[], 23, FALSE)</f>
        <v>0</v>
      </c>
      <c r="Y99">
        <f>VLOOKUP(Table56[[#This Row],[Shortname]], Comp[], 24, FALSE)</f>
        <v>0</v>
      </c>
      <c r="Z99">
        <f>VLOOKUP(Table56[[#This Row],[Shortname]], Comp[], 25, FALSE)</f>
        <v>0</v>
      </c>
      <c r="AA99">
        <f>VLOOKUP(Table56[[#This Row],[Shortname]], Comp[], 26, FALSE)</f>
        <v>0</v>
      </c>
      <c r="AB99">
        <f>VLOOKUP(Table56[[#This Row],[Shortname]], Comp[], 27, FALSE)</f>
        <v>0</v>
      </c>
      <c r="AC99">
        <f>VLOOKUP(Table56[[#This Row],[Shortname]], Comp[], 28, FALSE)</f>
        <v>0</v>
      </c>
      <c r="AD99">
        <f>VLOOKUP(Table56[[#This Row],[Shortname]], Comp[], 29, FALSE)</f>
        <v>0</v>
      </c>
      <c r="AE99">
        <f>VLOOKUP(Table56[[#This Row],[Shortname]], Comp[], 30, FALSE)</f>
        <v>0</v>
      </c>
      <c r="AF99">
        <f>VLOOKUP(Table56[[#This Row],[Shortname]], Comp[], 31, FALSE)</f>
        <v>0</v>
      </c>
    </row>
    <row r="100" spans="1:32" x14ac:dyDescent="0.3">
      <c r="A100" t="s">
        <v>1165</v>
      </c>
      <c r="B100" t="s">
        <v>1167</v>
      </c>
      <c r="C100" t="s">
        <v>6601</v>
      </c>
      <c r="D100">
        <v>1014</v>
      </c>
      <c r="E100">
        <v>1350</v>
      </c>
      <c r="F100">
        <v>1406</v>
      </c>
      <c r="G100">
        <f>VLOOKUP(Table56[[#This Row],[Shortname]], Comp[], 6, FALSE)</f>
        <v>148</v>
      </c>
      <c r="H100" s="14">
        <f>VLOOKUP(Table56[[#This Row],[Shortname]], Comp[], 7, FALSE)</f>
        <v>36.599999999999994</v>
      </c>
      <c r="I100">
        <f>VLOOKUP(Table56[[#This Row],[Shortname]], Comp[], 8, FALSE)</f>
        <v>36.1</v>
      </c>
      <c r="J100">
        <f>VLOOKUP(Table56[[#This Row],[Shortname]], Comp[], 9, FALSE)</f>
        <v>8.6</v>
      </c>
      <c r="K100">
        <f>VLOOKUP(Table56[[#This Row],[Shortname]], Comp[], 10, FALSE)</f>
        <v>16</v>
      </c>
      <c r="L100">
        <f>VLOOKUP(Table56[[#This Row],[Shortname]], Comp[], 11, FALSE)</f>
        <v>0</v>
      </c>
      <c r="M100">
        <f>VLOOKUP(Table56[[#This Row],[Shortname]], Comp[],12, FALSE)</f>
        <v>2.7</v>
      </c>
      <c r="N100">
        <f>VLOOKUP(Table56[[#This Row],[Shortname]], Comp[], 13, FALSE)</f>
        <v>0</v>
      </c>
      <c r="O100">
        <f>VLOOKUP(Table56[[#This Row],[Shortname]], Comp[], 14, FALSE)</f>
        <v>0</v>
      </c>
      <c r="P100">
        <f>VLOOKUP(Table56[[#This Row],[Shortname]], Comp[], 15, FALSE)</f>
        <v>0</v>
      </c>
      <c r="Q100">
        <f>VLOOKUP(Table56[[#This Row],[Shortname]], Comp[], 16, FALSE)</f>
        <v>0</v>
      </c>
      <c r="R100">
        <f>VLOOKUP(Table56[[#This Row],[Shortname]], Comp[], 17, FALSE)</f>
        <v>0</v>
      </c>
      <c r="S100">
        <f>VLOOKUP(Table56[[#This Row],[Shortname]], Comp[], 18, FALSE)</f>
        <v>0</v>
      </c>
      <c r="T100">
        <f>VLOOKUP(Table56[[#This Row],[Shortname]], Comp[], 19, FALSE)</f>
        <v>0</v>
      </c>
      <c r="U100">
        <f>VLOOKUP(Table56[[#This Row],[Shortname]], Comp[], 20, FALSE)</f>
        <v>0</v>
      </c>
      <c r="V100">
        <f>VLOOKUP(Table56[[#This Row],[Shortname]], Comp[], 21, FALSE)</f>
        <v>0</v>
      </c>
      <c r="W100">
        <f>VLOOKUP(Table56[[#This Row],[Shortname]], Comp[], 22, FALSE)</f>
        <v>0</v>
      </c>
      <c r="X100">
        <f>VLOOKUP(Table56[[#This Row],[Shortname]], Comp[], 23, FALSE)</f>
        <v>0</v>
      </c>
      <c r="Y100">
        <f>VLOOKUP(Table56[[#This Row],[Shortname]], Comp[], 24, FALSE)</f>
        <v>0</v>
      </c>
      <c r="Z100">
        <f>VLOOKUP(Table56[[#This Row],[Shortname]], Comp[], 25, FALSE)</f>
        <v>0</v>
      </c>
      <c r="AA100">
        <f>VLOOKUP(Table56[[#This Row],[Shortname]], Comp[], 26, FALSE)</f>
        <v>0</v>
      </c>
      <c r="AB100">
        <f>VLOOKUP(Table56[[#This Row],[Shortname]], Comp[], 27, FALSE)</f>
        <v>0</v>
      </c>
      <c r="AC100">
        <f>VLOOKUP(Table56[[#This Row],[Shortname]], Comp[], 28, FALSE)</f>
        <v>0</v>
      </c>
      <c r="AD100">
        <f>VLOOKUP(Table56[[#This Row],[Shortname]], Comp[], 29, FALSE)</f>
        <v>0</v>
      </c>
      <c r="AE100">
        <f>VLOOKUP(Table56[[#This Row],[Shortname]], Comp[], 30, FALSE)</f>
        <v>0</v>
      </c>
      <c r="AF100">
        <f>VLOOKUP(Table56[[#This Row],[Shortname]], Comp[], 31, FALSE)</f>
        <v>0</v>
      </c>
    </row>
    <row r="101" spans="1:32" x14ac:dyDescent="0.3">
      <c r="A101" t="s">
        <v>1180</v>
      </c>
      <c r="B101" t="s">
        <v>1182</v>
      </c>
      <c r="C101" t="s">
        <v>6601</v>
      </c>
      <c r="D101">
        <v>1011</v>
      </c>
      <c r="E101">
        <v>1302</v>
      </c>
      <c r="F101">
        <v>1392</v>
      </c>
      <c r="G101">
        <f>VLOOKUP(Table56[[#This Row],[Shortname]], Comp[], 6, FALSE)</f>
        <v>150</v>
      </c>
      <c r="H101" s="14">
        <f>VLOOKUP(Table56[[#This Row],[Shortname]], Comp[], 7, FALSE)</f>
        <v>33.5</v>
      </c>
      <c r="I101">
        <f>VLOOKUP(Table56[[#This Row],[Shortname]], Comp[], 8, FALSE)</f>
        <v>34</v>
      </c>
      <c r="J101">
        <f>VLOOKUP(Table56[[#This Row],[Shortname]], Comp[], 9, FALSE)</f>
        <v>8.1999999999999993</v>
      </c>
      <c r="K101">
        <f>VLOOKUP(Table56[[#This Row],[Shortname]], Comp[], 10, FALSE)</f>
        <v>21.6</v>
      </c>
      <c r="L101">
        <f>VLOOKUP(Table56[[#This Row],[Shortname]], Comp[], 11, FALSE)</f>
        <v>0</v>
      </c>
      <c r="M101">
        <f>VLOOKUP(Table56[[#This Row],[Shortname]], Comp[],12, FALSE)</f>
        <v>2.7</v>
      </c>
      <c r="N101">
        <f>VLOOKUP(Table56[[#This Row],[Shortname]], Comp[], 13, FALSE)</f>
        <v>0</v>
      </c>
      <c r="O101">
        <f>VLOOKUP(Table56[[#This Row],[Shortname]], Comp[], 14, FALSE)</f>
        <v>0</v>
      </c>
      <c r="P101">
        <f>VLOOKUP(Table56[[#This Row],[Shortname]], Comp[], 15, FALSE)</f>
        <v>0</v>
      </c>
      <c r="Q101">
        <f>VLOOKUP(Table56[[#This Row],[Shortname]], Comp[], 16, FALSE)</f>
        <v>0</v>
      </c>
      <c r="R101">
        <f>VLOOKUP(Table56[[#This Row],[Shortname]], Comp[], 17, FALSE)</f>
        <v>0</v>
      </c>
      <c r="S101">
        <f>VLOOKUP(Table56[[#This Row],[Shortname]], Comp[], 18, FALSE)</f>
        <v>0</v>
      </c>
      <c r="T101">
        <f>VLOOKUP(Table56[[#This Row],[Shortname]], Comp[], 19, FALSE)</f>
        <v>0</v>
      </c>
      <c r="U101">
        <f>VLOOKUP(Table56[[#This Row],[Shortname]], Comp[], 20, FALSE)</f>
        <v>0</v>
      </c>
      <c r="V101">
        <f>VLOOKUP(Table56[[#This Row],[Shortname]], Comp[], 21, FALSE)</f>
        <v>0</v>
      </c>
      <c r="W101">
        <f>VLOOKUP(Table56[[#This Row],[Shortname]], Comp[], 22, FALSE)</f>
        <v>0</v>
      </c>
      <c r="X101">
        <f>VLOOKUP(Table56[[#This Row],[Shortname]], Comp[], 23, FALSE)</f>
        <v>0</v>
      </c>
      <c r="Y101">
        <f>VLOOKUP(Table56[[#This Row],[Shortname]], Comp[], 24, FALSE)</f>
        <v>0</v>
      </c>
      <c r="Z101">
        <f>VLOOKUP(Table56[[#This Row],[Shortname]], Comp[], 25, FALSE)</f>
        <v>0</v>
      </c>
      <c r="AA101">
        <f>VLOOKUP(Table56[[#This Row],[Shortname]], Comp[], 26, FALSE)</f>
        <v>0</v>
      </c>
      <c r="AB101">
        <f>VLOOKUP(Table56[[#This Row],[Shortname]], Comp[], 27, FALSE)</f>
        <v>0</v>
      </c>
      <c r="AC101">
        <f>VLOOKUP(Table56[[#This Row],[Shortname]], Comp[], 28, FALSE)</f>
        <v>0</v>
      </c>
      <c r="AD101">
        <f>VLOOKUP(Table56[[#This Row],[Shortname]], Comp[], 29, FALSE)</f>
        <v>0</v>
      </c>
      <c r="AE101">
        <f>VLOOKUP(Table56[[#This Row],[Shortname]], Comp[], 30, FALSE)</f>
        <v>0</v>
      </c>
      <c r="AF101">
        <f>VLOOKUP(Table56[[#This Row],[Shortname]], Comp[], 31, FALSE)</f>
        <v>0</v>
      </c>
    </row>
    <row r="102" spans="1:32" x14ac:dyDescent="0.3">
      <c r="A102" t="s">
        <v>1116</v>
      </c>
      <c r="B102" t="s">
        <v>1118</v>
      </c>
      <c r="C102" t="s">
        <v>6601</v>
      </c>
      <c r="D102">
        <v>985</v>
      </c>
      <c r="E102">
        <v>1295</v>
      </c>
      <c r="F102">
        <v>1392</v>
      </c>
      <c r="G102">
        <f>VLOOKUP(Table56[[#This Row],[Shortname]], Comp[], 6, FALSE)</f>
        <v>142</v>
      </c>
      <c r="H102" s="14">
        <f>VLOOKUP(Table56[[#This Row],[Shortname]], Comp[], 7, FALSE)</f>
        <v>55.399999999999991</v>
      </c>
      <c r="I102">
        <f>VLOOKUP(Table56[[#This Row],[Shortname]], Comp[], 8, FALSE)</f>
        <v>18.3</v>
      </c>
      <c r="J102">
        <f>VLOOKUP(Table56[[#This Row],[Shortname]], Comp[], 9, FALSE)</f>
        <v>5</v>
      </c>
      <c r="K102">
        <f>VLOOKUP(Table56[[#This Row],[Shortname]], Comp[], 10, FALSE)</f>
        <v>16.100000000000001</v>
      </c>
      <c r="L102">
        <f>VLOOKUP(Table56[[#This Row],[Shortname]], Comp[], 11, FALSE)</f>
        <v>0</v>
      </c>
      <c r="M102">
        <f>VLOOKUP(Table56[[#This Row],[Shortname]], Comp[],12, FALSE)</f>
        <v>5.2</v>
      </c>
      <c r="N102">
        <f>VLOOKUP(Table56[[#This Row],[Shortname]], Comp[], 13, FALSE)</f>
        <v>0</v>
      </c>
      <c r="O102">
        <f>VLOOKUP(Table56[[#This Row],[Shortname]], Comp[], 14, FALSE)</f>
        <v>0</v>
      </c>
      <c r="P102">
        <f>VLOOKUP(Table56[[#This Row],[Shortname]], Comp[], 15, FALSE)</f>
        <v>0</v>
      </c>
      <c r="Q102">
        <f>VLOOKUP(Table56[[#This Row],[Shortname]], Comp[], 16, FALSE)</f>
        <v>0</v>
      </c>
      <c r="R102">
        <f>VLOOKUP(Table56[[#This Row],[Shortname]], Comp[], 17, FALSE)</f>
        <v>0</v>
      </c>
      <c r="S102">
        <f>VLOOKUP(Table56[[#This Row],[Shortname]], Comp[], 18, FALSE)</f>
        <v>0</v>
      </c>
      <c r="T102">
        <f>VLOOKUP(Table56[[#This Row],[Shortname]], Comp[], 19, FALSE)</f>
        <v>0</v>
      </c>
      <c r="U102">
        <f>VLOOKUP(Table56[[#This Row],[Shortname]], Comp[], 20, FALSE)</f>
        <v>0</v>
      </c>
      <c r="V102">
        <f>VLOOKUP(Table56[[#This Row],[Shortname]], Comp[], 21, FALSE)</f>
        <v>0</v>
      </c>
      <c r="W102">
        <f>VLOOKUP(Table56[[#This Row],[Shortname]], Comp[], 22, FALSE)</f>
        <v>0</v>
      </c>
      <c r="X102">
        <f>VLOOKUP(Table56[[#This Row],[Shortname]], Comp[], 23, FALSE)</f>
        <v>0</v>
      </c>
      <c r="Y102">
        <f>VLOOKUP(Table56[[#This Row],[Shortname]], Comp[], 24, FALSE)</f>
        <v>0</v>
      </c>
      <c r="Z102">
        <f>VLOOKUP(Table56[[#This Row],[Shortname]], Comp[], 25, FALSE)</f>
        <v>0</v>
      </c>
      <c r="AA102">
        <f>VLOOKUP(Table56[[#This Row],[Shortname]], Comp[], 26, FALSE)</f>
        <v>0</v>
      </c>
      <c r="AB102">
        <f>VLOOKUP(Table56[[#This Row],[Shortname]], Comp[], 27, FALSE)</f>
        <v>0</v>
      </c>
      <c r="AC102">
        <f>VLOOKUP(Table56[[#This Row],[Shortname]], Comp[], 28, FALSE)</f>
        <v>0</v>
      </c>
      <c r="AD102">
        <f>VLOOKUP(Table56[[#This Row],[Shortname]], Comp[], 29, FALSE)</f>
        <v>0</v>
      </c>
      <c r="AE102">
        <f>VLOOKUP(Table56[[#This Row],[Shortname]], Comp[], 30, FALSE)</f>
        <v>0</v>
      </c>
      <c r="AF102">
        <f>VLOOKUP(Table56[[#This Row],[Shortname]], Comp[], 31, FALSE)</f>
        <v>0</v>
      </c>
    </row>
    <row r="103" spans="1:32" x14ac:dyDescent="0.3">
      <c r="A103" t="s">
        <v>1090</v>
      </c>
      <c r="B103" t="s">
        <v>1092</v>
      </c>
      <c r="C103" t="s">
        <v>6601</v>
      </c>
      <c r="D103">
        <v>963</v>
      </c>
      <c r="E103">
        <v>1288</v>
      </c>
      <c r="F103">
        <v>1402</v>
      </c>
      <c r="G103">
        <f>VLOOKUP(Table56[[#This Row],[Shortname]], Comp[], 6, FALSE)</f>
        <v>139</v>
      </c>
      <c r="H103" s="14">
        <f>VLOOKUP(Table56[[#This Row],[Shortname]], Comp[], 7, FALSE)</f>
        <v>58.6</v>
      </c>
      <c r="I103">
        <f>VLOOKUP(Table56[[#This Row],[Shortname]], Comp[], 8, FALSE)</f>
        <v>19.7</v>
      </c>
      <c r="J103">
        <f>VLOOKUP(Table56[[#This Row],[Shortname]], Comp[], 9, FALSE)</f>
        <v>5.4</v>
      </c>
      <c r="K103">
        <f>VLOOKUP(Table56[[#This Row],[Shortname]], Comp[], 10, FALSE)</f>
        <v>11</v>
      </c>
      <c r="L103">
        <f>VLOOKUP(Table56[[#This Row],[Shortname]], Comp[], 11, FALSE)</f>
        <v>0</v>
      </c>
      <c r="M103">
        <f>VLOOKUP(Table56[[#This Row],[Shortname]], Comp[],12, FALSE)</f>
        <v>5.3</v>
      </c>
      <c r="N103">
        <f>VLOOKUP(Table56[[#This Row],[Shortname]], Comp[], 13, FALSE)</f>
        <v>0</v>
      </c>
      <c r="O103">
        <f>VLOOKUP(Table56[[#This Row],[Shortname]], Comp[], 14, FALSE)</f>
        <v>0</v>
      </c>
      <c r="P103">
        <f>VLOOKUP(Table56[[#This Row],[Shortname]], Comp[], 15, FALSE)</f>
        <v>0</v>
      </c>
      <c r="Q103">
        <f>VLOOKUP(Table56[[#This Row],[Shortname]], Comp[], 16, FALSE)</f>
        <v>0</v>
      </c>
      <c r="R103">
        <f>VLOOKUP(Table56[[#This Row],[Shortname]], Comp[], 17, FALSE)</f>
        <v>0</v>
      </c>
      <c r="S103">
        <f>VLOOKUP(Table56[[#This Row],[Shortname]], Comp[], 18, FALSE)</f>
        <v>0</v>
      </c>
      <c r="T103">
        <f>VLOOKUP(Table56[[#This Row],[Shortname]], Comp[], 19, FALSE)</f>
        <v>0</v>
      </c>
      <c r="U103">
        <f>VLOOKUP(Table56[[#This Row],[Shortname]], Comp[], 20, FALSE)</f>
        <v>0</v>
      </c>
      <c r="V103">
        <f>VLOOKUP(Table56[[#This Row],[Shortname]], Comp[], 21, FALSE)</f>
        <v>0</v>
      </c>
      <c r="W103">
        <f>VLOOKUP(Table56[[#This Row],[Shortname]], Comp[], 22, FALSE)</f>
        <v>0</v>
      </c>
      <c r="X103">
        <f>VLOOKUP(Table56[[#This Row],[Shortname]], Comp[], 23, FALSE)</f>
        <v>0</v>
      </c>
      <c r="Y103">
        <f>VLOOKUP(Table56[[#This Row],[Shortname]], Comp[], 24, FALSE)</f>
        <v>0</v>
      </c>
      <c r="Z103">
        <f>VLOOKUP(Table56[[#This Row],[Shortname]], Comp[], 25, FALSE)</f>
        <v>0</v>
      </c>
      <c r="AA103">
        <f>VLOOKUP(Table56[[#This Row],[Shortname]], Comp[], 26, FALSE)</f>
        <v>0</v>
      </c>
      <c r="AB103">
        <f>VLOOKUP(Table56[[#This Row],[Shortname]], Comp[], 27, FALSE)</f>
        <v>0</v>
      </c>
      <c r="AC103">
        <f>VLOOKUP(Table56[[#This Row],[Shortname]], Comp[], 28, FALSE)</f>
        <v>0</v>
      </c>
      <c r="AD103">
        <f>VLOOKUP(Table56[[#This Row],[Shortname]], Comp[], 29, FALSE)</f>
        <v>0</v>
      </c>
      <c r="AE103">
        <f>VLOOKUP(Table56[[#This Row],[Shortname]], Comp[], 30, FALSE)</f>
        <v>0</v>
      </c>
      <c r="AF103">
        <f>VLOOKUP(Table56[[#This Row],[Shortname]], Comp[], 31, FALSE)</f>
        <v>0</v>
      </c>
    </row>
    <row r="104" spans="1:32" x14ac:dyDescent="0.3">
      <c r="A104" t="s">
        <v>1157</v>
      </c>
      <c r="B104" t="s">
        <v>1159</v>
      </c>
      <c r="C104" t="s">
        <v>6601</v>
      </c>
      <c r="D104">
        <v>916</v>
      </c>
      <c r="E104">
        <v>1342</v>
      </c>
      <c r="F104">
        <v>1411</v>
      </c>
      <c r="G104">
        <f>VLOOKUP(Table56[[#This Row],[Shortname]], Comp[], 6, FALSE)</f>
        <v>147</v>
      </c>
      <c r="H104" s="14">
        <f>VLOOKUP(Table56[[#This Row],[Shortname]], Comp[], 7, FALSE)</f>
        <v>54.699999999999996</v>
      </c>
      <c r="I104">
        <f>VLOOKUP(Table56[[#This Row],[Shortname]], Comp[], 8, FALSE)</f>
        <v>19</v>
      </c>
      <c r="J104">
        <f>VLOOKUP(Table56[[#This Row],[Shortname]], Comp[], 9, FALSE)</f>
        <v>7.1</v>
      </c>
      <c r="K104">
        <f>VLOOKUP(Table56[[#This Row],[Shortname]], Comp[], 10, FALSE)</f>
        <v>16.5</v>
      </c>
      <c r="L104">
        <f>VLOOKUP(Table56[[#This Row],[Shortname]], Comp[], 11, FALSE)</f>
        <v>0</v>
      </c>
      <c r="M104">
        <f>VLOOKUP(Table56[[#This Row],[Shortname]], Comp[],12, FALSE)</f>
        <v>2.7</v>
      </c>
      <c r="N104">
        <f>VLOOKUP(Table56[[#This Row],[Shortname]], Comp[], 13, FALSE)</f>
        <v>0</v>
      </c>
      <c r="O104">
        <f>VLOOKUP(Table56[[#This Row],[Shortname]], Comp[], 14, FALSE)</f>
        <v>0</v>
      </c>
      <c r="P104">
        <f>VLOOKUP(Table56[[#This Row],[Shortname]], Comp[], 15, FALSE)</f>
        <v>0</v>
      </c>
      <c r="Q104">
        <f>VLOOKUP(Table56[[#This Row],[Shortname]], Comp[], 16, FALSE)</f>
        <v>0</v>
      </c>
      <c r="R104">
        <f>VLOOKUP(Table56[[#This Row],[Shortname]], Comp[], 17, FALSE)</f>
        <v>0</v>
      </c>
      <c r="S104">
        <f>VLOOKUP(Table56[[#This Row],[Shortname]], Comp[], 18, FALSE)</f>
        <v>0</v>
      </c>
      <c r="T104">
        <f>VLOOKUP(Table56[[#This Row],[Shortname]], Comp[], 19, FALSE)</f>
        <v>0</v>
      </c>
      <c r="U104">
        <f>VLOOKUP(Table56[[#This Row],[Shortname]], Comp[], 20, FALSE)</f>
        <v>0</v>
      </c>
      <c r="V104">
        <f>VLOOKUP(Table56[[#This Row],[Shortname]], Comp[], 21, FALSE)</f>
        <v>0</v>
      </c>
      <c r="W104">
        <f>VLOOKUP(Table56[[#This Row],[Shortname]], Comp[], 22, FALSE)</f>
        <v>0</v>
      </c>
      <c r="X104">
        <f>VLOOKUP(Table56[[#This Row],[Shortname]], Comp[], 23, FALSE)</f>
        <v>0</v>
      </c>
      <c r="Y104">
        <f>VLOOKUP(Table56[[#This Row],[Shortname]], Comp[], 24, FALSE)</f>
        <v>0</v>
      </c>
      <c r="Z104">
        <f>VLOOKUP(Table56[[#This Row],[Shortname]], Comp[], 25, FALSE)</f>
        <v>0</v>
      </c>
      <c r="AA104">
        <f>VLOOKUP(Table56[[#This Row],[Shortname]], Comp[], 26, FALSE)</f>
        <v>0</v>
      </c>
      <c r="AB104">
        <f>VLOOKUP(Table56[[#This Row],[Shortname]], Comp[], 27, FALSE)</f>
        <v>0</v>
      </c>
      <c r="AC104">
        <f>VLOOKUP(Table56[[#This Row],[Shortname]], Comp[], 28, FALSE)</f>
        <v>0</v>
      </c>
      <c r="AD104">
        <f>VLOOKUP(Table56[[#This Row],[Shortname]], Comp[], 29, FALSE)</f>
        <v>0</v>
      </c>
      <c r="AE104">
        <f>VLOOKUP(Table56[[#This Row],[Shortname]], Comp[], 30, FALSE)</f>
        <v>0</v>
      </c>
      <c r="AF104">
        <f>VLOOKUP(Table56[[#This Row],[Shortname]], Comp[], 31, FALSE)</f>
        <v>0</v>
      </c>
    </row>
    <row r="105" spans="1:32" x14ac:dyDescent="0.3">
      <c r="A105" t="s">
        <v>1203</v>
      </c>
      <c r="B105" t="s">
        <v>1205</v>
      </c>
      <c r="C105" t="s">
        <v>6601</v>
      </c>
      <c r="D105">
        <v>899</v>
      </c>
      <c r="E105">
        <v>1311</v>
      </c>
      <c r="F105">
        <v>1401</v>
      </c>
      <c r="G105">
        <f>VLOOKUP(Table56[[#This Row],[Shortname]], Comp[], 6, FALSE)</f>
        <v>153</v>
      </c>
      <c r="H105" s="14">
        <f>VLOOKUP(Table56[[#This Row],[Shortname]], Comp[], 7, FALSE)</f>
        <v>50.6</v>
      </c>
      <c r="I105">
        <f>VLOOKUP(Table56[[#This Row],[Shortname]], Comp[], 8, FALSE)</f>
        <v>17.2</v>
      </c>
      <c r="J105">
        <f>VLOOKUP(Table56[[#This Row],[Shortname]], Comp[], 9, FALSE)</f>
        <v>7.8</v>
      </c>
      <c r="K105">
        <f>VLOOKUP(Table56[[#This Row],[Shortname]], Comp[], 10, FALSE)</f>
        <v>21.8</v>
      </c>
      <c r="L105">
        <f>VLOOKUP(Table56[[#This Row],[Shortname]], Comp[], 11, FALSE)</f>
        <v>0</v>
      </c>
      <c r="M105">
        <f>VLOOKUP(Table56[[#This Row],[Shortname]], Comp[],12, FALSE)</f>
        <v>2.6</v>
      </c>
      <c r="N105">
        <f>VLOOKUP(Table56[[#This Row],[Shortname]], Comp[], 13, FALSE)</f>
        <v>0</v>
      </c>
      <c r="O105">
        <f>VLOOKUP(Table56[[#This Row],[Shortname]], Comp[], 14, FALSE)</f>
        <v>0</v>
      </c>
      <c r="P105">
        <f>VLOOKUP(Table56[[#This Row],[Shortname]], Comp[], 15, FALSE)</f>
        <v>0</v>
      </c>
      <c r="Q105">
        <f>VLOOKUP(Table56[[#This Row],[Shortname]], Comp[], 16, FALSE)</f>
        <v>0</v>
      </c>
      <c r="R105">
        <f>VLOOKUP(Table56[[#This Row],[Shortname]], Comp[], 17, FALSE)</f>
        <v>0</v>
      </c>
      <c r="S105">
        <f>VLOOKUP(Table56[[#This Row],[Shortname]], Comp[], 18, FALSE)</f>
        <v>0</v>
      </c>
      <c r="T105">
        <f>VLOOKUP(Table56[[#This Row],[Shortname]], Comp[], 19, FALSE)</f>
        <v>0</v>
      </c>
      <c r="U105">
        <f>VLOOKUP(Table56[[#This Row],[Shortname]], Comp[], 20, FALSE)</f>
        <v>0</v>
      </c>
      <c r="V105">
        <f>VLOOKUP(Table56[[#This Row],[Shortname]], Comp[], 21, FALSE)</f>
        <v>0</v>
      </c>
      <c r="W105">
        <f>VLOOKUP(Table56[[#This Row],[Shortname]], Comp[], 22, FALSE)</f>
        <v>0</v>
      </c>
      <c r="X105">
        <f>VLOOKUP(Table56[[#This Row],[Shortname]], Comp[], 23, FALSE)</f>
        <v>0</v>
      </c>
      <c r="Y105">
        <f>VLOOKUP(Table56[[#This Row],[Shortname]], Comp[], 24, FALSE)</f>
        <v>0</v>
      </c>
      <c r="Z105">
        <f>VLOOKUP(Table56[[#This Row],[Shortname]], Comp[], 25, FALSE)</f>
        <v>0</v>
      </c>
      <c r="AA105">
        <f>VLOOKUP(Table56[[#This Row],[Shortname]], Comp[], 26, FALSE)</f>
        <v>0</v>
      </c>
      <c r="AB105">
        <f>VLOOKUP(Table56[[#This Row],[Shortname]], Comp[], 27, FALSE)</f>
        <v>0</v>
      </c>
      <c r="AC105">
        <f>VLOOKUP(Table56[[#This Row],[Shortname]], Comp[], 28, FALSE)</f>
        <v>0</v>
      </c>
      <c r="AD105">
        <f>VLOOKUP(Table56[[#This Row],[Shortname]], Comp[], 29, FALSE)</f>
        <v>0</v>
      </c>
      <c r="AE105">
        <f>VLOOKUP(Table56[[#This Row],[Shortname]], Comp[], 30, FALSE)</f>
        <v>0</v>
      </c>
      <c r="AF105">
        <f>VLOOKUP(Table56[[#This Row],[Shortname]], Comp[], 31, FALSE)</f>
        <v>0</v>
      </c>
    </row>
    <row r="106" spans="1:32" x14ac:dyDescent="0.3">
      <c r="A106" t="s">
        <v>1221</v>
      </c>
      <c r="B106" t="s">
        <v>1223</v>
      </c>
      <c r="C106" s="4" t="s">
        <v>1224</v>
      </c>
      <c r="D106">
        <v>1225</v>
      </c>
      <c r="E106">
        <v>1337</v>
      </c>
      <c r="F106">
        <v>1399</v>
      </c>
      <c r="G106">
        <f>VLOOKUP(Table56[[#This Row],[Shortname]], Comp[], 6, FALSE)</f>
        <v>155</v>
      </c>
      <c r="H106" s="14">
        <f>VLOOKUP(Table56[[#This Row],[Shortname]], Comp[], 7, FALSE)</f>
        <v>48.1</v>
      </c>
      <c r="I106">
        <f>VLOOKUP(Table56[[#This Row],[Shortname]], Comp[], 8, FALSE)</f>
        <v>29</v>
      </c>
      <c r="J106">
        <f>VLOOKUP(Table56[[#This Row],[Shortname]], Comp[], 9, FALSE)</f>
        <v>12.1</v>
      </c>
      <c r="K106">
        <f>VLOOKUP(Table56[[#This Row],[Shortname]], Comp[], 10, FALSE)</f>
        <v>0</v>
      </c>
      <c r="L106">
        <f>VLOOKUP(Table56[[#This Row],[Shortname]], Comp[], 11, FALSE)</f>
        <v>5.8</v>
      </c>
      <c r="M106">
        <f>VLOOKUP(Table56[[#This Row],[Shortname]], Comp[],12, FALSE)</f>
        <v>2.2400000000000002</v>
      </c>
      <c r="N106">
        <f>VLOOKUP(Table56[[#This Row],[Shortname]], Comp[], 13, FALSE)</f>
        <v>2.66</v>
      </c>
      <c r="O106">
        <f>VLOOKUP(Table56[[#This Row],[Shortname]], Comp[], 14, FALSE)</f>
        <v>0</v>
      </c>
      <c r="P106">
        <f>VLOOKUP(Table56[[#This Row],[Shortname]], Comp[], 15, FALSE)</f>
        <v>0</v>
      </c>
      <c r="Q106">
        <f>VLOOKUP(Table56[[#This Row],[Shortname]], Comp[], 16, FALSE)</f>
        <v>0</v>
      </c>
      <c r="R106">
        <f>VLOOKUP(Table56[[#This Row],[Shortname]], Comp[], 17, FALSE)</f>
        <v>0</v>
      </c>
      <c r="S106">
        <f>VLOOKUP(Table56[[#This Row],[Shortname]], Comp[], 18, FALSE)</f>
        <v>0</v>
      </c>
      <c r="T106">
        <f>VLOOKUP(Table56[[#This Row],[Shortname]], Comp[], 19, FALSE)</f>
        <v>0.1</v>
      </c>
      <c r="U106">
        <f>VLOOKUP(Table56[[#This Row],[Shortname]], Comp[], 20, FALSE)</f>
        <v>0</v>
      </c>
      <c r="V106">
        <f>VLOOKUP(Table56[[#This Row],[Shortname]], Comp[], 21, FALSE)</f>
        <v>0</v>
      </c>
      <c r="W106">
        <f>VLOOKUP(Table56[[#This Row],[Shortname]], Comp[], 22, FALSE)</f>
        <v>0</v>
      </c>
      <c r="X106">
        <f>VLOOKUP(Table56[[#This Row],[Shortname]], Comp[], 23, FALSE)</f>
        <v>0</v>
      </c>
      <c r="Y106">
        <f>VLOOKUP(Table56[[#This Row],[Shortname]], Comp[], 24, FALSE)</f>
        <v>0</v>
      </c>
      <c r="Z106">
        <f>VLOOKUP(Table56[[#This Row],[Shortname]], Comp[], 25, FALSE)</f>
        <v>0</v>
      </c>
      <c r="AA106">
        <f>VLOOKUP(Table56[[#This Row],[Shortname]], Comp[], 26, FALSE)</f>
        <v>0</v>
      </c>
      <c r="AB106">
        <f>VLOOKUP(Table56[[#This Row],[Shortname]], Comp[], 27, FALSE)</f>
        <v>0</v>
      </c>
      <c r="AC106">
        <f>VLOOKUP(Table56[[#This Row],[Shortname]], Comp[], 28, FALSE)</f>
        <v>0</v>
      </c>
      <c r="AD106">
        <f>VLOOKUP(Table56[[#This Row],[Shortname]], Comp[], 29, FALSE)</f>
        <v>0</v>
      </c>
      <c r="AE106">
        <f>VLOOKUP(Table56[[#This Row],[Shortname]], Comp[], 30, FALSE)</f>
        <v>0</v>
      </c>
      <c r="AF106">
        <f>VLOOKUP(Table56[[#This Row],[Shortname]], Comp[], 31, FALSE)</f>
        <v>0</v>
      </c>
    </row>
    <row r="107" spans="1:32" x14ac:dyDescent="0.3">
      <c r="A107" t="s">
        <v>1234</v>
      </c>
      <c r="B107" t="s">
        <v>1236</v>
      </c>
      <c r="C107" s="4" t="s">
        <v>1224</v>
      </c>
      <c r="D107">
        <v>1188</v>
      </c>
      <c r="E107">
        <v>1318</v>
      </c>
      <c r="F107">
        <v>1390</v>
      </c>
      <c r="G107">
        <f>VLOOKUP(Table56[[#This Row],[Shortname]], Comp[], 6, FALSE)</f>
        <v>156</v>
      </c>
      <c r="H107" s="14">
        <f>VLOOKUP(Table56[[#This Row],[Shortname]], Comp[], 7, FALSE)</f>
        <v>45.5</v>
      </c>
      <c r="I107">
        <f>VLOOKUP(Table56[[#This Row],[Shortname]], Comp[], 8, FALSE)</f>
        <v>29.2</v>
      </c>
      <c r="J107">
        <f>VLOOKUP(Table56[[#This Row],[Shortname]], Comp[], 9, FALSE)</f>
        <v>11.1</v>
      </c>
      <c r="K107">
        <f>VLOOKUP(Table56[[#This Row],[Shortname]], Comp[], 10, FALSE)</f>
        <v>4.0999999999999996</v>
      </c>
      <c r="L107">
        <f>VLOOKUP(Table56[[#This Row],[Shortname]], Comp[], 11, FALSE)</f>
        <v>5.68</v>
      </c>
      <c r="M107">
        <f>VLOOKUP(Table56[[#This Row],[Shortname]], Comp[],12, FALSE)</f>
        <v>2.04</v>
      </c>
      <c r="N107">
        <f>VLOOKUP(Table56[[#This Row],[Shortname]], Comp[], 13, FALSE)</f>
        <v>2.2799999999999998</v>
      </c>
      <c r="O107">
        <f>VLOOKUP(Table56[[#This Row],[Shortname]], Comp[], 14, FALSE)</f>
        <v>0</v>
      </c>
      <c r="P107">
        <f>VLOOKUP(Table56[[#This Row],[Shortname]], Comp[], 15, FALSE)</f>
        <v>0</v>
      </c>
      <c r="Q107">
        <f>VLOOKUP(Table56[[#This Row],[Shortname]], Comp[], 16, FALSE)</f>
        <v>0</v>
      </c>
      <c r="R107">
        <f>VLOOKUP(Table56[[#This Row],[Shortname]], Comp[], 17, FALSE)</f>
        <v>0</v>
      </c>
      <c r="S107">
        <f>VLOOKUP(Table56[[#This Row],[Shortname]], Comp[], 18, FALSE)</f>
        <v>0</v>
      </c>
      <c r="T107">
        <f>VLOOKUP(Table56[[#This Row],[Shortname]], Comp[], 19, FALSE)</f>
        <v>0.1</v>
      </c>
      <c r="U107">
        <f>VLOOKUP(Table56[[#This Row],[Shortname]], Comp[], 20, FALSE)</f>
        <v>0</v>
      </c>
      <c r="V107">
        <f>VLOOKUP(Table56[[#This Row],[Shortname]], Comp[], 21, FALSE)</f>
        <v>0</v>
      </c>
      <c r="W107">
        <f>VLOOKUP(Table56[[#This Row],[Shortname]], Comp[], 22, FALSE)</f>
        <v>0</v>
      </c>
      <c r="X107">
        <f>VLOOKUP(Table56[[#This Row],[Shortname]], Comp[], 23, FALSE)</f>
        <v>0</v>
      </c>
      <c r="Y107">
        <f>VLOOKUP(Table56[[#This Row],[Shortname]], Comp[], 24, FALSE)</f>
        <v>0</v>
      </c>
      <c r="Z107">
        <f>VLOOKUP(Table56[[#This Row],[Shortname]], Comp[], 25, FALSE)</f>
        <v>0</v>
      </c>
      <c r="AA107">
        <f>VLOOKUP(Table56[[#This Row],[Shortname]], Comp[], 26, FALSE)</f>
        <v>0</v>
      </c>
      <c r="AB107">
        <f>VLOOKUP(Table56[[#This Row],[Shortname]], Comp[], 27, FALSE)</f>
        <v>0</v>
      </c>
      <c r="AC107">
        <f>VLOOKUP(Table56[[#This Row],[Shortname]], Comp[], 28, FALSE)</f>
        <v>0</v>
      </c>
      <c r="AD107">
        <f>VLOOKUP(Table56[[#This Row],[Shortname]], Comp[], 29, FALSE)</f>
        <v>0</v>
      </c>
      <c r="AE107">
        <f>VLOOKUP(Table56[[#This Row],[Shortname]], Comp[], 30, FALSE)</f>
        <v>0</v>
      </c>
      <c r="AF107">
        <f>VLOOKUP(Table56[[#This Row],[Shortname]], Comp[], 31, FALSE)</f>
        <v>0</v>
      </c>
    </row>
    <row r="108" spans="1:32" x14ac:dyDescent="0.3">
      <c r="A108" t="s">
        <v>1253</v>
      </c>
      <c r="B108" t="s">
        <v>1255</v>
      </c>
      <c r="C108" s="4" t="s">
        <v>1224</v>
      </c>
      <c r="D108">
        <v>1152</v>
      </c>
      <c r="E108">
        <v>1308</v>
      </c>
      <c r="F108">
        <v>1380</v>
      </c>
      <c r="G108">
        <f>VLOOKUP(Table56[[#This Row],[Shortname]], Comp[], 6, FALSE)</f>
        <v>158</v>
      </c>
      <c r="H108" s="14">
        <f>VLOOKUP(Table56[[#This Row],[Shortname]], Comp[], 7, FALSE)</f>
        <v>42.2</v>
      </c>
      <c r="I108">
        <f>VLOOKUP(Table56[[#This Row],[Shortname]], Comp[], 8, FALSE)</f>
        <v>29.5</v>
      </c>
      <c r="J108">
        <f>VLOOKUP(Table56[[#This Row],[Shortname]], Comp[], 9, FALSE)</f>
        <v>10.5</v>
      </c>
      <c r="K108">
        <f>VLOOKUP(Table56[[#This Row],[Shortname]], Comp[], 10, FALSE)</f>
        <v>8.02</v>
      </c>
      <c r="L108">
        <f>VLOOKUP(Table56[[#This Row],[Shortname]], Comp[], 11, FALSE)</f>
        <v>5.14</v>
      </c>
      <c r="M108">
        <f>VLOOKUP(Table56[[#This Row],[Shortname]], Comp[],12, FALSE)</f>
        <v>1.85</v>
      </c>
      <c r="N108">
        <f>VLOOKUP(Table56[[#This Row],[Shortname]], Comp[], 13, FALSE)</f>
        <v>2.69</v>
      </c>
      <c r="O108">
        <f>VLOOKUP(Table56[[#This Row],[Shortname]], Comp[], 14, FALSE)</f>
        <v>0</v>
      </c>
      <c r="P108">
        <f>VLOOKUP(Table56[[#This Row],[Shortname]], Comp[], 15, FALSE)</f>
        <v>0</v>
      </c>
      <c r="Q108">
        <f>VLOOKUP(Table56[[#This Row],[Shortname]], Comp[], 16, FALSE)</f>
        <v>0</v>
      </c>
      <c r="R108">
        <f>VLOOKUP(Table56[[#This Row],[Shortname]], Comp[], 17, FALSE)</f>
        <v>0</v>
      </c>
      <c r="S108">
        <f>VLOOKUP(Table56[[#This Row],[Shortname]], Comp[], 18, FALSE)</f>
        <v>0</v>
      </c>
      <c r="T108">
        <f>VLOOKUP(Table56[[#This Row],[Shortname]], Comp[], 19, FALSE)</f>
        <v>0.1</v>
      </c>
      <c r="U108">
        <f>VLOOKUP(Table56[[#This Row],[Shortname]], Comp[], 20, FALSE)</f>
        <v>0</v>
      </c>
      <c r="V108">
        <f>VLOOKUP(Table56[[#This Row],[Shortname]], Comp[], 21, FALSE)</f>
        <v>0</v>
      </c>
      <c r="W108">
        <f>VLOOKUP(Table56[[#This Row],[Shortname]], Comp[], 22, FALSE)</f>
        <v>0</v>
      </c>
      <c r="X108">
        <f>VLOOKUP(Table56[[#This Row],[Shortname]], Comp[], 23, FALSE)</f>
        <v>0</v>
      </c>
      <c r="Y108">
        <f>VLOOKUP(Table56[[#This Row],[Shortname]], Comp[], 24, FALSE)</f>
        <v>0</v>
      </c>
      <c r="Z108">
        <f>VLOOKUP(Table56[[#This Row],[Shortname]], Comp[], 25, FALSE)</f>
        <v>0</v>
      </c>
      <c r="AA108">
        <f>VLOOKUP(Table56[[#This Row],[Shortname]], Comp[], 26, FALSE)</f>
        <v>0</v>
      </c>
      <c r="AB108">
        <f>VLOOKUP(Table56[[#This Row],[Shortname]], Comp[], 27, FALSE)</f>
        <v>0</v>
      </c>
      <c r="AC108">
        <f>VLOOKUP(Table56[[#This Row],[Shortname]], Comp[], 28, FALSE)</f>
        <v>0</v>
      </c>
      <c r="AD108">
        <f>VLOOKUP(Table56[[#This Row],[Shortname]], Comp[], 29, FALSE)</f>
        <v>0</v>
      </c>
      <c r="AE108">
        <f>VLOOKUP(Table56[[#This Row],[Shortname]], Comp[], 30, FALSE)</f>
        <v>0</v>
      </c>
      <c r="AF108">
        <f>VLOOKUP(Table56[[#This Row],[Shortname]], Comp[], 31, FALSE)</f>
        <v>0</v>
      </c>
    </row>
    <row r="109" spans="1:32" x14ac:dyDescent="0.3">
      <c r="A109" t="s">
        <v>1243</v>
      </c>
      <c r="B109" t="s">
        <v>1245</v>
      </c>
      <c r="C109" s="4" t="s">
        <v>1224</v>
      </c>
      <c r="D109">
        <v>1118</v>
      </c>
      <c r="E109">
        <v>1299</v>
      </c>
      <c r="F109">
        <v>1368</v>
      </c>
      <c r="G109">
        <f>VLOOKUP(Table56[[#This Row],[Shortname]], Comp[], 6, FALSE)</f>
        <v>157</v>
      </c>
      <c r="H109" s="14">
        <f>VLOOKUP(Table56[[#This Row],[Shortname]], Comp[], 7, FALSE)</f>
        <v>39.15</v>
      </c>
      <c r="I109">
        <f>VLOOKUP(Table56[[#This Row],[Shortname]], Comp[], 8, FALSE)</f>
        <v>28.9</v>
      </c>
      <c r="J109">
        <f>VLOOKUP(Table56[[#This Row],[Shortname]], Comp[], 9, FALSE)</f>
        <v>10.1</v>
      </c>
      <c r="K109">
        <f>VLOOKUP(Table56[[#This Row],[Shortname]], Comp[], 10, FALSE)</f>
        <v>12.5</v>
      </c>
      <c r="L109">
        <f>VLOOKUP(Table56[[#This Row],[Shortname]], Comp[], 11, FALSE)</f>
        <v>5.09</v>
      </c>
      <c r="M109">
        <f>VLOOKUP(Table56[[#This Row],[Shortname]], Comp[],12, FALSE)</f>
        <v>1.86</v>
      </c>
      <c r="N109">
        <f>VLOOKUP(Table56[[#This Row],[Shortname]], Comp[], 13, FALSE)</f>
        <v>2.2999999999999998</v>
      </c>
      <c r="O109">
        <f>VLOOKUP(Table56[[#This Row],[Shortname]], Comp[], 14, FALSE)</f>
        <v>0</v>
      </c>
      <c r="P109">
        <f>VLOOKUP(Table56[[#This Row],[Shortname]], Comp[], 15, FALSE)</f>
        <v>0</v>
      </c>
      <c r="Q109">
        <f>VLOOKUP(Table56[[#This Row],[Shortname]], Comp[], 16, FALSE)</f>
        <v>0</v>
      </c>
      <c r="R109">
        <f>VLOOKUP(Table56[[#This Row],[Shortname]], Comp[], 17, FALSE)</f>
        <v>0</v>
      </c>
      <c r="S109">
        <f>VLOOKUP(Table56[[#This Row],[Shortname]], Comp[], 18, FALSE)</f>
        <v>0</v>
      </c>
      <c r="T109">
        <f>VLOOKUP(Table56[[#This Row],[Shortname]], Comp[], 19, FALSE)</f>
        <v>0.1</v>
      </c>
      <c r="U109">
        <f>VLOOKUP(Table56[[#This Row],[Shortname]], Comp[], 20, FALSE)</f>
        <v>0</v>
      </c>
      <c r="V109">
        <f>VLOOKUP(Table56[[#This Row],[Shortname]], Comp[], 21, FALSE)</f>
        <v>0</v>
      </c>
      <c r="W109">
        <f>VLOOKUP(Table56[[#This Row],[Shortname]], Comp[], 22, FALSE)</f>
        <v>0</v>
      </c>
      <c r="X109">
        <f>VLOOKUP(Table56[[#This Row],[Shortname]], Comp[], 23, FALSE)</f>
        <v>0</v>
      </c>
      <c r="Y109">
        <f>VLOOKUP(Table56[[#This Row],[Shortname]], Comp[], 24, FALSE)</f>
        <v>0</v>
      </c>
      <c r="Z109">
        <f>VLOOKUP(Table56[[#This Row],[Shortname]], Comp[], 25, FALSE)</f>
        <v>0</v>
      </c>
      <c r="AA109">
        <f>VLOOKUP(Table56[[#This Row],[Shortname]], Comp[], 26, FALSE)</f>
        <v>0</v>
      </c>
      <c r="AB109">
        <f>VLOOKUP(Table56[[#This Row],[Shortname]], Comp[], 27, FALSE)</f>
        <v>0</v>
      </c>
      <c r="AC109">
        <f>VLOOKUP(Table56[[#This Row],[Shortname]], Comp[], 28, FALSE)</f>
        <v>0</v>
      </c>
      <c r="AD109">
        <f>VLOOKUP(Table56[[#This Row],[Shortname]], Comp[], 29, FALSE)</f>
        <v>0</v>
      </c>
      <c r="AE109">
        <f>VLOOKUP(Table56[[#This Row],[Shortname]], Comp[], 30, FALSE)</f>
        <v>0</v>
      </c>
      <c r="AF109">
        <f>VLOOKUP(Table56[[#This Row],[Shortname]], Comp[], 31, FALSE)</f>
        <v>0</v>
      </c>
    </row>
    <row r="110" spans="1:32" x14ac:dyDescent="0.3">
      <c r="A110" t="s">
        <v>1279</v>
      </c>
      <c r="B110" t="s">
        <v>1281</v>
      </c>
      <c r="C110" s="3" t="s">
        <v>1282</v>
      </c>
      <c r="D110">
        <v>1143</v>
      </c>
      <c r="F110">
        <v>1378</v>
      </c>
      <c r="G110">
        <f>VLOOKUP(Table56[[#This Row],[Shortname]], Comp[], 6, FALSE)</f>
        <v>163</v>
      </c>
      <c r="H110" s="14">
        <f>VLOOKUP(Table56[[#This Row],[Shortname]], Comp[], 7, FALSE)</f>
        <v>29.379999999999995</v>
      </c>
      <c r="I110">
        <f>VLOOKUP(Table56[[#This Row],[Shortname]], Comp[], 8, FALSE)</f>
        <v>40</v>
      </c>
      <c r="J110">
        <f>VLOOKUP(Table56[[#This Row],[Shortname]], Comp[], 9, FALSE)</f>
        <v>10</v>
      </c>
      <c r="K110">
        <f>VLOOKUP(Table56[[#This Row],[Shortname]], Comp[], 10, FALSE)</f>
        <v>10</v>
      </c>
      <c r="L110">
        <f>VLOOKUP(Table56[[#This Row],[Shortname]], Comp[], 11, FALSE)</f>
        <v>7.5</v>
      </c>
      <c r="M110">
        <f>VLOOKUP(Table56[[#This Row],[Shortname]], Comp[],12, FALSE)</f>
        <v>0</v>
      </c>
      <c r="N110">
        <f>VLOOKUP(Table56[[#This Row],[Shortname]], Comp[], 13, FALSE)</f>
        <v>3</v>
      </c>
      <c r="O110">
        <f>VLOOKUP(Table56[[#This Row],[Shortname]], Comp[], 14, FALSE)</f>
        <v>0</v>
      </c>
      <c r="P110">
        <f>VLOOKUP(Table56[[#This Row],[Shortname]], Comp[], 15, FALSE)</f>
        <v>0</v>
      </c>
      <c r="Q110">
        <f>VLOOKUP(Table56[[#This Row],[Shortname]], Comp[], 16, FALSE)</f>
        <v>0</v>
      </c>
      <c r="R110">
        <f>VLOOKUP(Table56[[#This Row],[Shortname]], Comp[], 17, FALSE)</f>
        <v>0.06</v>
      </c>
      <c r="S110">
        <f>VLOOKUP(Table56[[#This Row],[Shortname]], Comp[], 18, FALSE)</f>
        <v>0</v>
      </c>
      <c r="T110">
        <f>VLOOKUP(Table56[[#This Row],[Shortname]], Comp[], 19, FALSE)</f>
        <v>0.06</v>
      </c>
      <c r="U110">
        <f>VLOOKUP(Table56[[#This Row],[Shortname]], Comp[], 20, FALSE)</f>
        <v>0</v>
      </c>
      <c r="V110">
        <f>VLOOKUP(Table56[[#This Row],[Shortname]], Comp[], 21, FALSE)</f>
        <v>0</v>
      </c>
      <c r="W110">
        <f>VLOOKUP(Table56[[#This Row],[Shortname]], Comp[], 22, FALSE)</f>
        <v>0</v>
      </c>
      <c r="X110">
        <f>VLOOKUP(Table56[[#This Row],[Shortname]], Comp[], 23, FALSE)</f>
        <v>0</v>
      </c>
      <c r="Y110">
        <f>VLOOKUP(Table56[[#This Row],[Shortname]], Comp[], 24, FALSE)</f>
        <v>0</v>
      </c>
      <c r="Z110">
        <f>VLOOKUP(Table56[[#This Row],[Shortname]], Comp[], 25, FALSE)</f>
        <v>0</v>
      </c>
      <c r="AA110">
        <f>VLOOKUP(Table56[[#This Row],[Shortname]], Comp[], 26, FALSE)</f>
        <v>0</v>
      </c>
      <c r="AB110">
        <f>VLOOKUP(Table56[[#This Row],[Shortname]], Comp[], 27, FALSE)</f>
        <v>0</v>
      </c>
      <c r="AC110">
        <f>VLOOKUP(Table56[[#This Row],[Shortname]], Comp[], 28, FALSE)</f>
        <v>0</v>
      </c>
      <c r="AD110">
        <f>VLOOKUP(Table56[[#This Row],[Shortname]], Comp[], 29, FALSE)</f>
        <v>0</v>
      </c>
      <c r="AE110">
        <f>VLOOKUP(Table56[[#This Row],[Shortname]], Comp[], 30, FALSE)</f>
        <v>0</v>
      </c>
      <c r="AF110">
        <f>VLOOKUP(Table56[[#This Row],[Shortname]], Comp[], 31, FALSE)</f>
        <v>0</v>
      </c>
    </row>
    <row r="111" spans="1:32" x14ac:dyDescent="0.3">
      <c r="A111" t="s">
        <v>1291</v>
      </c>
      <c r="B111" t="s">
        <v>1293</v>
      </c>
      <c r="C111" s="3" t="s">
        <v>1282</v>
      </c>
      <c r="D111">
        <v>1100</v>
      </c>
      <c r="F111">
        <v>1378</v>
      </c>
      <c r="G111">
        <f>VLOOKUP(Table56[[#This Row],[Shortname]], Comp[], 6, FALSE)</f>
        <v>164</v>
      </c>
      <c r="H111" s="14">
        <f>VLOOKUP(Table56[[#This Row],[Shortname]], Comp[], 7, FALSE)</f>
        <v>29.379999999999995</v>
      </c>
      <c r="I111">
        <f>VLOOKUP(Table56[[#This Row],[Shortname]], Comp[], 8, FALSE)</f>
        <v>40</v>
      </c>
      <c r="J111">
        <f>VLOOKUP(Table56[[#This Row],[Shortname]], Comp[], 9, FALSE)</f>
        <v>10</v>
      </c>
      <c r="K111">
        <f>VLOOKUP(Table56[[#This Row],[Shortname]], Comp[], 10, FALSE)</f>
        <v>10</v>
      </c>
      <c r="L111">
        <f>VLOOKUP(Table56[[#This Row],[Shortname]], Comp[], 11, FALSE)</f>
        <v>7.5</v>
      </c>
      <c r="M111">
        <f>VLOOKUP(Table56[[#This Row],[Shortname]], Comp[],12, FALSE)</f>
        <v>0</v>
      </c>
      <c r="N111">
        <f>VLOOKUP(Table56[[#This Row],[Shortname]], Comp[], 13, FALSE)</f>
        <v>0</v>
      </c>
      <c r="O111">
        <f>VLOOKUP(Table56[[#This Row],[Shortname]], Comp[], 14, FALSE)</f>
        <v>3</v>
      </c>
      <c r="P111">
        <f>VLOOKUP(Table56[[#This Row],[Shortname]], Comp[], 15, FALSE)</f>
        <v>0</v>
      </c>
      <c r="Q111">
        <f>VLOOKUP(Table56[[#This Row],[Shortname]], Comp[], 16, FALSE)</f>
        <v>0</v>
      </c>
      <c r="R111">
        <f>VLOOKUP(Table56[[#This Row],[Shortname]], Comp[], 17, FALSE)</f>
        <v>0.06</v>
      </c>
      <c r="S111">
        <f>VLOOKUP(Table56[[#This Row],[Shortname]], Comp[], 18, FALSE)</f>
        <v>0</v>
      </c>
      <c r="T111">
        <f>VLOOKUP(Table56[[#This Row],[Shortname]], Comp[], 19, FALSE)</f>
        <v>0.06</v>
      </c>
      <c r="U111">
        <f>VLOOKUP(Table56[[#This Row],[Shortname]], Comp[], 20, FALSE)</f>
        <v>0</v>
      </c>
      <c r="V111">
        <f>VLOOKUP(Table56[[#This Row],[Shortname]], Comp[], 21, FALSE)</f>
        <v>0</v>
      </c>
      <c r="W111">
        <f>VLOOKUP(Table56[[#This Row],[Shortname]], Comp[], 22, FALSE)</f>
        <v>0</v>
      </c>
      <c r="X111">
        <f>VLOOKUP(Table56[[#This Row],[Shortname]], Comp[], 23, FALSE)</f>
        <v>0</v>
      </c>
      <c r="Y111">
        <f>VLOOKUP(Table56[[#This Row],[Shortname]], Comp[], 24, FALSE)</f>
        <v>0</v>
      </c>
      <c r="Z111">
        <f>VLOOKUP(Table56[[#This Row],[Shortname]], Comp[], 25, FALSE)</f>
        <v>0</v>
      </c>
      <c r="AA111">
        <f>VLOOKUP(Table56[[#This Row],[Shortname]], Comp[], 26, FALSE)</f>
        <v>0</v>
      </c>
      <c r="AB111">
        <f>VLOOKUP(Table56[[#This Row],[Shortname]], Comp[], 27, FALSE)</f>
        <v>0</v>
      </c>
      <c r="AC111">
        <f>VLOOKUP(Table56[[#This Row],[Shortname]], Comp[], 28, FALSE)</f>
        <v>0</v>
      </c>
      <c r="AD111">
        <f>VLOOKUP(Table56[[#This Row],[Shortname]], Comp[], 29, FALSE)</f>
        <v>0</v>
      </c>
      <c r="AE111">
        <f>VLOOKUP(Table56[[#This Row],[Shortname]], Comp[], 30, FALSE)</f>
        <v>0</v>
      </c>
      <c r="AF111">
        <f>VLOOKUP(Table56[[#This Row],[Shortname]], Comp[], 31, FALSE)</f>
        <v>0</v>
      </c>
    </row>
    <row r="112" spans="1:32" x14ac:dyDescent="0.3">
      <c r="A112" t="s">
        <v>1298</v>
      </c>
      <c r="B112" t="s">
        <v>1300</v>
      </c>
      <c r="C112" s="3" t="s">
        <v>1301</v>
      </c>
      <c r="D112">
        <v>1100</v>
      </c>
      <c r="E112">
        <v>1419</v>
      </c>
      <c r="F112">
        <v>1427</v>
      </c>
      <c r="G112">
        <f>VLOOKUP(Table56[[#This Row],[Shortname]], Comp[], 6, FALSE)</f>
        <v>165</v>
      </c>
      <c r="H112" s="14">
        <f>VLOOKUP(Table56[[#This Row],[Shortname]], Comp[], 7, FALSE)</f>
        <v>80.06</v>
      </c>
      <c r="I112">
        <f>VLOOKUP(Table56[[#This Row],[Shortname]], Comp[], 8, FALSE)</f>
        <v>0</v>
      </c>
      <c r="J112">
        <f>VLOOKUP(Table56[[#This Row],[Shortname]], Comp[], 9, FALSE)</f>
        <v>6.76</v>
      </c>
      <c r="K112">
        <f>VLOOKUP(Table56[[#This Row],[Shortname]], Comp[], 10, FALSE)</f>
        <v>0</v>
      </c>
      <c r="L112">
        <f>VLOOKUP(Table56[[#This Row],[Shortname]], Comp[], 11, FALSE)</f>
        <v>8.89</v>
      </c>
      <c r="M112">
        <f>VLOOKUP(Table56[[#This Row],[Shortname]], Comp[],12, FALSE)</f>
        <v>0</v>
      </c>
      <c r="N112">
        <f>VLOOKUP(Table56[[#This Row],[Shortname]], Comp[], 13, FALSE)</f>
        <v>0</v>
      </c>
      <c r="O112">
        <f>VLOOKUP(Table56[[#This Row],[Shortname]], Comp[], 14, FALSE)</f>
        <v>0</v>
      </c>
      <c r="P112">
        <f>VLOOKUP(Table56[[#This Row],[Shortname]], Comp[], 15, FALSE)</f>
        <v>4.29</v>
      </c>
      <c r="Q112">
        <f>VLOOKUP(Table56[[#This Row],[Shortname]], Comp[], 16, FALSE)</f>
        <v>0</v>
      </c>
      <c r="R112">
        <f>VLOOKUP(Table56[[#This Row],[Shortname]], Comp[], 17, FALSE)</f>
        <v>0</v>
      </c>
      <c r="S112">
        <f>VLOOKUP(Table56[[#This Row],[Shortname]], Comp[], 18, FALSE)</f>
        <v>0</v>
      </c>
      <c r="T112">
        <f>VLOOKUP(Table56[[#This Row],[Shortname]], Comp[], 19, FALSE)</f>
        <v>0</v>
      </c>
      <c r="U112">
        <f>VLOOKUP(Table56[[#This Row],[Shortname]], Comp[], 20, FALSE)</f>
        <v>0</v>
      </c>
      <c r="V112">
        <f>VLOOKUP(Table56[[#This Row],[Shortname]], Comp[], 21, FALSE)</f>
        <v>0</v>
      </c>
      <c r="W112">
        <f>VLOOKUP(Table56[[#This Row],[Shortname]], Comp[], 22, FALSE)</f>
        <v>0</v>
      </c>
      <c r="X112">
        <f>VLOOKUP(Table56[[#This Row],[Shortname]], Comp[], 23, FALSE)</f>
        <v>0</v>
      </c>
      <c r="Y112">
        <f>VLOOKUP(Table56[[#This Row],[Shortname]], Comp[], 24, FALSE)</f>
        <v>0</v>
      </c>
      <c r="Z112">
        <f>VLOOKUP(Table56[[#This Row],[Shortname]], Comp[], 25, FALSE)</f>
        <v>0</v>
      </c>
      <c r="AA112">
        <f>VLOOKUP(Table56[[#This Row],[Shortname]], Comp[], 26, FALSE)</f>
        <v>0</v>
      </c>
      <c r="AB112">
        <f>VLOOKUP(Table56[[#This Row],[Shortname]], Comp[], 27, FALSE)</f>
        <v>0</v>
      </c>
      <c r="AC112">
        <f>VLOOKUP(Table56[[#This Row],[Shortname]], Comp[], 28, FALSE)</f>
        <v>0</v>
      </c>
      <c r="AD112">
        <f>VLOOKUP(Table56[[#This Row],[Shortname]], Comp[], 29, FALSE)</f>
        <v>0</v>
      </c>
      <c r="AE112">
        <f>VLOOKUP(Table56[[#This Row],[Shortname]], Comp[], 30, FALSE)</f>
        <v>0</v>
      </c>
      <c r="AF112">
        <f>VLOOKUP(Table56[[#This Row],[Shortname]], Comp[], 31, FALSE)</f>
        <v>0</v>
      </c>
    </row>
    <row r="113" spans="1:32" x14ac:dyDescent="0.3">
      <c r="A113" t="s">
        <v>1326</v>
      </c>
      <c r="B113" t="s">
        <v>1328</v>
      </c>
      <c r="C113" s="10" t="s">
        <v>1329</v>
      </c>
      <c r="D113">
        <v>1085</v>
      </c>
      <c r="E113">
        <v>1379</v>
      </c>
      <c r="F113">
        <v>1448</v>
      </c>
      <c r="G113">
        <f>VLOOKUP(Table56[[#This Row],[Shortname]], Comp[], 6, FALSE)</f>
        <v>168</v>
      </c>
      <c r="H113" s="14">
        <f>VLOOKUP(Table56[[#This Row],[Shortname]], Comp[], 7, FALSE)</f>
        <v>81.8</v>
      </c>
      <c r="I113">
        <f>VLOOKUP(Table56[[#This Row],[Shortname]], Comp[], 8, FALSE)</f>
        <v>0</v>
      </c>
      <c r="J113">
        <f>VLOOKUP(Table56[[#This Row],[Shortname]], Comp[], 9, FALSE)</f>
        <v>8.75</v>
      </c>
      <c r="K113">
        <f>VLOOKUP(Table56[[#This Row],[Shortname]], Comp[], 10, FALSE)</f>
        <v>0</v>
      </c>
      <c r="L113">
        <f>VLOOKUP(Table56[[#This Row],[Shortname]], Comp[], 11, FALSE)</f>
        <v>7.56</v>
      </c>
      <c r="M113">
        <f>VLOOKUP(Table56[[#This Row],[Shortname]], Comp[],12, FALSE)</f>
        <v>0</v>
      </c>
      <c r="N113">
        <f>VLOOKUP(Table56[[#This Row],[Shortname]], Comp[], 13, FALSE)</f>
        <v>1.89</v>
      </c>
      <c r="O113">
        <f>VLOOKUP(Table56[[#This Row],[Shortname]], Comp[], 14, FALSE)</f>
        <v>0</v>
      </c>
      <c r="P113">
        <f>VLOOKUP(Table56[[#This Row],[Shortname]], Comp[], 15, FALSE)</f>
        <v>0</v>
      </c>
      <c r="Q113">
        <f>VLOOKUP(Table56[[#This Row],[Shortname]], Comp[], 16, FALSE)</f>
        <v>0</v>
      </c>
      <c r="R113">
        <f>VLOOKUP(Table56[[#This Row],[Shortname]], Comp[], 17, FALSE)</f>
        <v>0</v>
      </c>
      <c r="S113">
        <f>VLOOKUP(Table56[[#This Row],[Shortname]], Comp[], 18, FALSE)</f>
        <v>0</v>
      </c>
      <c r="T113">
        <f>VLOOKUP(Table56[[#This Row],[Shortname]], Comp[], 19, FALSE)</f>
        <v>0</v>
      </c>
      <c r="U113">
        <f>VLOOKUP(Table56[[#This Row],[Shortname]], Comp[], 20, FALSE)</f>
        <v>0</v>
      </c>
      <c r="V113">
        <f>VLOOKUP(Table56[[#This Row],[Shortname]], Comp[], 21, FALSE)</f>
        <v>0</v>
      </c>
      <c r="W113">
        <f>VLOOKUP(Table56[[#This Row],[Shortname]], Comp[], 22, FALSE)</f>
        <v>0</v>
      </c>
      <c r="X113">
        <f>VLOOKUP(Table56[[#This Row],[Shortname]], Comp[], 23, FALSE)</f>
        <v>0</v>
      </c>
      <c r="Y113">
        <f>VLOOKUP(Table56[[#This Row],[Shortname]], Comp[], 24, FALSE)</f>
        <v>0</v>
      </c>
      <c r="Z113">
        <f>VLOOKUP(Table56[[#This Row],[Shortname]], Comp[], 25, FALSE)</f>
        <v>0</v>
      </c>
      <c r="AA113">
        <f>VLOOKUP(Table56[[#This Row],[Shortname]], Comp[], 26, FALSE)</f>
        <v>0</v>
      </c>
      <c r="AB113">
        <f>VLOOKUP(Table56[[#This Row],[Shortname]], Comp[], 27, FALSE)</f>
        <v>0</v>
      </c>
      <c r="AC113">
        <f>VLOOKUP(Table56[[#This Row],[Shortname]], Comp[], 28, FALSE)</f>
        <v>0</v>
      </c>
      <c r="AD113">
        <f>VLOOKUP(Table56[[#This Row],[Shortname]], Comp[], 29, FALSE)</f>
        <v>0</v>
      </c>
      <c r="AE113">
        <f>VLOOKUP(Table56[[#This Row],[Shortname]], Comp[], 30, FALSE)</f>
        <v>0</v>
      </c>
      <c r="AF113">
        <f>VLOOKUP(Table56[[#This Row],[Shortname]], Comp[], 31, FALSE)</f>
        <v>0</v>
      </c>
    </row>
    <row r="114" spans="1:32" x14ac:dyDescent="0.3">
      <c r="A114" t="s">
        <v>1334</v>
      </c>
      <c r="B114" t="s">
        <v>1336</v>
      </c>
      <c r="C114" s="10" t="s">
        <v>1337</v>
      </c>
      <c r="D114">
        <v>1005</v>
      </c>
      <c r="E114">
        <v>1389</v>
      </c>
      <c r="F114">
        <v>1439</v>
      </c>
      <c r="G114">
        <f>VLOOKUP(Table56[[#This Row],[Shortname]], Comp[], 6, FALSE)</f>
        <v>169</v>
      </c>
      <c r="H114" s="14">
        <f>VLOOKUP(Table56[[#This Row],[Shortname]], Comp[], 7, FALSE)</f>
        <v>49.9</v>
      </c>
      <c r="I114">
        <f>VLOOKUP(Table56[[#This Row],[Shortname]], Comp[], 8, FALSE)</f>
        <v>15.9</v>
      </c>
      <c r="J114">
        <f>VLOOKUP(Table56[[#This Row],[Shortname]], Comp[], 9, FALSE)</f>
        <v>13.6</v>
      </c>
      <c r="K114">
        <f>VLOOKUP(Table56[[#This Row],[Shortname]], Comp[], 10, FALSE)</f>
        <v>0</v>
      </c>
      <c r="L114">
        <f>VLOOKUP(Table56[[#This Row],[Shortname]], Comp[], 11, FALSE)</f>
        <v>19</v>
      </c>
      <c r="M114">
        <f>VLOOKUP(Table56[[#This Row],[Shortname]], Comp[],12, FALSE)</f>
        <v>0</v>
      </c>
      <c r="N114">
        <f>VLOOKUP(Table56[[#This Row],[Shortname]], Comp[], 13, FALSE)</f>
        <v>0.7</v>
      </c>
      <c r="O114">
        <f>VLOOKUP(Table56[[#This Row],[Shortname]], Comp[], 14, FALSE)</f>
        <v>0</v>
      </c>
      <c r="P114">
        <f>VLOOKUP(Table56[[#This Row],[Shortname]], Comp[], 15, FALSE)</f>
        <v>0</v>
      </c>
      <c r="Q114">
        <f>VLOOKUP(Table56[[#This Row],[Shortname]], Comp[], 16, FALSE)</f>
        <v>0.6</v>
      </c>
      <c r="R114">
        <f>VLOOKUP(Table56[[#This Row],[Shortname]], Comp[], 17, FALSE)</f>
        <v>0</v>
      </c>
      <c r="S114">
        <f>VLOOKUP(Table56[[#This Row],[Shortname]], Comp[], 18, FALSE)</f>
        <v>0</v>
      </c>
      <c r="T114">
        <f>VLOOKUP(Table56[[#This Row],[Shortname]], Comp[], 19, FALSE)</f>
        <v>0</v>
      </c>
      <c r="U114">
        <f>VLOOKUP(Table56[[#This Row],[Shortname]], Comp[], 20, FALSE)</f>
        <v>0</v>
      </c>
      <c r="V114">
        <f>VLOOKUP(Table56[[#This Row],[Shortname]], Comp[], 21, FALSE)</f>
        <v>0.3</v>
      </c>
      <c r="W114">
        <f>VLOOKUP(Table56[[#This Row],[Shortname]], Comp[], 22, FALSE)</f>
        <v>0</v>
      </c>
      <c r="X114">
        <f>VLOOKUP(Table56[[#This Row],[Shortname]], Comp[], 23, FALSE)</f>
        <v>0</v>
      </c>
      <c r="Y114">
        <f>VLOOKUP(Table56[[#This Row],[Shortname]], Comp[], 24, FALSE)</f>
        <v>0</v>
      </c>
      <c r="Z114">
        <f>VLOOKUP(Table56[[#This Row],[Shortname]], Comp[], 25, FALSE)</f>
        <v>0</v>
      </c>
      <c r="AA114">
        <f>VLOOKUP(Table56[[#This Row],[Shortname]], Comp[], 26, FALSE)</f>
        <v>0</v>
      </c>
      <c r="AB114">
        <f>VLOOKUP(Table56[[#This Row],[Shortname]], Comp[], 27, FALSE)</f>
        <v>0</v>
      </c>
      <c r="AC114">
        <f>VLOOKUP(Table56[[#This Row],[Shortname]], Comp[], 28, FALSE)</f>
        <v>0</v>
      </c>
      <c r="AD114">
        <f>VLOOKUP(Table56[[#This Row],[Shortname]], Comp[], 29, FALSE)</f>
        <v>0</v>
      </c>
      <c r="AE114">
        <f>VLOOKUP(Table56[[#This Row],[Shortname]], Comp[], 30, FALSE)</f>
        <v>0</v>
      </c>
      <c r="AF114">
        <f>VLOOKUP(Table56[[#This Row],[Shortname]], Comp[], 31, FALSE)</f>
        <v>0</v>
      </c>
    </row>
    <row r="115" spans="1:32" x14ac:dyDescent="0.3">
      <c r="A115" t="s">
        <v>1424</v>
      </c>
      <c r="B115" t="s">
        <v>1426</v>
      </c>
      <c r="C115" s="5" t="s">
        <v>1351</v>
      </c>
      <c r="D115">
        <v>1128</v>
      </c>
      <c r="E115">
        <v>1340</v>
      </c>
      <c r="F115">
        <v>1413</v>
      </c>
      <c r="G115">
        <f>VLOOKUP(Table56[[#This Row],[Shortname]], Comp[], 6, FALSE)</f>
        <v>182</v>
      </c>
      <c r="H115" s="14">
        <f>VLOOKUP(Table56[[#This Row],[Shortname]], Comp[], 7, FALSE)</f>
        <v>79</v>
      </c>
      <c r="I115">
        <f>VLOOKUP(Table56[[#This Row],[Shortname]], Comp[], 8, FALSE)</f>
        <v>0</v>
      </c>
      <c r="J115">
        <f>VLOOKUP(Table56[[#This Row],[Shortname]], Comp[], 9, FALSE)</f>
        <v>9</v>
      </c>
      <c r="K115">
        <f>VLOOKUP(Table56[[#This Row],[Shortname]], Comp[], 10, FALSE)</f>
        <v>0</v>
      </c>
      <c r="L115">
        <f>VLOOKUP(Table56[[#This Row],[Shortname]], Comp[], 11, FALSE)</f>
        <v>8</v>
      </c>
      <c r="M115">
        <f>VLOOKUP(Table56[[#This Row],[Shortname]], Comp[],12, FALSE)</f>
        <v>0</v>
      </c>
      <c r="N115">
        <f>VLOOKUP(Table56[[#This Row],[Shortname]], Comp[], 13, FALSE)</f>
        <v>4</v>
      </c>
      <c r="O115">
        <f>VLOOKUP(Table56[[#This Row],[Shortname]], Comp[], 14, FALSE)</f>
        <v>0</v>
      </c>
      <c r="P115">
        <f>VLOOKUP(Table56[[#This Row],[Shortname]], Comp[], 15, FALSE)</f>
        <v>0</v>
      </c>
      <c r="Q115">
        <f>VLOOKUP(Table56[[#This Row],[Shortname]], Comp[], 16, FALSE)</f>
        <v>0</v>
      </c>
      <c r="R115">
        <f>VLOOKUP(Table56[[#This Row],[Shortname]], Comp[], 17, FALSE)</f>
        <v>0</v>
      </c>
      <c r="S115">
        <f>VLOOKUP(Table56[[#This Row],[Shortname]], Comp[], 18, FALSE)</f>
        <v>0</v>
      </c>
      <c r="T115">
        <f>VLOOKUP(Table56[[#This Row],[Shortname]], Comp[], 19, FALSE)</f>
        <v>0</v>
      </c>
      <c r="U115">
        <f>VLOOKUP(Table56[[#This Row],[Shortname]], Comp[], 20, FALSE)</f>
        <v>0</v>
      </c>
      <c r="V115">
        <f>VLOOKUP(Table56[[#This Row],[Shortname]], Comp[], 21, FALSE)</f>
        <v>0</v>
      </c>
      <c r="W115">
        <f>VLOOKUP(Table56[[#This Row],[Shortname]], Comp[], 22, FALSE)</f>
        <v>0</v>
      </c>
      <c r="X115">
        <f>VLOOKUP(Table56[[#This Row],[Shortname]], Comp[], 23, FALSE)</f>
        <v>0</v>
      </c>
      <c r="Y115">
        <f>VLOOKUP(Table56[[#This Row],[Shortname]], Comp[], 24, FALSE)</f>
        <v>0</v>
      </c>
      <c r="Z115">
        <f>VLOOKUP(Table56[[#This Row],[Shortname]], Comp[], 25, FALSE)</f>
        <v>0</v>
      </c>
      <c r="AA115">
        <f>VLOOKUP(Table56[[#This Row],[Shortname]], Comp[], 26, FALSE)</f>
        <v>0</v>
      </c>
      <c r="AB115">
        <f>VLOOKUP(Table56[[#This Row],[Shortname]], Comp[], 27, FALSE)</f>
        <v>0</v>
      </c>
      <c r="AC115">
        <f>VLOOKUP(Table56[[#This Row],[Shortname]], Comp[], 28, FALSE)</f>
        <v>0</v>
      </c>
      <c r="AD115">
        <f>VLOOKUP(Table56[[#This Row],[Shortname]], Comp[], 29, FALSE)</f>
        <v>0</v>
      </c>
      <c r="AE115">
        <f>VLOOKUP(Table56[[#This Row],[Shortname]], Comp[], 30, FALSE)</f>
        <v>0</v>
      </c>
      <c r="AF115">
        <f>VLOOKUP(Table56[[#This Row],[Shortname]], Comp[], 31, FALSE)</f>
        <v>0</v>
      </c>
    </row>
    <row r="116" spans="1:32" x14ac:dyDescent="0.3">
      <c r="A116" t="s">
        <v>1388</v>
      </c>
      <c r="B116" t="s">
        <v>1390</v>
      </c>
      <c r="C116" s="5" t="s">
        <v>1351</v>
      </c>
      <c r="D116">
        <v>1128</v>
      </c>
      <c r="E116">
        <v>1351</v>
      </c>
      <c r="F116">
        <v>1407</v>
      </c>
      <c r="G116">
        <f>VLOOKUP(Table56[[#This Row],[Shortname]], Comp[], 6, FALSE)</f>
        <v>176</v>
      </c>
      <c r="H116" s="14">
        <f>VLOOKUP(Table56[[#This Row],[Shortname]], Comp[], 7, FALSE)</f>
        <v>77</v>
      </c>
      <c r="I116">
        <f>VLOOKUP(Table56[[#This Row],[Shortname]], Comp[], 8, FALSE)</f>
        <v>0</v>
      </c>
      <c r="J116">
        <f>VLOOKUP(Table56[[#This Row],[Shortname]], Comp[], 9, FALSE)</f>
        <v>9</v>
      </c>
      <c r="K116">
        <f>VLOOKUP(Table56[[#This Row],[Shortname]], Comp[], 10, FALSE)</f>
        <v>0</v>
      </c>
      <c r="L116">
        <f>VLOOKUP(Table56[[#This Row],[Shortname]], Comp[], 11, FALSE)</f>
        <v>10</v>
      </c>
      <c r="M116">
        <f>VLOOKUP(Table56[[#This Row],[Shortname]], Comp[],12, FALSE)</f>
        <v>0</v>
      </c>
      <c r="N116">
        <f>VLOOKUP(Table56[[#This Row],[Shortname]], Comp[], 13, FALSE)</f>
        <v>4</v>
      </c>
      <c r="O116">
        <f>VLOOKUP(Table56[[#This Row],[Shortname]], Comp[], 14, FALSE)</f>
        <v>0</v>
      </c>
      <c r="P116">
        <f>VLOOKUP(Table56[[#This Row],[Shortname]], Comp[], 15, FALSE)</f>
        <v>0</v>
      </c>
      <c r="Q116">
        <f>VLOOKUP(Table56[[#This Row],[Shortname]], Comp[], 16, FALSE)</f>
        <v>0</v>
      </c>
      <c r="R116">
        <f>VLOOKUP(Table56[[#This Row],[Shortname]], Comp[], 17, FALSE)</f>
        <v>0</v>
      </c>
      <c r="S116">
        <f>VLOOKUP(Table56[[#This Row],[Shortname]], Comp[], 18, FALSE)</f>
        <v>0</v>
      </c>
      <c r="T116">
        <f>VLOOKUP(Table56[[#This Row],[Shortname]], Comp[], 19, FALSE)</f>
        <v>0</v>
      </c>
      <c r="U116">
        <f>VLOOKUP(Table56[[#This Row],[Shortname]], Comp[], 20, FALSE)</f>
        <v>0</v>
      </c>
      <c r="V116">
        <f>VLOOKUP(Table56[[#This Row],[Shortname]], Comp[], 21, FALSE)</f>
        <v>0</v>
      </c>
      <c r="W116">
        <f>VLOOKUP(Table56[[#This Row],[Shortname]], Comp[], 22, FALSE)</f>
        <v>0</v>
      </c>
      <c r="X116">
        <f>VLOOKUP(Table56[[#This Row],[Shortname]], Comp[], 23, FALSE)</f>
        <v>0</v>
      </c>
      <c r="Y116">
        <f>VLOOKUP(Table56[[#This Row],[Shortname]], Comp[], 24, FALSE)</f>
        <v>0</v>
      </c>
      <c r="Z116">
        <f>VLOOKUP(Table56[[#This Row],[Shortname]], Comp[], 25, FALSE)</f>
        <v>0</v>
      </c>
      <c r="AA116">
        <f>VLOOKUP(Table56[[#This Row],[Shortname]], Comp[], 26, FALSE)</f>
        <v>0</v>
      </c>
      <c r="AB116">
        <f>VLOOKUP(Table56[[#This Row],[Shortname]], Comp[], 27, FALSE)</f>
        <v>0</v>
      </c>
      <c r="AC116">
        <f>VLOOKUP(Table56[[#This Row],[Shortname]], Comp[], 28, FALSE)</f>
        <v>0</v>
      </c>
      <c r="AD116">
        <f>VLOOKUP(Table56[[#This Row],[Shortname]], Comp[], 29, FALSE)</f>
        <v>0</v>
      </c>
      <c r="AE116">
        <f>VLOOKUP(Table56[[#This Row],[Shortname]], Comp[], 30, FALSE)</f>
        <v>0</v>
      </c>
      <c r="AF116">
        <f>VLOOKUP(Table56[[#This Row],[Shortname]], Comp[], 31, FALSE)</f>
        <v>0</v>
      </c>
    </row>
    <row r="117" spans="1:32" x14ac:dyDescent="0.3">
      <c r="A117" t="s">
        <v>1412</v>
      </c>
      <c r="B117" t="s">
        <v>1414</v>
      </c>
      <c r="C117" s="5" t="s">
        <v>1351</v>
      </c>
      <c r="D117">
        <v>1126</v>
      </c>
      <c r="E117">
        <v>1352</v>
      </c>
      <c r="F117">
        <v>1412</v>
      </c>
      <c r="G117">
        <f>VLOOKUP(Table56[[#This Row],[Shortname]], Comp[], 6, FALSE)</f>
        <v>180</v>
      </c>
      <c r="H117" s="14">
        <f>VLOOKUP(Table56[[#This Row],[Shortname]], Comp[], 7, FALSE)</f>
        <v>79</v>
      </c>
      <c r="I117">
        <f>VLOOKUP(Table56[[#This Row],[Shortname]], Comp[], 8, FALSE)</f>
        <v>0</v>
      </c>
      <c r="J117">
        <f>VLOOKUP(Table56[[#This Row],[Shortname]], Comp[], 9, FALSE)</f>
        <v>7</v>
      </c>
      <c r="K117">
        <f>VLOOKUP(Table56[[#This Row],[Shortname]], Comp[], 10, FALSE)</f>
        <v>0</v>
      </c>
      <c r="L117">
        <f>VLOOKUP(Table56[[#This Row],[Shortname]], Comp[], 11, FALSE)</f>
        <v>10</v>
      </c>
      <c r="M117">
        <f>VLOOKUP(Table56[[#This Row],[Shortname]], Comp[],12, FALSE)</f>
        <v>0</v>
      </c>
      <c r="N117">
        <f>VLOOKUP(Table56[[#This Row],[Shortname]], Comp[], 13, FALSE)</f>
        <v>4</v>
      </c>
      <c r="O117">
        <f>VLOOKUP(Table56[[#This Row],[Shortname]], Comp[], 14, FALSE)</f>
        <v>0</v>
      </c>
      <c r="P117">
        <f>VLOOKUP(Table56[[#This Row],[Shortname]], Comp[], 15, FALSE)</f>
        <v>0</v>
      </c>
      <c r="Q117">
        <f>VLOOKUP(Table56[[#This Row],[Shortname]], Comp[], 16, FALSE)</f>
        <v>0</v>
      </c>
      <c r="R117">
        <f>VLOOKUP(Table56[[#This Row],[Shortname]], Comp[], 17, FALSE)</f>
        <v>0</v>
      </c>
      <c r="S117">
        <f>VLOOKUP(Table56[[#This Row],[Shortname]], Comp[], 18, FALSE)</f>
        <v>0</v>
      </c>
      <c r="T117">
        <f>VLOOKUP(Table56[[#This Row],[Shortname]], Comp[], 19, FALSE)</f>
        <v>0</v>
      </c>
      <c r="U117">
        <f>VLOOKUP(Table56[[#This Row],[Shortname]], Comp[], 20, FALSE)</f>
        <v>0</v>
      </c>
      <c r="V117">
        <f>VLOOKUP(Table56[[#This Row],[Shortname]], Comp[], 21, FALSE)</f>
        <v>0</v>
      </c>
      <c r="W117">
        <f>VLOOKUP(Table56[[#This Row],[Shortname]], Comp[], 22, FALSE)</f>
        <v>0</v>
      </c>
      <c r="X117">
        <f>VLOOKUP(Table56[[#This Row],[Shortname]], Comp[], 23, FALSE)</f>
        <v>0</v>
      </c>
      <c r="Y117">
        <f>VLOOKUP(Table56[[#This Row],[Shortname]], Comp[], 24, FALSE)</f>
        <v>0</v>
      </c>
      <c r="Z117">
        <f>VLOOKUP(Table56[[#This Row],[Shortname]], Comp[], 25, FALSE)</f>
        <v>0</v>
      </c>
      <c r="AA117">
        <f>VLOOKUP(Table56[[#This Row],[Shortname]], Comp[], 26, FALSE)</f>
        <v>0</v>
      </c>
      <c r="AB117">
        <f>VLOOKUP(Table56[[#This Row],[Shortname]], Comp[], 27, FALSE)</f>
        <v>0</v>
      </c>
      <c r="AC117">
        <f>VLOOKUP(Table56[[#This Row],[Shortname]], Comp[], 28, FALSE)</f>
        <v>0</v>
      </c>
      <c r="AD117">
        <f>VLOOKUP(Table56[[#This Row],[Shortname]], Comp[], 29, FALSE)</f>
        <v>0</v>
      </c>
      <c r="AE117">
        <f>VLOOKUP(Table56[[#This Row],[Shortname]], Comp[], 30, FALSE)</f>
        <v>0</v>
      </c>
      <c r="AF117">
        <f>VLOOKUP(Table56[[#This Row],[Shortname]], Comp[], 31, FALSE)</f>
        <v>0</v>
      </c>
    </row>
    <row r="118" spans="1:32" x14ac:dyDescent="0.3">
      <c r="A118" t="s">
        <v>1369</v>
      </c>
      <c r="B118" t="s">
        <v>1371</v>
      </c>
      <c r="C118" s="5" t="s">
        <v>1351</v>
      </c>
      <c r="D118">
        <v>1115</v>
      </c>
      <c r="E118">
        <v>1366</v>
      </c>
      <c r="F118">
        <v>1435</v>
      </c>
      <c r="G118">
        <f>VLOOKUP(Table56[[#This Row],[Shortname]], Comp[], 6, FALSE)</f>
        <v>173</v>
      </c>
      <c r="H118" s="14">
        <f>VLOOKUP(Table56[[#This Row],[Shortname]], Comp[], 7, FALSE)</f>
        <v>77</v>
      </c>
      <c r="I118">
        <f>VLOOKUP(Table56[[#This Row],[Shortname]], Comp[], 8, FALSE)</f>
        <v>0</v>
      </c>
      <c r="J118">
        <f>VLOOKUP(Table56[[#This Row],[Shortname]], Comp[], 9, FALSE)</f>
        <v>9</v>
      </c>
      <c r="K118">
        <f>VLOOKUP(Table56[[#This Row],[Shortname]], Comp[], 10, FALSE)</f>
        <v>0</v>
      </c>
      <c r="L118">
        <f>VLOOKUP(Table56[[#This Row],[Shortname]], Comp[], 11, FALSE)</f>
        <v>12</v>
      </c>
      <c r="M118">
        <f>VLOOKUP(Table56[[#This Row],[Shortname]], Comp[],12, FALSE)</f>
        <v>0</v>
      </c>
      <c r="N118">
        <f>VLOOKUP(Table56[[#This Row],[Shortname]], Comp[], 13, FALSE)</f>
        <v>2</v>
      </c>
      <c r="O118">
        <f>VLOOKUP(Table56[[#This Row],[Shortname]], Comp[], 14, FALSE)</f>
        <v>0</v>
      </c>
      <c r="P118">
        <f>VLOOKUP(Table56[[#This Row],[Shortname]], Comp[], 15, FALSE)</f>
        <v>0</v>
      </c>
      <c r="Q118">
        <f>VLOOKUP(Table56[[#This Row],[Shortname]], Comp[], 16, FALSE)</f>
        <v>0</v>
      </c>
      <c r="R118">
        <f>VLOOKUP(Table56[[#This Row],[Shortname]], Comp[], 17, FALSE)</f>
        <v>0</v>
      </c>
      <c r="S118">
        <f>VLOOKUP(Table56[[#This Row],[Shortname]], Comp[], 18, FALSE)</f>
        <v>0</v>
      </c>
      <c r="T118">
        <f>VLOOKUP(Table56[[#This Row],[Shortname]], Comp[], 19, FALSE)</f>
        <v>0</v>
      </c>
      <c r="U118">
        <f>VLOOKUP(Table56[[#This Row],[Shortname]], Comp[], 20, FALSE)</f>
        <v>0</v>
      </c>
      <c r="V118">
        <f>VLOOKUP(Table56[[#This Row],[Shortname]], Comp[], 21, FALSE)</f>
        <v>0</v>
      </c>
      <c r="W118">
        <f>VLOOKUP(Table56[[#This Row],[Shortname]], Comp[], 22, FALSE)</f>
        <v>0</v>
      </c>
      <c r="X118">
        <f>VLOOKUP(Table56[[#This Row],[Shortname]], Comp[], 23, FALSE)</f>
        <v>0</v>
      </c>
      <c r="Y118">
        <f>VLOOKUP(Table56[[#This Row],[Shortname]], Comp[], 24, FALSE)</f>
        <v>0</v>
      </c>
      <c r="Z118">
        <f>VLOOKUP(Table56[[#This Row],[Shortname]], Comp[], 25, FALSE)</f>
        <v>0</v>
      </c>
      <c r="AA118">
        <f>VLOOKUP(Table56[[#This Row],[Shortname]], Comp[], 26, FALSE)</f>
        <v>0</v>
      </c>
      <c r="AB118">
        <f>VLOOKUP(Table56[[#This Row],[Shortname]], Comp[], 27, FALSE)</f>
        <v>0</v>
      </c>
      <c r="AC118">
        <f>VLOOKUP(Table56[[#This Row],[Shortname]], Comp[], 28, FALSE)</f>
        <v>0</v>
      </c>
      <c r="AD118">
        <f>VLOOKUP(Table56[[#This Row],[Shortname]], Comp[], 29, FALSE)</f>
        <v>0</v>
      </c>
      <c r="AE118">
        <f>VLOOKUP(Table56[[#This Row],[Shortname]], Comp[], 30, FALSE)</f>
        <v>0</v>
      </c>
      <c r="AF118">
        <f>VLOOKUP(Table56[[#This Row],[Shortname]], Comp[], 31, FALSE)</f>
        <v>0</v>
      </c>
    </row>
    <row r="119" spans="1:32" x14ac:dyDescent="0.3">
      <c r="A119" t="s">
        <v>1348</v>
      </c>
      <c r="B119" t="s">
        <v>1350</v>
      </c>
      <c r="C119" s="5" t="s">
        <v>1351</v>
      </c>
      <c r="D119">
        <v>1114</v>
      </c>
      <c r="E119">
        <v>1380</v>
      </c>
      <c r="F119">
        <v>1444</v>
      </c>
      <c r="G119">
        <f>VLOOKUP(Table56[[#This Row],[Shortname]], Comp[], 6, FALSE)</f>
        <v>170</v>
      </c>
      <c r="H119" s="14">
        <f>VLOOKUP(Table56[[#This Row],[Shortname]], Comp[], 7, FALSE)</f>
        <v>79</v>
      </c>
      <c r="I119">
        <f>VLOOKUP(Table56[[#This Row],[Shortname]], Comp[], 8, FALSE)</f>
        <v>0</v>
      </c>
      <c r="J119">
        <f>VLOOKUP(Table56[[#This Row],[Shortname]], Comp[], 9, FALSE)</f>
        <v>9</v>
      </c>
      <c r="K119">
        <f>VLOOKUP(Table56[[#This Row],[Shortname]], Comp[], 10, FALSE)</f>
        <v>0</v>
      </c>
      <c r="L119">
        <f>VLOOKUP(Table56[[#This Row],[Shortname]], Comp[], 11, FALSE)</f>
        <v>10</v>
      </c>
      <c r="M119">
        <f>VLOOKUP(Table56[[#This Row],[Shortname]], Comp[],12, FALSE)</f>
        <v>0</v>
      </c>
      <c r="N119">
        <f>VLOOKUP(Table56[[#This Row],[Shortname]], Comp[], 13, FALSE)</f>
        <v>2</v>
      </c>
      <c r="O119">
        <f>VLOOKUP(Table56[[#This Row],[Shortname]], Comp[], 14, FALSE)</f>
        <v>0</v>
      </c>
      <c r="P119">
        <f>VLOOKUP(Table56[[#This Row],[Shortname]], Comp[], 15, FALSE)</f>
        <v>0</v>
      </c>
      <c r="Q119">
        <f>VLOOKUP(Table56[[#This Row],[Shortname]], Comp[], 16, FALSE)</f>
        <v>0</v>
      </c>
      <c r="R119">
        <f>VLOOKUP(Table56[[#This Row],[Shortname]], Comp[], 17, FALSE)</f>
        <v>0</v>
      </c>
      <c r="S119">
        <f>VLOOKUP(Table56[[#This Row],[Shortname]], Comp[], 18, FALSE)</f>
        <v>0</v>
      </c>
      <c r="T119">
        <f>VLOOKUP(Table56[[#This Row],[Shortname]], Comp[], 19, FALSE)</f>
        <v>0</v>
      </c>
      <c r="U119">
        <f>VLOOKUP(Table56[[#This Row],[Shortname]], Comp[], 20, FALSE)</f>
        <v>0</v>
      </c>
      <c r="V119">
        <f>VLOOKUP(Table56[[#This Row],[Shortname]], Comp[], 21, FALSE)</f>
        <v>0</v>
      </c>
      <c r="W119">
        <f>VLOOKUP(Table56[[#This Row],[Shortname]], Comp[], 22, FALSE)</f>
        <v>0</v>
      </c>
      <c r="X119">
        <f>VLOOKUP(Table56[[#This Row],[Shortname]], Comp[], 23, FALSE)</f>
        <v>0</v>
      </c>
      <c r="Y119">
        <f>VLOOKUP(Table56[[#This Row],[Shortname]], Comp[], 24, FALSE)</f>
        <v>0</v>
      </c>
      <c r="Z119">
        <f>VLOOKUP(Table56[[#This Row],[Shortname]], Comp[], 25, FALSE)</f>
        <v>0</v>
      </c>
      <c r="AA119">
        <f>VLOOKUP(Table56[[#This Row],[Shortname]], Comp[], 26, FALSE)</f>
        <v>0</v>
      </c>
      <c r="AB119">
        <f>VLOOKUP(Table56[[#This Row],[Shortname]], Comp[], 27, FALSE)</f>
        <v>0</v>
      </c>
      <c r="AC119">
        <f>VLOOKUP(Table56[[#This Row],[Shortname]], Comp[], 28, FALSE)</f>
        <v>0</v>
      </c>
      <c r="AD119">
        <f>VLOOKUP(Table56[[#This Row],[Shortname]], Comp[], 29, FALSE)</f>
        <v>0</v>
      </c>
      <c r="AE119">
        <f>VLOOKUP(Table56[[#This Row],[Shortname]], Comp[], 30, FALSE)</f>
        <v>0</v>
      </c>
      <c r="AF119">
        <f>VLOOKUP(Table56[[#This Row],[Shortname]], Comp[], 31, FALSE)</f>
        <v>0</v>
      </c>
    </row>
    <row r="120" spans="1:32" x14ac:dyDescent="0.3">
      <c r="A120" t="s">
        <v>1400</v>
      </c>
      <c r="B120" t="s">
        <v>1402</v>
      </c>
      <c r="C120" s="5" t="s">
        <v>1351</v>
      </c>
      <c r="D120">
        <v>1112</v>
      </c>
      <c r="E120">
        <v>1380</v>
      </c>
      <c r="F120">
        <v>1446</v>
      </c>
      <c r="G120">
        <f>VLOOKUP(Table56[[#This Row],[Shortname]], Comp[], 6, FALSE)</f>
        <v>178</v>
      </c>
      <c r="H120" s="14">
        <f>VLOOKUP(Table56[[#This Row],[Shortname]], Comp[], 7, FALSE)</f>
        <v>79</v>
      </c>
      <c r="I120">
        <f>VLOOKUP(Table56[[#This Row],[Shortname]], Comp[], 8, FALSE)</f>
        <v>0</v>
      </c>
      <c r="J120">
        <f>VLOOKUP(Table56[[#This Row],[Shortname]], Comp[], 9, FALSE)</f>
        <v>7</v>
      </c>
      <c r="K120">
        <f>VLOOKUP(Table56[[#This Row],[Shortname]], Comp[], 10, FALSE)</f>
        <v>0</v>
      </c>
      <c r="L120">
        <f>VLOOKUP(Table56[[#This Row],[Shortname]], Comp[], 11, FALSE)</f>
        <v>12</v>
      </c>
      <c r="M120">
        <f>VLOOKUP(Table56[[#This Row],[Shortname]], Comp[],12, FALSE)</f>
        <v>0</v>
      </c>
      <c r="N120">
        <f>VLOOKUP(Table56[[#This Row],[Shortname]], Comp[], 13, FALSE)</f>
        <v>2</v>
      </c>
      <c r="O120">
        <f>VLOOKUP(Table56[[#This Row],[Shortname]], Comp[], 14, FALSE)</f>
        <v>0</v>
      </c>
      <c r="P120">
        <f>VLOOKUP(Table56[[#This Row],[Shortname]], Comp[], 15, FALSE)</f>
        <v>0</v>
      </c>
      <c r="Q120">
        <f>VLOOKUP(Table56[[#This Row],[Shortname]], Comp[], 16, FALSE)</f>
        <v>0</v>
      </c>
      <c r="R120">
        <f>VLOOKUP(Table56[[#This Row],[Shortname]], Comp[], 17, FALSE)</f>
        <v>0</v>
      </c>
      <c r="S120">
        <f>VLOOKUP(Table56[[#This Row],[Shortname]], Comp[], 18, FALSE)</f>
        <v>0</v>
      </c>
      <c r="T120">
        <f>VLOOKUP(Table56[[#This Row],[Shortname]], Comp[], 19, FALSE)</f>
        <v>0</v>
      </c>
      <c r="U120">
        <f>VLOOKUP(Table56[[#This Row],[Shortname]], Comp[], 20, FALSE)</f>
        <v>0</v>
      </c>
      <c r="V120">
        <f>VLOOKUP(Table56[[#This Row],[Shortname]], Comp[], 21, FALSE)</f>
        <v>0</v>
      </c>
      <c r="W120">
        <f>VLOOKUP(Table56[[#This Row],[Shortname]], Comp[], 22, FALSE)</f>
        <v>0</v>
      </c>
      <c r="X120">
        <f>VLOOKUP(Table56[[#This Row],[Shortname]], Comp[], 23, FALSE)</f>
        <v>0</v>
      </c>
      <c r="Y120">
        <f>VLOOKUP(Table56[[#This Row],[Shortname]], Comp[], 24, FALSE)</f>
        <v>0</v>
      </c>
      <c r="Z120">
        <f>VLOOKUP(Table56[[#This Row],[Shortname]], Comp[], 25, FALSE)</f>
        <v>0</v>
      </c>
      <c r="AA120">
        <f>VLOOKUP(Table56[[#This Row],[Shortname]], Comp[], 26, FALSE)</f>
        <v>0</v>
      </c>
      <c r="AB120">
        <f>VLOOKUP(Table56[[#This Row],[Shortname]], Comp[], 27, FALSE)</f>
        <v>0</v>
      </c>
      <c r="AC120">
        <f>VLOOKUP(Table56[[#This Row],[Shortname]], Comp[], 28, FALSE)</f>
        <v>0</v>
      </c>
      <c r="AD120">
        <f>VLOOKUP(Table56[[#This Row],[Shortname]], Comp[], 29, FALSE)</f>
        <v>0</v>
      </c>
      <c r="AE120">
        <f>VLOOKUP(Table56[[#This Row],[Shortname]], Comp[], 30, FALSE)</f>
        <v>0</v>
      </c>
      <c r="AF120">
        <f>VLOOKUP(Table56[[#This Row],[Shortname]], Comp[], 31, FALSE)</f>
        <v>0</v>
      </c>
    </row>
    <row r="121" spans="1:32" x14ac:dyDescent="0.3">
      <c r="A121" t="s">
        <v>1362</v>
      </c>
      <c r="B121" t="s">
        <v>1364</v>
      </c>
      <c r="C121" s="5" t="s">
        <v>1351</v>
      </c>
      <c r="D121">
        <v>1106</v>
      </c>
      <c r="E121">
        <v>1373</v>
      </c>
      <c r="F121">
        <v>1428</v>
      </c>
      <c r="G121">
        <f>VLOOKUP(Table56[[#This Row],[Shortname]], Comp[], 6, FALSE)</f>
        <v>172</v>
      </c>
      <c r="H121" s="14">
        <f>VLOOKUP(Table56[[#This Row],[Shortname]], Comp[], 7, FALSE)</f>
        <v>77</v>
      </c>
      <c r="I121">
        <f>VLOOKUP(Table56[[#This Row],[Shortname]], Comp[], 8, FALSE)</f>
        <v>0</v>
      </c>
      <c r="J121">
        <f>VLOOKUP(Table56[[#This Row],[Shortname]], Comp[], 9, FALSE)</f>
        <v>11</v>
      </c>
      <c r="K121">
        <f>VLOOKUP(Table56[[#This Row],[Shortname]], Comp[], 10, FALSE)</f>
        <v>0</v>
      </c>
      <c r="L121">
        <f>VLOOKUP(Table56[[#This Row],[Shortname]], Comp[], 11, FALSE)</f>
        <v>10</v>
      </c>
      <c r="M121">
        <f>VLOOKUP(Table56[[#This Row],[Shortname]], Comp[],12, FALSE)</f>
        <v>0</v>
      </c>
      <c r="N121">
        <f>VLOOKUP(Table56[[#This Row],[Shortname]], Comp[], 13, FALSE)</f>
        <v>2</v>
      </c>
      <c r="O121">
        <f>VLOOKUP(Table56[[#This Row],[Shortname]], Comp[], 14, FALSE)</f>
        <v>0</v>
      </c>
      <c r="P121">
        <f>VLOOKUP(Table56[[#This Row],[Shortname]], Comp[], 15, FALSE)</f>
        <v>0</v>
      </c>
      <c r="Q121">
        <f>VLOOKUP(Table56[[#This Row],[Shortname]], Comp[], 16, FALSE)</f>
        <v>0</v>
      </c>
      <c r="R121">
        <f>VLOOKUP(Table56[[#This Row],[Shortname]], Comp[], 17, FALSE)</f>
        <v>0</v>
      </c>
      <c r="S121">
        <f>VLOOKUP(Table56[[#This Row],[Shortname]], Comp[], 18, FALSE)</f>
        <v>0</v>
      </c>
      <c r="T121">
        <f>VLOOKUP(Table56[[#This Row],[Shortname]], Comp[], 19, FALSE)</f>
        <v>0</v>
      </c>
      <c r="U121">
        <f>VLOOKUP(Table56[[#This Row],[Shortname]], Comp[], 20, FALSE)</f>
        <v>0</v>
      </c>
      <c r="V121">
        <f>VLOOKUP(Table56[[#This Row],[Shortname]], Comp[], 21, FALSE)</f>
        <v>0</v>
      </c>
      <c r="W121">
        <f>VLOOKUP(Table56[[#This Row],[Shortname]], Comp[], 22, FALSE)</f>
        <v>0</v>
      </c>
      <c r="X121">
        <f>VLOOKUP(Table56[[#This Row],[Shortname]], Comp[], 23, FALSE)</f>
        <v>0</v>
      </c>
      <c r="Y121">
        <f>VLOOKUP(Table56[[#This Row],[Shortname]], Comp[], 24, FALSE)</f>
        <v>0</v>
      </c>
      <c r="Z121">
        <f>VLOOKUP(Table56[[#This Row],[Shortname]], Comp[], 25, FALSE)</f>
        <v>0</v>
      </c>
      <c r="AA121">
        <f>VLOOKUP(Table56[[#This Row],[Shortname]], Comp[], 26, FALSE)</f>
        <v>0</v>
      </c>
      <c r="AB121">
        <f>VLOOKUP(Table56[[#This Row],[Shortname]], Comp[], 27, FALSE)</f>
        <v>0</v>
      </c>
      <c r="AC121">
        <f>VLOOKUP(Table56[[#This Row],[Shortname]], Comp[], 28, FALSE)</f>
        <v>0</v>
      </c>
      <c r="AD121">
        <f>VLOOKUP(Table56[[#This Row],[Shortname]], Comp[], 29, FALSE)</f>
        <v>0</v>
      </c>
      <c r="AE121">
        <f>VLOOKUP(Table56[[#This Row],[Shortname]], Comp[], 30, FALSE)</f>
        <v>0</v>
      </c>
      <c r="AF121">
        <f>VLOOKUP(Table56[[#This Row],[Shortname]], Comp[], 31, FALSE)</f>
        <v>0</v>
      </c>
    </row>
    <row r="122" spans="1:32" x14ac:dyDescent="0.3">
      <c r="A122" t="s">
        <v>1394</v>
      </c>
      <c r="B122" t="s">
        <v>1396</v>
      </c>
      <c r="C122" s="5" t="s">
        <v>1351</v>
      </c>
      <c r="D122">
        <v>1104</v>
      </c>
      <c r="E122">
        <v>1365</v>
      </c>
      <c r="F122">
        <v>1435</v>
      </c>
      <c r="G122">
        <f>VLOOKUP(Table56[[#This Row],[Shortname]], Comp[], 6, FALSE)</f>
        <v>177</v>
      </c>
      <c r="H122" s="14">
        <f>VLOOKUP(Table56[[#This Row],[Shortname]], Comp[], 7, FALSE)</f>
        <v>79</v>
      </c>
      <c r="I122">
        <f>VLOOKUP(Table56[[#This Row],[Shortname]], Comp[], 8, FALSE)</f>
        <v>0</v>
      </c>
      <c r="J122">
        <f>VLOOKUP(Table56[[#This Row],[Shortname]], Comp[], 9, FALSE)</f>
        <v>11</v>
      </c>
      <c r="K122">
        <f>VLOOKUP(Table56[[#This Row],[Shortname]], Comp[], 10, FALSE)</f>
        <v>0</v>
      </c>
      <c r="L122">
        <f>VLOOKUP(Table56[[#This Row],[Shortname]], Comp[], 11, FALSE)</f>
        <v>8</v>
      </c>
      <c r="M122">
        <f>VLOOKUP(Table56[[#This Row],[Shortname]], Comp[],12, FALSE)</f>
        <v>0</v>
      </c>
      <c r="N122">
        <f>VLOOKUP(Table56[[#This Row],[Shortname]], Comp[], 13, FALSE)</f>
        <v>2</v>
      </c>
      <c r="O122">
        <f>VLOOKUP(Table56[[#This Row],[Shortname]], Comp[], 14, FALSE)</f>
        <v>0</v>
      </c>
      <c r="P122">
        <f>VLOOKUP(Table56[[#This Row],[Shortname]], Comp[], 15, FALSE)</f>
        <v>0</v>
      </c>
      <c r="Q122">
        <f>VLOOKUP(Table56[[#This Row],[Shortname]], Comp[], 16, FALSE)</f>
        <v>0</v>
      </c>
      <c r="R122">
        <f>VLOOKUP(Table56[[#This Row],[Shortname]], Comp[], 17, FALSE)</f>
        <v>0</v>
      </c>
      <c r="S122">
        <f>VLOOKUP(Table56[[#This Row],[Shortname]], Comp[], 18, FALSE)</f>
        <v>0</v>
      </c>
      <c r="T122">
        <f>VLOOKUP(Table56[[#This Row],[Shortname]], Comp[], 19, FALSE)</f>
        <v>0</v>
      </c>
      <c r="U122">
        <f>VLOOKUP(Table56[[#This Row],[Shortname]], Comp[], 20, FALSE)</f>
        <v>0</v>
      </c>
      <c r="V122">
        <f>VLOOKUP(Table56[[#This Row],[Shortname]], Comp[], 21, FALSE)</f>
        <v>0</v>
      </c>
      <c r="W122">
        <f>VLOOKUP(Table56[[#This Row],[Shortname]], Comp[], 22, FALSE)</f>
        <v>0</v>
      </c>
      <c r="X122">
        <f>VLOOKUP(Table56[[#This Row],[Shortname]], Comp[], 23, FALSE)</f>
        <v>0</v>
      </c>
      <c r="Y122">
        <f>VLOOKUP(Table56[[#This Row],[Shortname]], Comp[], 24, FALSE)</f>
        <v>0</v>
      </c>
      <c r="Z122">
        <f>VLOOKUP(Table56[[#This Row],[Shortname]], Comp[], 25, FALSE)</f>
        <v>0</v>
      </c>
      <c r="AA122">
        <f>VLOOKUP(Table56[[#This Row],[Shortname]], Comp[], 26, FALSE)</f>
        <v>0</v>
      </c>
      <c r="AB122">
        <f>VLOOKUP(Table56[[#This Row],[Shortname]], Comp[], 27, FALSE)</f>
        <v>0</v>
      </c>
      <c r="AC122">
        <f>VLOOKUP(Table56[[#This Row],[Shortname]], Comp[], 28, FALSE)</f>
        <v>0</v>
      </c>
      <c r="AD122">
        <f>VLOOKUP(Table56[[#This Row],[Shortname]], Comp[], 29, FALSE)</f>
        <v>0</v>
      </c>
      <c r="AE122">
        <f>VLOOKUP(Table56[[#This Row],[Shortname]], Comp[], 30, FALSE)</f>
        <v>0</v>
      </c>
      <c r="AF122">
        <f>VLOOKUP(Table56[[#This Row],[Shortname]], Comp[], 31, FALSE)</f>
        <v>0</v>
      </c>
    </row>
    <row r="123" spans="1:32" x14ac:dyDescent="0.3">
      <c r="A123" t="s">
        <v>1376</v>
      </c>
      <c r="B123" t="s">
        <v>1377</v>
      </c>
      <c r="C123" s="5" t="s">
        <v>1351</v>
      </c>
      <c r="D123">
        <v>1085</v>
      </c>
      <c r="E123">
        <v>1377</v>
      </c>
      <c r="F123">
        <v>1448</v>
      </c>
      <c r="G123">
        <f>VLOOKUP(Table56[[#This Row],[Shortname]], Comp[], 6, FALSE)</f>
        <v>174</v>
      </c>
      <c r="H123" s="14">
        <f>VLOOKUP(Table56[[#This Row],[Shortname]], Comp[], 7, FALSE)</f>
        <v>81</v>
      </c>
      <c r="I123">
        <f>VLOOKUP(Table56[[#This Row],[Shortname]], Comp[], 8, FALSE)</f>
        <v>0</v>
      </c>
      <c r="J123">
        <f>VLOOKUP(Table56[[#This Row],[Shortname]], Comp[], 9, FALSE)</f>
        <v>9</v>
      </c>
      <c r="K123">
        <f>VLOOKUP(Table56[[#This Row],[Shortname]], Comp[], 10, FALSE)</f>
        <v>0</v>
      </c>
      <c r="L123">
        <f>VLOOKUP(Table56[[#This Row],[Shortname]], Comp[], 11, FALSE)</f>
        <v>8</v>
      </c>
      <c r="M123">
        <f>VLOOKUP(Table56[[#This Row],[Shortname]], Comp[],12, FALSE)</f>
        <v>0</v>
      </c>
      <c r="N123">
        <f>VLOOKUP(Table56[[#This Row],[Shortname]], Comp[], 13, FALSE)</f>
        <v>2</v>
      </c>
      <c r="O123">
        <f>VLOOKUP(Table56[[#This Row],[Shortname]], Comp[], 14, FALSE)</f>
        <v>0</v>
      </c>
      <c r="P123">
        <f>VLOOKUP(Table56[[#This Row],[Shortname]], Comp[], 15, FALSE)</f>
        <v>0</v>
      </c>
      <c r="Q123">
        <f>VLOOKUP(Table56[[#This Row],[Shortname]], Comp[], 16, FALSE)</f>
        <v>0</v>
      </c>
      <c r="R123">
        <f>VLOOKUP(Table56[[#This Row],[Shortname]], Comp[], 17, FALSE)</f>
        <v>0</v>
      </c>
      <c r="S123">
        <f>VLOOKUP(Table56[[#This Row],[Shortname]], Comp[], 18, FALSE)</f>
        <v>0</v>
      </c>
      <c r="T123">
        <f>VLOOKUP(Table56[[#This Row],[Shortname]], Comp[], 19, FALSE)</f>
        <v>0</v>
      </c>
      <c r="U123">
        <f>VLOOKUP(Table56[[#This Row],[Shortname]], Comp[], 20, FALSE)</f>
        <v>0</v>
      </c>
      <c r="V123">
        <f>VLOOKUP(Table56[[#This Row],[Shortname]], Comp[], 21, FALSE)</f>
        <v>0</v>
      </c>
      <c r="W123">
        <f>VLOOKUP(Table56[[#This Row],[Shortname]], Comp[], 22, FALSE)</f>
        <v>0</v>
      </c>
      <c r="X123">
        <f>VLOOKUP(Table56[[#This Row],[Shortname]], Comp[], 23, FALSE)</f>
        <v>0</v>
      </c>
      <c r="Y123">
        <f>VLOOKUP(Table56[[#This Row],[Shortname]], Comp[], 24, FALSE)</f>
        <v>0</v>
      </c>
      <c r="Z123">
        <f>VLOOKUP(Table56[[#This Row],[Shortname]], Comp[], 25, FALSE)</f>
        <v>0</v>
      </c>
      <c r="AA123">
        <f>VLOOKUP(Table56[[#This Row],[Shortname]], Comp[], 26, FALSE)</f>
        <v>0</v>
      </c>
      <c r="AB123">
        <f>VLOOKUP(Table56[[#This Row],[Shortname]], Comp[], 27, FALSE)</f>
        <v>0</v>
      </c>
      <c r="AC123">
        <f>VLOOKUP(Table56[[#This Row],[Shortname]], Comp[], 28, FALSE)</f>
        <v>0</v>
      </c>
      <c r="AD123">
        <f>VLOOKUP(Table56[[#This Row],[Shortname]], Comp[], 29, FALSE)</f>
        <v>0</v>
      </c>
      <c r="AE123">
        <f>VLOOKUP(Table56[[#This Row],[Shortname]], Comp[], 30, FALSE)</f>
        <v>0</v>
      </c>
      <c r="AF123">
        <f>VLOOKUP(Table56[[#This Row],[Shortname]], Comp[], 31, FALSE)</f>
        <v>0</v>
      </c>
    </row>
    <row r="124" spans="1:32" x14ac:dyDescent="0.3">
      <c r="A124" t="s">
        <v>1438</v>
      </c>
      <c r="B124" t="s">
        <v>1440</v>
      </c>
      <c r="C124" s="5" t="s">
        <v>1351</v>
      </c>
      <c r="D124">
        <v>1083</v>
      </c>
      <c r="E124">
        <v>1346</v>
      </c>
      <c r="F124">
        <v>1425</v>
      </c>
      <c r="G124">
        <f>VLOOKUP(Table56[[#This Row],[Shortname]], Comp[], 6, FALSE)</f>
        <v>184</v>
      </c>
      <c r="H124" s="14">
        <f>VLOOKUP(Table56[[#This Row],[Shortname]], Comp[], 7, FALSE)</f>
        <v>80.5</v>
      </c>
      <c r="I124">
        <f>VLOOKUP(Table56[[#This Row],[Shortname]], Comp[], 8, FALSE)</f>
        <v>0</v>
      </c>
      <c r="J124">
        <f>VLOOKUP(Table56[[#This Row],[Shortname]], Comp[], 9, FALSE)</f>
        <v>11</v>
      </c>
      <c r="K124">
        <f>VLOOKUP(Table56[[#This Row],[Shortname]], Comp[], 10, FALSE)</f>
        <v>0</v>
      </c>
      <c r="L124">
        <f>VLOOKUP(Table56[[#This Row],[Shortname]], Comp[], 11, FALSE)</f>
        <v>5.9</v>
      </c>
      <c r="M124">
        <f>VLOOKUP(Table56[[#This Row],[Shortname]], Comp[],12, FALSE)</f>
        <v>0</v>
      </c>
      <c r="N124">
        <f>VLOOKUP(Table56[[#This Row],[Shortname]], Comp[], 13, FALSE)</f>
        <v>2.6</v>
      </c>
      <c r="O124">
        <f>VLOOKUP(Table56[[#This Row],[Shortname]], Comp[], 14, FALSE)</f>
        <v>0</v>
      </c>
      <c r="P124">
        <f>VLOOKUP(Table56[[#This Row],[Shortname]], Comp[], 15, FALSE)</f>
        <v>0</v>
      </c>
      <c r="Q124">
        <f>VLOOKUP(Table56[[#This Row],[Shortname]], Comp[], 16, FALSE)</f>
        <v>0</v>
      </c>
      <c r="R124">
        <f>VLOOKUP(Table56[[#This Row],[Shortname]], Comp[], 17, FALSE)</f>
        <v>0</v>
      </c>
      <c r="S124">
        <f>VLOOKUP(Table56[[#This Row],[Shortname]], Comp[], 18, FALSE)</f>
        <v>0</v>
      </c>
      <c r="T124">
        <f>VLOOKUP(Table56[[#This Row],[Shortname]], Comp[], 19, FALSE)</f>
        <v>0</v>
      </c>
      <c r="U124">
        <f>VLOOKUP(Table56[[#This Row],[Shortname]], Comp[], 20, FALSE)</f>
        <v>0</v>
      </c>
      <c r="V124">
        <f>VLOOKUP(Table56[[#This Row],[Shortname]], Comp[], 21, FALSE)</f>
        <v>0</v>
      </c>
      <c r="W124">
        <f>VLOOKUP(Table56[[#This Row],[Shortname]], Comp[], 22, FALSE)</f>
        <v>0</v>
      </c>
      <c r="X124">
        <f>VLOOKUP(Table56[[#This Row],[Shortname]], Comp[], 23, FALSE)</f>
        <v>0</v>
      </c>
      <c r="Y124">
        <f>VLOOKUP(Table56[[#This Row],[Shortname]], Comp[], 24, FALSE)</f>
        <v>0</v>
      </c>
      <c r="Z124">
        <f>VLOOKUP(Table56[[#This Row],[Shortname]], Comp[], 25, FALSE)</f>
        <v>0</v>
      </c>
      <c r="AA124">
        <f>VLOOKUP(Table56[[#This Row],[Shortname]], Comp[], 26, FALSE)</f>
        <v>0</v>
      </c>
      <c r="AB124">
        <f>VLOOKUP(Table56[[#This Row],[Shortname]], Comp[], 27, FALSE)</f>
        <v>0</v>
      </c>
      <c r="AC124">
        <f>VLOOKUP(Table56[[#This Row],[Shortname]], Comp[], 28, FALSE)</f>
        <v>0</v>
      </c>
      <c r="AD124">
        <f>VLOOKUP(Table56[[#This Row],[Shortname]], Comp[], 29, FALSE)</f>
        <v>0</v>
      </c>
      <c r="AE124">
        <f>VLOOKUP(Table56[[#This Row],[Shortname]], Comp[], 30, FALSE)</f>
        <v>0</v>
      </c>
      <c r="AF124">
        <f>VLOOKUP(Table56[[#This Row],[Shortname]], Comp[], 31, FALSE)</f>
        <v>0</v>
      </c>
    </row>
    <row r="125" spans="1:32" x14ac:dyDescent="0.3">
      <c r="A125" t="s">
        <v>1418</v>
      </c>
      <c r="B125" t="s">
        <v>1420</v>
      </c>
      <c r="C125" s="5" t="s">
        <v>1351</v>
      </c>
      <c r="D125">
        <v>1080</v>
      </c>
      <c r="E125">
        <v>1439</v>
      </c>
      <c r="F125">
        <v>1474</v>
      </c>
      <c r="G125">
        <f>VLOOKUP(Table56[[#This Row],[Shortname]], Comp[], 6, FALSE)</f>
        <v>181</v>
      </c>
      <c r="H125" s="14">
        <f>VLOOKUP(Table56[[#This Row],[Shortname]], Comp[], 7, FALSE)</f>
        <v>79</v>
      </c>
      <c r="I125">
        <f>VLOOKUP(Table56[[#This Row],[Shortname]], Comp[], 8, FALSE)</f>
        <v>0</v>
      </c>
      <c r="J125">
        <f>VLOOKUP(Table56[[#This Row],[Shortname]], Comp[], 9, FALSE)</f>
        <v>9</v>
      </c>
      <c r="K125">
        <f>VLOOKUP(Table56[[#This Row],[Shortname]], Comp[], 10, FALSE)</f>
        <v>0</v>
      </c>
      <c r="L125">
        <f>VLOOKUP(Table56[[#This Row],[Shortname]], Comp[], 11, FALSE)</f>
        <v>12</v>
      </c>
      <c r="M125">
        <f>VLOOKUP(Table56[[#This Row],[Shortname]], Comp[],12, FALSE)</f>
        <v>0</v>
      </c>
      <c r="N125">
        <f>VLOOKUP(Table56[[#This Row],[Shortname]], Comp[], 13, FALSE)</f>
        <v>0</v>
      </c>
      <c r="O125">
        <f>VLOOKUP(Table56[[#This Row],[Shortname]], Comp[], 14, FALSE)</f>
        <v>0</v>
      </c>
      <c r="P125">
        <f>VLOOKUP(Table56[[#This Row],[Shortname]], Comp[], 15, FALSE)</f>
        <v>0</v>
      </c>
      <c r="Q125">
        <f>VLOOKUP(Table56[[#This Row],[Shortname]], Comp[], 16, FALSE)</f>
        <v>0</v>
      </c>
      <c r="R125">
        <f>VLOOKUP(Table56[[#This Row],[Shortname]], Comp[], 17, FALSE)</f>
        <v>0</v>
      </c>
      <c r="S125">
        <f>VLOOKUP(Table56[[#This Row],[Shortname]], Comp[], 18, FALSE)</f>
        <v>0</v>
      </c>
      <c r="T125">
        <f>VLOOKUP(Table56[[#This Row],[Shortname]], Comp[], 19, FALSE)</f>
        <v>0</v>
      </c>
      <c r="U125">
        <f>VLOOKUP(Table56[[#This Row],[Shortname]], Comp[], 20, FALSE)</f>
        <v>0</v>
      </c>
      <c r="V125">
        <f>VLOOKUP(Table56[[#This Row],[Shortname]], Comp[], 21, FALSE)</f>
        <v>0</v>
      </c>
      <c r="W125">
        <f>VLOOKUP(Table56[[#This Row],[Shortname]], Comp[], 22, FALSE)</f>
        <v>0</v>
      </c>
      <c r="X125">
        <f>VLOOKUP(Table56[[#This Row],[Shortname]], Comp[], 23, FALSE)</f>
        <v>0</v>
      </c>
      <c r="Y125">
        <f>VLOOKUP(Table56[[#This Row],[Shortname]], Comp[], 24, FALSE)</f>
        <v>0</v>
      </c>
      <c r="Z125">
        <f>VLOOKUP(Table56[[#This Row],[Shortname]], Comp[], 25, FALSE)</f>
        <v>0</v>
      </c>
      <c r="AA125">
        <f>VLOOKUP(Table56[[#This Row],[Shortname]], Comp[], 26, FALSE)</f>
        <v>0</v>
      </c>
      <c r="AB125">
        <f>VLOOKUP(Table56[[#This Row],[Shortname]], Comp[], 27, FALSE)</f>
        <v>0</v>
      </c>
      <c r="AC125">
        <f>VLOOKUP(Table56[[#This Row],[Shortname]], Comp[], 28, FALSE)</f>
        <v>0</v>
      </c>
      <c r="AD125">
        <f>VLOOKUP(Table56[[#This Row],[Shortname]], Comp[], 29, FALSE)</f>
        <v>0</v>
      </c>
      <c r="AE125">
        <f>VLOOKUP(Table56[[#This Row],[Shortname]], Comp[], 30, FALSE)</f>
        <v>0</v>
      </c>
      <c r="AF125">
        <f>VLOOKUP(Table56[[#This Row],[Shortname]], Comp[], 31, FALSE)</f>
        <v>0</v>
      </c>
    </row>
    <row r="126" spans="1:32" x14ac:dyDescent="0.3">
      <c r="A126" t="s">
        <v>1430</v>
      </c>
      <c r="B126" t="s">
        <v>1432</v>
      </c>
      <c r="C126" s="5" t="s">
        <v>1351</v>
      </c>
      <c r="D126">
        <v>1080</v>
      </c>
      <c r="E126">
        <v>1306</v>
      </c>
      <c r="F126">
        <v>1398</v>
      </c>
      <c r="G126">
        <f>VLOOKUP(Table56[[#This Row],[Shortname]], Comp[], 6, FALSE)</f>
        <v>183</v>
      </c>
      <c r="H126" s="14">
        <f>VLOOKUP(Table56[[#This Row],[Shortname]], Comp[], 7, FALSE)</f>
        <v>79.599999999999994</v>
      </c>
      <c r="I126">
        <f>VLOOKUP(Table56[[#This Row],[Shortname]], Comp[], 8, FALSE)</f>
        <v>0</v>
      </c>
      <c r="J126">
        <f>VLOOKUP(Table56[[#This Row],[Shortname]], Comp[], 9, FALSE)</f>
        <v>13.3</v>
      </c>
      <c r="K126">
        <f>VLOOKUP(Table56[[#This Row],[Shortname]], Comp[], 10, FALSE)</f>
        <v>0</v>
      </c>
      <c r="L126">
        <f>VLOOKUP(Table56[[#This Row],[Shortname]], Comp[], 11, FALSE)</f>
        <v>3.9</v>
      </c>
      <c r="M126">
        <f>VLOOKUP(Table56[[#This Row],[Shortname]], Comp[],12, FALSE)</f>
        <v>0</v>
      </c>
      <c r="N126">
        <f>VLOOKUP(Table56[[#This Row],[Shortname]], Comp[], 13, FALSE)</f>
        <v>3.2</v>
      </c>
      <c r="O126">
        <f>VLOOKUP(Table56[[#This Row],[Shortname]], Comp[], 14, FALSE)</f>
        <v>0</v>
      </c>
      <c r="P126">
        <f>VLOOKUP(Table56[[#This Row],[Shortname]], Comp[], 15, FALSE)</f>
        <v>0</v>
      </c>
      <c r="Q126">
        <f>VLOOKUP(Table56[[#This Row],[Shortname]], Comp[], 16, FALSE)</f>
        <v>0</v>
      </c>
      <c r="R126">
        <f>VLOOKUP(Table56[[#This Row],[Shortname]], Comp[], 17, FALSE)</f>
        <v>0</v>
      </c>
      <c r="S126">
        <f>VLOOKUP(Table56[[#This Row],[Shortname]], Comp[], 18, FALSE)</f>
        <v>0</v>
      </c>
      <c r="T126">
        <f>VLOOKUP(Table56[[#This Row],[Shortname]], Comp[], 19, FALSE)</f>
        <v>0</v>
      </c>
      <c r="U126">
        <f>VLOOKUP(Table56[[#This Row],[Shortname]], Comp[], 20, FALSE)</f>
        <v>0</v>
      </c>
      <c r="V126">
        <f>VLOOKUP(Table56[[#This Row],[Shortname]], Comp[], 21, FALSE)</f>
        <v>0</v>
      </c>
      <c r="W126">
        <f>VLOOKUP(Table56[[#This Row],[Shortname]], Comp[], 22, FALSE)</f>
        <v>0</v>
      </c>
      <c r="X126">
        <f>VLOOKUP(Table56[[#This Row],[Shortname]], Comp[], 23, FALSE)</f>
        <v>0</v>
      </c>
      <c r="Y126">
        <f>VLOOKUP(Table56[[#This Row],[Shortname]], Comp[], 24, FALSE)</f>
        <v>0</v>
      </c>
      <c r="Z126">
        <f>VLOOKUP(Table56[[#This Row],[Shortname]], Comp[], 25, FALSE)</f>
        <v>0</v>
      </c>
      <c r="AA126">
        <f>VLOOKUP(Table56[[#This Row],[Shortname]], Comp[], 26, FALSE)</f>
        <v>0</v>
      </c>
      <c r="AB126">
        <f>VLOOKUP(Table56[[#This Row],[Shortname]], Comp[], 27, FALSE)</f>
        <v>0</v>
      </c>
      <c r="AC126">
        <f>VLOOKUP(Table56[[#This Row],[Shortname]], Comp[], 28, FALSE)</f>
        <v>0</v>
      </c>
      <c r="AD126">
        <f>VLOOKUP(Table56[[#This Row],[Shortname]], Comp[], 29, FALSE)</f>
        <v>0</v>
      </c>
      <c r="AE126">
        <f>VLOOKUP(Table56[[#This Row],[Shortname]], Comp[], 30, FALSE)</f>
        <v>0</v>
      </c>
      <c r="AF126">
        <f>VLOOKUP(Table56[[#This Row],[Shortname]], Comp[], 31, FALSE)</f>
        <v>0</v>
      </c>
    </row>
    <row r="127" spans="1:32" x14ac:dyDescent="0.3">
      <c r="A127" t="s">
        <v>1355</v>
      </c>
      <c r="B127" t="s">
        <v>1357</v>
      </c>
      <c r="C127" s="5" t="s">
        <v>1351</v>
      </c>
      <c r="D127">
        <v>1073</v>
      </c>
      <c r="E127">
        <v>1391</v>
      </c>
      <c r="F127">
        <v>1455</v>
      </c>
      <c r="G127">
        <f>VLOOKUP(Table56[[#This Row],[Shortname]], Comp[], 6, FALSE)</f>
        <v>171</v>
      </c>
      <c r="H127" s="14">
        <f>VLOOKUP(Table56[[#This Row],[Shortname]], Comp[], 7, FALSE)</f>
        <v>81</v>
      </c>
      <c r="I127">
        <f>VLOOKUP(Table56[[#This Row],[Shortname]], Comp[], 8, FALSE)</f>
        <v>0</v>
      </c>
      <c r="J127">
        <f>VLOOKUP(Table56[[#This Row],[Shortname]], Comp[], 9, FALSE)</f>
        <v>7</v>
      </c>
      <c r="K127">
        <f>VLOOKUP(Table56[[#This Row],[Shortname]], Comp[], 10, FALSE)</f>
        <v>0</v>
      </c>
      <c r="L127">
        <f>VLOOKUP(Table56[[#This Row],[Shortname]], Comp[], 11, FALSE)</f>
        <v>10</v>
      </c>
      <c r="M127">
        <f>VLOOKUP(Table56[[#This Row],[Shortname]], Comp[],12, FALSE)</f>
        <v>0</v>
      </c>
      <c r="N127">
        <f>VLOOKUP(Table56[[#This Row],[Shortname]], Comp[], 13, FALSE)</f>
        <v>2</v>
      </c>
      <c r="O127">
        <f>VLOOKUP(Table56[[#This Row],[Shortname]], Comp[], 14, FALSE)</f>
        <v>0</v>
      </c>
      <c r="P127">
        <f>VLOOKUP(Table56[[#This Row],[Shortname]], Comp[], 15, FALSE)</f>
        <v>0</v>
      </c>
      <c r="Q127">
        <f>VLOOKUP(Table56[[#This Row],[Shortname]], Comp[], 16, FALSE)</f>
        <v>0</v>
      </c>
      <c r="R127">
        <f>VLOOKUP(Table56[[#This Row],[Shortname]], Comp[], 17, FALSE)</f>
        <v>0</v>
      </c>
      <c r="S127">
        <f>VLOOKUP(Table56[[#This Row],[Shortname]], Comp[], 18, FALSE)</f>
        <v>0</v>
      </c>
      <c r="T127">
        <f>VLOOKUP(Table56[[#This Row],[Shortname]], Comp[], 19, FALSE)</f>
        <v>0</v>
      </c>
      <c r="U127">
        <f>VLOOKUP(Table56[[#This Row],[Shortname]], Comp[], 20, FALSE)</f>
        <v>0</v>
      </c>
      <c r="V127">
        <f>VLOOKUP(Table56[[#This Row],[Shortname]], Comp[], 21, FALSE)</f>
        <v>0</v>
      </c>
      <c r="W127">
        <f>VLOOKUP(Table56[[#This Row],[Shortname]], Comp[], 22, FALSE)</f>
        <v>0</v>
      </c>
      <c r="X127">
        <f>VLOOKUP(Table56[[#This Row],[Shortname]], Comp[], 23, FALSE)</f>
        <v>0</v>
      </c>
      <c r="Y127">
        <f>VLOOKUP(Table56[[#This Row],[Shortname]], Comp[], 24, FALSE)</f>
        <v>0</v>
      </c>
      <c r="Z127">
        <f>VLOOKUP(Table56[[#This Row],[Shortname]], Comp[], 25, FALSE)</f>
        <v>0</v>
      </c>
      <c r="AA127">
        <f>VLOOKUP(Table56[[#This Row],[Shortname]], Comp[], 26, FALSE)</f>
        <v>0</v>
      </c>
      <c r="AB127">
        <f>VLOOKUP(Table56[[#This Row],[Shortname]], Comp[], 27, FALSE)</f>
        <v>0</v>
      </c>
      <c r="AC127">
        <f>VLOOKUP(Table56[[#This Row],[Shortname]], Comp[], 28, FALSE)</f>
        <v>0</v>
      </c>
      <c r="AD127">
        <f>VLOOKUP(Table56[[#This Row],[Shortname]], Comp[], 29, FALSE)</f>
        <v>0</v>
      </c>
      <c r="AE127">
        <f>VLOOKUP(Table56[[#This Row],[Shortname]], Comp[], 30, FALSE)</f>
        <v>0</v>
      </c>
      <c r="AF127">
        <f>VLOOKUP(Table56[[#This Row],[Shortname]], Comp[], 31, FALSE)</f>
        <v>0</v>
      </c>
    </row>
    <row r="128" spans="1:32" x14ac:dyDescent="0.3">
      <c r="A128" t="s">
        <v>1406</v>
      </c>
      <c r="B128" t="s">
        <v>1408</v>
      </c>
      <c r="C128" s="5" t="s">
        <v>1351</v>
      </c>
      <c r="D128">
        <v>1055</v>
      </c>
      <c r="E128">
        <v>1437</v>
      </c>
      <c r="F128">
        <v>1467</v>
      </c>
      <c r="G128">
        <f>VLOOKUP(Table56[[#This Row],[Shortname]], Comp[], 6, FALSE)</f>
        <v>179</v>
      </c>
      <c r="H128" s="14">
        <f>VLOOKUP(Table56[[#This Row],[Shortname]], Comp[], 7, FALSE)</f>
        <v>79</v>
      </c>
      <c r="I128">
        <f>VLOOKUP(Table56[[#This Row],[Shortname]], Comp[], 8, FALSE)</f>
        <v>0</v>
      </c>
      <c r="J128">
        <f>VLOOKUP(Table56[[#This Row],[Shortname]], Comp[], 9, FALSE)</f>
        <v>11</v>
      </c>
      <c r="K128">
        <f>VLOOKUP(Table56[[#This Row],[Shortname]], Comp[], 10, FALSE)</f>
        <v>0</v>
      </c>
      <c r="L128">
        <f>VLOOKUP(Table56[[#This Row],[Shortname]], Comp[], 11, FALSE)</f>
        <v>10</v>
      </c>
      <c r="M128">
        <f>VLOOKUP(Table56[[#This Row],[Shortname]], Comp[],12, FALSE)</f>
        <v>0</v>
      </c>
      <c r="N128">
        <f>VLOOKUP(Table56[[#This Row],[Shortname]], Comp[], 13, FALSE)</f>
        <v>0</v>
      </c>
      <c r="O128">
        <f>VLOOKUP(Table56[[#This Row],[Shortname]], Comp[], 14, FALSE)</f>
        <v>0</v>
      </c>
      <c r="P128">
        <f>VLOOKUP(Table56[[#This Row],[Shortname]], Comp[], 15, FALSE)</f>
        <v>0</v>
      </c>
      <c r="Q128">
        <f>VLOOKUP(Table56[[#This Row],[Shortname]], Comp[], 16, FALSE)</f>
        <v>0</v>
      </c>
      <c r="R128">
        <f>VLOOKUP(Table56[[#This Row],[Shortname]], Comp[], 17, FALSE)</f>
        <v>0</v>
      </c>
      <c r="S128">
        <f>VLOOKUP(Table56[[#This Row],[Shortname]], Comp[], 18, FALSE)</f>
        <v>0</v>
      </c>
      <c r="T128">
        <f>VLOOKUP(Table56[[#This Row],[Shortname]], Comp[], 19, FALSE)</f>
        <v>0</v>
      </c>
      <c r="U128">
        <f>VLOOKUP(Table56[[#This Row],[Shortname]], Comp[], 20, FALSE)</f>
        <v>0</v>
      </c>
      <c r="V128">
        <f>VLOOKUP(Table56[[#This Row],[Shortname]], Comp[], 21, FALSE)</f>
        <v>0</v>
      </c>
      <c r="W128">
        <f>VLOOKUP(Table56[[#This Row],[Shortname]], Comp[], 22, FALSE)</f>
        <v>0</v>
      </c>
      <c r="X128">
        <f>VLOOKUP(Table56[[#This Row],[Shortname]], Comp[], 23, FALSE)</f>
        <v>0</v>
      </c>
      <c r="Y128">
        <f>VLOOKUP(Table56[[#This Row],[Shortname]], Comp[], 24, FALSE)</f>
        <v>0</v>
      </c>
      <c r="Z128">
        <f>VLOOKUP(Table56[[#This Row],[Shortname]], Comp[], 25, FALSE)</f>
        <v>0</v>
      </c>
      <c r="AA128">
        <f>VLOOKUP(Table56[[#This Row],[Shortname]], Comp[], 26, FALSE)</f>
        <v>0</v>
      </c>
      <c r="AB128">
        <f>VLOOKUP(Table56[[#This Row],[Shortname]], Comp[], 27, FALSE)</f>
        <v>0</v>
      </c>
      <c r="AC128">
        <f>VLOOKUP(Table56[[#This Row],[Shortname]], Comp[], 28, FALSE)</f>
        <v>0</v>
      </c>
      <c r="AD128">
        <f>VLOOKUP(Table56[[#This Row],[Shortname]], Comp[], 29, FALSE)</f>
        <v>0</v>
      </c>
      <c r="AE128">
        <f>VLOOKUP(Table56[[#This Row],[Shortname]], Comp[], 30, FALSE)</f>
        <v>0</v>
      </c>
      <c r="AF128">
        <f>VLOOKUP(Table56[[#This Row],[Shortname]], Comp[], 31, FALSE)</f>
        <v>0</v>
      </c>
    </row>
    <row r="129" spans="1:32" x14ac:dyDescent="0.3">
      <c r="A129" t="s">
        <v>1381</v>
      </c>
      <c r="B129" t="s">
        <v>1383</v>
      </c>
      <c r="C129" s="5" t="s">
        <v>1351</v>
      </c>
      <c r="D129">
        <v>1034</v>
      </c>
      <c r="E129">
        <v>1449</v>
      </c>
      <c r="F129">
        <v>1482</v>
      </c>
      <c r="G129">
        <f>VLOOKUP(Table56[[#This Row],[Shortname]], Comp[], 6, FALSE)</f>
        <v>175</v>
      </c>
      <c r="H129" s="14">
        <f>VLOOKUP(Table56[[#This Row],[Shortname]], Comp[], 7, FALSE)</f>
        <v>81</v>
      </c>
      <c r="I129">
        <f>VLOOKUP(Table56[[#This Row],[Shortname]], Comp[], 8, FALSE)</f>
        <v>0</v>
      </c>
      <c r="J129">
        <f>VLOOKUP(Table56[[#This Row],[Shortname]], Comp[], 9, FALSE)</f>
        <v>9</v>
      </c>
      <c r="K129">
        <f>VLOOKUP(Table56[[#This Row],[Shortname]], Comp[], 10, FALSE)</f>
        <v>0</v>
      </c>
      <c r="L129">
        <f>VLOOKUP(Table56[[#This Row],[Shortname]], Comp[], 11, FALSE)</f>
        <v>10</v>
      </c>
      <c r="M129">
        <f>VLOOKUP(Table56[[#This Row],[Shortname]], Comp[],12, FALSE)</f>
        <v>0</v>
      </c>
      <c r="N129">
        <f>VLOOKUP(Table56[[#This Row],[Shortname]], Comp[], 13, FALSE)</f>
        <v>0</v>
      </c>
      <c r="O129">
        <f>VLOOKUP(Table56[[#This Row],[Shortname]], Comp[], 14, FALSE)</f>
        <v>0</v>
      </c>
      <c r="P129">
        <f>VLOOKUP(Table56[[#This Row],[Shortname]], Comp[], 15, FALSE)</f>
        <v>0</v>
      </c>
      <c r="Q129">
        <f>VLOOKUP(Table56[[#This Row],[Shortname]], Comp[], 16, FALSE)</f>
        <v>0</v>
      </c>
      <c r="R129">
        <f>VLOOKUP(Table56[[#This Row],[Shortname]], Comp[], 17, FALSE)</f>
        <v>0</v>
      </c>
      <c r="S129">
        <f>VLOOKUP(Table56[[#This Row],[Shortname]], Comp[], 18, FALSE)</f>
        <v>0</v>
      </c>
      <c r="T129">
        <f>VLOOKUP(Table56[[#This Row],[Shortname]], Comp[], 19, FALSE)</f>
        <v>0</v>
      </c>
      <c r="U129">
        <f>VLOOKUP(Table56[[#This Row],[Shortname]], Comp[], 20, FALSE)</f>
        <v>0</v>
      </c>
      <c r="V129">
        <f>VLOOKUP(Table56[[#This Row],[Shortname]], Comp[], 21, FALSE)</f>
        <v>0</v>
      </c>
      <c r="W129">
        <f>VLOOKUP(Table56[[#This Row],[Shortname]], Comp[], 22, FALSE)</f>
        <v>0</v>
      </c>
      <c r="X129">
        <f>VLOOKUP(Table56[[#This Row],[Shortname]], Comp[], 23, FALSE)</f>
        <v>0</v>
      </c>
      <c r="Y129">
        <f>VLOOKUP(Table56[[#This Row],[Shortname]], Comp[], 24, FALSE)</f>
        <v>0</v>
      </c>
      <c r="Z129">
        <f>VLOOKUP(Table56[[#This Row],[Shortname]], Comp[], 25, FALSE)</f>
        <v>0</v>
      </c>
      <c r="AA129">
        <f>VLOOKUP(Table56[[#This Row],[Shortname]], Comp[], 26, FALSE)</f>
        <v>0</v>
      </c>
      <c r="AB129">
        <f>VLOOKUP(Table56[[#This Row],[Shortname]], Comp[], 27, FALSE)</f>
        <v>0</v>
      </c>
      <c r="AC129">
        <f>VLOOKUP(Table56[[#This Row],[Shortname]], Comp[], 28, FALSE)</f>
        <v>0</v>
      </c>
      <c r="AD129">
        <f>VLOOKUP(Table56[[#This Row],[Shortname]], Comp[], 29, FALSE)</f>
        <v>0</v>
      </c>
      <c r="AE129">
        <f>VLOOKUP(Table56[[#This Row],[Shortname]], Comp[], 30, FALSE)</f>
        <v>0</v>
      </c>
      <c r="AF129">
        <f>VLOOKUP(Table56[[#This Row],[Shortname]], Comp[], 31, FALSE)</f>
        <v>0</v>
      </c>
    </row>
    <row r="130" spans="1:32" x14ac:dyDescent="0.3">
      <c r="A130" t="s">
        <v>1510</v>
      </c>
      <c r="B130" t="s">
        <v>1512</v>
      </c>
      <c r="C130" s="6" t="s">
        <v>1513</v>
      </c>
      <c r="D130">
        <v>712</v>
      </c>
      <c r="E130">
        <v>1100</v>
      </c>
      <c r="F130">
        <v>1372</v>
      </c>
      <c r="G130">
        <f>VLOOKUP(Table56[[#This Row],[Shortname]], Comp[], 6, FALSE)</f>
        <v>193</v>
      </c>
      <c r="H130" s="14">
        <f>VLOOKUP(Table56[[#This Row],[Shortname]], Comp[], 7, FALSE)</f>
        <v>75.489999999999995</v>
      </c>
      <c r="I130">
        <f>VLOOKUP(Table56[[#This Row],[Shortname]], Comp[], 8, FALSE)</f>
        <v>0</v>
      </c>
      <c r="J130">
        <f>VLOOKUP(Table56[[#This Row],[Shortname]], Comp[], 9, FALSE)</f>
        <v>11.65</v>
      </c>
      <c r="K130">
        <f>VLOOKUP(Table56[[#This Row],[Shortname]], Comp[], 10, FALSE)</f>
        <v>0</v>
      </c>
      <c r="L130">
        <f>VLOOKUP(Table56[[#This Row],[Shortname]], Comp[], 11, FALSE)</f>
        <v>9.0299999999999994</v>
      </c>
      <c r="M130">
        <f>VLOOKUP(Table56[[#This Row],[Shortname]], Comp[],12, FALSE)</f>
        <v>2.14</v>
      </c>
      <c r="N130">
        <f>VLOOKUP(Table56[[#This Row],[Shortname]], Comp[], 13, FALSE)</f>
        <v>1.69</v>
      </c>
      <c r="O130">
        <f>VLOOKUP(Table56[[#This Row],[Shortname]], Comp[], 14, FALSE)</f>
        <v>0</v>
      </c>
      <c r="P130">
        <f>VLOOKUP(Table56[[#This Row],[Shortname]], Comp[], 15, FALSE)</f>
        <v>0</v>
      </c>
      <c r="Q130">
        <f>VLOOKUP(Table56[[#This Row],[Shortname]], Comp[], 16, FALSE)</f>
        <v>0</v>
      </c>
      <c r="R130">
        <f>VLOOKUP(Table56[[#This Row],[Shortname]], Comp[], 17, FALSE)</f>
        <v>0</v>
      </c>
      <c r="S130">
        <f>VLOOKUP(Table56[[#This Row],[Shortname]], Comp[], 18, FALSE)</f>
        <v>0</v>
      </c>
      <c r="T130">
        <f>VLOOKUP(Table56[[#This Row],[Shortname]], Comp[], 19, FALSE)</f>
        <v>0</v>
      </c>
      <c r="U130">
        <f>VLOOKUP(Table56[[#This Row],[Shortname]], Comp[], 20, FALSE)</f>
        <v>0</v>
      </c>
      <c r="V130">
        <f>VLOOKUP(Table56[[#This Row],[Shortname]], Comp[], 21, FALSE)</f>
        <v>0</v>
      </c>
      <c r="W130">
        <f>VLOOKUP(Table56[[#This Row],[Shortname]], Comp[], 22, FALSE)</f>
        <v>0</v>
      </c>
      <c r="X130">
        <f>VLOOKUP(Table56[[#This Row],[Shortname]], Comp[], 23, FALSE)</f>
        <v>0</v>
      </c>
      <c r="Y130">
        <f>VLOOKUP(Table56[[#This Row],[Shortname]], Comp[], 24, FALSE)</f>
        <v>0</v>
      </c>
      <c r="Z130">
        <f>VLOOKUP(Table56[[#This Row],[Shortname]], Comp[], 25, FALSE)</f>
        <v>0</v>
      </c>
      <c r="AA130">
        <f>VLOOKUP(Table56[[#This Row],[Shortname]], Comp[], 26, FALSE)</f>
        <v>0</v>
      </c>
      <c r="AB130">
        <f>VLOOKUP(Table56[[#This Row],[Shortname]], Comp[], 27, FALSE)</f>
        <v>0</v>
      </c>
      <c r="AC130">
        <f>VLOOKUP(Table56[[#This Row],[Shortname]], Comp[], 28, FALSE)</f>
        <v>0</v>
      </c>
      <c r="AD130">
        <f>VLOOKUP(Table56[[#This Row],[Shortname]], Comp[], 29, FALSE)</f>
        <v>0</v>
      </c>
      <c r="AE130">
        <f>VLOOKUP(Table56[[#This Row],[Shortname]], Comp[], 30, FALSE)</f>
        <v>0</v>
      </c>
      <c r="AF130">
        <f>VLOOKUP(Table56[[#This Row],[Shortname]], Comp[], 31, FALSE)</f>
        <v>0</v>
      </c>
    </row>
    <row r="131" spans="1:32" x14ac:dyDescent="0.3">
      <c r="A131" t="s">
        <v>1519</v>
      </c>
      <c r="B131" t="s">
        <v>1521</v>
      </c>
      <c r="C131" s="6" t="s">
        <v>1513</v>
      </c>
      <c r="D131">
        <v>710</v>
      </c>
      <c r="E131">
        <v>1010</v>
      </c>
      <c r="F131">
        <v>1443</v>
      </c>
      <c r="G131">
        <f>VLOOKUP(Table56[[#This Row],[Shortname]], Comp[], 6, FALSE)</f>
        <v>194</v>
      </c>
      <c r="H131" s="14">
        <f>VLOOKUP(Table56[[#This Row],[Shortname]], Comp[], 7, FALSE)</f>
        <v>78.63</v>
      </c>
      <c r="I131">
        <f>VLOOKUP(Table56[[#This Row],[Shortname]], Comp[], 8, FALSE)</f>
        <v>0</v>
      </c>
      <c r="J131">
        <f>VLOOKUP(Table56[[#This Row],[Shortname]], Comp[], 9, FALSE)</f>
        <v>13.66</v>
      </c>
      <c r="K131">
        <f>VLOOKUP(Table56[[#This Row],[Shortname]], Comp[], 10, FALSE)</f>
        <v>0</v>
      </c>
      <c r="L131">
        <f>VLOOKUP(Table56[[#This Row],[Shortname]], Comp[], 11, FALSE)</f>
        <v>7.71</v>
      </c>
      <c r="M131">
        <f>VLOOKUP(Table56[[#This Row],[Shortname]], Comp[],12, FALSE)</f>
        <v>0</v>
      </c>
      <c r="N131">
        <f>VLOOKUP(Table56[[#This Row],[Shortname]], Comp[], 13, FALSE)</f>
        <v>0</v>
      </c>
      <c r="O131">
        <f>VLOOKUP(Table56[[#This Row],[Shortname]], Comp[], 14, FALSE)</f>
        <v>0</v>
      </c>
      <c r="P131">
        <f>VLOOKUP(Table56[[#This Row],[Shortname]], Comp[], 15, FALSE)</f>
        <v>0</v>
      </c>
      <c r="Q131">
        <f>VLOOKUP(Table56[[#This Row],[Shortname]], Comp[], 16, FALSE)</f>
        <v>0</v>
      </c>
      <c r="R131">
        <f>VLOOKUP(Table56[[#This Row],[Shortname]], Comp[], 17, FALSE)</f>
        <v>0</v>
      </c>
      <c r="S131">
        <f>VLOOKUP(Table56[[#This Row],[Shortname]], Comp[], 18, FALSE)</f>
        <v>0</v>
      </c>
      <c r="T131">
        <f>VLOOKUP(Table56[[#This Row],[Shortname]], Comp[], 19, FALSE)</f>
        <v>0</v>
      </c>
      <c r="U131">
        <f>VLOOKUP(Table56[[#This Row],[Shortname]], Comp[], 20, FALSE)</f>
        <v>0</v>
      </c>
      <c r="V131">
        <f>VLOOKUP(Table56[[#This Row],[Shortname]], Comp[], 21, FALSE)</f>
        <v>0</v>
      </c>
      <c r="W131">
        <f>VLOOKUP(Table56[[#This Row],[Shortname]], Comp[], 22, FALSE)</f>
        <v>0</v>
      </c>
      <c r="X131">
        <f>VLOOKUP(Table56[[#This Row],[Shortname]], Comp[], 23, FALSE)</f>
        <v>0</v>
      </c>
      <c r="Y131">
        <f>VLOOKUP(Table56[[#This Row],[Shortname]], Comp[], 24, FALSE)</f>
        <v>0</v>
      </c>
      <c r="Z131">
        <f>VLOOKUP(Table56[[#This Row],[Shortname]], Comp[], 25, FALSE)</f>
        <v>0</v>
      </c>
      <c r="AA131">
        <f>VLOOKUP(Table56[[#This Row],[Shortname]], Comp[], 26, FALSE)</f>
        <v>0</v>
      </c>
      <c r="AB131">
        <f>VLOOKUP(Table56[[#This Row],[Shortname]], Comp[], 27, FALSE)</f>
        <v>0</v>
      </c>
      <c r="AC131">
        <f>VLOOKUP(Table56[[#This Row],[Shortname]], Comp[], 28, FALSE)</f>
        <v>0</v>
      </c>
      <c r="AD131">
        <f>VLOOKUP(Table56[[#This Row],[Shortname]], Comp[], 29, FALSE)</f>
        <v>0</v>
      </c>
      <c r="AE131">
        <f>VLOOKUP(Table56[[#This Row],[Shortname]], Comp[], 30, FALSE)</f>
        <v>0</v>
      </c>
      <c r="AF131">
        <f>VLOOKUP(Table56[[#This Row],[Shortname]], Comp[], 31, FALSE)</f>
        <v>0</v>
      </c>
    </row>
    <row r="132" spans="1:32" x14ac:dyDescent="0.3">
      <c r="A132" s="7" t="s">
        <v>4980</v>
      </c>
      <c r="B132" t="s">
        <v>4982</v>
      </c>
      <c r="C132" s="6" t="s">
        <v>4983</v>
      </c>
      <c r="D132" s="6">
        <v>1060</v>
      </c>
      <c r="E132">
        <v>1363</v>
      </c>
      <c r="F132">
        <v>1428</v>
      </c>
      <c r="G132">
        <f>VLOOKUP(Table56[[#This Row],[Shortname]], Comp[], 6, FALSE)</f>
        <v>764</v>
      </c>
      <c r="H132" s="14">
        <f>VLOOKUP(Table56[[#This Row],[Shortname]], Comp[], 7, FALSE)</f>
        <v>32.38000000000001</v>
      </c>
      <c r="I132">
        <f>VLOOKUP(Table56[[#This Row],[Shortname]], Comp[], 8, FALSE)</f>
        <v>37.6</v>
      </c>
      <c r="J132">
        <f>VLOOKUP(Table56[[#This Row],[Shortname]], Comp[], 9, FALSE)</f>
        <v>8.9</v>
      </c>
      <c r="K132">
        <f>VLOOKUP(Table56[[#This Row],[Shortname]], Comp[], 10, FALSE)</f>
        <v>15.8</v>
      </c>
      <c r="L132">
        <f>VLOOKUP(Table56[[#This Row],[Shortname]], Comp[], 11, FALSE)</f>
        <v>2.8</v>
      </c>
      <c r="M132">
        <f>VLOOKUP(Table56[[#This Row],[Shortname]], Comp[],12, FALSE)</f>
        <v>1.8</v>
      </c>
      <c r="N132">
        <f>VLOOKUP(Table56[[#This Row],[Shortname]], Comp[], 13, FALSE)</f>
        <v>0.5</v>
      </c>
      <c r="O132">
        <f>VLOOKUP(Table56[[#This Row],[Shortname]], Comp[], 14, FALSE)</f>
        <v>0</v>
      </c>
      <c r="P132">
        <f>VLOOKUP(Table56[[#This Row],[Shortname]], Comp[], 15, FALSE)</f>
        <v>0</v>
      </c>
      <c r="Q132">
        <f>VLOOKUP(Table56[[#This Row],[Shortname]], Comp[], 16, FALSE)</f>
        <v>0</v>
      </c>
      <c r="R132">
        <f>VLOOKUP(Table56[[#This Row],[Shortname]], Comp[], 17, FALSE)</f>
        <v>0.14000000000000001</v>
      </c>
      <c r="S132">
        <f>VLOOKUP(Table56[[#This Row],[Shortname]], Comp[], 18, FALSE)</f>
        <v>0.03</v>
      </c>
      <c r="T132">
        <f>VLOOKUP(Table56[[#This Row],[Shortname]], Comp[], 19, FALSE)</f>
        <v>0.05</v>
      </c>
      <c r="U132">
        <f>VLOOKUP(Table56[[#This Row],[Shortname]], Comp[], 20, FALSE)</f>
        <v>0</v>
      </c>
      <c r="V132">
        <f>VLOOKUP(Table56[[#This Row],[Shortname]], Comp[], 21, FALSE)</f>
        <v>0</v>
      </c>
      <c r="W132">
        <f>VLOOKUP(Table56[[#This Row],[Shortname]], Comp[], 22, FALSE)</f>
        <v>0</v>
      </c>
      <c r="X132">
        <f>VLOOKUP(Table56[[#This Row],[Shortname]], Comp[], 23, FALSE)</f>
        <v>0</v>
      </c>
      <c r="Y132">
        <f>VLOOKUP(Table56[[#This Row],[Shortname]], Comp[], 24, FALSE)</f>
        <v>0</v>
      </c>
      <c r="Z132">
        <f>VLOOKUP(Table56[[#This Row],[Shortname]], Comp[], 25, FALSE)</f>
        <v>0</v>
      </c>
      <c r="AA132">
        <f>VLOOKUP(Table56[[#This Row],[Shortname]], Comp[], 26, FALSE)</f>
        <v>0</v>
      </c>
      <c r="AB132">
        <f>VLOOKUP(Table56[[#This Row],[Shortname]], Comp[], 27, FALSE)</f>
        <v>0</v>
      </c>
      <c r="AC132">
        <f>VLOOKUP(Table56[[#This Row],[Shortname]], Comp[], 28, FALSE)</f>
        <v>0</v>
      </c>
      <c r="AD132">
        <f>VLOOKUP(Table56[[#This Row],[Shortname]], Comp[], 29, FALSE)</f>
        <v>0</v>
      </c>
      <c r="AE132">
        <f>VLOOKUP(Table56[[#This Row],[Shortname]], Comp[], 30, FALSE)</f>
        <v>0</v>
      </c>
      <c r="AF132">
        <f>VLOOKUP(Table56[[#This Row],[Shortname]], Comp[], 31, FALSE)</f>
        <v>0</v>
      </c>
    </row>
    <row r="133" spans="1:32" x14ac:dyDescent="0.3">
      <c r="A133" t="s">
        <v>1613</v>
      </c>
      <c r="B133" t="s">
        <v>1615</v>
      </c>
      <c r="C133" s="3" t="s">
        <v>1568</v>
      </c>
      <c r="D133">
        <v>1035</v>
      </c>
      <c r="E133">
        <v>1274</v>
      </c>
      <c r="F133">
        <v>1370</v>
      </c>
      <c r="G133">
        <f>VLOOKUP(Table56[[#This Row],[Shortname]], Comp[], 6, FALSE)</f>
        <v>205</v>
      </c>
      <c r="H133" s="14">
        <f>VLOOKUP(Table56[[#This Row],[Shortname]], Comp[], 7, FALSE)</f>
        <v>43.83</v>
      </c>
      <c r="I133">
        <f>VLOOKUP(Table56[[#This Row],[Shortname]], Comp[], 8, FALSE)</f>
        <v>29.69</v>
      </c>
      <c r="J133">
        <f>VLOOKUP(Table56[[#This Row],[Shortname]], Comp[], 9, FALSE)</f>
        <v>9.0500000000000007</v>
      </c>
      <c r="K133">
        <f>VLOOKUP(Table56[[#This Row],[Shortname]], Comp[], 10, FALSE)</f>
        <v>12.43</v>
      </c>
      <c r="L133">
        <f>VLOOKUP(Table56[[#This Row],[Shortname]], Comp[], 11, FALSE)</f>
        <v>1.26</v>
      </c>
      <c r="M133">
        <f>VLOOKUP(Table56[[#This Row],[Shortname]], Comp[],12, FALSE)</f>
        <v>0</v>
      </c>
      <c r="N133">
        <f>VLOOKUP(Table56[[#This Row],[Shortname]], Comp[], 13, FALSE)</f>
        <v>0</v>
      </c>
      <c r="O133">
        <f>VLOOKUP(Table56[[#This Row],[Shortname]], Comp[], 14, FALSE)</f>
        <v>3.74</v>
      </c>
      <c r="P133">
        <f>VLOOKUP(Table56[[#This Row],[Shortname]], Comp[], 15, FALSE)</f>
        <v>0</v>
      </c>
      <c r="Q133">
        <f>VLOOKUP(Table56[[#This Row],[Shortname]], Comp[], 16, FALSE)</f>
        <v>0</v>
      </c>
      <c r="R133">
        <f>VLOOKUP(Table56[[#This Row],[Shortname]], Comp[], 17, FALSE)</f>
        <v>0</v>
      </c>
      <c r="S133">
        <f>VLOOKUP(Table56[[#This Row],[Shortname]], Comp[], 18, FALSE)</f>
        <v>0</v>
      </c>
      <c r="T133">
        <f>VLOOKUP(Table56[[#This Row],[Shortname]], Comp[], 19, FALSE)</f>
        <v>0</v>
      </c>
      <c r="U133">
        <f>VLOOKUP(Table56[[#This Row],[Shortname]], Comp[], 20, FALSE)</f>
        <v>0</v>
      </c>
      <c r="V133">
        <f>VLOOKUP(Table56[[#This Row],[Shortname]], Comp[], 21, FALSE)</f>
        <v>0</v>
      </c>
      <c r="W133">
        <f>VLOOKUP(Table56[[#This Row],[Shortname]], Comp[], 22, FALSE)</f>
        <v>0</v>
      </c>
      <c r="X133">
        <f>VLOOKUP(Table56[[#This Row],[Shortname]], Comp[], 23, FALSE)</f>
        <v>0</v>
      </c>
      <c r="Y133">
        <f>VLOOKUP(Table56[[#This Row],[Shortname]], Comp[], 24, FALSE)</f>
        <v>0</v>
      </c>
      <c r="Z133">
        <f>VLOOKUP(Table56[[#This Row],[Shortname]], Comp[], 25, FALSE)</f>
        <v>0</v>
      </c>
      <c r="AA133">
        <f>VLOOKUP(Table56[[#This Row],[Shortname]], Comp[], 26, FALSE)</f>
        <v>0</v>
      </c>
      <c r="AB133">
        <f>VLOOKUP(Table56[[#This Row],[Shortname]], Comp[], 27, FALSE)</f>
        <v>0</v>
      </c>
      <c r="AC133">
        <f>VLOOKUP(Table56[[#This Row],[Shortname]], Comp[], 28, FALSE)</f>
        <v>0</v>
      </c>
      <c r="AD133">
        <f>VLOOKUP(Table56[[#This Row],[Shortname]], Comp[], 29, FALSE)</f>
        <v>0</v>
      </c>
      <c r="AE133">
        <f>VLOOKUP(Table56[[#This Row],[Shortname]], Comp[], 30, FALSE)</f>
        <v>0</v>
      </c>
      <c r="AF133">
        <f>VLOOKUP(Table56[[#This Row],[Shortname]], Comp[], 31, FALSE)</f>
        <v>0</v>
      </c>
    </row>
    <row r="134" spans="1:32" x14ac:dyDescent="0.3">
      <c r="A134" t="s">
        <v>1607</v>
      </c>
      <c r="B134" t="s">
        <v>1609</v>
      </c>
      <c r="C134" s="3" t="s">
        <v>1568</v>
      </c>
      <c r="D134">
        <v>1005</v>
      </c>
      <c r="E134">
        <v>1342</v>
      </c>
      <c r="F134">
        <v>1403</v>
      </c>
      <c r="G134">
        <f>VLOOKUP(Table56[[#This Row],[Shortname]], Comp[], 6, FALSE)</f>
        <v>204</v>
      </c>
      <c r="H134" s="14">
        <f>VLOOKUP(Table56[[#This Row],[Shortname]], Comp[], 7, FALSE)</f>
        <v>44.41</v>
      </c>
      <c r="I134">
        <f>VLOOKUP(Table56[[#This Row],[Shortname]], Comp[], 8, FALSE)</f>
        <v>29.89</v>
      </c>
      <c r="J134">
        <f>VLOOKUP(Table56[[#This Row],[Shortname]], Comp[], 9, FALSE)</f>
        <v>8.69</v>
      </c>
      <c r="K134">
        <f>VLOOKUP(Table56[[#This Row],[Shortname]], Comp[], 10, FALSE)</f>
        <v>12.11</v>
      </c>
      <c r="L134">
        <f>VLOOKUP(Table56[[#This Row],[Shortname]], Comp[], 11, FALSE)</f>
        <v>3.09</v>
      </c>
      <c r="M134">
        <f>VLOOKUP(Table56[[#This Row],[Shortname]], Comp[],12, FALSE)</f>
        <v>0</v>
      </c>
      <c r="N134">
        <f>VLOOKUP(Table56[[#This Row],[Shortname]], Comp[], 13, FALSE)</f>
        <v>0</v>
      </c>
      <c r="O134">
        <f>VLOOKUP(Table56[[#This Row],[Shortname]], Comp[], 14, FALSE)</f>
        <v>1.81</v>
      </c>
      <c r="P134">
        <f>VLOOKUP(Table56[[#This Row],[Shortname]], Comp[], 15, FALSE)</f>
        <v>0</v>
      </c>
      <c r="Q134">
        <f>VLOOKUP(Table56[[#This Row],[Shortname]], Comp[], 16, FALSE)</f>
        <v>0</v>
      </c>
      <c r="R134">
        <f>VLOOKUP(Table56[[#This Row],[Shortname]], Comp[], 17, FALSE)</f>
        <v>0</v>
      </c>
      <c r="S134">
        <f>VLOOKUP(Table56[[#This Row],[Shortname]], Comp[], 18, FALSE)</f>
        <v>0</v>
      </c>
      <c r="T134">
        <f>VLOOKUP(Table56[[#This Row],[Shortname]], Comp[], 19, FALSE)</f>
        <v>0</v>
      </c>
      <c r="U134">
        <f>VLOOKUP(Table56[[#This Row],[Shortname]], Comp[], 20, FALSE)</f>
        <v>0</v>
      </c>
      <c r="V134">
        <f>VLOOKUP(Table56[[#This Row],[Shortname]], Comp[], 21, FALSE)</f>
        <v>0</v>
      </c>
      <c r="W134">
        <f>VLOOKUP(Table56[[#This Row],[Shortname]], Comp[], 22, FALSE)</f>
        <v>0</v>
      </c>
      <c r="X134">
        <f>VLOOKUP(Table56[[#This Row],[Shortname]], Comp[], 23, FALSE)</f>
        <v>0</v>
      </c>
      <c r="Y134">
        <f>VLOOKUP(Table56[[#This Row],[Shortname]], Comp[], 24, FALSE)</f>
        <v>0</v>
      </c>
      <c r="Z134">
        <f>VLOOKUP(Table56[[#This Row],[Shortname]], Comp[], 25, FALSE)</f>
        <v>0</v>
      </c>
      <c r="AA134">
        <f>VLOOKUP(Table56[[#This Row],[Shortname]], Comp[], 26, FALSE)</f>
        <v>0</v>
      </c>
      <c r="AB134">
        <f>VLOOKUP(Table56[[#This Row],[Shortname]], Comp[], 27, FALSE)</f>
        <v>0</v>
      </c>
      <c r="AC134">
        <f>VLOOKUP(Table56[[#This Row],[Shortname]], Comp[], 28, FALSE)</f>
        <v>0</v>
      </c>
      <c r="AD134">
        <f>VLOOKUP(Table56[[#This Row],[Shortname]], Comp[], 29, FALSE)</f>
        <v>0</v>
      </c>
      <c r="AE134">
        <f>VLOOKUP(Table56[[#This Row],[Shortname]], Comp[], 30, FALSE)</f>
        <v>0</v>
      </c>
      <c r="AF134">
        <f>VLOOKUP(Table56[[#This Row],[Shortname]], Comp[], 31, FALSE)</f>
        <v>0</v>
      </c>
    </row>
    <row r="135" spans="1:32" x14ac:dyDescent="0.3">
      <c r="A135" t="s">
        <v>1599</v>
      </c>
      <c r="B135" t="s">
        <v>1601</v>
      </c>
      <c r="C135" s="3" t="s">
        <v>1568</v>
      </c>
      <c r="D135">
        <v>996</v>
      </c>
      <c r="E135">
        <v>1380</v>
      </c>
      <c r="F135">
        <v>1422</v>
      </c>
      <c r="G135">
        <f>VLOOKUP(Table56[[#This Row],[Shortname]], Comp[], 6, FALSE)</f>
        <v>203</v>
      </c>
      <c r="H135" s="14">
        <f>VLOOKUP(Table56[[#This Row],[Shortname]], Comp[], 7, FALSE)</f>
        <v>43.760000000000005</v>
      </c>
      <c r="I135">
        <f>VLOOKUP(Table56[[#This Row],[Shortname]], Comp[], 8, FALSE)</f>
        <v>29.91</v>
      </c>
      <c r="J135">
        <f>VLOOKUP(Table56[[#This Row],[Shortname]], Comp[], 9, FALSE)</f>
        <v>9.0299999999999994</v>
      </c>
      <c r="K135">
        <f>VLOOKUP(Table56[[#This Row],[Shortname]], Comp[], 10, FALSE)</f>
        <v>12.19</v>
      </c>
      <c r="L135">
        <f>VLOOKUP(Table56[[#This Row],[Shortname]], Comp[], 11, FALSE)</f>
        <v>4.07</v>
      </c>
      <c r="M135">
        <f>VLOOKUP(Table56[[#This Row],[Shortname]], Comp[],12, FALSE)</f>
        <v>0</v>
      </c>
      <c r="N135">
        <f>VLOOKUP(Table56[[#This Row],[Shortname]], Comp[], 13, FALSE)</f>
        <v>0</v>
      </c>
      <c r="O135">
        <f>VLOOKUP(Table56[[#This Row],[Shortname]], Comp[], 14, FALSE)</f>
        <v>1.04</v>
      </c>
      <c r="P135">
        <f>VLOOKUP(Table56[[#This Row],[Shortname]], Comp[], 15, FALSE)</f>
        <v>0</v>
      </c>
      <c r="Q135">
        <f>VLOOKUP(Table56[[#This Row],[Shortname]], Comp[], 16, FALSE)</f>
        <v>0</v>
      </c>
      <c r="R135">
        <f>VLOOKUP(Table56[[#This Row],[Shortname]], Comp[], 17, FALSE)</f>
        <v>0</v>
      </c>
      <c r="S135">
        <f>VLOOKUP(Table56[[#This Row],[Shortname]], Comp[], 18, FALSE)</f>
        <v>0</v>
      </c>
      <c r="T135">
        <f>VLOOKUP(Table56[[#This Row],[Shortname]], Comp[], 19, FALSE)</f>
        <v>0</v>
      </c>
      <c r="U135">
        <f>VLOOKUP(Table56[[#This Row],[Shortname]], Comp[], 20, FALSE)</f>
        <v>0</v>
      </c>
      <c r="V135">
        <f>VLOOKUP(Table56[[#This Row],[Shortname]], Comp[], 21, FALSE)</f>
        <v>0</v>
      </c>
      <c r="W135">
        <f>VLOOKUP(Table56[[#This Row],[Shortname]], Comp[], 22, FALSE)</f>
        <v>0</v>
      </c>
      <c r="X135">
        <f>VLOOKUP(Table56[[#This Row],[Shortname]], Comp[], 23, FALSE)</f>
        <v>0</v>
      </c>
      <c r="Y135">
        <f>VLOOKUP(Table56[[#This Row],[Shortname]], Comp[], 24, FALSE)</f>
        <v>0</v>
      </c>
      <c r="Z135">
        <f>VLOOKUP(Table56[[#This Row],[Shortname]], Comp[], 25, FALSE)</f>
        <v>0</v>
      </c>
      <c r="AA135">
        <f>VLOOKUP(Table56[[#This Row],[Shortname]], Comp[], 26, FALSE)</f>
        <v>0</v>
      </c>
      <c r="AB135">
        <f>VLOOKUP(Table56[[#This Row],[Shortname]], Comp[], 27, FALSE)</f>
        <v>0</v>
      </c>
      <c r="AC135">
        <f>VLOOKUP(Table56[[#This Row],[Shortname]], Comp[], 28, FALSE)</f>
        <v>0</v>
      </c>
      <c r="AD135">
        <f>VLOOKUP(Table56[[#This Row],[Shortname]], Comp[], 29, FALSE)</f>
        <v>0</v>
      </c>
      <c r="AE135">
        <f>VLOOKUP(Table56[[#This Row],[Shortname]], Comp[], 30, FALSE)</f>
        <v>0</v>
      </c>
      <c r="AF135">
        <f>VLOOKUP(Table56[[#This Row],[Shortname]], Comp[], 31, FALSE)</f>
        <v>0</v>
      </c>
    </row>
    <row r="136" spans="1:32" x14ac:dyDescent="0.3">
      <c r="A136" t="s">
        <v>1565</v>
      </c>
      <c r="B136" t="s">
        <v>1567</v>
      </c>
      <c r="C136" s="3" t="s">
        <v>1568</v>
      </c>
      <c r="D136">
        <v>973</v>
      </c>
      <c r="E136">
        <v>1415</v>
      </c>
      <c r="F136">
        <v>1440</v>
      </c>
      <c r="G136">
        <f>VLOOKUP(Table56[[#This Row],[Shortname]], Comp[], 6, FALSE)</f>
        <v>199</v>
      </c>
      <c r="H136" s="14">
        <f>VLOOKUP(Table56[[#This Row],[Shortname]], Comp[], 7, FALSE)</f>
        <v>44.04</v>
      </c>
      <c r="I136">
        <f>VLOOKUP(Table56[[#This Row],[Shortname]], Comp[], 8, FALSE)</f>
        <v>29.71</v>
      </c>
      <c r="J136">
        <f>VLOOKUP(Table56[[#This Row],[Shortname]], Comp[], 9, FALSE)</f>
        <v>8.86</v>
      </c>
      <c r="K136">
        <f>VLOOKUP(Table56[[#This Row],[Shortname]], Comp[], 10, FALSE)</f>
        <v>12.32</v>
      </c>
      <c r="L136">
        <f>VLOOKUP(Table56[[#This Row],[Shortname]], Comp[], 11, FALSE)</f>
        <v>5.07</v>
      </c>
      <c r="M136">
        <f>VLOOKUP(Table56[[#This Row],[Shortname]], Comp[],12, FALSE)</f>
        <v>0</v>
      </c>
      <c r="N136">
        <f>VLOOKUP(Table56[[#This Row],[Shortname]], Comp[], 13, FALSE)</f>
        <v>0</v>
      </c>
      <c r="O136">
        <f>VLOOKUP(Table56[[#This Row],[Shortname]], Comp[], 14, FALSE)</f>
        <v>0</v>
      </c>
      <c r="P136">
        <f>VLOOKUP(Table56[[#This Row],[Shortname]], Comp[], 15, FALSE)</f>
        <v>0</v>
      </c>
      <c r="Q136">
        <f>VLOOKUP(Table56[[#This Row],[Shortname]], Comp[], 16, FALSE)</f>
        <v>0</v>
      </c>
      <c r="R136">
        <f>VLOOKUP(Table56[[#This Row],[Shortname]], Comp[], 17, FALSE)</f>
        <v>0</v>
      </c>
      <c r="S136">
        <f>VLOOKUP(Table56[[#This Row],[Shortname]], Comp[], 18, FALSE)</f>
        <v>0</v>
      </c>
      <c r="T136">
        <f>VLOOKUP(Table56[[#This Row],[Shortname]], Comp[], 19, FALSE)</f>
        <v>0</v>
      </c>
      <c r="U136">
        <f>VLOOKUP(Table56[[#This Row],[Shortname]], Comp[], 20, FALSE)</f>
        <v>0</v>
      </c>
      <c r="V136">
        <f>VLOOKUP(Table56[[#This Row],[Shortname]], Comp[], 21, FALSE)</f>
        <v>0</v>
      </c>
      <c r="W136">
        <f>VLOOKUP(Table56[[#This Row],[Shortname]], Comp[], 22, FALSE)</f>
        <v>0</v>
      </c>
      <c r="X136">
        <f>VLOOKUP(Table56[[#This Row],[Shortname]], Comp[], 23, FALSE)</f>
        <v>0</v>
      </c>
      <c r="Y136">
        <f>VLOOKUP(Table56[[#This Row],[Shortname]], Comp[], 24, FALSE)</f>
        <v>0</v>
      </c>
      <c r="Z136">
        <f>VLOOKUP(Table56[[#This Row],[Shortname]], Comp[], 25, FALSE)</f>
        <v>0</v>
      </c>
      <c r="AA136">
        <f>VLOOKUP(Table56[[#This Row],[Shortname]], Comp[], 26, FALSE)</f>
        <v>0</v>
      </c>
      <c r="AB136">
        <f>VLOOKUP(Table56[[#This Row],[Shortname]], Comp[], 27, FALSE)</f>
        <v>0</v>
      </c>
      <c r="AC136">
        <f>VLOOKUP(Table56[[#This Row],[Shortname]], Comp[], 28, FALSE)</f>
        <v>0</v>
      </c>
      <c r="AD136">
        <f>VLOOKUP(Table56[[#This Row],[Shortname]], Comp[], 29, FALSE)</f>
        <v>0</v>
      </c>
      <c r="AE136">
        <f>VLOOKUP(Table56[[#This Row],[Shortname]], Comp[], 30, FALSE)</f>
        <v>0</v>
      </c>
      <c r="AF136">
        <f>VLOOKUP(Table56[[#This Row],[Shortname]], Comp[], 31, FALSE)</f>
        <v>0</v>
      </c>
    </row>
    <row r="137" spans="1:32" x14ac:dyDescent="0.3">
      <c r="A137" t="s">
        <v>1574</v>
      </c>
      <c r="B137" t="s">
        <v>1576</v>
      </c>
      <c r="C137" s="3" t="s">
        <v>1568</v>
      </c>
      <c r="D137">
        <v>964</v>
      </c>
      <c r="E137">
        <v>1409</v>
      </c>
      <c r="F137">
        <v>1433</v>
      </c>
      <c r="G137">
        <f>VLOOKUP(Table56[[#This Row],[Shortname]], Comp[], 6, FALSE)</f>
        <v>200</v>
      </c>
      <c r="H137" s="14">
        <f>VLOOKUP(Table56[[#This Row],[Shortname]], Comp[], 7, FALSE)</f>
        <v>44.07</v>
      </c>
      <c r="I137">
        <f>VLOOKUP(Table56[[#This Row],[Shortname]], Comp[], 8, FALSE)</f>
        <v>29.49</v>
      </c>
      <c r="J137">
        <f>VLOOKUP(Table56[[#This Row],[Shortname]], Comp[], 9, FALSE)</f>
        <v>8.9</v>
      </c>
      <c r="K137">
        <f>VLOOKUP(Table56[[#This Row],[Shortname]], Comp[], 10, FALSE)</f>
        <v>12.58</v>
      </c>
      <c r="L137">
        <f>VLOOKUP(Table56[[#This Row],[Shortname]], Comp[], 11, FALSE)</f>
        <v>3.92</v>
      </c>
      <c r="M137">
        <f>VLOOKUP(Table56[[#This Row],[Shortname]], Comp[],12, FALSE)</f>
        <v>0</v>
      </c>
      <c r="N137">
        <f>VLOOKUP(Table56[[#This Row],[Shortname]], Comp[], 13, FALSE)</f>
        <v>0</v>
      </c>
      <c r="O137">
        <f>VLOOKUP(Table56[[#This Row],[Shortname]], Comp[], 14, FALSE)</f>
        <v>0</v>
      </c>
      <c r="P137">
        <f>VLOOKUP(Table56[[#This Row],[Shortname]], Comp[], 15, FALSE)</f>
        <v>0</v>
      </c>
      <c r="Q137">
        <f>VLOOKUP(Table56[[#This Row],[Shortname]], Comp[], 16, FALSE)</f>
        <v>1.04</v>
      </c>
      <c r="R137">
        <f>VLOOKUP(Table56[[#This Row],[Shortname]], Comp[], 17, FALSE)</f>
        <v>0</v>
      </c>
      <c r="S137">
        <f>VLOOKUP(Table56[[#This Row],[Shortname]], Comp[], 18, FALSE)</f>
        <v>0</v>
      </c>
      <c r="T137">
        <f>VLOOKUP(Table56[[#This Row],[Shortname]], Comp[], 19, FALSE)</f>
        <v>0</v>
      </c>
      <c r="U137">
        <f>VLOOKUP(Table56[[#This Row],[Shortname]], Comp[], 20, FALSE)</f>
        <v>0</v>
      </c>
      <c r="V137">
        <f>VLOOKUP(Table56[[#This Row],[Shortname]], Comp[], 21, FALSE)</f>
        <v>0</v>
      </c>
      <c r="W137">
        <f>VLOOKUP(Table56[[#This Row],[Shortname]], Comp[], 22, FALSE)</f>
        <v>0</v>
      </c>
      <c r="X137">
        <f>VLOOKUP(Table56[[#This Row],[Shortname]], Comp[], 23, FALSE)</f>
        <v>0</v>
      </c>
      <c r="Y137">
        <f>VLOOKUP(Table56[[#This Row],[Shortname]], Comp[], 24, FALSE)</f>
        <v>0</v>
      </c>
      <c r="Z137">
        <f>VLOOKUP(Table56[[#This Row],[Shortname]], Comp[], 25, FALSE)</f>
        <v>0</v>
      </c>
      <c r="AA137">
        <f>VLOOKUP(Table56[[#This Row],[Shortname]], Comp[], 26, FALSE)</f>
        <v>0</v>
      </c>
      <c r="AB137">
        <f>VLOOKUP(Table56[[#This Row],[Shortname]], Comp[], 27, FALSE)</f>
        <v>0</v>
      </c>
      <c r="AC137">
        <f>VLOOKUP(Table56[[#This Row],[Shortname]], Comp[], 28, FALSE)</f>
        <v>0</v>
      </c>
      <c r="AD137">
        <f>VLOOKUP(Table56[[#This Row],[Shortname]], Comp[], 29, FALSE)</f>
        <v>0</v>
      </c>
      <c r="AE137">
        <f>VLOOKUP(Table56[[#This Row],[Shortname]], Comp[], 30, FALSE)</f>
        <v>0</v>
      </c>
      <c r="AF137">
        <f>VLOOKUP(Table56[[#This Row],[Shortname]], Comp[], 31, FALSE)</f>
        <v>0</v>
      </c>
    </row>
    <row r="138" spans="1:32" x14ac:dyDescent="0.3">
      <c r="A138" t="s">
        <v>1580</v>
      </c>
      <c r="B138" t="s">
        <v>1582</v>
      </c>
      <c r="C138" s="3" t="s">
        <v>1568</v>
      </c>
      <c r="D138">
        <v>949</v>
      </c>
      <c r="E138">
        <v>1410</v>
      </c>
      <c r="F138">
        <v>1433</v>
      </c>
      <c r="G138">
        <f>VLOOKUP(Table56[[#This Row],[Shortname]], Comp[], 6, FALSE)</f>
        <v>201</v>
      </c>
      <c r="H138" s="14">
        <f>VLOOKUP(Table56[[#This Row],[Shortname]], Comp[], 7, FALSE)</f>
        <v>44.220000000000006</v>
      </c>
      <c r="I138">
        <f>VLOOKUP(Table56[[#This Row],[Shortname]], Comp[], 8, FALSE)</f>
        <v>29.89</v>
      </c>
      <c r="J138">
        <f>VLOOKUP(Table56[[#This Row],[Shortname]], Comp[], 9, FALSE)</f>
        <v>8.91</v>
      </c>
      <c r="K138">
        <f>VLOOKUP(Table56[[#This Row],[Shortname]], Comp[], 10, FALSE)</f>
        <v>12.1</v>
      </c>
      <c r="L138">
        <f>VLOOKUP(Table56[[#This Row],[Shortname]], Comp[], 11, FALSE)</f>
        <v>3.09</v>
      </c>
      <c r="M138">
        <f>VLOOKUP(Table56[[#This Row],[Shortname]], Comp[],12, FALSE)</f>
        <v>0</v>
      </c>
      <c r="N138">
        <f>VLOOKUP(Table56[[#This Row],[Shortname]], Comp[], 13, FALSE)</f>
        <v>0</v>
      </c>
      <c r="O138">
        <f>VLOOKUP(Table56[[#This Row],[Shortname]], Comp[], 14, FALSE)</f>
        <v>0</v>
      </c>
      <c r="P138">
        <f>VLOOKUP(Table56[[#This Row],[Shortname]], Comp[], 15, FALSE)</f>
        <v>0</v>
      </c>
      <c r="Q138">
        <f>VLOOKUP(Table56[[#This Row],[Shortname]], Comp[], 16, FALSE)</f>
        <v>1.79</v>
      </c>
      <c r="R138">
        <f>VLOOKUP(Table56[[#This Row],[Shortname]], Comp[], 17, FALSE)</f>
        <v>0</v>
      </c>
      <c r="S138">
        <f>VLOOKUP(Table56[[#This Row],[Shortname]], Comp[], 18, FALSE)</f>
        <v>0</v>
      </c>
      <c r="T138">
        <f>VLOOKUP(Table56[[#This Row],[Shortname]], Comp[], 19, FALSE)</f>
        <v>0</v>
      </c>
      <c r="U138">
        <f>VLOOKUP(Table56[[#This Row],[Shortname]], Comp[], 20, FALSE)</f>
        <v>0</v>
      </c>
      <c r="V138">
        <f>VLOOKUP(Table56[[#This Row],[Shortname]], Comp[], 21, FALSE)</f>
        <v>0</v>
      </c>
      <c r="W138">
        <f>VLOOKUP(Table56[[#This Row],[Shortname]], Comp[], 22, FALSE)</f>
        <v>0</v>
      </c>
      <c r="X138">
        <f>VLOOKUP(Table56[[#This Row],[Shortname]], Comp[], 23, FALSE)</f>
        <v>0</v>
      </c>
      <c r="Y138">
        <f>VLOOKUP(Table56[[#This Row],[Shortname]], Comp[], 24, FALSE)</f>
        <v>0</v>
      </c>
      <c r="Z138">
        <f>VLOOKUP(Table56[[#This Row],[Shortname]], Comp[], 25, FALSE)</f>
        <v>0</v>
      </c>
      <c r="AA138">
        <f>VLOOKUP(Table56[[#This Row],[Shortname]], Comp[], 26, FALSE)</f>
        <v>0</v>
      </c>
      <c r="AB138">
        <f>VLOOKUP(Table56[[#This Row],[Shortname]], Comp[], 27, FALSE)</f>
        <v>0</v>
      </c>
      <c r="AC138">
        <f>VLOOKUP(Table56[[#This Row],[Shortname]], Comp[], 28, FALSE)</f>
        <v>0</v>
      </c>
      <c r="AD138">
        <f>VLOOKUP(Table56[[#This Row],[Shortname]], Comp[], 29, FALSE)</f>
        <v>0</v>
      </c>
      <c r="AE138">
        <f>VLOOKUP(Table56[[#This Row],[Shortname]], Comp[], 30, FALSE)</f>
        <v>0</v>
      </c>
      <c r="AF138">
        <f>VLOOKUP(Table56[[#This Row],[Shortname]], Comp[], 31, FALSE)</f>
        <v>0</v>
      </c>
    </row>
    <row r="139" spans="1:32" x14ac:dyDescent="0.3">
      <c r="A139" t="s">
        <v>1589</v>
      </c>
      <c r="B139" t="s">
        <v>1591</v>
      </c>
      <c r="C139" s="3" t="s">
        <v>1568</v>
      </c>
      <c r="E139">
        <v>1390</v>
      </c>
      <c r="F139">
        <v>1419</v>
      </c>
      <c r="G139">
        <f>VLOOKUP(Table56[[#This Row],[Shortname]], Comp[], 6, FALSE)</f>
        <v>202</v>
      </c>
      <c r="H139" s="14">
        <f>VLOOKUP(Table56[[#This Row],[Shortname]], Comp[], 7, FALSE)</f>
        <v>46.809999999999995</v>
      </c>
      <c r="I139">
        <f>VLOOKUP(Table56[[#This Row],[Shortname]], Comp[], 8, FALSE)</f>
        <v>26.69</v>
      </c>
      <c r="J139">
        <f>VLOOKUP(Table56[[#This Row],[Shortname]], Comp[], 9, FALSE)</f>
        <v>9.0500000000000007</v>
      </c>
      <c r="K139">
        <f>VLOOKUP(Table56[[#This Row],[Shortname]], Comp[], 10, FALSE)</f>
        <v>12.42</v>
      </c>
      <c r="L139">
        <f>VLOOKUP(Table56[[#This Row],[Shortname]], Comp[], 11, FALSE)</f>
        <v>1.25</v>
      </c>
      <c r="M139">
        <f>VLOOKUP(Table56[[#This Row],[Shortname]], Comp[],12, FALSE)</f>
        <v>0</v>
      </c>
      <c r="N139">
        <f>VLOOKUP(Table56[[#This Row],[Shortname]], Comp[], 13, FALSE)</f>
        <v>0</v>
      </c>
      <c r="O139">
        <f>VLOOKUP(Table56[[#This Row],[Shortname]], Comp[], 14, FALSE)</f>
        <v>0</v>
      </c>
      <c r="P139">
        <f>VLOOKUP(Table56[[#This Row],[Shortname]], Comp[], 15, FALSE)</f>
        <v>0</v>
      </c>
      <c r="Q139">
        <f>VLOOKUP(Table56[[#This Row],[Shortname]], Comp[], 16, FALSE)</f>
        <v>3.78</v>
      </c>
      <c r="R139">
        <f>VLOOKUP(Table56[[#This Row],[Shortname]], Comp[], 17, FALSE)</f>
        <v>0</v>
      </c>
      <c r="S139">
        <f>VLOOKUP(Table56[[#This Row],[Shortname]], Comp[], 18, FALSE)</f>
        <v>0</v>
      </c>
      <c r="T139">
        <f>VLOOKUP(Table56[[#This Row],[Shortname]], Comp[], 19, FALSE)</f>
        <v>0</v>
      </c>
      <c r="U139">
        <f>VLOOKUP(Table56[[#This Row],[Shortname]], Comp[], 20, FALSE)</f>
        <v>0</v>
      </c>
      <c r="V139">
        <f>VLOOKUP(Table56[[#This Row],[Shortname]], Comp[], 21, FALSE)</f>
        <v>0</v>
      </c>
      <c r="W139">
        <f>VLOOKUP(Table56[[#This Row],[Shortname]], Comp[], 22, FALSE)</f>
        <v>0</v>
      </c>
      <c r="X139">
        <f>VLOOKUP(Table56[[#This Row],[Shortname]], Comp[], 23, FALSE)</f>
        <v>0</v>
      </c>
      <c r="Y139">
        <f>VLOOKUP(Table56[[#This Row],[Shortname]], Comp[], 24, FALSE)</f>
        <v>0</v>
      </c>
      <c r="Z139">
        <f>VLOOKUP(Table56[[#This Row],[Shortname]], Comp[], 25, FALSE)</f>
        <v>0</v>
      </c>
      <c r="AA139">
        <f>VLOOKUP(Table56[[#This Row],[Shortname]], Comp[], 26, FALSE)</f>
        <v>0</v>
      </c>
      <c r="AB139">
        <f>VLOOKUP(Table56[[#This Row],[Shortname]], Comp[], 27, FALSE)</f>
        <v>0</v>
      </c>
      <c r="AC139">
        <f>VLOOKUP(Table56[[#This Row],[Shortname]], Comp[], 28, FALSE)</f>
        <v>0</v>
      </c>
      <c r="AD139">
        <f>VLOOKUP(Table56[[#This Row],[Shortname]], Comp[], 29, FALSE)</f>
        <v>0</v>
      </c>
      <c r="AE139">
        <f>VLOOKUP(Table56[[#This Row],[Shortname]], Comp[], 30, FALSE)</f>
        <v>0</v>
      </c>
      <c r="AF139">
        <f>VLOOKUP(Table56[[#This Row],[Shortname]], Comp[], 31, FALSE)</f>
        <v>0</v>
      </c>
    </row>
    <row r="140" spans="1:32" x14ac:dyDescent="0.3">
      <c r="A140" t="s">
        <v>1620</v>
      </c>
      <c r="B140" t="s">
        <v>1622</v>
      </c>
      <c r="C140" s="3" t="s">
        <v>1623</v>
      </c>
      <c r="D140">
        <v>778</v>
      </c>
      <c r="E140">
        <v>1365</v>
      </c>
      <c r="F140">
        <v>1425</v>
      </c>
      <c r="G140">
        <f>VLOOKUP(Table56[[#This Row],[Shortname]], Comp[], 6, FALSE)</f>
        <v>206</v>
      </c>
      <c r="H140" s="14">
        <f>VLOOKUP(Table56[[#This Row],[Shortname]], Comp[], 7, FALSE)</f>
        <v>60</v>
      </c>
      <c r="I140">
        <f>VLOOKUP(Table56[[#This Row],[Shortname]], Comp[], 8, FALSE)</f>
        <v>30</v>
      </c>
      <c r="J140">
        <f>VLOOKUP(Table56[[#This Row],[Shortname]], Comp[], 9, FALSE)</f>
        <v>6.7</v>
      </c>
      <c r="K140">
        <f>VLOOKUP(Table56[[#This Row],[Shortname]], Comp[], 10, FALSE)</f>
        <v>0</v>
      </c>
      <c r="L140">
        <f>VLOOKUP(Table56[[#This Row],[Shortname]], Comp[], 11, FALSE)</f>
        <v>0</v>
      </c>
      <c r="M140">
        <f>VLOOKUP(Table56[[#This Row],[Shortname]], Comp[],12, FALSE)</f>
        <v>3.3</v>
      </c>
      <c r="N140">
        <f>VLOOKUP(Table56[[#This Row],[Shortname]], Comp[], 13, FALSE)</f>
        <v>0</v>
      </c>
      <c r="O140">
        <f>VLOOKUP(Table56[[#This Row],[Shortname]], Comp[], 14, FALSE)</f>
        <v>0</v>
      </c>
      <c r="P140">
        <f>VLOOKUP(Table56[[#This Row],[Shortname]], Comp[], 15, FALSE)</f>
        <v>0</v>
      </c>
      <c r="Q140">
        <f>VLOOKUP(Table56[[#This Row],[Shortname]], Comp[], 16, FALSE)</f>
        <v>0</v>
      </c>
      <c r="R140">
        <f>VLOOKUP(Table56[[#This Row],[Shortname]], Comp[], 17, FALSE)</f>
        <v>0</v>
      </c>
      <c r="S140">
        <f>VLOOKUP(Table56[[#This Row],[Shortname]], Comp[], 18, FALSE)</f>
        <v>0</v>
      </c>
      <c r="T140">
        <f>VLOOKUP(Table56[[#This Row],[Shortname]], Comp[], 19, FALSE)</f>
        <v>0</v>
      </c>
      <c r="U140">
        <f>VLOOKUP(Table56[[#This Row],[Shortname]], Comp[], 20, FALSE)</f>
        <v>0</v>
      </c>
      <c r="V140">
        <f>VLOOKUP(Table56[[#This Row],[Shortname]], Comp[], 21, FALSE)</f>
        <v>0</v>
      </c>
      <c r="W140">
        <f>VLOOKUP(Table56[[#This Row],[Shortname]], Comp[], 22, FALSE)</f>
        <v>0</v>
      </c>
      <c r="X140">
        <f>VLOOKUP(Table56[[#This Row],[Shortname]], Comp[], 23, FALSE)</f>
        <v>0</v>
      </c>
      <c r="Y140">
        <f>VLOOKUP(Table56[[#This Row],[Shortname]], Comp[], 24, FALSE)</f>
        <v>0</v>
      </c>
      <c r="Z140">
        <f>VLOOKUP(Table56[[#This Row],[Shortname]], Comp[], 25, FALSE)</f>
        <v>0</v>
      </c>
      <c r="AA140">
        <f>VLOOKUP(Table56[[#This Row],[Shortname]], Comp[], 26, FALSE)</f>
        <v>0</v>
      </c>
      <c r="AB140">
        <f>VLOOKUP(Table56[[#This Row],[Shortname]], Comp[], 27, FALSE)</f>
        <v>0</v>
      </c>
      <c r="AC140">
        <f>VLOOKUP(Table56[[#This Row],[Shortname]], Comp[], 28, FALSE)</f>
        <v>0</v>
      </c>
      <c r="AD140">
        <f>VLOOKUP(Table56[[#This Row],[Shortname]], Comp[], 29, FALSE)</f>
        <v>0</v>
      </c>
      <c r="AE140">
        <f>VLOOKUP(Table56[[#This Row],[Shortname]], Comp[], 30, FALSE)</f>
        <v>0</v>
      </c>
      <c r="AF140">
        <f>VLOOKUP(Table56[[#This Row],[Shortname]], Comp[], 31, FALSE)</f>
        <v>0</v>
      </c>
    </row>
    <row r="141" spans="1:32" x14ac:dyDescent="0.3">
      <c r="A141" t="s">
        <v>1629</v>
      </c>
      <c r="B141" t="s">
        <v>1631</v>
      </c>
      <c r="C141" s="3" t="s">
        <v>1623</v>
      </c>
      <c r="D141">
        <v>775</v>
      </c>
      <c r="E141">
        <v>1399</v>
      </c>
      <c r="F141">
        <v>1443</v>
      </c>
      <c r="G141">
        <f>VLOOKUP(Table56[[#This Row],[Shortname]], Comp[], 6, FALSE)</f>
        <v>207</v>
      </c>
      <c r="H141" s="14">
        <f>VLOOKUP(Table56[[#This Row],[Shortname]], Comp[], 7, FALSE)</f>
        <v>60</v>
      </c>
      <c r="I141">
        <f>VLOOKUP(Table56[[#This Row],[Shortname]], Comp[], 8, FALSE)</f>
        <v>30</v>
      </c>
      <c r="J141">
        <f>VLOOKUP(Table56[[#This Row],[Shortname]], Comp[], 9, FALSE)</f>
        <v>7.5</v>
      </c>
      <c r="K141">
        <f>VLOOKUP(Table56[[#This Row],[Shortname]], Comp[], 10, FALSE)</f>
        <v>0</v>
      </c>
      <c r="L141">
        <f>VLOOKUP(Table56[[#This Row],[Shortname]], Comp[], 11, FALSE)</f>
        <v>0</v>
      </c>
      <c r="M141">
        <f>VLOOKUP(Table56[[#This Row],[Shortname]], Comp[],12, FALSE)</f>
        <v>2.5</v>
      </c>
      <c r="N141">
        <f>VLOOKUP(Table56[[#This Row],[Shortname]], Comp[], 13, FALSE)</f>
        <v>0</v>
      </c>
      <c r="O141">
        <f>VLOOKUP(Table56[[#This Row],[Shortname]], Comp[], 14, FALSE)</f>
        <v>0</v>
      </c>
      <c r="P141">
        <f>VLOOKUP(Table56[[#This Row],[Shortname]], Comp[], 15, FALSE)</f>
        <v>0</v>
      </c>
      <c r="Q141">
        <f>VLOOKUP(Table56[[#This Row],[Shortname]], Comp[], 16, FALSE)</f>
        <v>0</v>
      </c>
      <c r="R141">
        <f>VLOOKUP(Table56[[#This Row],[Shortname]], Comp[], 17, FALSE)</f>
        <v>0</v>
      </c>
      <c r="S141">
        <f>VLOOKUP(Table56[[#This Row],[Shortname]], Comp[], 18, FALSE)</f>
        <v>0</v>
      </c>
      <c r="T141">
        <f>VLOOKUP(Table56[[#This Row],[Shortname]], Comp[], 19, FALSE)</f>
        <v>0</v>
      </c>
      <c r="U141">
        <f>VLOOKUP(Table56[[#This Row],[Shortname]], Comp[], 20, FALSE)</f>
        <v>0</v>
      </c>
      <c r="V141">
        <f>VLOOKUP(Table56[[#This Row],[Shortname]], Comp[], 21, FALSE)</f>
        <v>0</v>
      </c>
      <c r="W141">
        <f>VLOOKUP(Table56[[#This Row],[Shortname]], Comp[], 22, FALSE)</f>
        <v>0</v>
      </c>
      <c r="X141">
        <f>VLOOKUP(Table56[[#This Row],[Shortname]], Comp[], 23, FALSE)</f>
        <v>0</v>
      </c>
      <c r="Y141">
        <f>VLOOKUP(Table56[[#This Row],[Shortname]], Comp[], 24, FALSE)</f>
        <v>0</v>
      </c>
      <c r="Z141">
        <f>VLOOKUP(Table56[[#This Row],[Shortname]], Comp[], 25, FALSE)</f>
        <v>0</v>
      </c>
      <c r="AA141">
        <f>VLOOKUP(Table56[[#This Row],[Shortname]], Comp[], 26, FALSE)</f>
        <v>0</v>
      </c>
      <c r="AB141">
        <f>VLOOKUP(Table56[[#This Row],[Shortname]], Comp[], 27, FALSE)</f>
        <v>0</v>
      </c>
      <c r="AC141">
        <f>VLOOKUP(Table56[[#This Row],[Shortname]], Comp[], 28, FALSE)</f>
        <v>0</v>
      </c>
      <c r="AD141">
        <f>VLOOKUP(Table56[[#This Row],[Shortname]], Comp[], 29, FALSE)</f>
        <v>0</v>
      </c>
      <c r="AE141">
        <f>VLOOKUP(Table56[[#This Row],[Shortname]], Comp[], 30, FALSE)</f>
        <v>0</v>
      </c>
      <c r="AF141">
        <f>VLOOKUP(Table56[[#This Row],[Shortname]], Comp[], 31, FALSE)</f>
        <v>0</v>
      </c>
    </row>
    <row r="142" spans="1:32" x14ac:dyDescent="0.3">
      <c r="A142" t="s">
        <v>1646</v>
      </c>
      <c r="B142" t="s">
        <v>1648</v>
      </c>
      <c r="C142" s="3" t="s">
        <v>1623</v>
      </c>
      <c r="D142">
        <v>766</v>
      </c>
      <c r="E142">
        <v>1397</v>
      </c>
      <c r="F142">
        <v>1442</v>
      </c>
      <c r="G142">
        <f>VLOOKUP(Table56[[#This Row],[Shortname]], Comp[], 6, FALSE)</f>
        <v>210</v>
      </c>
      <c r="H142" s="14">
        <f>VLOOKUP(Table56[[#This Row],[Shortname]], Comp[], 7, FALSE)</f>
        <v>60</v>
      </c>
      <c r="I142">
        <f>VLOOKUP(Table56[[#This Row],[Shortname]], Comp[], 8, FALSE)</f>
        <v>30</v>
      </c>
      <c r="J142">
        <f>VLOOKUP(Table56[[#This Row],[Shortname]], Comp[], 9, FALSE)</f>
        <v>8.3000000000000007</v>
      </c>
      <c r="K142">
        <f>VLOOKUP(Table56[[#This Row],[Shortname]], Comp[], 10, FALSE)</f>
        <v>0</v>
      </c>
      <c r="L142">
        <f>VLOOKUP(Table56[[#This Row],[Shortname]], Comp[], 11, FALSE)</f>
        <v>0</v>
      </c>
      <c r="M142">
        <f>VLOOKUP(Table56[[#This Row],[Shortname]], Comp[],12, FALSE)</f>
        <v>1.7</v>
      </c>
      <c r="N142">
        <f>VLOOKUP(Table56[[#This Row],[Shortname]], Comp[], 13, FALSE)</f>
        <v>0</v>
      </c>
      <c r="O142">
        <f>VLOOKUP(Table56[[#This Row],[Shortname]], Comp[], 14, FALSE)</f>
        <v>0</v>
      </c>
      <c r="P142">
        <f>VLOOKUP(Table56[[#This Row],[Shortname]], Comp[], 15, FALSE)</f>
        <v>0</v>
      </c>
      <c r="Q142">
        <f>VLOOKUP(Table56[[#This Row],[Shortname]], Comp[], 16, FALSE)</f>
        <v>0</v>
      </c>
      <c r="R142">
        <f>VLOOKUP(Table56[[#This Row],[Shortname]], Comp[], 17, FALSE)</f>
        <v>0</v>
      </c>
      <c r="S142">
        <f>VLOOKUP(Table56[[#This Row],[Shortname]], Comp[], 18, FALSE)</f>
        <v>0</v>
      </c>
      <c r="T142">
        <f>VLOOKUP(Table56[[#This Row],[Shortname]], Comp[], 19, FALSE)</f>
        <v>0</v>
      </c>
      <c r="U142">
        <f>VLOOKUP(Table56[[#This Row],[Shortname]], Comp[], 20, FALSE)</f>
        <v>0</v>
      </c>
      <c r="V142">
        <f>VLOOKUP(Table56[[#This Row],[Shortname]], Comp[], 21, FALSE)</f>
        <v>0</v>
      </c>
      <c r="W142">
        <f>VLOOKUP(Table56[[#This Row],[Shortname]], Comp[], 22, FALSE)</f>
        <v>0</v>
      </c>
      <c r="X142">
        <f>VLOOKUP(Table56[[#This Row],[Shortname]], Comp[], 23, FALSE)</f>
        <v>0</v>
      </c>
      <c r="Y142">
        <f>VLOOKUP(Table56[[#This Row],[Shortname]], Comp[], 24, FALSE)</f>
        <v>0</v>
      </c>
      <c r="Z142">
        <f>VLOOKUP(Table56[[#This Row],[Shortname]], Comp[], 25, FALSE)</f>
        <v>0</v>
      </c>
      <c r="AA142">
        <f>VLOOKUP(Table56[[#This Row],[Shortname]], Comp[], 26, FALSE)</f>
        <v>0</v>
      </c>
      <c r="AB142">
        <f>VLOOKUP(Table56[[#This Row],[Shortname]], Comp[], 27, FALSE)</f>
        <v>0</v>
      </c>
      <c r="AC142">
        <f>VLOOKUP(Table56[[#This Row],[Shortname]], Comp[], 28, FALSE)</f>
        <v>0</v>
      </c>
      <c r="AD142">
        <f>VLOOKUP(Table56[[#This Row],[Shortname]], Comp[], 29, FALSE)</f>
        <v>0</v>
      </c>
      <c r="AE142">
        <f>VLOOKUP(Table56[[#This Row],[Shortname]], Comp[], 30, FALSE)</f>
        <v>0</v>
      </c>
      <c r="AF142">
        <f>VLOOKUP(Table56[[#This Row],[Shortname]], Comp[], 31, FALSE)</f>
        <v>0</v>
      </c>
    </row>
    <row r="143" spans="1:32" x14ac:dyDescent="0.3">
      <c r="A143" t="s">
        <v>1641</v>
      </c>
      <c r="B143" t="s">
        <v>1484</v>
      </c>
      <c r="C143" s="3" t="s">
        <v>1623</v>
      </c>
      <c r="D143">
        <v>732</v>
      </c>
      <c r="E143">
        <v>1419</v>
      </c>
      <c r="F143">
        <v>1454</v>
      </c>
      <c r="G143">
        <f>VLOOKUP(Table56[[#This Row],[Shortname]], Comp[], 6, FALSE)</f>
        <v>209</v>
      </c>
      <c r="H143" s="14">
        <f>VLOOKUP(Table56[[#This Row],[Shortname]], Comp[], 7, FALSE)</f>
        <v>58</v>
      </c>
      <c r="I143">
        <f>VLOOKUP(Table56[[#This Row],[Shortname]], Comp[], 8, FALSE)</f>
        <v>30</v>
      </c>
      <c r="J143">
        <f>VLOOKUP(Table56[[#This Row],[Shortname]], Comp[], 9, FALSE)</f>
        <v>7.5</v>
      </c>
      <c r="K143">
        <f>VLOOKUP(Table56[[#This Row],[Shortname]], Comp[], 10, FALSE)</f>
        <v>0</v>
      </c>
      <c r="L143">
        <f>VLOOKUP(Table56[[#This Row],[Shortname]], Comp[], 11, FALSE)</f>
        <v>0</v>
      </c>
      <c r="M143">
        <f>VLOOKUP(Table56[[#This Row],[Shortname]], Comp[],12, FALSE)</f>
        <v>2.5</v>
      </c>
      <c r="N143">
        <f>VLOOKUP(Table56[[#This Row],[Shortname]], Comp[], 13, FALSE)</f>
        <v>0</v>
      </c>
      <c r="O143">
        <f>VLOOKUP(Table56[[#This Row],[Shortname]], Comp[], 14, FALSE)</f>
        <v>0</v>
      </c>
      <c r="P143">
        <f>VLOOKUP(Table56[[#This Row],[Shortname]], Comp[], 15, FALSE)</f>
        <v>0</v>
      </c>
      <c r="Q143">
        <f>VLOOKUP(Table56[[#This Row],[Shortname]], Comp[], 16, FALSE)</f>
        <v>2</v>
      </c>
      <c r="R143">
        <f>VLOOKUP(Table56[[#This Row],[Shortname]], Comp[], 17, FALSE)</f>
        <v>0</v>
      </c>
      <c r="S143">
        <f>VLOOKUP(Table56[[#This Row],[Shortname]], Comp[], 18, FALSE)</f>
        <v>0</v>
      </c>
      <c r="T143">
        <f>VLOOKUP(Table56[[#This Row],[Shortname]], Comp[], 19, FALSE)</f>
        <v>0</v>
      </c>
      <c r="U143">
        <f>VLOOKUP(Table56[[#This Row],[Shortname]], Comp[], 20, FALSE)</f>
        <v>0</v>
      </c>
      <c r="V143">
        <f>VLOOKUP(Table56[[#This Row],[Shortname]], Comp[], 21, FALSE)</f>
        <v>0</v>
      </c>
      <c r="W143">
        <f>VLOOKUP(Table56[[#This Row],[Shortname]], Comp[], 22, FALSE)</f>
        <v>0</v>
      </c>
      <c r="X143">
        <f>VLOOKUP(Table56[[#This Row],[Shortname]], Comp[], 23, FALSE)</f>
        <v>0</v>
      </c>
      <c r="Y143">
        <f>VLOOKUP(Table56[[#This Row],[Shortname]], Comp[], 24, FALSE)</f>
        <v>0</v>
      </c>
      <c r="Z143">
        <f>VLOOKUP(Table56[[#This Row],[Shortname]], Comp[], 25, FALSE)</f>
        <v>0</v>
      </c>
      <c r="AA143">
        <f>VLOOKUP(Table56[[#This Row],[Shortname]], Comp[], 26, FALSE)</f>
        <v>0</v>
      </c>
      <c r="AB143">
        <f>VLOOKUP(Table56[[#This Row],[Shortname]], Comp[], 27, FALSE)</f>
        <v>0</v>
      </c>
      <c r="AC143">
        <f>VLOOKUP(Table56[[#This Row],[Shortname]], Comp[], 28, FALSE)</f>
        <v>0</v>
      </c>
      <c r="AD143">
        <f>VLOOKUP(Table56[[#This Row],[Shortname]], Comp[], 29, FALSE)</f>
        <v>0</v>
      </c>
      <c r="AE143">
        <f>VLOOKUP(Table56[[#This Row],[Shortname]], Comp[], 30, FALSE)</f>
        <v>0</v>
      </c>
      <c r="AF143">
        <f>VLOOKUP(Table56[[#This Row],[Shortname]], Comp[], 31, FALSE)</f>
        <v>0</v>
      </c>
    </row>
    <row r="144" spans="1:32" x14ac:dyDescent="0.3">
      <c r="A144" t="s">
        <v>1635</v>
      </c>
      <c r="B144" t="s">
        <v>1637</v>
      </c>
      <c r="C144" s="3" t="s">
        <v>1623</v>
      </c>
      <c r="D144">
        <v>730</v>
      </c>
      <c r="E144">
        <v>1400</v>
      </c>
      <c r="F144">
        <v>1445</v>
      </c>
      <c r="G144">
        <f>VLOOKUP(Table56[[#This Row],[Shortname]], Comp[], 6, FALSE)</f>
        <v>208</v>
      </c>
      <c r="H144" s="14">
        <f>VLOOKUP(Table56[[#This Row],[Shortname]], Comp[], 7, FALSE)</f>
        <v>58</v>
      </c>
      <c r="I144">
        <f>VLOOKUP(Table56[[#This Row],[Shortname]], Comp[], 8, FALSE)</f>
        <v>30</v>
      </c>
      <c r="J144">
        <f>VLOOKUP(Table56[[#This Row],[Shortname]], Comp[], 9, FALSE)</f>
        <v>7.5</v>
      </c>
      <c r="K144">
        <f>VLOOKUP(Table56[[#This Row],[Shortname]], Comp[], 10, FALSE)</f>
        <v>2</v>
      </c>
      <c r="L144">
        <f>VLOOKUP(Table56[[#This Row],[Shortname]], Comp[], 11, FALSE)</f>
        <v>0</v>
      </c>
      <c r="M144">
        <f>VLOOKUP(Table56[[#This Row],[Shortname]], Comp[],12, FALSE)</f>
        <v>2.5</v>
      </c>
      <c r="N144">
        <f>VLOOKUP(Table56[[#This Row],[Shortname]], Comp[], 13, FALSE)</f>
        <v>0</v>
      </c>
      <c r="O144">
        <f>VLOOKUP(Table56[[#This Row],[Shortname]], Comp[], 14, FALSE)</f>
        <v>0</v>
      </c>
      <c r="P144">
        <f>VLOOKUP(Table56[[#This Row],[Shortname]], Comp[], 15, FALSE)</f>
        <v>0</v>
      </c>
      <c r="Q144">
        <f>VLOOKUP(Table56[[#This Row],[Shortname]], Comp[], 16, FALSE)</f>
        <v>0</v>
      </c>
      <c r="R144">
        <f>VLOOKUP(Table56[[#This Row],[Shortname]], Comp[], 17, FALSE)</f>
        <v>0</v>
      </c>
      <c r="S144">
        <f>VLOOKUP(Table56[[#This Row],[Shortname]], Comp[], 18, FALSE)</f>
        <v>0</v>
      </c>
      <c r="T144">
        <f>VLOOKUP(Table56[[#This Row],[Shortname]], Comp[], 19, FALSE)</f>
        <v>0</v>
      </c>
      <c r="U144">
        <f>VLOOKUP(Table56[[#This Row],[Shortname]], Comp[], 20, FALSE)</f>
        <v>0</v>
      </c>
      <c r="V144">
        <f>VLOOKUP(Table56[[#This Row],[Shortname]], Comp[], 21, FALSE)</f>
        <v>0</v>
      </c>
      <c r="W144">
        <f>VLOOKUP(Table56[[#This Row],[Shortname]], Comp[], 22, FALSE)</f>
        <v>0</v>
      </c>
      <c r="X144">
        <f>VLOOKUP(Table56[[#This Row],[Shortname]], Comp[], 23, FALSE)</f>
        <v>0</v>
      </c>
      <c r="Y144">
        <f>VLOOKUP(Table56[[#This Row],[Shortname]], Comp[], 24, FALSE)</f>
        <v>0</v>
      </c>
      <c r="Z144">
        <f>VLOOKUP(Table56[[#This Row],[Shortname]], Comp[], 25, FALSE)</f>
        <v>0</v>
      </c>
      <c r="AA144">
        <f>VLOOKUP(Table56[[#This Row],[Shortname]], Comp[], 26, FALSE)</f>
        <v>0</v>
      </c>
      <c r="AB144">
        <f>VLOOKUP(Table56[[#This Row],[Shortname]], Comp[], 27, FALSE)</f>
        <v>0</v>
      </c>
      <c r="AC144">
        <f>VLOOKUP(Table56[[#This Row],[Shortname]], Comp[], 28, FALSE)</f>
        <v>0</v>
      </c>
      <c r="AD144">
        <f>VLOOKUP(Table56[[#This Row],[Shortname]], Comp[], 29, FALSE)</f>
        <v>0</v>
      </c>
      <c r="AE144">
        <f>VLOOKUP(Table56[[#This Row],[Shortname]], Comp[], 30, FALSE)</f>
        <v>0</v>
      </c>
      <c r="AF144">
        <f>VLOOKUP(Table56[[#This Row],[Shortname]], Comp[], 31, FALSE)</f>
        <v>0</v>
      </c>
    </row>
    <row r="145" spans="1:32" x14ac:dyDescent="0.3">
      <c r="A145" s="18" t="s">
        <v>1680</v>
      </c>
      <c r="B145" s="18" t="s">
        <v>1682</v>
      </c>
      <c r="C145" s="3" t="s">
        <v>1676</v>
      </c>
      <c r="D145">
        <v>1119</v>
      </c>
      <c r="E145">
        <v>1193</v>
      </c>
      <c r="F145">
        <v>1290</v>
      </c>
      <c r="G145">
        <f>VLOOKUP(Table56[[#This Row],[Shortname]], Comp[], 6, FALSE)</f>
        <v>214</v>
      </c>
      <c r="H145" s="14">
        <f>VLOOKUP(Table56[[#This Row],[Shortname]], Comp[], 7, FALSE)</f>
        <v>84</v>
      </c>
      <c r="I145">
        <f>VLOOKUP(Table56[[#This Row],[Shortname]], Comp[], 8, FALSE)</f>
        <v>0</v>
      </c>
      <c r="J145">
        <f>VLOOKUP(Table56[[#This Row],[Shortname]], Comp[], 9, FALSE)</f>
        <v>0</v>
      </c>
      <c r="K145">
        <f>VLOOKUP(Table56[[#This Row],[Shortname]], Comp[], 10, FALSE)</f>
        <v>0</v>
      </c>
      <c r="L145">
        <f>VLOOKUP(Table56[[#This Row],[Shortname]], Comp[], 11, FALSE)</f>
        <v>0</v>
      </c>
      <c r="M145">
        <f>VLOOKUP(Table56[[#This Row],[Shortname]], Comp[],12, FALSE)</f>
        <v>12</v>
      </c>
      <c r="N145">
        <f>VLOOKUP(Table56[[#This Row],[Shortname]], Comp[], 13, FALSE)</f>
        <v>0</v>
      </c>
      <c r="O145">
        <f>VLOOKUP(Table56[[#This Row],[Shortname]], Comp[], 14, FALSE)</f>
        <v>0</v>
      </c>
      <c r="P145">
        <f>VLOOKUP(Table56[[#This Row],[Shortname]], Comp[], 15, FALSE)</f>
        <v>0</v>
      </c>
      <c r="Q145">
        <f>VLOOKUP(Table56[[#This Row],[Shortname]], Comp[], 16, FALSE)</f>
        <v>4</v>
      </c>
      <c r="R145">
        <f>VLOOKUP(Table56[[#This Row],[Shortname]], Comp[], 17, FALSE)</f>
        <v>0</v>
      </c>
      <c r="S145">
        <f>VLOOKUP(Table56[[#This Row],[Shortname]], Comp[], 18, FALSE)</f>
        <v>0</v>
      </c>
      <c r="T145">
        <f>VLOOKUP(Table56[[#This Row],[Shortname]], Comp[], 19, FALSE)</f>
        <v>0</v>
      </c>
      <c r="U145">
        <f>VLOOKUP(Table56[[#This Row],[Shortname]], Comp[], 20, FALSE)</f>
        <v>0</v>
      </c>
      <c r="V145">
        <f>VLOOKUP(Table56[[#This Row],[Shortname]], Comp[], 21, FALSE)</f>
        <v>0</v>
      </c>
      <c r="W145">
        <f>VLOOKUP(Table56[[#This Row],[Shortname]], Comp[], 22, FALSE)</f>
        <v>0</v>
      </c>
      <c r="X145">
        <f>VLOOKUP(Table56[[#This Row],[Shortname]], Comp[], 23, FALSE)</f>
        <v>0</v>
      </c>
      <c r="Y145">
        <f>VLOOKUP(Table56[[#This Row],[Shortname]], Comp[], 24, FALSE)</f>
        <v>0</v>
      </c>
      <c r="Z145">
        <f>VLOOKUP(Table56[[#This Row],[Shortname]], Comp[], 25, FALSE)</f>
        <v>0</v>
      </c>
      <c r="AA145">
        <f>VLOOKUP(Table56[[#This Row],[Shortname]], Comp[], 26, FALSE)</f>
        <v>0</v>
      </c>
      <c r="AB145">
        <f>VLOOKUP(Table56[[#This Row],[Shortname]], Comp[], 27, FALSE)</f>
        <v>0</v>
      </c>
      <c r="AC145">
        <f>VLOOKUP(Table56[[#This Row],[Shortname]], Comp[], 28, FALSE)</f>
        <v>0</v>
      </c>
      <c r="AD145">
        <f>VLOOKUP(Table56[[#This Row],[Shortname]], Comp[], 29, FALSE)</f>
        <v>0</v>
      </c>
      <c r="AE145">
        <f>VLOOKUP(Table56[[#This Row],[Shortname]], Comp[], 30, FALSE)</f>
        <v>0</v>
      </c>
      <c r="AF145">
        <f>VLOOKUP(Table56[[#This Row],[Shortname]], Comp[], 31, FALSE)</f>
        <v>0</v>
      </c>
    </row>
    <row r="146" spans="1:32" x14ac:dyDescent="0.3">
      <c r="A146" s="18" t="s">
        <v>1686</v>
      </c>
      <c r="B146" s="18" t="s">
        <v>1688</v>
      </c>
      <c r="C146" s="3" t="s">
        <v>1676</v>
      </c>
      <c r="D146">
        <v>1062</v>
      </c>
      <c r="E146">
        <v>1205</v>
      </c>
      <c r="F146">
        <v>1321</v>
      </c>
      <c r="G146">
        <f>VLOOKUP(Table56[[#This Row],[Shortname]], Comp[], 6, FALSE)</f>
        <v>215</v>
      </c>
      <c r="H146" s="14">
        <f>VLOOKUP(Table56[[#This Row],[Shortname]], Comp[], 7, FALSE)</f>
        <v>84</v>
      </c>
      <c r="I146">
        <f>VLOOKUP(Table56[[#This Row],[Shortname]], Comp[], 8, FALSE)</f>
        <v>0</v>
      </c>
      <c r="J146">
        <f>VLOOKUP(Table56[[#This Row],[Shortname]], Comp[], 9, FALSE)</f>
        <v>0</v>
      </c>
      <c r="K146">
        <f>VLOOKUP(Table56[[#This Row],[Shortname]], Comp[], 10, FALSE)</f>
        <v>4</v>
      </c>
      <c r="L146">
        <f>VLOOKUP(Table56[[#This Row],[Shortname]], Comp[], 11, FALSE)</f>
        <v>0</v>
      </c>
      <c r="M146">
        <f>VLOOKUP(Table56[[#This Row],[Shortname]], Comp[],12, FALSE)</f>
        <v>12</v>
      </c>
      <c r="N146">
        <f>VLOOKUP(Table56[[#This Row],[Shortname]], Comp[], 13, FALSE)</f>
        <v>0</v>
      </c>
      <c r="O146">
        <f>VLOOKUP(Table56[[#This Row],[Shortname]], Comp[], 14, FALSE)</f>
        <v>0</v>
      </c>
      <c r="P146">
        <f>VLOOKUP(Table56[[#This Row],[Shortname]], Comp[], 15, FALSE)</f>
        <v>0</v>
      </c>
      <c r="Q146">
        <f>VLOOKUP(Table56[[#This Row],[Shortname]], Comp[], 16, FALSE)</f>
        <v>0</v>
      </c>
      <c r="R146">
        <f>VLOOKUP(Table56[[#This Row],[Shortname]], Comp[], 17, FALSE)</f>
        <v>0</v>
      </c>
      <c r="S146">
        <f>VLOOKUP(Table56[[#This Row],[Shortname]], Comp[], 18, FALSE)</f>
        <v>0</v>
      </c>
      <c r="T146">
        <f>VLOOKUP(Table56[[#This Row],[Shortname]], Comp[], 19, FALSE)</f>
        <v>0</v>
      </c>
      <c r="U146">
        <f>VLOOKUP(Table56[[#This Row],[Shortname]], Comp[], 20, FALSE)</f>
        <v>0</v>
      </c>
      <c r="V146">
        <f>VLOOKUP(Table56[[#This Row],[Shortname]], Comp[], 21, FALSE)</f>
        <v>0</v>
      </c>
      <c r="W146">
        <f>VLOOKUP(Table56[[#This Row],[Shortname]], Comp[], 22, FALSE)</f>
        <v>0</v>
      </c>
      <c r="X146">
        <f>VLOOKUP(Table56[[#This Row],[Shortname]], Comp[], 23, FALSE)</f>
        <v>0</v>
      </c>
      <c r="Y146">
        <f>VLOOKUP(Table56[[#This Row],[Shortname]], Comp[], 24, FALSE)</f>
        <v>0</v>
      </c>
      <c r="Z146">
        <f>VLOOKUP(Table56[[#This Row],[Shortname]], Comp[], 25, FALSE)</f>
        <v>0</v>
      </c>
      <c r="AA146">
        <f>VLOOKUP(Table56[[#This Row],[Shortname]], Comp[], 26, FALSE)</f>
        <v>0</v>
      </c>
      <c r="AB146">
        <f>VLOOKUP(Table56[[#This Row],[Shortname]], Comp[], 27, FALSE)</f>
        <v>0</v>
      </c>
      <c r="AC146">
        <f>VLOOKUP(Table56[[#This Row],[Shortname]], Comp[], 28, FALSE)</f>
        <v>0</v>
      </c>
      <c r="AD146">
        <f>VLOOKUP(Table56[[#This Row],[Shortname]], Comp[], 29, FALSE)</f>
        <v>0</v>
      </c>
      <c r="AE146">
        <f>VLOOKUP(Table56[[#This Row],[Shortname]], Comp[], 30, FALSE)</f>
        <v>0</v>
      </c>
      <c r="AF146">
        <f>VLOOKUP(Table56[[#This Row],[Shortname]], Comp[], 31, FALSE)</f>
        <v>0</v>
      </c>
    </row>
    <row r="147" spans="1:32" x14ac:dyDescent="0.3">
      <c r="A147" t="s">
        <v>1673</v>
      </c>
      <c r="B147" t="s">
        <v>1675</v>
      </c>
      <c r="C147" s="3" t="s">
        <v>1676</v>
      </c>
      <c r="D147">
        <v>1005</v>
      </c>
      <c r="E147">
        <v>1219</v>
      </c>
      <c r="F147">
        <v>1318</v>
      </c>
      <c r="G147">
        <f>VLOOKUP(Table56[[#This Row],[Shortname]], Comp[], 6, FALSE)</f>
        <v>213</v>
      </c>
      <c r="H147" s="14">
        <f>VLOOKUP(Table56[[#This Row],[Shortname]], Comp[], 7, FALSE)</f>
        <v>88</v>
      </c>
      <c r="I147">
        <f>VLOOKUP(Table56[[#This Row],[Shortname]], Comp[], 8, FALSE)</f>
        <v>0</v>
      </c>
      <c r="J147">
        <f>VLOOKUP(Table56[[#This Row],[Shortname]], Comp[], 9, FALSE)</f>
        <v>0</v>
      </c>
      <c r="K147">
        <f>VLOOKUP(Table56[[#This Row],[Shortname]], Comp[], 10, FALSE)</f>
        <v>0</v>
      </c>
      <c r="L147">
        <f>VLOOKUP(Table56[[#This Row],[Shortname]], Comp[], 11, FALSE)</f>
        <v>0</v>
      </c>
      <c r="M147">
        <f>VLOOKUP(Table56[[#This Row],[Shortname]], Comp[],12, FALSE)</f>
        <v>12</v>
      </c>
      <c r="N147">
        <f>VLOOKUP(Table56[[#This Row],[Shortname]], Comp[], 13, FALSE)</f>
        <v>0</v>
      </c>
      <c r="O147">
        <f>VLOOKUP(Table56[[#This Row],[Shortname]], Comp[], 14, FALSE)</f>
        <v>0</v>
      </c>
      <c r="P147">
        <f>VLOOKUP(Table56[[#This Row],[Shortname]], Comp[], 15, FALSE)</f>
        <v>0</v>
      </c>
      <c r="Q147">
        <f>VLOOKUP(Table56[[#This Row],[Shortname]], Comp[], 16, FALSE)</f>
        <v>0</v>
      </c>
      <c r="R147">
        <f>VLOOKUP(Table56[[#This Row],[Shortname]], Comp[], 17, FALSE)</f>
        <v>0</v>
      </c>
      <c r="S147">
        <f>VLOOKUP(Table56[[#This Row],[Shortname]], Comp[], 18, FALSE)</f>
        <v>0</v>
      </c>
      <c r="T147">
        <f>VLOOKUP(Table56[[#This Row],[Shortname]], Comp[], 19, FALSE)</f>
        <v>0</v>
      </c>
      <c r="U147">
        <f>VLOOKUP(Table56[[#This Row],[Shortname]], Comp[], 20, FALSE)</f>
        <v>0</v>
      </c>
      <c r="V147">
        <f>VLOOKUP(Table56[[#This Row],[Shortname]], Comp[], 21, FALSE)</f>
        <v>0</v>
      </c>
      <c r="W147">
        <f>VLOOKUP(Table56[[#This Row],[Shortname]], Comp[], 22, FALSE)</f>
        <v>0</v>
      </c>
      <c r="X147">
        <f>VLOOKUP(Table56[[#This Row],[Shortname]], Comp[], 23, FALSE)</f>
        <v>0</v>
      </c>
      <c r="Y147">
        <f>VLOOKUP(Table56[[#This Row],[Shortname]], Comp[], 24, FALSE)</f>
        <v>0</v>
      </c>
      <c r="Z147">
        <f>VLOOKUP(Table56[[#This Row],[Shortname]], Comp[], 25, FALSE)</f>
        <v>0</v>
      </c>
      <c r="AA147">
        <f>VLOOKUP(Table56[[#This Row],[Shortname]], Comp[], 26, FALSE)</f>
        <v>0</v>
      </c>
      <c r="AB147">
        <f>VLOOKUP(Table56[[#This Row],[Shortname]], Comp[], 27, FALSE)</f>
        <v>0</v>
      </c>
      <c r="AC147">
        <f>VLOOKUP(Table56[[#This Row],[Shortname]], Comp[], 28, FALSE)</f>
        <v>0</v>
      </c>
      <c r="AD147">
        <f>VLOOKUP(Table56[[#This Row],[Shortname]], Comp[], 29, FALSE)</f>
        <v>0</v>
      </c>
      <c r="AE147">
        <f>VLOOKUP(Table56[[#This Row],[Shortname]], Comp[], 30, FALSE)</f>
        <v>0</v>
      </c>
      <c r="AF147">
        <f>VLOOKUP(Table56[[#This Row],[Shortname]], Comp[], 31, FALSE)</f>
        <v>0</v>
      </c>
    </row>
    <row r="148" spans="1:32" x14ac:dyDescent="0.3">
      <c r="A148" t="s">
        <v>1741</v>
      </c>
      <c r="B148" t="s">
        <v>1743</v>
      </c>
      <c r="C148" s="6" t="s">
        <v>1724</v>
      </c>
      <c r="D148">
        <v>1182</v>
      </c>
      <c r="F148">
        <v>1396</v>
      </c>
      <c r="G148" t="s">
        <v>6712</v>
      </c>
      <c r="H148" s="14">
        <f>VLOOKUP(Table56[[#This Row],[Shortname]], Comp[], 7, FALSE)</f>
        <v>49.900000000000006</v>
      </c>
      <c r="I148">
        <f>VLOOKUP(Table56[[#This Row],[Shortname]], Comp[], 8, FALSE)</f>
        <v>29.6</v>
      </c>
      <c r="J148">
        <f>VLOOKUP(Table56[[#This Row],[Shortname]], Comp[], 9, FALSE)</f>
        <v>11.2</v>
      </c>
      <c r="K148">
        <f>VLOOKUP(Table56[[#This Row],[Shortname]], Comp[], 10, FALSE)</f>
        <v>0</v>
      </c>
      <c r="L148">
        <f>VLOOKUP(Table56[[#This Row],[Shortname]], Comp[], 11, FALSE)</f>
        <v>6.5</v>
      </c>
      <c r="M148">
        <f>VLOOKUP(Table56[[#This Row],[Shortname]], Comp[],12, FALSE)</f>
        <v>0</v>
      </c>
      <c r="N148">
        <f>VLOOKUP(Table56[[#This Row],[Shortname]], Comp[], 13, FALSE)</f>
        <v>2.8</v>
      </c>
      <c r="O148">
        <f>VLOOKUP(Table56[[#This Row],[Shortname]], Comp[], 14, FALSE)</f>
        <v>0</v>
      </c>
      <c r="P148">
        <f>VLOOKUP(Table56[[#This Row],[Shortname]], Comp[], 15, FALSE)</f>
        <v>0</v>
      </c>
      <c r="Q148">
        <f>VLOOKUP(Table56[[#This Row],[Shortname]], Comp[], 16, FALSE)</f>
        <v>0</v>
      </c>
      <c r="R148">
        <f>VLOOKUP(Table56[[#This Row],[Shortname]], Comp[], 17, FALSE)</f>
        <v>0</v>
      </c>
      <c r="S148">
        <f>VLOOKUP(Table56[[#This Row],[Shortname]], Comp[], 18, FALSE)</f>
        <v>0</v>
      </c>
      <c r="T148">
        <f>VLOOKUP(Table56[[#This Row],[Shortname]], Comp[], 19, FALSE)</f>
        <v>0</v>
      </c>
      <c r="U148">
        <f>VLOOKUP(Table56[[#This Row],[Shortname]], Comp[], 20, FALSE)</f>
        <v>0</v>
      </c>
      <c r="V148">
        <f>VLOOKUP(Table56[[#This Row],[Shortname]], Comp[], 21, FALSE)</f>
        <v>0</v>
      </c>
      <c r="W148">
        <f>VLOOKUP(Table56[[#This Row],[Shortname]], Comp[], 22, FALSE)</f>
        <v>0</v>
      </c>
      <c r="X148">
        <f>VLOOKUP(Table56[[#This Row],[Shortname]], Comp[], 23, FALSE)</f>
        <v>0</v>
      </c>
      <c r="Y148">
        <f>VLOOKUP(Table56[[#This Row],[Shortname]], Comp[], 24, FALSE)</f>
        <v>0</v>
      </c>
      <c r="Z148">
        <f>VLOOKUP(Table56[[#This Row],[Shortname]], Comp[], 25, FALSE)</f>
        <v>0</v>
      </c>
      <c r="AA148">
        <f>VLOOKUP(Table56[[#This Row],[Shortname]], Comp[], 26, FALSE)</f>
        <v>0</v>
      </c>
      <c r="AB148">
        <f>VLOOKUP(Table56[[#This Row],[Shortname]], Comp[], 27, FALSE)</f>
        <v>0</v>
      </c>
      <c r="AC148">
        <f>VLOOKUP(Table56[[#This Row],[Shortname]], Comp[], 28, FALSE)</f>
        <v>0</v>
      </c>
      <c r="AD148">
        <f>VLOOKUP(Table56[[#This Row],[Shortname]], Comp[], 29, FALSE)</f>
        <v>0</v>
      </c>
      <c r="AE148">
        <f>VLOOKUP(Table56[[#This Row],[Shortname]], Comp[], 30, FALSE)</f>
        <v>0</v>
      </c>
      <c r="AF148">
        <f>VLOOKUP(Table56[[#This Row],[Shortname]], Comp[], 31, FALSE)</f>
        <v>0</v>
      </c>
    </row>
    <row r="149" spans="1:32" x14ac:dyDescent="0.3">
      <c r="A149" t="s">
        <v>1721</v>
      </c>
      <c r="B149" t="s">
        <v>1723</v>
      </c>
      <c r="C149" s="6" t="s">
        <v>1724</v>
      </c>
      <c r="D149">
        <v>1163</v>
      </c>
      <c r="F149">
        <v>1231</v>
      </c>
      <c r="G149" t="s">
        <v>6712</v>
      </c>
      <c r="H149" s="14">
        <f>VLOOKUP(Table56[[#This Row],[Shortname]], Comp[], 7, FALSE)</f>
        <v>79</v>
      </c>
      <c r="I149">
        <f>VLOOKUP(Table56[[#This Row],[Shortname]], Comp[], 8, FALSE)</f>
        <v>0</v>
      </c>
      <c r="J149">
        <f>VLOOKUP(Table56[[#This Row],[Shortname]], Comp[], 9, FALSE)</f>
        <v>6.7</v>
      </c>
      <c r="K149">
        <f>VLOOKUP(Table56[[#This Row],[Shortname]], Comp[], 10, FALSE)</f>
        <v>0</v>
      </c>
      <c r="L149">
        <f>VLOOKUP(Table56[[#This Row],[Shortname]], Comp[], 11, FALSE)</f>
        <v>8.1</v>
      </c>
      <c r="M149">
        <f>VLOOKUP(Table56[[#This Row],[Shortname]], Comp[],12, FALSE)</f>
        <v>6.2</v>
      </c>
      <c r="N149">
        <f>VLOOKUP(Table56[[#This Row],[Shortname]], Comp[], 13, FALSE)</f>
        <v>0</v>
      </c>
      <c r="O149">
        <f>VLOOKUP(Table56[[#This Row],[Shortname]], Comp[], 14, FALSE)</f>
        <v>0</v>
      </c>
      <c r="P149">
        <f>VLOOKUP(Table56[[#This Row],[Shortname]], Comp[], 15, FALSE)</f>
        <v>0</v>
      </c>
      <c r="Q149">
        <f>VLOOKUP(Table56[[#This Row],[Shortname]], Comp[], 16, FALSE)</f>
        <v>0</v>
      </c>
      <c r="R149">
        <f>VLOOKUP(Table56[[#This Row],[Shortname]], Comp[], 17, FALSE)</f>
        <v>0</v>
      </c>
      <c r="S149">
        <f>VLOOKUP(Table56[[#This Row],[Shortname]], Comp[], 18, FALSE)</f>
        <v>0</v>
      </c>
      <c r="T149">
        <f>VLOOKUP(Table56[[#This Row],[Shortname]], Comp[], 19, FALSE)</f>
        <v>0</v>
      </c>
      <c r="U149">
        <f>VLOOKUP(Table56[[#This Row],[Shortname]], Comp[], 20, FALSE)</f>
        <v>0</v>
      </c>
      <c r="V149">
        <f>VLOOKUP(Table56[[#This Row],[Shortname]], Comp[], 21, FALSE)</f>
        <v>0</v>
      </c>
      <c r="W149">
        <f>VLOOKUP(Table56[[#This Row],[Shortname]], Comp[], 22, FALSE)</f>
        <v>0</v>
      </c>
      <c r="X149">
        <f>VLOOKUP(Table56[[#This Row],[Shortname]], Comp[], 23, FALSE)</f>
        <v>0</v>
      </c>
      <c r="Y149">
        <f>VLOOKUP(Table56[[#This Row],[Shortname]], Comp[], 24, FALSE)</f>
        <v>0</v>
      </c>
      <c r="Z149">
        <f>VLOOKUP(Table56[[#This Row],[Shortname]], Comp[], 25, FALSE)</f>
        <v>0</v>
      </c>
      <c r="AA149">
        <f>VLOOKUP(Table56[[#This Row],[Shortname]], Comp[], 26, FALSE)</f>
        <v>0</v>
      </c>
      <c r="AB149">
        <f>VLOOKUP(Table56[[#This Row],[Shortname]], Comp[], 27, FALSE)</f>
        <v>0</v>
      </c>
      <c r="AC149">
        <f>VLOOKUP(Table56[[#This Row],[Shortname]], Comp[], 28, FALSE)</f>
        <v>0</v>
      </c>
      <c r="AD149">
        <f>VLOOKUP(Table56[[#This Row],[Shortname]], Comp[], 29, FALSE)</f>
        <v>0</v>
      </c>
      <c r="AE149">
        <f>VLOOKUP(Table56[[#This Row],[Shortname]], Comp[], 30, FALSE)</f>
        <v>0</v>
      </c>
      <c r="AF149">
        <f>VLOOKUP(Table56[[#This Row],[Shortname]], Comp[], 31, FALSE)</f>
        <v>0</v>
      </c>
    </row>
    <row r="150" spans="1:32" x14ac:dyDescent="0.3">
      <c r="A150" t="s">
        <v>1315</v>
      </c>
      <c r="B150" t="s">
        <v>1317</v>
      </c>
      <c r="C150" s="6" t="s">
        <v>1724</v>
      </c>
      <c r="D150">
        <v>1147</v>
      </c>
      <c r="F150">
        <v>1380</v>
      </c>
      <c r="G150" t="s">
        <v>6712</v>
      </c>
      <c r="H150" s="14">
        <f>VLOOKUP(Table56[[#This Row],[Shortname]], Comp[], 7, FALSE)</f>
        <v>45.900000000000006</v>
      </c>
      <c r="I150">
        <f>VLOOKUP(Table56[[#This Row],[Shortname]], Comp[], 8, FALSE)</f>
        <v>29.2</v>
      </c>
      <c r="J150">
        <f>VLOOKUP(Table56[[#This Row],[Shortname]], Comp[], 9, FALSE)</f>
        <v>9.8000000000000007</v>
      </c>
      <c r="K150">
        <f>VLOOKUP(Table56[[#This Row],[Shortname]], Comp[], 10, FALSE)</f>
        <v>6.4</v>
      </c>
      <c r="L150">
        <f>VLOOKUP(Table56[[#This Row],[Shortname]], Comp[], 11, FALSE)</f>
        <v>6.3</v>
      </c>
      <c r="M150">
        <f>VLOOKUP(Table56[[#This Row],[Shortname]], Comp[],12, FALSE)</f>
        <v>0</v>
      </c>
      <c r="N150">
        <f>VLOOKUP(Table56[[#This Row],[Shortname]], Comp[], 13, FALSE)</f>
        <v>2.4</v>
      </c>
      <c r="O150">
        <f>VLOOKUP(Table56[[#This Row],[Shortname]], Comp[], 14, FALSE)</f>
        <v>0</v>
      </c>
      <c r="P150">
        <f>VLOOKUP(Table56[[#This Row],[Shortname]], Comp[], 15, FALSE)</f>
        <v>0</v>
      </c>
      <c r="Q150">
        <f>VLOOKUP(Table56[[#This Row],[Shortname]], Comp[], 16, FALSE)</f>
        <v>0</v>
      </c>
      <c r="R150">
        <f>VLOOKUP(Table56[[#This Row],[Shortname]], Comp[], 17, FALSE)</f>
        <v>0</v>
      </c>
      <c r="S150">
        <f>VLOOKUP(Table56[[#This Row],[Shortname]], Comp[], 18, FALSE)</f>
        <v>0</v>
      </c>
      <c r="T150">
        <f>VLOOKUP(Table56[[#This Row],[Shortname]], Comp[], 19, FALSE)</f>
        <v>0</v>
      </c>
      <c r="U150">
        <f>VLOOKUP(Table56[[#This Row],[Shortname]], Comp[], 20, FALSE)</f>
        <v>0</v>
      </c>
      <c r="V150">
        <f>VLOOKUP(Table56[[#This Row],[Shortname]], Comp[], 21, FALSE)</f>
        <v>0</v>
      </c>
      <c r="W150">
        <f>VLOOKUP(Table56[[#This Row],[Shortname]], Comp[], 22, FALSE)</f>
        <v>0</v>
      </c>
      <c r="X150">
        <f>VLOOKUP(Table56[[#This Row],[Shortname]], Comp[], 23, FALSE)</f>
        <v>0</v>
      </c>
      <c r="Y150">
        <f>VLOOKUP(Table56[[#This Row],[Shortname]], Comp[], 24, FALSE)</f>
        <v>0</v>
      </c>
      <c r="Z150">
        <f>VLOOKUP(Table56[[#This Row],[Shortname]], Comp[], 25, FALSE)</f>
        <v>0</v>
      </c>
      <c r="AA150">
        <f>VLOOKUP(Table56[[#This Row],[Shortname]], Comp[], 26, FALSE)</f>
        <v>0</v>
      </c>
      <c r="AB150">
        <f>VLOOKUP(Table56[[#This Row],[Shortname]], Comp[], 27, FALSE)</f>
        <v>0</v>
      </c>
      <c r="AC150">
        <f>VLOOKUP(Table56[[#This Row],[Shortname]], Comp[], 28, FALSE)</f>
        <v>0</v>
      </c>
      <c r="AD150">
        <f>VLOOKUP(Table56[[#This Row],[Shortname]], Comp[], 29, FALSE)</f>
        <v>0</v>
      </c>
      <c r="AE150">
        <f>VLOOKUP(Table56[[#This Row],[Shortname]], Comp[], 30, FALSE)</f>
        <v>0</v>
      </c>
      <c r="AF150">
        <f>VLOOKUP(Table56[[#This Row],[Shortname]], Comp[], 31, FALSE)</f>
        <v>0</v>
      </c>
    </row>
    <row r="151" spans="1:32" x14ac:dyDescent="0.3">
      <c r="A151" t="s">
        <v>1735</v>
      </c>
      <c r="B151" t="s">
        <v>1736</v>
      </c>
      <c r="C151" s="6" t="s">
        <v>1724</v>
      </c>
      <c r="D151">
        <v>1103</v>
      </c>
      <c r="F151">
        <v>1407</v>
      </c>
      <c r="G151" t="s">
        <v>6712</v>
      </c>
      <c r="H151" s="14">
        <f>VLOOKUP(Table56[[#This Row],[Shortname]], Comp[], 7, FALSE)</f>
        <v>79.400000000000006</v>
      </c>
      <c r="I151">
        <f>VLOOKUP(Table56[[#This Row],[Shortname]], Comp[], 8, FALSE)</f>
        <v>0</v>
      </c>
      <c r="J151">
        <f>VLOOKUP(Table56[[#This Row],[Shortname]], Comp[], 9, FALSE)</f>
        <v>8.8000000000000007</v>
      </c>
      <c r="K151">
        <f>VLOOKUP(Table56[[#This Row],[Shortname]], Comp[], 10, FALSE)</f>
        <v>0</v>
      </c>
      <c r="L151">
        <f>VLOOKUP(Table56[[#This Row],[Shortname]], Comp[], 11, FALSE)</f>
        <v>9.8000000000000007</v>
      </c>
      <c r="M151">
        <f>VLOOKUP(Table56[[#This Row],[Shortname]], Comp[],12, FALSE)</f>
        <v>0</v>
      </c>
      <c r="N151">
        <f>VLOOKUP(Table56[[#This Row],[Shortname]], Comp[], 13, FALSE)</f>
        <v>2</v>
      </c>
      <c r="O151">
        <f>VLOOKUP(Table56[[#This Row],[Shortname]], Comp[], 14, FALSE)</f>
        <v>0</v>
      </c>
      <c r="P151">
        <f>VLOOKUP(Table56[[#This Row],[Shortname]], Comp[], 15, FALSE)</f>
        <v>0</v>
      </c>
      <c r="Q151">
        <f>VLOOKUP(Table56[[#This Row],[Shortname]], Comp[], 16, FALSE)</f>
        <v>0</v>
      </c>
      <c r="R151">
        <f>VLOOKUP(Table56[[#This Row],[Shortname]], Comp[], 17, FALSE)</f>
        <v>0</v>
      </c>
      <c r="S151">
        <f>VLOOKUP(Table56[[#This Row],[Shortname]], Comp[], 18, FALSE)</f>
        <v>0</v>
      </c>
      <c r="T151">
        <f>VLOOKUP(Table56[[#This Row],[Shortname]], Comp[], 19, FALSE)</f>
        <v>0</v>
      </c>
      <c r="U151">
        <f>VLOOKUP(Table56[[#This Row],[Shortname]], Comp[], 20, FALSE)</f>
        <v>0</v>
      </c>
      <c r="V151">
        <f>VLOOKUP(Table56[[#This Row],[Shortname]], Comp[], 21, FALSE)</f>
        <v>0</v>
      </c>
      <c r="W151">
        <f>VLOOKUP(Table56[[#This Row],[Shortname]], Comp[], 22, FALSE)</f>
        <v>0</v>
      </c>
      <c r="X151">
        <f>VLOOKUP(Table56[[#This Row],[Shortname]], Comp[], 23, FALSE)</f>
        <v>0</v>
      </c>
      <c r="Y151">
        <f>VLOOKUP(Table56[[#This Row],[Shortname]], Comp[], 24, FALSE)</f>
        <v>0</v>
      </c>
      <c r="Z151">
        <f>VLOOKUP(Table56[[#This Row],[Shortname]], Comp[], 25, FALSE)</f>
        <v>0</v>
      </c>
      <c r="AA151">
        <f>VLOOKUP(Table56[[#This Row],[Shortname]], Comp[], 26, FALSE)</f>
        <v>0</v>
      </c>
      <c r="AB151">
        <f>VLOOKUP(Table56[[#This Row],[Shortname]], Comp[], 27, FALSE)</f>
        <v>0</v>
      </c>
      <c r="AC151">
        <f>VLOOKUP(Table56[[#This Row],[Shortname]], Comp[], 28, FALSE)</f>
        <v>0</v>
      </c>
      <c r="AD151">
        <f>VLOOKUP(Table56[[#This Row],[Shortname]], Comp[], 29, FALSE)</f>
        <v>0</v>
      </c>
      <c r="AE151">
        <f>VLOOKUP(Table56[[#This Row],[Shortname]], Comp[], 30, FALSE)</f>
        <v>0</v>
      </c>
      <c r="AF151">
        <f>VLOOKUP(Table56[[#This Row],[Shortname]], Comp[], 31, FALSE)</f>
        <v>0</v>
      </c>
    </row>
    <row r="152" spans="1:32" x14ac:dyDescent="0.3">
      <c r="A152" t="s">
        <v>1728</v>
      </c>
      <c r="B152" t="s">
        <v>1730</v>
      </c>
      <c r="C152" s="6" t="s">
        <v>1724</v>
      </c>
      <c r="D152">
        <v>1039</v>
      </c>
      <c r="F152">
        <v>1447</v>
      </c>
      <c r="G152" t="s">
        <v>6712</v>
      </c>
      <c r="H152" s="14">
        <f>VLOOKUP(Table56[[#This Row],[Shortname]], Comp[], 7, FALSE)</f>
        <v>79.900000000000006</v>
      </c>
      <c r="I152">
        <f>VLOOKUP(Table56[[#This Row],[Shortname]], Comp[], 8, FALSE)</f>
        <v>0</v>
      </c>
      <c r="J152">
        <f>VLOOKUP(Table56[[#This Row],[Shortname]], Comp[], 9, FALSE)</f>
        <v>9.4</v>
      </c>
      <c r="K152">
        <f>VLOOKUP(Table56[[#This Row],[Shortname]], Comp[], 10, FALSE)</f>
        <v>0</v>
      </c>
      <c r="L152">
        <f>VLOOKUP(Table56[[#This Row],[Shortname]], Comp[], 11, FALSE)</f>
        <v>10.7</v>
      </c>
      <c r="M152">
        <f>VLOOKUP(Table56[[#This Row],[Shortname]], Comp[],12, FALSE)</f>
        <v>0</v>
      </c>
      <c r="N152">
        <f>VLOOKUP(Table56[[#This Row],[Shortname]], Comp[], 13, FALSE)</f>
        <v>0</v>
      </c>
      <c r="O152">
        <f>VLOOKUP(Table56[[#This Row],[Shortname]], Comp[], 14, FALSE)</f>
        <v>0</v>
      </c>
      <c r="P152">
        <f>VLOOKUP(Table56[[#This Row],[Shortname]], Comp[], 15, FALSE)</f>
        <v>0</v>
      </c>
      <c r="Q152">
        <f>VLOOKUP(Table56[[#This Row],[Shortname]], Comp[], 16, FALSE)</f>
        <v>0</v>
      </c>
      <c r="R152">
        <f>VLOOKUP(Table56[[#This Row],[Shortname]], Comp[], 17, FALSE)</f>
        <v>0</v>
      </c>
      <c r="S152">
        <f>VLOOKUP(Table56[[#This Row],[Shortname]], Comp[], 18, FALSE)</f>
        <v>0</v>
      </c>
      <c r="T152">
        <f>VLOOKUP(Table56[[#This Row],[Shortname]], Comp[], 19, FALSE)</f>
        <v>0</v>
      </c>
      <c r="U152">
        <f>VLOOKUP(Table56[[#This Row],[Shortname]], Comp[], 20, FALSE)</f>
        <v>0</v>
      </c>
      <c r="V152">
        <f>VLOOKUP(Table56[[#This Row],[Shortname]], Comp[], 21, FALSE)</f>
        <v>0</v>
      </c>
      <c r="W152">
        <f>VLOOKUP(Table56[[#This Row],[Shortname]], Comp[], 22, FALSE)</f>
        <v>0</v>
      </c>
      <c r="X152">
        <f>VLOOKUP(Table56[[#This Row],[Shortname]], Comp[], 23, FALSE)</f>
        <v>0</v>
      </c>
      <c r="Y152">
        <f>VLOOKUP(Table56[[#This Row],[Shortname]], Comp[], 24, FALSE)</f>
        <v>0</v>
      </c>
      <c r="Z152">
        <f>VLOOKUP(Table56[[#This Row],[Shortname]], Comp[], 25, FALSE)</f>
        <v>0</v>
      </c>
      <c r="AA152">
        <f>VLOOKUP(Table56[[#This Row],[Shortname]], Comp[], 26, FALSE)</f>
        <v>0</v>
      </c>
      <c r="AB152">
        <f>VLOOKUP(Table56[[#This Row],[Shortname]], Comp[], 27, FALSE)</f>
        <v>0</v>
      </c>
      <c r="AC152">
        <f>VLOOKUP(Table56[[#This Row],[Shortname]], Comp[], 28, FALSE)</f>
        <v>0</v>
      </c>
      <c r="AD152">
        <f>VLOOKUP(Table56[[#This Row],[Shortname]], Comp[], 29, FALSE)</f>
        <v>0</v>
      </c>
      <c r="AE152">
        <f>VLOOKUP(Table56[[#This Row],[Shortname]], Comp[], 30, FALSE)</f>
        <v>0</v>
      </c>
      <c r="AF152">
        <f>VLOOKUP(Table56[[#This Row],[Shortname]], Comp[], 31, FALSE)</f>
        <v>0</v>
      </c>
    </row>
    <row r="153" spans="1:32" x14ac:dyDescent="0.3">
      <c r="A153" t="s">
        <v>1751</v>
      </c>
      <c r="B153" t="s">
        <v>1753</v>
      </c>
      <c r="C153" s="3" t="s">
        <v>1754</v>
      </c>
      <c r="D153">
        <v>1137</v>
      </c>
      <c r="E153">
        <v>1369</v>
      </c>
      <c r="F153">
        <v>1421</v>
      </c>
      <c r="H153" s="14">
        <f>VLOOKUP(Table56[[#This Row],[Shortname]], Comp[], 7, FALSE)</f>
        <v>59.289999999999992</v>
      </c>
      <c r="I153">
        <f>VLOOKUP(Table56[[#This Row],[Shortname]], Comp[], 8, FALSE)</f>
        <v>23.42</v>
      </c>
      <c r="J153">
        <f>VLOOKUP(Table56[[#This Row],[Shortname]], Comp[], 9, FALSE)</f>
        <v>9.49</v>
      </c>
      <c r="K153">
        <f>VLOOKUP(Table56[[#This Row],[Shortname]], Comp[], 10, FALSE)</f>
        <v>1.89</v>
      </c>
      <c r="L153">
        <f>VLOOKUP(Table56[[#This Row],[Shortname]], Comp[], 11, FALSE)</f>
        <v>4.0999999999999996</v>
      </c>
      <c r="M153">
        <f>VLOOKUP(Table56[[#This Row],[Shortname]], Comp[],12, FALSE)</f>
        <v>0</v>
      </c>
      <c r="N153">
        <f>VLOOKUP(Table56[[#This Row],[Shortname]], Comp[], 13, FALSE)</f>
        <v>1.81</v>
      </c>
      <c r="O153">
        <f>VLOOKUP(Table56[[#This Row],[Shortname]], Comp[], 14, FALSE)</f>
        <v>0</v>
      </c>
      <c r="P153">
        <f>VLOOKUP(Table56[[#This Row],[Shortname]], Comp[], 15, FALSE)</f>
        <v>0</v>
      </c>
      <c r="Q153">
        <f>VLOOKUP(Table56[[#This Row],[Shortname]], Comp[], 16, FALSE)</f>
        <v>0</v>
      </c>
      <c r="R153">
        <f>VLOOKUP(Table56[[#This Row],[Shortname]], Comp[], 17, FALSE)</f>
        <v>0</v>
      </c>
      <c r="S153">
        <f>VLOOKUP(Table56[[#This Row],[Shortname]], Comp[], 18, FALSE)</f>
        <v>0</v>
      </c>
      <c r="T153">
        <f>VLOOKUP(Table56[[#This Row],[Shortname]], Comp[], 19, FALSE)</f>
        <v>0</v>
      </c>
      <c r="U153">
        <f>VLOOKUP(Table56[[#This Row],[Shortname]], Comp[], 20, FALSE)</f>
        <v>0</v>
      </c>
      <c r="V153">
        <f>VLOOKUP(Table56[[#This Row],[Shortname]], Comp[], 21, FALSE)</f>
        <v>0</v>
      </c>
      <c r="W153">
        <f>VLOOKUP(Table56[[#This Row],[Shortname]], Comp[], 22, FALSE)</f>
        <v>0</v>
      </c>
      <c r="X153">
        <f>VLOOKUP(Table56[[#This Row],[Shortname]], Comp[], 23, FALSE)</f>
        <v>0</v>
      </c>
      <c r="Y153">
        <f>VLOOKUP(Table56[[#This Row],[Shortname]], Comp[], 24, FALSE)</f>
        <v>0</v>
      </c>
      <c r="Z153">
        <f>VLOOKUP(Table56[[#This Row],[Shortname]], Comp[], 25, FALSE)</f>
        <v>0</v>
      </c>
      <c r="AA153">
        <f>VLOOKUP(Table56[[#This Row],[Shortname]], Comp[], 26, FALSE)</f>
        <v>0</v>
      </c>
      <c r="AB153">
        <f>VLOOKUP(Table56[[#This Row],[Shortname]], Comp[], 27, FALSE)</f>
        <v>0</v>
      </c>
      <c r="AC153">
        <f>VLOOKUP(Table56[[#This Row],[Shortname]], Comp[], 28, FALSE)</f>
        <v>0</v>
      </c>
      <c r="AD153">
        <f>VLOOKUP(Table56[[#This Row],[Shortname]], Comp[], 29, FALSE)</f>
        <v>0</v>
      </c>
      <c r="AE153">
        <f>VLOOKUP(Table56[[#This Row],[Shortname]], Comp[], 30, FALSE)</f>
        <v>0</v>
      </c>
      <c r="AF153">
        <f>VLOOKUP(Table56[[#This Row],[Shortname]], Comp[], 31, FALSE)</f>
        <v>0</v>
      </c>
    </row>
    <row r="154" spans="1:32" x14ac:dyDescent="0.3">
      <c r="A154" t="s">
        <v>1823</v>
      </c>
      <c r="B154" t="s">
        <v>1825</v>
      </c>
      <c r="C154" t="s">
        <v>6714</v>
      </c>
      <c r="D154">
        <v>1200</v>
      </c>
      <c r="E154">
        <v>1304</v>
      </c>
      <c r="F154">
        <v>1400</v>
      </c>
      <c r="H154" s="14">
        <f>VLOOKUP(Table56[[#This Row],[Shortname]], Comp[], 7, FALSE)</f>
        <v>82</v>
      </c>
      <c r="I154">
        <f>VLOOKUP(Table56[[#This Row],[Shortname]], Comp[], 8, FALSE)</f>
        <v>0</v>
      </c>
      <c r="J154">
        <f>VLOOKUP(Table56[[#This Row],[Shortname]], Comp[], 9, FALSE)</f>
        <v>5.6</v>
      </c>
      <c r="K154">
        <f>VLOOKUP(Table56[[#This Row],[Shortname]], Comp[], 10, FALSE)</f>
        <v>0</v>
      </c>
      <c r="L154">
        <f>VLOOKUP(Table56[[#This Row],[Shortname]], Comp[], 11, FALSE)</f>
        <v>5.8</v>
      </c>
      <c r="M154">
        <f>VLOOKUP(Table56[[#This Row],[Shortname]], Comp[],12, FALSE)</f>
        <v>6.6</v>
      </c>
      <c r="N154">
        <f>VLOOKUP(Table56[[#This Row],[Shortname]], Comp[], 13, FALSE)</f>
        <v>0</v>
      </c>
      <c r="O154">
        <f>VLOOKUP(Table56[[#This Row],[Shortname]], Comp[], 14, FALSE)</f>
        <v>0</v>
      </c>
      <c r="P154">
        <f>VLOOKUP(Table56[[#This Row],[Shortname]], Comp[], 15, FALSE)</f>
        <v>0</v>
      </c>
      <c r="Q154">
        <f>VLOOKUP(Table56[[#This Row],[Shortname]], Comp[], 16, FALSE)</f>
        <v>0</v>
      </c>
      <c r="R154">
        <f>VLOOKUP(Table56[[#This Row],[Shortname]], Comp[], 17, FALSE)</f>
        <v>0</v>
      </c>
      <c r="S154">
        <f>VLOOKUP(Table56[[#This Row],[Shortname]], Comp[], 18, FALSE)</f>
        <v>0</v>
      </c>
      <c r="T154">
        <f>VLOOKUP(Table56[[#This Row],[Shortname]], Comp[], 19, FALSE)</f>
        <v>0</v>
      </c>
      <c r="U154">
        <f>VLOOKUP(Table56[[#This Row],[Shortname]], Comp[], 20, FALSE)</f>
        <v>0</v>
      </c>
      <c r="V154">
        <f>VLOOKUP(Table56[[#This Row],[Shortname]], Comp[], 21, FALSE)</f>
        <v>0</v>
      </c>
      <c r="W154">
        <f>VLOOKUP(Table56[[#This Row],[Shortname]], Comp[], 22, FALSE)</f>
        <v>0</v>
      </c>
      <c r="X154">
        <f>VLOOKUP(Table56[[#This Row],[Shortname]], Comp[], 23, FALSE)</f>
        <v>0</v>
      </c>
      <c r="Y154">
        <f>VLOOKUP(Table56[[#This Row],[Shortname]], Comp[], 24, FALSE)</f>
        <v>0</v>
      </c>
      <c r="Z154">
        <f>VLOOKUP(Table56[[#This Row],[Shortname]], Comp[], 25, FALSE)</f>
        <v>0</v>
      </c>
      <c r="AA154">
        <f>VLOOKUP(Table56[[#This Row],[Shortname]], Comp[], 26, FALSE)</f>
        <v>0</v>
      </c>
      <c r="AB154">
        <f>VLOOKUP(Table56[[#This Row],[Shortname]], Comp[], 27, FALSE)</f>
        <v>0</v>
      </c>
      <c r="AC154">
        <f>VLOOKUP(Table56[[#This Row],[Shortname]], Comp[], 28, FALSE)</f>
        <v>0</v>
      </c>
      <c r="AD154">
        <f>VLOOKUP(Table56[[#This Row],[Shortname]], Comp[], 29, FALSE)</f>
        <v>0</v>
      </c>
      <c r="AE154">
        <f>VLOOKUP(Table56[[#This Row],[Shortname]], Comp[], 30, FALSE)</f>
        <v>0</v>
      </c>
      <c r="AF154">
        <f>VLOOKUP(Table56[[#This Row],[Shortname]], Comp[], 31, FALSE)</f>
        <v>0</v>
      </c>
    </row>
    <row r="155" spans="1:32" x14ac:dyDescent="0.3">
      <c r="A155" t="s">
        <v>1839</v>
      </c>
      <c r="B155" t="s">
        <v>1841</v>
      </c>
      <c r="C155" t="s">
        <v>6714</v>
      </c>
      <c r="D155">
        <v>1159</v>
      </c>
      <c r="E155">
        <v>1200</v>
      </c>
      <c r="F155">
        <v>1298</v>
      </c>
      <c r="H155" s="14">
        <f>VLOOKUP(Table56[[#This Row],[Shortname]], Comp[], 7, FALSE)</f>
        <v>83</v>
      </c>
      <c r="I155">
        <f>VLOOKUP(Table56[[#This Row],[Shortname]], Comp[], 8, FALSE)</f>
        <v>0</v>
      </c>
      <c r="J155">
        <f>VLOOKUP(Table56[[#This Row],[Shortname]], Comp[], 9, FALSE)</f>
        <v>1.9</v>
      </c>
      <c r="K155">
        <f>VLOOKUP(Table56[[#This Row],[Shortname]], Comp[], 10, FALSE)</f>
        <v>0</v>
      </c>
      <c r="L155">
        <f>VLOOKUP(Table56[[#This Row],[Shortname]], Comp[], 11, FALSE)</f>
        <v>1.9</v>
      </c>
      <c r="M155">
        <f>VLOOKUP(Table56[[#This Row],[Shortname]], Comp[],12, FALSE)</f>
        <v>13.2</v>
      </c>
      <c r="N155">
        <f>VLOOKUP(Table56[[#This Row],[Shortname]], Comp[], 13, FALSE)</f>
        <v>0</v>
      </c>
      <c r="O155">
        <f>VLOOKUP(Table56[[#This Row],[Shortname]], Comp[], 14, FALSE)</f>
        <v>0</v>
      </c>
      <c r="P155">
        <f>VLOOKUP(Table56[[#This Row],[Shortname]], Comp[], 15, FALSE)</f>
        <v>0</v>
      </c>
      <c r="Q155">
        <f>VLOOKUP(Table56[[#This Row],[Shortname]], Comp[], 16, FALSE)</f>
        <v>0</v>
      </c>
      <c r="R155">
        <f>VLOOKUP(Table56[[#This Row],[Shortname]], Comp[], 17, FALSE)</f>
        <v>0</v>
      </c>
      <c r="S155">
        <f>VLOOKUP(Table56[[#This Row],[Shortname]], Comp[], 18, FALSE)</f>
        <v>0</v>
      </c>
      <c r="T155">
        <f>VLOOKUP(Table56[[#This Row],[Shortname]], Comp[], 19, FALSE)</f>
        <v>0</v>
      </c>
      <c r="U155">
        <f>VLOOKUP(Table56[[#This Row],[Shortname]], Comp[], 20, FALSE)</f>
        <v>0</v>
      </c>
      <c r="V155">
        <f>VLOOKUP(Table56[[#This Row],[Shortname]], Comp[], 21, FALSE)</f>
        <v>0</v>
      </c>
      <c r="W155">
        <f>VLOOKUP(Table56[[#This Row],[Shortname]], Comp[], 22, FALSE)</f>
        <v>0</v>
      </c>
      <c r="X155">
        <f>VLOOKUP(Table56[[#This Row],[Shortname]], Comp[], 23, FALSE)</f>
        <v>0</v>
      </c>
      <c r="Y155">
        <f>VLOOKUP(Table56[[#This Row],[Shortname]], Comp[], 24, FALSE)</f>
        <v>0</v>
      </c>
      <c r="Z155">
        <f>VLOOKUP(Table56[[#This Row],[Shortname]], Comp[], 25, FALSE)</f>
        <v>0</v>
      </c>
      <c r="AA155">
        <f>VLOOKUP(Table56[[#This Row],[Shortname]], Comp[], 26, FALSE)</f>
        <v>0</v>
      </c>
      <c r="AB155">
        <f>VLOOKUP(Table56[[#This Row],[Shortname]], Comp[], 27, FALSE)</f>
        <v>0</v>
      </c>
      <c r="AC155">
        <f>VLOOKUP(Table56[[#This Row],[Shortname]], Comp[], 28, FALSE)</f>
        <v>0</v>
      </c>
      <c r="AD155">
        <f>VLOOKUP(Table56[[#This Row],[Shortname]], Comp[], 29, FALSE)</f>
        <v>0</v>
      </c>
      <c r="AE155">
        <f>VLOOKUP(Table56[[#This Row],[Shortname]], Comp[], 30, FALSE)</f>
        <v>0</v>
      </c>
      <c r="AF155">
        <f>VLOOKUP(Table56[[#This Row],[Shortname]], Comp[], 31, FALSE)</f>
        <v>0</v>
      </c>
    </row>
    <row r="156" spans="1:32" x14ac:dyDescent="0.3">
      <c r="A156" t="s">
        <v>1830</v>
      </c>
      <c r="B156" t="s">
        <v>1832</v>
      </c>
      <c r="C156" t="s">
        <v>6714</v>
      </c>
      <c r="D156">
        <v>1157</v>
      </c>
      <c r="E156">
        <v>1241</v>
      </c>
      <c r="F156">
        <v>1356</v>
      </c>
      <c r="H156" s="14">
        <f>VLOOKUP(Table56[[#This Row],[Shortname]], Comp[], 7, FALSE)</f>
        <v>82.5</v>
      </c>
      <c r="I156">
        <f>VLOOKUP(Table56[[#This Row],[Shortname]], Comp[], 8, FALSE)</f>
        <v>0</v>
      </c>
      <c r="J156">
        <f>VLOOKUP(Table56[[#This Row],[Shortname]], Comp[], 9, FALSE)</f>
        <v>3.8</v>
      </c>
      <c r="K156">
        <f>VLOOKUP(Table56[[#This Row],[Shortname]], Comp[], 10, FALSE)</f>
        <v>0</v>
      </c>
      <c r="L156">
        <f>VLOOKUP(Table56[[#This Row],[Shortname]], Comp[], 11, FALSE)</f>
        <v>3.8</v>
      </c>
      <c r="M156">
        <f>VLOOKUP(Table56[[#This Row],[Shortname]], Comp[],12, FALSE)</f>
        <v>9.9</v>
      </c>
      <c r="N156">
        <f>VLOOKUP(Table56[[#This Row],[Shortname]], Comp[], 13, FALSE)</f>
        <v>0</v>
      </c>
      <c r="O156">
        <f>VLOOKUP(Table56[[#This Row],[Shortname]], Comp[], 14, FALSE)</f>
        <v>0</v>
      </c>
      <c r="P156">
        <f>VLOOKUP(Table56[[#This Row],[Shortname]], Comp[], 15, FALSE)</f>
        <v>0</v>
      </c>
      <c r="Q156">
        <f>VLOOKUP(Table56[[#This Row],[Shortname]], Comp[], 16, FALSE)</f>
        <v>0</v>
      </c>
      <c r="R156">
        <f>VLOOKUP(Table56[[#This Row],[Shortname]], Comp[], 17, FALSE)</f>
        <v>0</v>
      </c>
      <c r="S156">
        <f>VLOOKUP(Table56[[#This Row],[Shortname]], Comp[], 18, FALSE)</f>
        <v>0</v>
      </c>
      <c r="T156">
        <f>VLOOKUP(Table56[[#This Row],[Shortname]], Comp[], 19, FALSE)</f>
        <v>0</v>
      </c>
      <c r="U156">
        <f>VLOOKUP(Table56[[#This Row],[Shortname]], Comp[], 20, FALSE)</f>
        <v>0</v>
      </c>
      <c r="V156">
        <f>VLOOKUP(Table56[[#This Row],[Shortname]], Comp[], 21, FALSE)</f>
        <v>0</v>
      </c>
      <c r="W156">
        <f>VLOOKUP(Table56[[#This Row],[Shortname]], Comp[], 22, FALSE)</f>
        <v>0</v>
      </c>
      <c r="X156">
        <f>VLOOKUP(Table56[[#This Row],[Shortname]], Comp[], 23, FALSE)</f>
        <v>0</v>
      </c>
      <c r="Y156">
        <f>VLOOKUP(Table56[[#This Row],[Shortname]], Comp[], 24, FALSE)</f>
        <v>0</v>
      </c>
      <c r="Z156">
        <f>VLOOKUP(Table56[[#This Row],[Shortname]], Comp[], 25, FALSE)</f>
        <v>0</v>
      </c>
      <c r="AA156">
        <f>VLOOKUP(Table56[[#This Row],[Shortname]], Comp[], 26, FALSE)</f>
        <v>0</v>
      </c>
      <c r="AB156">
        <f>VLOOKUP(Table56[[#This Row],[Shortname]], Comp[], 27, FALSE)</f>
        <v>0</v>
      </c>
      <c r="AC156">
        <f>VLOOKUP(Table56[[#This Row],[Shortname]], Comp[], 28, FALSE)</f>
        <v>0</v>
      </c>
      <c r="AD156">
        <f>VLOOKUP(Table56[[#This Row],[Shortname]], Comp[], 29, FALSE)</f>
        <v>0</v>
      </c>
      <c r="AE156">
        <f>VLOOKUP(Table56[[#This Row],[Shortname]], Comp[], 30, FALSE)</f>
        <v>0</v>
      </c>
      <c r="AF156">
        <f>VLOOKUP(Table56[[#This Row],[Shortname]], Comp[], 31, FALSE)</f>
        <v>0</v>
      </c>
    </row>
    <row r="157" spans="1:32" x14ac:dyDescent="0.3">
      <c r="A157" t="s">
        <v>1848</v>
      </c>
      <c r="B157" t="s">
        <v>1850</v>
      </c>
      <c r="C157" t="s">
        <v>6714</v>
      </c>
      <c r="D157">
        <v>1156</v>
      </c>
      <c r="E157">
        <v>1156</v>
      </c>
      <c r="F157">
        <v>1175</v>
      </c>
      <c r="H157" s="14">
        <f>VLOOKUP(Table56[[#This Row],[Shortname]], Comp[], 7, FALSE)</f>
        <v>83.5</v>
      </c>
      <c r="I157">
        <f>VLOOKUP(Table56[[#This Row],[Shortname]], Comp[], 8, FALSE)</f>
        <v>0</v>
      </c>
      <c r="J157">
        <f>VLOOKUP(Table56[[#This Row],[Shortname]], Comp[], 9, FALSE)</f>
        <v>0</v>
      </c>
      <c r="K157">
        <f>VLOOKUP(Table56[[#This Row],[Shortname]], Comp[], 10, FALSE)</f>
        <v>0</v>
      </c>
      <c r="L157">
        <f>VLOOKUP(Table56[[#This Row],[Shortname]], Comp[], 11, FALSE)</f>
        <v>0</v>
      </c>
      <c r="M157">
        <f>VLOOKUP(Table56[[#This Row],[Shortname]], Comp[],12, FALSE)</f>
        <v>16.5</v>
      </c>
      <c r="N157">
        <f>VLOOKUP(Table56[[#This Row],[Shortname]], Comp[], 13, FALSE)</f>
        <v>0</v>
      </c>
      <c r="O157">
        <f>VLOOKUP(Table56[[#This Row],[Shortname]], Comp[], 14, FALSE)</f>
        <v>0</v>
      </c>
      <c r="P157">
        <f>VLOOKUP(Table56[[#This Row],[Shortname]], Comp[], 15, FALSE)</f>
        <v>0</v>
      </c>
      <c r="Q157">
        <f>VLOOKUP(Table56[[#This Row],[Shortname]], Comp[], 16, FALSE)</f>
        <v>0</v>
      </c>
      <c r="R157">
        <f>VLOOKUP(Table56[[#This Row],[Shortname]], Comp[], 17, FALSE)</f>
        <v>0</v>
      </c>
      <c r="S157">
        <f>VLOOKUP(Table56[[#This Row],[Shortname]], Comp[], 18, FALSE)</f>
        <v>0</v>
      </c>
      <c r="T157">
        <f>VLOOKUP(Table56[[#This Row],[Shortname]], Comp[], 19, FALSE)</f>
        <v>0</v>
      </c>
      <c r="U157">
        <f>VLOOKUP(Table56[[#This Row],[Shortname]], Comp[], 20, FALSE)</f>
        <v>0</v>
      </c>
      <c r="V157">
        <f>VLOOKUP(Table56[[#This Row],[Shortname]], Comp[], 21, FALSE)</f>
        <v>0</v>
      </c>
      <c r="W157">
        <f>VLOOKUP(Table56[[#This Row],[Shortname]], Comp[], 22, FALSE)</f>
        <v>0</v>
      </c>
      <c r="X157">
        <f>VLOOKUP(Table56[[#This Row],[Shortname]], Comp[], 23, FALSE)</f>
        <v>0</v>
      </c>
      <c r="Y157">
        <f>VLOOKUP(Table56[[#This Row],[Shortname]], Comp[], 24, FALSE)</f>
        <v>0</v>
      </c>
      <c r="Z157">
        <f>VLOOKUP(Table56[[#This Row],[Shortname]], Comp[], 25, FALSE)</f>
        <v>0</v>
      </c>
      <c r="AA157">
        <f>VLOOKUP(Table56[[#This Row],[Shortname]], Comp[], 26, FALSE)</f>
        <v>0</v>
      </c>
      <c r="AB157">
        <f>VLOOKUP(Table56[[#This Row],[Shortname]], Comp[], 27, FALSE)</f>
        <v>0</v>
      </c>
      <c r="AC157">
        <f>VLOOKUP(Table56[[#This Row],[Shortname]], Comp[], 28, FALSE)</f>
        <v>0</v>
      </c>
      <c r="AD157">
        <f>VLOOKUP(Table56[[#This Row],[Shortname]], Comp[], 29, FALSE)</f>
        <v>0</v>
      </c>
      <c r="AE157">
        <f>VLOOKUP(Table56[[#This Row],[Shortname]], Comp[], 30, FALSE)</f>
        <v>0</v>
      </c>
      <c r="AF157">
        <f>VLOOKUP(Table56[[#This Row],[Shortname]], Comp[], 31, FALSE)</f>
        <v>0</v>
      </c>
    </row>
    <row r="158" spans="1:32" x14ac:dyDescent="0.3">
      <c r="A158" t="s">
        <v>1818</v>
      </c>
      <c r="B158" t="s">
        <v>1622</v>
      </c>
      <c r="C158" t="s">
        <v>6714</v>
      </c>
      <c r="D158">
        <v>1118</v>
      </c>
      <c r="E158">
        <v>1378</v>
      </c>
      <c r="F158">
        <v>1441</v>
      </c>
      <c r="H158" s="14">
        <f>VLOOKUP(Table56[[#This Row],[Shortname]], Comp[], 7, FALSE)</f>
        <v>81.5</v>
      </c>
      <c r="I158">
        <f>VLOOKUP(Table56[[#This Row],[Shortname]], Comp[], 8, FALSE)</f>
        <v>0</v>
      </c>
      <c r="J158">
        <f>VLOOKUP(Table56[[#This Row],[Shortname]], Comp[], 9, FALSE)</f>
        <v>7.5</v>
      </c>
      <c r="K158">
        <f>VLOOKUP(Table56[[#This Row],[Shortname]], Comp[], 10, FALSE)</f>
        <v>0</v>
      </c>
      <c r="L158">
        <f>VLOOKUP(Table56[[#This Row],[Shortname]], Comp[], 11, FALSE)</f>
        <v>7.7</v>
      </c>
      <c r="M158">
        <f>VLOOKUP(Table56[[#This Row],[Shortname]], Comp[],12, FALSE)</f>
        <v>3.3</v>
      </c>
      <c r="N158">
        <f>VLOOKUP(Table56[[#This Row],[Shortname]], Comp[], 13, FALSE)</f>
        <v>0</v>
      </c>
      <c r="O158">
        <f>VLOOKUP(Table56[[#This Row],[Shortname]], Comp[], 14, FALSE)</f>
        <v>0</v>
      </c>
      <c r="P158">
        <f>VLOOKUP(Table56[[#This Row],[Shortname]], Comp[], 15, FALSE)</f>
        <v>0</v>
      </c>
      <c r="Q158">
        <f>VLOOKUP(Table56[[#This Row],[Shortname]], Comp[], 16, FALSE)</f>
        <v>0</v>
      </c>
      <c r="R158">
        <f>VLOOKUP(Table56[[#This Row],[Shortname]], Comp[], 17, FALSE)</f>
        <v>0</v>
      </c>
      <c r="S158">
        <f>VLOOKUP(Table56[[#This Row],[Shortname]], Comp[], 18, FALSE)</f>
        <v>0</v>
      </c>
      <c r="T158">
        <f>VLOOKUP(Table56[[#This Row],[Shortname]], Comp[], 19, FALSE)</f>
        <v>0</v>
      </c>
      <c r="U158">
        <f>VLOOKUP(Table56[[#This Row],[Shortname]], Comp[], 20, FALSE)</f>
        <v>0</v>
      </c>
      <c r="V158">
        <f>VLOOKUP(Table56[[#This Row],[Shortname]], Comp[], 21, FALSE)</f>
        <v>0</v>
      </c>
      <c r="W158">
        <f>VLOOKUP(Table56[[#This Row],[Shortname]], Comp[], 22, FALSE)</f>
        <v>0</v>
      </c>
      <c r="X158">
        <f>VLOOKUP(Table56[[#This Row],[Shortname]], Comp[], 23, FALSE)</f>
        <v>0</v>
      </c>
      <c r="Y158">
        <f>VLOOKUP(Table56[[#This Row],[Shortname]], Comp[], 24, FALSE)</f>
        <v>0</v>
      </c>
      <c r="Z158">
        <f>VLOOKUP(Table56[[#This Row],[Shortname]], Comp[], 25, FALSE)</f>
        <v>0</v>
      </c>
      <c r="AA158">
        <f>VLOOKUP(Table56[[#This Row],[Shortname]], Comp[], 26, FALSE)</f>
        <v>0</v>
      </c>
      <c r="AB158">
        <f>VLOOKUP(Table56[[#This Row],[Shortname]], Comp[], 27, FALSE)</f>
        <v>0</v>
      </c>
      <c r="AC158">
        <f>VLOOKUP(Table56[[#This Row],[Shortname]], Comp[], 28, FALSE)</f>
        <v>0</v>
      </c>
      <c r="AD158">
        <f>VLOOKUP(Table56[[#This Row],[Shortname]], Comp[], 29, FALSE)</f>
        <v>0</v>
      </c>
      <c r="AE158">
        <f>VLOOKUP(Table56[[#This Row],[Shortname]], Comp[], 30, FALSE)</f>
        <v>0</v>
      </c>
      <c r="AF158">
        <f>VLOOKUP(Table56[[#This Row],[Shortname]], Comp[], 31, FALSE)</f>
        <v>0</v>
      </c>
    </row>
    <row r="159" spans="1:32" x14ac:dyDescent="0.3">
      <c r="A159" t="s">
        <v>1812</v>
      </c>
      <c r="B159" t="s">
        <v>1813</v>
      </c>
      <c r="C159" t="s">
        <v>6714</v>
      </c>
      <c r="D159">
        <v>1025</v>
      </c>
      <c r="E159">
        <v>1455</v>
      </c>
      <c r="F159">
        <v>1480</v>
      </c>
      <c r="H159" s="14">
        <f>VLOOKUP(Table56[[#This Row],[Shortname]], Comp[], 7, FALSE)</f>
        <v>81</v>
      </c>
      <c r="I159">
        <f>VLOOKUP(Table56[[#This Row],[Shortname]], Comp[], 8, FALSE)</f>
        <v>0</v>
      </c>
      <c r="J159">
        <f>VLOOKUP(Table56[[#This Row],[Shortname]], Comp[], 9, FALSE)</f>
        <v>9.4</v>
      </c>
      <c r="K159">
        <f>VLOOKUP(Table56[[#This Row],[Shortname]], Comp[], 10, FALSE)</f>
        <v>0</v>
      </c>
      <c r="L159">
        <f>VLOOKUP(Table56[[#This Row],[Shortname]], Comp[], 11, FALSE)</f>
        <v>9.6</v>
      </c>
      <c r="M159">
        <f>VLOOKUP(Table56[[#This Row],[Shortname]], Comp[],12, FALSE)</f>
        <v>0</v>
      </c>
      <c r="N159">
        <f>VLOOKUP(Table56[[#This Row],[Shortname]], Comp[], 13, FALSE)</f>
        <v>0</v>
      </c>
      <c r="O159">
        <f>VLOOKUP(Table56[[#This Row],[Shortname]], Comp[], 14, FALSE)</f>
        <v>0</v>
      </c>
      <c r="P159">
        <f>VLOOKUP(Table56[[#This Row],[Shortname]], Comp[], 15, FALSE)</f>
        <v>0</v>
      </c>
      <c r="Q159">
        <f>VLOOKUP(Table56[[#This Row],[Shortname]], Comp[], 16, FALSE)</f>
        <v>0</v>
      </c>
      <c r="R159">
        <f>VLOOKUP(Table56[[#This Row],[Shortname]], Comp[], 17, FALSE)</f>
        <v>0</v>
      </c>
      <c r="S159">
        <f>VLOOKUP(Table56[[#This Row],[Shortname]], Comp[], 18, FALSE)</f>
        <v>0</v>
      </c>
      <c r="T159">
        <f>VLOOKUP(Table56[[#This Row],[Shortname]], Comp[], 19, FALSE)</f>
        <v>0</v>
      </c>
      <c r="U159">
        <f>VLOOKUP(Table56[[#This Row],[Shortname]], Comp[], 20, FALSE)</f>
        <v>0</v>
      </c>
      <c r="V159">
        <f>VLOOKUP(Table56[[#This Row],[Shortname]], Comp[], 21, FALSE)</f>
        <v>0</v>
      </c>
      <c r="W159">
        <f>VLOOKUP(Table56[[#This Row],[Shortname]], Comp[], 22, FALSE)</f>
        <v>0</v>
      </c>
      <c r="X159">
        <f>VLOOKUP(Table56[[#This Row],[Shortname]], Comp[], 23, FALSE)</f>
        <v>0</v>
      </c>
      <c r="Y159">
        <f>VLOOKUP(Table56[[#This Row],[Shortname]], Comp[], 24, FALSE)</f>
        <v>0</v>
      </c>
      <c r="Z159">
        <f>VLOOKUP(Table56[[#This Row],[Shortname]], Comp[], 25, FALSE)</f>
        <v>0</v>
      </c>
      <c r="AA159">
        <f>VLOOKUP(Table56[[#This Row],[Shortname]], Comp[], 26, FALSE)</f>
        <v>0</v>
      </c>
      <c r="AB159">
        <f>VLOOKUP(Table56[[#This Row],[Shortname]], Comp[], 27, FALSE)</f>
        <v>0</v>
      </c>
      <c r="AC159">
        <f>VLOOKUP(Table56[[#This Row],[Shortname]], Comp[], 28, FALSE)</f>
        <v>0</v>
      </c>
      <c r="AD159">
        <f>VLOOKUP(Table56[[#This Row],[Shortname]], Comp[], 29, FALSE)</f>
        <v>0</v>
      </c>
      <c r="AE159">
        <f>VLOOKUP(Table56[[#This Row],[Shortname]], Comp[], 30, FALSE)</f>
        <v>0</v>
      </c>
      <c r="AF159">
        <f>VLOOKUP(Table56[[#This Row],[Shortname]], Comp[], 31, FALSE)</f>
        <v>0</v>
      </c>
    </row>
    <row r="160" spans="1:32" x14ac:dyDescent="0.3">
      <c r="A160" s="20" t="s">
        <v>1940</v>
      </c>
      <c r="B160" s="20" t="s">
        <v>1942</v>
      </c>
      <c r="C160" t="s">
        <v>6716</v>
      </c>
      <c r="D160">
        <v>1218</v>
      </c>
      <c r="E160">
        <v>1359</v>
      </c>
      <c r="F160">
        <v>1411</v>
      </c>
      <c r="H160" s="14">
        <f>VLOOKUP(Table56[[#This Row],[Shortname]], Comp[], 7, FALSE)</f>
        <v>48.9</v>
      </c>
      <c r="I160">
        <f>VLOOKUP(Table56[[#This Row],[Shortname]], Comp[], 8, FALSE)</f>
        <v>30</v>
      </c>
      <c r="J160">
        <f>VLOOKUP(Table56[[#This Row],[Shortname]], Comp[], 9, FALSE)</f>
        <v>9</v>
      </c>
      <c r="K160">
        <f>VLOOKUP(Table56[[#This Row],[Shortname]], Comp[], 10, FALSE)</f>
        <v>0</v>
      </c>
      <c r="L160">
        <f>VLOOKUP(Table56[[#This Row],[Shortname]], Comp[], 11, FALSE)</f>
        <v>7</v>
      </c>
      <c r="M160">
        <f>VLOOKUP(Table56[[#This Row],[Shortname]], Comp[],12, FALSE)</f>
        <v>3</v>
      </c>
      <c r="N160">
        <f>VLOOKUP(Table56[[#This Row],[Shortname]], Comp[], 13, FALSE)</f>
        <v>2</v>
      </c>
      <c r="O160">
        <f>VLOOKUP(Table56[[#This Row],[Shortname]], Comp[], 14, FALSE)</f>
        <v>0</v>
      </c>
      <c r="P160">
        <f>VLOOKUP(Table56[[#This Row],[Shortname]], Comp[], 15, FALSE)</f>
        <v>0</v>
      </c>
      <c r="Q160">
        <f>VLOOKUP(Table56[[#This Row],[Shortname]], Comp[], 16, FALSE)</f>
        <v>0</v>
      </c>
      <c r="R160">
        <f>VLOOKUP(Table56[[#This Row],[Shortname]], Comp[], 17, FALSE)</f>
        <v>0</v>
      </c>
      <c r="S160">
        <f>VLOOKUP(Table56[[#This Row],[Shortname]], Comp[], 18, FALSE)</f>
        <v>0</v>
      </c>
      <c r="T160">
        <f>VLOOKUP(Table56[[#This Row],[Shortname]], Comp[], 19, FALSE)</f>
        <v>0.1</v>
      </c>
      <c r="U160">
        <f>VLOOKUP(Table56[[#This Row],[Shortname]], Comp[], 20, FALSE)</f>
        <v>0</v>
      </c>
      <c r="V160">
        <f>VLOOKUP(Table56[[#This Row],[Shortname]], Comp[], 21, FALSE)</f>
        <v>0</v>
      </c>
      <c r="W160">
        <f>VLOOKUP(Table56[[#This Row],[Shortname]], Comp[], 22, FALSE)</f>
        <v>0</v>
      </c>
      <c r="X160">
        <f>VLOOKUP(Table56[[#This Row],[Shortname]], Comp[], 23, FALSE)</f>
        <v>0</v>
      </c>
      <c r="Y160">
        <f>VLOOKUP(Table56[[#This Row],[Shortname]], Comp[], 24, FALSE)</f>
        <v>0</v>
      </c>
      <c r="Z160">
        <f>VLOOKUP(Table56[[#This Row],[Shortname]], Comp[], 25, FALSE)</f>
        <v>0</v>
      </c>
      <c r="AA160">
        <f>VLOOKUP(Table56[[#This Row],[Shortname]], Comp[], 26, FALSE)</f>
        <v>0</v>
      </c>
      <c r="AB160">
        <f>VLOOKUP(Table56[[#This Row],[Shortname]], Comp[], 27, FALSE)</f>
        <v>0</v>
      </c>
      <c r="AC160">
        <f>VLOOKUP(Table56[[#This Row],[Shortname]], Comp[], 28, FALSE)</f>
        <v>0</v>
      </c>
      <c r="AD160">
        <f>VLOOKUP(Table56[[#This Row],[Shortname]], Comp[], 29, FALSE)</f>
        <v>0</v>
      </c>
      <c r="AE160">
        <f>VLOOKUP(Table56[[#This Row],[Shortname]], Comp[], 30, FALSE)</f>
        <v>0</v>
      </c>
      <c r="AF160">
        <f>VLOOKUP(Table56[[#This Row],[Shortname]], Comp[], 31, FALSE)</f>
        <v>0</v>
      </c>
    </row>
    <row r="161" spans="1:32" x14ac:dyDescent="0.3">
      <c r="A161" t="s">
        <v>1920</v>
      </c>
      <c r="B161" t="s">
        <v>1922</v>
      </c>
      <c r="C161" s="21" t="s">
        <v>6716</v>
      </c>
      <c r="D161">
        <v>1195</v>
      </c>
      <c r="E161">
        <v>1298</v>
      </c>
      <c r="F161">
        <v>1374</v>
      </c>
      <c r="H161" s="14">
        <f>VLOOKUP(Table56[[#This Row],[Shortname]], Comp[], 7, FALSE)</f>
        <v>76</v>
      </c>
      <c r="I161">
        <f>VLOOKUP(Table56[[#This Row],[Shortname]], Comp[], 8, FALSE)</f>
        <v>0</v>
      </c>
      <c r="J161">
        <f>VLOOKUP(Table56[[#This Row],[Shortname]], Comp[], 9, FALSE)</f>
        <v>10.5</v>
      </c>
      <c r="K161">
        <f>VLOOKUP(Table56[[#This Row],[Shortname]], Comp[], 10, FALSE)</f>
        <v>0</v>
      </c>
      <c r="L161">
        <f>VLOOKUP(Table56[[#This Row],[Shortname]], Comp[], 11, FALSE)</f>
        <v>7</v>
      </c>
      <c r="M161">
        <f>VLOOKUP(Table56[[#This Row],[Shortname]], Comp[],12, FALSE)</f>
        <v>4</v>
      </c>
      <c r="N161">
        <f>VLOOKUP(Table56[[#This Row],[Shortname]], Comp[], 13, FALSE)</f>
        <v>2.5</v>
      </c>
      <c r="O161">
        <f>VLOOKUP(Table56[[#This Row],[Shortname]], Comp[], 14, FALSE)</f>
        <v>0</v>
      </c>
      <c r="P161">
        <f>VLOOKUP(Table56[[#This Row],[Shortname]], Comp[], 15, FALSE)</f>
        <v>0</v>
      </c>
      <c r="Q161">
        <f>VLOOKUP(Table56[[#This Row],[Shortname]], Comp[], 16, FALSE)</f>
        <v>0</v>
      </c>
      <c r="R161">
        <f>VLOOKUP(Table56[[#This Row],[Shortname]], Comp[], 17, FALSE)</f>
        <v>0</v>
      </c>
      <c r="S161">
        <f>VLOOKUP(Table56[[#This Row],[Shortname]], Comp[], 18, FALSE)</f>
        <v>0</v>
      </c>
      <c r="T161">
        <f>VLOOKUP(Table56[[#This Row],[Shortname]], Comp[], 19, FALSE)</f>
        <v>0</v>
      </c>
      <c r="U161">
        <f>VLOOKUP(Table56[[#This Row],[Shortname]], Comp[], 20, FALSE)</f>
        <v>0</v>
      </c>
      <c r="V161">
        <f>VLOOKUP(Table56[[#This Row],[Shortname]], Comp[], 21, FALSE)</f>
        <v>0</v>
      </c>
      <c r="W161">
        <f>VLOOKUP(Table56[[#This Row],[Shortname]], Comp[], 22, FALSE)</f>
        <v>0</v>
      </c>
      <c r="X161">
        <f>VLOOKUP(Table56[[#This Row],[Shortname]], Comp[], 23, FALSE)</f>
        <v>0</v>
      </c>
      <c r="Y161">
        <f>VLOOKUP(Table56[[#This Row],[Shortname]], Comp[], 24, FALSE)</f>
        <v>0</v>
      </c>
      <c r="Z161">
        <f>VLOOKUP(Table56[[#This Row],[Shortname]], Comp[], 25, FALSE)</f>
        <v>0</v>
      </c>
      <c r="AA161">
        <f>VLOOKUP(Table56[[#This Row],[Shortname]], Comp[], 26, FALSE)</f>
        <v>0</v>
      </c>
      <c r="AB161">
        <f>VLOOKUP(Table56[[#This Row],[Shortname]], Comp[], 27, FALSE)</f>
        <v>0</v>
      </c>
      <c r="AC161">
        <f>VLOOKUP(Table56[[#This Row],[Shortname]], Comp[], 28, FALSE)</f>
        <v>0</v>
      </c>
      <c r="AD161">
        <f>VLOOKUP(Table56[[#This Row],[Shortname]], Comp[], 29, FALSE)</f>
        <v>0</v>
      </c>
      <c r="AE161">
        <f>VLOOKUP(Table56[[#This Row],[Shortname]], Comp[], 30, FALSE)</f>
        <v>0</v>
      </c>
      <c r="AF161">
        <f>VLOOKUP(Table56[[#This Row],[Shortname]], Comp[], 31, FALSE)</f>
        <v>0</v>
      </c>
    </row>
    <row r="162" spans="1:32" x14ac:dyDescent="0.3">
      <c r="A162" t="s">
        <v>1926</v>
      </c>
      <c r="B162" t="s">
        <v>1928</v>
      </c>
      <c r="C162" s="21" t="s">
        <v>6716</v>
      </c>
      <c r="D162">
        <v>1194</v>
      </c>
      <c r="E162">
        <v>1304</v>
      </c>
      <c r="F162">
        <v>1374</v>
      </c>
      <c r="H162" s="14">
        <f>VLOOKUP(Table56[[#This Row],[Shortname]], Comp[], 7, FALSE)</f>
        <v>77</v>
      </c>
      <c r="I162">
        <f>VLOOKUP(Table56[[#This Row],[Shortname]], Comp[], 8, FALSE)</f>
        <v>0</v>
      </c>
      <c r="J162">
        <f>VLOOKUP(Table56[[#This Row],[Shortname]], Comp[], 9, FALSE)</f>
        <v>11</v>
      </c>
      <c r="K162">
        <f>VLOOKUP(Table56[[#This Row],[Shortname]], Comp[], 10, FALSE)</f>
        <v>0</v>
      </c>
      <c r="L162">
        <f>VLOOKUP(Table56[[#This Row],[Shortname]], Comp[], 11, FALSE)</f>
        <v>5.5</v>
      </c>
      <c r="M162">
        <f>VLOOKUP(Table56[[#This Row],[Shortname]], Comp[],12, FALSE)</f>
        <v>4</v>
      </c>
      <c r="N162">
        <f>VLOOKUP(Table56[[#This Row],[Shortname]], Comp[], 13, FALSE)</f>
        <v>2.5</v>
      </c>
      <c r="O162">
        <f>VLOOKUP(Table56[[#This Row],[Shortname]], Comp[], 14, FALSE)</f>
        <v>0</v>
      </c>
      <c r="P162">
        <f>VLOOKUP(Table56[[#This Row],[Shortname]], Comp[], 15, FALSE)</f>
        <v>0</v>
      </c>
      <c r="Q162">
        <f>VLOOKUP(Table56[[#This Row],[Shortname]], Comp[], 16, FALSE)</f>
        <v>0</v>
      </c>
      <c r="R162">
        <f>VLOOKUP(Table56[[#This Row],[Shortname]], Comp[], 17, FALSE)</f>
        <v>0</v>
      </c>
      <c r="S162">
        <f>VLOOKUP(Table56[[#This Row],[Shortname]], Comp[], 18, FALSE)</f>
        <v>0</v>
      </c>
      <c r="T162">
        <f>VLOOKUP(Table56[[#This Row],[Shortname]], Comp[], 19, FALSE)</f>
        <v>0</v>
      </c>
      <c r="U162">
        <f>VLOOKUP(Table56[[#This Row],[Shortname]], Comp[], 20, FALSE)</f>
        <v>0</v>
      </c>
      <c r="V162">
        <f>VLOOKUP(Table56[[#This Row],[Shortname]], Comp[], 21, FALSE)</f>
        <v>0</v>
      </c>
      <c r="W162">
        <f>VLOOKUP(Table56[[#This Row],[Shortname]], Comp[], 22, FALSE)</f>
        <v>0</v>
      </c>
      <c r="X162">
        <f>VLOOKUP(Table56[[#This Row],[Shortname]], Comp[], 23, FALSE)</f>
        <v>0</v>
      </c>
      <c r="Y162">
        <f>VLOOKUP(Table56[[#This Row],[Shortname]], Comp[], 24, FALSE)</f>
        <v>0</v>
      </c>
      <c r="Z162">
        <f>VLOOKUP(Table56[[#This Row],[Shortname]], Comp[], 25, FALSE)</f>
        <v>0</v>
      </c>
      <c r="AA162">
        <f>VLOOKUP(Table56[[#This Row],[Shortname]], Comp[], 26, FALSE)</f>
        <v>0</v>
      </c>
      <c r="AB162">
        <f>VLOOKUP(Table56[[#This Row],[Shortname]], Comp[], 27, FALSE)</f>
        <v>0</v>
      </c>
      <c r="AC162">
        <f>VLOOKUP(Table56[[#This Row],[Shortname]], Comp[], 28, FALSE)</f>
        <v>0</v>
      </c>
      <c r="AD162">
        <f>VLOOKUP(Table56[[#This Row],[Shortname]], Comp[], 29, FALSE)</f>
        <v>0</v>
      </c>
      <c r="AE162">
        <f>VLOOKUP(Table56[[#This Row],[Shortname]], Comp[], 30, FALSE)</f>
        <v>0</v>
      </c>
      <c r="AF162">
        <f>VLOOKUP(Table56[[#This Row],[Shortname]], Comp[], 31, FALSE)</f>
        <v>0</v>
      </c>
    </row>
    <row r="163" spans="1:32" x14ac:dyDescent="0.3">
      <c r="A163" t="s">
        <v>1932</v>
      </c>
      <c r="B163" t="s">
        <v>1934</v>
      </c>
      <c r="C163" s="21" t="s">
        <v>6716</v>
      </c>
      <c r="D163">
        <v>1188</v>
      </c>
      <c r="E163">
        <v>1298</v>
      </c>
      <c r="F163">
        <v>1371</v>
      </c>
      <c r="H163" s="14">
        <f>VLOOKUP(Table56[[#This Row],[Shortname]], Comp[], 7, FALSE)</f>
        <v>78.5</v>
      </c>
      <c r="I163">
        <f>VLOOKUP(Table56[[#This Row],[Shortname]], Comp[], 8, FALSE)</f>
        <v>0</v>
      </c>
      <c r="J163">
        <f>VLOOKUP(Table56[[#This Row],[Shortname]], Comp[], 9, FALSE)</f>
        <v>11.5</v>
      </c>
      <c r="K163">
        <f>VLOOKUP(Table56[[#This Row],[Shortname]], Comp[], 10, FALSE)</f>
        <v>0</v>
      </c>
      <c r="L163">
        <f>VLOOKUP(Table56[[#This Row],[Shortname]], Comp[], 11, FALSE)</f>
        <v>3.5</v>
      </c>
      <c r="M163">
        <f>VLOOKUP(Table56[[#This Row],[Shortname]], Comp[],12, FALSE)</f>
        <v>4</v>
      </c>
      <c r="N163">
        <f>VLOOKUP(Table56[[#This Row],[Shortname]], Comp[], 13, FALSE)</f>
        <v>2.5</v>
      </c>
      <c r="O163">
        <f>VLOOKUP(Table56[[#This Row],[Shortname]], Comp[], 14, FALSE)</f>
        <v>0</v>
      </c>
      <c r="P163">
        <f>VLOOKUP(Table56[[#This Row],[Shortname]], Comp[], 15, FALSE)</f>
        <v>0</v>
      </c>
      <c r="Q163">
        <f>VLOOKUP(Table56[[#This Row],[Shortname]], Comp[], 16, FALSE)</f>
        <v>0</v>
      </c>
      <c r="R163">
        <f>VLOOKUP(Table56[[#This Row],[Shortname]], Comp[], 17, FALSE)</f>
        <v>0</v>
      </c>
      <c r="S163">
        <f>VLOOKUP(Table56[[#This Row],[Shortname]], Comp[], 18, FALSE)</f>
        <v>0</v>
      </c>
      <c r="T163">
        <f>VLOOKUP(Table56[[#This Row],[Shortname]], Comp[], 19, FALSE)</f>
        <v>0</v>
      </c>
      <c r="U163">
        <f>VLOOKUP(Table56[[#This Row],[Shortname]], Comp[], 20, FALSE)</f>
        <v>0</v>
      </c>
      <c r="V163">
        <f>VLOOKUP(Table56[[#This Row],[Shortname]], Comp[], 21, FALSE)</f>
        <v>0</v>
      </c>
      <c r="W163">
        <f>VLOOKUP(Table56[[#This Row],[Shortname]], Comp[], 22, FALSE)</f>
        <v>0</v>
      </c>
      <c r="X163">
        <f>VLOOKUP(Table56[[#This Row],[Shortname]], Comp[], 23, FALSE)</f>
        <v>0</v>
      </c>
      <c r="Y163">
        <f>VLOOKUP(Table56[[#This Row],[Shortname]], Comp[], 24, FALSE)</f>
        <v>0</v>
      </c>
      <c r="Z163">
        <f>VLOOKUP(Table56[[#This Row],[Shortname]], Comp[], 25, FALSE)</f>
        <v>0</v>
      </c>
      <c r="AA163">
        <f>VLOOKUP(Table56[[#This Row],[Shortname]], Comp[], 26, FALSE)</f>
        <v>0</v>
      </c>
      <c r="AB163">
        <f>VLOOKUP(Table56[[#This Row],[Shortname]], Comp[], 27, FALSE)</f>
        <v>0</v>
      </c>
      <c r="AC163">
        <f>VLOOKUP(Table56[[#This Row],[Shortname]], Comp[], 28, FALSE)</f>
        <v>0</v>
      </c>
      <c r="AD163">
        <f>VLOOKUP(Table56[[#This Row],[Shortname]], Comp[], 29, FALSE)</f>
        <v>0</v>
      </c>
      <c r="AE163">
        <f>VLOOKUP(Table56[[#This Row],[Shortname]], Comp[], 30, FALSE)</f>
        <v>0</v>
      </c>
      <c r="AF163">
        <f>VLOOKUP(Table56[[#This Row],[Shortname]], Comp[], 31, FALSE)</f>
        <v>0</v>
      </c>
    </row>
    <row r="164" spans="1:32" x14ac:dyDescent="0.3">
      <c r="A164" t="s">
        <v>1948</v>
      </c>
      <c r="B164" t="s">
        <v>1950</v>
      </c>
      <c r="C164" s="21" t="s">
        <v>6716</v>
      </c>
      <c r="D164">
        <v>1135</v>
      </c>
      <c r="E164">
        <v>1336</v>
      </c>
      <c r="F164">
        <v>1404</v>
      </c>
      <c r="H164" s="14">
        <f>VLOOKUP(Table56[[#This Row],[Shortname]], Comp[], 7, FALSE)</f>
        <v>55</v>
      </c>
      <c r="I164">
        <f>VLOOKUP(Table56[[#This Row],[Shortname]], Comp[], 8, FALSE)</f>
        <v>0</v>
      </c>
      <c r="J164">
        <f>VLOOKUP(Table56[[#This Row],[Shortname]], Comp[], 9, FALSE)</f>
        <v>10.5</v>
      </c>
      <c r="K164">
        <f>VLOOKUP(Table56[[#This Row],[Shortname]], Comp[], 10, FALSE)</f>
        <v>0</v>
      </c>
      <c r="L164">
        <f>VLOOKUP(Table56[[#This Row],[Shortname]], Comp[], 11, FALSE)</f>
        <v>7.5</v>
      </c>
      <c r="M164">
        <f>VLOOKUP(Table56[[#This Row],[Shortname]], Comp[],12, FALSE)</f>
        <v>2</v>
      </c>
      <c r="N164">
        <f>VLOOKUP(Table56[[#This Row],[Shortname]], Comp[], 13, FALSE)</f>
        <v>25</v>
      </c>
      <c r="O164">
        <f>VLOOKUP(Table56[[#This Row],[Shortname]], Comp[], 14, FALSE)</f>
        <v>0</v>
      </c>
      <c r="P164">
        <f>VLOOKUP(Table56[[#This Row],[Shortname]], Comp[], 15, FALSE)</f>
        <v>0</v>
      </c>
      <c r="Q164">
        <f>VLOOKUP(Table56[[#This Row],[Shortname]], Comp[], 16, FALSE)</f>
        <v>0</v>
      </c>
      <c r="R164">
        <f>VLOOKUP(Table56[[#This Row],[Shortname]], Comp[], 17, FALSE)</f>
        <v>0</v>
      </c>
      <c r="S164">
        <f>VLOOKUP(Table56[[#This Row],[Shortname]], Comp[], 18, FALSE)</f>
        <v>0</v>
      </c>
      <c r="T164">
        <f>VLOOKUP(Table56[[#This Row],[Shortname]], Comp[], 19, FALSE)</f>
        <v>0</v>
      </c>
      <c r="U164">
        <f>VLOOKUP(Table56[[#This Row],[Shortname]], Comp[], 20, FALSE)</f>
        <v>0</v>
      </c>
      <c r="V164">
        <f>VLOOKUP(Table56[[#This Row],[Shortname]], Comp[], 21, FALSE)</f>
        <v>0</v>
      </c>
      <c r="W164">
        <f>VLOOKUP(Table56[[#This Row],[Shortname]], Comp[], 22, FALSE)</f>
        <v>0</v>
      </c>
      <c r="X164">
        <f>VLOOKUP(Table56[[#This Row],[Shortname]], Comp[], 23, FALSE)</f>
        <v>0</v>
      </c>
      <c r="Y164">
        <f>VLOOKUP(Table56[[#This Row],[Shortname]], Comp[], 24, FALSE)</f>
        <v>0</v>
      </c>
      <c r="Z164">
        <f>VLOOKUP(Table56[[#This Row],[Shortname]], Comp[], 25, FALSE)</f>
        <v>0</v>
      </c>
      <c r="AA164">
        <f>VLOOKUP(Table56[[#This Row],[Shortname]], Comp[], 26, FALSE)</f>
        <v>0</v>
      </c>
      <c r="AB164">
        <f>VLOOKUP(Table56[[#This Row],[Shortname]], Comp[], 27, FALSE)</f>
        <v>0</v>
      </c>
      <c r="AC164">
        <f>VLOOKUP(Table56[[#This Row],[Shortname]], Comp[], 28, FALSE)</f>
        <v>0</v>
      </c>
      <c r="AD164">
        <f>VLOOKUP(Table56[[#This Row],[Shortname]], Comp[], 29, FALSE)</f>
        <v>0</v>
      </c>
      <c r="AE164">
        <f>VLOOKUP(Table56[[#This Row],[Shortname]], Comp[], 30, FALSE)</f>
        <v>0</v>
      </c>
      <c r="AF164">
        <f>VLOOKUP(Table56[[#This Row],[Shortname]], Comp[], 31, FALSE)</f>
        <v>0</v>
      </c>
    </row>
    <row r="165" spans="1:32" x14ac:dyDescent="0.3">
      <c r="A165" t="s">
        <v>1955</v>
      </c>
      <c r="B165" t="s">
        <v>1957</v>
      </c>
      <c r="C165" s="21" t="s">
        <v>6716</v>
      </c>
      <c r="D165">
        <v>1126</v>
      </c>
      <c r="E165">
        <v>1337</v>
      </c>
      <c r="F165">
        <v>1403</v>
      </c>
      <c r="H165" s="14">
        <f>VLOOKUP(Table56[[#This Row],[Shortname]], Comp[], 7, FALSE)</f>
        <v>79</v>
      </c>
      <c r="I165">
        <f>VLOOKUP(Table56[[#This Row],[Shortname]], Comp[], 8, FALSE)</f>
        <v>0</v>
      </c>
      <c r="J165">
        <f>VLOOKUP(Table56[[#This Row],[Shortname]], Comp[], 9, FALSE)</f>
        <v>11</v>
      </c>
      <c r="K165">
        <f>VLOOKUP(Table56[[#This Row],[Shortname]], Comp[], 10, FALSE)</f>
        <v>0</v>
      </c>
      <c r="L165">
        <f>VLOOKUP(Table56[[#This Row],[Shortname]], Comp[], 11, FALSE)</f>
        <v>5.5</v>
      </c>
      <c r="M165">
        <f>VLOOKUP(Table56[[#This Row],[Shortname]], Comp[],12, FALSE)</f>
        <v>2</v>
      </c>
      <c r="N165">
        <f>VLOOKUP(Table56[[#This Row],[Shortname]], Comp[], 13, FALSE)</f>
        <v>2.5</v>
      </c>
      <c r="O165">
        <f>VLOOKUP(Table56[[#This Row],[Shortname]], Comp[], 14, FALSE)</f>
        <v>0</v>
      </c>
      <c r="P165">
        <f>VLOOKUP(Table56[[#This Row],[Shortname]], Comp[], 15, FALSE)</f>
        <v>0</v>
      </c>
      <c r="Q165">
        <f>VLOOKUP(Table56[[#This Row],[Shortname]], Comp[], 16, FALSE)</f>
        <v>0</v>
      </c>
      <c r="R165">
        <f>VLOOKUP(Table56[[#This Row],[Shortname]], Comp[], 17, FALSE)</f>
        <v>0</v>
      </c>
      <c r="S165">
        <f>VLOOKUP(Table56[[#This Row],[Shortname]], Comp[], 18, FALSE)</f>
        <v>0</v>
      </c>
      <c r="T165">
        <f>VLOOKUP(Table56[[#This Row],[Shortname]], Comp[], 19, FALSE)</f>
        <v>0</v>
      </c>
      <c r="U165">
        <f>VLOOKUP(Table56[[#This Row],[Shortname]], Comp[], 20, FALSE)</f>
        <v>0</v>
      </c>
      <c r="V165">
        <f>VLOOKUP(Table56[[#This Row],[Shortname]], Comp[], 21, FALSE)</f>
        <v>0</v>
      </c>
      <c r="W165">
        <f>VLOOKUP(Table56[[#This Row],[Shortname]], Comp[], 22, FALSE)</f>
        <v>0</v>
      </c>
      <c r="X165">
        <f>VLOOKUP(Table56[[#This Row],[Shortname]], Comp[], 23, FALSE)</f>
        <v>0</v>
      </c>
      <c r="Y165">
        <f>VLOOKUP(Table56[[#This Row],[Shortname]], Comp[], 24, FALSE)</f>
        <v>0</v>
      </c>
      <c r="Z165">
        <f>VLOOKUP(Table56[[#This Row],[Shortname]], Comp[], 25, FALSE)</f>
        <v>0</v>
      </c>
      <c r="AA165">
        <f>VLOOKUP(Table56[[#This Row],[Shortname]], Comp[], 26, FALSE)</f>
        <v>0</v>
      </c>
      <c r="AB165">
        <f>VLOOKUP(Table56[[#This Row],[Shortname]], Comp[], 27, FALSE)</f>
        <v>0</v>
      </c>
      <c r="AC165">
        <f>VLOOKUP(Table56[[#This Row],[Shortname]], Comp[], 28, FALSE)</f>
        <v>0</v>
      </c>
      <c r="AD165">
        <f>VLOOKUP(Table56[[#This Row],[Shortname]], Comp[], 29, FALSE)</f>
        <v>0</v>
      </c>
      <c r="AE165">
        <f>VLOOKUP(Table56[[#This Row],[Shortname]], Comp[], 30, FALSE)</f>
        <v>0</v>
      </c>
      <c r="AF165">
        <f>VLOOKUP(Table56[[#This Row],[Shortname]], Comp[], 31, FALSE)</f>
        <v>0</v>
      </c>
    </row>
    <row r="166" spans="1:32" x14ac:dyDescent="0.3">
      <c r="A166" t="s">
        <v>1913</v>
      </c>
      <c r="B166" t="s">
        <v>1915</v>
      </c>
      <c r="C166" s="21" t="s">
        <v>6716</v>
      </c>
      <c r="D166">
        <v>1088</v>
      </c>
      <c r="E166">
        <v>1355</v>
      </c>
      <c r="F166">
        <v>1403</v>
      </c>
      <c r="H166" s="14">
        <f>VLOOKUP(Table56[[#This Row],[Shortname]], Comp[], 7, FALSE)</f>
        <v>82</v>
      </c>
      <c r="I166">
        <f>VLOOKUP(Table56[[#This Row],[Shortname]], Comp[], 8, FALSE)</f>
        <v>0</v>
      </c>
      <c r="J166">
        <f>VLOOKUP(Table56[[#This Row],[Shortname]], Comp[], 9, FALSE)</f>
        <v>7</v>
      </c>
      <c r="K166">
        <f>VLOOKUP(Table56[[#This Row],[Shortname]], Comp[], 10, FALSE)</f>
        <v>0</v>
      </c>
      <c r="L166">
        <f>VLOOKUP(Table56[[#This Row],[Shortname]], Comp[], 11, FALSE)</f>
        <v>5</v>
      </c>
      <c r="M166">
        <f>VLOOKUP(Table56[[#This Row],[Shortname]], Comp[],12, FALSE)</f>
        <v>4</v>
      </c>
      <c r="N166">
        <f>VLOOKUP(Table56[[#This Row],[Shortname]], Comp[], 13, FALSE)</f>
        <v>2</v>
      </c>
      <c r="O166">
        <f>VLOOKUP(Table56[[#This Row],[Shortname]], Comp[], 14, FALSE)</f>
        <v>0</v>
      </c>
      <c r="P166">
        <f>VLOOKUP(Table56[[#This Row],[Shortname]], Comp[], 15, FALSE)</f>
        <v>0</v>
      </c>
      <c r="Q166">
        <f>VLOOKUP(Table56[[#This Row],[Shortname]], Comp[], 16, FALSE)</f>
        <v>0</v>
      </c>
      <c r="R166">
        <f>VLOOKUP(Table56[[#This Row],[Shortname]], Comp[], 17, FALSE)</f>
        <v>0</v>
      </c>
      <c r="S166">
        <f>VLOOKUP(Table56[[#This Row],[Shortname]], Comp[], 18, FALSE)</f>
        <v>0</v>
      </c>
      <c r="T166">
        <f>VLOOKUP(Table56[[#This Row],[Shortname]], Comp[], 19, FALSE)</f>
        <v>0</v>
      </c>
      <c r="U166">
        <f>VLOOKUP(Table56[[#This Row],[Shortname]], Comp[], 20, FALSE)</f>
        <v>0</v>
      </c>
      <c r="V166">
        <f>VLOOKUP(Table56[[#This Row],[Shortname]], Comp[], 21, FALSE)</f>
        <v>0</v>
      </c>
      <c r="W166">
        <f>VLOOKUP(Table56[[#This Row],[Shortname]], Comp[], 22, FALSE)</f>
        <v>0</v>
      </c>
      <c r="X166">
        <f>VLOOKUP(Table56[[#This Row],[Shortname]], Comp[], 23, FALSE)</f>
        <v>0</v>
      </c>
      <c r="Y166">
        <f>VLOOKUP(Table56[[#This Row],[Shortname]], Comp[], 24, FALSE)</f>
        <v>0</v>
      </c>
      <c r="Z166">
        <f>VLOOKUP(Table56[[#This Row],[Shortname]], Comp[], 25, FALSE)</f>
        <v>0</v>
      </c>
      <c r="AA166">
        <f>VLOOKUP(Table56[[#This Row],[Shortname]], Comp[], 26, FALSE)</f>
        <v>0</v>
      </c>
      <c r="AB166">
        <f>VLOOKUP(Table56[[#This Row],[Shortname]], Comp[], 27, FALSE)</f>
        <v>0</v>
      </c>
      <c r="AC166">
        <f>VLOOKUP(Table56[[#This Row],[Shortname]], Comp[], 28, FALSE)</f>
        <v>0</v>
      </c>
      <c r="AD166">
        <f>VLOOKUP(Table56[[#This Row],[Shortname]], Comp[], 29, FALSE)</f>
        <v>0</v>
      </c>
      <c r="AE166">
        <f>VLOOKUP(Table56[[#This Row],[Shortname]], Comp[], 30, FALSE)</f>
        <v>0</v>
      </c>
      <c r="AF166">
        <f>VLOOKUP(Table56[[#This Row],[Shortname]], Comp[], 31, FALSE)</f>
        <v>0</v>
      </c>
    </row>
    <row r="167" spans="1:32" x14ac:dyDescent="0.3">
      <c r="A167" s="7" t="s">
        <v>1994</v>
      </c>
      <c r="B167" s="7" t="s">
        <v>1996</v>
      </c>
      <c r="C167" t="s">
        <v>6717</v>
      </c>
      <c r="D167">
        <v>975</v>
      </c>
      <c r="E167">
        <v>1404</v>
      </c>
      <c r="F167">
        <v>1432</v>
      </c>
      <c r="H167" s="14">
        <f>VLOOKUP(Table56[[#This Row],[Shortname]], Comp[], 7, FALSE)</f>
        <v>62.900000000000006</v>
      </c>
      <c r="I167">
        <f>VLOOKUP(Table56[[#This Row],[Shortname]], Comp[], 8, FALSE)</f>
        <v>19.600000000000001</v>
      </c>
      <c r="J167">
        <f>VLOOKUP(Table56[[#This Row],[Shortname]], Comp[], 9, FALSE)</f>
        <v>10.199999999999999</v>
      </c>
      <c r="K167">
        <f>VLOOKUP(Table56[[#This Row],[Shortname]], Comp[], 10, FALSE)</f>
        <v>0</v>
      </c>
      <c r="L167">
        <f>VLOOKUP(Table56[[#This Row],[Shortname]], Comp[], 11, FALSE)</f>
        <v>7</v>
      </c>
      <c r="M167">
        <f>VLOOKUP(Table56[[#This Row],[Shortname]], Comp[],12, FALSE)</f>
        <v>0</v>
      </c>
      <c r="N167">
        <f>VLOOKUP(Table56[[#This Row],[Shortname]], Comp[], 13, FALSE)</f>
        <v>0</v>
      </c>
      <c r="O167">
        <f>VLOOKUP(Table56[[#This Row],[Shortname]], Comp[], 14, FALSE)</f>
        <v>0</v>
      </c>
      <c r="P167">
        <f>VLOOKUP(Table56[[#This Row],[Shortname]], Comp[], 15, FALSE)</f>
        <v>0</v>
      </c>
      <c r="Q167">
        <f>VLOOKUP(Table56[[#This Row],[Shortname]], Comp[], 16, FALSE)</f>
        <v>0</v>
      </c>
      <c r="R167">
        <f>VLOOKUP(Table56[[#This Row],[Shortname]], Comp[], 17, FALSE)</f>
        <v>0</v>
      </c>
      <c r="S167">
        <f>VLOOKUP(Table56[[#This Row],[Shortname]], Comp[], 18, FALSE)</f>
        <v>0</v>
      </c>
      <c r="T167">
        <f>VLOOKUP(Table56[[#This Row],[Shortname]], Comp[], 19, FALSE)</f>
        <v>0</v>
      </c>
      <c r="U167">
        <f>VLOOKUP(Table56[[#This Row],[Shortname]], Comp[], 20, FALSE)</f>
        <v>0</v>
      </c>
      <c r="V167">
        <f>VLOOKUP(Table56[[#This Row],[Shortname]], Comp[], 21, FALSE)</f>
        <v>0</v>
      </c>
      <c r="W167">
        <f>VLOOKUP(Table56[[#This Row],[Shortname]], Comp[], 22, FALSE)</f>
        <v>0.3</v>
      </c>
      <c r="X167">
        <f>VLOOKUP(Table56[[#This Row],[Shortname]], Comp[], 23, FALSE)</f>
        <v>0</v>
      </c>
      <c r="Y167">
        <f>VLOOKUP(Table56[[#This Row],[Shortname]], Comp[], 24, FALSE)</f>
        <v>0</v>
      </c>
      <c r="Z167">
        <f>VLOOKUP(Table56[[#This Row],[Shortname]], Comp[], 25, FALSE)</f>
        <v>0</v>
      </c>
      <c r="AA167">
        <f>VLOOKUP(Table56[[#This Row],[Shortname]], Comp[], 26, FALSE)</f>
        <v>0</v>
      </c>
      <c r="AB167">
        <f>VLOOKUP(Table56[[#This Row],[Shortname]], Comp[], 27, FALSE)</f>
        <v>0</v>
      </c>
      <c r="AC167">
        <f>VLOOKUP(Table56[[#This Row],[Shortname]], Comp[], 28, FALSE)</f>
        <v>0</v>
      </c>
      <c r="AD167">
        <f>VLOOKUP(Table56[[#This Row],[Shortname]], Comp[], 29, FALSE)</f>
        <v>0</v>
      </c>
      <c r="AE167">
        <f>VLOOKUP(Table56[[#This Row],[Shortname]], Comp[], 30, FALSE)</f>
        <v>0</v>
      </c>
      <c r="AF167">
        <f>VLOOKUP(Table56[[#This Row],[Shortname]], Comp[], 31, FALSE)</f>
        <v>0</v>
      </c>
    </row>
    <row r="168" spans="1:32" x14ac:dyDescent="0.3">
      <c r="A168" s="7" t="s">
        <v>1961</v>
      </c>
      <c r="B168" s="7" t="s">
        <v>1813</v>
      </c>
      <c r="C168" t="s">
        <v>6717</v>
      </c>
      <c r="D168">
        <v>974</v>
      </c>
      <c r="E168">
        <v>1417</v>
      </c>
      <c r="F168">
        <v>1439</v>
      </c>
      <c r="H168" s="14">
        <f>VLOOKUP(Table56[[#This Row],[Shortname]], Comp[], 7, FALSE)</f>
        <v>63.2</v>
      </c>
      <c r="I168">
        <f>VLOOKUP(Table56[[#This Row],[Shortname]], Comp[], 8, FALSE)</f>
        <v>19.5</v>
      </c>
      <c r="J168">
        <f>VLOOKUP(Table56[[#This Row],[Shortname]], Comp[], 9, FALSE)</f>
        <v>10.199999999999999</v>
      </c>
      <c r="K168">
        <f>VLOOKUP(Table56[[#This Row],[Shortname]], Comp[], 10, FALSE)</f>
        <v>0</v>
      </c>
      <c r="L168">
        <f>VLOOKUP(Table56[[#This Row],[Shortname]], Comp[], 11, FALSE)</f>
        <v>7.1</v>
      </c>
      <c r="M168">
        <f>VLOOKUP(Table56[[#This Row],[Shortname]], Comp[],12, FALSE)</f>
        <v>0</v>
      </c>
      <c r="N168">
        <f>VLOOKUP(Table56[[#This Row],[Shortname]], Comp[], 13, FALSE)</f>
        <v>0</v>
      </c>
      <c r="O168">
        <f>VLOOKUP(Table56[[#This Row],[Shortname]], Comp[], 14, FALSE)</f>
        <v>0</v>
      </c>
      <c r="P168">
        <f>VLOOKUP(Table56[[#This Row],[Shortname]], Comp[], 15, FALSE)</f>
        <v>0</v>
      </c>
      <c r="Q168">
        <f>VLOOKUP(Table56[[#This Row],[Shortname]], Comp[], 16, FALSE)</f>
        <v>0</v>
      </c>
      <c r="R168">
        <f>VLOOKUP(Table56[[#This Row],[Shortname]], Comp[], 17, FALSE)</f>
        <v>0</v>
      </c>
      <c r="S168">
        <f>VLOOKUP(Table56[[#This Row],[Shortname]], Comp[], 18, FALSE)</f>
        <v>0</v>
      </c>
      <c r="T168">
        <f>VLOOKUP(Table56[[#This Row],[Shortname]], Comp[], 19, FALSE)</f>
        <v>0</v>
      </c>
      <c r="U168">
        <f>VLOOKUP(Table56[[#This Row],[Shortname]], Comp[], 20, FALSE)</f>
        <v>0</v>
      </c>
      <c r="V168">
        <f>VLOOKUP(Table56[[#This Row],[Shortname]], Comp[], 21, FALSE)</f>
        <v>0</v>
      </c>
      <c r="W168">
        <f>VLOOKUP(Table56[[#This Row],[Shortname]], Comp[], 22, FALSE)</f>
        <v>0</v>
      </c>
      <c r="X168">
        <f>VLOOKUP(Table56[[#This Row],[Shortname]], Comp[], 23, FALSE)</f>
        <v>0</v>
      </c>
      <c r="Y168">
        <f>VLOOKUP(Table56[[#This Row],[Shortname]], Comp[], 24, FALSE)</f>
        <v>0</v>
      </c>
      <c r="Z168">
        <f>VLOOKUP(Table56[[#This Row],[Shortname]], Comp[], 25, FALSE)</f>
        <v>0</v>
      </c>
      <c r="AA168">
        <f>VLOOKUP(Table56[[#This Row],[Shortname]], Comp[], 26, FALSE)</f>
        <v>0</v>
      </c>
      <c r="AB168">
        <f>VLOOKUP(Table56[[#This Row],[Shortname]], Comp[], 27, FALSE)</f>
        <v>0</v>
      </c>
      <c r="AC168">
        <f>VLOOKUP(Table56[[#This Row],[Shortname]], Comp[], 28, FALSE)</f>
        <v>0</v>
      </c>
      <c r="AD168">
        <f>VLOOKUP(Table56[[#This Row],[Shortname]], Comp[], 29, FALSE)</f>
        <v>0</v>
      </c>
      <c r="AE168">
        <f>VLOOKUP(Table56[[#This Row],[Shortname]], Comp[], 30, FALSE)</f>
        <v>0</v>
      </c>
      <c r="AF168">
        <f>VLOOKUP(Table56[[#This Row],[Shortname]], Comp[], 31, FALSE)</f>
        <v>0</v>
      </c>
    </row>
    <row r="169" spans="1:32" x14ac:dyDescent="0.3">
      <c r="A169" t="s">
        <v>2001</v>
      </c>
      <c r="B169" t="s">
        <v>2002</v>
      </c>
      <c r="C169" t="s">
        <v>6717</v>
      </c>
      <c r="D169">
        <v>973</v>
      </c>
      <c r="E169">
        <v>1390</v>
      </c>
      <c r="F169">
        <v>1424</v>
      </c>
      <c r="H169" s="14">
        <f>VLOOKUP(Table56[[#This Row],[Shortname]], Comp[], 7, FALSE)</f>
        <v>62.5</v>
      </c>
      <c r="I169">
        <f>VLOOKUP(Table56[[#This Row],[Shortname]], Comp[], 8, FALSE)</f>
        <v>19.600000000000001</v>
      </c>
      <c r="J169">
        <f>VLOOKUP(Table56[[#This Row],[Shortname]], Comp[], 9, FALSE)</f>
        <v>10</v>
      </c>
      <c r="K169">
        <f>VLOOKUP(Table56[[#This Row],[Shortname]], Comp[], 10, FALSE)</f>
        <v>0</v>
      </c>
      <c r="L169">
        <f>VLOOKUP(Table56[[#This Row],[Shortname]], Comp[], 11, FALSE)</f>
        <v>6.9</v>
      </c>
      <c r="M169">
        <f>VLOOKUP(Table56[[#This Row],[Shortname]], Comp[],12, FALSE)</f>
        <v>0</v>
      </c>
      <c r="N169">
        <f>VLOOKUP(Table56[[#This Row],[Shortname]], Comp[], 13, FALSE)</f>
        <v>0</v>
      </c>
      <c r="O169">
        <f>VLOOKUP(Table56[[#This Row],[Shortname]], Comp[], 14, FALSE)</f>
        <v>0</v>
      </c>
      <c r="P169">
        <f>VLOOKUP(Table56[[#This Row],[Shortname]], Comp[], 15, FALSE)</f>
        <v>0</v>
      </c>
      <c r="Q169">
        <f>VLOOKUP(Table56[[#This Row],[Shortname]], Comp[], 16, FALSE)</f>
        <v>0</v>
      </c>
      <c r="R169">
        <f>VLOOKUP(Table56[[#This Row],[Shortname]], Comp[], 17, FALSE)</f>
        <v>0</v>
      </c>
      <c r="S169">
        <f>VLOOKUP(Table56[[#This Row],[Shortname]], Comp[], 18, FALSE)</f>
        <v>0</v>
      </c>
      <c r="T169">
        <f>VLOOKUP(Table56[[#This Row],[Shortname]], Comp[], 19, FALSE)</f>
        <v>0</v>
      </c>
      <c r="U169">
        <f>VLOOKUP(Table56[[#This Row],[Shortname]], Comp[], 20, FALSE)</f>
        <v>0</v>
      </c>
      <c r="V169">
        <f>VLOOKUP(Table56[[#This Row],[Shortname]], Comp[], 21, FALSE)</f>
        <v>0</v>
      </c>
      <c r="W169">
        <f>VLOOKUP(Table56[[#This Row],[Shortname]], Comp[], 22, FALSE)</f>
        <v>1</v>
      </c>
      <c r="X169">
        <f>VLOOKUP(Table56[[#This Row],[Shortname]], Comp[], 23, FALSE)</f>
        <v>0</v>
      </c>
      <c r="Y169">
        <f>VLOOKUP(Table56[[#This Row],[Shortname]], Comp[], 24, FALSE)</f>
        <v>0</v>
      </c>
      <c r="Z169">
        <f>VLOOKUP(Table56[[#This Row],[Shortname]], Comp[], 25, FALSE)</f>
        <v>0</v>
      </c>
      <c r="AA169">
        <f>VLOOKUP(Table56[[#This Row],[Shortname]], Comp[], 26, FALSE)</f>
        <v>0</v>
      </c>
      <c r="AB169">
        <f>VLOOKUP(Table56[[#This Row],[Shortname]], Comp[], 27, FALSE)</f>
        <v>0</v>
      </c>
      <c r="AC169">
        <f>VLOOKUP(Table56[[#This Row],[Shortname]], Comp[], 28, FALSE)</f>
        <v>0</v>
      </c>
      <c r="AD169">
        <f>VLOOKUP(Table56[[#This Row],[Shortname]], Comp[], 29, FALSE)</f>
        <v>0</v>
      </c>
      <c r="AE169">
        <f>VLOOKUP(Table56[[#This Row],[Shortname]], Comp[], 30, FALSE)</f>
        <v>0</v>
      </c>
      <c r="AF169">
        <f>VLOOKUP(Table56[[#This Row],[Shortname]], Comp[], 31, FALSE)</f>
        <v>0</v>
      </c>
    </row>
    <row r="170" spans="1:32" x14ac:dyDescent="0.3">
      <c r="A170" s="7" t="s">
        <v>2008</v>
      </c>
      <c r="B170" s="7" t="s">
        <v>2009</v>
      </c>
      <c r="C170" t="s">
        <v>6717</v>
      </c>
      <c r="D170">
        <v>966</v>
      </c>
      <c r="E170">
        <v>1359</v>
      </c>
      <c r="F170">
        <v>1410</v>
      </c>
      <c r="H170" s="14">
        <f>VLOOKUP(Table56[[#This Row],[Shortname]], Comp[], 7, FALSE)</f>
        <v>61.5</v>
      </c>
      <c r="I170">
        <f>VLOOKUP(Table56[[#This Row],[Shortname]], Comp[], 8, FALSE)</f>
        <v>19.8</v>
      </c>
      <c r="J170">
        <f>VLOOKUP(Table56[[#This Row],[Shortname]], Comp[], 9, FALSE)</f>
        <v>10.199999999999999</v>
      </c>
      <c r="K170">
        <f>VLOOKUP(Table56[[#This Row],[Shortname]], Comp[], 10, FALSE)</f>
        <v>0</v>
      </c>
      <c r="L170">
        <f>VLOOKUP(Table56[[#This Row],[Shortname]], Comp[], 11, FALSE)</f>
        <v>6.7</v>
      </c>
      <c r="M170">
        <f>VLOOKUP(Table56[[#This Row],[Shortname]], Comp[],12, FALSE)</f>
        <v>0</v>
      </c>
      <c r="N170">
        <f>VLOOKUP(Table56[[#This Row],[Shortname]], Comp[], 13, FALSE)</f>
        <v>0</v>
      </c>
      <c r="O170">
        <f>VLOOKUP(Table56[[#This Row],[Shortname]], Comp[], 14, FALSE)</f>
        <v>0</v>
      </c>
      <c r="P170">
        <f>VLOOKUP(Table56[[#This Row],[Shortname]], Comp[], 15, FALSE)</f>
        <v>0</v>
      </c>
      <c r="Q170">
        <f>VLOOKUP(Table56[[#This Row],[Shortname]], Comp[], 16, FALSE)</f>
        <v>0</v>
      </c>
      <c r="R170">
        <f>VLOOKUP(Table56[[#This Row],[Shortname]], Comp[], 17, FALSE)</f>
        <v>0</v>
      </c>
      <c r="S170">
        <f>VLOOKUP(Table56[[#This Row],[Shortname]], Comp[], 18, FALSE)</f>
        <v>0</v>
      </c>
      <c r="T170">
        <f>VLOOKUP(Table56[[#This Row],[Shortname]], Comp[], 19, FALSE)</f>
        <v>0</v>
      </c>
      <c r="U170">
        <f>VLOOKUP(Table56[[#This Row],[Shortname]], Comp[], 20, FALSE)</f>
        <v>0</v>
      </c>
      <c r="V170">
        <f>VLOOKUP(Table56[[#This Row],[Shortname]], Comp[], 21, FALSE)</f>
        <v>0</v>
      </c>
      <c r="W170">
        <f>VLOOKUP(Table56[[#This Row],[Shortname]], Comp[], 22, FALSE)</f>
        <v>1.8</v>
      </c>
      <c r="X170">
        <f>VLOOKUP(Table56[[#This Row],[Shortname]], Comp[], 23, FALSE)</f>
        <v>0</v>
      </c>
      <c r="Y170">
        <f>VLOOKUP(Table56[[#This Row],[Shortname]], Comp[], 24, FALSE)</f>
        <v>0</v>
      </c>
      <c r="Z170">
        <f>VLOOKUP(Table56[[#This Row],[Shortname]], Comp[], 25, FALSE)</f>
        <v>0</v>
      </c>
      <c r="AA170">
        <f>VLOOKUP(Table56[[#This Row],[Shortname]], Comp[], 26, FALSE)</f>
        <v>0</v>
      </c>
      <c r="AB170">
        <f>VLOOKUP(Table56[[#This Row],[Shortname]], Comp[], 27, FALSE)</f>
        <v>0</v>
      </c>
      <c r="AC170">
        <f>VLOOKUP(Table56[[#This Row],[Shortname]], Comp[], 28, FALSE)</f>
        <v>0</v>
      </c>
      <c r="AD170">
        <f>VLOOKUP(Table56[[#This Row],[Shortname]], Comp[], 29, FALSE)</f>
        <v>0</v>
      </c>
      <c r="AE170">
        <f>VLOOKUP(Table56[[#This Row],[Shortname]], Comp[], 30, FALSE)</f>
        <v>0</v>
      </c>
      <c r="AF170">
        <f>VLOOKUP(Table56[[#This Row],[Shortname]], Comp[], 31, FALSE)</f>
        <v>0</v>
      </c>
    </row>
    <row r="171" spans="1:32" x14ac:dyDescent="0.3">
      <c r="A171" t="s">
        <v>1969</v>
      </c>
      <c r="B171" t="s">
        <v>1971</v>
      </c>
      <c r="C171" t="s">
        <v>6717</v>
      </c>
      <c r="D171">
        <v>936</v>
      </c>
      <c r="E171">
        <v>1410</v>
      </c>
      <c r="F171">
        <v>1432</v>
      </c>
      <c r="H171" s="14">
        <f>VLOOKUP(Table56[[#This Row],[Shortname]], Comp[], 7, FALSE)</f>
        <v>58.099999999999994</v>
      </c>
      <c r="I171">
        <f>VLOOKUP(Table56[[#This Row],[Shortname]], Comp[], 8, FALSE)</f>
        <v>19.600000000000001</v>
      </c>
      <c r="J171">
        <f>VLOOKUP(Table56[[#This Row],[Shortname]], Comp[], 9, FALSE)</f>
        <v>10.3</v>
      </c>
      <c r="K171">
        <f>VLOOKUP(Table56[[#This Row],[Shortname]], Comp[], 10, FALSE)</f>
        <v>0</v>
      </c>
      <c r="L171">
        <f>VLOOKUP(Table56[[#This Row],[Shortname]], Comp[], 11, FALSE)</f>
        <v>6.8</v>
      </c>
      <c r="M171">
        <f>VLOOKUP(Table56[[#This Row],[Shortname]], Comp[],12, FALSE)</f>
        <v>0</v>
      </c>
      <c r="N171">
        <f>VLOOKUP(Table56[[#This Row],[Shortname]], Comp[], 13, FALSE)</f>
        <v>0</v>
      </c>
      <c r="O171">
        <f>VLOOKUP(Table56[[#This Row],[Shortname]], Comp[], 14, FALSE)</f>
        <v>0</v>
      </c>
      <c r="P171">
        <f>VLOOKUP(Table56[[#This Row],[Shortname]], Comp[], 15, FALSE)</f>
        <v>0</v>
      </c>
      <c r="Q171">
        <f>VLOOKUP(Table56[[#This Row],[Shortname]], Comp[], 16, FALSE)</f>
        <v>0</v>
      </c>
      <c r="R171">
        <f>VLOOKUP(Table56[[#This Row],[Shortname]], Comp[], 17, FALSE)</f>
        <v>0</v>
      </c>
      <c r="S171">
        <f>VLOOKUP(Table56[[#This Row],[Shortname]], Comp[], 18, FALSE)</f>
        <v>0</v>
      </c>
      <c r="T171">
        <f>VLOOKUP(Table56[[#This Row],[Shortname]], Comp[], 19, FALSE)</f>
        <v>0</v>
      </c>
      <c r="U171">
        <f>VLOOKUP(Table56[[#This Row],[Shortname]], Comp[], 20, FALSE)</f>
        <v>0</v>
      </c>
      <c r="V171">
        <f>VLOOKUP(Table56[[#This Row],[Shortname]], Comp[], 21, FALSE)</f>
        <v>0</v>
      </c>
      <c r="W171">
        <f>VLOOKUP(Table56[[#This Row],[Shortname]], Comp[], 22, FALSE)</f>
        <v>0</v>
      </c>
      <c r="X171">
        <f>VLOOKUP(Table56[[#This Row],[Shortname]], Comp[], 23, FALSE)</f>
        <v>5.2</v>
      </c>
      <c r="Y171">
        <f>VLOOKUP(Table56[[#This Row],[Shortname]], Comp[], 24, FALSE)</f>
        <v>0</v>
      </c>
      <c r="Z171">
        <f>VLOOKUP(Table56[[#This Row],[Shortname]], Comp[], 25, FALSE)</f>
        <v>0</v>
      </c>
      <c r="AA171">
        <f>VLOOKUP(Table56[[#This Row],[Shortname]], Comp[], 26, FALSE)</f>
        <v>0</v>
      </c>
      <c r="AB171">
        <f>VLOOKUP(Table56[[#This Row],[Shortname]], Comp[], 27, FALSE)</f>
        <v>0</v>
      </c>
      <c r="AC171">
        <f>VLOOKUP(Table56[[#This Row],[Shortname]], Comp[], 28, FALSE)</f>
        <v>0</v>
      </c>
      <c r="AD171">
        <f>VLOOKUP(Table56[[#This Row],[Shortname]], Comp[], 29, FALSE)</f>
        <v>0</v>
      </c>
      <c r="AE171">
        <f>VLOOKUP(Table56[[#This Row],[Shortname]], Comp[], 30, FALSE)</f>
        <v>0</v>
      </c>
      <c r="AF171">
        <f>VLOOKUP(Table56[[#This Row],[Shortname]], Comp[], 31, FALSE)</f>
        <v>0</v>
      </c>
    </row>
    <row r="172" spans="1:32" x14ac:dyDescent="0.3">
      <c r="A172" s="7" t="s">
        <v>1978</v>
      </c>
      <c r="B172" s="7" t="s">
        <v>1980</v>
      </c>
      <c r="C172" t="s">
        <v>6717</v>
      </c>
      <c r="D172">
        <v>892</v>
      </c>
      <c r="E172">
        <v>1403</v>
      </c>
      <c r="F172">
        <v>1426</v>
      </c>
      <c r="H172" s="14">
        <f>VLOOKUP(Table56[[#This Row],[Shortname]], Comp[], 7, FALSE)</f>
        <v>53.2</v>
      </c>
      <c r="I172">
        <f>VLOOKUP(Table56[[#This Row],[Shortname]], Comp[], 8, FALSE)</f>
        <v>19.8</v>
      </c>
      <c r="J172">
        <f>VLOOKUP(Table56[[#This Row],[Shortname]], Comp[], 9, FALSE)</f>
        <v>10.3</v>
      </c>
      <c r="K172">
        <f>VLOOKUP(Table56[[#This Row],[Shortname]], Comp[], 10, FALSE)</f>
        <v>0</v>
      </c>
      <c r="L172">
        <f>VLOOKUP(Table56[[#This Row],[Shortname]], Comp[], 11, FALSE)</f>
        <v>6.4</v>
      </c>
      <c r="M172">
        <f>VLOOKUP(Table56[[#This Row],[Shortname]], Comp[],12, FALSE)</f>
        <v>0</v>
      </c>
      <c r="N172">
        <f>VLOOKUP(Table56[[#This Row],[Shortname]], Comp[], 13, FALSE)</f>
        <v>0</v>
      </c>
      <c r="O172">
        <f>VLOOKUP(Table56[[#This Row],[Shortname]], Comp[], 14, FALSE)</f>
        <v>0</v>
      </c>
      <c r="P172">
        <f>VLOOKUP(Table56[[#This Row],[Shortname]], Comp[], 15, FALSE)</f>
        <v>0</v>
      </c>
      <c r="Q172">
        <f>VLOOKUP(Table56[[#This Row],[Shortname]], Comp[], 16, FALSE)</f>
        <v>0</v>
      </c>
      <c r="R172">
        <f>VLOOKUP(Table56[[#This Row],[Shortname]], Comp[], 17, FALSE)</f>
        <v>0</v>
      </c>
      <c r="S172">
        <f>VLOOKUP(Table56[[#This Row],[Shortname]], Comp[], 18, FALSE)</f>
        <v>0</v>
      </c>
      <c r="T172">
        <f>VLOOKUP(Table56[[#This Row],[Shortname]], Comp[], 19, FALSE)</f>
        <v>0</v>
      </c>
      <c r="U172">
        <f>VLOOKUP(Table56[[#This Row],[Shortname]], Comp[], 20, FALSE)</f>
        <v>0</v>
      </c>
      <c r="V172">
        <f>VLOOKUP(Table56[[#This Row],[Shortname]], Comp[], 21, FALSE)</f>
        <v>0</v>
      </c>
      <c r="W172">
        <f>VLOOKUP(Table56[[#This Row],[Shortname]], Comp[], 22, FALSE)</f>
        <v>0</v>
      </c>
      <c r="X172">
        <f>VLOOKUP(Table56[[#This Row],[Shortname]], Comp[], 23, FALSE)</f>
        <v>10.3</v>
      </c>
      <c r="Y172">
        <f>VLOOKUP(Table56[[#This Row],[Shortname]], Comp[], 24, FALSE)</f>
        <v>0</v>
      </c>
      <c r="Z172">
        <f>VLOOKUP(Table56[[#This Row],[Shortname]], Comp[], 25, FALSE)</f>
        <v>0</v>
      </c>
      <c r="AA172">
        <f>VLOOKUP(Table56[[#This Row],[Shortname]], Comp[], 26, FALSE)</f>
        <v>0</v>
      </c>
      <c r="AB172">
        <f>VLOOKUP(Table56[[#This Row],[Shortname]], Comp[], 27, FALSE)</f>
        <v>0</v>
      </c>
      <c r="AC172">
        <f>VLOOKUP(Table56[[#This Row],[Shortname]], Comp[], 28, FALSE)</f>
        <v>0</v>
      </c>
      <c r="AD172">
        <f>VLOOKUP(Table56[[#This Row],[Shortname]], Comp[], 29, FALSE)</f>
        <v>0</v>
      </c>
      <c r="AE172">
        <f>VLOOKUP(Table56[[#This Row],[Shortname]], Comp[], 30, FALSE)</f>
        <v>0</v>
      </c>
      <c r="AF172">
        <f>VLOOKUP(Table56[[#This Row],[Shortname]], Comp[], 31, FALSE)</f>
        <v>0</v>
      </c>
    </row>
    <row r="173" spans="1:32" x14ac:dyDescent="0.3">
      <c r="A173" t="s">
        <v>1987</v>
      </c>
      <c r="B173" t="s">
        <v>1989</v>
      </c>
      <c r="C173" t="s">
        <v>6717</v>
      </c>
      <c r="D173">
        <v>860</v>
      </c>
      <c r="E173">
        <v>1395</v>
      </c>
      <c r="F173">
        <v>1419</v>
      </c>
      <c r="H173" s="14">
        <f>VLOOKUP(Table56[[#This Row],[Shortname]], Comp[], 7, FALSE)</f>
        <v>48.2</v>
      </c>
      <c r="I173">
        <f>VLOOKUP(Table56[[#This Row],[Shortname]], Comp[], 8, FALSE)</f>
        <v>19.7</v>
      </c>
      <c r="J173">
        <f>VLOOKUP(Table56[[#This Row],[Shortname]], Comp[], 9, FALSE)</f>
        <v>10.3</v>
      </c>
      <c r="K173">
        <f>VLOOKUP(Table56[[#This Row],[Shortname]], Comp[], 10, FALSE)</f>
        <v>0</v>
      </c>
      <c r="L173">
        <f>VLOOKUP(Table56[[#This Row],[Shortname]], Comp[], 11, FALSE)</f>
        <v>6.5</v>
      </c>
      <c r="M173">
        <f>VLOOKUP(Table56[[#This Row],[Shortname]], Comp[],12, FALSE)</f>
        <v>0</v>
      </c>
      <c r="N173">
        <f>VLOOKUP(Table56[[#This Row],[Shortname]], Comp[], 13, FALSE)</f>
        <v>0</v>
      </c>
      <c r="O173">
        <f>VLOOKUP(Table56[[#This Row],[Shortname]], Comp[], 14, FALSE)</f>
        <v>0</v>
      </c>
      <c r="P173">
        <f>VLOOKUP(Table56[[#This Row],[Shortname]], Comp[], 15, FALSE)</f>
        <v>0</v>
      </c>
      <c r="Q173">
        <f>VLOOKUP(Table56[[#This Row],[Shortname]], Comp[], 16, FALSE)</f>
        <v>0</v>
      </c>
      <c r="R173">
        <f>VLOOKUP(Table56[[#This Row],[Shortname]], Comp[], 17, FALSE)</f>
        <v>0</v>
      </c>
      <c r="S173">
        <f>VLOOKUP(Table56[[#This Row],[Shortname]], Comp[], 18, FALSE)</f>
        <v>0</v>
      </c>
      <c r="T173">
        <f>VLOOKUP(Table56[[#This Row],[Shortname]], Comp[], 19, FALSE)</f>
        <v>0</v>
      </c>
      <c r="U173">
        <f>VLOOKUP(Table56[[#This Row],[Shortname]], Comp[], 20, FALSE)</f>
        <v>0</v>
      </c>
      <c r="V173">
        <f>VLOOKUP(Table56[[#This Row],[Shortname]], Comp[], 21, FALSE)</f>
        <v>0</v>
      </c>
      <c r="W173">
        <f>VLOOKUP(Table56[[#This Row],[Shortname]], Comp[], 22, FALSE)</f>
        <v>0</v>
      </c>
      <c r="X173">
        <f>VLOOKUP(Table56[[#This Row],[Shortname]], Comp[], 23, FALSE)</f>
        <v>15.3</v>
      </c>
      <c r="Y173">
        <f>VLOOKUP(Table56[[#This Row],[Shortname]], Comp[], 24, FALSE)</f>
        <v>0</v>
      </c>
      <c r="Z173">
        <f>VLOOKUP(Table56[[#This Row],[Shortname]], Comp[], 25, FALSE)</f>
        <v>0</v>
      </c>
      <c r="AA173">
        <f>VLOOKUP(Table56[[#This Row],[Shortname]], Comp[], 26, FALSE)</f>
        <v>0</v>
      </c>
      <c r="AB173">
        <f>VLOOKUP(Table56[[#This Row],[Shortname]], Comp[], 27, FALSE)</f>
        <v>0</v>
      </c>
      <c r="AC173">
        <f>VLOOKUP(Table56[[#This Row],[Shortname]], Comp[], 28, FALSE)</f>
        <v>0</v>
      </c>
      <c r="AD173">
        <f>VLOOKUP(Table56[[#This Row],[Shortname]], Comp[], 29, FALSE)</f>
        <v>0</v>
      </c>
      <c r="AE173">
        <f>VLOOKUP(Table56[[#This Row],[Shortname]], Comp[], 30, FALSE)</f>
        <v>0</v>
      </c>
      <c r="AF173">
        <f>VLOOKUP(Table56[[#This Row],[Shortname]], Comp[], 31, FALSE)</f>
        <v>0</v>
      </c>
    </row>
    <row r="174" spans="1:32" x14ac:dyDescent="0.3">
      <c r="A174" t="s">
        <v>2020</v>
      </c>
      <c r="B174" t="s">
        <v>2022</v>
      </c>
      <c r="C174" t="s">
        <v>6718</v>
      </c>
      <c r="D174">
        <v>1167</v>
      </c>
      <c r="E174">
        <v>1366</v>
      </c>
      <c r="F174">
        <v>1419</v>
      </c>
      <c r="H174" s="14">
        <f>VLOOKUP(Table56[[#This Row],[Shortname]], Comp[], 7, FALSE)</f>
        <v>51</v>
      </c>
      <c r="I174">
        <f>VLOOKUP(Table56[[#This Row],[Shortname]], Comp[], 8, FALSE)</f>
        <v>30</v>
      </c>
      <c r="J174">
        <f>VLOOKUP(Table56[[#This Row],[Shortname]], Comp[], 9, FALSE)</f>
        <v>7</v>
      </c>
      <c r="K174">
        <f>VLOOKUP(Table56[[#This Row],[Shortname]], Comp[], 10, FALSE)</f>
        <v>0</v>
      </c>
      <c r="L174">
        <f>VLOOKUP(Table56[[#This Row],[Shortname]], Comp[], 11, FALSE)</f>
        <v>7</v>
      </c>
      <c r="M174">
        <f>VLOOKUP(Table56[[#This Row],[Shortname]], Comp[],12, FALSE)</f>
        <v>4</v>
      </c>
      <c r="N174">
        <f>VLOOKUP(Table56[[#This Row],[Shortname]], Comp[], 13, FALSE)</f>
        <v>1</v>
      </c>
      <c r="O174">
        <f>VLOOKUP(Table56[[#This Row],[Shortname]], Comp[], 14, FALSE)</f>
        <v>0</v>
      </c>
      <c r="P174">
        <f>VLOOKUP(Table56[[#This Row],[Shortname]], Comp[], 15, FALSE)</f>
        <v>0</v>
      </c>
      <c r="Q174">
        <f>VLOOKUP(Table56[[#This Row],[Shortname]], Comp[], 16, FALSE)</f>
        <v>0</v>
      </c>
      <c r="R174">
        <f>VLOOKUP(Table56[[#This Row],[Shortname]], Comp[], 17, FALSE)</f>
        <v>0</v>
      </c>
      <c r="S174">
        <f>VLOOKUP(Table56[[#This Row],[Shortname]], Comp[], 18, FALSE)</f>
        <v>0</v>
      </c>
      <c r="T174">
        <f>VLOOKUP(Table56[[#This Row],[Shortname]], Comp[], 19, FALSE)</f>
        <v>0</v>
      </c>
      <c r="U174">
        <f>VLOOKUP(Table56[[#This Row],[Shortname]], Comp[], 20, FALSE)</f>
        <v>0</v>
      </c>
      <c r="V174">
        <f>VLOOKUP(Table56[[#This Row],[Shortname]], Comp[], 21, FALSE)</f>
        <v>0</v>
      </c>
      <c r="W174">
        <f>VLOOKUP(Table56[[#This Row],[Shortname]], Comp[], 22, FALSE)</f>
        <v>0</v>
      </c>
      <c r="X174">
        <f>VLOOKUP(Table56[[#This Row],[Shortname]], Comp[], 23, FALSE)</f>
        <v>0</v>
      </c>
      <c r="Y174">
        <f>VLOOKUP(Table56[[#This Row],[Shortname]], Comp[], 24, FALSE)</f>
        <v>0</v>
      </c>
      <c r="Z174">
        <f>VLOOKUP(Table56[[#This Row],[Shortname]], Comp[], 25, FALSE)</f>
        <v>0</v>
      </c>
      <c r="AA174">
        <f>VLOOKUP(Table56[[#This Row],[Shortname]], Comp[], 26, FALSE)</f>
        <v>0</v>
      </c>
      <c r="AB174">
        <f>VLOOKUP(Table56[[#This Row],[Shortname]], Comp[], 27, FALSE)</f>
        <v>0</v>
      </c>
      <c r="AC174">
        <f>VLOOKUP(Table56[[#This Row],[Shortname]], Comp[], 28, FALSE)</f>
        <v>0</v>
      </c>
      <c r="AD174">
        <f>VLOOKUP(Table56[[#This Row],[Shortname]], Comp[], 29, FALSE)</f>
        <v>0</v>
      </c>
      <c r="AE174">
        <f>VLOOKUP(Table56[[#This Row],[Shortname]], Comp[], 30, FALSE)</f>
        <v>0</v>
      </c>
      <c r="AF174">
        <f>VLOOKUP(Table56[[#This Row],[Shortname]], Comp[], 31, FALSE)</f>
        <v>0</v>
      </c>
    </row>
    <row r="175" spans="1:32" x14ac:dyDescent="0.3">
      <c r="A175" s="7" t="s">
        <v>2013</v>
      </c>
      <c r="B175" s="7" t="s">
        <v>2015</v>
      </c>
      <c r="C175" t="s">
        <v>6718</v>
      </c>
      <c r="D175">
        <v>1134</v>
      </c>
      <c r="E175">
        <v>1351</v>
      </c>
      <c r="F175">
        <v>1413</v>
      </c>
      <c r="H175" s="14">
        <f>VLOOKUP(Table56[[#This Row],[Shortname]], Comp[], 7, FALSE)</f>
        <v>71</v>
      </c>
      <c r="I175">
        <f>VLOOKUP(Table56[[#This Row],[Shortname]], Comp[], 8, FALSE)</f>
        <v>10</v>
      </c>
      <c r="J175">
        <f>VLOOKUP(Table56[[#This Row],[Shortname]], Comp[], 9, FALSE)</f>
        <v>7</v>
      </c>
      <c r="K175">
        <f>VLOOKUP(Table56[[#This Row],[Shortname]], Comp[], 10, FALSE)</f>
        <v>0</v>
      </c>
      <c r="L175">
        <f>VLOOKUP(Table56[[#This Row],[Shortname]], Comp[], 11, FALSE)</f>
        <v>7</v>
      </c>
      <c r="M175">
        <f>VLOOKUP(Table56[[#This Row],[Shortname]], Comp[],12, FALSE)</f>
        <v>4</v>
      </c>
      <c r="N175">
        <f>VLOOKUP(Table56[[#This Row],[Shortname]], Comp[], 13, FALSE)</f>
        <v>1</v>
      </c>
      <c r="O175">
        <f>VLOOKUP(Table56[[#This Row],[Shortname]], Comp[], 14, FALSE)</f>
        <v>0</v>
      </c>
      <c r="P175">
        <f>VLOOKUP(Table56[[#This Row],[Shortname]], Comp[], 15, FALSE)</f>
        <v>0</v>
      </c>
      <c r="Q175">
        <f>VLOOKUP(Table56[[#This Row],[Shortname]], Comp[], 16, FALSE)</f>
        <v>0</v>
      </c>
      <c r="R175">
        <f>VLOOKUP(Table56[[#This Row],[Shortname]], Comp[], 17, FALSE)</f>
        <v>0</v>
      </c>
      <c r="S175">
        <f>VLOOKUP(Table56[[#This Row],[Shortname]], Comp[], 18, FALSE)</f>
        <v>0</v>
      </c>
      <c r="T175">
        <f>VLOOKUP(Table56[[#This Row],[Shortname]], Comp[], 19, FALSE)</f>
        <v>0</v>
      </c>
      <c r="U175">
        <f>VLOOKUP(Table56[[#This Row],[Shortname]], Comp[], 20, FALSE)</f>
        <v>0</v>
      </c>
      <c r="V175">
        <f>VLOOKUP(Table56[[#This Row],[Shortname]], Comp[], 21, FALSE)</f>
        <v>0</v>
      </c>
      <c r="W175">
        <f>VLOOKUP(Table56[[#This Row],[Shortname]], Comp[], 22, FALSE)</f>
        <v>0</v>
      </c>
      <c r="X175">
        <f>VLOOKUP(Table56[[#This Row],[Shortname]], Comp[], 23, FALSE)</f>
        <v>0</v>
      </c>
      <c r="Y175">
        <f>VLOOKUP(Table56[[#This Row],[Shortname]], Comp[], 24, FALSE)</f>
        <v>0</v>
      </c>
      <c r="Z175">
        <f>VLOOKUP(Table56[[#This Row],[Shortname]], Comp[], 25, FALSE)</f>
        <v>0</v>
      </c>
      <c r="AA175">
        <f>VLOOKUP(Table56[[#This Row],[Shortname]], Comp[], 26, FALSE)</f>
        <v>0</v>
      </c>
      <c r="AB175">
        <f>VLOOKUP(Table56[[#This Row],[Shortname]], Comp[], 27, FALSE)</f>
        <v>0</v>
      </c>
      <c r="AC175">
        <f>VLOOKUP(Table56[[#This Row],[Shortname]], Comp[], 28, FALSE)</f>
        <v>0</v>
      </c>
      <c r="AD175">
        <f>VLOOKUP(Table56[[#This Row],[Shortname]], Comp[], 29, FALSE)</f>
        <v>0</v>
      </c>
      <c r="AE175">
        <f>VLOOKUP(Table56[[#This Row],[Shortname]], Comp[], 30, FALSE)</f>
        <v>0</v>
      </c>
      <c r="AF175">
        <f>VLOOKUP(Table56[[#This Row],[Shortname]], Comp[], 31, FALSE)</f>
        <v>0</v>
      </c>
    </row>
    <row r="176" spans="1:32" x14ac:dyDescent="0.3">
      <c r="A176" t="s">
        <v>2056</v>
      </c>
      <c r="B176" t="s">
        <v>2058</v>
      </c>
      <c r="C176" t="s">
        <v>6718</v>
      </c>
      <c r="D176">
        <v>1126</v>
      </c>
      <c r="E176">
        <v>1317</v>
      </c>
      <c r="F176">
        <v>1385</v>
      </c>
      <c r="H176" s="14">
        <f>VLOOKUP(Table56[[#This Row],[Shortname]], Comp[], 7, FALSE)</f>
        <v>52</v>
      </c>
      <c r="I176">
        <f>VLOOKUP(Table56[[#This Row],[Shortname]], Comp[], 8, FALSE)</f>
        <v>30</v>
      </c>
      <c r="J176">
        <f>VLOOKUP(Table56[[#This Row],[Shortname]], Comp[], 9, FALSE)</f>
        <v>7</v>
      </c>
      <c r="K176">
        <f>VLOOKUP(Table56[[#This Row],[Shortname]], Comp[], 10, FALSE)</f>
        <v>0</v>
      </c>
      <c r="L176">
        <f>VLOOKUP(Table56[[#This Row],[Shortname]], Comp[], 11, FALSE)</f>
        <v>2</v>
      </c>
      <c r="M176">
        <f>VLOOKUP(Table56[[#This Row],[Shortname]], Comp[],12, FALSE)</f>
        <v>4</v>
      </c>
      <c r="N176">
        <f>VLOOKUP(Table56[[#This Row],[Shortname]], Comp[], 13, FALSE)</f>
        <v>1</v>
      </c>
      <c r="O176">
        <f>VLOOKUP(Table56[[#This Row],[Shortname]], Comp[], 14, FALSE)</f>
        <v>1</v>
      </c>
      <c r="P176">
        <f>VLOOKUP(Table56[[#This Row],[Shortname]], Comp[], 15, FALSE)</f>
        <v>0</v>
      </c>
      <c r="Q176">
        <f>VLOOKUP(Table56[[#This Row],[Shortname]], Comp[], 16, FALSE)</f>
        <v>3</v>
      </c>
      <c r="R176">
        <f>VLOOKUP(Table56[[#This Row],[Shortname]], Comp[], 17, FALSE)</f>
        <v>0</v>
      </c>
      <c r="S176">
        <f>VLOOKUP(Table56[[#This Row],[Shortname]], Comp[], 18, FALSE)</f>
        <v>0</v>
      </c>
      <c r="T176">
        <f>VLOOKUP(Table56[[#This Row],[Shortname]], Comp[], 19, FALSE)</f>
        <v>0</v>
      </c>
      <c r="U176">
        <f>VLOOKUP(Table56[[#This Row],[Shortname]], Comp[], 20, FALSE)</f>
        <v>0</v>
      </c>
      <c r="V176">
        <f>VLOOKUP(Table56[[#This Row],[Shortname]], Comp[], 21, FALSE)</f>
        <v>0</v>
      </c>
      <c r="W176">
        <f>VLOOKUP(Table56[[#This Row],[Shortname]], Comp[], 22, FALSE)</f>
        <v>0</v>
      </c>
      <c r="X176">
        <f>VLOOKUP(Table56[[#This Row],[Shortname]], Comp[], 23, FALSE)</f>
        <v>0</v>
      </c>
      <c r="Y176">
        <f>VLOOKUP(Table56[[#This Row],[Shortname]], Comp[], 24, FALSE)</f>
        <v>0</v>
      </c>
      <c r="Z176">
        <f>VLOOKUP(Table56[[#This Row],[Shortname]], Comp[], 25, FALSE)</f>
        <v>0</v>
      </c>
      <c r="AA176">
        <f>VLOOKUP(Table56[[#This Row],[Shortname]], Comp[], 26, FALSE)</f>
        <v>0</v>
      </c>
      <c r="AB176">
        <f>VLOOKUP(Table56[[#This Row],[Shortname]], Comp[], 27, FALSE)</f>
        <v>0</v>
      </c>
      <c r="AC176">
        <f>VLOOKUP(Table56[[#This Row],[Shortname]], Comp[], 28, FALSE)</f>
        <v>0</v>
      </c>
      <c r="AD176">
        <f>VLOOKUP(Table56[[#This Row],[Shortname]], Comp[], 29, FALSE)</f>
        <v>0</v>
      </c>
      <c r="AE176">
        <f>VLOOKUP(Table56[[#This Row],[Shortname]], Comp[], 30, FALSE)</f>
        <v>0</v>
      </c>
      <c r="AF176">
        <f>VLOOKUP(Table56[[#This Row],[Shortname]], Comp[], 31, FALSE)</f>
        <v>0</v>
      </c>
    </row>
    <row r="177" spans="1:32" x14ac:dyDescent="0.3">
      <c r="A177" t="s">
        <v>2044</v>
      </c>
      <c r="B177" t="s">
        <v>2046</v>
      </c>
      <c r="C177" t="s">
        <v>6718</v>
      </c>
      <c r="D177">
        <v>1105</v>
      </c>
      <c r="E177">
        <v>1314</v>
      </c>
      <c r="F177">
        <v>1367</v>
      </c>
      <c r="H177" s="14">
        <f>VLOOKUP(Table56[[#This Row],[Shortname]], Comp[], 7, FALSE)</f>
        <v>52</v>
      </c>
      <c r="I177">
        <f>VLOOKUP(Table56[[#This Row],[Shortname]], Comp[], 8, FALSE)</f>
        <v>30</v>
      </c>
      <c r="J177">
        <f>VLOOKUP(Table56[[#This Row],[Shortname]], Comp[], 9, FALSE)</f>
        <v>7</v>
      </c>
      <c r="K177">
        <f>VLOOKUP(Table56[[#This Row],[Shortname]], Comp[], 10, FALSE)</f>
        <v>0</v>
      </c>
      <c r="L177">
        <f>VLOOKUP(Table56[[#This Row],[Shortname]], Comp[], 11, FALSE)</f>
        <v>0</v>
      </c>
      <c r="M177">
        <f>VLOOKUP(Table56[[#This Row],[Shortname]], Comp[],12, FALSE)</f>
        <v>4</v>
      </c>
      <c r="N177">
        <f>VLOOKUP(Table56[[#This Row],[Shortname]], Comp[], 13, FALSE)</f>
        <v>1</v>
      </c>
      <c r="O177">
        <f>VLOOKUP(Table56[[#This Row],[Shortname]], Comp[], 14, FALSE)</f>
        <v>1</v>
      </c>
      <c r="P177">
        <f>VLOOKUP(Table56[[#This Row],[Shortname]], Comp[], 15, FALSE)</f>
        <v>0</v>
      </c>
      <c r="Q177">
        <f>VLOOKUP(Table56[[#This Row],[Shortname]], Comp[], 16, FALSE)</f>
        <v>5</v>
      </c>
      <c r="R177">
        <f>VLOOKUP(Table56[[#This Row],[Shortname]], Comp[], 17, FALSE)</f>
        <v>0</v>
      </c>
      <c r="S177">
        <f>VLOOKUP(Table56[[#This Row],[Shortname]], Comp[], 18, FALSE)</f>
        <v>0</v>
      </c>
      <c r="T177">
        <f>VLOOKUP(Table56[[#This Row],[Shortname]], Comp[], 19, FALSE)</f>
        <v>0</v>
      </c>
      <c r="U177">
        <f>VLOOKUP(Table56[[#This Row],[Shortname]], Comp[], 20, FALSE)</f>
        <v>0</v>
      </c>
      <c r="V177">
        <f>VLOOKUP(Table56[[#This Row],[Shortname]], Comp[], 21, FALSE)</f>
        <v>0</v>
      </c>
      <c r="W177">
        <f>VLOOKUP(Table56[[#This Row],[Shortname]], Comp[], 22, FALSE)</f>
        <v>0</v>
      </c>
      <c r="X177">
        <f>VLOOKUP(Table56[[#This Row],[Shortname]], Comp[], 23, FALSE)</f>
        <v>0</v>
      </c>
      <c r="Y177">
        <f>VLOOKUP(Table56[[#This Row],[Shortname]], Comp[], 24, FALSE)</f>
        <v>0</v>
      </c>
      <c r="Z177">
        <f>VLOOKUP(Table56[[#This Row],[Shortname]], Comp[], 25, FALSE)</f>
        <v>0</v>
      </c>
      <c r="AA177">
        <f>VLOOKUP(Table56[[#This Row],[Shortname]], Comp[], 26, FALSE)</f>
        <v>0</v>
      </c>
      <c r="AB177">
        <f>VLOOKUP(Table56[[#This Row],[Shortname]], Comp[], 27, FALSE)</f>
        <v>0</v>
      </c>
      <c r="AC177">
        <f>VLOOKUP(Table56[[#This Row],[Shortname]], Comp[], 28, FALSE)</f>
        <v>0</v>
      </c>
      <c r="AD177">
        <f>VLOOKUP(Table56[[#This Row],[Shortname]], Comp[], 29, FALSE)</f>
        <v>0</v>
      </c>
      <c r="AE177">
        <f>VLOOKUP(Table56[[#This Row],[Shortname]], Comp[], 30, FALSE)</f>
        <v>0</v>
      </c>
      <c r="AF177">
        <f>VLOOKUP(Table56[[#This Row],[Shortname]], Comp[], 31, FALSE)</f>
        <v>0</v>
      </c>
    </row>
    <row r="178" spans="1:32" x14ac:dyDescent="0.3">
      <c r="A178" t="s">
        <v>2032</v>
      </c>
      <c r="B178" t="s">
        <v>2034</v>
      </c>
      <c r="C178" t="s">
        <v>6718</v>
      </c>
      <c r="D178">
        <v>1082</v>
      </c>
      <c r="E178">
        <v>1301</v>
      </c>
      <c r="F178">
        <v>1353</v>
      </c>
      <c r="H178" s="14">
        <f>VLOOKUP(Table56[[#This Row],[Shortname]], Comp[], 7, FALSE)</f>
        <v>52</v>
      </c>
      <c r="I178">
        <f>VLOOKUP(Table56[[#This Row],[Shortname]], Comp[], 8, FALSE)</f>
        <v>30</v>
      </c>
      <c r="J178">
        <f>VLOOKUP(Table56[[#This Row],[Shortname]], Comp[], 9, FALSE)</f>
        <v>7</v>
      </c>
      <c r="K178">
        <f>VLOOKUP(Table56[[#This Row],[Shortname]], Comp[], 10, FALSE)</f>
        <v>0</v>
      </c>
      <c r="L178">
        <f>VLOOKUP(Table56[[#This Row],[Shortname]], Comp[], 11, FALSE)</f>
        <v>0</v>
      </c>
      <c r="M178">
        <f>VLOOKUP(Table56[[#This Row],[Shortname]], Comp[],12, FALSE)</f>
        <v>4</v>
      </c>
      <c r="N178">
        <f>VLOOKUP(Table56[[#This Row],[Shortname]], Comp[], 13, FALSE)</f>
        <v>0</v>
      </c>
      <c r="O178">
        <f>VLOOKUP(Table56[[#This Row],[Shortname]], Comp[], 14, FALSE)</f>
        <v>2</v>
      </c>
      <c r="P178">
        <f>VLOOKUP(Table56[[#This Row],[Shortname]], Comp[], 15, FALSE)</f>
        <v>0</v>
      </c>
      <c r="Q178">
        <f>VLOOKUP(Table56[[#This Row],[Shortname]], Comp[], 16, FALSE)</f>
        <v>5</v>
      </c>
      <c r="R178">
        <f>VLOOKUP(Table56[[#This Row],[Shortname]], Comp[], 17, FALSE)</f>
        <v>0</v>
      </c>
      <c r="S178">
        <f>VLOOKUP(Table56[[#This Row],[Shortname]], Comp[], 18, FALSE)</f>
        <v>0</v>
      </c>
      <c r="T178">
        <f>VLOOKUP(Table56[[#This Row],[Shortname]], Comp[], 19, FALSE)</f>
        <v>0</v>
      </c>
      <c r="U178">
        <f>VLOOKUP(Table56[[#This Row],[Shortname]], Comp[], 20, FALSE)</f>
        <v>0</v>
      </c>
      <c r="V178">
        <f>VLOOKUP(Table56[[#This Row],[Shortname]], Comp[], 21, FALSE)</f>
        <v>0</v>
      </c>
      <c r="W178">
        <f>VLOOKUP(Table56[[#This Row],[Shortname]], Comp[], 22, FALSE)</f>
        <v>0</v>
      </c>
      <c r="X178">
        <f>VLOOKUP(Table56[[#This Row],[Shortname]], Comp[], 23, FALSE)</f>
        <v>0</v>
      </c>
      <c r="Y178">
        <f>VLOOKUP(Table56[[#This Row],[Shortname]], Comp[], 24, FALSE)</f>
        <v>0</v>
      </c>
      <c r="Z178">
        <f>VLOOKUP(Table56[[#This Row],[Shortname]], Comp[], 25, FALSE)</f>
        <v>0</v>
      </c>
      <c r="AA178">
        <f>VLOOKUP(Table56[[#This Row],[Shortname]], Comp[], 26, FALSE)</f>
        <v>0</v>
      </c>
      <c r="AB178">
        <f>VLOOKUP(Table56[[#This Row],[Shortname]], Comp[], 27, FALSE)</f>
        <v>0</v>
      </c>
      <c r="AC178">
        <f>VLOOKUP(Table56[[#This Row],[Shortname]], Comp[], 28, FALSE)</f>
        <v>0</v>
      </c>
      <c r="AD178">
        <f>VLOOKUP(Table56[[#This Row],[Shortname]], Comp[], 29, FALSE)</f>
        <v>0</v>
      </c>
      <c r="AE178">
        <f>VLOOKUP(Table56[[#This Row],[Shortname]], Comp[], 30, FALSE)</f>
        <v>0</v>
      </c>
      <c r="AF178">
        <f>VLOOKUP(Table56[[#This Row],[Shortname]], Comp[], 31, FALSE)</f>
        <v>0</v>
      </c>
    </row>
    <row r="179" spans="1:32" x14ac:dyDescent="0.3">
      <c r="A179" t="s">
        <v>2050</v>
      </c>
      <c r="B179" t="s">
        <v>2052</v>
      </c>
      <c r="C179" t="s">
        <v>6718</v>
      </c>
      <c r="D179">
        <v>1076</v>
      </c>
      <c r="E179">
        <v>1300</v>
      </c>
      <c r="F179">
        <v>1377</v>
      </c>
      <c r="H179" s="14">
        <f>VLOOKUP(Table56[[#This Row],[Shortname]], Comp[], 7, FALSE)</f>
        <v>72</v>
      </c>
      <c r="I179">
        <f>VLOOKUP(Table56[[#This Row],[Shortname]], Comp[], 8, FALSE)</f>
        <v>10</v>
      </c>
      <c r="J179">
        <f>VLOOKUP(Table56[[#This Row],[Shortname]], Comp[], 9, FALSE)</f>
        <v>7</v>
      </c>
      <c r="K179">
        <f>VLOOKUP(Table56[[#This Row],[Shortname]], Comp[], 10, FALSE)</f>
        <v>0</v>
      </c>
      <c r="L179">
        <f>VLOOKUP(Table56[[#This Row],[Shortname]], Comp[], 11, FALSE)</f>
        <v>2</v>
      </c>
      <c r="M179">
        <f>VLOOKUP(Table56[[#This Row],[Shortname]], Comp[],12, FALSE)</f>
        <v>4</v>
      </c>
      <c r="N179">
        <f>VLOOKUP(Table56[[#This Row],[Shortname]], Comp[], 13, FALSE)</f>
        <v>1</v>
      </c>
      <c r="O179">
        <f>VLOOKUP(Table56[[#This Row],[Shortname]], Comp[], 14, FALSE)</f>
        <v>1</v>
      </c>
      <c r="P179">
        <f>VLOOKUP(Table56[[#This Row],[Shortname]], Comp[], 15, FALSE)</f>
        <v>0</v>
      </c>
      <c r="Q179">
        <f>VLOOKUP(Table56[[#This Row],[Shortname]], Comp[], 16, FALSE)</f>
        <v>3</v>
      </c>
      <c r="R179">
        <f>VLOOKUP(Table56[[#This Row],[Shortname]], Comp[], 17, FALSE)</f>
        <v>0</v>
      </c>
      <c r="S179">
        <f>VLOOKUP(Table56[[#This Row],[Shortname]], Comp[], 18, FALSE)</f>
        <v>0</v>
      </c>
      <c r="T179">
        <f>VLOOKUP(Table56[[#This Row],[Shortname]], Comp[], 19, FALSE)</f>
        <v>0</v>
      </c>
      <c r="U179">
        <f>VLOOKUP(Table56[[#This Row],[Shortname]], Comp[], 20, FALSE)</f>
        <v>0</v>
      </c>
      <c r="V179">
        <f>VLOOKUP(Table56[[#This Row],[Shortname]], Comp[], 21, FALSE)</f>
        <v>0</v>
      </c>
      <c r="W179">
        <f>VLOOKUP(Table56[[#This Row],[Shortname]], Comp[], 22, FALSE)</f>
        <v>0</v>
      </c>
      <c r="X179">
        <f>VLOOKUP(Table56[[#This Row],[Shortname]], Comp[], 23, FALSE)</f>
        <v>0</v>
      </c>
      <c r="Y179">
        <f>VLOOKUP(Table56[[#This Row],[Shortname]], Comp[], 24, FALSE)</f>
        <v>0</v>
      </c>
      <c r="Z179">
        <f>VLOOKUP(Table56[[#This Row],[Shortname]], Comp[], 25, FALSE)</f>
        <v>0</v>
      </c>
      <c r="AA179">
        <f>VLOOKUP(Table56[[#This Row],[Shortname]], Comp[], 26, FALSE)</f>
        <v>0</v>
      </c>
      <c r="AB179">
        <f>VLOOKUP(Table56[[#This Row],[Shortname]], Comp[], 27, FALSE)</f>
        <v>0</v>
      </c>
      <c r="AC179">
        <f>VLOOKUP(Table56[[#This Row],[Shortname]], Comp[], 28, FALSE)</f>
        <v>0</v>
      </c>
      <c r="AD179">
        <f>VLOOKUP(Table56[[#This Row],[Shortname]], Comp[], 29, FALSE)</f>
        <v>0</v>
      </c>
      <c r="AE179">
        <f>VLOOKUP(Table56[[#This Row],[Shortname]], Comp[], 30, FALSE)</f>
        <v>0</v>
      </c>
      <c r="AF179">
        <f>VLOOKUP(Table56[[#This Row],[Shortname]], Comp[], 31, FALSE)</f>
        <v>0</v>
      </c>
    </row>
    <row r="180" spans="1:32" x14ac:dyDescent="0.3">
      <c r="A180" t="s">
        <v>2038</v>
      </c>
      <c r="B180" t="s">
        <v>2040</v>
      </c>
      <c r="C180" t="s">
        <v>6718</v>
      </c>
      <c r="D180">
        <v>1033</v>
      </c>
      <c r="E180">
        <v>1294</v>
      </c>
      <c r="F180">
        <v>1367</v>
      </c>
      <c r="H180" s="14">
        <f>VLOOKUP(Table56[[#This Row],[Shortname]], Comp[], 7, FALSE)</f>
        <v>72</v>
      </c>
      <c r="I180">
        <f>VLOOKUP(Table56[[#This Row],[Shortname]], Comp[], 8, FALSE)</f>
        <v>10</v>
      </c>
      <c r="J180">
        <f>VLOOKUP(Table56[[#This Row],[Shortname]], Comp[], 9, FALSE)</f>
        <v>7</v>
      </c>
      <c r="K180">
        <f>VLOOKUP(Table56[[#This Row],[Shortname]], Comp[], 10, FALSE)</f>
        <v>0</v>
      </c>
      <c r="L180">
        <f>VLOOKUP(Table56[[#This Row],[Shortname]], Comp[], 11, FALSE)</f>
        <v>0</v>
      </c>
      <c r="M180">
        <f>VLOOKUP(Table56[[#This Row],[Shortname]], Comp[],12, FALSE)</f>
        <v>4</v>
      </c>
      <c r="N180">
        <f>VLOOKUP(Table56[[#This Row],[Shortname]], Comp[], 13, FALSE)</f>
        <v>1</v>
      </c>
      <c r="O180">
        <f>VLOOKUP(Table56[[#This Row],[Shortname]], Comp[], 14, FALSE)</f>
        <v>1</v>
      </c>
      <c r="P180">
        <f>VLOOKUP(Table56[[#This Row],[Shortname]], Comp[], 15, FALSE)</f>
        <v>0</v>
      </c>
      <c r="Q180">
        <f>VLOOKUP(Table56[[#This Row],[Shortname]], Comp[], 16, FALSE)</f>
        <v>5</v>
      </c>
      <c r="R180">
        <f>VLOOKUP(Table56[[#This Row],[Shortname]], Comp[], 17, FALSE)</f>
        <v>0</v>
      </c>
      <c r="S180">
        <f>VLOOKUP(Table56[[#This Row],[Shortname]], Comp[], 18, FALSE)</f>
        <v>0</v>
      </c>
      <c r="T180">
        <f>VLOOKUP(Table56[[#This Row],[Shortname]], Comp[], 19, FALSE)</f>
        <v>0</v>
      </c>
      <c r="U180">
        <f>VLOOKUP(Table56[[#This Row],[Shortname]], Comp[], 20, FALSE)</f>
        <v>0</v>
      </c>
      <c r="V180">
        <f>VLOOKUP(Table56[[#This Row],[Shortname]], Comp[], 21, FALSE)</f>
        <v>0</v>
      </c>
      <c r="W180">
        <f>VLOOKUP(Table56[[#This Row],[Shortname]], Comp[], 22, FALSE)</f>
        <v>0</v>
      </c>
      <c r="X180">
        <f>VLOOKUP(Table56[[#This Row],[Shortname]], Comp[], 23, FALSE)</f>
        <v>0</v>
      </c>
      <c r="Y180">
        <f>VLOOKUP(Table56[[#This Row],[Shortname]], Comp[], 24, FALSE)</f>
        <v>0</v>
      </c>
      <c r="Z180">
        <f>VLOOKUP(Table56[[#This Row],[Shortname]], Comp[], 25, FALSE)</f>
        <v>0</v>
      </c>
      <c r="AA180">
        <f>VLOOKUP(Table56[[#This Row],[Shortname]], Comp[], 26, FALSE)</f>
        <v>0</v>
      </c>
      <c r="AB180">
        <f>VLOOKUP(Table56[[#This Row],[Shortname]], Comp[], 27, FALSE)</f>
        <v>0</v>
      </c>
      <c r="AC180">
        <f>VLOOKUP(Table56[[#This Row],[Shortname]], Comp[], 28, FALSE)</f>
        <v>0</v>
      </c>
      <c r="AD180">
        <f>VLOOKUP(Table56[[#This Row],[Shortname]], Comp[], 29, FALSE)</f>
        <v>0</v>
      </c>
      <c r="AE180">
        <f>VLOOKUP(Table56[[#This Row],[Shortname]], Comp[], 30, FALSE)</f>
        <v>0</v>
      </c>
      <c r="AF180">
        <f>VLOOKUP(Table56[[#This Row],[Shortname]], Comp[], 31, FALSE)</f>
        <v>0</v>
      </c>
    </row>
    <row r="181" spans="1:32" x14ac:dyDescent="0.3">
      <c r="A181" t="s">
        <v>2026</v>
      </c>
      <c r="B181" t="s">
        <v>2028</v>
      </c>
      <c r="C181" t="s">
        <v>6718</v>
      </c>
      <c r="D181">
        <v>1021</v>
      </c>
      <c r="E181">
        <v>1277</v>
      </c>
      <c r="F181">
        <v>1360</v>
      </c>
      <c r="H181" s="14">
        <f>VLOOKUP(Table56[[#This Row],[Shortname]], Comp[], 7, FALSE)</f>
        <v>72</v>
      </c>
      <c r="I181">
        <f>VLOOKUP(Table56[[#This Row],[Shortname]], Comp[], 8, FALSE)</f>
        <v>10</v>
      </c>
      <c r="J181">
        <f>VLOOKUP(Table56[[#This Row],[Shortname]], Comp[], 9, FALSE)</f>
        <v>7</v>
      </c>
      <c r="K181">
        <f>VLOOKUP(Table56[[#This Row],[Shortname]], Comp[], 10, FALSE)</f>
        <v>0</v>
      </c>
      <c r="L181">
        <f>VLOOKUP(Table56[[#This Row],[Shortname]], Comp[], 11, FALSE)</f>
        <v>0</v>
      </c>
      <c r="M181">
        <f>VLOOKUP(Table56[[#This Row],[Shortname]], Comp[],12, FALSE)</f>
        <v>4</v>
      </c>
      <c r="N181">
        <f>VLOOKUP(Table56[[#This Row],[Shortname]], Comp[], 13, FALSE)</f>
        <v>0</v>
      </c>
      <c r="O181">
        <f>VLOOKUP(Table56[[#This Row],[Shortname]], Comp[], 14, FALSE)</f>
        <v>2</v>
      </c>
      <c r="P181">
        <f>VLOOKUP(Table56[[#This Row],[Shortname]], Comp[], 15, FALSE)</f>
        <v>0</v>
      </c>
      <c r="Q181">
        <f>VLOOKUP(Table56[[#This Row],[Shortname]], Comp[], 16, FALSE)</f>
        <v>5</v>
      </c>
      <c r="R181">
        <f>VLOOKUP(Table56[[#This Row],[Shortname]], Comp[], 17, FALSE)</f>
        <v>0</v>
      </c>
      <c r="S181">
        <f>VLOOKUP(Table56[[#This Row],[Shortname]], Comp[], 18, FALSE)</f>
        <v>0</v>
      </c>
      <c r="T181">
        <f>VLOOKUP(Table56[[#This Row],[Shortname]], Comp[], 19, FALSE)</f>
        <v>0</v>
      </c>
      <c r="U181">
        <f>VLOOKUP(Table56[[#This Row],[Shortname]], Comp[], 20, FALSE)</f>
        <v>0</v>
      </c>
      <c r="V181">
        <f>VLOOKUP(Table56[[#This Row],[Shortname]], Comp[], 21, FALSE)</f>
        <v>0</v>
      </c>
      <c r="W181">
        <f>VLOOKUP(Table56[[#This Row],[Shortname]], Comp[], 22, FALSE)</f>
        <v>0</v>
      </c>
      <c r="X181">
        <f>VLOOKUP(Table56[[#This Row],[Shortname]], Comp[], 23, FALSE)</f>
        <v>0</v>
      </c>
      <c r="Y181">
        <f>VLOOKUP(Table56[[#This Row],[Shortname]], Comp[], 24, FALSE)</f>
        <v>0</v>
      </c>
      <c r="Z181">
        <f>VLOOKUP(Table56[[#This Row],[Shortname]], Comp[], 25, FALSE)</f>
        <v>0</v>
      </c>
      <c r="AA181">
        <f>VLOOKUP(Table56[[#This Row],[Shortname]], Comp[], 26, FALSE)</f>
        <v>0</v>
      </c>
      <c r="AB181">
        <f>VLOOKUP(Table56[[#This Row],[Shortname]], Comp[], 27, FALSE)</f>
        <v>0</v>
      </c>
      <c r="AC181">
        <f>VLOOKUP(Table56[[#This Row],[Shortname]], Comp[], 28, FALSE)</f>
        <v>0</v>
      </c>
      <c r="AD181">
        <f>VLOOKUP(Table56[[#This Row],[Shortname]], Comp[], 29, FALSE)</f>
        <v>0</v>
      </c>
      <c r="AE181">
        <f>VLOOKUP(Table56[[#This Row],[Shortname]], Comp[], 30, FALSE)</f>
        <v>0</v>
      </c>
      <c r="AF181">
        <f>VLOOKUP(Table56[[#This Row],[Shortname]], Comp[], 31, FALSE)</f>
        <v>0</v>
      </c>
    </row>
    <row r="182" spans="1:32" x14ac:dyDescent="0.3">
      <c r="A182" t="s">
        <v>2077</v>
      </c>
      <c r="B182" t="s">
        <v>2079</v>
      </c>
      <c r="C182" t="s">
        <v>6610</v>
      </c>
      <c r="D182">
        <v>1085</v>
      </c>
      <c r="F182">
        <v>1222</v>
      </c>
      <c r="G182" t="s">
        <v>6712</v>
      </c>
      <c r="H182" s="14">
        <f>VLOOKUP(Table56[[#This Row],[Shortname]], Comp[], 7, FALSE)</f>
        <v>83</v>
      </c>
      <c r="I182">
        <f>VLOOKUP(Table56[[#This Row],[Shortname]], Comp[], 8, FALSE)</f>
        <v>0</v>
      </c>
      <c r="J182">
        <f>VLOOKUP(Table56[[#This Row],[Shortname]], Comp[], 9, FALSE)</f>
        <v>0</v>
      </c>
      <c r="K182">
        <f>VLOOKUP(Table56[[#This Row],[Shortname]], Comp[], 10, FALSE)</f>
        <v>0</v>
      </c>
      <c r="L182">
        <f>VLOOKUP(Table56[[#This Row],[Shortname]], Comp[], 11, FALSE)</f>
        <v>0</v>
      </c>
      <c r="M182">
        <f>VLOOKUP(Table56[[#This Row],[Shortname]], Comp[],12, FALSE)</f>
        <v>12</v>
      </c>
      <c r="N182">
        <f>VLOOKUP(Table56[[#This Row],[Shortname]], Comp[], 13, FALSE)</f>
        <v>0</v>
      </c>
      <c r="O182">
        <f>VLOOKUP(Table56[[#This Row],[Shortname]], Comp[], 14, FALSE)</f>
        <v>0</v>
      </c>
      <c r="P182">
        <f>VLOOKUP(Table56[[#This Row],[Shortname]], Comp[], 15, FALSE)</f>
        <v>0</v>
      </c>
      <c r="Q182">
        <f>VLOOKUP(Table56[[#This Row],[Shortname]], Comp[], 16, FALSE)</f>
        <v>0</v>
      </c>
      <c r="R182">
        <f>VLOOKUP(Table56[[#This Row],[Shortname]], Comp[], 17, FALSE)</f>
        <v>0</v>
      </c>
      <c r="S182">
        <f>VLOOKUP(Table56[[#This Row],[Shortname]], Comp[], 18, FALSE)</f>
        <v>0</v>
      </c>
      <c r="T182">
        <f>VLOOKUP(Table56[[#This Row],[Shortname]], Comp[], 19, FALSE)</f>
        <v>0</v>
      </c>
      <c r="U182">
        <f>VLOOKUP(Table56[[#This Row],[Shortname]], Comp[], 20, FALSE)</f>
        <v>0</v>
      </c>
      <c r="V182">
        <f>VLOOKUP(Table56[[#This Row],[Shortname]], Comp[], 21, FALSE)</f>
        <v>5</v>
      </c>
      <c r="W182">
        <f>VLOOKUP(Table56[[#This Row],[Shortname]], Comp[], 22, FALSE)</f>
        <v>0</v>
      </c>
      <c r="X182">
        <f>VLOOKUP(Table56[[#This Row],[Shortname]], Comp[], 23, FALSE)</f>
        <v>0</v>
      </c>
      <c r="Y182">
        <f>VLOOKUP(Table56[[#This Row],[Shortname]], Comp[], 24, FALSE)</f>
        <v>0</v>
      </c>
      <c r="Z182">
        <f>VLOOKUP(Table56[[#This Row],[Shortname]], Comp[], 25, FALSE)</f>
        <v>0</v>
      </c>
      <c r="AA182">
        <f>VLOOKUP(Table56[[#This Row],[Shortname]], Comp[], 26, FALSE)</f>
        <v>0</v>
      </c>
      <c r="AB182">
        <f>VLOOKUP(Table56[[#This Row],[Shortname]], Comp[], 27, FALSE)</f>
        <v>0</v>
      </c>
      <c r="AC182">
        <f>VLOOKUP(Table56[[#This Row],[Shortname]], Comp[], 28, FALSE)</f>
        <v>0</v>
      </c>
      <c r="AD182">
        <f>VLOOKUP(Table56[[#This Row],[Shortname]], Comp[], 29, FALSE)</f>
        <v>0</v>
      </c>
      <c r="AE182">
        <f>VLOOKUP(Table56[[#This Row],[Shortname]], Comp[], 30, FALSE)</f>
        <v>0</v>
      </c>
      <c r="AF182">
        <f>VLOOKUP(Table56[[#This Row],[Shortname]], Comp[], 31, FALSE)</f>
        <v>0</v>
      </c>
    </row>
    <row r="183" spans="1:32" x14ac:dyDescent="0.3">
      <c r="A183" t="s">
        <v>2070</v>
      </c>
      <c r="B183" t="s">
        <v>2072</v>
      </c>
      <c r="C183" t="s">
        <v>6610</v>
      </c>
      <c r="D183">
        <v>1073</v>
      </c>
      <c r="F183">
        <v>1214</v>
      </c>
      <c r="G183" t="s">
        <v>6712</v>
      </c>
      <c r="H183" s="14">
        <f>VLOOKUP(Table56[[#This Row],[Shortname]], Comp[], 7, FALSE)</f>
        <v>85</v>
      </c>
      <c r="I183">
        <f>VLOOKUP(Table56[[#This Row],[Shortname]], Comp[], 8, FALSE)</f>
        <v>0</v>
      </c>
      <c r="J183">
        <f>VLOOKUP(Table56[[#This Row],[Shortname]], Comp[], 9, FALSE)</f>
        <v>0</v>
      </c>
      <c r="K183">
        <f>VLOOKUP(Table56[[#This Row],[Shortname]], Comp[], 10, FALSE)</f>
        <v>0</v>
      </c>
      <c r="L183">
        <f>VLOOKUP(Table56[[#This Row],[Shortname]], Comp[], 11, FALSE)</f>
        <v>0</v>
      </c>
      <c r="M183">
        <f>VLOOKUP(Table56[[#This Row],[Shortname]], Comp[],12, FALSE)</f>
        <v>12</v>
      </c>
      <c r="N183">
        <f>VLOOKUP(Table56[[#This Row],[Shortname]], Comp[], 13, FALSE)</f>
        <v>0</v>
      </c>
      <c r="O183">
        <f>VLOOKUP(Table56[[#This Row],[Shortname]], Comp[], 14, FALSE)</f>
        <v>0</v>
      </c>
      <c r="P183">
        <f>VLOOKUP(Table56[[#This Row],[Shortname]], Comp[], 15, FALSE)</f>
        <v>0</v>
      </c>
      <c r="Q183">
        <f>VLOOKUP(Table56[[#This Row],[Shortname]], Comp[], 16, FALSE)</f>
        <v>0</v>
      </c>
      <c r="R183">
        <f>VLOOKUP(Table56[[#This Row],[Shortname]], Comp[], 17, FALSE)</f>
        <v>0</v>
      </c>
      <c r="S183">
        <f>VLOOKUP(Table56[[#This Row],[Shortname]], Comp[], 18, FALSE)</f>
        <v>0</v>
      </c>
      <c r="T183">
        <f>VLOOKUP(Table56[[#This Row],[Shortname]], Comp[], 19, FALSE)</f>
        <v>0</v>
      </c>
      <c r="U183">
        <f>VLOOKUP(Table56[[#This Row],[Shortname]], Comp[], 20, FALSE)</f>
        <v>0</v>
      </c>
      <c r="V183">
        <f>VLOOKUP(Table56[[#This Row],[Shortname]], Comp[], 21, FALSE)</f>
        <v>3</v>
      </c>
      <c r="W183">
        <f>VLOOKUP(Table56[[#This Row],[Shortname]], Comp[], 22, FALSE)</f>
        <v>0</v>
      </c>
      <c r="X183">
        <f>VLOOKUP(Table56[[#This Row],[Shortname]], Comp[], 23, FALSE)</f>
        <v>0</v>
      </c>
      <c r="Y183">
        <f>VLOOKUP(Table56[[#This Row],[Shortname]], Comp[], 24, FALSE)</f>
        <v>0</v>
      </c>
      <c r="Z183">
        <f>VLOOKUP(Table56[[#This Row],[Shortname]], Comp[], 25, FALSE)</f>
        <v>0</v>
      </c>
      <c r="AA183">
        <f>VLOOKUP(Table56[[#This Row],[Shortname]], Comp[], 26, FALSE)</f>
        <v>0</v>
      </c>
      <c r="AB183">
        <f>VLOOKUP(Table56[[#This Row],[Shortname]], Comp[], 27, FALSE)</f>
        <v>0</v>
      </c>
      <c r="AC183">
        <f>VLOOKUP(Table56[[#This Row],[Shortname]], Comp[], 28, FALSE)</f>
        <v>0</v>
      </c>
      <c r="AD183">
        <f>VLOOKUP(Table56[[#This Row],[Shortname]], Comp[], 29, FALSE)</f>
        <v>0</v>
      </c>
      <c r="AE183">
        <f>VLOOKUP(Table56[[#This Row],[Shortname]], Comp[], 30, FALSE)</f>
        <v>0</v>
      </c>
      <c r="AF183">
        <f>VLOOKUP(Table56[[#This Row],[Shortname]], Comp[], 31, FALSE)</f>
        <v>0</v>
      </c>
    </row>
    <row r="184" spans="1:32" x14ac:dyDescent="0.3">
      <c r="A184" s="7" t="s">
        <v>2062</v>
      </c>
      <c r="B184" s="7" t="s">
        <v>2064</v>
      </c>
      <c r="C184" t="s">
        <v>6610</v>
      </c>
      <c r="D184">
        <v>1059</v>
      </c>
      <c r="F184">
        <v>1203</v>
      </c>
      <c r="G184" t="s">
        <v>6712</v>
      </c>
      <c r="H184" s="14">
        <f>VLOOKUP(Table56[[#This Row],[Shortname]], Comp[], 7, FALSE)</f>
        <v>87</v>
      </c>
      <c r="I184">
        <f>VLOOKUP(Table56[[#This Row],[Shortname]], Comp[], 8, FALSE)</f>
        <v>0</v>
      </c>
      <c r="J184">
        <f>VLOOKUP(Table56[[#This Row],[Shortname]], Comp[], 9, FALSE)</f>
        <v>0</v>
      </c>
      <c r="K184">
        <f>VLOOKUP(Table56[[#This Row],[Shortname]], Comp[], 10, FALSE)</f>
        <v>0</v>
      </c>
      <c r="L184">
        <f>VLOOKUP(Table56[[#This Row],[Shortname]], Comp[], 11, FALSE)</f>
        <v>0</v>
      </c>
      <c r="M184">
        <f>VLOOKUP(Table56[[#This Row],[Shortname]], Comp[],12, FALSE)</f>
        <v>12</v>
      </c>
      <c r="N184">
        <f>VLOOKUP(Table56[[#This Row],[Shortname]], Comp[], 13, FALSE)</f>
        <v>0</v>
      </c>
      <c r="O184">
        <f>VLOOKUP(Table56[[#This Row],[Shortname]], Comp[], 14, FALSE)</f>
        <v>0</v>
      </c>
      <c r="P184">
        <f>VLOOKUP(Table56[[#This Row],[Shortname]], Comp[], 15, FALSE)</f>
        <v>0</v>
      </c>
      <c r="Q184">
        <f>VLOOKUP(Table56[[#This Row],[Shortname]], Comp[], 16, FALSE)</f>
        <v>0</v>
      </c>
      <c r="R184">
        <f>VLOOKUP(Table56[[#This Row],[Shortname]], Comp[], 17, FALSE)</f>
        <v>0</v>
      </c>
      <c r="S184">
        <f>VLOOKUP(Table56[[#This Row],[Shortname]], Comp[], 18, FALSE)</f>
        <v>0</v>
      </c>
      <c r="T184">
        <f>VLOOKUP(Table56[[#This Row],[Shortname]], Comp[], 19, FALSE)</f>
        <v>0</v>
      </c>
      <c r="U184">
        <f>VLOOKUP(Table56[[#This Row],[Shortname]], Comp[], 20, FALSE)</f>
        <v>0</v>
      </c>
      <c r="V184">
        <f>VLOOKUP(Table56[[#This Row],[Shortname]], Comp[], 21, FALSE)</f>
        <v>1</v>
      </c>
      <c r="W184">
        <f>VLOOKUP(Table56[[#This Row],[Shortname]], Comp[], 22, FALSE)</f>
        <v>0</v>
      </c>
      <c r="X184">
        <f>VLOOKUP(Table56[[#This Row],[Shortname]], Comp[], 23, FALSE)</f>
        <v>0</v>
      </c>
      <c r="Y184">
        <f>VLOOKUP(Table56[[#This Row],[Shortname]], Comp[], 24, FALSE)</f>
        <v>0</v>
      </c>
      <c r="Z184">
        <f>VLOOKUP(Table56[[#This Row],[Shortname]], Comp[], 25, FALSE)</f>
        <v>0</v>
      </c>
      <c r="AA184">
        <f>VLOOKUP(Table56[[#This Row],[Shortname]], Comp[], 26, FALSE)</f>
        <v>0</v>
      </c>
      <c r="AB184">
        <f>VLOOKUP(Table56[[#This Row],[Shortname]], Comp[], 27, FALSE)</f>
        <v>0</v>
      </c>
      <c r="AC184">
        <f>VLOOKUP(Table56[[#This Row],[Shortname]], Comp[], 28, FALSE)</f>
        <v>0</v>
      </c>
      <c r="AD184">
        <f>VLOOKUP(Table56[[#This Row],[Shortname]], Comp[], 29, FALSE)</f>
        <v>0</v>
      </c>
      <c r="AE184">
        <f>VLOOKUP(Table56[[#This Row],[Shortname]], Comp[], 30, FALSE)</f>
        <v>0</v>
      </c>
      <c r="AF184">
        <f>VLOOKUP(Table56[[#This Row],[Shortname]], Comp[], 31, FALSE)</f>
        <v>0</v>
      </c>
    </row>
    <row r="185" spans="1:32" x14ac:dyDescent="0.3">
      <c r="A185" s="7" t="s">
        <v>2154</v>
      </c>
      <c r="B185" s="7" t="s">
        <v>2156</v>
      </c>
      <c r="C185" t="s">
        <v>6720</v>
      </c>
      <c r="D185">
        <v>998.36</v>
      </c>
      <c r="E185">
        <v>1420</v>
      </c>
      <c r="F185">
        <v>1441</v>
      </c>
      <c r="H185" s="14">
        <f>VLOOKUP(Table56[[#This Row],[Shortname]], Comp[], 7, FALSE)</f>
        <v>78.8</v>
      </c>
      <c r="I185">
        <f>VLOOKUP(Table56[[#This Row],[Shortname]], Comp[], 8, FALSE)</f>
        <v>0</v>
      </c>
      <c r="J185">
        <f>VLOOKUP(Table56[[#This Row],[Shortname]], Comp[], 9, FALSE)</f>
        <v>9.1999999999999993</v>
      </c>
      <c r="K185">
        <f>VLOOKUP(Table56[[#This Row],[Shortname]], Comp[], 10, FALSE)</f>
        <v>2.5</v>
      </c>
      <c r="L185">
        <f>VLOOKUP(Table56[[#This Row],[Shortname]], Comp[], 11, FALSE)</f>
        <v>9</v>
      </c>
      <c r="M185">
        <f>VLOOKUP(Table56[[#This Row],[Shortname]], Comp[],12, FALSE)</f>
        <v>0</v>
      </c>
      <c r="N185">
        <f>VLOOKUP(Table56[[#This Row],[Shortname]], Comp[], 13, FALSE)</f>
        <v>0</v>
      </c>
      <c r="O185">
        <f>VLOOKUP(Table56[[#This Row],[Shortname]], Comp[], 14, FALSE)</f>
        <v>0</v>
      </c>
      <c r="P185">
        <f>VLOOKUP(Table56[[#This Row],[Shortname]], Comp[], 15, FALSE)</f>
        <v>0</v>
      </c>
      <c r="Q185">
        <f>VLOOKUP(Table56[[#This Row],[Shortname]], Comp[], 16, FALSE)</f>
        <v>0</v>
      </c>
      <c r="R185">
        <f>VLOOKUP(Table56[[#This Row],[Shortname]], Comp[], 17, FALSE)</f>
        <v>0.5</v>
      </c>
      <c r="S185">
        <f>VLOOKUP(Table56[[#This Row],[Shortname]], Comp[], 18, FALSE)</f>
        <v>0</v>
      </c>
      <c r="T185">
        <f>VLOOKUP(Table56[[#This Row],[Shortname]], Comp[], 19, FALSE)</f>
        <v>0</v>
      </c>
      <c r="U185">
        <f>VLOOKUP(Table56[[#This Row],[Shortname]], Comp[], 20, FALSE)</f>
        <v>0</v>
      </c>
      <c r="V185">
        <f>VLOOKUP(Table56[[#This Row],[Shortname]], Comp[], 21, FALSE)</f>
        <v>0</v>
      </c>
      <c r="W185">
        <f>VLOOKUP(Table56[[#This Row],[Shortname]], Comp[], 22, FALSE)</f>
        <v>0</v>
      </c>
      <c r="X185">
        <f>VLOOKUP(Table56[[#This Row],[Shortname]], Comp[], 23, FALSE)</f>
        <v>0</v>
      </c>
      <c r="Y185">
        <f>VLOOKUP(Table56[[#This Row],[Shortname]], Comp[], 24, FALSE)</f>
        <v>0</v>
      </c>
      <c r="Z185">
        <f>VLOOKUP(Table56[[#This Row],[Shortname]], Comp[], 25, FALSE)</f>
        <v>0</v>
      </c>
      <c r="AA185">
        <f>VLOOKUP(Table56[[#This Row],[Shortname]], Comp[], 26, FALSE)</f>
        <v>0</v>
      </c>
      <c r="AB185">
        <f>VLOOKUP(Table56[[#This Row],[Shortname]], Comp[], 27, FALSE)</f>
        <v>0</v>
      </c>
      <c r="AC185">
        <f>VLOOKUP(Table56[[#This Row],[Shortname]], Comp[], 28, FALSE)</f>
        <v>0</v>
      </c>
      <c r="AD185">
        <f>VLOOKUP(Table56[[#This Row],[Shortname]], Comp[], 29, FALSE)</f>
        <v>0</v>
      </c>
      <c r="AE185">
        <f>VLOOKUP(Table56[[#This Row],[Shortname]], Comp[], 30, FALSE)</f>
        <v>0</v>
      </c>
      <c r="AF185">
        <f>VLOOKUP(Table56[[#This Row],[Shortname]], Comp[], 31, FALSE)</f>
        <v>0</v>
      </c>
    </row>
    <row r="186" spans="1:32" x14ac:dyDescent="0.3">
      <c r="A186" t="s">
        <v>2163</v>
      </c>
      <c r="B186" t="s">
        <v>2165</v>
      </c>
      <c r="C186" t="s">
        <v>6720</v>
      </c>
      <c r="D186">
        <v>972.15</v>
      </c>
      <c r="E186">
        <v>1416</v>
      </c>
      <c r="F186">
        <v>1434</v>
      </c>
      <c r="H186" s="14">
        <f>VLOOKUP(Table56[[#This Row],[Shortname]], Comp[], 7, FALSE)</f>
        <v>76.3</v>
      </c>
      <c r="I186">
        <f>VLOOKUP(Table56[[#This Row],[Shortname]], Comp[], 8, FALSE)</f>
        <v>0</v>
      </c>
      <c r="J186">
        <f>VLOOKUP(Table56[[#This Row],[Shortname]], Comp[], 9, FALSE)</f>
        <v>9.1999999999999993</v>
      </c>
      <c r="K186">
        <f>VLOOKUP(Table56[[#This Row],[Shortname]], Comp[], 10, FALSE)</f>
        <v>5</v>
      </c>
      <c r="L186">
        <f>VLOOKUP(Table56[[#This Row],[Shortname]], Comp[], 11, FALSE)</f>
        <v>9</v>
      </c>
      <c r="M186">
        <f>VLOOKUP(Table56[[#This Row],[Shortname]], Comp[],12, FALSE)</f>
        <v>0</v>
      </c>
      <c r="N186">
        <f>VLOOKUP(Table56[[#This Row],[Shortname]], Comp[], 13, FALSE)</f>
        <v>0</v>
      </c>
      <c r="O186">
        <f>VLOOKUP(Table56[[#This Row],[Shortname]], Comp[], 14, FALSE)</f>
        <v>0</v>
      </c>
      <c r="P186">
        <f>VLOOKUP(Table56[[#This Row],[Shortname]], Comp[], 15, FALSE)</f>
        <v>0</v>
      </c>
      <c r="Q186">
        <f>VLOOKUP(Table56[[#This Row],[Shortname]], Comp[], 16, FALSE)</f>
        <v>0</v>
      </c>
      <c r="R186">
        <f>VLOOKUP(Table56[[#This Row],[Shortname]], Comp[], 17, FALSE)</f>
        <v>0.5</v>
      </c>
      <c r="S186">
        <f>VLOOKUP(Table56[[#This Row],[Shortname]], Comp[], 18, FALSE)</f>
        <v>0</v>
      </c>
      <c r="T186">
        <f>VLOOKUP(Table56[[#This Row],[Shortname]], Comp[], 19, FALSE)</f>
        <v>0</v>
      </c>
      <c r="U186">
        <f>VLOOKUP(Table56[[#This Row],[Shortname]], Comp[], 20, FALSE)</f>
        <v>0</v>
      </c>
      <c r="V186">
        <f>VLOOKUP(Table56[[#This Row],[Shortname]], Comp[], 21, FALSE)</f>
        <v>0</v>
      </c>
      <c r="W186">
        <f>VLOOKUP(Table56[[#This Row],[Shortname]], Comp[], 22, FALSE)</f>
        <v>0</v>
      </c>
      <c r="X186">
        <f>VLOOKUP(Table56[[#This Row],[Shortname]], Comp[], 23, FALSE)</f>
        <v>0</v>
      </c>
      <c r="Y186">
        <f>VLOOKUP(Table56[[#This Row],[Shortname]], Comp[], 24, FALSE)</f>
        <v>0</v>
      </c>
      <c r="Z186">
        <f>VLOOKUP(Table56[[#This Row],[Shortname]], Comp[], 25, FALSE)</f>
        <v>0</v>
      </c>
      <c r="AA186">
        <f>VLOOKUP(Table56[[#This Row],[Shortname]], Comp[], 26, FALSE)</f>
        <v>0</v>
      </c>
      <c r="AB186">
        <f>VLOOKUP(Table56[[#This Row],[Shortname]], Comp[], 27, FALSE)</f>
        <v>0</v>
      </c>
      <c r="AC186">
        <f>VLOOKUP(Table56[[#This Row],[Shortname]], Comp[], 28, FALSE)</f>
        <v>0</v>
      </c>
      <c r="AD186">
        <f>VLOOKUP(Table56[[#This Row],[Shortname]], Comp[], 29, FALSE)</f>
        <v>0</v>
      </c>
      <c r="AE186">
        <f>VLOOKUP(Table56[[#This Row],[Shortname]], Comp[], 30, FALSE)</f>
        <v>0</v>
      </c>
      <c r="AF186">
        <f>VLOOKUP(Table56[[#This Row],[Shortname]], Comp[], 31, FALSE)</f>
        <v>0</v>
      </c>
    </row>
    <row r="187" spans="1:32" x14ac:dyDescent="0.3">
      <c r="A187" t="s">
        <v>2169</v>
      </c>
      <c r="B187" t="s">
        <v>2171</v>
      </c>
      <c r="C187" t="s">
        <v>6720</v>
      </c>
      <c r="D187">
        <v>967.13</v>
      </c>
      <c r="E187">
        <v>1377</v>
      </c>
      <c r="F187">
        <v>1388</v>
      </c>
      <c r="H187" s="14">
        <f>VLOOKUP(Table56[[#This Row],[Shortname]], Comp[], 7, FALSE)</f>
        <v>73.8</v>
      </c>
      <c r="I187">
        <f>VLOOKUP(Table56[[#This Row],[Shortname]], Comp[], 8, FALSE)</f>
        <v>0</v>
      </c>
      <c r="J187">
        <f>VLOOKUP(Table56[[#This Row],[Shortname]], Comp[], 9, FALSE)</f>
        <v>9.1999999999999993</v>
      </c>
      <c r="K187">
        <f>VLOOKUP(Table56[[#This Row],[Shortname]], Comp[], 10, FALSE)</f>
        <v>7.5</v>
      </c>
      <c r="L187">
        <f>VLOOKUP(Table56[[#This Row],[Shortname]], Comp[], 11, FALSE)</f>
        <v>9</v>
      </c>
      <c r="M187">
        <f>VLOOKUP(Table56[[#This Row],[Shortname]], Comp[],12, FALSE)</f>
        <v>0</v>
      </c>
      <c r="N187">
        <f>VLOOKUP(Table56[[#This Row],[Shortname]], Comp[], 13, FALSE)</f>
        <v>0</v>
      </c>
      <c r="O187">
        <f>VLOOKUP(Table56[[#This Row],[Shortname]], Comp[], 14, FALSE)</f>
        <v>0</v>
      </c>
      <c r="P187">
        <f>VLOOKUP(Table56[[#This Row],[Shortname]], Comp[], 15, FALSE)</f>
        <v>0</v>
      </c>
      <c r="Q187">
        <f>VLOOKUP(Table56[[#This Row],[Shortname]], Comp[], 16, FALSE)</f>
        <v>0</v>
      </c>
      <c r="R187">
        <f>VLOOKUP(Table56[[#This Row],[Shortname]], Comp[], 17, FALSE)</f>
        <v>0.5</v>
      </c>
      <c r="S187">
        <f>VLOOKUP(Table56[[#This Row],[Shortname]], Comp[], 18, FALSE)</f>
        <v>0</v>
      </c>
      <c r="T187">
        <f>VLOOKUP(Table56[[#This Row],[Shortname]], Comp[], 19, FALSE)</f>
        <v>0</v>
      </c>
      <c r="U187">
        <f>VLOOKUP(Table56[[#This Row],[Shortname]], Comp[], 20, FALSE)</f>
        <v>0</v>
      </c>
      <c r="V187">
        <f>VLOOKUP(Table56[[#This Row],[Shortname]], Comp[], 21, FALSE)</f>
        <v>0</v>
      </c>
      <c r="W187">
        <f>VLOOKUP(Table56[[#This Row],[Shortname]], Comp[], 22, FALSE)</f>
        <v>0</v>
      </c>
      <c r="X187">
        <f>VLOOKUP(Table56[[#This Row],[Shortname]], Comp[], 23, FALSE)</f>
        <v>0</v>
      </c>
      <c r="Y187">
        <f>VLOOKUP(Table56[[#This Row],[Shortname]], Comp[], 24, FALSE)</f>
        <v>0</v>
      </c>
      <c r="Z187">
        <f>VLOOKUP(Table56[[#This Row],[Shortname]], Comp[], 25, FALSE)</f>
        <v>0</v>
      </c>
      <c r="AA187">
        <f>VLOOKUP(Table56[[#This Row],[Shortname]], Comp[], 26, FALSE)</f>
        <v>0</v>
      </c>
      <c r="AB187">
        <f>VLOOKUP(Table56[[#This Row],[Shortname]], Comp[], 27, FALSE)</f>
        <v>0</v>
      </c>
      <c r="AC187">
        <f>VLOOKUP(Table56[[#This Row],[Shortname]], Comp[], 28, FALSE)</f>
        <v>0</v>
      </c>
      <c r="AD187">
        <f>VLOOKUP(Table56[[#This Row],[Shortname]], Comp[], 29, FALSE)</f>
        <v>0</v>
      </c>
      <c r="AE187">
        <f>VLOOKUP(Table56[[#This Row],[Shortname]], Comp[], 30, FALSE)</f>
        <v>0</v>
      </c>
      <c r="AF187">
        <f>VLOOKUP(Table56[[#This Row],[Shortname]], Comp[], 31, FALSE)</f>
        <v>0</v>
      </c>
    </row>
    <row r="188" spans="1:32" x14ac:dyDescent="0.3">
      <c r="A188" s="7" t="s">
        <v>2190</v>
      </c>
      <c r="B188" s="7" t="s">
        <v>1475</v>
      </c>
      <c r="C188" s="21" t="s">
        <v>6721</v>
      </c>
      <c r="D188">
        <v>1103</v>
      </c>
      <c r="F188">
        <v>1366</v>
      </c>
      <c r="H188" s="14">
        <f>VLOOKUP(Table56[[#This Row],[Shortname]], Comp[], 7, FALSE)</f>
        <v>58.945736155988662</v>
      </c>
      <c r="I188">
        <f>VLOOKUP(Table56[[#This Row],[Shortname]], Comp[], 8, FALSE)</f>
        <v>16.016412425311604</v>
      </c>
      <c r="J188">
        <f>VLOOKUP(Table56[[#This Row],[Shortname]], Comp[], 9, FALSE)</f>
        <v>9.2906509967515536</v>
      </c>
      <c r="K188">
        <f>VLOOKUP(Table56[[#This Row],[Shortname]], Comp[], 10, FALSE)</f>
        <v>6.0264334082032844</v>
      </c>
      <c r="L188">
        <f>VLOOKUP(Table56[[#This Row],[Shortname]], Comp[], 11, FALSE)</f>
        <v>3.4089472529692992</v>
      </c>
      <c r="M188">
        <f>VLOOKUP(Table56[[#This Row],[Shortname]], Comp[],12, FALSE)</f>
        <v>2.61441267776011</v>
      </c>
      <c r="N188">
        <f>VLOOKUP(Table56[[#This Row],[Shortname]], Comp[], 13, FALSE)</f>
        <v>2.7707139562790877</v>
      </c>
      <c r="O188">
        <f>VLOOKUP(Table56[[#This Row],[Shortname]], Comp[], 14, FALSE)</f>
        <v>0</v>
      </c>
      <c r="P188">
        <f>VLOOKUP(Table56[[#This Row],[Shortname]], Comp[], 15, FALSE)</f>
        <v>0</v>
      </c>
      <c r="Q188">
        <f>VLOOKUP(Table56[[#This Row],[Shortname]], Comp[], 16, FALSE)</f>
        <v>0</v>
      </c>
      <c r="R188">
        <f>VLOOKUP(Table56[[#This Row],[Shortname]], Comp[], 17, FALSE)</f>
        <v>0.26088621388139049</v>
      </c>
      <c r="S188">
        <f>VLOOKUP(Table56[[#This Row],[Shortname]], Comp[], 18, FALSE)</f>
        <v>0</v>
      </c>
      <c r="T188">
        <f>VLOOKUP(Table56[[#This Row],[Shortname]], Comp[], 19, FALSE)</f>
        <v>0.13913802693488458</v>
      </c>
      <c r="U188">
        <f>VLOOKUP(Table56[[#This Row],[Shortname]], Comp[], 20, FALSE)</f>
        <v>0</v>
      </c>
      <c r="V188">
        <f>VLOOKUP(Table56[[#This Row],[Shortname]], Comp[], 21, FALSE)</f>
        <v>0</v>
      </c>
      <c r="W188">
        <f>VLOOKUP(Table56[[#This Row],[Shortname]], Comp[], 22, FALSE)</f>
        <v>0</v>
      </c>
      <c r="X188">
        <f>VLOOKUP(Table56[[#This Row],[Shortname]], Comp[], 23, FALSE)</f>
        <v>0</v>
      </c>
      <c r="Y188">
        <f>VLOOKUP(Table56[[#This Row],[Shortname]], Comp[], 24, FALSE)</f>
        <v>0</v>
      </c>
      <c r="Z188">
        <f>VLOOKUP(Table56[[#This Row],[Shortname]], Comp[], 25, FALSE)</f>
        <v>0.5266688859201154</v>
      </c>
      <c r="AA188">
        <f>VLOOKUP(Table56[[#This Row],[Shortname]], Comp[], 26, FALSE)</f>
        <v>0</v>
      </c>
      <c r="AB188">
        <f>VLOOKUP(Table56[[#This Row],[Shortname]], Comp[], 27, FALSE)</f>
        <v>0</v>
      </c>
      <c r="AC188">
        <f>VLOOKUP(Table56[[#This Row],[Shortname]], Comp[], 28, FALSE)</f>
        <v>0</v>
      </c>
      <c r="AD188">
        <f>VLOOKUP(Table56[[#This Row],[Shortname]], Comp[], 29, FALSE)</f>
        <v>0</v>
      </c>
      <c r="AE188">
        <f>VLOOKUP(Table56[[#This Row],[Shortname]], Comp[], 30, FALSE)</f>
        <v>0</v>
      </c>
      <c r="AF188">
        <f>VLOOKUP(Table56[[#This Row],[Shortname]], Comp[], 31, FALSE)</f>
        <v>0</v>
      </c>
    </row>
    <row r="189" spans="1:32" x14ac:dyDescent="0.3">
      <c r="A189" t="s">
        <v>2176</v>
      </c>
      <c r="B189" t="s">
        <v>2178</v>
      </c>
      <c r="C189" s="21" t="s">
        <v>6721</v>
      </c>
      <c r="D189">
        <v>1085</v>
      </c>
      <c r="F189">
        <v>1355</v>
      </c>
      <c r="H189" s="14">
        <f>VLOOKUP(Table56[[#This Row],[Shortname]], Comp[], 7, FALSE)</f>
        <v>54.751794346763752</v>
      </c>
      <c r="I189">
        <f>VLOOKUP(Table56[[#This Row],[Shortname]], Comp[], 8, FALSE)</f>
        <v>16.351836731071355</v>
      </c>
      <c r="J189">
        <f>VLOOKUP(Table56[[#This Row],[Shortname]], Comp[], 9, FALSE)</f>
        <v>9.4852207966473578</v>
      </c>
      <c r="K189">
        <f>VLOOKUP(Table56[[#This Row],[Shortname]], Comp[], 10, FALSE)</f>
        <v>6.152642211303248</v>
      </c>
      <c r="L189">
        <f>VLOOKUP(Table56[[#This Row],[Shortname]], Comp[], 11, FALSE)</f>
        <v>3.4803392560805455</v>
      </c>
      <c r="M189">
        <f>VLOOKUP(Table56[[#This Row],[Shortname]], Comp[],12, FALSE)</f>
        <v>2.6691651113338928</v>
      </c>
      <c r="N189">
        <f>VLOOKUP(Table56[[#This Row],[Shortname]], Comp[], 13, FALSE)</f>
        <v>2.8287397351217352</v>
      </c>
      <c r="O189">
        <f>VLOOKUP(Table56[[#This Row],[Shortname]], Comp[], 14, FALSE)</f>
        <v>0</v>
      </c>
      <c r="P189">
        <f>VLOOKUP(Table56[[#This Row],[Shortname]], Comp[], 15, FALSE)</f>
        <v>0</v>
      </c>
      <c r="Q189">
        <f>VLOOKUP(Table56[[#This Row],[Shortname]], Comp[], 16, FALSE)</f>
        <v>3.3341613800825822</v>
      </c>
      <c r="R189">
        <f>VLOOKUP(Table56[[#This Row],[Shortname]], Comp[], 17, FALSE)</f>
        <v>0.26634983300218446</v>
      </c>
      <c r="S189">
        <f>VLOOKUP(Table56[[#This Row],[Shortname]], Comp[], 18, FALSE)</f>
        <v>0</v>
      </c>
      <c r="T189">
        <f>VLOOKUP(Table56[[#This Row],[Shortname]], Comp[], 19, FALSE)</f>
        <v>0.1420519301767654</v>
      </c>
      <c r="U189">
        <f>VLOOKUP(Table56[[#This Row],[Shortname]], Comp[], 20, FALSE)</f>
        <v>0</v>
      </c>
      <c r="V189">
        <f>VLOOKUP(Table56[[#This Row],[Shortname]], Comp[], 21, FALSE)</f>
        <v>0</v>
      </c>
      <c r="W189">
        <f>VLOOKUP(Table56[[#This Row],[Shortname]], Comp[], 22, FALSE)</f>
        <v>0</v>
      </c>
      <c r="X189">
        <f>VLOOKUP(Table56[[#This Row],[Shortname]], Comp[], 23, FALSE)</f>
        <v>0</v>
      </c>
      <c r="Y189">
        <f>VLOOKUP(Table56[[#This Row],[Shortname]], Comp[], 24, FALSE)</f>
        <v>0</v>
      </c>
      <c r="Z189">
        <f>VLOOKUP(Table56[[#This Row],[Shortname]], Comp[], 25, FALSE)</f>
        <v>0.53769866841658975</v>
      </c>
      <c r="AA189">
        <f>VLOOKUP(Table56[[#This Row],[Shortname]], Comp[], 26, FALSE)</f>
        <v>0</v>
      </c>
      <c r="AB189">
        <f>VLOOKUP(Table56[[#This Row],[Shortname]], Comp[], 27, FALSE)</f>
        <v>0</v>
      </c>
      <c r="AC189">
        <f>VLOOKUP(Table56[[#This Row],[Shortname]], Comp[], 28, FALSE)</f>
        <v>0</v>
      </c>
      <c r="AD189">
        <f>VLOOKUP(Table56[[#This Row],[Shortname]], Comp[], 29, FALSE)</f>
        <v>0</v>
      </c>
      <c r="AE189">
        <f>VLOOKUP(Table56[[#This Row],[Shortname]], Comp[], 30, FALSE)</f>
        <v>0</v>
      </c>
      <c r="AF189">
        <f>VLOOKUP(Table56[[#This Row],[Shortname]], Comp[], 31, FALSE)</f>
        <v>0</v>
      </c>
    </row>
    <row r="190" spans="1:32" x14ac:dyDescent="0.3">
      <c r="A190" t="s">
        <v>2216</v>
      </c>
      <c r="B190" t="s">
        <v>2218</v>
      </c>
      <c r="C190" s="21" t="s">
        <v>6722</v>
      </c>
      <c r="D190">
        <v>1055</v>
      </c>
      <c r="F190">
        <v>1254</v>
      </c>
      <c r="G190" t="s">
        <v>6712</v>
      </c>
      <c r="H190" s="14">
        <f>VLOOKUP(Table56[[#This Row],[Shortname]], Comp[], 7, FALSE)</f>
        <v>83.6</v>
      </c>
      <c r="I190">
        <f>VLOOKUP(Table56[[#This Row],[Shortname]], Comp[], 8, FALSE)</f>
        <v>0</v>
      </c>
      <c r="J190">
        <f>VLOOKUP(Table56[[#This Row],[Shortname]], Comp[], 9, FALSE)</f>
        <v>0</v>
      </c>
      <c r="K190">
        <f>VLOOKUP(Table56[[#This Row],[Shortname]], Comp[], 10, FALSE)</f>
        <v>0</v>
      </c>
      <c r="L190">
        <f>VLOOKUP(Table56[[#This Row],[Shortname]], Comp[], 11, FALSE)</f>
        <v>0</v>
      </c>
      <c r="M190">
        <f>VLOOKUP(Table56[[#This Row],[Shortname]], Comp[],12, FALSE)</f>
        <v>4.0999999999999996</v>
      </c>
      <c r="N190">
        <f>VLOOKUP(Table56[[#This Row],[Shortname]], Comp[], 13, FALSE)</f>
        <v>0</v>
      </c>
      <c r="O190">
        <f>VLOOKUP(Table56[[#This Row],[Shortname]], Comp[], 14, FALSE)</f>
        <v>2.2000000000000002</v>
      </c>
      <c r="P190">
        <f>VLOOKUP(Table56[[#This Row],[Shortname]], Comp[], 15, FALSE)</f>
        <v>10.1</v>
      </c>
      <c r="Q190">
        <f>VLOOKUP(Table56[[#This Row],[Shortname]], Comp[], 16, FALSE)</f>
        <v>0</v>
      </c>
      <c r="R190">
        <f>VLOOKUP(Table56[[#This Row],[Shortname]], Comp[], 17, FALSE)</f>
        <v>0</v>
      </c>
      <c r="S190">
        <f>VLOOKUP(Table56[[#This Row],[Shortname]], Comp[], 18, FALSE)</f>
        <v>0</v>
      </c>
      <c r="T190">
        <f>VLOOKUP(Table56[[#This Row],[Shortname]], Comp[], 19, FALSE)</f>
        <v>0</v>
      </c>
      <c r="U190">
        <f>VLOOKUP(Table56[[#This Row],[Shortname]], Comp[], 20, FALSE)</f>
        <v>0</v>
      </c>
      <c r="V190">
        <f>VLOOKUP(Table56[[#This Row],[Shortname]], Comp[], 21, FALSE)</f>
        <v>0</v>
      </c>
      <c r="W190">
        <f>VLOOKUP(Table56[[#This Row],[Shortname]], Comp[], 22, FALSE)</f>
        <v>0</v>
      </c>
      <c r="X190">
        <f>VLOOKUP(Table56[[#This Row],[Shortname]], Comp[], 23, FALSE)</f>
        <v>0</v>
      </c>
      <c r="Y190">
        <f>VLOOKUP(Table56[[#This Row],[Shortname]], Comp[], 24, FALSE)</f>
        <v>0</v>
      </c>
      <c r="Z190">
        <f>VLOOKUP(Table56[[#This Row],[Shortname]], Comp[], 25, FALSE)</f>
        <v>0</v>
      </c>
      <c r="AA190">
        <f>VLOOKUP(Table56[[#This Row],[Shortname]], Comp[], 26, FALSE)</f>
        <v>0</v>
      </c>
      <c r="AB190">
        <f>VLOOKUP(Table56[[#This Row],[Shortname]], Comp[], 27, FALSE)</f>
        <v>0</v>
      </c>
      <c r="AC190">
        <f>VLOOKUP(Table56[[#This Row],[Shortname]], Comp[], 28, FALSE)</f>
        <v>0</v>
      </c>
      <c r="AD190">
        <f>VLOOKUP(Table56[[#This Row],[Shortname]], Comp[], 29, FALSE)</f>
        <v>0</v>
      </c>
      <c r="AE190">
        <f>VLOOKUP(Table56[[#This Row],[Shortname]], Comp[], 30, FALSE)</f>
        <v>0</v>
      </c>
      <c r="AF190">
        <f>VLOOKUP(Table56[[#This Row],[Shortname]], Comp[], 31, FALSE)</f>
        <v>0</v>
      </c>
    </row>
    <row r="191" spans="1:32" x14ac:dyDescent="0.3">
      <c r="A191" t="s">
        <v>2224</v>
      </c>
      <c r="B191" t="s">
        <v>2226</v>
      </c>
      <c r="C191" s="21" t="s">
        <v>6722</v>
      </c>
      <c r="D191">
        <v>1035</v>
      </c>
      <c r="F191">
        <v>1313</v>
      </c>
      <c r="G191" t="s">
        <v>6712</v>
      </c>
      <c r="H191" s="14">
        <f>VLOOKUP(Table56[[#This Row],[Shortname]], Comp[], 7, FALSE)</f>
        <v>83.9</v>
      </c>
      <c r="I191">
        <f>VLOOKUP(Table56[[#This Row],[Shortname]], Comp[], 8, FALSE)</f>
        <v>0</v>
      </c>
      <c r="J191">
        <f>VLOOKUP(Table56[[#This Row],[Shortname]], Comp[], 9, FALSE)</f>
        <v>0</v>
      </c>
      <c r="K191">
        <f>VLOOKUP(Table56[[#This Row],[Shortname]], Comp[], 10, FALSE)</f>
        <v>0</v>
      </c>
      <c r="L191">
        <f>VLOOKUP(Table56[[#This Row],[Shortname]], Comp[], 11, FALSE)</f>
        <v>2.1</v>
      </c>
      <c r="M191">
        <f>VLOOKUP(Table56[[#This Row],[Shortname]], Comp[],12, FALSE)</f>
        <v>4.0999999999999996</v>
      </c>
      <c r="N191">
        <f>VLOOKUP(Table56[[#This Row],[Shortname]], Comp[], 13, FALSE)</f>
        <v>0</v>
      </c>
      <c r="O191">
        <f>VLOOKUP(Table56[[#This Row],[Shortname]], Comp[], 14, FALSE)</f>
        <v>0</v>
      </c>
      <c r="P191">
        <f>VLOOKUP(Table56[[#This Row],[Shortname]], Comp[], 15, FALSE)</f>
        <v>9.9</v>
      </c>
      <c r="Q191">
        <f>VLOOKUP(Table56[[#This Row],[Shortname]], Comp[], 16, FALSE)</f>
        <v>0</v>
      </c>
      <c r="R191">
        <f>VLOOKUP(Table56[[#This Row],[Shortname]], Comp[], 17, FALSE)</f>
        <v>0</v>
      </c>
      <c r="S191">
        <f>VLOOKUP(Table56[[#This Row],[Shortname]], Comp[], 18, FALSE)</f>
        <v>0</v>
      </c>
      <c r="T191">
        <f>VLOOKUP(Table56[[#This Row],[Shortname]], Comp[], 19, FALSE)</f>
        <v>0</v>
      </c>
      <c r="U191">
        <f>VLOOKUP(Table56[[#This Row],[Shortname]], Comp[], 20, FALSE)</f>
        <v>0</v>
      </c>
      <c r="V191">
        <f>VLOOKUP(Table56[[#This Row],[Shortname]], Comp[], 21, FALSE)</f>
        <v>0</v>
      </c>
      <c r="W191">
        <f>VLOOKUP(Table56[[#This Row],[Shortname]], Comp[], 22, FALSE)</f>
        <v>0</v>
      </c>
      <c r="X191">
        <f>VLOOKUP(Table56[[#This Row],[Shortname]], Comp[], 23, FALSE)</f>
        <v>0</v>
      </c>
      <c r="Y191">
        <f>VLOOKUP(Table56[[#This Row],[Shortname]], Comp[], 24, FALSE)</f>
        <v>0</v>
      </c>
      <c r="Z191">
        <f>VLOOKUP(Table56[[#This Row],[Shortname]], Comp[], 25, FALSE)</f>
        <v>0</v>
      </c>
      <c r="AA191">
        <f>VLOOKUP(Table56[[#This Row],[Shortname]], Comp[], 26, FALSE)</f>
        <v>0</v>
      </c>
      <c r="AB191">
        <f>VLOOKUP(Table56[[#This Row],[Shortname]], Comp[], 27, FALSE)</f>
        <v>0</v>
      </c>
      <c r="AC191">
        <f>VLOOKUP(Table56[[#This Row],[Shortname]], Comp[], 28, FALSE)</f>
        <v>0</v>
      </c>
      <c r="AD191">
        <f>VLOOKUP(Table56[[#This Row],[Shortname]], Comp[], 29, FALSE)</f>
        <v>0</v>
      </c>
      <c r="AE191">
        <f>VLOOKUP(Table56[[#This Row],[Shortname]], Comp[], 30, FALSE)</f>
        <v>0</v>
      </c>
      <c r="AF191">
        <f>VLOOKUP(Table56[[#This Row],[Shortname]], Comp[], 31, FALSE)</f>
        <v>0</v>
      </c>
    </row>
    <row r="192" spans="1:32" x14ac:dyDescent="0.3">
      <c r="A192" s="7" t="s">
        <v>2208</v>
      </c>
      <c r="B192" s="7" t="s">
        <v>2210</v>
      </c>
      <c r="C192" s="21" t="s">
        <v>6722</v>
      </c>
      <c r="D192">
        <v>1023</v>
      </c>
      <c r="F192">
        <v>1306</v>
      </c>
      <c r="G192" t="s">
        <v>6712</v>
      </c>
      <c r="H192" s="14">
        <f>VLOOKUP(Table56[[#This Row],[Shortname]], Comp[], 7, FALSE)</f>
        <v>83.7</v>
      </c>
      <c r="I192">
        <f>VLOOKUP(Table56[[#This Row],[Shortname]], Comp[], 8, FALSE)</f>
        <v>0</v>
      </c>
      <c r="J192">
        <f>VLOOKUP(Table56[[#This Row],[Shortname]], Comp[], 9, FALSE)</f>
        <v>0</v>
      </c>
      <c r="K192">
        <f>VLOOKUP(Table56[[#This Row],[Shortname]], Comp[], 10, FALSE)</f>
        <v>0</v>
      </c>
      <c r="L192">
        <f>VLOOKUP(Table56[[#This Row],[Shortname]], Comp[], 11, FALSE)</f>
        <v>0</v>
      </c>
      <c r="M192">
        <f>VLOOKUP(Table56[[#This Row],[Shortname]], Comp[],12, FALSE)</f>
        <v>4.2</v>
      </c>
      <c r="N192">
        <f>VLOOKUP(Table56[[#This Row],[Shortname]], Comp[], 13, FALSE)</f>
        <v>0</v>
      </c>
      <c r="O192">
        <f>VLOOKUP(Table56[[#This Row],[Shortname]], Comp[], 14, FALSE)</f>
        <v>0</v>
      </c>
      <c r="P192">
        <f>VLOOKUP(Table56[[#This Row],[Shortname]], Comp[], 15, FALSE)</f>
        <v>12.1</v>
      </c>
      <c r="Q192">
        <f>VLOOKUP(Table56[[#This Row],[Shortname]], Comp[], 16, FALSE)</f>
        <v>0</v>
      </c>
      <c r="R192">
        <f>VLOOKUP(Table56[[#This Row],[Shortname]], Comp[], 17, FALSE)</f>
        <v>0</v>
      </c>
      <c r="S192">
        <f>VLOOKUP(Table56[[#This Row],[Shortname]], Comp[], 18, FALSE)</f>
        <v>0</v>
      </c>
      <c r="T192">
        <f>VLOOKUP(Table56[[#This Row],[Shortname]], Comp[], 19, FALSE)</f>
        <v>0</v>
      </c>
      <c r="U192">
        <f>VLOOKUP(Table56[[#This Row],[Shortname]], Comp[], 20, FALSE)</f>
        <v>0</v>
      </c>
      <c r="V192">
        <f>VLOOKUP(Table56[[#This Row],[Shortname]], Comp[], 21, FALSE)</f>
        <v>0</v>
      </c>
      <c r="W192">
        <f>VLOOKUP(Table56[[#This Row],[Shortname]], Comp[], 22, FALSE)</f>
        <v>0</v>
      </c>
      <c r="X192">
        <f>VLOOKUP(Table56[[#This Row],[Shortname]], Comp[], 23, FALSE)</f>
        <v>0</v>
      </c>
      <c r="Y192">
        <f>VLOOKUP(Table56[[#This Row],[Shortname]], Comp[], 24, FALSE)</f>
        <v>0</v>
      </c>
      <c r="Z192">
        <f>VLOOKUP(Table56[[#This Row],[Shortname]], Comp[], 25, FALSE)</f>
        <v>0</v>
      </c>
      <c r="AA192">
        <f>VLOOKUP(Table56[[#This Row],[Shortname]], Comp[], 26, FALSE)</f>
        <v>0</v>
      </c>
      <c r="AB192">
        <f>VLOOKUP(Table56[[#This Row],[Shortname]], Comp[], 27, FALSE)</f>
        <v>0</v>
      </c>
      <c r="AC192">
        <f>VLOOKUP(Table56[[#This Row],[Shortname]], Comp[], 28, FALSE)</f>
        <v>0</v>
      </c>
      <c r="AD192">
        <f>VLOOKUP(Table56[[#This Row],[Shortname]], Comp[], 29, FALSE)</f>
        <v>0</v>
      </c>
      <c r="AE192">
        <f>VLOOKUP(Table56[[#This Row],[Shortname]], Comp[], 30, FALSE)</f>
        <v>0</v>
      </c>
      <c r="AF192">
        <f>VLOOKUP(Table56[[#This Row],[Shortname]], Comp[], 31, FALSE)</f>
        <v>0</v>
      </c>
    </row>
    <row r="193" spans="1:32" x14ac:dyDescent="0.3">
      <c r="A193" t="s">
        <v>2315</v>
      </c>
      <c r="B193" t="s">
        <v>2317</v>
      </c>
      <c r="C193" t="s">
        <v>6723</v>
      </c>
      <c r="D193">
        <v>1020</v>
      </c>
      <c r="E193">
        <v>1310</v>
      </c>
      <c r="F193">
        <v>1389</v>
      </c>
      <c r="H193" s="14">
        <f>VLOOKUP(Table56[[#This Row],[Shortname]], Comp[], 7, FALSE)</f>
        <v>48.379999999999995</v>
      </c>
      <c r="I193">
        <f>VLOOKUP(Table56[[#This Row],[Shortname]], Comp[], 8, FALSE)</f>
        <v>27.27</v>
      </c>
      <c r="J193">
        <f>VLOOKUP(Table56[[#This Row],[Shortname]], Comp[], 9, FALSE)</f>
        <v>4.91</v>
      </c>
      <c r="K193">
        <f>VLOOKUP(Table56[[#This Row],[Shortname]], Comp[], 10, FALSE)</f>
        <v>14.52</v>
      </c>
      <c r="L193">
        <f>VLOOKUP(Table56[[#This Row],[Shortname]], Comp[], 11, FALSE)</f>
        <v>0</v>
      </c>
      <c r="M193">
        <f>VLOOKUP(Table56[[#This Row],[Shortname]], Comp[],12, FALSE)</f>
        <v>4.92</v>
      </c>
      <c r="N193">
        <f>VLOOKUP(Table56[[#This Row],[Shortname]], Comp[], 13, FALSE)</f>
        <v>0</v>
      </c>
      <c r="O193">
        <f>VLOOKUP(Table56[[#This Row],[Shortname]], Comp[], 14, FALSE)</f>
        <v>0</v>
      </c>
      <c r="P193">
        <f>VLOOKUP(Table56[[#This Row],[Shortname]], Comp[], 15, FALSE)</f>
        <v>0</v>
      </c>
      <c r="Q193">
        <f>VLOOKUP(Table56[[#This Row],[Shortname]], Comp[], 16, FALSE)</f>
        <v>0</v>
      </c>
      <c r="R193">
        <f>VLOOKUP(Table56[[#This Row],[Shortname]], Comp[], 17, FALSE)</f>
        <v>0</v>
      </c>
      <c r="S193">
        <f>VLOOKUP(Table56[[#This Row],[Shortname]], Comp[], 18, FALSE)</f>
        <v>0</v>
      </c>
      <c r="T193">
        <f>VLOOKUP(Table56[[#This Row],[Shortname]], Comp[], 19, FALSE)</f>
        <v>0</v>
      </c>
      <c r="U193">
        <f>VLOOKUP(Table56[[#This Row],[Shortname]], Comp[], 20, FALSE)</f>
        <v>0</v>
      </c>
      <c r="V193">
        <f>VLOOKUP(Table56[[#This Row],[Shortname]], Comp[], 21, FALSE)</f>
        <v>0</v>
      </c>
      <c r="W193">
        <f>VLOOKUP(Table56[[#This Row],[Shortname]], Comp[], 22, FALSE)</f>
        <v>0</v>
      </c>
      <c r="X193">
        <f>VLOOKUP(Table56[[#This Row],[Shortname]], Comp[], 23, FALSE)</f>
        <v>0</v>
      </c>
      <c r="Y193">
        <f>VLOOKUP(Table56[[#This Row],[Shortname]], Comp[], 24, FALSE)</f>
        <v>0</v>
      </c>
      <c r="Z193">
        <f>VLOOKUP(Table56[[#This Row],[Shortname]], Comp[], 25, FALSE)</f>
        <v>0</v>
      </c>
      <c r="AA193">
        <f>VLOOKUP(Table56[[#This Row],[Shortname]], Comp[], 26, FALSE)</f>
        <v>0</v>
      </c>
      <c r="AB193">
        <f>VLOOKUP(Table56[[#This Row],[Shortname]], Comp[], 27, FALSE)</f>
        <v>0</v>
      </c>
      <c r="AC193">
        <f>VLOOKUP(Table56[[#This Row],[Shortname]], Comp[], 28, FALSE)</f>
        <v>0</v>
      </c>
      <c r="AD193">
        <f>VLOOKUP(Table56[[#This Row],[Shortname]], Comp[], 29, FALSE)</f>
        <v>0</v>
      </c>
      <c r="AE193">
        <f>VLOOKUP(Table56[[#This Row],[Shortname]], Comp[], 30, FALSE)</f>
        <v>0</v>
      </c>
      <c r="AF193">
        <f>VLOOKUP(Table56[[#This Row],[Shortname]], Comp[], 31, FALSE)</f>
        <v>0</v>
      </c>
    </row>
    <row r="194" spans="1:32" x14ac:dyDescent="0.3">
      <c r="A194" t="s">
        <v>2305</v>
      </c>
      <c r="B194" t="s">
        <v>2307</v>
      </c>
      <c r="C194" t="s">
        <v>6723</v>
      </c>
      <c r="D194">
        <v>983</v>
      </c>
      <c r="E194">
        <v>1300</v>
      </c>
      <c r="F194">
        <v>1390</v>
      </c>
      <c r="H194" s="14">
        <f>VLOOKUP(Table56[[#This Row],[Shortname]], Comp[], 7, FALSE)</f>
        <v>57.03</v>
      </c>
      <c r="I194">
        <f>VLOOKUP(Table56[[#This Row],[Shortname]], Comp[], 8, FALSE)</f>
        <v>18.89</v>
      </c>
      <c r="J194">
        <f>VLOOKUP(Table56[[#This Row],[Shortname]], Comp[], 9, FALSE)</f>
        <v>4.3099999999999996</v>
      </c>
      <c r="K194">
        <f>VLOOKUP(Table56[[#This Row],[Shortname]], Comp[], 10, FALSE)</f>
        <v>14.71</v>
      </c>
      <c r="L194">
        <f>VLOOKUP(Table56[[#This Row],[Shortname]], Comp[], 11, FALSE)</f>
        <v>0</v>
      </c>
      <c r="M194">
        <f>VLOOKUP(Table56[[#This Row],[Shortname]], Comp[],12, FALSE)</f>
        <v>5.0599999999999996</v>
      </c>
      <c r="N194">
        <f>VLOOKUP(Table56[[#This Row],[Shortname]], Comp[], 13, FALSE)</f>
        <v>0</v>
      </c>
      <c r="O194">
        <f>VLOOKUP(Table56[[#This Row],[Shortname]], Comp[], 14, FALSE)</f>
        <v>0</v>
      </c>
      <c r="P194">
        <f>VLOOKUP(Table56[[#This Row],[Shortname]], Comp[], 15, FALSE)</f>
        <v>0</v>
      </c>
      <c r="Q194">
        <f>VLOOKUP(Table56[[#This Row],[Shortname]], Comp[], 16, FALSE)</f>
        <v>0</v>
      </c>
      <c r="R194">
        <f>VLOOKUP(Table56[[#This Row],[Shortname]], Comp[], 17, FALSE)</f>
        <v>0</v>
      </c>
      <c r="S194">
        <f>VLOOKUP(Table56[[#This Row],[Shortname]], Comp[], 18, FALSE)</f>
        <v>0</v>
      </c>
      <c r="T194">
        <f>VLOOKUP(Table56[[#This Row],[Shortname]], Comp[], 19, FALSE)</f>
        <v>0</v>
      </c>
      <c r="U194">
        <f>VLOOKUP(Table56[[#This Row],[Shortname]], Comp[], 20, FALSE)</f>
        <v>0</v>
      </c>
      <c r="V194">
        <f>VLOOKUP(Table56[[#This Row],[Shortname]], Comp[], 21, FALSE)</f>
        <v>0</v>
      </c>
      <c r="W194">
        <f>VLOOKUP(Table56[[#This Row],[Shortname]], Comp[], 22, FALSE)</f>
        <v>0</v>
      </c>
      <c r="X194">
        <f>VLOOKUP(Table56[[#This Row],[Shortname]], Comp[], 23, FALSE)</f>
        <v>0</v>
      </c>
      <c r="Y194">
        <f>VLOOKUP(Table56[[#This Row],[Shortname]], Comp[], 24, FALSE)</f>
        <v>0</v>
      </c>
      <c r="Z194">
        <f>VLOOKUP(Table56[[#This Row],[Shortname]], Comp[], 25, FALSE)</f>
        <v>0</v>
      </c>
      <c r="AA194">
        <f>VLOOKUP(Table56[[#This Row],[Shortname]], Comp[], 26, FALSE)</f>
        <v>0</v>
      </c>
      <c r="AB194">
        <f>VLOOKUP(Table56[[#This Row],[Shortname]], Comp[], 27, FALSE)</f>
        <v>0</v>
      </c>
      <c r="AC194">
        <f>VLOOKUP(Table56[[#This Row],[Shortname]], Comp[], 28, FALSE)</f>
        <v>0</v>
      </c>
      <c r="AD194">
        <f>VLOOKUP(Table56[[#This Row],[Shortname]], Comp[], 29, FALSE)</f>
        <v>0</v>
      </c>
      <c r="AE194">
        <f>VLOOKUP(Table56[[#This Row],[Shortname]], Comp[], 30, FALSE)</f>
        <v>0</v>
      </c>
      <c r="AF194">
        <f>VLOOKUP(Table56[[#This Row],[Shortname]], Comp[], 31, FALSE)</f>
        <v>0</v>
      </c>
    </row>
    <row r="195" spans="1:32" x14ac:dyDescent="0.3">
      <c r="A195" s="7" t="s">
        <v>2335</v>
      </c>
      <c r="B195" s="7" t="s">
        <v>2337</v>
      </c>
      <c r="C195" s="6" t="s">
        <v>2338</v>
      </c>
      <c r="D195" s="6">
        <v>1112</v>
      </c>
      <c r="E195">
        <v>1339</v>
      </c>
      <c r="F195">
        <v>1408</v>
      </c>
      <c r="H195" s="14">
        <f>VLOOKUP(Table56[[#This Row],[Shortname]], Comp[], 7, FALSE)</f>
        <v>55.5</v>
      </c>
      <c r="I195">
        <f>VLOOKUP(Table56[[#This Row],[Shortname]], Comp[], 8, FALSE)</f>
        <v>20</v>
      </c>
      <c r="J195">
        <f>VLOOKUP(Table56[[#This Row],[Shortname]], Comp[], 9, FALSE)</f>
        <v>8</v>
      </c>
      <c r="K195">
        <f>VLOOKUP(Table56[[#This Row],[Shortname]], Comp[], 10, FALSE)</f>
        <v>6</v>
      </c>
      <c r="L195">
        <f>VLOOKUP(Table56[[#This Row],[Shortname]], Comp[], 11, FALSE)</f>
        <v>5</v>
      </c>
      <c r="M195">
        <f>VLOOKUP(Table56[[#This Row],[Shortname]], Comp[],12, FALSE)</f>
        <v>2.5</v>
      </c>
      <c r="N195">
        <f>VLOOKUP(Table56[[#This Row],[Shortname]], Comp[], 13, FALSE)</f>
        <v>1.5</v>
      </c>
      <c r="O195">
        <f>VLOOKUP(Table56[[#This Row],[Shortname]], Comp[], 14, FALSE)</f>
        <v>0</v>
      </c>
      <c r="P195">
        <f>VLOOKUP(Table56[[#This Row],[Shortname]], Comp[], 15, FALSE)</f>
        <v>0</v>
      </c>
      <c r="Q195">
        <f>VLOOKUP(Table56[[#This Row],[Shortname]], Comp[], 16, FALSE)</f>
        <v>0</v>
      </c>
      <c r="R195">
        <f>VLOOKUP(Table56[[#This Row],[Shortname]], Comp[], 17, FALSE)</f>
        <v>0</v>
      </c>
      <c r="S195">
        <f>VLOOKUP(Table56[[#This Row],[Shortname]], Comp[], 18, FALSE)</f>
        <v>0</v>
      </c>
      <c r="T195">
        <f>VLOOKUP(Table56[[#This Row],[Shortname]], Comp[], 19, FALSE)</f>
        <v>0</v>
      </c>
      <c r="U195">
        <f>VLOOKUP(Table56[[#This Row],[Shortname]], Comp[], 20, FALSE)</f>
        <v>0</v>
      </c>
      <c r="V195">
        <f>VLOOKUP(Table56[[#This Row],[Shortname]], Comp[], 21, FALSE)</f>
        <v>0</v>
      </c>
      <c r="W195">
        <f>VLOOKUP(Table56[[#This Row],[Shortname]], Comp[], 22, FALSE)</f>
        <v>1.4</v>
      </c>
      <c r="X195">
        <f>VLOOKUP(Table56[[#This Row],[Shortname]], Comp[], 23, FALSE)</f>
        <v>0</v>
      </c>
      <c r="Y195">
        <f>VLOOKUP(Table56[[#This Row],[Shortname]], Comp[], 24, FALSE)</f>
        <v>0</v>
      </c>
      <c r="Z195">
        <f>VLOOKUP(Table56[[#This Row],[Shortname]], Comp[], 25, FALSE)</f>
        <v>0.1</v>
      </c>
      <c r="AA195">
        <f>VLOOKUP(Table56[[#This Row],[Shortname]], Comp[], 26, FALSE)</f>
        <v>0</v>
      </c>
      <c r="AB195">
        <f>VLOOKUP(Table56[[#This Row],[Shortname]], Comp[], 27, FALSE)</f>
        <v>0</v>
      </c>
      <c r="AC195">
        <f>VLOOKUP(Table56[[#This Row],[Shortname]], Comp[], 28, FALSE)</f>
        <v>0</v>
      </c>
      <c r="AD195">
        <f>VLOOKUP(Table56[[#This Row],[Shortname]], Comp[], 29, FALSE)</f>
        <v>0</v>
      </c>
      <c r="AE195">
        <f>VLOOKUP(Table56[[#This Row],[Shortname]], Comp[], 30, FALSE)</f>
        <v>0</v>
      </c>
      <c r="AF195">
        <f>VLOOKUP(Table56[[#This Row],[Shortname]], Comp[], 31, FALSE)</f>
        <v>0</v>
      </c>
    </row>
    <row r="196" spans="1:32" x14ac:dyDescent="0.3">
      <c r="A196" s="7" t="s">
        <v>2335</v>
      </c>
      <c r="B196" s="7" t="s">
        <v>2337</v>
      </c>
      <c r="C196" t="s">
        <v>6724</v>
      </c>
      <c r="D196">
        <v>1100</v>
      </c>
      <c r="E196">
        <v>1294</v>
      </c>
      <c r="F196">
        <v>1398</v>
      </c>
      <c r="G196" t="s">
        <v>6725</v>
      </c>
      <c r="H196" s="14">
        <f>VLOOKUP(Table56[[#This Row],[Shortname]], Comp[], 7, FALSE)</f>
        <v>55.5</v>
      </c>
      <c r="I196">
        <f>VLOOKUP(Table56[[#This Row],[Shortname]], Comp[], 8, FALSE)</f>
        <v>20</v>
      </c>
      <c r="J196">
        <f>VLOOKUP(Table56[[#This Row],[Shortname]], Comp[], 9, FALSE)</f>
        <v>8</v>
      </c>
      <c r="K196">
        <f>VLOOKUP(Table56[[#This Row],[Shortname]], Comp[], 10, FALSE)</f>
        <v>6</v>
      </c>
      <c r="L196">
        <f>VLOOKUP(Table56[[#This Row],[Shortname]], Comp[], 11, FALSE)</f>
        <v>5</v>
      </c>
      <c r="M196">
        <f>VLOOKUP(Table56[[#This Row],[Shortname]], Comp[],12, FALSE)</f>
        <v>2.5</v>
      </c>
      <c r="N196">
        <f>VLOOKUP(Table56[[#This Row],[Shortname]], Comp[], 13, FALSE)</f>
        <v>1.5</v>
      </c>
      <c r="O196">
        <f>VLOOKUP(Table56[[#This Row],[Shortname]], Comp[], 14, FALSE)</f>
        <v>0</v>
      </c>
      <c r="P196">
        <f>VLOOKUP(Table56[[#This Row],[Shortname]], Comp[], 15, FALSE)</f>
        <v>0</v>
      </c>
      <c r="Q196">
        <f>VLOOKUP(Table56[[#This Row],[Shortname]], Comp[], 16, FALSE)</f>
        <v>0</v>
      </c>
      <c r="R196">
        <f>VLOOKUP(Table56[[#This Row],[Shortname]], Comp[], 17, FALSE)</f>
        <v>0</v>
      </c>
      <c r="S196">
        <f>VLOOKUP(Table56[[#This Row],[Shortname]], Comp[], 18, FALSE)</f>
        <v>0</v>
      </c>
      <c r="T196">
        <f>VLOOKUP(Table56[[#This Row],[Shortname]], Comp[], 19, FALSE)</f>
        <v>0</v>
      </c>
      <c r="U196">
        <f>VLOOKUP(Table56[[#This Row],[Shortname]], Comp[], 20, FALSE)</f>
        <v>0</v>
      </c>
      <c r="V196">
        <f>VLOOKUP(Table56[[#This Row],[Shortname]], Comp[], 21, FALSE)</f>
        <v>0</v>
      </c>
      <c r="W196">
        <f>VLOOKUP(Table56[[#This Row],[Shortname]], Comp[], 22, FALSE)</f>
        <v>1.4</v>
      </c>
      <c r="X196">
        <f>VLOOKUP(Table56[[#This Row],[Shortname]], Comp[], 23, FALSE)</f>
        <v>0</v>
      </c>
      <c r="Y196">
        <f>VLOOKUP(Table56[[#This Row],[Shortname]], Comp[], 24, FALSE)</f>
        <v>0</v>
      </c>
      <c r="Z196">
        <f>VLOOKUP(Table56[[#This Row],[Shortname]], Comp[], 25, FALSE)</f>
        <v>0.1</v>
      </c>
      <c r="AA196">
        <f>VLOOKUP(Table56[[#This Row],[Shortname]], Comp[], 26, FALSE)</f>
        <v>0</v>
      </c>
      <c r="AB196">
        <f>VLOOKUP(Table56[[#This Row],[Shortname]], Comp[], 27, FALSE)</f>
        <v>0</v>
      </c>
      <c r="AC196">
        <f>VLOOKUP(Table56[[#This Row],[Shortname]], Comp[], 28, FALSE)</f>
        <v>0</v>
      </c>
      <c r="AD196">
        <f>VLOOKUP(Table56[[#This Row],[Shortname]], Comp[], 29, FALSE)</f>
        <v>0</v>
      </c>
      <c r="AE196">
        <f>VLOOKUP(Table56[[#This Row],[Shortname]], Comp[], 30, FALSE)</f>
        <v>0</v>
      </c>
      <c r="AF196">
        <f>VLOOKUP(Table56[[#This Row],[Shortname]], Comp[], 31, FALSE)</f>
        <v>0</v>
      </c>
    </row>
    <row r="197" spans="1:32" x14ac:dyDescent="0.3">
      <c r="A197" s="7" t="s">
        <v>2405</v>
      </c>
      <c r="B197" s="7" t="s">
        <v>2406</v>
      </c>
      <c r="C197" t="s">
        <v>2407</v>
      </c>
      <c r="D197">
        <v>1129</v>
      </c>
      <c r="E197">
        <v>1339</v>
      </c>
      <c r="F197">
        <v>1379</v>
      </c>
      <c r="H197" s="14">
        <f>VLOOKUP(Table56[[#This Row],[Shortname]], Comp[], 7, FALSE)</f>
        <v>28.840000000000003</v>
      </c>
      <c r="I197">
        <f>VLOOKUP(Table56[[#This Row],[Shortname]], Comp[], 8, FALSE)</f>
        <v>40</v>
      </c>
      <c r="J197">
        <f>VLOOKUP(Table56[[#This Row],[Shortname]], Comp[], 9, FALSE)</f>
        <v>10</v>
      </c>
      <c r="K197">
        <f>VLOOKUP(Table56[[#This Row],[Shortname]], Comp[], 10, FALSE)</f>
        <v>10</v>
      </c>
      <c r="L197">
        <f>VLOOKUP(Table56[[#This Row],[Shortname]], Comp[], 11, FALSE)</f>
        <v>7.5</v>
      </c>
      <c r="M197">
        <f>VLOOKUP(Table56[[#This Row],[Shortname]], Comp[],12, FALSE)</f>
        <v>0</v>
      </c>
      <c r="N197">
        <f>VLOOKUP(Table56[[#This Row],[Shortname]], Comp[], 13, FALSE)</f>
        <v>3</v>
      </c>
      <c r="O197">
        <f>VLOOKUP(Table56[[#This Row],[Shortname]], Comp[], 14, FALSE)</f>
        <v>0</v>
      </c>
      <c r="P197">
        <f>VLOOKUP(Table56[[#This Row],[Shortname]], Comp[], 15, FALSE)</f>
        <v>0</v>
      </c>
      <c r="Q197">
        <f>VLOOKUP(Table56[[#This Row],[Shortname]], Comp[], 16, FALSE)</f>
        <v>0</v>
      </c>
      <c r="R197">
        <f>VLOOKUP(Table56[[#This Row],[Shortname]], Comp[], 17, FALSE)</f>
        <v>0.6</v>
      </c>
      <c r="S197">
        <f>VLOOKUP(Table56[[#This Row],[Shortname]], Comp[], 18, FALSE)</f>
        <v>0</v>
      </c>
      <c r="T197">
        <f>VLOOKUP(Table56[[#This Row],[Shortname]], Comp[], 19, FALSE)</f>
        <v>0.06</v>
      </c>
      <c r="U197">
        <f>VLOOKUP(Table56[[#This Row],[Shortname]], Comp[], 20, FALSE)</f>
        <v>0</v>
      </c>
      <c r="V197">
        <f>VLOOKUP(Table56[[#This Row],[Shortname]], Comp[], 21, FALSE)</f>
        <v>0</v>
      </c>
      <c r="W197">
        <f>VLOOKUP(Table56[[#This Row],[Shortname]], Comp[], 22, FALSE)</f>
        <v>0</v>
      </c>
      <c r="X197">
        <f>VLOOKUP(Table56[[#This Row],[Shortname]], Comp[], 23, FALSE)</f>
        <v>0</v>
      </c>
      <c r="Y197">
        <f>VLOOKUP(Table56[[#This Row],[Shortname]], Comp[], 24, FALSE)</f>
        <v>0</v>
      </c>
      <c r="Z197">
        <f>VLOOKUP(Table56[[#This Row],[Shortname]], Comp[], 25, FALSE)</f>
        <v>0</v>
      </c>
      <c r="AA197">
        <f>VLOOKUP(Table56[[#This Row],[Shortname]], Comp[], 26, FALSE)</f>
        <v>0</v>
      </c>
      <c r="AB197">
        <f>VLOOKUP(Table56[[#This Row],[Shortname]], Comp[], 27, FALSE)</f>
        <v>0</v>
      </c>
      <c r="AC197">
        <f>VLOOKUP(Table56[[#This Row],[Shortname]], Comp[], 28, FALSE)</f>
        <v>0</v>
      </c>
      <c r="AD197">
        <f>VLOOKUP(Table56[[#This Row],[Shortname]], Comp[], 29, FALSE)</f>
        <v>0</v>
      </c>
      <c r="AE197">
        <f>VLOOKUP(Table56[[#This Row],[Shortname]], Comp[], 30, FALSE)</f>
        <v>0</v>
      </c>
      <c r="AF197">
        <f>VLOOKUP(Table56[[#This Row],[Shortname]], Comp[], 31, FALSE)</f>
        <v>0</v>
      </c>
    </row>
    <row r="198" spans="1:32" x14ac:dyDescent="0.3">
      <c r="A198" s="7" t="s">
        <v>2412</v>
      </c>
      <c r="B198" s="7" t="s">
        <v>2414</v>
      </c>
      <c r="C198" t="s">
        <v>2407</v>
      </c>
      <c r="D198">
        <v>1092</v>
      </c>
      <c r="F198">
        <v>1376</v>
      </c>
      <c r="H198" s="14">
        <f>VLOOKUP(Table56[[#This Row],[Shortname]], Comp[], 7, FALSE)</f>
        <v>38.839999999999996</v>
      </c>
      <c r="I198">
        <f>VLOOKUP(Table56[[#This Row],[Shortname]], Comp[], 8, FALSE)</f>
        <v>30</v>
      </c>
      <c r="J198">
        <f>VLOOKUP(Table56[[#This Row],[Shortname]], Comp[], 9, FALSE)</f>
        <v>10</v>
      </c>
      <c r="K198">
        <f>VLOOKUP(Table56[[#This Row],[Shortname]], Comp[], 10, FALSE)</f>
        <v>10</v>
      </c>
      <c r="L198">
        <f>VLOOKUP(Table56[[#This Row],[Shortname]], Comp[], 11, FALSE)</f>
        <v>7.5</v>
      </c>
      <c r="M198">
        <f>VLOOKUP(Table56[[#This Row],[Shortname]], Comp[],12, FALSE)</f>
        <v>0</v>
      </c>
      <c r="N198">
        <f>VLOOKUP(Table56[[#This Row],[Shortname]], Comp[], 13, FALSE)</f>
        <v>0</v>
      </c>
      <c r="O198">
        <f>VLOOKUP(Table56[[#This Row],[Shortname]], Comp[], 14, FALSE)</f>
        <v>3</v>
      </c>
      <c r="P198">
        <f>VLOOKUP(Table56[[#This Row],[Shortname]], Comp[], 15, FALSE)</f>
        <v>0</v>
      </c>
      <c r="Q198">
        <f>VLOOKUP(Table56[[#This Row],[Shortname]], Comp[], 16, FALSE)</f>
        <v>0</v>
      </c>
      <c r="R198">
        <f>VLOOKUP(Table56[[#This Row],[Shortname]], Comp[], 17, FALSE)</f>
        <v>0.6</v>
      </c>
      <c r="S198">
        <f>VLOOKUP(Table56[[#This Row],[Shortname]], Comp[], 18, FALSE)</f>
        <v>0</v>
      </c>
      <c r="T198">
        <f>VLOOKUP(Table56[[#This Row],[Shortname]], Comp[], 19, FALSE)</f>
        <v>0.06</v>
      </c>
      <c r="U198">
        <f>VLOOKUP(Table56[[#This Row],[Shortname]], Comp[], 20, FALSE)</f>
        <v>0</v>
      </c>
      <c r="V198">
        <f>VLOOKUP(Table56[[#This Row],[Shortname]], Comp[], 21, FALSE)</f>
        <v>0</v>
      </c>
      <c r="W198">
        <f>VLOOKUP(Table56[[#This Row],[Shortname]], Comp[], 22, FALSE)</f>
        <v>0</v>
      </c>
      <c r="X198">
        <f>VLOOKUP(Table56[[#This Row],[Shortname]], Comp[], 23, FALSE)</f>
        <v>0</v>
      </c>
      <c r="Y198">
        <f>VLOOKUP(Table56[[#This Row],[Shortname]], Comp[], 24, FALSE)</f>
        <v>0</v>
      </c>
      <c r="Z198">
        <f>VLOOKUP(Table56[[#This Row],[Shortname]], Comp[], 25, FALSE)</f>
        <v>0</v>
      </c>
      <c r="AA198">
        <f>VLOOKUP(Table56[[#This Row],[Shortname]], Comp[], 26, FALSE)</f>
        <v>0</v>
      </c>
      <c r="AB198">
        <f>VLOOKUP(Table56[[#This Row],[Shortname]], Comp[], 27, FALSE)</f>
        <v>0</v>
      </c>
      <c r="AC198">
        <f>VLOOKUP(Table56[[#This Row],[Shortname]], Comp[], 28, FALSE)</f>
        <v>0</v>
      </c>
      <c r="AD198">
        <f>VLOOKUP(Table56[[#This Row],[Shortname]], Comp[], 29, FALSE)</f>
        <v>0</v>
      </c>
      <c r="AE198">
        <f>VLOOKUP(Table56[[#This Row],[Shortname]], Comp[], 30, FALSE)</f>
        <v>0</v>
      </c>
      <c r="AF198">
        <f>VLOOKUP(Table56[[#This Row],[Shortname]], Comp[], 31, FALSE)</f>
        <v>0</v>
      </c>
    </row>
    <row r="199" spans="1:32" x14ac:dyDescent="0.3">
      <c r="A199" t="s">
        <v>2473</v>
      </c>
      <c r="B199" t="s">
        <v>2475</v>
      </c>
      <c r="C199" s="3" t="s">
        <v>2469</v>
      </c>
      <c r="D199">
        <v>950</v>
      </c>
      <c r="E199">
        <v>1338</v>
      </c>
      <c r="F199">
        <v>1411</v>
      </c>
      <c r="H199" s="14">
        <f>VLOOKUP(Table56[[#This Row],[Shortname]], Comp[], 7, FALSE)</f>
        <v>63</v>
      </c>
      <c r="I199">
        <f>VLOOKUP(Table56[[#This Row],[Shortname]], Comp[], 8, FALSE)</f>
        <v>20</v>
      </c>
      <c r="J199">
        <f>VLOOKUP(Table56[[#This Row],[Shortname]], Comp[], 9, FALSE)</f>
        <v>10</v>
      </c>
      <c r="K199">
        <f>VLOOKUP(Table56[[#This Row],[Shortname]], Comp[], 10, FALSE)</f>
        <v>0</v>
      </c>
      <c r="L199">
        <f>VLOOKUP(Table56[[#This Row],[Shortname]], Comp[], 11, FALSE)</f>
        <v>0</v>
      </c>
      <c r="M199">
        <f>VLOOKUP(Table56[[#This Row],[Shortname]], Comp[],12, FALSE)</f>
        <v>0</v>
      </c>
      <c r="N199">
        <f>VLOOKUP(Table56[[#This Row],[Shortname]], Comp[], 13, FALSE)</f>
        <v>0</v>
      </c>
      <c r="O199">
        <f>VLOOKUP(Table56[[#This Row],[Shortname]], Comp[], 14, FALSE)</f>
        <v>2</v>
      </c>
      <c r="P199">
        <f>VLOOKUP(Table56[[#This Row],[Shortname]], Comp[], 15, FALSE)</f>
        <v>0</v>
      </c>
      <c r="Q199">
        <f>VLOOKUP(Table56[[#This Row],[Shortname]], Comp[], 16, FALSE)</f>
        <v>5</v>
      </c>
      <c r="R199">
        <f>VLOOKUP(Table56[[#This Row],[Shortname]], Comp[], 17, FALSE)</f>
        <v>0</v>
      </c>
      <c r="S199">
        <f>VLOOKUP(Table56[[#This Row],[Shortname]], Comp[], 18, FALSE)</f>
        <v>0</v>
      </c>
      <c r="T199">
        <f>VLOOKUP(Table56[[#This Row],[Shortname]], Comp[], 19, FALSE)</f>
        <v>0</v>
      </c>
      <c r="U199">
        <f>VLOOKUP(Table56[[#This Row],[Shortname]], Comp[], 20, FALSE)</f>
        <v>0</v>
      </c>
      <c r="V199">
        <f>VLOOKUP(Table56[[#This Row],[Shortname]], Comp[], 21, FALSE)</f>
        <v>0</v>
      </c>
      <c r="W199">
        <f>VLOOKUP(Table56[[#This Row],[Shortname]], Comp[], 22, FALSE)</f>
        <v>0</v>
      </c>
      <c r="X199">
        <f>VLOOKUP(Table56[[#This Row],[Shortname]], Comp[], 23, FALSE)</f>
        <v>0</v>
      </c>
      <c r="Y199">
        <f>VLOOKUP(Table56[[#This Row],[Shortname]], Comp[], 24, FALSE)</f>
        <v>0</v>
      </c>
      <c r="Z199">
        <f>VLOOKUP(Table56[[#This Row],[Shortname]], Comp[], 25, FALSE)</f>
        <v>0</v>
      </c>
      <c r="AA199">
        <f>VLOOKUP(Table56[[#This Row],[Shortname]], Comp[], 26, FALSE)</f>
        <v>0</v>
      </c>
      <c r="AB199">
        <f>VLOOKUP(Table56[[#This Row],[Shortname]], Comp[], 27, FALSE)</f>
        <v>0</v>
      </c>
      <c r="AC199">
        <f>VLOOKUP(Table56[[#This Row],[Shortname]], Comp[], 28, FALSE)</f>
        <v>0</v>
      </c>
      <c r="AD199">
        <f>VLOOKUP(Table56[[#This Row],[Shortname]], Comp[], 29, FALSE)</f>
        <v>0</v>
      </c>
      <c r="AE199">
        <f>VLOOKUP(Table56[[#This Row],[Shortname]], Comp[], 30, FALSE)</f>
        <v>0</v>
      </c>
      <c r="AF199">
        <f>VLOOKUP(Table56[[#This Row],[Shortname]], Comp[], 31, FALSE)</f>
        <v>0</v>
      </c>
    </row>
    <row r="200" spans="1:32" x14ac:dyDescent="0.3">
      <c r="A200" t="s">
        <v>2467</v>
      </c>
      <c r="B200" t="s">
        <v>2468</v>
      </c>
      <c r="C200" s="3" t="s">
        <v>2469</v>
      </c>
      <c r="D200">
        <v>861</v>
      </c>
      <c r="E200">
        <v>1318</v>
      </c>
      <c r="F200">
        <v>1421</v>
      </c>
      <c r="H200" s="14">
        <f>VLOOKUP(Table56[[#This Row],[Shortname]], Comp[], 7, FALSE)</f>
        <v>83</v>
      </c>
      <c r="I200">
        <f>VLOOKUP(Table56[[#This Row],[Shortname]], Comp[], 8, FALSE)</f>
        <v>0</v>
      </c>
      <c r="J200">
        <f>VLOOKUP(Table56[[#This Row],[Shortname]], Comp[], 9, FALSE)</f>
        <v>10</v>
      </c>
      <c r="K200">
        <f>VLOOKUP(Table56[[#This Row],[Shortname]], Comp[], 10, FALSE)</f>
        <v>0</v>
      </c>
      <c r="L200">
        <f>VLOOKUP(Table56[[#This Row],[Shortname]], Comp[], 11, FALSE)</f>
        <v>0</v>
      </c>
      <c r="M200">
        <f>VLOOKUP(Table56[[#This Row],[Shortname]], Comp[],12, FALSE)</f>
        <v>0</v>
      </c>
      <c r="N200">
        <f>VLOOKUP(Table56[[#This Row],[Shortname]], Comp[], 13, FALSE)</f>
        <v>0</v>
      </c>
      <c r="O200">
        <f>VLOOKUP(Table56[[#This Row],[Shortname]], Comp[], 14, FALSE)</f>
        <v>2</v>
      </c>
      <c r="P200">
        <f>VLOOKUP(Table56[[#This Row],[Shortname]], Comp[], 15, FALSE)</f>
        <v>0</v>
      </c>
      <c r="Q200">
        <f>VLOOKUP(Table56[[#This Row],[Shortname]], Comp[], 16, FALSE)</f>
        <v>5</v>
      </c>
      <c r="R200">
        <f>VLOOKUP(Table56[[#This Row],[Shortname]], Comp[], 17, FALSE)</f>
        <v>0</v>
      </c>
      <c r="S200">
        <f>VLOOKUP(Table56[[#This Row],[Shortname]], Comp[], 18, FALSE)</f>
        <v>0</v>
      </c>
      <c r="T200">
        <f>VLOOKUP(Table56[[#This Row],[Shortname]], Comp[], 19, FALSE)</f>
        <v>0</v>
      </c>
      <c r="U200">
        <f>VLOOKUP(Table56[[#This Row],[Shortname]], Comp[], 20, FALSE)</f>
        <v>0</v>
      </c>
      <c r="V200">
        <f>VLOOKUP(Table56[[#This Row],[Shortname]], Comp[], 21, FALSE)</f>
        <v>0</v>
      </c>
      <c r="W200">
        <f>VLOOKUP(Table56[[#This Row],[Shortname]], Comp[], 22, FALSE)</f>
        <v>0</v>
      </c>
      <c r="X200">
        <f>VLOOKUP(Table56[[#This Row],[Shortname]], Comp[], 23, FALSE)</f>
        <v>0</v>
      </c>
      <c r="Y200">
        <f>VLOOKUP(Table56[[#This Row],[Shortname]], Comp[], 24, FALSE)</f>
        <v>0</v>
      </c>
      <c r="Z200">
        <f>VLOOKUP(Table56[[#This Row],[Shortname]], Comp[], 25, FALSE)</f>
        <v>0</v>
      </c>
      <c r="AA200">
        <f>VLOOKUP(Table56[[#This Row],[Shortname]], Comp[], 26, FALSE)</f>
        <v>0</v>
      </c>
      <c r="AB200">
        <f>VLOOKUP(Table56[[#This Row],[Shortname]], Comp[], 27, FALSE)</f>
        <v>0</v>
      </c>
      <c r="AC200">
        <f>VLOOKUP(Table56[[#This Row],[Shortname]], Comp[], 28, FALSE)</f>
        <v>0</v>
      </c>
      <c r="AD200">
        <f>VLOOKUP(Table56[[#This Row],[Shortname]], Comp[], 29, FALSE)</f>
        <v>0</v>
      </c>
      <c r="AE200">
        <f>VLOOKUP(Table56[[#This Row],[Shortname]], Comp[], 30, FALSE)</f>
        <v>0</v>
      </c>
      <c r="AF200">
        <f>VLOOKUP(Table56[[#This Row],[Shortname]], Comp[], 31, FALSE)</f>
        <v>0</v>
      </c>
    </row>
    <row r="201" spans="1:32" x14ac:dyDescent="0.3">
      <c r="A201" s="7" t="s">
        <v>2461</v>
      </c>
      <c r="B201" s="7" t="s">
        <v>5239</v>
      </c>
      <c r="C201" t="s">
        <v>6734</v>
      </c>
      <c r="D201">
        <v>1005</v>
      </c>
      <c r="E201">
        <v>1389</v>
      </c>
      <c r="F201">
        <v>1439</v>
      </c>
      <c r="H201" s="14">
        <f>VLOOKUP(Table56[[#This Row],[Shortname]], Comp[], 7, FALSE)</f>
        <v>67</v>
      </c>
      <c r="I201">
        <f>VLOOKUP(Table56[[#This Row],[Shortname]], Comp[], 8, FALSE)</f>
        <v>15.9</v>
      </c>
      <c r="J201">
        <f>VLOOKUP(Table56[[#This Row],[Shortname]], Comp[], 9, FALSE)</f>
        <v>13.6</v>
      </c>
      <c r="K201">
        <f>VLOOKUP(Table56[[#This Row],[Shortname]], Comp[], 10, FALSE)</f>
        <v>0</v>
      </c>
      <c r="L201">
        <f>VLOOKUP(Table56[[#This Row],[Shortname]], Comp[], 11, FALSE)</f>
        <v>1.9</v>
      </c>
      <c r="M201">
        <f>VLOOKUP(Table56[[#This Row],[Shortname]], Comp[],12, FALSE)</f>
        <v>0</v>
      </c>
      <c r="N201">
        <f>VLOOKUP(Table56[[#This Row],[Shortname]], Comp[], 13, FALSE)</f>
        <v>0.7</v>
      </c>
      <c r="O201">
        <f>VLOOKUP(Table56[[#This Row],[Shortname]], Comp[], 14, FALSE)</f>
        <v>0</v>
      </c>
      <c r="P201">
        <f>VLOOKUP(Table56[[#This Row],[Shortname]], Comp[], 15, FALSE)</f>
        <v>0</v>
      </c>
      <c r="Q201">
        <f>VLOOKUP(Table56[[#This Row],[Shortname]], Comp[], 16, FALSE)</f>
        <v>0.6</v>
      </c>
      <c r="R201">
        <f>VLOOKUP(Table56[[#This Row],[Shortname]], Comp[], 17, FALSE)</f>
        <v>0</v>
      </c>
      <c r="S201">
        <f>VLOOKUP(Table56[[#This Row],[Shortname]], Comp[], 18, FALSE)</f>
        <v>0</v>
      </c>
      <c r="T201">
        <f>VLOOKUP(Table56[[#This Row],[Shortname]], Comp[], 19, FALSE)</f>
        <v>0</v>
      </c>
      <c r="U201">
        <f>VLOOKUP(Table56[[#This Row],[Shortname]], Comp[], 20, FALSE)</f>
        <v>0</v>
      </c>
      <c r="V201">
        <f>VLOOKUP(Table56[[#This Row],[Shortname]], Comp[], 21, FALSE)</f>
        <v>0.3</v>
      </c>
      <c r="W201">
        <f>VLOOKUP(Table56[[#This Row],[Shortname]], Comp[], 22, FALSE)</f>
        <v>0</v>
      </c>
      <c r="X201">
        <f>VLOOKUP(Table56[[#This Row],[Shortname]], Comp[], 23, FALSE)</f>
        <v>0</v>
      </c>
      <c r="Y201">
        <f>VLOOKUP(Table56[[#This Row],[Shortname]], Comp[], 24, FALSE)</f>
        <v>0</v>
      </c>
      <c r="Z201">
        <f>VLOOKUP(Table56[[#This Row],[Shortname]], Comp[], 25, FALSE)</f>
        <v>0</v>
      </c>
      <c r="AA201">
        <f>VLOOKUP(Table56[[#This Row],[Shortname]], Comp[], 26, FALSE)</f>
        <v>0</v>
      </c>
      <c r="AB201">
        <f>VLOOKUP(Table56[[#This Row],[Shortname]], Comp[], 27, FALSE)</f>
        <v>0</v>
      </c>
      <c r="AC201">
        <f>VLOOKUP(Table56[[#This Row],[Shortname]], Comp[], 28, FALSE)</f>
        <v>0</v>
      </c>
      <c r="AD201">
        <f>VLOOKUP(Table56[[#This Row],[Shortname]], Comp[], 29, FALSE)</f>
        <v>0</v>
      </c>
      <c r="AE201">
        <f>VLOOKUP(Table56[[#This Row],[Shortname]], Comp[], 30, FALSE)</f>
        <v>0</v>
      </c>
      <c r="AF201">
        <f>VLOOKUP(Table56[[#This Row],[Shortname]], Comp[], 31, FALSE)</f>
        <v>0</v>
      </c>
    </row>
    <row r="202" spans="1:32" x14ac:dyDescent="0.3">
      <c r="A202" s="7" t="s">
        <v>2857</v>
      </c>
      <c r="B202" s="7" t="s">
        <v>2859</v>
      </c>
      <c r="C202" s="3" t="s">
        <v>2860</v>
      </c>
      <c r="E202">
        <v>1413</v>
      </c>
      <c r="F202">
        <v>1453</v>
      </c>
      <c r="H202" s="14">
        <f>VLOOKUP(Table56[[#This Row],[Shortname]], Comp[], 7, FALSE)</f>
        <v>78.400000000000006</v>
      </c>
      <c r="I202">
        <f>VLOOKUP(Table56[[#This Row],[Shortname]], Comp[], 8, FALSE)</f>
        <v>0</v>
      </c>
      <c r="J202">
        <f>VLOOKUP(Table56[[#This Row],[Shortname]], Comp[], 9, FALSE)</f>
        <v>7.8</v>
      </c>
      <c r="K202">
        <f>VLOOKUP(Table56[[#This Row],[Shortname]], Comp[], 10, FALSE)</f>
        <v>4.5</v>
      </c>
      <c r="L202">
        <f>VLOOKUP(Table56[[#This Row],[Shortname]], Comp[], 11, FALSE)</f>
        <v>7.8</v>
      </c>
      <c r="M202">
        <f>VLOOKUP(Table56[[#This Row],[Shortname]], Comp[],12, FALSE)</f>
        <v>0</v>
      </c>
      <c r="N202">
        <f>VLOOKUP(Table56[[#This Row],[Shortname]], Comp[], 13, FALSE)</f>
        <v>1.5</v>
      </c>
      <c r="O202">
        <f>VLOOKUP(Table56[[#This Row],[Shortname]], Comp[], 14, FALSE)</f>
        <v>0</v>
      </c>
      <c r="P202">
        <f>VLOOKUP(Table56[[#This Row],[Shortname]], Comp[], 15, FALSE)</f>
        <v>0</v>
      </c>
      <c r="Q202">
        <f>VLOOKUP(Table56[[#This Row],[Shortname]], Comp[], 16, FALSE)</f>
        <v>0</v>
      </c>
      <c r="R202">
        <f>VLOOKUP(Table56[[#This Row],[Shortname]], Comp[], 17, FALSE)</f>
        <v>0</v>
      </c>
      <c r="S202">
        <f>VLOOKUP(Table56[[#This Row],[Shortname]], Comp[], 18, FALSE)</f>
        <v>0</v>
      </c>
      <c r="T202">
        <f>VLOOKUP(Table56[[#This Row],[Shortname]], Comp[], 19, FALSE)</f>
        <v>0</v>
      </c>
      <c r="U202">
        <f>VLOOKUP(Table56[[#This Row],[Shortname]], Comp[], 20, FALSE)</f>
        <v>0</v>
      </c>
      <c r="V202">
        <f>VLOOKUP(Table56[[#This Row],[Shortname]], Comp[], 21, FALSE)</f>
        <v>0</v>
      </c>
      <c r="W202">
        <f>VLOOKUP(Table56[[#This Row],[Shortname]], Comp[], 22, FALSE)</f>
        <v>0</v>
      </c>
      <c r="X202">
        <f>VLOOKUP(Table56[[#This Row],[Shortname]], Comp[], 23, FALSE)</f>
        <v>0</v>
      </c>
      <c r="Y202">
        <f>VLOOKUP(Table56[[#This Row],[Shortname]], Comp[], 24, FALSE)</f>
        <v>0</v>
      </c>
      <c r="Z202">
        <f>VLOOKUP(Table56[[#This Row],[Shortname]], Comp[], 25, FALSE)</f>
        <v>0</v>
      </c>
      <c r="AA202">
        <f>VLOOKUP(Table56[[#This Row],[Shortname]], Comp[], 26, FALSE)</f>
        <v>0</v>
      </c>
      <c r="AB202">
        <f>VLOOKUP(Table56[[#This Row],[Shortname]], Comp[], 27, FALSE)</f>
        <v>0</v>
      </c>
      <c r="AC202">
        <f>VLOOKUP(Table56[[#This Row],[Shortname]], Comp[], 28, FALSE)</f>
        <v>0</v>
      </c>
      <c r="AD202">
        <f>VLOOKUP(Table56[[#This Row],[Shortname]], Comp[], 29, FALSE)</f>
        <v>0</v>
      </c>
      <c r="AE202">
        <f>VLOOKUP(Table56[[#This Row],[Shortname]], Comp[], 30, FALSE)</f>
        <v>0</v>
      </c>
      <c r="AF202">
        <f>VLOOKUP(Table56[[#This Row],[Shortname]], Comp[], 31, FALSE)</f>
        <v>0</v>
      </c>
    </row>
    <row r="203" spans="1:32" x14ac:dyDescent="0.3">
      <c r="A203" s="7" t="s">
        <v>2901</v>
      </c>
      <c r="B203" s="7" t="s">
        <v>2903</v>
      </c>
      <c r="C203" s="3" t="s">
        <v>2860</v>
      </c>
      <c r="E203">
        <v>1469</v>
      </c>
      <c r="F203">
        <v>1492</v>
      </c>
      <c r="H203" s="14">
        <f>VLOOKUP(Table56[[#This Row],[Shortname]], Comp[], 7, FALSE)</f>
        <v>79.400000000000006</v>
      </c>
      <c r="I203">
        <f>VLOOKUP(Table56[[#This Row],[Shortname]], Comp[], 8, FALSE)</f>
        <v>0</v>
      </c>
      <c r="J203">
        <f>VLOOKUP(Table56[[#This Row],[Shortname]], Comp[], 9, FALSE)</f>
        <v>8.8000000000000007</v>
      </c>
      <c r="K203">
        <f>VLOOKUP(Table56[[#This Row],[Shortname]], Comp[], 10, FALSE)</f>
        <v>0</v>
      </c>
      <c r="L203">
        <f>VLOOKUP(Table56[[#This Row],[Shortname]], Comp[], 11, FALSE)</f>
        <v>9.8000000000000007</v>
      </c>
      <c r="M203">
        <f>VLOOKUP(Table56[[#This Row],[Shortname]], Comp[],12, FALSE)</f>
        <v>0</v>
      </c>
      <c r="N203">
        <f>VLOOKUP(Table56[[#This Row],[Shortname]], Comp[], 13, FALSE)</f>
        <v>0</v>
      </c>
      <c r="O203">
        <f>VLOOKUP(Table56[[#This Row],[Shortname]], Comp[], 14, FALSE)</f>
        <v>0</v>
      </c>
      <c r="P203">
        <f>VLOOKUP(Table56[[#This Row],[Shortname]], Comp[], 15, FALSE)</f>
        <v>0</v>
      </c>
      <c r="Q203">
        <f>VLOOKUP(Table56[[#This Row],[Shortname]], Comp[], 16, FALSE)</f>
        <v>0</v>
      </c>
      <c r="R203">
        <f>VLOOKUP(Table56[[#This Row],[Shortname]], Comp[], 17, FALSE)</f>
        <v>0</v>
      </c>
      <c r="S203">
        <f>VLOOKUP(Table56[[#This Row],[Shortname]], Comp[], 18, FALSE)</f>
        <v>0</v>
      </c>
      <c r="T203">
        <f>VLOOKUP(Table56[[#This Row],[Shortname]], Comp[], 19, FALSE)</f>
        <v>0</v>
      </c>
      <c r="U203">
        <f>VLOOKUP(Table56[[#This Row],[Shortname]], Comp[], 20, FALSE)</f>
        <v>0</v>
      </c>
      <c r="V203">
        <f>VLOOKUP(Table56[[#This Row],[Shortname]], Comp[], 21, FALSE)</f>
        <v>2</v>
      </c>
      <c r="W203">
        <f>VLOOKUP(Table56[[#This Row],[Shortname]], Comp[], 22, FALSE)</f>
        <v>0</v>
      </c>
      <c r="X203">
        <f>VLOOKUP(Table56[[#This Row],[Shortname]], Comp[], 23, FALSE)</f>
        <v>0</v>
      </c>
      <c r="Y203">
        <f>VLOOKUP(Table56[[#This Row],[Shortname]], Comp[], 24, FALSE)</f>
        <v>0</v>
      </c>
      <c r="Z203">
        <f>VLOOKUP(Table56[[#This Row],[Shortname]], Comp[], 25, FALSE)</f>
        <v>0</v>
      </c>
      <c r="AA203">
        <f>VLOOKUP(Table56[[#This Row],[Shortname]], Comp[], 26, FALSE)</f>
        <v>0</v>
      </c>
      <c r="AB203">
        <f>VLOOKUP(Table56[[#This Row],[Shortname]], Comp[], 27, FALSE)</f>
        <v>0</v>
      </c>
      <c r="AC203">
        <f>VLOOKUP(Table56[[#This Row],[Shortname]], Comp[], 28, FALSE)</f>
        <v>0</v>
      </c>
      <c r="AD203">
        <f>VLOOKUP(Table56[[#This Row],[Shortname]], Comp[], 29, FALSE)</f>
        <v>0</v>
      </c>
      <c r="AE203">
        <f>VLOOKUP(Table56[[#This Row],[Shortname]], Comp[], 30, FALSE)</f>
        <v>0</v>
      </c>
      <c r="AF203">
        <f>VLOOKUP(Table56[[#This Row],[Shortname]], Comp[], 31, FALSE)</f>
        <v>0</v>
      </c>
    </row>
    <row r="204" spans="1:32" x14ac:dyDescent="0.3">
      <c r="A204" s="7" t="s">
        <v>1735</v>
      </c>
      <c r="B204" s="7" t="s">
        <v>3180</v>
      </c>
      <c r="C204" s="3" t="s">
        <v>2860</v>
      </c>
      <c r="E204">
        <v>1407</v>
      </c>
      <c r="F204">
        <v>1451</v>
      </c>
      <c r="H204" s="14">
        <f>VLOOKUP(Table56[[#This Row],[Shortname]], Comp[], 7, FALSE)</f>
        <v>79.400000000000006</v>
      </c>
      <c r="I204">
        <f>VLOOKUP(Table56[[#This Row],[Shortname]], Comp[], 8, FALSE)</f>
        <v>0</v>
      </c>
      <c r="J204">
        <f>VLOOKUP(Table56[[#This Row],[Shortname]], Comp[], 9, FALSE)</f>
        <v>8.8000000000000007</v>
      </c>
      <c r="K204">
        <f>VLOOKUP(Table56[[#This Row],[Shortname]], Comp[], 10, FALSE)</f>
        <v>0</v>
      </c>
      <c r="L204">
        <f>VLOOKUP(Table56[[#This Row],[Shortname]], Comp[], 11, FALSE)</f>
        <v>9.8000000000000007</v>
      </c>
      <c r="M204">
        <f>VLOOKUP(Table56[[#This Row],[Shortname]], Comp[],12, FALSE)</f>
        <v>0</v>
      </c>
      <c r="N204">
        <f>VLOOKUP(Table56[[#This Row],[Shortname]], Comp[], 13, FALSE)</f>
        <v>2</v>
      </c>
      <c r="O204">
        <f>VLOOKUP(Table56[[#This Row],[Shortname]], Comp[], 14, FALSE)</f>
        <v>0</v>
      </c>
      <c r="P204">
        <f>VLOOKUP(Table56[[#This Row],[Shortname]], Comp[], 15, FALSE)</f>
        <v>0</v>
      </c>
      <c r="Q204">
        <f>VLOOKUP(Table56[[#This Row],[Shortname]], Comp[], 16, FALSE)</f>
        <v>0</v>
      </c>
      <c r="R204">
        <f>VLOOKUP(Table56[[#This Row],[Shortname]], Comp[], 17, FALSE)</f>
        <v>0</v>
      </c>
      <c r="S204">
        <f>VLOOKUP(Table56[[#This Row],[Shortname]], Comp[], 18, FALSE)</f>
        <v>0</v>
      </c>
      <c r="T204">
        <f>VLOOKUP(Table56[[#This Row],[Shortname]], Comp[], 19, FALSE)</f>
        <v>0</v>
      </c>
      <c r="U204">
        <f>VLOOKUP(Table56[[#This Row],[Shortname]], Comp[], 20, FALSE)</f>
        <v>0</v>
      </c>
      <c r="V204">
        <f>VLOOKUP(Table56[[#This Row],[Shortname]], Comp[], 21, FALSE)</f>
        <v>0</v>
      </c>
      <c r="W204">
        <f>VLOOKUP(Table56[[#This Row],[Shortname]], Comp[], 22, FALSE)</f>
        <v>0</v>
      </c>
      <c r="X204">
        <f>VLOOKUP(Table56[[#This Row],[Shortname]], Comp[], 23, FALSE)</f>
        <v>0</v>
      </c>
      <c r="Y204">
        <f>VLOOKUP(Table56[[#This Row],[Shortname]], Comp[], 24, FALSE)</f>
        <v>0</v>
      </c>
      <c r="Z204">
        <f>VLOOKUP(Table56[[#This Row],[Shortname]], Comp[], 25, FALSE)</f>
        <v>0</v>
      </c>
      <c r="AA204">
        <f>VLOOKUP(Table56[[#This Row],[Shortname]], Comp[], 26, FALSE)</f>
        <v>0</v>
      </c>
      <c r="AB204">
        <f>VLOOKUP(Table56[[#This Row],[Shortname]], Comp[], 27, FALSE)</f>
        <v>0</v>
      </c>
      <c r="AC204">
        <f>VLOOKUP(Table56[[#This Row],[Shortname]], Comp[], 28, FALSE)</f>
        <v>0</v>
      </c>
      <c r="AD204">
        <f>VLOOKUP(Table56[[#This Row],[Shortname]], Comp[], 29, FALSE)</f>
        <v>0</v>
      </c>
      <c r="AE204">
        <f>VLOOKUP(Table56[[#This Row],[Shortname]], Comp[], 30, FALSE)</f>
        <v>0</v>
      </c>
      <c r="AF204">
        <f>VLOOKUP(Table56[[#This Row],[Shortname]], Comp[], 31, FALSE)</f>
        <v>0</v>
      </c>
    </row>
    <row r="205" spans="1:32" x14ac:dyDescent="0.3">
      <c r="A205" s="7" t="s">
        <v>2896</v>
      </c>
      <c r="B205" s="7" t="s">
        <v>2897</v>
      </c>
      <c r="C205" s="3" t="s">
        <v>2860</v>
      </c>
      <c r="E205">
        <v>1457</v>
      </c>
      <c r="F205">
        <v>1489</v>
      </c>
      <c r="H205" s="14">
        <f>VLOOKUP(Table56[[#This Row],[Shortname]], Comp[], 7, FALSE)</f>
        <v>81.599999999999994</v>
      </c>
      <c r="I205">
        <f>VLOOKUP(Table56[[#This Row],[Shortname]], Comp[], 8, FALSE)</f>
        <v>0</v>
      </c>
      <c r="J205">
        <f>VLOOKUP(Table56[[#This Row],[Shortname]], Comp[], 9, FALSE)</f>
        <v>9.1999999999999993</v>
      </c>
      <c r="K205">
        <f>VLOOKUP(Table56[[#This Row],[Shortname]], Comp[], 10, FALSE)</f>
        <v>0</v>
      </c>
      <c r="L205">
        <f>VLOOKUP(Table56[[#This Row],[Shortname]], Comp[], 11, FALSE)</f>
        <v>9.1999999999999993</v>
      </c>
      <c r="M205">
        <f>VLOOKUP(Table56[[#This Row],[Shortname]], Comp[],12, FALSE)</f>
        <v>0</v>
      </c>
      <c r="N205">
        <f>VLOOKUP(Table56[[#This Row],[Shortname]], Comp[], 13, FALSE)</f>
        <v>0</v>
      </c>
      <c r="O205">
        <f>VLOOKUP(Table56[[#This Row],[Shortname]], Comp[], 14, FALSE)</f>
        <v>0</v>
      </c>
      <c r="P205">
        <f>VLOOKUP(Table56[[#This Row],[Shortname]], Comp[], 15, FALSE)</f>
        <v>0</v>
      </c>
      <c r="Q205">
        <f>VLOOKUP(Table56[[#This Row],[Shortname]], Comp[], 16, FALSE)</f>
        <v>0</v>
      </c>
      <c r="R205">
        <f>VLOOKUP(Table56[[#This Row],[Shortname]], Comp[], 17, FALSE)</f>
        <v>0</v>
      </c>
      <c r="S205">
        <f>VLOOKUP(Table56[[#This Row],[Shortname]], Comp[], 18, FALSE)</f>
        <v>0</v>
      </c>
      <c r="T205">
        <f>VLOOKUP(Table56[[#This Row],[Shortname]], Comp[], 19, FALSE)</f>
        <v>0</v>
      </c>
      <c r="U205">
        <f>VLOOKUP(Table56[[#This Row],[Shortname]], Comp[], 20, FALSE)</f>
        <v>0</v>
      </c>
      <c r="V205">
        <f>VLOOKUP(Table56[[#This Row],[Shortname]], Comp[], 21, FALSE)</f>
        <v>0</v>
      </c>
      <c r="W205">
        <f>VLOOKUP(Table56[[#This Row],[Shortname]], Comp[], 22, FALSE)</f>
        <v>0</v>
      </c>
      <c r="X205">
        <f>VLOOKUP(Table56[[#This Row],[Shortname]], Comp[], 23, FALSE)</f>
        <v>0</v>
      </c>
      <c r="Y205">
        <f>VLOOKUP(Table56[[#This Row],[Shortname]], Comp[], 24, FALSE)</f>
        <v>0</v>
      </c>
      <c r="Z205">
        <f>VLOOKUP(Table56[[#This Row],[Shortname]], Comp[], 25, FALSE)</f>
        <v>0</v>
      </c>
      <c r="AA205">
        <f>VLOOKUP(Table56[[#This Row],[Shortname]], Comp[], 26, FALSE)</f>
        <v>0</v>
      </c>
      <c r="AB205">
        <f>VLOOKUP(Table56[[#This Row],[Shortname]], Comp[], 27, FALSE)</f>
        <v>0</v>
      </c>
      <c r="AC205">
        <f>VLOOKUP(Table56[[#This Row],[Shortname]], Comp[], 28, FALSE)</f>
        <v>0</v>
      </c>
      <c r="AD205">
        <f>VLOOKUP(Table56[[#This Row],[Shortname]], Comp[], 29, FALSE)</f>
        <v>0</v>
      </c>
      <c r="AE205">
        <f>VLOOKUP(Table56[[#This Row],[Shortname]], Comp[], 30, FALSE)</f>
        <v>0</v>
      </c>
      <c r="AF205">
        <f>VLOOKUP(Table56[[#This Row],[Shortname]], Comp[], 31, FALSE)</f>
        <v>0</v>
      </c>
    </row>
    <row r="206" spans="1:32" x14ac:dyDescent="0.3">
      <c r="A206" s="7" t="s">
        <v>2865</v>
      </c>
      <c r="B206" s="7" t="s">
        <v>2867</v>
      </c>
      <c r="C206" s="3" t="s">
        <v>2860</v>
      </c>
      <c r="E206">
        <v>1427</v>
      </c>
      <c r="F206">
        <v>1453</v>
      </c>
      <c r="H206" s="14">
        <f>VLOOKUP(Table56[[#This Row],[Shortname]], Comp[], 7, FALSE)</f>
        <v>82</v>
      </c>
      <c r="I206">
        <f>VLOOKUP(Table56[[#This Row],[Shortname]], Comp[], 8, FALSE)</f>
        <v>0</v>
      </c>
      <c r="J206">
        <f>VLOOKUP(Table56[[#This Row],[Shortname]], Comp[], 9, FALSE)</f>
        <v>9</v>
      </c>
      <c r="K206">
        <f>VLOOKUP(Table56[[#This Row],[Shortname]], Comp[], 10, FALSE)</f>
        <v>0</v>
      </c>
      <c r="L206">
        <f>VLOOKUP(Table56[[#This Row],[Shortname]], Comp[], 11, FALSE)</f>
        <v>3</v>
      </c>
      <c r="M206">
        <f>VLOOKUP(Table56[[#This Row],[Shortname]], Comp[],12, FALSE)</f>
        <v>0</v>
      </c>
      <c r="N206">
        <f>VLOOKUP(Table56[[#This Row],[Shortname]], Comp[], 13, FALSE)</f>
        <v>0</v>
      </c>
      <c r="O206">
        <f>VLOOKUP(Table56[[#This Row],[Shortname]], Comp[], 14, FALSE)</f>
        <v>0</v>
      </c>
      <c r="P206">
        <f>VLOOKUP(Table56[[#This Row],[Shortname]], Comp[], 15, FALSE)</f>
        <v>6</v>
      </c>
      <c r="Q206">
        <f>VLOOKUP(Table56[[#This Row],[Shortname]], Comp[], 16, FALSE)</f>
        <v>0</v>
      </c>
      <c r="R206">
        <f>VLOOKUP(Table56[[#This Row],[Shortname]], Comp[], 17, FALSE)</f>
        <v>0</v>
      </c>
      <c r="S206">
        <f>VLOOKUP(Table56[[#This Row],[Shortname]], Comp[], 18, FALSE)</f>
        <v>0</v>
      </c>
      <c r="T206">
        <f>VLOOKUP(Table56[[#This Row],[Shortname]], Comp[], 19, FALSE)</f>
        <v>0</v>
      </c>
      <c r="U206">
        <f>VLOOKUP(Table56[[#This Row],[Shortname]], Comp[], 20, FALSE)</f>
        <v>0</v>
      </c>
      <c r="V206">
        <f>VLOOKUP(Table56[[#This Row],[Shortname]], Comp[], 21, FALSE)</f>
        <v>0</v>
      </c>
      <c r="W206">
        <f>VLOOKUP(Table56[[#This Row],[Shortname]], Comp[], 22, FALSE)</f>
        <v>0</v>
      </c>
      <c r="X206">
        <f>VLOOKUP(Table56[[#This Row],[Shortname]], Comp[], 23, FALSE)</f>
        <v>0</v>
      </c>
      <c r="Y206">
        <f>VLOOKUP(Table56[[#This Row],[Shortname]], Comp[], 24, FALSE)</f>
        <v>0</v>
      </c>
      <c r="Z206">
        <f>VLOOKUP(Table56[[#This Row],[Shortname]], Comp[], 25, FALSE)</f>
        <v>0</v>
      </c>
      <c r="AA206">
        <f>VLOOKUP(Table56[[#This Row],[Shortname]], Comp[], 26, FALSE)</f>
        <v>0</v>
      </c>
      <c r="AB206">
        <f>VLOOKUP(Table56[[#This Row],[Shortname]], Comp[], 27, FALSE)</f>
        <v>0</v>
      </c>
      <c r="AC206">
        <f>VLOOKUP(Table56[[#This Row],[Shortname]], Comp[], 28, FALSE)</f>
        <v>0</v>
      </c>
      <c r="AD206">
        <f>VLOOKUP(Table56[[#This Row],[Shortname]], Comp[], 29, FALSE)</f>
        <v>0</v>
      </c>
      <c r="AE206">
        <f>VLOOKUP(Table56[[#This Row],[Shortname]], Comp[], 30, FALSE)</f>
        <v>0</v>
      </c>
      <c r="AF206">
        <f>VLOOKUP(Table56[[#This Row],[Shortname]], Comp[], 31, FALSE)</f>
        <v>0</v>
      </c>
    </row>
    <row r="207" spans="1:32" x14ac:dyDescent="0.3">
      <c r="A207" s="7" t="s">
        <v>2872</v>
      </c>
      <c r="B207" s="7" t="s">
        <v>2874</v>
      </c>
      <c r="C207" s="3" t="s">
        <v>2860</v>
      </c>
      <c r="E207">
        <v>1432</v>
      </c>
      <c r="F207">
        <v>1457</v>
      </c>
      <c r="H207" s="14">
        <f>VLOOKUP(Table56[[#This Row],[Shortname]], Comp[], 7, FALSE)</f>
        <v>82</v>
      </c>
      <c r="I207">
        <f>VLOOKUP(Table56[[#This Row],[Shortname]], Comp[], 8, FALSE)</f>
        <v>0</v>
      </c>
      <c r="J207">
        <f>VLOOKUP(Table56[[#This Row],[Shortname]], Comp[], 9, FALSE)</f>
        <v>9</v>
      </c>
      <c r="K207">
        <f>VLOOKUP(Table56[[#This Row],[Shortname]], Comp[], 10, FALSE)</f>
        <v>0</v>
      </c>
      <c r="L207">
        <f>VLOOKUP(Table56[[#This Row],[Shortname]], Comp[], 11, FALSE)</f>
        <v>6</v>
      </c>
      <c r="M207">
        <f>VLOOKUP(Table56[[#This Row],[Shortname]], Comp[],12, FALSE)</f>
        <v>0</v>
      </c>
      <c r="N207">
        <f>VLOOKUP(Table56[[#This Row],[Shortname]], Comp[], 13, FALSE)</f>
        <v>0</v>
      </c>
      <c r="O207">
        <f>VLOOKUP(Table56[[#This Row],[Shortname]], Comp[], 14, FALSE)</f>
        <v>0</v>
      </c>
      <c r="P207">
        <f>VLOOKUP(Table56[[#This Row],[Shortname]], Comp[], 15, FALSE)</f>
        <v>0</v>
      </c>
      <c r="Q207">
        <f>VLOOKUP(Table56[[#This Row],[Shortname]], Comp[], 16, FALSE)</f>
        <v>3</v>
      </c>
      <c r="R207">
        <f>VLOOKUP(Table56[[#This Row],[Shortname]], Comp[], 17, FALSE)</f>
        <v>0</v>
      </c>
      <c r="S207">
        <f>VLOOKUP(Table56[[#This Row],[Shortname]], Comp[], 18, FALSE)</f>
        <v>0</v>
      </c>
      <c r="T207">
        <f>VLOOKUP(Table56[[#This Row],[Shortname]], Comp[], 19, FALSE)</f>
        <v>0</v>
      </c>
      <c r="U207">
        <f>VLOOKUP(Table56[[#This Row],[Shortname]], Comp[], 20, FALSE)</f>
        <v>0</v>
      </c>
      <c r="V207">
        <f>VLOOKUP(Table56[[#This Row],[Shortname]], Comp[], 21, FALSE)</f>
        <v>0</v>
      </c>
      <c r="W207">
        <f>VLOOKUP(Table56[[#This Row],[Shortname]], Comp[], 22, FALSE)</f>
        <v>0</v>
      </c>
      <c r="X207">
        <f>VLOOKUP(Table56[[#This Row],[Shortname]], Comp[], 23, FALSE)</f>
        <v>0</v>
      </c>
      <c r="Y207">
        <f>VLOOKUP(Table56[[#This Row],[Shortname]], Comp[], 24, FALSE)</f>
        <v>0</v>
      </c>
      <c r="Z207">
        <f>VLOOKUP(Table56[[#This Row],[Shortname]], Comp[], 25, FALSE)</f>
        <v>0</v>
      </c>
      <c r="AA207">
        <f>VLOOKUP(Table56[[#This Row],[Shortname]], Comp[], 26, FALSE)</f>
        <v>0</v>
      </c>
      <c r="AB207">
        <f>VLOOKUP(Table56[[#This Row],[Shortname]], Comp[], 27, FALSE)</f>
        <v>0</v>
      </c>
      <c r="AC207">
        <f>VLOOKUP(Table56[[#This Row],[Shortname]], Comp[], 28, FALSE)</f>
        <v>0</v>
      </c>
      <c r="AD207">
        <f>VLOOKUP(Table56[[#This Row],[Shortname]], Comp[], 29, FALSE)</f>
        <v>0</v>
      </c>
      <c r="AE207">
        <f>VLOOKUP(Table56[[#This Row],[Shortname]], Comp[], 30, FALSE)</f>
        <v>0</v>
      </c>
      <c r="AF207">
        <f>VLOOKUP(Table56[[#This Row],[Shortname]], Comp[], 31, FALSE)</f>
        <v>0</v>
      </c>
    </row>
    <row r="208" spans="1:32" x14ac:dyDescent="0.3">
      <c r="A208" s="7" t="s">
        <v>2878</v>
      </c>
      <c r="B208" s="7" t="s">
        <v>2880</v>
      </c>
      <c r="C208" s="3" t="s">
        <v>2860</v>
      </c>
      <c r="E208">
        <v>1445</v>
      </c>
      <c r="F208">
        <v>1464</v>
      </c>
      <c r="H208" s="14">
        <f>VLOOKUP(Table56[[#This Row],[Shortname]], Comp[], 7, FALSE)</f>
        <v>82</v>
      </c>
      <c r="I208">
        <f>VLOOKUP(Table56[[#This Row],[Shortname]], Comp[], 8, FALSE)</f>
        <v>0</v>
      </c>
      <c r="J208">
        <f>VLOOKUP(Table56[[#This Row],[Shortname]], Comp[], 9, FALSE)</f>
        <v>9</v>
      </c>
      <c r="K208">
        <f>VLOOKUP(Table56[[#This Row],[Shortname]], Comp[], 10, FALSE)</f>
        <v>0</v>
      </c>
      <c r="L208">
        <f>VLOOKUP(Table56[[#This Row],[Shortname]], Comp[], 11, FALSE)</f>
        <v>7.5</v>
      </c>
      <c r="M208">
        <f>VLOOKUP(Table56[[#This Row],[Shortname]], Comp[],12, FALSE)</f>
        <v>0</v>
      </c>
      <c r="N208">
        <f>VLOOKUP(Table56[[#This Row],[Shortname]], Comp[], 13, FALSE)</f>
        <v>0</v>
      </c>
      <c r="O208">
        <f>VLOOKUP(Table56[[#This Row],[Shortname]], Comp[], 14, FALSE)</f>
        <v>0</v>
      </c>
      <c r="P208">
        <f>VLOOKUP(Table56[[#This Row],[Shortname]], Comp[], 15, FALSE)</f>
        <v>0</v>
      </c>
      <c r="Q208">
        <f>VLOOKUP(Table56[[#This Row],[Shortname]], Comp[], 16, FALSE)</f>
        <v>1.5</v>
      </c>
      <c r="R208">
        <f>VLOOKUP(Table56[[#This Row],[Shortname]], Comp[], 17, FALSE)</f>
        <v>0</v>
      </c>
      <c r="S208">
        <f>VLOOKUP(Table56[[#This Row],[Shortname]], Comp[], 18, FALSE)</f>
        <v>0</v>
      </c>
      <c r="T208">
        <f>VLOOKUP(Table56[[#This Row],[Shortname]], Comp[], 19, FALSE)</f>
        <v>0</v>
      </c>
      <c r="U208">
        <f>VLOOKUP(Table56[[#This Row],[Shortname]], Comp[], 20, FALSE)</f>
        <v>0</v>
      </c>
      <c r="V208">
        <f>VLOOKUP(Table56[[#This Row],[Shortname]], Comp[], 21, FALSE)</f>
        <v>0</v>
      </c>
      <c r="W208">
        <f>VLOOKUP(Table56[[#This Row],[Shortname]], Comp[], 22, FALSE)</f>
        <v>0</v>
      </c>
      <c r="X208">
        <f>VLOOKUP(Table56[[#This Row],[Shortname]], Comp[], 23, FALSE)</f>
        <v>0</v>
      </c>
      <c r="Y208">
        <f>VLOOKUP(Table56[[#This Row],[Shortname]], Comp[], 24, FALSE)</f>
        <v>0</v>
      </c>
      <c r="Z208">
        <f>VLOOKUP(Table56[[#This Row],[Shortname]], Comp[], 25, FALSE)</f>
        <v>0</v>
      </c>
      <c r="AA208">
        <f>VLOOKUP(Table56[[#This Row],[Shortname]], Comp[], 26, FALSE)</f>
        <v>0</v>
      </c>
      <c r="AB208">
        <f>VLOOKUP(Table56[[#This Row],[Shortname]], Comp[], 27, FALSE)</f>
        <v>0</v>
      </c>
      <c r="AC208">
        <f>VLOOKUP(Table56[[#This Row],[Shortname]], Comp[], 28, FALSE)</f>
        <v>0</v>
      </c>
      <c r="AD208">
        <f>VLOOKUP(Table56[[#This Row],[Shortname]], Comp[], 29, FALSE)</f>
        <v>0</v>
      </c>
      <c r="AE208">
        <f>VLOOKUP(Table56[[#This Row],[Shortname]], Comp[], 30, FALSE)</f>
        <v>0</v>
      </c>
      <c r="AF208">
        <f>VLOOKUP(Table56[[#This Row],[Shortname]], Comp[], 31, FALSE)</f>
        <v>0</v>
      </c>
    </row>
    <row r="209" spans="1:32" x14ac:dyDescent="0.3">
      <c r="A209" s="7" t="s">
        <v>2884</v>
      </c>
      <c r="B209" s="7" t="s">
        <v>2886</v>
      </c>
      <c r="C209" s="3" t="s">
        <v>2860</v>
      </c>
      <c r="E209">
        <v>1449</v>
      </c>
      <c r="F209">
        <v>1472</v>
      </c>
      <c r="H209" s="14">
        <f>VLOOKUP(Table56[[#This Row],[Shortname]], Comp[], 7, FALSE)</f>
        <v>72</v>
      </c>
      <c r="I209">
        <f>VLOOKUP(Table56[[#This Row],[Shortname]], Comp[], 8, FALSE)</f>
        <v>10</v>
      </c>
      <c r="J209">
        <f>VLOOKUP(Table56[[#This Row],[Shortname]], Comp[], 9, FALSE)</f>
        <v>9</v>
      </c>
      <c r="K209">
        <f>VLOOKUP(Table56[[#This Row],[Shortname]], Comp[], 10, FALSE)</f>
        <v>0</v>
      </c>
      <c r="L209">
        <f>VLOOKUP(Table56[[#This Row],[Shortname]], Comp[], 11, FALSE)</f>
        <v>9</v>
      </c>
      <c r="M209">
        <f>VLOOKUP(Table56[[#This Row],[Shortname]], Comp[],12, FALSE)</f>
        <v>0</v>
      </c>
      <c r="N209">
        <f>VLOOKUP(Table56[[#This Row],[Shortname]], Comp[], 13, FALSE)</f>
        <v>0</v>
      </c>
      <c r="O209">
        <f>VLOOKUP(Table56[[#This Row],[Shortname]], Comp[], 14, FALSE)</f>
        <v>0</v>
      </c>
      <c r="P209">
        <f>VLOOKUP(Table56[[#This Row],[Shortname]], Comp[], 15, FALSE)</f>
        <v>0</v>
      </c>
      <c r="Q209">
        <f>VLOOKUP(Table56[[#This Row],[Shortname]], Comp[], 16, FALSE)</f>
        <v>0</v>
      </c>
      <c r="R209">
        <f>VLOOKUP(Table56[[#This Row],[Shortname]], Comp[], 17, FALSE)</f>
        <v>0</v>
      </c>
      <c r="S209">
        <f>VLOOKUP(Table56[[#This Row],[Shortname]], Comp[], 18, FALSE)</f>
        <v>0</v>
      </c>
      <c r="T209">
        <f>VLOOKUP(Table56[[#This Row],[Shortname]], Comp[], 19, FALSE)</f>
        <v>0</v>
      </c>
      <c r="U209">
        <f>VLOOKUP(Table56[[#This Row],[Shortname]], Comp[], 20, FALSE)</f>
        <v>0</v>
      </c>
      <c r="V209">
        <f>VLOOKUP(Table56[[#This Row],[Shortname]], Comp[], 21, FALSE)</f>
        <v>0</v>
      </c>
      <c r="W209">
        <f>VLOOKUP(Table56[[#This Row],[Shortname]], Comp[], 22, FALSE)</f>
        <v>0</v>
      </c>
      <c r="X209">
        <f>VLOOKUP(Table56[[#This Row],[Shortname]], Comp[], 23, FALSE)</f>
        <v>0</v>
      </c>
      <c r="Y209">
        <f>VLOOKUP(Table56[[#This Row],[Shortname]], Comp[], 24, FALSE)</f>
        <v>0</v>
      </c>
      <c r="Z209">
        <f>VLOOKUP(Table56[[#This Row],[Shortname]], Comp[], 25, FALSE)</f>
        <v>0</v>
      </c>
      <c r="AA209">
        <f>VLOOKUP(Table56[[#This Row],[Shortname]], Comp[], 26, FALSE)</f>
        <v>0</v>
      </c>
      <c r="AB209">
        <f>VLOOKUP(Table56[[#This Row],[Shortname]], Comp[], 27, FALSE)</f>
        <v>0</v>
      </c>
      <c r="AC209">
        <f>VLOOKUP(Table56[[#This Row],[Shortname]], Comp[], 28, FALSE)</f>
        <v>0</v>
      </c>
      <c r="AD209">
        <f>VLOOKUP(Table56[[#This Row],[Shortname]], Comp[], 29, FALSE)</f>
        <v>0</v>
      </c>
      <c r="AE209">
        <f>VLOOKUP(Table56[[#This Row],[Shortname]], Comp[], 30, FALSE)</f>
        <v>0</v>
      </c>
      <c r="AF209">
        <f>VLOOKUP(Table56[[#This Row],[Shortname]], Comp[], 31, FALSE)</f>
        <v>0</v>
      </c>
    </row>
    <row r="210" spans="1:32" x14ac:dyDescent="0.3">
      <c r="A210" s="7" t="s">
        <v>2890</v>
      </c>
      <c r="B210" s="7" t="s">
        <v>2892</v>
      </c>
      <c r="C210" s="3" t="s">
        <v>2860</v>
      </c>
      <c r="E210">
        <v>1451</v>
      </c>
      <c r="F210">
        <v>1472</v>
      </c>
      <c r="H210" s="14">
        <f>VLOOKUP(Table56[[#This Row],[Shortname]], Comp[], 7, FALSE)</f>
        <v>62</v>
      </c>
      <c r="I210">
        <f>VLOOKUP(Table56[[#This Row],[Shortname]], Comp[], 8, FALSE)</f>
        <v>20</v>
      </c>
      <c r="J210">
        <f>VLOOKUP(Table56[[#This Row],[Shortname]], Comp[], 9, FALSE)</f>
        <v>9</v>
      </c>
      <c r="K210">
        <f>VLOOKUP(Table56[[#This Row],[Shortname]], Comp[], 10, FALSE)</f>
        <v>0</v>
      </c>
      <c r="L210">
        <f>VLOOKUP(Table56[[#This Row],[Shortname]], Comp[], 11, FALSE)</f>
        <v>9</v>
      </c>
      <c r="M210">
        <f>VLOOKUP(Table56[[#This Row],[Shortname]], Comp[],12, FALSE)</f>
        <v>0</v>
      </c>
      <c r="N210">
        <f>VLOOKUP(Table56[[#This Row],[Shortname]], Comp[], 13, FALSE)</f>
        <v>0</v>
      </c>
      <c r="O210">
        <f>VLOOKUP(Table56[[#This Row],[Shortname]], Comp[], 14, FALSE)</f>
        <v>0</v>
      </c>
      <c r="P210">
        <f>VLOOKUP(Table56[[#This Row],[Shortname]], Comp[], 15, FALSE)</f>
        <v>0</v>
      </c>
      <c r="Q210">
        <f>VLOOKUP(Table56[[#This Row],[Shortname]], Comp[], 16, FALSE)</f>
        <v>0</v>
      </c>
      <c r="R210">
        <f>VLOOKUP(Table56[[#This Row],[Shortname]], Comp[], 17, FALSE)</f>
        <v>0</v>
      </c>
      <c r="S210">
        <f>VLOOKUP(Table56[[#This Row],[Shortname]], Comp[], 18, FALSE)</f>
        <v>0</v>
      </c>
      <c r="T210">
        <f>VLOOKUP(Table56[[#This Row],[Shortname]], Comp[], 19, FALSE)</f>
        <v>0</v>
      </c>
      <c r="U210">
        <f>VLOOKUP(Table56[[#This Row],[Shortname]], Comp[], 20, FALSE)</f>
        <v>0</v>
      </c>
      <c r="V210">
        <f>VLOOKUP(Table56[[#This Row],[Shortname]], Comp[], 21, FALSE)</f>
        <v>0</v>
      </c>
      <c r="W210">
        <f>VLOOKUP(Table56[[#This Row],[Shortname]], Comp[], 22, FALSE)</f>
        <v>0</v>
      </c>
      <c r="X210">
        <f>VLOOKUP(Table56[[#This Row],[Shortname]], Comp[], 23, FALSE)</f>
        <v>0</v>
      </c>
      <c r="Y210">
        <f>VLOOKUP(Table56[[#This Row],[Shortname]], Comp[], 24, FALSE)</f>
        <v>0</v>
      </c>
      <c r="Z210">
        <f>VLOOKUP(Table56[[#This Row],[Shortname]], Comp[], 25, FALSE)</f>
        <v>0</v>
      </c>
      <c r="AA210">
        <f>VLOOKUP(Table56[[#This Row],[Shortname]], Comp[], 26, FALSE)</f>
        <v>0</v>
      </c>
      <c r="AB210">
        <f>VLOOKUP(Table56[[#This Row],[Shortname]], Comp[], 27, FALSE)</f>
        <v>0</v>
      </c>
      <c r="AC210">
        <f>VLOOKUP(Table56[[#This Row],[Shortname]], Comp[], 28, FALSE)</f>
        <v>0</v>
      </c>
      <c r="AD210">
        <f>VLOOKUP(Table56[[#This Row],[Shortname]], Comp[], 29, FALSE)</f>
        <v>0</v>
      </c>
      <c r="AE210">
        <f>VLOOKUP(Table56[[#This Row],[Shortname]], Comp[], 30, FALSE)</f>
        <v>0</v>
      </c>
      <c r="AF210">
        <f>VLOOKUP(Table56[[#This Row],[Shortname]], Comp[], 31, FALSE)</f>
        <v>0</v>
      </c>
    </row>
    <row r="211" spans="1:32" x14ac:dyDescent="0.3">
      <c r="A211" s="7" t="s">
        <v>2984</v>
      </c>
      <c r="B211" s="7" t="s">
        <v>2985</v>
      </c>
      <c r="C211" s="9" t="s">
        <v>6621</v>
      </c>
      <c r="D211">
        <v>974</v>
      </c>
      <c r="E211">
        <v>1449</v>
      </c>
      <c r="F211">
        <v>1479</v>
      </c>
      <c r="H211" s="14">
        <f>VLOOKUP(Table56[[#This Row],[Shortname]], Comp[], 7, FALSE)</f>
        <v>80.699999999999989</v>
      </c>
      <c r="I211">
        <f>VLOOKUP(Table56[[#This Row],[Shortname]], Comp[], 8, FALSE)</f>
        <v>0</v>
      </c>
      <c r="J211">
        <f>VLOOKUP(Table56[[#This Row],[Shortname]], Comp[], 9, FALSE)</f>
        <v>8.9</v>
      </c>
      <c r="K211">
        <f>VLOOKUP(Table56[[#This Row],[Shortname]], Comp[], 10, FALSE)</f>
        <v>0</v>
      </c>
      <c r="L211">
        <f>VLOOKUP(Table56[[#This Row],[Shortname]], Comp[], 11, FALSE)</f>
        <v>10.3</v>
      </c>
      <c r="M211">
        <f>VLOOKUP(Table56[[#This Row],[Shortname]], Comp[],12, FALSE)</f>
        <v>0</v>
      </c>
      <c r="N211">
        <f>VLOOKUP(Table56[[#This Row],[Shortname]], Comp[], 13, FALSE)</f>
        <v>0</v>
      </c>
      <c r="O211">
        <f>VLOOKUP(Table56[[#This Row],[Shortname]], Comp[], 14, FALSE)</f>
        <v>0</v>
      </c>
      <c r="P211">
        <f>VLOOKUP(Table56[[#This Row],[Shortname]], Comp[], 15, FALSE)</f>
        <v>0</v>
      </c>
      <c r="Q211">
        <f>VLOOKUP(Table56[[#This Row],[Shortname]], Comp[], 16, FALSE)</f>
        <v>0</v>
      </c>
      <c r="R211">
        <f>VLOOKUP(Table56[[#This Row],[Shortname]], Comp[], 17, FALSE)</f>
        <v>0</v>
      </c>
      <c r="S211">
        <f>VLOOKUP(Table56[[#This Row],[Shortname]], Comp[], 18, FALSE)</f>
        <v>0</v>
      </c>
      <c r="T211">
        <f>VLOOKUP(Table56[[#This Row],[Shortname]], Comp[], 19, FALSE)</f>
        <v>0.1</v>
      </c>
      <c r="U211">
        <f>VLOOKUP(Table56[[#This Row],[Shortname]], Comp[], 20, FALSE)</f>
        <v>0</v>
      </c>
      <c r="V211">
        <f>VLOOKUP(Table56[[#This Row],[Shortname]], Comp[], 21, FALSE)</f>
        <v>0</v>
      </c>
      <c r="W211">
        <f>VLOOKUP(Table56[[#This Row],[Shortname]], Comp[], 22, FALSE)</f>
        <v>0</v>
      </c>
      <c r="X211">
        <f>VLOOKUP(Table56[[#This Row],[Shortname]], Comp[], 23, FALSE)</f>
        <v>0</v>
      </c>
      <c r="Y211">
        <f>VLOOKUP(Table56[[#This Row],[Shortname]], Comp[], 24, FALSE)</f>
        <v>0</v>
      </c>
      <c r="Z211">
        <f>VLOOKUP(Table56[[#This Row],[Shortname]], Comp[], 25, FALSE)</f>
        <v>0</v>
      </c>
      <c r="AA211">
        <f>VLOOKUP(Table56[[#This Row],[Shortname]], Comp[], 26, FALSE)</f>
        <v>0</v>
      </c>
      <c r="AB211">
        <f>VLOOKUP(Table56[[#This Row],[Shortname]], Comp[], 27, FALSE)</f>
        <v>0</v>
      </c>
      <c r="AC211">
        <f>VLOOKUP(Table56[[#This Row],[Shortname]], Comp[], 28, FALSE)</f>
        <v>0</v>
      </c>
      <c r="AD211">
        <f>VLOOKUP(Table56[[#This Row],[Shortname]], Comp[], 29, FALSE)</f>
        <v>0</v>
      </c>
      <c r="AE211">
        <f>VLOOKUP(Table56[[#This Row],[Shortname]], Comp[], 30, FALSE)</f>
        <v>0</v>
      </c>
      <c r="AF211">
        <f>VLOOKUP(Table56[[#This Row],[Shortname]], Comp[], 31, FALSE)</f>
        <v>0</v>
      </c>
    </row>
    <row r="212" spans="1:32" x14ac:dyDescent="0.3">
      <c r="A212" s="7" t="s">
        <v>2980</v>
      </c>
      <c r="B212" s="7" t="s">
        <v>2969</v>
      </c>
      <c r="C212" s="9" t="s">
        <v>6621</v>
      </c>
      <c r="D212">
        <v>927</v>
      </c>
      <c r="E212">
        <v>1459</v>
      </c>
      <c r="F212">
        <v>1475</v>
      </c>
      <c r="H212" s="14">
        <f>VLOOKUP(Table56[[#This Row],[Shortname]], Comp[], 7, FALSE)</f>
        <v>82.7</v>
      </c>
      <c r="I212">
        <f>VLOOKUP(Table56[[#This Row],[Shortname]], Comp[], 8, FALSE)</f>
        <v>0</v>
      </c>
      <c r="J212">
        <f>VLOOKUP(Table56[[#This Row],[Shortname]], Comp[], 9, FALSE)</f>
        <v>8.5</v>
      </c>
      <c r="K212">
        <f>VLOOKUP(Table56[[#This Row],[Shortname]], Comp[], 10, FALSE)</f>
        <v>0</v>
      </c>
      <c r="L212">
        <f>VLOOKUP(Table56[[#This Row],[Shortname]], Comp[], 11, FALSE)</f>
        <v>8.6999999999999993</v>
      </c>
      <c r="M212">
        <f>VLOOKUP(Table56[[#This Row],[Shortname]], Comp[],12, FALSE)</f>
        <v>0</v>
      </c>
      <c r="N212">
        <f>VLOOKUP(Table56[[#This Row],[Shortname]], Comp[], 13, FALSE)</f>
        <v>0</v>
      </c>
      <c r="O212">
        <f>VLOOKUP(Table56[[#This Row],[Shortname]], Comp[], 14, FALSE)</f>
        <v>0</v>
      </c>
      <c r="P212">
        <f>VLOOKUP(Table56[[#This Row],[Shortname]], Comp[], 15, FALSE)</f>
        <v>0</v>
      </c>
      <c r="Q212">
        <f>VLOOKUP(Table56[[#This Row],[Shortname]], Comp[], 16, FALSE)</f>
        <v>0</v>
      </c>
      <c r="R212">
        <f>VLOOKUP(Table56[[#This Row],[Shortname]], Comp[], 17, FALSE)</f>
        <v>0</v>
      </c>
      <c r="S212">
        <f>VLOOKUP(Table56[[#This Row],[Shortname]], Comp[], 18, FALSE)</f>
        <v>0</v>
      </c>
      <c r="T212">
        <f>VLOOKUP(Table56[[#This Row],[Shortname]], Comp[], 19, FALSE)</f>
        <v>0.1</v>
      </c>
      <c r="U212">
        <f>VLOOKUP(Table56[[#This Row],[Shortname]], Comp[], 20, FALSE)</f>
        <v>0</v>
      </c>
      <c r="V212">
        <f>VLOOKUP(Table56[[#This Row],[Shortname]], Comp[], 21, FALSE)</f>
        <v>0</v>
      </c>
      <c r="W212">
        <f>VLOOKUP(Table56[[#This Row],[Shortname]], Comp[], 22, FALSE)</f>
        <v>0</v>
      </c>
      <c r="X212">
        <f>VLOOKUP(Table56[[#This Row],[Shortname]], Comp[], 23, FALSE)</f>
        <v>0</v>
      </c>
      <c r="Y212">
        <f>VLOOKUP(Table56[[#This Row],[Shortname]], Comp[], 24, FALSE)</f>
        <v>0</v>
      </c>
      <c r="Z212">
        <f>VLOOKUP(Table56[[#This Row],[Shortname]], Comp[], 25, FALSE)</f>
        <v>0</v>
      </c>
      <c r="AA212">
        <f>VLOOKUP(Table56[[#This Row],[Shortname]], Comp[], 26, FALSE)</f>
        <v>0</v>
      </c>
      <c r="AB212">
        <f>VLOOKUP(Table56[[#This Row],[Shortname]], Comp[], 27, FALSE)</f>
        <v>0</v>
      </c>
      <c r="AC212">
        <f>VLOOKUP(Table56[[#This Row],[Shortname]], Comp[], 28, FALSE)</f>
        <v>0</v>
      </c>
      <c r="AD212">
        <f>VLOOKUP(Table56[[#This Row],[Shortname]], Comp[], 29, FALSE)</f>
        <v>0</v>
      </c>
      <c r="AE212">
        <f>VLOOKUP(Table56[[#This Row],[Shortname]], Comp[], 30, FALSE)</f>
        <v>0</v>
      </c>
      <c r="AF212">
        <f>VLOOKUP(Table56[[#This Row],[Shortname]], Comp[], 31, FALSE)</f>
        <v>0</v>
      </c>
    </row>
    <row r="213" spans="1:32" x14ac:dyDescent="0.3">
      <c r="A213" s="7" t="s">
        <v>2974</v>
      </c>
      <c r="B213" s="7" t="s">
        <v>2975</v>
      </c>
      <c r="C213" s="9" t="s">
        <v>6621</v>
      </c>
      <c r="D213">
        <v>920</v>
      </c>
      <c r="E213">
        <v>1457</v>
      </c>
      <c r="F213">
        <v>1486</v>
      </c>
      <c r="H213" s="14">
        <f>VLOOKUP(Table56[[#This Row],[Shortname]], Comp[], 7, FALSE)</f>
        <v>84</v>
      </c>
      <c r="I213">
        <f>VLOOKUP(Table56[[#This Row],[Shortname]], Comp[], 8, FALSE)</f>
        <v>0</v>
      </c>
      <c r="J213">
        <f>VLOOKUP(Table56[[#This Row],[Shortname]], Comp[], 9, FALSE)</f>
        <v>8.5</v>
      </c>
      <c r="K213">
        <f>VLOOKUP(Table56[[#This Row],[Shortname]], Comp[], 10, FALSE)</f>
        <v>0</v>
      </c>
      <c r="L213">
        <f>VLOOKUP(Table56[[#This Row],[Shortname]], Comp[], 11, FALSE)</f>
        <v>7.4</v>
      </c>
      <c r="M213">
        <f>VLOOKUP(Table56[[#This Row],[Shortname]], Comp[],12, FALSE)</f>
        <v>0</v>
      </c>
      <c r="N213">
        <f>VLOOKUP(Table56[[#This Row],[Shortname]], Comp[], 13, FALSE)</f>
        <v>0</v>
      </c>
      <c r="O213">
        <f>VLOOKUP(Table56[[#This Row],[Shortname]], Comp[], 14, FALSE)</f>
        <v>0</v>
      </c>
      <c r="P213">
        <f>VLOOKUP(Table56[[#This Row],[Shortname]], Comp[], 15, FALSE)</f>
        <v>0</v>
      </c>
      <c r="Q213">
        <f>VLOOKUP(Table56[[#This Row],[Shortname]], Comp[], 16, FALSE)</f>
        <v>0</v>
      </c>
      <c r="R213">
        <f>VLOOKUP(Table56[[#This Row],[Shortname]], Comp[], 17, FALSE)</f>
        <v>0</v>
      </c>
      <c r="S213">
        <f>VLOOKUP(Table56[[#This Row],[Shortname]], Comp[], 18, FALSE)</f>
        <v>0</v>
      </c>
      <c r="T213">
        <f>VLOOKUP(Table56[[#This Row],[Shortname]], Comp[], 19, FALSE)</f>
        <v>0.1</v>
      </c>
      <c r="U213">
        <f>VLOOKUP(Table56[[#This Row],[Shortname]], Comp[], 20, FALSE)</f>
        <v>0</v>
      </c>
      <c r="V213">
        <f>VLOOKUP(Table56[[#This Row],[Shortname]], Comp[], 21, FALSE)</f>
        <v>0</v>
      </c>
      <c r="W213">
        <f>VLOOKUP(Table56[[#This Row],[Shortname]], Comp[], 22, FALSE)</f>
        <v>0</v>
      </c>
      <c r="X213">
        <f>VLOOKUP(Table56[[#This Row],[Shortname]], Comp[], 23, FALSE)</f>
        <v>0</v>
      </c>
      <c r="Y213">
        <f>VLOOKUP(Table56[[#This Row],[Shortname]], Comp[], 24, FALSE)</f>
        <v>0</v>
      </c>
      <c r="Z213">
        <f>VLOOKUP(Table56[[#This Row],[Shortname]], Comp[], 25, FALSE)</f>
        <v>0</v>
      </c>
      <c r="AA213">
        <f>VLOOKUP(Table56[[#This Row],[Shortname]], Comp[], 26, FALSE)</f>
        <v>0</v>
      </c>
      <c r="AB213">
        <f>VLOOKUP(Table56[[#This Row],[Shortname]], Comp[], 27, FALSE)</f>
        <v>0</v>
      </c>
      <c r="AC213">
        <f>VLOOKUP(Table56[[#This Row],[Shortname]], Comp[], 28, FALSE)</f>
        <v>0</v>
      </c>
      <c r="AD213">
        <f>VLOOKUP(Table56[[#This Row],[Shortname]], Comp[], 29, FALSE)</f>
        <v>0</v>
      </c>
      <c r="AE213">
        <f>VLOOKUP(Table56[[#This Row],[Shortname]], Comp[], 30, FALSE)</f>
        <v>0</v>
      </c>
      <c r="AF213">
        <f>VLOOKUP(Table56[[#This Row],[Shortname]], Comp[], 31, FALSE)</f>
        <v>0</v>
      </c>
    </row>
    <row r="214" spans="1:32" x14ac:dyDescent="0.3">
      <c r="A214" s="7" t="s">
        <v>2996</v>
      </c>
      <c r="B214" s="7" t="s">
        <v>2998</v>
      </c>
      <c r="C214" t="s">
        <v>6622</v>
      </c>
      <c r="D214">
        <v>1166</v>
      </c>
      <c r="E214">
        <v>1344</v>
      </c>
      <c r="F214">
        <v>1403</v>
      </c>
      <c r="H214" s="14">
        <f>VLOOKUP(Table56[[#This Row],[Shortname]], Comp[], 7, FALSE)</f>
        <v>49.82</v>
      </c>
      <c r="I214">
        <f>VLOOKUP(Table56[[#This Row],[Shortname]], Comp[], 8, FALSE)</f>
        <v>30.83</v>
      </c>
      <c r="J214">
        <f>VLOOKUP(Table56[[#This Row],[Shortname]], Comp[], 9, FALSE)</f>
        <v>9.16</v>
      </c>
      <c r="K214">
        <f>VLOOKUP(Table56[[#This Row],[Shortname]], Comp[], 10, FALSE)</f>
        <v>0</v>
      </c>
      <c r="L214">
        <f>VLOOKUP(Table56[[#This Row],[Shortname]], Comp[], 11, FALSE)</f>
        <v>5.09</v>
      </c>
      <c r="M214">
        <f>VLOOKUP(Table56[[#This Row],[Shortname]], Comp[],12, FALSE)</f>
        <v>4.0999999999999996</v>
      </c>
      <c r="N214">
        <f>VLOOKUP(Table56[[#This Row],[Shortname]], Comp[], 13, FALSE)</f>
        <v>1</v>
      </c>
      <c r="O214">
        <f>VLOOKUP(Table56[[#This Row],[Shortname]], Comp[], 14, FALSE)</f>
        <v>0</v>
      </c>
      <c r="P214">
        <f>VLOOKUP(Table56[[#This Row],[Shortname]], Comp[], 15, FALSE)</f>
        <v>0</v>
      </c>
      <c r="Q214">
        <f>VLOOKUP(Table56[[#This Row],[Shortname]], Comp[], 16, FALSE)</f>
        <v>0</v>
      </c>
      <c r="R214">
        <f>VLOOKUP(Table56[[#This Row],[Shortname]], Comp[], 17, FALSE)</f>
        <v>0</v>
      </c>
      <c r="S214">
        <f>VLOOKUP(Table56[[#This Row],[Shortname]], Comp[], 18, FALSE)</f>
        <v>0</v>
      </c>
      <c r="T214">
        <f>VLOOKUP(Table56[[#This Row],[Shortname]], Comp[], 19, FALSE)</f>
        <v>0</v>
      </c>
      <c r="U214">
        <f>VLOOKUP(Table56[[#This Row],[Shortname]], Comp[], 20, FALSE)</f>
        <v>0</v>
      </c>
      <c r="V214">
        <f>VLOOKUP(Table56[[#This Row],[Shortname]], Comp[], 21, FALSE)</f>
        <v>0</v>
      </c>
      <c r="W214">
        <f>VLOOKUP(Table56[[#This Row],[Shortname]], Comp[], 22, FALSE)</f>
        <v>0</v>
      </c>
      <c r="X214">
        <f>VLOOKUP(Table56[[#This Row],[Shortname]], Comp[], 23, FALSE)</f>
        <v>0</v>
      </c>
      <c r="Y214">
        <f>VLOOKUP(Table56[[#This Row],[Shortname]], Comp[], 24, FALSE)</f>
        <v>0</v>
      </c>
      <c r="Z214">
        <f>VLOOKUP(Table56[[#This Row],[Shortname]], Comp[], 25, FALSE)</f>
        <v>0</v>
      </c>
      <c r="AA214">
        <f>VLOOKUP(Table56[[#This Row],[Shortname]], Comp[], 26, FALSE)</f>
        <v>0</v>
      </c>
      <c r="AB214">
        <f>VLOOKUP(Table56[[#This Row],[Shortname]], Comp[], 27, FALSE)</f>
        <v>0</v>
      </c>
      <c r="AC214">
        <f>VLOOKUP(Table56[[#This Row],[Shortname]], Comp[], 28, FALSE)</f>
        <v>0</v>
      </c>
      <c r="AD214">
        <f>VLOOKUP(Table56[[#This Row],[Shortname]], Comp[], 29, FALSE)</f>
        <v>0</v>
      </c>
      <c r="AE214">
        <f>VLOOKUP(Table56[[#This Row],[Shortname]], Comp[], 30, FALSE)</f>
        <v>0</v>
      </c>
      <c r="AF214">
        <f>VLOOKUP(Table56[[#This Row],[Shortname]], Comp[], 31, FALSE)</f>
        <v>0</v>
      </c>
    </row>
    <row r="215" spans="1:32" x14ac:dyDescent="0.3">
      <c r="A215" s="7" t="s">
        <v>3085</v>
      </c>
      <c r="B215" s="7" t="s">
        <v>2526</v>
      </c>
      <c r="C215" t="s">
        <v>6737</v>
      </c>
      <c r="D215">
        <v>1087</v>
      </c>
      <c r="E215">
        <v>1362</v>
      </c>
      <c r="F215">
        <v>1423</v>
      </c>
      <c r="H215" s="14">
        <f>VLOOKUP(Table56[[#This Row],[Shortname]], Comp[], 7, FALSE)</f>
        <v>78.3</v>
      </c>
      <c r="I215">
        <f>VLOOKUP(Table56[[#This Row],[Shortname]], Comp[], 8, FALSE)</f>
        <v>0</v>
      </c>
      <c r="J215">
        <f>VLOOKUP(Table56[[#This Row],[Shortname]], Comp[], 9, FALSE)</f>
        <v>10.6</v>
      </c>
      <c r="K215">
        <f>VLOOKUP(Table56[[#This Row],[Shortname]], Comp[], 10, FALSE)</f>
        <v>0</v>
      </c>
      <c r="L215">
        <f>VLOOKUP(Table56[[#This Row],[Shortname]], Comp[], 11, FALSE)</f>
        <v>8.3000000000000007</v>
      </c>
      <c r="M215">
        <f>VLOOKUP(Table56[[#This Row],[Shortname]], Comp[],12, FALSE)</f>
        <v>1.6</v>
      </c>
      <c r="N215">
        <f>VLOOKUP(Table56[[#This Row],[Shortname]], Comp[], 13, FALSE)</f>
        <v>0</v>
      </c>
      <c r="O215">
        <f>VLOOKUP(Table56[[#This Row],[Shortname]], Comp[], 14, FALSE)</f>
        <v>1.2</v>
      </c>
      <c r="P215">
        <f>VLOOKUP(Table56[[#This Row],[Shortname]], Comp[], 15, FALSE)</f>
        <v>0</v>
      </c>
      <c r="Q215">
        <f>VLOOKUP(Table56[[#This Row],[Shortname]], Comp[], 16, FALSE)</f>
        <v>0</v>
      </c>
      <c r="R215">
        <f>VLOOKUP(Table56[[#This Row],[Shortname]], Comp[], 17, FALSE)</f>
        <v>0</v>
      </c>
      <c r="S215">
        <f>VLOOKUP(Table56[[#This Row],[Shortname]], Comp[], 18, FALSE)</f>
        <v>0</v>
      </c>
      <c r="T215">
        <f>VLOOKUP(Table56[[#This Row],[Shortname]], Comp[], 19, FALSE)</f>
        <v>0</v>
      </c>
      <c r="U215">
        <f>VLOOKUP(Table56[[#This Row],[Shortname]], Comp[], 20, FALSE)</f>
        <v>0</v>
      </c>
      <c r="V215">
        <f>VLOOKUP(Table56[[#This Row],[Shortname]], Comp[], 21, FALSE)</f>
        <v>0</v>
      </c>
      <c r="W215">
        <f>VLOOKUP(Table56[[#This Row],[Shortname]], Comp[], 22, FALSE)</f>
        <v>0</v>
      </c>
      <c r="X215">
        <f>VLOOKUP(Table56[[#This Row],[Shortname]], Comp[], 23, FALSE)</f>
        <v>0</v>
      </c>
      <c r="Y215">
        <f>VLOOKUP(Table56[[#This Row],[Shortname]], Comp[], 24, FALSE)</f>
        <v>0</v>
      </c>
      <c r="Z215">
        <f>VLOOKUP(Table56[[#This Row],[Shortname]], Comp[], 25, FALSE)</f>
        <v>0</v>
      </c>
      <c r="AA215">
        <f>VLOOKUP(Table56[[#This Row],[Shortname]], Comp[], 26, FALSE)</f>
        <v>0</v>
      </c>
      <c r="AB215">
        <f>VLOOKUP(Table56[[#This Row],[Shortname]], Comp[], 27, FALSE)</f>
        <v>0</v>
      </c>
      <c r="AC215">
        <f>VLOOKUP(Table56[[#This Row],[Shortname]], Comp[], 28, FALSE)</f>
        <v>0</v>
      </c>
      <c r="AD215">
        <f>VLOOKUP(Table56[[#This Row],[Shortname]], Comp[], 29, FALSE)</f>
        <v>0</v>
      </c>
      <c r="AE215">
        <f>VLOOKUP(Table56[[#This Row],[Shortname]], Comp[], 30, FALSE)</f>
        <v>0</v>
      </c>
      <c r="AF215">
        <f>VLOOKUP(Table56[[#This Row],[Shortname]], Comp[], 31, FALSE)</f>
        <v>0</v>
      </c>
    </row>
    <row r="216" spans="1:32" x14ac:dyDescent="0.3">
      <c r="A216" s="7" t="s">
        <v>3093</v>
      </c>
      <c r="B216" s="7" t="s">
        <v>2534</v>
      </c>
      <c r="C216" t="s">
        <v>6737</v>
      </c>
      <c r="D216">
        <v>1074</v>
      </c>
      <c r="E216">
        <v>1370</v>
      </c>
      <c r="F216">
        <v>1430</v>
      </c>
      <c r="H216" s="14">
        <f>VLOOKUP(Table56[[#This Row],[Shortname]], Comp[], 7, FALSE)</f>
        <v>78.8</v>
      </c>
      <c r="I216">
        <f>VLOOKUP(Table56[[#This Row],[Shortname]], Comp[], 8, FALSE)</f>
        <v>0</v>
      </c>
      <c r="J216">
        <f>VLOOKUP(Table56[[#This Row],[Shortname]], Comp[], 9, FALSE)</f>
        <v>11.3</v>
      </c>
      <c r="K216">
        <f>VLOOKUP(Table56[[#This Row],[Shortname]], Comp[], 10, FALSE)</f>
        <v>0</v>
      </c>
      <c r="L216">
        <f>VLOOKUP(Table56[[#This Row],[Shortname]], Comp[], 11, FALSE)</f>
        <v>7.9</v>
      </c>
      <c r="M216">
        <f>VLOOKUP(Table56[[#This Row],[Shortname]], Comp[],12, FALSE)</f>
        <v>0</v>
      </c>
      <c r="N216">
        <f>VLOOKUP(Table56[[#This Row],[Shortname]], Comp[], 13, FALSE)</f>
        <v>1.1000000000000001</v>
      </c>
      <c r="O216">
        <f>VLOOKUP(Table56[[#This Row],[Shortname]], Comp[], 14, FALSE)</f>
        <v>0.9</v>
      </c>
      <c r="P216">
        <f>VLOOKUP(Table56[[#This Row],[Shortname]], Comp[], 15, FALSE)</f>
        <v>0</v>
      </c>
      <c r="Q216">
        <f>VLOOKUP(Table56[[#This Row],[Shortname]], Comp[], 16, FALSE)</f>
        <v>0</v>
      </c>
      <c r="R216">
        <f>VLOOKUP(Table56[[#This Row],[Shortname]], Comp[], 17, FALSE)</f>
        <v>0</v>
      </c>
      <c r="S216">
        <f>VLOOKUP(Table56[[#This Row],[Shortname]], Comp[], 18, FALSE)</f>
        <v>0</v>
      </c>
      <c r="T216">
        <f>VLOOKUP(Table56[[#This Row],[Shortname]], Comp[], 19, FALSE)</f>
        <v>0</v>
      </c>
      <c r="U216">
        <f>VLOOKUP(Table56[[#This Row],[Shortname]], Comp[], 20, FALSE)</f>
        <v>0</v>
      </c>
      <c r="V216">
        <f>VLOOKUP(Table56[[#This Row],[Shortname]], Comp[], 21, FALSE)</f>
        <v>0</v>
      </c>
      <c r="W216">
        <f>VLOOKUP(Table56[[#This Row],[Shortname]], Comp[], 22, FALSE)</f>
        <v>0</v>
      </c>
      <c r="X216">
        <f>VLOOKUP(Table56[[#This Row],[Shortname]], Comp[], 23, FALSE)</f>
        <v>0</v>
      </c>
      <c r="Y216">
        <f>VLOOKUP(Table56[[#This Row],[Shortname]], Comp[], 24, FALSE)</f>
        <v>0</v>
      </c>
      <c r="Z216">
        <f>VLOOKUP(Table56[[#This Row],[Shortname]], Comp[], 25, FALSE)</f>
        <v>0</v>
      </c>
      <c r="AA216">
        <f>VLOOKUP(Table56[[#This Row],[Shortname]], Comp[], 26, FALSE)</f>
        <v>0</v>
      </c>
      <c r="AB216">
        <f>VLOOKUP(Table56[[#This Row],[Shortname]], Comp[], 27, FALSE)</f>
        <v>0</v>
      </c>
      <c r="AC216">
        <f>VLOOKUP(Table56[[#This Row],[Shortname]], Comp[], 28, FALSE)</f>
        <v>0</v>
      </c>
      <c r="AD216">
        <f>VLOOKUP(Table56[[#This Row],[Shortname]], Comp[], 29, FALSE)</f>
        <v>0</v>
      </c>
      <c r="AE216">
        <f>VLOOKUP(Table56[[#This Row],[Shortname]], Comp[], 30, FALSE)</f>
        <v>0</v>
      </c>
      <c r="AF216">
        <f>VLOOKUP(Table56[[#This Row],[Shortname]], Comp[], 31, FALSE)</f>
        <v>0</v>
      </c>
    </row>
    <row r="217" spans="1:32" x14ac:dyDescent="0.3">
      <c r="A217" s="7" t="s">
        <v>3162</v>
      </c>
      <c r="B217" s="7" t="s">
        <v>3164</v>
      </c>
      <c r="C217" t="s">
        <v>6740</v>
      </c>
      <c r="D217">
        <v>1112</v>
      </c>
      <c r="F217">
        <v>1273</v>
      </c>
      <c r="G217" t="s">
        <v>6712</v>
      </c>
      <c r="H217" s="14">
        <f>VLOOKUP(Table56[[#This Row],[Shortname]], Comp[], 7, FALSE)</f>
        <v>78</v>
      </c>
      <c r="I217">
        <f>VLOOKUP(Table56[[#This Row],[Shortname]], Comp[], 8, FALSE)</f>
        <v>0</v>
      </c>
      <c r="J217">
        <f>VLOOKUP(Table56[[#This Row],[Shortname]], Comp[], 9, FALSE)</f>
        <v>2</v>
      </c>
      <c r="K217">
        <f>VLOOKUP(Table56[[#This Row],[Shortname]], Comp[], 10, FALSE)</f>
        <v>0</v>
      </c>
      <c r="L217">
        <f>VLOOKUP(Table56[[#This Row],[Shortname]], Comp[], 11, FALSE)</f>
        <v>0</v>
      </c>
      <c r="M217">
        <f>VLOOKUP(Table56[[#This Row],[Shortname]], Comp[],12, FALSE)</f>
        <v>5</v>
      </c>
      <c r="N217">
        <f>VLOOKUP(Table56[[#This Row],[Shortname]], Comp[], 13, FALSE)</f>
        <v>0</v>
      </c>
      <c r="O217">
        <f>VLOOKUP(Table56[[#This Row],[Shortname]], Comp[], 14, FALSE)</f>
        <v>0</v>
      </c>
      <c r="P217">
        <f>VLOOKUP(Table56[[#This Row],[Shortname]], Comp[], 15, FALSE)</f>
        <v>15</v>
      </c>
      <c r="Q217">
        <f>VLOOKUP(Table56[[#This Row],[Shortname]], Comp[], 16, FALSE)</f>
        <v>0</v>
      </c>
      <c r="R217">
        <f>VLOOKUP(Table56[[#This Row],[Shortname]], Comp[], 17, FALSE)</f>
        <v>0</v>
      </c>
      <c r="S217">
        <f>VLOOKUP(Table56[[#This Row],[Shortname]], Comp[], 18, FALSE)</f>
        <v>0</v>
      </c>
      <c r="T217">
        <f>VLOOKUP(Table56[[#This Row],[Shortname]], Comp[], 19, FALSE)</f>
        <v>0</v>
      </c>
      <c r="U217">
        <f>VLOOKUP(Table56[[#This Row],[Shortname]], Comp[], 20, FALSE)</f>
        <v>0</v>
      </c>
      <c r="V217">
        <f>VLOOKUP(Table56[[#This Row],[Shortname]], Comp[], 21, FALSE)</f>
        <v>0</v>
      </c>
      <c r="W217">
        <f>VLOOKUP(Table56[[#This Row],[Shortname]], Comp[], 22, FALSE)</f>
        <v>0</v>
      </c>
      <c r="X217">
        <f>VLOOKUP(Table56[[#This Row],[Shortname]], Comp[], 23, FALSE)</f>
        <v>0</v>
      </c>
      <c r="Y217">
        <f>VLOOKUP(Table56[[#This Row],[Shortname]], Comp[], 24, FALSE)</f>
        <v>0</v>
      </c>
      <c r="Z217">
        <f>VLOOKUP(Table56[[#This Row],[Shortname]], Comp[], 25, FALSE)</f>
        <v>0</v>
      </c>
      <c r="AA217">
        <f>VLOOKUP(Table56[[#This Row],[Shortname]], Comp[], 26, FALSE)</f>
        <v>0</v>
      </c>
      <c r="AB217">
        <f>VLOOKUP(Table56[[#This Row],[Shortname]], Comp[], 27, FALSE)</f>
        <v>0</v>
      </c>
      <c r="AC217">
        <f>VLOOKUP(Table56[[#This Row],[Shortname]], Comp[], 28, FALSE)</f>
        <v>0</v>
      </c>
      <c r="AD217">
        <f>VLOOKUP(Table56[[#This Row],[Shortname]], Comp[], 29, FALSE)</f>
        <v>0</v>
      </c>
      <c r="AE217">
        <f>VLOOKUP(Table56[[#This Row],[Shortname]], Comp[], 30, FALSE)</f>
        <v>0</v>
      </c>
      <c r="AF217">
        <f>VLOOKUP(Table56[[#This Row],[Shortname]], Comp[], 31, FALSE)</f>
        <v>0</v>
      </c>
    </row>
    <row r="218" spans="1:32" x14ac:dyDescent="0.3">
      <c r="A218" s="7" t="s">
        <v>3154</v>
      </c>
      <c r="B218" s="7" t="s">
        <v>3156</v>
      </c>
      <c r="C218" t="s">
        <v>6740</v>
      </c>
      <c r="D218">
        <v>1091</v>
      </c>
      <c r="F218">
        <v>1292</v>
      </c>
      <c r="G218" t="s">
        <v>6712</v>
      </c>
      <c r="H218" s="14">
        <f>VLOOKUP(Table56[[#This Row],[Shortname]], Comp[], 7, FALSE)</f>
        <v>80</v>
      </c>
      <c r="I218">
        <f>VLOOKUP(Table56[[#This Row],[Shortname]], Comp[], 8, FALSE)</f>
        <v>0</v>
      </c>
      <c r="J218">
        <f>VLOOKUP(Table56[[#This Row],[Shortname]], Comp[], 9, FALSE)</f>
        <v>0</v>
      </c>
      <c r="K218">
        <f>VLOOKUP(Table56[[#This Row],[Shortname]], Comp[], 10, FALSE)</f>
        <v>0</v>
      </c>
      <c r="L218">
        <f>VLOOKUP(Table56[[#This Row],[Shortname]], Comp[], 11, FALSE)</f>
        <v>0</v>
      </c>
      <c r="M218">
        <f>VLOOKUP(Table56[[#This Row],[Shortname]], Comp[],12, FALSE)</f>
        <v>5</v>
      </c>
      <c r="N218">
        <f>VLOOKUP(Table56[[#This Row],[Shortname]], Comp[], 13, FALSE)</f>
        <v>0</v>
      </c>
      <c r="O218">
        <f>VLOOKUP(Table56[[#This Row],[Shortname]], Comp[], 14, FALSE)</f>
        <v>0</v>
      </c>
      <c r="P218">
        <f>VLOOKUP(Table56[[#This Row],[Shortname]], Comp[], 15, FALSE)</f>
        <v>15</v>
      </c>
      <c r="Q218">
        <f>VLOOKUP(Table56[[#This Row],[Shortname]], Comp[], 16, FALSE)</f>
        <v>0</v>
      </c>
      <c r="R218">
        <f>VLOOKUP(Table56[[#This Row],[Shortname]], Comp[], 17, FALSE)</f>
        <v>0</v>
      </c>
      <c r="S218">
        <f>VLOOKUP(Table56[[#This Row],[Shortname]], Comp[], 18, FALSE)</f>
        <v>0</v>
      </c>
      <c r="T218">
        <f>VLOOKUP(Table56[[#This Row],[Shortname]], Comp[], 19, FALSE)</f>
        <v>0</v>
      </c>
      <c r="U218">
        <f>VLOOKUP(Table56[[#This Row],[Shortname]], Comp[], 20, FALSE)</f>
        <v>0</v>
      </c>
      <c r="V218">
        <f>VLOOKUP(Table56[[#This Row],[Shortname]], Comp[], 21, FALSE)</f>
        <v>0</v>
      </c>
      <c r="W218">
        <f>VLOOKUP(Table56[[#This Row],[Shortname]], Comp[], 22, FALSE)</f>
        <v>0</v>
      </c>
      <c r="X218">
        <f>VLOOKUP(Table56[[#This Row],[Shortname]], Comp[], 23, FALSE)</f>
        <v>0</v>
      </c>
      <c r="Y218">
        <f>VLOOKUP(Table56[[#This Row],[Shortname]], Comp[], 24, FALSE)</f>
        <v>0</v>
      </c>
      <c r="Z218">
        <f>VLOOKUP(Table56[[#This Row],[Shortname]], Comp[], 25, FALSE)</f>
        <v>0</v>
      </c>
      <c r="AA218">
        <f>VLOOKUP(Table56[[#This Row],[Shortname]], Comp[], 26, FALSE)</f>
        <v>0</v>
      </c>
      <c r="AB218">
        <f>VLOOKUP(Table56[[#This Row],[Shortname]], Comp[], 27, FALSE)</f>
        <v>0</v>
      </c>
      <c r="AC218">
        <f>VLOOKUP(Table56[[#This Row],[Shortname]], Comp[], 28, FALSE)</f>
        <v>0</v>
      </c>
      <c r="AD218">
        <f>VLOOKUP(Table56[[#This Row],[Shortname]], Comp[], 29, FALSE)</f>
        <v>0</v>
      </c>
      <c r="AE218">
        <f>VLOOKUP(Table56[[#This Row],[Shortname]], Comp[], 30, FALSE)</f>
        <v>0</v>
      </c>
      <c r="AF218">
        <f>VLOOKUP(Table56[[#This Row],[Shortname]], Comp[], 31, FALSE)</f>
        <v>0</v>
      </c>
    </row>
    <row r="219" spans="1:32" x14ac:dyDescent="0.3">
      <c r="A219" s="7" t="s">
        <v>3168</v>
      </c>
      <c r="B219" s="7" t="s">
        <v>3170</v>
      </c>
      <c r="C219" t="s">
        <v>6740</v>
      </c>
      <c r="D219">
        <v>1082</v>
      </c>
      <c r="F219">
        <v>1300</v>
      </c>
      <c r="G219" t="s">
        <v>6712</v>
      </c>
      <c r="H219" s="14">
        <f>VLOOKUP(Table56[[#This Row],[Shortname]], Comp[], 7, FALSE)</f>
        <v>78</v>
      </c>
      <c r="I219">
        <f>VLOOKUP(Table56[[#This Row],[Shortname]], Comp[], 8, FALSE)</f>
        <v>2</v>
      </c>
      <c r="J219">
        <f>VLOOKUP(Table56[[#This Row],[Shortname]], Comp[], 9, FALSE)</f>
        <v>0</v>
      </c>
      <c r="K219">
        <f>VLOOKUP(Table56[[#This Row],[Shortname]], Comp[], 10, FALSE)</f>
        <v>0</v>
      </c>
      <c r="L219">
        <f>VLOOKUP(Table56[[#This Row],[Shortname]], Comp[], 11, FALSE)</f>
        <v>0</v>
      </c>
      <c r="M219">
        <f>VLOOKUP(Table56[[#This Row],[Shortname]], Comp[],12, FALSE)</f>
        <v>5</v>
      </c>
      <c r="N219">
        <f>VLOOKUP(Table56[[#This Row],[Shortname]], Comp[], 13, FALSE)</f>
        <v>0</v>
      </c>
      <c r="O219">
        <f>VLOOKUP(Table56[[#This Row],[Shortname]], Comp[], 14, FALSE)</f>
        <v>0</v>
      </c>
      <c r="P219">
        <f>VLOOKUP(Table56[[#This Row],[Shortname]], Comp[], 15, FALSE)</f>
        <v>15</v>
      </c>
      <c r="Q219">
        <f>VLOOKUP(Table56[[#This Row],[Shortname]], Comp[], 16, FALSE)</f>
        <v>0</v>
      </c>
      <c r="R219">
        <f>VLOOKUP(Table56[[#This Row],[Shortname]], Comp[], 17, FALSE)</f>
        <v>0</v>
      </c>
      <c r="S219">
        <f>VLOOKUP(Table56[[#This Row],[Shortname]], Comp[], 18, FALSE)</f>
        <v>0</v>
      </c>
      <c r="T219">
        <f>VLOOKUP(Table56[[#This Row],[Shortname]], Comp[], 19, FALSE)</f>
        <v>0</v>
      </c>
      <c r="U219">
        <f>VLOOKUP(Table56[[#This Row],[Shortname]], Comp[], 20, FALSE)</f>
        <v>0</v>
      </c>
      <c r="V219">
        <f>VLOOKUP(Table56[[#This Row],[Shortname]], Comp[], 21, FALSE)</f>
        <v>0</v>
      </c>
      <c r="W219">
        <f>VLOOKUP(Table56[[#This Row],[Shortname]], Comp[], 22, FALSE)</f>
        <v>0</v>
      </c>
      <c r="X219">
        <f>VLOOKUP(Table56[[#This Row],[Shortname]], Comp[], 23, FALSE)</f>
        <v>0</v>
      </c>
      <c r="Y219">
        <f>VLOOKUP(Table56[[#This Row],[Shortname]], Comp[], 24, FALSE)</f>
        <v>0</v>
      </c>
      <c r="Z219">
        <f>VLOOKUP(Table56[[#This Row],[Shortname]], Comp[], 25, FALSE)</f>
        <v>0</v>
      </c>
      <c r="AA219">
        <f>VLOOKUP(Table56[[#This Row],[Shortname]], Comp[], 26, FALSE)</f>
        <v>0</v>
      </c>
      <c r="AB219">
        <f>VLOOKUP(Table56[[#This Row],[Shortname]], Comp[], 27, FALSE)</f>
        <v>0</v>
      </c>
      <c r="AC219">
        <f>VLOOKUP(Table56[[#This Row],[Shortname]], Comp[], 28, FALSE)</f>
        <v>0</v>
      </c>
      <c r="AD219">
        <f>VLOOKUP(Table56[[#This Row],[Shortname]], Comp[], 29, FALSE)</f>
        <v>0</v>
      </c>
      <c r="AE219">
        <f>VLOOKUP(Table56[[#This Row],[Shortname]], Comp[], 30, FALSE)</f>
        <v>0</v>
      </c>
      <c r="AF219">
        <f>VLOOKUP(Table56[[#This Row],[Shortname]], Comp[], 31, FALSE)</f>
        <v>0</v>
      </c>
    </row>
    <row r="220" spans="1:32" x14ac:dyDescent="0.3">
      <c r="A220" s="7" t="s">
        <v>3223</v>
      </c>
      <c r="B220" s="7" t="s">
        <v>3225</v>
      </c>
      <c r="C220" s="11" t="s">
        <v>6743</v>
      </c>
      <c r="D220">
        <v>1100</v>
      </c>
      <c r="E220">
        <v>1395</v>
      </c>
      <c r="F220">
        <v>1426</v>
      </c>
      <c r="H220" s="14">
        <f>VLOOKUP(Table56[[#This Row],[Shortname]], Comp[], 7, FALSE)</f>
        <v>60.7</v>
      </c>
      <c r="I220">
        <f>VLOOKUP(Table56[[#This Row],[Shortname]], Comp[], 8, FALSE)</f>
        <v>16</v>
      </c>
      <c r="J220">
        <f>VLOOKUP(Table56[[#This Row],[Shortname]], Comp[], 9, FALSE)</f>
        <v>9.5</v>
      </c>
      <c r="K220">
        <f>VLOOKUP(Table56[[#This Row],[Shortname]], Comp[], 10, FALSE)</f>
        <v>6</v>
      </c>
      <c r="L220">
        <f>VLOOKUP(Table56[[#This Row],[Shortname]], Comp[], 11, FALSE)</f>
        <v>5</v>
      </c>
      <c r="M220">
        <f>VLOOKUP(Table56[[#This Row],[Shortname]], Comp[],12, FALSE)</f>
        <v>0</v>
      </c>
      <c r="N220">
        <f>VLOOKUP(Table56[[#This Row],[Shortname]], Comp[], 13, FALSE)</f>
        <v>2.8</v>
      </c>
      <c r="O220">
        <f>VLOOKUP(Table56[[#This Row],[Shortname]], Comp[], 14, FALSE)</f>
        <v>0</v>
      </c>
      <c r="P220">
        <f>VLOOKUP(Table56[[#This Row],[Shortname]], Comp[], 15, FALSE)</f>
        <v>0</v>
      </c>
      <c r="Q220">
        <f>VLOOKUP(Table56[[#This Row],[Shortname]], Comp[], 16, FALSE)</f>
        <v>0</v>
      </c>
      <c r="R220">
        <f>VLOOKUP(Table56[[#This Row],[Shortname]], Comp[], 17, FALSE)</f>
        <v>0</v>
      </c>
      <c r="S220">
        <f>VLOOKUP(Table56[[#This Row],[Shortname]], Comp[], 18, FALSE)</f>
        <v>0</v>
      </c>
      <c r="T220">
        <f>VLOOKUP(Table56[[#This Row],[Shortname]], Comp[], 19, FALSE)</f>
        <v>0</v>
      </c>
      <c r="U220">
        <f>VLOOKUP(Table56[[#This Row],[Shortname]], Comp[], 20, FALSE)</f>
        <v>0</v>
      </c>
      <c r="V220">
        <f>VLOOKUP(Table56[[#This Row],[Shortname]], Comp[], 21, FALSE)</f>
        <v>0</v>
      </c>
      <c r="W220">
        <f>VLOOKUP(Table56[[#This Row],[Shortname]], Comp[], 22, FALSE)</f>
        <v>0</v>
      </c>
      <c r="X220">
        <f>VLOOKUP(Table56[[#This Row],[Shortname]], Comp[], 23, FALSE)</f>
        <v>0</v>
      </c>
      <c r="Y220">
        <f>VLOOKUP(Table56[[#This Row],[Shortname]], Comp[], 24, FALSE)</f>
        <v>0</v>
      </c>
      <c r="Z220">
        <f>VLOOKUP(Table56[[#This Row],[Shortname]], Comp[], 25, FALSE)</f>
        <v>0</v>
      </c>
      <c r="AA220">
        <f>VLOOKUP(Table56[[#This Row],[Shortname]], Comp[], 26, FALSE)</f>
        <v>0</v>
      </c>
      <c r="AB220">
        <f>VLOOKUP(Table56[[#This Row],[Shortname]], Comp[], 27, FALSE)</f>
        <v>0</v>
      </c>
      <c r="AC220">
        <f>VLOOKUP(Table56[[#This Row],[Shortname]], Comp[], 28, FALSE)</f>
        <v>0</v>
      </c>
      <c r="AD220">
        <f>VLOOKUP(Table56[[#This Row],[Shortname]], Comp[], 29, FALSE)</f>
        <v>0</v>
      </c>
      <c r="AE220">
        <f>VLOOKUP(Table56[[#This Row],[Shortname]], Comp[], 30, FALSE)</f>
        <v>0</v>
      </c>
      <c r="AF220">
        <f>VLOOKUP(Table56[[#This Row],[Shortname]], Comp[], 31, FALSE)</f>
        <v>0</v>
      </c>
    </row>
    <row r="221" spans="1:32" x14ac:dyDescent="0.3">
      <c r="A221" s="7" t="s">
        <v>3217</v>
      </c>
      <c r="B221" s="7" t="s">
        <v>3219</v>
      </c>
      <c r="C221" s="11" t="s">
        <v>6743</v>
      </c>
      <c r="D221">
        <v>1040</v>
      </c>
      <c r="E221">
        <v>1412</v>
      </c>
      <c r="F221">
        <v>1434</v>
      </c>
      <c r="H221" s="14">
        <f>VLOOKUP(Table56[[#This Row],[Shortname]], Comp[], 7, FALSE)</f>
        <v>61.7</v>
      </c>
      <c r="I221">
        <f>VLOOKUP(Table56[[#This Row],[Shortname]], Comp[], 8, FALSE)</f>
        <v>16</v>
      </c>
      <c r="J221">
        <f>VLOOKUP(Table56[[#This Row],[Shortname]], Comp[], 9, FALSE)</f>
        <v>9.5</v>
      </c>
      <c r="K221">
        <f>VLOOKUP(Table56[[#This Row],[Shortname]], Comp[], 10, FALSE)</f>
        <v>6</v>
      </c>
      <c r="L221">
        <f>VLOOKUP(Table56[[#This Row],[Shortname]], Comp[], 11, FALSE)</f>
        <v>5</v>
      </c>
      <c r="M221">
        <f>VLOOKUP(Table56[[#This Row],[Shortname]], Comp[],12, FALSE)</f>
        <v>0</v>
      </c>
      <c r="N221">
        <f>VLOOKUP(Table56[[#This Row],[Shortname]], Comp[], 13, FALSE)</f>
        <v>1.8</v>
      </c>
      <c r="O221">
        <f>VLOOKUP(Table56[[#This Row],[Shortname]], Comp[], 14, FALSE)</f>
        <v>0</v>
      </c>
      <c r="P221">
        <f>VLOOKUP(Table56[[#This Row],[Shortname]], Comp[], 15, FALSE)</f>
        <v>0</v>
      </c>
      <c r="Q221">
        <f>VLOOKUP(Table56[[#This Row],[Shortname]], Comp[], 16, FALSE)</f>
        <v>0</v>
      </c>
      <c r="R221">
        <f>VLOOKUP(Table56[[#This Row],[Shortname]], Comp[], 17, FALSE)</f>
        <v>0</v>
      </c>
      <c r="S221">
        <f>VLOOKUP(Table56[[#This Row],[Shortname]], Comp[], 18, FALSE)</f>
        <v>0</v>
      </c>
      <c r="T221">
        <f>VLOOKUP(Table56[[#This Row],[Shortname]], Comp[], 19, FALSE)</f>
        <v>0</v>
      </c>
      <c r="U221">
        <f>VLOOKUP(Table56[[#This Row],[Shortname]], Comp[], 20, FALSE)</f>
        <v>0</v>
      </c>
      <c r="V221">
        <f>VLOOKUP(Table56[[#This Row],[Shortname]], Comp[], 21, FALSE)</f>
        <v>0</v>
      </c>
      <c r="W221">
        <f>VLOOKUP(Table56[[#This Row],[Shortname]], Comp[], 22, FALSE)</f>
        <v>0</v>
      </c>
      <c r="X221">
        <f>VLOOKUP(Table56[[#This Row],[Shortname]], Comp[], 23, FALSE)</f>
        <v>0</v>
      </c>
      <c r="Y221">
        <f>VLOOKUP(Table56[[#This Row],[Shortname]], Comp[], 24, FALSE)</f>
        <v>0</v>
      </c>
      <c r="Z221">
        <f>VLOOKUP(Table56[[#This Row],[Shortname]], Comp[], 25, FALSE)</f>
        <v>0</v>
      </c>
      <c r="AA221">
        <f>VLOOKUP(Table56[[#This Row],[Shortname]], Comp[], 26, FALSE)</f>
        <v>0</v>
      </c>
      <c r="AB221">
        <f>VLOOKUP(Table56[[#This Row],[Shortname]], Comp[], 27, FALSE)</f>
        <v>0</v>
      </c>
      <c r="AC221">
        <f>VLOOKUP(Table56[[#This Row],[Shortname]], Comp[], 28, FALSE)</f>
        <v>0</v>
      </c>
      <c r="AD221">
        <f>VLOOKUP(Table56[[#This Row],[Shortname]], Comp[], 29, FALSE)</f>
        <v>0</v>
      </c>
      <c r="AE221">
        <f>VLOOKUP(Table56[[#This Row],[Shortname]], Comp[], 30, FALSE)</f>
        <v>0</v>
      </c>
      <c r="AF221">
        <f>VLOOKUP(Table56[[#This Row],[Shortname]], Comp[], 31, FALSE)</f>
        <v>0</v>
      </c>
    </row>
    <row r="222" spans="1:32" x14ac:dyDescent="0.3">
      <c r="A222" s="7" t="s">
        <v>3210</v>
      </c>
      <c r="B222" s="7" t="s">
        <v>3212</v>
      </c>
      <c r="C222" s="11" t="s">
        <v>6743</v>
      </c>
      <c r="D222">
        <v>930</v>
      </c>
      <c r="E222">
        <v>1428</v>
      </c>
      <c r="F222">
        <v>1444</v>
      </c>
      <c r="H222" s="14">
        <f>VLOOKUP(Table56[[#This Row],[Shortname]], Comp[], 7, FALSE)</f>
        <v>63.5</v>
      </c>
      <c r="I222">
        <f>VLOOKUP(Table56[[#This Row],[Shortname]], Comp[], 8, FALSE)</f>
        <v>16</v>
      </c>
      <c r="J222">
        <f>VLOOKUP(Table56[[#This Row],[Shortname]], Comp[], 9, FALSE)</f>
        <v>9.5</v>
      </c>
      <c r="K222">
        <f>VLOOKUP(Table56[[#This Row],[Shortname]], Comp[], 10, FALSE)</f>
        <v>6</v>
      </c>
      <c r="L222">
        <f>VLOOKUP(Table56[[#This Row],[Shortname]], Comp[], 11, FALSE)</f>
        <v>5</v>
      </c>
      <c r="M222">
        <f>VLOOKUP(Table56[[#This Row],[Shortname]], Comp[],12, FALSE)</f>
        <v>0</v>
      </c>
      <c r="N222">
        <f>VLOOKUP(Table56[[#This Row],[Shortname]], Comp[], 13, FALSE)</f>
        <v>0</v>
      </c>
      <c r="O222">
        <f>VLOOKUP(Table56[[#This Row],[Shortname]], Comp[], 14, FALSE)</f>
        <v>0</v>
      </c>
      <c r="P222">
        <f>VLOOKUP(Table56[[#This Row],[Shortname]], Comp[], 15, FALSE)</f>
        <v>0</v>
      </c>
      <c r="Q222">
        <f>VLOOKUP(Table56[[#This Row],[Shortname]], Comp[], 16, FALSE)</f>
        <v>0</v>
      </c>
      <c r="R222">
        <f>VLOOKUP(Table56[[#This Row],[Shortname]], Comp[], 17, FALSE)</f>
        <v>0</v>
      </c>
      <c r="S222">
        <f>VLOOKUP(Table56[[#This Row],[Shortname]], Comp[], 18, FALSE)</f>
        <v>0</v>
      </c>
      <c r="T222">
        <f>VLOOKUP(Table56[[#This Row],[Shortname]], Comp[], 19, FALSE)</f>
        <v>0</v>
      </c>
      <c r="U222">
        <f>VLOOKUP(Table56[[#This Row],[Shortname]], Comp[], 20, FALSE)</f>
        <v>0</v>
      </c>
      <c r="V222">
        <f>VLOOKUP(Table56[[#This Row],[Shortname]], Comp[], 21, FALSE)</f>
        <v>0</v>
      </c>
      <c r="W222">
        <f>VLOOKUP(Table56[[#This Row],[Shortname]], Comp[], 22, FALSE)</f>
        <v>0</v>
      </c>
      <c r="X222">
        <f>VLOOKUP(Table56[[#This Row],[Shortname]], Comp[], 23, FALSE)</f>
        <v>0</v>
      </c>
      <c r="Y222">
        <f>VLOOKUP(Table56[[#This Row],[Shortname]], Comp[], 24, FALSE)</f>
        <v>0</v>
      </c>
      <c r="Z222">
        <f>VLOOKUP(Table56[[#This Row],[Shortname]], Comp[], 25, FALSE)</f>
        <v>0</v>
      </c>
      <c r="AA222">
        <f>VLOOKUP(Table56[[#This Row],[Shortname]], Comp[], 26, FALSE)</f>
        <v>0</v>
      </c>
      <c r="AB222">
        <f>VLOOKUP(Table56[[#This Row],[Shortname]], Comp[], 27, FALSE)</f>
        <v>0</v>
      </c>
      <c r="AC222">
        <f>VLOOKUP(Table56[[#This Row],[Shortname]], Comp[], 28, FALSE)</f>
        <v>0</v>
      </c>
      <c r="AD222">
        <f>VLOOKUP(Table56[[#This Row],[Shortname]], Comp[], 29, FALSE)</f>
        <v>0</v>
      </c>
      <c r="AE222">
        <f>VLOOKUP(Table56[[#This Row],[Shortname]], Comp[], 30, FALSE)</f>
        <v>0</v>
      </c>
      <c r="AF222">
        <f>VLOOKUP(Table56[[#This Row],[Shortname]], Comp[], 31, FALSE)</f>
        <v>0</v>
      </c>
    </row>
    <row r="223" spans="1:32" x14ac:dyDescent="0.3">
      <c r="A223" s="7" t="s">
        <v>3229</v>
      </c>
      <c r="B223" s="7" t="s">
        <v>3231</v>
      </c>
      <c r="C223" s="3" t="s">
        <v>3232</v>
      </c>
      <c r="D223">
        <v>1080</v>
      </c>
      <c r="E223">
        <v>1369</v>
      </c>
      <c r="F223">
        <v>1424</v>
      </c>
      <c r="H223" s="14">
        <f>VLOOKUP(Table56[[#This Row],[Shortname]], Comp[], 7, FALSE)</f>
        <v>66</v>
      </c>
      <c r="I223">
        <f>VLOOKUP(Table56[[#This Row],[Shortname]], Comp[], 8, FALSE)</f>
        <v>17</v>
      </c>
      <c r="J223">
        <f>VLOOKUP(Table56[[#This Row],[Shortname]], Comp[], 9, FALSE)</f>
        <v>9</v>
      </c>
      <c r="K223">
        <f>VLOOKUP(Table56[[#This Row],[Shortname]], Comp[], 10, FALSE)</f>
        <v>0</v>
      </c>
      <c r="L223">
        <f>VLOOKUP(Table56[[#This Row],[Shortname]], Comp[], 11, FALSE)</f>
        <v>5</v>
      </c>
      <c r="M223">
        <f>VLOOKUP(Table56[[#This Row],[Shortname]], Comp[],12, FALSE)</f>
        <v>3</v>
      </c>
      <c r="N223">
        <f>VLOOKUP(Table56[[#This Row],[Shortname]], Comp[], 13, FALSE)</f>
        <v>0</v>
      </c>
      <c r="O223">
        <f>VLOOKUP(Table56[[#This Row],[Shortname]], Comp[], 14, FALSE)</f>
        <v>0</v>
      </c>
      <c r="P223">
        <f>VLOOKUP(Table56[[#This Row],[Shortname]], Comp[], 15, FALSE)</f>
        <v>0</v>
      </c>
      <c r="Q223">
        <f>VLOOKUP(Table56[[#This Row],[Shortname]], Comp[], 16, FALSE)</f>
        <v>0</v>
      </c>
      <c r="R223">
        <f>VLOOKUP(Table56[[#This Row],[Shortname]], Comp[], 17, FALSE)</f>
        <v>0</v>
      </c>
      <c r="S223">
        <f>VLOOKUP(Table56[[#This Row],[Shortname]], Comp[], 18, FALSE)</f>
        <v>0</v>
      </c>
      <c r="T223">
        <f>VLOOKUP(Table56[[#This Row],[Shortname]], Comp[], 19, FALSE)</f>
        <v>0</v>
      </c>
      <c r="U223">
        <f>VLOOKUP(Table56[[#This Row],[Shortname]], Comp[], 20, FALSE)</f>
        <v>0</v>
      </c>
      <c r="V223">
        <f>VLOOKUP(Table56[[#This Row],[Shortname]], Comp[], 21, FALSE)</f>
        <v>0</v>
      </c>
      <c r="W223">
        <f>VLOOKUP(Table56[[#This Row],[Shortname]], Comp[], 22, FALSE)</f>
        <v>0</v>
      </c>
      <c r="X223">
        <f>VLOOKUP(Table56[[#This Row],[Shortname]], Comp[], 23, FALSE)</f>
        <v>0</v>
      </c>
      <c r="Y223">
        <f>VLOOKUP(Table56[[#This Row],[Shortname]], Comp[], 24, FALSE)</f>
        <v>0</v>
      </c>
      <c r="Z223">
        <f>VLOOKUP(Table56[[#This Row],[Shortname]], Comp[], 25, FALSE)</f>
        <v>0</v>
      </c>
      <c r="AA223">
        <f>VLOOKUP(Table56[[#This Row],[Shortname]], Comp[], 26, FALSE)</f>
        <v>0</v>
      </c>
      <c r="AB223">
        <f>VLOOKUP(Table56[[#This Row],[Shortname]], Comp[], 27, FALSE)</f>
        <v>0</v>
      </c>
      <c r="AC223">
        <f>VLOOKUP(Table56[[#This Row],[Shortname]], Comp[], 28, FALSE)</f>
        <v>0</v>
      </c>
      <c r="AD223">
        <f>VLOOKUP(Table56[[#This Row],[Shortname]], Comp[], 29, FALSE)</f>
        <v>0</v>
      </c>
      <c r="AE223">
        <f>VLOOKUP(Table56[[#This Row],[Shortname]], Comp[], 30, FALSE)</f>
        <v>0</v>
      </c>
      <c r="AF223">
        <f>VLOOKUP(Table56[[#This Row],[Shortname]], Comp[], 31, FALSE)</f>
        <v>0</v>
      </c>
    </row>
    <row r="224" spans="1:32" x14ac:dyDescent="0.3">
      <c r="A224" s="7" t="s">
        <v>3236</v>
      </c>
      <c r="B224" s="7" t="s">
        <v>1567</v>
      </c>
      <c r="C224" s="23" t="s">
        <v>6744</v>
      </c>
      <c r="D224">
        <v>1100</v>
      </c>
      <c r="E224">
        <v>1395</v>
      </c>
      <c r="F224">
        <v>1426</v>
      </c>
      <c r="H224" s="14">
        <f>VLOOKUP(Table56[[#This Row],[Shortname]], Comp[], 7, FALSE)</f>
        <v>59.3</v>
      </c>
      <c r="I224">
        <f>VLOOKUP(Table56[[#This Row],[Shortname]], Comp[], 8, FALSE)</f>
        <v>17</v>
      </c>
      <c r="J224">
        <f>VLOOKUP(Table56[[#This Row],[Shortname]], Comp[], 9, FALSE)</f>
        <v>10</v>
      </c>
      <c r="K224">
        <f>VLOOKUP(Table56[[#This Row],[Shortname]], Comp[], 10, FALSE)</f>
        <v>6</v>
      </c>
      <c r="L224">
        <f>VLOOKUP(Table56[[#This Row],[Shortname]], Comp[], 11, FALSE)</f>
        <v>5</v>
      </c>
      <c r="M224">
        <f>VLOOKUP(Table56[[#This Row],[Shortname]], Comp[],12, FALSE)</f>
        <v>0</v>
      </c>
      <c r="N224">
        <f>VLOOKUP(Table56[[#This Row],[Shortname]], Comp[], 13, FALSE)</f>
        <v>2.7</v>
      </c>
      <c r="O224">
        <f>VLOOKUP(Table56[[#This Row],[Shortname]], Comp[], 14, FALSE)</f>
        <v>0</v>
      </c>
      <c r="P224">
        <f>VLOOKUP(Table56[[#This Row],[Shortname]], Comp[], 15, FALSE)</f>
        <v>0</v>
      </c>
      <c r="Q224">
        <f>VLOOKUP(Table56[[#This Row],[Shortname]], Comp[], 16, FALSE)</f>
        <v>0</v>
      </c>
      <c r="R224">
        <f>VLOOKUP(Table56[[#This Row],[Shortname]], Comp[], 17, FALSE)</f>
        <v>0</v>
      </c>
      <c r="S224">
        <f>VLOOKUP(Table56[[#This Row],[Shortname]], Comp[], 18, FALSE)</f>
        <v>0</v>
      </c>
      <c r="T224">
        <f>VLOOKUP(Table56[[#This Row],[Shortname]], Comp[], 19, FALSE)</f>
        <v>0</v>
      </c>
      <c r="U224">
        <f>VLOOKUP(Table56[[#This Row],[Shortname]], Comp[], 20, FALSE)</f>
        <v>0</v>
      </c>
      <c r="V224">
        <f>VLOOKUP(Table56[[#This Row],[Shortname]], Comp[], 21, FALSE)</f>
        <v>0</v>
      </c>
      <c r="W224">
        <f>VLOOKUP(Table56[[#This Row],[Shortname]], Comp[], 22, FALSE)</f>
        <v>0</v>
      </c>
      <c r="X224">
        <f>VLOOKUP(Table56[[#This Row],[Shortname]], Comp[], 23, FALSE)</f>
        <v>0</v>
      </c>
      <c r="Y224">
        <f>VLOOKUP(Table56[[#This Row],[Shortname]], Comp[], 24, FALSE)</f>
        <v>0</v>
      </c>
      <c r="Z224">
        <f>VLOOKUP(Table56[[#This Row],[Shortname]], Comp[], 25, FALSE)</f>
        <v>0</v>
      </c>
      <c r="AA224">
        <f>VLOOKUP(Table56[[#This Row],[Shortname]], Comp[], 26, FALSE)</f>
        <v>0</v>
      </c>
      <c r="AB224">
        <f>VLOOKUP(Table56[[#This Row],[Shortname]], Comp[], 27, FALSE)</f>
        <v>0</v>
      </c>
      <c r="AC224">
        <f>VLOOKUP(Table56[[#This Row],[Shortname]], Comp[], 28, FALSE)</f>
        <v>0</v>
      </c>
      <c r="AD224">
        <f>VLOOKUP(Table56[[#This Row],[Shortname]], Comp[], 29, FALSE)</f>
        <v>0</v>
      </c>
      <c r="AE224">
        <f>VLOOKUP(Table56[[#This Row],[Shortname]], Comp[], 30, FALSE)</f>
        <v>0</v>
      </c>
      <c r="AF224">
        <f>VLOOKUP(Table56[[#This Row],[Shortname]], Comp[], 31, FALSE)</f>
        <v>0</v>
      </c>
    </row>
    <row r="225" spans="1:32" x14ac:dyDescent="0.3">
      <c r="A225" s="7" t="s">
        <v>3318</v>
      </c>
      <c r="B225" s="7" t="s">
        <v>3320</v>
      </c>
      <c r="C225" t="s">
        <v>6626</v>
      </c>
      <c r="D225">
        <v>1123</v>
      </c>
      <c r="E225">
        <v>1439</v>
      </c>
      <c r="F225">
        <v>1439</v>
      </c>
      <c r="H225" s="14">
        <f>VLOOKUP(Table56[[#This Row],[Shortname]], Comp[], 7, FALSE)</f>
        <v>40</v>
      </c>
      <c r="I225">
        <f>VLOOKUP(Table56[[#This Row],[Shortname]], Comp[], 8, FALSE)</f>
        <v>40</v>
      </c>
      <c r="J225">
        <f>VLOOKUP(Table56[[#This Row],[Shortname]], Comp[], 9, FALSE)</f>
        <v>10</v>
      </c>
      <c r="K225">
        <f>VLOOKUP(Table56[[#This Row],[Shortname]], Comp[], 10, FALSE)</f>
        <v>0</v>
      </c>
      <c r="L225">
        <f>VLOOKUP(Table56[[#This Row],[Shortname]], Comp[], 11, FALSE)</f>
        <v>10</v>
      </c>
      <c r="M225">
        <f>VLOOKUP(Table56[[#This Row],[Shortname]], Comp[],12, FALSE)</f>
        <v>0</v>
      </c>
      <c r="N225">
        <f>VLOOKUP(Table56[[#This Row],[Shortname]], Comp[], 13, FALSE)</f>
        <v>0</v>
      </c>
      <c r="O225">
        <f>VLOOKUP(Table56[[#This Row],[Shortname]], Comp[], 14, FALSE)</f>
        <v>0</v>
      </c>
      <c r="P225">
        <f>VLOOKUP(Table56[[#This Row],[Shortname]], Comp[], 15, FALSE)</f>
        <v>0</v>
      </c>
      <c r="Q225">
        <f>VLOOKUP(Table56[[#This Row],[Shortname]], Comp[], 16, FALSE)</f>
        <v>0</v>
      </c>
      <c r="R225">
        <f>VLOOKUP(Table56[[#This Row],[Shortname]], Comp[], 17, FALSE)</f>
        <v>0</v>
      </c>
      <c r="S225">
        <f>VLOOKUP(Table56[[#This Row],[Shortname]], Comp[], 18, FALSE)</f>
        <v>0</v>
      </c>
      <c r="T225">
        <f>VLOOKUP(Table56[[#This Row],[Shortname]], Comp[], 19, FALSE)</f>
        <v>0</v>
      </c>
      <c r="U225">
        <f>VLOOKUP(Table56[[#This Row],[Shortname]], Comp[], 20, FALSE)</f>
        <v>0</v>
      </c>
      <c r="V225">
        <f>VLOOKUP(Table56[[#This Row],[Shortname]], Comp[], 21, FALSE)</f>
        <v>0</v>
      </c>
      <c r="W225">
        <f>VLOOKUP(Table56[[#This Row],[Shortname]], Comp[], 22, FALSE)</f>
        <v>0</v>
      </c>
      <c r="X225">
        <f>VLOOKUP(Table56[[#This Row],[Shortname]], Comp[], 23, FALSE)</f>
        <v>0</v>
      </c>
      <c r="Y225">
        <f>VLOOKUP(Table56[[#This Row],[Shortname]], Comp[], 24, FALSE)</f>
        <v>0</v>
      </c>
      <c r="Z225">
        <f>VLOOKUP(Table56[[#This Row],[Shortname]], Comp[], 25, FALSE)</f>
        <v>0</v>
      </c>
      <c r="AA225">
        <f>VLOOKUP(Table56[[#This Row],[Shortname]], Comp[], 26, FALSE)</f>
        <v>0</v>
      </c>
      <c r="AB225">
        <f>VLOOKUP(Table56[[#This Row],[Shortname]], Comp[], 27, FALSE)</f>
        <v>0</v>
      </c>
      <c r="AC225">
        <f>VLOOKUP(Table56[[#This Row],[Shortname]], Comp[], 28, FALSE)</f>
        <v>0</v>
      </c>
      <c r="AD225">
        <f>VLOOKUP(Table56[[#This Row],[Shortname]], Comp[], 29, FALSE)</f>
        <v>0</v>
      </c>
      <c r="AE225">
        <f>VLOOKUP(Table56[[#This Row],[Shortname]], Comp[], 30, FALSE)</f>
        <v>0</v>
      </c>
      <c r="AF225">
        <f>VLOOKUP(Table56[[#This Row],[Shortname]], Comp[], 31, FALSE)</f>
        <v>0</v>
      </c>
    </row>
    <row r="226" spans="1:32" x14ac:dyDescent="0.3">
      <c r="A226" s="7" t="s">
        <v>3287</v>
      </c>
      <c r="B226" s="7" t="s">
        <v>3289</v>
      </c>
      <c r="C226" t="s">
        <v>6626</v>
      </c>
      <c r="D226">
        <v>1096</v>
      </c>
      <c r="E226">
        <v>1439</v>
      </c>
      <c r="F226">
        <v>1439</v>
      </c>
      <c r="H226" s="14">
        <f>VLOOKUP(Table56[[#This Row],[Shortname]], Comp[], 7, FALSE)</f>
        <v>50</v>
      </c>
      <c r="I226">
        <f>VLOOKUP(Table56[[#This Row],[Shortname]], Comp[], 8, FALSE)</f>
        <v>30</v>
      </c>
      <c r="J226">
        <f>VLOOKUP(Table56[[#This Row],[Shortname]], Comp[], 9, FALSE)</f>
        <v>10</v>
      </c>
      <c r="K226">
        <f>VLOOKUP(Table56[[#This Row],[Shortname]], Comp[], 10, FALSE)</f>
        <v>0</v>
      </c>
      <c r="L226">
        <f>VLOOKUP(Table56[[#This Row],[Shortname]], Comp[], 11, FALSE)</f>
        <v>10</v>
      </c>
      <c r="M226">
        <f>VLOOKUP(Table56[[#This Row],[Shortname]], Comp[],12, FALSE)</f>
        <v>0</v>
      </c>
      <c r="N226">
        <f>VLOOKUP(Table56[[#This Row],[Shortname]], Comp[], 13, FALSE)</f>
        <v>0</v>
      </c>
      <c r="O226">
        <f>VLOOKUP(Table56[[#This Row],[Shortname]], Comp[], 14, FALSE)</f>
        <v>0</v>
      </c>
      <c r="P226">
        <f>VLOOKUP(Table56[[#This Row],[Shortname]], Comp[], 15, FALSE)</f>
        <v>0</v>
      </c>
      <c r="Q226">
        <f>VLOOKUP(Table56[[#This Row],[Shortname]], Comp[], 16, FALSE)</f>
        <v>0</v>
      </c>
      <c r="R226">
        <f>VLOOKUP(Table56[[#This Row],[Shortname]], Comp[], 17, FALSE)</f>
        <v>0</v>
      </c>
      <c r="S226">
        <f>VLOOKUP(Table56[[#This Row],[Shortname]], Comp[], 18, FALSE)</f>
        <v>0</v>
      </c>
      <c r="T226">
        <f>VLOOKUP(Table56[[#This Row],[Shortname]], Comp[], 19, FALSE)</f>
        <v>0</v>
      </c>
      <c r="U226">
        <f>VLOOKUP(Table56[[#This Row],[Shortname]], Comp[], 20, FALSE)</f>
        <v>0</v>
      </c>
      <c r="V226">
        <f>VLOOKUP(Table56[[#This Row],[Shortname]], Comp[], 21, FALSE)</f>
        <v>0</v>
      </c>
      <c r="W226">
        <f>VLOOKUP(Table56[[#This Row],[Shortname]], Comp[], 22, FALSE)</f>
        <v>0</v>
      </c>
      <c r="X226">
        <f>VLOOKUP(Table56[[#This Row],[Shortname]], Comp[], 23, FALSE)</f>
        <v>0</v>
      </c>
      <c r="Y226">
        <f>VLOOKUP(Table56[[#This Row],[Shortname]], Comp[], 24, FALSE)</f>
        <v>0</v>
      </c>
      <c r="Z226">
        <f>VLOOKUP(Table56[[#This Row],[Shortname]], Comp[], 25, FALSE)</f>
        <v>0</v>
      </c>
      <c r="AA226">
        <f>VLOOKUP(Table56[[#This Row],[Shortname]], Comp[], 26, FALSE)</f>
        <v>0</v>
      </c>
      <c r="AB226">
        <f>VLOOKUP(Table56[[#This Row],[Shortname]], Comp[], 27, FALSE)</f>
        <v>0</v>
      </c>
      <c r="AC226">
        <f>VLOOKUP(Table56[[#This Row],[Shortname]], Comp[], 28, FALSE)</f>
        <v>0</v>
      </c>
      <c r="AD226">
        <f>VLOOKUP(Table56[[#This Row],[Shortname]], Comp[], 29, FALSE)</f>
        <v>0</v>
      </c>
      <c r="AE226">
        <f>VLOOKUP(Table56[[#This Row],[Shortname]], Comp[], 30, FALSE)</f>
        <v>0</v>
      </c>
      <c r="AF226">
        <f>VLOOKUP(Table56[[#This Row],[Shortname]], Comp[], 31, FALSE)</f>
        <v>0</v>
      </c>
    </row>
    <row r="227" spans="1:32" x14ac:dyDescent="0.3">
      <c r="A227" s="7" t="s">
        <v>3324</v>
      </c>
      <c r="B227" s="7" t="s">
        <v>3326</v>
      </c>
      <c r="C227" t="s">
        <v>6626</v>
      </c>
      <c r="D227">
        <v>1075</v>
      </c>
      <c r="E227">
        <v>1444</v>
      </c>
      <c r="F227">
        <v>1444</v>
      </c>
      <c r="H227" s="14">
        <f>VLOOKUP(Table56[[#This Row],[Shortname]], Comp[], 7, FALSE)</f>
        <v>42.5</v>
      </c>
      <c r="I227">
        <f>VLOOKUP(Table56[[#This Row],[Shortname]], Comp[], 8, FALSE)</f>
        <v>40</v>
      </c>
      <c r="J227">
        <f>VLOOKUP(Table56[[#This Row],[Shortname]], Comp[], 9, FALSE)</f>
        <v>10</v>
      </c>
      <c r="K227">
        <f>VLOOKUP(Table56[[#This Row],[Shortname]], Comp[], 10, FALSE)</f>
        <v>0</v>
      </c>
      <c r="L227">
        <f>VLOOKUP(Table56[[#This Row],[Shortname]], Comp[], 11, FALSE)</f>
        <v>7.5</v>
      </c>
      <c r="M227">
        <f>VLOOKUP(Table56[[#This Row],[Shortname]], Comp[],12, FALSE)</f>
        <v>0</v>
      </c>
      <c r="N227">
        <f>VLOOKUP(Table56[[#This Row],[Shortname]], Comp[], 13, FALSE)</f>
        <v>0</v>
      </c>
      <c r="O227">
        <f>VLOOKUP(Table56[[#This Row],[Shortname]], Comp[], 14, FALSE)</f>
        <v>0</v>
      </c>
      <c r="P227">
        <f>VLOOKUP(Table56[[#This Row],[Shortname]], Comp[], 15, FALSE)</f>
        <v>0</v>
      </c>
      <c r="Q227">
        <f>VLOOKUP(Table56[[#This Row],[Shortname]], Comp[], 16, FALSE)</f>
        <v>0</v>
      </c>
      <c r="R227">
        <f>VLOOKUP(Table56[[#This Row],[Shortname]], Comp[], 17, FALSE)</f>
        <v>0</v>
      </c>
      <c r="S227">
        <f>VLOOKUP(Table56[[#This Row],[Shortname]], Comp[], 18, FALSE)</f>
        <v>0</v>
      </c>
      <c r="T227">
        <f>VLOOKUP(Table56[[#This Row],[Shortname]], Comp[], 19, FALSE)</f>
        <v>0</v>
      </c>
      <c r="U227">
        <f>VLOOKUP(Table56[[#This Row],[Shortname]], Comp[], 20, FALSE)</f>
        <v>0</v>
      </c>
      <c r="V227">
        <f>VLOOKUP(Table56[[#This Row],[Shortname]], Comp[], 21, FALSE)</f>
        <v>0</v>
      </c>
      <c r="W227">
        <f>VLOOKUP(Table56[[#This Row],[Shortname]], Comp[], 22, FALSE)</f>
        <v>0</v>
      </c>
      <c r="X227">
        <f>VLOOKUP(Table56[[#This Row],[Shortname]], Comp[], 23, FALSE)</f>
        <v>0</v>
      </c>
      <c r="Y227">
        <f>VLOOKUP(Table56[[#This Row],[Shortname]], Comp[], 24, FALSE)</f>
        <v>0</v>
      </c>
      <c r="Z227">
        <f>VLOOKUP(Table56[[#This Row],[Shortname]], Comp[], 25, FALSE)</f>
        <v>0</v>
      </c>
      <c r="AA227">
        <f>VLOOKUP(Table56[[#This Row],[Shortname]], Comp[], 26, FALSE)</f>
        <v>0</v>
      </c>
      <c r="AB227">
        <f>VLOOKUP(Table56[[#This Row],[Shortname]], Comp[], 27, FALSE)</f>
        <v>0</v>
      </c>
      <c r="AC227">
        <f>VLOOKUP(Table56[[#This Row],[Shortname]], Comp[], 28, FALSE)</f>
        <v>0</v>
      </c>
      <c r="AD227">
        <f>VLOOKUP(Table56[[#This Row],[Shortname]], Comp[], 29, FALSE)</f>
        <v>0</v>
      </c>
      <c r="AE227">
        <f>VLOOKUP(Table56[[#This Row],[Shortname]], Comp[], 30, FALSE)</f>
        <v>0</v>
      </c>
      <c r="AF227">
        <f>VLOOKUP(Table56[[#This Row],[Shortname]], Comp[], 31, FALSE)</f>
        <v>0</v>
      </c>
    </row>
    <row r="228" spans="1:32" x14ac:dyDescent="0.3">
      <c r="A228" s="7" t="s">
        <v>3293</v>
      </c>
      <c r="B228" s="7" t="s">
        <v>3295</v>
      </c>
      <c r="C228" t="s">
        <v>6626</v>
      </c>
      <c r="D228">
        <v>1049</v>
      </c>
      <c r="E228">
        <v>1447</v>
      </c>
      <c r="F228">
        <v>1447</v>
      </c>
      <c r="H228" s="14">
        <f>VLOOKUP(Table56[[#This Row],[Shortname]], Comp[], 7, FALSE)</f>
        <v>52.5</v>
      </c>
      <c r="I228">
        <f>VLOOKUP(Table56[[#This Row],[Shortname]], Comp[], 8, FALSE)</f>
        <v>30</v>
      </c>
      <c r="J228">
        <f>VLOOKUP(Table56[[#This Row],[Shortname]], Comp[], 9, FALSE)</f>
        <v>10</v>
      </c>
      <c r="K228">
        <f>VLOOKUP(Table56[[#This Row],[Shortname]], Comp[], 10, FALSE)</f>
        <v>0</v>
      </c>
      <c r="L228">
        <f>VLOOKUP(Table56[[#This Row],[Shortname]], Comp[], 11, FALSE)</f>
        <v>7.5</v>
      </c>
      <c r="M228">
        <f>VLOOKUP(Table56[[#This Row],[Shortname]], Comp[],12, FALSE)</f>
        <v>0</v>
      </c>
      <c r="N228">
        <f>VLOOKUP(Table56[[#This Row],[Shortname]], Comp[], 13, FALSE)</f>
        <v>0</v>
      </c>
      <c r="O228">
        <f>VLOOKUP(Table56[[#This Row],[Shortname]], Comp[], 14, FALSE)</f>
        <v>0</v>
      </c>
      <c r="P228">
        <f>VLOOKUP(Table56[[#This Row],[Shortname]], Comp[], 15, FALSE)</f>
        <v>0</v>
      </c>
      <c r="Q228">
        <f>VLOOKUP(Table56[[#This Row],[Shortname]], Comp[], 16, FALSE)</f>
        <v>0</v>
      </c>
      <c r="R228">
        <f>VLOOKUP(Table56[[#This Row],[Shortname]], Comp[], 17, FALSE)</f>
        <v>0</v>
      </c>
      <c r="S228">
        <f>VLOOKUP(Table56[[#This Row],[Shortname]], Comp[], 18, FALSE)</f>
        <v>0</v>
      </c>
      <c r="T228">
        <f>VLOOKUP(Table56[[#This Row],[Shortname]], Comp[], 19, FALSE)</f>
        <v>0</v>
      </c>
      <c r="U228">
        <f>VLOOKUP(Table56[[#This Row],[Shortname]], Comp[], 20, FALSE)</f>
        <v>0</v>
      </c>
      <c r="V228">
        <f>VLOOKUP(Table56[[#This Row],[Shortname]], Comp[], 21, FALSE)</f>
        <v>0</v>
      </c>
      <c r="W228">
        <f>VLOOKUP(Table56[[#This Row],[Shortname]], Comp[], 22, FALSE)</f>
        <v>0</v>
      </c>
      <c r="X228">
        <f>VLOOKUP(Table56[[#This Row],[Shortname]], Comp[], 23, FALSE)</f>
        <v>0</v>
      </c>
      <c r="Y228">
        <f>VLOOKUP(Table56[[#This Row],[Shortname]], Comp[], 24, FALSE)</f>
        <v>0</v>
      </c>
      <c r="Z228">
        <f>VLOOKUP(Table56[[#This Row],[Shortname]], Comp[], 25, FALSE)</f>
        <v>0</v>
      </c>
      <c r="AA228">
        <f>VLOOKUP(Table56[[#This Row],[Shortname]], Comp[], 26, FALSE)</f>
        <v>0</v>
      </c>
      <c r="AB228">
        <f>VLOOKUP(Table56[[#This Row],[Shortname]], Comp[], 27, FALSE)</f>
        <v>0</v>
      </c>
      <c r="AC228">
        <f>VLOOKUP(Table56[[#This Row],[Shortname]], Comp[], 28, FALSE)</f>
        <v>0</v>
      </c>
      <c r="AD228">
        <f>VLOOKUP(Table56[[#This Row],[Shortname]], Comp[], 29, FALSE)</f>
        <v>0</v>
      </c>
      <c r="AE228">
        <f>VLOOKUP(Table56[[#This Row],[Shortname]], Comp[], 30, FALSE)</f>
        <v>0</v>
      </c>
      <c r="AF228">
        <f>VLOOKUP(Table56[[#This Row],[Shortname]], Comp[], 31, FALSE)</f>
        <v>0</v>
      </c>
    </row>
    <row r="229" spans="1:32" x14ac:dyDescent="0.3">
      <c r="A229" s="7" t="s">
        <v>3359</v>
      </c>
      <c r="B229" s="7" t="s">
        <v>3359</v>
      </c>
      <c r="C229" t="s">
        <v>6745</v>
      </c>
      <c r="D229">
        <v>1013</v>
      </c>
      <c r="F229">
        <v>1429.3</v>
      </c>
      <c r="H229" s="14">
        <f>VLOOKUP(Table56[[#This Row],[Shortname]], Comp[], 7, FALSE)</f>
        <v>91.5</v>
      </c>
      <c r="I229">
        <f>VLOOKUP(Table56[[#This Row],[Shortname]], Comp[], 8, FALSE)</f>
        <v>0</v>
      </c>
      <c r="J229">
        <f>VLOOKUP(Table56[[#This Row],[Shortname]], Comp[], 9, FALSE)</f>
        <v>0</v>
      </c>
      <c r="K229">
        <f>VLOOKUP(Table56[[#This Row],[Shortname]], Comp[], 10, FALSE)</f>
        <v>0</v>
      </c>
      <c r="L229">
        <f>VLOOKUP(Table56[[#This Row],[Shortname]], Comp[], 11, FALSE)</f>
        <v>0</v>
      </c>
      <c r="M229">
        <f>VLOOKUP(Table56[[#This Row],[Shortname]], Comp[],12, FALSE)</f>
        <v>0</v>
      </c>
      <c r="N229">
        <f>VLOOKUP(Table56[[#This Row],[Shortname]], Comp[], 13, FALSE)</f>
        <v>8.5</v>
      </c>
      <c r="O229">
        <f>VLOOKUP(Table56[[#This Row],[Shortname]], Comp[], 14, FALSE)</f>
        <v>0</v>
      </c>
      <c r="P229">
        <f>VLOOKUP(Table56[[#This Row],[Shortname]], Comp[], 15, FALSE)</f>
        <v>0</v>
      </c>
      <c r="Q229">
        <f>VLOOKUP(Table56[[#This Row],[Shortname]], Comp[], 16, FALSE)</f>
        <v>0</v>
      </c>
      <c r="R229">
        <f>VLOOKUP(Table56[[#This Row],[Shortname]], Comp[], 17, FALSE)</f>
        <v>0</v>
      </c>
      <c r="S229">
        <f>VLOOKUP(Table56[[#This Row],[Shortname]], Comp[], 18, FALSE)</f>
        <v>0</v>
      </c>
      <c r="T229">
        <f>VLOOKUP(Table56[[#This Row],[Shortname]], Comp[], 19, FALSE)</f>
        <v>0</v>
      </c>
      <c r="U229">
        <f>VLOOKUP(Table56[[#This Row],[Shortname]], Comp[], 20, FALSE)</f>
        <v>0</v>
      </c>
      <c r="V229">
        <f>VLOOKUP(Table56[[#This Row],[Shortname]], Comp[], 21, FALSE)</f>
        <v>0</v>
      </c>
      <c r="W229">
        <f>VLOOKUP(Table56[[#This Row],[Shortname]], Comp[], 22, FALSE)</f>
        <v>0</v>
      </c>
      <c r="X229">
        <f>VLOOKUP(Table56[[#This Row],[Shortname]], Comp[], 23, FALSE)</f>
        <v>0</v>
      </c>
      <c r="Y229">
        <f>VLOOKUP(Table56[[#This Row],[Shortname]], Comp[], 24, FALSE)</f>
        <v>0</v>
      </c>
      <c r="Z229">
        <f>VLOOKUP(Table56[[#This Row],[Shortname]], Comp[], 25, FALSE)</f>
        <v>0</v>
      </c>
      <c r="AA229">
        <f>VLOOKUP(Table56[[#This Row],[Shortname]], Comp[], 26, FALSE)</f>
        <v>0</v>
      </c>
      <c r="AB229">
        <f>VLOOKUP(Table56[[#This Row],[Shortname]], Comp[], 27, FALSE)</f>
        <v>0</v>
      </c>
      <c r="AC229">
        <f>VLOOKUP(Table56[[#This Row],[Shortname]], Comp[], 28, FALSE)</f>
        <v>0</v>
      </c>
      <c r="AD229">
        <f>VLOOKUP(Table56[[#This Row],[Shortname]], Comp[], 29, FALSE)</f>
        <v>0</v>
      </c>
      <c r="AE229">
        <f>VLOOKUP(Table56[[#This Row],[Shortname]], Comp[], 30, FALSE)</f>
        <v>0</v>
      </c>
      <c r="AF229">
        <f>VLOOKUP(Table56[[#This Row],[Shortname]], Comp[], 31, FALSE)</f>
        <v>0</v>
      </c>
    </row>
    <row r="230" spans="1:32" x14ac:dyDescent="0.3">
      <c r="A230" s="7" t="s">
        <v>3355</v>
      </c>
      <c r="B230" s="7" t="s">
        <v>3355</v>
      </c>
      <c r="C230" t="s">
        <v>6745</v>
      </c>
      <c r="D230">
        <v>944.7</v>
      </c>
      <c r="E230">
        <v>1428.5</v>
      </c>
      <c r="F230">
        <v>1463.7</v>
      </c>
      <c r="H230" s="14">
        <f>VLOOKUP(Table56[[#This Row],[Shortname]], Comp[], 7, FALSE)</f>
        <v>96.5</v>
      </c>
      <c r="I230">
        <f>VLOOKUP(Table56[[#This Row],[Shortname]], Comp[], 8, FALSE)</f>
        <v>0</v>
      </c>
      <c r="J230">
        <f>VLOOKUP(Table56[[#This Row],[Shortname]], Comp[], 9, FALSE)</f>
        <v>0</v>
      </c>
      <c r="K230">
        <f>VLOOKUP(Table56[[#This Row],[Shortname]], Comp[], 10, FALSE)</f>
        <v>0</v>
      </c>
      <c r="L230">
        <f>VLOOKUP(Table56[[#This Row],[Shortname]], Comp[], 11, FALSE)</f>
        <v>0</v>
      </c>
      <c r="M230">
        <f>VLOOKUP(Table56[[#This Row],[Shortname]], Comp[],12, FALSE)</f>
        <v>0</v>
      </c>
      <c r="N230">
        <f>VLOOKUP(Table56[[#This Row],[Shortname]], Comp[], 13, FALSE)</f>
        <v>3.5</v>
      </c>
      <c r="O230">
        <f>VLOOKUP(Table56[[#This Row],[Shortname]], Comp[], 14, FALSE)</f>
        <v>0</v>
      </c>
      <c r="P230">
        <f>VLOOKUP(Table56[[#This Row],[Shortname]], Comp[], 15, FALSE)</f>
        <v>0</v>
      </c>
      <c r="Q230">
        <f>VLOOKUP(Table56[[#This Row],[Shortname]], Comp[], 16, FALSE)</f>
        <v>0</v>
      </c>
      <c r="R230">
        <f>VLOOKUP(Table56[[#This Row],[Shortname]], Comp[], 17, FALSE)</f>
        <v>0</v>
      </c>
      <c r="S230">
        <f>VLOOKUP(Table56[[#This Row],[Shortname]], Comp[], 18, FALSE)</f>
        <v>0</v>
      </c>
      <c r="T230">
        <f>VLOOKUP(Table56[[#This Row],[Shortname]], Comp[], 19, FALSE)</f>
        <v>0</v>
      </c>
      <c r="U230">
        <f>VLOOKUP(Table56[[#This Row],[Shortname]], Comp[], 20, FALSE)</f>
        <v>0</v>
      </c>
      <c r="V230">
        <f>VLOOKUP(Table56[[#This Row],[Shortname]], Comp[], 21, FALSE)</f>
        <v>0</v>
      </c>
      <c r="W230">
        <f>VLOOKUP(Table56[[#This Row],[Shortname]], Comp[], 22, FALSE)</f>
        <v>0</v>
      </c>
      <c r="X230">
        <f>VLOOKUP(Table56[[#This Row],[Shortname]], Comp[], 23, FALSE)</f>
        <v>0</v>
      </c>
      <c r="Y230">
        <f>VLOOKUP(Table56[[#This Row],[Shortname]], Comp[], 24, FALSE)</f>
        <v>0</v>
      </c>
      <c r="Z230">
        <f>VLOOKUP(Table56[[#This Row],[Shortname]], Comp[], 25, FALSE)</f>
        <v>0</v>
      </c>
      <c r="AA230">
        <f>VLOOKUP(Table56[[#This Row],[Shortname]], Comp[], 26, FALSE)</f>
        <v>0</v>
      </c>
      <c r="AB230">
        <f>VLOOKUP(Table56[[#This Row],[Shortname]], Comp[], 27, FALSE)</f>
        <v>0</v>
      </c>
      <c r="AC230">
        <f>VLOOKUP(Table56[[#This Row],[Shortname]], Comp[], 28, FALSE)</f>
        <v>0</v>
      </c>
      <c r="AD230">
        <f>VLOOKUP(Table56[[#This Row],[Shortname]], Comp[], 29, FALSE)</f>
        <v>0</v>
      </c>
      <c r="AE230">
        <f>VLOOKUP(Table56[[#This Row],[Shortname]], Comp[], 30, FALSE)</f>
        <v>0</v>
      </c>
      <c r="AF230">
        <f>VLOOKUP(Table56[[#This Row],[Shortname]], Comp[], 31, FALSE)</f>
        <v>0</v>
      </c>
    </row>
    <row r="231" spans="1:32" x14ac:dyDescent="0.3">
      <c r="A231" s="7" t="s">
        <v>3364</v>
      </c>
      <c r="B231" s="7" t="s">
        <v>3366</v>
      </c>
      <c r="C231" t="s">
        <v>6745</v>
      </c>
      <c r="F231">
        <v>1364.6</v>
      </c>
      <c r="H231" s="14">
        <f>VLOOKUP(Table56[[#This Row],[Shortname]], Comp[], 7, FALSE)</f>
        <v>88</v>
      </c>
      <c r="I231">
        <f>VLOOKUP(Table56[[#This Row],[Shortname]], Comp[], 8, FALSE)</f>
        <v>0</v>
      </c>
      <c r="J231">
        <f>VLOOKUP(Table56[[#This Row],[Shortname]], Comp[], 9, FALSE)</f>
        <v>0</v>
      </c>
      <c r="K231">
        <f>VLOOKUP(Table56[[#This Row],[Shortname]], Comp[], 10, FALSE)</f>
        <v>0</v>
      </c>
      <c r="L231">
        <f>VLOOKUP(Table56[[#This Row],[Shortname]], Comp[], 11, FALSE)</f>
        <v>0</v>
      </c>
      <c r="M231">
        <f>VLOOKUP(Table56[[#This Row],[Shortname]], Comp[],12, FALSE)</f>
        <v>0</v>
      </c>
      <c r="N231">
        <f>VLOOKUP(Table56[[#This Row],[Shortname]], Comp[], 13, FALSE)</f>
        <v>12</v>
      </c>
      <c r="O231">
        <f>VLOOKUP(Table56[[#This Row],[Shortname]], Comp[], 14, FALSE)</f>
        <v>0</v>
      </c>
      <c r="P231">
        <f>VLOOKUP(Table56[[#This Row],[Shortname]], Comp[], 15, FALSE)</f>
        <v>0</v>
      </c>
      <c r="Q231">
        <f>VLOOKUP(Table56[[#This Row],[Shortname]], Comp[], 16, FALSE)</f>
        <v>0</v>
      </c>
      <c r="R231">
        <f>VLOOKUP(Table56[[#This Row],[Shortname]], Comp[], 17, FALSE)</f>
        <v>0</v>
      </c>
      <c r="S231">
        <f>VLOOKUP(Table56[[#This Row],[Shortname]], Comp[], 18, FALSE)</f>
        <v>0</v>
      </c>
      <c r="T231">
        <f>VLOOKUP(Table56[[#This Row],[Shortname]], Comp[], 19, FALSE)</f>
        <v>0</v>
      </c>
      <c r="U231">
        <f>VLOOKUP(Table56[[#This Row],[Shortname]], Comp[], 20, FALSE)</f>
        <v>0</v>
      </c>
      <c r="V231">
        <f>VLOOKUP(Table56[[#This Row],[Shortname]], Comp[], 21, FALSE)</f>
        <v>0</v>
      </c>
      <c r="W231">
        <f>VLOOKUP(Table56[[#This Row],[Shortname]], Comp[], 22, FALSE)</f>
        <v>0</v>
      </c>
      <c r="X231">
        <f>VLOOKUP(Table56[[#This Row],[Shortname]], Comp[], 23, FALSE)</f>
        <v>0</v>
      </c>
      <c r="Y231">
        <f>VLOOKUP(Table56[[#This Row],[Shortname]], Comp[], 24, FALSE)</f>
        <v>0</v>
      </c>
      <c r="Z231">
        <f>VLOOKUP(Table56[[#This Row],[Shortname]], Comp[], 25, FALSE)</f>
        <v>0</v>
      </c>
      <c r="AA231">
        <f>VLOOKUP(Table56[[#This Row],[Shortname]], Comp[], 26, FALSE)</f>
        <v>0</v>
      </c>
      <c r="AB231">
        <f>VLOOKUP(Table56[[#This Row],[Shortname]], Comp[], 27, FALSE)</f>
        <v>0</v>
      </c>
      <c r="AC231">
        <f>VLOOKUP(Table56[[#This Row],[Shortname]], Comp[], 28, FALSE)</f>
        <v>0</v>
      </c>
      <c r="AD231">
        <f>VLOOKUP(Table56[[#This Row],[Shortname]], Comp[], 29, FALSE)</f>
        <v>0</v>
      </c>
      <c r="AE231">
        <f>VLOOKUP(Table56[[#This Row],[Shortname]], Comp[], 30, FALSE)</f>
        <v>0</v>
      </c>
      <c r="AF231">
        <f>VLOOKUP(Table56[[#This Row],[Shortname]], Comp[], 31, FALSE)</f>
        <v>0</v>
      </c>
    </row>
    <row r="232" spans="1:32" x14ac:dyDescent="0.3">
      <c r="A232" s="7" t="s">
        <v>3349</v>
      </c>
      <c r="B232" s="7" t="s">
        <v>3351</v>
      </c>
      <c r="C232" t="s">
        <v>6745</v>
      </c>
      <c r="E232">
        <v>1462.5</v>
      </c>
      <c r="F232">
        <v>1481.1</v>
      </c>
      <c r="H232" s="14">
        <f>VLOOKUP(Table56[[#This Row],[Shortname]], Comp[], 7, FALSE)</f>
        <v>98</v>
      </c>
      <c r="I232">
        <f>VLOOKUP(Table56[[#This Row],[Shortname]], Comp[], 8, FALSE)</f>
        <v>0</v>
      </c>
      <c r="J232">
        <f>VLOOKUP(Table56[[#This Row],[Shortname]], Comp[], 9, FALSE)</f>
        <v>0</v>
      </c>
      <c r="K232">
        <f>VLOOKUP(Table56[[#This Row],[Shortname]], Comp[], 10, FALSE)</f>
        <v>0</v>
      </c>
      <c r="L232">
        <f>VLOOKUP(Table56[[#This Row],[Shortname]], Comp[], 11, FALSE)</f>
        <v>0</v>
      </c>
      <c r="M232">
        <f>VLOOKUP(Table56[[#This Row],[Shortname]], Comp[],12, FALSE)</f>
        <v>0</v>
      </c>
      <c r="N232">
        <f>VLOOKUP(Table56[[#This Row],[Shortname]], Comp[], 13, FALSE)</f>
        <v>2</v>
      </c>
      <c r="O232">
        <f>VLOOKUP(Table56[[#This Row],[Shortname]], Comp[], 14, FALSE)</f>
        <v>0</v>
      </c>
      <c r="P232">
        <f>VLOOKUP(Table56[[#This Row],[Shortname]], Comp[], 15, FALSE)</f>
        <v>0</v>
      </c>
      <c r="Q232">
        <f>VLOOKUP(Table56[[#This Row],[Shortname]], Comp[], 16, FALSE)</f>
        <v>0</v>
      </c>
      <c r="R232">
        <f>VLOOKUP(Table56[[#This Row],[Shortname]], Comp[], 17, FALSE)</f>
        <v>0</v>
      </c>
      <c r="S232">
        <f>VLOOKUP(Table56[[#This Row],[Shortname]], Comp[], 18, FALSE)</f>
        <v>0</v>
      </c>
      <c r="T232">
        <f>VLOOKUP(Table56[[#This Row],[Shortname]], Comp[], 19, FALSE)</f>
        <v>0</v>
      </c>
      <c r="U232">
        <f>VLOOKUP(Table56[[#This Row],[Shortname]], Comp[], 20, FALSE)</f>
        <v>0</v>
      </c>
      <c r="V232">
        <f>VLOOKUP(Table56[[#This Row],[Shortname]], Comp[], 21, FALSE)</f>
        <v>0</v>
      </c>
      <c r="W232">
        <f>VLOOKUP(Table56[[#This Row],[Shortname]], Comp[], 22, FALSE)</f>
        <v>0</v>
      </c>
      <c r="X232">
        <f>VLOOKUP(Table56[[#This Row],[Shortname]], Comp[], 23, FALSE)</f>
        <v>0</v>
      </c>
      <c r="Y232">
        <f>VLOOKUP(Table56[[#This Row],[Shortname]], Comp[], 24, FALSE)</f>
        <v>0</v>
      </c>
      <c r="Z232">
        <f>VLOOKUP(Table56[[#This Row],[Shortname]], Comp[], 25, FALSE)</f>
        <v>0</v>
      </c>
      <c r="AA232">
        <f>VLOOKUP(Table56[[#This Row],[Shortname]], Comp[], 26, FALSE)</f>
        <v>0</v>
      </c>
      <c r="AB232">
        <f>VLOOKUP(Table56[[#This Row],[Shortname]], Comp[], 27, FALSE)</f>
        <v>0</v>
      </c>
      <c r="AC232">
        <f>VLOOKUP(Table56[[#This Row],[Shortname]], Comp[], 28, FALSE)</f>
        <v>0</v>
      </c>
      <c r="AD232">
        <f>VLOOKUP(Table56[[#This Row],[Shortname]], Comp[], 29, FALSE)</f>
        <v>0</v>
      </c>
      <c r="AE232">
        <f>VLOOKUP(Table56[[#This Row],[Shortname]], Comp[], 30, FALSE)</f>
        <v>0</v>
      </c>
      <c r="AF232">
        <f>VLOOKUP(Table56[[#This Row],[Shortname]], Comp[], 31, FALSE)</f>
        <v>0</v>
      </c>
    </row>
    <row r="233" spans="1:32" x14ac:dyDescent="0.3">
      <c r="A233" s="7" t="s">
        <v>1735</v>
      </c>
      <c r="B233" s="7" t="s">
        <v>2354</v>
      </c>
      <c r="C233" s="11" t="s">
        <v>6748</v>
      </c>
      <c r="D233">
        <v>1079</v>
      </c>
      <c r="E233">
        <v>1407</v>
      </c>
      <c r="F233">
        <v>1451</v>
      </c>
      <c r="H233" s="14">
        <f>VLOOKUP(Table56[[#This Row],[Shortname]], Comp[], 7, FALSE)</f>
        <v>79.400000000000006</v>
      </c>
      <c r="I233">
        <f>VLOOKUP(Table56[[#This Row],[Shortname]], Comp[], 8, FALSE)</f>
        <v>0</v>
      </c>
      <c r="J233">
        <f>VLOOKUP(Table56[[#This Row],[Shortname]], Comp[], 9, FALSE)</f>
        <v>8.8000000000000007</v>
      </c>
      <c r="K233">
        <f>VLOOKUP(Table56[[#This Row],[Shortname]], Comp[], 10, FALSE)</f>
        <v>0</v>
      </c>
      <c r="L233">
        <f>VLOOKUP(Table56[[#This Row],[Shortname]], Comp[], 11, FALSE)</f>
        <v>9.8000000000000007</v>
      </c>
      <c r="M233">
        <f>VLOOKUP(Table56[[#This Row],[Shortname]], Comp[],12, FALSE)</f>
        <v>0</v>
      </c>
      <c r="N233">
        <f>VLOOKUP(Table56[[#This Row],[Shortname]], Comp[], 13, FALSE)</f>
        <v>2</v>
      </c>
      <c r="O233">
        <f>VLOOKUP(Table56[[#This Row],[Shortname]], Comp[], 14, FALSE)</f>
        <v>0</v>
      </c>
      <c r="P233">
        <f>VLOOKUP(Table56[[#This Row],[Shortname]], Comp[], 15, FALSE)</f>
        <v>0</v>
      </c>
      <c r="Q233">
        <f>VLOOKUP(Table56[[#This Row],[Shortname]], Comp[], 16, FALSE)</f>
        <v>0</v>
      </c>
      <c r="R233">
        <f>VLOOKUP(Table56[[#This Row],[Shortname]], Comp[], 17, FALSE)</f>
        <v>0</v>
      </c>
      <c r="S233">
        <f>VLOOKUP(Table56[[#This Row],[Shortname]], Comp[], 18, FALSE)</f>
        <v>0</v>
      </c>
      <c r="T233">
        <f>VLOOKUP(Table56[[#This Row],[Shortname]], Comp[], 19, FALSE)</f>
        <v>0</v>
      </c>
      <c r="U233">
        <f>VLOOKUP(Table56[[#This Row],[Shortname]], Comp[], 20, FALSE)</f>
        <v>0</v>
      </c>
      <c r="V233">
        <f>VLOOKUP(Table56[[#This Row],[Shortname]], Comp[], 21, FALSE)</f>
        <v>0</v>
      </c>
      <c r="W233">
        <f>VLOOKUP(Table56[[#This Row],[Shortname]], Comp[], 22, FALSE)</f>
        <v>0</v>
      </c>
      <c r="X233">
        <f>VLOOKUP(Table56[[#This Row],[Shortname]], Comp[], 23, FALSE)</f>
        <v>0</v>
      </c>
      <c r="Y233">
        <f>VLOOKUP(Table56[[#This Row],[Shortname]], Comp[], 24, FALSE)</f>
        <v>0</v>
      </c>
      <c r="Z233">
        <f>VLOOKUP(Table56[[#This Row],[Shortname]], Comp[], 25, FALSE)</f>
        <v>0</v>
      </c>
      <c r="AA233">
        <f>VLOOKUP(Table56[[#This Row],[Shortname]], Comp[], 26, FALSE)</f>
        <v>0</v>
      </c>
      <c r="AB233">
        <f>VLOOKUP(Table56[[#This Row],[Shortname]], Comp[], 27, FALSE)</f>
        <v>0</v>
      </c>
      <c r="AC233">
        <f>VLOOKUP(Table56[[#This Row],[Shortname]], Comp[], 28, FALSE)</f>
        <v>0</v>
      </c>
      <c r="AD233">
        <f>VLOOKUP(Table56[[#This Row],[Shortname]], Comp[], 29, FALSE)</f>
        <v>0</v>
      </c>
      <c r="AE233">
        <f>VLOOKUP(Table56[[#This Row],[Shortname]], Comp[], 30, FALSE)</f>
        <v>0</v>
      </c>
      <c r="AF233">
        <f>VLOOKUP(Table56[[#This Row],[Shortname]], Comp[], 31, FALSE)</f>
        <v>0</v>
      </c>
    </row>
    <row r="234" spans="1:32" x14ac:dyDescent="0.3">
      <c r="A234" s="7" t="s">
        <v>1728</v>
      </c>
      <c r="B234" s="7" t="s">
        <v>2150</v>
      </c>
      <c r="C234" s="11" t="s">
        <v>6748</v>
      </c>
      <c r="D234">
        <v>1033</v>
      </c>
      <c r="E234">
        <v>1451</v>
      </c>
      <c r="F234">
        <v>1477</v>
      </c>
      <c r="H234" s="14">
        <f>VLOOKUP(Table56[[#This Row],[Shortname]], Comp[], 7, FALSE)</f>
        <v>79.900000000000006</v>
      </c>
      <c r="I234">
        <f>VLOOKUP(Table56[[#This Row],[Shortname]], Comp[], 8, FALSE)</f>
        <v>0</v>
      </c>
      <c r="J234">
        <f>VLOOKUP(Table56[[#This Row],[Shortname]], Comp[], 9, FALSE)</f>
        <v>9.4</v>
      </c>
      <c r="K234">
        <f>VLOOKUP(Table56[[#This Row],[Shortname]], Comp[], 10, FALSE)</f>
        <v>0</v>
      </c>
      <c r="L234">
        <f>VLOOKUP(Table56[[#This Row],[Shortname]], Comp[], 11, FALSE)</f>
        <v>10.7</v>
      </c>
      <c r="M234">
        <f>VLOOKUP(Table56[[#This Row],[Shortname]], Comp[],12, FALSE)</f>
        <v>0</v>
      </c>
      <c r="N234">
        <f>VLOOKUP(Table56[[#This Row],[Shortname]], Comp[], 13, FALSE)</f>
        <v>0</v>
      </c>
      <c r="O234">
        <f>VLOOKUP(Table56[[#This Row],[Shortname]], Comp[], 14, FALSE)</f>
        <v>0</v>
      </c>
      <c r="P234">
        <f>VLOOKUP(Table56[[#This Row],[Shortname]], Comp[], 15, FALSE)</f>
        <v>0</v>
      </c>
      <c r="Q234">
        <f>VLOOKUP(Table56[[#This Row],[Shortname]], Comp[], 16, FALSE)</f>
        <v>0</v>
      </c>
      <c r="R234">
        <f>VLOOKUP(Table56[[#This Row],[Shortname]], Comp[], 17, FALSE)</f>
        <v>0</v>
      </c>
      <c r="S234">
        <f>VLOOKUP(Table56[[#This Row],[Shortname]], Comp[], 18, FALSE)</f>
        <v>0</v>
      </c>
      <c r="T234">
        <f>VLOOKUP(Table56[[#This Row],[Shortname]], Comp[], 19, FALSE)</f>
        <v>0</v>
      </c>
      <c r="U234">
        <f>VLOOKUP(Table56[[#This Row],[Shortname]], Comp[], 20, FALSE)</f>
        <v>0</v>
      </c>
      <c r="V234">
        <f>VLOOKUP(Table56[[#This Row],[Shortname]], Comp[], 21, FALSE)</f>
        <v>0</v>
      </c>
      <c r="W234">
        <f>VLOOKUP(Table56[[#This Row],[Shortname]], Comp[], 22, FALSE)</f>
        <v>0</v>
      </c>
      <c r="X234">
        <f>VLOOKUP(Table56[[#This Row],[Shortname]], Comp[], 23, FALSE)</f>
        <v>0</v>
      </c>
      <c r="Y234">
        <f>VLOOKUP(Table56[[#This Row],[Shortname]], Comp[], 24, FALSE)</f>
        <v>0</v>
      </c>
      <c r="Z234">
        <f>VLOOKUP(Table56[[#This Row],[Shortname]], Comp[], 25, FALSE)</f>
        <v>0</v>
      </c>
      <c r="AA234">
        <f>VLOOKUP(Table56[[#This Row],[Shortname]], Comp[], 26, FALSE)</f>
        <v>0</v>
      </c>
      <c r="AB234">
        <f>VLOOKUP(Table56[[#This Row],[Shortname]], Comp[], 27, FALSE)</f>
        <v>0</v>
      </c>
      <c r="AC234">
        <f>VLOOKUP(Table56[[#This Row],[Shortname]], Comp[], 28, FALSE)</f>
        <v>0</v>
      </c>
      <c r="AD234">
        <f>VLOOKUP(Table56[[#This Row],[Shortname]], Comp[], 29, FALSE)</f>
        <v>0</v>
      </c>
      <c r="AE234">
        <f>VLOOKUP(Table56[[#This Row],[Shortname]], Comp[], 30, FALSE)</f>
        <v>0</v>
      </c>
      <c r="AF234">
        <f>VLOOKUP(Table56[[#This Row],[Shortname]], Comp[], 31, FALSE)</f>
        <v>0</v>
      </c>
    </row>
    <row r="235" spans="1:32" x14ac:dyDescent="0.3">
      <c r="A235" s="7" t="s">
        <v>3182</v>
      </c>
      <c r="B235" s="7" t="s">
        <v>97</v>
      </c>
      <c r="C235" s="11" t="s">
        <v>6748</v>
      </c>
      <c r="D235">
        <v>1000</v>
      </c>
      <c r="E235">
        <v>1458</v>
      </c>
      <c r="F235">
        <v>1490</v>
      </c>
      <c r="H235" s="14">
        <f>VLOOKUP(Table56[[#This Row],[Shortname]], Comp[], 7, FALSE)</f>
        <v>81.8</v>
      </c>
      <c r="I235">
        <f>VLOOKUP(Table56[[#This Row],[Shortname]], Comp[], 8, FALSE)</f>
        <v>0</v>
      </c>
      <c r="J235">
        <f>VLOOKUP(Table56[[#This Row],[Shortname]], Comp[], 9, FALSE)</f>
        <v>9.1999999999999993</v>
      </c>
      <c r="K235">
        <f>VLOOKUP(Table56[[#This Row],[Shortname]], Comp[], 10, FALSE)</f>
        <v>0</v>
      </c>
      <c r="L235">
        <f>VLOOKUP(Table56[[#This Row],[Shortname]], Comp[], 11, FALSE)</f>
        <v>9</v>
      </c>
      <c r="M235">
        <f>VLOOKUP(Table56[[#This Row],[Shortname]], Comp[],12, FALSE)</f>
        <v>0</v>
      </c>
      <c r="N235">
        <f>VLOOKUP(Table56[[#This Row],[Shortname]], Comp[], 13, FALSE)</f>
        <v>0</v>
      </c>
      <c r="O235">
        <f>VLOOKUP(Table56[[#This Row],[Shortname]], Comp[], 14, FALSE)</f>
        <v>0</v>
      </c>
      <c r="P235">
        <f>VLOOKUP(Table56[[#This Row],[Shortname]], Comp[], 15, FALSE)</f>
        <v>0</v>
      </c>
      <c r="Q235">
        <f>VLOOKUP(Table56[[#This Row],[Shortname]], Comp[], 16, FALSE)</f>
        <v>0</v>
      </c>
      <c r="R235">
        <f>VLOOKUP(Table56[[#This Row],[Shortname]], Comp[], 17, FALSE)</f>
        <v>0</v>
      </c>
      <c r="S235">
        <f>VLOOKUP(Table56[[#This Row],[Shortname]], Comp[], 18, FALSE)</f>
        <v>0</v>
      </c>
      <c r="T235">
        <f>VLOOKUP(Table56[[#This Row],[Shortname]], Comp[], 19, FALSE)</f>
        <v>0</v>
      </c>
      <c r="U235">
        <f>VLOOKUP(Table56[[#This Row],[Shortname]], Comp[], 20, FALSE)</f>
        <v>0</v>
      </c>
      <c r="V235">
        <f>VLOOKUP(Table56[[#This Row],[Shortname]], Comp[], 21, FALSE)</f>
        <v>0</v>
      </c>
      <c r="W235">
        <f>VLOOKUP(Table56[[#This Row],[Shortname]], Comp[], 22, FALSE)</f>
        <v>0</v>
      </c>
      <c r="X235">
        <f>VLOOKUP(Table56[[#This Row],[Shortname]], Comp[], 23, FALSE)</f>
        <v>0</v>
      </c>
      <c r="Y235">
        <f>VLOOKUP(Table56[[#This Row],[Shortname]], Comp[], 24, FALSE)</f>
        <v>0</v>
      </c>
      <c r="Z235">
        <f>VLOOKUP(Table56[[#This Row],[Shortname]], Comp[], 25, FALSE)</f>
        <v>0</v>
      </c>
      <c r="AA235">
        <f>VLOOKUP(Table56[[#This Row],[Shortname]], Comp[], 26, FALSE)</f>
        <v>0</v>
      </c>
      <c r="AB235">
        <f>VLOOKUP(Table56[[#This Row],[Shortname]], Comp[], 27, FALSE)</f>
        <v>0</v>
      </c>
      <c r="AC235">
        <f>VLOOKUP(Table56[[#This Row],[Shortname]], Comp[], 28, FALSE)</f>
        <v>0</v>
      </c>
      <c r="AD235">
        <f>VLOOKUP(Table56[[#This Row],[Shortname]], Comp[], 29, FALSE)</f>
        <v>0</v>
      </c>
      <c r="AE235">
        <f>VLOOKUP(Table56[[#This Row],[Shortname]], Comp[], 30, FALSE)</f>
        <v>0</v>
      </c>
      <c r="AF235">
        <f>VLOOKUP(Table56[[#This Row],[Shortname]], Comp[], 31, FALSE)</f>
        <v>0</v>
      </c>
    </row>
    <row r="236" spans="1:32" x14ac:dyDescent="0.3">
      <c r="A236" s="7" t="s">
        <v>2901</v>
      </c>
      <c r="B236" s="7" t="s">
        <v>5256</v>
      </c>
      <c r="C236" s="11" t="s">
        <v>6748</v>
      </c>
      <c r="D236">
        <v>994</v>
      </c>
      <c r="E236">
        <v>1469</v>
      </c>
      <c r="F236">
        <v>1493</v>
      </c>
      <c r="H236" s="14">
        <f>VLOOKUP(Table56[[#This Row],[Shortname]], Comp[], 7, FALSE)</f>
        <v>79.400000000000006</v>
      </c>
      <c r="I236">
        <f>VLOOKUP(Table56[[#This Row],[Shortname]], Comp[], 8, FALSE)</f>
        <v>0</v>
      </c>
      <c r="J236">
        <f>VLOOKUP(Table56[[#This Row],[Shortname]], Comp[], 9, FALSE)</f>
        <v>8.8000000000000007</v>
      </c>
      <c r="K236">
        <f>VLOOKUP(Table56[[#This Row],[Shortname]], Comp[], 10, FALSE)</f>
        <v>0</v>
      </c>
      <c r="L236">
        <f>VLOOKUP(Table56[[#This Row],[Shortname]], Comp[], 11, FALSE)</f>
        <v>9.8000000000000007</v>
      </c>
      <c r="M236">
        <f>VLOOKUP(Table56[[#This Row],[Shortname]], Comp[],12, FALSE)</f>
        <v>0</v>
      </c>
      <c r="N236">
        <f>VLOOKUP(Table56[[#This Row],[Shortname]], Comp[], 13, FALSE)</f>
        <v>0</v>
      </c>
      <c r="O236">
        <f>VLOOKUP(Table56[[#This Row],[Shortname]], Comp[], 14, FALSE)</f>
        <v>0</v>
      </c>
      <c r="P236">
        <f>VLOOKUP(Table56[[#This Row],[Shortname]], Comp[], 15, FALSE)</f>
        <v>0</v>
      </c>
      <c r="Q236">
        <f>VLOOKUP(Table56[[#This Row],[Shortname]], Comp[], 16, FALSE)</f>
        <v>0</v>
      </c>
      <c r="R236">
        <f>VLOOKUP(Table56[[#This Row],[Shortname]], Comp[], 17, FALSE)</f>
        <v>0</v>
      </c>
      <c r="S236">
        <f>VLOOKUP(Table56[[#This Row],[Shortname]], Comp[], 18, FALSE)</f>
        <v>0</v>
      </c>
      <c r="T236">
        <f>VLOOKUP(Table56[[#This Row],[Shortname]], Comp[], 19, FALSE)</f>
        <v>0</v>
      </c>
      <c r="U236">
        <f>VLOOKUP(Table56[[#This Row],[Shortname]], Comp[], 20, FALSE)</f>
        <v>0</v>
      </c>
      <c r="V236">
        <f>VLOOKUP(Table56[[#This Row],[Shortname]], Comp[], 21, FALSE)</f>
        <v>2</v>
      </c>
      <c r="W236">
        <f>VLOOKUP(Table56[[#This Row],[Shortname]], Comp[], 22, FALSE)</f>
        <v>0</v>
      </c>
      <c r="X236">
        <f>VLOOKUP(Table56[[#This Row],[Shortname]], Comp[], 23, FALSE)</f>
        <v>0</v>
      </c>
      <c r="Y236">
        <f>VLOOKUP(Table56[[#This Row],[Shortname]], Comp[], 24, FALSE)</f>
        <v>0</v>
      </c>
      <c r="Z236">
        <f>VLOOKUP(Table56[[#This Row],[Shortname]], Comp[], 25, FALSE)</f>
        <v>0</v>
      </c>
      <c r="AA236">
        <f>VLOOKUP(Table56[[#This Row],[Shortname]], Comp[], 26, FALSE)</f>
        <v>0</v>
      </c>
      <c r="AB236">
        <f>VLOOKUP(Table56[[#This Row],[Shortname]], Comp[], 27, FALSE)</f>
        <v>0</v>
      </c>
      <c r="AC236">
        <f>VLOOKUP(Table56[[#This Row],[Shortname]], Comp[], 28, FALSE)</f>
        <v>0</v>
      </c>
      <c r="AD236">
        <f>VLOOKUP(Table56[[#This Row],[Shortname]], Comp[], 29, FALSE)</f>
        <v>0</v>
      </c>
      <c r="AE236">
        <f>VLOOKUP(Table56[[#This Row],[Shortname]], Comp[], 30, FALSE)</f>
        <v>0</v>
      </c>
      <c r="AF236">
        <f>VLOOKUP(Table56[[#This Row],[Shortname]], Comp[], 31, FALSE)</f>
        <v>0</v>
      </c>
    </row>
    <row r="237" spans="1:32" x14ac:dyDescent="0.3">
      <c r="A237" s="7" t="s">
        <v>3482</v>
      </c>
      <c r="B237" s="7" t="s">
        <v>3483</v>
      </c>
      <c r="C237" s="11" t="s">
        <v>6748</v>
      </c>
      <c r="D237">
        <v>960</v>
      </c>
      <c r="E237">
        <v>1412</v>
      </c>
      <c r="F237">
        <v>1453</v>
      </c>
      <c r="H237" s="14">
        <f>VLOOKUP(Table56[[#This Row],[Shortname]], Comp[], 7, FALSE)</f>
        <v>77.900000000000006</v>
      </c>
      <c r="I237">
        <f>VLOOKUP(Table56[[#This Row],[Shortname]], Comp[], 8, FALSE)</f>
        <v>0</v>
      </c>
      <c r="J237">
        <f>VLOOKUP(Table56[[#This Row],[Shortname]], Comp[], 9, FALSE)</f>
        <v>7.8</v>
      </c>
      <c r="K237">
        <f>VLOOKUP(Table56[[#This Row],[Shortname]], Comp[], 10, FALSE)</f>
        <v>4.5</v>
      </c>
      <c r="L237">
        <f>VLOOKUP(Table56[[#This Row],[Shortname]], Comp[], 11, FALSE)</f>
        <v>7.8</v>
      </c>
      <c r="M237">
        <f>VLOOKUP(Table56[[#This Row],[Shortname]], Comp[],12, FALSE)</f>
        <v>0</v>
      </c>
      <c r="N237">
        <f>VLOOKUP(Table56[[#This Row],[Shortname]], Comp[], 13, FALSE)</f>
        <v>2</v>
      </c>
      <c r="O237">
        <f>VLOOKUP(Table56[[#This Row],[Shortname]], Comp[], 14, FALSE)</f>
        <v>0</v>
      </c>
      <c r="P237">
        <f>VLOOKUP(Table56[[#This Row],[Shortname]], Comp[], 15, FALSE)</f>
        <v>0</v>
      </c>
      <c r="Q237">
        <f>VLOOKUP(Table56[[#This Row],[Shortname]], Comp[], 16, FALSE)</f>
        <v>0</v>
      </c>
      <c r="R237">
        <f>VLOOKUP(Table56[[#This Row],[Shortname]], Comp[], 17, FALSE)</f>
        <v>0</v>
      </c>
      <c r="S237">
        <f>VLOOKUP(Table56[[#This Row],[Shortname]], Comp[], 18, FALSE)</f>
        <v>0</v>
      </c>
      <c r="T237">
        <f>VLOOKUP(Table56[[#This Row],[Shortname]], Comp[], 19, FALSE)</f>
        <v>0</v>
      </c>
      <c r="U237">
        <f>VLOOKUP(Table56[[#This Row],[Shortname]], Comp[], 20, FALSE)</f>
        <v>0</v>
      </c>
      <c r="V237">
        <f>VLOOKUP(Table56[[#This Row],[Shortname]], Comp[], 21, FALSE)</f>
        <v>0</v>
      </c>
      <c r="W237">
        <f>VLOOKUP(Table56[[#This Row],[Shortname]], Comp[], 22, FALSE)</f>
        <v>0</v>
      </c>
      <c r="X237">
        <f>VLOOKUP(Table56[[#This Row],[Shortname]], Comp[], 23, FALSE)</f>
        <v>0</v>
      </c>
      <c r="Y237">
        <f>VLOOKUP(Table56[[#This Row],[Shortname]], Comp[], 24, FALSE)</f>
        <v>0</v>
      </c>
      <c r="Z237">
        <f>VLOOKUP(Table56[[#This Row],[Shortname]], Comp[], 25, FALSE)</f>
        <v>0</v>
      </c>
      <c r="AA237">
        <f>VLOOKUP(Table56[[#This Row],[Shortname]], Comp[], 26, FALSE)</f>
        <v>0</v>
      </c>
      <c r="AB237">
        <f>VLOOKUP(Table56[[#This Row],[Shortname]], Comp[], 27, FALSE)</f>
        <v>0</v>
      </c>
      <c r="AC237">
        <f>VLOOKUP(Table56[[#This Row],[Shortname]], Comp[], 28, FALSE)</f>
        <v>0</v>
      </c>
      <c r="AD237">
        <f>VLOOKUP(Table56[[#This Row],[Shortname]], Comp[], 29, FALSE)</f>
        <v>0</v>
      </c>
      <c r="AE237">
        <f>VLOOKUP(Table56[[#This Row],[Shortname]], Comp[], 30, FALSE)</f>
        <v>0</v>
      </c>
      <c r="AF237">
        <f>VLOOKUP(Table56[[#This Row],[Shortname]], Comp[], 31, FALSE)</f>
        <v>0</v>
      </c>
    </row>
    <row r="238" spans="1:32" x14ac:dyDescent="0.3">
      <c r="A238" s="7" t="s">
        <v>3497</v>
      </c>
      <c r="B238" s="7" t="s">
        <v>3498</v>
      </c>
      <c r="C238" t="s">
        <v>6749</v>
      </c>
      <c r="D238">
        <v>1079</v>
      </c>
      <c r="E238">
        <v>1407</v>
      </c>
      <c r="F238">
        <v>1451</v>
      </c>
      <c r="H238" s="14">
        <f>VLOOKUP(Table56[[#This Row],[Shortname]], Comp[], 7, FALSE)</f>
        <v>80</v>
      </c>
      <c r="I238">
        <f>VLOOKUP(Table56[[#This Row],[Shortname]], Comp[], 8, FALSE)</f>
        <v>0</v>
      </c>
      <c r="J238">
        <f>VLOOKUP(Table56[[#This Row],[Shortname]], Comp[], 9, FALSE)</f>
        <v>9</v>
      </c>
      <c r="K238">
        <f>VLOOKUP(Table56[[#This Row],[Shortname]], Comp[], 10, FALSE)</f>
        <v>0</v>
      </c>
      <c r="L238">
        <f>VLOOKUP(Table56[[#This Row],[Shortname]], Comp[], 11, FALSE)</f>
        <v>9</v>
      </c>
      <c r="M238">
        <f>VLOOKUP(Table56[[#This Row],[Shortname]], Comp[],12, FALSE)</f>
        <v>0</v>
      </c>
      <c r="N238">
        <f>VLOOKUP(Table56[[#This Row],[Shortname]], Comp[], 13, FALSE)</f>
        <v>2</v>
      </c>
      <c r="O238">
        <f>VLOOKUP(Table56[[#This Row],[Shortname]], Comp[], 14, FALSE)</f>
        <v>0</v>
      </c>
      <c r="P238">
        <f>VLOOKUP(Table56[[#This Row],[Shortname]], Comp[], 15, FALSE)</f>
        <v>0</v>
      </c>
      <c r="Q238">
        <f>VLOOKUP(Table56[[#This Row],[Shortname]], Comp[], 16, FALSE)</f>
        <v>0</v>
      </c>
      <c r="R238">
        <f>VLOOKUP(Table56[[#This Row],[Shortname]], Comp[], 17, FALSE)</f>
        <v>0</v>
      </c>
      <c r="S238">
        <f>VLOOKUP(Table56[[#This Row],[Shortname]], Comp[], 18, FALSE)</f>
        <v>0</v>
      </c>
      <c r="T238">
        <f>VLOOKUP(Table56[[#This Row],[Shortname]], Comp[], 19, FALSE)</f>
        <v>0</v>
      </c>
      <c r="U238">
        <f>VLOOKUP(Table56[[#This Row],[Shortname]], Comp[], 20, FALSE)</f>
        <v>0</v>
      </c>
      <c r="V238">
        <f>VLOOKUP(Table56[[#This Row],[Shortname]], Comp[], 21, FALSE)</f>
        <v>0</v>
      </c>
      <c r="W238">
        <f>VLOOKUP(Table56[[#This Row],[Shortname]], Comp[], 22, FALSE)</f>
        <v>0</v>
      </c>
      <c r="X238">
        <f>VLOOKUP(Table56[[#This Row],[Shortname]], Comp[], 23, FALSE)</f>
        <v>0</v>
      </c>
      <c r="Y238">
        <f>VLOOKUP(Table56[[#This Row],[Shortname]], Comp[], 24, FALSE)</f>
        <v>0</v>
      </c>
      <c r="Z238">
        <f>VLOOKUP(Table56[[#This Row],[Shortname]], Comp[], 25, FALSE)</f>
        <v>0</v>
      </c>
      <c r="AA238">
        <f>VLOOKUP(Table56[[#This Row],[Shortname]], Comp[], 26, FALSE)</f>
        <v>0</v>
      </c>
      <c r="AB238">
        <f>VLOOKUP(Table56[[#This Row],[Shortname]], Comp[], 27, FALSE)</f>
        <v>0</v>
      </c>
      <c r="AC238">
        <f>VLOOKUP(Table56[[#This Row],[Shortname]], Comp[], 28, FALSE)</f>
        <v>0</v>
      </c>
      <c r="AD238">
        <f>VLOOKUP(Table56[[#This Row],[Shortname]], Comp[], 29, FALSE)</f>
        <v>0</v>
      </c>
      <c r="AE238">
        <f>VLOOKUP(Table56[[#This Row],[Shortname]], Comp[], 30, FALSE)</f>
        <v>0</v>
      </c>
      <c r="AF238">
        <f>VLOOKUP(Table56[[#This Row],[Shortname]], Comp[], 31, FALSE)</f>
        <v>0</v>
      </c>
    </row>
    <row r="239" spans="1:32" x14ac:dyDescent="0.3">
      <c r="A239" s="7" t="s">
        <v>641</v>
      </c>
      <c r="B239" s="7" t="s">
        <v>3494</v>
      </c>
      <c r="C239" t="s">
        <v>6749</v>
      </c>
      <c r="D239">
        <v>964</v>
      </c>
      <c r="E239">
        <v>1458</v>
      </c>
      <c r="F239">
        <v>1490</v>
      </c>
      <c r="H239" s="14">
        <f>VLOOKUP(Table56[[#This Row],[Shortname]], Comp[], 7, FALSE)</f>
        <v>82</v>
      </c>
      <c r="I239">
        <f>VLOOKUP(Table56[[#This Row],[Shortname]], Comp[], 8, FALSE)</f>
        <v>0</v>
      </c>
      <c r="J239">
        <f>VLOOKUP(Table56[[#This Row],[Shortname]], Comp[], 9, FALSE)</f>
        <v>9</v>
      </c>
      <c r="K239">
        <f>VLOOKUP(Table56[[#This Row],[Shortname]], Comp[], 10, FALSE)</f>
        <v>0</v>
      </c>
      <c r="L239">
        <f>VLOOKUP(Table56[[#This Row],[Shortname]], Comp[], 11, FALSE)</f>
        <v>9</v>
      </c>
      <c r="M239">
        <f>VLOOKUP(Table56[[#This Row],[Shortname]], Comp[],12, FALSE)</f>
        <v>0</v>
      </c>
      <c r="N239">
        <f>VLOOKUP(Table56[[#This Row],[Shortname]], Comp[], 13, FALSE)</f>
        <v>0</v>
      </c>
      <c r="O239">
        <f>VLOOKUP(Table56[[#This Row],[Shortname]], Comp[], 14, FALSE)</f>
        <v>0</v>
      </c>
      <c r="P239">
        <f>VLOOKUP(Table56[[#This Row],[Shortname]], Comp[], 15, FALSE)</f>
        <v>0</v>
      </c>
      <c r="Q239">
        <f>VLOOKUP(Table56[[#This Row],[Shortname]], Comp[], 16, FALSE)</f>
        <v>0</v>
      </c>
      <c r="R239">
        <f>VLOOKUP(Table56[[#This Row],[Shortname]], Comp[], 17, FALSE)</f>
        <v>0</v>
      </c>
      <c r="S239">
        <f>VLOOKUP(Table56[[#This Row],[Shortname]], Comp[], 18, FALSE)</f>
        <v>0</v>
      </c>
      <c r="T239">
        <f>VLOOKUP(Table56[[#This Row],[Shortname]], Comp[], 19, FALSE)</f>
        <v>0</v>
      </c>
      <c r="U239">
        <f>VLOOKUP(Table56[[#This Row],[Shortname]], Comp[], 20, FALSE)</f>
        <v>0</v>
      </c>
      <c r="V239">
        <f>VLOOKUP(Table56[[#This Row],[Shortname]], Comp[], 21, FALSE)</f>
        <v>0</v>
      </c>
      <c r="W239">
        <f>VLOOKUP(Table56[[#This Row],[Shortname]], Comp[], 22, FALSE)</f>
        <v>0</v>
      </c>
      <c r="X239">
        <f>VLOOKUP(Table56[[#This Row],[Shortname]], Comp[], 23, FALSE)</f>
        <v>0</v>
      </c>
      <c r="Y239">
        <f>VLOOKUP(Table56[[#This Row],[Shortname]], Comp[], 24, FALSE)</f>
        <v>0</v>
      </c>
      <c r="Z239">
        <f>VLOOKUP(Table56[[#This Row],[Shortname]], Comp[], 25, FALSE)</f>
        <v>0</v>
      </c>
      <c r="AA239">
        <f>VLOOKUP(Table56[[#This Row],[Shortname]], Comp[], 26, FALSE)</f>
        <v>0</v>
      </c>
      <c r="AB239">
        <f>VLOOKUP(Table56[[#This Row],[Shortname]], Comp[], 27, FALSE)</f>
        <v>0</v>
      </c>
      <c r="AC239">
        <f>VLOOKUP(Table56[[#This Row],[Shortname]], Comp[], 28, FALSE)</f>
        <v>0</v>
      </c>
      <c r="AD239">
        <f>VLOOKUP(Table56[[#This Row],[Shortname]], Comp[], 29, FALSE)</f>
        <v>0</v>
      </c>
      <c r="AE239">
        <f>VLOOKUP(Table56[[#This Row],[Shortname]], Comp[], 30, FALSE)</f>
        <v>0</v>
      </c>
      <c r="AF239">
        <f>VLOOKUP(Table56[[#This Row],[Shortname]], Comp[], 31, FALSE)</f>
        <v>0</v>
      </c>
    </row>
    <row r="240" spans="1:32" x14ac:dyDescent="0.3">
      <c r="A240" s="7" t="s">
        <v>1721</v>
      </c>
      <c r="B240" s="7" t="s">
        <v>5263</v>
      </c>
      <c r="C240" s="11" t="s">
        <v>6751</v>
      </c>
      <c r="D240">
        <v>1085</v>
      </c>
      <c r="E240">
        <v>1233</v>
      </c>
      <c r="F240">
        <v>1394</v>
      </c>
      <c r="H240" s="14">
        <f>VLOOKUP(Table56[[#This Row],[Shortname]], Comp[], 7, FALSE)</f>
        <v>79</v>
      </c>
      <c r="I240">
        <f>VLOOKUP(Table56[[#This Row],[Shortname]], Comp[], 8, FALSE)</f>
        <v>0</v>
      </c>
      <c r="J240">
        <f>VLOOKUP(Table56[[#This Row],[Shortname]], Comp[], 9, FALSE)</f>
        <v>6.7</v>
      </c>
      <c r="K240">
        <f>VLOOKUP(Table56[[#This Row],[Shortname]], Comp[], 10, FALSE)</f>
        <v>0</v>
      </c>
      <c r="L240">
        <f>VLOOKUP(Table56[[#This Row],[Shortname]], Comp[], 11, FALSE)</f>
        <v>8.1</v>
      </c>
      <c r="M240">
        <f>VLOOKUP(Table56[[#This Row],[Shortname]], Comp[],12, FALSE)</f>
        <v>6.2</v>
      </c>
      <c r="N240">
        <f>VLOOKUP(Table56[[#This Row],[Shortname]], Comp[], 13, FALSE)</f>
        <v>0</v>
      </c>
      <c r="O240">
        <f>VLOOKUP(Table56[[#This Row],[Shortname]], Comp[], 14, FALSE)</f>
        <v>0</v>
      </c>
      <c r="P240">
        <f>VLOOKUP(Table56[[#This Row],[Shortname]], Comp[], 15, FALSE)</f>
        <v>0</v>
      </c>
      <c r="Q240">
        <f>VLOOKUP(Table56[[#This Row],[Shortname]], Comp[], 16, FALSE)</f>
        <v>0</v>
      </c>
      <c r="R240">
        <f>VLOOKUP(Table56[[#This Row],[Shortname]], Comp[], 17, FALSE)</f>
        <v>0</v>
      </c>
      <c r="S240">
        <f>VLOOKUP(Table56[[#This Row],[Shortname]], Comp[], 18, FALSE)</f>
        <v>0</v>
      </c>
      <c r="T240">
        <f>VLOOKUP(Table56[[#This Row],[Shortname]], Comp[], 19, FALSE)</f>
        <v>0</v>
      </c>
      <c r="U240">
        <f>VLOOKUP(Table56[[#This Row],[Shortname]], Comp[], 20, FALSE)</f>
        <v>0</v>
      </c>
      <c r="V240">
        <f>VLOOKUP(Table56[[#This Row],[Shortname]], Comp[], 21, FALSE)</f>
        <v>0</v>
      </c>
      <c r="W240">
        <f>VLOOKUP(Table56[[#This Row],[Shortname]], Comp[], 22, FALSE)</f>
        <v>0</v>
      </c>
      <c r="X240">
        <f>VLOOKUP(Table56[[#This Row],[Shortname]], Comp[], 23, FALSE)</f>
        <v>0</v>
      </c>
      <c r="Y240">
        <f>VLOOKUP(Table56[[#This Row],[Shortname]], Comp[], 24, FALSE)</f>
        <v>0</v>
      </c>
      <c r="Z240">
        <f>VLOOKUP(Table56[[#This Row],[Shortname]], Comp[], 25, FALSE)</f>
        <v>0</v>
      </c>
      <c r="AA240">
        <f>VLOOKUP(Table56[[#This Row],[Shortname]], Comp[], 26, FALSE)</f>
        <v>0</v>
      </c>
      <c r="AB240">
        <f>VLOOKUP(Table56[[#This Row],[Shortname]], Comp[], 27, FALSE)</f>
        <v>0</v>
      </c>
      <c r="AC240">
        <f>VLOOKUP(Table56[[#This Row],[Shortname]], Comp[], 28, FALSE)</f>
        <v>0</v>
      </c>
      <c r="AD240">
        <f>VLOOKUP(Table56[[#This Row],[Shortname]], Comp[], 29, FALSE)</f>
        <v>0</v>
      </c>
      <c r="AE240">
        <f>VLOOKUP(Table56[[#This Row],[Shortname]], Comp[], 30, FALSE)</f>
        <v>0</v>
      </c>
      <c r="AF240">
        <f>VLOOKUP(Table56[[#This Row],[Shortname]], Comp[], 31, FALSE)</f>
        <v>0</v>
      </c>
    </row>
    <row r="241" spans="1:32" x14ac:dyDescent="0.3">
      <c r="A241" s="7" t="s">
        <v>1735</v>
      </c>
      <c r="B241" s="7" t="s">
        <v>2354</v>
      </c>
      <c r="C241" s="11" t="s">
        <v>6751</v>
      </c>
      <c r="D241">
        <v>1079</v>
      </c>
      <c r="E241">
        <v>1406</v>
      </c>
      <c r="F241">
        <v>1445</v>
      </c>
      <c r="H241" s="14">
        <f>VLOOKUP(Table56[[#This Row],[Shortname]], Comp[], 7, FALSE)</f>
        <v>79.400000000000006</v>
      </c>
      <c r="I241">
        <f>VLOOKUP(Table56[[#This Row],[Shortname]], Comp[], 8, FALSE)</f>
        <v>0</v>
      </c>
      <c r="J241">
        <f>VLOOKUP(Table56[[#This Row],[Shortname]], Comp[], 9, FALSE)</f>
        <v>8.8000000000000007</v>
      </c>
      <c r="K241">
        <f>VLOOKUP(Table56[[#This Row],[Shortname]], Comp[], 10, FALSE)</f>
        <v>0</v>
      </c>
      <c r="L241">
        <f>VLOOKUP(Table56[[#This Row],[Shortname]], Comp[], 11, FALSE)</f>
        <v>9.8000000000000007</v>
      </c>
      <c r="M241">
        <f>VLOOKUP(Table56[[#This Row],[Shortname]], Comp[],12, FALSE)</f>
        <v>0</v>
      </c>
      <c r="N241">
        <f>VLOOKUP(Table56[[#This Row],[Shortname]], Comp[], 13, FALSE)</f>
        <v>2</v>
      </c>
      <c r="O241">
        <f>VLOOKUP(Table56[[#This Row],[Shortname]], Comp[], 14, FALSE)</f>
        <v>0</v>
      </c>
      <c r="P241">
        <f>VLOOKUP(Table56[[#This Row],[Shortname]], Comp[], 15, FALSE)</f>
        <v>0</v>
      </c>
      <c r="Q241">
        <f>VLOOKUP(Table56[[#This Row],[Shortname]], Comp[], 16, FALSE)</f>
        <v>0</v>
      </c>
      <c r="R241">
        <f>VLOOKUP(Table56[[#This Row],[Shortname]], Comp[], 17, FALSE)</f>
        <v>0</v>
      </c>
      <c r="S241">
        <f>VLOOKUP(Table56[[#This Row],[Shortname]], Comp[], 18, FALSE)</f>
        <v>0</v>
      </c>
      <c r="T241">
        <f>VLOOKUP(Table56[[#This Row],[Shortname]], Comp[], 19, FALSE)</f>
        <v>0</v>
      </c>
      <c r="U241">
        <f>VLOOKUP(Table56[[#This Row],[Shortname]], Comp[], 20, FALSE)</f>
        <v>0</v>
      </c>
      <c r="V241">
        <f>VLOOKUP(Table56[[#This Row],[Shortname]], Comp[], 21, FALSE)</f>
        <v>0</v>
      </c>
      <c r="W241">
        <f>VLOOKUP(Table56[[#This Row],[Shortname]], Comp[], 22, FALSE)</f>
        <v>0</v>
      </c>
      <c r="X241">
        <f>VLOOKUP(Table56[[#This Row],[Shortname]], Comp[], 23, FALSE)</f>
        <v>0</v>
      </c>
      <c r="Y241">
        <f>VLOOKUP(Table56[[#This Row],[Shortname]], Comp[], 24, FALSE)</f>
        <v>0</v>
      </c>
      <c r="Z241">
        <f>VLOOKUP(Table56[[#This Row],[Shortname]], Comp[], 25, FALSE)</f>
        <v>0</v>
      </c>
      <c r="AA241">
        <f>VLOOKUP(Table56[[#This Row],[Shortname]], Comp[], 26, FALSE)</f>
        <v>0</v>
      </c>
      <c r="AB241">
        <f>VLOOKUP(Table56[[#This Row],[Shortname]], Comp[], 27, FALSE)</f>
        <v>0</v>
      </c>
      <c r="AC241">
        <f>VLOOKUP(Table56[[#This Row],[Shortname]], Comp[], 28, FALSE)</f>
        <v>0</v>
      </c>
      <c r="AD241">
        <f>VLOOKUP(Table56[[#This Row],[Shortname]], Comp[], 29, FALSE)</f>
        <v>0</v>
      </c>
      <c r="AE241">
        <f>VLOOKUP(Table56[[#This Row],[Shortname]], Comp[], 30, FALSE)</f>
        <v>0</v>
      </c>
      <c r="AF241">
        <f>VLOOKUP(Table56[[#This Row],[Shortname]], Comp[], 31, FALSE)</f>
        <v>0</v>
      </c>
    </row>
    <row r="242" spans="1:32" x14ac:dyDescent="0.3">
      <c r="A242" s="7" t="s">
        <v>1728</v>
      </c>
      <c r="B242" s="7" t="s">
        <v>1730</v>
      </c>
      <c r="C242" s="11" t="s">
        <v>6751</v>
      </c>
      <c r="D242">
        <v>1033</v>
      </c>
      <c r="E242">
        <v>1445</v>
      </c>
      <c r="F242">
        <v>1479</v>
      </c>
      <c r="H242" s="14">
        <f>VLOOKUP(Table56[[#This Row],[Shortname]], Comp[], 7, FALSE)</f>
        <v>79.900000000000006</v>
      </c>
      <c r="I242">
        <f>VLOOKUP(Table56[[#This Row],[Shortname]], Comp[], 8, FALSE)</f>
        <v>0</v>
      </c>
      <c r="J242">
        <f>VLOOKUP(Table56[[#This Row],[Shortname]], Comp[], 9, FALSE)</f>
        <v>9.4</v>
      </c>
      <c r="K242">
        <f>VLOOKUP(Table56[[#This Row],[Shortname]], Comp[], 10, FALSE)</f>
        <v>0</v>
      </c>
      <c r="L242">
        <f>VLOOKUP(Table56[[#This Row],[Shortname]], Comp[], 11, FALSE)</f>
        <v>10.7</v>
      </c>
      <c r="M242">
        <f>VLOOKUP(Table56[[#This Row],[Shortname]], Comp[],12, FALSE)</f>
        <v>0</v>
      </c>
      <c r="N242">
        <f>VLOOKUP(Table56[[#This Row],[Shortname]], Comp[], 13, FALSE)</f>
        <v>0</v>
      </c>
      <c r="O242">
        <f>VLOOKUP(Table56[[#This Row],[Shortname]], Comp[], 14, FALSE)</f>
        <v>0</v>
      </c>
      <c r="P242">
        <f>VLOOKUP(Table56[[#This Row],[Shortname]], Comp[], 15, FALSE)</f>
        <v>0</v>
      </c>
      <c r="Q242">
        <f>VLOOKUP(Table56[[#This Row],[Shortname]], Comp[], 16, FALSE)</f>
        <v>0</v>
      </c>
      <c r="R242">
        <f>VLOOKUP(Table56[[#This Row],[Shortname]], Comp[], 17, FALSE)</f>
        <v>0</v>
      </c>
      <c r="S242">
        <f>VLOOKUP(Table56[[#This Row],[Shortname]], Comp[], 18, FALSE)</f>
        <v>0</v>
      </c>
      <c r="T242">
        <f>VLOOKUP(Table56[[#This Row],[Shortname]], Comp[], 19, FALSE)</f>
        <v>0</v>
      </c>
      <c r="U242">
        <f>VLOOKUP(Table56[[#This Row],[Shortname]], Comp[], 20, FALSE)</f>
        <v>0</v>
      </c>
      <c r="V242">
        <f>VLOOKUP(Table56[[#This Row],[Shortname]], Comp[], 21, FALSE)</f>
        <v>0</v>
      </c>
      <c r="W242">
        <f>VLOOKUP(Table56[[#This Row],[Shortname]], Comp[], 22, FALSE)</f>
        <v>0</v>
      </c>
      <c r="X242">
        <f>VLOOKUP(Table56[[#This Row],[Shortname]], Comp[], 23, FALSE)</f>
        <v>0</v>
      </c>
      <c r="Y242">
        <f>VLOOKUP(Table56[[#This Row],[Shortname]], Comp[], 24, FALSE)</f>
        <v>0</v>
      </c>
      <c r="Z242">
        <f>VLOOKUP(Table56[[#This Row],[Shortname]], Comp[], 25, FALSE)</f>
        <v>0</v>
      </c>
      <c r="AA242">
        <f>VLOOKUP(Table56[[#This Row],[Shortname]], Comp[], 26, FALSE)</f>
        <v>0</v>
      </c>
      <c r="AB242">
        <f>VLOOKUP(Table56[[#This Row],[Shortname]], Comp[], 27, FALSE)</f>
        <v>0</v>
      </c>
      <c r="AC242">
        <f>VLOOKUP(Table56[[#This Row],[Shortname]], Comp[], 28, FALSE)</f>
        <v>0</v>
      </c>
      <c r="AD242">
        <f>VLOOKUP(Table56[[#This Row],[Shortname]], Comp[], 29, FALSE)</f>
        <v>0</v>
      </c>
      <c r="AE242">
        <f>VLOOKUP(Table56[[#This Row],[Shortname]], Comp[], 30, FALSE)</f>
        <v>0</v>
      </c>
      <c r="AF242">
        <f>VLOOKUP(Table56[[#This Row],[Shortname]], Comp[], 31, FALSE)</f>
        <v>0</v>
      </c>
    </row>
    <row r="243" spans="1:32" x14ac:dyDescent="0.3">
      <c r="A243" s="7" t="s">
        <v>2857</v>
      </c>
      <c r="B243" s="7" t="s">
        <v>3483</v>
      </c>
      <c r="C243" s="11" t="s">
        <v>6751</v>
      </c>
      <c r="D243">
        <v>975</v>
      </c>
      <c r="E243">
        <v>1412</v>
      </c>
      <c r="F243">
        <v>1452</v>
      </c>
      <c r="H243" s="14">
        <f>VLOOKUP(Table56[[#This Row],[Shortname]], Comp[], 7, FALSE)</f>
        <v>78.400000000000006</v>
      </c>
      <c r="I243">
        <f>VLOOKUP(Table56[[#This Row],[Shortname]], Comp[], 8, FALSE)</f>
        <v>0</v>
      </c>
      <c r="J243">
        <f>VLOOKUP(Table56[[#This Row],[Shortname]], Comp[], 9, FALSE)</f>
        <v>7.8</v>
      </c>
      <c r="K243">
        <f>VLOOKUP(Table56[[#This Row],[Shortname]], Comp[], 10, FALSE)</f>
        <v>4.5</v>
      </c>
      <c r="L243">
        <f>VLOOKUP(Table56[[#This Row],[Shortname]], Comp[], 11, FALSE)</f>
        <v>7.8</v>
      </c>
      <c r="M243">
        <f>VLOOKUP(Table56[[#This Row],[Shortname]], Comp[],12, FALSE)</f>
        <v>0</v>
      </c>
      <c r="N243">
        <f>VLOOKUP(Table56[[#This Row],[Shortname]], Comp[], 13, FALSE)</f>
        <v>1.5</v>
      </c>
      <c r="O243">
        <f>VLOOKUP(Table56[[#This Row],[Shortname]], Comp[], 14, FALSE)</f>
        <v>0</v>
      </c>
      <c r="P243">
        <f>VLOOKUP(Table56[[#This Row],[Shortname]], Comp[], 15, FALSE)</f>
        <v>0</v>
      </c>
      <c r="Q243">
        <f>VLOOKUP(Table56[[#This Row],[Shortname]], Comp[], 16, FALSE)</f>
        <v>0</v>
      </c>
      <c r="R243">
        <f>VLOOKUP(Table56[[#This Row],[Shortname]], Comp[], 17, FALSE)</f>
        <v>0</v>
      </c>
      <c r="S243">
        <f>VLOOKUP(Table56[[#This Row],[Shortname]], Comp[], 18, FALSE)</f>
        <v>0</v>
      </c>
      <c r="T243">
        <f>VLOOKUP(Table56[[#This Row],[Shortname]], Comp[], 19, FALSE)</f>
        <v>0</v>
      </c>
      <c r="U243">
        <f>VLOOKUP(Table56[[#This Row],[Shortname]], Comp[], 20, FALSE)</f>
        <v>0</v>
      </c>
      <c r="V243">
        <f>VLOOKUP(Table56[[#This Row],[Shortname]], Comp[], 21, FALSE)</f>
        <v>0</v>
      </c>
      <c r="W243">
        <f>VLOOKUP(Table56[[#This Row],[Shortname]], Comp[], 22, FALSE)</f>
        <v>0</v>
      </c>
      <c r="X243">
        <f>VLOOKUP(Table56[[#This Row],[Shortname]], Comp[], 23, FALSE)</f>
        <v>0</v>
      </c>
      <c r="Y243">
        <f>VLOOKUP(Table56[[#This Row],[Shortname]], Comp[], 24, FALSE)</f>
        <v>0</v>
      </c>
      <c r="Z243">
        <f>VLOOKUP(Table56[[#This Row],[Shortname]], Comp[], 25, FALSE)</f>
        <v>0</v>
      </c>
      <c r="AA243">
        <f>VLOOKUP(Table56[[#This Row],[Shortname]], Comp[], 26, FALSE)</f>
        <v>0</v>
      </c>
      <c r="AB243">
        <f>VLOOKUP(Table56[[#This Row],[Shortname]], Comp[], 27, FALSE)</f>
        <v>0</v>
      </c>
      <c r="AC243">
        <f>VLOOKUP(Table56[[#This Row],[Shortname]], Comp[], 28, FALSE)</f>
        <v>0</v>
      </c>
      <c r="AD243">
        <f>VLOOKUP(Table56[[#This Row],[Shortname]], Comp[], 29, FALSE)</f>
        <v>0</v>
      </c>
      <c r="AE243">
        <f>VLOOKUP(Table56[[#This Row],[Shortname]], Comp[], 30, FALSE)</f>
        <v>0</v>
      </c>
      <c r="AF243">
        <f>VLOOKUP(Table56[[#This Row],[Shortname]], Comp[], 31, FALSE)</f>
        <v>0</v>
      </c>
    </row>
    <row r="244" spans="1:32" x14ac:dyDescent="0.3">
      <c r="A244" s="7" t="s">
        <v>3482</v>
      </c>
      <c r="B244" s="7" t="s">
        <v>5274</v>
      </c>
      <c r="C244" t="s">
        <v>6753</v>
      </c>
      <c r="E244">
        <v>1412</v>
      </c>
      <c r="F244">
        <v>1453</v>
      </c>
      <c r="H244" s="14">
        <f>VLOOKUP(Table56[[#This Row],[Shortname]], Comp[], 7, FALSE)</f>
        <v>77.900000000000006</v>
      </c>
      <c r="I244">
        <f>VLOOKUP(Table56[[#This Row],[Shortname]], Comp[], 8, FALSE)</f>
        <v>0</v>
      </c>
      <c r="J244">
        <f>VLOOKUP(Table56[[#This Row],[Shortname]], Comp[], 9, FALSE)</f>
        <v>7.8</v>
      </c>
      <c r="K244">
        <f>VLOOKUP(Table56[[#This Row],[Shortname]], Comp[], 10, FALSE)</f>
        <v>4.5</v>
      </c>
      <c r="L244">
        <f>VLOOKUP(Table56[[#This Row],[Shortname]], Comp[], 11, FALSE)</f>
        <v>7.8</v>
      </c>
      <c r="M244">
        <f>VLOOKUP(Table56[[#This Row],[Shortname]], Comp[],12, FALSE)</f>
        <v>0</v>
      </c>
      <c r="N244">
        <f>VLOOKUP(Table56[[#This Row],[Shortname]], Comp[], 13, FALSE)</f>
        <v>2</v>
      </c>
      <c r="O244">
        <f>VLOOKUP(Table56[[#This Row],[Shortname]], Comp[], 14, FALSE)</f>
        <v>0</v>
      </c>
      <c r="P244">
        <f>VLOOKUP(Table56[[#This Row],[Shortname]], Comp[], 15, FALSE)</f>
        <v>0</v>
      </c>
      <c r="Q244">
        <f>VLOOKUP(Table56[[#This Row],[Shortname]], Comp[], 16, FALSE)</f>
        <v>0</v>
      </c>
      <c r="R244">
        <f>VLOOKUP(Table56[[#This Row],[Shortname]], Comp[], 17, FALSE)</f>
        <v>0</v>
      </c>
      <c r="S244">
        <f>VLOOKUP(Table56[[#This Row],[Shortname]], Comp[], 18, FALSE)</f>
        <v>0</v>
      </c>
      <c r="T244">
        <f>VLOOKUP(Table56[[#This Row],[Shortname]], Comp[], 19, FALSE)</f>
        <v>0</v>
      </c>
      <c r="U244">
        <f>VLOOKUP(Table56[[#This Row],[Shortname]], Comp[], 20, FALSE)</f>
        <v>0</v>
      </c>
      <c r="V244">
        <f>VLOOKUP(Table56[[#This Row],[Shortname]], Comp[], 21, FALSE)</f>
        <v>0</v>
      </c>
      <c r="W244">
        <f>VLOOKUP(Table56[[#This Row],[Shortname]], Comp[], 22, FALSE)</f>
        <v>0</v>
      </c>
      <c r="X244">
        <f>VLOOKUP(Table56[[#This Row],[Shortname]], Comp[], 23, FALSE)</f>
        <v>0</v>
      </c>
      <c r="Y244">
        <f>VLOOKUP(Table56[[#This Row],[Shortname]], Comp[], 24, FALSE)</f>
        <v>0</v>
      </c>
      <c r="Z244">
        <f>VLOOKUP(Table56[[#This Row],[Shortname]], Comp[], 25, FALSE)</f>
        <v>0</v>
      </c>
      <c r="AA244">
        <f>VLOOKUP(Table56[[#This Row],[Shortname]], Comp[], 26, FALSE)</f>
        <v>0</v>
      </c>
      <c r="AB244">
        <f>VLOOKUP(Table56[[#This Row],[Shortname]], Comp[], 27, FALSE)</f>
        <v>0</v>
      </c>
      <c r="AC244">
        <f>VLOOKUP(Table56[[#This Row],[Shortname]], Comp[], 28, FALSE)</f>
        <v>0</v>
      </c>
      <c r="AD244">
        <f>VLOOKUP(Table56[[#This Row],[Shortname]], Comp[], 29, FALSE)</f>
        <v>0</v>
      </c>
      <c r="AE244">
        <f>VLOOKUP(Table56[[#This Row],[Shortname]], Comp[], 30, FALSE)</f>
        <v>0</v>
      </c>
      <c r="AF244">
        <f>VLOOKUP(Table56[[#This Row],[Shortname]], Comp[], 31, FALSE)</f>
        <v>0</v>
      </c>
    </row>
    <row r="245" spans="1:32" x14ac:dyDescent="0.3">
      <c r="A245" s="7" t="s">
        <v>1735</v>
      </c>
      <c r="B245" s="7" t="s">
        <v>3180</v>
      </c>
      <c r="C245" t="s">
        <v>6753</v>
      </c>
      <c r="E245">
        <v>1407</v>
      </c>
      <c r="F245">
        <v>1451</v>
      </c>
      <c r="H245" s="14">
        <f>VLOOKUP(Table56[[#This Row],[Shortname]], Comp[], 7, FALSE)</f>
        <v>79.400000000000006</v>
      </c>
      <c r="I245">
        <f>VLOOKUP(Table56[[#This Row],[Shortname]], Comp[], 8, FALSE)</f>
        <v>0</v>
      </c>
      <c r="J245">
        <f>VLOOKUP(Table56[[#This Row],[Shortname]], Comp[], 9, FALSE)</f>
        <v>8.8000000000000007</v>
      </c>
      <c r="K245">
        <f>VLOOKUP(Table56[[#This Row],[Shortname]], Comp[], 10, FALSE)</f>
        <v>0</v>
      </c>
      <c r="L245">
        <f>VLOOKUP(Table56[[#This Row],[Shortname]], Comp[], 11, FALSE)</f>
        <v>9.8000000000000007</v>
      </c>
      <c r="M245">
        <f>VLOOKUP(Table56[[#This Row],[Shortname]], Comp[],12, FALSE)</f>
        <v>0</v>
      </c>
      <c r="N245">
        <f>VLOOKUP(Table56[[#This Row],[Shortname]], Comp[], 13, FALSE)</f>
        <v>2</v>
      </c>
      <c r="O245">
        <f>VLOOKUP(Table56[[#This Row],[Shortname]], Comp[], 14, FALSE)</f>
        <v>0</v>
      </c>
      <c r="P245">
        <f>VLOOKUP(Table56[[#This Row],[Shortname]], Comp[], 15, FALSE)</f>
        <v>0</v>
      </c>
      <c r="Q245">
        <f>VLOOKUP(Table56[[#This Row],[Shortname]], Comp[], 16, FALSE)</f>
        <v>0</v>
      </c>
      <c r="R245">
        <f>VLOOKUP(Table56[[#This Row],[Shortname]], Comp[], 17, FALSE)</f>
        <v>0</v>
      </c>
      <c r="S245">
        <f>VLOOKUP(Table56[[#This Row],[Shortname]], Comp[], 18, FALSE)</f>
        <v>0</v>
      </c>
      <c r="T245">
        <f>VLOOKUP(Table56[[#This Row],[Shortname]], Comp[], 19, FALSE)</f>
        <v>0</v>
      </c>
      <c r="U245">
        <f>VLOOKUP(Table56[[#This Row],[Shortname]], Comp[], 20, FALSE)</f>
        <v>0</v>
      </c>
      <c r="V245">
        <f>VLOOKUP(Table56[[#This Row],[Shortname]], Comp[], 21, FALSE)</f>
        <v>0</v>
      </c>
      <c r="W245">
        <f>VLOOKUP(Table56[[#This Row],[Shortname]], Comp[], 22, FALSE)</f>
        <v>0</v>
      </c>
      <c r="X245">
        <f>VLOOKUP(Table56[[#This Row],[Shortname]], Comp[], 23, FALSE)</f>
        <v>0</v>
      </c>
      <c r="Y245">
        <f>VLOOKUP(Table56[[#This Row],[Shortname]], Comp[], 24, FALSE)</f>
        <v>0</v>
      </c>
      <c r="Z245">
        <f>VLOOKUP(Table56[[#This Row],[Shortname]], Comp[], 25, FALSE)</f>
        <v>0</v>
      </c>
      <c r="AA245">
        <f>VLOOKUP(Table56[[#This Row],[Shortname]], Comp[], 26, FALSE)</f>
        <v>0</v>
      </c>
      <c r="AB245">
        <f>VLOOKUP(Table56[[#This Row],[Shortname]], Comp[], 27, FALSE)</f>
        <v>0</v>
      </c>
      <c r="AC245">
        <f>VLOOKUP(Table56[[#This Row],[Shortname]], Comp[], 28, FALSE)</f>
        <v>0</v>
      </c>
      <c r="AD245">
        <f>VLOOKUP(Table56[[#This Row],[Shortname]], Comp[], 29, FALSE)</f>
        <v>0</v>
      </c>
      <c r="AE245">
        <f>VLOOKUP(Table56[[#This Row],[Shortname]], Comp[], 30, FALSE)</f>
        <v>0</v>
      </c>
      <c r="AF245">
        <f>VLOOKUP(Table56[[#This Row],[Shortname]], Comp[], 31, FALSE)</f>
        <v>0</v>
      </c>
    </row>
    <row r="246" spans="1:32" x14ac:dyDescent="0.3">
      <c r="A246" s="7" t="s">
        <v>1728</v>
      </c>
      <c r="B246" s="7" t="s">
        <v>1728</v>
      </c>
      <c r="C246" t="s">
        <v>6753</v>
      </c>
      <c r="E246">
        <v>1447</v>
      </c>
      <c r="F246">
        <v>1477</v>
      </c>
      <c r="H246" s="14">
        <f>VLOOKUP(Table56[[#This Row],[Shortname]], Comp[], 7, FALSE)</f>
        <v>79.900000000000006</v>
      </c>
      <c r="I246">
        <f>VLOOKUP(Table56[[#This Row],[Shortname]], Comp[], 8, FALSE)</f>
        <v>0</v>
      </c>
      <c r="J246">
        <f>VLOOKUP(Table56[[#This Row],[Shortname]], Comp[], 9, FALSE)</f>
        <v>9.4</v>
      </c>
      <c r="K246">
        <f>VLOOKUP(Table56[[#This Row],[Shortname]], Comp[], 10, FALSE)</f>
        <v>0</v>
      </c>
      <c r="L246">
        <f>VLOOKUP(Table56[[#This Row],[Shortname]], Comp[], 11, FALSE)</f>
        <v>10.7</v>
      </c>
      <c r="M246">
        <f>VLOOKUP(Table56[[#This Row],[Shortname]], Comp[],12, FALSE)</f>
        <v>0</v>
      </c>
      <c r="N246">
        <f>VLOOKUP(Table56[[#This Row],[Shortname]], Comp[], 13, FALSE)</f>
        <v>0</v>
      </c>
      <c r="O246">
        <f>VLOOKUP(Table56[[#This Row],[Shortname]], Comp[], 14, FALSE)</f>
        <v>0</v>
      </c>
      <c r="P246">
        <f>VLOOKUP(Table56[[#This Row],[Shortname]], Comp[], 15, FALSE)</f>
        <v>0</v>
      </c>
      <c r="Q246">
        <f>VLOOKUP(Table56[[#This Row],[Shortname]], Comp[], 16, FALSE)</f>
        <v>0</v>
      </c>
      <c r="R246">
        <f>VLOOKUP(Table56[[#This Row],[Shortname]], Comp[], 17, FALSE)</f>
        <v>0</v>
      </c>
      <c r="S246">
        <f>VLOOKUP(Table56[[#This Row],[Shortname]], Comp[], 18, FALSE)</f>
        <v>0</v>
      </c>
      <c r="T246">
        <f>VLOOKUP(Table56[[#This Row],[Shortname]], Comp[], 19, FALSE)</f>
        <v>0</v>
      </c>
      <c r="U246">
        <f>VLOOKUP(Table56[[#This Row],[Shortname]], Comp[], 20, FALSE)</f>
        <v>0</v>
      </c>
      <c r="V246">
        <f>VLOOKUP(Table56[[#This Row],[Shortname]], Comp[], 21, FALSE)</f>
        <v>0</v>
      </c>
      <c r="W246">
        <f>VLOOKUP(Table56[[#This Row],[Shortname]], Comp[], 22, FALSE)</f>
        <v>0</v>
      </c>
      <c r="X246">
        <f>VLOOKUP(Table56[[#This Row],[Shortname]], Comp[], 23, FALSE)</f>
        <v>0</v>
      </c>
      <c r="Y246">
        <f>VLOOKUP(Table56[[#This Row],[Shortname]], Comp[], 24, FALSE)</f>
        <v>0</v>
      </c>
      <c r="Z246">
        <f>VLOOKUP(Table56[[#This Row],[Shortname]], Comp[], 25, FALSE)</f>
        <v>0</v>
      </c>
      <c r="AA246">
        <f>VLOOKUP(Table56[[#This Row],[Shortname]], Comp[], 26, FALSE)</f>
        <v>0</v>
      </c>
      <c r="AB246">
        <f>VLOOKUP(Table56[[#This Row],[Shortname]], Comp[], 27, FALSE)</f>
        <v>0</v>
      </c>
      <c r="AC246">
        <f>VLOOKUP(Table56[[#This Row],[Shortname]], Comp[], 28, FALSE)</f>
        <v>0</v>
      </c>
      <c r="AD246">
        <f>VLOOKUP(Table56[[#This Row],[Shortname]], Comp[], 29, FALSE)</f>
        <v>0</v>
      </c>
      <c r="AE246">
        <f>VLOOKUP(Table56[[#This Row],[Shortname]], Comp[], 30, FALSE)</f>
        <v>0</v>
      </c>
      <c r="AF246">
        <f>VLOOKUP(Table56[[#This Row],[Shortname]], Comp[], 31, FALSE)</f>
        <v>0</v>
      </c>
    </row>
    <row r="247" spans="1:32" x14ac:dyDescent="0.3">
      <c r="A247" s="7" t="s">
        <v>3750</v>
      </c>
      <c r="B247" s="7" t="s">
        <v>3752</v>
      </c>
      <c r="C247" s="6" t="s">
        <v>3746</v>
      </c>
      <c r="D247" s="6">
        <v>1174</v>
      </c>
      <c r="E247">
        <v>1319</v>
      </c>
      <c r="F247">
        <v>1400</v>
      </c>
      <c r="H247" s="14">
        <f>VLOOKUP(Table56[[#This Row],[Shortname]], Comp[], 7, FALSE)</f>
        <v>44.5</v>
      </c>
      <c r="I247">
        <f>VLOOKUP(Table56[[#This Row],[Shortname]], Comp[], 8, FALSE)</f>
        <v>32</v>
      </c>
      <c r="J247">
        <f>VLOOKUP(Table56[[#This Row],[Shortname]], Comp[], 9, FALSE)</f>
        <v>8</v>
      </c>
      <c r="K247">
        <f>VLOOKUP(Table56[[#This Row],[Shortname]], Comp[], 10, FALSE)</f>
        <v>6</v>
      </c>
      <c r="L247">
        <f>VLOOKUP(Table56[[#This Row],[Shortname]], Comp[], 11, FALSE)</f>
        <v>5</v>
      </c>
      <c r="M247">
        <f>VLOOKUP(Table56[[#This Row],[Shortname]], Comp[],12, FALSE)</f>
        <v>2.5</v>
      </c>
      <c r="N247">
        <f>VLOOKUP(Table56[[#This Row],[Shortname]], Comp[], 13, FALSE)</f>
        <v>1.5</v>
      </c>
      <c r="O247">
        <f>VLOOKUP(Table56[[#This Row],[Shortname]], Comp[], 14, FALSE)</f>
        <v>0</v>
      </c>
      <c r="P247">
        <f>VLOOKUP(Table56[[#This Row],[Shortname]], Comp[], 15, FALSE)</f>
        <v>0</v>
      </c>
      <c r="Q247">
        <f>VLOOKUP(Table56[[#This Row],[Shortname]], Comp[], 16, FALSE)</f>
        <v>0</v>
      </c>
      <c r="R247">
        <f>VLOOKUP(Table56[[#This Row],[Shortname]], Comp[], 17, FALSE)</f>
        <v>0</v>
      </c>
      <c r="S247">
        <f>VLOOKUP(Table56[[#This Row],[Shortname]], Comp[], 18, FALSE)</f>
        <v>0</v>
      </c>
      <c r="T247">
        <f>VLOOKUP(Table56[[#This Row],[Shortname]], Comp[], 19, FALSE)</f>
        <v>0</v>
      </c>
      <c r="U247">
        <f>VLOOKUP(Table56[[#This Row],[Shortname]], Comp[], 20, FALSE)</f>
        <v>0</v>
      </c>
      <c r="V247">
        <f>VLOOKUP(Table56[[#This Row],[Shortname]], Comp[], 21, FALSE)</f>
        <v>0</v>
      </c>
      <c r="W247">
        <f>VLOOKUP(Table56[[#This Row],[Shortname]], Comp[], 22, FALSE)</f>
        <v>0.4</v>
      </c>
      <c r="X247">
        <f>VLOOKUP(Table56[[#This Row],[Shortname]], Comp[], 23, FALSE)</f>
        <v>0</v>
      </c>
      <c r="Y247">
        <f>VLOOKUP(Table56[[#This Row],[Shortname]], Comp[], 24, FALSE)</f>
        <v>0</v>
      </c>
      <c r="Z247">
        <f>VLOOKUP(Table56[[#This Row],[Shortname]], Comp[], 25, FALSE)</f>
        <v>0.1</v>
      </c>
      <c r="AA247">
        <f>VLOOKUP(Table56[[#This Row],[Shortname]], Comp[], 26, FALSE)</f>
        <v>0</v>
      </c>
      <c r="AB247">
        <f>VLOOKUP(Table56[[#This Row],[Shortname]], Comp[], 27, FALSE)</f>
        <v>0</v>
      </c>
      <c r="AC247">
        <f>VLOOKUP(Table56[[#This Row],[Shortname]], Comp[], 28, FALSE)</f>
        <v>0</v>
      </c>
      <c r="AD247">
        <f>VLOOKUP(Table56[[#This Row],[Shortname]], Comp[], 29, FALSE)</f>
        <v>0</v>
      </c>
      <c r="AE247">
        <f>VLOOKUP(Table56[[#This Row],[Shortname]], Comp[], 30, FALSE)</f>
        <v>0</v>
      </c>
      <c r="AF247">
        <f>VLOOKUP(Table56[[#This Row],[Shortname]], Comp[], 31, FALSE)</f>
        <v>0</v>
      </c>
    </row>
    <row r="248" spans="1:32" x14ac:dyDescent="0.3">
      <c r="A248" s="7" t="s">
        <v>3762</v>
      </c>
      <c r="B248" s="7" t="s">
        <v>3764</v>
      </c>
      <c r="C248" s="6" t="s">
        <v>3746</v>
      </c>
      <c r="D248" s="6">
        <v>1169</v>
      </c>
      <c r="E248">
        <v>1343</v>
      </c>
      <c r="F248">
        <v>1384</v>
      </c>
      <c r="H248" s="14">
        <f>VLOOKUP(Table56[[#This Row],[Shortname]], Comp[], 7, FALSE)</f>
        <v>43.5</v>
      </c>
      <c r="I248">
        <f>VLOOKUP(Table56[[#This Row],[Shortname]], Comp[], 8, FALSE)</f>
        <v>32</v>
      </c>
      <c r="J248">
        <f>VLOOKUP(Table56[[#This Row],[Shortname]], Comp[], 9, FALSE)</f>
        <v>8</v>
      </c>
      <c r="K248">
        <f>VLOOKUP(Table56[[#This Row],[Shortname]], Comp[], 10, FALSE)</f>
        <v>6</v>
      </c>
      <c r="L248">
        <f>VLOOKUP(Table56[[#This Row],[Shortname]], Comp[], 11, FALSE)</f>
        <v>5.7</v>
      </c>
      <c r="M248">
        <f>VLOOKUP(Table56[[#This Row],[Shortname]], Comp[],12, FALSE)</f>
        <v>2.5</v>
      </c>
      <c r="N248">
        <f>VLOOKUP(Table56[[#This Row],[Shortname]], Comp[], 13, FALSE)</f>
        <v>1.8</v>
      </c>
      <c r="O248">
        <f>VLOOKUP(Table56[[#This Row],[Shortname]], Comp[], 14, FALSE)</f>
        <v>0</v>
      </c>
      <c r="P248">
        <f>VLOOKUP(Table56[[#This Row],[Shortname]], Comp[], 15, FALSE)</f>
        <v>0</v>
      </c>
      <c r="Q248">
        <f>VLOOKUP(Table56[[#This Row],[Shortname]], Comp[], 16, FALSE)</f>
        <v>0</v>
      </c>
      <c r="R248">
        <f>VLOOKUP(Table56[[#This Row],[Shortname]], Comp[], 17, FALSE)</f>
        <v>0</v>
      </c>
      <c r="S248">
        <f>VLOOKUP(Table56[[#This Row],[Shortname]], Comp[], 18, FALSE)</f>
        <v>0</v>
      </c>
      <c r="T248">
        <f>VLOOKUP(Table56[[#This Row],[Shortname]], Comp[], 19, FALSE)</f>
        <v>0</v>
      </c>
      <c r="U248">
        <f>VLOOKUP(Table56[[#This Row],[Shortname]], Comp[], 20, FALSE)</f>
        <v>0</v>
      </c>
      <c r="V248">
        <f>VLOOKUP(Table56[[#This Row],[Shortname]], Comp[], 21, FALSE)</f>
        <v>0</v>
      </c>
      <c r="W248">
        <f>VLOOKUP(Table56[[#This Row],[Shortname]], Comp[], 22, FALSE)</f>
        <v>0.4</v>
      </c>
      <c r="X248">
        <f>VLOOKUP(Table56[[#This Row],[Shortname]], Comp[], 23, FALSE)</f>
        <v>0</v>
      </c>
      <c r="Y248">
        <f>VLOOKUP(Table56[[#This Row],[Shortname]], Comp[], 24, FALSE)</f>
        <v>0</v>
      </c>
      <c r="Z248">
        <f>VLOOKUP(Table56[[#This Row],[Shortname]], Comp[], 25, FALSE)</f>
        <v>0.1</v>
      </c>
      <c r="AA248">
        <f>VLOOKUP(Table56[[#This Row],[Shortname]], Comp[], 26, FALSE)</f>
        <v>0</v>
      </c>
      <c r="AB248">
        <f>VLOOKUP(Table56[[#This Row],[Shortname]], Comp[], 27, FALSE)</f>
        <v>0</v>
      </c>
      <c r="AC248">
        <f>VLOOKUP(Table56[[#This Row],[Shortname]], Comp[], 28, FALSE)</f>
        <v>0</v>
      </c>
      <c r="AD248">
        <f>VLOOKUP(Table56[[#This Row],[Shortname]], Comp[], 29, FALSE)</f>
        <v>0</v>
      </c>
      <c r="AE248">
        <f>VLOOKUP(Table56[[#This Row],[Shortname]], Comp[], 30, FALSE)</f>
        <v>0</v>
      </c>
      <c r="AF248">
        <f>VLOOKUP(Table56[[#This Row],[Shortname]], Comp[], 31, FALSE)</f>
        <v>0</v>
      </c>
    </row>
    <row r="249" spans="1:32" x14ac:dyDescent="0.3">
      <c r="A249" s="7" t="s">
        <v>3756</v>
      </c>
      <c r="B249" s="7" t="s">
        <v>3758</v>
      </c>
      <c r="C249" s="6" t="s">
        <v>3746</v>
      </c>
      <c r="D249" s="6">
        <v>1160</v>
      </c>
      <c r="E249">
        <v>1323</v>
      </c>
      <c r="F249">
        <v>1412</v>
      </c>
      <c r="H249" s="14">
        <f>VLOOKUP(Table56[[#This Row],[Shortname]], Comp[], 7, FALSE)</f>
        <v>43.5</v>
      </c>
      <c r="I249">
        <f>VLOOKUP(Table56[[#This Row],[Shortname]], Comp[], 8, FALSE)</f>
        <v>32</v>
      </c>
      <c r="J249">
        <f>VLOOKUP(Table56[[#This Row],[Shortname]], Comp[], 9, FALSE)</f>
        <v>8</v>
      </c>
      <c r="K249">
        <f>VLOOKUP(Table56[[#This Row],[Shortname]], Comp[], 10, FALSE)</f>
        <v>6</v>
      </c>
      <c r="L249">
        <f>VLOOKUP(Table56[[#This Row],[Shortname]], Comp[], 11, FALSE)</f>
        <v>5</v>
      </c>
      <c r="M249">
        <f>VLOOKUP(Table56[[#This Row],[Shortname]], Comp[],12, FALSE)</f>
        <v>2.5</v>
      </c>
      <c r="N249">
        <f>VLOOKUP(Table56[[#This Row],[Shortname]], Comp[], 13, FALSE)</f>
        <v>1.5</v>
      </c>
      <c r="O249">
        <f>VLOOKUP(Table56[[#This Row],[Shortname]], Comp[], 14, FALSE)</f>
        <v>0</v>
      </c>
      <c r="P249">
        <f>VLOOKUP(Table56[[#This Row],[Shortname]], Comp[], 15, FALSE)</f>
        <v>0</v>
      </c>
      <c r="Q249">
        <f>VLOOKUP(Table56[[#This Row],[Shortname]], Comp[], 16, FALSE)</f>
        <v>0</v>
      </c>
      <c r="R249">
        <f>VLOOKUP(Table56[[#This Row],[Shortname]], Comp[], 17, FALSE)</f>
        <v>0</v>
      </c>
      <c r="S249">
        <f>VLOOKUP(Table56[[#This Row],[Shortname]], Comp[], 18, FALSE)</f>
        <v>0</v>
      </c>
      <c r="T249">
        <f>VLOOKUP(Table56[[#This Row],[Shortname]], Comp[], 19, FALSE)</f>
        <v>0</v>
      </c>
      <c r="U249">
        <f>VLOOKUP(Table56[[#This Row],[Shortname]], Comp[], 20, FALSE)</f>
        <v>0</v>
      </c>
      <c r="V249">
        <f>VLOOKUP(Table56[[#This Row],[Shortname]], Comp[], 21, FALSE)</f>
        <v>1</v>
      </c>
      <c r="W249">
        <f>VLOOKUP(Table56[[#This Row],[Shortname]], Comp[], 22, FALSE)</f>
        <v>0.4</v>
      </c>
      <c r="X249">
        <f>VLOOKUP(Table56[[#This Row],[Shortname]], Comp[], 23, FALSE)</f>
        <v>0</v>
      </c>
      <c r="Y249">
        <f>VLOOKUP(Table56[[#This Row],[Shortname]], Comp[], 24, FALSE)</f>
        <v>0</v>
      </c>
      <c r="Z249">
        <f>VLOOKUP(Table56[[#This Row],[Shortname]], Comp[], 25, FALSE)</f>
        <v>0.1</v>
      </c>
      <c r="AA249">
        <f>VLOOKUP(Table56[[#This Row],[Shortname]], Comp[], 26, FALSE)</f>
        <v>0</v>
      </c>
      <c r="AB249">
        <f>VLOOKUP(Table56[[#This Row],[Shortname]], Comp[], 27, FALSE)</f>
        <v>0</v>
      </c>
      <c r="AC249">
        <f>VLOOKUP(Table56[[#This Row],[Shortname]], Comp[], 28, FALSE)</f>
        <v>0</v>
      </c>
      <c r="AD249">
        <f>VLOOKUP(Table56[[#This Row],[Shortname]], Comp[], 29, FALSE)</f>
        <v>0</v>
      </c>
      <c r="AE249">
        <f>VLOOKUP(Table56[[#This Row],[Shortname]], Comp[], 30, FALSE)</f>
        <v>0</v>
      </c>
      <c r="AF249">
        <f>VLOOKUP(Table56[[#This Row],[Shortname]], Comp[], 31, FALSE)</f>
        <v>0</v>
      </c>
    </row>
    <row r="250" spans="1:32" x14ac:dyDescent="0.3">
      <c r="A250" s="7" t="s">
        <v>3870</v>
      </c>
      <c r="B250" s="7" t="s">
        <v>3872</v>
      </c>
      <c r="C250" t="s">
        <v>6755</v>
      </c>
      <c r="D250">
        <v>1238</v>
      </c>
      <c r="F250">
        <v>1372</v>
      </c>
      <c r="H250" s="14">
        <f>VLOOKUP(Table56[[#This Row],[Shortname]], Comp[], 7, FALSE)</f>
        <v>38</v>
      </c>
      <c r="I250">
        <f>VLOOKUP(Table56[[#This Row],[Shortname]], Comp[], 8, FALSE)</f>
        <v>38</v>
      </c>
      <c r="J250">
        <f>VLOOKUP(Table56[[#This Row],[Shortname]], Comp[], 9, FALSE)</f>
        <v>9</v>
      </c>
      <c r="K250">
        <f>VLOOKUP(Table56[[#This Row],[Shortname]], Comp[], 10, FALSE)</f>
        <v>6</v>
      </c>
      <c r="L250">
        <f>VLOOKUP(Table56[[#This Row],[Shortname]], Comp[], 11, FALSE)</f>
        <v>2</v>
      </c>
      <c r="M250">
        <f>VLOOKUP(Table56[[#This Row],[Shortname]], Comp[],12, FALSE)</f>
        <v>5</v>
      </c>
      <c r="N250">
        <f>VLOOKUP(Table56[[#This Row],[Shortname]], Comp[], 13, FALSE)</f>
        <v>1</v>
      </c>
      <c r="O250">
        <f>VLOOKUP(Table56[[#This Row],[Shortname]], Comp[], 14, FALSE)</f>
        <v>0</v>
      </c>
      <c r="P250">
        <f>VLOOKUP(Table56[[#This Row],[Shortname]], Comp[], 15, FALSE)</f>
        <v>0</v>
      </c>
      <c r="Q250">
        <f>VLOOKUP(Table56[[#This Row],[Shortname]], Comp[], 16, FALSE)</f>
        <v>1</v>
      </c>
      <c r="R250">
        <f>VLOOKUP(Table56[[#This Row],[Shortname]], Comp[], 17, FALSE)</f>
        <v>0</v>
      </c>
      <c r="S250">
        <f>VLOOKUP(Table56[[#This Row],[Shortname]], Comp[], 18, FALSE)</f>
        <v>0</v>
      </c>
      <c r="T250">
        <f>VLOOKUP(Table56[[#This Row],[Shortname]], Comp[], 19, FALSE)</f>
        <v>0</v>
      </c>
      <c r="U250">
        <f>VLOOKUP(Table56[[#This Row],[Shortname]], Comp[], 20, FALSE)</f>
        <v>0</v>
      </c>
      <c r="V250">
        <f>VLOOKUP(Table56[[#This Row],[Shortname]], Comp[], 21, FALSE)</f>
        <v>0</v>
      </c>
      <c r="W250">
        <f>VLOOKUP(Table56[[#This Row],[Shortname]], Comp[], 22, FALSE)</f>
        <v>0</v>
      </c>
      <c r="X250">
        <f>VLOOKUP(Table56[[#This Row],[Shortname]], Comp[], 23, FALSE)</f>
        <v>0</v>
      </c>
      <c r="Y250">
        <f>VLOOKUP(Table56[[#This Row],[Shortname]], Comp[], 24, FALSE)</f>
        <v>0</v>
      </c>
      <c r="Z250">
        <f>VLOOKUP(Table56[[#This Row],[Shortname]], Comp[], 25, FALSE)</f>
        <v>0</v>
      </c>
      <c r="AA250">
        <f>VLOOKUP(Table56[[#This Row],[Shortname]], Comp[], 26, FALSE)</f>
        <v>0</v>
      </c>
      <c r="AB250">
        <f>VLOOKUP(Table56[[#This Row],[Shortname]], Comp[], 27, FALSE)</f>
        <v>0</v>
      </c>
      <c r="AC250">
        <f>VLOOKUP(Table56[[#This Row],[Shortname]], Comp[], 28, FALSE)</f>
        <v>0</v>
      </c>
      <c r="AD250">
        <f>VLOOKUP(Table56[[#This Row],[Shortname]], Comp[], 29, FALSE)</f>
        <v>0</v>
      </c>
      <c r="AE250">
        <f>VLOOKUP(Table56[[#This Row],[Shortname]], Comp[], 30, FALSE)</f>
        <v>0</v>
      </c>
      <c r="AF250">
        <f>VLOOKUP(Table56[[#This Row],[Shortname]], Comp[], 31, FALSE)</f>
        <v>0</v>
      </c>
    </row>
    <row r="251" spans="1:32" x14ac:dyDescent="0.3">
      <c r="A251" s="7" t="s">
        <v>3877</v>
      </c>
      <c r="B251" s="7" t="s">
        <v>3879</v>
      </c>
      <c r="C251" t="s">
        <v>6755</v>
      </c>
      <c r="D251">
        <v>1220</v>
      </c>
      <c r="F251">
        <v>1355</v>
      </c>
      <c r="H251" s="14">
        <f>VLOOKUP(Table56[[#This Row],[Shortname]], Comp[], 7, FALSE)</f>
        <v>38</v>
      </c>
      <c r="I251">
        <f>VLOOKUP(Table56[[#This Row],[Shortname]], Comp[], 8, FALSE)</f>
        <v>35</v>
      </c>
      <c r="J251">
        <f>VLOOKUP(Table56[[#This Row],[Shortname]], Comp[], 9, FALSE)</f>
        <v>13</v>
      </c>
      <c r="K251">
        <f>VLOOKUP(Table56[[#This Row],[Shortname]], Comp[], 10, FALSE)</f>
        <v>6</v>
      </c>
      <c r="L251">
        <f>VLOOKUP(Table56[[#This Row],[Shortname]], Comp[], 11, FALSE)</f>
        <v>2</v>
      </c>
      <c r="M251">
        <f>VLOOKUP(Table56[[#This Row],[Shortname]], Comp[],12, FALSE)</f>
        <v>5</v>
      </c>
      <c r="N251">
        <f>VLOOKUP(Table56[[#This Row],[Shortname]], Comp[], 13, FALSE)</f>
        <v>1</v>
      </c>
      <c r="O251">
        <f>VLOOKUP(Table56[[#This Row],[Shortname]], Comp[], 14, FALSE)</f>
        <v>0</v>
      </c>
      <c r="P251">
        <f>VLOOKUP(Table56[[#This Row],[Shortname]], Comp[], 15, FALSE)</f>
        <v>0</v>
      </c>
      <c r="Q251">
        <f>VLOOKUP(Table56[[#This Row],[Shortname]], Comp[], 16, FALSE)</f>
        <v>0</v>
      </c>
      <c r="R251">
        <f>VLOOKUP(Table56[[#This Row],[Shortname]], Comp[], 17, FALSE)</f>
        <v>0</v>
      </c>
      <c r="S251">
        <f>VLOOKUP(Table56[[#This Row],[Shortname]], Comp[], 18, FALSE)</f>
        <v>0</v>
      </c>
      <c r="T251">
        <f>VLOOKUP(Table56[[#This Row],[Shortname]], Comp[], 19, FALSE)</f>
        <v>0</v>
      </c>
      <c r="U251">
        <f>VLOOKUP(Table56[[#This Row],[Shortname]], Comp[], 20, FALSE)</f>
        <v>0</v>
      </c>
      <c r="V251">
        <f>VLOOKUP(Table56[[#This Row],[Shortname]], Comp[], 21, FALSE)</f>
        <v>0</v>
      </c>
      <c r="W251">
        <f>VLOOKUP(Table56[[#This Row],[Shortname]], Comp[], 22, FALSE)</f>
        <v>0</v>
      </c>
      <c r="X251">
        <f>VLOOKUP(Table56[[#This Row],[Shortname]], Comp[], 23, FALSE)</f>
        <v>0</v>
      </c>
      <c r="Y251">
        <f>VLOOKUP(Table56[[#This Row],[Shortname]], Comp[], 24, FALSE)</f>
        <v>0</v>
      </c>
      <c r="Z251">
        <f>VLOOKUP(Table56[[#This Row],[Shortname]], Comp[], 25, FALSE)</f>
        <v>0</v>
      </c>
      <c r="AA251">
        <f>VLOOKUP(Table56[[#This Row],[Shortname]], Comp[], 26, FALSE)</f>
        <v>0</v>
      </c>
      <c r="AB251">
        <f>VLOOKUP(Table56[[#This Row],[Shortname]], Comp[], 27, FALSE)</f>
        <v>0</v>
      </c>
      <c r="AC251">
        <f>VLOOKUP(Table56[[#This Row],[Shortname]], Comp[], 28, FALSE)</f>
        <v>0</v>
      </c>
      <c r="AD251">
        <f>VLOOKUP(Table56[[#This Row],[Shortname]], Comp[], 29, FALSE)</f>
        <v>0</v>
      </c>
      <c r="AE251">
        <f>VLOOKUP(Table56[[#This Row],[Shortname]], Comp[], 30, FALSE)</f>
        <v>0</v>
      </c>
      <c r="AF251">
        <f>VLOOKUP(Table56[[#This Row],[Shortname]], Comp[], 31, FALSE)</f>
        <v>0</v>
      </c>
    </row>
    <row r="252" spans="1:32" x14ac:dyDescent="0.3">
      <c r="A252" s="7" t="s">
        <v>1348</v>
      </c>
      <c r="B252" s="7" t="s">
        <v>2354</v>
      </c>
      <c r="C252" s="11" t="s">
        <v>6756</v>
      </c>
      <c r="D252">
        <v>1100</v>
      </c>
      <c r="E252">
        <v>1412</v>
      </c>
      <c r="F252">
        <v>1455</v>
      </c>
      <c r="H252" s="14">
        <f>VLOOKUP(Table56[[#This Row],[Shortname]], Comp[], 7, FALSE)</f>
        <v>79</v>
      </c>
      <c r="I252">
        <f>VLOOKUP(Table56[[#This Row],[Shortname]], Comp[], 8, FALSE)</f>
        <v>0</v>
      </c>
      <c r="J252">
        <f>VLOOKUP(Table56[[#This Row],[Shortname]], Comp[], 9, FALSE)</f>
        <v>9</v>
      </c>
      <c r="K252">
        <f>VLOOKUP(Table56[[#This Row],[Shortname]], Comp[], 10, FALSE)</f>
        <v>0</v>
      </c>
      <c r="L252">
        <f>VLOOKUP(Table56[[#This Row],[Shortname]], Comp[], 11, FALSE)</f>
        <v>10</v>
      </c>
      <c r="M252">
        <f>VLOOKUP(Table56[[#This Row],[Shortname]], Comp[],12, FALSE)</f>
        <v>0</v>
      </c>
      <c r="N252">
        <f>VLOOKUP(Table56[[#This Row],[Shortname]], Comp[], 13, FALSE)</f>
        <v>2</v>
      </c>
      <c r="O252">
        <f>VLOOKUP(Table56[[#This Row],[Shortname]], Comp[], 14, FALSE)</f>
        <v>0</v>
      </c>
      <c r="P252">
        <f>VLOOKUP(Table56[[#This Row],[Shortname]], Comp[], 15, FALSE)</f>
        <v>0</v>
      </c>
      <c r="Q252">
        <f>VLOOKUP(Table56[[#This Row],[Shortname]], Comp[], 16, FALSE)</f>
        <v>0</v>
      </c>
      <c r="R252">
        <f>VLOOKUP(Table56[[#This Row],[Shortname]], Comp[], 17, FALSE)</f>
        <v>0</v>
      </c>
      <c r="S252">
        <f>VLOOKUP(Table56[[#This Row],[Shortname]], Comp[], 18, FALSE)</f>
        <v>0</v>
      </c>
      <c r="T252">
        <f>VLOOKUP(Table56[[#This Row],[Shortname]], Comp[], 19, FALSE)</f>
        <v>0</v>
      </c>
      <c r="U252">
        <f>VLOOKUP(Table56[[#This Row],[Shortname]], Comp[], 20, FALSE)</f>
        <v>0</v>
      </c>
      <c r="V252">
        <f>VLOOKUP(Table56[[#This Row],[Shortname]], Comp[], 21, FALSE)</f>
        <v>0</v>
      </c>
      <c r="W252">
        <f>VLOOKUP(Table56[[#This Row],[Shortname]], Comp[], 22, FALSE)</f>
        <v>0</v>
      </c>
      <c r="X252">
        <f>VLOOKUP(Table56[[#This Row],[Shortname]], Comp[], 23, FALSE)</f>
        <v>0</v>
      </c>
      <c r="Y252">
        <f>VLOOKUP(Table56[[#This Row],[Shortname]], Comp[], 24, FALSE)</f>
        <v>0</v>
      </c>
      <c r="Z252">
        <f>VLOOKUP(Table56[[#This Row],[Shortname]], Comp[], 25, FALSE)</f>
        <v>0</v>
      </c>
      <c r="AA252">
        <f>VLOOKUP(Table56[[#This Row],[Shortname]], Comp[], 26, FALSE)</f>
        <v>0</v>
      </c>
      <c r="AB252">
        <f>VLOOKUP(Table56[[#This Row],[Shortname]], Comp[], 27, FALSE)</f>
        <v>0</v>
      </c>
      <c r="AC252">
        <f>VLOOKUP(Table56[[#This Row],[Shortname]], Comp[], 28, FALSE)</f>
        <v>0</v>
      </c>
      <c r="AD252">
        <f>VLOOKUP(Table56[[#This Row],[Shortname]], Comp[], 29, FALSE)</f>
        <v>0</v>
      </c>
      <c r="AE252">
        <f>VLOOKUP(Table56[[#This Row],[Shortname]], Comp[], 30, FALSE)</f>
        <v>0</v>
      </c>
      <c r="AF252">
        <f>VLOOKUP(Table56[[#This Row],[Shortname]], Comp[], 31, FALSE)</f>
        <v>0</v>
      </c>
    </row>
    <row r="253" spans="1:32" x14ac:dyDescent="0.3">
      <c r="A253" s="7" t="s">
        <v>3898</v>
      </c>
      <c r="B253" s="7" t="s">
        <v>3899</v>
      </c>
      <c r="C253" s="11" t="s">
        <v>6756</v>
      </c>
      <c r="D253">
        <v>1065</v>
      </c>
      <c r="E253">
        <v>1408</v>
      </c>
      <c r="F253">
        <v>1468</v>
      </c>
      <c r="H253" s="14">
        <f>VLOOKUP(Table56[[#This Row],[Shortname]], Comp[], 7, FALSE)</f>
        <v>79</v>
      </c>
      <c r="I253">
        <f>VLOOKUP(Table56[[#This Row],[Shortname]], Comp[], 8, FALSE)</f>
        <v>0</v>
      </c>
      <c r="J253">
        <f>VLOOKUP(Table56[[#This Row],[Shortname]], Comp[], 9, FALSE)</f>
        <v>9</v>
      </c>
      <c r="K253">
        <f>VLOOKUP(Table56[[#This Row],[Shortname]], Comp[], 10, FALSE)</f>
        <v>0</v>
      </c>
      <c r="L253">
        <f>VLOOKUP(Table56[[#This Row],[Shortname]], Comp[], 11, FALSE)</f>
        <v>10</v>
      </c>
      <c r="M253">
        <f>VLOOKUP(Table56[[#This Row],[Shortname]], Comp[],12, FALSE)</f>
        <v>2</v>
      </c>
      <c r="N253">
        <f>VLOOKUP(Table56[[#This Row],[Shortname]], Comp[], 13, FALSE)</f>
        <v>0</v>
      </c>
      <c r="O253">
        <f>VLOOKUP(Table56[[#This Row],[Shortname]], Comp[], 14, FALSE)</f>
        <v>0</v>
      </c>
      <c r="P253">
        <f>VLOOKUP(Table56[[#This Row],[Shortname]], Comp[], 15, FALSE)</f>
        <v>0</v>
      </c>
      <c r="Q253">
        <f>VLOOKUP(Table56[[#This Row],[Shortname]], Comp[], 16, FALSE)</f>
        <v>0</v>
      </c>
      <c r="R253">
        <f>VLOOKUP(Table56[[#This Row],[Shortname]], Comp[], 17, FALSE)</f>
        <v>0</v>
      </c>
      <c r="S253">
        <f>VLOOKUP(Table56[[#This Row],[Shortname]], Comp[], 18, FALSE)</f>
        <v>0</v>
      </c>
      <c r="T253">
        <f>VLOOKUP(Table56[[#This Row],[Shortname]], Comp[], 19, FALSE)</f>
        <v>0</v>
      </c>
      <c r="U253">
        <f>VLOOKUP(Table56[[#This Row],[Shortname]], Comp[], 20, FALSE)</f>
        <v>0</v>
      </c>
      <c r="V253">
        <f>VLOOKUP(Table56[[#This Row],[Shortname]], Comp[], 21, FALSE)</f>
        <v>0</v>
      </c>
      <c r="W253">
        <f>VLOOKUP(Table56[[#This Row],[Shortname]], Comp[], 22, FALSE)</f>
        <v>0</v>
      </c>
      <c r="X253">
        <f>VLOOKUP(Table56[[#This Row],[Shortname]], Comp[], 23, FALSE)</f>
        <v>0</v>
      </c>
      <c r="Y253">
        <f>VLOOKUP(Table56[[#This Row],[Shortname]], Comp[], 24, FALSE)</f>
        <v>0</v>
      </c>
      <c r="Z253">
        <f>VLOOKUP(Table56[[#This Row],[Shortname]], Comp[], 25, FALSE)</f>
        <v>0</v>
      </c>
      <c r="AA253">
        <f>VLOOKUP(Table56[[#This Row],[Shortname]], Comp[], 26, FALSE)</f>
        <v>0</v>
      </c>
      <c r="AB253">
        <f>VLOOKUP(Table56[[#This Row],[Shortname]], Comp[], 27, FALSE)</f>
        <v>0</v>
      </c>
      <c r="AC253">
        <f>VLOOKUP(Table56[[#This Row],[Shortname]], Comp[], 28, FALSE)</f>
        <v>0</v>
      </c>
      <c r="AD253">
        <f>VLOOKUP(Table56[[#This Row],[Shortname]], Comp[], 29, FALSE)</f>
        <v>0</v>
      </c>
      <c r="AE253">
        <f>VLOOKUP(Table56[[#This Row],[Shortname]], Comp[], 30, FALSE)</f>
        <v>0</v>
      </c>
      <c r="AF253">
        <f>VLOOKUP(Table56[[#This Row],[Shortname]], Comp[], 31, FALSE)</f>
        <v>0</v>
      </c>
    </row>
    <row r="254" spans="1:32" x14ac:dyDescent="0.3">
      <c r="A254" s="7" t="s">
        <v>3926</v>
      </c>
      <c r="B254" s="7" t="s">
        <v>3927</v>
      </c>
      <c r="C254" s="11" t="s">
        <v>6756</v>
      </c>
      <c r="D254">
        <v>1047</v>
      </c>
      <c r="E254">
        <v>1405</v>
      </c>
      <c r="F254">
        <v>1464</v>
      </c>
      <c r="H254" s="14">
        <f>VLOOKUP(Table56[[#This Row],[Shortname]], Comp[], 7, FALSE)</f>
        <v>79</v>
      </c>
      <c r="I254">
        <f>VLOOKUP(Table56[[#This Row],[Shortname]], Comp[], 8, FALSE)</f>
        <v>0</v>
      </c>
      <c r="J254">
        <f>VLOOKUP(Table56[[#This Row],[Shortname]], Comp[], 9, FALSE)</f>
        <v>9</v>
      </c>
      <c r="K254">
        <f>VLOOKUP(Table56[[#This Row],[Shortname]], Comp[], 10, FALSE)</f>
        <v>0</v>
      </c>
      <c r="L254">
        <f>VLOOKUP(Table56[[#This Row],[Shortname]], Comp[], 11, FALSE)</f>
        <v>10</v>
      </c>
      <c r="M254">
        <f>VLOOKUP(Table56[[#This Row],[Shortname]], Comp[],12, FALSE)</f>
        <v>0</v>
      </c>
      <c r="N254">
        <f>VLOOKUP(Table56[[#This Row],[Shortname]], Comp[], 13, FALSE)</f>
        <v>0</v>
      </c>
      <c r="O254">
        <f>VLOOKUP(Table56[[#This Row],[Shortname]], Comp[], 14, FALSE)</f>
        <v>2</v>
      </c>
      <c r="P254">
        <f>VLOOKUP(Table56[[#This Row],[Shortname]], Comp[], 15, FALSE)</f>
        <v>0</v>
      </c>
      <c r="Q254">
        <f>VLOOKUP(Table56[[#This Row],[Shortname]], Comp[], 16, FALSE)</f>
        <v>0</v>
      </c>
      <c r="R254">
        <f>VLOOKUP(Table56[[#This Row],[Shortname]], Comp[], 17, FALSE)</f>
        <v>0</v>
      </c>
      <c r="S254">
        <f>VLOOKUP(Table56[[#This Row],[Shortname]], Comp[], 18, FALSE)</f>
        <v>0</v>
      </c>
      <c r="T254">
        <f>VLOOKUP(Table56[[#This Row],[Shortname]], Comp[], 19, FALSE)</f>
        <v>0</v>
      </c>
      <c r="U254">
        <f>VLOOKUP(Table56[[#This Row],[Shortname]], Comp[], 20, FALSE)</f>
        <v>0</v>
      </c>
      <c r="V254">
        <f>VLOOKUP(Table56[[#This Row],[Shortname]], Comp[], 21, FALSE)</f>
        <v>0</v>
      </c>
      <c r="W254">
        <f>VLOOKUP(Table56[[#This Row],[Shortname]], Comp[], 22, FALSE)</f>
        <v>0</v>
      </c>
      <c r="X254">
        <f>VLOOKUP(Table56[[#This Row],[Shortname]], Comp[], 23, FALSE)</f>
        <v>0</v>
      </c>
      <c r="Y254">
        <f>VLOOKUP(Table56[[#This Row],[Shortname]], Comp[], 24, FALSE)</f>
        <v>0</v>
      </c>
      <c r="Z254">
        <f>VLOOKUP(Table56[[#This Row],[Shortname]], Comp[], 25, FALSE)</f>
        <v>0</v>
      </c>
      <c r="AA254">
        <f>VLOOKUP(Table56[[#This Row],[Shortname]], Comp[], 26, FALSE)</f>
        <v>0</v>
      </c>
      <c r="AB254">
        <f>VLOOKUP(Table56[[#This Row],[Shortname]], Comp[], 27, FALSE)</f>
        <v>0</v>
      </c>
      <c r="AC254">
        <f>VLOOKUP(Table56[[#This Row],[Shortname]], Comp[], 28, FALSE)</f>
        <v>0</v>
      </c>
      <c r="AD254">
        <f>VLOOKUP(Table56[[#This Row],[Shortname]], Comp[], 29, FALSE)</f>
        <v>0</v>
      </c>
      <c r="AE254">
        <f>VLOOKUP(Table56[[#This Row],[Shortname]], Comp[], 30, FALSE)</f>
        <v>0</v>
      </c>
      <c r="AF254">
        <f>VLOOKUP(Table56[[#This Row],[Shortname]], Comp[], 31, FALSE)</f>
        <v>0</v>
      </c>
    </row>
    <row r="255" spans="1:32" x14ac:dyDescent="0.3">
      <c r="A255" s="7" t="s">
        <v>2600</v>
      </c>
      <c r="B255" s="7" t="s">
        <v>3903</v>
      </c>
      <c r="C255" s="11" t="s">
        <v>6756</v>
      </c>
      <c r="D255">
        <v>1029</v>
      </c>
      <c r="E255">
        <v>1459</v>
      </c>
      <c r="F255">
        <v>1476</v>
      </c>
      <c r="H255" s="14">
        <f>VLOOKUP(Table56[[#This Row],[Shortname]], Comp[], 7, FALSE)</f>
        <v>81</v>
      </c>
      <c r="I255">
        <f>VLOOKUP(Table56[[#This Row],[Shortname]], Comp[], 8, FALSE)</f>
        <v>0</v>
      </c>
      <c r="J255">
        <f>VLOOKUP(Table56[[#This Row],[Shortname]], Comp[], 9, FALSE)</f>
        <v>9</v>
      </c>
      <c r="K255">
        <f>VLOOKUP(Table56[[#This Row],[Shortname]], Comp[], 10, FALSE)</f>
        <v>0</v>
      </c>
      <c r="L255">
        <f>VLOOKUP(Table56[[#This Row],[Shortname]], Comp[], 11, FALSE)</f>
        <v>10</v>
      </c>
      <c r="M255">
        <f>VLOOKUP(Table56[[#This Row],[Shortname]], Comp[],12, FALSE)</f>
        <v>0</v>
      </c>
      <c r="N255">
        <f>VLOOKUP(Table56[[#This Row],[Shortname]], Comp[], 13, FALSE)</f>
        <v>0</v>
      </c>
      <c r="O255">
        <f>VLOOKUP(Table56[[#This Row],[Shortname]], Comp[], 14, FALSE)</f>
        <v>0</v>
      </c>
      <c r="P255">
        <f>VLOOKUP(Table56[[#This Row],[Shortname]], Comp[], 15, FALSE)</f>
        <v>0</v>
      </c>
      <c r="Q255">
        <f>VLOOKUP(Table56[[#This Row],[Shortname]], Comp[], 16, FALSE)</f>
        <v>0</v>
      </c>
      <c r="R255">
        <f>VLOOKUP(Table56[[#This Row],[Shortname]], Comp[], 17, FALSE)</f>
        <v>0</v>
      </c>
      <c r="S255">
        <f>VLOOKUP(Table56[[#This Row],[Shortname]], Comp[], 18, FALSE)</f>
        <v>0</v>
      </c>
      <c r="T255">
        <f>VLOOKUP(Table56[[#This Row],[Shortname]], Comp[], 19, FALSE)</f>
        <v>0</v>
      </c>
      <c r="U255">
        <f>VLOOKUP(Table56[[#This Row],[Shortname]], Comp[], 20, FALSE)</f>
        <v>0</v>
      </c>
      <c r="V255">
        <f>VLOOKUP(Table56[[#This Row],[Shortname]], Comp[], 21, FALSE)</f>
        <v>0</v>
      </c>
      <c r="W255">
        <f>VLOOKUP(Table56[[#This Row],[Shortname]], Comp[], 22, FALSE)</f>
        <v>0</v>
      </c>
      <c r="X255">
        <f>VLOOKUP(Table56[[#This Row],[Shortname]], Comp[], 23, FALSE)</f>
        <v>0</v>
      </c>
      <c r="Y255">
        <f>VLOOKUP(Table56[[#This Row],[Shortname]], Comp[], 24, FALSE)</f>
        <v>0</v>
      </c>
      <c r="Z255">
        <f>VLOOKUP(Table56[[#This Row],[Shortname]], Comp[], 25, FALSE)</f>
        <v>0</v>
      </c>
      <c r="AA255">
        <f>VLOOKUP(Table56[[#This Row],[Shortname]], Comp[], 26, FALSE)</f>
        <v>0</v>
      </c>
      <c r="AB255">
        <f>VLOOKUP(Table56[[#This Row],[Shortname]], Comp[], 27, FALSE)</f>
        <v>0</v>
      </c>
      <c r="AC255">
        <f>VLOOKUP(Table56[[#This Row],[Shortname]], Comp[], 28, FALSE)</f>
        <v>0</v>
      </c>
      <c r="AD255">
        <f>VLOOKUP(Table56[[#This Row],[Shortname]], Comp[], 29, FALSE)</f>
        <v>0</v>
      </c>
      <c r="AE255">
        <f>VLOOKUP(Table56[[#This Row],[Shortname]], Comp[], 30, FALSE)</f>
        <v>0</v>
      </c>
      <c r="AF255">
        <f>VLOOKUP(Table56[[#This Row],[Shortname]], Comp[], 31, FALSE)</f>
        <v>0</v>
      </c>
    </row>
    <row r="256" spans="1:32" x14ac:dyDescent="0.3">
      <c r="A256" s="7" t="s">
        <v>3917</v>
      </c>
      <c r="B256" s="7" t="s">
        <v>1484</v>
      </c>
      <c r="C256" s="11" t="s">
        <v>6756</v>
      </c>
      <c r="D256">
        <v>1018</v>
      </c>
      <c r="E256">
        <v>1440</v>
      </c>
      <c r="F256">
        <v>1468</v>
      </c>
      <c r="H256" s="14">
        <f>VLOOKUP(Table56[[#This Row],[Shortname]], Comp[], 7, FALSE)</f>
        <v>79</v>
      </c>
      <c r="I256">
        <f>VLOOKUP(Table56[[#This Row],[Shortname]], Comp[], 8, FALSE)</f>
        <v>0</v>
      </c>
      <c r="J256">
        <f>VLOOKUP(Table56[[#This Row],[Shortname]], Comp[], 9, FALSE)</f>
        <v>9</v>
      </c>
      <c r="K256">
        <f>VLOOKUP(Table56[[#This Row],[Shortname]], Comp[], 10, FALSE)</f>
        <v>0</v>
      </c>
      <c r="L256">
        <f>VLOOKUP(Table56[[#This Row],[Shortname]], Comp[], 11, FALSE)</f>
        <v>10</v>
      </c>
      <c r="M256">
        <f>VLOOKUP(Table56[[#This Row],[Shortname]], Comp[],12, FALSE)</f>
        <v>0</v>
      </c>
      <c r="N256">
        <f>VLOOKUP(Table56[[#This Row],[Shortname]], Comp[], 13, FALSE)</f>
        <v>0</v>
      </c>
      <c r="O256">
        <f>VLOOKUP(Table56[[#This Row],[Shortname]], Comp[], 14, FALSE)</f>
        <v>0</v>
      </c>
      <c r="P256">
        <f>VLOOKUP(Table56[[#This Row],[Shortname]], Comp[], 15, FALSE)</f>
        <v>0</v>
      </c>
      <c r="Q256">
        <f>VLOOKUP(Table56[[#This Row],[Shortname]], Comp[], 16, FALSE)</f>
        <v>2</v>
      </c>
      <c r="R256">
        <f>VLOOKUP(Table56[[#This Row],[Shortname]], Comp[], 17, FALSE)</f>
        <v>0</v>
      </c>
      <c r="S256">
        <f>VLOOKUP(Table56[[#This Row],[Shortname]], Comp[], 18, FALSE)</f>
        <v>0</v>
      </c>
      <c r="T256">
        <f>VLOOKUP(Table56[[#This Row],[Shortname]], Comp[], 19, FALSE)</f>
        <v>0</v>
      </c>
      <c r="U256">
        <f>VLOOKUP(Table56[[#This Row],[Shortname]], Comp[], 20, FALSE)</f>
        <v>0</v>
      </c>
      <c r="V256">
        <f>VLOOKUP(Table56[[#This Row],[Shortname]], Comp[], 21, FALSE)</f>
        <v>0</v>
      </c>
      <c r="W256">
        <f>VLOOKUP(Table56[[#This Row],[Shortname]], Comp[], 22, FALSE)</f>
        <v>0</v>
      </c>
      <c r="X256">
        <f>VLOOKUP(Table56[[#This Row],[Shortname]], Comp[], 23, FALSE)</f>
        <v>0</v>
      </c>
      <c r="Y256">
        <f>VLOOKUP(Table56[[#This Row],[Shortname]], Comp[], 24, FALSE)</f>
        <v>0</v>
      </c>
      <c r="Z256">
        <f>VLOOKUP(Table56[[#This Row],[Shortname]], Comp[], 25, FALSE)</f>
        <v>0</v>
      </c>
      <c r="AA256">
        <f>VLOOKUP(Table56[[#This Row],[Shortname]], Comp[], 26, FALSE)</f>
        <v>0</v>
      </c>
      <c r="AB256">
        <f>VLOOKUP(Table56[[#This Row],[Shortname]], Comp[], 27, FALSE)</f>
        <v>0</v>
      </c>
      <c r="AC256">
        <f>VLOOKUP(Table56[[#This Row],[Shortname]], Comp[], 28, FALSE)</f>
        <v>0</v>
      </c>
      <c r="AD256">
        <f>VLOOKUP(Table56[[#This Row],[Shortname]], Comp[], 29, FALSE)</f>
        <v>0</v>
      </c>
      <c r="AE256">
        <f>VLOOKUP(Table56[[#This Row],[Shortname]], Comp[], 30, FALSE)</f>
        <v>0</v>
      </c>
      <c r="AF256">
        <f>VLOOKUP(Table56[[#This Row],[Shortname]], Comp[], 31, FALSE)</f>
        <v>0</v>
      </c>
    </row>
    <row r="257" spans="1:32" x14ac:dyDescent="0.3">
      <c r="A257" s="7" t="s">
        <v>3905</v>
      </c>
      <c r="B257" s="7" t="s">
        <v>3906</v>
      </c>
      <c r="C257" s="11" t="s">
        <v>6756</v>
      </c>
      <c r="D257">
        <v>997</v>
      </c>
      <c r="E257">
        <v>1443</v>
      </c>
      <c r="F257">
        <v>1472</v>
      </c>
      <c r="H257" s="14">
        <f>VLOOKUP(Table56[[#This Row],[Shortname]], Comp[], 7, FALSE)</f>
        <v>79</v>
      </c>
      <c r="I257">
        <f>VLOOKUP(Table56[[#This Row],[Shortname]], Comp[], 8, FALSE)</f>
        <v>0</v>
      </c>
      <c r="J257">
        <f>VLOOKUP(Table56[[#This Row],[Shortname]], Comp[], 9, FALSE)</f>
        <v>9</v>
      </c>
      <c r="K257">
        <f>VLOOKUP(Table56[[#This Row],[Shortname]], Comp[], 10, FALSE)</f>
        <v>0</v>
      </c>
      <c r="L257">
        <f>VLOOKUP(Table56[[#This Row],[Shortname]], Comp[], 11, FALSE)</f>
        <v>10</v>
      </c>
      <c r="M257">
        <f>VLOOKUP(Table56[[#This Row],[Shortname]], Comp[],12, FALSE)</f>
        <v>0</v>
      </c>
      <c r="N257">
        <f>VLOOKUP(Table56[[#This Row],[Shortname]], Comp[], 13, FALSE)</f>
        <v>0</v>
      </c>
      <c r="O257">
        <f>VLOOKUP(Table56[[#This Row],[Shortname]], Comp[], 14, FALSE)</f>
        <v>0</v>
      </c>
      <c r="P257">
        <f>VLOOKUP(Table56[[#This Row],[Shortname]], Comp[], 15, FALSE)</f>
        <v>2</v>
      </c>
      <c r="Q257">
        <f>VLOOKUP(Table56[[#This Row],[Shortname]], Comp[], 16, FALSE)</f>
        <v>0</v>
      </c>
      <c r="R257">
        <f>VLOOKUP(Table56[[#This Row],[Shortname]], Comp[], 17, FALSE)</f>
        <v>0</v>
      </c>
      <c r="S257">
        <f>VLOOKUP(Table56[[#This Row],[Shortname]], Comp[], 18, FALSE)</f>
        <v>0</v>
      </c>
      <c r="T257">
        <f>VLOOKUP(Table56[[#This Row],[Shortname]], Comp[], 19, FALSE)</f>
        <v>0</v>
      </c>
      <c r="U257">
        <f>VLOOKUP(Table56[[#This Row],[Shortname]], Comp[], 20, FALSE)</f>
        <v>0</v>
      </c>
      <c r="V257">
        <f>VLOOKUP(Table56[[#This Row],[Shortname]], Comp[], 21, FALSE)</f>
        <v>0</v>
      </c>
      <c r="W257">
        <f>VLOOKUP(Table56[[#This Row],[Shortname]], Comp[], 22, FALSE)</f>
        <v>0</v>
      </c>
      <c r="X257">
        <f>VLOOKUP(Table56[[#This Row],[Shortname]], Comp[], 23, FALSE)</f>
        <v>0</v>
      </c>
      <c r="Y257">
        <f>VLOOKUP(Table56[[#This Row],[Shortname]], Comp[], 24, FALSE)</f>
        <v>0</v>
      </c>
      <c r="Z257">
        <f>VLOOKUP(Table56[[#This Row],[Shortname]], Comp[], 25, FALSE)</f>
        <v>0</v>
      </c>
      <c r="AA257">
        <f>VLOOKUP(Table56[[#This Row],[Shortname]], Comp[], 26, FALSE)</f>
        <v>0</v>
      </c>
      <c r="AB257">
        <f>VLOOKUP(Table56[[#This Row],[Shortname]], Comp[], 27, FALSE)</f>
        <v>0</v>
      </c>
      <c r="AC257">
        <f>VLOOKUP(Table56[[#This Row],[Shortname]], Comp[], 28, FALSE)</f>
        <v>0</v>
      </c>
      <c r="AD257">
        <f>VLOOKUP(Table56[[#This Row],[Shortname]], Comp[], 29, FALSE)</f>
        <v>0</v>
      </c>
      <c r="AE257">
        <f>VLOOKUP(Table56[[#This Row],[Shortname]], Comp[], 30, FALSE)</f>
        <v>0</v>
      </c>
      <c r="AF257">
        <f>VLOOKUP(Table56[[#This Row],[Shortname]], Comp[], 31, FALSE)</f>
        <v>0</v>
      </c>
    </row>
    <row r="258" spans="1:32" x14ac:dyDescent="0.3">
      <c r="A258" s="7" t="s">
        <v>4163</v>
      </c>
      <c r="B258" s="7" t="s">
        <v>4165</v>
      </c>
      <c r="C258" s="3" t="s">
        <v>4158</v>
      </c>
      <c r="D258">
        <v>1169</v>
      </c>
      <c r="E258">
        <v>1209</v>
      </c>
      <c r="F258">
        <v>1311</v>
      </c>
      <c r="H258" s="14">
        <f>VLOOKUP(Table56[[#This Row],[Shortname]], Comp[], 7, FALSE)</f>
        <v>80.900000000000006</v>
      </c>
      <c r="I258">
        <f>VLOOKUP(Table56[[#This Row],[Shortname]], Comp[], 8, FALSE)</f>
        <v>0</v>
      </c>
      <c r="J258">
        <f>VLOOKUP(Table56[[#This Row],[Shortname]], Comp[], 9, FALSE)</f>
        <v>3</v>
      </c>
      <c r="K258">
        <f>VLOOKUP(Table56[[#This Row],[Shortname]], Comp[], 10, FALSE)</f>
        <v>0</v>
      </c>
      <c r="L258">
        <f>VLOOKUP(Table56[[#This Row],[Shortname]], Comp[], 11, FALSE)</f>
        <v>2.6</v>
      </c>
      <c r="M258">
        <f>VLOOKUP(Table56[[#This Row],[Shortname]], Comp[],12, FALSE)</f>
        <v>13.5</v>
      </c>
      <c r="N258">
        <f>VLOOKUP(Table56[[#This Row],[Shortname]], Comp[], 13, FALSE)</f>
        <v>0</v>
      </c>
      <c r="O258">
        <f>VLOOKUP(Table56[[#This Row],[Shortname]], Comp[], 14, FALSE)</f>
        <v>0</v>
      </c>
      <c r="P258">
        <f>VLOOKUP(Table56[[#This Row],[Shortname]], Comp[], 15, FALSE)</f>
        <v>0</v>
      </c>
      <c r="Q258">
        <f>VLOOKUP(Table56[[#This Row],[Shortname]], Comp[], 16, FALSE)</f>
        <v>0</v>
      </c>
      <c r="R258">
        <f>VLOOKUP(Table56[[#This Row],[Shortname]], Comp[], 17, FALSE)</f>
        <v>0</v>
      </c>
      <c r="S258">
        <f>VLOOKUP(Table56[[#This Row],[Shortname]], Comp[], 18, FALSE)</f>
        <v>0</v>
      </c>
      <c r="T258">
        <f>VLOOKUP(Table56[[#This Row],[Shortname]], Comp[], 19, FALSE)</f>
        <v>0</v>
      </c>
      <c r="U258">
        <f>VLOOKUP(Table56[[#This Row],[Shortname]], Comp[], 20, FALSE)</f>
        <v>0</v>
      </c>
      <c r="V258">
        <f>VLOOKUP(Table56[[#This Row],[Shortname]], Comp[], 21, FALSE)</f>
        <v>0</v>
      </c>
      <c r="W258">
        <f>VLOOKUP(Table56[[#This Row],[Shortname]], Comp[], 22, FALSE)</f>
        <v>0</v>
      </c>
      <c r="X258">
        <f>VLOOKUP(Table56[[#This Row],[Shortname]], Comp[], 23, FALSE)</f>
        <v>0</v>
      </c>
      <c r="Y258">
        <f>VLOOKUP(Table56[[#This Row],[Shortname]], Comp[], 24, FALSE)</f>
        <v>0</v>
      </c>
      <c r="Z258">
        <f>VLOOKUP(Table56[[#This Row],[Shortname]], Comp[], 25, FALSE)</f>
        <v>0</v>
      </c>
      <c r="AA258">
        <f>VLOOKUP(Table56[[#This Row],[Shortname]], Comp[], 26, FALSE)</f>
        <v>0</v>
      </c>
      <c r="AB258">
        <f>VLOOKUP(Table56[[#This Row],[Shortname]], Comp[], 27, FALSE)</f>
        <v>0</v>
      </c>
      <c r="AC258">
        <f>VLOOKUP(Table56[[#This Row],[Shortname]], Comp[], 28, FALSE)</f>
        <v>0</v>
      </c>
      <c r="AD258">
        <f>VLOOKUP(Table56[[#This Row],[Shortname]], Comp[], 29, FALSE)</f>
        <v>0</v>
      </c>
      <c r="AE258">
        <f>VLOOKUP(Table56[[#This Row],[Shortname]], Comp[], 30, FALSE)</f>
        <v>0</v>
      </c>
      <c r="AF258">
        <f>VLOOKUP(Table56[[#This Row],[Shortname]], Comp[], 31, FALSE)</f>
        <v>0</v>
      </c>
    </row>
    <row r="259" spans="1:32" x14ac:dyDescent="0.3">
      <c r="A259" s="7" t="s">
        <v>4178</v>
      </c>
      <c r="B259" s="7" t="s">
        <v>4180</v>
      </c>
      <c r="C259" s="3" t="s">
        <v>4158</v>
      </c>
      <c r="D259">
        <v>1158</v>
      </c>
      <c r="E259">
        <v>1199</v>
      </c>
      <c r="F259">
        <v>1315</v>
      </c>
      <c r="H259" s="14">
        <f>VLOOKUP(Table56[[#This Row],[Shortname]], Comp[], 7, FALSE)</f>
        <v>82</v>
      </c>
      <c r="I259">
        <f>VLOOKUP(Table56[[#This Row],[Shortname]], Comp[], 8, FALSE)</f>
        <v>2.1</v>
      </c>
      <c r="J259">
        <f>VLOOKUP(Table56[[#This Row],[Shortname]], Comp[], 9, FALSE)</f>
        <v>0</v>
      </c>
      <c r="K259">
        <f>VLOOKUP(Table56[[#This Row],[Shortname]], Comp[], 10, FALSE)</f>
        <v>0</v>
      </c>
      <c r="L259">
        <f>VLOOKUP(Table56[[#This Row],[Shortname]], Comp[], 11, FALSE)</f>
        <v>2.7</v>
      </c>
      <c r="M259">
        <f>VLOOKUP(Table56[[#This Row],[Shortname]], Comp[],12, FALSE)</f>
        <v>13.2</v>
      </c>
      <c r="N259">
        <f>VLOOKUP(Table56[[#This Row],[Shortname]], Comp[], 13, FALSE)</f>
        <v>0</v>
      </c>
      <c r="O259">
        <f>VLOOKUP(Table56[[#This Row],[Shortname]], Comp[], 14, FALSE)</f>
        <v>0</v>
      </c>
      <c r="P259">
        <f>VLOOKUP(Table56[[#This Row],[Shortname]], Comp[], 15, FALSE)</f>
        <v>0</v>
      </c>
      <c r="Q259">
        <f>VLOOKUP(Table56[[#This Row],[Shortname]], Comp[], 16, FALSE)</f>
        <v>0</v>
      </c>
      <c r="R259">
        <f>VLOOKUP(Table56[[#This Row],[Shortname]], Comp[], 17, FALSE)</f>
        <v>0</v>
      </c>
      <c r="S259">
        <f>VLOOKUP(Table56[[#This Row],[Shortname]], Comp[], 18, FALSE)</f>
        <v>0</v>
      </c>
      <c r="T259">
        <f>VLOOKUP(Table56[[#This Row],[Shortname]], Comp[], 19, FALSE)</f>
        <v>0</v>
      </c>
      <c r="U259">
        <f>VLOOKUP(Table56[[#This Row],[Shortname]], Comp[], 20, FALSE)</f>
        <v>0</v>
      </c>
      <c r="V259">
        <f>VLOOKUP(Table56[[#This Row],[Shortname]], Comp[], 21, FALSE)</f>
        <v>0</v>
      </c>
      <c r="W259">
        <f>VLOOKUP(Table56[[#This Row],[Shortname]], Comp[], 22, FALSE)</f>
        <v>0</v>
      </c>
      <c r="X259">
        <f>VLOOKUP(Table56[[#This Row],[Shortname]], Comp[], 23, FALSE)</f>
        <v>0</v>
      </c>
      <c r="Y259">
        <f>VLOOKUP(Table56[[#This Row],[Shortname]], Comp[], 24, FALSE)</f>
        <v>0</v>
      </c>
      <c r="Z259">
        <f>VLOOKUP(Table56[[#This Row],[Shortname]], Comp[], 25, FALSE)</f>
        <v>0</v>
      </c>
      <c r="AA259">
        <f>VLOOKUP(Table56[[#This Row],[Shortname]], Comp[], 26, FALSE)</f>
        <v>0</v>
      </c>
      <c r="AB259">
        <f>VLOOKUP(Table56[[#This Row],[Shortname]], Comp[], 27, FALSE)</f>
        <v>0</v>
      </c>
      <c r="AC259">
        <f>VLOOKUP(Table56[[#This Row],[Shortname]], Comp[], 28, FALSE)</f>
        <v>0</v>
      </c>
      <c r="AD259">
        <f>VLOOKUP(Table56[[#This Row],[Shortname]], Comp[], 29, FALSE)</f>
        <v>0</v>
      </c>
      <c r="AE259">
        <f>VLOOKUP(Table56[[#This Row],[Shortname]], Comp[], 30, FALSE)</f>
        <v>0</v>
      </c>
      <c r="AF259">
        <f>VLOOKUP(Table56[[#This Row],[Shortname]], Comp[], 31, FALSE)</f>
        <v>0</v>
      </c>
    </row>
    <row r="260" spans="1:32" x14ac:dyDescent="0.3">
      <c r="A260" s="7" t="s">
        <v>4186</v>
      </c>
      <c r="B260" s="7" t="s">
        <v>4188</v>
      </c>
      <c r="C260" s="3" t="s">
        <v>4158</v>
      </c>
      <c r="D260">
        <v>1157</v>
      </c>
      <c r="E260">
        <v>1192</v>
      </c>
      <c r="F260">
        <v>1313</v>
      </c>
      <c r="H260" s="14">
        <f>VLOOKUP(Table56[[#This Row],[Shortname]], Comp[], 7, FALSE)</f>
        <v>78.2</v>
      </c>
      <c r="I260">
        <f>VLOOKUP(Table56[[#This Row],[Shortname]], Comp[], 8, FALSE)</f>
        <v>4.2</v>
      </c>
      <c r="J260">
        <f>VLOOKUP(Table56[[#This Row],[Shortname]], Comp[], 9, FALSE)</f>
        <v>0</v>
      </c>
      <c r="K260">
        <f>VLOOKUP(Table56[[#This Row],[Shortname]], Comp[], 10, FALSE)</f>
        <v>0</v>
      </c>
      <c r="L260">
        <f>VLOOKUP(Table56[[#This Row],[Shortname]], Comp[], 11, FALSE)</f>
        <v>4.9000000000000004</v>
      </c>
      <c r="M260">
        <f>VLOOKUP(Table56[[#This Row],[Shortname]], Comp[],12, FALSE)</f>
        <v>12.7</v>
      </c>
      <c r="N260">
        <f>VLOOKUP(Table56[[#This Row],[Shortname]], Comp[], 13, FALSE)</f>
        <v>0</v>
      </c>
      <c r="O260">
        <f>VLOOKUP(Table56[[#This Row],[Shortname]], Comp[], 14, FALSE)</f>
        <v>0</v>
      </c>
      <c r="P260">
        <f>VLOOKUP(Table56[[#This Row],[Shortname]], Comp[], 15, FALSE)</f>
        <v>0</v>
      </c>
      <c r="Q260">
        <f>VLOOKUP(Table56[[#This Row],[Shortname]], Comp[], 16, FALSE)</f>
        <v>0</v>
      </c>
      <c r="R260">
        <f>VLOOKUP(Table56[[#This Row],[Shortname]], Comp[], 17, FALSE)</f>
        <v>0</v>
      </c>
      <c r="S260">
        <f>VLOOKUP(Table56[[#This Row],[Shortname]], Comp[], 18, FALSE)</f>
        <v>0</v>
      </c>
      <c r="T260">
        <f>VLOOKUP(Table56[[#This Row],[Shortname]], Comp[], 19, FALSE)</f>
        <v>0</v>
      </c>
      <c r="U260">
        <f>VLOOKUP(Table56[[#This Row],[Shortname]], Comp[], 20, FALSE)</f>
        <v>0</v>
      </c>
      <c r="V260">
        <f>VLOOKUP(Table56[[#This Row],[Shortname]], Comp[], 21, FALSE)</f>
        <v>0</v>
      </c>
      <c r="W260">
        <f>VLOOKUP(Table56[[#This Row],[Shortname]], Comp[], 22, FALSE)</f>
        <v>0</v>
      </c>
      <c r="X260">
        <f>VLOOKUP(Table56[[#This Row],[Shortname]], Comp[], 23, FALSE)</f>
        <v>0</v>
      </c>
      <c r="Y260">
        <f>VLOOKUP(Table56[[#This Row],[Shortname]], Comp[], 24, FALSE)</f>
        <v>0</v>
      </c>
      <c r="Z260">
        <f>VLOOKUP(Table56[[#This Row],[Shortname]], Comp[], 25, FALSE)</f>
        <v>0</v>
      </c>
      <c r="AA260">
        <f>VLOOKUP(Table56[[#This Row],[Shortname]], Comp[], 26, FALSE)</f>
        <v>0</v>
      </c>
      <c r="AB260">
        <f>VLOOKUP(Table56[[#This Row],[Shortname]], Comp[], 27, FALSE)</f>
        <v>0</v>
      </c>
      <c r="AC260">
        <f>VLOOKUP(Table56[[#This Row],[Shortname]], Comp[], 28, FALSE)</f>
        <v>0</v>
      </c>
      <c r="AD260">
        <f>VLOOKUP(Table56[[#This Row],[Shortname]], Comp[], 29, FALSE)</f>
        <v>0</v>
      </c>
      <c r="AE260">
        <f>VLOOKUP(Table56[[#This Row],[Shortname]], Comp[], 30, FALSE)</f>
        <v>0</v>
      </c>
      <c r="AF260">
        <f>VLOOKUP(Table56[[#This Row],[Shortname]], Comp[], 31, FALSE)</f>
        <v>0</v>
      </c>
    </row>
    <row r="261" spans="1:32" x14ac:dyDescent="0.3">
      <c r="A261" s="7" t="s">
        <v>4171</v>
      </c>
      <c r="B261" s="7" t="s">
        <v>4173</v>
      </c>
      <c r="C261" s="3" t="s">
        <v>4158</v>
      </c>
      <c r="D261">
        <v>1153</v>
      </c>
      <c r="E261">
        <v>1202</v>
      </c>
      <c r="F261">
        <v>1311</v>
      </c>
      <c r="H261" s="14">
        <f>VLOOKUP(Table56[[#This Row],[Shortname]], Comp[], 7, FALSE)</f>
        <v>78.5</v>
      </c>
      <c r="I261">
        <f>VLOOKUP(Table56[[#This Row],[Shortname]], Comp[], 8, FALSE)</f>
        <v>0</v>
      </c>
      <c r="J261">
        <f>VLOOKUP(Table56[[#This Row],[Shortname]], Comp[], 9, FALSE)</f>
        <v>5.6</v>
      </c>
      <c r="K261">
        <f>VLOOKUP(Table56[[#This Row],[Shortname]], Comp[], 10, FALSE)</f>
        <v>0</v>
      </c>
      <c r="L261">
        <f>VLOOKUP(Table56[[#This Row],[Shortname]], Comp[], 11, FALSE)</f>
        <v>2.6</v>
      </c>
      <c r="M261">
        <f>VLOOKUP(Table56[[#This Row],[Shortname]], Comp[],12, FALSE)</f>
        <v>13.3</v>
      </c>
      <c r="N261">
        <f>VLOOKUP(Table56[[#This Row],[Shortname]], Comp[], 13, FALSE)</f>
        <v>0</v>
      </c>
      <c r="O261">
        <f>VLOOKUP(Table56[[#This Row],[Shortname]], Comp[], 14, FALSE)</f>
        <v>0</v>
      </c>
      <c r="P261">
        <f>VLOOKUP(Table56[[#This Row],[Shortname]], Comp[], 15, FALSE)</f>
        <v>0</v>
      </c>
      <c r="Q261">
        <f>VLOOKUP(Table56[[#This Row],[Shortname]], Comp[], 16, FALSE)</f>
        <v>0</v>
      </c>
      <c r="R261">
        <f>VLOOKUP(Table56[[#This Row],[Shortname]], Comp[], 17, FALSE)</f>
        <v>0</v>
      </c>
      <c r="S261">
        <f>VLOOKUP(Table56[[#This Row],[Shortname]], Comp[], 18, FALSE)</f>
        <v>0</v>
      </c>
      <c r="T261">
        <f>VLOOKUP(Table56[[#This Row],[Shortname]], Comp[], 19, FALSE)</f>
        <v>0</v>
      </c>
      <c r="U261">
        <f>VLOOKUP(Table56[[#This Row],[Shortname]], Comp[], 20, FALSE)</f>
        <v>0</v>
      </c>
      <c r="V261">
        <f>VLOOKUP(Table56[[#This Row],[Shortname]], Comp[], 21, FALSE)</f>
        <v>0</v>
      </c>
      <c r="W261">
        <f>VLOOKUP(Table56[[#This Row],[Shortname]], Comp[], 22, FALSE)</f>
        <v>0</v>
      </c>
      <c r="X261">
        <f>VLOOKUP(Table56[[#This Row],[Shortname]], Comp[], 23, FALSE)</f>
        <v>0</v>
      </c>
      <c r="Y261">
        <f>VLOOKUP(Table56[[#This Row],[Shortname]], Comp[], 24, FALSE)</f>
        <v>0</v>
      </c>
      <c r="Z261">
        <f>VLOOKUP(Table56[[#This Row],[Shortname]], Comp[], 25, FALSE)</f>
        <v>0</v>
      </c>
      <c r="AA261">
        <f>VLOOKUP(Table56[[#This Row],[Shortname]], Comp[], 26, FALSE)</f>
        <v>0</v>
      </c>
      <c r="AB261">
        <f>VLOOKUP(Table56[[#This Row],[Shortname]], Comp[], 27, FALSE)</f>
        <v>0</v>
      </c>
      <c r="AC261">
        <f>VLOOKUP(Table56[[#This Row],[Shortname]], Comp[], 28, FALSE)</f>
        <v>0</v>
      </c>
      <c r="AD261">
        <f>VLOOKUP(Table56[[#This Row],[Shortname]], Comp[], 29, FALSE)</f>
        <v>0</v>
      </c>
      <c r="AE261">
        <f>VLOOKUP(Table56[[#This Row],[Shortname]], Comp[], 30, FALSE)</f>
        <v>0</v>
      </c>
      <c r="AF261">
        <f>VLOOKUP(Table56[[#This Row],[Shortname]], Comp[], 31, FALSE)</f>
        <v>0</v>
      </c>
    </row>
    <row r="262" spans="1:32" x14ac:dyDescent="0.3">
      <c r="A262" s="7" t="s">
        <v>4155</v>
      </c>
      <c r="B262" s="7" t="s">
        <v>4157</v>
      </c>
      <c r="C262" s="3" t="s">
        <v>4158</v>
      </c>
      <c r="D262">
        <v>1144</v>
      </c>
      <c r="E262">
        <v>1216</v>
      </c>
      <c r="F262">
        <v>1318</v>
      </c>
      <c r="H262" s="14">
        <f>VLOOKUP(Table56[[#This Row],[Shortname]], Comp[], 7, FALSE)</f>
        <v>82.2</v>
      </c>
      <c r="I262">
        <f>VLOOKUP(Table56[[#This Row],[Shortname]], Comp[], 8, FALSE)</f>
        <v>0</v>
      </c>
      <c r="J262">
        <f>VLOOKUP(Table56[[#This Row],[Shortname]], Comp[], 9, FALSE)</f>
        <v>0</v>
      </c>
      <c r="K262">
        <f>VLOOKUP(Table56[[#This Row],[Shortname]], Comp[], 10, FALSE)</f>
        <v>0</v>
      </c>
      <c r="L262">
        <f>VLOOKUP(Table56[[#This Row],[Shortname]], Comp[], 11, FALSE)</f>
        <v>3.1</v>
      </c>
      <c r="M262">
        <f>VLOOKUP(Table56[[#This Row],[Shortname]], Comp[],12, FALSE)</f>
        <v>14.7</v>
      </c>
      <c r="N262">
        <f>VLOOKUP(Table56[[#This Row],[Shortname]], Comp[], 13, FALSE)</f>
        <v>0</v>
      </c>
      <c r="O262">
        <f>VLOOKUP(Table56[[#This Row],[Shortname]], Comp[], 14, FALSE)</f>
        <v>0</v>
      </c>
      <c r="P262">
        <f>VLOOKUP(Table56[[#This Row],[Shortname]], Comp[], 15, FALSE)</f>
        <v>0</v>
      </c>
      <c r="Q262">
        <f>VLOOKUP(Table56[[#This Row],[Shortname]], Comp[], 16, FALSE)</f>
        <v>0</v>
      </c>
      <c r="R262">
        <f>VLOOKUP(Table56[[#This Row],[Shortname]], Comp[], 17, FALSE)</f>
        <v>0</v>
      </c>
      <c r="S262">
        <f>VLOOKUP(Table56[[#This Row],[Shortname]], Comp[], 18, FALSE)</f>
        <v>0</v>
      </c>
      <c r="T262">
        <f>VLOOKUP(Table56[[#This Row],[Shortname]], Comp[], 19, FALSE)</f>
        <v>0</v>
      </c>
      <c r="U262">
        <f>VLOOKUP(Table56[[#This Row],[Shortname]], Comp[], 20, FALSE)</f>
        <v>0</v>
      </c>
      <c r="V262">
        <f>VLOOKUP(Table56[[#This Row],[Shortname]], Comp[], 21, FALSE)</f>
        <v>0</v>
      </c>
      <c r="W262">
        <f>VLOOKUP(Table56[[#This Row],[Shortname]], Comp[], 22, FALSE)</f>
        <v>0</v>
      </c>
      <c r="X262">
        <f>VLOOKUP(Table56[[#This Row],[Shortname]], Comp[], 23, FALSE)</f>
        <v>0</v>
      </c>
      <c r="Y262">
        <f>VLOOKUP(Table56[[#This Row],[Shortname]], Comp[], 24, FALSE)</f>
        <v>0</v>
      </c>
      <c r="Z262">
        <f>VLOOKUP(Table56[[#This Row],[Shortname]], Comp[], 25, FALSE)</f>
        <v>0</v>
      </c>
      <c r="AA262">
        <f>VLOOKUP(Table56[[#This Row],[Shortname]], Comp[], 26, FALSE)</f>
        <v>0</v>
      </c>
      <c r="AB262">
        <f>VLOOKUP(Table56[[#This Row],[Shortname]], Comp[], 27, FALSE)</f>
        <v>0</v>
      </c>
      <c r="AC262">
        <f>VLOOKUP(Table56[[#This Row],[Shortname]], Comp[], 28, FALSE)</f>
        <v>0</v>
      </c>
      <c r="AD262">
        <f>VLOOKUP(Table56[[#This Row],[Shortname]], Comp[], 29, FALSE)</f>
        <v>0</v>
      </c>
      <c r="AE262">
        <f>VLOOKUP(Table56[[#This Row],[Shortname]], Comp[], 30, FALSE)</f>
        <v>0</v>
      </c>
      <c r="AF262">
        <f>VLOOKUP(Table56[[#This Row],[Shortname]], Comp[], 31, FALSE)</f>
        <v>0</v>
      </c>
    </row>
    <row r="263" spans="1:32" x14ac:dyDescent="0.3">
      <c r="A263" s="7" t="s">
        <v>4232</v>
      </c>
      <c r="B263" s="7" t="s">
        <v>4234</v>
      </c>
      <c r="C263" s="11" t="s">
        <v>6633</v>
      </c>
      <c r="D263">
        <v>1135</v>
      </c>
      <c r="E263">
        <v>1153</v>
      </c>
      <c r="F263">
        <v>1327</v>
      </c>
      <c r="H263" s="14">
        <f>VLOOKUP(Table56[[#This Row],[Shortname]], Comp[], 7, FALSE)</f>
        <v>74</v>
      </c>
      <c r="I263">
        <f>VLOOKUP(Table56[[#This Row],[Shortname]], Comp[], 8, FALSE)</f>
        <v>0</v>
      </c>
      <c r="J263">
        <f>VLOOKUP(Table56[[#This Row],[Shortname]], Comp[], 9, FALSE)</f>
        <v>0</v>
      </c>
      <c r="K263">
        <f>VLOOKUP(Table56[[#This Row],[Shortname]], Comp[], 10, FALSE)</f>
        <v>15</v>
      </c>
      <c r="L263">
        <f>VLOOKUP(Table56[[#This Row],[Shortname]], Comp[], 11, FALSE)</f>
        <v>0</v>
      </c>
      <c r="M263">
        <f>VLOOKUP(Table56[[#This Row],[Shortname]], Comp[],12, FALSE)</f>
        <v>11</v>
      </c>
      <c r="N263">
        <f>VLOOKUP(Table56[[#This Row],[Shortname]], Comp[], 13, FALSE)</f>
        <v>0</v>
      </c>
      <c r="O263">
        <f>VLOOKUP(Table56[[#This Row],[Shortname]], Comp[], 14, FALSE)</f>
        <v>0</v>
      </c>
      <c r="P263">
        <f>VLOOKUP(Table56[[#This Row],[Shortname]], Comp[], 15, FALSE)</f>
        <v>0</v>
      </c>
      <c r="Q263">
        <f>VLOOKUP(Table56[[#This Row],[Shortname]], Comp[], 16, FALSE)</f>
        <v>0</v>
      </c>
      <c r="R263">
        <f>VLOOKUP(Table56[[#This Row],[Shortname]], Comp[], 17, FALSE)</f>
        <v>0</v>
      </c>
      <c r="S263">
        <f>VLOOKUP(Table56[[#This Row],[Shortname]], Comp[], 18, FALSE)</f>
        <v>0</v>
      </c>
      <c r="T263">
        <f>VLOOKUP(Table56[[#This Row],[Shortname]], Comp[], 19, FALSE)</f>
        <v>0</v>
      </c>
      <c r="U263">
        <f>VLOOKUP(Table56[[#This Row],[Shortname]], Comp[], 20, FALSE)</f>
        <v>0</v>
      </c>
      <c r="V263">
        <f>VLOOKUP(Table56[[#This Row],[Shortname]], Comp[], 21, FALSE)</f>
        <v>0</v>
      </c>
      <c r="W263">
        <f>VLOOKUP(Table56[[#This Row],[Shortname]], Comp[], 22, FALSE)</f>
        <v>0</v>
      </c>
      <c r="X263">
        <f>VLOOKUP(Table56[[#This Row],[Shortname]], Comp[], 23, FALSE)</f>
        <v>0</v>
      </c>
      <c r="Y263">
        <f>VLOOKUP(Table56[[#This Row],[Shortname]], Comp[], 24, FALSE)</f>
        <v>0</v>
      </c>
      <c r="Z263">
        <f>VLOOKUP(Table56[[#This Row],[Shortname]], Comp[], 25, FALSE)</f>
        <v>0</v>
      </c>
      <c r="AA263">
        <f>VLOOKUP(Table56[[#This Row],[Shortname]], Comp[], 26, FALSE)</f>
        <v>0</v>
      </c>
      <c r="AB263">
        <f>VLOOKUP(Table56[[#This Row],[Shortname]], Comp[], 27, FALSE)</f>
        <v>0</v>
      </c>
      <c r="AC263">
        <f>VLOOKUP(Table56[[#This Row],[Shortname]], Comp[], 28, FALSE)</f>
        <v>0</v>
      </c>
      <c r="AD263">
        <f>VLOOKUP(Table56[[#This Row],[Shortname]], Comp[], 29, FALSE)</f>
        <v>0</v>
      </c>
      <c r="AE263">
        <f>VLOOKUP(Table56[[#This Row],[Shortname]], Comp[], 30, FALSE)</f>
        <v>0</v>
      </c>
      <c r="AF263">
        <f>VLOOKUP(Table56[[#This Row],[Shortname]], Comp[], 31, FALSE)</f>
        <v>0</v>
      </c>
    </row>
    <row r="264" spans="1:32" x14ac:dyDescent="0.3">
      <c r="A264" s="7" t="s">
        <v>4240</v>
      </c>
      <c r="B264" s="7" t="s">
        <v>4242</v>
      </c>
      <c r="C264" s="3" t="s">
        <v>4243</v>
      </c>
      <c r="D264">
        <v>1038</v>
      </c>
      <c r="E264">
        <v>1410</v>
      </c>
      <c r="F264">
        <v>1452</v>
      </c>
      <c r="H264" s="14">
        <f>VLOOKUP(Table56[[#This Row],[Shortname]], Comp[], 7, FALSE)</f>
        <v>36.46</v>
      </c>
      <c r="I264">
        <f>VLOOKUP(Table56[[#This Row],[Shortname]], Comp[], 8, FALSE)</f>
        <v>37.5</v>
      </c>
      <c r="J264">
        <f>VLOOKUP(Table56[[#This Row],[Shortname]], Comp[], 9, FALSE)</f>
        <v>9</v>
      </c>
      <c r="K264">
        <f>VLOOKUP(Table56[[#This Row],[Shortname]], Comp[], 10, FALSE)</f>
        <v>8</v>
      </c>
      <c r="L264">
        <f>VLOOKUP(Table56[[#This Row],[Shortname]], Comp[], 11, FALSE)</f>
        <v>9</v>
      </c>
      <c r="M264">
        <f>VLOOKUP(Table56[[#This Row],[Shortname]], Comp[],12, FALSE)</f>
        <v>0</v>
      </c>
      <c r="N264">
        <f>VLOOKUP(Table56[[#This Row],[Shortname]], Comp[], 13, FALSE)</f>
        <v>0</v>
      </c>
      <c r="O264">
        <f>VLOOKUP(Table56[[#This Row],[Shortname]], Comp[], 14, FALSE)</f>
        <v>0</v>
      </c>
      <c r="P264">
        <f>VLOOKUP(Table56[[#This Row],[Shortname]], Comp[], 15, FALSE)</f>
        <v>0</v>
      </c>
      <c r="Q264">
        <f>VLOOKUP(Table56[[#This Row],[Shortname]], Comp[], 16, FALSE)</f>
        <v>0</v>
      </c>
      <c r="R264">
        <f>VLOOKUP(Table56[[#This Row],[Shortname]], Comp[], 17, FALSE)</f>
        <v>0</v>
      </c>
      <c r="S264">
        <f>VLOOKUP(Table56[[#This Row],[Shortname]], Comp[], 18, FALSE)</f>
        <v>0</v>
      </c>
      <c r="T264">
        <f>VLOOKUP(Table56[[#This Row],[Shortname]], Comp[], 19, FALSE)</f>
        <v>0.04</v>
      </c>
      <c r="U264">
        <f>VLOOKUP(Table56[[#This Row],[Shortname]], Comp[], 20, FALSE)</f>
        <v>0</v>
      </c>
      <c r="V264">
        <f>VLOOKUP(Table56[[#This Row],[Shortname]], Comp[], 21, FALSE)</f>
        <v>0</v>
      </c>
      <c r="W264">
        <f>VLOOKUP(Table56[[#This Row],[Shortname]], Comp[], 22, FALSE)</f>
        <v>0</v>
      </c>
      <c r="X264">
        <f>VLOOKUP(Table56[[#This Row],[Shortname]], Comp[], 23, FALSE)</f>
        <v>0</v>
      </c>
      <c r="Y264">
        <f>VLOOKUP(Table56[[#This Row],[Shortname]], Comp[], 24, FALSE)</f>
        <v>0</v>
      </c>
      <c r="Z264">
        <f>VLOOKUP(Table56[[#This Row],[Shortname]], Comp[], 25, FALSE)</f>
        <v>0</v>
      </c>
      <c r="AA264">
        <f>VLOOKUP(Table56[[#This Row],[Shortname]], Comp[], 26, FALSE)</f>
        <v>0</v>
      </c>
      <c r="AB264">
        <f>VLOOKUP(Table56[[#This Row],[Shortname]], Comp[], 27, FALSE)</f>
        <v>0</v>
      </c>
      <c r="AC264">
        <f>VLOOKUP(Table56[[#This Row],[Shortname]], Comp[], 28, FALSE)</f>
        <v>0</v>
      </c>
      <c r="AD264">
        <f>VLOOKUP(Table56[[#This Row],[Shortname]], Comp[], 29, FALSE)</f>
        <v>0</v>
      </c>
      <c r="AE264">
        <f>VLOOKUP(Table56[[#This Row],[Shortname]], Comp[], 30, FALSE)</f>
        <v>0</v>
      </c>
      <c r="AF264">
        <f>VLOOKUP(Table56[[#This Row],[Shortname]], Comp[], 31, FALSE)</f>
        <v>0</v>
      </c>
    </row>
    <row r="265" spans="1:32" x14ac:dyDescent="0.3">
      <c r="A265" s="7" t="s">
        <v>4248</v>
      </c>
      <c r="B265" s="7" t="s">
        <v>4250</v>
      </c>
      <c r="C265" s="3" t="s">
        <v>4243</v>
      </c>
      <c r="D265">
        <v>975</v>
      </c>
      <c r="E265">
        <v>1412</v>
      </c>
      <c r="F265">
        <v>1454</v>
      </c>
      <c r="H265" s="14">
        <f>VLOOKUP(Table56[[#This Row],[Shortname]], Comp[], 7, FALSE)</f>
        <v>55.160000000000004</v>
      </c>
      <c r="I265">
        <f>VLOOKUP(Table56[[#This Row],[Shortname]], Comp[], 8, FALSE)</f>
        <v>18.8</v>
      </c>
      <c r="J265">
        <f>VLOOKUP(Table56[[#This Row],[Shortname]], Comp[], 9, FALSE)</f>
        <v>9</v>
      </c>
      <c r="K265">
        <f>VLOOKUP(Table56[[#This Row],[Shortname]], Comp[], 10, FALSE)</f>
        <v>8</v>
      </c>
      <c r="L265">
        <f>VLOOKUP(Table56[[#This Row],[Shortname]], Comp[], 11, FALSE)</f>
        <v>9</v>
      </c>
      <c r="M265">
        <f>VLOOKUP(Table56[[#This Row],[Shortname]], Comp[],12, FALSE)</f>
        <v>0</v>
      </c>
      <c r="N265">
        <f>VLOOKUP(Table56[[#This Row],[Shortname]], Comp[], 13, FALSE)</f>
        <v>0</v>
      </c>
      <c r="O265">
        <f>VLOOKUP(Table56[[#This Row],[Shortname]], Comp[], 14, FALSE)</f>
        <v>0</v>
      </c>
      <c r="P265">
        <f>VLOOKUP(Table56[[#This Row],[Shortname]], Comp[], 15, FALSE)</f>
        <v>0</v>
      </c>
      <c r="Q265">
        <f>VLOOKUP(Table56[[#This Row],[Shortname]], Comp[], 16, FALSE)</f>
        <v>0</v>
      </c>
      <c r="R265">
        <f>VLOOKUP(Table56[[#This Row],[Shortname]], Comp[], 17, FALSE)</f>
        <v>0</v>
      </c>
      <c r="S265">
        <f>VLOOKUP(Table56[[#This Row],[Shortname]], Comp[], 18, FALSE)</f>
        <v>0</v>
      </c>
      <c r="T265">
        <f>VLOOKUP(Table56[[#This Row],[Shortname]], Comp[], 19, FALSE)</f>
        <v>0.04</v>
      </c>
      <c r="U265">
        <f>VLOOKUP(Table56[[#This Row],[Shortname]], Comp[], 20, FALSE)</f>
        <v>0</v>
      </c>
      <c r="V265">
        <f>VLOOKUP(Table56[[#This Row],[Shortname]], Comp[], 21, FALSE)</f>
        <v>0</v>
      </c>
      <c r="W265">
        <f>VLOOKUP(Table56[[#This Row],[Shortname]], Comp[], 22, FALSE)</f>
        <v>0</v>
      </c>
      <c r="X265">
        <f>VLOOKUP(Table56[[#This Row],[Shortname]], Comp[], 23, FALSE)</f>
        <v>0</v>
      </c>
      <c r="Y265">
        <f>VLOOKUP(Table56[[#This Row],[Shortname]], Comp[], 24, FALSE)</f>
        <v>0</v>
      </c>
      <c r="Z265">
        <f>VLOOKUP(Table56[[#This Row],[Shortname]], Comp[], 25, FALSE)</f>
        <v>0</v>
      </c>
      <c r="AA265">
        <f>VLOOKUP(Table56[[#This Row],[Shortname]], Comp[], 26, FALSE)</f>
        <v>0</v>
      </c>
      <c r="AB265">
        <f>VLOOKUP(Table56[[#This Row],[Shortname]], Comp[], 27, FALSE)</f>
        <v>0</v>
      </c>
      <c r="AC265">
        <f>VLOOKUP(Table56[[#This Row],[Shortname]], Comp[], 28, FALSE)</f>
        <v>0</v>
      </c>
      <c r="AD265">
        <f>VLOOKUP(Table56[[#This Row],[Shortname]], Comp[], 29, FALSE)</f>
        <v>0</v>
      </c>
      <c r="AE265">
        <f>VLOOKUP(Table56[[#This Row],[Shortname]], Comp[], 30, FALSE)</f>
        <v>0</v>
      </c>
      <c r="AF265">
        <f>VLOOKUP(Table56[[#This Row],[Shortname]], Comp[], 31, FALSE)</f>
        <v>0</v>
      </c>
    </row>
    <row r="266" spans="1:32" x14ac:dyDescent="0.3">
      <c r="A266" s="7" t="s">
        <v>4255</v>
      </c>
      <c r="B266" s="7" t="s">
        <v>4256</v>
      </c>
      <c r="C266" s="3" t="s">
        <v>4243</v>
      </c>
      <c r="D266">
        <v>951</v>
      </c>
      <c r="E266">
        <v>1413</v>
      </c>
      <c r="F266">
        <v>1456</v>
      </c>
      <c r="H266" s="14">
        <f>VLOOKUP(Table56[[#This Row],[Shortname]], Comp[], 7, FALSE)</f>
        <v>73.960000000000008</v>
      </c>
      <c r="I266">
        <f>VLOOKUP(Table56[[#This Row],[Shortname]], Comp[], 8, FALSE)</f>
        <v>0</v>
      </c>
      <c r="J266">
        <f>VLOOKUP(Table56[[#This Row],[Shortname]], Comp[], 9, FALSE)</f>
        <v>9</v>
      </c>
      <c r="K266">
        <f>VLOOKUP(Table56[[#This Row],[Shortname]], Comp[], 10, FALSE)</f>
        <v>8</v>
      </c>
      <c r="L266">
        <f>VLOOKUP(Table56[[#This Row],[Shortname]], Comp[], 11, FALSE)</f>
        <v>9</v>
      </c>
      <c r="M266">
        <f>VLOOKUP(Table56[[#This Row],[Shortname]], Comp[],12, FALSE)</f>
        <v>0</v>
      </c>
      <c r="N266">
        <f>VLOOKUP(Table56[[#This Row],[Shortname]], Comp[], 13, FALSE)</f>
        <v>0</v>
      </c>
      <c r="O266">
        <f>VLOOKUP(Table56[[#This Row],[Shortname]], Comp[], 14, FALSE)</f>
        <v>0</v>
      </c>
      <c r="P266">
        <f>VLOOKUP(Table56[[#This Row],[Shortname]], Comp[], 15, FALSE)</f>
        <v>0</v>
      </c>
      <c r="Q266">
        <f>VLOOKUP(Table56[[#This Row],[Shortname]], Comp[], 16, FALSE)</f>
        <v>0</v>
      </c>
      <c r="R266">
        <f>VLOOKUP(Table56[[#This Row],[Shortname]], Comp[], 17, FALSE)</f>
        <v>0</v>
      </c>
      <c r="S266">
        <f>VLOOKUP(Table56[[#This Row],[Shortname]], Comp[], 18, FALSE)</f>
        <v>0</v>
      </c>
      <c r="T266">
        <f>VLOOKUP(Table56[[#This Row],[Shortname]], Comp[], 19, FALSE)</f>
        <v>0.04</v>
      </c>
      <c r="U266">
        <f>VLOOKUP(Table56[[#This Row],[Shortname]], Comp[], 20, FALSE)</f>
        <v>0</v>
      </c>
      <c r="V266">
        <f>VLOOKUP(Table56[[#This Row],[Shortname]], Comp[], 21, FALSE)</f>
        <v>0</v>
      </c>
      <c r="W266">
        <f>VLOOKUP(Table56[[#This Row],[Shortname]], Comp[], 22, FALSE)</f>
        <v>0</v>
      </c>
      <c r="X266">
        <f>VLOOKUP(Table56[[#This Row],[Shortname]], Comp[], 23, FALSE)</f>
        <v>0</v>
      </c>
      <c r="Y266">
        <f>VLOOKUP(Table56[[#This Row],[Shortname]], Comp[], 24, FALSE)</f>
        <v>0</v>
      </c>
      <c r="Z266">
        <f>VLOOKUP(Table56[[#This Row],[Shortname]], Comp[], 25, FALSE)</f>
        <v>0</v>
      </c>
      <c r="AA266">
        <f>VLOOKUP(Table56[[#This Row],[Shortname]], Comp[], 26, FALSE)</f>
        <v>0</v>
      </c>
      <c r="AB266">
        <f>VLOOKUP(Table56[[#This Row],[Shortname]], Comp[], 27, FALSE)</f>
        <v>0</v>
      </c>
      <c r="AC266">
        <f>VLOOKUP(Table56[[#This Row],[Shortname]], Comp[], 28, FALSE)</f>
        <v>0</v>
      </c>
      <c r="AD266">
        <f>VLOOKUP(Table56[[#This Row],[Shortname]], Comp[], 29, FALSE)</f>
        <v>0</v>
      </c>
      <c r="AE266">
        <f>VLOOKUP(Table56[[#This Row],[Shortname]], Comp[], 30, FALSE)</f>
        <v>0</v>
      </c>
      <c r="AF266">
        <f>VLOOKUP(Table56[[#This Row],[Shortname]], Comp[], 31, FALSE)</f>
        <v>0</v>
      </c>
    </row>
    <row r="267" spans="1:32" x14ac:dyDescent="0.3">
      <c r="A267" s="7" t="s">
        <v>4280</v>
      </c>
      <c r="B267" s="7" t="s">
        <v>4282</v>
      </c>
      <c r="C267" t="s">
        <v>6634</v>
      </c>
      <c r="D267">
        <v>1040</v>
      </c>
      <c r="E267">
        <v>1410</v>
      </c>
      <c r="F267">
        <v>1452</v>
      </c>
      <c r="H267" s="14">
        <f>VLOOKUP(Table56[[#This Row],[Shortname]], Comp[], 7, FALSE)</f>
        <v>38.160000000000004</v>
      </c>
      <c r="I267">
        <f>VLOOKUP(Table56[[#This Row],[Shortname]], Comp[], 8, FALSE)</f>
        <v>37.5</v>
      </c>
      <c r="J267">
        <f>VLOOKUP(Table56[[#This Row],[Shortname]], Comp[], 9, FALSE)</f>
        <v>9</v>
      </c>
      <c r="K267">
        <f>VLOOKUP(Table56[[#This Row],[Shortname]], Comp[], 10, FALSE)</f>
        <v>8</v>
      </c>
      <c r="L267">
        <f>VLOOKUP(Table56[[#This Row],[Shortname]], Comp[], 11, FALSE)</f>
        <v>7.3</v>
      </c>
      <c r="M267">
        <f>VLOOKUP(Table56[[#This Row],[Shortname]], Comp[],12, FALSE)</f>
        <v>0</v>
      </c>
      <c r="N267">
        <f>VLOOKUP(Table56[[#This Row],[Shortname]], Comp[], 13, FALSE)</f>
        <v>0</v>
      </c>
      <c r="O267">
        <f>VLOOKUP(Table56[[#This Row],[Shortname]], Comp[], 14, FALSE)</f>
        <v>0</v>
      </c>
      <c r="P267">
        <f>VLOOKUP(Table56[[#This Row],[Shortname]], Comp[], 15, FALSE)</f>
        <v>0</v>
      </c>
      <c r="Q267">
        <f>VLOOKUP(Table56[[#This Row],[Shortname]], Comp[], 16, FALSE)</f>
        <v>0</v>
      </c>
      <c r="R267">
        <f>VLOOKUP(Table56[[#This Row],[Shortname]], Comp[], 17, FALSE)</f>
        <v>0</v>
      </c>
      <c r="S267">
        <f>VLOOKUP(Table56[[#This Row],[Shortname]], Comp[], 18, FALSE)</f>
        <v>0</v>
      </c>
      <c r="T267">
        <f>VLOOKUP(Table56[[#This Row],[Shortname]], Comp[], 19, FALSE)</f>
        <v>0.04</v>
      </c>
      <c r="U267">
        <f>VLOOKUP(Table56[[#This Row],[Shortname]], Comp[], 20, FALSE)</f>
        <v>0</v>
      </c>
      <c r="V267">
        <f>VLOOKUP(Table56[[#This Row],[Shortname]], Comp[], 21, FALSE)</f>
        <v>0</v>
      </c>
      <c r="W267">
        <f>VLOOKUP(Table56[[#This Row],[Shortname]], Comp[], 22, FALSE)</f>
        <v>0</v>
      </c>
      <c r="X267">
        <f>VLOOKUP(Table56[[#This Row],[Shortname]], Comp[], 23, FALSE)</f>
        <v>0</v>
      </c>
      <c r="Y267">
        <f>VLOOKUP(Table56[[#This Row],[Shortname]], Comp[], 24, FALSE)</f>
        <v>0</v>
      </c>
      <c r="Z267">
        <f>VLOOKUP(Table56[[#This Row],[Shortname]], Comp[], 25, FALSE)</f>
        <v>0</v>
      </c>
      <c r="AA267">
        <f>VLOOKUP(Table56[[#This Row],[Shortname]], Comp[], 26, FALSE)</f>
        <v>0</v>
      </c>
      <c r="AB267">
        <f>VLOOKUP(Table56[[#This Row],[Shortname]], Comp[], 27, FALSE)</f>
        <v>0</v>
      </c>
      <c r="AC267">
        <f>VLOOKUP(Table56[[#This Row],[Shortname]], Comp[], 28, FALSE)</f>
        <v>0</v>
      </c>
      <c r="AD267">
        <f>VLOOKUP(Table56[[#This Row],[Shortname]], Comp[], 29, FALSE)</f>
        <v>0</v>
      </c>
      <c r="AE267">
        <f>VLOOKUP(Table56[[#This Row],[Shortname]], Comp[], 30, FALSE)</f>
        <v>0</v>
      </c>
      <c r="AF267">
        <f>VLOOKUP(Table56[[#This Row],[Shortname]], Comp[], 31, FALSE)</f>
        <v>0</v>
      </c>
    </row>
    <row r="268" spans="1:32" x14ac:dyDescent="0.3">
      <c r="A268" s="7" t="s">
        <v>4260</v>
      </c>
      <c r="B268" s="7" t="s">
        <v>4262</v>
      </c>
      <c r="C268" t="s">
        <v>6634</v>
      </c>
      <c r="D268">
        <v>1027</v>
      </c>
      <c r="E268">
        <v>1445</v>
      </c>
      <c r="F268">
        <v>1479</v>
      </c>
      <c r="H268" s="14">
        <f>VLOOKUP(Table56[[#This Row],[Shortname]], Comp[], 7, FALSE)</f>
        <v>41.48</v>
      </c>
      <c r="I268">
        <f>VLOOKUP(Table56[[#This Row],[Shortname]], Comp[], 8, FALSE)</f>
        <v>41.5</v>
      </c>
      <c r="J268">
        <f>VLOOKUP(Table56[[#This Row],[Shortname]], Comp[], 9, FALSE)</f>
        <v>9.6</v>
      </c>
      <c r="K268">
        <f>VLOOKUP(Table56[[#This Row],[Shortname]], Comp[], 10, FALSE)</f>
        <v>0</v>
      </c>
      <c r="L268">
        <f>VLOOKUP(Table56[[#This Row],[Shortname]], Comp[], 11, FALSE)</f>
        <v>7.38</v>
      </c>
      <c r="M268">
        <f>VLOOKUP(Table56[[#This Row],[Shortname]], Comp[],12, FALSE)</f>
        <v>0</v>
      </c>
      <c r="N268">
        <f>VLOOKUP(Table56[[#This Row],[Shortname]], Comp[], 13, FALSE)</f>
        <v>0</v>
      </c>
      <c r="O268">
        <f>VLOOKUP(Table56[[#This Row],[Shortname]], Comp[], 14, FALSE)</f>
        <v>0</v>
      </c>
      <c r="P268">
        <f>VLOOKUP(Table56[[#This Row],[Shortname]], Comp[], 15, FALSE)</f>
        <v>0</v>
      </c>
      <c r="Q268">
        <f>VLOOKUP(Table56[[#This Row],[Shortname]], Comp[], 16, FALSE)</f>
        <v>0</v>
      </c>
      <c r="R268">
        <f>VLOOKUP(Table56[[#This Row],[Shortname]], Comp[], 17, FALSE)</f>
        <v>0</v>
      </c>
      <c r="S268">
        <f>VLOOKUP(Table56[[#This Row],[Shortname]], Comp[], 18, FALSE)</f>
        <v>0</v>
      </c>
      <c r="T268">
        <f>VLOOKUP(Table56[[#This Row],[Shortname]], Comp[], 19, FALSE)</f>
        <v>0.04</v>
      </c>
      <c r="U268">
        <f>VLOOKUP(Table56[[#This Row],[Shortname]], Comp[], 20, FALSE)</f>
        <v>0</v>
      </c>
      <c r="V268">
        <f>VLOOKUP(Table56[[#This Row],[Shortname]], Comp[], 21, FALSE)</f>
        <v>0</v>
      </c>
      <c r="W268">
        <f>VLOOKUP(Table56[[#This Row],[Shortname]], Comp[], 22, FALSE)</f>
        <v>0</v>
      </c>
      <c r="X268">
        <f>VLOOKUP(Table56[[#This Row],[Shortname]], Comp[], 23, FALSE)</f>
        <v>0</v>
      </c>
      <c r="Y268">
        <f>VLOOKUP(Table56[[#This Row],[Shortname]], Comp[], 24, FALSE)</f>
        <v>0</v>
      </c>
      <c r="Z268">
        <f>VLOOKUP(Table56[[#This Row],[Shortname]], Comp[], 25, FALSE)</f>
        <v>0</v>
      </c>
      <c r="AA268">
        <f>VLOOKUP(Table56[[#This Row],[Shortname]], Comp[], 26, FALSE)</f>
        <v>0</v>
      </c>
      <c r="AB268">
        <f>VLOOKUP(Table56[[#This Row],[Shortname]], Comp[], 27, FALSE)</f>
        <v>0</v>
      </c>
      <c r="AC268">
        <f>VLOOKUP(Table56[[#This Row],[Shortname]], Comp[], 28, FALSE)</f>
        <v>0</v>
      </c>
      <c r="AD268">
        <f>VLOOKUP(Table56[[#This Row],[Shortname]], Comp[], 29, FALSE)</f>
        <v>0</v>
      </c>
      <c r="AE268">
        <f>VLOOKUP(Table56[[#This Row],[Shortname]], Comp[], 30, FALSE)</f>
        <v>0</v>
      </c>
      <c r="AF268">
        <f>VLOOKUP(Table56[[#This Row],[Shortname]], Comp[], 31, FALSE)</f>
        <v>0</v>
      </c>
    </row>
    <row r="269" spans="1:32" x14ac:dyDescent="0.3">
      <c r="A269" s="7" t="s">
        <v>4268</v>
      </c>
      <c r="B269" s="7" t="s">
        <v>4270</v>
      </c>
      <c r="C269" t="s">
        <v>6634</v>
      </c>
      <c r="D269">
        <v>984</v>
      </c>
      <c r="E269">
        <v>1447</v>
      </c>
      <c r="F269">
        <v>1477</v>
      </c>
      <c r="H269" s="14">
        <f>VLOOKUP(Table56[[#This Row],[Shortname]], Comp[], 7, FALSE)</f>
        <v>62.6</v>
      </c>
      <c r="I269">
        <f>VLOOKUP(Table56[[#This Row],[Shortname]], Comp[], 8, FALSE)</f>
        <v>20.75</v>
      </c>
      <c r="J269">
        <f>VLOOKUP(Table56[[#This Row],[Shortname]], Comp[], 9, FALSE)</f>
        <v>9.1999999999999993</v>
      </c>
      <c r="K269">
        <f>VLOOKUP(Table56[[#This Row],[Shortname]], Comp[], 10, FALSE)</f>
        <v>0</v>
      </c>
      <c r="L269">
        <f>VLOOKUP(Table56[[#This Row],[Shortname]], Comp[], 11, FALSE)</f>
        <v>7.41</v>
      </c>
      <c r="M269">
        <f>VLOOKUP(Table56[[#This Row],[Shortname]], Comp[],12, FALSE)</f>
        <v>0</v>
      </c>
      <c r="N269">
        <f>VLOOKUP(Table56[[#This Row],[Shortname]], Comp[], 13, FALSE)</f>
        <v>0</v>
      </c>
      <c r="O269">
        <f>VLOOKUP(Table56[[#This Row],[Shortname]], Comp[], 14, FALSE)</f>
        <v>0</v>
      </c>
      <c r="P269">
        <f>VLOOKUP(Table56[[#This Row],[Shortname]], Comp[], 15, FALSE)</f>
        <v>0</v>
      </c>
      <c r="Q269">
        <f>VLOOKUP(Table56[[#This Row],[Shortname]], Comp[], 16, FALSE)</f>
        <v>0</v>
      </c>
      <c r="R269">
        <f>VLOOKUP(Table56[[#This Row],[Shortname]], Comp[], 17, FALSE)</f>
        <v>0</v>
      </c>
      <c r="S269">
        <f>VLOOKUP(Table56[[#This Row],[Shortname]], Comp[], 18, FALSE)</f>
        <v>0</v>
      </c>
      <c r="T269">
        <f>VLOOKUP(Table56[[#This Row],[Shortname]], Comp[], 19, FALSE)</f>
        <v>0.04</v>
      </c>
      <c r="U269">
        <f>VLOOKUP(Table56[[#This Row],[Shortname]], Comp[], 20, FALSE)</f>
        <v>0</v>
      </c>
      <c r="V269">
        <f>VLOOKUP(Table56[[#This Row],[Shortname]], Comp[], 21, FALSE)</f>
        <v>0</v>
      </c>
      <c r="W269">
        <f>VLOOKUP(Table56[[#This Row],[Shortname]], Comp[], 22, FALSE)</f>
        <v>0</v>
      </c>
      <c r="X269">
        <f>VLOOKUP(Table56[[#This Row],[Shortname]], Comp[], 23, FALSE)</f>
        <v>0</v>
      </c>
      <c r="Y269">
        <f>VLOOKUP(Table56[[#This Row],[Shortname]], Comp[], 24, FALSE)</f>
        <v>0</v>
      </c>
      <c r="Z269">
        <f>VLOOKUP(Table56[[#This Row],[Shortname]], Comp[], 25, FALSE)</f>
        <v>0</v>
      </c>
      <c r="AA269">
        <f>VLOOKUP(Table56[[#This Row],[Shortname]], Comp[], 26, FALSE)</f>
        <v>0</v>
      </c>
      <c r="AB269">
        <f>VLOOKUP(Table56[[#This Row],[Shortname]], Comp[], 27, FALSE)</f>
        <v>0</v>
      </c>
      <c r="AC269">
        <f>VLOOKUP(Table56[[#This Row],[Shortname]], Comp[], 28, FALSE)</f>
        <v>0</v>
      </c>
      <c r="AD269">
        <f>VLOOKUP(Table56[[#This Row],[Shortname]], Comp[], 29, FALSE)</f>
        <v>0</v>
      </c>
      <c r="AE269">
        <f>VLOOKUP(Table56[[#This Row],[Shortname]], Comp[], 30, FALSE)</f>
        <v>0</v>
      </c>
      <c r="AF269">
        <f>VLOOKUP(Table56[[#This Row],[Shortname]], Comp[], 31, FALSE)</f>
        <v>0</v>
      </c>
    </row>
    <row r="270" spans="1:32" x14ac:dyDescent="0.3">
      <c r="A270" s="7" t="s">
        <v>4286</v>
      </c>
      <c r="B270" s="7" t="s">
        <v>4288</v>
      </c>
      <c r="C270" t="s">
        <v>6634</v>
      </c>
      <c r="D270">
        <v>975</v>
      </c>
      <c r="E270">
        <v>1422</v>
      </c>
      <c r="F270">
        <v>1455</v>
      </c>
      <c r="H270" s="14">
        <f>VLOOKUP(Table56[[#This Row],[Shortname]], Comp[], 7, FALSE)</f>
        <v>56.41</v>
      </c>
      <c r="I270">
        <f>VLOOKUP(Table56[[#This Row],[Shortname]], Comp[], 8, FALSE)</f>
        <v>18.75</v>
      </c>
      <c r="J270">
        <f>VLOOKUP(Table56[[#This Row],[Shortname]], Comp[], 9, FALSE)</f>
        <v>9.1999999999999993</v>
      </c>
      <c r="K270">
        <f>VLOOKUP(Table56[[#This Row],[Shortname]], Comp[], 10, FALSE)</f>
        <v>8</v>
      </c>
      <c r="L270">
        <f>VLOOKUP(Table56[[#This Row],[Shortname]], Comp[], 11, FALSE)</f>
        <v>7.6</v>
      </c>
      <c r="M270">
        <f>VLOOKUP(Table56[[#This Row],[Shortname]], Comp[],12, FALSE)</f>
        <v>0</v>
      </c>
      <c r="N270">
        <f>VLOOKUP(Table56[[#This Row],[Shortname]], Comp[], 13, FALSE)</f>
        <v>0</v>
      </c>
      <c r="O270">
        <f>VLOOKUP(Table56[[#This Row],[Shortname]], Comp[], 14, FALSE)</f>
        <v>0</v>
      </c>
      <c r="P270">
        <f>VLOOKUP(Table56[[#This Row],[Shortname]], Comp[], 15, FALSE)</f>
        <v>0</v>
      </c>
      <c r="Q270">
        <f>VLOOKUP(Table56[[#This Row],[Shortname]], Comp[], 16, FALSE)</f>
        <v>0</v>
      </c>
      <c r="R270">
        <f>VLOOKUP(Table56[[#This Row],[Shortname]], Comp[], 17, FALSE)</f>
        <v>0</v>
      </c>
      <c r="S270">
        <f>VLOOKUP(Table56[[#This Row],[Shortname]], Comp[], 18, FALSE)</f>
        <v>0</v>
      </c>
      <c r="T270">
        <f>VLOOKUP(Table56[[#This Row],[Shortname]], Comp[], 19, FALSE)</f>
        <v>0.04</v>
      </c>
      <c r="U270">
        <f>VLOOKUP(Table56[[#This Row],[Shortname]], Comp[], 20, FALSE)</f>
        <v>0</v>
      </c>
      <c r="V270">
        <f>VLOOKUP(Table56[[#This Row],[Shortname]], Comp[], 21, FALSE)</f>
        <v>0</v>
      </c>
      <c r="W270">
        <f>VLOOKUP(Table56[[#This Row],[Shortname]], Comp[], 22, FALSE)</f>
        <v>0</v>
      </c>
      <c r="X270">
        <f>VLOOKUP(Table56[[#This Row],[Shortname]], Comp[], 23, FALSE)</f>
        <v>0</v>
      </c>
      <c r="Y270">
        <f>VLOOKUP(Table56[[#This Row],[Shortname]], Comp[], 24, FALSE)</f>
        <v>0</v>
      </c>
      <c r="Z270">
        <f>VLOOKUP(Table56[[#This Row],[Shortname]], Comp[], 25, FALSE)</f>
        <v>0</v>
      </c>
      <c r="AA270">
        <f>VLOOKUP(Table56[[#This Row],[Shortname]], Comp[], 26, FALSE)</f>
        <v>0</v>
      </c>
      <c r="AB270">
        <f>VLOOKUP(Table56[[#This Row],[Shortname]], Comp[], 27, FALSE)</f>
        <v>0</v>
      </c>
      <c r="AC270">
        <f>VLOOKUP(Table56[[#This Row],[Shortname]], Comp[], 28, FALSE)</f>
        <v>0</v>
      </c>
      <c r="AD270">
        <f>VLOOKUP(Table56[[#This Row],[Shortname]], Comp[], 29, FALSE)</f>
        <v>0</v>
      </c>
      <c r="AE270">
        <f>VLOOKUP(Table56[[#This Row],[Shortname]], Comp[], 30, FALSE)</f>
        <v>0</v>
      </c>
      <c r="AF270">
        <f>VLOOKUP(Table56[[#This Row],[Shortname]], Comp[], 31, FALSE)</f>
        <v>0</v>
      </c>
    </row>
    <row r="271" spans="1:32" x14ac:dyDescent="0.3">
      <c r="A271" s="7" t="s">
        <v>4275</v>
      </c>
      <c r="B271" s="7" t="s">
        <v>4276</v>
      </c>
      <c r="C271" t="s">
        <v>6634</v>
      </c>
      <c r="D271">
        <v>958</v>
      </c>
      <c r="E271">
        <v>1447</v>
      </c>
      <c r="F271">
        <v>1477</v>
      </c>
      <c r="H271" s="14">
        <f>VLOOKUP(Table56[[#This Row],[Shortname]], Comp[], 7, FALSE)</f>
        <v>83.03</v>
      </c>
      <c r="I271">
        <f>VLOOKUP(Table56[[#This Row],[Shortname]], Comp[], 8, FALSE)</f>
        <v>0</v>
      </c>
      <c r="J271">
        <f>VLOOKUP(Table56[[#This Row],[Shortname]], Comp[], 9, FALSE)</f>
        <v>9.4</v>
      </c>
      <c r="K271">
        <f>VLOOKUP(Table56[[#This Row],[Shortname]], Comp[], 10, FALSE)</f>
        <v>0</v>
      </c>
      <c r="L271">
        <f>VLOOKUP(Table56[[#This Row],[Shortname]], Comp[], 11, FALSE)</f>
        <v>7.53</v>
      </c>
      <c r="M271">
        <f>VLOOKUP(Table56[[#This Row],[Shortname]], Comp[],12, FALSE)</f>
        <v>0</v>
      </c>
      <c r="N271">
        <f>VLOOKUP(Table56[[#This Row],[Shortname]], Comp[], 13, FALSE)</f>
        <v>0</v>
      </c>
      <c r="O271">
        <f>VLOOKUP(Table56[[#This Row],[Shortname]], Comp[], 14, FALSE)</f>
        <v>0</v>
      </c>
      <c r="P271">
        <f>VLOOKUP(Table56[[#This Row],[Shortname]], Comp[], 15, FALSE)</f>
        <v>0</v>
      </c>
      <c r="Q271">
        <f>VLOOKUP(Table56[[#This Row],[Shortname]], Comp[], 16, FALSE)</f>
        <v>0</v>
      </c>
      <c r="R271">
        <f>VLOOKUP(Table56[[#This Row],[Shortname]], Comp[], 17, FALSE)</f>
        <v>0</v>
      </c>
      <c r="S271">
        <f>VLOOKUP(Table56[[#This Row],[Shortname]], Comp[], 18, FALSE)</f>
        <v>0</v>
      </c>
      <c r="T271">
        <f>VLOOKUP(Table56[[#This Row],[Shortname]], Comp[], 19, FALSE)</f>
        <v>0.04</v>
      </c>
      <c r="U271">
        <f>VLOOKUP(Table56[[#This Row],[Shortname]], Comp[], 20, FALSE)</f>
        <v>0</v>
      </c>
      <c r="V271">
        <f>VLOOKUP(Table56[[#This Row],[Shortname]], Comp[], 21, FALSE)</f>
        <v>0</v>
      </c>
      <c r="W271">
        <f>VLOOKUP(Table56[[#This Row],[Shortname]], Comp[], 22, FALSE)</f>
        <v>0</v>
      </c>
      <c r="X271">
        <f>VLOOKUP(Table56[[#This Row],[Shortname]], Comp[], 23, FALSE)</f>
        <v>0</v>
      </c>
      <c r="Y271">
        <f>VLOOKUP(Table56[[#This Row],[Shortname]], Comp[], 24, FALSE)</f>
        <v>0</v>
      </c>
      <c r="Z271">
        <f>VLOOKUP(Table56[[#This Row],[Shortname]], Comp[], 25, FALSE)</f>
        <v>0</v>
      </c>
      <c r="AA271">
        <f>VLOOKUP(Table56[[#This Row],[Shortname]], Comp[], 26, FALSE)</f>
        <v>0</v>
      </c>
      <c r="AB271">
        <f>VLOOKUP(Table56[[#This Row],[Shortname]], Comp[], 27, FALSE)</f>
        <v>0</v>
      </c>
      <c r="AC271">
        <f>VLOOKUP(Table56[[#This Row],[Shortname]], Comp[], 28, FALSE)</f>
        <v>0</v>
      </c>
      <c r="AD271">
        <f>VLOOKUP(Table56[[#This Row],[Shortname]], Comp[], 29, FALSE)</f>
        <v>0</v>
      </c>
      <c r="AE271">
        <f>VLOOKUP(Table56[[#This Row],[Shortname]], Comp[], 30, FALSE)</f>
        <v>0</v>
      </c>
      <c r="AF271">
        <f>VLOOKUP(Table56[[#This Row],[Shortname]], Comp[], 31, FALSE)</f>
        <v>0</v>
      </c>
    </row>
    <row r="272" spans="1:32" x14ac:dyDescent="0.3">
      <c r="A272" s="7" t="s">
        <v>4292</v>
      </c>
      <c r="B272" s="7" t="s">
        <v>4294</v>
      </c>
      <c r="C272" t="s">
        <v>6634</v>
      </c>
      <c r="D272">
        <v>950</v>
      </c>
      <c r="E272">
        <v>1412</v>
      </c>
      <c r="F272">
        <v>1452</v>
      </c>
      <c r="H272" s="14">
        <f>VLOOKUP(Table56[[#This Row],[Shortname]], Comp[], 7, FALSE)</f>
        <v>75.36</v>
      </c>
      <c r="I272">
        <f>VLOOKUP(Table56[[#This Row],[Shortname]], Comp[], 8, FALSE)</f>
        <v>0</v>
      </c>
      <c r="J272">
        <f>VLOOKUP(Table56[[#This Row],[Shortname]], Comp[], 9, FALSE)</f>
        <v>8.6999999999999993</v>
      </c>
      <c r="K272">
        <f>VLOOKUP(Table56[[#This Row],[Shortname]], Comp[], 10, FALSE)</f>
        <v>8</v>
      </c>
      <c r="L272">
        <f>VLOOKUP(Table56[[#This Row],[Shortname]], Comp[], 11, FALSE)</f>
        <v>7.9</v>
      </c>
      <c r="M272">
        <f>VLOOKUP(Table56[[#This Row],[Shortname]], Comp[],12, FALSE)</f>
        <v>0</v>
      </c>
      <c r="N272">
        <f>VLOOKUP(Table56[[#This Row],[Shortname]], Comp[], 13, FALSE)</f>
        <v>0</v>
      </c>
      <c r="O272">
        <f>VLOOKUP(Table56[[#This Row],[Shortname]], Comp[], 14, FALSE)</f>
        <v>0</v>
      </c>
      <c r="P272">
        <f>VLOOKUP(Table56[[#This Row],[Shortname]], Comp[], 15, FALSE)</f>
        <v>0</v>
      </c>
      <c r="Q272">
        <f>VLOOKUP(Table56[[#This Row],[Shortname]], Comp[], 16, FALSE)</f>
        <v>0</v>
      </c>
      <c r="R272">
        <f>VLOOKUP(Table56[[#This Row],[Shortname]], Comp[], 17, FALSE)</f>
        <v>0</v>
      </c>
      <c r="S272">
        <f>VLOOKUP(Table56[[#This Row],[Shortname]], Comp[], 18, FALSE)</f>
        <v>0</v>
      </c>
      <c r="T272">
        <f>VLOOKUP(Table56[[#This Row],[Shortname]], Comp[], 19, FALSE)</f>
        <v>0.04</v>
      </c>
      <c r="U272">
        <f>VLOOKUP(Table56[[#This Row],[Shortname]], Comp[], 20, FALSE)</f>
        <v>0</v>
      </c>
      <c r="V272">
        <f>VLOOKUP(Table56[[#This Row],[Shortname]], Comp[], 21, FALSE)</f>
        <v>0</v>
      </c>
      <c r="W272">
        <f>VLOOKUP(Table56[[#This Row],[Shortname]], Comp[], 22, FALSE)</f>
        <v>0</v>
      </c>
      <c r="X272">
        <f>VLOOKUP(Table56[[#This Row],[Shortname]], Comp[], 23, FALSE)</f>
        <v>0</v>
      </c>
      <c r="Y272">
        <f>VLOOKUP(Table56[[#This Row],[Shortname]], Comp[], 24, FALSE)</f>
        <v>0</v>
      </c>
      <c r="Z272">
        <f>VLOOKUP(Table56[[#This Row],[Shortname]], Comp[], 25, FALSE)</f>
        <v>0</v>
      </c>
      <c r="AA272">
        <f>VLOOKUP(Table56[[#This Row],[Shortname]], Comp[], 26, FALSE)</f>
        <v>0</v>
      </c>
      <c r="AB272">
        <f>VLOOKUP(Table56[[#This Row],[Shortname]], Comp[], 27, FALSE)</f>
        <v>0</v>
      </c>
      <c r="AC272">
        <f>VLOOKUP(Table56[[#This Row],[Shortname]], Comp[], 28, FALSE)</f>
        <v>0</v>
      </c>
      <c r="AD272">
        <f>VLOOKUP(Table56[[#This Row],[Shortname]], Comp[], 29, FALSE)</f>
        <v>0</v>
      </c>
      <c r="AE272">
        <f>VLOOKUP(Table56[[#This Row],[Shortname]], Comp[], 30, FALSE)</f>
        <v>0</v>
      </c>
      <c r="AF272">
        <f>VLOOKUP(Table56[[#This Row],[Shortname]], Comp[], 31, FALSE)</f>
        <v>0</v>
      </c>
    </row>
    <row r="273" spans="1:32" x14ac:dyDescent="0.3">
      <c r="A273" s="7" t="s">
        <v>4305</v>
      </c>
      <c r="B273" s="26" t="s">
        <v>4306</v>
      </c>
      <c r="C273" s="27" t="s">
        <v>6635</v>
      </c>
      <c r="D273" s="18"/>
      <c r="E273">
        <v>1213</v>
      </c>
      <c r="F273">
        <v>1340</v>
      </c>
      <c r="H273" s="14">
        <f>VLOOKUP(Table56[[#This Row],[Shortname]], Comp[], 7, FALSE)</f>
        <v>87.8</v>
      </c>
      <c r="I273">
        <f>VLOOKUP(Table56[[#This Row],[Shortname]], Comp[], 8, FALSE)</f>
        <v>0</v>
      </c>
      <c r="J273">
        <f>VLOOKUP(Table56[[#This Row],[Shortname]], Comp[], 9, FALSE)</f>
        <v>0</v>
      </c>
      <c r="K273">
        <f>VLOOKUP(Table56[[#This Row],[Shortname]], Comp[], 10, FALSE)</f>
        <v>0</v>
      </c>
      <c r="L273">
        <f>VLOOKUP(Table56[[#This Row],[Shortname]], Comp[], 11, FALSE)</f>
        <v>0</v>
      </c>
      <c r="M273">
        <f>VLOOKUP(Table56[[#This Row],[Shortname]], Comp[],12, FALSE)</f>
        <v>12.2</v>
      </c>
      <c r="N273">
        <f>VLOOKUP(Table56[[#This Row],[Shortname]], Comp[], 13, FALSE)</f>
        <v>0</v>
      </c>
      <c r="O273">
        <f>VLOOKUP(Table56[[#This Row],[Shortname]], Comp[], 14, FALSE)</f>
        <v>0</v>
      </c>
      <c r="P273">
        <f>VLOOKUP(Table56[[#This Row],[Shortname]], Comp[], 15, FALSE)</f>
        <v>0</v>
      </c>
      <c r="Q273">
        <f>VLOOKUP(Table56[[#This Row],[Shortname]], Comp[], 16, FALSE)</f>
        <v>0</v>
      </c>
      <c r="R273">
        <f>VLOOKUP(Table56[[#This Row],[Shortname]], Comp[], 17, FALSE)</f>
        <v>0</v>
      </c>
      <c r="S273">
        <f>VLOOKUP(Table56[[#This Row],[Shortname]], Comp[], 18, FALSE)</f>
        <v>0</v>
      </c>
      <c r="T273">
        <f>VLOOKUP(Table56[[#This Row],[Shortname]], Comp[], 19, FALSE)</f>
        <v>0</v>
      </c>
      <c r="U273">
        <f>VLOOKUP(Table56[[#This Row],[Shortname]], Comp[], 20, FALSE)</f>
        <v>0</v>
      </c>
      <c r="V273">
        <f>VLOOKUP(Table56[[#This Row],[Shortname]], Comp[], 21, FALSE)</f>
        <v>0</v>
      </c>
      <c r="W273">
        <f>VLOOKUP(Table56[[#This Row],[Shortname]], Comp[], 22, FALSE)</f>
        <v>0</v>
      </c>
      <c r="X273">
        <f>VLOOKUP(Table56[[#This Row],[Shortname]], Comp[], 23, FALSE)</f>
        <v>0</v>
      </c>
      <c r="Y273">
        <f>VLOOKUP(Table56[[#This Row],[Shortname]], Comp[], 24, FALSE)</f>
        <v>0</v>
      </c>
      <c r="Z273">
        <f>VLOOKUP(Table56[[#This Row],[Shortname]], Comp[], 25, FALSE)</f>
        <v>0</v>
      </c>
      <c r="AA273">
        <f>VLOOKUP(Table56[[#This Row],[Shortname]], Comp[], 26, FALSE)</f>
        <v>0</v>
      </c>
      <c r="AB273">
        <f>VLOOKUP(Table56[[#This Row],[Shortname]], Comp[], 27, FALSE)</f>
        <v>0</v>
      </c>
      <c r="AC273">
        <f>VLOOKUP(Table56[[#This Row],[Shortname]], Comp[], 28, FALSE)</f>
        <v>0</v>
      </c>
      <c r="AD273">
        <f>VLOOKUP(Table56[[#This Row],[Shortname]], Comp[], 29, FALSE)</f>
        <v>0</v>
      </c>
      <c r="AE273">
        <f>VLOOKUP(Table56[[#This Row],[Shortname]], Comp[], 30, FALSE)</f>
        <v>0</v>
      </c>
      <c r="AF273">
        <f>VLOOKUP(Table56[[#This Row],[Shortname]], Comp[], 31, FALSE)</f>
        <v>0</v>
      </c>
    </row>
    <row r="274" spans="1:32" x14ac:dyDescent="0.3">
      <c r="A274" s="7" t="s">
        <v>4318</v>
      </c>
      <c r="B274" s="26" t="s">
        <v>4320</v>
      </c>
      <c r="C274" s="27" t="s">
        <v>6635</v>
      </c>
      <c r="D274">
        <v>1037</v>
      </c>
      <c r="E274">
        <v>1274</v>
      </c>
      <c r="F274">
        <v>1357</v>
      </c>
      <c r="H274" s="14">
        <f>VLOOKUP(Table56[[#This Row],[Shortname]], Comp[], 7, FALSE)</f>
        <v>87</v>
      </c>
      <c r="I274">
        <f>VLOOKUP(Table56[[#This Row],[Shortname]], Comp[], 8, FALSE)</f>
        <v>0</v>
      </c>
      <c r="J274">
        <f>VLOOKUP(Table56[[#This Row],[Shortname]], Comp[], 9, FALSE)</f>
        <v>1.4</v>
      </c>
      <c r="K274">
        <f>VLOOKUP(Table56[[#This Row],[Shortname]], Comp[], 10, FALSE)</f>
        <v>0</v>
      </c>
      <c r="L274">
        <f>VLOOKUP(Table56[[#This Row],[Shortname]], Comp[], 11, FALSE)</f>
        <v>1.3</v>
      </c>
      <c r="M274">
        <f>VLOOKUP(Table56[[#This Row],[Shortname]], Comp[],12, FALSE)</f>
        <v>10.3</v>
      </c>
      <c r="N274">
        <f>VLOOKUP(Table56[[#This Row],[Shortname]], Comp[], 13, FALSE)</f>
        <v>0</v>
      </c>
      <c r="O274">
        <f>VLOOKUP(Table56[[#This Row],[Shortname]], Comp[], 14, FALSE)</f>
        <v>0</v>
      </c>
      <c r="P274">
        <f>VLOOKUP(Table56[[#This Row],[Shortname]], Comp[], 15, FALSE)</f>
        <v>0</v>
      </c>
      <c r="Q274">
        <f>VLOOKUP(Table56[[#This Row],[Shortname]], Comp[], 16, FALSE)</f>
        <v>0</v>
      </c>
      <c r="R274">
        <f>VLOOKUP(Table56[[#This Row],[Shortname]], Comp[], 17, FALSE)</f>
        <v>0</v>
      </c>
      <c r="S274">
        <f>VLOOKUP(Table56[[#This Row],[Shortname]], Comp[], 18, FALSE)</f>
        <v>0</v>
      </c>
      <c r="T274">
        <f>VLOOKUP(Table56[[#This Row],[Shortname]], Comp[], 19, FALSE)</f>
        <v>0</v>
      </c>
      <c r="U274">
        <f>VLOOKUP(Table56[[#This Row],[Shortname]], Comp[], 20, FALSE)</f>
        <v>0</v>
      </c>
      <c r="V274">
        <f>VLOOKUP(Table56[[#This Row],[Shortname]], Comp[], 21, FALSE)</f>
        <v>0</v>
      </c>
      <c r="W274">
        <f>VLOOKUP(Table56[[#This Row],[Shortname]], Comp[], 22, FALSE)</f>
        <v>0</v>
      </c>
      <c r="X274">
        <f>VLOOKUP(Table56[[#This Row],[Shortname]], Comp[], 23, FALSE)</f>
        <v>0</v>
      </c>
      <c r="Y274">
        <f>VLOOKUP(Table56[[#This Row],[Shortname]], Comp[], 24, FALSE)</f>
        <v>0</v>
      </c>
      <c r="Z274">
        <f>VLOOKUP(Table56[[#This Row],[Shortname]], Comp[], 25, FALSE)</f>
        <v>0</v>
      </c>
      <c r="AA274">
        <f>VLOOKUP(Table56[[#This Row],[Shortname]], Comp[], 26, FALSE)</f>
        <v>0</v>
      </c>
      <c r="AB274">
        <f>VLOOKUP(Table56[[#This Row],[Shortname]], Comp[], 27, FALSE)</f>
        <v>0</v>
      </c>
      <c r="AC274">
        <f>VLOOKUP(Table56[[#This Row],[Shortname]], Comp[], 28, FALSE)</f>
        <v>0</v>
      </c>
      <c r="AD274">
        <f>VLOOKUP(Table56[[#This Row],[Shortname]], Comp[], 29, FALSE)</f>
        <v>0</v>
      </c>
      <c r="AE274">
        <f>VLOOKUP(Table56[[#This Row],[Shortname]], Comp[], 30, FALSE)</f>
        <v>0</v>
      </c>
      <c r="AF274">
        <f>VLOOKUP(Table56[[#This Row],[Shortname]], Comp[], 31, FALSE)</f>
        <v>0</v>
      </c>
    </row>
    <row r="275" spans="1:32" x14ac:dyDescent="0.3">
      <c r="A275" s="7" t="s">
        <v>4333</v>
      </c>
      <c r="B275" s="26" t="s">
        <v>4334</v>
      </c>
      <c r="C275" s="27" t="s">
        <v>6635</v>
      </c>
      <c r="D275">
        <v>1035</v>
      </c>
      <c r="E275">
        <v>1276</v>
      </c>
      <c r="F275">
        <v>1383</v>
      </c>
      <c r="H275" s="14">
        <f>VLOOKUP(Table56[[#This Row],[Shortname]], Comp[], 7, FALSE)</f>
        <v>86.2</v>
      </c>
      <c r="I275">
        <f>VLOOKUP(Table56[[#This Row],[Shortname]], Comp[], 8, FALSE)</f>
        <v>0</v>
      </c>
      <c r="J275">
        <f>VLOOKUP(Table56[[#This Row],[Shortname]], Comp[], 9, FALSE)</f>
        <v>2.8</v>
      </c>
      <c r="K275">
        <f>VLOOKUP(Table56[[#This Row],[Shortname]], Comp[], 10, FALSE)</f>
        <v>0</v>
      </c>
      <c r="L275">
        <f>VLOOKUP(Table56[[#This Row],[Shortname]], Comp[], 11, FALSE)</f>
        <v>2.5</v>
      </c>
      <c r="M275">
        <f>VLOOKUP(Table56[[#This Row],[Shortname]], Comp[],12, FALSE)</f>
        <v>8.5</v>
      </c>
      <c r="N275">
        <f>VLOOKUP(Table56[[#This Row],[Shortname]], Comp[], 13, FALSE)</f>
        <v>0</v>
      </c>
      <c r="O275">
        <f>VLOOKUP(Table56[[#This Row],[Shortname]], Comp[], 14, FALSE)</f>
        <v>0</v>
      </c>
      <c r="P275">
        <f>VLOOKUP(Table56[[#This Row],[Shortname]], Comp[], 15, FALSE)</f>
        <v>0</v>
      </c>
      <c r="Q275">
        <f>VLOOKUP(Table56[[#This Row],[Shortname]], Comp[], 16, FALSE)</f>
        <v>0</v>
      </c>
      <c r="R275">
        <f>VLOOKUP(Table56[[#This Row],[Shortname]], Comp[], 17, FALSE)</f>
        <v>0</v>
      </c>
      <c r="S275">
        <f>VLOOKUP(Table56[[#This Row],[Shortname]], Comp[], 18, FALSE)</f>
        <v>0</v>
      </c>
      <c r="T275">
        <f>VLOOKUP(Table56[[#This Row],[Shortname]], Comp[], 19, FALSE)</f>
        <v>0</v>
      </c>
      <c r="U275">
        <f>VLOOKUP(Table56[[#This Row],[Shortname]], Comp[], 20, FALSE)</f>
        <v>0</v>
      </c>
      <c r="V275">
        <f>VLOOKUP(Table56[[#This Row],[Shortname]], Comp[], 21, FALSE)</f>
        <v>0</v>
      </c>
      <c r="W275">
        <f>VLOOKUP(Table56[[#This Row],[Shortname]], Comp[], 22, FALSE)</f>
        <v>0</v>
      </c>
      <c r="X275">
        <f>VLOOKUP(Table56[[#This Row],[Shortname]], Comp[], 23, FALSE)</f>
        <v>0</v>
      </c>
      <c r="Y275">
        <f>VLOOKUP(Table56[[#This Row],[Shortname]], Comp[], 24, FALSE)</f>
        <v>0</v>
      </c>
      <c r="Z275">
        <f>VLOOKUP(Table56[[#This Row],[Shortname]], Comp[], 25, FALSE)</f>
        <v>0</v>
      </c>
      <c r="AA275">
        <f>VLOOKUP(Table56[[#This Row],[Shortname]], Comp[], 26, FALSE)</f>
        <v>0</v>
      </c>
      <c r="AB275">
        <f>VLOOKUP(Table56[[#This Row],[Shortname]], Comp[], 27, FALSE)</f>
        <v>0</v>
      </c>
      <c r="AC275">
        <f>VLOOKUP(Table56[[#This Row],[Shortname]], Comp[], 28, FALSE)</f>
        <v>0</v>
      </c>
      <c r="AD275">
        <f>VLOOKUP(Table56[[#This Row],[Shortname]], Comp[], 29, FALSE)</f>
        <v>0</v>
      </c>
      <c r="AE275">
        <f>VLOOKUP(Table56[[#This Row],[Shortname]], Comp[], 30, FALSE)</f>
        <v>0</v>
      </c>
      <c r="AF275">
        <f>VLOOKUP(Table56[[#This Row],[Shortname]], Comp[], 31, FALSE)</f>
        <v>0</v>
      </c>
    </row>
    <row r="276" spans="1:32" x14ac:dyDescent="0.3">
      <c r="A276" s="7" t="s">
        <v>4347</v>
      </c>
      <c r="B276" s="26" t="s">
        <v>4349</v>
      </c>
      <c r="C276" s="27" t="s">
        <v>6635</v>
      </c>
      <c r="D276">
        <v>1032</v>
      </c>
      <c r="E276">
        <v>1322</v>
      </c>
      <c r="F276">
        <v>1414</v>
      </c>
      <c r="H276" s="14">
        <f>VLOOKUP(Table56[[#This Row],[Shortname]], Comp[], 7, FALSE)</f>
        <v>85.3</v>
      </c>
      <c r="I276">
        <f>VLOOKUP(Table56[[#This Row],[Shortname]], Comp[], 8, FALSE)</f>
        <v>0</v>
      </c>
      <c r="J276">
        <f>VLOOKUP(Table56[[#This Row],[Shortname]], Comp[], 9, FALSE)</f>
        <v>4.5</v>
      </c>
      <c r="K276">
        <f>VLOOKUP(Table56[[#This Row],[Shortname]], Comp[], 10, FALSE)</f>
        <v>0</v>
      </c>
      <c r="L276">
        <f>VLOOKUP(Table56[[#This Row],[Shortname]], Comp[], 11, FALSE)</f>
        <v>4.0999999999999996</v>
      </c>
      <c r="M276">
        <f>VLOOKUP(Table56[[#This Row],[Shortname]], Comp[],12, FALSE)</f>
        <v>6.1</v>
      </c>
      <c r="N276">
        <f>VLOOKUP(Table56[[#This Row],[Shortname]], Comp[], 13, FALSE)</f>
        <v>0</v>
      </c>
      <c r="O276">
        <f>VLOOKUP(Table56[[#This Row],[Shortname]], Comp[], 14, FALSE)</f>
        <v>0</v>
      </c>
      <c r="P276">
        <f>VLOOKUP(Table56[[#This Row],[Shortname]], Comp[], 15, FALSE)</f>
        <v>0</v>
      </c>
      <c r="Q276">
        <f>VLOOKUP(Table56[[#This Row],[Shortname]], Comp[], 16, FALSE)</f>
        <v>0</v>
      </c>
      <c r="R276">
        <f>VLOOKUP(Table56[[#This Row],[Shortname]], Comp[], 17, FALSE)</f>
        <v>0</v>
      </c>
      <c r="S276">
        <f>VLOOKUP(Table56[[#This Row],[Shortname]], Comp[], 18, FALSE)</f>
        <v>0</v>
      </c>
      <c r="T276">
        <f>VLOOKUP(Table56[[#This Row],[Shortname]], Comp[], 19, FALSE)</f>
        <v>0</v>
      </c>
      <c r="U276">
        <f>VLOOKUP(Table56[[#This Row],[Shortname]], Comp[], 20, FALSE)</f>
        <v>0</v>
      </c>
      <c r="V276">
        <f>VLOOKUP(Table56[[#This Row],[Shortname]], Comp[], 21, FALSE)</f>
        <v>0</v>
      </c>
      <c r="W276">
        <f>VLOOKUP(Table56[[#This Row],[Shortname]], Comp[], 22, FALSE)</f>
        <v>0</v>
      </c>
      <c r="X276">
        <f>VLOOKUP(Table56[[#This Row],[Shortname]], Comp[], 23, FALSE)</f>
        <v>0</v>
      </c>
      <c r="Y276">
        <f>VLOOKUP(Table56[[#This Row],[Shortname]], Comp[], 24, FALSE)</f>
        <v>0</v>
      </c>
      <c r="Z276">
        <f>VLOOKUP(Table56[[#This Row],[Shortname]], Comp[], 25, FALSE)</f>
        <v>0</v>
      </c>
      <c r="AA276">
        <f>VLOOKUP(Table56[[#This Row],[Shortname]], Comp[], 26, FALSE)</f>
        <v>0</v>
      </c>
      <c r="AB276">
        <f>VLOOKUP(Table56[[#This Row],[Shortname]], Comp[], 27, FALSE)</f>
        <v>0</v>
      </c>
      <c r="AC276">
        <f>VLOOKUP(Table56[[#This Row],[Shortname]], Comp[], 28, FALSE)</f>
        <v>0</v>
      </c>
      <c r="AD276">
        <f>VLOOKUP(Table56[[#This Row],[Shortname]], Comp[], 29, FALSE)</f>
        <v>0</v>
      </c>
      <c r="AE276">
        <f>VLOOKUP(Table56[[#This Row],[Shortname]], Comp[], 30, FALSE)</f>
        <v>0</v>
      </c>
      <c r="AF276">
        <f>VLOOKUP(Table56[[#This Row],[Shortname]], Comp[], 31, FALSE)</f>
        <v>0</v>
      </c>
    </row>
    <row r="277" spans="1:32" x14ac:dyDescent="0.3">
      <c r="A277" s="7" t="s">
        <v>4359</v>
      </c>
      <c r="B277" s="26" t="s">
        <v>4361</v>
      </c>
      <c r="C277" s="27" t="s">
        <v>6635</v>
      </c>
      <c r="D277">
        <v>1017</v>
      </c>
      <c r="E277">
        <v>1365</v>
      </c>
      <c r="F277">
        <v>1435</v>
      </c>
      <c r="H277" s="14">
        <f>VLOOKUP(Table56[[#This Row],[Shortname]], Comp[], 7, FALSE)</f>
        <v>83.2</v>
      </c>
      <c r="I277">
        <f>VLOOKUP(Table56[[#This Row],[Shortname]], Comp[], 8, FALSE)</f>
        <v>0</v>
      </c>
      <c r="J277">
        <f>VLOOKUP(Table56[[#This Row],[Shortname]], Comp[], 9, FALSE)</f>
        <v>7</v>
      </c>
      <c r="K277">
        <f>VLOOKUP(Table56[[#This Row],[Shortname]], Comp[], 10, FALSE)</f>
        <v>0</v>
      </c>
      <c r="L277">
        <f>VLOOKUP(Table56[[#This Row],[Shortname]], Comp[], 11, FALSE)</f>
        <v>6.1</v>
      </c>
      <c r="M277">
        <f>VLOOKUP(Table56[[#This Row],[Shortname]], Comp[],12, FALSE)</f>
        <v>3.7</v>
      </c>
      <c r="N277">
        <f>VLOOKUP(Table56[[#This Row],[Shortname]], Comp[], 13, FALSE)</f>
        <v>0</v>
      </c>
      <c r="O277">
        <f>VLOOKUP(Table56[[#This Row],[Shortname]], Comp[], 14, FALSE)</f>
        <v>0</v>
      </c>
      <c r="P277">
        <f>VLOOKUP(Table56[[#This Row],[Shortname]], Comp[], 15, FALSE)</f>
        <v>0</v>
      </c>
      <c r="Q277">
        <f>VLOOKUP(Table56[[#This Row],[Shortname]], Comp[], 16, FALSE)</f>
        <v>0</v>
      </c>
      <c r="R277">
        <f>VLOOKUP(Table56[[#This Row],[Shortname]], Comp[], 17, FALSE)</f>
        <v>0</v>
      </c>
      <c r="S277">
        <f>VLOOKUP(Table56[[#This Row],[Shortname]], Comp[], 18, FALSE)</f>
        <v>0</v>
      </c>
      <c r="T277">
        <f>VLOOKUP(Table56[[#This Row],[Shortname]], Comp[], 19, FALSE)</f>
        <v>0</v>
      </c>
      <c r="U277">
        <f>VLOOKUP(Table56[[#This Row],[Shortname]], Comp[], 20, FALSE)</f>
        <v>0</v>
      </c>
      <c r="V277">
        <f>VLOOKUP(Table56[[#This Row],[Shortname]], Comp[], 21, FALSE)</f>
        <v>0</v>
      </c>
      <c r="W277">
        <f>VLOOKUP(Table56[[#This Row],[Shortname]], Comp[], 22, FALSE)</f>
        <v>0</v>
      </c>
      <c r="X277">
        <f>VLOOKUP(Table56[[#This Row],[Shortname]], Comp[], 23, FALSE)</f>
        <v>0</v>
      </c>
      <c r="Y277">
        <f>VLOOKUP(Table56[[#This Row],[Shortname]], Comp[], 24, FALSE)</f>
        <v>0</v>
      </c>
      <c r="Z277">
        <f>VLOOKUP(Table56[[#This Row],[Shortname]], Comp[], 25, FALSE)</f>
        <v>0</v>
      </c>
      <c r="AA277">
        <f>VLOOKUP(Table56[[#This Row],[Shortname]], Comp[], 26, FALSE)</f>
        <v>0</v>
      </c>
      <c r="AB277">
        <f>VLOOKUP(Table56[[#This Row],[Shortname]], Comp[], 27, FALSE)</f>
        <v>0</v>
      </c>
      <c r="AC277">
        <f>VLOOKUP(Table56[[#This Row],[Shortname]], Comp[], 28, FALSE)</f>
        <v>0</v>
      </c>
      <c r="AD277">
        <f>VLOOKUP(Table56[[#This Row],[Shortname]], Comp[], 29, FALSE)</f>
        <v>0</v>
      </c>
      <c r="AE277">
        <f>VLOOKUP(Table56[[#This Row],[Shortname]], Comp[], 30, FALSE)</f>
        <v>0</v>
      </c>
      <c r="AF277">
        <f>VLOOKUP(Table56[[#This Row],[Shortname]], Comp[], 31, FALSE)</f>
        <v>0</v>
      </c>
    </row>
    <row r="278" spans="1:32" x14ac:dyDescent="0.3">
      <c r="A278" s="7" t="s">
        <v>4372</v>
      </c>
      <c r="B278" s="26" t="s">
        <v>4374</v>
      </c>
      <c r="C278" s="27" t="s">
        <v>6635</v>
      </c>
      <c r="D278">
        <v>1009</v>
      </c>
      <c r="E278">
        <v>1397</v>
      </c>
      <c r="F278">
        <v>1458</v>
      </c>
      <c r="H278" s="14">
        <f>VLOOKUP(Table56[[#This Row],[Shortname]], Comp[], 7, FALSE)</f>
        <v>82.2</v>
      </c>
      <c r="I278">
        <f>VLOOKUP(Table56[[#This Row],[Shortname]], Comp[], 8, FALSE)</f>
        <v>0</v>
      </c>
      <c r="J278">
        <f>VLOOKUP(Table56[[#This Row],[Shortname]], Comp[], 9, FALSE)</f>
        <v>8.4</v>
      </c>
      <c r="K278">
        <f>VLOOKUP(Table56[[#This Row],[Shortname]], Comp[], 10, FALSE)</f>
        <v>0</v>
      </c>
      <c r="L278">
        <f>VLOOKUP(Table56[[#This Row],[Shortname]], Comp[], 11, FALSE)</f>
        <v>7.5</v>
      </c>
      <c r="M278">
        <f>VLOOKUP(Table56[[#This Row],[Shortname]], Comp[],12, FALSE)</f>
        <v>1.9</v>
      </c>
      <c r="N278">
        <f>VLOOKUP(Table56[[#This Row],[Shortname]], Comp[], 13, FALSE)</f>
        <v>0</v>
      </c>
      <c r="O278">
        <f>VLOOKUP(Table56[[#This Row],[Shortname]], Comp[], 14, FALSE)</f>
        <v>0</v>
      </c>
      <c r="P278">
        <f>VLOOKUP(Table56[[#This Row],[Shortname]], Comp[], 15, FALSE)</f>
        <v>0</v>
      </c>
      <c r="Q278">
        <f>VLOOKUP(Table56[[#This Row],[Shortname]], Comp[], 16, FALSE)</f>
        <v>0</v>
      </c>
      <c r="R278">
        <f>VLOOKUP(Table56[[#This Row],[Shortname]], Comp[], 17, FALSE)</f>
        <v>0</v>
      </c>
      <c r="S278">
        <f>VLOOKUP(Table56[[#This Row],[Shortname]], Comp[], 18, FALSE)</f>
        <v>0</v>
      </c>
      <c r="T278">
        <f>VLOOKUP(Table56[[#This Row],[Shortname]], Comp[], 19, FALSE)</f>
        <v>0</v>
      </c>
      <c r="U278">
        <f>VLOOKUP(Table56[[#This Row],[Shortname]], Comp[], 20, FALSE)</f>
        <v>0</v>
      </c>
      <c r="V278">
        <f>VLOOKUP(Table56[[#This Row],[Shortname]], Comp[], 21, FALSE)</f>
        <v>0</v>
      </c>
      <c r="W278">
        <f>VLOOKUP(Table56[[#This Row],[Shortname]], Comp[], 22, FALSE)</f>
        <v>0</v>
      </c>
      <c r="X278">
        <f>VLOOKUP(Table56[[#This Row],[Shortname]], Comp[], 23, FALSE)</f>
        <v>0</v>
      </c>
      <c r="Y278">
        <f>VLOOKUP(Table56[[#This Row],[Shortname]], Comp[], 24, FALSE)</f>
        <v>0</v>
      </c>
      <c r="Z278">
        <f>VLOOKUP(Table56[[#This Row],[Shortname]], Comp[], 25, FALSE)</f>
        <v>0</v>
      </c>
      <c r="AA278">
        <f>VLOOKUP(Table56[[#This Row],[Shortname]], Comp[], 26, FALSE)</f>
        <v>0</v>
      </c>
      <c r="AB278">
        <f>VLOOKUP(Table56[[#This Row],[Shortname]], Comp[], 27, FALSE)</f>
        <v>0</v>
      </c>
      <c r="AC278">
        <f>VLOOKUP(Table56[[#This Row],[Shortname]], Comp[], 28, FALSE)</f>
        <v>0</v>
      </c>
      <c r="AD278">
        <f>VLOOKUP(Table56[[#This Row],[Shortname]], Comp[], 29, FALSE)</f>
        <v>0</v>
      </c>
      <c r="AE278">
        <f>VLOOKUP(Table56[[#This Row],[Shortname]], Comp[], 30, FALSE)</f>
        <v>0</v>
      </c>
      <c r="AF278">
        <f>VLOOKUP(Table56[[#This Row],[Shortname]], Comp[], 31, FALSE)</f>
        <v>0</v>
      </c>
    </row>
    <row r="279" spans="1:32" x14ac:dyDescent="0.3">
      <c r="A279" s="7" t="s">
        <v>4414</v>
      </c>
      <c r="B279" s="26" t="s">
        <v>4391</v>
      </c>
      <c r="C279" s="24" t="s">
        <v>6762</v>
      </c>
      <c r="D279">
        <v>1097</v>
      </c>
      <c r="E279">
        <v>1280</v>
      </c>
      <c r="F279">
        <v>1381</v>
      </c>
      <c r="H279" s="14">
        <f>VLOOKUP(Table56[[#This Row],[Shortname]], Comp[], 7, FALSE)</f>
        <v>43.92</v>
      </c>
      <c r="I279">
        <f>VLOOKUP(Table56[[#This Row],[Shortname]], Comp[], 8, FALSE)</f>
        <v>30</v>
      </c>
      <c r="J279">
        <f>VLOOKUP(Table56[[#This Row],[Shortname]], Comp[], 9, FALSE)</f>
        <v>4</v>
      </c>
      <c r="K279">
        <f>VLOOKUP(Table56[[#This Row],[Shortname]], Comp[], 10, FALSE)</f>
        <v>12</v>
      </c>
      <c r="L279">
        <f>VLOOKUP(Table56[[#This Row],[Shortname]], Comp[], 11, FALSE)</f>
        <v>2</v>
      </c>
      <c r="M279">
        <f>VLOOKUP(Table56[[#This Row],[Shortname]], Comp[],12, FALSE)</f>
        <v>4.9000000000000004</v>
      </c>
      <c r="N279">
        <f>VLOOKUP(Table56[[#This Row],[Shortname]], Comp[], 13, FALSE)</f>
        <v>1</v>
      </c>
      <c r="O279">
        <f>VLOOKUP(Table56[[#This Row],[Shortname]], Comp[], 14, FALSE)</f>
        <v>0</v>
      </c>
      <c r="P279">
        <f>VLOOKUP(Table56[[#This Row],[Shortname]], Comp[], 15, FALSE)</f>
        <v>0</v>
      </c>
      <c r="Q279">
        <f>VLOOKUP(Table56[[#This Row],[Shortname]], Comp[], 16, FALSE)</f>
        <v>1.5</v>
      </c>
      <c r="R279">
        <f>VLOOKUP(Table56[[#This Row],[Shortname]], Comp[], 17, FALSE)</f>
        <v>7.0000000000000007E-2</v>
      </c>
      <c r="S279">
        <f>VLOOKUP(Table56[[#This Row],[Shortname]], Comp[], 18, FALSE)</f>
        <v>0.01</v>
      </c>
      <c r="T279">
        <f>VLOOKUP(Table56[[#This Row],[Shortname]], Comp[], 19, FALSE)</f>
        <v>0.09</v>
      </c>
      <c r="U279">
        <f>VLOOKUP(Table56[[#This Row],[Shortname]], Comp[], 20, FALSE)</f>
        <v>0</v>
      </c>
      <c r="V279">
        <f>VLOOKUP(Table56[[#This Row],[Shortname]], Comp[], 21, FALSE)</f>
        <v>0</v>
      </c>
      <c r="W279">
        <f>VLOOKUP(Table56[[#This Row],[Shortname]], Comp[], 22, FALSE)</f>
        <v>0.41</v>
      </c>
      <c r="X279">
        <f>VLOOKUP(Table56[[#This Row],[Shortname]], Comp[], 23, FALSE)</f>
        <v>0</v>
      </c>
      <c r="Y279">
        <f>VLOOKUP(Table56[[#This Row],[Shortname]], Comp[], 24, FALSE)</f>
        <v>0</v>
      </c>
      <c r="Z279">
        <f>VLOOKUP(Table56[[#This Row],[Shortname]], Comp[], 25, FALSE)</f>
        <v>0.1</v>
      </c>
      <c r="AA279">
        <f>VLOOKUP(Table56[[#This Row],[Shortname]], Comp[], 26, FALSE)</f>
        <v>0</v>
      </c>
      <c r="AB279">
        <f>VLOOKUP(Table56[[#This Row],[Shortname]], Comp[], 27, FALSE)</f>
        <v>0</v>
      </c>
      <c r="AC279">
        <f>VLOOKUP(Table56[[#This Row],[Shortname]], Comp[], 28, FALSE)</f>
        <v>0</v>
      </c>
      <c r="AD279">
        <f>VLOOKUP(Table56[[#This Row],[Shortname]], Comp[], 29, FALSE)</f>
        <v>0</v>
      </c>
      <c r="AE279">
        <f>VLOOKUP(Table56[[#This Row],[Shortname]], Comp[], 30, FALSE)</f>
        <v>0</v>
      </c>
      <c r="AF279">
        <f>VLOOKUP(Table56[[#This Row],[Shortname]], Comp[], 31, FALSE)</f>
        <v>0</v>
      </c>
    </row>
    <row r="280" spans="1:32" x14ac:dyDescent="0.3">
      <c r="A280" s="7" t="s">
        <v>4419</v>
      </c>
      <c r="B280" s="26" t="s">
        <v>4420</v>
      </c>
      <c r="C280" s="24" t="s">
        <v>6762</v>
      </c>
      <c r="D280">
        <v>1097</v>
      </c>
      <c r="E280">
        <v>1291</v>
      </c>
      <c r="F280">
        <v>1381</v>
      </c>
      <c r="H280" s="14">
        <f>VLOOKUP(Table56[[#This Row],[Shortname]], Comp[], 7, FALSE)</f>
        <v>43.134999999999998</v>
      </c>
      <c r="I280">
        <f>VLOOKUP(Table56[[#This Row],[Shortname]], Comp[], 8, FALSE)</f>
        <v>30</v>
      </c>
      <c r="J280">
        <f>VLOOKUP(Table56[[#This Row],[Shortname]], Comp[], 9, FALSE)</f>
        <v>5.5</v>
      </c>
      <c r="K280">
        <f>VLOOKUP(Table56[[#This Row],[Shortname]], Comp[], 10, FALSE)</f>
        <v>12</v>
      </c>
      <c r="L280">
        <f>VLOOKUP(Table56[[#This Row],[Shortname]], Comp[], 11, FALSE)</f>
        <v>2</v>
      </c>
      <c r="M280">
        <f>VLOOKUP(Table56[[#This Row],[Shortname]], Comp[],12, FALSE)</f>
        <v>4.2</v>
      </c>
      <c r="N280">
        <f>VLOOKUP(Table56[[#This Row],[Shortname]], Comp[], 13, FALSE)</f>
        <v>1</v>
      </c>
      <c r="O280">
        <f>VLOOKUP(Table56[[#This Row],[Shortname]], Comp[], 14, FALSE)</f>
        <v>0</v>
      </c>
      <c r="P280">
        <f>VLOOKUP(Table56[[#This Row],[Shortname]], Comp[], 15, FALSE)</f>
        <v>0</v>
      </c>
      <c r="Q280">
        <f>VLOOKUP(Table56[[#This Row],[Shortname]], Comp[], 16, FALSE)</f>
        <v>1.5</v>
      </c>
      <c r="R280">
        <f>VLOOKUP(Table56[[#This Row],[Shortname]], Comp[], 17, FALSE)</f>
        <v>7.0999999999999994E-2</v>
      </c>
      <c r="S280">
        <f>VLOOKUP(Table56[[#This Row],[Shortname]], Comp[], 18, FALSE)</f>
        <v>8.9999999999999993E-3</v>
      </c>
      <c r="T280">
        <f>VLOOKUP(Table56[[#This Row],[Shortname]], Comp[], 19, FALSE)</f>
        <v>8.5000000000000006E-2</v>
      </c>
      <c r="U280">
        <f>VLOOKUP(Table56[[#This Row],[Shortname]], Comp[], 20, FALSE)</f>
        <v>0</v>
      </c>
      <c r="V280">
        <f>VLOOKUP(Table56[[#This Row],[Shortname]], Comp[], 21, FALSE)</f>
        <v>0</v>
      </c>
      <c r="W280">
        <f>VLOOKUP(Table56[[#This Row],[Shortname]], Comp[], 22, FALSE)</f>
        <v>0.39</v>
      </c>
      <c r="X280">
        <f>VLOOKUP(Table56[[#This Row],[Shortname]], Comp[], 23, FALSE)</f>
        <v>0</v>
      </c>
      <c r="Y280">
        <f>VLOOKUP(Table56[[#This Row],[Shortname]], Comp[], 24, FALSE)</f>
        <v>0</v>
      </c>
      <c r="Z280">
        <f>VLOOKUP(Table56[[#This Row],[Shortname]], Comp[], 25, FALSE)</f>
        <v>0.11</v>
      </c>
      <c r="AA280">
        <f>VLOOKUP(Table56[[#This Row],[Shortname]], Comp[], 26, FALSE)</f>
        <v>0</v>
      </c>
      <c r="AB280">
        <f>VLOOKUP(Table56[[#This Row],[Shortname]], Comp[], 27, FALSE)</f>
        <v>0</v>
      </c>
      <c r="AC280">
        <f>VLOOKUP(Table56[[#This Row],[Shortname]], Comp[], 28, FALSE)</f>
        <v>0</v>
      </c>
      <c r="AD280">
        <f>VLOOKUP(Table56[[#This Row],[Shortname]], Comp[], 29, FALSE)</f>
        <v>0</v>
      </c>
      <c r="AE280">
        <f>VLOOKUP(Table56[[#This Row],[Shortname]], Comp[], 30, FALSE)</f>
        <v>0</v>
      </c>
      <c r="AF280">
        <f>VLOOKUP(Table56[[#This Row],[Shortname]], Comp[], 31, FALSE)</f>
        <v>0</v>
      </c>
    </row>
    <row r="281" spans="1:32" x14ac:dyDescent="0.3">
      <c r="A281" s="7" t="s">
        <v>4430</v>
      </c>
      <c r="B281" s="26" t="s">
        <v>4409</v>
      </c>
      <c r="C281" s="24" t="s">
        <v>6762</v>
      </c>
      <c r="D281">
        <v>1095</v>
      </c>
      <c r="E281">
        <v>1283</v>
      </c>
      <c r="F281">
        <v>1380</v>
      </c>
      <c r="H281" s="14">
        <f>VLOOKUP(Table56[[#This Row],[Shortname]], Comp[], 7, FALSE)</f>
        <v>42.326000000000001</v>
      </c>
      <c r="I281">
        <f>VLOOKUP(Table56[[#This Row],[Shortname]], Comp[], 8, FALSE)</f>
        <v>30</v>
      </c>
      <c r="J281">
        <f>VLOOKUP(Table56[[#This Row],[Shortname]], Comp[], 9, FALSE)</f>
        <v>7</v>
      </c>
      <c r="K281">
        <f>VLOOKUP(Table56[[#This Row],[Shortname]], Comp[], 10, FALSE)</f>
        <v>12</v>
      </c>
      <c r="L281">
        <f>VLOOKUP(Table56[[#This Row],[Shortname]], Comp[], 11, FALSE)</f>
        <v>2</v>
      </c>
      <c r="M281">
        <f>VLOOKUP(Table56[[#This Row],[Shortname]], Comp[],12, FALSE)</f>
        <v>3.5</v>
      </c>
      <c r="N281">
        <f>VLOOKUP(Table56[[#This Row],[Shortname]], Comp[], 13, FALSE)</f>
        <v>1</v>
      </c>
      <c r="O281">
        <f>VLOOKUP(Table56[[#This Row],[Shortname]], Comp[], 14, FALSE)</f>
        <v>0</v>
      </c>
      <c r="P281">
        <f>VLOOKUP(Table56[[#This Row],[Shortname]], Comp[], 15, FALSE)</f>
        <v>0</v>
      </c>
      <c r="Q281">
        <f>VLOOKUP(Table56[[#This Row],[Shortname]], Comp[], 16, FALSE)</f>
        <v>1.5</v>
      </c>
      <c r="R281">
        <f>VLOOKUP(Table56[[#This Row],[Shortname]], Comp[], 17, FALSE)</f>
        <v>0.08</v>
      </c>
      <c r="S281">
        <f>VLOOKUP(Table56[[#This Row],[Shortname]], Comp[], 18, FALSE)</f>
        <v>8.9999999999999993E-3</v>
      </c>
      <c r="T281">
        <f>VLOOKUP(Table56[[#This Row],[Shortname]], Comp[], 19, FALSE)</f>
        <v>8.5000000000000006E-2</v>
      </c>
      <c r="U281">
        <f>VLOOKUP(Table56[[#This Row],[Shortname]], Comp[], 20, FALSE)</f>
        <v>0</v>
      </c>
      <c r="V281">
        <f>VLOOKUP(Table56[[#This Row],[Shortname]], Comp[], 21, FALSE)</f>
        <v>0</v>
      </c>
      <c r="W281">
        <f>VLOOKUP(Table56[[#This Row],[Shortname]], Comp[], 22, FALSE)</f>
        <v>0.39</v>
      </c>
      <c r="X281">
        <f>VLOOKUP(Table56[[#This Row],[Shortname]], Comp[], 23, FALSE)</f>
        <v>0</v>
      </c>
      <c r="Y281">
        <f>VLOOKUP(Table56[[#This Row],[Shortname]], Comp[], 24, FALSE)</f>
        <v>0</v>
      </c>
      <c r="Z281">
        <f>VLOOKUP(Table56[[#This Row],[Shortname]], Comp[], 25, FALSE)</f>
        <v>0.11</v>
      </c>
      <c r="AA281">
        <f>VLOOKUP(Table56[[#This Row],[Shortname]], Comp[], 26, FALSE)</f>
        <v>0</v>
      </c>
      <c r="AB281">
        <f>VLOOKUP(Table56[[#This Row],[Shortname]], Comp[], 27, FALSE)</f>
        <v>0</v>
      </c>
      <c r="AC281">
        <f>VLOOKUP(Table56[[#This Row],[Shortname]], Comp[], 28, FALSE)</f>
        <v>0</v>
      </c>
      <c r="AD281">
        <f>VLOOKUP(Table56[[#This Row],[Shortname]], Comp[], 29, FALSE)</f>
        <v>0</v>
      </c>
      <c r="AE281">
        <f>VLOOKUP(Table56[[#This Row],[Shortname]], Comp[], 30, FALSE)</f>
        <v>0</v>
      </c>
      <c r="AF281">
        <f>VLOOKUP(Table56[[#This Row],[Shortname]], Comp[], 31, FALSE)</f>
        <v>0</v>
      </c>
    </row>
    <row r="282" spans="1:32" x14ac:dyDescent="0.3">
      <c r="A282" s="7" t="s">
        <v>4424</v>
      </c>
      <c r="B282" s="26" t="s">
        <v>4425</v>
      </c>
      <c r="C282" s="24" t="s">
        <v>6762</v>
      </c>
      <c r="D282">
        <v>1083</v>
      </c>
      <c r="E282">
        <v>1298</v>
      </c>
      <c r="F282">
        <v>1390</v>
      </c>
      <c r="H282" s="14">
        <f>VLOOKUP(Table56[[#This Row],[Shortname]], Comp[], 7, FALSE)</f>
        <v>43.321999999999996</v>
      </c>
      <c r="I282">
        <f>VLOOKUP(Table56[[#This Row],[Shortname]], Comp[], 8, FALSE)</f>
        <v>30</v>
      </c>
      <c r="J282">
        <f>VLOOKUP(Table56[[#This Row],[Shortname]], Comp[], 9, FALSE)</f>
        <v>6</v>
      </c>
      <c r="K282">
        <f>VLOOKUP(Table56[[#This Row],[Shortname]], Comp[], 10, FALSE)</f>
        <v>12</v>
      </c>
      <c r="L282">
        <f>VLOOKUP(Table56[[#This Row],[Shortname]], Comp[], 11, FALSE)</f>
        <v>2</v>
      </c>
      <c r="M282">
        <f>VLOOKUP(Table56[[#This Row],[Shortname]], Comp[],12, FALSE)</f>
        <v>3.5</v>
      </c>
      <c r="N282">
        <f>VLOOKUP(Table56[[#This Row],[Shortname]], Comp[], 13, FALSE)</f>
        <v>1</v>
      </c>
      <c r="O282">
        <f>VLOOKUP(Table56[[#This Row],[Shortname]], Comp[], 14, FALSE)</f>
        <v>0</v>
      </c>
      <c r="P282">
        <f>VLOOKUP(Table56[[#This Row],[Shortname]], Comp[], 15, FALSE)</f>
        <v>0</v>
      </c>
      <c r="Q282">
        <f>VLOOKUP(Table56[[#This Row],[Shortname]], Comp[], 16, FALSE)</f>
        <v>1.5</v>
      </c>
      <c r="R282">
        <f>VLOOKUP(Table56[[#This Row],[Shortname]], Comp[], 17, FALSE)</f>
        <v>8.5000000000000006E-2</v>
      </c>
      <c r="S282">
        <f>VLOOKUP(Table56[[#This Row],[Shortname]], Comp[], 18, FALSE)</f>
        <v>8.9999999999999993E-3</v>
      </c>
      <c r="T282">
        <f>VLOOKUP(Table56[[#This Row],[Shortname]], Comp[], 19, FALSE)</f>
        <v>8.4000000000000005E-2</v>
      </c>
      <c r="U282">
        <f>VLOOKUP(Table56[[#This Row],[Shortname]], Comp[], 20, FALSE)</f>
        <v>0</v>
      </c>
      <c r="V282">
        <f>VLOOKUP(Table56[[#This Row],[Shortname]], Comp[], 21, FALSE)</f>
        <v>0</v>
      </c>
      <c r="W282">
        <f>VLOOKUP(Table56[[#This Row],[Shortname]], Comp[], 22, FALSE)</f>
        <v>0.39</v>
      </c>
      <c r="X282">
        <f>VLOOKUP(Table56[[#This Row],[Shortname]], Comp[], 23, FALSE)</f>
        <v>0</v>
      </c>
      <c r="Y282">
        <f>VLOOKUP(Table56[[#This Row],[Shortname]], Comp[], 24, FALSE)</f>
        <v>0</v>
      </c>
      <c r="Z282">
        <f>VLOOKUP(Table56[[#This Row],[Shortname]], Comp[], 25, FALSE)</f>
        <v>0.11</v>
      </c>
      <c r="AA282">
        <f>VLOOKUP(Table56[[#This Row],[Shortname]], Comp[], 26, FALSE)</f>
        <v>0</v>
      </c>
      <c r="AB282">
        <f>VLOOKUP(Table56[[#This Row],[Shortname]], Comp[], 27, FALSE)</f>
        <v>0</v>
      </c>
      <c r="AC282">
        <f>VLOOKUP(Table56[[#This Row],[Shortname]], Comp[], 28, FALSE)</f>
        <v>0</v>
      </c>
      <c r="AD282">
        <f>VLOOKUP(Table56[[#This Row],[Shortname]], Comp[], 29, FALSE)</f>
        <v>0</v>
      </c>
      <c r="AE282">
        <f>VLOOKUP(Table56[[#This Row],[Shortname]], Comp[], 30, FALSE)</f>
        <v>0</v>
      </c>
      <c r="AF282">
        <f>VLOOKUP(Table56[[#This Row],[Shortname]], Comp[], 31, FALSE)</f>
        <v>0</v>
      </c>
    </row>
    <row r="283" spans="1:32" x14ac:dyDescent="0.3">
      <c r="A283" s="7" t="s">
        <v>4876</v>
      </c>
      <c r="B283" s="7" t="s">
        <v>4877</v>
      </c>
      <c r="C283" s="3" t="s">
        <v>4862</v>
      </c>
      <c r="E283">
        <v>1446</v>
      </c>
      <c r="F283">
        <v>1469</v>
      </c>
      <c r="H283" s="14">
        <f>VLOOKUP(Table56[[#This Row],[Shortname]], Comp[], 7, FALSE)</f>
        <v>83.81</v>
      </c>
      <c r="I283">
        <f>VLOOKUP(Table56[[#This Row],[Shortname]], Comp[], 8, FALSE)</f>
        <v>0</v>
      </c>
      <c r="J283">
        <f>VLOOKUP(Table56[[#This Row],[Shortname]], Comp[], 9, FALSE)</f>
        <v>7.04</v>
      </c>
      <c r="K283">
        <f>VLOOKUP(Table56[[#This Row],[Shortname]], Comp[], 10, FALSE)</f>
        <v>0</v>
      </c>
      <c r="L283">
        <f>VLOOKUP(Table56[[#This Row],[Shortname]], Comp[], 11, FALSE)</f>
        <v>8.23</v>
      </c>
      <c r="M283">
        <f>VLOOKUP(Table56[[#This Row],[Shortname]], Comp[],12, FALSE)</f>
        <v>0</v>
      </c>
      <c r="N283">
        <f>VLOOKUP(Table56[[#This Row],[Shortname]], Comp[], 13, FALSE)</f>
        <v>0.92</v>
      </c>
      <c r="O283">
        <f>VLOOKUP(Table56[[#This Row],[Shortname]], Comp[], 14, FALSE)</f>
        <v>0</v>
      </c>
      <c r="P283">
        <f>VLOOKUP(Table56[[#This Row],[Shortname]], Comp[], 15, FALSE)</f>
        <v>0</v>
      </c>
      <c r="Q283">
        <f>VLOOKUP(Table56[[#This Row],[Shortname]], Comp[], 16, FALSE)</f>
        <v>0</v>
      </c>
      <c r="R283">
        <f>VLOOKUP(Table56[[#This Row],[Shortname]], Comp[], 17, FALSE)</f>
        <v>0</v>
      </c>
      <c r="S283">
        <f>VLOOKUP(Table56[[#This Row],[Shortname]], Comp[], 18, FALSE)</f>
        <v>0</v>
      </c>
      <c r="T283">
        <f>VLOOKUP(Table56[[#This Row],[Shortname]], Comp[], 19, FALSE)</f>
        <v>0</v>
      </c>
      <c r="U283">
        <f>VLOOKUP(Table56[[#This Row],[Shortname]], Comp[], 20, FALSE)</f>
        <v>0</v>
      </c>
      <c r="V283">
        <f>VLOOKUP(Table56[[#This Row],[Shortname]], Comp[], 21, FALSE)</f>
        <v>0</v>
      </c>
      <c r="W283">
        <f>VLOOKUP(Table56[[#This Row],[Shortname]], Comp[], 22, FALSE)</f>
        <v>0</v>
      </c>
      <c r="X283">
        <f>VLOOKUP(Table56[[#This Row],[Shortname]], Comp[], 23, FALSE)</f>
        <v>0</v>
      </c>
      <c r="Y283">
        <f>VLOOKUP(Table56[[#This Row],[Shortname]], Comp[], 24, FALSE)</f>
        <v>0</v>
      </c>
      <c r="Z283">
        <f>VLOOKUP(Table56[[#This Row],[Shortname]], Comp[], 25, FALSE)</f>
        <v>0</v>
      </c>
      <c r="AA283">
        <f>VLOOKUP(Table56[[#This Row],[Shortname]], Comp[], 26, FALSE)</f>
        <v>0</v>
      </c>
      <c r="AB283">
        <f>VLOOKUP(Table56[[#This Row],[Shortname]], Comp[], 27, FALSE)</f>
        <v>0</v>
      </c>
      <c r="AC283">
        <f>VLOOKUP(Table56[[#This Row],[Shortname]], Comp[], 28, FALSE)</f>
        <v>0</v>
      </c>
      <c r="AD283">
        <f>VLOOKUP(Table56[[#This Row],[Shortname]], Comp[], 29, FALSE)</f>
        <v>0</v>
      </c>
      <c r="AE283">
        <f>VLOOKUP(Table56[[#This Row],[Shortname]], Comp[], 30, FALSE)</f>
        <v>0</v>
      </c>
      <c r="AF283">
        <f>VLOOKUP(Table56[[#This Row],[Shortname]], Comp[], 31, FALSE)</f>
        <v>0</v>
      </c>
    </row>
    <row r="284" spans="1:32" x14ac:dyDescent="0.3">
      <c r="A284" s="7" t="s">
        <v>4866</v>
      </c>
      <c r="B284" s="7" t="s">
        <v>4867</v>
      </c>
      <c r="C284" s="3" t="s">
        <v>4862</v>
      </c>
      <c r="E284">
        <v>1368</v>
      </c>
      <c r="F284">
        <v>1425</v>
      </c>
      <c r="H284" s="14">
        <f>VLOOKUP(Table56[[#This Row],[Shortname]], Comp[], 7, FALSE)</f>
        <v>81.02</v>
      </c>
      <c r="I284">
        <f>VLOOKUP(Table56[[#This Row],[Shortname]], Comp[], 8, FALSE)</f>
        <v>0</v>
      </c>
      <c r="J284">
        <f>VLOOKUP(Table56[[#This Row],[Shortname]], Comp[], 9, FALSE)</f>
        <v>6.69</v>
      </c>
      <c r="K284">
        <f>VLOOKUP(Table56[[#This Row],[Shortname]], Comp[], 10, FALSE)</f>
        <v>0</v>
      </c>
      <c r="L284">
        <f>VLOOKUP(Table56[[#This Row],[Shortname]], Comp[], 11, FALSE)</f>
        <v>8.2899999999999991</v>
      </c>
      <c r="M284">
        <f>VLOOKUP(Table56[[#This Row],[Shortname]], Comp[],12, FALSE)</f>
        <v>4</v>
      </c>
      <c r="N284">
        <f>VLOOKUP(Table56[[#This Row],[Shortname]], Comp[], 13, FALSE)</f>
        <v>0</v>
      </c>
      <c r="O284">
        <f>VLOOKUP(Table56[[#This Row],[Shortname]], Comp[], 14, FALSE)</f>
        <v>0</v>
      </c>
      <c r="P284">
        <f>VLOOKUP(Table56[[#This Row],[Shortname]], Comp[], 15, FALSE)</f>
        <v>0</v>
      </c>
      <c r="Q284">
        <f>VLOOKUP(Table56[[#This Row],[Shortname]], Comp[], 16, FALSE)</f>
        <v>0</v>
      </c>
      <c r="R284">
        <f>VLOOKUP(Table56[[#This Row],[Shortname]], Comp[], 17, FALSE)</f>
        <v>0</v>
      </c>
      <c r="S284">
        <f>VLOOKUP(Table56[[#This Row],[Shortname]], Comp[], 18, FALSE)</f>
        <v>0</v>
      </c>
      <c r="T284">
        <f>VLOOKUP(Table56[[#This Row],[Shortname]], Comp[], 19, FALSE)</f>
        <v>0</v>
      </c>
      <c r="U284">
        <f>VLOOKUP(Table56[[#This Row],[Shortname]], Comp[], 20, FALSE)</f>
        <v>0</v>
      </c>
      <c r="V284">
        <f>VLOOKUP(Table56[[#This Row],[Shortname]], Comp[], 21, FALSE)</f>
        <v>0</v>
      </c>
      <c r="W284">
        <f>VLOOKUP(Table56[[#This Row],[Shortname]], Comp[], 22, FALSE)</f>
        <v>0</v>
      </c>
      <c r="X284">
        <f>VLOOKUP(Table56[[#This Row],[Shortname]], Comp[], 23, FALSE)</f>
        <v>0</v>
      </c>
      <c r="Y284">
        <f>VLOOKUP(Table56[[#This Row],[Shortname]], Comp[], 24, FALSE)</f>
        <v>0</v>
      </c>
      <c r="Z284">
        <f>VLOOKUP(Table56[[#This Row],[Shortname]], Comp[], 25, FALSE)</f>
        <v>0</v>
      </c>
      <c r="AA284">
        <f>VLOOKUP(Table56[[#This Row],[Shortname]], Comp[], 26, FALSE)</f>
        <v>0</v>
      </c>
      <c r="AB284">
        <f>VLOOKUP(Table56[[#This Row],[Shortname]], Comp[], 27, FALSE)</f>
        <v>0</v>
      </c>
      <c r="AC284">
        <f>VLOOKUP(Table56[[#This Row],[Shortname]], Comp[], 28, FALSE)</f>
        <v>0</v>
      </c>
      <c r="AD284">
        <f>VLOOKUP(Table56[[#This Row],[Shortname]], Comp[], 29, FALSE)</f>
        <v>0</v>
      </c>
      <c r="AE284">
        <f>VLOOKUP(Table56[[#This Row],[Shortname]], Comp[], 30, FALSE)</f>
        <v>0</v>
      </c>
      <c r="AF284">
        <f>VLOOKUP(Table56[[#This Row],[Shortname]], Comp[], 31, FALSE)</f>
        <v>0</v>
      </c>
    </row>
    <row r="285" spans="1:32" x14ac:dyDescent="0.3">
      <c r="A285" s="7" t="s">
        <v>4871</v>
      </c>
      <c r="B285" s="7" t="s">
        <v>4872</v>
      </c>
      <c r="C285" s="3" t="s">
        <v>4862</v>
      </c>
      <c r="E285">
        <v>1471</v>
      </c>
      <c r="F285">
        <v>1484</v>
      </c>
      <c r="H285" s="14">
        <f>VLOOKUP(Table56[[#This Row],[Shortname]], Comp[], 7, FALSE)</f>
        <v>84.42</v>
      </c>
      <c r="I285">
        <f>VLOOKUP(Table56[[#This Row],[Shortname]], Comp[], 8, FALSE)</f>
        <v>0</v>
      </c>
      <c r="J285">
        <f>VLOOKUP(Table56[[#This Row],[Shortname]], Comp[], 9, FALSE)</f>
        <v>7.24</v>
      </c>
      <c r="K285">
        <f>VLOOKUP(Table56[[#This Row],[Shortname]], Comp[], 10, FALSE)</f>
        <v>0</v>
      </c>
      <c r="L285">
        <f>VLOOKUP(Table56[[#This Row],[Shortname]], Comp[], 11, FALSE)</f>
        <v>8.34</v>
      </c>
      <c r="M285">
        <f>VLOOKUP(Table56[[#This Row],[Shortname]], Comp[],12, FALSE)</f>
        <v>0</v>
      </c>
      <c r="N285">
        <f>VLOOKUP(Table56[[#This Row],[Shortname]], Comp[], 13, FALSE)</f>
        <v>0</v>
      </c>
      <c r="O285">
        <f>VLOOKUP(Table56[[#This Row],[Shortname]], Comp[], 14, FALSE)</f>
        <v>0</v>
      </c>
      <c r="P285">
        <f>VLOOKUP(Table56[[#This Row],[Shortname]], Comp[], 15, FALSE)</f>
        <v>0</v>
      </c>
      <c r="Q285">
        <f>VLOOKUP(Table56[[#This Row],[Shortname]], Comp[], 16, FALSE)</f>
        <v>0</v>
      </c>
      <c r="R285">
        <f>VLOOKUP(Table56[[#This Row],[Shortname]], Comp[], 17, FALSE)</f>
        <v>0</v>
      </c>
      <c r="S285">
        <f>VLOOKUP(Table56[[#This Row],[Shortname]], Comp[], 18, FALSE)</f>
        <v>0</v>
      </c>
      <c r="T285">
        <f>VLOOKUP(Table56[[#This Row],[Shortname]], Comp[], 19, FALSE)</f>
        <v>0</v>
      </c>
      <c r="U285">
        <f>VLOOKUP(Table56[[#This Row],[Shortname]], Comp[], 20, FALSE)</f>
        <v>0</v>
      </c>
      <c r="V285">
        <f>VLOOKUP(Table56[[#This Row],[Shortname]], Comp[], 21, FALSE)</f>
        <v>0</v>
      </c>
      <c r="W285">
        <f>VLOOKUP(Table56[[#This Row],[Shortname]], Comp[], 22, FALSE)</f>
        <v>0</v>
      </c>
      <c r="X285">
        <f>VLOOKUP(Table56[[#This Row],[Shortname]], Comp[], 23, FALSE)</f>
        <v>0</v>
      </c>
      <c r="Y285">
        <f>VLOOKUP(Table56[[#This Row],[Shortname]], Comp[], 24, FALSE)</f>
        <v>0</v>
      </c>
      <c r="Z285">
        <f>VLOOKUP(Table56[[#This Row],[Shortname]], Comp[], 25, FALSE)</f>
        <v>0</v>
      </c>
      <c r="AA285">
        <f>VLOOKUP(Table56[[#This Row],[Shortname]], Comp[], 26, FALSE)</f>
        <v>0</v>
      </c>
      <c r="AB285">
        <f>VLOOKUP(Table56[[#This Row],[Shortname]], Comp[], 27, FALSE)</f>
        <v>0</v>
      </c>
      <c r="AC285">
        <f>VLOOKUP(Table56[[#This Row],[Shortname]], Comp[], 28, FALSE)</f>
        <v>0</v>
      </c>
      <c r="AD285">
        <f>VLOOKUP(Table56[[#This Row],[Shortname]], Comp[], 29, FALSE)</f>
        <v>0</v>
      </c>
      <c r="AE285">
        <f>VLOOKUP(Table56[[#This Row],[Shortname]], Comp[], 30, FALSE)</f>
        <v>0</v>
      </c>
      <c r="AF285">
        <f>VLOOKUP(Table56[[#This Row],[Shortname]], Comp[], 31, FALSE)</f>
        <v>0</v>
      </c>
    </row>
    <row r="286" spans="1:32" x14ac:dyDescent="0.3">
      <c r="A286" s="7" t="s">
        <v>4860</v>
      </c>
      <c r="B286" s="7" t="s">
        <v>4861</v>
      </c>
      <c r="C286" s="3" t="s">
        <v>4862</v>
      </c>
      <c r="E286">
        <v>1336</v>
      </c>
      <c r="F286">
        <v>1417</v>
      </c>
      <c r="H286" s="14">
        <f>VLOOKUP(Table56[[#This Row],[Shortname]], Comp[], 7, FALSE)</f>
        <v>79.7</v>
      </c>
      <c r="I286">
        <f>VLOOKUP(Table56[[#This Row],[Shortname]], Comp[], 8, FALSE)</f>
        <v>0</v>
      </c>
      <c r="J286">
        <f>VLOOKUP(Table56[[#This Row],[Shortname]], Comp[], 9, FALSE)</f>
        <v>7.11</v>
      </c>
      <c r="K286">
        <f>VLOOKUP(Table56[[#This Row],[Shortname]], Comp[], 10, FALSE)</f>
        <v>0</v>
      </c>
      <c r="L286">
        <f>VLOOKUP(Table56[[#This Row],[Shortname]], Comp[], 11, FALSE)</f>
        <v>8.23</v>
      </c>
      <c r="M286">
        <f>VLOOKUP(Table56[[#This Row],[Shortname]], Comp[],12, FALSE)</f>
        <v>4.01</v>
      </c>
      <c r="N286">
        <f>VLOOKUP(Table56[[#This Row],[Shortname]], Comp[], 13, FALSE)</f>
        <v>0.95</v>
      </c>
      <c r="O286">
        <f>VLOOKUP(Table56[[#This Row],[Shortname]], Comp[], 14, FALSE)</f>
        <v>0</v>
      </c>
      <c r="P286">
        <f>VLOOKUP(Table56[[#This Row],[Shortname]], Comp[], 15, FALSE)</f>
        <v>0</v>
      </c>
      <c r="Q286">
        <f>VLOOKUP(Table56[[#This Row],[Shortname]], Comp[], 16, FALSE)</f>
        <v>0</v>
      </c>
      <c r="R286">
        <f>VLOOKUP(Table56[[#This Row],[Shortname]], Comp[], 17, FALSE)</f>
        <v>0</v>
      </c>
      <c r="S286">
        <f>VLOOKUP(Table56[[#This Row],[Shortname]], Comp[], 18, FALSE)</f>
        <v>0</v>
      </c>
      <c r="T286">
        <f>VLOOKUP(Table56[[#This Row],[Shortname]], Comp[], 19, FALSE)</f>
        <v>0</v>
      </c>
      <c r="U286">
        <f>VLOOKUP(Table56[[#This Row],[Shortname]], Comp[], 20, FALSE)</f>
        <v>0</v>
      </c>
      <c r="V286">
        <f>VLOOKUP(Table56[[#This Row],[Shortname]], Comp[], 21, FALSE)</f>
        <v>0</v>
      </c>
      <c r="W286">
        <f>VLOOKUP(Table56[[#This Row],[Shortname]], Comp[], 22, FALSE)</f>
        <v>0</v>
      </c>
      <c r="X286">
        <f>VLOOKUP(Table56[[#This Row],[Shortname]], Comp[], 23, FALSE)</f>
        <v>0</v>
      </c>
      <c r="Y286">
        <f>VLOOKUP(Table56[[#This Row],[Shortname]], Comp[], 24, FALSE)</f>
        <v>0</v>
      </c>
      <c r="Z286">
        <f>VLOOKUP(Table56[[#This Row],[Shortname]], Comp[], 25, FALSE)</f>
        <v>0</v>
      </c>
      <c r="AA286">
        <f>VLOOKUP(Table56[[#This Row],[Shortname]], Comp[], 26, FALSE)</f>
        <v>0</v>
      </c>
      <c r="AB286">
        <f>VLOOKUP(Table56[[#This Row],[Shortname]], Comp[], 27, FALSE)</f>
        <v>0</v>
      </c>
      <c r="AC286">
        <f>VLOOKUP(Table56[[#This Row],[Shortname]], Comp[], 28, FALSE)</f>
        <v>0</v>
      </c>
      <c r="AD286">
        <f>VLOOKUP(Table56[[#This Row],[Shortname]], Comp[], 29, FALSE)</f>
        <v>0</v>
      </c>
      <c r="AE286">
        <f>VLOOKUP(Table56[[#This Row],[Shortname]], Comp[], 30, FALSE)</f>
        <v>0</v>
      </c>
      <c r="AF286">
        <f>VLOOKUP(Table56[[#This Row],[Shortname]], Comp[], 31, FALSE)</f>
        <v>0</v>
      </c>
    </row>
    <row r="287" spans="1:32" x14ac:dyDescent="0.3">
      <c r="A287" s="7" t="s">
        <v>4881</v>
      </c>
      <c r="B287" s="7" t="s">
        <v>4883</v>
      </c>
      <c r="C287" t="s">
        <v>6768</v>
      </c>
      <c r="D287">
        <v>1090</v>
      </c>
      <c r="E287">
        <v>1310</v>
      </c>
      <c r="F287">
        <v>1372</v>
      </c>
      <c r="H287" s="14">
        <f>VLOOKUP(Table56[[#This Row],[Shortname]], Comp[], 7, FALSE)</f>
        <v>76</v>
      </c>
      <c r="I287">
        <f>VLOOKUP(Table56[[#This Row],[Shortname]], Comp[], 8, FALSE)</f>
        <v>0</v>
      </c>
      <c r="J287">
        <f>VLOOKUP(Table56[[#This Row],[Shortname]], Comp[], 9, FALSE)</f>
        <v>8</v>
      </c>
      <c r="K287">
        <f>VLOOKUP(Table56[[#This Row],[Shortname]], Comp[], 10, FALSE)</f>
        <v>14</v>
      </c>
      <c r="L287">
        <f>VLOOKUP(Table56[[#This Row],[Shortname]], Comp[], 11, FALSE)</f>
        <v>2</v>
      </c>
      <c r="M287">
        <f>VLOOKUP(Table56[[#This Row],[Shortname]], Comp[],12, FALSE)</f>
        <v>0</v>
      </c>
      <c r="N287">
        <f>VLOOKUP(Table56[[#This Row],[Shortname]], Comp[], 13, FALSE)</f>
        <v>0</v>
      </c>
      <c r="O287">
        <f>VLOOKUP(Table56[[#This Row],[Shortname]], Comp[], 14, FALSE)</f>
        <v>0</v>
      </c>
      <c r="P287">
        <f>VLOOKUP(Table56[[#This Row],[Shortname]], Comp[], 15, FALSE)</f>
        <v>0</v>
      </c>
      <c r="Q287">
        <f>VLOOKUP(Table56[[#This Row],[Shortname]], Comp[], 16, FALSE)</f>
        <v>0</v>
      </c>
      <c r="R287">
        <f>VLOOKUP(Table56[[#This Row],[Shortname]], Comp[], 17, FALSE)</f>
        <v>0</v>
      </c>
      <c r="S287">
        <f>VLOOKUP(Table56[[#This Row],[Shortname]], Comp[], 18, FALSE)</f>
        <v>0</v>
      </c>
      <c r="T287">
        <f>VLOOKUP(Table56[[#This Row],[Shortname]], Comp[], 19, FALSE)</f>
        <v>0</v>
      </c>
      <c r="U287">
        <f>VLOOKUP(Table56[[#This Row],[Shortname]], Comp[], 20, FALSE)</f>
        <v>0</v>
      </c>
      <c r="V287">
        <f>VLOOKUP(Table56[[#This Row],[Shortname]], Comp[], 21, FALSE)</f>
        <v>0</v>
      </c>
      <c r="W287">
        <f>VLOOKUP(Table56[[#This Row],[Shortname]], Comp[], 22, FALSE)</f>
        <v>0</v>
      </c>
      <c r="X287">
        <f>VLOOKUP(Table56[[#This Row],[Shortname]], Comp[], 23, FALSE)</f>
        <v>0</v>
      </c>
      <c r="Y287">
        <f>VLOOKUP(Table56[[#This Row],[Shortname]], Comp[], 24, FALSE)</f>
        <v>0</v>
      </c>
      <c r="Z287">
        <f>VLOOKUP(Table56[[#This Row],[Shortname]], Comp[], 25, FALSE)</f>
        <v>0</v>
      </c>
      <c r="AA287">
        <f>VLOOKUP(Table56[[#This Row],[Shortname]], Comp[], 26, FALSE)</f>
        <v>0</v>
      </c>
      <c r="AB287">
        <f>VLOOKUP(Table56[[#This Row],[Shortname]], Comp[], 27, FALSE)</f>
        <v>0</v>
      </c>
      <c r="AC287">
        <f>VLOOKUP(Table56[[#This Row],[Shortname]], Comp[], 28, FALSE)</f>
        <v>0</v>
      </c>
      <c r="AD287">
        <f>VLOOKUP(Table56[[#This Row],[Shortname]], Comp[], 29, FALSE)</f>
        <v>0</v>
      </c>
      <c r="AE287">
        <f>VLOOKUP(Table56[[#This Row],[Shortname]], Comp[], 30, FALSE)</f>
        <v>0</v>
      </c>
      <c r="AF287">
        <f>VLOOKUP(Table56[[#This Row],[Shortname]], Comp[], 31, FALSE)</f>
        <v>0</v>
      </c>
    </row>
    <row r="288" spans="1:32" x14ac:dyDescent="0.3">
      <c r="A288" s="29" t="s">
        <v>5350</v>
      </c>
      <c r="B288" s="29" t="s">
        <v>5351</v>
      </c>
      <c r="C288" s="30" t="s">
        <v>5352</v>
      </c>
      <c r="D288" s="29"/>
      <c r="E288" s="31">
        <v>1306</v>
      </c>
      <c r="F288" s="31">
        <v>1384</v>
      </c>
      <c r="G288" s="29"/>
      <c r="H288" s="14">
        <f>VLOOKUP(Table56[[#This Row],[Shortname]], Comp[], 7, FALSE)</f>
        <v>42.569272556000001</v>
      </c>
      <c r="I288">
        <f>VLOOKUP(Table56[[#This Row],[Shortname]], Comp[], 8, FALSE)</f>
        <v>31.96007638</v>
      </c>
      <c r="J288">
        <f>VLOOKUP(Table56[[#This Row],[Shortname]], Comp[], 9, FALSE)</f>
        <v>5.9920704239999996</v>
      </c>
      <c r="K288">
        <f>VLOOKUP(Table56[[#This Row],[Shortname]], Comp[], 10, FALSE)</f>
        <v>11.97838142</v>
      </c>
      <c r="L288">
        <f>VLOOKUP(Table56[[#This Row],[Shortname]], Comp[], 11, FALSE)</f>
        <v>2.9947929389999999</v>
      </c>
      <c r="M288">
        <f>VLOOKUP(Table56[[#This Row],[Shortname]], Comp[],12, FALSE)</f>
        <v>2.4909532900000002</v>
      </c>
      <c r="N288">
        <f>VLOOKUP(Table56[[#This Row],[Shortname]], Comp[], 13, FALSE)</f>
        <v>1.499312835</v>
      </c>
      <c r="O288">
        <f>VLOOKUP(Table56[[#This Row],[Shortname]], Comp[], 14, FALSE)</f>
        <v>0</v>
      </c>
      <c r="P288">
        <f>VLOOKUP(Table56[[#This Row],[Shortname]], Comp[], 15, FALSE)</f>
        <v>0</v>
      </c>
      <c r="Q288">
        <f>VLOOKUP(Table56[[#This Row],[Shortname]], Comp[], 16, FALSE)</f>
        <v>0</v>
      </c>
      <c r="R288">
        <f>VLOOKUP(Table56[[#This Row],[Shortname]], Comp[], 17, FALSE)</f>
        <v>8.1580794999999998E-2</v>
      </c>
      <c r="S288">
        <f>VLOOKUP(Table56[[#This Row],[Shortname]], Comp[], 18, FALSE)</f>
        <v>1.0405662E-2</v>
      </c>
      <c r="T288">
        <f>VLOOKUP(Table56[[#This Row],[Shortname]], Comp[], 19, FALSE)</f>
        <v>7.9313929000000005E-2</v>
      </c>
      <c r="U288">
        <f>VLOOKUP(Table56[[#This Row],[Shortname]], Comp[], 20, FALSE)</f>
        <v>0</v>
      </c>
      <c r="V288">
        <f>VLOOKUP(Table56[[#This Row],[Shortname]], Comp[], 21, FALSE)</f>
        <v>0</v>
      </c>
      <c r="W288">
        <f>VLOOKUP(Table56[[#This Row],[Shortname]], Comp[], 22, FALSE)</f>
        <v>0.34383976999999999</v>
      </c>
      <c r="X288">
        <f>VLOOKUP(Table56[[#This Row],[Shortname]], Comp[], 23, FALSE)</f>
        <v>0</v>
      </c>
      <c r="Y288">
        <f>VLOOKUP(Table56[[#This Row],[Shortname]], Comp[], 24, FALSE)</f>
        <v>0</v>
      </c>
      <c r="Z288">
        <f>VLOOKUP(Table56[[#This Row],[Shortname]], Comp[], 25, FALSE)</f>
        <v>0</v>
      </c>
      <c r="AA288">
        <f>VLOOKUP(Table56[[#This Row],[Shortname]], Comp[], 26, FALSE)</f>
        <v>0</v>
      </c>
      <c r="AB288">
        <f>VLOOKUP(Table56[[#This Row],[Shortname]], Comp[], 27, FALSE)</f>
        <v>0</v>
      </c>
      <c r="AC288">
        <f>VLOOKUP(Table56[[#This Row],[Shortname]], Comp[], 28, FALSE)</f>
        <v>0</v>
      </c>
      <c r="AD288">
        <f>VLOOKUP(Table56[[#This Row],[Shortname]], Comp[], 29, FALSE)</f>
        <v>0</v>
      </c>
      <c r="AE288">
        <f>VLOOKUP(Table56[[#This Row],[Shortname]], Comp[], 30, FALSE)</f>
        <v>0</v>
      </c>
      <c r="AF288">
        <f>VLOOKUP(Table56[[#This Row],[Shortname]], Comp[], 31, FALSE)</f>
        <v>0</v>
      </c>
    </row>
    <row r="289" spans="1:32" x14ac:dyDescent="0.3">
      <c r="A289" s="12" t="s">
        <v>5591</v>
      </c>
      <c r="B289" s="12" t="s">
        <v>5592</v>
      </c>
      <c r="C289" s="12" t="s">
        <v>5593</v>
      </c>
      <c r="D289" s="12">
        <v>1218</v>
      </c>
      <c r="E289" s="12">
        <v>1338</v>
      </c>
      <c r="F289" s="12">
        <v>1391</v>
      </c>
      <c r="H289" s="14">
        <f>VLOOKUP(Table56[[#This Row],[Shortname]], Comp[], 7, FALSE)</f>
        <v>50.120000000000005</v>
      </c>
      <c r="I289">
        <f>VLOOKUP(Table56[[#This Row],[Shortname]], Comp[], 8, FALSE)</f>
        <v>30.2</v>
      </c>
      <c r="J289">
        <f>VLOOKUP(Table56[[#This Row],[Shortname]], Comp[], 9, FALSE)</f>
        <v>9.83</v>
      </c>
      <c r="K289">
        <f>VLOOKUP(Table56[[#This Row],[Shortname]], Comp[], 10, FALSE)</f>
        <v>0</v>
      </c>
      <c r="L289">
        <f>VLOOKUP(Table56[[#This Row],[Shortname]], Comp[], 11, FALSE)</f>
        <v>4.0199999999999996</v>
      </c>
      <c r="M289">
        <f>VLOOKUP(Table56[[#This Row],[Shortname]], Comp[],12, FALSE)</f>
        <v>3.93</v>
      </c>
      <c r="N289">
        <f>VLOOKUP(Table56[[#This Row],[Shortname]], Comp[], 13, FALSE)</f>
        <v>1.9</v>
      </c>
      <c r="O289">
        <f>VLOOKUP(Table56[[#This Row],[Shortname]], Comp[], 14, FALSE)</f>
        <v>0</v>
      </c>
      <c r="P289">
        <f>VLOOKUP(Table56[[#This Row],[Shortname]], Comp[], 15, FALSE)</f>
        <v>0</v>
      </c>
      <c r="Q289">
        <f>VLOOKUP(Table56[[#This Row],[Shortname]], Comp[], 16, FALSE)</f>
        <v>0</v>
      </c>
      <c r="R289">
        <f>VLOOKUP(Table56[[#This Row],[Shortname]], Comp[], 17, FALSE)</f>
        <v>0</v>
      </c>
      <c r="S289">
        <f>VLOOKUP(Table56[[#This Row],[Shortname]], Comp[], 18, FALSE)</f>
        <v>0</v>
      </c>
      <c r="T289">
        <f>VLOOKUP(Table56[[#This Row],[Shortname]], Comp[], 19, FALSE)</f>
        <v>0</v>
      </c>
      <c r="U289">
        <f>VLOOKUP(Table56[[#This Row],[Shortname]], Comp[], 20, FALSE)</f>
        <v>0</v>
      </c>
      <c r="V289">
        <f>VLOOKUP(Table56[[#This Row],[Shortname]], Comp[], 21, FALSE)</f>
        <v>0</v>
      </c>
      <c r="W289">
        <f>VLOOKUP(Table56[[#This Row],[Shortname]], Comp[], 22, FALSE)</f>
        <v>0</v>
      </c>
      <c r="X289">
        <f>VLOOKUP(Table56[[#This Row],[Shortname]], Comp[], 23, FALSE)</f>
        <v>0</v>
      </c>
      <c r="Y289">
        <f>VLOOKUP(Table56[[#This Row],[Shortname]], Comp[], 24, FALSE)</f>
        <v>0</v>
      </c>
      <c r="Z289">
        <f>VLOOKUP(Table56[[#This Row],[Shortname]], Comp[], 25, FALSE)</f>
        <v>0</v>
      </c>
      <c r="AA289">
        <f>VLOOKUP(Table56[[#This Row],[Shortname]], Comp[], 26, FALSE)</f>
        <v>0</v>
      </c>
      <c r="AB289">
        <f>VLOOKUP(Table56[[#This Row],[Shortname]], Comp[], 27, FALSE)</f>
        <v>0</v>
      </c>
      <c r="AC289">
        <f>VLOOKUP(Table56[[#This Row],[Shortname]], Comp[], 28, FALSE)</f>
        <v>0</v>
      </c>
      <c r="AD289">
        <f>VLOOKUP(Table56[[#This Row],[Shortname]], Comp[], 29, FALSE)</f>
        <v>0</v>
      </c>
      <c r="AE289">
        <f>VLOOKUP(Table56[[#This Row],[Shortname]], Comp[], 30, FALSE)</f>
        <v>0</v>
      </c>
      <c r="AF289">
        <f>VLOOKUP(Table56[[#This Row],[Shortname]], Comp[], 31, FALSE)</f>
        <v>0</v>
      </c>
    </row>
    <row r="290" spans="1:32" x14ac:dyDescent="0.3">
      <c r="A290" s="12" t="s">
        <v>5624</v>
      </c>
      <c r="B290" s="12" t="s">
        <v>5625</v>
      </c>
      <c r="C290" s="12" t="s">
        <v>5626</v>
      </c>
      <c r="D290" s="12">
        <v>980</v>
      </c>
      <c r="E290" s="12">
        <v>1322</v>
      </c>
      <c r="F290" s="12">
        <v>1395</v>
      </c>
      <c r="H290" s="14">
        <f>VLOOKUP(Table56[[#This Row],[Shortname]], Comp[], 7, FALSE)</f>
        <v>45.900000000000006</v>
      </c>
      <c r="I290">
        <f>VLOOKUP(Table56[[#This Row],[Shortname]], Comp[], 8, FALSE)</f>
        <v>29.7</v>
      </c>
      <c r="J290">
        <f>VLOOKUP(Table56[[#This Row],[Shortname]], Comp[], 9, FALSE)</f>
        <v>9.6</v>
      </c>
      <c r="K290">
        <f>VLOOKUP(Table56[[#This Row],[Shortname]], Comp[], 10, FALSE)</f>
        <v>8.1999999999999993</v>
      </c>
      <c r="L290">
        <f>VLOOKUP(Table56[[#This Row],[Shortname]], Comp[], 11, FALSE)</f>
        <v>0</v>
      </c>
      <c r="M290">
        <f>VLOOKUP(Table56[[#This Row],[Shortname]], Comp[],12, FALSE)</f>
        <v>0</v>
      </c>
      <c r="N290">
        <f>VLOOKUP(Table56[[#This Row],[Shortname]], Comp[], 13, FALSE)</f>
        <v>0</v>
      </c>
      <c r="O290">
        <f>VLOOKUP(Table56[[#This Row],[Shortname]], Comp[], 14, FALSE)</f>
        <v>1.8</v>
      </c>
      <c r="P290">
        <f>VLOOKUP(Table56[[#This Row],[Shortname]], Comp[], 15, FALSE)</f>
        <v>0</v>
      </c>
      <c r="Q290">
        <f>VLOOKUP(Table56[[#This Row],[Shortname]], Comp[], 16, FALSE)</f>
        <v>4.8</v>
      </c>
      <c r="R290">
        <f>VLOOKUP(Table56[[#This Row],[Shortname]], Comp[], 17, FALSE)</f>
        <v>0</v>
      </c>
      <c r="S290">
        <f>VLOOKUP(Table56[[#This Row],[Shortname]], Comp[], 18, FALSE)</f>
        <v>0</v>
      </c>
      <c r="T290">
        <f>VLOOKUP(Table56[[#This Row],[Shortname]], Comp[], 19, FALSE)</f>
        <v>0</v>
      </c>
      <c r="U290">
        <f>VLOOKUP(Table56[[#This Row],[Shortname]], Comp[], 20, FALSE)</f>
        <v>0</v>
      </c>
      <c r="V290">
        <f>VLOOKUP(Table56[[#This Row],[Shortname]], Comp[], 21, FALSE)</f>
        <v>0</v>
      </c>
      <c r="W290">
        <f>VLOOKUP(Table56[[#This Row],[Shortname]], Comp[], 22, FALSE)</f>
        <v>0</v>
      </c>
      <c r="X290">
        <f>VLOOKUP(Table56[[#This Row],[Shortname]], Comp[], 23, FALSE)</f>
        <v>0</v>
      </c>
      <c r="Y290">
        <f>VLOOKUP(Table56[[#This Row],[Shortname]], Comp[], 24, FALSE)</f>
        <v>0</v>
      </c>
      <c r="Z290">
        <f>VLOOKUP(Table56[[#This Row],[Shortname]], Comp[], 25, FALSE)</f>
        <v>0</v>
      </c>
      <c r="AA290">
        <f>VLOOKUP(Table56[[#This Row],[Shortname]], Comp[], 26, FALSE)</f>
        <v>0</v>
      </c>
      <c r="AB290">
        <f>VLOOKUP(Table56[[#This Row],[Shortname]], Comp[], 27, FALSE)</f>
        <v>0</v>
      </c>
      <c r="AC290">
        <f>VLOOKUP(Table56[[#This Row],[Shortname]], Comp[], 28, FALSE)</f>
        <v>0</v>
      </c>
      <c r="AD290">
        <f>VLOOKUP(Table56[[#This Row],[Shortname]], Comp[], 29, FALSE)</f>
        <v>0</v>
      </c>
      <c r="AE290">
        <f>VLOOKUP(Table56[[#This Row],[Shortname]], Comp[], 30, FALSE)</f>
        <v>0</v>
      </c>
      <c r="AF290">
        <f>VLOOKUP(Table56[[#This Row],[Shortname]], Comp[], 31, FALSE)</f>
        <v>0</v>
      </c>
    </row>
    <row r="291" spans="1:32" x14ac:dyDescent="0.3">
      <c r="A291" s="12" t="s">
        <v>5628</v>
      </c>
      <c r="B291" s="12" t="s">
        <v>5629</v>
      </c>
      <c r="C291" s="12" t="s">
        <v>5630</v>
      </c>
      <c r="D291" s="12">
        <v>1061</v>
      </c>
      <c r="E291" s="12">
        <v>1261</v>
      </c>
      <c r="F291" s="12">
        <v>1352</v>
      </c>
      <c r="H291" s="14">
        <f>VLOOKUP(Table56[[#This Row],[Shortname]], Comp[], 7, FALSE)</f>
        <v>43.3</v>
      </c>
      <c r="I291">
        <f>VLOOKUP(Table56[[#This Row],[Shortname]], Comp[], 8, FALSE)</f>
        <v>30.7</v>
      </c>
      <c r="J291">
        <f>VLOOKUP(Table56[[#This Row],[Shortname]], Comp[], 9, FALSE)</f>
        <v>9.5</v>
      </c>
      <c r="K291">
        <f>VLOOKUP(Table56[[#This Row],[Shortname]], Comp[], 10, FALSE)</f>
        <v>7.8</v>
      </c>
      <c r="L291">
        <f>VLOOKUP(Table56[[#This Row],[Shortname]], Comp[], 11, FALSE)</f>
        <v>0</v>
      </c>
      <c r="M291">
        <f>VLOOKUP(Table56[[#This Row],[Shortname]], Comp[],12, FALSE)</f>
        <v>2.1</v>
      </c>
      <c r="N291">
        <f>VLOOKUP(Table56[[#This Row],[Shortname]], Comp[], 13, FALSE)</f>
        <v>0</v>
      </c>
      <c r="O291">
        <f>VLOOKUP(Table56[[#This Row],[Shortname]], Comp[], 14, FALSE)</f>
        <v>1.9</v>
      </c>
      <c r="P291">
        <f>VLOOKUP(Table56[[#This Row],[Shortname]], Comp[], 15, FALSE)</f>
        <v>0</v>
      </c>
      <c r="Q291">
        <f>VLOOKUP(Table56[[#This Row],[Shortname]], Comp[], 16, FALSE)</f>
        <v>4.7</v>
      </c>
      <c r="R291">
        <f>VLOOKUP(Table56[[#This Row],[Shortname]], Comp[], 17, FALSE)</f>
        <v>0</v>
      </c>
      <c r="S291">
        <f>VLOOKUP(Table56[[#This Row],[Shortname]], Comp[], 18, FALSE)</f>
        <v>0</v>
      </c>
      <c r="T291">
        <f>VLOOKUP(Table56[[#This Row],[Shortname]], Comp[], 19, FALSE)</f>
        <v>0</v>
      </c>
      <c r="U291">
        <f>VLOOKUP(Table56[[#This Row],[Shortname]], Comp[], 20, FALSE)</f>
        <v>0</v>
      </c>
      <c r="V291">
        <f>VLOOKUP(Table56[[#This Row],[Shortname]], Comp[], 21, FALSE)</f>
        <v>0</v>
      </c>
      <c r="W291">
        <f>VLOOKUP(Table56[[#This Row],[Shortname]], Comp[], 22, FALSE)</f>
        <v>0</v>
      </c>
      <c r="X291">
        <f>VLOOKUP(Table56[[#This Row],[Shortname]], Comp[], 23, FALSE)</f>
        <v>0</v>
      </c>
      <c r="Y291">
        <f>VLOOKUP(Table56[[#This Row],[Shortname]], Comp[], 24, FALSE)</f>
        <v>0</v>
      </c>
      <c r="Z291">
        <f>VLOOKUP(Table56[[#This Row],[Shortname]], Comp[], 25, FALSE)</f>
        <v>0</v>
      </c>
      <c r="AA291">
        <f>VLOOKUP(Table56[[#This Row],[Shortname]], Comp[], 26, FALSE)</f>
        <v>0</v>
      </c>
      <c r="AB291">
        <f>VLOOKUP(Table56[[#This Row],[Shortname]], Comp[], 27, FALSE)</f>
        <v>0</v>
      </c>
      <c r="AC291">
        <f>VLOOKUP(Table56[[#This Row],[Shortname]], Comp[], 28, FALSE)</f>
        <v>0</v>
      </c>
      <c r="AD291">
        <f>VLOOKUP(Table56[[#This Row],[Shortname]], Comp[], 29, FALSE)</f>
        <v>0</v>
      </c>
      <c r="AE291">
        <f>VLOOKUP(Table56[[#This Row],[Shortname]], Comp[], 30, FALSE)</f>
        <v>0</v>
      </c>
      <c r="AF291">
        <f>VLOOKUP(Table56[[#This Row],[Shortname]], Comp[], 31, FALSE)</f>
        <v>0</v>
      </c>
    </row>
    <row r="292" spans="1:32" x14ac:dyDescent="0.3">
      <c r="A292" s="12" t="s">
        <v>5632</v>
      </c>
      <c r="B292" s="12" t="s">
        <v>5633</v>
      </c>
      <c r="C292" s="12" t="s">
        <v>5634</v>
      </c>
      <c r="D292" s="12">
        <v>1095</v>
      </c>
      <c r="E292" s="12">
        <v>1226</v>
      </c>
      <c r="F292" s="12">
        <v>1325</v>
      </c>
      <c r="H292" s="14">
        <f>VLOOKUP(Table56[[#This Row],[Shortname]], Comp[], 7, FALSE)</f>
        <v>40.900000000000006</v>
      </c>
      <c r="I292">
        <f>VLOOKUP(Table56[[#This Row],[Shortname]], Comp[], 8, FALSE)</f>
        <v>30.4</v>
      </c>
      <c r="J292">
        <f>VLOOKUP(Table56[[#This Row],[Shortname]], Comp[], 9, FALSE)</f>
        <v>9.6999999999999993</v>
      </c>
      <c r="K292">
        <f>VLOOKUP(Table56[[#This Row],[Shortname]], Comp[], 10, FALSE)</f>
        <v>8.1</v>
      </c>
      <c r="L292">
        <f>VLOOKUP(Table56[[#This Row],[Shortname]], Comp[], 11, FALSE)</f>
        <v>0</v>
      </c>
      <c r="M292">
        <f>VLOOKUP(Table56[[#This Row],[Shortname]], Comp[],12, FALSE)</f>
        <v>3.9</v>
      </c>
      <c r="N292">
        <f>VLOOKUP(Table56[[#This Row],[Shortname]], Comp[], 13, FALSE)</f>
        <v>0</v>
      </c>
      <c r="O292">
        <f>VLOOKUP(Table56[[#This Row],[Shortname]], Comp[], 14, FALSE)</f>
        <v>1.9</v>
      </c>
      <c r="P292">
        <f>VLOOKUP(Table56[[#This Row],[Shortname]], Comp[], 15, FALSE)</f>
        <v>0</v>
      </c>
      <c r="Q292">
        <f>VLOOKUP(Table56[[#This Row],[Shortname]], Comp[], 16, FALSE)</f>
        <v>5.0999999999999996</v>
      </c>
      <c r="R292">
        <f>VLOOKUP(Table56[[#This Row],[Shortname]], Comp[], 17, FALSE)</f>
        <v>0</v>
      </c>
      <c r="S292">
        <f>VLOOKUP(Table56[[#This Row],[Shortname]], Comp[], 18, FALSE)</f>
        <v>0</v>
      </c>
      <c r="T292">
        <f>VLOOKUP(Table56[[#This Row],[Shortname]], Comp[], 19, FALSE)</f>
        <v>0</v>
      </c>
      <c r="U292">
        <f>VLOOKUP(Table56[[#This Row],[Shortname]], Comp[], 20, FALSE)</f>
        <v>0</v>
      </c>
      <c r="V292">
        <f>VLOOKUP(Table56[[#This Row],[Shortname]], Comp[], 21, FALSE)</f>
        <v>0</v>
      </c>
      <c r="W292">
        <f>VLOOKUP(Table56[[#This Row],[Shortname]], Comp[], 22, FALSE)</f>
        <v>0</v>
      </c>
      <c r="X292">
        <f>VLOOKUP(Table56[[#This Row],[Shortname]], Comp[], 23, FALSE)</f>
        <v>0</v>
      </c>
      <c r="Y292">
        <f>VLOOKUP(Table56[[#This Row],[Shortname]], Comp[], 24, FALSE)</f>
        <v>0</v>
      </c>
      <c r="Z292">
        <f>VLOOKUP(Table56[[#This Row],[Shortname]], Comp[], 25, FALSE)</f>
        <v>0</v>
      </c>
      <c r="AA292">
        <f>VLOOKUP(Table56[[#This Row],[Shortname]], Comp[], 26, FALSE)</f>
        <v>0</v>
      </c>
      <c r="AB292">
        <f>VLOOKUP(Table56[[#This Row],[Shortname]], Comp[], 27, FALSE)</f>
        <v>0</v>
      </c>
      <c r="AC292">
        <f>VLOOKUP(Table56[[#This Row],[Shortname]], Comp[], 28, FALSE)</f>
        <v>0</v>
      </c>
      <c r="AD292">
        <f>VLOOKUP(Table56[[#This Row],[Shortname]], Comp[], 29, FALSE)</f>
        <v>0</v>
      </c>
      <c r="AE292">
        <f>VLOOKUP(Table56[[#This Row],[Shortname]], Comp[], 30, FALSE)</f>
        <v>0</v>
      </c>
      <c r="AF292">
        <f>VLOOKUP(Table56[[#This Row],[Shortname]], Comp[], 31, FALSE)</f>
        <v>0</v>
      </c>
    </row>
    <row r="293" spans="1:32" x14ac:dyDescent="0.3">
      <c r="A293" s="12" t="s">
        <v>5658</v>
      </c>
      <c r="B293" s="12" t="s">
        <v>5659</v>
      </c>
      <c r="C293" s="12" t="s">
        <v>5660</v>
      </c>
      <c r="D293" s="12">
        <v>864</v>
      </c>
      <c r="E293" s="12">
        <v>1442</v>
      </c>
      <c r="F293" s="12">
        <v>1463</v>
      </c>
      <c r="H293" s="14">
        <f>VLOOKUP(Table56[[#This Row],[Shortname]], Comp[], 7, FALSE)</f>
        <v>87.3</v>
      </c>
      <c r="I293">
        <f>VLOOKUP(Table56[[#This Row],[Shortname]], Comp[], 8, FALSE)</f>
        <v>0</v>
      </c>
      <c r="J293">
        <f>VLOOKUP(Table56[[#This Row],[Shortname]], Comp[], 9, FALSE)</f>
        <v>8.4</v>
      </c>
      <c r="K293">
        <f>VLOOKUP(Table56[[#This Row],[Shortname]], Comp[], 10, FALSE)</f>
        <v>0</v>
      </c>
      <c r="L293">
        <f>VLOOKUP(Table56[[#This Row],[Shortname]], Comp[], 11, FALSE)</f>
        <v>4.0999999999999996</v>
      </c>
      <c r="M293">
        <f>VLOOKUP(Table56[[#This Row],[Shortname]], Comp[],12, FALSE)</f>
        <v>0</v>
      </c>
      <c r="N293">
        <f>VLOOKUP(Table56[[#This Row],[Shortname]], Comp[], 13, FALSE)</f>
        <v>0.2</v>
      </c>
      <c r="O293">
        <f>VLOOKUP(Table56[[#This Row],[Shortname]], Comp[], 14, FALSE)</f>
        <v>0</v>
      </c>
      <c r="P293">
        <f>VLOOKUP(Table56[[#This Row],[Shortname]], Comp[], 15, FALSE)</f>
        <v>0</v>
      </c>
      <c r="Q293">
        <f>VLOOKUP(Table56[[#This Row],[Shortname]], Comp[], 16, FALSE)</f>
        <v>0</v>
      </c>
      <c r="R293">
        <f>VLOOKUP(Table56[[#This Row],[Shortname]], Comp[], 17, FALSE)</f>
        <v>0</v>
      </c>
      <c r="S293">
        <f>VLOOKUP(Table56[[#This Row],[Shortname]], Comp[], 18, FALSE)</f>
        <v>0</v>
      </c>
      <c r="T293">
        <f>VLOOKUP(Table56[[#This Row],[Shortname]], Comp[], 19, FALSE)</f>
        <v>0</v>
      </c>
      <c r="U293">
        <f>VLOOKUP(Table56[[#This Row],[Shortname]], Comp[], 20, FALSE)</f>
        <v>0</v>
      </c>
      <c r="V293">
        <f>VLOOKUP(Table56[[#This Row],[Shortname]], Comp[], 21, FALSE)</f>
        <v>0</v>
      </c>
      <c r="W293">
        <f>VLOOKUP(Table56[[#This Row],[Shortname]], Comp[], 22, FALSE)</f>
        <v>0</v>
      </c>
      <c r="X293">
        <f>VLOOKUP(Table56[[#This Row],[Shortname]], Comp[], 23, FALSE)</f>
        <v>0</v>
      </c>
      <c r="Y293">
        <f>VLOOKUP(Table56[[#This Row],[Shortname]], Comp[], 24, FALSE)</f>
        <v>0</v>
      </c>
      <c r="Z293">
        <f>VLOOKUP(Table56[[#This Row],[Shortname]], Comp[], 25, FALSE)</f>
        <v>0</v>
      </c>
      <c r="AA293">
        <f>VLOOKUP(Table56[[#This Row],[Shortname]], Comp[], 26, FALSE)</f>
        <v>0</v>
      </c>
      <c r="AB293">
        <f>VLOOKUP(Table56[[#This Row],[Shortname]], Comp[], 27, FALSE)</f>
        <v>0</v>
      </c>
      <c r="AC293">
        <f>VLOOKUP(Table56[[#This Row],[Shortname]], Comp[], 28, FALSE)</f>
        <v>0</v>
      </c>
      <c r="AD293">
        <f>VLOOKUP(Table56[[#This Row],[Shortname]], Comp[], 29, FALSE)</f>
        <v>0</v>
      </c>
      <c r="AE293">
        <f>VLOOKUP(Table56[[#This Row],[Shortname]], Comp[], 30, FALSE)</f>
        <v>0</v>
      </c>
      <c r="AF293">
        <f>VLOOKUP(Table56[[#This Row],[Shortname]], Comp[], 31, FALSE)</f>
        <v>0</v>
      </c>
    </row>
    <row r="294" spans="1:32" x14ac:dyDescent="0.3">
      <c r="A294" s="12" t="s">
        <v>5662</v>
      </c>
      <c r="B294" s="12" t="s">
        <v>469</v>
      </c>
      <c r="C294" s="12" t="s">
        <v>5660</v>
      </c>
      <c r="D294" s="12">
        <v>984</v>
      </c>
      <c r="E294" s="12">
        <v>1430</v>
      </c>
      <c r="F294" s="12">
        <v>1454</v>
      </c>
      <c r="H294" s="14">
        <f>VLOOKUP(Table56[[#This Row],[Shortname]], Comp[], 7, FALSE)</f>
        <v>84.8</v>
      </c>
      <c r="I294">
        <f>VLOOKUP(Table56[[#This Row],[Shortname]], Comp[], 8, FALSE)</f>
        <v>0</v>
      </c>
      <c r="J294">
        <f>VLOOKUP(Table56[[#This Row],[Shortname]], Comp[], 9, FALSE)</f>
        <v>8.6</v>
      </c>
      <c r="K294">
        <f>VLOOKUP(Table56[[#This Row],[Shortname]], Comp[], 10, FALSE)</f>
        <v>0</v>
      </c>
      <c r="L294">
        <f>VLOOKUP(Table56[[#This Row],[Shortname]], Comp[], 11, FALSE)</f>
        <v>6</v>
      </c>
      <c r="M294">
        <f>VLOOKUP(Table56[[#This Row],[Shortname]], Comp[],12, FALSE)</f>
        <v>0</v>
      </c>
      <c r="N294">
        <f>VLOOKUP(Table56[[#This Row],[Shortname]], Comp[], 13, FALSE)</f>
        <v>0.6</v>
      </c>
      <c r="O294">
        <f>VLOOKUP(Table56[[#This Row],[Shortname]], Comp[], 14, FALSE)</f>
        <v>0</v>
      </c>
      <c r="P294">
        <f>VLOOKUP(Table56[[#This Row],[Shortname]], Comp[], 15, FALSE)</f>
        <v>0</v>
      </c>
      <c r="Q294">
        <f>VLOOKUP(Table56[[#This Row],[Shortname]], Comp[], 16, FALSE)</f>
        <v>0</v>
      </c>
      <c r="R294">
        <f>VLOOKUP(Table56[[#This Row],[Shortname]], Comp[], 17, FALSE)</f>
        <v>0</v>
      </c>
      <c r="S294">
        <f>VLOOKUP(Table56[[#This Row],[Shortname]], Comp[], 18, FALSE)</f>
        <v>0</v>
      </c>
      <c r="T294">
        <f>VLOOKUP(Table56[[#This Row],[Shortname]], Comp[], 19, FALSE)</f>
        <v>0</v>
      </c>
      <c r="U294">
        <f>VLOOKUP(Table56[[#This Row],[Shortname]], Comp[], 20, FALSE)</f>
        <v>0</v>
      </c>
      <c r="V294">
        <f>VLOOKUP(Table56[[#This Row],[Shortname]], Comp[], 21, FALSE)</f>
        <v>0</v>
      </c>
      <c r="W294">
        <f>VLOOKUP(Table56[[#This Row],[Shortname]], Comp[], 22, FALSE)</f>
        <v>0</v>
      </c>
      <c r="X294">
        <f>VLOOKUP(Table56[[#This Row],[Shortname]], Comp[], 23, FALSE)</f>
        <v>0</v>
      </c>
      <c r="Y294">
        <f>VLOOKUP(Table56[[#This Row],[Shortname]], Comp[], 24, FALSE)</f>
        <v>0</v>
      </c>
      <c r="Z294">
        <f>VLOOKUP(Table56[[#This Row],[Shortname]], Comp[], 25, FALSE)</f>
        <v>0</v>
      </c>
      <c r="AA294">
        <f>VLOOKUP(Table56[[#This Row],[Shortname]], Comp[], 26, FALSE)</f>
        <v>0</v>
      </c>
      <c r="AB294">
        <f>VLOOKUP(Table56[[#This Row],[Shortname]], Comp[], 27, FALSE)</f>
        <v>0</v>
      </c>
      <c r="AC294">
        <f>VLOOKUP(Table56[[#This Row],[Shortname]], Comp[], 28, FALSE)</f>
        <v>0</v>
      </c>
      <c r="AD294">
        <f>VLOOKUP(Table56[[#This Row],[Shortname]], Comp[], 29, FALSE)</f>
        <v>0</v>
      </c>
      <c r="AE294">
        <f>VLOOKUP(Table56[[#This Row],[Shortname]], Comp[], 30, FALSE)</f>
        <v>0</v>
      </c>
      <c r="AF294">
        <f>VLOOKUP(Table56[[#This Row],[Shortname]], Comp[], 31, FALSE)</f>
        <v>0</v>
      </c>
    </row>
    <row r="295" spans="1:32" x14ac:dyDescent="0.3">
      <c r="A295" s="12" t="s">
        <v>5664</v>
      </c>
      <c r="B295" s="12" t="s">
        <v>477</v>
      </c>
      <c r="C295" s="12" t="s">
        <v>5660</v>
      </c>
      <c r="D295" s="12">
        <v>1038</v>
      </c>
      <c r="E295" s="12">
        <v>1419</v>
      </c>
      <c r="F295" s="12">
        <v>1448</v>
      </c>
      <c r="H295" s="14">
        <f>VLOOKUP(Table56[[#This Row],[Shortname]], Comp[], 7, FALSE)</f>
        <v>82.7</v>
      </c>
      <c r="I295">
        <f>VLOOKUP(Table56[[#This Row],[Shortname]], Comp[], 8, FALSE)</f>
        <v>0</v>
      </c>
      <c r="J295">
        <f>VLOOKUP(Table56[[#This Row],[Shortname]], Comp[], 9, FALSE)</f>
        <v>8.5</v>
      </c>
      <c r="K295">
        <f>VLOOKUP(Table56[[#This Row],[Shortname]], Comp[], 10, FALSE)</f>
        <v>0</v>
      </c>
      <c r="L295">
        <f>VLOOKUP(Table56[[#This Row],[Shortname]], Comp[], 11, FALSE)</f>
        <v>7.7</v>
      </c>
      <c r="M295">
        <f>VLOOKUP(Table56[[#This Row],[Shortname]], Comp[],12, FALSE)</f>
        <v>0</v>
      </c>
      <c r="N295">
        <f>VLOOKUP(Table56[[#This Row],[Shortname]], Comp[], 13, FALSE)</f>
        <v>1.1000000000000001</v>
      </c>
      <c r="O295">
        <f>VLOOKUP(Table56[[#This Row],[Shortname]], Comp[], 14, FALSE)</f>
        <v>0</v>
      </c>
      <c r="P295">
        <f>VLOOKUP(Table56[[#This Row],[Shortname]], Comp[], 15, FALSE)</f>
        <v>0</v>
      </c>
      <c r="Q295">
        <f>VLOOKUP(Table56[[#This Row],[Shortname]], Comp[], 16, FALSE)</f>
        <v>0</v>
      </c>
      <c r="R295">
        <f>VLOOKUP(Table56[[#This Row],[Shortname]], Comp[], 17, FALSE)</f>
        <v>0</v>
      </c>
      <c r="S295">
        <f>VLOOKUP(Table56[[#This Row],[Shortname]], Comp[], 18, FALSE)</f>
        <v>0</v>
      </c>
      <c r="T295">
        <f>VLOOKUP(Table56[[#This Row],[Shortname]], Comp[], 19, FALSE)</f>
        <v>0</v>
      </c>
      <c r="U295">
        <f>VLOOKUP(Table56[[#This Row],[Shortname]], Comp[], 20, FALSE)</f>
        <v>0</v>
      </c>
      <c r="V295">
        <f>VLOOKUP(Table56[[#This Row],[Shortname]], Comp[], 21, FALSE)</f>
        <v>0</v>
      </c>
      <c r="W295">
        <f>VLOOKUP(Table56[[#This Row],[Shortname]], Comp[], 22, FALSE)</f>
        <v>0</v>
      </c>
      <c r="X295">
        <f>VLOOKUP(Table56[[#This Row],[Shortname]], Comp[], 23, FALSE)</f>
        <v>0</v>
      </c>
      <c r="Y295">
        <f>VLOOKUP(Table56[[#This Row],[Shortname]], Comp[], 24, FALSE)</f>
        <v>0</v>
      </c>
      <c r="Z295">
        <f>VLOOKUP(Table56[[#This Row],[Shortname]], Comp[], 25, FALSE)</f>
        <v>0</v>
      </c>
      <c r="AA295">
        <f>VLOOKUP(Table56[[#This Row],[Shortname]], Comp[], 26, FALSE)</f>
        <v>0</v>
      </c>
      <c r="AB295">
        <f>VLOOKUP(Table56[[#This Row],[Shortname]], Comp[], 27, FALSE)</f>
        <v>0</v>
      </c>
      <c r="AC295">
        <f>VLOOKUP(Table56[[#This Row],[Shortname]], Comp[], 28, FALSE)</f>
        <v>0</v>
      </c>
      <c r="AD295">
        <f>VLOOKUP(Table56[[#This Row],[Shortname]], Comp[], 29, FALSE)</f>
        <v>0</v>
      </c>
      <c r="AE295">
        <f>VLOOKUP(Table56[[#This Row],[Shortname]], Comp[], 30, FALSE)</f>
        <v>0</v>
      </c>
      <c r="AF295">
        <f>VLOOKUP(Table56[[#This Row],[Shortname]], Comp[], 31, FALSE)</f>
        <v>0</v>
      </c>
    </row>
    <row r="296" spans="1:32" x14ac:dyDescent="0.3">
      <c r="A296" s="12" t="s">
        <v>5666</v>
      </c>
      <c r="B296" s="12" t="s">
        <v>484</v>
      </c>
      <c r="C296" s="12" t="s">
        <v>5660</v>
      </c>
      <c r="D296" s="12">
        <v>1088</v>
      </c>
      <c r="E296" s="12">
        <v>1368</v>
      </c>
      <c r="F296" s="12">
        <v>1439</v>
      </c>
      <c r="H296" s="14">
        <f>VLOOKUP(Table56[[#This Row],[Shortname]], Comp[], 7, FALSE)</f>
        <v>80.699999999999989</v>
      </c>
      <c r="I296">
        <f>VLOOKUP(Table56[[#This Row],[Shortname]], Comp[], 8, FALSE)</f>
        <v>0</v>
      </c>
      <c r="J296">
        <f>VLOOKUP(Table56[[#This Row],[Shortname]], Comp[], 9, FALSE)</f>
        <v>8.4</v>
      </c>
      <c r="K296">
        <f>VLOOKUP(Table56[[#This Row],[Shortname]], Comp[], 10, FALSE)</f>
        <v>0</v>
      </c>
      <c r="L296">
        <f>VLOOKUP(Table56[[#This Row],[Shortname]], Comp[], 11, FALSE)</f>
        <v>9.3000000000000007</v>
      </c>
      <c r="M296">
        <f>VLOOKUP(Table56[[#This Row],[Shortname]], Comp[],12, FALSE)</f>
        <v>0</v>
      </c>
      <c r="N296">
        <f>VLOOKUP(Table56[[#This Row],[Shortname]], Comp[], 13, FALSE)</f>
        <v>1.6</v>
      </c>
      <c r="O296">
        <f>VLOOKUP(Table56[[#This Row],[Shortname]], Comp[], 14, FALSE)</f>
        <v>0</v>
      </c>
      <c r="P296">
        <f>VLOOKUP(Table56[[#This Row],[Shortname]], Comp[], 15, FALSE)</f>
        <v>0</v>
      </c>
      <c r="Q296">
        <f>VLOOKUP(Table56[[#This Row],[Shortname]], Comp[], 16, FALSE)</f>
        <v>0</v>
      </c>
      <c r="R296">
        <f>VLOOKUP(Table56[[#This Row],[Shortname]], Comp[], 17, FALSE)</f>
        <v>0</v>
      </c>
      <c r="S296">
        <f>VLOOKUP(Table56[[#This Row],[Shortname]], Comp[], 18, FALSE)</f>
        <v>0</v>
      </c>
      <c r="T296">
        <f>VLOOKUP(Table56[[#This Row],[Shortname]], Comp[], 19, FALSE)</f>
        <v>0</v>
      </c>
      <c r="U296">
        <f>VLOOKUP(Table56[[#This Row],[Shortname]], Comp[], 20, FALSE)</f>
        <v>0</v>
      </c>
      <c r="V296">
        <f>VLOOKUP(Table56[[#This Row],[Shortname]], Comp[], 21, FALSE)</f>
        <v>0</v>
      </c>
      <c r="W296">
        <f>VLOOKUP(Table56[[#This Row],[Shortname]], Comp[], 22, FALSE)</f>
        <v>0</v>
      </c>
      <c r="X296">
        <f>VLOOKUP(Table56[[#This Row],[Shortname]], Comp[], 23, FALSE)</f>
        <v>0</v>
      </c>
      <c r="Y296">
        <f>VLOOKUP(Table56[[#This Row],[Shortname]], Comp[], 24, FALSE)</f>
        <v>0</v>
      </c>
      <c r="Z296">
        <f>VLOOKUP(Table56[[#This Row],[Shortname]], Comp[], 25, FALSE)</f>
        <v>0</v>
      </c>
      <c r="AA296">
        <f>VLOOKUP(Table56[[#This Row],[Shortname]], Comp[], 26, FALSE)</f>
        <v>0</v>
      </c>
      <c r="AB296">
        <f>VLOOKUP(Table56[[#This Row],[Shortname]], Comp[], 27, FALSE)</f>
        <v>0</v>
      </c>
      <c r="AC296">
        <f>VLOOKUP(Table56[[#This Row],[Shortname]], Comp[], 28, FALSE)</f>
        <v>0</v>
      </c>
      <c r="AD296">
        <f>VLOOKUP(Table56[[#This Row],[Shortname]], Comp[], 29, FALSE)</f>
        <v>0</v>
      </c>
      <c r="AE296">
        <f>VLOOKUP(Table56[[#This Row],[Shortname]], Comp[], 30, FALSE)</f>
        <v>0</v>
      </c>
      <c r="AF296">
        <f>VLOOKUP(Table56[[#This Row],[Shortname]], Comp[], 31, FALSE)</f>
        <v>0</v>
      </c>
    </row>
    <row r="297" spans="1:32" x14ac:dyDescent="0.3">
      <c r="A297" s="12" t="s">
        <v>5668</v>
      </c>
      <c r="B297" s="12" t="s">
        <v>5669</v>
      </c>
      <c r="C297" s="12" t="s">
        <v>5660</v>
      </c>
      <c r="D297" s="12">
        <v>1117</v>
      </c>
      <c r="E297" s="12">
        <v>1348</v>
      </c>
      <c r="F297" s="12">
        <v>1429</v>
      </c>
      <c r="H297" s="14">
        <f>VLOOKUP(Table56[[#This Row],[Shortname]], Comp[], 7, FALSE)</f>
        <v>78.8</v>
      </c>
      <c r="I297">
        <f>VLOOKUP(Table56[[#This Row],[Shortname]], Comp[], 8, FALSE)</f>
        <v>0</v>
      </c>
      <c r="J297">
        <f>VLOOKUP(Table56[[#This Row],[Shortname]], Comp[], 9, FALSE)</f>
        <v>8.1999999999999993</v>
      </c>
      <c r="K297">
        <f>VLOOKUP(Table56[[#This Row],[Shortname]], Comp[], 10, FALSE)</f>
        <v>0</v>
      </c>
      <c r="L297">
        <f>VLOOKUP(Table56[[#This Row],[Shortname]], Comp[], 11, FALSE)</f>
        <v>11</v>
      </c>
      <c r="M297">
        <f>VLOOKUP(Table56[[#This Row],[Shortname]], Comp[],12, FALSE)</f>
        <v>0</v>
      </c>
      <c r="N297">
        <f>VLOOKUP(Table56[[#This Row],[Shortname]], Comp[], 13, FALSE)</f>
        <v>2</v>
      </c>
      <c r="O297">
        <f>VLOOKUP(Table56[[#This Row],[Shortname]], Comp[], 14, FALSE)</f>
        <v>0</v>
      </c>
      <c r="P297">
        <f>VLOOKUP(Table56[[#This Row],[Shortname]], Comp[], 15, FALSE)</f>
        <v>0</v>
      </c>
      <c r="Q297">
        <f>VLOOKUP(Table56[[#This Row],[Shortname]], Comp[], 16, FALSE)</f>
        <v>0</v>
      </c>
      <c r="R297">
        <f>VLOOKUP(Table56[[#This Row],[Shortname]], Comp[], 17, FALSE)</f>
        <v>0</v>
      </c>
      <c r="S297">
        <f>VLOOKUP(Table56[[#This Row],[Shortname]], Comp[], 18, FALSE)</f>
        <v>0</v>
      </c>
      <c r="T297">
        <f>VLOOKUP(Table56[[#This Row],[Shortname]], Comp[], 19, FALSE)</f>
        <v>0</v>
      </c>
      <c r="U297">
        <f>VLOOKUP(Table56[[#This Row],[Shortname]], Comp[], 20, FALSE)</f>
        <v>0</v>
      </c>
      <c r="V297">
        <f>VLOOKUP(Table56[[#This Row],[Shortname]], Comp[], 21, FALSE)</f>
        <v>0</v>
      </c>
      <c r="W297">
        <f>VLOOKUP(Table56[[#This Row],[Shortname]], Comp[], 22, FALSE)</f>
        <v>0</v>
      </c>
      <c r="X297">
        <f>VLOOKUP(Table56[[#This Row],[Shortname]], Comp[], 23, FALSE)</f>
        <v>0</v>
      </c>
      <c r="Y297">
        <f>VLOOKUP(Table56[[#This Row],[Shortname]], Comp[], 24, FALSE)</f>
        <v>0</v>
      </c>
      <c r="Z297">
        <f>VLOOKUP(Table56[[#This Row],[Shortname]], Comp[], 25, FALSE)</f>
        <v>0</v>
      </c>
      <c r="AA297">
        <f>VLOOKUP(Table56[[#This Row],[Shortname]], Comp[], 26, FALSE)</f>
        <v>0</v>
      </c>
      <c r="AB297">
        <f>VLOOKUP(Table56[[#This Row],[Shortname]], Comp[], 27, FALSE)</f>
        <v>0</v>
      </c>
      <c r="AC297">
        <f>VLOOKUP(Table56[[#This Row],[Shortname]], Comp[], 28, FALSE)</f>
        <v>0</v>
      </c>
      <c r="AD297">
        <f>VLOOKUP(Table56[[#This Row],[Shortname]], Comp[], 29, FALSE)</f>
        <v>0</v>
      </c>
      <c r="AE297">
        <f>VLOOKUP(Table56[[#This Row],[Shortname]], Comp[], 30, FALSE)</f>
        <v>0</v>
      </c>
      <c r="AF297">
        <f>VLOOKUP(Table56[[#This Row],[Shortname]], Comp[], 31, FALSE)</f>
        <v>0</v>
      </c>
    </row>
    <row r="298" spans="1:32" x14ac:dyDescent="0.3">
      <c r="A298" s="12" t="s">
        <v>5671</v>
      </c>
      <c r="B298" s="12" t="s">
        <v>5672</v>
      </c>
      <c r="C298" s="12" t="s">
        <v>5660</v>
      </c>
      <c r="D298" s="12">
        <v>1121</v>
      </c>
      <c r="E298" s="12">
        <v>1353</v>
      </c>
      <c r="F298" s="12">
        <v>1419</v>
      </c>
      <c r="H298" s="14">
        <f>VLOOKUP(Table56[[#This Row],[Shortname]], Comp[], 7, FALSE)</f>
        <v>77</v>
      </c>
      <c r="I298">
        <f>VLOOKUP(Table56[[#This Row],[Shortname]], Comp[], 8, FALSE)</f>
        <v>0</v>
      </c>
      <c r="J298">
        <f>VLOOKUP(Table56[[#This Row],[Shortname]], Comp[], 9, FALSE)</f>
        <v>8.1</v>
      </c>
      <c r="K298">
        <f>VLOOKUP(Table56[[#This Row],[Shortname]], Comp[], 10, FALSE)</f>
        <v>0</v>
      </c>
      <c r="L298">
        <f>VLOOKUP(Table56[[#This Row],[Shortname]], Comp[], 11, FALSE)</f>
        <v>12.5</v>
      </c>
      <c r="M298">
        <f>VLOOKUP(Table56[[#This Row],[Shortname]], Comp[],12, FALSE)</f>
        <v>0</v>
      </c>
      <c r="N298">
        <f>VLOOKUP(Table56[[#This Row],[Shortname]], Comp[], 13, FALSE)</f>
        <v>2.4</v>
      </c>
      <c r="O298">
        <f>VLOOKUP(Table56[[#This Row],[Shortname]], Comp[], 14, FALSE)</f>
        <v>0</v>
      </c>
      <c r="P298">
        <f>VLOOKUP(Table56[[#This Row],[Shortname]], Comp[], 15, FALSE)</f>
        <v>0</v>
      </c>
      <c r="Q298">
        <f>VLOOKUP(Table56[[#This Row],[Shortname]], Comp[], 16, FALSE)</f>
        <v>0</v>
      </c>
      <c r="R298">
        <f>VLOOKUP(Table56[[#This Row],[Shortname]], Comp[], 17, FALSE)</f>
        <v>0</v>
      </c>
      <c r="S298">
        <f>VLOOKUP(Table56[[#This Row],[Shortname]], Comp[], 18, FALSE)</f>
        <v>0</v>
      </c>
      <c r="T298">
        <f>VLOOKUP(Table56[[#This Row],[Shortname]], Comp[], 19, FALSE)</f>
        <v>0</v>
      </c>
      <c r="U298">
        <f>VLOOKUP(Table56[[#This Row],[Shortname]], Comp[], 20, FALSE)</f>
        <v>0</v>
      </c>
      <c r="V298">
        <f>VLOOKUP(Table56[[#This Row],[Shortname]], Comp[], 21, FALSE)</f>
        <v>0</v>
      </c>
      <c r="W298">
        <f>VLOOKUP(Table56[[#This Row],[Shortname]], Comp[], 22, FALSE)</f>
        <v>0</v>
      </c>
      <c r="X298">
        <f>VLOOKUP(Table56[[#This Row],[Shortname]], Comp[], 23, FALSE)</f>
        <v>0</v>
      </c>
      <c r="Y298">
        <f>VLOOKUP(Table56[[#This Row],[Shortname]], Comp[], 24, FALSE)</f>
        <v>0</v>
      </c>
      <c r="Z298">
        <f>VLOOKUP(Table56[[#This Row],[Shortname]], Comp[], 25, FALSE)</f>
        <v>0</v>
      </c>
      <c r="AA298">
        <f>VLOOKUP(Table56[[#This Row],[Shortname]], Comp[], 26, FALSE)</f>
        <v>0</v>
      </c>
      <c r="AB298">
        <f>VLOOKUP(Table56[[#This Row],[Shortname]], Comp[], 27, FALSE)</f>
        <v>0</v>
      </c>
      <c r="AC298">
        <f>VLOOKUP(Table56[[#This Row],[Shortname]], Comp[], 28, FALSE)</f>
        <v>0</v>
      </c>
      <c r="AD298">
        <f>VLOOKUP(Table56[[#This Row],[Shortname]], Comp[], 29, FALSE)</f>
        <v>0</v>
      </c>
      <c r="AE298">
        <f>VLOOKUP(Table56[[#This Row],[Shortname]], Comp[], 30, FALSE)</f>
        <v>0</v>
      </c>
      <c r="AF298">
        <f>VLOOKUP(Table56[[#This Row],[Shortname]], Comp[], 31, FALSE)</f>
        <v>0</v>
      </c>
    </row>
    <row r="299" spans="1:32" x14ac:dyDescent="0.3">
      <c r="A299" s="12" t="s">
        <v>5675</v>
      </c>
      <c r="B299" s="12" t="s">
        <v>5676</v>
      </c>
      <c r="C299" s="12" t="s">
        <v>5677</v>
      </c>
      <c r="E299" s="12">
        <v>1281</v>
      </c>
      <c r="F299" s="12">
        <v>1364</v>
      </c>
      <c r="H299" s="14">
        <f>VLOOKUP(Table56[[#This Row],[Shortname]], Comp[], 7, FALSE)</f>
        <v>41.935999999999993</v>
      </c>
      <c r="I299">
        <f>VLOOKUP(Table56[[#This Row],[Shortname]], Comp[], 8, FALSE)</f>
        <v>30.1</v>
      </c>
      <c r="J299">
        <f>VLOOKUP(Table56[[#This Row],[Shortname]], Comp[], 9, FALSE)</f>
        <v>7.1</v>
      </c>
      <c r="K299">
        <f>VLOOKUP(Table56[[#This Row],[Shortname]], Comp[], 10, FALSE)</f>
        <v>12.1</v>
      </c>
      <c r="L299">
        <f>VLOOKUP(Table56[[#This Row],[Shortname]], Comp[], 11, FALSE)</f>
        <v>2</v>
      </c>
      <c r="M299">
        <f>VLOOKUP(Table56[[#This Row],[Shortname]], Comp[],12, FALSE)</f>
        <v>3.5</v>
      </c>
      <c r="N299">
        <f>VLOOKUP(Table56[[#This Row],[Shortname]], Comp[], 13, FALSE)</f>
        <v>1</v>
      </c>
      <c r="O299">
        <f>VLOOKUP(Table56[[#This Row],[Shortname]], Comp[], 14, FALSE)</f>
        <v>0</v>
      </c>
      <c r="P299">
        <f>VLOOKUP(Table56[[#This Row],[Shortname]], Comp[], 15, FALSE)</f>
        <v>0</v>
      </c>
      <c r="Q299">
        <f>VLOOKUP(Table56[[#This Row],[Shortname]], Comp[], 16, FALSE)</f>
        <v>1.6</v>
      </c>
      <c r="R299">
        <f>VLOOKUP(Table56[[#This Row],[Shortname]], Comp[], 17, FALSE)</f>
        <v>0.08</v>
      </c>
      <c r="S299">
        <f>VLOOKUP(Table56[[#This Row],[Shortname]], Comp[], 18, FALSE)</f>
        <v>8.9999999999999993E-3</v>
      </c>
      <c r="T299">
        <f>VLOOKUP(Table56[[#This Row],[Shortname]], Comp[], 19, FALSE)</f>
        <v>8.5000000000000006E-2</v>
      </c>
      <c r="U299">
        <f>VLOOKUP(Table56[[#This Row],[Shortname]], Comp[], 20, FALSE)</f>
        <v>0</v>
      </c>
      <c r="V299">
        <f>VLOOKUP(Table56[[#This Row],[Shortname]], Comp[], 21, FALSE)</f>
        <v>0</v>
      </c>
      <c r="W299">
        <f>VLOOKUP(Table56[[#This Row],[Shortname]], Comp[], 22, FALSE)</f>
        <v>0.39</v>
      </c>
      <c r="X299">
        <f>VLOOKUP(Table56[[#This Row],[Shortname]], Comp[], 23, FALSE)</f>
        <v>0</v>
      </c>
      <c r="Y299">
        <f>VLOOKUP(Table56[[#This Row],[Shortname]], Comp[], 24, FALSE)</f>
        <v>0</v>
      </c>
      <c r="Z299">
        <f>VLOOKUP(Table56[[#This Row],[Shortname]], Comp[], 25, FALSE)</f>
        <v>0.1</v>
      </c>
      <c r="AA299">
        <f>VLOOKUP(Table56[[#This Row],[Shortname]], Comp[], 26, FALSE)</f>
        <v>0</v>
      </c>
      <c r="AB299">
        <f>VLOOKUP(Table56[[#This Row],[Shortname]], Comp[], 27, FALSE)</f>
        <v>0</v>
      </c>
      <c r="AC299">
        <f>VLOOKUP(Table56[[#This Row],[Shortname]], Comp[], 28, FALSE)</f>
        <v>0</v>
      </c>
      <c r="AD299">
        <f>VLOOKUP(Table56[[#This Row],[Shortname]], Comp[], 29, FALSE)</f>
        <v>0</v>
      </c>
      <c r="AE299">
        <f>VLOOKUP(Table56[[#This Row],[Shortname]], Comp[], 30, FALSE)</f>
        <v>0</v>
      </c>
      <c r="AF299">
        <f>VLOOKUP(Table56[[#This Row],[Shortname]], Comp[], 31, FALSE)</f>
        <v>0</v>
      </c>
    </row>
    <row r="300" spans="1:32" x14ac:dyDescent="0.3">
      <c r="A300" s="12" t="s">
        <v>5751</v>
      </c>
      <c r="B300" s="12" t="s">
        <v>5752</v>
      </c>
      <c r="C300" s="12" t="s">
        <v>5753</v>
      </c>
      <c r="D300" s="12">
        <v>1042</v>
      </c>
      <c r="E300" s="12">
        <v>1306</v>
      </c>
      <c r="F300" s="12">
        <v>1388</v>
      </c>
      <c r="H300" s="14">
        <f>VLOOKUP(Table56[[#This Row],[Shortname]], Comp[], 7, FALSE)</f>
        <v>55.599999999999994</v>
      </c>
      <c r="I300">
        <f>VLOOKUP(Table56[[#This Row],[Shortname]], Comp[], 8, FALSE)</f>
        <v>28.9</v>
      </c>
      <c r="J300">
        <f>VLOOKUP(Table56[[#This Row],[Shortname]], Comp[], 9, FALSE)</f>
        <v>10.3</v>
      </c>
      <c r="K300">
        <f>VLOOKUP(Table56[[#This Row],[Shortname]], Comp[], 10, FALSE)</f>
        <v>0</v>
      </c>
      <c r="L300">
        <f>VLOOKUP(Table56[[#This Row],[Shortname]], Comp[], 11, FALSE)</f>
        <v>0</v>
      </c>
      <c r="M300">
        <f>VLOOKUP(Table56[[#This Row],[Shortname]], Comp[],12, FALSE)</f>
        <v>2.1</v>
      </c>
      <c r="N300">
        <f>VLOOKUP(Table56[[#This Row],[Shortname]], Comp[], 13, FALSE)</f>
        <v>0</v>
      </c>
      <c r="O300">
        <f>VLOOKUP(Table56[[#This Row],[Shortname]], Comp[], 14, FALSE)</f>
        <v>3.1</v>
      </c>
      <c r="P300">
        <f>VLOOKUP(Table56[[#This Row],[Shortname]], Comp[], 15, FALSE)</f>
        <v>0</v>
      </c>
      <c r="Q300">
        <f>VLOOKUP(Table56[[#This Row],[Shortname]], Comp[], 16, FALSE)</f>
        <v>0</v>
      </c>
      <c r="R300">
        <f>VLOOKUP(Table56[[#This Row],[Shortname]], Comp[], 17, FALSE)</f>
        <v>0</v>
      </c>
      <c r="S300">
        <f>VLOOKUP(Table56[[#This Row],[Shortname]], Comp[], 18, FALSE)</f>
        <v>0</v>
      </c>
      <c r="T300">
        <f>VLOOKUP(Table56[[#This Row],[Shortname]], Comp[], 19, FALSE)</f>
        <v>0</v>
      </c>
      <c r="U300">
        <f>VLOOKUP(Table56[[#This Row],[Shortname]], Comp[], 20, FALSE)</f>
        <v>0</v>
      </c>
      <c r="V300">
        <f>VLOOKUP(Table56[[#This Row],[Shortname]], Comp[], 21, FALSE)</f>
        <v>0</v>
      </c>
      <c r="W300">
        <f>VLOOKUP(Table56[[#This Row],[Shortname]], Comp[], 22, FALSE)</f>
        <v>0</v>
      </c>
      <c r="X300">
        <f>VLOOKUP(Table56[[#This Row],[Shortname]], Comp[], 23, FALSE)</f>
        <v>0</v>
      </c>
      <c r="Y300">
        <f>VLOOKUP(Table56[[#This Row],[Shortname]], Comp[], 24, FALSE)</f>
        <v>0</v>
      </c>
      <c r="Z300">
        <f>VLOOKUP(Table56[[#This Row],[Shortname]], Comp[], 25, FALSE)</f>
        <v>0</v>
      </c>
      <c r="AA300">
        <f>VLOOKUP(Table56[[#This Row],[Shortname]], Comp[], 26, FALSE)</f>
        <v>0</v>
      </c>
      <c r="AB300">
        <f>VLOOKUP(Table56[[#This Row],[Shortname]], Comp[], 27, FALSE)</f>
        <v>0</v>
      </c>
      <c r="AC300">
        <f>VLOOKUP(Table56[[#This Row],[Shortname]], Comp[], 28, FALSE)</f>
        <v>0</v>
      </c>
      <c r="AD300">
        <f>VLOOKUP(Table56[[#This Row],[Shortname]], Comp[], 29, FALSE)</f>
        <v>0</v>
      </c>
      <c r="AE300">
        <f>VLOOKUP(Table56[[#This Row],[Shortname]], Comp[], 30, FALSE)</f>
        <v>0</v>
      </c>
      <c r="AF300">
        <f>VLOOKUP(Table56[[#This Row],[Shortname]], Comp[], 31, FALSE)</f>
        <v>0</v>
      </c>
    </row>
    <row r="301" spans="1:32" x14ac:dyDescent="0.3">
      <c r="A301" s="12" t="s">
        <v>5756</v>
      </c>
      <c r="B301" s="12" t="s">
        <v>2361</v>
      </c>
      <c r="C301" s="12" t="s">
        <v>5757</v>
      </c>
      <c r="D301" s="12">
        <v>1106</v>
      </c>
      <c r="E301" s="12">
        <v>1314</v>
      </c>
      <c r="F301" s="12">
        <v>1385</v>
      </c>
      <c r="H301" s="14">
        <f>VLOOKUP(Table56[[#This Row],[Shortname]], Comp[], 7, FALSE)</f>
        <v>55.499999999999993</v>
      </c>
      <c r="I301">
        <f>VLOOKUP(Table56[[#This Row],[Shortname]], Comp[], 8, FALSE)</f>
        <v>29</v>
      </c>
      <c r="J301">
        <f>VLOOKUP(Table56[[#This Row],[Shortname]], Comp[], 9, FALSE)</f>
        <v>10.1</v>
      </c>
      <c r="K301">
        <f>VLOOKUP(Table56[[#This Row],[Shortname]], Comp[], 10, FALSE)</f>
        <v>0</v>
      </c>
      <c r="L301">
        <f>VLOOKUP(Table56[[#This Row],[Shortname]], Comp[], 11, FALSE)</f>
        <v>0</v>
      </c>
      <c r="M301">
        <f>VLOOKUP(Table56[[#This Row],[Shortname]], Comp[],12, FALSE)</f>
        <v>0</v>
      </c>
      <c r="N301">
        <f>VLOOKUP(Table56[[#This Row],[Shortname]], Comp[], 13, FALSE)</f>
        <v>2.2000000000000002</v>
      </c>
      <c r="O301">
        <f>VLOOKUP(Table56[[#This Row],[Shortname]], Comp[], 14, FALSE)</f>
        <v>3.2</v>
      </c>
      <c r="P301">
        <f>VLOOKUP(Table56[[#This Row],[Shortname]], Comp[], 15, FALSE)</f>
        <v>0</v>
      </c>
      <c r="Q301">
        <f>VLOOKUP(Table56[[#This Row],[Shortname]], Comp[], 16, FALSE)</f>
        <v>0</v>
      </c>
      <c r="R301">
        <f>VLOOKUP(Table56[[#This Row],[Shortname]], Comp[], 17, FALSE)</f>
        <v>0</v>
      </c>
      <c r="S301">
        <f>VLOOKUP(Table56[[#This Row],[Shortname]], Comp[], 18, FALSE)</f>
        <v>0</v>
      </c>
      <c r="T301">
        <f>VLOOKUP(Table56[[#This Row],[Shortname]], Comp[], 19, FALSE)</f>
        <v>0</v>
      </c>
      <c r="U301">
        <f>VLOOKUP(Table56[[#This Row],[Shortname]], Comp[], 20, FALSE)</f>
        <v>0</v>
      </c>
      <c r="V301">
        <f>VLOOKUP(Table56[[#This Row],[Shortname]], Comp[], 21, FALSE)</f>
        <v>0</v>
      </c>
      <c r="W301">
        <f>VLOOKUP(Table56[[#This Row],[Shortname]], Comp[], 22, FALSE)</f>
        <v>0</v>
      </c>
      <c r="X301">
        <f>VLOOKUP(Table56[[#This Row],[Shortname]], Comp[], 23, FALSE)</f>
        <v>0</v>
      </c>
      <c r="Y301">
        <f>VLOOKUP(Table56[[#This Row],[Shortname]], Comp[], 24, FALSE)</f>
        <v>0</v>
      </c>
      <c r="Z301">
        <f>VLOOKUP(Table56[[#This Row],[Shortname]], Comp[], 25, FALSE)</f>
        <v>0</v>
      </c>
      <c r="AA301">
        <f>VLOOKUP(Table56[[#This Row],[Shortname]], Comp[], 26, FALSE)</f>
        <v>0</v>
      </c>
      <c r="AB301">
        <f>VLOOKUP(Table56[[#This Row],[Shortname]], Comp[], 27, FALSE)</f>
        <v>0</v>
      </c>
      <c r="AC301">
        <f>VLOOKUP(Table56[[#This Row],[Shortname]], Comp[], 28, FALSE)</f>
        <v>0</v>
      </c>
      <c r="AD301">
        <f>VLOOKUP(Table56[[#This Row],[Shortname]], Comp[], 29, FALSE)</f>
        <v>0</v>
      </c>
      <c r="AE301">
        <f>VLOOKUP(Table56[[#This Row],[Shortname]], Comp[], 30, FALSE)</f>
        <v>0</v>
      </c>
      <c r="AF301">
        <f>VLOOKUP(Table56[[#This Row],[Shortname]], Comp[], 31, FALSE)</f>
        <v>0</v>
      </c>
    </row>
    <row r="302" spans="1:32" x14ac:dyDescent="0.3">
      <c r="A302" s="12" t="s">
        <v>5761</v>
      </c>
      <c r="B302" s="12" t="s">
        <v>5762</v>
      </c>
      <c r="C302" s="12" t="s">
        <v>5763</v>
      </c>
      <c r="D302" s="12">
        <v>1150</v>
      </c>
      <c r="E302" s="12">
        <v>1280</v>
      </c>
      <c r="F302" s="12">
        <v>1356</v>
      </c>
      <c r="H302" s="14">
        <f>VLOOKUP(Table56[[#This Row],[Shortname]], Comp[], 7, FALSE)</f>
        <v>53.599999999999994</v>
      </c>
      <c r="I302">
        <f>VLOOKUP(Table56[[#This Row],[Shortname]], Comp[], 8, FALSE)</f>
        <v>29.2</v>
      </c>
      <c r="J302">
        <f>VLOOKUP(Table56[[#This Row],[Shortname]], Comp[], 9, FALSE)</f>
        <v>9.8000000000000007</v>
      </c>
      <c r="K302">
        <f>VLOOKUP(Table56[[#This Row],[Shortname]], Comp[], 10, FALSE)</f>
        <v>0</v>
      </c>
      <c r="L302">
        <f>VLOOKUP(Table56[[#This Row],[Shortname]], Comp[], 11, FALSE)</f>
        <v>0</v>
      </c>
      <c r="M302">
        <f>VLOOKUP(Table56[[#This Row],[Shortname]], Comp[],12, FALSE)</f>
        <v>2.2000000000000002</v>
      </c>
      <c r="N302">
        <f>VLOOKUP(Table56[[#This Row],[Shortname]], Comp[], 13, FALSE)</f>
        <v>2</v>
      </c>
      <c r="O302">
        <f>VLOOKUP(Table56[[#This Row],[Shortname]], Comp[], 14, FALSE)</f>
        <v>3.2</v>
      </c>
      <c r="P302">
        <f>VLOOKUP(Table56[[#This Row],[Shortname]], Comp[], 15, FALSE)</f>
        <v>0</v>
      </c>
      <c r="Q302">
        <f>VLOOKUP(Table56[[#This Row],[Shortname]], Comp[], 16, FALSE)</f>
        <v>0</v>
      </c>
      <c r="R302">
        <f>VLOOKUP(Table56[[#This Row],[Shortname]], Comp[], 17, FALSE)</f>
        <v>0</v>
      </c>
      <c r="S302">
        <f>VLOOKUP(Table56[[#This Row],[Shortname]], Comp[], 18, FALSE)</f>
        <v>0</v>
      </c>
      <c r="T302">
        <f>VLOOKUP(Table56[[#This Row],[Shortname]], Comp[], 19, FALSE)</f>
        <v>0</v>
      </c>
      <c r="U302">
        <f>VLOOKUP(Table56[[#This Row],[Shortname]], Comp[], 20, FALSE)</f>
        <v>0</v>
      </c>
      <c r="V302">
        <f>VLOOKUP(Table56[[#This Row],[Shortname]], Comp[], 21, FALSE)</f>
        <v>0</v>
      </c>
      <c r="W302">
        <f>VLOOKUP(Table56[[#This Row],[Shortname]], Comp[], 22, FALSE)</f>
        <v>0</v>
      </c>
      <c r="X302">
        <f>VLOOKUP(Table56[[#This Row],[Shortname]], Comp[], 23, FALSE)</f>
        <v>0</v>
      </c>
      <c r="Y302">
        <f>VLOOKUP(Table56[[#This Row],[Shortname]], Comp[], 24, FALSE)</f>
        <v>0</v>
      </c>
      <c r="Z302">
        <f>VLOOKUP(Table56[[#This Row],[Shortname]], Comp[], 25, FALSE)</f>
        <v>0</v>
      </c>
      <c r="AA302">
        <f>VLOOKUP(Table56[[#This Row],[Shortname]], Comp[], 26, FALSE)</f>
        <v>0</v>
      </c>
      <c r="AB302">
        <f>VLOOKUP(Table56[[#This Row],[Shortname]], Comp[], 27, FALSE)</f>
        <v>0</v>
      </c>
      <c r="AC302">
        <f>VLOOKUP(Table56[[#This Row],[Shortname]], Comp[], 28, FALSE)</f>
        <v>0</v>
      </c>
      <c r="AD302">
        <f>VLOOKUP(Table56[[#This Row],[Shortname]], Comp[], 29, FALSE)</f>
        <v>0</v>
      </c>
      <c r="AE302">
        <f>VLOOKUP(Table56[[#This Row],[Shortname]], Comp[], 30, FALSE)</f>
        <v>0</v>
      </c>
      <c r="AF302">
        <f>VLOOKUP(Table56[[#This Row],[Shortname]], Comp[], 31, FALSE)</f>
        <v>0</v>
      </c>
    </row>
    <row r="303" spans="1:32" x14ac:dyDescent="0.3">
      <c r="A303" s="12" t="s">
        <v>5787</v>
      </c>
      <c r="B303" s="12" t="s">
        <v>749</v>
      </c>
      <c r="C303" s="12" t="s">
        <v>743</v>
      </c>
      <c r="D303" s="12">
        <v>964</v>
      </c>
      <c r="E303" s="12">
        <v>1409</v>
      </c>
      <c r="F303" s="12">
        <v>1440</v>
      </c>
      <c r="H303" s="14">
        <f>VLOOKUP(Table56[[#This Row],[Shortname]], Comp[], 7, FALSE)</f>
        <v>81</v>
      </c>
      <c r="I303">
        <f>VLOOKUP(Table56[[#This Row],[Shortname]], Comp[], 8, FALSE)</f>
        <v>0</v>
      </c>
      <c r="J303">
        <f>VLOOKUP(Table56[[#This Row],[Shortname]], Comp[], 9, FALSE)</f>
        <v>5</v>
      </c>
      <c r="K303">
        <f>VLOOKUP(Table56[[#This Row],[Shortname]], Comp[], 10, FALSE)</f>
        <v>0</v>
      </c>
      <c r="L303">
        <f>VLOOKUP(Table56[[#This Row],[Shortname]], Comp[], 11, FALSE)</f>
        <v>0</v>
      </c>
      <c r="M303">
        <f>VLOOKUP(Table56[[#This Row],[Shortname]], Comp[],12, FALSE)</f>
        <v>0</v>
      </c>
      <c r="N303">
        <f>VLOOKUP(Table56[[#This Row],[Shortname]], Comp[], 13, FALSE)</f>
        <v>0</v>
      </c>
      <c r="O303">
        <f>VLOOKUP(Table56[[#This Row],[Shortname]], Comp[], 14, FALSE)</f>
        <v>0</v>
      </c>
      <c r="P303">
        <f>VLOOKUP(Table56[[#This Row],[Shortname]], Comp[], 15, FALSE)</f>
        <v>14</v>
      </c>
      <c r="Q303">
        <f>VLOOKUP(Table56[[#This Row],[Shortname]], Comp[], 16, FALSE)</f>
        <v>0</v>
      </c>
      <c r="R303">
        <f>VLOOKUP(Table56[[#This Row],[Shortname]], Comp[], 17, FALSE)</f>
        <v>0</v>
      </c>
      <c r="S303">
        <f>VLOOKUP(Table56[[#This Row],[Shortname]], Comp[], 18, FALSE)</f>
        <v>0</v>
      </c>
      <c r="T303">
        <f>VLOOKUP(Table56[[#This Row],[Shortname]], Comp[], 19, FALSE)</f>
        <v>0</v>
      </c>
      <c r="U303">
        <f>VLOOKUP(Table56[[#This Row],[Shortname]], Comp[], 20, FALSE)</f>
        <v>0</v>
      </c>
      <c r="V303">
        <f>VLOOKUP(Table56[[#This Row],[Shortname]], Comp[], 21, FALSE)</f>
        <v>0</v>
      </c>
      <c r="W303">
        <f>VLOOKUP(Table56[[#This Row],[Shortname]], Comp[], 22, FALSE)</f>
        <v>0</v>
      </c>
      <c r="X303">
        <f>VLOOKUP(Table56[[#This Row],[Shortname]], Comp[], 23, FALSE)</f>
        <v>0</v>
      </c>
      <c r="Y303">
        <f>VLOOKUP(Table56[[#This Row],[Shortname]], Comp[], 24, FALSE)</f>
        <v>0</v>
      </c>
      <c r="Z303">
        <f>VLOOKUP(Table56[[#This Row],[Shortname]], Comp[], 25, FALSE)</f>
        <v>0</v>
      </c>
      <c r="AA303">
        <f>VLOOKUP(Table56[[#This Row],[Shortname]], Comp[], 26, FALSE)</f>
        <v>0</v>
      </c>
      <c r="AB303">
        <f>VLOOKUP(Table56[[#This Row],[Shortname]], Comp[], 27, FALSE)</f>
        <v>0</v>
      </c>
      <c r="AC303">
        <f>VLOOKUP(Table56[[#This Row],[Shortname]], Comp[], 28, FALSE)</f>
        <v>0</v>
      </c>
      <c r="AD303">
        <f>VLOOKUP(Table56[[#This Row],[Shortname]], Comp[], 29, FALSE)</f>
        <v>0</v>
      </c>
      <c r="AE303">
        <f>VLOOKUP(Table56[[#This Row],[Shortname]], Comp[], 30, FALSE)</f>
        <v>0</v>
      </c>
      <c r="AF303">
        <f>VLOOKUP(Table56[[#This Row],[Shortname]], Comp[], 31, FALSE)</f>
        <v>0</v>
      </c>
    </row>
    <row r="304" spans="1:32" x14ac:dyDescent="0.3">
      <c r="A304" s="12" t="s">
        <v>5790</v>
      </c>
      <c r="B304" s="12" t="s">
        <v>3899</v>
      </c>
      <c r="C304" s="12" t="s">
        <v>750</v>
      </c>
      <c r="D304" s="12">
        <v>1022</v>
      </c>
      <c r="E304" s="12">
        <v>1338</v>
      </c>
      <c r="F304" s="12">
        <v>1394</v>
      </c>
      <c r="H304" s="14">
        <f>VLOOKUP(Table56[[#This Row],[Shortname]], Comp[], 7, FALSE)</f>
        <v>79</v>
      </c>
      <c r="I304">
        <f>VLOOKUP(Table56[[#This Row],[Shortname]], Comp[], 8, FALSE)</f>
        <v>0</v>
      </c>
      <c r="J304">
        <f>VLOOKUP(Table56[[#This Row],[Shortname]], Comp[], 9, FALSE)</f>
        <v>5</v>
      </c>
      <c r="K304">
        <f>VLOOKUP(Table56[[#This Row],[Shortname]], Comp[], 10, FALSE)</f>
        <v>0</v>
      </c>
      <c r="L304">
        <f>VLOOKUP(Table56[[#This Row],[Shortname]], Comp[], 11, FALSE)</f>
        <v>0</v>
      </c>
      <c r="M304">
        <f>VLOOKUP(Table56[[#This Row],[Shortname]], Comp[],12, FALSE)</f>
        <v>2</v>
      </c>
      <c r="N304">
        <f>VLOOKUP(Table56[[#This Row],[Shortname]], Comp[], 13, FALSE)</f>
        <v>0</v>
      </c>
      <c r="O304">
        <f>VLOOKUP(Table56[[#This Row],[Shortname]], Comp[], 14, FALSE)</f>
        <v>0</v>
      </c>
      <c r="P304">
        <f>VLOOKUP(Table56[[#This Row],[Shortname]], Comp[], 15, FALSE)</f>
        <v>14</v>
      </c>
      <c r="Q304">
        <f>VLOOKUP(Table56[[#This Row],[Shortname]], Comp[], 16, FALSE)</f>
        <v>0</v>
      </c>
      <c r="R304">
        <f>VLOOKUP(Table56[[#This Row],[Shortname]], Comp[], 17, FALSE)</f>
        <v>0</v>
      </c>
      <c r="S304">
        <f>VLOOKUP(Table56[[#This Row],[Shortname]], Comp[], 18, FALSE)</f>
        <v>0</v>
      </c>
      <c r="T304">
        <f>VLOOKUP(Table56[[#This Row],[Shortname]], Comp[], 19, FALSE)</f>
        <v>0</v>
      </c>
      <c r="U304">
        <f>VLOOKUP(Table56[[#This Row],[Shortname]], Comp[], 20, FALSE)</f>
        <v>0</v>
      </c>
      <c r="V304">
        <f>VLOOKUP(Table56[[#This Row],[Shortname]], Comp[], 21, FALSE)</f>
        <v>0</v>
      </c>
      <c r="W304">
        <f>VLOOKUP(Table56[[#This Row],[Shortname]], Comp[], 22, FALSE)</f>
        <v>0</v>
      </c>
      <c r="X304">
        <f>VLOOKUP(Table56[[#This Row],[Shortname]], Comp[], 23, FALSE)</f>
        <v>0</v>
      </c>
      <c r="Y304">
        <f>VLOOKUP(Table56[[#This Row],[Shortname]], Comp[], 24, FALSE)</f>
        <v>0</v>
      </c>
      <c r="Z304">
        <f>VLOOKUP(Table56[[#This Row],[Shortname]], Comp[], 25, FALSE)</f>
        <v>0</v>
      </c>
      <c r="AA304">
        <f>VLOOKUP(Table56[[#This Row],[Shortname]], Comp[], 26, FALSE)</f>
        <v>0</v>
      </c>
      <c r="AB304">
        <f>VLOOKUP(Table56[[#This Row],[Shortname]], Comp[], 27, FALSE)</f>
        <v>0</v>
      </c>
      <c r="AC304">
        <f>VLOOKUP(Table56[[#This Row],[Shortname]], Comp[], 28, FALSE)</f>
        <v>0</v>
      </c>
      <c r="AD304">
        <f>VLOOKUP(Table56[[#This Row],[Shortname]], Comp[], 29, FALSE)</f>
        <v>0</v>
      </c>
      <c r="AE304">
        <f>VLOOKUP(Table56[[#This Row],[Shortname]], Comp[], 30, FALSE)</f>
        <v>0</v>
      </c>
      <c r="AF304">
        <f>VLOOKUP(Table56[[#This Row],[Shortname]], Comp[], 31, FALSE)</f>
        <v>0</v>
      </c>
    </row>
    <row r="305" spans="1:32" x14ac:dyDescent="0.3">
      <c r="A305" s="12" t="s">
        <v>5792</v>
      </c>
      <c r="B305" s="12" t="s">
        <v>1637</v>
      </c>
      <c r="C305" s="12" t="s">
        <v>757</v>
      </c>
      <c r="D305" s="12">
        <v>948</v>
      </c>
      <c r="E305" s="12">
        <v>1410</v>
      </c>
      <c r="F305" s="12">
        <v>1444</v>
      </c>
      <c r="H305" s="14">
        <f>VLOOKUP(Table56[[#This Row],[Shortname]], Comp[], 7, FALSE)</f>
        <v>79</v>
      </c>
      <c r="I305">
        <f>VLOOKUP(Table56[[#This Row],[Shortname]], Comp[], 8, FALSE)</f>
        <v>0</v>
      </c>
      <c r="J305">
        <f>VLOOKUP(Table56[[#This Row],[Shortname]], Comp[], 9, FALSE)</f>
        <v>5</v>
      </c>
      <c r="K305">
        <f>VLOOKUP(Table56[[#This Row],[Shortname]], Comp[], 10, FALSE)</f>
        <v>2</v>
      </c>
      <c r="L305">
        <f>VLOOKUP(Table56[[#This Row],[Shortname]], Comp[], 11, FALSE)</f>
        <v>0</v>
      </c>
      <c r="M305">
        <f>VLOOKUP(Table56[[#This Row],[Shortname]], Comp[],12, FALSE)</f>
        <v>0</v>
      </c>
      <c r="N305">
        <f>VLOOKUP(Table56[[#This Row],[Shortname]], Comp[], 13, FALSE)</f>
        <v>0</v>
      </c>
      <c r="O305">
        <f>VLOOKUP(Table56[[#This Row],[Shortname]], Comp[], 14, FALSE)</f>
        <v>0</v>
      </c>
      <c r="P305">
        <f>VLOOKUP(Table56[[#This Row],[Shortname]], Comp[], 15, FALSE)</f>
        <v>14</v>
      </c>
      <c r="Q305">
        <f>VLOOKUP(Table56[[#This Row],[Shortname]], Comp[], 16, FALSE)</f>
        <v>0</v>
      </c>
      <c r="R305">
        <f>VLOOKUP(Table56[[#This Row],[Shortname]], Comp[], 17, FALSE)</f>
        <v>0</v>
      </c>
      <c r="S305">
        <f>VLOOKUP(Table56[[#This Row],[Shortname]], Comp[], 18, FALSE)</f>
        <v>0</v>
      </c>
      <c r="T305">
        <f>VLOOKUP(Table56[[#This Row],[Shortname]], Comp[], 19, FALSE)</f>
        <v>0</v>
      </c>
      <c r="U305">
        <f>VLOOKUP(Table56[[#This Row],[Shortname]], Comp[], 20, FALSE)</f>
        <v>0</v>
      </c>
      <c r="V305">
        <f>VLOOKUP(Table56[[#This Row],[Shortname]], Comp[], 21, FALSE)</f>
        <v>0</v>
      </c>
      <c r="W305">
        <f>VLOOKUP(Table56[[#This Row],[Shortname]], Comp[], 22, FALSE)</f>
        <v>0</v>
      </c>
      <c r="X305">
        <f>VLOOKUP(Table56[[#This Row],[Shortname]], Comp[], 23, FALSE)</f>
        <v>0</v>
      </c>
      <c r="Y305">
        <f>VLOOKUP(Table56[[#This Row],[Shortname]], Comp[], 24, FALSE)</f>
        <v>0</v>
      </c>
      <c r="Z305">
        <f>VLOOKUP(Table56[[#This Row],[Shortname]], Comp[], 25, FALSE)</f>
        <v>0</v>
      </c>
      <c r="AA305">
        <f>VLOOKUP(Table56[[#This Row],[Shortname]], Comp[], 26, FALSE)</f>
        <v>0</v>
      </c>
      <c r="AB305">
        <f>VLOOKUP(Table56[[#This Row],[Shortname]], Comp[], 27, FALSE)</f>
        <v>0</v>
      </c>
      <c r="AC305">
        <f>VLOOKUP(Table56[[#This Row],[Shortname]], Comp[], 28, FALSE)</f>
        <v>0</v>
      </c>
      <c r="AD305">
        <f>VLOOKUP(Table56[[#This Row],[Shortname]], Comp[], 29, FALSE)</f>
        <v>0</v>
      </c>
      <c r="AE305">
        <f>VLOOKUP(Table56[[#This Row],[Shortname]], Comp[], 30, FALSE)</f>
        <v>0</v>
      </c>
      <c r="AF305">
        <f>VLOOKUP(Table56[[#This Row],[Shortname]], Comp[], 31, FALSE)</f>
        <v>0</v>
      </c>
    </row>
    <row r="306" spans="1:32" x14ac:dyDescent="0.3">
      <c r="A306" s="12" t="s">
        <v>5794</v>
      </c>
      <c r="B306" s="12" t="s">
        <v>3927</v>
      </c>
      <c r="C306" s="12" t="s">
        <v>766</v>
      </c>
      <c r="D306" s="12">
        <v>1032</v>
      </c>
      <c r="E306" s="12">
        <v>1309</v>
      </c>
      <c r="F306" s="12">
        <v>1418</v>
      </c>
      <c r="H306" s="14">
        <f>VLOOKUP(Table56[[#This Row],[Shortname]], Comp[], 7, FALSE)</f>
        <v>79</v>
      </c>
      <c r="I306">
        <f>VLOOKUP(Table56[[#This Row],[Shortname]], Comp[], 8, FALSE)</f>
        <v>0</v>
      </c>
      <c r="J306">
        <f>VLOOKUP(Table56[[#This Row],[Shortname]], Comp[], 9, FALSE)</f>
        <v>5</v>
      </c>
      <c r="K306">
        <f>VLOOKUP(Table56[[#This Row],[Shortname]], Comp[], 10, FALSE)</f>
        <v>0</v>
      </c>
      <c r="L306">
        <f>VLOOKUP(Table56[[#This Row],[Shortname]], Comp[], 11, FALSE)</f>
        <v>0</v>
      </c>
      <c r="M306">
        <f>VLOOKUP(Table56[[#This Row],[Shortname]], Comp[],12, FALSE)</f>
        <v>0</v>
      </c>
      <c r="N306">
        <f>VLOOKUP(Table56[[#This Row],[Shortname]], Comp[], 13, FALSE)</f>
        <v>0</v>
      </c>
      <c r="O306">
        <f>VLOOKUP(Table56[[#This Row],[Shortname]], Comp[], 14, FALSE)</f>
        <v>2</v>
      </c>
      <c r="P306">
        <f>VLOOKUP(Table56[[#This Row],[Shortname]], Comp[], 15, FALSE)</f>
        <v>14</v>
      </c>
      <c r="Q306">
        <f>VLOOKUP(Table56[[#This Row],[Shortname]], Comp[], 16, FALSE)</f>
        <v>0</v>
      </c>
      <c r="R306">
        <f>VLOOKUP(Table56[[#This Row],[Shortname]], Comp[], 17, FALSE)</f>
        <v>0</v>
      </c>
      <c r="S306">
        <f>VLOOKUP(Table56[[#This Row],[Shortname]], Comp[], 18, FALSE)</f>
        <v>0</v>
      </c>
      <c r="T306">
        <f>VLOOKUP(Table56[[#This Row],[Shortname]], Comp[], 19, FALSE)</f>
        <v>0</v>
      </c>
      <c r="U306">
        <f>VLOOKUP(Table56[[#This Row],[Shortname]], Comp[], 20, FALSE)</f>
        <v>0</v>
      </c>
      <c r="V306">
        <f>VLOOKUP(Table56[[#This Row],[Shortname]], Comp[], 21, FALSE)</f>
        <v>0</v>
      </c>
      <c r="W306">
        <f>VLOOKUP(Table56[[#This Row],[Shortname]], Comp[], 22, FALSE)</f>
        <v>0</v>
      </c>
      <c r="X306">
        <f>VLOOKUP(Table56[[#This Row],[Shortname]], Comp[], 23, FALSE)</f>
        <v>0</v>
      </c>
      <c r="Y306">
        <f>VLOOKUP(Table56[[#This Row],[Shortname]], Comp[], 24, FALSE)</f>
        <v>0</v>
      </c>
      <c r="Z306">
        <f>VLOOKUP(Table56[[#This Row],[Shortname]], Comp[], 25, FALSE)</f>
        <v>0</v>
      </c>
      <c r="AA306">
        <f>VLOOKUP(Table56[[#This Row],[Shortname]], Comp[], 26, FALSE)</f>
        <v>0</v>
      </c>
      <c r="AB306">
        <f>VLOOKUP(Table56[[#This Row],[Shortname]], Comp[], 27, FALSE)</f>
        <v>0</v>
      </c>
      <c r="AC306">
        <f>VLOOKUP(Table56[[#This Row],[Shortname]], Comp[], 28, FALSE)</f>
        <v>0</v>
      </c>
      <c r="AD306">
        <f>VLOOKUP(Table56[[#This Row],[Shortname]], Comp[], 29, FALSE)</f>
        <v>0</v>
      </c>
      <c r="AE306">
        <f>VLOOKUP(Table56[[#This Row],[Shortname]], Comp[], 30, FALSE)</f>
        <v>0</v>
      </c>
      <c r="AF306">
        <f>VLOOKUP(Table56[[#This Row],[Shortname]], Comp[], 31, FALSE)</f>
        <v>0</v>
      </c>
    </row>
    <row r="307" spans="1:32" x14ac:dyDescent="0.3">
      <c r="A307" s="12" t="s">
        <v>5796</v>
      </c>
      <c r="B307" s="12" t="s">
        <v>1484</v>
      </c>
      <c r="C307" s="12" t="s">
        <v>774</v>
      </c>
      <c r="D307" s="12">
        <v>971</v>
      </c>
      <c r="E307" s="12">
        <v>1399</v>
      </c>
      <c r="F307" s="12">
        <v>1433</v>
      </c>
      <c r="H307" s="14">
        <f>VLOOKUP(Table56[[#This Row],[Shortname]], Comp[], 7, FALSE)</f>
        <v>79</v>
      </c>
      <c r="I307">
        <f>VLOOKUP(Table56[[#This Row],[Shortname]], Comp[], 8, FALSE)</f>
        <v>0</v>
      </c>
      <c r="J307">
        <f>VLOOKUP(Table56[[#This Row],[Shortname]], Comp[], 9, FALSE)</f>
        <v>5</v>
      </c>
      <c r="K307">
        <f>VLOOKUP(Table56[[#This Row],[Shortname]], Comp[], 10, FALSE)</f>
        <v>0</v>
      </c>
      <c r="L307">
        <f>VLOOKUP(Table56[[#This Row],[Shortname]], Comp[], 11, FALSE)</f>
        <v>0</v>
      </c>
      <c r="M307">
        <f>VLOOKUP(Table56[[#This Row],[Shortname]], Comp[],12, FALSE)</f>
        <v>0</v>
      </c>
      <c r="N307">
        <f>VLOOKUP(Table56[[#This Row],[Shortname]], Comp[], 13, FALSE)</f>
        <v>0</v>
      </c>
      <c r="O307">
        <f>VLOOKUP(Table56[[#This Row],[Shortname]], Comp[], 14, FALSE)</f>
        <v>0</v>
      </c>
      <c r="P307">
        <f>VLOOKUP(Table56[[#This Row],[Shortname]], Comp[], 15, FALSE)</f>
        <v>14</v>
      </c>
      <c r="Q307">
        <f>VLOOKUP(Table56[[#This Row],[Shortname]], Comp[], 16, FALSE)</f>
        <v>2</v>
      </c>
      <c r="R307">
        <f>VLOOKUP(Table56[[#This Row],[Shortname]], Comp[], 17, FALSE)</f>
        <v>0</v>
      </c>
      <c r="S307">
        <f>VLOOKUP(Table56[[#This Row],[Shortname]], Comp[], 18, FALSE)</f>
        <v>0</v>
      </c>
      <c r="T307">
        <f>VLOOKUP(Table56[[#This Row],[Shortname]], Comp[], 19, FALSE)</f>
        <v>0</v>
      </c>
      <c r="U307">
        <f>VLOOKUP(Table56[[#This Row],[Shortname]], Comp[], 20, FALSE)</f>
        <v>0</v>
      </c>
      <c r="V307">
        <f>VLOOKUP(Table56[[#This Row],[Shortname]], Comp[], 21, FALSE)</f>
        <v>0</v>
      </c>
      <c r="W307">
        <f>VLOOKUP(Table56[[#This Row],[Shortname]], Comp[], 22, FALSE)</f>
        <v>0</v>
      </c>
      <c r="X307">
        <f>VLOOKUP(Table56[[#This Row],[Shortname]], Comp[], 23, FALSE)</f>
        <v>0</v>
      </c>
      <c r="Y307">
        <f>VLOOKUP(Table56[[#This Row],[Shortname]], Comp[], 24, FALSE)</f>
        <v>0</v>
      </c>
      <c r="Z307">
        <f>VLOOKUP(Table56[[#This Row],[Shortname]], Comp[], 25, FALSE)</f>
        <v>0</v>
      </c>
      <c r="AA307">
        <f>VLOOKUP(Table56[[#This Row],[Shortname]], Comp[], 26, FALSE)</f>
        <v>0</v>
      </c>
      <c r="AB307">
        <f>VLOOKUP(Table56[[#This Row],[Shortname]], Comp[], 27, FALSE)</f>
        <v>0</v>
      </c>
      <c r="AC307">
        <f>VLOOKUP(Table56[[#This Row],[Shortname]], Comp[], 28, FALSE)</f>
        <v>0</v>
      </c>
      <c r="AD307">
        <f>VLOOKUP(Table56[[#This Row],[Shortname]], Comp[], 29, FALSE)</f>
        <v>0</v>
      </c>
      <c r="AE307">
        <f>VLOOKUP(Table56[[#This Row],[Shortname]], Comp[], 30, FALSE)</f>
        <v>0</v>
      </c>
      <c r="AF307">
        <f>VLOOKUP(Table56[[#This Row],[Shortname]], Comp[], 31, FALSE)</f>
        <v>0</v>
      </c>
    </row>
    <row r="308" spans="1:32" x14ac:dyDescent="0.3">
      <c r="A308" s="12" t="s">
        <v>5799</v>
      </c>
      <c r="B308" s="12" t="s">
        <v>2354</v>
      </c>
      <c r="C308" s="12" t="s">
        <v>5800</v>
      </c>
      <c r="D308" s="12">
        <v>1070</v>
      </c>
      <c r="E308" s="12">
        <v>1354</v>
      </c>
      <c r="F308" s="12">
        <v>1411</v>
      </c>
      <c r="H308" s="14">
        <f>VLOOKUP(Table56[[#This Row],[Shortname]], Comp[], 7, FALSE)</f>
        <v>79</v>
      </c>
      <c r="I308">
        <f>VLOOKUP(Table56[[#This Row],[Shortname]], Comp[], 8, FALSE)</f>
        <v>0</v>
      </c>
      <c r="J308">
        <f>VLOOKUP(Table56[[#This Row],[Shortname]], Comp[], 9, FALSE)</f>
        <v>5</v>
      </c>
      <c r="K308">
        <f>VLOOKUP(Table56[[#This Row],[Shortname]], Comp[], 10, FALSE)</f>
        <v>0</v>
      </c>
      <c r="L308">
        <f>VLOOKUP(Table56[[#This Row],[Shortname]], Comp[], 11, FALSE)</f>
        <v>0</v>
      </c>
      <c r="M308">
        <f>VLOOKUP(Table56[[#This Row],[Shortname]], Comp[],12, FALSE)</f>
        <v>0</v>
      </c>
      <c r="N308">
        <f>VLOOKUP(Table56[[#This Row],[Shortname]], Comp[], 13, FALSE)</f>
        <v>2</v>
      </c>
      <c r="O308">
        <f>VLOOKUP(Table56[[#This Row],[Shortname]], Comp[], 14, FALSE)</f>
        <v>0</v>
      </c>
      <c r="P308">
        <f>VLOOKUP(Table56[[#This Row],[Shortname]], Comp[], 15, FALSE)</f>
        <v>14</v>
      </c>
      <c r="Q308">
        <f>VLOOKUP(Table56[[#This Row],[Shortname]], Comp[], 16, FALSE)</f>
        <v>0</v>
      </c>
      <c r="R308">
        <f>VLOOKUP(Table56[[#This Row],[Shortname]], Comp[], 17, FALSE)</f>
        <v>0</v>
      </c>
      <c r="S308">
        <f>VLOOKUP(Table56[[#This Row],[Shortname]], Comp[], 18, FALSE)</f>
        <v>0</v>
      </c>
      <c r="T308">
        <f>VLOOKUP(Table56[[#This Row],[Shortname]], Comp[], 19, FALSE)</f>
        <v>0</v>
      </c>
      <c r="U308">
        <f>VLOOKUP(Table56[[#This Row],[Shortname]], Comp[], 20, FALSE)</f>
        <v>0</v>
      </c>
      <c r="V308">
        <f>VLOOKUP(Table56[[#This Row],[Shortname]], Comp[], 21, FALSE)</f>
        <v>0</v>
      </c>
      <c r="W308">
        <f>VLOOKUP(Table56[[#This Row],[Shortname]], Comp[], 22, FALSE)</f>
        <v>0</v>
      </c>
      <c r="X308">
        <f>VLOOKUP(Table56[[#This Row],[Shortname]], Comp[], 23, FALSE)</f>
        <v>0</v>
      </c>
      <c r="Y308">
        <f>VLOOKUP(Table56[[#This Row],[Shortname]], Comp[], 24, FALSE)</f>
        <v>0</v>
      </c>
      <c r="Z308">
        <f>VLOOKUP(Table56[[#This Row],[Shortname]], Comp[], 25, FALSE)</f>
        <v>0</v>
      </c>
      <c r="AA308">
        <f>VLOOKUP(Table56[[#This Row],[Shortname]], Comp[], 26, FALSE)</f>
        <v>0</v>
      </c>
      <c r="AB308">
        <f>VLOOKUP(Table56[[#This Row],[Shortname]], Comp[], 27, FALSE)</f>
        <v>0</v>
      </c>
      <c r="AC308">
        <f>VLOOKUP(Table56[[#This Row],[Shortname]], Comp[], 28, FALSE)</f>
        <v>0</v>
      </c>
      <c r="AD308">
        <f>VLOOKUP(Table56[[#This Row],[Shortname]], Comp[], 29, FALSE)</f>
        <v>0</v>
      </c>
      <c r="AE308">
        <f>VLOOKUP(Table56[[#This Row],[Shortname]], Comp[], 30, FALSE)</f>
        <v>0</v>
      </c>
      <c r="AF308">
        <f>VLOOKUP(Table56[[#This Row],[Shortname]], Comp[], 31, FALSE)</f>
        <v>0</v>
      </c>
    </row>
    <row r="309" spans="1:32" x14ac:dyDescent="0.3">
      <c r="A309" s="12" t="s">
        <v>5802</v>
      </c>
      <c r="B309" s="12" t="s">
        <v>5803</v>
      </c>
      <c r="C309" s="12" t="s">
        <v>733</v>
      </c>
      <c r="D309" s="12">
        <v>1003</v>
      </c>
      <c r="E309" s="12">
        <v>1412</v>
      </c>
      <c r="F309" s="12">
        <v>1445</v>
      </c>
      <c r="H309" s="14">
        <f>VLOOKUP(Table56[[#This Row],[Shortname]], Comp[], 7, FALSE)</f>
        <v>79</v>
      </c>
      <c r="I309">
        <f>VLOOKUP(Table56[[#This Row],[Shortname]], Comp[], 8, FALSE)</f>
        <v>0</v>
      </c>
      <c r="J309">
        <f>VLOOKUP(Table56[[#This Row],[Shortname]], Comp[], 9, FALSE)</f>
        <v>5</v>
      </c>
      <c r="K309">
        <f>VLOOKUP(Table56[[#This Row],[Shortname]], Comp[], 10, FALSE)</f>
        <v>0</v>
      </c>
      <c r="L309">
        <f>VLOOKUP(Table56[[#This Row],[Shortname]], Comp[], 11, FALSE)</f>
        <v>2</v>
      </c>
      <c r="M309">
        <f>VLOOKUP(Table56[[#This Row],[Shortname]], Comp[],12, FALSE)</f>
        <v>0</v>
      </c>
      <c r="N309">
        <f>VLOOKUP(Table56[[#This Row],[Shortname]], Comp[], 13, FALSE)</f>
        <v>0</v>
      </c>
      <c r="O309">
        <f>VLOOKUP(Table56[[#This Row],[Shortname]], Comp[], 14, FALSE)</f>
        <v>0</v>
      </c>
      <c r="P309">
        <f>VLOOKUP(Table56[[#This Row],[Shortname]], Comp[], 15, FALSE)</f>
        <v>14</v>
      </c>
      <c r="Q309">
        <f>VLOOKUP(Table56[[#This Row],[Shortname]], Comp[], 16, FALSE)</f>
        <v>0</v>
      </c>
      <c r="R309">
        <f>VLOOKUP(Table56[[#This Row],[Shortname]], Comp[], 17, FALSE)</f>
        <v>0</v>
      </c>
      <c r="S309">
        <f>VLOOKUP(Table56[[#This Row],[Shortname]], Comp[], 18, FALSE)</f>
        <v>0</v>
      </c>
      <c r="T309">
        <f>VLOOKUP(Table56[[#This Row],[Shortname]], Comp[], 19, FALSE)</f>
        <v>0</v>
      </c>
      <c r="U309">
        <f>VLOOKUP(Table56[[#This Row],[Shortname]], Comp[], 20, FALSE)</f>
        <v>0</v>
      </c>
      <c r="V309">
        <f>VLOOKUP(Table56[[#This Row],[Shortname]], Comp[], 21, FALSE)</f>
        <v>0</v>
      </c>
      <c r="W309">
        <f>VLOOKUP(Table56[[#This Row],[Shortname]], Comp[], 22, FALSE)</f>
        <v>0</v>
      </c>
      <c r="X309">
        <f>VLOOKUP(Table56[[#This Row],[Shortname]], Comp[], 23, FALSE)</f>
        <v>0</v>
      </c>
      <c r="Y309">
        <f>VLOOKUP(Table56[[#This Row],[Shortname]], Comp[], 24, FALSE)</f>
        <v>0</v>
      </c>
      <c r="Z309">
        <f>VLOOKUP(Table56[[#This Row],[Shortname]], Comp[], 25, FALSE)</f>
        <v>0</v>
      </c>
      <c r="AA309">
        <f>VLOOKUP(Table56[[#This Row],[Shortname]], Comp[], 26, FALSE)</f>
        <v>0</v>
      </c>
      <c r="AB309">
        <f>VLOOKUP(Table56[[#This Row],[Shortname]], Comp[], 27, FALSE)</f>
        <v>0</v>
      </c>
      <c r="AC309">
        <f>VLOOKUP(Table56[[#This Row],[Shortname]], Comp[], 28, FALSE)</f>
        <v>0</v>
      </c>
      <c r="AD309">
        <f>VLOOKUP(Table56[[#This Row],[Shortname]], Comp[], 29, FALSE)</f>
        <v>0</v>
      </c>
      <c r="AE309">
        <f>VLOOKUP(Table56[[#This Row],[Shortname]], Comp[], 30, FALSE)</f>
        <v>0</v>
      </c>
      <c r="AF309">
        <f>VLOOKUP(Table56[[#This Row],[Shortname]], Comp[], 31, FALSE)</f>
        <v>0</v>
      </c>
    </row>
    <row r="310" spans="1:32" x14ac:dyDescent="0.3">
      <c r="A310" s="12" t="s">
        <v>5805</v>
      </c>
      <c r="B310" s="12" t="s">
        <v>4948</v>
      </c>
      <c r="C310" s="12" t="s">
        <v>782</v>
      </c>
      <c r="D310" s="12">
        <v>979</v>
      </c>
      <c r="E310" s="12">
        <v>1409</v>
      </c>
      <c r="F310" s="12">
        <v>1433</v>
      </c>
      <c r="H310" s="14">
        <f>VLOOKUP(Table56[[#This Row],[Shortname]], Comp[], 7, FALSE)</f>
        <v>70</v>
      </c>
      <c r="I310">
        <f>VLOOKUP(Table56[[#This Row],[Shortname]], Comp[], 8, FALSE)</f>
        <v>10</v>
      </c>
      <c r="J310">
        <f>VLOOKUP(Table56[[#This Row],[Shortname]], Comp[], 9, FALSE)</f>
        <v>8</v>
      </c>
      <c r="K310">
        <f>VLOOKUP(Table56[[#This Row],[Shortname]], Comp[], 10, FALSE)</f>
        <v>0</v>
      </c>
      <c r="L310">
        <f>VLOOKUP(Table56[[#This Row],[Shortname]], Comp[], 11, FALSE)</f>
        <v>0</v>
      </c>
      <c r="M310">
        <f>VLOOKUP(Table56[[#This Row],[Shortname]], Comp[],12, FALSE)</f>
        <v>0</v>
      </c>
      <c r="N310">
        <f>VLOOKUP(Table56[[#This Row],[Shortname]], Comp[], 13, FALSE)</f>
        <v>0</v>
      </c>
      <c r="O310">
        <f>VLOOKUP(Table56[[#This Row],[Shortname]], Comp[], 14, FALSE)</f>
        <v>0</v>
      </c>
      <c r="P310">
        <f>VLOOKUP(Table56[[#This Row],[Shortname]], Comp[], 15, FALSE)</f>
        <v>12</v>
      </c>
      <c r="Q310">
        <f>VLOOKUP(Table56[[#This Row],[Shortname]], Comp[], 16, FALSE)</f>
        <v>0</v>
      </c>
      <c r="R310">
        <f>VLOOKUP(Table56[[#This Row],[Shortname]], Comp[], 17, FALSE)</f>
        <v>0</v>
      </c>
      <c r="S310">
        <f>VLOOKUP(Table56[[#This Row],[Shortname]], Comp[], 18, FALSE)</f>
        <v>0</v>
      </c>
      <c r="T310">
        <f>VLOOKUP(Table56[[#This Row],[Shortname]], Comp[], 19, FALSE)</f>
        <v>0</v>
      </c>
      <c r="U310">
        <f>VLOOKUP(Table56[[#This Row],[Shortname]], Comp[], 20, FALSE)</f>
        <v>0</v>
      </c>
      <c r="V310">
        <f>VLOOKUP(Table56[[#This Row],[Shortname]], Comp[], 21, FALSE)</f>
        <v>0</v>
      </c>
      <c r="W310">
        <f>VLOOKUP(Table56[[#This Row],[Shortname]], Comp[], 22, FALSE)</f>
        <v>0</v>
      </c>
      <c r="X310">
        <f>VLOOKUP(Table56[[#This Row],[Shortname]], Comp[], 23, FALSE)</f>
        <v>0</v>
      </c>
      <c r="Y310">
        <f>VLOOKUP(Table56[[#This Row],[Shortname]], Comp[], 24, FALSE)</f>
        <v>0</v>
      </c>
      <c r="Z310">
        <f>VLOOKUP(Table56[[#This Row],[Shortname]], Comp[], 25, FALSE)</f>
        <v>0</v>
      </c>
      <c r="AA310">
        <f>VLOOKUP(Table56[[#This Row],[Shortname]], Comp[], 26, FALSE)</f>
        <v>0</v>
      </c>
      <c r="AB310">
        <f>VLOOKUP(Table56[[#This Row],[Shortname]], Comp[], 27, FALSE)</f>
        <v>0</v>
      </c>
      <c r="AC310">
        <f>VLOOKUP(Table56[[#This Row],[Shortname]], Comp[], 28, FALSE)</f>
        <v>0</v>
      </c>
      <c r="AD310">
        <f>VLOOKUP(Table56[[#This Row],[Shortname]], Comp[], 29, FALSE)</f>
        <v>0</v>
      </c>
      <c r="AE310">
        <f>VLOOKUP(Table56[[#This Row],[Shortname]], Comp[], 30, FALSE)</f>
        <v>0</v>
      </c>
      <c r="AF310">
        <f>VLOOKUP(Table56[[#This Row],[Shortname]], Comp[], 31, FALSE)</f>
        <v>0</v>
      </c>
    </row>
    <row r="311" spans="1:32" x14ac:dyDescent="0.3">
      <c r="A311" s="12" t="s">
        <v>5808</v>
      </c>
      <c r="B311" s="12" t="s">
        <v>4849</v>
      </c>
      <c r="C311" s="12" t="s">
        <v>789</v>
      </c>
      <c r="D311" s="12">
        <v>1000</v>
      </c>
      <c r="E311" s="12">
        <v>1409</v>
      </c>
      <c r="F311" s="12">
        <v>1431</v>
      </c>
      <c r="H311" s="14">
        <f>VLOOKUP(Table56[[#This Row],[Shortname]], Comp[], 7, FALSE)</f>
        <v>60</v>
      </c>
      <c r="I311">
        <f>VLOOKUP(Table56[[#This Row],[Shortname]], Comp[], 8, FALSE)</f>
        <v>20</v>
      </c>
      <c r="J311">
        <f>VLOOKUP(Table56[[#This Row],[Shortname]], Comp[], 9, FALSE)</f>
        <v>8</v>
      </c>
      <c r="K311">
        <f>VLOOKUP(Table56[[#This Row],[Shortname]], Comp[], 10, FALSE)</f>
        <v>0</v>
      </c>
      <c r="L311">
        <f>VLOOKUP(Table56[[#This Row],[Shortname]], Comp[], 11, FALSE)</f>
        <v>0</v>
      </c>
      <c r="M311">
        <f>VLOOKUP(Table56[[#This Row],[Shortname]], Comp[],12, FALSE)</f>
        <v>0</v>
      </c>
      <c r="N311">
        <f>VLOOKUP(Table56[[#This Row],[Shortname]], Comp[], 13, FALSE)</f>
        <v>0</v>
      </c>
      <c r="O311">
        <f>VLOOKUP(Table56[[#This Row],[Shortname]], Comp[], 14, FALSE)</f>
        <v>0</v>
      </c>
      <c r="P311">
        <f>VLOOKUP(Table56[[#This Row],[Shortname]], Comp[], 15, FALSE)</f>
        <v>12</v>
      </c>
      <c r="Q311">
        <f>VLOOKUP(Table56[[#This Row],[Shortname]], Comp[], 16, FALSE)</f>
        <v>0</v>
      </c>
      <c r="R311">
        <f>VLOOKUP(Table56[[#This Row],[Shortname]], Comp[], 17, FALSE)</f>
        <v>0</v>
      </c>
      <c r="S311">
        <f>VLOOKUP(Table56[[#This Row],[Shortname]], Comp[], 18, FALSE)</f>
        <v>0</v>
      </c>
      <c r="T311">
        <f>VLOOKUP(Table56[[#This Row],[Shortname]], Comp[], 19, FALSE)</f>
        <v>0</v>
      </c>
      <c r="U311">
        <f>VLOOKUP(Table56[[#This Row],[Shortname]], Comp[], 20, FALSE)</f>
        <v>0</v>
      </c>
      <c r="V311">
        <f>VLOOKUP(Table56[[#This Row],[Shortname]], Comp[], 21, FALSE)</f>
        <v>0</v>
      </c>
      <c r="W311">
        <f>VLOOKUP(Table56[[#This Row],[Shortname]], Comp[], 22, FALSE)</f>
        <v>0</v>
      </c>
      <c r="X311">
        <f>VLOOKUP(Table56[[#This Row],[Shortname]], Comp[], 23, FALSE)</f>
        <v>0</v>
      </c>
      <c r="Y311">
        <f>VLOOKUP(Table56[[#This Row],[Shortname]], Comp[], 24, FALSE)</f>
        <v>0</v>
      </c>
      <c r="Z311">
        <f>VLOOKUP(Table56[[#This Row],[Shortname]], Comp[], 25, FALSE)</f>
        <v>0</v>
      </c>
      <c r="AA311">
        <f>VLOOKUP(Table56[[#This Row],[Shortname]], Comp[], 26, FALSE)</f>
        <v>0</v>
      </c>
      <c r="AB311">
        <f>VLOOKUP(Table56[[#This Row],[Shortname]], Comp[], 27, FALSE)</f>
        <v>0</v>
      </c>
      <c r="AC311">
        <f>VLOOKUP(Table56[[#This Row],[Shortname]], Comp[], 28, FALSE)</f>
        <v>0</v>
      </c>
      <c r="AD311">
        <f>VLOOKUP(Table56[[#This Row],[Shortname]], Comp[], 29, FALSE)</f>
        <v>0</v>
      </c>
      <c r="AE311">
        <f>VLOOKUP(Table56[[#This Row],[Shortname]], Comp[], 30, FALSE)</f>
        <v>0</v>
      </c>
      <c r="AF311">
        <f>VLOOKUP(Table56[[#This Row],[Shortname]], Comp[], 31, FALSE)</f>
        <v>0</v>
      </c>
    </row>
    <row r="312" spans="1:32" x14ac:dyDescent="0.3">
      <c r="A312" s="12" t="s">
        <v>5810</v>
      </c>
      <c r="B312" s="12" t="s">
        <v>4928</v>
      </c>
      <c r="C312" s="12" t="s">
        <v>797</v>
      </c>
      <c r="D312" s="12">
        <v>1032</v>
      </c>
      <c r="E312" s="12">
        <v>1408</v>
      </c>
      <c r="F312" s="12">
        <v>1429</v>
      </c>
      <c r="H312" s="14">
        <f>VLOOKUP(Table56[[#This Row],[Shortname]], Comp[], 7, FALSE)</f>
        <v>50</v>
      </c>
      <c r="I312">
        <f>VLOOKUP(Table56[[#This Row],[Shortname]], Comp[], 8, FALSE)</f>
        <v>30</v>
      </c>
      <c r="J312">
        <f>VLOOKUP(Table56[[#This Row],[Shortname]], Comp[], 9, FALSE)</f>
        <v>8</v>
      </c>
      <c r="K312">
        <f>VLOOKUP(Table56[[#This Row],[Shortname]], Comp[], 10, FALSE)</f>
        <v>0</v>
      </c>
      <c r="L312">
        <f>VLOOKUP(Table56[[#This Row],[Shortname]], Comp[], 11, FALSE)</f>
        <v>0</v>
      </c>
      <c r="M312">
        <f>VLOOKUP(Table56[[#This Row],[Shortname]], Comp[],12, FALSE)</f>
        <v>0</v>
      </c>
      <c r="N312">
        <f>VLOOKUP(Table56[[#This Row],[Shortname]], Comp[], 13, FALSE)</f>
        <v>0</v>
      </c>
      <c r="O312">
        <f>VLOOKUP(Table56[[#This Row],[Shortname]], Comp[], 14, FALSE)</f>
        <v>0</v>
      </c>
      <c r="P312">
        <f>VLOOKUP(Table56[[#This Row],[Shortname]], Comp[], 15, FALSE)</f>
        <v>12</v>
      </c>
      <c r="Q312">
        <f>VLOOKUP(Table56[[#This Row],[Shortname]], Comp[], 16, FALSE)</f>
        <v>0</v>
      </c>
      <c r="R312">
        <f>VLOOKUP(Table56[[#This Row],[Shortname]], Comp[], 17, FALSE)</f>
        <v>0</v>
      </c>
      <c r="S312">
        <f>VLOOKUP(Table56[[#This Row],[Shortname]], Comp[], 18, FALSE)</f>
        <v>0</v>
      </c>
      <c r="T312">
        <f>VLOOKUP(Table56[[#This Row],[Shortname]], Comp[], 19, FALSE)</f>
        <v>0</v>
      </c>
      <c r="U312">
        <f>VLOOKUP(Table56[[#This Row],[Shortname]], Comp[], 20, FALSE)</f>
        <v>0</v>
      </c>
      <c r="V312">
        <f>VLOOKUP(Table56[[#This Row],[Shortname]], Comp[], 21, FALSE)</f>
        <v>0</v>
      </c>
      <c r="W312">
        <f>VLOOKUP(Table56[[#This Row],[Shortname]], Comp[], 22, FALSE)</f>
        <v>0</v>
      </c>
      <c r="X312">
        <f>VLOOKUP(Table56[[#This Row],[Shortname]], Comp[], 23, FALSE)</f>
        <v>0</v>
      </c>
      <c r="Y312">
        <f>VLOOKUP(Table56[[#This Row],[Shortname]], Comp[], 24, FALSE)</f>
        <v>0</v>
      </c>
      <c r="Z312">
        <f>VLOOKUP(Table56[[#This Row],[Shortname]], Comp[], 25, FALSE)</f>
        <v>0</v>
      </c>
      <c r="AA312">
        <f>VLOOKUP(Table56[[#This Row],[Shortname]], Comp[], 26, FALSE)</f>
        <v>0</v>
      </c>
      <c r="AB312">
        <f>VLOOKUP(Table56[[#This Row],[Shortname]], Comp[], 27, FALSE)</f>
        <v>0</v>
      </c>
      <c r="AC312">
        <f>VLOOKUP(Table56[[#This Row],[Shortname]], Comp[], 28, FALSE)</f>
        <v>0</v>
      </c>
      <c r="AD312">
        <f>VLOOKUP(Table56[[#This Row],[Shortname]], Comp[], 29, FALSE)</f>
        <v>0</v>
      </c>
      <c r="AE312">
        <f>VLOOKUP(Table56[[#This Row],[Shortname]], Comp[], 30, FALSE)</f>
        <v>0</v>
      </c>
      <c r="AF312">
        <f>VLOOKUP(Table56[[#This Row],[Shortname]], Comp[], 31, FALSE)</f>
        <v>0</v>
      </c>
    </row>
    <row r="313" spans="1:32" x14ac:dyDescent="0.3">
      <c r="A313" s="12" t="s">
        <v>5812</v>
      </c>
      <c r="B313" s="12" t="s">
        <v>847</v>
      </c>
      <c r="C313" s="12" t="s">
        <v>805</v>
      </c>
      <c r="D313" s="12">
        <v>1119</v>
      </c>
      <c r="E313" s="12">
        <v>1349</v>
      </c>
      <c r="F313" s="12">
        <v>1395</v>
      </c>
      <c r="H313" s="14">
        <f>VLOOKUP(Table56[[#This Row],[Shortname]], Comp[], 7, FALSE)</f>
        <v>51</v>
      </c>
      <c r="I313">
        <f>VLOOKUP(Table56[[#This Row],[Shortname]], Comp[], 8, FALSE)</f>
        <v>30</v>
      </c>
      <c r="J313">
        <f>VLOOKUP(Table56[[#This Row],[Shortname]], Comp[], 9, FALSE)</f>
        <v>5</v>
      </c>
      <c r="K313">
        <f>VLOOKUP(Table56[[#This Row],[Shortname]], Comp[], 10, FALSE)</f>
        <v>0</v>
      </c>
      <c r="L313">
        <f>VLOOKUP(Table56[[#This Row],[Shortname]], Comp[], 11, FALSE)</f>
        <v>0</v>
      </c>
      <c r="M313">
        <f>VLOOKUP(Table56[[#This Row],[Shortname]], Comp[],12, FALSE)</f>
        <v>0</v>
      </c>
      <c r="N313">
        <f>VLOOKUP(Table56[[#This Row],[Shortname]], Comp[], 13, FALSE)</f>
        <v>4</v>
      </c>
      <c r="O313">
        <f>VLOOKUP(Table56[[#This Row],[Shortname]], Comp[], 14, FALSE)</f>
        <v>0</v>
      </c>
      <c r="P313">
        <f>VLOOKUP(Table56[[#This Row],[Shortname]], Comp[], 15, FALSE)</f>
        <v>10</v>
      </c>
      <c r="Q313">
        <f>VLOOKUP(Table56[[#This Row],[Shortname]], Comp[], 16, FALSE)</f>
        <v>0</v>
      </c>
      <c r="R313">
        <f>VLOOKUP(Table56[[#This Row],[Shortname]], Comp[], 17, FALSE)</f>
        <v>0</v>
      </c>
      <c r="S313">
        <f>VLOOKUP(Table56[[#This Row],[Shortname]], Comp[], 18, FALSE)</f>
        <v>0</v>
      </c>
      <c r="T313">
        <f>VLOOKUP(Table56[[#This Row],[Shortname]], Comp[], 19, FALSE)</f>
        <v>0</v>
      </c>
      <c r="U313">
        <f>VLOOKUP(Table56[[#This Row],[Shortname]], Comp[], 20, FALSE)</f>
        <v>0</v>
      </c>
      <c r="V313">
        <f>VLOOKUP(Table56[[#This Row],[Shortname]], Comp[], 21, FALSE)</f>
        <v>0</v>
      </c>
      <c r="W313">
        <f>VLOOKUP(Table56[[#This Row],[Shortname]], Comp[], 22, FALSE)</f>
        <v>0</v>
      </c>
      <c r="X313">
        <f>VLOOKUP(Table56[[#This Row],[Shortname]], Comp[], 23, FALSE)</f>
        <v>0</v>
      </c>
      <c r="Y313">
        <f>VLOOKUP(Table56[[#This Row],[Shortname]], Comp[], 24, FALSE)</f>
        <v>0</v>
      </c>
      <c r="Z313">
        <f>VLOOKUP(Table56[[#This Row],[Shortname]], Comp[], 25, FALSE)</f>
        <v>0</v>
      </c>
      <c r="AA313">
        <f>VLOOKUP(Table56[[#This Row],[Shortname]], Comp[], 26, FALSE)</f>
        <v>0</v>
      </c>
      <c r="AB313">
        <f>VLOOKUP(Table56[[#This Row],[Shortname]], Comp[], 27, FALSE)</f>
        <v>0</v>
      </c>
      <c r="AC313">
        <f>VLOOKUP(Table56[[#This Row],[Shortname]], Comp[], 28, FALSE)</f>
        <v>0</v>
      </c>
      <c r="AD313">
        <f>VLOOKUP(Table56[[#This Row],[Shortname]], Comp[], 29, FALSE)</f>
        <v>0</v>
      </c>
      <c r="AE313">
        <f>VLOOKUP(Table56[[#This Row],[Shortname]], Comp[], 30, FALSE)</f>
        <v>0</v>
      </c>
      <c r="AF313">
        <f>VLOOKUP(Table56[[#This Row],[Shortname]], Comp[], 31, FALSE)</f>
        <v>0</v>
      </c>
    </row>
    <row r="314" spans="1:32" x14ac:dyDescent="0.3">
      <c r="A314" s="12" t="s">
        <v>5815</v>
      </c>
      <c r="B314" s="12" t="s">
        <v>856</v>
      </c>
      <c r="C314" s="12" t="s">
        <v>812</v>
      </c>
      <c r="D314" s="12">
        <v>1148</v>
      </c>
      <c r="E314" s="12">
        <v>1349</v>
      </c>
      <c r="F314" s="12">
        <v>1395</v>
      </c>
      <c r="H314" s="14">
        <f>VLOOKUP(Table56[[#This Row],[Shortname]], Comp[], 7, FALSE)</f>
        <v>51</v>
      </c>
      <c r="I314">
        <f>VLOOKUP(Table56[[#This Row],[Shortname]], Comp[], 8, FALSE)</f>
        <v>30</v>
      </c>
      <c r="J314">
        <f>VLOOKUP(Table56[[#This Row],[Shortname]], Comp[], 9, FALSE)</f>
        <v>7.5</v>
      </c>
      <c r="K314">
        <f>VLOOKUP(Table56[[#This Row],[Shortname]], Comp[], 10, FALSE)</f>
        <v>0</v>
      </c>
      <c r="L314">
        <f>VLOOKUP(Table56[[#This Row],[Shortname]], Comp[], 11, FALSE)</f>
        <v>0</v>
      </c>
      <c r="M314">
        <f>VLOOKUP(Table56[[#This Row],[Shortname]], Comp[],12, FALSE)</f>
        <v>0</v>
      </c>
      <c r="N314">
        <f>VLOOKUP(Table56[[#This Row],[Shortname]], Comp[], 13, FALSE)</f>
        <v>4</v>
      </c>
      <c r="O314">
        <f>VLOOKUP(Table56[[#This Row],[Shortname]], Comp[], 14, FALSE)</f>
        <v>0</v>
      </c>
      <c r="P314">
        <f>VLOOKUP(Table56[[#This Row],[Shortname]], Comp[], 15, FALSE)</f>
        <v>7.5</v>
      </c>
      <c r="Q314">
        <f>VLOOKUP(Table56[[#This Row],[Shortname]], Comp[], 16, FALSE)</f>
        <v>0</v>
      </c>
      <c r="R314">
        <f>VLOOKUP(Table56[[#This Row],[Shortname]], Comp[], 17, FALSE)</f>
        <v>0</v>
      </c>
      <c r="S314">
        <f>VLOOKUP(Table56[[#This Row],[Shortname]], Comp[], 18, FALSE)</f>
        <v>0</v>
      </c>
      <c r="T314">
        <f>VLOOKUP(Table56[[#This Row],[Shortname]], Comp[], 19, FALSE)</f>
        <v>0</v>
      </c>
      <c r="U314">
        <f>VLOOKUP(Table56[[#This Row],[Shortname]], Comp[], 20, FALSE)</f>
        <v>0</v>
      </c>
      <c r="V314">
        <f>VLOOKUP(Table56[[#This Row],[Shortname]], Comp[], 21, FALSE)</f>
        <v>0</v>
      </c>
      <c r="W314">
        <f>VLOOKUP(Table56[[#This Row],[Shortname]], Comp[], 22, FALSE)</f>
        <v>0</v>
      </c>
      <c r="X314">
        <f>VLOOKUP(Table56[[#This Row],[Shortname]], Comp[], 23, FALSE)</f>
        <v>0</v>
      </c>
      <c r="Y314">
        <f>VLOOKUP(Table56[[#This Row],[Shortname]], Comp[], 24, FALSE)</f>
        <v>0</v>
      </c>
      <c r="Z314">
        <f>VLOOKUP(Table56[[#This Row],[Shortname]], Comp[], 25, FALSE)</f>
        <v>0</v>
      </c>
      <c r="AA314">
        <f>VLOOKUP(Table56[[#This Row],[Shortname]], Comp[], 26, FALSE)</f>
        <v>0</v>
      </c>
      <c r="AB314">
        <f>VLOOKUP(Table56[[#This Row],[Shortname]], Comp[], 27, FALSE)</f>
        <v>0</v>
      </c>
      <c r="AC314">
        <f>VLOOKUP(Table56[[#This Row],[Shortname]], Comp[], 28, FALSE)</f>
        <v>0</v>
      </c>
      <c r="AD314">
        <f>VLOOKUP(Table56[[#This Row],[Shortname]], Comp[], 29, FALSE)</f>
        <v>0</v>
      </c>
      <c r="AE314">
        <f>VLOOKUP(Table56[[#This Row],[Shortname]], Comp[], 30, FALSE)</f>
        <v>0</v>
      </c>
      <c r="AF314">
        <f>VLOOKUP(Table56[[#This Row],[Shortname]], Comp[], 31, FALSE)</f>
        <v>0</v>
      </c>
    </row>
    <row r="315" spans="1:32" x14ac:dyDescent="0.3">
      <c r="A315" s="12" t="s">
        <v>5817</v>
      </c>
      <c r="B315" s="12" t="s">
        <v>864</v>
      </c>
      <c r="C315" s="12" t="s">
        <v>819</v>
      </c>
      <c r="D315" s="12">
        <v>1172</v>
      </c>
      <c r="E315" s="12">
        <v>1349</v>
      </c>
      <c r="F315" s="12">
        <v>1395</v>
      </c>
      <c r="H315" s="14">
        <f>VLOOKUP(Table56[[#This Row],[Shortname]], Comp[], 7, FALSE)</f>
        <v>51</v>
      </c>
      <c r="I315">
        <f>VLOOKUP(Table56[[#This Row],[Shortname]], Comp[], 8, FALSE)</f>
        <v>30</v>
      </c>
      <c r="J315">
        <f>VLOOKUP(Table56[[#This Row],[Shortname]], Comp[], 9, FALSE)</f>
        <v>10</v>
      </c>
      <c r="K315">
        <f>VLOOKUP(Table56[[#This Row],[Shortname]], Comp[], 10, FALSE)</f>
        <v>0</v>
      </c>
      <c r="L315">
        <f>VLOOKUP(Table56[[#This Row],[Shortname]], Comp[], 11, FALSE)</f>
        <v>0</v>
      </c>
      <c r="M315">
        <f>VLOOKUP(Table56[[#This Row],[Shortname]], Comp[],12, FALSE)</f>
        <v>0</v>
      </c>
      <c r="N315">
        <f>VLOOKUP(Table56[[#This Row],[Shortname]], Comp[], 13, FALSE)</f>
        <v>4</v>
      </c>
      <c r="O315">
        <f>VLOOKUP(Table56[[#This Row],[Shortname]], Comp[], 14, FALSE)</f>
        <v>0</v>
      </c>
      <c r="P315">
        <f>VLOOKUP(Table56[[#This Row],[Shortname]], Comp[], 15, FALSE)</f>
        <v>5</v>
      </c>
      <c r="Q315">
        <f>VLOOKUP(Table56[[#This Row],[Shortname]], Comp[], 16, FALSE)</f>
        <v>0</v>
      </c>
      <c r="R315">
        <f>VLOOKUP(Table56[[#This Row],[Shortname]], Comp[], 17, FALSE)</f>
        <v>0</v>
      </c>
      <c r="S315">
        <f>VLOOKUP(Table56[[#This Row],[Shortname]], Comp[], 18, FALSE)</f>
        <v>0</v>
      </c>
      <c r="T315">
        <f>VLOOKUP(Table56[[#This Row],[Shortname]], Comp[], 19, FALSE)</f>
        <v>0</v>
      </c>
      <c r="U315">
        <f>VLOOKUP(Table56[[#This Row],[Shortname]], Comp[], 20, FALSE)</f>
        <v>0</v>
      </c>
      <c r="V315">
        <f>VLOOKUP(Table56[[#This Row],[Shortname]], Comp[], 21, FALSE)</f>
        <v>0</v>
      </c>
      <c r="W315">
        <f>VLOOKUP(Table56[[#This Row],[Shortname]], Comp[], 22, FALSE)</f>
        <v>0</v>
      </c>
      <c r="X315">
        <f>VLOOKUP(Table56[[#This Row],[Shortname]], Comp[], 23, FALSE)</f>
        <v>0</v>
      </c>
      <c r="Y315">
        <f>VLOOKUP(Table56[[#This Row],[Shortname]], Comp[], 24, FALSE)</f>
        <v>0</v>
      </c>
      <c r="Z315">
        <f>VLOOKUP(Table56[[#This Row],[Shortname]], Comp[], 25, FALSE)</f>
        <v>0</v>
      </c>
      <c r="AA315">
        <f>VLOOKUP(Table56[[#This Row],[Shortname]], Comp[], 26, FALSE)</f>
        <v>0</v>
      </c>
      <c r="AB315">
        <f>VLOOKUP(Table56[[#This Row],[Shortname]], Comp[], 27, FALSE)</f>
        <v>0</v>
      </c>
      <c r="AC315">
        <f>VLOOKUP(Table56[[#This Row],[Shortname]], Comp[], 28, FALSE)</f>
        <v>0</v>
      </c>
      <c r="AD315">
        <f>VLOOKUP(Table56[[#This Row],[Shortname]], Comp[], 29, FALSE)</f>
        <v>0</v>
      </c>
      <c r="AE315">
        <f>VLOOKUP(Table56[[#This Row],[Shortname]], Comp[], 30, FALSE)</f>
        <v>0</v>
      </c>
      <c r="AF315">
        <f>VLOOKUP(Table56[[#This Row],[Shortname]], Comp[], 31, FALSE)</f>
        <v>0</v>
      </c>
    </row>
    <row r="316" spans="1:32" x14ac:dyDescent="0.3">
      <c r="A316" s="12" t="s">
        <v>5820</v>
      </c>
      <c r="B316" s="12" t="s">
        <v>6771</v>
      </c>
      <c r="C316" s="12" t="s">
        <v>833</v>
      </c>
      <c r="D316" s="12">
        <v>1242</v>
      </c>
      <c r="E316" s="12">
        <v>1313</v>
      </c>
      <c r="F316" s="12">
        <v>1367</v>
      </c>
      <c r="H316" s="14">
        <f>VLOOKUP(Table56[[#This Row],[Shortname]], Comp[], 7, FALSE)</f>
        <v>49</v>
      </c>
      <c r="I316">
        <f>VLOOKUP(Table56[[#This Row],[Shortname]], Comp[], 8, FALSE)</f>
        <v>30</v>
      </c>
      <c r="J316">
        <f>VLOOKUP(Table56[[#This Row],[Shortname]], Comp[], 9, FALSE)</f>
        <v>10</v>
      </c>
      <c r="K316">
        <f>VLOOKUP(Table56[[#This Row],[Shortname]], Comp[], 10, FALSE)</f>
        <v>0</v>
      </c>
      <c r="L316">
        <f>VLOOKUP(Table56[[#This Row],[Shortname]], Comp[], 11, FALSE)</f>
        <v>0</v>
      </c>
      <c r="M316">
        <f>VLOOKUP(Table56[[#This Row],[Shortname]], Comp[],12, FALSE)</f>
        <v>2</v>
      </c>
      <c r="N316">
        <f>VLOOKUP(Table56[[#This Row],[Shortname]], Comp[], 13, FALSE)</f>
        <v>4</v>
      </c>
      <c r="O316">
        <f>VLOOKUP(Table56[[#This Row],[Shortname]], Comp[], 14, FALSE)</f>
        <v>0</v>
      </c>
      <c r="P316">
        <f>VLOOKUP(Table56[[#This Row],[Shortname]], Comp[], 15, FALSE)</f>
        <v>5</v>
      </c>
      <c r="Q316">
        <f>VLOOKUP(Table56[[#This Row],[Shortname]], Comp[], 16, FALSE)</f>
        <v>0</v>
      </c>
      <c r="R316">
        <f>VLOOKUP(Table56[[#This Row],[Shortname]], Comp[], 17, FALSE)</f>
        <v>0</v>
      </c>
      <c r="S316">
        <f>VLOOKUP(Table56[[#This Row],[Shortname]], Comp[], 18, FALSE)</f>
        <v>0</v>
      </c>
      <c r="T316">
        <f>VLOOKUP(Table56[[#This Row],[Shortname]], Comp[], 19, FALSE)</f>
        <v>0</v>
      </c>
      <c r="U316">
        <f>VLOOKUP(Table56[[#This Row],[Shortname]], Comp[], 20, FALSE)</f>
        <v>0</v>
      </c>
      <c r="V316">
        <f>VLOOKUP(Table56[[#This Row],[Shortname]], Comp[], 21, FALSE)</f>
        <v>0</v>
      </c>
      <c r="W316">
        <f>VLOOKUP(Table56[[#This Row],[Shortname]], Comp[], 22, FALSE)</f>
        <v>0</v>
      </c>
      <c r="X316">
        <f>VLOOKUP(Table56[[#This Row],[Shortname]], Comp[], 23, FALSE)</f>
        <v>0</v>
      </c>
      <c r="Y316">
        <f>VLOOKUP(Table56[[#This Row],[Shortname]], Comp[], 24, FALSE)</f>
        <v>0</v>
      </c>
      <c r="Z316">
        <f>VLOOKUP(Table56[[#This Row],[Shortname]], Comp[], 25, FALSE)</f>
        <v>0</v>
      </c>
      <c r="AA316">
        <f>VLOOKUP(Table56[[#This Row],[Shortname]], Comp[], 26, FALSE)</f>
        <v>0</v>
      </c>
      <c r="AB316">
        <f>VLOOKUP(Table56[[#This Row],[Shortname]], Comp[], 27, FALSE)</f>
        <v>0</v>
      </c>
      <c r="AC316">
        <f>VLOOKUP(Table56[[#This Row],[Shortname]], Comp[], 28, FALSE)</f>
        <v>0</v>
      </c>
      <c r="AD316">
        <f>VLOOKUP(Table56[[#This Row],[Shortname]], Comp[], 29, FALSE)</f>
        <v>0</v>
      </c>
      <c r="AE316">
        <f>VLOOKUP(Table56[[#This Row],[Shortname]], Comp[], 30, FALSE)</f>
        <v>0</v>
      </c>
      <c r="AF316">
        <f>VLOOKUP(Table56[[#This Row],[Shortname]], Comp[], 31, FALSE)</f>
        <v>0</v>
      </c>
    </row>
    <row r="317" spans="1:32" x14ac:dyDescent="0.3">
      <c r="A317" s="12" t="s">
        <v>5959</v>
      </c>
      <c r="B317" s="12" t="s">
        <v>5960</v>
      </c>
      <c r="C317" s="12" t="s">
        <v>5961</v>
      </c>
      <c r="D317" s="12">
        <v>1037</v>
      </c>
      <c r="E317" s="12">
        <v>1319.3</v>
      </c>
      <c r="F317" s="12">
        <v>1382.7</v>
      </c>
      <c r="G317" s="12" t="s">
        <v>6772</v>
      </c>
      <c r="H317" s="14">
        <f>VLOOKUP(Table56[[#This Row],[Shortname]], Comp[], 7, FALSE)</f>
        <v>40.4</v>
      </c>
      <c r="I317">
        <f>VLOOKUP(Table56[[#This Row],[Shortname]], Comp[], 8, FALSE)</f>
        <v>34</v>
      </c>
      <c r="J317">
        <f>VLOOKUP(Table56[[#This Row],[Shortname]], Comp[], 9, FALSE)</f>
        <v>4.5</v>
      </c>
      <c r="K317">
        <f>VLOOKUP(Table56[[#This Row],[Shortname]], Comp[], 10, FALSE)</f>
        <v>15.6</v>
      </c>
      <c r="L317">
        <f>VLOOKUP(Table56[[#This Row],[Shortname]], Comp[], 11, FALSE)</f>
        <v>0</v>
      </c>
      <c r="M317">
        <f>VLOOKUP(Table56[[#This Row],[Shortname]], Comp[],12, FALSE)</f>
        <v>5.5</v>
      </c>
      <c r="N317">
        <f>VLOOKUP(Table56[[#This Row],[Shortname]], Comp[], 13, FALSE)</f>
        <v>0</v>
      </c>
      <c r="O317">
        <f>VLOOKUP(Table56[[#This Row],[Shortname]], Comp[], 14, FALSE)</f>
        <v>0</v>
      </c>
      <c r="P317">
        <f>VLOOKUP(Table56[[#This Row],[Shortname]], Comp[], 15, FALSE)</f>
        <v>0</v>
      </c>
      <c r="Q317">
        <f>VLOOKUP(Table56[[#This Row],[Shortname]], Comp[], 16, FALSE)</f>
        <v>0</v>
      </c>
      <c r="R317">
        <f>VLOOKUP(Table56[[#This Row],[Shortname]], Comp[], 17, FALSE)</f>
        <v>0</v>
      </c>
      <c r="S317">
        <f>VLOOKUP(Table56[[#This Row],[Shortname]], Comp[], 18, FALSE)</f>
        <v>0</v>
      </c>
      <c r="T317">
        <f>VLOOKUP(Table56[[#This Row],[Shortname]], Comp[], 19, FALSE)</f>
        <v>0</v>
      </c>
      <c r="U317">
        <f>VLOOKUP(Table56[[#This Row],[Shortname]], Comp[], 20, FALSE)</f>
        <v>0</v>
      </c>
      <c r="V317">
        <f>VLOOKUP(Table56[[#This Row],[Shortname]], Comp[], 21, FALSE)</f>
        <v>0</v>
      </c>
      <c r="W317">
        <f>VLOOKUP(Table56[[#This Row],[Shortname]], Comp[], 22, FALSE)</f>
        <v>0</v>
      </c>
      <c r="X317">
        <f>VLOOKUP(Table56[[#This Row],[Shortname]], Comp[], 23, FALSE)</f>
        <v>0</v>
      </c>
      <c r="Y317">
        <f>VLOOKUP(Table56[[#This Row],[Shortname]], Comp[], 24, FALSE)</f>
        <v>0</v>
      </c>
      <c r="Z317">
        <f>VLOOKUP(Table56[[#This Row],[Shortname]], Comp[], 25, FALSE)</f>
        <v>0</v>
      </c>
      <c r="AA317">
        <f>VLOOKUP(Table56[[#This Row],[Shortname]], Comp[], 26, FALSE)</f>
        <v>0</v>
      </c>
      <c r="AB317">
        <f>VLOOKUP(Table56[[#This Row],[Shortname]], Comp[], 27, FALSE)</f>
        <v>0</v>
      </c>
      <c r="AC317">
        <f>VLOOKUP(Table56[[#This Row],[Shortname]], Comp[], 28, FALSE)</f>
        <v>0</v>
      </c>
      <c r="AD317">
        <f>VLOOKUP(Table56[[#This Row],[Shortname]], Comp[], 29, FALSE)</f>
        <v>0</v>
      </c>
      <c r="AE317">
        <f>VLOOKUP(Table56[[#This Row],[Shortname]], Comp[], 30, FALSE)</f>
        <v>0</v>
      </c>
      <c r="AF317">
        <f>VLOOKUP(Table56[[#This Row],[Shortname]], Comp[], 31, FALSE)</f>
        <v>0</v>
      </c>
    </row>
    <row r="318" spans="1:32" x14ac:dyDescent="0.3">
      <c r="A318" s="12" t="s">
        <v>5965</v>
      </c>
      <c r="B318" s="12" t="s">
        <v>5966</v>
      </c>
      <c r="C318" s="12" t="s">
        <v>5961</v>
      </c>
      <c r="D318" s="12">
        <v>1126.2</v>
      </c>
      <c r="E318" s="12">
        <v>1279.5</v>
      </c>
      <c r="F318" s="12">
        <v>1359.6</v>
      </c>
      <c r="G318" s="12" t="s">
        <v>6772</v>
      </c>
      <c r="H318" s="14">
        <f>VLOOKUP(Table56[[#This Row],[Shortname]], Comp[], 7, FALSE)</f>
        <v>38.4</v>
      </c>
      <c r="I318">
        <f>VLOOKUP(Table56[[#This Row],[Shortname]], Comp[], 8, FALSE)</f>
        <v>34.299999999999997</v>
      </c>
      <c r="J318">
        <f>VLOOKUP(Table56[[#This Row],[Shortname]], Comp[], 9, FALSE)</f>
        <v>4.7</v>
      </c>
      <c r="K318">
        <f>VLOOKUP(Table56[[#This Row],[Shortname]], Comp[], 10, FALSE)</f>
        <v>15.6</v>
      </c>
      <c r="L318">
        <f>VLOOKUP(Table56[[#This Row],[Shortname]], Comp[], 11, FALSE)</f>
        <v>0</v>
      </c>
      <c r="M318">
        <f>VLOOKUP(Table56[[#This Row],[Shortname]], Comp[],12, FALSE)</f>
        <v>5.0999999999999996</v>
      </c>
      <c r="N318">
        <f>VLOOKUP(Table56[[#This Row],[Shortname]], Comp[], 13, FALSE)</f>
        <v>1.9</v>
      </c>
      <c r="O318">
        <f>VLOOKUP(Table56[[#This Row],[Shortname]], Comp[], 14, FALSE)</f>
        <v>0</v>
      </c>
      <c r="P318">
        <f>VLOOKUP(Table56[[#This Row],[Shortname]], Comp[], 15, FALSE)</f>
        <v>0</v>
      </c>
      <c r="Q318">
        <f>VLOOKUP(Table56[[#This Row],[Shortname]], Comp[], 16, FALSE)</f>
        <v>0</v>
      </c>
      <c r="R318">
        <f>VLOOKUP(Table56[[#This Row],[Shortname]], Comp[], 17, FALSE)</f>
        <v>0</v>
      </c>
      <c r="S318">
        <f>VLOOKUP(Table56[[#This Row],[Shortname]], Comp[], 18, FALSE)</f>
        <v>0</v>
      </c>
      <c r="T318">
        <f>VLOOKUP(Table56[[#This Row],[Shortname]], Comp[], 19, FALSE)</f>
        <v>0</v>
      </c>
      <c r="U318">
        <f>VLOOKUP(Table56[[#This Row],[Shortname]], Comp[], 20, FALSE)</f>
        <v>0</v>
      </c>
      <c r="V318">
        <f>VLOOKUP(Table56[[#This Row],[Shortname]], Comp[], 21, FALSE)</f>
        <v>0</v>
      </c>
      <c r="W318">
        <f>VLOOKUP(Table56[[#This Row],[Shortname]], Comp[], 22, FALSE)</f>
        <v>0</v>
      </c>
      <c r="X318">
        <f>VLOOKUP(Table56[[#This Row],[Shortname]], Comp[], 23, FALSE)</f>
        <v>0</v>
      </c>
      <c r="Y318">
        <f>VLOOKUP(Table56[[#This Row],[Shortname]], Comp[], 24, FALSE)</f>
        <v>0</v>
      </c>
      <c r="Z318">
        <f>VLOOKUP(Table56[[#This Row],[Shortname]], Comp[], 25, FALSE)</f>
        <v>0</v>
      </c>
      <c r="AA318">
        <f>VLOOKUP(Table56[[#This Row],[Shortname]], Comp[], 26, FALSE)</f>
        <v>0</v>
      </c>
      <c r="AB318">
        <f>VLOOKUP(Table56[[#This Row],[Shortname]], Comp[], 27, FALSE)</f>
        <v>0</v>
      </c>
      <c r="AC318">
        <f>VLOOKUP(Table56[[#This Row],[Shortname]], Comp[], 28, FALSE)</f>
        <v>0</v>
      </c>
      <c r="AD318">
        <f>VLOOKUP(Table56[[#This Row],[Shortname]], Comp[], 29, FALSE)</f>
        <v>0</v>
      </c>
      <c r="AE318">
        <f>VLOOKUP(Table56[[#This Row],[Shortname]], Comp[], 30, FALSE)</f>
        <v>0</v>
      </c>
      <c r="AF318">
        <f>VLOOKUP(Table56[[#This Row],[Shortname]], Comp[], 31, FALSE)</f>
        <v>0</v>
      </c>
    </row>
    <row r="319" spans="1:32" x14ac:dyDescent="0.3">
      <c r="A319" s="12" t="s">
        <v>5969</v>
      </c>
      <c r="B319" s="12" t="s">
        <v>5970</v>
      </c>
      <c r="C319" s="12" t="s">
        <v>5961</v>
      </c>
      <c r="D319" s="12">
        <v>1132.3</v>
      </c>
      <c r="E319" s="12">
        <v>1255.8</v>
      </c>
      <c r="F319" s="12">
        <v>1352.7</v>
      </c>
      <c r="G319" s="12" t="s">
        <v>6772</v>
      </c>
      <c r="H319" s="14">
        <f>VLOOKUP(Table56[[#This Row],[Shortname]], Comp[], 7, FALSE)</f>
        <v>38.6</v>
      </c>
      <c r="I319">
        <f>VLOOKUP(Table56[[#This Row],[Shortname]], Comp[], 8, FALSE)</f>
        <v>34.700000000000003</v>
      </c>
      <c r="J319">
        <f>VLOOKUP(Table56[[#This Row],[Shortname]], Comp[], 9, FALSE)</f>
        <v>4.5</v>
      </c>
      <c r="K319">
        <f>VLOOKUP(Table56[[#This Row],[Shortname]], Comp[], 10, FALSE)</f>
        <v>15.5</v>
      </c>
      <c r="L319">
        <f>VLOOKUP(Table56[[#This Row],[Shortname]], Comp[], 11, FALSE)</f>
        <v>0</v>
      </c>
      <c r="M319">
        <f>VLOOKUP(Table56[[#This Row],[Shortname]], Comp[],12, FALSE)</f>
        <v>4.9000000000000004</v>
      </c>
      <c r="N319">
        <f>VLOOKUP(Table56[[#This Row],[Shortname]], Comp[], 13, FALSE)</f>
        <v>0</v>
      </c>
      <c r="O319">
        <f>VLOOKUP(Table56[[#This Row],[Shortname]], Comp[], 14, FALSE)</f>
        <v>1.8</v>
      </c>
      <c r="P319">
        <f>VLOOKUP(Table56[[#This Row],[Shortname]], Comp[], 15, FALSE)</f>
        <v>0</v>
      </c>
      <c r="Q319">
        <f>VLOOKUP(Table56[[#This Row],[Shortname]], Comp[], 16, FALSE)</f>
        <v>0</v>
      </c>
      <c r="R319">
        <f>VLOOKUP(Table56[[#This Row],[Shortname]], Comp[], 17, FALSE)</f>
        <v>0</v>
      </c>
      <c r="S319">
        <f>VLOOKUP(Table56[[#This Row],[Shortname]], Comp[], 18, FALSE)</f>
        <v>0</v>
      </c>
      <c r="T319">
        <f>VLOOKUP(Table56[[#This Row],[Shortname]], Comp[], 19, FALSE)</f>
        <v>0</v>
      </c>
      <c r="U319">
        <f>VLOOKUP(Table56[[#This Row],[Shortname]], Comp[], 20, FALSE)</f>
        <v>0</v>
      </c>
      <c r="V319">
        <f>VLOOKUP(Table56[[#This Row],[Shortname]], Comp[], 21, FALSE)</f>
        <v>0</v>
      </c>
      <c r="W319">
        <f>VLOOKUP(Table56[[#This Row],[Shortname]], Comp[], 22, FALSE)</f>
        <v>0</v>
      </c>
      <c r="X319">
        <f>VLOOKUP(Table56[[#This Row],[Shortname]], Comp[], 23, FALSE)</f>
        <v>0</v>
      </c>
      <c r="Y319">
        <f>VLOOKUP(Table56[[#This Row],[Shortname]], Comp[], 24, FALSE)</f>
        <v>0</v>
      </c>
      <c r="Z319">
        <f>VLOOKUP(Table56[[#This Row],[Shortname]], Comp[], 25, FALSE)</f>
        <v>0</v>
      </c>
      <c r="AA319">
        <f>VLOOKUP(Table56[[#This Row],[Shortname]], Comp[], 26, FALSE)</f>
        <v>0</v>
      </c>
      <c r="AB319">
        <f>VLOOKUP(Table56[[#This Row],[Shortname]], Comp[], 27, FALSE)</f>
        <v>0</v>
      </c>
      <c r="AC319">
        <f>VLOOKUP(Table56[[#This Row],[Shortname]], Comp[], 28, FALSE)</f>
        <v>0</v>
      </c>
      <c r="AD319">
        <f>VLOOKUP(Table56[[#This Row],[Shortname]], Comp[], 29, FALSE)</f>
        <v>0</v>
      </c>
      <c r="AE319">
        <f>VLOOKUP(Table56[[#This Row],[Shortname]], Comp[], 30, FALSE)</f>
        <v>0</v>
      </c>
      <c r="AF319">
        <f>VLOOKUP(Table56[[#This Row],[Shortname]], Comp[], 31, FALSE)</f>
        <v>0</v>
      </c>
    </row>
    <row r="320" spans="1:32" x14ac:dyDescent="0.3">
      <c r="A320" s="12" t="s">
        <v>5973</v>
      </c>
      <c r="B320" s="12" t="s">
        <v>5974</v>
      </c>
      <c r="C320" s="12" t="s">
        <v>5961</v>
      </c>
      <c r="D320" s="12">
        <v>1049.4000000000001</v>
      </c>
      <c r="E320" s="12">
        <v>1309.9000000000001</v>
      </c>
      <c r="F320" s="12">
        <v>1387.5</v>
      </c>
      <c r="G320" s="12" t="s">
        <v>6772</v>
      </c>
      <c r="H320" s="14">
        <f>VLOOKUP(Table56[[#This Row],[Shortname]], Comp[], 7, FALSE)</f>
        <v>37.5</v>
      </c>
      <c r="I320">
        <f>VLOOKUP(Table56[[#This Row],[Shortname]], Comp[], 8, FALSE)</f>
        <v>34.6</v>
      </c>
      <c r="J320">
        <f>VLOOKUP(Table56[[#This Row],[Shortname]], Comp[], 9, FALSE)</f>
        <v>4.4000000000000004</v>
      </c>
      <c r="K320">
        <f>VLOOKUP(Table56[[#This Row],[Shortname]], Comp[], 10, FALSE)</f>
        <v>15.4</v>
      </c>
      <c r="L320">
        <f>VLOOKUP(Table56[[#This Row],[Shortname]], Comp[], 11, FALSE)</f>
        <v>0.9</v>
      </c>
      <c r="M320">
        <f>VLOOKUP(Table56[[#This Row],[Shortname]], Comp[],12, FALSE)</f>
        <v>5.2</v>
      </c>
      <c r="N320">
        <f>VLOOKUP(Table56[[#This Row],[Shortname]], Comp[], 13, FALSE)</f>
        <v>0</v>
      </c>
      <c r="O320">
        <f>VLOOKUP(Table56[[#This Row],[Shortname]], Comp[], 14, FALSE)</f>
        <v>0</v>
      </c>
      <c r="P320">
        <f>VLOOKUP(Table56[[#This Row],[Shortname]], Comp[], 15, FALSE)</f>
        <v>0</v>
      </c>
      <c r="Q320">
        <f>VLOOKUP(Table56[[#This Row],[Shortname]], Comp[], 16, FALSE)</f>
        <v>2</v>
      </c>
      <c r="R320">
        <f>VLOOKUP(Table56[[#This Row],[Shortname]], Comp[], 17, FALSE)</f>
        <v>0</v>
      </c>
      <c r="S320">
        <f>VLOOKUP(Table56[[#This Row],[Shortname]], Comp[], 18, FALSE)</f>
        <v>0</v>
      </c>
      <c r="T320">
        <f>VLOOKUP(Table56[[#This Row],[Shortname]], Comp[], 19, FALSE)</f>
        <v>0</v>
      </c>
      <c r="U320">
        <f>VLOOKUP(Table56[[#This Row],[Shortname]], Comp[], 20, FALSE)</f>
        <v>0</v>
      </c>
      <c r="V320">
        <f>VLOOKUP(Table56[[#This Row],[Shortname]], Comp[], 21, FALSE)</f>
        <v>0</v>
      </c>
      <c r="W320">
        <f>VLOOKUP(Table56[[#This Row],[Shortname]], Comp[], 22, FALSE)</f>
        <v>0</v>
      </c>
      <c r="X320">
        <f>VLOOKUP(Table56[[#This Row],[Shortname]], Comp[], 23, FALSE)</f>
        <v>0</v>
      </c>
      <c r="Y320">
        <f>VLOOKUP(Table56[[#This Row],[Shortname]], Comp[], 24, FALSE)</f>
        <v>0</v>
      </c>
      <c r="Z320">
        <f>VLOOKUP(Table56[[#This Row],[Shortname]], Comp[], 25, FALSE)</f>
        <v>0</v>
      </c>
      <c r="AA320">
        <f>VLOOKUP(Table56[[#This Row],[Shortname]], Comp[], 26, FALSE)</f>
        <v>0</v>
      </c>
      <c r="AB320">
        <f>VLOOKUP(Table56[[#This Row],[Shortname]], Comp[], 27, FALSE)</f>
        <v>0</v>
      </c>
      <c r="AC320">
        <f>VLOOKUP(Table56[[#This Row],[Shortname]], Comp[], 28, FALSE)</f>
        <v>0</v>
      </c>
      <c r="AD320">
        <f>VLOOKUP(Table56[[#This Row],[Shortname]], Comp[], 29, FALSE)</f>
        <v>0</v>
      </c>
      <c r="AE320">
        <f>VLOOKUP(Table56[[#This Row],[Shortname]], Comp[], 30, FALSE)</f>
        <v>0</v>
      </c>
      <c r="AF320">
        <f>VLOOKUP(Table56[[#This Row],[Shortname]], Comp[], 31, FALSE)</f>
        <v>0</v>
      </c>
    </row>
    <row r="321" spans="1:32" x14ac:dyDescent="0.3">
      <c r="A321" s="12" t="s">
        <v>5979</v>
      </c>
      <c r="B321" s="12" t="s">
        <v>5980</v>
      </c>
      <c r="C321" s="12" t="s">
        <v>5961</v>
      </c>
      <c r="D321" s="12">
        <v>1058.2</v>
      </c>
      <c r="E321" s="12">
        <v>1301.8</v>
      </c>
      <c r="F321" s="12">
        <v>1374.6</v>
      </c>
      <c r="G321" s="12" t="s">
        <v>6772</v>
      </c>
      <c r="H321" s="14">
        <f>VLOOKUP(Table56[[#This Row],[Shortname]], Comp[], 7, FALSE)</f>
        <v>37</v>
      </c>
      <c r="I321">
        <f>VLOOKUP(Table56[[#This Row],[Shortname]], Comp[], 8, FALSE)</f>
        <v>34.799999999999997</v>
      </c>
      <c r="J321">
        <f>VLOOKUP(Table56[[#This Row],[Shortname]], Comp[], 9, FALSE)</f>
        <v>4.7</v>
      </c>
      <c r="K321">
        <f>VLOOKUP(Table56[[#This Row],[Shortname]], Comp[], 10, FALSE)</f>
        <v>15.3</v>
      </c>
      <c r="L321">
        <f>VLOOKUP(Table56[[#This Row],[Shortname]], Comp[], 11, FALSE)</f>
        <v>3.1</v>
      </c>
      <c r="M321">
        <f>VLOOKUP(Table56[[#This Row],[Shortname]], Comp[],12, FALSE)</f>
        <v>5.0999999999999996</v>
      </c>
      <c r="N321">
        <f>VLOOKUP(Table56[[#This Row],[Shortname]], Comp[], 13, FALSE)</f>
        <v>0</v>
      </c>
      <c r="O321">
        <f>VLOOKUP(Table56[[#This Row],[Shortname]], Comp[], 14, FALSE)</f>
        <v>0</v>
      </c>
      <c r="P321">
        <f>VLOOKUP(Table56[[#This Row],[Shortname]], Comp[], 15, FALSE)</f>
        <v>0</v>
      </c>
      <c r="Q321">
        <f>VLOOKUP(Table56[[#This Row],[Shortname]], Comp[], 16, FALSE)</f>
        <v>0</v>
      </c>
      <c r="R321">
        <f>VLOOKUP(Table56[[#This Row],[Shortname]], Comp[], 17, FALSE)</f>
        <v>0</v>
      </c>
      <c r="S321">
        <f>VLOOKUP(Table56[[#This Row],[Shortname]], Comp[], 18, FALSE)</f>
        <v>0</v>
      </c>
      <c r="T321">
        <f>VLOOKUP(Table56[[#This Row],[Shortname]], Comp[], 19, FALSE)</f>
        <v>0</v>
      </c>
      <c r="U321">
        <f>VLOOKUP(Table56[[#This Row],[Shortname]], Comp[], 20, FALSE)</f>
        <v>0</v>
      </c>
      <c r="V321">
        <f>VLOOKUP(Table56[[#This Row],[Shortname]], Comp[], 21, FALSE)</f>
        <v>0</v>
      </c>
      <c r="W321">
        <f>VLOOKUP(Table56[[#This Row],[Shortname]], Comp[], 22, FALSE)</f>
        <v>0</v>
      </c>
      <c r="X321">
        <f>VLOOKUP(Table56[[#This Row],[Shortname]], Comp[], 23, FALSE)</f>
        <v>0</v>
      </c>
      <c r="Y321">
        <f>VLOOKUP(Table56[[#This Row],[Shortname]], Comp[], 24, FALSE)</f>
        <v>0</v>
      </c>
      <c r="Z321">
        <f>VLOOKUP(Table56[[#This Row],[Shortname]], Comp[], 25, FALSE)</f>
        <v>0</v>
      </c>
      <c r="AA321">
        <f>VLOOKUP(Table56[[#This Row],[Shortname]], Comp[], 26, FALSE)</f>
        <v>0</v>
      </c>
      <c r="AB321">
        <f>VLOOKUP(Table56[[#This Row],[Shortname]], Comp[], 27, FALSE)</f>
        <v>0</v>
      </c>
      <c r="AC321">
        <f>VLOOKUP(Table56[[#This Row],[Shortname]], Comp[], 28, FALSE)</f>
        <v>0</v>
      </c>
      <c r="AD321">
        <f>VLOOKUP(Table56[[#This Row],[Shortname]], Comp[], 29, FALSE)</f>
        <v>0</v>
      </c>
      <c r="AE321">
        <f>VLOOKUP(Table56[[#This Row],[Shortname]], Comp[], 30, FALSE)</f>
        <v>0</v>
      </c>
      <c r="AF321">
        <f>VLOOKUP(Table56[[#This Row],[Shortname]], Comp[], 31, FALSE)</f>
        <v>0</v>
      </c>
    </row>
    <row r="322" spans="1:32" x14ac:dyDescent="0.3">
      <c r="A322" s="12" t="s">
        <v>5983</v>
      </c>
      <c r="B322" s="12" t="s">
        <v>5984</v>
      </c>
      <c r="C322" s="12" t="s">
        <v>5961</v>
      </c>
      <c r="D322" s="12">
        <v>1143.8</v>
      </c>
      <c r="E322" s="12">
        <v>1246.8</v>
      </c>
      <c r="F322" s="12">
        <v>1337.7</v>
      </c>
      <c r="G322" s="12" t="s">
        <v>6772</v>
      </c>
      <c r="H322" s="14">
        <f>VLOOKUP(Table56[[#This Row],[Shortname]], Comp[], 7, FALSE)</f>
        <v>34.200000000000003</v>
      </c>
      <c r="I322">
        <f>VLOOKUP(Table56[[#This Row],[Shortname]], Comp[], 8, FALSE)</f>
        <v>36.4</v>
      </c>
      <c r="J322">
        <f>VLOOKUP(Table56[[#This Row],[Shortname]], Comp[], 9, FALSE)</f>
        <v>4.7</v>
      </c>
      <c r="K322">
        <f>VLOOKUP(Table56[[#This Row],[Shortname]], Comp[], 10, FALSE)</f>
        <v>15.2</v>
      </c>
      <c r="L322">
        <f>VLOOKUP(Table56[[#This Row],[Shortname]], Comp[], 11, FALSE)</f>
        <v>1.2</v>
      </c>
      <c r="M322">
        <f>VLOOKUP(Table56[[#This Row],[Shortname]], Comp[],12, FALSE)</f>
        <v>5.2</v>
      </c>
      <c r="N322">
        <f>VLOOKUP(Table56[[#This Row],[Shortname]], Comp[], 13, FALSE)</f>
        <v>1</v>
      </c>
      <c r="O322">
        <f>VLOOKUP(Table56[[#This Row],[Shortname]], Comp[], 14, FALSE)</f>
        <v>0</v>
      </c>
      <c r="P322">
        <f>VLOOKUP(Table56[[#This Row],[Shortname]], Comp[], 15, FALSE)</f>
        <v>0</v>
      </c>
      <c r="Q322">
        <f>VLOOKUP(Table56[[#This Row],[Shortname]], Comp[], 16, FALSE)</f>
        <v>2.1</v>
      </c>
      <c r="R322">
        <f>VLOOKUP(Table56[[#This Row],[Shortname]], Comp[], 17, FALSE)</f>
        <v>0</v>
      </c>
      <c r="S322">
        <f>VLOOKUP(Table56[[#This Row],[Shortname]], Comp[], 18, FALSE)</f>
        <v>0</v>
      </c>
      <c r="T322">
        <f>VLOOKUP(Table56[[#This Row],[Shortname]], Comp[], 19, FALSE)</f>
        <v>0</v>
      </c>
      <c r="U322">
        <f>VLOOKUP(Table56[[#This Row],[Shortname]], Comp[], 20, FALSE)</f>
        <v>0</v>
      </c>
      <c r="V322">
        <f>VLOOKUP(Table56[[#This Row],[Shortname]], Comp[], 21, FALSE)</f>
        <v>0</v>
      </c>
      <c r="W322">
        <f>VLOOKUP(Table56[[#This Row],[Shortname]], Comp[], 22, FALSE)</f>
        <v>0</v>
      </c>
      <c r="X322">
        <f>VLOOKUP(Table56[[#This Row],[Shortname]], Comp[], 23, FALSE)</f>
        <v>0</v>
      </c>
      <c r="Y322">
        <f>VLOOKUP(Table56[[#This Row],[Shortname]], Comp[], 24, FALSE)</f>
        <v>0</v>
      </c>
      <c r="Z322">
        <f>VLOOKUP(Table56[[#This Row],[Shortname]], Comp[], 25, FALSE)</f>
        <v>0</v>
      </c>
      <c r="AA322">
        <f>VLOOKUP(Table56[[#This Row],[Shortname]], Comp[], 26, FALSE)</f>
        <v>0</v>
      </c>
      <c r="AB322">
        <f>VLOOKUP(Table56[[#This Row],[Shortname]], Comp[], 27, FALSE)</f>
        <v>0</v>
      </c>
      <c r="AC322">
        <f>VLOOKUP(Table56[[#This Row],[Shortname]], Comp[], 28, FALSE)</f>
        <v>0</v>
      </c>
      <c r="AD322">
        <f>VLOOKUP(Table56[[#This Row],[Shortname]], Comp[], 29, FALSE)</f>
        <v>0</v>
      </c>
      <c r="AE322">
        <f>VLOOKUP(Table56[[#This Row],[Shortname]], Comp[], 30, FALSE)</f>
        <v>0</v>
      </c>
      <c r="AF322">
        <f>VLOOKUP(Table56[[#This Row],[Shortname]], Comp[], 31, FALSE)</f>
        <v>0</v>
      </c>
    </row>
    <row r="323" spans="1:32" x14ac:dyDescent="0.3">
      <c r="A323" s="12" t="s">
        <v>5988</v>
      </c>
      <c r="B323" s="12" t="s">
        <v>5989</v>
      </c>
      <c r="C323" s="12" t="s">
        <v>5961</v>
      </c>
      <c r="D323" s="12">
        <v>1122.9000000000001</v>
      </c>
      <c r="E323" s="12">
        <v>1271.7</v>
      </c>
      <c r="F323" s="12">
        <v>1353.8</v>
      </c>
      <c r="G323" s="12" t="s">
        <v>6772</v>
      </c>
      <c r="H323" s="14">
        <f>VLOOKUP(Table56[[#This Row],[Shortname]], Comp[], 7, FALSE)</f>
        <v>35.100000000000009</v>
      </c>
      <c r="I323">
        <f>VLOOKUP(Table56[[#This Row],[Shortname]], Comp[], 8, FALSE)</f>
        <v>34.4</v>
      </c>
      <c r="J323">
        <f>VLOOKUP(Table56[[#This Row],[Shortname]], Comp[], 9, FALSE)</f>
        <v>4.5</v>
      </c>
      <c r="K323">
        <f>VLOOKUP(Table56[[#This Row],[Shortname]], Comp[], 10, FALSE)</f>
        <v>15.7</v>
      </c>
      <c r="L323">
        <f>VLOOKUP(Table56[[#This Row],[Shortname]], Comp[], 11, FALSE)</f>
        <v>1.1000000000000001</v>
      </c>
      <c r="M323">
        <f>VLOOKUP(Table56[[#This Row],[Shortname]], Comp[],12, FALSE)</f>
        <v>7.4</v>
      </c>
      <c r="N323">
        <f>VLOOKUP(Table56[[#This Row],[Shortname]], Comp[], 13, FALSE)</f>
        <v>0</v>
      </c>
      <c r="O323">
        <f>VLOOKUP(Table56[[#This Row],[Shortname]], Comp[], 14, FALSE)</f>
        <v>0</v>
      </c>
      <c r="P323">
        <f>VLOOKUP(Table56[[#This Row],[Shortname]], Comp[], 15, FALSE)</f>
        <v>0</v>
      </c>
      <c r="Q323">
        <f>VLOOKUP(Table56[[#This Row],[Shortname]], Comp[], 16, FALSE)</f>
        <v>1.8</v>
      </c>
      <c r="R323">
        <f>VLOOKUP(Table56[[#This Row],[Shortname]], Comp[], 17, FALSE)</f>
        <v>0</v>
      </c>
      <c r="S323">
        <f>VLOOKUP(Table56[[#This Row],[Shortname]], Comp[], 18, FALSE)</f>
        <v>0</v>
      </c>
      <c r="T323">
        <f>VLOOKUP(Table56[[#This Row],[Shortname]], Comp[], 19, FALSE)</f>
        <v>0</v>
      </c>
      <c r="U323">
        <f>VLOOKUP(Table56[[#This Row],[Shortname]], Comp[], 20, FALSE)</f>
        <v>0</v>
      </c>
      <c r="V323">
        <f>VLOOKUP(Table56[[#This Row],[Shortname]], Comp[], 21, FALSE)</f>
        <v>0</v>
      </c>
      <c r="W323">
        <f>VLOOKUP(Table56[[#This Row],[Shortname]], Comp[], 22, FALSE)</f>
        <v>0</v>
      </c>
      <c r="X323">
        <f>VLOOKUP(Table56[[#This Row],[Shortname]], Comp[], 23, FALSE)</f>
        <v>0</v>
      </c>
      <c r="Y323">
        <f>VLOOKUP(Table56[[#This Row],[Shortname]], Comp[], 24, FALSE)</f>
        <v>0</v>
      </c>
      <c r="Z323">
        <f>VLOOKUP(Table56[[#This Row],[Shortname]], Comp[], 25, FALSE)</f>
        <v>0</v>
      </c>
      <c r="AA323">
        <f>VLOOKUP(Table56[[#This Row],[Shortname]], Comp[], 26, FALSE)</f>
        <v>0</v>
      </c>
      <c r="AB323">
        <f>VLOOKUP(Table56[[#This Row],[Shortname]], Comp[], 27, FALSE)</f>
        <v>0</v>
      </c>
      <c r="AC323">
        <f>VLOOKUP(Table56[[#This Row],[Shortname]], Comp[], 28, FALSE)</f>
        <v>0</v>
      </c>
      <c r="AD323">
        <f>VLOOKUP(Table56[[#This Row],[Shortname]], Comp[], 29, FALSE)</f>
        <v>0</v>
      </c>
      <c r="AE323">
        <f>VLOOKUP(Table56[[#This Row],[Shortname]], Comp[], 30, FALSE)</f>
        <v>0</v>
      </c>
      <c r="AF323">
        <f>VLOOKUP(Table56[[#This Row],[Shortname]], Comp[], 31, FALSE)</f>
        <v>0</v>
      </c>
    </row>
    <row r="324" spans="1:32" x14ac:dyDescent="0.3">
      <c r="A324" s="12" t="s">
        <v>6037</v>
      </c>
      <c r="B324" s="13" t="s">
        <v>6038</v>
      </c>
      <c r="C324" s="12" t="s">
        <v>6039</v>
      </c>
      <c r="D324" s="12">
        <v>1193</v>
      </c>
      <c r="E324" s="12">
        <v>1242.0999999999999</v>
      </c>
      <c r="F324" s="12">
        <v>1273.4000000000001</v>
      </c>
      <c r="H324" s="14">
        <f>VLOOKUP(Table56[[#This Row],[Shortname]], Comp[], 7, FALSE)</f>
        <v>52.9</v>
      </c>
      <c r="I324">
        <f>VLOOKUP(Table56[[#This Row],[Shortname]], Comp[], 8, FALSE)</f>
        <v>19.7</v>
      </c>
      <c r="J324">
        <f>VLOOKUP(Table56[[#This Row],[Shortname]], Comp[], 9, FALSE)</f>
        <v>10.3</v>
      </c>
      <c r="K324">
        <f>VLOOKUP(Table56[[#This Row],[Shortname]], Comp[], 10, FALSE)</f>
        <v>6.9</v>
      </c>
      <c r="L324">
        <f>VLOOKUP(Table56[[#This Row],[Shortname]], Comp[], 11, FALSE)</f>
        <v>1</v>
      </c>
      <c r="M324">
        <f>VLOOKUP(Table56[[#This Row],[Shortname]], Comp[],12, FALSE)</f>
        <v>5.0999999999999996</v>
      </c>
      <c r="N324">
        <f>VLOOKUP(Table56[[#This Row],[Shortname]], Comp[], 13, FALSE)</f>
        <v>4.0999999999999996</v>
      </c>
      <c r="O324">
        <f>VLOOKUP(Table56[[#This Row],[Shortname]], Comp[], 14, FALSE)</f>
        <v>0</v>
      </c>
      <c r="P324">
        <f>VLOOKUP(Table56[[#This Row],[Shortname]], Comp[], 15, FALSE)</f>
        <v>0</v>
      </c>
      <c r="Q324">
        <f>VLOOKUP(Table56[[#This Row],[Shortname]], Comp[], 16, FALSE)</f>
        <v>0</v>
      </c>
      <c r="R324">
        <f>VLOOKUP(Table56[[#This Row],[Shortname]], Comp[], 17, FALSE)</f>
        <v>0</v>
      </c>
      <c r="S324">
        <f>VLOOKUP(Table56[[#This Row],[Shortname]], Comp[], 18, FALSE)</f>
        <v>0</v>
      </c>
      <c r="T324">
        <f>VLOOKUP(Table56[[#This Row],[Shortname]], Comp[], 19, FALSE)</f>
        <v>0</v>
      </c>
      <c r="U324">
        <f>VLOOKUP(Table56[[#This Row],[Shortname]], Comp[], 20, FALSE)</f>
        <v>0</v>
      </c>
      <c r="V324">
        <f>VLOOKUP(Table56[[#This Row],[Shortname]], Comp[], 21, FALSE)</f>
        <v>0</v>
      </c>
      <c r="W324">
        <f>VLOOKUP(Table56[[#This Row],[Shortname]], Comp[], 22, FALSE)</f>
        <v>0</v>
      </c>
      <c r="X324">
        <f>VLOOKUP(Table56[[#This Row],[Shortname]], Comp[], 23, FALSE)</f>
        <v>0</v>
      </c>
      <c r="Y324">
        <f>VLOOKUP(Table56[[#This Row],[Shortname]], Comp[], 24, FALSE)</f>
        <v>0</v>
      </c>
      <c r="Z324">
        <f>VLOOKUP(Table56[[#This Row],[Shortname]], Comp[], 25, FALSE)</f>
        <v>0</v>
      </c>
      <c r="AA324">
        <f>VLOOKUP(Table56[[#This Row],[Shortname]], Comp[], 26, FALSE)</f>
        <v>0</v>
      </c>
      <c r="AB324">
        <f>VLOOKUP(Table56[[#This Row],[Shortname]], Comp[], 27, FALSE)</f>
        <v>0</v>
      </c>
      <c r="AC324">
        <f>VLOOKUP(Table56[[#This Row],[Shortname]], Comp[], 28, FALSE)</f>
        <v>0</v>
      </c>
      <c r="AD324">
        <f>VLOOKUP(Table56[[#This Row],[Shortname]], Comp[], 29, FALSE)</f>
        <v>0</v>
      </c>
      <c r="AE324">
        <f>VLOOKUP(Table56[[#This Row],[Shortname]], Comp[], 30, FALSE)</f>
        <v>0</v>
      </c>
      <c r="AF324">
        <f>VLOOKUP(Table56[[#This Row],[Shortname]], Comp[], 31, FALSE)</f>
        <v>0</v>
      </c>
    </row>
    <row r="325" spans="1:32" x14ac:dyDescent="0.3">
      <c r="A325" s="12" t="s">
        <v>6043</v>
      </c>
      <c r="B325" s="13" t="s">
        <v>6044</v>
      </c>
      <c r="C325" s="12" t="s">
        <v>6039</v>
      </c>
      <c r="D325" s="12">
        <v>1266.5</v>
      </c>
      <c r="E325" s="12">
        <v>1315.6</v>
      </c>
      <c r="F325" s="12">
        <v>1362.4</v>
      </c>
      <c r="H325" s="14">
        <f>VLOOKUP(Table56[[#This Row],[Shortname]], Comp[], 7, FALSE)</f>
        <v>42.6</v>
      </c>
      <c r="I325">
        <f>VLOOKUP(Table56[[#This Row],[Shortname]], Comp[], 8, FALSE)</f>
        <v>35.6</v>
      </c>
      <c r="J325">
        <f>VLOOKUP(Table56[[#This Row],[Shortname]], Comp[], 9, FALSE)</f>
        <v>11.9</v>
      </c>
      <c r="K325">
        <f>VLOOKUP(Table56[[#This Row],[Shortname]], Comp[], 10, FALSE)</f>
        <v>2.1</v>
      </c>
      <c r="L325">
        <f>VLOOKUP(Table56[[#This Row],[Shortname]], Comp[], 11, FALSE)</f>
        <v>1.3</v>
      </c>
      <c r="M325">
        <f>VLOOKUP(Table56[[#This Row],[Shortname]], Comp[],12, FALSE)</f>
        <v>2.2000000000000002</v>
      </c>
      <c r="N325">
        <f>VLOOKUP(Table56[[#This Row],[Shortname]], Comp[], 13, FALSE)</f>
        <v>4.3</v>
      </c>
      <c r="O325">
        <f>VLOOKUP(Table56[[#This Row],[Shortname]], Comp[], 14, FALSE)</f>
        <v>0</v>
      </c>
      <c r="P325">
        <f>VLOOKUP(Table56[[#This Row],[Shortname]], Comp[], 15, FALSE)</f>
        <v>0</v>
      </c>
      <c r="Q325">
        <f>VLOOKUP(Table56[[#This Row],[Shortname]], Comp[], 16, FALSE)</f>
        <v>0</v>
      </c>
      <c r="R325">
        <f>VLOOKUP(Table56[[#This Row],[Shortname]], Comp[], 17, FALSE)</f>
        <v>0</v>
      </c>
      <c r="S325">
        <f>VLOOKUP(Table56[[#This Row],[Shortname]], Comp[], 18, FALSE)</f>
        <v>0</v>
      </c>
      <c r="T325">
        <f>VLOOKUP(Table56[[#This Row],[Shortname]], Comp[], 19, FALSE)</f>
        <v>0</v>
      </c>
      <c r="U325">
        <f>VLOOKUP(Table56[[#This Row],[Shortname]], Comp[], 20, FALSE)</f>
        <v>0</v>
      </c>
      <c r="V325">
        <f>VLOOKUP(Table56[[#This Row],[Shortname]], Comp[], 21, FALSE)</f>
        <v>0</v>
      </c>
      <c r="W325">
        <f>VLOOKUP(Table56[[#This Row],[Shortname]], Comp[], 22, FALSE)</f>
        <v>0</v>
      </c>
      <c r="X325">
        <f>VLOOKUP(Table56[[#This Row],[Shortname]], Comp[], 23, FALSE)</f>
        <v>0</v>
      </c>
      <c r="Y325">
        <f>VLOOKUP(Table56[[#This Row],[Shortname]], Comp[], 24, FALSE)</f>
        <v>0</v>
      </c>
      <c r="Z325">
        <f>VLOOKUP(Table56[[#This Row],[Shortname]], Comp[], 25, FALSE)</f>
        <v>0</v>
      </c>
      <c r="AA325">
        <f>VLOOKUP(Table56[[#This Row],[Shortname]], Comp[], 26, FALSE)</f>
        <v>0</v>
      </c>
      <c r="AB325">
        <f>VLOOKUP(Table56[[#This Row],[Shortname]], Comp[], 27, FALSE)</f>
        <v>0</v>
      </c>
      <c r="AC325">
        <f>VLOOKUP(Table56[[#This Row],[Shortname]], Comp[], 28, FALSE)</f>
        <v>0</v>
      </c>
      <c r="AD325">
        <f>VLOOKUP(Table56[[#This Row],[Shortname]], Comp[], 29, FALSE)</f>
        <v>0</v>
      </c>
      <c r="AE325">
        <f>VLOOKUP(Table56[[#This Row],[Shortname]], Comp[], 30, FALSE)</f>
        <v>0</v>
      </c>
      <c r="AF325">
        <f>VLOOKUP(Table56[[#This Row],[Shortname]], Comp[], 31, FALSE)</f>
        <v>0</v>
      </c>
    </row>
    <row r="326" spans="1:32" x14ac:dyDescent="0.3">
      <c r="A326" s="12" t="s">
        <v>6050</v>
      </c>
      <c r="B326" s="13" t="s">
        <v>6051</v>
      </c>
      <c r="C326" s="12" t="s">
        <v>6039</v>
      </c>
      <c r="D326" s="12">
        <v>1198.2</v>
      </c>
      <c r="E326" s="12">
        <v>1242.2</v>
      </c>
      <c r="F326" s="12">
        <v>1276.4000000000001</v>
      </c>
      <c r="H326" s="14">
        <f>VLOOKUP(Table56[[#This Row],[Shortname]], Comp[], 7, FALSE)</f>
        <v>52.300000000000004</v>
      </c>
      <c r="I326">
        <f>VLOOKUP(Table56[[#This Row],[Shortname]], Comp[], 8, FALSE)</f>
        <v>20.2</v>
      </c>
      <c r="J326">
        <f>VLOOKUP(Table56[[#This Row],[Shortname]], Comp[], 9, FALSE)</f>
        <v>9.8000000000000007</v>
      </c>
      <c r="K326">
        <f>VLOOKUP(Table56[[#This Row],[Shortname]], Comp[], 10, FALSE)</f>
        <v>7</v>
      </c>
      <c r="L326">
        <f>VLOOKUP(Table56[[#This Row],[Shortname]], Comp[], 11, FALSE)</f>
        <v>1.4</v>
      </c>
      <c r="M326">
        <f>VLOOKUP(Table56[[#This Row],[Shortname]], Comp[],12, FALSE)</f>
        <v>4.9000000000000004</v>
      </c>
      <c r="N326">
        <f>VLOOKUP(Table56[[#This Row],[Shortname]], Comp[], 13, FALSE)</f>
        <v>4.4000000000000004</v>
      </c>
      <c r="O326">
        <f>VLOOKUP(Table56[[#This Row],[Shortname]], Comp[], 14, FALSE)</f>
        <v>0</v>
      </c>
      <c r="P326">
        <f>VLOOKUP(Table56[[#This Row],[Shortname]], Comp[], 15, FALSE)</f>
        <v>0</v>
      </c>
      <c r="Q326">
        <f>VLOOKUP(Table56[[#This Row],[Shortname]], Comp[], 16, FALSE)</f>
        <v>0</v>
      </c>
      <c r="R326">
        <f>VLOOKUP(Table56[[#This Row],[Shortname]], Comp[], 17, FALSE)</f>
        <v>0</v>
      </c>
      <c r="S326">
        <f>VLOOKUP(Table56[[#This Row],[Shortname]], Comp[], 18, FALSE)</f>
        <v>0</v>
      </c>
      <c r="T326">
        <f>VLOOKUP(Table56[[#This Row],[Shortname]], Comp[], 19, FALSE)</f>
        <v>0</v>
      </c>
      <c r="U326">
        <f>VLOOKUP(Table56[[#This Row],[Shortname]], Comp[], 20, FALSE)</f>
        <v>0</v>
      </c>
      <c r="V326">
        <f>VLOOKUP(Table56[[#This Row],[Shortname]], Comp[], 21, FALSE)</f>
        <v>0</v>
      </c>
      <c r="W326">
        <f>VLOOKUP(Table56[[#This Row],[Shortname]], Comp[], 22, FALSE)</f>
        <v>0</v>
      </c>
      <c r="X326">
        <f>VLOOKUP(Table56[[#This Row],[Shortname]], Comp[], 23, FALSE)</f>
        <v>0</v>
      </c>
      <c r="Y326">
        <f>VLOOKUP(Table56[[#This Row],[Shortname]], Comp[], 24, FALSE)</f>
        <v>0</v>
      </c>
      <c r="Z326">
        <f>VLOOKUP(Table56[[#This Row],[Shortname]], Comp[], 25, FALSE)</f>
        <v>0</v>
      </c>
      <c r="AA326">
        <f>VLOOKUP(Table56[[#This Row],[Shortname]], Comp[], 26, FALSE)</f>
        <v>0</v>
      </c>
      <c r="AB326">
        <f>VLOOKUP(Table56[[#This Row],[Shortname]], Comp[], 27, FALSE)</f>
        <v>0</v>
      </c>
      <c r="AC326">
        <f>VLOOKUP(Table56[[#This Row],[Shortname]], Comp[], 28, FALSE)</f>
        <v>0</v>
      </c>
      <c r="AD326">
        <f>VLOOKUP(Table56[[#This Row],[Shortname]], Comp[], 29, FALSE)</f>
        <v>0</v>
      </c>
      <c r="AE326">
        <f>VLOOKUP(Table56[[#This Row],[Shortname]], Comp[], 30, FALSE)</f>
        <v>0</v>
      </c>
      <c r="AF326">
        <f>VLOOKUP(Table56[[#This Row],[Shortname]], Comp[], 31, FALSE)</f>
        <v>0</v>
      </c>
    </row>
    <row r="327" spans="1:32" x14ac:dyDescent="0.3">
      <c r="A327" s="12" t="s">
        <v>6055</v>
      </c>
      <c r="B327" s="13" t="s">
        <v>6056</v>
      </c>
      <c r="C327" s="12" t="s">
        <v>6039</v>
      </c>
      <c r="D327" s="12">
        <v>1146.3</v>
      </c>
      <c r="E327" s="12">
        <v>1274</v>
      </c>
      <c r="F327" s="12">
        <v>1311.4</v>
      </c>
      <c r="H327" s="14">
        <f>VLOOKUP(Table56[[#This Row],[Shortname]], Comp[], 7, FALSE)</f>
        <v>45.599999999999994</v>
      </c>
      <c r="I327">
        <f>VLOOKUP(Table56[[#This Row],[Shortname]], Comp[], 8, FALSE)</f>
        <v>24.5</v>
      </c>
      <c r="J327">
        <f>VLOOKUP(Table56[[#This Row],[Shortname]], Comp[], 9, FALSE)</f>
        <v>12.5</v>
      </c>
      <c r="K327">
        <f>VLOOKUP(Table56[[#This Row],[Shortname]], Comp[], 10, FALSE)</f>
        <v>10</v>
      </c>
      <c r="L327">
        <f>VLOOKUP(Table56[[#This Row],[Shortname]], Comp[], 11, FALSE)</f>
        <v>1.2</v>
      </c>
      <c r="M327">
        <f>VLOOKUP(Table56[[#This Row],[Shortname]], Comp[],12, FALSE)</f>
        <v>2</v>
      </c>
      <c r="N327">
        <f>VLOOKUP(Table56[[#This Row],[Shortname]], Comp[], 13, FALSE)</f>
        <v>4.2</v>
      </c>
      <c r="O327">
        <f>VLOOKUP(Table56[[#This Row],[Shortname]], Comp[], 14, FALSE)</f>
        <v>0</v>
      </c>
      <c r="P327">
        <f>VLOOKUP(Table56[[#This Row],[Shortname]], Comp[], 15, FALSE)</f>
        <v>0</v>
      </c>
      <c r="Q327">
        <f>VLOOKUP(Table56[[#This Row],[Shortname]], Comp[], 16, FALSE)</f>
        <v>0</v>
      </c>
      <c r="R327">
        <f>VLOOKUP(Table56[[#This Row],[Shortname]], Comp[], 17, FALSE)</f>
        <v>0</v>
      </c>
      <c r="S327">
        <f>VLOOKUP(Table56[[#This Row],[Shortname]], Comp[], 18, FALSE)</f>
        <v>0</v>
      </c>
      <c r="T327">
        <f>VLOOKUP(Table56[[#This Row],[Shortname]], Comp[], 19, FALSE)</f>
        <v>0</v>
      </c>
      <c r="U327">
        <f>VLOOKUP(Table56[[#This Row],[Shortname]], Comp[], 20, FALSE)</f>
        <v>0</v>
      </c>
      <c r="V327">
        <f>VLOOKUP(Table56[[#This Row],[Shortname]], Comp[], 21, FALSE)</f>
        <v>0</v>
      </c>
      <c r="W327">
        <f>VLOOKUP(Table56[[#This Row],[Shortname]], Comp[], 22, FALSE)</f>
        <v>0</v>
      </c>
      <c r="X327">
        <f>VLOOKUP(Table56[[#This Row],[Shortname]], Comp[], 23, FALSE)</f>
        <v>0</v>
      </c>
      <c r="Y327">
        <f>VLOOKUP(Table56[[#This Row],[Shortname]], Comp[], 24, FALSE)</f>
        <v>0</v>
      </c>
      <c r="Z327">
        <f>VLOOKUP(Table56[[#This Row],[Shortname]], Comp[], 25, FALSE)</f>
        <v>0</v>
      </c>
      <c r="AA327">
        <f>VLOOKUP(Table56[[#This Row],[Shortname]], Comp[], 26, FALSE)</f>
        <v>0</v>
      </c>
      <c r="AB327">
        <f>VLOOKUP(Table56[[#This Row],[Shortname]], Comp[], 27, FALSE)</f>
        <v>0</v>
      </c>
      <c r="AC327">
        <f>VLOOKUP(Table56[[#This Row],[Shortname]], Comp[], 28, FALSE)</f>
        <v>0</v>
      </c>
      <c r="AD327">
        <f>VLOOKUP(Table56[[#This Row],[Shortname]], Comp[], 29, FALSE)</f>
        <v>0</v>
      </c>
      <c r="AE327">
        <f>VLOOKUP(Table56[[#This Row],[Shortname]], Comp[], 30, FALSE)</f>
        <v>0</v>
      </c>
      <c r="AF327">
        <f>VLOOKUP(Table56[[#This Row],[Shortname]], Comp[], 31, FALSE)</f>
        <v>0</v>
      </c>
    </row>
    <row r="328" spans="1:32" x14ac:dyDescent="0.3">
      <c r="A328" s="12" t="s">
        <v>6060</v>
      </c>
      <c r="B328" s="13" t="s">
        <v>6061</v>
      </c>
      <c r="C328" s="12" t="s">
        <v>6039</v>
      </c>
      <c r="D328" s="12">
        <v>1259.0999999999999</v>
      </c>
      <c r="E328" s="12">
        <v>1295.2</v>
      </c>
      <c r="F328" s="12">
        <v>1344.2</v>
      </c>
      <c r="H328" s="14">
        <f>VLOOKUP(Table56[[#This Row],[Shortname]], Comp[], 7, FALSE)</f>
        <v>42.399999999999991</v>
      </c>
      <c r="I328">
        <f>VLOOKUP(Table56[[#This Row],[Shortname]], Comp[], 8, FALSE)</f>
        <v>35.6</v>
      </c>
      <c r="J328">
        <f>VLOOKUP(Table56[[#This Row],[Shortname]], Comp[], 9, FALSE)</f>
        <v>11.6</v>
      </c>
      <c r="K328">
        <f>VLOOKUP(Table56[[#This Row],[Shortname]], Comp[], 10, FALSE)</f>
        <v>2</v>
      </c>
      <c r="L328">
        <f>VLOOKUP(Table56[[#This Row],[Shortname]], Comp[], 11, FALSE)</f>
        <v>1.2</v>
      </c>
      <c r="M328">
        <f>VLOOKUP(Table56[[#This Row],[Shortname]], Comp[],12, FALSE)</f>
        <v>3</v>
      </c>
      <c r="N328">
        <f>VLOOKUP(Table56[[#This Row],[Shortname]], Comp[], 13, FALSE)</f>
        <v>4.2</v>
      </c>
      <c r="O328">
        <f>VLOOKUP(Table56[[#This Row],[Shortname]], Comp[], 14, FALSE)</f>
        <v>0</v>
      </c>
      <c r="P328">
        <f>VLOOKUP(Table56[[#This Row],[Shortname]], Comp[], 15, FALSE)</f>
        <v>0</v>
      </c>
      <c r="Q328">
        <f>VLOOKUP(Table56[[#This Row],[Shortname]], Comp[], 16, FALSE)</f>
        <v>0</v>
      </c>
      <c r="R328">
        <f>VLOOKUP(Table56[[#This Row],[Shortname]], Comp[], 17, FALSE)</f>
        <v>0</v>
      </c>
      <c r="S328">
        <f>VLOOKUP(Table56[[#This Row],[Shortname]], Comp[], 18, FALSE)</f>
        <v>0</v>
      </c>
      <c r="T328">
        <f>VLOOKUP(Table56[[#This Row],[Shortname]], Comp[], 19, FALSE)</f>
        <v>0</v>
      </c>
      <c r="U328">
        <f>VLOOKUP(Table56[[#This Row],[Shortname]], Comp[], 20, FALSE)</f>
        <v>0</v>
      </c>
      <c r="V328">
        <f>VLOOKUP(Table56[[#This Row],[Shortname]], Comp[], 21, FALSE)</f>
        <v>0</v>
      </c>
      <c r="W328">
        <f>VLOOKUP(Table56[[#This Row],[Shortname]], Comp[], 22, FALSE)</f>
        <v>0</v>
      </c>
      <c r="X328">
        <f>VLOOKUP(Table56[[#This Row],[Shortname]], Comp[], 23, FALSE)</f>
        <v>0</v>
      </c>
      <c r="Y328">
        <f>VLOOKUP(Table56[[#This Row],[Shortname]], Comp[], 24, FALSE)</f>
        <v>0</v>
      </c>
      <c r="Z328">
        <f>VLOOKUP(Table56[[#This Row],[Shortname]], Comp[], 25, FALSE)</f>
        <v>0</v>
      </c>
      <c r="AA328">
        <f>VLOOKUP(Table56[[#This Row],[Shortname]], Comp[], 26, FALSE)</f>
        <v>0</v>
      </c>
      <c r="AB328">
        <f>VLOOKUP(Table56[[#This Row],[Shortname]], Comp[], 27, FALSE)</f>
        <v>0</v>
      </c>
      <c r="AC328">
        <f>VLOOKUP(Table56[[#This Row],[Shortname]], Comp[], 28, FALSE)</f>
        <v>0</v>
      </c>
      <c r="AD328">
        <f>VLOOKUP(Table56[[#This Row],[Shortname]], Comp[], 29, FALSE)</f>
        <v>0</v>
      </c>
      <c r="AE328">
        <f>VLOOKUP(Table56[[#This Row],[Shortname]], Comp[], 30, FALSE)</f>
        <v>0</v>
      </c>
      <c r="AF328">
        <f>VLOOKUP(Table56[[#This Row],[Shortname]], Comp[], 31, FALSE)</f>
        <v>0</v>
      </c>
    </row>
    <row r="329" spans="1:32" x14ac:dyDescent="0.3">
      <c r="A329" s="12" t="s">
        <v>6064</v>
      </c>
      <c r="B329" s="13" t="s">
        <v>6065</v>
      </c>
      <c r="C329" s="12" t="s">
        <v>6039</v>
      </c>
      <c r="D329" s="12">
        <v>1270.2</v>
      </c>
      <c r="E329" s="12">
        <v>1300.7</v>
      </c>
      <c r="F329" s="12">
        <v>1352</v>
      </c>
      <c r="H329" s="14">
        <f>VLOOKUP(Table56[[#This Row],[Shortname]], Comp[], 7, FALSE)</f>
        <v>42.5</v>
      </c>
      <c r="I329">
        <f>VLOOKUP(Table56[[#This Row],[Shortname]], Comp[], 8, FALSE)</f>
        <v>35.700000000000003</v>
      </c>
      <c r="J329">
        <f>VLOOKUP(Table56[[#This Row],[Shortname]], Comp[], 9, FALSE)</f>
        <v>11.3</v>
      </c>
      <c r="K329">
        <f>VLOOKUP(Table56[[#This Row],[Shortname]], Comp[], 10, FALSE)</f>
        <v>1.8</v>
      </c>
      <c r="L329">
        <f>VLOOKUP(Table56[[#This Row],[Shortname]], Comp[], 11, FALSE)</f>
        <v>1.5</v>
      </c>
      <c r="M329">
        <f>VLOOKUP(Table56[[#This Row],[Shortname]], Comp[],12, FALSE)</f>
        <v>3</v>
      </c>
      <c r="N329">
        <f>VLOOKUP(Table56[[#This Row],[Shortname]], Comp[], 13, FALSE)</f>
        <v>4.2</v>
      </c>
      <c r="O329">
        <f>VLOOKUP(Table56[[#This Row],[Shortname]], Comp[], 14, FALSE)</f>
        <v>0</v>
      </c>
      <c r="P329">
        <f>VLOOKUP(Table56[[#This Row],[Shortname]], Comp[], 15, FALSE)</f>
        <v>0</v>
      </c>
      <c r="Q329">
        <f>VLOOKUP(Table56[[#This Row],[Shortname]], Comp[], 16, FALSE)</f>
        <v>0</v>
      </c>
      <c r="R329">
        <f>VLOOKUP(Table56[[#This Row],[Shortname]], Comp[], 17, FALSE)</f>
        <v>0</v>
      </c>
      <c r="S329">
        <f>VLOOKUP(Table56[[#This Row],[Shortname]], Comp[], 18, FALSE)</f>
        <v>0</v>
      </c>
      <c r="T329">
        <f>VLOOKUP(Table56[[#This Row],[Shortname]], Comp[], 19, FALSE)</f>
        <v>0</v>
      </c>
      <c r="U329">
        <f>VLOOKUP(Table56[[#This Row],[Shortname]], Comp[], 20, FALSE)</f>
        <v>0</v>
      </c>
      <c r="V329">
        <f>VLOOKUP(Table56[[#This Row],[Shortname]], Comp[], 21, FALSE)</f>
        <v>0</v>
      </c>
      <c r="W329">
        <f>VLOOKUP(Table56[[#This Row],[Shortname]], Comp[], 22, FALSE)</f>
        <v>0</v>
      </c>
      <c r="X329">
        <f>VLOOKUP(Table56[[#This Row],[Shortname]], Comp[], 23, FALSE)</f>
        <v>0</v>
      </c>
      <c r="Y329">
        <f>VLOOKUP(Table56[[#This Row],[Shortname]], Comp[], 24, FALSE)</f>
        <v>0</v>
      </c>
      <c r="Z329">
        <f>VLOOKUP(Table56[[#This Row],[Shortname]], Comp[], 25, FALSE)</f>
        <v>0</v>
      </c>
      <c r="AA329">
        <f>VLOOKUP(Table56[[#This Row],[Shortname]], Comp[], 26, FALSE)</f>
        <v>0</v>
      </c>
      <c r="AB329">
        <f>VLOOKUP(Table56[[#This Row],[Shortname]], Comp[], 27, FALSE)</f>
        <v>0</v>
      </c>
      <c r="AC329">
        <f>VLOOKUP(Table56[[#This Row],[Shortname]], Comp[], 28, FALSE)</f>
        <v>0</v>
      </c>
      <c r="AD329">
        <f>VLOOKUP(Table56[[#This Row],[Shortname]], Comp[], 29, FALSE)</f>
        <v>0</v>
      </c>
      <c r="AE329">
        <f>VLOOKUP(Table56[[#This Row],[Shortname]], Comp[], 30, FALSE)</f>
        <v>0</v>
      </c>
      <c r="AF329">
        <f>VLOOKUP(Table56[[#This Row],[Shortname]], Comp[], 31, FALSE)</f>
        <v>0</v>
      </c>
    </row>
    <row r="330" spans="1:32" x14ac:dyDescent="0.3">
      <c r="A330" s="12" t="s">
        <v>6069</v>
      </c>
      <c r="B330" s="13" t="s">
        <v>6070</v>
      </c>
      <c r="C330" s="12" t="s">
        <v>6039</v>
      </c>
      <c r="D330" s="12">
        <v>1271.3</v>
      </c>
      <c r="E330" s="12">
        <v>1305.8</v>
      </c>
      <c r="F330" s="12">
        <v>1355.1</v>
      </c>
      <c r="H330" s="14">
        <f>VLOOKUP(Table56[[#This Row],[Shortname]], Comp[], 7, FALSE)</f>
        <v>42.2</v>
      </c>
      <c r="I330">
        <f>VLOOKUP(Table56[[#This Row],[Shortname]], Comp[], 8, FALSE)</f>
        <v>36</v>
      </c>
      <c r="J330">
        <f>VLOOKUP(Table56[[#This Row],[Shortname]], Comp[], 9, FALSE)</f>
        <v>12.5</v>
      </c>
      <c r="K330">
        <f>VLOOKUP(Table56[[#This Row],[Shortname]], Comp[], 10, FALSE)</f>
        <v>2</v>
      </c>
      <c r="L330">
        <f>VLOOKUP(Table56[[#This Row],[Shortname]], Comp[], 11, FALSE)</f>
        <v>1.3</v>
      </c>
      <c r="M330">
        <f>VLOOKUP(Table56[[#This Row],[Shortname]], Comp[],12, FALSE)</f>
        <v>1.9</v>
      </c>
      <c r="N330">
        <f>VLOOKUP(Table56[[#This Row],[Shortname]], Comp[], 13, FALSE)</f>
        <v>4.0999999999999996</v>
      </c>
      <c r="O330">
        <f>VLOOKUP(Table56[[#This Row],[Shortname]], Comp[], 14, FALSE)</f>
        <v>0</v>
      </c>
      <c r="P330">
        <f>VLOOKUP(Table56[[#This Row],[Shortname]], Comp[], 15, FALSE)</f>
        <v>0</v>
      </c>
      <c r="Q330">
        <f>VLOOKUP(Table56[[#This Row],[Shortname]], Comp[], 16, FALSE)</f>
        <v>0</v>
      </c>
      <c r="R330">
        <f>VLOOKUP(Table56[[#This Row],[Shortname]], Comp[], 17, FALSE)</f>
        <v>0</v>
      </c>
      <c r="S330">
        <f>VLOOKUP(Table56[[#This Row],[Shortname]], Comp[], 18, FALSE)</f>
        <v>0</v>
      </c>
      <c r="T330">
        <f>VLOOKUP(Table56[[#This Row],[Shortname]], Comp[], 19, FALSE)</f>
        <v>0</v>
      </c>
      <c r="U330">
        <f>VLOOKUP(Table56[[#This Row],[Shortname]], Comp[], 20, FALSE)</f>
        <v>0</v>
      </c>
      <c r="V330">
        <f>VLOOKUP(Table56[[#This Row],[Shortname]], Comp[], 21, FALSE)</f>
        <v>0</v>
      </c>
      <c r="W330">
        <f>VLOOKUP(Table56[[#This Row],[Shortname]], Comp[], 22, FALSE)</f>
        <v>0</v>
      </c>
      <c r="X330">
        <f>VLOOKUP(Table56[[#This Row],[Shortname]], Comp[], 23, FALSE)</f>
        <v>0</v>
      </c>
      <c r="Y330">
        <f>VLOOKUP(Table56[[#This Row],[Shortname]], Comp[], 24, FALSE)</f>
        <v>0</v>
      </c>
      <c r="Z330">
        <f>VLOOKUP(Table56[[#This Row],[Shortname]], Comp[], 25, FALSE)</f>
        <v>0</v>
      </c>
      <c r="AA330">
        <f>VLOOKUP(Table56[[#This Row],[Shortname]], Comp[], 26, FALSE)</f>
        <v>0</v>
      </c>
      <c r="AB330">
        <f>VLOOKUP(Table56[[#This Row],[Shortname]], Comp[], 27, FALSE)</f>
        <v>0</v>
      </c>
      <c r="AC330">
        <f>VLOOKUP(Table56[[#This Row],[Shortname]], Comp[], 28, FALSE)</f>
        <v>0</v>
      </c>
      <c r="AD330">
        <f>VLOOKUP(Table56[[#This Row],[Shortname]], Comp[], 29, FALSE)</f>
        <v>0</v>
      </c>
      <c r="AE330">
        <f>VLOOKUP(Table56[[#This Row],[Shortname]], Comp[], 30, FALSE)</f>
        <v>0</v>
      </c>
      <c r="AF330">
        <f>VLOOKUP(Table56[[#This Row],[Shortname]], Comp[], 31, FALSE)</f>
        <v>0</v>
      </c>
    </row>
    <row r="331" spans="1:32" x14ac:dyDescent="0.3">
      <c r="A331" s="12" t="s">
        <v>6073</v>
      </c>
      <c r="B331" s="13" t="s">
        <v>6074</v>
      </c>
      <c r="C331" s="12" t="s">
        <v>6039</v>
      </c>
      <c r="D331" s="12">
        <v>1274.4000000000001</v>
      </c>
      <c r="E331" s="12">
        <v>1305.5999999999999</v>
      </c>
      <c r="F331" s="12">
        <v>1352.5</v>
      </c>
      <c r="H331" s="14">
        <f>VLOOKUP(Table56[[#This Row],[Shortname]], Comp[], 7, FALSE)</f>
        <v>40.200000000000003</v>
      </c>
      <c r="I331">
        <f>VLOOKUP(Table56[[#This Row],[Shortname]], Comp[], 8, FALSE)</f>
        <v>37.299999999999997</v>
      </c>
      <c r="J331">
        <f>VLOOKUP(Table56[[#This Row],[Shortname]], Comp[], 9, FALSE)</f>
        <v>13.3</v>
      </c>
      <c r="K331">
        <f>VLOOKUP(Table56[[#This Row],[Shortname]], Comp[], 10, FALSE)</f>
        <v>2</v>
      </c>
      <c r="L331">
        <f>VLOOKUP(Table56[[#This Row],[Shortname]], Comp[], 11, FALSE)</f>
        <v>1.1000000000000001</v>
      </c>
      <c r="M331">
        <f>VLOOKUP(Table56[[#This Row],[Shortname]], Comp[],12, FALSE)</f>
        <v>2</v>
      </c>
      <c r="N331">
        <f>VLOOKUP(Table56[[#This Row],[Shortname]], Comp[], 13, FALSE)</f>
        <v>4.0999999999999996</v>
      </c>
      <c r="O331">
        <f>VLOOKUP(Table56[[#This Row],[Shortname]], Comp[], 14, FALSE)</f>
        <v>0</v>
      </c>
      <c r="P331">
        <f>VLOOKUP(Table56[[#This Row],[Shortname]], Comp[], 15, FALSE)</f>
        <v>0</v>
      </c>
      <c r="Q331">
        <f>VLOOKUP(Table56[[#This Row],[Shortname]], Comp[], 16, FALSE)</f>
        <v>0</v>
      </c>
      <c r="R331">
        <f>VLOOKUP(Table56[[#This Row],[Shortname]], Comp[], 17, FALSE)</f>
        <v>0</v>
      </c>
      <c r="S331">
        <f>VLOOKUP(Table56[[#This Row],[Shortname]], Comp[], 18, FALSE)</f>
        <v>0</v>
      </c>
      <c r="T331">
        <f>VLOOKUP(Table56[[#This Row],[Shortname]], Comp[], 19, FALSE)</f>
        <v>0</v>
      </c>
      <c r="U331">
        <f>VLOOKUP(Table56[[#This Row],[Shortname]], Comp[], 20, FALSE)</f>
        <v>0</v>
      </c>
      <c r="V331">
        <f>VLOOKUP(Table56[[#This Row],[Shortname]], Comp[], 21, FALSE)</f>
        <v>0</v>
      </c>
      <c r="W331">
        <f>VLOOKUP(Table56[[#This Row],[Shortname]], Comp[], 22, FALSE)</f>
        <v>0</v>
      </c>
      <c r="X331">
        <f>VLOOKUP(Table56[[#This Row],[Shortname]], Comp[], 23, FALSE)</f>
        <v>0</v>
      </c>
      <c r="Y331">
        <f>VLOOKUP(Table56[[#This Row],[Shortname]], Comp[], 24, FALSE)</f>
        <v>0</v>
      </c>
      <c r="Z331">
        <f>VLOOKUP(Table56[[#This Row],[Shortname]], Comp[], 25, FALSE)</f>
        <v>0</v>
      </c>
      <c r="AA331">
        <f>VLOOKUP(Table56[[#This Row],[Shortname]], Comp[], 26, FALSE)</f>
        <v>0</v>
      </c>
      <c r="AB331">
        <f>VLOOKUP(Table56[[#This Row],[Shortname]], Comp[], 27, FALSE)</f>
        <v>0</v>
      </c>
      <c r="AC331">
        <f>VLOOKUP(Table56[[#This Row],[Shortname]], Comp[], 28, FALSE)</f>
        <v>0</v>
      </c>
      <c r="AD331">
        <f>VLOOKUP(Table56[[#This Row],[Shortname]], Comp[], 29, FALSE)</f>
        <v>0</v>
      </c>
      <c r="AE331">
        <f>VLOOKUP(Table56[[#This Row],[Shortname]], Comp[], 30, FALSE)</f>
        <v>0</v>
      </c>
      <c r="AF331">
        <f>VLOOKUP(Table56[[#This Row],[Shortname]], Comp[], 31, FALSE)</f>
        <v>0</v>
      </c>
    </row>
    <row r="332" spans="1:32" x14ac:dyDescent="0.3">
      <c r="A332" s="12" t="s">
        <v>6077</v>
      </c>
      <c r="B332" s="13" t="s">
        <v>6078</v>
      </c>
      <c r="C332" s="12" t="s">
        <v>6039</v>
      </c>
      <c r="D332" s="12">
        <v>1247.5999999999999</v>
      </c>
      <c r="E332" s="12">
        <v>1319.6</v>
      </c>
      <c r="F332" s="12">
        <v>1364.7</v>
      </c>
      <c r="H332" s="14">
        <f>VLOOKUP(Table56[[#This Row],[Shortname]], Comp[], 7, FALSE)</f>
        <v>43.199999999999996</v>
      </c>
      <c r="I332">
        <f>VLOOKUP(Table56[[#This Row],[Shortname]], Comp[], 8, FALSE)</f>
        <v>35.6</v>
      </c>
      <c r="J332">
        <f>VLOOKUP(Table56[[#This Row],[Shortname]], Comp[], 9, FALSE)</f>
        <v>11.3</v>
      </c>
      <c r="K332">
        <f>VLOOKUP(Table56[[#This Row],[Shortname]], Comp[], 10, FALSE)</f>
        <v>2</v>
      </c>
      <c r="L332">
        <f>VLOOKUP(Table56[[#This Row],[Shortname]], Comp[], 11, FALSE)</f>
        <v>1.8</v>
      </c>
      <c r="M332">
        <f>VLOOKUP(Table56[[#This Row],[Shortname]], Comp[],12, FALSE)</f>
        <v>2</v>
      </c>
      <c r="N332">
        <f>VLOOKUP(Table56[[#This Row],[Shortname]], Comp[], 13, FALSE)</f>
        <v>4.0999999999999996</v>
      </c>
      <c r="O332">
        <f>VLOOKUP(Table56[[#This Row],[Shortname]], Comp[], 14, FALSE)</f>
        <v>0</v>
      </c>
      <c r="P332">
        <f>VLOOKUP(Table56[[#This Row],[Shortname]], Comp[], 15, FALSE)</f>
        <v>0</v>
      </c>
      <c r="Q332">
        <f>VLOOKUP(Table56[[#This Row],[Shortname]], Comp[], 16, FALSE)</f>
        <v>0</v>
      </c>
      <c r="R332">
        <f>VLOOKUP(Table56[[#This Row],[Shortname]], Comp[], 17, FALSE)</f>
        <v>0</v>
      </c>
      <c r="S332">
        <f>VLOOKUP(Table56[[#This Row],[Shortname]], Comp[], 18, FALSE)</f>
        <v>0</v>
      </c>
      <c r="T332">
        <f>VLOOKUP(Table56[[#This Row],[Shortname]], Comp[], 19, FALSE)</f>
        <v>0</v>
      </c>
      <c r="U332">
        <f>VLOOKUP(Table56[[#This Row],[Shortname]], Comp[], 20, FALSE)</f>
        <v>0</v>
      </c>
      <c r="V332">
        <f>VLOOKUP(Table56[[#This Row],[Shortname]], Comp[], 21, FALSE)</f>
        <v>0</v>
      </c>
      <c r="W332">
        <f>VLOOKUP(Table56[[#This Row],[Shortname]], Comp[], 22, FALSE)</f>
        <v>0</v>
      </c>
      <c r="X332">
        <f>VLOOKUP(Table56[[#This Row],[Shortname]], Comp[], 23, FALSE)</f>
        <v>0</v>
      </c>
      <c r="Y332">
        <f>VLOOKUP(Table56[[#This Row],[Shortname]], Comp[], 24, FALSE)</f>
        <v>0</v>
      </c>
      <c r="Z332">
        <f>VLOOKUP(Table56[[#This Row],[Shortname]], Comp[], 25, FALSE)</f>
        <v>0</v>
      </c>
      <c r="AA332">
        <f>VLOOKUP(Table56[[#This Row],[Shortname]], Comp[], 26, FALSE)</f>
        <v>0</v>
      </c>
      <c r="AB332">
        <f>VLOOKUP(Table56[[#This Row],[Shortname]], Comp[], 27, FALSE)</f>
        <v>0</v>
      </c>
      <c r="AC332">
        <f>VLOOKUP(Table56[[#This Row],[Shortname]], Comp[], 28, FALSE)</f>
        <v>0</v>
      </c>
      <c r="AD332">
        <f>VLOOKUP(Table56[[#This Row],[Shortname]], Comp[], 29, FALSE)</f>
        <v>0</v>
      </c>
      <c r="AE332">
        <f>VLOOKUP(Table56[[#This Row],[Shortname]], Comp[], 30, FALSE)</f>
        <v>0</v>
      </c>
      <c r="AF332">
        <f>VLOOKUP(Table56[[#This Row],[Shortname]], Comp[], 31, FALSE)</f>
        <v>0</v>
      </c>
    </row>
    <row r="333" spans="1:32" x14ac:dyDescent="0.3">
      <c r="A333" s="12" t="s">
        <v>6080</v>
      </c>
      <c r="B333" s="13" t="s">
        <v>6081</v>
      </c>
      <c r="C333" s="12" t="s">
        <v>6039</v>
      </c>
      <c r="D333" s="12">
        <v>1252.8</v>
      </c>
      <c r="E333" s="12">
        <v>1323</v>
      </c>
      <c r="F333" s="12">
        <v>1365.3</v>
      </c>
      <c r="H333" s="14">
        <f>VLOOKUP(Table56[[#This Row],[Shortname]], Comp[], 7, FALSE)</f>
        <v>42.899999999999991</v>
      </c>
      <c r="I333">
        <f>VLOOKUP(Table56[[#This Row],[Shortname]], Comp[], 8, FALSE)</f>
        <v>35.5</v>
      </c>
      <c r="J333">
        <f>VLOOKUP(Table56[[#This Row],[Shortname]], Comp[], 9, FALSE)</f>
        <v>13.2</v>
      </c>
      <c r="K333">
        <f>VLOOKUP(Table56[[#This Row],[Shortname]], Comp[], 10, FALSE)</f>
        <v>2.2000000000000002</v>
      </c>
      <c r="L333">
        <f>VLOOKUP(Table56[[#This Row],[Shortname]], Comp[], 11, FALSE)</f>
        <v>1.2</v>
      </c>
      <c r="M333">
        <f>VLOOKUP(Table56[[#This Row],[Shortname]], Comp[],12, FALSE)</f>
        <v>1</v>
      </c>
      <c r="N333">
        <f>VLOOKUP(Table56[[#This Row],[Shortname]], Comp[], 13, FALSE)</f>
        <v>4</v>
      </c>
      <c r="O333">
        <f>VLOOKUP(Table56[[#This Row],[Shortname]], Comp[], 14, FALSE)</f>
        <v>0</v>
      </c>
      <c r="P333">
        <f>VLOOKUP(Table56[[#This Row],[Shortname]], Comp[], 15, FALSE)</f>
        <v>0</v>
      </c>
      <c r="Q333">
        <f>VLOOKUP(Table56[[#This Row],[Shortname]], Comp[], 16, FALSE)</f>
        <v>0</v>
      </c>
      <c r="R333">
        <f>VLOOKUP(Table56[[#This Row],[Shortname]], Comp[], 17, FALSE)</f>
        <v>0</v>
      </c>
      <c r="S333">
        <f>VLOOKUP(Table56[[#This Row],[Shortname]], Comp[], 18, FALSE)</f>
        <v>0</v>
      </c>
      <c r="T333">
        <f>VLOOKUP(Table56[[#This Row],[Shortname]], Comp[], 19, FALSE)</f>
        <v>0</v>
      </c>
      <c r="U333">
        <f>VLOOKUP(Table56[[#This Row],[Shortname]], Comp[], 20, FALSE)</f>
        <v>0</v>
      </c>
      <c r="V333">
        <f>VLOOKUP(Table56[[#This Row],[Shortname]], Comp[], 21, FALSE)</f>
        <v>0</v>
      </c>
      <c r="W333">
        <f>VLOOKUP(Table56[[#This Row],[Shortname]], Comp[], 22, FALSE)</f>
        <v>0</v>
      </c>
      <c r="X333">
        <f>VLOOKUP(Table56[[#This Row],[Shortname]], Comp[], 23, FALSE)</f>
        <v>0</v>
      </c>
      <c r="Y333">
        <f>VLOOKUP(Table56[[#This Row],[Shortname]], Comp[], 24, FALSE)</f>
        <v>0</v>
      </c>
      <c r="Z333">
        <f>VLOOKUP(Table56[[#This Row],[Shortname]], Comp[], 25, FALSE)</f>
        <v>0</v>
      </c>
      <c r="AA333">
        <f>VLOOKUP(Table56[[#This Row],[Shortname]], Comp[], 26, FALSE)</f>
        <v>0</v>
      </c>
      <c r="AB333">
        <f>VLOOKUP(Table56[[#This Row],[Shortname]], Comp[], 27, FALSE)</f>
        <v>0</v>
      </c>
      <c r="AC333">
        <f>VLOOKUP(Table56[[#This Row],[Shortname]], Comp[], 28, FALSE)</f>
        <v>0</v>
      </c>
      <c r="AD333">
        <f>VLOOKUP(Table56[[#This Row],[Shortname]], Comp[], 29, FALSE)</f>
        <v>0</v>
      </c>
      <c r="AE333">
        <f>VLOOKUP(Table56[[#This Row],[Shortname]], Comp[], 30, FALSE)</f>
        <v>0</v>
      </c>
      <c r="AF333">
        <f>VLOOKUP(Table56[[#This Row],[Shortname]], Comp[], 31, FALSE)</f>
        <v>0</v>
      </c>
    </row>
    <row r="334" spans="1:32" x14ac:dyDescent="0.3">
      <c r="A334" s="12" t="s">
        <v>6097</v>
      </c>
      <c r="B334" s="12" t="s">
        <v>6098</v>
      </c>
      <c r="C334" s="12" t="s">
        <v>6099</v>
      </c>
      <c r="D334" s="12">
        <v>1142</v>
      </c>
      <c r="E334" s="12">
        <v>1328</v>
      </c>
      <c r="F334" s="12">
        <v>1378</v>
      </c>
      <c r="H334" s="14">
        <f>VLOOKUP(Table56[[#This Row],[Shortname]], Comp[], 7, FALSE)</f>
        <v>1.9999999999996021E-2</v>
      </c>
      <c r="I334">
        <f>VLOOKUP(Table56[[#This Row],[Shortname]], Comp[], 8, FALSE)</f>
        <v>74.88</v>
      </c>
      <c r="J334">
        <f>VLOOKUP(Table56[[#This Row],[Shortname]], Comp[], 9, FALSE)</f>
        <v>4.93</v>
      </c>
      <c r="K334">
        <f>VLOOKUP(Table56[[#This Row],[Shortname]], Comp[], 10, FALSE)</f>
        <v>14.9</v>
      </c>
      <c r="L334">
        <f>VLOOKUP(Table56[[#This Row],[Shortname]], Comp[], 11, FALSE)</f>
        <v>0</v>
      </c>
      <c r="M334">
        <f>VLOOKUP(Table56[[#This Row],[Shortname]], Comp[],12, FALSE)</f>
        <v>5.27</v>
      </c>
      <c r="N334">
        <f>VLOOKUP(Table56[[#This Row],[Shortname]], Comp[], 13, FALSE)</f>
        <v>0</v>
      </c>
      <c r="O334">
        <f>VLOOKUP(Table56[[#This Row],[Shortname]], Comp[], 14, FALSE)</f>
        <v>0</v>
      </c>
      <c r="P334">
        <f>VLOOKUP(Table56[[#This Row],[Shortname]], Comp[], 15, FALSE)</f>
        <v>0</v>
      </c>
      <c r="Q334">
        <f>VLOOKUP(Table56[[#This Row],[Shortname]], Comp[], 16, FALSE)</f>
        <v>0</v>
      </c>
      <c r="R334">
        <f>VLOOKUP(Table56[[#This Row],[Shortname]], Comp[], 17, FALSE)</f>
        <v>0</v>
      </c>
      <c r="S334">
        <f>VLOOKUP(Table56[[#This Row],[Shortname]], Comp[], 18, FALSE)</f>
        <v>0</v>
      </c>
      <c r="T334">
        <f>VLOOKUP(Table56[[#This Row],[Shortname]], Comp[], 19, FALSE)</f>
        <v>0</v>
      </c>
      <c r="U334">
        <f>VLOOKUP(Table56[[#This Row],[Shortname]], Comp[], 20, FALSE)</f>
        <v>0</v>
      </c>
      <c r="V334">
        <f>VLOOKUP(Table56[[#This Row],[Shortname]], Comp[], 21, FALSE)</f>
        <v>0</v>
      </c>
      <c r="W334">
        <f>VLOOKUP(Table56[[#This Row],[Shortname]], Comp[], 22, FALSE)</f>
        <v>0</v>
      </c>
      <c r="X334">
        <f>VLOOKUP(Table56[[#This Row],[Shortname]], Comp[], 23, FALSE)</f>
        <v>0</v>
      </c>
      <c r="Y334">
        <f>VLOOKUP(Table56[[#This Row],[Shortname]], Comp[], 24, FALSE)</f>
        <v>0</v>
      </c>
      <c r="Z334">
        <f>VLOOKUP(Table56[[#This Row],[Shortname]], Comp[], 25, FALSE)</f>
        <v>0</v>
      </c>
      <c r="AA334">
        <f>VLOOKUP(Table56[[#This Row],[Shortname]], Comp[], 26, FALSE)</f>
        <v>0</v>
      </c>
      <c r="AB334">
        <f>VLOOKUP(Table56[[#This Row],[Shortname]], Comp[], 27, FALSE)</f>
        <v>0</v>
      </c>
      <c r="AC334">
        <f>VLOOKUP(Table56[[#This Row],[Shortname]], Comp[], 28, FALSE)</f>
        <v>0</v>
      </c>
      <c r="AD334">
        <f>VLOOKUP(Table56[[#This Row],[Shortname]], Comp[], 29, FALSE)</f>
        <v>0</v>
      </c>
      <c r="AE334">
        <f>VLOOKUP(Table56[[#This Row],[Shortname]], Comp[], 30, FALSE)</f>
        <v>0</v>
      </c>
      <c r="AF334">
        <f>VLOOKUP(Table56[[#This Row],[Shortname]], Comp[], 31, FALSE)</f>
        <v>0</v>
      </c>
    </row>
    <row r="335" spans="1:32" x14ac:dyDescent="0.3">
      <c r="A335" s="12" t="s">
        <v>6102</v>
      </c>
      <c r="B335" s="12" t="s">
        <v>6103</v>
      </c>
      <c r="C335" s="12" t="s">
        <v>6099</v>
      </c>
      <c r="D335" s="12">
        <v>1137</v>
      </c>
      <c r="E335" s="12">
        <v>1325</v>
      </c>
      <c r="F335" s="12">
        <v>1379</v>
      </c>
      <c r="H335" s="14">
        <f>VLOOKUP(Table56[[#This Row],[Shortname]], Comp[], 7, FALSE)</f>
        <v>9.6099999999999852</v>
      </c>
      <c r="I335">
        <f>VLOOKUP(Table56[[#This Row],[Shortname]], Comp[], 8, FALSE)</f>
        <v>65.2</v>
      </c>
      <c r="J335">
        <f>VLOOKUP(Table56[[#This Row],[Shortname]], Comp[], 9, FALSE)</f>
        <v>5.09</v>
      </c>
      <c r="K335">
        <f>VLOOKUP(Table56[[#This Row],[Shortname]], Comp[], 10, FALSE)</f>
        <v>14.9</v>
      </c>
      <c r="L335">
        <f>VLOOKUP(Table56[[#This Row],[Shortname]], Comp[], 11, FALSE)</f>
        <v>0</v>
      </c>
      <c r="M335">
        <f>VLOOKUP(Table56[[#This Row],[Shortname]], Comp[],12, FALSE)</f>
        <v>5.2</v>
      </c>
      <c r="N335">
        <f>VLOOKUP(Table56[[#This Row],[Shortname]], Comp[], 13, FALSE)</f>
        <v>0</v>
      </c>
      <c r="O335">
        <f>VLOOKUP(Table56[[#This Row],[Shortname]], Comp[], 14, FALSE)</f>
        <v>0</v>
      </c>
      <c r="P335">
        <f>VLOOKUP(Table56[[#This Row],[Shortname]], Comp[], 15, FALSE)</f>
        <v>0</v>
      </c>
      <c r="Q335">
        <f>VLOOKUP(Table56[[#This Row],[Shortname]], Comp[], 16, FALSE)</f>
        <v>0</v>
      </c>
      <c r="R335">
        <f>VLOOKUP(Table56[[#This Row],[Shortname]], Comp[], 17, FALSE)</f>
        <v>0</v>
      </c>
      <c r="S335">
        <f>VLOOKUP(Table56[[#This Row],[Shortname]], Comp[], 18, FALSE)</f>
        <v>0</v>
      </c>
      <c r="T335">
        <f>VLOOKUP(Table56[[#This Row],[Shortname]], Comp[], 19, FALSE)</f>
        <v>0</v>
      </c>
      <c r="U335">
        <f>VLOOKUP(Table56[[#This Row],[Shortname]], Comp[], 20, FALSE)</f>
        <v>0</v>
      </c>
      <c r="V335">
        <f>VLOOKUP(Table56[[#This Row],[Shortname]], Comp[], 21, FALSE)</f>
        <v>0</v>
      </c>
      <c r="W335">
        <f>VLOOKUP(Table56[[#This Row],[Shortname]], Comp[], 22, FALSE)</f>
        <v>0</v>
      </c>
      <c r="X335">
        <f>VLOOKUP(Table56[[#This Row],[Shortname]], Comp[], 23, FALSE)</f>
        <v>0</v>
      </c>
      <c r="Y335">
        <f>VLOOKUP(Table56[[#This Row],[Shortname]], Comp[], 24, FALSE)</f>
        <v>0</v>
      </c>
      <c r="Z335">
        <f>VLOOKUP(Table56[[#This Row],[Shortname]], Comp[], 25, FALSE)</f>
        <v>0</v>
      </c>
      <c r="AA335">
        <f>VLOOKUP(Table56[[#This Row],[Shortname]], Comp[], 26, FALSE)</f>
        <v>0</v>
      </c>
      <c r="AB335">
        <f>VLOOKUP(Table56[[#This Row],[Shortname]], Comp[], 27, FALSE)</f>
        <v>0</v>
      </c>
      <c r="AC335">
        <f>VLOOKUP(Table56[[#This Row],[Shortname]], Comp[], 28, FALSE)</f>
        <v>0</v>
      </c>
      <c r="AD335">
        <f>VLOOKUP(Table56[[#This Row],[Shortname]], Comp[], 29, FALSE)</f>
        <v>0</v>
      </c>
      <c r="AE335">
        <f>VLOOKUP(Table56[[#This Row],[Shortname]], Comp[], 30, FALSE)</f>
        <v>0</v>
      </c>
      <c r="AF335">
        <f>VLOOKUP(Table56[[#This Row],[Shortname]], Comp[], 31, FALSE)</f>
        <v>0</v>
      </c>
    </row>
    <row r="336" spans="1:32" x14ac:dyDescent="0.3">
      <c r="A336" s="12" t="s">
        <v>6107</v>
      </c>
      <c r="B336" s="12" t="s">
        <v>6108</v>
      </c>
      <c r="C336" s="12" t="s">
        <v>6099</v>
      </c>
      <c r="D336" s="12">
        <v>1122</v>
      </c>
      <c r="E336" s="12">
        <v>1314</v>
      </c>
      <c r="F336" s="12">
        <v>1383</v>
      </c>
      <c r="H336" s="14">
        <f>VLOOKUP(Table56[[#This Row],[Shortname]], Comp[], 7, FALSE)</f>
        <v>18.64</v>
      </c>
      <c r="I336">
        <f>VLOOKUP(Table56[[#This Row],[Shortname]], Comp[], 8, FALSE)</f>
        <v>56.21</v>
      </c>
      <c r="J336">
        <f>VLOOKUP(Table56[[#This Row],[Shortname]], Comp[], 9, FALSE)</f>
        <v>5.08</v>
      </c>
      <c r="K336">
        <f>VLOOKUP(Table56[[#This Row],[Shortname]], Comp[], 10, FALSE)</f>
        <v>14.8</v>
      </c>
      <c r="L336">
        <f>VLOOKUP(Table56[[#This Row],[Shortname]], Comp[], 11, FALSE)</f>
        <v>0</v>
      </c>
      <c r="M336">
        <f>VLOOKUP(Table56[[#This Row],[Shortname]], Comp[],12, FALSE)</f>
        <v>5.27</v>
      </c>
      <c r="N336">
        <f>VLOOKUP(Table56[[#This Row],[Shortname]], Comp[], 13, FALSE)</f>
        <v>0</v>
      </c>
      <c r="O336">
        <f>VLOOKUP(Table56[[#This Row],[Shortname]], Comp[], 14, FALSE)</f>
        <v>0</v>
      </c>
      <c r="P336">
        <f>VLOOKUP(Table56[[#This Row],[Shortname]], Comp[], 15, FALSE)</f>
        <v>0</v>
      </c>
      <c r="Q336">
        <f>VLOOKUP(Table56[[#This Row],[Shortname]], Comp[], 16, FALSE)</f>
        <v>0</v>
      </c>
      <c r="R336">
        <f>VLOOKUP(Table56[[#This Row],[Shortname]], Comp[], 17, FALSE)</f>
        <v>0</v>
      </c>
      <c r="S336">
        <f>VLOOKUP(Table56[[#This Row],[Shortname]], Comp[], 18, FALSE)</f>
        <v>0</v>
      </c>
      <c r="T336">
        <f>VLOOKUP(Table56[[#This Row],[Shortname]], Comp[], 19, FALSE)</f>
        <v>0</v>
      </c>
      <c r="U336">
        <f>VLOOKUP(Table56[[#This Row],[Shortname]], Comp[], 20, FALSE)</f>
        <v>0</v>
      </c>
      <c r="V336">
        <f>VLOOKUP(Table56[[#This Row],[Shortname]], Comp[], 21, FALSE)</f>
        <v>0</v>
      </c>
      <c r="W336">
        <f>VLOOKUP(Table56[[#This Row],[Shortname]], Comp[], 22, FALSE)</f>
        <v>0</v>
      </c>
      <c r="X336">
        <f>VLOOKUP(Table56[[#This Row],[Shortname]], Comp[], 23, FALSE)</f>
        <v>0</v>
      </c>
      <c r="Y336">
        <f>VLOOKUP(Table56[[#This Row],[Shortname]], Comp[], 24, FALSE)</f>
        <v>0</v>
      </c>
      <c r="Z336">
        <f>VLOOKUP(Table56[[#This Row],[Shortname]], Comp[], 25, FALSE)</f>
        <v>0</v>
      </c>
      <c r="AA336">
        <f>VLOOKUP(Table56[[#This Row],[Shortname]], Comp[], 26, FALSE)</f>
        <v>0</v>
      </c>
      <c r="AB336">
        <f>VLOOKUP(Table56[[#This Row],[Shortname]], Comp[], 27, FALSE)</f>
        <v>0</v>
      </c>
      <c r="AC336">
        <f>VLOOKUP(Table56[[#This Row],[Shortname]], Comp[], 28, FALSE)</f>
        <v>0</v>
      </c>
      <c r="AD336">
        <f>VLOOKUP(Table56[[#This Row],[Shortname]], Comp[], 29, FALSE)</f>
        <v>0</v>
      </c>
      <c r="AE336">
        <f>VLOOKUP(Table56[[#This Row],[Shortname]], Comp[], 30, FALSE)</f>
        <v>0</v>
      </c>
      <c r="AF336">
        <f>VLOOKUP(Table56[[#This Row],[Shortname]], Comp[], 31, FALSE)</f>
        <v>0</v>
      </c>
    </row>
    <row r="337" spans="1:32" x14ac:dyDescent="0.3">
      <c r="A337" s="12" t="s">
        <v>6111</v>
      </c>
      <c r="B337" s="12" t="s">
        <v>6112</v>
      </c>
      <c r="C337" s="12" t="s">
        <v>6099</v>
      </c>
      <c r="D337" s="12">
        <v>1103</v>
      </c>
      <c r="E337" s="12">
        <v>1315</v>
      </c>
      <c r="F337" s="12">
        <v>1386</v>
      </c>
      <c r="H337" s="14">
        <f>VLOOKUP(Table56[[#This Row],[Shortname]], Comp[], 7, FALSE)</f>
        <v>27.759999999999991</v>
      </c>
      <c r="I337">
        <f>VLOOKUP(Table56[[#This Row],[Shortname]], Comp[], 8, FALSE)</f>
        <v>47.2</v>
      </c>
      <c r="J337">
        <f>VLOOKUP(Table56[[#This Row],[Shortname]], Comp[], 9, FALSE)</f>
        <v>5.01</v>
      </c>
      <c r="K337">
        <f>VLOOKUP(Table56[[#This Row],[Shortname]], Comp[], 10, FALSE)</f>
        <v>14.8</v>
      </c>
      <c r="L337">
        <f>VLOOKUP(Table56[[#This Row],[Shortname]], Comp[], 11, FALSE)</f>
        <v>0</v>
      </c>
      <c r="M337">
        <f>VLOOKUP(Table56[[#This Row],[Shortname]], Comp[],12, FALSE)</f>
        <v>5.23</v>
      </c>
      <c r="N337">
        <f>VLOOKUP(Table56[[#This Row],[Shortname]], Comp[], 13, FALSE)</f>
        <v>0</v>
      </c>
      <c r="O337">
        <f>VLOOKUP(Table56[[#This Row],[Shortname]], Comp[], 14, FALSE)</f>
        <v>0</v>
      </c>
      <c r="P337">
        <f>VLOOKUP(Table56[[#This Row],[Shortname]], Comp[], 15, FALSE)</f>
        <v>0</v>
      </c>
      <c r="Q337">
        <f>VLOOKUP(Table56[[#This Row],[Shortname]], Comp[], 16, FALSE)</f>
        <v>0</v>
      </c>
      <c r="R337">
        <f>VLOOKUP(Table56[[#This Row],[Shortname]], Comp[], 17, FALSE)</f>
        <v>0</v>
      </c>
      <c r="S337">
        <f>VLOOKUP(Table56[[#This Row],[Shortname]], Comp[], 18, FALSE)</f>
        <v>0</v>
      </c>
      <c r="T337">
        <f>VLOOKUP(Table56[[#This Row],[Shortname]], Comp[], 19, FALSE)</f>
        <v>0</v>
      </c>
      <c r="U337">
        <f>VLOOKUP(Table56[[#This Row],[Shortname]], Comp[], 20, FALSE)</f>
        <v>0</v>
      </c>
      <c r="V337">
        <f>VLOOKUP(Table56[[#This Row],[Shortname]], Comp[], 21, FALSE)</f>
        <v>0</v>
      </c>
      <c r="W337">
        <f>VLOOKUP(Table56[[#This Row],[Shortname]], Comp[], 22, FALSE)</f>
        <v>0</v>
      </c>
      <c r="X337">
        <f>VLOOKUP(Table56[[#This Row],[Shortname]], Comp[], 23, FALSE)</f>
        <v>0</v>
      </c>
      <c r="Y337">
        <f>VLOOKUP(Table56[[#This Row],[Shortname]], Comp[], 24, FALSE)</f>
        <v>0</v>
      </c>
      <c r="Z337">
        <f>VLOOKUP(Table56[[#This Row],[Shortname]], Comp[], 25, FALSE)</f>
        <v>0</v>
      </c>
      <c r="AA337">
        <f>VLOOKUP(Table56[[#This Row],[Shortname]], Comp[], 26, FALSE)</f>
        <v>0</v>
      </c>
      <c r="AB337">
        <f>VLOOKUP(Table56[[#This Row],[Shortname]], Comp[], 27, FALSE)</f>
        <v>0</v>
      </c>
      <c r="AC337">
        <f>VLOOKUP(Table56[[#This Row],[Shortname]], Comp[], 28, FALSE)</f>
        <v>0</v>
      </c>
      <c r="AD337">
        <f>VLOOKUP(Table56[[#This Row],[Shortname]], Comp[], 29, FALSE)</f>
        <v>0</v>
      </c>
      <c r="AE337">
        <f>VLOOKUP(Table56[[#This Row],[Shortname]], Comp[], 30, FALSE)</f>
        <v>0</v>
      </c>
      <c r="AF337">
        <f>VLOOKUP(Table56[[#This Row],[Shortname]], Comp[], 31, FALSE)</f>
        <v>0</v>
      </c>
    </row>
    <row r="338" spans="1:32" x14ac:dyDescent="0.3">
      <c r="A338" s="12" t="s">
        <v>6115</v>
      </c>
      <c r="B338" s="12" t="s">
        <v>6116</v>
      </c>
      <c r="C338" s="12" t="s">
        <v>6099</v>
      </c>
      <c r="D338" s="12">
        <v>1074</v>
      </c>
      <c r="E338" s="12">
        <v>1309</v>
      </c>
      <c r="F338" s="12">
        <v>1386</v>
      </c>
      <c r="H338" s="14">
        <f>VLOOKUP(Table56[[#This Row],[Shortname]], Comp[], 7, FALSE)</f>
        <v>37.21</v>
      </c>
      <c r="I338">
        <f>VLOOKUP(Table56[[#This Row],[Shortname]], Comp[], 8, FALSE)</f>
        <v>37.700000000000003</v>
      </c>
      <c r="J338">
        <f>VLOOKUP(Table56[[#This Row],[Shortname]], Comp[], 9, FALSE)</f>
        <v>5.01</v>
      </c>
      <c r="K338">
        <f>VLOOKUP(Table56[[#This Row],[Shortname]], Comp[], 10, FALSE)</f>
        <v>15</v>
      </c>
      <c r="L338">
        <f>VLOOKUP(Table56[[#This Row],[Shortname]], Comp[], 11, FALSE)</f>
        <v>0</v>
      </c>
      <c r="M338">
        <f>VLOOKUP(Table56[[#This Row],[Shortname]], Comp[],12, FALSE)</f>
        <v>5.08</v>
      </c>
      <c r="N338">
        <f>VLOOKUP(Table56[[#This Row],[Shortname]], Comp[], 13, FALSE)</f>
        <v>0</v>
      </c>
      <c r="O338">
        <f>VLOOKUP(Table56[[#This Row],[Shortname]], Comp[], 14, FALSE)</f>
        <v>0</v>
      </c>
      <c r="P338">
        <f>VLOOKUP(Table56[[#This Row],[Shortname]], Comp[], 15, FALSE)</f>
        <v>0</v>
      </c>
      <c r="Q338">
        <f>VLOOKUP(Table56[[#This Row],[Shortname]], Comp[], 16, FALSE)</f>
        <v>0</v>
      </c>
      <c r="R338">
        <f>VLOOKUP(Table56[[#This Row],[Shortname]], Comp[], 17, FALSE)</f>
        <v>0</v>
      </c>
      <c r="S338">
        <f>VLOOKUP(Table56[[#This Row],[Shortname]], Comp[], 18, FALSE)</f>
        <v>0</v>
      </c>
      <c r="T338">
        <f>VLOOKUP(Table56[[#This Row],[Shortname]], Comp[], 19, FALSE)</f>
        <v>0</v>
      </c>
      <c r="U338">
        <f>VLOOKUP(Table56[[#This Row],[Shortname]], Comp[], 20, FALSE)</f>
        <v>0</v>
      </c>
      <c r="V338">
        <f>VLOOKUP(Table56[[#This Row],[Shortname]], Comp[], 21, FALSE)</f>
        <v>0</v>
      </c>
      <c r="W338">
        <f>VLOOKUP(Table56[[#This Row],[Shortname]], Comp[], 22, FALSE)</f>
        <v>0</v>
      </c>
      <c r="X338">
        <f>VLOOKUP(Table56[[#This Row],[Shortname]], Comp[], 23, FALSE)</f>
        <v>0</v>
      </c>
      <c r="Y338">
        <f>VLOOKUP(Table56[[#This Row],[Shortname]], Comp[], 24, FALSE)</f>
        <v>0</v>
      </c>
      <c r="Z338">
        <f>VLOOKUP(Table56[[#This Row],[Shortname]], Comp[], 25, FALSE)</f>
        <v>0</v>
      </c>
      <c r="AA338">
        <f>VLOOKUP(Table56[[#This Row],[Shortname]], Comp[], 26, FALSE)</f>
        <v>0</v>
      </c>
      <c r="AB338">
        <f>VLOOKUP(Table56[[#This Row],[Shortname]], Comp[], 27, FALSE)</f>
        <v>0</v>
      </c>
      <c r="AC338">
        <f>VLOOKUP(Table56[[#This Row],[Shortname]], Comp[], 28, FALSE)</f>
        <v>0</v>
      </c>
      <c r="AD338">
        <f>VLOOKUP(Table56[[#This Row],[Shortname]], Comp[], 29, FALSE)</f>
        <v>0</v>
      </c>
      <c r="AE338">
        <f>VLOOKUP(Table56[[#This Row],[Shortname]], Comp[], 30, FALSE)</f>
        <v>0</v>
      </c>
      <c r="AF338">
        <f>VLOOKUP(Table56[[#This Row],[Shortname]], Comp[], 31, FALSE)</f>
        <v>0</v>
      </c>
    </row>
    <row r="339" spans="1:32" x14ac:dyDescent="0.3">
      <c r="A339" s="12" t="s">
        <v>6119</v>
      </c>
      <c r="B339" s="12" t="s">
        <v>2317</v>
      </c>
      <c r="C339" s="12" t="s">
        <v>6099</v>
      </c>
      <c r="D339" s="12">
        <v>1036</v>
      </c>
      <c r="E339" s="12">
        <v>1306</v>
      </c>
      <c r="F339" s="12">
        <v>1391</v>
      </c>
      <c r="H339" s="14">
        <f>VLOOKUP(Table56[[#This Row],[Shortname]], Comp[], 7, FALSE)</f>
        <v>46.37</v>
      </c>
      <c r="I339">
        <f>VLOOKUP(Table56[[#This Row],[Shortname]], Comp[], 8, FALSE)</f>
        <v>28.43</v>
      </c>
      <c r="J339">
        <f>VLOOKUP(Table56[[#This Row],[Shortname]], Comp[], 9, FALSE)</f>
        <v>5</v>
      </c>
      <c r="K339">
        <f>VLOOKUP(Table56[[#This Row],[Shortname]], Comp[], 10, FALSE)</f>
        <v>15</v>
      </c>
      <c r="L339">
        <f>VLOOKUP(Table56[[#This Row],[Shortname]], Comp[], 11, FALSE)</f>
        <v>0</v>
      </c>
      <c r="M339">
        <f>VLOOKUP(Table56[[#This Row],[Shortname]], Comp[],12, FALSE)</f>
        <v>5.2</v>
      </c>
      <c r="N339">
        <f>VLOOKUP(Table56[[#This Row],[Shortname]], Comp[], 13, FALSE)</f>
        <v>0</v>
      </c>
      <c r="O339">
        <f>VLOOKUP(Table56[[#This Row],[Shortname]], Comp[], 14, FALSE)</f>
        <v>0</v>
      </c>
      <c r="P339">
        <f>VLOOKUP(Table56[[#This Row],[Shortname]], Comp[], 15, FALSE)</f>
        <v>0</v>
      </c>
      <c r="Q339">
        <f>VLOOKUP(Table56[[#This Row],[Shortname]], Comp[], 16, FALSE)</f>
        <v>0</v>
      </c>
      <c r="R339">
        <f>VLOOKUP(Table56[[#This Row],[Shortname]], Comp[], 17, FALSE)</f>
        <v>0</v>
      </c>
      <c r="S339">
        <f>VLOOKUP(Table56[[#This Row],[Shortname]], Comp[], 18, FALSE)</f>
        <v>0</v>
      </c>
      <c r="T339">
        <f>VLOOKUP(Table56[[#This Row],[Shortname]], Comp[], 19, FALSE)</f>
        <v>0</v>
      </c>
      <c r="U339">
        <f>VLOOKUP(Table56[[#This Row],[Shortname]], Comp[], 20, FALSE)</f>
        <v>0</v>
      </c>
      <c r="V339">
        <f>VLOOKUP(Table56[[#This Row],[Shortname]], Comp[], 21, FALSE)</f>
        <v>0</v>
      </c>
      <c r="W339">
        <f>VLOOKUP(Table56[[#This Row],[Shortname]], Comp[], 22, FALSE)</f>
        <v>0</v>
      </c>
      <c r="X339">
        <f>VLOOKUP(Table56[[#This Row],[Shortname]], Comp[], 23, FALSE)</f>
        <v>0</v>
      </c>
      <c r="Y339">
        <f>VLOOKUP(Table56[[#This Row],[Shortname]], Comp[], 24, FALSE)</f>
        <v>0</v>
      </c>
      <c r="Z339">
        <f>VLOOKUP(Table56[[#This Row],[Shortname]], Comp[], 25, FALSE)</f>
        <v>0</v>
      </c>
      <c r="AA339">
        <f>VLOOKUP(Table56[[#This Row],[Shortname]], Comp[], 26, FALSE)</f>
        <v>0</v>
      </c>
      <c r="AB339">
        <f>VLOOKUP(Table56[[#This Row],[Shortname]], Comp[], 27, FALSE)</f>
        <v>0</v>
      </c>
      <c r="AC339">
        <f>VLOOKUP(Table56[[#This Row],[Shortname]], Comp[], 28, FALSE)</f>
        <v>0</v>
      </c>
      <c r="AD339">
        <f>VLOOKUP(Table56[[#This Row],[Shortname]], Comp[], 29, FALSE)</f>
        <v>0</v>
      </c>
      <c r="AE339">
        <f>VLOOKUP(Table56[[#This Row],[Shortname]], Comp[], 30, FALSE)</f>
        <v>0</v>
      </c>
      <c r="AF339">
        <f>VLOOKUP(Table56[[#This Row],[Shortname]], Comp[], 31, FALSE)</f>
        <v>0</v>
      </c>
    </row>
    <row r="340" spans="1:32" x14ac:dyDescent="0.3">
      <c r="A340" s="12" t="s">
        <v>6122</v>
      </c>
      <c r="B340" s="12" t="s">
        <v>2307</v>
      </c>
      <c r="C340" s="12" t="s">
        <v>6099</v>
      </c>
      <c r="D340" s="12">
        <v>989</v>
      </c>
      <c r="E340" s="12">
        <v>1298</v>
      </c>
      <c r="F340" s="12">
        <v>1395</v>
      </c>
      <c r="H340" s="14">
        <f>VLOOKUP(Table56[[#This Row],[Shortname]], Comp[], 7, FALSE)</f>
        <v>56.339999999999996</v>
      </c>
      <c r="I340">
        <f>VLOOKUP(Table56[[#This Row],[Shortname]], Comp[], 8, FALSE)</f>
        <v>18.53</v>
      </c>
      <c r="J340">
        <f>VLOOKUP(Table56[[#This Row],[Shortname]], Comp[], 9, FALSE)</f>
        <v>4.8600000000000003</v>
      </c>
      <c r="K340">
        <f>VLOOKUP(Table56[[#This Row],[Shortname]], Comp[], 10, FALSE)</f>
        <v>15.09</v>
      </c>
      <c r="L340">
        <f>VLOOKUP(Table56[[#This Row],[Shortname]], Comp[], 11, FALSE)</f>
        <v>0</v>
      </c>
      <c r="M340">
        <f>VLOOKUP(Table56[[#This Row],[Shortname]], Comp[],12, FALSE)</f>
        <v>5.18</v>
      </c>
      <c r="N340">
        <f>VLOOKUP(Table56[[#This Row],[Shortname]], Comp[], 13, FALSE)</f>
        <v>0</v>
      </c>
      <c r="O340">
        <f>VLOOKUP(Table56[[#This Row],[Shortname]], Comp[], 14, FALSE)</f>
        <v>0</v>
      </c>
      <c r="P340">
        <f>VLOOKUP(Table56[[#This Row],[Shortname]], Comp[], 15, FALSE)</f>
        <v>0</v>
      </c>
      <c r="Q340">
        <f>VLOOKUP(Table56[[#This Row],[Shortname]], Comp[], 16, FALSE)</f>
        <v>0</v>
      </c>
      <c r="R340">
        <f>VLOOKUP(Table56[[#This Row],[Shortname]], Comp[], 17, FALSE)</f>
        <v>0</v>
      </c>
      <c r="S340">
        <f>VLOOKUP(Table56[[#This Row],[Shortname]], Comp[], 18, FALSE)</f>
        <v>0</v>
      </c>
      <c r="T340">
        <f>VLOOKUP(Table56[[#This Row],[Shortname]], Comp[], 19, FALSE)</f>
        <v>0</v>
      </c>
      <c r="U340">
        <f>VLOOKUP(Table56[[#This Row],[Shortname]], Comp[], 20, FALSE)</f>
        <v>0</v>
      </c>
      <c r="V340">
        <f>VLOOKUP(Table56[[#This Row],[Shortname]], Comp[], 21, FALSE)</f>
        <v>0</v>
      </c>
      <c r="W340">
        <f>VLOOKUP(Table56[[#This Row],[Shortname]], Comp[], 22, FALSE)</f>
        <v>0</v>
      </c>
      <c r="X340">
        <f>VLOOKUP(Table56[[#This Row],[Shortname]], Comp[], 23, FALSE)</f>
        <v>0</v>
      </c>
      <c r="Y340">
        <f>VLOOKUP(Table56[[#This Row],[Shortname]], Comp[], 24, FALSE)</f>
        <v>0</v>
      </c>
      <c r="Z340">
        <f>VLOOKUP(Table56[[#This Row],[Shortname]], Comp[], 25, FALSE)</f>
        <v>0</v>
      </c>
      <c r="AA340">
        <f>VLOOKUP(Table56[[#This Row],[Shortname]], Comp[], 26, FALSE)</f>
        <v>0</v>
      </c>
      <c r="AB340">
        <f>VLOOKUP(Table56[[#This Row],[Shortname]], Comp[], 27, FALSE)</f>
        <v>0</v>
      </c>
      <c r="AC340">
        <f>VLOOKUP(Table56[[#This Row],[Shortname]], Comp[], 28, FALSE)</f>
        <v>0</v>
      </c>
      <c r="AD340">
        <f>VLOOKUP(Table56[[#This Row],[Shortname]], Comp[], 29, FALSE)</f>
        <v>0</v>
      </c>
      <c r="AE340">
        <f>VLOOKUP(Table56[[#This Row],[Shortname]], Comp[], 30, FALSE)</f>
        <v>0</v>
      </c>
      <c r="AF340">
        <f>VLOOKUP(Table56[[#This Row],[Shortname]], Comp[], 31, FALSE)</f>
        <v>0</v>
      </c>
    </row>
    <row r="341" spans="1:32" x14ac:dyDescent="0.3">
      <c r="A341" s="34" t="s">
        <v>6125</v>
      </c>
      <c r="B341" s="12" t="s">
        <v>6126</v>
      </c>
      <c r="C341" s="12" t="s">
        <v>6127</v>
      </c>
      <c r="D341" s="12">
        <v>1268</v>
      </c>
      <c r="E341" s="12">
        <v>1296</v>
      </c>
      <c r="F341" s="12">
        <v>1373</v>
      </c>
      <c r="H341" s="14">
        <f>VLOOKUP(Table56[[#This Row],[Shortname]], Comp[], 7, FALSE)</f>
        <v>46.150000000000006</v>
      </c>
      <c r="I341">
        <f>VLOOKUP(Table56[[#This Row],[Shortname]], Comp[], 8, FALSE)</f>
        <v>29.99</v>
      </c>
      <c r="J341">
        <f>VLOOKUP(Table56[[#This Row],[Shortname]], Comp[], 9, FALSE)</f>
        <v>11.74</v>
      </c>
      <c r="K341">
        <f>VLOOKUP(Table56[[#This Row],[Shortname]], Comp[], 10, FALSE)</f>
        <v>0</v>
      </c>
      <c r="L341">
        <f>VLOOKUP(Table56[[#This Row],[Shortname]], Comp[], 11, FALSE)</f>
        <v>5.48</v>
      </c>
      <c r="M341">
        <f>VLOOKUP(Table56[[#This Row],[Shortname]], Comp[],12, FALSE)</f>
        <v>4.0599999999999996</v>
      </c>
      <c r="N341">
        <f>VLOOKUP(Table56[[#This Row],[Shortname]], Comp[], 13, FALSE)</f>
        <v>2.5</v>
      </c>
      <c r="O341">
        <f>VLOOKUP(Table56[[#This Row],[Shortname]], Comp[], 14, FALSE)</f>
        <v>0</v>
      </c>
      <c r="P341">
        <f>VLOOKUP(Table56[[#This Row],[Shortname]], Comp[], 15, FALSE)</f>
        <v>0</v>
      </c>
      <c r="Q341">
        <f>VLOOKUP(Table56[[#This Row],[Shortname]], Comp[], 16, FALSE)</f>
        <v>0</v>
      </c>
      <c r="R341">
        <f>VLOOKUP(Table56[[#This Row],[Shortname]], Comp[], 17, FALSE)</f>
        <v>0</v>
      </c>
      <c r="S341">
        <f>VLOOKUP(Table56[[#This Row],[Shortname]], Comp[], 18, FALSE)</f>
        <v>0</v>
      </c>
      <c r="T341">
        <f>VLOOKUP(Table56[[#This Row],[Shortname]], Comp[], 19, FALSE)</f>
        <v>0.08</v>
      </c>
      <c r="U341">
        <f>VLOOKUP(Table56[[#This Row],[Shortname]], Comp[], 20, FALSE)</f>
        <v>0</v>
      </c>
      <c r="V341">
        <f>VLOOKUP(Table56[[#This Row],[Shortname]], Comp[], 21, FALSE)</f>
        <v>0</v>
      </c>
      <c r="W341">
        <f>VLOOKUP(Table56[[#This Row],[Shortname]], Comp[], 22, FALSE)</f>
        <v>0</v>
      </c>
      <c r="X341">
        <f>VLOOKUP(Table56[[#This Row],[Shortname]], Comp[], 23, FALSE)</f>
        <v>0</v>
      </c>
      <c r="Y341">
        <f>VLOOKUP(Table56[[#This Row],[Shortname]], Comp[], 24, FALSE)</f>
        <v>0</v>
      </c>
      <c r="Z341">
        <f>VLOOKUP(Table56[[#This Row],[Shortname]], Comp[], 25, FALSE)</f>
        <v>0</v>
      </c>
      <c r="AA341">
        <f>VLOOKUP(Table56[[#This Row],[Shortname]], Comp[], 26, FALSE)</f>
        <v>0</v>
      </c>
      <c r="AB341">
        <f>VLOOKUP(Table56[[#This Row],[Shortname]], Comp[], 27, FALSE)</f>
        <v>0</v>
      </c>
      <c r="AC341">
        <f>VLOOKUP(Table56[[#This Row],[Shortname]], Comp[], 28, FALSE)</f>
        <v>0</v>
      </c>
      <c r="AD341">
        <f>VLOOKUP(Table56[[#This Row],[Shortname]], Comp[], 29, FALSE)</f>
        <v>0</v>
      </c>
      <c r="AE341">
        <f>VLOOKUP(Table56[[#This Row],[Shortname]], Comp[], 30, FALSE)</f>
        <v>0</v>
      </c>
      <c r="AF341">
        <f>VLOOKUP(Table56[[#This Row],[Shortname]], Comp[], 31, FALSE)</f>
        <v>0</v>
      </c>
    </row>
    <row r="342" spans="1:32" x14ac:dyDescent="0.3">
      <c r="A342" s="12" t="s">
        <v>6190</v>
      </c>
      <c r="B342" s="12" t="s">
        <v>6191</v>
      </c>
      <c r="C342" s="12" t="s">
        <v>6192</v>
      </c>
      <c r="D342" s="12">
        <v>866</v>
      </c>
      <c r="E342" s="12">
        <v>1312</v>
      </c>
      <c r="F342" s="12">
        <v>1421</v>
      </c>
      <c r="H342" s="14">
        <f>VLOOKUP(Table56[[#This Row],[Shortname]], Comp[], 7, FALSE)</f>
        <v>83.05</v>
      </c>
      <c r="I342">
        <f>VLOOKUP(Table56[[#This Row],[Shortname]], Comp[], 8, FALSE)</f>
        <v>0</v>
      </c>
      <c r="J342">
        <f>VLOOKUP(Table56[[#This Row],[Shortname]], Comp[], 9, FALSE)</f>
        <v>10.1</v>
      </c>
      <c r="K342">
        <f>VLOOKUP(Table56[[#This Row],[Shortname]], Comp[], 10, FALSE)</f>
        <v>0</v>
      </c>
      <c r="L342">
        <f>VLOOKUP(Table56[[#This Row],[Shortname]], Comp[], 11, FALSE)</f>
        <v>0</v>
      </c>
      <c r="M342">
        <f>VLOOKUP(Table56[[#This Row],[Shortname]], Comp[],12, FALSE)</f>
        <v>0</v>
      </c>
      <c r="N342">
        <f>VLOOKUP(Table56[[#This Row],[Shortname]], Comp[], 13, FALSE)</f>
        <v>0</v>
      </c>
      <c r="O342">
        <f>VLOOKUP(Table56[[#This Row],[Shortname]], Comp[], 14, FALSE)</f>
        <v>2.1</v>
      </c>
      <c r="P342">
        <f>VLOOKUP(Table56[[#This Row],[Shortname]], Comp[], 15, FALSE)</f>
        <v>0.95</v>
      </c>
      <c r="Q342">
        <f>VLOOKUP(Table56[[#This Row],[Shortname]], Comp[], 16, FALSE)</f>
        <v>3.8</v>
      </c>
      <c r="R342">
        <f>VLOOKUP(Table56[[#This Row],[Shortname]], Comp[], 17, FALSE)</f>
        <v>0</v>
      </c>
      <c r="S342">
        <f>VLOOKUP(Table56[[#This Row],[Shortname]], Comp[], 18, FALSE)</f>
        <v>0</v>
      </c>
      <c r="T342">
        <f>VLOOKUP(Table56[[#This Row],[Shortname]], Comp[], 19, FALSE)</f>
        <v>0</v>
      </c>
      <c r="U342">
        <f>VLOOKUP(Table56[[#This Row],[Shortname]], Comp[], 20, FALSE)</f>
        <v>0</v>
      </c>
      <c r="V342">
        <f>VLOOKUP(Table56[[#This Row],[Shortname]], Comp[], 21, FALSE)</f>
        <v>0</v>
      </c>
      <c r="W342">
        <f>VLOOKUP(Table56[[#This Row],[Shortname]], Comp[], 22, FALSE)</f>
        <v>0</v>
      </c>
      <c r="X342">
        <f>VLOOKUP(Table56[[#This Row],[Shortname]], Comp[], 23, FALSE)</f>
        <v>0</v>
      </c>
      <c r="Y342">
        <f>VLOOKUP(Table56[[#This Row],[Shortname]], Comp[], 24, FALSE)</f>
        <v>0</v>
      </c>
      <c r="Z342">
        <f>VLOOKUP(Table56[[#This Row],[Shortname]], Comp[], 25, FALSE)</f>
        <v>0</v>
      </c>
      <c r="AA342">
        <f>VLOOKUP(Table56[[#This Row],[Shortname]], Comp[], 26, FALSE)</f>
        <v>0</v>
      </c>
      <c r="AB342">
        <f>VLOOKUP(Table56[[#This Row],[Shortname]], Comp[], 27, FALSE)</f>
        <v>0</v>
      </c>
      <c r="AC342">
        <f>VLOOKUP(Table56[[#This Row],[Shortname]], Comp[], 28, FALSE)</f>
        <v>0</v>
      </c>
      <c r="AD342">
        <f>VLOOKUP(Table56[[#This Row],[Shortname]], Comp[], 29, FALSE)</f>
        <v>0</v>
      </c>
      <c r="AE342">
        <f>VLOOKUP(Table56[[#This Row],[Shortname]], Comp[], 30, FALSE)</f>
        <v>0</v>
      </c>
      <c r="AF342">
        <f>VLOOKUP(Table56[[#This Row],[Shortname]], Comp[], 31, FALSE)</f>
        <v>0</v>
      </c>
    </row>
    <row r="343" spans="1:32" x14ac:dyDescent="0.3">
      <c r="A343" s="12" t="s">
        <v>6195</v>
      </c>
      <c r="B343" s="12" t="s">
        <v>6196</v>
      </c>
      <c r="C343" s="12" t="s">
        <v>6197</v>
      </c>
      <c r="D343" s="12">
        <v>869</v>
      </c>
      <c r="E343" s="12">
        <v>1317</v>
      </c>
      <c r="F343" s="12">
        <v>1412</v>
      </c>
      <c r="H343" s="14">
        <f>VLOOKUP(Table56[[#This Row],[Shortname]], Comp[], 7, FALSE)</f>
        <v>83.8</v>
      </c>
      <c r="I343">
        <f>VLOOKUP(Table56[[#This Row],[Shortname]], Comp[], 8, FALSE)</f>
        <v>0</v>
      </c>
      <c r="J343">
        <f>VLOOKUP(Table56[[#This Row],[Shortname]], Comp[], 9, FALSE)</f>
        <v>9.3000000000000007</v>
      </c>
      <c r="K343">
        <f>VLOOKUP(Table56[[#This Row],[Shortname]], Comp[], 10, FALSE)</f>
        <v>0</v>
      </c>
      <c r="L343">
        <f>VLOOKUP(Table56[[#This Row],[Shortname]], Comp[], 11, FALSE)</f>
        <v>0</v>
      </c>
      <c r="M343">
        <f>VLOOKUP(Table56[[#This Row],[Shortname]], Comp[],12, FALSE)</f>
        <v>0</v>
      </c>
      <c r="N343">
        <f>VLOOKUP(Table56[[#This Row],[Shortname]], Comp[], 13, FALSE)</f>
        <v>0</v>
      </c>
      <c r="O343">
        <f>VLOOKUP(Table56[[#This Row],[Shortname]], Comp[], 14, FALSE)</f>
        <v>1.9</v>
      </c>
      <c r="P343">
        <f>VLOOKUP(Table56[[#This Row],[Shortname]], Comp[], 15, FALSE)</f>
        <v>2.1</v>
      </c>
      <c r="Q343">
        <f>VLOOKUP(Table56[[#This Row],[Shortname]], Comp[], 16, FALSE)</f>
        <v>2.9</v>
      </c>
      <c r="R343">
        <f>VLOOKUP(Table56[[#This Row],[Shortname]], Comp[], 17, FALSE)</f>
        <v>0</v>
      </c>
      <c r="S343">
        <f>VLOOKUP(Table56[[#This Row],[Shortname]], Comp[], 18, FALSE)</f>
        <v>0</v>
      </c>
      <c r="T343">
        <f>VLOOKUP(Table56[[#This Row],[Shortname]], Comp[], 19, FALSE)</f>
        <v>0</v>
      </c>
      <c r="U343">
        <f>VLOOKUP(Table56[[#This Row],[Shortname]], Comp[], 20, FALSE)</f>
        <v>0</v>
      </c>
      <c r="V343">
        <f>VLOOKUP(Table56[[#This Row],[Shortname]], Comp[], 21, FALSE)</f>
        <v>0</v>
      </c>
      <c r="W343">
        <f>VLOOKUP(Table56[[#This Row],[Shortname]], Comp[], 22, FALSE)</f>
        <v>0</v>
      </c>
      <c r="X343">
        <f>VLOOKUP(Table56[[#This Row],[Shortname]], Comp[], 23, FALSE)</f>
        <v>0</v>
      </c>
      <c r="Y343">
        <f>VLOOKUP(Table56[[#This Row],[Shortname]], Comp[], 24, FALSE)</f>
        <v>0</v>
      </c>
      <c r="Z343">
        <f>VLOOKUP(Table56[[#This Row],[Shortname]], Comp[], 25, FALSE)</f>
        <v>0</v>
      </c>
      <c r="AA343">
        <f>VLOOKUP(Table56[[#This Row],[Shortname]], Comp[], 26, FALSE)</f>
        <v>0</v>
      </c>
      <c r="AB343">
        <f>VLOOKUP(Table56[[#This Row],[Shortname]], Comp[], 27, FALSE)</f>
        <v>0</v>
      </c>
      <c r="AC343">
        <f>VLOOKUP(Table56[[#This Row],[Shortname]], Comp[], 28, FALSE)</f>
        <v>0</v>
      </c>
      <c r="AD343">
        <f>VLOOKUP(Table56[[#This Row],[Shortname]], Comp[], 29, FALSE)</f>
        <v>0</v>
      </c>
      <c r="AE343">
        <f>VLOOKUP(Table56[[#This Row],[Shortname]], Comp[], 30, FALSE)</f>
        <v>0</v>
      </c>
      <c r="AF343">
        <f>VLOOKUP(Table56[[#This Row],[Shortname]], Comp[], 31, FALSE)</f>
        <v>0</v>
      </c>
    </row>
    <row r="344" spans="1:32" x14ac:dyDescent="0.3">
      <c r="A344" s="12" t="s">
        <v>6199</v>
      </c>
      <c r="B344" s="12" t="s">
        <v>6200</v>
      </c>
      <c r="C344" s="12" t="s">
        <v>6201</v>
      </c>
      <c r="D344" s="12">
        <v>870</v>
      </c>
      <c r="E344" s="12">
        <v>1320</v>
      </c>
      <c r="F344" s="12">
        <v>1422</v>
      </c>
      <c r="H344" s="14">
        <f>VLOOKUP(Table56[[#This Row],[Shortname]], Comp[], 7, FALSE)</f>
        <v>83.3</v>
      </c>
      <c r="I344">
        <f>VLOOKUP(Table56[[#This Row],[Shortname]], Comp[], 8, FALSE)</f>
        <v>0</v>
      </c>
      <c r="J344">
        <f>VLOOKUP(Table56[[#This Row],[Shortname]], Comp[], 9, FALSE)</f>
        <v>9.8000000000000007</v>
      </c>
      <c r="K344">
        <f>VLOOKUP(Table56[[#This Row],[Shortname]], Comp[], 10, FALSE)</f>
        <v>0</v>
      </c>
      <c r="L344">
        <f>VLOOKUP(Table56[[#This Row],[Shortname]], Comp[], 11, FALSE)</f>
        <v>0</v>
      </c>
      <c r="M344">
        <f>VLOOKUP(Table56[[#This Row],[Shortname]], Comp[],12, FALSE)</f>
        <v>0</v>
      </c>
      <c r="N344">
        <f>VLOOKUP(Table56[[#This Row],[Shortname]], Comp[], 13, FALSE)</f>
        <v>0</v>
      </c>
      <c r="O344">
        <f>VLOOKUP(Table56[[#This Row],[Shortname]], Comp[], 14, FALSE)</f>
        <v>2</v>
      </c>
      <c r="P344">
        <f>VLOOKUP(Table56[[#This Row],[Shortname]], Comp[], 15, FALSE)</f>
        <v>2.9</v>
      </c>
      <c r="Q344">
        <f>VLOOKUP(Table56[[#This Row],[Shortname]], Comp[], 16, FALSE)</f>
        <v>2</v>
      </c>
      <c r="R344">
        <f>VLOOKUP(Table56[[#This Row],[Shortname]], Comp[], 17, FALSE)</f>
        <v>0</v>
      </c>
      <c r="S344">
        <f>VLOOKUP(Table56[[#This Row],[Shortname]], Comp[], 18, FALSE)</f>
        <v>0</v>
      </c>
      <c r="T344">
        <f>VLOOKUP(Table56[[#This Row],[Shortname]], Comp[], 19, FALSE)</f>
        <v>0</v>
      </c>
      <c r="U344">
        <f>VLOOKUP(Table56[[#This Row],[Shortname]], Comp[], 20, FALSE)</f>
        <v>0</v>
      </c>
      <c r="V344">
        <f>VLOOKUP(Table56[[#This Row],[Shortname]], Comp[], 21, FALSE)</f>
        <v>0</v>
      </c>
      <c r="W344">
        <f>VLOOKUP(Table56[[#This Row],[Shortname]], Comp[], 22, FALSE)</f>
        <v>0</v>
      </c>
      <c r="X344">
        <f>VLOOKUP(Table56[[#This Row],[Shortname]], Comp[], 23, FALSE)</f>
        <v>0</v>
      </c>
      <c r="Y344">
        <f>VLOOKUP(Table56[[#This Row],[Shortname]], Comp[], 24, FALSE)</f>
        <v>0</v>
      </c>
      <c r="Z344">
        <f>VLOOKUP(Table56[[#This Row],[Shortname]], Comp[], 25, FALSE)</f>
        <v>0</v>
      </c>
      <c r="AA344">
        <f>VLOOKUP(Table56[[#This Row],[Shortname]], Comp[], 26, FALSE)</f>
        <v>0</v>
      </c>
      <c r="AB344">
        <f>VLOOKUP(Table56[[#This Row],[Shortname]], Comp[], 27, FALSE)</f>
        <v>0</v>
      </c>
      <c r="AC344">
        <f>VLOOKUP(Table56[[#This Row],[Shortname]], Comp[], 28, FALSE)</f>
        <v>0</v>
      </c>
      <c r="AD344">
        <f>VLOOKUP(Table56[[#This Row],[Shortname]], Comp[], 29, FALSE)</f>
        <v>0</v>
      </c>
      <c r="AE344">
        <f>VLOOKUP(Table56[[#This Row],[Shortname]], Comp[], 30, FALSE)</f>
        <v>0</v>
      </c>
      <c r="AF344">
        <f>VLOOKUP(Table56[[#This Row],[Shortname]], Comp[], 31, FALSE)</f>
        <v>0</v>
      </c>
    </row>
    <row r="345" spans="1:32" x14ac:dyDescent="0.3">
      <c r="A345" s="12" t="s">
        <v>6204</v>
      </c>
      <c r="B345" s="12" t="s">
        <v>6205</v>
      </c>
      <c r="C345" s="12" t="s">
        <v>6206</v>
      </c>
      <c r="D345" s="12">
        <v>874</v>
      </c>
      <c r="E345" s="12">
        <v>1321</v>
      </c>
      <c r="F345" s="12">
        <v>1417</v>
      </c>
      <c r="H345" s="14">
        <f>VLOOKUP(Table56[[#This Row],[Shortname]], Comp[], 7, FALSE)</f>
        <v>83.4</v>
      </c>
      <c r="I345">
        <f>VLOOKUP(Table56[[#This Row],[Shortname]], Comp[], 8, FALSE)</f>
        <v>0</v>
      </c>
      <c r="J345">
        <f>VLOOKUP(Table56[[#This Row],[Shortname]], Comp[], 9, FALSE)</f>
        <v>9.6999999999999993</v>
      </c>
      <c r="K345">
        <f>VLOOKUP(Table56[[#This Row],[Shortname]], Comp[], 10, FALSE)</f>
        <v>0</v>
      </c>
      <c r="L345">
        <f>VLOOKUP(Table56[[#This Row],[Shortname]], Comp[], 11, FALSE)</f>
        <v>0</v>
      </c>
      <c r="M345">
        <f>VLOOKUP(Table56[[#This Row],[Shortname]], Comp[],12, FALSE)</f>
        <v>0</v>
      </c>
      <c r="N345">
        <f>VLOOKUP(Table56[[#This Row],[Shortname]], Comp[], 13, FALSE)</f>
        <v>0</v>
      </c>
      <c r="O345">
        <f>VLOOKUP(Table56[[#This Row],[Shortname]], Comp[], 14, FALSE)</f>
        <v>1.9</v>
      </c>
      <c r="P345">
        <f>VLOOKUP(Table56[[#This Row],[Shortname]], Comp[], 15, FALSE)</f>
        <v>3.9</v>
      </c>
      <c r="Q345">
        <f>VLOOKUP(Table56[[#This Row],[Shortname]], Comp[], 16, FALSE)</f>
        <v>1.1000000000000001</v>
      </c>
      <c r="R345">
        <f>VLOOKUP(Table56[[#This Row],[Shortname]], Comp[], 17, FALSE)</f>
        <v>0</v>
      </c>
      <c r="S345">
        <f>VLOOKUP(Table56[[#This Row],[Shortname]], Comp[], 18, FALSE)</f>
        <v>0</v>
      </c>
      <c r="T345">
        <f>VLOOKUP(Table56[[#This Row],[Shortname]], Comp[], 19, FALSE)</f>
        <v>0</v>
      </c>
      <c r="U345">
        <f>VLOOKUP(Table56[[#This Row],[Shortname]], Comp[], 20, FALSE)</f>
        <v>0</v>
      </c>
      <c r="V345">
        <f>VLOOKUP(Table56[[#This Row],[Shortname]], Comp[], 21, FALSE)</f>
        <v>0</v>
      </c>
      <c r="W345">
        <f>VLOOKUP(Table56[[#This Row],[Shortname]], Comp[], 22, FALSE)</f>
        <v>0</v>
      </c>
      <c r="X345">
        <f>VLOOKUP(Table56[[#This Row],[Shortname]], Comp[], 23, FALSE)</f>
        <v>0</v>
      </c>
      <c r="Y345">
        <f>VLOOKUP(Table56[[#This Row],[Shortname]], Comp[], 24, FALSE)</f>
        <v>0</v>
      </c>
      <c r="Z345">
        <f>VLOOKUP(Table56[[#This Row],[Shortname]], Comp[], 25, FALSE)</f>
        <v>0</v>
      </c>
      <c r="AA345">
        <f>VLOOKUP(Table56[[#This Row],[Shortname]], Comp[], 26, FALSE)</f>
        <v>0</v>
      </c>
      <c r="AB345">
        <f>VLOOKUP(Table56[[#This Row],[Shortname]], Comp[], 27, FALSE)</f>
        <v>0</v>
      </c>
      <c r="AC345">
        <f>VLOOKUP(Table56[[#This Row],[Shortname]], Comp[], 28, FALSE)</f>
        <v>0</v>
      </c>
      <c r="AD345">
        <f>VLOOKUP(Table56[[#This Row],[Shortname]], Comp[], 29, FALSE)</f>
        <v>0</v>
      </c>
      <c r="AE345">
        <f>VLOOKUP(Table56[[#This Row],[Shortname]], Comp[], 30, FALSE)</f>
        <v>0</v>
      </c>
      <c r="AF345">
        <f>VLOOKUP(Table56[[#This Row],[Shortname]], Comp[], 31, FALSE)</f>
        <v>0</v>
      </c>
    </row>
    <row r="346" spans="1:32" x14ac:dyDescent="0.3">
      <c r="A346" s="12" t="s">
        <v>6209</v>
      </c>
      <c r="B346" s="12" t="s">
        <v>6210</v>
      </c>
      <c r="C346" s="12" t="s">
        <v>6211</v>
      </c>
      <c r="D346" s="12">
        <v>876</v>
      </c>
      <c r="E346" s="12">
        <v>1310</v>
      </c>
      <c r="F346" s="12">
        <v>1414</v>
      </c>
      <c r="H346" s="14">
        <f>VLOOKUP(Table56[[#This Row],[Shortname]], Comp[], 7, FALSE)</f>
        <v>82.9</v>
      </c>
      <c r="I346">
        <f>VLOOKUP(Table56[[#This Row],[Shortname]], Comp[], 8, FALSE)</f>
        <v>0</v>
      </c>
      <c r="J346">
        <f>VLOOKUP(Table56[[#This Row],[Shortname]], Comp[], 9, FALSE)</f>
        <v>9.8000000000000007</v>
      </c>
      <c r="K346">
        <f>VLOOKUP(Table56[[#This Row],[Shortname]], Comp[], 10, FALSE)</f>
        <v>0</v>
      </c>
      <c r="L346">
        <f>VLOOKUP(Table56[[#This Row],[Shortname]], Comp[], 11, FALSE)</f>
        <v>0</v>
      </c>
      <c r="M346">
        <f>VLOOKUP(Table56[[#This Row],[Shortname]], Comp[],12, FALSE)</f>
        <v>0</v>
      </c>
      <c r="N346">
        <f>VLOOKUP(Table56[[#This Row],[Shortname]], Comp[], 13, FALSE)</f>
        <v>0</v>
      </c>
      <c r="O346">
        <f>VLOOKUP(Table56[[#This Row],[Shortname]], Comp[], 14, FALSE)</f>
        <v>2</v>
      </c>
      <c r="P346">
        <f>VLOOKUP(Table56[[#This Row],[Shortname]], Comp[], 15, FALSE)</f>
        <v>5.3</v>
      </c>
      <c r="Q346">
        <f>VLOOKUP(Table56[[#This Row],[Shortname]], Comp[], 16, FALSE)</f>
        <v>0</v>
      </c>
      <c r="R346">
        <f>VLOOKUP(Table56[[#This Row],[Shortname]], Comp[], 17, FALSE)</f>
        <v>0</v>
      </c>
      <c r="S346">
        <f>VLOOKUP(Table56[[#This Row],[Shortname]], Comp[], 18, FALSE)</f>
        <v>0</v>
      </c>
      <c r="T346">
        <f>VLOOKUP(Table56[[#This Row],[Shortname]], Comp[], 19, FALSE)</f>
        <v>0</v>
      </c>
      <c r="U346">
        <f>VLOOKUP(Table56[[#This Row],[Shortname]], Comp[], 20, FALSE)</f>
        <v>0</v>
      </c>
      <c r="V346">
        <f>VLOOKUP(Table56[[#This Row],[Shortname]], Comp[], 21, FALSE)</f>
        <v>0</v>
      </c>
      <c r="W346">
        <f>VLOOKUP(Table56[[#This Row],[Shortname]], Comp[], 22, FALSE)</f>
        <v>0</v>
      </c>
      <c r="X346">
        <f>VLOOKUP(Table56[[#This Row],[Shortname]], Comp[], 23, FALSE)</f>
        <v>0</v>
      </c>
      <c r="Y346">
        <f>VLOOKUP(Table56[[#This Row],[Shortname]], Comp[], 24, FALSE)</f>
        <v>0</v>
      </c>
      <c r="Z346">
        <f>VLOOKUP(Table56[[#This Row],[Shortname]], Comp[], 25, FALSE)</f>
        <v>0</v>
      </c>
      <c r="AA346">
        <f>VLOOKUP(Table56[[#This Row],[Shortname]], Comp[], 26, FALSE)</f>
        <v>0</v>
      </c>
      <c r="AB346">
        <f>VLOOKUP(Table56[[#This Row],[Shortname]], Comp[], 27, FALSE)</f>
        <v>0</v>
      </c>
      <c r="AC346">
        <f>VLOOKUP(Table56[[#This Row],[Shortname]], Comp[], 28, FALSE)</f>
        <v>0</v>
      </c>
      <c r="AD346">
        <f>VLOOKUP(Table56[[#This Row],[Shortname]], Comp[], 29, FALSE)</f>
        <v>0</v>
      </c>
      <c r="AE346">
        <f>VLOOKUP(Table56[[#This Row],[Shortname]], Comp[], 30, FALSE)</f>
        <v>0</v>
      </c>
      <c r="AF346">
        <f>VLOOKUP(Table56[[#This Row],[Shortname]], Comp[], 31, FALSE)</f>
        <v>0</v>
      </c>
    </row>
    <row r="347" spans="1:32" x14ac:dyDescent="0.3">
      <c r="A347" s="12" t="s">
        <v>5411</v>
      </c>
      <c r="B347" s="12" t="s">
        <v>6222</v>
      </c>
      <c r="C347" s="12" t="s">
        <v>6223</v>
      </c>
      <c r="D347" s="12">
        <v>1138</v>
      </c>
      <c r="E347" s="12">
        <v>1220</v>
      </c>
      <c r="F347" s="12">
        <v>1312</v>
      </c>
      <c r="H347" s="14">
        <f>VLOOKUP(Table56[[#This Row],[Shortname]], Comp[], 7, FALSE)</f>
        <v>88</v>
      </c>
      <c r="I347">
        <f>VLOOKUP(Table56[[#This Row],[Shortname]], Comp[], 8, FALSE)</f>
        <v>0</v>
      </c>
      <c r="J347">
        <f>VLOOKUP(Table56[[#This Row],[Shortname]], Comp[], 9, FALSE)</f>
        <v>0</v>
      </c>
      <c r="K347">
        <f>VLOOKUP(Table56[[#This Row],[Shortname]], Comp[], 10, FALSE)</f>
        <v>0</v>
      </c>
      <c r="L347">
        <f>VLOOKUP(Table56[[#This Row],[Shortname]], Comp[], 11, FALSE)</f>
        <v>0</v>
      </c>
      <c r="M347">
        <f>VLOOKUP(Table56[[#This Row],[Shortname]], Comp[],12, FALSE)</f>
        <v>12</v>
      </c>
      <c r="N347">
        <f>VLOOKUP(Table56[[#This Row],[Shortname]], Comp[], 13, FALSE)</f>
        <v>0</v>
      </c>
      <c r="O347">
        <f>VLOOKUP(Table56[[#This Row],[Shortname]], Comp[], 14, FALSE)</f>
        <v>0</v>
      </c>
      <c r="P347">
        <f>VLOOKUP(Table56[[#This Row],[Shortname]], Comp[], 15, FALSE)</f>
        <v>0</v>
      </c>
      <c r="Q347">
        <f>VLOOKUP(Table56[[#This Row],[Shortname]], Comp[], 16, FALSE)</f>
        <v>0</v>
      </c>
      <c r="R347">
        <f>VLOOKUP(Table56[[#This Row],[Shortname]], Comp[], 17, FALSE)</f>
        <v>0</v>
      </c>
      <c r="S347">
        <f>VLOOKUP(Table56[[#This Row],[Shortname]], Comp[], 18, FALSE)</f>
        <v>0</v>
      </c>
      <c r="T347">
        <f>VLOOKUP(Table56[[#This Row],[Shortname]], Comp[], 19, FALSE)</f>
        <v>0</v>
      </c>
      <c r="U347">
        <f>VLOOKUP(Table56[[#This Row],[Shortname]], Comp[], 20, FALSE)</f>
        <v>0</v>
      </c>
      <c r="V347">
        <f>VLOOKUP(Table56[[#This Row],[Shortname]], Comp[], 21, FALSE)</f>
        <v>0</v>
      </c>
      <c r="W347">
        <f>VLOOKUP(Table56[[#This Row],[Shortname]], Comp[], 22, FALSE)</f>
        <v>0</v>
      </c>
      <c r="X347">
        <f>VLOOKUP(Table56[[#This Row],[Shortname]], Comp[], 23, FALSE)</f>
        <v>0</v>
      </c>
      <c r="Y347">
        <f>VLOOKUP(Table56[[#This Row],[Shortname]], Comp[], 24, FALSE)</f>
        <v>0</v>
      </c>
      <c r="Z347">
        <f>VLOOKUP(Table56[[#This Row],[Shortname]], Comp[], 25, FALSE)</f>
        <v>0</v>
      </c>
      <c r="AA347">
        <f>VLOOKUP(Table56[[#This Row],[Shortname]], Comp[], 26, FALSE)</f>
        <v>0</v>
      </c>
      <c r="AB347">
        <f>VLOOKUP(Table56[[#This Row],[Shortname]], Comp[], 27, FALSE)</f>
        <v>0</v>
      </c>
      <c r="AC347">
        <f>VLOOKUP(Table56[[#This Row],[Shortname]], Comp[], 28, FALSE)</f>
        <v>0</v>
      </c>
      <c r="AD347">
        <f>VLOOKUP(Table56[[#This Row],[Shortname]], Comp[], 29, FALSE)</f>
        <v>0</v>
      </c>
      <c r="AE347">
        <f>VLOOKUP(Table56[[#This Row],[Shortname]], Comp[], 30, FALSE)</f>
        <v>0</v>
      </c>
      <c r="AF347">
        <f>VLOOKUP(Table56[[#This Row],[Shortname]], Comp[], 31, FALSE)</f>
        <v>0</v>
      </c>
    </row>
    <row r="348" spans="1:32" x14ac:dyDescent="0.3">
      <c r="A348" s="12" t="s">
        <v>6225</v>
      </c>
      <c r="B348" s="12" t="s">
        <v>6226</v>
      </c>
      <c r="C348" s="12" t="s">
        <v>6223</v>
      </c>
      <c r="D348" s="12">
        <v>1112</v>
      </c>
      <c r="E348" s="12">
        <v>1252</v>
      </c>
      <c r="F348" s="12">
        <v>1361</v>
      </c>
      <c r="H348" s="14">
        <f>VLOOKUP(Table56[[#This Row],[Shortname]], Comp[], 7, FALSE)</f>
        <v>83.61</v>
      </c>
      <c r="I348">
        <f>VLOOKUP(Table56[[#This Row],[Shortname]], Comp[], 8, FALSE)</f>
        <v>0</v>
      </c>
      <c r="J348">
        <f>VLOOKUP(Table56[[#This Row],[Shortname]], Comp[], 9, FALSE)</f>
        <v>0</v>
      </c>
      <c r="K348">
        <f>VLOOKUP(Table56[[#This Row],[Shortname]], Comp[], 10, FALSE)</f>
        <v>0</v>
      </c>
      <c r="L348">
        <f>VLOOKUP(Table56[[#This Row],[Shortname]], Comp[], 11, FALSE)</f>
        <v>0</v>
      </c>
      <c r="M348">
        <f>VLOOKUP(Table56[[#This Row],[Shortname]], Comp[],12, FALSE)</f>
        <v>10.199999999999999</v>
      </c>
      <c r="N348">
        <f>VLOOKUP(Table56[[#This Row],[Shortname]], Comp[], 13, FALSE)</f>
        <v>0</v>
      </c>
      <c r="O348">
        <f>VLOOKUP(Table56[[#This Row],[Shortname]], Comp[], 14, FALSE)</f>
        <v>0</v>
      </c>
      <c r="P348">
        <f>VLOOKUP(Table56[[#This Row],[Shortname]], Comp[], 15, FALSE)</f>
        <v>6.19</v>
      </c>
      <c r="Q348">
        <f>VLOOKUP(Table56[[#This Row],[Shortname]], Comp[], 16, FALSE)</f>
        <v>0</v>
      </c>
      <c r="R348">
        <f>VLOOKUP(Table56[[#This Row],[Shortname]], Comp[], 17, FALSE)</f>
        <v>0</v>
      </c>
      <c r="S348">
        <f>VLOOKUP(Table56[[#This Row],[Shortname]], Comp[], 18, FALSE)</f>
        <v>0</v>
      </c>
      <c r="T348">
        <f>VLOOKUP(Table56[[#This Row],[Shortname]], Comp[], 19, FALSE)</f>
        <v>0</v>
      </c>
      <c r="U348">
        <f>VLOOKUP(Table56[[#This Row],[Shortname]], Comp[], 20, FALSE)</f>
        <v>0</v>
      </c>
      <c r="V348">
        <f>VLOOKUP(Table56[[#This Row],[Shortname]], Comp[], 21, FALSE)</f>
        <v>0</v>
      </c>
      <c r="W348">
        <f>VLOOKUP(Table56[[#This Row],[Shortname]], Comp[], 22, FALSE)</f>
        <v>0</v>
      </c>
      <c r="X348">
        <f>VLOOKUP(Table56[[#This Row],[Shortname]], Comp[], 23, FALSE)</f>
        <v>0</v>
      </c>
      <c r="Y348">
        <f>VLOOKUP(Table56[[#This Row],[Shortname]], Comp[], 24, FALSE)</f>
        <v>0</v>
      </c>
      <c r="Z348">
        <f>VLOOKUP(Table56[[#This Row],[Shortname]], Comp[], 25, FALSE)</f>
        <v>0</v>
      </c>
      <c r="AA348">
        <f>VLOOKUP(Table56[[#This Row],[Shortname]], Comp[], 26, FALSE)</f>
        <v>0</v>
      </c>
      <c r="AB348">
        <f>VLOOKUP(Table56[[#This Row],[Shortname]], Comp[], 27, FALSE)</f>
        <v>0</v>
      </c>
      <c r="AC348">
        <f>VLOOKUP(Table56[[#This Row],[Shortname]], Comp[], 28, FALSE)</f>
        <v>0</v>
      </c>
      <c r="AD348">
        <f>VLOOKUP(Table56[[#This Row],[Shortname]], Comp[], 29, FALSE)</f>
        <v>0</v>
      </c>
      <c r="AE348">
        <f>VLOOKUP(Table56[[#This Row],[Shortname]], Comp[], 30, FALSE)</f>
        <v>0</v>
      </c>
      <c r="AF348">
        <f>VLOOKUP(Table56[[#This Row],[Shortname]], Comp[], 31, FALSE)</f>
        <v>0</v>
      </c>
    </row>
    <row r="349" spans="1:32" x14ac:dyDescent="0.3">
      <c r="A349" s="12" t="s">
        <v>6230</v>
      </c>
      <c r="B349" s="12" t="s">
        <v>6231</v>
      </c>
      <c r="C349" s="12" t="s">
        <v>6223</v>
      </c>
      <c r="D349" s="12">
        <v>1055</v>
      </c>
      <c r="E349" s="12">
        <v>1297</v>
      </c>
      <c r="F349" s="12">
        <v>1388</v>
      </c>
      <c r="H349" s="14">
        <f>VLOOKUP(Table56[[#This Row],[Shortname]], Comp[], 7, FALSE)</f>
        <v>82.31</v>
      </c>
      <c r="I349">
        <f>VLOOKUP(Table56[[#This Row],[Shortname]], Comp[], 8, FALSE)</f>
        <v>0</v>
      </c>
      <c r="J349">
        <f>VLOOKUP(Table56[[#This Row],[Shortname]], Comp[], 9, FALSE)</f>
        <v>0</v>
      </c>
      <c r="K349">
        <f>VLOOKUP(Table56[[#This Row],[Shortname]], Comp[], 10, FALSE)</f>
        <v>0</v>
      </c>
      <c r="L349">
        <f>VLOOKUP(Table56[[#This Row],[Shortname]], Comp[], 11, FALSE)</f>
        <v>0</v>
      </c>
      <c r="M349">
        <f>VLOOKUP(Table56[[#This Row],[Shortname]], Comp[],12, FALSE)</f>
        <v>6.28</v>
      </c>
      <c r="N349">
        <f>VLOOKUP(Table56[[#This Row],[Shortname]], Comp[], 13, FALSE)</f>
        <v>0</v>
      </c>
      <c r="O349">
        <f>VLOOKUP(Table56[[#This Row],[Shortname]], Comp[], 14, FALSE)</f>
        <v>0</v>
      </c>
      <c r="P349">
        <f>VLOOKUP(Table56[[#This Row],[Shortname]], Comp[], 15, FALSE)</f>
        <v>11.41</v>
      </c>
      <c r="Q349">
        <f>VLOOKUP(Table56[[#This Row],[Shortname]], Comp[], 16, FALSE)</f>
        <v>0</v>
      </c>
      <c r="R349">
        <f>VLOOKUP(Table56[[#This Row],[Shortname]], Comp[], 17, FALSE)</f>
        <v>0</v>
      </c>
      <c r="S349">
        <f>VLOOKUP(Table56[[#This Row],[Shortname]], Comp[], 18, FALSE)</f>
        <v>0</v>
      </c>
      <c r="T349">
        <f>VLOOKUP(Table56[[#This Row],[Shortname]], Comp[], 19, FALSE)</f>
        <v>0</v>
      </c>
      <c r="U349">
        <f>VLOOKUP(Table56[[#This Row],[Shortname]], Comp[], 20, FALSE)</f>
        <v>0</v>
      </c>
      <c r="V349">
        <f>VLOOKUP(Table56[[#This Row],[Shortname]], Comp[], 21, FALSE)</f>
        <v>0</v>
      </c>
      <c r="W349">
        <f>VLOOKUP(Table56[[#This Row],[Shortname]], Comp[], 22, FALSE)</f>
        <v>0</v>
      </c>
      <c r="X349">
        <f>VLOOKUP(Table56[[#This Row],[Shortname]], Comp[], 23, FALSE)</f>
        <v>0</v>
      </c>
      <c r="Y349">
        <f>VLOOKUP(Table56[[#This Row],[Shortname]], Comp[], 24, FALSE)</f>
        <v>0</v>
      </c>
      <c r="Z349">
        <f>VLOOKUP(Table56[[#This Row],[Shortname]], Comp[], 25, FALSE)</f>
        <v>0</v>
      </c>
      <c r="AA349">
        <f>VLOOKUP(Table56[[#This Row],[Shortname]], Comp[], 26, FALSE)</f>
        <v>0</v>
      </c>
      <c r="AB349">
        <f>VLOOKUP(Table56[[#This Row],[Shortname]], Comp[], 27, FALSE)</f>
        <v>0</v>
      </c>
      <c r="AC349">
        <f>VLOOKUP(Table56[[#This Row],[Shortname]], Comp[], 28, FALSE)</f>
        <v>0</v>
      </c>
      <c r="AD349">
        <f>VLOOKUP(Table56[[#This Row],[Shortname]], Comp[], 29, FALSE)</f>
        <v>0</v>
      </c>
      <c r="AE349">
        <f>VLOOKUP(Table56[[#This Row],[Shortname]], Comp[], 30, FALSE)</f>
        <v>0</v>
      </c>
      <c r="AF349">
        <f>VLOOKUP(Table56[[#This Row],[Shortname]], Comp[], 31, FALSE)</f>
        <v>0</v>
      </c>
    </row>
    <row r="350" spans="1:32" x14ac:dyDescent="0.3">
      <c r="A350" s="12" t="s">
        <v>6258</v>
      </c>
      <c r="B350" s="12" t="s">
        <v>6259</v>
      </c>
      <c r="C350" s="12" t="s">
        <v>6260</v>
      </c>
      <c r="D350" s="12">
        <v>1164</v>
      </c>
      <c r="E350" s="12">
        <v>1301</v>
      </c>
      <c r="F350" s="12">
        <v>1359</v>
      </c>
      <c r="H350" s="14">
        <f>VLOOKUP(Table56[[#This Row],[Shortname]], Comp[], 7, FALSE)</f>
        <v>36.199999999999996</v>
      </c>
      <c r="I350">
        <f>VLOOKUP(Table56[[#This Row],[Shortname]], Comp[], 8, FALSE)</f>
        <v>36.1</v>
      </c>
      <c r="J350">
        <f>VLOOKUP(Table56[[#This Row],[Shortname]], Comp[], 9, FALSE)</f>
        <v>13.1</v>
      </c>
      <c r="K350">
        <f>VLOOKUP(Table56[[#This Row],[Shortname]], Comp[], 10, FALSE)</f>
        <v>7.6</v>
      </c>
      <c r="L350">
        <f>VLOOKUP(Table56[[#This Row],[Shortname]], Comp[], 11, FALSE)</f>
        <v>3</v>
      </c>
      <c r="M350">
        <f>VLOOKUP(Table56[[#This Row],[Shortname]], Comp[],12, FALSE)</f>
        <v>3.9</v>
      </c>
      <c r="N350">
        <f>VLOOKUP(Table56[[#This Row],[Shortname]], Comp[], 13, FALSE)</f>
        <v>0</v>
      </c>
      <c r="O350">
        <f>VLOOKUP(Table56[[#This Row],[Shortname]], Comp[], 14, FALSE)</f>
        <v>0</v>
      </c>
      <c r="P350">
        <f>VLOOKUP(Table56[[#This Row],[Shortname]], Comp[], 15, FALSE)</f>
        <v>0</v>
      </c>
      <c r="Q350">
        <f>VLOOKUP(Table56[[#This Row],[Shortname]], Comp[], 16, FALSE)</f>
        <v>0.1</v>
      </c>
      <c r="R350">
        <f>VLOOKUP(Table56[[#This Row],[Shortname]], Comp[], 17, FALSE)</f>
        <v>0</v>
      </c>
      <c r="S350">
        <f>VLOOKUP(Table56[[#This Row],[Shortname]], Comp[], 18, FALSE)</f>
        <v>0</v>
      </c>
      <c r="T350">
        <f>VLOOKUP(Table56[[#This Row],[Shortname]], Comp[], 19, FALSE)</f>
        <v>0</v>
      </c>
      <c r="U350">
        <f>VLOOKUP(Table56[[#This Row],[Shortname]], Comp[], 20, FALSE)</f>
        <v>0</v>
      </c>
      <c r="V350">
        <f>VLOOKUP(Table56[[#This Row],[Shortname]], Comp[], 21, FALSE)</f>
        <v>0</v>
      </c>
      <c r="W350">
        <f>VLOOKUP(Table56[[#This Row],[Shortname]], Comp[], 22, FALSE)</f>
        <v>0</v>
      </c>
      <c r="X350">
        <f>VLOOKUP(Table56[[#This Row],[Shortname]], Comp[], 23, FALSE)</f>
        <v>0</v>
      </c>
      <c r="Y350">
        <f>VLOOKUP(Table56[[#This Row],[Shortname]], Comp[], 24, FALSE)</f>
        <v>0</v>
      </c>
      <c r="Z350">
        <f>VLOOKUP(Table56[[#This Row],[Shortname]], Comp[], 25, FALSE)</f>
        <v>0</v>
      </c>
      <c r="AA350">
        <f>VLOOKUP(Table56[[#This Row],[Shortname]], Comp[], 26, FALSE)</f>
        <v>0</v>
      </c>
      <c r="AB350">
        <f>VLOOKUP(Table56[[#This Row],[Shortname]], Comp[], 27, FALSE)</f>
        <v>0</v>
      </c>
      <c r="AC350">
        <f>VLOOKUP(Table56[[#This Row],[Shortname]], Comp[], 28, FALSE)</f>
        <v>0</v>
      </c>
      <c r="AD350">
        <f>VLOOKUP(Table56[[#This Row],[Shortname]], Comp[], 29, FALSE)</f>
        <v>0</v>
      </c>
      <c r="AE350">
        <f>VLOOKUP(Table56[[#This Row],[Shortname]], Comp[], 30, FALSE)</f>
        <v>0</v>
      </c>
      <c r="AF350">
        <f>VLOOKUP(Table56[[#This Row],[Shortname]], Comp[], 31, FALSE)</f>
        <v>0</v>
      </c>
    </row>
    <row r="351" spans="1:32" x14ac:dyDescent="0.3">
      <c r="A351" s="12" t="s">
        <v>6264</v>
      </c>
      <c r="B351" s="12" t="s">
        <v>6265</v>
      </c>
      <c r="C351" s="12" t="s">
        <v>6266</v>
      </c>
      <c r="D351" s="12">
        <v>1040</v>
      </c>
      <c r="E351" s="12">
        <v>1384</v>
      </c>
      <c r="F351" s="12">
        <v>1412</v>
      </c>
      <c r="H351" s="14">
        <f>VLOOKUP(Table56[[#This Row],[Shortname]], Comp[], 7, FALSE)</f>
        <v>36.700000000000003</v>
      </c>
      <c r="I351">
        <f>VLOOKUP(Table56[[#This Row],[Shortname]], Comp[], 8, FALSE)</f>
        <v>37.299999999999997</v>
      </c>
      <c r="J351">
        <f>VLOOKUP(Table56[[#This Row],[Shortname]], Comp[], 9, FALSE)</f>
        <v>9.6</v>
      </c>
      <c r="K351">
        <f>VLOOKUP(Table56[[#This Row],[Shortname]], Comp[], 10, FALSE)</f>
        <v>7.6</v>
      </c>
      <c r="L351">
        <f>VLOOKUP(Table56[[#This Row],[Shortname]], Comp[], 11, FALSE)</f>
        <v>2.1</v>
      </c>
      <c r="M351">
        <f>VLOOKUP(Table56[[#This Row],[Shortname]], Comp[],12, FALSE)</f>
        <v>0.8</v>
      </c>
      <c r="N351">
        <f>VLOOKUP(Table56[[#This Row],[Shortname]], Comp[], 13, FALSE)</f>
        <v>0</v>
      </c>
      <c r="O351">
        <f>VLOOKUP(Table56[[#This Row],[Shortname]], Comp[], 14, FALSE)</f>
        <v>0</v>
      </c>
      <c r="P351">
        <f>VLOOKUP(Table56[[#This Row],[Shortname]], Comp[], 15, FALSE)</f>
        <v>0</v>
      </c>
      <c r="Q351">
        <f>VLOOKUP(Table56[[#This Row],[Shortname]], Comp[], 16, FALSE)</f>
        <v>5.9</v>
      </c>
      <c r="R351">
        <f>VLOOKUP(Table56[[#This Row],[Shortname]], Comp[], 17, FALSE)</f>
        <v>0</v>
      </c>
      <c r="S351">
        <f>VLOOKUP(Table56[[#This Row],[Shortname]], Comp[], 18, FALSE)</f>
        <v>0</v>
      </c>
      <c r="T351">
        <f>VLOOKUP(Table56[[#This Row],[Shortname]], Comp[], 19, FALSE)</f>
        <v>0</v>
      </c>
      <c r="U351">
        <f>VLOOKUP(Table56[[#This Row],[Shortname]], Comp[], 20, FALSE)</f>
        <v>0</v>
      </c>
      <c r="V351">
        <f>VLOOKUP(Table56[[#This Row],[Shortname]], Comp[], 21, FALSE)</f>
        <v>0</v>
      </c>
      <c r="W351">
        <f>VLOOKUP(Table56[[#This Row],[Shortname]], Comp[], 22, FALSE)</f>
        <v>0</v>
      </c>
      <c r="X351">
        <f>VLOOKUP(Table56[[#This Row],[Shortname]], Comp[], 23, FALSE)</f>
        <v>0</v>
      </c>
      <c r="Y351">
        <f>VLOOKUP(Table56[[#This Row],[Shortname]], Comp[], 24, FALSE)</f>
        <v>0</v>
      </c>
      <c r="Z351">
        <f>VLOOKUP(Table56[[#This Row],[Shortname]], Comp[], 25, FALSE)</f>
        <v>0</v>
      </c>
      <c r="AA351">
        <f>VLOOKUP(Table56[[#This Row],[Shortname]], Comp[], 26, FALSE)</f>
        <v>0</v>
      </c>
      <c r="AB351">
        <f>VLOOKUP(Table56[[#This Row],[Shortname]], Comp[], 27, FALSE)</f>
        <v>0</v>
      </c>
      <c r="AC351">
        <f>VLOOKUP(Table56[[#This Row],[Shortname]], Comp[], 28, FALSE)</f>
        <v>0</v>
      </c>
      <c r="AD351">
        <f>VLOOKUP(Table56[[#This Row],[Shortname]], Comp[], 29, FALSE)</f>
        <v>0</v>
      </c>
      <c r="AE351">
        <f>VLOOKUP(Table56[[#This Row],[Shortname]], Comp[], 30, FALSE)</f>
        <v>0</v>
      </c>
      <c r="AF351">
        <f>VLOOKUP(Table56[[#This Row],[Shortname]], Comp[], 31, FALSE)</f>
        <v>0</v>
      </c>
    </row>
    <row r="352" spans="1:32" x14ac:dyDescent="0.3">
      <c r="A352" s="12" t="s">
        <v>6270</v>
      </c>
      <c r="B352" s="12" t="s">
        <v>6271</v>
      </c>
      <c r="C352" s="12" t="s">
        <v>6272</v>
      </c>
      <c r="D352" s="12">
        <v>985</v>
      </c>
      <c r="E352" s="12">
        <v>1399</v>
      </c>
      <c r="F352" s="12">
        <v>1427</v>
      </c>
      <c r="H352" s="14">
        <f>VLOOKUP(Table56[[#This Row],[Shortname]], Comp[], 7, FALSE)</f>
        <v>36.5</v>
      </c>
      <c r="I352">
        <f>VLOOKUP(Table56[[#This Row],[Shortname]], Comp[], 8, FALSE)</f>
        <v>38.299999999999997</v>
      </c>
      <c r="J352">
        <f>VLOOKUP(Table56[[#This Row],[Shortname]], Comp[], 9, FALSE)</f>
        <v>8.1</v>
      </c>
      <c r="K352">
        <f>VLOOKUP(Table56[[#This Row],[Shortname]], Comp[], 10, FALSE)</f>
        <v>7.6</v>
      </c>
      <c r="L352">
        <f>VLOOKUP(Table56[[#This Row],[Shortname]], Comp[], 11, FALSE)</f>
        <v>2.6</v>
      </c>
      <c r="M352">
        <f>VLOOKUP(Table56[[#This Row],[Shortname]], Comp[],12, FALSE)</f>
        <v>0</v>
      </c>
      <c r="N352">
        <f>VLOOKUP(Table56[[#This Row],[Shortname]], Comp[], 13, FALSE)</f>
        <v>0</v>
      </c>
      <c r="O352">
        <f>VLOOKUP(Table56[[#This Row],[Shortname]], Comp[], 14, FALSE)</f>
        <v>0</v>
      </c>
      <c r="P352">
        <f>VLOOKUP(Table56[[#This Row],[Shortname]], Comp[], 15, FALSE)</f>
        <v>0</v>
      </c>
      <c r="Q352">
        <f>VLOOKUP(Table56[[#This Row],[Shortname]], Comp[], 16, FALSE)</f>
        <v>6.9</v>
      </c>
      <c r="R352">
        <f>VLOOKUP(Table56[[#This Row],[Shortname]], Comp[], 17, FALSE)</f>
        <v>0</v>
      </c>
      <c r="S352">
        <f>VLOOKUP(Table56[[#This Row],[Shortname]], Comp[], 18, FALSE)</f>
        <v>0</v>
      </c>
      <c r="T352">
        <f>VLOOKUP(Table56[[#This Row],[Shortname]], Comp[], 19, FALSE)</f>
        <v>0</v>
      </c>
      <c r="U352">
        <f>VLOOKUP(Table56[[#This Row],[Shortname]], Comp[], 20, FALSE)</f>
        <v>0</v>
      </c>
      <c r="V352">
        <f>VLOOKUP(Table56[[#This Row],[Shortname]], Comp[], 21, FALSE)</f>
        <v>0</v>
      </c>
      <c r="W352">
        <f>VLOOKUP(Table56[[#This Row],[Shortname]], Comp[], 22, FALSE)</f>
        <v>0</v>
      </c>
      <c r="X352">
        <f>VLOOKUP(Table56[[#This Row],[Shortname]], Comp[], 23, FALSE)</f>
        <v>0</v>
      </c>
      <c r="Y352">
        <f>VLOOKUP(Table56[[#This Row],[Shortname]], Comp[], 24, FALSE)</f>
        <v>0</v>
      </c>
      <c r="Z352">
        <f>VLOOKUP(Table56[[#This Row],[Shortname]], Comp[], 25, FALSE)</f>
        <v>0</v>
      </c>
      <c r="AA352">
        <f>VLOOKUP(Table56[[#This Row],[Shortname]], Comp[], 26, FALSE)</f>
        <v>0</v>
      </c>
      <c r="AB352">
        <f>VLOOKUP(Table56[[#This Row],[Shortname]], Comp[], 27, FALSE)</f>
        <v>0</v>
      </c>
      <c r="AC352">
        <f>VLOOKUP(Table56[[#This Row],[Shortname]], Comp[], 28, FALSE)</f>
        <v>0</v>
      </c>
      <c r="AD352">
        <f>VLOOKUP(Table56[[#This Row],[Shortname]], Comp[], 29, FALSE)</f>
        <v>0</v>
      </c>
      <c r="AE352">
        <f>VLOOKUP(Table56[[#This Row],[Shortname]], Comp[], 30, FALSE)</f>
        <v>0</v>
      </c>
      <c r="AF352">
        <f>VLOOKUP(Table56[[#This Row],[Shortname]], Comp[], 31, FALSE)</f>
        <v>0</v>
      </c>
    </row>
    <row r="353" spans="1:32" x14ac:dyDescent="0.3">
      <c r="A353" s="12" t="s">
        <v>6299</v>
      </c>
      <c r="B353" s="12" t="s">
        <v>1813</v>
      </c>
      <c r="C353" s="12" t="s">
        <v>6300</v>
      </c>
      <c r="D353" s="12"/>
      <c r="E353" s="12">
        <v>1270</v>
      </c>
      <c r="F353" s="12">
        <v>1357</v>
      </c>
      <c r="H353" s="14">
        <f>VLOOKUP(Table56[[#This Row],[Shortname]], Comp[], 7, FALSE)</f>
        <v>39.679999999999993</v>
      </c>
      <c r="I353">
        <f>VLOOKUP(Table56[[#This Row],[Shortname]], Comp[], 8, FALSE)</f>
        <v>35.29</v>
      </c>
      <c r="J353">
        <f>VLOOKUP(Table56[[#This Row],[Shortname]], Comp[], 9, FALSE)</f>
        <v>10.61</v>
      </c>
      <c r="K353">
        <f>VLOOKUP(Table56[[#This Row],[Shortname]], Comp[], 10, FALSE)</f>
        <v>5.25</v>
      </c>
      <c r="L353">
        <f>VLOOKUP(Table56[[#This Row],[Shortname]], Comp[], 11, FALSE)</f>
        <v>1.95</v>
      </c>
      <c r="M353">
        <f>VLOOKUP(Table56[[#This Row],[Shortname]], Comp[],12, FALSE)</f>
        <v>1.02</v>
      </c>
      <c r="N353">
        <f>VLOOKUP(Table56[[#This Row],[Shortname]], Comp[], 13, FALSE)</f>
        <v>3.36</v>
      </c>
      <c r="O353">
        <f>VLOOKUP(Table56[[#This Row],[Shortname]], Comp[], 14, FALSE)</f>
        <v>0</v>
      </c>
      <c r="P353">
        <f>VLOOKUP(Table56[[#This Row],[Shortname]], Comp[], 15, FALSE)</f>
        <v>0.95</v>
      </c>
      <c r="Q353">
        <f>VLOOKUP(Table56[[#This Row],[Shortname]], Comp[], 16, FALSE)</f>
        <v>1.89</v>
      </c>
      <c r="R353">
        <f>VLOOKUP(Table56[[#This Row],[Shortname]], Comp[], 17, FALSE)</f>
        <v>0</v>
      </c>
      <c r="S353">
        <f>VLOOKUP(Table56[[#This Row],[Shortname]], Comp[], 18, FALSE)</f>
        <v>0</v>
      </c>
      <c r="T353">
        <f>VLOOKUP(Table56[[#This Row],[Shortname]], Comp[], 19, FALSE)</f>
        <v>0</v>
      </c>
      <c r="U353">
        <f>VLOOKUP(Table56[[#This Row],[Shortname]], Comp[], 20, FALSE)</f>
        <v>0</v>
      </c>
      <c r="V353">
        <f>VLOOKUP(Table56[[#This Row],[Shortname]], Comp[], 21, FALSE)</f>
        <v>0</v>
      </c>
      <c r="W353">
        <f>VLOOKUP(Table56[[#This Row],[Shortname]], Comp[], 22, FALSE)</f>
        <v>0</v>
      </c>
      <c r="X353">
        <f>VLOOKUP(Table56[[#This Row],[Shortname]], Comp[], 23, FALSE)</f>
        <v>0</v>
      </c>
      <c r="Y353">
        <f>VLOOKUP(Table56[[#This Row],[Shortname]], Comp[], 24, FALSE)</f>
        <v>0</v>
      </c>
      <c r="Z353">
        <f>VLOOKUP(Table56[[#This Row],[Shortname]], Comp[], 25, FALSE)</f>
        <v>0</v>
      </c>
      <c r="AA353">
        <f>VLOOKUP(Table56[[#This Row],[Shortname]], Comp[], 26, FALSE)</f>
        <v>0</v>
      </c>
      <c r="AB353">
        <f>VLOOKUP(Table56[[#This Row],[Shortname]], Comp[], 27, FALSE)</f>
        <v>0</v>
      </c>
      <c r="AC353">
        <f>VLOOKUP(Table56[[#This Row],[Shortname]], Comp[], 28, FALSE)</f>
        <v>0</v>
      </c>
      <c r="AD353">
        <f>VLOOKUP(Table56[[#This Row],[Shortname]], Comp[], 29, FALSE)</f>
        <v>0</v>
      </c>
      <c r="AE353">
        <f>VLOOKUP(Table56[[#This Row],[Shortname]], Comp[], 30, FALSE)</f>
        <v>0</v>
      </c>
      <c r="AF353">
        <f>VLOOKUP(Table56[[#This Row],[Shortname]], Comp[], 31, FALSE)</f>
        <v>0</v>
      </c>
    </row>
    <row r="354" spans="1:32" x14ac:dyDescent="0.3">
      <c r="A354" s="12" t="s">
        <v>6317</v>
      </c>
      <c r="B354" s="12" t="s">
        <v>4563</v>
      </c>
      <c r="C354" s="12" t="s">
        <v>6318</v>
      </c>
      <c r="D354" s="12"/>
      <c r="E354" s="12">
        <v>1249</v>
      </c>
      <c r="F354" s="12">
        <v>1345</v>
      </c>
      <c r="H354" s="14">
        <f>VLOOKUP(Table56[[#This Row],[Shortname]], Comp[], 7, FALSE)</f>
        <v>38.930000000000007</v>
      </c>
      <c r="I354">
        <f>VLOOKUP(Table56[[#This Row],[Shortname]], Comp[], 8, FALSE)</f>
        <v>35.6</v>
      </c>
      <c r="J354">
        <f>VLOOKUP(Table56[[#This Row],[Shortname]], Comp[], 9, FALSE)</f>
        <v>10.199999999999999</v>
      </c>
      <c r="K354">
        <f>VLOOKUP(Table56[[#This Row],[Shortname]], Comp[], 10, FALSE)</f>
        <v>5.39</v>
      </c>
      <c r="L354">
        <f>VLOOKUP(Table56[[#This Row],[Shortname]], Comp[], 11, FALSE)</f>
        <v>2</v>
      </c>
      <c r="M354">
        <f>VLOOKUP(Table56[[#This Row],[Shortname]], Comp[],12, FALSE)</f>
        <v>0.9</v>
      </c>
      <c r="N354">
        <f>VLOOKUP(Table56[[#This Row],[Shortname]], Comp[], 13, FALSE)</f>
        <v>3.54</v>
      </c>
      <c r="O354">
        <f>VLOOKUP(Table56[[#This Row],[Shortname]], Comp[], 14, FALSE)</f>
        <v>0</v>
      </c>
      <c r="P354">
        <f>VLOOKUP(Table56[[#This Row],[Shortname]], Comp[], 15, FALSE)</f>
        <v>0.96</v>
      </c>
      <c r="Q354">
        <f>VLOOKUP(Table56[[#This Row],[Shortname]], Comp[], 16, FALSE)</f>
        <v>1.94</v>
      </c>
      <c r="R354">
        <f>VLOOKUP(Table56[[#This Row],[Shortname]], Comp[], 17, FALSE)</f>
        <v>0</v>
      </c>
      <c r="S354">
        <f>VLOOKUP(Table56[[#This Row],[Shortname]], Comp[], 18, FALSE)</f>
        <v>0</v>
      </c>
      <c r="T354">
        <f>VLOOKUP(Table56[[#This Row],[Shortname]], Comp[], 19, FALSE)</f>
        <v>0.54</v>
      </c>
      <c r="U354">
        <f>VLOOKUP(Table56[[#This Row],[Shortname]], Comp[], 20, FALSE)</f>
        <v>0</v>
      </c>
      <c r="V354">
        <f>VLOOKUP(Table56[[#This Row],[Shortname]], Comp[], 21, FALSE)</f>
        <v>0</v>
      </c>
      <c r="W354">
        <f>VLOOKUP(Table56[[#This Row],[Shortname]], Comp[], 22, FALSE)</f>
        <v>0</v>
      </c>
      <c r="X354">
        <f>VLOOKUP(Table56[[#This Row],[Shortname]], Comp[], 23, FALSE)</f>
        <v>0</v>
      </c>
      <c r="Y354">
        <f>VLOOKUP(Table56[[#This Row],[Shortname]], Comp[], 24, FALSE)</f>
        <v>0</v>
      </c>
      <c r="Z354">
        <f>VLOOKUP(Table56[[#This Row],[Shortname]], Comp[], 25, FALSE)</f>
        <v>0</v>
      </c>
      <c r="AA354">
        <f>VLOOKUP(Table56[[#This Row],[Shortname]], Comp[], 26, FALSE)</f>
        <v>0</v>
      </c>
      <c r="AB354">
        <f>VLOOKUP(Table56[[#This Row],[Shortname]], Comp[], 27, FALSE)</f>
        <v>0</v>
      </c>
      <c r="AC354">
        <f>VLOOKUP(Table56[[#This Row],[Shortname]], Comp[], 28, FALSE)</f>
        <v>0</v>
      </c>
      <c r="AD354">
        <f>VLOOKUP(Table56[[#This Row],[Shortname]], Comp[], 29, FALSE)</f>
        <v>0</v>
      </c>
      <c r="AE354">
        <f>VLOOKUP(Table56[[#This Row],[Shortname]], Comp[], 30, FALSE)</f>
        <v>0</v>
      </c>
      <c r="AF354">
        <f>VLOOKUP(Table56[[#This Row],[Shortname]], Comp[], 31, FALSE)</f>
        <v>0</v>
      </c>
    </row>
    <row r="355" spans="1:32" x14ac:dyDescent="0.3">
      <c r="A355" s="12" t="s">
        <v>6341</v>
      </c>
      <c r="B355" s="12" t="s">
        <v>6342</v>
      </c>
      <c r="C355" s="12" t="s">
        <v>6343</v>
      </c>
      <c r="D355" s="12"/>
      <c r="E355" s="12">
        <v>1272</v>
      </c>
      <c r="F355" s="12">
        <v>1360</v>
      </c>
      <c r="H355" s="14">
        <f>VLOOKUP(Table56[[#This Row],[Shortname]], Comp[], 7, FALSE)</f>
        <v>38.490000000000009</v>
      </c>
      <c r="I355">
        <f>VLOOKUP(Table56[[#This Row],[Shortname]], Comp[], 8, FALSE)</f>
        <v>37</v>
      </c>
      <c r="J355">
        <f>VLOOKUP(Table56[[#This Row],[Shortname]], Comp[], 9, FALSE)</f>
        <v>10.220000000000001</v>
      </c>
      <c r="K355">
        <f>VLOOKUP(Table56[[#This Row],[Shortname]], Comp[], 10, FALSE)</f>
        <v>4.87</v>
      </c>
      <c r="L355">
        <f>VLOOKUP(Table56[[#This Row],[Shortname]], Comp[], 11, FALSE)</f>
        <v>1.84</v>
      </c>
      <c r="M355">
        <f>VLOOKUP(Table56[[#This Row],[Shortname]], Comp[],12, FALSE)</f>
        <v>0.98</v>
      </c>
      <c r="N355">
        <f>VLOOKUP(Table56[[#This Row],[Shortname]], Comp[], 13, FALSE)</f>
        <v>3.4</v>
      </c>
      <c r="O355">
        <f>VLOOKUP(Table56[[#This Row],[Shortname]], Comp[], 14, FALSE)</f>
        <v>0</v>
      </c>
      <c r="P355">
        <f>VLOOKUP(Table56[[#This Row],[Shortname]], Comp[], 15, FALSE)</f>
        <v>0.92</v>
      </c>
      <c r="Q355">
        <f>VLOOKUP(Table56[[#This Row],[Shortname]], Comp[], 16, FALSE)</f>
        <v>1.8</v>
      </c>
      <c r="R355">
        <f>VLOOKUP(Table56[[#This Row],[Shortname]], Comp[], 17, FALSE)</f>
        <v>0</v>
      </c>
      <c r="S355">
        <f>VLOOKUP(Table56[[#This Row],[Shortname]], Comp[], 18, FALSE)</f>
        <v>0.48</v>
      </c>
      <c r="T355">
        <f>VLOOKUP(Table56[[#This Row],[Shortname]], Comp[], 19, FALSE)</f>
        <v>0</v>
      </c>
      <c r="U355">
        <f>VLOOKUP(Table56[[#This Row],[Shortname]], Comp[], 20, FALSE)</f>
        <v>0</v>
      </c>
      <c r="V355">
        <f>VLOOKUP(Table56[[#This Row],[Shortname]], Comp[], 21, FALSE)</f>
        <v>0</v>
      </c>
      <c r="W355">
        <f>VLOOKUP(Table56[[#This Row],[Shortname]], Comp[], 22, FALSE)</f>
        <v>0</v>
      </c>
      <c r="X355">
        <f>VLOOKUP(Table56[[#This Row],[Shortname]], Comp[], 23, FALSE)</f>
        <v>0</v>
      </c>
      <c r="Y355">
        <f>VLOOKUP(Table56[[#This Row],[Shortname]], Comp[], 24, FALSE)</f>
        <v>0</v>
      </c>
      <c r="Z355">
        <f>VLOOKUP(Table56[[#This Row],[Shortname]], Comp[], 25, FALSE)</f>
        <v>0</v>
      </c>
      <c r="AA355">
        <f>VLOOKUP(Table56[[#This Row],[Shortname]], Comp[], 26, FALSE)</f>
        <v>0</v>
      </c>
      <c r="AB355">
        <f>VLOOKUP(Table56[[#This Row],[Shortname]], Comp[], 27, FALSE)</f>
        <v>0</v>
      </c>
      <c r="AC355">
        <f>VLOOKUP(Table56[[#This Row],[Shortname]], Comp[], 28, FALSE)</f>
        <v>0</v>
      </c>
      <c r="AD355">
        <f>VLOOKUP(Table56[[#This Row],[Shortname]], Comp[], 29, FALSE)</f>
        <v>0</v>
      </c>
      <c r="AE355">
        <f>VLOOKUP(Table56[[#This Row],[Shortname]], Comp[], 30, FALSE)</f>
        <v>0</v>
      </c>
      <c r="AF355">
        <f>VLOOKUP(Table56[[#This Row],[Shortname]], Comp[], 31, FALSE)</f>
        <v>0</v>
      </c>
    </row>
    <row r="356" spans="1:32" x14ac:dyDescent="0.3">
      <c r="A356" s="12" t="s">
        <v>6367</v>
      </c>
      <c r="B356" s="12" t="s">
        <v>6368</v>
      </c>
      <c r="C356" s="12" t="s">
        <v>6369</v>
      </c>
      <c r="D356" s="12">
        <v>1145</v>
      </c>
      <c r="E356" s="12">
        <v>1357</v>
      </c>
      <c r="F356" s="12">
        <v>1423</v>
      </c>
      <c r="H356" s="14">
        <f>VLOOKUP(Table56[[#This Row],[Shortname]], Comp[], 7, FALSE)</f>
        <v>42.5</v>
      </c>
      <c r="I356">
        <f>VLOOKUP(Table56[[#This Row],[Shortname]], Comp[], 8, FALSE)</f>
        <v>32</v>
      </c>
      <c r="J356">
        <f>VLOOKUP(Table56[[#This Row],[Shortname]], Comp[], 9, FALSE)</f>
        <v>8</v>
      </c>
      <c r="K356">
        <f>VLOOKUP(Table56[[#This Row],[Shortname]], Comp[], 10, FALSE)</f>
        <v>8</v>
      </c>
      <c r="L356">
        <f>VLOOKUP(Table56[[#This Row],[Shortname]], Comp[], 11, FALSE)</f>
        <v>5</v>
      </c>
      <c r="M356">
        <f>VLOOKUP(Table56[[#This Row],[Shortname]], Comp[],12, FALSE)</f>
        <v>2.5</v>
      </c>
      <c r="N356">
        <f>VLOOKUP(Table56[[#This Row],[Shortname]], Comp[], 13, FALSE)</f>
        <v>1.5</v>
      </c>
      <c r="O356">
        <f>VLOOKUP(Table56[[#This Row],[Shortname]], Comp[], 14, FALSE)</f>
        <v>0</v>
      </c>
      <c r="P356">
        <f>VLOOKUP(Table56[[#This Row],[Shortname]], Comp[], 15, FALSE)</f>
        <v>0</v>
      </c>
      <c r="Q356">
        <f>VLOOKUP(Table56[[#This Row],[Shortname]], Comp[], 16, FALSE)</f>
        <v>0</v>
      </c>
      <c r="R356">
        <f>VLOOKUP(Table56[[#This Row],[Shortname]], Comp[], 17, FALSE)</f>
        <v>0</v>
      </c>
      <c r="S356">
        <f>VLOOKUP(Table56[[#This Row],[Shortname]], Comp[], 18, FALSE)</f>
        <v>0</v>
      </c>
      <c r="T356">
        <f>VLOOKUP(Table56[[#This Row],[Shortname]], Comp[], 19, FALSE)</f>
        <v>0</v>
      </c>
      <c r="U356">
        <f>VLOOKUP(Table56[[#This Row],[Shortname]], Comp[], 20, FALSE)</f>
        <v>0</v>
      </c>
      <c r="V356">
        <f>VLOOKUP(Table56[[#This Row],[Shortname]], Comp[], 21, FALSE)</f>
        <v>0</v>
      </c>
      <c r="W356">
        <f>VLOOKUP(Table56[[#This Row],[Shortname]], Comp[], 22, FALSE)</f>
        <v>0.4</v>
      </c>
      <c r="X356">
        <f>VLOOKUP(Table56[[#This Row],[Shortname]], Comp[], 23, FALSE)</f>
        <v>0</v>
      </c>
      <c r="Y356">
        <f>VLOOKUP(Table56[[#This Row],[Shortname]], Comp[], 24, FALSE)</f>
        <v>0</v>
      </c>
      <c r="Z356">
        <f>VLOOKUP(Table56[[#This Row],[Shortname]], Comp[], 25, FALSE)</f>
        <v>0.1</v>
      </c>
      <c r="AA356">
        <f>VLOOKUP(Table56[[#This Row],[Shortname]], Comp[], 26, FALSE)</f>
        <v>0</v>
      </c>
      <c r="AB356">
        <f>VLOOKUP(Table56[[#This Row],[Shortname]], Comp[], 27, FALSE)</f>
        <v>0</v>
      </c>
      <c r="AC356">
        <f>VLOOKUP(Table56[[#This Row],[Shortname]], Comp[], 28, FALSE)</f>
        <v>0</v>
      </c>
      <c r="AD356">
        <f>VLOOKUP(Table56[[#This Row],[Shortname]], Comp[], 29, FALSE)</f>
        <v>0</v>
      </c>
      <c r="AE356">
        <f>VLOOKUP(Table56[[#This Row],[Shortname]], Comp[], 30, FALSE)</f>
        <v>0</v>
      </c>
      <c r="AF356">
        <f>VLOOKUP(Table56[[#This Row],[Shortname]], Comp[], 31, FALSE)</f>
        <v>0</v>
      </c>
    </row>
    <row r="357" spans="1:32" x14ac:dyDescent="0.3">
      <c r="A357" s="12" t="s">
        <v>6371</v>
      </c>
      <c r="B357" s="12" t="s">
        <v>6372</v>
      </c>
      <c r="C357" s="12" t="s">
        <v>6373</v>
      </c>
      <c r="D357" s="12">
        <v>1195</v>
      </c>
      <c r="E357" s="12">
        <v>1355</v>
      </c>
      <c r="F357" s="12">
        <v>1417</v>
      </c>
      <c r="H357" s="14">
        <f>VLOOKUP(Table56[[#This Row],[Shortname]], Comp[], 7, FALSE)</f>
        <v>30</v>
      </c>
      <c r="I357">
        <f>VLOOKUP(Table56[[#This Row],[Shortname]], Comp[], 8, FALSE)</f>
        <v>44.5</v>
      </c>
      <c r="J357">
        <f>VLOOKUP(Table56[[#This Row],[Shortname]], Comp[], 9, FALSE)</f>
        <v>8</v>
      </c>
      <c r="K357">
        <f>VLOOKUP(Table56[[#This Row],[Shortname]], Comp[], 10, FALSE)</f>
        <v>8</v>
      </c>
      <c r="L357">
        <f>VLOOKUP(Table56[[#This Row],[Shortname]], Comp[], 11, FALSE)</f>
        <v>5</v>
      </c>
      <c r="M357">
        <f>VLOOKUP(Table56[[#This Row],[Shortname]], Comp[],12, FALSE)</f>
        <v>2.5</v>
      </c>
      <c r="N357">
        <f>VLOOKUP(Table56[[#This Row],[Shortname]], Comp[], 13, FALSE)</f>
        <v>1.5</v>
      </c>
      <c r="O357">
        <f>VLOOKUP(Table56[[#This Row],[Shortname]], Comp[], 14, FALSE)</f>
        <v>0</v>
      </c>
      <c r="P357">
        <f>VLOOKUP(Table56[[#This Row],[Shortname]], Comp[], 15, FALSE)</f>
        <v>0</v>
      </c>
      <c r="Q357">
        <f>VLOOKUP(Table56[[#This Row],[Shortname]], Comp[], 16, FALSE)</f>
        <v>0</v>
      </c>
      <c r="R357">
        <f>VLOOKUP(Table56[[#This Row],[Shortname]], Comp[], 17, FALSE)</f>
        <v>0</v>
      </c>
      <c r="S357">
        <f>VLOOKUP(Table56[[#This Row],[Shortname]], Comp[], 18, FALSE)</f>
        <v>0</v>
      </c>
      <c r="T357">
        <f>VLOOKUP(Table56[[#This Row],[Shortname]], Comp[], 19, FALSE)</f>
        <v>0</v>
      </c>
      <c r="U357">
        <f>VLOOKUP(Table56[[#This Row],[Shortname]], Comp[], 20, FALSE)</f>
        <v>0</v>
      </c>
      <c r="V357">
        <f>VLOOKUP(Table56[[#This Row],[Shortname]], Comp[], 21, FALSE)</f>
        <v>0</v>
      </c>
      <c r="W357">
        <f>VLOOKUP(Table56[[#This Row],[Shortname]], Comp[], 22, FALSE)</f>
        <v>0.4</v>
      </c>
      <c r="X357">
        <f>VLOOKUP(Table56[[#This Row],[Shortname]], Comp[], 23, FALSE)</f>
        <v>0</v>
      </c>
      <c r="Y357">
        <f>VLOOKUP(Table56[[#This Row],[Shortname]], Comp[], 24, FALSE)</f>
        <v>0</v>
      </c>
      <c r="Z357">
        <f>VLOOKUP(Table56[[#This Row],[Shortname]], Comp[], 25, FALSE)</f>
        <v>0.1</v>
      </c>
      <c r="AA357">
        <f>VLOOKUP(Table56[[#This Row],[Shortname]], Comp[], 26, FALSE)</f>
        <v>0</v>
      </c>
      <c r="AB357">
        <f>VLOOKUP(Table56[[#This Row],[Shortname]], Comp[], 27, FALSE)</f>
        <v>0</v>
      </c>
      <c r="AC357">
        <f>VLOOKUP(Table56[[#This Row],[Shortname]], Comp[], 28, FALSE)</f>
        <v>0</v>
      </c>
      <c r="AD357">
        <f>VLOOKUP(Table56[[#This Row],[Shortname]], Comp[], 29, FALSE)</f>
        <v>0</v>
      </c>
      <c r="AE357">
        <f>VLOOKUP(Table56[[#This Row],[Shortname]], Comp[], 30, FALSE)</f>
        <v>0</v>
      </c>
      <c r="AF357">
        <f>VLOOKUP(Table56[[#This Row],[Shortname]], Comp[], 31, FALSE)</f>
        <v>0</v>
      </c>
    </row>
    <row r="358" spans="1:32" x14ac:dyDescent="0.3">
      <c r="A358" s="12" t="s">
        <v>6429</v>
      </c>
      <c r="B358" s="12" t="s">
        <v>6430</v>
      </c>
      <c r="C358" s="12" t="s">
        <v>6431</v>
      </c>
      <c r="D358" s="12">
        <v>1184</v>
      </c>
      <c r="E358" s="12">
        <v>1318</v>
      </c>
      <c r="F358" s="12">
        <v>1377</v>
      </c>
      <c r="H358" s="14">
        <f>VLOOKUP(Table56[[#This Row],[Shortname]], Comp[], 7, FALSE)</f>
        <v>52.410000000000004</v>
      </c>
      <c r="I358">
        <f>VLOOKUP(Table56[[#This Row],[Shortname]], Comp[], 8, FALSE)</f>
        <v>17.489999999999998</v>
      </c>
      <c r="J358">
        <f>VLOOKUP(Table56[[#This Row],[Shortname]], Comp[], 9, FALSE)</f>
        <v>5.42</v>
      </c>
      <c r="K358">
        <f>VLOOKUP(Table56[[#This Row],[Shortname]], Comp[], 10, FALSE)</f>
        <v>4.17</v>
      </c>
      <c r="L358">
        <f>VLOOKUP(Table56[[#This Row],[Shortname]], Comp[], 11, FALSE)</f>
        <v>0</v>
      </c>
      <c r="M358">
        <f>VLOOKUP(Table56[[#This Row],[Shortname]], Comp[],12, FALSE)</f>
        <v>2.0299999999999998</v>
      </c>
      <c r="N358">
        <f>VLOOKUP(Table56[[#This Row],[Shortname]], Comp[], 13, FALSE)</f>
        <v>1.52</v>
      </c>
      <c r="O358">
        <f>VLOOKUP(Table56[[#This Row],[Shortname]], Comp[], 14, FALSE)</f>
        <v>1.44</v>
      </c>
      <c r="P358">
        <f>VLOOKUP(Table56[[#This Row],[Shortname]], Comp[], 15, FALSE)</f>
        <v>3.08</v>
      </c>
      <c r="Q358">
        <f>VLOOKUP(Table56[[#This Row],[Shortname]], Comp[], 16, FALSE)</f>
        <v>0</v>
      </c>
      <c r="R358">
        <f>VLOOKUP(Table56[[#This Row],[Shortname]], Comp[], 17, FALSE)</f>
        <v>0</v>
      </c>
      <c r="S358">
        <f>VLOOKUP(Table56[[#This Row],[Shortname]], Comp[], 18, FALSE)</f>
        <v>0</v>
      </c>
      <c r="T358">
        <f>VLOOKUP(Table56[[#This Row],[Shortname]], Comp[], 19, FALSE)</f>
        <v>0.08</v>
      </c>
      <c r="U358">
        <f>VLOOKUP(Table56[[#This Row],[Shortname]], Comp[], 20, FALSE)</f>
        <v>0</v>
      </c>
      <c r="V358">
        <f>VLOOKUP(Table56[[#This Row],[Shortname]], Comp[], 21, FALSE)</f>
        <v>0</v>
      </c>
      <c r="W358">
        <f>VLOOKUP(Table56[[#This Row],[Shortname]], Comp[], 22, FALSE)</f>
        <v>0</v>
      </c>
      <c r="X358">
        <f>VLOOKUP(Table56[[#This Row],[Shortname]], Comp[], 23, FALSE)</f>
        <v>12.36</v>
      </c>
      <c r="Y358">
        <f>VLOOKUP(Table56[[#This Row],[Shortname]], Comp[], 24, FALSE)</f>
        <v>0</v>
      </c>
      <c r="Z358">
        <f>VLOOKUP(Table56[[#This Row],[Shortname]], Comp[], 25, FALSE)</f>
        <v>0</v>
      </c>
      <c r="AA358">
        <f>VLOOKUP(Table56[[#This Row],[Shortname]], Comp[], 26, FALSE)</f>
        <v>0</v>
      </c>
      <c r="AB358">
        <f>VLOOKUP(Table56[[#This Row],[Shortname]], Comp[], 27, FALSE)</f>
        <v>0</v>
      </c>
      <c r="AC358">
        <f>VLOOKUP(Table56[[#This Row],[Shortname]], Comp[], 28, FALSE)</f>
        <v>0</v>
      </c>
      <c r="AD358">
        <f>VLOOKUP(Table56[[#This Row],[Shortname]], Comp[], 29, FALSE)</f>
        <v>0</v>
      </c>
      <c r="AE358">
        <f>VLOOKUP(Table56[[#This Row],[Shortname]], Comp[], 30, FALSE)</f>
        <v>0</v>
      </c>
      <c r="AF358">
        <f>VLOOKUP(Table56[[#This Row],[Shortname]], Comp[], 31, FALSE)</f>
        <v>0</v>
      </c>
    </row>
    <row r="359" spans="1:32" x14ac:dyDescent="0.3">
      <c r="A359" s="12" t="s">
        <v>6435</v>
      </c>
      <c r="B359" s="12" t="s">
        <v>6436</v>
      </c>
      <c r="C359" s="12" t="s">
        <v>6431</v>
      </c>
      <c r="D359" s="12">
        <v>1189</v>
      </c>
      <c r="E359" s="12">
        <v>1313</v>
      </c>
      <c r="F359" s="12">
        <v>1377</v>
      </c>
      <c r="H359" s="14">
        <f>VLOOKUP(Table56[[#This Row],[Shortname]], Comp[], 7, FALSE)</f>
        <v>52.14</v>
      </c>
      <c r="I359">
        <f>VLOOKUP(Table56[[#This Row],[Shortname]], Comp[], 8, FALSE)</f>
        <v>15.53</v>
      </c>
      <c r="J359">
        <f>VLOOKUP(Table56[[#This Row],[Shortname]], Comp[], 9, FALSE)</f>
        <v>5.63</v>
      </c>
      <c r="K359">
        <f>VLOOKUP(Table56[[#This Row],[Shortname]], Comp[], 10, FALSE)</f>
        <v>4.18</v>
      </c>
      <c r="L359">
        <f>VLOOKUP(Table56[[#This Row],[Shortname]], Comp[], 11, FALSE)</f>
        <v>0</v>
      </c>
      <c r="M359">
        <f>VLOOKUP(Table56[[#This Row],[Shortname]], Comp[],12, FALSE)</f>
        <v>2.0699999999999998</v>
      </c>
      <c r="N359">
        <f>VLOOKUP(Table56[[#This Row],[Shortname]], Comp[], 13, FALSE)</f>
        <v>1.49</v>
      </c>
      <c r="O359">
        <f>VLOOKUP(Table56[[#This Row],[Shortname]], Comp[], 14, FALSE)</f>
        <v>1.5</v>
      </c>
      <c r="P359">
        <f>VLOOKUP(Table56[[#This Row],[Shortname]], Comp[], 15, FALSE)</f>
        <v>3.07</v>
      </c>
      <c r="Q359">
        <f>VLOOKUP(Table56[[#This Row],[Shortname]], Comp[], 16, FALSE)</f>
        <v>0</v>
      </c>
      <c r="R359">
        <f>VLOOKUP(Table56[[#This Row],[Shortname]], Comp[], 17, FALSE)</f>
        <v>0</v>
      </c>
      <c r="S359">
        <f>VLOOKUP(Table56[[#This Row],[Shortname]], Comp[], 18, FALSE)</f>
        <v>0</v>
      </c>
      <c r="T359">
        <f>VLOOKUP(Table56[[#This Row],[Shortname]], Comp[], 19, FALSE)</f>
        <v>0.08</v>
      </c>
      <c r="U359">
        <f>VLOOKUP(Table56[[#This Row],[Shortname]], Comp[], 20, FALSE)</f>
        <v>0</v>
      </c>
      <c r="V359">
        <f>VLOOKUP(Table56[[#This Row],[Shortname]], Comp[], 21, FALSE)</f>
        <v>0</v>
      </c>
      <c r="W359">
        <f>VLOOKUP(Table56[[#This Row],[Shortname]], Comp[], 22, FALSE)</f>
        <v>0</v>
      </c>
      <c r="X359">
        <f>VLOOKUP(Table56[[#This Row],[Shortname]], Comp[], 23, FALSE)</f>
        <v>14.31</v>
      </c>
      <c r="Y359">
        <f>VLOOKUP(Table56[[#This Row],[Shortname]], Comp[], 24, FALSE)</f>
        <v>0</v>
      </c>
      <c r="Z359">
        <f>VLOOKUP(Table56[[#This Row],[Shortname]], Comp[], 25, FALSE)</f>
        <v>0</v>
      </c>
      <c r="AA359">
        <f>VLOOKUP(Table56[[#This Row],[Shortname]], Comp[], 26, FALSE)</f>
        <v>0</v>
      </c>
      <c r="AB359">
        <f>VLOOKUP(Table56[[#This Row],[Shortname]], Comp[], 27, FALSE)</f>
        <v>0</v>
      </c>
      <c r="AC359">
        <f>VLOOKUP(Table56[[#This Row],[Shortname]], Comp[], 28, FALSE)</f>
        <v>0</v>
      </c>
      <c r="AD359">
        <f>VLOOKUP(Table56[[#This Row],[Shortname]], Comp[], 29, FALSE)</f>
        <v>0</v>
      </c>
      <c r="AE359">
        <f>VLOOKUP(Table56[[#This Row],[Shortname]], Comp[], 30, FALSE)</f>
        <v>0</v>
      </c>
      <c r="AF359">
        <f>VLOOKUP(Table56[[#This Row],[Shortname]], Comp[], 31, FALSE)</f>
        <v>0</v>
      </c>
    </row>
    <row r="360" spans="1:32" x14ac:dyDescent="0.3">
      <c r="A360" s="12" t="s">
        <v>6440</v>
      </c>
      <c r="B360" s="12" t="s">
        <v>6441</v>
      </c>
      <c r="C360" s="12" t="s">
        <v>6431</v>
      </c>
      <c r="D360" s="12">
        <v>1198</v>
      </c>
      <c r="E360" s="12">
        <v>1313</v>
      </c>
      <c r="F360" s="12">
        <v>1373</v>
      </c>
      <c r="H360" s="14">
        <f>VLOOKUP(Table56[[#This Row],[Shortname]], Comp[], 7, FALSE)</f>
        <v>52.13</v>
      </c>
      <c r="I360">
        <f>VLOOKUP(Table56[[#This Row],[Shortname]], Comp[], 8, FALSE)</f>
        <v>11.78</v>
      </c>
      <c r="J360">
        <f>VLOOKUP(Table56[[#This Row],[Shortname]], Comp[], 9, FALSE)</f>
        <v>5.45</v>
      </c>
      <c r="K360">
        <f>VLOOKUP(Table56[[#This Row],[Shortname]], Comp[], 10, FALSE)</f>
        <v>4.1399999999999997</v>
      </c>
      <c r="L360">
        <f>VLOOKUP(Table56[[#This Row],[Shortname]], Comp[], 11, FALSE)</f>
        <v>0</v>
      </c>
      <c r="M360">
        <f>VLOOKUP(Table56[[#This Row],[Shortname]], Comp[],12, FALSE)</f>
        <v>2.06</v>
      </c>
      <c r="N360">
        <f>VLOOKUP(Table56[[#This Row],[Shortname]], Comp[], 13, FALSE)</f>
        <v>1.52</v>
      </c>
      <c r="O360">
        <f>VLOOKUP(Table56[[#This Row],[Shortname]], Comp[], 14, FALSE)</f>
        <v>1.51</v>
      </c>
      <c r="P360">
        <f>VLOOKUP(Table56[[#This Row],[Shortname]], Comp[], 15, FALSE)</f>
        <v>3.06</v>
      </c>
      <c r="Q360">
        <f>VLOOKUP(Table56[[#This Row],[Shortname]], Comp[], 16, FALSE)</f>
        <v>0</v>
      </c>
      <c r="R360">
        <f>VLOOKUP(Table56[[#This Row],[Shortname]], Comp[], 17, FALSE)</f>
        <v>0</v>
      </c>
      <c r="S360">
        <f>VLOOKUP(Table56[[#This Row],[Shortname]], Comp[], 18, FALSE)</f>
        <v>0</v>
      </c>
      <c r="T360">
        <f>VLOOKUP(Table56[[#This Row],[Shortname]], Comp[], 19, FALSE)</f>
        <v>0.08</v>
      </c>
      <c r="U360">
        <f>VLOOKUP(Table56[[#This Row],[Shortname]], Comp[], 20, FALSE)</f>
        <v>0</v>
      </c>
      <c r="V360">
        <f>VLOOKUP(Table56[[#This Row],[Shortname]], Comp[], 21, FALSE)</f>
        <v>0</v>
      </c>
      <c r="W360">
        <f>VLOOKUP(Table56[[#This Row],[Shortname]], Comp[], 22, FALSE)</f>
        <v>0</v>
      </c>
      <c r="X360">
        <f>VLOOKUP(Table56[[#This Row],[Shortname]], Comp[], 23, FALSE)</f>
        <v>18.27</v>
      </c>
      <c r="Y360">
        <f>VLOOKUP(Table56[[#This Row],[Shortname]], Comp[], 24, FALSE)</f>
        <v>0</v>
      </c>
      <c r="Z360">
        <f>VLOOKUP(Table56[[#This Row],[Shortname]], Comp[], 25, FALSE)</f>
        <v>0</v>
      </c>
      <c r="AA360">
        <f>VLOOKUP(Table56[[#This Row],[Shortname]], Comp[], 26, FALSE)</f>
        <v>0</v>
      </c>
      <c r="AB360">
        <f>VLOOKUP(Table56[[#This Row],[Shortname]], Comp[], 27, FALSE)</f>
        <v>0</v>
      </c>
      <c r="AC360">
        <f>VLOOKUP(Table56[[#This Row],[Shortname]], Comp[], 28, FALSE)</f>
        <v>0</v>
      </c>
      <c r="AD360">
        <f>VLOOKUP(Table56[[#This Row],[Shortname]], Comp[], 29, FALSE)</f>
        <v>0</v>
      </c>
      <c r="AE360">
        <f>VLOOKUP(Table56[[#This Row],[Shortname]], Comp[], 30, FALSE)</f>
        <v>0</v>
      </c>
      <c r="AF360">
        <f>VLOOKUP(Table56[[#This Row],[Shortname]], Comp[], 31, FALSE)</f>
        <v>0</v>
      </c>
    </row>
    <row r="361" spans="1:32" x14ac:dyDescent="0.3">
      <c r="A361" s="12" t="s">
        <v>6445</v>
      </c>
      <c r="B361" s="12" t="s">
        <v>6446</v>
      </c>
      <c r="C361" s="12" t="s">
        <v>6431</v>
      </c>
      <c r="D361" s="12">
        <v>1189</v>
      </c>
      <c r="E361" s="12">
        <v>1308</v>
      </c>
      <c r="F361" s="12">
        <v>1368</v>
      </c>
      <c r="H361" s="14">
        <f>VLOOKUP(Table56[[#This Row],[Shortname]], Comp[], 7, FALSE)</f>
        <v>48.260000000000005</v>
      </c>
      <c r="I361">
        <f>VLOOKUP(Table56[[#This Row],[Shortname]], Comp[], 8, FALSE)</f>
        <v>17.440000000000001</v>
      </c>
      <c r="J361">
        <f>VLOOKUP(Table56[[#This Row],[Shortname]], Comp[], 9, FALSE)</f>
        <v>5.44</v>
      </c>
      <c r="K361">
        <f>VLOOKUP(Table56[[#This Row],[Shortname]], Comp[], 10, FALSE)</f>
        <v>8.32</v>
      </c>
      <c r="L361">
        <f>VLOOKUP(Table56[[#This Row],[Shortname]], Comp[], 11, FALSE)</f>
        <v>0</v>
      </c>
      <c r="M361">
        <f>VLOOKUP(Table56[[#This Row],[Shortname]], Comp[],12, FALSE)</f>
        <v>2.08</v>
      </c>
      <c r="N361">
        <f>VLOOKUP(Table56[[#This Row],[Shortname]], Comp[], 13, FALSE)</f>
        <v>1.55</v>
      </c>
      <c r="O361">
        <f>VLOOKUP(Table56[[#This Row],[Shortname]], Comp[], 14, FALSE)</f>
        <v>1.48</v>
      </c>
      <c r="P361">
        <f>VLOOKUP(Table56[[#This Row],[Shortname]], Comp[], 15, FALSE)</f>
        <v>3.11</v>
      </c>
      <c r="Q361">
        <f>VLOOKUP(Table56[[#This Row],[Shortname]], Comp[], 16, FALSE)</f>
        <v>0</v>
      </c>
      <c r="R361">
        <f>VLOOKUP(Table56[[#This Row],[Shortname]], Comp[], 17, FALSE)</f>
        <v>0</v>
      </c>
      <c r="S361">
        <f>VLOOKUP(Table56[[#This Row],[Shortname]], Comp[], 18, FALSE)</f>
        <v>0</v>
      </c>
      <c r="T361">
        <f>VLOOKUP(Table56[[#This Row],[Shortname]], Comp[], 19, FALSE)</f>
        <v>0.08</v>
      </c>
      <c r="U361">
        <f>VLOOKUP(Table56[[#This Row],[Shortname]], Comp[], 20, FALSE)</f>
        <v>0</v>
      </c>
      <c r="V361">
        <f>VLOOKUP(Table56[[#This Row],[Shortname]], Comp[], 21, FALSE)</f>
        <v>0</v>
      </c>
      <c r="W361">
        <f>VLOOKUP(Table56[[#This Row],[Shortname]], Comp[], 22, FALSE)</f>
        <v>0</v>
      </c>
      <c r="X361">
        <f>VLOOKUP(Table56[[#This Row],[Shortname]], Comp[], 23, FALSE)</f>
        <v>12.24</v>
      </c>
      <c r="Y361">
        <f>VLOOKUP(Table56[[#This Row],[Shortname]], Comp[], 24, FALSE)</f>
        <v>0</v>
      </c>
      <c r="Z361">
        <f>VLOOKUP(Table56[[#This Row],[Shortname]], Comp[], 25, FALSE)</f>
        <v>0</v>
      </c>
      <c r="AA361">
        <f>VLOOKUP(Table56[[#This Row],[Shortname]], Comp[], 26, FALSE)</f>
        <v>0</v>
      </c>
      <c r="AB361">
        <f>VLOOKUP(Table56[[#This Row],[Shortname]], Comp[], 27, FALSE)</f>
        <v>0</v>
      </c>
      <c r="AC361">
        <f>VLOOKUP(Table56[[#This Row],[Shortname]], Comp[], 28, FALSE)</f>
        <v>0</v>
      </c>
      <c r="AD361">
        <f>VLOOKUP(Table56[[#This Row],[Shortname]], Comp[], 29, FALSE)</f>
        <v>0</v>
      </c>
      <c r="AE361">
        <f>VLOOKUP(Table56[[#This Row],[Shortname]], Comp[], 30, FALSE)</f>
        <v>0</v>
      </c>
      <c r="AF361">
        <f>VLOOKUP(Table56[[#This Row],[Shortname]], Comp[], 31, FALSE)</f>
        <v>0</v>
      </c>
    </row>
    <row r="362" spans="1:32" x14ac:dyDescent="0.3">
      <c r="A362" s="12" t="s">
        <v>6451</v>
      </c>
      <c r="B362" s="12" t="s">
        <v>6452</v>
      </c>
      <c r="C362" s="12" t="s">
        <v>6431</v>
      </c>
      <c r="D362" s="12">
        <v>1193</v>
      </c>
      <c r="E362" s="12">
        <v>1310</v>
      </c>
      <c r="F362" s="12">
        <v>1366</v>
      </c>
      <c r="H362" s="14">
        <f>VLOOKUP(Table56[[#This Row],[Shortname]], Comp[], 7, FALSE)</f>
        <v>48.25</v>
      </c>
      <c r="I362">
        <f>VLOOKUP(Table56[[#This Row],[Shortname]], Comp[], 8, FALSE)</f>
        <v>15.59</v>
      </c>
      <c r="J362">
        <f>VLOOKUP(Table56[[#This Row],[Shortname]], Comp[], 9, FALSE)</f>
        <v>5.44</v>
      </c>
      <c r="K362">
        <f>VLOOKUP(Table56[[#This Row],[Shortname]], Comp[], 10, FALSE)</f>
        <v>8.2899999999999991</v>
      </c>
      <c r="L362">
        <f>VLOOKUP(Table56[[#This Row],[Shortname]], Comp[], 11, FALSE)</f>
        <v>0</v>
      </c>
      <c r="M362">
        <f>VLOOKUP(Table56[[#This Row],[Shortname]], Comp[],12, FALSE)</f>
        <v>2.0699999999999998</v>
      </c>
      <c r="N362">
        <f>VLOOKUP(Table56[[#This Row],[Shortname]], Comp[], 13, FALSE)</f>
        <v>1.51</v>
      </c>
      <c r="O362">
        <f>VLOOKUP(Table56[[#This Row],[Shortname]], Comp[], 14, FALSE)</f>
        <v>1.45</v>
      </c>
      <c r="P362">
        <f>VLOOKUP(Table56[[#This Row],[Shortname]], Comp[], 15, FALSE)</f>
        <v>3.1</v>
      </c>
      <c r="Q362">
        <f>VLOOKUP(Table56[[#This Row],[Shortname]], Comp[], 16, FALSE)</f>
        <v>0</v>
      </c>
      <c r="R362">
        <f>VLOOKUP(Table56[[#This Row],[Shortname]], Comp[], 17, FALSE)</f>
        <v>0</v>
      </c>
      <c r="S362">
        <f>VLOOKUP(Table56[[#This Row],[Shortname]], Comp[], 18, FALSE)</f>
        <v>0</v>
      </c>
      <c r="T362">
        <f>VLOOKUP(Table56[[#This Row],[Shortname]], Comp[], 19, FALSE)</f>
        <v>0.08</v>
      </c>
      <c r="U362">
        <f>VLOOKUP(Table56[[#This Row],[Shortname]], Comp[], 20, FALSE)</f>
        <v>0</v>
      </c>
      <c r="V362">
        <f>VLOOKUP(Table56[[#This Row],[Shortname]], Comp[], 21, FALSE)</f>
        <v>0</v>
      </c>
      <c r="W362">
        <f>VLOOKUP(Table56[[#This Row],[Shortname]], Comp[], 22, FALSE)</f>
        <v>0</v>
      </c>
      <c r="X362">
        <f>VLOOKUP(Table56[[#This Row],[Shortname]], Comp[], 23, FALSE)</f>
        <v>14.22</v>
      </c>
      <c r="Y362">
        <f>VLOOKUP(Table56[[#This Row],[Shortname]], Comp[], 24, FALSE)</f>
        <v>0</v>
      </c>
      <c r="Z362">
        <f>VLOOKUP(Table56[[#This Row],[Shortname]], Comp[], 25, FALSE)</f>
        <v>0</v>
      </c>
      <c r="AA362">
        <f>VLOOKUP(Table56[[#This Row],[Shortname]], Comp[], 26, FALSE)</f>
        <v>0</v>
      </c>
      <c r="AB362">
        <f>VLOOKUP(Table56[[#This Row],[Shortname]], Comp[], 27, FALSE)</f>
        <v>0</v>
      </c>
      <c r="AC362">
        <f>VLOOKUP(Table56[[#This Row],[Shortname]], Comp[], 28, FALSE)</f>
        <v>0</v>
      </c>
      <c r="AD362">
        <f>VLOOKUP(Table56[[#This Row],[Shortname]], Comp[], 29, FALSE)</f>
        <v>0</v>
      </c>
      <c r="AE362">
        <f>VLOOKUP(Table56[[#This Row],[Shortname]], Comp[], 30, FALSE)</f>
        <v>0</v>
      </c>
      <c r="AF362">
        <f>VLOOKUP(Table56[[#This Row],[Shortname]], Comp[], 31, FALSE)</f>
        <v>0</v>
      </c>
    </row>
    <row r="363" spans="1:32" x14ac:dyDescent="0.3">
      <c r="A363" s="12" t="s">
        <v>6456</v>
      </c>
      <c r="B363" s="12" t="s">
        <v>6457</v>
      </c>
      <c r="C363" s="12" t="s">
        <v>6431</v>
      </c>
      <c r="D363" s="12">
        <v>1201</v>
      </c>
      <c r="E363" s="12">
        <v>1311</v>
      </c>
      <c r="F363" s="12">
        <v>1365</v>
      </c>
      <c r="H363" s="14">
        <f>VLOOKUP(Table56[[#This Row],[Shortname]], Comp[], 7, FALSE)</f>
        <v>48.05</v>
      </c>
      <c r="I363">
        <f>VLOOKUP(Table56[[#This Row],[Shortname]], Comp[], 8, FALSE)</f>
        <v>11.81</v>
      </c>
      <c r="J363">
        <f>VLOOKUP(Table56[[#This Row],[Shortname]], Comp[], 9, FALSE)</f>
        <v>5.49</v>
      </c>
      <c r="K363">
        <f>VLOOKUP(Table56[[#This Row],[Shortname]], Comp[], 10, FALSE)</f>
        <v>8.3000000000000007</v>
      </c>
      <c r="L363">
        <f>VLOOKUP(Table56[[#This Row],[Shortname]], Comp[], 11, FALSE)</f>
        <v>0</v>
      </c>
      <c r="M363">
        <f>VLOOKUP(Table56[[#This Row],[Shortname]], Comp[],12, FALSE)</f>
        <v>2.04</v>
      </c>
      <c r="N363">
        <f>VLOOKUP(Table56[[#This Row],[Shortname]], Comp[], 13, FALSE)</f>
        <v>1.44</v>
      </c>
      <c r="O363">
        <f>VLOOKUP(Table56[[#This Row],[Shortname]], Comp[], 14, FALSE)</f>
        <v>1.41</v>
      </c>
      <c r="P363">
        <f>VLOOKUP(Table56[[#This Row],[Shortname]], Comp[], 15, FALSE)</f>
        <v>3.1</v>
      </c>
      <c r="Q363">
        <f>VLOOKUP(Table56[[#This Row],[Shortname]], Comp[], 16, FALSE)</f>
        <v>0</v>
      </c>
      <c r="R363">
        <f>VLOOKUP(Table56[[#This Row],[Shortname]], Comp[], 17, FALSE)</f>
        <v>0</v>
      </c>
      <c r="S363">
        <f>VLOOKUP(Table56[[#This Row],[Shortname]], Comp[], 18, FALSE)</f>
        <v>0</v>
      </c>
      <c r="T363">
        <f>VLOOKUP(Table56[[#This Row],[Shortname]], Comp[], 19, FALSE)</f>
        <v>0.08</v>
      </c>
      <c r="U363">
        <f>VLOOKUP(Table56[[#This Row],[Shortname]], Comp[], 20, FALSE)</f>
        <v>0</v>
      </c>
      <c r="V363">
        <f>VLOOKUP(Table56[[#This Row],[Shortname]], Comp[], 21, FALSE)</f>
        <v>0</v>
      </c>
      <c r="W363">
        <f>VLOOKUP(Table56[[#This Row],[Shortname]], Comp[], 22, FALSE)</f>
        <v>0</v>
      </c>
      <c r="X363">
        <f>VLOOKUP(Table56[[#This Row],[Shortname]], Comp[], 23, FALSE)</f>
        <v>18.28</v>
      </c>
      <c r="Y363">
        <f>VLOOKUP(Table56[[#This Row],[Shortname]], Comp[], 24, FALSE)</f>
        <v>0</v>
      </c>
      <c r="Z363">
        <f>VLOOKUP(Table56[[#This Row],[Shortname]], Comp[], 25, FALSE)</f>
        <v>0</v>
      </c>
      <c r="AA363">
        <f>VLOOKUP(Table56[[#This Row],[Shortname]], Comp[], 26, FALSE)</f>
        <v>0</v>
      </c>
      <c r="AB363">
        <f>VLOOKUP(Table56[[#This Row],[Shortname]], Comp[], 27, FALSE)</f>
        <v>0</v>
      </c>
      <c r="AC363">
        <f>VLOOKUP(Table56[[#This Row],[Shortname]], Comp[], 28, FALSE)</f>
        <v>0</v>
      </c>
      <c r="AD363">
        <f>VLOOKUP(Table56[[#This Row],[Shortname]], Comp[], 29, FALSE)</f>
        <v>0</v>
      </c>
      <c r="AE363">
        <f>VLOOKUP(Table56[[#This Row],[Shortname]], Comp[], 30, FALSE)</f>
        <v>0</v>
      </c>
      <c r="AF363">
        <f>VLOOKUP(Table56[[#This Row],[Shortname]], Comp[], 31, FALSE)</f>
        <v>0</v>
      </c>
    </row>
    <row r="364" spans="1:32" x14ac:dyDescent="0.3">
      <c r="A364" s="12" t="s">
        <v>6476</v>
      </c>
      <c r="B364" s="12" t="s">
        <v>6477</v>
      </c>
      <c r="C364" s="12" t="s">
        <v>6478</v>
      </c>
      <c r="D364" s="12">
        <v>970</v>
      </c>
      <c r="E364" s="12">
        <v>1387</v>
      </c>
      <c r="F364" s="12">
        <v>1425</v>
      </c>
      <c r="H364" s="14">
        <f>VLOOKUP(Table56[[#This Row],[Shortname]], Comp[], 7, FALSE)</f>
        <v>73.03</v>
      </c>
      <c r="I364">
        <f>VLOOKUP(Table56[[#This Row],[Shortname]], Comp[], 8, FALSE)</f>
        <v>9.74</v>
      </c>
      <c r="J364">
        <f>VLOOKUP(Table56[[#This Row],[Shortname]], Comp[], 9, FALSE)</f>
        <v>4.9800000000000004</v>
      </c>
      <c r="K364">
        <f>VLOOKUP(Table56[[#This Row],[Shortname]], Comp[], 10, FALSE)</f>
        <v>4.1500000000000004</v>
      </c>
      <c r="L364">
        <f>VLOOKUP(Table56[[#This Row],[Shortname]], Comp[], 11, FALSE)</f>
        <v>0</v>
      </c>
      <c r="M364">
        <f>VLOOKUP(Table56[[#This Row],[Shortname]], Comp[],12, FALSE)</f>
        <v>2.04</v>
      </c>
      <c r="N364">
        <f>VLOOKUP(Table56[[#This Row],[Shortname]], Comp[], 13, FALSE)</f>
        <v>1.59</v>
      </c>
      <c r="O364">
        <f>VLOOKUP(Table56[[#This Row],[Shortname]], Comp[], 14, FALSE)</f>
        <v>1.37</v>
      </c>
      <c r="P364">
        <f>VLOOKUP(Table56[[#This Row],[Shortname]], Comp[], 15, FALSE)</f>
        <v>3.02</v>
      </c>
      <c r="Q364">
        <f>VLOOKUP(Table56[[#This Row],[Shortname]], Comp[], 16, FALSE)</f>
        <v>0</v>
      </c>
      <c r="R364">
        <f>VLOOKUP(Table56[[#This Row],[Shortname]], Comp[], 17, FALSE)</f>
        <v>0</v>
      </c>
      <c r="S364">
        <f>VLOOKUP(Table56[[#This Row],[Shortname]], Comp[], 18, FALSE)</f>
        <v>0</v>
      </c>
      <c r="T364">
        <f>VLOOKUP(Table56[[#This Row],[Shortname]], Comp[], 19, FALSE)</f>
        <v>0.08</v>
      </c>
      <c r="U364">
        <f>VLOOKUP(Table56[[#This Row],[Shortname]], Comp[], 20, FALSE)</f>
        <v>0</v>
      </c>
      <c r="V364">
        <f>VLOOKUP(Table56[[#This Row],[Shortname]], Comp[], 21, FALSE)</f>
        <v>0</v>
      </c>
      <c r="W364">
        <f>VLOOKUP(Table56[[#This Row],[Shortname]], Comp[], 22, FALSE)</f>
        <v>0</v>
      </c>
      <c r="X364">
        <f>VLOOKUP(Table56[[#This Row],[Shortname]], Comp[], 23, FALSE)</f>
        <v>0</v>
      </c>
      <c r="Y364">
        <f>VLOOKUP(Table56[[#This Row],[Shortname]], Comp[], 24, FALSE)</f>
        <v>0</v>
      </c>
      <c r="Z364">
        <f>VLOOKUP(Table56[[#This Row],[Shortname]], Comp[], 25, FALSE)</f>
        <v>0</v>
      </c>
      <c r="AA364">
        <f>VLOOKUP(Table56[[#This Row],[Shortname]], Comp[], 26, FALSE)</f>
        <v>0</v>
      </c>
      <c r="AB364">
        <f>VLOOKUP(Table56[[#This Row],[Shortname]], Comp[], 27, FALSE)</f>
        <v>0</v>
      </c>
      <c r="AC364">
        <f>VLOOKUP(Table56[[#This Row],[Shortname]], Comp[], 28, FALSE)</f>
        <v>0</v>
      </c>
      <c r="AD364">
        <f>VLOOKUP(Table56[[#This Row],[Shortname]], Comp[], 29, FALSE)</f>
        <v>0</v>
      </c>
      <c r="AE364">
        <f>VLOOKUP(Table56[[#This Row],[Shortname]], Comp[], 30, FALSE)</f>
        <v>0</v>
      </c>
      <c r="AF364">
        <f>VLOOKUP(Table56[[#This Row],[Shortname]], Comp[], 31, FALSE)</f>
        <v>0</v>
      </c>
    </row>
    <row r="365" spans="1:32" x14ac:dyDescent="0.3">
      <c r="A365" s="12" t="s">
        <v>6481</v>
      </c>
      <c r="B365" s="12" t="s">
        <v>6482</v>
      </c>
      <c r="C365" s="12" t="s">
        <v>6483</v>
      </c>
      <c r="D365" s="12">
        <v>989</v>
      </c>
      <c r="E365" s="12">
        <v>1401</v>
      </c>
      <c r="F365" s="12">
        <v>1408</v>
      </c>
      <c r="H365" s="14">
        <f>VLOOKUP(Table56[[#This Row],[Shortname]], Comp[], 7, FALSE)</f>
        <v>63.180000000000007</v>
      </c>
      <c r="I365">
        <f>VLOOKUP(Table56[[#This Row],[Shortname]], Comp[], 8, FALSE)</f>
        <v>19.43</v>
      </c>
      <c r="J365">
        <f>VLOOKUP(Table56[[#This Row],[Shortname]], Comp[], 9, FALSE)</f>
        <v>5.13</v>
      </c>
      <c r="K365">
        <f>VLOOKUP(Table56[[#This Row],[Shortname]], Comp[], 10, FALSE)</f>
        <v>4.1100000000000003</v>
      </c>
      <c r="L365">
        <f>VLOOKUP(Table56[[#This Row],[Shortname]], Comp[], 11, FALSE)</f>
        <v>0</v>
      </c>
      <c r="M365">
        <f>VLOOKUP(Table56[[#This Row],[Shortname]], Comp[],12, FALSE)</f>
        <v>2.06</v>
      </c>
      <c r="N365">
        <f>VLOOKUP(Table56[[#This Row],[Shortname]], Comp[], 13, FALSE)</f>
        <v>1.59</v>
      </c>
      <c r="O365">
        <f>VLOOKUP(Table56[[#This Row],[Shortname]], Comp[], 14, FALSE)</f>
        <v>1.37</v>
      </c>
      <c r="P365">
        <f>VLOOKUP(Table56[[#This Row],[Shortname]], Comp[], 15, FALSE)</f>
        <v>3.05</v>
      </c>
      <c r="Q365">
        <f>VLOOKUP(Table56[[#This Row],[Shortname]], Comp[], 16, FALSE)</f>
        <v>0</v>
      </c>
      <c r="R365">
        <f>VLOOKUP(Table56[[#This Row],[Shortname]], Comp[], 17, FALSE)</f>
        <v>0</v>
      </c>
      <c r="S365">
        <f>VLOOKUP(Table56[[#This Row],[Shortname]], Comp[], 18, FALSE)</f>
        <v>0</v>
      </c>
      <c r="T365">
        <f>VLOOKUP(Table56[[#This Row],[Shortname]], Comp[], 19, FALSE)</f>
        <v>0.08</v>
      </c>
      <c r="U365">
        <f>VLOOKUP(Table56[[#This Row],[Shortname]], Comp[], 20, FALSE)</f>
        <v>0</v>
      </c>
      <c r="V365">
        <f>VLOOKUP(Table56[[#This Row],[Shortname]], Comp[], 21, FALSE)</f>
        <v>0</v>
      </c>
      <c r="W365">
        <f>VLOOKUP(Table56[[#This Row],[Shortname]], Comp[], 22, FALSE)</f>
        <v>0</v>
      </c>
      <c r="X365">
        <f>VLOOKUP(Table56[[#This Row],[Shortname]], Comp[], 23, FALSE)</f>
        <v>0</v>
      </c>
      <c r="Y365">
        <f>VLOOKUP(Table56[[#This Row],[Shortname]], Comp[], 24, FALSE)</f>
        <v>0</v>
      </c>
      <c r="Z365">
        <f>VLOOKUP(Table56[[#This Row],[Shortname]], Comp[], 25, FALSE)</f>
        <v>0</v>
      </c>
      <c r="AA365">
        <f>VLOOKUP(Table56[[#This Row],[Shortname]], Comp[], 26, FALSE)</f>
        <v>0</v>
      </c>
      <c r="AB365">
        <f>VLOOKUP(Table56[[#This Row],[Shortname]], Comp[], 27, FALSE)</f>
        <v>0</v>
      </c>
      <c r="AC365">
        <f>VLOOKUP(Table56[[#This Row],[Shortname]], Comp[], 28, FALSE)</f>
        <v>0</v>
      </c>
      <c r="AD365">
        <f>VLOOKUP(Table56[[#This Row],[Shortname]], Comp[], 29, FALSE)</f>
        <v>0</v>
      </c>
      <c r="AE365">
        <f>VLOOKUP(Table56[[#This Row],[Shortname]], Comp[], 30, FALSE)</f>
        <v>0</v>
      </c>
      <c r="AF365">
        <f>VLOOKUP(Table56[[#This Row],[Shortname]], Comp[], 31, FALSE)</f>
        <v>0</v>
      </c>
    </row>
    <row r="366" spans="1:32" x14ac:dyDescent="0.3">
      <c r="A366" s="12" t="s">
        <v>6486</v>
      </c>
      <c r="B366" s="12" t="s">
        <v>6487</v>
      </c>
      <c r="C366" s="12" t="s">
        <v>6488</v>
      </c>
      <c r="D366" s="12">
        <v>1010</v>
      </c>
      <c r="E366" s="12">
        <v>1398</v>
      </c>
      <c r="F366" s="12">
        <v>1413</v>
      </c>
      <c r="H366" s="14">
        <f>VLOOKUP(Table56[[#This Row],[Shortname]], Comp[], 7, FALSE)</f>
        <v>52.580000000000005</v>
      </c>
      <c r="I366">
        <f>VLOOKUP(Table56[[#This Row],[Shortname]], Comp[], 8, FALSE)</f>
        <v>29.36</v>
      </c>
      <c r="J366">
        <f>VLOOKUP(Table56[[#This Row],[Shortname]], Comp[], 9, FALSE)</f>
        <v>5.44</v>
      </c>
      <c r="K366">
        <f>VLOOKUP(Table56[[#This Row],[Shortname]], Comp[], 10, FALSE)</f>
        <v>4.07</v>
      </c>
      <c r="L366">
        <f>VLOOKUP(Table56[[#This Row],[Shortname]], Comp[], 11, FALSE)</f>
        <v>0</v>
      </c>
      <c r="M366">
        <f>VLOOKUP(Table56[[#This Row],[Shortname]], Comp[],12, FALSE)</f>
        <v>2.27</v>
      </c>
      <c r="N366">
        <f>VLOOKUP(Table56[[#This Row],[Shortname]], Comp[], 13, FALSE)</f>
        <v>1.69</v>
      </c>
      <c r="O366">
        <f>VLOOKUP(Table56[[#This Row],[Shortname]], Comp[], 14, FALSE)</f>
        <v>1.37</v>
      </c>
      <c r="P366">
        <f>VLOOKUP(Table56[[#This Row],[Shortname]], Comp[], 15, FALSE)</f>
        <v>3.14</v>
      </c>
      <c r="Q366">
        <f>VLOOKUP(Table56[[#This Row],[Shortname]], Comp[], 16, FALSE)</f>
        <v>0</v>
      </c>
      <c r="R366">
        <f>VLOOKUP(Table56[[#This Row],[Shortname]], Comp[], 17, FALSE)</f>
        <v>0</v>
      </c>
      <c r="S366">
        <f>VLOOKUP(Table56[[#This Row],[Shortname]], Comp[], 18, FALSE)</f>
        <v>0</v>
      </c>
      <c r="T366">
        <f>VLOOKUP(Table56[[#This Row],[Shortname]], Comp[], 19, FALSE)</f>
        <v>0.08</v>
      </c>
      <c r="U366">
        <f>VLOOKUP(Table56[[#This Row],[Shortname]], Comp[], 20, FALSE)</f>
        <v>0</v>
      </c>
      <c r="V366">
        <f>VLOOKUP(Table56[[#This Row],[Shortname]], Comp[], 21, FALSE)</f>
        <v>0</v>
      </c>
      <c r="W366">
        <f>VLOOKUP(Table56[[#This Row],[Shortname]], Comp[], 22, FALSE)</f>
        <v>0</v>
      </c>
      <c r="X366">
        <f>VLOOKUP(Table56[[#This Row],[Shortname]], Comp[], 23, FALSE)</f>
        <v>0</v>
      </c>
      <c r="Y366">
        <f>VLOOKUP(Table56[[#This Row],[Shortname]], Comp[], 24, FALSE)</f>
        <v>0</v>
      </c>
      <c r="Z366">
        <f>VLOOKUP(Table56[[#This Row],[Shortname]], Comp[], 25, FALSE)</f>
        <v>0</v>
      </c>
      <c r="AA366">
        <f>VLOOKUP(Table56[[#This Row],[Shortname]], Comp[], 26, FALSE)</f>
        <v>0</v>
      </c>
      <c r="AB366">
        <f>VLOOKUP(Table56[[#This Row],[Shortname]], Comp[], 27, FALSE)</f>
        <v>0</v>
      </c>
      <c r="AC366">
        <f>VLOOKUP(Table56[[#This Row],[Shortname]], Comp[], 28, FALSE)</f>
        <v>0</v>
      </c>
      <c r="AD366">
        <f>VLOOKUP(Table56[[#This Row],[Shortname]], Comp[], 29, FALSE)</f>
        <v>0</v>
      </c>
      <c r="AE366">
        <f>VLOOKUP(Table56[[#This Row],[Shortname]], Comp[], 30, FALSE)</f>
        <v>0</v>
      </c>
      <c r="AF366">
        <f>VLOOKUP(Table56[[#This Row],[Shortname]], Comp[], 31, FALSE)</f>
        <v>0</v>
      </c>
    </row>
    <row r="367" spans="1:32" x14ac:dyDescent="0.3">
      <c r="A367" s="12" t="s">
        <v>6490</v>
      </c>
      <c r="B367" s="12" t="s">
        <v>6491</v>
      </c>
      <c r="C367" s="12" t="s">
        <v>6492</v>
      </c>
      <c r="D367" s="12">
        <v>989</v>
      </c>
      <c r="E367" s="12">
        <v>1395</v>
      </c>
      <c r="F367" s="12">
        <v>1421</v>
      </c>
      <c r="H367" s="14">
        <f>VLOOKUP(Table56[[#This Row],[Shortname]], Comp[], 7, FALSE)</f>
        <v>68.84</v>
      </c>
      <c r="I367">
        <f>VLOOKUP(Table56[[#This Row],[Shortname]], Comp[], 8, FALSE)</f>
        <v>9.74</v>
      </c>
      <c r="J367">
        <f>VLOOKUP(Table56[[#This Row],[Shortname]], Comp[], 9, FALSE)</f>
        <v>5.04</v>
      </c>
      <c r="K367">
        <f>VLOOKUP(Table56[[#This Row],[Shortname]], Comp[], 10, FALSE)</f>
        <v>8.2200000000000006</v>
      </c>
      <c r="L367">
        <f>VLOOKUP(Table56[[#This Row],[Shortname]], Comp[], 11, FALSE)</f>
        <v>0</v>
      </c>
      <c r="M367">
        <f>VLOOKUP(Table56[[#This Row],[Shortname]], Comp[],12, FALSE)</f>
        <v>2.0699999999999998</v>
      </c>
      <c r="N367">
        <f>VLOOKUP(Table56[[#This Row],[Shortname]], Comp[], 13, FALSE)</f>
        <v>1.58</v>
      </c>
      <c r="O367">
        <f>VLOOKUP(Table56[[#This Row],[Shortname]], Comp[], 14, FALSE)</f>
        <v>1.41</v>
      </c>
      <c r="P367">
        <f>VLOOKUP(Table56[[#This Row],[Shortname]], Comp[], 15, FALSE)</f>
        <v>3.02</v>
      </c>
      <c r="Q367">
        <f>VLOOKUP(Table56[[#This Row],[Shortname]], Comp[], 16, FALSE)</f>
        <v>0</v>
      </c>
      <c r="R367">
        <f>VLOOKUP(Table56[[#This Row],[Shortname]], Comp[], 17, FALSE)</f>
        <v>0</v>
      </c>
      <c r="S367">
        <f>VLOOKUP(Table56[[#This Row],[Shortname]], Comp[], 18, FALSE)</f>
        <v>0</v>
      </c>
      <c r="T367">
        <f>VLOOKUP(Table56[[#This Row],[Shortname]], Comp[], 19, FALSE)</f>
        <v>0.08</v>
      </c>
      <c r="U367">
        <f>VLOOKUP(Table56[[#This Row],[Shortname]], Comp[], 20, FALSE)</f>
        <v>0</v>
      </c>
      <c r="V367">
        <f>VLOOKUP(Table56[[#This Row],[Shortname]], Comp[], 21, FALSE)</f>
        <v>0</v>
      </c>
      <c r="W367">
        <f>VLOOKUP(Table56[[#This Row],[Shortname]], Comp[], 22, FALSE)</f>
        <v>0</v>
      </c>
      <c r="X367">
        <f>VLOOKUP(Table56[[#This Row],[Shortname]], Comp[], 23, FALSE)</f>
        <v>0</v>
      </c>
      <c r="Y367">
        <f>VLOOKUP(Table56[[#This Row],[Shortname]], Comp[], 24, FALSE)</f>
        <v>0</v>
      </c>
      <c r="Z367">
        <f>VLOOKUP(Table56[[#This Row],[Shortname]], Comp[], 25, FALSE)</f>
        <v>0</v>
      </c>
      <c r="AA367">
        <f>VLOOKUP(Table56[[#This Row],[Shortname]], Comp[], 26, FALSE)</f>
        <v>0</v>
      </c>
      <c r="AB367">
        <f>VLOOKUP(Table56[[#This Row],[Shortname]], Comp[], 27, FALSE)</f>
        <v>0</v>
      </c>
      <c r="AC367">
        <f>VLOOKUP(Table56[[#This Row],[Shortname]], Comp[], 28, FALSE)</f>
        <v>0</v>
      </c>
      <c r="AD367">
        <f>VLOOKUP(Table56[[#This Row],[Shortname]], Comp[], 29, FALSE)</f>
        <v>0</v>
      </c>
      <c r="AE367">
        <f>VLOOKUP(Table56[[#This Row],[Shortname]], Comp[], 30, FALSE)</f>
        <v>0</v>
      </c>
      <c r="AF367">
        <f>VLOOKUP(Table56[[#This Row],[Shortname]], Comp[], 31, FALSE)</f>
        <v>0</v>
      </c>
    </row>
    <row r="368" spans="1:32" x14ac:dyDescent="0.3">
      <c r="A368" s="12" t="s">
        <v>6494</v>
      </c>
      <c r="B368" s="12" t="s">
        <v>6495</v>
      </c>
      <c r="C368" s="12" t="s">
        <v>6496</v>
      </c>
      <c r="D368" s="12">
        <v>1006</v>
      </c>
      <c r="E368" s="12">
        <v>1388</v>
      </c>
      <c r="F368" s="12">
        <v>1413</v>
      </c>
      <c r="H368" s="14">
        <f>VLOOKUP(Table56[[#This Row],[Shortname]], Comp[], 7, FALSE)</f>
        <v>59.019999999999996</v>
      </c>
      <c r="I368">
        <f>VLOOKUP(Table56[[#This Row],[Shortname]], Comp[], 8, FALSE)</f>
        <v>19.54</v>
      </c>
      <c r="J368">
        <f>VLOOKUP(Table56[[#This Row],[Shortname]], Comp[], 9, FALSE)</f>
        <v>4.9800000000000004</v>
      </c>
      <c r="K368">
        <f>VLOOKUP(Table56[[#This Row],[Shortname]], Comp[], 10, FALSE)</f>
        <v>8.2899999999999991</v>
      </c>
      <c r="L368">
        <f>VLOOKUP(Table56[[#This Row],[Shortname]], Comp[], 11, FALSE)</f>
        <v>0</v>
      </c>
      <c r="M368">
        <f>VLOOKUP(Table56[[#This Row],[Shortname]], Comp[],12, FALSE)</f>
        <v>2.0699999999999998</v>
      </c>
      <c r="N368">
        <f>VLOOKUP(Table56[[#This Row],[Shortname]], Comp[], 13, FALSE)</f>
        <v>1.61</v>
      </c>
      <c r="O368">
        <f>VLOOKUP(Table56[[#This Row],[Shortname]], Comp[], 14, FALSE)</f>
        <v>1.38</v>
      </c>
      <c r="P368">
        <f>VLOOKUP(Table56[[#This Row],[Shortname]], Comp[], 15, FALSE)</f>
        <v>3.03</v>
      </c>
      <c r="Q368">
        <f>VLOOKUP(Table56[[#This Row],[Shortname]], Comp[], 16, FALSE)</f>
        <v>0</v>
      </c>
      <c r="R368">
        <f>VLOOKUP(Table56[[#This Row],[Shortname]], Comp[], 17, FALSE)</f>
        <v>0</v>
      </c>
      <c r="S368">
        <f>VLOOKUP(Table56[[#This Row],[Shortname]], Comp[], 18, FALSE)</f>
        <v>0</v>
      </c>
      <c r="T368">
        <f>VLOOKUP(Table56[[#This Row],[Shortname]], Comp[], 19, FALSE)</f>
        <v>0.08</v>
      </c>
      <c r="U368">
        <f>VLOOKUP(Table56[[#This Row],[Shortname]], Comp[], 20, FALSE)</f>
        <v>0</v>
      </c>
      <c r="V368">
        <f>VLOOKUP(Table56[[#This Row],[Shortname]], Comp[], 21, FALSE)</f>
        <v>0</v>
      </c>
      <c r="W368">
        <f>VLOOKUP(Table56[[#This Row],[Shortname]], Comp[], 22, FALSE)</f>
        <v>0</v>
      </c>
      <c r="X368">
        <f>VLOOKUP(Table56[[#This Row],[Shortname]], Comp[], 23, FALSE)</f>
        <v>0</v>
      </c>
      <c r="Y368">
        <f>VLOOKUP(Table56[[#This Row],[Shortname]], Comp[], 24, FALSE)</f>
        <v>0</v>
      </c>
      <c r="Z368">
        <f>VLOOKUP(Table56[[#This Row],[Shortname]], Comp[], 25, FALSE)</f>
        <v>0</v>
      </c>
      <c r="AA368">
        <f>VLOOKUP(Table56[[#This Row],[Shortname]], Comp[], 26, FALSE)</f>
        <v>0</v>
      </c>
      <c r="AB368">
        <f>VLOOKUP(Table56[[#This Row],[Shortname]], Comp[], 27, FALSE)</f>
        <v>0</v>
      </c>
      <c r="AC368">
        <f>VLOOKUP(Table56[[#This Row],[Shortname]], Comp[], 28, FALSE)</f>
        <v>0</v>
      </c>
      <c r="AD368">
        <f>VLOOKUP(Table56[[#This Row],[Shortname]], Comp[], 29, FALSE)</f>
        <v>0</v>
      </c>
      <c r="AE368">
        <f>VLOOKUP(Table56[[#This Row],[Shortname]], Comp[], 30, FALSE)</f>
        <v>0</v>
      </c>
      <c r="AF368">
        <f>VLOOKUP(Table56[[#This Row],[Shortname]], Comp[], 31, FALSE)</f>
        <v>0</v>
      </c>
    </row>
    <row r="369" spans="1:32" x14ac:dyDescent="0.3">
      <c r="A369" s="12" t="s">
        <v>6498</v>
      </c>
      <c r="B369" s="12" t="s">
        <v>6499</v>
      </c>
      <c r="C369" s="12" t="s">
        <v>6500</v>
      </c>
      <c r="D369" s="12">
        <v>1031</v>
      </c>
      <c r="E369" s="12">
        <v>1382</v>
      </c>
      <c r="F369" s="12">
        <v>1410</v>
      </c>
      <c r="H369" s="14">
        <f>VLOOKUP(Table56[[#This Row],[Shortname]], Comp[], 7, FALSE)</f>
        <v>48.690000000000005</v>
      </c>
      <c r="I369">
        <f>VLOOKUP(Table56[[#This Row],[Shortname]], Comp[], 8, FALSE)</f>
        <v>29.66</v>
      </c>
      <c r="J369">
        <f>VLOOKUP(Table56[[#This Row],[Shortname]], Comp[], 9, FALSE)</f>
        <v>4.9800000000000004</v>
      </c>
      <c r="K369">
        <f>VLOOKUP(Table56[[#This Row],[Shortname]], Comp[], 10, FALSE)</f>
        <v>8.19</v>
      </c>
      <c r="L369">
        <f>VLOOKUP(Table56[[#This Row],[Shortname]], Comp[], 11, FALSE)</f>
        <v>0</v>
      </c>
      <c r="M369">
        <f>VLOOKUP(Table56[[#This Row],[Shortname]], Comp[],12, FALSE)</f>
        <v>2.08</v>
      </c>
      <c r="N369">
        <f>VLOOKUP(Table56[[#This Row],[Shortname]], Comp[], 13, FALSE)</f>
        <v>1.65</v>
      </c>
      <c r="O369">
        <f>VLOOKUP(Table56[[#This Row],[Shortname]], Comp[], 14, FALSE)</f>
        <v>1.6</v>
      </c>
      <c r="P369">
        <f>VLOOKUP(Table56[[#This Row],[Shortname]], Comp[], 15, FALSE)</f>
        <v>3.07</v>
      </c>
      <c r="Q369">
        <f>VLOOKUP(Table56[[#This Row],[Shortname]], Comp[], 16, FALSE)</f>
        <v>0</v>
      </c>
      <c r="R369">
        <f>VLOOKUP(Table56[[#This Row],[Shortname]], Comp[], 17, FALSE)</f>
        <v>0</v>
      </c>
      <c r="S369">
        <f>VLOOKUP(Table56[[#This Row],[Shortname]], Comp[], 18, FALSE)</f>
        <v>0</v>
      </c>
      <c r="T369">
        <f>VLOOKUP(Table56[[#This Row],[Shortname]], Comp[], 19, FALSE)</f>
        <v>0.08</v>
      </c>
      <c r="U369">
        <f>VLOOKUP(Table56[[#This Row],[Shortname]], Comp[], 20, FALSE)</f>
        <v>0</v>
      </c>
      <c r="V369">
        <f>VLOOKUP(Table56[[#This Row],[Shortname]], Comp[], 21, FALSE)</f>
        <v>0</v>
      </c>
      <c r="W369">
        <f>VLOOKUP(Table56[[#This Row],[Shortname]], Comp[], 22, FALSE)</f>
        <v>0</v>
      </c>
      <c r="X369">
        <f>VLOOKUP(Table56[[#This Row],[Shortname]], Comp[], 23, FALSE)</f>
        <v>0</v>
      </c>
      <c r="Y369">
        <f>VLOOKUP(Table56[[#This Row],[Shortname]], Comp[], 24, FALSE)</f>
        <v>0</v>
      </c>
      <c r="Z369">
        <f>VLOOKUP(Table56[[#This Row],[Shortname]], Comp[], 25, FALSE)</f>
        <v>0</v>
      </c>
      <c r="AA369">
        <f>VLOOKUP(Table56[[#This Row],[Shortname]], Comp[], 26, FALSE)</f>
        <v>0</v>
      </c>
      <c r="AB369">
        <f>VLOOKUP(Table56[[#This Row],[Shortname]], Comp[], 27, FALSE)</f>
        <v>0</v>
      </c>
      <c r="AC369">
        <f>VLOOKUP(Table56[[#This Row],[Shortname]], Comp[], 28, FALSE)</f>
        <v>0</v>
      </c>
      <c r="AD369">
        <f>VLOOKUP(Table56[[#This Row],[Shortname]], Comp[], 29, FALSE)</f>
        <v>0</v>
      </c>
      <c r="AE369">
        <f>VLOOKUP(Table56[[#This Row],[Shortname]], Comp[], 30, FALSE)</f>
        <v>0</v>
      </c>
      <c r="AF369">
        <f>VLOOKUP(Table56[[#This Row],[Shortname]], Comp[], 31, FALSE)</f>
        <v>0</v>
      </c>
    </row>
    <row r="370" spans="1:32" x14ac:dyDescent="0.3">
      <c r="A370" s="12" t="s">
        <v>6502</v>
      </c>
      <c r="B370" s="12" t="s">
        <v>6503</v>
      </c>
      <c r="C370" s="12" t="s">
        <v>6504</v>
      </c>
      <c r="D370" s="12">
        <v>1036</v>
      </c>
      <c r="E370" s="12">
        <v>1438</v>
      </c>
      <c r="F370" s="12">
        <v>1459</v>
      </c>
      <c r="H370" s="14">
        <f>VLOOKUP(Table56[[#This Row],[Shortname]], Comp[], 7, FALSE)</f>
        <v>49.7</v>
      </c>
      <c r="I370">
        <f>VLOOKUP(Table56[[#This Row],[Shortname]], Comp[], 8, FALSE)</f>
        <v>29.2</v>
      </c>
      <c r="J370">
        <f>VLOOKUP(Table56[[#This Row],[Shortname]], Comp[], 9, FALSE)</f>
        <v>11.1</v>
      </c>
      <c r="K370">
        <f>VLOOKUP(Table56[[#This Row],[Shortname]], Comp[], 10, FALSE)</f>
        <v>4.2</v>
      </c>
      <c r="L370">
        <f>VLOOKUP(Table56[[#This Row],[Shortname]], Comp[], 11, FALSE)</f>
        <v>5.8</v>
      </c>
      <c r="M370">
        <f>VLOOKUP(Table56[[#This Row],[Shortname]], Comp[],12, FALSE)</f>
        <v>0</v>
      </c>
      <c r="N370">
        <f>VLOOKUP(Table56[[#This Row],[Shortname]], Comp[], 13, FALSE)</f>
        <v>0</v>
      </c>
      <c r="O370">
        <f>VLOOKUP(Table56[[#This Row],[Shortname]], Comp[], 14, FALSE)</f>
        <v>0</v>
      </c>
      <c r="P370">
        <f>VLOOKUP(Table56[[#This Row],[Shortname]], Comp[], 15, FALSE)</f>
        <v>0</v>
      </c>
      <c r="Q370">
        <f>VLOOKUP(Table56[[#This Row],[Shortname]], Comp[], 16, FALSE)</f>
        <v>0</v>
      </c>
      <c r="R370">
        <f>VLOOKUP(Table56[[#This Row],[Shortname]], Comp[], 17, FALSE)</f>
        <v>0</v>
      </c>
      <c r="S370">
        <f>VLOOKUP(Table56[[#This Row],[Shortname]], Comp[], 18, FALSE)</f>
        <v>0</v>
      </c>
      <c r="T370">
        <f>VLOOKUP(Table56[[#This Row],[Shortname]], Comp[], 19, FALSE)</f>
        <v>0</v>
      </c>
      <c r="U370">
        <f>VLOOKUP(Table56[[#This Row],[Shortname]], Comp[], 20, FALSE)</f>
        <v>0</v>
      </c>
      <c r="V370">
        <f>VLOOKUP(Table56[[#This Row],[Shortname]], Comp[], 21, FALSE)</f>
        <v>0</v>
      </c>
      <c r="W370">
        <f>VLOOKUP(Table56[[#This Row],[Shortname]], Comp[], 22, FALSE)</f>
        <v>0</v>
      </c>
      <c r="X370">
        <f>VLOOKUP(Table56[[#This Row],[Shortname]], Comp[], 23, FALSE)</f>
        <v>0</v>
      </c>
      <c r="Y370">
        <f>VLOOKUP(Table56[[#This Row],[Shortname]], Comp[], 24, FALSE)</f>
        <v>0</v>
      </c>
      <c r="Z370">
        <f>VLOOKUP(Table56[[#This Row],[Shortname]], Comp[], 25, FALSE)</f>
        <v>0</v>
      </c>
      <c r="AA370">
        <f>VLOOKUP(Table56[[#This Row],[Shortname]], Comp[], 26, FALSE)</f>
        <v>0</v>
      </c>
      <c r="AB370">
        <f>VLOOKUP(Table56[[#This Row],[Shortname]], Comp[], 27, FALSE)</f>
        <v>0</v>
      </c>
      <c r="AC370">
        <f>VLOOKUP(Table56[[#This Row],[Shortname]], Comp[], 28, FALSE)</f>
        <v>0</v>
      </c>
      <c r="AD370">
        <f>VLOOKUP(Table56[[#This Row],[Shortname]], Comp[], 29, FALSE)</f>
        <v>0</v>
      </c>
      <c r="AE370">
        <f>VLOOKUP(Table56[[#This Row],[Shortname]], Comp[], 30, FALSE)</f>
        <v>0</v>
      </c>
      <c r="AF370">
        <f>VLOOKUP(Table56[[#This Row],[Shortname]], Comp[], 31, FALSE)</f>
        <v>0</v>
      </c>
    </row>
    <row r="371" spans="1:32" x14ac:dyDescent="0.3">
      <c r="A371" s="12" t="s">
        <v>6506</v>
      </c>
      <c r="B371" s="12" t="s">
        <v>6507</v>
      </c>
      <c r="C371" s="12" t="s">
        <v>6504</v>
      </c>
      <c r="D371" s="12">
        <v>1021</v>
      </c>
      <c r="E371" s="12">
        <v>1414</v>
      </c>
      <c r="F371" s="12">
        <v>1446</v>
      </c>
      <c r="H371" s="14">
        <f>VLOOKUP(Table56[[#This Row],[Shortname]], Comp[], 7, FALSE)</f>
        <v>45.9</v>
      </c>
      <c r="I371">
        <f>VLOOKUP(Table56[[#This Row],[Shortname]], Comp[], 8, FALSE)</f>
        <v>29.2</v>
      </c>
      <c r="J371">
        <f>VLOOKUP(Table56[[#This Row],[Shortname]], Comp[], 9, FALSE)</f>
        <v>10.9</v>
      </c>
      <c r="K371">
        <f>VLOOKUP(Table56[[#This Row],[Shortname]], Comp[], 10, FALSE)</f>
        <v>4.0999999999999996</v>
      </c>
      <c r="L371">
        <f>VLOOKUP(Table56[[#This Row],[Shortname]], Comp[], 11, FALSE)</f>
        <v>5.8</v>
      </c>
      <c r="M371">
        <f>VLOOKUP(Table56[[#This Row],[Shortname]], Comp[],12, FALSE)</f>
        <v>0</v>
      </c>
      <c r="N371">
        <f>VLOOKUP(Table56[[#This Row],[Shortname]], Comp[], 13, FALSE)</f>
        <v>0</v>
      </c>
      <c r="O371">
        <f>VLOOKUP(Table56[[#This Row],[Shortname]], Comp[], 14, FALSE)</f>
        <v>0</v>
      </c>
      <c r="P371">
        <f>VLOOKUP(Table56[[#This Row],[Shortname]], Comp[], 15, FALSE)</f>
        <v>0</v>
      </c>
      <c r="Q371">
        <f>VLOOKUP(Table56[[#This Row],[Shortname]], Comp[], 16, FALSE)</f>
        <v>0</v>
      </c>
      <c r="R371">
        <f>VLOOKUP(Table56[[#This Row],[Shortname]], Comp[], 17, FALSE)</f>
        <v>0</v>
      </c>
      <c r="S371">
        <f>VLOOKUP(Table56[[#This Row],[Shortname]], Comp[], 18, FALSE)</f>
        <v>0</v>
      </c>
      <c r="T371">
        <f>VLOOKUP(Table56[[#This Row],[Shortname]], Comp[], 19, FALSE)</f>
        <v>0</v>
      </c>
      <c r="U371">
        <f>VLOOKUP(Table56[[#This Row],[Shortname]], Comp[], 20, FALSE)</f>
        <v>0</v>
      </c>
      <c r="V371">
        <f>VLOOKUP(Table56[[#This Row],[Shortname]], Comp[], 21, FALSE)</f>
        <v>0</v>
      </c>
      <c r="W371">
        <f>VLOOKUP(Table56[[#This Row],[Shortname]], Comp[], 22, FALSE)</f>
        <v>0</v>
      </c>
      <c r="X371">
        <f>VLOOKUP(Table56[[#This Row],[Shortname]], Comp[], 23, FALSE)</f>
        <v>4.0999999999999996</v>
      </c>
      <c r="Y371">
        <f>VLOOKUP(Table56[[#This Row],[Shortname]], Comp[], 24, FALSE)</f>
        <v>0</v>
      </c>
      <c r="Z371">
        <f>VLOOKUP(Table56[[#This Row],[Shortname]], Comp[], 25, FALSE)</f>
        <v>0</v>
      </c>
      <c r="AA371">
        <f>VLOOKUP(Table56[[#This Row],[Shortname]], Comp[], 26, FALSE)</f>
        <v>0</v>
      </c>
      <c r="AB371">
        <f>VLOOKUP(Table56[[#This Row],[Shortname]], Comp[], 27, FALSE)</f>
        <v>0</v>
      </c>
      <c r="AC371">
        <f>VLOOKUP(Table56[[#This Row],[Shortname]], Comp[], 28, FALSE)</f>
        <v>0</v>
      </c>
      <c r="AD371">
        <f>VLOOKUP(Table56[[#This Row],[Shortname]], Comp[], 29, FALSE)</f>
        <v>0</v>
      </c>
      <c r="AE371">
        <f>VLOOKUP(Table56[[#This Row],[Shortname]], Comp[], 30, FALSE)</f>
        <v>0</v>
      </c>
      <c r="AF371">
        <f>VLOOKUP(Table56[[#This Row],[Shortname]], Comp[], 31, FALSE)</f>
        <v>0</v>
      </c>
    </row>
    <row r="372" spans="1:32" x14ac:dyDescent="0.3">
      <c r="A372" s="12" t="s">
        <v>6510</v>
      </c>
      <c r="B372" s="12" t="s">
        <v>6511</v>
      </c>
      <c r="C372" s="12" t="s">
        <v>6504</v>
      </c>
      <c r="D372" s="12">
        <v>999</v>
      </c>
      <c r="E372" s="12">
        <v>1416</v>
      </c>
      <c r="F372" s="12">
        <v>1442</v>
      </c>
      <c r="H372" s="14">
        <f>VLOOKUP(Table56[[#This Row],[Shortname]], Comp[], 7, FALSE)</f>
        <v>41.899999999999991</v>
      </c>
      <c r="I372">
        <f>VLOOKUP(Table56[[#This Row],[Shortname]], Comp[], 8, FALSE)</f>
        <v>29.3</v>
      </c>
      <c r="J372">
        <f>VLOOKUP(Table56[[#This Row],[Shortname]], Comp[], 9, FALSE)</f>
        <v>10.8</v>
      </c>
      <c r="K372">
        <f>VLOOKUP(Table56[[#This Row],[Shortname]], Comp[], 10, FALSE)</f>
        <v>4.0999999999999996</v>
      </c>
      <c r="L372">
        <f>VLOOKUP(Table56[[#This Row],[Shortname]], Comp[], 11, FALSE)</f>
        <v>5.7</v>
      </c>
      <c r="M372">
        <f>VLOOKUP(Table56[[#This Row],[Shortname]], Comp[],12, FALSE)</f>
        <v>0</v>
      </c>
      <c r="N372">
        <f>VLOOKUP(Table56[[#This Row],[Shortname]], Comp[], 13, FALSE)</f>
        <v>0</v>
      </c>
      <c r="O372">
        <f>VLOOKUP(Table56[[#This Row],[Shortname]], Comp[], 14, FALSE)</f>
        <v>0</v>
      </c>
      <c r="P372">
        <f>VLOOKUP(Table56[[#This Row],[Shortname]], Comp[], 15, FALSE)</f>
        <v>0</v>
      </c>
      <c r="Q372">
        <f>VLOOKUP(Table56[[#This Row],[Shortname]], Comp[], 16, FALSE)</f>
        <v>0</v>
      </c>
      <c r="R372">
        <f>VLOOKUP(Table56[[#This Row],[Shortname]], Comp[], 17, FALSE)</f>
        <v>0</v>
      </c>
      <c r="S372">
        <f>VLOOKUP(Table56[[#This Row],[Shortname]], Comp[], 18, FALSE)</f>
        <v>0</v>
      </c>
      <c r="T372">
        <f>VLOOKUP(Table56[[#This Row],[Shortname]], Comp[], 19, FALSE)</f>
        <v>0</v>
      </c>
      <c r="U372">
        <f>VLOOKUP(Table56[[#This Row],[Shortname]], Comp[], 20, FALSE)</f>
        <v>0</v>
      </c>
      <c r="V372">
        <f>VLOOKUP(Table56[[#This Row],[Shortname]], Comp[], 21, FALSE)</f>
        <v>0</v>
      </c>
      <c r="W372">
        <f>VLOOKUP(Table56[[#This Row],[Shortname]], Comp[], 22, FALSE)</f>
        <v>0</v>
      </c>
      <c r="X372">
        <f>VLOOKUP(Table56[[#This Row],[Shortname]], Comp[], 23, FALSE)</f>
        <v>8.1999999999999993</v>
      </c>
      <c r="Y372">
        <f>VLOOKUP(Table56[[#This Row],[Shortname]], Comp[], 24, FALSE)</f>
        <v>0</v>
      </c>
      <c r="Z372">
        <f>VLOOKUP(Table56[[#This Row],[Shortname]], Comp[], 25, FALSE)</f>
        <v>0</v>
      </c>
      <c r="AA372">
        <f>VLOOKUP(Table56[[#This Row],[Shortname]], Comp[], 26, FALSE)</f>
        <v>0</v>
      </c>
      <c r="AB372">
        <f>VLOOKUP(Table56[[#This Row],[Shortname]], Comp[], 27, FALSE)</f>
        <v>0</v>
      </c>
      <c r="AC372">
        <f>VLOOKUP(Table56[[#This Row],[Shortname]], Comp[], 28, FALSE)</f>
        <v>0</v>
      </c>
      <c r="AD372">
        <f>VLOOKUP(Table56[[#This Row],[Shortname]], Comp[], 29, FALSE)</f>
        <v>0</v>
      </c>
      <c r="AE372">
        <f>VLOOKUP(Table56[[#This Row],[Shortname]], Comp[], 30, FALSE)</f>
        <v>0</v>
      </c>
      <c r="AF372">
        <f>VLOOKUP(Table56[[#This Row],[Shortname]], Comp[], 31, FALSE)</f>
        <v>0</v>
      </c>
    </row>
    <row r="373" spans="1:32" x14ac:dyDescent="0.3">
      <c r="A373" s="12" t="s">
        <v>6514</v>
      </c>
      <c r="B373" s="12" t="s">
        <v>6515</v>
      </c>
      <c r="C373" s="12" t="s">
        <v>6504</v>
      </c>
      <c r="D373" s="12">
        <v>985</v>
      </c>
      <c r="E373" s="12">
        <v>1490</v>
      </c>
      <c r="F373" s="12">
        <v>1437</v>
      </c>
      <c r="H373" s="14">
        <f>VLOOKUP(Table56[[#This Row],[Shortname]], Comp[], 7, FALSE)</f>
        <v>38.199999999999989</v>
      </c>
      <c r="I373">
        <f>VLOOKUP(Table56[[#This Row],[Shortname]], Comp[], 8, FALSE)</f>
        <v>29.3</v>
      </c>
      <c r="J373">
        <f>VLOOKUP(Table56[[#This Row],[Shortname]], Comp[], 9, FALSE)</f>
        <v>10.4</v>
      </c>
      <c r="K373">
        <f>VLOOKUP(Table56[[#This Row],[Shortname]], Comp[], 10, FALSE)</f>
        <v>4.0999999999999996</v>
      </c>
      <c r="L373">
        <f>VLOOKUP(Table56[[#This Row],[Shortname]], Comp[], 11, FALSE)</f>
        <v>5.7</v>
      </c>
      <c r="M373">
        <f>VLOOKUP(Table56[[#This Row],[Shortname]], Comp[],12, FALSE)</f>
        <v>0</v>
      </c>
      <c r="N373">
        <f>VLOOKUP(Table56[[#This Row],[Shortname]], Comp[], 13, FALSE)</f>
        <v>0</v>
      </c>
      <c r="O373">
        <f>VLOOKUP(Table56[[#This Row],[Shortname]], Comp[], 14, FALSE)</f>
        <v>0</v>
      </c>
      <c r="P373">
        <f>VLOOKUP(Table56[[#This Row],[Shortname]], Comp[], 15, FALSE)</f>
        <v>0</v>
      </c>
      <c r="Q373">
        <f>VLOOKUP(Table56[[#This Row],[Shortname]], Comp[], 16, FALSE)</f>
        <v>0</v>
      </c>
      <c r="R373">
        <f>VLOOKUP(Table56[[#This Row],[Shortname]], Comp[], 17, FALSE)</f>
        <v>0</v>
      </c>
      <c r="S373">
        <f>VLOOKUP(Table56[[#This Row],[Shortname]], Comp[], 18, FALSE)</f>
        <v>0</v>
      </c>
      <c r="T373">
        <f>VLOOKUP(Table56[[#This Row],[Shortname]], Comp[], 19, FALSE)</f>
        <v>0</v>
      </c>
      <c r="U373">
        <f>VLOOKUP(Table56[[#This Row],[Shortname]], Comp[], 20, FALSE)</f>
        <v>0</v>
      </c>
      <c r="V373">
        <f>VLOOKUP(Table56[[#This Row],[Shortname]], Comp[], 21, FALSE)</f>
        <v>0</v>
      </c>
      <c r="W373">
        <f>VLOOKUP(Table56[[#This Row],[Shortname]], Comp[], 22, FALSE)</f>
        <v>0</v>
      </c>
      <c r="X373">
        <f>VLOOKUP(Table56[[#This Row],[Shortname]], Comp[], 23, FALSE)</f>
        <v>12.3</v>
      </c>
      <c r="Y373">
        <f>VLOOKUP(Table56[[#This Row],[Shortname]], Comp[], 24, FALSE)</f>
        <v>0</v>
      </c>
      <c r="Z373">
        <f>VLOOKUP(Table56[[#This Row],[Shortname]], Comp[], 25, FALSE)</f>
        <v>0</v>
      </c>
      <c r="AA373">
        <f>VLOOKUP(Table56[[#This Row],[Shortname]], Comp[], 26, FALSE)</f>
        <v>0</v>
      </c>
      <c r="AB373">
        <f>VLOOKUP(Table56[[#This Row],[Shortname]], Comp[], 27, FALSE)</f>
        <v>0</v>
      </c>
      <c r="AC373">
        <f>VLOOKUP(Table56[[#This Row],[Shortname]], Comp[], 28, FALSE)</f>
        <v>0</v>
      </c>
      <c r="AD373">
        <f>VLOOKUP(Table56[[#This Row],[Shortname]], Comp[], 29, FALSE)</f>
        <v>0</v>
      </c>
      <c r="AE373">
        <f>VLOOKUP(Table56[[#This Row],[Shortname]], Comp[], 30, FALSE)</f>
        <v>0</v>
      </c>
      <c r="AF373">
        <f>VLOOKUP(Table56[[#This Row],[Shortname]], Comp[], 31, FALSE)</f>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DAC0F-1783-43F4-8A0C-2335E588751D}">
  <dimension ref="A1:AF307"/>
  <sheetViews>
    <sheetView topLeftCell="A280" workbookViewId="0">
      <selection activeCell="J19" sqref="J19"/>
    </sheetView>
  </sheetViews>
  <sheetFormatPr defaultRowHeight="14.4" x14ac:dyDescent="0.3"/>
  <sheetData>
    <row r="1" spans="1:32" x14ac:dyDescent="0.3">
      <c r="A1" t="s">
        <v>6527</v>
      </c>
      <c r="B1" t="s">
        <v>6530</v>
      </c>
      <c r="C1" t="s">
        <v>6531</v>
      </c>
      <c r="D1" t="s">
        <v>6798</v>
      </c>
      <c r="E1" t="s">
        <v>6799</v>
      </c>
      <c r="F1" t="s">
        <v>6777</v>
      </c>
      <c r="G1" t="s">
        <v>6532</v>
      </c>
      <c r="H1" t="s">
        <v>0</v>
      </c>
      <c r="I1" t="s">
        <v>6533</v>
      </c>
      <c r="J1" t="s">
        <v>6534</v>
      </c>
      <c r="K1" t="s">
        <v>6535</v>
      </c>
      <c r="L1" t="s">
        <v>6536</v>
      </c>
      <c r="M1" t="s">
        <v>6537</v>
      </c>
      <c r="N1" t="s">
        <v>6538</v>
      </c>
      <c r="O1" t="s">
        <v>6539</v>
      </c>
      <c r="P1" t="s">
        <v>6540</v>
      </c>
      <c r="Q1" t="s">
        <v>6541</v>
      </c>
      <c r="R1" t="s">
        <v>6542</v>
      </c>
      <c r="S1" t="s">
        <v>6543</v>
      </c>
      <c r="T1" t="s">
        <v>5865</v>
      </c>
      <c r="U1" t="s">
        <v>6544</v>
      </c>
      <c r="V1" t="s">
        <v>6545</v>
      </c>
      <c r="W1" t="s">
        <v>6546</v>
      </c>
      <c r="X1" t="s">
        <v>6547</v>
      </c>
      <c r="Y1" t="s">
        <v>6548</v>
      </c>
      <c r="Z1" t="s">
        <v>6549</v>
      </c>
      <c r="AA1" t="s">
        <v>6550</v>
      </c>
      <c r="AB1" t="s">
        <v>6551</v>
      </c>
      <c r="AC1" t="s">
        <v>6552</v>
      </c>
      <c r="AD1" t="s">
        <v>6553</v>
      </c>
      <c r="AE1" t="s">
        <v>6554</v>
      </c>
      <c r="AF1" t="s">
        <v>6555</v>
      </c>
    </row>
    <row r="2" spans="1:32" x14ac:dyDescent="0.3">
      <c r="A2" t="s">
        <v>30</v>
      </c>
      <c r="B2" t="s">
        <v>33</v>
      </c>
      <c r="C2" s="15" t="s">
        <v>6778</v>
      </c>
      <c r="D2">
        <v>25</v>
      </c>
      <c r="E2">
        <v>900</v>
      </c>
      <c r="F2">
        <v>383</v>
      </c>
      <c r="G2">
        <f>VLOOKUP(Table4[[#This Row],[Shortname]], Comp[], 6, FALSE)</f>
        <v>3</v>
      </c>
      <c r="H2" s="14">
        <f>VLOOKUP(Table4[[#This Row],[Shortname]], Comp[], 7, FALSE)</f>
        <v>51</v>
      </c>
      <c r="I2">
        <f>VLOOKUP(Table4[[#This Row],[Shortname]], Comp[], 8, FALSE)</f>
        <v>30</v>
      </c>
      <c r="J2">
        <f>VLOOKUP(Table4[[#This Row],[Shortname]], Comp[], 9, FALSE)</f>
        <v>10</v>
      </c>
      <c r="K2">
        <f>VLOOKUP(Table4[[#This Row],[Shortname]], Comp[], 10, FALSE)</f>
        <v>0</v>
      </c>
      <c r="L2">
        <f>VLOOKUP(Table4[[#This Row],[Shortname]], Comp[], 11, FALSE)</f>
        <v>0.5</v>
      </c>
      <c r="M2">
        <f>VLOOKUP(Table4[[#This Row],[Shortname]], Comp[],12, FALSE)</f>
        <v>2</v>
      </c>
      <c r="N2">
        <f>VLOOKUP(Table4[[#This Row],[Shortname]], Comp[], 13, FALSE)</f>
        <v>2</v>
      </c>
      <c r="O2">
        <f>VLOOKUP(Table4[[#This Row],[Shortname]], Comp[], 14, FALSE)</f>
        <v>0</v>
      </c>
      <c r="P2">
        <f>VLOOKUP(Table4[[#This Row],[Shortname]], Comp[], 15, FALSE)</f>
        <v>0</v>
      </c>
      <c r="Q2">
        <f>VLOOKUP(Table4[[#This Row],[Shortname]], Comp[], 16, FALSE)</f>
        <v>4.5</v>
      </c>
      <c r="R2">
        <f>VLOOKUP(Table4[[#This Row],[Shortname]], Comp[], 17, FALSE)</f>
        <v>0</v>
      </c>
      <c r="S2">
        <f>VLOOKUP(Table4[[#This Row],[Shortname]], Comp[], 18, FALSE)</f>
        <v>0</v>
      </c>
      <c r="T2">
        <f>VLOOKUP(Table4[[#This Row],[Shortname]], Comp[], 19, FALSE)</f>
        <v>0</v>
      </c>
      <c r="U2">
        <f>VLOOKUP(Table4[[#This Row],[Shortname]], Comp[], 20, FALSE)</f>
        <v>0</v>
      </c>
      <c r="V2">
        <f>VLOOKUP(Table4[[#This Row],[Shortname]], Comp[], 21, FALSE)</f>
        <v>0</v>
      </c>
      <c r="W2">
        <f>VLOOKUP(Table4[[#This Row],[Shortname]], Comp[], 22, FALSE)</f>
        <v>0</v>
      </c>
      <c r="X2">
        <f>VLOOKUP(Table4[[#This Row],[Shortname]], Comp[], 23, FALSE)</f>
        <v>0</v>
      </c>
      <c r="Y2">
        <f>VLOOKUP(Table4[[#This Row],[Shortname]], Comp[], 24, FALSE)</f>
        <v>0</v>
      </c>
      <c r="Z2">
        <f>VLOOKUP(Table4[[#This Row],[Shortname]], Comp[], 25, FALSE)</f>
        <v>0</v>
      </c>
      <c r="AA2">
        <f>VLOOKUP(Table4[[#This Row],[Shortname]], Comp[], 26, FALSE)</f>
        <v>0</v>
      </c>
      <c r="AB2">
        <f>VLOOKUP(Table4[[#This Row],[Shortname]], Comp[], 27, FALSE)</f>
        <v>0</v>
      </c>
      <c r="AC2">
        <f>VLOOKUP(Table4[[#This Row],[Shortname]], Comp[], 28, FALSE)</f>
        <v>0</v>
      </c>
      <c r="AD2">
        <f>VLOOKUP(Table4[[#This Row],[Shortname]], Comp[], 29, FALSE)</f>
        <v>0</v>
      </c>
      <c r="AE2">
        <f>VLOOKUP(Table4[[#This Row],[Shortname]], Comp[], 30, FALSE)</f>
        <v>0</v>
      </c>
      <c r="AF2">
        <f>VLOOKUP(Table4[[#This Row],[Shortname]], Comp[], 31, FALSE)</f>
        <v>0</v>
      </c>
    </row>
    <row r="3" spans="1:32" x14ac:dyDescent="0.3">
      <c r="A3" t="s">
        <v>18</v>
      </c>
      <c r="B3" t="s">
        <v>20</v>
      </c>
      <c r="C3" s="15" t="s">
        <v>6779</v>
      </c>
      <c r="D3">
        <v>25</v>
      </c>
      <c r="E3">
        <v>900</v>
      </c>
      <c r="F3">
        <v>375</v>
      </c>
      <c r="G3">
        <f>VLOOKUP(Table4[[#This Row],[Shortname]], Comp[], 6, FALSE)</f>
        <v>2</v>
      </c>
      <c r="H3" s="14">
        <f>VLOOKUP(Table4[[#This Row],[Shortname]], Comp[], 7, FALSE)</f>
        <v>51</v>
      </c>
      <c r="I3">
        <f>VLOOKUP(Table4[[#This Row],[Shortname]], Comp[], 8, FALSE)</f>
        <v>30</v>
      </c>
      <c r="J3">
        <f>VLOOKUP(Table4[[#This Row],[Shortname]], Comp[], 9, FALSE)</f>
        <v>10</v>
      </c>
      <c r="K3">
        <f>VLOOKUP(Table4[[#This Row],[Shortname]], Comp[], 10, FALSE)</f>
        <v>0</v>
      </c>
      <c r="L3">
        <f>VLOOKUP(Table4[[#This Row],[Shortname]], Comp[], 11, FALSE)</f>
        <v>0</v>
      </c>
      <c r="M3">
        <f>VLOOKUP(Table4[[#This Row],[Shortname]], Comp[],12, FALSE)</f>
        <v>2</v>
      </c>
      <c r="N3">
        <f>VLOOKUP(Table4[[#This Row],[Shortname]], Comp[], 13, FALSE)</f>
        <v>2</v>
      </c>
      <c r="O3">
        <f>VLOOKUP(Table4[[#This Row],[Shortname]], Comp[], 14, FALSE)</f>
        <v>0</v>
      </c>
      <c r="P3">
        <f>VLOOKUP(Table4[[#This Row],[Shortname]], Comp[], 15, FALSE)</f>
        <v>0</v>
      </c>
      <c r="Q3">
        <f>VLOOKUP(Table4[[#This Row],[Shortname]], Comp[], 16, FALSE)</f>
        <v>5</v>
      </c>
      <c r="R3">
        <f>VLOOKUP(Table4[[#This Row],[Shortname]], Comp[], 17, FALSE)</f>
        <v>0</v>
      </c>
      <c r="S3">
        <f>VLOOKUP(Table4[[#This Row],[Shortname]], Comp[], 18, FALSE)</f>
        <v>0</v>
      </c>
      <c r="T3">
        <f>VLOOKUP(Table4[[#This Row],[Shortname]], Comp[], 19, FALSE)</f>
        <v>0</v>
      </c>
      <c r="U3">
        <f>VLOOKUP(Table4[[#This Row],[Shortname]], Comp[], 20, FALSE)</f>
        <v>0</v>
      </c>
      <c r="V3">
        <f>VLOOKUP(Table4[[#This Row],[Shortname]], Comp[], 21, FALSE)</f>
        <v>0</v>
      </c>
      <c r="W3">
        <f>VLOOKUP(Table4[[#This Row],[Shortname]], Comp[], 22, FALSE)</f>
        <v>0</v>
      </c>
      <c r="X3">
        <f>VLOOKUP(Table4[[#This Row],[Shortname]], Comp[], 23, FALSE)</f>
        <v>0</v>
      </c>
      <c r="Y3">
        <f>VLOOKUP(Table4[[#This Row],[Shortname]], Comp[], 24, FALSE)</f>
        <v>0</v>
      </c>
      <c r="Z3">
        <f>VLOOKUP(Table4[[#This Row],[Shortname]], Comp[], 25, FALSE)</f>
        <v>0</v>
      </c>
      <c r="AA3">
        <f>VLOOKUP(Table4[[#This Row],[Shortname]], Comp[], 26, FALSE)</f>
        <v>0</v>
      </c>
      <c r="AB3">
        <f>VLOOKUP(Table4[[#This Row],[Shortname]], Comp[], 27, FALSE)</f>
        <v>0</v>
      </c>
      <c r="AC3">
        <f>VLOOKUP(Table4[[#This Row],[Shortname]], Comp[], 28, FALSE)</f>
        <v>0</v>
      </c>
      <c r="AD3">
        <f>VLOOKUP(Table4[[#This Row],[Shortname]], Comp[], 29, FALSE)</f>
        <v>0</v>
      </c>
      <c r="AE3">
        <f>VLOOKUP(Table4[[#This Row],[Shortname]], Comp[], 30, FALSE)</f>
        <v>0</v>
      </c>
      <c r="AF3">
        <f>VLOOKUP(Table4[[#This Row],[Shortname]], Comp[], 31, FALSE)</f>
        <v>0</v>
      </c>
    </row>
    <row r="4" spans="1:32" x14ac:dyDescent="0.3">
      <c r="A4" t="s">
        <v>58</v>
      </c>
      <c r="B4" t="s">
        <v>60</v>
      </c>
      <c r="C4" s="15" t="s">
        <v>6780</v>
      </c>
      <c r="D4">
        <v>25</v>
      </c>
      <c r="E4">
        <v>900</v>
      </c>
      <c r="F4">
        <v>374</v>
      </c>
      <c r="G4">
        <f>VLOOKUP(Table4[[#This Row],[Shortname]], Comp[], 6, FALSE)</f>
        <v>6</v>
      </c>
      <c r="H4" s="14">
        <f>VLOOKUP(Table4[[#This Row],[Shortname]], Comp[], 7, FALSE)</f>
        <v>51</v>
      </c>
      <c r="I4">
        <f>VLOOKUP(Table4[[#This Row],[Shortname]], Comp[], 8, FALSE)</f>
        <v>30</v>
      </c>
      <c r="J4">
        <f>VLOOKUP(Table4[[#This Row],[Shortname]], Comp[], 9, FALSE)</f>
        <v>10</v>
      </c>
      <c r="K4">
        <f>VLOOKUP(Table4[[#This Row],[Shortname]], Comp[], 10, FALSE)</f>
        <v>0</v>
      </c>
      <c r="L4">
        <f>VLOOKUP(Table4[[#This Row],[Shortname]], Comp[], 11, FALSE)</f>
        <v>2</v>
      </c>
      <c r="M4">
        <f>VLOOKUP(Table4[[#This Row],[Shortname]], Comp[],12, FALSE)</f>
        <v>2</v>
      </c>
      <c r="N4">
        <f>VLOOKUP(Table4[[#This Row],[Shortname]], Comp[], 13, FALSE)</f>
        <v>2</v>
      </c>
      <c r="O4">
        <f>VLOOKUP(Table4[[#This Row],[Shortname]], Comp[], 14, FALSE)</f>
        <v>0</v>
      </c>
      <c r="P4">
        <f>VLOOKUP(Table4[[#This Row],[Shortname]], Comp[], 15, FALSE)</f>
        <v>0</v>
      </c>
      <c r="Q4">
        <f>VLOOKUP(Table4[[#This Row],[Shortname]], Comp[], 16, FALSE)</f>
        <v>3</v>
      </c>
      <c r="R4">
        <f>VLOOKUP(Table4[[#This Row],[Shortname]], Comp[], 17, FALSE)</f>
        <v>0</v>
      </c>
      <c r="S4">
        <f>VLOOKUP(Table4[[#This Row],[Shortname]], Comp[], 18, FALSE)</f>
        <v>0</v>
      </c>
      <c r="T4">
        <f>VLOOKUP(Table4[[#This Row],[Shortname]], Comp[], 19, FALSE)</f>
        <v>0</v>
      </c>
      <c r="U4">
        <f>VLOOKUP(Table4[[#This Row],[Shortname]], Comp[], 20, FALSE)</f>
        <v>0</v>
      </c>
      <c r="V4">
        <f>VLOOKUP(Table4[[#This Row],[Shortname]], Comp[], 21, FALSE)</f>
        <v>0</v>
      </c>
      <c r="W4">
        <f>VLOOKUP(Table4[[#This Row],[Shortname]], Comp[], 22, FALSE)</f>
        <v>0</v>
      </c>
      <c r="X4">
        <f>VLOOKUP(Table4[[#This Row],[Shortname]], Comp[], 23, FALSE)</f>
        <v>0</v>
      </c>
      <c r="Y4">
        <f>VLOOKUP(Table4[[#This Row],[Shortname]], Comp[], 24, FALSE)</f>
        <v>0</v>
      </c>
      <c r="Z4">
        <f>VLOOKUP(Table4[[#This Row],[Shortname]], Comp[], 25, FALSE)</f>
        <v>0</v>
      </c>
      <c r="AA4">
        <f>VLOOKUP(Table4[[#This Row],[Shortname]], Comp[], 26, FALSE)</f>
        <v>0</v>
      </c>
      <c r="AB4">
        <f>VLOOKUP(Table4[[#This Row],[Shortname]], Comp[], 27, FALSE)</f>
        <v>0</v>
      </c>
      <c r="AC4">
        <f>VLOOKUP(Table4[[#This Row],[Shortname]], Comp[], 28, FALSE)</f>
        <v>0</v>
      </c>
      <c r="AD4">
        <f>VLOOKUP(Table4[[#This Row],[Shortname]], Comp[], 29, FALSE)</f>
        <v>0</v>
      </c>
      <c r="AE4">
        <f>VLOOKUP(Table4[[#This Row],[Shortname]], Comp[], 30, FALSE)</f>
        <v>0</v>
      </c>
      <c r="AF4">
        <f>VLOOKUP(Table4[[#This Row],[Shortname]], Comp[], 31, FALSE)</f>
        <v>0</v>
      </c>
    </row>
    <row r="5" spans="1:32" x14ac:dyDescent="0.3">
      <c r="A5" t="s">
        <v>49</v>
      </c>
      <c r="B5" t="s">
        <v>51</v>
      </c>
      <c r="C5" s="15" t="s">
        <v>6781</v>
      </c>
      <c r="D5">
        <v>25</v>
      </c>
      <c r="E5">
        <v>900</v>
      </c>
      <c r="F5">
        <v>370</v>
      </c>
      <c r="G5">
        <f>VLOOKUP(Table4[[#This Row],[Shortname]], Comp[], 6, FALSE)</f>
        <v>5</v>
      </c>
      <c r="H5" s="14">
        <f>VLOOKUP(Table4[[#This Row],[Shortname]], Comp[], 7, FALSE)</f>
        <v>51</v>
      </c>
      <c r="I5">
        <f>VLOOKUP(Table4[[#This Row],[Shortname]], Comp[], 8, FALSE)</f>
        <v>30</v>
      </c>
      <c r="J5">
        <f>VLOOKUP(Table4[[#This Row],[Shortname]], Comp[], 9, FALSE)</f>
        <v>10</v>
      </c>
      <c r="K5">
        <f>VLOOKUP(Table4[[#This Row],[Shortname]], Comp[], 10, FALSE)</f>
        <v>0</v>
      </c>
      <c r="L5">
        <f>VLOOKUP(Table4[[#This Row],[Shortname]], Comp[], 11, FALSE)</f>
        <v>1.5</v>
      </c>
      <c r="M5">
        <f>VLOOKUP(Table4[[#This Row],[Shortname]], Comp[],12, FALSE)</f>
        <v>2</v>
      </c>
      <c r="N5">
        <f>VLOOKUP(Table4[[#This Row],[Shortname]], Comp[], 13, FALSE)</f>
        <v>2</v>
      </c>
      <c r="O5">
        <f>VLOOKUP(Table4[[#This Row],[Shortname]], Comp[], 14, FALSE)</f>
        <v>0</v>
      </c>
      <c r="P5">
        <f>VLOOKUP(Table4[[#This Row],[Shortname]], Comp[], 15, FALSE)</f>
        <v>0</v>
      </c>
      <c r="Q5">
        <f>VLOOKUP(Table4[[#This Row],[Shortname]], Comp[], 16, FALSE)</f>
        <v>3.5</v>
      </c>
      <c r="R5">
        <f>VLOOKUP(Table4[[#This Row],[Shortname]], Comp[], 17, FALSE)</f>
        <v>0</v>
      </c>
      <c r="S5">
        <f>VLOOKUP(Table4[[#This Row],[Shortname]], Comp[], 18, FALSE)</f>
        <v>0</v>
      </c>
      <c r="T5">
        <f>VLOOKUP(Table4[[#This Row],[Shortname]], Comp[], 19, FALSE)</f>
        <v>0</v>
      </c>
      <c r="U5">
        <f>VLOOKUP(Table4[[#This Row],[Shortname]], Comp[], 20, FALSE)</f>
        <v>0</v>
      </c>
      <c r="V5">
        <f>VLOOKUP(Table4[[#This Row],[Shortname]], Comp[], 21, FALSE)</f>
        <v>0</v>
      </c>
      <c r="W5">
        <f>VLOOKUP(Table4[[#This Row],[Shortname]], Comp[], 22, FALSE)</f>
        <v>0</v>
      </c>
      <c r="X5">
        <f>VLOOKUP(Table4[[#This Row],[Shortname]], Comp[], 23, FALSE)</f>
        <v>0</v>
      </c>
      <c r="Y5">
        <f>VLOOKUP(Table4[[#This Row],[Shortname]], Comp[], 24, FALSE)</f>
        <v>0</v>
      </c>
      <c r="Z5">
        <f>VLOOKUP(Table4[[#This Row],[Shortname]], Comp[], 25, FALSE)</f>
        <v>0</v>
      </c>
      <c r="AA5">
        <f>VLOOKUP(Table4[[#This Row],[Shortname]], Comp[], 26, FALSE)</f>
        <v>0</v>
      </c>
      <c r="AB5">
        <f>VLOOKUP(Table4[[#This Row],[Shortname]], Comp[], 27, FALSE)</f>
        <v>0</v>
      </c>
      <c r="AC5">
        <f>VLOOKUP(Table4[[#This Row],[Shortname]], Comp[], 28, FALSE)</f>
        <v>0</v>
      </c>
      <c r="AD5">
        <f>VLOOKUP(Table4[[#This Row],[Shortname]], Comp[], 29, FALSE)</f>
        <v>0</v>
      </c>
      <c r="AE5">
        <f>VLOOKUP(Table4[[#This Row],[Shortname]], Comp[], 30, FALSE)</f>
        <v>0</v>
      </c>
      <c r="AF5">
        <f>VLOOKUP(Table4[[#This Row],[Shortname]], Comp[], 31, FALSE)</f>
        <v>0</v>
      </c>
    </row>
    <row r="6" spans="1:32" x14ac:dyDescent="0.3">
      <c r="A6" t="s">
        <v>40</v>
      </c>
      <c r="B6" t="s">
        <v>42</v>
      </c>
      <c r="C6" s="15" t="s">
        <v>6782</v>
      </c>
      <c r="D6">
        <v>25</v>
      </c>
      <c r="E6">
        <v>900</v>
      </c>
      <c r="F6">
        <v>366</v>
      </c>
      <c r="G6">
        <f>VLOOKUP(Table4[[#This Row],[Shortname]], Comp[], 6, FALSE)</f>
        <v>4</v>
      </c>
      <c r="H6" s="14">
        <f>VLOOKUP(Table4[[#This Row],[Shortname]], Comp[], 7, FALSE)</f>
        <v>51</v>
      </c>
      <c r="I6">
        <f>VLOOKUP(Table4[[#This Row],[Shortname]], Comp[], 8, FALSE)</f>
        <v>30</v>
      </c>
      <c r="J6">
        <f>VLOOKUP(Table4[[#This Row],[Shortname]], Comp[], 9, FALSE)</f>
        <v>10</v>
      </c>
      <c r="K6">
        <f>VLOOKUP(Table4[[#This Row],[Shortname]], Comp[], 10, FALSE)</f>
        <v>0</v>
      </c>
      <c r="L6">
        <f>VLOOKUP(Table4[[#This Row],[Shortname]], Comp[], 11, FALSE)</f>
        <v>1</v>
      </c>
      <c r="M6">
        <f>VLOOKUP(Table4[[#This Row],[Shortname]], Comp[],12, FALSE)</f>
        <v>2</v>
      </c>
      <c r="N6">
        <f>VLOOKUP(Table4[[#This Row],[Shortname]], Comp[], 13, FALSE)</f>
        <v>2</v>
      </c>
      <c r="O6">
        <f>VLOOKUP(Table4[[#This Row],[Shortname]], Comp[], 14, FALSE)</f>
        <v>0</v>
      </c>
      <c r="P6">
        <f>VLOOKUP(Table4[[#This Row],[Shortname]], Comp[], 15, FALSE)</f>
        <v>0</v>
      </c>
      <c r="Q6">
        <f>VLOOKUP(Table4[[#This Row],[Shortname]], Comp[], 16, FALSE)</f>
        <v>4</v>
      </c>
      <c r="R6">
        <f>VLOOKUP(Table4[[#This Row],[Shortname]], Comp[], 17, FALSE)</f>
        <v>0</v>
      </c>
      <c r="S6">
        <f>VLOOKUP(Table4[[#This Row],[Shortname]], Comp[], 18, FALSE)</f>
        <v>0</v>
      </c>
      <c r="T6">
        <f>VLOOKUP(Table4[[#This Row],[Shortname]], Comp[], 19, FALSE)</f>
        <v>0</v>
      </c>
      <c r="U6">
        <f>VLOOKUP(Table4[[#This Row],[Shortname]], Comp[], 20, FALSE)</f>
        <v>0</v>
      </c>
      <c r="V6">
        <f>VLOOKUP(Table4[[#This Row],[Shortname]], Comp[], 21, FALSE)</f>
        <v>0</v>
      </c>
      <c r="W6">
        <f>VLOOKUP(Table4[[#This Row],[Shortname]], Comp[], 22, FALSE)</f>
        <v>0</v>
      </c>
      <c r="X6">
        <f>VLOOKUP(Table4[[#This Row],[Shortname]], Comp[], 23, FALSE)</f>
        <v>0</v>
      </c>
      <c r="Y6">
        <f>VLOOKUP(Table4[[#This Row],[Shortname]], Comp[], 24, FALSE)</f>
        <v>0</v>
      </c>
      <c r="Z6">
        <f>VLOOKUP(Table4[[#This Row],[Shortname]], Comp[], 25, FALSE)</f>
        <v>0</v>
      </c>
      <c r="AA6">
        <f>VLOOKUP(Table4[[#This Row],[Shortname]], Comp[], 26, FALSE)</f>
        <v>0</v>
      </c>
      <c r="AB6">
        <f>VLOOKUP(Table4[[#This Row],[Shortname]], Comp[], 27, FALSE)</f>
        <v>0</v>
      </c>
      <c r="AC6">
        <f>VLOOKUP(Table4[[#This Row],[Shortname]], Comp[], 28, FALSE)</f>
        <v>0</v>
      </c>
      <c r="AD6">
        <f>VLOOKUP(Table4[[#This Row],[Shortname]], Comp[], 29, FALSE)</f>
        <v>0</v>
      </c>
      <c r="AE6">
        <f>VLOOKUP(Table4[[#This Row],[Shortname]], Comp[], 30, FALSE)</f>
        <v>0</v>
      </c>
      <c r="AF6">
        <f>VLOOKUP(Table4[[#This Row],[Shortname]], Comp[], 31, FALSE)</f>
        <v>0</v>
      </c>
    </row>
    <row r="7" spans="1:32" x14ac:dyDescent="0.3">
      <c r="A7" t="s">
        <v>506</v>
      </c>
      <c r="B7" t="s">
        <v>506</v>
      </c>
      <c r="C7" s="15" t="s">
        <v>6693</v>
      </c>
      <c r="D7">
        <v>25</v>
      </c>
      <c r="E7">
        <v>650</v>
      </c>
      <c r="F7">
        <v>421.1277658815132</v>
      </c>
      <c r="G7">
        <f>VLOOKUP(Table4[[#This Row],[Shortname]], Comp[], 6, FALSE)</f>
        <v>66</v>
      </c>
      <c r="H7" s="14">
        <f>VLOOKUP(Table4[[#This Row],[Shortname]], Comp[], 7, FALSE)</f>
        <v>83.8</v>
      </c>
      <c r="I7">
        <f>VLOOKUP(Table4[[#This Row],[Shortname]], Comp[], 8, FALSE)</f>
        <v>0</v>
      </c>
      <c r="J7">
        <f>VLOOKUP(Table4[[#This Row],[Shortname]], Comp[], 9, FALSE)</f>
        <v>8.9</v>
      </c>
      <c r="K7">
        <f>VLOOKUP(Table4[[#This Row],[Shortname]], Comp[], 10, FALSE)</f>
        <v>0</v>
      </c>
      <c r="L7">
        <f>VLOOKUP(Table4[[#This Row],[Shortname]], Comp[], 11, FALSE)</f>
        <v>7.3</v>
      </c>
      <c r="M7">
        <f>VLOOKUP(Table4[[#This Row],[Shortname]], Comp[],12, FALSE)</f>
        <v>0</v>
      </c>
      <c r="N7">
        <f>VLOOKUP(Table4[[#This Row],[Shortname]], Comp[], 13, FALSE)</f>
        <v>0</v>
      </c>
      <c r="O7">
        <f>VLOOKUP(Table4[[#This Row],[Shortname]], Comp[], 14, FALSE)</f>
        <v>0</v>
      </c>
      <c r="P7">
        <f>VLOOKUP(Table4[[#This Row],[Shortname]], Comp[], 15, FALSE)</f>
        <v>0</v>
      </c>
      <c r="Q7">
        <f>VLOOKUP(Table4[[#This Row],[Shortname]], Comp[], 16, FALSE)</f>
        <v>0</v>
      </c>
      <c r="R7">
        <f>VLOOKUP(Table4[[#This Row],[Shortname]], Comp[], 17, FALSE)</f>
        <v>0</v>
      </c>
      <c r="S7">
        <f>VLOOKUP(Table4[[#This Row],[Shortname]], Comp[], 18, FALSE)</f>
        <v>0</v>
      </c>
      <c r="T7">
        <f>VLOOKUP(Table4[[#This Row],[Shortname]], Comp[], 19, FALSE)</f>
        <v>0</v>
      </c>
      <c r="U7">
        <f>VLOOKUP(Table4[[#This Row],[Shortname]], Comp[], 20, FALSE)</f>
        <v>0</v>
      </c>
      <c r="V7">
        <f>VLOOKUP(Table4[[#This Row],[Shortname]], Comp[], 21, FALSE)</f>
        <v>0</v>
      </c>
      <c r="W7">
        <f>VLOOKUP(Table4[[#This Row],[Shortname]], Comp[], 22, FALSE)</f>
        <v>0</v>
      </c>
      <c r="X7">
        <f>VLOOKUP(Table4[[#This Row],[Shortname]], Comp[], 23, FALSE)</f>
        <v>0</v>
      </c>
      <c r="Y7">
        <f>VLOOKUP(Table4[[#This Row],[Shortname]], Comp[], 24, FALSE)</f>
        <v>0</v>
      </c>
      <c r="Z7">
        <f>VLOOKUP(Table4[[#This Row],[Shortname]], Comp[], 25, FALSE)</f>
        <v>0</v>
      </c>
      <c r="AA7">
        <f>VLOOKUP(Table4[[#This Row],[Shortname]], Comp[], 26, FALSE)</f>
        <v>0</v>
      </c>
      <c r="AB7">
        <f>VLOOKUP(Table4[[#This Row],[Shortname]], Comp[], 27, FALSE)</f>
        <v>0</v>
      </c>
      <c r="AC7">
        <f>VLOOKUP(Table4[[#This Row],[Shortname]], Comp[], 28, FALSE)</f>
        <v>0</v>
      </c>
      <c r="AD7">
        <f>VLOOKUP(Table4[[#This Row],[Shortname]], Comp[], 29, FALSE)</f>
        <v>0</v>
      </c>
      <c r="AE7">
        <f>VLOOKUP(Table4[[#This Row],[Shortname]], Comp[], 30, FALSE)</f>
        <v>0</v>
      </c>
      <c r="AF7">
        <f>VLOOKUP(Table4[[#This Row],[Shortname]], Comp[], 31, FALSE)</f>
        <v>0</v>
      </c>
    </row>
    <row r="8" spans="1:32" x14ac:dyDescent="0.3">
      <c r="A8" t="s">
        <v>506</v>
      </c>
      <c r="B8" t="s">
        <v>506</v>
      </c>
      <c r="C8" s="15" t="s">
        <v>6693</v>
      </c>
      <c r="D8">
        <v>25</v>
      </c>
      <c r="E8">
        <v>750</v>
      </c>
      <c r="F8">
        <v>440.50168247170393</v>
      </c>
      <c r="G8">
        <f>VLOOKUP(Table4[[#This Row],[Shortname]], Comp[], 6, FALSE)</f>
        <v>66</v>
      </c>
      <c r="H8" s="14">
        <f>VLOOKUP(Table4[[#This Row],[Shortname]], Comp[], 7, FALSE)</f>
        <v>83.8</v>
      </c>
      <c r="I8">
        <f>VLOOKUP(Table4[[#This Row],[Shortname]], Comp[], 8, FALSE)</f>
        <v>0</v>
      </c>
      <c r="J8">
        <f>VLOOKUP(Table4[[#This Row],[Shortname]], Comp[], 9, FALSE)</f>
        <v>8.9</v>
      </c>
      <c r="K8">
        <f>VLOOKUP(Table4[[#This Row],[Shortname]], Comp[], 10, FALSE)</f>
        <v>0</v>
      </c>
      <c r="L8">
        <f>VLOOKUP(Table4[[#This Row],[Shortname]], Comp[], 11, FALSE)</f>
        <v>7.3</v>
      </c>
      <c r="M8">
        <f>VLOOKUP(Table4[[#This Row],[Shortname]], Comp[],12, FALSE)</f>
        <v>0</v>
      </c>
      <c r="N8">
        <f>VLOOKUP(Table4[[#This Row],[Shortname]], Comp[], 13, FALSE)</f>
        <v>0</v>
      </c>
      <c r="O8">
        <f>VLOOKUP(Table4[[#This Row],[Shortname]], Comp[], 14, FALSE)</f>
        <v>0</v>
      </c>
      <c r="P8">
        <f>VLOOKUP(Table4[[#This Row],[Shortname]], Comp[], 15, FALSE)</f>
        <v>0</v>
      </c>
      <c r="Q8">
        <f>VLOOKUP(Table4[[#This Row],[Shortname]], Comp[], 16, FALSE)</f>
        <v>0</v>
      </c>
      <c r="R8">
        <f>VLOOKUP(Table4[[#This Row],[Shortname]], Comp[], 17, FALSE)</f>
        <v>0</v>
      </c>
      <c r="S8">
        <f>VLOOKUP(Table4[[#This Row],[Shortname]], Comp[], 18, FALSE)</f>
        <v>0</v>
      </c>
      <c r="T8">
        <f>VLOOKUP(Table4[[#This Row],[Shortname]], Comp[], 19, FALSE)</f>
        <v>0</v>
      </c>
      <c r="U8">
        <f>VLOOKUP(Table4[[#This Row],[Shortname]], Comp[], 20, FALSE)</f>
        <v>0</v>
      </c>
      <c r="V8">
        <f>VLOOKUP(Table4[[#This Row],[Shortname]], Comp[], 21, FALSE)</f>
        <v>0</v>
      </c>
      <c r="W8">
        <f>VLOOKUP(Table4[[#This Row],[Shortname]], Comp[], 22, FALSE)</f>
        <v>0</v>
      </c>
      <c r="X8">
        <f>VLOOKUP(Table4[[#This Row],[Shortname]], Comp[], 23, FALSE)</f>
        <v>0</v>
      </c>
      <c r="Y8">
        <f>VLOOKUP(Table4[[#This Row],[Shortname]], Comp[], 24, FALSE)</f>
        <v>0</v>
      </c>
      <c r="Z8">
        <f>VLOOKUP(Table4[[#This Row],[Shortname]], Comp[], 25, FALSE)</f>
        <v>0</v>
      </c>
      <c r="AA8">
        <f>VLOOKUP(Table4[[#This Row],[Shortname]], Comp[], 26, FALSE)</f>
        <v>0</v>
      </c>
      <c r="AB8">
        <f>VLOOKUP(Table4[[#This Row],[Shortname]], Comp[], 27, FALSE)</f>
        <v>0</v>
      </c>
      <c r="AC8">
        <f>VLOOKUP(Table4[[#This Row],[Shortname]], Comp[], 28, FALSE)</f>
        <v>0</v>
      </c>
      <c r="AD8">
        <f>VLOOKUP(Table4[[#This Row],[Shortname]], Comp[], 29, FALSE)</f>
        <v>0</v>
      </c>
      <c r="AE8">
        <f>VLOOKUP(Table4[[#This Row],[Shortname]], Comp[], 30, FALSE)</f>
        <v>0</v>
      </c>
      <c r="AF8">
        <f>VLOOKUP(Table4[[#This Row],[Shortname]], Comp[], 31, FALSE)</f>
        <v>0</v>
      </c>
    </row>
    <row r="9" spans="1:32" x14ac:dyDescent="0.3">
      <c r="A9" t="s">
        <v>588</v>
      </c>
      <c r="B9" t="s">
        <v>590</v>
      </c>
      <c r="C9" s="15" t="s">
        <v>6693</v>
      </c>
      <c r="D9">
        <v>25</v>
      </c>
      <c r="E9">
        <v>900</v>
      </c>
      <c r="F9">
        <v>312.54206179259717</v>
      </c>
      <c r="G9">
        <f>VLOOKUP(Table4[[#This Row],[Shortname]], Comp[], 6, FALSE)</f>
        <v>76</v>
      </c>
      <c r="H9" s="14">
        <f>VLOOKUP(Table4[[#This Row],[Shortname]], Comp[], 7, FALSE)</f>
        <v>82.777100000000004</v>
      </c>
      <c r="I9">
        <f>VLOOKUP(Table4[[#This Row],[Shortname]], Comp[], 8, FALSE)</f>
        <v>0</v>
      </c>
      <c r="J9">
        <f>VLOOKUP(Table4[[#This Row],[Shortname]], Comp[], 9, FALSE)</f>
        <v>9.5299999999999994</v>
      </c>
      <c r="K9">
        <f>VLOOKUP(Table4[[#This Row],[Shortname]], Comp[], 10, FALSE)</f>
        <v>0</v>
      </c>
      <c r="L9">
        <f>VLOOKUP(Table4[[#This Row],[Shortname]], Comp[], 11, FALSE)</f>
        <v>7.66</v>
      </c>
      <c r="M9">
        <f>VLOOKUP(Table4[[#This Row],[Shortname]], Comp[],12, FALSE)</f>
        <v>0</v>
      </c>
      <c r="N9">
        <f>VLOOKUP(Table4[[#This Row],[Shortname]], Comp[], 13, FALSE)</f>
        <v>0</v>
      </c>
      <c r="O9">
        <f>VLOOKUP(Table4[[#This Row],[Shortname]], Comp[], 14, FALSE)</f>
        <v>0</v>
      </c>
      <c r="P9">
        <f>VLOOKUP(Table4[[#This Row],[Shortname]], Comp[], 15, FALSE)</f>
        <v>0</v>
      </c>
      <c r="Q9">
        <f>VLOOKUP(Table4[[#This Row],[Shortname]], Comp[], 16, FALSE)</f>
        <v>0</v>
      </c>
      <c r="R9">
        <f>VLOOKUP(Table4[[#This Row],[Shortname]], Comp[], 17, FALSE)</f>
        <v>0</v>
      </c>
      <c r="S9">
        <f>VLOOKUP(Table4[[#This Row],[Shortname]], Comp[], 18, FALSE)</f>
        <v>2.75E-2</v>
      </c>
      <c r="T9">
        <f>VLOOKUP(Table4[[#This Row],[Shortname]], Comp[], 19, FALSE)</f>
        <v>5.4000000000000003E-3</v>
      </c>
      <c r="U9">
        <f>VLOOKUP(Table4[[#This Row],[Shortname]], Comp[], 20, FALSE)</f>
        <v>0</v>
      </c>
      <c r="V9">
        <f>VLOOKUP(Table4[[#This Row],[Shortname]], Comp[], 21, FALSE)</f>
        <v>0</v>
      </c>
      <c r="W9">
        <f>VLOOKUP(Table4[[#This Row],[Shortname]], Comp[], 22, FALSE)</f>
        <v>0</v>
      </c>
      <c r="X9">
        <f>VLOOKUP(Table4[[#This Row],[Shortname]], Comp[], 23, FALSE)</f>
        <v>0</v>
      </c>
      <c r="Y9">
        <f>VLOOKUP(Table4[[#This Row],[Shortname]], Comp[], 24, FALSE)</f>
        <v>0</v>
      </c>
      <c r="Z9">
        <f>VLOOKUP(Table4[[#This Row],[Shortname]], Comp[], 25, FALSE)</f>
        <v>0</v>
      </c>
      <c r="AA9">
        <f>VLOOKUP(Table4[[#This Row],[Shortname]], Comp[], 26, FALSE)</f>
        <v>0</v>
      </c>
      <c r="AB9">
        <f>VLOOKUP(Table4[[#This Row],[Shortname]], Comp[], 27, FALSE)</f>
        <v>0</v>
      </c>
      <c r="AC9">
        <f>VLOOKUP(Table4[[#This Row],[Shortname]], Comp[], 28, FALSE)</f>
        <v>0</v>
      </c>
      <c r="AD9">
        <f>VLOOKUP(Table4[[#This Row],[Shortname]], Comp[], 29, FALSE)</f>
        <v>0</v>
      </c>
      <c r="AE9">
        <f>VLOOKUP(Table4[[#This Row],[Shortname]], Comp[], 30, FALSE)</f>
        <v>0</v>
      </c>
      <c r="AF9">
        <f>VLOOKUP(Table4[[#This Row],[Shortname]], Comp[], 31, FALSE)</f>
        <v>0</v>
      </c>
    </row>
    <row r="10" spans="1:32" x14ac:dyDescent="0.3">
      <c r="A10" t="s">
        <v>573</v>
      </c>
      <c r="B10" t="s">
        <v>574</v>
      </c>
      <c r="C10" s="15" t="s">
        <v>6693</v>
      </c>
      <c r="D10">
        <v>25</v>
      </c>
      <c r="E10">
        <v>900</v>
      </c>
      <c r="F10">
        <v>308.74885286020191</v>
      </c>
      <c r="G10">
        <f>VLOOKUP(Table4[[#This Row],[Shortname]], Comp[], 6, FALSE)</f>
        <v>74</v>
      </c>
      <c r="H10" s="14">
        <f>VLOOKUP(Table4[[#This Row],[Shortname]], Comp[], 7, FALSE)</f>
        <v>82.500799999999998</v>
      </c>
      <c r="I10">
        <f>VLOOKUP(Table4[[#This Row],[Shortname]], Comp[], 8, FALSE)</f>
        <v>0</v>
      </c>
      <c r="J10">
        <f>VLOOKUP(Table4[[#This Row],[Shortname]], Comp[], 9, FALSE)</f>
        <v>9.85</v>
      </c>
      <c r="K10">
        <f>VLOOKUP(Table4[[#This Row],[Shortname]], Comp[], 10, FALSE)</f>
        <v>0</v>
      </c>
      <c r="L10">
        <f>VLOOKUP(Table4[[#This Row],[Shortname]], Comp[], 11, FALSE)</f>
        <v>7.64</v>
      </c>
      <c r="M10">
        <f>VLOOKUP(Table4[[#This Row],[Shortname]], Comp[],12, FALSE)</f>
        <v>0</v>
      </c>
      <c r="N10">
        <f>VLOOKUP(Table4[[#This Row],[Shortname]], Comp[], 13, FALSE)</f>
        <v>0</v>
      </c>
      <c r="O10">
        <f>VLOOKUP(Table4[[#This Row],[Shortname]], Comp[], 14, FALSE)</f>
        <v>0</v>
      </c>
      <c r="P10">
        <f>VLOOKUP(Table4[[#This Row],[Shortname]], Comp[], 15, FALSE)</f>
        <v>0</v>
      </c>
      <c r="Q10">
        <f>VLOOKUP(Table4[[#This Row],[Shortname]], Comp[], 16, FALSE)</f>
        <v>0</v>
      </c>
      <c r="R10">
        <f>VLOOKUP(Table4[[#This Row],[Shortname]], Comp[], 17, FALSE)</f>
        <v>0</v>
      </c>
      <c r="S10">
        <f>VLOOKUP(Table4[[#This Row],[Shortname]], Comp[], 18, FALSE)</f>
        <v>0</v>
      </c>
      <c r="T10">
        <f>VLOOKUP(Table4[[#This Row],[Shortname]], Comp[], 19, FALSE)</f>
        <v>9.1999999999999998E-3</v>
      </c>
      <c r="U10">
        <f>VLOOKUP(Table4[[#This Row],[Shortname]], Comp[], 20, FALSE)</f>
        <v>0</v>
      </c>
      <c r="V10">
        <f>VLOOKUP(Table4[[#This Row],[Shortname]], Comp[], 21, FALSE)</f>
        <v>0</v>
      </c>
      <c r="W10">
        <f>VLOOKUP(Table4[[#This Row],[Shortname]], Comp[], 22, FALSE)</f>
        <v>0</v>
      </c>
      <c r="X10">
        <f>VLOOKUP(Table4[[#This Row],[Shortname]], Comp[], 23, FALSE)</f>
        <v>0</v>
      </c>
      <c r="Y10">
        <f>VLOOKUP(Table4[[#This Row],[Shortname]], Comp[], 24, FALSE)</f>
        <v>0</v>
      </c>
      <c r="Z10">
        <f>VLOOKUP(Table4[[#This Row],[Shortname]], Comp[], 25, FALSE)</f>
        <v>0</v>
      </c>
      <c r="AA10">
        <f>VLOOKUP(Table4[[#This Row],[Shortname]], Comp[], 26, FALSE)</f>
        <v>0</v>
      </c>
      <c r="AB10">
        <f>VLOOKUP(Table4[[#This Row],[Shortname]], Comp[], 27, FALSE)</f>
        <v>0</v>
      </c>
      <c r="AC10">
        <f>VLOOKUP(Table4[[#This Row],[Shortname]], Comp[], 28, FALSE)</f>
        <v>0</v>
      </c>
      <c r="AD10">
        <f>VLOOKUP(Table4[[#This Row],[Shortname]], Comp[], 29, FALSE)</f>
        <v>0</v>
      </c>
      <c r="AE10">
        <f>VLOOKUP(Table4[[#This Row],[Shortname]], Comp[], 30, FALSE)</f>
        <v>0</v>
      </c>
      <c r="AF10">
        <f>VLOOKUP(Table4[[#This Row],[Shortname]], Comp[], 31, FALSE)</f>
        <v>0</v>
      </c>
    </row>
    <row r="11" spans="1:32" x14ac:dyDescent="0.3">
      <c r="A11" t="s">
        <v>581</v>
      </c>
      <c r="B11" t="s">
        <v>583</v>
      </c>
      <c r="C11" s="15" t="s">
        <v>6693</v>
      </c>
      <c r="D11">
        <v>25</v>
      </c>
      <c r="E11">
        <v>900</v>
      </c>
      <c r="F11">
        <v>300.21413276231266</v>
      </c>
      <c r="G11">
        <f>VLOOKUP(Table4[[#This Row],[Shortname]], Comp[], 6, FALSE)</f>
        <v>75</v>
      </c>
      <c r="H11" s="14">
        <f>VLOOKUP(Table4[[#This Row],[Shortname]], Comp[], 7, FALSE)</f>
        <v>82.984999999999999</v>
      </c>
      <c r="I11">
        <f>VLOOKUP(Table4[[#This Row],[Shortname]], Comp[], 8, FALSE)</f>
        <v>0</v>
      </c>
      <c r="J11">
        <f>VLOOKUP(Table4[[#This Row],[Shortname]], Comp[], 9, FALSE)</f>
        <v>9.58</v>
      </c>
      <c r="K11">
        <f>VLOOKUP(Table4[[#This Row],[Shortname]], Comp[], 10, FALSE)</f>
        <v>0</v>
      </c>
      <c r="L11">
        <f>VLOOKUP(Table4[[#This Row],[Shortname]], Comp[], 11, FALSE)</f>
        <v>7.4</v>
      </c>
      <c r="M11">
        <f>VLOOKUP(Table4[[#This Row],[Shortname]], Comp[],12, FALSE)</f>
        <v>0</v>
      </c>
      <c r="N11">
        <f>VLOOKUP(Table4[[#This Row],[Shortname]], Comp[], 13, FALSE)</f>
        <v>0</v>
      </c>
      <c r="O11">
        <f>VLOOKUP(Table4[[#This Row],[Shortname]], Comp[], 14, FALSE)</f>
        <v>0</v>
      </c>
      <c r="P11">
        <f>VLOOKUP(Table4[[#This Row],[Shortname]], Comp[], 15, FALSE)</f>
        <v>0</v>
      </c>
      <c r="Q11">
        <f>VLOOKUP(Table4[[#This Row],[Shortname]], Comp[], 16, FALSE)</f>
        <v>0</v>
      </c>
      <c r="R11">
        <f>VLOOKUP(Table4[[#This Row],[Shortname]], Comp[], 17, FALSE)</f>
        <v>0</v>
      </c>
      <c r="S11">
        <f>VLOOKUP(Table4[[#This Row],[Shortname]], Comp[], 18, FALSE)</f>
        <v>3.5000000000000003E-2</v>
      </c>
      <c r="T11">
        <f>VLOOKUP(Table4[[#This Row],[Shortname]], Comp[], 19, FALSE)</f>
        <v>0</v>
      </c>
      <c r="U11">
        <f>VLOOKUP(Table4[[#This Row],[Shortname]], Comp[], 20, FALSE)</f>
        <v>0</v>
      </c>
      <c r="V11">
        <f>VLOOKUP(Table4[[#This Row],[Shortname]], Comp[], 21, FALSE)</f>
        <v>0</v>
      </c>
      <c r="W11">
        <f>VLOOKUP(Table4[[#This Row],[Shortname]], Comp[], 22, FALSE)</f>
        <v>0</v>
      </c>
      <c r="X11">
        <f>VLOOKUP(Table4[[#This Row],[Shortname]], Comp[], 23, FALSE)</f>
        <v>0</v>
      </c>
      <c r="Y11">
        <f>VLOOKUP(Table4[[#This Row],[Shortname]], Comp[], 24, FALSE)</f>
        <v>0</v>
      </c>
      <c r="Z11">
        <f>VLOOKUP(Table4[[#This Row],[Shortname]], Comp[], 25, FALSE)</f>
        <v>0</v>
      </c>
      <c r="AA11">
        <f>VLOOKUP(Table4[[#This Row],[Shortname]], Comp[], 26, FALSE)</f>
        <v>0</v>
      </c>
      <c r="AB11">
        <f>VLOOKUP(Table4[[#This Row],[Shortname]], Comp[], 27, FALSE)</f>
        <v>0</v>
      </c>
      <c r="AC11">
        <f>VLOOKUP(Table4[[#This Row],[Shortname]], Comp[], 28, FALSE)</f>
        <v>0</v>
      </c>
      <c r="AD11">
        <f>VLOOKUP(Table4[[#This Row],[Shortname]], Comp[], 29, FALSE)</f>
        <v>0</v>
      </c>
      <c r="AE11">
        <f>VLOOKUP(Table4[[#This Row],[Shortname]], Comp[], 30, FALSE)</f>
        <v>0</v>
      </c>
      <c r="AF11">
        <f>VLOOKUP(Table4[[#This Row],[Shortname]], Comp[], 31, FALSE)</f>
        <v>0</v>
      </c>
    </row>
    <row r="12" spans="1:32" x14ac:dyDescent="0.3">
      <c r="A12" t="s">
        <v>561</v>
      </c>
      <c r="B12" t="s">
        <v>561</v>
      </c>
      <c r="C12" s="15" t="s">
        <v>6693</v>
      </c>
      <c r="D12">
        <v>25</v>
      </c>
      <c r="E12">
        <v>900</v>
      </c>
      <c r="F12">
        <v>296.88997654736397</v>
      </c>
      <c r="G12">
        <f>VLOOKUP(Table4[[#This Row],[Shortname]], Comp[], 6, FALSE)</f>
        <v>72</v>
      </c>
      <c r="H12" s="14">
        <f>VLOOKUP(Table4[[#This Row],[Shortname]], Comp[], 7, FALSE)</f>
        <v>83.06</v>
      </c>
      <c r="I12">
        <f>VLOOKUP(Table4[[#This Row],[Shortname]], Comp[], 8, FALSE)</f>
        <v>0</v>
      </c>
      <c r="J12">
        <f>VLOOKUP(Table4[[#This Row],[Shortname]], Comp[], 9, FALSE)</f>
        <v>9.49</v>
      </c>
      <c r="K12">
        <f>VLOOKUP(Table4[[#This Row],[Shortname]], Comp[], 10, FALSE)</f>
        <v>0</v>
      </c>
      <c r="L12">
        <f>VLOOKUP(Table4[[#This Row],[Shortname]], Comp[], 11, FALSE)</f>
        <v>7.45</v>
      </c>
      <c r="M12">
        <f>VLOOKUP(Table4[[#This Row],[Shortname]], Comp[],12, FALSE)</f>
        <v>0</v>
      </c>
      <c r="N12">
        <f>VLOOKUP(Table4[[#This Row],[Shortname]], Comp[], 13, FALSE)</f>
        <v>0</v>
      </c>
      <c r="O12">
        <f>VLOOKUP(Table4[[#This Row],[Shortname]], Comp[], 14, FALSE)</f>
        <v>0</v>
      </c>
      <c r="P12">
        <f>VLOOKUP(Table4[[#This Row],[Shortname]], Comp[], 15, FALSE)</f>
        <v>0</v>
      </c>
      <c r="Q12">
        <f>VLOOKUP(Table4[[#This Row],[Shortname]], Comp[], 16, FALSE)</f>
        <v>0</v>
      </c>
      <c r="R12">
        <f>VLOOKUP(Table4[[#This Row],[Shortname]], Comp[], 17, FALSE)</f>
        <v>0</v>
      </c>
      <c r="S12">
        <f>VLOOKUP(Table4[[#This Row],[Shortname]], Comp[], 18, FALSE)</f>
        <v>0</v>
      </c>
      <c r="T12">
        <f>VLOOKUP(Table4[[#This Row],[Shortname]], Comp[], 19, FALSE)</f>
        <v>0</v>
      </c>
      <c r="U12">
        <f>VLOOKUP(Table4[[#This Row],[Shortname]], Comp[], 20, FALSE)</f>
        <v>0</v>
      </c>
      <c r="V12">
        <f>VLOOKUP(Table4[[#This Row],[Shortname]], Comp[], 21, FALSE)</f>
        <v>0</v>
      </c>
      <c r="W12">
        <f>VLOOKUP(Table4[[#This Row],[Shortname]], Comp[], 22, FALSE)</f>
        <v>0</v>
      </c>
      <c r="X12">
        <f>VLOOKUP(Table4[[#This Row],[Shortname]], Comp[], 23, FALSE)</f>
        <v>0</v>
      </c>
      <c r="Y12">
        <f>VLOOKUP(Table4[[#This Row],[Shortname]], Comp[], 24, FALSE)</f>
        <v>0</v>
      </c>
      <c r="Z12">
        <f>VLOOKUP(Table4[[#This Row],[Shortname]], Comp[], 25, FALSE)</f>
        <v>0</v>
      </c>
      <c r="AA12">
        <f>VLOOKUP(Table4[[#This Row],[Shortname]], Comp[], 26, FALSE)</f>
        <v>0</v>
      </c>
      <c r="AB12">
        <f>VLOOKUP(Table4[[#This Row],[Shortname]], Comp[], 27, FALSE)</f>
        <v>0</v>
      </c>
      <c r="AC12">
        <f>VLOOKUP(Table4[[#This Row],[Shortname]], Comp[], 28, FALSE)</f>
        <v>0</v>
      </c>
      <c r="AD12">
        <f>VLOOKUP(Table4[[#This Row],[Shortname]], Comp[], 29, FALSE)</f>
        <v>0</v>
      </c>
      <c r="AE12">
        <f>VLOOKUP(Table4[[#This Row],[Shortname]], Comp[], 30, FALSE)</f>
        <v>0</v>
      </c>
      <c r="AF12">
        <f>VLOOKUP(Table4[[#This Row],[Shortname]], Comp[], 31, FALSE)</f>
        <v>0</v>
      </c>
    </row>
    <row r="13" spans="1:32" x14ac:dyDescent="0.3">
      <c r="A13" t="s">
        <v>567</v>
      </c>
      <c r="B13" t="s">
        <v>569</v>
      </c>
      <c r="C13" s="15" t="s">
        <v>6693</v>
      </c>
      <c r="D13">
        <v>25</v>
      </c>
      <c r="E13">
        <v>900</v>
      </c>
      <c r="F13">
        <v>294.99337208116651</v>
      </c>
      <c r="G13">
        <f>VLOOKUP(Table4[[#This Row],[Shortname]], Comp[], 6, FALSE)</f>
        <v>73</v>
      </c>
      <c r="H13" s="14">
        <f>VLOOKUP(Table4[[#This Row],[Shortname]], Comp[], 7, FALSE)</f>
        <v>82.901499999999999</v>
      </c>
      <c r="I13">
        <f>VLOOKUP(Table4[[#This Row],[Shortname]], Comp[], 8, FALSE)</f>
        <v>0</v>
      </c>
      <c r="J13">
        <f>VLOOKUP(Table4[[#This Row],[Shortname]], Comp[], 9, FALSE)</f>
        <v>9.56</v>
      </c>
      <c r="K13">
        <f>VLOOKUP(Table4[[#This Row],[Shortname]], Comp[], 10, FALSE)</f>
        <v>0</v>
      </c>
      <c r="L13">
        <f>VLOOKUP(Table4[[#This Row],[Shortname]], Comp[], 11, FALSE)</f>
        <v>7.5</v>
      </c>
      <c r="M13">
        <f>VLOOKUP(Table4[[#This Row],[Shortname]], Comp[],12, FALSE)</f>
        <v>0</v>
      </c>
      <c r="N13">
        <f>VLOOKUP(Table4[[#This Row],[Shortname]], Comp[], 13, FALSE)</f>
        <v>0</v>
      </c>
      <c r="O13">
        <f>VLOOKUP(Table4[[#This Row],[Shortname]], Comp[], 14, FALSE)</f>
        <v>0</v>
      </c>
      <c r="P13">
        <f>VLOOKUP(Table4[[#This Row],[Shortname]], Comp[], 15, FALSE)</f>
        <v>0</v>
      </c>
      <c r="Q13">
        <f>VLOOKUP(Table4[[#This Row],[Shortname]], Comp[], 16, FALSE)</f>
        <v>0</v>
      </c>
      <c r="R13">
        <f>VLOOKUP(Table4[[#This Row],[Shortname]], Comp[], 17, FALSE)</f>
        <v>0</v>
      </c>
      <c r="S13">
        <f>VLOOKUP(Table4[[#This Row],[Shortname]], Comp[], 18, FALSE)</f>
        <v>0</v>
      </c>
      <c r="T13">
        <f>VLOOKUP(Table4[[#This Row],[Shortname]], Comp[], 19, FALSE)</f>
        <v>3.85E-2</v>
      </c>
      <c r="U13">
        <f>VLOOKUP(Table4[[#This Row],[Shortname]], Comp[], 20, FALSE)</f>
        <v>0</v>
      </c>
      <c r="V13">
        <f>VLOOKUP(Table4[[#This Row],[Shortname]], Comp[], 21, FALSE)</f>
        <v>0</v>
      </c>
      <c r="W13">
        <f>VLOOKUP(Table4[[#This Row],[Shortname]], Comp[], 22, FALSE)</f>
        <v>0</v>
      </c>
      <c r="X13">
        <f>VLOOKUP(Table4[[#This Row],[Shortname]], Comp[], 23, FALSE)</f>
        <v>0</v>
      </c>
      <c r="Y13">
        <f>VLOOKUP(Table4[[#This Row],[Shortname]], Comp[], 24, FALSE)</f>
        <v>0</v>
      </c>
      <c r="Z13">
        <f>VLOOKUP(Table4[[#This Row],[Shortname]], Comp[], 25, FALSE)</f>
        <v>0</v>
      </c>
      <c r="AA13">
        <f>VLOOKUP(Table4[[#This Row],[Shortname]], Comp[], 26, FALSE)</f>
        <v>0</v>
      </c>
      <c r="AB13">
        <f>VLOOKUP(Table4[[#This Row],[Shortname]], Comp[], 27, FALSE)</f>
        <v>0</v>
      </c>
      <c r="AC13">
        <f>VLOOKUP(Table4[[#This Row],[Shortname]], Comp[], 28, FALSE)</f>
        <v>0</v>
      </c>
      <c r="AD13">
        <f>VLOOKUP(Table4[[#This Row],[Shortname]], Comp[], 29, FALSE)</f>
        <v>0</v>
      </c>
      <c r="AE13">
        <f>VLOOKUP(Table4[[#This Row],[Shortname]], Comp[], 30, FALSE)</f>
        <v>0</v>
      </c>
      <c r="AF13">
        <f>VLOOKUP(Table4[[#This Row],[Shortname]], Comp[], 31, FALSE)</f>
        <v>0</v>
      </c>
    </row>
    <row r="14" spans="1:32" x14ac:dyDescent="0.3">
      <c r="A14" s="7" t="s">
        <v>496</v>
      </c>
      <c r="B14" t="s">
        <v>498</v>
      </c>
      <c r="C14" s="15" t="s">
        <v>6693</v>
      </c>
      <c r="D14">
        <v>25</v>
      </c>
      <c r="E14">
        <v>900</v>
      </c>
      <c r="F14">
        <v>292.73987967778118</v>
      </c>
      <c r="G14">
        <f>VLOOKUP(Table4[[#This Row],[Shortname]], Comp[], 6, FALSE)</f>
        <v>65</v>
      </c>
      <c r="H14" s="14">
        <f>VLOOKUP(Table4[[#This Row],[Shortname]], Comp[], 7, FALSE)</f>
        <v>71.599999999999994</v>
      </c>
      <c r="I14">
        <f>VLOOKUP(Table4[[#This Row],[Shortname]], Comp[], 8, FALSE)</f>
        <v>10.1</v>
      </c>
      <c r="J14">
        <f>VLOOKUP(Table4[[#This Row],[Shortname]], Comp[], 9, FALSE)</f>
        <v>5.2</v>
      </c>
      <c r="K14">
        <f>VLOOKUP(Table4[[#This Row],[Shortname]], Comp[], 10, FALSE)</f>
        <v>0</v>
      </c>
      <c r="L14">
        <f>VLOOKUP(Table4[[#This Row],[Shortname]], Comp[], 11, FALSE)</f>
        <v>6.7</v>
      </c>
      <c r="M14">
        <f>VLOOKUP(Table4[[#This Row],[Shortname]], Comp[],12, FALSE)</f>
        <v>6.4</v>
      </c>
      <c r="N14">
        <f>VLOOKUP(Table4[[#This Row],[Shortname]], Comp[], 13, FALSE)</f>
        <v>0</v>
      </c>
      <c r="O14">
        <f>VLOOKUP(Table4[[#This Row],[Shortname]], Comp[], 14, FALSE)</f>
        <v>0</v>
      </c>
      <c r="P14">
        <f>VLOOKUP(Table4[[#This Row],[Shortname]], Comp[], 15, FALSE)</f>
        <v>0</v>
      </c>
      <c r="Q14">
        <f>VLOOKUP(Table4[[#This Row],[Shortname]], Comp[], 16, FALSE)</f>
        <v>0</v>
      </c>
      <c r="R14">
        <f>VLOOKUP(Table4[[#This Row],[Shortname]], Comp[], 17, FALSE)</f>
        <v>0</v>
      </c>
      <c r="S14">
        <f>VLOOKUP(Table4[[#This Row],[Shortname]], Comp[], 18, FALSE)</f>
        <v>0</v>
      </c>
      <c r="T14">
        <f>VLOOKUP(Table4[[#This Row],[Shortname]], Comp[], 19, FALSE)</f>
        <v>0</v>
      </c>
      <c r="U14">
        <f>VLOOKUP(Table4[[#This Row],[Shortname]], Comp[], 20, FALSE)</f>
        <v>0</v>
      </c>
      <c r="V14">
        <f>VLOOKUP(Table4[[#This Row],[Shortname]], Comp[], 21, FALSE)</f>
        <v>0</v>
      </c>
      <c r="W14">
        <f>VLOOKUP(Table4[[#This Row],[Shortname]], Comp[], 22, FALSE)</f>
        <v>0</v>
      </c>
      <c r="X14">
        <f>VLOOKUP(Table4[[#This Row],[Shortname]], Comp[], 23, FALSE)</f>
        <v>0</v>
      </c>
      <c r="Y14">
        <f>VLOOKUP(Table4[[#This Row],[Shortname]], Comp[], 24, FALSE)</f>
        <v>0</v>
      </c>
      <c r="Z14">
        <f>VLOOKUP(Table4[[#This Row],[Shortname]], Comp[], 25, FALSE)</f>
        <v>0</v>
      </c>
      <c r="AA14">
        <f>VLOOKUP(Table4[[#This Row],[Shortname]], Comp[], 26, FALSE)</f>
        <v>0</v>
      </c>
      <c r="AB14">
        <f>VLOOKUP(Table4[[#This Row],[Shortname]], Comp[], 27, FALSE)</f>
        <v>0</v>
      </c>
      <c r="AC14">
        <f>VLOOKUP(Table4[[#This Row],[Shortname]], Comp[], 28, FALSE)</f>
        <v>0</v>
      </c>
      <c r="AD14">
        <f>VLOOKUP(Table4[[#This Row],[Shortname]], Comp[], 29, FALSE)</f>
        <v>0</v>
      </c>
      <c r="AE14">
        <f>VLOOKUP(Table4[[#This Row],[Shortname]], Comp[], 30, FALSE)</f>
        <v>0</v>
      </c>
      <c r="AF14">
        <f>VLOOKUP(Table4[[#This Row],[Shortname]], Comp[], 31, FALSE)</f>
        <v>0</v>
      </c>
    </row>
    <row r="15" spans="1:32" x14ac:dyDescent="0.3">
      <c r="A15" t="s">
        <v>604</v>
      </c>
      <c r="B15" t="s">
        <v>606</v>
      </c>
      <c r="C15" s="15" t="s">
        <v>6693</v>
      </c>
      <c r="D15">
        <v>25</v>
      </c>
      <c r="E15">
        <v>900</v>
      </c>
      <c r="F15">
        <v>269.91944529417765</v>
      </c>
      <c r="G15">
        <f>VLOOKUP(Table4[[#This Row],[Shortname]], Comp[], 6, FALSE)</f>
        <v>78</v>
      </c>
      <c r="H15" s="14">
        <f>VLOOKUP(Table4[[#This Row],[Shortname]], Comp[], 7, FALSE)</f>
        <v>74.099999999999994</v>
      </c>
      <c r="I15">
        <f>VLOOKUP(Table4[[#This Row],[Shortname]], Comp[], 8, FALSE)</f>
        <v>10.1</v>
      </c>
      <c r="J15">
        <f>VLOOKUP(Table4[[#This Row],[Shortname]], Comp[], 9, FALSE)</f>
        <v>5.7</v>
      </c>
      <c r="K15">
        <f>VLOOKUP(Table4[[#This Row],[Shortname]], Comp[], 10, FALSE)</f>
        <v>0</v>
      </c>
      <c r="L15">
        <f>VLOOKUP(Table4[[#This Row],[Shortname]], Comp[], 11, FALSE)</f>
        <v>3.9</v>
      </c>
      <c r="M15">
        <f>VLOOKUP(Table4[[#This Row],[Shortname]], Comp[],12, FALSE)</f>
        <v>6.2</v>
      </c>
      <c r="N15">
        <f>VLOOKUP(Table4[[#This Row],[Shortname]], Comp[], 13, FALSE)</f>
        <v>0</v>
      </c>
      <c r="O15">
        <f>VLOOKUP(Table4[[#This Row],[Shortname]], Comp[], 14, FALSE)</f>
        <v>0</v>
      </c>
      <c r="P15">
        <f>VLOOKUP(Table4[[#This Row],[Shortname]], Comp[], 15, FALSE)</f>
        <v>0</v>
      </c>
      <c r="Q15">
        <f>VLOOKUP(Table4[[#This Row],[Shortname]], Comp[], 16, FALSE)</f>
        <v>0</v>
      </c>
      <c r="R15">
        <f>VLOOKUP(Table4[[#This Row],[Shortname]], Comp[], 17, FALSE)</f>
        <v>0</v>
      </c>
      <c r="S15">
        <f>VLOOKUP(Table4[[#This Row],[Shortname]], Comp[], 18, FALSE)</f>
        <v>0</v>
      </c>
      <c r="T15">
        <f>VLOOKUP(Table4[[#This Row],[Shortname]], Comp[], 19, FALSE)</f>
        <v>0</v>
      </c>
      <c r="U15">
        <f>VLOOKUP(Table4[[#This Row],[Shortname]], Comp[], 20, FALSE)</f>
        <v>0</v>
      </c>
      <c r="V15">
        <f>VLOOKUP(Table4[[#This Row],[Shortname]], Comp[], 21, FALSE)</f>
        <v>0</v>
      </c>
      <c r="W15">
        <f>VLOOKUP(Table4[[#This Row],[Shortname]], Comp[], 22, FALSE)</f>
        <v>0</v>
      </c>
      <c r="X15">
        <f>VLOOKUP(Table4[[#This Row],[Shortname]], Comp[], 23, FALSE)</f>
        <v>0</v>
      </c>
      <c r="Y15">
        <f>VLOOKUP(Table4[[#This Row],[Shortname]], Comp[], 24, FALSE)</f>
        <v>0</v>
      </c>
      <c r="Z15">
        <f>VLOOKUP(Table4[[#This Row],[Shortname]], Comp[], 25, FALSE)</f>
        <v>0</v>
      </c>
      <c r="AA15">
        <f>VLOOKUP(Table4[[#This Row],[Shortname]], Comp[], 26, FALSE)</f>
        <v>0</v>
      </c>
      <c r="AB15">
        <f>VLOOKUP(Table4[[#This Row],[Shortname]], Comp[], 27, FALSE)</f>
        <v>0</v>
      </c>
      <c r="AC15">
        <f>VLOOKUP(Table4[[#This Row],[Shortname]], Comp[], 28, FALSE)</f>
        <v>0</v>
      </c>
      <c r="AD15">
        <f>VLOOKUP(Table4[[#This Row],[Shortname]], Comp[], 29, FALSE)</f>
        <v>0</v>
      </c>
      <c r="AE15">
        <f>VLOOKUP(Table4[[#This Row],[Shortname]], Comp[], 30, FALSE)</f>
        <v>0</v>
      </c>
      <c r="AF15">
        <f>VLOOKUP(Table4[[#This Row],[Shortname]], Comp[], 31, FALSE)</f>
        <v>0</v>
      </c>
    </row>
    <row r="16" spans="1:32" x14ac:dyDescent="0.3">
      <c r="A16" t="s">
        <v>612</v>
      </c>
      <c r="B16" t="s">
        <v>614</v>
      </c>
      <c r="C16" s="15" t="s">
        <v>6693</v>
      </c>
      <c r="D16">
        <v>25</v>
      </c>
      <c r="E16">
        <v>900</v>
      </c>
      <c r="F16">
        <v>210.41093096767614</v>
      </c>
      <c r="G16">
        <f>VLOOKUP(Table4[[#This Row],[Shortname]], Comp[], 6, FALSE)</f>
        <v>79</v>
      </c>
      <c r="H16" s="14">
        <f>VLOOKUP(Table4[[#This Row],[Shortname]], Comp[], 7, FALSE)</f>
        <v>76</v>
      </c>
      <c r="I16">
        <f>VLOOKUP(Table4[[#This Row],[Shortname]], Comp[], 8, FALSE)</f>
        <v>10</v>
      </c>
      <c r="J16">
        <f>VLOOKUP(Table4[[#This Row],[Shortname]], Comp[], 9, FALSE)</f>
        <v>5.9</v>
      </c>
      <c r="K16">
        <f>VLOOKUP(Table4[[#This Row],[Shortname]], Comp[], 10, FALSE)</f>
        <v>0</v>
      </c>
      <c r="L16">
        <f>VLOOKUP(Table4[[#This Row],[Shortname]], Comp[], 11, FALSE)</f>
        <v>2</v>
      </c>
      <c r="M16">
        <f>VLOOKUP(Table4[[#This Row],[Shortname]], Comp[],12, FALSE)</f>
        <v>6.1</v>
      </c>
      <c r="N16">
        <f>VLOOKUP(Table4[[#This Row],[Shortname]], Comp[], 13, FALSE)</f>
        <v>0</v>
      </c>
      <c r="O16">
        <f>VLOOKUP(Table4[[#This Row],[Shortname]], Comp[], 14, FALSE)</f>
        <v>0</v>
      </c>
      <c r="P16">
        <f>VLOOKUP(Table4[[#This Row],[Shortname]], Comp[], 15, FALSE)</f>
        <v>0</v>
      </c>
      <c r="Q16">
        <f>VLOOKUP(Table4[[#This Row],[Shortname]], Comp[], 16, FALSE)</f>
        <v>0</v>
      </c>
      <c r="R16">
        <f>VLOOKUP(Table4[[#This Row],[Shortname]], Comp[], 17, FALSE)</f>
        <v>0</v>
      </c>
      <c r="S16">
        <f>VLOOKUP(Table4[[#This Row],[Shortname]], Comp[], 18, FALSE)</f>
        <v>0</v>
      </c>
      <c r="T16">
        <f>VLOOKUP(Table4[[#This Row],[Shortname]], Comp[], 19, FALSE)</f>
        <v>0</v>
      </c>
      <c r="U16">
        <f>VLOOKUP(Table4[[#This Row],[Shortname]], Comp[], 20, FALSE)</f>
        <v>0</v>
      </c>
      <c r="V16">
        <f>VLOOKUP(Table4[[#This Row],[Shortname]], Comp[], 21, FALSE)</f>
        <v>0</v>
      </c>
      <c r="W16">
        <f>VLOOKUP(Table4[[#This Row],[Shortname]], Comp[], 22, FALSE)</f>
        <v>0</v>
      </c>
      <c r="X16">
        <f>VLOOKUP(Table4[[#This Row],[Shortname]], Comp[], 23, FALSE)</f>
        <v>0</v>
      </c>
      <c r="Y16">
        <f>VLOOKUP(Table4[[#This Row],[Shortname]], Comp[], 24, FALSE)</f>
        <v>0</v>
      </c>
      <c r="Z16">
        <f>VLOOKUP(Table4[[#This Row],[Shortname]], Comp[], 25, FALSE)</f>
        <v>0</v>
      </c>
      <c r="AA16">
        <f>VLOOKUP(Table4[[#This Row],[Shortname]], Comp[], 26, FALSE)</f>
        <v>0</v>
      </c>
      <c r="AB16">
        <f>VLOOKUP(Table4[[#This Row],[Shortname]], Comp[], 27, FALSE)</f>
        <v>0</v>
      </c>
      <c r="AC16">
        <f>VLOOKUP(Table4[[#This Row],[Shortname]], Comp[], 28, FALSE)</f>
        <v>0</v>
      </c>
      <c r="AD16">
        <f>VLOOKUP(Table4[[#This Row],[Shortname]], Comp[], 29, FALSE)</f>
        <v>0</v>
      </c>
      <c r="AE16">
        <f>VLOOKUP(Table4[[#This Row],[Shortname]], Comp[], 30, FALSE)</f>
        <v>0</v>
      </c>
      <c r="AF16">
        <f>VLOOKUP(Table4[[#This Row],[Shortname]], Comp[], 31, FALSE)</f>
        <v>0</v>
      </c>
    </row>
    <row r="17" spans="1:32" x14ac:dyDescent="0.3">
      <c r="A17" t="s">
        <v>595</v>
      </c>
      <c r="B17" t="s">
        <v>597</v>
      </c>
      <c r="C17" s="15" t="s">
        <v>6693</v>
      </c>
      <c r="D17">
        <v>25</v>
      </c>
      <c r="E17">
        <v>900</v>
      </c>
      <c r="F17">
        <v>173.56989905169777</v>
      </c>
      <c r="G17">
        <f>VLOOKUP(Table4[[#This Row],[Shortname]], Comp[], 6, FALSE)</f>
        <v>77</v>
      </c>
      <c r="H17" s="14">
        <f>VLOOKUP(Table4[[#This Row],[Shortname]], Comp[], 7, FALSE)</f>
        <v>78</v>
      </c>
      <c r="I17">
        <f>VLOOKUP(Table4[[#This Row],[Shortname]], Comp[], 8, FALSE)</f>
        <v>10</v>
      </c>
      <c r="J17">
        <f>VLOOKUP(Table4[[#This Row],[Shortname]], Comp[], 9, FALSE)</f>
        <v>5.8</v>
      </c>
      <c r="K17">
        <f>VLOOKUP(Table4[[#This Row],[Shortname]], Comp[], 10, FALSE)</f>
        <v>0</v>
      </c>
      <c r="L17">
        <f>VLOOKUP(Table4[[#This Row],[Shortname]], Comp[], 11, FALSE)</f>
        <v>0</v>
      </c>
      <c r="M17">
        <f>VLOOKUP(Table4[[#This Row],[Shortname]], Comp[],12, FALSE)</f>
        <v>6.2</v>
      </c>
      <c r="N17">
        <f>VLOOKUP(Table4[[#This Row],[Shortname]], Comp[], 13, FALSE)</f>
        <v>0</v>
      </c>
      <c r="O17">
        <f>VLOOKUP(Table4[[#This Row],[Shortname]], Comp[], 14, FALSE)</f>
        <v>0</v>
      </c>
      <c r="P17">
        <f>VLOOKUP(Table4[[#This Row],[Shortname]], Comp[], 15, FALSE)</f>
        <v>0</v>
      </c>
      <c r="Q17">
        <f>VLOOKUP(Table4[[#This Row],[Shortname]], Comp[], 16, FALSE)</f>
        <v>0</v>
      </c>
      <c r="R17">
        <f>VLOOKUP(Table4[[#This Row],[Shortname]], Comp[], 17, FALSE)</f>
        <v>0</v>
      </c>
      <c r="S17">
        <f>VLOOKUP(Table4[[#This Row],[Shortname]], Comp[], 18, FALSE)</f>
        <v>0</v>
      </c>
      <c r="T17">
        <f>VLOOKUP(Table4[[#This Row],[Shortname]], Comp[], 19, FALSE)</f>
        <v>0</v>
      </c>
      <c r="U17">
        <f>VLOOKUP(Table4[[#This Row],[Shortname]], Comp[], 20, FALSE)</f>
        <v>0</v>
      </c>
      <c r="V17">
        <f>VLOOKUP(Table4[[#This Row],[Shortname]], Comp[], 21, FALSE)</f>
        <v>0</v>
      </c>
      <c r="W17">
        <f>VLOOKUP(Table4[[#This Row],[Shortname]], Comp[], 22, FALSE)</f>
        <v>0</v>
      </c>
      <c r="X17">
        <f>VLOOKUP(Table4[[#This Row],[Shortname]], Comp[], 23, FALSE)</f>
        <v>0</v>
      </c>
      <c r="Y17">
        <f>VLOOKUP(Table4[[#This Row],[Shortname]], Comp[], 24, FALSE)</f>
        <v>0</v>
      </c>
      <c r="Z17">
        <f>VLOOKUP(Table4[[#This Row],[Shortname]], Comp[], 25, FALSE)</f>
        <v>0</v>
      </c>
      <c r="AA17">
        <f>VLOOKUP(Table4[[#This Row],[Shortname]], Comp[], 26, FALSE)</f>
        <v>0</v>
      </c>
      <c r="AB17">
        <f>VLOOKUP(Table4[[#This Row],[Shortname]], Comp[], 27, FALSE)</f>
        <v>0</v>
      </c>
      <c r="AC17">
        <f>VLOOKUP(Table4[[#This Row],[Shortname]], Comp[], 28, FALSE)</f>
        <v>0</v>
      </c>
      <c r="AD17">
        <f>VLOOKUP(Table4[[#This Row],[Shortname]], Comp[], 29, FALSE)</f>
        <v>0</v>
      </c>
      <c r="AE17">
        <f>VLOOKUP(Table4[[#This Row],[Shortname]], Comp[], 30, FALSE)</f>
        <v>0</v>
      </c>
      <c r="AF17">
        <f>VLOOKUP(Table4[[#This Row],[Shortname]], Comp[], 31, FALSE)</f>
        <v>0</v>
      </c>
    </row>
    <row r="18" spans="1:32" x14ac:dyDescent="0.3">
      <c r="A18" s="7" t="s">
        <v>496</v>
      </c>
      <c r="B18" t="s">
        <v>498</v>
      </c>
      <c r="C18" s="15" t="s">
        <v>6693</v>
      </c>
      <c r="D18">
        <v>25</v>
      </c>
      <c r="E18">
        <v>1000</v>
      </c>
      <c r="F18">
        <v>272.99887835219738</v>
      </c>
      <c r="G18">
        <f>VLOOKUP(Table4[[#This Row],[Shortname]], Comp[], 6, FALSE)</f>
        <v>65</v>
      </c>
      <c r="H18" s="14">
        <f>VLOOKUP(Table4[[#This Row],[Shortname]], Comp[], 7, FALSE)</f>
        <v>71.599999999999994</v>
      </c>
      <c r="I18">
        <f>VLOOKUP(Table4[[#This Row],[Shortname]], Comp[], 8, FALSE)</f>
        <v>10.1</v>
      </c>
      <c r="J18">
        <f>VLOOKUP(Table4[[#This Row],[Shortname]], Comp[], 9, FALSE)</f>
        <v>5.2</v>
      </c>
      <c r="K18">
        <f>VLOOKUP(Table4[[#This Row],[Shortname]], Comp[], 10, FALSE)</f>
        <v>0</v>
      </c>
      <c r="L18">
        <f>VLOOKUP(Table4[[#This Row],[Shortname]], Comp[], 11, FALSE)</f>
        <v>6.7</v>
      </c>
      <c r="M18">
        <f>VLOOKUP(Table4[[#This Row],[Shortname]], Comp[],12, FALSE)</f>
        <v>6.4</v>
      </c>
      <c r="N18">
        <f>VLOOKUP(Table4[[#This Row],[Shortname]], Comp[], 13, FALSE)</f>
        <v>0</v>
      </c>
      <c r="O18">
        <f>VLOOKUP(Table4[[#This Row],[Shortname]], Comp[], 14, FALSE)</f>
        <v>0</v>
      </c>
      <c r="P18">
        <f>VLOOKUP(Table4[[#This Row],[Shortname]], Comp[], 15, FALSE)</f>
        <v>0</v>
      </c>
      <c r="Q18">
        <f>VLOOKUP(Table4[[#This Row],[Shortname]], Comp[], 16, FALSE)</f>
        <v>0</v>
      </c>
      <c r="R18">
        <f>VLOOKUP(Table4[[#This Row],[Shortname]], Comp[], 17, FALSE)</f>
        <v>0</v>
      </c>
      <c r="S18">
        <f>VLOOKUP(Table4[[#This Row],[Shortname]], Comp[], 18, FALSE)</f>
        <v>0</v>
      </c>
      <c r="T18">
        <f>VLOOKUP(Table4[[#This Row],[Shortname]], Comp[], 19, FALSE)</f>
        <v>0</v>
      </c>
      <c r="U18">
        <f>VLOOKUP(Table4[[#This Row],[Shortname]], Comp[], 20, FALSE)</f>
        <v>0</v>
      </c>
      <c r="V18">
        <f>VLOOKUP(Table4[[#This Row],[Shortname]], Comp[], 21, FALSE)</f>
        <v>0</v>
      </c>
      <c r="W18">
        <f>VLOOKUP(Table4[[#This Row],[Shortname]], Comp[], 22, FALSE)</f>
        <v>0</v>
      </c>
      <c r="X18">
        <f>VLOOKUP(Table4[[#This Row],[Shortname]], Comp[], 23, FALSE)</f>
        <v>0</v>
      </c>
      <c r="Y18">
        <f>VLOOKUP(Table4[[#This Row],[Shortname]], Comp[], 24, FALSE)</f>
        <v>0</v>
      </c>
      <c r="Z18">
        <f>VLOOKUP(Table4[[#This Row],[Shortname]], Comp[], 25, FALSE)</f>
        <v>0</v>
      </c>
      <c r="AA18">
        <f>VLOOKUP(Table4[[#This Row],[Shortname]], Comp[], 26, FALSE)</f>
        <v>0</v>
      </c>
      <c r="AB18">
        <f>VLOOKUP(Table4[[#This Row],[Shortname]], Comp[], 27, FALSE)</f>
        <v>0</v>
      </c>
      <c r="AC18">
        <f>VLOOKUP(Table4[[#This Row],[Shortname]], Comp[], 28, FALSE)</f>
        <v>0</v>
      </c>
      <c r="AD18">
        <f>VLOOKUP(Table4[[#This Row],[Shortname]], Comp[], 29, FALSE)</f>
        <v>0</v>
      </c>
      <c r="AE18">
        <f>VLOOKUP(Table4[[#This Row],[Shortname]], Comp[], 30, FALSE)</f>
        <v>0</v>
      </c>
      <c r="AF18">
        <f>VLOOKUP(Table4[[#This Row],[Shortname]], Comp[], 31, FALSE)</f>
        <v>0</v>
      </c>
    </row>
    <row r="19" spans="1:32" x14ac:dyDescent="0.3">
      <c r="A19" t="s">
        <v>604</v>
      </c>
      <c r="B19" t="s">
        <v>606</v>
      </c>
      <c r="C19" s="15" t="s">
        <v>6693</v>
      </c>
      <c r="D19">
        <v>25</v>
      </c>
      <c r="E19">
        <v>1000</v>
      </c>
      <c r="F19">
        <v>252.19741001325585</v>
      </c>
      <c r="G19">
        <f>VLOOKUP(Table4[[#This Row],[Shortname]], Comp[], 6, FALSE)</f>
        <v>78</v>
      </c>
      <c r="H19" s="14">
        <f>VLOOKUP(Table4[[#This Row],[Shortname]], Comp[], 7, FALSE)</f>
        <v>74.099999999999994</v>
      </c>
      <c r="I19">
        <f>VLOOKUP(Table4[[#This Row],[Shortname]], Comp[], 8, FALSE)</f>
        <v>10.1</v>
      </c>
      <c r="J19">
        <f>VLOOKUP(Table4[[#This Row],[Shortname]], Comp[], 9, FALSE)</f>
        <v>5.7</v>
      </c>
      <c r="K19">
        <f>VLOOKUP(Table4[[#This Row],[Shortname]], Comp[], 10, FALSE)</f>
        <v>0</v>
      </c>
      <c r="L19">
        <f>VLOOKUP(Table4[[#This Row],[Shortname]], Comp[], 11, FALSE)</f>
        <v>3.9</v>
      </c>
      <c r="M19">
        <f>VLOOKUP(Table4[[#This Row],[Shortname]], Comp[],12, FALSE)</f>
        <v>6.2</v>
      </c>
      <c r="N19">
        <f>VLOOKUP(Table4[[#This Row],[Shortname]], Comp[], 13, FALSE)</f>
        <v>0</v>
      </c>
      <c r="O19">
        <f>VLOOKUP(Table4[[#This Row],[Shortname]], Comp[], 14, FALSE)</f>
        <v>0</v>
      </c>
      <c r="P19">
        <f>VLOOKUP(Table4[[#This Row],[Shortname]], Comp[], 15, FALSE)</f>
        <v>0</v>
      </c>
      <c r="Q19">
        <f>VLOOKUP(Table4[[#This Row],[Shortname]], Comp[], 16, FALSE)</f>
        <v>0</v>
      </c>
      <c r="R19">
        <f>VLOOKUP(Table4[[#This Row],[Shortname]], Comp[], 17, FALSE)</f>
        <v>0</v>
      </c>
      <c r="S19">
        <f>VLOOKUP(Table4[[#This Row],[Shortname]], Comp[], 18, FALSE)</f>
        <v>0</v>
      </c>
      <c r="T19">
        <f>VLOOKUP(Table4[[#This Row],[Shortname]], Comp[], 19, FALSE)</f>
        <v>0</v>
      </c>
      <c r="U19">
        <f>VLOOKUP(Table4[[#This Row],[Shortname]], Comp[], 20, FALSE)</f>
        <v>0</v>
      </c>
      <c r="V19">
        <f>VLOOKUP(Table4[[#This Row],[Shortname]], Comp[], 21, FALSE)</f>
        <v>0</v>
      </c>
      <c r="W19">
        <f>VLOOKUP(Table4[[#This Row],[Shortname]], Comp[], 22, FALSE)</f>
        <v>0</v>
      </c>
      <c r="X19">
        <f>VLOOKUP(Table4[[#This Row],[Shortname]], Comp[], 23, FALSE)</f>
        <v>0</v>
      </c>
      <c r="Y19">
        <f>VLOOKUP(Table4[[#This Row],[Shortname]], Comp[], 24, FALSE)</f>
        <v>0</v>
      </c>
      <c r="Z19">
        <f>VLOOKUP(Table4[[#This Row],[Shortname]], Comp[], 25, FALSE)</f>
        <v>0</v>
      </c>
      <c r="AA19">
        <f>VLOOKUP(Table4[[#This Row],[Shortname]], Comp[], 26, FALSE)</f>
        <v>0</v>
      </c>
      <c r="AB19">
        <f>VLOOKUP(Table4[[#This Row],[Shortname]], Comp[], 27, FALSE)</f>
        <v>0</v>
      </c>
      <c r="AC19">
        <f>VLOOKUP(Table4[[#This Row],[Shortname]], Comp[], 28, FALSE)</f>
        <v>0</v>
      </c>
      <c r="AD19">
        <f>VLOOKUP(Table4[[#This Row],[Shortname]], Comp[], 29, FALSE)</f>
        <v>0</v>
      </c>
      <c r="AE19">
        <f>VLOOKUP(Table4[[#This Row],[Shortname]], Comp[], 30, FALSE)</f>
        <v>0</v>
      </c>
      <c r="AF19">
        <f>VLOOKUP(Table4[[#This Row],[Shortname]], Comp[], 31, FALSE)</f>
        <v>0</v>
      </c>
    </row>
    <row r="20" spans="1:32" x14ac:dyDescent="0.3">
      <c r="A20" t="s">
        <v>612</v>
      </c>
      <c r="B20" t="s">
        <v>614</v>
      </c>
      <c r="C20" s="15" t="s">
        <v>6693</v>
      </c>
      <c r="D20">
        <v>25</v>
      </c>
      <c r="E20">
        <v>1000</v>
      </c>
      <c r="F20">
        <v>243.31599877638422</v>
      </c>
      <c r="G20">
        <f>VLOOKUP(Table4[[#This Row],[Shortname]], Comp[], 6, FALSE)</f>
        <v>79</v>
      </c>
      <c r="H20" s="14">
        <f>VLOOKUP(Table4[[#This Row],[Shortname]], Comp[], 7, FALSE)</f>
        <v>76</v>
      </c>
      <c r="I20">
        <f>VLOOKUP(Table4[[#This Row],[Shortname]], Comp[], 8, FALSE)</f>
        <v>10</v>
      </c>
      <c r="J20">
        <f>VLOOKUP(Table4[[#This Row],[Shortname]], Comp[], 9, FALSE)</f>
        <v>5.9</v>
      </c>
      <c r="K20">
        <f>VLOOKUP(Table4[[#This Row],[Shortname]], Comp[], 10, FALSE)</f>
        <v>0</v>
      </c>
      <c r="L20">
        <f>VLOOKUP(Table4[[#This Row],[Shortname]], Comp[], 11, FALSE)</f>
        <v>2</v>
      </c>
      <c r="M20">
        <f>VLOOKUP(Table4[[#This Row],[Shortname]], Comp[],12, FALSE)</f>
        <v>6.1</v>
      </c>
      <c r="N20">
        <f>VLOOKUP(Table4[[#This Row],[Shortname]], Comp[], 13, FALSE)</f>
        <v>0</v>
      </c>
      <c r="O20">
        <f>VLOOKUP(Table4[[#This Row],[Shortname]], Comp[], 14, FALSE)</f>
        <v>0</v>
      </c>
      <c r="P20">
        <f>VLOOKUP(Table4[[#This Row],[Shortname]], Comp[], 15, FALSE)</f>
        <v>0</v>
      </c>
      <c r="Q20">
        <f>VLOOKUP(Table4[[#This Row],[Shortname]], Comp[], 16, FALSE)</f>
        <v>0</v>
      </c>
      <c r="R20">
        <f>VLOOKUP(Table4[[#This Row],[Shortname]], Comp[], 17, FALSE)</f>
        <v>0</v>
      </c>
      <c r="S20">
        <f>VLOOKUP(Table4[[#This Row],[Shortname]], Comp[], 18, FALSE)</f>
        <v>0</v>
      </c>
      <c r="T20">
        <f>VLOOKUP(Table4[[#This Row],[Shortname]], Comp[], 19, FALSE)</f>
        <v>0</v>
      </c>
      <c r="U20">
        <f>VLOOKUP(Table4[[#This Row],[Shortname]], Comp[], 20, FALSE)</f>
        <v>0</v>
      </c>
      <c r="V20">
        <f>VLOOKUP(Table4[[#This Row],[Shortname]], Comp[], 21, FALSE)</f>
        <v>0</v>
      </c>
      <c r="W20">
        <f>VLOOKUP(Table4[[#This Row],[Shortname]], Comp[], 22, FALSE)</f>
        <v>0</v>
      </c>
      <c r="X20">
        <f>VLOOKUP(Table4[[#This Row],[Shortname]], Comp[], 23, FALSE)</f>
        <v>0</v>
      </c>
      <c r="Y20">
        <f>VLOOKUP(Table4[[#This Row],[Shortname]], Comp[], 24, FALSE)</f>
        <v>0</v>
      </c>
      <c r="Z20">
        <f>VLOOKUP(Table4[[#This Row],[Shortname]], Comp[], 25, FALSE)</f>
        <v>0</v>
      </c>
      <c r="AA20">
        <f>VLOOKUP(Table4[[#This Row],[Shortname]], Comp[], 26, FALSE)</f>
        <v>0</v>
      </c>
      <c r="AB20">
        <f>VLOOKUP(Table4[[#This Row],[Shortname]], Comp[], 27, FALSE)</f>
        <v>0</v>
      </c>
      <c r="AC20">
        <f>VLOOKUP(Table4[[#This Row],[Shortname]], Comp[], 28, FALSE)</f>
        <v>0</v>
      </c>
      <c r="AD20">
        <f>VLOOKUP(Table4[[#This Row],[Shortname]], Comp[], 29, FALSE)</f>
        <v>0</v>
      </c>
      <c r="AE20">
        <f>VLOOKUP(Table4[[#This Row],[Shortname]], Comp[], 30, FALSE)</f>
        <v>0</v>
      </c>
      <c r="AF20">
        <f>VLOOKUP(Table4[[#This Row],[Shortname]], Comp[], 31, FALSE)</f>
        <v>0</v>
      </c>
    </row>
    <row r="21" spans="1:32" x14ac:dyDescent="0.3">
      <c r="A21" t="s">
        <v>595</v>
      </c>
      <c r="B21" t="s">
        <v>597</v>
      </c>
      <c r="C21" s="15" t="s">
        <v>6693</v>
      </c>
      <c r="D21">
        <v>25</v>
      </c>
      <c r="E21">
        <v>1000</v>
      </c>
      <c r="F21">
        <v>202.23309880697462</v>
      </c>
      <c r="G21">
        <f>VLOOKUP(Table4[[#This Row],[Shortname]], Comp[], 6, FALSE)</f>
        <v>77</v>
      </c>
      <c r="H21" s="14">
        <f>VLOOKUP(Table4[[#This Row],[Shortname]], Comp[], 7, FALSE)</f>
        <v>78</v>
      </c>
      <c r="I21">
        <f>VLOOKUP(Table4[[#This Row],[Shortname]], Comp[], 8, FALSE)</f>
        <v>10</v>
      </c>
      <c r="J21">
        <f>VLOOKUP(Table4[[#This Row],[Shortname]], Comp[], 9, FALSE)</f>
        <v>5.8</v>
      </c>
      <c r="K21">
        <f>VLOOKUP(Table4[[#This Row],[Shortname]], Comp[], 10, FALSE)</f>
        <v>0</v>
      </c>
      <c r="L21">
        <f>VLOOKUP(Table4[[#This Row],[Shortname]], Comp[], 11, FALSE)</f>
        <v>0</v>
      </c>
      <c r="M21">
        <f>VLOOKUP(Table4[[#This Row],[Shortname]], Comp[],12, FALSE)</f>
        <v>6.2</v>
      </c>
      <c r="N21">
        <f>VLOOKUP(Table4[[#This Row],[Shortname]], Comp[], 13, FALSE)</f>
        <v>0</v>
      </c>
      <c r="O21">
        <f>VLOOKUP(Table4[[#This Row],[Shortname]], Comp[], 14, FALSE)</f>
        <v>0</v>
      </c>
      <c r="P21">
        <f>VLOOKUP(Table4[[#This Row],[Shortname]], Comp[], 15, FALSE)</f>
        <v>0</v>
      </c>
      <c r="Q21">
        <f>VLOOKUP(Table4[[#This Row],[Shortname]], Comp[], 16, FALSE)</f>
        <v>0</v>
      </c>
      <c r="R21">
        <f>VLOOKUP(Table4[[#This Row],[Shortname]], Comp[], 17, FALSE)</f>
        <v>0</v>
      </c>
      <c r="S21">
        <f>VLOOKUP(Table4[[#This Row],[Shortname]], Comp[], 18, FALSE)</f>
        <v>0</v>
      </c>
      <c r="T21">
        <f>VLOOKUP(Table4[[#This Row],[Shortname]], Comp[], 19, FALSE)</f>
        <v>0</v>
      </c>
      <c r="U21">
        <f>VLOOKUP(Table4[[#This Row],[Shortname]], Comp[], 20, FALSE)</f>
        <v>0</v>
      </c>
      <c r="V21">
        <f>VLOOKUP(Table4[[#This Row],[Shortname]], Comp[], 21, FALSE)</f>
        <v>0</v>
      </c>
      <c r="W21">
        <f>VLOOKUP(Table4[[#This Row],[Shortname]], Comp[], 22, FALSE)</f>
        <v>0</v>
      </c>
      <c r="X21">
        <f>VLOOKUP(Table4[[#This Row],[Shortname]], Comp[], 23, FALSE)</f>
        <v>0</v>
      </c>
      <c r="Y21">
        <f>VLOOKUP(Table4[[#This Row],[Shortname]], Comp[], 24, FALSE)</f>
        <v>0</v>
      </c>
      <c r="Z21">
        <f>VLOOKUP(Table4[[#This Row],[Shortname]], Comp[], 25, FALSE)</f>
        <v>0</v>
      </c>
      <c r="AA21">
        <f>VLOOKUP(Table4[[#This Row],[Shortname]], Comp[], 26, FALSE)</f>
        <v>0</v>
      </c>
      <c r="AB21">
        <f>VLOOKUP(Table4[[#This Row],[Shortname]], Comp[], 27, FALSE)</f>
        <v>0</v>
      </c>
      <c r="AC21">
        <f>VLOOKUP(Table4[[#This Row],[Shortname]], Comp[], 28, FALSE)</f>
        <v>0</v>
      </c>
      <c r="AD21">
        <f>VLOOKUP(Table4[[#This Row],[Shortname]], Comp[], 29, FALSE)</f>
        <v>0</v>
      </c>
      <c r="AE21">
        <f>VLOOKUP(Table4[[#This Row],[Shortname]], Comp[], 30, FALSE)</f>
        <v>0</v>
      </c>
      <c r="AF21">
        <f>VLOOKUP(Table4[[#This Row],[Shortname]], Comp[], 31, FALSE)</f>
        <v>0</v>
      </c>
    </row>
    <row r="22" spans="1:32" x14ac:dyDescent="0.3">
      <c r="A22" t="s">
        <v>534</v>
      </c>
      <c r="B22" t="s">
        <v>6695</v>
      </c>
      <c r="C22" s="15" t="s">
        <v>6783</v>
      </c>
      <c r="D22">
        <v>25</v>
      </c>
      <c r="E22">
        <v>1000</v>
      </c>
      <c r="F22">
        <v>306.92362598144183</v>
      </c>
      <c r="G22">
        <f>VLOOKUP(Table4[[#This Row],[Shortname]], Comp[], 6, FALSE)</f>
        <v>69</v>
      </c>
      <c r="H22" s="14">
        <f>VLOOKUP(Table4[[#This Row],[Shortname]], Comp[], 7, FALSE)</f>
        <v>72.3</v>
      </c>
      <c r="I22">
        <f>VLOOKUP(Table4[[#This Row],[Shortname]], Comp[], 8, FALSE)</f>
        <v>10.3</v>
      </c>
      <c r="J22">
        <f>VLOOKUP(Table4[[#This Row],[Shortname]], Comp[], 9, FALSE)</f>
        <v>6.3</v>
      </c>
      <c r="K22">
        <f>VLOOKUP(Table4[[#This Row],[Shortname]], Comp[], 10, FALSE)</f>
        <v>0</v>
      </c>
      <c r="L22">
        <f>VLOOKUP(Table4[[#This Row],[Shortname]], Comp[], 11, FALSE)</f>
        <v>7</v>
      </c>
      <c r="M22">
        <f>VLOOKUP(Table4[[#This Row],[Shortname]], Comp[],12, FALSE)</f>
        <v>4.0999999999999996</v>
      </c>
      <c r="N22">
        <f>VLOOKUP(Table4[[#This Row],[Shortname]], Comp[], 13, FALSE)</f>
        <v>0</v>
      </c>
      <c r="O22">
        <f>VLOOKUP(Table4[[#This Row],[Shortname]], Comp[], 14, FALSE)</f>
        <v>0</v>
      </c>
      <c r="P22">
        <f>VLOOKUP(Table4[[#This Row],[Shortname]], Comp[], 15, FALSE)</f>
        <v>0</v>
      </c>
      <c r="Q22">
        <f>VLOOKUP(Table4[[#This Row],[Shortname]], Comp[], 16, FALSE)</f>
        <v>0</v>
      </c>
      <c r="R22">
        <f>VLOOKUP(Table4[[#This Row],[Shortname]], Comp[], 17, FALSE)</f>
        <v>0</v>
      </c>
      <c r="S22">
        <f>VLOOKUP(Table4[[#This Row],[Shortname]], Comp[], 18, FALSE)</f>
        <v>0</v>
      </c>
      <c r="T22">
        <f>VLOOKUP(Table4[[#This Row],[Shortname]], Comp[], 19, FALSE)</f>
        <v>0</v>
      </c>
      <c r="U22">
        <f>VLOOKUP(Table4[[#This Row],[Shortname]], Comp[], 20, FALSE)</f>
        <v>0</v>
      </c>
      <c r="V22">
        <f>VLOOKUP(Table4[[#This Row],[Shortname]], Comp[], 21, FALSE)</f>
        <v>0</v>
      </c>
      <c r="W22">
        <f>VLOOKUP(Table4[[#This Row],[Shortname]], Comp[], 22, FALSE)</f>
        <v>0</v>
      </c>
      <c r="X22">
        <f>VLOOKUP(Table4[[#This Row],[Shortname]], Comp[], 23, FALSE)</f>
        <v>0</v>
      </c>
      <c r="Y22">
        <f>VLOOKUP(Table4[[#This Row],[Shortname]], Comp[], 24, FALSE)</f>
        <v>0</v>
      </c>
      <c r="Z22">
        <f>VLOOKUP(Table4[[#This Row],[Shortname]], Comp[], 25, FALSE)</f>
        <v>0</v>
      </c>
      <c r="AA22">
        <f>VLOOKUP(Table4[[#This Row],[Shortname]], Comp[], 26, FALSE)</f>
        <v>0</v>
      </c>
      <c r="AB22">
        <f>VLOOKUP(Table4[[#This Row],[Shortname]], Comp[], 27, FALSE)</f>
        <v>0</v>
      </c>
      <c r="AC22">
        <f>VLOOKUP(Table4[[#This Row],[Shortname]], Comp[], 28, FALSE)</f>
        <v>0</v>
      </c>
      <c r="AD22">
        <f>VLOOKUP(Table4[[#This Row],[Shortname]], Comp[], 29, FALSE)</f>
        <v>0</v>
      </c>
      <c r="AE22">
        <f>VLOOKUP(Table4[[#This Row],[Shortname]], Comp[], 30, FALSE)</f>
        <v>0</v>
      </c>
      <c r="AF22">
        <f>VLOOKUP(Table4[[#This Row],[Shortname]], Comp[], 31, FALSE)</f>
        <v>0</v>
      </c>
    </row>
    <row r="23" spans="1:32" x14ac:dyDescent="0.3">
      <c r="A23" t="s">
        <v>544</v>
      </c>
      <c r="B23" t="s">
        <v>6696</v>
      </c>
      <c r="C23" s="15" t="s">
        <v>6783</v>
      </c>
      <c r="D23">
        <v>25</v>
      </c>
      <c r="E23">
        <v>1000</v>
      </c>
      <c r="F23">
        <v>302.84490669929647</v>
      </c>
      <c r="G23">
        <f>VLOOKUP(Table4[[#This Row],[Shortname]], Comp[], 6, FALSE)</f>
        <v>70</v>
      </c>
      <c r="H23" s="14">
        <f>VLOOKUP(Table4[[#This Row],[Shortname]], Comp[], 7, FALSE)</f>
        <v>72.3</v>
      </c>
      <c r="I23">
        <f>VLOOKUP(Table4[[#This Row],[Shortname]], Comp[], 8, FALSE)</f>
        <v>10.199999999999999</v>
      </c>
      <c r="J23">
        <f>VLOOKUP(Table4[[#This Row],[Shortname]], Comp[], 9, FALSE)</f>
        <v>7.3</v>
      </c>
      <c r="K23">
        <f>VLOOKUP(Table4[[#This Row],[Shortname]], Comp[], 10, FALSE)</f>
        <v>0</v>
      </c>
      <c r="L23">
        <f>VLOOKUP(Table4[[#This Row],[Shortname]], Comp[], 11, FALSE)</f>
        <v>8</v>
      </c>
      <c r="M23">
        <f>VLOOKUP(Table4[[#This Row],[Shortname]], Comp[],12, FALSE)</f>
        <v>2.2000000000000002</v>
      </c>
      <c r="N23">
        <f>VLOOKUP(Table4[[#This Row],[Shortname]], Comp[], 13, FALSE)</f>
        <v>0</v>
      </c>
      <c r="O23">
        <f>VLOOKUP(Table4[[#This Row],[Shortname]], Comp[], 14, FALSE)</f>
        <v>0</v>
      </c>
      <c r="P23">
        <f>VLOOKUP(Table4[[#This Row],[Shortname]], Comp[], 15, FALSE)</f>
        <v>0</v>
      </c>
      <c r="Q23">
        <f>VLOOKUP(Table4[[#This Row],[Shortname]], Comp[], 16, FALSE)</f>
        <v>0</v>
      </c>
      <c r="R23">
        <f>VLOOKUP(Table4[[#This Row],[Shortname]], Comp[], 17, FALSE)</f>
        <v>0</v>
      </c>
      <c r="S23">
        <f>VLOOKUP(Table4[[#This Row],[Shortname]], Comp[], 18, FALSE)</f>
        <v>0</v>
      </c>
      <c r="T23">
        <f>VLOOKUP(Table4[[#This Row],[Shortname]], Comp[], 19, FALSE)</f>
        <v>0</v>
      </c>
      <c r="U23">
        <f>VLOOKUP(Table4[[#This Row],[Shortname]], Comp[], 20, FALSE)</f>
        <v>0</v>
      </c>
      <c r="V23">
        <f>VLOOKUP(Table4[[#This Row],[Shortname]], Comp[], 21, FALSE)</f>
        <v>0</v>
      </c>
      <c r="W23">
        <f>VLOOKUP(Table4[[#This Row],[Shortname]], Comp[], 22, FALSE)</f>
        <v>0</v>
      </c>
      <c r="X23">
        <f>VLOOKUP(Table4[[#This Row],[Shortname]], Comp[], 23, FALSE)</f>
        <v>0</v>
      </c>
      <c r="Y23">
        <f>VLOOKUP(Table4[[#This Row],[Shortname]], Comp[], 24, FALSE)</f>
        <v>0</v>
      </c>
      <c r="Z23">
        <f>VLOOKUP(Table4[[#This Row],[Shortname]], Comp[], 25, FALSE)</f>
        <v>0</v>
      </c>
      <c r="AA23">
        <f>VLOOKUP(Table4[[#This Row],[Shortname]], Comp[], 26, FALSE)</f>
        <v>0</v>
      </c>
      <c r="AB23">
        <f>VLOOKUP(Table4[[#This Row],[Shortname]], Comp[], 27, FALSE)</f>
        <v>0</v>
      </c>
      <c r="AC23">
        <f>VLOOKUP(Table4[[#This Row],[Shortname]], Comp[], 28, FALSE)</f>
        <v>0</v>
      </c>
      <c r="AD23">
        <f>VLOOKUP(Table4[[#This Row],[Shortname]], Comp[], 29, FALSE)</f>
        <v>0</v>
      </c>
      <c r="AE23">
        <f>VLOOKUP(Table4[[#This Row],[Shortname]], Comp[], 30, FALSE)</f>
        <v>0</v>
      </c>
      <c r="AF23">
        <f>VLOOKUP(Table4[[#This Row],[Shortname]], Comp[], 31, FALSE)</f>
        <v>0</v>
      </c>
    </row>
    <row r="24" spans="1:32" x14ac:dyDescent="0.3">
      <c r="A24" t="s">
        <v>513</v>
      </c>
      <c r="B24" t="s">
        <v>6692</v>
      </c>
      <c r="C24" s="15" t="s">
        <v>6783</v>
      </c>
      <c r="D24">
        <v>25</v>
      </c>
      <c r="E24">
        <v>1000</v>
      </c>
      <c r="F24">
        <v>317.12042418680534</v>
      </c>
      <c r="G24">
        <f>VLOOKUP(Table4[[#This Row],[Shortname]], Comp[], 6, FALSE)</f>
        <v>67</v>
      </c>
      <c r="H24" s="14">
        <f>VLOOKUP(Table4[[#This Row],[Shortname]], Comp[], 7, FALSE)</f>
        <v>72.5</v>
      </c>
      <c r="I24">
        <f>VLOOKUP(Table4[[#This Row],[Shortname]], Comp[], 8, FALSE)</f>
        <v>10</v>
      </c>
      <c r="J24">
        <f>VLOOKUP(Table4[[#This Row],[Shortname]], Comp[], 9, FALSE)</f>
        <v>4.5</v>
      </c>
      <c r="K24">
        <f>VLOOKUP(Table4[[#This Row],[Shortname]], Comp[], 10, FALSE)</f>
        <v>0</v>
      </c>
      <c r="L24">
        <f>VLOOKUP(Table4[[#This Row],[Shortname]], Comp[], 11, FALSE)</f>
        <v>5.2</v>
      </c>
      <c r="M24">
        <f>VLOOKUP(Table4[[#This Row],[Shortname]], Comp[],12, FALSE)</f>
        <v>7.8</v>
      </c>
      <c r="N24">
        <f>VLOOKUP(Table4[[#This Row],[Shortname]], Comp[], 13, FALSE)</f>
        <v>0</v>
      </c>
      <c r="O24">
        <f>VLOOKUP(Table4[[#This Row],[Shortname]], Comp[], 14, FALSE)</f>
        <v>0</v>
      </c>
      <c r="P24">
        <f>VLOOKUP(Table4[[#This Row],[Shortname]], Comp[], 15, FALSE)</f>
        <v>0</v>
      </c>
      <c r="Q24">
        <f>VLOOKUP(Table4[[#This Row],[Shortname]], Comp[], 16, FALSE)</f>
        <v>0</v>
      </c>
      <c r="R24">
        <f>VLOOKUP(Table4[[#This Row],[Shortname]], Comp[], 17, FALSE)</f>
        <v>0</v>
      </c>
      <c r="S24">
        <f>VLOOKUP(Table4[[#This Row],[Shortname]], Comp[], 18, FALSE)</f>
        <v>0</v>
      </c>
      <c r="T24">
        <f>VLOOKUP(Table4[[#This Row],[Shortname]], Comp[], 19, FALSE)</f>
        <v>0</v>
      </c>
      <c r="U24">
        <f>VLOOKUP(Table4[[#This Row],[Shortname]], Comp[], 20, FALSE)</f>
        <v>0</v>
      </c>
      <c r="V24">
        <f>VLOOKUP(Table4[[#This Row],[Shortname]], Comp[], 21, FALSE)</f>
        <v>0</v>
      </c>
      <c r="W24">
        <f>VLOOKUP(Table4[[#This Row],[Shortname]], Comp[], 22, FALSE)</f>
        <v>0</v>
      </c>
      <c r="X24">
        <f>VLOOKUP(Table4[[#This Row],[Shortname]], Comp[], 23, FALSE)</f>
        <v>0</v>
      </c>
      <c r="Y24">
        <f>VLOOKUP(Table4[[#This Row],[Shortname]], Comp[], 24, FALSE)</f>
        <v>0</v>
      </c>
      <c r="Z24">
        <f>VLOOKUP(Table4[[#This Row],[Shortname]], Comp[], 25, FALSE)</f>
        <v>0</v>
      </c>
      <c r="AA24">
        <f>VLOOKUP(Table4[[#This Row],[Shortname]], Comp[], 26, FALSE)</f>
        <v>0</v>
      </c>
      <c r="AB24">
        <f>VLOOKUP(Table4[[#This Row],[Shortname]], Comp[], 27, FALSE)</f>
        <v>0</v>
      </c>
      <c r="AC24">
        <f>VLOOKUP(Table4[[#This Row],[Shortname]], Comp[], 28, FALSE)</f>
        <v>0</v>
      </c>
      <c r="AD24">
        <f>VLOOKUP(Table4[[#This Row],[Shortname]], Comp[], 29, FALSE)</f>
        <v>0</v>
      </c>
      <c r="AE24">
        <f>VLOOKUP(Table4[[#This Row],[Shortname]], Comp[], 30, FALSE)</f>
        <v>0</v>
      </c>
      <c r="AF24">
        <f>VLOOKUP(Table4[[#This Row],[Shortname]], Comp[], 31, FALSE)</f>
        <v>0</v>
      </c>
    </row>
    <row r="25" spans="1:32" x14ac:dyDescent="0.3">
      <c r="A25" t="s">
        <v>525</v>
      </c>
      <c r="B25" t="s">
        <v>6694</v>
      </c>
      <c r="C25" s="15" t="s">
        <v>6783</v>
      </c>
      <c r="D25">
        <v>25</v>
      </c>
      <c r="E25">
        <v>1000</v>
      </c>
      <c r="F25">
        <v>301.82522687876008</v>
      </c>
      <c r="G25">
        <f>VLOOKUP(Table4[[#This Row],[Shortname]], Comp[], 6, FALSE)</f>
        <v>68</v>
      </c>
      <c r="H25" s="14">
        <f>VLOOKUP(Table4[[#This Row],[Shortname]], Comp[], 7, FALSE)</f>
        <v>72.400000000000006</v>
      </c>
      <c r="I25">
        <f>VLOOKUP(Table4[[#This Row],[Shortname]], Comp[], 8, FALSE)</f>
        <v>10.199999999999999</v>
      </c>
      <c r="J25">
        <f>VLOOKUP(Table4[[#This Row],[Shortname]], Comp[], 9, FALSE)</f>
        <v>5.4</v>
      </c>
      <c r="K25">
        <f>VLOOKUP(Table4[[#This Row],[Shortname]], Comp[], 10, FALSE)</f>
        <v>0</v>
      </c>
      <c r="L25">
        <f>VLOOKUP(Table4[[#This Row],[Shortname]], Comp[], 11, FALSE)</f>
        <v>6.1</v>
      </c>
      <c r="M25">
        <f>VLOOKUP(Table4[[#This Row],[Shortname]], Comp[],12, FALSE)</f>
        <v>5.9</v>
      </c>
      <c r="N25">
        <f>VLOOKUP(Table4[[#This Row],[Shortname]], Comp[], 13, FALSE)</f>
        <v>0</v>
      </c>
      <c r="O25">
        <f>VLOOKUP(Table4[[#This Row],[Shortname]], Comp[], 14, FALSE)</f>
        <v>0</v>
      </c>
      <c r="P25">
        <f>VLOOKUP(Table4[[#This Row],[Shortname]], Comp[], 15, FALSE)</f>
        <v>0</v>
      </c>
      <c r="Q25">
        <f>VLOOKUP(Table4[[#This Row],[Shortname]], Comp[], 16, FALSE)</f>
        <v>0</v>
      </c>
      <c r="R25">
        <f>VLOOKUP(Table4[[#This Row],[Shortname]], Comp[], 17, FALSE)</f>
        <v>0</v>
      </c>
      <c r="S25">
        <f>VLOOKUP(Table4[[#This Row],[Shortname]], Comp[], 18, FALSE)</f>
        <v>0</v>
      </c>
      <c r="T25">
        <f>VLOOKUP(Table4[[#This Row],[Shortname]], Comp[], 19, FALSE)</f>
        <v>0</v>
      </c>
      <c r="U25">
        <f>VLOOKUP(Table4[[#This Row],[Shortname]], Comp[], 20, FALSE)</f>
        <v>0</v>
      </c>
      <c r="V25">
        <f>VLOOKUP(Table4[[#This Row],[Shortname]], Comp[], 21, FALSE)</f>
        <v>0</v>
      </c>
      <c r="W25">
        <f>VLOOKUP(Table4[[#This Row],[Shortname]], Comp[], 22, FALSE)</f>
        <v>0</v>
      </c>
      <c r="X25">
        <f>VLOOKUP(Table4[[#This Row],[Shortname]], Comp[], 23, FALSE)</f>
        <v>0</v>
      </c>
      <c r="Y25">
        <f>VLOOKUP(Table4[[#This Row],[Shortname]], Comp[], 24, FALSE)</f>
        <v>0</v>
      </c>
      <c r="Z25">
        <f>VLOOKUP(Table4[[#This Row],[Shortname]], Comp[], 25, FALSE)</f>
        <v>0</v>
      </c>
      <c r="AA25">
        <f>VLOOKUP(Table4[[#This Row],[Shortname]], Comp[], 26, FALSE)</f>
        <v>0</v>
      </c>
      <c r="AB25">
        <f>VLOOKUP(Table4[[#This Row],[Shortname]], Comp[], 27, FALSE)</f>
        <v>0</v>
      </c>
      <c r="AC25">
        <f>VLOOKUP(Table4[[#This Row],[Shortname]], Comp[], 28, FALSE)</f>
        <v>0</v>
      </c>
      <c r="AD25">
        <f>VLOOKUP(Table4[[#This Row],[Shortname]], Comp[], 29, FALSE)</f>
        <v>0</v>
      </c>
      <c r="AE25">
        <f>VLOOKUP(Table4[[#This Row],[Shortname]], Comp[], 30, FALSE)</f>
        <v>0</v>
      </c>
      <c r="AF25">
        <f>VLOOKUP(Table4[[#This Row],[Shortname]], Comp[], 31, FALSE)</f>
        <v>0</v>
      </c>
    </row>
    <row r="26" spans="1:32" x14ac:dyDescent="0.3">
      <c r="A26" t="s">
        <v>552</v>
      </c>
      <c r="B26" t="s">
        <v>6697</v>
      </c>
      <c r="C26" s="15" t="s">
        <v>6783</v>
      </c>
      <c r="D26">
        <v>25</v>
      </c>
      <c r="E26">
        <v>1000</v>
      </c>
      <c r="F26">
        <v>253.90027531355156</v>
      </c>
      <c r="G26">
        <f>VLOOKUP(Table4[[#This Row],[Shortname]], Comp[], 6, FALSE)</f>
        <v>71</v>
      </c>
      <c r="H26" s="14">
        <f>VLOOKUP(Table4[[#This Row],[Shortname]], Comp[], 7, FALSE)</f>
        <v>72.800000000000011</v>
      </c>
      <c r="I26">
        <f>VLOOKUP(Table4[[#This Row],[Shortname]], Comp[], 8, FALSE)</f>
        <v>10.199999999999999</v>
      </c>
      <c r="J26">
        <f>VLOOKUP(Table4[[#This Row],[Shortname]], Comp[], 9, FALSE)</f>
        <v>8.1</v>
      </c>
      <c r="K26">
        <f>VLOOKUP(Table4[[#This Row],[Shortname]], Comp[], 10, FALSE)</f>
        <v>0</v>
      </c>
      <c r="L26">
        <f>VLOOKUP(Table4[[#This Row],[Shortname]], Comp[], 11, FALSE)</f>
        <v>8.9</v>
      </c>
      <c r="M26">
        <f>VLOOKUP(Table4[[#This Row],[Shortname]], Comp[],12, FALSE)</f>
        <v>0</v>
      </c>
      <c r="N26">
        <f>VLOOKUP(Table4[[#This Row],[Shortname]], Comp[], 13, FALSE)</f>
        <v>0</v>
      </c>
      <c r="O26">
        <f>VLOOKUP(Table4[[#This Row],[Shortname]], Comp[], 14, FALSE)</f>
        <v>0</v>
      </c>
      <c r="P26">
        <f>VLOOKUP(Table4[[#This Row],[Shortname]], Comp[], 15, FALSE)</f>
        <v>0</v>
      </c>
      <c r="Q26">
        <f>VLOOKUP(Table4[[#This Row],[Shortname]], Comp[], 16, FALSE)</f>
        <v>0</v>
      </c>
      <c r="R26">
        <f>VLOOKUP(Table4[[#This Row],[Shortname]], Comp[], 17, FALSE)</f>
        <v>0</v>
      </c>
      <c r="S26">
        <f>VLOOKUP(Table4[[#This Row],[Shortname]], Comp[], 18, FALSE)</f>
        <v>0</v>
      </c>
      <c r="T26">
        <f>VLOOKUP(Table4[[#This Row],[Shortname]], Comp[], 19, FALSE)</f>
        <v>0</v>
      </c>
      <c r="U26">
        <f>VLOOKUP(Table4[[#This Row],[Shortname]], Comp[], 20, FALSE)</f>
        <v>0</v>
      </c>
      <c r="V26">
        <f>VLOOKUP(Table4[[#This Row],[Shortname]], Comp[], 21, FALSE)</f>
        <v>0</v>
      </c>
      <c r="W26">
        <f>VLOOKUP(Table4[[#This Row],[Shortname]], Comp[], 22, FALSE)</f>
        <v>0</v>
      </c>
      <c r="X26">
        <f>VLOOKUP(Table4[[#This Row],[Shortname]], Comp[], 23, FALSE)</f>
        <v>0</v>
      </c>
      <c r="Y26">
        <f>VLOOKUP(Table4[[#This Row],[Shortname]], Comp[], 24, FALSE)</f>
        <v>0</v>
      </c>
      <c r="Z26">
        <f>VLOOKUP(Table4[[#This Row],[Shortname]], Comp[], 25, FALSE)</f>
        <v>0</v>
      </c>
      <c r="AA26">
        <f>VLOOKUP(Table4[[#This Row],[Shortname]], Comp[], 26, FALSE)</f>
        <v>0</v>
      </c>
      <c r="AB26">
        <f>VLOOKUP(Table4[[#This Row],[Shortname]], Comp[], 27, FALSE)</f>
        <v>0</v>
      </c>
      <c r="AC26">
        <f>VLOOKUP(Table4[[#This Row],[Shortname]], Comp[], 28, FALSE)</f>
        <v>0</v>
      </c>
      <c r="AD26">
        <f>VLOOKUP(Table4[[#This Row],[Shortname]], Comp[], 29, FALSE)</f>
        <v>0</v>
      </c>
      <c r="AE26">
        <f>VLOOKUP(Table4[[#This Row],[Shortname]], Comp[], 30, FALSE)</f>
        <v>0</v>
      </c>
      <c r="AF26">
        <f>VLOOKUP(Table4[[#This Row],[Shortname]], Comp[], 31, FALSE)</f>
        <v>0</v>
      </c>
    </row>
    <row r="27" spans="1:32" x14ac:dyDescent="0.3">
      <c r="A27" t="s">
        <v>652</v>
      </c>
      <c r="B27" t="s">
        <v>654</v>
      </c>
      <c r="C27" s="16" t="s">
        <v>6784</v>
      </c>
      <c r="D27">
        <v>25</v>
      </c>
      <c r="E27">
        <v>900</v>
      </c>
      <c r="F27">
        <v>762.72050576119102</v>
      </c>
      <c r="G27">
        <f>VLOOKUP(Table4[[#This Row],[Shortname]], Comp[], 6, FALSE)</f>
        <v>84</v>
      </c>
      <c r="H27" s="14">
        <f>VLOOKUP(Table4[[#This Row],[Shortname]], Comp[], 7, FALSE)</f>
        <v>73.400000000000006</v>
      </c>
      <c r="I27">
        <f>VLOOKUP(Table4[[#This Row],[Shortname]], Comp[], 8, FALSE)</f>
        <v>0</v>
      </c>
      <c r="J27">
        <f>VLOOKUP(Table4[[#This Row],[Shortname]], Comp[], 9, FALSE)</f>
        <v>11.7</v>
      </c>
      <c r="K27">
        <f>VLOOKUP(Table4[[#This Row],[Shortname]], Comp[], 10, FALSE)</f>
        <v>0</v>
      </c>
      <c r="L27">
        <f>VLOOKUP(Table4[[#This Row],[Shortname]], Comp[], 11, FALSE)</f>
        <v>14.01</v>
      </c>
      <c r="M27">
        <f>VLOOKUP(Table4[[#This Row],[Shortname]], Comp[],12, FALSE)</f>
        <v>0.48</v>
      </c>
      <c r="N27">
        <f>VLOOKUP(Table4[[#This Row],[Shortname]], Comp[], 13, FALSE)</f>
        <v>0.41</v>
      </c>
      <c r="O27">
        <f>VLOOKUP(Table4[[#This Row],[Shortname]], Comp[], 14, FALSE)</f>
        <v>0</v>
      </c>
      <c r="P27">
        <f>VLOOKUP(Table4[[#This Row],[Shortname]], Comp[], 15, FALSE)</f>
        <v>0</v>
      </c>
      <c r="Q27">
        <f>VLOOKUP(Table4[[#This Row],[Shortname]], Comp[], 16, FALSE)</f>
        <v>0</v>
      </c>
      <c r="R27">
        <f>VLOOKUP(Table4[[#This Row],[Shortname]], Comp[], 17, FALSE)</f>
        <v>0</v>
      </c>
      <c r="S27">
        <f>VLOOKUP(Table4[[#This Row],[Shortname]], Comp[], 18, FALSE)</f>
        <v>0</v>
      </c>
      <c r="T27">
        <f>VLOOKUP(Table4[[#This Row],[Shortname]], Comp[], 19, FALSE)</f>
        <v>0</v>
      </c>
      <c r="U27">
        <f>VLOOKUP(Table4[[#This Row],[Shortname]], Comp[], 20, FALSE)</f>
        <v>0</v>
      </c>
      <c r="V27">
        <f>VLOOKUP(Table4[[#This Row],[Shortname]], Comp[], 21, FALSE)</f>
        <v>0</v>
      </c>
      <c r="W27">
        <f>VLOOKUP(Table4[[#This Row],[Shortname]], Comp[], 22, FALSE)</f>
        <v>0</v>
      </c>
      <c r="X27">
        <f>VLOOKUP(Table4[[#This Row],[Shortname]], Comp[], 23, FALSE)</f>
        <v>0</v>
      </c>
      <c r="Y27">
        <f>VLOOKUP(Table4[[#This Row],[Shortname]], Comp[], 24, FALSE)</f>
        <v>0</v>
      </c>
      <c r="Z27">
        <f>VLOOKUP(Table4[[#This Row],[Shortname]], Comp[], 25, FALSE)</f>
        <v>0</v>
      </c>
      <c r="AA27">
        <f>VLOOKUP(Table4[[#This Row],[Shortname]], Comp[], 26, FALSE)</f>
        <v>0</v>
      </c>
      <c r="AB27">
        <f>VLOOKUP(Table4[[#This Row],[Shortname]], Comp[], 27, FALSE)</f>
        <v>0</v>
      </c>
      <c r="AC27">
        <f>VLOOKUP(Table4[[#This Row],[Shortname]], Comp[], 28, FALSE)</f>
        <v>0</v>
      </c>
      <c r="AD27">
        <f>VLOOKUP(Table4[[#This Row],[Shortname]], Comp[], 29, FALSE)</f>
        <v>0</v>
      </c>
      <c r="AE27">
        <f>VLOOKUP(Table4[[#This Row],[Shortname]], Comp[], 30, FALSE)</f>
        <v>0</v>
      </c>
      <c r="AF27">
        <f>VLOOKUP(Table4[[#This Row],[Shortname]], Comp[], 31, FALSE)</f>
        <v>0</v>
      </c>
    </row>
    <row r="28" spans="1:32" x14ac:dyDescent="0.3">
      <c r="A28" t="s">
        <v>664</v>
      </c>
      <c r="B28" t="s">
        <v>666</v>
      </c>
      <c r="C28" s="16" t="s">
        <v>6699</v>
      </c>
      <c r="D28">
        <v>25</v>
      </c>
      <c r="E28">
        <v>900</v>
      </c>
      <c r="F28">
        <v>696.44131742632817</v>
      </c>
      <c r="G28">
        <f>VLOOKUP(Table4[[#This Row],[Shortname]], Comp[], 6, FALSE)</f>
        <v>85</v>
      </c>
      <c r="H28" s="14">
        <f>VLOOKUP(Table4[[#This Row],[Shortname]], Comp[], 7, FALSE)</f>
        <v>79.569999999999993</v>
      </c>
      <c r="I28">
        <f>VLOOKUP(Table4[[#This Row],[Shortname]], Comp[], 8, FALSE)</f>
        <v>0</v>
      </c>
      <c r="J28">
        <f>VLOOKUP(Table4[[#This Row],[Shortname]], Comp[], 9, FALSE)</f>
        <v>8.35</v>
      </c>
      <c r="K28">
        <f>VLOOKUP(Table4[[#This Row],[Shortname]], Comp[], 10, FALSE)</f>
        <v>0</v>
      </c>
      <c r="L28">
        <f>VLOOKUP(Table4[[#This Row],[Shortname]], Comp[], 11, FALSE)</f>
        <v>12.08</v>
      </c>
      <c r="M28">
        <f>VLOOKUP(Table4[[#This Row],[Shortname]], Comp[],12, FALSE)</f>
        <v>0</v>
      </c>
      <c r="N28">
        <f>VLOOKUP(Table4[[#This Row],[Shortname]], Comp[], 13, FALSE)</f>
        <v>0</v>
      </c>
      <c r="O28">
        <f>VLOOKUP(Table4[[#This Row],[Shortname]], Comp[], 14, FALSE)</f>
        <v>0</v>
      </c>
      <c r="P28">
        <f>VLOOKUP(Table4[[#This Row],[Shortname]], Comp[], 15, FALSE)</f>
        <v>0</v>
      </c>
      <c r="Q28">
        <f>VLOOKUP(Table4[[#This Row],[Shortname]], Comp[], 16, FALSE)</f>
        <v>0</v>
      </c>
      <c r="R28">
        <f>VLOOKUP(Table4[[#This Row],[Shortname]], Comp[], 17, FALSE)</f>
        <v>0</v>
      </c>
      <c r="S28">
        <f>VLOOKUP(Table4[[#This Row],[Shortname]], Comp[], 18, FALSE)</f>
        <v>0</v>
      </c>
      <c r="T28">
        <f>VLOOKUP(Table4[[#This Row],[Shortname]], Comp[], 19, FALSE)</f>
        <v>0</v>
      </c>
      <c r="U28">
        <f>VLOOKUP(Table4[[#This Row],[Shortname]], Comp[], 20, FALSE)</f>
        <v>0</v>
      </c>
      <c r="V28">
        <f>VLOOKUP(Table4[[#This Row],[Shortname]], Comp[], 21, FALSE)</f>
        <v>0</v>
      </c>
      <c r="W28">
        <f>VLOOKUP(Table4[[#This Row],[Shortname]], Comp[], 22, FALSE)</f>
        <v>0</v>
      </c>
      <c r="X28">
        <f>VLOOKUP(Table4[[#This Row],[Shortname]], Comp[], 23, FALSE)</f>
        <v>0</v>
      </c>
      <c r="Y28">
        <f>VLOOKUP(Table4[[#This Row],[Shortname]], Comp[], 24, FALSE)</f>
        <v>0</v>
      </c>
      <c r="Z28">
        <f>VLOOKUP(Table4[[#This Row],[Shortname]], Comp[], 25, FALSE)</f>
        <v>0</v>
      </c>
      <c r="AA28">
        <f>VLOOKUP(Table4[[#This Row],[Shortname]], Comp[], 26, FALSE)</f>
        <v>0</v>
      </c>
      <c r="AB28">
        <f>VLOOKUP(Table4[[#This Row],[Shortname]], Comp[], 27, FALSE)</f>
        <v>0</v>
      </c>
      <c r="AC28">
        <f>VLOOKUP(Table4[[#This Row],[Shortname]], Comp[], 28, FALSE)</f>
        <v>0</v>
      </c>
      <c r="AD28">
        <f>VLOOKUP(Table4[[#This Row],[Shortname]], Comp[], 29, FALSE)</f>
        <v>0</v>
      </c>
      <c r="AE28">
        <f>VLOOKUP(Table4[[#This Row],[Shortname]], Comp[], 30, FALSE)</f>
        <v>0</v>
      </c>
      <c r="AF28">
        <f>VLOOKUP(Table4[[#This Row],[Shortname]], Comp[], 31, FALSE)</f>
        <v>0</v>
      </c>
    </row>
    <row r="29" spans="1:32" x14ac:dyDescent="0.3">
      <c r="A29" t="s">
        <v>672</v>
      </c>
      <c r="B29" t="s">
        <v>674</v>
      </c>
      <c r="C29" s="1" t="s">
        <v>6785</v>
      </c>
      <c r="D29">
        <v>25</v>
      </c>
      <c r="E29">
        <v>950</v>
      </c>
      <c r="F29">
        <v>400</v>
      </c>
      <c r="G29">
        <f>VLOOKUP(Table4[[#This Row],[Shortname]], Comp[], 6, FALSE)</f>
        <v>86</v>
      </c>
      <c r="H29" s="14">
        <f>VLOOKUP(Table4[[#This Row],[Shortname]], Comp[], 7, FALSE)</f>
        <v>66</v>
      </c>
      <c r="I29">
        <f>VLOOKUP(Table4[[#This Row],[Shortname]], Comp[], 8, FALSE)</f>
        <v>15</v>
      </c>
      <c r="J29">
        <f>VLOOKUP(Table4[[#This Row],[Shortname]], Comp[], 9, FALSE)</f>
        <v>9</v>
      </c>
      <c r="K29">
        <f>VLOOKUP(Table4[[#This Row],[Shortname]], Comp[], 10, FALSE)</f>
        <v>0</v>
      </c>
      <c r="L29">
        <f>VLOOKUP(Table4[[#This Row],[Shortname]], Comp[], 11, FALSE)</f>
        <v>10</v>
      </c>
      <c r="M29">
        <f>VLOOKUP(Table4[[#This Row],[Shortname]], Comp[],12, FALSE)</f>
        <v>0</v>
      </c>
      <c r="N29">
        <f>VLOOKUP(Table4[[#This Row],[Shortname]], Comp[], 13, FALSE)</f>
        <v>0</v>
      </c>
      <c r="O29">
        <f>VLOOKUP(Table4[[#This Row],[Shortname]], Comp[], 14, FALSE)</f>
        <v>0</v>
      </c>
      <c r="P29">
        <f>VLOOKUP(Table4[[#This Row],[Shortname]], Comp[], 15, FALSE)</f>
        <v>0</v>
      </c>
      <c r="Q29">
        <f>VLOOKUP(Table4[[#This Row],[Shortname]], Comp[], 16, FALSE)</f>
        <v>0</v>
      </c>
      <c r="R29">
        <f>VLOOKUP(Table4[[#This Row],[Shortname]], Comp[], 17, FALSE)</f>
        <v>0</v>
      </c>
      <c r="S29">
        <f>VLOOKUP(Table4[[#This Row],[Shortname]], Comp[], 18, FALSE)</f>
        <v>0</v>
      </c>
      <c r="T29">
        <f>VLOOKUP(Table4[[#This Row],[Shortname]], Comp[], 19, FALSE)</f>
        <v>0</v>
      </c>
      <c r="U29">
        <f>VLOOKUP(Table4[[#This Row],[Shortname]], Comp[], 20, FALSE)</f>
        <v>0</v>
      </c>
      <c r="V29">
        <f>VLOOKUP(Table4[[#This Row],[Shortname]], Comp[], 21, FALSE)</f>
        <v>0</v>
      </c>
      <c r="W29">
        <f>VLOOKUP(Table4[[#This Row],[Shortname]], Comp[], 22, FALSE)</f>
        <v>0</v>
      </c>
      <c r="X29">
        <f>VLOOKUP(Table4[[#This Row],[Shortname]], Comp[], 23, FALSE)</f>
        <v>0</v>
      </c>
      <c r="Y29">
        <f>VLOOKUP(Table4[[#This Row],[Shortname]], Comp[], 24, FALSE)</f>
        <v>0</v>
      </c>
      <c r="Z29">
        <f>VLOOKUP(Table4[[#This Row],[Shortname]], Comp[], 25, FALSE)</f>
        <v>0</v>
      </c>
      <c r="AA29">
        <f>VLOOKUP(Table4[[#This Row],[Shortname]], Comp[], 26, FALSE)</f>
        <v>0</v>
      </c>
      <c r="AB29">
        <f>VLOOKUP(Table4[[#This Row],[Shortname]], Comp[], 27, FALSE)</f>
        <v>0</v>
      </c>
      <c r="AC29">
        <f>VLOOKUP(Table4[[#This Row],[Shortname]], Comp[], 28, FALSE)</f>
        <v>0</v>
      </c>
      <c r="AD29">
        <f>VLOOKUP(Table4[[#This Row],[Shortname]], Comp[], 29, FALSE)</f>
        <v>0</v>
      </c>
      <c r="AE29">
        <f>VLOOKUP(Table4[[#This Row],[Shortname]], Comp[], 30, FALSE)</f>
        <v>0</v>
      </c>
      <c r="AF29">
        <f>VLOOKUP(Table4[[#This Row],[Shortname]], Comp[], 31, FALSE)</f>
        <v>0</v>
      </c>
    </row>
    <row r="30" spans="1:32" x14ac:dyDescent="0.3">
      <c r="A30" t="s">
        <v>682</v>
      </c>
      <c r="B30" t="s">
        <v>684</v>
      </c>
      <c r="C30" s="1" t="s">
        <v>6785</v>
      </c>
      <c r="D30">
        <v>25</v>
      </c>
      <c r="E30">
        <v>950</v>
      </c>
      <c r="F30">
        <v>377</v>
      </c>
      <c r="G30">
        <f>VLOOKUP(Table4[[#This Row],[Shortname]], Comp[], 6, FALSE)</f>
        <v>87</v>
      </c>
      <c r="H30" s="14">
        <f>VLOOKUP(Table4[[#This Row],[Shortname]], Comp[], 7, FALSE)</f>
        <v>56</v>
      </c>
      <c r="I30">
        <f>VLOOKUP(Table4[[#This Row],[Shortname]], Comp[], 8, FALSE)</f>
        <v>25</v>
      </c>
      <c r="J30">
        <f>VLOOKUP(Table4[[#This Row],[Shortname]], Comp[], 9, FALSE)</f>
        <v>9</v>
      </c>
      <c r="K30">
        <f>VLOOKUP(Table4[[#This Row],[Shortname]], Comp[], 10, FALSE)</f>
        <v>0</v>
      </c>
      <c r="L30">
        <f>VLOOKUP(Table4[[#This Row],[Shortname]], Comp[], 11, FALSE)</f>
        <v>10</v>
      </c>
      <c r="M30">
        <f>VLOOKUP(Table4[[#This Row],[Shortname]], Comp[],12, FALSE)</f>
        <v>0</v>
      </c>
      <c r="N30">
        <f>VLOOKUP(Table4[[#This Row],[Shortname]], Comp[], 13, FALSE)</f>
        <v>0</v>
      </c>
      <c r="O30">
        <f>VLOOKUP(Table4[[#This Row],[Shortname]], Comp[], 14, FALSE)</f>
        <v>0</v>
      </c>
      <c r="P30">
        <f>VLOOKUP(Table4[[#This Row],[Shortname]], Comp[], 15, FALSE)</f>
        <v>0</v>
      </c>
      <c r="Q30">
        <f>VLOOKUP(Table4[[#This Row],[Shortname]], Comp[], 16, FALSE)</f>
        <v>0</v>
      </c>
      <c r="R30">
        <f>VLOOKUP(Table4[[#This Row],[Shortname]], Comp[], 17, FALSE)</f>
        <v>0</v>
      </c>
      <c r="S30">
        <f>VLOOKUP(Table4[[#This Row],[Shortname]], Comp[], 18, FALSE)</f>
        <v>0</v>
      </c>
      <c r="T30">
        <f>VLOOKUP(Table4[[#This Row],[Shortname]], Comp[], 19, FALSE)</f>
        <v>0</v>
      </c>
      <c r="U30">
        <f>VLOOKUP(Table4[[#This Row],[Shortname]], Comp[], 20, FALSE)</f>
        <v>0</v>
      </c>
      <c r="V30">
        <f>VLOOKUP(Table4[[#This Row],[Shortname]], Comp[], 21, FALSE)</f>
        <v>0</v>
      </c>
      <c r="W30">
        <f>VLOOKUP(Table4[[#This Row],[Shortname]], Comp[], 22, FALSE)</f>
        <v>0</v>
      </c>
      <c r="X30">
        <f>VLOOKUP(Table4[[#This Row],[Shortname]], Comp[], 23, FALSE)</f>
        <v>0</v>
      </c>
      <c r="Y30">
        <f>VLOOKUP(Table4[[#This Row],[Shortname]], Comp[], 24, FALSE)</f>
        <v>0</v>
      </c>
      <c r="Z30">
        <f>VLOOKUP(Table4[[#This Row],[Shortname]], Comp[], 25, FALSE)</f>
        <v>0</v>
      </c>
      <c r="AA30">
        <f>VLOOKUP(Table4[[#This Row],[Shortname]], Comp[], 26, FALSE)</f>
        <v>0</v>
      </c>
      <c r="AB30">
        <f>VLOOKUP(Table4[[#This Row],[Shortname]], Comp[], 27, FALSE)</f>
        <v>0</v>
      </c>
      <c r="AC30">
        <f>VLOOKUP(Table4[[#This Row],[Shortname]], Comp[], 28, FALSE)</f>
        <v>0</v>
      </c>
      <c r="AD30">
        <f>VLOOKUP(Table4[[#This Row],[Shortname]], Comp[], 29, FALSE)</f>
        <v>0</v>
      </c>
      <c r="AE30">
        <f>VLOOKUP(Table4[[#This Row],[Shortname]], Comp[], 30, FALSE)</f>
        <v>0</v>
      </c>
      <c r="AF30">
        <f>VLOOKUP(Table4[[#This Row],[Shortname]], Comp[], 31, FALSE)</f>
        <v>0</v>
      </c>
    </row>
    <row r="31" spans="1:32" x14ac:dyDescent="0.3">
      <c r="A31" t="s">
        <v>672</v>
      </c>
      <c r="B31" t="s">
        <v>674</v>
      </c>
      <c r="C31" s="1" t="s">
        <v>6785</v>
      </c>
      <c r="D31">
        <v>25</v>
      </c>
      <c r="E31">
        <v>850</v>
      </c>
      <c r="F31">
        <v>355</v>
      </c>
      <c r="G31">
        <f>VLOOKUP(Table4[[#This Row],[Shortname]], Comp[], 6, FALSE)</f>
        <v>86</v>
      </c>
      <c r="H31" s="14">
        <f>VLOOKUP(Table4[[#This Row],[Shortname]], Comp[], 7, FALSE)</f>
        <v>66</v>
      </c>
      <c r="I31">
        <f>VLOOKUP(Table4[[#This Row],[Shortname]], Comp[], 8, FALSE)</f>
        <v>15</v>
      </c>
      <c r="J31">
        <f>VLOOKUP(Table4[[#This Row],[Shortname]], Comp[], 9, FALSE)</f>
        <v>9</v>
      </c>
      <c r="K31">
        <f>VLOOKUP(Table4[[#This Row],[Shortname]], Comp[], 10, FALSE)</f>
        <v>0</v>
      </c>
      <c r="L31">
        <f>VLOOKUP(Table4[[#This Row],[Shortname]], Comp[], 11, FALSE)</f>
        <v>10</v>
      </c>
      <c r="M31">
        <f>VLOOKUP(Table4[[#This Row],[Shortname]], Comp[],12, FALSE)</f>
        <v>0</v>
      </c>
      <c r="N31">
        <f>VLOOKUP(Table4[[#This Row],[Shortname]], Comp[], 13, FALSE)</f>
        <v>0</v>
      </c>
      <c r="O31">
        <f>VLOOKUP(Table4[[#This Row],[Shortname]], Comp[], 14, FALSE)</f>
        <v>0</v>
      </c>
      <c r="P31">
        <f>VLOOKUP(Table4[[#This Row],[Shortname]], Comp[], 15, FALSE)</f>
        <v>0</v>
      </c>
      <c r="Q31">
        <f>VLOOKUP(Table4[[#This Row],[Shortname]], Comp[], 16, FALSE)</f>
        <v>0</v>
      </c>
      <c r="R31">
        <f>VLOOKUP(Table4[[#This Row],[Shortname]], Comp[], 17, FALSE)</f>
        <v>0</v>
      </c>
      <c r="S31">
        <f>VLOOKUP(Table4[[#This Row],[Shortname]], Comp[], 18, FALSE)</f>
        <v>0</v>
      </c>
      <c r="T31">
        <f>VLOOKUP(Table4[[#This Row],[Shortname]], Comp[], 19, FALSE)</f>
        <v>0</v>
      </c>
      <c r="U31">
        <f>VLOOKUP(Table4[[#This Row],[Shortname]], Comp[], 20, FALSE)</f>
        <v>0</v>
      </c>
      <c r="V31">
        <f>VLOOKUP(Table4[[#This Row],[Shortname]], Comp[], 21, FALSE)</f>
        <v>0</v>
      </c>
      <c r="W31">
        <f>VLOOKUP(Table4[[#This Row],[Shortname]], Comp[], 22, FALSE)</f>
        <v>0</v>
      </c>
      <c r="X31">
        <f>VLOOKUP(Table4[[#This Row],[Shortname]], Comp[], 23, FALSE)</f>
        <v>0</v>
      </c>
      <c r="Y31">
        <f>VLOOKUP(Table4[[#This Row],[Shortname]], Comp[], 24, FALSE)</f>
        <v>0</v>
      </c>
      <c r="Z31">
        <f>VLOOKUP(Table4[[#This Row],[Shortname]], Comp[], 25, FALSE)</f>
        <v>0</v>
      </c>
      <c r="AA31">
        <f>VLOOKUP(Table4[[#This Row],[Shortname]], Comp[], 26, FALSE)</f>
        <v>0</v>
      </c>
      <c r="AB31">
        <f>VLOOKUP(Table4[[#This Row],[Shortname]], Comp[], 27, FALSE)</f>
        <v>0</v>
      </c>
      <c r="AC31">
        <f>VLOOKUP(Table4[[#This Row],[Shortname]], Comp[], 28, FALSE)</f>
        <v>0</v>
      </c>
      <c r="AD31">
        <f>VLOOKUP(Table4[[#This Row],[Shortname]], Comp[], 29, FALSE)</f>
        <v>0</v>
      </c>
      <c r="AE31">
        <f>VLOOKUP(Table4[[#This Row],[Shortname]], Comp[], 30, FALSE)</f>
        <v>0</v>
      </c>
      <c r="AF31">
        <f>VLOOKUP(Table4[[#This Row],[Shortname]], Comp[], 31, FALSE)</f>
        <v>0</v>
      </c>
    </row>
    <row r="32" spans="1:32" x14ac:dyDescent="0.3">
      <c r="A32" t="s">
        <v>689</v>
      </c>
      <c r="B32" t="s">
        <v>691</v>
      </c>
      <c r="C32" s="1" t="s">
        <v>6785</v>
      </c>
      <c r="D32">
        <v>25</v>
      </c>
      <c r="E32">
        <v>950</v>
      </c>
      <c r="F32">
        <v>355</v>
      </c>
      <c r="G32">
        <f>VLOOKUP(Table4[[#This Row],[Shortname]], Comp[], 6, FALSE)</f>
        <v>88</v>
      </c>
      <c r="H32" s="14">
        <f>VLOOKUP(Table4[[#This Row],[Shortname]], Comp[], 7, FALSE)</f>
        <v>46</v>
      </c>
      <c r="I32">
        <f>VLOOKUP(Table4[[#This Row],[Shortname]], Comp[], 8, FALSE)</f>
        <v>35</v>
      </c>
      <c r="J32">
        <f>VLOOKUP(Table4[[#This Row],[Shortname]], Comp[], 9, FALSE)</f>
        <v>9</v>
      </c>
      <c r="K32">
        <f>VLOOKUP(Table4[[#This Row],[Shortname]], Comp[], 10, FALSE)</f>
        <v>0</v>
      </c>
      <c r="L32">
        <f>VLOOKUP(Table4[[#This Row],[Shortname]], Comp[], 11, FALSE)</f>
        <v>10</v>
      </c>
      <c r="M32">
        <f>VLOOKUP(Table4[[#This Row],[Shortname]], Comp[],12, FALSE)</f>
        <v>0</v>
      </c>
      <c r="N32">
        <f>VLOOKUP(Table4[[#This Row],[Shortname]], Comp[], 13, FALSE)</f>
        <v>0</v>
      </c>
      <c r="O32">
        <f>VLOOKUP(Table4[[#This Row],[Shortname]], Comp[], 14, FALSE)</f>
        <v>0</v>
      </c>
      <c r="P32">
        <f>VLOOKUP(Table4[[#This Row],[Shortname]], Comp[], 15, FALSE)</f>
        <v>0</v>
      </c>
      <c r="Q32">
        <f>VLOOKUP(Table4[[#This Row],[Shortname]], Comp[], 16, FALSE)</f>
        <v>0</v>
      </c>
      <c r="R32">
        <f>VLOOKUP(Table4[[#This Row],[Shortname]], Comp[], 17, FALSE)</f>
        <v>0</v>
      </c>
      <c r="S32">
        <f>VLOOKUP(Table4[[#This Row],[Shortname]], Comp[], 18, FALSE)</f>
        <v>0</v>
      </c>
      <c r="T32">
        <f>VLOOKUP(Table4[[#This Row],[Shortname]], Comp[], 19, FALSE)</f>
        <v>0</v>
      </c>
      <c r="U32">
        <f>VLOOKUP(Table4[[#This Row],[Shortname]], Comp[], 20, FALSE)</f>
        <v>0</v>
      </c>
      <c r="V32">
        <f>VLOOKUP(Table4[[#This Row],[Shortname]], Comp[], 21, FALSE)</f>
        <v>0</v>
      </c>
      <c r="W32">
        <f>VLOOKUP(Table4[[#This Row],[Shortname]], Comp[], 22, FALSE)</f>
        <v>0</v>
      </c>
      <c r="X32">
        <f>VLOOKUP(Table4[[#This Row],[Shortname]], Comp[], 23, FALSE)</f>
        <v>0</v>
      </c>
      <c r="Y32">
        <f>VLOOKUP(Table4[[#This Row],[Shortname]], Comp[], 24, FALSE)</f>
        <v>0</v>
      </c>
      <c r="Z32">
        <f>VLOOKUP(Table4[[#This Row],[Shortname]], Comp[], 25, FALSE)</f>
        <v>0</v>
      </c>
      <c r="AA32">
        <f>VLOOKUP(Table4[[#This Row],[Shortname]], Comp[], 26, FALSE)</f>
        <v>0</v>
      </c>
      <c r="AB32">
        <f>VLOOKUP(Table4[[#This Row],[Shortname]], Comp[], 27, FALSE)</f>
        <v>0</v>
      </c>
      <c r="AC32">
        <f>VLOOKUP(Table4[[#This Row],[Shortname]], Comp[], 28, FALSE)</f>
        <v>0</v>
      </c>
      <c r="AD32">
        <f>VLOOKUP(Table4[[#This Row],[Shortname]], Comp[], 29, FALSE)</f>
        <v>0</v>
      </c>
      <c r="AE32">
        <f>VLOOKUP(Table4[[#This Row],[Shortname]], Comp[], 30, FALSE)</f>
        <v>0</v>
      </c>
      <c r="AF32">
        <f>VLOOKUP(Table4[[#This Row],[Shortname]], Comp[], 31, FALSE)</f>
        <v>0</v>
      </c>
    </row>
    <row r="33" spans="1:32" x14ac:dyDescent="0.3">
      <c r="A33" t="s">
        <v>682</v>
      </c>
      <c r="B33" t="s">
        <v>684</v>
      </c>
      <c r="C33" s="1" t="s">
        <v>6785</v>
      </c>
      <c r="D33">
        <v>25</v>
      </c>
      <c r="E33">
        <v>850</v>
      </c>
      <c r="F33">
        <v>346</v>
      </c>
      <c r="G33">
        <f>VLOOKUP(Table4[[#This Row],[Shortname]], Comp[], 6, FALSE)</f>
        <v>87</v>
      </c>
      <c r="H33" s="14">
        <f>VLOOKUP(Table4[[#This Row],[Shortname]], Comp[], 7, FALSE)</f>
        <v>56</v>
      </c>
      <c r="I33">
        <f>VLOOKUP(Table4[[#This Row],[Shortname]], Comp[], 8, FALSE)</f>
        <v>25</v>
      </c>
      <c r="J33">
        <f>VLOOKUP(Table4[[#This Row],[Shortname]], Comp[], 9, FALSE)</f>
        <v>9</v>
      </c>
      <c r="K33">
        <f>VLOOKUP(Table4[[#This Row],[Shortname]], Comp[], 10, FALSE)</f>
        <v>0</v>
      </c>
      <c r="L33">
        <f>VLOOKUP(Table4[[#This Row],[Shortname]], Comp[], 11, FALSE)</f>
        <v>10</v>
      </c>
      <c r="M33">
        <f>VLOOKUP(Table4[[#This Row],[Shortname]], Comp[],12, FALSE)</f>
        <v>0</v>
      </c>
      <c r="N33">
        <f>VLOOKUP(Table4[[#This Row],[Shortname]], Comp[], 13, FALSE)</f>
        <v>0</v>
      </c>
      <c r="O33">
        <f>VLOOKUP(Table4[[#This Row],[Shortname]], Comp[], 14, FALSE)</f>
        <v>0</v>
      </c>
      <c r="P33">
        <f>VLOOKUP(Table4[[#This Row],[Shortname]], Comp[], 15, FALSE)</f>
        <v>0</v>
      </c>
      <c r="Q33">
        <f>VLOOKUP(Table4[[#This Row],[Shortname]], Comp[], 16, FALSE)</f>
        <v>0</v>
      </c>
      <c r="R33">
        <f>VLOOKUP(Table4[[#This Row],[Shortname]], Comp[], 17, FALSE)</f>
        <v>0</v>
      </c>
      <c r="S33">
        <f>VLOOKUP(Table4[[#This Row],[Shortname]], Comp[], 18, FALSE)</f>
        <v>0</v>
      </c>
      <c r="T33">
        <f>VLOOKUP(Table4[[#This Row],[Shortname]], Comp[], 19, FALSE)</f>
        <v>0</v>
      </c>
      <c r="U33">
        <f>VLOOKUP(Table4[[#This Row],[Shortname]], Comp[], 20, FALSE)</f>
        <v>0</v>
      </c>
      <c r="V33">
        <f>VLOOKUP(Table4[[#This Row],[Shortname]], Comp[], 21, FALSE)</f>
        <v>0</v>
      </c>
      <c r="W33">
        <f>VLOOKUP(Table4[[#This Row],[Shortname]], Comp[], 22, FALSE)</f>
        <v>0</v>
      </c>
      <c r="X33">
        <f>VLOOKUP(Table4[[#This Row],[Shortname]], Comp[], 23, FALSE)</f>
        <v>0</v>
      </c>
      <c r="Y33">
        <f>VLOOKUP(Table4[[#This Row],[Shortname]], Comp[], 24, FALSE)</f>
        <v>0</v>
      </c>
      <c r="Z33">
        <f>VLOOKUP(Table4[[#This Row],[Shortname]], Comp[], 25, FALSE)</f>
        <v>0</v>
      </c>
      <c r="AA33">
        <f>VLOOKUP(Table4[[#This Row],[Shortname]], Comp[], 26, FALSE)</f>
        <v>0</v>
      </c>
      <c r="AB33">
        <f>VLOOKUP(Table4[[#This Row],[Shortname]], Comp[], 27, FALSE)</f>
        <v>0</v>
      </c>
      <c r="AC33">
        <f>VLOOKUP(Table4[[#This Row],[Shortname]], Comp[], 28, FALSE)</f>
        <v>0</v>
      </c>
      <c r="AD33">
        <f>VLOOKUP(Table4[[#This Row],[Shortname]], Comp[], 29, FALSE)</f>
        <v>0</v>
      </c>
      <c r="AE33">
        <f>VLOOKUP(Table4[[#This Row],[Shortname]], Comp[], 30, FALSE)</f>
        <v>0</v>
      </c>
      <c r="AF33">
        <f>VLOOKUP(Table4[[#This Row],[Shortname]], Comp[], 31, FALSE)</f>
        <v>0</v>
      </c>
    </row>
    <row r="34" spans="1:32" x14ac:dyDescent="0.3">
      <c r="A34" t="s">
        <v>689</v>
      </c>
      <c r="B34" t="s">
        <v>691</v>
      </c>
      <c r="C34" s="1" t="s">
        <v>6785</v>
      </c>
      <c r="D34">
        <v>25</v>
      </c>
      <c r="E34">
        <v>850</v>
      </c>
      <c r="F34">
        <v>319</v>
      </c>
      <c r="G34">
        <f>VLOOKUP(Table4[[#This Row],[Shortname]], Comp[], 6, FALSE)</f>
        <v>88</v>
      </c>
      <c r="H34" s="14">
        <f>VLOOKUP(Table4[[#This Row],[Shortname]], Comp[], 7, FALSE)</f>
        <v>46</v>
      </c>
      <c r="I34">
        <f>VLOOKUP(Table4[[#This Row],[Shortname]], Comp[], 8, FALSE)</f>
        <v>35</v>
      </c>
      <c r="J34">
        <f>VLOOKUP(Table4[[#This Row],[Shortname]], Comp[], 9, FALSE)</f>
        <v>9</v>
      </c>
      <c r="K34">
        <f>VLOOKUP(Table4[[#This Row],[Shortname]], Comp[], 10, FALSE)</f>
        <v>0</v>
      </c>
      <c r="L34">
        <f>VLOOKUP(Table4[[#This Row],[Shortname]], Comp[], 11, FALSE)</f>
        <v>10</v>
      </c>
      <c r="M34">
        <f>VLOOKUP(Table4[[#This Row],[Shortname]], Comp[],12, FALSE)</f>
        <v>0</v>
      </c>
      <c r="N34">
        <f>VLOOKUP(Table4[[#This Row],[Shortname]], Comp[], 13, FALSE)</f>
        <v>0</v>
      </c>
      <c r="O34">
        <f>VLOOKUP(Table4[[#This Row],[Shortname]], Comp[], 14, FALSE)</f>
        <v>0</v>
      </c>
      <c r="P34">
        <f>VLOOKUP(Table4[[#This Row],[Shortname]], Comp[], 15, FALSE)</f>
        <v>0</v>
      </c>
      <c r="Q34">
        <f>VLOOKUP(Table4[[#This Row],[Shortname]], Comp[], 16, FALSE)</f>
        <v>0</v>
      </c>
      <c r="R34">
        <f>VLOOKUP(Table4[[#This Row],[Shortname]], Comp[], 17, FALSE)</f>
        <v>0</v>
      </c>
      <c r="S34">
        <f>VLOOKUP(Table4[[#This Row],[Shortname]], Comp[], 18, FALSE)</f>
        <v>0</v>
      </c>
      <c r="T34">
        <f>VLOOKUP(Table4[[#This Row],[Shortname]], Comp[], 19, FALSE)</f>
        <v>0</v>
      </c>
      <c r="U34">
        <f>VLOOKUP(Table4[[#This Row],[Shortname]], Comp[], 20, FALSE)</f>
        <v>0</v>
      </c>
      <c r="V34">
        <f>VLOOKUP(Table4[[#This Row],[Shortname]], Comp[], 21, FALSE)</f>
        <v>0</v>
      </c>
      <c r="W34">
        <f>VLOOKUP(Table4[[#This Row],[Shortname]], Comp[], 22, FALSE)</f>
        <v>0</v>
      </c>
      <c r="X34">
        <f>VLOOKUP(Table4[[#This Row],[Shortname]], Comp[], 23, FALSE)</f>
        <v>0</v>
      </c>
      <c r="Y34">
        <f>VLOOKUP(Table4[[#This Row],[Shortname]], Comp[], 24, FALSE)</f>
        <v>0</v>
      </c>
      <c r="Z34">
        <f>VLOOKUP(Table4[[#This Row],[Shortname]], Comp[], 25, FALSE)</f>
        <v>0</v>
      </c>
      <c r="AA34">
        <f>VLOOKUP(Table4[[#This Row],[Shortname]], Comp[], 26, FALSE)</f>
        <v>0</v>
      </c>
      <c r="AB34">
        <f>VLOOKUP(Table4[[#This Row],[Shortname]], Comp[], 27, FALSE)</f>
        <v>0</v>
      </c>
      <c r="AC34">
        <f>VLOOKUP(Table4[[#This Row],[Shortname]], Comp[], 28, FALSE)</f>
        <v>0</v>
      </c>
      <c r="AD34">
        <f>VLOOKUP(Table4[[#This Row],[Shortname]], Comp[], 29, FALSE)</f>
        <v>0</v>
      </c>
      <c r="AE34">
        <f>VLOOKUP(Table4[[#This Row],[Shortname]], Comp[], 30, FALSE)</f>
        <v>0</v>
      </c>
      <c r="AF34">
        <f>VLOOKUP(Table4[[#This Row],[Shortname]], Comp[], 31, FALSE)</f>
        <v>0</v>
      </c>
    </row>
    <row r="35" spans="1:32" x14ac:dyDescent="0.3">
      <c r="A35" t="s">
        <v>992</v>
      </c>
      <c r="B35" t="s">
        <v>994</v>
      </c>
      <c r="C35" t="s">
        <v>6601</v>
      </c>
      <c r="D35">
        <v>25</v>
      </c>
      <c r="E35">
        <v>50</v>
      </c>
      <c r="F35">
        <v>545</v>
      </c>
      <c r="G35">
        <f>VLOOKUP(Table4[[#This Row],[Shortname]], Comp[], 6, FALSE)</f>
        <v>128</v>
      </c>
      <c r="H35" s="14">
        <f>VLOOKUP(Table4[[#This Row],[Shortname]], Comp[], 7, FALSE)</f>
        <v>19.5</v>
      </c>
      <c r="I35">
        <f>VLOOKUP(Table4[[#This Row],[Shortname]], Comp[], 8, FALSE)</f>
        <v>58.3</v>
      </c>
      <c r="J35">
        <f>VLOOKUP(Table4[[#This Row],[Shortname]], Comp[], 9, FALSE)</f>
        <v>3.2</v>
      </c>
      <c r="K35">
        <f>VLOOKUP(Table4[[#This Row],[Shortname]], Comp[], 10, FALSE)</f>
        <v>10.8</v>
      </c>
      <c r="L35">
        <f>VLOOKUP(Table4[[#This Row],[Shortname]], Comp[], 11, FALSE)</f>
        <v>0</v>
      </c>
      <c r="M35">
        <f>VLOOKUP(Table4[[#This Row],[Shortname]], Comp[],12, FALSE)</f>
        <v>8.1999999999999993</v>
      </c>
      <c r="N35">
        <f>VLOOKUP(Table4[[#This Row],[Shortname]], Comp[], 13, FALSE)</f>
        <v>0</v>
      </c>
      <c r="O35">
        <f>VLOOKUP(Table4[[#This Row],[Shortname]], Comp[], 14, FALSE)</f>
        <v>0</v>
      </c>
      <c r="P35">
        <f>VLOOKUP(Table4[[#This Row],[Shortname]], Comp[], 15, FALSE)</f>
        <v>0</v>
      </c>
      <c r="Q35">
        <f>VLOOKUP(Table4[[#This Row],[Shortname]], Comp[], 16, FALSE)</f>
        <v>0</v>
      </c>
      <c r="R35">
        <f>VLOOKUP(Table4[[#This Row],[Shortname]], Comp[], 17, FALSE)</f>
        <v>0</v>
      </c>
      <c r="S35">
        <f>VLOOKUP(Table4[[#This Row],[Shortname]], Comp[], 18, FALSE)</f>
        <v>0</v>
      </c>
      <c r="T35">
        <f>VLOOKUP(Table4[[#This Row],[Shortname]], Comp[], 19, FALSE)</f>
        <v>0</v>
      </c>
      <c r="U35">
        <f>VLOOKUP(Table4[[#This Row],[Shortname]], Comp[], 20, FALSE)</f>
        <v>0</v>
      </c>
      <c r="V35">
        <f>VLOOKUP(Table4[[#This Row],[Shortname]], Comp[], 21, FALSE)</f>
        <v>0</v>
      </c>
      <c r="W35">
        <f>VLOOKUP(Table4[[#This Row],[Shortname]], Comp[], 22, FALSE)</f>
        <v>0</v>
      </c>
      <c r="X35">
        <f>VLOOKUP(Table4[[#This Row],[Shortname]], Comp[], 23, FALSE)</f>
        <v>0</v>
      </c>
      <c r="Y35">
        <f>VLOOKUP(Table4[[#This Row],[Shortname]], Comp[], 24, FALSE)</f>
        <v>0</v>
      </c>
      <c r="Z35">
        <f>VLOOKUP(Table4[[#This Row],[Shortname]], Comp[], 25, FALSE)</f>
        <v>0</v>
      </c>
      <c r="AA35">
        <f>VLOOKUP(Table4[[#This Row],[Shortname]], Comp[], 26, FALSE)</f>
        <v>0</v>
      </c>
      <c r="AB35">
        <f>VLOOKUP(Table4[[#This Row],[Shortname]], Comp[], 27, FALSE)</f>
        <v>0</v>
      </c>
      <c r="AC35">
        <f>VLOOKUP(Table4[[#This Row],[Shortname]], Comp[], 28, FALSE)</f>
        <v>0</v>
      </c>
      <c r="AD35">
        <f>VLOOKUP(Table4[[#This Row],[Shortname]], Comp[], 29, FALSE)</f>
        <v>0</v>
      </c>
      <c r="AE35">
        <f>VLOOKUP(Table4[[#This Row],[Shortname]], Comp[], 30, FALSE)</f>
        <v>0</v>
      </c>
      <c r="AF35">
        <f>VLOOKUP(Table4[[#This Row],[Shortname]], Comp[], 31, FALSE)</f>
        <v>0</v>
      </c>
    </row>
    <row r="36" spans="1:32" x14ac:dyDescent="0.3">
      <c r="A36" t="s">
        <v>1054</v>
      </c>
      <c r="B36" t="s">
        <v>1056</v>
      </c>
      <c r="C36" t="s">
        <v>6601</v>
      </c>
      <c r="D36">
        <v>25</v>
      </c>
      <c r="E36">
        <v>50</v>
      </c>
      <c r="F36">
        <v>457</v>
      </c>
      <c r="G36">
        <f>VLOOKUP(Table4[[#This Row],[Shortname]], Comp[], 6, FALSE)</f>
        <v>135</v>
      </c>
      <c r="H36" s="14">
        <f>VLOOKUP(Table4[[#This Row],[Shortname]], Comp[], 7, FALSE)</f>
        <v>18</v>
      </c>
      <c r="I36">
        <f>VLOOKUP(Table4[[#This Row],[Shortname]], Comp[], 8, FALSE)</f>
        <v>54.3</v>
      </c>
      <c r="J36">
        <f>VLOOKUP(Table4[[#This Row],[Shortname]], Comp[], 9, FALSE)</f>
        <v>4.3</v>
      </c>
      <c r="K36">
        <f>VLOOKUP(Table4[[#This Row],[Shortname]], Comp[], 10, FALSE)</f>
        <v>15.7</v>
      </c>
      <c r="L36">
        <f>VLOOKUP(Table4[[#This Row],[Shortname]], Comp[], 11, FALSE)</f>
        <v>0</v>
      </c>
      <c r="M36">
        <f>VLOOKUP(Table4[[#This Row],[Shortname]], Comp[],12, FALSE)</f>
        <v>7.7</v>
      </c>
      <c r="N36">
        <f>VLOOKUP(Table4[[#This Row],[Shortname]], Comp[], 13, FALSE)</f>
        <v>0</v>
      </c>
      <c r="O36">
        <f>VLOOKUP(Table4[[#This Row],[Shortname]], Comp[], 14, FALSE)</f>
        <v>0</v>
      </c>
      <c r="P36">
        <f>VLOOKUP(Table4[[#This Row],[Shortname]], Comp[], 15, FALSE)</f>
        <v>0</v>
      </c>
      <c r="Q36">
        <f>VLOOKUP(Table4[[#This Row],[Shortname]], Comp[], 16, FALSE)</f>
        <v>0</v>
      </c>
      <c r="R36">
        <f>VLOOKUP(Table4[[#This Row],[Shortname]], Comp[], 17, FALSE)</f>
        <v>0</v>
      </c>
      <c r="S36">
        <f>VLOOKUP(Table4[[#This Row],[Shortname]], Comp[], 18, FALSE)</f>
        <v>0</v>
      </c>
      <c r="T36">
        <f>VLOOKUP(Table4[[#This Row],[Shortname]], Comp[], 19, FALSE)</f>
        <v>0</v>
      </c>
      <c r="U36">
        <f>VLOOKUP(Table4[[#This Row],[Shortname]], Comp[], 20, FALSE)</f>
        <v>0</v>
      </c>
      <c r="V36">
        <f>VLOOKUP(Table4[[#This Row],[Shortname]], Comp[], 21, FALSE)</f>
        <v>0</v>
      </c>
      <c r="W36">
        <f>VLOOKUP(Table4[[#This Row],[Shortname]], Comp[], 22, FALSE)</f>
        <v>0</v>
      </c>
      <c r="X36">
        <f>VLOOKUP(Table4[[#This Row],[Shortname]], Comp[], 23, FALSE)</f>
        <v>0</v>
      </c>
      <c r="Y36">
        <f>VLOOKUP(Table4[[#This Row],[Shortname]], Comp[], 24, FALSE)</f>
        <v>0</v>
      </c>
      <c r="Z36">
        <f>VLOOKUP(Table4[[#This Row],[Shortname]], Comp[], 25, FALSE)</f>
        <v>0</v>
      </c>
      <c r="AA36">
        <f>VLOOKUP(Table4[[#This Row],[Shortname]], Comp[], 26, FALSE)</f>
        <v>0</v>
      </c>
      <c r="AB36">
        <f>VLOOKUP(Table4[[#This Row],[Shortname]], Comp[], 27, FALSE)</f>
        <v>0</v>
      </c>
      <c r="AC36">
        <f>VLOOKUP(Table4[[#This Row],[Shortname]], Comp[], 28, FALSE)</f>
        <v>0</v>
      </c>
      <c r="AD36">
        <f>VLOOKUP(Table4[[#This Row],[Shortname]], Comp[], 29, FALSE)</f>
        <v>0</v>
      </c>
      <c r="AE36">
        <f>VLOOKUP(Table4[[#This Row],[Shortname]], Comp[], 30, FALSE)</f>
        <v>0</v>
      </c>
      <c r="AF36">
        <f>VLOOKUP(Table4[[#This Row],[Shortname]], Comp[], 31, FALSE)</f>
        <v>0</v>
      </c>
    </row>
    <row r="37" spans="1:32" x14ac:dyDescent="0.3">
      <c r="A37" t="s">
        <v>1064</v>
      </c>
      <c r="B37" t="s">
        <v>1066</v>
      </c>
      <c r="C37" t="s">
        <v>6601</v>
      </c>
      <c r="D37">
        <v>25</v>
      </c>
      <c r="E37">
        <v>50</v>
      </c>
      <c r="F37">
        <v>450</v>
      </c>
      <c r="G37">
        <f>VLOOKUP(Table4[[#This Row],[Shortname]], Comp[], 6, FALSE)</f>
        <v>136</v>
      </c>
      <c r="H37" s="14">
        <f>VLOOKUP(Table4[[#This Row],[Shortname]], Comp[], 7, FALSE)</f>
        <v>39.000000000000007</v>
      </c>
      <c r="I37">
        <f>VLOOKUP(Table4[[#This Row],[Shortname]], Comp[], 8, FALSE)</f>
        <v>39.799999999999997</v>
      </c>
      <c r="J37">
        <f>VLOOKUP(Table4[[#This Row],[Shortname]], Comp[], 9, FALSE)</f>
        <v>2.8</v>
      </c>
      <c r="K37">
        <f>VLOOKUP(Table4[[#This Row],[Shortname]], Comp[], 10, FALSE)</f>
        <v>10.8</v>
      </c>
      <c r="L37">
        <f>VLOOKUP(Table4[[#This Row],[Shortname]], Comp[], 11, FALSE)</f>
        <v>0</v>
      </c>
      <c r="M37">
        <f>VLOOKUP(Table4[[#This Row],[Shortname]], Comp[],12, FALSE)</f>
        <v>7.6</v>
      </c>
      <c r="N37">
        <f>VLOOKUP(Table4[[#This Row],[Shortname]], Comp[], 13, FALSE)</f>
        <v>0</v>
      </c>
      <c r="O37">
        <f>VLOOKUP(Table4[[#This Row],[Shortname]], Comp[], 14, FALSE)</f>
        <v>0</v>
      </c>
      <c r="P37">
        <f>VLOOKUP(Table4[[#This Row],[Shortname]], Comp[], 15, FALSE)</f>
        <v>0</v>
      </c>
      <c r="Q37">
        <f>VLOOKUP(Table4[[#This Row],[Shortname]], Comp[], 16, FALSE)</f>
        <v>0</v>
      </c>
      <c r="R37">
        <f>VLOOKUP(Table4[[#This Row],[Shortname]], Comp[], 17, FALSE)</f>
        <v>0</v>
      </c>
      <c r="S37">
        <f>VLOOKUP(Table4[[#This Row],[Shortname]], Comp[], 18, FALSE)</f>
        <v>0</v>
      </c>
      <c r="T37">
        <f>VLOOKUP(Table4[[#This Row],[Shortname]], Comp[], 19, FALSE)</f>
        <v>0</v>
      </c>
      <c r="U37">
        <f>VLOOKUP(Table4[[#This Row],[Shortname]], Comp[], 20, FALSE)</f>
        <v>0</v>
      </c>
      <c r="V37">
        <f>VLOOKUP(Table4[[#This Row],[Shortname]], Comp[], 21, FALSE)</f>
        <v>0</v>
      </c>
      <c r="W37">
        <f>VLOOKUP(Table4[[#This Row],[Shortname]], Comp[], 22, FALSE)</f>
        <v>0</v>
      </c>
      <c r="X37">
        <f>VLOOKUP(Table4[[#This Row],[Shortname]], Comp[], 23, FALSE)</f>
        <v>0</v>
      </c>
      <c r="Y37">
        <f>VLOOKUP(Table4[[#This Row],[Shortname]], Comp[], 24, FALSE)</f>
        <v>0</v>
      </c>
      <c r="Z37">
        <f>VLOOKUP(Table4[[#This Row],[Shortname]], Comp[], 25, FALSE)</f>
        <v>0</v>
      </c>
      <c r="AA37">
        <f>VLOOKUP(Table4[[#This Row],[Shortname]], Comp[], 26, FALSE)</f>
        <v>0</v>
      </c>
      <c r="AB37">
        <f>VLOOKUP(Table4[[#This Row],[Shortname]], Comp[], 27, FALSE)</f>
        <v>0</v>
      </c>
      <c r="AC37">
        <f>VLOOKUP(Table4[[#This Row],[Shortname]], Comp[], 28, FALSE)</f>
        <v>0</v>
      </c>
      <c r="AD37">
        <f>VLOOKUP(Table4[[#This Row],[Shortname]], Comp[], 29, FALSE)</f>
        <v>0</v>
      </c>
      <c r="AE37">
        <f>VLOOKUP(Table4[[#This Row],[Shortname]], Comp[], 30, FALSE)</f>
        <v>0</v>
      </c>
      <c r="AF37">
        <f>VLOOKUP(Table4[[#This Row],[Shortname]], Comp[], 31, FALSE)</f>
        <v>0</v>
      </c>
    </row>
    <row r="38" spans="1:32" x14ac:dyDescent="0.3">
      <c r="A38" t="s">
        <v>1002</v>
      </c>
      <c r="B38" t="s">
        <v>1004</v>
      </c>
      <c r="C38" t="s">
        <v>6601</v>
      </c>
      <c r="D38">
        <v>25</v>
      </c>
      <c r="E38">
        <v>50</v>
      </c>
      <c r="F38">
        <v>445</v>
      </c>
      <c r="G38">
        <f>VLOOKUP(Table4[[#This Row],[Shortname]], Comp[], 6, FALSE)</f>
        <v>129</v>
      </c>
      <c r="H38" s="14">
        <f>VLOOKUP(Table4[[#This Row],[Shortname]], Comp[], 7, FALSE)</f>
        <v>50.699999999999996</v>
      </c>
      <c r="I38">
        <f>VLOOKUP(Table4[[#This Row],[Shortname]], Comp[], 8, FALSE)</f>
        <v>27.2</v>
      </c>
      <c r="J38">
        <f>VLOOKUP(Table4[[#This Row],[Shortname]], Comp[], 9, FALSE)</f>
        <v>3.1</v>
      </c>
      <c r="K38">
        <f>VLOOKUP(Table4[[#This Row],[Shortname]], Comp[], 10, FALSE)</f>
        <v>10.9</v>
      </c>
      <c r="L38">
        <f>VLOOKUP(Table4[[#This Row],[Shortname]], Comp[], 11, FALSE)</f>
        <v>0</v>
      </c>
      <c r="M38">
        <f>VLOOKUP(Table4[[#This Row],[Shortname]], Comp[],12, FALSE)</f>
        <v>8.1</v>
      </c>
      <c r="N38">
        <f>VLOOKUP(Table4[[#This Row],[Shortname]], Comp[], 13, FALSE)</f>
        <v>0</v>
      </c>
      <c r="O38">
        <f>VLOOKUP(Table4[[#This Row],[Shortname]], Comp[], 14, FALSE)</f>
        <v>0</v>
      </c>
      <c r="P38">
        <f>VLOOKUP(Table4[[#This Row],[Shortname]], Comp[], 15, FALSE)</f>
        <v>0</v>
      </c>
      <c r="Q38">
        <f>VLOOKUP(Table4[[#This Row],[Shortname]], Comp[], 16, FALSE)</f>
        <v>0</v>
      </c>
      <c r="R38">
        <f>VLOOKUP(Table4[[#This Row],[Shortname]], Comp[], 17, FALSE)</f>
        <v>0</v>
      </c>
      <c r="S38">
        <f>VLOOKUP(Table4[[#This Row],[Shortname]], Comp[], 18, FALSE)</f>
        <v>0</v>
      </c>
      <c r="T38">
        <f>VLOOKUP(Table4[[#This Row],[Shortname]], Comp[], 19, FALSE)</f>
        <v>0</v>
      </c>
      <c r="U38">
        <f>VLOOKUP(Table4[[#This Row],[Shortname]], Comp[], 20, FALSE)</f>
        <v>0</v>
      </c>
      <c r="V38">
        <f>VLOOKUP(Table4[[#This Row],[Shortname]], Comp[], 21, FALSE)</f>
        <v>0</v>
      </c>
      <c r="W38">
        <f>VLOOKUP(Table4[[#This Row],[Shortname]], Comp[], 22, FALSE)</f>
        <v>0</v>
      </c>
      <c r="X38">
        <f>VLOOKUP(Table4[[#This Row],[Shortname]], Comp[], 23, FALSE)</f>
        <v>0</v>
      </c>
      <c r="Y38">
        <f>VLOOKUP(Table4[[#This Row],[Shortname]], Comp[], 24, FALSE)</f>
        <v>0</v>
      </c>
      <c r="Z38">
        <f>VLOOKUP(Table4[[#This Row],[Shortname]], Comp[], 25, FALSE)</f>
        <v>0</v>
      </c>
      <c r="AA38">
        <f>VLOOKUP(Table4[[#This Row],[Shortname]], Comp[], 26, FALSE)</f>
        <v>0</v>
      </c>
      <c r="AB38">
        <f>VLOOKUP(Table4[[#This Row],[Shortname]], Comp[], 27, FALSE)</f>
        <v>0</v>
      </c>
      <c r="AC38">
        <f>VLOOKUP(Table4[[#This Row],[Shortname]], Comp[], 28, FALSE)</f>
        <v>0</v>
      </c>
      <c r="AD38">
        <f>VLOOKUP(Table4[[#This Row],[Shortname]], Comp[], 29, FALSE)</f>
        <v>0</v>
      </c>
      <c r="AE38">
        <f>VLOOKUP(Table4[[#This Row],[Shortname]], Comp[], 30, FALSE)</f>
        <v>0</v>
      </c>
      <c r="AF38">
        <f>VLOOKUP(Table4[[#This Row],[Shortname]], Comp[], 31, FALSE)</f>
        <v>0</v>
      </c>
    </row>
    <row r="39" spans="1:32" x14ac:dyDescent="0.3">
      <c r="A39" t="s">
        <v>1021</v>
      </c>
      <c r="B39" t="s">
        <v>1023</v>
      </c>
      <c r="C39" t="s">
        <v>6601</v>
      </c>
      <c r="D39">
        <v>25</v>
      </c>
      <c r="E39">
        <v>50</v>
      </c>
      <c r="F39">
        <v>444</v>
      </c>
      <c r="G39">
        <f>VLOOKUP(Table4[[#This Row],[Shortname]], Comp[], 6, FALSE)</f>
        <v>131</v>
      </c>
      <c r="H39" s="14">
        <f>VLOOKUP(Table4[[#This Row],[Shortname]], Comp[], 7, FALSE)</f>
        <v>35.599999999999994</v>
      </c>
      <c r="I39">
        <f>VLOOKUP(Table4[[#This Row],[Shortname]], Comp[], 8, FALSE)</f>
        <v>37.1</v>
      </c>
      <c r="J39">
        <f>VLOOKUP(Table4[[#This Row],[Shortname]], Comp[], 9, FALSE)</f>
        <v>3.1</v>
      </c>
      <c r="K39">
        <f>VLOOKUP(Table4[[#This Row],[Shortname]], Comp[], 10, FALSE)</f>
        <v>16.3</v>
      </c>
      <c r="L39">
        <f>VLOOKUP(Table4[[#This Row],[Shortname]], Comp[], 11, FALSE)</f>
        <v>0</v>
      </c>
      <c r="M39">
        <f>VLOOKUP(Table4[[#This Row],[Shortname]], Comp[],12, FALSE)</f>
        <v>7.9</v>
      </c>
      <c r="N39">
        <f>VLOOKUP(Table4[[#This Row],[Shortname]], Comp[], 13, FALSE)</f>
        <v>0</v>
      </c>
      <c r="O39">
        <f>VLOOKUP(Table4[[#This Row],[Shortname]], Comp[], 14, FALSE)</f>
        <v>0</v>
      </c>
      <c r="P39">
        <f>VLOOKUP(Table4[[#This Row],[Shortname]], Comp[], 15, FALSE)</f>
        <v>0</v>
      </c>
      <c r="Q39">
        <f>VLOOKUP(Table4[[#This Row],[Shortname]], Comp[], 16, FALSE)</f>
        <v>0</v>
      </c>
      <c r="R39">
        <f>VLOOKUP(Table4[[#This Row],[Shortname]], Comp[], 17, FALSE)</f>
        <v>0</v>
      </c>
      <c r="S39">
        <f>VLOOKUP(Table4[[#This Row],[Shortname]], Comp[], 18, FALSE)</f>
        <v>0</v>
      </c>
      <c r="T39">
        <f>VLOOKUP(Table4[[#This Row],[Shortname]], Comp[], 19, FALSE)</f>
        <v>0</v>
      </c>
      <c r="U39">
        <f>VLOOKUP(Table4[[#This Row],[Shortname]], Comp[], 20, FALSE)</f>
        <v>0</v>
      </c>
      <c r="V39">
        <f>VLOOKUP(Table4[[#This Row],[Shortname]], Comp[], 21, FALSE)</f>
        <v>0</v>
      </c>
      <c r="W39">
        <f>VLOOKUP(Table4[[#This Row],[Shortname]], Comp[], 22, FALSE)</f>
        <v>0</v>
      </c>
      <c r="X39">
        <f>VLOOKUP(Table4[[#This Row],[Shortname]], Comp[], 23, FALSE)</f>
        <v>0</v>
      </c>
      <c r="Y39">
        <f>VLOOKUP(Table4[[#This Row],[Shortname]], Comp[], 24, FALSE)</f>
        <v>0</v>
      </c>
      <c r="Z39">
        <f>VLOOKUP(Table4[[#This Row],[Shortname]], Comp[], 25, FALSE)</f>
        <v>0</v>
      </c>
      <c r="AA39">
        <f>VLOOKUP(Table4[[#This Row],[Shortname]], Comp[], 26, FALSE)</f>
        <v>0</v>
      </c>
      <c r="AB39">
        <f>VLOOKUP(Table4[[#This Row],[Shortname]], Comp[], 27, FALSE)</f>
        <v>0</v>
      </c>
      <c r="AC39">
        <f>VLOOKUP(Table4[[#This Row],[Shortname]], Comp[], 28, FALSE)</f>
        <v>0</v>
      </c>
      <c r="AD39">
        <f>VLOOKUP(Table4[[#This Row],[Shortname]], Comp[], 29, FALSE)</f>
        <v>0</v>
      </c>
      <c r="AE39">
        <f>VLOOKUP(Table4[[#This Row],[Shortname]], Comp[], 30, FALSE)</f>
        <v>0</v>
      </c>
      <c r="AF39">
        <f>VLOOKUP(Table4[[#This Row],[Shortname]], Comp[], 31, FALSE)</f>
        <v>0</v>
      </c>
    </row>
    <row r="40" spans="1:32" x14ac:dyDescent="0.3">
      <c r="A40" t="s">
        <v>1038</v>
      </c>
      <c r="B40" t="s">
        <v>1040</v>
      </c>
      <c r="C40" t="s">
        <v>6601</v>
      </c>
      <c r="D40">
        <v>25</v>
      </c>
      <c r="E40">
        <v>50</v>
      </c>
      <c r="F40">
        <v>427</v>
      </c>
      <c r="G40">
        <f>VLOOKUP(Table4[[#This Row],[Shortname]], Comp[], 6, FALSE)</f>
        <v>133</v>
      </c>
      <c r="H40" s="14">
        <f>VLOOKUP(Table4[[#This Row],[Shortname]], Comp[], 7, FALSE)</f>
        <v>16.799999999999983</v>
      </c>
      <c r="I40">
        <f>VLOOKUP(Table4[[#This Row],[Shortname]], Comp[], 8, FALSE)</f>
        <v>50.7</v>
      </c>
      <c r="J40">
        <f>VLOOKUP(Table4[[#This Row],[Shortname]], Comp[], 9, FALSE)</f>
        <v>2.7</v>
      </c>
      <c r="K40">
        <f>VLOOKUP(Table4[[#This Row],[Shortname]], Comp[], 10, FALSE)</f>
        <v>21.9</v>
      </c>
      <c r="L40">
        <f>VLOOKUP(Table4[[#This Row],[Shortname]], Comp[], 11, FALSE)</f>
        <v>0</v>
      </c>
      <c r="M40">
        <f>VLOOKUP(Table4[[#This Row],[Shortname]], Comp[],12, FALSE)</f>
        <v>7.9</v>
      </c>
      <c r="N40">
        <f>VLOOKUP(Table4[[#This Row],[Shortname]], Comp[], 13, FALSE)</f>
        <v>0</v>
      </c>
      <c r="O40">
        <f>VLOOKUP(Table4[[#This Row],[Shortname]], Comp[], 14, FALSE)</f>
        <v>0</v>
      </c>
      <c r="P40">
        <f>VLOOKUP(Table4[[#This Row],[Shortname]], Comp[], 15, FALSE)</f>
        <v>0</v>
      </c>
      <c r="Q40">
        <f>VLOOKUP(Table4[[#This Row],[Shortname]], Comp[], 16, FALSE)</f>
        <v>0</v>
      </c>
      <c r="R40">
        <f>VLOOKUP(Table4[[#This Row],[Shortname]], Comp[], 17, FALSE)</f>
        <v>0</v>
      </c>
      <c r="S40">
        <f>VLOOKUP(Table4[[#This Row],[Shortname]], Comp[], 18, FALSE)</f>
        <v>0</v>
      </c>
      <c r="T40">
        <f>VLOOKUP(Table4[[#This Row],[Shortname]], Comp[], 19, FALSE)</f>
        <v>0</v>
      </c>
      <c r="U40">
        <f>VLOOKUP(Table4[[#This Row],[Shortname]], Comp[], 20, FALSE)</f>
        <v>0</v>
      </c>
      <c r="V40">
        <f>VLOOKUP(Table4[[#This Row],[Shortname]], Comp[], 21, FALSE)</f>
        <v>0</v>
      </c>
      <c r="W40">
        <f>VLOOKUP(Table4[[#This Row],[Shortname]], Comp[], 22, FALSE)</f>
        <v>0</v>
      </c>
      <c r="X40">
        <f>VLOOKUP(Table4[[#This Row],[Shortname]], Comp[], 23, FALSE)</f>
        <v>0</v>
      </c>
      <c r="Y40">
        <f>VLOOKUP(Table4[[#This Row],[Shortname]], Comp[], 24, FALSE)</f>
        <v>0</v>
      </c>
      <c r="Z40">
        <f>VLOOKUP(Table4[[#This Row],[Shortname]], Comp[], 25, FALSE)</f>
        <v>0</v>
      </c>
      <c r="AA40">
        <f>VLOOKUP(Table4[[#This Row],[Shortname]], Comp[], 26, FALSE)</f>
        <v>0</v>
      </c>
      <c r="AB40">
        <f>VLOOKUP(Table4[[#This Row],[Shortname]], Comp[], 27, FALSE)</f>
        <v>0</v>
      </c>
      <c r="AC40">
        <f>VLOOKUP(Table4[[#This Row],[Shortname]], Comp[], 28, FALSE)</f>
        <v>0</v>
      </c>
      <c r="AD40">
        <f>VLOOKUP(Table4[[#This Row],[Shortname]], Comp[], 29, FALSE)</f>
        <v>0</v>
      </c>
      <c r="AE40">
        <f>VLOOKUP(Table4[[#This Row],[Shortname]], Comp[], 30, FALSE)</f>
        <v>0</v>
      </c>
      <c r="AF40">
        <f>VLOOKUP(Table4[[#This Row],[Shortname]], Comp[], 31, FALSE)</f>
        <v>0</v>
      </c>
    </row>
    <row r="41" spans="1:32" x14ac:dyDescent="0.3">
      <c r="A41" t="s">
        <v>1012</v>
      </c>
      <c r="B41" t="s">
        <v>1014</v>
      </c>
      <c r="C41" t="s">
        <v>6601</v>
      </c>
      <c r="D41">
        <v>25</v>
      </c>
      <c r="E41">
        <v>50</v>
      </c>
      <c r="F41">
        <v>422</v>
      </c>
      <c r="G41">
        <f>VLOOKUP(Table4[[#This Row],[Shortname]], Comp[], 6, FALSE)</f>
        <v>130</v>
      </c>
      <c r="H41" s="14">
        <f>VLOOKUP(Table4[[#This Row],[Shortname]], Comp[], 7, FALSE)</f>
        <v>32.599999999999994</v>
      </c>
      <c r="I41">
        <f>VLOOKUP(Table4[[#This Row],[Shortname]], Comp[], 8, FALSE)</f>
        <v>34.200000000000003</v>
      </c>
      <c r="J41">
        <f>VLOOKUP(Table4[[#This Row],[Shortname]], Comp[], 9, FALSE)</f>
        <v>3.6</v>
      </c>
      <c r="K41">
        <f>VLOOKUP(Table4[[#This Row],[Shortname]], Comp[], 10, FALSE)</f>
        <v>21.5</v>
      </c>
      <c r="L41">
        <f>VLOOKUP(Table4[[#This Row],[Shortname]], Comp[], 11, FALSE)</f>
        <v>0</v>
      </c>
      <c r="M41">
        <f>VLOOKUP(Table4[[#This Row],[Shortname]], Comp[],12, FALSE)</f>
        <v>8.1</v>
      </c>
      <c r="N41">
        <f>VLOOKUP(Table4[[#This Row],[Shortname]], Comp[], 13, FALSE)</f>
        <v>0</v>
      </c>
      <c r="O41">
        <f>VLOOKUP(Table4[[#This Row],[Shortname]], Comp[], 14, FALSE)</f>
        <v>0</v>
      </c>
      <c r="P41">
        <f>VLOOKUP(Table4[[#This Row],[Shortname]], Comp[], 15, FALSE)</f>
        <v>0</v>
      </c>
      <c r="Q41">
        <f>VLOOKUP(Table4[[#This Row],[Shortname]], Comp[], 16, FALSE)</f>
        <v>0</v>
      </c>
      <c r="R41">
        <f>VLOOKUP(Table4[[#This Row],[Shortname]], Comp[], 17, FALSE)</f>
        <v>0</v>
      </c>
      <c r="S41">
        <f>VLOOKUP(Table4[[#This Row],[Shortname]], Comp[], 18, FALSE)</f>
        <v>0</v>
      </c>
      <c r="T41">
        <f>VLOOKUP(Table4[[#This Row],[Shortname]], Comp[], 19, FALSE)</f>
        <v>0</v>
      </c>
      <c r="U41">
        <f>VLOOKUP(Table4[[#This Row],[Shortname]], Comp[], 20, FALSE)</f>
        <v>0</v>
      </c>
      <c r="V41">
        <f>VLOOKUP(Table4[[#This Row],[Shortname]], Comp[], 21, FALSE)</f>
        <v>0</v>
      </c>
      <c r="W41">
        <f>VLOOKUP(Table4[[#This Row],[Shortname]], Comp[], 22, FALSE)</f>
        <v>0</v>
      </c>
      <c r="X41">
        <f>VLOOKUP(Table4[[#This Row],[Shortname]], Comp[], 23, FALSE)</f>
        <v>0</v>
      </c>
      <c r="Y41">
        <f>VLOOKUP(Table4[[#This Row],[Shortname]], Comp[], 24, FALSE)</f>
        <v>0</v>
      </c>
      <c r="Z41">
        <f>VLOOKUP(Table4[[#This Row],[Shortname]], Comp[], 25, FALSE)</f>
        <v>0</v>
      </c>
      <c r="AA41">
        <f>VLOOKUP(Table4[[#This Row],[Shortname]], Comp[], 26, FALSE)</f>
        <v>0</v>
      </c>
      <c r="AB41">
        <f>VLOOKUP(Table4[[#This Row],[Shortname]], Comp[], 27, FALSE)</f>
        <v>0</v>
      </c>
      <c r="AC41">
        <f>VLOOKUP(Table4[[#This Row],[Shortname]], Comp[], 28, FALSE)</f>
        <v>0</v>
      </c>
      <c r="AD41">
        <f>VLOOKUP(Table4[[#This Row],[Shortname]], Comp[], 29, FALSE)</f>
        <v>0</v>
      </c>
      <c r="AE41">
        <f>VLOOKUP(Table4[[#This Row],[Shortname]], Comp[], 30, FALSE)</f>
        <v>0</v>
      </c>
      <c r="AF41">
        <f>VLOOKUP(Table4[[#This Row],[Shortname]], Comp[], 31, FALSE)</f>
        <v>0</v>
      </c>
    </row>
    <row r="42" spans="1:32" x14ac:dyDescent="0.3">
      <c r="A42" t="s">
        <v>1073</v>
      </c>
      <c r="B42" t="s">
        <v>1075</v>
      </c>
      <c r="C42" t="s">
        <v>6601</v>
      </c>
      <c r="D42">
        <v>25</v>
      </c>
      <c r="E42">
        <v>50</v>
      </c>
      <c r="F42">
        <v>406</v>
      </c>
      <c r="G42">
        <f>VLOOKUP(Table4[[#This Row],[Shortname]], Comp[], 6, FALSE)</f>
        <v>137</v>
      </c>
      <c r="H42" s="14">
        <f>VLOOKUP(Table4[[#This Row],[Shortname]], Comp[], 7, FALSE)</f>
        <v>19.5</v>
      </c>
      <c r="I42">
        <f>VLOOKUP(Table4[[#This Row],[Shortname]], Comp[], 8, FALSE)</f>
        <v>59.5</v>
      </c>
      <c r="J42">
        <f>VLOOKUP(Table4[[#This Row],[Shortname]], Comp[], 9, FALSE)</f>
        <v>4.5</v>
      </c>
      <c r="K42">
        <f>VLOOKUP(Table4[[#This Row],[Shortname]], Comp[], 10, FALSE)</f>
        <v>10.9</v>
      </c>
      <c r="L42">
        <f>VLOOKUP(Table4[[#This Row],[Shortname]], Comp[], 11, FALSE)</f>
        <v>0</v>
      </c>
      <c r="M42">
        <f>VLOOKUP(Table4[[#This Row],[Shortname]], Comp[],12, FALSE)</f>
        <v>5.6</v>
      </c>
      <c r="N42">
        <f>VLOOKUP(Table4[[#This Row],[Shortname]], Comp[], 13, FALSE)</f>
        <v>0</v>
      </c>
      <c r="O42">
        <f>VLOOKUP(Table4[[#This Row],[Shortname]], Comp[], 14, FALSE)</f>
        <v>0</v>
      </c>
      <c r="P42">
        <f>VLOOKUP(Table4[[#This Row],[Shortname]], Comp[], 15, FALSE)</f>
        <v>0</v>
      </c>
      <c r="Q42">
        <f>VLOOKUP(Table4[[#This Row],[Shortname]], Comp[], 16, FALSE)</f>
        <v>0</v>
      </c>
      <c r="R42">
        <f>VLOOKUP(Table4[[#This Row],[Shortname]], Comp[], 17, FALSE)</f>
        <v>0</v>
      </c>
      <c r="S42">
        <f>VLOOKUP(Table4[[#This Row],[Shortname]], Comp[], 18, FALSE)</f>
        <v>0</v>
      </c>
      <c r="T42">
        <f>VLOOKUP(Table4[[#This Row],[Shortname]], Comp[], 19, FALSE)</f>
        <v>0</v>
      </c>
      <c r="U42">
        <f>VLOOKUP(Table4[[#This Row],[Shortname]], Comp[], 20, FALSE)</f>
        <v>0</v>
      </c>
      <c r="V42">
        <f>VLOOKUP(Table4[[#This Row],[Shortname]], Comp[], 21, FALSE)</f>
        <v>0</v>
      </c>
      <c r="W42">
        <f>VLOOKUP(Table4[[#This Row],[Shortname]], Comp[], 22, FALSE)</f>
        <v>0</v>
      </c>
      <c r="X42">
        <f>VLOOKUP(Table4[[#This Row],[Shortname]], Comp[], 23, FALSE)</f>
        <v>0</v>
      </c>
      <c r="Y42">
        <f>VLOOKUP(Table4[[#This Row],[Shortname]], Comp[], 24, FALSE)</f>
        <v>0</v>
      </c>
      <c r="Z42">
        <f>VLOOKUP(Table4[[#This Row],[Shortname]], Comp[], 25, FALSE)</f>
        <v>0</v>
      </c>
      <c r="AA42">
        <f>VLOOKUP(Table4[[#This Row],[Shortname]], Comp[], 26, FALSE)</f>
        <v>0</v>
      </c>
      <c r="AB42">
        <f>VLOOKUP(Table4[[#This Row],[Shortname]], Comp[], 27, FALSE)</f>
        <v>0</v>
      </c>
      <c r="AC42">
        <f>VLOOKUP(Table4[[#This Row],[Shortname]], Comp[], 28, FALSE)</f>
        <v>0</v>
      </c>
      <c r="AD42">
        <f>VLOOKUP(Table4[[#This Row],[Shortname]], Comp[], 29, FALSE)</f>
        <v>0</v>
      </c>
      <c r="AE42">
        <f>VLOOKUP(Table4[[#This Row],[Shortname]], Comp[], 30, FALSE)</f>
        <v>0</v>
      </c>
      <c r="AF42">
        <f>VLOOKUP(Table4[[#This Row],[Shortname]], Comp[], 31, FALSE)</f>
        <v>0</v>
      </c>
    </row>
    <row r="43" spans="1:32" x14ac:dyDescent="0.3">
      <c r="A43" t="s">
        <v>1099</v>
      </c>
      <c r="B43" t="s">
        <v>1101</v>
      </c>
      <c r="C43" t="s">
        <v>6601</v>
      </c>
      <c r="D43">
        <v>25</v>
      </c>
      <c r="E43">
        <v>50</v>
      </c>
      <c r="F43">
        <v>404</v>
      </c>
      <c r="G43">
        <f>VLOOKUP(Table4[[#This Row],[Shortname]], Comp[], 6, FALSE)</f>
        <v>140</v>
      </c>
      <c r="H43" s="14">
        <f>VLOOKUP(Table4[[#This Row],[Shortname]], Comp[], 7, FALSE)</f>
        <v>39.1</v>
      </c>
      <c r="I43">
        <f>VLOOKUP(Table4[[#This Row],[Shortname]], Comp[], 8, FALSE)</f>
        <v>39.200000000000003</v>
      </c>
      <c r="J43">
        <f>VLOOKUP(Table4[[#This Row],[Shortname]], Comp[], 9, FALSE)</f>
        <v>5.9</v>
      </c>
      <c r="K43">
        <f>VLOOKUP(Table4[[#This Row],[Shortname]], Comp[], 10, FALSE)</f>
        <v>10.5</v>
      </c>
      <c r="L43">
        <f>VLOOKUP(Table4[[#This Row],[Shortname]], Comp[], 11, FALSE)</f>
        <v>0</v>
      </c>
      <c r="M43">
        <f>VLOOKUP(Table4[[#This Row],[Shortname]], Comp[],12, FALSE)</f>
        <v>5.3</v>
      </c>
      <c r="N43">
        <f>VLOOKUP(Table4[[#This Row],[Shortname]], Comp[], 13, FALSE)</f>
        <v>0</v>
      </c>
      <c r="O43">
        <f>VLOOKUP(Table4[[#This Row],[Shortname]], Comp[], 14, FALSE)</f>
        <v>0</v>
      </c>
      <c r="P43">
        <f>VLOOKUP(Table4[[#This Row],[Shortname]], Comp[], 15, FALSE)</f>
        <v>0</v>
      </c>
      <c r="Q43">
        <f>VLOOKUP(Table4[[#This Row],[Shortname]], Comp[], 16, FALSE)</f>
        <v>0</v>
      </c>
      <c r="R43">
        <f>VLOOKUP(Table4[[#This Row],[Shortname]], Comp[], 17, FALSE)</f>
        <v>0</v>
      </c>
      <c r="S43">
        <f>VLOOKUP(Table4[[#This Row],[Shortname]], Comp[], 18, FALSE)</f>
        <v>0</v>
      </c>
      <c r="T43">
        <f>VLOOKUP(Table4[[#This Row],[Shortname]], Comp[], 19, FALSE)</f>
        <v>0</v>
      </c>
      <c r="U43">
        <f>VLOOKUP(Table4[[#This Row],[Shortname]], Comp[], 20, FALSE)</f>
        <v>0</v>
      </c>
      <c r="V43">
        <f>VLOOKUP(Table4[[#This Row],[Shortname]], Comp[], 21, FALSE)</f>
        <v>0</v>
      </c>
      <c r="W43">
        <f>VLOOKUP(Table4[[#This Row],[Shortname]], Comp[], 22, FALSE)</f>
        <v>0</v>
      </c>
      <c r="X43">
        <f>VLOOKUP(Table4[[#This Row],[Shortname]], Comp[], 23, FALSE)</f>
        <v>0</v>
      </c>
      <c r="Y43">
        <f>VLOOKUP(Table4[[#This Row],[Shortname]], Comp[], 24, FALSE)</f>
        <v>0</v>
      </c>
      <c r="Z43">
        <f>VLOOKUP(Table4[[#This Row],[Shortname]], Comp[], 25, FALSE)</f>
        <v>0</v>
      </c>
      <c r="AA43">
        <f>VLOOKUP(Table4[[#This Row],[Shortname]], Comp[], 26, FALSE)</f>
        <v>0</v>
      </c>
      <c r="AB43">
        <f>VLOOKUP(Table4[[#This Row],[Shortname]], Comp[], 27, FALSE)</f>
        <v>0</v>
      </c>
      <c r="AC43">
        <f>VLOOKUP(Table4[[#This Row],[Shortname]], Comp[], 28, FALSE)</f>
        <v>0</v>
      </c>
      <c r="AD43">
        <f>VLOOKUP(Table4[[#This Row],[Shortname]], Comp[], 29, FALSE)</f>
        <v>0</v>
      </c>
      <c r="AE43">
        <f>VLOOKUP(Table4[[#This Row],[Shortname]], Comp[], 30, FALSE)</f>
        <v>0</v>
      </c>
      <c r="AF43">
        <f>VLOOKUP(Table4[[#This Row],[Shortname]], Comp[], 31, FALSE)</f>
        <v>0</v>
      </c>
    </row>
    <row r="44" spans="1:32" x14ac:dyDescent="0.3">
      <c r="A44" t="s">
        <v>1124</v>
      </c>
      <c r="B44" t="s">
        <v>1126</v>
      </c>
      <c r="C44" t="s">
        <v>6601</v>
      </c>
      <c r="D44">
        <v>25</v>
      </c>
      <c r="E44">
        <v>50</v>
      </c>
      <c r="F44">
        <v>403</v>
      </c>
      <c r="G44">
        <f>VLOOKUP(Table4[[#This Row],[Shortname]], Comp[], 6, FALSE)</f>
        <v>143</v>
      </c>
      <c r="H44" s="14">
        <f>VLOOKUP(Table4[[#This Row],[Shortname]], Comp[], 7, FALSE)</f>
        <v>36.5</v>
      </c>
      <c r="I44">
        <f>VLOOKUP(Table4[[#This Row],[Shortname]], Comp[], 8, FALSE)</f>
        <v>36.799999999999997</v>
      </c>
      <c r="J44">
        <f>VLOOKUP(Table4[[#This Row],[Shortname]], Comp[], 9, FALSE)</f>
        <v>5.4</v>
      </c>
      <c r="K44">
        <f>VLOOKUP(Table4[[#This Row],[Shortname]], Comp[], 10, FALSE)</f>
        <v>16.100000000000001</v>
      </c>
      <c r="L44">
        <f>VLOOKUP(Table4[[#This Row],[Shortname]], Comp[], 11, FALSE)</f>
        <v>0</v>
      </c>
      <c r="M44">
        <f>VLOOKUP(Table4[[#This Row],[Shortname]], Comp[],12, FALSE)</f>
        <v>5.2</v>
      </c>
      <c r="N44">
        <f>VLOOKUP(Table4[[#This Row],[Shortname]], Comp[], 13, FALSE)</f>
        <v>0</v>
      </c>
      <c r="O44">
        <f>VLOOKUP(Table4[[#This Row],[Shortname]], Comp[], 14, FALSE)</f>
        <v>0</v>
      </c>
      <c r="P44">
        <f>VLOOKUP(Table4[[#This Row],[Shortname]], Comp[], 15, FALSE)</f>
        <v>0</v>
      </c>
      <c r="Q44">
        <f>VLOOKUP(Table4[[#This Row],[Shortname]], Comp[], 16, FALSE)</f>
        <v>0</v>
      </c>
      <c r="R44">
        <f>VLOOKUP(Table4[[#This Row],[Shortname]], Comp[], 17, FALSE)</f>
        <v>0</v>
      </c>
      <c r="S44">
        <f>VLOOKUP(Table4[[#This Row],[Shortname]], Comp[], 18, FALSE)</f>
        <v>0</v>
      </c>
      <c r="T44">
        <f>VLOOKUP(Table4[[#This Row],[Shortname]], Comp[], 19, FALSE)</f>
        <v>0</v>
      </c>
      <c r="U44">
        <f>VLOOKUP(Table4[[#This Row],[Shortname]], Comp[], 20, FALSE)</f>
        <v>0</v>
      </c>
      <c r="V44">
        <f>VLOOKUP(Table4[[#This Row],[Shortname]], Comp[], 21, FALSE)</f>
        <v>0</v>
      </c>
      <c r="W44">
        <f>VLOOKUP(Table4[[#This Row],[Shortname]], Comp[], 22, FALSE)</f>
        <v>0</v>
      </c>
      <c r="X44">
        <f>VLOOKUP(Table4[[#This Row],[Shortname]], Comp[], 23, FALSE)</f>
        <v>0</v>
      </c>
      <c r="Y44">
        <f>VLOOKUP(Table4[[#This Row],[Shortname]], Comp[], 24, FALSE)</f>
        <v>0</v>
      </c>
      <c r="Z44">
        <f>VLOOKUP(Table4[[#This Row],[Shortname]], Comp[], 25, FALSE)</f>
        <v>0</v>
      </c>
      <c r="AA44">
        <f>VLOOKUP(Table4[[#This Row],[Shortname]], Comp[], 26, FALSE)</f>
        <v>0</v>
      </c>
      <c r="AB44">
        <f>VLOOKUP(Table4[[#This Row],[Shortname]], Comp[], 27, FALSE)</f>
        <v>0</v>
      </c>
      <c r="AC44">
        <f>VLOOKUP(Table4[[#This Row],[Shortname]], Comp[], 28, FALSE)</f>
        <v>0</v>
      </c>
      <c r="AD44">
        <f>VLOOKUP(Table4[[#This Row],[Shortname]], Comp[], 29, FALSE)</f>
        <v>0</v>
      </c>
      <c r="AE44">
        <f>VLOOKUP(Table4[[#This Row],[Shortname]], Comp[], 30, FALSE)</f>
        <v>0</v>
      </c>
      <c r="AF44">
        <f>VLOOKUP(Table4[[#This Row],[Shortname]], Comp[], 31, FALSE)</f>
        <v>0</v>
      </c>
    </row>
    <row r="45" spans="1:32" x14ac:dyDescent="0.3">
      <c r="A45" t="s">
        <v>1107</v>
      </c>
      <c r="B45" t="s">
        <v>1109</v>
      </c>
      <c r="C45" t="s">
        <v>6601</v>
      </c>
      <c r="D45">
        <v>25</v>
      </c>
      <c r="E45">
        <v>50</v>
      </c>
      <c r="F45">
        <v>398</v>
      </c>
      <c r="G45">
        <f>VLOOKUP(Table4[[#This Row],[Shortname]], Comp[], 6, FALSE)</f>
        <v>141</v>
      </c>
      <c r="H45" s="14">
        <f>VLOOKUP(Table4[[#This Row],[Shortname]], Comp[], 7, FALSE)</f>
        <v>18.299999999999997</v>
      </c>
      <c r="I45">
        <f>VLOOKUP(Table4[[#This Row],[Shortname]], Comp[], 8, FALSE)</f>
        <v>54.9</v>
      </c>
      <c r="J45">
        <f>VLOOKUP(Table4[[#This Row],[Shortname]], Comp[], 9, FALSE)</f>
        <v>5.6</v>
      </c>
      <c r="K45">
        <f>VLOOKUP(Table4[[#This Row],[Shortname]], Comp[], 10, FALSE)</f>
        <v>15.9</v>
      </c>
      <c r="L45">
        <f>VLOOKUP(Table4[[#This Row],[Shortname]], Comp[], 11, FALSE)</f>
        <v>0</v>
      </c>
      <c r="M45">
        <f>VLOOKUP(Table4[[#This Row],[Shortname]], Comp[],12, FALSE)</f>
        <v>5.3</v>
      </c>
      <c r="N45">
        <f>VLOOKUP(Table4[[#This Row],[Shortname]], Comp[], 13, FALSE)</f>
        <v>0</v>
      </c>
      <c r="O45">
        <f>VLOOKUP(Table4[[#This Row],[Shortname]], Comp[], 14, FALSE)</f>
        <v>0</v>
      </c>
      <c r="P45">
        <f>VLOOKUP(Table4[[#This Row],[Shortname]], Comp[], 15, FALSE)</f>
        <v>0</v>
      </c>
      <c r="Q45">
        <f>VLOOKUP(Table4[[#This Row],[Shortname]], Comp[], 16, FALSE)</f>
        <v>0</v>
      </c>
      <c r="R45">
        <f>VLOOKUP(Table4[[#This Row],[Shortname]], Comp[], 17, FALSE)</f>
        <v>0</v>
      </c>
      <c r="S45">
        <f>VLOOKUP(Table4[[#This Row],[Shortname]], Comp[], 18, FALSE)</f>
        <v>0</v>
      </c>
      <c r="T45">
        <f>VLOOKUP(Table4[[#This Row],[Shortname]], Comp[], 19, FALSE)</f>
        <v>0</v>
      </c>
      <c r="U45">
        <f>VLOOKUP(Table4[[#This Row],[Shortname]], Comp[], 20, FALSE)</f>
        <v>0</v>
      </c>
      <c r="V45">
        <f>VLOOKUP(Table4[[#This Row],[Shortname]], Comp[], 21, FALSE)</f>
        <v>0</v>
      </c>
      <c r="W45">
        <f>VLOOKUP(Table4[[#This Row],[Shortname]], Comp[], 22, FALSE)</f>
        <v>0</v>
      </c>
      <c r="X45">
        <f>VLOOKUP(Table4[[#This Row],[Shortname]], Comp[], 23, FALSE)</f>
        <v>0</v>
      </c>
      <c r="Y45">
        <f>VLOOKUP(Table4[[#This Row],[Shortname]], Comp[], 24, FALSE)</f>
        <v>0</v>
      </c>
      <c r="Z45">
        <f>VLOOKUP(Table4[[#This Row],[Shortname]], Comp[], 25, FALSE)</f>
        <v>0</v>
      </c>
      <c r="AA45">
        <f>VLOOKUP(Table4[[#This Row],[Shortname]], Comp[], 26, FALSE)</f>
        <v>0</v>
      </c>
      <c r="AB45">
        <f>VLOOKUP(Table4[[#This Row],[Shortname]], Comp[], 27, FALSE)</f>
        <v>0</v>
      </c>
      <c r="AC45">
        <f>VLOOKUP(Table4[[#This Row],[Shortname]], Comp[], 28, FALSE)</f>
        <v>0</v>
      </c>
      <c r="AD45">
        <f>VLOOKUP(Table4[[#This Row],[Shortname]], Comp[], 29, FALSE)</f>
        <v>0</v>
      </c>
      <c r="AE45">
        <f>VLOOKUP(Table4[[#This Row],[Shortname]], Comp[], 30, FALSE)</f>
        <v>0</v>
      </c>
      <c r="AF45">
        <f>VLOOKUP(Table4[[#This Row],[Shortname]], Comp[], 31, FALSE)</f>
        <v>0</v>
      </c>
    </row>
    <row r="46" spans="1:32" x14ac:dyDescent="0.3">
      <c r="A46" t="s">
        <v>1046</v>
      </c>
      <c r="B46" t="s">
        <v>1048</v>
      </c>
      <c r="C46" t="s">
        <v>6601</v>
      </c>
      <c r="D46">
        <v>25</v>
      </c>
      <c r="E46">
        <v>50</v>
      </c>
      <c r="F46">
        <v>393</v>
      </c>
      <c r="G46">
        <f>VLOOKUP(Table4[[#This Row],[Shortname]], Comp[], 6, FALSE)</f>
        <v>134</v>
      </c>
      <c r="H46" s="14">
        <f>VLOOKUP(Table4[[#This Row],[Shortname]], Comp[], 7, FALSE)</f>
        <v>54.7</v>
      </c>
      <c r="I46">
        <f>VLOOKUP(Table4[[#This Row],[Shortname]], Comp[], 8, FALSE)</f>
        <v>18.3</v>
      </c>
      <c r="J46">
        <f>VLOOKUP(Table4[[#This Row],[Shortname]], Comp[], 9, FALSE)</f>
        <v>3</v>
      </c>
      <c r="K46">
        <f>VLOOKUP(Table4[[#This Row],[Shortname]], Comp[], 10, FALSE)</f>
        <v>16.2</v>
      </c>
      <c r="L46">
        <f>VLOOKUP(Table4[[#This Row],[Shortname]], Comp[], 11, FALSE)</f>
        <v>0</v>
      </c>
      <c r="M46">
        <f>VLOOKUP(Table4[[#This Row],[Shortname]], Comp[],12, FALSE)</f>
        <v>7.8</v>
      </c>
      <c r="N46">
        <f>VLOOKUP(Table4[[#This Row],[Shortname]], Comp[], 13, FALSE)</f>
        <v>0</v>
      </c>
      <c r="O46">
        <f>VLOOKUP(Table4[[#This Row],[Shortname]], Comp[], 14, FALSE)</f>
        <v>0</v>
      </c>
      <c r="P46">
        <f>VLOOKUP(Table4[[#This Row],[Shortname]], Comp[], 15, FALSE)</f>
        <v>0</v>
      </c>
      <c r="Q46">
        <f>VLOOKUP(Table4[[#This Row],[Shortname]], Comp[], 16, FALSE)</f>
        <v>0</v>
      </c>
      <c r="R46">
        <f>VLOOKUP(Table4[[#This Row],[Shortname]], Comp[], 17, FALSE)</f>
        <v>0</v>
      </c>
      <c r="S46">
        <f>VLOOKUP(Table4[[#This Row],[Shortname]], Comp[], 18, FALSE)</f>
        <v>0</v>
      </c>
      <c r="T46">
        <f>VLOOKUP(Table4[[#This Row],[Shortname]], Comp[], 19, FALSE)</f>
        <v>0</v>
      </c>
      <c r="U46">
        <f>VLOOKUP(Table4[[#This Row],[Shortname]], Comp[], 20, FALSE)</f>
        <v>0</v>
      </c>
      <c r="V46">
        <f>VLOOKUP(Table4[[#This Row],[Shortname]], Comp[], 21, FALSE)</f>
        <v>0</v>
      </c>
      <c r="W46">
        <f>VLOOKUP(Table4[[#This Row],[Shortname]], Comp[], 22, FALSE)</f>
        <v>0</v>
      </c>
      <c r="X46">
        <f>VLOOKUP(Table4[[#This Row],[Shortname]], Comp[], 23, FALSE)</f>
        <v>0</v>
      </c>
      <c r="Y46">
        <f>VLOOKUP(Table4[[#This Row],[Shortname]], Comp[], 24, FALSE)</f>
        <v>0</v>
      </c>
      <c r="Z46">
        <f>VLOOKUP(Table4[[#This Row],[Shortname]], Comp[], 25, FALSE)</f>
        <v>0</v>
      </c>
      <c r="AA46">
        <f>VLOOKUP(Table4[[#This Row],[Shortname]], Comp[], 26, FALSE)</f>
        <v>0</v>
      </c>
      <c r="AB46">
        <f>VLOOKUP(Table4[[#This Row],[Shortname]], Comp[], 27, FALSE)</f>
        <v>0</v>
      </c>
      <c r="AC46">
        <f>VLOOKUP(Table4[[#This Row],[Shortname]], Comp[], 28, FALSE)</f>
        <v>0</v>
      </c>
      <c r="AD46">
        <f>VLOOKUP(Table4[[#This Row],[Shortname]], Comp[], 29, FALSE)</f>
        <v>0</v>
      </c>
      <c r="AE46">
        <f>VLOOKUP(Table4[[#This Row],[Shortname]], Comp[], 30, FALSE)</f>
        <v>0</v>
      </c>
      <c r="AF46">
        <f>VLOOKUP(Table4[[#This Row],[Shortname]], Comp[], 31, FALSE)</f>
        <v>0</v>
      </c>
    </row>
    <row r="47" spans="1:32" x14ac:dyDescent="0.3">
      <c r="A47" t="s">
        <v>1081</v>
      </c>
      <c r="B47" t="s">
        <v>1083</v>
      </c>
      <c r="C47" t="s">
        <v>6601</v>
      </c>
      <c r="D47">
        <v>25</v>
      </c>
      <c r="E47">
        <v>50</v>
      </c>
      <c r="F47">
        <v>386</v>
      </c>
      <c r="G47">
        <f>VLOOKUP(Table4[[#This Row],[Shortname]], Comp[], 6, FALSE)</f>
        <v>138</v>
      </c>
      <c r="H47" s="14">
        <f>VLOOKUP(Table4[[#This Row],[Shortname]], Comp[], 7, FALSE)</f>
        <v>24.700000000000003</v>
      </c>
      <c r="I47">
        <f>VLOOKUP(Table4[[#This Row],[Shortname]], Comp[], 8, FALSE)</f>
        <v>51.2</v>
      </c>
      <c r="J47">
        <f>VLOOKUP(Table4[[#This Row],[Shortname]], Comp[], 9, FALSE)</f>
        <v>6</v>
      </c>
      <c r="K47">
        <f>VLOOKUP(Table4[[#This Row],[Shortname]], Comp[], 10, FALSE)</f>
        <v>12.6</v>
      </c>
      <c r="L47">
        <f>VLOOKUP(Table4[[#This Row],[Shortname]], Comp[], 11, FALSE)</f>
        <v>0</v>
      </c>
      <c r="M47">
        <f>VLOOKUP(Table4[[#This Row],[Shortname]], Comp[],12, FALSE)</f>
        <v>5.5</v>
      </c>
      <c r="N47">
        <f>VLOOKUP(Table4[[#This Row],[Shortname]], Comp[], 13, FALSE)</f>
        <v>0</v>
      </c>
      <c r="O47">
        <f>VLOOKUP(Table4[[#This Row],[Shortname]], Comp[], 14, FALSE)</f>
        <v>0</v>
      </c>
      <c r="P47">
        <f>VLOOKUP(Table4[[#This Row],[Shortname]], Comp[], 15, FALSE)</f>
        <v>0</v>
      </c>
      <c r="Q47">
        <f>VLOOKUP(Table4[[#This Row],[Shortname]], Comp[], 16, FALSE)</f>
        <v>0</v>
      </c>
      <c r="R47">
        <f>VLOOKUP(Table4[[#This Row],[Shortname]], Comp[], 17, FALSE)</f>
        <v>0</v>
      </c>
      <c r="S47">
        <f>VLOOKUP(Table4[[#This Row],[Shortname]], Comp[], 18, FALSE)</f>
        <v>0</v>
      </c>
      <c r="T47">
        <f>VLOOKUP(Table4[[#This Row],[Shortname]], Comp[], 19, FALSE)</f>
        <v>0</v>
      </c>
      <c r="U47">
        <f>VLOOKUP(Table4[[#This Row],[Shortname]], Comp[], 20, FALSE)</f>
        <v>0</v>
      </c>
      <c r="V47">
        <f>VLOOKUP(Table4[[#This Row],[Shortname]], Comp[], 21, FALSE)</f>
        <v>0</v>
      </c>
      <c r="W47">
        <f>VLOOKUP(Table4[[#This Row],[Shortname]], Comp[], 22, FALSE)</f>
        <v>0</v>
      </c>
      <c r="X47">
        <f>VLOOKUP(Table4[[#This Row],[Shortname]], Comp[], 23, FALSE)</f>
        <v>0</v>
      </c>
      <c r="Y47">
        <f>VLOOKUP(Table4[[#This Row],[Shortname]], Comp[], 24, FALSE)</f>
        <v>0</v>
      </c>
      <c r="Z47">
        <f>VLOOKUP(Table4[[#This Row],[Shortname]], Comp[], 25, FALSE)</f>
        <v>0</v>
      </c>
      <c r="AA47">
        <f>VLOOKUP(Table4[[#This Row],[Shortname]], Comp[], 26, FALSE)</f>
        <v>0</v>
      </c>
      <c r="AB47">
        <f>VLOOKUP(Table4[[#This Row],[Shortname]], Comp[], 27, FALSE)</f>
        <v>0</v>
      </c>
      <c r="AC47">
        <f>VLOOKUP(Table4[[#This Row],[Shortname]], Comp[], 28, FALSE)</f>
        <v>0</v>
      </c>
      <c r="AD47">
        <f>VLOOKUP(Table4[[#This Row],[Shortname]], Comp[], 29, FALSE)</f>
        <v>0</v>
      </c>
      <c r="AE47">
        <f>VLOOKUP(Table4[[#This Row],[Shortname]], Comp[], 30, FALSE)</f>
        <v>0</v>
      </c>
      <c r="AF47">
        <f>VLOOKUP(Table4[[#This Row],[Shortname]], Comp[], 31, FALSE)</f>
        <v>0</v>
      </c>
    </row>
    <row r="48" spans="1:32" x14ac:dyDescent="0.3">
      <c r="A48" t="s">
        <v>1180</v>
      </c>
      <c r="B48" t="s">
        <v>1182</v>
      </c>
      <c r="C48" t="s">
        <v>6601</v>
      </c>
      <c r="D48">
        <v>25</v>
      </c>
      <c r="E48">
        <v>50</v>
      </c>
      <c r="F48">
        <v>368</v>
      </c>
      <c r="G48">
        <f>VLOOKUP(Table4[[#This Row],[Shortname]], Comp[], 6, FALSE)</f>
        <v>150</v>
      </c>
      <c r="H48" s="14">
        <f>VLOOKUP(Table4[[#This Row],[Shortname]], Comp[], 7, FALSE)</f>
        <v>33.5</v>
      </c>
      <c r="I48">
        <f>VLOOKUP(Table4[[#This Row],[Shortname]], Comp[], 8, FALSE)</f>
        <v>34</v>
      </c>
      <c r="J48">
        <f>VLOOKUP(Table4[[#This Row],[Shortname]], Comp[], 9, FALSE)</f>
        <v>8.1999999999999993</v>
      </c>
      <c r="K48">
        <f>VLOOKUP(Table4[[#This Row],[Shortname]], Comp[], 10, FALSE)</f>
        <v>21.6</v>
      </c>
      <c r="L48">
        <f>VLOOKUP(Table4[[#This Row],[Shortname]], Comp[], 11, FALSE)</f>
        <v>0</v>
      </c>
      <c r="M48">
        <f>VLOOKUP(Table4[[#This Row],[Shortname]], Comp[],12, FALSE)</f>
        <v>2.7</v>
      </c>
      <c r="N48">
        <f>VLOOKUP(Table4[[#This Row],[Shortname]], Comp[], 13, FALSE)</f>
        <v>0</v>
      </c>
      <c r="O48">
        <f>VLOOKUP(Table4[[#This Row],[Shortname]], Comp[], 14, FALSE)</f>
        <v>0</v>
      </c>
      <c r="P48">
        <f>VLOOKUP(Table4[[#This Row],[Shortname]], Comp[], 15, FALSE)</f>
        <v>0</v>
      </c>
      <c r="Q48">
        <f>VLOOKUP(Table4[[#This Row],[Shortname]], Comp[], 16, FALSE)</f>
        <v>0</v>
      </c>
      <c r="R48">
        <f>VLOOKUP(Table4[[#This Row],[Shortname]], Comp[], 17, FALSE)</f>
        <v>0</v>
      </c>
      <c r="S48">
        <f>VLOOKUP(Table4[[#This Row],[Shortname]], Comp[], 18, FALSE)</f>
        <v>0</v>
      </c>
      <c r="T48">
        <f>VLOOKUP(Table4[[#This Row],[Shortname]], Comp[], 19, FALSE)</f>
        <v>0</v>
      </c>
      <c r="U48">
        <f>VLOOKUP(Table4[[#This Row],[Shortname]], Comp[], 20, FALSE)</f>
        <v>0</v>
      </c>
      <c r="V48">
        <f>VLOOKUP(Table4[[#This Row],[Shortname]], Comp[], 21, FALSE)</f>
        <v>0</v>
      </c>
      <c r="W48">
        <f>VLOOKUP(Table4[[#This Row],[Shortname]], Comp[], 22, FALSE)</f>
        <v>0</v>
      </c>
      <c r="X48">
        <f>VLOOKUP(Table4[[#This Row],[Shortname]], Comp[], 23, FALSE)</f>
        <v>0</v>
      </c>
      <c r="Y48">
        <f>VLOOKUP(Table4[[#This Row],[Shortname]], Comp[], 24, FALSE)</f>
        <v>0</v>
      </c>
      <c r="Z48">
        <f>VLOOKUP(Table4[[#This Row],[Shortname]], Comp[], 25, FALSE)</f>
        <v>0</v>
      </c>
      <c r="AA48">
        <f>VLOOKUP(Table4[[#This Row],[Shortname]], Comp[], 26, FALSE)</f>
        <v>0</v>
      </c>
      <c r="AB48">
        <f>VLOOKUP(Table4[[#This Row],[Shortname]], Comp[], 27, FALSE)</f>
        <v>0</v>
      </c>
      <c r="AC48">
        <f>VLOOKUP(Table4[[#This Row],[Shortname]], Comp[], 28, FALSE)</f>
        <v>0</v>
      </c>
      <c r="AD48">
        <f>VLOOKUP(Table4[[#This Row],[Shortname]], Comp[], 29, FALSE)</f>
        <v>0</v>
      </c>
      <c r="AE48">
        <f>VLOOKUP(Table4[[#This Row],[Shortname]], Comp[], 30, FALSE)</f>
        <v>0</v>
      </c>
      <c r="AF48">
        <f>VLOOKUP(Table4[[#This Row],[Shortname]], Comp[], 31, FALSE)</f>
        <v>0</v>
      </c>
    </row>
    <row r="49" spans="1:32" x14ac:dyDescent="0.3">
      <c r="A49" t="s">
        <v>1030</v>
      </c>
      <c r="B49" t="s">
        <v>1032</v>
      </c>
      <c r="C49" t="s">
        <v>6601</v>
      </c>
      <c r="D49">
        <v>25</v>
      </c>
      <c r="E49">
        <v>50</v>
      </c>
      <c r="F49">
        <v>367</v>
      </c>
      <c r="G49">
        <f>VLOOKUP(Table4[[#This Row],[Shortname]], Comp[], 6, FALSE)</f>
        <v>132</v>
      </c>
      <c r="H49" s="14">
        <f>VLOOKUP(Table4[[#This Row],[Shortname]], Comp[], 7, FALSE)</f>
        <v>59.199999999999996</v>
      </c>
      <c r="I49">
        <f>VLOOKUP(Table4[[#This Row],[Shortname]], Comp[], 8, FALSE)</f>
        <v>17.3</v>
      </c>
      <c r="J49">
        <f>VLOOKUP(Table4[[#This Row],[Shortname]], Comp[], 9, FALSE)</f>
        <v>3.1</v>
      </c>
      <c r="K49">
        <f>VLOOKUP(Table4[[#This Row],[Shortname]], Comp[], 10, FALSE)</f>
        <v>12.5</v>
      </c>
      <c r="L49">
        <f>VLOOKUP(Table4[[#This Row],[Shortname]], Comp[], 11, FALSE)</f>
        <v>0</v>
      </c>
      <c r="M49">
        <f>VLOOKUP(Table4[[#This Row],[Shortname]], Comp[],12, FALSE)</f>
        <v>7.9</v>
      </c>
      <c r="N49">
        <f>VLOOKUP(Table4[[#This Row],[Shortname]], Comp[], 13, FALSE)</f>
        <v>0</v>
      </c>
      <c r="O49">
        <f>VLOOKUP(Table4[[#This Row],[Shortname]], Comp[], 14, FALSE)</f>
        <v>0</v>
      </c>
      <c r="P49">
        <f>VLOOKUP(Table4[[#This Row],[Shortname]], Comp[], 15, FALSE)</f>
        <v>0</v>
      </c>
      <c r="Q49">
        <f>VLOOKUP(Table4[[#This Row],[Shortname]], Comp[], 16, FALSE)</f>
        <v>0</v>
      </c>
      <c r="R49">
        <f>VLOOKUP(Table4[[#This Row],[Shortname]], Comp[], 17, FALSE)</f>
        <v>0</v>
      </c>
      <c r="S49">
        <f>VLOOKUP(Table4[[#This Row],[Shortname]], Comp[], 18, FALSE)</f>
        <v>0</v>
      </c>
      <c r="T49">
        <f>VLOOKUP(Table4[[#This Row],[Shortname]], Comp[], 19, FALSE)</f>
        <v>0</v>
      </c>
      <c r="U49">
        <f>VLOOKUP(Table4[[#This Row],[Shortname]], Comp[], 20, FALSE)</f>
        <v>0</v>
      </c>
      <c r="V49">
        <f>VLOOKUP(Table4[[#This Row],[Shortname]], Comp[], 21, FALSE)</f>
        <v>0</v>
      </c>
      <c r="W49">
        <f>VLOOKUP(Table4[[#This Row],[Shortname]], Comp[], 22, FALSE)</f>
        <v>0</v>
      </c>
      <c r="X49">
        <f>VLOOKUP(Table4[[#This Row],[Shortname]], Comp[], 23, FALSE)</f>
        <v>0</v>
      </c>
      <c r="Y49">
        <f>VLOOKUP(Table4[[#This Row],[Shortname]], Comp[], 24, FALSE)</f>
        <v>0</v>
      </c>
      <c r="Z49">
        <f>VLOOKUP(Table4[[#This Row],[Shortname]], Comp[], 25, FALSE)</f>
        <v>0</v>
      </c>
      <c r="AA49">
        <f>VLOOKUP(Table4[[#This Row],[Shortname]], Comp[], 26, FALSE)</f>
        <v>0</v>
      </c>
      <c r="AB49">
        <f>VLOOKUP(Table4[[#This Row],[Shortname]], Comp[], 27, FALSE)</f>
        <v>0</v>
      </c>
      <c r="AC49">
        <f>VLOOKUP(Table4[[#This Row],[Shortname]], Comp[], 28, FALSE)</f>
        <v>0</v>
      </c>
      <c r="AD49">
        <f>VLOOKUP(Table4[[#This Row],[Shortname]], Comp[], 29, FALSE)</f>
        <v>0</v>
      </c>
      <c r="AE49">
        <f>VLOOKUP(Table4[[#This Row],[Shortname]], Comp[], 30, FALSE)</f>
        <v>0</v>
      </c>
      <c r="AF49">
        <f>VLOOKUP(Table4[[#This Row],[Shortname]], Comp[], 31, FALSE)</f>
        <v>0</v>
      </c>
    </row>
    <row r="50" spans="1:32" x14ac:dyDescent="0.3">
      <c r="A50" t="s">
        <v>1173</v>
      </c>
      <c r="B50" t="s">
        <v>1175</v>
      </c>
      <c r="C50" t="s">
        <v>6601</v>
      </c>
      <c r="D50">
        <v>25</v>
      </c>
      <c r="E50">
        <v>50</v>
      </c>
      <c r="F50">
        <v>349</v>
      </c>
      <c r="G50">
        <f>VLOOKUP(Table4[[#This Row],[Shortname]], Comp[], 6, FALSE)</f>
        <v>149</v>
      </c>
      <c r="H50" s="14">
        <f>VLOOKUP(Table4[[#This Row],[Shortname]], Comp[], 7, FALSE)</f>
        <v>18.399999999999991</v>
      </c>
      <c r="I50">
        <f>VLOOKUP(Table4[[#This Row],[Shortname]], Comp[], 8, FALSE)</f>
        <v>54.8</v>
      </c>
      <c r="J50">
        <f>VLOOKUP(Table4[[#This Row],[Shortname]], Comp[], 9, FALSE)</f>
        <v>8</v>
      </c>
      <c r="K50">
        <f>VLOOKUP(Table4[[#This Row],[Shortname]], Comp[], 10, FALSE)</f>
        <v>16.100000000000001</v>
      </c>
      <c r="L50">
        <f>VLOOKUP(Table4[[#This Row],[Shortname]], Comp[], 11, FALSE)</f>
        <v>0</v>
      </c>
      <c r="M50">
        <f>VLOOKUP(Table4[[#This Row],[Shortname]], Comp[],12, FALSE)</f>
        <v>2.7</v>
      </c>
      <c r="N50">
        <f>VLOOKUP(Table4[[#This Row],[Shortname]], Comp[], 13, FALSE)</f>
        <v>0</v>
      </c>
      <c r="O50">
        <f>VLOOKUP(Table4[[#This Row],[Shortname]], Comp[], 14, FALSE)</f>
        <v>0</v>
      </c>
      <c r="P50">
        <f>VLOOKUP(Table4[[#This Row],[Shortname]], Comp[], 15, FALSE)</f>
        <v>0</v>
      </c>
      <c r="Q50">
        <f>VLOOKUP(Table4[[#This Row],[Shortname]], Comp[], 16, FALSE)</f>
        <v>0</v>
      </c>
      <c r="R50">
        <f>VLOOKUP(Table4[[#This Row],[Shortname]], Comp[], 17, FALSE)</f>
        <v>0</v>
      </c>
      <c r="S50">
        <f>VLOOKUP(Table4[[#This Row],[Shortname]], Comp[], 18, FALSE)</f>
        <v>0</v>
      </c>
      <c r="T50">
        <f>VLOOKUP(Table4[[#This Row],[Shortname]], Comp[], 19, FALSE)</f>
        <v>0</v>
      </c>
      <c r="U50">
        <f>VLOOKUP(Table4[[#This Row],[Shortname]], Comp[], 20, FALSE)</f>
        <v>0</v>
      </c>
      <c r="V50">
        <f>VLOOKUP(Table4[[#This Row],[Shortname]], Comp[], 21, FALSE)</f>
        <v>0</v>
      </c>
      <c r="W50">
        <f>VLOOKUP(Table4[[#This Row],[Shortname]], Comp[], 22, FALSE)</f>
        <v>0</v>
      </c>
      <c r="X50">
        <f>VLOOKUP(Table4[[#This Row],[Shortname]], Comp[], 23, FALSE)</f>
        <v>0</v>
      </c>
      <c r="Y50">
        <f>VLOOKUP(Table4[[#This Row],[Shortname]], Comp[], 24, FALSE)</f>
        <v>0</v>
      </c>
      <c r="Z50">
        <f>VLOOKUP(Table4[[#This Row],[Shortname]], Comp[], 25, FALSE)</f>
        <v>0</v>
      </c>
      <c r="AA50">
        <f>VLOOKUP(Table4[[#This Row],[Shortname]], Comp[], 26, FALSE)</f>
        <v>0</v>
      </c>
      <c r="AB50">
        <f>VLOOKUP(Table4[[#This Row],[Shortname]], Comp[], 27, FALSE)</f>
        <v>0</v>
      </c>
      <c r="AC50">
        <f>VLOOKUP(Table4[[#This Row],[Shortname]], Comp[], 28, FALSE)</f>
        <v>0</v>
      </c>
      <c r="AD50">
        <f>VLOOKUP(Table4[[#This Row],[Shortname]], Comp[], 29, FALSE)</f>
        <v>0</v>
      </c>
      <c r="AE50">
        <f>VLOOKUP(Table4[[#This Row],[Shortname]], Comp[], 30, FALSE)</f>
        <v>0</v>
      </c>
      <c r="AF50">
        <f>VLOOKUP(Table4[[#This Row],[Shortname]], Comp[], 31, FALSE)</f>
        <v>0</v>
      </c>
    </row>
    <row r="51" spans="1:32" x14ac:dyDescent="0.3">
      <c r="A51" t="s">
        <v>1149</v>
      </c>
      <c r="B51" t="s">
        <v>1151</v>
      </c>
      <c r="C51" t="s">
        <v>6601</v>
      </c>
      <c r="D51">
        <v>25</v>
      </c>
      <c r="E51">
        <v>50</v>
      </c>
      <c r="F51">
        <v>347</v>
      </c>
      <c r="G51">
        <f>VLOOKUP(Table4[[#This Row],[Shortname]], Comp[], 6, FALSE)</f>
        <v>146</v>
      </c>
      <c r="H51" s="14">
        <f>VLOOKUP(Table4[[#This Row],[Shortname]], Comp[], 7, FALSE)</f>
        <v>19.599999999999994</v>
      </c>
      <c r="I51">
        <f>VLOOKUP(Table4[[#This Row],[Shortname]], Comp[], 8, FALSE)</f>
        <v>58.4</v>
      </c>
      <c r="J51">
        <f>VLOOKUP(Table4[[#This Row],[Shortname]], Comp[], 9, FALSE)</f>
        <v>8.6</v>
      </c>
      <c r="K51">
        <f>VLOOKUP(Table4[[#This Row],[Shortname]], Comp[], 10, FALSE)</f>
        <v>10.7</v>
      </c>
      <c r="L51">
        <f>VLOOKUP(Table4[[#This Row],[Shortname]], Comp[], 11, FALSE)</f>
        <v>0</v>
      </c>
      <c r="M51">
        <f>VLOOKUP(Table4[[#This Row],[Shortname]], Comp[],12, FALSE)</f>
        <v>2.7</v>
      </c>
      <c r="N51">
        <f>VLOOKUP(Table4[[#This Row],[Shortname]], Comp[], 13, FALSE)</f>
        <v>0</v>
      </c>
      <c r="O51">
        <f>VLOOKUP(Table4[[#This Row],[Shortname]], Comp[], 14, FALSE)</f>
        <v>0</v>
      </c>
      <c r="P51">
        <f>VLOOKUP(Table4[[#This Row],[Shortname]], Comp[], 15, FALSE)</f>
        <v>0</v>
      </c>
      <c r="Q51">
        <f>VLOOKUP(Table4[[#This Row],[Shortname]], Comp[], 16, FALSE)</f>
        <v>0</v>
      </c>
      <c r="R51">
        <f>VLOOKUP(Table4[[#This Row],[Shortname]], Comp[], 17, FALSE)</f>
        <v>0</v>
      </c>
      <c r="S51">
        <f>VLOOKUP(Table4[[#This Row],[Shortname]], Comp[], 18, FALSE)</f>
        <v>0</v>
      </c>
      <c r="T51">
        <f>VLOOKUP(Table4[[#This Row],[Shortname]], Comp[], 19, FALSE)</f>
        <v>0</v>
      </c>
      <c r="U51">
        <f>VLOOKUP(Table4[[#This Row],[Shortname]], Comp[], 20, FALSE)</f>
        <v>0</v>
      </c>
      <c r="V51">
        <f>VLOOKUP(Table4[[#This Row],[Shortname]], Comp[], 21, FALSE)</f>
        <v>0</v>
      </c>
      <c r="W51">
        <f>VLOOKUP(Table4[[#This Row],[Shortname]], Comp[], 22, FALSE)</f>
        <v>0</v>
      </c>
      <c r="X51">
        <f>VLOOKUP(Table4[[#This Row],[Shortname]], Comp[], 23, FALSE)</f>
        <v>0</v>
      </c>
      <c r="Y51">
        <f>VLOOKUP(Table4[[#This Row],[Shortname]], Comp[], 24, FALSE)</f>
        <v>0</v>
      </c>
      <c r="Z51">
        <f>VLOOKUP(Table4[[#This Row],[Shortname]], Comp[], 25, FALSE)</f>
        <v>0</v>
      </c>
      <c r="AA51">
        <f>VLOOKUP(Table4[[#This Row],[Shortname]], Comp[], 26, FALSE)</f>
        <v>0</v>
      </c>
      <c r="AB51">
        <f>VLOOKUP(Table4[[#This Row],[Shortname]], Comp[], 27, FALSE)</f>
        <v>0</v>
      </c>
      <c r="AC51">
        <f>VLOOKUP(Table4[[#This Row],[Shortname]], Comp[], 28, FALSE)</f>
        <v>0</v>
      </c>
      <c r="AD51">
        <f>VLOOKUP(Table4[[#This Row],[Shortname]], Comp[], 29, FALSE)</f>
        <v>0</v>
      </c>
      <c r="AE51">
        <f>VLOOKUP(Table4[[#This Row],[Shortname]], Comp[], 30, FALSE)</f>
        <v>0</v>
      </c>
      <c r="AF51">
        <f>VLOOKUP(Table4[[#This Row],[Shortname]], Comp[], 31, FALSE)</f>
        <v>0</v>
      </c>
    </row>
    <row r="52" spans="1:32" x14ac:dyDescent="0.3">
      <c r="A52" t="s">
        <v>1196</v>
      </c>
      <c r="B52" t="s">
        <v>1198</v>
      </c>
      <c r="C52" t="s">
        <v>6601</v>
      </c>
      <c r="D52">
        <v>25</v>
      </c>
      <c r="E52">
        <v>50</v>
      </c>
      <c r="F52">
        <v>334</v>
      </c>
      <c r="G52">
        <f>VLOOKUP(Table4[[#This Row],[Shortname]], Comp[], 6, FALSE)</f>
        <v>152</v>
      </c>
      <c r="H52" s="14">
        <f>VLOOKUP(Table4[[#This Row],[Shortname]], Comp[], 7, FALSE)</f>
        <v>39.4</v>
      </c>
      <c r="I52">
        <f>VLOOKUP(Table4[[#This Row],[Shortname]], Comp[], 8, FALSE)</f>
        <v>39.700000000000003</v>
      </c>
      <c r="J52">
        <f>VLOOKUP(Table4[[#This Row],[Shortname]], Comp[], 9, FALSE)</f>
        <v>7.5</v>
      </c>
      <c r="K52">
        <f>VLOOKUP(Table4[[#This Row],[Shortname]], Comp[], 10, FALSE)</f>
        <v>10.8</v>
      </c>
      <c r="L52">
        <f>VLOOKUP(Table4[[#This Row],[Shortname]], Comp[], 11, FALSE)</f>
        <v>0</v>
      </c>
      <c r="M52">
        <f>VLOOKUP(Table4[[#This Row],[Shortname]], Comp[],12, FALSE)</f>
        <v>2.6</v>
      </c>
      <c r="N52">
        <f>VLOOKUP(Table4[[#This Row],[Shortname]], Comp[], 13, FALSE)</f>
        <v>0</v>
      </c>
      <c r="O52">
        <f>VLOOKUP(Table4[[#This Row],[Shortname]], Comp[], 14, FALSE)</f>
        <v>0</v>
      </c>
      <c r="P52">
        <f>VLOOKUP(Table4[[#This Row],[Shortname]], Comp[], 15, FALSE)</f>
        <v>0</v>
      </c>
      <c r="Q52">
        <f>VLOOKUP(Table4[[#This Row],[Shortname]], Comp[], 16, FALSE)</f>
        <v>0</v>
      </c>
      <c r="R52">
        <f>VLOOKUP(Table4[[#This Row],[Shortname]], Comp[], 17, FALSE)</f>
        <v>0</v>
      </c>
      <c r="S52">
        <f>VLOOKUP(Table4[[#This Row],[Shortname]], Comp[], 18, FALSE)</f>
        <v>0</v>
      </c>
      <c r="T52">
        <f>VLOOKUP(Table4[[#This Row],[Shortname]], Comp[], 19, FALSE)</f>
        <v>0</v>
      </c>
      <c r="U52">
        <f>VLOOKUP(Table4[[#This Row],[Shortname]], Comp[], 20, FALSE)</f>
        <v>0</v>
      </c>
      <c r="V52">
        <f>VLOOKUP(Table4[[#This Row],[Shortname]], Comp[], 21, FALSE)</f>
        <v>0</v>
      </c>
      <c r="W52">
        <f>VLOOKUP(Table4[[#This Row],[Shortname]], Comp[], 22, FALSE)</f>
        <v>0</v>
      </c>
      <c r="X52">
        <f>VLOOKUP(Table4[[#This Row],[Shortname]], Comp[], 23, FALSE)</f>
        <v>0</v>
      </c>
      <c r="Y52">
        <f>VLOOKUP(Table4[[#This Row],[Shortname]], Comp[], 24, FALSE)</f>
        <v>0</v>
      </c>
      <c r="Z52">
        <f>VLOOKUP(Table4[[#This Row],[Shortname]], Comp[], 25, FALSE)</f>
        <v>0</v>
      </c>
      <c r="AA52">
        <f>VLOOKUP(Table4[[#This Row],[Shortname]], Comp[], 26, FALSE)</f>
        <v>0</v>
      </c>
      <c r="AB52">
        <f>VLOOKUP(Table4[[#This Row],[Shortname]], Comp[], 27, FALSE)</f>
        <v>0</v>
      </c>
      <c r="AC52">
        <f>VLOOKUP(Table4[[#This Row],[Shortname]], Comp[], 28, FALSE)</f>
        <v>0</v>
      </c>
      <c r="AD52">
        <f>VLOOKUP(Table4[[#This Row],[Shortname]], Comp[], 29, FALSE)</f>
        <v>0</v>
      </c>
      <c r="AE52">
        <f>VLOOKUP(Table4[[#This Row],[Shortname]], Comp[], 30, FALSE)</f>
        <v>0</v>
      </c>
      <c r="AF52">
        <f>VLOOKUP(Table4[[#This Row],[Shortname]], Comp[], 31, FALSE)</f>
        <v>0</v>
      </c>
    </row>
    <row r="53" spans="1:32" x14ac:dyDescent="0.3">
      <c r="A53" t="s">
        <v>1116</v>
      </c>
      <c r="B53" t="s">
        <v>1118</v>
      </c>
      <c r="C53" t="s">
        <v>6601</v>
      </c>
      <c r="D53">
        <v>25</v>
      </c>
      <c r="E53">
        <v>50</v>
      </c>
      <c r="F53">
        <v>329</v>
      </c>
      <c r="G53">
        <f>VLOOKUP(Table4[[#This Row],[Shortname]], Comp[], 6, FALSE)</f>
        <v>142</v>
      </c>
      <c r="H53" s="14">
        <f>VLOOKUP(Table4[[#This Row],[Shortname]], Comp[], 7, FALSE)</f>
        <v>55.399999999999991</v>
      </c>
      <c r="I53">
        <f>VLOOKUP(Table4[[#This Row],[Shortname]], Comp[], 8, FALSE)</f>
        <v>18.3</v>
      </c>
      <c r="J53">
        <f>VLOOKUP(Table4[[#This Row],[Shortname]], Comp[], 9, FALSE)</f>
        <v>5</v>
      </c>
      <c r="K53">
        <f>VLOOKUP(Table4[[#This Row],[Shortname]], Comp[], 10, FALSE)</f>
        <v>16.100000000000001</v>
      </c>
      <c r="L53">
        <f>VLOOKUP(Table4[[#This Row],[Shortname]], Comp[], 11, FALSE)</f>
        <v>0</v>
      </c>
      <c r="M53">
        <f>VLOOKUP(Table4[[#This Row],[Shortname]], Comp[],12, FALSE)</f>
        <v>5.2</v>
      </c>
      <c r="N53">
        <f>VLOOKUP(Table4[[#This Row],[Shortname]], Comp[], 13, FALSE)</f>
        <v>0</v>
      </c>
      <c r="O53">
        <f>VLOOKUP(Table4[[#This Row],[Shortname]], Comp[], 14, FALSE)</f>
        <v>0</v>
      </c>
      <c r="P53">
        <f>VLOOKUP(Table4[[#This Row],[Shortname]], Comp[], 15, FALSE)</f>
        <v>0</v>
      </c>
      <c r="Q53">
        <f>VLOOKUP(Table4[[#This Row],[Shortname]], Comp[], 16, FALSE)</f>
        <v>0</v>
      </c>
      <c r="R53">
        <f>VLOOKUP(Table4[[#This Row],[Shortname]], Comp[], 17, FALSE)</f>
        <v>0</v>
      </c>
      <c r="S53">
        <f>VLOOKUP(Table4[[#This Row],[Shortname]], Comp[], 18, FALSE)</f>
        <v>0</v>
      </c>
      <c r="T53">
        <f>VLOOKUP(Table4[[#This Row],[Shortname]], Comp[], 19, FALSE)</f>
        <v>0</v>
      </c>
      <c r="U53">
        <f>VLOOKUP(Table4[[#This Row],[Shortname]], Comp[], 20, FALSE)</f>
        <v>0</v>
      </c>
      <c r="V53">
        <f>VLOOKUP(Table4[[#This Row],[Shortname]], Comp[], 21, FALSE)</f>
        <v>0</v>
      </c>
      <c r="W53">
        <f>VLOOKUP(Table4[[#This Row],[Shortname]], Comp[], 22, FALSE)</f>
        <v>0</v>
      </c>
      <c r="X53">
        <f>VLOOKUP(Table4[[#This Row],[Shortname]], Comp[], 23, FALSE)</f>
        <v>0</v>
      </c>
      <c r="Y53">
        <f>VLOOKUP(Table4[[#This Row],[Shortname]], Comp[], 24, FALSE)</f>
        <v>0</v>
      </c>
      <c r="Z53">
        <f>VLOOKUP(Table4[[#This Row],[Shortname]], Comp[], 25, FALSE)</f>
        <v>0</v>
      </c>
      <c r="AA53">
        <f>VLOOKUP(Table4[[#This Row],[Shortname]], Comp[], 26, FALSE)</f>
        <v>0</v>
      </c>
      <c r="AB53">
        <f>VLOOKUP(Table4[[#This Row],[Shortname]], Comp[], 27, FALSE)</f>
        <v>0</v>
      </c>
      <c r="AC53">
        <f>VLOOKUP(Table4[[#This Row],[Shortname]], Comp[], 28, FALSE)</f>
        <v>0</v>
      </c>
      <c r="AD53">
        <f>VLOOKUP(Table4[[#This Row],[Shortname]], Comp[], 29, FALSE)</f>
        <v>0</v>
      </c>
      <c r="AE53">
        <f>VLOOKUP(Table4[[#This Row],[Shortname]], Comp[], 30, FALSE)</f>
        <v>0</v>
      </c>
      <c r="AF53">
        <f>VLOOKUP(Table4[[#This Row],[Shortname]], Comp[], 31, FALSE)</f>
        <v>0</v>
      </c>
    </row>
    <row r="54" spans="1:32" x14ac:dyDescent="0.3">
      <c r="A54" t="s">
        <v>1212</v>
      </c>
      <c r="B54" t="s">
        <v>1214</v>
      </c>
      <c r="C54" t="s">
        <v>6601</v>
      </c>
      <c r="D54">
        <v>25</v>
      </c>
      <c r="E54">
        <v>50</v>
      </c>
      <c r="F54">
        <v>328</v>
      </c>
      <c r="G54">
        <f>VLOOKUP(Table4[[#This Row],[Shortname]], Comp[], 6, FALSE)</f>
        <v>154</v>
      </c>
      <c r="H54" s="14">
        <f>VLOOKUP(Table4[[#This Row],[Shortname]], Comp[], 7, FALSE)</f>
        <v>17.5</v>
      </c>
      <c r="I54">
        <f>VLOOKUP(Table4[[#This Row],[Shortname]], Comp[], 8, FALSE)</f>
        <v>50.6</v>
      </c>
      <c r="J54">
        <f>VLOOKUP(Table4[[#This Row],[Shortname]], Comp[], 9, FALSE)</f>
        <v>8.5</v>
      </c>
      <c r="K54">
        <f>VLOOKUP(Table4[[#This Row],[Shortname]], Comp[], 10, FALSE)</f>
        <v>20.9</v>
      </c>
      <c r="L54">
        <f>VLOOKUP(Table4[[#This Row],[Shortname]], Comp[], 11, FALSE)</f>
        <v>0</v>
      </c>
      <c r="M54">
        <f>VLOOKUP(Table4[[#This Row],[Shortname]], Comp[],12, FALSE)</f>
        <v>2.5</v>
      </c>
      <c r="N54">
        <f>VLOOKUP(Table4[[#This Row],[Shortname]], Comp[], 13, FALSE)</f>
        <v>0</v>
      </c>
      <c r="O54">
        <f>VLOOKUP(Table4[[#This Row],[Shortname]], Comp[], 14, FALSE)</f>
        <v>0</v>
      </c>
      <c r="P54">
        <f>VLOOKUP(Table4[[#This Row],[Shortname]], Comp[], 15, FALSE)</f>
        <v>0</v>
      </c>
      <c r="Q54">
        <f>VLOOKUP(Table4[[#This Row],[Shortname]], Comp[], 16, FALSE)</f>
        <v>0</v>
      </c>
      <c r="R54">
        <f>VLOOKUP(Table4[[#This Row],[Shortname]], Comp[], 17, FALSE)</f>
        <v>0</v>
      </c>
      <c r="S54">
        <f>VLOOKUP(Table4[[#This Row],[Shortname]], Comp[], 18, FALSE)</f>
        <v>0</v>
      </c>
      <c r="T54">
        <f>VLOOKUP(Table4[[#This Row],[Shortname]], Comp[], 19, FALSE)</f>
        <v>0</v>
      </c>
      <c r="U54">
        <f>VLOOKUP(Table4[[#This Row],[Shortname]], Comp[], 20, FALSE)</f>
        <v>0</v>
      </c>
      <c r="V54">
        <f>VLOOKUP(Table4[[#This Row],[Shortname]], Comp[], 21, FALSE)</f>
        <v>0</v>
      </c>
      <c r="W54">
        <f>VLOOKUP(Table4[[#This Row],[Shortname]], Comp[], 22, FALSE)</f>
        <v>0</v>
      </c>
      <c r="X54">
        <f>VLOOKUP(Table4[[#This Row],[Shortname]], Comp[], 23, FALSE)</f>
        <v>0</v>
      </c>
      <c r="Y54">
        <f>VLOOKUP(Table4[[#This Row],[Shortname]], Comp[], 24, FALSE)</f>
        <v>0</v>
      </c>
      <c r="Z54">
        <f>VLOOKUP(Table4[[#This Row],[Shortname]], Comp[], 25, FALSE)</f>
        <v>0</v>
      </c>
      <c r="AA54">
        <f>VLOOKUP(Table4[[#This Row],[Shortname]], Comp[], 26, FALSE)</f>
        <v>0</v>
      </c>
      <c r="AB54">
        <f>VLOOKUP(Table4[[#This Row],[Shortname]], Comp[], 27, FALSE)</f>
        <v>0</v>
      </c>
      <c r="AC54">
        <f>VLOOKUP(Table4[[#This Row],[Shortname]], Comp[], 28, FALSE)</f>
        <v>0</v>
      </c>
      <c r="AD54">
        <f>VLOOKUP(Table4[[#This Row],[Shortname]], Comp[], 29, FALSE)</f>
        <v>0</v>
      </c>
      <c r="AE54">
        <f>VLOOKUP(Table4[[#This Row],[Shortname]], Comp[], 30, FALSE)</f>
        <v>0</v>
      </c>
      <c r="AF54">
        <f>VLOOKUP(Table4[[#This Row],[Shortname]], Comp[], 31, FALSE)</f>
        <v>0</v>
      </c>
    </row>
    <row r="55" spans="1:32" x14ac:dyDescent="0.3">
      <c r="A55" t="s">
        <v>1165</v>
      </c>
      <c r="B55" t="s">
        <v>1167</v>
      </c>
      <c r="C55" t="s">
        <v>6601</v>
      </c>
      <c r="D55">
        <v>25</v>
      </c>
      <c r="E55">
        <v>50</v>
      </c>
      <c r="F55">
        <v>321</v>
      </c>
      <c r="G55">
        <f>VLOOKUP(Table4[[#This Row],[Shortname]], Comp[], 6, FALSE)</f>
        <v>148</v>
      </c>
      <c r="H55" s="14">
        <f>VLOOKUP(Table4[[#This Row],[Shortname]], Comp[], 7, FALSE)</f>
        <v>36.599999999999994</v>
      </c>
      <c r="I55">
        <f>VLOOKUP(Table4[[#This Row],[Shortname]], Comp[], 8, FALSE)</f>
        <v>36.1</v>
      </c>
      <c r="J55">
        <f>VLOOKUP(Table4[[#This Row],[Shortname]], Comp[], 9, FALSE)</f>
        <v>8.6</v>
      </c>
      <c r="K55">
        <f>VLOOKUP(Table4[[#This Row],[Shortname]], Comp[], 10, FALSE)</f>
        <v>16</v>
      </c>
      <c r="L55">
        <f>VLOOKUP(Table4[[#This Row],[Shortname]], Comp[], 11, FALSE)</f>
        <v>0</v>
      </c>
      <c r="M55">
        <f>VLOOKUP(Table4[[#This Row],[Shortname]], Comp[],12, FALSE)</f>
        <v>2.7</v>
      </c>
      <c r="N55">
        <f>VLOOKUP(Table4[[#This Row],[Shortname]], Comp[], 13, FALSE)</f>
        <v>0</v>
      </c>
      <c r="O55">
        <f>VLOOKUP(Table4[[#This Row],[Shortname]], Comp[], 14, FALSE)</f>
        <v>0</v>
      </c>
      <c r="P55">
        <f>VLOOKUP(Table4[[#This Row],[Shortname]], Comp[], 15, FALSE)</f>
        <v>0</v>
      </c>
      <c r="Q55">
        <f>VLOOKUP(Table4[[#This Row],[Shortname]], Comp[], 16, FALSE)</f>
        <v>0</v>
      </c>
      <c r="R55">
        <f>VLOOKUP(Table4[[#This Row],[Shortname]], Comp[], 17, FALSE)</f>
        <v>0</v>
      </c>
      <c r="S55">
        <f>VLOOKUP(Table4[[#This Row],[Shortname]], Comp[], 18, FALSE)</f>
        <v>0</v>
      </c>
      <c r="T55">
        <f>VLOOKUP(Table4[[#This Row],[Shortname]], Comp[], 19, FALSE)</f>
        <v>0</v>
      </c>
      <c r="U55">
        <f>VLOOKUP(Table4[[#This Row],[Shortname]], Comp[], 20, FALSE)</f>
        <v>0</v>
      </c>
      <c r="V55">
        <f>VLOOKUP(Table4[[#This Row],[Shortname]], Comp[], 21, FALSE)</f>
        <v>0</v>
      </c>
      <c r="W55">
        <f>VLOOKUP(Table4[[#This Row],[Shortname]], Comp[], 22, FALSE)</f>
        <v>0</v>
      </c>
      <c r="X55">
        <f>VLOOKUP(Table4[[#This Row],[Shortname]], Comp[], 23, FALSE)</f>
        <v>0</v>
      </c>
      <c r="Y55">
        <f>VLOOKUP(Table4[[#This Row],[Shortname]], Comp[], 24, FALSE)</f>
        <v>0</v>
      </c>
      <c r="Z55">
        <f>VLOOKUP(Table4[[#This Row],[Shortname]], Comp[], 25, FALSE)</f>
        <v>0</v>
      </c>
      <c r="AA55">
        <f>VLOOKUP(Table4[[#This Row],[Shortname]], Comp[], 26, FALSE)</f>
        <v>0</v>
      </c>
      <c r="AB55">
        <f>VLOOKUP(Table4[[#This Row],[Shortname]], Comp[], 27, FALSE)</f>
        <v>0</v>
      </c>
      <c r="AC55">
        <f>VLOOKUP(Table4[[#This Row],[Shortname]], Comp[], 28, FALSE)</f>
        <v>0</v>
      </c>
      <c r="AD55">
        <f>VLOOKUP(Table4[[#This Row],[Shortname]], Comp[], 29, FALSE)</f>
        <v>0</v>
      </c>
      <c r="AE55">
        <f>VLOOKUP(Table4[[#This Row],[Shortname]], Comp[], 30, FALSE)</f>
        <v>0</v>
      </c>
      <c r="AF55">
        <f>VLOOKUP(Table4[[#This Row],[Shortname]], Comp[], 31, FALSE)</f>
        <v>0</v>
      </c>
    </row>
    <row r="56" spans="1:32" x14ac:dyDescent="0.3">
      <c r="A56" t="s">
        <v>1090</v>
      </c>
      <c r="B56" t="s">
        <v>1092</v>
      </c>
      <c r="C56" t="s">
        <v>6601</v>
      </c>
      <c r="D56">
        <v>25</v>
      </c>
      <c r="E56">
        <v>50</v>
      </c>
      <c r="F56">
        <v>318</v>
      </c>
      <c r="G56">
        <f>VLOOKUP(Table4[[#This Row],[Shortname]], Comp[], 6, FALSE)</f>
        <v>139</v>
      </c>
      <c r="H56" s="14">
        <f>VLOOKUP(Table4[[#This Row],[Shortname]], Comp[], 7, FALSE)</f>
        <v>58.6</v>
      </c>
      <c r="I56">
        <f>VLOOKUP(Table4[[#This Row],[Shortname]], Comp[], 8, FALSE)</f>
        <v>19.7</v>
      </c>
      <c r="J56">
        <f>VLOOKUP(Table4[[#This Row],[Shortname]], Comp[], 9, FALSE)</f>
        <v>5.4</v>
      </c>
      <c r="K56">
        <f>VLOOKUP(Table4[[#This Row],[Shortname]], Comp[], 10, FALSE)</f>
        <v>11</v>
      </c>
      <c r="L56">
        <f>VLOOKUP(Table4[[#This Row],[Shortname]], Comp[], 11, FALSE)</f>
        <v>0</v>
      </c>
      <c r="M56">
        <f>VLOOKUP(Table4[[#This Row],[Shortname]], Comp[],12, FALSE)</f>
        <v>5.3</v>
      </c>
      <c r="N56">
        <f>VLOOKUP(Table4[[#This Row],[Shortname]], Comp[], 13, FALSE)</f>
        <v>0</v>
      </c>
      <c r="O56">
        <f>VLOOKUP(Table4[[#This Row],[Shortname]], Comp[], 14, FALSE)</f>
        <v>0</v>
      </c>
      <c r="P56">
        <f>VLOOKUP(Table4[[#This Row],[Shortname]], Comp[], 15, FALSE)</f>
        <v>0</v>
      </c>
      <c r="Q56">
        <f>VLOOKUP(Table4[[#This Row],[Shortname]], Comp[], 16, FALSE)</f>
        <v>0</v>
      </c>
      <c r="R56">
        <f>VLOOKUP(Table4[[#This Row],[Shortname]], Comp[], 17, FALSE)</f>
        <v>0</v>
      </c>
      <c r="S56">
        <f>VLOOKUP(Table4[[#This Row],[Shortname]], Comp[], 18, FALSE)</f>
        <v>0</v>
      </c>
      <c r="T56">
        <f>VLOOKUP(Table4[[#This Row],[Shortname]], Comp[], 19, FALSE)</f>
        <v>0</v>
      </c>
      <c r="U56">
        <f>VLOOKUP(Table4[[#This Row],[Shortname]], Comp[], 20, FALSE)</f>
        <v>0</v>
      </c>
      <c r="V56">
        <f>VLOOKUP(Table4[[#This Row],[Shortname]], Comp[], 21, FALSE)</f>
        <v>0</v>
      </c>
      <c r="W56">
        <f>VLOOKUP(Table4[[#This Row],[Shortname]], Comp[], 22, FALSE)</f>
        <v>0</v>
      </c>
      <c r="X56">
        <f>VLOOKUP(Table4[[#This Row],[Shortname]], Comp[], 23, FALSE)</f>
        <v>0</v>
      </c>
      <c r="Y56">
        <f>VLOOKUP(Table4[[#This Row],[Shortname]], Comp[], 24, FALSE)</f>
        <v>0</v>
      </c>
      <c r="Z56">
        <f>VLOOKUP(Table4[[#This Row],[Shortname]], Comp[], 25, FALSE)</f>
        <v>0</v>
      </c>
      <c r="AA56">
        <f>VLOOKUP(Table4[[#This Row],[Shortname]], Comp[], 26, FALSE)</f>
        <v>0</v>
      </c>
      <c r="AB56">
        <f>VLOOKUP(Table4[[#This Row],[Shortname]], Comp[], 27, FALSE)</f>
        <v>0</v>
      </c>
      <c r="AC56">
        <f>VLOOKUP(Table4[[#This Row],[Shortname]], Comp[], 28, FALSE)</f>
        <v>0</v>
      </c>
      <c r="AD56">
        <f>VLOOKUP(Table4[[#This Row],[Shortname]], Comp[], 29, FALSE)</f>
        <v>0</v>
      </c>
      <c r="AE56">
        <f>VLOOKUP(Table4[[#This Row],[Shortname]], Comp[], 30, FALSE)</f>
        <v>0</v>
      </c>
      <c r="AF56">
        <f>VLOOKUP(Table4[[#This Row],[Shortname]], Comp[], 31, FALSE)</f>
        <v>0</v>
      </c>
    </row>
    <row r="57" spans="1:32" x14ac:dyDescent="0.3">
      <c r="A57" t="s">
        <v>1131</v>
      </c>
      <c r="B57" t="s">
        <v>1133</v>
      </c>
      <c r="C57" t="s">
        <v>6601</v>
      </c>
      <c r="D57">
        <v>25</v>
      </c>
      <c r="E57">
        <v>50</v>
      </c>
      <c r="F57">
        <v>318</v>
      </c>
      <c r="G57">
        <f>VLOOKUP(Table4[[#This Row],[Shortname]], Comp[], 6, FALSE)</f>
        <v>144</v>
      </c>
      <c r="H57" s="14">
        <f>VLOOKUP(Table4[[#This Row],[Shortname]], Comp[], 7, FALSE)</f>
        <v>33.5</v>
      </c>
      <c r="I57">
        <f>VLOOKUP(Table4[[#This Row],[Shortname]], Comp[], 8, FALSE)</f>
        <v>34.4</v>
      </c>
      <c r="J57">
        <f>VLOOKUP(Table4[[#This Row],[Shortname]], Comp[], 9, FALSE)</f>
        <v>5.7</v>
      </c>
      <c r="K57">
        <f>VLOOKUP(Table4[[#This Row],[Shortname]], Comp[], 10, FALSE)</f>
        <v>21.2</v>
      </c>
      <c r="L57">
        <f>VLOOKUP(Table4[[#This Row],[Shortname]], Comp[], 11, FALSE)</f>
        <v>0</v>
      </c>
      <c r="M57">
        <f>VLOOKUP(Table4[[#This Row],[Shortname]], Comp[],12, FALSE)</f>
        <v>5.2</v>
      </c>
      <c r="N57">
        <f>VLOOKUP(Table4[[#This Row],[Shortname]], Comp[], 13, FALSE)</f>
        <v>0</v>
      </c>
      <c r="O57">
        <f>VLOOKUP(Table4[[#This Row],[Shortname]], Comp[], 14, FALSE)</f>
        <v>0</v>
      </c>
      <c r="P57">
        <f>VLOOKUP(Table4[[#This Row],[Shortname]], Comp[], 15, FALSE)</f>
        <v>0</v>
      </c>
      <c r="Q57">
        <f>VLOOKUP(Table4[[#This Row],[Shortname]], Comp[], 16, FALSE)</f>
        <v>0</v>
      </c>
      <c r="R57">
        <f>VLOOKUP(Table4[[#This Row],[Shortname]], Comp[], 17, FALSE)</f>
        <v>0</v>
      </c>
      <c r="S57">
        <f>VLOOKUP(Table4[[#This Row],[Shortname]], Comp[], 18, FALSE)</f>
        <v>0</v>
      </c>
      <c r="T57">
        <f>VLOOKUP(Table4[[#This Row],[Shortname]], Comp[], 19, FALSE)</f>
        <v>0</v>
      </c>
      <c r="U57">
        <f>VLOOKUP(Table4[[#This Row],[Shortname]], Comp[], 20, FALSE)</f>
        <v>0</v>
      </c>
      <c r="V57">
        <f>VLOOKUP(Table4[[#This Row],[Shortname]], Comp[], 21, FALSE)</f>
        <v>0</v>
      </c>
      <c r="W57">
        <f>VLOOKUP(Table4[[#This Row],[Shortname]], Comp[], 22, FALSE)</f>
        <v>0</v>
      </c>
      <c r="X57">
        <f>VLOOKUP(Table4[[#This Row],[Shortname]], Comp[], 23, FALSE)</f>
        <v>0</v>
      </c>
      <c r="Y57">
        <f>VLOOKUP(Table4[[#This Row],[Shortname]], Comp[], 24, FALSE)</f>
        <v>0</v>
      </c>
      <c r="Z57">
        <f>VLOOKUP(Table4[[#This Row],[Shortname]], Comp[], 25, FALSE)</f>
        <v>0</v>
      </c>
      <c r="AA57">
        <f>VLOOKUP(Table4[[#This Row],[Shortname]], Comp[], 26, FALSE)</f>
        <v>0</v>
      </c>
      <c r="AB57">
        <f>VLOOKUP(Table4[[#This Row],[Shortname]], Comp[], 27, FALSE)</f>
        <v>0</v>
      </c>
      <c r="AC57">
        <f>VLOOKUP(Table4[[#This Row],[Shortname]], Comp[], 28, FALSE)</f>
        <v>0</v>
      </c>
      <c r="AD57">
        <f>VLOOKUP(Table4[[#This Row],[Shortname]], Comp[], 29, FALSE)</f>
        <v>0</v>
      </c>
      <c r="AE57">
        <f>VLOOKUP(Table4[[#This Row],[Shortname]], Comp[], 30, FALSE)</f>
        <v>0</v>
      </c>
      <c r="AF57">
        <f>VLOOKUP(Table4[[#This Row],[Shortname]], Comp[], 31, FALSE)</f>
        <v>0</v>
      </c>
    </row>
    <row r="58" spans="1:32" x14ac:dyDescent="0.3">
      <c r="A58" t="s">
        <v>1139</v>
      </c>
      <c r="B58" t="s">
        <v>1141</v>
      </c>
      <c r="C58" t="s">
        <v>6601</v>
      </c>
      <c r="D58">
        <v>25</v>
      </c>
      <c r="E58">
        <v>50</v>
      </c>
      <c r="F58">
        <v>315</v>
      </c>
      <c r="G58">
        <f>VLOOKUP(Table4[[#This Row],[Shortname]], Comp[], 6, FALSE)</f>
        <v>145</v>
      </c>
      <c r="H58" s="14">
        <f>VLOOKUP(Table4[[#This Row],[Shortname]], Comp[], 7, FALSE)</f>
        <v>51.1</v>
      </c>
      <c r="I58">
        <f>VLOOKUP(Table4[[#This Row],[Shortname]], Comp[], 8, FALSE)</f>
        <v>17</v>
      </c>
      <c r="J58">
        <f>VLOOKUP(Table4[[#This Row],[Shortname]], Comp[], 9, FALSE)</f>
        <v>5.5</v>
      </c>
      <c r="K58">
        <f>VLOOKUP(Table4[[#This Row],[Shortname]], Comp[], 10, FALSE)</f>
        <v>21.4</v>
      </c>
      <c r="L58">
        <f>VLOOKUP(Table4[[#This Row],[Shortname]], Comp[], 11, FALSE)</f>
        <v>0</v>
      </c>
      <c r="M58">
        <f>VLOOKUP(Table4[[#This Row],[Shortname]], Comp[],12, FALSE)</f>
        <v>5</v>
      </c>
      <c r="N58">
        <f>VLOOKUP(Table4[[#This Row],[Shortname]], Comp[], 13, FALSE)</f>
        <v>0</v>
      </c>
      <c r="O58">
        <f>VLOOKUP(Table4[[#This Row],[Shortname]], Comp[], 14, FALSE)</f>
        <v>0</v>
      </c>
      <c r="P58">
        <f>VLOOKUP(Table4[[#This Row],[Shortname]], Comp[], 15, FALSE)</f>
        <v>0</v>
      </c>
      <c r="Q58">
        <f>VLOOKUP(Table4[[#This Row],[Shortname]], Comp[], 16, FALSE)</f>
        <v>0</v>
      </c>
      <c r="R58">
        <f>VLOOKUP(Table4[[#This Row],[Shortname]], Comp[], 17, FALSE)</f>
        <v>0</v>
      </c>
      <c r="S58">
        <f>VLOOKUP(Table4[[#This Row],[Shortname]], Comp[], 18, FALSE)</f>
        <v>0</v>
      </c>
      <c r="T58">
        <f>VLOOKUP(Table4[[#This Row],[Shortname]], Comp[], 19, FALSE)</f>
        <v>0</v>
      </c>
      <c r="U58">
        <f>VLOOKUP(Table4[[#This Row],[Shortname]], Comp[], 20, FALSE)</f>
        <v>0</v>
      </c>
      <c r="V58">
        <f>VLOOKUP(Table4[[#This Row],[Shortname]], Comp[], 21, FALSE)</f>
        <v>0</v>
      </c>
      <c r="W58">
        <f>VLOOKUP(Table4[[#This Row],[Shortname]], Comp[], 22, FALSE)</f>
        <v>0</v>
      </c>
      <c r="X58">
        <f>VLOOKUP(Table4[[#This Row],[Shortname]], Comp[], 23, FALSE)</f>
        <v>0</v>
      </c>
      <c r="Y58">
        <f>VLOOKUP(Table4[[#This Row],[Shortname]], Comp[], 24, FALSE)</f>
        <v>0</v>
      </c>
      <c r="Z58">
        <f>VLOOKUP(Table4[[#This Row],[Shortname]], Comp[], 25, FALSE)</f>
        <v>0</v>
      </c>
      <c r="AA58">
        <f>VLOOKUP(Table4[[#This Row],[Shortname]], Comp[], 26, FALSE)</f>
        <v>0</v>
      </c>
      <c r="AB58">
        <f>VLOOKUP(Table4[[#This Row],[Shortname]], Comp[], 27, FALSE)</f>
        <v>0</v>
      </c>
      <c r="AC58">
        <f>VLOOKUP(Table4[[#This Row],[Shortname]], Comp[], 28, FALSE)</f>
        <v>0</v>
      </c>
      <c r="AD58">
        <f>VLOOKUP(Table4[[#This Row],[Shortname]], Comp[], 29, FALSE)</f>
        <v>0</v>
      </c>
      <c r="AE58">
        <f>VLOOKUP(Table4[[#This Row],[Shortname]], Comp[], 30, FALSE)</f>
        <v>0</v>
      </c>
      <c r="AF58">
        <f>VLOOKUP(Table4[[#This Row],[Shortname]], Comp[], 31, FALSE)</f>
        <v>0</v>
      </c>
    </row>
    <row r="59" spans="1:32" x14ac:dyDescent="0.3">
      <c r="A59" t="s">
        <v>1157</v>
      </c>
      <c r="B59" t="s">
        <v>1159</v>
      </c>
      <c r="C59" t="s">
        <v>6601</v>
      </c>
      <c r="D59">
        <v>25</v>
      </c>
      <c r="E59">
        <v>50</v>
      </c>
      <c r="F59">
        <v>252</v>
      </c>
      <c r="G59">
        <f>VLOOKUP(Table4[[#This Row],[Shortname]], Comp[], 6, FALSE)</f>
        <v>147</v>
      </c>
      <c r="H59" s="14">
        <f>VLOOKUP(Table4[[#This Row],[Shortname]], Comp[], 7, FALSE)</f>
        <v>54.699999999999996</v>
      </c>
      <c r="I59">
        <f>VLOOKUP(Table4[[#This Row],[Shortname]], Comp[], 8, FALSE)</f>
        <v>19</v>
      </c>
      <c r="J59">
        <f>VLOOKUP(Table4[[#This Row],[Shortname]], Comp[], 9, FALSE)</f>
        <v>7.1</v>
      </c>
      <c r="K59">
        <f>VLOOKUP(Table4[[#This Row],[Shortname]], Comp[], 10, FALSE)</f>
        <v>16.5</v>
      </c>
      <c r="L59">
        <f>VLOOKUP(Table4[[#This Row],[Shortname]], Comp[], 11, FALSE)</f>
        <v>0</v>
      </c>
      <c r="M59">
        <f>VLOOKUP(Table4[[#This Row],[Shortname]], Comp[],12, FALSE)</f>
        <v>2.7</v>
      </c>
      <c r="N59">
        <f>VLOOKUP(Table4[[#This Row],[Shortname]], Comp[], 13, FALSE)</f>
        <v>0</v>
      </c>
      <c r="O59">
        <f>VLOOKUP(Table4[[#This Row],[Shortname]], Comp[], 14, FALSE)</f>
        <v>0</v>
      </c>
      <c r="P59">
        <f>VLOOKUP(Table4[[#This Row],[Shortname]], Comp[], 15, FALSE)</f>
        <v>0</v>
      </c>
      <c r="Q59">
        <f>VLOOKUP(Table4[[#This Row],[Shortname]], Comp[], 16, FALSE)</f>
        <v>0</v>
      </c>
      <c r="R59">
        <f>VLOOKUP(Table4[[#This Row],[Shortname]], Comp[], 17, FALSE)</f>
        <v>0</v>
      </c>
      <c r="S59">
        <f>VLOOKUP(Table4[[#This Row],[Shortname]], Comp[], 18, FALSE)</f>
        <v>0</v>
      </c>
      <c r="T59">
        <f>VLOOKUP(Table4[[#This Row],[Shortname]], Comp[], 19, FALSE)</f>
        <v>0</v>
      </c>
      <c r="U59">
        <f>VLOOKUP(Table4[[#This Row],[Shortname]], Comp[], 20, FALSE)</f>
        <v>0</v>
      </c>
      <c r="V59">
        <f>VLOOKUP(Table4[[#This Row],[Shortname]], Comp[], 21, FALSE)</f>
        <v>0</v>
      </c>
      <c r="W59">
        <f>VLOOKUP(Table4[[#This Row],[Shortname]], Comp[], 22, FALSE)</f>
        <v>0</v>
      </c>
      <c r="X59">
        <f>VLOOKUP(Table4[[#This Row],[Shortname]], Comp[], 23, FALSE)</f>
        <v>0</v>
      </c>
      <c r="Y59">
        <f>VLOOKUP(Table4[[#This Row],[Shortname]], Comp[], 24, FALSE)</f>
        <v>0</v>
      </c>
      <c r="Z59">
        <f>VLOOKUP(Table4[[#This Row],[Shortname]], Comp[], 25, FALSE)</f>
        <v>0</v>
      </c>
      <c r="AA59">
        <f>VLOOKUP(Table4[[#This Row],[Shortname]], Comp[], 26, FALSE)</f>
        <v>0</v>
      </c>
      <c r="AB59">
        <f>VLOOKUP(Table4[[#This Row],[Shortname]], Comp[], 27, FALSE)</f>
        <v>0</v>
      </c>
      <c r="AC59">
        <f>VLOOKUP(Table4[[#This Row],[Shortname]], Comp[], 28, FALSE)</f>
        <v>0</v>
      </c>
      <c r="AD59">
        <f>VLOOKUP(Table4[[#This Row],[Shortname]], Comp[], 29, FALSE)</f>
        <v>0</v>
      </c>
      <c r="AE59">
        <f>VLOOKUP(Table4[[#This Row],[Shortname]], Comp[], 30, FALSE)</f>
        <v>0</v>
      </c>
      <c r="AF59">
        <f>VLOOKUP(Table4[[#This Row],[Shortname]], Comp[], 31, FALSE)</f>
        <v>0</v>
      </c>
    </row>
    <row r="60" spans="1:32" x14ac:dyDescent="0.3">
      <c r="A60" t="s">
        <v>1203</v>
      </c>
      <c r="B60" t="s">
        <v>1205</v>
      </c>
      <c r="C60" t="s">
        <v>6601</v>
      </c>
      <c r="D60">
        <v>25</v>
      </c>
      <c r="E60">
        <v>50</v>
      </c>
      <c r="F60">
        <v>245</v>
      </c>
      <c r="G60">
        <f>VLOOKUP(Table4[[#This Row],[Shortname]], Comp[], 6, FALSE)</f>
        <v>153</v>
      </c>
      <c r="H60" s="14">
        <f>VLOOKUP(Table4[[#This Row],[Shortname]], Comp[], 7, FALSE)</f>
        <v>50.6</v>
      </c>
      <c r="I60">
        <f>VLOOKUP(Table4[[#This Row],[Shortname]], Comp[], 8, FALSE)</f>
        <v>17.2</v>
      </c>
      <c r="J60">
        <f>VLOOKUP(Table4[[#This Row],[Shortname]], Comp[], 9, FALSE)</f>
        <v>7.8</v>
      </c>
      <c r="K60">
        <f>VLOOKUP(Table4[[#This Row],[Shortname]], Comp[], 10, FALSE)</f>
        <v>21.8</v>
      </c>
      <c r="L60">
        <f>VLOOKUP(Table4[[#This Row],[Shortname]], Comp[], 11, FALSE)</f>
        <v>0</v>
      </c>
      <c r="M60">
        <f>VLOOKUP(Table4[[#This Row],[Shortname]], Comp[],12, FALSE)</f>
        <v>2.6</v>
      </c>
      <c r="N60">
        <f>VLOOKUP(Table4[[#This Row],[Shortname]], Comp[], 13, FALSE)</f>
        <v>0</v>
      </c>
      <c r="O60">
        <f>VLOOKUP(Table4[[#This Row],[Shortname]], Comp[], 14, FALSE)</f>
        <v>0</v>
      </c>
      <c r="P60">
        <f>VLOOKUP(Table4[[#This Row],[Shortname]], Comp[], 15, FALSE)</f>
        <v>0</v>
      </c>
      <c r="Q60">
        <f>VLOOKUP(Table4[[#This Row],[Shortname]], Comp[], 16, FALSE)</f>
        <v>0</v>
      </c>
      <c r="R60">
        <f>VLOOKUP(Table4[[#This Row],[Shortname]], Comp[], 17, FALSE)</f>
        <v>0</v>
      </c>
      <c r="S60">
        <f>VLOOKUP(Table4[[#This Row],[Shortname]], Comp[], 18, FALSE)</f>
        <v>0</v>
      </c>
      <c r="T60">
        <f>VLOOKUP(Table4[[#This Row],[Shortname]], Comp[], 19, FALSE)</f>
        <v>0</v>
      </c>
      <c r="U60">
        <f>VLOOKUP(Table4[[#This Row],[Shortname]], Comp[], 20, FALSE)</f>
        <v>0</v>
      </c>
      <c r="V60">
        <f>VLOOKUP(Table4[[#This Row],[Shortname]], Comp[], 21, FALSE)</f>
        <v>0</v>
      </c>
      <c r="W60">
        <f>VLOOKUP(Table4[[#This Row],[Shortname]], Comp[], 22, FALSE)</f>
        <v>0</v>
      </c>
      <c r="X60">
        <f>VLOOKUP(Table4[[#This Row],[Shortname]], Comp[], 23, FALSE)</f>
        <v>0</v>
      </c>
      <c r="Y60">
        <f>VLOOKUP(Table4[[#This Row],[Shortname]], Comp[], 24, FALSE)</f>
        <v>0</v>
      </c>
      <c r="Z60">
        <f>VLOOKUP(Table4[[#This Row],[Shortname]], Comp[], 25, FALSE)</f>
        <v>0</v>
      </c>
      <c r="AA60">
        <f>VLOOKUP(Table4[[#This Row],[Shortname]], Comp[], 26, FALSE)</f>
        <v>0</v>
      </c>
      <c r="AB60">
        <f>VLOOKUP(Table4[[#This Row],[Shortname]], Comp[], 27, FALSE)</f>
        <v>0</v>
      </c>
      <c r="AC60">
        <f>VLOOKUP(Table4[[#This Row],[Shortname]], Comp[], 28, FALSE)</f>
        <v>0</v>
      </c>
      <c r="AD60">
        <f>VLOOKUP(Table4[[#This Row],[Shortname]], Comp[], 29, FALSE)</f>
        <v>0</v>
      </c>
      <c r="AE60">
        <f>VLOOKUP(Table4[[#This Row],[Shortname]], Comp[], 30, FALSE)</f>
        <v>0</v>
      </c>
      <c r="AF60">
        <f>VLOOKUP(Table4[[#This Row],[Shortname]], Comp[], 31, FALSE)</f>
        <v>0</v>
      </c>
    </row>
    <row r="61" spans="1:32" x14ac:dyDescent="0.3">
      <c r="A61" t="s">
        <v>1188</v>
      </c>
      <c r="B61" t="s">
        <v>1190</v>
      </c>
      <c r="C61" t="s">
        <v>6601</v>
      </c>
      <c r="D61">
        <v>25</v>
      </c>
      <c r="E61">
        <v>50</v>
      </c>
      <c r="F61">
        <v>240</v>
      </c>
      <c r="G61">
        <f>VLOOKUP(Table4[[#This Row],[Shortname]], Comp[], 6, FALSE)</f>
        <v>151</v>
      </c>
      <c r="H61" s="14">
        <f>VLOOKUP(Table4[[#This Row],[Shortname]], Comp[], 7, FALSE)</f>
        <v>59.1</v>
      </c>
      <c r="I61">
        <f>VLOOKUP(Table4[[#This Row],[Shortname]], Comp[], 8, FALSE)</f>
        <v>19.7</v>
      </c>
      <c r="J61">
        <f>VLOOKUP(Table4[[#This Row],[Shortname]], Comp[], 9, FALSE)</f>
        <v>7.5</v>
      </c>
      <c r="K61">
        <f>VLOOKUP(Table4[[#This Row],[Shortname]], Comp[], 10, FALSE)</f>
        <v>11.1</v>
      </c>
      <c r="L61">
        <f>VLOOKUP(Table4[[#This Row],[Shortname]], Comp[], 11, FALSE)</f>
        <v>0</v>
      </c>
      <c r="M61">
        <f>VLOOKUP(Table4[[#This Row],[Shortname]], Comp[],12, FALSE)</f>
        <v>2.6</v>
      </c>
      <c r="N61">
        <f>VLOOKUP(Table4[[#This Row],[Shortname]], Comp[], 13, FALSE)</f>
        <v>0</v>
      </c>
      <c r="O61">
        <f>VLOOKUP(Table4[[#This Row],[Shortname]], Comp[], 14, FALSE)</f>
        <v>0</v>
      </c>
      <c r="P61">
        <f>VLOOKUP(Table4[[#This Row],[Shortname]], Comp[], 15, FALSE)</f>
        <v>0</v>
      </c>
      <c r="Q61">
        <f>VLOOKUP(Table4[[#This Row],[Shortname]], Comp[], 16, FALSE)</f>
        <v>0</v>
      </c>
      <c r="R61">
        <f>VLOOKUP(Table4[[#This Row],[Shortname]], Comp[], 17, FALSE)</f>
        <v>0</v>
      </c>
      <c r="S61">
        <f>VLOOKUP(Table4[[#This Row],[Shortname]], Comp[], 18, FALSE)</f>
        <v>0</v>
      </c>
      <c r="T61">
        <f>VLOOKUP(Table4[[#This Row],[Shortname]], Comp[], 19, FALSE)</f>
        <v>0</v>
      </c>
      <c r="U61">
        <f>VLOOKUP(Table4[[#This Row],[Shortname]], Comp[], 20, FALSE)</f>
        <v>0</v>
      </c>
      <c r="V61">
        <f>VLOOKUP(Table4[[#This Row],[Shortname]], Comp[], 21, FALSE)</f>
        <v>0</v>
      </c>
      <c r="W61">
        <f>VLOOKUP(Table4[[#This Row],[Shortname]], Comp[], 22, FALSE)</f>
        <v>0</v>
      </c>
      <c r="X61">
        <f>VLOOKUP(Table4[[#This Row],[Shortname]], Comp[], 23, FALSE)</f>
        <v>0</v>
      </c>
      <c r="Y61">
        <f>VLOOKUP(Table4[[#This Row],[Shortname]], Comp[], 24, FALSE)</f>
        <v>0</v>
      </c>
      <c r="Z61">
        <f>VLOOKUP(Table4[[#This Row],[Shortname]], Comp[], 25, FALSE)</f>
        <v>0</v>
      </c>
      <c r="AA61">
        <f>VLOOKUP(Table4[[#This Row],[Shortname]], Comp[], 26, FALSE)</f>
        <v>0</v>
      </c>
      <c r="AB61">
        <f>VLOOKUP(Table4[[#This Row],[Shortname]], Comp[], 27, FALSE)</f>
        <v>0</v>
      </c>
      <c r="AC61">
        <f>VLOOKUP(Table4[[#This Row],[Shortname]], Comp[], 28, FALSE)</f>
        <v>0</v>
      </c>
      <c r="AD61">
        <f>VLOOKUP(Table4[[#This Row],[Shortname]], Comp[], 29, FALSE)</f>
        <v>0</v>
      </c>
      <c r="AE61">
        <f>VLOOKUP(Table4[[#This Row],[Shortname]], Comp[], 30, FALSE)</f>
        <v>0</v>
      </c>
      <c r="AF61">
        <f>VLOOKUP(Table4[[#This Row],[Shortname]], Comp[], 31, FALSE)</f>
        <v>0</v>
      </c>
    </row>
    <row r="62" spans="1:32" x14ac:dyDescent="0.3">
      <c r="A62" t="s">
        <v>1307</v>
      </c>
      <c r="B62" t="s">
        <v>1307</v>
      </c>
      <c r="C62" s="3" t="s">
        <v>1309</v>
      </c>
      <c r="D62">
        <v>25</v>
      </c>
      <c r="E62">
        <v>750</v>
      </c>
      <c r="F62">
        <v>438.46232283063119</v>
      </c>
      <c r="G62">
        <f>VLOOKUP(Table4[[#This Row],[Shortname]], Comp[], 6, FALSE)</f>
        <v>166</v>
      </c>
      <c r="H62" s="14">
        <f>VLOOKUP(Table4[[#This Row],[Shortname]], Comp[], 7, FALSE)</f>
        <v>79.5</v>
      </c>
      <c r="I62">
        <f>VLOOKUP(Table4[[#This Row],[Shortname]], Comp[], 8, FALSE)</f>
        <v>0</v>
      </c>
      <c r="J62">
        <f>VLOOKUP(Table4[[#This Row],[Shortname]], Comp[], 9, FALSE)</f>
        <v>9.6999999999999993</v>
      </c>
      <c r="K62">
        <f>VLOOKUP(Table4[[#This Row],[Shortname]], Comp[], 10, FALSE)</f>
        <v>0</v>
      </c>
      <c r="L62">
        <f>VLOOKUP(Table4[[#This Row],[Shortname]], Comp[], 11, FALSE)</f>
        <v>10.8</v>
      </c>
      <c r="M62">
        <f>VLOOKUP(Table4[[#This Row],[Shortname]], Comp[],12, FALSE)</f>
        <v>0</v>
      </c>
      <c r="N62">
        <f>VLOOKUP(Table4[[#This Row],[Shortname]], Comp[], 13, FALSE)</f>
        <v>0</v>
      </c>
      <c r="O62">
        <f>VLOOKUP(Table4[[#This Row],[Shortname]], Comp[], 14, FALSE)</f>
        <v>0</v>
      </c>
      <c r="P62">
        <f>VLOOKUP(Table4[[#This Row],[Shortname]], Comp[], 15, FALSE)</f>
        <v>0</v>
      </c>
      <c r="Q62">
        <f>VLOOKUP(Table4[[#This Row],[Shortname]], Comp[], 16, FALSE)</f>
        <v>0</v>
      </c>
      <c r="R62">
        <f>VLOOKUP(Table4[[#This Row],[Shortname]], Comp[], 17, FALSE)</f>
        <v>0</v>
      </c>
      <c r="S62">
        <f>VLOOKUP(Table4[[#This Row],[Shortname]], Comp[], 18, FALSE)</f>
        <v>0</v>
      </c>
      <c r="T62">
        <f>VLOOKUP(Table4[[#This Row],[Shortname]], Comp[], 19, FALSE)</f>
        <v>0</v>
      </c>
      <c r="U62">
        <f>VLOOKUP(Table4[[#This Row],[Shortname]], Comp[], 20, FALSE)</f>
        <v>0</v>
      </c>
      <c r="V62">
        <f>VLOOKUP(Table4[[#This Row],[Shortname]], Comp[], 21, FALSE)</f>
        <v>0</v>
      </c>
      <c r="W62">
        <f>VLOOKUP(Table4[[#This Row],[Shortname]], Comp[], 22, FALSE)</f>
        <v>0</v>
      </c>
      <c r="X62">
        <f>VLOOKUP(Table4[[#This Row],[Shortname]], Comp[], 23, FALSE)</f>
        <v>0</v>
      </c>
      <c r="Y62">
        <f>VLOOKUP(Table4[[#This Row],[Shortname]], Comp[], 24, FALSE)</f>
        <v>0</v>
      </c>
      <c r="Z62">
        <f>VLOOKUP(Table4[[#This Row],[Shortname]], Comp[], 25, FALSE)</f>
        <v>0</v>
      </c>
      <c r="AA62">
        <f>VLOOKUP(Table4[[#This Row],[Shortname]], Comp[], 26, FALSE)</f>
        <v>0</v>
      </c>
      <c r="AB62">
        <f>VLOOKUP(Table4[[#This Row],[Shortname]], Comp[], 27, FALSE)</f>
        <v>0</v>
      </c>
      <c r="AC62">
        <f>VLOOKUP(Table4[[#This Row],[Shortname]], Comp[], 28, FALSE)</f>
        <v>0</v>
      </c>
      <c r="AD62">
        <f>VLOOKUP(Table4[[#This Row],[Shortname]], Comp[], 29, FALSE)</f>
        <v>0</v>
      </c>
      <c r="AE62">
        <f>VLOOKUP(Table4[[#This Row],[Shortname]], Comp[], 30, FALSE)</f>
        <v>0</v>
      </c>
      <c r="AF62">
        <f>VLOOKUP(Table4[[#This Row],[Shortname]], Comp[], 31, FALSE)</f>
        <v>0</v>
      </c>
    </row>
    <row r="63" spans="1:32" x14ac:dyDescent="0.3">
      <c r="A63" t="s">
        <v>1307</v>
      </c>
      <c r="B63" t="s">
        <v>1307</v>
      </c>
      <c r="C63" s="3" t="s">
        <v>1309</v>
      </c>
      <c r="D63">
        <v>25</v>
      </c>
      <c r="E63">
        <v>650</v>
      </c>
      <c r="F63">
        <v>418.06872641990412</v>
      </c>
      <c r="G63">
        <f>VLOOKUP(Table4[[#This Row],[Shortname]], Comp[], 6, FALSE)</f>
        <v>166</v>
      </c>
      <c r="H63" s="14">
        <f>VLOOKUP(Table4[[#This Row],[Shortname]], Comp[], 7, FALSE)</f>
        <v>79.5</v>
      </c>
      <c r="I63">
        <f>VLOOKUP(Table4[[#This Row],[Shortname]], Comp[], 8, FALSE)</f>
        <v>0</v>
      </c>
      <c r="J63">
        <f>VLOOKUP(Table4[[#This Row],[Shortname]], Comp[], 9, FALSE)</f>
        <v>9.6999999999999993</v>
      </c>
      <c r="K63">
        <f>VLOOKUP(Table4[[#This Row],[Shortname]], Comp[], 10, FALSE)</f>
        <v>0</v>
      </c>
      <c r="L63">
        <f>VLOOKUP(Table4[[#This Row],[Shortname]], Comp[], 11, FALSE)</f>
        <v>10.8</v>
      </c>
      <c r="M63">
        <f>VLOOKUP(Table4[[#This Row],[Shortname]], Comp[],12, FALSE)</f>
        <v>0</v>
      </c>
      <c r="N63">
        <f>VLOOKUP(Table4[[#This Row],[Shortname]], Comp[], 13, FALSE)</f>
        <v>0</v>
      </c>
      <c r="O63">
        <f>VLOOKUP(Table4[[#This Row],[Shortname]], Comp[], 14, FALSE)</f>
        <v>0</v>
      </c>
      <c r="P63">
        <f>VLOOKUP(Table4[[#This Row],[Shortname]], Comp[], 15, FALSE)</f>
        <v>0</v>
      </c>
      <c r="Q63">
        <f>VLOOKUP(Table4[[#This Row],[Shortname]], Comp[], 16, FALSE)</f>
        <v>0</v>
      </c>
      <c r="R63">
        <f>VLOOKUP(Table4[[#This Row],[Shortname]], Comp[], 17, FALSE)</f>
        <v>0</v>
      </c>
      <c r="S63">
        <f>VLOOKUP(Table4[[#This Row],[Shortname]], Comp[], 18, FALSE)</f>
        <v>0</v>
      </c>
      <c r="T63">
        <f>VLOOKUP(Table4[[#This Row],[Shortname]], Comp[], 19, FALSE)</f>
        <v>0</v>
      </c>
      <c r="U63">
        <f>VLOOKUP(Table4[[#This Row],[Shortname]], Comp[], 20, FALSE)</f>
        <v>0</v>
      </c>
      <c r="V63">
        <f>VLOOKUP(Table4[[#This Row],[Shortname]], Comp[], 21, FALSE)</f>
        <v>0</v>
      </c>
      <c r="W63">
        <f>VLOOKUP(Table4[[#This Row],[Shortname]], Comp[], 22, FALSE)</f>
        <v>0</v>
      </c>
      <c r="X63">
        <f>VLOOKUP(Table4[[#This Row],[Shortname]], Comp[], 23, FALSE)</f>
        <v>0</v>
      </c>
      <c r="Y63">
        <f>VLOOKUP(Table4[[#This Row],[Shortname]], Comp[], 24, FALSE)</f>
        <v>0</v>
      </c>
      <c r="Z63">
        <f>VLOOKUP(Table4[[#This Row],[Shortname]], Comp[], 25, FALSE)</f>
        <v>0</v>
      </c>
      <c r="AA63">
        <f>VLOOKUP(Table4[[#This Row],[Shortname]], Comp[], 26, FALSE)</f>
        <v>0</v>
      </c>
      <c r="AB63">
        <f>VLOOKUP(Table4[[#This Row],[Shortname]], Comp[], 27, FALSE)</f>
        <v>0</v>
      </c>
      <c r="AC63">
        <f>VLOOKUP(Table4[[#This Row],[Shortname]], Comp[], 28, FALSE)</f>
        <v>0</v>
      </c>
      <c r="AD63">
        <f>VLOOKUP(Table4[[#This Row],[Shortname]], Comp[], 29, FALSE)</f>
        <v>0</v>
      </c>
      <c r="AE63">
        <f>VLOOKUP(Table4[[#This Row],[Shortname]], Comp[], 30, FALSE)</f>
        <v>0</v>
      </c>
      <c r="AF63">
        <f>VLOOKUP(Table4[[#This Row],[Shortname]], Comp[], 31, FALSE)</f>
        <v>0</v>
      </c>
    </row>
    <row r="64" spans="1:32" x14ac:dyDescent="0.3">
      <c r="A64" t="s">
        <v>1334</v>
      </c>
      <c r="B64" t="s">
        <v>1336</v>
      </c>
      <c r="C64" s="3" t="s">
        <v>1337</v>
      </c>
      <c r="D64">
        <v>25</v>
      </c>
      <c r="E64">
        <v>800</v>
      </c>
      <c r="F64">
        <v>326</v>
      </c>
      <c r="G64">
        <f>VLOOKUP(Table4[[#This Row],[Shortname]], Comp[], 6, FALSE)</f>
        <v>169</v>
      </c>
      <c r="H64" s="14">
        <f>VLOOKUP(Table4[[#This Row],[Shortname]], Comp[], 7, FALSE)</f>
        <v>49.9</v>
      </c>
      <c r="I64">
        <f>VLOOKUP(Table4[[#This Row],[Shortname]], Comp[], 8, FALSE)</f>
        <v>15.9</v>
      </c>
      <c r="J64">
        <f>VLOOKUP(Table4[[#This Row],[Shortname]], Comp[], 9, FALSE)</f>
        <v>13.6</v>
      </c>
      <c r="K64">
        <f>VLOOKUP(Table4[[#This Row],[Shortname]], Comp[], 10, FALSE)</f>
        <v>0</v>
      </c>
      <c r="L64">
        <f>VLOOKUP(Table4[[#This Row],[Shortname]], Comp[], 11, FALSE)</f>
        <v>19</v>
      </c>
      <c r="M64">
        <f>VLOOKUP(Table4[[#This Row],[Shortname]], Comp[],12, FALSE)</f>
        <v>0</v>
      </c>
      <c r="N64">
        <f>VLOOKUP(Table4[[#This Row],[Shortname]], Comp[], 13, FALSE)</f>
        <v>0.7</v>
      </c>
      <c r="O64">
        <f>VLOOKUP(Table4[[#This Row],[Shortname]], Comp[], 14, FALSE)</f>
        <v>0</v>
      </c>
      <c r="P64">
        <f>VLOOKUP(Table4[[#This Row],[Shortname]], Comp[], 15, FALSE)</f>
        <v>0</v>
      </c>
      <c r="Q64">
        <f>VLOOKUP(Table4[[#This Row],[Shortname]], Comp[], 16, FALSE)</f>
        <v>0.6</v>
      </c>
      <c r="R64">
        <f>VLOOKUP(Table4[[#This Row],[Shortname]], Comp[], 17, FALSE)</f>
        <v>0</v>
      </c>
      <c r="S64">
        <f>VLOOKUP(Table4[[#This Row],[Shortname]], Comp[], 18, FALSE)</f>
        <v>0</v>
      </c>
      <c r="T64">
        <f>VLOOKUP(Table4[[#This Row],[Shortname]], Comp[], 19, FALSE)</f>
        <v>0</v>
      </c>
      <c r="U64">
        <f>VLOOKUP(Table4[[#This Row],[Shortname]], Comp[], 20, FALSE)</f>
        <v>0</v>
      </c>
      <c r="V64">
        <f>VLOOKUP(Table4[[#This Row],[Shortname]], Comp[], 21, FALSE)</f>
        <v>0.3</v>
      </c>
      <c r="W64">
        <f>VLOOKUP(Table4[[#This Row],[Shortname]], Comp[], 22, FALSE)</f>
        <v>0</v>
      </c>
      <c r="X64">
        <f>VLOOKUP(Table4[[#This Row],[Shortname]], Comp[], 23, FALSE)</f>
        <v>0</v>
      </c>
      <c r="Y64">
        <f>VLOOKUP(Table4[[#This Row],[Shortname]], Comp[], 24, FALSE)</f>
        <v>0</v>
      </c>
      <c r="Z64">
        <f>VLOOKUP(Table4[[#This Row],[Shortname]], Comp[], 25, FALSE)</f>
        <v>0</v>
      </c>
      <c r="AA64">
        <f>VLOOKUP(Table4[[#This Row],[Shortname]], Comp[], 26, FALSE)</f>
        <v>0</v>
      </c>
      <c r="AB64">
        <f>VLOOKUP(Table4[[#This Row],[Shortname]], Comp[], 27, FALSE)</f>
        <v>0</v>
      </c>
      <c r="AC64">
        <f>VLOOKUP(Table4[[#This Row],[Shortname]], Comp[], 28, FALSE)</f>
        <v>0</v>
      </c>
      <c r="AD64">
        <f>VLOOKUP(Table4[[#This Row],[Shortname]], Comp[], 29, FALSE)</f>
        <v>0</v>
      </c>
      <c r="AE64">
        <f>VLOOKUP(Table4[[#This Row],[Shortname]], Comp[], 30, FALSE)</f>
        <v>0</v>
      </c>
      <c r="AF64">
        <f>VLOOKUP(Table4[[#This Row],[Shortname]], Comp[], 31, FALSE)</f>
        <v>0</v>
      </c>
    </row>
    <row r="65" spans="1:32" x14ac:dyDescent="0.3">
      <c r="A65" t="s">
        <v>1334</v>
      </c>
      <c r="B65" t="s">
        <v>1336</v>
      </c>
      <c r="C65" s="3" t="s">
        <v>1337</v>
      </c>
      <c r="D65">
        <v>25</v>
      </c>
      <c r="E65">
        <v>700</v>
      </c>
      <c r="F65">
        <v>285</v>
      </c>
      <c r="G65">
        <f>VLOOKUP(Table4[[#This Row],[Shortname]], Comp[], 6, FALSE)</f>
        <v>169</v>
      </c>
      <c r="H65" s="14">
        <f>VLOOKUP(Table4[[#This Row],[Shortname]], Comp[], 7, FALSE)</f>
        <v>49.9</v>
      </c>
      <c r="I65">
        <f>VLOOKUP(Table4[[#This Row],[Shortname]], Comp[], 8, FALSE)</f>
        <v>15.9</v>
      </c>
      <c r="J65">
        <f>VLOOKUP(Table4[[#This Row],[Shortname]], Comp[], 9, FALSE)</f>
        <v>13.6</v>
      </c>
      <c r="K65">
        <f>VLOOKUP(Table4[[#This Row],[Shortname]], Comp[], 10, FALSE)</f>
        <v>0</v>
      </c>
      <c r="L65">
        <f>VLOOKUP(Table4[[#This Row],[Shortname]], Comp[], 11, FALSE)</f>
        <v>19</v>
      </c>
      <c r="M65">
        <f>VLOOKUP(Table4[[#This Row],[Shortname]], Comp[],12, FALSE)</f>
        <v>0</v>
      </c>
      <c r="N65">
        <f>VLOOKUP(Table4[[#This Row],[Shortname]], Comp[], 13, FALSE)</f>
        <v>0.7</v>
      </c>
      <c r="O65">
        <f>VLOOKUP(Table4[[#This Row],[Shortname]], Comp[], 14, FALSE)</f>
        <v>0</v>
      </c>
      <c r="P65">
        <f>VLOOKUP(Table4[[#This Row],[Shortname]], Comp[], 15, FALSE)</f>
        <v>0</v>
      </c>
      <c r="Q65">
        <f>VLOOKUP(Table4[[#This Row],[Shortname]], Comp[], 16, FALSE)</f>
        <v>0.6</v>
      </c>
      <c r="R65">
        <f>VLOOKUP(Table4[[#This Row],[Shortname]], Comp[], 17, FALSE)</f>
        <v>0</v>
      </c>
      <c r="S65">
        <f>VLOOKUP(Table4[[#This Row],[Shortname]], Comp[], 18, FALSE)</f>
        <v>0</v>
      </c>
      <c r="T65">
        <f>VLOOKUP(Table4[[#This Row],[Shortname]], Comp[], 19, FALSE)</f>
        <v>0</v>
      </c>
      <c r="U65">
        <f>VLOOKUP(Table4[[#This Row],[Shortname]], Comp[], 20, FALSE)</f>
        <v>0</v>
      </c>
      <c r="V65">
        <f>VLOOKUP(Table4[[#This Row],[Shortname]], Comp[], 21, FALSE)</f>
        <v>0.3</v>
      </c>
      <c r="W65">
        <f>VLOOKUP(Table4[[#This Row],[Shortname]], Comp[], 22, FALSE)</f>
        <v>0</v>
      </c>
      <c r="X65">
        <f>VLOOKUP(Table4[[#This Row],[Shortname]], Comp[], 23, FALSE)</f>
        <v>0</v>
      </c>
      <c r="Y65">
        <f>VLOOKUP(Table4[[#This Row],[Shortname]], Comp[], 24, FALSE)</f>
        <v>0</v>
      </c>
      <c r="Z65">
        <f>VLOOKUP(Table4[[#This Row],[Shortname]], Comp[], 25, FALSE)</f>
        <v>0</v>
      </c>
      <c r="AA65">
        <f>VLOOKUP(Table4[[#This Row],[Shortname]], Comp[], 26, FALSE)</f>
        <v>0</v>
      </c>
      <c r="AB65">
        <f>VLOOKUP(Table4[[#This Row],[Shortname]], Comp[], 27, FALSE)</f>
        <v>0</v>
      </c>
      <c r="AC65">
        <f>VLOOKUP(Table4[[#This Row],[Shortname]], Comp[], 28, FALSE)</f>
        <v>0</v>
      </c>
      <c r="AD65">
        <f>VLOOKUP(Table4[[#This Row],[Shortname]], Comp[], 29, FALSE)</f>
        <v>0</v>
      </c>
      <c r="AE65">
        <f>VLOOKUP(Table4[[#This Row],[Shortname]], Comp[], 30, FALSE)</f>
        <v>0</v>
      </c>
      <c r="AF65">
        <f>VLOOKUP(Table4[[#This Row],[Shortname]], Comp[], 31, FALSE)</f>
        <v>0</v>
      </c>
    </row>
    <row r="66" spans="1:32" x14ac:dyDescent="0.3">
      <c r="A66" t="s">
        <v>1510</v>
      </c>
      <c r="B66" t="s">
        <v>1512</v>
      </c>
      <c r="C66" s="6" t="s">
        <v>1513</v>
      </c>
      <c r="D66">
        <v>25</v>
      </c>
      <c r="E66">
        <v>900</v>
      </c>
      <c r="F66">
        <v>550</v>
      </c>
      <c r="G66">
        <f>VLOOKUP(Table4[[#This Row],[Shortname]], Comp[], 6, FALSE)</f>
        <v>193</v>
      </c>
      <c r="H66" s="14">
        <f>VLOOKUP(Table4[[#This Row],[Shortname]], Comp[], 7, FALSE)</f>
        <v>75.489999999999995</v>
      </c>
      <c r="I66">
        <f>VLOOKUP(Table4[[#This Row],[Shortname]], Comp[], 8, FALSE)</f>
        <v>0</v>
      </c>
      <c r="J66">
        <f>VLOOKUP(Table4[[#This Row],[Shortname]], Comp[], 9, FALSE)</f>
        <v>11.65</v>
      </c>
      <c r="K66">
        <f>VLOOKUP(Table4[[#This Row],[Shortname]], Comp[], 10, FALSE)</f>
        <v>0</v>
      </c>
      <c r="L66">
        <f>VLOOKUP(Table4[[#This Row],[Shortname]], Comp[], 11, FALSE)</f>
        <v>9.0299999999999994</v>
      </c>
      <c r="M66">
        <f>VLOOKUP(Table4[[#This Row],[Shortname]], Comp[],12, FALSE)</f>
        <v>2.14</v>
      </c>
      <c r="N66">
        <f>VLOOKUP(Table4[[#This Row],[Shortname]], Comp[], 13, FALSE)</f>
        <v>1.69</v>
      </c>
      <c r="O66">
        <f>VLOOKUP(Table4[[#This Row],[Shortname]], Comp[], 14, FALSE)</f>
        <v>0</v>
      </c>
      <c r="P66">
        <f>VLOOKUP(Table4[[#This Row],[Shortname]], Comp[], 15, FALSE)</f>
        <v>0</v>
      </c>
      <c r="Q66">
        <f>VLOOKUP(Table4[[#This Row],[Shortname]], Comp[], 16, FALSE)</f>
        <v>0</v>
      </c>
      <c r="R66">
        <f>VLOOKUP(Table4[[#This Row],[Shortname]], Comp[], 17, FALSE)</f>
        <v>0</v>
      </c>
      <c r="S66">
        <f>VLOOKUP(Table4[[#This Row],[Shortname]], Comp[], 18, FALSE)</f>
        <v>0</v>
      </c>
      <c r="T66">
        <f>VLOOKUP(Table4[[#This Row],[Shortname]], Comp[], 19, FALSE)</f>
        <v>0</v>
      </c>
      <c r="U66">
        <f>VLOOKUP(Table4[[#This Row],[Shortname]], Comp[], 20, FALSE)</f>
        <v>0</v>
      </c>
      <c r="V66">
        <f>VLOOKUP(Table4[[#This Row],[Shortname]], Comp[], 21, FALSE)</f>
        <v>0</v>
      </c>
      <c r="W66">
        <f>VLOOKUP(Table4[[#This Row],[Shortname]], Comp[], 22, FALSE)</f>
        <v>0</v>
      </c>
      <c r="X66">
        <f>VLOOKUP(Table4[[#This Row],[Shortname]], Comp[], 23, FALSE)</f>
        <v>0</v>
      </c>
      <c r="Y66">
        <f>VLOOKUP(Table4[[#This Row],[Shortname]], Comp[], 24, FALSE)</f>
        <v>0</v>
      </c>
      <c r="Z66">
        <f>VLOOKUP(Table4[[#This Row],[Shortname]], Comp[], 25, FALSE)</f>
        <v>0</v>
      </c>
      <c r="AA66">
        <f>VLOOKUP(Table4[[#This Row],[Shortname]], Comp[], 26, FALSE)</f>
        <v>0</v>
      </c>
      <c r="AB66">
        <f>VLOOKUP(Table4[[#This Row],[Shortname]], Comp[], 27, FALSE)</f>
        <v>0</v>
      </c>
      <c r="AC66">
        <f>VLOOKUP(Table4[[#This Row],[Shortname]], Comp[], 28, FALSE)</f>
        <v>0</v>
      </c>
      <c r="AD66">
        <f>VLOOKUP(Table4[[#This Row],[Shortname]], Comp[], 29, FALSE)</f>
        <v>0</v>
      </c>
      <c r="AE66">
        <f>VLOOKUP(Table4[[#This Row],[Shortname]], Comp[], 30, FALSE)</f>
        <v>0</v>
      </c>
      <c r="AF66">
        <f>VLOOKUP(Table4[[#This Row],[Shortname]], Comp[], 31, FALSE)</f>
        <v>0</v>
      </c>
    </row>
    <row r="67" spans="1:32" x14ac:dyDescent="0.3">
      <c r="A67" t="s">
        <v>1519</v>
      </c>
      <c r="B67" t="s">
        <v>1521</v>
      </c>
      <c r="C67" s="6" t="s">
        <v>1513</v>
      </c>
      <c r="D67">
        <v>25</v>
      </c>
      <c r="E67">
        <v>900</v>
      </c>
      <c r="F67">
        <v>520</v>
      </c>
      <c r="G67">
        <f>VLOOKUP(Table4[[#This Row],[Shortname]], Comp[], 6, FALSE)</f>
        <v>194</v>
      </c>
      <c r="H67" s="14">
        <f>VLOOKUP(Table4[[#This Row],[Shortname]], Comp[], 7, FALSE)</f>
        <v>78.63</v>
      </c>
      <c r="I67">
        <f>VLOOKUP(Table4[[#This Row],[Shortname]], Comp[], 8, FALSE)</f>
        <v>0</v>
      </c>
      <c r="J67">
        <f>VLOOKUP(Table4[[#This Row],[Shortname]], Comp[], 9, FALSE)</f>
        <v>13.66</v>
      </c>
      <c r="K67">
        <f>VLOOKUP(Table4[[#This Row],[Shortname]], Comp[], 10, FALSE)</f>
        <v>0</v>
      </c>
      <c r="L67">
        <f>VLOOKUP(Table4[[#This Row],[Shortname]], Comp[], 11, FALSE)</f>
        <v>7.71</v>
      </c>
      <c r="M67">
        <f>VLOOKUP(Table4[[#This Row],[Shortname]], Comp[],12, FALSE)</f>
        <v>0</v>
      </c>
      <c r="N67">
        <f>VLOOKUP(Table4[[#This Row],[Shortname]], Comp[], 13, FALSE)</f>
        <v>0</v>
      </c>
      <c r="O67">
        <f>VLOOKUP(Table4[[#This Row],[Shortname]], Comp[], 14, FALSE)</f>
        <v>0</v>
      </c>
      <c r="P67">
        <f>VLOOKUP(Table4[[#This Row],[Shortname]], Comp[], 15, FALSE)</f>
        <v>0</v>
      </c>
      <c r="Q67">
        <f>VLOOKUP(Table4[[#This Row],[Shortname]], Comp[], 16, FALSE)</f>
        <v>0</v>
      </c>
      <c r="R67">
        <f>VLOOKUP(Table4[[#This Row],[Shortname]], Comp[], 17, FALSE)</f>
        <v>0</v>
      </c>
      <c r="S67">
        <f>VLOOKUP(Table4[[#This Row],[Shortname]], Comp[], 18, FALSE)</f>
        <v>0</v>
      </c>
      <c r="T67">
        <f>VLOOKUP(Table4[[#This Row],[Shortname]], Comp[], 19, FALSE)</f>
        <v>0</v>
      </c>
      <c r="U67">
        <f>VLOOKUP(Table4[[#This Row],[Shortname]], Comp[], 20, FALSE)</f>
        <v>0</v>
      </c>
      <c r="V67">
        <f>VLOOKUP(Table4[[#This Row],[Shortname]], Comp[], 21, FALSE)</f>
        <v>0</v>
      </c>
      <c r="W67">
        <f>VLOOKUP(Table4[[#This Row],[Shortname]], Comp[], 22, FALSE)</f>
        <v>0</v>
      </c>
      <c r="X67">
        <f>VLOOKUP(Table4[[#This Row],[Shortname]], Comp[], 23, FALSE)</f>
        <v>0</v>
      </c>
      <c r="Y67">
        <f>VLOOKUP(Table4[[#This Row],[Shortname]], Comp[], 24, FALSE)</f>
        <v>0</v>
      </c>
      <c r="Z67">
        <f>VLOOKUP(Table4[[#This Row],[Shortname]], Comp[], 25, FALSE)</f>
        <v>0</v>
      </c>
      <c r="AA67">
        <f>VLOOKUP(Table4[[#This Row],[Shortname]], Comp[], 26, FALSE)</f>
        <v>0</v>
      </c>
      <c r="AB67">
        <f>VLOOKUP(Table4[[#This Row],[Shortname]], Comp[], 27, FALSE)</f>
        <v>0</v>
      </c>
      <c r="AC67">
        <f>VLOOKUP(Table4[[#This Row],[Shortname]], Comp[], 28, FALSE)</f>
        <v>0</v>
      </c>
      <c r="AD67">
        <f>VLOOKUP(Table4[[#This Row],[Shortname]], Comp[], 29, FALSE)</f>
        <v>0</v>
      </c>
      <c r="AE67">
        <f>VLOOKUP(Table4[[#This Row],[Shortname]], Comp[], 30, FALSE)</f>
        <v>0</v>
      </c>
      <c r="AF67">
        <f>VLOOKUP(Table4[[#This Row],[Shortname]], Comp[], 31, FALSE)</f>
        <v>0</v>
      </c>
    </row>
    <row r="68" spans="1:32" x14ac:dyDescent="0.3">
      <c r="A68" t="s">
        <v>1526</v>
      </c>
      <c r="B68" t="s">
        <v>1528</v>
      </c>
      <c r="C68" s="17" t="s">
        <v>1529</v>
      </c>
      <c r="D68">
        <v>25</v>
      </c>
      <c r="E68">
        <v>750</v>
      </c>
      <c r="F68">
        <v>492</v>
      </c>
      <c r="G68">
        <f>VLOOKUP(Table4[[#This Row],[Shortname]], Comp[], 6, FALSE)</f>
        <v>195</v>
      </c>
      <c r="H68" s="14">
        <f>VLOOKUP(Table4[[#This Row],[Shortname]], Comp[], 7, FALSE)</f>
        <v>42.330000000000005</v>
      </c>
      <c r="I68">
        <f>VLOOKUP(Table4[[#This Row],[Shortname]], Comp[], 8, FALSE)</f>
        <v>32</v>
      </c>
      <c r="J68">
        <f>VLOOKUP(Table4[[#This Row],[Shortname]], Comp[], 9, FALSE)</f>
        <v>6</v>
      </c>
      <c r="K68">
        <f>VLOOKUP(Table4[[#This Row],[Shortname]], Comp[], 10, FALSE)</f>
        <v>12</v>
      </c>
      <c r="L68">
        <f>VLOOKUP(Table4[[#This Row],[Shortname]], Comp[], 11, FALSE)</f>
        <v>3</v>
      </c>
      <c r="M68">
        <f>VLOOKUP(Table4[[#This Row],[Shortname]], Comp[],12, FALSE)</f>
        <v>2.5</v>
      </c>
      <c r="N68">
        <f>VLOOKUP(Table4[[#This Row],[Shortname]], Comp[], 13, FALSE)</f>
        <v>1.5</v>
      </c>
      <c r="O68">
        <f>VLOOKUP(Table4[[#This Row],[Shortname]], Comp[], 14, FALSE)</f>
        <v>0</v>
      </c>
      <c r="P68">
        <f>VLOOKUP(Table4[[#This Row],[Shortname]], Comp[], 15, FALSE)</f>
        <v>0</v>
      </c>
      <c r="Q68">
        <f>VLOOKUP(Table4[[#This Row],[Shortname]], Comp[], 16, FALSE)</f>
        <v>0</v>
      </c>
      <c r="R68">
        <f>VLOOKUP(Table4[[#This Row],[Shortname]], Comp[], 17, FALSE)</f>
        <v>0.08</v>
      </c>
      <c r="S68">
        <f>VLOOKUP(Table4[[#This Row],[Shortname]], Comp[], 18, FALSE)</f>
        <v>0.01</v>
      </c>
      <c r="T68">
        <f>VLOOKUP(Table4[[#This Row],[Shortname]], Comp[], 19, FALSE)</f>
        <v>0.08</v>
      </c>
      <c r="U68">
        <f>VLOOKUP(Table4[[#This Row],[Shortname]], Comp[], 20, FALSE)</f>
        <v>0</v>
      </c>
      <c r="V68">
        <f>VLOOKUP(Table4[[#This Row],[Shortname]], Comp[], 21, FALSE)</f>
        <v>0</v>
      </c>
      <c r="W68">
        <f>VLOOKUP(Table4[[#This Row],[Shortname]], Comp[], 22, FALSE)</f>
        <v>0.4</v>
      </c>
      <c r="X68">
        <f>VLOOKUP(Table4[[#This Row],[Shortname]], Comp[], 23, FALSE)</f>
        <v>0</v>
      </c>
      <c r="Y68">
        <f>VLOOKUP(Table4[[#This Row],[Shortname]], Comp[], 24, FALSE)</f>
        <v>0</v>
      </c>
      <c r="Z68">
        <f>VLOOKUP(Table4[[#This Row],[Shortname]], Comp[], 25, FALSE)</f>
        <v>0.1</v>
      </c>
      <c r="AA68">
        <f>VLOOKUP(Table4[[#This Row],[Shortname]], Comp[], 26, FALSE)</f>
        <v>0</v>
      </c>
      <c r="AB68">
        <f>VLOOKUP(Table4[[#This Row],[Shortname]], Comp[], 27, FALSE)</f>
        <v>0</v>
      </c>
      <c r="AC68">
        <f>VLOOKUP(Table4[[#This Row],[Shortname]], Comp[], 28, FALSE)</f>
        <v>0</v>
      </c>
      <c r="AD68">
        <f>VLOOKUP(Table4[[#This Row],[Shortname]], Comp[], 29, FALSE)</f>
        <v>0</v>
      </c>
      <c r="AE68">
        <f>VLOOKUP(Table4[[#This Row],[Shortname]], Comp[], 30, FALSE)</f>
        <v>0</v>
      </c>
      <c r="AF68">
        <f>VLOOKUP(Table4[[#This Row],[Shortname]], Comp[], 31, FALSE)</f>
        <v>0</v>
      </c>
    </row>
    <row r="69" spans="1:32" x14ac:dyDescent="0.3">
      <c r="A69" t="s">
        <v>1526</v>
      </c>
      <c r="B69" t="s">
        <v>1528</v>
      </c>
      <c r="C69" s="17" t="s">
        <v>1529</v>
      </c>
      <c r="D69">
        <v>25</v>
      </c>
      <c r="E69">
        <v>750</v>
      </c>
      <c r="F69">
        <v>486</v>
      </c>
      <c r="G69">
        <f>VLOOKUP(Table4[[#This Row],[Shortname]], Comp[], 6, FALSE)</f>
        <v>195</v>
      </c>
      <c r="H69" s="14">
        <f>VLOOKUP(Table4[[#This Row],[Shortname]], Comp[], 7, FALSE)</f>
        <v>42.330000000000005</v>
      </c>
      <c r="I69">
        <f>VLOOKUP(Table4[[#This Row],[Shortname]], Comp[], 8, FALSE)</f>
        <v>32</v>
      </c>
      <c r="J69">
        <f>VLOOKUP(Table4[[#This Row],[Shortname]], Comp[], 9, FALSE)</f>
        <v>6</v>
      </c>
      <c r="K69">
        <f>VLOOKUP(Table4[[#This Row],[Shortname]], Comp[], 10, FALSE)</f>
        <v>12</v>
      </c>
      <c r="L69">
        <f>VLOOKUP(Table4[[#This Row],[Shortname]], Comp[], 11, FALSE)</f>
        <v>3</v>
      </c>
      <c r="M69">
        <f>VLOOKUP(Table4[[#This Row],[Shortname]], Comp[],12, FALSE)</f>
        <v>2.5</v>
      </c>
      <c r="N69">
        <f>VLOOKUP(Table4[[#This Row],[Shortname]], Comp[], 13, FALSE)</f>
        <v>1.5</v>
      </c>
      <c r="O69">
        <f>VLOOKUP(Table4[[#This Row],[Shortname]], Comp[], 14, FALSE)</f>
        <v>0</v>
      </c>
      <c r="P69">
        <f>VLOOKUP(Table4[[#This Row],[Shortname]], Comp[], 15, FALSE)</f>
        <v>0</v>
      </c>
      <c r="Q69">
        <f>VLOOKUP(Table4[[#This Row],[Shortname]], Comp[], 16, FALSE)</f>
        <v>0</v>
      </c>
      <c r="R69">
        <f>VLOOKUP(Table4[[#This Row],[Shortname]], Comp[], 17, FALSE)</f>
        <v>0.08</v>
      </c>
      <c r="S69">
        <f>VLOOKUP(Table4[[#This Row],[Shortname]], Comp[], 18, FALSE)</f>
        <v>0.01</v>
      </c>
      <c r="T69">
        <f>VLOOKUP(Table4[[#This Row],[Shortname]], Comp[], 19, FALSE)</f>
        <v>0.08</v>
      </c>
      <c r="U69">
        <f>VLOOKUP(Table4[[#This Row],[Shortname]], Comp[], 20, FALSE)</f>
        <v>0</v>
      </c>
      <c r="V69">
        <f>VLOOKUP(Table4[[#This Row],[Shortname]], Comp[], 21, FALSE)</f>
        <v>0</v>
      </c>
      <c r="W69">
        <f>VLOOKUP(Table4[[#This Row],[Shortname]], Comp[], 22, FALSE)</f>
        <v>0.4</v>
      </c>
      <c r="X69">
        <f>VLOOKUP(Table4[[#This Row],[Shortname]], Comp[], 23, FALSE)</f>
        <v>0</v>
      </c>
      <c r="Y69">
        <f>VLOOKUP(Table4[[#This Row],[Shortname]], Comp[], 24, FALSE)</f>
        <v>0</v>
      </c>
      <c r="Z69">
        <f>VLOOKUP(Table4[[#This Row],[Shortname]], Comp[], 25, FALSE)</f>
        <v>0.1</v>
      </c>
      <c r="AA69">
        <f>VLOOKUP(Table4[[#This Row],[Shortname]], Comp[], 26, FALSE)</f>
        <v>0</v>
      </c>
      <c r="AB69">
        <f>VLOOKUP(Table4[[#This Row],[Shortname]], Comp[], 27, FALSE)</f>
        <v>0</v>
      </c>
      <c r="AC69">
        <f>VLOOKUP(Table4[[#This Row],[Shortname]], Comp[], 28, FALSE)</f>
        <v>0</v>
      </c>
      <c r="AD69">
        <f>VLOOKUP(Table4[[#This Row],[Shortname]], Comp[], 29, FALSE)</f>
        <v>0</v>
      </c>
      <c r="AE69">
        <f>VLOOKUP(Table4[[#This Row],[Shortname]], Comp[], 30, FALSE)</f>
        <v>0</v>
      </c>
      <c r="AF69">
        <f>VLOOKUP(Table4[[#This Row],[Shortname]], Comp[], 31, FALSE)</f>
        <v>0</v>
      </c>
    </row>
    <row r="70" spans="1:32" x14ac:dyDescent="0.3">
      <c r="A70" t="s">
        <v>1538</v>
      </c>
      <c r="B70" t="s">
        <v>1540</v>
      </c>
      <c r="C70" s="17" t="s">
        <v>1529</v>
      </c>
      <c r="D70">
        <v>25</v>
      </c>
      <c r="E70">
        <v>750</v>
      </c>
      <c r="F70">
        <v>423</v>
      </c>
      <c r="G70">
        <f>VLOOKUP(Table4[[#This Row],[Shortname]], Comp[], 6, FALSE)</f>
        <v>196</v>
      </c>
      <c r="H70" s="14">
        <f>VLOOKUP(Table4[[#This Row],[Shortname]], Comp[], 7, FALSE)</f>
        <v>41.03</v>
      </c>
      <c r="I70">
        <f>VLOOKUP(Table4[[#This Row],[Shortname]], Comp[], 8, FALSE)</f>
        <v>31.8</v>
      </c>
      <c r="J70">
        <f>VLOOKUP(Table4[[#This Row],[Shortname]], Comp[], 9, FALSE)</f>
        <v>8.6999999999999993</v>
      </c>
      <c r="K70">
        <f>VLOOKUP(Table4[[#This Row],[Shortname]], Comp[], 10, FALSE)</f>
        <v>12.6</v>
      </c>
      <c r="L70">
        <f>VLOOKUP(Table4[[#This Row],[Shortname]], Comp[], 11, FALSE)</f>
        <v>4.7</v>
      </c>
      <c r="M70">
        <f>VLOOKUP(Table4[[#This Row],[Shortname]], Comp[],12, FALSE)</f>
        <v>0.3</v>
      </c>
      <c r="N70">
        <f>VLOOKUP(Table4[[#This Row],[Shortname]], Comp[], 13, FALSE)</f>
        <v>0.2</v>
      </c>
      <c r="O70">
        <f>VLOOKUP(Table4[[#This Row],[Shortname]], Comp[], 14, FALSE)</f>
        <v>0</v>
      </c>
      <c r="P70">
        <f>VLOOKUP(Table4[[#This Row],[Shortname]], Comp[], 15, FALSE)</f>
        <v>0</v>
      </c>
      <c r="Q70">
        <f>VLOOKUP(Table4[[#This Row],[Shortname]], Comp[], 16, FALSE)</f>
        <v>0</v>
      </c>
      <c r="R70">
        <f>VLOOKUP(Table4[[#This Row],[Shortname]], Comp[], 17, FALSE)</f>
        <v>0.08</v>
      </c>
      <c r="S70">
        <f>VLOOKUP(Table4[[#This Row],[Shortname]], Comp[], 18, FALSE)</f>
        <v>0.01</v>
      </c>
      <c r="T70">
        <f>VLOOKUP(Table4[[#This Row],[Shortname]], Comp[], 19, FALSE)</f>
        <v>0.08</v>
      </c>
      <c r="U70">
        <f>VLOOKUP(Table4[[#This Row],[Shortname]], Comp[], 20, FALSE)</f>
        <v>0</v>
      </c>
      <c r="V70">
        <f>VLOOKUP(Table4[[#This Row],[Shortname]], Comp[], 21, FALSE)</f>
        <v>0</v>
      </c>
      <c r="W70">
        <f>VLOOKUP(Table4[[#This Row],[Shortname]], Comp[], 22, FALSE)</f>
        <v>0.4</v>
      </c>
      <c r="X70">
        <f>VLOOKUP(Table4[[#This Row],[Shortname]], Comp[], 23, FALSE)</f>
        <v>0</v>
      </c>
      <c r="Y70">
        <f>VLOOKUP(Table4[[#This Row],[Shortname]], Comp[], 24, FALSE)</f>
        <v>0</v>
      </c>
      <c r="Z70">
        <f>VLOOKUP(Table4[[#This Row],[Shortname]], Comp[], 25, FALSE)</f>
        <v>0.1</v>
      </c>
      <c r="AA70">
        <f>VLOOKUP(Table4[[#This Row],[Shortname]], Comp[], 26, FALSE)</f>
        <v>0</v>
      </c>
      <c r="AB70">
        <f>VLOOKUP(Table4[[#This Row],[Shortname]], Comp[], 27, FALSE)</f>
        <v>0</v>
      </c>
      <c r="AC70">
        <f>VLOOKUP(Table4[[#This Row],[Shortname]], Comp[], 28, FALSE)</f>
        <v>0</v>
      </c>
      <c r="AD70">
        <f>VLOOKUP(Table4[[#This Row],[Shortname]], Comp[], 29, FALSE)</f>
        <v>0</v>
      </c>
      <c r="AE70">
        <f>VLOOKUP(Table4[[#This Row],[Shortname]], Comp[], 30, FALSE)</f>
        <v>0</v>
      </c>
      <c r="AF70">
        <f>VLOOKUP(Table4[[#This Row],[Shortname]], Comp[], 31, FALSE)</f>
        <v>0</v>
      </c>
    </row>
    <row r="71" spans="1:32" x14ac:dyDescent="0.3">
      <c r="A71" t="s">
        <v>1538</v>
      </c>
      <c r="B71" t="s">
        <v>1540</v>
      </c>
      <c r="C71" s="17" t="s">
        <v>1529</v>
      </c>
      <c r="D71">
        <v>25</v>
      </c>
      <c r="E71">
        <v>750</v>
      </c>
      <c r="F71">
        <v>418</v>
      </c>
      <c r="G71">
        <f>VLOOKUP(Table4[[#This Row],[Shortname]], Comp[], 6, FALSE)</f>
        <v>196</v>
      </c>
      <c r="H71" s="14">
        <f>VLOOKUP(Table4[[#This Row],[Shortname]], Comp[], 7, FALSE)</f>
        <v>41.03</v>
      </c>
      <c r="I71">
        <f>VLOOKUP(Table4[[#This Row],[Shortname]], Comp[], 8, FALSE)</f>
        <v>31.8</v>
      </c>
      <c r="J71">
        <f>VLOOKUP(Table4[[#This Row],[Shortname]], Comp[], 9, FALSE)</f>
        <v>8.6999999999999993</v>
      </c>
      <c r="K71">
        <f>VLOOKUP(Table4[[#This Row],[Shortname]], Comp[], 10, FALSE)</f>
        <v>12.6</v>
      </c>
      <c r="L71">
        <f>VLOOKUP(Table4[[#This Row],[Shortname]], Comp[], 11, FALSE)</f>
        <v>4.7</v>
      </c>
      <c r="M71">
        <f>VLOOKUP(Table4[[#This Row],[Shortname]], Comp[],12, FALSE)</f>
        <v>0.3</v>
      </c>
      <c r="N71">
        <f>VLOOKUP(Table4[[#This Row],[Shortname]], Comp[], 13, FALSE)</f>
        <v>0.2</v>
      </c>
      <c r="O71">
        <f>VLOOKUP(Table4[[#This Row],[Shortname]], Comp[], 14, FALSE)</f>
        <v>0</v>
      </c>
      <c r="P71">
        <f>VLOOKUP(Table4[[#This Row],[Shortname]], Comp[], 15, FALSE)</f>
        <v>0</v>
      </c>
      <c r="Q71">
        <f>VLOOKUP(Table4[[#This Row],[Shortname]], Comp[], 16, FALSE)</f>
        <v>0</v>
      </c>
      <c r="R71">
        <f>VLOOKUP(Table4[[#This Row],[Shortname]], Comp[], 17, FALSE)</f>
        <v>0.08</v>
      </c>
      <c r="S71">
        <f>VLOOKUP(Table4[[#This Row],[Shortname]], Comp[], 18, FALSE)</f>
        <v>0.01</v>
      </c>
      <c r="T71">
        <f>VLOOKUP(Table4[[#This Row],[Shortname]], Comp[], 19, FALSE)</f>
        <v>0.08</v>
      </c>
      <c r="U71">
        <f>VLOOKUP(Table4[[#This Row],[Shortname]], Comp[], 20, FALSE)</f>
        <v>0</v>
      </c>
      <c r="V71">
        <f>VLOOKUP(Table4[[#This Row],[Shortname]], Comp[], 21, FALSE)</f>
        <v>0</v>
      </c>
      <c r="W71">
        <f>VLOOKUP(Table4[[#This Row],[Shortname]], Comp[], 22, FALSE)</f>
        <v>0.4</v>
      </c>
      <c r="X71">
        <f>VLOOKUP(Table4[[#This Row],[Shortname]], Comp[], 23, FALSE)</f>
        <v>0</v>
      </c>
      <c r="Y71">
        <f>VLOOKUP(Table4[[#This Row],[Shortname]], Comp[], 24, FALSE)</f>
        <v>0</v>
      </c>
      <c r="Z71">
        <f>VLOOKUP(Table4[[#This Row],[Shortname]], Comp[], 25, FALSE)</f>
        <v>0.1</v>
      </c>
      <c r="AA71">
        <f>VLOOKUP(Table4[[#This Row],[Shortname]], Comp[], 26, FALSE)</f>
        <v>0</v>
      </c>
      <c r="AB71">
        <f>VLOOKUP(Table4[[#This Row],[Shortname]], Comp[], 27, FALSE)</f>
        <v>0</v>
      </c>
      <c r="AC71">
        <f>VLOOKUP(Table4[[#This Row],[Shortname]], Comp[], 28, FALSE)</f>
        <v>0</v>
      </c>
      <c r="AD71">
        <f>VLOOKUP(Table4[[#This Row],[Shortname]], Comp[], 29, FALSE)</f>
        <v>0</v>
      </c>
      <c r="AE71">
        <f>VLOOKUP(Table4[[#This Row],[Shortname]], Comp[], 30, FALSE)</f>
        <v>0</v>
      </c>
      <c r="AF71">
        <f>VLOOKUP(Table4[[#This Row],[Shortname]], Comp[], 31, FALSE)</f>
        <v>0</v>
      </c>
    </row>
    <row r="72" spans="1:32" x14ac:dyDescent="0.3">
      <c r="A72" t="s">
        <v>1550</v>
      </c>
      <c r="B72" t="s">
        <v>1552</v>
      </c>
      <c r="C72" s="5" t="s">
        <v>1553</v>
      </c>
      <c r="D72">
        <v>25</v>
      </c>
      <c r="E72">
        <v>1000</v>
      </c>
      <c r="F72">
        <v>355</v>
      </c>
      <c r="G72">
        <f>VLOOKUP(Table4[[#This Row],[Shortname]], Comp[], 6, FALSE)</f>
        <v>197</v>
      </c>
      <c r="H72" s="14">
        <f>VLOOKUP(Table4[[#This Row],[Shortname]], Comp[], 7, FALSE)</f>
        <v>40.830000000000005</v>
      </c>
      <c r="I72">
        <f>VLOOKUP(Table4[[#This Row],[Shortname]], Comp[], 8, FALSE)</f>
        <v>32</v>
      </c>
      <c r="J72">
        <f>VLOOKUP(Table4[[#This Row],[Shortname]], Comp[], 9, FALSE)</f>
        <v>11</v>
      </c>
      <c r="K72">
        <f>VLOOKUP(Table4[[#This Row],[Shortname]], Comp[], 10, FALSE)</f>
        <v>12</v>
      </c>
      <c r="L72">
        <f>VLOOKUP(Table4[[#This Row],[Shortname]], Comp[], 11, FALSE)</f>
        <v>3</v>
      </c>
      <c r="M72">
        <f>VLOOKUP(Table4[[#This Row],[Shortname]], Comp[],12, FALSE)</f>
        <v>0.3</v>
      </c>
      <c r="N72">
        <f>VLOOKUP(Table4[[#This Row],[Shortname]], Comp[], 13, FALSE)</f>
        <v>0.2</v>
      </c>
      <c r="O72">
        <f>VLOOKUP(Table4[[#This Row],[Shortname]], Comp[], 14, FALSE)</f>
        <v>0</v>
      </c>
      <c r="P72">
        <f>VLOOKUP(Table4[[#This Row],[Shortname]], Comp[], 15, FALSE)</f>
        <v>0</v>
      </c>
      <c r="Q72">
        <f>VLOOKUP(Table4[[#This Row],[Shortname]], Comp[], 16, FALSE)</f>
        <v>0</v>
      </c>
      <c r="R72">
        <f>VLOOKUP(Table4[[#This Row],[Shortname]], Comp[], 17, FALSE)</f>
        <v>0.08</v>
      </c>
      <c r="S72">
        <f>VLOOKUP(Table4[[#This Row],[Shortname]], Comp[], 18, FALSE)</f>
        <v>0.01</v>
      </c>
      <c r="T72">
        <f>VLOOKUP(Table4[[#This Row],[Shortname]], Comp[], 19, FALSE)</f>
        <v>0.08</v>
      </c>
      <c r="U72">
        <f>VLOOKUP(Table4[[#This Row],[Shortname]], Comp[], 20, FALSE)</f>
        <v>0</v>
      </c>
      <c r="V72">
        <f>VLOOKUP(Table4[[#This Row],[Shortname]], Comp[], 21, FALSE)</f>
        <v>0</v>
      </c>
      <c r="W72">
        <f>VLOOKUP(Table4[[#This Row],[Shortname]], Comp[], 22, FALSE)</f>
        <v>0.4</v>
      </c>
      <c r="X72">
        <f>VLOOKUP(Table4[[#This Row],[Shortname]], Comp[], 23, FALSE)</f>
        <v>0</v>
      </c>
      <c r="Y72">
        <f>VLOOKUP(Table4[[#This Row],[Shortname]], Comp[], 24, FALSE)</f>
        <v>0</v>
      </c>
      <c r="Z72">
        <f>VLOOKUP(Table4[[#This Row],[Shortname]], Comp[], 25, FALSE)</f>
        <v>0.1</v>
      </c>
      <c r="AA72">
        <f>VLOOKUP(Table4[[#This Row],[Shortname]], Comp[], 26, FALSE)</f>
        <v>0</v>
      </c>
      <c r="AB72">
        <f>VLOOKUP(Table4[[#This Row],[Shortname]], Comp[], 27, FALSE)</f>
        <v>0</v>
      </c>
      <c r="AC72">
        <f>VLOOKUP(Table4[[#This Row],[Shortname]], Comp[], 28, FALSE)</f>
        <v>0</v>
      </c>
      <c r="AD72">
        <f>VLOOKUP(Table4[[#This Row],[Shortname]], Comp[], 29, FALSE)</f>
        <v>0</v>
      </c>
      <c r="AE72">
        <f>VLOOKUP(Table4[[#This Row],[Shortname]], Comp[], 30, FALSE)</f>
        <v>0</v>
      </c>
      <c r="AF72">
        <f>VLOOKUP(Table4[[#This Row],[Shortname]], Comp[], 31, FALSE)</f>
        <v>0</v>
      </c>
    </row>
    <row r="73" spans="1:32" x14ac:dyDescent="0.3">
      <c r="A73" t="s">
        <v>1550</v>
      </c>
      <c r="B73" t="s">
        <v>1552</v>
      </c>
      <c r="C73" s="5" t="s">
        <v>1553</v>
      </c>
      <c r="D73">
        <v>25</v>
      </c>
      <c r="E73">
        <v>1050</v>
      </c>
      <c r="F73">
        <v>330</v>
      </c>
      <c r="G73">
        <f>VLOOKUP(Table4[[#This Row],[Shortname]], Comp[], 6, FALSE)</f>
        <v>197</v>
      </c>
      <c r="H73" s="14">
        <f>VLOOKUP(Table4[[#This Row],[Shortname]], Comp[], 7, FALSE)</f>
        <v>40.830000000000005</v>
      </c>
      <c r="I73">
        <f>VLOOKUP(Table4[[#This Row],[Shortname]], Comp[], 8, FALSE)</f>
        <v>32</v>
      </c>
      <c r="J73">
        <f>VLOOKUP(Table4[[#This Row],[Shortname]], Comp[], 9, FALSE)</f>
        <v>11</v>
      </c>
      <c r="K73">
        <f>VLOOKUP(Table4[[#This Row],[Shortname]], Comp[], 10, FALSE)</f>
        <v>12</v>
      </c>
      <c r="L73">
        <f>VLOOKUP(Table4[[#This Row],[Shortname]], Comp[], 11, FALSE)</f>
        <v>3</v>
      </c>
      <c r="M73">
        <f>VLOOKUP(Table4[[#This Row],[Shortname]], Comp[],12, FALSE)</f>
        <v>0.3</v>
      </c>
      <c r="N73">
        <f>VLOOKUP(Table4[[#This Row],[Shortname]], Comp[], 13, FALSE)</f>
        <v>0.2</v>
      </c>
      <c r="O73">
        <f>VLOOKUP(Table4[[#This Row],[Shortname]], Comp[], 14, FALSE)</f>
        <v>0</v>
      </c>
      <c r="P73">
        <f>VLOOKUP(Table4[[#This Row],[Shortname]], Comp[], 15, FALSE)</f>
        <v>0</v>
      </c>
      <c r="Q73">
        <f>VLOOKUP(Table4[[#This Row],[Shortname]], Comp[], 16, FALSE)</f>
        <v>0</v>
      </c>
      <c r="R73">
        <f>VLOOKUP(Table4[[#This Row],[Shortname]], Comp[], 17, FALSE)</f>
        <v>0.08</v>
      </c>
      <c r="S73">
        <f>VLOOKUP(Table4[[#This Row],[Shortname]], Comp[], 18, FALSE)</f>
        <v>0.01</v>
      </c>
      <c r="T73">
        <f>VLOOKUP(Table4[[#This Row],[Shortname]], Comp[], 19, FALSE)</f>
        <v>0.08</v>
      </c>
      <c r="U73">
        <f>VLOOKUP(Table4[[#This Row],[Shortname]], Comp[], 20, FALSE)</f>
        <v>0</v>
      </c>
      <c r="V73">
        <f>VLOOKUP(Table4[[#This Row],[Shortname]], Comp[], 21, FALSE)</f>
        <v>0</v>
      </c>
      <c r="W73">
        <f>VLOOKUP(Table4[[#This Row],[Shortname]], Comp[], 22, FALSE)</f>
        <v>0.4</v>
      </c>
      <c r="X73">
        <f>VLOOKUP(Table4[[#This Row],[Shortname]], Comp[], 23, FALSE)</f>
        <v>0</v>
      </c>
      <c r="Y73">
        <f>VLOOKUP(Table4[[#This Row],[Shortname]], Comp[], 24, FALSE)</f>
        <v>0</v>
      </c>
      <c r="Z73">
        <f>VLOOKUP(Table4[[#This Row],[Shortname]], Comp[], 25, FALSE)</f>
        <v>0.1</v>
      </c>
      <c r="AA73">
        <f>VLOOKUP(Table4[[#This Row],[Shortname]], Comp[], 26, FALSE)</f>
        <v>0</v>
      </c>
      <c r="AB73">
        <f>VLOOKUP(Table4[[#This Row],[Shortname]], Comp[], 27, FALSE)</f>
        <v>0</v>
      </c>
      <c r="AC73">
        <f>VLOOKUP(Table4[[#This Row],[Shortname]], Comp[], 28, FALSE)</f>
        <v>0</v>
      </c>
      <c r="AD73">
        <f>VLOOKUP(Table4[[#This Row],[Shortname]], Comp[], 29, FALSE)</f>
        <v>0</v>
      </c>
      <c r="AE73">
        <f>VLOOKUP(Table4[[#This Row],[Shortname]], Comp[], 30, FALSE)</f>
        <v>0</v>
      </c>
      <c r="AF73">
        <f>VLOOKUP(Table4[[#This Row],[Shortname]], Comp[], 31, FALSE)</f>
        <v>0</v>
      </c>
    </row>
    <row r="74" spans="1:32" x14ac:dyDescent="0.3">
      <c r="A74" t="s">
        <v>1550</v>
      </c>
      <c r="B74" t="s">
        <v>1552</v>
      </c>
      <c r="C74" s="5" t="s">
        <v>1553</v>
      </c>
      <c r="D74">
        <v>25</v>
      </c>
      <c r="E74">
        <v>1100</v>
      </c>
      <c r="F74">
        <v>268</v>
      </c>
      <c r="G74">
        <f>VLOOKUP(Table4[[#This Row],[Shortname]], Comp[], 6, FALSE)</f>
        <v>197</v>
      </c>
      <c r="H74" s="14">
        <f>VLOOKUP(Table4[[#This Row],[Shortname]], Comp[], 7, FALSE)</f>
        <v>40.830000000000005</v>
      </c>
      <c r="I74">
        <f>VLOOKUP(Table4[[#This Row],[Shortname]], Comp[], 8, FALSE)</f>
        <v>32</v>
      </c>
      <c r="J74">
        <f>VLOOKUP(Table4[[#This Row],[Shortname]], Comp[], 9, FALSE)</f>
        <v>11</v>
      </c>
      <c r="K74">
        <f>VLOOKUP(Table4[[#This Row],[Shortname]], Comp[], 10, FALSE)</f>
        <v>12</v>
      </c>
      <c r="L74">
        <f>VLOOKUP(Table4[[#This Row],[Shortname]], Comp[], 11, FALSE)</f>
        <v>3</v>
      </c>
      <c r="M74">
        <f>VLOOKUP(Table4[[#This Row],[Shortname]], Comp[],12, FALSE)</f>
        <v>0.3</v>
      </c>
      <c r="N74">
        <f>VLOOKUP(Table4[[#This Row],[Shortname]], Comp[], 13, FALSE)</f>
        <v>0.2</v>
      </c>
      <c r="O74">
        <f>VLOOKUP(Table4[[#This Row],[Shortname]], Comp[], 14, FALSE)</f>
        <v>0</v>
      </c>
      <c r="P74">
        <f>VLOOKUP(Table4[[#This Row],[Shortname]], Comp[], 15, FALSE)</f>
        <v>0</v>
      </c>
      <c r="Q74">
        <f>VLOOKUP(Table4[[#This Row],[Shortname]], Comp[], 16, FALSE)</f>
        <v>0</v>
      </c>
      <c r="R74">
        <f>VLOOKUP(Table4[[#This Row],[Shortname]], Comp[], 17, FALSE)</f>
        <v>0.08</v>
      </c>
      <c r="S74">
        <f>VLOOKUP(Table4[[#This Row],[Shortname]], Comp[], 18, FALSE)</f>
        <v>0.01</v>
      </c>
      <c r="T74">
        <f>VLOOKUP(Table4[[#This Row],[Shortname]], Comp[], 19, FALSE)</f>
        <v>0.08</v>
      </c>
      <c r="U74">
        <f>VLOOKUP(Table4[[#This Row],[Shortname]], Comp[], 20, FALSE)</f>
        <v>0</v>
      </c>
      <c r="V74">
        <f>VLOOKUP(Table4[[#This Row],[Shortname]], Comp[], 21, FALSE)</f>
        <v>0</v>
      </c>
      <c r="W74">
        <f>VLOOKUP(Table4[[#This Row],[Shortname]], Comp[], 22, FALSE)</f>
        <v>0.4</v>
      </c>
      <c r="X74">
        <f>VLOOKUP(Table4[[#This Row],[Shortname]], Comp[], 23, FALSE)</f>
        <v>0</v>
      </c>
      <c r="Y74">
        <f>VLOOKUP(Table4[[#This Row],[Shortname]], Comp[], 24, FALSE)</f>
        <v>0</v>
      </c>
      <c r="Z74">
        <f>VLOOKUP(Table4[[#This Row],[Shortname]], Comp[], 25, FALSE)</f>
        <v>0.1</v>
      </c>
      <c r="AA74">
        <f>VLOOKUP(Table4[[#This Row],[Shortname]], Comp[], 26, FALSE)</f>
        <v>0</v>
      </c>
      <c r="AB74">
        <f>VLOOKUP(Table4[[#This Row],[Shortname]], Comp[], 27, FALSE)</f>
        <v>0</v>
      </c>
      <c r="AC74">
        <f>VLOOKUP(Table4[[#This Row],[Shortname]], Comp[], 28, FALSE)</f>
        <v>0</v>
      </c>
      <c r="AD74">
        <f>VLOOKUP(Table4[[#This Row],[Shortname]], Comp[], 29, FALSE)</f>
        <v>0</v>
      </c>
      <c r="AE74">
        <f>VLOOKUP(Table4[[#This Row],[Shortname]], Comp[], 30, FALSE)</f>
        <v>0</v>
      </c>
      <c r="AF74">
        <f>VLOOKUP(Table4[[#This Row],[Shortname]], Comp[], 31, FALSE)</f>
        <v>0</v>
      </c>
    </row>
    <row r="75" spans="1:32" x14ac:dyDescent="0.3">
      <c r="A75" t="s">
        <v>1550</v>
      </c>
      <c r="B75" t="s">
        <v>1552</v>
      </c>
      <c r="C75" s="5" t="s">
        <v>1553</v>
      </c>
      <c r="D75">
        <v>25</v>
      </c>
      <c r="E75">
        <v>1150</v>
      </c>
      <c r="F75">
        <v>263</v>
      </c>
      <c r="G75">
        <f>VLOOKUP(Table4[[#This Row],[Shortname]], Comp[], 6, FALSE)</f>
        <v>197</v>
      </c>
      <c r="H75" s="14">
        <f>VLOOKUP(Table4[[#This Row],[Shortname]], Comp[], 7, FALSE)</f>
        <v>40.830000000000005</v>
      </c>
      <c r="I75">
        <f>VLOOKUP(Table4[[#This Row],[Shortname]], Comp[], 8, FALSE)</f>
        <v>32</v>
      </c>
      <c r="J75">
        <f>VLOOKUP(Table4[[#This Row],[Shortname]], Comp[], 9, FALSE)</f>
        <v>11</v>
      </c>
      <c r="K75">
        <f>VLOOKUP(Table4[[#This Row],[Shortname]], Comp[], 10, FALSE)</f>
        <v>12</v>
      </c>
      <c r="L75">
        <f>VLOOKUP(Table4[[#This Row],[Shortname]], Comp[], 11, FALSE)</f>
        <v>3</v>
      </c>
      <c r="M75">
        <f>VLOOKUP(Table4[[#This Row],[Shortname]], Comp[],12, FALSE)</f>
        <v>0.3</v>
      </c>
      <c r="N75">
        <f>VLOOKUP(Table4[[#This Row],[Shortname]], Comp[], 13, FALSE)</f>
        <v>0.2</v>
      </c>
      <c r="O75">
        <f>VLOOKUP(Table4[[#This Row],[Shortname]], Comp[], 14, FALSE)</f>
        <v>0</v>
      </c>
      <c r="P75">
        <f>VLOOKUP(Table4[[#This Row],[Shortname]], Comp[], 15, FALSE)</f>
        <v>0</v>
      </c>
      <c r="Q75">
        <f>VLOOKUP(Table4[[#This Row],[Shortname]], Comp[], 16, FALSE)</f>
        <v>0</v>
      </c>
      <c r="R75">
        <f>VLOOKUP(Table4[[#This Row],[Shortname]], Comp[], 17, FALSE)</f>
        <v>0.08</v>
      </c>
      <c r="S75">
        <f>VLOOKUP(Table4[[#This Row],[Shortname]], Comp[], 18, FALSE)</f>
        <v>0.01</v>
      </c>
      <c r="T75">
        <f>VLOOKUP(Table4[[#This Row],[Shortname]], Comp[], 19, FALSE)</f>
        <v>0.08</v>
      </c>
      <c r="U75">
        <f>VLOOKUP(Table4[[#This Row],[Shortname]], Comp[], 20, FALSE)</f>
        <v>0</v>
      </c>
      <c r="V75">
        <f>VLOOKUP(Table4[[#This Row],[Shortname]], Comp[], 21, FALSE)</f>
        <v>0</v>
      </c>
      <c r="W75">
        <f>VLOOKUP(Table4[[#This Row],[Shortname]], Comp[], 22, FALSE)</f>
        <v>0.4</v>
      </c>
      <c r="X75">
        <f>VLOOKUP(Table4[[#This Row],[Shortname]], Comp[], 23, FALSE)</f>
        <v>0</v>
      </c>
      <c r="Y75">
        <f>VLOOKUP(Table4[[#This Row],[Shortname]], Comp[], 24, FALSE)</f>
        <v>0</v>
      </c>
      <c r="Z75">
        <f>VLOOKUP(Table4[[#This Row],[Shortname]], Comp[], 25, FALSE)</f>
        <v>0.1</v>
      </c>
      <c r="AA75">
        <f>VLOOKUP(Table4[[#This Row],[Shortname]], Comp[], 26, FALSE)</f>
        <v>0</v>
      </c>
      <c r="AB75">
        <f>VLOOKUP(Table4[[#This Row],[Shortname]], Comp[], 27, FALSE)</f>
        <v>0</v>
      </c>
      <c r="AC75">
        <f>VLOOKUP(Table4[[#This Row],[Shortname]], Comp[], 28, FALSE)</f>
        <v>0</v>
      </c>
      <c r="AD75">
        <f>VLOOKUP(Table4[[#This Row],[Shortname]], Comp[], 29, FALSE)</f>
        <v>0</v>
      </c>
      <c r="AE75">
        <f>VLOOKUP(Table4[[#This Row],[Shortname]], Comp[], 30, FALSE)</f>
        <v>0</v>
      </c>
      <c r="AF75">
        <f>VLOOKUP(Table4[[#This Row],[Shortname]], Comp[], 31, FALSE)</f>
        <v>0</v>
      </c>
    </row>
    <row r="76" spans="1:32" x14ac:dyDescent="0.3">
      <c r="A76" t="s">
        <v>1550</v>
      </c>
      <c r="B76" t="s">
        <v>1552</v>
      </c>
      <c r="C76" s="5" t="s">
        <v>1553</v>
      </c>
      <c r="D76">
        <v>25</v>
      </c>
      <c r="E76">
        <v>1200</v>
      </c>
      <c r="F76">
        <v>258</v>
      </c>
      <c r="G76">
        <f>VLOOKUP(Table4[[#This Row],[Shortname]], Comp[], 6, FALSE)</f>
        <v>197</v>
      </c>
      <c r="H76" s="14">
        <f>VLOOKUP(Table4[[#This Row],[Shortname]], Comp[], 7, FALSE)</f>
        <v>40.830000000000005</v>
      </c>
      <c r="I76">
        <f>VLOOKUP(Table4[[#This Row],[Shortname]], Comp[], 8, FALSE)</f>
        <v>32</v>
      </c>
      <c r="J76">
        <f>VLOOKUP(Table4[[#This Row],[Shortname]], Comp[], 9, FALSE)</f>
        <v>11</v>
      </c>
      <c r="K76">
        <f>VLOOKUP(Table4[[#This Row],[Shortname]], Comp[], 10, FALSE)</f>
        <v>12</v>
      </c>
      <c r="L76">
        <f>VLOOKUP(Table4[[#This Row],[Shortname]], Comp[], 11, FALSE)</f>
        <v>3</v>
      </c>
      <c r="M76">
        <f>VLOOKUP(Table4[[#This Row],[Shortname]], Comp[],12, FALSE)</f>
        <v>0.3</v>
      </c>
      <c r="N76">
        <f>VLOOKUP(Table4[[#This Row],[Shortname]], Comp[], 13, FALSE)</f>
        <v>0.2</v>
      </c>
      <c r="O76">
        <f>VLOOKUP(Table4[[#This Row],[Shortname]], Comp[], 14, FALSE)</f>
        <v>0</v>
      </c>
      <c r="P76">
        <f>VLOOKUP(Table4[[#This Row],[Shortname]], Comp[], 15, FALSE)</f>
        <v>0</v>
      </c>
      <c r="Q76">
        <f>VLOOKUP(Table4[[#This Row],[Shortname]], Comp[], 16, FALSE)</f>
        <v>0</v>
      </c>
      <c r="R76">
        <f>VLOOKUP(Table4[[#This Row],[Shortname]], Comp[], 17, FALSE)</f>
        <v>0.08</v>
      </c>
      <c r="S76">
        <f>VLOOKUP(Table4[[#This Row],[Shortname]], Comp[], 18, FALSE)</f>
        <v>0.01</v>
      </c>
      <c r="T76">
        <f>VLOOKUP(Table4[[#This Row],[Shortname]], Comp[], 19, FALSE)</f>
        <v>0.08</v>
      </c>
      <c r="U76">
        <f>VLOOKUP(Table4[[#This Row],[Shortname]], Comp[], 20, FALSE)</f>
        <v>0</v>
      </c>
      <c r="V76">
        <f>VLOOKUP(Table4[[#This Row],[Shortname]], Comp[], 21, FALSE)</f>
        <v>0</v>
      </c>
      <c r="W76">
        <f>VLOOKUP(Table4[[#This Row],[Shortname]], Comp[], 22, FALSE)</f>
        <v>0.4</v>
      </c>
      <c r="X76">
        <f>VLOOKUP(Table4[[#This Row],[Shortname]], Comp[], 23, FALSE)</f>
        <v>0</v>
      </c>
      <c r="Y76">
        <f>VLOOKUP(Table4[[#This Row],[Shortname]], Comp[], 24, FALSE)</f>
        <v>0</v>
      </c>
      <c r="Z76">
        <f>VLOOKUP(Table4[[#This Row],[Shortname]], Comp[], 25, FALSE)</f>
        <v>0.1</v>
      </c>
      <c r="AA76">
        <f>VLOOKUP(Table4[[#This Row],[Shortname]], Comp[], 26, FALSE)</f>
        <v>0</v>
      </c>
      <c r="AB76">
        <f>VLOOKUP(Table4[[#This Row],[Shortname]], Comp[], 27, FALSE)</f>
        <v>0</v>
      </c>
      <c r="AC76">
        <f>VLOOKUP(Table4[[#This Row],[Shortname]], Comp[], 28, FALSE)</f>
        <v>0</v>
      </c>
      <c r="AD76">
        <f>VLOOKUP(Table4[[#This Row],[Shortname]], Comp[], 29, FALSE)</f>
        <v>0</v>
      </c>
      <c r="AE76">
        <f>VLOOKUP(Table4[[#This Row],[Shortname]], Comp[], 30, FALSE)</f>
        <v>0</v>
      </c>
      <c r="AF76">
        <f>VLOOKUP(Table4[[#This Row],[Shortname]], Comp[], 31, FALSE)</f>
        <v>0</v>
      </c>
    </row>
    <row r="77" spans="1:32" x14ac:dyDescent="0.3">
      <c r="A77" t="s">
        <v>1557</v>
      </c>
      <c r="B77" t="s">
        <v>1559</v>
      </c>
      <c r="C77" s="3" t="s">
        <v>1560</v>
      </c>
      <c r="D77">
        <v>25</v>
      </c>
      <c r="E77">
        <v>1000</v>
      </c>
      <c r="F77">
        <v>383</v>
      </c>
      <c r="G77">
        <f>VLOOKUP(Table4[[#This Row],[Shortname]], Comp[], 6, FALSE)</f>
        <v>198</v>
      </c>
      <c r="H77" s="14">
        <f>VLOOKUP(Table4[[#This Row],[Shortname]], Comp[], 7, FALSE)</f>
        <v>39.830000000000005</v>
      </c>
      <c r="I77">
        <f>VLOOKUP(Table4[[#This Row],[Shortname]], Comp[], 8, FALSE)</f>
        <v>32</v>
      </c>
      <c r="J77">
        <f>VLOOKUP(Table4[[#This Row],[Shortname]], Comp[], 9, FALSE)</f>
        <v>9</v>
      </c>
      <c r="K77">
        <f>VLOOKUP(Table4[[#This Row],[Shortname]], Comp[], 10, FALSE)</f>
        <v>12</v>
      </c>
      <c r="L77">
        <f>VLOOKUP(Table4[[#This Row],[Shortname]], Comp[], 11, FALSE)</f>
        <v>5</v>
      </c>
      <c r="M77">
        <f>VLOOKUP(Table4[[#This Row],[Shortname]], Comp[],12, FALSE)</f>
        <v>0.3</v>
      </c>
      <c r="N77">
        <f>VLOOKUP(Table4[[#This Row],[Shortname]], Comp[], 13, FALSE)</f>
        <v>0.2</v>
      </c>
      <c r="O77">
        <f>VLOOKUP(Table4[[#This Row],[Shortname]], Comp[], 14, FALSE)</f>
        <v>0</v>
      </c>
      <c r="P77">
        <f>VLOOKUP(Table4[[#This Row],[Shortname]], Comp[], 15, FALSE)</f>
        <v>0</v>
      </c>
      <c r="Q77">
        <f>VLOOKUP(Table4[[#This Row],[Shortname]], Comp[], 16, FALSE)</f>
        <v>1</v>
      </c>
      <c r="R77">
        <f>VLOOKUP(Table4[[#This Row],[Shortname]], Comp[], 17, FALSE)</f>
        <v>0.08</v>
      </c>
      <c r="S77">
        <f>VLOOKUP(Table4[[#This Row],[Shortname]], Comp[], 18, FALSE)</f>
        <v>0.01</v>
      </c>
      <c r="T77">
        <f>VLOOKUP(Table4[[#This Row],[Shortname]], Comp[], 19, FALSE)</f>
        <v>0.08</v>
      </c>
      <c r="U77">
        <f>VLOOKUP(Table4[[#This Row],[Shortname]], Comp[], 20, FALSE)</f>
        <v>0</v>
      </c>
      <c r="V77">
        <f>VLOOKUP(Table4[[#This Row],[Shortname]], Comp[], 21, FALSE)</f>
        <v>0</v>
      </c>
      <c r="W77">
        <f>VLOOKUP(Table4[[#This Row],[Shortname]], Comp[], 22, FALSE)</f>
        <v>0.4</v>
      </c>
      <c r="X77">
        <f>VLOOKUP(Table4[[#This Row],[Shortname]], Comp[], 23, FALSE)</f>
        <v>0</v>
      </c>
      <c r="Y77">
        <f>VLOOKUP(Table4[[#This Row],[Shortname]], Comp[], 24, FALSE)</f>
        <v>0</v>
      </c>
      <c r="Z77">
        <f>VLOOKUP(Table4[[#This Row],[Shortname]], Comp[], 25, FALSE)</f>
        <v>0.1</v>
      </c>
      <c r="AA77">
        <f>VLOOKUP(Table4[[#This Row],[Shortname]], Comp[], 26, FALSE)</f>
        <v>0</v>
      </c>
      <c r="AB77">
        <f>VLOOKUP(Table4[[#This Row],[Shortname]], Comp[], 27, FALSE)</f>
        <v>0</v>
      </c>
      <c r="AC77">
        <f>VLOOKUP(Table4[[#This Row],[Shortname]], Comp[], 28, FALSE)</f>
        <v>0</v>
      </c>
      <c r="AD77">
        <f>VLOOKUP(Table4[[#This Row],[Shortname]], Comp[], 29, FALSE)</f>
        <v>0</v>
      </c>
      <c r="AE77">
        <f>VLOOKUP(Table4[[#This Row],[Shortname]], Comp[], 30, FALSE)</f>
        <v>0</v>
      </c>
      <c r="AF77">
        <f>VLOOKUP(Table4[[#This Row],[Shortname]], Comp[], 31, FALSE)</f>
        <v>0</v>
      </c>
    </row>
    <row r="78" spans="1:32" x14ac:dyDescent="0.3">
      <c r="A78" t="s">
        <v>1557</v>
      </c>
      <c r="B78" t="s">
        <v>1559</v>
      </c>
      <c r="C78" s="3" t="s">
        <v>1560</v>
      </c>
      <c r="D78">
        <v>25</v>
      </c>
      <c r="E78">
        <v>1100</v>
      </c>
      <c r="F78">
        <v>354</v>
      </c>
      <c r="G78">
        <f>VLOOKUP(Table4[[#This Row],[Shortname]], Comp[], 6, FALSE)</f>
        <v>198</v>
      </c>
      <c r="H78" s="14">
        <f>VLOOKUP(Table4[[#This Row],[Shortname]], Comp[], 7, FALSE)</f>
        <v>39.830000000000005</v>
      </c>
      <c r="I78">
        <f>VLOOKUP(Table4[[#This Row],[Shortname]], Comp[], 8, FALSE)</f>
        <v>32</v>
      </c>
      <c r="J78">
        <f>VLOOKUP(Table4[[#This Row],[Shortname]], Comp[], 9, FALSE)</f>
        <v>9</v>
      </c>
      <c r="K78">
        <f>VLOOKUP(Table4[[#This Row],[Shortname]], Comp[], 10, FALSE)</f>
        <v>12</v>
      </c>
      <c r="L78">
        <f>VLOOKUP(Table4[[#This Row],[Shortname]], Comp[], 11, FALSE)</f>
        <v>5</v>
      </c>
      <c r="M78">
        <f>VLOOKUP(Table4[[#This Row],[Shortname]], Comp[],12, FALSE)</f>
        <v>0.3</v>
      </c>
      <c r="N78">
        <f>VLOOKUP(Table4[[#This Row],[Shortname]], Comp[], 13, FALSE)</f>
        <v>0.2</v>
      </c>
      <c r="O78">
        <f>VLOOKUP(Table4[[#This Row],[Shortname]], Comp[], 14, FALSE)</f>
        <v>0</v>
      </c>
      <c r="P78">
        <f>VLOOKUP(Table4[[#This Row],[Shortname]], Comp[], 15, FALSE)</f>
        <v>0</v>
      </c>
      <c r="Q78">
        <f>VLOOKUP(Table4[[#This Row],[Shortname]], Comp[], 16, FALSE)</f>
        <v>1</v>
      </c>
      <c r="R78">
        <f>VLOOKUP(Table4[[#This Row],[Shortname]], Comp[], 17, FALSE)</f>
        <v>0.08</v>
      </c>
      <c r="S78">
        <f>VLOOKUP(Table4[[#This Row],[Shortname]], Comp[], 18, FALSE)</f>
        <v>0.01</v>
      </c>
      <c r="T78">
        <f>VLOOKUP(Table4[[#This Row],[Shortname]], Comp[], 19, FALSE)</f>
        <v>0.08</v>
      </c>
      <c r="U78">
        <f>VLOOKUP(Table4[[#This Row],[Shortname]], Comp[], 20, FALSE)</f>
        <v>0</v>
      </c>
      <c r="V78">
        <f>VLOOKUP(Table4[[#This Row],[Shortname]], Comp[], 21, FALSE)</f>
        <v>0</v>
      </c>
      <c r="W78">
        <f>VLOOKUP(Table4[[#This Row],[Shortname]], Comp[], 22, FALSE)</f>
        <v>0.4</v>
      </c>
      <c r="X78">
        <f>VLOOKUP(Table4[[#This Row],[Shortname]], Comp[], 23, FALSE)</f>
        <v>0</v>
      </c>
      <c r="Y78">
        <f>VLOOKUP(Table4[[#This Row],[Shortname]], Comp[], 24, FALSE)</f>
        <v>0</v>
      </c>
      <c r="Z78">
        <f>VLOOKUP(Table4[[#This Row],[Shortname]], Comp[], 25, FALSE)</f>
        <v>0.1</v>
      </c>
      <c r="AA78">
        <f>VLOOKUP(Table4[[#This Row],[Shortname]], Comp[], 26, FALSE)</f>
        <v>0</v>
      </c>
      <c r="AB78">
        <f>VLOOKUP(Table4[[#This Row],[Shortname]], Comp[], 27, FALSE)</f>
        <v>0</v>
      </c>
      <c r="AC78">
        <f>VLOOKUP(Table4[[#This Row],[Shortname]], Comp[], 28, FALSE)</f>
        <v>0</v>
      </c>
      <c r="AD78">
        <f>VLOOKUP(Table4[[#This Row],[Shortname]], Comp[], 29, FALSE)</f>
        <v>0</v>
      </c>
      <c r="AE78">
        <f>VLOOKUP(Table4[[#This Row],[Shortname]], Comp[], 30, FALSE)</f>
        <v>0</v>
      </c>
      <c r="AF78">
        <f>VLOOKUP(Table4[[#This Row],[Shortname]], Comp[], 31, FALSE)</f>
        <v>0</v>
      </c>
    </row>
    <row r="79" spans="1:32" x14ac:dyDescent="0.3">
      <c r="A79" t="s">
        <v>1557</v>
      </c>
      <c r="B79" t="s">
        <v>1559</v>
      </c>
      <c r="C79" s="3" t="s">
        <v>1560</v>
      </c>
      <c r="D79">
        <v>25</v>
      </c>
      <c r="E79">
        <v>1050</v>
      </c>
      <c r="F79">
        <v>352</v>
      </c>
      <c r="G79">
        <f>VLOOKUP(Table4[[#This Row],[Shortname]], Comp[], 6, FALSE)</f>
        <v>198</v>
      </c>
      <c r="H79" s="14">
        <f>VLOOKUP(Table4[[#This Row],[Shortname]], Comp[], 7, FALSE)</f>
        <v>39.830000000000005</v>
      </c>
      <c r="I79">
        <f>VLOOKUP(Table4[[#This Row],[Shortname]], Comp[], 8, FALSE)</f>
        <v>32</v>
      </c>
      <c r="J79">
        <f>VLOOKUP(Table4[[#This Row],[Shortname]], Comp[], 9, FALSE)</f>
        <v>9</v>
      </c>
      <c r="K79">
        <f>VLOOKUP(Table4[[#This Row],[Shortname]], Comp[], 10, FALSE)</f>
        <v>12</v>
      </c>
      <c r="L79">
        <f>VLOOKUP(Table4[[#This Row],[Shortname]], Comp[], 11, FALSE)</f>
        <v>5</v>
      </c>
      <c r="M79">
        <f>VLOOKUP(Table4[[#This Row],[Shortname]], Comp[],12, FALSE)</f>
        <v>0.3</v>
      </c>
      <c r="N79">
        <f>VLOOKUP(Table4[[#This Row],[Shortname]], Comp[], 13, FALSE)</f>
        <v>0.2</v>
      </c>
      <c r="O79">
        <f>VLOOKUP(Table4[[#This Row],[Shortname]], Comp[], 14, FALSE)</f>
        <v>0</v>
      </c>
      <c r="P79">
        <f>VLOOKUP(Table4[[#This Row],[Shortname]], Comp[], 15, FALSE)</f>
        <v>0</v>
      </c>
      <c r="Q79">
        <f>VLOOKUP(Table4[[#This Row],[Shortname]], Comp[], 16, FALSE)</f>
        <v>1</v>
      </c>
      <c r="R79">
        <f>VLOOKUP(Table4[[#This Row],[Shortname]], Comp[], 17, FALSE)</f>
        <v>0.08</v>
      </c>
      <c r="S79">
        <f>VLOOKUP(Table4[[#This Row],[Shortname]], Comp[], 18, FALSE)</f>
        <v>0.01</v>
      </c>
      <c r="T79">
        <f>VLOOKUP(Table4[[#This Row],[Shortname]], Comp[], 19, FALSE)</f>
        <v>0.08</v>
      </c>
      <c r="U79">
        <f>VLOOKUP(Table4[[#This Row],[Shortname]], Comp[], 20, FALSE)</f>
        <v>0</v>
      </c>
      <c r="V79">
        <f>VLOOKUP(Table4[[#This Row],[Shortname]], Comp[], 21, FALSE)</f>
        <v>0</v>
      </c>
      <c r="W79">
        <f>VLOOKUP(Table4[[#This Row],[Shortname]], Comp[], 22, FALSE)</f>
        <v>0.4</v>
      </c>
      <c r="X79">
        <f>VLOOKUP(Table4[[#This Row],[Shortname]], Comp[], 23, FALSE)</f>
        <v>0</v>
      </c>
      <c r="Y79">
        <f>VLOOKUP(Table4[[#This Row],[Shortname]], Comp[], 24, FALSE)</f>
        <v>0</v>
      </c>
      <c r="Z79">
        <f>VLOOKUP(Table4[[#This Row],[Shortname]], Comp[], 25, FALSE)</f>
        <v>0.1</v>
      </c>
      <c r="AA79">
        <f>VLOOKUP(Table4[[#This Row],[Shortname]], Comp[], 26, FALSE)</f>
        <v>0</v>
      </c>
      <c r="AB79">
        <f>VLOOKUP(Table4[[#This Row],[Shortname]], Comp[], 27, FALSE)</f>
        <v>0</v>
      </c>
      <c r="AC79">
        <f>VLOOKUP(Table4[[#This Row],[Shortname]], Comp[], 28, FALSE)</f>
        <v>0</v>
      </c>
      <c r="AD79">
        <f>VLOOKUP(Table4[[#This Row],[Shortname]], Comp[], 29, FALSE)</f>
        <v>0</v>
      </c>
      <c r="AE79">
        <f>VLOOKUP(Table4[[#This Row],[Shortname]], Comp[], 30, FALSE)</f>
        <v>0</v>
      </c>
      <c r="AF79">
        <f>VLOOKUP(Table4[[#This Row],[Shortname]], Comp[], 31, FALSE)</f>
        <v>0</v>
      </c>
    </row>
    <row r="80" spans="1:32" x14ac:dyDescent="0.3">
      <c r="A80" t="s">
        <v>1557</v>
      </c>
      <c r="B80" t="s">
        <v>1559</v>
      </c>
      <c r="C80" s="3" t="s">
        <v>1560</v>
      </c>
      <c r="D80">
        <v>25</v>
      </c>
      <c r="E80">
        <v>1025</v>
      </c>
      <c r="F80">
        <v>342</v>
      </c>
      <c r="G80">
        <f>VLOOKUP(Table4[[#This Row],[Shortname]], Comp[], 6, FALSE)</f>
        <v>198</v>
      </c>
      <c r="H80" s="14">
        <f>VLOOKUP(Table4[[#This Row],[Shortname]], Comp[], 7, FALSE)</f>
        <v>39.830000000000005</v>
      </c>
      <c r="I80">
        <f>VLOOKUP(Table4[[#This Row],[Shortname]], Comp[], 8, FALSE)</f>
        <v>32</v>
      </c>
      <c r="J80">
        <f>VLOOKUP(Table4[[#This Row],[Shortname]], Comp[], 9, FALSE)</f>
        <v>9</v>
      </c>
      <c r="K80">
        <f>VLOOKUP(Table4[[#This Row],[Shortname]], Comp[], 10, FALSE)</f>
        <v>12</v>
      </c>
      <c r="L80">
        <f>VLOOKUP(Table4[[#This Row],[Shortname]], Comp[], 11, FALSE)</f>
        <v>5</v>
      </c>
      <c r="M80">
        <f>VLOOKUP(Table4[[#This Row],[Shortname]], Comp[],12, FALSE)</f>
        <v>0.3</v>
      </c>
      <c r="N80">
        <f>VLOOKUP(Table4[[#This Row],[Shortname]], Comp[], 13, FALSE)</f>
        <v>0.2</v>
      </c>
      <c r="O80">
        <f>VLOOKUP(Table4[[#This Row],[Shortname]], Comp[], 14, FALSE)</f>
        <v>0</v>
      </c>
      <c r="P80">
        <f>VLOOKUP(Table4[[#This Row],[Shortname]], Comp[], 15, FALSE)</f>
        <v>0</v>
      </c>
      <c r="Q80">
        <f>VLOOKUP(Table4[[#This Row],[Shortname]], Comp[], 16, FALSE)</f>
        <v>1</v>
      </c>
      <c r="R80">
        <f>VLOOKUP(Table4[[#This Row],[Shortname]], Comp[], 17, FALSE)</f>
        <v>0.08</v>
      </c>
      <c r="S80">
        <f>VLOOKUP(Table4[[#This Row],[Shortname]], Comp[], 18, FALSE)</f>
        <v>0.01</v>
      </c>
      <c r="T80">
        <f>VLOOKUP(Table4[[#This Row],[Shortname]], Comp[], 19, FALSE)</f>
        <v>0.08</v>
      </c>
      <c r="U80">
        <f>VLOOKUP(Table4[[#This Row],[Shortname]], Comp[], 20, FALSE)</f>
        <v>0</v>
      </c>
      <c r="V80">
        <f>VLOOKUP(Table4[[#This Row],[Shortname]], Comp[], 21, FALSE)</f>
        <v>0</v>
      </c>
      <c r="W80">
        <f>VLOOKUP(Table4[[#This Row],[Shortname]], Comp[], 22, FALSE)</f>
        <v>0.4</v>
      </c>
      <c r="X80">
        <f>VLOOKUP(Table4[[#This Row],[Shortname]], Comp[], 23, FALSE)</f>
        <v>0</v>
      </c>
      <c r="Y80">
        <f>VLOOKUP(Table4[[#This Row],[Shortname]], Comp[], 24, FALSE)</f>
        <v>0</v>
      </c>
      <c r="Z80">
        <f>VLOOKUP(Table4[[#This Row],[Shortname]], Comp[], 25, FALSE)</f>
        <v>0.1</v>
      </c>
      <c r="AA80">
        <f>VLOOKUP(Table4[[#This Row],[Shortname]], Comp[], 26, FALSE)</f>
        <v>0</v>
      </c>
      <c r="AB80">
        <f>VLOOKUP(Table4[[#This Row],[Shortname]], Comp[], 27, FALSE)</f>
        <v>0</v>
      </c>
      <c r="AC80">
        <f>VLOOKUP(Table4[[#This Row],[Shortname]], Comp[], 28, FALSE)</f>
        <v>0</v>
      </c>
      <c r="AD80">
        <f>VLOOKUP(Table4[[#This Row],[Shortname]], Comp[], 29, FALSE)</f>
        <v>0</v>
      </c>
      <c r="AE80">
        <f>VLOOKUP(Table4[[#This Row],[Shortname]], Comp[], 30, FALSE)</f>
        <v>0</v>
      </c>
      <c r="AF80">
        <f>VLOOKUP(Table4[[#This Row],[Shortname]], Comp[], 31, FALSE)</f>
        <v>0</v>
      </c>
    </row>
    <row r="81" spans="1:32" x14ac:dyDescent="0.3">
      <c r="A81" t="s">
        <v>1557</v>
      </c>
      <c r="B81" t="s">
        <v>1559</v>
      </c>
      <c r="C81" s="3" t="s">
        <v>1560</v>
      </c>
      <c r="D81">
        <v>25</v>
      </c>
      <c r="E81">
        <v>1075</v>
      </c>
      <c r="F81">
        <v>336</v>
      </c>
      <c r="G81">
        <f>VLOOKUP(Table4[[#This Row],[Shortname]], Comp[], 6, FALSE)</f>
        <v>198</v>
      </c>
      <c r="H81" s="14">
        <f>VLOOKUP(Table4[[#This Row],[Shortname]], Comp[], 7, FALSE)</f>
        <v>39.830000000000005</v>
      </c>
      <c r="I81">
        <f>VLOOKUP(Table4[[#This Row],[Shortname]], Comp[], 8, FALSE)</f>
        <v>32</v>
      </c>
      <c r="J81">
        <f>VLOOKUP(Table4[[#This Row],[Shortname]], Comp[], 9, FALSE)</f>
        <v>9</v>
      </c>
      <c r="K81">
        <f>VLOOKUP(Table4[[#This Row],[Shortname]], Comp[], 10, FALSE)</f>
        <v>12</v>
      </c>
      <c r="L81">
        <f>VLOOKUP(Table4[[#This Row],[Shortname]], Comp[], 11, FALSE)</f>
        <v>5</v>
      </c>
      <c r="M81">
        <f>VLOOKUP(Table4[[#This Row],[Shortname]], Comp[],12, FALSE)</f>
        <v>0.3</v>
      </c>
      <c r="N81">
        <f>VLOOKUP(Table4[[#This Row],[Shortname]], Comp[], 13, FALSE)</f>
        <v>0.2</v>
      </c>
      <c r="O81">
        <f>VLOOKUP(Table4[[#This Row],[Shortname]], Comp[], 14, FALSE)</f>
        <v>0</v>
      </c>
      <c r="P81">
        <f>VLOOKUP(Table4[[#This Row],[Shortname]], Comp[], 15, FALSE)</f>
        <v>0</v>
      </c>
      <c r="Q81">
        <f>VLOOKUP(Table4[[#This Row],[Shortname]], Comp[], 16, FALSE)</f>
        <v>1</v>
      </c>
      <c r="R81">
        <f>VLOOKUP(Table4[[#This Row],[Shortname]], Comp[], 17, FALSE)</f>
        <v>0.08</v>
      </c>
      <c r="S81">
        <f>VLOOKUP(Table4[[#This Row],[Shortname]], Comp[], 18, FALSE)</f>
        <v>0.01</v>
      </c>
      <c r="T81">
        <f>VLOOKUP(Table4[[#This Row],[Shortname]], Comp[], 19, FALSE)</f>
        <v>0.08</v>
      </c>
      <c r="U81">
        <f>VLOOKUP(Table4[[#This Row],[Shortname]], Comp[], 20, FALSE)</f>
        <v>0</v>
      </c>
      <c r="V81">
        <f>VLOOKUP(Table4[[#This Row],[Shortname]], Comp[], 21, FALSE)</f>
        <v>0</v>
      </c>
      <c r="W81">
        <f>VLOOKUP(Table4[[#This Row],[Shortname]], Comp[], 22, FALSE)</f>
        <v>0.4</v>
      </c>
      <c r="X81">
        <f>VLOOKUP(Table4[[#This Row],[Shortname]], Comp[], 23, FALSE)</f>
        <v>0</v>
      </c>
      <c r="Y81">
        <f>VLOOKUP(Table4[[#This Row],[Shortname]], Comp[], 24, FALSE)</f>
        <v>0</v>
      </c>
      <c r="Z81">
        <f>VLOOKUP(Table4[[#This Row],[Shortname]], Comp[], 25, FALSE)</f>
        <v>0.1</v>
      </c>
      <c r="AA81">
        <f>VLOOKUP(Table4[[#This Row],[Shortname]], Comp[], 26, FALSE)</f>
        <v>0</v>
      </c>
      <c r="AB81">
        <f>VLOOKUP(Table4[[#This Row],[Shortname]], Comp[], 27, FALSE)</f>
        <v>0</v>
      </c>
      <c r="AC81">
        <f>VLOOKUP(Table4[[#This Row],[Shortname]], Comp[], 28, FALSE)</f>
        <v>0</v>
      </c>
      <c r="AD81">
        <f>VLOOKUP(Table4[[#This Row],[Shortname]], Comp[], 29, FALSE)</f>
        <v>0</v>
      </c>
      <c r="AE81">
        <f>VLOOKUP(Table4[[#This Row],[Shortname]], Comp[], 30, FALSE)</f>
        <v>0</v>
      </c>
      <c r="AF81">
        <f>VLOOKUP(Table4[[#This Row],[Shortname]], Comp[], 31, FALSE)</f>
        <v>0</v>
      </c>
    </row>
    <row r="82" spans="1:32" x14ac:dyDescent="0.3">
      <c r="A82" t="s">
        <v>1557</v>
      </c>
      <c r="B82" t="s">
        <v>1559</v>
      </c>
      <c r="C82" s="3" t="s">
        <v>1560</v>
      </c>
      <c r="D82">
        <v>25</v>
      </c>
      <c r="E82">
        <v>1125</v>
      </c>
      <c r="F82">
        <v>305</v>
      </c>
      <c r="G82">
        <f>VLOOKUP(Table4[[#This Row],[Shortname]], Comp[], 6, FALSE)</f>
        <v>198</v>
      </c>
      <c r="H82" s="14">
        <f>VLOOKUP(Table4[[#This Row],[Shortname]], Comp[], 7, FALSE)</f>
        <v>39.830000000000005</v>
      </c>
      <c r="I82">
        <f>VLOOKUP(Table4[[#This Row],[Shortname]], Comp[], 8, FALSE)</f>
        <v>32</v>
      </c>
      <c r="J82">
        <f>VLOOKUP(Table4[[#This Row],[Shortname]], Comp[], 9, FALSE)</f>
        <v>9</v>
      </c>
      <c r="K82">
        <f>VLOOKUP(Table4[[#This Row],[Shortname]], Comp[], 10, FALSE)</f>
        <v>12</v>
      </c>
      <c r="L82">
        <f>VLOOKUP(Table4[[#This Row],[Shortname]], Comp[], 11, FALSE)</f>
        <v>5</v>
      </c>
      <c r="M82">
        <f>VLOOKUP(Table4[[#This Row],[Shortname]], Comp[],12, FALSE)</f>
        <v>0.3</v>
      </c>
      <c r="N82">
        <f>VLOOKUP(Table4[[#This Row],[Shortname]], Comp[], 13, FALSE)</f>
        <v>0.2</v>
      </c>
      <c r="O82">
        <f>VLOOKUP(Table4[[#This Row],[Shortname]], Comp[], 14, FALSE)</f>
        <v>0</v>
      </c>
      <c r="P82">
        <f>VLOOKUP(Table4[[#This Row],[Shortname]], Comp[], 15, FALSE)</f>
        <v>0</v>
      </c>
      <c r="Q82">
        <f>VLOOKUP(Table4[[#This Row],[Shortname]], Comp[], 16, FALSE)</f>
        <v>1</v>
      </c>
      <c r="R82">
        <f>VLOOKUP(Table4[[#This Row],[Shortname]], Comp[], 17, FALSE)</f>
        <v>0.08</v>
      </c>
      <c r="S82">
        <f>VLOOKUP(Table4[[#This Row],[Shortname]], Comp[], 18, FALSE)</f>
        <v>0.01</v>
      </c>
      <c r="T82">
        <f>VLOOKUP(Table4[[#This Row],[Shortname]], Comp[], 19, FALSE)</f>
        <v>0.08</v>
      </c>
      <c r="U82">
        <f>VLOOKUP(Table4[[#This Row],[Shortname]], Comp[], 20, FALSE)</f>
        <v>0</v>
      </c>
      <c r="V82">
        <f>VLOOKUP(Table4[[#This Row],[Shortname]], Comp[], 21, FALSE)</f>
        <v>0</v>
      </c>
      <c r="W82">
        <f>VLOOKUP(Table4[[#This Row],[Shortname]], Comp[], 22, FALSE)</f>
        <v>0.4</v>
      </c>
      <c r="X82">
        <f>VLOOKUP(Table4[[#This Row],[Shortname]], Comp[], 23, FALSE)</f>
        <v>0</v>
      </c>
      <c r="Y82">
        <f>VLOOKUP(Table4[[#This Row],[Shortname]], Comp[], 24, FALSE)</f>
        <v>0</v>
      </c>
      <c r="Z82">
        <f>VLOOKUP(Table4[[#This Row],[Shortname]], Comp[], 25, FALSE)</f>
        <v>0.1</v>
      </c>
      <c r="AA82">
        <f>VLOOKUP(Table4[[#This Row],[Shortname]], Comp[], 26, FALSE)</f>
        <v>0</v>
      </c>
      <c r="AB82">
        <f>VLOOKUP(Table4[[#This Row],[Shortname]], Comp[], 27, FALSE)</f>
        <v>0</v>
      </c>
      <c r="AC82">
        <f>VLOOKUP(Table4[[#This Row],[Shortname]], Comp[], 28, FALSE)</f>
        <v>0</v>
      </c>
      <c r="AD82">
        <f>VLOOKUP(Table4[[#This Row],[Shortname]], Comp[], 29, FALSE)</f>
        <v>0</v>
      </c>
      <c r="AE82">
        <f>VLOOKUP(Table4[[#This Row],[Shortname]], Comp[], 30, FALSE)</f>
        <v>0</v>
      </c>
      <c r="AF82">
        <f>VLOOKUP(Table4[[#This Row],[Shortname]], Comp[], 31, FALSE)</f>
        <v>0</v>
      </c>
    </row>
    <row r="83" spans="1:32" x14ac:dyDescent="0.3">
      <c r="A83" t="s">
        <v>1557</v>
      </c>
      <c r="B83" t="s">
        <v>1559</v>
      </c>
      <c r="C83" s="3" t="s">
        <v>1560</v>
      </c>
      <c r="D83">
        <v>25</v>
      </c>
      <c r="E83">
        <v>1150</v>
      </c>
      <c r="F83">
        <v>274</v>
      </c>
      <c r="G83">
        <f>VLOOKUP(Table4[[#This Row],[Shortname]], Comp[], 6, FALSE)</f>
        <v>198</v>
      </c>
      <c r="H83" s="14">
        <f>VLOOKUP(Table4[[#This Row],[Shortname]], Comp[], 7, FALSE)</f>
        <v>39.830000000000005</v>
      </c>
      <c r="I83">
        <f>VLOOKUP(Table4[[#This Row],[Shortname]], Comp[], 8, FALSE)</f>
        <v>32</v>
      </c>
      <c r="J83">
        <f>VLOOKUP(Table4[[#This Row],[Shortname]], Comp[], 9, FALSE)</f>
        <v>9</v>
      </c>
      <c r="K83">
        <f>VLOOKUP(Table4[[#This Row],[Shortname]], Comp[], 10, FALSE)</f>
        <v>12</v>
      </c>
      <c r="L83">
        <f>VLOOKUP(Table4[[#This Row],[Shortname]], Comp[], 11, FALSE)</f>
        <v>5</v>
      </c>
      <c r="M83">
        <f>VLOOKUP(Table4[[#This Row],[Shortname]], Comp[],12, FALSE)</f>
        <v>0.3</v>
      </c>
      <c r="N83">
        <f>VLOOKUP(Table4[[#This Row],[Shortname]], Comp[], 13, FALSE)</f>
        <v>0.2</v>
      </c>
      <c r="O83">
        <f>VLOOKUP(Table4[[#This Row],[Shortname]], Comp[], 14, FALSE)</f>
        <v>0</v>
      </c>
      <c r="P83">
        <f>VLOOKUP(Table4[[#This Row],[Shortname]], Comp[], 15, FALSE)</f>
        <v>0</v>
      </c>
      <c r="Q83">
        <f>VLOOKUP(Table4[[#This Row],[Shortname]], Comp[], 16, FALSE)</f>
        <v>1</v>
      </c>
      <c r="R83">
        <f>VLOOKUP(Table4[[#This Row],[Shortname]], Comp[], 17, FALSE)</f>
        <v>0.08</v>
      </c>
      <c r="S83">
        <f>VLOOKUP(Table4[[#This Row],[Shortname]], Comp[], 18, FALSE)</f>
        <v>0.01</v>
      </c>
      <c r="T83">
        <f>VLOOKUP(Table4[[#This Row],[Shortname]], Comp[], 19, FALSE)</f>
        <v>0.08</v>
      </c>
      <c r="U83">
        <f>VLOOKUP(Table4[[#This Row],[Shortname]], Comp[], 20, FALSE)</f>
        <v>0</v>
      </c>
      <c r="V83">
        <f>VLOOKUP(Table4[[#This Row],[Shortname]], Comp[], 21, FALSE)</f>
        <v>0</v>
      </c>
      <c r="W83">
        <f>VLOOKUP(Table4[[#This Row],[Shortname]], Comp[], 22, FALSE)</f>
        <v>0.4</v>
      </c>
      <c r="X83">
        <f>VLOOKUP(Table4[[#This Row],[Shortname]], Comp[], 23, FALSE)</f>
        <v>0</v>
      </c>
      <c r="Y83">
        <f>VLOOKUP(Table4[[#This Row],[Shortname]], Comp[], 24, FALSE)</f>
        <v>0</v>
      </c>
      <c r="Z83">
        <f>VLOOKUP(Table4[[#This Row],[Shortname]], Comp[], 25, FALSE)</f>
        <v>0.1</v>
      </c>
      <c r="AA83">
        <f>VLOOKUP(Table4[[#This Row],[Shortname]], Comp[], 26, FALSE)</f>
        <v>0</v>
      </c>
      <c r="AB83">
        <f>VLOOKUP(Table4[[#This Row],[Shortname]], Comp[], 27, FALSE)</f>
        <v>0</v>
      </c>
      <c r="AC83">
        <f>VLOOKUP(Table4[[#This Row],[Shortname]], Comp[], 28, FALSE)</f>
        <v>0</v>
      </c>
      <c r="AD83">
        <f>VLOOKUP(Table4[[#This Row],[Shortname]], Comp[], 29, FALSE)</f>
        <v>0</v>
      </c>
      <c r="AE83">
        <f>VLOOKUP(Table4[[#This Row],[Shortname]], Comp[], 30, FALSE)</f>
        <v>0</v>
      </c>
      <c r="AF83">
        <f>VLOOKUP(Table4[[#This Row],[Shortname]], Comp[], 31, FALSE)</f>
        <v>0</v>
      </c>
    </row>
    <row r="84" spans="1:32" x14ac:dyDescent="0.3">
      <c r="A84" t="s">
        <v>1613</v>
      </c>
      <c r="B84" t="s">
        <v>1615</v>
      </c>
      <c r="C84" s="3" t="s">
        <v>1568</v>
      </c>
      <c r="D84">
        <v>25</v>
      </c>
      <c r="E84">
        <v>750</v>
      </c>
      <c r="F84">
        <v>457.83623942082187</v>
      </c>
      <c r="G84">
        <f>VLOOKUP(Table4[[#This Row],[Shortname]], Comp[], 6, FALSE)</f>
        <v>205</v>
      </c>
      <c r="H84" s="14">
        <f>VLOOKUP(Table4[[#This Row],[Shortname]], Comp[], 7, FALSE)</f>
        <v>43.83</v>
      </c>
      <c r="I84">
        <f>VLOOKUP(Table4[[#This Row],[Shortname]], Comp[], 8, FALSE)</f>
        <v>29.69</v>
      </c>
      <c r="J84">
        <f>VLOOKUP(Table4[[#This Row],[Shortname]], Comp[], 9, FALSE)</f>
        <v>9.0500000000000007</v>
      </c>
      <c r="K84">
        <f>VLOOKUP(Table4[[#This Row],[Shortname]], Comp[], 10, FALSE)</f>
        <v>12.43</v>
      </c>
      <c r="L84">
        <f>VLOOKUP(Table4[[#This Row],[Shortname]], Comp[], 11, FALSE)</f>
        <v>1.26</v>
      </c>
      <c r="M84">
        <f>VLOOKUP(Table4[[#This Row],[Shortname]], Comp[],12, FALSE)</f>
        <v>0</v>
      </c>
      <c r="N84">
        <f>VLOOKUP(Table4[[#This Row],[Shortname]], Comp[], 13, FALSE)</f>
        <v>0</v>
      </c>
      <c r="O84">
        <f>VLOOKUP(Table4[[#This Row],[Shortname]], Comp[], 14, FALSE)</f>
        <v>3.74</v>
      </c>
      <c r="P84">
        <f>VLOOKUP(Table4[[#This Row],[Shortname]], Comp[], 15, FALSE)</f>
        <v>0</v>
      </c>
      <c r="Q84">
        <f>VLOOKUP(Table4[[#This Row],[Shortname]], Comp[], 16, FALSE)</f>
        <v>0</v>
      </c>
      <c r="R84">
        <f>VLOOKUP(Table4[[#This Row],[Shortname]], Comp[], 17, FALSE)</f>
        <v>0</v>
      </c>
      <c r="S84">
        <f>VLOOKUP(Table4[[#This Row],[Shortname]], Comp[], 18, FALSE)</f>
        <v>0</v>
      </c>
      <c r="T84">
        <f>VLOOKUP(Table4[[#This Row],[Shortname]], Comp[], 19, FALSE)</f>
        <v>0</v>
      </c>
      <c r="U84">
        <f>VLOOKUP(Table4[[#This Row],[Shortname]], Comp[], 20, FALSE)</f>
        <v>0</v>
      </c>
      <c r="V84">
        <f>VLOOKUP(Table4[[#This Row],[Shortname]], Comp[], 21, FALSE)</f>
        <v>0</v>
      </c>
      <c r="W84">
        <f>VLOOKUP(Table4[[#This Row],[Shortname]], Comp[], 22, FALSE)</f>
        <v>0</v>
      </c>
      <c r="X84">
        <f>VLOOKUP(Table4[[#This Row],[Shortname]], Comp[], 23, FALSE)</f>
        <v>0</v>
      </c>
      <c r="Y84">
        <f>VLOOKUP(Table4[[#This Row],[Shortname]], Comp[], 24, FALSE)</f>
        <v>0</v>
      </c>
      <c r="Z84">
        <f>VLOOKUP(Table4[[#This Row],[Shortname]], Comp[], 25, FALSE)</f>
        <v>0</v>
      </c>
      <c r="AA84">
        <f>VLOOKUP(Table4[[#This Row],[Shortname]], Comp[], 26, FALSE)</f>
        <v>0</v>
      </c>
      <c r="AB84">
        <f>VLOOKUP(Table4[[#This Row],[Shortname]], Comp[], 27, FALSE)</f>
        <v>0</v>
      </c>
      <c r="AC84">
        <f>VLOOKUP(Table4[[#This Row],[Shortname]], Comp[], 28, FALSE)</f>
        <v>0</v>
      </c>
      <c r="AD84">
        <f>VLOOKUP(Table4[[#This Row],[Shortname]], Comp[], 29, FALSE)</f>
        <v>0</v>
      </c>
      <c r="AE84">
        <f>VLOOKUP(Table4[[#This Row],[Shortname]], Comp[], 30, FALSE)</f>
        <v>0</v>
      </c>
      <c r="AF84">
        <f>VLOOKUP(Table4[[#This Row],[Shortname]], Comp[], 31, FALSE)</f>
        <v>0</v>
      </c>
    </row>
    <row r="85" spans="1:32" x14ac:dyDescent="0.3">
      <c r="A85" t="s">
        <v>1607</v>
      </c>
      <c r="B85" t="s">
        <v>1609</v>
      </c>
      <c r="C85" s="3" t="s">
        <v>1568</v>
      </c>
      <c r="D85">
        <v>25</v>
      </c>
      <c r="E85">
        <v>750</v>
      </c>
      <c r="F85">
        <v>416.02936677883145</v>
      </c>
      <c r="G85">
        <f>VLOOKUP(Table4[[#This Row],[Shortname]], Comp[], 6, FALSE)</f>
        <v>204</v>
      </c>
      <c r="H85" s="14">
        <f>VLOOKUP(Table4[[#This Row],[Shortname]], Comp[], 7, FALSE)</f>
        <v>44.41</v>
      </c>
      <c r="I85">
        <f>VLOOKUP(Table4[[#This Row],[Shortname]], Comp[], 8, FALSE)</f>
        <v>29.89</v>
      </c>
      <c r="J85">
        <f>VLOOKUP(Table4[[#This Row],[Shortname]], Comp[], 9, FALSE)</f>
        <v>8.69</v>
      </c>
      <c r="K85">
        <f>VLOOKUP(Table4[[#This Row],[Shortname]], Comp[], 10, FALSE)</f>
        <v>12.11</v>
      </c>
      <c r="L85">
        <f>VLOOKUP(Table4[[#This Row],[Shortname]], Comp[], 11, FALSE)</f>
        <v>3.09</v>
      </c>
      <c r="M85">
        <f>VLOOKUP(Table4[[#This Row],[Shortname]], Comp[],12, FALSE)</f>
        <v>0</v>
      </c>
      <c r="N85">
        <f>VLOOKUP(Table4[[#This Row],[Shortname]], Comp[], 13, FALSE)</f>
        <v>0</v>
      </c>
      <c r="O85">
        <f>VLOOKUP(Table4[[#This Row],[Shortname]], Comp[], 14, FALSE)</f>
        <v>1.81</v>
      </c>
      <c r="P85">
        <f>VLOOKUP(Table4[[#This Row],[Shortname]], Comp[], 15, FALSE)</f>
        <v>0</v>
      </c>
      <c r="Q85">
        <f>VLOOKUP(Table4[[#This Row],[Shortname]], Comp[], 16, FALSE)</f>
        <v>0</v>
      </c>
      <c r="R85">
        <f>VLOOKUP(Table4[[#This Row],[Shortname]], Comp[], 17, FALSE)</f>
        <v>0</v>
      </c>
      <c r="S85">
        <f>VLOOKUP(Table4[[#This Row],[Shortname]], Comp[], 18, FALSE)</f>
        <v>0</v>
      </c>
      <c r="T85">
        <f>VLOOKUP(Table4[[#This Row],[Shortname]], Comp[], 19, FALSE)</f>
        <v>0</v>
      </c>
      <c r="U85">
        <f>VLOOKUP(Table4[[#This Row],[Shortname]], Comp[], 20, FALSE)</f>
        <v>0</v>
      </c>
      <c r="V85">
        <f>VLOOKUP(Table4[[#This Row],[Shortname]], Comp[], 21, FALSE)</f>
        <v>0</v>
      </c>
      <c r="W85">
        <f>VLOOKUP(Table4[[#This Row],[Shortname]], Comp[], 22, FALSE)</f>
        <v>0</v>
      </c>
      <c r="X85">
        <f>VLOOKUP(Table4[[#This Row],[Shortname]], Comp[], 23, FALSE)</f>
        <v>0</v>
      </c>
      <c r="Y85">
        <f>VLOOKUP(Table4[[#This Row],[Shortname]], Comp[], 24, FALSE)</f>
        <v>0</v>
      </c>
      <c r="Z85">
        <f>VLOOKUP(Table4[[#This Row],[Shortname]], Comp[], 25, FALSE)</f>
        <v>0</v>
      </c>
      <c r="AA85">
        <f>VLOOKUP(Table4[[#This Row],[Shortname]], Comp[], 26, FALSE)</f>
        <v>0</v>
      </c>
      <c r="AB85">
        <f>VLOOKUP(Table4[[#This Row],[Shortname]], Comp[], 27, FALSE)</f>
        <v>0</v>
      </c>
      <c r="AC85">
        <f>VLOOKUP(Table4[[#This Row],[Shortname]], Comp[], 28, FALSE)</f>
        <v>0</v>
      </c>
      <c r="AD85">
        <f>VLOOKUP(Table4[[#This Row],[Shortname]], Comp[], 29, FALSE)</f>
        <v>0</v>
      </c>
      <c r="AE85">
        <f>VLOOKUP(Table4[[#This Row],[Shortname]], Comp[], 30, FALSE)</f>
        <v>0</v>
      </c>
      <c r="AF85">
        <f>VLOOKUP(Table4[[#This Row],[Shortname]], Comp[], 31, FALSE)</f>
        <v>0</v>
      </c>
    </row>
    <row r="86" spans="1:32" x14ac:dyDescent="0.3">
      <c r="A86" t="s">
        <v>1599</v>
      </c>
      <c r="B86" t="s">
        <v>1601</v>
      </c>
      <c r="C86" s="3" t="s">
        <v>1568</v>
      </c>
      <c r="D86">
        <v>25</v>
      </c>
      <c r="E86">
        <v>750</v>
      </c>
      <c r="F86">
        <v>397.67513000917711</v>
      </c>
      <c r="G86">
        <f>VLOOKUP(Table4[[#This Row],[Shortname]], Comp[], 6, FALSE)</f>
        <v>203</v>
      </c>
      <c r="H86" s="14">
        <f>VLOOKUP(Table4[[#This Row],[Shortname]], Comp[], 7, FALSE)</f>
        <v>43.760000000000005</v>
      </c>
      <c r="I86">
        <f>VLOOKUP(Table4[[#This Row],[Shortname]], Comp[], 8, FALSE)</f>
        <v>29.91</v>
      </c>
      <c r="J86">
        <f>VLOOKUP(Table4[[#This Row],[Shortname]], Comp[], 9, FALSE)</f>
        <v>9.0299999999999994</v>
      </c>
      <c r="K86">
        <f>VLOOKUP(Table4[[#This Row],[Shortname]], Comp[], 10, FALSE)</f>
        <v>12.19</v>
      </c>
      <c r="L86">
        <f>VLOOKUP(Table4[[#This Row],[Shortname]], Comp[], 11, FALSE)</f>
        <v>4.07</v>
      </c>
      <c r="M86">
        <f>VLOOKUP(Table4[[#This Row],[Shortname]], Comp[],12, FALSE)</f>
        <v>0</v>
      </c>
      <c r="N86">
        <f>VLOOKUP(Table4[[#This Row],[Shortname]], Comp[], 13, FALSE)</f>
        <v>0</v>
      </c>
      <c r="O86">
        <f>VLOOKUP(Table4[[#This Row],[Shortname]], Comp[], 14, FALSE)</f>
        <v>1.04</v>
      </c>
      <c r="P86">
        <f>VLOOKUP(Table4[[#This Row],[Shortname]], Comp[], 15, FALSE)</f>
        <v>0</v>
      </c>
      <c r="Q86">
        <f>VLOOKUP(Table4[[#This Row],[Shortname]], Comp[], 16, FALSE)</f>
        <v>0</v>
      </c>
      <c r="R86">
        <f>VLOOKUP(Table4[[#This Row],[Shortname]], Comp[], 17, FALSE)</f>
        <v>0</v>
      </c>
      <c r="S86">
        <f>VLOOKUP(Table4[[#This Row],[Shortname]], Comp[], 18, FALSE)</f>
        <v>0</v>
      </c>
      <c r="T86">
        <f>VLOOKUP(Table4[[#This Row],[Shortname]], Comp[], 19, FALSE)</f>
        <v>0</v>
      </c>
      <c r="U86">
        <f>VLOOKUP(Table4[[#This Row],[Shortname]], Comp[], 20, FALSE)</f>
        <v>0</v>
      </c>
      <c r="V86">
        <f>VLOOKUP(Table4[[#This Row],[Shortname]], Comp[], 21, FALSE)</f>
        <v>0</v>
      </c>
      <c r="W86">
        <f>VLOOKUP(Table4[[#This Row],[Shortname]], Comp[], 22, FALSE)</f>
        <v>0</v>
      </c>
      <c r="X86">
        <f>VLOOKUP(Table4[[#This Row],[Shortname]], Comp[], 23, FALSE)</f>
        <v>0</v>
      </c>
      <c r="Y86">
        <f>VLOOKUP(Table4[[#This Row],[Shortname]], Comp[], 24, FALSE)</f>
        <v>0</v>
      </c>
      <c r="Z86">
        <f>VLOOKUP(Table4[[#This Row],[Shortname]], Comp[], 25, FALSE)</f>
        <v>0</v>
      </c>
      <c r="AA86">
        <f>VLOOKUP(Table4[[#This Row],[Shortname]], Comp[], 26, FALSE)</f>
        <v>0</v>
      </c>
      <c r="AB86">
        <f>VLOOKUP(Table4[[#This Row],[Shortname]], Comp[], 27, FALSE)</f>
        <v>0</v>
      </c>
      <c r="AC86">
        <f>VLOOKUP(Table4[[#This Row],[Shortname]], Comp[], 28, FALSE)</f>
        <v>0</v>
      </c>
      <c r="AD86">
        <f>VLOOKUP(Table4[[#This Row],[Shortname]], Comp[], 29, FALSE)</f>
        <v>0</v>
      </c>
      <c r="AE86">
        <f>VLOOKUP(Table4[[#This Row],[Shortname]], Comp[], 30, FALSE)</f>
        <v>0</v>
      </c>
      <c r="AF86">
        <f>VLOOKUP(Table4[[#This Row],[Shortname]], Comp[], 31, FALSE)</f>
        <v>0</v>
      </c>
    </row>
    <row r="87" spans="1:32" x14ac:dyDescent="0.3">
      <c r="A87" t="s">
        <v>1565</v>
      </c>
      <c r="B87" t="s">
        <v>1567</v>
      </c>
      <c r="C87" s="3" t="s">
        <v>1568</v>
      </c>
      <c r="D87">
        <v>25</v>
      </c>
      <c r="E87">
        <v>750</v>
      </c>
      <c r="F87">
        <v>376.26185377791376</v>
      </c>
      <c r="G87">
        <f>VLOOKUP(Table4[[#This Row],[Shortname]], Comp[], 6, FALSE)</f>
        <v>199</v>
      </c>
      <c r="H87" s="14">
        <f>VLOOKUP(Table4[[#This Row],[Shortname]], Comp[], 7, FALSE)</f>
        <v>44.04</v>
      </c>
      <c r="I87">
        <f>VLOOKUP(Table4[[#This Row],[Shortname]], Comp[], 8, FALSE)</f>
        <v>29.71</v>
      </c>
      <c r="J87">
        <f>VLOOKUP(Table4[[#This Row],[Shortname]], Comp[], 9, FALSE)</f>
        <v>8.86</v>
      </c>
      <c r="K87">
        <f>VLOOKUP(Table4[[#This Row],[Shortname]], Comp[], 10, FALSE)</f>
        <v>12.32</v>
      </c>
      <c r="L87">
        <f>VLOOKUP(Table4[[#This Row],[Shortname]], Comp[], 11, FALSE)</f>
        <v>5.07</v>
      </c>
      <c r="M87">
        <f>VLOOKUP(Table4[[#This Row],[Shortname]], Comp[],12, FALSE)</f>
        <v>0</v>
      </c>
      <c r="N87">
        <f>VLOOKUP(Table4[[#This Row],[Shortname]], Comp[], 13, FALSE)</f>
        <v>0</v>
      </c>
      <c r="O87">
        <f>VLOOKUP(Table4[[#This Row],[Shortname]], Comp[], 14, FALSE)</f>
        <v>0</v>
      </c>
      <c r="P87">
        <f>VLOOKUP(Table4[[#This Row],[Shortname]], Comp[], 15, FALSE)</f>
        <v>0</v>
      </c>
      <c r="Q87">
        <f>VLOOKUP(Table4[[#This Row],[Shortname]], Comp[], 16, FALSE)</f>
        <v>0</v>
      </c>
      <c r="R87">
        <f>VLOOKUP(Table4[[#This Row],[Shortname]], Comp[], 17, FALSE)</f>
        <v>0</v>
      </c>
      <c r="S87">
        <f>VLOOKUP(Table4[[#This Row],[Shortname]], Comp[], 18, FALSE)</f>
        <v>0</v>
      </c>
      <c r="T87">
        <f>VLOOKUP(Table4[[#This Row],[Shortname]], Comp[], 19, FALSE)</f>
        <v>0</v>
      </c>
      <c r="U87">
        <f>VLOOKUP(Table4[[#This Row],[Shortname]], Comp[], 20, FALSE)</f>
        <v>0</v>
      </c>
      <c r="V87">
        <f>VLOOKUP(Table4[[#This Row],[Shortname]], Comp[], 21, FALSE)</f>
        <v>0</v>
      </c>
      <c r="W87">
        <f>VLOOKUP(Table4[[#This Row],[Shortname]], Comp[], 22, FALSE)</f>
        <v>0</v>
      </c>
      <c r="X87">
        <f>VLOOKUP(Table4[[#This Row],[Shortname]], Comp[], 23, FALSE)</f>
        <v>0</v>
      </c>
      <c r="Y87">
        <f>VLOOKUP(Table4[[#This Row],[Shortname]], Comp[], 24, FALSE)</f>
        <v>0</v>
      </c>
      <c r="Z87">
        <f>VLOOKUP(Table4[[#This Row],[Shortname]], Comp[], 25, FALSE)</f>
        <v>0</v>
      </c>
      <c r="AA87">
        <f>VLOOKUP(Table4[[#This Row],[Shortname]], Comp[], 26, FALSE)</f>
        <v>0</v>
      </c>
      <c r="AB87">
        <f>VLOOKUP(Table4[[#This Row],[Shortname]], Comp[], 27, FALSE)</f>
        <v>0</v>
      </c>
      <c r="AC87">
        <f>VLOOKUP(Table4[[#This Row],[Shortname]], Comp[], 28, FALSE)</f>
        <v>0</v>
      </c>
      <c r="AD87">
        <f>VLOOKUP(Table4[[#This Row],[Shortname]], Comp[], 29, FALSE)</f>
        <v>0</v>
      </c>
      <c r="AE87">
        <f>VLOOKUP(Table4[[#This Row],[Shortname]], Comp[], 30, FALSE)</f>
        <v>0</v>
      </c>
      <c r="AF87">
        <f>VLOOKUP(Table4[[#This Row],[Shortname]], Comp[], 31, FALSE)</f>
        <v>0</v>
      </c>
    </row>
    <row r="88" spans="1:32" x14ac:dyDescent="0.3">
      <c r="A88" t="s">
        <v>1574</v>
      </c>
      <c r="B88" t="s">
        <v>1576</v>
      </c>
      <c r="C88" s="3" t="s">
        <v>1568</v>
      </c>
      <c r="D88">
        <v>25</v>
      </c>
      <c r="E88">
        <v>750</v>
      </c>
      <c r="F88">
        <v>367.08473539308659</v>
      </c>
      <c r="G88">
        <f>VLOOKUP(Table4[[#This Row],[Shortname]], Comp[], 6, FALSE)</f>
        <v>200</v>
      </c>
      <c r="H88" s="14">
        <f>VLOOKUP(Table4[[#This Row],[Shortname]], Comp[], 7, FALSE)</f>
        <v>44.07</v>
      </c>
      <c r="I88">
        <f>VLOOKUP(Table4[[#This Row],[Shortname]], Comp[], 8, FALSE)</f>
        <v>29.49</v>
      </c>
      <c r="J88">
        <f>VLOOKUP(Table4[[#This Row],[Shortname]], Comp[], 9, FALSE)</f>
        <v>8.9</v>
      </c>
      <c r="K88">
        <f>VLOOKUP(Table4[[#This Row],[Shortname]], Comp[], 10, FALSE)</f>
        <v>12.58</v>
      </c>
      <c r="L88">
        <f>VLOOKUP(Table4[[#This Row],[Shortname]], Comp[], 11, FALSE)</f>
        <v>3.92</v>
      </c>
      <c r="M88">
        <f>VLOOKUP(Table4[[#This Row],[Shortname]], Comp[],12, FALSE)</f>
        <v>0</v>
      </c>
      <c r="N88">
        <f>VLOOKUP(Table4[[#This Row],[Shortname]], Comp[], 13, FALSE)</f>
        <v>0</v>
      </c>
      <c r="O88">
        <f>VLOOKUP(Table4[[#This Row],[Shortname]], Comp[], 14, FALSE)</f>
        <v>0</v>
      </c>
      <c r="P88">
        <f>VLOOKUP(Table4[[#This Row],[Shortname]], Comp[], 15, FALSE)</f>
        <v>0</v>
      </c>
      <c r="Q88">
        <f>VLOOKUP(Table4[[#This Row],[Shortname]], Comp[], 16, FALSE)</f>
        <v>1.04</v>
      </c>
      <c r="R88">
        <f>VLOOKUP(Table4[[#This Row],[Shortname]], Comp[], 17, FALSE)</f>
        <v>0</v>
      </c>
      <c r="S88">
        <f>VLOOKUP(Table4[[#This Row],[Shortname]], Comp[], 18, FALSE)</f>
        <v>0</v>
      </c>
      <c r="T88">
        <f>VLOOKUP(Table4[[#This Row],[Shortname]], Comp[], 19, FALSE)</f>
        <v>0</v>
      </c>
      <c r="U88">
        <f>VLOOKUP(Table4[[#This Row],[Shortname]], Comp[], 20, FALSE)</f>
        <v>0</v>
      </c>
      <c r="V88">
        <f>VLOOKUP(Table4[[#This Row],[Shortname]], Comp[], 21, FALSE)</f>
        <v>0</v>
      </c>
      <c r="W88">
        <f>VLOOKUP(Table4[[#This Row],[Shortname]], Comp[], 22, FALSE)</f>
        <v>0</v>
      </c>
      <c r="X88">
        <f>VLOOKUP(Table4[[#This Row],[Shortname]], Comp[], 23, FALSE)</f>
        <v>0</v>
      </c>
      <c r="Y88">
        <f>VLOOKUP(Table4[[#This Row],[Shortname]], Comp[], 24, FALSE)</f>
        <v>0</v>
      </c>
      <c r="Z88">
        <f>VLOOKUP(Table4[[#This Row],[Shortname]], Comp[], 25, FALSE)</f>
        <v>0</v>
      </c>
      <c r="AA88">
        <f>VLOOKUP(Table4[[#This Row],[Shortname]], Comp[], 26, FALSE)</f>
        <v>0</v>
      </c>
      <c r="AB88">
        <f>VLOOKUP(Table4[[#This Row],[Shortname]], Comp[], 27, FALSE)</f>
        <v>0</v>
      </c>
      <c r="AC88">
        <f>VLOOKUP(Table4[[#This Row],[Shortname]], Comp[], 28, FALSE)</f>
        <v>0</v>
      </c>
      <c r="AD88">
        <f>VLOOKUP(Table4[[#This Row],[Shortname]], Comp[], 29, FALSE)</f>
        <v>0</v>
      </c>
      <c r="AE88">
        <f>VLOOKUP(Table4[[#This Row],[Shortname]], Comp[], 30, FALSE)</f>
        <v>0</v>
      </c>
      <c r="AF88">
        <f>VLOOKUP(Table4[[#This Row],[Shortname]], Comp[], 31, FALSE)</f>
        <v>0</v>
      </c>
    </row>
    <row r="89" spans="1:32" x14ac:dyDescent="0.3">
      <c r="A89" t="s">
        <v>1580</v>
      </c>
      <c r="B89" t="s">
        <v>1582</v>
      </c>
      <c r="C89" s="3" t="s">
        <v>1568</v>
      </c>
      <c r="D89">
        <v>25</v>
      </c>
      <c r="E89">
        <v>750</v>
      </c>
      <c r="F89">
        <v>344.65177934128684</v>
      </c>
      <c r="G89">
        <f>VLOOKUP(Table4[[#This Row],[Shortname]], Comp[], 6, FALSE)</f>
        <v>201</v>
      </c>
      <c r="H89" s="14">
        <f>VLOOKUP(Table4[[#This Row],[Shortname]], Comp[], 7, FALSE)</f>
        <v>44.220000000000006</v>
      </c>
      <c r="I89">
        <f>VLOOKUP(Table4[[#This Row],[Shortname]], Comp[], 8, FALSE)</f>
        <v>29.89</v>
      </c>
      <c r="J89">
        <f>VLOOKUP(Table4[[#This Row],[Shortname]], Comp[], 9, FALSE)</f>
        <v>8.91</v>
      </c>
      <c r="K89">
        <f>VLOOKUP(Table4[[#This Row],[Shortname]], Comp[], 10, FALSE)</f>
        <v>12.1</v>
      </c>
      <c r="L89">
        <f>VLOOKUP(Table4[[#This Row],[Shortname]], Comp[], 11, FALSE)</f>
        <v>3.09</v>
      </c>
      <c r="M89">
        <f>VLOOKUP(Table4[[#This Row],[Shortname]], Comp[],12, FALSE)</f>
        <v>0</v>
      </c>
      <c r="N89">
        <f>VLOOKUP(Table4[[#This Row],[Shortname]], Comp[], 13, FALSE)</f>
        <v>0</v>
      </c>
      <c r="O89">
        <f>VLOOKUP(Table4[[#This Row],[Shortname]], Comp[], 14, FALSE)</f>
        <v>0</v>
      </c>
      <c r="P89">
        <f>VLOOKUP(Table4[[#This Row],[Shortname]], Comp[], 15, FALSE)</f>
        <v>0</v>
      </c>
      <c r="Q89">
        <f>VLOOKUP(Table4[[#This Row],[Shortname]], Comp[], 16, FALSE)</f>
        <v>1.79</v>
      </c>
      <c r="R89">
        <f>VLOOKUP(Table4[[#This Row],[Shortname]], Comp[], 17, FALSE)</f>
        <v>0</v>
      </c>
      <c r="S89">
        <f>VLOOKUP(Table4[[#This Row],[Shortname]], Comp[], 18, FALSE)</f>
        <v>0</v>
      </c>
      <c r="T89">
        <f>VLOOKUP(Table4[[#This Row],[Shortname]], Comp[], 19, FALSE)</f>
        <v>0</v>
      </c>
      <c r="U89">
        <f>VLOOKUP(Table4[[#This Row],[Shortname]], Comp[], 20, FALSE)</f>
        <v>0</v>
      </c>
      <c r="V89">
        <f>VLOOKUP(Table4[[#This Row],[Shortname]], Comp[], 21, FALSE)</f>
        <v>0</v>
      </c>
      <c r="W89">
        <f>VLOOKUP(Table4[[#This Row],[Shortname]], Comp[], 22, FALSE)</f>
        <v>0</v>
      </c>
      <c r="X89">
        <f>VLOOKUP(Table4[[#This Row],[Shortname]], Comp[], 23, FALSE)</f>
        <v>0</v>
      </c>
      <c r="Y89">
        <f>VLOOKUP(Table4[[#This Row],[Shortname]], Comp[], 24, FALSE)</f>
        <v>0</v>
      </c>
      <c r="Z89">
        <f>VLOOKUP(Table4[[#This Row],[Shortname]], Comp[], 25, FALSE)</f>
        <v>0</v>
      </c>
      <c r="AA89">
        <f>VLOOKUP(Table4[[#This Row],[Shortname]], Comp[], 26, FALSE)</f>
        <v>0</v>
      </c>
      <c r="AB89">
        <f>VLOOKUP(Table4[[#This Row],[Shortname]], Comp[], 27, FALSE)</f>
        <v>0</v>
      </c>
      <c r="AC89">
        <f>VLOOKUP(Table4[[#This Row],[Shortname]], Comp[], 28, FALSE)</f>
        <v>0</v>
      </c>
      <c r="AD89">
        <f>VLOOKUP(Table4[[#This Row],[Shortname]], Comp[], 29, FALSE)</f>
        <v>0</v>
      </c>
      <c r="AE89">
        <f>VLOOKUP(Table4[[#This Row],[Shortname]], Comp[], 30, FALSE)</f>
        <v>0</v>
      </c>
      <c r="AF89">
        <f>VLOOKUP(Table4[[#This Row],[Shortname]], Comp[], 31, FALSE)</f>
        <v>0</v>
      </c>
    </row>
    <row r="90" spans="1:32" x14ac:dyDescent="0.3">
      <c r="A90" t="s">
        <v>1589</v>
      </c>
      <c r="B90" t="s">
        <v>1591</v>
      </c>
      <c r="C90" s="3" t="s">
        <v>1568</v>
      </c>
      <c r="D90">
        <v>25</v>
      </c>
      <c r="E90">
        <v>750</v>
      </c>
      <c r="F90">
        <v>320.17946364841441</v>
      </c>
      <c r="G90">
        <f>VLOOKUP(Table4[[#This Row],[Shortname]], Comp[], 6, FALSE)</f>
        <v>202</v>
      </c>
      <c r="H90" s="14">
        <f>VLOOKUP(Table4[[#This Row],[Shortname]], Comp[], 7, FALSE)</f>
        <v>46.809999999999995</v>
      </c>
      <c r="I90">
        <f>VLOOKUP(Table4[[#This Row],[Shortname]], Comp[], 8, FALSE)</f>
        <v>26.69</v>
      </c>
      <c r="J90">
        <f>VLOOKUP(Table4[[#This Row],[Shortname]], Comp[], 9, FALSE)</f>
        <v>9.0500000000000007</v>
      </c>
      <c r="K90">
        <f>VLOOKUP(Table4[[#This Row],[Shortname]], Comp[], 10, FALSE)</f>
        <v>12.42</v>
      </c>
      <c r="L90">
        <f>VLOOKUP(Table4[[#This Row],[Shortname]], Comp[], 11, FALSE)</f>
        <v>1.25</v>
      </c>
      <c r="M90">
        <f>VLOOKUP(Table4[[#This Row],[Shortname]], Comp[],12, FALSE)</f>
        <v>0</v>
      </c>
      <c r="N90">
        <f>VLOOKUP(Table4[[#This Row],[Shortname]], Comp[], 13, FALSE)</f>
        <v>0</v>
      </c>
      <c r="O90">
        <f>VLOOKUP(Table4[[#This Row],[Shortname]], Comp[], 14, FALSE)</f>
        <v>0</v>
      </c>
      <c r="P90">
        <f>VLOOKUP(Table4[[#This Row],[Shortname]], Comp[], 15, FALSE)</f>
        <v>0</v>
      </c>
      <c r="Q90">
        <f>VLOOKUP(Table4[[#This Row],[Shortname]], Comp[], 16, FALSE)</f>
        <v>3.78</v>
      </c>
      <c r="R90">
        <f>VLOOKUP(Table4[[#This Row],[Shortname]], Comp[], 17, FALSE)</f>
        <v>0</v>
      </c>
      <c r="S90">
        <f>VLOOKUP(Table4[[#This Row],[Shortname]], Comp[], 18, FALSE)</f>
        <v>0</v>
      </c>
      <c r="T90">
        <f>VLOOKUP(Table4[[#This Row],[Shortname]], Comp[], 19, FALSE)</f>
        <v>0</v>
      </c>
      <c r="U90">
        <f>VLOOKUP(Table4[[#This Row],[Shortname]], Comp[], 20, FALSE)</f>
        <v>0</v>
      </c>
      <c r="V90">
        <f>VLOOKUP(Table4[[#This Row],[Shortname]], Comp[], 21, FALSE)</f>
        <v>0</v>
      </c>
      <c r="W90">
        <f>VLOOKUP(Table4[[#This Row],[Shortname]], Comp[], 22, FALSE)</f>
        <v>0</v>
      </c>
      <c r="X90">
        <f>VLOOKUP(Table4[[#This Row],[Shortname]], Comp[], 23, FALSE)</f>
        <v>0</v>
      </c>
      <c r="Y90">
        <f>VLOOKUP(Table4[[#This Row],[Shortname]], Comp[], 24, FALSE)</f>
        <v>0</v>
      </c>
      <c r="Z90">
        <f>VLOOKUP(Table4[[#This Row],[Shortname]], Comp[], 25, FALSE)</f>
        <v>0</v>
      </c>
      <c r="AA90">
        <f>VLOOKUP(Table4[[#This Row],[Shortname]], Comp[], 26, FALSE)</f>
        <v>0</v>
      </c>
      <c r="AB90">
        <f>VLOOKUP(Table4[[#This Row],[Shortname]], Comp[], 27, FALSE)</f>
        <v>0</v>
      </c>
      <c r="AC90">
        <f>VLOOKUP(Table4[[#This Row],[Shortname]], Comp[], 28, FALSE)</f>
        <v>0</v>
      </c>
      <c r="AD90">
        <f>VLOOKUP(Table4[[#This Row],[Shortname]], Comp[], 29, FALSE)</f>
        <v>0</v>
      </c>
      <c r="AE90">
        <f>VLOOKUP(Table4[[#This Row],[Shortname]], Comp[], 30, FALSE)</f>
        <v>0</v>
      </c>
      <c r="AF90">
        <f>VLOOKUP(Table4[[#This Row],[Shortname]], Comp[], 31, FALSE)</f>
        <v>0</v>
      </c>
    </row>
    <row r="91" spans="1:32" x14ac:dyDescent="0.3">
      <c r="A91" t="s">
        <v>1620</v>
      </c>
      <c r="B91" t="s">
        <v>1622</v>
      </c>
      <c r="C91" s="3" t="s">
        <v>1623</v>
      </c>
      <c r="D91">
        <v>25</v>
      </c>
      <c r="E91">
        <v>650</v>
      </c>
      <c r="F91">
        <v>434</v>
      </c>
      <c r="G91">
        <f>VLOOKUP(Table4[[#This Row],[Shortname]], Comp[], 6, FALSE)</f>
        <v>206</v>
      </c>
      <c r="H91" s="14">
        <f>VLOOKUP(Table4[[#This Row],[Shortname]], Comp[], 7, FALSE)</f>
        <v>60</v>
      </c>
      <c r="I91">
        <f>VLOOKUP(Table4[[#This Row],[Shortname]], Comp[], 8, FALSE)</f>
        <v>30</v>
      </c>
      <c r="J91">
        <f>VLOOKUP(Table4[[#This Row],[Shortname]], Comp[], 9, FALSE)</f>
        <v>6.7</v>
      </c>
      <c r="K91">
        <f>VLOOKUP(Table4[[#This Row],[Shortname]], Comp[], 10, FALSE)</f>
        <v>0</v>
      </c>
      <c r="L91">
        <f>VLOOKUP(Table4[[#This Row],[Shortname]], Comp[], 11, FALSE)</f>
        <v>0</v>
      </c>
      <c r="M91">
        <f>VLOOKUP(Table4[[#This Row],[Shortname]], Comp[],12, FALSE)</f>
        <v>3.3</v>
      </c>
      <c r="N91">
        <f>VLOOKUP(Table4[[#This Row],[Shortname]], Comp[], 13, FALSE)</f>
        <v>0</v>
      </c>
      <c r="O91">
        <f>VLOOKUP(Table4[[#This Row],[Shortname]], Comp[], 14, FALSE)</f>
        <v>0</v>
      </c>
      <c r="P91">
        <f>VLOOKUP(Table4[[#This Row],[Shortname]], Comp[], 15, FALSE)</f>
        <v>0</v>
      </c>
      <c r="Q91">
        <f>VLOOKUP(Table4[[#This Row],[Shortname]], Comp[], 16, FALSE)</f>
        <v>0</v>
      </c>
      <c r="R91">
        <f>VLOOKUP(Table4[[#This Row],[Shortname]], Comp[], 17, FALSE)</f>
        <v>0</v>
      </c>
      <c r="S91">
        <f>VLOOKUP(Table4[[#This Row],[Shortname]], Comp[], 18, FALSE)</f>
        <v>0</v>
      </c>
      <c r="T91">
        <f>VLOOKUP(Table4[[#This Row],[Shortname]], Comp[], 19, FALSE)</f>
        <v>0</v>
      </c>
      <c r="U91">
        <f>VLOOKUP(Table4[[#This Row],[Shortname]], Comp[], 20, FALSE)</f>
        <v>0</v>
      </c>
      <c r="V91">
        <f>VLOOKUP(Table4[[#This Row],[Shortname]], Comp[], 21, FALSE)</f>
        <v>0</v>
      </c>
      <c r="W91">
        <f>VLOOKUP(Table4[[#This Row],[Shortname]], Comp[], 22, FALSE)</f>
        <v>0</v>
      </c>
      <c r="X91">
        <f>VLOOKUP(Table4[[#This Row],[Shortname]], Comp[], 23, FALSE)</f>
        <v>0</v>
      </c>
      <c r="Y91">
        <f>VLOOKUP(Table4[[#This Row],[Shortname]], Comp[], 24, FALSE)</f>
        <v>0</v>
      </c>
      <c r="Z91">
        <f>VLOOKUP(Table4[[#This Row],[Shortname]], Comp[], 25, FALSE)</f>
        <v>0</v>
      </c>
      <c r="AA91">
        <f>VLOOKUP(Table4[[#This Row],[Shortname]], Comp[], 26, FALSE)</f>
        <v>0</v>
      </c>
      <c r="AB91">
        <f>VLOOKUP(Table4[[#This Row],[Shortname]], Comp[], 27, FALSE)</f>
        <v>0</v>
      </c>
      <c r="AC91">
        <f>VLOOKUP(Table4[[#This Row],[Shortname]], Comp[], 28, FALSE)</f>
        <v>0</v>
      </c>
      <c r="AD91">
        <f>VLOOKUP(Table4[[#This Row],[Shortname]], Comp[], 29, FALSE)</f>
        <v>0</v>
      </c>
      <c r="AE91">
        <f>VLOOKUP(Table4[[#This Row],[Shortname]], Comp[], 30, FALSE)</f>
        <v>0</v>
      </c>
      <c r="AF91">
        <f>VLOOKUP(Table4[[#This Row],[Shortname]], Comp[], 31, FALSE)</f>
        <v>0</v>
      </c>
    </row>
    <row r="92" spans="1:32" x14ac:dyDescent="0.3">
      <c r="A92" t="s">
        <v>1641</v>
      </c>
      <c r="B92" t="s">
        <v>1484</v>
      </c>
      <c r="C92" s="3" t="s">
        <v>1623</v>
      </c>
      <c r="D92">
        <v>25</v>
      </c>
      <c r="E92">
        <v>650</v>
      </c>
      <c r="F92">
        <v>398</v>
      </c>
      <c r="G92">
        <f>VLOOKUP(Table4[[#This Row],[Shortname]], Comp[], 6, FALSE)</f>
        <v>209</v>
      </c>
      <c r="H92" s="14">
        <f>VLOOKUP(Table4[[#This Row],[Shortname]], Comp[], 7, FALSE)</f>
        <v>58</v>
      </c>
      <c r="I92">
        <f>VLOOKUP(Table4[[#This Row],[Shortname]], Comp[], 8, FALSE)</f>
        <v>30</v>
      </c>
      <c r="J92">
        <f>VLOOKUP(Table4[[#This Row],[Shortname]], Comp[], 9, FALSE)</f>
        <v>7.5</v>
      </c>
      <c r="K92">
        <f>VLOOKUP(Table4[[#This Row],[Shortname]], Comp[], 10, FALSE)</f>
        <v>0</v>
      </c>
      <c r="L92">
        <f>VLOOKUP(Table4[[#This Row],[Shortname]], Comp[], 11, FALSE)</f>
        <v>0</v>
      </c>
      <c r="M92">
        <f>VLOOKUP(Table4[[#This Row],[Shortname]], Comp[],12, FALSE)</f>
        <v>2.5</v>
      </c>
      <c r="N92">
        <f>VLOOKUP(Table4[[#This Row],[Shortname]], Comp[], 13, FALSE)</f>
        <v>0</v>
      </c>
      <c r="O92">
        <f>VLOOKUP(Table4[[#This Row],[Shortname]], Comp[], 14, FALSE)</f>
        <v>0</v>
      </c>
      <c r="P92">
        <f>VLOOKUP(Table4[[#This Row],[Shortname]], Comp[], 15, FALSE)</f>
        <v>0</v>
      </c>
      <c r="Q92">
        <f>VLOOKUP(Table4[[#This Row],[Shortname]], Comp[], 16, FALSE)</f>
        <v>2</v>
      </c>
      <c r="R92">
        <f>VLOOKUP(Table4[[#This Row],[Shortname]], Comp[], 17, FALSE)</f>
        <v>0</v>
      </c>
      <c r="S92">
        <f>VLOOKUP(Table4[[#This Row],[Shortname]], Comp[], 18, FALSE)</f>
        <v>0</v>
      </c>
      <c r="T92">
        <f>VLOOKUP(Table4[[#This Row],[Shortname]], Comp[], 19, FALSE)</f>
        <v>0</v>
      </c>
      <c r="U92">
        <f>VLOOKUP(Table4[[#This Row],[Shortname]], Comp[], 20, FALSE)</f>
        <v>0</v>
      </c>
      <c r="V92">
        <f>VLOOKUP(Table4[[#This Row],[Shortname]], Comp[], 21, FALSE)</f>
        <v>0</v>
      </c>
      <c r="W92">
        <f>VLOOKUP(Table4[[#This Row],[Shortname]], Comp[], 22, FALSE)</f>
        <v>0</v>
      </c>
      <c r="X92">
        <f>VLOOKUP(Table4[[#This Row],[Shortname]], Comp[], 23, FALSE)</f>
        <v>0</v>
      </c>
      <c r="Y92">
        <f>VLOOKUP(Table4[[#This Row],[Shortname]], Comp[], 24, FALSE)</f>
        <v>0</v>
      </c>
      <c r="Z92">
        <f>VLOOKUP(Table4[[#This Row],[Shortname]], Comp[], 25, FALSE)</f>
        <v>0</v>
      </c>
      <c r="AA92">
        <f>VLOOKUP(Table4[[#This Row],[Shortname]], Comp[], 26, FALSE)</f>
        <v>0</v>
      </c>
      <c r="AB92">
        <f>VLOOKUP(Table4[[#This Row],[Shortname]], Comp[], 27, FALSE)</f>
        <v>0</v>
      </c>
      <c r="AC92">
        <f>VLOOKUP(Table4[[#This Row],[Shortname]], Comp[], 28, FALSE)</f>
        <v>0</v>
      </c>
      <c r="AD92">
        <f>VLOOKUP(Table4[[#This Row],[Shortname]], Comp[], 29, FALSE)</f>
        <v>0</v>
      </c>
      <c r="AE92">
        <f>VLOOKUP(Table4[[#This Row],[Shortname]], Comp[], 30, FALSE)</f>
        <v>0</v>
      </c>
      <c r="AF92">
        <f>VLOOKUP(Table4[[#This Row],[Shortname]], Comp[], 31, FALSE)</f>
        <v>0</v>
      </c>
    </row>
    <row r="93" spans="1:32" x14ac:dyDescent="0.3">
      <c r="A93" t="s">
        <v>1629</v>
      </c>
      <c r="B93" t="s">
        <v>1631</v>
      </c>
      <c r="C93" s="3" t="s">
        <v>1623</v>
      </c>
      <c r="D93">
        <v>25</v>
      </c>
      <c r="E93">
        <v>650</v>
      </c>
      <c r="F93">
        <v>369</v>
      </c>
      <c r="G93">
        <f>VLOOKUP(Table4[[#This Row],[Shortname]], Comp[], 6, FALSE)</f>
        <v>207</v>
      </c>
      <c r="H93" s="14">
        <f>VLOOKUP(Table4[[#This Row],[Shortname]], Comp[], 7, FALSE)</f>
        <v>60</v>
      </c>
      <c r="I93">
        <f>VLOOKUP(Table4[[#This Row],[Shortname]], Comp[], 8, FALSE)</f>
        <v>30</v>
      </c>
      <c r="J93">
        <f>VLOOKUP(Table4[[#This Row],[Shortname]], Comp[], 9, FALSE)</f>
        <v>7.5</v>
      </c>
      <c r="K93">
        <f>VLOOKUP(Table4[[#This Row],[Shortname]], Comp[], 10, FALSE)</f>
        <v>0</v>
      </c>
      <c r="L93">
        <f>VLOOKUP(Table4[[#This Row],[Shortname]], Comp[], 11, FALSE)</f>
        <v>0</v>
      </c>
      <c r="M93">
        <f>VLOOKUP(Table4[[#This Row],[Shortname]], Comp[],12, FALSE)</f>
        <v>2.5</v>
      </c>
      <c r="N93">
        <f>VLOOKUP(Table4[[#This Row],[Shortname]], Comp[], 13, FALSE)</f>
        <v>0</v>
      </c>
      <c r="O93">
        <f>VLOOKUP(Table4[[#This Row],[Shortname]], Comp[], 14, FALSE)</f>
        <v>0</v>
      </c>
      <c r="P93">
        <f>VLOOKUP(Table4[[#This Row],[Shortname]], Comp[], 15, FALSE)</f>
        <v>0</v>
      </c>
      <c r="Q93">
        <f>VLOOKUP(Table4[[#This Row],[Shortname]], Comp[], 16, FALSE)</f>
        <v>0</v>
      </c>
      <c r="R93">
        <f>VLOOKUP(Table4[[#This Row],[Shortname]], Comp[], 17, FALSE)</f>
        <v>0</v>
      </c>
      <c r="S93">
        <f>VLOOKUP(Table4[[#This Row],[Shortname]], Comp[], 18, FALSE)</f>
        <v>0</v>
      </c>
      <c r="T93">
        <f>VLOOKUP(Table4[[#This Row],[Shortname]], Comp[], 19, FALSE)</f>
        <v>0</v>
      </c>
      <c r="U93">
        <f>VLOOKUP(Table4[[#This Row],[Shortname]], Comp[], 20, FALSE)</f>
        <v>0</v>
      </c>
      <c r="V93">
        <f>VLOOKUP(Table4[[#This Row],[Shortname]], Comp[], 21, FALSE)</f>
        <v>0</v>
      </c>
      <c r="W93">
        <f>VLOOKUP(Table4[[#This Row],[Shortname]], Comp[], 22, FALSE)</f>
        <v>0</v>
      </c>
      <c r="X93">
        <f>VLOOKUP(Table4[[#This Row],[Shortname]], Comp[], 23, FALSE)</f>
        <v>0</v>
      </c>
      <c r="Y93">
        <f>VLOOKUP(Table4[[#This Row],[Shortname]], Comp[], 24, FALSE)</f>
        <v>0</v>
      </c>
      <c r="Z93">
        <f>VLOOKUP(Table4[[#This Row],[Shortname]], Comp[], 25, FALSE)</f>
        <v>0</v>
      </c>
      <c r="AA93">
        <f>VLOOKUP(Table4[[#This Row],[Shortname]], Comp[], 26, FALSE)</f>
        <v>0</v>
      </c>
      <c r="AB93">
        <f>VLOOKUP(Table4[[#This Row],[Shortname]], Comp[], 27, FALSE)</f>
        <v>0</v>
      </c>
      <c r="AC93">
        <f>VLOOKUP(Table4[[#This Row],[Shortname]], Comp[], 28, FALSE)</f>
        <v>0</v>
      </c>
      <c r="AD93">
        <f>VLOOKUP(Table4[[#This Row],[Shortname]], Comp[], 29, FALSE)</f>
        <v>0</v>
      </c>
      <c r="AE93">
        <f>VLOOKUP(Table4[[#This Row],[Shortname]], Comp[], 30, FALSE)</f>
        <v>0</v>
      </c>
      <c r="AF93">
        <f>VLOOKUP(Table4[[#This Row],[Shortname]], Comp[], 31, FALSE)</f>
        <v>0</v>
      </c>
    </row>
    <row r="94" spans="1:32" x14ac:dyDescent="0.3">
      <c r="A94" t="s">
        <v>1620</v>
      </c>
      <c r="B94" t="s">
        <v>1622</v>
      </c>
      <c r="C94" s="3" t="s">
        <v>1623</v>
      </c>
      <c r="D94">
        <v>25</v>
      </c>
      <c r="E94">
        <v>650</v>
      </c>
      <c r="F94">
        <v>367</v>
      </c>
      <c r="G94">
        <f>VLOOKUP(Table4[[#This Row],[Shortname]], Comp[], 6, FALSE)</f>
        <v>206</v>
      </c>
      <c r="H94" s="14">
        <f>VLOOKUP(Table4[[#This Row],[Shortname]], Comp[], 7, FALSE)</f>
        <v>60</v>
      </c>
      <c r="I94">
        <f>VLOOKUP(Table4[[#This Row],[Shortname]], Comp[], 8, FALSE)</f>
        <v>30</v>
      </c>
      <c r="J94">
        <f>VLOOKUP(Table4[[#This Row],[Shortname]], Comp[], 9, FALSE)</f>
        <v>6.7</v>
      </c>
      <c r="K94">
        <f>VLOOKUP(Table4[[#This Row],[Shortname]], Comp[], 10, FALSE)</f>
        <v>0</v>
      </c>
      <c r="L94">
        <f>VLOOKUP(Table4[[#This Row],[Shortname]], Comp[], 11, FALSE)</f>
        <v>0</v>
      </c>
      <c r="M94">
        <f>VLOOKUP(Table4[[#This Row],[Shortname]], Comp[],12, FALSE)</f>
        <v>3.3</v>
      </c>
      <c r="N94">
        <f>VLOOKUP(Table4[[#This Row],[Shortname]], Comp[], 13, FALSE)</f>
        <v>0</v>
      </c>
      <c r="O94">
        <f>VLOOKUP(Table4[[#This Row],[Shortname]], Comp[], 14, FALSE)</f>
        <v>0</v>
      </c>
      <c r="P94">
        <f>VLOOKUP(Table4[[#This Row],[Shortname]], Comp[], 15, FALSE)</f>
        <v>0</v>
      </c>
      <c r="Q94">
        <f>VLOOKUP(Table4[[#This Row],[Shortname]], Comp[], 16, FALSE)</f>
        <v>0</v>
      </c>
      <c r="R94">
        <f>VLOOKUP(Table4[[#This Row],[Shortname]], Comp[], 17, FALSE)</f>
        <v>0</v>
      </c>
      <c r="S94">
        <f>VLOOKUP(Table4[[#This Row],[Shortname]], Comp[], 18, FALSE)</f>
        <v>0</v>
      </c>
      <c r="T94">
        <f>VLOOKUP(Table4[[#This Row],[Shortname]], Comp[], 19, FALSE)</f>
        <v>0</v>
      </c>
      <c r="U94">
        <f>VLOOKUP(Table4[[#This Row],[Shortname]], Comp[], 20, FALSE)</f>
        <v>0</v>
      </c>
      <c r="V94">
        <f>VLOOKUP(Table4[[#This Row],[Shortname]], Comp[], 21, FALSE)</f>
        <v>0</v>
      </c>
      <c r="W94">
        <f>VLOOKUP(Table4[[#This Row],[Shortname]], Comp[], 22, FALSE)</f>
        <v>0</v>
      </c>
      <c r="X94">
        <f>VLOOKUP(Table4[[#This Row],[Shortname]], Comp[], 23, FALSE)</f>
        <v>0</v>
      </c>
      <c r="Y94">
        <f>VLOOKUP(Table4[[#This Row],[Shortname]], Comp[], 24, FALSE)</f>
        <v>0</v>
      </c>
      <c r="Z94">
        <f>VLOOKUP(Table4[[#This Row],[Shortname]], Comp[], 25, FALSE)</f>
        <v>0</v>
      </c>
      <c r="AA94">
        <f>VLOOKUP(Table4[[#This Row],[Shortname]], Comp[], 26, FALSE)</f>
        <v>0</v>
      </c>
      <c r="AB94">
        <f>VLOOKUP(Table4[[#This Row],[Shortname]], Comp[], 27, FALSE)</f>
        <v>0</v>
      </c>
      <c r="AC94">
        <f>VLOOKUP(Table4[[#This Row],[Shortname]], Comp[], 28, FALSE)</f>
        <v>0</v>
      </c>
      <c r="AD94">
        <f>VLOOKUP(Table4[[#This Row],[Shortname]], Comp[], 29, FALSE)</f>
        <v>0</v>
      </c>
      <c r="AE94">
        <f>VLOOKUP(Table4[[#This Row],[Shortname]], Comp[], 30, FALSE)</f>
        <v>0</v>
      </c>
      <c r="AF94">
        <f>VLOOKUP(Table4[[#This Row],[Shortname]], Comp[], 31, FALSE)</f>
        <v>0</v>
      </c>
    </row>
    <row r="95" spans="1:32" x14ac:dyDescent="0.3">
      <c r="A95" t="s">
        <v>1646</v>
      </c>
      <c r="B95" t="s">
        <v>1648</v>
      </c>
      <c r="C95" s="3" t="s">
        <v>1623</v>
      </c>
      <c r="D95">
        <v>25</v>
      </c>
      <c r="E95">
        <v>650</v>
      </c>
      <c r="F95">
        <v>356</v>
      </c>
      <c r="G95">
        <f>VLOOKUP(Table4[[#This Row],[Shortname]], Comp[], 6, FALSE)</f>
        <v>210</v>
      </c>
      <c r="H95" s="14">
        <f>VLOOKUP(Table4[[#This Row],[Shortname]], Comp[], 7, FALSE)</f>
        <v>60</v>
      </c>
      <c r="I95">
        <f>VLOOKUP(Table4[[#This Row],[Shortname]], Comp[], 8, FALSE)</f>
        <v>30</v>
      </c>
      <c r="J95">
        <f>VLOOKUP(Table4[[#This Row],[Shortname]], Comp[], 9, FALSE)</f>
        <v>8.3000000000000007</v>
      </c>
      <c r="K95">
        <f>VLOOKUP(Table4[[#This Row],[Shortname]], Comp[], 10, FALSE)</f>
        <v>0</v>
      </c>
      <c r="L95">
        <f>VLOOKUP(Table4[[#This Row],[Shortname]], Comp[], 11, FALSE)</f>
        <v>0</v>
      </c>
      <c r="M95">
        <f>VLOOKUP(Table4[[#This Row],[Shortname]], Comp[],12, FALSE)</f>
        <v>1.7</v>
      </c>
      <c r="N95">
        <f>VLOOKUP(Table4[[#This Row],[Shortname]], Comp[], 13, FALSE)</f>
        <v>0</v>
      </c>
      <c r="O95">
        <f>VLOOKUP(Table4[[#This Row],[Shortname]], Comp[], 14, FALSE)</f>
        <v>0</v>
      </c>
      <c r="P95">
        <f>VLOOKUP(Table4[[#This Row],[Shortname]], Comp[], 15, FALSE)</f>
        <v>0</v>
      </c>
      <c r="Q95">
        <f>VLOOKUP(Table4[[#This Row],[Shortname]], Comp[], 16, FALSE)</f>
        <v>0</v>
      </c>
      <c r="R95">
        <f>VLOOKUP(Table4[[#This Row],[Shortname]], Comp[], 17, FALSE)</f>
        <v>0</v>
      </c>
      <c r="S95">
        <f>VLOOKUP(Table4[[#This Row],[Shortname]], Comp[], 18, FALSE)</f>
        <v>0</v>
      </c>
      <c r="T95">
        <f>VLOOKUP(Table4[[#This Row],[Shortname]], Comp[], 19, FALSE)</f>
        <v>0</v>
      </c>
      <c r="U95">
        <f>VLOOKUP(Table4[[#This Row],[Shortname]], Comp[], 20, FALSE)</f>
        <v>0</v>
      </c>
      <c r="V95">
        <f>VLOOKUP(Table4[[#This Row],[Shortname]], Comp[], 21, FALSE)</f>
        <v>0</v>
      </c>
      <c r="W95">
        <f>VLOOKUP(Table4[[#This Row],[Shortname]], Comp[], 22, FALSE)</f>
        <v>0</v>
      </c>
      <c r="X95">
        <f>VLOOKUP(Table4[[#This Row],[Shortname]], Comp[], 23, FALSE)</f>
        <v>0</v>
      </c>
      <c r="Y95">
        <f>VLOOKUP(Table4[[#This Row],[Shortname]], Comp[], 24, FALSE)</f>
        <v>0</v>
      </c>
      <c r="Z95">
        <f>VLOOKUP(Table4[[#This Row],[Shortname]], Comp[], 25, FALSE)</f>
        <v>0</v>
      </c>
      <c r="AA95">
        <f>VLOOKUP(Table4[[#This Row],[Shortname]], Comp[], 26, FALSE)</f>
        <v>0</v>
      </c>
      <c r="AB95">
        <f>VLOOKUP(Table4[[#This Row],[Shortname]], Comp[], 27, FALSE)</f>
        <v>0</v>
      </c>
      <c r="AC95">
        <f>VLOOKUP(Table4[[#This Row],[Shortname]], Comp[], 28, FALSE)</f>
        <v>0</v>
      </c>
      <c r="AD95">
        <f>VLOOKUP(Table4[[#This Row],[Shortname]], Comp[], 29, FALSE)</f>
        <v>0</v>
      </c>
      <c r="AE95">
        <f>VLOOKUP(Table4[[#This Row],[Shortname]], Comp[], 30, FALSE)</f>
        <v>0</v>
      </c>
      <c r="AF95">
        <f>VLOOKUP(Table4[[#This Row],[Shortname]], Comp[], 31, FALSE)</f>
        <v>0</v>
      </c>
    </row>
    <row r="96" spans="1:32" x14ac:dyDescent="0.3">
      <c r="A96" t="s">
        <v>1635</v>
      </c>
      <c r="B96" t="s">
        <v>1637</v>
      </c>
      <c r="C96" s="3" t="s">
        <v>1623</v>
      </c>
      <c r="D96">
        <v>25</v>
      </c>
      <c r="E96">
        <v>650</v>
      </c>
      <c r="F96">
        <v>336</v>
      </c>
      <c r="G96">
        <f>VLOOKUP(Table4[[#This Row],[Shortname]], Comp[], 6, FALSE)</f>
        <v>208</v>
      </c>
      <c r="H96" s="14">
        <f>VLOOKUP(Table4[[#This Row],[Shortname]], Comp[], 7, FALSE)</f>
        <v>58</v>
      </c>
      <c r="I96">
        <f>VLOOKUP(Table4[[#This Row],[Shortname]], Comp[], 8, FALSE)</f>
        <v>30</v>
      </c>
      <c r="J96">
        <f>VLOOKUP(Table4[[#This Row],[Shortname]], Comp[], 9, FALSE)</f>
        <v>7.5</v>
      </c>
      <c r="K96">
        <f>VLOOKUP(Table4[[#This Row],[Shortname]], Comp[], 10, FALSE)</f>
        <v>2</v>
      </c>
      <c r="L96">
        <f>VLOOKUP(Table4[[#This Row],[Shortname]], Comp[], 11, FALSE)</f>
        <v>0</v>
      </c>
      <c r="M96">
        <f>VLOOKUP(Table4[[#This Row],[Shortname]], Comp[],12, FALSE)</f>
        <v>2.5</v>
      </c>
      <c r="N96">
        <f>VLOOKUP(Table4[[#This Row],[Shortname]], Comp[], 13, FALSE)</f>
        <v>0</v>
      </c>
      <c r="O96">
        <f>VLOOKUP(Table4[[#This Row],[Shortname]], Comp[], 14, FALSE)</f>
        <v>0</v>
      </c>
      <c r="P96">
        <f>VLOOKUP(Table4[[#This Row],[Shortname]], Comp[], 15, FALSE)</f>
        <v>0</v>
      </c>
      <c r="Q96">
        <f>VLOOKUP(Table4[[#This Row],[Shortname]], Comp[], 16, FALSE)</f>
        <v>0</v>
      </c>
      <c r="R96">
        <f>VLOOKUP(Table4[[#This Row],[Shortname]], Comp[], 17, FALSE)</f>
        <v>0</v>
      </c>
      <c r="S96">
        <f>VLOOKUP(Table4[[#This Row],[Shortname]], Comp[], 18, FALSE)</f>
        <v>0</v>
      </c>
      <c r="T96">
        <f>VLOOKUP(Table4[[#This Row],[Shortname]], Comp[], 19, FALSE)</f>
        <v>0</v>
      </c>
      <c r="U96">
        <f>VLOOKUP(Table4[[#This Row],[Shortname]], Comp[], 20, FALSE)</f>
        <v>0</v>
      </c>
      <c r="V96">
        <f>VLOOKUP(Table4[[#This Row],[Shortname]], Comp[], 21, FALSE)</f>
        <v>0</v>
      </c>
      <c r="W96">
        <f>VLOOKUP(Table4[[#This Row],[Shortname]], Comp[], 22, FALSE)</f>
        <v>0</v>
      </c>
      <c r="X96">
        <f>VLOOKUP(Table4[[#This Row],[Shortname]], Comp[], 23, FALSE)</f>
        <v>0</v>
      </c>
      <c r="Y96">
        <f>VLOOKUP(Table4[[#This Row],[Shortname]], Comp[], 24, FALSE)</f>
        <v>0</v>
      </c>
      <c r="Z96">
        <f>VLOOKUP(Table4[[#This Row],[Shortname]], Comp[], 25, FALSE)</f>
        <v>0</v>
      </c>
      <c r="AA96">
        <f>VLOOKUP(Table4[[#This Row],[Shortname]], Comp[], 26, FALSE)</f>
        <v>0</v>
      </c>
      <c r="AB96">
        <f>VLOOKUP(Table4[[#This Row],[Shortname]], Comp[], 27, FALSE)</f>
        <v>0</v>
      </c>
      <c r="AC96">
        <f>VLOOKUP(Table4[[#This Row],[Shortname]], Comp[], 28, FALSE)</f>
        <v>0</v>
      </c>
      <c r="AD96">
        <f>VLOOKUP(Table4[[#This Row],[Shortname]], Comp[], 29, FALSE)</f>
        <v>0</v>
      </c>
      <c r="AE96">
        <f>VLOOKUP(Table4[[#This Row],[Shortname]], Comp[], 30, FALSE)</f>
        <v>0</v>
      </c>
      <c r="AF96">
        <f>VLOOKUP(Table4[[#This Row],[Shortname]], Comp[], 31, FALSE)</f>
        <v>0</v>
      </c>
    </row>
    <row r="97" spans="1:32" x14ac:dyDescent="0.3">
      <c r="A97" t="s">
        <v>1641</v>
      </c>
      <c r="B97" t="s">
        <v>1484</v>
      </c>
      <c r="C97" s="3" t="s">
        <v>1623</v>
      </c>
      <c r="D97">
        <v>25</v>
      </c>
      <c r="E97">
        <v>650</v>
      </c>
      <c r="F97">
        <v>335</v>
      </c>
      <c r="G97">
        <f>VLOOKUP(Table4[[#This Row],[Shortname]], Comp[], 6, FALSE)</f>
        <v>209</v>
      </c>
      <c r="H97" s="14">
        <f>VLOOKUP(Table4[[#This Row],[Shortname]], Comp[], 7, FALSE)</f>
        <v>58</v>
      </c>
      <c r="I97">
        <f>VLOOKUP(Table4[[#This Row],[Shortname]], Comp[], 8, FALSE)</f>
        <v>30</v>
      </c>
      <c r="J97">
        <f>VLOOKUP(Table4[[#This Row],[Shortname]], Comp[], 9, FALSE)</f>
        <v>7.5</v>
      </c>
      <c r="K97">
        <f>VLOOKUP(Table4[[#This Row],[Shortname]], Comp[], 10, FALSE)</f>
        <v>0</v>
      </c>
      <c r="L97">
        <f>VLOOKUP(Table4[[#This Row],[Shortname]], Comp[], 11, FALSE)</f>
        <v>0</v>
      </c>
      <c r="M97">
        <f>VLOOKUP(Table4[[#This Row],[Shortname]], Comp[],12, FALSE)</f>
        <v>2.5</v>
      </c>
      <c r="N97">
        <f>VLOOKUP(Table4[[#This Row],[Shortname]], Comp[], 13, FALSE)</f>
        <v>0</v>
      </c>
      <c r="O97">
        <f>VLOOKUP(Table4[[#This Row],[Shortname]], Comp[], 14, FALSE)</f>
        <v>0</v>
      </c>
      <c r="P97">
        <f>VLOOKUP(Table4[[#This Row],[Shortname]], Comp[], 15, FALSE)</f>
        <v>0</v>
      </c>
      <c r="Q97">
        <f>VLOOKUP(Table4[[#This Row],[Shortname]], Comp[], 16, FALSE)</f>
        <v>2</v>
      </c>
      <c r="R97">
        <f>VLOOKUP(Table4[[#This Row],[Shortname]], Comp[], 17, FALSE)</f>
        <v>0</v>
      </c>
      <c r="S97">
        <f>VLOOKUP(Table4[[#This Row],[Shortname]], Comp[], 18, FALSE)</f>
        <v>0</v>
      </c>
      <c r="T97">
        <f>VLOOKUP(Table4[[#This Row],[Shortname]], Comp[], 19, FALSE)</f>
        <v>0</v>
      </c>
      <c r="U97">
        <f>VLOOKUP(Table4[[#This Row],[Shortname]], Comp[], 20, FALSE)</f>
        <v>0</v>
      </c>
      <c r="V97">
        <f>VLOOKUP(Table4[[#This Row],[Shortname]], Comp[], 21, FALSE)</f>
        <v>0</v>
      </c>
      <c r="W97">
        <f>VLOOKUP(Table4[[#This Row],[Shortname]], Comp[], 22, FALSE)</f>
        <v>0</v>
      </c>
      <c r="X97">
        <f>VLOOKUP(Table4[[#This Row],[Shortname]], Comp[], 23, FALSE)</f>
        <v>0</v>
      </c>
      <c r="Y97">
        <f>VLOOKUP(Table4[[#This Row],[Shortname]], Comp[], 24, FALSE)</f>
        <v>0</v>
      </c>
      <c r="Z97">
        <f>VLOOKUP(Table4[[#This Row],[Shortname]], Comp[], 25, FALSE)</f>
        <v>0</v>
      </c>
      <c r="AA97">
        <f>VLOOKUP(Table4[[#This Row],[Shortname]], Comp[], 26, FALSE)</f>
        <v>0</v>
      </c>
      <c r="AB97">
        <f>VLOOKUP(Table4[[#This Row],[Shortname]], Comp[], 27, FALSE)</f>
        <v>0</v>
      </c>
      <c r="AC97">
        <f>VLOOKUP(Table4[[#This Row],[Shortname]], Comp[], 28, FALSE)</f>
        <v>0</v>
      </c>
      <c r="AD97">
        <f>VLOOKUP(Table4[[#This Row],[Shortname]], Comp[], 29, FALSE)</f>
        <v>0</v>
      </c>
      <c r="AE97">
        <f>VLOOKUP(Table4[[#This Row],[Shortname]], Comp[], 30, FALSE)</f>
        <v>0</v>
      </c>
      <c r="AF97">
        <f>VLOOKUP(Table4[[#This Row],[Shortname]], Comp[], 31, FALSE)</f>
        <v>0</v>
      </c>
    </row>
    <row r="98" spans="1:32" x14ac:dyDescent="0.3">
      <c r="A98" t="s">
        <v>1629</v>
      </c>
      <c r="B98" t="s">
        <v>1631</v>
      </c>
      <c r="C98" s="3" t="s">
        <v>1623</v>
      </c>
      <c r="D98">
        <v>25</v>
      </c>
      <c r="E98">
        <v>650</v>
      </c>
      <c r="F98">
        <v>313</v>
      </c>
      <c r="G98">
        <f>VLOOKUP(Table4[[#This Row],[Shortname]], Comp[], 6, FALSE)</f>
        <v>207</v>
      </c>
      <c r="H98" s="14">
        <f>VLOOKUP(Table4[[#This Row],[Shortname]], Comp[], 7, FALSE)</f>
        <v>60</v>
      </c>
      <c r="I98">
        <f>VLOOKUP(Table4[[#This Row],[Shortname]], Comp[], 8, FALSE)</f>
        <v>30</v>
      </c>
      <c r="J98">
        <f>VLOOKUP(Table4[[#This Row],[Shortname]], Comp[], 9, FALSE)</f>
        <v>7.5</v>
      </c>
      <c r="K98">
        <f>VLOOKUP(Table4[[#This Row],[Shortname]], Comp[], 10, FALSE)</f>
        <v>0</v>
      </c>
      <c r="L98">
        <f>VLOOKUP(Table4[[#This Row],[Shortname]], Comp[], 11, FALSE)</f>
        <v>0</v>
      </c>
      <c r="M98">
        <f>VLOOKUP(Table4[[#This Row],[Shortname]], Comp[],12, FALSE)</f>
        <v>2.5</v>
      </c>
      <c r="N98">
        <f>VLOOKUP(Table4[[#This Row],[Shortname]], Comp[], 13, FALSE)</f>
        <v>0</v>
      </c>
      <c r="O98">
        <f>VLOOKUP(Table4[[#This Row],[Shortname]], Comp[], 14, FALSE)</f>
        <v>0</v>
      </c>
      <c r="P98">
        <f>VLOOKUP(Table4[[#This Row],[Shortname]], Comp[], 15, FALSE)</f>
        <v>0</v>
      </c>
      <c r="Q98">
        <f>VLOOKUP(Table4[[#This Row],[Shortname]], Comp[], 16, FALSE)</f>
        <v>0</v>
      </c>
      <c r="R98">
        <f>VLOOKUP(Table4[[#This Row],[Shortname]], Comp[], 17, FALSE)</f>
        <v>0</v>
      </c>
      <c r="S98">
        <f>VLOOKUP(Table4[[#This Row],[Shortname]], Comp[], 18, FALSE)</f>
        <v>0</v>
      </c>
      <c r="T98">
        <f>VLOOKUP(Table4[[#This Row],[Shortname]], Comp[], 19, FALSE)</f>
        <v>0</v>
      </c>
      <c r="U98">
        <f>VLOOKUP(Table4[[#This Row],[Shortname]], Comp[], 20, FALSE)</f>
        <v>0</v>
      </c>
      <c r="V98">
        <f>VLOOKUP(Table4[[#This Row],[Shortname]], Comp[], 21, FALSE)</f>
        <v>0</v>
      </c>
      <c r="W98">
        <f>VLOOKUP(Table4[[#This Row],[Shortname]], Comp[], 22, FALSE)</f>
        <v>0</v>
      </c>
      <c r="X98">
        <f>VLOOKUP(Table4[[#This Row],[Shortname]], Comp[], 23, FALSE)</f>
        <v>0</v>
      </c>
      <c r="Y98">
        <f>VLOOKUP(Table4[[#This Row],[Shortname]], Comp[], 24, FALSE)</f>
        <v>0</v>
      </c>
      <c r="Z98">
        <f>VLOOKUP(Table4[[#This Row],[Shortname]], Comp[], 25, FALSE)</f>
        <v>0</v>
      </c>
      <c r="AA98">
        <f>VLOOKUP(Table4[[#This Row],[Shortname]], Comp[], 26, FALSE)</f>
        <v>0</v>
      </c>
      <c r="AB98">
        <f>VLOOKUP(Table4[[#This Row],[Shortname]], Comp[], 27, FALSE)</f>
        <v>0</v>
      </c>
      <c r="AC98">
        <f>VLOOKUP(Table4[[#This Row],[Shortname]], Comp[], 28, FALSE)</f>
        <v>0</v>
      </c>
      <c r="AD98">
        <f>VLOOKUP(Table4[[#This Row],[Shortname]], Comp[], 29, FALSE)</f>
        <v>0</v>
      </c>
      <c r="AE98">
        <f>VLOOKUP(Table4[[#This Row],[Shortname]], Comp[], 30, FALSE)</f>
        <v>0</v>
      </c>
      <c r="AF98">
        <f>VLOOKUP(Table4[[#This Row],[Shortname]], Comp[], 31, FALSE)</f>
        <v>0</v>
      </c>
    </row>
    <row r="99" spans="1:32" x14ac:dyDescent="0.3">
      <c r="A99" t="s">
        <v>1635</v>
      </c>
      <c r="B99" t="s">
        <v>1637</v>
      </c>
      <c r="C99" s="3" t="s">
        <v>1623</v>
      </c>
      <c r="D99">
        <v>25</v>
      </c>
      <c r="E99">
        <v>650</v>
      </c>
      <c r="F99">
        <v>302</v>
      </c>
      <c r="G99">
        <f>VLOOKUP(Table4[[#This Row],[Shortname]], Comp[], 6, FALSE)</f>
        <v>208</v>
      </c>
      <c r="H99" s="14">
        <f>VLOOKUP(Table4[[#This Row],[Shortname]], Comp[], 7, FALSE)</f>
        <v>58</v>
      </c>
      <c r="I99">
        <f>VLOOKUP(Table4[[#This Row],[Shortname]], Comp[], 8, FALSE)</f>
        <v>30</v>
      </c>
      <c r="J99">
        <f>VLOOKUP(Table4[[#This Row],[Shortname]], Comp[], 9, FALSE)</f>
        <v>7.5</v>
      </c>
      <c r="K99">
        <f>VLOOKUP(Table4[[#This Row],[Shortname]], Comp[], 10, FALSE)</f>
        <v>2</v>
      </c>
      <c r="L99">
        <f>VLOOKUP(Table4[[#This Row],[Shortname]], Comp[], 11, FALSE)</f>
        <v>0</v>
      </c>
      <c r="M99">
        <f>VLOOKUP(Table4[[#This Row],[Shortname]], Comp[],12, FALSE)</f>
        <v>2.5</v>
      </c>
      <c r="N99">
        <f>VLOOKUP(Table4[[#This Row],[Shortname]], Comp[], 13, FALSE)</f>
        <v>0</v>
      </c>
      <c r="O99">
        <f>VLOOKUP(Table4[[#This Row],[Shortname]], Comp[], 14, FALSE)</f>
        <v>0</v>
      </c>
      <c r="P99">
        <f>VLOOKUP(Table4[[#This Row],[Shortname]], Comp[], 15, FALSE)</f>
        <v>0</v>
      </c>
      <c r="Q99">
        <f>VLOOKUP(Table4[[#This Row],[Shortname]], Comp[], 16, FALSE)</f>
        <v>0</v>
      </c>
      <c r="R99">
        <f>VLOOKUP(Table4[[#This Row],[Shortname]], Comp[], 17, FALSE)</f>
        <v>0</v>
      </c>
      <c r="S99">
        <f>VLOOKUP(Table4[[#This Row],[Shortname]], Comp[], 18, FALSE)</f>
        <v>0</v>
      </c>
      <c r="T99">
        <f>VLOOKUP(Table4[[#This Row],[Shortname]], Comp[], 19, FALSE)</f>
        <v>0</v>
      </c>
      <c r="U99">
        <f>VLOOKUP(Table4[[#This Row],[Shortname]], Comp[], 20, FALSE)</f>
        <v>0</v>
      </c>
      <c r="V99">
        <f>VLOOKUP(Table4[[#This Row],[Shortname]], Comp[], 21, FALSE)</f>
        <v>0</v>
      </c>
      <c r="W99">
        <f>VLOOKUP(Table4[[#This Row],[Shortname]], Comp[], 22, FALSE)</f>
        <v>0</v>
      </c>
      <c r="X99">
        <f>VLOOKUP(Table4[[#This Row],[Shortname]], Comp[], 23, FALSE)</f>
        <v>0</v>
      </c>
      <c r="Y99">
        <f>VLOOKUP(Table4[[#This Row],[Shortname]], Comp[], 24, FALSE)</f>
        <v>0</v>
      </c>
      <c r="Z99">
        <f>VLOOKUP(Table4[[#This Row],[Shortname]], Comp[], 25, FALSE)</f>
        <v>0</v>
      </c>
      <c r="AA99">
        <f>VLOOKUP(Table4[[#This Row],[Shortname]], Comp[], 26, FALSE)</f>
        <v>0</v>
      </c>
      <c r="AB99">
        <f>VLOOKUP(Table4[[#This Row],[Shortname]], Comp[], 27, FALSE)</f>
        <v>0</v>
      </c>
      <c r="AC99">
        <f>VLOOKUP(Table4[[#This Row],[Shortname]], Comp[], 28, FALSE)</f>
        <v>0</v>
      </c>
      <c r="AD99">
        <f>VLOOKUP(Table4[[#This Row],[Shortname]], Comp[], 29, FALSE)</f>
        <v>0</v>
      </c>
      <c r="AE99">
        <f>VLOOKUP(Table4[[#This Row],[Shortname]], Comp[], 30, FALSE)</f>
        <v>0</v>
      </c>
      <c r="AF99">
        <f>VLOOKUP(Table4[[#This Row],[Shortname]], Comp[], 31, FALSE)</f>
        <v>0</v>
      </c>
    </row>
    <row r="100" spans="1:32" x14ac:dyDescent="0.3">
      <c r="A100" t="s">
        <v>1646</v>
      </c>
      <c r="B100" t="s">
        <v>1648</v>
      </c>
      <c r="C100" s="3" t="s">
        <v>1623</v>
      </c>
      <c r="D100">
        <v>25</v>
      </c>
      <c r="E100">
        <v>650</v>
      </c>
      <c r="F100">
        <v>285</v>
      </c>
      <c r="G100">
        <f>VLOOKUP(Table4[[#This Row],[Shortname]], Comp[], 6, FALSE)</f>
        <v>210</v>
      </c>
      <c r="H100" s="14">
        <f>VLOOKUP(Table4[[#This Row],[Shortname]], Comp[], 7, FALSE)</f>
        <v>60</v>
      </c>
      <c r="I100">
        <f>VLOOKUP(Table4[[#This Row],[Shortname]], Comp[], 8, FALSE)</f>
        <v>30</v>
      </c>
      <c r="J100">
        <f>VLOOKUP(Table4[[#This Row],[Shortname]], Comp[], 9, FALSE)</f>
        <v>8.3000000000000007</v>
      </c>
      <c r="K100">
        <f>VLOOKUP(Table4[[#This Row],[Shortname]], Comp[], 10, FALSE)</f>
        <v>0</v>
      </c>
      <c r="L100">
        <f>VLOOKUP(Table4[[#This Row],[Shortname]], Comp[], 11, FALSE)</f>
        <v>0</v>
      </c>
      <c r="M100">
        <f>VLOOKUP(Table4[[#This Row],[Shortname]], Comp[],12, FALSE)</f>
        <v>1.7</v>
      </c>
      <c r="N100">
        <f>VLOOKUP(Table4[[#This Row],[Shortname]], Comp[], 13, FALSE)</f>
        <v>0</v>
      </c>
      <c r="O100">
        <f>VLOOKUP(Table4[[#This Row],[Shortname]], Comp[], 14, FALSE)</f>
        <v>0</v>
      </c>
      <c r="P100">
        <f>VLOOKUP(Table4[[#This Row],[Shortname]], Comp[], 15, FALSE)</f>
        <v>0</v>
      </c>
      <c r="Q100">
        <f>VLOOKUP(Table4[[#This Row],[Shortname]], Comp[], 16, FALSE)</f>
        <v>0</v>
      </c>
      <c r="R100">
        <f>VLOOKUP(Table4[[#This Row],[Shortname]], Comp[], 17, FALSE)</f>
        <v>0</v>
      </c>
      <c r="S100">
        <f>VLOOKUP(Table4[[#This Row],[Shortname]], Comp[], 18, FALSE)</f>
        <v>0</v>
      </c>
      <c r="T100">
        <f>VLOOKUP(Table4[[#This Row],[Shortname]], Comp[], 19, FALSE)</f>
        <v>0</v>
      </c>
      <c r="U100">
        <f>VLOOKUP(Table4[[#This Row],[Shortname]], Comp[], 20, FALSE)</f>
        <v>0</v>
      </c>
      <c r="V100">
        <f>VLOOKUP(Table4[[#This Row],[Shortname]], Comp[], 21, FALSE)</f>
        <v>0</v>
      </c>
      <c r="W100">
        <f>VLOOKUP(Table4[[#This Row],[Shortname]], Comp[], 22, FALSE)</f>
        <v>0</v>
      </c>
      <c r="X100">
        <f>VLOOKUP(Table4[[#This Row],[Shortname]], Comp[], 23, FALSE)</f>
        <v>0</v>
      </c>
      <c r="Y100">
        <f>VLOOKUP(Table4[[#This Row],[Shortname]], Comp[], 24, FALSE)</f>
        <v>0</v>
      </c>
      <c r="Z100">
        <f>VLOOKUP(Table4[[#This Row],[Shortname]], Comp[], 25, FALSE)</f>
        <v>0</v>
      </c>
      <c r="AA100">
        <f>VLOOKUP(Table4[[#This Row],[Shortname]], Comp[], 26, FALSE)</f>
        <v>0</v>
      </c>
      <c r="AB100">
        <f>VLOOKUP(Table4[[#This Row],[Shortname]], Comp[], 27, FALSE)</f>
        <v>0</v>
      </c>
      <c r="AC100">
        <f>VLOOKUP(Table4[[#This Row],[Shortname]], Comp[], 28, FALSE)</f>
        <v>0</v>
      </c>
      <c r="AD100">
        <f>VLOOKUP(Table4[[#This Row],[Shortname]], Comp[], 29, FALSE)</f>
        <v>0</v>
      </c>
      <c r="AE100">
        <f>VLOOKUP(Table4[[#This Row],[Shortname]], Comp[], 30, FALSE)</f>
        <v>0</v>
      </c>
      <c r="AF100">
        <f>VLOOKUP(Table4[[#This Row],[Shortname]], Comp[], 31, FALSE)</f>
        <v>0</v>
      </c>
    </row>
    <row r="101" spans="1:32" x14ac:dyDescent="0.3">
      <c r="A101" t="s">
        <v>1620</v>
      </c>
      <c r="B101" t="s">
        <v>1622</v>
      </c>
      <c r="C101" s="3" t="s">
        <v>1623</v>
      </c>
      <c r="D101">
        <v>25</v>
      </c>
      <c r="E101">
        <v>650</v>
      </c>
      <c r="F101">
        <v>201</v>
      </c>
      <c r="G101">
        <f>VLOOKUP(Table4[[#This Row],[Shortname]], Comp[], 6, FALSE)</f>
        <v>206</v>
      </c>
      <c r="H101" s="14">
        <f>VLOOKUP(Table4[[#This Row],[Shortname]], Comp[], 7, FALSE)</f>
        <v>60</v>
      </c>
      <c r="I101">
        <f>VLOOKUP(Table4[[#This Row],[Shortname]], Comp[], 8, FALSE)</f>
        <v>30</v>
      </c>
      <c r="J101">
        <f>VLOOKUP(Table4[[#This Row],[Shortname]], Comp[], 9, FALSE)</f>
        <v>6.7</v>
      </c>
      <c r="K101">
        <f>VLOOKUP(Table4[[#This Row],[Shortname]], Comp[], 10, FALSE)</f>
        <v>0</v>
      </c>
      <c r="L101">
        <f>VLOOKUP(Table4[[#This Row],[Shortname]], Comp[], 11, FALSE)</f>
        <v>0</v>
      </c>
      <c r="M101">
        <f>VLOOKUP(Table4[[#This Row],[Shortname]], Comp[],12, FALSE)</f>
        <v>3.3</v>
      </c>
      <c r="N101">
        <f>VLOOKUP(Table4[[#This Row],[Shortname]], Comp[], 13, FALSE)</f>
        <v>0</v>
      </c>
      <c r="O101">
        <f>VLOOKUP(Table4[[#This Row],[Shortname]], Comp[], 14, FALSE)</f>
        <v>0</v>
      </c>
      <c r="P101">
        <f>VLOOKUP(Table4[[#This Row],[Shortname]], Comp[], 15, FALSE)</f>
        <v>0</v>
      </c>
      <c r="Q101">
        <f>VLOOKUP(Table4[[#This Row],[Shortname]], Comp[], 16, FALSE)</f>
        <v>0</v>
      </c>
      <c r="R101">
        <f>VLOOKUP(Table4[[#This Row],[Shortname]], Comp[], 17, FALSE)</f>
        <v>0</v>
      </c>
      <c r="S101">
        <f>VLOOKUP(Table4[[#This Row],[Shortname]], Comp[], 18, FALSE)</f>
        <v>0</v>
      </c>
      <c r="T101">
        <f>VLOOKUP(Table4[[#This Row],[Shortname]], Comp[], 19, FALSE)</f>
        <v>0</v>
      </c>
      <c r="U101">
        <f>VLOOKUP(Table4[[#This Row],[Shortname]], Comp[], 20, FALSE)</f>
        <v>0</v>
      </c>
      <c r="V101">
        <f>VLOOKUP(Table4[[#This Row],[Shortname]], Comp[], 21, FALSE)</f>
        <v>0</v>
      </c>
      <c r="W101">
        <f>VLOOKUP(Table4[[#This Row],[Shortname]], Comp[], 22, FALSE)</f>
        <v>0</v>
      </c>
      <c r="X101">
        <f>VLOOKUP(Table4[[#This Row],[Shortname]], Comp[], 23, FALSE)</f>
        <v>0</v>
      </c>
      <c r="Y101">
        <f>VLOOKUP(Table4[[#This Row],[Shortname]], Comp[], 24, FALSE)</f>
        <v>0</v>
      </c>
      <c r="Z101">
        <f>VLOOKUP(Table4[[#This Row],[Shortname]], Comp[], 25, FALSE)</f>
        <v>0</v>
      </c>
      <c r="AA101">
        <f>VLOOKUP(Table4[[#This Row],[Shortname]], Comp[], 26, FALSE)</f>
        <v>0</v>
      </c>
      <c r="AB101">
        <f>VLOOKUP(Table4[[#This Row],[Shortname]], Comp[], 27, FALSE)</f>
        <v>0</v>
      </c>
      <c r="AC101">
        <f>VLOOKUP(Table4[[#This Row],[Shortname]], Comp[], 28, FALSE)</f>
        <v>0</v>
      </c>
      <c r="AD101">
        <f>VLOOKUP(Table4[[#This Row],[Shortname]], Comp[], 29, FALSE)</f>
        <v>0</v>
      </c>
      <c r="AE101">
        <f>VLOOKUP(Table4[[#This Row],[Shortname]], Comp[], 30, FALSE)</f>
        <v>0</v>
      </c>
      <c r="AF101">
        <f>VLOOKUP(Table4[[#This Row],[Shortname]], Comp[], 31, FALSE)</f>
        <v>0</v>
      </c>
    </row>
    <row r="102" spans="1:32" x14ac:dyDescent="0.3">
      <c r="A102" t="s">
        <v>1646</v>
      </c>
      <c r="B102" t="s">
        <v>1648</v>
      </c>
      <c r="C102" s="3" t="s">
        <v>1623</v>
      </c>
      <c r="D102">
        <v>25</v>
      </c>
      <c r="E102">
        <v>650</v>
      </c>
      <c r="F102">
        <v>195</v>
      </c>
      <c r="G102">
        <f>VLOOKUP(Table4[[#This Row],[Shortname]], Comp[], 6, FALSE)</f>
        <v>210</v>
      </c>
      <c r="H102" s="14">
        <f>VLOOKUP(Table4[[#This Row],[Shortname]], Comp[], 7, FALSE)</f>
        <v>60</v>
      </c>
      <c r="I102">
        <f>VLOOKUP(Table4[[#This Row],[Shortname]], Comp[], 8, FALSE)</f>
        <v>30</v>
      </c>
      <c r="J102">
        <f>VLOOKUP(Table4[[#This Row],[Shortname]], Comp[], 9, FALSE)</f>
        <v>8.3000000000000007</v>
      </c>
      <c r="K102">
        <f>VLOOKUP(Table4[[#This Row],[Shortname]], Comp[], 10, FALSE)</f>
        <v>0</v>
      </c>
      <c r="L102">
        <f>VLOOKUP(Table4[[#This Row],[Shortname]], Comp[], 11, FALSE)</f>
        <v>0</v>
      </c>
      <c r="M102">
        <f>VLOOKUP(Table4[[#This Row],[Shortname]], Comp[],12, FALSE)</f>
        <v>1.7</v>
      </c>
      <c r="N102">
        <f>VLOOKUP(Table4[[#This Row],[Shortname]], Comp[], 13, FALSE)</f>
        <v>0</v>
      </c>
      <c r="O102">
        <f>VLOOKUP(Table4[[#This Row],[Shortname]], Comp[], 14, FALSE)</f>
        <v>0</v>
      </c>
      <c r="P102">
        <f>VLOOKUP(Table4[[#This Row],[Shortname]], Comp[], 15, FALSE)</f>
        <v>0</v>
      </c>
      <c r="Q102">
        <f>VLOOKUP(Table4[[#This Row],[Shortname]], Comp[], 16, FALSE)</f>
        <v>0</v>
      </c>
      <c r="R102">
        <f>VLOOKUP(Table4[[#This Row],[Shortname]], Comp[], 17, FALSE)</f>
        <v>0</v>
      </c>
      <c r="S102">
        <f>VLOOKUP(Table4[[#This Row],[Shortname]], Comp[], 18, FALSE)</f>
        <v>0</v>
      </c>
      <c r="T102">
        <f>VLOOKUP(Table4[[#This Row],[Shortname]], Comp[], 19, FALSE)</f>
        <v>0</v>
      </c>
      <c r="U102">
        <f>VLOOKUP(Table4[[#This Row],[Shortname]], Comp[], 20, FALSE)</f>
        <v>0</v>
      </c>
      <c r="V102">
        <f>VLOOKUP(Table4[[#This Row],[Shortname]], Comp[], 21, FALSE)</f>
        <v>0</v>
      </c>
      <c r="W102">
        <f>VLOOKUP(Table4[[#This Row],[Shortname]], Comp[], 22, FALSE)</f>
        <v>0</v>
      </c>
      <c r="X102">
        <f>VLOOKUP(Table4[[#This Row],[Shortname]], Comp[], 23, FALSE)</f>
        <v>0</v>
      </c>
      <c r="Y102">
        <f>VLOOKUP(Table4[[#This Row],[Shortname]], Comp[], 24, FALSE)</f>
        <v>0</v>
      </c>
      <c r="Z102">
        <f>VLOOKUP(Table4[[#This Row],[Shortname]], Comp[], 25, FALSE)</f>
        <v>0</v>
      </c>
      <c r="AA102">
        <f>VLOOKUP(Table4[[#This Row],[Shortname]], Comp[], 26, FALSE)</f>
        <v>0</v>
      </c>
      <c r="AB102">
        <f>VLOOKUP(Table4[[#This Row],[Shortname]], Comp[], 27, FALSE)</f>
        <v>0</v>
      </c>
      <c r="AC102">
        <f>VLOOKUP(Table4[[#This Row],[Shortname]], Comp[], 28, FALSE)</f>
        <v>0</v>
      </c>
      <c r="AD102">
        <f>VLOOKUP(Table4[[#This Row],[Shortname]], Comp[], 29, FALSE)</f>
        <v>0</v>
      </c>
      <c r="AE102">
        <f>VLOOKUP(Table4[[#This Row],[Shortname]], Comp[], 30, FALSE)</f>
        <v>0</v>
      </c>
      <c r="AF102">
        <f>VLOOKUP(Table4[[#This Row],[Shortname]], Comp[], 31, FALSE)</f>
        <v>0</v>
      </c>
    </row>
    <row r="103" spans="1:32" x14ac:dyDescent="0.3">
      <c r="A103" t="s">
        <v>1635</v>
      </c>
      <c r="B103" t="s">
        <v>1637</v>
      </c>
      <c r="C103" s="3" t="s">
        <v>1623</v>
      </c>
      <c r="D103">
        <v>25</v>
      </c>
      <c r="E103">
        <v>650</v>
      </c>
      <c r="F103">
        <v>183</v>
      </c>
      <c r="G103">
        <f>VLOOKUP(Table4[[#This Row],[Shortname]], Comp[], 6, FALSE)</f>
        <v>208</v>
      </c>
      <c r="H103" s="14">
        <f>VLOOKUP(Table4[[#This Row],[Shortname]], Comp[], 7, FALSE)</f>
        <v>58</v>
      </c>
      <c r="I103">
        <f>VLOOKUP(Table4[[#This Row],[Shortname]], Comp[], 8, FALSE)</f>
        <v>30</v>
      </c>
      <c r="J103">
        <f>VLOOKUP(Table4[[#This Row],[Shortname]], Comp[], 9, FALSE)</f>
        <v>7.5</v>
      </c>
      <c r="K103">
        <f>VLOOKUP(Table4[[#This Row],[Shortname]], Comp[], 10, FALSE)</f>
        <v>2</v>
      </c>
      <c r="L103">
        <f>VLOOKUP(Table4[[#This Row],[Shortname]], Comp[], 11, FALSE)</f>
        <v>0</v>
      </c>
      <c r="M103">
        <f>VLOOKUP(Table4[[#This Row],[Shortname]], Comp[],12, FALSE)</f>
        <v>2.5</v>
      </c>
      <c r="N103">
        <f>VLOOKUP(Table4[[#This Row],[Shortname]], Comp[], 13, FALSE)</f>
        <v>0</v>
      </c>
      <c r="O103">
        <f>VLOOKUP(Table4[[#This Row],[Shortname]], Comp[], 14, FALSE)</f>
        <v>0</v>
      </c>
      <c r="P103">
        <f>VLOOKUP(Table4[[#This Row],[Shortname]], Comp[], 15, FALSE)</f>
        <v>0</v>
      </c>
      <c r="Q103">
        <f>VLOOKUP(Table4[[#This Row],[Shortname]], Comp[], 16, FALSE)</f>
        <v>0</v>
      </c>
      <c r="R103">
        <f>VLOOKUP(Table4[[#This Row],[Shortname]], Comp[], 17, FALSE)</f>
        <v>0</v>
      </c>
      <c r="S103">
        <f>VLOOKUP(Table4[[#This Row],[Shortname]], Comp[], 18, FALSE)</f>
        <v>0</v>
      </c>
      <c r="T103">
        <f>VLOOKUP(Table4[[#This Row],[Shortname]], Comp[], 19, FALSE)</f>
        <v>0</v>
      </c>
      <c r="U103">
        <f>VLOOKUP(Table4[[#This Row],[Shortname]], Comp[], 20, FALSE)</f>
        <v>0</v>
      </c>
      <c r="V103">
        <f>VLOOKUP(Table4[[#This Row],[Shortname]], Comp[], 21, FALSE)</f>
        <v>0</v>
      </c>
      <c r="W103">
        <f>VLOOKUP(Table4[[#This Row],[Shortname]], Comp[], 22, FALSE)</f>
        <v>0</v>
      </c>
      <c r="X103">
        <f>VLOOKUP(Table4[[#This Row],[Shortname]], Comp[], 23, FALSE)</f>
        <v>0</v>
      </c>
      <c r="Y103">
        <f>VLOOKUP(Table4[[#This Row],[Shortname]], Comp[], 24, FALSE)</f>
        <v>0</v>
      </c>
      <c r="Z103">
        <f>VLOOKUP(Table4[[#This Row],[Shortname]], Comp[], 25, FALSE)</f>
        <v>0</v>
      </c>
      <c r="AA103">
        <f>VLOOKUP(Table4[[#This Row],[Shortname]], Comp[], 26, FALSE)</f>
        <v>0</v>
      </c>
      <c r="AB103">
        <f>VLOOKUP(Table4[[#This Row],[Shortname]], Comp[], 27, FALSE)</f>
        <v>0</v>
      </c>
      <c r="AC103">
        <f>VLOOKUP(Table4[[#This Row],[Shortname]], Comp[], 28, FALSE)</f>
        <v>0</v>
      </c>
      <c r="AD103">
        <f>VLOOKUP(Table4[[#This Row],[Shortname]], Comp[], 29, FALSE)</f>
        <v>0</v>
      </c>
      <c r="AE103">
        <f>VLOOKUP(Table4[[#This Row],[Shortname]], Comp[], 30, FALSE)</f>
        <v>0</v>
      </c>
      <c r="AF103">
        <f>VLOOKUP(Table4[[#This Row],[Shortname]], Comp[], 31, FALSE)</f>
        <v>0</v>
      </c>
    </row>
    <row r="104" spans="1:32" x14ac:dyDescent="0.3">
      <c r="A104" t="s">
        <v>1629</v>
      </c>
      <c r="B104" t="s">
        <v>1631</v>
      </c>
      <c r="C104" s="3" t="s">
        <v>1623</v>
      </c>
      <c r="D104">
        <v>25</v>
      </c>
      <c r="E104">
        <v>650</v>
      </c>
      <c r="F104">
        <v>176</v>
      </c>
      <c r="G104">
        <f>VLOOKUP(Table4[[#This Row],[Shortname]], Comp[], 6, FALSE)</f>
        <v>207</v>
      </c>
      <c r="H104" s="14">
        <f>VLOOKUP(Table4[[#This Row],[Shortname]], Comp[], 7, FALSE)</f>
        <v>60</v>
      </c>
      <c r="I104">
        <f>VLOOKUP(Table4[[#This Row],[Shortname]], Comp[], 8, FALSE)</f>
        <v>30</v>
      </c>
      <c r="J104">
        <f>VLOOKUP(Table4[[#This Row],[Shortname]], Comp[], 9, FALSE)</f>
        <v>7.5</v>
      </c>
      <c r="K104">
        <f>VLOOKUP(Table4[[#This Row],[Shortname]], Comp[], 10, FALSE)</f>
        <v>0</v>
      </c>
      <c r="L104">
        <f>VLOOKUP(Table4[[#This Row],[Shortname]], Comp[], 11, FALSE)</f>
        <v>0</v>
      </c>
      <c r="M104">
        <f>VLOOKUP(Table4[[#This Row],[Shortname]], Comp[],12, FALSE)</f>
        <v>2.5</v>
      </c>
      <c r="N104">
        <f>VLOOKUP(Table4[[#This Row],[Shortname]], Comp[], 13, FALSE)</f>
        <v>0</v>
      </c>
      <c r="O104">
        <f>VLOOKUP(Table4[[#This Row],[Shortname]], Comp[], 14, FALSE)</f>
        <v>0</v>
      </c>
      <c r="P104">
        <f>VLOOKUP(Table4[[#This Row],[Shortname]], Comp[], 15, FALSE)</f>
        <v>0</v>
      </c>
      <c r="Q104">
        <f>VLOOKUP(Table4[[#This Row],[Shortname]], Comp[], 16, FALSE)</f>
        <v>0</v>
      </c>
      <c r="R104">
        <f>VLOOKUP(Table4[[#This Row],[Shortname]], Comp[], 17, FALSE)</f>
        <v>0</v>
      </c>
      <c r="S104">
        <f>VLOOKUP(Table4[[#This Row],[Shortname]], Comp[], 18, FALSE)</f>
        <v>0</v>
      </c>
      <c r="T104">
        <f>VLOOKUP(Table4[[#This Row],[Shortname]], Comp[], 19, FALSE)</f>
        <v>0</v>
      </c>
      <c r="U104">
        <f>VLOOKUP(Table4[[#This Row],[Shortname]], Comp[], 20, FALSE)</f>
        <v>0</v>
      </c>
      <c r="V104">
        <f>VLOOKUP(Table4[[#This Row],[Shortname]], Comp[], 21, FALSE)</f>
        <v>0</v>
      </c>
      <c r="W104">
        <f>VLOOKUP(Table4[[#This Row],[Shortname]], Comp[], 22, FALSE)</f>
        <v>0</v>
      </c>
      <c r="X104">
        <f>VLOOKUP(Table4[[#This Row],[Shortname]], Comp[], 23, FALSE)</f>
        <v>0</v>
      </c>
      <c r="Y104">
        <f>VLOOKUP(Table4[[#This Row],[Shortname]], Comp[], 24, FALSE)</f>
        <v>0</v>
      </c>
      <c r="Z104">
        <f>VLOOKUP(Table4[[#This Row],[Shortname]], Comp[], 25, FALSE)</f>
        <v>0</v>
      </c>
      <c r="AA104">
        <f>VLOOKUP(Table4[[#This Row],[Shortname]], Comp[], 26, FALSE)</f>
        <v>0</v>
      </c>
      <c r="AB104">
        <f>VLOOKUP(Table4[[#This Row],[Shortname]], Comp[], 27, FALSE)</f>
        <v>0</v>
      </c>
      <c r="AC104">
        <f>VLOOKUP(Table4[[#This Row],[Shortname]], Comp[], 28, FALSE)</f>
        <v>0</v>
      </c>
      <c r="AD104">
        <f>VLOOKUP(Table4[[#This Row],[Shortname]], Comp[], 29, FALSE)</f>
        <v>0</v>
      </c>
      <c r="AE104">
        <f>VLOOKUP(Table4[[#This Row],[Shortname]], Comp[], 30, FALSE)</f>
        <v>0</v>
      </c>
      <c r="AF104">
        <f>VLOOKUP(Table4[[#This Row],[Shortname]], Comp[], 31, FALSE)</f>
        <v>0</v>
      </c>
    </row>
    <row r="105" spans="1:32" x14ac:dyDescent="0.3">
      <c r="A105" t="s">
        <v>1641</v>
      </c>
      <c r="B105" t="s">
        <v>1484</v>
      </c>
      <c r="C105" s="3" t="s">
        <v>1623</v>
      </c>
      <c r="D105">
        <v>25</v>
      </c>
      <c r="E105">
        <v>650</v>
      </c>
      <c r="F105">
        <v>168</v>
      </c>
      <c r="G105">
        <f>VLOOKUP(Table4[[#This Row],[Shortname]], Comp[], 6, FALSE)</f>
        <v>209</v>
      </c>
      <c r="H105" s="14">
        <f>VLOOKUP(Table4[[#This Row],[Shortname]], Comp[], 7, FALSE)</f>
        <v>58</v>
      </c>
      <c r="I105">
        <f>VLOOKUP(Table4[[#This Row],[Shortname]], Comp[], 8, FALSE)</f>
        <v>30</v>
      </c>
      <c r="J105">
        <f>VLOOKUP(Table4[[#This Row],[Shortname]], Comp[], 9, FALSE)</f>
        <v>7.5</v>
      </c>
      <c r="K105">
        <f>VLOOKUP(Table4[[#This Row],[Shortname]], Comp[], 10, FALSE)</f>
        <v>0</v>
      </c>
      <c r="L105">
        <f>VLOOKUP(Table4[[#This Row],[Shortname]], Comp[], 11, FALSE)</f>
        <v>0</v>
      </c>
      <c r="M105">
        <f>VLOOKUP(Table4[[#This Row],[Shortname]], Comp[],12, FALSE)</f>
        <v>2.5</v>
      </c>
      <c r="N105">
        <f>VLOOKUP(Table4[[#This Row],[Shortname]], Comp[], 13, FALSE)</f>
        <v>0</v>
      </c>
      <c r="O105">
        <f>VLOOKUP(Table4[[#This Row],[Shortname]], Comp[], 14, FALSE)</f>
        <v>0</v>
      </c>
      <c r="P105">
        <f>VLOOKUP(Table4[[#This Row],[Shortname]], Comp[], 15, FALSE)</f>
        <v>0</v>
      </c>
      <c r="Q105">
        <f>VLOOKUP(Table4[[#This Row],[Shortname]], Comp[], 16, FALSE)</f>
        <v>2</v>
      </c>
      <c r="R105">
        <f>VLOOKUP(Table4[[#This Row],[Shortname]], Comp[], 17, FALSE)</f>
        <v>0</v>
      </c>
      <c r="S105">
        <f>VLOOKUP(Table4[[#This Row],[Shortname]], Comp[], 18, FALSE)</f>
        <v>0</v>
      </c>
      <c r="T105">
        <f>VLOOKUP(Table4[[#This Row],[Shortname]], Comp[], 19, FALSE)</f>
        <v>0</v>
      </c>
      <c r="U105">
        <f>VLOOKUP(Table4[[#This Row],[Shortname]], Comp[], 20, FALSE)</f>
        <v>0</v>
      </c>
      <c r="V105">
        <f>VLOOKUP(Table4[[#This Row],[Shortname]], Comp[], 21, FALSE)</f>
        <v>0</v>
      </c>
      <c r="W105">
        <f>VLOOKUP(Table4[[#This Row],[Shortname]], Comp[], 22, FALSE)</f>
        <v>0</v>
      </c>
      <c r="X105">
        <f>VLOOKUP(Table4[[#This Row],[Shortname]], Comp[], 23, FALSE)</f>
        <v>0</v>
      </c>
      <c r="Y105">
        <f>VLOOKUP(Table4[[#This Row],[Shortname]], Comp[], 24, FALSE)</f>
        <v>0</v>
      </c>
      <c r="Z105">
        <f>VLOOKUP(Table4[[#This Row],[Shortname]], Comp[], 25, FALSE)</f>
        <v>0</v>
      </c>
      <c r="AA105">
        <f>VLOOKUP(Table4[[#This Row],[Shortname]], Comp[], 26, FALSE)</f>
        <v>0</v>
      </c>
      <c r="AB105">
        <f>VLOOKUP(Table4[[#This Row],[Shortname]], Comp[], 27, FALSE)</f>
        <v>0</v>
      </c>
      <c r="AC105">
        <f>VLOOKUP(Table4[[#This Row],[Shortname]], Comp[], 28, FALSE)</f>
        <v>0</v>
      </c>
      <c r="AD105">
        <f>VLOOKUP(Table4[[#This Row],[Shortname]], Comp[], 29, FALSE)</f>
        <v>0</v>
      </c>
      <c r="AE105">
        <f>VLOOKUP(Table4[[#This Row],[Shortname]], Comp[], 30, FALSE)</f>
        <v>0</v>
      </c>
      <c r="AF105">
        <f>VLOOKUP(Table4[[#This Row],[Shortname]], Comp[], 31, FALSE)</f>
        <v>0</v>
      </c>
    </row>
    <row r="106" spans="1:32" x14ac:dyDescent="0.3">
      <c r="A106" t="s">
        <v>1538</v>
      </c>
      <c r="B106" t="s">
        <v>1540</v>
      </c>
      <c r="C106" s="3" t="s">
        <v>6786</v>
      </c>
      <c r="D106">
        <v>25</v>
      </c>
      <c r="E106">
        <v>725</v>
      </c>
      <c r="F106">
        <v>382</v>
      </c>
      <c r="G106">
        <f>VLOOKUP(Table4[[#This Row],[Shortname]], Comp[], 6, FALSE)</f>
        <v>196</v>
      </c>
      <c r="H106" s="14">
        <f>VLOOKUP(Table4[[#This Row],[Shortname]], Comp[], 7, FALSE)</f>
        <v>41.03</v>
      </c>
      <c r="I106">
        <f>VLOOKUP(Table4[[#This Row],[Shortname]], Comp[], 8, FALSE)</f>
        <v>31.8</v>
      </c>
      <c r="J106">
        <f>VLOOKUP(Table4[[#This Row],[Shortname]], Comp[], 9, FALSE)</f>
        <v>8.6999999999999993</v>
      </c>
      <c r="K106">
        <f>VLOOKUP(Table4[[#This Row],[Shortname]], Comp[], 10, FALSE)</f>
        <v>12.6</v>
      </c>
      <c r="L106">
        <f>VLOOKUP(Table4[[#This Row],[Shortname]], Comp[], 11, FALSE)</f>
        <v>4.7</v>
      </c>
      <c r="M106">
        <f>VLOOKUP(Table4[[#This Row],[Shortname]], Comp[],12, FALSE)</f>
        <v>0.3</v>
      </c>
      <c r="N106">
        <f>VLOOKUP(Table4[[#This Row],[Shortname]], Comp[], 13, FALSE)</f>
        <v>0.2</v>
      </c>
      <c r="O106">
        <f>VLOOKUP(Table4[[#This Row],[Shortname]], Comp[], 14, FALSE)</f>
        <v>0</v>
      </c>
      <c r="P106">
        <f>VLOOKUP(Table4[[#This Row],[Shortname]], Comp[], 15, FALSE)</f>
        <v>0</v>
      </c>
      <c r="Q106">
        <f>VLOOKUP(Table4[[#This Row],[Shortname]], Comp[], 16, FALSE)</f>
        <v>0</v>
      </c>
      <c r="R106">
        <f>VLOOKUP(Table4[[#This Row],[Shortname]], Comp[], 17, FALSE)</f>
        <v>0.08</v>
      </c>
      <c r="S106">
        <f>VLOOKUP(Table4[[#This Row],[Shortname]], Comp[], 18, FALSE)</f>
        <v>0.01</v>
      </c>
      <c r="T106">
        <f>VLOOKUP(Table4[[#This Row],[Shortname]], Comp[], 19, FALSE)</f>
        <v>0.08</v>
      </c>
      <c r="U106">
        <f>VLOOKUP(Table4[[#This Row],[Shortname]], Comp[], 20, FALSE)</f>
        <v>0</v>
      </c>
      <c r="V106">
        <f>VLOOKUP(Table4[[#This Row],[Shortname]], Comp[], 21, FALSE)</f>
        <v>0</v>
      </c>
      <c r="W106">
        <f>VLOOKUP(Table4[[#This Row],[Shortname]], Comp[], 22, FALSE)</f>
        <v>0.4</v>
      </c>
      <c r="X106">
        <f>VLOOKUP(Table4[[#This Row],[Shortname]], Comp[], 23, FALSE)</f>
        <v>0</v>
      </c>
      <c r="Y106">
        <f>VLOOKUP(Table4[[#This Row],[Shortname]], Comp[], 24, FALSE)</f>
        <v>0</v>
      </c>
      <c r="Z106">
        <f>VLOOKUP(Table4[[#This Row],[Shortname]], Comp[], 25, FALSE)</f>
        <v>0.1</v>
      </c>
      <c r="AA106">
        <f>VLOOKUP(Table4[[#This Row],[Shortname]], Comp[], 26, FALSE)</f>
        <v>0</v>
      </c>
      <c r="AB106">
        <f>VLOOKUP(Table4[[#This Row],[Shortname]], Comp[], 27, FALSE)</f>
        <v>0</v>
      </c>
      <c r="AC106">
        <f>VLOOKUP(Table4[[#This Row],[Shortname]], Comp[], 28, FALSE)</f>
        <v>0</v>
      </c>
      <c r="AD106">
        <f>VLOOKUP(Table4[[#This Row],[Shortname]], Comp[], 29, FALSE)</f>
        <v>0</v>
      </c>
      <c r="AE106">
        <f>VLOOKUP(Table4[[#This Row],[Shortname]], Comp[], 30, FALSE)</f>
        <v>0</v>
      </c>
      <c r="AF106">
        <f>VLOOKUP(Table4[[#This Row],[Shortname]], Comp[], 31, FALSE)</f>
        <v>0</v>
      </c>
    </row>
    <row r="107" spans="1:32" x14ac:dyDescent="0.3">
      <c r="A107" t="s">
        <v>1538</v>
      </c>
      <c r="B107" t="s">
        <v>1540</v>
      </c>
      <c r="C107" s="3" t="s">
        <v>6786</v>
      </c>
      <c r="D107">
        <v>25</v>
      </c>
      <c r="E107">
        <v>750</v>
      </c>
      <c r="F107">
        <v>378</v>
      </c>
      <c r="G107">
        <f>VLOOKUP(Table4[[#This Row],[Shortname]], Comp[], 6, FALSE)</f>
        <v>196</v>
      </c>
      <c r="H107" s="14">
        <f>VLOOKUP(Table4[[#This Row],[Shortname]], Comp[], 7, FALSE)</f>
        <v>41.03</v>
      </c>
      <c r="I107">
        <f>VLOOKUP(Table4[[#This Row],[Shortname]], Comp[], 8, FALSE)</f>
        <v>31.8</v>
      </c>
      <c r="J107">
        <f>VLOOKUP(Table4[[#This Row],[Shortname]], Comp[], 9, FALSE)</f>
        <v>8.6999999999999993</v>
      </c>
      <c r="K107">
        <f>VLOOKUP(Table4[[#This Row],[Shortname]], Comp[], 10, FALSE)</f>
        <v>12.6</v>
      </c>
      <c r="L107">
        <f>VLOOKUP(Table4[[#This Row],[Shortname]], Comp[], 11, FALSE)</f>
        <v>4.7</v>
      </c>
      <c r="M107">
        <f>VLOOKUP(Table4[[#This Row],[Shortname]], Comp[],12, FALSE)</f>
        <v>0.3</v>
      </c>
      <c r="N107">
        <f>VLOOKUP(Table4[[#This Row],[Shortname]], Comp[], 13, FALSE)</f>
        <v>0.2</v>
      </c>
      <c r="O107">
        <f>VLOOKUP(Table4[[#This Row],[Shortname]], Comp[], 14, FALSE)</f>
        <v>0</v>
      </c>
      <c r="P107">
        <f>VLOOKUP(Table4[[#This Row],[Shortname]], Comp[], 15, FALSE)</f>
        <v>0</v>
      </c>
      <c r="Q107">
        <f>VLOOKUP(Table4[[#This Row],[Shortname]], Comp[], 16, FALSE)</f>
        <v>0</v>
      </c>
      <c r="R107">
        <f>VLOOKUP(Table4[[#This Row],[Shortname]], Comp[], 17, FALSE)</f>
        <v>0.08</v>
      </c>
      <c r="S107">
        <f>VLOOKUP(Table4[[#This Row],[Shortname]], Comp[], 18, FALSE)</f>
        <v>0.01</v>
      </c>
      <c r="T107">
        <f>VLOOKUP(Table4[[#This Row],[Shortname]], Comp[], 19, FALSE)</f>
        <v>0.08</v>
      </c>
      <c r="U107">
        <f>VLOOKUP(Table4[[#This Row],[Shortname]], Comp[], 20, FALSE)</f>
        <v>0</v>
      </c>
      <c r="V107">
        <f>VLOOKUP(Table4[[#This Row],[Shortname]], Comp[], 21, FALSE)</f>
        <v>0</v>
      </c>
      <c r="W107">
        <f>VLOOKUP(Table4[[#This Row],[Shortname]], Comp[], 22, FALSE)</f>
        <v>0.4</v>
      </c>
      <c r="X107">
        <f>VLOOKUP(Table4[[#This Row],[Shortname]], Comp[], 23, FALSE)</f>
        <v>0</v>
      </c>
      <c r="Y107">
        <f>VLOOKUP(Table4[[#This Row],[Shortname]], Comp[], 24, FALSE)</f>
        <v>0</v>
      </c>
      <c r="Z107">
        <f>VLOOKUP(Table4[[#This Row],[Shortname]], Comp[], 25, FALSE)</f>
        <v>0.1</v>
      </c>
      <c r="AA107">
        <f>VLOOKUP(Table4[[#This Row],[Shortname]], Comp[], 26, FALSE)</f>
        <v>0</v>
      </c>
      <c r="AB107">
        <f>VLOOKUP(Table4[[#This Row],[Shortname]], Comp[], 27, FALSE)</f>
        <v>0</v>
      </c>
      <c r="AC107">
        <f>VLOOKUP(Table4[[#This Row],[Shortname]], Comp[], 28, FALSE)</f>
        <v>0</v>
      </c>
      <c r="AD107">
        <f>VLOOKUP(Table4[[#This Row],[Shortname]], Comp[], 29, FALSE)</f>
        <v>0</v>
      </c>
      <c r="AE107">
        <f>VLOOKUP(Table4[[#This Row],[Shortname]], Comp[], 30, FALSE)</f>
        <v>0</v>
      </c>
      <c r="AF107">
        <f>VLOOKUP(Table4[[#This Row],[Shortname]], Comp[], 31, FALSE)</f>
        <v>0</v>
      </c>
    </row>
    <row r="108" spans="1:32" x14ac:dyDescent="0.3">
      <c r="A108" t="s">
        <v>1767</v>
      </c>
      <c r="B108" t="s">
        <v>1767</v>
      </c>
      <c r="C108" t="s">
        <v>6713</v>
      </c>
      <c r="D108">
        <v>25</v>
      </c>
      <c r="E108">
        <v>50</v>
      </c>
      <c r="F108">
        <v>414</v>
      </c>
      <c r="G108">
        <f>VLOOKUP(Table4[[#This Row],[Shortname]], Comp[], 6, FALSE)</f>
        <v>227</v>
      </c>
      <c r="H108" s="14">
        <f>VLOOKUP(Table4[[#This Row],[Shortname]], Comp[], 7, FALSE)</f>
        <v>85.3</v>
      </c>
      <c r="I108">
        <f>VLOOKUP(Table4[[#This Row],[Shortname]], Comp[], 8, FALSE)</f>
        <v>0</v>
      </c>
      <c r="J108">
        <f>VLOOKUP(Table4[[#This Row],[Shortname]], Comp[], 9, FALSE)</f>
        <v>7.9</v>
      </c>
      <c r="K108">
        <f>VLOOKUP(Table4[[#This Row],[Shortname]], Comp[], 10, FALSE)</f>
        <v>0</v>
      </c>
      <c r="L108">
        <f>VLOOKUP(Table4[[#This Row],[Shortname]], Comp[], 11, FALSE)</f>
        <v>6.8</v>
      </c>
      <c r="M108">
        <f>VLOOKUP(Table4[[#This Row],[Shortname]], Comp[],12, FALSE)</f>
        <v>0</v>
      </c>
      <c r="N108">
        <f>VLOOKUP(Table4[[#This Row],[Shortname]], Comp[], 13, FALSE)</f>
        <v>0</v>
      </c>
      <c r="O108">
        <f>VLOOKUP(Table4[[#This Row],[Shortname]], Comp[], 14, FALSE)</f>
        <v>0</v>
      </c>
      <c r="P108">
        <f>VLOOKUP(Table4[[#This Row],[Shortname]], Comp[], 15, FALSE)</f>
        <v>0</v>
      </c>
      <c r="Q108">
        <f>VLOOKUP(Table4[[#This Row],[Shortname]], Comp[], 16, FALSE)</f>
        <v>0</v>
      </c>
      <c r="R108">
        <f>VLOOKUP(Table4[[#This Row],[Shortname]], Comp[], 17, FALSE)</f>
        <v>0</v>
      </c>
      <c r="S108">
        <f>VLOOKUP(Table4[[#This Row],[Shortname]], Comp[], 18, FALSE)</f>
        <v>0</v>
      </c>
      <c r="T108">
        <f>VLOOKUP(Table4[[#This Row],[Shortname]], Comp[], 19, FALSE)</f>
        <v>0</v>
      </c>
      <c r="U108">
        <f>VLOOKUP(Table4[[#This Row],[Shortname]], Comp[], 20, FALSE)</f>
        <v>0</v>
      </c>
      <c r="V108">
        <f>VLOOKUP(Table4[[#This Row],[Shortname]], Comp[], 21, FALSE)</f>
        <v>0</v>
      </c>
      <c r="W108">
        <f>VLOOKUP(Table4[[#This Row],[Shortname]], Comp[], 22, FALSE)</f>
        <v>0</v>
      </c>
      <c r="X108">
        <f>VLOOKUP(Table4[[#This Row],[Shortname]], Comp[], 23, FALSE)</f>
        <v>0</v>
      </c>
      <c r="Y108">
        <f>VLOOKUP(Table4[[#This Row],[Shortname]], Comp[], 24, FALSE)</f>
        <v>0</v>
      </c>
      <c r="Z108">
        <f>VLOOKUP(Table4[[#This Row],[Shortname]], Comp[], 25, FALSE)</f>
        <v>0</v>
      </c>
      <c r="AA108">
        <f>VLOOKUP(Table4[[#This Row],[Shortname]], Comp[], 26, FALSE)</f>
        <v>0</v>
      </c>
      <c r="AB108">
        <f>VLOOKUP(Table4[[#This Row],[Shortname]], Comp[], 27, FALSE)</f>
        <v>0</v>
      </c>
      <c r="AC108">
        <f>VLOOKUP(Table4[[#This Row],[Shortname]], Comp[], 28, FALSE)</f>
        <v>0</v>
      </c>
      <c r="AD108">
        <f>VLOOKUP(Table4[[#This Row],[Shortname]], Comp[], 29, FALSE)</f>
        <v>0</v>
      </c>
      <c r="AE108">
        <f>VLOOKUP(Table4[[#This Row],[Shortname]], Comp[], 30, FALSE)</f>
        <v>0</v>
      </c>
      <c r="AF108">
        <f>VLOOKUP(Table4[[#This Row],[Shortname]], Comp[], 31, FALSE)</f>
        <v>0</v>
      </c>
    </row>
    <row r="109" spans="1:32" x14ac:dyDescent="0.3">
      <c r="A109" t="s">
        <v>1777</v>
      </c>
      <c r="B109" t="s">
        <v>1778</v>
      </c>
      <c r="C109" t="s">
        <v>6713</v>
      </c>
      <c r="D109">
        <v>25</v>
      </c>
      <c r="E109">
        <v>50</v>
      </c>
      <c r="F109">
        <v>413</v>
      </c>
      <c r="G109">
        <f>VLOOKUP(Table4[[#This Row],[Shortname]], Comp[], 6, FALSE)</f>
        <v>229</v>
      </c>
      <c r="H109" s="14">
        <f>VLOOKUP(Table4[[#This Row],[Shortname]], Comp[], 7, FALSE)</f>
        <v>81.3</v>
      </c>
      <c r="I109">
        <f>VLOOKUP(Table4[[#This Row],[Shortname]], Comp[], 8, FALSE)</f>
        <v>0</v>
      </c>
      <c r="J109">
        <f>VLOOKUP(Table4[[#This Row],[Shortname]], Comp[], 9, FALSE)</f>
        <v>8.6999999999999993</v>
      </c>
      <c r="K109">
        <f>VLOOKUP(Table4[[#This Row],[Shortname]], Comp[], 10, FALSE)</f>
        <v>0</v>
      </c>
      <c r="L109">
        <f>VLOOKUP(Table4[[#This Row],[Shortname]], Comp[], 11, FALSE)</f>
        <v>10</v>
      </c>
      <c r="M109">
        <f>VLOOKUP(Table4[[#This Row],[Shortname]], Comp[],12, FALSE)</f>
        <v>0</v>
      </c>
      <c r="N109">
        <f>VLOOKUP(Table4[[#This Row],[Shortname]], Comp[], 13, FALSE)</f>
        <v>0</v>
      </c>
      <c r="O109">
        <f>VLOOKUP(Table4[[#This Row],[Shortname]], Comp[], 14, FALSE)</f>
        <v>0</v>
      </c>
      <c r="P109">
        <f>VLOOKUP(Table4[[#This Row],[Shortname]], Comp[], 15, FALSE)</f>
        <v>0</v>
      </c>
      <c r="Q109">
        <f>VLOOKUP(Table4[[#This Row],[Shortname]], Comp[], 16, FALSE)</f>
        <v>0</v>
      </c>
      <c r="R109">
        <f>VLOOKUP(Table4[[#This Row],[Shortname]], Comp[], 17, FALSE)</f>
        <v>0</v>
      </c>
      <c r="S109">
        <f>VLOOKUP(Table4[[#This Row],[Shortname]], Comp[], 18, FALSE)</f>
        <v>0</v>
      </c>
      <c r="T109">
        <f>VLOOKUP(Table4[[#This Row],[Shortname]], Comp[], 19, FALSE)</f>
        <v>0</v>
      </c>
      <c r="U109">
        <f>VLOOKUP(Table4[[#This Row],[Shortname]], Comp[], 20, FALSE)</f>
        <v>0</v>
      </c>
      <c r="V109">
        <f>VLOOKUP(Table4[[#This Row],[Shortname]], Comp[], 21, FALSE)</f>
        <v>0</v>
      </c>
      <c r="W109">
        <f>VLOOKUP(Table4[[#This Row],[Shortname]], Comp[], 22, FALSE)</f>
        <v>0</v>
      </c>
      <c r="X109">
        <f>VLOOKUP(Table4[[#This Row],[Shortname]], Comp[], 23, FALSE)</f>
        <v>0</v>
      </c>
      <c r="Y109">
        <f>VLOOKUP(Table4[[#This Row],[Shortname]], Comp[], 24, FALSE)</f>
        <v>0</v>
      </c>
      <c r="Z109">
        <f>VLOOKUP(Table4[[#This Row],[Shortname]], Comp[], 25, FALSE)</f>
        <v>0</v>
      </c>
      <c r="AA109">
        <f>VLOOKUP(Table4[[#This Row],[Shortname]], Comp[], 26, FALSE)</f>
        <v>0</v>
      </c>
      <c r="AB109">
        <f>VLOOKUP(Table4[[#This Row],[Shortname]], Comp[], 27, FALSE)</f>
        <v>0</v>
      </c>
      <c r="AC109">
        <f>VLOOKUP(Table4[[#This Row],[Shortname]], Comp[], 28, FALSE)</f>
        <v>0</v>
      </c>
      <c r="AD109">
        <f>VLOOKUP(Table4[[#This Row],[Shortname]], Comp[], 29, FALSE)</f>
        <v>0</v>
      </c>
      <c r="AE109">
        <f>VLOOKUP(Table4[[#This Row],[Shortname]], Comp[], 30, FALSE)</f>
        <v>0</v>
      </c>
      <c r="AF109">
        <f>VLOOKUP(Table4[[#This Row],[Shortname]], Comp[], 31, FALSE)</f>
        <v>0</v>
      </c>
    </row>
    <row r="110" spans="1:32" x14ac:dyDescent="0.3">
      <c r="A110" t="s">
        <v>1773</v>
      </c>
      <c r="B110" t="s">
        <v>1773</v>
      </c>
      <c r="C110" t="s">
        <v>6713</v>
      </c>
      <c r="D110">
        <v>25</v>
      </c>
      <c r="E110">
        <v>50</v>
      </c>
      <c r="F110">
        <v>400</v>
      </c>
      <c r="G110">
        <f>VLOOKUP(Table4[[#This Row],[Shortname]], Comp[], 6, FALSE)</f>
        <v>228</v>
      </c>
      <c r="H110" s="14">
        <f>VLOOKUP(Table4[[#This Row],[Shortname]], Comp[], 7, FALSE)</f>
        <v>83.3</v>
      </c>
      <c r="I110">
        <f>VLOOKUP(Table4[[#This Row],[Shortname]], Comp[], 8, FALSE)</f>
        <v>0</v>
      </c>
      <c r="J110">
        <f>VLOOKUP(Table4[[#This Row],[Shortname]], Comp[], 9, FALSE)</f>
        <v>8.1999999999999993</v>
      </c>
      <c r="K110">
        <f>VLOOKUP(Table4[[#This Row],[Shortname]], Comp[], 10, FALSE)</f>
        <v>0</v>
      </c>
      <c r="L110">
        <f>VLOOKUP(Table4[[#This Row],[Shortname]], Comp[], 11, FALSE)</f>
        <v>8.5</v>
      </c>
      <c r="M110">
        <f>VLOOKUP(Table4[[#This Row],[Shortname]], Comp[],12, FALSE)</f>
        <v>0</v>
      </c>
      <c r="N110">
        <f>VLOOKUP(Table4[[#This Row],[Shortname]], Comp[], 13, FALSE)</f>
        <v>0</v>
      </c>
      <c r="O110">
        <f>VLOOKUP(Table4[[#This Row],[Shortname]], Comp[], 14, FALSE)</f>
        <v>0</v>
      </c>
      <c r="P110">
        <f>VLOOKUP(Table4[[#This Row],[Shortname]], Comp[], 15, FALSE)</f>
        <v>0</v>
      </c>
      <c r="Q110">
        <f>VLOOKUP(Table4[[#This Row],[Shortname]], Comp[], 16, FALSE)</f>
        <v>0</v>
      </c>
      <c r="R110">
        <f>VLOOKUP(Table4[[#This Row],[Shortname]], Comp[], 17, FALSE)</f>
        <v>0</v>
      </c>
      <c r="S110">
        <f>VLOOKUP(Table4[[#This Row],[Shortname]], Comp[], 18, FALSE)</f>
        <v>0</v>
      </c>
      <c r="T110">
        <f>VLOOKUP(Table4[[#This Row],[Shortname]], Comp[], 19, FALSE)</f>
        <v>0</v>
      </c>
      <c r="U110">
        <f>VLOOKUP(Table4[[#This Row],[Shortname]], Comp[], 20, FALSE)</f>
        <v>0</v>
      </c>
      <c r="V110">
        <f>VLOOKUP(Table4[[#This Row],[Shortname]], Comp[], 21, FALSE)</f>
        <v>0</v>
      </c>
      <c r="W110">
        <f>VLOOKUP(Table4[[#This Row],[Shortname]], Comp[], 22, FALSE)</f>
        <v>0</v>
      </c>
      <c r="X110">
        <f>VLOOKUP(Table4[[#This Row],[Shortname]], Comp[], 23, FALSE)</f>
        <v>0</v>
      </c>
      <c r="Y110">
        <f>VLOOKUP(Table4[[#This Row],[Shortname]], Comp[], 24, FALSE)</f>
        <v>0</v>
      </c>
      <c r="Z110">
        <f>VLOOKUP(Table4[[#This Row],[Shortname]], Comp[], 25, FALSE)</f>
        <v>0</v>
      </c>
      <c r="AA110">
        <f>VLOOKUP(Table4[[#This Row],[Shortname]], Comp[], 26, FALSE)</f>
        <v>0</v>
      </c>
      <c r="AB110">
        <f>VLOOKUP(Table4[[#This Row],[Shortname]], Comp[], 27, FALSE)</f>
        <v>0</v>
      </c>
      <c r="AC110">
        <f>VLOOKUP(Table4[[#This Row],[Shortname]], Comp[], 28, FALSE)</f>
        <v>0</v>
      </c>
      <c r="AD110">
        <f>VLOOKUP(Table4[[#This Row],[Shortname]], Comp[], 29, FALSE)</f>
        <v>0</v>
      </c>
      <c r="AE110">
        <f>VLOOKUP(Table4[[#This Row],[Shortname]], Comp[], 30, FALSE)</f>
        <v>0</v>
      </c>
      <c r="AF110">
        <f>VLOOKUP(Table4[[#This Row],[Shortname]], Comp[], 31, FALSE)</f>
        <v>0</v>
      </c>
    </row>
    <row r="111" spans="1:32" x14ac:dyDescent="0.3">
      <c r="A111" t="s">
        <v>1759</v>
      </c>
      <c r="B111" t="s">
        <v>1761</v>
      </c>
      <c r="C111" t="s">
        <v>6713</v>
      </c>
      <c r="D111">
        <v>25</v>
      </c>
      <c r="E111">
        <v>50</v>
      </c>
      <c r="F111">
        <v>290</v>
      </c>
      <c r="G111">
        <f>VLOOKUP(Table4[[#This Row],[Shortname]], Comp[], 6, FALSE)</f>
        <v>226</v>
      </c>
      <c r="H111" s="14">
        <f>VLOOKUP(Table4[[#This Row],[Shortname]], Comp[], 7, FALSE)</f>
        <v>86.4</v>
      </c>
      <c r="I111">
        <f>VLOOKUP(Table4[[#This Row],[Shortname]], Comp[], 8, FALSE)</f>
        <v>0</v>
      </c>
      <c r="J111">
        <f>VLOOKUP(Table4[[#This Row],[Shortname]], Comp[], 9, FALSE)</f>
        <v>9</v>
      </c>
      <c r="K111">
        <f>VLOOKUP(Table4[[#This Row],[Shortname]], Comp[], 10, FALSE)</f>
        <v>0</v>
      </c>
      <c r="L111">
        <f>VLOOKUP(Table4[[#This Row],[Shortname]], Comp[], 11, FALSE)</f>
        <v>4.5999999999999996</v>
      </c>
      <c r="M111">
        <f>VLOOKUP(Table4[[#This Row],[Shortname]], Comp[],12, FALSE)</f>
        <v>0</v>
      </c>
      <c r="N111">
        <f>VLOOKUP(Table4[[#This Row],[Shortname]], Comp[], 13, FALSE)</f>
        <v>0</v>
      </c>
      <c r="O111">
        <f>VLOOKUP(Table4[[#This Row],[Shortname]], Comp[], 14, FALSE)</f>
        <v>0</v>
      </c>
      <c r="P111">
        <f>VLOOKUP(Table4[[#This Row],[Shortname]], Comp[], 15, FALSE)</f>
        <v>0</v>
      </c>
      <c r="Q111">
        <f>VLOOKUP(Table4[[#This Row],[Shortname]], Comp[], 16, FALSE)</f>
        <v>0</v>
      </c>
      <c r="R111">
        <f>VLOOKUP(Table4[[#This Row],[Shortname]], Comp[], 17, FALSE)</f>
        <v>0</v>
      </c>
      <c r="S111">
        <f>VLOOKUP(Table4[[#This Row],[Shortname]], Comp[], 18, FALSE)</f>
        <v>0</v>
      </c>
      <c r="T111">
        <f>VLOOKUP(Table4[[#This Row],[Shortname]], Comp[], 19, FALSE)</f>
        <v>0</v>
      </c>
      <c r="U111">
        <f>VLOOKUP(Table4[[#This Row],[Shortname]], Comp[], 20, FALSE)</f>
        <v>0</v>
      </c>
      <c r="V111">
        <f>VLOOKUP(Table4[[#This Row],[Shortname]], Comp[], 21, FALSE)</f>
        <v>0</v>
      </c>
      <c r="W111">
        <f>VLOOKUP(Table4[[#This Row],[Shortname]], Comp[], 22, FALSE)</f>
        <v>0</v>
      </c>
      <c r="X111">
        <f>VLOOKUP(Table4[[#This Row],[Shortname]], Comp[], 23, FALSE)</f>
        <v>0</v>
      </c>
      <c r="Y111">
        <f>VLOOKUP(Table4[[#This Row],[Shortname]], Comp[], 24, FALSE)</f>
        <v>0</v>
      </c>
      <c r="Z111">
        <f>VLOOKUP(Table4[[#This Row],[Shortname]], Comp[], 25, FALSE)</f>
        <v>0</v>
      </c>
      <c r="AA111">
        <f>VLOOKUP(Table4[[#This Row],[Shortname]], Comp[], 26, FALSE)</f>
        <v>0</v>
      </c>
      <c r="AB111">
        <f>VLOOKUP(Table4[[#This Row],[Shortname]], Comp[], 27, FALSE)</f>
        <v>0</v>
      </c>
      <c r="AC111">
        <f>VLOOKUP(Table4[[#This Row],[Shortname]], Comp[], 28, FALSE)</f>
        <v>0</v>
      </c>
      <c r="AD111">
        <f>VLOOKUP(Table4[[#This Row],[Shortname]], Comp[], 29, FALSE)</f>
        <v>0</v>
      </c>
      <c r="AE111">
        <f>VLOOKUP(Table4[[#This Row],[Shortname]], Comp[], 30, FALSE)</f>
        <v>0</v>
      </c>
      <c r="AF111">
        <f>VLOOKUP(Table4[[#This Row],[Shortname]], Comp[], 31, FALSE)</f>
        <v>0</v>
      </c>
    </row>
    <row r="112" spans="1:32" x14ac:dyDescent="0.3">
      <c r="A112" t="s">
        <v>1896</v>
      </c>
      <c r="B112" t="s">
        <v>1902</v>
      </c>
      <c r="C112" s="3" t="s">
        <v>1886</v>
      </c>
      <c r="D112">
        <v>25</v>
      </c>
      <c r="E112">
        <v>900</v>
      </c>
      <c r="F112">
        <v>459.87559906189455</v>
      </c>
      <c r="G112">
        <f>VLOOKUP(Table4[[#This Row],[Shortname]], Comp[], 6, FALSE)</f>
        <v>245</v>
      </c>
      <c r="H112" s="14">
        <f>VLOOKUP(Table4[[#This Row],[Shortname]], Comp[], 7, FALSE)</f>
        <v>81.462999999999994</v>
      </c>
      <c r="I112">
        <f>VLOOKUP(Table4[[#This Row],[Shortname]], Comp[], 8, FALSE)</f>
        <v>0</v>
      </c>
      <c r="J112">
        <f>VLOOKUP(Table4[[#This Row],[Shortname]], Comp[], 9, FALSE)</f>
        <v>9.1</v>
      </c>
      <c r="K112">
        <f>VLOOKUP(Table4[[#This Row],[Shortname]], Comp[], 10, FALSE)</f>
        <v>0</v>
      </c>
      <c r="L112">
        <f>VLOOKUP(Table4[[#This Row],[Shortname]], Comp[], 11, FALSE)</f>
        <v>9.4</v>
      </c>
      <c r="M112">
        <f>VLOOKUP(Table4[[#This Row],[Shortname]], Comp[],12, FALSE)</f>
        <v>0</v>
      </c>
      <c r="N112">
        <f>VLOOKUP(Table4[[#This Row],[Shortname]], Comp[], 13, FALSE)</f>
        <v>0</v>
      </c>
      <c r="O112">
        <f>VLOOKUP(Table4[[#This Row],[Shortname]], Comp[], 14, FALSE)</f>
        <v>0</v>
      </c>
      <c r="P112">
        <f>VLOOKUP(Table4[[#This Row],[Shortname]], Comp[], 15, FALSE)</f>
        <v>0</v>
      </c>
      <c r="Q112">
        <f>VLOOKUP(Table4[[#This Row],[Shortname]], Comp[], 16, FALSE)</f>
        <v>0</v>
      </c>
      <c r="R112">
        <f>VLOOKUP(Table4[[#This Row],[Shortname]], Comp[], 17, FALSE)</f>
        <v>0</v>
      </c>
      <c r="S112">
        <f>VLOOKUP(Table4[[#This Row],[Shortname]], Comp[], 18, FALSE)</f>
        <v>0</v>
      </c>
      <c r="T112">
        <f>VLOOKUP(Table4[[#This Row],[Shortname]], Comp[], 19, FALSE)</f>
        <v>3.6999999999999998E-2</v>
      </c>
      <c r="U112">
        <f>VLOOKUP(Table4[[#This Row],[Shortname]], Comp[], 20, FALSE)</f>
        <v>0</v>
      </c>
      <c r="V112">
        <f>VLOOKUP(Table4[[#This Row],[Shortname]], Comp[], 21, FALSE)</f>
        <v>0</v>
      </c>
      <c r="W112">
        <f>VLOOKUP(Table4[[#This Row],[Shortname]], Comp[], 22, FALSE)</f>
        <v>0</v>
      </c>
      <c r="X112">
        <f>VLOOKUP(Table4[[#This Row],[Shortname]], Comp[], 23, FALSE)</f>
        <v>0</v>
      </c>
      <c r="Y112">
        <f>VLOOKUP(Table4[[#This Row],[Shortname]], Comp[], 24, FALSE)</f>
        <v>0</v>
      </c>
      <c r="Z112">
        <f>VLOOKUP(Table4[[#This Row],[Shortname]], Comp[], 25, FALSE)</f>
        <v>0</v>
      </c>
      <c r="AA112">
        <f>VLOOKUP(Table4[[#This Row],[Shortname]], Comp[], 26, FALSE)</f>
        <v>0</v>
      </c>
      <c r="AB112">
        <f>VLOOKUP(Table4[[#This Row],[Shortname]], Comp[], 27, FALSE)</f>
        <v>0</v>
      </c>
      <c r="AC112">
        <f>VLOOKUP(Table4[[#This Row],[Shortname]], Comp[], 28, FALSE)</f>
        <v>0</v>
      </c>
      <c r="AD112">
        <f>VLOOKUP(Table4[[#This Row],[Shortname]], Comp[], 29, FALSE)</f>
        <v>0</v>
      </c>
      <c r="AE112">
        <f>VLOOKUP(Table4[[#This Row],[Shortname]], Comp[], 30, FALSE)</f>
        <v>0</v>
      </c>
      <c r="AF112">
        <f>VLOOKUP(Table4[[#This Row],[Shortname]], Comp[], 31, FALSE)</f>
        <v>0</v>
      </c>
    </row>
    <row r="113" spans="1:32" x14ac:dyDescent="0.3">
      <c r="A113" t="s">
        <v>1896</v>
      </c>
      <c r="B113" t="s">
        <v>1898</v>
      </c>
      <c r="C113" s="3" t="s">
        <v>1886</v>
      </c>
      <c r="D113">
        <v>25</v>
      </c>
      <c r="E113">
        <v>900</v>
      </c>
      <c r="F113">
        <v>444.58040175384934</v>
      </c>
      <c r="G113">
        <f>VLOOKUP(Table4[[#This Row],[Shortname]], Comp[], 6, FALSE)</f>
        <v>245</v>
      </c>
      <c r="H113" s="14">
        <f>VLOOKUP(Table4[[#This Row],[Shortname]], Comp[], 7, FALSE)</f>
        <v>81.462999999999994</v>
      </c>
      <c r="I113">
        <f>VLOOKUP(Table4[[#This Row],[Shortname]], Comp[], 8, FALSE)</f>
        <v>0</v>
      </c>
      <c r="J113">
        <f>VLOOKUP(Table4[[#This Row],[Shortname]], Comp[], 9, FALSE)</f>
        <v>9.1</v>
      </c>
      <c r="K113">
        <f>VLOOKUP(Table4[[#This Row],[Shortname]], Comp[], 10, FALSE)</f>
        <v>0</v>
      </c>
      <c r="L113">
        <f>VLOOKUP(Table4[[#This Row],[Shortname]], Comp[], 11, FALSE)</f>
        <v>9.4</v>
      </c>
      <c r="M113">
        <f>VLOOKUP(Table4[[#This Row],[Shortname]], Comp[],12, FALSE)</f>
        <v>0</v>
      </c>
      <c r="N113">
        <f>VLOOKUP(Table4[[#This Row],[Shortname]], Comp[], 13, FALSE)</f>
        <v>0</v>
      </c>
      <c r="O113">
        <f>VLOOKUP(Table4[[#This Row],[Shortname]], Comp[], 14, FALSE)</f>
        <v>0</v>
      </c>
      <c r="P113">
        <f>VLOOKUP(Table4[[#This Row],[Shortname]], Comp[], 15, FALSE)</f>
        <v>0</v>
      </c>
      <c r="Q113">
        <f>VLOOKUP(Table4[[#This Row],[Shortname]], Comp[], 16, FALSE)</f>
        <v>0</v>
      </c>
      <c r="R113">
        <f>VLOOKUP(Table4[[#This Row],[Shortname]], Comp[], 17, FALSE)</f>
        <v>0</v>
      </c>
      <c r="S113">
        <f>VLOOKUP(Table4[[#This Row],[Shortname]], Comp[], 18, FALSE)</f>
        <v>0</v>
      </c>
      <c r="T113">
        <f>VLOOKUP(Table4[[#This Row],[Shortname]], Comp[], 19, FALSE)</f>
        <v>3.6999999999999998E-2</v>
      </c>
      <c r="U113">
        <f>VLOOKUP(Table4[[#This Row],[Shortname]], Comp[], 20, FALSE)</f>
        <v>0</v>
      </c>
      <c r="V113">
        <f>VLOOKUP(Table4[[#This Row],[Shortname]], Comp[], 21, FALSE)</f>
        <v>0</v>
      </c>
      <c r="W113">
        <f>VLOOKUP(Table4[[#This Row],[Shortname]], Comp[], 22, FALSE)</f>
        <v>0</v>
      </c>
      <c r="X113">
        <f>VLOOKUP(Table4[[#This Row],[Shortname]], Comp[], 23, FALSE)</f>
        <v>0</v>
      </c>
      <c r="Y113">
        <f>VLOOKUP(Table4[[#This Row],[Shortname]], Comp[], 24, FALSE)</f>
        <v>0</v>
      </c>
      <c r="Z113">
        <f>VLOOKUP(Table4[[#This Row],[Shortname]], Comp[], 25, FALSE)</f>
        <v>0</v>
      </c>
      <c r="AA113">
        <f>VLOOKUP(Table4[[#This Row],[Shortname]], Comp[], 26, FALSE)</f>
        <v>0</v>
      </c>
      <c r="AB113">
        <f>VLOOKUP(Table4[[#This Row],[Shortname]], Comp[], 27, FALSE)</f>
        <v>0</v>
      </c>
      <c r="AC113">
        <f>VLOOKUP(Table4[[#This Row],[Shortname]], Comp[], 28, FALSE)</f>
        <v>0</v>
      </c>
      <c r="AD113">
        <f>VLOOKUP(Table4[[#This Row],[Shortname]], Comp[], 29, FALSE)</f>
        <v>0</v>
      </c>
      <c r="AE113">
        <f>VLOOKUP(Table4[[#This Row],[Shortname]], Comp[], 30, FALSE)</f>
        <v>0</v>
      </c>
      <c r="AF113">
        <f>VLOOKUP(Table4[[#This Row],[Shortname]], Comp[], 31, FALSE)</f>
        <v>0</v>
      </c>
    </row>
    <row r="114" spans="1:32" x14ac:dyDescent="0.3">
      <c r="A114" t="s">
        <v>1884</v>
      </c>
      <c r="B114" t="s">
        <v>1885</v>
      </c>
      <c r="C114" s="3" t="s">
        <v>1886</v>
      </c>
      <c r="D114">
        <v>25</v>
      </c>
      <c r="E114">
        <v>900</v>
      </c>
      <c r="F114">
        <v>431.32456408687676</v>
      </c>
      <c r="G114">
        <f>VLOOKUP(Table4[[#This Row],[Shortname]], Comp[], 6, FALSE)</f>
        <v>243</v>
      </c>
      <c r="H114" s="14">
        <f>VLOOKUP(Table4[[#This Row],[Shortname]], Comp[], 7, FALSE)</f>
        <v>81.400000000000006</v>
      </c>
      <c r="I114">
        <f>VLOOKUP(Table4[[#This Row],[Shortname]], Comp[], 8, FALSE)</f>
        <v>0</v>
      </c>
      <c r="J114">
        <f>VLOOKUP(Table4[[#This Row],[Shortname]], Comp[], 9, FALSE)</f>
        <v>9.1</v>
      </c>
      <c r="K114">
        <f>VLOOKUP(Table4[[#This Row],[Shortname]], Comp[], 10, FALSE)</f>
        <v>0</v>
      </c>
      <c r="L114">
        <f>VLOOKUP(Table4[[#This Row],[Shortname]], Comp[], 11, FALSE)</f>
        <v>9.5</v>
      </c>
      <c r="M114">
        <f>VLOOKUP(Table4[[#This Row],[Shortname]], Comp[],12, FALSE)</f>
        <v>0</v>
      </c>
      <c r="N114">
        <f>VLOOKUP(Table4[[#This Row],[Shortname]], Comp[], 13, FALSE)</f>
        <v>0</v>
      </c>
      <c r="O114">
        <f>VLOOKUP(Table4[[#This Row],[Shortname]], Comp[], 14, FALSE)</f>
        <v>0</v>
      </c>
      <c r="P114">
        <f>VLOOKUP(Table4[[#This Row],[Shortname]], Comp[], 15, FALSE)</f>
        <v>0</v>
      </c>
      <c r="Q114">
        <f>VLOOKUP(Table4[[#This Row],[Shortname]], Comp[], 16, FALSE)</f>
        <v>0</v>
      </c>
      <c r="R114">
        <f>VLOOKUP(Table4[[#This Row],[Shortname]], Comp[], 17, FALSE)</f>
        <v>0</v>
      </c>
      <c r="S114">
        <f>VLOOKUP(Table4[[#This Row],[Shortname]], Comp[], 18, FALSE)</f>
        <v>0</v>
      </c>
      <c r="T114">
        <f>VLOOKUP(Table4[[#This Row],[Shortname]], Comp[], 19, FALSE)</f>
        <v>0</v>
      </c>
      <c r="U114">
        <f>VLOOKUP(Table4[[#This Row],[Shortname]], Comp[], 20, FALSE)</f>
        <v>0</v>
      </c>
      <c r="V114">
        <f>VLOOKUP(Table4[[#This Row],[Shortname]], Comp[], 21, FALSE)</f>
        <v>0</v>
      </c>
      <c r="W114">
        <f>VLOOKUP(Table4[[#This Row],[Shortname]], Comp[], 22, FALSE)</f>
        <v>0</v>
      </c>
      <c r="X114">
        <f>VLOOKUP(Table4[[#This Row],[Shortname]], Comp[], 23, FALSE)</f>
        <v>0</v>
      </c>
      <c r="Y114">
        <f>VLOOKUP(Table4[[#This Row],[Shortname]], Comp[], 24, FALSE)</f>
        <v>0</v>
      </c>
      <c r="Z114">
        <f>VLOOKUP(Table4[[#This Row],[Shortname]], Comp[], 25, FALSE)</f>
        <v>0</v>
      </c>
      <c r="AA114">
        <f>VLOOKUP(Table4[[#This Row],[Shortname]], Comp[], 26, FALSE)</f>
        <v>0</v>
      </c>
      <c r="AB114">
        <f>VLOOKUP(Table4[[#This Row],[Shortname]], Comp[], 27, FALSE)</f>
        <v>0</v>
      </c>
      <c r="AC114">
        <f>VLOOKUP(Table4[[#This Row],[Shortname]], Comp[], 28, FALSE)</f>
        <v>0</v>
      </c>
      <c r="AD114">
        <f>VLOOKUP(Table4[[#This Row],[Shortname]], Comp[], 29, FALSE)</f>
        <v>0</v>
      </c>
      <c r="AE114">
        <f>VLOOKUP(Table4[[#This Row],[Shortname]], Comp[], 30, FALSE)</f>
        <v>0</v>
      </c>
      <c r="AF114">
        <f>VLOOKUP(Table4[[#This Row],[Shortname]], Comp[], 31, FALSE)</f>
        <v>0</v>
      </c>
    </row>
    <row r="115" spans="1:32" x14ac:dyDescent="0.3">
      <c r="A115" s="7" t="s">
        <v>2013</v>
      </c>
      <c r="B115" s="7" t="s">
        <v>2015</v>
      </c>
      <c r="C115" t="s">
        <v>6718</v>
      </c>
      <c r="D115">
        <v>25</v>
      </c>
      <c r="E115">
        <v>900</v>
      </c>
      <c r="F115">
        <v>425</v>
      </c>
      <c r="G115">
        <f>VLOOKUP(Table4[[#This Row],[Shortname]], Comp[], 6, FALSE)</f>
        <v>263</v>
      </c>
      <c r="H115" s="14">
        <f>VLOOKUP(Table4[[#This Row],[Shortname]], Comp[], 7, FALSE)</f>
        <v>71</v>
      </c>
      <c r="I115">
        <f>VLOOKUP(Table4[[#This Row],[Shortname]], Comp[], 8, FALSE)</f>
        <v>10</v>
      </c>
      <c r="J115">
        <f>VLOOKUP(Table4[[#This Row],[Shortname]], Comp[], 9, FALSE)</f>
        <v>7</v>
      </c>
      <c r="K115">
        <f>VLOOKUP(Table4[[#This Row],[Shortname]], Comp[], 10, FALSE)</f>
        <v>0</v>
      </c>
      <c r="L115">
        <f>VLOOKUP(Table4[[#This Row],[Shortname]], Comp[], 11, FALSE)</f>
        <v>7</v>
      </c>
      <c r="M115">
        <f>VLOOKUP(Table4[[#This Row],[Shortname]], Comp[],12, FALSE)</f>
        <v>4</v>
      </c>
      <c r="N115">
        <f>VLOOKUP(Table4[[#This Row],[Shortname]], Comp[], 13, FALSE)</f>
        <v>1</v>
      </c>
      <c r="O115">
        <f>VLOOKUP(Table4[[#This Row],[Shortname]], Comp[], 14, FALSE)</f>
        <v>0</v>
      </c>
      <c r="P115">
        <f>VLOOKUP(Table4[[#This Row],[Shortname]], Comp[], 15, FALSE)</f>
        <v>0</v>
      </c>
      <c r="Q115">
        <f>VLOOKUP(Table4[[#This Row],[Shortname]], Comp[], 16, FALSE)</f>
        <v>0</v>
      </c>
      <c r="R115">
        <f>VLOOKUP(Table4[[#This Row],[Shortname]], Comp[], 17, FALSE)</f>
        <v>0</v>
      </c>
      <c r="S115">
        <f>VLOOKUP(Table4[[#This Row],[Shortname]], Comp[], 18, FALSE)</f>
        <v>0</v>
      </c>
      <c r="T115">
        <f>VLOOKUP(Table4[[#This Row],[Shortname]], Comp[], 19, FALSE)</f>
        <v>0</v>
      </c>
      <c r="U115">
        <f>VLOOKUP(Table4[[#This Row],[Shortname]], Comp[], 20, FALSE)</f>
        <v>0</v>
      </c>
      <c r="V115">
        <f>VLOOKUP(Table4[[#This Row],[Shortname]], Comp[], 21, FALSE)</f>
        <v>0</v>
      </c>
      <c r="W115">
        <f>VLOOKUP(Table4[[#This Row],[Shortname]], Comp[], 22, FALSE)</f>
        <v>0</v>
      </c>
      <c r="X115">
        <f>VLOOKUP(Table4[[#This Row],[Shortname]], Comp[], 23, FALSE)</f>
        <v>0</v>
      </c>
      <c r="Y115">
        <f>VLOOKUP(Table4[[#This Row],[Shortname]], Comp[], 24, FALSE)</f>
        <v>0</v>
      </c>
      <c r="Z115">
        <f>VLOOKUP(Table4[[#This Row],[Shortname]], Comp[], 25, FALSE)</f>
        <v>0</v>
      </c>
      <c r="AA115">
        <f>VLOOKUP(Table4[[#This Row],[Shortname]], Comp[], 26, FALSE)</f>
        <v>0</v>
      </c>
      <c r="AB115">
        <f>VLOOKUP(Table4[[#This Row],[Shortname]], Comp[], 27, FALSE)</f>
        <v>0</v>
      </c>
      <c r="AC115">
        <f>VLOOKUP(Table4[[#This Row],[Shortname]], Comp[], 28, FALSE)</f>
        <v>0</v>
      </c>
      <c r="AD115">
        <f>VLOOKUP(Table4[[#This Row],[Shortname]], Comp[], 29, FALSE)</f>
        <v>0</v>
      </c>
      <c r="AE115">
        <f>VLOOKUP(Table4[[#This Row],[Shortname]], Comp[], 30, FALSE)</f>
        <v>0</v>
      </c>
      <c r="AF115">
        <f>VLOOKUP(Table4[[#This Row],[Shortname]], Comp[], 31, FALSE)</f>
        <v>0</v>
      </c>
    </row>
    <row r="116" spans="1:32" x14ac:dyDescent="0.3">
      <c r="A116" t="s">
        <v>2020</v>
      </c>
      <c r="B116" t="s">
        <v>2022</v>
      </c>
      <c r="C116" t="s">
        <v>6718</v>
      </c>
      <c r="D116">
        <v>25</v>
      </c>
      <c r="E116">
        <v>900</v>
      </c>
      <c r="F116">
        <v>401</v>
      </c>
      <c r="G116">
        <f>VLOOKUP(Table4[[#This Row],[Shortname]], Comp[], 6, FALSE)</f>
        <v>264</v>
      </c>
      <c r="H116" s="14">
        <f>VLOOKUP(Table4[[#This Row],[Shortname]], Comp[], 7, FALSE)</f>
        <v>51</v>
      </c>
      <c r="I116">
        <f>VLOOKUP(Table4[[#This Row],[Shortname]], Comp[], 8, FALSE)</f>
        <v>30</v>
      </c>
      <c r="J116">
        <f>VLOOKUP(Table4[[#This Row],[Shortname]], Comp[], 9, FALSE)</f>
        <v>7</v>
      </c>
      <c r="K116">
        <f>VLOOKUP(Table4[[#This Row],[Shortname]], Comp[], 10, FALSE)</f>
        <v>0</v>
      </c>
      <c r="L116">
        <f>VLOOKUP(Table4[[#This Row],[Shortname]], Comp[], 11, FALSE)</f>
        <v>7</v>
      </c>
      <c r="M116">
        <f>VLOOKUP(Table4[[#This Row],[Shortname]], Comp[],12, FALSE)</f>
        <v>4</v>
      </c>
      <c r="N116">
        <f>VLOOKUP(Table4[[#This Row],[Shortname]], Comp[], 13, FALSE)</f>
        <v>1</v>
      </c>
      <c r="O116">
        <f>VLOOKUP(Table4[[#This Row],[Shortname]], Comp[], 14, FALSE)</f>
        <v>0</v>
      </c>
      <c r="P116">
        <f>VLOOKUP(Table4[[#This Row],[Shortname]], Comp[], 15, FALSE)</f>
        <v>0</v>
      </c>
      <c r="Q116">
        <f>VLOOKUP(Table4[[#This Row],[Shortname]], Comp[], 16, FALSE)</f>
        <v>0</v>
      </c>
      <c r="R116">
        <f>VLOOKUP(Table4[[#This Row],[Shortname]], Comp[], 17, FALSE)</f>
        <v>0</v>
      </c>
      <c r="S116">
        <f>VLOOKUP(Table4[[#This Row],[Shortname]], Comp[], 18, FALSE)</f>
        <v>0</v>
      </c>
      <c r="T116">
        <f>VLOOKUP(Table4[[#This Row],[Shortname]], Comp[], 19, FALSE)</f>
        <v>0</v>
      </c>
      <c r="U116">
        <f>VLOOKUP(Table4[[#This Row],[Shortname]], Comp[], 20, FALSE)</f>
        <v>0</v>
      </c>
      <c r="V116">
        <f>VLOOKUP(Table4[[#This Row],[Shortname]], Comp[], 21, FALSE)</f>
        <v>0</v>
      </c>
      <c r="W116">
        <f>VLOOKUP(Table4[[#This Row],[Shortname]], Comp[], 22, FALSE)</f>
        <v>0</v>
      </c>
      <c r="X116">
        <f>VLOOKUP(Table4[[#This Row],[Shortname]], Comp[], 23, FALSE)</f>
        <v>0</v>
      </c>
      <c r="Y116">
        <f>VLOOKUP(Table4[[#This Row],[Shortname]], Comp[], 24, FALSE)</f>
        <v>0</v>
      </c>
      <c r="Z116">
        <f>VLOOKUP(Table4[[#This Row],[Shortname]], Comp[], 25, FALSE)</f>
        <v>0</v>
      </c>
      <c r="AA116">
        <f>VLOOKUP(Table4[[#This Row],[Shortname]], Comp[], 26, FALSE)</f>
        <v>0</v>
      </c>
      <c r="AB116">
        <f>VLOOKUP(Table4[[#This Row],[Shortname]], Comp[], 27, FALSE)</f>
        <v>0</v>
      </c>
      <c r="AC116">
        <f>VLOOKUP(Table4[[#This Row],[Shortname]], Comp[], 28, FALSE)</f>
        <v>0</v>
      </c>
      <c r="AD116">
        <f>VLOOKUP(Table4[[#This Row],[Shortname]], Comp[], 29, FALSE)</f>
        <v>0</v>
      </c>
      <c r="AE116">
        <f>VLOOKUP(Table4[[#This Row],[Shortname]], Comp[], 30, FALSE)</f>
        <v>0</v>
      </c>
      <c r="AF116">
        <f>VLOOKUP(Table4[[#This Row],[Shortname]], Comp[], 31, FALSE)</f>
        <v>0</v>
      </c>
    </row>
    <row r="117" spans="1:32" x14ac:dyDescent="0.3">
      <c r="A117" t="s">
        <v>2056</v>
      </c>
      <c r="B117" t="s">
        <v>2058</v>
      </c>
      <c r="C117" t="s">
        <v>6718</v>
      </c>
      <c r="D117">
        <v>25</v>
      </c>
      <c r="E117">
        <v>900</v>
      </c>
      <c r="F117">
        <v>345</v>
      </c>
      <c r="G117">
        <f>VLOOKUP(Table4[[#This Row],[Shortname]], Comp[], 6, FALSE)</f>
        <v>270</v>
      </c>
      <c r="H117" s="14">
        <f>VLOOKUP(Table4[[#This Row],[Shortname]], Comp[], 7, FALSE)</f>
        <v>52</v>
      </c>
      <c r="I117">
        <f>VLOOKUP(Table4[[#This Row],[Shortname]], Comp[], 8, FALSE)</f>
        <v>30</v>
      </c>
      <c r="J117">
        <f>VLOOKUP(Table4[[#This Row],[Shortname]], Comp[], 9, FALSE)</f>
        <v>7</v>
      </c>
      <c r="K117">
        <f>VLOOKUP(Table4[[#This Row],[Shortname]], Comp[], 10, FALSE)</f>
        <v>0</v>
      </c>
      <c r="L117">
        <f>VLOOKUP(Table4[[#This Row],[Shortname]], Comp[], 11, FALSE)</f>
        <v>2</v>
      </c>
      <c r="M117">
        <f>VLOOKUP(Table4[[#This Row],[Shortname]], Comp[],12, FALSE)</f>
        <v>4</v>
      </c>
      <c r="N117">
        <f>VLOOKUP(Table4[[#This Row],[Shortname]], Comp[], 13, FALSE)</f>
        <v>1</v>
      </c>
      <c r="O117">
        <f>VLOOKUP(Table4[[#This Row],[Shortname]], Comp[], 14, FALSE)</f>
        <v>1</v>
      </c>
      <c r="P117">
        <f>VLOOKUP(Table4[[#This Row],[Shortname]], Comp[], 15, FALSE)</f>
        <v>0</v>
      </c>
      <c r="Q117">
        <f>VLOOKUP(Table4[[#This Row],[Shortname]], Comp[], 16, FALSE)</f>
        <v>3</v>
      </c>
      <c r="R117">
        <f>VLOOKUP(Table4[[#This Row],[Shortname]], Comp[], 17, FALSE)</f>
        <v>0</v>
      </c>
      <c r="S117">
        <f>VLOOKUP(Table4[[#This Row],[Shortname]], Comp[], 18, FALSE)</f>
        <v>0</v>
      </c>
      <c r="T117">
        <f>VLOOKUP(Table4[[#This Row],[Shortname]], Comp[], 19, FALSE)</f>
        <v>0</v>
      </c>
      <c r="U117">
        <f>VLOOKUP(Table4[[#This Row],[Shortname]], Comp[], 20, FALSE)</f>
        <v>0</v>
      </c>
      <c r="V117">
        <f>VLOOKUP(Table4[[#This Row],[Shortname]], Comp[], 21, FALSE)</f>
        <v>0</v>
      </c>
      <c r="W117">
        <f>VLOOKUP(Table4[[#This Row],[Shortname]], Comp[], 22, FALSE)</f>
        <v>0</v>
      </c>
      <c r="X117">
        <f>VLOOKUP(Table4[[#This Row],[Shortname]], Comp[], 23, FALSE)</f>
        <v>0</v>
      </c>
      <c r="Y117">
        <f>VLOOKUP(Table4[[#This Row],[Shortname]], Comp[], 24, FALSE)</f>
        <v>0</v>
      </c>
      <c r="Z117">
        <f>VLOOKUP(Table4[[#This Row],[Shortname]], Comp[], 25, FALSE)</f>
        <v>0</v>
      </c>
      <c r="AA117">
        <f>VLOOKUP(Table4[[#This Row],[Shortname]], Comp[], 26, FALSE)</f>
        <v>0</v>
      </c>
      <c r="AB117">
        <f>VLOOKUP(Table4[[#This Row],[Shortname]], Comp[], 27, FALSE)</f>
        <v>0</v>
      </c>
      <c r="AC117">
        <f>VLOOKUP(Table4[[#This Row],[Shortname]], Comp[], 28, FALSE)</f>
        <v>0</v>
      </c>
      <c r="AD117">
        <f>VLOOKUP(Table4[[#This Row],[Shortname]], Comp[], 29, FALSE)</f>
        <v>0</v>
      </c>
      <c r="AE117">
        <f>VLOOKUP(Table4[[#This Row],[Shortname]], Comp[], 30, FALSE)</f>
        <v>0</v>
      </c>
      <c r="AF117">
        <f>VLOOKUP(Table4[[#This Row],[Shortname]], Comp[], 31, FALSE)</f>
        <v>0</v>
      </c>
    </row>
    <row r="118" spans="1:32" x14ac:dyDescent="0.3">
      <c r="A118" t="s">
        <v>2032</v>
      </c>
      <c r="B118" t="s">
        <v>2034</v>
      </c>
      <c r="C118" t="s">
        <v>6718</v>
      </c>
      <c r="D118">
        <v>25</v>
      </c>
      <c r="E118">
        <v>900</v>
      </c>
      <c r="F118">
        <v>325</v>
      </c>
      <c r="G118">
        <f>VLOOKUP(Table4[[#This Row],[Shortname]], Comp[], 6, FALSE)</f>
        <v>266</v>
      </c>
      <c r="H118" s="14">
        <f>VLOOKUP(Table4[[#This Row],[Shortname]], Comp[], 7, FALSE)</f>
        <v>52</v>
      </c>
      <c r="I118">
        <f>VLOOKUP(Table4[[#This Row],[Shortname]], Comp[], 8, FALSE)</f>
        <v>30</v>
      </c>
      <c r="J118">
        <f>VLOOKUP(Table4[[#This Row],[Shortname]], Comp[], 9, FALSE)</f>
        <v>7</v>
      </c>
      <c r="K118">
        <f>VLOOKUP(Table4[[#This Row],[Shortname]], Comp[], 10, FALSE)</f>
        <v>0</v>
      </c>
      <c r="L118">
        <f>VLOOKUP(Table4[[#This Row],[Shortname]], Comp[], 11, FALSE)</f>
        <v>0</v>
      </c>
      <c r="M118">
        <f>VLOOKUP(Table4[[#This Row],[Shortname]], Comp[],12, FALSE)</f>
        <v>4</v>
      </c>
      <c r="N118">
        <f>VLOOKUP(Table4[[#This Row],[Shortname]], Comp[], 13, FALSE)</f>
        <v>0</v>
      </c>
      <c r="O118">
        <f>VLOOKUP(Table4[[#This Row],[Shortname]], Comp[], 14, FALSE)</f>
        <v>2</v>
      </c>
      <c r="P118">
        <f>VLOOKUP(Table4[[#This Row],[Shortname]], Comp[], 15, FALSE)</f>
        <v>0</v>
      </c>
      <c r="Q118">
        <f>VLOOKUP(Table4[[#This Row],[Shortname]], Comp[], 16, FALSE)</f>
        <v>5</v>
      </c>
      <c r="R118">
        <f>VLOOKUP(Table4[[#This Row],[Shortname]], Comp[], 17, FALSE)</f>
        <v>0</v>
      </c>
      <c r="S118">
        <f>VLOOKUP(Table4[[#This Row],[Shortname]], Comp[], 18, FALSE)</f>
        <v>0</v>
      </c>
      <c r="T118">
        <f>VLOOKUP(Table4[[#This Row],[Shortname]], Comp[], 19, FALSE)</f>
        <v>0</v>
      </c>
      <c r="U118">
        <f>VLOOKUP(Table4[[#This Row],[Shortname]], Comp[], 20, FALSE)</f>
        <v>0</v>
      </c>
      <c r="V118">
        <f>VLOOKUP(Table4[[#This Row],[Shortname]], Comp[], 21, FALSE)</f>
        <v>0</v>
      </c>
      <c r="W118">
        <f>VLOOKUP(Table4[[#This Row],[Shortname]], Comp[], 22, FALSE)</f>
        <v>0</v>
      </c>
      <c r="X118">
        <f>VLOOKUP(Table4[[#This Row],[Shortname]], Comp[], 23, FALSE)</f>
        <v>0</v>
      </c>
      <c r="Y118">
        <f>VLOOKUP(Table4[[#This Row],[Shortname]], Comp[], 24, FALSE)</f>
        <v>0</v>
      </c>
      <c r="Z118">
        <f>VLOOKUP(Table4[[#This Row],[Shortname]], Comp[], 25, FALSE)</f>
        <v>0</v>
      </c>
      <c r="AA118">
        <f>VLOOKUP(Table4[[#This Row],[Shortname]], Comp[], 26, FALSE)</f>
        <v>0</v>
      </c>
      <c r="AB118">
        <f>VLOOKUP(Table4[[#This Row],[Shortname]], Comp[], 27, FALSE)</f>
        <v>0</v>
      </c>
      <c r="AC118">
        <f>VLOOKUP(Table4[[#This Row],[Shortname]], Comp[], 28, FALSE)</f>
        <v>0</v>
      </c>
      <c r="AD118">
        <f>VLOOKUP(Table4[[#This Row],[Shortname]], Comp[], 29, FALSE)</f>
        <v>0</v>
      </c>
      <c r="AE118">
        <f>VLOOKUP(Table4[[#This Row],[Shortname]], Comp[], 30, FALSE)</f>
        <v>0</v>
      </c>
      <c r="AF118">
        <f>VLOOKUP(Table4[[#This Row],[Shortname]], Comp[], 31, FALSE)</f>
        <v>0</v>
      </c>
    </row>
    <row r="119" spans="1:32" x14ac:dyDescent="0.3">
      <c r="A119" t="s">
        <v>2044</v>
      </c>
      <c r="B119" t="s">
        <v>2046</v>
      </c>
      <c r="C119" t="s">
        <v>6718</v>
      </c>
      <c r="D119">
        <v>25</v>
      </c>
      <c r="E119">
        <v>900</v>
      </c>
      <c r="F119">
        <v>320</v>
      </c>
      <c r="G119">
        <f>VLOOKUP(Table4[[#This Row],[Shortname]], Comp[], 6, FALSE)</f>
        <v>268</v>
      </c>
      <c r="H119" s="14">
        <f>VLOOKUP(Table4[[#This Row],[Shortname]], Comp[], 7, FALSE)</f>
        <v>52</v>
      </c>
      <c r="I119">
        <f>VLOOKUP(Table4[[#This Row],[Shortname]], Comp[], 8, FALSE)</f>
        <v>30</v>
      </c>
      <c r="J119">
        <f>VLOOKUP(Table4[[#This Row],[Shortname]], Comp[], 9, FALSE)</f>
        <v>7</v>
      </c>
      <c r="K119">
        <f>VLOOKUP(Table4[[#This Row],[Shortname]], Comp[], 10, FALSE)</f>
        <v>0</v>
      </c>
      <c r="L119">
        <f>VLOOKUP(Table4[[#This Row],[Shortname]], Comp[], 11, FALSE)</f>
        <v>0</v>
      </c>
      <c r="M119">
        <f>VLOOKUP(Table4[[#This Row],[Shortname]], Comp[],12, FALSE)</f>
        <v>4</v>
      </c>
      <c r="N119">
        <f>VLOOKUP(Table4[[#This Row],[Shortname]], Comp[], 13, FALSE)</f>
        <v>1</v>
      </c>
      <c r="O119">
        <f>VLOOKUP(Table4[[#This Row],[Shortname]], Comp[], 14, FALSE)</f>
        <v>1</v>
      </c>
      <c r="P119">
        <f>VLOOKUP(Table4[[#This Row],[Shortname]], Comp[], 15, FALSE)</f>
        <v>0</v>
      </c>
      <c r="Q119">
        <f>VLOOKUP(Table4[[#This Row],[Shortname]], Comp[], 16, FALSE)</f>
        <v>5</v>
      </c>
      <c r="R119">
        <f>VLOOKUP(Table4[[#This Row],[Shortname]], Comp[], 17, FALSE)</f>
        <v>0</v>
      </c>
      <c r="S119">
        <f>VLOOKUP(Table4[[#This Row],[Shortname]], Comp[], 18, FALSE)</f>
        <v>0</v>
      </c>
      <c r="T119">
        <f>VLOOKUP(Table4[[#This Row],[Shortname]], Comp[], 19, FALSE)</f>
        <v>0</v>
      </c>
      <c r="U119">
        <f>VLOOKUP(Table4[[#This Row],[Shortname]], Comp[], 20, FALSE)</f>
        <v>0</v>
      </c>
      <c r="V119">
        <f>VLOOKUP(Table4[[#This Row],[Shortname]], Comp[], 21, FALSE)</f>
        <v>0</v>
      </c>
      <c r="W119">
        <f>VLOOKUP(Table4[[#This Row],[Shortname]], Comp[], 22, FALSE)</f>
        <v>0</v>
      </c>
      <c r="X119">
        <f>VLOOKUP(Table4[[#This Row],[Shortname]], Comp[], 23, FALSE)</f>
        <v>0</v>
      </c>
      <c r="Y119">
        <f>VLOOKUP(Table4[[#This Row],[Shortname]], Comp[], 24, FALSE)</f>
        <v>0</v>
      </c>
      <c r="Z119">
        <f>VLOOKUP(Table4[[#This Row],[Shortname]], Comp[], 25, FALSE)</f>
        <v>0</v>
      </c>
      <c r="AA119">
        <f>VLOOKUP(Table4[[#This Row],[Shortname]], Comp[], 26, FALSE)</f>
        <v>0</v>
      </c>
      <c r="AB119">
        <f>VLOOKUP(Table4[[#This Row],[Shortname]], Comp[], 27, FALSE)</f>
        <v>0</v>
      </c>
      <c r="AC119">
        <f>VLOOKUP(Table4[[#This Row],[Shortname]], Comp[], 28, FALSE)</f>
        <v>0</v>
      </c>
      <c r="AD119">
        <f>VLOOKUP(Table4[[#This Row],[Shortname]], Comp[], 29, FALSE)</f>
        <v>0</v>
      </c>
      <c r="AE119">
        <f>VLOOKUP(Table4[[#This Row],[Shortname]], Comp[], 30, FALSE)</f>
        <v>0</v>
      </c>
      <c r="AF119">
        <f>VLOOKUP(Table4[[#This Row],[Shortname]], Comp[], 31, FALSE)</f>
        <v>0</v>
      </c>
    </row>
    <row r="120" spans="1:32" x14ac:dyDescent="0.3">
      <c r="A120" t="s">
        <v>2050</v>
      </c>
      <c r="B120" t="s">
        <v>2052</v>
      </c>
      <c r="C120" t="s">
        <v>6718</v>
      </c>
      <c r="D120">
        <v>25</v>
      </c>
      <c r="E120">
        <v>900</v>
      </c>
      <c r="F120">
        <v>320</v>
      </c>
      <c r="G120">
        <f>VLOOKUP(Table4[[#This Row],[Shortname]], Comp[], 6, FALSE)</f>
        <v>269</v>
      </c>
      <c r="H120" s="14">
        <f>VLOOKUP(Table4[[#This Row],[Shortname]], Comp[], 7, FALSE)</f>
        <v>72</v>
      </c>
      <c r="I120">
        <f>VLOOKUP(Table4[[#This Row],[Shortname]], Comp[], 8, FALSE)</f>
        <v>10</v>
      </c>
      <c r="J120">
        <f>VLOOKUP(Table4[[#This Row],[Shortname]], Comp[], 9, FALSE)</f>
        <v>7</v>
      </c>
      <c r="K120">
        <f>VLOOKUP(Table4[[#This Row],[Shortname]], Comp[], 10, FALSE)</f>
        <v>0</v>
      </c>
      <c r="L120">
        <f>VLOOKUP(Table4[[#This Row],[Shortname]], Comp[], 11, FALSE)</f>
        <v>2</v>
      </c>
      <c r="M120">
        <f>VLOOKUP(Table4[[#This Row],[Shortname]], Comp[],12, FALSE)</f>
        <v>4</v>
      </c>
      <c r="N120">
        <f>VLOOKUP(Table4[[#This Row],[Shortname]], Comp[], 13, FALSE)</f>
        <v>1</v>
      </c>
      <c r="O120">
        <f>VLOOKUP(Table4[[#This Row],[Shortname]], Comp[], 14, FALSE)</f>
        <v>1</v>
      </c>
      <c r="P120">
        <f>VLOOKUP(Table4[[#This Row],[Shortname]], Comp[], 15, FALSE)</f>
        <v>0</v>
      </c>
      <c r="Q120">
        <f>VLOOKUP(Table4[[#This Row],[Shortname]], Comp[], 16, FALSE)</f>
        <v>3</v>
      </c>
      <c r="R120">
        <f>VLOOKUP(Table4[[#This Row],[Shortname]], Comp[], 17, FALSE)</f>
        <v>0</v>
      </c>
      <c r="S120">
        <f>VLOOKUP(Table4[[#This Row],[Shortname]], Comp[], 18, FALSE)</f>
        <v>0</v>
      </c>
      <c r="T120">
        <f>VLOOKUP(Table4[[#This Row],[Shortname]], Comp[], 19, FALSE)</f>
        <v>0</v>
      </c>
      <c r="U120">
        <f>VLOOKUP(Table4[[#This Row],[Shortname]], Comp[], 20, FALSE)</f>
        <v>0</v>
      </c>
      <c r="V120">
        <f>VLOOKUP(Table4[[#This Row],[Shortname]], Comp[], 21, FALSE)</f>
        <v>0</v>
      </c>
      <c r="W120">
        <f>VLOOKUP(Table4[[#This Row],[Shortname]], Comp[], 22, FALSE)</f>
        <v>0</v>
      </c>
      <c r="X120">
        <f>VLOOKUP(Table4[[#This Row],[Shortname]], Comp[], 23, FALSE)</f>
        <v>0</v>
      </c>
      <c r="Y120">
        <f>VLOOKUP(Table4[[#This Row],[Shortname]], Comp[], 24, FALSE)</f>
        <v>0</v>
      </c>
      <c r="Z120">
        <f>VLOOKUP(Table4[[#This Row],[Shortname]], Comp[], 25, FALSE)</f>
        <v>0</v>
      </c>
      <c r="AA120">
        <f>VLOOKUP(Table4[[#This Row],[Shortname]], Comp[], 26, FALSE)</f>
        <v>0</v>
      </c>
      <c r="AB120">
        <f>VLOOKUP(Table4[[#This Row],[Shortname]], Comp[], 27, FALSE)</f>
        <v>0</v>
      </c>
      <c r="AC120">
        <f>VLOOKUP(Table4[[#This Row],[Shortname]], Comp[], 28, FALSE)</f>
        <v>0</v>
      </c>
      <c r="AD120">
        <f>VLOOKUP(Table4[[#This Row],[Shortname]], Comp[], 29, FALSE)</f>
        <v>0</v>
      </c>
      <c r="AE120">
        <f>VLOOKUP(Table4[[#This Row],[Shortname]], Comp[], 30, FALSE)</f>
        <v>0</v>
      </c>
      <c r="AF120">
        <f>VLOOKUP(Table4[[#This Row],[Shortname]], Comp[], 31, FALSE)</f>
        <v>0</v>
      </c>
    </row>
    <row r="121" spans="1:32" x14ac:dyDescent="0.3">
      <c r="A121" t="s">
        <v>2026</v>
      </c>
      <c r="B121" t="s">
        <v>2028</v>
      </c>
      <c r="C121" t="s">
        <v>6718</v>
      </c>
      <c r="D121">
        <v>25</v>
      </c>
      <c r="E121">
        <v>900</v>
      </c>
      <c r="F121">
        <v>295</v>
      </c>
      <c r="G121">
        <f>VLOOKUP(Table4[[#This Row],[Shortname]], Comp[], 6, FALSE)</f>
        <v>265</v>
      </c>
      <c r="H121" s="14">
        <f>VLOOKUP(Table4[[#This Row],[Shortname]], Comp[], 7, FALSE)</f>
        <v>72</v>
      </c>
      <c r="I121">
        <f>VLOOKUP(Table4[[#This Row],[Shortname]], Comp[], 8, FALSE)</f>
        <v>10</v>
      </c>
      <c r="J121">
        <f>VLOOKUP(Table4[[#This Row],[Shortname]], Comp[], 9, FALSE)</f>
        <v>7</v>
      </c>
      <c r="K121">
        <f>VLOOKUP(Table4[[#This Row],[Shortname]], Comp[], 10, FALSE)</f>
        <v>0</v>
      </c>
      <c r="L121">
        <f>VLOOKUP(Table4[[#This Row],[Shortname]], Comp[], 11, FALSE)</f>
        <v>0</v>
      </c>
      <c r="M121">
        <f>VLOOKUP(Table4[[#This Row],[Shortname]], Comp[],12, FALSE)</f>
        <v>4</v>
      </c>
      <c r="N121">
        <f>VLOOKUP(Table4[[#This Row],[Shortname]], Comp[], 13, FALSE)</f>
        <v>0</v>
      </c>
      <c r="O121">
        <f>VLOOKUP(Table4[[#This Row],[Shortname]], Comp[], 14, FALSE)</f>
        <v>2</v>
      </c>
      <c r="P121">
        <f>VLOOKUP(Table4[[#This Row],[Shortname]], Comp[], 15, FALSE)</f>
        <v>0</v>
      </c>
      <c r="Q121">
        <f>VLOOKUP(Table4[[#This Row],[Shortname]], Comp[], 16, FALSE)</f>
        <v>5</v>
      </c>
      <c r="R121">
        <f>VLOOKUP(Table4[[#This Row],[Shortname]], Comp[], 17, FALSE)</f>
        <v>0</v>
      </c>
      <c r="S121">
        <f>VLOOKUP(Table4[[#This Row],[Shortname]], Comp[], 18, FALSE)</f>
        <v>0</v>
      </c>
      <c r="T121">
        <f>VLOOKUP(Table4[[#This Row],[Shortname]], Comp[], 19, FALSE)</f>
        <v>0</v>
      </c>
      <c r="U121">
        <f>VLOOKUP(Table4[[#This Row],[Shortname]], Comp[], 20, FALSE)</f>
        <v>0</v>
      </c>
      <c r="V121">
        <f>VLOOKUP(Table4[[#This Row],[Shortname]], Comp[], 21, FALSE)</f>
        <v>0</v>
      </c>
      <c r="W121">
        <f>VLOOKUP(Table4[[#This Row],[Shortname]], Comp[], 22, FALSE)</f>
        <v>0</v>
      </c>
      <c r="X121">
        <f>VLOOKUP(Table4[[#This Row],[Shortname]], Comp[], 23, FALSE)</f>
        <v>0</v>
      </c>
      <c r="Y121">
        <f>VLOOKUP(Table4[[#This Row],[Shortname]], Comp[], 24, FALSE)</f>
        <v>0</v>
      </c>
      <c r="Z121">
        <f>VLOOKUP(Table4[[#This Row],[Shortname]], Comp[], 25, FALSE)</f>
        <v>0</v>
      </c>
      <c r="AA121">
        <f>VLOOKUP(Table4[[#This Row],[Shortname]], Comp[], 26, FALSE)</f>
        <v>0</v>
      </c>
      <c r="AB121">
        <f>VLOOKUP(Table4[[#This Row],[Shortname]], Comp[], 27, FALSE)</f>
        <v>0</v>
      </c>
      <c r="AC121">
        <f>VLOOKUP(Table4[[#This Row],[Shortname]], Comp[], 28, FALSE)</f>
        <v>0</v>
      </c>
      <c r="AD121">
        <f>VLOOKUP(Table4[[#This Row],[Shortname]], Comp[], 29, FALSE)</f>
        <v>0</v>
      </c>
      <c r="AE121">
        <f>VLOOKUP(Table4[[#This Row],[Shortname]], Comp[], 30, FALSE)</f>
        <v>0</v>
      </c>
      <c r="AF121">
        <f>VLOOKUP(Table4[[#This Row],[Shortname]], Comp[], 31, FALSE)</f>
        <v>0</v>
      </c>
    </row>
    <row r="122" spans="1:32" x14ac:dyDescent="0.3">
      <c r="A122" t="s">
        <v>2038</v>
      </c>
      <c r="B122" t="s">
        <v>2040</v>
      </c>
      <c r="C122" t="s">
        <v>6718</v>
      </c>
      <c r="D122">
        <v>25</v>
      </c>
      <c r="E122">
        <v>900</v>
      </c>
      <c r="F122">
        <v>288</v>
      </c>
      <c r="G122">
        <f>VLOOKUP(Table4[[#This Row],[Shortname]], Comp[], 6, FALSE)</f>
        <v>267</v>
      </c>
      <c r="H122" s="14">
        <f>VLOOKUP(Table4[[#This Row],[Shortname]], Comp[], 7, FALSE)</f>
        <v>72</v>
      </c>
      <c r="I122">
        <f>VLOOKUP(Table4[[#This Row],[Shortname]], Comp[], 8, FALSE)</f>
        <v>10</v>
      </c>
      <c r="J122">
        <f>VLOOKUP(Table4[[#This Row],[Shortname]], Comp[], 9, FALSE)</f>
        <v>7</v>
      </c>
      <c r="K122">
        <f>VLOOKUP(Table4[[#This Row],[Shortname]], Comp[], 10, FALSE)</f>
        <v>0</v>
      </c>
      <c r="L122">
        <f>VLOOKUP(Table4[[#This Row],[Shortname]], Comp[], 11, FALSE)</f>
        <v>0</v>
      </c>
      <c r="M122">
        <f>VLOOKUP(Table4[[#This Row],[Shortname]], Comp[],12, FALSE)</f>
        <v>4</v>
      </c>
      <c r="N122">
        <f>VLOOKUP(Table4[[#This Row],[Shortname]], Comp[], 13, FALSE)</f>
        <v>1</v>
      </c>
      <c r="O122">
        <f>VLOOKUP(Table4[[#This Row],[Shortname]], Comp[], 14, FALSE)</f>
        <v>1</v>
      </c>
      <c r="P122">
        <f>VLOOKUP(Table4[[#This Row],[Shortname]], Comp[], 15, FALSE)</f>
        <v>0</v>
      </c>
      <c r="Q122">
        <f>VLOOKUP(Table4[[#This Row],[Shortname]], Comp[], 16, FALSE)</f>
        <v>5</v>
      </c>
      <c r="R122">
        <f>VLOOKUP(Table4[[#This Row],[Shortname]], Comp[], 17, FALSE)</f>
        <v>0</v>
      </c>
      <c r="S122">
        <f>VLOOKUP(Table4[[#This Row],[Shortname]], Comp[], 18, FALSE)</f>
        <v>0</v>
      </c>
      <c r="T122">
        <f>VLOOKUP(Table4[[#This Row],[Shortname]], Comp[], 19, FALSE)</f>
        <v>0</v>
      </c>
      <c r="U122">
        <f>VLOOKUP(Table4[[#This Row],[Shortname]], Comp[], 20, FALSE)</f>
        <v>0</v>
      </c>
      <c r="V122">
        <f>VLOOKUP(Table4[[#This Row],[Shortname]], Comp[], 21, FALSE)</f>
        <v>0</v>
      </c>
      <c r="W122">
        <f>VLOOKUP(Table4[[#This Row],[Shortname]], Comp[], 22, FALSE)</f>
        <v>0</v>
      </c>
      <c r="X122">
        <f>VLOOKUP(Table4[[#This Row],[Shortname]], Comp[], 23, FALSE)</f>
        <v>0</v>
      </c>
      <c r="Y122">
        <f>VLOOKUP(Table4[[#This Row],[Shortname]], Comp[], 24, FALSE)</f>
        <v>0</v>
      </c>
      <c r="Z122">
        <f>VLOOKUP(Table4[[#This Row],[Shortname]], Comp[], 25, FALSE)</f>
        <v>0</v>
      </c>
      <c r="AA122">
        <f>VLOOKUP(Table4[[#This Row],[Shortname]], Comp[], 26, FALSE)</f>
        <v>0</v>
      </c>
      <c r="AB122">
        <f>VLOOKUP(Table4[[#This Row],[Shortname]], Comp[], 27, FALSE)</f>
        <v>0</v>
      </c>
      <c r="AC122">
        <f>VLOOKUP(Table4[[#This Row],[Shortname]], Comp[], 28, FALSE)</f>
        <v>0</v>
      </c>
      <c r="AD122">
        <f>VLOOKUP(Table4[[#This Row],[Shortname]], Comp[], 29, FALSE)</f>
        <v>0</v>
      </c>
      <c r="AE122">
        <f>VLOOKUP(Table4[[#This Row],[Shortname]], Comp[], 30, FALSE)</f>
        <v>0</v>
      </c>
      <c r="AF122">
        <f>VLOOKUP(Table4[[#This Row],[Shortname]], Comp[], 31, FALSE)</f>
        <v>0</v>
      </c>
    </row>
    <row r="123" spans="1:32" x14ac:dyDescent="0.3">
      <c r="A123" t="s">
        <v>2077</v>
      </c>
      <c r="B123" t="s">
        <v>2079</v>
      </c>
      <c r="C123" t="s">
        <v>6610</v>
      </c>
      <c r="D123">
        <v>25</v>
      </c>
      <c r="E123">
        <v>800</v>
      </c>
      <c r="F123">
        <v>525</v>
      </c>
      <c r="G123">
        <f>VLOOKUP(Table4[[#This Row],[Shortname]], Comp[], 6, FALSE)</f>
        <v>273</v>
      </c>
      <c r="H123" s="14">
        <f>VLOOKUP(Table4[[#This Row],[Shortname]], Comp[], 7, FALSE)</f>
        <v>83</v>
      </c>
      <c r="I123">
        <f>VLOOKUP(Table4[[#This Row],[Shortname]], Comp[], 8, FALSE)</f>
        <v>0</v>
      </c>
      <c r="J123">
        <f>VLOOKUP(Table4[[#This Row],[Shortname]], Comp[], 9, FALSE)</f>
        <v>0</v>
      </c>
      <c r="K123">
        <f>VLOOKUP(Table4[[#This Row],[Shortname]], Comp[], 10, FALSE)</f>
        <v>0</v>
      </c>
      <c r="L123">
        <f>VLOOKUP(Table4[[#This Row],[Shortname]], Comp[], 11, FALSE)</f>
        <v>0</v>
      </c>
      <c r="M123">
        <f>VLOOKUP(Table4[[#This Row],[Shortname]], Comp[],12, FALSE)</f>
        <v>12</v>
      </c>
      <c r="N123">
        <f>VLOOKUP(Table4[[#This Row],[Shortname]], Comp[], 13, FALSE)</f>
        <v>0</v>
      </c>
      <c r="O123">
        <f>VLOOKUP(Table4[[#This Row],[Shortname]], Comp[], 14, FALSE)</f>
        <v>0</v>
      </c>
      <c r="P123">
        <f>VLOOKUP(Table4[[#This Row],[Shortname]], Comp[], 15, FALSE)</f>
        <v>0</v>
      </c>
      <c r="Q123">
        <f>VLOOKUP(Table4[[#This Row],[Shortname]], Comp[], 16, FALSE)</f>
        <v>0</v>
      </c>
      <c r="R123">
        <f>VLOOKUP(Table4[[#This Row],[Shortname]], Comp[], 17, FALSE)</f>
        <v>0</v>
      </c>
      <c r="S123">
        <f>VLOOKUP(Table4[[#This Row],[Shortname]], Comp[], 18, FALSE)</f>
        <v>0</v>
      </c>
      <c r="T123">
        <f>VLOOKUP(Table4[[#This Row],[Shortname]], Comp[], 19, FALSE)</f>
        <v>0</v>
      </c>
      <c r="U123">
        <f>VLOOKUP(Table4[[#This Row],[Shortname]], Comp[], 20, FALSE)</f>
        <v>0</v>
      </c>
      <c r="V123">
        <f>VLOOKUP(Table4[[#This Row],[Shortname]], Comp[], 21, FALSE)</f>
        <v>5</v>
      </c>
      <c r="W123">
        <f>VLOOKUP(Table4[[#This Row],[Shortname]], Comp[], 22, FALSE)</f>
        <v>0</v>
      </c>
      <c r="X123">
        <f>VLOOKUP(Table4[[#This Row],[Shortname]], Comp[], 23, FALSE)</f>
        <v>0</v>
      </c>
      <c r="Y123">
        <f>VLOOKUP(Table4[[#This Row],[Shortname]], Comp[], 24, FALSE)</f>
        <v>0</v>
      </c>
      <c r="Z123">
        <f>VLOOKUP(Table4[[#This Row],[Shortname]], Comp[], 25, FALSE)</f>
        <v>0</v>
      </c>
      <c r="AA123">
        <f>VLOOKUP(Table4[[#This Row],[Shortname]], Comp[], 26, FALSE)</f>
        <v>0</v>
      </c>
      <c r="AB123">
        <f>VLOOKUP(Table4[[#This Row],[Shortname]], Comp[], 27, FALSE)</f>
        <v>0</v>
      </c>
      <c r="AC123">
        <f>VLOOKUP(Table4[[#This Row],[Shortname]], Comp[], 28, FALSE)</f>
        <v>0</v>
      </c>
      <c r="AD123">
        <f>VLOOKUP(Table4[[#This Row],[Shortname]], Comp[], 29, FALSE)</f>
        <v>0</v>
      </c>
      <c r="AE123">
        <f>VLOOKUP(Table4[[#This Row],[Shortname]], Comp[], 30, FALSE)</f>
        <v>0</v>
      </c>
      <c r="AF123">
        <f>VLOOKUP(Table4[[#This Row],[Shortname]], Comp[], 31, FALSE)</f>
        <v>0</v>
      </c>
    </row>
    <row r="124" spans="1:32" x14ac:dyDescent="0.3">
      <c r="A124" t="s">
        <v>2070</v>
      </c>
      <c r="B124" t="s">
        <v>2072</v>
      </c>
      <c r="C124" t="s">
        <v>6610</v>
      </c>
      <c r="D124">
        <v>25</v>
      </c>
      <c r="E124">
        <v>800</v>
      </c>
      <c r="F124">
        <v>515</v>
      </c>
      <c r="G124">
        <f>VLOOKUP(Table4[[#This Row],[Shortname]], Comp[], 6, FALSE)</f>
        <v>272</v>
      </c>
      <c r="H124" s="14">
        <f>VLOOKUP(Table4[[#This Row],[Shortname]], Comp[], 7, FALSE)</f>
        <v>85</v>
      </c>
      <c r="I124">
        <f>VLOOKUP(Table4[[#This Row],[Shortname]], Comp[], 8, FALSE)</f>
        <v>0</v>
      </c>
      <c r="J124">
        <f>VLOOKUP(Table4[[#This Row],[Shortname]], Comp[], 9, FALSE)</f>
        <v>0</v>
      </c>
      <c r="K124">
        <f>VLOOKUP(Table4[[#This Row],[Shortname]], Comp[], 10, FALSE)</f>
        <v>0</v>
      </c>
      <c r="L124">
        <f>VLOOKUP(Table4[[#This Row],[Shortname]], Comp[], 11, FALSE)</f>
        <v>0</v>
      </c>
      <c r="M124">
        <f>VLOOKUP(Table4[[#This Row],[Shortname]], Comp[],12, FALSE)</f>
        <v>12</v>
      </c>
      <c r="N124">
        <f>VLOOKUP(Table4[[#This Row],[Shortname]], Comp[], 13, FALSE)</f>
        <v>0</v>
      </c>
      <c r="O124">
        <f>VLOOKUP(Table4[[#This Row],[Shortname]], Comp[], 14, FALSE)</f>
        <v>0</v>
      </c>
      <c r="P124">
        <f>VLOOKUP(Table4[[#This Row],[Shortname]], Comp[], 15, FALSE)</f>
        <v>0</v>
      </c>
      <c r="Q124">
        <f>VLOOKUP(Table4[[#This Row],[Shortname]], Comp[], 16, FALSE)</f>
        <v>0</v>
      </c>
      <c r="R124">
        <f>VLOOKUP(Table4[[#This Row],[Shortname]], Comp[], 17, FALSE)</f>
        <v>0</v>
      </c>
      <c r="S124">
        <f>VLOOKUP(Table4[[#This Row],[Shortname]], Comp[], 18, FALSE)</f>
        <v>0</v>
      </c>
      <c r="T124">
        <f>VLOOKUP(Table4[[#This Row],[Shortname]], Comp[], 19, FALSE)</f>
        <v>0</v>
      </c>
      <c r="U124">
        <f>VLOOKUP(Table4[[#This Row],[Shortname]], Comp[], 20, FALSE)</f>
        <v>0</v>
      </c>
      <c r="V124">
        <f>VLOOKUP(Table4[[#This Row],[Shortname]], Comp[], 21, FALSE)</f>
        <v>3</v>
      </c>
      <c r="W124">
        <f>VLOOKUP(Table4[[#This Row],[Shortname]], Comp[], 22, FALSE)</f>
        <v>0</v>
      </c>
      <c r="X124">
        <f>VLOOKUP(Table4[[#This Row],[Shortname]], Comp[], 23, FALSE)</f>
        <v>0</v>
      </c>
      <c r="Y124">
        <f>VLOOKUP(Table4[[#This Row],[Shortname]], Comp[], 24, FALSE)</f>
        <v>0</v>
      </c>
      <c r="Z124">
        <f>VLOOKUP(Table4[[#This Row],[Shortname]], Comp[], 25, FALSE)</f>
        <v>0</v>
      </c>
      <c r="AA124">
        <f>VLOOKUP(Table4[[#This Row],[Shortname]], Comp[], 26, FALSE)</f>
        <v>0</v>
      </c>
      <c r="AB124">
        <f>VLOOKUP(Table4[[#This Row],[Shortname]], Comp[], 27, FALSE)</f>
        <v>0</v>
      </c>
      <c r="AC124">
        <f>VLOOKUP(Table4[[#This Row],[Shortname]], Comp[], 28, FALSE)</f>
        <v>0</v>
      </c>
      <c r="AD124">
        <f>VLOOKUP(Table4[[#This Row],[Shortname]], Comp[], 29, FALSE)</f>
        <v>0</v>
      </c>
      <c r="AE124">
        <f>VLOOKUP(Table4[[#This Row],[Shortname]], Comp[], 30, FALSE)</f>
        <v>0</v>
      </c>
      <c r="AF124">
        <f>VLOOKUP(Table4[[#This Row],[Shortname]], Comp[], 31, FALSE)</f>
        <v>0</v>
      </c>
    </row>
    <row r="125" spans="1:32" x14ac:dyDescent="0.3">
      <c r="A125" s="7" t="s">
        <v>2062</v>
      </c>
      <c r="B125" s="7" t="s">
        <v>2064</v>
      </c>
      <c r="C125" t="s">
        <v>6610</v>
      </c>
      <c r="D125">
        <v>25</v>
      </c>
      <c r="E125">
        <v>800</v>
      </c>
      <c r="F125">
        <v>428</v>
      </c>
      <c r="G125">
        <f>VLOOKUP(Table4[[#This Row],[Shortname]], Comp[], 6, FALSE)</f>
        <v>271</v>
      </c>
      <c r="H125" s="14">
        <f>VLOOKUP(Table4[[#This Row],[Shortname]], Comp[], 7, FALSE)</f>
        <v>87</v>
      </c>
      <c r="I125">
        <f>VLOOKUP(Table4[[#This Row],[Shortname]], Comp[], 8, FALSE)</f>
        <v>0</v>
      </c>
      <c r="J125">
        <f>VLOOKUP(Table4[[#This Row],[Shortname]], Comp[], 9, FALSE)</f>
        <v>0</v>
      </c>
      <c r="K125">
        <f>VLOOKUP(Table4[[#This Row],[Shortname]], Comp[], 10, FALSE)</f>
        <v>0</v>
      </c>
      <c r="L125">
        <f>VLOOKUP(Table4[[#This Row],[Shortname]], Comp[], 11, FALSE)</f>
        <v>0</v>
      </c>
      <c r="M125">
        <f>VLOOKUP(Table4[[#This Row],[Shortname]], Comp[],12, FALSE)</f>
        <v>12</v>
      </c>
      <c r="N125">
        <f>VLOOKUP(Table4[[#This Row],[Shortname]], Comp[], 13, FALSE)</f>
        <v>0</v>
      </c>
      <c r="O125">
        <f>VLOOKUP(Table4[[#This Row],[Shortname]], Comp[], 14, FALSE)</f>
        <v>0</v>
      </c>
      <c r="P125">
        <f>VLOOKUP(Table4[[#This Row],[Shortname]], Comp[], 15, FALSE)</f>
        <v>0</v>
      </c>
      <c r="Q125">
        <f>VLOOKUP(Table4[[#This Row],[Shortname]], Comp[], 16, FALSE)</f>
        <v>0</v>
      </c>
      <c r="R125">
        <f>VLOOKUP(Table4[[#This Row],[Shortname]], Comp[], 17, FALSE)</f>
        <v>0</v>
      </c>
      <c r="S125">
        <f>VLOOKUP(Table4[[#This Row],[Shortname]], Comp[], 18, FALSE)</f>
        <v>0</v>
      </c>
      <c r="T125">
        <f>VLOOKUP(Table4[[#This Row],[Shortname]], Comp[], 19, FALSE)</f>
        <v>0</v>
      </c>
      <c r="U125">
        <f>VLOOKUP(Table4[[#This Row],[Shortname]], Comp[], 20, FALSE)</f>
        <v>0</v>
      </c>
      <c r="V125">
        <f>VLOOKUP(Table4[[#This Row],[Shortname]], Comp[], 21, FALSE)</f>
        <v>1</v>
      </c>
      <c r="W125">
        <f>VLOOKUP(Table4[[#This Row],[Shortname]], Comp[], 22, FALSE)</f>
        <v>0</v>
      </c>
      <c r="X125">
        <f>VLOOKUP(Table4[[#This Row],[Shortname]], Comp[], 23, FALSE)</f>
        <v>0</v>
      </c>
      <c r="Y125">
        <f>VLOOKUP(Table4[[#This Row],[Shortname]], Comp[], 24, FALSE)</f>
        <v>0</v>
      </c>
      <c r="Z125">
        <f>VLOOKUP(Table4[[#This Row],[Shortname]], Comp[], 25, FALSE)</f>
        <v>0</v>
      </c>
      <c r="AA125">
        <f>VLOOKUP(Table4[[#This Row],[Shortname]], Comp[], 26, FALSE)</f>
        <v>0</v>
      </c>
      <c r="AB125">
        <f>VLOOKUP(Table4[[#This Row],[Shortname]], Comp[], 27, FALSE)</f>
        <v>0</v>
      </c>
      <c r="AC125">
        <f>VLOOKUP(Table4[[#This Row],[Shortname]], Comp[], 28, FALSE)</f>
        <v>0</v>
      </c>
      <c r="AD125">
        <f>VLOOKUP(Table4[[#This Row],[Shortname]], Comp[], 29, FALSE)</f>
        <v>0</v>
      </c>
      <c r="AE125">
        <f>VLOOKUP(Table4[[#This Row],[Shortname]], Comp[], 30, FALSE)</f>
        <v>0</v>
      </c>
      <c r="AF125">
        <f>VLOOKUP(Table4[[#This Row],[Shortname]], Comp[], 31, FALSE)</f>
        <v>0</v>
      </c>
    </row>
    <row r="126" spans="1:32" x14ac:dyDescent="0.3">
      <c r="A126" t="s">
        <v>2200</v>
      </c>
      <c r="B126" t="s">
        <v>2202</v>
      </c>
      <c r="C126" t="s">
        <v>6613</v>
      </c>
      <c r="D126">
        <v>25</v>
      </c>
      <c r="E126">
        <v>900</v>
      </c>
      <c r="F126">
        <v>269.19547262159682</v>
      </c>
      <c r="G126">
        <f>VLOOKUP(Table4[[#This Row],[Shortname]], Comp[], 6, FALSE)</f>
        <v>290</v>
      </c>
      <c r="H126" s="14">
        <f>VLOOKUP(Table4[[#This Row],[Shortname]], Comp[], 7, FALSE)</f>
        <v>53.1</v>
      </c>
      <c r="I126">
        <f>VLOOKUP(Table4[[#This Row],[Shortname]], Comp[], 8, FALSE)</f>
        <v>30</v>
      </c>
      <c r="J126">
        <f>VLOOKUP(Table4[[#This Row],[Shortname]], Comp[], 9, FALSE)</f>
        <v>9.9</v>
      </c>
      <c r="K126">
        <f>VLOOKUP(Table4[[#This Row],[Shortname]], Comp[], 10, FALSE)</f>
        <v>0</v>
      </c>
      <c r="L126">
        <f>VLOOKUP(Table4[[#This Row],[Shortname]], Comp[], 11, FALSE)</f>
        <v>0</v>
      </c>
      <c r="M126">
        <f>VLOOKUP(Table4[[#This Row],[Shortname]], Comp[],12, FALSE)</f>
        <v>0</v>
      </c>
      <c r="N126">
        <f>VLOOKUP(Table4[[#This Row],[Shortname]], Comp[], 13, FALSE)</f>
        <v>0</v>
      </c>
      <c r="O126">
        <f>VLOOKUP(Table4[[#This Row],[Shortname]], Comp[], 14, FALSE)</f>
        <v>1.9</v>
      </c>
      <c r="P126">
        <f>VLOOKUP(Table4[[#This Row],[Shortname]], Comp[], 15, FALSE)</f>
        <v>0</v>
      </c>
      <c r="Q126">
        <f>VLOOKUP(Table4[[#This Row],[Shortname]], Comp[], 16, FALSE)</f>
        <v>5.0999999999999996</v>
      </c>
      <c r="R126">
        <f>VLOOKUP(Table4[[#This Row],[Shortname]], Comp[], 17, FALSE)</f>
        <v>0</v>
      </c>
      <c r="S126">
        <f>VLOOKUP(Table4[[#This Row],[Shortname]], Comp[], 18, FALSE)</f>
        <v>0</v>
      </c>
      <c r="T126">
        <f>VLOOKUP(Table4[[#This Row],[Shortname]], Comp[], 19, FALSE)</f>
        <v>0</v>
      </c>
      <c r="U126">
        <f>VLOOKUP(Table4[[#This Row],[Shortname]], Comp[], 20, FALSE)</f>
        <v>0</v>
      </c>
      <c r="V126">
        <f>VLOOKUP(Table4[[#This Row],[Shortname]], Comp[], 21, FALSE)</f>
        <v>0</v>
      </c>
      <c r="W126">
        <f>VLOOKUP(Table4[[#This Row],[Shortname]], Comp[], 22, FALSE)</f>
        <v>0</v>
      </c>
      <c r="X126">
        <f>VLOOKUP(Table4[[#This Row],[Shortname]], Comp[], 23, FALSE)</f>
        <v>0</v>
      </c>
      <c r="Y126">
        <f>VLOOKUP(Table4[[#This Row],[Shortname]], Comp[], 24, FALSE)</f>
        <v>0</v>
      </c>
      <c r="Z126">
        <f>VLOOKUP(Table4[[#This Row],[Shortname]], Comp[], 25, FALSE)</f>
        <v>0</v>
      </c>
      <c r="AA126">
        <f>VLOOKUP(Table4[[#This Row],[Shortname]], Comp[], 26, FALSE)</f>
        <v>0</v>
      </c>
      <c r="AB126">
        <f>VLOOKUP(Table4[[#This Row],[Shortname]], Comp[], 27, FALSE)</f>
        <v>0</v>
      </c>
      <c r="AC126">
        <f>VLOOKUP(Table4[[#This Row],[Shortname]], Comp[], 28, FALSE)</f>
        <v>0</v>
      </c>
      <c r="AD126">
        <f>VLOOKUP(Table4[[#This Row],[Shortname]], Comp[], 29, FALSE)</f>
        <v>0</v>
      </c>
      <c r="AE126">
        <f>VLOOKUP(Table4[[#This Row],[Shortname]], Comp[], 30, FALSE)</f>
        <v>0</v>
      </c>
      <c r="AF126">
        <f>VLOOKUP(Table4[[#This Row],[Shortname]], Comp[], 31, FALSE)</f>
        <v>0</v>
      </c>
    </row>
    <row r="127" spans="1:32" x14ac:dyDescent="0.3">
      <c r="A127" t="s">
        <v>2200</v>
      </c>
      <c r="B127" t="s">
        <v>2202</v>
      </c>
      <c r="C127" t="s">
        <v>6613</v>
      </c>
      <c r="D127">
        <v>25</v>
      </c>
      <c r="E127">
        <v>900</v>
      </c>
      <c r="F127">
        <v>264.09707351891507</v>
      </c>
      <c r="G127">
        <f>VLOOKUP(Table4[[#This Row],[Shortname]], Comp[], 6, FALSE)</f>
        <v>290</v>
      </c>
      <c r="H127" s="14">
        <f>VLOOKUP(Table4[[#This Row],[Shortname]], Comp[], 7, FALSE)</f>
        <v>53.1</v>
      </c>
      <c r="I127">
        <f>VLOOKUP(Table4[[#This Row],[Shortname]], Comp[], 8, FALSE)</f>
        <v>30</v>
      </c>
      <c r="J127">
        <f>VLOOKUP(Table4[[#This Row],[Shortname]], Comp[], 9, FALSE)</f>
        <v>9.9</v>
      </c>
      <c r="K127">
        <f>VLOOKUP(Table4[[#This Row],[Shortname]], Comp[], 10, FALSE)</f>
        <v>0</v>
      </c>
      <c r="L127">
        <f>VLOOKUP(Table4[[#This Row],[Shortname]], Comp[], 11, FALSE)</f>
        <v>0</v>
      </c>
      <c r="M127">
        <f>VLOOKUP(Table4[[#This Row],[Shortname]], Comp[],12, FALSE)</f>
        <v>0</v>
      </c>
      <c r="N127">
        <f>VLOOKUP(Table4[[#This Row],[Shortname]], Comp[], 13, FALSE)</f>
        <v>0</v>
      </c>
      <c r="O127">
        <f>VLOOKUP(Table4[[#This Row],[Shortname]], Comp[], 14, FALSE)</f>
        <v>1.9</v>
      </c>
      <c r="P127">
        <f>VLOOKUP(Table4[[#This Row],[Shortname]], Comp[], 15, FALSE)</f>
        <v>0</v>
      </c>
      <c r="Q127">
        <f>VLOOKUP(Table4[[#This Row],[Shortname]], Comp[], 16, FALSE)</f>
        <v>5.0999999999999996</v>
      </c>
      <c r="R127">
        <f>VLOOKUP(Table4[[#This Row],[Shortname]], Comp[], 17, FALSE)</f>
        <v>0</v>
      </c>
      <c r="S127">
        <f>VLOOKUP(Table4[[#This Row],[Shortname]], Comp[], 18, FALSE)</f>
        <v>0</v>
      </c>
      <c r="T127">
        <f>VLOOKUP(Table4[[#This Row],[Shortname]], Comp[], 19, FALSE)</f>
        <v>0</v>
      </c>
      <c r="U127">
        <f>VLOOKUP(Table4[[#This Row],[Shortname]], Comp[], 20, FALSE)</f>
        <v>0</v>
      </c>
      <c r="V127">
        <f>VLOOKUP(Table4[[#This Row],[Shortname]], Comp[], 21, FALSE)</f>
        <v>0</v>
      </c>
      <c r="W127">
        <f>VLOOKUP(Table4[[#This Row],[Shortname]], Comp[], 22, FALSE)</f>
        <v>0</v>
      </c>
      <c r="X127">
        <f>VLOOKUP(Table4[[#This Row],[Shortname]], Comp[], 23, FALSE)</f>
        <v>0</v>
      </c>
      <c r="Y127">
        <f>VLOOKUP(Table4[[#This Row],[Shortname]], Comp[], 24, FALSE)</f>
        <v>0</v>
      </c>
      <c r="Z127">
        <f>VLOOKUP(Table4[[#This Row],[Shortname]], Comp[], 25, FALSE)</f>
        <v>0</v>
      </c>
      <c r="AA127">
        <f>VLOOKUP(Table4[[#This Row],[Shortname]], Comp[], 26, FALSE)</f>
        <v>0</v>
      </c>
      <c r="AB127">
        <f>VLOOKUP(Table4[[#This Row],[Shortname]], Comp[], 27, FALSE)</f>
        <v>0</v>
      </c>
      <c r="AC127">
        <f>VLOOKUP(Table4[[#This Row],[Shortname]], Comp[], 28, FALSE)</f>
        <v>0</v>
      </c>
      <c r="AD127">
        <f>VLOOKUP(Table4[[#This Row],[Shortname]], Comp[], 29, FALSE)</f>
        <v>0</v>
      </c>
      <c r="AE127">
        <f>VLOOKUP(Table4[[#This Row],[Shortname]], Comp[], 30, FALSE)</f>
        <v>0</v>
      </c>
      <c r="AF127">
        <f>VLOOKUP(Table4[[#This Row],[Shortname]], Comp[], 31, FALSE)</f>
        <v>0</v>
      </c>
    </row>
    <row r="128" spans="1:32" x14ac:dyDescent="0.3">
      <c r="A128" t="s">
        <v>2200</v>
      </c>
      <c r="B128" t="s">
        <v>2202</v>
      </c>
      <c r="C128" t="s">
        <v>6613</v>
      </c>
      <c r="D128">
        <v>25</v>
      </c>
      <c r="E128">
        <v>900</v>
      </c>
      <c r="F128">
        <v>263.07739369837873</v>
      </c>
      <c r="G128">
        <f>VLOOKUP(Table4[[#This Row],[Shortname]], Comp[], 6, FALSE)</f>
        <v>290</v>
      </c>
      <c r="H128" s="14">
        <f>VLOOKUP(Table4[[#This Row],[Shortname]], Comp[], 7, FALSE)</f>
        <v>53.1</v>
      </c>
      <c r="I128">
        <f>VLOOKUP(Table4[[#This Row],[Shortname]], Comp[], 8, FALSE)</f>
        <v>30</v>
      </c>
      <c r="J128">
        <f>VLOOKUP(Table4[[#This Row],[Shortname]], Comp[], 9, FALSE)</f>
        <v>9.9</v>
      </c>
      <c r="K128">
        <f>VLOOKUP(Table4[[#This Row],[Shortname]], Comp[], 10, FALSE)</f>
        <v>0</v>
      </c>
      <c r="L128">
        <f>VLOOKUP(Table4[[#This Row],[Shortname]], Comp[], 11, FALSE)</f>
        <v>0</v>
      </c>
      <c r="M128">
        <f>VLOOKUP(Table4[[#This Row],[Shortname]], Comp[],12, FALSE)</f>
        <v>0</v>
      </c>
      <c r="N128">
        <f>VLOOKUP(Table4[[#This Row],[Shortname]], Comp[], 13, FALSE)</f>
        <v>0</v>
      </c>
      <c r="O128">
        <f>VLOOKUP(Table4[[#This Row],[Shortname]], Comp[], 14, FALSE)</f>
        <v>1.9</v>
      </c>
      <c r="P128">
        <f>VLOOKUP(Table4[[#This Row],[Shortname]], Comp[], 15, FALSE)</f>
        <v>0</v>
      </c>
      <c r="Q128">
        <f>VLOOKUP(Table4[[#This Row],[Shortname]], Comp[], 16, FALSE)</f>
        <v>5.0999999999999996</v>
      </c>
      <c r="R128">
        <f>VLOOKUP(Table4[[#This Row],[Shortname]], Comp[], 17, FALSE)</f>
        <v>0</v>
      </c>
      <c r="S128">
        <f>VLOOKUP(Table4[[#This Row],[Shortname]], Comp[], 18, FALSE)</f>
        <v>0</v>
      </c>
      <c r="T128">
        <f>VLOOKUP(Table4[[#This Row],[Shortname]], Comp[], 19, FALSE)</f>
        <v>0</v>
      </c>
      <c r="U128">
        <f>VLOOKUP(Table4[[#This Row],[Shortname]], Comp[], 20, FALSE)</f>
        <v>0</v>
      </c>
      <c r="V128">
        <f>VLOOKUP(Table4[[#This Row],[Shortname]], Comp[], 21, FALSE)</f>
        <v>0</v>
      </c>
      <c r="W128">
        <f>VLOOKUP(Table4[[#This Row],[Shortname]], Comp[], 22, FALSE)</f>
        <v>0</v>
      </c>
      <c r="X128">
        <f>VLOOKUP(Table4[[#This Row],[Shortname]], Comp[], 23, FALSE)</f>
        <v>0</v>
      </c>
      <c r="Y128">
        <f>VLOOKUP(Table4[[#This Row],[Shortname]], Comp[], 24, FALSE)</f>
        <v>0</v>
      </c>
      <c r="Z128">
        <f>VLOOKUP(Table4[[#This Row],[Shortname]], Comp[], 25, FALSE)</f>
        <v>0</v>
      </c>
      <c r="AA128">
        <f>VLOOKUP(Table4[[#This Row],[Shortname]], Comp[], 26, FALSE)</f>
        <v>0</v>
      </c>
      <c r="AB128">
        <f>VLOOKUP(Table4[[#This Row],[Shortname]], Comp[], 27, FALSE)</f>
        <v>0</v>
      </c>
      <c r="AC128">
        <f>VLOOKUP(Table4[[#This Row],[Shortname]], Comp[], 28, FALSE)</f>
        <v>0</v>
      </c>
      <c r="AD128">
        <f>VLOOKUP(Table4[[#This Row],[Shortname]], Comp[], 29, FALSE)</f>
        <v>0</v>
      </c>
      <c r="AE128">
        <f>VLOOKUP(Table4[[#This Row],[Shortname]], Comp[], 30, FALSE)</f>
        <v>0</v>
      </c>
      <c r="AF128">
        <f>VLOOKUP(Table4[[#This Row],[Shortname]], Comp[], 31, FALSE)</f>
        <v>0</v>
      </c>
    </row>
    <row r="129" spans="1:32" x14ac:dyDescent="0.3">
      <c r="A129" t="s">
        <v>2200</v>
      </c>
      <c r="B129" t="s">
        <v>2202</v>
      </c>
      <c r="C129" t="s">
        <v>6613</v>
      </c>
      <c r="D129">
        <v>25</v>
      </c>
      <c r="E129">
        <v>900</v>
      </c>
      <c r="F129">
        <v>256.95931477516064</v>
      </c>
      <c r="G129">
        <f>VLOOKUP(Table4[[#This Row],[Shortname]], Comp[], 6, FALSE)</f>
        <v>290</v>
      </c>
      <c r="H129" s="14">
        <f>VLOOKUP(Table4[[#This Row],[Shortname]], Comp[], 7, FALSE)</f>
        <v>53.1</v>
      </c>
      <c r="I129">
        <f>VLOOKUP(Table4[[#This Row],[Shortname]], Comp[], 8, FALSE)</f>
        <v>30</v>
      </c>
      <c r="J129">
        <f>VLOOKUP(Table4[[#This Row],[Shortname]], Comp[], 9, FALSE)</f>
        <v>9.9</v>
      </c>
      <c r="K129">
        <f>VLOOKUP(Table4[[#This Row],[Shortname]], Comp[], 10, FALSE)</f>
        <v>0</v>
      </c>
      <c r="L129">
        <f>VLOOKUP(Table4[[#This Row],[Shortname]], Comp[], 11, FALSE)</f>
        <v>0</v>
      </c>
      <c r="M129">
        <f>VLOOKUP(Table4[[#This Row],[Shortname]], Comp[],12, FALSE)</f>
        <v>0</v>
      </c>
      <c r="N129">
        <f>VLOOKUP(Table4[[#This Row],[Shortname]], Comp[], 13, FALSE)</f>
        <v>0</v>
      </c>
      <c r="O129">
        <f>VLOOKUP(Table4[[#This Row],[Shortname]], Comp[], 14, FALSE)</f>
        <v>1.9</v>
      </c>
      <c r="P129">
        <f>VLOOKUP(Table4[[#This Row],[Shortname]], Comp[], 15, FALSE)</f>
        <v>0</v>
      </c>
      <c r="Q129">
        <f>VLOOKUP(Table4[[#This Row],[Shortname]], Comp[], 16, FALSE)</f>
        <v>5.0999999999999996</v>
      </c>
      <c r="R129">
        <f>VLOOKUP(Table4[[#This Row],[Shortname]], Comp[], 17, FALSE)</f>
        <v>0</v>
      </c>
      <c r="S129">
        <f>VLOOKUP(Table4[[#This Row],[Shortname]], Comp[], 18, FALSE)</f>
        <v>0</v>
      </c>
      <c r="T129">
        <f>VLOOKUP(Table4[[#This Row],[Shortname]], Comp[], 19, FALSE)</f>
        <v>0</v>
      </c>
      <c r="U129">
        <f>VLOOKUP(Table4[[#This Row],[Shortname]], Comp[], 20, FALSE)</f>
        <v>0</v>
      </c>
      <c r="V129">
        <f>VLOOKUP(Table4[[#This Row],[Shortname]], Comp[], 21, FALSE)</f>
        <v>0</v>
      </c>
      <c r="W129">
        <f>VLOOKUP(Table4[[#This Row],[Shortname]], Comp[], 22, FALSE)</f>
        <v>0</v>
      </c>
      <c r="X129">
        <f>VLOOKUP(Table4[[#This Row],[Shortname]], Comp[], 23, FALSE)</f>
        <v>0</v>
      </c>
      <c r="Y129">
        <f>VLOOKUP(Table4[[#This Row],[Shortname]], Comp[], 24, FALSE)</f>
        <v>0</v>
      </c>
      <c r="Z129">
        <f>VLOOKUP(Table4[[#This Row],[Shortname]], Comp[], 25, FALSE)</f>
        <v>0</v>
      </c>
      <c r="AA129">
        <f>VLOOKUP(Table4[[#This Row],[Shortname]], Comp[], 26, FALSE)</f>
        <v>0</v>
      </c>
      <c r="AB129">
        <f>VLOOKUP(Table4[[#This Row],[Shortname]], Comp[], 27, FALSE)</f>
        <v>0</v>
      </c>
      <c r="AC129">
        <f>VLOOKUP(Table4[[#This Row],[Shortname]], Comp[], 28, FALSE)</f>
        <v>0</v>
      </c>
      <c r="AD129">
        <f>VLOOKUP(Table4[[#This Row],[Shortname]], Comp[], 29, FALSE)</f>
        <v>0</v>
      </c>
      <c r="AE129">
        <f>VLOOKUP(Table4[[#This Row],[Shortname]], Comp[], 30, FALSE)</f>
        <v>0</v>
      </c>
      <c r="AF129">
        <f>VLOOKUP(Table4[[#This Row],[Shortname]], Comp[], 31, FALSE)</f>
        <v>0</v>
      </c>
    </row>
    <row r="130" spans="1:32" x14ac:dyDescent="0.3">
      <c r="A130" t="s">
        <v>2200</v>
      </c>
      <c r="B130" t="s">
        <v>2202</v>
      </c>
      <c r="C130" t="s">
        <v>6613</v>
      </c>
      <c r="D130">
        <v>25</v>
      </c>
      <c r="E130">
        <v>900</v>
      </c>
      <c r="F130">
        <v>250.84123585194249</v>
      </c>
      <c r="G130">
        <f>VLOOKUP(Table4[[#This Row],[Shortname]], Comp[], 6, FALSE)</f>
        <v>290</v>
      </c>
      <c r="H130" s="14">
        <f>VLOOKUP(Table4[[#This Row],[Shortname]], Comp[], 7, FALSE)</f>
        <v>53.1</v>
      </c>
      <c r="I130">
        <f>VLOOKUP(Table4[[#This Row],[Shortname]], Comp[], 8, FALSE)</f>
        <v>30</v>
      </c>
      <c r="J130">
        <f>VLOOKUP(Table4[[#This Row],[Shortname]], Comp[], 9, FALSE)</f>
        <v>9.9</v>
      </c>
      <c r="K130">
        <f>VLOOKUP(Table4[[#This Row],[Shortname]], Comp[], 10, FALSE)</f>
        <v>0</v>
      </c>
      <c r="L130">
        <f>VLOOKUP(Table4[[#This Row],[Shortname]], Comp[], 11, FALSE)</f>
        <v>0</v>
      </c>
      <c r="M130">
        <f>VLOOKUP(Table4[[#This Row],[Shortname]], Comp[],12, FALSE)</f>
        <v>0</v>
      </c>
      <c r="N130">
        <f>VLOOKUP(Table4[[#This Row],[Shortname]], Comp[], 13, FALSE)</f>
        <v>0</v>
      </c>
      <c r="O130">
        <f>VLOOKUP(Table4[[#This Row],[Shortname]], Comp[], 14, FALSE)</f>
        <v>1.9</v>
      </c>
      <c r="P130">
        <f>VLOOKUP(Table4[[#This Row],[Shortname]], Comp[], 15, FALSE)</f>
        <v>0</v>
      </c>
      <c r="Q130">
        <f>VLOOKUP(Table4[[#This Row],[Shortname]], Comp[], 16, FALSE)</f>
        <v>5.0999999999999996</v>
      </c>
      <c r="R130">
        <f>VLOOKUP(Table4[[#This Row],[Shortname]], Comp[], 17, FALSE)</f>
        <v>0</v>
      </c>
      <c r="S130">
        <f>VLOOKUP(Table4[[#This Row],[Shortname]], Comp[], 18, FALSE)</f>
        <v>0</v>
      </c>
      <c r="T130">
        <f>VLOOKUP(Table4[[#This Row],[Shortname]], Comp[], 19, FALSE)</f>
        <v>0</v>
      </c>
      <c r="U130">
        <f>VLOOKUP(Table4[[#This Row],[Shortname]], Comp[], 20, FALSE)</f>
        <v>0</v>
      </c>
      <c r="V130">
        <f>VLOOKUP(Table4[[#This Row],[Shortname]], Comp[], 21, FALSE)</f>
        <v>0</v>
      </c>
      <c r="W130">
        <f>VLOOKUP(Table4[[#This Row],[Shortname]], Comp[], 22, FALSE)</f>
        <v>0</v>
      </c>
      <c r="X130">
        <f>VLOOKUP(Table4[[#This Row],[Shortname]], Comp[], 23, FALSE)</f>
        <v>0</v>
      </c>
      <c r="Y130">
        <f>VLOOKUP(Table4[[#This Row],[Shortname]], Comp[], 24, FALSE)</f>
        <v>0</v>
      </c>
      <c r="Z130">
        <f>VLOOKUP(Table4[[#This Row],[Shortname]], Comp[], 25, FALSE)</f>
        <v>0</v>
      </c>
      <c r="AA130">
        <f>VLOOKUP(Table4[[#This Row],[Shortname]], Comp[], 26, FALSE)</f>
        <v>0</v>
      </c>
      <c r="AB130">
        <f>VLOOKUP(Table4[[#This Row],[Shortname]], Comp[], 27, FALSE)</f>
        <v>0</v>
      </c>
      <c r="AC130">
        <f>VLOOKUP(Table4[[#This Row],[Shortname]], Comp[], 28, FALSE)</f>
        <v>0</v>
      </c>
      <c r="AD130">
        <f>VLOOKUP(Table4[[#This Row],[Shortname]], Comp[], 29, FALSE)</f>
        <v>0</v>
      </c>
      <c r="AE130">
        <f>VLOOKUP(Table4[[#This Row],[Shortname]], Comp[], 30, FALSE)</f>
        <v>0</v>
      </c>
      <c r="AF130">
        <f>VLOOKUP(Table4[[#This Row],[Shortname]], Comp[], 31, FALSE)</f>
        <v>0</v>
      </c>
    </row>
    <row r="131" spans="1:32" x14ac:dyDescent="0.3">
      <c r="A131" t="s">
        <v>2200</v>
      </c>
      <c r="B131" t="s">
        <v>2202</v>
      </c>
      <c r="C131" t="s">
        <v>6613</v>
      </c>
      <c r="D131">
        <v>25</v>
      </c>
      <c r="E131">
        <v>900</v>
      </c>
      <c r="F131">
        <v>234.52635872336086</v>
      </c>
      <c r="G131">
        <f>VLOOKUP(Table4[[#This Row],[Shortname]], Comp[], 6, FALSE)</f>
        <v>290</v>
      </c>
      <c r="H131" s="14">
        <f>VLOOKUP(Table4[[#This Row],[Shortname]], Comp[], 7, FALSE)</f>
        <v>53.1</v>
      </c>
      <c r="I131">
        <f>VLOOKUP(Table4[[#This Row],[Shortname]], Comp[], 8, FALSE)</f>
        <v>30</v>
      </c>
      <c r="J131">
        <f>VLOOKUP(Table4[[#This Row],[Shortname]], Comp[], 9, FALSE)</f>
        <v>9.9</v>
      </c>
      <c r="K131">
        <f>VLOOKUP(Table4[[#This Row],[Shortname]], Comp[], 10, FALSE)</f>
        <v>0</v>
      </c>
      <c r="L131">
        <f>VLOOKUP(Table4[[#This Row],[Shortname]], Comp[], 11, FALSE)</f>
        <v>0</v>
      </c>
      <c r="M131">
        <f>VLOOKUP(Table4[[#This Row],[Shortname]], Comp[],12, FALSE)</f>
        <v>0</v>
      </c>
      <c r="N131">
        <f>VLOOKUP(Table4[[#This Row],[Shortname]], Comp[], 13, FALSE)</f>
        <v>0</v>
      </c>
      <c r="O131">
        <f>VLOOKUP(Table4[[#This Row],[Shortname]], Comp[], 14, FALSE)</f>
        <v>1.9</v>
      </c>
      <c r="P131">
        <f>VLOOKUP(Table4[[#This Row],[Shortname]], Comp[], 15, FALSE)</f>
        <v>0</v>
      </c>
      <c r="Q131">
        <f>VLOOKUP(Table4[[#This Row],[Shortname]], Comp[], 16, FALSE)</f>
        <v>5.0999999999999996</v>
      </c>
      <c r="R131">
        <f>VLOOKUP(Table4[[#This Row],[Shortname]], Comp[], 17, FALSE)</f>
        <v>0</v>
      </c>
      <c r="S131">
        <f>VLOOKUP(Table4[[#This Row],[Shortname]], Comp[], 18, FALSE)</f>
        <v>0</v>
      </c>
      <c r="T131">
        <f>VLOOKUP(Table4[[#This Row],[Shortname]], Comp[], 19, FALSE)</f>
        <v>0</v>
      </c>
      <c r="U131">
        <f>VLOOKUP(Table4[[#This Row],[Shortname]], Comp[], 20, FALSE)</f>
        <v>0</v>
      </c>
      <c r="V131">
        <f>VLOOKUP(Table4[[#This Row],[Shortname]], Comp[], 21, FALSE)</f>
        <v>0</v>
      </c>
      <c r="W131">
        <f>VLOOKUP(Table4[[#This Row],[Shortname]], Comp[], 22, FALSE)</f>
        <v>0</v>
      </c>
      <c r="X131">
        <f>VLOOKUP(Table4[[#This Row],[Shortname]], Comp[], 23, FALSE)</f>
        <v>0</v>
      </c>
      <c r="Y131">
        <f>VLOOKUP(Table4[[#This Row],[Shortname]], Comp[], 24, FALSE)</f>
        <v>0</v>
      </c>
      <c r="Z131">
        <f>VLOOKUP(Table4[[#This Row],[Shortname]], Comp[], 25, FALSE)</f>
        <v>0</v>
      </c>
      <c r="AA131">
        <f>VLOOKUP(Table4[[#This Row],[Shortname]], Comp[], 26, FALSE)</f>
        <v>0</v>
      </c>
      <c r="AB131">
        <f>VLOOKUP(Table4[[#This Row],[Shortname]], Comp[], 27, FALSE)</f>
        <v>0</v>
      </c>
      <c r="AC131">
        <f>VLOOKUP(Table4[[#This Row],[Shortname]], Comp[], 28, FALSE)</f>
        <v>0</v>
      </c>
      <c r="AD131">
        <f>VLOOKUP(Table4[[#This Row],[Shortname]], Comp[], 29, FALSE)</f>
        <v>0</v>
      </c>
      <c r="AE131">
        <f>VLOOKUP(Table4[[#This Row],[Shortname]], Comp[], 30, FALSE)</f>
        <v>0</v>
      </c>
      <c r="AF131">
        <f>VLOOKUP(Table4[[#This Row],[Shortname]], Comp[], 31, FALSE)</f>
        <v>0</v>
      </c>
    </row>
    <row r="132" spans="1:32" x14ac:dyDescent="0.3">
      <c r="A132" t="s">
        <v>2224</v>
      </c>
      <c r="B132" t="s">
        <v>2226</v>
      </c>
      <c r="C132" s="21" t="s">
        <v>6722</v>
      </c>
      <c r="D132">
        <v>25</v>
      </c>
      <c r="E132">
        <v>800</v>
      </c>
      <c r="F132">
        <v>482</v>
      </c>
      <c r="G132">
        <f>VLOOKUP(Table4[[#This Row],[Shortname]], Comp[], 6, FALSE)</f>
        <v>293</v>
      </c>
      <c r="H132" s="14">
        <f>VLOOKUP(Table4[[#This Row],[Shortname]], Comp[], 7, FALSE)</f>
        <v>83.9</v>
      </c>
      <c r="I132">
        <f>VLOOKUP(Table4[[#This Row],[Shortname]], Comp[], 8, FALSE)</f>
        <v>0</v>
      </c>
      <c r="J132">
        <f>VLOOKUP(Table4[[#This Row],[Shortname]], Comp[], 9, FALSE)</f>
        <v>0</v>
      </c>
      <c r="K132">
        <f>VLOOKUP(Table4[[#This Row],[Shortname]], Comp[], 10, FALSE)</f>
        <v>0</v>
      </c>
      <c r="L132">
        <f>VLOOKUP(Table4[[#This Row],[Shortname]], Comp[], 11, FALSE)</f>
        <v>2.1</v>
      </c>
      <c r="M132">
        <f>VLOOKUP(Table4[[#This Row],[Shortname]], Comp[],12, FALSE)</f>
        <v>4.0999999999999996</v>
      </c>
      <c r="N132">
        <f>VLOOKUP(Table4[[#This Row],[Shortname]], Comp[], 13, FALSE)</f>
        <v>0</v>
      </c>
      <c r="O132">
        <f>VLOOKUP(Table4[[#This Row],[Shortname]], Comp[], 14, FALSE)</f>
        <v>0</v>
      </c>
      <c r="P132">
        <f>VLOOKUP(Table4[[#This Row],[Shortname]], Comp[], 15, FALSE)</f>
        <v>9.9</v>
      </c>
      <c r="Q132">
        <f>VLOOKUP(Table4[[#This Row],[Shortname]], Comp[], 16, FALSE)</f>
        <v>0</v>
      </c>
      <c r="R132">
        <f>VLOOKUP(Table4[[#This Row],[Shortname]], Comp[], 17, FALSE)</f>
        <v>0</v>
      </c>
      <c r="S132">
        <f>VLOOKUP(Table4[[#This Row],[Shortname]], Comp[], 18, FALSE)</f>
        <v>0</v>
      </c>
      <c r="T132">
        <f>VLOOKUP(Table4[[#This Row],[Shortname]], Comp[], 19, FALSE)</f>
        <v>0</v>
      </c>
      <c r="U132">
        <f>VLOOKUP(Table4[[#This Row],[Shortname]], Comp[], 20, FALSE)</f>
        <v>0</v>
      </c>
      <c r="V132">
        <f>VLOOKUP(Table4[[#This Row],[Shortname]], Comp[], 21, FALSE)</f>
        <v>0</v>
      </c>
      <c r="W132">
        <f>VLOOKUP(Table4[[#This Row],[Shortname]], Comp[], 22, FALSE)</f>
        <v>0</v>
      </c>
      <c r="X132">
        <f>VLOOKUP(Table4[[#This Row],[Shortname]], Comp[], 23, FALSE)</f>
        <v>0</v>
      </c>
      <c r="Y132">
        <f>VLOOKUP(Table4[[#This Row],[Shortname]], Comp[], 24, FALSE)</f>
        <v>0</v>
      </c>
      <c r="Z132">
        <f>VLOOKUP(Table4[[#This Row],[Shortname]], Comp[], 25, FALSE)</f>
        <v>0</v>
      </c>
      <c r="AA132">
        <f>VLOOKUP(Table4[[#This Row],[Shortname]], Comp[], 26, FALSE)</f>
        <v>0</v>
      </c>
      <c r="AB132">
        <f>VLOOKUP(Table4[[#This Row],[Shortname]], Comp[], 27, FALSE)</f>
        <v>0</v>
      </c>
      <c r="AC132">
        <f>VLOOKUP(Table4[[#This Row],[Shortname]], Comp[], 28, FALSE)</f>
        <v>0</v>
      </c>
      <c r="AD132">
        <f>VLOOKUP(Table4[[#This Row],[Shortname]], Comp[], 29, FALSE)</f>
        <v>0</v>
      </c>
      <c r="AE132">
        <f>VLOOKUP(Table4[[#This Row],[Shortname]], Comp[], 30, FALSE)</f>
        <v>0</v>
      </c>
      <c r="AF132">
        <f>VLOOKUP(Table4[[#This Row],[Shortname]], Comp[], 31, FALSE)</f>
        <v>0</v>
      </c>
    </row>
    <row r="133" spans="1:32" x14ac:dyDescent="0.3">
      <c r="A133" t="s">
        <v>2216</v>
      </c>
      <c r="B133" t="s">
        <v>2218</v>
      </c>
      <c r="C133" s="21" t="s">
        <v>6722</v>
      </c>
      <c r="D133">
        <v>25</v>
      </c>
      <c r="E133">
        <v>800</v>
      </c>
      <c r="F133">
        <v>448</v>
      </c>
      <c r="G133">
        <f>VLOOKUP(Table4[[#This Row],[Shortname]], Comp[], 6, FALSE)</f>
        <v>292</v>
      </c>
      <c r="H133" s="14">
        <f>VLOOKUP(Table4[[#This Row],[Shortname]], Comp[], 7, FALSE)</f>
        <v>83.6</v>
      </c>
      <c r="I133">
        <f>VLOOKUP(Table4[[#This Row],[Shortname]], Comp[], 8, FALSE)</f>
        <v>0</v>
      </c>
      <c r="J133">
        <f>VLOOKUP(Table4[[#This Row],[Shortname]], Comp[], 9, FALSE)</f>
        <v>0</v>
      </c>
      <c r="K133">
        <f>VLOOKUP(Table4[[#This Row],[Shortname]], Comp[], 10, FALSE)</f>
        <v>0</v>
      </c>
      <c r="L133">
        <f>VLOOKUP(Table4[[#This Row],[Shortname]], Comp[], 11, FALSE)</f>
        <v>0</v>
      </c>
      <c r="M133">
        <f>VLOOKUP(Table4[[#This Row],[Shortname]], Comp[],12, FALSE)</f>
        <v>4.0999999999999996</v>
      </c>
      <c r="N133">
        <f>VLOOKUP(Table4[[#This Row],[Shortname]], Comp[], 13, FALSE)</f>
        <v>0</v>
      </c>
      <c r="O133">
        <f>VLOOKUP(Table4[[#This Row],[Shortname]], Comp[], 14, FALSE)</f>
        <v>2.2000000000000002</v>
      </c>
      <c r="P133">
        <f>VLOOKUP(Table4[[#This Row],[Shortname]], Comp[], 15, FALSE)</f>
        <v>10.1</v>
      </c>
      <c r="Q133">
        <f>VLOOKUP(Table4[[#This Row],[Shortname]], Comp[], 16, FALSE)</f>
        <v>0</v>
      </c>
      <c r="R133">
        <f>VLOOKUP(Table4[[#This Row],[Shortname]], Comp[], 17, FALSE)</f>
        <v>0</v>
      </c>
      <c r="S133">
        <f>VLOOKUP(Table4[[#This Row],[Shortname]], Comp[], 18, FALSE)</f>
        <v>0</v>
      </c>
      <c r="T133">
        <f>VLOOKUP(Table4[[#This Row],[Shortname]], Comp[], 19, FALSE)</f>
        <v>0</v>
      </c>
      <c r="U133">
        <f>VLOOKUP(Table4[[#This Row],[Shortname]], Comp[], 20, FALSE)</f>
        <v>0</v>
      </c>
      <c r="V133">
        <f>VLOOKUP(Table4[[#This Row],[Shortname]], Comp[], 21, FALSE)</f>
        <v>0</v>
      </c>
      <c r="W133">
        <f>VLOOKUP(Table4[[#This Row],[Shortname]], Comp[], 22, FALSE)</f>
        <v>0</v>
      </c>
      <c r="X133">
        <f>VLOOKUP(Table4[[#This Row],[Shortname]], Comp[], 23, FALSE)</f>
        <v>0</v>
      </c>
      <c r="Y133">
        <f>VLOOKUP(Table4[[#This Row],[Shortname]], Comp[], 24, FALSE)</f>
        <v>0</v>
      </c>
      <c r="Z133">
        <f>VLOOKUP(Table4[[#This Row],[Shortname]], Comp[], 25, FALSE)</f>
        <v>0</v>
      </c>
      <c r="AA133">
        <f>VLOOKUP(Table4[[#This Row],[Shortname]], Comp[], 26, FALSE)</f>
        <v>0</v>
      </c>
      <c r="AB133">
        <f>VLOOKUP(Table4[[#This Row],[Shortname]], Comp[], 27, FALSE)</f>
        <v>0</v>
      </c>
      <c r="AC133">
        <f>VLOOKUP(Table4[[#This Row],[Shortname]], Comp[], 28, FALSE)</f>
        <v>0</v>
      </c>
      <c r="AD133">
        <f>VLOOKUP(Table4[[#This Row],[Shortname]], Comp[], 29, FALSE)</f>
        <v>0</v>
      </c>
      <c r="AE133">
        <f>VLOOKUP(Table4[[#This Row],[Shortname]], Comp[], 30, FALSE)</f>
        <v>0</v>
      </c>
      <c r="AF133">
        <f>VLOOKUP(Table4[[#This Row],[Shortname]], Comp[], 31, FALSE)</f>
        <v>0</v>
      </c>
    </row>
    <row r="134" spans="1:32" x14ac:dyDescent="0.3">
      <c r="A134" s="7" t="s">
        <v>2208</v>
      </c>
      <c r="B134" s="7" t="s">
        <v>2210</v>
      </c>
      <c r="C134" s="21" t="s">
        <v>6722</v>
      </c>
      <c r="D134">
        <v>25</v>
      </c>
      <c r="E134">
        <v>800</v>
      </c>
      <c r="F134">
        <v>408</v>
      </c>
      <c r="G134">
        <f>VLOOKUP(Table4[[#This Row],[Shortname]], Comp[], 6, FALSE)</f>
        <v>291</v>
      </c>
      <c r="H134" s="14">
        <f>VLOOKUP(Table4[[#This Row],[Shortname]], Comp[], 7, FALSE)</f>
        <v>83.7</v>
      </c>
      <c r="I134">
        <f>VLOOKUP(Table4[[#This Row],[Shortname]], Comp[], 8, FALSE)</f>
        <v>0</v>
      </c>
      <c r="J134">
        <f>VLOOKUP(Table4[[#This Row],[Shortname]], Comp[], 9, FALSE)</f>
        <v>0</v>
      </c>
      <c r="K134">
        <f>VLOOKUP(Table4[[#This Row],[Shortname]], Comp[], 10, FALSE)</f>
        <v>0</v>
      </c>
      <c r="L134">
        <f>VLOOKUP(Table4[[#This Row],[Shortname]], Comp[], 11, FALSE)</f>
        <v>0</v>
      </c>
      <c r="M134">
        <f>VLOOKUP(Table4[[#This Row],[Shortname]], Comp[],12, FALSE)</f>
        <v>4.2</v>
      </c>
      <c r="N134">
        <f>VLOOKUP(Table4[[#This Row],[Shortname]], Comp[], 13, FALSE)</f>
        <v>0</v>
      </c>
      <c r="O134">
        <f>VLOOKUP(Table4[[#This Row],[Shortname]], Comp[], 14, FALSE)</f>
        <v>0</v>
      </c>
      <c r="P134">
        <f>VLOOKUP(Table4[[#This Row],[Shortname]], Comp[], 15, FALSE)</f>
        <v>12.1</v>
      </c>
      <c r="Q134">
        <f>VLOOKUP(Table4[[#This Row],[Shortname]], Comp[], 16, FALSE)</f>
        <v>0</v>
      </c>
      <c r="R134">
        <f>VLOOKUP(Table4[[#This Row],[Shortname]], Comp[], 17, FALSE)</f>
        <v>0</v>
      </c>
      <c r="S134">
        <f>VLOOKUP(Table4[[#This Row],[Shortname]], Comp[], 18, FALSE)</f>
        <v>0</v>
      </c>
      <c r="T134">
        <f>VLOOKUP(Table4[[#This Row],[Shortname]], Comp[], 19, FALSE)</f>
        <v>0</v>
      </c>
      <c r="U134">
        <f>VLOOKUP(Table4[[#This Row],[Shortname]], Comp[], 20, FALSE)</f>
        <v>0</v>
      </c>
      <c r="V134">
        <f>VLOOKUP(Table4[[#This Row],[Shortname]], Comp[], 21, FALSE)</f>
        <v>0</v>
      </c>
      <c r="W134">
        <f>VLOOKUP(Table4[[#This Row],[Shortname]], Comp[], 22, FALSE)</f>
        <v>0</v>
      </c>
      <c r="X134">
        <f>VLOOKUP(Table4[[#This Row],[Shortname]], Comp[], 23, FALSE)</f>
        <v>0</v>
      </c>
      <c r="Y134">
        <f>VLOOKUP(Table4[[#This Row],[Shortname]], Comp[], 24, FALSE)</f>
        <v>0</v>
      </c>
      <c r="Z134">
        <f>VLOOKUP(Table4[[#This Row],[Shortname]], Comp[], 25, FALSE)</f>
        <v>0</v>
      </c>
      <c r="AA134">
        <f>VLOOKUP(Table4[[#This Row],[Shortname]], Comp[], 26, FALSE)</f>
        <v>0</v>
      </c>
      <c r="AB134">
        <f>VLOOKUP(Table4[[#This Row],[Shortname]], Comp[], 27, FALSE)</f>
        <v>0</v>
      </c>
      <c r="AC134">
        <f>VLOOKUP(Table4[[#This Row],[Shortname]], Comp[], 28, FALSE)</f>
        <v>0</v>
      </c>
      <c r="AD134">
        <f>VLOOKUP(Table4[[#This Row],[Shortname]], Comp[], 29, FALSE)</f>
        <v>0</v>
      </c>
      <c r="AE134">
        <f>VLOOKUP(Table4[[#This Row],[Shortname]], Comp[], 30, FALSE)</f>
        <v>0</v>
      </c>
      <c r="AF134">
        <f>VLOOKUP(Table4[[#This Row],[Shortname]], Comp[], 31, FALSE)</f>
        <v>0</v>
      </c>
    </row>
    <row r="135" spans="1:32" x14ac:dyDescent="0.3">
      <c r="A135" s="7" t="s">
        <v>2324</v>
      </c>
      <c r="B135" s="7" t="s">
        <v>2326</v>
      </c>
      <c r="C135" t="s">
        <v>6787</v>
      </c>
      <c r="D135">
        <v>25</v>
      </c>
      <c r="E135">
        <v>800</v>
      </c>
      <c r="F135">
        <v>390</v>
      </c>
      <c r="G135">
        <f>VLOOKUP(Table4[[#This Row],[Shortname]], Comp[], 6, FALSE)</f>
        <v>306</v>
      </c>
      <c r="H135" s="14">
        <f>VLOOKUP(Table4[[#This Row],[Shortname]], Comp[], 7, FALSE)</f>
        <v>48.22</v>
      </c>
      <c r="I135">
        <f>VLOOKUP(Table4[[#This Row],[Shortname]], Comp[], 8, FALSE)</f>
        <v>27.8</v>
      </c>
      <c r="J135">
        <f>VLOOKUP(Table4[[#This Row],[Shortname]], Comp[], 9, FALSE)</f>
        <v>3.7</v>
      </c>
      <c r="K135">
        <f>VLOOKUP(Table4[[#This Row],[Shortname]], Comp[], 10, FALSE)</f>
        <v>0</v>
      </c>
      <c r="L135">
        <f>VLOOKUP(Table4[[#This Row],[Shortname]], Comp[], 11, FALSE)</f>
        <v>19.899999999999999</v>
      </c>
      <c r="M135">
        <f>VLOOKUP(Table4[[#This Row],[Shortname]], Comp[],12, FALSE)</f>
        <v>0</v>
      </c>
      <c r="N135">
        <f>VLOOKUP(Table4[[#This Row],[Shortname]], Comp[], 13, FALSE)</f>
        <v>0</v>
      </c>
      <c r="O135">
        <f>VLOOKUP(Table4[[#This Row],[Shortname]], Comp[], 14, FALSE)</f>
        <v>0</v>
      </c>
      <c r="P135">
        <f>VLOOKUP(Table4[[#This Row],[Shortname]], Comp[], 15, FALSE)</f>
        <v>0</v>
      </c>
      <c r="Q135">
        <f>VLOOKUP(Table4[[#This Row],[Shortname]], Comp[], 16, FALSE)</f>
        <v>0</v>
      </c>
      <c r="R135">
        <f>VLOOKUP(Table4[[#This Row],[Shortname]], Comp[], 17, FALSE)</f>
        <v>0.02</v>
      </c>
      <c r="S135">
        <f>VLOOKUP(Table4[[#This Row],[Shortname]], Comp[], 18, FALSE)</f>
        <v>0</v>
      </c>
      <c r="T135">
        <f>VLOOKUP(Table4[[#This Row],[Shortname]], Comp[], 19, FALSE)</f>
        <v>0.01</v>
      </c>
      <c r="U135">
        <f>VLOOKUP(Table4[[#This Row],[Shortname]], Comp[], 20, FALSE)</f>
        <v>0</v>
      </c>
      <c r="V135">
        <f>VLOOKUP(Table4[[#This Row],[Shortname]], Comp[], 21, FALSE)</f>
        <v>0</v>
      </c>
      <c r="W135">
        <f>VLOOKUP(Table4[[#This Row],[Shortname]], Comp[], 22, FALSE)</f>
        <v>0.35</v>
      </c>
      <c r="X135">
        <f>VLOOKUP(Table4[[#This Row],[Shortname]], Comp[], 23, FALSE)</f>
        <v>0</v>
      </c>
      <c r="Y135">
        <f>VLOOKUP(Table4[[#This Row],[Shortname]], Comp[], 24, FALSE)</f>
        <v>0</v>
      </c>
      <c r="Z135">
        <f>VLOOKUP(Table4[[#This Row],[Shortname]], Comp[], 25, FALSE)</f>
        <v>0</v>
      </c>
      <c r="AA135">
        <f>VLOOKUP(Table4[[#This Row],[Shortname]], Comp[], 26, FALSE)</f>
        <v>0</v>
      </c>
      <c r="AB135">
        <f>VLOOKUP(Table4[[#This Row],[Shortname]], Comp[], 27, FALSE)</f>
        <v>0</v>
      </c>
      <c r="AC135">
        <f>VLOOKUP(Table4[[#This Row],[Shortname]], Comp[], 28, FALSE)</f>
        <v>0</v>
      </c>
      <c r="AD135">
        <f>VLOOKUP(Table4[[#This Row],[Shortname]], Comp[], 29, FALSE)</f>
        <v>0</v>
      </c>
      <c r="AE135">
        <f>VLOOKUP(Table4[[#This Row],[Shortname]], Comp[], 30, FALSE)</f>
        <v>0</v>
      </c>
      <c r="AF135">
        <f>VLOOKUP(Table4[[#This Row],[Shortname]], Comp[], 31, FALSE)</f>
        <v>0</v>
      </c>
    </row>
    <row r="136" spans="1:32" x14ac:dyDescent="0.3">
      <c r="A136" s="7" t="s">
        <v>2324</v>
      </c>
      <c r="B136" s="7" t="s">
        <v>2326</v>
      </c>
      <c r="C136" t="s">
        <v>6787</v>
      </c>
      <c r="D136">
        <v>25</v>
      </c>
      <c r="E136">
        <v>800</v>
      </c>
      <c r="F136">
        <v>248</v>
      </c>
      <c r="G136">
        <f>VLOOKUP(Table4[[#This Row],[Shortname]], Comp[], 6, FALSE)</f>
        <v>306</v>
      </c>
      <c r="H136" s="14">
        <f>VLOOKUP(Table4[[#This Row],[Shortname]], Comp[], 7, FALSE)</f>
        <v>48.22</v>
      </c>
      <c r="I136">
        <f>VLOOKUP(Table4[[#This Row],[Shortname]], Comp[], 8, FALSE)</f>
        <v>27.8</v>
      </c>
      <c r="J136">
        <f>VLOOKUP(Table4[[#This Row],[Shortname]], Comp[], 9, FALSE)</f>
        <v>3.7</v>
      </c>
      <c r="K136">
        <f>VLOOKUP(Table4[[#This Row],[Shortname]], Comp[], 10, FALSE)</f>
        <v>0</v>
      </c>
      <c r="L136">
        <f>VLOOKUP(Table4[[#This Row],[Shortname]], Comp[], 11, FALSE)</f>
        <v>19.899999999999999</v>
      </c>
      <c r="M136">
        <f>VLOOKUP(Table4[[#This Row],[Shortname]], Comp[],12, FALSE)</f>
        <v>0</v>
      </c>
      <c r="N136">
        <f>VLOOKUP(Table4[[#This Row],[Shortname]], Comp[], 13, FALSE)</f>
        <v>0</v>
      </c>
      <c r="O136">
        <f>VLOOKUP(Table4[[#This Row],[Shortname]], Comp[], 14, FALSE)</f>
        <v>0</v>
      </c>
      <c r="P136">
        <f>VLOOKUP(Table4[[#This Row],[Shortname]], Comp[], 15, FALSE)</f>
        <v>0</v>
      </c>
      <c r="Q136">
        <f>VLOOKUP(Table4[[#This Row],[Shortname]], Comp[], 16, FALSE)</f>
        <v>0</v>
      </c>
      <c r="R136">
        <f>VLOOKUP(Table4[[#This Row],[Shortname]], Comp[], 17, FALSE)</f>
        <v>0.02</v>
      </c>
      <c r="S136">
        <f>VLOOKUP(Table4[[#This Row],[Shortname]], Comp[], 18, FALSE)</f>
        <v>0</v>
      </c>
      <c r="T136">
        <f>VLOOKUP(Table4[[#This Row],[Shortname]], Comp[], 19, FALSE)</f>
        <v>0.01</v>
      </c>
      <c r="U136">
        <f>VLOOKUP(Table4[[#This Row],[Shortname]], Comp[], 20, FALSE)</f>
        <v>0</v>
      </c>
      <c r="V136">
        <f>VLOOKUP(Table4[[#This Row],[Shortname]], Comp[], 21, FALSE)</f>
        <v>0</v>
      </c>
      <c r="W136">
        <f>VLOOKUP(Table4[[#This Row],[Shortname]], Comp[], 22, FALSE)</f>
        <v>0.35</v>
      </c>
      <c r="X136">
        <f>VLOOKUP(Table4[[#This Row],[Shortname]], Comp[], 23, FALSE)</f>
        <v>0</v>
      </c>
      <c r="Y136">
        <f>VLOOKUP(Table4[[#This Row],[Shortname]], Comp[], 24, FALSE)</f>
        <v>0</v>
      </c>
      <c r="Z136">
        <f>VLOOKUP(Table4[[#This Row],[Shortname]], Comp[], 25, FALSE)</f>
        <v>0</v>
      </c>
      <c r="AA136">
        <f>VLOOKUP(Table4[[#This Row],[Shortname]], Comp[], 26, FALSE)</f>
        <v>0</v>
      </c>
      <c r="AB136">
        <f>VLOOKUP(Table4[[#This Row],[Shortname]], Comp[], 27, FALSE)</f>
        <v>0</v>
      </c>
      <c r="AC136">
        <f>VLOOKUP(Table4[[#This Row],[Shortname]], Comp[], 28, FALSE)</f>
        <v>0</v>
      </c>
      <c r="AD136">
        <f>VLOOKUP(Table4[[#This Row],[Shortname]], Comp[], 29, FALSE)</f>
        <v>0</v>
      </c>
      <c r="AE136">
        <f>VLOOKUP(Table4[[#This Row],[Shortname]], Comp[], 30, FALSE)</f>
        <v>0</v>
      </c>
      <c r="AF136">
        <f>VLOOKUP(Table4[[#This Row],[Shortname]], Comp[], 31, FALSE)</f>
        <v>0</v>
      </c>
    </row>
    <row r="137" spans="1:32" x14ac:dyDescent="0.3">
      <c r="A137" s="7" t="s">
        <v>2343</v>
      </c>
      <c r="B137" s="7" t="s">
        <v>2345</v>
      </c>
      <c r="C137" s="21" t="s">
        <v>6726</v>
      </c>
      <c r="D137">
        <v>25</v>
      </c>
      <c r="E137">
        <v>900</v>
      </c>
      <c r="F137">
        <v>405</v>
      </c>
      <c r="G137">
        <f>VLOOKUP(Table4[[#This Row],[Shortname]], Comp[], 6, FALSE)</f>
        <v>309</v>
      </c>
      <c r="H137" s="14">
        <f>VLOOKUP(Table4[[#This Row],[Shortname]], Comp[], 7, FALSE)</f>
        <v>50.4</v>
      </c>
      <c r="I137">
        <f>VLOOKUP(Table4[[#This Row],[Shortname]], Comp[], 8, FALSE)</f>
        <v>32</v>
      </c>
      <c r="J137">
        <f>VLOOKUP(Table4[[#This Row],[Shortname]], Comp[], 9, FALSE)</f>
        <v>9.9</v>
      </c>
      <c r="K137">
        <f>VLOOKUP(Table4[[#This Row],[Shortname]], Comp[], 10, FALSE)</f>
        <v>0</v>
      </c>
      <c r="L137">
        <f>VLOOKUP(Table4[[#This Row],[Shortname]], Comp[], 11, FALSE)</f>
        <v>0</v>
      </c>
      <c r="M137">
        <f>VLOOKUP(Table4[[#This Row],[Shortname]], Comp[],12, FALSE)</f>
        <v>1.4</v>
      </c>
      <c r="N137">
        <f>VLOOKUP(Table4[[#This Row],[Shortname]], Comp[], 13, FALSE)</f>
        <v>1.7</v>
      </c>
      <c r="O137">
        <f>VLOOKUP(Table4[[#This Row],[Shortname]], Comp[], 14, FALSE)</f>
        <v>0</v>
      </c>
      <c r="P137">
        <f>VLOOKUP(Table4[[#This Row],[Shortname]], Comp[], 15, FALSE)</f>
        <v>0</v>
      </c>
      <c r="Q137">
        <f>VLOOKUP(Table4[[#This Row],[Shortname]], Comp[], 16, FALSE)</f>
        <v>4.5999999999999996</v>
      </c>
      <c r="R137">
        <f>VLOOKUP(Table4[[#This Row],[Shortname]], Comp[], 17, FALSE)</f>
        <v>0</v>
      </c>
      <c r="S137">
        <f>VLOOKUP(Table4[[#This Row],[Shortname]], Comp[], 18, FALSE)</f>
        <v>0</v>
      </c>
      <c r="T137">
        <f>VLOOKUP(Table4[[#This Row],[Shortname]], Comp[], 19, FALSE)</f>
        <v>0</v>
      </c>
      <c r="U137">
        <f>VLOOKUP(Table4[[#This Row],[Shortname]], Comp[], 20, FALSE)</f>
        <v>0</v>
      </c>
      <c r="V137">
        <f>VLOOKUP(Table4[[#This Row],[Shortname]], Comp[], 21, FALSE)</f>
        <v>0</v>
      </c>
      <c r="W137">
        <f>VLOOKUP(Table4[[#This Row],[Shortname]], Comp[], 22, FALSE)</f>
        <v>0</v>
      </c>
      <c r="X137">
        <f>VLOOKUP(Table4[[#This Row],[Shortname]], Comp[], 23, FALSE)</f>
        <v>0</v>
      </c>
      <c r="Y137">
        <f>VLOOKUP(Table4[[#This Row],[Shortname]], Comp[], 24, FALSE)</f>
        <v>0</v>
      </c>
      <c r="Z137">
        <f>VLOOKUP(Table4[[#This Row],[Shortname]], Comp[], 25, FALSE)</f>
        <v>0</v>
      </c>
      <c r="AA137">
        <f>VLOOKUP(Table4[[#This Row],[Shortname]], Comp[], 26, FALSE)</f>
        <v>0</v>
      </c>
      <c r="AB137">
        <f>VLOOKUP(Table4[[#This Row],[Shortname]], Comp[], 27, FALSE)</f>
        <v>0</v>
      </c>
      <c r="AC137">
        <f>VLOOKUP(Table4[[#This Row],[Shortname]], Comp[], 28, FALSE)</f>
        <v>0</v>
      </c>
      <c r="AD137">
        <f>VLOOKUP(Table4[[#This Row],[Shortname]], Comp[], 29, FALSE)</f>
        <v>0</v>
      </c>
      <c r="AE137">
        <f>VLOOKUP(Table4[[#This Row],[Shortname]], Comp[], 30, FALSE)</f>
        <v>0</v>
      </c>
      <c r="AF137">
        <f>VLOOKUP(Table4[[#This Row],[Shortname]], Comp[], 31, FALSE)</f>
        <v>0</v>
      </c>
    </row>
    <row r="138" spans="1:32" x14ac:dyDescent="0.3">
      <c r="A138" s="7" t="s">
        <v>2359</v>
      </c>
      <c r="B138" s="7" t="s">
        <v>2361</v>
      </c>
      <c r="C138" s="21" t="s">
        <v>6726</v>
      </c>
      <c r="D138">
        <v>25</v>
      </c>
      <c r="E138">
        <v>900</v>
      </c>
      <c r="F138">
        <v>380</v>
      </c>
      <c r="G138">
        <f>VLOOKUP(Table4[[#This Row],[Shortname]], Comp[], 6, FALSE)</f>
        <v>311</v>
      </c>
      <c r="H138" s="14">
        <f>VLOOKUP(Table4[[#This Row],[Shortname]], Comp[], 7, FALSE)</f>
        <v>51.699999999999996</v>
      </c>
      <c r="I138">
        <f>VLOOKUP(Table4[[#This Row],[Shortname]], Comp[], 8, FALSE)</f>
        <v>31</v>
      </c>
      <c r="J138">
        <f>VLOOKUP(Table4[[#This Row],[Shortname]], Comp[], 9, FALSE)</f>
        <v>10.1</v>
      </c>
      <c r="K138">
        <f>VLOOKUP(Table4[[#This Row],[Shortname]], Comp[], 10, FALSE)</f>
        <v>0</v>
      </c>
      <c r="L138">
        <f>VLOOKUP(Table4[[#This Row],[Shortname]], Comp[], 11, FALSE)</f>
        <v>0</v>
      </c>
      <c r="M138">
        <f>VLOOKUP(Table4[[#This Row],[Shortname]], Comp[],12, FALSE)</f>
        <v>0</v>
      </c>
      <c r="N138">
        <f>VLOOKUP(Table4[[#This Row],[Shortname]], Comp[], 13, FALSE)</f>
        <v>2.1</v>
      </c>
      <c r="O138">
        <f>VLOOKUP(Table4[[#This Row],[Shortname]], Comp[], 14, FALSE)</f>
        <v>0</v>
      </c>
      <c r="P138">
        <f>VLOOKUP(Table4[[#This Row],[Shortname]], Comp[], 15, FALSE)</f>
        <v>0</v>
      </c>
      <c r="Q138">
        <f>VLOOKUP(Table4[[#This Row],[Shortname]], Comp[], 16, FALSE)</f>
        <v>5.0999999999999996</v>
      </c>
      <c r="R138">
        <f>VLOOKUP(Table4[[#This Row],[Shortname]], Comp[], 17, FALSE)</f>
        <v>0</v>
      </c>
      <c r="S138">
        <f>VLOOKUP(Table4[[#This Row],[Shortname]], Comp[], 18, FALSE)</f>
        <v>0</v>
      </c>
      <c r="T138">
        <f>VLOOKUP(Table4[[#This Row],[Shortname]], Comp[], 19, FALSE)</f>
        <v>0</v>
      </c>
      <c r="U138">
        <f>VLOOKUP(Table4[[#This Row],[Shortname]], Comp[], 20, FALSE)</f>
        <v>0</v>
      </c>
      <c r="V138">
        <f>VLOOKUP(Table4[[#This Row],[Shortname]], Comp[], 21, FALSE)</f>
        <v>0</v>
      </c>
      <c r="W138">
        <f>VLOOKUP(Table4[[#This Row],[Shortname]], Comp[], 22, FALSE)</f>
        <v>0</v>
      </c>
      <c r="X138">
        <f>VLOOKUP(Table4[[#This Row],[Shortname]], Comp[], 23, FALSE)</f>
        <v>0</v>
      </c>
      <c r="Y138">
        <f>VLOOKUP(Table4[[#This Row],[Shortname]], Comp[], 24, FALSE)</f>
        <v>0</v>
      </c>
      <c r="Z138">
        <f>VLOOKUP(Table4[[#This Row],[Shortname]], Comp[], 25, FALSE)</f>
        <v>0</v>
      </c>
      <c r="AA138">
        <f>VLOOKUP(Table4[[#This Row],[Shortname]], Comp[], 26, FALSE)</f>
        <v>0</v>
      </c>
      <c r="AB138">
        <f>VLOOKUP(Table4[[#This Row],[Shortname]], Comp[], 27, FALSE)</f>
        <v>0</v>
      </c>
      <c r="AC138">
        <f>VLOOKUP(Table4[[#This Row],[Shortname]], Comp[], 28, FALSE)</f>
        <v>0</v>
      </c>
      <c r="AD138">
        <f>VLOOKUP(Table4[[#This Row],[Shortname]], Comp[], 29, FALSE)</f>
        <v>0</v>
      </c>
      <c r="AE138">
        <f>VLOOKUP(Table4[[#This Row],[Shortname]], Comp[], 30, FALSE)</f>
        <v>0</v>
      </c>
      <c r="AF138">
        <f>VLOOKUP(Table4[[#This Row],[Shortname]], Comp[], 31, FALSE)</f>
        <v>0</v>
      </c>
    </row>
    <row r="139" spans="1:32" x14ac:dyDescent="0.3">
      <c r="A139" s="7" t="s">
        <v>2366</v>
      </c>
      <c r="B139" s="7" t="s">
        <v>2368</v>
      </c>
      <c r="C139" t="s">
        <v>6727</v>
      </c>
      <c r="D139">
        <v>25</v>
      </c>
      <c r="E139">
        <v>800</v>
      </c>
      <c r="F139">
        <v>390</v>
      </c>
      <c r="G139">
        <f>VLOOKUP(Table4[[#This Row],[Shortname]], Comp[], 6, FALSE)</f>
        <v>312</v>
      </c>
      <c r="H139" s="14">
        <f>VLOOKUP(Table4[[#This Row],[Shortname]], Comp[], 7, FALSE)</f>
        <v>83</v>
      </c>
      <c r="I139">
        <f>VLOOKUP(Table4[[#This Row],[Shortname]], Comp[], 8, FALSE)</f>
        <v>0</v>
      </c>
      <c r="J139">
        <f>VLOOKUP(Table4[[#This Row],[Shortname]], Comp[], 9, FALSE)</f>
        <v>9.8000000000000007</v>
      </c>
      <c r="K139">
        <f>VLOOKUP(Table4[[#This Row],[Shortname]], Comp[], 10, FALSE)</f>
        <v>0</v>
      </c>
      <c r="L139">
        <f>VLOOKUP(Table4[[#This Row],[Shortname]], Comp[], 11, FALSE)</f>
        <v>0</v>
      </c>
      <c r="M139">
        <f>VLOOKUP(Table4[[#This Row],[Shortname]], Comp[],12, FALSE)</f>
        <v>0</v>
      </c>
      <c r="N139">
        <f>VLOOKUP(Table4[[#This Row],[Shortname]], Comp[], 13, FALSE)</f>
        <v>0</v>
      </c>
      <c r="O139">
        <f>VLOOKUP(Table4[[#This Row],[Shortname]], Comp[], 14, FALSE)</f>
        <v>2.1</v>
      </c>
      <c r="P139">
        <f>VLOOKUP(Table4[[#This Row],[Shortname]], Comp[], 15, FALSE)</f>
        <v>0</v>
      </c>
      <c r="Q139">
        <f>VLOOKUP(Table4[[#This Row],[Shortname]], Comp[], 16, FALSE)</f>
        <v>5.0999999999999996</v>
      </c>
      <c r="R139">
        <f>VLOOKUP(Table4[[#This Row],[Shortname]], Comp[], 17, FALSE)</f>
        <v>0</v>
      </c>
      <c r="S139">
        <f>VLOOKUP(Table4[[#This Row],[Shortname]], Comp[], 18, FALSE)</f>
        <v>0</v>
      </c>
      <c r="T139">
        <f>VLOOKUP(Table4[[#This Row],[Shortname]], Comp[], 19, FALSE)</f>
        <v>0</v>
      </c>
      <c r="U139">
        <f>VLOOKUP(Table4[[#This Row],[Shortname]], Comp[], 20, FALSE)</f>
        <v>0</v>
      </c>
      <c r="V139">
        <f>VLOOKUP(Table4[[#This Row],[Shortname]], Comp[], 21, FALSE)</f>
        <v>0</v>
      </c>
      <c r="W139">
        <f>VLOOKUP(Table4[[#This Row],[Shortname]], Comp[], 22, FALSE)</f>
        <v>0</v>
      </c>
      <c r="X139">
        <f>VLOOKUP(Table4[[#This Row],[Shortname]], Comp[], 23, FALSE)</f>
        <v>0</v>
      </c>
      <c r="Y139">
        <f>VLOOKUP(Table4[[#This Row],[Shortname]], Comp[], 24, FALSE)</f>
        <v>0</v>
      </c>
      <c r="Z139">
        <f>VLOOKUP(Table4[[#This Row],[Shortname]], Comp[], 25, FALSE)</f>
        <v>0</v>
      </c>
      <c r="AA139">
        <f>VLOOKUP(Table4[[#This Row],[Shortname]], Comp[], 26, FALSE)</f>
        <v>0</v>
      </c>
      <c r="AB139">
        <f>VLOOKUP(Table4[[#This Row],[Shortname]], Comp[], 27, FALSE)</f>
        <v>0</v>
      </c>
      <c r="AC139">
        <f>VLOOKUP(Table4[[#This Row],[Shortname]], Comp[], 28, FALSE)</f>
        <v>0</v>
      </c>
      <c r="AD139">
        <f>VLOOKUP(Table4[[#This Row],[Shortname]], Comp[], 29, FALSE)</f>
        <v>0</v>
      </c>
      <c r="AE139">
        <f>VLOOKUP(Table4[[#This Row],[Shortname]], Comp[], 30, FALSE)</f>
        <v>0</v>
      </c>
      <c r="AF139">
        <f>VLOOKUP(Table4[[#This Row],[Shortname]], Comp[], 31, FALSE)</f>
        <v>0</v>
      </c>
    </row>
    <row r="140" spans="1:32" x14ac:dyDescent="0.3">
      <c r="A140" s="7" t="s">
        <v>2366</v>
      </c>
      <c r="B140" s="7" t="s">
        <v>2368</v>
      </c>
      <c r="C140" t="s">
        <v>6727</v>
      </c>
      <c r="D140">
        <v>25</v>
      </c>
      <c r="E140">
        <v>800</v>
      </c>
      <c r="F140">
        <v>314</v>
      </c>
      <c r="G140">
        <f>VLOOKUP(Table4[[#This Row],[Shortname]], Comp[], 6, FALSE)</f>
        <v>312</v>
      </c>
      <c r="H140" s="14">
        <f>VLOOKUP(Table4[[#This Row],[Shortname]], Comp[], 7, FALSE)</f>
        <v>83</v>
      </c>
      <c r="I140">
        <f>VLOOKUP(Table4[[#This Row],[Shortname]], Comp[], 8, FALSE)</f>
        <v>0</v>
      </c>
      <c r="J140">
        <f>VLOOKUP(Table4[[#This Row],[Shortname]], Comp[], 9, FALSE)</f>
        <v>9.8000000000000007</v>
      </c>
      <c r="K140">
        <f>VLOOKUP(Table4[[#This Row],[Shortname]], Comp[], 10, FALSE)</f>
        <v>0</v>
      </c>
      <c r="L140">
        <f>VLOOKUP(Table4[[#This Row],[Shortname]], Comp[], 11, FALSE)</f>
        <v>0</v>
      </c>
      <c r="M140">
        <f>VLOOKUP(Table4[[#This Row],[Shortname]], Comp[],12, FALSE)</f>
        <v>0</v>
      </c>
      <c r="N140">
        <f>VLOOKUP(Table4[[#This Row],[Shortname]], Comp[], 13, FALSE)</f>
        <v>0</v>
      </c>
      <c r="O140">
        <f>VLOOKUP(Table4[[#This Row],[Shortname]], Comp[], 14, FALSE)</f>
        <v>2.1</v>
      </c>
      <c r="P140">
        <f>VLOOKUP(Table4[[#This Row],[Shortname]], Comp[], 15, FALSE)</f>
        <v>0</v>
      </c>
      <c r="Q140">
        <f>VLOOKUP(Table4[[#This Row],[Shortname]], Comp[], 16, FALSE)</f>
        <v>5.0999999999999996</v>
      </c>
      <c r="R140">
        <f>VLOOKUP(Table4[[#This Row],[Shortname]], Comp[], 17, FALSE)</f>
        <v>0</v>
      </c>
      <c r="S140">
        <f>VLOOKUP(Table4[[#This Row],[Shortname]], Comp[], 18, FALSE)</f>
        <v>0</v>
      </c>
      <c r="T140">
        <f>VLOOKUP(Table4[[#This Row],[Shortname]], Comp[], 19, FALSE)</f>
        <v>0</v>
      </c>
      <c r="U140">
        <f>VLOOKUP(Table4[[#This Row],[Shortname]], Comp[], 20, FALSE)</f>
        <v>0</v>
      </c>
      <c r="V140">
        <f>VLOOKUP(Table4[[#This Row],[Shortname]], Comp[], 21, FALSE)</f>
        <v>0</v>
      </c>
      <c r="W140">
        <f>VLOOKUP(Table4[[#This Row],[Shortname]], Comp[], 22, FALSE)</f>
        <v>0</v>
      </c>
      <c r="X140">
        <f>VLOOKUP(Table4[[#This Row],[Shortname]], Comp[], 23, FALSE)</f>
        <v>0</v>
      </c>
      <c r="Y140">
        <f>VLOOKUP(Table4[[#This Row],[Shortname]], Comp[], 24, FALSE)</f>
        <v>0</v>
      </c>
      <c r="Z140">
        <f>VLOOKUP(Table4[[#This Row],[Shortname]], Comp[], 25, FALSE)</f>
        <v>0</v>
      </c>
      <c r="AA140">
        <f>VLOOKUP(Table4[[#This Row],[Shortname]], Comp[], 26, FALSE)</f>
        <v>0</v>
      </c>
      <c r="AB140">
        <f>VLOOKUP(Table4[[#This Row],[Shortname]], Comp[], 27, FALSE)</f>
        <v>0</v>
      </c>
      <c r="AC140">
        <f>VLOOKUP(Table4[[#This Row],[Shortname]], Comp[], 28, FALSE)</f>
        <v>0</v>
      </c>
      <c r="AD140">
        <f>VLOOKUP(Table4[[#This Row],[Shortname]], Comp[], 29, FALSE)</f>
        <v>0</v>
      </c>
      <c r="AE140">
        <f>VLOOKUP(Table4[[#This Row],[Shortname]], Comp[], 30, FALSE)</f>
        <v>0</v>
      </c>
      <c r="AF140">
        <f>VLOOKUP(Table4[[#This Row],[Shortname]], Comp[], 31, FALSE)</f>
        <v>0</v>
      </c>
    </row>
    <row r="141" spans="1:32" x14ac:dyDescent="0.3">
      <c r="A141" s="7" t="s">
        <v>2374</v>
      </c>
      <c r="B141" s="7" t="s">
        <v>2376</v>
      </c>
      <c r="C141" s="3" t="s">
        <v>2377</v>
      </c>
      <c r="D141">
        <v>25</v>
      </c>
      <c r="E141">
        <v>800</v>
      </c>
      <c r="F141">
        <v>360</v>
      </c>
      <c r="G141">
        <f>VLOOKUP(Table4[[#This Row],[Shortname]], Comp[], 6, FALSE)</f>
        <v>313</v>
      </c>
      <c r="H141" s="14">
        <f>VLOOKUP(Table4[[#This Row],[Shortname]], Comp[], 7, FALSE)</f>
        <v>71.3</v>
      </c>
      <c r="I141">
        <f>VLOOKUP(Table4[[#This Row],[Shortname]], Comp[], 8, FALSE)</f>
        <v>11.5</v>
      </c>
      <c r="J141">
        <f>VLOOKUP(Table4[[#This Row],[Shortname]], Comp[], 9, FALSE)</f>
        <v>9.9</v>
      </c>
      <c r="K141">
        <f>VLOOKUP(Table4[[#This Row],[Shortname]], Comp[], 10, FALSE)</f>
        <v>0</v>
      </c>
      <c r="L141">
        <f>VLOOKUP(Table4[[#This Row],[Shortname]], Comp[], 11, FALSE)</f>
        <v>0</v>
      </c>
      <c r="M141">
        <f>VLOOKUP(Table4[[#This Row],[Shortname]], Comp[],12, FALSE)</f>
        <v>0</v>
      </c>
      <c r="N141">
        <f>VLOOKUP(Table4[[#This Row],[Shortname]], Comp[], 13, FALSE)</f>
        <v>0</v>
      </c>
      <c r="O141">
        <f>VLOOKUP(Table4[[#This Row],[Shortname]], Comp[], 14, FALSE)</f>
        <v>2.1</v>
      </c>
      <c r="P141">
        <f>VLOOKUP(Table4[[#This Row],[Shortname]], Comp[], 15, FALSE)</f>
        <v>0</v>
      </c>
      <c r="Q141">
        <f>VLOOKUP(Table4[[#This Row],[Shortname]], Comp[], 16, FALSE)</f>
        <v>5.2</v>
      </c>
      <c r="R141">
        <f>VLOOKUP(Table4[[#This Row],[Shortname]], Comp[], 17, FALSE)</f>
        <v>0</v>
      </c>
      <c r="S141">
        <f>VLOOKUP(Table4[[#This Row],[Shortname]], Comp[], 18, FALSE)</f>
        <v>0</v>
      </c>
      <c r="T141">
        <f>VLOOKUP(Table4[[#This Row],[Shortname]], Comp[], 19, FALSE)</f>
        <v>0</v>
      </c>
      <c r="U141">
        <f>VLOOKUP(Table4[[#This Row],[Shortname]], Comp[], 20, FALSE)</f>
        <v>0</v>
      </c>
      <c r="V141">
        <f>VLOOKUP(Table4[[#This Row],[Shortname]], Comp[], 21, FALSE)</f>
        <v>0</v>
      </c>
      <c r="W141">
        <f>VLOOKUP(Table4[[#This Row],[Shortname]], Comp[], 22, FALSE)</f>
        <v>0</v>
      </c>
      <c r="X141">
        <f>VLOOKUP(Table4[[#This Row],[Shortname]], Comp[], 23, FALSE)</f>
        <v>0</v>
      </c>
      <c r="Y141">
        <f>VLOOKUP(Table4[[#This Row],[Shortname]], Comp[], 24, FALSE)</f>
        <v>0</v>
      </c>
      <c r="Z141">
        <f>VLOOKUP(Table4[[#This Row],[Shortname]], Comp[], 25, FALSE)</f>
        <v>0</v>
      </c>
      <c r="AA141">
        <f>VLOOKUP(Table4[[#This Row],[Shortname]], Comp[], 26, FALSE)</f>
        <v>0</v>
      </c>
      <c r="AB141">
        <f>VLOOKUP(Table4[[#This Row],[Shortname]], Comp[], 27, FALSE)</f>
        <v>0</v>
      </c>
      <c r="AC141">
        <f>VLOOKUP(Table4[[#This Row],[Shortname]], Comp[], 28, FALSE)</f>
        <v>0</v>
      </c>
      <c r="AD141">
        <f>VLOOKUP(Table4[[#This Row],[Shortname]], Comp[], 29, FALSE)</f>
        <v>0</v>
      </c>
      <c r="AE141">
        <f>VLOOKUP(Table4[[#This Row],[Shortname]], Comp[], 30, FALSE)</f>
        <v>0</v>
      </c>
      <c r="AF141">
        <f>VLOOKUP(Table4[[#This Row],[Shortname]], Comp[], 31, FALSE)</f>
        <v>0</v>
      </c>
    </row>
    <row r="142" spans="1:32" x14ac:dyDescent="0.3">
      <c r="A142" s="7" t="s">
        <v>2390</v>
      </c>
      <c r="B142" s="7" t="s">
        <v>2392</v>
      </c>
      <c r="C142" s="3" t="s">
        <v>2377</v>
      </c>
      <c r="D142">
        <v>25</v>
      </c>
      <c r="E142">
        <v>800</v>
      </c>
      <c r="F142">
        <v>410</v>
      </c>
      <c r="G142">
        <f>VLOOKUP(Table4[[#This Row],[Shortname]], Comp[], 6, FALSE)</f>
        <v>315</v>
      </c>
      <c r="H142" s="14">
        <f>VLOOKUP(Table4[[#This Row],[Shortname]], Comp[], 7, FALSE)</f>
        <v>50.8</v>
      </c>
      <c r="I142">
        <f>VLOOKUP(Table4[[#This Row],[Shortname]], Comp[], 8, FALSE)</f>
        <v>32</v>
      </c>
      <c r="J142">
        <f>VLOOKUP(Table4[[#This Row],[Shortname]], Comp[], 9, FALSE)</f>
        <v>9.6999999999999993</v>
      </c>
      <c r="K142">
        <f>VLOOKUP(Table4[[#This Row],[Shortname]], Comp[], 10, FALSE)</f>
        <v>0</v>
      </c>
      <c r="L142">
        <f>VLOOKUP(Table4[[#This Row],[Shortname]], Comp[], 11, FALSE)</f>
        <v>0</v>
      </c>
      <c r="M142">
        <f>VLOOKUP(Table4[[#This Row],[Shortname]], Comp[],12, FALSE)</f>
        <v>0</v>
      </c>
      <c r="N142">
        <f>VLOOKUP(Table4[[#This Row],[Shortname]], Comp[], 13, FALSE)</f>
        <v>0</v>
      </c>
      <c r="O142">
        <f>VLOOKUP(Table4[[#This Row],[Shortname]], Comp[], 14, FALSE)</f>
        <v>2.2999999999999998</v>
      </c>
      <c r="P142">
        <f>VLOOKUP(Table4[[#This Row],[Shortname]], Comp[], 15, FALSE)</f>
        <v>0</v>
      </c>
      <c r="Q142">
        <f>VLOOKUP(Table4[[#This Row],[Shortname]], Comp[], 16, FALSE)</f>
        <v>5.2</v>
      </c>
      <c r="R142">
        <f>VLOOKUP(Table4[[#This Row],[Shortname]], Comp[], 17, FALSE)</f>
        <v>0</v>
      </c>
      <c r="S142">
        <f>VLOOKUP(Table4[[#This Row],[Shortname]], Comp[], 18, FALSE)</f>
        <v>0</v>
      </c>
      <c r="T142">
        <f>VLOOKUP(Table4[[#This Row],[Shortname]], Comp[], 19, FALSE)</f>
        <v>0</v>
      </c>
      <c r="U142">
        <f>VLOOKUP(Table4[[#This Row],[Shortname]], Comp[], 20, FALSE)</f>
        <v>0</v>
      </c>
      <c r="V142">
        <f>VLOOKUP(Table4[[#This Row],[Shortname]], Comp[], 21, FALSE)</f>
        <v>0</v>
      </c>
      <c r="W142">
        <f>VLOOKUP(Table4[[#This Row],[Shortname]], Comp[], 22, FALSE)</f>
        <v>0</v>
      </c>
      <c r="X142">
        <f>VLOOKUP(Table4[[#This Row],[Shortname]], Comp[], 23, FALSE)</f>
        <v>0</v>
      </c>
      <c r="Y142">
        <f>VLOOKUP(Table4[[#This Row],[Shortname]], Comp[], 24, FALSE)</f>
        <v>0</v>
      </c>
      <c r="Z142">
        <f>VLOOKUP(Table4[[#This Row],[Shortname]], Comp[], 25, FALSE)</f>
        <v>0</v>
      </c>
      <c r="AA142">
        <f>VLOOKUP(Table4[[#This Row],[Shortname]], Comp[], 26, FALSE)</f>
        <v>0</v>
      </c>
      <c r="AB142">
        <f>VLOOKUP(Table4[[#This Row],[Shortname]], Comp[], 27, FALSE)</f>
        <v>0</v>
      </c>
      <c r="AC142">
        <f>VLOOKUP(Table4[[#This Row],[Shortname]], Comp[], 28, FALSE)</f>
        <v>0</v>
      </c>
      <c r="AD142">
        <f>VLOOKUP(Table4[[#This Row],[Shortname]], Comp[], 29, FALSE)</f>
        <v>0</v>
      </c>
      <c r="AE142">
        <f>VLOOKUP(Table4[[#This Row],[Shortname]], Comp[], 30, FALSE)</f>
        <v>0</v>
      </c>
      <c r="AF142">
        <f>VLOOKUP(Table4[[#This Row],[Shortname]], Comp[], 31, FALSE)</f>
        <v>0</v>
      </c>
    </row>
    <row r="143" spans="1:32" x14ac:dyDescent="0.3">
      <c r="A143" s="7" t="s">
        <v>2423</v>
      </c>
      <c r="B143" s="7" t="s">
        <v>2425</v>
      </c>
      <c r="C143" t="s">
        <v>2407</v>
      </c>
      <c r="D143">
        <v>25</v>
      </c>
      <c r="E143">
        <v>800</v>
      </c>
      <c r="F143">
        <v>474</v>
      </c>
      <c r="G143">
        <f>VLOOKUP(Table4[[#This Row],[Shortname]], Comp[], 6, FALSE)</f>
        <v>320</v>
      </c>
      <c r="H143" s="14">
        <f>VLOOKUP(Table4[[#This Row],[Shortname]], Comp[], 7, FALSE)</f>
        <v>18.840000000000003</v>
      </c>
      <c r="I143">
        <f>VLOOKUP(Table4[[#This Row],[Shortname]], Comp[], 8, FALSE)</f>
        <v>50</v>
      </c>
      <c r="J143">
        <f>VLOOKUP(Table4[[#This Row],[Shortname]], Comp[], 9, FALSE)</f>
        <v>10</v>
      </c>
      <c r="K143">
        <f>VLOOKUP(Table4[[#This Row],[Shortname]], Comp[], 10, FALSE)</f>
        <v>10</v>
      </c>
      <c r="L143">
        <f>VLOOKUP(Table4[[#This Row],[Shortname]], Comp[], 11, FALSE)</f>
        <v>7.5</v>
      </c>
      <c r="M143">
        <f>VLOOKUP(Table4[[#This Row],[Shortname]], Comp[],12, FALSE)</f>
        <v>0</v>
      </c>
      <c r="N143">
        <f>VLOOKUP(Table4[[#This Row],[Shortname]], Comp[], 13, FALSE)</f>
        <v>0</v>
      </c>
      <c r="O143">
        <f>VLOOKUP(Table4[[#This Row],[Shortname]], Comp[], 14, FALSE)</f>
        <v>3</v>
      </c>
      <c r="P143">
        <f>VLOOKUP(Table4[[#This Row],[Shortname]], Comp[], 15, FALSE)</f>
        <v>0</v>
      </c>
      <c r="Q143">
        <f>VLOOKUP(Table4[[#This Row],[Shortname]], Comp[], 16, FALSE)</f>
        <v>0</v>
      </c>
      <c r="R143">
        <f>VLOOKUP(Table4[[#This Row],[Shortname]], Comp[], 17, FALSE)</f>
        <v>0.6</v>
      </c>
      <c r="S143">
        <f>VLOOKUP(Table4[[#This Row],[Shortname]], Comp[], 18, FALSE)</f>
        <v>0</v>
      </c>
      <c r="T143">
        <f>VLOOKUP(Table4[[#This Row],[Shortname]], Comp[], 19, FALSE)</f>
        <v>0.06</v>
      </c>
      <c r="U143">
        <f>VLOOKUP(Table4[[#This Row],[Shortname]], Comp[], 20, FALSE)</f>
        <v>0</v>
      </c>
      <c r="V143">
        <f>VLOOKUP(Table4[[#This Row],[Shortname]], Comp[], 21, FALSE)</f>
        <v>0</v>
      </c>
      <c r="W143">
        <f>VLOOKUP(Table4[[#This Row],[Shortname]], Comp[], 22, FALSE)</f>
        <v>0</v>
      </c>
      <c r="X143">
        <f>VLOOKUP(Table4[[#This Row],[Shortname]], Comp[], 23, FALSE)</f>
        <v>0</v>
      </c>
      <c r="Y143">
        <f>VLOOKUP(Table4[[#This Row],[Shortname]], Comp[], 24, FALSE)</f>
        <v>0</v>
      </c>
      <c r="Z143">
        <f>VLOOKUP(Table4[[#This Row],[Shortname]], Comp[], 25, FALSE)</f>
        <v>0</v>
      </c>
      <c r="AA143">
        <f>VLOOKUP(Table4[[#This Row],[Shortname]], Comp[], 26, FALSE)</f>
        <v>0</v>
      </c>
      <c r="AB143">
        <f>VLOOKUP(Table4[[#This Row],[Shortname]], Comp[], 27, FALSE)</f>
        <v>0</v>
      </c>
      <c r="AC143">
        <f>VLOOKUP(Table4[[#This Row],[Shortname]], Comp[], 28, FALSE)</f>
        <v>0</v>
      </c>
      <c r="AD143">
        <f>VLOOKUP(Table4[[#This Row],[Shortname]], Comp[], 29, FALSE)</f>
        <v>0</v>
      </c>
      <c r="AE143">
        <f>VLOOKUP(Table4[[#This Row],[Shortname]], Comp[], 30, FALSE)</f>
        <v>0</v>
      </c>
      <c r="AF143">
        <f>VLOOKUP(Table4[[#This Row],[Shortname]], Comp[], 31, FALSE)</f>
        <v>0</v>
      </c>
    </row>
    <row r="144" spans="1:32" x14ac:dyDescent="0.3">
      <c r="A144" s="7" t="s">
        <v>2405</v>
      </c>
      <c r="B144" s="7" t="s">
        <v>2406</v>
      </c>
      <c r="C144" t="s">
        <v>2407</v>
      </c>
      <c r="D144">
        <v>25</v>
      </c>
      <c r="E144">
        <v>800</v>
      </c>
      <c r="F144">
        <v>442</v>
      </c>
      <c r="G144">
        <f>VLOOKUP(Table4[[#This Row],[Shortname]], Comp[], 6, FALSE)</f>
        <v>317</v>
      </c>
      <c r="H144" s="14">
        <f>VLOOKUP(Table4[[#This Row],[Shortname]], Comp[], 7, FALSE)</f>
        <v>28.840000000000003</v>
      </c>
      <c r="I144">
        <f>VLOOKUP(Table4[[#This Row],[Shortname]], Comp[], 8, FALSE)</f>
        <v>40</v>
      </c>
      <c r="J144">
        <f>VLOOKUP(Table4[[#This Row],[Shortname]], Comp[], 9, FALSE)</f>
        <v>10</v>
      </c>
      <c r="K144">
        <f>VLOOKUP(Table4[[#This Row],[Shortname]], Comp[], 10, FALSE)</f>
        <v>10</v>
      </c>
      <c r="L144">
        <f>VLOOKUP(Table4[[#This Row],[Shortname]], Comp[], 11, FALSE)</f>
        <v>7.5</v>
      </c>
      <c r="M144">
        <f>VLOOKUP(Table4[[#This Row],[Shortname]], Comp[],12, FALSE)</f>
        <v>0</v>
      </c>
      <c r="N144">
        <f>VLOOKUP(Table4[[#This Row],[Shortname]], Comp[], 13, FALSE)</f>
        <v>3</v>
      </c>
      <c r="O144">
        <f>VLOOKUP(Table4[[#This Row],[Shortname]], Comp[], 14, FALSE)</f>
        <v>0</v>
      </c>
      <c r="P144">
        <f>VLOOKUP(Table4[[#This Row],[Shortname]], Comp[], 15, FALSE)</f>
        <v>0</v>
      </c>
      <c r="Q144">
        <f>VLOOKUP(Table4[[#This Row],[Shortname]], Comp[], 16, FALSE)</f>
        <v>0</v>
      </c>
      <c r="R144">
        <f>VLOOKUP(Table4[[#This Row],[Shortname]], Comp[], 17, FALSE)</f>
        <v>0.6</v>
      </c>
      <c r="S144">
        <f>VLOOKUP(Table4[[#This Row],[Shortname]], Comp[], 18, FALSE)</f>
        <v>0</v>
      </c>
      <c r="T144">
        <f>VLOOKUP(Table4[[#This Row],[Shortname]], Comp[], 19, FALSE)</f>
        <v>0.06</v>
      </c>
      <c r="U144">
        <f>VLOOKUP(Table4[[#This Row],[Shortname]], Comp[], 20, FALSE)</f>
        <v>0</v>
      </c>
      <c r="V144">
        <f>VLOOKUP(Table4[[#This Row],[Shortname]], Comp[], 21, FALSE)</f>
        <v>0</v>
      </c>
      <c r="W144">
        <f>VLOOKUP(Table4[[#This Row],[Shortname]], Comp[], 22, FALSE)</f>
        <v>0</v>
      </c>
      <c r="X144">
        <f>VLOOKUP(Table4[[#This Row],[Shortname]], Comp[], 23, FALSE)</f>
        <v>0</v>
      </c>
      <c r="Y144">
        <f>VLOOKUP(Table4[[#This Row],[Shortname]], Comp[], 24, FALSE)</f>
        <v>0</v>
      </c>
      <c r="Z144">
        <f>VLOOKUP(Table4[[#This Row],[Shortname]], Comp[], 25, FALSE)</f>
        <v>0</v>
      </c>
      <c r="AA144">
        <f>VLOOKUP(Table4[[#This Row],[Shortname]], Comp[], 26, FALSE)</f>
        <v>0</v>
      </c>
      <c r="AB144">
        <f>VLOOKUP(Table4[[#This Row],[Shortname]], Comp[], 27, FALSE)</f>
        <v>0</v>
      </c>
      <c r="AC144">
        <f>VLOOKUP(Table4[[#This Row],[Shortname]], Comp[], 28, FALSE)</f>
        <v>0</v>
      </c>
      <c r="AD144">
        <f>VLOOKUP(Table4[[#This Row],[Shortname]], Comp[], 29, FALSE)</f>
        <v>0</v>
      </c>
      <c r="AE144">
        <f>VLOOKUP(Table4[[#This Row],[Shortname]], Comp[], 30, FALSE)</f>
        <v>0</v>
      </c>
      <c r="AF144">
        <f>VLOOKUP(Table4[[#This Row],[Shortname]], Comp[], 31, FALSE)</f>
        <v>0</v>
      </c>
    </row>
    <row r="145" spans="1:32" x14ac:dyDescent="0.3">
      <c r="A145" s="7" t="s">
        <v>2418</v>
      </c>
      <c r="B145" s="7" t="s">
        <v>2419</v>
      </c>
      <c r="C145" t="s">
        <v>2407</v>
      </c>
      <c r="D145">
        <v>25</v>
      </c>
      <c r="E145">
        <v>800</v>
      </c>
      <c r="F145">
        <v>435</v>
      </c>
      <c r="G145">
        <f>VLOOKUP(Table4[[#This Row],[Shortname]], Comp[], 6, FALSE)</f>
        <v>319</v>
      </c>
      <c r="H145" s="14">
        <f>VLOOKUP(Table4[[#This Row],[Shortname]], Comp[], 7, FALSE)</f>
        <v>28.840000000000003</v>
      </c>
      <c r="I145">
        <f>VLOOKUP(Table4[[#This Row],[Shortname]], Comp[], 8, FALSE)</f>
        <v>40</v>
      </c>
      <c r="J145">
        <f>VLOOKUP(Table4[[#This Row],[Shortname]], Comp[], 9, FALSE)</f>
        <v>10</v>
      </c>
      <c r="K145">
        <f>VLOOKUP(Table4[[#This Row],[Shortname]], Comp[], 10, FALSE)</f>
        <v>10</v>
      </c>
      <c r="L145">
        <f>VLOOKUP(Table4[[#This Row],[Shortname]], Comp[], 11, FALSE)</f>
        <v>7.5</v>
      </c>
      <c r="M145">
        <f>VLOOKUP(Table4[[#This Row],[Shortname]], Comp[],12, FALSE)</f>
        <v>0</v>
      </c>
      <c r="N145">
        <f>VLOOKUP(Table4[[#This Row],[Shortname]], Comp[], 13, FALSE)</f>
        <v>0</v>
      </c>
      <c r="O145">
        <f>VLOOKUP(Table4[[#This Row],[Shortname]], Comp[], 14, FALSE)</f>
        <v>3</v>
      </c>
      <c r="P145">
        <f>VLOOKUP(Table4[[#This Row],[Shortname]], Comp[], 15, FALSE)</f>
        <v>0</v>
      </c>
      <c r="Q145">
        <f>VLOOKUP(Table4[[#This Row],[Shortname]], Comp[], 16, FALSE)</f>
        <v>0</v>
      </c>
      <c r="R145">
        <f>VLOOKUP(Table4[[#This Row],[Shortname]], Comp[], 17, FALSE)</f>
        <v>0.6</v>
      </c>
      <c r="S145">
        <f>VLOOKUP(Table4[[#This Row],[Shortname]], Comp[], 18, FALSE)</f>
        <v>0</v>
      </c>
      <c r="T145">
        <f>VLOOKUP(Table4[[#This Row],[Shortname]], Comp[], 19, FALSE)</f>
        <v>0.06</v>
      </c>
      <c r="U145">
        <f>VLOOKUP(Table4[[#This Row],[Shortname]], Comp[], 20, FALSE)</f>
        <v>0</v>
      </c>
      <c r="V145">
        <f>VLOOKUP(Table4[[#This Row],[Shortname]], Comp[], 21, FALSE)</f>
        <v>0</v>
      </c>
      <c r="W145">
        <f>VLOOKUP(Table4[[#This Row],[Shortname]], Comp[], 22, FALSE)</f>
        <v>0</v>
      </c>
      <c r="X145">
        <f>VLOOKUP(Table4[[#This Row],[Shortname]], Comp[], 23, FALSE)</f>
        <v>0</v>
      </c>
      <c r="Y145">
        <f>VLOOKUP(Table4[[#This Row],[Shortname]], Comp[], 24, FALSE)</f>
        <v>0</v>
      </c>
      <c r="Z145">
        <f>VLOOKUP(Table4[[#This Row],[Shortname]], Comp[], 25, FALSE)</f>
        <v>0</v>
      </c>
      <c r="AA145">
        <f>VLOOKUP(Table4[[#This Row],[Shortname]], Comp[], 26, FALSE)</f>
        <v>0</v>
      </c>
      <c r="AB145">
        <f>VLOOKUP(Table4[[#This Row],[Shortname]], Comp[], 27, FALSE)</f>
        <v>0</v>
      </c>
      <c r="AC145">
        <f>VLOOKUP(Table4[[#This Row],[Shortname]], Comp[], 28, FALSE)</f>
        <v>0</v>
      </c>
      <c r="AD145">
        <f>VLOOKUP(Table4[[#This Row],[Shortname]], Comp[], 29, FALSE)</f>
        <v>0</v>
      </c>
      <c r="AE145">
        <f>VLOOKUP(Table4[[#This Row],[Shortname]], Comp[], 30, FALSE)</f>
        <v>0</v>
      </c>
      <c r="AF145">
        <f>VLOOKUP(Table4[[#This Row],[Shortname]], Comp[], 31, FALSE)</f>
        <v>0</v>
      </c>
    </row>
    <row r="146" spans="1:32" x14ac:dyDescent="0.3">
      <c r="A146" s="7" t="s">
        <v>2412</v>
      </c>
      <c r="B146" s="7" t="s">
        <v>2414</v>
      </c>
      <c r="C146" t="s">
        <v>2407</v>
      </c>
      <c r="D146">
        <v>25</v>
      </c>
      <c r="E146">
        <v>800</v>
      </c>
      <c r="F146">
        <v>416</v>
      </c>
      <c r="G146">
        <f>VLOOKUP(Table4[[#This Row],[Shortname]], Comp[], 6, FALSE)</f>
        <v>318</v>
      </c>
      <c r="H146" s="14">
        <f>VLOOKUP(Table4[[#This Row],[Shortname]], Comp[], 7, FALSE)</f>
        <v>38.839999999999996</v>
      </c>
      <c r="I146">
        <f>VLOOKUP(Table4[[#This Row],[Shortname]], Comp[], 8, FALSE)</f>
        <v>30</v>
      </c>
      <c r="J146">
        <f>VLOOKUP(Table4[[#This Row],[Shortname]], Comp[], 9, FALSE)</f>
        <v>10</v>
      </c>
      <c r="K146">
        <f>VLOOKUP(Table4[[#This Row],[Shortname]], Comp[], 10, FALSE)</f>
        <v>10</v>
      </c>
      <c r="L146">
        <f>VLOOKUP(Table4[[#This Row],[Shortname]], Comp[], 11, FALSE)</f>
        <v>7.5</v>
      </c>
      <c r="M146">
        <f>VLOOKUP(Table4[[#This Row],[Shortname]], Comp[],12, FALSE)</f>
        <v>0</v>
      </c>
      <c r="N146">
        <f>VLOOKUP(Table4[[#This Row],[Shortname]], Comp[], 13, FALSE)</f>
        <v>0</v>
      </c>
      <c r="O146">
        <f>VLOOKUP(Table4[[#This Row],[Shortname]], Comp[], 14, FALSE)</f>
        <v>3</v>
      </c>
      <c r="P146">
        <f>VLOOKUP(Table4[[#This Row],[Shortname]], Comp[], 15, FALSE)</f>
        <v>0</v>
      </c>
      <c r="Q146">
        <f>VLOOKUP(Table4[[#This Row],[Shortname]], Comp[], 16, FALSE)</f>
        <v>0</v>
      </c>
      <c r="R146">
        <f>VLOOKUP(Table4[[#This Row],[Shortname]], Comp[], 17, FALSE)</f>
        <v>0.6</v>
      </c>
      <c r="S146">
        <f>VLOOKUP(Table4[[#This Row],[Shortname]], Comp[], 18, FALSE)</f>
        <v>0</v>
      </c>
      <c r="T146">
        <f>VLOOKUP(Table4[[#This Row],[Shortname]], Comp[], 19, FALSE)</f>
        <v>0.06</v>
      </c>
      <c r="U146">
        <f>VLOOKUP(Table4[[#This Row],[Shortname]], Comp[], 20, FALSE)</f>
        <v>0</v>
      </c>
      <c r="V146">
        <f>VLOOKUP(Table4[[#This Row],[Shortname]], Comp[], 21, FALSE)</f>
        <v>0</v>
      </c>
      <c r="W146">
        <f>VLOOKUP(Table4[[#This Row],[Shortname]], Comp[], 22, FALSE)</f>
        <v>0</v>
      </c>
      <c r="X146">
        <f>VLOOKUP(Table4[[#This Row],[Shortname]], Comp[], 23, FALSE)</f>
        <v>0</v>
      </c>
      <c r="Y146">
        <f>VLOOKUP(Table4[[#This Row],[Shortname]], Comp[], 24, FALSE)</f>
        <v>0</v>
      </c>
      <c r="Z146">
        <f>VLOOKUP(Table4[[#This Row],[Shortname]], Comp[], 25, FALSE)</f>
        <v>0</v>
      </c>
      <c r="AA146">
        <f>VLOOKUP(Table4[[#This Row],[Shortname]], Comp[], 26, FALSE)</f>
        <v>0</v>
      </c>
      <c r="AB146">
        <f>VLOOKUP(Table4[[#This Row],[Shortname]], Comp[], 27, FALSE)</f>
        <v>0</v>
      </c>
      <c r="AC146">
        <f>VLOOKUP(Table4[[#This Row],[Shortname]], Comp[], 28, FALSE)</f>
        <v>0</v>
      </c>
      <c r="AD146">
        <f>VLOOKUP(Table4[[#This Row],[Shortname]], Comp[], 29, FALSE)</f>
        <v>0</v>
      </c>
      <c r="AE146">
        <f>VLOOKUP(Table4[[#This Row],[Shortname]], Comp[], 30, FALSE)</f>
        <v>0</v>
      </c>
      <c r="AF146">
        <f>VLOOKUP(Table4[[#This Row],[Shortname]], Comp[], 31, FALSE)</f>
        <v>0</v>
      </c>
    </row>
    <row r="147" spans="1:32" x14ac:dyDescent="0.3">
      <c r="A147" t="s">
        <v>2473</v>
      </c>
      <c r="B147" t="s">
        <v>2475</v>
      </c>
      <c r="C147" s="3" t="s">
        <v>2469</v>
      </c>
      <c r="D147">
        <v>25</v>
      </c>
      <c r="E147">
        <v>800</v>
      </c>
      <c r="F147">
        <v>317</v>
      </c>
      <c r="G147">
        <f>VLOOKUP(Table4[[#This Row],[Shortname]], Comp[], 6, FALSE)</f>
        <v>327</v>
      </c>
      <c r="H147" s="14">
        <f>VLOOKUP(Table4[[#This Row],[Shortname]], Comp[], 7, FALSE)</f>
        <v>63</v>
      </c>
      <c r="I147">
        <f>VLOOKUP(Table4[[#This Row],[Shortname]], Comp[], 8, FALSE)</f>
        <v>20</v>
      </c>
      <c r="J147">
        <f>VLOOKUP(Table4[[#This Row],[Shortname]], Comp[], 9, FALSE)</f>
        <v>10</v>
      </c>
      <c r="K147">
        <f>VLOOKUP(Table4[[#This Row],[Shortname]], Comp[], 10, FALSE)</f>
        <v>0</v>
      </c>
      <c r="L147">
        <f>VLOOKUP(Table4[[#This Row],[Shortname]], Comp[], 11, FALSE)</f>
        <v>0</v>
      </c>
      <c r="M147">
        <f>VLOOKUP(Table4[[#This Row],[Shortname]], Comp[],12, FALSE)</f>
        <v>0</v>
      </c>
      <c r="N147">
        <f>VLOOKUP(Table4[[#This Row],[Shortname]], Comp[], 13, FALSE)</f>
        <v>0</v>
      </c>
      <c r="O147">
        <f>VLOOKUP(Table4[[#This Row],[Shortname]], Comp[], 14, FALSE)</f>
        <v>2</v>
      </c>
      <c r="P147">
        <f>VLOOKUP(Table4[[#This Row],[Shortname]], Comp[], 15, FALSE)</f>
        <v>0</v>
      </c>
      <c r="Q147">
        <f>VLOOKUP(Table4[[#This Row],[Shortname]], Comp[], 16, FALSE)</f>
        <v>5</v>
      </c>
      <c r="R147">
        <f>VLOOKUP(Table4[[#This Row],[Shortname]], Comp[], 17, FALSE)</f>
        <v>0</v>
      </c>
      <c r="S147">
        <f>VLOOKUP(Table4[[#This Row],[Shortname]], Comp[], 18, FALSE)</f>
        <v>0</v>
      </c>
      <c r="T147">
        <f>VLOOKUP(Table4[[#This Row],[Shortname]], Comp[], 19, FALSE)</f>
        <v>0</v>
      </c>
      <c r="U147">
        <f>VLOOKUP(Table4[[#This Row],[Shortname]], Comp[], 20, FALSE)</f>
        <v>0</v>
      </c>
      <c r="V147">
        <f>VLOOKUP(Table4[[#This Row],[Shortname]], Comp[], 21, FALSE)</f>
        <v>0</v>
      </c>
      <c r="W147">
        <f>VLOOKUP(Table4[[#This Row],[Shortname]], Comp[], 22, FALSE)</f>
        <v>0</v>
      </c>
      <c r="X147">
        <f>VLOOKUP(Table4[[#This Row],[Shortname]], Comp[], 23, FALSE)</f>
        <v>0</v>
      </c>
      <c r="Y147">
        <f>VLOOKUP(Table4[[#This Row],[Shortname]], Comp[], 24, FALSE)</f>
        <v>0</v>
      </c>
      <c r="Z147">
        <f>VLOOKUP(Table4[[#This Row],[Shortname]], Comp[], 25, FALSE)</f>
        <v>0</v>
      </c>
      <c r="AA147">
        <f>VLOOKUP(Table4[[#This Row],[Shortname]], Comp[], 26, FALSE)</f>
        <v>0</v>
      </c>
      <c r="AB147">
        <f>VLOOKUP(Table4[[#This Row],[Shortname]], Comp[], 27, FALSE)</f>
        <v>0</v>
      </c>
      <c r="AC147">
        <f>VLOOKUP(Table4[[#This Row],[Shortname]], Comp[], 28, FALSE)</f>
        <v>0</v>
      </c>
      <c r="AD147">
        <f>VLOOKUP(Table4[[#This Row],[Shortname]], Comp[], 29, FALSE)</f>
        <v>0</v>
      </c>
      <c r="AE147">
        <f>VLOOKUP(Table4[[#This Row],[Shortname]], Comp[], 30, FALSE)</f>
        <v>0</v>
      </c>
      <c r="AF147">
        <f>VLOOKUP(Table4[[#This Row],[Shortname]], Comp[], 31, FALSE)</f>
        <v>0</v>
      </c>
    </row>
    <row r="148" spans="1:32" x14ac:dyDescent="0.3">
      <c r="A148" t="s">
        <v>2467</v>
      </c>
      <c r="B148" t="s">
        <v>2468</v>
      </c>
      <c r="C148" s="3" t="s">
        <v>2469</v>
      </c>
      <c r="D148">
        <v>25</v>
      </c>
      <c r="E148">
        <v>800</v>
      </c>
      <c r="F148">
        <v>303</v>
      </c>
      <c r="G148">
        <f>VLOOKUP(Table4[[#This Row],[Shortname]], Comp[], 6, FALSE)</f>
        <v>326</v>
      </c>
      <c r="H148" s="14">
        <f>VLOOKUP(Table4[[#This Row],[Shortname]], Comp[], 7, FALSE)</f>
        <v>83</v>
      </c>
      <c r="I148">
        <f>VLOOKUP(Table4[[#This Row],[Shortname]], Comp[], 8, FALSE)</f>
        <v>0</v>
      </c>
      <c r="J148">
        <f>VLOOKUP(Table4[[#This Row],[Shortname]], Comp[], 9, FALSE)</f>
        <v>10</v>
      </c>
      <c r="K148">
        <f>VLOOKUP(Table4[[#This Row],[Shortname]], Comp[], 10, FALSE)</f>
        <v>0</v>
      </c>
      <c r="L148">
        <f>VLOOKUP(Table4[[#This Row],[Shortname]], Comp[], 11, FALSE)</f>
        <v>0</v>
      </c>
      <c r="M148">
        <f>VLOOKUP(Table4[[#This Row],[Shortname]], Comp[],12, FALSE)</f>
        <v>0</v>
      </c>
      <c r="N148">
        <f>VLOOKUP(Table4[[#This Row],[Shortname]], Comp[], 13, FALSE)</f>
        <v>0</v>
      </c>
      <c r="O148">
        <f>VLOOKUP(Table4[[#This Row],[Shortname]], Comp[], 14, FALSE)</f>
        <v>2</v>
      </c>
      <c r="P148">
        <f>VLOOKUP(Table4[[#This Row],[Shortname]], Comp[], 15, FALSE)</f>
        <v>0</v>
      </c>
      <c r="Q148">
        <f>VLOOKUP(Table4[[#This Row],[Shortname]], Comp[], 16, FALSE)</f>
        <v>5</v>
      </c>
      <c r="R148">
        <f>VLOOKUP(Table4[[#This Row],[Shortname]], Comp[], 17, FALSE)</f>
        <v>0</v>
      </c>
      <c r="S148">
        <f>VLOOKUP(Table4[[#This Row],[Shortname]], Comp[], 18, FALSE)</f>
        <v>0</v>
      </c>
      <c r="T148">
        <f>VLOOKUP(Table4[[#This Row],[Shortname]], Comp[], 19, FALSE)</f>
        <v>0</v>
      </c>
      <c r="U148">
        <f>VLOOKUP(Table4[[#This Row],[Shortname]], Comp[], 20, FALSE)</f>
        <v>0</v>
      </c>
      <c r="V148">
        <f>VLOOKUP(Table4[[#This Row],[Shortname]], Comp[], 21, FALSE)</f>
        <v>0</v>
      </c>
      <c r="W148">
        <f>VLOOKUP(Table4[[#This Row],[Shortname]], Comp[], 22, FALSE)</f>
        <v>0</v>
      </c>
      <c r="X148">
        <f>VLOOKUP(Table4[[#This Row],[Shortname]], Comp[], 23, FALSE)</f>
        <v>0</v>
      </c>
      <c r="Y148">
        <f>VLOOKUP(Table4[[#This Row],[Shortname]], Comp[], 24, FALSE)</f>
        <v>0</v>
      </c>
      <c r="Z148">
        <f>VLOOKUP(Table4[[#This Row],[Shortname]], Comp[], 25, FALSE)</f>
        <v>0</v>
      </c>
      <c r="AA148">
        <f>VLOOKUP(Table4[[#This Row],[Shortname]], Comp[], 26, FALSE)</f>
        <v>0</v>
      </c>
      <c r="AB148">
        <f>VLOOKUP(Table4[[#This Row],[Shortname]], Comp[], 27, FALSE)</f>
        <v>0</v>
      </c>
      <c r="AC148">
        <f>VLOOKUP(Table4[[#This Row],[Shortname]], Comp[], 28, FALSE)</f>
        <v>0</v>
      </c>
      <c r="AD148">
        <f>VLOOKUP(Table4[[#This Row],[Shortname]], Comp[], 29, FALSE)</f>
        <v>0</v>
      </c>
      <c r="AE148">
        <f>VLOOKUP(Table4[[#This Row],[Shortname]], Comp[], 30, FALSE)</f>
        <v>0</v>
      </c>
      <c r="AF148">
        <f>VLOOKUP(Table4[[#This Row],[Shortname]], Comp[], 31, FALSE)</f>
        <v>0</v>
      </c>
    </row>
    <row r="149" spans="1:32" x14ac:dyDescent="0.3">
      <c r="A149" s="7" t="s">
        <v>2824</v>
      </c>
      <c r="B149" s="7" t="s">
        <v>2826</v>
      </c>
      <c r="C149" t="s">
        <v>6618</v>
      </c>
      <c r="D149">
        <v>25</v>
      </c>
      <c r="E149">
        <v>900</v>
      </c>
      <c r="F149">
        <v>335</v>
      </c>
      <c r="G149">
        <f>VLOOKUP(Table4[[#This Row],[Shortname]], Comp[], 6, FALSE)</f>
        <v>382</v>
      </c>
      <c r="H149" s="14">
        <f>VLOOKUP(Table4[[#This Row],[Shortname]], Comp[], 7, FALSE)</f>
        <v>43.2</v>
      </c>
      <c r="I149">
        <f>VLOOKUP(Table4[[#This Row],[Shortname]], Comp[], 8, FALSE)</f>
        <v>29.5</v>
      </c>
      <c r="J149">
        <f>VLOOKUP(Table4[[#This Row],[Shortname]], Comp[], 9, FALSE)</f>
        <v>10.4</v>
      </c>
      <c r="K149">
        <f>VLOOKUP(Table4[[#This Row],[Shortname]], Comp[], 10, FALSE)</f>
        <v>8</v>
      </c>
      <c r="L149">
        <f>VLOOKUP(Table4[[#This Row],[Shortname]], Comp[], 11, FALSE)</f>
        <v>0</v>
      </c>
      <c r="M149">
        <f>VLOOKUP(Table4[[#This Row],[Shortname]], Comp[],12, FALSE)</f>
        <v>2</v>
      </c>
      <c r="N149">
        <f>VLOOKUP(Table4[[#This Row],[Shortname]], Comp[], 13, FALSE)</f>
        <v>2</v>
      </c>
      <c r="O149">
        <f>VLOOKUP(Table4[[#This Row],[Shortname]], Comp[], 14, FALSE)</f>
        <v>0</v>
      </c>
      <c r="P149">
        <f>VLOOKUP(Table4[[#This Row],[Shortname]], Comp[], 15, FALSE)</f>
        <v>0</v>
      </c>
      <c r="Q149">
        <f>VLOOKUP(Table4[[#This Row],[Shortname]], Comp[], 16, FALSE)</f>
        <v>4.9000000000000004</v>
      </c>
      <c r="R149">
        <f>VLOOKUP(Table4[[#This Row],[Shortname]], Comp[], 17, FALSE)</f>
        <v>0</v>
      </c>
      <c r="S149">
        <f>VLOOKUP(Table4[[#This Row],[Shortname]], Comp[], 18, FALSE)</f>
        <v>0</v>
      </c>
      <c r="T149">
        <f>VLOOKUP(Table4[[#This Row],[Shortname]], Comp[], 19, FALSE)</f>
        <v>0</v>
      </c>
      <c r="U149">
        <f>VLOOKUP(Table4[[#This Row],[Shortname]], Comp[], 20, FALSE)</f>
        <v>0</v>
      </c>
      <c r="V149">
        <f>VLOOKUP(Table4[[#This Row],[Shortname]], Comp[], 21, FALSE)</f>
        <v>0</v>
      </c>
      <c r="W149">
        <f>VLOOKUP(Table4[[#This Row],[Shortname]], Comp[], 22, FALSE)</f>
        <v>0</v>
      </c>
      <c r="X149">
        <f>VLOOKUP(Table4[[#This Row],[Shortname]], Comp[], 23, FALSE)</f>
        <v>0</v>
      </c>
      <c r="Y149">
        <f>VLOOKUP(Table4[[#This Row],[Shortname]], Comp[], 24, FALSE)</f>
        <v>0</v>
      </c>
      <c r="Z149">
        <f>VLOOKUP(Table4[[#This Row],[Shortname]], Comp[], 25, FALSE)</f>
        <v>0</v>
      </c>
      <c r="AA149">
        <f>VLOOKUP(Table4[[#This Row],[Shortname]], Comp[], 26, FALSE)</f>
        <v>0</v>
      </c>
      <c r="AB149">
        <f>VLOOKUP(Table4[[#This Row],[Shortname]], Comp[], 27, FALSE)</f>
        <v>0</v>
      </c>
      <c r="AC149">
        <f>VLOOKUP(Table4[[#This Row],[Shortname]], Comp[], 28, FALSE)</f>
        <v>0</v>
      </c>
      <c r="AD149">
        <f>VLOOKUP(Table4[[#This Row],[Shortname]], Comp[], 29, FALSE)</f>
        <v>0</v>
      </c>
      <c r="AE149">
        <f>VLOOKUP(Table4[[#This Row],[Shortname]], Comp[], 30, FALSE)</f>
        <v>0</v>
      </c>
      <c r="AF149">
        <f>VLOOKUP(Table4[[#This Row],[Shortname]], Comp[], 31, FALSE)</f>
        <v>0</v>
      </c>
    </row>
    <row r="150" spans="1:32" x14ac:dyDescent="0.3">
      <c r="A150" s="7" t="s">
        <v>2817</v>
      </c>
      <c r="B150" s="7" t="s">
        <v>2818</v>
      </c>
      <c r="C150" t="s">
        <v>6618</v>
      </c>
      <c r="D150">
        <v>25</v>
      </c>
      <c r="E150">
        <v>900</v>
      </c>
      <c r="F150">
        <v>327</v>
      </c>
      <c r="G150">
        <f>VLOOKUP(Table4[[#This Row],[Shortname]], Comp[], 6, FALSE)</f>
        <v>381</v>
      </c>
      <c r="H150" s="14">
        <f>VLOOKUP(Table4[[#This Row],[Shortname]], Comp[], 7, FALSE)</f>
        <v>46.3</v>
      </c>
      <c r="I150">
        <f>VLOOKUP(Table4[[#This Row],[Shortname]], Comp[], 8, FALSE)</f>
        <v>30.1</v>
      </c>
      <c r="J150">
        <f>VLOOKUP(Table4[[#This Row],[Shortname]], Comp[], 9, FALSE)</f>
        <v>9.8000000000000007</v>
      </c>
      <c r="K150">
        <f>VLOOKUP(Table4[[#This Row],[Shortname]], Comp[], 10, FALSE)</f>
        <v>4.9000000000000004</v>
      </c>
      <c r="L150">
        <f>VLOOKUP(Table4[[#This Row],[Shortname]], Comp[], 11, FALSE)</f>
        <v>0</v>
      </c>
      <c r="M150">
        <f>VLOOKUP(Table4[[#This Row],[Shortname]], Comp[],12, FALSE)</f>
        <v>2</v>
      </c>
      <c r="N150">
        <f>VLOOKUP(Table4[[#This Row],[Shortname]], Comp[], 13, FALSE)</f>
        <v>2</v>
      </c>
      <c r="O150">
        <f>VLOOKUP(Table4[[#This Row],[Shortname]], Comp[], 14, FALSE)</f>
        <v>0</v>
      </c>
      <c r="P150">
        <f>VLOOKUP(Table4[[#This Row],[Shortname]], Comp[], 15, FALSE)</f>
        <v>0</v>
      </c>
      <c r="Q150">
        <f>VLOOKUP(Table4[[#This Row],[Shortname]], Comp[], 16, FALSE)</f>
        <v>4.9000000000000004</v>
      </c>
      <c r="R150">
        <f>VLOOKUP(Table4[[#This Row],[Shortname]], Comp[], 17, FALSE)</f>
        <v>0</v>
      </c>
      <c r="S150">
        <f>VLOOKUP(Table4[[#This Row],[Shortname]], Comp[], 18, FALSE)</f>
        <v>0</v>
      </c>
      <c r="T150">
        <f>VLOOKUP(Table4[[#This Row],[Shortname]], Comp[], 19, FALSE)</f>
        <v>0</v>
      </c>
      <c r="U150">
        <f>VLOOKUP(Table4[[#This Row],[Shortname]], Comp[], 20, FALSE)</f>
        <v>0</v>
      </c>
      <c r="V150">
        <f>VLOOKUP(Table4[[#This Row],[Shortname]], Comp[], 21, FALSE)</f>
        <v>0</v>
      </c>
      <c r="W150">
        <f>VLOOKUP(Table4[[#This Row],[Shortname]], Comp[], 22, FALSE)</f>
        <v>0</v>
      </c>
      <c r="X150">
        <f>VLOOKUP(Table4[[#This Row],[Shortname]], Comp[], 23, FALSE)</f>
        <v>0</v>
      </c>
      <c r="Y150">
        <f>VLOOKUP(Table4[[#This Row],[Shortname]], Comp[], 24, FALSE)</f>
        <v>0</v>
      </c>
      <c r="Z150">
        <f>VLOOKUP(Table4[[#This Row],[Shortname]], Comp[], 25, FALSE)</f>
        <v>0</v>
      </c>
      <c r="AA150">
        <f>VLOOKUP(Table4[[#This Row],[Shortname]], Comp[], 26, FALSE)</f>
        <v>0</v>
      </c>
      <c r="AB150">
        <f>VLOOKUP(Table4[[#This Row],[Shortname]], Comp[], 27, FALSE)</f>
        <v>0</v>
      </c>
      <c r="AC150">
        <f>VLOOKUP(Table4[[#This Row],[Shortname]], Comp[], 28, FALSE)</f>
        <v>0</v>
      </c>
      <c r="AD150">
        <f>VLOOKUP(Table4[[#This Row],[Shortname]], Comp[], 29, FALSE)</f>
        <v>0</v>
      </c>
      <c r="AE150">
        <f>VLOOKUP(Table4[[#This Row],[Shortname]], Comp[], 30, FALSE)</f>
        <v>0</v>
      </c>
      <c r="AF150">
        <f>VLOOKUP(Table4[[#This Row],[Shortname]], Comp[], 31, FALSE)</f>
        <v>0</v>
      </c>
    </row>
    <row r="151" spans="1:32" x14ac:dyDescent="0.3">
      <c r="A151" s="7" t="s">
        <v>2809</v>
      </c>
      <c r="B151" s="7" t="s">
        <v>2811</v>
      </c>
      <c r="C151" t="s">
        <v>6618</v>
      </c>
      <c r="D151">
        <v>25</v>
      </c>
      <c r="E151">
        <v>900</v>
      </c>
      <c r="F151">
        <v>317</v>
      </c>
      <c r="G151">
        <f>VLOOKUP(Table4[[#This Row],[Shortname]], Comp[], 6, FALSE)</f>
        <v>380</v>
      </c>
      <c r="H151" s="14">
        <f>VLOOKUP(Table4[[#This Row],[Shortname]], Comp[], 7, FALSE)</f>
        <v>49.5</v>
      </c>
      <c r="I151">
        <f>VLOOKUP(Table4[[#This Row],[Shortname]], Comp[], 8, FALSE)</f>
        <v>30.2</v>
      </c>
      <c r="J151">
        <f>VLOOKUP(Table4[[#This Row],[Shortname]], Comp[], 9, FALSE)</f>
        <v>9.8000000000000007</v>
      </c>
      <c r="K151">
        <f>VLOOKUP(Table4[[#This Row],[Shortname]], Comp[], 10, FALSE)</f>
        <v>2</v>
      </c>
      <c r="L151">
        <f>VLOOKUP(Table4[[#This Row],[Shortname]], Comp[], 11, FALSE)</f>
        <v>0</v>
      </c>
      <c r="M151">
        <f>VLOOKUP(Table4[[#This Row],[Shortname]], Comp[],12, FALSE)</f>
        <v>2</v>
      </c>
      <c r="N151">
        <f>VLOOKUP(Table4[[#This Row],[Shortname]], Comp[], 13, FALSE)</f>
        <v>1.9</v>
      </c>
      <c r="O151">
        <f>VLOOKUP(Table4[[#This Row],[Shortname]], Comp[], 14, FALSE)</f>
        <v>0</v>
      </c>
      <c r="P151">
        <f>VLOOKUP(Table4[[#This Row],[Shortname]], Comp[], 15, FALSE)</f>
        <v>0</v>
      </c>
      <c r="Q151">
        <f>VLOOKUP(Table4[[#This Row],[Shortname]], Comp[], 16, FALSE)</f>
        <v>4.5999999999999996</v>
      </c>
      <c r="R151">
        <f>VLOOKUP(Table4[[#This Row],[Shortname]], Comp[], 17, FALSE)</f>
        <v>0</v>
      </c>
      <c r="S151">
        <f>VLOOKUP(Table4[[#This Row],[Shortname]], Comp[], 18, FALSE)</f>
        <v>0</v>
      </c>
      <c r="T151">
        <f>VLOOKUP(Table4[[#This Row],[Shortname]], Comp[], 19, FALSE)</f>
        <v>0</v>
      </c>
      <c r="U151">
        <f>VLOOKUP(Table4[[#This Row],[Shortname]], Comp[], 20, FALSE)</f>
        <v>0</v>
      </c>
      <c r="V151">
        <f>VLOOKUP(Table4[[#This Row],[Shortname]], Comp[], 21, FALSE)</f>
        <v>0</v>
      </c>
      <c r="W151">
        <f>VLOOKUP(Table4[[#This Row],[Shortname]], Comp[], 22, FALSE)</f>
        <v>0</v>
      </c>
      <c r="X151">
        <f>VLOOKUP(Table4[[#This Row],[Shortname]], Comp[], 23, FALSE)</f>
        <v>0</v>
      </c>
      <c r="Y151">
        <f>VLOOKUP(Table4[[#This Row],[Shortname]], Comp[], 24, FALSE)</f>
        <v>0</v>
      </c>
      <c r="Z151">
        <f>VLOOKUP(Table4[[#This Row],[Shortname]], Comp[], 25, FALSE)</f>
        <v>0</v>
      </c>
      <c r="AA151">
        <f>VLOOKUP(Table4[[#This Row],[Shortname]], Comp[], 26, FALSE)</f>
        <v>0</v>
      </c>
      <c r="AB151">
        <f>VLOOKUP(Table4[[#This Row],[Shortname]], Comp[], 27, FALSE)</f>
        <v>0</v>
      </c>
      <c r="AC151">
        <f>VLOOKUP(Table4[[#This Row],[Shortname]], Comp[], 28, FALSE)</f>
        <v>0</v>
      </c>
      <c r="AD151">
        <f>VLOOKUP(Table4[[#This Row],[Shortname]], Comp[], 29, FALSE)</f>
        <v>0</v>
      </c>
      <c r="AE151">
        <f>VLOOKUP(Table4[[#This Row],[Shortname]], Comp[], 30, FALSE)</f>
        <v>0</v>
      </c>
      <c r="AF151">
        <f>VLOOKUP(Table4[[#This Row],[Shortname]], Comp[], 31, FALSE)</f>
        <v>0</v>
      </c>
    </row>
    <row r="152" spans="1:32" x14ac:dyDescent="0.3">
      <c r="A152" s="7" t="s">
        <v>2848</v>
      </c>
      <c r="B152" s="7" t="s">
        <v>2850</v>
      </c>
      <c r="C152" s="3" t="s">
        <v>2851</v>
      </c>
      <c r="D152">
        <v>25</v>
      </c>
      <c r="E152">
        <v>900</v>
      </c>
      <c r="F152">
        <v>379</v>
      </c>
      <c r="G152">
        <f>VLOOKUP(Table4[[#This Row],[Shortname]], Comp[], 6, FALSE)</f>
        <v>385</v>
      </c>
      <c r="H152" s="14">
        <f>VLOOKUP(Table4[[#This Row],[Shortname]], Comp[], 7, FALSE)</f>
        <v>37.900000000000013</v>
      </c>
      <c r="I152">
        <f>VLOOKUP(Table4[[#This Row],[Shortname]], Comp[], 8, FALSE)</f>
        <v>35.4</v>
      </c>
      <c r="J152">
        <f>VLOOKUP(Table4[[#This Row],[Shortname]], Comp[], 9, FALSE)</f>
        <v>9.6999999999999993</v>
      </c>
      <c r="K152">
        <f>VLOOKUP(Table4[[#This Row],[Shortname]], Comp[], 10, FALSE)</f>
        <v>6</v>
      </c>
      <c r="L152">
        <f>VLOOKUP(Table4[[#This Row],[Shortname]], Comp[], 11, FALSE)</f>
        <v>0</v>
      </c>
      <c r="M152">
        <f>VLOOKUP(Table4[[#This Row],[Shortname]], Comp[],12, FALSE)</f>
        <v>3.4</v>
      </c>
      <c r="N152">
        <f>VLOOKUP(Table4[[#This Row],[Shortname]], Comp[], 13, FALSE)</f>
        <v>2.8</v>
      </c>
      <c r="O152">
        <f>VLOOKUP(Table4[[#This Row],[Shortname]], Comp[], 14, FALSE)</f>
        <v>0</v>
      </c>
      <c r="P152">
        <f>VLOOKUP(Table4[[#This Row],[Shortname]], Comp[], 15, FALSE)</f>
        <v>0</v>
      </c>
      <c r="Q152">
        <f>VLOOKUP(Table4[[#This Row],[Shortname]], Comp[], 16, FALSE)</f>
        <v>4.8</v>
      </c>
      <c r="R152">
        <f>VLOOKUP(Table4[[#This Row],[Shortname]], Comp[], 17, FALSE)</f>
        <v>0</v>
      </c>
      <c r="S152">
        <f>VLOOKUP(Table4[[#This Row],[Shortname]], Comp[], 18, FALSE)</f>
        <v>0</v>
      </c>
      <c r="T152">
        <f>VLOOKUP(Table4[[#This Row],[Shortname]], Comp[], 19, FALSE)</f>
        <v>0</v>
      </c>
      <c r="U152">
        <f>VLOOKUP(Table4[[#This Row],[Shortname]], Comp[], 20, FALSE)</f>
        <v>0</v>
      </c>
      <c r="V152">
        <f>VLOOKUP(Table4[[#This Row],[Shortname]], Comp[], 21, FALSE)</f>
        <v>0</v>
      </c>
      <c r="W152">
        <f>VLOOKUP(Table4[[#This Row],[Shortname]], Comp[], 22, FALSE)</f>
        <v>0</v>
      </c>
      <c r="X152">
        <f>VLOOKUP(Table4[[#This Row],[Shortname]], Comp[], 23, FALSE)</f>
        <v>0</v>
      </c>
      <c r="Y152">
        <f>VLOOKUP(Table4[[#This Row],[Shortname]], Comp[], 24, FALSE)</f>
        <v>0</v>
      </c>
      <c r="Z152">
        <f>VLOOKUP(Table4[[#This Row],[Shortname]], Comp[], 25, FALSE)</f>
        <v>0</v>
      </c>
      <c r="AA152">
        <f>VLOOKUP(Table4[[#This Row],[Shortname]], Comp[], 26, FALSE)</f>
        <v>0</v>
      </c>
      <c r="AB152">
        <f>VLOOKUP(Table4[[#This Row],[Shortname]], Comp[], 27, FALSE)</f>
        <v>0</v>
      </c>
      <c r="AC152">
        <f>VLOOKUP(Table4[[#This Row],[Shortname]], Comp[], 28, FALSE)</f>
        <v>0</v>
      </c>
      <c r="AD152">
        <f>VLOOKUP(Table4[[#This Row],[Shortname]], Comp[], 29, FALSE)</f>
        <v>0</v>
      </c>
      <c r="AE152">
        <f>VLOOKUP(Table4[[#This Row],[Shortname]], Comp[], 30, FALSE)</f>
        <v>0</v>
      </c>
      <c r="AF152">
        <f>VLOOKUP(Table4[[#This Row],[Shortname]], Comp[], 31, FALSE)</f>
        <v>0</v>
      </c>
    </row>
    <row r="153" spans="1:32" x14ac:dyDescent="0.3">
      <c r="A153" s="7" t="s">
        <v>3017</v>
      </c>
      <c r="B153" s="7" t="s">
        <v>3019</v>
      </c>
      <c r="C153" t="s">
        <v>6735</v>
      </c>
      <c r="D153">
        <v>25</v>
      </c>
      <c r="E153">
        <v>850</v>
      </c>
      <c r="F153">
        <v>343.6320995207505</v>
      </c>
      <c r="G153">
        <f>VLOOKUP(Table4[[#This Row],[Shortname]], Comp[], 6, FALSE)</f>
        <v>415</v>
      </c>
      <c r="H153" s="14">
        <f>VLOOKUP(Table4[[#This Row],[Shortname]], Comp[], 7, FALSE)</f>
        <v>68.960000000000008</v>
      </c>
      <c r="I153">
        <f>VLOOKUP(Table4[[#This Row],[Shortname]], Comp[], 8, FALSE)</f>
        <v>10</v>
      </c>
      <c r="J153">
        <f>VLOOKUP(Table4[[#This Row],[Shortname]], Comp[], 9, FALSE)</f>
        <v>5</v>
      </c>
      <c r="K153">
        <f>VLOOKUP(Table4[[#This Row],[Shortname]], Comp[], 10, FALSE)</f>
        <v>8</v>
      </c>
      <c r="L153">
        <f>VLOOKUP(Table4[[#This Row],[Shortname]], Comp[], 11, FALSE)</f>
        <v>0</v>
      </c>
      <c r="M153">
        <f>VLOOKUP(Table4[[#This Row],[Shortname]], Comp[],12, FALSE)</f>
        <v>2</v>
      </c>
      <c r="N153">
        <f>VLOOKUP(Table4[[#This Row],[Shortname]], Comp[], 13, FALSE)</f>
        <v>0</v>
      </c>
      <c r="O153">
        <f>VLOOKUP(Table4[[#This Row],[Shortname]], Comp[], 14, FALSE)</f>
        <v>3</v>
      </c>
      <c r="P153">
        <f>VLOOKUP(Table4[[#This Row],[Shortname]], Comp[], 15, FALSE)</f>
        <v>3</v>
      </c>
      <c r="Q153">
        <f>VLOOKUP(Table4[[#This Row],[Shortname]], Comp[], 16, FALSE)</f>
        <v>0</v>
      </c>
      <c r="R153">
        <f>VLOOKUP(Table4[[#This Row],[Shortname]], Comp[], 17, FALSE)</f>
        <v>0</v>
      </c>
      <c r="S153">
        <f>VLOOKUP(Table4[[#This Row],[Shortname]], Comp[], 18, FALSE)</f>
        <v>0</v>
      </c>
      <c r="T153">
        <f>VLOOKUP(Table4[[#This Row],[Shortname]], Comp[], 19, FALSE)</f>
        <v>0.04</v>
      </c>
      <c r="U153">
        <f>VLOOKUP(Table4[[#This Row],[Shortname]], Comp[], 20, FALSE)</f>
        <v>0</v>
      </c>
      <c r="V153">
        <f>VLOOKUP(Table4[[#This Row],[Shortname]], Comp[], 21, FALSE)</f>
        <v>0</v>
      </c>
      <c r="W153">
        <f>VLOOKUP(Table4[[#This Row],[Shortname]], Comp[], 22, FALSE)</f>
        <v>0</v>
      </c>
      <c r="X153">
        <f>VLOOKUP(Table4[[#This Row],[Shortname]], Comp[], 23, FALSE)</f>
        <v>0</v>
      </c>
      <c r="Y153">
        <f>VLOOKUP(Table4[[#This Row],[Shortname]], Comp[], 24, FALSE)</f>
        <v>0</v>
      </c>
      <c r="Z153">
        <f>VLOOKUP(Table4[[#This Row],[Shortname]], Comp[], 25, FALSE)</f>
        <v>0</v>
      </c>
      <c r="AA153">
        <f>VLOOKUP(Table4[[#This Row],[Shortname]], Comp[], 26, FALSE)</f>
        <v>0</v>
      </c>
      <c r="AB153">
        <f>VLOOKUP(Table4[[#This Row],[Shortname]], Comp[], 27, FALSE)</f>
        <v>0</v>
      </c>
      <c r="AC153">
        <f>VLOOKUP(Table4[[#This Row],[Shortname]], Comp[], 28, FALSE)</f>
        <v>0</v>
      </c>
      <c r="AD153">
        <f>VLOOKUP(Table4[[#This Row],[Shortname]], Comp[], 29, FALSE)</f>
        <v>0</v>
      </c>
      <c r="AE153">
        <f>VLOOKUP(Table4[[#This Row],[Shortname]], Comp[], 30, FALSE)</f>
        <v>0</v>
      </c>
      <c r="AF153">
        <f>VLOOKUP(Table4[[#This Row],[Shortname]], Comp[], 31, FALSE)</f>
        <v>0</v>
      </c>
    </row>
    <row r="154" spans="1:32" x14ac:dyDescent="0.3">
      <c r="A154" t="s">
        <v>3011</v>
      </c>
      <c r="B154" t="s">
        <v>3013</v>
      </c>
      <c r="C154" t="s">
        <v>6735</v>
      </c>
      <c r="D154">
        <v>25</v>
      </c>
      <c r="E154">
        <v>850</v>
      </c>
      <c r="F154">
        <v>318.14010400734173</v>
      </c>
      <c r="G154">
        <f>VLOOKUP(Table4[[#This Row],[Shortname]], Comp[], 6, FALSE)</f>
        <v>414</v>
      </c>
      <c r="H154" s="14">
        <f>VLOOKUP(Table4[[#This Row],[Shortname]], Comp[], 7, FALSE)</f>
        <v>68.960000000000008</v>
      </c>
      <c r="I154">
        <f>VLOOKUP(Table4[[#This Row],[Shortname]], Comp[], 8, FALSE)</f>
        <v>10</v>
      </c>
      <c r="J154">
        <f>VLOOKUP(Table4[[#This Row],[Shortname]], Comp[], 9, FALSE)</f>
        <v>5</v>
      </c>
      <c r="K154">
        <f>VLOOKUP(Table4[[#This Row],[Shortname]], Comp[], 10, FALSE)</f>
        <v>4</v>
      </c>
      <c r="L154">
        <f>VLOOKUP(Table4[[#This Row],[Shortname]], Comp[], 11, FALSE)</f>
        <v>0</v>
      </c>
      <c r="M154">
        <f>VLOOKUP(Table4[[#This Row],[Shortname]], Comp[],12, FALSE)</f>
        <v>6</v>
      </c>
      <c r="N154">
        <f>VLOOKUP(Table4[[#This Row],[Shortname]], Comp[], 13, FALSE)</f>
        <v>0</v>
      </c>
      <c r="O154">
        <f>VLOOKUP(Table4[[#This Row],[Shortname]], Comp[], 14, FALSE)</f>
        <v>3</v>
      </c>
      <c r="P154">
        <f>VLOOKUP(Table4[[#This Row],[Shortname]], Comp[], 15, FALSE)</f>
        <v>3</v>
      </c>
      <c r="Q154">
        <f>VLOOKUP(Table4[[#This Row],[Shortname]], Comp[], 16, FALSE)</f>
        <v>0</v>
      </c>
      <c r="R154">
        <f>VLOOKUP(Table4[[#This Row],[Shortname]], Comp[], 17, FALSE)</f>
        <v>0</v>
      </c>
      <c r="S154">
        <f>VLOOKUP(Table4[[#This Row],[Shortname]], Comp[], 18, FALSE)</f>
        <v>0</v>
      </c>
      <c r="T154">
        <f>VLOOKUP(Table4[[#This Row],[Shortname]], Comp[], 19, FALSE)</f>
        <v>0.04</v>
      </c>
      <c r="U154">
        <f>VLOOKUP(Table4[[#This Row],[Shortname]], Comp[], 20, FALSE)</f>
        <v>0</v>
      </c>
      <c r="V154">
        <f>VLOOKUP(Table4[[#This Row],[Shortname]], Comp[], 21, FALSE)</f>
        <v>0</v>
      </c>
      <c r="W154">
        <f>VLOOKUP(Table4[[#This Row],[Shortname]], Comp[], 22, FALSE)</f>
        <v>0</v>
      </c>
      <c r="X154">
        <f>VLOOKUP(Table4[[#This Row],[Shortname]], Comp[], 23, FALSE)</f>
        <v>0</v>
      </c>
      <c r="Y154">
        <f>VLOOKUP(Table4[[#This Row],[Shortname]], Comp[], 24, FALSE)</f>
        <v>0</v>
      </c>
      <c r="Z154">
        <f>VLOOKUP(Table4[[#This Row],[Shortname]], Comp[], 25, FALSE)</f>
        <v>0</v>
      </c>
      <c r="AA154">
        <f>VLOOKUP(Table4[[#This Row],[Shortname]], Comp[], 26, FALSE)</f>
        <v>0</v>
      </c>
      <c r="AB154">
        <f>VLOOKUP(Table4[[#This Row],[Shortname]], Comp[], 27, FALSE)</f>
        <v>0</v>
      </c>
      <c r="AC154">
        <f>VLOOKUP(Table4[[#This Row],[Shortname]], Comp[], 28, FALSE)</f>
        <v>0</v>
      </c>
      <c r="AD154">
        <f>VLOOKUP(Table4[[#This Row],[Shortname]], Comp[], 29, FALSE)</f>
        <v>0</v>
      </c>
      <c r="AE154">
        <f>VLOOKUP(Table4[[#This Row],[Shortname]], Comp[], 30, FALSE)</f>
        <v>0</v>
      </c>
      <c r="AF154">
        <f>VLOOKUP(Table4[[#This Row],[Shortname]], Comp[], 31, FALSE)</f>
        <v>0</v>
      </c>
    </row>
    <row r="155" spans="1:32" x14ac:dyDescent="0.3">
      <c r="A155" s="7" t="s">
        <v>3003</v>
      </c>
      <c r="B155" s="7" t="s">
        <v>3005</v>
      </c>
      <c r="C155" t="s">
        <v>6735</v>
      </c>
      <c r="D155">
        <v>25</v>
      </c>
      <c r="E155">
        <v>850</v>
      </c>
      <c r="F155">
        <v>282.4513102885694</v>
      </c>
      <c r="G155">
        <f>VLOOKUP(Table4[[#This Row],[Shortname]], Comp[], 6, FALSE)</f>
        <v>413</v>
      </c>
      <c r="H155" s="14">
        <f>VLOOKUP(Table4[[#This Row],[Shortname]], Comp[], 7, FALSE)</f>
        <v>72.960000000000008</v>
      </c>
      <c r="I155">
        <f>VLOOKUP(Table4[[#This Row],[Shortname]], Comp[], 8, FALSE)</f>
        <v>10</v>
      </c>
      <c r="J155">
        <f>VLOOKUP(Table4[[#This Row],[Shortname]], Comp[], 9, FALSE)</f>
        <v>5</v>
      </c>
      <c r="K155">
        <f>VLOOKUP(Table4[[#This Row],[Shortname]], Comp[], 10, FALSE)</f>
        <v>0</v>
      </c>
      <c r="L155">
        <f>VLOOKUP(Table4[[#This Row],[Shortname]], Comp[], 11, FALSE)</f>
        <v>0</v>
      </c>
      <c r="M155">
        <f>VLOOKUP(Table4[[#This Row],[Shortname]], Comp[],12, FALSE)</f>
        <v>6</v>
      </c>
      <c r="N155">
        <f>VLOOKUP(Table4[[#This Row],[Shortname]], Comp[], 13, FALSE)</f>
        <v>0</v>
      </c>
      <c r="O155">
        <f>VLOOKUP(Table4[[#This Row],[Shortname]], Comp[], 14, FALSE)</f>
        <v>3</v>
      </c>
      <c r="P155">
        <f>VLOOKUP(Table4[[#This Row],[Shortname]], Comp[], 15, FALSE)</f>
        <v>3</v>
      </c>
      <c r="Q155">
        <f>VLOOKUP(Table4[[#This Row],[Shortname]], Comp[], 16, FALSE)</f>
        <v>0</v>
      </c>
      <c r="R155">
        <f>VLOOKUP(Table4[[#This Row],[Shortname]], Comp[], 17, FALSE)</f>
        <v>0</v>
      </c>
      <c r="S155">
        <f>VLOOKUP(Table4[[#This Row],[Shortname]], Comp[], 18, FALSE)</f>
        <v>0</v>
      </c>
      <c r="T155">
        <f>VLOOKUP(Table4[[#This Row],[Shortname]], Comp[], 19, FALSE)</f>
        <v>0.04</v>
      </c>
      <c r="U155">
        <f>VLOOKUP(Table4[[#This Row],[Shortname]], Comp[], 20, FALSE)</f>
        <v>0</v>
      </c>
      <c r="V155">
        <f>VLOOKUP(Table4[[#This Row],[Shortname]], Comp[], 21, FALSE)</f>
        <v>0</v>
      </c>
      <c r="W155">
        <f>VLOOKUP(Table4[[#This Row],[Shortname]], Comp[], 22, FALSE)</f>
        <v>0</v>
      </c>
      <c r="X155">
        <f>VLOOKUP(Table4[[#This Row],[Shortname]], Comp[], 23, FALSE)</f>
        <v>0</v>
      </c>
      <c r="Y155">
        <f>VLOOKUP(Table4[[#This Row],[Shortname]], Comp[], 24, FALSE)</f>
        <v>0</v>
      </c>
      <c r="Z155">
        <f>VLOOKUP(Table4[[#This Row],[Shortname]], Comp[], 25, FALSE)</f>
        <v>0</v>
      </c>
      <c r="AA155">
        <f>VLOOKUP(Table4[[#This Row],[Shortname]], Comp[], 26, FALSE)</f>
        <v>0</v>
      </c>
      <c r="AB155">
        <f>VLOOKUP(Table4[[#This Row],[Shortname]], Comp[], 27, FALSE)</f>
        <v>0</v>
      </c>
      <c r="AC155">
        <f>VLOOKUP(Table4[[#This Row],[Shortname]], Comp[], 28, FALSE)</f>
        <v>0</v>
      </c>
      <c r="AD155">
        <f>VLOOKUP(Table4[[#This Row],[Shortname]], Comp[], 29, FALSE)</f>
        <v>0</v>
      </c>
      <c r="AE155">
        <f>VLOOKUP(Table4[[#This Row],[Shortname]], Comp[], 30, FALSE)</f>
        <v>0</v>
      </c>
      <c r="AF155">
        <f>VLOOKUP(Table4[[#This Row],[Shortname]], Comp[], 31, FALSE)</f>
        <v>0</v>
      </c>
    </row>
    <row r="156" spans="1:32" x14ac:dyDescent="0.3">
      <c r="A156" s="7" t="s">
        <v>3054</v>
      </c>
      <c r="B156" s="7" t="s">
        <v>3056</v>
      </c>
      <c r="C156" s="11" t="s">
        <v>6736</v>
      </c>
      <c r="D156">
        <v>25</v>
      </c>
      <c r="E156">
        <v>850</v>
      </c>
      <c r="F156">
        <v>402.77352911185892</v>
      </c>
      <c r="G156">
        <f>VLOOKUP(Table4[[#This Row],[Shortname]], Comp[], 6, FALSE)</f>
        <v>421</v>
      </c>
      <c r="H156" s="14">
        <f>VLOOKUP(Table4[[#This Row],[Shortname]], Comp[], 7, FALSE)</f>
        <v>72.960000000000008</v>
      </c>
      <c r="I156">
        <f>VLOOKUP(Table4[[#This Row],[Shortname]], Comp[], 8, FALSE)</f>
        <v>10</v>
      </c>
      <c r="J156">
        <f>VLOOKUP(Table4[[#This Row],[Shortname]], Comp[], 9, FALSE)</f>
        <v>5</v>
      </c>
      <c r="K156">
        <f>VLOOKUP(Table4[[#This Row],[Shortname]], Comp[], 10, FALSE)</f>
        <v>4</v>
      </c>
      <c r="L156">
        <f>VLOOKUP(Table4[[#This Row],[Shortname]], Comp[], 11, FALSE)</f>
        <v>0</v>
      </c>
      <c r="M156">
        <f>VLOOKUP(Table4[[#This Row],[Shortname]], Comp[],12, FALSE)</f>
        <v>2</v>
      </c>
      <c r="N156">
        <f>VLOOKUP(Table4[[#This Row],[Shortname]], Comp[], 13, FALSE)</f>
        <v>3</v>
      </c>
      <c r="O156">
        <f>VLOOKUP(Table4[[#This Row],[Shortname]], Comp[], 14, FALSE)</f>
        <v>0</v>
      </c>
      <c r="P156">
        <f>VLOOKUP(Table4[[#This Row],[Shortname]], Comp[], 15, FALSE)</f>
        <v>3</v>
      </c>
      <c r="Q156">
        <f>VLOOKUP(Table4[[#This Row],[Shortname]], Comp[], 16, FALSE)</f>
        <v>0</v>
      </c>
      <c r="R156">
        <f>VLOOKUP(Table4[[#This Row],[Shortname]], Comp[], 17, FALSE)</f>
        <v>0</v>
      </c>
      <c r="S156">
        <f>VLOOKUP(Table4[[#This Row],[Shortname]], Comp[], 18, FALSE)</f>
        <v>0</v>
      </c>
      <c r="T156">
        <f>VLOOKUP(Table4[[#This Row],[Shortname]], Comp[], 19, FALSE)</f>
        <v>0.04</v>
      </c>
      <c r="U156">
        <f>VLOOKUP(Table4[[#This Row],[Shortname]], Comp[], 20, FALSE)</f>
        <v>0</v>
      </c>
      <c r="V156">
        <f>VLOOKUP(Table4[[#This Row],[Shortname]], Comp[], 21, FALSE)</f>
        <v>0</v>
      </c>
      <c r="W156">
        <f>VLOOKUP(Table4[[#This Row],[Shortname]], Comp[], 22, FALSE)</f>
        <v>0</v>
      </c>
      <c r="X156">
        <f>VLOOKUP(Table4[[#This Row],[Shortname]], Comp[], 23, FALSE)</f>
        <v>0</v>
      </c>
      <c r="Y156">
        <f>VLOOKUP(Table4[[#This Row],[Shortname]], Comp[], 24, FALSE)</f>
        <v>0</v>
      </c>
      <c r="Z156">
        <f>VLOOKUP(Table4[[#This Row],[Shortname]], Comp[], 25, FALSE)</f>
        <v>0</v>
      </c>
      <c r="AA156">
        <f>VLOOKUP(Table4[[#This Row],[Shortname]], Comp[], 26, FALSE)</f>
        <v>0</v>
      </c>
      <c r="AB156">
        <f>VLOOKUP(Table4[[#This Row],[Shortname]], Comp[], 27, FALSE)</f>
        <v>0</v>
      </c>
      <c r="AC156">
        <f>VLOOKUP(Table4[[#This Row],[Shortname]], Comp[], 28, FALSE)</f>
        <v>0</v>
      </c>
      <c r="AD156">
        <f>VLOOKUP(Table4[[#This Row],[Shortname]], Comp[], 29, FALSE)</f>
        <v>0</v>
      </c>
      <c r="AE156">
        <f>VLOOKUP(Table4[[#This Row],[Shortname]], Comp[], 30, FALSE)</f>
        <v>0</v>
      </c>
      <c r="AF156">
        <f>VLOOKUP(Table4[[#This Row],[Shortname]], Comp[], 31, FALSE)</f>
        <v>0</v>
      </c>
    </row>
    <row r="157" spans="1:32" x14ac:dyDescent="0.3">
      <c r="A157" s="7" t="s">
        <v>3047</v>
      </c>
      <c r="B157" s="7" t="s">
        <v>3049</v>
      </c>
      <c r="C157" s="11" t="s">
        <v>6736</v>
      </c>
      <c r="D157">
        <v>25</v>
      </c>
      <c r="E157">
        <v>850</v>
      </c>
      <c r="F157">
        <v>398.69480982971351</v>
      </c>
      <c r="G157">
        <f>VLOOKUP(Table4[[#This Row],[Shortname]], Comp[], 6, FALSE)</f>
        <v>420</v>
      </c>
      <c r="H157" s="14">
        <f>VLOOKUP(Table4[[#This Row],[Shortname]], Comp[], 7, FALSE)</f>
        <v>76.960000000000008</v>
      </c>
      <c r="I157">
        <f>VLOOKUP(Table4[[#This Row],[Shortname]], Comp[], 8, FALSE)</f>
        <v>10</v>
      </c>
      <c r="J157">
        <f>VLOOKUP(Table4[[#This Row],[Shortname]], Comp[], 9, FALSE)</f>
        <v>5</v>
      </c>
      <c r="K157">
        <f>VLOOKUP(Table4[[#This Row],[Shortname]], Comp[], 10, FALSE)</f>
        <v>0</v>
      </c>
      <c r="L157">
        <f>VLOOKUP(Table4[[#This Row],[Shortname]], Comp[], 11, FALSE)</f>
        <v>0</v>
      </c>
      <c r="M157">
        <f>VLOOKUP(Table4[[#This Row],[Shortname]], Comp[],12, FALSE)</f>
        <v>2</v>
      </c>
      <c r="N157">
        <f>VLOOKUP(Table4[[#This Row],[Shortname]], Comp[], 13, FALSE)</f>
        <v>3</v>
      </c>
      <c r="O157">
        <f>VLOOKUP(Table4[[#This Row],[Shortname]], Comp[], 14, FALSE)</f>
        <v>0</v>
      </c>
      <c r="P157">
        <f>VLOOKUP(Table4[[#This Row],[Shortname]], Comp[], 15, FALSE)</f>
        <v>3</v>
      </c>
      <c r="Q157">
        <f>VLOOKUP(Table4[[#This Row],[Shortname]], Comp[], 16, FALSE)</f>
        <v>0</v>
      </c>
      <c r="R157">
        <f>VLOOKUP(Table4[[#This Row],[Shortname]], Comp[], 17, FALSE)</f>
        <v>0</v>
      </c>
      <c r="S157">
        <f>VLOOKUP(Table4[[#This Row],[Shortname]], Comp[], 18, FALSE)</f>
        <v>0</v>
      </c>
      <c r="T157">
        <f>VLOOKUP(Table4[[#This Row],[Shortname]], Comp[], 19, FALSE)</f>
        <v>0.04</v>
      </c>
      <c r="U157">
        <f>VLOOKUP(Table4[[#This Row],[Shortname]], Comp[], 20, FALSE)</f>
        <v>0</v>
      </c>
      <c r="V157">
        <f>VLOOKUP(Table4[[#This Row],[Shortname]], Comp[], 21, FALSE)</f>
        <v>0</v>
      </c>
      <c r="W157">
        <f>VLOOKUP(Table4[[#This Row],[Shortname]], Comp[], 22, FALSE)</f>
        <v>0</v>
      </c>
      <c r="X157">
        <f>VLOOKUP(Table4[[#This Row],[Shortname]], Comp[], 23, FALSE)</f>
        <v>0</v>
      </c>
      <c r="Y157">
        <f>VLOOKUP(Table4[[#This Row],[Shortname]], Comp[], 24, FALSE)</f>
        <v>0</v>
      </c>
      <c r="Z157">
        <f>VLOOKUP(Table4[[#This Row],[Shortname]], Comp[], 25, FALSE)</f>
        <v>0</v>
      </c>
      <c r="AA157">
        <f>VLOOKUP(Table4[[#This Row],[Shortname]], Comp[], 26, FALSE)</f>
        <v>0</v>
      </c>
      <c r="AB157">
        <f>VLOOKUP(Table4[[#This Row],[Shortname]], Comp[], 27, FALSE)</f>
        <v>0</v>
      </c>
      <c r="AC157">
        <f>VLOOKUP(Table4[[#This Row],[Shortname]], Comp[], 28, FALSE)</f>
        <v>0</v>
      </c>
      <c r="AD157">
        <f>VLOOKUP(Table4[[#This Row],[Shortname]], Comp[], 29, FALSE)</f>
        <v>0</v>
      </c>
      <c r="AE157">
        <f>VLOOKUP(Table4[[#This Row],[Shortname]], Comp[], 30, FALSE)</f>
        <v>0</v>
      </c>
      <c r="AF157">
        <f>VLOOKUP(Table4[[#This Row],[Shortname]], Comp[], 31, FALSE)</f>
        <v>0</v>
      </c>
    </row>
    <row r="158" spans="1:32" x14ac:dyDescent="0.3">
      <c r="A158" s="7" t="s">
        <v>1767</v>
      </c>
      <c r="B158" s="7" t="s">
        <v>3110</v>
      </c>
      <c r="C158" s="3" t="s">
        <v>3108</v>
      </c>
      <c r="D158">
        <v>25</v>
      </c>
      <c r="E158">
        <v>950</v>
      </c>
      <c r="F158">
        <v>414</v>
      </c>
      <c r="G158">
        <f>VLOOKUP(Table4[[#This Row],[Shortname]], Comp[], 6, FALSE)</f>
        <v>227</v>
      </c>
      <c r="H158" s="14">
        <f>VLOOKUP(Table4[[#This Row],[Shortname]], Comp[], 7, FALSE)</f>
        <v>85.3</v>
      </c>
      <c r="I158">
        <f>VLOOKUP(Table4[[#This Row],[Shortname]], Comp[], 8, FALSE)</f>
        <v>0</v>
      </c>
      <c r="J158">
        <f>VLOOKUP(Table4[[#This Row],[Shortname]], Comp[], 9, FALSE)</f>
        <v>7.9</v>
      </c>
      <c r="K158">
        <f>VLOOKUP(Table4[[#This Row],[Shortname]], Comp[], 10, FALSE)</f>
        <v>0</v>
      </c>
      <c r="L158">
        <f>VLOOKUP(Table4[[#This Row],[Shortname]], Comp[], 11, FALSE)</f>
        <v>6.8</v>
      </c>
      <c r="M158">
        <f>VLOOKUP(Table4[[#This Row],[Shortname]], Comp[],12, FALSE)</f>
        <v>0</v>
      </c>
      <c r="N158">
        <f>VLOOKUP(Table4[[#This Row],[Shortname]], Comp[], 13, FALSE)</f>
        <v>0</v>
      </c>
      <c r="O158">
        <f>VLOOKUP(Table4[[#This Row],[Shortname]], Comp[], 14, FALSE)</f>
        <v>0</v>
      </c>
      <c r="P158">
        <f>VLOOKUP(Table4[[#This Row],[Shortname]], Comp[], 15, FALSE)</f>
        <v>0</v>
      </c>
      <c r="Q158">
        <f>VLOOKUP(Table4[[#This Row],[Shortname]], Comp[], 16, FALSE)</f>
        <v>0</v>
      </c>
      <c r="R158">
        <f>VLOOKUP(Table4[[#This Row],[Shortname]], Comp[], 17, FALSE)</f>
        <v>0</v>
      </c>
      <c r="S158">
        <f>VLOOKUP(Table4[[#This Row],[Shortname]], Comp[], 18, FALSE)</f>
        <v>0</v>
      </c>
      <c r="T158">
        <f>VLOOKUP(Table4[[#This Row],[Shortname]], Comp[], 19, FALSE)</f>
        <v>0</v>
      </c>
      <c r="U158">
        <f>VLOOKUP(Table4[[#This Row],[Shortname]], Comp[], 20, FALSE)</f>
        <v>0</v>
      </c>
      <c r="V158">
        <f>VLOOKUP(Table4[[#This Row],[Shortname]], Comp[], 21, FALSE)</f>
        <v>0</v>
      </c>
      <c r="W158">
        <f>VLOOKUP(Table4[[#This Row],[Shortname]], Comp[], 22, FALSE)</f>
        <v>0</v>
      </c>
      <c r="X158">
        <f>VLOOKUP(Table4[[#This Row],[Shortname]], Comp[], 23, FALSE)</f>
        <v>0</v>
      </c>
      <c r="Y158">
        <f>VLOOKUP(Table4[[#This Row],[Shortname]], Comp[], 24, FALSE)</f>
        <v>0</v>
      </c>
      <c r="Z158">
        <f>VLOOKUP(Table4[[#This Row],[Shortname]], Comp[], 25, FALSE)</f>
        <v>0</v>
      </c>
      <c r="AA158">
        <f>VLOOKUP(Table4[[#This Row],[Shortname]], Comp[], 26, FALSE)</f>
        <v>0</v>
      </c>
      <c r="AB158">
        <f>VLOOKUP(Table4[[#This Row],[Shortname]], Comp[], 27, FALSE)</f>
        <v>0</v>
      </c>
      <c r="AC158">
        <f>VLOOKUP(Table4[[#This Row],[Shortname]], Comp[], 28, FALSE)</f>
        <v>0</v>
      </c>
      <c r="AD158">
        <f>VLOOKUP(Table4[[#This Row],[Shortname]], Comp[], 29, FALSE)</f>
        <v>0</v>
      </c>
      <c r="AE158">
        <f>VLOOKUP(Table4[[#This Row],[Shortname]], Comp[], 30, FALSE)</f>
        <v>0</v>
      </c>
      <c r="AF158">
        <f>VLOOKUP(Table4[[#This Row],[Shortname]], Comp[], 31, FALSE)</f>
        <v>0</v>
      </c>
    </row>
    <row r="159" spans="1:32" x14ac:dyDescent="0.3">
      <c r="A159" s="7" t="s">
        <v>1777</v>
      </c>
      <c r="B159" s="7" t="s">
        <v>3114</v>
      </c>
      <c r="C159" s="3" t="s">
        <v>3108</v>
      </c>
      <c r="D159">
        <v>25</v>
      </c>
      <c r="E159">
        <v>950</v>
      </c>
      <c r="F159">
        <v>413</v>
      </c>
      <c r="G159">
        <f>VLOOKUP(Table4[[#This Row],[Shortname]], Comp[], 6, FALSE)</f>
        <v>229</v>
      </c>
      <c r="H159" s="14">
        <f>VLOOKUP(Table4[[#This Row],[Shortname]], Comp[], 7, FALSE)</f>
        <v>81.3</v>
      </c>
      <c r="I159">
        <f>VLOOKUP(Table4[[#This Row],[Shortname]], Comp[], 8, FALSE)</f>
        <v>0</v>
      </c>
      <c r="J159">
        <f>VLOOKUP(Table4[[#This Row],[Shortname]], Comp[], 9, FALSE)</f>
        <v>8.6999999999999993</v>
      </c>
      <c r="K159">
        <f>VLOOKUP(Table4[[#This Row],[Shortname]], Comp[], 10, FALSE)</f>
        <v>0</v>
      </c>
      <c r="L159">
        <f>VLOOKUP(Table4[[#This Row],[Shortname]], Comp[], 11, FALSE)</f>
        <v>10</v>
      </c>
      <c r="M159">
        <f>VLOOKUP(Table4[[#This Row],[Shortname]], Comp[],12, FALSE)</f>
        <v>0</v>
      </c>
      <c r="N159">
        <f>VLOOKUP(Table4[[#This Row],[Shortname]], Comp[], 13, FALSE)</f>
        <v>0</v>
      </c>
      <c r="O159">
        <f>VLOOKUP(Table4[[#This Row],[Shortname]], Comp[], 14, FALSE)</f>
        <v>0</v>
      </c>
      <c r="P159">
        <f>VLOOKUP(Table4[[#This Row],[Shortname]], Comp[], 15, FALSE)</f>
        <v>0</v>
      </c>
      <c r="Q159">
        <f>VLOOKUP(Table4[[#This Row],[Shortname]], Comp[], 16, FALSE)</f>
        <v>0</v>
      </c>
      <c r="R159">
        <f>VLOOKUP(Table4[[#This Row],[Shortname]], Comp[], 17, FALSE)</f>
        <v>0</v>
      </c>
      <c r="S159">
        <f>VLOOKUP(Table4[[#This Row],[Shortname]], Comp[], 18, FALSE)</f>
        <v>0</v>
      </c>
      <c r="T159">
        <f>VLOOKUP(Table4[[#This Row],[Shortname]], Comp[], 19, FALSE)</f>
        <v>0</v>
      </c>
      <c r="U159">
        <f>VLOOKUP(Table4[[#This Row],[Shortname]], Comp[], 20, FALSE)</f>
        <v>0</v>
      </c>
      <c r="V159">
        <f>VLOOKUP(Table4[[#This Row],[Shortname]], Comp[], 21, FALSE)</f>
        <v>0</v>
      </c>
      <c r="W159">
        <f>VLOOKUP(Table4[[#This Row],[Shortname]], Comp[], 22, FALSE)</f>
        <v>0</v>
      </c>
      <c r="X159">
        <f>VLOOKUP(Table4[[#This Row],[Shortname]], Comp[], 23, FALSE)</f>
        <v>0</v>
      </c>
      <c r="Y159">
        <f>VLOOKUP(Table4[[#This Row],[Shortname]], Comp[], 24, FALSE)</f>
        <v>0</v>
      </c>
      <c r="Z159">
        <f>VLOOKUP(Table4[[#This Row],[Shortname]], Comp[], 25, FALSE)</f>
        <v>0</v>
      </c>
      <c r="AA159">
        <f>VLOOKUP(Table4[[#This Row],[Shortname]], Comp[], 26, FALSE)</f>
        <v>0</v>
      </c>
      <c r="AB159">
        <f>VLOOKUP(Table4[[#This Row],[Shortname]], Comp[], 27, FALSE)</f>
        <v>0</v>
      </c>
      <c r="AC159">
        <f>VLOOKUP(Table4[[#This Row],[Shortname]], Comp[], 28, FALSE)</f>
        <v>0</v>
      </c>
      <c r="AD159">
        <f>VLOOKUP(Table4[[#This Row],[Shortname]], Comp[], 29, FALSE)</f>
        <v>0</v>
      </c>
      <c r="AE159">
        <f>VLOOKUP(Table4[[#This Row],[Shortname]], Comp[], 30, FALSE)</f>
        <v>0</v>
      </c>
      <c r="AF159">
        <f>VLOOKUP(Table4[[#This Row],[Shortname]], Comp[], 31, FALSE)</f>
        <v>0</v>
      </c>
    </row>
    <row r="160" spans="1:32" x14ac:dyDescent="0.3">
      <c r="A160" s="7" t="s">
        <v>1773</v>
      </c>
      <c r="B160" s="7" t="s">
        <v>3112</v>
      </c>
      <c r="C160" s="3" t="s">
        <v>3108</v>
      </c>
      <c r="D160">
        <v>25</v>
      </c>
      <c r="E160">
        <v>950</v>
      </c>
      <c r="F160">
        <v>400</v>
      </c>
      <c r="G160">
        <f>VLOOKUP(Table4[[#This Row],[Shortname]], Comp[], 6, FALSE)</f>
        <v>228</v>
      </c>
      <c r="H160" s="14">
        <f>VLOOKUP(Table4[[#This Row],[Shortname]], Comp[], 7, FALSE)</f>
        <v>83.3</v>
      </c>
      <c r="I160">
        <f>VLOOKUP(Table4[[#This Row],[Shortname]], Comp[], 8, FALSE)</f>
        <v>0</v>
      </c>
      <c r="J160">
        <f>VLOOKUP(Table4[[#This Row],[Shortname]], Comp[], 9, FALSE)</f>
        <v>8.1999999999999993</v>
      </c>
      <c r="K160">
        <f>VLOOKUP(Table4[[#This Row],[Shortname]], Comp[], 10, FALSE)</f>
        <v>0</v>
      </c>
      <c r="L160">
        <f>VLOOKUP(Table4[[#This Row],[Shortname]], Comp[], 11, FALSE)</f>
        <v>8.5</v>
      </c>
      <c r="M160">
        <f>VLOOKUP(Table4[[#This Row],[Shortname]], Comp[],12, FALSE)</f>
        <v>0</v>
      </c>
      <c r="N160">
        <f>VLOOKUP(Table4[[#This Row],[Shortname]], Comp[], 13, FALSE)</f>
        <v>0</v>
      </c>
      <c r="O160">
        <f>VLOOKUP(Table4[[#This Row],[Shortname]], Comp[], 14, FALSE)</f>
        <v>0</v>
      </c>
      <c r="P160">
        <f>VLOOKUP(Table4[[#This Row],[Shortname]], Comp[], 15, FALSE)</f>
        <v>0</v>
      </c>
      <c r="Q160">
        <f>VLOOKUP(Table4[[#This Row],[Shortname]], Comp[], 16, FALSE)</f>
        <v>0</v>
      </c>
      <c r="R160">
        <f>VLOOKUP(Table4[[#This Row],[Shortname]], Comp[], 17, FALSE)</f>
        <v>0</v>
      </c>
      <c r="S160">
        <f>VLOOKUP(Table4[[#This Row],[Shortname]], Comp[], 18, FALSE)</f>
        <v>0</v>
      </c>
      <c r="T160">
        <f>VLOOKUP(Table4[[#This Row],[Shortname]], Comp[], 19, FALSE)</f>
        <v>0</v>
      </c>
      <c r="U160">
        <f>VLOOKUP(Table4[[#This Row],[Shortname]], Comp[], 20, FALSE)</f>
        <v>0</v>
      </c>
      <c r="V160">
        <f>VLOOKUP(Table4[[#This Row],[Shortname]], Comp[], 21, FALSE)</f>
        <v>0</v>
      </c>
      <c r="W160">
        <f>VLOOKUP(Table4[[#This Row],[Shortname]], Comp[], 22, FALSE)</f>
        <v>0</v>
      </c>
      <c r="X160">
        <f>VLOOKUP(Table4[[#This Row],[Shortname]], Comp[], 23, FALSE)</f>
        <v>0</v>
      </c>
      <c r="Y160">
        <f>VLOOKUP(Table4[[#This Row],[Shortname]], Comp[], 24, FALSE)</f>
        <v>0</v>
      </c>
      <c r="Z160">
        <f>VLOOKUP(Table4[[#This Row],[Shortname]], Comp[], 25, FALSE)</f>
        <v>0</v>
      </c>
      <c r="AA160">
        <f>VLOOKUP(Table4[[#This Row],[Shortname]], Comp[], 26, FALSE)</f>
        <v>0</v>
      </c>
      <c r="AB160">
        <f>VLOOKUP(Table4[[#This Row],[Shortname]], Comp[], 27, FALSE)</f>
        <v>0</v>
      </c>
      <c r="AC160">
        <f>VLOOKUP(Table4[[#This Row],[Shortname]], Comp[], 28, FALSE)</f>
        <v>0</v>
      </c>
      <c r="AD160">
        <f>VLOOKUP(Table4[[#This Row],[Shortname]], Comp[], 29, FALSE)</f>
        <v>0</v>
      </c>
      <c r="AE160">
        <f>VLOOKUP(Table4[[#This Row],[Shortname]], Comp[], 30, FALSE)</f>
        <v>0</v>
      </c>
      <c r="AF160">
        <f>VLOOKUP(Table4[[#This Row],[Shortname]], Comp[], 31, FALSE)</f>
        <v>0</v>
      </c>
    </row>
    <row r="161" spans="1:32" x14ac:dyDescent="0.3">
      <c r="A161" s="7" t="s">
        <v>1759</v>
      </c>
      <c r="B161" s="7" t="s">
        <v>3107</v>
      </c>
      <c r="C161" s="3" t="s">
        <v>3108</v>
      </c>
      <c r="D161">
        <v>25</v>
      </c>
      <c r="E161">
        <v>950</v>
      </c>
      <c r="F161">
        <v>290</v>
      </c>
      <c r="G161">
        <f>VLOOKUP(Table4[[#This Row],[Shortname]], Comp[], 6, FALSE)</f>
        <v>226</v>
      </c>
      <c r="H161" s="14">
        <f>VLOOKUP(Table4[[#This Row],[Shortname]], Comp[], 7, FALSE)</f>
        <v>86.4</v>
      </c>
      <c r="I161">
        <f>VLOOKUP(Table4[[#This Row],[Shortname]], Comp[], 8, FALSE)</f>
        <v>0</v>
      </c>
      <c r="J161">
        <f>VLOOKUP(Table4[[#This Row],[Shortname]], Comp[], 9, FALSE)</f>
        <v>9</v>
      </c>
      <c r="K161">
        <f>VLOOKUP(Table4[[#This Row],[Shortname]], Comp[], 10, FALSE)</f>
        <v>0</v>
      </c>
      <c r="L161">
        <f>VLOOKUP(Table4[[#This Row],[Shortname]], Comp[], 11, FALSE)</f>
        <v>4.5999999999999996</v>
      </c>
      <c r="M161">
        <f>VLOOKUP(Table4[[#This Row],[Shortname]], Comp[],12, FALSE)</f>
        <v>0</v>
      </c>
      <c r="N161">
        <f>VLOOKUP(Table4[[#This Row],[Shortname]], Comp[], 13, FALSE)</f>
        <v>0</v>
      </c>
      <c r="O161">
        <f>VLOOKUP(Table4[[#This Row],[Shortname]], Comp[], 14, FALSE)</f>
        <v>0</v>
      </c>
      <c r="P161">
        <f>VLOOKUP(Table4[[#This Row],[Shortname]], Comp[], 15, FALSE)</f>
        <v>0</v>
      </c>
      <c r="Q161">
        <f>VLOOKUP(Table4[[#This Row],[Shortname]], Comp[], 16, FALSE)</f>
        <v>0</v>
      </c>
      <c r="R161">
        <f>VLOOKUP(Table4[[#This Row],[Shortname]], Comp[], 17, FALSE)</f>
        <v>0</v>
      </c>
      <c r="S161">
        <f>VLOOKUP(Table4[[#This Row],[Shortname]], Comp[], 18, FALSE)</f>
        <v>0</v>
      </c>
      <c r="T161">
        <f>VLOOKUP(Table4[[#This Row],[Shortname]], Comp[], 19, FALSE)</f>
        <v>0</v>
      </c>
      <c r="U161">
        <f>VLOOKUP(Table4[[#This Row],[Shortname]], Comp[], 20, FALSE)</f>
        <v>0</v>
      </c>
      <c r="V161">
        <f>VLOOKUP(Table4[[#This Row],[Shortname]], Comp[], 21, FALSE)</f>
        <v>0</v>
      </c>
      <c r="W161">
        <f>VLOOKUP(Table4[[#This Row],[Shortname]], Comp[], 22, FALSE)</f>
        <v>0</v>
      </c>
      <c r="X161">
        <f>VLOOKUP(Table4[[#This Row],[Shortname]], Comp[], 23, FALSE)</f>
        <v>0</v>
      </c>
      <c r="Y161">
        <f>VLOOKUP(Table4[[#This Row],[Shortname]], Comp[], 24, FALSE)</f>
        <v>0</v>
      </c>
      <c r="Z161">
        <f>VLOOKUP(Table4[[#This Row],[Shortname]], Comp[], 25, FALSE)</f>
        <v>0</v>
      </c>
      <c r="AA161">
        <f>VLOOKUP(Table4[[#This Row],[Shortname]], Comp[], 26, FALSE)</f>
        <v>0</v>
      </c>
      <c r="AB161">
        <f>VLOOKUP(Table4[[#This Row],[Shortname]], Comp[], 27, FALSE)</f>
        <v>0</v>
      </c>
      <c r="AC161">
        <f>VLOOKUP(Table4[[#This Row],[Shortname]], Comp[], 28, FALSE)</f>
        <v>0</v>
      </c>
      <c r="AD161">
        <f>VLOOKUP(Table4[[#This Row],[Shortname]], Comp[], 29, FALSE)</f>
        <v>0</v>
      </c>
      <c r="AE161">
        <f>VLOOKUP(Table4[[#This Row],[Shortname]], Comp[], 30, FALSE)</f>
        <v>0</v>
      </c>
      <c r="AF161">
        <f>VLOOKUP(Table4[[#This Row],[Shortname]], Comp[], 31, FALSE)</f>
        <v>0</v>
      </c>
    </row>
    <row r="162" spans="1:32" x14ac:dyDescent="0.3">
      <c r="A162" s="7" t="s">
        <v>2989</v>
      </c>
      <c r="B162" s="7" t="s">
        <v>3118</v>
      </c>
      <c r="C162" t="s">
        <v>6738</v>
      </c>
      <c r="D162">
        <v>25</v>
      </c>
      <c r="E162">
        <v>800</v>
      </c>
      <c r="F162">
        <v>497</v>
      </c>
      <c r="G162">
        <f>VLOOKUP(Table4[[#This Row],[Shortname]], Comp[], 6, FALSE)</f>
        <v>411</v>
      </c>
      <c r="H162" s="14">
        <f>VLOOKUP(Table4[[#This Row],[Shortname]], Comp[], 7, FALSE)</f>
        <v>84</v>
      </c>
      <c r="I162">
        <f>VLOOKUP(Table4[[#This Row],[Shortname]], Comp[], 8, FALSE)</f>
        <v>0</v>
      </c>
      <c r="J162">
        <f>VLOOKUP(Table4[[#This Row],[Shortname]], Comp[], 9, FALSE)</f>
        <v>0</v>
      </c>
      <c r="K162">
        <f>VLOOKUP(Table4[[#This Row],[Shortname]], Comp[], 10, FALSE)</f>
        <v>0</v>
      </c>
      <c r="L162">
        <f>VLOOKUP(Table4[[#This Row],[Shortname]], Comp[], 11, FALSE)</f>
        <v>0</v>
      </c>
      <c r="M162">
        <f>VLOOKUP(Table4[[#This Row],[Shortname]], Comp[],12, FALSE)</f>
        <v>2</v>
      </c>
      <c r="N162">
        <f>VLOOKUP(Table4[[#This Row],[Shortname]], Comp[], 13, FALSE)</f>
        <v>2</v>
      </c>
      <c r="O162">
        <f>VLOOKUP(Table4[[#This Row],[Shortname]], Comp[], 14, FALSE)</f>
        <v>0</v>
      </c>
      <c r="P162">
        <f>VLOOKUP(Table4[[#This Row],[Shortname]], Comp[], 15, FALSE)</f>
        <v>12</v>
      </c>
      <c r="Q162">
        <f>VLOOKUP(Table4[[#This Row],[Shortname]], Comp[], 16, FALSE)</f>
        <v>0</v>
      </c>
      <c r="R162">
        <f>VLOOKUP(Table4[[#This Row],[Shortname]], Comp[], 17, FALSE)</f>
        <v>0</v>
      </c>
      <c r="S162">
        <f>VLOOKUP(Table4[[#This Row],[Shortname]], Comp[], 18, FALSE)</f>
        <v>0</v>
      </c>
      <c r="T162">
        <f>VLOOKUP(Table4[[#This Row],[Shortname]], Comp[], 19, FALSE)</f>
        <v>0</v>
      </c>
      <c r="U162">
        <f>VLOOKUP(Table4[[#This Row],[Shortname]], Comp[], 20, FALSE)</f>
        <v>0</v>
      </c>
      <c r="V162">
        <f>VLOOKUP(Table4[[#This Row],[Shortname]], Comp[], 21, FALSE)</f>
        <v>0</v>
      </c>
      <c r="W162">
        <f>VLOOKUP(Table4[[#This Row],[Shortname]], Comp[], 22, FALSE)</f>
        <v>0</v>
      </c>
      <c r="X162">
        <f>VLOOKUP(Table4[[#This Row],[Shortname]], Comp[], 23, FALSE)</f>
        <v>0</v>
      </c>
      <c r="Y162">
        <f>VLOOKUP(Table4[[#This Row],[Shortname]], Comp[], 24, FALSE)</f>
        <v>0</v>
      </c>
      <c r="Z162">
        <f>VLOOKUP(Table4[[#This Row],[Shortname]], Comp[], 25, FALSE)</f>
        <v>0</v>
      </c>
      <c r="AA162">
        <f>VLOOKUP(Table4[[#This Row],[Shortname]], Comp[], 26, FALSE)</f>
        <v>0</v>
      </c>
      <c r="AB162">
        <f>VLOOKUP(Table4[[#This Row],[Shortname]], Comp[], 27, FALSE)</f>
        <v>0</v>
      </c>
      <c r="AC162">
        <f>VLOOKUP(Table4[[#This Row],[Shortname]], Comp[], 28, FALSE)</f>
        <v>0</v>
      </c>
      <c r="AD162">
        <f>VLOOKUP(Table4[[#This Row],[Shortname]], Comp[], 29, FALSE)</f>
        <v>0</v>
      </c>
      <c r="AE162">
        <f>VLOOKUP(Table4[[#This Row],[Shortname]], Comp[], 30, FALSE)</f>
        <v>0</v>
      </c>
      <c r="AF162">
        <f>VLOOKUP(Table4[[#This Row],[Shortname]], Comp[], 31, FALSE)</f>
        <v>0</v>
      </c>
    </row>
    <row r="163" spans="1:32" x14ac:dyDescent="0.3">
      <c r="A163" s="7" t="s">
        <v>3132</v>
      </c>
      <c r="B163" s="7" t="s">
        <v>3134</v>
      </c>
      <c r="C163" t="s">
        <v>6738</v>
      </c>
      <c r="D163">
        <v>25</v>
      </c>
      <c r="E163">
        <v>800</v>
      </c>
      <c r="F163">
        <v>467</v>
      </c>
      <c r="G163">
        <f>VLOOKUP(Table4[[#This Row],[Shortname]], Comp[], 6, FALSE)</f>
        <v>437</v>
      </c>
      <c r="H163" s="14">
        <f>VLOOKUP(Table4[[#This Row],[Shortname]], Comp[], 7, FALSE)</f>
        <v>86</v>
      </c>
      <c r="I163">
        <f>VLOOKUP(Table4[[#This Row],[Shortname]], Comp[], 8, FALSE)</f>
        <v>0</v>
      </c>
      <c r="J163">
        <f>VLOOKUP(Table4[[#This Row],[Shortname]], Comp[], 9, FALSE)</f>
        <v>0</v>
      </c>
      <c r="K163">
        <f>VLOOKUP(Table4[[#This Row],[Shortname]], Comp[], 10, FALSE)</f>
        <v>0</v>
      </c>
      <c r="L163">
        <f>VLOOKUP(Table4[[#This Row],[Shortname]], Comp[], 11, FALSE)</f>
        <v>0</v>
      </c>
      <c r="M163">
        <f>VLOOKUP(Table4[[#This Row],[Shortname]], Comp[],12, FALSE)</f>
        <v>0</v>
      </c>
      <c r="N163">
        <f>VLOOKUP(Table4[[#This Row],[Shortname]], Comp[], 13, FALSE)</f>
        <v>2</v>
      </c>
      <c r="O163">
        <f>VLOOKUP(Table4[[#This Row],[Shortname]], Comp[], 14, FALSE)</f>
        <v>0</v>
      </c>
      <c r="P163">
        <f>VLOOKUP(Table4[[#This Row],[Shortname]], Comp[], 15, FALSE)</f>
        <v>12</v>
      </c>
      <c r="Q163">
        <f>VLOOKUP(Table4[[#This Row],[Shortname]], Comp[], 16, FALSE)</f>
        <v>0</v>
      </c>
      <c r="R163">
        <f>VLOOKUP(Table4[[#This Row],[Shortname]], Comp[], 17, FALSE)</f>
        <v>0</v>
      </c>
      <c r="S163">
        <f>VLOOKUP(Table4[[#This Row],[Shortname]], Comp[], 18, FALSE)</f>
        <v>0</v>
      </c>
      <c r="T163">
        <f>VLOOKUP(Table4[[#This Row],[Shortname]], Comp[], 19, FALSE)</f>
        <v>0</v>
      </c>
      <c r="U163">
        <f>VLOOKUP(Table4[[#This Row],[Shortname]], Comp[], 20, FALSE)</f>
        <v>0</v>
      </c>
      <c r="V163">
        <f>VLOOKUP(Table4[[#This Row],[Shortname]], Comp[], 21, FALSE)</f>
        <v>0</v>
      </c>
      <c r="W163">
        <f>VLOOKUP(Table4[[#This Row],[Shortname]], Comp[], 22, FALSE)</f>
        <v>0</v>
      </c>
      <c r="X163">
        <f>VLOOKUP(Table4[[#This Row],[Shortname]], Comp[], 23, FALSE)</f>
        <v>0</v>
      </c>
      <c r="Y163">
        <f>VLOOKUP(Table4[[#This Row],[Shortname]], Comp[], 24, FALSE)</f>
        <v>0</v>
      </c>
      <c r="Z163">
        <f>VLOOKUP(Table4[[#This Row],[Shortname]], Comp[], 25, FALSE)</f>
        <v>0</v>
      </c>
      <c r="AA163">
        <f>VLOOKUP(Table4[[#This Row],[Shortname]], Comp[], 26, FALSE)</f>
        <v>0</v>
      </c>
      <c r="AB163">
        <f>VLOOKUP(Table4[[#This Row],[Shortname]], Comp[], 27, FALSE)</f>
        <v>0</v>
      </c>
      <c r="AC163">
        <f>VLOOKUP(Table4[[#This Row],[Shortname]], Comp[], 28, FALSE)</f>
        <v>0</v>
      </c>
      <c r="AD163">
        <f>VLOOKUP(Table4[[#This Row],[Shortname]], Comp[], 29, FALSE)</f>
        <v>0</v>
      </c>
      <c r="AE163">
        <f>VLOOKUP(Table4[[#This Row],[Shortname]], Comp[], 30, FALSE)</f>
        <v>0</v>
      </c>
      <c r="AF163">
        <f>VLOOKUP(Table4[[#This Row],[Shortname]], Comp[], 31, FALSE)</f>
        <v>0</v>
      </c>
    </row>
    <row r="164" spans="1:32" x14ac:dyDescent="0.3">
      <c r="A164" s="7" t="s">
        <v>3138</v>
      </c>
      <c r="B164" s="7" t="s">
        <v>3140</v>
      </c>
      <c r="C164" t="s">
        <v>6738</v>
      </c>
      <c r="D164">
        <v>25</v>
      </c>
      <c r="E164">
        <v>800</v>
      </c>
      <c r="F164">
        <v>442</v>
      </c>
      <c r="G164">
        <f>VLOOKUP(Table4[[#This Row],[Shortname]], Comp[], 6, FALSE)</f>
        <v>438</v>
      </c>
      <c r="H164" s="14">
        <f>VLOOKUP(Table4[[#This Row],[Shortname]], Comp[], 7, FALSE)</f>
        <v>84</v>
      </c>
      <c r="I164">
        <f>VLOOKUP(Table4[[#This Row],[Shortname]], Comp[], 8, FALSE)</f>
        <v>0</v>
      </c>
      <c r="J164">
        <f>VLOOKUP(Table4[[#This Row],[Shortname]], Comp[], 9, FALSE)</f>
        <v>2</v>
      </c>
      <c r="K164">
        <f>VLOOKUP(Table4[[#This Row],[Shortname]], Comp[], 10, FALSE)</f>
        <v>0</v>
      </c>
      <c r="L164">
        <f>VLOOKUP(Table4[[#This Row],[Shortname]], Comp[], 11, FALSE)</f>
        <v>0</v>
      </c>
      <c r="M164">
        <f>VLOOKUP(Table4[[#This Row],[Shortname]], Comp[],12, FALSE)</f>
        <v>0</v>
      </c>
      <c r="N164">
        <f>VLOOKUP(Table4[[#This Row],[Shortname]], Comp[], 13, FALSE)</f>
        <v>2</v>
      </c>
      <c r="O164">
        <f>VLOOKUP(Table4[[#This Row],[Shortname]], Comp[], 14, FALSE)</f>
        <v>0</v>
      </c>
      <c r="P164">
        <f>VLOOKUP(Table4[[#This Row],[Shortname]], Comp[], 15, FALSE)</f>
        <v>12</v>
      </c>
      <c r="Q164">
        <f>VLOOKUP(Table4[[#This Row],[Shortname]], Comp[], 16, FALSE)</f>
        <v>0</v>
      </c>
      <c r="R164">
        <f>VLOOKUP(Table4[[#This Row],[Shortname]], Comp[], 17, FALSE)</f>
        <v>0</v>
      </c>
      <c r="S164">
        <f>VLOOKUP(Table4[[#This Row],[Shortname]], Comp[], 18, FALSE)</f>
        <v>0</v>
      </c>
      <c r="T164">
        <f>VLOOKUP(Table4[[#This Row],[Shortname]], Comp[], 19, FALSE)</f>
        <v>0</v>
      </c>
      <c r="U164">
        <f>VLOOKUP(Table4[[#This Row],[Shortname]], Comp[], 20, FALSE)</f>
        <v>0</v>
      </c>
      <c r="V164">
        <f>VLOOKUP(Table4[[#This Row],[Shortname]], Comp[], 21, FALSE)</f>
        <v>0</v>
      </c>
      <c r="W164">
        <f>VLOOKUP(Table4[[#This Row],[Shortname]], Comp[], 22, FALSE)</f>
        <v>0</v>
      </c>
      <c r="X164">
        <f>VLOOKUP(Table4[[#This Row],[Shortname]], Comp[], 23, FALSE)</f>
        <v>0</v>
      </c>
      <c r="Y164">
        <f>VLOOKUP(Table4[[#This Row],[Shortname]], Comp[], 24, FALSE)</f>
        <v>0</v>
      </c>
      <c r="Z164">
        <f>VLOOKUP(Table4[[#This Row],[Shortname]], Comp[], 25, FALSE)</f>
        <v>0</v>
      </c>
      <c r="AA164">
        <f>VLOOKUP(Table4[[#This Row],[Shortname]], Comp[], 26, FALSE)</f>
        <v>0</v>
      </c>
      <c r="AB164">
        <f>VLOOKUP(Table4[[#This Row],[Shortname]], Comp[], 27, FALSE)</f>
        <v>0</v>
      </c>
      <c r="AC164">
        <f>VLOOKUP(Table4[[#This Row],[Shortname]], Comp[], 28, FALSE)</f>
        <v>0</v>
      </c>
      <c r="AD164">
        <f>VLOOKUP(Table4[[#This Row],[Shortname]], Comp[], 29, FALSE)</f>
        <v>0</v>
      </c>
      <c r="AE164">
        <f>VLOOKUP(Table4[[#This Row],[Shortname]], Comp[], 30, FALSE)</f>
        <v>0</v>
      </c>
      <c r="AF164">
        <f>VLOOKUP(Table4[[#This Row],[Shortname]], Comp[], 31, FALSE)</f>
        <v>0</v>
      </c>
    </row>
    <row r="165" spans="1:32" x14ac:dyDescent="0.3">
      <c r="A165" s="7" t="s">
        <v>1663</v>
      </c>
      <c r="B165" s="7" t="s">
        <v>5247</v>
      </c>
      <c r="C165" t="s">
        <v>6741</v>
      </c>
      <c r="D165">
        <v>25</v>
      </c>
      <c r="E165">
        <v>1300</v>
      </c>
      <c r="F165">
        <v>406</v>
      </c>
      <c r="G165">
        <f>VLOOKUP(Table4[[#This Row],[Shortname]], Comp[], 6, FALSE)</f>
        <v>212</v>
      </c>
      <c r="H165" s="14">
        <f>VLOOKUP(Table4[[#This Row],[Shortname]], Comp[], 7, FALSE)</f>
        <v>59.199999999999996</v>
      </c>
      <c r="I165">
        <f>VLOOKUP(Table4[[#This Row],[Shortname]], Comp[], 8, FALSE)</f>
        <v>20.399999999999999</v>
      </c>
      <c r="J165">
        <f>VLOOKUP(Table4[[#This Row],[Shortname]], Comp[], 9, FALSE)</f>
        <v>9.8000000000000007</v>
      </c>
      <c r="K165">
        <f>VLOOKUP(Table4[[#This Row],[Shortname]], Comp[], 10, FALSE)</f>
        <v>0</v>
      </c>
      <c r="L165">
        <f>VLOOKUP(Table4[[#This Row],[Shortname]], Comp[], 11, FALSE)</f>
        <v>7.4</v>
      </c>
      <c r="M165">
        <f>VLOOKUP(Table4[[#This Row],[Shortname]], Comp[],12, FALSE)</f>
        <v>2.7</v>
      </c>
      <c r="N165">
        <f>VLOOKUP(Table4[[#This Row],[Shortname]], Comp[], 13, FALSE)</f>
        <v>0</v>
      </c>
      <c r="O165">
        <f>VLOOKUP(Table4[[#This Row],[Shortname]], Comp[], 14, FALSE)</f>
        <v>0</v>
      </c>
      <c r="P165">
        <f>VLOOKUP(Table4[[#This Row],[Shortname]], Comp[], 15, FALSE)</f>
        <v>0</v>
      </c>
      <c r="Q165">
        <f>VLOOKUP(Table4[[#This Row],[Shortname]], Comp[], 16, FALSE)</f>
        <v>0</v>
      </c>
      <c r="R165">
        <f>VLOOKUP(Table4[[#This Row],[Shortname]], Comp[], 17, FALSE)</f>
        <v>0.4</v>
      </c>
      <c r="S165">
        <f>VLOOKUP(Table4[[#This Row],[Shortname]], Comp[], 18, FALSE)</f>
        <v>0</v>
      </c>
      <c r="T165">
        <f>VLOOKUP(Table4[[#This Row],[Shortname]], Comp[], 19, FALSE)</f>
        <v>0.1</v>
      </c>
      <c r="U165">
        <f>VLOOKUP(Table4[[#This Row],[Shortname]], Comp[], 20, FALSE)</f>
        <v>0</v>
      </c>
      <c r="V165">
        <f>VLOOKUP(Table4[[#This Row],[Shortname]], Comp[], 21, FALSE)</f>
        <v>0</v>
      </c>
      <c r="W165">
        <f>VLOOKUP(Table4[[#This Row],[Shortname]], Comp[], 22, FALSE)</f>
        <v>0</v>
      </c>
      <c r="X165">
        <f>VLOOKUP(Table4[[#This Row],[Shortname]], Comp[], 23, FALSE)</f>
        <v>0</v>
      </c>
      <c r="Y165">
        <f>VLOOKUP(Table4[[#This Row],[Shortname]], Comp[], 24, FALSE)</f>
        <v>0</v>
      </c>
      <c r="Z165">
        <f>VLOOKUP(Table4[[#This Row],[Shortname]], Comp[], 25, FALSE)</f>
        <v>0</v>
      </c>
      <c r="AA165">
        <f>VLOOKUP(Table4[[#This Row],[Shortname]], Comp[], 26, FALSE)</f>
        <v>0</v>
      </c>
      <c r="AB165">
        <f>VLOOKUP(Table4[[#This Row],[Shortname]], Comp[], 27, FALSE)</f>
        <v>0</v>
      </c>
      <c r="AC165">
        <f>VLOOKUP(Table4[[#This Row],[Shortname]], Comp[], 28, FALSE)</f>
        <v>0</v>
      </c>
      <c r="AD165">
        <f>VLOOKUP(Table4[[#This Row],[Shortname]], Comp[], 29, FALSE)</f>
        <v>0</v>
      </c>
      <c r="AE165">
        <f>VLOOKUP(Table4[[#This Row],[Shortname]], Comp[], 30, FALSE)</f>
        <v>0</v>
      </c>
      <c r="AF165">
        <f>VLOOKUP(Table4[[#This Row],[Shortname]], Comp[], 31, FALSE)</f>
        <v>0</v>
      </c>
    </row>
    <row r="166" spans="1:32" x14ac:dyDescent="0.3">
      <c r="A166" s="7" t="s">
        <v>1735</v>
      </c>
      <c r="B166" s="7" t="s">
        <v>3180</v>
      </c>
      <c r="C166" t="s">
        <v>6624</v>
      </c>
      <c r="D166">
        <v>25</v>
      </c>
      <c r="E166">
        <v>800</v>
      </c>
      <c r="F166">
        <v>459</v>
      </c>
      <c r="G166">
        <f>VLOOKUP(Table4[[#This Row],[Shortname]], Comp[], 6, FALSE)</f>
        <v>222</v>
      </c>
      <c r="H166" s="14">
        <f>VLOOKUP(Table4[[#This Row],[Shortname]], Comp[], 7, FALSE)</f>
        <v>79.400000000000006</v>
      </c>
      <c r="I166">
        <f>VLOOKUP(Table4[[#This Row],[Shortname]], Comp[], 8, FALSE)</f>
        <v>0</v>
      </c>
      <c r="J166">
        <f>VLOOKUP(Table4[[#This Row],[Shortname]], Comp[], 9, FALSE)</f>
        <v>8.8000000000000007</v>
      </c>
      <c r="K166">
        <f>VLOOKUP(Table4[[#This Row],[Shortname]], Comp[], 10, FALSE)</f>
        <v>0</v>
      </c>
      <c r="L166">
        <f>VLOOKUP(Table4[[#This Row],[Shortname]], Comp[], 11, FALSE)</f>
        <v>9.8000000000000007</v>
      </c>
      <c r="M166">
        <f>VLOOKUP(Table4[[#This Row],[Shortname]], Comp[],12, FALSE)</f>
        <v>0</v>
      </c>
      <c r="N166">
        <f>VLOOKUP(Table4[[#This Row],[Shortname]], Comp[], 13, FALSE)</f>
        <v>2</v>
      </c>
      <c r="O166">
        <f>VLOOKUP(Table4[[#This Row],[Shortname]], Comp[], 14, FALSE)</f>
        <v>0</v>
      </c>
      <c r="P166">
        <f>VLOOKUP(Table4[[#This Row],[Shortname]], Comp[], 15, FALSE)</f>
        <v>0</v>
      </c>
      <c r="Q166">
        <f>VLOOKUP(Table4[[#This Row],[Shortname]], Comp[], 16, FALSE)</f>
        <v>0</v>
      </c>
      <c r="R166">
        <f>VLOOKUP(Table4[[#This Row],[Shortname]], Comp[], 17, FALSE)</f>
        <v>0</v>
      </c>
      <c r="S166">
        <f>VLOOKUP(Table4[[#This Row],[Shortname]], Comp[], 18, FALSE)</f>
        <v>0</v>
      </c>
      <c r="T166">
        <f>VLOOKUP(Table4[[#This Row],[Shortname]], Comp[], 19, FALSE)</f>
        <v>0</v>
      </c>
      <c r="U166">
        <f>VLOOKUP(Table4[[#This Row],[Shortname]], Comp[], 20, FALSE)</f>
        <v>0</v>
      </c>
      <c r="V166">
        <f>VLOOKUP(Table4[[#This Row],[Shortname]], Comp[], 21, FALSE)</f>
        <v>0</v>
      </c>
      <c r="W166">
        <f>VLOOKUP(Table4[[#This Row],[Shortname]], Comp[], 22, FALSE)</f>
        <v>0</v>
      </c>
      <c r="X166">
        <f>VLOOKUP(Table4[[#This Row],[Shortname]], Comp[], 23, FALSE)</f>
        <v>0</v>
      </c>
      <c r="Y166">
        <f>VLOOKUP(Table4[[#This Row],[Shortname]], Comp[], 24, FALSE)</f>
        <v>0</v>
      </c>
      <c r="Z166">
        <f>VLOOKUP(Table4[[#This Row],[Shortname]], Comp[], 25, FALSE)</f>
        <v>0</v>
      </c>
      <c r="AA166">
        <f>VLOOKUP(Table4[[#This Row],[Shortname]], Comp[], 26, FALSE)</f>
        <v>0</v>
      </c>
      <c r="AB166">
        <f>VLOOKUP(Table4[[#This Row],[Shortname]], Comp[], 27, FALSE)</f>
        <v>0</v>
      </c>
      <c r="AC166">
        <f>VLOOKUP(Table4[[#This Row],[Shortname]], Comp[], 28, FALSE)</f>
        <v>0</v>
      </c>
      <c r="AD166">
        <f>VLOOKUP(Table4[[#This Row],[Shortname]], Comp[], 29, FALSE)</f>
        <v>0</v>
      </c>
      <c r="AE166">
        <f>VLOOKUP(Table4[[#This Row],[Shortname]], Comp[], 30, FALSE)</f>
        <v>0</v>
      </c>
      <c r="AF166">
        <f>VLOOKUP(Table4[[#This Row],[Shortname]], Comp[], 31, FALSE)</f>
        <v>0</v>
      </c>
    </row>
    <row r="167" spans="1:32" x14ac:dyDescent="0.3">
      <c r="A167" s="7" t="s">
        <v>1735</v>
      </c>
      <c r="B167" s="7" t="s">
        <v>3180</v>
      </c>
      <c r="C167" t="s">
        <v>6624</v>
      </c>
      <c r="D167">
        <v>100</v>
      </c>
      <c r="E167">
        <v>800</v>
      </c>
      <c r="F167">
        <v>463</v>
      </c>
      <c r="G167">
        <f>VLOOKUP(Table4[[#This Row],[Shortname]], Comp[], 6, FALSE)</f>
        <v>222</v>
      </c>
      <c r="H167" s="14">
        <f>VLOOKUP(Table4[[#This Row],[Shortname]], Comp[], 7, FALSE)</f>
        <v>79.400000000000006</v>
      </c>
      <c r="I167">
        <f>VLOOKUP(Table4[[#This Row],[Shortname]], Comp[], 8, FALSE)</f>
        <v>0</v>
      </c>
      <c r="J167">
        <f>VLOOKUP(Table4[[#This Row],[Shortname]], Comp[], 9, FALSE)</f>
        <v>8.8000000000000007</v>
      </c>
      <c r="K167">
        <f>VLOOKUP(Table4[[#This Row],[Shortname]], Comp[], 10, FALSE)</f>
        <v>0</v>
      </c>
      <c r="L167">
        <f>VLOOKUP(Table4[[#This Row],[Shortname]], Comp[], 11, FALSE)</f>
        <v>9.8000000000000007</v>
      </c>
      <c r="M167">
        <f>VLOOKUP(Table4[[#This Row],[Shortname]], Comp[],12, FALSE)</f>
        <v>0</v>
      </c>
      <c r="N167">
        <f>VLOOKUP(Table4[[#This Row],[Shortname]], Comp[], 13, FALSE)</f>
        <v>2</v>
      </c>
      <c r="O167">
        <f>VLOOKUP(Table4[[#This Row],[Shortname]], Comp[], 14, FALSE)</f>
        <v>0</v>
      </c>
      <c r="P167">
        <f>VLOOKUP(Table4[[#This Row],[Shortname]], Comp[], 15, FALSE)</f>
        <v>0</v>
      </c>
      <c r="Q167">
        <f>VLOOKUP(Table4[[#This Row],[Shortname]], Comp[], 16, FALSE)</f>
        <v>0</v>
      </c>
      <c r="R167">
        <f>VLOOKUP(Table4[[#This Row],[Shortname]], Comp[], 17, FALSE)</f>
        <v>0</v>
      </c>
      <c r="S167">
        <f>VLOOKUP(Table4[[#This Row],[Shortname]], Comp[], 18, FALSE)</f>
        <v>0</v>
      </c>
      <c r="T167">
        <f>VLOOKUP(Table4[[#This Row],[Shortname]], Comp[], 19, FALSE)</f>
        <v>0</v>
      </c>
      <c r="U167">
        <f>VLOOKUP(Table4[[#This Row],[Shortname]], Comp[], 20, FALSE)</f>
        <v>0</v>
      </c>
      <c r="V167">
        <f>VLOOKUP(Table4[[#This Row],[Shortname]], Comp[], 21, FALSE)</f>
        <v>0</v>
      </c>
      <c r="W167">
        <f>VLOOKUP(Table4[[#This Row],[Shortname]], Comp[], 22, FALSE)</f>
        <v>0</v>
      </c>
      <c r="X167">
        <f>VLOOKUP(Table4[[#This Row],[Shortname]], Comp[], 23, FALSE)</f>
        <v>0</v>
      </c>
      <c r="Y167">
        <f>VLOOKUP(Table4[[#This Row],[Shortname]], Comp[], 24, FALSE)</f>
        <v>0</v>
      </c>
      <c r="Z167">
        <f>VLOOKUP(Table4[[#This Row],[Shortname]], Comp[], 25, FALSE)</f>
        <v>0</v>
      </c>
      <c r="AA167">
        <f>VLOOKUP(Table4[[#This Row],[Shortname]], Comp[], 26, FALSE)</f>
        <v>0</v>
      </c>
      <c r="AB167">
        <f>VLOOKUP(Table4[[#This Row],[Shortname]], Comp[], 27, FALSE)</f>
        <v>0</v>
      </c>
      <c r="AC167">
        <f>VLOOKUP(Table4[[#This Row],[Shortname]], Comp[], 28, FALSE)</f>
        <v>0</v>
      </c>
      <c r="AD167">
        <f>VLOOKUP(Table4[[#This Row],[Shortname]], Comp[], 29, FALSE)</f>
        <v>0</v>
      </c>
      <c r="AE167">
        <f>VLOOKUP(Table4[[#This Row],[Shortname]], Comp[], 30, FALSE)</f>
        <v>0</v>
      </c>
      <c r="AF167">
        <f>VLOOKUP(Table4[[#This Row],[Shortname]], Comp[], 31, FALSE)</f>
        <v>0</v>
      </c>
    </row>
    <row r="168" spans="1:32" x14ac:dyDescent="0.3">
      <c r="A168" s="7" t="s">
        <v>1735</v>
      </c>
      <c r="B168" s="7" t="s">
        <v>3180</v>
      </c>
      <c r="C168" t="s">
        <v>6624</v>
      </c>
      <c r="D168">
        <v>200</v>
      </c>
      <c r="E168">
        <v>800</v>
      </c>
      <c r="F168">
        <v>438</v>
      </c>
      <c r="G168">
        <f>VLOOKUP(Table4[[#This Row],[Shortname]], Comp[], 6, FALSE)</f>
        <v>222</v>
      </c>
      <c r="H168" s="14">
        <f>VLOOKUP(Table4[[#This Row],[Shortname]], Comp[], 7, FALSE)</f>
        <v>79.400000000000006</v>
      </c>
      <c r="I168">
        <f>VLOOKUP(Table4[[#This Row],[Shortname]], Comp[], 8, FALSE)</f>
        <v>0</v>
      </c>
      <c r="J168">
        <f>VLOOKUP(Table4[[#This Row],[Shortname]], Comp[], 9, FALSE)</f>
        <v>8.8000000000000007</v>
      </c>
      <c r="K168">
        <f>VLOOKUP(Table4[[#This Row],[Shortname]], Comp[], 10, FALSE)</f>
        <v>0</v>
      </c>
      <c r="L168">
        <f>VLOOKUP(Table4[[#This Row],[Shortname]], Comp[], 11, FALSE)</f>
        <v>9.8000000000000007</v>
      </c>
      <c r="M168">
        <f>VLOOKUP(Table4[[#This Row],[Shortname]], Comp[],12, FALSE)</f>
        <v>0</v>
      </c>
      <c r="N168">
        <f>VLOOKUP(Table4[[#This Row],[Shortname]], Comp[], 13, FALSE)</f>
        <v>2</v>
      </c>
      <c r="O168">
        <f>VLOOKUP(Table4[[#This Row],[Shortname]], Comp[], 14, FALSE)</f>
        <v>0</v>
      </c>
      <c r="P168">
        <f>VLOOKUP(Table4[[#This Row],[Shortname]], Comp[], 15, FALSE)</f>
        <v>0</v>
      </c>
      <c r="Q168">
        <f>VLOOKUP(Table4[[#This Row],[Shortname]], Comp[], 16, FALSE)</f>
        <v>0</v>
      </c>
      <c r="R168">
        <f>VLOOKUP(Table4[[#This Row],[Shortname]], Comp[], 17, FALSE)</f>
        <v>0</v>
      </c>
      <c r="S168">
        <f>VLOOKUP(Table4[[#This Row],[Shortname]], Comp[], 18, FALSE)</f>
        <v>0</v>
      </c>
      <c r="T168">
        <f>VLOOKUP(Table4[[#This Row],[Shortname]], Comp[], 19, FALSE)</f>
        <v>0</v>
      </c>
      <c r="U168">
        <f>VLOOKUP(Table4[[#This Row],[Shortname]], Comp[], 20, FALSE)</f>
        <v>0</v>
      </c>
      <c r="V168">
        <f>VLOOKUP(Table4[[#This Row],[Shortname]], Comp[], 21, FALSE)</f>
        <v>0</v>
      </c>
      <c r="W168">
        <f>VLOOKUP(Table4[[#This Row],[Shortname]], Comp[], 22, FALSE)</f>
        <v>0</v>
      </c>
      <c r="X168">
        <f>VLOOKUP(Table4[[#This Row],[Shortname]], Comp[], 23, FALSE)</f>
        <v>0</v>
      </c>
      <c r="Y168">
        <f>VLOOKUP(Table4[[#This Row],[Shortname]], Comp[], 24, FALSE)</f>
        <v>0</v>
      </c>
      <c r="Z168">
        <f>VLOOKUP(Table4[[#This Row],[Shortname]], Comp[], 25, FALSE)</f>
        <v>0</v>
      </c>
      <c r="AA168">
        <f>VLOOKUP(Table4[[#This Row],[Shortname]], Comp[], 26, FALSE)</f>
        <v>0</v>
      </c>
      <c r="AB168">
        <f>VLOOKUP(Table4[[#This Row],[Shortname]], Comp[], 27, FALSE)</f>
        <v>0</v>
      </c>
      <c r="AC168">
        <f>VLOOKUP(Table4[[#This Row],[Shortname]], Comp[], 28, FALSE)</f>
        <v>0</v>
      </c>
      <c r="AD168">
        <f>VLOOKUP(Table4[[#This Row],[Shortname]], Comp[], 29, FALSE)</f>
        <v>0</v>
      </c>
      <c r="AE168">
        <f>VLOOKUP(Table4[[#This Row],[Shortname]], Comp[], 30, FALSE)</f>
        <v>0</v>
      </c>
      <c r="AF168">
        <f>VLOOKUP(Table4[[#This Row],[Shortname]], Comp[], 31, FALSE)</f>
        <v>0</v>
      </c>
    </row>
    <row r="169" spans="1:32" x14ac:dyDescent="0.3">
      <c r="A169" s="7" t="s">
        <v>1735</v>
      </c>
      <c r="B169" s="7" t="s">
        <v>3180</v>
      </c>
      <c r="C169" t="s">
        <v>6624</v>
      </c>
      <c r="D169">
        <v>300</v>
      </c>
      <c r="E169">
        <v>800</v>
      </c>
      <c r="F169">
        <v>400</v>
      </c>
      <c r="G169">
        <f>VLOOKUP(Table4[[#This Row],[Shortname]], Comp[], 6, FALSE)</f>
        <v>222</v>
      </c>
      <c r="H169" s="14">
        <f>VLOOKUP(Table4[[#This Row],[Shortname]], Comp[], 7, FALSE)</f>
        <v>79.400000000000006</v>
      </c>
      <c r="I169">
        <f>VLOOKUP(Table4[[#This Row],[Shortname]], Comp[], 8, FALSE)</f>
        <v>0</v>
      </c>
      <c r="J169">
        <f>VLOOKUP(Table4[[#This Row],[Shortname]], Comp[], 9, FALSE)</f>
        <v>8.8000000000000007</v>
      </c>
      <c r="K169">
        <f>VLOOKUP(Table4[[#This Row],[Shortname]], Comp[], 10, FALSE)</f>
        <v>0</v>
      </c>
      <c r="L169">
        <f>VLOOKUP(Table4[[#This Row],[Shortname]], Comp[], 11, FALSE)</f>
        <v>9.8000000000000007</v>
      </c>
      <c r="M169">
        <f>VLOOKUP(Table4[[#This Row],[Shortname]], Comp[],12, FALSE)</f>
        <v>0</v>
      </c>
      <c r="N169">
        <f>VLOOKUP(Table4[[#This Row],[Shortname]], Comp[], 13, FALSE)</f>
        <v>2</v>
      </c>
      <c r="O169">
        <f>VLOOKUP(Table4[[#This Row],[Shortname]], Comp[], 14, FALSE)</f>
        <v>0</v>
      </c>
      <c r="P169">
        <f>VLOOKUP(Table4[[#This Row],[Shortname]], Comp[], 15, FALSE)</f>
        <v>0</v>
      </c>
      <c r="Q169">
        <f>VLOOKUP(Table4[[#This Row],[Shortname]], Comp[], 16, FALSE)</f>
        <v>0</v>
      </c>
      <c r="R169">
        <f>VLOOKUP(Table4[[#This Row],[Shortname]], Comp[], 17, FALSE)</f>
        <v>0</v>
      </c>
      <c r="S169">
        <f>VLOOKUP(Table4[[#This Row],[Shortname]], Comp[], 18, FALSE)</f>
        <v>0</v>
      </c>
      <c r="T169">
        <f>VLOOKUP(Table4[[#This Row],[Shortname]], Comp[], 19, FALSE)</f>
        <v>0</v>
      </c>
      <c r="U169">
        <f>VLOOKUP(Table4[[#This Row],[Shortname]], Comp[], 20, FALSE)</f>
        <v>0</v>
      </c>
      <c r="V169">
        <f>VLOOKUP(Table4[[#This Row],[Shortname]], Comp[], 21, FALSE)</f>
        <v>0</v>
      </c>
      <c r="W169">
        <f>VLOOKUP(Table4[[#This Row],[Shortname]], Comp[], 22, FALSE)</f>
        <v>0</v>
      </c>
      <c r="X169">
        <f>VLOOKUP(Table4[[#This Row],[Shortname]], Comp[], 23, FALSE)</f>
        <v>0</v>
      </c>
      <c r="Y169">
        <f>VLOOKUP(Table4[[#This Row],[Shortname]], Comp[], 24, FALSE)</f>
        <v>0</v>
      </c>
      <c r="Z169">
        <f>VLOOKUP(Table4[[#This Row],[Shortname]], Comp[], 25, FALSE)</f>
        <v>0</v>
      </c>
      <c r="AA169">
        <f>VLOOKUP(Table4[[#This Row],[Shortname]], Comp[], 26, FALSE)</f>
        <v>0</v>
      </c>
      <c r="AB169">
        <f>VLOOKUP(Table4[[#This Row],[Shortname]], Comp[], 27, FALSE)</f>
        <v>0</v>
      </c>
      <c r="AC169">
        <f>VLOOKUP(Table4[[#This Row],[Shortname]], Comp[], 28, FALSE)</f>
        <v>0</v>
      </c>
      <c r="AD169">
        <f>VLOOKUP(Table4[[#This Row],[Shortname]], Comp[], 29, FALSE)</f>
        <v>0</v>
      </c>
      <c r="AE169">
        <f>VLOOKUP(Table4[[#This Row],[Shortname]], Comp[], 30, FALSE)</f>
        <v>0</v>
      </c>
      <c r="AF169">
        <f>VLOOKUP(Table4[[#This Row],[Shortname]], Comp[], 31, FALSE)</f>
        <v>0</v>
      </c>
    </row>
    <row r="170" spans="1:32" x14ac:dyDescent="0.3">
      <c r="A170" s="7" t="s">
        <v>1735</v>
      </c>
      <c r="B170" s="7" t="s">
        <v>3180</v>
      </c>
      <c r="C170" t="s">
        <v>6624</v>
      </c>
      <c r="D170">
        <v>400</v>
      </c>
      <c r="E170">
        <v>800</v>
      </c>
      <c r="F170">
        <v>388</v>
      </c>
      <c r="G170">
        <f>VLOOKUP(Table4[[#This Row],[Shortname]], Comp[], 6, FALSE)</f>
        <v>222</v>
      </c>
      <c r="H170" s="14">
        <f>VLOOKUP(Table4[[#This Row],[Shortname]], Comp[], 7, FALSE)</f>
        <v>79.400000000000006</v>
      </c>
      <c r="I170">
        <f>VLOOKUP(Table4[[#This Row],[Shortname]], Comp[], 8, FALSE)</f>
        <v>0</v>
      </c>
      <c r="J170">
        <f>VLOOKUP(Table4[[#This Row],[Shortname]], Comp[], 9, FALSE)</f>
        <v>8.8000000000000007</v>
      </c>
      <c r="K170">
        <f>VLOOKUP(Table4[[#This Row],[Shortname]], Comp[], 10, FALSE)</f>
        <v>0</v>
      </c>
      <c r="L170">
        <f>VLOOKUP(Table4[[#This Row],[Shortname]], Comp[], 11, FALSE)</f>
        <v>9.8000000000000007</v>
      </c>
      <c r="M170">
        <f>VLOOKUP(Table4[[#This Row],[Shortname]], Comp[],12, FALSE)</f>
        <v>0</v>
      </c>
      <c r="N170">
        <f>VLOOKUP(Table4[[#This Row],[Shortname]], Comp[], 13, FALSE)</f>
        <v>2</v>
      </c>
      <c r="O170">
        <f>VLOOKUP(Table4[[#This Row],[Shortname]], Comp[], 14, FALSE)</f>
        <v>0</v>
      </c>
      <c r="P170">
        <f>VLOOKUP(Table4[[#This Row],[Shortname]], Comp[], 15, FALSE)</f>
        <v>0</v>
      </c>
      <c r="Q170">
        <f>VLOOKUP(Table4[[#This Row],[Shortname]], Comp[], 16, FALSE)</f>
        <v>0</v>
      </c>
      <c r="R170">
        <f>VLOOKUP(Table4[[#This Row],[Shortname]], Comp[], 17, FALSE)</f>
        <v>0</v>
      </c>
      <c r="S170">
        <f>VLOOKUP(Table4[[#This Row],[Shortname]], Comp[], 18, FALSE)</f>
        <v>0</v>
      </c>
      <c r="T170">
        <f>VLOOKUP(Table4[[#This Row],[Shortname]], Comp[], 19, FALSE)</f>
        <v>0</v>
      </c>
      <c r="U170">
        <f>VLOOKUP(Table4[[#This Row],[Shortname]], Comp[], 20, FALSE)</f>
        <v>0</v>
      </c>
      <c r="V170">
        <f>VLOOKUP(Table4[[#This Row],[Shortname]], Comp[], 21, FALSE)</f>
        <v>0</v>
      </c>
      <c r="W170">
        <f>VLOOKUP(Table4[[#This Row],[Shortname]], Comp[], 22, FALSE)</f>
        <v>0</v>
      </c>
      <c r="X170">
        <f>VLOOKUP(Table4[[#This Row],[Shortname]], Comp[], 23, FALSE)</f>
        <v>0</v>
      </c>
      <c r="Y170">
        <f>VLOOKUP(Table4[[#This Row],[Shortname]], Comp[], 24, FALSE)</f>
        <v>0</v>
      </c>
      <c r="Z170">
        <f>VLOOKUP(Table4[[#This Row],[Shortname]], Comp[], 25, FALSE)</f>
        <v>0</v>
      </c>
      <c r="AA170">
        <f>VLOOKUP(Table4[[#This Row],[Shortname]], Comp[], 26, FALSE)</f>
        <v>0</v>
      </c>
      <c r="AB170">
        <f>VLOOKUP(Table4[[#This Row],[Shortname]], Comp[], 27, FALSE)</f>
        <v>0</v>
      </c>
      <c r="AC170">
        <f>VLOOKUP(Table4[[#This Row],[Shortname]], Comp[], 28, FALSE)</f>
        <v>0</v>
      </c>
      <c r="AD170">
        <f>VLOOKUP(Table4[[#This Row],[Shortname]], Comp[], 29, FALSE)</f>
        <v>0</v>
      </c>
      <c r="AE170">
        <f>VLOOKUP(Table4[[#This Row],[Shortname]], Comp[], 30, FALSE)</f>
        <v>0</v>
      </c>
      <c r="AF170">
        <f>VLOOKUP(Table4[[#This Row],[Shortname]], Comp[], 31, FALSE)</f>
        <v>0</v>
      </c>
    </row>
    <row r="171" spans="1:32" x14ac:dyDescent="0.3">
      <c r="A171" s="7" t="s">
        <v>1735</v>
      </c>
      <c r="B171" s="7" t="s">
        <v>3180</v>
      </c>
      <c r="C171" t="s">
        <v>6624</v>
      </c>
      <c r="D171">
        <v>500</v>
      </c>
      <c r="E171">
        <v>800</v>
      </c>
      <c r="F171">
        <v>381</v>
      </c>
      <c r="G171">
        <f>VLOOKUP(Table4[[#This Row],[Shortname]], Comp[], 6, FALSE)</f>
        <v>222</v>
      </c>
      <c r="H171" s="14">
        <f>VLOOKUP(Table4[[#This Row],[Shortname]], Comp[], 7, FALSE)</f>
        <v>79.400000000000006</v>
      </c>
      <c r="I171">
        <f>VLOOKUP(Table4[[#This Row],[Shortname]], Comp[], 8, FALSE)</f>
        <v>0</v>
      </c>
      <c r="J171">
        <f>VLOOKUP(Table4[[#This Row],[Shortname]], Comp[], 9, FALSE)</f>
        <v>8.8000000000000007</v>
      </c>
      <c r="K171">
        <f>VLOOKUP(Table4[[#This Row],[Shortname]], Comp[], 10, FALSE)</f>
        <v>0</v>
      </c>
      <c r="L171">
        <f>VLOOKUP(Table4[[#This Row],[Shortname]], Comp[], 11, FALSE)</f>
        <v>9.8000000000000007</v>
      </c>
      <c r="M171">
        <f>VLOOKUP(Table4[[#This Row],[Shortname]], Comp[],12, FALSE)</f>
        <v>0</v>
      </c>
      <c r="N171">
        <f>VLOOKUP(Table4[[#This Row],[Shortname]], Comp[], 13, FALSE)</f>
        <v>2</v>
      </c>
      <c r="O171">
        <f>VLOOKUP(Table4[[#This Row],[Shortname]], Comp[], 14, FALSE)</f>
        <v>0</v>
      </c>
      <c r="P171">
        <f>VLOOKUP(Table4[[#This Row],[Shortname]], Comp[], 15, FALSE)</f>
        <v>0</v>
      </c>
      <c r="Q171">
        <f>VLOOKUP(Table4[[#This Row],[Shortname]], Comp[], 16, FALSE)</f>
        <v>0</v>
      </c>
      <c r="R171">
        <f>VLOOKUP(Table4[[#This Row],[Shortname]], Comp[], 17, FALSE)</f>
        <v>0</v>
      </c>
      <c r="S171">
        <f>VLOOKUP(Table4[[#This Row],[Shortname]], Comp[], 18, FALSE)</f>
        <v>0</v>
      </c>
      <c r="T171">
        <f>VLOOKUP(Table4[[#This Row],[Shortname]], Comp[], 19, FALSE)</f>
        <v>0</v>
      </c>
      <c r="U171">
        <f>VLOOKUP(Table4[[#This Row],[Shortname]], Comp[], 20, FALSE)</f>
        <v>0</v>
      </c>
      <c r="V171">
        <f>VLOOKUP(Table4[[#This Row],[Shortname]], Comp[], 21, FALSE)</f>
        <v>0</v>
      </c>
      <c r="W171">
        <f>VLOOKUP(Table4[[#This Row],[Shortname]], Comp[], 22, FALSE)</f>
        <v>0</v>
      </c>
      <c r="X171">
        <f>VLOOKUP(Table4[[#This Row],[Shortname]], Comp[], 23, FALSE)</f>
        <v>0</v>
      </c>
      <c r="Y171">
        <f>VLOOKUP(Table4[[#This Row],[Shortname]], Comp[], 24, FALSE)</f>
        <v>0</v>
      </c>
      <c r="Z171">
        <f>VLOOKUP(Table4[[#This Row],[Shortname]], Comp[], 25, FALSE)</f>
        <v>0</v>
      </c>
      <c r="AA171">
        <f>VLOOKUP(Table4[[#This Row],[Shortname]], Comp[], 26, FALSE)</f>
        <v>0</v>
      </c>
      <c r="AB171">
        <f>VLOOKUP(Table4[[#This Row],[Shortname]], Comp[], 27, FALSE)</f>
        <v>0</v>
      </c>
      <c r="AC171">
        <f>VLOOKUP(Table4[[#This Row],[Shortname]], Comp[], 28, FALSE)</f>
        <v>0</v>
      </c>
      <c r="AD171">
        <f>VLOOKUP(Table4[[#This Row],[Shortname]], Comp[], 29, FALSE)</f>
        <v>0</v>
      </c>
      <c r="AE171">
        <f>VLOOKUP(Table4[[#This Row],[Shortname]], Comp[], 30, FALSE)</f>
        <v>0</v>
      </c>
      <c r="AF171">
        <f>VLOOKUP(Table4[[#This Row],[Shortname]], Comp[], 31, FALSE)</f>
        <v>0</v>
      </c>
    </row>
    <row r="172" spans="1:32" x14ac:dyDescent="0.3">
      <c r="A172" s="7" t="s">
        <v>1735</v>
      </c>
      <c r="B172" s="7" t="s">
        <v>3180</v>
      </c>
      <c r="C172" t="s">
        <v>6624</v>
      </c>
      <c r="D172">
        <v>600</v>
      </c>
      <c r="E172">
        <v>800</v>
      </c>
      <c r="F172">
        <v>367</v>
      </c>
      <c r="G172">
        <f>VLOOKUP(Table4[[#This Row],[Shortname]], Comp[], 6, FALSE)</f>
        <v>222</v>
      </c>
      <c r="H172" s="14">
        <f>VLOOKUP(Table4[[#This Row],[Shortname]], Comp[], 7, FALSE)</f>
        <v>79.400000000000006</v>
      </c>
      <c r="I172">
        <f>VLOOKUP(Table4[[#This Row],[Shortname]], Comp[], 8, FALSE)</f>
        <v>0</v>
      </c>
      <c r="J172">
        <f>VLOOKUP(Table4[[#This Row],[Shortname]], Comp[], 9, FALSE)</f>
        <v>8.8000000000000007</v>
      </c>
      <c r="K172">
        <f>VLOOKUP(Table4[[#This Row],[Shortname]], Comp[], 10, FALSE)</f>
        <v>0</v>
      </c>
      <c r="L172">
        <f>VLOOKUP(Table4[[#This Row],[Shortname]], Comp[], 11, FALSE)</f>
        <v>9.8000000000000007</v>
      </c>
      <c r="M172">
        <f>VLOOKUP(Table4[[#This Row],[Shortname]], Comp[],12, FALSE)</f>
        <v>0</v>
      </c>
      <c r="N172">
        <f>VLOOKUP(Table4[[#This Row],[Shortname]], Comp[], 13, FALSE)</f>
        <v>2</v>
      </c>
      <c r="O172">
        <f>VLOOKUP(Table4[[#This Row],[Shortname]], Comp[], 14, FALSE)</f>
        <v>0</v>
      </c>
      <c r="P172">
        <f>VLOOKUP(Table4[[#This Row],[Shortname]], Comp[], 15, FALSE)</f>
        <v>0</v>
      </c>
      <c r="Q172">
        <f>VLOOKUP(Table4[[#This Row],[Shortname]], Comp[], 16, FALSE)</f>
        <v>0</v>
      </c>
      <c r="R172">
        <f>VLOOKUP(Table4[[#This Row],[Shortname]], Comp[], 17, FALSE)</f>
        <v>0</v>
      </c>
      <c r="S172">
        <f>VLOOKUP(Table4[[#This Row],[Shortname]], Comp[], 18, FALSE)</f>
        <v>0</v>
      </c>
      <c r="T172">
        <f>VLOOKUP(Table4[[#This Row],[Shortname]], Comp[], 19, FALSE)</f>
        <v>0</v>
      </c>
      <c r="U172">
        <f>VLOOKUP(Table4[[#This Row],[Shortname]], Comp[], 20, FALSE)</f>
        <v>0</v>
      </c>
      <c r="V172">
        <f>VLOOKUP(Table4[[#This Row],[Shortname]], Comp[], 21, FALSE)</f>
        <v>0</v>
      </c>
      <c r="W172">
        <f>VLOOKUP(Table4[[#This Row],[Shortname]], Comp[], 22, FALSE)</f>
        <v>0</v>
      </c>
      <c r="X172">
        <f>VLOOKUP(Table4[[#This Row],[Shortname]], Comp[], 23, FALSE)</f>
        <v>0</v>
      </c>
      <c r="Y172">
        <f>VLOOKUP(Table4[[#This Row],[Shortname]], Comp[], 24, FALSE)</f>
        <v>0</v>
      </c>
      <c r="Z172">
        <f>VLOOKUP(Table4[[#This Row],[Shortname]], Comp[], 25, FALSE)</f>
        <v>0</v>
      </c>
      <c r="AA172">
        <f>VLOOKUP(Table4[[#This Row],[Shortname]], Comp[], 26, FALSE)</f>
        <v>0</v>
      </c>
      <c r="AB172">
        <f>VLOOKUP(Table4[[#This Row],[Shortname]], Comp[], 27, FALSE)</f>
        <v>0</v>
      </c>
      <c r="AC172">
        <f>VLOOKUP(Table4[[#This Row],[Shortname]], Comp[], 28, FALSE)</f>
        <v>0</v>
      </c>
      <c r="AD172">
        <f>VLOOKUP(Table4[[#This Row],[Shortname]], Comp[], 29, FALSE)</f>
        <v>0</v>
      </c>
      <c r="AE172">
        <f>VLOOKUP(Table4[[#This Row],[Shortname]], Comp[], 30, FALSE)</f>
        <v>0</v>
      </c>
      <c r="AF172">
        <f>VLOOKUP(Table4[[#This Row],[Shortname]], Comp[], 31, FALSE)</f>
        <v>0</v>
      </c>
    </row>
    <row r="173" spans="1:32" x14ac:dyDescent="0.3">
      <c r="A173" s="7" t="s">
        <v>1735</v>
      </c>
      <c r="B173" s="7" t="s">
        <v>3180</v>
      </c>
      <c r="C173" t="s">
        <v>6624</v>
      </c>
      <c r="D173">
        <v>700</v>
      </c>
      <c r="E173">
        <v>800</v>
      </c>
      <c r="F173">
        <v>370</v>
      </c>
      <c r="G173">
        <f>VLOOKUP(Table4[[#This Row],[Shortname]], Comp[], 6, FALSE)</f>
        <v>222</v>
      </c>
      <c r="H173" s="14">
        <f>VLOOKUP(Table4[[#This Row],[Shortname]], Comp[], 7, FALSE)</f>
        <v>79.400000000000006</v>
      </c>
      <c r="I173">
        <f>VLOOKUP(Table4[[#This Row],[Shortname]], Comp[], 8, FALSE)</f>
        <v>0</v>
      </c>
      <c r="J173">
        <f>VLOOKUP(Table4[[#This Row],[Shortname]], Comp[], 9, FALSE)</f>
        <v>8.8000000000000007</v>
      </c>
      <c r="K173">
        <f>VLOOKUP(Table4[[#This Row],[Shortname]], Comp[], 10, FALSE)</f>
        <v>0</v>
      </c>
      <c r="L173">
        <f>VLOOKUP(Table4[[#This Row],[Shortname]], Comp[], 11, FALSE)</f>
        <v>9.8000000000000007</v>
      </c>
      <c r="M173">
        <f>VLOOKUP(Table4[[#This Row],[Shortname]], Comp[],12, FALSE)</f>
        <v>0</v>
      </c>
      <c r="N173">
        <f>VLOOKUP(Table4[[#This Row],[Shortname]], Comp[], 13, FALSE)</f>
        <v>2</v>
      </c>
      <c r="O173">
        <f>VLOOKUP(Table4[[#This Row],[Shortname]], Comp[], 14, FALSE)</f>
        <v>0</v>
      </c>
      <c r="P173">
        <f>VLOOKUP(Table4[[#This Row],[Shortname]], Comp[], 15, FALSE)</f>
        <v>0</v>
      </c>
      <c r="Q173">
        <f>VLOOKUP(Table4[[#This Row],[Shortname]], Comp[], 16, FALSE)</f>
        <v>0</v>
      </c>
      <c r="R173">
        <f>VLOOKUP(Table4[[#This Row],[Shortname]], Comp[], 17, FALSE)</f>
        <v>0</v>
      </c>
      <c r="S173">
        <f>VLOOKUP(Table4[[#This Row],[Shortname]], Comp[], 18, FALSE)</f>
        <v>0</v>
      </c>
      <c r="T173">
        <f>VLOOKUP(Table4[[#This Row],[Shortname]], Comp[], 19, FALSE)</f>
        <v>0</v>
      </c>
      <c r="U173">
        <f>VLOOKUP(Table4[[#This Row],[Shortname]], Comp[], 20, FALSE)</f>
        <v>0</v>
      </c>
      <c r="V173">
        <f>VLOOKUP(Table4[[#This Row],[Shortname]], Comp[], 21, FALSE)</f>
        <v>0</v>
      </c>
      <c r="W173">
        <f>VLOOKUP(Table4[[#This Row],[Shortname]], Comp[], 22, FALSE)</f>
        <v>0</v>
      </c>
      <c r="X173">
        <f>VLOOKUP(Table4[[#This Row],[Shortname]], Comp[], 23, FALSE)</f>
        <v>0</v>
      </c>
      <c r="Y173">
        <f>VLOOKUP(Table4[[#This Row],[Shortname]], Comp[], 24, FALSE)</f>
        <v>0</v>
      </c>
      <c r="Z173">
        <f>VLOOKUP(Table4[[#This Row],[Shortname]], Comp[], 25, FALSE)</f>
        <v>0</v>
      </c>
      <c r="AA173">
        <f>VLOOKUP(Table4[[#This Row],[Shortname]], Comp[], 26, FALSE)</f>
        <v>0</v>
      </c>
      <c r="AB173">
        <f>VLOOKUP(Table4[[#This Row],[Shortname]], Comp[], 27, FALSE)</f>
        <v>0</v>
      </c>
      <c r="AC173">
        <f>VLOOKUP(Table4[[#This Row],[Shortname]], Comp[], 28, FALSE)</f>
        <v>0</v>
      </c>
      <c r="AD173">
        <f>VLOOKUP(Table4[[#This Row],[Shortname]], Comp[], 29, FALSE)</f>
        <v>0</v>
      </c>
      <c r="AE173">
        <f>VLOOKUP(Table4[[#This Row],[Shortname]], Comp[], 30, FALSE)</f>
        <v>0</v>
      </c>
      <c r="AF173">
        <f>VLOOKUP(Table4[[#This Row],[Shortname]], Comp[], 31, FALSE)</f>
        <v>0</v>
      </c>
    </row>
    <row r="174" spans="1:32" x14ac:dyDescent="0.3">
      <c r="A174" s="7" t="s">
        <v>1735</v>
      </c>
      <c r="B174" s="7" t="s">
        <v>3180</v>
      </c>
      <c r="C174" t="s">
        <v>6624</v>
      </c>
      <c r="D174">
        <v>800</v>
      </c>
      <c r="E174">
        <v>800</v>
      </c>
      <c r="F174">
        <v>383</v>
      </c>
      <c r="G174">
        <f>VLOOKUP(Table4[[#This Row],[Shortname]], Comp[], 6, FALSE)</f>
        <v>222</v>
      </c>
      <c r="H174" s="14">
        <f>VLOOKUP(Table4[[#This Row],[Shortname]], Comp[], 7, FALSE)</f>
        <v>79.400000000000006</v>
      </c>
      <c r="I174">
        <f>VLOOKUP(Table4[[#This Row],[Shortname]], Comp[], 8, FALSE)</f>
        <v>0</v>
      </c>
      <c r="J174">
        <f>VLOOKUP(Table4[[#This Row],[Shortname]], Comp[], 9, FALSE)</f>
        <v>8.8000000000000007</v>
      </c>
      <c r="K174">
        <f>VLOOKUP(Table4[[#This Row],[Shortname]], Comp[], 10, FALSE)</f>
        <v>0</v>
      </c>
      <c r="L174">
        <f>VLOOKUP(Table4[[#This Row],[Shortname]], Comp[], 11, FALSE)</f>
        <v>9.8000000000000007</v>
      </c>
      <c r="M174">
        <f>VLOOKUP(Table4[[#This Row],[Shortname]], Comp[],12, FALSE)</f>
        <v>0</v>
      </c>
      <c r="N174">
        <f>VLOOKUP(Table4[[#This Row],[Shortname]], Comp[], 13, FALSE)</f>
        <v>2</v>
      </c>
      <c r="O174">
        <f>VLOOKUP(Table4[[#This Row],[Shortname]], Comp[], 14, FALSE)</f>
        <v>0</v>
      </c>
      <c r="P174">
        <f>VLOOKUP(Table4[[#This Row],[Shortname]], Comp[], 15, FALSE)</f>
        <v>0</v>
      </c>
      <c r="Q174">
        <f>VLOOKUP(Table4[[#This Row],[Shortname]], Comp[], 16, FALSE)</f>
        <v>0</v>
      </c>
      <c r="R174">
        <f>VLOOKUP(Table4[[#This Row],[Shortname]], Comp[], 17, FALSE)</f>
        <v>0</v>
      </c>
      <c r="S174">
        <f>VLOOKUP(Table4[[#This Row],[Shortname]], Comp[], 18, FALSE)</f>
        <v>0</v>
      </c>
      <c r="T174">
        <f>VLOOKUP(Table4[[#This Row],[Shortname]], Comp[], 19, FALSE)</f>
        <v>0</v>
      </c>
      <c r="U174">
        <f>VLOOKUP(Table4[[#This Row],[Shortname]], Comp[], 20, FALSE)</f>
        <v>0</v>
      </c>
      <c r="V174">
        <f>VLOOKUP(Table4[[#This Row],[Shortname]], Comp[], 21, FALSE)</f>
        <v>0</v>
      </c>
      <c r="W174">
        <f>VLOOKUP(Table4[[#This Row],[Shortname]], Comp[], 22, FALSE)</f>
        <v>0</v>
      </c>
      <c r="X174">
        <f>VLOOKUP(Table4[[#This Row],[Shortname]], Comp[], 23, FALSE)</f>
        <v>0</v>
      </c>
      <c r="Y174">
        <f>VLOOKUP(Table4[[#This Row],[Shortname]], Comp[], 24, FALSE)</f>
        <v>0</v>
      </c>
      <c r="Z174">
        <f>VLOOKUP(Table4[[#This Row],[Shortname]], Comp[], 25, FALSE)</f>
        <v>0</v>
      </c>
      <c r="AA174">
        <f>VLOOKUP(Table4[[#This Row],[Shortname]], Comp[], 26, FALSE)</f>
        <v>0</v>
      </c>
      <c r="AB174">
        <f>VLOOKUP(Table4[[#This Row],[Shortname]], Comp[], 27, FALSE)</f>
        <v>0</v>
      </c>
      <c r="AC174">
        <f>VLOOKUP(Table4[[#This Row],[Shortname]], Comp[], 28, FALSE)</f>
        <v>0</v>
      </c>
      <c r="AD174">
        <f>VLOOKUP(Table4[[#This Row],[Shortname]], Comp[], 29, FALSE)</f>
        <v>0</v>
      </c>
      <c r="AE174">
        <f>VLOOKUP(Table4[[#This Row],[Shortname]], Comp[], 30, FALSE)</f>
        <v>0</v>
      </c>
      <c r="AF174">
        <f>VLOOKUP(Table4[[#This Row],[Shortname]], Comp[], 31, FALSE)</f>
        <v>0</v>
      </c>
    </row>
    <row r="175" spans="1:32" x14ac:dyDescent="0.3">
      <c r="A175" s="7" t="s">
        <v>1735</v>
      </c>
      <c r="B175" s="7" t="s">
        <v>3180</v>
      </c>
      <c r="C175" t="s">
        <v>6624</v>
      </c>
      <c r="D175">
        <v>900</v>
      </c>
      <c r="E175">
        <v>800</v>
      </c>
      <c r="F175">
        <v>323</v>
      </c>
      <c r="G175">
        <f>VLOOKUP(Table4[[#This Row],[Shortname]], Comp[], 6, FALSE)</f>
        <v>222</v>
      </c>
      <c r="H175" s="14">
        <f>VLOOKUP(Table4[[#This Row],[Shortname]], Comp[], 7, FALSE)</f>
        <v>79.400000000000006</v>
      </c>
      <c r="I175">
        <f>VLOOKUP(Table4[[#This Row],[Shortname]], Comp[], 8, FALSE)</f>
        <v>0</v>
      </c>
      <c r="J175">
        <f>VLOOKUP(Table4[[#This Row],[Shortname]], Comp[], 9, FALSE)</f>
        <v>8.8000000000000007</v>
      </c>
      <c r="K175">
        <f>VLOOKUP(Table4[[#This Row],[Shortname]], Comp[], 10, FALSE)</f>
        <v>0</v>
      </c>
      <c r="L175">
        <f>VLOOKUP(Table4[[#This Row],[Shortname]], Comp[], 11, FALSE)</f>
        <v>9.8000000000000007</v>
      </c>
      <c r="M175">
        <f>VLOOKUP(Table4[[#This Row],[Shortname]], Comp[],12, FALSE)</f>
        <v>0</v>
      </c>
      <c r="N175">
        <f>VLOOKUP(Table4[[#This Row],[Shortname]], Comp[], 13, FALSE)</f>
        <v>2</v>
      </c>
      <c r="O175">
        <f>VLOOKUP(Table4[[#This Row],[Shortname]], Comp[], 14, FALSE)</f>
        <v>0</v>
      </c>
      <c r="P175">
        <f>VLOOKUP(Table4[[#This Row],[Shortname]], Comp[], 15, FALSE)</f>
        <v>0</v>
      </c>
      <c r="Q175">
        <f>VLOOKUP(Table4[[#This Row],[Shortname]], Comp[], 16, FALSE)</f>
        <v>0</v>
      </c>
      <c r="R175">
        <f>VLOOKUP(Table4[[#This Row],[Shortname]], Comp[], 17, FALSE)</f>
        <v>0</v>
      </c>
      <c r="S175">
        <f>VLOOKUP(Table4[[#This Row],[Shortname]], Comp[], 18, FALSE)</f>
        <v>0</v>
      </c>
      <c r="T175">
        <f>VLOOKUP(Table4[[#This Row],[Shortname]], Comp[], 19, FALSE)</f>
        <v>0</v>
      </c>
      <c r="U175">
        <f>VLOOKUP(Table4[[#This Row],[Shortname]], Comp[], 20, FALSE)</f>
        <v>0</v>
      </c>
      <c r="V175">
        <f>VLOOKUP(Table4[[#This Row],[Shortname]], Comp[], 21, FALSE)</f>
        <v>0</v>
      </c>
      <c r="W175">
        <f>VLOOKUP(Table4[[#This Row],[Shortname]], Comp[], 22, FALSE)</f>
        <v>0</v>
      </c>
      <c r="X175">
        <f>VLOOKUP(Table4[[#This Row],[Shortname]], Comp[], 23, FALSE)</f>
        <v>0</v>
      </c>
      <c r="Y175">
        <f>VLOOKUP(Table4[[#This Row],[Shortname]], Comp[], 24, FALSE)</f>
        <v>0</v>
      </c>
      <c r="Z175">
        <f>VLOOKUP(Table4[[#This Row],[Shortname]], Comp[], 25, FALSE)</f>
        <v>0</v>
      </c>
      <c r="AA175">
        <f>VLOOKUP(Table4[[#This Row],[Shortname]], Comp[], 26, FALSE)</f>
        <v>0</v>
      </c>
      <c r="AB175">
        <f>VLOOKUP(Table4[[#This Row],[Shortname]], Comp[], 27, FALSE)</f>
        <v>0</v>
      </c>
      <c r="AC175">
        <f>VLOOKUP(Table4[[#This Row],[Shortname]], Comp[], 28, FALSE)</f>
        <v>0</v>
      </c>
      <c r="AD175">
        <f>VLOOKUP(Table4[[#This Row],[Shortname]], Comp[], 29, FALSE)</f>
        <v>0</v>
      </c>
      <c r="AE175">
        <f>VLOOKUP(Table4[[#This Row],[Shortname]], Comp[], 30, FALSE)</f>
        <v>0</v>
      </c>
      <c r="AF175">
        <f>VLOOKUP(Table4[[#This Row],[Shortname]], Comp[], 31, FALSE)</f>
        <v>0</v>
      </c>
    </row>
    <row r="176" spans="1:32" x14ac:dyDescent="0.3">
      <c r="A176" s="7" t="s">
        <v>1735</v>
      </c>
      <c r="B176" s="7" t="s">
        <v>3180</v>
      </c>
      <c r="C176" t="s">
        <v>6624</v>
      </c>
      <c r="D176" s="25">
        <v>1000</v>
      </c>
      <c r="E176">
        <v>800</v>
      </c>
      <c r="F176">
        <v>261</v>
      </c>
      <c r="G176">
        <f>VLOOKUP(Table4[[#This Row],[Shortname]], Comp[], 6, FALSE)</f>
        <v>222</v>
      </c>
      <c r="H176" s="14">
        <f>VLOOKUP(Table4[[#This Row],[Shortname]], Comp[], 7, FALSE)</f>
        <v>79.400000000000006</v>
      </c>
      <c r="I176">
        <f>VLOOKUP(Table4[[#This Row],[Shortname]], Comp[], 8, FALSE)</f>
        <v>0</v>
      </c>
      <c r="J176">
        <f>VLOOKUP(Table4[[#This Row],[Shortname]], Comp[], 9, FALSE)</f>
        <v>8.8000000000000007</v>
      </c>
      <c r="K176">
        <f>VLOOKUP(Table4[[#This Row],[Shortname]], Comp[], 10, FALSE)</f>
        <v>0</v>
      </c>
      <c r="L176">
        <f>VLOOKUP(Table4[[#This Row],[Shortname]], Comp[], 11, FALSE)</f>
        <v>9.8000000000000007</v>
      </c>
      <c r="M176">
        <f>VLOOKUP(Table4[[#This Row],[Shortname]], Comp[],12, FALSE)</f>
        <v>0</v>
      </c>
      <c r="N176">
        <f>VLOOKUP(Table4[[#This Row],[Shortname]], Comp[], 13, FALSE)</f>
        <v>2</v>
      </c>
      <c r="O176">
        <f>VLOOKUP(Table4[[#This Row],[Shortname]], Comp[], 14, FALSE)</f>
        <v>0</v>
      </c>
      <c r="P176">
        <f>VLOOKUP(Table4[[#This Row],[Shortname]], Comp[], 15, FALSE)</f>
        <v>0</v>
      </c>
      <c r="Q176">
        <f>VLOOKUP(Table4[[#This Row],[Shortname]], Comp[], 16, FALSE)</f>
        <v>0</v>
      </c>
      <c r="R176">
        <f>VLOOKUP(Table4[[#This Row],[Shortname]], Comp[], 17, FALSE)</f>
        <v>0</v>
      </c>
      <c r="S176">
        <f>VLOOKUP(Table4[[#This Row],[Shortname]], Comp[], 18, FALSE)</f>
        <v>0</v>
      </c>
      <c r="T176">
        <f>VLOOKUP(Table4[[#This Row],[Shortname]], Comp[], 19, FALSE)</f>
        <v>0</v>
      </c>
      <c r="U176">
        <f>VLOOKUP(Table4[[#This Row],[Shortname]], Comp[], 20, FALSE)</f>
        <v>0</v>
      </c>
      <c r="V176">
        <f>VLOOKUP(Table4[[#This Row],[Shortname]], Comp[], 21, FALSE)</f>
        <v>0</v>
      </c>
      <c r="W176">
        <f>VLOOKUP(Table4[[#This Row],[Shortname]], Comp[], 22, FALSE)</f>
        <v>0</v>
      </c>
      <c r="X176">
        <f>VLOOKUP(Table4[[#This Row],[Shortname]], Comp[], 23, FALSE)</f>
        <v>0</v>
      </c>
      <c r="Y176">
        <f>VLOOKUP(Table4[[#This Row],[Shortname]], Comp[], 24, FALSE)</f>
        <v>0</v>
      </c>
      <c r="Z176">
        <f>VLOOKUP(Table4[[#This Row],[Shortname]], Comp[], 25, FALSE)</f>
        <v>0</v>
      </c>
      <c r="AA176">
        <f>VLOOKUP(Table4[[#This Row],[Shortname]], Comp[], 26, FALSE)</f>
        <v>0</v>
      </c>
      <c r="AB176">
        <f>VLOOKUP(Table4[[#This Row],[Shortname]], Comp[], 27, FALSE)</f>
        <v>0</v>
      </c>
      <c r="AC176">
        <f>VLOOKUP(Table4[[#This Row],[Shortname]], Comp[], 28, FALSE)</f>
        <v>0</v>
      </c>
      <c r="AD176">
        <f>VLOOKUP(Table4[[#This Row],[Shortname]], Comp[], 29, FALSE)</f>
        <v>0</v>
      </c>
      <c r="AE176">
        <f>VLOOKUP(Table4[[#This Row],[Shortname]], Comp[], 30, FALSE)</f>
        <v>0</v>
      </c>
      <c r="AF176">
        <f>VLOOKUP(Table4[[#This Row],[Shortname]], Comp[], 31, FALSE)</f>
        <v>0</v>
      </c>
    </row>
    <row r="177" spans="1:32" x14ac:dyDescent="0.3">
      <c r="A177" s="7" t="s">
        <v>3182</v>
      </c>
      <c r="B177" s="7" t="s">
        <v>2897</v>
      </c>
      <c r="C177" t="s">
        <v>6624</v>
      </c>
      <c r="D177">
        <v>25</v>
      </c>
      <c r="E177">
        <v>800</v>
      </c>
      <c r="F177">
        <v>400</v>
      </c>
      <c r="G177">
        <f>VLOOKUP(Table4[[#This Row],[Shortname]], Comp[], 6, FALSE)</f>
        <v>446</v>
      </c>
      <c r="H177" s="14">
        <f>VLOOKUP(Table4[[#This Row],[Shortname]], Comp[], 7, FALSE)</f>
        <v>81.8</v>
      </c>
      <c r="I177">
        <f>VLOOKUP(Table4[[#This Row],[Shortname]], Comp[], 8, FALSE)</f>
        <v>0</v>
      </c>
      <c r="J177">
        <f>VLOOKUP(Table4[[#This Row],[Shortname]], Comp[], 9, FALSE)</f>
        <v>9.1999999999999993</v>
      </c>
      <c r="K177">
        <f>VLOOKUP(Table4[[#This Row],[Shortname]], Comp[], 10, FALSE)</f>
        <v>0</v>
      </c>
      <c r="L177">
        <f>VLOOKUP(Table4[[#This Row],[Shortname]], Comp[], 11, FALSE)</f>
        <v>9</v>
      </c>
      <c r="M177">
        <f>VLOOKUP(Table4[[#This Row],[Shortname]], Comp[],12, FALSE)</f>
        <v>0</v>
      </c>
      <c r="N177">
        <f>VLOOKUP(Table4[[#This Row],[Shortname]], Comp[], 13, FALSE)</f>
        <v>0</v>
      </c>
      <c r="O177">
        <f>VLOOKUP(Table4[[#This Row],[Shortname]], Comp[], 14, FALSE)</f>
        <v>0</v>
      </c>
      <c r="P177">
        <f>VLOOKUP(Table4[[#This Row],[Shortname]], Comp[], 15, FALSE)</f>
        <v>0</v>
      </c>
      <c r="Q177">
        <f>VLOOKUP(Table4[[#This Row],[Shortname]], Comp[], 16, FALSE)</f>
        <v>0</v>
      </c>
      <c r="R177">
        <f>VLOOKUP(Table4[[#This Row],[Shortname]], Comp[], 17, FALSE)</f>
        <v>0</v>
      </c>
      <c r="S177">
        <f>VLOOKUP(Table4[[#This Row],[Shortname]], Comp[], 18, FALSE)</f>
        <v>0</v>
      </c>
      <c r="T177">
        <f>VLOOKUP(Table4[[#This Row],[Shortname]], Comp[], 19, FALSE)</f>
        <v>0</v>
      </c>
      <c r="U177">
        <f>VLOOKUP(Table4[[#This Row],[Shortname]], Comp[], 20, FALSE)</f>
        <v>0</v>
      </c>
      <c r="V177">
        <f>VLOOKUP(Table4[[#This Row],[Shortname]], Comp[], 21, FALSE)</f>
        <v>0</v>
      </c>
      <c r="W177">
        <f>VLOOKUP(Table4[[#This Row],[Shortname]], Comp[], 22, FALSE)</f>
        <v>0</v>
      </c>
      <c r="X177">
        <f>VLOOKUP(Table4[[#This Row],[Shortname]], Comp[], 23, FALSE)</f>
        <v>0</v>
      </c>
      <c r="Y177">
        <f>VLOOKUP(Table4[[#This Row],[Shortname]], Comp[], 24, FALSE)</f>
        <v>0</v>
      </c>
      <c r="Z177">
        <f>VLOOKUP(Table4[[#This Row],[Shortname]], Comp[], 25, FALSE)</f>
        <v>0</v>
      </c>
      <c r="AA177">
        <f>VLOOKUP(Table4[[#This Row],[Shortname]], Comp[], 26, FALSE)</f>
        <v>0</v>
      </c>
      <c r="AB177">
        <f>VLOOKUP(Table4[[#This Row],[Shortname]], Comp[], 27, FALSE)</f>
        <v>0</v>
      </c>
      <c r="AC177">
        <f>VLOOKUP(Table4[[#This Row],[Shortname]], Comp[], 28, FALSE)</f>
        <v>0</v>
      </c>
      <c r="AD177">
        <f>VLOOKUP(Table4[[#This Row],[Shortname]], Comp[], 29, FALSE)</f>
        <v>0</v>
      </c>
      <c r="AE177">
        <f>VLOOKUP(Table4[[#This Row],[Shortname]], Comp[], 30, FALSE)</f>
        <v>0</v>
      </c>
      <c r="AF177">
        <f>VLOOKUP(Table4[[#This Row],[Shortname]], Comp[], 31, FALSE)</f>
        <v>0</v>
      </c>
    </row>
    <row r="178" spans="1:32" x14ac:dyDescent="0.3">
      <c r="A178" s="7" t="s">
        <v>3182</v>
      </c>
      <c r="B178" s="7" t="s">
        <v>2897</v>
      </c>
      <c r="C178" t="s">
        <v>6624</v>
      </c>
      <c r="D178">
        <v>100</v>
      </c>
      <c r="E178">
        <v>800</v>
      </c>
      <c r="F178">
        <v>384</v>
      </c>
      <c r="G178">
        <f>VLOOKUP(Table4[[#This Row],[Shortname]], Comp[], 6, FALSE)</f>
        <v>446</v>
      </c>
      <c r="H178" s="14">
        <f>VLOOKUP(Table4[[#This Row],[Shortname]], Comp[], 7, FALSE)</f>
        <v>81.8</v>
      </c>
      <c r="I178">
        <f>VLOOKUP(Table4[[#This Row],[Shortname]], Comp[], 8, FALSE)</f>
        <v>0</v>
      </c>
      <c r="J178">
        <f>VLOOKUP(Table4[[#This Row],[Shortname]], Comp[], 9, FALSE)</f>
        <v>9.1999999999999993</v>
      </c>
      <c r="K178">
        <f>VLOOKUP(Table4[[#This Row],[Shortname]], Comp[], 10, FALSE)</f>
        <v>0</v>
      </c>
      <c r="L178">
        <f>VLOOKUP(Table4[[#This Row],[Shortname]], Comp[], 11, FALSE)</f>
        <v>9</v>
      </c>
      <c r="M178">
        <f>VLOOKUP(Table4[[#This Row],[Shortname]], Comp[],12, FALSE)</f>
        <v>0</v>
      </c>
      <c r="N178">
        <f>VLOOKUP(Table4[[#This Row],[Shortname]], Comp[], 13, FALSE)</f>
        <v>0</v>
      </c>
      <c r="O178">
        <f>VLOOKUP(Table4[[#This Row],[Shortname]], Comp[], 14, FALSE)</f>
        <v>0</v>
      </c>
      <c r="P178">
        <f>VLOOKUP(Table4[[#This Row],[Shortname]], Comp[], 15, FALSE)</f>
        <v>0</v>
      </c>
      <c r="Q178">
        <f>VLOOKUP(Table4[[#This Row],[Shortname]], Comp[], 16, FALSE)</f>
        <v>0</v>
      </c>
      <c r="R178">
        <f>VLOOKUP(Table4[[#This Row],[Shortname]], Comp[], 17, FALSE)</f>
        <v>0</v>
      </c>
      <c r="S178">
        <f>VLOOKUP(Table4[[#This Row],[Shortname]], Comp[], 18, FALSE)</f>
        <v>0</v>
      </c>
      <c r="T178">
        <f>VLOOKUP(Table4[[#This Row],[Shortname]], Comp[], 19, FALSE)</f>
        <v>0</v>
      </c>
      <c r="U178">
        <f>VLOOKUP(Table4[[#This Row],[Shortname]], Comp[], 20, FALSE)</f>
        <v>0</v>
      </c>
      <c r="V178">
        <f>VLOOKUP(Table4[[#This Row],[Shortname]], Comp[], 21, FALSE)</f>
        <v>0</v>
      </c>
      <c r="W178">
        <f>VLOOKUP(Table4[[#This Row],[Shortname]], Comp[], 22, FALSE)</f>
        <v>0</v>
      </c>
      <c r="X178">
        <f>VLOOKUP(Table4[[#This Row],[Shortname]], Comp[], 23, FALSE)</f>
        <v>0</v>
      </c>
      <c r="Y178">
        <f>VLOOKUP(Table4[[#This Row],[Shortname]], Comp[], 24, FALSE)</f>
        <v>0</v>
      </c>
      <c r="Z178">
        <f>VLOOKUP(Table4[[#This Row],[Shortname]], Comp[], 25, FALSE)</f>
        <v>0</v>
      </c>
      <c r="AA178">
        <f>VLOOKUP(Table4[[#This Row],[Shortname]], Comp[], 26, FALSE)</f>
        <v>0</v>
      </c>
      <c r="AB178">
        <f>VLOOKUP(Table4[[#This Row],[Shortname]], Comp[], 27, FALSE)</f>
        <v>0</v>
      </c>
      <c r="AC178">
        <f>VLOOKUP(Table4[[#This Row],[Shortname]], Comp[], 28, FALSE)</f>
        <v>0</v>
      </c>
      <c r="AD178">
        <f>VLOOKUP(Table4[[#This Row],[Shortname]], Comp[], 29, FALSE)</f>
        <v>0</v>
      </c>
      <c r="AE178">
        <f>VLOOKUP(Table4[[#This Row],[Shortname]], Comp[], 30, FALSE)</f>
        <v>0</v>
      </c>
      <c r="AF178">
        <f>VLOOKUP(Table4[[#This Row],[Shortname]], Comp[], 31, FALSE)</f>
        <v>0</v>
      </c>
    </row>
    <row r="179" spans="1:32" x14ac:dyDescent="0.3">
      <c r="A179" s="7" t="s">
        <v>3182</v>
      </c>
      <c r="B179" s="7" t="s">
        <v>2897</v>
      </c>
      <c r="C179" t="s">
        <v>6624</v>
      </c>
      <c r="D179">
        <v>200</v>
      </c>
      <c r="E179">
        <v>800</v>
      </c>
      <c r="F179">
        <v>375</v>
      </c>
      <c r="G179">
        <f>VLOOKUP(Table4[[#This Row],[Shortname]], Comp[], 6, FALSE)</f>
        <v>446</v>
      </c>
      <c r="H179" s="14">
        <f>VLOOKUP(Table4[[#This Row],[Shortname]], Comp[], 7, FALSE)</f>
        <v>81.8</v>
      </c>
      <c r="I179">
        <f>VLOOKUP(Table4[[#This Row],[Shortname]], Comp[], 8, FALSE)</f>
        <v>0</v>
      </c>
      <c r="J179">
        <f>VLOOKUP(Table4[[#This Row],[Shortname]], Comp[], 9, FALSE)</f>
        <v>9.1999999999999993</v>
      </c>
      <c r="K179">
        <f>VLOOKUP(Table4[[#This Row],[Shortname]], Comp[], 10, FALSE)</f>
        <v>0</v>
      </c>
      <c r="L179">
        <f>VLOOKUP(Table4[[#This Row],[Shortname]], Comp[], 11, FALSE)</f>
        <v>9</v>
      </c>
      <c r="M179">
        <f>VLOOKUP(Table4[[#This Row],[Shortname]], Comp[],12, FALSE)</f>
        <v>0</v>
      </c>
      <c r="N179">
        <f>VLOOKUP(Table4[[#This Row],[Shortname]], Comp[], 13, FALSE)</f>
        <v>0</v>
      </c>
      <c r="O179">
        <f>VLOOKUP(Table4[[#This Row],[Shortname]], Comp[], 14, FALSE)</f>
        <v>0</v>
      </c>
      <c r="P179">
        <f>VLOOKUP(Table4[[#This Row],[Shortname]], Comp[], 15, FALSE)</f>
        <v>0</v>
      </c>
      <c r="Q179">
        <f>VLOOKUP(Table4[[#This Row],[Shortname]], Comp[], 16, FALSE)</f>
        <v>0</v>
      </c>
      <c r="R179">
        <f>VLOOKUP(Table4[[#This Row],[Shortname]], Comp[], 17, FALSE)</f>
        <v>0</v>
      </c>
      <c r="S179">
        <f>VLOOKUP(Table4[[#This Row],[Shortname]], Comp[], 18, FALSE)</f>
        <v>0</v>
      </c>
      <c r="T179">
        <f>VLOOKUP(Table4[[#This Row],[Shortname]], Comp[], 19, FALSE)</f>
        <v>0</v>
      </c>
      <c r="U179">
        <f>VLOOKUP(Table4[[#This Row],[Shortname]], Comp[], 20, FALSE)</f>
        <v>0</v>
      </c>
      <c r="V179">
        <f>VLOOKUP(Table4[[#This Row],[Shortname]], Comp[], 21, FALSE)</f>
        <v>0</v>
      </c>
      <c r="W179">
        <f>VLOOKUP(Table4[[#This Row],[Shortname]], Comp[], 22, FALSE)</f>
        <v>0</v>
      </c>
      <c r="X179">
        <f>VLOOKUP(Table4[[#This Row],[Shortname]], Comp[], 23, FALSE)</f>
        <v>0</v>
      </c>
      <c r="Y179">
        <f>VLOOKUP(Table4[[#This Row],[Shortname]], Comp[], 24, FALSE)</f>
        <v>0</v>
      </c>
      <c r="Z179">
        <f>VLOOKUP(Table4[[#This Row],[Shortname]], Comp[], 25, FALSE)</f>
        <v>0</v>
      </c>
      <c r="AA179">
        <f>VLOOKUP(Table4[[#This Row],[Shortname]], Comp[], 26, FALSE)</f>
        <v>0</v>
      </c>
      <c r="AB179">
        <f>VLOOKUP(Table4[[#This Row],[Shortname]], Comp[], 27, FALSE)</f>
        <v>0</v>
      </c>
      <c r="AC179">
        <f>VLOOKUP(Table4[[#This Row],[Shortname]], Comp[], 28, FALSE)</f>
        <v>0</v>
      </c>
      <c r="AD179">
        <f>VLOOKUP(Table4[[#This Row],[Shortname]], Comp[], 29, FALSE)</f>
        <v>0</v>
      </c>
      <c r="AE179">
        <f>VLOOKUP(Table4[[#This Row],[Shortname]], Comp[], 30, FALSE)</f>
        <v>0</v>
      </c>
      <c r="AF179">
        <f>VLOOKUP(Table4[[#This Row],[Shortname]], Comp[], 31, FALSE)</f>
        <v>0</v>
      </c>
    </row>
    <row r="180" spans="1:32" x14ac:dyDescent="0.3">
      <c r="A180" s="7" t="s">
        <v>3182</v>
      </c>
      <c r="B180" s="7" t="s">
        <v>2897</v>
      </c>
      <c r="C180" t="s">
        <v>6624</v>
      </c>
      <c r="D180">
        <v>300</v>
      </c>
      <c r="E180">
        <v>800</v>
      </c>
      <c r="F180">
        <v>364</v>
      </c>
      <c r="G180">
        <f>VLOOKUP(Table4[[#This Row],[Shortname]], Comp[], 6, FALSE)</f>
        <v>446</v>
      </c>
      <c r="H180" s="14">
        <f>VLOOKUP(Table4[[#This Row],[Shortname]], Comp[], 7, FALSE)</f>
        <v>81.8</v>
      </c>
      <c r="I180">
        <f>VLOOKUP(Table4[[#This Row],[Shortname]], Comp[], 8, FALSE)</f>
        <v>0</v>
      </c>
      <c r="J180">
        <f>VLOOKUP(Table4[[#This Row],[Shortname]], Comp[], 9, FALSE)</f>
        <v>9.1999999999999993</v>
      </c>
      <c r="K180">
        <f>VLOOKUP(Table4[[#This Row],[Shortname]], Comp[], 10, FALSE)</f>
        <v>0</v>
      </c>
      <c r="L180">
        <f>VLOOKUP(Table4[[#This Row],[Shortname]], Comp[], 11, FALSE)</f>
        <v>9</v>
      </c>
      <c r="M180">
        <f>VLOOKUP(Table4[[#This Row],[Shortname]], Comp[],12, FALSE)</f>
        <v>0</v>
      </c>
      <c r="N180">
        <f>VLOOKUP(Table4[[#This Row],[Shortname]], Comp[], 13, FALSE)</f>
        <v>0</v>
      </c>
      <c r="O180">
        <f>VLOOKUP(Table4[[#This Row],[Shortname]], Comp[], 14, FALSE)</f>
        <v>0</v>
      </c>
      <c r="P180">
        <f>VLOOKUP(Table4[[#This Row],[Shortname]], Comp[], 15, FALSE)</f>
        <v>0</v>
      </c>
      <c r="Q180">
        <f>VLOOKUP(Table4[[#This Row],[Shortname]], Comp[], 16, FALSE)</f>
        <v>0</v>
      </c>
      <c r="R180">
        <f>VLOOKUP(Table4[[#This Row],[Shortname]], Comp[], 17, FALSE)</f>
        <v>0</v>
      </c>
      <c r="S180">
        <f>VLOOKUP(Table4[[#This Row],[Shortname]], Comp[], 18, FALSE)</f>
        <v>0</v>
      </c>
      <c r="T180">
        <f>VLOOKUP(Table4[[#This Row],[Shortname]], Comp[], 19, FALSE)</f>
        <v>0</v>
      </c>
      <c r="U180">
        <f>VLOOKUP(Table4[[#This Row],[Shortname]], Comp[], 20, FALSE)</f>
        <v>0</v>
      </c>
      <c r="V180">
        <f>VLOOKUP(Table4[[#This Row],[Shortname]], Comp[], 21, FALSE)</f>
        <v>0</v>
      </c>
      <c r="W180">
        <f>VLOOKUP(Table4[[#This Row],[Shortname]], Comp[], 22, FALSE)</f>
        <v>0</v>
      </c>
      <c r="X180">
        <f>VLOOKUP(Table4[[#This Row],[Shortname]], Comp[], 23, FALSE)</f>
        <v>0</v>
      </c>
      <c r="Y180">
        <f>VLOOKUP(Table4[[#This Row],[Shortname]], Comp[], 24, FALSE)</f>
        <v>0</v>
      </c>
      <c r="Z180">
        <f>VLOOKUP(Table4[[#This Row],[Shortname]], Comp[], 25, FALSE)</f>
        <v>0</v>
      </c>
      <c r="AA180">
        <f>VLOOKUP(Table4[[#This Row],[Shortname]], Comp[], 26, FALSE)</f>
        <v>0</v>
      </c>
      <c r="AB180">
        <f>VLOOKUP(Table4[[#This Row],[Shortname]], Comp[], 27, FALSE)</f>
        <v>0</v>
      </c>
      <c r="AC180">
        <f>VLOOKUP(Table4[[#This Row],[Shortname]], Comp[], 28, FALSE)</f>
        <v>0</v>
      </c>
      <c r="AD180">
        <f>VLOOKUP(Table4[[#This Row],[Shortname]], Comp[], 29, FALSE)</f>
        <v>0</v>
      </c>
      <c r="AE180">
        <f>VLOOKUP(Table4[[#This Row],[Shortname]], Comp[], 30, FALSE)</f>
        <v>0</v>
      </c>
      <c r="AF180">
        <f>VLOOKUP(Table4[[#This Row],[Shortname]], Comp[], 31, FALSE)</f>
        <v>0</v>
      </c>
    </row>
    <row r="181" spans="1:32" x14ac:dyDescent="0.3">
      <c r="A181" s="7" t="s">
        <v>3182</v>
      </c>
      <c r="B181" s="7" t="s">
        <v>2897</v>
      </c>
      <c r="C181" t="s">
        <v>6624</v>
      </c>
      <c r="D181">
        <v>400</v>
      </c>
      <c r="E181">
        <v>800</v>
      </c>
      <c r="F181">
        <v>361</v>
      </c>
      <c r="G181">
        <f>VLOOKUP(Table4[[#This Row],[Shortname]], Comp[], 6, FALSE)</f>
        <v>446</v>
      </c>
      <c r="H181" s="14">
        <f>VLOOKUP(Table4[[#This Row],[Shortname]], Comp[], 7, FALSE)</f>
        <v>81.8</v>
      </c>
      <c r="I181">
        <f>VLOOKUP(Table4[[#This Row],[Shortname]], Comp[], 8, FALSE)</f>
        <v>0</v>
      </c>
      <c r="J181">
        <f>VLOOKUP(Table4[[#This Row],[Shortname]], Comp[], 9, FALSE)</f>
        <v>9.1999999999999993</v>
      </c>
      <c r="K181">
        <f>VLOOKUP(Table4[[#This Row],[Shortname]], Comp[], 10, FALSE)</f>
        <v>0</v>
      </c>
      <c r="L181">
        <f>VLOOKUP(Table4[[#This Row],[Shortname]], Comp[], 11, FALSE)</f>
        <v>9</v>
      </c>
      <c r="M181">
        <f>VLOOKUP(Table4[[#This Row],[Shortname]], Comp[],12, FALSE)</f>
        <v>0</v>
      </c>
      <c r="N181">
        <f>VLOOKUP(Table4[[#This Row],[Shortname]], Comp[], 13, FALSE)</f>
        <v>0</v>
      </c>
      <c r="O181">
        <f>VLOOKUP(Table4[[#This Row],[Shortname]], Comp[], 14, FALSE)</f>
        <v>0</v>
      </c>
      <c r="P181">
        <f>VLOOKUP(Table4[[#This Row],[Shortname]], Comp[], 15, FALSE)</f>
        <v>0</v>
      </c>
      <c r="Q181">
        <f>VLOOKUP(Table4[[#This Row],[Shortname]], Comp[], 16, FALSE)</f>
        <v>0</v>
      </c>
      <c r="R181">
        <f>VLOOKUP(Table4[[#This Row],[Shortname]], Comp[], 17, FALSE)</f>
        <v>0</v>
      </c>
      <c r="S181">
        <f>VLOOKUP(Table4[[#This Row],[Shortname]], Comp[], 18, FALSE)</f>
        <v>0</v>
      </c>
      <c r="T181">
        <f>VLOOKUP(Table4[[#This Row],[Shortname]], Comp[], 19, FALSE)</f>
        <v>0</v>
      </c>
      <c r="U181">
        <f>VLOOKUP(Table4[[#This Row],[Shortname]], Comp[], 20, FALSE)</f>
        <v>0</v>
      </c>
      <c r="V181">
        <f>VLOOKUP(Table4[[#This Row],[Shortname]], Comp[], 21, FALSE)</f>
        <v>0</v>
      </c>
      <c r="W181">
        <f>VLOOKUP(Table4[[#This Row],[Shortname]], Comp[], 22, FALSE)</f>
        <v>0</v>
      </c>
      <c r="X181">
        <f>VLOOKUP(Table4[[#This Row],[Shortname]], Comp[], 23, FALSE)</f>
        <v>0</v>
      </c>
      <c r="Y181">
        <f>VLOOKUP(Table4[[#This Row],[Shortname]], Comp[], 24, FALSE)</f>
        <v>0</v>
      </c>
      <c r="Z181">
        <f>VLOOKUP(Table4[[#This Row],[Shortname]], Comp[], 25, FALSE)</f>
        <v>0</v>
      </c>
      <c r="AA181">
        <f>VLOOKUP(Table4[[#This Row],[Shortname]], Comp[], 26, FALSE)</f>
        <v>0</v>
      </c>
      <c r="AB181">
        <f>VLOOKUP(Table4[[#This Row],[Shortname]], Comp[], 27, FALSE)</f>
        <v>0</v>
      </c>
      <c r="AC181">
        <f>VLOOKUP(Table4[[#This Row],[Shortname]], Comp[], 28, FALSE)</f>
        <v>0</v>
      </c>
      <c r="AD181">
        <f>VLOOKUP(Table4[[#This Row],[Shortname]], Comp[], 29, FALSE)</f>
        <v>0</v>
      </c>
      <c r="AE181">
        <f>VLOOKUP(Table4[[#This Row],[Shortname]], Comp[], 30, FALSE)</f>
        <v>0</v>
      </c>
      <c r="AF181">
        <f>VLOOKUP(Table4[[#This Row],[Shortname]], Comp[], 31, FALSE)</f>
        <v>0</v>
      </c>
    </row>
    <row r="182" spans="1:32" x14ac:dyDescent="0.3">
      <c r="A182" s="7" t="s">
        <v>3182</v>
      </c>
      <c r="B182" s="7" t="s">
        <v>2897</v>
      </c>
      <c r="C182" t="s">
        <v>6624</v>
      </c>
      <c r="D182">
        <v>500</v>
      </c>
      <c r="E182">
        <v>800</v>
      </c>
      <c r="F182">
        <v>336</v>
      </c>
      <c r="G182">
        <f>VLOOKUP(Table4[[#This Row],[Shortname]], Comp[], 6, FALSE)</f>
        <v>446</v>
      </c>
      <c r="H182" s="14">
        <f>VLOOKUP(Table4[[#This Row],[Shortname]], Comp[], 7, FALSE)</f>
        <v>81.8</v>
      </c>
      <c r="I182">
        <f>VLOOKUP(Table4[[#This Row],[Shortname]], Comp[], 8, FALSE)</f>
        <v>0</v>
      </c>
      <c r="J182">
        <f>VLOOKUP(Table4[[#This Row],[Shortname]], Comp[], 9, FALSE)</f>
        <v>9.1999999999999993</v>
      </c>
      <c r="K182">
        <f>VLOOKUP(Table4[[#This Row],[Shortname]], Comp[], 10, FALSE)</f>
        <v>0</v>
      </c>
      <c r="L182">
        <f>VLOOKUP(Table4[[#This Row],[Shortname]], Comp[], 11, FALSE)</f>
        <v>9</v>
      </c>
      <c r="M182">
        <f>VLOOKUP(Table4[[#This Row],[Shortname]], Comp[],12, FALSE)</f>
        <v>0</v>
      </c>
      <c r="N182">
        <f>VLOOKUP(Table4[[#This Row],[Shortname]], Comp[], 13, FALSE)</f>
        <v>0</v>
      </c>
      <c r="O182">
        <f>VLOOKUP(Table4[[#This Row],[Shortname]], Comp[], 14, FALSE)</f>
        <v>0</v>
      </c>
      <c r="P182">
        <f>VLOOKUP(Table4[[#This Row],[Shortname]], Comp[], 15, FALSE)</f>
        <v>0</v>
      </c>
      <c r="Q182">
        <f>VLOOKUP(Table4[[#This Row],[Shortname]], Comp[], 16, FALSE)</f>
        <v>0</v>
      </c>
      <c r="R182">
        <f>VLOOKUP(Table4[[#This Row],[Shortname]], Comp[], 17, FALSE)</f>
        <v>0</v>
      </c>
      <c r="S182">
        <f>VLOOKUP(Table4[[#This Row],[Shortname]], Comp[], 18, FALSE)</f>
        <v>0</v>
      </c>
      <c r="T182">
        <f>VLOOKUP(Table4[[#This Row],[Shortname]], Comp[], 19, FALSE)</f>
        <v>0</v>
      </c>
      <c r="U182">
        <f>VLOOKUP(Table4[[#This Row],[Shortname]], Comp[], 20, FALSE)</f>
        <v>0</v>
      </c>
      <c r="V182">
        <f>VLOOKUP(Table4[[#This Row],[Shortname]], Comp[], 21, FALSE)</f>
        <v>0</v>
      </c>
      <c r="W182">
        <f>VLOOKUP(Table4[[#This Row],[Shortname]], Comp[], 22, FALSE)</f>
        <v>0</v>
      </c>
      <c r="X182">
        <f>VLOOKUP(Table4[[#This Row],[Shortname]], Comp[], 23, FALSE)</f>
        <v>0</v>
      </c>
      <c r="Y182">
        <f>VLOOKUP(Table4[[#This Row],[Shortname]], Comp[], 24, FALSE)</f>
        <v>0</v>
      </c>
      <c r="Z182">
        <f>VLOOKUP(Table4[[#This Row],[Shortname]], Comp[], 25, FALSE)</f>
        <v>0</v>
      </c>
      <c r="AA182">
        <f>VLOOKUP(Table4[[#This Row],[Shortname]], Comp[], 26, FALSE)</f>
        <v>0</v>
      </c>
      <c r="AB182">
        <f>VLOOKUP(Table4[[#This Row],[Shortname]], Comp[], 27, FALSE)</f>
        <v>0</v>
      </c>
      <c r="AC182">
        <f>VLOOKUP(Table4[[#This Row],[Shortname]], Comp[], 28, FALSE)</f>
        <v>0</v>
      </c>
      <c r="AD182">
        <f>VLOOKUP(Table4[[#This Row],[Shortname]], Comp[], 29, FALSE)</f>
        <v>0</v>
      </c>
      <c r="AE182">
        <f>VLOOKUP(Table4[[#This Row],[Shortname]], Comp[], 30, FALSE)</f>
        <v>0</v>
      </c>
      <c r="AF182">
        <f>VLOOKUP(Table4[[#This Row],[Shortname]], Comp[], 31, FALSE)</f>
        <v>0</v>
      </c>
    </row>
    <row r="183" spans="1:32" x14ac:dyDescent="0.3">
      <c r="A183" s="7" t="s">
        <v>3182</v>
      </c>
      <c r="B183" s="7" t="s">
        <v>2897</v>
      </c>
      <c r="C183" t="s">
        <v>6624</v>
      </c>
      <c r="D183">
        <v>600</v>
      </c>
      <c r="E183">
        <v>800</v>
      </c>
      <c r="F183">
        <v>330</v>
      </c>
      <c r="G183">
        <f>VLOOKUP(Table4[[#This Row],[Shortname]], Comp[], 6, FALSE)</f>
        <v>446</v>
      </c>
      <c r="H183" s="14">
        <f>VLOOKUP(Table4[[#This Row],[Shortname]], Comp[], 7, FALSE)</f>
        <v>81.8</v>
      </c>
      <c r="I183">
        <f>VLOOKUP(Table4[[#This Row],[Shortname]], Comp[], 8, FALSE)</f>
        <v>0</v>
      </c>
      <c r="J183">
        <f>VLOOKUP(Table4[[#This Row],[Shortname]], Comp[], 9, FALSE)</f>
        <v>9.1999999999999993</v>
      </c>
      <c r="K183">
        <f>VLOOKUP(Table4[[#This Row],[Shortname]], Comp[], 10, FALSE)</f>
        <v>0</v>
      </c>
      <c r="L183">
        <f>VLOOKUP(Table4[[#This Row],[Shortname]], Comp[], 11, FALSE)</f>
        <v>9</v>
      </c>
      <c r="M183">
        <f>VLOOKUP(Table4[[#This Row],[Shortname]], Comp[],12, FALSE)</f>
        <v>0</v>
      </c>
      <c r="N183">
        <f>VLOOKUP(Table4[[#This Row],[Shortname]], Comp[], 13, FALSE)</f>
        <v>0</v>
      </c>
      <c r="O183">
        <f>VLOOKUP(Table4[[#This Row],[Shortname]], Comp[], 14, FALSE)</f>
        <v>0</v>
      </c>
      <c r="P183">
        <f>VLOOKUP(Table4[[#This Row],[Shortname]], Comp[], 15, FALSE)</f>
        <v>0</v>
      </c>
      <c r="Q183">
        <f>VLOOKUP(Table4[[#This Row],[Shortname]], Comp[], 16, FALSE)</f>
        <v>0</v>
      </c>
      <c r="R183">
        <f>VLOOKUP(Table4[[#This Row],[Shortname]], Comp[], 17, FALSE)</f>
        <v>0</v>
      </c>
      <c r="S183">
        <f>VLOOKUP(Table4[[#This Row],[Shortname]], Comp[], 18, FALSE)</f>
        <v>0</v>
      </c>
      <c r="T183">
        <f>VLOOKUP(Table4[[#This Row],[Shortname]], Comp[], 19, FALSE)</f>
        <v>0</v>
      </c>
      <c r="U183">
        <f>VLOOKUP(Table4[[#This Row],[Shortname]], Comp[], 20, FALSE)</f>
        <v>0</v>
      </c>
      <c r="V183">
        <f>VLOOKUP(Table4[[#This Row],[Shortname]], Comp[], 21, FALSE)</f>
        <v>0</v>
      </c>
      <c r="W183">
        <f>VLOOKUP(Table4[[#This Row],[Shortname]], Comp[], 22, FALSE)</f>
        <v>0</v>
      </c>
      <c r="X183">
        <f>VLOOKUP(Table4[[#This Row],[Shortname]], Comp[], 23, FALSE)</f>
        <v>0</v>
      </c>
      <c r="Y183">
        <f>VLOOKUP(Table4[[#This Row],[Shortname]], Comp[], 24, FALSE)</f>
        <v>0</v>
      </c>
      <c r="Z183">
        <f>VLOOKUP(Table4[[#This Row],[Shortname]], Comp[], 25, FALSE)</f>
        <v>0</v>
      </c>
      <c r="AA183">
        <f>VLOOKUP(Table4[[#This Row],[Shortname]], Comp[], 26, FALSE)</f>
        <v>0</v>
      </c>
      <c r="AB183">
        <f>VLOOKUP(Table4[[#This Row],[Shortname]], Comp[], 27, FALSE)</f>
        <v>0</v>
      </c>
      <c r="AC183">
        <f>VLOOKUP(Table4[[#This Row],[Shortname]], Comp[], 28, FALSE)</f>
        <v>0</v>
      </c>
      <c r="AD183">
        <f>VLOOKUP(Table4[[#This Row],[Shortname]], Comp[], 29, FALSE)</f>
        <v>0</v>
      </c>
      <c r="AE183">
        <f>VLOOKUP(Table4[[#This Row],[Shortname]], Comp[], 30, FALSE)</f>
        <v>0</v>
      </c>
      <c r="AF183">
        <f>VLOOKUP(Table4[[#This Row],[Shortname]], Comp[], 31, FALSE)</f>
        <v>0</v>
      </c>
    </row>
    <row r="184" spans="1:32" x14ac:dyDescent="0.3">
      <c r="A184" s="7" t="s">
        <v>3182</v>
      </c>
      <c r="B184" s="7" t="s">
        <v>2897</v>
      </c>
      <c r="C184" t="s">
        <v>6624</v>
      </c>
      <c r="D184">
        <v>700</v>
      </c>
      <c r="E184">
        <v>800</v>
      </c>
      <c r="F184">
        <v>306</v>
      </c>
      <c r="G184">
        <f>VLOOKUP(Table4[[#This Row],[Shortname]], Comp[], 6, FALSE)</f>
        <v>446</v>
      </c>
      <c r="H184" s="14">
        <f>VLOOKUP(Table4[[#This Row],[Shortname]], Comp[], 7, FALSE)</f>
        <v>81.8</v>
      </c>
      <c r="I184">
        <f>VLOOKUP(Table4[[#This Row],[Shortname]], Comp[], 8, FALSE)</f>
        <v>0</v>
      </c>
      <c r="J184">
        <f>VLOOKUP(Table4[[#This Row],[Shortname]], Comp[], 9, FALSE)</f>
        <v>9.1999999999999993</v>
      </c>
      <c r="K184">
        <f>VLOOKUP(Table4[[#This Row],[Shortname]], Comp[], 10, FALSE)</f>
        <v>0</v>
      </c>
      <c r="L184">
        <f>VLOOKUP(Table4[[#This Row],[Shortname]], Comp[], 11, FALSE)</f>
        <v>9</v>
      </c>
      <c r="M184">
        <f>VLOOKUP(Table4[[#This Row],[Shortname]], Comp[],12, FALSE)</f>
        <v>0</v>
      </c>
      <c r="N184">
        <f>VLOOKUP(Table4[[#This Row],[Shortname]], Comp[], 13, FALSE)</f>
        <v>0</v>
      </c>
      <c r="O184">
        <f>VLOOKUP(Table4[[#This Row],[Shortname]], Comp[], 14, FALSE)</f>
        <v>0</v>
      </c>
      <c r="P184">
        <f>VLOOKUP(Table4[[#This Row],[Shortname]], Comp[], 15, FALSE)</f>
        <v>0</v>
      </c>
      <c r="Q184">
        <f>VLOOKUP(Table4[[#This Row],[Shortname]], Comp[], 16, FALSE)</f>
        <v>0</v>
      </c>
      <c r="R184">
        <f>VLOOKUP(Table4[[#This Row],[Shortname]], Comp[], 17, FALSE)</f>
        <v>0</v>
      </c>
      <c r="S184">
        <f>VLOOKUP(Table4[[#This Row],[Shortname]], Comp[], 18, FALSE)</f>
        <v>0</v>
      </c>
      <c r="T184">
        <f>VLOOKUP(Table4[[#This Row],[Shortname]], Comp[], 19, FALSE)</f>
        <v>0</v>
      </c>
      <c r="U184">
        <f>VLOOKUP(Table4[[#This Row],[Shortname]], Comp[], 20, FALSE)</f>
        <v>0</v>
      </c>
      <c r="V184">
        <f>VLOOKUP(Table4[[#This Row],[Shortname]], Comp[], 21, FALSE)</f>
        <v>0</v>
      </c>
      <c r="W184">
        <f>VLOOKUP(Table4[[#This Row],[Shortname]], Comp[], 22, FALSE)</f>
        <v>0</v>
      </c>
      <c r="X184">
        <f>VLOOKUP(Table4[[#This Row],[Shortname]], Comp[], 23, FALSE)</f>
        <v>0</v>
      </c>
      <c r="Y184">
        <f>VLOOKUP(Table4[[#This Row],[Shortname]], Comp[], 24, FALSE)</f>
        <v>0</v>
      </c>
      <c r="Z184">
        <f>VLOOKUP(Table4[[#This Row],[Shortname]], Comp[], 25, FALSE)</f>
        <v>0</v>
      </c>
      <c r="AA184">
        <f>VLOOKUP(Table4[[#This Row],[Shortname]], Comp[], 26, FALSE)</f>
        <v>0</v>
      </c>
      <c r="AB184">
        <f>VLOOKUP(Table4[[#This Row],[Shortname]], Comp[], 27, FALSE)</f>
        <v>0</v>
      </c>
      <c r="AC184">
        <f>VLOOKUP(Table4[[#This Row],[Shortname]], Comp[], 28, FALSE)</f>
        <v>0</v>
      </c>
      <c r="AD184">
        <f>VLOOKUP(Table4[[#This Row],[Shortname]], Comp[], 29, FALSE)</f>
        <v>0</v>
      </c>
      <c r="AE184">
        <f>VLOOKUP(Table4[[#This Row],[Shortname]], Comp[], 30, FALSE)</f>
        <v>0</v>
      </c>
      <c r="AF184">
        <f>VLOOKUP(Table4[[#This Row],[Shortname]], Comp[], 31, FALSE)</f>
        <v>0</v>
      </c>
    </row>
    <row r="185" spans="1:32" x14ac:dyDescent="0.3">
      <c r="A185" s="7" t="s">
        <v>3182</v>
      </c>
      <c r="B185" s="7" t="s">
        <v>2897</v>
      </c>
      <c r="C185" t="s">
        <v>6624</v>
      </c>
      <c r="D185">
        <v>800</v>
      </c>
      <c r="E185">
        <v>800</v>
      </c>
      <c r="F185">
        <v>309</v>
      </c>
      <c r="G185">
        <f>VLOOKUP(Table4[[#This Row],[Shortname]], Comp[], 6, FALSE)</f>
        <v>446</v>
      </c>
      <c r="H185" s="14">
        <f>VLOOKUP(Table4[[#This Row],[Shortname]], Comp[], 7, FALSE)</f>
        <v>81.8</v>
      </c>
      <c r="I185">
        <f>VLOOKUP(Table4[[#This Row],[Shortname]], Comp[], 8, FALSE)</f>
        <v>0</v>
      </c>
      <c r="J185">
        <f>VLOOKUP(Table4[[#This Row],[Shortname]], Comp[], 9, FALSE)</f>
        <v>9.1999999999999993</v>
      </c>
      <c r="K185">
        <f>VLOOKUP(Table4[[#This Row],[Shortname]], Comp[], 10, FALSE)</f>
        <v>0</v>
      </c>
      <c r="L185">
        <f>VLOOKUP(Table4[[#This Row],[Shortname]], Comp[], 11, FALSE)</f>
        <v>9</v>
      </c>
      <c r="M185">
        <f>VLOOKUP(Table4[[#This Row],[Shortname]], Comp[],12, FALSE)</f>
        <v>0</v>
      </c>
      <c r="N185">
        <f>VLOOKUP(Table4[[#This Row],[Shortname]], Comp[], 13, FALSE)</f>
        <v>0</v>
      </c>
      <c r="O185">
        <f>VLOOKUP(Table4[[#This Row],[Shortname]], Comp[], 14, FALSE)</f>
        <v>0</v>
      </c>
      <c r="P185">
        <f>VLOOKUP(Table4[[#This Row],[Shortname]], Comp[], 15, FALSE)</f>
        <v>0</v>
      </c>
      <c r="Q185">
        <f>VLOOKUP(Table4[[#This Row],[Shortname]], Comp[], 16, FALSE)</f>
        <v>0</v>
      </c>
      <c r="R185">
        <f>VLOOKUP(Table4[[#This Row],[Shortname]], Comp[], 17, FALSE)</f>
        <v>0</v>
      </c>
      <c r="S185">
        <f>VLOOKUP(Table4[[#This Row],[Shortname]], Comp[], 18, FALSE)</f>
        <v>0</v>
      </c>
      <c r="T185">
        <f>VLOOKUP(Table4[[#This Row],[Shortname]], Comp[], 19, FALSE)</f>
        <v>0</v>
      </c>
      <c r="U185">
        <f>VLOOKUP(Table4[[#This Row],[Shortname]], Comp[], 20, FALSE)</f>
        <v>0</v>
      </c>
      <c r="V185">
        <f>VLOOKUP(Table4[[#This Row],[Shortname]], Comp[], 21, FALSE)</f>
        <v>0</v>
      </c>
      <c r="W185">
        <f>VLOOKUP(Table4[[#This Row],[Shortname]], Comp[], 22, FALSE)</f>
        <v>0</v>
      </c>
      <c r="X185">
        <f>VLOOKUP(Table4[[#This Row],[Shortname]], Comp[], 23, FALSE)</f>
        <v>0</v>
      </c>
      <c r="Y185">
        <f>VLOOKUP(Table4[[#This Row],[Shortname]], Comp[], 24, FALSE)</f>
        <v>0</v>
      </c>
      <c r="Z185">
        <f>VLOOKUP(Table4[[#This Row],[Shortname]], Comp[], 25, FALSE)</f>
        <v>0</v>
      </c>
      <c r="AA185">
        <f>VLOOKUP(Table4[[#This Row],[Shortname]], Comp[], 26, FALSE)</f>
        <v>0</v>
      </c>
      <c r="AB185">
        <f>VLOOKUP(Table4[[#This Row],[Shortname]], Comp[], 27, FALSE)</f>
        <v>0</v>
      </c>
      <c r="AC185">
        <f>VLOOKUP(Table4[[#This Row],[Shortname]], Comp[], 28, FALSE)</f>
        <v>0</v>
      </c>
      <c r="AD185">
        <f>VLOOKUP(Table4[[#This Row],[Shortname]], Comp[], 29, FALSE)</f>
        <v>0</v>
      </c>
      <c r="AE185">
        <f>VLOOKUP(Table4[[#This Row],[Shortname]], Comp[], 30, FALSE)</f>
        <v>0</v>
      </c>
      <c r="AF185">
        <f>VLOOKUP(Table4[[#This Row],[Shortname]], Comp[], 31, FALSE)</f>
        <v>0</v>
      </c>
    </row>
    <row r="186" spans="1:32" x14ac:dyDescent="0.3">
      <c r="A186" s="7" t="s">
        <v>3182</v>
      </c>
      <c r="B186" s="7" t="s">
        <v>2897</v>
      </c>
      <c r="C186" t="s">
        <v>6624</v>
      </c>
      <c r="D186">
        <v>900</v>
      </c>
      <c r="E186">
        <v>800</v>
      </c>
      <c r="F186">
        <v>225</v>
      </c>
      <c r="G186">
        <f>VLOOKUP(Table4[[#This Row],[Shortname]], Comp[], 6, FALSE)</f>
        <v>446</v>
      </c>
      <c r="H186" s="14">
        <f>VLOOKUP(Table4[[#This Row],[Shortname]], Comp[], 7, FALSE)</f>
        <v>81.8</v>
      </c>
      <c r="I186">
        <f>VLOOKUP(Table4[[#This Row],[Shortname]], Comp[], 8, FALSE)</f>
        <v>0</v>
      </c>
      <c r="J186">
        <f>VLOOKUP(Table4[[#This Row],[Shortname]], Comp[], 9, FALSE)</f>
        <v>9.1999999999999993</v>
      </c>
      <c r="K186">
        <f>VLOOKUP(Table4[[#This Row],[Shortname]], Comp[], 10, FALSE)</f>
        <v>0</v>
      </c>
      <c r="L186">
        <f>VLOOKUP(Table4[[#This Row],[Shortname]], Comp[], 11, FALSE)</f>
        <v>9</v>
      </c>
      <c r="M186">
        <f>VLOOKUP(Table4[[#This Row],[Shortname]], Comp[],12, FALSE)</f>
        <v>0</v>
      </c>
      <c r="N186">
        <f>VLOOKUP(Table4[[#This Row],[Shortname]], Comp[], 13, FALSE)</f>
        <v>0</v>
      </c>
      <c r="O186">
        <f>VLOOKUP(Table4[[#This Row],[Shortname]], Comp[], 14, FALSE)</f>
        <v>0</v>
      </c>
      <c r="P186">
        <f>VLOOKUP(Table4[[#This Row],[Shortname]], Comp[], 15, FALSE)</f>
        <v>0</v>
      </c>
      <c r="Q186">
        <f>VLOOKUP(Table4[[#This Row],[Shortname]], Comp[], 16, FALSE)</f>
        <v>0</v>
      </c>
      <c r="R186">
        <f>VLOOKUP(Table4[[#This Row],[Shortname]], Comp[], 17, FALSE)</f>
        <v>0</v>
      </c>
      <c r="S186">
        <f>VLOOKUP(Table4[[#This Row],[Shortname]], Comp[], 18, FALSE)</f>
        <v>0</v>
      </c>
      <c r="T186">
        <f>VLOOKUP(Table4[[#This Row],[Shortname]], Comp[], 19, FALSE)</f>
        <v>0</v>
      </c>
      <c r="U186">
        <f>VLOOKUP(Table4[[#This Row],[Shortname]], Comp[], 20, FALSE)</f>
        <v>0</v>
      </c>
      <c r="V186">
        <f>VLOOKUP(Table4[[#This Row],[Shortname]], Comp[], 21, FALSE)</f>
        <v>0</v>
      </c>
      <c r="W186">
        <f>VLOOKUP(Table4[[#This Row],[Shortname]], Comp[], 22, FALSE)</f>
        <v>0</v>
      </c>
      <c r="X186">
        <f>VLOOKUP(Table4[[#This Row],[Shortname]], Comp[], 23, FALSE)</f>
        <v>0</v>
      </c>
      <c r="Y186">
        <f>VLOOKUP(Table4[[#This Row],[Shortname]], Comp[], 24, FALSE)</f>
        <v>0</v>
      </c>
      <c r="Z186">
        <f>VLOOKUP(Table4[[#This Row],[Shortname]], Comp[], 25, FALSE)</f>
        <v>0</v>
      </c>
      <c r="AA186">
        <f>VLOOKUP(Table4[[#This Row],[Shortname]], Comp[], 26, FALSE)</f>
        <v>0</v>
      </c>
      <c r="AB186">
        <f>VLOOKUP(Table4[[#This Row],[Shortname]], Comp[], 27, FALSE)</f>
        <v>0</v>
      </c>
      <c r="AC186">
        <f>VLOOKUP(Table4[[#This Row],[Shortname]], Comp[], 28, FALSE)</f>
        <v>0</v>
      </c>
      <c r="AD186">
        <f>VLOOKUP(Table4[[#This Row],[Shortname]], Comp[], 29, FALSE)</f>
        <v>0</v>
      </c>
      <c r="AE186">
        <f>VLOOKUP(Table4[[#This Row],[Shortname]], Comp[], 30, FALSE)</f>
        <v>0</v>
      </c>
      <c r="AF186">
        <f>VLOOKUP(Table4[[#This Row],[Shortname]], Comp[], 31, FALSE)</f>
        <v>0</v>
      </c>
    </row>
    <row r="187" spans="1:32" x14ac:dyDescent="0.3">
      <c r="A187" s="7" t="s">
        <v>3182</v>
      </c>
      <c r="B187" s="7" t="s">
        <v>2897</v>
      </c>
      <c r="C187" t="s">
        <v>6624</v>
      </c>
      <c r="D187" s="25">
        <v>1000</v>
      </c>
      <c r="E187">
        <v>800</v>
      </c>
      <c r="F187">
        <v>128</v>
      </c>
      <c r="G187">
        <f>VLOOKUP(Table4[[#This Row],[Shortname]], Comp[], 6, FALSE)</f>
        <v>446</v>
      </c>
      <c r="H187" s="14">
        <f>VLOOKUP(Table4[[#This Row],[Shortname]], Comp[], 7, FALSE)</f>
        <v>81.8</v>
      </c>
      <c r="I187">
        <f>VLOOKUP(Table4[[#This Row],[Shortname]], Comp[], 8, FALSE)</f>
        <v>0</v>
      </c>
      <c r="J187">
        <f>VLOOKUP(Table4[[#This Row],[Shortname]], Comp[], 9, FALSE)</f>
        <v>9.1999999999999993</v>
      </c>
      <c r="K187">
        <f>VLOOKUP(Table4[[#This Row],[Shortname]], Comp[], 10, FALSE)</f>
        <v>0</v>
      </c>
      <c r="L187">
        <f>VLOOKUP(Table4[[#This Row],[Shortname]], Comp[], 11, FALSE)</f>
        <v>9</v>
      </c>
      <c r="M187">
        <f>VLOOKUP(Table4[[#This Row],[Shortname]], Comp[],12, FALSE)</f>
        <v>0</v>
      </c>
      <c r="N187">
        <f>VLOOKUP(Table4[[#This Row],[Shortname]], Comp[], 13, FALSE)</f>
        <v>0</v>
      </c>
      <c r="O187">
        <f>VLOOKUP(Table4[[#This Row],[Shortname]], Comp[], 14, FALSE)</f>
        <v>0</v>
      </c>
      <c r="P187">
        <f>VLOOKUP(Table4[[#This Row],[Shortname]], Comp[], 15, FALSE)</f>
        <v>0</v>
      </c>
      <c r="Q187">
        <f>VLOOKUP(Table4[[#This Row],[Shortname]], Comp[], 16, FALSE)</f>
        <v>0</v>
      </c>
      <c r="R187">
        <f>VLOOKUP(Table4[[#This Row],[Shortname]], Comp[], 17, FALSE)</f>
        <v>0</v>
      </c>
      <c r="S187">
        <f>VLOOKUP(Table4[[#This Row],[Shortname]], Comp[], 18, FALSE)</f>
        <v>0</v>
      </c>
      <c r="T187">
        <f>VLOOKUP(Table4[[#This Row],[Shortname]], Comp[], 19, FALSE)</f>
        <v>0</v>
      </c>
      <c r="U187">
        <f>VLOOKUP(Table4[[#This Row],[Shortname]], Comp[], 20, FALSE)</f>
        <v>0</v>
      </c>
      <c r="V187">
        <f>VLOOKUP(Table4[[#This Row],[Shortname]], Comp[], 21, FALSE)</f>
        <v>0</v>
      </c>
      <c r="W187">
        <f>VLOOKUP(Table4[[#This Row],[Shortname]], Comp[], 22, FALSE)</f>
        <v>0</v>
      </c>
      <c r="X187">
        <f>VLOOKUP(Table4[[#This Row],[Shortname]], Comp[], 23, FALSE)</f>
        <v>0</v>
      </c>
      <c r="Y187">
        <f>VLOOKUP(Table4[[#This Row],[Shortname]], Comp[], 24, FALSE)</f>
        <v>0</v>
      </c>
      <c r="Z187">
        <f>VLOOKUP(Table4[[#This Row],[Shortname]], Comp[], 25, FALSE)</f>
        <v>0</v>
      </c>
      <c r="AA187">
        <f>VLOOKUP(Table4[[#This Row],[Shortname]], Comp[], 26, FALSE)</f>
        <v>0</v>
      </c>
      <c r="AB187">
        <f>VLOOKUP(Table4[[#This Row],[Shortname]], Comp[], 27, FALSE)</f>
        <v>0</v>
      </c>
      <c r="AC187">
        <f>VLOOKUP(Table4[[#This Row],[Shortname]], Comp[], 28, FALSE)</f>
        <v>0</v>
      </c>
      <c r="AD187">
        <f>VLOOKUP(Table4[[#This Row],[Shortname]], Comp[], 29, FALSE)</f>
        <v>0</v>
      </c>
      <c r="AE187">
        <f>VLOOKUP(Table4[[#This Row],[Shortname]], Comp[], 30, FALSE)</f>
        <v>0</v>
      </c>
      <c r="AF187">
        <f>VLOOKUP(Table4[[#This Row],[Shortname]], Comp[], 31, FALSE)</f>
        <v>0</v>
      </c>
    </row>
    <row r="188" spans="1:32" x14ac:dyDescent="0.3">
      <c r="A188" s="7" t="s">
        <v>3203</v>
      </c>
      <c r="B188" s="7" t="s">
        <v>3204</v>
      </c>
      <c r="C188" s="11" t="s">
        <v>6788</v>
      </c>
      <c r="D188">
        <v>25</v>
      </c>
      <c r="E188">
        <v>800</v>
      </c>
      <c r="F188">
        <v>421</v>
      </c>
      <c r="G188">
        <f>VLOOKUP(Table4[[#This Row],[Shortname]], Comp[], 6, FALSE)</f>
        <v>450</v>
      </c>
      <c r="H188" s="14">
        <f>VLOOKUP(Table4[[#This Row],[Shortname]], Comp[], 7, FALSE)</f>
        <v>72.400000000000006</v>
      </c>
      <c r="I188">
        <f>VLOOKUP(Table4[[#This Row],[Shortname]], Comp[], 8, FALSE)</f>
        <v>9.9</v>
      </c>
      <c r="J188">
        <f>VLOOKUP(Table4[[#This Row],[Shortname]], Comp[], 9, FALSE)</f>
        <v>8.8000000000000007</v>
      </c>
      <c r="K188">
        <f>VLOOKUP(Table4[[#This Row],[Shortname]], Comp[], 10, FALSE)</f>
        <v>0</v>
      </c>
      <c r="L188">
        <f>VLOOKUP(Table4[[#This Row],[Shortname]], Comp[], 11, FALSE)</f>
        <v>8.9</v>
      </c>
      <c r="M188">
        <f>VLOOKUP(Table4[[#This Row],[Shortname]], Comp[],12, FALSE)</f>
        <v>0</v>
      </c>
      <c r="N188">
        <f>VLOOKUP(Table4[[#This Row],[Shortname]], Comp[], 13, FALSE)</f>
        <v>0</v>
      </c>
      <c r="O188">
        <f>VLOOKUP(Table4[[#This Row],[Shortname]], Comp[], 14, FALSE)</f>
        <v>0</v>
      </c>
      <c r="P188">
        <f>VLOOKUP(Table4[[#This Row],[Shortname]], Comp[], 15, FALSE)</f>
        <v>0</v>
      </c>
      <c r="Q188">
        <f>VLOOKUP(Table4[[#This Row],[Shortname]], Comp[], 16, FALSE)</f>
        <v>0</v>
      </c>
      <c r="R188">
        <f>VLOOKUP(Table4[[#This Row],[Shortname]], Comp[], 17, FALSE)</f>
        <v>0</v>
      </c>
      <c r="S188">
        <f>VLOOKUP(Table4[[#This Row],[Shortname]], Comp[], 18, FALSE)</f>
        <v>0</v>
      </c>
      <c r="T188">
        <f>VLOOKUP(Table4[[#This Row],[Shortname]], Comp[], 19, FALSE)</f>
        <v>0</v>
      </c>
      <c r="U188">
        <f>VLOOKUP(Table4[[#This Row],[Shortname]], Comp[], 20, FALSE)</f>
        <v>0</v>
      </c>
      <c r="V188">
        <f>VLOOKUP(Table4[[#This Row],[Shortname]], Comp[], 21, FALSE)</f>
        <v>0</v>
      </c>
      <c r="W188">
        <f>VLOOKUP(Table4[[#This Row],[Shortname]], Comp[], 22, FALSE)</f>
        <v>0</v>
      </c>
      <c r="X188">
        <f>VLOOKUP(Table4[[#This Row],[Shortname]], Comp[], 23, FALSE)</f>
        <v>0</v>
      </c>
      <c r="Y188">
        <f>VLOOKUP(Table4[[#This Row],[Shortname]], Comp[], 24, FALSE)</f>
        <v>0</v>
      </c>
      <c r="Z188">
        <f>VLOOKUP(Table4[[#This Row],[Shortname]], Comp[], 25, FALSE)</f>
        <v>0</v>
      </c>
      <c r="AA188">
        <f>VLOOKUP(Table4[[#This Row],[Shortname]], Comp[], 26, FALSE)</f>
        <v>0</v>
      </c>
      <c r="AB188">
        <f>VLOOKUP(Table4[[#This Row],[Shortname]], Comp[], 27, FALSE)</f>
        <v>0</v>
      </c>
      <c r="AC188">
        <f>VLOOKUP(Table4[[#This Row],[Shortname]], Comp[], 28, FALSE)</f>
        <v>0</v>
      </c>
      <c r="AD188">
        <f>VLOOKUP(Table4[[#This Row],[Shortname]], Comp[], 29, FALSE)</f>
        <v>0</v>
      </c>
      <c r="AE188">
        <f>VLOOKUP(Table4[[#This Row],[Shortname]], Comp[], 30, FALSE)</f>
        <v>0</v>
      </c>
      <c r="AF188">
        <f>VLOOKUP(Table4[[#This Row],[Shortname]], Comp[], 31, FALSE)</f>
        <v>0</v>
      </c>
    </row>
    <row r="189" spans="1:32" x14ac:dyDescent="0.3">
      <c r="A189" s="7" t="s">
        <v>3635</v>
      </c>
      <c r="B189" s="7" t="s">
        <v>3637</v>
      </c>
      <c r="C189" s="6" t="s">
        <v>3629</v>
      </c>
      <c r="D189">
        <v>25</v>
      </c>
      <c r="E189">
        <v>900</v>
      </c>
      <c r="F189">
        <v>374</v>
      </c>
      <c r="G189">
        <f>VLOOKUP(Table4[[#This Row],[Shortname]], Comp[], 6, FALSE)</f>
        <v>536</v>
      </c>
      <c r="H189" s="14">
        <f>VLOOKUP(Table4[[#This Row],[Shortname]], Comp[], 7, FALSE)</f>
        <v>70.47999999999999</v>
      </c>
      <c r="I189">
        <f>VLOOKUP(Table4[[#This Row],[Shortname]], Comp[], 8, FALSE)</f>
        <v>0</v>
      </c>
      <c r="J189">
        <f>VLOOKUP(Table4[[#This Row],[Shortname]], Comp[], 9, FALSE)</f>
        <v>16.940000000000001</v>
      </c>
      <c r="K189">
        <f>VLOOKUP(Table4[[#This Row],[Shortname]], Comp[], 10, FALSE)</f>
        <v>0</v>
      </c>
      <c r="L189">
        <f>VLOOKUP(Table4[[#This Row],[Shortname]], Comp[], 11, FALSE)</f>
        <v>3.16</v>
      </c>
      <c r="M189">
        <f>VLOOKUP(Table4[[#This Row],[Shortname]], Comp[],12, FALSE)</f>
        <v>9.42</v>
      </c>
      <c r="N189">
        <f>VLOOKUP(Table4[[#This Row],[Shortname]], Comp[], 13, FALSE)</f>
        <v>0</v>
      </c>
      <c r="O189">
        <f>VLOOKUP(Table4[[#This Row],[Shortname]], Comp[], 14, FALSE)</f>
        <v>0</v>
      </c>
      <c r="P189">
        <f>VLOOKUP(Table4[[#This Row],[Shortname]], Comp[], 15, FALSE)</f>
        <v>0</v>
      </c>
      <c r="Q189">
        <f>VLOOKUP(Table4[[#This Row],[Shortname]], Comp[], 16, FALSE)</f>
        <v>0</v>
      </c>
      <c r="R189">
        <f>VLOOKUP(Table4[[#This Row],[Shortname]], Comp[], 17, FALSE)</f>
        <v>0</v>
      </c>
      <c r="S189">
        <f>VLOOKUP(Table4[[#This Row],[Shortname]], Comp[], 18, FALSE)</f>
        <v>0</v>
      </c>
      <c r="T189">
        <f>VLOOKUP(Table4[[#This Row],[Shortname]], Comp[], 19, FALSE)</f>
        <v>0</v>
      </c>
      <c r="U189">
        <f>VLOOKUP(Table4[[#This Row],[Shortname]], Comp[], 20, FALSE)</f>
        <v>0</v>
      </c>
      <c r="V189">
        <f>VLOOKUP(Table4[[#This Row],[Shortname]], Comp[], 21, FALSE)</f>
        <v>0</v>
      </c>
      <c r="W189">
        <f>VLOOKUP(Table4[[#This Row],[Shortname]], Comp[], 22, FALSE)</f>
        <v>0</v>
      </c>
      <c r="X189">
        <f>VLOOKUP(Table4[[#This Row],[Shortname]], Comp[], 23, FALSE)</f>
        <v>0</v>
      </c>
      <c r="Y189">
        <f>VLOOKUP(Table4[[#This Row],[Shortname]], Comp[], 24, FALSE)</f>
        <v>0</v>
      </c>
      <c r="Z189">
        <f>VLOOKUP(Table4[[#This Row],[Shortname]], Comp[], 25, FALSE)</f>
        <v>0</v>
      </c>
      <c r="AA189">
        <f>VLOOKUP(Table4[[#This Row],[Shortname]], Comp[], 26, FALSE)</f>
        <v>0</v>
      </c>
      <c r="AB189">
        <f>VLOOKUP(Table4[[#This Row],[Shortname]], Comp[], 27, FALSE)</f>
        <v>0</v>
      </c>
      <c r="AC189">
        <f>VLOOKUP(Table4[[#This Row],[Shortname]], Comp[], 28, FALSE)</f>
        <v>0</v>
      </c>
      <c r="AD189">
        <f>VLOOKUP(Table4[[#This Row],[Shortname]], Comp[], 29, FALSE)</f>
        <v>0</v>
      </c>
      <c r="AE189">
        <f>VLOOKUP(Table4[[#This Row],[Shortname]], Comp[], 30, FALSE)</f>
        <v>0</v>
      </c>
      <c r="AF189">
        <f>VLOOKUP(Table4[[#This Row],[Shortname]], Comp[], 31, FALSE)</f>
        <v>0</v>
      </c>
    </row>
    <row r="190" spans="1:32" x14ac:dyDescent="0.3">
      <c r="A190" s="7" t="s">
        <v>3626</v>
      </c>
      <c r="B190" s="7" t="s">
        <v>3628</v>
      </c>
      <c r="C190" s="6" t="s">
        <v>3629</v>
      </c>
      <c r="D190">
        <v>25</v>
      </c>
      <c r="E190">
        <v>900</v>
      </c>
      <c r="F190">
        <v>364</v>
      </c>
      <c r="G190">
        <f>VLOOKUP(Table4[[#This Row],[Shortname]], Comp[], 6, FALSE)</f>
        <v>535</v>
      </c>
      <c r="H190" s="14">
        <f>VLOOKUP(Table4[[#This Row],[Shortname]], Comp[], 7, FALSE)</f>
        <v>68.259999999999991</v>
      </c>
      <c r="I190">
        <f>VLOOKUP(Table4[[#This Row],[Shortname]], Comp[], 8, FALSE)</f>
        <v>0</v>
      </c>
      <c r="J190">
        <f>VLOOKUP(Table4[[#This Row],[Shortname]], Comp[], 9, FALSE)</f>
        <v>16.87</v>
      </c>
      <c r="K190">
        <f>VLOOKUP(Table4[[#This Row],[Shortname]], Comp[], 10, FALSE)</f>
        <v>0</v>
      </c>
      <c r="L190">
        <f>VLOOKUP(Table4[[#This Row],[Shortname]], Comp[], 11, FALSE)</f>
        <v>3.15</v>
      </c>
      <c r="M190">
        <f>VLOOKUP(Table4[[#This Row],[Shortname]], Comp[],12, FALSE)</f>
        <v>11.72</v>
      </c>
      <c r="N190">
        <f>VLOOKUP(Table4[[#This Row],[Shortname]], Comp[], 13, FALSE)</f>
        <v>0</v>
      </c>
      <c r="O190">
        <f>VLOOKUP(Table4[[#This Row],[Shortname]], Comp[], 14, FALSE)</f>
        <v>0</v>
      </c>
      <c r="P190">
        <f>VLOOKUP(Table4[[#This Row],[Shortname]], Comp[], 15, FALSE)</f>
        <v>0</v>
      </c>
      <c r="Q190">
        <f>VLOOKUP(Table4[[#This Row],[Shortname]], Comp[], 16, FALSE)</f>
        <v>0</v>
      </c>
      <c r="R190">
        <f>VLOOKUP(Table4[[#This Row],[Shortname]], Comp[], 17, FALSE)</f>
        <v>0</v>
      </c>
      <c r="S190">
        <f>VLOOKUP(Table4[[#This Row],[Shortname]], Comp[], 18, FALSE)</f>
        <v>0</v>
      </c>
      <c r="T190">
        <f>VLOOKUP(Table4[[#This Row],[Shortname]], Comp[], 19, FALSE)</f>
        <v>0</v>
      </c>
      <c r="U190">
        <f>VLOOKUP(Table4[[#This Row],[Shortname]], Comp[], 20, FALSE)</f>
        <v>0</v>
      </c>
      <c r="V190">
        <f>VLOOKUP(Table4[[#This Row],[Shortname]], Comp[], 21, FALSE)</f>
        <v>0</v>
      </c>
      <c r="W190">
        <f>VLOOKUP(Table4[[#This Row],[Shortname]], Comp[], 22, FALSE)</f>
        <v>0</v>
      </c>
      <c r="X190">
        <f>VLOOKUP(Table4[[#This Row],[Shortname]], Comp[], 23, FALSE)</f>
        <v>0</v>
      </c>
      <c r="Y190">
        <f>VLOOKUP(Table4[[#This Row],[Shortname]], Comp[], 24, FALSE)</f>
        <v>0</v>
      </c>
      <c r="Z190">
        <f>VLOOKUP(Table4[[#This Row],[Shortname]], Comp[], 25, FALSE)</f>
        <v>0</v>
      </c>
      <c r="AA190">
        <f>VLOOKUP(Table4[[#This Row],[Shortname]], Comp[], 26, FALSE)</f>
        <v>0</v>
      </c>
      <c r="AB190">
        <f>VLOOKUP(Table4[[#This Row],[Shortname]], Comp[], 27, FALSE)</f>
        <v>0</v>
      </c>
      <c r="AC190">
        <f>VLOOKUP(Table4[[#This Row],[Shortname]], Comp[], 28, FALSE)</f>
        <v>0</v>
      </c>
      <c r="AD190">
        <f>VLOOKUP(Table4[[#This Row],[Shortname]], Comp[], 29, FALSE)</f>
        <v>0</v>
      </c>
      <c r="AE190">
        <f>VLOOKUP(Table4[[#This Row],[Shortname]], Comp[], 30, FALSE)</f>
        <v>0</v>
      </c>
      <c r="AF190">
        <f>VLOOKUP(Table4[[#This Row],[Shortname]], Comp[], 31, FALSE)</f>
        <v>0</v>
      </c>
    </row>
    <row r="191" spans="1:32" x14ac:dyDescent="0.3">
      <c r="A191" s="7" t="s">
        <v>3642</v>
      </c>
      <c r="B191" s="7" t="s">
        <v>5263</v>
      </c>
      <c r="C191" s="6" t="s">
        <v>3629</v>
      </c>
      <c r="D191">
        <v>25</v>
      </c>
      <c r="E191">
        <v>900</v>
      </c>
      <c r="F191">
        <v>343</v>
      </c>
      <c r="G191">
        <f>VLOOKUP(Table4[[#This Row],[Shortname]], Comp[], 6, FALSE)</f>
        <v>537</v>
      </c>
      <c r="H191" s="14">
        <f>VLOOKUP(Table4[[#This Row],[Shortname]], Comp[], 7, FALSE)</f>
        <v>72.710000000000008</v>
      </c>
      <c r="I191">
        <f>VLOOKUP(Table4[[#This Row],[Shortname]], Comp[], 8, FALSE)</f>
        <v>0</v>
      </c>
      <c r="J191">
        <f>VLOOKUP(Table4[[#This Row],[Shortname]], Comp[], 9, FALSE)</f>
        <v>17.02</v>
      </c>
      <c r="K191">
        <f>VLOOKUP(Table4[[#This Row],[Shortname]], Comp[], 10, FALSE)</f>
        <v>0</v>
      </c>
      <c r="L191">
        <f>VLOOKUP(Table4[[#This Row],[Shortname]], Comp[], 11, FALSE)</f>
        <v>3.18</v>
      </c>
      <c r="M191">
        <f>VLOOKUP(Table4[[#This Row],[Shortname]], Comp[],12, FALSE)</f>
        <v>7.09</v>
      </c>
      <c r="N191">
        <f>VLOOKUP(Table4[[#This Row],[Shortname]], Comp[], 13, FALSE)</f>
        <v>0</v>
      </c>
      <c r="O191">
        <f>VLOOKUP(Table4[[#This Row],[Shortname]], Comp[], 14, FALSE)</f>
        <v>0</v>
      </c>
      <c r="P191">
        <f>VLOOKUP(Table4[[#This Row],[Shortname]], Comp[], 15, FALSE)</f>
        <v>0</v>
      </c>
      <c r="Q191">
        <f>VLOOKUP(Table4[[#This Row],[Shortname]], Comp[], 16, FALSE)</f>
        <v>0</v>
      </c>
      <c r="R191">
        <f>VLOOKUP(Table4[[#This Row],[Shortname]], Comp[], 17, FALSE)</f>
        <v>0</v>
      </c>
      <c r="S191">
        <f>VLOOKUP(Table4[[#This Row],[Shortname]], Comp[], 18, FALSE)</f>
        <v>0</v>
      </c>
      <c r="T191">
        <f>VLOOKUP(Table4[[#This Row],[Shortname]], Comp[], 19, FALSE)</f>
        <v>0</v>
      </c>
      <c r="U191">
        <f>VLOOKUP(Table4[[#This Row],[Shortname]], Comp[], 20, FALSE)</f>
        <v>0</v>
      </c>
      <c r="V191">
        <f>VLOOKUP(Table4[[#This Row],[Shortname]], Comp[], 21, FALSE)</f>
        <v>0</v>
      </c>
      <c r="W191">
        <f>VLOOKUP(Table4[[#This Row],[Shortname]], Comp[], 22, FALSE)</f>
        <v>0</v>
      </c>
      <c r="X191">
        <f>VLOOKUP(Table4[[#This Row],[Shortname]], Comp[], 23, FALSE)</f>
        <v>0</v>
      </c>
      <c r="Y191">
        <f>VLOOKUP(Table4[[#This Row],[Shortname]], Comp[], 24, FALSE)</f>
        <v>0</v>
      </c>
      <c r="Z191">
        <f>VLOOKUP(Table4[[#This Row],[Shortname]], Comp[], 25, FALSE)</f>
        <v>0</v>
      </c>
      <c r="AA191">
        <f>VLOOKUP(Table4[[#This Row],[Shortname]], Comp[], 26, FALSE)</f>
        <v>0</v>
      </c>
      <c r="AB191">
        <f>VLOOKUP(Table4[[#This Row],[Shortname]], Comp[], 27, FALSE)</f>
        <v>0</v>
      </c>
      <c r="AC191">
        <f>VLOOKUP(Table4[[#This Row],[Shortname]], Comp[], 28, FALSE)</f>
        <v>0</v>
      </c>
      <c r="AD191">
        <f>VLOOKUP(Table4[[#This Row],[Shortname]], Comp[], 29, FALSE)</f>
        <v>0</v>
      </c>
      <c r="AE191">
        <f>VLOOKUP(Table4[[#This Row],[Shortname]], Comp[], 30, FALSE)</f>
        <v>0</v>
      </c>
      <c r="AF191">
        <f>VLOOKUP(Table4[[#This Row],[Shortname]], Comp[], 31, FALSE)</f>
        <v>0</v>
      </c>
    </row>
    <row r="192" spans="1:32" x14ac:dyDescent="0.3">
      <c r="A192" s="7" t="s">
        <v>3650</v>
      </c>
      <c r="B192" s="7" t="s">
        <v>3231</v>
      </c>
      <c r="C192" s="6" t="s">
        <v>3629</v>
      </c>
      <c r="D192">
        <v>25</v>
      </c>
      <c r="E192">
        <v>900</v>
      </c>
      <c r="F192">
        <v>329</v>
      </c>
      <c r="G192">
        <f>VLOOKUP(Table4[[#This Row],[Shortname]], Comp[], 6, FALSE)</f>
        <v>538</v>
      </c>
      <c r="H192" s="14">
        <f>VLOOKUP(Table4[[#This Row],[Shortname]], Comp[], 7, FALSE)</f>
        <v>76.099999999999994</v>
      </c>
      <c r="I192">
        <f>VLOOKUP(Table4[[#This Row],[Shortname]], Comp[], 8, FALSE)</f>
        <v>0</v>
      </c>
      <c r="J192">
        <f>VLOOKUP(Table4[[#This Row],[Shortname]], Comp[], 9, FALSE)</f>
        <v>17.13</v>
      </c>
      <c r="K192">
        <f>VLOOKUP(Table4[[#This Row],[Shortname]], Comp[], 10, FALSE)</f>
        <v>0</v>
      </c>
      <c r="L192">
        <f>VLOOKUP(Table4[[#This Row],[Shortname]], Comp[], 11, FALSE)</f>
        <v>3.2</v>
      </c>
      <c r="M192">
        <f>VLOOKUP(Table4[[#This Row],[Shortname]], Comp[],12, FALSE)</f>
        <v>3.57</v>
      </c>
      <c r="N192">
        <f>VLOOKUP(Table4[[#This Row],[Shortname]], Comp[], 13, FALSE)</f>
        <v>0</v>
      </c>
      <c r="O192">
        <f>VLOOKUP(Table4[[#This Row],[Shortname]], Comp[], 14, FALSE)</f>
        <v>0</v>
      </c>
      <c r="P192">
        <f>VLOOKUP(Table4[[#This Row],[Shortname]], Comp[], 15, FALSE)</f>
        <v>0</v>
      </c>
      <c r="Q192">
        <f>VLOOKUP(Table4[[#This Row],[Shortname]], Comp[], 16, FALSE)</f>
        <v>0</v>
      </c>
      <c r="R192">
        <f>VLOOKUP(Table4[[#This Row],[Shortname]], Comp[], 17, FALSE)</f>
        <v>0</v>
      </c>
      <c r="S192">
        <f>VLOOKUP(Table4[[#This Row],[Shortname]], Comp[], 18, FALSE)</f>
        <v>0</v>
      </c>
      <c r="T192">
        <f>VLOOKUP(Table4[[#This Row],[Shortname]], Comp[], 19, FALSE)</f>
        <v>0</v>
      </c>
      <c r="U192">
        <f>VLOOKUP(Table4[[#This Row],[Shortname]], Comp[], 20, FALSE)</f>
        <v>0</v>
      </c>
      <c r="V192">
        <f>VLOOKUP(Table4[[#This Row],[Shortname]], Comp[], 21, FALSE)</f>
        <v>0</v>
      </c>
      <c r="W192">
        <f>VLOOKUP(Table4[[#This Row],[Shortname]], Comp[], 22, FALSE)</f>
        <v>0</v>
      </c>
      <c r="X192">
        <f>VLOOKUP(Table4[[#This Row],[Shortname]], Comp[], 23, FALSE)</f>
        <v>0</v>
      </c>
      <c r="Y192">
        <f>VLOOKUP(Table4[[#This Row],[Shortname]], Comp[], 24, FALSE)</f>
        <v>0</v>
      </c>
      <c r="Z192">
        <f>VLOOKUP(Table4[[#This Row],[Shortname]], Comp[], 25, FALSE)</f>
        <v>0</v>
      </c>
      <c r="AA192">
        <f>VLOOKUP(Table4[[#This Row],[Shortname]], Comp[], 26, FALSE)</f>
        <v>0</v>
      </c>
      <c r="AB192">
        <f>VLOOKUP(Table4[[#This Row],[Shortname]], Comp[], 27, FALSE)</f>
        <v>0</v>
      </c>
      <c r="AC192">
        <f>VLOOKUP(Table4[[#This Row],[Shortname]], Comp[], 28, FALSE)</f>
        <v>0</v>
      </c>
      <c r="AD192">
        <f>VLOOKUP(Table4[[#This Row],[Shortname]], Comp[], 29, FALSE)</f>
        <v>0</v>
      </c>
      <c r="AE192">
        <f>VLOOKUP(Table4[[#This Row],[Shortname]], Comp[], 30, FALSE)</f>
        <v>0</v>
      </c>
      <c r="AF192">
        <f>VLOOKUP(Table4[[#This Row],[Shortname]], Comp[], 31, FALSE)</f>
        <v>0</v>
      </c>
    </row>
    <row r="193" spans="1:32" x14ac:dyDescent="0.3">
      <c r="A193" s="7" t="s">
        <v>3657</v>
      </c>
      <c r="B193" s="7" t="s">
        <v>3659</v>
      </c>
      <c r="C193" s="6" t="s">
        <v>3629</v>
      </c>
      <c r="D193">
        <v>25</v>
      </c>
      <c r="E193">
        <v>900</v>
      </c>
      <c r="F193">
        <v>321</v>
      </c>
      <c r="G193">
        <f>VLOOKUP(Table4[[#This Row],[Shortname]], Comp[], 6, FALSE)</f>
        <v>539</v>
      </c>
      <c r="H193" s="14">
        <f>VLOOKUP(Table4[[#This Row],[Shortname]], Comp[], 7, FALSE)</f>
        <v>78.39</v>
      </c>
      <c r="I193">
        <f>VLOOKUP(Table4[[#This Row],[Shortname]], Comp[], 8, FALSE)</f>
        <v>0</v>
      </c>
      <c r="J193">
        <f>VLOOKUP(Table4[[#This Row],[Shortname]], Comp[], 9, FALSE)</f>
        <v>17.2</v>
      </c>
      <c r="K193">
        <f>VLOOKUP(Table4[[#This Row],[Shortname]], Comp[], 10, FALSE)</f>
        <v>0</v>
      </c>
      <c r="L193">
        <f>VLOOKUP(Table4[[#This Row],[Shortname]], Comp[], 11, FALSE)</f>
        <v>3.21</v>
      </c>
      <c r="M193">
        <f>VLOOKUP(Table4[[#This Row],[Shortname]], Comp[],12, FALSE)</f>
        <v>1.2</v>
      </c>
      <c r="N193">
        <f>VLOOKUP(Table4[[#This Row],[Shortname]], Comp[], 13, FALSE)</f>
        <v>0</v>
      </c>
      <c r="O193">
        <f>VLOOKUP(Table4[[#This Row],[Shortname]], Comp[], 14, FALSE)</f>
        <v>0</v>
      </c>
      <c r="P193">
        <f>VLOOKUP(Table4[[#This Row],[Shortname]], Comp[], 15, FALSE)</f>
        <v>0</v>
      </c>
      <c r="Q193">
        <f>VLOOKUP(Table4[[#This Row],[Shortname]], Comp[], 16, FALSE)</f>
        <v>0</v>
      </c>
      <c r="R193">
        <f>VLOOKUP(Table4[[#This Row],[Shortname]], Comp[], 17, FALSE)</f>
        <v>0</v>
      </c>
      <c r="S193">
        <f>VLOOKUP(Table4[[#This Row],[Shortname]], Comp[], 18, FALSE)</f>
        <v>0</v>
      </c>
      <c r="T193">
        <f>VLOOKUP(Table4[[#This Row],[Shortname]], Comp[], 19, FALSE)</f>
        <v>0</v>
      </c>
      <c r="U193">
        <f>VLOOKUP(Table4[[#This Row],[Shortname]], Comp[], 20, FALSE)</f>
        <v>0</v>
      </c>
      <c r="V193">
        <f>VLOOKUP(Table4[[#This Row],[Shortname]], Comp[], 21, FALSE)</f>
        <v>0</v>
      </c>
      <c r="W193">
        <f>VLOOKUP(Table4[[#This Row],[Shortname]], Comp[], 22, FALSE)</f>
        <v>0</v>
      </c>
      <c r="X193">
        <f>VLOOKUP(Table4[[#This Row],[Shortname]], Comp[], 23, FALSE)</f>
        <v>0</v>
      </c>
      <c r="Y193">
        <f>VLOOKUP(Table4[[#This Row],[Shortname]], Comp[], 24, FALSE)</f>
        <v>0</v>
      </c>
      <c r="Z193">
        <f>VLOOKUP(Table4[[#This Row],[Shortname]], Comp[], 25, FALSE)</f>
        <v>0</v>
      </c>
      <c r="AA193">
        <f>VLOOKUP(Table4[[#This Row],[Shortname]], Comp[], 26, FALSE)</f>
        <v>0</v>
      </c>
      <c r="AB193">
        <f>VLOOKUP(Table4[[#This Row],[Shortname]], Comp[], 27, FALSE)</f>
        <v>0</v>
      </c>
      <c r="AC193">
        <f>VLOOKUP(Table4[[#This Row],[Shortname]], Comp[], 28, FALSE)</f>
        <v>0</v>
      </c>
      <c r="AD193">
        <f>VLOOKUP(Table4[[#This Row],[Shortname]], Comp[], 29, FALSE)</f>
        <v>0</v>
      </c>
      <c r="AE193">
        <f>VLOOKUP(Table4[[#This Row],[Shortname]], Comp[], 30, FALSE)</f>
        <v>0</v>
      </c>
      <c r="AF193">
        <f>VLOOKUP(Table4[[#This Row],[Shortname]], Comp[], 31, FALSE)</f>
        <v>0</v>
      </c>
    </row>
    <row r="194" spans="1:32" x14ac:dyDescent="0.3">
      <c r="A194" s="7" t="s">
        <v>3665</v>
      </c>
      <c r="B194" s="7" t="s">
        <v>3667</v>
      </c>
      <c r="C194" s="6" t="s">
        <v>3629</v>
      </c>
      <c r="D194">
        <v>25</v>
      </c>
      <c r="E194">
        <v>900</v>
      </c>
      <c r="F194">
        <v>316</v>
      </c>
      <c r="G194">
        <f>VLOOKUP(Table4[[#This Row],[Shortname]], Comp[], 6, FALSE)</f>
        <v>540</v>
      </c>
      <c r="H194" s="14">
        <f>VLOOKUP(Table4[[#This Row],[Shortname]], Comp[], 7, FALSE)</f>
        <v>79.53</v>
      </c>
      <c r="I194">
        <f>VLOOKUP(Table4[[#This Row],[Shortname]], Comp[], 8, FALSE)</f>
        <v>0</v>
      </c>
      <c r="J194">
        <f>VLOOKUP(Table4[[#This Row],[Shortname]], Comp[], 9, FALSE)</f>
        <v>17.25</v>
      </c>
      <c r="K194">
        <f>VLOOKUP(Table4[[#This Row],[Shortname]], Comp[], 10, FALSE)</f>
        <v>0</v>
      </c>
      <c r="L194">
        <f>VLOOKUP(Table4[[#This Row],[Shortname]], Comp[], 11, FALSE)</f>
        <v>3.22</v>
      </c>
      <c r="M194">
        <f>VLOOKUP(Table4[[#This Row],[Shortname]], Comp[],12, FALSE)</f>
        <v>0</v>
      </c>
      <c r="N194">
        <f>VLOOKUP(Table4[[#This Row],[Shortname]], Comp[], 13, FALSE)</f>
        <v>0</v>
      </c>
      <c r="O194">
        <f>VLOOKUP(Table4[[#This Row],[Shortname]], Comp[], 14, FALSE)</f>
        <v>0</v>
      </c>
      <c r="P194">
        <f>VLOOKUP(Table4[[#This Row],[Shortname]], Comp[], 15, FALSE)</f>
        <v>0</v>
      </c>
      <c r="Q194">
        <f>VLOOKUP(Table4[[#This Row],[Shortname]], Comp[], 16, FALSE)</f>
        <v>0</v>
      </c>
      <c r="R194">
        <f>VLOOKUP(Table4[[#This Row],[Shortname]], Comp[], 17, FALSE)</f>
        <v>0</v>
      </c>
      <c r="S194">
        <f>VLOOKUP(Table4[[#This Row],[Shortname]], Comp[], 18, FALSE)</f>
        <v>0</v>
      </c>
      <c r="T194">
        <f>VLOOKUP(Table4[[#This Row],[Shortname]], Comp[], 19, FALSE)</f>
        <v>0</v>
      </c>
      <c r="U194">
        <f>VLOOKUP(Table4[[#This Row],[Shortname]], Comp[], 20, FALSE)</f>
        <v>0</v>
      </c>
      <c r="V194">
        <f>VLOOKUP(Table4[[#This Row],[Shortname]], Comp[], 21, FALSE)</f>
        <v>0</v>
      </c>
      <c r="W194">
        <f>VLOOKUP(Table4[[#This Row],[Shortname]], Comp[], 22, FALSE)</f>
        <v>0</v>
      </c>
      <c r="X194">
        <f>VLOOKUP(Table4[[#This Row],[Shortname]], Comp[], 23, FALSE)</f>
        <v>0</v>
      </c>
      <c r="Y194">
        <f>VLOOKUP(Table4[[#This Row],[Shortname]], Comp[], 24, FALSE)</f>
        <v>0</v>
      </c>
      <c r="Z194">
        <f>VLOOKUP(Table4[[#This Row],[Shortname]], Comp[], 25, FALSE)</f>
        <v>0</v>
      </c>
      <c r="AA194">
        <f>VLOOKUP(Table4[[#This Row],[Shortname]], Comp[], 26, FALSE)</f>
        <v>0</v>
      </c>
      <c r="AB194">
        <f>VLOOKUP(Table4[[#This Row],[Shortname]], Comp[], 27, FALSE)</f>
        <v>0</v>
      </c>
      <c r="AC194">
        <f>VLOOKUP(Table4[[#This Row],[Shortname]], Comp[], 28, FALSE)</f>
        <v>0</v>
      </c>
      <c r="AD194">
        <f>VLOOKUP(Table4[[#This Row],[Shortname]], Comp[], 29, FALSE)</f>
        <v>0</v>
      </c>
      <c r="AE194">
        <f>VLOOKUP(Table4[[#This Row],[Shortname]], Comp[], 30, FALSE)</f>
        <v>0</v>
      </c>
      <c r="AF194">
        <f>VLOOKUP(Table4[[#This Row],[Shortname]], Comp[], 31, FALSE)</f>
        <v>0</v>
      </c>
    </row>
    <row r="195" spans="1:32" x14ac:dyDescent="0.3">
      <c r="A195" s="7" t="s">
        <v>3843</v>
      </c>
      <c r="B195" s="7" t="s">
        <v>3845</v>
      </c>
      <c r="C195" s="3" t="s">
        <v>3839</v>
      </c>
      <c r="D195">
        <v>25</v>
      </c>
      <c r="E195">
        <v>800</v>
      </c>
      <c r="F195">
        <v>551</v>
      </c>
      <c r="G195">
        <f>VLOOKUP(Table4[[#This Row],[Shortname]], Comp[], 6, FALSE)</f>
        <v>577</v>
      </c>
      <c r="H195" s="14">
        <f>VLOOKUP(Table4[[#This Row],[Shortname]], Comp[], 7, FALSE)</f>
        <v>80</v>
      </c>
      <c r="I195">
        <f>VLOOKUP(Table4[[#This Row],[Shortname]], Comp[], 8, FALSE)</f>
        <v>0</v>
      </c>
      <c r="J195">
        <f>VLOOKUP(Table4[[#This Row],[Shortname]], Comp[], 9, FALSE)</f>
        <v>9</v>
      </c>
      <c r="K195">
        <f>VLOOKUP(Table4[[#This Row],[Shortname]], Comp[], 10, FALSE)</f>
        <v>0</v>
      </c>
      <c r="L195">
        <f>VLOOKUP(Table4[[#This Row],[Shortname]], Comp[], 11, FALSE)</f>
        <v>4</v>
      </c>
      <c r="M195">
        <f>VLOOKUP(Table4[[#This Row],[Shortname]], Comp[],12, FALSE)</f>
        <v>0</v>
      </c>
      <c r="N195">
        <f>VLOOKUP(Table4[[#This Row],[Shortname]], Comp[], 13, FALSE)</f>
        <v>2</v>
      </c>
      <c r="O195">
        <f>VLOOKUP(Table4[[#This Row],[Shortname]], Comp[], 14, FALSE)</f>
        <v>0</v>
      </c>
      <c r="P195">
        <f>VLOOKUP(Table4[[#This Row],[Shortname]], Comp[], 15, FALSE)</f>
        <v>0</v>
      </c>
      <c r="Q195">
        <f>VLOOKUP(Table4[[#This Row],[Shortname]], Comp[], 16, FALSE)</f>
        <v>0</v>
      </c>
      <c r="R195">
        <f>VLOOKUP(Table4[[#This Row],[Shortname]], Comp[], 17, FALSE)</f>
        <v>0</v>
      </c>
      <c r="S195">
        <f>VLOOKUP(Table4[[#This Row],[Shortname]], Comp[], 18, FALSE)</f>
        <v>0</v>
      </c>
      <c r="T195">
        <f>VLOOKUP(Table4[[#This Row],[Shortname]], Comp[], 19, FALSE)</f>
        <v>0</v>
      </c>
      <c r="U195">
        <f>VLOOKUP(Table4[[#This Row],[Shortname]], Comp[], 20, FALSE)</f>
        <v>0</v>
      </c>
      <c r="V195">
        <f>VLOOKUP(Table4[[#This Row],[Shortname]], Comp[], 21, FALSE)</f>
        <v>0</v>
      </c>
      <c r="W195">
        <f>VLOOKUP(Table4[[#This Row],[Shortname]], Comp[], 22, FALSE)</f>
        <v>0</v>
      </c>
      <c r="X195">
        <f>VLOOKUP(Table4[[#This Row],[Shortname]], Comp[], 23, FALSE)</f>
        <v>0</v>
      </c>
      <c r="Y195">
        <f>VLOOKUP(Table4[[#This Row],[Shortname]], Comp[], 24, FALSE)</f>
        <v>0</v>
      </c>
      <c r="Z195">
        <f>VLOOKUP(Table4[[#This Row],[Shortname]], Comp[], 25, FALSE)</f>
        <v>5</v>
      </c>
      <c r="AA195">
        <f>VLOOKUP(Table4[[#This Row],[Shortname]], Comp[], 26, FALSE)</f>
        <v>0</v>
      </c>
      <c r="AB195">
        <f>VLOOKUP(Table4[[#This Row],[Shortname]], Comp[], 27, FALSE)</f>
        <v>0</v>
      </c>
      <c r="AC195">
        <f>VLOOKUP(Table4[[#This Row],[Shortname]], Comp[], 28, FALSE)</f>
        <v>0</v>
      </c>
      <c r="AD195">
        <f>VLOOKUP(Table4[[#This Row],[Shortname]], Comp[], 29, FALSE)</f>
        <v>0</v>
      </c>
      <c r="AE195">
        <f>VLOOKUP(Table4[[#This Row],[Shortname]], Comp[], 30, FALSE)</f>
        <v>0</v>
      </c>
      <c r="AF195">
        <f>VLOOKUP(Table4[[#This Row],[Shortname]], Comp[], 31, FALSE)</f>
        <v>0</v>
      </c>
    </row>
    <row r="196" spans="1:32" x14ac:dyDescent="0.3">
      <c r="A196" s="7" t="s">
        <v>3836</v>
      </c>
      <c r="B196" s="7" t="s">
        <v>3838</v>
      </c>
      <c r="C196" s="3" t="s">
        <v>3839</v>
      </c>
      <c r="D196">
        <v>25</v>
      </c>
      <c r="E196">
        <v>800</v>
      </c>
      <c r="F196">
        <v>528</v>
      </c>
      <c r="G196">
        <f>VLOOKUP(Table4[[#This Row],[Shortname]], Comp[], 6, FALSE)</f>
        <v>576</v>
      </c>
      <c r="H196" s="14">
        <f>VLOOKUP(Table4[[#This Row],[Shortname]], Comp[], 7, FALSE)</f>
        <v>80</v>
      </c>
      <c r="I196">
        <f>VLOOKUP(Table4[[#This Row],[Shortname]], Comp[], 8, FALSE)</f>
        <v>0</v>
      </c>
      <c r="J196">
        <f>VLOOKUP(Table4[[#This Row],[Shortname]], Comp[], 9, FALSE)</f>
        <v>9</v>
      </c>
      <c r="K196">
        <f>VLOOKUP(Table4[[#This Row],[Shortname]], Comp[], 10, FALSE)</f>
        <v>0</v>
      </c>
      <c r="L196">
        <f>VLOOKUP(Table4[[#This Row],[Shortname]], Comp[], 11, FALSE)</f>
        <v>7</v>
      </c>
      <c r="M196">
        <f>VLOOKUP(Table4[[#This Row],[Shortname]], Comp[],12, FALSE)</f>
        <v>0</v>
      </c>
      <c r="N196">
        <f>VLOOKUP(Table4[[#This Row],[Shortname]], Comp[], 13, FALSE)</f>
        <v>2</v>
      </c>
      <c r="O196">
        <f>VLOOKUP(Table4[[#This Row],[Shortname]], Comp[], 14, FALSE)</f>
        <v>0</v>
      </c>
      <c r="P196">
        <f>VLOOKUP(Table4[[#This Row],[Shortname]], Comp[], 15, FALSE)</f>
        <v>0</v>
      </c>
      <c r="Q196">
        <f>VLOOKUP(Table4[[#This Row],[Shortname]], Comp[], 16, FALSE)</f>
        <v>0</v>
      </c>
      <c r="R196">
        <f>VLOOKUP(Table4[[#This Row],[Shortname]], Comp[], 17, FALSE)</f>
        <v>0</v>
      </c>
      <c r="S196">
        <f>VLOOKUP(Table4[[#This Row],[Shortname]], Comp[], 18, FALSE)</f>
        <v>0</v>
      </c>
      <c r="T196">
        <f>VLOOKUP(Table4[[#This Row],[Shortname]], Comp[], 19, FALSE)</f>
        <v>0</v>
      </c>
      <c r="U196">
        <f>VLOOKUP(Table4[[#This Row],[Shortname]], Comp[], 20, FALSE)</f>
        <v>0</v>
      </c>
      <c r="V196">
        <f>VLOOKUP(Table4[[#This Row],[Shortname]], Comp[], 21, FALSE)</f>
        <v>0</v>
      </c>
      <c r="W196">
        <f>VLOOKUP(Table4[[#This Row],[Shortname]], Comp[], 22, FALSE)</f>
        <v>0</v>
      </c>
      <c r="X196">
        <f>VLOOKUP(Table4[[#This Row],[Shortname]], Comp[], 23, FALSE)</f>
        <v>0</v>
      </c>
      <c r="Y196">
        <f>VLOOKUP(Table4[[#This Row],[Shortname]], Comp[], 24, FALSE)</f>
        <v>0</v>
      </c>
      <c r="Z196">
        <f>VLOOKUP(Table4[[#This Row],[Shortname]], Comp[], 25, FALSE)</f>
        <v>2</v>
      </c>
      <c r="AA196">
        <f>VLOOKUP(Table4[[#This Row],[Shortname]], Comp[], 26, FALSE)</f>
        <v>0</v>
      </c>
      <c r="AB196">
        <f>VLOOKUP(Table4[[#This Row],[Shortname]], Comp[], 27, FALSE)</f>
        <v>0</v>
      </c>
      <c r="AC196">
        <f>VLOOKUP(Table4[[#This Row],[Shortname]], Comp[], 28, FALSE)</f>
        <v>0</v>
      </c>
      <c r="AD196">
        <f>VLOOKUP(Table4[[#This Row],[Shortname]], Comp[], 29, FALSE)</f>
        <v>0</v>
      </c>
      <c r="AE196">
        <f>VLOOKUP(Table4[[#This Row],[Shortname]], Comp[], 30, FALSE)</f>
        <v>0</v>
      </c>
      <c r="AF196">
        <f>VLOOKUP(Table4[[#This Row],[Shortname]], Comp[], 31, FALSE)</f>
        <v>0</v>
      </c>
    </row>
    <row r="197" spans="1:32" x14ac:dyDescent="0.3">
      <c r="A197" s="7" t="s">
        <v>3857</v>
      </c>
      <c r="B197" s="7" t="s">
        <v>3859</v>
      </c>
      <c r="C197" s="3" t="s">
        <v>3839</v>
      </c>
      <c r="D197">
        <v>25</v>
      </c>
      <c r="E197">
        <v>800</v>
      </c>
      <c r="F197">
        <v>528</v>
      </c>
      <c r="G197">
        <f>VLOOKUP(Table4[[#This Row],[Shortname]], Comp[], 6, FALSE)</f>
        <v>579</v>
      </c>
      <c r="H197" s="14">
        <f>VLOOKUP(Table4[[#This Row],[Shortname]], Comp[], 7, FALSE)</f>
        <v>80</v>
      </c>
      <c r="I197">
        <f>VLOOKUP(Table4[[#This Row],[Shortname]], Comp[], 8, FALSE)</f>
        <v>0</v>
      </c>
      <c r="J197">
        <f>VLOOKUP(Table4[[#This Row],[Shortname]], Comp[], 9, FALSE)</f>
        <v>9</v>
      </c>
      <c r="K197">
        <f>VLOOKUP(Table4[[#This Row],[Shortname]], Comp[], 10, FALSE)</f>
        <v>0</v>
      </c>
      <c r="L197">
        <f>VLOOKUP(Table4[[#This Row],[Shortname]], Comp[], 11, FALSE)</f>
        <v>0</v>
      </c>
      <c r="M197">
        <f>VLOOKUP(Table4[[#This Row],[Shortname]], Comp[],12, FALSE)</f>
        <v>0</v>
      </c>
      <c r="N197">
        <f>VLOOKUP(Table4[[#This Row],[Shortname]], Comp[], 13, FALSE)</f>
        <v>2</v>
      </c>
      <c r="O197">
        <f>VLOOKUP(Table4[[#This Row],[Shortname]], Comp[], 14, FALSE)</f>
        <v>0</v>
      </c>
      <c r="P197">
        <f>VLOOKUP(Table4[[#This Row],[Shortname]], Comp[], 15, FALSE)</f>
        <v>0</v>
      </c>
      <c r="Q197">
        <f>VLOOKUP(Table4[[#This Row],[Shortname]], Comp[], 16, FALSE)</f>
        <v>0</v>
      </c>
      <c r="R197">
        <f>VLOOKUP(Table4[[#This Row],[Shortname]], Comp[], 17, FALSE)</f>
        <v>0</v>
      </c>
      <c r="S197">
        <f>VLOOKUP(Table4[[#This Row],[Shortname]], Comp[], 18, FALSE)</f>
        <v>0</v>
      </c>
      <c r="T197">
        <f>VLOOKUP(Table4[[#This Row],[Shortname]], Comp[], 19, FALSE)</f>
        <v>0</v>
      </c>
      <c r="U197">
        <f>VLOOKUP(Table4[[#This Row],[Shortname]], Comp[], 20, FALSE)</f>
        <v>0</v>
      </c>
      <c r="V197">
        <f>VLOOKUP(Table4[[#This Row],[Shortname]], Comp[], 21, FALSE)</f>
        <v>0</v>
      </c>
      <c r="W197">
        <f>VLOOKUP(Table4[[#This Row],[Shortname]], Comp[], 22, FALSE)</f>
        <v>0</v>
      </c>
      <c r="X197">
        <f>VLOOKUP(Table4[[#This Row],[Shortname]], Comp[], 23, FALSE)</f>
        <v>0</v>
      </c>
      <c r="Y197">
        <f>VLOOKUP(Table4[[#This Row],[Shortname]], Comp[], 24, FALSE)</f>
        <v>0</v>
      </c>
      <c r="Z197">
        <f>VLOOKUP(Table4[[#This Row],[Shortname]], Comp[], 25, FALSE)</f>
        <v>9</v>
      </c>
      <c r="AA197">
        <f>VLOOKUP(Table4[[#This Row],[Shortname]], Comp[], 26, FALSE)</f>
        <v>0</v>
      </c>
      <c r="AB197">
        <f>VLOOKUP(Table4[[#This Row],[Shortname]], Comp[], 27, FALSE)</f>
        <v>0</v>
      </c>
      <c r="AC197">
        <f>VLOOKUP(Table4[[#This Row],[Shortname]], Comp[], 28, FALSE)</f>
        <v>0</v>
      </c>
      <c r="AD197">
        <f>VLOOKUP(Table4[[#This Row],[Shortname]], Comp[], 29, FALSE)</f>
        <v>0</v>
      </c>
      <c r="AE197">
        <f>VLOOKUP(Table4[[#This Row],[Shortname]], Comp[], 30, FALSE)</f>
        <v>0</v>
      </c>
      <c r="AF197">
        <f>VLOOKUP(Table4[[#This Row],[Shortname]], Comp[], 31, FALSE)</f>
        <v>0</v>
      </c>
    </row>
    <row r="198" spans="1:32" x14ac:dyDescent="0.3">
      <c r="A198" s="7" t="s">
        <v>3850</v>
      </c>
      <c r="B198" s="7" t="s">
        <v>3852</v>
      </c>
      <c r="C198" s="3" t="s">
        <v>3839</v>
      </c>
      <c r="D198">
        <v>25</v>
      </c>
      <c r="E198">
        <v>800</v>
      </c>
      <c r="F198">
        <v>511</v>
      </c>
      <c r="G198">
        <f>VLOOKUP(Table4[[#This Row],[Shortname]], Comp[], 6, FALSE)</f>
        <v>578</v>
      </c>
      <c r="H198" s="14">
        <f>VLOOKUP(Table4[[#This Row],[Shortname]], Comp[], 7, FALSE)</f>
        <v>80</v>
      </c>
      <c r="I198">
        <f>VLOOKUP(Table4[[#This Row],[Shortname]], Comp[], 8, FALSE)</f>
        <v>0</v>
      </c>
      <c r="J198">
        <f>VLOOKUP(Table4[[#This Row],[Shortname]], Comp[], 9, FALSE)</f>
        <v>9</v>
      </c>
      <c r="K198">
        <f>VLOOKUP(Table4[[#This Row],[Shortname]], Comp[], 10, FALSE)</f>
        <v>0</v>
      </c>
      <c r="L198">
        <f>VLOOKUP(Table4[[#This Row],[Shortname]], Comp[], 11, FALSE)</f>
        <v>3</v>
      </c>
      <c r="M198">
        <f>VLOOKUP(Table4[[#This Row],[Shortname]], Comp[],12, FALSE)</f>
        <v>0</v>
      </c>
      <c r="N198">
        <f>VLOOKUP(Table4[[#This Row],[Shortname]], Comp[], 13, FALSE)</f>
        <v>2</v>
      </c>
      <c r="O198">
        <f>VLOOKUP(Table4[[#This Row],[Shortname]], Comp[], 14, FALSE)</f>
        <v>0</v>
      </c>
      <c r="P198">
        <f>VLOOKUP(Table4[[#This Row],[Shortname]], Comp[], 15, FALSE)</f>
        <v>0</v>
      </c>
      <c r="Q198">
        <f>VLOOKUP(Table4[[#This Row],[Shortname]], Comp[], 16, FALSE)</f>
        <v>0</v>
      </c>
      <c r="R198">
        <f>VLOOKUP(Table4[[#This Row],[Shortname]], Comp[], 17, FALSE)</f>
        <v>0</v>
      </c>
      <c r="S198">
        <f>VLOOKUP(Table4[[#This Row],[Shortname]], Comp[], 18, FALSE)</f>
        <v>0</v>
      </c>
      <c r="T198">
        <f>VLOOKUP(Table4[[#This Row],[Shortname]], Comp[], 19, FALSE)</f>
        <v>0</v>
      </c>
      <c r="U198">
        <f>VLOOKUP(Table4[[#This Row],[Shortname]], Comp[], 20, FALSE)</f>
        <v>0</v>
      </c>
      <c r="V198">
        <f>VLOOKUP(Table4[[#This Row],[Shortname]], Comp[], 21, FALSE)</f>
        <v>0</v>
      </c>
      <c r="W198">
        <f>VLOOKUP(Table4[[#This Row],[Shortname]], Comp[], 22, FALSE)</f>
        <v>0</v>
      </c>
      <c r="X198">
        <f>VLOOKUP(Table4[[#This Row],[Shortname]], Comp[], 23, FALSE)</f>
        <v>0</v>
      </c>
      <c r="Y198">
        <f>VLOOKUP(Table4[[#This Row],[Shortname]], Comp[], 24, FALSE)</f>
        <v>0</v>
      </c>
      <c r="Z198">
        <f>VLOOKUP(Table4[[#This Row],[Shortname]], Comp[], 25, FALSE)</f>
        <v>6</v>
      </c>
      <c r="AA198">
        <f>VLOOKUP(Table4[[#This Row],[Shortname]], Comp[], 26, FALSE)</f>
        <v>0</v>
      </c>
      <c r="AB198">
        <f>VLOOKUP(Table4[[#This Row],[Shortname]], Comp[], 27, FALSE)</f>
        <v>0</v>
      </c>
      <c r="AC198">
        <f>VLOOKUP(Table4[[#This Row],[Shortname]], Comp[], 28, FALSE)</f>
        <v>0</v>
      </c>
      <c r="AD198">
        <f>VLOOKUP(Table4[[#This Row],[Shortname]], Comp[], 29, FALSE)</f>
        <v>0</v>
      </c>
      <c r="AE198">
        <f>VLOOKUP(Table4[[#This Row],[Shortname]], Comp[], 30, FALSE)</f>
        <v>0</v>
      </c>
      <c r="AF198">
        <f>VLOOKUP(Table4[[#This Row],[Shortname]], Comp[], 31, FALSE)</f>
        <v>0</v>
      </c>
    </row>
    <row r="199" spans="1:32" x14ac:dyDescent="0.3">
      <c r="A199" s="7" t="s">
        <v>672</v>
      </c>
      <c r="B199" s="7" t="s">
        <v>4967</v>
      </c>
      <c r="C199" s="3" t="s">
        <v>4968</v>
      </c>
      <c r="D199">
        <v>25</v>
      </c>
      <c r="E199">
        <v>900</v>
      </c>
      <c r="F199">
        <v>363</v>
      </c>
      <c r="G199">
        <f>VLOOKUP(Table4[[#This Row],[Shortname]], Comp[], 6, FALSE)</f>
        <v>86</v>
      </c>
      <c r="H199" s="14">
        <f>VLOOKUP(Table4[[#This Row],[Shortname]], Comp[], 7, FALSE)</f>
        <v>66</v>
      </c>
      <c r="I199">
        <f>VLOOKUP(Table4[[#This Row],[Shortname]], Comp[], 8, FALSE)</f>
        <v>15</v>
      </c>
      <c r="J199">
        <f>VLOOKUP(Table4[[#This Row],[Shortname]], Comp[], 9, FALSE)</f>
        <v>9</v>
      </c>
      <c r="K199">
        <f>VLOOKUP(Table4[[#This Row],[Shortname]], Comp[], 10, FALSE)</f>
        <v>0</v>
      </c>
      <c r="L199">
        <f>VLOOKUP(Table4[[#This Row],[Shortname]], Comp[], 11, FALSE)</f>
        <v>10</v>
      </c>
      <c r="M199">
        <f>VLOOKUP(Table4[[#This Row],[Shortname]], Comp[],12, FALSE)</f>
        <v>0</v>
      </c>
      <c r="N199">
        <f>VLOOKUP(Table4[[#This Row],[Shortname]], Comp[], 13, FALSE)</f>
        <v>0</v>
      </c>
      <c r="O199">
        <f>VLOOKUP(Table4[[#This Row],[Shortname]], Comp[], 14, FALSE)</f>
        <v>0</v>
      </c>
      <c r="P199">
        <f>VLOOKUP(Table4[[#This Row],[Shortname]], Comp[], 15, FALSE)</f>
        <v>0</v>
      </c>
      <c r="Q199">
        <f>VLOOKUP(Table4[[#This Row],[Shortname]], Comp[], 16, FALSE)</f>
        <v>0</v>
      </c>
      <c r="R199">
        <f>VLOOKUP(Table4[[#This Row],[Shortname]], Comp[], 17, FALSE)</f>
        <v>0</v>
      </c>
      <c r="S199">
        <f>VLOOKUP(Table4[[#This Row],[Shortname]], Comp[], 18, FALSE)</f>
        <v>0</v>
      </c>
      <c r="T199">
        <f>VLOOKUP(Table4[[#This Row],[Shortname]], Comp[], 19, FALSE)</f>
        <v>0</v>
      </c>
      <c r="U199">
        <f>VLOOKUP(Table4[[#This Row],[Shortname]], Comp[], 20, FALSE)</f>
        <v>0</v>
      </c>
      <c r="V199">
        <f>VLOOKUP(Table4[[#This Row],[Shortname]], Comp[], 21, FALSE)</f>
        <v>0</v>
      </c>
      <c r="W199">
        <f>VLOOKUP(Table4[[#This Row],[Shortname]], Comp[], 22, FALSE)</f>
        <v>0</v>
      </c>
      <c r="X199">
        <f>VLOOKUP(Table4[[#This Row],[Shortname]], Comp[], 23, FALSE)</f>
        <v>0</v>
      </c>
      <c r="Y199">
        <f>VLOOKUP(Table4[[#This Row],[Shortname]], Comp[], 24, FALSE)</f>
        <v>0</v>
      </c>
      <c r="Z199">
        <f>VLOOKUP(Table4[[#This Row],[Shortname]], Comp[], 25, FALSE)</f>
        <v>0</v>
      </c>
      <c r="AA199">
        <f>VLOOKUP(Table4[[#This Row],[Shortname]], Comp[], 26, FALSE)</f>
        <v>0</v>
      </c>
      <c r="AB199">
        <f>VLOOKUP(Table4[[#This Row],[Shortname]], Comp[], 27, FALSE)</f>
        <v>0</v>
      </c>
      <c r="AC199">
        <f>VLOOKUP(Table4[[#This Row],[Shortname]], Comp[], 28, FALSE)</f>
        <v>0</v>
      </c>
      <c r="AD199">
        <f>VLOOKUP(Table4[[#This Row],[Shortname]], Comp[], 29, FALSE)</f>
        <v>0</v>
      </c>
      <c r="AE199">
        <f>VLOOKUP(Table4[[#This Row],[Shortname]], Comp[], 30, FALSE)</f>
        <v>0</v>
      </c>
      <c r="AF199">
        <f>VLOOKUP(Table4[[#This Row],[Shortname]], Comp[], 31, FALSE)</f>
        <v>0</v>
      </c>
    </row>
    <row r="200" spans="1:32" x14ac:dyDescent="0.3">
      <c r="A200" s="7" t="s">
        <v>682</v>
      </c>
      <c r="B200" s="7" t="s">
        <v>4970</v>
      </c>
      <c r="C200" s="3" t="s">
        <v>4968</v>
      </c>
      <c r="D200">
        <v>25</v>
      </c>
      <c r="E200">
        <v>900</v>
      </c>
      <c r="F200">
        <v>360</v>
      </c>
      <c r="G200">
        <f>VLOOKUP(Table4[[#This Row],[Shortname]], Comp[], 6, FALSE)</f>
        <v>87</v>
      </c>
      <c r="H200" s="14">
        <f>VLOOKUP(Table4[[#This Row],[Shortname]], Comp[], 7, FALSE)</f>
        <v>56</v>
      </c>
      <c r="I200">
        <f>VLOOKUP(Table4[[#This Row],[Shortname]], Comp[], 8, FALSE)</f>
        <v>25</v>
      </c>
      <c r="J200">
        <f>VLOOKUP(Table4[[#This Row],[Shortname]], Comp[], 9, FALSE)</f>
        <v>9</v>
      </c>
      <c r="K200">
        <f>VLOOKUP(Table4[[#This Row],[Shortname]], Comp[], 10, FALSE)</f>
        <v>0</v>
      </c>
      <c r="L200">
        <f>VLOOKUP(Table4[[#This Row],[Shortname]], Comp[], 11, FALSE)</f>
        <v>10</v>
      </c>
      <c r="M200">
        <f>VLOOKUP(Table4[[#This Row],[Shortname]], Comp[],12, FALSE)</f>
        <v>0</v>
      </c>
      <c r="N200">
        <f>VLOOKUP(Table4[[#This Row],[Shortname]], Comp[], 13, FALSE)</f>
        <v>0</v>
      </c>
      <c r="O200">
        <f>VLOOKUP(Table4[[#This Row],[Shortname]], Comp[], 14, FALSE)</f>
        <v>0</v>
      </c>
      <c r="P200">
        <f>VLOOKUP(Table4[[#This Row],[Shortname]], Comp[], 15, FALSE)</f>
        <v>0</v>
      </c>
      <c r="Q200">
        <f>VLOOKUP(Table4[[#This Row],[Shortname]], Comp[], 16, FALSE)</f>
        <v>0</v>
      </c>
      <c r="R200">
        <f>VLOOKUP(Table4[[#This Row],[Shortname]], Comp[], 17, FALSE)</f>
        <v>0</v>
      </c>
      <c r="S200">
        <f>VLOOKUP(Table4[[#This Row],[Shortname]], Comp[], 18, FALSE)</f>
        <v>0</v>
      </c>
      <c r="T200">
        <f>VLOOKUP(Table4[[#This Row],[Shortname]], Comp[], 19, FALSE)</f>
        <v>0</v>
      </c>
      <c r="U200">
        <f>VLOOKUP(Table4[[#This Row],[Shortname]], Comp[], 20, FALSE)</f>
        <v>0</v>
      </c>
      <c r="V200">
        <f>VLOOKUP(Table4[[#This Row],[Shortname]], Comp[], 21, FALSE)</f>
        <v>0</v>
      </c>
      <c r="W200">
        <f>VLOOKUP(Table4[[#This Row],[Shortname]], Comp[], 22, FALSE)</f>
        <v>0</v>
      </c>
      <c r="X200">
        <f>VLOOKUP(Table4[[#This Row],[Shortname]], Comp[], 23, FALSE)</f>
        <v>0</v>
      </c>
      <c r="Y200">
        <f>VLOOKUP(Table4[[#This Row],[Shortname]], Comp[], 24, FALSE)</f>
        <v>0</v>
      </c>
      <c r="Z200">
        <f>VLOOKUP(Table4[[#This Row],[Shortname]], Comp[], 25, FALSE)</f>
        <v>0</v>
      </c>
      <c r="AA200">
        <f>VLOOKUP(Table4[[#This Row],[Shortname]], Comp[], 26, FALSE)</f>
        <v>0</v>
      </c>
      <c r="AB200">
        <f>VLOOKUP(Table4[[#This Row],[Shortname]], Comp[], 27, FALSE)</f>
        <v>0</v>
      </c>
      <c r="AC200">
        <f>VLOOKUP(Table4[[#This Row],[Shortname]], Comp[], 28, FALSE)</f>
        <v>0</v>
      </c>
      <c r="AD200">
        <f>VLOOKUP(Table4[[#This Row],[Shortname]], Comp[], 29, FALSE)</f>
        <v>0</v>
      </c>
      <c r="AE200">
        <f>VLOOKUP(Table4[[#This Row],[Shortname]], Comp[], 30, FALSE)</f>
        <v>0</v>
      </c>
      <c r="AF200">
        <f>VLOOKUP(Table4[[#This Row],[Shortname]], Comp[], 31, FALSE)</f>
        <v>0</v>
      </c>
    </row>
    <row r="201" spans="1:32" x14ac:dyDescent="0.3">
      <c r="A201" s="7" t="s">
        <v>689</v>
      </c>
      <c r="B201" s="7" t="s">
        <v>4972</v>
      </c>
      <c r="C201" s="3" t="s">
        <v>4968</v>
      </c>
      <c r="D201">
        <v>25</v>
      </c>
      <c r="E201">
        <v>900</v>
      </c>
      <c r="F201">
        <v>341</v>
      </c>
      <c r="G201">
        <f>VLOOKUP(Table4[[#This Row],[Shortname]], Comp[], 6, FALSE)</f>
        <v>88</v>
      </c>
      <c r="H201" s="14">
        <f>VLOOKUP(Table4[[#This Row],[Shortname]], Comp[], 7, FALSE)</f>
        <v>46</v>
      </c>
      <c r="I201">
        <f>VLOOKUP(Table4[[#This Row],[Shortname]], Comp[], 8, FALSE)</f>
        <v>35</v>
      </c>
      <c r="J201">
        <f>VLOOKUP(Table4[[#This Row],[Shortname]], Comp[], 9, FALSE)</f>
        <v>9</v>
      </c>
      <c r="K201">
        <f>VLOOKUP(Table4[[#This Row],[Shortname]], Comp[], 10, FALSE)</f>
        <v>0</v>
      </c>
      <c r="L201">
        <f>VLOOKUP(Table4[[#This Row],[Shortname]], Comp[], 11, FALSE)</f>
        <v>10</v>
      </c>
      <c r="M201">
        <f>VLOOKUP(Table4[[#This Row],[Shortname]], Comp[],12, FALSE)</f>
        <v>0</v>
      </c>
      <c r="N201">
        <f>VLOOKUP(Table4[[#This Row],[Shortname]], Comp[], 13, FALSE)</f>
        <v>0</v>
      </c>
      <c r="O201">
        <f>VLOOKUP(Table4[[#This Row],[Shortname]], Comp[], 14, FALSE)</f>
        <v>0</v>
      </c>
      <c r="P201">
        <f>VLOOKUP(Table4[[#This Row],[Shortname]], Comp[], 15, FALSE)</f>
        <v>0</v>
      </c>
      <c r="Q201">
        <f>VLOOKUP(Table4[[#This Row],[Shortname]], Comp[], 16, FALSE)</f>
        <v>0</v>
      </c>
      <c r="R201">
        <f>VLOOKUP(Table4[[#This Row],[Shortname]], Comp[], 17, FALSE)</f>
        <v>0</v>
      </c>
      <c r="S201">
        <f>VLOOKUP(Table4[[#This Row],[Shortname]], Comp[], 18, FALSE)</f>
        <v>0</v>
      </c>
      <c r="T201">
        <f>VLOOKUP(Table4[[#This Row],[Shortname]], Comp[], 19, FALSE)</f>
        <v>0</v>
      </c>
      <c r="U201">
        <f>VLOOKUP(Table4[[#This Row],[Shortname]], Comp[], 20, FALSE)</f>
        <v>0</v>
      </c>
      <c r="V201">
        <f>VLOOKUP(Table4[[#This Row],[Shortname]], Comp[], 21, FALSE)</f>
        <v>0</v>
      </c>
      <c r="W201">
        <f>VLOOKUP(Table4[[#This Row],[Shortname]], Comp[], 22, FALSE)</f>
        <v>0</v>
      </c>
      <c r="X201">
        <f>VLOOKUP(Table4[[#This Row],[Shortname]], Comp[], 23, FALSE)</f>
        <v>0</v>
      </c>
      <c r="Y201">
        <f>VLOOKUP(Table4[[#This Row],[Shortname]], Comp[], 24, FALSE)</f>
        <v>0</v>
      </c>
      <c r="Z201">
        <f>VLOOKUP(Table4[[#This Row],[Shortname]], Comp[], 25, FALSE)</f>
        <v>0</v>
      </c>
      <c r="AA201">
        <f>VLOOKUP(Table4[[#This Row],[Shortname]], Comp[], 26, FALSE)</f>
        <v>0</v>
      </c>
      <c r="AB201">
        <f>VLOOKUP(Table4[[#This Row],[Shortname]], Comp[], 27, FALSE)</f>
        <v>0</v>
      </c>
      <c r="AC201">
        <f>VLOOKUP(Table4[[#This Row],[Shortname]], Comp[], 28, FALSE)</f>
        <v>0</v>
      </c>
      <c r="AD201">
        <f>VLOOKUP(Table4[[#This Row],[Shortname]], Comp[], 29, FALSE)</f>
        <v>0</v>
      </c>
      <c r="AE201">
        <f>VLOOKUP(Table4[[#This Row],[Shortname]], Comp[], 30, FALSE)</f>
        <v>0</v>
      </c>
      <c r="AF201">
        <f>VLOOKUP(Table4[[#This Row],[Shortname]], Comp[], 31, FALSE)</f>
        <v>0</v>
      </c>
    </row>
    <row r="202" spans="1:32" x14ac:dyDescent="0.3">
      <c r="A202" s="7" t="s">
        <v>4974</v>
      </c>
      <c r="B202" s="7" t="s">
        <v>4976</v>
      </c>
      <c r="C202" s="3" t="s">
        <v>4968</v>
      </c>
      <c r="D202">
        <v>25</v>
      </c>
      <c r="E202">
        <v>900</v>
      </c>
      <c r="F202">
        <v>328</v>
      </c>
      <c r="G202">
        <f>VLOOKUP(Table4[[#This Row],[Shortname]], Comp[], 6, FALSE)</f>
        <v>763</v>
      </c>
      <c r="H202" s="14">
        <f>VLOOKUP(Table4[[#This Row],[Shortname]], Comp[], 7, FALSE)</f>
        <v>36</v>
      </c>
      <c r="I202">
        <f>VLOOKUP(Table4[[#This Row],[Shortname]], Comp[], 8, FALSE)</f>
        <v>45</v>
      </c>
      <c r="J202">
        <f>VLOOKUP(Table4[[#This Row],[Shortname]], Comp[], 9, FALSE)</f>
        <v>9</v>
      </c>
      <c r="K202">
        <f>VLOOKUP(Table4[[#This Row],[Shortname]], Comp[], 10, FALSE)</f>
        <v>0</v>
      </c>
      <c r="L202">
        <f>VLOOKUP(Table4[[#This Row],[Shortname]], Comp[], 11, FALSE)</f>
        <v>10</v>
      </c>
      <c r="M202">
        <f>VLOOKUP(Table4[[#This Row],[Shortname]], Comp[],12, FALSE)</f>
        <v>0</v>
      </c>
      <c r="N202">
        <f>VLOOKUP(Table4[[#This Row],[Shortname]], Comp[], 13, FALSE)</f>
        <v>0</v>
      </c>
      <c r="O202">
        <f>VLOOKUP(Table4[[#This Row],[Shortname]], Comp[], 14, FALSE)</f>
        <v>0</v>
      </c>
      <c r="P202">
        <f>VLOOKUP(Table4[[#This Row],[Shortname]], Comp[], 15, FALSE)</f>
        <v>0</v>
      </c>
      <c r="Q202">
        <f>VLOOKUP(Table4[[#This Row],[Shortname]], Comp[], 16, FALSE)</f>
        <v>0</v>
      </c>
      <c r="R202">
        <f>VLOOKUP(Table4[[#This Row],[Shortname]], Comp[], 17, FALSE)</f>
        <v>0</v>
      </c>
      <c r="S202">
        <f>VLOOKUP(Table4[[#This Row],[Shortname]], Comp[], 18, FALSE)</f>
        <v>0</v>
      </c>
      <c r="T202">
        <f>VLOOKUP(Table4[[#This Row],[Shortname]], Comp[], 19, FALSE)</f>
        <v>0</v>
      </c>
      <c r="U202">
        <f>VLOOKUP(Table4[[#This Row],[Shortname]], Comp[], 20, FALSE)</f>
        <v>0</v>
      </c>
      <c r="V202">
        <f>VLOOKUP(Table4[[#This Row],[Shortname]], Comp[], 21, FALSE)</f>
        <v>0</v>
      </c>
      <c r="W202">
        <f>VLOOKUP(Table4[[#This Row],[Shortname]], Comp[], 22, FALSE)</f>
        <v>0</v>
      </c>
      <c r="X202">
        <f>VLOOKUP(Table4[[#This Row],[Shortname]], Comp[], 23, FALSE)</f>
        <v>0</v>
      </c>
      <c r="Y202">
        <f>VLOOKUP(Table4[[#This Row],[Shortname]], Comp[], 24, FALSE)</f>
        <v>0</v>
      </c>
      <c r="Z202">
        <f>VLOOKUP(Table4[[#This Row],[Shortname]], Comp[], 25, FALSE)</f>
        <v>0</v>
      </c>
      <c r="AA202">
        <f>VLOOKUP(Table4[[#This Row],[Shortname]], Comp[], 26, FALSE)</f>
        <v>0</v>
      </c>
      <c r="AB202">
        <f>VLOOKUP(Table4[[#This Row],[Shortname]], Comp[], 27, FALSE)</f>
        <v>0</v>
      </c>
      <c r="AC202">
        <f>VLOOKUP(Table4[[#This Row],[Shortname]], Comp[], 28, FALSE)</f>
        <v>0</v>
      </c>
      <c r="AD202">
        <f>VLOOKUP(Table4[[#This Row],[Shortname]], Comp[], 29, FALSE)</f>
        <v>0</v>
      </c>
      <c r="AE202">
        <f>VLOOKUP(Table4[[#This Row],[Shortname]], Comp[], 30, FALSE)</f>
        <v>0</v>
      </c>
      <c r="AF202">
        <f>VLOOKUP(Table4[[#This Row],[Shortname]], Comp[], 31, FALSE)</f>
        <v>0</v>
      </c>
    </row>
    <row r="203" spans="1:32" x14ac:dyDescent="0.3">
      <c r="A203" s="7" t="s">
        <v>4060</v>
      </c>
      <c r="B203" s="7" t="s">
        <v>4062</v>
      </c>
      <c r="C203" t="s">
        <v>6758</v>
      </c>
      <c r="D203">
        <v>25</v>
      </c>
      <c r="E203">
        <v>637</v>
      </c>
      <c r="F203">
        <v>681</v>
      </c>
      <c r="G203">
        <f>VLOOKUP(Table4[[#This Row],[Shortname]], Comp[], 6, FALSE)</f>
        <v>620</v>
      </c>
      <c r="H203" s="14">
        <f>VLOOKUP(Table4[[#This Row],[Shortname]], Comp[], 7, FALSE)</f>
        <v>63.9</v>
      </c>
      <c r="I203">
        <f>VLOOKUP(Table4[[#This Row],[Shortname]], Comp[], 8, FALSE)</f>
        <v>0</v>
      </c>
      <c r="J203">
        <f>VLOOKUP(Table4[[#This Row],[Shortname]], Comp[], 9, FALSE)</f>
        <v>7.6</v>
      </c>
      <c r="K203">
        <f>VLOOKUP(Table4[[#This Row],[Shortname]], Comp[], 10, FALSE)</f>
        <v>21.3</v>
      </c>
      <c r="L203">
        <f>VLOOKUP(Table4[[#This Row],[Shortname]], Comp[], 11, FALSE)</f>
        <v>7.2</v>
      </c>
      <c r="M203">
        <f>VLOOKUP(Table4[[#This Row],[Shortname]], Comp[],12, FALSE)</f>
        <v>0</v>
      </c>
      <c r="N203">
        <f>VLOOKUP(Table4[[#This Row],[Shortname]], Comp[], 13, FALSE)</f>
        <v>0</v>
      </c>
      <c r="O203">
        <f>VLOOKUP(Table4[[#This Row],[Shortname]], Comp[], 14, FALSE)</f>
        <v>0</v>
      </c>
      <c r="P203">
        <f>VLOOKUP(Table4[[#This Row],[Shortname]], Comp[], 15, FALSE)</f>
        <v>0</v>
      </c>
      <c r="Q203">
        <f>VLOOKUP(Table4[[#This Row],[Shortname]], Comp[], 16, FALSE)</f>
        <v>0</v>
      </c>
      <c r="R203">
        <f>VLOOKUP(Table4[[#This Row],[Shortname]], Comp[], 17, FALSE)</f>
        <v>0</v>
      </c>
      <c r="S203">
        <f>VLOOKUP(Table4[[#This Row],[Shortname]], Comp[], 18, FALSE)</f>
        <v>0</v>
      </c>
      <c r="T203">
        <f>VLOOKUP(Table4[[#This Row],[Shortname]], Comp[], 19, FALSE)</f>
        <v>0</v>
      </c>
      <c r="U203">
        <f>VLOOKUP(Table4[[#This Row],[Shortname]], Comp[], 20, FALSE)</f>
        <v>0</v>
      </c>
      <c r="V203">
        <f>VLOOKUP(Table4[[#This Row],[Shortname]], Comp[], 21, FALSE)</f>
        <v>0</v>
      </c>
      <c r="W203">
        <f>VLOOKUP(Table4[[#This Row],[Shortname]], Comp[], 22, FALSE)</f>
        <v>0</v>
      </c>
      <c r="X203">
        <f>VLOOKUP(Table4[[#This Row],[Shortname]], Comp[], 23, FALSE)</f>
        <v>0</v>
      </c>
      <c r="Y203">
        <f>VLOOKUP(Table4[[#This Row],[Shortname]], Comp[], 24, FALSE)</f>
        <v>0</v>
      </c>
      <c r="Z203">
        <f>VLOOKUP(Table4[[#This Row],[Shortname]], Comp[], 25, FALSE)</f>
        <v>0</v>
      </c>
      <c r="AA203">
        <f>VLOOKUP(Table4[[#This Row],[Shortname]], Comp[], 26, FALSE)</f>
        <v>0</v>
      </c>
      <c r="AB203">
        <f>VLOOKUP(Table4[[#This Row],[Shortname]], Comp[], 27, FALSE)</f>
        <v>0</v>
      </c>
      <c r="AC203">
        <f>VLOOKUP(Table4[[#This Row],[Shortname]], Comp[], 28, FALSE)</f>
        <v>0</v>
      </c>
      <c r="AD203">
        <f>VLOOKUP(Table4[[#This Row],[Shortname]], Comp[], 29, FALSE)</f>
        <v>0</v>
      </c>
      <c r="AE203">
        <f>VLOOKUP(Table4[[#This Row],[Shortname]], Comp[], 30, FALSE)</f>
        <v>0</v>
      </c>
      <c r="AF203">
        <f>VLOOKUP(Table4[[#This Row],[Shortname]], Comp[], 31, FALSE)</f>
        <v>0</v>
      </c>
    </row>
    <row r="204" spans="1:32" x14ac:dyDescent="0.3">
      <c r="A204" s="7" t="s">
        <v>4053</v>
      </c>
      <c r="B204" s="7" t="s">
        <v>4055</v>
      </c>
      <c r="C204" t="s">
        <v>6758</v>
      </c>
      <c r="D204">
        <v>25</v>
      </c>
      <c r="E204">
        <v>689</v>
      </c>
      <c r="F204">
        <v>640</v>
      </c>
      <c r="G204">
        <f>VLOOKUP(Table4[[#This Row],[Shortname]], Comp[], 6, FALSE)</f>
        <v>619</v>
      </c>
      <c r="H204" s="14">
        <f>VLOOKUP(Table4[[#This Row],[Shortname]], Comp[], 7, FALSE)</f>
        <v>68.2</v>
      </c>
      <c r="I204">
        <f>VLOOKUP(Table4[[#This Row],[Shortname]], Comp[], 8, FALSE)</f>
        <v>0</v>
      </c>
      <c r="J204">
        <f>VLOOKUP(Table4[[#This Row],[Shortname]], Comp[], 9, FALSE)</f>
        <v>7.5</v>
      </c>
      <c r="K204">
        <f>VLOOKUP(Table4[[#This Row],[Shortname]], Comp[], 10, FALSE)</f>
        <v>17.3</v>
      </c>
      <c r="L204">
        <f>VLOOKUP(Table4[[#This Row],[Shortname]], Comp[], 11, FALSE)</f>
        <v>7</v>
      </c>
      <c r="M204">
        <f>VLOOKUP(Table4[[#This Row],[Shortname]], Comp[],12, FALSE)</f>
        <v>0</v>
      </c>
      <c r="N204">
        <f>VLOOKUP(Table4[[#This Row],[Shortname]], Comp[], 13, FALSE)</f>
        <v>0</v>
      </c>
      <c r="O204">
        <f>VLOOKUP(Table4[[#This Row],[Shortname]], Comp[], 14, FALSE)</f>
        <v>0</v>
      </c>
      <c r="P204">
        <f>VLOOKUP(Table4[[#This Row],[Shortname]], Comp[], 15, FALSE)</f>
        <v>0</v>
      </c>
      <c r="Q204">
        <f>VLOOKUP(Table4[[#This Row],[Shortname]], Comp[], 16, FALSE)</f>
        <v>0</v>
      </c>
      <c r="R204">
        <f>VLOOKUP(Table4[[#This Row],[Shortname]], Comp[], 17, FALSE)</f>
        <v>0</v>
      </c>
      <c r="S204">
        <f>VLOOKUP(Table4[[#This Row],[Shortname]], Comp[], 18, FALSE)</f>
        <v>0</v>
      </c>
      <c r="T204">
        <f>VLOOKUP(Table4[[#This Row],[Shortname]], Comp[], 19, FALSE)</f>
        <v>0</v>
      </c>
      <c r="U204">
        <f>VLOOKUP(Table4[[#This Row],[Shortname]], Comp[], 20, FALSE)</f>
        <v>0</v>
      </c>
      <c r="V204">
        <f>VLOOKUP(Table4[[#This Row],[Shortname]], Comp[], 21, FALSE)</f>
        <v>0</v>
      </c>
      <c r="W204">
        <f>VLOOKUP(Table4[[#This Row],[Shortname]], Comp[], 22, FALSE)</f>
        <v>0</v>
      </c>
      <c r="X204">
        <f>VLOOKUP(Table4[[#This Row],[Shortname]], Comp[], 23, FALSE)</f>
        <v>0</v>
      </c>
      <c r="Y204">
        <f>VLOOKUP(Table4[[#This Row],[Shortname]], Comp[], 24, FALSE)</f>
        <v>0</v>
      </c>
      <c r="Z204">
        <f>VLOOKUP(Table4[[#This Row],[Shortname]], Comp[], 25, FALSE)</f>
        <v>0</v>
      </c>
      <c r="AA204">
        <f>VLOOKUP(Table4[[#This Row],[Shortname]], Comp[], 26, FALSE)</f>
        <v>0</v>
      </c>
      <c r="AB204">
        <f>VLOOKUP(Table4[[#This Row],[Shortname]], Comp[], 27, FALSE)</f>
        <v>0</v>
      </c>
      <c r="AC204">
        <f>VLOOKUP(Table4[[#This Row],[Shortname]], Comp[], 28, FALSE)</f>
        <v>0</v>
      </c>
      <c r="AD204">
        <f>VLOOKUP(Table4[[#This Row],[Shortname]], Comp[], 29, FALSE)</f>
        <v>0</v>
      </c>
      <c r="AE204">
        <f>VLOOKUP(Table4[[#This Row],[Shortname]], Comp[], 30, FALSE)</f>
        <v>0</v>
      </c>
      <c r="AF204">
        <f>VLOOKUP(Table4[[#This Row],[Shortname]], Comp[], 31, FALSE)</f>
        <v>0</v>
      </c>
    </row>
    <row r="205" spans="1:32" x14ac:dyDescent="0.3">
      <c r="A205" s="7" t="s">
        <v>4032</v>
      </c>
      <c r="B205" s="7" t="s">
        <v>4033</v>
      </c>
      <c r="C205" t="s">
        <v>6758</v>
      </c>
      <c r="D205">
        <v>25</v>
      </c>
      <c r="E205">
        <v>689</v>
      </c>
      <c r="F205">
        <v>568</v>
      </c>
      <c r="G205">
        <f>VLOOKUP(Table4[[#This Row],[Shortname]], Comp[], 6, FALSE)</f>
        <v>616</v>
      </c>
      <c r="H205" s="14">
        <f>VLOOKUP(Table4[[#This Row],[Shortname]], Comp[], 7, FALSE)</f>
        <v>66.2</v>
      </c>
      <c r="I205">
        <f>VLOOKUP(Table4[[#This Row],[Shortname]], Comp[], 8, FALSE)</f>
        <v>0</v>
      </c>
      <c r="J205">
        <f>VLOOKUP(Table4[[#This Row],[Shortname]], Comp[], 9, FALSE)</f>
        <v>7.3</v>
      </c>
      <c r="K205">
        <f>VLOOKUP(Table4[[#This Row],[Shortname]], Comp[], 10, FALSE)</f>
        <v>0</v>
      </c>
      <c r="L205">
        <f>VLOOKUP(Table4[[#This Row],[Shortname]], Comp[], 11, FALSE)</f>
        <v>7</v>
      </c>
      <c r="M205">
        <f>VLOOKUP(Table4[[#This Row],[Shortname]], Comp[],12, FALSE)</f>
        <v>0</v>
      </c>
      <c r="N205">
        <f>VLOOKUP(Table4[[#This Row],[Shortname]], Comp[], 13, FALSE)</f>
        <v>0</v>
      </c>
      <c r="O205">
        <f>VLOOKUP(Table4[[#This Row],[Shortname]], Comp[], 14, FALSE)</f>
        <v>0</v>
      </c>
      <c r="P205">
        <f>VLOOKUP(Table4[[#This Row],[Shortname]], Comp[], 15, FALSE)</f>
        <v>0</v>
      </c>
      <c r="Q205">
        <f>VLOOKUP(Table4[[#This Row],[Shortname]], Comp[], 16, FALSE)</f>
        <v>0</v>
      </c>
      <c r="R205">
        <f>VLOOKUP(Table4[[#This Row],[Shortname]], Comp[], 17, FALSE)</f>
        <v>0</v>
      </c>
      <c r="S205">
        <f>VLOOKUP(Table4[[#This Row],[Shortname]], Comp[], 18, FALSE)</f>
        <v>0</v>
      </c>
      <c r="T205">
        <f>VLOOKUP(Table4[[#This Row],[Shortname]], Comp[], 19, FALSE)</f>
        <v>0</v>
      </c>
      <c r="U205">
        <f>VLOOKUP(Table4[[#This Row],[Shortname]], Comp[], 20, FALSE)</f>
        <v>0</v>
      </c>
      <c r="V205">
        <f>VLOOKUP(Table4[[#This Row],[Shortname]], Comp[], 21, FALSE)</f>
        <v>0</v>
      </c>
      <c r="W205">
        <f>VLOOKUP(Table4[[#This Row],[Shortname]], Comp[], 22, FALSE)</f>
        <v>0</v>
      </c>
      <c r="X205">
        <f>VLOOKUP(Table4[[#This Row],[Shortname]], Comp[], 23, FALSE)</f>
        <v>19.5</v>
      </c>
      <c r="Y205">
        <f>VLOOKUP(Table4[[#This Row],[Shortname]], Comp[], 24, FALSE)</f>
        <v>0</v>
      </c>
      <c r="Z205">
        <f>VLOOKUP(Table4[[#This Row],[Shortname]], Comp[], 25, FALSE)</f>
        <v>0</v>
      </c>
      <c r="AA205">
        <f>VLOOKUP(Table4[[#This Row],[Shortname]], Comp[], 26, FALSE)</f>
        <v>0</v>
      </c>
      <c r="AB205">
        <f>VLOOKUP(Table4[[#This Row],[Shortname]], Comp[], 27, FALSE)</f>
        <v>0</v>
      </c>
      <c r="AC205">
        <f>VLOOKUP(Table4[[#This Row],[Shortname]], Comp[], 28, FALSE)</f>
        <v>0</v>
      </c>
      <c r="AD205">
        <f>VLOOKUP(Table4[[#This Row],[Shortname]], Comp[], 29, FALSE)</f>
        <v>0</v>
      </c>
      <c r="AE205">
        <f>VLOOKUP(Table4[[#This Row],[Shortname]], Comp[], 30, FALSE)</f>
        <v>0</v>
      </c>
      <c r="AF205">
        <f>VLOOKUP(Table4[[#This Row],[Shortname]], Comp[], 31, FALSE)</f>
        <v>0</v>
      </c>
    </row>
    <row r="206" spans="1:32" x14ac:dyDescent="0.3">
      <c r="A206" s="7" t="s">
        <v>2430</v>
      </c>
      <c r="B206" s="7" t="s">
        <v>1813</v>
      </c>
      <c r="C206" t="s">
        <v>6758</v>
      </c>
      <c r="D206">
        <v>25</v>
      </c>
      <c r="E206">
        <v>765</v>
      </c>
      <c r="F206">
        <v>468</v>
      </c>
      <c r="G206">
        <f>VLOOKUP(Table4[[#This Row],[Shortname]], Comp[], 6, FALSE)</f>
        <v>321</v>
      </c>
      <c r="H206" s="14">
        <f>VLOOKUP(Table4[[#This Row],[Shortname]], Comp[], 7, FALSE)</f>
        <v>85.9</v>
      </c>
      <c r="I206">
        <f>VLOOKUP(Table4[[#This Row],[Shortname]], Comp[], 8, FALSE)</f>
        <v>0</v>
      </c>
      <c r="J206">
        <f>VLOOKUP(Table4[[#This Row],[Shortname]], Comp[], 9, FALSE)</f>
        <v>7.3</v>
      </c>
      <c r="K206">
        <f>VLOOKUP(Table4[[#This Row],[Shortname]], Comp[], 10, FALSE)</f>
        <v>0</v>
      </c>
      <c r="L206">
        <f>VLOOKUP(Table4[[#This Row],[Shortname]], Comp[], 11, FALSE)</f>
        <v>6.8</v>
      </c>
      <c r="M206">
        <f>VLOOKUP(Table4[[#This Row],[Shortname]], Comp[],12, FALSE)</f>
        <v>0</v>
      </c>
      <c r="N206">
        <f>VLOOKUP(Table4[[#This Row],[Shortname]], Comp[], 13, FALSE)</f>
        <v>0</v>
      </c>
      <c r="O206">
        <f>VLOOKUP(Table4[[#This Row],[Shortname]], Comp[], 14, FALSE)</f>
        <v>0</v>
      </c>
      <c r="P206">
        <f>VLOOKUP(Table4[[#This Row],[Shortname]], Comp[], 15, FALSE)</f>
        <v>0</v>
      </c>
      <c r="Q206">
        <f>VLOOKUP(Table4[[#This Row],[Shortname]], Comp[], 16, FALSE)</f>
        <v>0</v>
      </c>
      <c r="R206">
        <f>VLOOKUP(Table4[[#This Row],[Shortname]], Comp[], 17, FALSE)</f>
        <v>0</v>
      </c>
      <c r="S206">
        <f>VLOOKUP(Table4[[#This Row],[Shortname]], Comp[], 18, FALSE)</f>
        <v>0</v>
      </c>
      <c r="T206">
        <f>VLOOKUP(Table4[[#This Row],[Shortname]], Comp[], 19, FALSE)</f>
        <v>0</v>
      </c>
      <c r="U206">
        <f>VLOOKUP(Table4[[#This Row],[Shortname]], Comp[], 20, FALSE)</f>
        <v>0</v>
      </c>
      <c r="V206">
        <f>VLOOKUP(Table4[[#This Row],[Shortname]], Comp[], 21, FALSE)</f>
        <v>0</v>
      </c>
      <c r="W206">
        <f>VLOOKUP(Table4[[#This Row],[Shortname]], Comp[], 22, FALSE)</f>
        <v>0</v>
      </c>
      <c r="X206">
        <f>VLOOKUP(Table4[[#This Row],[Shortname]], Comp[], 23, FALSE)</f>
        <v>0</v>
      </c>
      <c r="Y206">
        <f>VLOOKUP(Table4[[#This Row],[Shortname]], Comp[], 24, FALSE)</f>
        <v>0</v>
      </c>
      <c r="Z206">
        <f>VLOOKUP(Table4[[#This Row],[Shortname]], Comp[], 25, FALSE)</f>
        <v>0</v>
      </c>
      <c r="AA206">
        <f>VLOOKUP(Table4[[#This Row],[Shortname]], Comp[], 26, FALSE)</f>
        <v>0</v>
      </c>
      <c r="AB206">
        <f>VLOOKUP(Table4[[#This Row],[Shortname]], Comp[], 27, FALSE)</f>
        <v>0</v>
      </c>
      <c r="AC206">
        <f>VLOOKUP(Table4[[#This Row],[Shortname]], Comp[], 28, FALSE)</f>
        <v>0</v>
      </c>
      <c r="AD206">
        <f>VLOOKUP(Table4[[#This Row],[Shortname]], Comp[], 29, FALSE)</f>
        <v>0</v>
      </c>
      <c r="AE206">
        <f>VLOOKUP(Table4[[#This Row],[Shortname]], Comp[], 30, FALSE)</f>
        <v>0</v>
      </c>
      <c r="AF206">
        <f>VLOOKUP(Table4[[#This Row],[Shortname]], Comp[], 31, FALSE)</f>
        <v>0</v>
      </c>
    </row>
    <row r="207" spans="1:32" x14ac:dyDescent="0.3">
      <c r="A207" s="7" t="s">
        <v>4074</v>
      </c>
      <c r="B207" s="7" t="s">
        <v>4076</v>
      </c>
      <c r="C207" t="s">
        <v>6758</v>
      </c>
      <c r="D207">
        <v>25</v>
      </c>
      <c r="E207">
        <v>688</v>
      </c>
      <c r="F207">
        <v>463</v>
      </c>
      <c r="G207">
        <f>VLOOKUP(Table4[[#This Row],[Shortname]], Comp[], 6, FALSE)</f>
        <v>622</v>
      </c>
      <c r="H207" s="14">
        <f>VLOOKUP(Table4[[#This Row],[Shortname]], Comp[], 7, FALSE)</f>
        <v>53.399999999999991</v>
      </c>
      <c r="I207">
        <f>VLOOKUP(Table4[[#This Row],[Shortname]], Comp[], 8, FALSE)</f>
        <v>11.1</v>
      </c>
      <c r="J207">
        <f>VLOOKUP(Table4[[#This Row],[Shortname]], Comp[], 9, FALSE)</f>
        <v>7.5</v>
      </c>
      <c r="K207">
        <f>VLOOKUP(Table4[[#This Row],[Shortname]], Comp[], 10, FALSE)</f>
        <v>20.8</v>
      </c>
      <c r="L207">
        <f>VLOOKUP(Table4[[#This Row],[Shortname]], Comp[], 11, FALSE)</f>
        <v>7.2</v>
      </c>
      <c r="M207">
        <f>VLOOKUP(Table4[[#This Row],[Shortname]], Comp[],12, FALSE)</f>
        <v>0</v>
      </c>
      <c r="N207">
        <f>VLOOKUP(Table4[[#This Row],[Shortname]], Comp[], 13, FALSE)</f>
        <v>0</v>
      </c>
      <c r="O207">
        <f>VLOOKUP(Table4[[#This Row],[Shortname]], Comp[], 14, FALSE)</f>
        <v>0</v>
      </c>
      <c r="P207">
        <f>VLOOKUP(Table4[[#This Row],[Shortname]], Comp[], 15, FALSE)</f>
        <v>0</v>
      </c>
      <c r="Q207">
        <f>VLOOKUP(Table4[[#This Row],[Shortname]], Comp[], 16, FALSE)</f>
        <v>0</v>
      </c>
      <c r="R207">
        <f>VLOOKUP(Table4[[#This Row],[Shortname]], Comp[], 17, FALSE)</f>
        <v>0</v>
      </c>
      <c r="S207">
        <f>VLOOKUP(Table4[[#This Row],[Shortname]], Comp[], 18, FALSE)</f>
        <v>0</v>
      </c>
      <c r="T207">
        <f>VLOOKUP(Table4[[#This Row],[Shortname]], Comp[], 19, FALSE)</f>
        <v>0</v>
      </c>
      <c r="U207">
        <f>VLOOKUP(Table4[[#This Row],[Shortname]], Comp[], 20, FALSE)</f>
        <v>0</v>
      </c>
      <c r="V207">
        <f>VLOOKUP(Table4[[#This Row],[Shortname]], Comp[], 21, FALSE)</f>
        <v>0</v>
      </c>
      <c r="W207">
        <f>VLOOKUP(Table4[[#This Row],[Shortname]], Comp[], 22, FALSE)</f>
        <v>0</v>
      </c>
      <c r="X207">
        <f>VLOOKUP(Table4[[#This Row],[Shortname]], Comp[], 23, FALSE)</f>
        <v>0</v>
      </c>
      <c r="Y207">
        <f>VLOOKUP(Table4[[#This Row],[Shortname]], Comp[], 24, FALSE)</f>
        <v>0</v>
      </c>
      <c r="Z207">
        <f>VLOOKUP(Table4[[#This Row],[Shortname]], Comp[], 25, FALSE)</f>
        <v>0</v>
      </c>
      <c r="AA207">
        <f>VLOOKUP(Table4[[#This Row],[Shortname]], Comp[], 26, FALSE)</f>
        <v>0</v>
      </c>
      <c r="AB207">
        <f>VLOOKUP(Table4[[#This Row],[Shortname]], Comp[], 27, FALSE)</f>
        <v>0</v>
      </c>
      <c r="AC207">
        <f>VLOOKUP(Table4[[#This Row],[Shortname]], Comp[], 28, FALSE)</f>
        <v>0</v>
      </c>
      <c r="AD207">
        <f>VLOOKUP(Table4[[#This Row],[Shortname]], Comp[], 29, FALSE)</f>
        <v>0</v>
      </c>
      <c r="AE207">
        <f>VLOOKUP(Table4[[#This Row],[Shortname]], Comp[], 30, FALSE)</f>
        <v>0</v>
      </c>
      <c r="AF207">
        <f>VLOOKUP(Table4[[#This Row],[Shortname]], Comp[], 31, FALSE)</f>
        <v>0</v>
      </c>
    </row>
    <row r="208" spans="1:32" x14ac:dyDescent="0.3">
      <c r="A208" s="7" t="s">
        <v>4082</v>
      </c>
      <c r="B208" s="7" t="s">
        <v>4084</v>
      </c>
      <c r="C208" t="s">
        <v>6758</v>
      </c>
      <c r="D208">
        <v>25</v>
      </c>
      <c r="E208">
        <v>726</v>
      </c>
      <c r="F208">
        <v>461</v>
      </c>
      <c r="G208">
        <f>VLOOKUP(Table4[[#This Row],[Shortname]], Comp[], 6, FALSE)</f>
        <v>623</v>
      </c>
      <c r="H208" s="14">
        <f>VLOOKUP(Table4[[#This Row],[Shortname]], Comp[], 7, FALSE)</f>
        <v>42.6</v>
      </c>
      <c r="I208">
        <f>VLOOKUP(Table4[[#This Row],[Shortname]], Comp[], 8, FALSE)</f>
        <v>21.7</v>
      </c>
      <c r="J208">
        <f>VLOOKUP(Table4[[#This Row],[Shortname]], Comp[], 9, FALSE)</f>
        <v>6.9</v>
      </c>
      <c r="K208">
        <f>VLOOKUP(Table4[[#This Row],[Shortname]], Comp[], 10, FALSE)</f>
        <v>21.5</v>
      </c>
      <c r="L208">
        <f>VLOOKUP(Table4[[#This Row],[Shortname]], Comp[], 11, FALSE)</f>
        <v>7.3</v>
      </c>
      <c r="M208">
        <f>VLOOKUP(Table4[[#This Row],[Shortname]], Comp[],12, FALSE)</f>
        <v>0</v>
      </c>
      <c r="N208">
        <f>VLOOKUP(Table4[[#This Row],[Shortname]], Comp[], 13, FALSE)</f>
        <v>0</v>
      </c>
      <c r="O208">
        <f>VLOOKUP(Table4[[#This Row],[Shortname]], Comp[], 14, FALSE)</f>
        <v>0</v>
      </c>
      <c r="P208">
        <f>VLOOKUP(Table4[[#This Row],[Shortname]], Comp[], 15, FALSE)</f>
        <v>0</v>
      </c>
      <c r="Q208">
        <f>VLOOKUP(Table4[[#This Row],[Shortname]], Comp[], 16, FALSE)</f>
        <v>0</v>
      </c>
      <c r="R208">
        <f>VLOOKUP(Table4[[#This Row],[Shortname]], Comp[], 17, FALSE)</f>
        <v>0</v>
      </c>
      <c r="S208">
        <f>VLOOKUP(Table4[[#This Row],[Shortname]], Comp[], 18, FALSE)</f>
        <v>0</v>
      </c>
      <c r="T208">
        <f>VLOOKUP(Table4[[#This Row],[Shortname]], Comp[], 19, FALSE)</f>
        <v>0</v>
      </c>
      <c r="U208">
        <f>VLOOKUP(Table4[[#This Row],[Shortname]], Comp[], 20, FALSE)</f>
        <v>0</v>
      </c>
      <c r="V208">
        <f>VLOOKUP(Table4[[#This Row],[Shortname]], Comp[], 21, FALSE)</f>
        <v>0</v>
      </c>
      <c r="W208">
        <f>VLOOKUP(Table4[[#This Row],[Shortname]], Comp[], 22, FALSE)</f>
        <v>0</v>
      </c>
      <c r="X208">
        <f>VLOOKUP(Table4[[#This Row],[Shortname]], Comp[], 23, FALSE)</f>
        <v>0</v>
      </c>
      <c r="Y208">
        <f>VLOOKUP(Table4[[#This Row],[Shortname]], Comp[], 24, FALSE)</f>
        <v>0</v>
      </c>
      <c r="Z208">
        <f>VLOOKUP(Table4[[#This Row],[Shortname]], Comp[], 25, FALSE)</f>
        <v>0</v>
      </c>
      <c r="AA208">
        <f>VLOOKUP(Table4[[#This Row],[Shortname]], Comp[], 26, FALSE)</f>
        <v>0</v>
      </c>
      <c r="AB208">
        <f>VLOOKUP(Table4[[#This Row],[Shortname]], Comp[], 27, FALSE)</f>
        <v>0</v>
      </c>
      <c r="AC208">
        <f>VLOOKUP(Table4[[#This Row],[Shortname]], Comp[], 28, FALSE)</f>
        <v>0</v>
      </c>
      <c r="AD208">
        <f>VLOOKUP(Table4[[#This Row],[Shortname]], Comp[], 29, FALSE)</f>
        <v>0</v>
      </c>
      <c r="AE208">
        <f>VLOOKUP(Table4[[#This Row],[Shortname]], Comp[], 30, FALSE)</f>
        <v>0</v>
      </c>
      <c r="AF208">
        <f>VLOOKUP(Table4[[#This Row],[Shortname]], Comp[], 31, FALSE)</f>
        <v>0</v>
      </c>
    </row>
    <row r="209" spans="1:32" x14ac:dyDescent="0.3">
      <c r="A209" s="7" t="s">
        <v>2443</v>
      </c>
      <c r="B209" s="7" t="s">
        <v>2354</v>
      </c>
      <c r="C209" t="s">
        <v>6758</v>
      </c>
      <c r="D209">
        <v>25</v>
      </c>
      <c r="E209">
        <v>900</v>
      </c>
      <c r="F209">
        <v>434</v>
      </c>
      <c r="G209">
        <f>VLOOKUP(Table4[[#This Row],[Shortname]], Comp[], 6, FALSE)</f>
        <v>323</v>
      </c>
      <c r="H209" s="14">
        <f>VLOOKUP(Table4[[#This Row],[Shortname]], Comp[], 7, FALSE)</f>
        <v>83.5</v>
      </c>
      <c r="I209">
        <f>VLOOKUP(Table4[[#This Row],[Shortname]], Comp[], 8, FALSE)</f>
        <v>0</v>
      </c>
      <c r="J209">
        <f>VLOOKUP(Table4[[#This Row],[Shortname]], Comp[], 9, FALSE)</f>
        <v>9.9</v>
      </c>
      <c r="K209">
        <f>VLOOKUP(Table4[[#This Row],[Shortname]], Comp[], 10, FALSE)</f>
        <v>0</v>
      </c>
      <c r="L209">
        <f>VLOOKUP(Table4[[#This Row],[Shortname]], Comp[], 11, FALSE)</f>
        <v>4.8</v>
      </c>
      <c r="M209">
        <f>VLOOKUP(Table4[[#This Row],[Shortname]], Comp[],12, FALSE)</f>
        <v>0</v>
      </c>
      <c r="N209">
        <f>VLOOKUP(Table4[[#This Row],[Shortname]], Comp[], 13, FALSE)</f>
        <v>1.8</v>
      </c>
      <c r="O209">
        <f>VLOOKUP(Table4[[#This Row],[Shortname]], Comp[], 14, FALSE)</f>
        <v>0</v>
      </c>
      <c r="P209">
        <f>VLOOKUP(Table4[[#This Row],[Shortname]], Comp[], 15, FALSE)</f>
        <v>0</v>
      </c>
      <c r="Q209">
        <f>VLOOKUP(Table4[[#This Row],[Shortname]], Comp[], 16, FALSE)</f>
        <v>0</v>
      </c>
      <c r="R209">
        <f>VLOOKUP(Table4[[#This Row],[Shortname]], Comp[], 17, FALSE)</f>
        <v>0</v>
      </c>
      <c r="S209">
        <f>VLOOKUP(Table4[[#This Row],[Shortname]], Comp[], 18, FALSE)</f>
        <v>0</v>
      </c>
      <c r="T209">
        <f>VLOOKUP(Table4[[#This Row],[Shortname]], Comp[], 19, FALSE)</f>
        <v>0</v>
      </c>
      <c r="U209">
        <f>VLOOKUP(Table4[[#This Row],[Shortname]], Comp[], 20, FALSE)</f>
        <v>0</v>
      </c>
      <c r="V209">
        <f>VLOOKUP(Table4[[#This Row],[Shortname]], Comp[], 21, FALSE)</f>
        <v>0</v>
      </c>
      <c r="W209">
        <f>VLOOKUP(Table4[[#This Row],[Shortname]], Comp[], 22, FALSE)</f>
        <v>0</v>
      </c>
      <c r="X209">
        <f>VLOOKUP(Table4[[#This Row],[Shortname]], Comp[], 23, FALSE)</f>
        <v>0</v>
      </c>
      <c r="Y209">
        <f>VLOOKUP(Table4[[#This Row],[Shortname]], Comp[], 24, FALSE)</f>
        <v>0</v>
      </c>
      <c r="Z209">
        <f>VLOOKUP(Table4[[#This Row],[Shortname]], Comp[], 25, FALSE)</f>
        <v>0</v>
      </c>
      <c r="AA209">
        <f>VLOOKUP(Table4[[#This Row],[Shortname]], Comp[], 26, FALSE)</f>
        <v>0</v>
      </c>
      <c r="AB209">
        <f>VLOOKUP(Table4[[#This Row],[Shortname]], Comp[], 27, FALSE)</f>
        <v>0</v>
      </c>
      <c r="AC209">
        <f>VLOOKUP(Table4[[#This Row],[Shortname]], Comp[], 28, FALSE)</f>
        <v>0</v>
      </c>
      <c r="AD209">
        <f>VLOOKUP(Table4[[#This Row],[Shortname]], Comp[], 29, FALSE)</f>
        <v>0</v>
      </c>
      <c r="AE209">
        <f>VLOOKUP(Table4[[#This Row],[Shortname]], Comp[], 30, FALSE)</f>
        <v>0</v>
      </c>
      <c r="AF209">
        <f>VLOOKUP(Table4[[#This Row],[Shortname]], Comp[], 31, FALSE)</f>
        <v>0</v>
      </c>
    </row>
    <row r="210" spans="1:32" x14ac:dyDescent="0.3">
      <c r="A210" s="7" t="s">
        <v>4025</v>
      </c>
      <c r="B210" s="7" t="s">
        <v>4027</v>
      </c>
      <c r="C210" t="s">
        <v>6758</v>
      </c>
      <c r="D210">
        <v>25</v>
      </c>
      <c r="E210">
        <v>794</v>
      </c>
      <c r="F210">
        <v>427</v>
      </c>
      <c r="G210">
        <f>VLOOKUP(Table4[[#This Row],[Shortname]], Comp[], 6, FALSE)</f>
        <v>615</v>
      </c>
      <c r="H210" s="14">
        <f>VLOOKUP(Table4[[#This Row],[Shortname]], Comp[], 7, FALSE)</f>
        <v>84.9</v>
      </c>
      <c r="I210">
        <f>VLOOKUP(Table4[[#This Row],[Shortname]], Comp[], 8, FALSE)</f>
        <v>0</v>
      </c>
      <c r="J210">
        <f>VLOOKUP(Table4[[#This Row],[Shortname]], Comp[], 9, FALSE)</f>
        <v>7.2</v>
      </c>
      <c r="K210">
        <f>VLOOKUP(Table4[[#This Row],[Shortname]], Comp[], 10, FALSE)</f>
        <v>0</v>
      </c>
      <c r="L210">
        <f>VLOOKUP(Table4[[#This Row],[Shortname]], Comp[], 11, FALSE)</f>
        <v>7.2</v>
      </c>
      <c r="M210">
        <f>VLOOKUP(Table4[[#This Row],[Shortname]], Comp[],12, FALSE)</f>
        <v>0</v>
      </c>
      <c r="N210">
        <f>VLOOKUP(Table4[[#This Row],[Shortname]], Comp[], 13, FALSE)</f>
        <v>0</v>
      </c>
      <c r="O210">
        <f>VLOOKUP(Table4[[#This Row],[Shortname]], Comp[], 14, FALSE)</f>
        <v>0</v>
      </c>
      <c r="P210">
        <f>VLOOKUP(Table4[[#This Row],[Shortname]], Comp[], 15, FALSE)</f>
        <v>0</v>
      </c>
      <c r="Q210">
        <f>VLOOKUP(Table4[[#This Row],[Shortname]], Comp[], 16, FALSE)</f>
        <v>0</v>
      </c>
      <c r="R210">
        <f>VLOOKUP(Table4[[#This Row],[Shortname]], Comp[], 17, FALSE)</f>
        <v>0</v>
      </c>
      <c r="S210">
        <f>VLOOKUP(Table4[[#This Row],[Shortname]], Comp[], 18, FALSE)</f>
        <v>0</v>
      </c>
      <c r="T210">
        <f>VLOOKUP(Table4[[#This Row],[Shortname]], Comp[], 19, FALSE)</f>
        <v>0</v>
      </c>
      <c r="U210">
        <f>VLOOKUP(Table4[[#This Row],[Shortname]], Comp[], 20, FALSE)</f>
        <v>0</v>
      </c>
      <c r="V210">
        <f>VLOOKUP(Table4[[#This Row],[Shortname]], Comp[], 21, FALSE)</f>
        <v>0</v>
      </c>
      <c r="W210">
        <f>VLOOKUP(Table4[[#This Row],[Shortname]], Comp[], 22, FALSE)</f>
        <v>0.7</v>
      </c>
      <c r="X210">
        <f>VLOOKUP(Table4[[#This Row],[Shortname]], Comp[], 23, FALSE)</f>
        <v>0</v>
      </c>
      <c r="Y210">
        <f>VLOOKUP(Table4[[#This Row],[Shortname]], Comp[], 24, FALSE)</f>
        <v>0</v>
      </c>
      <c r="Z210">
        <f>VLOOKUP(Table4[[#This Row],[Shortname]], Comp[], 25, FALSE)</f>
        <v>0</v>
      </c>
      <c r="AA210">
        <f>VLOOKUP(Table4[[#This Row],[Shortname]], Comp[], 26, FALSE)</f>
        <v>0</v>
      </c>
      <c r="AB210">
        <f>VLOOKUP(Table4[[#This Row],[Shortname]], Comp[], 27, FALSE)</f>
        <v>0</v>
      </c>
      <c r="AC210">
        <f>VLOOKUP(Table4[[#This Row],[Shortname]], Comp[], 28, FALSE)</f>
        <v>0</v>
      </c>
      <c r="AD210">
        <f>VLOOKUP(Table4[[#This Row],[Shortname]], Comp[], 29, FALSE)</f>
        <v>0</v>
      </c>
      <c r="AE210">
        <f>VLOOKUP(Table4[[#This Row],[Shortname]], Comp[], 30, FALSE)</f>
        <v>0</v>
      </c>
      <c r="AF210">
        <f>VLOOKUP(Table4[[#This Row],[Shortname]], Comp[], 31, FALSE)</f>
        <v>0</v>
      </c>
    </row>
    <row r="211" spans="1:32" x14ac:dyDescent="0.3">
      <c r="A211" s="7" t="s">
        <v>3997</v>
      </c>
      <c r="B211" s="7" t="s">
        <v>3899</v>
      </c>
      <c r="C211" t="s">
        <v>6758</v>
      </c>
      <c r="D211">
        <v>25</v>
      </c>
      <c r="E211">
        <v>790</v>
      </c>
      <c r="F211">
        <v>410</v>
      </c>
      <c r="G211">
        <f>VLOOKUP(Table4[[#This Row],[Shortname]], Comp[], 6, FALSE)</f>
        <v>608</v>
      </c>
      <c r="H211" s="14">
        <f>VLOOKUP(Table4[[#This Row],[Shortname]], Comp[], 7, FALSE)</f>
        <v>85.4</v>
      </c>
      <c r="I211">
        <f>VLOOKUP(Table4[[#This Row],[Shortname]], Comp[], 8, FALSE)</f>
        <v>0</v>
      </c>
      <c r="J211">
        <f>VLOOKUP(Table4[[#This Row],[Shortname]], Comp[], 9, FALSE)</f>
        <v>6.4</v>
      </c>
      <c r="K211">
        <f>VLOOKUP(Table4[[#This Row],[Shortname]], Comp[], 10, FALSE)</f>
        <v>0</v>
      </c>
      <c r="L211">
        <f>VLOOKUP(Table4[[#This Row],[Shortname]], Comp[], 11, FALSE)</f>
        <v>6</v>
      </c>
      <c r="M211">
        <f>VLOOKUP(Table4[[#This Row],[Shortname]], Comp[],12, FALSE)</f>
        <v>2.2000000000000002</v>
      </c>
      <c r="N211">
        <f>VLOOKUP(Table4[[#This Row],[Shortname]], Comp[], 13, FALSE)</f>
        <v>0</v>
      </c>
      <c r="O211">
        <f>VLOOKUP(Table4[[#This Row],[Shortname]], Comp[], 14, FALSE)</f>
        <v>0</v>
      </c>
      <c r="P211">
        <f>VLOOKUP(Table4[[#This Row],[Shortname]], Comp[], 15, FALSE)</f>
        <v>0</v>
      </c>
      <c r="Q211">
        <f>VLOOKUP(Table4[[#This Row],[Shortname]], Comp[], 16, FALSE)</f>
        <v>0</v>
      </c>
      <c r="R211">
        <f>VLOOKUP(Table4[[#This Row],[Shortname]], Comp[], 17, FALSE)</f>
        <v>0</v>
      </c>
      <c r="S211">
        <f>VLOOKUP(Table4[[#This Row],[Shortname]], Comp[], 18, FALSE)</f>
        <v>0</v>
      </c>
      <c r="T211">
        <f>VLOOKUP(Table4[[#This Row],[Shortname]], Comp[], 19, FALSE)</f>
        <v>0</v>
      </c>
      <c r="U211">
        <f>VLOOKUP(Table4[[#This Row],[Shortname]], Comp[], 20, FALSE)</f>
        <v>0</v>
      </c>
      <c r="V211">
        <f>VLOOKUP(Table4[[#This Row],[Shortname]], Comp[], 21, FALSE)</f>
        <v>0</v>
      </c>
      <c r="W211">
        <f>VLOOKUP(Table4[[#This Row],[Shortname]], Comp[], 22, FALSE)</f>
        <v>0</v>
      </c>
      <c r="X211">
        <f>VLOOKUP(Table4[[#This Row],[Shortname]], Comp[], 23, FALSE)</f>
        <v>0</v>
      </c>
      <c r="Y211">
        <f>VLOOKUP(Table4[[#This Row],[Shortname]], Comp[], 24, FALSE)</f>
        <v>0</v>
      </c>
      <c r="Z211">
        <f>VLOOKUP(Table4[[#This Row],[Shortname]], Comp[], 25, FALSE)</f>
        <v>0</v>
      </c>
      <c r="AA211">
        <f>VLOOKUP(Table4[[#This Row],[Shortname]], Comp[], 26, FALSE)</f>
        <v>0</v>
      </c>
      <c r="AB211">
        <f>VLOOKUP(Table4[[#This Row],[Shortname]], Comp[], 27, FALSE)</f>
        <v>0</v>
      </c>
      <c r="AC211">
        <f>VLOOKUP(Table4[[#This Row],[Shortname]], Comp[], 28, FALSE)</f>
        <v>0</v>
      </c>
      <c r="AD211">
        <f>VLOOKUP(Table4[[#This Row],[Shortname]], Comp[], 29, FALSE)</f>
        <v>0</v>
      </c>
      <c r="AE211">
        <f>VLOOKUP(Table4[[#This Row],[Shortname]], Comp[], 30, FALSE)</f>
        <v>0</v>
      </c>
      <c r="AF211">
        <f>VLOOKUP(Table4[[#This Row],[Shortname]], Comp[], 31, FALSE)</f>
        <v>0</v>
      </c>
    </row>
    <row r="212" spans="1:32" x14ac:dyDescent="0.3">
      <c r="A212" s="7" t="s">
        <v>4005</v>
      </c>
      <c r="B212" s="7" t="s">
        <v>1484</v>
      </c>
      <c r="C212" t="s">
        <v>6758</v>
      </c>
      <c r="D212">
        <v>25</v>
      </c>
      <c r="E212">
        <v>715</v>
      </c>
      <c r="F212">
        <v>406</v>
      </c>
      <c r="G212">
        <f>VLOOKUP(Table4[[#This Row],[Shortname]], Comp[], 6, FALSE)</f>
        <v>610</v>
      </c>
      <c r="H212" s="14">
        <f>VLOOKUP(Table4[[#This Row],[Shortname]], Comp[], 7, FALSE)</f>
        <v>86.3</v>
      </c>
      <c r="I212">
        <f>VLOOKUP(Table4[[#This Row],[Shortname]], Comp[], 8, FALSE)</f>
        <v>0</v>
      </c>
      <c r="J212">
        <f>VLOOKUP(Table4[[#This Row],[Shortname]], Comp[], 9, FALSE)</f>
        <v>7.2</v>
      </c>
      <c r="K212">
        <f>VLOOKUP(Table4[[#This Row],[Shortname]], Comp[], 10, FALSE)</f>
        <v>0</v>
      </c>
      <c r="L212">
        <f>VLOOKUP(Table4[[#This Row],[Shortname]], Comp[], 11, FALSE)</f>
        <v>4.7</v>
      </c>
      <c r="M212">
        <f>VLOOKUP(Table4[[#This Row],[Shortname]], Comp[],12, FALSE)</f>
        <v>0</v>
      </c>
      <c r="N212">
        <f>VLOOKUP(Table4[[#This Row],[Shortname]], Comp[], 13, FALSE)</f>
        <v>0</v>
      </c>
      <c r="O212">
        <f>VLOOKUP(Table4[[#This Row],[Shortname]], Comp[], 14, FALSE)</f>
        <v>0</v>
      </c>
      <c r="P212">
        <f>VLOOKUP(Table4[[#This Row],[Shortname]], Comp[], 15, FALSE)</f>
        <v>0</v>
      </c>
      <c r="Q212">
        <f>VLOOKUP(Table4[[#This Row],[Shortname]], Comp[], 16, FALSE)</f>
        <v>1.8</v>
      </c>
      <c r="R212">
        <f>VLOOKUP(Table4[[#This Row],[Shortname]], Comp[], 17, FALSE)</f>
        <v>0</v>
      </c>
      <c r="S212">
        <f>VLOOKUP(Table4[[#This Row],[Shortname]], Comp[], 18, FALSE)</f>
        <v>0</v>
      </c>
      <c r="T212">
        <f>VLOOKUP(Table4[[#This Row],[Shortname]], Comp[], 19, FALSE)</f>
        <v>0</v>
      </c>
      <c r="U212">
        <f>VLOOKUP(Table4[[#This Row],[Shortname]], Comp[], 20, FALSE)</f>
        <v>0</v>
      </c>
      <c r="V212">
        <f>VLOOKUP(Table4[[#This Row],[Shortname]], Comp[], 21, FALSE)</f>
        <v>0</v>
      </c>
      <c r="W212">
        <f>VLOOKUP(Table4[[#This Row],[Shortname]], Comp[], 22, FALSE)</f>
        <v>0</v>
      </c>
      <c r="X212">
        <f>VLOOKUP(Table4[[#This Row],[Shortname]], Comp[], 23, FALSE)</f>
        <v>0</v>
      </c>
      <c r="Y212">
        <f>VLOOKUP(Table4[[#This Row],[Shortname]], Comp[], 24, FALSE)</f>
        <v>0</v>
      </c>
      <c r="Z212">
        <f>VLOOKUP(Table4[[#This Row],[Shortname]], Comp[], 25, FALSE)</f>
        <v>0</v>
      </c>
      <c r="AA212">
        <f>VLOOKUP(Table4[[#This Row],[Shortname]], Comp[], 26, FALSE)</f>
        <v>0</v>
      </c>
      <c r="AB212">
        <f>VLOOKUP(Table4[[#This Row],[Shortname]], Comp[], 27, FALSE)</f>
        <v>0</v>
      </c>
      <c r="AC212">
        <f>VLOOKUP(Table4[[#This Row],[Shortname]], Comp[], 28, FALSE)</f>
        <v>0</v>
      </c>
      <c r="AD212">
        <f>VLOOKUP(Table4[[#This Row],[Shortname]], Comp[], 29, FALSE)</f>
        <v>0</v>
      </c>
      <c r="AE212">
        <f>VLOOKUP(Table4[[#This Row],[Shortname]], Comp[], 30, FALSE)</f>
        <v>0</v>
      </c>
      <c r="AF212">
        <f>VLOOKUP(Table4[[#This Row],[Shortname]], Comp[], 31, FALSE)</f>
        <v>0</v>
      </c>
    </row>
    <row r="213" spans="1:32" x14ac:dyDescent="0.3">
      <c r="A213" s="7" t="s">
        <v>4011</v>
      </c>
      <c r="B213" s="7" t="s">
        <v>3906</v>
      </c>
      <c r="C213" t="s">
        <v>6758</v>
      </c>
      <c r="D213">
        <v>25</v>
      </c>
      <c r="E213">
        <v>736</v>
      </c>
      <c r="F213">
        <v>404</v>
      </c>
      <c r="G213">
        <f>VLOOKUP(Table4[[#This Row],[Shortname]], Comp[], 6, FALSE)</f>
        <v>611</v>
      </c>
      <c r="H213" s="14">
        <f>VLOOKUP(Table4[[#This Row],[Shortname]], Comp[], 7, FALSE)</f>
        <v>85.8</v>
      </c>
      <c r="I213">
        <f>VLOOKUP(Table4[[#This Row],[Shortname]], Comp[], 8, FALSE)</f>
        <v>0</v>
      </c>
      <c r="J213">
        <f>VLOOKUP(Table4[[#This Row],[Shortname]], Comp[], 9, FALSE)</f>
        <v>7.3</v>
      </c>
      <c r="K213">
        <f>VLOOKUP(Table4[[#This Row],[Shortname]], Comp[], 10, FALSE)</f>
        <v>0</v>
      </c>
      <c r="L213">
        <f>VLOOKUP(Table4[[#This Row],[Shortname]], Comp[], 11, FALSE)</f>
        <v>4.8</v>
      </c>
      <c r="M213">
        <f>VLOOKUP(Table4[[#This Row],[Shortname]], Comp[],12, FALSE)</f>
        <v>0</v>
      </c>
      <c r="N213">
        <f>VLOOKUP(Table4[[#This Row],[Shortname]], Comp[], 13, FALSE)</f>
        <v>0</v>
      </c>
      <c r="O213">
        <f>VLOOKUP(Table4[[#This Row],[Shortname]], Comp[], 14, FALSE)</f>
        <v>0</v>
      </c>
      <c r="P213">
        <f>VLOOKUP(Table4[[#This Row],[Shortname]], Comp[], 15, FALSE)</f>
        <v>2.1</v>
      </c>
      <c r="Q213">
        <f>VLOOKUP(Table4[[#This Row],[Shortname]], Comp[], 16, FALSE)</f>
        <v>0</v>
      </c>
      <c r="R213">
        <f>VLOOKUP(Table4[[#This Row],[Shortname]], Comp[], 17, FALSE)</f>
        <v>0</v>
      </c>
      <c r="S213">
        <f>VLOOKUP(Table4[[#This Row],[Shortname]], Comp[], 18, FALSE)</f>
        <v>0</v>
      </c>
      <c r="T213">
        <f>VLOOKUP(Table4[[#This Row],[Shortname]], Comp[], 19, FALSE)</f>
        <v>0</v>
      </c>
      <c r="U213">
        <f>VLOOKUP(Table4[[#This Row],[Shortname]], Comp[], 20, FALSE)</f>
        <v>0</v>
      </c>
      <c r="V213">
        <f>VLOOKUP(Table4[[#This Row],[Shortname]], Comp[], 21, FALSE)</f>
        <v>0</v>
      </c>
      <c r="W213">
        <f>VLOOKUP(Table4[[#This Row],[Shortname]], Comp[], 22, FALSE)</f>
        <v>0</v>
      </c>
      <c r="X213">
        <f>VLOOKUP(Table4[[#This Row],[Shortname]], Comp[], 23, FALSE)</f>
        <v>0</v>
      </c>
      <c r="Y213">
        <f>VLOOKUP(Table4[[#This Row],[Shortname]], Comp[], 24, FALSE)</f>
        <v>0</v>
      </c>
      <c r="Z213">
        <f>VLOOKUP(Table4[[#This Row],[Shortname]], Comp[], 25, FALSE)</f>
        <v>0</v>
      </c>
      <c r="AA213">
        <f>VLOOKUP(Table4[[#This Row],[Shortname]], Comp[], 26, FALSE)</f>
        <v>0</v>
      </c>
      <c r="AB213">
        <f>VLOOKUP(Table4[[#This Row],[Shortname]], Comp[], 27, FALSE)</f>
        <v>0</v>
      </c>
      <c r="AC213">
        <f>VLOOKUP(Table4[[#This Row],[Shortname]], Comp[], 28, FALSE)</f>
        <v>0</v>
      </c>
      <c r="AD213">
        <f>VLOOKUP(Table4[[#This Row],[Shortname]], Comp[], 29, FALSE)</f>
        <v>0</v>
      </c>
      <c r="AE213">
        <f>VLOOKUP(Table4[[#This Row],[Shortname]], Comp[], 30, FALSE)</f>
        <v>0</v>
      </c>
      <c r="AF213">
        <f>VLOOKUP(Table4[[#This Row],[Shortname]], Comp[], 31, FALSE)</f>
        <v>0</v>
      </c>
    </row>
    <row r="214" spans="1:32" x14ac:dyDescent="0.3">
      <c r="A214" s="7" t="s">
        <v>4105</v>
      </c>
      <c r="B214" s="7" t="s">
        <v>4107</v>
      </c>
      <c r="C214" t="s">
        <v>6758</v>
      </c>
      <c r="D214">
        <v>25</v>
      </c>
      <c r="E214">
        <v>689</v>
      </c>
      <c r="F214">
        <v>401</v>
      </c>
      <c r="G214">
        <f>VLOOKUP(Table4[[#This Row],[Shortname]], Comp[], 6, FALSE)</f>
        <v>626</v>
      </c>
      <c r="H214" s="14">
        <f>VLOOKUP(Table4[[#This Row],[Shortname]], Comp[], 7, FALSE)</f>
        <v>43.599999999999994</v>
      </c>
      <c r="I214">
        <f>VLOOKUP(Table4[[#This Row],[Shortname]], Comp[], 8, FALSE)</f>
        <v>21.3</v>
      </c>
      <c r="J214">
        <f>VLOOKUP(Table4[[#This Row],[Shortname]], Comp[], 9, FALSE)</f>
        <v>9.3000000000000007</v>
      </c>
      <c r="K214">
        <f>VLOOKUP(Table4[[#This Row],[Shortname]], Comp[], 10, FALSE)</f>
        <v>21.1</v>
      </c>
      <c r="L214">
        <f>VLOOKUP(Table4[[#This Row],[Shortname]], Comp[], 11, FALSE)</f>
        <v>4.7</v>
      </c>
      <c r="M214">
        <f>VLOOKUP(Table4[[#This Row],[Shortname]], Comp[],12, FALSE)</f>
        <v>0</v>
      </c>
      <c r="N214">
        <f>VLOOKUP(Table4[[#This Row],[Shortname]], Comp[], 13, FALSE)</f>
        <v>0</v>
      </c>
      <c r="O214">
        <f>VLOOKUP(Table4[[#This Row],[Shortname]], Comp[], 14, FALSE)</f>
        <v>0</v>
      </c>
      <c r="P214">
        <f>VLOOKUP(Table4[[#This Row],[Shortname]], Comp[], 15, FALSE)</f>
        <v>0</v>
      </c>
      <c r="Q214">
        <f>VLOOKUP(Table4[[#This Row],[Shortname]], Comp[], 16, FALSE)</f>
        <v>0</v>
      </c>
      <c r="R214">
        <f>VLOOKUP(Table4[[#This Row],[Shortname]], Comp[], 17, FALSE)</f>
        <v>0</v>
      </c>
      <c r="S214">
        <f>VLOOKUP(Table4[[#This Row],[Shortname]], Comp[], 18, FALSE)</f>
        <v>0</v>
      </c>
      <c r="T214">
        <f>VLOOKUP(Table4[[#This Row],[Shortname]], Comp[], 19, FALSE)</f>
        <v>0</v>
      </c>
      <c r="U214">
        <f>VLOOKUP(Table4[[#This Row],[Shortname]], Comp[], 20, FALSE)</f>
        <v>0</v>
      </c>
      <c r="V214">
        <f>VLOOKUP(Table4[[#This Row],[Shortname]], Comp[], 21, FALSE)</f>
        <v>0</v>
      </c>
      <c r="W214">
        <f>VLOOKUP(Table4[[#This Row],[Shortname]], Comp[], 22, FALSE)</f>
        <v>0</v>
      </c>
      <c r="X214">
        <f>VLOOKUP(Table4[[#This Row],[Shortname]], Comp[], 23, FALSE)</f>
        <v>0</v>
      </c>
      <c r="Y214">
        <f>VLOOKUP(Table4[[#This Row],[Shortname]], Comp[], 24, FALSE)</f>
        <v>0</v>
      </c>
      <c r="Z214">
        <f>VLOOKUP(Table4[[#This Row],[Shortname]], Comp[], 25, FALSE)</f>
        <v>0</v>
      </c>
      <c r="AA214">
        <f>VLOOKUP(Table4[[#This Row],[Shortname]], Comp[], 26, FALSE)</f>
        <v>0</v>
      </c>
      <c r="AB214">
        <f>VLOOKUP(Table4[[#This Row],[Shortname]], Comp[], 27, FALSE)</f>
        <v>0</v>
      </c>
      <c r="AC214">
        <f>VLOOKUP(Table4[[#This Row],[Shortname]], Comp[], 28, FALSE)</f>
        <v>0</v>
      </c>
      <c r="AD214">
        <f>VLOOKUP(Table4[[#This Row],[Shortname]], Comp[], 29, FALSE)</f>
        <v>0</v>
      </c>
      <c r="AE214">
        <f>VLOOKUP(Table4[[#This Row],[Shortname]], Comp[], 30, FALSE)</f>
        <v>0</v>
      </c>
      <c r="AF214">
        <f>VLOOKUP(Table4[[#This Row],[Shortname]], Comp[], 31, FALSE)</f>
        <v>0</v>
      </c>
    </row>
    <row r="215" spans="1:32" x14ac:dyDescent="0.3">
      <c r="A215" s="7" t="s">
        <v>4045</v>
      </c>
      <c r="B215" s="7" t="s">
        <v>4047</v>
      </c>
      <c r="C215" t="s">
        <v>6758</v>
      </c>
      <c r="D215">
        <v>25</v>
      </c>
      <c r="E215">
        <v>746</v>
      </c>
      <c r="F215">
        <v>395</v>
      </c>
      <c r="G215">
        <f>VLOOKUP(Table4[[#This Row],[Shortname]], Comp[], 6, FALSE)</f>
        <v>618</v>
      </c>
      <c r="H215" s="14">
        <f>VLOOKUP(Table4[[#This Row],[Shortname]], Comp[], 7, FALSE)</f>
        <v>72.3</v>
      </c>
      <c r="I215">
        <f>VLOOKUP(Table4[[#This Row],[Shortname]], Comp[], 8, FALSE)</f>
        <v>0</v>
      </c>
      <c r="J215">
        <f>VLOOKUP(Table4[[#This Row],[Shortname]], Comp[], 9, FALSE)</f>
        <v>7.4</v>
      </c>
      <c r="K215">
        <f>VLOOKUP(Table4[[#This Row],[Shortname]], Comp[], 10, FALSE)</f>
        <v>13.2</v>
      </c>
      <c r="L215">
        <f>VLOOKUP(Table4[[#This Row],[Shortname]], Comp[], 11, FALSE)</f>
        <v>7.1</v>
      </c>
      <c r="M215">
        <f>VLOOKUP(Table4[[#This Row],[Shortname]], Comp[],12, FALSE)</f>
        <v>0</v>
      </c>
      <c r="N215">
        <f>VLOOKUP(Table4[[#This Row],[Shortname]], Comp[], 13, FALSE)</f>
        <v>0</v>
      </c>
      <c r="O215">
        <f>VLOOKUP(Table4[[#This Row],[Shortname]], Comp[], 14, FALSE)</f>
        <v>0</v>
      </c>
      <c r="P215">
        <f>VLOOKUP(Table4[[#This Row],[Shortname]], Comp[], 15, FALSE)</f>
        <v>0</v>
      </c>
      <c r="Q215">
        <f>VLOOKUP(Table4[[#This Row],[Shortname]], Comp[], 16, FALSE)</f>
        <v>0</v>
      </c>
      <c r="R215">
        <f>VLOOKUP(Table4[[#This Row],[Shortname]], Comp[], 17, FALSE)</f>
        <v>0</v>
      </c>
      <c r="S215">
        <f>VLOOKUP(Table4[[#This Row],[Shortname]], Comp[], 18, FALSE)</f>
        <v>0</v>
      </c>
      <c r="T215">
        <f>VLOOKUP(Table4[[#This Row],[Shortname]], Comp[], 19, FALSE)</f>
        <v>0</v>
      </c>
      <c r="U215">
        <f>VLOOKUP(Table4[[#This Row],[Shortname]], Comp[], 20, FALSE)</f>
        <v>0</v>
      </c>
      <c r="V215">
        <f>VLOOKUP(Table4[[#This Row],[Shortname]], Comp[], 21, FALSE)</f>
        <v>0</v>
      </c>
      <c r="W215">
        <f>VLOOKUP(Table4[[#This Row],[Shortname]], Comp[], 22, FALSE)</f>
        <v>0</v>
      </c>
      <c r="X215">
        <f>VLOOKUP(Table4[[#This Row],[Shortname]], Comp[], 23, FALSE)</f>
        <v>0</v>
      </c>
      <c r="Y215">
        <f>VLOOKUP(Table4[[#This Row],[Shortname]], Comp[], 24, FALSE)</f>
        <v>0</v>
      </c>
      <c r="Z215">
        <f>VLOOKUP(Table4[[#This Row],[Shortname]], Comp[], 25, FALSE)</f>
        <v>0</v>
      </c>
      <c r="AA215">
        <f>VLOOKUP(Table4[[#This Row],[Shortname]], Comp[], 26, FALSE)</f>
        <v>0</v>
      </c>
      <c r="AB215">
        <f>VLOOKUP(Table4[[#This Row],[Shortname]], Comp[], 27, FALSE)</f>
        <v>0</v>
      </c>
      <c r="AC215">
        <f>VLOOKUP(Table4[[#This Row],[Shortname]], Comp[], 28, FALSE)</f>
        <v>0</v>
      </c>
      <c r="AD215">
        <f>VLOOKUP(Table4[[#This Row],[Shortname]], Comp[], 29, FALSE)</f>
        <v>0</v>
      </c>
      <c r="AE215">
        <f>VLOOKUP(Table4[[#This Row],[Shortname]], Comp[], 30, FALSE)</f>
        <v>0</v>
      </c>
      <c r="AF215">
        <f>VLOOKUP(Table4[[#This Row],[Shortname]], Comp[], 31, FALSE)</f>
        <v>0</v>
      </c>
    </row>
    <row r="216" spans="1:32" x14ac:dyDescent="0.3">
      <c r="A216" s="7" t="s">
        <v>4113</v>
      </c>
      <c r="B216" s="7" t="s">
        <v>4115</v>
      </c>
      <c r="C216" t="s">
        <v>6758</v>
      </c>
      <c r="D216">
        <v>25</v>
      </c>
      <c r="E216">
        <v>817</v>
      </c>
      <c r="F216">
        <v>388</v>
      </c>
      <c r="G216">
        <f>VLOOKUP(Table4[[#This Row],[Shortname]], Comp[], 6, FALSE)</f>
        <v>627</v>
      </c>
      <c r="H216" s="14">
        <f>VLOOKUP(Table4[[#This Row],[Shortname]], Comp[], 7, FALSE)</f>
        <v>32.399999999999991</v>
      </c>
      <c r="I216">
        <f>VLOOKUP(Table4[[#This Row],[Shortname]], Comp[], 8, FALSE)</f>
        <v>32.5</v>
      </c>
      <c r="J216">
        <f>VLOOKUP(Table4[[#This Row],[Shortname]], Comp[], 9, FALSE)</f>
        <v>11.2</v>
      </c>
      <c r="K216">
        <f>VLOOKUP(Table4[[#This Row],[Shortname]], Comp[], 10, FALSE)</f>
        <v>20.5</v>
      </c>
      <c r="L216">
        <f>VLOOKUP(Table4[[#This Row],[Shortname]], Comp[], 11, FALSE)</f>
        <v>3.4</v>
      </c>
      <c r="M216">
        <f>VLOOKUP(Table4[[#This Row],[Shortname]], Comp[],12, FALSE)</f>
        <v>0</v>
      </c>
      <c r="N216">
        <f>VLOOKUP(Table4[[#This Row],[Shortname]], Comp[], 13, FALSE)</f>
        <v>0</v>
      </c>
      <c r="O216">
        <f>VLOOKUP(Table4[[#This Row],[Shortname]], Comp[], 14, FALSE)</f>
        <v>0</v>
      </c>
      <c r="P216">
        <f>VLOOKUP(Table4[[#This Row],[Shortname]], Comp[], 15, FALSE)</f>
        <v>0</v>
      </c>
      <c r="Q216">
        <f>VLOOKUP(Table4[[#This Row],[Shortname]], Comp[], 16, FALSE)</f>
        <v>0</v>
      </c>
      <c r="R216">
        <f>VLOOKUP(Table4[[#This Row],[Shortname]], Comp[], 17, FALSE)</f>
        <v>0</v>
      </c>
      <c r="S216">
        <f>VLOOKUP(Table4[[#This Row],[Shortname]], Comp[], 18, FALSE)</f>
        <v>0</v>
      </c>
      <c r="T216">
        <f>VLOOKUP(Table4[[#This Row],[Shortname]], Comp[], 19, FALSE)</f>
        <v>0</v>
      </c>
      <c r="U216">
        <f>VLOOKUP(Table4[[#This Row],[Shortname]], Comp[], 20, FALSE)</f>
        <v>0</v>
      </c>
      <c r="V216">
        <f>VLOOKUP(Table4[[#This Row],[Shortname]], Comp[], 21, FALSE)</f>
        <v>0</v>
      </c>
      <c r="W216">
        <f>VLOOKUP(Table4[[#This Row],[Shortname]], Comp[], 22, FALSE)</f>
        <v>0</v>
      </c>
      <c r="X216">
        <f>VLOOKUP(Table4[[#This Row],[Shortname]], Comp[], 23, FALSE)</f>
        <v>0</v>
      </c>
      <c r="Y216">
        <f>VLOOKUP(Table4[[#This Row],[Shortname]], Comp[], 24, FALSE)</f>
        <v>0</v>
      </c>
      <c r="Z216">
        <f>VLOOKUP(Table4[[#This Row],[Shortname]], Comp[], 25, FALSE)</f>
        <v>0</v>
      </c>
      <c r="AA216">
        <f>VLOOKUP(Table4[[#This Row],[Shortname]], Comp[], 26, FALSE)</f>
        <v>0</v>
      </c>
      <c r="AB216">
        <f>VLOOKUP(Table4[[#This Row],[Shortname]], Comp[], 27, FALSE)</f>
        <v>0</v>
      </c>
      <c r="AC216">
        <f>VLOOKUP(Table4[[#This Row],[Shortname]], Comp[], 28, FALSE)</f>
        <v>0</v>
      </c>
      <c r="AD216">
        <f>VLOOKUP(Table4[[#This Row],[Shortname]], Comp[], 29, FALSE)</f>
        <v>0</v>
      </c>
      <c r="AE216">
        <f>VLOOKUP(Table4[[#This Row],[Shortname]], Comp[], 30, FALSE)</f>
        <v>0</v>
      </c>
      <c r="AF216">
        <f>VLOOKUP(Table4[[#This Row],[Shortname]], Comp[], 31, FALSE)</f>
        <v>0</v>
      </c>
    </row>
    <row r="217" spans="1:32" x14ac:dyDescent="0.3">
      <c r="A217" s="7" t="s">
        <v>4090</v>
      </c>
      <c r="B217" s="7" t="s">
        <v>4092</v>
      </c>
      <c r="C217" t="s">
        <v>6758</v>
      </c>
      <c r="D217">
        <v>25</v>
      </c>
      <c r="E217">
        <v>791</v>
      </c>
      <c r="F217">
        <v>383</v>
      </c>
      <c r="G217">
        <f>VLOOKUP(Table4[[#This Row],[Shortname]], Comp[], 6, FALSE)</f>
        <v>624</v>
      </c>
      <c r="H217" s="14">
        <f>VLOOKUP(Table4[[#This Row],[Shortname]], Comp[], 7, FALSE)</f>
        <v>31.799999999999997</v>
      </c>
      <c r="I217">
        <f>VLOOKUP(Table4[[#This Row],[Shortname]], Comp[], 8, FALSE)</f>
        <v>33.200000000000003</v>
      </c>
      <c r="J217">
        <f>VLOOKUP(Table4[[#This Row],[Shortname]], Comp[], 9, FALSE)</f>
        <v>7.7</v>
      </c>
      <c r="K217">
        <f>VLOOKUP(Table4[[#This Row],[Shortname]], Comp[], 10, FALSE)</f>
        <v>20.8</v>
      </c>
      <c r="L217">
        <f>VLOOKUP(Table4[[#This Row],[Shortname]], Comp[], 11, FALSE)</f>
        <v>6.5</v>
      </c>
      <c r="M217">
        <f>VLOOKUP(Table4[[#This Row],[Shortname]], Comp[],12, FALSE)</f>
        <v>0</v>
      </c>
      <c r="N217">
        <f>VLOOKUP(Table4[[#This Row],[Shortname]], Comp[], 13, FALSE)</f>
        <v>0</v>
      </c>
      <c r="O217">
        <f>VLOOKUP(Table4[[#This Row],[Shortname]], Comp[], 14, FALSE)</f>
        <v>0</v>
      </c>
      <c r="P217">
        <f>VLOOKUP(Table4[[#This Row],[Shortname]], Comp[], 15, FALSE)</f>
        <v>0</v>
      </c>
      <c r="Q217">
        <f>VLOOKUP(Table4[[#This Row],[Shortname]], Comp[], 16, FALSE)</f>
        <v>0</v>
      </c>
      <c r="R217">
        <f>VLOOKUP(Table4[[#This Row],[Shortname]], Comp[], 17, FALSE)</f>
        <v>0</v>
      </c>
      <c r="S217">
        <f>VLOOKUP(Table4[[#This Row],[Shortname]], Comp[], 18, FALSE)</f>
        <v>0</v>
      </c>
      <c r="T217">
        <f>VLOOKUP(Table4[[#This Row],[Shortname]], Comp[], 19, FALSE)</f>
        <v>0</v>
      </c>
      <c r="U217">
        <f>VLOOKUP(Table4[[#This Row],[Shortname]], Comp[], 20, FALSE)</f>
        <v>0</v>
      </c>
      <c r="V217">
        <f>VLOOKUP(Table4[[#This Row],[Shortname]], Comp[], 21, FALSE)</f>
        <v>0</v>
      </c>
      <c r="W217">
        <f>VLOOKUP(Table4[[#This Row],[Shortname]], Comp[], 22, FALSE)</f>
        <v>0</v>
      </c>
      <c r="X217">
        <f>VLOOKUP(Table4[[#This Row],[Shortname]], Comp[], 23, FALSE)</f>
        <v>0</v>
      </c>
      <c r="Y217">
        <f>VLOOKUP(Table4[[#This Row],[Shortname]], Comp[], 24, FALSE)</f>
        <v>0</v>
      </c>
      <c r="Z217">
        <f>VLOOKUP(Table4[[#This Row],[Shortname]], Comp[], 25, FALSE)</f>
        <v>0</v>
      </c>
      <c r="AA217">
        <f>VLOOKUP(Table4[[#This Row],[Shortname]], Comp[], 26, FALSE)</f>
        <v>0</v>
      </c>
      <c r="AB217">
        <f>VLOOKUP(Table4[[#This Row],[Shortname]], Comp[], 27, FALSE)</f>
        <v>0</v>
      </c>
      <c r="AC217">
        <f>VLOOKUP(Table4[[#This Row],[Shortname]], Comp[], 28, FALSE)</f>
        <v>0</v>
      </c>
      <c r="AD217">
        <f>VLOOKUP(Table4[[#This Row],[Shortname]], Comp[], 29, FALSE)</f>
        <v>0</v>
      </c>
      <c r="AE217">
        <f>VLOOKUP(Table4[[#This Row],[Shortname]], Comp[], 30, FALSE)</f>
        <v>0</v>
      </c>
      <c r="AF217">
        <f>VLOOKUP(Table4[[#This Row],[Shortname]], Comp[], 31, FALSE)</f>
        <v>0</v>
      </c>
    </row>
    <row r="218" spans="1:32" x14ac:dyDescent="0.3">
      <c r="A218" s="7" t="s">
        <v>3775</v>
      </c>
      <c r="B218" s="7" t="s">
        <v>4849</v>
      </c>
      <c r="C218" t="s">
        <v>6758</v>
      </c>
      <c r="D218">
        <v>25</v>
      </c>
      <c r="E218">
        <v>790</v>
      </c>
      <c r="F218">
        <v>348</v>
      </c>
      <c r="G218">
        <f>VLOOKUP(Table4[[#This Row],[Shortname]], Comp[], 6, FALSE)</f>
        <v>564</v>
      </c>
      <c r="H218" s="14">
        <f>VLOOKUP(Table4[[#This Row],[Shortname]], Comp[], 7, FALSE)</f>
        <v>65.5</v>
      </c>
      <c r="I218">
        <f>VLOOKUP(Table4[[#This Row],[Shortname]], Comp[], 8, FALSE)</f>
        <v>20.2</v>
      </c>
      <c r="J218">
        <f>VLOOKUP(Table4[[#This Row],[Shortname]], Comp[], 9, FALSE)</f>
        <v>7.3</v>
      </c>
      <c r="K218">
        <f>VLOOKUP(Table4[[#This Row],[Shortname]], Comp[], 10, FALSE)</f>
        <v>0</v>
      </c>
      <c r="L218">
        <f>VLOOKUP(Table4[[#This Row],[Shortname]], Comp[], 11, FALSE)</f>
        <v>7</v>
      </c>
      <c r="M218">
        <f>VLOOKUP(Table4[[#This Row],[Shortname]], Comp[],12, FALSE)</f>
        <v>0</v>
      </c>
      <c r="N218">
        <f>VLOOKUP(Table4[[#This Row],[Shortname]], Comp[], 13, FALSE)</f>
        <v>0</v>
      </c>
      <c r="O218">
        <f>VLOOKUP(Table4[[#This Row],[Shortname]], Comp[], 14, FALSE)</f>
        <v>0</v>
      </c>
      <c r="P218">
        <f>VLOOKUP(Table4[[#This Row],[Shortname]], Comp[], 15, FALSE)</f>
        <v>0</v>
      </c>
      <c r="Q218">
        <f>VLOOKUP(Table4[[#This Row],[Shortname]], Comp[], 16, FALSE)</f>
        <v>0</v>
      </c>
      <c r="R218">
        <f>VLOOKUP(Table4[[#This Row],[Shortname]], Comp[], 17, FALSE)</f>
        <v>0</v>
      </c>
      <c r="S218">
        <f>VLOOKUP(Table4[[#This Row],[Shortname]], Comp[], 18, FALSE)</f>
        <v>0</v>
      </c>
      <c r="T218">
        <f>VLOOKUP(Table4[[#This Row],[Shortname]], Comp[], 19, FALSE)</f>
        <v>0</v>
      </c>
      <c r="U218">
        <f>VLOOKUP(Table4[[#This Row],[Shortname]], Comp[], 20, FALSE)</f>
        <v>0</v>
      </c>
      <c r="V218">
        <f>VLOOKUP(Table4[[#This Row],[Shortname]], Comp[], 21, FALSE)</f>
        <v>0</v>
      </c>
      <c r="W218">
        <f>VLOOKUP(Table4[[#This Row],[Shortname]], Comp[], 22, FALSE)</f>
        <v>0</v>
      </c>
      <c r="X218">
        <f>VLOOKUP(Table4[[#This Row],[Shortname]], Comp[], 23, FALSE)</f>
        <v>0</v>
      </c>
      <c r="Y218">
        <f>VLOOKUP(Table4[[#This Row],[Shortname]], Comp[], 24, FALSE)</f>
        <v>0</v>
      </c>
      <c r="Z218">
        <f>VLOOKUP(Table4[[#This Row],[Shortname]], Comp[], 25, FALSE)</f>
        <v>0</v>
      </c>
      <c r="AA218">
        <f>VLOOKUP(Table4[[#This Row],[Shortname]], Comp[], 26, FALSE)</f>
        <v>0</v>
      </c>
      <c r="AB218">
        <f>VLOOKUP(Table4[[#This Row],[Shortname]], Comp[], 27, FALSE)</f>
        <v>0</v>
      </c>
      <c r="AC218">
        <f>VLOOKUP(Table4[[#This Row],[Shortname]], Comp[], 28, FALSE)</f>
        <v>0</v>
      </c>
      <c r="AD218">
        <f>VLOOKUP(Table4[[#This Row],[Shortname]], Comp[], 29, FALSE)</f>
        <v>0</v>
      </c>
      <c r="AE218">
        <f>VLOOKUP(Table4[[#This Row],[Shortname]], Comp[], 30, FALSE)</f>
        <v>0</v>
      </c>
      <c r="AF218">
        <f>VLOOKUP(Table4[[#This Row],[Shortname]], Comp[], 31, FALSE)</f>
        <v>0</v>
      </c>
    </row>
    <row r="219" spans="1:32" x14ac:dyDescent="0.3">
      <c r="A219" s="7" t="s">
        <v>4038</v>
      </c>
      <c r="B219" s="7" t="s">
        <v>4040</v>
      </c>
      <c r="C219" t="s">
        <v>6758</v>
      </c>
      <c r="D219">
        <v>25</v>
      </c>
      <c r="E219">
        <v>772</v>
      </c>
      <c r="F219">
        <v>347</v>
      </c>
      <c r="G219">
        <f>VLOOKUP(Table4[[#This Row],[Shortname]], Comp[], 6, FALSE)</f>
        <v>617</v>
      </c>
      <c r="H219" s="14">
        <f>VLOOKUP(Table4[[#This Row],[Shortname]], Comp[], 7, FALSE)</f>
        <v>76.2</v>
      </c>
      <c r="I219">
        <f>VLOOKUP(Table4[[#This Row],[Shortname]], Comp[], 8, FALSE)</f>
        <v>0</v>
      </c>
      <c r="J219">
        <f>VLOOKUP(Table4[[#This Row],[Shortname]], Comp[], 9, FALSE)</f>
        <v>7.2</v>
      </c>
      <c r="K219">
        <f>VLOOKUP(Table4[[#This Row],[Shortname]], Comp[], 10, FALSE)</f>
        <v>9.8000000000000007</v>
      </c>
      <c r="L219">
        <f>VLOOKUP(Table4[[#This Row],[Shortname]], Comp[], 11, FALSE)</f>
        <v>6.8</v>
      </c>
      <c r="M219">
        <f>VLOOKUP(Table4[[#This Row],[Shortname]], Comp[],12, FALSE)</f>
        <v>0</v>
      </c>
      <c r="N219">
        <f>VLOOKUP(Table4[[#This Row],[Shortname]], Comp[], 13, FALSE)</f>
        <v>0</v>
      </c>
      <c r="O219">
        <f>VLOOKUP(Table4[[#This Row],[Shortname]], Comp[], 14, FALSE)</f>
        <v>0</v>
      </c>
      <c r="P219">
        <f>VLOOKUP(Table4[[#This Row],[Shortname]], Comp[], 15, FALSE)</f>
        <v>0</v>
      </c>
      <c r="Q219">
        <f>VLOOKUP(Table4[[#This Row],[Shortname]], Comp[], 16, FALSE)</f>
        <v>0</v>
      </c>
      <c r="R219">
        <f>VLOOKUP(Table4[[#This Row],[Shortname]], Comp[], 17, FALSE)</f>
        <v>0</v>
      </c>
      <c r="S219">
        <f>VLOOKUP(Table4[[#This Row],[Shortname]], Comp[], 18, FALSE)</f>
        <v>0</v>
      </c>
      <c r="T219">
        <f>VLOOKUP(Table4[[#This Row],[Shortname]], Comp[], 19, FALSE)</f>
        <v>0</v>
      </c>
      <c r="U219">
        <f>VLOOKUP(Table4[[#This Row],[Shortname]], Comp[], 20, FALSE)</f>
        <v>0</v>
      </c>
      <c r="V219">
        <f>VLOOKUP(Table4[[#This Row],[Shortname]], Comp[], 21, FALSE)</f>
        <v>0</v>
      </c>
      <c r="W219">
        <f>VLOOKUP(Table4[[#This Row],[Shortname]], Comp[], 22, FALSE)</f>
        <v>0</v>
      </c>
      <c r="X219">
        <f>VLOOKUP(Table4[[#This Row],[Shortname]], Comp[], 23, FALSE)</f>
        <v>0</v>
      </c>
      <c r="Y219">
        <f>VLOOKUP(Table4[[#This Row],[Shortname]], Comp[], 24, FALSE)</f>
        <v>0</v>
      </c>
      <c r="Z219">
        <f>VLOOKUP(Table4[[#This Row],[Shortname]], Comp[], 25, FALSE)</f>
        <v>0</v>
      </c>
      <c r="AA219">
        <f>VLOOKUP(Table4[[#This Row],[Shortname]], Comp[], 26, FALSE)</f>
        <v>0</v>
      </c>
      <c r="AB219">
        <f>VLOOKUP(Table4[[#This Row],[Shortname]], Comp[], 27, FALSE)</f>
        <v>0</v>
      </c>
      <c r="AC219">
        <f>VLOOKUP(Table4[[#This Row],[Shortname]], Comp[], 28, FALSE)</f>
        <v>0</v>
      </c>
      <c r="AD219">
        <f>VLOOKUP(Table4[[#This Row],[Shortname]], Comp[], 29, FALSE)</f>
        <v>0</v>
      </c>
      <c r="AE219">
        <f>VLOOKUP(Table4[[#This Row],[Shortname]], Comp[], 30, FALSE)</f>
        <v>0</v>
      </c>
      <c r="AF219">
        <f>VLOOKUP(Table4[[#This Row],[Shortname]], Comp[], 31, FALSE)</f>
        <v>0</v>
      </c>
    </row>
    <row r="220" spans="1:32" x14ac:dyDescent="0.3">
      <c r="A220" s="7" t="s">
        <v>4067</v>
      </c>
      <c r="B220" s="7" t="s">
        <v>4069</v>
      </c>
      <c r="C220" t="s">
        <v>6758</v>
      </c>
      <c r="D220">
        <v>25</v>
      </c>
      <c r="E220">
        <v>1300</v>
      </c>
      <c r="F220">
        <v>326</v>
      </c>
      <c r="G220">
        <f>VLOOKUP(Table4[[#This Row],[Shortname]], Comp[], 6, FALSE)</f>
        <v>621</v>
      </c>
      <c r="H220" s="14">
        <f>VLOOKUP(Table4[[#This Row],[Shortname]], Comp[], 7, FALSE)</f>
        <v>65.7</v>
      </c>
      <c r="I220">
        <f>VLOOKUP(Table4[[#This Row],[Shortname]], Comp[], 8, FALSE)</f>
        <v>0</v>
      </c>
      <c r="J220">
        <f>VLOOKUP(Table4[[#This Row],[Shortname]], Comp[], 9, FALSE)</f>
        <v>4.8</v>
      </c>
      <c r="K220">
        <f>VLOOKUP(Table4[[#This Row],[Shortname]], Comp[], 10, FALSE)</f>
        <v>22.9</v>
      </c>
      <c r="L220">
        <f>VLOOKUP(Table4[[#This Row],[Shortname]], Comp[], 11, FALSE)</f>
        <v>6.6</v>
      </c>
      <c r="M220">
        <f>VLOOKUP(Table4[[#This Row],[Shortname]], Comp[],12, FALSE)</f>
        <v>0</v>
      </c>
      <c r="N220">
        <f>VLOOKUP(Table4[[#This Row],[Shortname]], Comp[], 13, FALSE)</f>
        <v>0</v>
      </c>
      <c r="O220">
        <f>VLOOKUP(Table4[[#This Row],[Shortname]], Comp[], 14, FALSE)</f>
        <v>0</v>
      </c>
      <c r="P220">
        <f>VLOOKUP(Table4[[#This Row],[Shortname]], Comp[], 15, FALSE)</f>
        <v>0</v>
      </c>
      <c r="Q220">
        <f>VLOOKUP(Table4[[#This Row],[Shortname]], Comp[], 16, FALSE)</f>
        <v>0</v>
      </c>
      <c r="R220">
        <f>VLOOKUP(Table4[[#This Row],[Shortname]], Comp[], 17, FALSE)</f>
        <v>0</v>
      </c>
      <c r="S220">
        <f>VLOOKUP(Table4[[#This Row],[Shortname]], Comp[], 18, FALSE)</f>
        <v>0</v>
      </c>
      <c r="T220">
        <f>VLOOKUP(Table4[[#This Row],[Shortname]], Comp[], 19, FALSE)</f>
        <v>0</v>
      </c>
      <c r="U220">
        <f>VLOOKUP(Table4[[#This Row],[Shortname]], Comp[], 20, FALSE)</f>
        <v>0</v>
      </c>
      <c r="V220">
        <f>VLOOKUP(Table4[[#This Row],[Shortname]], Comp[], 21, FALSE)</f>
        <v>0</v>
      </c>
      <c r="W220">
        <f>VLOOKUP(Table4[[#This Row],[Shortname]], Comp[], 22, FALSE)</f>
        <v>0</v>
      </c>
      <c r="X220">
        <f>VLOOKUP(Table4[[#This Row],[Shortname]], Comp[], 23, FALSE)</f>
        <v>0</v>
      </c>
      <c r="Y220">
        <f>VLOOKUP(Table4[[#This Row],[Shortname]], Comp[], 24, FALSE)</f>
        <v>0</v>
      </c>
      <c r="Z220">
        <f>VLOOKUP(Table4[[#This Row],[Shortname]], Comp[], 25, FALSE)</f>
        <v>0</v>
      </c>
      <c r="AA220">
        <f>VLOOKUP(Table4[[#This Row],[Shortname]], Comp[], 26, FALSE)</f>
        <v>0</v>
      </c>
      <c r="AB220">
        <f>VLOOKUP(Table4[[#This Row],[Shortname]], Comp[], 27, FALSE)</f>
        <v>0</v>
      </c>
      <c r="AC220">
        <f>VLOOKUP(Table4[[#This Row],[Shortname]], Comp[], 28, FALSE)</f>
        <v>0</v>
      </c>
      <c r="AD220">
        <f>VLOOKUP(Table4[[#This Row],[Shortname]], Comp[], 29, FALSE)</f>
        <v>0</v>
      </c>
      <c r="AE220">
        <f>VLOOKUP(Table4[[#This Row],[Shortname]], Comp[], 30, FALSE)</f>
        <v>0</v>
      </c>
      <c r="AF220">
        <f>VLOOKUP(Table4[[#This Row],[Shortname]], Comp[], 31, FALSE)</f>
        <v>0</v>
      </c>
    </row>
    <row r="221" spans="1:32" x14ac:dyDescent="0.3">
      <c r="A221" s="7" t="s">
        <v>4016</v>
      </c>
      <c r="B221" s="7" t="s">
        <v>4018</v>
      </c>
      <c r="C221" t="s">
        <v>6758</v>
      </c>
      <c r="D221">
        <v>25</v>
      </c>
      <c r="E221">
        <v>741</v>
      </c>
      <c r="F221">
        <v>323</v>
      </c>
      <c r="G221">
        <f>VLOOKUP(Table4[[#This Row],[Shortname]], Comp[], 6, FALSE)</f>
        <v>614</v>
      </c>
      <c r="H221" s="14">
        <f>VLOOKUP(Table4[[#This Row],[Shortname]], Comp[], 7, FALSE)</f>
        <v>78.7</v>
      </c>
      <c r="I221">
        <f>VLOOKUP(Table4[[#This Row],[Shortname]], Comp[], 8, FALSE)</f>
        <v>6.4</v>
      </c>
      <c r="J221">
        <f>VLOOKUP(Table4[[#This Row],[Shortname]], Comp[], 9, FALSE)</f>
        <v>7.7</v>
      </c>
      <c r="K221">
        <f>VLOOKUP(Table4[[#This Row],[Shortname]], Comp[], 10, FALSE)</f>
        <v>0</v>
      </c>
      <c r="L221">
        <f>VLOOKUP(Table4[[#This Row],[Shortname]], Comp[], 11, FALSE)</f>
        <v>3</v>
      </c>
      <c r="M221">
        <f>VLOOKUP(Table4[[#This Row],[Shortname]], Comp[],12, FALSE)</f>
        <v>0</v>
      </c>
      <c r="N221">
        <f>VLOOKUP(Table4[[#This Row],[Shortname]], Comp[], 13, FALSE)</f>
        <v>0</v>
      </c>
      <c r="O221">
        <f>VLOOKUP(Table4[[#This Row],[Shortname]], Comp[], 14, FALSE)</f>
        <v>0</v>
      </c>
      <c r="P221">
        <f>VLOOKUP(Table4[[#This Row],[Shortname]], Comp[], 15, FALSE)</f>
        <v>4.2</v>
      </c>
      <c r="Q221">
        <f>VLOOKUP(Table4[[#This Row],[Shortname]], Comp[], 16, FALSE)</f>
        <v>0</v>
      </c>
      <c r="R221">
        <f>VLOOKUP(Table4[[#This Row],[Shortname]], Comp[], 17, FALSE)</f>
        <v>0</v>
      </c>
      <c r="S221">
        <f>VLOOKUP(Table4[[#This Row],[Shortname]], Comp[], 18, FALSE)</f>
        <v>0</v>
      </c>
      <c r="T221">
        <f>VLOOKUP(Table4[[#This Row],[Shortname]], Comp[], 19, FALSE)</f>
        <v>0</v>
      </c>
      <c r="U221">
        <f>VLOOKUP(Table4[[#This Row],[Shortname]], Comp[], 20, FALSE)</f>
        <v>0</v>
      </c>
      <c r="V221">
        <f>VLOOKUP(Table4[[#This Row],[Shortname]], Comp[], 21, FALSE)</f>
        <v>0</v>
      </c>
      <c r="W221">
        <f>VLOOKUP(Table4[[#This Row],[Shortname]], Comp[], 22, FALSE)</f>
        <v>0</v>
      </c>
      <c r="X221">
        <f>VLOOKUP(Table4[[#This Row],[Shortname]], Comp[], 23, FALSE)</f>
        <v>0</v>
      </c>
      <c r="Y221">
        <f>VLOOKUP(Table4[[#This Row],[Shortname]], Comp[], 24, FALSE)</f>
        <v>0</v>
      </c>
      <c r="Z221">
        <f>VLOOKUP(Table4[[#This Row],[Shortname]], Comp[], 25, FALSE)</f>
        <v>0</v>
      </c>
      <c r="AA221">
        <f>VLOOKUP(Table4[[#This Row],[Shortname]], Comp[], 26, FALSE)</f>
        <v>0</v>
      </c>
      <c r="AB221">
        <f>VLOOKUP(Table4[[#This Row],[Shortname]], Comp[], 27, FALSE)</f>
        <v>0</v>
      </c>
      <c r="AC221">
        <f>VLOOKUP(Table4[[#This Row],[Shortname]], Comp[], 28, FALSE)</f>
        <v>0</v>
      </c>
      <c r="AD221">
        <f>VLOOKUP(Table4[[#This Row],[Shortname]], Comp[], 29, FALSE)</f>
        <v>0</v>
      </c>
      <c r="AE221">
        <f>VLOOKUP(Table4[[#This Row],[Shortname]], Comp[], 30, FALSE)</f>
        <v>0</v>
      </c>
      <c r="AF221">
        <f>VLOOKUP(Table4[[#This Row],[Shortname]], Comp[], 31, FALSE)</f>
        <v>0</v>
      </c>
    </row>
    <row r="222" spans="1:32" x14ac:dyDescent="0.3">
      <c r="A222" s="7" t="s">
        <v>4097</v>
      </c>
      <c r="B222" s="7" t="s">
        <v>4099</v>
      </c>
      <c r="C222" t="s">
        <v>6758</v>
      </c>
      <c r="D222">
        <v>25</v>
      </c>
      <c r="E222">
        <v>689</v>
      </c>
      <c r="F222">
        <v>323</v>
      </c>
      <c r="G222">
        <f>VLOOKUP(Table4[[#This Row],[Shortname]], Comp[], 6, FALSE)</f>
        <v>625</v>
      </c>
      <c r="H222" s="14">
        <f>VLOOKUP(Table4[[#This Row],[Shortname]], Comp[], 7, FALSE)</f>
        <v>54.1</v>
      </c>
      <c r="I222">
        <f>VLOOKUP(Table4[[#This Row],[Shortname]], Comp[], 8, FALSE)</f>
        <v>10.9</v>
      </c>
      <c r="J222">
        <f>VLOOKUP(Table4[[#This Row],[Shortname]], Comp[], 9, FALSE)</f>
        <v>8.5</v>
      </c>
      <c r="K222">
        <f>VLOOKUP(Table4[[#This Row],[Shortname]], Comp[], 10, FALSE)</f>
        <v>21</v>
      </c>
      <c r="L222">
        <f>VLOOKUP(Table4[[#This Row],[Shortname]], Comp[], 11, FALSE)</f>
        <v>5.5</v>
      </c>
      <c r="M222">
        <f>VLOOKUP(Table4[[#This Row],[Shortname]], Comp[],12, FALSE)</f>
        <v>0</v>
      </c>
      <c r="N222">
        <f>VLOOKUP(Table4[[#This Row],[Shortname]], Comp[], 13, FALSE)</f>
        <v>0</v>
      </c>
      <c r="O222">
        <f>VLOOKUP(Table4[[#This Row],[Shortname]], Comp[], 14, FALSE)</f>
        <v>0</v>
      </c>
      <c r="P222">
        <f>VLOOKUP(Table4[[#This Row],[Shortname]], Comp[], 15, FALSE)</f>
        <v>0</v>
      </c>
      <c r="Q222">
        <f>VLOOKUP(Table4[[#This Row],[Shortname]], Comp[], 16, FALSE)</f>
        <v>0</v>
      </c>
      <c r="R222">
        <f>VLOOKUP(Table4[[#This Row],[Shortname]], Comp[], 17, FALSE)</f>
        <v>0</v>
      </c>
      <c r="S222">
        <f>VLOOKUP(Table4[[#This Row],[Shortname]], Comp[], 18, FALSE)</f>
        <v>0</v>
      </c>
      <c r="T222">
        <f>VLOOKUP(Table4[[#This Row],[Shortname]], Comp[], 19, FALSE)</f>
        <v>0</v>
      </c>
      <c r="U222">
        <f>VLOOKUP(Table4[[#This Row],[Shortname]], Comp[], 20, FALSE)</f>
        <v>0</v>
      </c>
      <c r="V222">
        <f>VLOOKUP(Table4[[#This Row],[Shortname]], Comp[], 21, FALSE)</f>
        <v>0</v>
      </c>
      <c r="W222">
        <f>VLOOKUP(Table4[[#This Row],[Shortname]], Comp[], 22, FALSE)</f>
        <v>0</v>
      </c>
      <c r="X222">
        <f>VLOOKUP(Table4[[#This Row],[Shortname]], Comp[], 23, FALSE)</f>
        <v>0</v>
      </c>
      <c r="Y222">
        <f>VLOOKUP(Table4[[#This Row],[Shortname]], Comp[], 24, FALSE)</f>
        <v>0</v>
      </c>
      <c r="Z222">
        <f>VLOOKUP(Table4[[#This Row],[Shortname]], Comp[], 25, FALSE)</f>
        <v>0</v>
      </c>
      <c r="AA222">
        <f>VLOOKUP(Table4[[#This Row],[Shortname]], Comp[], 26, FALSE)</f>
        <v>0</v>
      </c>
      <c r="AB222">
        <f>VLOOKUP(Table4[[#This Row],[Shortname]], Comp[], 27, FALSE)</f>
        <v>0</v>
      </c>
      <c r="AC222">
        <f>VLOOKUP(Table4[[#This Row],[Shortname]], Comp[], 28, FALSE)</f>
        <v>0</v>
      </c>
      <c r="AD222">
        <f>VLOOKUP(Table4[[#This Row],[Shortname]], Comp[], 29, FALSE)</f>
        <v>0</v>
      </c>
      <c r="AE222">
        <f>VLOOKUP(Table4[[#This Row],[Shortname]], Comp[], 30, FALSE)</f>
        <v>0</v>
      </c>
      <c r="AF222">
        <f>VLOOKUP(Table4[[#This Row],[Shortname]], Comp[], 31, FALSE)</f>
        <v>0</v>
      </c>
    </row>
    <row r="223" spans="1:32" x14ac:dyDescent="0.3">
      <c r="A223" s="7" t="s">
        <v>4280</v>
      </c>
      <c r="B223" s="7" t="s">
        <v>4282</v>
      </c>
      <c r="C223" t="s">
        <v>6634</v>
      </c>
      <c r="D223">
        <v>25</v>
      </c>
      <c r="E223">
        <v>900</v>
      </c>
      <c r="F223">
        <v>492.50535331905786</v>
      </c>
      <c r="G223">
        <f>VLOOKUP(Table4[[#This Row],[Shortname]], Comp[], 6, FALSE)</f>
        <v>651</v>
      </c>
      <c r="H223" s="14">
        <f>VLOOKUP(Table4[[#This Row],[Shortname]], Comp[], 7, FALSE)</f>
        <v>38.160000000000004</v>
      </c>
      <c r="I223">
        <f>VLOOKUP(Table4[[#This Row],[Shortname]], Comp[], 8, FALSE)</f>
        <v>37.5</v>
      </c>
      <c r="J223">
        <f>VLOOKUP(Table4[[#This Row],[Shortname]], Comp[], 9, FALSE)</f>
        <v>9</v>
      </c>
      <c r="K223">
        <f>VLOOKUP(Table4[[#This Row],[Shortname]], Comp[], 10, FALSE)</f>
        <v>8</v>
      </c>
      <c r="L223">
        <f>VLOOKUP(Table4[[#This Row],[Shortname]], Comp[], 11, FALSE)</f>
        <v>7.3</v>
      </c>
      <c r="M223">
        <f>VLOOKUP(Table4[[#This Row],[Shortname]], Comp[],12, FALSE)</f>
        <v>0</v>
      </c>
      <c r="N223">
        <f>VLOOKUP(Table4[[#This Row],[Shortname]], Comp[], 13, FALSE)</f>
        <v>0</v>
      </c>
      <c r="O223">
        <f>VLOOKUP(Table4[[#This Row],[Shortname]], Comp[], 14, FALSE)</f>
        <v>0</v>
      </c>
      <c r="P223">
        <f>VLOOKUP(Table4[[#This Row],[Shortname]], Comp[], 15, FALSE)</f>
        <v>0</v>
      </c>
      <c r="Q223">
        <f>VLOOKUP(Table4[[#This Row],[Shortname]], Comp[], 16, FALSE)</f>
        <v>0</v>
      </c>
      <c r="R223">
        <f>VLOOKUP(Table4[[#This Row],[Shortname]], Comp[], 17, FALSE)</f>
        <v>0</v>
      </c>
      <c r="S223">
        <f>VLOOKUP(Table4[[#This Row],[Shortname]], Comp[], 18, FALSE)</f>
        <v>0</v>
      </c>
      <c r="T223">
        <f>VLOOKUP(Table4[[#This Row],[Shortname]], Comp[], 19, FALSE)</f>
        <v>0.04</v>
      </c>
      <c r="U223">
        <f>VLOOKUP(Table4[[#This Row],[Shortname]], Comp[], 20, FALSE)</f>
        <v>0</v>
      </c>
      <c r="V223">
        <f>VLOOKUP(Table4[[#This Row],[Shortname]], Comp[], 21, FALSE)</f>
        <v>0</v>
      </c>
      <c r="W223">
        <f>VLOOKUP(Table4[[#This Row],[Shortname]], Comp[], 22, FALSE)</f>
        <v>0</v>
      </c>
      <c r="X223">
        <f>VLOOKUP(Table4[[#This Row],[Shortname]], Comp[], 23, FALSE)</f>
        <v>0</v>
      </c>
      <c r="Y223">
        <f>VLOOKUP(Table4[[#This Row],[Shortname]], Comp[], 24, FALSE)</f>
        <v>0</v>
      </c>
      <c r="Z223">
        <f>VLOOKUP(Table4[[#This Row],[Shortname]], Comp[], 25, FALSE)</f>
        <v>0</v>
      </c>
      <c r="AA223">
        <f>VLOOKUP(Table4[[#This Row],[Shortname]], Comp[], 26, FALSE)</f>
        <v>0</v>
      </c>
      <c r="AB223">
        <f>VLOOKUP(Table4[[#This Row],[Shortname]], Comp[], 27, FALSE)</f>
        <v>0</v>
      </c>
      <c r="AC223">
        <f>VLOOKUP(Table4[[#This Row],[Shortname]], Comp[], 28, FALSE)</f>
        <v>0</v>
      </c>
      <c r="AD223">
        <f>VLOOKUP(Table4[[#This Row],[Shortname]], Comp[], 29, FALSE)</f>
        <v>0</v>
      </c>
      <c r="AE223">
        <f>VLOOKUP(Table4[[#This Row],[Shortname]], Comp[], 30, FALSE)</f>
        <v>0</v>
      </c>
      <c r="AF223">
        <f>VLOOKUP(Table4[[#This Row],[Shortname]], Comp[], 31, FALSE)</f>
        <v>0</v>
      </c>
    </row>
    <row r="224" spans="1:32" x14ac:dyDescent="0.3">
      <c r="A224" s="7" t="s">
        <v>4292</v>
      </c>
      <c r="B224" s="7" t="s">
        <v>4294</v>
      </c>
      <c r="C224" t="s">
        <v>6634</v>
      </c>
      <c r="D224">
        <v>25</v>
      </c>
      <c r="E224">
        <v>900</v>
      </c>
      <c r="F224">
        <v>474.15111654940353</v>
      </c>
      <c r="G224">
        <f>VLOOKUP(Table4[[#This Row],[Shortname]], Comp[], 6, FALSE)</f>
        <v>653</v>
      </c>
      <c r="H224" s="14">
        <f>VLOOKUP(Table4[[#This Row],[Shortname]], Comp[], 7, FALSE)</f>
        <v>75.36</v>
      </c>
      <c r="I224">
        <f>VLOOKUP(Table4[[#This Row],[Shortname]], Comp[], 8, FALSE)</f>
        <v>0</v>
      </c>
      <c r="J224">
        <f>VLOOKUP(Table4[[#This Row],[Shortname]], Comp[], 9, FALSE)</f>
        <v>8.6999999999999993</v>
      </c>
      <c r="K224">
        <f>VLOOKUP(Table4[[#This Row],[Shortname]], Comp[], 10, FALSE)</f>
        <v>8</v>
      </c>
      <c r="L224">
        <f>VLOOKUP(Table4[[#This Row],[Shortname]], Comp[], 11, FALSE)</f>
        <v>7.9</v>
      </c>
      <c r="M224">
        <f>VLOOKUP(Table4[[#This Row],[Shortname]], Comp[],12, FALSE)</f>
        <v>0</v>
      </c>
      <c r="N224">
        <f>VLOOKUP(Table4[[#This Row],[Shortname]], Comp[], 13, FALSE)</f>
        <v>0</v>
      </c>
      <c r="O224">
        <f>VLOOKUP(Table4[[#This Row],[Shortname]], Comp[], 14, FALSE)</f>
        <v>0</v>
      </c>
      <c r="P224">
        <f>VLOOKUP(Table4[[#This Row],[Shortname]], Comp[], 15, FALSE)</f>
        <v>0</v>
      </c>
      <c r="Q224">
        <f>VLOOKUP(Table4[[#This Row],[Shortname]], Comp[], 16, FALSE)</f>
        <v>0</v>
      </c>
      <c r="R224">
        <f>VLOOKUP(Table4[[#This Row],[Shortname]], Comp[], 17, FALSE)</f>
        <v>0</v>
      </c>
      <c r="S224">
        <f>VLOOKUP(Table4[[#This Row],[Shortname]], Comp[], 18, FALSE)</f>
        <v>0</v>
      </c>
      <c r="T224">
        <f>VLOOKUP(Table4[[#This Row],[Shortname]], Comp[], 19, FALSE)</f>
        <v>0.04</v>
      </c>
      <c r="U224">
        <f>VLOOKUP(Table4[[#This Row],[Shortname]], Comp[], 20, FALSE)</f>
        <v>0</v>
      </c>
      <c r="V224">
        <f>VLOOKUP(Table4[[#This Row],[Shortname]], Comp[], 21, FALSE)</f>
        <v>0</v>
      </c>
      <c r="W224">
        <f>VLOOKUP(Table4[[#This Row],[Shortname]], Comp[], 22, FALSE)</f>
        <v>0</v>
      </c>
      <c r="X224">
        <f>VLOOKUP(Table4[[#This Row],[Shortname]], Comp[], 23, FALSE)</f>
        <v>0</v>
      </c>
      <c r="Y224">
        <f>VLOOKUP(Table4[[#This Row],[Shortname]], Comp[], 24, FALSE)</f>
        <v>0</v>
      </c>
      <c r="Z224">
        <f>VLOOKUP(Table4[[#This Row],[Shortname]], Comp[], 25, FALSE)</f>
        <v>0</v>
      </c>
      <c r="AA224">
        <f>VLOOKUP(Table4[[#This Row],[Shortname]], Comp[], 26, FALSE)</f>
        <v>0</v>
      </c>
      <c r="AB224">
        <f>VLOOKUP(Table4[[#This Row],[Shortname]], Comp[], 27, FALSE)</f>
        <v>0</v>
      </c>
      <c r="AC224">
        <f>VLOOKUP(Table4[[#This Row],[Shortname]], Comp[], 28, FALSE)</f>
        <v>0</v>
      </c>
      <c r="AD224">
        <f>VLOOKUP(Table4[[#This Row],[Shortname]], Comp[], 29, FALSE)</f>
        <v>0</v>
      </c>
      <c r="AE224">
        <f>VLOOKUP(Table4[[#This Row],[Shortname]], Comp[], 30, FALSE)</f>
        <v>0</v>
      </c>
      <c r="AF224">
        <f>VLOOKUP(Table4[[#This Row],[Shortname]], Comp[], 31, FALSE)</f>
        <v>0</v>
      </c>
    </row>
    <row r="225" spans="1:32" x14ac:dyDescent="0.3">
      <c r="A225" s="7" t="s">
        <v>4275</v>
      </c>
      <c r="B225" s="7" t="s">
        <v>4276</v>
      </c>
      <c r="C225" t="s">
        <v>6634</v>
      </c>
      <c r="D225">
        <v>25</v>
      </c>
      <c r="E225">
        <v>900</v>
      </c>
      <c r="F225">
        <v>439.48200265116748</v>
      </c>
      <c r="G225">
        <f>VLOOKUP(Table4[[#This Row],[Shortname]], Comp[], 6, FALSE)</f>
        <v>650</v>
      </c>
      <c r="H225" s="14">
        <f>VLOOKUP(Table4[[#This Row],[Shortname]], Comp[], 7, FALSE)</f>
        <v>83.03</v>
      </c>
      <c r="I225">
        <f>VLOOKUP(Table4[[#This Row],[Shortname]], Comp[], 8, FALSE)</f>
        <v>0</v>
      </c>
      <c r="J225">
        <f>VLOOKUP(Table4[[#This Row],[Shortname]], Comp[], 9, FALSE)</f>
        <v>9.4</v>
      </c>
      <c r="K225">
        <f>VLOOKUP(Table4[[#This Row],[Shortname]], Comp[], 10, FALSE)</f>
        <v>0</v>
      </c>
      <c r="L225">
        <f>VLOOKUP(Table4[[#This Row],[Shortname]], Comp[], 11, FALSE)</f>
        <v>7.53</v>
      </c>
      <c r="M225">
        <f>VLOOKUP(Table4[[#This Row],[Shortname]], Comp[],12, FALSE)</f>
        <v>0</v>
      </c>
      <c r="N225">
        <f>VLOOKUP(Table4[[#This Row],[Shortname]], Comp[], 13, FALSE)</f>
        <v>0</v>
      </c>
      <c r="O225">
        <f>VLOOKUP(Table4[[#This Row],[Shortname]], Comp[], 14, FALSE)</f>
        <v>0</v>
      </c>
      <c r="P225">
        <f>VLOOKUP(Table4[[#This Row],[Shortname]], Comp[], 15, FALSE)</f>
        <v>0</v>
      </c>
      <c r="Q225">
        <f>VLOOKUP(Table4[[#This Row],[Shortname]], Comp[], 16, FALSE)</f>
        <v>0</v>
      </c>
      <c r="R225">
        <f>VLOOKUP(Table4[[#This Row],[Shortname]], Comp[], 17, FALSE)</f>
        <v>0</v>
      </c>
      <c r="S225">
        <f>VLOOKUP(Table4[[#This Row],[Shortname]], Comp[], 18, FALSE)</f>
        <v>0</v>
      </c>
      <c r="T225">
        <f>VLOOKUP(Table4[[#This Row],[Shortname]], Comp[], 19, FALSE)</f>
        <v>0.04</v>
      </c>
      <c r="U225">
        <f>VLOOKUP(Table4[[#This Row],[Shortname]], Comp[], 20, FALSE)</f>
        <v>0</v>
      </c>
      <c r="V225">
        <f>VLOOKUP(Table4[[#This Row],[Shortname]], Comp[], 21, FALSE)</f>
        <v>0</v>
      </c>
      <c r="W225">
        <f>VLOOKUP(Table4[[#This Row],[Shortname]], Comp[], 22, FALSE)</f>
        <v>0</v>
      </c>
      <c r="X225">
        <f>VLOOKUP(Table4[[#This Row],[Shortname]], Comp[], 23, FALSE)</f>
        <v>0</v>
      </c>
      <c r="Y225">
        <f>VLOOKUP(Table4[[#This Row],[Shortname]], Comp[], 24, FALSE)</f>
        <v>0</v>
      </c>
      <c r="Z225">
        <f>VLOOKUP(Table4[[#This Row],[Shortname]], Comp[], 25, FALSE)</f>
        <v>0</v>
      </c>
      <c r="AA225">
        <f>VLOOKUP(Table4[[#This Row],[Shortname]], Comp[], 26, FALSE)</f>
        <v>0</v>
      </c>
      <c r="AB225">
        <f>VLOOKUP(Table4[[#This Row],[Shortname]], Comp[], 27, FALSE)</f>
        <v>0</v>
      </c>
      <c r="AC225">
        <f>VLOOKUP(Table4[[#This Row],[Shortname]], Comp[], 28, FALSE)</f>
        <v>0</v>
      </c>
      <c r="AD225">
        <f>VLOOKUP(Table4[[#This Row],[Shortname]], Comp[], 29, FALSE)</f>
        <v>0</v>
      </c>
      <c r="AE225">
        <f>VLOOKUP(Table4[[#This Row],[Shortname]], Comp[], 30, FALSE)</f>
        <v>0</v>
      </c>
      <c r="AF225">
        <f>VLOOKUP(Table4[[#This Row],[Shortname]], Comp[], 31, FALSE)</f>
        <v>0</v>
      </c>
    </row>
    <row r="226" spans="1:32" x14ac:dyDescent="0.3">
      <c r="A226" s="7" t="s">
        <v>4286</v>
      </c>
      <c r="B226" s="7" t="s">
        <v>4288</v>
      </c>
      <c r="C226" t="s">
        <v>6634</v>
      </c>
      <c r="D226">
        <v>25</v>
      </c>
      <c r="E226">
        <v>900</v>
      </c>
      <c r="F226">
        <v>431.32456408687676</v>
      </c>
      <c r="G226">
        <f>VLOOKUP(Table4[[#This Row],[Shortname]], Comp[], 6, FALSE)</f>
        <v>652</v>
      </c>
      <c r="H226" s="14">
        <f>VLOOKUP(Table4[[#This Row],[Shortname]], Comp[], 7, FALSE)</f>
        <v>56.41</v>
      </c>
      <c r="I226">
        <f>VLOOKUP(Table4[[#This Row],[Shortname]], Comp[], 8, FALSE)</f>
        <v>18.75</v>
      </c>
      <c r="J226">
        <f>VLOOKUP(Table4[[#This Row],[Shortname]], Comp[], 9, FALSE)</f>
        <v>9.1999999999999993</v>
      </c>
      <c r="K226">
        <f>VLOOKUP(Table4[[#This Row],[Shortname]], Comp[], 10, FALSE)</f>
        <v>8</v>
      </c>
      <c r="L226">
        <f>VLOOKUP(Table4[[#This Row],[Shortname]], Comp[], 11, FALSE)</f>
        <v>7.6</v>
      </c>
      <c r="M226">
        <f>VLOOKUP(Table4[[#This Row],[Shortname]], Comp[],12, FALSE)</f>
        <v>0</v>
      </c>
      <c r="N226">
        <f>VLOOKUP(Table4[[#This Row],[Shortname]], Comp[], 13, FALSE)</f>
        <v>0</v>
      </c>
      <c r="O226">
        <f>VLOOKUP(Table4[[#This Row],[Shortname]], Comp[], 14, FALSE)</f>
        <v>0</v>
      </c>
      <c r="P226">
        <f>VLOOKUP(Table4[[#This Row],[Shortname]], Comp[], 15, FALSE)</f>
        <v>0</v>
      </c>
      <c r="Q226">
        <f>VLOOKUP(Table4[[#This Row],[Shortname]], Comp[], 16, FALSE)</f>
        <v>0</v>
      </c>
      <c r="R226">
        <f>VLOOKUP(Table4[[#This Row],[Shortname]], Comp[], 17, FALSE)</f>
        <v>0</v>
      </c>
      <c r="S226">
        <f>VLOOKUP(Table4[[#This Row],[Shortname]], Comp[], 18, FALSE)</f>
        <v>0</v>
      </c>
      <c r="T226">
        <f>VLOOKUP(Table4[[#This Row],[Shortname]], Comp[], 19, FALSE)</f>
        <v>0.04</v>
      </c>
      <c r="U226">
        <f>VLOOKUP(Table4[[#This Row],[Shortname]], Comp[], 20, FALSE)</f>
        <v>0</v>
      </c>
      <c r="V226">
        <f>VLOOKUP(Table4[[#This Row],[Shortname]], Comp[], 21, FALSE)</f>
        <v>0</v>
      </c>
      <c r="W226">
        <f>VLOOKUP(Table4[[#This Row],[Shortname]], Comp[], 22, FALSE)</f>
        <v>0</v>
      </c>
      <c r="X226">
        <f>VLOOKUP(Table4[[#This Row],[Shortname]], Comp[], 23, FALSE)</f>
        <v>0</v>
      </c>
      <c r="Y226">
        <f>VLOOKUP(Table4[[#This Row],[Shortname]], Comp[], 24, FALSE)</f>
        <v>0</v>
      </c>
      <c r="Z226">
        <f>VLOOKUP(Table4[[#This Row],[Shortname]], Comp[], 25, FALSE)</f>
        <v>0</v>
      </c>
      <c r="AA226">
        <f>VLOOKUP(Table4[[#This Row],[Shortname]], Comp[], 26, FALSE)</f>
        <v>0</v>
      </c>
      <c r="AB226">
        <f>VLOOKUP(Table4[[#This Row],[Shortname]], Comp[], 27, FALSE)</f>
        <v>0</v>
      </c>
      <c r="AC226">
        <f>VLOOKUP(Table4[[#This Row],[Shortname]], Comp[], 28, FALSE)</f>
        <v>0</v>
      </c>
      <c r="AD226">
        <f>VLOOKUP(Table4[[#This Row],[Shortname]], Comp[], 29, FALSE)</f>
        <v>0</v>
      </c>
      <c r="AE226">
        <f>VLOOKUP(Table4[[#This Row],[Shortname]], Comp[], 30, FALSE)</f>
        <v>0</v>
      </c>
      <c r="AF226">
        <f>VLOOKUP(Table4[[#This Row],[Shortname]], Comp[], 31, FALSE)</f>
        <v>0</v>
      </c>
    </row>
    <row r="227" spans="1:32" x14ac:dyDescent="0.3">
      <c r="A227" s="7" t="s">
        <v>4260</v>
      </c>
      <c r="B227" s="7" t="s">
        <v>4262</v>
      </c>
      <c r="C227" t="s">
        <v>6634</v>
      </c>
      <c r="D227">
        <v>25</v>
      </c>
      <c r="E227">
        <v>900</v>
      </c>
      <c r="F227">
        <v>424.18680534312227</v>
      </c>
      <c r="G227">
        <f>VLOOKUP(Table4[[#This Row],[Shortname]], Comp[], 6, FALSE)</f>
        <v>648</v>
      </c>
      <c r="H227" s="14">
        <f>VLOOKUP(Table4[[#This Row],[Shortname]], Comp[], 7, FALSE)</f>
        <v>41.48</v>
      </c>
      <c r="I227">
        <f>VLOOKUP(Table4[[#This Row],[Shortname]], Comp[], 8, FALSE)</f>
        <v>41.5</v>
      </c>
      <c r="J227">
        <f>VLOOKUP(Table4[[#This Row],[Shortname]], Comp[], 9, FALSE)</f>
        <v>9.6</v>
      </c>
      <c r="K227">
        <f>VLOOKUP(Table4[[#This Row],[Shortname]], Comp[], 10, FALSE)</f>
        <v>0</v>
      </c>
      <c r="L227">
        <f>VLOOKUP(Table4[[#This Row],[Shortname]], Comp[], 11, FALSE)</f>
        <v>7.38</v>
      </c>
      <c r="M227">
        <f>VLOOKUP(Table4[[#This Row],[Shortname]], Comp[],12, FALSE)</f>
        <v>0</v>
      </c>
      <c r="N227">
        <f>VLOOKUP(Table4[[#This Row],[Shortname]], Comp[], 13, FALSE)</f>
        <v>0</v>
      </c>
      <c r="O227">
        <f>VLOOKUP(Table4[[#This Row],[Shortname]], Comp[], 14, FALSE)</f>
        <v>0</v>
      </c>
      <c r="P227">
        <f>VLOOKUP(Table4[[#This Row],[Shortname]], Comp[], 15, FALSE)</f>
        <v>0</v>
      </c>
      <c r="Q227">
        <f>VLOOKUP(Table4[[#This Row],[Shortname]], Comp[], 16, FALSE)</f>
        <v>0</v>
      </c>
      <c r="R227">
        <f>VLOOKUP(Table4[[#This Row],[Shortname]], Comp[], 17, FALSE)</f>
        <v>0</v>
      </c>
      <c r="S227">
        <f>VLOOKUP(Table4[[#This Row],[Shortname]], Comp[], 18, FALSE)</f>
        <v>0</v>
      </c>
      <c r="T227">
        <f>VLOOKUP(Table4[[#This Row],[Shortname]], Comp[], 19, FALSE)</f>
        <v>0.04</v>
      </c>
      <c r="U227">
        <f>VLOOKUP(Table4[[#This Row],[Shortname]], Comp[], 20, FALSE)</f>
        <v>0</v>
      </c>
      <c r="V227">
        <f>VLOOKUP(Table4[[#This Row],[Shortname]], Comp[], 21, FALSE)</f>
        <v>0</v>
      </c>
      <c r="W227">
        <f>VLOOKUP(Table4[[#This Row],[Shortname]], Comp[], 22, FALSE)</f>
        <v>0</v>
      </c>
      <c r="X227">
        <f>VLOOKUP(Table4[[#This Row],[Shortname]], Comp[], 23, FALSE)</f>
        <v>0</v>
      </c>
      <c r="Y227">
        <f>VLOOKUP(Table4[[#This Row],[Shortname]], Comp[], 24, FALSE)</f>
        <v>0</v>
      </c>
      <c r="Z227">
        <f>VLOOKUP(Table4[[#This Row],[Shortname]], Comp[], 25, FALSE)</f>
        <v>0</v>
      </c>
      <c r="AA227">
        <f>VLOOKUP(Table4[[#This Row],[Shortname]], Comp[], 26, FALSE)</f>
        <v>0</v>
      </c>
      <c r="AB227">
        <f>VLOOKUP(Table4[[#This Row],[Shortname]], Comp[], 27, FALSE)</f>
        <v>0</v>
      </c>
      <c r="AC227">
        <f>VLOOKUP(Table4[[#This Row],[Shortname]], Comp[], 28, FALSE)</f>
        <v>0</v>
      </c>
      <c r="AD227">
        <f>VLOOKUP(Table4[[#This Row],[Shortname]], Comp[], 29, FALSE)</f>
        <v>0</v>
      </c>
      <c r="AE227">
        <f>VLOOKUP(Table4[[#This Row],[Shortname]], Comp[], 30, FALSE)</f>
        <v>0</v>
      </c>
      <c r="AF227">
        <f>VLOOKUP(Table4[[#This Row],[Shortname]], Comp[], 31, FALSE)</f>
        <v>0</v>
      </c>
    </row>
    <row r="228" spans="1:32" x14ac:dyDescent="0.3">
      <c r="A228" s="7" t="s">
        <v>4268</v>
      </c>
      <c r="B228" s="7" t="s">
        <v>4270</v>
      </c>
      <c r="C228" t="s">
        <v>6634</v>
      </c>
      <c r="D228">
        <v>25</v>
      </c>
      <c r="E228">
        <v>900</v>
      </c>
      <c r="F228">
        <v>406.85224839400433</v>
      </c>
      <c r="G228">
        <f>VLOOKUP(Table4[[#This Row],[Shortname]], Comp[], 6, FALSE)</f>
        <v>649</v>
      </c>
      <c r="H228" s="14">
        <f>VLOOKUP(Table4[[#This Row],[Shortname]], Comp[], 7, FALSE)</f>
        <v>62.6</v>
      </c>
      <c r="I228">
        <f>VLOOKUP(Table4[[#This Row],[Shortname]], Comp[], 8, FALSE)</f>
        <v>20.75</v>
      </c>
      <c r="J228">
        <f>VLOOKUP(Table4[[#This Row],[Shortname]], Comp[], 9, FALSE)</f>
        <v>9.1999999999999993</v>
      </c>
      <c r="K228">
        <f>VLOOKUP(Table4[[#This Row],[Shortname]], Comp[], 10, FALSE)</f>
        <v>0</v>
      </c>
      <c r="L228">
        <f>VLOOKUP(Table4[[#This Row],[Shortname]], Comp[], 11, FALSE)</f>
        <v>7.41</v>
      </c>
      <c r="M228">
        <f>VLOOKUP(Table4[[#This Row],[Shortname]], Comp[],12, FALSE)</f>
        <v>0</v>
      </c>
      <c r="N228">
        <f>VLOOKUP(Table4[[#This Row],[Shortname]], Comp[], 13, FALSE)</f>
        <v>0</v>
      </c>
      <c r="O228">
        <f>VLOOKUP(Table4[[#This Row],[Shortname]], Comp[], 14, FALSE)</f>
        <v>0</v>
      </c>
      <c r="P228">
        <f>VLOOKUP(Table4[[#This Row],[Shortname]], Comp[], 15, FALSE)</f>
        <v>0</v>
      </c>
      <c r="Q228">
        <f>VLOOKUP(Table4[[#This Row],[Shortname]], Comp[], 16, FALSE)</f>
        <v>0</v>
      </c>
      <c r="R228">
        <f>VLOOKUP(Table4[[#This Row],[Shortname]], Comp[], 17, FALSE)</f>
        <v>0</v>
      </c>
      <c r="S228">
        <f>VLOOKUP(Table4[[#This Row],[Shortname]], Comp[], 18, FALSE)</f>
        <v>0</v>
      </c>
      <c r="T228">
        <f>VLOOKUP(Table4[[#This Row],[Shortname]], Comp[], 19, FALSE)</f>
        <v>0.04</v>
      </c>
      <c r="U228">
        <f>VLOOKUP(Table4[[#This Row],[Shortname]], Comp[], 20, FALSE)</f>
        <v>0</v>
      </c>
      <c r="V228">
        <f>VLOOKUP(Table4[[#This Row],[Shortname]], Comp[], 21, FALSE)</f>
        <v>0</v>
      </c>
      <c r="W228">
        <f>VLOOKUP(Table4[[#This Row],[Shortname]], Comp[], 22, FALSE)</f>
        <v>0</v>
      </c>
      <c r="X228">
        <f>VLOOKUP(Table4[[#This Row],[Shortname]], Comp[], 23, FALSE)</f>
        <v>0</v>
      </c>
      <c r="Y228">
        <f>VLOOKUP(Table4[[#This Row],[Shortname]], Comp[], 24, FALSE)</f>
        <v>0</v>
      </c>
      <c r="Z228">
        <f>VLOOKUP(Table4[[#This Row],[Shortname]], Comp[], 25, FALSE)</f>
        <v>0</v>
      </c>
      <c r="AA228">
        <f>VLOOKUP(Table4[[#This Row],[Shortname]], Comp[], 26, FALSE)</f>
        <v>0</v>
      </c>
      <c r="AB228">
        <f>VLOOKUP(Table4[[#This Row],[Shortname]], Comp[], 27, FALSE)</f>
        <v>0</v>
      </c>
      <c r="AC228">
        <f>VLOOKUP(Table4[[#This Row],[Shortname]], Comp[], 28, FALSE)</f>
        <v>0</v>
      </c>
      <c r="AD228">
        <f>VLOOKUP(Table4[[#This Row],[Shortname]], Comp[], 29, FALSE)</f>
        <v>0</v>
      </c>
      <c r="AE228">
        <f>VLOOKUP(Table4[[#This Row],[Shortname]], Comp[], 30, FALSE)</f>
        <v>0</v>
      </c>
      <c r="AF228">
        <f>VLOOKUP(Table4[[#This Row],[Shortname]], Comp[], 31, FALSE)</f>
        <v>0</v>
      </c>
    </row>
    <row r="229" spans="1:32" x14ac:dyDescent="0.3">
      <c r="A229" s="7" t="s">
        <v>4414</v>
      </c>
      <c r="B229" s="7" t="s">
        <v>4391</v>
      </c>
      <c r="C229" t="s">
        <v>6762</v>
      </c>
      <c r="D229">
        <v>25</v>
      </c>
      <c r="E229">
        <v>900</v>
      </c>
      <c r="F229">
        <v>522.07606811461199</v>
      </c>
      <c r="G229">
        <f>VLOOKUP(Table4[[#This Row],[Shortname]], Comp[], 6, FALSE)</f>
        <v>671</v>
      </c>
      <c r="H229" s="14">
        <f>VLOOKUP(Table4[[#This Row],[Shortname]], Comp[], 7, FALSE)</f>
        <v>43.92</v>
      </c>
      <c r="I229">
        <f>VLOOKUP(Table4[[#This Row],[Shortname]], Comp[], 8, FALSE)</f>
        <v>30</v>
      </c>
      <c r="J229">
        <f>VLOOKUP(Table4[[#This Row],[Shortname]], Comp[], 9, FALSE)</f>
        <v>4</v>
      </c>
      <c r="K229">
        <f>VLOOKUP(Table4[[#This Row],[Shortname]], Comp[], 10, FALSE)</f>
        <v>12</v>
      </c>
      <c r="L229">
        <f>VLOOKUP(Table4[[#This Row],[Shortname]], Comp[], 11, FALSE)</f>
        <v>2</v>
      </c>
      <c r="M229">
        <f>VLOOKUP(Table4[[#This Row],[Shortname]], Comp[],12, FALSE)</f>
        <v>4.9000000000000004</v>
      </c>
      <c r="N229">
        <f>VLOOKUP(Table4[[#This Row],[Shortname]], Comp[], 13, FALSE)</f>
        <v>1</v>
      </c>
      <c r="O229">
        <f>VLOOKUP(Table4[[#This Row],[Shortname]], Comp[], 14, FALSE)</f>
        <v>0</v>
      </c>
      <c r="P229">
        <f>VLOOKUP(Table4[[#This Row],[Shortname]], Comp[], 15, FALSE)</f>
        <v>0</v>
      </c>
      <c r="Q229">
        <f>VLOOKUP(Table4[[#This Row],[Shortname]], Comp[], 16, FALSE)</f>
        <v>1.5</v>
      </c>
      <c r="R229">
        <f>VLOOKUP(Table4[[#This Row],[Shortname]], Comp[], 17, FALSE)</f>
        <v>7.0000000000000007E-2</v>
      </c>
      <c r="S229">
        <f>VLOOKUP(Table4[[#This Row],[Shortname]], Comp[], 18, FALSE)</f>
        <v>0.01</v>
      </c>
      <c r="T229">
        <f>VLOOKUP(Table4[[#This Row],[Shortname]], Comp[], 19, FALSE)</f>
        <v>0.09</v>
      </c>
      <c r="U229">
        <f>VLOOKUP(Table4[[#This Row],[Shortname]], Comp[], 20, FALSE)</f>
        <v>0</v>
      </c>
      <c r="V229">
        <f>VLOOKUP(Table4[[#This Row],[Shortname]], Comp[], 21, FALSE)</f>
        <v>0</v>
      </c>
      <c r="W229">
        <f>VLOOKUP(Table4[[#This Row],[Shortname]], Comp[], 22, FALSE)</f>
        <v>0.41</v>
      </c>
      <c r="X229">
        <f>VLOOKUP(Table4[[#This Row],[Shortname]], Comp[], 23, FALSE)</f>
        <v>0</v>
      </c>
      <c r="Y229">
        <f>VLOOKUP(Table4[[#This Row],[Shortname]], Comp[], 24, FALSE)</f>
        <v>0</v>
      </c>
      <c r="Z229">
        <f>VLOOKUP(Table4[[#This Row],[Shortname]], Comp[], 25, FALSE)</f>
        <v>0.1</v>
      </c>
      <c r="AA229">
        <f>VLOOKUP(Table4[[#This Row],[Shortname]], Comp[], 26, FALSE)</f>
        <v>0</v>
      </c>
      <c r="AB229">
        <f>VLOOKUP(Table4[[#This Row],[Shortname]], Comp[], 27, FALSE)</f>
        <v>0</v>
      </c>
      <c r="AC229">
        <f>VLOOKUP(Table4[[#This Row],[Shortname]], Comp[], 28, FALSE)</f>
        <v>0</v>
      </c>
      <c r="AD229">
        <f>VLOOKUP(Table4[[#This Row],[Shortname]], Comp[], 29, FALSE)</f>
        <v>0</v>
      </c>
      <c r="AE229">
        <f>VLOOKUP(Table4[[#This Row],[Shortname]], Comp[], 30, FALSE)</f>
        <v>0</v>
      </c>
      <c r="AF229">
        <f>VLOOKUP(Table4[[#This Row],[Shortname]], Comp[], 31, FALSE)</f>
        <v>0</v>
      </c>
    </row>
    <row r="230" spans="1:32" x14ac:dyDescent="0.3">
      <c r="A230" s="7" t="s">
        <v>4419</v>
      </c>
      <c r="B230" s="7" t="s">
        <v>4420</v>
      </c>
      <c r="C230" t="s">
        <v>6762</v>
      </c>
      <c r="D230">
        <v>25</v>
      </c>
      <c r="E230">
        <v>900</v>
      </c>
      <c r="F230">
        <v>517.99734883246663</v>
      </c>
      <c r="G230">
        <f>VLOOKUP(Table4[[#This Row],[Shortname]], Comp[], 6, FALSE)</f>
        <v>672</v>
      </c>
      <c r="H230" s="14">
        <f>VLOOKUP(Table4[[#This Row],[Shortname]], Comp[], 7, FALSE)</f>
        <v>43.134999999999998</v>
      </c>
      <c r="I230">
        <f>VLOOKUP(Table4[[#This Row],[Shortname]], Comp[], 8, FALSE)</f>
        <v>30</v>
      </c>
      <c r="J230">
        <f>VLOOKUP(Table4[[#This Row],[Shortname]], Comp[], 9, FALSE)</f>
        <v>5.5</v>
      </c>
      <c r="K230">
        <f>VLOOKUP(Table4[[#This Row],[Shortname]], Comp[], 10, FALSE)</f>
        <v>12</v>
      </c>
      <c r="L230">
        <f>VLOOKUP(Table4[[#This Row],[Shortname]], Comp[], 11, FALSE)</f>
        <v>2</v>
      </c>
      <c r="M230">
        <f>VLOOKUP(Table4[[#This Row],[Shortname]], Comp[],12, FALSE)</f>
        <v>4.2</v>
      </c>
      <c r="N230">
        <f>VLOOKUP(Table4[[#This Row],[Shortname]], Comp[], 13, FALSE)</f>
        <v>1</v>
      </c>
      <c r="O230">
        <f>VLOOKUP(Table4[[#This Row],[Shortname]], Comp[], 14, FALSE)</f>
        <v>0</v>
      </c>
      <c r="P230">
        <f>VLOOKUP(Table4[[#This Row],[Shortname]], Comp[], 15, FALSE)</f>
        <v>0</v>
      </c>
      <c r="Q230">
        <f>VLOOKUP(Table4[[#This Row],[Shortname]], Comp[], 16, FALSE)</f>
        <v>1.5</v>
      </c>
      <c r="R230">
        <f>VLOOKUP(Table4[[#This Row],[Shortname]], Comp[], 17, FALSE)</f>
        <v>7.0999999999999994E-2</v>
      </c>
      <c r="S230">
        <f>VLOOKUP(Table4[[#This Row],[Shortname]], Comp[], 18, FALSE)</f>
        <v>8.9999999999999993E-3</v>
      </c>
      <c r="T230">
        <f>VLOOKUP(Table4[[#This Row],[Shortname]], Comp[], 19, FALSE)</f>
        <v>8.5000000000000006E-2</v>
      </c>
      <c r="U230">
        <f>VLOOKUP(Table4[[#This Row],[Shortname]], Comp[], 20, FALSE)</f>
        <v>0</v>
      </c>
      <c r="V230">
        <f>VLOOKUP(Table4[[#This Row],[Shortname]], Comp[], 21, FALSE)</f>
        <v>0</v>
      </c>
      <c r="W230">
        <f>VLOOKUP(Table4[[#This Row],[Shortname]], Comp[], 22, FALSE)</f>
        <v>0.39</v>
      </c>
      <c r="X230">
        <f>VLOOKUP(Table4[[#This Row],[Shortname]], Comp[], 23, FALSE)</f>
        <v>0</v>
      </c>
      <c r="Y230">
        <f>VLOOKUP(Table4[[#This Row],[Shortname]], Comp[], 24, FALSE)</f>
        <v>0</v>
      </c>
      <c r="Z230">
        <f>VLOOKUP(Table4[[#This Row],[Shortname]], Comp[], 25, FALSE)</f>
        <v>0.11</v>
      </c>
      <c r="AA230">
        <f>VLOOKUP(Table4[[#This Row],[Shortname]], Comp[], 26, FALSE)</f>
        <v>0</v>
      </c>
      <c r="AB230">
        <f>VLOOKUP(Table4[[#This Row],[Shortname]], Comp[], 27, FALSE)</f>
        <v>0</v>
      </c>
      <c r="AC230">
        <f>VLOOKUP(Table4[[#This Row],[Shortname]], Comp[], 28, FALSE)</f>
        <v>0</v>
      </c>
      <c r="AD230">
        <f>VLOOKUP(Table4[[#This Row],[Shortname]], Comp[], 29, FALSE)</f>
        <v>0</v>
      </c>
      <c r="AE230">
        <f>VLOOKUP(Table4[[#This Row],[Shortname]], Comp[], 30, FALSE)</f>
        <v>0</v>
      </c>
      <c r="AF230">
        <f>VLOOKUP(Table4[[#This Row],[Shortname]], Comp[], 31, FALSE)</f>
        <v>0</v>
      </c>
    </row>
    <row r="231" spans="1:32" x14ac:dyDescent="0.3">
      <c r="A231" s="7" t="s">
        <v>4424</v>
      </c>
      <c r="B231" s="7" t="s">
        <v>4425</v>
      </c>
      <c r="C231" t="s">
        <v>6762</v>
      </c>
      <c r="D231">
        <v>25</v>
      </c>
      <c r="E231">
        <v>900</v>
      </c>
      <c r="F231">
        <v>496.58407260120322</v>
      </c>
      <c r="G231">
        <f>VLOOKUP(Table4[[#This Row],[Shortname]], Comp[], 6, FALSE)</f>
        <v>673</v>
      </c>
      <c r="H231" s="14">
        <f>VLOOKUP(Table4[[#This Row],[Shortname]], Comp[], 7, FALSE)</f>
        <v>43.321999999999996</v>
      </c>
      <c r="I231">
        <f>VLOOKUP(Table4[[#This Row],[Shortname]], Comp[], 8, FALSE)</f>
        <v>30</v>
      </c>
      <c r="J231">
        <f>VLOOKUP(Table4[[#This Row],[Shortname]], Comp[], 9, FALSE)</f>
        <v>6</v>
      </c>
      <c r="K231">
        <f>VLOOKUP(Table4[[#This Row],[Shortname]], Comp[], 10, FALSE)</f>
        <v>12</v>
      </c>
      <c r="L231">
        <f>VLOOKUP(Table4[[#This Row],[Shortname]], Comp[], 11, FALSE)</f>
        <v>2</v>
      </c>
      <c r="M231">
        <f>VLOOKUP(Table4[[#This Row],[Shortname]], Comp[],12, FALSE)</f>
        <v>3.5</v>
      </c>
      <c r="N231">
        <f>VLOOKUP(Table4[[#This Row],[Shortname]], Comp[], 13, FALSE)</f>
        <v>1</v>
      </c>
      <c r="O231">
        <f>VLOOKUP(Table4[[#This Row],[Shortname]], Comp[], 14, FALSE)</f>
        <v>0</v>
      </c>
      <c r="P231">
        <f>VLOOKUP(Table4[[#This Row],[Shortname]], Comp[], 15, FALSE)</f>
        <v>0</v>
      </c>
      <c r="Q231">
        <f>VLOOKUP(Table4[[#This Row],[Shortname]], Comp[], 16, FALSE)</f>
        <v>1.5</v>
      </c>
      <c r="R231">
        <f>VLOOKUP(Table4[[#This Row],[Shortname]], Comp[], 17, FALSE)</f>
        <v>8.5000000000000006E-2</v>
      </c>
      <c r="S231">
        <f>VLOOKUP(Table4[[#This Row],[Shortname]], Comp[], 18, FALSE)</f>
        <v>8.9999999999999993E-3</v>
      </c>
      <c r="T231">
        <f>VLOOKUP(Table4[[#This Row],[Shortname]], Comp[], 19, FALSE)</f>
        <v>8.4000000000000005E-2</v>
      </c>
      <c r="U231">
        <f>VLOOKUP(Table4[[#This Row],[Shortname]], Comp[], 20, FALSE)</f>
        <v>0</v>
      </c>
      <c r="V231">
        <f>VLOOKUP(Table4[[#This Row],[Shortname]], Comp[], 21, FALSE)</f>
        <v>0</v>
      </c>
      <c r="W231">
        <f>VLOOKUP(Table4[[#This Row],[Shortname]], Comp[], 22, FALSE)</f>
        <v>0.39</v>
      </c>
      <c r="X231">
        <f>VLOOKUP(Table4[[#This Row],[Shortname]], Comp[], 23, FALSE)</f>
        <v>0</v>
      </c>
      <c r="Y231">
        <f>VLOOKUP(Table4[[#This Row],[Shortname]], Comp[], 24, FALSE)</f>
        <v>0</v>
      </c>
      <c r="Z231">
        <f>VLOOKUP(Table4[[#This Row],[Shortname]], Comp[], 25, FALSE)</f>
        <v>0.11</v>
      </c>
      <c r="AA231">
        <f>VLOOKUP(Table4[[#This Row],[Shortname]], Comp[], 26, FALSE)</f>
        <v>0</v>
      </c>
      <c r="AB231">
        <f>VLOOKUP(Table4[[#This Row],[Shortname]], Comp[], 27, FALSE)</f>
        <v>0</v>
      </c>
      <c r="AC231">
        <f>VLOOKUP(Table4[[#This Row],[Shortname]], Comp[], 28, FALSE)</f>
        <v>0</v>
      </c>
      <c r="AD231">
        <f>VLOOKUP(Table4[[#This Row],[Shortname]], Comp[], 29, FALSE)</f>
        <v>0</v>
      </c>
      <c r="AE231">
        <f>VLOOKUP(Table4[[#This Row],[Shortname]], Comp[], 30, FALSE)</f>
        <v>0</v>
      </c>
      <c r="AF231">
        <f>VLOOKUP(Table4[[#This Row],[Shortname]], Comp[], 31, FALSE)</f>
        <v>0</v>
      </c>
    </row>
    <row r="232" spans="1:32" x14ac:dyDescent="0.3">
      <c r="A232" s="7" t="s">
        <v>4430</v>
      </c>
      <c r="B232" s="7" t="s">
        <v>4409</v>
      </c>
      <c r="C232" t="s">
        <v>6762</v>
      </c>
      <c r="D232">
        <v>25</v>
      </c>
      <c r="E232">
        <v>900</v>
      </c>
      <c r="F232">
        <v>481.28887529315796</v>
      </c>
      <c r="G232">
        <f>VLOOKUP(Table4[[#This Row],[Shortname]], Comp[], 6, FALSE)</f>
        <v>674</v>
      </c>
      <c r="H232" s="14">
        <f>VLOOKUP(Table4[[#This Row],[Shortname]], Comp[], 7, FALSE)</f>
        <v>42.326000000000001</v>
      </c>
      <c r="I232">
        <f>VLOOKUP(Table4[[#This Row],[Shortname]], Comp[], 8, FALSE)</f>
        <v>30</v>
      </c>
      <c r="J232">
        <f>VLOOKUP(Table4[[#This Row],[Shortname]], Comp[], 9, FALSE)</f>
        <v>7</v>
      </c>
      <c r="K232">
        <f>VLOOKUP(Table4[[#This Row],[Shortname]], Comp[], 10, FALSE)</f>
        <v>12</v>
      </c>
      <c r="L232">
        <f>VLOOKUP(Table4[[#This Row],[Shortname]], Comp[], 11, FALSE)</f>
        <v>2</v>
      </c>
      <c r="M232">
        <f>VLOOKUP(Table4[[#This Row],[Shortname]], Comp[],12, FALSE)</f>
        <v>3.5</v>
      </c>
      <c r="N232">
        <f>VLOOKUP(Table4[[#This Row],[Shortname]], Comp[], 13, FALSE)</f>
        <v>1</v>
      </c>
      <c r="O232">
        <f>VLOOKUP(Table4[[#This Row],[Shortname]], Comp[], 14, FALSE)</f>
        <v>0</v>
      </c>
      <c r="P232">
        <f>VLOOKUP(Table4[[#This Row],[Shortname]], Comp[], 15, FALSE)</f>
        <v>0</v>
      </c>
      <c r="Q232">
        <f>VLOOKUP(Table4[[#This Row],[Shortname]], Comp[], 16, FALSE)</f>
        <v>1.5</v>
      </c>
      <c r="R232">
        <f>VLOOKUP(Table4[[#This Row],[Shortname]], Comp[], 17, FALSE)</f>
        <v>0.08</v>
      </c>
      <c r="S232">
        <f>VLOOKUP(Table4[[#This Row],[Shortname]], Comp[], 18, FALSE)</f>
        <v>8.9999999999999993E-3</v>
      </c>
      <c r="T232">
        <f>VLOOKUP(Table4[[#This Row],[Shortname]], Comp[], 19, FALSE)</f>
        <v>8.5000000000000006E-2</v>
      </c>
      <c r="U232">
        <f>VLOOKUP(Table4[[#This Row],[Shortname]], Comp[], 20, FALSE)</f>
        <v>0</v>
      </c>
      <c r="V232">
        <f>VLOOKUP(Table4[[#This Row],[Shortname]], Comp[], 21, FALSE)</f>
        <v>0</v>
      </c>
      <c r="W232">
        <f>VLOOKUP(Table4[[#This Row],[Shortname]], Comp[], 22, FALSE)</f>
        <v>0.39</v>
      </c>
      <c r="X232">
        <f>VLOOKUP(Table4[[#This Row],[Shortname]], Comp[], 23, FALSE)</f>
        <v>0</v>
      </c>
      <c r="Y232">
        <f>VLOOKUP(Table4[[#This Row],[Shortname]], Comp[], 24, FALSE)</f>
        <v>0</v>
      </c>
      <c r="Z232">
        <f>VLOOKUP(Table4[[#This Row],[Shortname]], Comp[], 25, FALSE)</f>
        <v>0.11</v>
      </c>
      <c r="AA232">
        <f>VLOOKUP(Table4[[#This Row],[Shortname]], Comp[], 26, FALSE)</f>
        <v>0</v>
      </c>
      <c r="AB232">
        <f>VLOOKUP(Table4[[#This Row],[Shortname]], Comp[], 27, FALSE)</f>
        <v>0</v>
      </c>
      <c r="AC232">
        <f>VLOOKUP(Table4[[#This Row],[Shortname]], Comp[], 28, FALSE)</f>
        <v>0</v>
      </c>
      <c r="AD232">
        <f>VLOOKUP(Table4[[#This Row],[Shortname]], Comp[], 29, FALSE)</f>
        <v>0</v>
      </c>
      <c r="AE232">
        <f>VLOOKUP(Table4[[#This Row],[Shortname]], Comp[], 30, FALSE)</f>
        <v>0</v>
      </c>
      <c r="AF232">
        <f>VLOOKUP(Table4[[#This Row],[Shortname]], Comp[], 31, FALSE)</f>
        <v>0</v>
      </c>
    </row>
    <row r="233" spans="1:32" x14ac:dyDescent="0.3">
      <c r="A233" s="7" t="s">
        <v>4435</v>
      </c>
      <c r="B233" s="7" t="s">
        <v>4437</v>
      </c>
      <c r="C233" s="11" t="s">
        <v>6763</v>
      </c>
      <c r="D233">
        <v>25</v>
      </c>
      <c r="E233">
        <v>750</v>
      </c>
      <c r="F233">
        <v>535.33190578158462</v>
      </c>
      <c r="G233">
        <f>VLOOKUP(Table4[[#This Row],[Shortname]], Comp[], 6, FALSE)</f>
        <v>675</v>
      </c>
      <c r="H233" s="14">
        <f>VLOOKUP(Table4[[#This Row],[Shortname]], Comp[], 7, FALSE)</f>
        <v>91</v>
      </c>
      <c r="I233">
        <f>VLOOKUP(Table4[[#This Row],[Shortname]], Comp[], 8, FALSE)</f>
        <v>0</v>
      </c>
      <c r="J233">
        <f>VLOOKUP(Table4[[#This Row],[Shortname]], Comp[], 9, FALSE)</f>
        <v>6</v>
      </c>
      <c r="K233">
        <f>VLOOKUP(Table4[[#This Row],[Shortname]], Comp[], 10, FALSE)</f>
        <v>0</v>
      </c>
      <c r="L233">
        <f>VLOOKUP(Table4[[#This Row],[Shortname]], Comp[], 11, FALSE)</f>
        <v>3</v>
      </c>
      <c r="M233">
        <f>VLOOKUP(Table4[[#This Row],[Shortname]], Comp[],12, FALSE)</f>
        <v>0</v>
      </c>
      <c r="N233">
        <f>VLOOKUP(Table4[[#This Row],[Shortname]], Comp[], 13, FALSE)</f>
        <v>0</v>
      </c>
      <c r="O233">
        <f>VLOOKUP(Table4[[#This Row],[Shortname]], Comp[], 14, FALSE)</f>
        <v>0</v>
      </c>
      <c r="P233">
        <f>VLOOKUP(Table4[[#This Row],[Shortname]], Comp[], 15, FALSE)</f>
        <v>0</v>
      </c>
      <c r="Q233">
        <f>VLOOKUP(Table4[[#This Row],[Shortname]], Comp[], 16, FALSE)</f>
        <v>0</v>
      </c>
      <c r="R233">
        <f>VLOOKUP(Table4[[#This Row],[Shortname]], Comp[], 17, FALSE)</f>
        <v>0</v>
      </c>
      <c r="S233">
        <f>VLOOKUP(Table4[[#This Row],[Shortname]], Comp[], 18, FALSE)</f>
        <v>0</v>
      </c>
      <c r="T233">
        <f>VLOOKUP(Table4[[#This Row],[Shortname]], Comp[], 19, FALSE)</f>
        <v>0</v>
      </c>
      <c r="U233">
        <f>VLOOKUP(Table4[[#This Row],[Shortname]], Comp[], 20, FALSE)</f>
        <v>0</v>
      </c>
      <c r="V233">
        <f>VLOOKUP(Table4[[#This Row],[Shortname]], Comp[], 21, FALSE)</f>
        <v>0</v>
      </c>
      <c r="W233">
        <f>VLOOKUP(Table4[[#This Row],[Shortname]], Comp[], 22, FALSE)</f>
        <v>0</v>
      </c>
      <c r="X233">
        <f>VLOOKUP(Table4[[#This Row],[Shortname]], Comp[], 23, FALSE)</f>
        <v>0</v>
      </c>
      <c r="Y233">
        <f>VLOOKUP(Table4[[#This Row],[Shortname]], Comp[], 24, FALSE)</f>
        <v>0</v>
      </c>
      <c r="Z233">
        <f>VLOOKUP(Table4[[#This Row],[Shortname]], Comp[], 25, FALSE)</f>
        <v>0</v>
      </c>
      <c r="AA233">
        <f>VLOOKUP(Table4[[#This Row],[Shortname]], Comp[], 26, FALSE)</f>
        <v>0</v>
      </c>
      <c r="AB233">
        <f>VLOOKUP(Table4[[#This Row],[Shortname]], Comp[], 27, FALSE)</f>
        <v>0</v>
      </c>
      <c r="AC233">
        <f>VLOOKUP(Table4[[#This Row],[Shortname]], Comp[], 28, FALSE)</f>
        <v>0</v>
      </c>
      <c r="AD233">
        <f>VLOOKUP(Table4[[#This Row],[Shortname]], Comp[], 29, FALSE)</f>
        <v>0</v>
      </c>
      <c r="AE233">
        <f>VLOOKUP(Table4[[#This Row],[Shortname]], Comp[], 30, FALSE)</f>
        <v>0</v>
      </c>
      <c r="AF233">
        <f>VLOOKUP(Table4[[#This Row],[Shortname]], Comp[], 31, FALSE)</f>
        <v>0</v>
      </c>
    </row>
    <row r="234" spans="1:32" x14ac:dyDescent="0.3">
      <c r="A234" s="7" t="s">
        <v>4442</v>
      </c>
      <c r="B234" s="7" t="s">
        <v>4444</v>
      </c>
      <c r="C234" s="11" t="s">
        <v>6763</v>
      </c>
      <c r="D234">
        <v>25</v>
      </c>
      <c r="E234">
        <v>750</v>
      </c>
      <c r="F234">
        <v>521.05638829407576</v>
      </c>
      <c r="G234">
        <f>VLOOKUP(Table4[[#This Row],[Shortname]], Comp[], 6, FALSE)</f>
        <v>676</v>
      </c>
      <c r="H234" s="14">
        <f>VLOOKUP(Table4[[#This Row],[Shortname]], Comp[], 7, FALSE)</f>
        <v>91</v>
      </c>
      <c r="I234">
        <f>VLOOKUP(Table4[[#This Row],[Shortname]], Comp[], 8, FALSE)</f>
        <v>0</v>
      </c>
      <c r="J234">
        <f>VLOOKUP(Table4[[#This Row],[Shortname]], Comp[], 9, FALSE)</f>
        <v>6</v>
      </c>
      <c r="K234">
        <f>VLOOKUP(Table4[[#This Row],[Shortname]], Comp[], 10, FALSE)</f>
        <v>0</v>
      </c>
      <c r="L234">
        <f>VLOOKUP(Table4[[#This Row],[Shortname]], Comp[], 11, FALSE)</f>
        <v>2</v>
      </c>
      <c r="M234">
        <f>VLOOKUP(Table4[[#This Row],[Shortname]], Comp[],12, FALSE)</f>
        <v>0</v>
      </c>
      <c r="N234">
        <f>VLOOKUP(Table4[[#This Row],[Shortname]], Comp[], 13, FALSE)</f>
        <v>0</v>
      </c>
      <c r="O234">
        <f>VLOOKUP(Table4[[#This Row],[Shortname]], Comp[], 14, FALSE)</f>
        <v>0</v>
      </c>
      <c r="P234">
        <f>VLOOKUP(Table4[[#This Row],[Shortname]], Comp[], 15, FALSE)</f>
        <v>0</v>
      </c>
      <c r="Q234">
        <f>VLOOKUP(Table4[[#This Row],[Shortname]], Comp[], 16, FALSE)</f>
        <v>1</v>
      </c>
      <c r="R234">
        <f>VLOOKUP(Table4[[#This Row],[Shortname]], Comp[], 17, FALSE)</f>
        <v>0</v>
      </c>
      <c r="S234">
        <f>VLOOKUP(Table4[[#This Row],[Shortname]], Comp[], 18, FALSE)</f>
        <v>0</v>
      </c>
      <c r="T234">
        <f>VLOOKUP(Table4[[#This Row],[Shortname]], Comp[], 19, FALSE)</f>
        <v>0</v>
      </c>
      <c r="U234">
        <f>VLOOKUP(Table4[[#This Row],[Shortname]], Comp[], 20, FALSE)</f>
        <v>0</v>
      </c>
      <c r="V234">
        <f>VLOOKUP(Table4[[#This Row],[Shortname]], Comp[], 21, FALSE)</f>
        <v>0</v>
      </c>
      <c r="W234">
        <f>VLOOKUP(Table4[[#This Row],[Shortname]], Comp[], 22, FALSE)</f>
        <v>0</v>
      </c>
      <c r="X234">
        <f>VLOOKUP(Table4[[#This Row],[Shortname]], Comp[], 23, FALSE)</f>
        <v>0</v>
      </c>
      <c r="Y234">
        <f>VLOOKUP(Table4[[#This Row],[Shortname]], Comp[], 24, FALSE)</f>
        <v>0</v>
      </c>
      <c r="Z234">
        <f>VLOOKUP(Table4[[#This Row],[Shortname]], Comp[], 25, FALSE)</f>
        <v>0</v>
      </c>
      <c r="AA234">
        <f>VLOOKUP(Table4[[#This Row],[Shortname]], Comp[], 26, FALSE)</f>
        <v>0</v>
      </c>
      <c r="AB234">
        <f>VLOOKUP(Table4[[#This Row],[Shortname]], Comp[], 27, FALSE)</f>
        <v>0</v>
      </c>
      <c r="AC234">
        <f>VLOOKUP(Table4[[#This Row],[Shortname]], Comp[], 28, FALSE)</f>
        <v>0</v>
      </c>
      <c r="AD234">
        <f>VLOOKUP(Table4[[#This Row],[Shortname]], Comp[], 29, FALSE)</f>
        <v>0</v>
      </c>
      <c r="AE234">
        <f>VLOOKUP(Table4[[#This Row],[Shortname]], Comp[], 30, FALSE)</f>
        <v>0</v>
      </c>
      <c r="AF234">
        <f>VLOOKUP(Table4[[#This Row],[Shortname]], Comp[], 31, FALSE)</f>
        <v>0</v>
      </c>
    </row>
    <row r="235" spans="1:32" x14ac:dyDescent="0.3">
      <c r="A235" s="7" t="s">
        <v>4448</v>
      </c>
      <c r="B235" s="7" t="s">
        <v>4450</v>
      </c>
      <c r="C235" s="11" t="s">
        <v>6763</v>
      </c>
      <c r="D235">
        <v>25</v>
      </c>
      <c r="E235">
        <v>750</v>
      </c>
      <c r="F235">
        <v>487.40695421637611</v>
      </c>
      <c r="G235">
        <f>VLOOKUP(Table4[[#This Row],[Shortname]], Comp[], 6, FALSE)</f>
        <v>677</v>
      </c>
      <c r="H235" s="14">
        <f>VLOOKUP(Table4[[#This Row],[Shortname]], Comp[], 7, FALSE)</f>
        <v>89</v>
      </c>
      <c r="I235">
        <f>VLOOKUP(Table4[[#This Row],[Shortname]], Comp[], 8, FALSE)</f>
        <v>0</v>
      </c>
      <c r="J235">
        <f>VLOOKUP(Table4[[#This Row],[Shortname]], Comp[], 9, FALSE)</f>
        <v>8</v>
      </c>
      <c r="K235">
        <f>VLOOKUP(Table4[[#This Row],[Shortname]], Comp[], 10, FALSE)</f>
        <v>0</v>
      </c>
      <c r="L235">
        <f>VLOOKUP(Table4[[#This Row],[Shortname]], Comp[], 11, FALSE)</f>
        <v>3</v>
      </c>
      <c r="M235">
        <f>VLOOKUP(Table4[[#This Row],[Shortname]], Comp[],12, FALSE)</f>
        <v>0</v>
      </c>
      <c r="N235">
        <f>VLOOKUP(Table4[[#This Row],[Shortname]], Comp[], 13, FALSE)</f>
        <v>0</v>
      </c>
      <c r="O235">
        <f>VLOOKUP(Table4[[#This Row],[Shortname]], Comp[], 14, FALSE)</f>
        <v>0</v>
      </c>
      <c r="P235">
        <f>VLOOKUP(Table4[[#This Row],[Shortname]], Comp[], 15, FALSE)</f>
        <v>0</v>
      </c>
      <c r="Q235">
        <f>VLOOKUP(Table4[[#This Row],[Shortname]], Comp[], 16, FALSE)</f>
        <v>0</v>
      </c>
      <c r="R235">
        <f>VLOOKUP(Table4[[#This Row],[Shortname]], Comp[], 17, FALSE)</f>
        <v>0</v>
      </c>
      <c r="S235">
        <f>VLOOKUP(Table4[[#This Row],[Shortname]], Comp[], 18, FALSE)</f>
        <v>0</v>
      </c>
      <c r="T235">
        <f>VLOOKUP(Table4[[#This Row],[Shortname]], Comp[], 19, FALSE)</f>
        <v>0</v>
      </c>
      <c r="U235">
        <f>VLOOKUP(Table4[[#This Row],[Shortname]], Comp[], 20, FALSE)</f>
        <v>0</v>
      </c>
      <c r="V235">
        <f>VLOOKUP(Table4[[#This Row],[Shortname]], Comp[], 21, FALSE)</f>
        <v>0</v>
      </c>
      <c r="W235">
        <f>VLOOKUP(Table4[[#This Row],[Shortname]], Comp[], 22, FALSE)</f>
        <v>0</v>
      </c>
      <c r="X235">
        <f>VLOOKUP(Table4[[#This Row],[Shortname]], Comp[], 23, FALSE)</f>
        <v>0</v>
      </c>
      <c r="Y235">
        <f>VLOOKUP(Table4[[#This Row],[Shortname]], Comp[], 24, FALSE)</f>
        <v>0</v>
      </c>
      <c r="Z235">
        <f>VLOOKUP(Table4[[#This Row],[Shortname]], Comp[], 25, FALSE)</f>
        <v>0</v>
      </c>
      <c r="AA235">
        <f>VLOOKUP(Table4[[#This Row],[Shortname]], Comp[], 26, FALSE)</f>
        <v>0</v>
      </c>
      <c r="AB235">
        <f>VLOOKUP(Table4[[#This Row],[Shortname]], Comp[], 27, FALSE)</f>
        <v>0</v>
      </c>
      <c r="AC235">
        <f>VLOOKUP(Table4[[#This Row],[Shortname]], Comp[], 28, FALSE)</f>
        <v>0</v>
      </c>
      <c r="AD235">
        <f>VLOOKUP(Table4[[#This Row],[Shortname]], Comp[], 29, FALSE)</f>
        <v>0</v>
      </c>
      <c r="AE235">
        <f>VLOOKUP(Table4[[#This Row],[Shortname]], Comp[], 30, FALSE)</f>
        <v>0</v>
      </c>
      <c r="AF235">
        <f>VLOOKUP(Table4[[#This Row],[Shortname]], Comp[], 31, FALSE)</f>
        <v>0</v>
      </c>
    </row>
    <row r="236" spans="1:32" x14ac:dyDescent="0.3">
      <c r="A236" s="7" t="s">
        <v>4460</v>
      </c>
      <c r="B236" s="7" t="s">
        <v>4462</v>
      </c>
      <c r="C236" s="11" t="s">
        <v>6763</v>
      </c>
      <c r="D236">
        <v>25</v>
      </c>
      <c r="E236">
        <v>750</v>
      </c>
      <c r="F236">
        <v>476.1904761904762</v>
      </c>
      <c r="G236">
        <f>VLOOKUP(Table4[[#This Row],[Shortname]], Comp[], 6, FALSE)</f>
        <v>679</v>
      </c>
      <c r="H236" s="14">
        <f>VLOOKUP(Table4[[#This Row],[Shortname]], Comp[], 7, FALSE)</f>
        <v>89</v>
      </c>
      <c r="I236">
        <f>VLOOKUP(Table4[[#This Row],[Shortname]], Comp[], 8, FALSE)</f>
        <v>0</v>
      </c>
      <c r="J236">
        <f>VLOOKUP(Table4[[#This Row],[Shortname]], Comp[], 9, FALSE)</f>
        <v>8</v>
      </c>
      <c r="K236">
        <f>VLOOKUP(Table4[[#This Row],[Shortname]], Comp[], 10, FALSE)</f>
        <v>0</v>
      </c>
      <c r="L236">
        <f>VLOOKUP(Table4[[#This Row],[Shortname]], Comp[], 11, FALSE)</f>
        <v>1</v>
      </c>
      <c r="M236">
        <f>VLOOKUP(Table4[[#This Row],[Shortname]], Comp[],12, FALSE)</f>
        <v>0</v>
      </c>
      <c r="N236">
        <f>VLOOKUP(Table4[[#This Row],[Shortname]], Comp[], 13, FALSE)</f>
        <v>0</v>
      </c>
      <c r="O236">
        <f>VLOOKUP(Table4[[#This Row],[Shortname]], Comp[], 14, FALSE)</f>
        <v>0</v>
      </c>
      <c r="P236">
        <f>VLOOKUP(Table4[[#This Row],[Shortname]], Comp[], 15, FALSE)</f>
        <v>0</v>
      </c>
      <c r="Q236">
        <f>VLOOKUP(Table4[[#This Row],[Shortname]], Comp[], 16, FALSE)</f>
        <v>2</v>
      </c>
      <c r="R236">
        <f>VLOOKUP(Table4[[#This Row],[Shortname]], Comp[], 17, FALSE)</f>
        <v>0</v>
      </c>
      <c r="S236">
        <f>VLOOKUP(Table4[[#This Row],[Shortname]], Comp[], 18, FALSE)</f>
        <v>0</v>
      </c>
      <c r="T236">
        <f>VLOOKUP(Table4[[#This Row],[Shortname]], Comp[], 19, FALSE)</f>
        <v>0</v>
      </c>
      <c r="U236">
        <f>VLOOKUP(Table4[[#This Row],[Shortname]], Comp[], 20, FALSE)</f>
        <v>0</v>
      </c>
      <c r="V236">
        <f>VLOOKUP(Table4[[#This Row],[Shortname]], Comp[], 21, FALSE)</f>
        <v>0</v>
      </c>
      <c r="W236">
        <f>VLOOKUP(Table4[[#This Row],[Shortname]], Comp[], 22, FALSE)</f>
        <v>0</v>
      </c>
      <c r="X236">
        <f>VLOOKUP(Table4[[#This Row],[Shortname]], Comp[], 23, FALSE)</f>
        <v>0</v>
      </c>
      <c r="Y236">
        <f>VLOOKUP(Table4[[#This Row],[Shortname]], Comp[], 24, FALSE)</f>
        <v>0</v>
      </c>
      <c r="Z236">
        <f>VLOOKUP(Table4[[#This Row],[Shortname]], Comp[], 25, FALSE)</f>
        <v>0</v>
      </c>
      <c r="AA236">
        <f>VLOOKUP(Table4[[#This Row],[Shortname]], Comp[], 26, FALSE)</f>
        <v>0</v>
      </c>
      <c r="AB236">
        <f>VLOOKUP(Table4[[#This Row],[Shortname]], Comp[], 27, FALSE)</f>
        <v>0</v>
      </c>
      <c r="AC236">
        <f>VLOOKUP(Table4[[#This Row],[Shortname]], Comp[], 28, FALSE)</f>
        <v>0</v>
      </c>
      <c r="AD236">
        <f>VLOOKUP(Table4[[#This Row],[Shortname]], Comp[], 29, FALSE)</f>
        <v>0</v>
      </c>
      <c r="AE236">
        <f>VLOOKUP(Table4[[#This Row],[Shortname]], Comp[], 30, FALSE)</f>
        <v>0</v>
      </c>
      <c r="AF236">
        <f>VLOOKUP(Table4[[#This Row],[Shortname]], Comp[], 31, FALSE)</f>
        <v>0</v>
      </c>
    </row>
    <row r="237" spans="1:32" x14ac:dyDescent="0.3">
      <c r="A237" s="7" t="s">
        <v>4454</v>
      </c>
      <c r="B237" s="7" t="s">
        <v>4456</v>
      </c>
      <c r="C237" s="11" t="s">
        <v>6763</v>
      </c>
      <c r="D237">
        <v>25</v>
      </c>
      <c r="E237">
        <v>750</v>
      </c>
      <c r="F237">
        <v>474.15111654940353</v>
      </c>
      <c r="G237">
        <f>VLOOKUP(Table4[[#This Row],[Shortname]], Comp[], 6, FALSE)</f>
        <v>678</v>
      </c>
      <c r="H237" s="14">
        <f>VLOOKUP(Table4[[#This Row],[Shortname]], Comp[], 7, FALSE)</f>
        <v>89</v>
      </c>
      <c r="I237">
        <f>VLOOKUP(Table4[[#This Row],[Shortname]], Comp[], 8, FALSE)</f>
        <v>0</v>
      </c>
      <c r="J237">
        <f>VLOOKUP(Table4[[#This Row],[Shortname]], Comp[], 9, FALSE)</f>
        <v>8</v>
      </c>
      <c r="K237">
        <f>VLOOKUP(Table4[[#This Row],[Shortname]], Comp[], 10, FALSE)</f>
        <v>0</v>
      </c>
      <c r="L237">
        <f>VLOOKUP(Table4[[#This Row],[Shortname]], Comp[], 11, FALSE)</f>
        <v>2</v>
      </c>
      <c r="M237">
        <f>VLOOKUP(Table4[[#This Row],[Shortname]], Comp[],12, FALSE)</f>
        <v>0</v>
      </c>
      <c r="N237">
        <f>VLOOKUP(Table4[[#This Row],[Shortname]], Comp[], 13, FALSE)</f>
        <v>0</v>
      </c>
      <c r="O237">
        <f>VLOOKUP(Table4[[#This Row],[Shortname]], Comp[], 14, FALSE)</f>
        <v>0</v>
      </c>
      <c r="P237">
        <f>VLOOKUP(Table4[[#This Row],[Shortname]], Comp[], 15, FALSE)</f>
        <v>0</v>
      </c>
      <c r="Q237">
        <f>VLOOKUP(Table4[[#This Row],[Shortname]], Comp[], 16, FALSE)</f>
        <v>1</v>
      </c>
      <c r="R237">
        <f>VLOOKUP(Table4[[#This Row],[Shortname]], Comp[], 17, FALSE)</f>
        <v>0</v>
      </c>
      <c r="S237">
        <f>VLOOKUP(Table4[[#This Row],[Shortname]], Comp[], 18, FALSE)</f>
        <v>0</v>
      </c>
      <c r="T237">
        <f>VLOOKUP(Table4[[#This Row],[Shortname]], Comp[], 19, FALSE)</f>
        <v>0</v>
      </c>
      <c r="U237">
        <f>VLOOKUP(Table4[[#This Row],[Shortname]], Comp[], 20, FALSE)</f>
        <v>0</v>
      </c>
      <c r="V237">
        <f>VLOOKUP(Table4[[#This Row],[Shortname]], Comp[], 21, FALSE)</f>
        <v>0</v>
      </c>
      <c r="W237">
        <f>VLOOKUP(Table4[[#This Row],[Shortname]], Comp[], 22, FALSE)</f>
        <v>0</v>
      </c>
      <c r="X237">
        <f>VLOOKUP(Table4[[#This Row],[Shortname]], Comp[], 23, FALSE)</f>
        <v>0</v>
      </c>
      <c r="Y237">
        <f>VLOOKUP(Table4[[#This Row],[Shortname]], Comp[], 24, FALSE)</f>
        <v>0</v>
      </c>
      <c r="Z237">
        <f>VLOOKUP(Table4[[#This Row],[Shortname]], Comp[], 25, FALSE)</f>
        <v>0</v>
      </c>
      <c r="AA237">
        <f>VLOOKUP(Table4[[#This Row],[Shortname]], Comp[], 26, FALSE)</f>
        <v>0</v>
      </c>
      <c r="AB237">
        <f>VLOOKUP(Table4[[#This Row],[Shortname]], Comp[], 27, FALSE)</f>
        <v>0</v>
      </c>
      <c r="AC237">
        <f>VLOOKUP(Table4[[#This Row],[Shortname]], Comp[], 28, FALSE)</f>
        <v>0</v>
      </c>
      <c r="AD237">
        <f>VLOOKUP(Table4[[#This Row],[Shortname]], Comp[], 29, FALSE)</f>
        <v>0</v>
      </c>
      <c r="AE237">
        <f>VLOOKUP(Table4[[#This Row],[Shortname]], Comp[], 30, FALSE)</f>
        <v>0</v>
      </c>
      <c r="AF237">
        <f>VLOOKUP(Table4[[#This Row],[Shortname]], Comp[], 31, FALSE)</f>
        <v>0</v>
      </c>
    </row>
    <row r="238" spans="1:32" x14ac:dyDescent="0.3">
      <c r="A238" s="7" t="s">
        <v>4881</v>
      </c>
      <c r="B238" s="7" t="s">
        <v>4883</v>
      </c>
      <c r="C238" t="s">
        <v>6768</v>
      </c>
      <c r="D238">
        <v>25</v>
      </c>
      <c r="E238">
        <v>750</v>
      </c>
      <c r="F238">
        <v>415</v>
      </c>
      <c r="G238">
        <f>VLOOKUP(Table4[[#This Row],[Shortname]], Comp[], 6, FALSE)</f>
        <v>745</v>
      </c>
      <c r="H238" s="14">
        <f>VLOOKUP(Table4[[#This Row],[Shortname]], Comp[], 7, FALSE)</f>
        <v>76</v>
      </c>
      <c r="I238">
        <f>VLOOKUP(Table4[[#This Row],[Shortname]], Comp[], 8, FALSE)</f>
        <v>0</v>
      </c>
      <c r="J238">
        <f>VLOOKUP(Table4[[#This Row],[Shortname]], Comp[], 9, FALSE)</f>
        <v>8</v>
      </c>
      <c r="K238">
        <f>VLOOKUP(Table4[[#This Row],[Shortname]], Comp[], 10, FALSE)</f>
        <v>14</v>
      </c>
      <c r="L238">
        <f>VLOOKUP(Table4[[#This Row],[Shortname]], Comp[], 11, FALSE)</f>
        <v>2</v>
      </c>
      <c r="M238">
        <f>VLOOKUP(Table4[[#This Row],[Shortname]], Comp[],12, FALSE)</f>
        <v>0</v>
      </c>
      <c r="N238">
        <f>VLOOKUP(Table4[[#This Row],[Shortname]], Comp[], 13, FALSE)</f>
        <v>0</v>
      </c>
      <c r="O238">
        <f>VLOOKUP(Table4[[#This Row],[Shortname]], Comp[], 14, FALSE)</f>
        <v>0</v>
      </c>
      <c r="P238">
        <f>VLOOKUP(Table4[[#This Row],[Shortname]], Comp[], 15, FALSE)</f>
        <v>0</v>
      </c>
      <c r="Q238">
        <f>VLOOKUP(Table4[[#This Row],[Shortname]], Comp[], 16, FALSE)</f>
        <v>0</v>
      </c>
      <c r="R238">
        <f>VLOOKUP(Table4[[#This Row],[Shortname]], Comp[], 17, FALSE)</f>
        <v>0</v>
      </c>
      <c r="S238">
        <f>VLOOKUP(Table4[[#This Row],[Shortname]], Comp[], 18, FALSE)</f>
        <v>0</v>
      </c>
      <c r="T238">
        <f>VLOOKUP(Table4[[#This Row],[Shortname]], Comp[], 19, FALSE)</f>
        <v>0</v>
      </c>
      <c r="U238">
        <f>VLOOKUP(Table4[[#This Row],[Shortname]], Comp[], 20, FALSE)</f>
        <v>0</v>
      </c>
      <c r="V238">
        <f>VLOOKUP(Table4[[#This Row],[Shortname]], Comp[], 21, FALSE)</f>
        <v>0</v>
      </c>
      <c r="W238">
        <f>VLOOKUP(Table4[[#This Row],[Shortname]], Comp[], 22, FALSE)</f>
        <v>0</v>
      </c>
      <c r="X238">
        <f>VLOOKUP(Table4[[#This Row],[Shortname]], Comp[], 23, FALSE)</f>
        <v>0</v>
      </c>
      <c r="Y238">
        <f>VLOOKUP(Table4[[#This Row],[Shortname]], Comp[], 24, FALSE)</f>
        <v>0</v>
      </c>
      <c r="Z238">
        <f>VLOOKUP(Table4[[#This Row],[Shortname]], Comp[], 25, FALSE)</f>
        <v>0</v>
      </c>
      <c r="AA238">
        <f>VLOOKUP(Table4[[#This Row],[Shortname]], Comp[], 26, FALSE)</f>
        <v>0</v>
      </c>
      <c r="AB238">
        <f>VLOOKUP(Table4[[#This Row],[Shortname]], Comp[], 27, FALSE)</f>
        <v>0</v>
      </c>
      <c r="AC238">
        <f>VLOOKUP(Table4[[#This Row],[Shortname]], Comp[], 28, FALSE)</f>
        <v>0</v>
      </c>
      <c r="AD238">
        <f>VLOOKUP(Table4[[#This Row],[Shortname]], Comp[], 29, FALSE)</f>
        <v>0</v>
      </c>
      <c r="AE238">
        <f>VLOOKUP(Table4[[#This Row],[Shortname]], Comp[], 30, FALSE)</f>
        <v>0</v>
      </c>
      <c r="AF238">
        <f>VLOOKUP(Table4[[#This Row],[Shortname]], Comp[], 31, FALSE)</f>
        <v>0</v>
      </c>
    </row>
    <row r="239" spans="1:32" x14ac:dyDescent="0.3">
      <c r="A239" s="7" t="s">
        <v>5072</v>
      </c>
      <c r="B239" s="7" t="s">
        <v>5074</v>
      </c>
      <c r="C239" s="5" t="s">
        <v>5075</v>
      </c>
      <c r="D239">
        <v>25</v>
      </c>
      <c r="E239">
        <v>1000</v>
      </c>
      <c r="F239">
        <v>320</v>
      </c>
      <c r="G239">
        <f>VLOOKUP(Table4[[#This Row],[Shortname]], Comp[], 6, FALSE)</f>
        <v>783</v>
      </c>
      <c r="H239" s="14">
        <f>VLOOKUP(Table4[[#This Row],[Shortname]], Comp[], 7, FALSE)</f>
        <v>44</v>
      </c>
      <c r="I239">
        <f>VLOOKUP(Table4[[#This Row],[Shortname]], Comp[], 8, FALSE)</f>
        <v>32</v>
      </c>
      <c r="J239">
        <f>VLOOKUP(Table4[[#This Row],[Shortname]], Comp[], 9, FALSE)</f>
        <v>11</v>
      </c>
      <c r="K239">
        <f>VLOOKUP(Table4[[#This Row],[Shortname]], Comp[], 10, FALSE)</f>
        <v>5</v>
      </c>
      <c r="L239">
        <f>VLOOKUP(Table4[[#This Row],[Shortname]], Comp[], 11, FALSE)</f>
        <v>2</v>
      </c>
      <c r="M239">
        <f>VLOOKUP(Table4[[#This Row],[Shortname]], Comp[],12, FALSE)</f>
        <v>2</v>
      </c>
      <c r="N239">
        <f>VLOOKUP(Table4[[#This Row],[Shortname]], Comp[], 13, FALSE)</f>
        <v>3</v>
      </c>
      <c r="O239">
        <f>VLOOKUP(Table4[[#This Row],[Shortname]], Comp[], 14, FALSE)</f>
        <v>0.5</v>
      </c>
      <c r="P239">
        <f>VLOOKUP(Table4[[#This Row],[Shortname]], Comp[], 15, FALSE)</f>
        <v>0</v>
      </c>
      <c r="Q239">
        <f>VLOOKUP(Table4[[#This Row],[Shortname]], Comp[], 16, FALSE)</f>
        <v>0.5</v>
      </c>
      <c r="R239">
        <f>VLOOKUP(Table4[[#This Row],[Shortname]], Comp[], 17, FALSE)</f>
        <v>0</v>
      </c>
      <c r="S239">
        <f>VLOOKUP(Table4[[#This Row],[Shortname]], Comp[], 18, FALSE)</f>
        <v>0</v>
      </c>
      <c r="T239">
        <f>VLOOKUP(Table4[[#This Row],[Shortname]], Comp[], 19, FALSE)</f>
        <v>0</v>
      </c>
      <c r="U239">
        <f>VLOOKUP(Table4[[#This Row],[Shortname]], Comp[], 20, FALSE)</f>
        <v>0</v>
      </c>
      <c r="V239">
        <f>VLOOKUP(Table4[[#This Row],[Shortname]], Comp[], 21, FALSE)</f>
        <v>0</v>
      </c>
      <c r="W239">
        <f>VLOOKUP(Table4[[#This Row],[Shortname]], Comp[], 22, FALSE)</f>
        <v>0</v>
      </c>
      <c r="X239">
        <f>VLOOKUP(Table4[[#This Row],[Shortname]], Comp[], 23, FALSE)</f>
        <v>0</v>
      </c>
      <c r="Y239">
        <f>VLOOKUP(Table4[[#This Row],[Shortname]], Comp[], 24, FALSE)</f>
        <v>0</v>
      </c>
      <c r="Z239">
        <f>VLOOKUP(Table4[[#This Row],[Shortname]], Comp[], 25, FALSE)</f>
        <v>0</v>
      </c>
      <c r="AA239">
        <f>VLOOKUP(Table4[[#This Row],[Shortname]], Comp[], 26, FALSE)</f>
        <v>0</v>
      </c>
      <c r="AB239">
        <f>VLOOKUP(Table4[[#This Row],[Shortname]], Comp[], 27, FALSE)</f>
        <v>0</v>
      </c>
      <c r="AC239">
        <f>VLOOKUP(Table4[[#This Row],[Shortname]], Comp[], 28, FALSE)</f>
        <v>0</v>
      </c>
      <c r="AD239">
        <f>VLOOKUP(Table4[[#This Row],[Shortname]], Comp[], 29, FALSE)</f>
        <v>0</v>
      </c>
      <c r="AE239">
        <f>VLOOKUP(Table4[[#This Row],[Shortname]], Comp[], 30, FALSE)</f>
        <v>0</v>
      </c>
      <c r="AF239">
        <f>VLOOKUP(Table4[[#This Row],[Shortname]], Comp[], 31, FALSE)</f>
        <v>0</v>
      </c>
    </row>
    <row r="240" spans="1:32" x14ac:dyDescent="0.3">
      <c r="A240" s="7" t="s">
        <v>1653</v>
      </c>
      <c r="B240" s="7" t="s">
        <v>5080</v>
      </c>
      <c r="C240" s="5" t="s">
        <v>5075</v>
      </c>
      <c r="D240">
        <v>25</v>
      </c>
      <c r="E240">
        <v>1000</v>
      </c>
      <c r="F240">
        <v>319</v>
      </c>
      <c r="G240">
        <f>VLOOKUP(Table4[[#This Row],[Shortname]], Comp[], 6, FALSE)</f>
        <v>211</v>
      </c>
      <c r="H240" s="14">
        <f>VLOOKUP(Table4[[#This Row],[Shortname]], Comp[], 7, FALSE)</f>
        <v>45</v>
      </c>
      <c r="I240">
        <f>VLOOKUP(Table4[[#This Row],[Shortname]], Comp[], 8, FALSE)</f>
        <v>30</v>
      </c>
      <c r="J240">
        <f>VLOOKUP(Table4[[#This Row],[Shortname]], Comp[], 9, FALSE)</f>
        <v>11</v>
      </c>
      <c r="K240">
        <f>VLOOKUP(Table4[[#This Row],[Shortname]], Comp[], 10, FALSE)</f>
        <v>5</v>
      </c>
      <c r="L240">
        <f>VLOOKUP(Table4[[#This Row],[Shortname]], Comp[], 11, FALSE)</f>
        <v>4</v>
      </c>
      <c r="M240">
        <f>VLOOKUP(Table4[[#This Row],[Shortname]], Comp[],12, FALSE)</f>
        <v>4</v>
      </c>
      <c r="N240">
        <f>VLOOKUP(Table4[[#This Row],[Shortname]], Comp[], 13, FALSE)</f>
        <v>1</v>
      </c>
      <c r="O240">
        <f>VLOOKUP(Table4[[#This Row],[Shortname]], Comp[], 14, FALSE)</f>
        <v>0</v>
      </c>
      <c r="P240">
        <f>VLOOKUP(Table4[[#This Row],[Shortname]], Comp[], 15, FALSE)</f>
        <v>0</v>
      </c>
      <c r="Q240">
        <f>VLOOKUP(Table4[[#This Row],[Shortname]], Comp[], 16, FALSE)</f>
        <v>0</v>
      </c>
      <c r="R240">
        <f>VLOOKUP(Table4[[#This Row],[Shortname]], Comp[], 17, FALSE)</f>
        <v>0</v>
      </c>
      <c r="S240">
        <f>VLOOKUP(Table4[[#This Row],[Shortname]], Comp[], 18, FALSE)</f>
        <v>0</v>
      </c>
      <c r="T240">
        <f>VLOOKUP(Table4[[#This Row],[Shortname]], Comp[], 19, FALSE)</f>
        <v>0</v>
      </c>
      <c r="U240">
        <f>VLOOKUP(Table4[[#This Row],[Shortname]], Comp[], 20, FALSE)</f>
        <v>0</v>
      </c>
      <c r="V240">
        <f>VLOOKUP(Table4[[#This Row],[Shortname]], Comp[], 21, FALSE)</f>
        <v>0</v>
      </c>
      <c r="W240">
        <f>VLOOKUP(Table4[[#This Row],[Shortname]], Comp[], 22, FALSE)</f>
        <v>0</v>
      </c>
      <c r="X240">
        <f>VLOOKUP(Table4[[#This Row],[Shortname]], Comp[], 23, FALSE)</f>
        <v>0</v>
      </c>
      <c r="Y240">
        <f>VLOOKUP(Table4[[#This Row],[Shortname]], Comp[], 24, FALSE)</f>
        <v>0</v>
      </c>
      <c r="Z240">
        <f>VLOOKUP(Table4[[#This Row],[Shortname]], Comp[], 25, FALSE)</f>
        <v>0</v>
      </c>
      <c r="AA240">
        <f>VLOOKUP(Table4[[#This Row],[Shortname]], Comp[], 26, FALSE)</f>
        <v>0</v>
      </c>
      <c r="AB240">
        <f>VLOOKUP(Table4[[#This Row],[Shortname]], Comp[], 27, FALSE)</f>
        <v>0</v>
      </c>
      <c r="AC240">
        <f>VLOOKUP(Table4[[#This Row],[Shortname]], Comp[], 28, FALSE)</f>
        <v>0</v>
      </c>
      <c r="AD240">
        <f>VLOOKUP(Table4[[#This Row],[Shortname]], Comp[], 29, FALSE)</f>
        <v>0</v>
      </c>
      <c r="AE240">
        <f>VLOOKUP(Table4[[#This Row],[Shortname]], Comp[], 30, FALSE)</f>
        <v>0</v>
      </c>
      <c r="AF240">
        <f>VLOOKUP(Table4[[#This Row],[Shortname]], Comp[], 31, FALSE)</f>
        <v>0</v>
      </c>
    </row>
    <row r="241" spans="1:32" x14ac:dyDescent="0.3">
      <c r="A241" s="35" t="s">
        <v>5357</v>
      </c>
      <c r="B241" s="35" t="s">
        <v>5358</v>
      </c>
      <c r="C241" s="36" t="s">
        <v>5359</v>
      </c>
      <c r="D241" s="37">
        <v>25</v>
      </c>
      <c r="E241" s="37">
        <v>800</v>
      </c>
      <c r="F241">
        <v>407</v>
      </c>
      <c r="G241">
        <f>VLOOKUP(Table4[[#This Row],[Shortname]], Comp[], 6, FALSE)</f>
        <v>815</v>
      </c>
      <c r="H241" s="14">
        <f>VLOOKUP(Table4[[#This Row],[Shortname]], Comp[], 7, FALSE)</f>
        <v>43.099999999999994</v>
      </c>
      <c r="I241">
        <f>VLOOKUP(Table4[[#This Row],[Shortname]], Comp[], 8, FALSE)</f>
        <v>28.8</v>
      </c>
      <c r="J241">
        <f>VLOOKUP(Table4[[#This Row],[Shortname]], Comp[], 9, FALSE)</f>
        <v>10</v>
      </c>
      <c r="K241">
        <f>VLOOKUP(Table4[[#This Row],[Shortname]], Comp[], 10, FALSE)</f>
        <v>10.199999999999999</v>
      </c>
      <c r="L241">
        <f>VLOOKUP(Table4[[#This Row],[Shortname]], Comp[], 11, FALSE)</f>
        <v>0</v>
      </c>
      <c r="M241">
        <f>VLOOKUP(Table4[[#This Row],[Shortname]], Comp[],12, FALSE)</f>
        <v>2.1</v>
      </c>
      <c r="N241">
        <f>VLOOKUP(Table4[[#This Row],[Shortname]], Comp[], 13, FALSE)</f>
        <v>2.1</v>
      </c>
      <c r="O241">
        <f>VLOOKUP(Table4[[#This Row],[Shortname]], Comp[], 14, FALSE)</f>
        <v>1.5</v>
      </c>
      <c r="P241">
        <f>VLOOKUP(Table4[[#This Row],[Shortname]], Comp[], 15, FALSE)</f>
        <v>0</v>
      </c>
      <c r="Q241">
        <f>VLOOKUP(Table4[[#This Row],[Shortname]], Comp[], 16, FALSE)</f>
        <v>2.2000000000000002</v>
      </c>
      <c r="R241">
        <f>VLOOKUP(Table4[[#This Row],[Shortname]], Comp[], 17, FALSE)</f>
        <v>0</v>
      </c>
      <c r="S241">
        <f>VLOOKUP(Table4[[#This Row],[Shortname]], Comp[], 18, FALSE)</f>
        <v>0</v>
      </c>
      <c r="T241">
        <f>VLOOKUP(Table4[[#This Row],[Shortname]], Comp[], 19, FALSE)</f>
        <v>0</v>
      </c>
      <c r="U241">
        <f>VLOOKUP(Table4[[#This Row],[Shortname]], Comp[], 20, FALSE)</f>
        <v>0</v>
      </c>
      <c r="V241">
        <f>VLOOKUP(Table4[[#This Row],[Shortname]], Comp[], 21, FALSE)</f>
        <v>0</v>
      </c>
      <c r="W241">
        <f>VLOOKUP(Table4[[#This Row],[Shortname]], Comp[], 22, FALSE)</f>
        <v>0</v>
      </c>
      <c r="X241">
        <f>VLOOKUP(Table4[[#This Row],[Shortname]], Comp[], 23, FALSE)</f>
        <v>0</v>
      </c>
      <c r="Y241">
        <f>VLOOKUP(Table4[[#This Row],[Shortname]], Comp[], 24, FALSE)</f>
        <v>0</v>
      </c>
      <c r="Z241">
        <f>VLOOKUP(Table4[[#This Row],[Shortname]], Comp[], 25, FALSE)</f>
        <v>0</v>
      </c>
      <c r="AA241">
        <f>VLOOKUP(Table4[[#This Row],[Shortname]], Comp[], 26, FALSE)</f>
        <v>0</v>
      </c>
      <c r="AB241">
        <f>VLOOKUP(Table4[[#This Row],[Shortname]], Comp[], 27, FALSE)</f>
        <v>0</v>
      </c>
      <c r="AC241">
        <f>VLOOKUP(Table4[[#This Row],[Shortname]], Comp[], 28, FALSE)</f>
        <v>0</v>
      </c>
      <c r="AD241">
        <f>VLOOKUP(Table4[[#This Row],[Shortname]], Comp[], 29, FALSE)</f>
        <v>0</v>
      </c>
      <c r="AE241">
        <f>VLOOKUP(Table4[[#This Row],[Shortname]], Comp[], 30, FALSE)</f>
        <v>0</v>
      </c>
      <c r="AF241">
        <f>VLOOKUP(Table4[[#This Row],[Shortname]], Comp[], 31, FALSE)</f>
        <v>0</v>
      </c>
    </row>
    <row r="242" spans="1:32" x14ac:dyDescent="0.3">
      <c r="A242" s="38" t="s">
        <v>5487</v>
      </c>
      <c r="B242" s="38" t="s">
        <v>3667</v>
      </c>
      <c r="C242" s="39" t="s">
        <v>5488</v>
      </c>
      <c r="D242" s="12">
        <v>25</v>
      </c>
      <c r="E242" s="12">
        <v>900</v>
      </c>
      <c r="F242">
        <v>320</v>
      </c>
      <c r="G242">
        <f>VLOOKUP(Table4[[#This Row],[Shortname]], Comp[], 6, FALSE)</f>
        <v>845</v>
      </c>
      <c r="H242" s="14">
        <f>VLOOKUP(Table4[[#This Row],[Shortname]], Comp[], 7, FALSE)</f>
        <v>51.699999999999996</v>
      </c>
      <c r="I242">
        <f>VLOOKUP(Table4[[#This Row],[Shortname]], Comp[], 8, FALSE)</f>
        <v>31</v>
      </c>
      <c r="J242">
        <f>VLOOKUP(Table4[[#This Row],[Shortname]], Comp[], 9, FALSE)</f>
        <v>10.1</v>
      </c>
      <c r="K242">
        <f>VLOOKUP(Table4[[#This Row],[Shortname]], Comp[], 10, FALSE)</f>
        <v>0</v>
      </c>
      <c r="L242">
        <f>VLOOKUP(Table4[[#This Row],[Shortname]], Comp[], 11, FALSE)</f>
        <v>0</v>
      </c>
      <c r="M242">
        <f>VLOOKUP(Table4[[#This Row],[Shortname]], Comp[],12, FALSE)</f>
        <v>0</v>
      </c>
      <c r="N242">
        <f>VLOOKUP(Table4[[#This Row],[Shortname]], Comp[], 13, FALSE)</f>
        <v>2.1</v>
      </c>
      <c r="O242">
        <f>VLOOKUP(Table4[[#This Row],[Shortname]], Comp[], 14, FALSE)</f>
        <v>0</v>
      </c>
      <c r="P242">
        <f>VLOOKUP(Table4[[#This Row],[Shortname]], Comp[], 15, FALSE)</f>
        <v>0</v>
      </c>
      <c r="Q242">
        <f>VLOOKUP(Table4[[#This Row],[Shortname]], Comp[], 16, FALSE)</f>
        <v>5.0999999999999996</v>
      </c>
      <c r="R242">
        <f>VLOOKUP(Table4[[#This Row],[Shortname]], Comp[], 17, FALSE)</f>
        <v>0</v>
      </c>
      <c r="S242">
        <f>VLOOKUP(Table4[[#This Row],[Shortname]], Comp[], 18, FALSE)</f>
        <v>0</v>
      </c>
      <c r="T242">
        <f>VLOOKUP(Table4[[#This Row],[Shortname]], Comp[], 19, FALSE)</f>
        <v>0</v>
      </c>
      <c r="U242">
        <f>VLOOKUP(Table4[[#This Row],[Shortname]], Comp[], 20, FALSE)</f>
        <v>0</v>
      </c>
      <c r="V242">
        <f>VLOOKUP(Table4[[#This Row],[Shortname]], Comp[], 21, FALSE)</f>
        <v>0</v>
      </c>
      <c r="W242">
        <f>VLOOKUP(Table4[[#This Row],[Shortname]], Comp[], 22, FALSE)</f>
        <v>0</v>
      </c>
      <c r="X242">
        <f>VLOOKUP(Table4[[#This Row],[Shortname]], Comp[], 23, FALSE)</f>
        <v>0</v>
      </c>
      <c r="Y242">
        <f>VLOOKUP(Table4[[#This Row],[Shortname]], Comp[], 24, FALSE)</f>
        <v>0</v>
      </c>
      <c r="Z242">
        <f>VLOOKUP(Table4[[#This Row],[Shortname]], Comp[], 25, FALSE)</f>
        <v>0</v>
      </c>
      <c r="AA242">
        <f>VLOOKUP(Table4[[#This Row],[Shortname]], Comp[], 26, FALSE)</f>
        <v>0</v>
      </c>
      <c r="AB242">
        <f>VLOOKUP(Table4[[#This Row],[Shortname]], Comp[], 27, FALSE)</f>
        <v>0</v>
      </c>
      <c r="AC242">
        <f>VLOOKUP(Table4[[#This Row],[Shortname]], Comp[], 28, FALSE)</f>
        <v>0</v>
      </c>
      <c r="AD242">
        <f>VLOOKUP(Table4[[#This Row],[Shortname]], Comp[], 29, FALSE)</f>
        <v>0</v>
      </c>
      <c r="AE242">
        <f>VLOOKUP(Table4[[#This Row],[Shortname]], Comp[], 30, FALSE)</f>
        <v>0</v>
      </c>
      <c r="AF242">
        <f>VLOOKUP(Table4[[#This Row],[Shortname]], Comp[], 31, FALSE)</f>
        <v>0</v>
      </c>
    </row>
    <row r="243" spans="1:32" x14ac:dyDescent="0.3">
      <c r="A243" s="38" t="s">
        <v>5490</v>
      </c>
      <c r="B243" s="38" t="s">
        <v>3899</v>
      </c>
      <c r="C243" s="39" t="s">
        <v>5491</v>
      </c>
      <c r="D243" s="12">
        <v>25</v>
      </c>
      <c r="E243" s="12">
        <v>900</v>
      </c>
      <c r="F243">
        <v>340</v>
      </c>
      <c r="G243">
        <f>VLOOKUP(Table4[[#This Row],[Shortname]], Comp[], 6, FALSE)</f>
        <v>846</v>
      </c>
      <c r="H243" s="14">
        <f>VLOOKUP(Table4[[#This Row],[Shortname]], Comp[], 7, FALSE)</f>
        <v>50.4</v>
      </c>
      <c r="I243">
        <f>VLOOKUP(Table4[[#This Row],[Shortname]], Comp[], 8, FALSE)</f>
        <v>32</v>
      </c>
      <c r="J243">
        <f>VLOOKUP(Table4[[#This Row],[Shortname]], Comp[], 9, FALSE)</f>
        <v>9.9</v>
      </c>
      <c r="K243">
        <f>VLOOKUP(Table4[[#This Row],[Shortname]], Comp[], 10, FALSE)</f>
        <v>0</v>
      </c>
      <c r="L243">
        <f>VLOOKUP(Table4[[#This Row],[Shortname]], Comp[], 11, FALSE)</f>
        <v>0</v>
      </c>
      <c r="M243">
        <f>VLOOKUP(Table4[[#This Row],[Shortname]], Comp[],12, FALSE)</f>
        <v>1.4</v>
      </c>
      <c r="N243">
        <f>VLOOKUP(Table4[[#This Row],[Shortname]], Comp[], 13, FALSE)</f>
        <v>1.7</v>
      </c>
      <c r="O243">
        <f>VLOOKUP(Table4[[#This Row],[Shortname]], Comp[], 14, FALSE)</f>
        <v>0</v>
      </c>
      <c r="P243">
        <f>VLOOKUP(Table4[[#This Row],[Shortname]], Comp[], 15, FALSE)</f>
        <v>0</v>
      </c>
      <c r="Q243">
        <f>VLOOKUP(Table4[[#This Row],[Shortname]], Comp[], 16, FALSE)</f>
        <v>4.5999999999999996</v>
      </c>
      <c r="R243">
        <f>VLOOKUP(Table4[[#This Row],[Shortname]], Comp[], 17, FALSE)</f>
        <v>0</v>
      </c>
      <c r="S243">
        <f>VLOOKUP(Table4[[#This Row],[Shortname]], Comp[], 18, FALSE)</f>
        <v>0</v>
      </c>
      <c r="T243">
        <f>VLOOKUP(Table4[[#This Row],[Shortname]], Comp[], 19, FALSE)</f>
        <v>0</v>
      </c>
      <c r="U243">
        <f>VLOOKUP(Table4[[#This Row],[Shortname]], Comp[], 20, FALSE)</f>
        <v>0</v>
      </c>
      <c r="V243">
        <f>VLOOKUP(Table4[[#This Row],[Shortname]], Comp[], 21, FALSE)</f>
        <v>0</v>
      </c>
      <c r="W243">
        <f>VLOOKUP(Table4[[#This Row],[Shortname]], Comp[], 22, FALSE)</f>
        <v>0</v>
      </c>
      <c r="X243">
        <f>VLOOKUP(Table4[[#This Row],[Shortname]], Comp[], 23, FALSE)</f>
        <v>0</v>
      </c>
      <c r="Y243">
        <f>VLOOKUP(Table4[[#This Row],[Shortname]], Comp[], 24, FALSE)</f>
        <v>0</v>
      </c>
      <c r="Z243">
        <f>VLOOKUP(Table4[[#This Row],[Shortname]], Comp[], 25, FALSE)</f>
        <v>0</v>
      </c>
      <c r="AA243">
        <f>VLOOKUP(Table4[[#This Row],[Shortname]], Comp[], 26, FALSE)</f>
        <v>0</v>
      </c>
      <c r="AB243">
        <f>VLOOKUP(Table4[[#This Row],[Shortname]], Comp[], 27, FALSE)</f>
        <v>0</v>
      </c>
      <c r="AC243">
        <f>VLOOKUP(Table4[[#This Row],[Shortname]], Comp[], 28, FALSE)</f>
        <v>0</v>
      </c>
      <c r="AD243">
        <f>VLOOKUP(Table4[[#This Row],[Shortname]], Comp[], 29, FALSE)</f>
        <v>0</v>
      </c>
      <c r="AE243">
        <f>VLOOKUP(Table4[[#This Row],[Shortname]], Comp[], 30, FALSE)</f>
        <v>0</v>
      </c>
      <c r="AF243">
        <f>VLOOKUP(Table4[[#This Row],[Shortname]], Comp[], 31, FALSE)</f>
        <v>0</v>
      </c>
    </row>
    <row r="244" spans="1:32" x14ac:dyDescent="0.3">
      <c r="A244" s="38" t="s">
        <v>5493</v>
      </c>
      <c r="B244" s="38" t="s">
        <v>3231</v>
      </c>
      <c r="C244" s="39" t="s">
        <v>5494</v>
      </c>
      <c r="D244" s="12">
        <v>25</v>
      </c>
      <c r="E244" s="12">
        <v>900</v>
      </c>
      <c r="F244">
        <v>320</v>
      </c>
      <c r="G244">
        <f>VLOOKUP(Table4[[#This Row],[Shortname]], Comp[], 6, FALSE)</f>
        <v>847</v>
      </c>
      <c r="H244" s="14">
        <f>VLOOKUP(Table4[[#This Row],[Shortname]], Comp[], 7, FALSE)</f>
        <v>49.8</v>
      </c>
      <c r="I244">
        <f>VLOOKUP(Table4[[#This Row],[Shortname]], Comp[], 8, FALSE)</f>
        <v>30.6</v>
      </c>
      <c r="J244">
        <f>VLOOKUP(Table4[[#This Row],[Shortname]], Comp[], 9, FALSE)</f>
        <v>9.1999999999999993</v>
      </c>
      <c r="K244">
        <f>VLOOKUP(Table4[[#This Row],[Shortname]], Comp[], 10, FALSE)</f>
        <v>0</v>
      </c>
      <c r="L244">
        <f>VLOOKUP(Table4[[#This Row],[Shortname]], Comp[], 11, FALSE)</f>
        <v>0</v>
      </c>
      <c r="M244">
        <f>VLOOKUP(Table4[[#This Row],[Shortname]], Comp[],12, FALSE)</f>
        <v>3.2</v>
      </c>
      <c r="N244">
        <f>VLOOKUP(Table4[[#This Row],[Shortname]], Comp[], 13, FALSE)</f>
        <v>2.1</v>
      </c>
      <c r="O244">
        <f>VLOOKUP(Table4[[#This Row],[Shortname]], Comp[], 14, FALSE)</f>
        <v>0</v>
      </c>
      <c r="P244">
        <f>VLOOKUP(Table4[[#This Row],[Shortname]], Comp[], 15, FALSE)</f>
        <v>0</v>
      </c>
      <c r="Q244">
        <f>VLOOKUP(Table4[[#This Row],[Shortname]], Comp[], 16, FALSE)</f>
        <v>5.0999999999999996</v>
      </c>
      <c r="R244">
        <f>VLOOKUP(Table4[[#This Row],[Shortname]], Comp[], 17, FALSE)</f>
        <v>0</v>
      </c>
      <c r="S244">
        <f>VLOOKUP(Table4[[#This Row],[Shortname]], Comp[], 18, FALSE)</f>
        <v>0</v>
      </c>
      <c r="T244">
        <f>VLOOKUP(Table4[[#This Row],[Shortname]], Comp[], 19, FALSE)</f>
        <v>0</v>
      </c>
      <c r="U244">
        <f>VLOOKUP(Table4[[#This Row],[Shortname]], Comp[], 20, FALSE)</f>
        <v>0</v>
      </c>
      <c r="V244">
        <f>VLOOKUP(Table4[[#This Row],[Shortname]], Comp[], 21, FALSE)</f>
        <v>0</v>
      </c>
      <c r="W244">
        <f>VLOOKUP(Table4[[#This Row],[Shortname]], Comp[], 22, FALSE)</f>
        <v>0</v>
      </c>
      <c r="X244">
        <f>VLOOKUP(Table4[[#This Row],[Shortname]], Comp[], 23, FALSE)</f>
        <v>0</v>
      </c>
      <c r="Y244">
        <f>VLOOKUP(Table4[[#This Row],[Shortname]], Comp[], 24, FALSE)</f>
        <v>0</v>
      </c>
      <c r="Z244">
        <f>VLOOKUP(Table4[[#This Row],[Shortname]], Comp[], 25, FALSE)</f>
        <v>0</v>
      </c>
      <c r="AA244">
        <f>VLOOKUP(Table4[[#This Row],[Shortname]], Comp[], 26, FALSE)</f>
        <v>0</v>
      </c>
      <c r="AB244">
        <f>VLOOKUP(Table4[[#This Row],[Shortname]], Comp[], 27, FALSE)</f>
        <v>0</v>
      </c>
      <c r="AC244">
        <f>VLOOKUP(Table4[[#This Row],[Shortname]], Comp[], 28, FALSE)</f>
        <v>0</v>
      </c>
      <c r="AD244">
        <f>VLOOKUP(Table4[[#This Row],[Shortname]], Comp[], 29, FALSE)</f>
        <v>0</v>
      </c>
      <c r="AE244">
        <f>VLOOKUP(Table4[[#This Row],[Shortname]], Comp[], 30, FALSE)</f>
        <v>0</v>
      </c>
      <c r="AF244">
        <f>VLOOKUP(Table4[[#This Row],[Shortname]], Comp[], 31, FALSE)</f>
        <v>0</v>
      </c>
    </row>
    <row r="245" spans="1:32" x14ac:dyDescent="0.3">
      <c r="A245" s="38" t="s">
        <v>5498</v>
      </c>
      <c r="B245" s="38" t="s">
        <v>3893</v>
      </c>
      <c r="C245" s="39" t="s">
        <v>5499</v>
      </c>
      <c r="D245" s="12">
        <v>25</v>
      </c>
      <c r="E245" s="12">
        <v>900</v>
      </c>
      <c r="F245">
        <v>300</v>
      </c>
      <c r="G245">
        <f>VLOOKUP(Table4[[#This Row],[Shortname]], Comp[], 6, FALSE)</f>
        <v>848</v>
      </c>
      <c r="H245" s="14">
        <f>VLOOKUP(Table4[[#This Row],[Shortname]], Comp[], 7, FALSE)</f>
        <v>49.1</v>
      </c>
      <c r="I245">
        <f>VLOOKUP(Table4[[#This Row],[Shortname]], Comp[], 8, FALSE)</f>
        <v>30.5</v>
      </c>
      <c r="J245">
        <f>VLOOKUP(Table4[[#This Row],[Shortname]], Comp[], 9, FALSE)</f>
        <v>9.3000000000000007</v>
      </c>
      <c r="K245">
        <f>VLOOKUP(Table4[[#This Row],[Shortname]], Comp[], 10, FALSE)</f>
        <v>0</v>
      </c>
      <c r="L245">
        <f>VLOOKUP(Table4[[#This Row],[Shortname]], Comp[], 11, FALSE)</f>
        <v>0</v>
      </c>
      <c r="M245">
        <f>VLOOKUP(Table4[[#This Row],[Shortname]], Comp[],12, FALSE)</f>
        <v>3.9</v>
      </c>
      <c r="N245">
        <f>VLOOKUP(Table4[[#This Row],[Shortname]], Comp[], 13, FALSE)</f>
        <v>2.2000000000000002</v>
      </c>
      <c r="O245">
        <f>VLOOKUP(Table4[[#This Row],[Shortname]], Comp[], 14, FALSE)</f>
        <v>0</v>
      </c>
      <c r="P245">
        <f>VLOOKUP(Table4[[#This Row],[Shortname]], Comp[], 15, FALSE)</f>
        <v>0</v>
      </c>
      <c r="Q245">
        <f>VLOOKUP(Table4[[#This Row],[Shortname]], Comp[], 16, FALSE)</f>
        <v>5</v>
      </c>
      <c r="R245">
        <f>VLOOKUP(Table4[[#This Row],[Shortname]], Comp[], 17, FALSE)</f>
        <v>0</v>
      </c>
      <c r="S245">
        <f>VLOOKUP(Table4[[#This Row],[Shortname]], Comp[], 18, FALSE)</f>
        <v>0</v>
      </c>
      <c r="T245">
        <f>VLOOKUP(Table4[[#This Row],[Shortname]], Comp[], 19, FALSE)</f>
        <v>0</v>
      </c>
      <c r="U245">
        <f>VLOOKUP(Table4[[#This Row],[Shortname]], Comp[], 20, FALSE)</f>
        <v>0</v>
      </c>
      <c r="V245">
        <f>VLOOKUP(Table4[[#This Row],[Shortname]], Comp[], 21, FALSE)</f>
        <v>0</v>
      </c>
      <c r="W245">
        <f>VLOOKUP(Table4[[#This Row],[Shortname]], Comp[], 22, FALSE)</f>
        <v>0</v>
      </c>
      <c r="X245">
        <f>VLOOKUP(Table4[[#This Row],[Shortname]], Comp[], 23, FALSE)</f>
        <v>0</v>
      </c>
      <c r="Y245">
        <f>VLOOKUP(Table4[[#This Row],[Shortname]], Comp[], 24, FALSE)</f>
        <v>0</v>
      </c>
      <c r="Z245">
        <f>VLOOKUP(Table4[[#This Row],[Shortname]], Comp[], 25, FALSE)</f>
        <v>0</v>
      </c>
      <c r="AA245">
        <f>VLOOKUP(Table4[[#This Row],[Shortname]], Comp[], 26, FALSE)</f>
        <v>0</v>
      </c>
      <c r="AB245">
        <f>VLOOKUP(Table4[[#This Row],[Shortname]], Comp[], 27, FALSE)</f>
        <v>0</v>
      </c>
      <c r="AC245">
        <f>VLOOKUP(Table4[[#This Row],[Shortname]], Comp[], 28, FALSE)</f>
        <v>0</v>
      </c>
      <c r="AD245">
        <f>VLOOKUP(Table4[[#This Row],[Shortname]], Comp[], 29, FALSE)</f>
        <v>0</v>
      </c>
      <c r="AE245">
        <f>VLOOKUP(Table4[[#This Row],[Shortname]], Comp[], 30, FALSE)</f>
        <v>0</v>
      </c>
      <c r="AF245">
        <f>VLOOKUP(Table4[[#This Row],[Shortname]], Comp[], 31, FALSE)</f>
        <v>0</v>
      </c>
    </row>
    <row r="246" spans="1:32" x14ac:dyDescent="0.3">
      <c r="A246" s="38" t="s">
        <v>5524</v>
      </c>
      <c r="B246" s="38" t="s">
        <v>5526</v>
      </c>
      <c r="C246" s="39" t="s">
        <v>5527</v>
      </c>
      <c r="D246" s="12">
        <v>25</v>
      </c>
      <c r="E246" s="12">
        <v>900</v>
      </c>
      <c r="F246">
        <v>365</v>
      </c>
      <c r="G246">
        <f>VLOOKUP(Table4[[#This Row],[Shortname]], Comp[], 6, FALSE)</f>
        <v>853</v>
      </c>
      <c r="H246" s="14">
        <f>VLOOKUP(Table4[[#This Row],[Shortname]], Comp[], 7, FALSE)</f>
        <v>52.1</v>
      </c>
      <c r="I246">
        <f>VLOOKUP(Table4[[#This Row],[Shortname]], Comp[], 8, FALSE)</f>
        <v>30.5</v>
      </c>
      <c r="J246">
        <f>VLOOKUP(Table4[[#This Row],[Shortname]], Comp[], 9, FALSE)</f>
        <v>9.5</v>
      </c>
      <c r="K246">
        <f>VLOOKUP(Table4[[#This Row],[Shortname]], Comp[], 10, FALSE)</f>
        <v>0</v>
      </c>
      <c r="L246">
        <f>VLOOKUP(Table4[[#This Row],[Shortname]], Comp[], 11, FALSE)</f>
        <v>0</v>
      </c>
      <c r="M246">
        <f>VLOOKUP(Table4[[#This Row],[Shortname]], Comp[],12, FALSE)</f>
        <v>1</v>
      </c>
      <c r="N246">
        <f>VLOOKUP(Table4[[#This Row],[Shortname]], Comp[], 13, FALSE)</f>
        <v>0</v>
      </c>
      <c r="O246">
        <f>VLOOKUP(Table4[[#This Row],[Shortname]], Comp[], 14, FALSE)</f>
        <v>2</v>
      </c>
      <c r="P246">
        <f>VLOOKUP(Table4[[#This Row],[Shortname]], Comp[], 15, FALSE)</f>
        <v>0</v>
      </c>
      <c r="Q246">
        <f>VLOOKUP(Table4[[#This Row],[Shortname]], Comp[], 16, FALSE)</f>
        <v>4.9000000000000004</v>
      </c>
      <c r="R246">
        <f>VLOOKUP(Table4[[#This Row],[Shortname]], Comp[], 17, FALSE)</f>
        <v>0</v>
      </c>
      <c r="S246">
        <f>VLOOKUP(Table4[[#This Row],[Shortname]], Comp[], 18, FALSE)</f>
        <v>0</v>
      </c>
      <c r="T246">
        <f>VLOOKUP(Table4[[#This Row],[Shortname]], Comp[], 19, FALSE)</f>
        <v>0</v>
      </c>
      <c r="U246">
        <f>VLOOKUP(Table4[[#This Row],[Shortname]], Comp[], 20, FALSE)</f>
        <v>0</v>
      </c>
      <c r="V246">
        <f>VLOOKUP(Table4[[#This Row],[Shortname]], Comp[], 21, FALSE)</f>
        <v>0</v>
      </c>
      <c r="W246">
        <f>VLOOKUP(Table4[[#This Row],[Shortname]], Comp[], 22, FALSE)</f>
        <v>0</v>
      </c>
      <c r="X246">
        <f>VLOOKUP(Table4[[#This Row],[Shortname]], Comp[], 23, FALSE)</f>
        <v>0</v>
      </c>
      <c r="Y246">
        <f>VLOOKUP(Table4[[#This Row],[Shortname]], Comp[], 24, FALSE)</f>
        <v>0</v>
      </c>
      <c r="Z246">
        <f>VLOOKUP(Table4[[#This Row],[Shortname]], Comp[], 25, FALSE)</f>
        <v>0</v>
      </c>
      <c r="AA246">
        <f>VLOOKUP(Table4[[#This Row],[Shortname]], Comp[], 26, FALSE)</f>
        <v>0</v>
      </c>
      <c r="AB246">
        <f>VLOOKUP(Table4[[#This Row],[Shortname]], Comp[], 27, FALSE)</f>
        <v>0</v>
      </c>
      <c r="AC246">
        <f>VLOOKUP(Table4[[#This Row],[Shortname]], Comp[], 28, FALSE)</f>
        <v>0</v>
      </c>
      <c r="AD246">
        <f>VLOOKUP(Table4[[#This Row],[Shortname]], Comp[], 29, FALSE)</f>
        <v>0</v>
      </c>
      <c r="AE246">
        <f>VLOOKUP(Table4[[#This Row],[Shortname]], Comp[], 30, FALSE)</f>
        <v>0</v>
      </c>
      <c r="AF246">
        <f>VLOOKUP(Table4[[#This Row],[Shortname]], Comp[], 31, FALSE)</f>
        <v>0</v>
      </c>
    </row>
    <row r="247" spans="1:32" x14ac:dyDescent="0.3">
      <c r="A247" s="38" t="s">
        <v>5530</v>
      </c>
      <c r="B247" s="38" t="s">
        <v>5531</v>
      </c>
      <c r="C247" s="39" t="s">
        <v>5532</v>
      </c>
      <c r="D247" s="12">
        <v>25</v>
      </c>
      <c r="E247" s="12">
        <v>900</v>
      </c>
      <c r="F247">
        <v>355</v>
      </c>
      <c r="G247">
        <f>VLOOKUP(Table4[[#This Row],[Shortname]], Comp[], 6, FALSE)</f>
        <v>854</v>
      </c>
      <c r="H247" s="14">
        <f>VLOOKUP(Table4[[#This Row],[Shortname]], Comp[], 7, FALSE)</f>
        <v>50.899999999999991</v>
      </c>
      <c r="I247">
        <f>VLOOKUP(Table4[[#This Row],[Shortname]], Comp[], 8, FALSE)</f>
        <v>30.6</v>
      </c>
      <c r="J247">
        <f>VLOOKUP(Table4[[#This Row],[Shortname]], Comp[], 9, FALSE)</f>
        <v>9.3000000000000007</v>
      </c>
      <c r="K247">
        <f>VLOOKUP(Table4[[#This Row],[Shortname]], Comp[], 10, FALSE)</f>
        <v>0</v>
      </c>
      <c r="L247">
        <f>VLOOKUP(Table4[[#This Row],[Shortname]], Comp[], 11, FALSE)</f>
        <v>0</v>
      </c>
      <c r="M247">
        <f>VLOOKUP(Table4[[#This Row],[Shortname]], Comp[],12, FALSE)</f>
        <v>1.9</v>
      </c>
      <c r="N247">
        <f>VLOOKUP(Table4[[#This Row],[Shortname]], Comp[], 13, FALSE)</f>
        <v>0</v>
      </c>
      <c r="O247">
        <f>VLOOKUP(Table4[[#This Row],[Shortname]], Comp[], 14, FALSE)</f>
        <v>2.1</v>
      </c>
      <c r="P247">
        <f>VLOOKUP(Table4[[#This Row],[Shortname]], Comp[], 15, FALSE)</f>
        <v>0</v>
      </c>
      <c r="Q247">
        <f>VLOOKUP(Table4[[#This Row],[Shortname]], Comp[], 16, FALSE)</f>
        <v>5.2</v>
      </c>
      <c r="R247">
        <f>VLOOKUP(Table4[[#This Row],[Shortname]], Comp[], 17, FALSE)</f>
        <v>0</v>
      </c>
      <c r="S247">
        <f>VLOOKUP(Table4[[#This Row],[Shortname]], Comp[], 18, FALSE)</f>
        <v>0</v>
      </c>
      <c r="T247">
        <f>VLOOKUP(Table4[[#This Row],[Shortname]], Comp[], 19, FALSE)</f>
        <v>0</v>
      </c>
      <c r="U247">
        <f>VLOOKUP(Table4[[#This Row],[Shortname]], Comp[], 20, FALSE)</f>
        <v>0</v>
      </c>
      <c r="V247">
        <f>VLOOKUP(Table4[[#This Row],[Shortname]], Comp[], 21, FALSE)</f>
        <v>0</v>
      </c>
      <c r="W247">
        <f>VLOOKUP(Table4[[#This Row],[Shortname]], Comp[], 22, FALSE)</f>
        <v>0</v>
      </c>
      <c r="X247">
        <f>VLOOKUP(Table4[[#This Row],[Shortname]], Comp[], 23, FALSE)</f>
        <v>0</v>
      </c>
      <c r="Y247">
        <f>VLOOKUP(Table4[[#This Row],[Shortname]], Comp[], 24, FALSE)</f>
        <v>0</v>
      </c>
      <c r="Z247">
        <f>VLOOKUP(Table4[[#This Row],[Shortname]], Comp[], 25, FALSE)</f>
        <v>0</v>
      </c>
      <c r="AA247">
        <f>VLOOKUP(Table4[[#This Row],[Shortname]], Comp[], 26, FALSE)</f>
        <v>0</v>
      </c>
      <c r="AB247">
        <f>VLOOKUP(Table4[[#This Row],[Shortname]], Comp[], 27, FALSE)</f>
        <v>0</v>
      </c>
      <c r="AC247">
        <f>VLOOKUP(Table4[[#This Row],[Shortname]], Comp[], 28, FALSE)</f>
        <v>0</v>
      </c>
      <c r="AD247">
        <f>VLOOKUP(Table4[[#This Row],[Shortname]], Comp[], 29, FALSE)</f>
        <v>0</v>
      </c>
      <c r="AE247">
        <f>VLOOKUP(Table4[[#This Row],[Shortname]], Comp[], 30, FALSE)</f>
        <v>0</v>
      </c>
      <c r="AF247">
        <f>VLOOKUP(Table4[[#This Row],[Shortname]], Comp[], 31, FALSE)</f>
        <v>0</v>
      </c>
    </row>
    <row r="248" spans="1:32" x14ac:dyDescent="0.3">
      <c r="A248" s="38" t="s">
        <v>5534</v>
      </c>
      <c r="B248" s="38" t="s">
        <v>5535</v>
      </c>
      <c r="C248" s="39" t="s">
        <v>5536</v>
      </c>
      <c r="D248" s="12">
        <v>25</v>
      </c>
      <c r="E248" s="12">
        <v>900</v>
      </c>
      <c r="F248">
        <v>340</v>
      </c>
      <c r="G248">
        <f>VLOOKUP(Table4[[#This Row],[Shortname]], Comp[], 6, FALSE)</f>
        <v>855</v>
      </c>
      <c r="H248" s="14">
        <f>VLOOKUP(Table4[[#This Row],[Shortname]], Comp[], 7, FALSE)</f>
        <v>50</v>
      </c>
      <c r="I248">
        <f>VLOOKUP(Table4[[#This Row],[Shortname]], Comp[], 8, FALSE)</f>
        <v>30.7</v>
      </c>
      <c r="J248">
        <f>VLOOKUP(Table4[[#This Row],[Shortname]], Comp[], 9, FALSE)</f>
        <v>9.5</v>
      </c>
      <c r="K248">
        <f>VLOOKUP(Table4[[#This Row],[Shortname]], Comp[], 10, FALSE)</f>
        <v>0</v>
      </c>
      <c r="L248">
        <f>VLOOKUP(Table4[[#This Row],[Shortname]], Comp[], 11, FALSE)</f>
        <v>0</v>
      </c>
      <c r="M248">
        <f>VLOOKUP(Table4[[#This Row],[Shortname]], Comp[],12, FALSE)</f>
        <v>3</v>
      </c>
      <c r="N248">
        <f>VLOOKUP(Table4[[#This Row],[Shortname]], Comp[], 13, FALSE)</f>
        <v>0</v>
      </c>
      <c r="O248">
        <f>VLOOKUP(Table4[[#This Row],[Shortname]], Comp[], 14, FALSE)</f>
        <v>1.9</v>
      </c>
      <c r="P248">
        <f>VLOOKUP(Table4[[#This Row],[Shortname]], Comp[], 15, FALSE)</f>
        <v>0</v>
      </c>
      <c r="Q248">
        <f>VLOOKUP(Table4[[#This Row],[Shortname]], Comp[], 16, FALSE)</f>
        <v>4.9000000000000004</v>
      </c>
      <c r="R248">
        <f>VLOOKUP(Table4[[#This Row],[Shortname]], Comp[], 17, FALSE)</f>
        <v>0</v>
      </c>
      <c r="S248">
        <f>VLOOKUP(Table4[[#This Row],[Shortname]], Comp[], 18, FALSE)</f>
        <v>0</v>
      </c>
      <c r="T248">
        <f>VLOOKUP(Table4[[#This Row],[Shortname]], Comp[], 19, FALSE)</f>
        <v>0</v>
      </c>
      <c r="U248">
        <f>VLOOKUP(Table4[[#This Row],[Shortname]], Comp[], 20, FALSE)</f>
        <v>0</v>
      </c>
      <c r="V248">
        <f>VLOOKUP(Table4[[#This Row],[Shortname]], Comp[], 21, FALSE)</f>
        <v>0</v>
      </c>
      <c r="W248">
        <f>VLOOKUP(Table4[[#This Row],[Shortname]], Comp[], 22, FALSE)</f>
        <v>0</v>
      </c>
      <c r="X248">
        <f>VLOOKUP(Table4[[#This Row],[Shortname]], Comp[], 23, FALSE)</f>
        <v>0</v>
      </c>
      <c r="Y248">
        <f>VLOOKUP(Table4[[#This Row],[Shortname]], Comp[], 24, FALSE)</f>
        <v>0</v>
      </c>
      <c r="Z248">
        <f>VLOOKUP(Table4[[#This Row],[Shortname]], Comp[], 25, FALSE)</f>
        <v>0</v>
      </c>
      <c r="AA248">
        <f>VLOOKUP(Table4[[#This Row],[Shortname]], Comp[], 26, FALSE)</f>
        <v>0</v>
      </c>
      <c r="AB248">
        <f>VLOOKUP(Table4[[#This Row],[Shortname]], Comp[], 27, FALSE)</f>
        <v>0</v>
      </c>
      <c r="AC248">
        <f>VLOOKUP(Table4[[#This Row],[Shortname]], Comp[], 28, FALSE)</f>
        <v>0</v>
      </c>
      <c r="AD248">
        <f>VLOOKUP(Table4[[#This Row],[Shortname]], Comp[], 29, FALSE)</f>
        <v>0</v>
      </c>
      <c r="AE248">
        <f>VLOOKUP(Table4[[#This Row],[Shortname]], Comp[], 30, FALSE)</f>
        <v>0</v>
      </c>
      <c r="AF248">
        <f>VLOOKUP(Table4[[#This Row],[Shortname]], Comp[], 31, FALSE)</f>
        <v>0</v>
      </c>
    </row>
    <row r="249" spans="1:32" x14ac:dyDescent="0.3">
      <c r="A249" s="38" t="s">
        <v>5539</v>
      </c>
      <c r="B249" s="38" t="s">
        <v>5540</v>
      </c>
      <c r="C249" s="39" t="s">
        <v>5541</v>
      </c>
      <c r="D249" s="12">
        <v>25</v>
      </c>
      <c r="E249" s="12">
        <v>900</v>
      </c>
      <c r="F249">
        <v>325</v>
      </c>
      <c r="G249">
        <f>VLOOKUP(Table4[[#This Row],[Shortname]], Comp[], 6, FALSE)</f>
        <v>856</v>
      </c>
      <c r="H249" s="14">
        <f>VLOOKUP(Table4[[#This Row],[Shortname]], Comp[], 7, FALSE)</f>
        <v>49.9</v>
      </c>
      <c r="I249">
        <f>VLOOKUP(Table4[[#This Row],[Shortname]], Comp[], 8, FALSE)</f>
        <v>30.3</v>
      </c>
      <c r="J249">
        <f>VLOOKUP(Table4[[#This Row],[Shortname]], Comp[], 9, FALSE)</f>
        <v>9.4</v>
      </c>
      <c r="K249">
        <f>VLOOKUP(Table4[[#This Row],[Shortname]], Comp[], 10, FALSE)</f>
        <v>0</v>
      </c>
      <c r="L249">
        <f>VLOOKUP(Table4[[#This Row],[Shortname]], Comp[], 11, FALSE)</f>
        <v>0</v>
      </c>
      <c r="M249">
        <f>VLOOKUP(Table4[[#This Row],[Shortname]], Comp[],12, FALSE)</f>
        <v>3.9</v>
      </c>
      <c r="N249">
        <f>VLOOKUP(Table4[[#This Row],[Shortname]], Comp[], 13, FALSE)</f>
        <v>0</v>
      </c>
      <c r="O249">
        <f>VLOOKUP(Table4[[#This Row],[Shortname]], Comp[], 14, FALSE)</f>
        <v>1.8</v>
      </c>
      <c r="P249">
        <f>VLOOKUP(Table4[[#This Row],[Shortname]], Comp[], 15, FALSE)</f>
        <v>0</v>
      </c>
      <c r="Q249">
        <f>VLOOKUP(Table4[[#This Row],[Shortname]], Comp[], 16, FALSE)</f>
        <v>4.7</v>
      </c>
      <c r="R249">
        <f>VLOOKUP(Table4[[#This Row],[Shortname]], Comp[], 17, FALSE)</f>
        <v>0</v>
      </c>
      <c r="S249">
        <f>VLOOKUP(Table4[[#This Row],[Shortname]], Comp[], 18, FALSE)</f>
        <v>0</v>
      </c>
      <c r="T249">
        <f>VLOOKUP(Table4[[#This Row],[Shortname]], Comp[], 19, FALSE)</f>
        <v>0</v>
      </c>
      <c r="U249">
        <f>VLOOKUP(Table4[[#This Row],[Shortname]], Comp[], 20, FALSE)</f>
        <v>0</v>
      </c>
      <c r="V249">
        <f>VLOOKUP(Table4[[#This Row],[Shortname]], Comp[], 21, FALSE)</f>
        <v>0</v>
      </c>
      <c r="W249">
        <f>VLOOKUP(Table4[[#This Row],[Shortname]], Comp[], 22, FALSE)</f>
        <v>0</v>
      </c>
      <c r="X249">
        <f>VLOOKUP(Table4[[#This Row],[Shortname]], Comp[], 23, FALSE)</f>
        <v>0</v>
      </c>
      <c r="Y249">
        <f>VLOOKUP(Table4[[#This Row],[Shortname]], Comp[], 24, FALSE)</f>
        <v>0</v>
      </c>
      <c r="Z249">
        <f>VLOOKUP(Table4[[#This Row],[Shortname]], Comp[], 25, FALSE)</f>
        <v>0</v>
      </c>
      <c r="AA249">
        <f>VLOOKUP(Table4[[#This Row],[Shortname]], Comp[], 26, FALSE)</f>
        <v>0</v>
      </c>
      <c r="AB249">
        <f>VLOOKUP(Table4[[#This Row],[Shortname]], Comp[], 27, FALSE)</f>
        <v>0</v>
      </c>
      <c r="AC249">
        <f>VLOOKUP(Table4[[#This Row],[Shortname]], Comp[], 28, FALSE)</f>
        <v>0</v>
      </c>
      <c r="AD249">
        <f>VLOOKUP(Table4[[#This Row],[Shortname]], Comp[], 29, FALSE)</f>
        <v>0</v>
      </c>
      <c r="AE249">
        <f>VLOOKUP(Table4[[#This Row],[Shortname]], Comp[], 30, FALSE)</f>
        <v>0</v>
      </c>
      <c r="AF249">
        <f>VLOOKUP(Table4[[#This Row],[Shortname]], Comp[], 31, FALSE)</f>
        <v>0</v>
      </c>
    </row>
    <row r="250" spans="1:32" x14ac:dyDescent="0.3">
      <c r="A250" s="38" t="s">
        <v>5555</v>
      </c>
      <c r="B250" s="38" t="s">
        <v>5556</v>
      </c>
      <c r="C250" s="39" t="s">
        <v>5578</v>
      </c>
      <c r="D250" s="12">
        <v>25</v>
      </c>
      <c r="E250" s="12">
        <v>900</v>
      </c>
      <c r="F250">
        <v>343</v>
      </c>
      <c r="G250">
        <f>VLOOKUP(Table4[[#This Row],[Shortname]], Comp[], 6, FALSE)</f>
        <v>859</v>
      </c>
      <c r="H250" s="14">
        <f>VLOOKUP(Table4[[#This Row],[Shortname]], Comp[], 7, FALSE)</f>
        <v>47.7</v>
      </c>
      <c r="I250">
        <f>VLOOKUP(Table4[[#This Row],[Shortname]], Comp[], 8, FALSE)</f>
        <v>30.3</v>
      </c>
      <c r="J250">
        <f>VLOOKUP(Table4[[#This Row],[Shortname]], Comp[], 9, FALSE)</f>
        <v>9.5</v>
      </c>
      <c r="K250">
        <f>VLOOKUP(Table4[[#This Row],[Shortname]], Comp[], 10, FALSE)</f>
        <v>8.5</v>
      </c>
      <c r="L250">
        <f>VLOOKUP(Table4[[#This Row],[Shortname]], Comp[], 11, FALSE)</f>
        <v>0</v>
      </c>
      <c r="M250">
        <f>VLOOKUP(Table4[[#This Row],[Shortname]], Comp[],12, FALSE)</f>
        <v>2</v>
      </c>
      <c r="N250">
        <f>VLOOKUP(Table4[[#This Row],[Shortname]], Comp[], 13, FALSE)</f>
        <v>0</v>
      </c>
      <c r="O250">
        <f>VLOOKUP(Table4[[#This Row],[Shortname]], Comp[], 14, FALSE)</f>
        <v>2</v>
      </c>
      <c r="P250">
        <f>VLOOKUP(Table4[[#This Row],[Shortname]], Comp[], 15, FALSE)</f>
        <v>0</v>
      </c>
      <c r="Q250">
        <f>VLOOKUP(Table4[[#This Row],[Shortname]], Comp[], 16, FALSE)</f>
        <v>0</v>
      </c>
      <c r="R250">
        <f>VLOOKUP(Table4[[#This Row],[Shortname]], Comp[], 17, FALSE)</f>
        <v>0</v>
      </c>
      <c r="S250">
        <f>VLOOKUP(Table4[[#This Row],[Shortname]], Comp[], 18, FALSE)</f>
        <v>0</v>
      </c>
      <c r="T250">
        <f>VLOOKUP(Table4[[#This Row],[Shortname]], Comp[], 19, FALSE)</f>
        <v>0</v>
      </c>
      <c r="U250">
        <f>VLOOKUP(Table4[[#This Row],[Shortname]], Comp[], 20, FALSE)</f>
        <v>0</v>
      </c>
      <c r="V250">
        <f>VLOOKUP(Table4[[#This Row],[Shortname]], Comp[], 21, FALSE)</f>
        <v>0</v>
      </c>
      <c r="W250">
        <f>VLOOKUP(Table4[[#This Row],[Shortname]], Comp[], 22, FALSE)</f>
        <v>0</v>
      </c>
      <c r="X250">
        <f>VLOOKUP(Table4[[#This Row],[Shortname]], Comp[], 23, FALSE)</f>
        <v>0</v>
      </c>
      <c r="Y250">
        <f>VLOOKUP(Table4[[#This Row],[Shortname]], Comp[], 24, FALSE)</f>
        <v>0</v>
      </c>
      <c r="Z250">
        <f>VLOOKUP(Table4[[#This Row],[Shortname]], Comp[], 25, FALSE)</f>
        <v>0</v>
      </c>
      <c r="AA250">
        <f>VLOOKUP(Table4[[#This Row],[Shortname]], Comp[], 26, FALSE)</f>
        <v>0</v>
      </c>
      <c r="AB250">
        <f>VLOOKUP(Table4[[#This Row],[Shortname]], Comp[], 27, FALSE)</f>
        <v>0</v>
      </c>
      <c r="AC250">
        <f>VLOOKUP(Table4[[#This Row],[Shortname]], Comp[], 28, FALSE)</f>
        <v>0</v>
      </c>
      <c r="AD250">
        <f>VLOOKUP(Table4[[#This Row],[Shortname]], Comp[], 29, FALSE)</f>
        <v>0</v>
      </c>
      <c r="AE250">
        <f>VLOOKUP(Table4[[#This Row],[Shortname]], Comp[], 30, FALSE)</f>
        <v>0</v>
      </c>
      <c r="AF250">
        <f>VLOOKUP(Table4[[#This Row],[Shortname]], Comp[], 31, FALSE)</f>
        <v>0</v>
      </c>
    </row>
    <row r="251" spans="1:32" x14ac:dyDescent="0.3">
      <c r="A251" s="38" t="s">
        <v>5561</v>
      </c>
      <c r="B251" s="38" t="s">
        <v>5562</v>
      </c>
      <c r="C251" s="39" t="s">
        <v>6789</v>
      </c>
      <c r="D251" s="12">
        <v>25</v>
      </c>
      <c r="E251" s="12">
        <v>900</v>
      </c>
      <c r="F251">
        <v>338</v>
      </c>
      <c r="G251">
        <f>VLOOKUP(Table4[[#This Row],[Shortname]], Comp[], 6, FALSE)</f>
        <v>860</v>
      </c>
      <c r="H251" s="14">
        <f>VLOOKUP(Table4[[#This Row],[Shortname]], Comp[], 7, FALSE)</f>
        <v>44.1</v>
      </c>
      <c r="I251">
        <f>VLOOKUP(Table4[[#This Row],[Shortname]], Comp[], 8, FALSE)</f>
        <v>29.9</v>
      </c>
      <c r="J251">
        <f>VLOOKUP(Table4[[#This Row],[Shortname]], Comp[], 9, FALSE)</f>
        <v>10</v>
      </c>
      <c r="K251">
        <f>VLOOKUP(Table4[[#This Row],[Shortname]], Comp[], 10, FALSE)</f>
        <v>11.9</v>
      </c>
      <c r="L251">
        <f>VLOOKUP(Table4[[#This Row],[Shortname]], Comp[], 11, FALSE)</f>
        <v>0</v>
      </c>
      <c r="M251">
        <f>VLOOKUP(Table4[[#This Row],[Shortname]], Comp[],12, FALSE)</f>
        <v>2.2000000000000002</v>
      </c>
      <c r="N251">
        <f>VLOOKUP(Table4[[#This Row],[Shortname]], Comp[], 13, FALSE)</f>
        <v>0</v>
      </c>
      <c r="O251">
        <f>VLOOKUP(Table4[[#This Row],[Shortname]], Comp[], 14, FALSE)</f>
        <v>1.9</v>
      </c>
      <c r="P251">
        <f>VLOOKUP(Table4[[#This Row],[Shortname]], Comp[], 15, FALSE)</f>
        <v>0</v>
      </c>
      <c r="Q251">
        <f>VLOOKUP(Table4[[#This Row],[Shortname]], Comp[], 16, FALSE)</f>
        <v>0</v>
      </c>
      <c r="R251">
        <f>VLOOKUP(Table4[[#This Row],[Shortname]], Comp[], 17, FALSE)</f>
        <v>0</v>
      </c>
      <c r="S251">
        <f>VLOOKUP(Table4[[#This Row],[Shortname]], Comp[], 18, FALSE)</f>
        <v>0</v>
      </c>
      <c r="T251">
        <f>VLOOKUP(Table4[[#This Row],[Shortname]], Comp[], 19, FALSE)</f>
        <v>0</v>
      </c>
      <c r="U251">
        <f>VLOOKUP(Table4[[#This Row],[Shortname]], Comp[], 20, FALSE)</f>
        <v>0</v>
      </c>
      <c r="V251">
        <f>VLOOKUP(Table4[[#This Row],[Shortname]], Comp[], 21, FALSE)</f>
        <v>0</v>
      </c>
      <c r="W251">
        <f>VLOOKUP(Table4[[#This Row],[Shortname]], Comp[], 22, FALSE)</f>
        <v>0</v>
      </c>
      <c r="X251">
        <f>VLOOKUP(Table4[[#This Row],[Shortname]], Comp[], 23, FALSE)</f>
        <v>0</v>
      </c>
      <c r="Y251">
        <f>VLOOKUP(Table4[[#This Row],[Shortname]], Comp[], 24, FALSE)</f>
        <v>0</v>
      </c>
      <c r="Z251">
        <f>VLOOKUP(Table4[[#This Row],[Shortname]], Comp[], 25, FALSE)</f>
        <v>0</v>
      </c>
      <c r="AA251">
        <f>VLOOKUP(Table4[[#This Row],[Shortname]], Comp[], 26, FALSE)</f>
        <v>0</v>
      </c>
      <c r="AB251">
        <f>VLOOKUP(Table4[[#This Row],[Shortname]], Comp[], 27, FALSE)</f>
        <v>0</v>
      </c>
      <c r="AC251">
        <f>VLOOKUP(Table4[[#This Row],[Shortname]], Comp[], 28, FALSE)</f>
        <v>0</v>
      </c>
      <c r="AD251">
        <f>VLOOKUP(Table4[[#This Row],[Shortname]], Comp[], 29, FALSE)</f>
        <v>0</v>
      </c>
      <c r="AE251">
        <f>VLOOKUP(Table4[[#This Row],[Shortname]], Comp[], 30, FALSE)</f>
        <v>0</v>
      </c>
      <c r="AF251">
        <f>VLOOKUP(Table4[[#This Row],[Shortname]], Comp[], 31, FALSE)</f>
        <v>0</v>
      </c>
    </row>
    <row r="252" spans="1:32" x14ac:dyDescent="0.3">
      <c r="A252" s="38" t="s">
        <v>5570</v>
      </c>
      <c r="B252" s="38" t="s">
        <v>5571</v>
      </c>
      <c r="C252" s="39" t="s">
        <v>6790</v>
      </c>
      <c r="D252" s="12">
        <v>25</v>
      </c>
      <c r="E252" s="12">
        <v>900</v>
      </c>
      <c r="F252">
        <v>350</v>
      </c>
      <c r="G252">
        <f>VLOOKUP(Table4[[#This Row],[Shortname]], Comp[], 6, FALSE)</f>
        <v>862</v>
      </c>
      <c r="H252" s="14">
        <f>VLOOKUP(Table4[[#This Row],[Shortname]], Comp[], 7, FALSE)</f>
        <v>45.199999999999996</v>
      </c>
      <c r="I252">
        <f>VLOOKUP(Table4[[#This Row],[Shortname]], Comp[], 8, FALSE)</f>
        <v>30.2</v>
      </c>
      <c r="J252">
        <f>VLOOKUP(Table4[[#This Row],[Shortname]], Comp[], 9, FALSE)</f>
        <v>9.4</v>
      </c>
      <c r="K252">
        <f>VLOOKUP(Table4[[#This Row],[Shortname]], Comp[], 10, FALSE)</f>
        <v>8.8000000000000007</v>
      </c>
      <c r="L252">
        <f>VLOOKUP(Table4[[#This Row],[Shortname]], Comp[], 11, FALSE)</f>
        <v>0</v>
      </c>
      <c r="M252">
        <f>VLOOKUP(Table4[[#This Row],[Shortname]], Comp[],12, FALSE)</f>
        <v>4.4000000000000004</v>
      </c>
      <c r="N252">
        <f>VLOOKUP(Table4[[#This Row],[Shortname]], Comp[], 13, FALSE)</f>
        <v>0</v>
      </c>
      <c r="O252">
        <f>VLOOKUP(Table4[[#This Row],[Shortname]], Comp[], 14, FALSE)</f>
        <v>2</v>
      </c>
      <c r="P252">
        <f>VLOOKUP(Table4[[#This Row],[Shortname]], Comp[], 15, FALSE)</f>
        <v>0</v>
      </c>
      <c r="Q252">
        <f>VLOOKUP(Table4[[#This Row],[Shortname]], Comp[], 16, FALSE)</f>
        <v>0</v>
      </c>
      <c r="R252">
        <f>VLOOKUP(Table4[[#This Row],[Shortname]], Comp[], 17, FALSE)</f>
        <v>0</v>
      </c>
      <c r="S252">
        <f>VLOOKUP(Table4[[#This Row],[Shortname]], Comp[], 18, FALSE)</f>
        <v>0</v>
      </c>
      <c r="T252">
        <f>VLOOKUP(Table4[[#This Row],[Shortname]], Comp[], 19, FALSE)</f>
        <v>0</v>
      </c>
      <c r="U252">
        <f>VLOOKUP(Table4[[#This Row],[Shortname]], Comp[], 20, FALSE)</f>
        <v>0</v>
      </c>
      <c r="V252">
        <f>VLOOKUP(Table4[[#This Row],[Shortname]], Comp[], 21, FALSE)</f>
        <v>0</v>
      </c>
      <c r="W252">
        <f>VLOOKUP(Table4[[#This Row],[Shortname]], Comp[], 22, FALSE)</f>
        <v>0</v>
      </c>
      <c r="X252">
        <f>VLOOKUP(Table4[[#This Row],[Shortname]], Comp[], 23, FALSE)</f>
        <v>0</v>
      </c>
      <c r="Y252">
        <f>VLOOKUP(Table4[[#This Row],[Shortname]], Comp[], 24, FALSE)</f>
        <v>0</v>
      </c>
      <c r="Z252">
        <f>VLOOKUP(Table4[[#This Row],[Shortname]], Comp[], 25, FALSE)</f>
        <v>0</v>
      </c>
      <c r="AA252">
        <f>VLOOKUP(Table4[[#This Row],[Shortname]], Comp[], 26, FALSE)</f>
        <v>0</v>
      </c>
      <c r="AB252">
        <f>VLOOKUP(Table4[[#This Row],[Shortname]], Comp[], 27, FALSE)</f>
        <v>0</v>
      </c>
      <c r="AC252">
        <f>VLOOKUP(Table4[[#This Row],[Shortname]], Comp[], 28, FALSE)</f>
        <v>0</v>
      </c>
      <c r="AD252">
        <f>VLOOKUP(Table4[[#This Row],[Shortname]], Comp[], 29, FALSE)</f>
        <v>0</v>
      </c>
      <c r="AE252">
        <f>VLOOKUP(Table4[[#This Row],[Shortname]], Comp[], 30, FALSE)</f>
        <v>0</v>
      </c>
      <c r="AF252">
        <f>VLOOKUP(Table4[[#This Row],[Shortname]], Comp[], 31, FALSE)</f>
        <v>0</v>
      </c>
    </row>
    <row r="253" spans="1:32" x14ac:dyDescent="0.3">
      <c r="A253" s="38" t="s">
        <v>5576</v>
      </c>
      <c r="B253" s="38" t="s">
        <v>5577</v>
      </c>
      <c r="C253" s="39" t="s">
        <v>6791</v>
      </c>
      <c r="D253" s="12">
        <v>25</v>
      </c>
      <c r="E253" s="12">
        <v>900</v>
      </c>
      <c r="F253">
        <v>348</v>
      </c>
      <c r="G253">
        <f>VLOOKUP(Table4[[#This Row],[Shortname]], Comp[], 6, FALSE)</f>
        <v>863</v>
      </c>
      <c r="H253" s="14">
        <f>VLOOKUP(Table4[[#This Row],[Shortname]], Comp[], 7, FALSE)</f>
        <v>42.3</v>
      </c>
      <c r="I253">
        <f>VLOOKUP(Table4[[#This Row],[Shortname]], Comp[], 8, FALSE)</f>
        <v>29.8</v>
      </c>
      <c r="J253">
        <f>VLOOKUP(Table4[[#This Row],[Shortname]], Comp[], 9, FALSE)</f>
        <v>9.4</v>
      </c>
      <c r="K253">
        <f>VLOOKUP(Table4[[#This Row],[Shortname]], Comp[], 10, FALSE)</f>
        <v>12.8</v>
      </c>
      <c r="L253">
        <f>VLOOKUP(Table4[[#This Row],[Shortname]], Comp[], 11, FALSE)</f>
        <v>0</v>
      </c>
      <c r="M253">
        <f>VLOOKUP(Table4[[#This Row],[Shortname]], Comp[],12, FALSE)</f>
        <v>3.7</v>
      </c>
      <c r="N253">
        <f>VLOOKUP(Table4[[#This Row],[Shortname]], Comp[], 13, FALSE)</f>
        <v>0</v>
      </c>
      <c r="O253">
        <f>VLOOKUP(Table4[[#This Row],[Shortname]], Comp[], 14, FALSE)</f>
        <v>2</v>
      </c>
      <c r="P253">
        <f>VLOOKUP(Table4[[#This Row],[Shortname]], Comp[], 15, FALSE)</f>
        <v>0</v>
      </c>
      <c r="Q253">
        <f>VLOOKUP(Table4[[#This Row],[Shortname]], Comp[], 16, FALSE)</f>
        <v>0</v>
      </c>
      <c r="R253">
        <f>VLOOKUP(Table4[[#This Row],[Shortname]], Comp[], 17, FALSE)</f>
        <v>0</v>
      </c>
      <c r="S253">
        <f>VLOOKUP(Table4[[#This Row],[Shortname]], Comp[], 18, FALSE)</f>
        <v>0</v>
      </c>
      <c r="T253">
        <f>VLOOKUP(Table4[[#This Row],[Shortname]], Comp[], 19, FALSE)</f>
        <v>0</v>
      </c>
      <c r="U253">
        <f>VLOOKUP(Table4[[#This Row],[Shortname]], Comp[], 20, FALSE)</f>
        <v>0</v>
      </c>
      <c r="V253">
        <f>VLOOKUP(Table4[[#This Row],[Shortname]], Comp[], 21, FALSE)</f>
        <v>0</v>
      </c>
      <c r="W253">
        <f>VLOOKUP(Table4[[#This Row],[Shortname]], Comp[], 22, FALSE)</f>
        <v>0</v>
      </c>
      <c r="X253">
        <f>VLOOKUP(Table4[[#This Row],[Shortname]], Comp[], 23, FALSE)</f>
        <v>0</v>
      </c>
      <c r="Y253">
        <f>VLOOKUP(Table4[[#This Row],[Shortname]], Comp[], 24, FALSE)</f>
        <v>0</v>
      </c>
      <c r="Z253">
        <f>VLOOKUP(Table4[[#This Row],[Shortname]], Comp[], 25, FALSE)</f>
        <v>0</v>
      </c>
      <c r="AA253">
        <f>VLOOKUP(Table4[[#This Row],[Shortname]], Comp[], 26, FALSE)</f>
        <v>0</v>
      </c>
      <c r="AB253">
        <f>VLOOKUP(Table4[[#This Row],[Shortname]], Comp[], 27, FALSE)</f>
        <v>0</v>
      </c>
      <c r="AC253">
        <f>VLOOKUP(Table4[[#This Row],[Shortname]], Comp[], 28, FALSE)</f>
        <v>0</v>
      </c>
      <c r="AD253">
        <f>VLOOKUP(Table4[[#This Row],[Shortname]], Comp[], 29, FALSE)</f>
        <v>0</v>
      </c>
      <c r="AE253">
        <f>VLOOKUP(Table4[[#This Row],[Shortname]], Comp[], 30, FALSE)</f>
        <v>0</v>
      </c>
      <c r="AF253">
        <f>VLOOKUP(Table4[[#This Row],[Shortname]], Comp[], 31, FALSE)</f>
        <v>0</v>
      </c>
    </row>
    <row r="254" spans="1:32" x14ac:dyDescent="0.3">
      <c r="A254" s="38" t="s">
        <v>5246</v>
      </c>
      <c r="B254" s="38" t="s">
        <v>5720</v>
      </c>
      <c r="C254" s="39" t="s">
        <v>5721</v>
      </c>
      <c r="D254" s="12">
        <v>25</v>
      </c>
      <c r="E254" s="12">
        <v>900</v>
      </c>
      <c r="F254">
        <v>423</v>
      </c>
      <c r="G254">
        <f>VLOOKUP(Table4[[#This Row],[Shortname]], Comp[], 6, FALSE)</f>
        <v>4430</v>
      </c>
      <c r="H254" s="14">
        <f>VLOOKUP(Table4[[#This Row],[Shortname]], Comp[], 7, FALSE)</f>
        <v>59.199999999999996</v>
      </c>
      <c r="I254">
        <f>VLOOKUP(Table4[[#This Row],[Shortname]], Comp[], 8, FALSE)</f>
        <v>20.399999999999999</v>
      </c>
      <c r="J254">
        <f>VLOOKUP(Table4[[#This Row],[Shortname]], Comp[], 9, FALSE)</f>
        <v>9.8000000000000007</v>
      </c>
      <c r="K254">
        <f>VLOOKUP(Table4[[#This Row],[Shortname]], Comp[], 10, FALSE)</f>
        <v>0</v>
      </c>
      <c r="L254">
        <f>VLOOKUP(Table4[[#This Row],[Shortname]], Comp[], 11, FALSE)</f>
        <v>7.4</v>
      </c>
      <c r="M254">
        <f>VLOOKUP(Table4[[#This Row],[Shortname]], Comp[],12, FALSE)</f>
        <v>2.7</v>
      </c>
      <c r="N254">
        <f>VLOOKUP(Table4[[#This Row],[Shortname]], Comp[], 13, FALSE)</f>
        <v>0</v>
      </c>
      <c r="O254">
        <f>VLOOKUP(Table4[[#This Row],[Shortname]], Comp[], 14, FALSE)</f>
        <v>0</v>
      </c>
      <c r="P254">
        <f>VLOOKUP(Table4[[#This Row],[Shortname]], Comp[], 15, FALSE)</f>
        <v>0</v>
      </c>
      <c r="Q254">
        <f>VLOOKUP(Table4[[#This Row],[Shortname]], Comp[], 16, FALSE)</f>
        <v>0</v>
      </c>
      <c r="R254">
        <f>VLOOKUP(Table4[[#This Row],[Shortname]], Comp[], 17, FALSE)</f>
        <v>0.4</v>
      </c>
      <c r="S254">
        <f>VLOOKUP(Table4[[#This Row],[Shortname]], Comp[], 18, FALSE)</f>
        <v>0</v>
      </c>
      <c r="T254">
        <f>VLOOKUP(Table4[[#This Row],[Shortname]], Comp[], 19, FALSE)</f>
        <v>0.1</v>
      </c>
      <c r="U254">
        <f>VLOOKUP(Table4[[#This Row],[Shortname]], Comp[], 20, FALSE)</f>
        <v>0</v>
      </c>
      <c r="V254">
        <f>VLOOKUP(Table4[[#This Row],[Shortname]], Comp[], 21, FALSE)</f>
        <v>0</v>
      </c>
      <c r="W254">
        <f>VLOOKUP(Table4[[#This Row],[Shortname]], Comp[], 22, FALSE)</f>
        <v>0</v>
      </c>
      <c r="X254">
        <f>VLOOKUP(Table4[[#This Row],[Shortname]], Comp[], 23, FALSE)</f>
        <v>0</v>
      </c>
      <c r="Y254">
        <f>VLOOKUP(Table4[[#This Row],[Shortname]], Comp[], 24, FALSE)</f>
        <v>0</v>
      </c>
      <c r="Z254">
        <f>VLOOKUP(Table4[[#This Row],[Shortname]], Comp[], 25, FALSE)</f>
        <v>0</v>
      </c>
      <c r="AA254">
        <f>VLOOKUP(Table4[[#This Row],[Shortname]], Comp[], 26, FALSE)</f>
        <v>0</v>
      </c>
      <c r="AB254">
        <f>VLOOKUP(Table4[[#This Row],[Shortname]], Comp[], 27, FALSE)</f>
        <v>0</v>
      </c>
      <c r="AC254">
        <f>VLOOKUP(Table4[[#This Row],[Shortname]], Comp[], 28, FALSE)</f>
        <v>0</v>
      </c>
      <c r="AD254">
        <f>VLOOKUP(Table4[[#This Row],[Shortname]], Comp[], 29, FALSE)</f>
        <v>0</v>
      </c>
      <c r="AE254">
        <f>VLOOKUP(Table4[[#This Row],[Shortname]], Comp[], 30, FALSE)</f>
        <v>0</v>
      </c>
      <c r="AF254">
        <f>VLOOKUP(Table4[[#This Row],[Shortname]], Comp[], 31, FALSE)</f>
        <v>0</v>
      </c>
    </row>
    <row r="255" spans="1:32" x14ac:dyDescent="0.3">
      <c r="A255" s="38" t="s">
        <v>5246</v>
      </c>
      <c r="B255" s="38" t="s">
        <v>5720</v>
      </c>
      <c r="C255" s="39" t="s">
        <v>6792</v>
      </c>
      <c r="D255" s="12">
        <v>25</v>
      </c>
      <c r="E255" s="12">
        <v>840</v>
      </c>
      <c r="F255">
        <v>442</v>
      </c>
      <c r="G255">
        <f>VLOOKUP(Table4[[#This Row],[Shortname]], Comp[], 6, FALSE)</f>
        <v>4430</v>
      </c>
      <c r="H255" s="14">
        <f>VLOOKUP(Table4[[#This Row],[Shortname]], Comp[], 7, FALSE)</f>
        <v>59.199999999999996</v>
      </c>
      <c r="I255">
        <f>VLOOKUP(Table4[[#This Row],[Shortname]], Comp[], 8, FALSE)</f>
        <v>20.399999999999999</v>
      </c>
      <c r="J255">
        <f>VLOOKUP(Table4[[#This Row],[Shortname]], Comp[], 9, FALSE)</f>
        <v>9.8000000000000007</v>
      </c>
      <c r="K255">
        <f>VLOOKUP(Table4[[#This Row],[Shortname]], Comp[], 10, FALSE)</f>
        <v>0</v>
      </c>
      <c r="L255">
        <f>VLOOKUP(Table4[[#This Row],[Shortname]], Comp[], 11, FALSE)</f>
        <v>7.4</v>
      </c>
      <c r="M255">
        <f>VLOOKUP(Table4[[#This Row],[Shortname]], Comp[],12, FALSE)</f>
        <v>2.7</v>
      </c>
      <c r="N255">
        <f>VLOOKUP(Table4[[#This Row],[Shortname]], Comp[], 13, FALSE)</f>
        <v>0</v>
      </c>
      <c r="O255">
        <f>VLOOKUP(Table4[[#This Row],[Shortname]], Comp[], 14, FALSE)</f>
        <v>0</v>
      </c>
      <c r="P255">
        <f>VLOOKUP(Table4[[#This Row],[Shortname]], Comp[], 15, FALSE)</f>
        <v>0</v>
      </c>
      <c r="Q255">
        <f>VLOOKUP(Table4[[#This Row],[Shortname]], Comp[], 16, FALSE)</f>
        <v>0</v>
      </c>
      <c r="R255">
        <f>VLOOKUP(Table4[[#This Row],[Shortname]], Comp[], 17, FALSE)</f>
        <v>0.4</v>
      </c>
      <c r="S255">
        <f>VLOOKUP(Table4[[#This Row],[Shortname]], Comp[], 18, FALSE)</f>
        <v>0</v>
      </c>
      <c r="T255">
        <f>VLOOKUP(Table4[[#This Row],[Shortname]], Comp[], 19, FALSE)</f>
        <v>0.1</v>
      </c>
      <c r="U255">
        <f>VLOOKUP(Table4[[#This Row],[Shortname]], Comp[], 20, FALSE)</f>
        <v>0</v>
      </c>
      <c r="V255">
        <f>VLOOKUP(Table4[[#This Row],[Shortname]], Comp[], 21, FALSE)</f>
        <v>0</v>
      </c>
      <c r="W255">
        <f>VLOOKUP(Table4[[#This Row],[Shortname]], Comp[], 22, FALSE)</f>
        <v>0</v>
      </c>
      <c r="X255">
        <f>VLOOKUP(Table4[[#This Row],[Shortname]], Comp[], 23, FALSE)</f>
        <v>0</v>
      </c>
      <c r="Y255">
        <f>VLOOKUP(Table4[[#This Row],[Shortname]], Comp[], 24, FALSE)</f>
        <v>0</v>
      </c>
      <c r="Z255">
        <f>VLOOKUP(Table4[[#This Row],[Shortname]], Comp[], 25, FALSE)</f>
        <v>0</v>
      </c>
      <c r="AA255">
        <f>VLOOKUP(Table4[[#This Row],[Shortname]], Comp[], 26, FALSE)</f>
        <v>0</v>
      </c>
      <c r="AB255">
        <f>VLOOKUP(Table4[[#This Row],[Shortname]], Comp[], 27, FALSE)</f>
        <v>0</v>
      </c>
      <c r="AC255">
        <f>VLOOKUP(Table4[[#This Row],[Shortname]], Comp[], 28, FALSE)</f>
        <v>0</v>
      </c>
      <c r="AD255">
        <f>VLOOKUP(Table4[[#This Row],[Shortname]], Comp[], 29, FALSE)</f>
        <v>0</v>
      </c>
      <c r="AE255">
        <f>VLOOKUP(Table4[[#This Row],[Shortname]], Comp[], 30, FALSE)</f>
        <v>0</v>
      </c>
      <c r="AF255">
        <f>VLOOKUP(Table4[[#This Row],[Shortname]], Comp[], 31, FALSE)</f>
        <v>0</v>
      </c>
    </row>
    <row r="256" spans="1:32" x14ac:dyDescent="0.3">
      <c r="A256" s="38" t="s">
        <v>5246</v>
      </c>
      <c r="B256" s="38" t="s">
        <v>5720</v>
      </c>
      <c r="C256" s="39" t="s">
        <v>6793</v>
      </c>
      <c r="D256" s="12">
        <v>25</v>
      </c>
      <c r="E256" s="12">
        <v>780</v>
      </c>
      <c r="F256">
        <v>427</v>
      </c>
      <c r="G256">
        <f>VLOOKUP(Table4[[#This Row],[Shortname]], Comp[], 6, FALSE)</f>
        <v>4430</v>
      </c>
      <c r="H256" s="14">
        <f>VLOOKUP(Table4[[#This Row],[Shortname]], Comp[], 7, FALSE)</f>
        <v>59.199999999999996</v>
      </c>
      <c r="I256">
        <f>VLOOKUP(Table4[[#This Row],[Shortname]], Comp[], 8, FALSE)</f>
        <v>20.399999999999999</v>
      </c>
      <c r="J256">
        <f>VLOOKUP(Table4[[#This Row],[Shortname]], Comp[], 9, FALSE)</f>
        <v>9.8000000000000007</v>
      </c>
      <c r="K256">
        <f>VLOOKUP(Table4[[#This Row],[Shortname]], Comp[], 10, FALSE)</f>
        <v>0</v>
      </c>
      <c r="L256">
        <f>VLOOKUP(Table4[[#This Row],[Shortname]], Comp[], 11, FALSE)</f>
        <v>7.4</v>
      </c>
      <c r="M256">
        <f>VLOOKUP(Table4[[#This Row],[Shortname]], Comp[],12, FALSE)</f>
        <v>2.7</v>
      </c>
      <c r="N256">
        <f>VLOOKUP(Table4[[#This Row],[Shortname]], Comp[], 13, FALSE)</f>
        <v>0</v>
      </c>
      <c r="O256">
        <f>VLOOKUP(Table4[[#This Row],[Shortname]], Comp[], 14, FALSE)</f>
        <v>0</v>
      </c>
      <c r="P256">
        <f>VLOOKUP(Table4[[#This Row],[Shortname]], Comp[], 15, FALSE)</f>
        <v>0</v>
      </c>
      <c r="Q256">
        <f>VLOOKUP(Table4[[#This Row],[Shortname]], Comp[], 16, FALSE)</f>
        <v>0</v>
      </c>
      <c r="R256">
        <f>VLOOKUP(Table4[[#This Row],[Shortname]], Comp[], 17, FALSE)</f>
        <v>0.4</v>
      </c>
      <c r="S256">
        <f>VLOOKUP(Table4[[#This Row],[Shortname]], Comp[], 18, FALSE)</f>
        <v>0</v>
      </c>
      <c r="T256">
        <f>VLOOKUP(Table4[[#This Row],[Shortname]], Comp[], 19, FALSE)</f>
        <v>0.1</v>
      </c>
      <c r="U256">
        <f>VLOOKUP(Table4[[#This Row],[Shortname]], Comp[], 20, FALSE)</f>
        <v>0</v>
      </c>
      <c r="V256">
        <f>VLOOKUP(Table4[[#This Row],[Shortname]], Comp[], 21, FALSE)</f>
        <v>0</v>
      </c>
      <c r="W256">
        <f>VLOOKUP(Table4[[#This Row],[Shortname]], Comp[], 22, FALSE)</f>
        <v>0</v>
      </c>
      <c r="X256">
        <f>VLOOKUP(Table4[[#This Row],[Shortname]], Comp[], 23, FALSE)</f>
        <v>0</v>
      </c>
      <c r="Y256">
        <f>VLOOKUP(Table4[[#This Row],[Shortname]], Comp[], 24, FALSE)</f>
        <v>0</v>
      </c>
      <c r="Z256">
        <f>VLOOKUP(Table4[[#This Row],[Shortname]], Comp[], 25, FALSE)</f>
        <v>0</v>
      </c>
      <c r="AA256">
        <f>VLOOKUP(Table4[[#This Row],[Shortname]], Comp[], 26, FALSE)</f>
        <v>0</v>
      </c>
      <c r="AB256">
        <f>VLOOKUP(Table4[[#This Row],[Shortname]], Comp[], 27, FALSE)</f>
        <v>0</v>
      </c>
      <c r="AC256">
        <f>VLOOKUP(Table4[[#This Row],[Shortname]], Comp[], 28, FALSE)</f>
        <v>0</v>
      </c>
      <c r="AD256">
        <f>VLOOKUP(Table4[[#This Row],[Shortname]], Comp[], 29, FALSE)</f>
        <v>0</v>
      </c>
      <c r="AE256">
        <f>VLOOKUP(Table4[[#This Row],[Shortname]], Comp[], 30, FALSE)</f>
        <v>0</v>
      </c>
      <c r="AF256">
        <f>VLOOKUP(Table4[[#This Row],[Shortname]], Comp[], 31, FALSE)</f>
        <v>0</v>
      </c>
    </row>
    <row r="257" spans="1:32" x14ac:dyDescent="0.3">
      <c r="A257" s="38" t="s">
        <v>5246</v>
      </c>
      <c r="B257" s="38" t="s">
        <v>5720</v>
      </c>
      <c r="C257" s="39" t="s">
        <v>6794</v>
      </c>
      <c r="D257" s="12">
        <v>25</v>
      </c>
      <c r="E257" s="12">
        <v>720</v>
      </c>
      <c r="F257">
        <v>408</v>
      </c>
      <c r="G257">
        <f>VLOOKUP(Table4[[#This Row],[Shortname]], Comp[], 6, FALSE)</f>
        <v>4430</v>
      </c>
      <c r="H257" s="14">
        <f>VLOOKUP(Table4[[#This Row],[Shortname]], Comp[], 7, FALSE)</f>
        <v>59.199999999999996</v>
      </c>
      <c r="I257">
        <f>VLOOKUP(Table4[[#This Row],[Shortname]], Comp[], 8, FALSE)</f>
        <v>20.399999999999999</v>
      </c>
      <c r="J257">
        <f>VLOOKUP(Table4[[#This Row],[Shortname]], Comp[], 9, FALSE)</f>
        <v>9.8000000000000007</v>
      </c>
      <c r="K257">
        <f>VLOOKUP(Table4[[#This Row],[Shortname]], Comp[], 10, FALSE)</f>
        <v>0</v>
      </c>
      <c r="L257">
        <f>VLOOKUP(Table4[[#This Row],[Shortname]], Comp[], 11, FALSE)</f>
        <v>7.4</v>
      </c>
      <c r="M257">
        <f>VLOOKUP(Table4[[#This Row],[Shortname]], Comp[],12, FALSE)</f>
        <v>2.7</v>
      </c>
      <c r="N257">
        <f>VLOOKUP(Table4[[#This Row],[Shortname]], Comp[], 13, FALSE)</f>
        <v>0</v>
      </c>
      <c r="O257">
        <f>VLOOKUP(Table4[[#This Row],[Shortname]], Comp[], 14, FALSE)</f>
        <v>0</v>
      </c>
      <c r="P257">
        <f>VLOOKUP(Table4[[#This Row],[Shortname]], Comp[], 15, FALSE)</f>
        <v>0</v>
      </c>
      <c r="Q257">
        <f>VLOOKUP(Table4[[#This Row],[Shortname]], Comp[], 16, FALSE)</f>
        <v>0</v>
      </c>
      <c r="R257">
        <f>VLOOKUP(Table4[[#This Row],[Shortname]], Comp[], 17, FALSE)</f>
        <v>0.4</v>
      </c>
      <c r="S257">
        <f>VLOOKUP(Table4[[#This Row],[Shortname]], Comp[], 18, FALSE)</f>
        <v>0</v>
      </c>
      <c r="T257">
        <f>VLOOKUP(Table4[[#This Row],[Shortname]], Comp[], 19, FALSE)</f>
        <v>0.1</v>
      </c>
      <c r="U257">
        <f>VLOOKUP(Table4[[#This Row],[Shortname]], Comp[], 20, FALSE)</f>
        <v>0</v>
      </c>
      <c r="V257">
        <f>VLOOKUP(Table4[[#This Row],[Shortname]], Comp[], 21, FALSE)</f>
        <v>0</v>
      </c>
      <c r="W257">
        <f>VLOOKUP(Table4[[#This Row],[Shortname]], Comp[], 22, FALSE)</f>
        <v>0</v>
      </c>
      <c r="X257">
        <f>VLOOKUP(Table4[[#This Row],[Shortname]], Comp[], 23, FALSE)</f>
        <v>0</v>
      </c>
      <c r="Y257">
        <f>VLOOKUP(Table4[[#This Row],[Shortname]], Comp[], 24, FALSE)</f>
        <v>0</v>
      </c>
      <c r="Z257">
        <f>VLOOKUP(Table4[[#This Row],[Shortname]], Comp[], 25, FALSE)</f>
        <v>0</v>
      </c>
      <c r="AA257">
        <f>VLOOKUP(Table4[[#This Row],[Shortname]], Comp[], 26, FALSE)</f>
        <v>0</v>
      </c>
      <c r="AB257">
        <f>VLOOKUP(Table4[[#This Row],[Shortname]], Comp[], 27, FALSE)</f>
        <v>0</v>
      </c>
      <c r="AC257">
        <f>VLOOKUP(Table4[[#This Row],[Shortname]], Comp[], 28, FALSE)</f>
        <v>0</v>
      </c>
      <c r="AD257">
        <f>VLOOKUP(Table4[[#This Row],[Shortname]], Comp[], 29, FALSE)</f>
        <v>0</v>
      </c>
      <c r="AE257">
        <f>VLOOKUP(Table4[[#This Row],[Shortname]], Comp[], 30, FALSE)</f>
        <v>0</v>
      </c>
      <c r="AF257">
        <f>VLOOKUP(Table4[[#This Row],[Shortname]], Comp[], 31, FALSE)</f>
        <v>0</v>
      </c>
    </row>
    <row r="258" spans="1:32" x14ac:dyDescent="0.3">
      <c r="A258" s="38" t="s">
        <v>5748</v>
      </c>
      <c r="B258" s="38" t="s">
        <v>4928</v>
      </c>
      <c r="C258" s="39" t="s">
        <v>5749</v>
      </c>
      <c r="D258" s="12">
        <v>25</v>
      </c>
      <c r="E258" s="12">
        <v>800</v>
      </c>
      <c r="F258">
        <v>324</v>
      </c>
      <c r="G258">
        <f>VLOOKUP(Table4[[#This Row],[Shortname]], Comp[], 6, FALSE)</f>
        <v>905</v>
      </c>
      <c r="H258" s="14">
        <f>VLOOKUP(Table4[[#This Row],[Shortname]], Comp[], 7, FALSE)</f>
        <v>56.9</v>
      </c>
      <c r="I258">
        <f>VLOOKUP(Table4[[#This Row],[Shortname]], Comp[], 8, FALSE)</f>
        <v>29.6</v>
      </c>
      <c r="J258">
        <f>VLOOKUP(Table4[[#This Row],[Shortname]], Comp[], 9, FALSE)</f>
        <v>10.5</v>
      </c>
      <c r="K258">
        <f>VLOOKUP(Table4[[#This Row],[Shortname]], Comp[], 10, FALSE)</f>
        <v>0</v>
      </c>
      <c r="L258">
        <f>VLOOKUP(Table4[[#This Row],[Shortname]], Comp[], 11, FALSE)</f>
        <v>0</v>
      </c>
      <c r="M258">
        <f>VLOOKUP(Table4[[#This Row],[Shortname]], Comp[],12, FALSE)</f>
        <v>0</v>
      </c>
      <c r="N258">
        <f>VLOOKUP(Table4[[#This Row],[Shortname]], Comp[], 13, FALSE)</f>
        <v>0</v>
      </c>
      <c r="O258">
        <f>VLOOKUP(Table4[[#This Row],[Shortname]], Comp[], 14, FALSE)</f>
        <v>3</v>
      </c>
      <c r="P258">
        <f>VLOOKUP(Table4[[#This Row],[Shortname]], Comp[], 15, FALSE)</f>
        <v>0</v>
      </c>
      <c r="Q258">
        <f>VLOOKUP(Table4[[#This Row],[Shortname]], Comp[], 16, FALSE)</f>
        <v>0</v>
      </c>
      <c r="R258">
        <f>VLOOKUP(Table4[[#This Row],[Shortname]], Comp[], 17, FALSE)</f>
        <v>0</v>
      </c>
      <c r="S258">
        <f>VLOOKUP(Table4[[#This Row],[Shortname]], Comp[], 18, FALSE)</f>
        <v>0</v>
      </c>
      <c r="T258">
        <f>VLOOKUP(Table4[[#This Row],[Shortname]], Comp[], 19, FALSE)</f>
        <v>0</v>
      </c>
      <c r="U258">
        <f>VLOOKUP(Table4[[#This Row],[Shortname]], Comp[], 20, FALSE)</f>
        <v>0</v>
      </c>
      <c r="V258">
        <f>VLOOKUP(Table4[[#This Row],[Shortname]], Comp[], 21, FALSE)</f>
        <v>0</v>
      </c>
      <c r="W258">
        <f>VLOOKUP(Table4[[#This Row],[Shortname]], Comp[], 22, FALSE)</f>
        <v>0</v>
      </c>
      <c r="X258">
        <f>VLOOKUP(Table4[[#This Row],[Shortname]], Comp[], 23, FALSE)</f>
        <v>0</v>
      </c>
      <c r="Y258">
        <f>VLOOKUP(Table4[[#This Row],[Shortname]], Comp[], 24, FALSE)</f>
        <v>0</v>
      </c>
      <c r="Z258">
        <f>VLOOKUP(Table4[[#This Row],[Shortname]], Comp[], 25, FALSE)</f>
        <v>0</v>
      </c>
      <c r="AA258">
        <f>VLOOKUP(Table4[[#This Row],[Shortname]], Comp[], 26, FALSE)</f>
        <v>0</v>
      </c>
      <c r="AB258">
        <f>VLOOKUP(Table4[[#This Row],[Shortname]], Comp[], 27, FALSE)</f>
        <v>0</v>
      </c>
      <c r="AC258">
        <f>VLOOKUP(Table4[[#This Row],[Shortname]], Comp[], 28, FALSE)</f>
        <v>0</v>
      </c>
      <c r="AD258">
        <f>VLOOKUP(Table4[[#This Row],[Shortname]], Comp[], 29, FALSE)</f>
        <v>0</v>
      </c>
      <c r="AE258">
        <f>VLOOKUP(Table4[[#This Row],[Shortname]], Comp[], 30, FALSE)</f>
        <v>0</v>
      </c>
      <c r="AF258">
        <f>VLOOKUP(Table4[[#This Row],[Shortname]], Comp[], 31, FALSE)</f>
        <v>0</v>
      </c>
    </row>
    <row r="259" spans="1:32" x14ac:dyDescent="0.3">
      <c r="A259" s="38" t="s">
        <v>5751</v>
      </c>
      <c r="B259" s="38" t="s">
        <v>5752</v>
      </c>
      <c r="C259" s="39" t="s">
        <v>5753</v>
      </c>
      <c r="D259" s="12">
        <v>25</v>
      </c>
      <c r="E259" s="12">
        <v>800</v>
      </c>
      <c r="F259">
        <v>398</v>
      </c>
      <c r="G259">
        <f>VLOOKUP(Table4[[#This Row],[Shortname]], Comp[], 6, FALSE)</f>
        <v>906</v>
      </c>
      <c r="H259" s="14">
        <f>VLOOKUP(Table4[[#This Row],[Shortname]], Comp[], 7, FALSE)</f>
        <v>55.599999999999994</v>
      </c>
      <c r="I259">
        <f>VLOOKUP(Table4[[#This Row],[Shortname]], Comp[], 8, FALSE)</f>
        <v>28.9</v>
      </c>
      <c r="J259">
        <f>VLOOKUP(Table4[[#This Row],[Shortname]], Comp[], 9, FALSE)</f>
        <v>10.3</v>
      </c>
      <c r="K259">
        <f>VLOOKUP(Table4[[#This Row],[Shortname]], Comp[], 10, FALSE)</f>
        <v>0</v>
      </c>
      <c r="L259">
        <f>VLOOKUP(Table4[[#This Row],[Shortname]], Comp[], 11, FALSE)</f>
        <v>0</v>
      </c>
      <c r="M259">
        <f>VLOOKUP(Table4[[#This Row],[Shortname]], Comp[],12, FALSE)</f>
        <v>2.1</v>
      </c>
      <c r="N259">
        <f>VLOOKUP(Table4[[#This Row],[Shortname]], Comp[], 13, FALSE)</f>
        <v>0</v>
      </c>
      <c r="O259">
        <f>VLOOKUP(Table4[[#This Row],[Shortname]], Comp[], 14, FALSE)</f>
        <v>3.1</v>
      </c>
      <c r="P259">
        <f>VLOOKUP(Table4[[#This Row],[Shortname]], Comp[], 15, FALSE)</f>
        <v>0</v>
      </c>
      <c r="Q259">
        <f>VLOOKUP(Table4[[#This Row],[Shortname]], Comp[], 16, FALSE)</f>
        <v>0</v>
      </c>
      <c r="R259">
        <f>VLOOKUP(Table4[[#This Row],[Shortname]], Comp[], 17, FALSE)</f>
        <v>0</v>
      </c>
      <c r="S259">
        <f>VLOOKUP(Table4[[#This Row],[Shortname]], Comp[], 18, FALSE)</f>
        <v>0</v>
      </c>
      <c r="T259">
        <f>VLOOKUP(Table4[[#This Row],[Shortname]], Comp[], 19, FALSE)</f>
        <v>0</v>
      </c>
      <c r="U259">
        <f>VLOOKUP(Table4[[#This Row],[Shortname]], Comp[], 20, FALSE)</f>
        <v>0</v>
      </c>
      <c r="V259">
        <f>VLOOKUP(Table4[[#This Row],[Shortname]], Comp[], 21, FALSE)</f>
        <v>0</v>
      </c>
      <c r="W259">
        <f>VLOOKUP(Table4[[#This Row],[Shortname]], Comp[], 22, FALSE)</f>
        <v>0</v>
      </c>
      <c r="X259">
        <f>VLOOKUP(Table4[[#This Row],[Shortname]], Comp[], 23, FALSE)</f>
        <v>0</v>
      </c>
      <c r="Y259">
        <f>VLOOKUP(Table4[[#This Row],[Shortname]], Comp[], 24, FALSE)</f>
        <v>0</v>
      </c>
      <c r="Z259">
        <f>VLOOKUP(Table4[[#This Row],[Shortname]], Comp[], 25, FALSE)</f>
        <v>0</v>
      </c>
      <c r="AA259">
        <f>VLOOKUP(Table4[[#This Row],[Shortname]], Comp[], 26, FALSE)</f>
        <v>0</v>
      </c>
      <c r="AB259">
        <f>VLOOKUP(Table4[[#This Row],[Shortname]], Comp[], 27, FALSE)</f>
        <v>0</v>
      </c>
      <c r="AC259">
        <f>VLOOKUP(Table4[[#This Row],[Shortname]], Comp[], 28, FALSE)</f>
        <v>0</v>
      </c>
      <c r="AD259">
        <f>VLOOKUP(Table4[[#This Row],[Shortname]], Comp[], 29, FALSE)</f>
        <v>0</v>
      </c>
      <c r="AE259">
        <f>VLOOKUP(Table4[[#This Row],[Shortname]], Comp[], 30, FALSE)</f>
        <v>0</v>
      </c>
      <c r="AF259">
        <f>VLOOKUP(Table4[[#This Row],[Shortname]], Comp[], 31, FALSE)</f>
        <v>0</v>
      </c>
    </row>
    <row r="260" spans="1:32" x14ac:dyDescent="0.3">
      <c r="A260" s="38" t="s">
        <v>5756</v>
      </c>
      <c r="B260" s="38" t="s">
        <v>2361</v>
      </c>
      <c r="C260" s="39" t="s">
        <v>5757</v>
      </c>
      <c r="D260" s="12">
        <v>25</v>
      </c>
      <c r="E260" s="12">
        <v>800</v>
      </c>
      <c r="F260">
        <v>456</v>
      </c>
      <c r="G260">
        <f>VLOOKUP(Table4[[#This Row],[Shortname]], Comp[], 6, FALSE)</f>
        <v>907</v>
      </c>
      <c r="H260" s="14">
        <f>VLOOKUP(Table4[[#This Row],[Shortname]], Comp[], 7, FALSE)</f>
        <v>55.499999999999993</v>
      </c>
      <c r="I260">
        <f>VLOOKUP(Table4[[#This Row],[Shortname]], Comp[], 8, FALSE)</f>
        <v>29</v>
      </c>
      <c r="J260">
        <f>VLOOKUP(Table4[[#This Row],[Shortname]], Comp[], 9, FALSE)</f>
        <v>10.1</v>
      </c>
      <c r="K260">
        <f>VLOOKUP(Table4[[#This Row],[Shortname]], Comp[], 10, FALSE)</f>
        <v>0</v>
      </c>
      <c r="L260">
        <f>VLOOKUP(Table4[[#This Row],[Shortname]], Comp[], 11, FALSE)</f>
        <v>0</v>
      </c>
      <c r="M260">
        <f>VLOOKUP(Table4[[#This Row],[Shortname]], Comp[],12, FALSE)</f>
        <v>0</v>
      </c>
      <c r="N260">
        <f>VLOOKUP(Table4[[#This Row],[Shortname]], Comp[], 13, FALSE)</f>
        <v>2.2000000000000002</v>
      </c>
      <c r="O260">
        <f>VLOOKUP(Table4[[#This Row],[Shortname]], Comp[], 14, FALSE)</f>
        <v>3.2</v>
      </c>
      <c r="P260">
        <f>VLOOKUP(Table4[[#This Row],[Shortname]], Comp[], 15, FALSE)</f>
        <v>0</v>
      </c>
      <c r="Q260">
        <f>VLOOKUP(Table4[[#This Row],[Shortname]], Comp[], 16, FALSE)</f>
        <v>0</v>
      </c>
      <c r="R260">
        <f>VLOOKUP(Table4[[#This Row],[Shortname]], Comp[], 17, FALSE)</f>
        <v>0</v>
      </c>
      <c r="S260">
        <f>VLOOKUP(Table4[[#This Row],[Shortname]], Comp[], 18, FALSE)</f>
        <v>0</v>
      </c>
      <c r="T260">
        <f>VLOOKUP(Table4[[#This Row],[Shortname]], Comp[], 19, FALSE)</f>
        <v>0</v>
      </c>
      <c r="U260">
        <f>VLOOKUP(Table4[[#This Row],[Shortname]], Comp[], 20, FALSE)</f>
        <v>0</v>
      </c>
      <c r="V260">
        <f>VLOOKUP(Table4[[#This Row],[Shortname]], Comp[], 21, FALSE)</f>
        <v>0</v>
      </c>
      <c r="W260">
        <f>VLOOKUP(Table4[[#This Row],[Shortname]], Comp[], 22, FALSE)</f>
        <v>0</v>
      </c>
      <c r="X260">
        <f>VLOOKUP(Table4[[#This Row],[Shortname]], Comp[], 23, FALSE)</f>
        <v>0</v>
      </c>
      <c r="Y260">
        <f>VLOOKUP(Table4[[#This Row],[Shortname]], Comp[], 24, FALSE)</f>
        <v>0</v>
      </c>
      <c r="Z260">
        <f>VLOOKUP(Table4[[#This Row],[Shortname]], Comp[], 25, FALSE)</f>
        <v>0</v>
      </c>
      <c r="AA260">
        <f>VLOOKUP(Table4[[#This Row],[Shortname]], Comp[], 26, FALSE)</f>
        <v>0</v>
      </c>
      <c r="AB260">
        <f>VLOOKUP(Table4[[#This Row],[Shortname]], Comp[], 27, FALSE)</f>
        <v>0</v>
      </c>
      <c r="AC260">
        <f>VLOOKUP(Table4[[#This Row],[Shortname]], Comp[], 28, FALSE)</f>
        <v>0</v>
      </c>
      <c r="AD260">
        <f>VLOOKUP(Table4[[#This Row],[Shortname]], Comp[], 29, FALSE)</f>
        <v>0</v>
      </c>
      <c r="AE260">
        <f>VLOOKUP(Table4[[#This Row],[Shortname]], Comp[], 30, FALSE)</f>
        <v>0</v>
      </c>
      <c r="AF260">
        <f>VLOOKUP(Table4[[#This Row],[Shortname]], Comp[], 31, FALSE)</f>
        <v>0</v>
      </c>
    </row>
    <row r="261" spans="1:32" x14ac:dyDescent="0.3">
      <c r="A261" s="38" t="s">
        <v>5761</v>
      </c>
      <c r="B261" s="38" t="s">
        <v>5762</v>
      </c>
      <c r="C261" s="39" t="s">
        <v>5763</v>
      </c>
      <c r="D261" s="12">
        <v>25</v>
      </c>
      <c r="E261" s="12">
        <v>800</v>
      </c>
      <c r="F261">
        <v>500</v>
      </c>
      <c r="G261">
        <f>VLOOKUP(Table4[[#This Row],[Shortname]], Comp[], 6, FALSE)</f>
        <v>908</v>
      </c>
      <c r="H261" s="14">
        <f>VLOOKUP(Table4[[#This Row],[Shortname]], Comp[], 7, FALSE)</f>
        <v>53.599999999999994</v>
      </c>
      <c r="I261">
        <f>VLOOKUP(Table4[[#This Row],[Shortname]], Comp[], 8, FALSE)</f>
        <v>29.2</v>
      </c>
      <c r="J261">
        <f>VLOOKUP(Table4[[#This Row],[Shortname]], Comp[], 9, FALSE)</f>
        <v>9.8000000000000007</v>
      </c>
      <c r="K261">
        <f>VLOOKUP(Table4[[#This Row],[Shortname]], Comp[], 10, FALSE)</f>
        <v>0</v>
      </c>
      <c r="L261">
        <f>VLOOKUP(Table4[[#This Row],[Shortname]], Comp[], 11, FALSE)</f>
        <v>0</v>
      </c>
      <c r="M261">
        <f>VLOOKUP(Table4[[#This Row],[Shortname]], Comp[],12, FALSE)</f>
        <v>2.2000000000000002</v>
      </c>
      <c r="N261">
        <f>VLOOKUP(Table4[[#This Row],[Shortname]], Comp[], 13, FALSE)</f>
        <v>2</v>
      </c>
      <c r="O261">
        <f>VLOOKUP(Table4[[#This Row],[Shortname]], Comp[], 14, FALSE)</f>
        <v>3.2</v>
      </c>
      <c r="P261">
        <f>VLOOKUP(Table4[[#This Row],[Shortname]], Comp[], 15, FALSE)</f>
        <v>0</v>
      </c>
      <c r="Q261">
        <f>VLOOKUP(Table4[[#This Row],[Shortname]], Comp[], 16, FALSE)</f>
        <v>0</v>
      </c>
      <c r="R261">
        <f>VLOOKUP(Table4[[#This Row],[Shortname]], Comp[], 17, FALSE)</f>
        <v>0</v>
      </c>
      <c r="S261">
        <f>VLOOKUP(Table4[[#This Row],[Shortname]], Comp[], 18, FALSE)</f>
        <v>0</v>
      </c>
      <c r="T261">
        <f>VLOOKUP(Table4[[#This Row],[Shortname]], Comp[], 19, FALSE)</f>
        <v>0</v>
      </c>
      <c r="U261">
        <f>VLOOKUP(Table4[[#This Row],[Shortname]], Comp[], 20, FALSE)</f>
        <v>0</v>
      </c>
      <c r="V261">
        <f>VLOOKUP(Table4[[#This Row],[Shortname]], Comp[], 21, FALSE)</f>
        <v>0</v>
      </c>
      <c r="W261">
        <f>VLOOKUP(Table4[[#This Row],[Shortname]], Comp[], 22, FALSE)</f>
        <v>0</v>
      </c>
      <c r="X261">
        <f>VLOOKUP(Table4[[#This Row],[Shortname]], Comp[], 23, FALSE)</f>
        <v>0</v>
      </c>
      <c r="Y261">
        <f>VLOOKUP(Table4[[#This Row],[Shortname]], Comp[], 24, FALSE)</f>
        <v>0</v>
      </c>
      <c r="Z261">
        <f>VLOOKUP(Table4[[#This Row],[Shortname]], Comp[], 25, FALSE)</f>
        <v>0</v>
      </c>
      <c r="AA261">
        <f>VLOOKUP(Table4[[#This Row],[Shortname]], Comp[], 26, FALSE)</f>
        <v>0</v>
      </c>
      <c r="AB261">
        <f>VLOOKUP(Table4[[#This Row],[Shortname]], Comp[], 27, FALSE)</f>
        <v>0</v>
      </c>
      <c r="AC261">
        <f>VLOOKUP(Table4[[#This Row],[Shortname]], Comp[], 28, FALSE)</f>
        <v>0</v>
      </c>
      <c r="AD261">
        <f>VLOOKUP(Table4[[#This Row],[Shortname]], Comp[], 29, FALSE)</f>
        <v>0</v>
      </c>
      <c r="AE261">
        <f>VLOOKUP(Table4[[#This Row],[Shortname]], Comp[], 30, FALSE)</f>
        <v>0</v>
      </c>
      <c r="AF261">
        <f>VLOOKUP(Table4[[#This Row],[Shortname]], Comp[], 31, FALSE)</f>
        <v>0</v>
      </c>
    </row>
    <row r="262" spans="1:32" x14ac:dyDescent="0.3">
      <c r="A262" s="38" t="s">
        <v>5765</v>
      </c>
      <c r="B262" s="38" t="s">
        <v>5766</v>
      </c>
      <c r="C262" s="39" t="s">
        <v>5767</v>
      </c>
      <c r="D262" s="12">
        <v>25</v>
      </c>
      <c r="E262" s="12">
        <v>700</v>
      </c>
      <c r="F262">
        <v>432</v>
      </c>
      <c r="G262">
        <f>VLOOKUP(Table4[[#This Row],[Shortname]], Comp[], 6, FALSE)</f>
        <v>909</v>
      </c>
      <c r="H262" s="14">
        <f>VLOOKUP(Table4[[#This Row],[Shortname]], Comp[], 7, FALSE)</f>
        <v>87</v>
      </c>
      <c r="I262">
        <f>VLOOKUP(Table4[[#This Row],[Shortname]], Comp[], 8, FALSE)</f>
        <v>0</v>
      </c>
      <c r="J262">
        <f>VLOOKUP(Table4[[#This Row],[Shortname]], Comp[], 9, FALSE)</f>
        <v>10</v>
      </c>
      <c r="K262">
        <f>VLOOKUP(Table4[[#This Row],[Shortname]], Comp[], 10, FALSE)</f>
        <v>0</v>
      </c>
      <c r="L262">
        <f>VLOOKUP(Table4[[#This Row],[Shortname]], Comp[], 11, FALSE)</f>
        <v>0</v>
      </c>
      <c r="M262">
        <f>VLOOKUP(Table4[[#This Row],[Shortname]], Comp[],12, FALSE)</f>
        <v>0</v>
      </c>
      <c r="N262">
        <f>VLOOKUP(Table4[[#This Row],[Shortname]], Comp[], 13, FALSE)</f>
        <v>0</v>
      </c>
      <c r="O262">
        <f>VLOOKUP(Table4[[#This Row],[Shortname]], Comp[], 14, FALSE)</f>
        <v>3</v>
      </c>
      <c r="P262">
        <f>VLOOKUP(Table4[[#This Row],[Shortname]], Comp[], 15, FALSE)</f>
        <v>0</v>
      </c>
      <c r="Q262">
        <f>VLOOKUP(Table4[[#This Row],[Shortname]], Comp[], 16, FALSE)</f>
        <v>0</v>
      </c>
      <c r="R262">
        <f>VLOOKUP(Table4[[#This Row],[Shortname]], Comp[], 17, FALSE)</f>
        <v>0</v>
      </c>
      <c r="S262">
        <f>VLOOKUP(Table4[[#This Row],[Shortname]], Comp[], 18, FALSE)</f>
        <v>0</v>
      </c>
      <c r="T262">
        <f>VLOOKUP(Table4[[#This Row],[Shortname]], Comp[], 19, FALSE)</f>
        <v>0</v>
      </c>
      <c r="U262">
        <f>VLOOKUP(Table4[[#This Row],[Shortname]], Comp[], 20, FALSE)</f>
        <v>0</v>
      </c>
      <c r="V262">
        <f>VLOOKUP(Table4[[#This Row],[Shortname]], Comp[], 21, FALSE)</f>
        <v>0</v>
      </c>
      <c r="W262">
        <f>VLOOKUP(Table4[[#This Row],[Shortname]], Comp[], 22, FALSE)</f>
        <v>0</v>
      </c>
      <c r="X262">
        <f>VLOOKUP(Table4[[#This Row],[Shortname]], Comp[], 23, FALSE)</f>
        <v>0</v>
      </c>
      <c r="Y262">
        <f>VLOOKUP(Table4[[#This Row],[Shortname]], Comp[], 24, FALSE)</f>
        <v>0</v>
      </c>
      <c r="Z262">
        <f>VLOOKUP(Table4[[#This Row],[Shortname]], Comp[], 25, FALSE)</f>
        <v>0</v>
      </c>
      <c r="AA262">
        <f>VLOOKUP(Table4[[#This Row],[Shortname]], Comp[], 26, FALSE)</f>
        <v>0</v>
      </c>
      <c r="AB262">
        <f>VLOOKUP(Table4[[#This Row],[Shortname]], Comp[], 27, FALSE)</f>
        <v>0</v>
      </c>
      <c r="AC262">
        <f>VLOOKUP(Table4[[#This Row],[Shortname]], Comp[], 28, FALSE)</f>
        <v>0</v>
      </c>
      <c r="AD262">
        <f>VLOOKUP(Table4[[#This Row],[Shortname]], Comp[], 29, FALSE)</f>
        <v>0</v>
      </c>
      <c r="AE262">
        <f>VLOOKUP(Table4[[#This Row],[Shortname]], Comp[], 30, FALSE)</f>
        <v>0</v>
      </c>
      <c r="AF262">
        <f>VLOOKUP(Table4[[#This Row],[Shortname]], Comp[], 31, FALSE)</f>
        <v>0</v>
      </c>
    </row>
    <row r="263" spans="1:32" x14ac:dyDescent="0.3">
      <c r="A263" s="38" t="s">
        <v>1519</v>
      </c>
      <c r="B263" s="38" t="s">
        <v>5769</v>
      </c>
      <c r="C263" s="39" t="s">
        <v>5770</v>
      </c>
      <c r="D263" s="12">
        <v>25</v>
      </c>
      <c r="E263" s="12">
        <v>900</v>
      </c>
      <c r="F263">
        <v>522</v>
      </c>
      <c r="G263">
        <f>VLOOKUP(Table4[[#This Row],[Shortname]], Comp[], 6, FALSE)</f>
        <v>194</v>
      </c>
      <c r="H263" s="14">
        <f>VLOOKUP(Table4[[#This Row],[Shortname]], Comp[], 7, FALSE)</f>
        <v>78.63</v>
      </c>
      <c r="I263">
        <f>VLOOKUP(Table4[[#This Row],[Shortname]], Comp[], 8, FALSE)</f>
        <v>0</v>
      </c>
      <c r="J263">
        <f>VLOOKUP(Table4[[#This Row],[Shortname]], Comp[], 9, FALSE)</f>
        <v>13.66</v>
      </c>
      <c r="K263">
        <f>VLOOKUP(Table4[[#This Row],[Shortname]], Comp[], 10, FALSE)</f>
        <v>0</v>
      </c>
      <c r="L263">
        <f>VLOOKUP(Table4[[#This Row],[Shortname]], Comp[], 11, FALSE)</f>
        <v>7.71</v>
      </c>
      <c r="M263">
        <f>VLOOKUP(Table4[[#This Row],[Shortname]], Comp[],12, FALSE)</f>
        <v>0</v>
      </c>
      <c r="N263">
        <f>VLOOKUP(Table4[[#This Row],[Shortname]], Comp[], 13, FALSE)</f>
        <v>0</v>
      </c>
      <c r="O263">
        <f>VLOOKUP(Table4[[#This Row],[Shortname]], Comp[], 14, FALSE)</f>
        <v>0</v>
      </c>
      <c r="P263">
        <f>VLOOKUP(Table4[[#This Row],[Shortname]], Comp[], 15, FALSE)</f>
        <v>0</v>
      </c>
      <c r="Q263">
        <f>VLOOKUP(Table4[[#This Row],[Shortname]], Comp[], 16, FALSE)</f>
        <v>0</v>
      </c>
      <c r="R263">
        <f>VLOOKUP(Table4[[#This Row],[Shortname]], Comp[], 17, FALSE)</f>
        <v>0</v>
      </c>
      <c r="S263">
        <f>VLOOKUP(Table4[[#This Row],[Shortname]], Comp[], 18, FALSE)</f>
        <v>0</v>
      </c>
      <c r="T263">
        <f>VLOOKUP(Table4[[#This Row],[Shortname]], Comp[], 19, FALSE)</f>
        <v>0</v>
      </c>
      <c r="U263">
        <f>VLOOKUP(Table4[[#This Row],[Shortname]], Comp[], 20, FALSE)</f>
        <v>0</v>
      </c>
      <c r="V263">
        <f>VLOOKUP(Table4[[#This Row],[Shortname]], Comp[], 21, FALSE)</f>
        <v>0</v>
      </c>
      <c r="W263">
        <f>VLOOKUP(Table4[[#This Row],[Shortname]], Comp[], 22, FALSE)</f>
        <v>0</v>
      </c>
      <c r="X263">
        <f>VLOOKUP(Table4[[#This Row],[Shortname]], Comp[], 23, FALSE)</f>
        <v>0</v>
      </c>
      <c r="Y263">
        <f>VLOOKUP(Table4[[#This Row],[Shortname]], Comp[], 24, FALSE)</f>
        <v>0</v>
      </c>
      <c r="Z263">
        <f>VLOOKUP(Table4[[#This Row],[Shortname]], Comp[], 25, FALSE)</f>
        <v>0</v>
      </c>
      <c r="AA263">
        <f>VLOOKUP(Table4[[#This Row],[Shortname]], Comp[], 26, FALSE)</f>
        <v>0</v>
      </c>
      <c r="AB263">
        <f>VLOOKUP(Table4[[#This Row],[Shortname]], Comp[], 27, FALSE)</f>
        <v>0</v>
      </c>
      <c r="AC263">
        <f>VLOOKUP(Table4[[#This Row],[Shortname]], Comp[], 28, FALSE)</f>
        <v>0</v>
      </c>
      <c r="AD263">
        <f>VLOOKUP(Table4[[#This Row],[Shortname]], Comp[], 29, FALSE)</f>
        <v>0</v>
      </c>
      <c r="AE263">
        <f>VLOOKUP(Table4[[#This Row],[Shortname]], Comp[], 30, FALSE)</f>
        <v>0</v>
      </c>
      <c r="AF263">
        <f>VLOOKUP(Table4[[#This Row],[Shortname]], Comp[], 31, FALSE)</f>
        <v>0</v>
      </c>
    </row>
    <row r="264" spans="1:32" x14ac:dyDescent="0.3">
      <c r="A264" s="38" t="s">
        <v>5772</v>
      </c>
      <c r="B264" s="38" t="s">
        <v>5773</v>
      </c>
      <c r="C264" s="39" t="s">
        <v>5770</v>
      </c>
      <c r="D264" s="12">
        <v>25</v>
      </c>
      <c r="E264" s="12">
        <v>900</v>
      </c>
      <c r="F264">
        <v>660</v>
      </c>
      <c r="G264">
        <f>VLOOKUP(Table4[[#This Row],[Shortname]], Comp[], 6, FALSE)</f>
        <v>911</v>
      </c>
      <c r="H264" s="14">
        <f>VLOOKUP(Table4[[#This Row],[Shortname]], Comp[], 7, FALSE)</f>
        <v>75.489999999999995</v>
      </c>
      <c r="I264">
        <f>VLOOKUP(Table4[[#This Row],[Shortname]], Comp[], 8, FALSE)</f>
        <v>0</v>
      </c>
      <c r="J264">
        <f>VLOOKUP(Table4[[#This Row],[Shortname]], Comp[], 9, FALSE)</f>
        <v>11.65</v>
      </c>
      <c r="K264">
        <f>VLOOKUP(Table4[[#This Row],[Shortname]], Comp[], 10, FALSE)</f>
        <v>0</v>
      </c>
      <c r="L264">
        <f>VLOOKUP(Table4[[#This Row],[Shortname]], Comp[], 11, FALSE)</f>
        <v>9.0299999999999994</v>
      </c>
      <c r="M264">
        <f>VLOOKUP(Table4[[#This Row],[Shortname]], Comp[],12, FALSE)</f>
        <v>2.14</v>
      </c>
      <c r="N264">
        <f>VLOOKUP(Table4[[#This Row],[Shortname]], Comp[], 13, FALSE)</f>
        <v>1.69</v>
      </c>
      <c r="O264">
        <f>VLOOKUP(Table4[[#This Row],[Shortname]], Comp[], 14, FALSE)</f>
        <v>0</v>
      </c>
      <c r="P264">
        <f>VLOOKUP(Table4[[#This Row],[Shortname]], Comp[], 15, FALSE)</f>
        <v>0</v>
      </c>
      <c r="Q264">
        <f>VLOOKUP(Table4[[#This Row],[Shortname]], Comp[], 16, FALSE)</f>
        <v>0</v>
      </c>
      <c r="R264">
        <f>VLOOKUP(Table4[[#This Row],[Shortname]], Comp[], 17, FALSE)</f>
        <v>0</v>
      </c>
      <c r="S264">
        <f>VLOOKUP(Table4[[#This Row],[Shortname]], Comp[], 18, FALSE)</f>
        <v>0</v>
      </c>
      <c r="T264">
        <f>VLOOKUP(Table4[[#This Row],[Shortname]], Comp[], 19, FALSE)</f>
        <v>0</v>
      </c>
      <c r="U264">
        <f>VLOOKUP(Table4[[#This Row],[Shortname]], Comp[], 20, FALSE)</f>
        <v>0</v>
      </c>
      <c r="V264">
        <f>VLOOKUP(Table4[[#This Row],[Shortname]], Comp[], 21, FALSE)</f>
        <v>0</v>
      </c>
      <c r="W264">
        <f>VLOOKUP(Table4[[#This Row],[Shortname]], Comp[], 22, FALSE)</f>
        <v>0</v>
      </c>
      <c r="X264">
        <f>VLOOKUP(Table4[[#This Row],[Shortname]], Comp[], 23, FALSE)</f>
        <v>0</v>
      </c>
      <c r="Y264">
        <f>VLOOKUP(Table4[[#This Row],[Shortname]], Comp[], 24, FALSE)</f>
        <v>0</v>
      </c>
      <c r="Z264">
        <f>VLOOKUP(Table4[[#This Row],[Shortname]], Comp[], 25, FALSE)</f>
        <v>0</v>
      </c>
      <c r="AA264">
        <f>VLOOKUP(Table4[[#This Row],[Shortname]], Comp[], 26, FALSE)</f>
        <v>0</v>
      </c>
      <c r="AB264">
        <f>VLOOKUP(Table4[[#This Row],[Shortname]], Comp[], 27, FALSE)</f>
        <v>0</v>
      </c>
      <c r="AC264">
        <f>VLOOKUP(Table4[[#This Row],[Shortname]], Comp[], 28, FALSE)</f>
        <v>0</v>
      </c>
      <c r="AD264">
        <f>VLOOKUP(Table4[[#This Row],[Shortname]], Comp[], 29, FALSE)</f>
        <v>0</v>
      </c>
      <c r="AE264">
        <f>VLOOKUP(Table4[[#This Row],[Shortname]], Comp[], 30, FALSE)</f>
        <v>0</v>
      </c>
      <c r="AF264">
        <f>VLOOKUP(Table4[[#This Row],[Shortname]], Comp[], 31, FALSE)</f>
        <v>0</v>
      </c>
    </row>
    <row r="265" spans="1:32" x14ac:dyDescent="0.3">
      <c r="A265" s="38" t="s">
        <v>5820</v>
      </c>
      <c r="B265" s="38" t="s">
        <v>6771</v>
      </c>
      <c r="C265" s="39" t="s">
        <v>833</v>
      </c>
      <c r="D265" s="12">
        <v>25</v>
      </c>
      <c r="E265" s="12">
        <v>700</v>
      </c>
      <c r="F265">
        <v>380</v>
      </c>
      <c r="G265">
        <f>VLOOKUP(Table4[[#This Row],[Shortname]], Comp[], 6, FALSE)</f>
        <v>928</v>
      </c>
      <c r="H265" s="14">
        <f>VLOOKUP(Table4[[#This Row],[Shortname]], Comp[], 7, FALSE)</f>
        <v>49</v>
      </c>
      <c r="I265">
        <f>VLOOKUP(Table4[[#This Row],[Shortname]], Comp[], 8, FALSE)</f>
        <v>30</v>
      </c>
      <c r="J265">
        <f>VLOOKUP(Table4[[#This Row],[Shortname]], Comp[], 9, FALSE)</f>
        <v>10</v>
      </c>
      <c r="K265">
        <f>VLOOKUP(Table4[[#This Row],[Shortname]], Comp[], 10, FALSE)</f>
        <v>0</v>
      </c>
      <c r="L265">
        <f>VLOOKUP(Table4[[#This Row],[Shortname]], Comp[], 11, FALSE)</f>
        <v>0</v>
      </c>
      <c r="M265">
        <f>VLOOKUP(Table4[[#This Row],[Shortname]], Comp[],12, FALSE)</f>
        <v>2</v>
      </c>
      <c r="N265">
        <f>VLOOKUP(Table4[[#This Row],[Shortname]], Comp[], 13, FALSE)</f>
        <v>4</v>
      </c>
      <c r="O265">
        <f>VLOOKUP(Table4[[#This Row],[Shortname]], Comp[], 14, FALSE)</f>
        <v>0</v>
      </c>
      <c r="P265">
        <f>VLOOKUP(Table4[[#This Row],[Shortname]], Comp[], 15, FALSE)</f>
        <v>5</v>
      </c>
      <c r="Q265">
        <f>VLOOKUP(Table4[[#This Row],[Shortname]], Comp[], 16, FALSE)</f>
        <v>0</v>
      </c>
      <c r="R265">
        <f>VLOOKUP(Table4[[#This Row],[Shortname]], Comp[], 17, FALSE)</f>
        <v>0</v>
      </c>
      <c r="S265">
        <f>VLOOKUP(Table4[[#This Row],[Shortname]], Comp[], 18, FALSE)</f>
        <v>0</v>
      </c>
      <c r="T265">
        <f>VLOOKUP(Table4[[#This Row],[Shortname]], Comp[], 19, FALSE)</f>
        <v>0</v>
      </c>
      <c r="U265">
        <f>VLOOKUP(Table4[[#This Row],[Shortname]], Comp[], 20, FALSE)</f>
        <v>0</v>
      </c>
      <c r="V265">
        <f>VLOOKUP(Table4[[#This Row],[Shortname]], Comp[], 21, FALSE)</f>
        <v>0</v>
      </c>
      <c r="W265">
        <f>VLOOKUP(Table4[[#This Row],[Shortname]], Comp[], 22, FALSE)</f>
        <v>0</v>
      </c>
      <c r="X265">
        <f>VLOOKUP(Table4[[#This Row],[Shortname]], Comp[], 23, FALSE)</f>
        <v>0</v>
      </c>
      <c r="Y265">
        <f>VLOOKUP(Table4[[#This Row],[Shortname]], Comp[], 24, FALSE)</f>
        <v>0</v>
      </c>
      <c r="Z265">
        <f>VLOOKUP(Table4[[#This Row],[Shortname]], Comp[], 25, FALSE)</f>
        <v>0</v>
      </c>
      <c r="AA265">
        <f>VLOOKUP(Table4[[#This Row],[Shortname]], Comp[], 26, FALSE)</f>
        <v>0</v>
      </c>
      <c r="AB265">
        <f>VLOOKUP(Table4[[#This Row],[Shortname]], Comp[], 27, FALSE)</f>
        <v>0</v>
      </c>
      <c r="AC265">
        <f>VLOOKUP(Table4[[#This Row],[Shortname]], Comp[], 28, FALSE)</f>
        <v>0</v>
      </c>
      <c r="AD265">
        <f>VLOOKUP(Table4[[#This Row],[Shortname]], Comp[], 29, FALSE)</f>
        <v>0</v>
      </c>
      <c r="AE265">
        <f>VLOOKUP(Table4[[#This Row],[Shortname]], Comp[], 30, FALSE)</f>
        <v>0</v>
      </c>
      <c r="AF265">
        <f>VLOOKUP(Table4[[#This Row],[Shortname]], Comp[], 31, FALSE)</f>
        <v>0</v>
      </c>
    </row>
    <row r="266" spans="1:32" x14ac:dyDescent="0.3">
      <c r="A266" s="38" t="s">
        <v>5897</v>
      </c>
      <c r="B266" s="38" t="s">
        <v>5898</v>
      </c>
      <c r="C266" s="39" t="s">
        <v>5899</v>
      </c>
      <c r="D266" s="12">
        <v>25</v>
      </c>
      <c r="E266" s="12">
        <v>800</v>
      </c>
      <c r="F266">
        <v>568</v>
      </c>
      <c r="G266">
        <f>VLOOKUP(Table4[[#This Row],[Shortname]], Comp[], 6, FALSE)</f>
        <v>946</v>
      </c>
      <c r="H266" s="14">
        <f>VLOOKUP(Table4[[#This Row],[Shortname]], Comp[], 7, FALSE)</f>
        <v>80</v>
      </c>
      <c r="I266">
        <f>VLOOKUP(Table4[[#This Row],[Shortname]], Comp[], 8, FALSE)</f>
        <v>0</v>
      </c>
      <c r="J266">
        <f>VLOOKUP(Table4[[#This Row],[Shortname]], Comp[], 9, FALSE)</f>
        <v>10</v>
      </c>
      <c r="K266">
        <f>VLOOKUP(Table4[[#This Row],[Shortname]], Comp[], 10, FALSE)</f>
        <v>0</v>
      </c>
      <c r="L266">
        <f>VLOOKUP(Table4[[#This Row],[Shortname]], Comp[], 11, FALSE)</f>
        <v>9</v>
      </c>
      <c r="M266">
        <f>VLOOKUP(Table4[[#This Row],[Shortname]], Comp[],12, FALSE)</f>
        <v>0</v>
      </c>
      <c r="N266">
        <f>VLOOKUP(Table4[[#This Row],[Shortname]], Comp[], 13, FALSE)</f>
        <v>0</v>
      </c>
      <c r="O266">
        <f>VLOOKUP(Table4[[#This Row],[Shortname]], Comp[], 14, FALSE)</f>
        <v>0</v>
      </c>
      <c r="P266">
        <f>VLOOKUP(Table4[[#This Row],[Shortname]], Comp[], 15, FALSE)</f>
        <v>0</v>
      </c>
      <c r="Q266">
        <f>VLOOKUP(Table4[[#This Row],[Shortname]], Comp[], 16, FALSE)</f>
        <v>0</v>
      </c>
      <c r="R266">
        <f>VLOOKUP(Table4[[#This Row],[Shortname]], Comp[], 17, FALSE)</f>
        <v>1</v>
      </c>
      <c r="S266">
        <f>VLOOKUP(Table4[[#This Row],[Shortname]], Comp[], 18, FALSE)</f>
        <v>0</v>
      </c>
      <c r="T266">
        <f>VLOOKUP(Table4[[#This Row],[Shortname]], Comp[], 19, FALSE)</f>
        <v>0</v>
      </c>
      <c r="U266">
        <f>VLOOKUP(Table4[[#This Row],[Shortname]], Comp[], 20, FALSE)</f>
        <v>0</v>
      </c>
      <c r="V266">
        <f>VLOOKUP(Table4[[#This Row],[Shortname]], Comp[], 21, FALSE)</f>
        <v>0</v>
      </c>
      <c r="W266">
        <f>VLOOKUP(Table4[[#This Row],[Shortname]], Comp[], 22, FALSE)</f>
        <v>0</v>
      </c>
      <c r="X266">
        <f>VLOOKUP(Table4[[#This Row],[Shortname]], Comp[], 23, FALSE)</f>
        <v>0</v>
      </c>
      <c r="Y266">
        <f>VLOOKUP(Table4[[#This Row],[Shortname]], Comp[], 24, FALSE)</f>
        <v>0</v>
      </c>
      <c r="Z266">
        <f>VLOOKUP(Table4[[#This Row],[Shortname]], Comp[], 25, FALSE)</f>
        <v>0</v>
      </c>
      <c r="AA266">
        <f>VLOOKUP(Table4[[#This Row],[Shortname]], Comp[], 26, FALSE)</f>
        <v>0</v>
      </c>
      <c r="AB266">
        <f>VLOOKUP(Table4[[#This Row],[Shortname]], Comp[], 27, FALSE)</f>
        <v>0</v>
      </c>
      <c r="AC266">
        <f>VLOOKUP(Table4[[#This Row],[Shortname]], Comp[], 28, FALSE)</f>
        <v>0</v>
      </c>
      <c r="AD266">
        <f>VLOOKUP(Table4[[#This Row],[Shortname]], Comp[], 29, FALSE)</f>
        <v>0</v>
      </c>
      <c r="AE266">
        <f>VLOOKUP(Table4[[#This Row],[Shortname]], Comp[], 30, FALSE)</f>
        <v>0</v>
      </c>
      <c r="AF266">
        <f>VLOOKUP(Table4[[#This Row],[Shortname]], Comp[], 31, FALSE)</f>
        <v>0</v>
      </c>
    </row>
    <row r="267" spans="1:32" x14ac:dyDescent="0.3">
      <c r="A267" s="38" t="s">
        <v>5902</v>
      </c>
      <c r="B267" s="38" t="s">
        <v>5903</v>
      </c>
      <c r="C267" s="39" t="s">
        <v>5899</v>
      </c>
      <c r="D267" s="12">
        <v>25</v>
      </c>
      <c r="E267" s="12">
        <v>800</v>
      </c>
      <c r="F267">
        <v>323</v>
      </c>
      <c r="G267">
        <f>VLOOKUP(Table4[[#This Row],[Shortname]], Comp[], 6, FALSE)</f>
        <v>947</v>
      </c>
      <c r="H267" s="14">
        <f>VLOOKUP(Table4[[#This Row],[Shortname]], Comp[], 7, FALSE)</f>
        <v>87</v>
      </c>
      <c r="I267">
        <f>VLOOKUP(Table4[[#This Row],[Shortname]], Comp[], 8, FALSE)</f>
        <v>0</v>
      </c>
      <c r="J267">
        <f>VLOOKUP(Table4[[#This Row],[Shortname]], Comp[], 9, FALSE)</f>
        <v>7</v>
      </c>
      <c r="K267">
        <f>VLOOKUP(Table4[[#This Row],[Shortname]], Comp[], 10, FALSE)</f>
        <v>0</v>
      </c>
      <c r="L267">
        <f>VLOOKUP(Table4[[#This Row],[Shortname]], Comp[], 11, FALSE)</f>
        <v>5</v>
      </c>
      <c r="M267">
        <f>VLOOKUP(Table4[[#This Row],[Shortname]], Comp[],12, FALSE)</f>
        <v>0</v>
      </c>
      <c r="N267">
        <f>VLOOKUP(Table4[[#This Row],[Shortname]], Comp[], 13, FALSE)</f>
        <v>0</v>
      </c>
      <c r="O267">
        <f>VLOOKUP(Table4[[#This Row],[Shortname]], Comp[], 14, FALSE)</f>
        <v>0</v>
      </c>
      <c r="P267">
        <f>VLOOKUP(Table4[[#This Row],[Shortname]], Comp[], 15, FALSE)</f>
        <v>0</v>
      </c>
      <c r="Q267">
        <f>VLOOKUP(Table4[[#This Row],[Shortname]], Comp[], 16, FALSE)</f>
        <v>0</v>
      </c>
      <c r="R267">
        <f>VLOOKUP(Table4[[#This Row],[Shortname]], Comp[], 17, FALSE)</f>
        <v>1</v>
      </c>
      <c r="S267">
        <f>VLOOKUP(Table4[[#This Row],[Shortname]], Comp[], 18, FALSE)</f>
        <v>0</v>
      </c>
      <c r="T267">
        <f>VLOOKUP(Table4[[#This Row],[Shortname]], Comp[], 19, FALSE)</f>
        <v>0</v>
      </c>
      <c r="U267">
        <f>VLOOKUP(Table4[[#This Row],[Shortname]], Comp[], 20, FALSE)</f>
        <v>0</v>
      </c>
      <c r="V267">
        <f>VLOOKUP(Table4[[#This Row],[Shortname]], Comp[], 21, FALSE)</f>
        <v>0</v>
      </c>
      <c r="W267">
        <f>VLOOKUP(Table4[[#This Row],[Shortname]], Comp[], 22, FALSE)</f>
        <v>0</v>
      </c>
      <c r="X267">
        <f>VLOOKUP(Table4[[#This Row],[Shortname]], Comp[], 23, FALSE)</f>
        <v>0</v>
      </c>
      <c r="Y267">
        <f>VLOOKUP(Table4[[#This Row],[Shortname]], Comp[], 24, FALSE)</f>
        <v>0</v>
      </c>
      <c r="Z267">
        <f>VLOOKUP(Table4[[#This Row],[Shortname]], Comp[], 25, FALSE)</f>
        <v>0</v>
      </c>
      <c r="AA267">
        <f>VLOOKUP(Table4[[#This Row],[Shortname]], Comp[], 26, FALSE)</f>
        <v>0</v>
      </c>
      <c r="AB267">
        <f>VLOOKUP(Table4[[#This Row],[Shortname]], Comp[], 27, FALSE)</f>
        <v>0</v>
      </c>
      <c r="AC267">
        <f>VLOOKUP(Table4[[#This Row],[Shortname]], Comp[], 28, FALSE)</f>
        <v>0</v>
      </c>
      <c r="AD267">
        <f>VLOOKUP(Table4[[#This Row],[Shortname]], Comp[], 29, FALSE)</f>
        <v>0</v>
      </c>
      <c r="AE267">
        <f>VLOOKUP(Table4[[#This Row],[Shortname]], Comp[], 30, FALSE)</f>
        <v>0</v>
      </c>
      <c r="AF267">
        <f>VLOOKUP(Table4[[#This Row],[Shortname]], Comp[], 31, FALSE)</f>
        <v>0</v>
      </c>
    </row>
    <row r="268" spans="1:32" x14ac:dyDescent="0.3">
      <c r="A268" s="38" t="s">
        <v>5905</v>
      </c>
      <c r="B268" s="38" t="s">
        <v>5906</v>
      </c>
      <c r="C268" s="39" t="s">
        <v>5899</v>
      </c>
      <c r="D268" s="12">
        <v>25</v>
      </c>
      <c r="E268" s="12">
        <v>800</v>
      </c>
      <c r="F268">
        <v>249</v>
      </c>
      <c r="G268">
        <f>VLOOKUP(Table4[[#This Row],[Shortname]], Comp[], 6, FALSE)</f>
        <v>948</v>
      </c>
      <c r="H268" s="14">
        <f>VLOOKUP(Table4[[#This Row],[Shortname]], Comp[], 7, FALSE)</f>
        <v>88</v>
      </c>
      <c r="I268">
        <f>VLOOKUP(Table4[[#This Row],[Shortname]], Comp[], 8, FALSE)</f>
        <v>0</v>
      </c>
      <c r="J268">
        <f>VLOOKUP(Table4[[#This Row],[Shortname]], Comp[], 9, FALSE)</f>
        <v>7</v>
      </c>
      <c r="K268">
        <f>VLOOKUP(Table4[[#This Row],[Shortname]], Comp[], 10, FALSE)</f>
        <v>0</v>
      </c>
      <c r="L268">
        <f>VLOOKUP(Table4[[#This Row],[Shortname]], Comp[], 11, FALSE)</f>
        <v>5</v>
      </c>
      <c r="M268">
        <f>VLOOKUP(Table4[[#This Row],[Shortname]], Comp[],12, FALSE)</f>
        <v>0</v>
      </c>
      <c r="N268">
        <f>VLOOKUP(Table4[[#This Row],[Shortname]], Comp[], 13, FALSE)</f>
        <v>0</v>
      </c>
      <c r="O268">
        <f>VLOOKUP(Table4[[#This Row],[Shortname]], Comp[], 14, FALSE)</f>
        <v>0</v>
      </c>
      <c r="P268">
        <f>VLOOKUP(Table4[[#This Row],[Shortname]], Comp[], 15, FALSE)</f>
        <v>0</v>
      </c>
      <c r="Q268">
        <f>VLOOKUP(Table4[[#This Row],[Shortname]], Comp[], 16, FALSE)</f>
        <v>0</v>
      </c>
      <c r="R268">
        <f>VLOOKUP(Table4[[#This Row],[Shortname]], Comp[], 17, FALSE)</f>
        <v>0</v>
      </c>
      <c r="S268">
        <f>VLOOKUP(Table4[[#This Row],[Shortname]], Comp[], 18, FALSE)</f>
        <v>0</v>
      </c>
      <c r="T268">
        <f>VLOOKUP(Table4[[#This Row],[Shortname]], Comp[], 19, FALSE)</f>
        <v>0</v>
      </c>
      <c r="U268">
        <f>VLOOKUP(Table4[[#This Row],[Shortname]], Comp[], 20, FALSE)</f>
        <v>0</v>
      </c>
      <c r="V268">
        <f>VLOOKUP(Table4[[#This Row],[Shortname]], Comp[], 21, FALSE)</f>
        <v>0</v>
      </c>
      <c r="W268">
        <f>VLOOKUP(Table4[[#This Row],[Shortname]], Comp[], 22, FALSE)</f>
        <v>0</v>
      </c>
      <c r="X268">
        <f>VLOOKUP(Table4[[#This Row],[Shortname]], Comp[], 23, FALSE)</f>
        <v>0</v>
      </c>
      <c r="Y268">
        <f>VLOOKUP(Table4[[#This Row],[Shortname]], Comp[], 24, FALSE)</f>
        <v>0</v>
      </c>
      <c r="Z268">
        <f>VLOOKUP(Table4[[#This Row],[Shortname]], Comp[], 25, FALSE)</f>
        <v>0</v>
      </c>
      <c r="AA268">
        <f>VLOOKUP(Table4[[#This Row],[Shortname]], Comp[], 26, FALSE)</f>
        <v>0</v>
      </c>
      <c r="AB268">
        <f>VLOOKUP(Table4[[#This Row],[Shortname]], Comp[], 27, FALSE)</f>
        <v>0</v>
      </c>
      <c r="AC268">
        <f>VLOOKUP(Table4[[#This Row],[Shortname]], Comp[], 28, FALSE)</f>
        <v>0</v>
      </c>
      <c r="AD268">
        <f>VLOOKUP(Table4[[#This Row],[Shortname]], Comp[], 29, FALSE)</f>
        <v>0</v>
      </c>
      <c r="AE268">
        <f>VLOOKUP(Table4[[#This Row],[Shortname]], Comp[], 30, FALSE)</f>
        <v>0</v>
      </c>
      <c r="AF268">
        <f>VLOOKUP(Table4[[#This Row],[Shortname]], Comp[], 31, FALSE)</f>
        <v>0</v>
      </c>
    </row>
    <row r="269" spans="1:32" x14ac:dyDescent="0.3">
      <c r="A269" s="38" t="s">
        <v>5951</v>
      </c>
      <c r="B269" s="38" t="s">
        <v>5952</v>
      </c>
      <c r="C269" s="39" t="s">
        <v>5939</v>
      </c>
      <c r="D269" s="12">
        <v>25</v>
      </c>
      <c r="E269" s="12">
        <v>900</v>
      </c>
      <c r="F269">
        <v>370</v>
      </c>
      <c r="G269">
        <f>VLOOKUP(Table4[[#This Row],[Shortname]], Comp[], 6, FALSE)</f>
        <v>959</v>
      </c>
      <c r="H269" s="14">
        <f>VLOOKUP(Table4[[#This Row],[Shortname]], Comp[], 7, FALSE)</f>
        <v>45.2</v>
      </c>
      <c r="I269">
        <f>VLOOKUP(Table4[[#This Row],[Shortname]], Comp[], 8, FALSE)</f>
        <v>29.3</v>
      </c>
      <c r="J269">
        <f>VLOOKUP(Table4[[#This Row],[Shortname]], Comp[], 9, FALSE)</f>
        <v>4.7</v>
      </c>
      <c r="K269">
        <f>VLOOKUP(Table4[[#This Row],[Shortname]], Comp[], 10, FALSE)</f>
        <v>15.5</v>
      </c>
      <c r="L269">
        <f>VLOOKUP(Table4[[#This Row],[Shortname]], Comp[], 11, FALSE)</f>
        <v>0</v>
      </c>
      <c r="M269">
        <f>VLOOKUP(Table4[[#This Row],[Shortname]], Comp[],12, FALSE)</f>
        <v>5.3</v>
      </c>
      <c r="N269">
        <f>VLOOKUP(Table4[[#This Row],[Shortname]], Comp[], 13, FALSE)</f>
        <v>0</v>
      </c>
      <c r="O269">
        <f>VLOOKUP(Table4[[#This Row],[Shortname]], Comp[], 14, FALSE)</f>
        <v>0</v>
      </c>
      <c r="P269">
        <f>VLOOKUP(Table4[[#This Row],[Shortname]], Comp[], 15, FALSE)</f>
        <v>0</v>
      </c>
      <c r="Q269">
        <f>VLOOKUP(Table4[[#This Row],[Shortname]], Comp[], 16, FALSE)</f>
        <v>0</v>
      </c>
      <c r="R269">
        <f>VLOOKUP(Table4[[#This Row],[Shortname]], Comp[], 17, FALSE)</f>
        <v>0</v>
      </c>
      <c r="S269">
        <f>VLOOKUP(Table4[[#This Row],[Shortname]], Comp[], 18, FALSE)</f>
        <v>0</v>
      </c>
      <c r="T269">
        <f>VLOOKUP(Table4[[#This Row],[Shortname]], Comp[], 19, FALSE)</f>
        <v>0</v>
      </c>
      <c r="U269">
        <f>VLOOKUP(Table4[[#This Row],[Shortname]], Comp[], 20, FALSE)</f>
        <v>0</v>
      </c>
      <c r="V269">
        <f>VLOOKUP(Table4[[#This Row],[Shortname]], Comp[], 21, FALSE)</f>
        <v>0</v>
      </c>
      <c r="W269">
        <f>VLOOKUP(Table4[[#This Row],[Shortname]], Comp[], 22, FALSE)</f>
        <v>0</v>
      </c>
      <c r="X269">
        <f>VLOOKUP(Table4[[#This Row],[Shortname]], Comp[], 23, FALSE)</f>
        <v>0</v>
      </c>
      <c r="Y269">
        <f>VLOOKUP(Table4[[#This Row],[Shortname]], Comp[], 24, FALSE)</f>
        <v>0</v>
      </c>
      <c r="Z269">
        <f>VLOOKUP(Table4[[#This Row],[Shortname]], Comp[], 25, FALSE)</f>
        <v>0</v>
      </c>
      <c r="AA269">
        <f>VLOOKUP(Table4[[#This Row],[Shortname]], Comp[], 26, FALSE)</f>
        <v>0</v>
      </c>
      <c r="AB269">
        <f>VLOOKUP(Table4[[#This Row],[Shortname]], Comp[], 27, FALSE)</f>
        <v>0</v>
      </c>
      <c r="AC269">
        <f>VLOOKUP(Table4[[#This Row],[Shortname]], Comp[], 28, FALSE)</f>
        <v>0</v>
      </c>
      <c r="AD269">
        <f>VLOOKUP(Table4[[#This Row],[Shortname]], Comp[], 29, FALSE)</f>
        <v>0</v>
      </c>
      <c r="AE269">
        <f>VLOOKUP(Table4[[#This Row],[Shortname]], Comp[], 30, FALSE)</f>
        <v>0</v>
      </c>
      <c r="AF269">
        <f>VLOOKUP(Table4[[#This Row],[Shortname]], Comp[], 31, FALSE)</f>
        <v>0</v>
      </c>
    </row>
    <row r="270" spans="1:32" x14ac:dyDescent="0.3">
      <c r="A270" s="38" t="s">
        <v>5956</v>
      </c>
      <c r="B270" s="38" t="s">
        <v>5957</v>
      </c>
      <c r="C270" s="39" t="s">
        <v>5939</v>
      </c>
      <c r="D270" s="12">
        <v>25</v>
      </c>
      <c r="E270" s="12">
        <v>900</v>
      </c>
      <c r="F270">
        <v>430</v>
      </c>
      <c r="G270">
        <f>VLOOKUP(Table4[[#This Row],[Shortname]], Comp[], 6, FALSE)</f>
        <v>960</v>
      </c>
      <c r="H270" s="14">
        <f>VLOOKUP(Table4[[#This Row],[Shortname]], Comp[], 7, FALSE)</f>
        <v>41.899999999999991</v>
      </c>
      <c r="I270">
        <f>VLOOKUP(Table4[[#This Row],[Shortname]], Comp[], 8, FALSE)</f>
        <v>29.3</v>
      </c>
      <c r="J270">
        <f>VLOOKUP(Table4[[#This Row],[Shortname]], Comp[], 9, FALSE)</f>
        <v>6.4</v>
      </c>
      <c r="K270">
        <f>VLOOKUP(Table4[[#This Row],[Shortname]], Comp[], 10, FALSE)</f>
        <v>15.2</v>
      </c>
      <c r="L270">
        <f>VLOOKUP(Table4[[#This Row],[Shortname]], Comp[], 11, FALSE)</f>
        <v>0</v>
      </c>
      <c r="M270">
        <f>VLOOKUP(Table4[[#This Row],[Shortname]], Comp[],12, FALSE)</f>
        <v>5.0999999999999996</v>
      </c>
      <c r="N270">
        <f>VLOOKUP(Table4[[#This Row],[Shortname]], Comp[], 13, FALSE)</f>
        <v>2.1</v>
      </c>
      <c r="O270">
        <f>VLOOKUP(Table4[[#This Row],[Shortname]], Comp[], 14, FALSE)</f>
        <v>0</v>
      </c>
      <c r="P270">
        <f>VLOOKUP(Table4[[#This Row],[Shortname]], Comp[], 15, FALSE)</f>
        <v>0</v>
      </c>
      <c r="Q270">
        <f>VLOOKUP(Table4[[#This Row],[Shortname]], Comp[], 16, FALSE)</f>
        <v>0</v>
      </c>
      <c r="R270">
        <f>VLOOKUP(Table4[[#This Row],[Shortname]], Comp[], 17, FALSE)</f>
        <v>0</v>
      </c>
      <c r="S270">
        <f>VLOOKUP(Table4[[#This Row],[Shortname]], Comp[], 18, FALSE)</f>
        <v>0</v>
      </c>
      <c r="T270">
        <f>VLOOKUP(Table4[[#This Row],[Shortname]], Comp[], 19, FALSE)</f>
        <v>0</v>
      </c>
      <c r="U270">
        <f>VLOOKUP(Table4[[#This Row],[Shortname]], Comp[], 20, FALSE)</f>
        <v>0</v>
      </c>
      <c r="V270">
        <f>VLOOKUP(Table4[[#This Row],[Shortname]], Comp[], 21, FALSE)</f>
        <v>0</v>
      </c>
      <c r="W270">
        <f>VLOOKUP(Table4[[#This Row],[Shortname]], Comp[], 22, FALSE)</f>
        <v>0</v>
      </c>
      <c r="X270">
        <f>VLOOKUP(Table4[[#This Row],[Shortname]], Comp[], 23, FALSE)</f>
        <v>0</v>
      </c>
      <c r="Y270">
        <f>VLOOKUP(Table4[[#This Row],[Shortname]], Comp[], 24, FALSE)</f>
        <v>0</v>
      </c>
      <c r="Z270">
        <f>VLOOKUP(Table4[[#This Row],[Shortname]], Comp[], 25, FALSE)</f>
        <v>0</v>
      </c>
      <c r="AA270">
        <f>VLOOKUP(Table4[[#This Row],[Shortname]], Comp[], 26, FALSE)</f>
        <v>0</v>
      </c>
      <c r="AB270">
        <f>VLOOKUP(Table4[[#This Row],[Shortname]], Comp[], 27, FALSE)</f>
        <v>0</v>
      </c>
      <c r="AC270">
        <f>VLOOKUP(Table4[[#This Row],[Shortname]], Comp[], 28, FALSE)</f>
        <v>0</v>
      </c>
      <c r="AD270">
        <f>VLOOKUP(Table4[[#This Row],[Shortname]], Comp[], 29, FALSE)</f>
        <v>0</v>
      </c>
      <c r="AE270">
        <f>VLOOKUP(Table4[[#This Row],[Shortname]], Comp[], 30, FALSE)</f>
        <v>0</v>
      </c>
      <c r="AF270">
        <f>VLOOKUP(Table4[[#This Row],[Shortname]], Comp[], 31, FALSE)</f>
        <v>0</v>
      </c>
    </row>
    <row r="271" spans="1:32" x14ac:dyDescent="0.3">
      <c r="A271" s="38" t="s">
        <v>5951</v>
      </c>
      <c r="B271" s="38" t="s">
        <v>5952</v>
      </c>
      <c r="C271" s="39" t="s">
        <v>5939</v>
      </c>
      <c r="D271" s="12">
        <v>25</v>
      </c>
      <c r="E271" s="12">
        <v>750</v>
      </c>
      <c r="F271">
        <v>420</v>
      </c>
      <c r="G271">
        <f>VLOOKUP(Table4[[#This Row],[Shortname]], Comp[], 6, FALSE)</f>
        <v>959</v>
      </c>
      <c r="H271" s="14">
        <f>VLOOKUP(Table4[[#This Row],[Shortname]], Comp[], 7, FALSE)</f>
        <v>45.2</v>
      </c>
      <c r="I271">
        <f>VLOOKUP(Table4[[#This Row],[Shortname]], Comp[], 8, FALSE)</f>
        <v>29.3</v>
      </c>
      <c r="J271">
        <f>VLOOKUP(Table4[[#This Row],[Shortname]], Comp[], 9, FALSE)</f>
        <v>4.7</v>
      </c>
      <c r="K271">
        <f>VLOOKUP(Table4[[#This Row],[Shortname]], Comp[], 10, FALSE)</f>
        <v>15.5</v>
      </c>
      <c r="L271">
        <f>VLOOKUP(Table4[[#This Row],[Shortname]], Comp[], 11, FALSE)</f>
        <v>0</v>
      </c>
      <c r="M271">
        <f>VLOOKUP(Table4[[#This Row],[Shortname]], Comp[],12, FALSE)</f>
        <v>5.3</v>
      </c>
      <c r="N271">
        <f>VLOOKUP(Table4[[#This Row],[Shortname]], Comp[], 13, FALSE)</f>
        <v>0</v>
      </c>
      <c r="O271">
        <f>VLOOKUP(Table4[[#This Row],[Shortname]], Comp[], 14, FALSE)</f>
        <v>0</v>
      </c>
      <c r="P271">
        <f>VLOOKUP(Table4[[#This Row],[Shortname]], Comp[], 15, FALSE)</f>
        <v>0</v>
      </c>
      <c r="Q271">
        <f>VLOOKUP(Table4[[#This Row],[Shortname]], Comp[], 16, FALSE)</f>
        <v>0</v>
      </c>
      <c r="R271">
        <f>VLOOKUP(Table4[[#This Row],[Shortname]], Comp[], 17, FALSE)</f>
        <v>0</v>
      </c>
      <c r="S271">
        <f>VLOOKUP(Table4[[#This Row],[Shortname]], Comp[], 18, FALSE)</f>
        <v>0</v>
      </c>
      <c r="T271">
        <f>VLOOKUP(Table4[[#This Row],[Shortname]], Comp[], 19, FALSE)</f>
        <v>0</v>
      </c>
      <c r="U271">
        <f>VLOOKUP(Table4[[#This Row],[Shortname]], Comp[], 20, FALSE)</f>
        <v>0</v>
      </c>
      <c r="V271">
        <f>VLOOKUP(Table4[[#This Row],[Shortname]], Comp[], 21, FALSE)</f>
        <v>0</v>
      </c>
      <c r="W271">
        <f>VLOOKUP(Table4[[#This Row],[Shortname]], Comp[], 22, FALSE)</f>
        <v>0</v>
      </c>
      <c r="X271">
        <f>VLOOKUP(Table4[[#This Row],[Shortname]], Comp[], 23, FALSE)</f>
        <v>0</v>
      </c>
      <c r="Y271">
        <f>VLOOKUP(Table4[[#This Row],[Shortname]], Comp[], 24, FALSE)</f>
        <v>0</v>
      </c>
      <c r="Z271">
        <f>VLOOKUP(Table4[[#This Row],[Shortname]], Comp[], 25, FALSE)</f>
        <v>0</v>
      </c>
      <c r="AA271">
        <f>VLOOKUP(Table4[[#This Row],[Shortname]], Comp[], 26, FALSE)</f>
        <v>0</v>
      </c>
      <c r="AB271">
        <f>VLOOKUP(Table4[[#This Row],[Shortname]], Comp[], 27, FALSE)</f>
        <v>0</v>
      </c>
      <c r="AC271">
        <f>VLOOKUP(Table4[[#This Row],[Shortname]], Comp[], 28, FALSE)</f>
        <v>0</v>
      </c>
      <c r="AD271">
        <f>VLOOKUP(Table4[[#This Row],[Shortname]], Comp[], 29, FALSE)</f>
        <v>0</v>
      </c>
      <c r="AE271">
        <f>VLOOKUP(Table4[[#This Row],[Shortname]], Comp[], 30, FALSE)</f>
        <v>0</v>
      </c>
      <c r="AF271">
        <f>VLOOKUP(Table4[[#This Row],[Shortname]], Comp[], 31, FALSE)</f>
        <v>0</v>
      </c>
    </row>
    <row r="272" spans="1:32" x14ac:dyDescent="0.3">
      <c r="A272" s="38" t="s">
        <v>5956</v>
      </c>
      <c r="B272" s="38" t="s">
        <v>5957</v>
      </c>
      <c r="C272" s="39" t="s">
        <v>5939</v>
      </c>
      <c r="D272" s="12">
        <v>25</v>
      </c>
      <c r="E272" s="12">
        <v>750</v>
      </c>
      <c r="F272">
        <v>500</v>
      </c>
      <c r="G272">
        <f>VLOOKUP(Table4[[#This Row],[Shortname]], Comp[], 6, FALSE)</f>
        <v>960</v>
      </c>
      <c r="H272" s="14">
        <f>VLOOKUP(Table4[[#This Row],[Shortname]], Comp[], 7, FALSE)</f>
        <v>41.899999999999991</v>
      </c>
      <c r="I272">
        <f>VLOOKUP(Table4[[#This Row],[Shortname]], Comp[], 8, FALSE)</f>
        <v>29.3</v>
      </c>
      <c r="J272">
        <f>VLOOKUP(Table4[[#This Row],[Shortname]], Comp[], 9, FALSE)</f>
        <v>6.4</v>
      </c>
      <c r="K272">
        <f>VLOOKUP(Table4[[#This Row],[Shortname]], Comp[], 10, FALSE)</f>
        <v>15.2</v>
      </c>
      <c r="L272">
        <f>VLOOKUP(Table4[[#This Row],[Shortname]], Comp[], 11, FALSE)</f>
        <v>0</v>
      </c>
      <c r="M272">
        <f>VLOOKUP(Table4[[#This Row],[Shortname]], Comp[],12, FALSE)</f>
        <v>5.0999999999999996</v>
      </c>
      <c r="N272">
        <f>VLOOKUP(Table4[[#This Row],[Shortname]], Comp[], 13, FALSE)</f>
        <v>2.1</v>
      </c>
      <c r="O272">
        <f>VLOOKUP(Table4[[#This Row],[Shortname]], Comp[], 14, FALSE)</f>
        <v>0</v>
      </c>
      <c r="P272">
        <f>VLOOKUP(Table4[[#This Row],[Shortname]], Comp[], 15, FALSE)</f>
        <v>0</v>
      </c>
      <c r="Q272">
        <f>VLOOKUP(Table4[[#This Row],[Shortname]], Comp[], 16, FALSE)</f>
        <v>0</v>
      </c>
      <c r="R272">
        <f>VLOOKUP(Table4[[#This Row],[Shortname]], Comp[], 17, FALSE)</f>
        <v>0</v>
      </c>
      <c r="S272">
        <f>VLOOKUP(Table4[[#This Row],[Shortname]], Comp[], 18, FALSE)</f>
        <v>0</v>
      </c>
      <c r="T272">
        <f>VLOOKUP(Table4[[#This Row],[Shortname]], Comp[], 19, FALSE)</f>
        <v>0</v>
      </c>
      <c r="U272">
        <f>VLOOKUP(Table4[[#This Row],[Shortname]], Comp[], 20, FALSE)</f>
        <v>0</v>
      </c>
      <c r="V272">
        <f>VLOOKUP(Table4[[#This Row],[Shortname]], Comp[], 21, FALSE)</f>
        <v>0</v>
      </c>
      <c r="W272">
        <f>VLOOKUP(Table4[[#This Row],[Shortname]], Comp[], 22, FALSE)</f>
        <v>0</v>
      </c>
      <c r="X272">
        <f>VLOOKUP(Table4[[#This Row],[Shortname]], Comp[], 23, FALSE)</f>
        <v>0</v>
      </c>
      <c r="Y272">
        <f>VLOOKUP(Table4[[#This Row],[Shortname]], Comp[], 24, FALSE)</f>
        <v>0</v>
      </c>
      <c r="Z272">
        <f>VLOOKUP(Table4[[#This Row],[Shortname]], Comp[], 25, FALSE)</f>
        <v>0</v>
      </c>
      <c r="AA272">
        <f>VLOOKUP(Table4[[#This Row],[Shortname]], Comp[], 26, FALSE)</f>
        <v>0</v>
      </c>
      <c r="AB272">
        <f>VLOOKUP(Table4[[#This Row],[Shortname]], Comp[], 27, FALSE)</f>
        <v>0</v>
      </c>
      <c r="AC272">
        <f>VLOOKUP(Table4[[#This Row],[Shortname]], Comp[], 28, FALSE)</f>
        <v>0</v>
      </c>
      <c r="AD272">
        <f>VLOOKUP(Table4[[#This Row],[Shortname]], Comp[], 29, FALSE)</f>
        <v>0</v>
      </c>
      <c r="AE272">
        <f>VLOOKUP(Table4[[#This Row],[Shortname]], Comp[], 30, FALSE)</f>
        <v>0</v>
      </c>
      <c r="AF272">
        <f>VLOOKUP(Table4[[#This Row],[Shortname]], Comp[], 31, FALSE)</f>
        <v>0</v>
      </c>
    </row>
    <row r="273" spans="1:32" x14ac:dyDescent="0.3">
      <c r="A273" s="38" t="s">
        <v>5959</v>
      </c>
      <c r="B273" s="38" t="s">
        <v>5960</v>
      </c>
      <c r="C273" s="39" t="s">
        <v>5961</v>
      </c>
      <c r="D273" s="12">
        <v>25</v>
      </c>
      <c r="E273" s="12">
        <v>900</v>
      </c>
      <c r="F273">
        <v>343</v>
      </c>
      <c r="G273">
        <f>VLOOKUP(Table4[[#This Row],[Shortname]], Comp[], 6, FALSE)</f>
        <v>961</v>
      </c>
      <c r="H273" s="14">
        <f>VLOOKUP(Table4[[#This Row],[Shortname]], Comp[], 7, FALSE)</f>
        <v>40.4</v>
      </c>
      <c r="I273">
        <f>VLOOKUP(Table4[[#This Row],[Shortname]], Comp[], 8, FALSE)</f>
        <v>34</v>
      </c>
      <c r="J273">
        <f>VLOOKUP(Table4[[#This Row],[Shortname]], Comp[], 9, FALSE)</f>
        <v>4.5</v>
      </c>
      <c r="K273">
        <f>VLOOKUP(Table4[[#This Row],[Shortname]], Comp[], 10, FALSE)</f>
        <v>15.6</v>
      </c>
      <c r="L273">
        <f>VLOOKUP(Table4[[#This Row],[Shortname]], Comp[], 11, FALSE)</f>
        <v>0</v>
      </c>
      <c r="M273">
        <f>VLOOKUP(Table4[[#This Row],[Shortname]], Comp[],12, FALSE)</f>
        <v>5.5</v>
      </c>
      <c r="N273">
        <f>VLOOKUP(Table4[[#This Row],[Shortname]], Comp[], 13, FALSE)</f>
        <v>0</v>
      </c>
      <c r="O273">
        <f>VLOOKUP(Table4[[#This Row],[Shortname]], Comp[], 14, FALSE)</f>
        <v>0</v>
      </c>
      <c r="P273">
        <f>VLOOKUP(Table4[[#This Row],[Shortname]], Comp[], 15, FALSE)</f>
        <v>0</v>
      </c>
      <c r="Q273">
        <f>VLOOKUP(Table4[[#This Row],[Shortname]], Comp[], 16, FALSE)</f>
        <v>0</v>
      </c>
      <c r="R273">
        <f>VLOOKUP(Table4[[#This Row],[Shortname]], Comp[], 17, FALSE)</f>
        <v>0</v>
      </c>
      <c r="S273">
        <f>VLOOKUP(Table4[[#This Row],[Shortname]], Comp[], 18, FALSE)</f>
        <v>0</v>
      </c>
      <c r="T273">
        <f>VLOOKUP(Table4[[#This Row],[Shortname]], Comp[], 19, FALSE)</f>
        <v>0</v>
      </c>
      <c r="U273">
        <f>VLOOKUP(Table4[[#This Row],[Shortname]], Comp[], 20, FALSE)</f>
        <v>0</v>
      </c>
      <c r="V273">
        <f>VLOOKUP(Table4[[#This Row],[Shortname]], Comp[], 21, FALSE)</f>
        <v>0</v>
      </c>
      <c r="W273">
        <f>VLOOKUP(Table4[[#This Row],[Shortname]], Comp[], 22, FALSE)</f>
        <v>0</v>
      </c>
      <c r="X273">
        <f>VLOOKUP(Table4[[#This Row],[Shortname]], Comp[], 23, FALSE)</f>
        <v>0</v>
      </c>
      <c r="Y273">
        <f>VLOOKUP(Table4[[#This Row],[Shortname]], Comp[], 24, FALSE)</f>
        <v>0</v>
      </c>
      <c r="Z273">
        <f>VLOOKUP(Table4[[#This Row],[Shortname]], Comp[], 25, FALSE)</f>
        <v>0</v>
      </c>
      <c r="AA273">
        <f>VLOOKUP(Table4[[#This Row],[Shortname]], Comp[], 26, FALSE)</f>
        <v>0</v>
      </c>
      <c r="AB273">
        <f>VLOOKUP(Table4[[#This Row],[Shortname]], Comp[], 27, FALSE)</f>
        <v>0</v>
      </c>
      <c r="AC273">
        <f>VLOOKUP(Table4[[#This Row],[Shortname]], Comp[], 28, FALSE)</f>
        <v>0</v>
      </c>
      <c r="AD273">
        <f>VLOOKUP(Table4[[#This Row],[Shortname]], Comp[], 29, FALSE)</f>
        <v>0</v>
      </c>
      <c r="AE273">
        <f>VLOOKUP(Table4[[#This Row],[Shortname]], Comp[], 30, FALSE)</f>
        <v>0</v>
      </c>
      <c r="AF273">
        <f>VLOOKUP(Table4[[#This Row],[Shortname]], Comp[], 31, FALSE)</f>
        <v>0</v>
      </c>
    </row>
    <row r="274" spans="1:32" x14ac:dyDescent="0.3">
      <c r="A274" s="38" t="s">
        <v>5965</v>
      </c>
      <c r="B274" s="38" t="s">
        <v>5966</v>
      </c>
      <c r="C274" s="39" t="s">
        <v>5961</v>
      </c>
      <c r="D274" s="12">
        <v>25</v>
      </c>
      <c r="E274" s="12">
        <v>900</v>
      </c>
      <c r="F274">
        <v>422</v>
      </c>
      <c r="G274">
        <f>VLOOKUP(Table4[[#This Row],[Shortname]], Comp[], 6, FALSE)</f>
        <v>962</v>
      </c>
      <c r="H274" s="14">
        <f>VLOOKUP(Table4[[#This Row],[Shortname]], Comp[], 7, FALSE)</f>
        <v>38.4</v>
      </c>
      <c r="I274">
        <f>VLOOKUP(Table4[[#This Row],[Shortname]], Comp[], 8, FALSE)</f>
        <v>34.299999999999997</v>
      </c>
      <c r="J274">
        <f>VLOOKUP(Table4[[#This Row],[Shortname]], Comp[], 9, FALSE)</f>
        <v>4.7</v>
      </c>
      <c r="K274">
        <f>VLOOKUP(Table4[[#This Row],[Shortname]], Comp[], 10, FALSE)</f>
        <v>15.6</v>
      </c>
      <c r="L274">
        <f>VLOOKUP(Table4[[#This Row],[Shortname]], Comp[], 11, FALSE)</f>
        <v>0</v>
      </c>
      <c r="M274">
        <f>VLOOKUP(Table4[[#This Row],[Shortname]], Comp[],12, FALSE)</f>
        <v>5.0999999999999996</v>
      </c>
      <c r="N274">
        <f>VLOOKUP(Table4[[#This Row],[Shortname]], Comp[], 13, FALSE)</f>
        <v>1.9</v>
      </c>
      <c r="O274">
        <f>VLOOKUP(Table4[[#This Row],[Shortname]], Comp[], 14, FALSE)</f>
        <v>0</v>
      </c>
      <c r="P274">
        <f>VLOOKUP(Table4[[#This Row],[Shortname]], Comp[], 15, FALSE)</f>
        <v>0</v>
      </c>
      <c r="Q274">
        <f>VLOOKUP(Table4[[#This Row],[Shortname]], Comp[], 16, FALSE)</f>
        <v>0</v>
      </c>
      <c r="R274">
        <f>VLOOKUP(Table4[[#This Row],[Shortname]], Comp[], 17, FALSE)</f>
        <v>0</v>
      </c>
      <c r="S274">
        <f>VLOOKUP(Table4[[#This Row],[Shortname]], Comp[], 18, FALSE)</f>
        <v>0</v>
      </c>
      <c r="T274">
        <f>VLOOKUP(Table4[[#This Row],[Shortname]], Comp[], 19, FALSE)</f>
        <v>0</v>
      </c>
      <c r="U274">
        <f>VLOOKUP(Table4[[#This Row],[Shortname]], Comp[], 20, FALSE)</f>
        <v>0</v>
      </c>
      <c r="V274">
        <f>VLOOKUP(Table4[[#This Row],[Shortname]], Comp[], 21, FALSE)</f>
        <v>0</v>
      </c>
      <c r="W274">
        <f>VLOOKUP(Table4[[#This Row],[Shortname]], Comp[], 22, FALSE)</f>
        <v>0</v>
      </c>
      <c r="X274">
        <f>VLOOKUP(Table4[[#This Row],[Shortname]], Comp[], 23, FALSE)</f>
        <v>0</v>
      </c>
      <c r="Y274">
        <f>VLOOKUP(Table4[[#This Row],[Shortname]], Comp[], 24, FALSE)</f>
        <v>0</v>
      </c>
      <c r="Z274">
        <f>VLOOKUP(Table4[[#This Row],[Shortname]], Comp[], 25, FALSE)</f>
        <v>0</v>
      </c>
      <c r="AA274">
        <f>VLOOKUP(Table4[[#This Row],[Shortname]], Comp[], 26, FALSE)</f>
        <v>0</v>
      </c>
      <c r="AB274">
        <f>VLOOKUP(Table4[[#This Row],[Shortname]], Comp[], 27, FALSE)</f>
        <v>0</v>
      </c>
      <c r="AC274">
        <f>VLOOKUP(Table4[[#This Row],[Shortname]], Comp[], 28, FALSE)</f>
        <v>0</v>
      </c>
      <c r="AD274">
        <f>VLOOKUP(Table4[[#This Row],[Shortname]], Comp[], 29, FALSE)</f>
        <v>0</v>
      </c>
      <c r="AE274">
        <f>VLOOKUP(Table4[[#This Row],[Shortname]], Comp[], 30, FALSE)</f>
        <v>0</v>
      </c>
      <c r="AF274">
        <f>VLOOKUP(Table4[[#This Row],[Shortname]], Comp[], 31, FALSE)</f>
        <v>0</v>
      </c>
    </row>
    <row r="275" spans="1:32" x14ac:dyDescent="0.3">
      <c r="A275" s="38" t="s">
        <v>5969</v>
      </c>
      <c r="B275" s="38" t="s">
        <v>5970</v>
      </c>
      <c r="C275" s="39" t="s">
        <v>5961</v>
      </c>
      <c r="D275" s="12">
        <v>25</v>
      </c>
      <c r="E275" s="12">
        <v>900</v>
      </c>
      <c r="F275">
        <v>391</v>
      </c>
      <c r="G275">
        <f>VLOOKUP(Table4[[#This Row],[Shortname]], Comp[], 6, FALSE)</f>
        <v>963</v>
      </c>
      <c r="H275" s="14">
        <f>VLOOKUP(Table4[[#This Row],[Shortname]], Comp[], 7, FALSE)</f>
        <v>38.6</v>
      </c>
      <c r="I275">
        <f>VLOOKUP(Table4[[#This Row],[Shortname]], Comp[], 8, FALSE)</f>
        <v>34.700000000000003</v>
      </c>
      <c r="J275">
        <f>VLOOKUP(Table4[[#This Row],[Shortname]], Comp[], 9, FALSE)</f>
        <v>4.5</v>
      </c>
      <c r="K275">
        <f>VLOOKUP(Table4[[#This Row],[Shortname]], Comp[], 10, FALSE)</f>
        <v>15.5</v>
      </c>
      <c r="L275">
        <f>VLOOKUP(Table4[[#This Row],[Shortname]], Comp[], 11, FALSE)</f>
        <v>0</v>
      </c>
      <c r="M275">
        <f>VLOOKUP(Table4[[#This Row],[Shortname]], Comp[],12, FALSE)</f>
        <v>4.9000000000000004</v>
      </c>
      <c r="N275">
        <f>VLOOKUP(Table4[[#This Row],[Shortname]], Comp[], 13, FALSE)</f>
        <v>0</v>
      </c>
      <c r="O275">
        <f>VLOOKUP(Table4[[#This Row],[Shortname]], Comp[], 14, FALSE)</f>
        <v>1.8</v>
      </c>
      <c r="P275">
        <f>VLOOKUP(Table4[[#This Row],[Shortname]], Comp[], 15, FALSE)</f>
        <v>0</v>
      </c>
      <c r="Q275">
        <f>VLOOKUP(Table4[[#This Row],[Shortname]], Comp[], 16, FALSE)</f>
        <v>0</v>
      </c>
      <c r="R275">
        <f>VLOOKUP(Table4[[#This Row],[Shortname]], Comp[], 17, FALSE)</f>
        <v>0</v>
      </c>
      <c r="S275">
        <f>VLOOKUP(Table4[[#This Row],[Shortname]], Comp[], 18, FALSE)</f>
        <v>0</v>
      </c>
      <c r="T275">
        <f>VLOOKUP(Table4[[#This Row],[Shortname]], Comp[], 19, FALSE)</f>
        <v>0</v>
      </c>
      <c r="U275">
        <f>VLOOKUP(Table4[[#This Row],[Shortname]], Comp[], 20, FALSE)</f>
        <v>0</v>
      </c>
      <c r="V275">
        <f>VLOOKUP(Table4[[#This Row],[Shortname]], Comp[], 21, FALSE)</f>
        <v>0</v>
      </c>
      <c r="W275">
        <f>VLOOKUP(Table4[[#This Row],[Shortname]], Comp[], 22, FALSE)</f>
        <v>0</v>
      </c>
      <c r="X275">
        <f>VLOOKUP(Table4[[#This Row],[Shortname]], Comp[], 23, FALSE)</f>
        <v>0</v>
      </c>
      <c r="Y275">
        <f>VLOOKUP(Table4[[#This Row],[Shortname]], Comp[], 24, FALSE)</f>
        <v>0</v>
      </c>
      <c r="Z275">
        <f>VLOOKUP(Table4[[#This Row],[Shortname]], Comp[], 25, FALSE)</f>
        <v>0</v>
      </c>
      <c r="AA275">
        <f>VLOOKUP(Table4[[#This Row],[Shortname]], Comp[], 26, FALSE)</f>
        <v>0</v>
      </c>
      <c r="AB275">
        <f>VLOOKUP(Table4[[#This Row],[Shortname]], Comp[], 27, FALSE)</f>
        <v>0</v>
      </c>
      <c r="AC275">
        <f>VLOOKUP(Table4[[#This Row],[Shortname]], Comp[], 28, FALSE)</f>
        <v>0</v>
      </c>
      <c r="AD275">
        <f>VLOOKUP(Table4[[#This Row],[Shortname]], Comp[], 29, FALSE)</f>
        <v>0</v>
      </c>
      <c r="AE275">
        <f>VLOOKUP(Table4[[#This Row],[Shortname]], Comp[], 30, FALSE)</f>
        <v>0</v>
      </c>
      <c r="AF275">
        <f>VLOOKUP(Table4[[#This Row],[Shortname]], Comp[], 31, FALSE)</f>
        <v>0</v>
      </c>
    </row>
    <row r="276" spans="1:32" x14ac:dyDescent="0.3">
      <c r="A276" s="38" t="s">
        <v>5973</v>
      </c>
      <c r="B276" s="38" t="s">
        <v>5974</v>
      </c>
      <c r="C276" s="39" t="s">
        <v>5961</v>
      </c>
      <c r="D276" s="12">
        <v>25</v>
      </c>
      <c r="E276" s="12">
        <v>900</v>
      </c>
      <c r="F276">
        <v>395</v>
      </c>
      <c r="G276">
        <f>VLOOKUP(Table4[[#This Row],[Shortname]], Comp[], 6, FALSE)</f>
        <v>964</v>
      </c>
      <c r="H276" s="14">
        <f>VLOOKUP(Table4[[#This Row],[Shortname]], Comp[], 7, FALSE)</f>
        <v>37.5</v>
      </c>
      <c r="I276">
        <f>VLOOKUP(Table4[[#This Row],[Shortname]], Comp[], 8, FALSE)</f>
        <v>34.6</v>
      </c>
      <c r="J276">
        <f>VLOOKUP(Table4[[#This Row],[Shortname]], Comp[], 9, FALSE)</f>
        <v>4.4000000000000004</v>
      </c>
      <c r="K276">
        <f>VLOOKUP(Table4[[#This Row],[Shortname]], Comp[], 10, FALSE)</f>
        <v>15.4</v>
      </c>
      <c r="L276">
        <f>VLOOKUP(Table4[[#This Row],[Shortname]], Comp[], 11, FALSE)</f>
        <v>0.9</v>
      </c>
      <c r="M276">
        <f>VLOOKUP(Table4[[#This Row],[Shortname]], Comp[],12, FALSE)</f>
        <v>5.2</v>
      </c>
      <c r="N276">
        <f>VLOOKUP(Table4[[#This Row],[Shortname]], Comp[], 13, FALSE)</f>
        <v>0</v>
      </c>
      <c r="O276">
        <f>VLOOKUP(Table4[[#This Row],[Shortname]], Comp[], 14, FALSE)</f>
        <v>0</v>
      </c>
      <c r="P276">
        <f>VLOOKUP(Table4[[#This Row],[Shortname]], Comp[], 15, FALSE)</f>
        <v>0</v>
      </c>
      <c r="Q276">
        <f>VLOOKUP(Table4[[#This Row],[Shortname]], Comp[], 16, FALSE)</f>
        <v>2</v>
      </c>
      <c r="R276">
        <f>VLOOKUP(Table4[[#This Row],[Shortname]], Comp[], 17, FALSE)</f>
        <v>0</v>
      </c>
      <c r="S276">
        <f>VLOOKUP(Table4[[#This Row],[Shortname]], Comp[], 18, FALSE)</f>
        <v>0</v>
      </c>
      <c r="T276">
        <f>VLOOKUP(Table4[[#This Row],[Shortname]], Comp[], 19, FALSE)</f>
        <v>0</v>
      </c>
      <c r="U276">
        <f>VLOOKUP(Table4[[#This Row],[Shortname]], Comp[], 20, FALSE)</f>
        <v>0</v>
      </c>
      <c r="V276">
        <f>VLOOKUP(Table4[[#This Row],[Shortname]], Comp[], 21, FALSE)</f>
        <v>0</v>
      </c>
      <c r="W276">
        <f>VLOOKUP(Table4[[#This Row],[Shortname]], Comp[], 22, FALSE)</f>
        <v>0</v>
      </c>
      <c r="X276">
        <f>VLOOKUP(Table4[[#This Row],[Shortname]], Comp[], 23, FALSE)</f>
        <v>0</v>
      </c>
      <c r="Y276">
        <f>VLOOKUP(Table4[[#This Row],[Shortname]], Comp[], 24, FALSE)</f>
        <v>0</v>
      </c>
      <c r="Z276">
        <f>VLOOKUP(Table4[[#This Row],[Shortname]], Comp[], 25, FALSE)</f>
        <v>0</v>
      </c>
      <c r="AA276">
        <f>VLOOKUP(Table4[[#This Row],[Shortname]], Comp[], 26, FALSE)</f>
        <v>0</v>
      </c>
      <c r="AB276">
        <f>VLOOKUP(Table4[[#This Row],[Shortname]], Comp[], 27, FALSE)</f>
        <v>0</v>
      </c>
      <c r="AC276">
        <f>VLOOKUP(Table4[[#This Row],[Shortname]], Comp[], 28, FALSE)</f>
        <v>0</v>
      </c>
      <c r="AD276">
        <f>VLOOKUP(Table4[[#This Row],[Shortname]], Comp[], 29, FALSE)</f>
        <v>0</v>
      </c>
      <c r="AE276">
        <f>VLOOKUP(Table4[[#This Row],[Shortname]], Comp[], 30, FALSE)</f>
        <v>0</v>
      </c>
      <c r="AF276">
        <f>VLOOKUP(Table4[[#This Row],[Shortname]], Comp[], 31, FALSE)</f>
        <v>0</v>
      </c>
    </row>
    <row r="277" spans="1:32" x14ac:dyDescent="0.3">
      <c r="A277" s="38" t="s">
        <v>5979</v>
      </c>
      <c r="B277" s="38" t="s">
        <v>5980</v>
      </c>
      <c r="C277" s="39" t="s">
        <v>5961</v>
      </c>
      <c r="D277" s="12">
        <v>25</v>
      </c>
      <c r="E277" s="12">
        <v>900</v>
      </c>
      <c r="F277">
        <v>349</v>
      </c>
      <c r="G277">
        <f>VLOOKUP(Table4[[#This Row],[Shortname]], Comp[], 6, FALSE)</f>
        <v>965</v>
      </c>
      <c r="H277" s="14">
        <f>VLOOKUP(Table4[[#This Row],[Shortname]], Comp[], 7, FALSE)</f>
        <v>37</v>
      </c>
      <c r="I277">
        <f>VLOOKUP(Table4[[#This Row],[Shortname]], Comp[], 8, FALSE)</f>
        <v>34.799999999999997</v>
      </c>
      <c r="J277">
        <f>VLOOKUP(Table4[[#This Row],[Shortname]], Comp[], 9, FALSE)</f>
        <v>4.7</v>
      </c>
      <c r="K277">
        <f>VLOOKUP(Table4[[#This Row],[Shortname]], Comp[], 10, FALSE)</f>
        <v>15.3</v>
      </c>
      <c r="L277">
        <f>VLOOKUP(Table4[[#This Row],[Shortname]], Comp[], 11, FALSE)</f>
        <v>3.1</v>
      </c>
      <c r="M277">
        <f>VLOOKUP(Table4[[#This Row],[Shortname]], Comp[],12, FALSE)</f>
        <v>5.0999999999999996</v>
      </c>
      <c r="N277">
        <f>VLOOKUP(Table4[[#This Row],[Shortname]], Comp[], 13, FALSE)</f>
        <v>0</v>
      </c>
      <c r="O277">
        <f>VLOOKUP(Table4[[#This Row],[Shortname]], Comp[], 14, FALSE)</f>
        <v>0</v>
      </c>
      <c r="P277">
        <f>VLOOKUP(Table4[[#This Row],[Shortname]], Comp[], 15, FALSE)</f>
        <v>0</v>
      </c>
      <c r="Q277">
        <f>VLOOKUP(Table4[[#This Row],[Shortname]], Comp[], 16, FALSE)</f>
        <v>0</v>
      </c>
      <c r="R277">
        <f>VLOOKUP(Table4[[#This Row],[Shortname]], Comp[], 17, FALSE)</f>
        <v>0</v>
      </c>
      <c r="S277">
        <f>VLOOKUP(Table4[[#This Row],[Shortname]], Comp[], 18, FALSE)</f>
        <v>0</v>
      </c>
      <c r="T277">
        <f>VLOOKUP(Table4[[#This Row],[Shortname]], Comp[], 19, FALSE)</f>
        <v>0</v>
      </c>
      <c r="U277">
        <f>VLOOKUP(Table4[[#This Row],[Shortname]], Comp[], 20, FALSE)</f>
        <v>0</v>
      </c>
      <c r="V277">
        <f>VLOOKUP(Table4[[#This Row],[Shortname]], Comp[], 21, FALSE)</f>
        <v>0</v>
      </c>
      <c r="W277">
        <f>VLOOKUP(Table4[[#This Row],[Shortname]], Comp[], 22, FALSE)</f>
        <v>0</v>
      </c>
      <c r="X277">
        <f>VLOOKUP(Table4[[#This Row],[Shortname]], Comp[], 23, FALSE)</f>
        <v>0</v>
      </c>
      <c r="Y277">
        <f>VLOOKUP(Table4[[#This Row],[Shortname]], Comp[], 24, FALSE)</f>
        <v>0</v>
      </c>
      <c r="Z277">
        <f>VLOOKUP(Table4[[#This Row],[Shortname]], Comp[], 25, FALSE)</f>
        <v>0</v>
      </c>
      <c r="AA277">
        <f>VLOOKUP(Table4[[#This Row],[Shortname]], Comp[], 26, FALSE)</f>
        <v>0</v>
      </c>
      <c r="AB277">
        <f>VLOOKUP(Table4[[#This Row],[Shortname]], Comp[], 27, FALSE)</f>
        <v>0</v>
      </c>
      <c r="AC277">
        <f>VLOOKUP(Table4[[#This Row],[Shortname]], Comp[], 28, FALSE)</f>
        <v>0</v>
      </c>
      <c r="AD277">
        <f>VLOOKUP(Table4[[#This Row],[Shortname]], Comp[], 29, FALSE)</f>
        <v>0</v>
      </c>
      <c r="AE277">
        <f>VLOOKUP(Table4[[#This Row],[Shortname]], Comp[], 30, FALSE)</f>
        <v>0</v>
      </c>
      <c r="AF277">
        <f>VLOOKUP(Table4[[#This Row],[Shortname]], Comp[], 31, FALSE)</f>
        <v>0</v>
      </c>
    </row>
    <row r="278" spans="1:32" x14ac:dyDescent="0.3">
      <c r="A278" s="38" t="s">
        <v>5983</v>
      </c>
      <c r="B278" s="38" t="s">
        <v>5984</v>
      </c>
      <c r="C278" s="39" t="s">
        <v>5961</v>
      </c>
      <c r="D278" s="12">
        <v>25</v>
      </c>
      <c r="E278" s="12">
        <v>900</v>
      </c>
      <c r="F278">
        <v>359</v>
      </c>
      <c r="G278">
        <f>VLOOKUP(Table4[[#This Row],[Shortname]], Comp[], 6, FALSE)</f>
        <v>966</v>
      </c>
      <c r="H278" s="14">
        <f>VLOOKUP(Table4[[#This Row],[Shortname]], Comp[], 7, FALSE)</f>
        <v>34.200000000000003</v>
      </c>
      <c r="I278">
        <f>VLOOKUP(Table4[[#This Row],[Shortname]], Comp[], 8, FALSE)</f>
        <v>36.4</v>
      </c>
      <c r="J278">
        <f>VLOOKUP(Table4[[#This Row],[Shortname]], Comp[], 9, FALSE)</f>
        <v>4.7</v>
      </c>
      <c r="K278">
        <f>VLOOKUP(Table4[[#This Row],[Shortname]], Comp[], 10, FALSE)</f>
        <v>15.2</v>
      </c>
      <c r="L278">
        <f>VLOOKUP(Table4[[#This Row],[Shortname]], Comp[], 11, FALSE)</f>
        <v>1.2</v>
      </c>
      <c r="M278">
        <f>VLOOKUP(Table4[[#This Row],[Shortname]], Comp[],12, FALSE)</f>
        <v>5.2</v>
      </c>
      <c r="N278">
        <f>VLOOKUP(Table4[[#This Row],[Shortname]], Comp[], 13, FALSE)</f>
        <v>1</v>
      </c>
      <c r="O278">
        <f>VLOOKUP(Table4[[#This Row],[Shortname]], Comp[], 14, FALSE)</f>
        <v>0</v>
      </c>
      <c r="P278">
        <f>VLOOKUP(Table4[[#This Row],[Shortname]], Comp[], 15, FALSE)</f>
        <v>0</v>
      </c>
      <c r="Q278">
        <f>VLOOKUP(Table4[[#This Row],[Shortname]], Comp[], 16, FALSE)</f>
        <v>2.1</v>
      </c>
      <c r="R278">
        <f>VLOOKUP(Table4[[#This Row],[Shortname]], Comp[], 17, FALSE)</f>
        <v>0</v>
      </c>
      <c r="S278">
        <f>VLOOKUP(Table4[[#This Row],[Shortname]], Comp[], 18, FALSE)</f>
        <v>0</v>
      </c>
      <c r="T278">
        <f>VLOOKUP(Table4[[#This Row],[Shortname]], Comp[], 19, FALSE)</f>
        <v>0</v>
      </c>
      <c r="U278">
        <f>VLOOKUP(Table4[[#This Row],[Shortname]], Comp[], 20, FALSE)</f>
        <v>0</v>
      </c>
      <c r="V278">
        <f>VLOOKUP(Table4[[#This Row],[Shortname]], Comp[], 21, FALSE)</f>
        <v>0</v>
      </c>
      <c r="W278">
        <f>VLOOKUP(Table4[[#This Row],[Shortname]], Comp[], 22, FALSE)</f>
        <v>0</v>
      </c>
      <c r="X278">
        <f>VLOOKUP(Table4[[#This Row],[Shortname]], Comp[], 23, FALSE)</f>
        <v>0</v>
      </c>
      <c r="Y278">
        <f>VLOOKUP(Table4[[#This Row],[Shortname]], Comp[], 24, FALSE)</f>
        <v>0</v>
      </c>
      <c r="Z278">
        <f>VLOOKUP(Table4[[#This Row],[Shortname]], Comp[], 25, FALSE)</f>
        <v>0</v>
      </c>
      <c r="AA278">
        <f>VLOOKUP(Table4[[#This Row],[Shortname]], Comp[], 26, FALSE)</f>
        <v>0</v>
      </c>
      <c r="AB278">
        <f>VLOOKUP(Table4[[#This Row],[Shortname]], Comp[], 27, FALSE)</f>
        <v>0</v>
      </c>
      <c r="AC278">
        <f>VLOOKUP(Table4[[#This Row],[Shortname]], Comp[], 28, FALSE)</f>
        <v>0</v>
      </c>
      <c r="AD278">
        <f>VLOOKUP(Table4[[#This Row],[Shortname]], Comp[], 29, FALSE)</f>
        <v>0</v>
      </c>
      <c r="AE278">
        <f>VLOOKUP(Table4[[#This Row],[Shortname]], Comp[], 30, FALSE)</f>
        <v>0</v>
      </c>
      <c r="AF278">
        <f>VLOOKUP(Table4[[#This Row],[Shortname]], Comp[], 31, FALSE)</f>
        <v>0</v>
      </c>
    </row>
    <row r="279" spans="1:32" x14ac:dyDescent="0.3">
      <c r="A279" s="38" t="s">
        <v>5988</v>
      </c>
      <c r="B279" s="38" t="s">
        <v>5989</v>
      </c>
      <c r="C279" s="39" t="s">
        <v>5961</v>
      </c>
      <c r="D279" s="12">
        <v>25</v>
      </c>
      <c r="E279" s="12">
        <v>900</v>
      </c>
      <c r="F279">
        <v>383</v>
      </c>
      <c r="G279">
        <f>VLOOKUP(Table4[[#This Row],[Shortname]], Comp[], 6, FALSE)</f>
        <v>967</v>
      </c>
      <c r="H279" s="14">
        <f>VLOOKUP(Table4[[#This Row],[Shortname]], Comp[], 7, FALSE)</f>
        <v>35.100000000000009</v>
      </c>
      <c r="I279">
        <f>VLOOKUP(Table4[[#This Row],[Shortname]], Comp[], 8, FALSE)</f>
        <v>34.4</v>
      </c>
      <c r="J279">
        <f>VLOOKUP(Table4[[#This Row],[Shortname]], Comp[], 9, FALSE)</f>
        <v>4.5</v>
      </c>
      <c r="K279">
        <f>VLOOKUP(Table4[[#This Row],[Shortname]], Comp[], 10, FALSE)</f>
        <v>15.7</v>
      </c>
      <c r="L279">
        <f>VLOOKUP(Table4[[#This Row],[Shortname]], Comp[], 11, FALSE)</f>
        <v>1.1000000000000001</v>
      </c>
      <c r="M279">
        <f>VLOOKUP(Table4[[#This Row],[Shortname]], Comp[],12, FALSE)</f>
        <v>7.4</v>
      </c>
      <c r="N279">
        <f>VLOOKUP(Table4[[#This Row],[Shortname]], Comp[], 13, FALSE)</f>
        <v>0</v>
      </c>
      <c r="O279">
        <f>VLOOKUP(Table4[[#This Row],[Shortname]], Comp[], 14, FALSE)</f>
        <v>0</v>
      </c>
      <c r="P279">
        <f>VLOOKUP(Table4[[#This Row],[Shortname]], Comp[], 15, FALSE)</f>
        <v>0</v>
      </c>
      <c r="Q279">
        <f>VLOOKUP(Table4[[#This Row],[Shortname]], Comp[], 16, FALSE)</f>
        <v>1.8</v>
      </c>
      <c r="R279">
        <f>VLOOKUP(Table4[[#This Row],[Shortname]], Comp[], 17, FALSE)</f>
        <v>0</v>
      </c>
      <c r="S279">
        <f>VLOOKUP(Table4[[#This Row],[Shortname]], Comp[], 18, FALSE)</f>
        <v>0</v>
      </c>
      <c r="T279">
        <f>VLOOKUP(Table4[[#This Row],[Shortname]], Comp[], 19, FALSE)</f>
        <v>0</v>
      </c>
      <c r="U279">
        <f>VLOOKUP(Table4[[#This Row],[Shortname]], Comp[], 20, FALSE)</f>
        <v>0</v>
      </c>
      <c r="V279">
        <f>VLOOKUP(Table4[[#This Row],[Shortname]], Comp[], 21, FALSE)</f>
        <v>0</v>
      </c>
      <c r="W279">
        <f>VLOOKUP(Table4[[#This Row],[Shortname]], Comp[], 22, FALSE)</f>
        <v>0</v>
      </c>
      <c r="X279">
        <f>VLOOKUP(Table4[[#This Row],[Shortname]], Comp[], 23, FALSE)</f>
        <v>0</v>
      </c>
      <c r="Y279">
        <f>VLOOKUP(Table4[[#This Row],[Shortname]], Comp[], 24, FALSE)</f>
        <v>0</v>
      </c>
      <c r="Z279">
        <f>VLOOKUP(Table4[[#This Row],[Shortname]], Comp[], 25, FALSE)</f>
        <v>0</v>
      </c>
      <c r="AA279">
        <f>VLOOKUP(Table4[[#This Row],[Shortname]], Comp[], 26, FALSE)</f>
        <v>0</v>
      </c>
      <c r="AB279">
        <f>VLOOKUP(Table4[[#This Row],[Shortname]], Comp[], 27, FALSE)</f>
        <v>0</v>
      </c>
      <c r="AC279">
        <f>VLOOKUP(Table4[[#This Row],[Shortname]], Comp[], 28, FALSE)</f>
        <v>0</v>
      </c>
      <c r="AD279">
        <f>VLOOKUP(Table4[[#This Row],[Shortname]], Comp[], 29, FALSE)</f>
        <v>0</v>
      </c>
      <c r="AE279">
        <f>VLOOKUP(Table4[[#This Row],[Shortname]], Comp[], 30, FALSE)</f>
        <v>0</v>
      </c>
      <c r="AF279">
        <f>VLOOKUP(Table4[[#This Row],[Shortname]], Comp[], 31, FALSE)</f>
        <v>0</v>
      </c>
    </row>
    <row r="280" spans="1:32" x14ac:dyDescent="0.3">
      <c r="A280" s="38" t="s">
        <v>6125</v>
      </c>
      <c r="B280" s="38" t="s">
        <v>6126</v>
      </c>
      <c r="C280" s="39" t="s">
        <v>6127</v>
      </c>
      <c r="D280" s="12">
        <v>25</v>
      </c>
      <c r="E280" s="12">
        <v>900</v>
      </c>
      <c r="F280">
        <v>244.7</v>
      </c>
      <c r="G280">
        <f>VLOOKUP(Table4[[#This Row],[Shortname]], Comp[], 6, FALSE)</f>
        <v>1001</v>
      </c>
      <c r="H280" s="14">
        <f>VLOOKUP(Table4[[#This Row],[Shortname]], Comp[], 7, FALSE)</f>
        <v>46.150000000000006</v>
      </c>
      <c r="I280">
        <f>VLOOKUP(Table4[[#This Row],[Shortname]], Comp[], 8, FALSE)</f>
        <v>29.99</v>
      </c>
      <c r="J280">
        <f>VLOOKUP(Table4[[#This Row],[Shortname]], Comp[], 9, FALSE)</f>
        <v>11.74</v>
      </c>
      <c r="K280">
        <f>VLOOKUP(Table4[[#This Row],[Shortname]], Comp[], 10, FALSE)</f>
        <v>0</v>
      </c>
      <c r="L280">
        <f>VLOOKUP(Table4[[#This Row],[Shortname]], Comp[], 11, FALSE)</f>
        <v>5.48</v>
      </c>
      <c r="M280">
        <f>VLOOKUP(Table4[[#This Row],[Shortname]], Comp[],12, FALSE)</f>
        <v>4.0599999999999996</v>
      </c>
      <c r="N280">
        <f>VLOOKUP(Table4[[#This Row],[Shortname]], Comp[], 13, FALSE)</f>
        <v>2.5</v>
      </c>
      <c r="O280">
        <f>VLOOKUP(Table4[[#This Row],[Shortname]], Comp[], 14, FALSE)</f>
        <v>0</v>
      </c>
      <c r="P280">
        <f>VLOOKUP(Table4[[#This Row],[Shortname]], Comp[], 15, FALSE)</f>
        <v>0</v>
      </c>
      <c r="Q280">
        <f>VLOOKUP(Table4[[#This Row],[Shortname]], Comp[], 16, FALSE)</f>
        <v>0</v>
      </c>
      <c r="R280">
        <f>VLOOKUP(Table4[[#This Row],[Shortname]], Comp[], 17, FALSE)</f>
        <v>0</v>
      </c>
      <c r="S280">
        <f>VLOOKUP(Table4[[#This Row],[Shortname]], Comp[], 18, FALSE)</f>
        <v>0</v>
      </c>
      <c r="T280">
        <f>VLOOKUP(Table4[[#This Row],[Shortname]], Comp[], 19, FALSE)</f>
        <v>0.08</v>
      </c>
      <c r="U280">
        <f>VLOOKUP(Table4[[#This Row],[Shortname]], Comp[], 20, FALSE)</f>
        <v>0</v>
      </c>
      <c r="V280">
        <f>VLOOKUP(Table4[[#This Row],[Shortname]], Comp[], 21, FALSE)</f>
        <v>0</v>
      </c>
      <c r="W280">
        <f>VLOOKUP(Table4[[#This Row],[Shortname]], Comp[], 22, FALSE)</f>
        <v>0</v>
      </c>
      <c r="X280">
        <f>VLOOKUP(Table4[[#This Row],[Shortname]], Comp[], 23, FALSE)</f>
        <v>0</v>
      </c>
      <c r="Y280">
        <f>VLOOKUP(Table4[[#This Row],[Shortname]], Comp[], 24, FALSE)</f>
        <v>0</v>
      </c>
      <c r="Z280">
        <f>VLOOKUP(Table4[[#This Row],[Shortname]], Comp[], 25, FALSE)</f>
        <v>0</v>
      </c>
      <c r="AA280">
        <f>VLOOKUP(Table4[[#This Row],[Shortname]], Comp[], 26, FALSE)</f>
        <v>0</v>
      </c>
      <c r="AB280">
        <f>VLOOKUP(Table4[[#This Row],[Shortname]], Comp[], 27, FALSE)</f>
        <v>0</v>
      </c>
      <c r="AC280">
        <f>VLOOKUP(Table4[[#This Row],[Shortname]], Comp[], 28, FALSE)</f>
        <v>0</v>
      </c>
      <c r="AD280">
        <f>VLOOKUP(Table4[[#This Row],[Shortname]], Comp[], 29, FALSE)</f>
        <v>0</v>
      </c>
      <c r="AE280">
        <f>VLOOKUP(Table4[[#This Row],[Shortname]], Comp[], 30, FALSE)</f>
        <v>0</v>
      </c>
      <c r="AF280">
        <f>VLOOKUP(Table4[[#This Row],[Shortname]], Comp[], 31, FALSE)</f>
        <v>0</v>
      </c>
    </row>
    <row r="281" spans="1:32" x14ac:dyDescent="0.3">
      <c r="A281" s="38" t="s">
        <v>6209</v>
      </c>
      <c r="B281" s="38" t="s">
        <v>6210</v>
      </c>
      <c r="C281" s="39" t="s">
        <v>6211</v>
      </c>
      <c r="D281" s="12">
        <v>25</v>
      </c>
      <c r="E281" s="12">
        <v>800</v>
      </c>
      <c r="F281">
        <v>265</v>
      </c>
      <c r="G281">
        <f>VLOOKUP(Table4[[#This Row],[Shortname]], Comp[], 6, FALSE)</f>
        <v>1022</v>
      </c>
      <c r="H281" s="14">
        <f>VLOOKUP(Table4[[#This Row],[Shortname]], Comp[], 7, FALSE)</f>
        <v>82.9</v>
      </c>
      <c r="I281">
        <f>VLOOKUP(Table4[[#This Row],[Shortname]], Comp[], 8, FALSE)</f>
        <v>0</v>
      </c>
      <c r="J281">
        <f>VLOOKUP(Table4[[#This Row],[Shortname]], Comp[], 9, FALSE)</f>
        <v>9.8000000000000007</v>
      </c>
      <c r="K281">
        <f>VLOOKUP(Table4[[#This Row],[Shortname]], Comp[], 10, FALSE)</f>
        <v>0</v>
      </c>
      <c r="L281">
        <f>VLOOKUP(Table4[[#This Row],[Shortname]], Comp[], 11, FALSE)</f>
        <v>0</v>
      </c>
      <c r="M281">
        <f>VLOOKUP(Table4[[#This Row],[Shortname]], Comp[],12, FALSE)</f>
        <v>0</v>
      </c>
      <c r="N281">
        <f>VLOOKUP(Table4[[#This Row],[Shortname]], Comp[], 13, FALSE)</f>
        <v>0</v>
      </c>
      <c r="O281">
        <f>VLOOKUP(Table4[[#This Row],[Shortname]], Comp[], 14, FALSE)</f>
        <v>2</v>
      </c>
      <c r="P281">
        <f>VLOOKUP(Table4[[#This Row],[Shortname]], Comp[], 15, FALSE)</f>
        <v>5.3</v>
      </c>
      <c r="Q281">
        <f>VLOOKUP(Table4[[#This Row],[Shortname]], Comp[], 16, FALSE)</f>
        <v>0</v>
      </c>
      <c r="R281">
        <f>VLOOKUP(Table4[[#This Row],[Shortname]], Comp[], 17, FALSE)</f>
        <v>0</v>
      </c>
      <c r="S281">
        <f>VLOOKUP(Table4[[#This Row],[Shortname]], Comp[], 18, FALSE)</f>
        <v>0</v>
      </c>
      <c r="T281">
        <f>VLOOKUP(Table4[[#This Row],[Shortname]], Comp[], 19, FALSE)</f>
        <v>0</v>
      </c>
      <c r="U281">
        <f>VLOOKUP(Table4[[#This Row],[Shortname]], Comp[], 20, FALSE)</f>
        <v>0</v>
      </c>
      <c r="V281">
        <f>VLOOKUP(Table4[[#This Row],[Shortname]], Comp[], 21, FALSE)</f>
        <v>0</v>
      </c>
      <c r="W281">
        <f>VLOOKUP(Table4[[#This Row],[Shortname]], Comp[], 22, FALSE)</f>
        <v>0</v>
      </c>
      <c r="X281">
        <f>VLOOKUP(Table4[[#This Row],[Shortname]], Comp[], 23, FALSE)</f>
        <v>0</v>
      </c>
      <c r="Y281">
        <f>VLOOKUP(Table4[[#This Row],[Shortname]], Comp[], 24, FALSE)</f>
        <v>0</v>
      </c>
      <c r="Z281">
        <f>VLOOKUP(Table4[[#This Row],[Shortname]], Comp[], 25, FALSE)</f>
        <v>0</v>
      </c>
      <c r="AA281">
        <f>VLOOKUP(Table4[[#This Row],[Shortname]], Comp[], 26, FALSE)</f>
        <v>0</v>
      </c>
      <c r="AB281">
        <f>VLOOKUP(Table4[[#This Row],[Shortname]], Comp[], 27, FALSE)</f>
        <v>0</v>
      </c>
      <c r="AC281">
        <f>VLOOKUP(Table4[[#This Row],[Shortname]], Comp[], 28, FALSE)</f>
        <v>0</v>
      </c>
      <c r="AD281">
        <f>VLOOKUP(Table4[[#This Row],[Shortname]], Comp[], 29, FALSE)</f>
        <v>0</v>
      </c>
      <c r="AE281">
        <f>VLOOKUP(Table4[[#This Row],[Shortname]], Comp[], 30, FALSE)</f>
        <v>0</v>
      </c>
      <c r="AF281">
        <f>VLOOKUP(Table4[[#This Row],[Shortname]], Comp[], 31, FALSE)</f>
        <v>0</v>
      </c>
    </row>
    <row r="282" spans="1:32" x14ac:dyDescent="0.3">
      <c r="A282" s="38" t="s">
        <v>6289</v>
      </c>
      <c r="B282" s="38" t="s">
        <v>3489</v>
      </c>
      <c r="C282" s="39" t="s">
        <v>6290</v>
      </c>
      <c r="D282" s="12">
        <v>25</v>
      </c>
      <c r="E282" s="12">
        <v>900</v>
      </c>
      <c r="F282">
        <v>393.4</v>
      </c>
      <c r="G282">
        <f>VLOOKUP(Table4[[#This Row],[Shortname]], Comp[], 6, FALSE)</f>
        <v>1039</v>
      </c>
      <c r="H282" s="14">
        <f>VLOOKUP(Table4[[#This Row],[Shortname]], Comp[], 7, FALSE)</f>
        <v>81.2</v>
      </c>
      <c r="I282">
        <f>VLOOKUP(Table4[[#This Row],[Shortname]], Comp[], 8, FALSE)</f>
        <v>0</v>
      </c>
      <c r="J282">
        <f>VLOOKUP(Table4[[#This Row],[Shortname]], Comp[], 9, FALSE)</f>
        <v>8.6999999999999993</v>
      </c>
      <c r="K282">
        <f>VLOOKUP(Table4[[#This Row],[Shortname]], Comp[], 10, FALSE)</f>
        <v>0</v>
      </c>
      <c r="L282">
        <f>VLOOKUP(Table4[[#This Row],[Shortname]], Comp[], 11, FALSE)</f>
        <v>10.1</v>
      </c>
      <c r="M282">
        <f>VLOOKUP(Table4[[#This Row],[Shortname]], Comp[],12, FALSE)</f>
        <v>0</v>
      </c>
      <c r="N282">
        <f>VLOOKUP(Table4[[#This Row],[Shortname]], Comp[], 13, FALSE)</f>
        <v>0</v>
      </c>
      <c r="O282">
        <f>VLOOKUP(Table4[[#This Row],[Shortname]], Comp[], 14, FALSE)</f>
        <v>0</v>
      </c>
      <c r="P282">
        <f>VLOOKUP(Table4[[#This Row],[Shortname]], Comp[], 15, FALSE)</f>
        <v>0</v>
      </c>
      <c r="Q282">
        <f>VLOOKUP(Table4[[#This Row],[Shortname]], Comp[], 16, FALSE)</f>
        <v>0</v>
      </c>
      <c r="R282">
        <f>VLOOKUP(Table4[[#This Row],[Shortname]], Comp[], 17, FALSE)</f>
        <v>0</v>
      </c>
      <c r="S282">
        <f>VLOOKUP(Table4[[#This Row],[Shortname]], Comp[], 18, FALSE)</f>
        <v>0</v>
      </c>
      <c r="T282">
        <f>VLOOKUP(Table4[[#This Row],[Shortname]], Comp[], 19, FALSE)</f>
        <v>0</v>
      </c>
      <c r="U282">
        <f>VLOOKUP(Table4[[#This Row],[Shortname]], Comp[], 20, FALSE)</f>
        <v>0</v>
      </c>
      <c r="V282">
        <f>VLOOKUP(Table4[[#This Row],[Shortname]], Comp[], 21, FALSE)</f>
        <v>0</v>
      </c>
      <c r="W282">
        <f>VLOOKUP(Table4[[#This Row],[Shortname]], Comp[], 22, FALSE)</f>
        <v>0</v>
      </c>
      <c r="X282">
        <f>VLOOKUP(Table4[[#This Row],[Shortname]], Comp[], 23, FALSE)</f>
        <v>0</v>
      </c>
      <c r="Y282">
        <f>VLOOKUP(Table4[[#This Row],[Shortname]], Comp[], 24, FALSE)</f>
        <v>0</v>
      </c>
      <c r="Z282">
        <f>VLOOKUP(Table4[[#This Row],[Shortname]], Comp[], 25, FALSE)</f>
        <v>0</v>
      </c>
      <c r="AA282">
        <f>VLOOKUP(Table4[[#This Row],[Shortname]], Comp[], 26, FALSE)</f>
        <v>0</v>
      </c>
      <c r="AB282">
        <f>VLOOKUP(Table4[[#This Row],[Shortname]], Comp[], 27, FALSE)</f>
        <v>0</v>
      </c>
      <c r="AC282">
        <f>VLOOKUP(Table4[[#This Row],[Shortname]], Comp[], 28, FALSE)</f>
        <v>0</v>
      </c>
      <c r="AD282">
        <f>VLOOKUP(Table4[[#This Row],[Shortname]], Comp[], 29, FALSE)</f>
        <v>0</v>
      </c>
      <c r="AE282">
        <f>VLOOKUP(Table4[[#This Row],[Shortname]], Comp[], 30, FALSE)</f>
        <v>0</v>
      </c>
      <c r="AF282">
        <f>VLOOKUP(Table4[[#This Row],[Shortname]], Comp[], 31, FALSE)</f>
        <v>0</v>
      </c>
    </row>
    <row r="283" spans="1:32" x14ac:dyDescent="0.3">
      <c r="A283" s="38" t="s">
        <v>6292</v>
      </c>
      <c r="B283" s="38" t="s">
        <v>2354</v>
      </c>
      <c r="C283" s="39" t="s">
        <v>6290</v>
      </c>
      <c r="D283" s="12">
        <v>25</v>
      </c>
      <c r="E283" s="12">
        <v>900</v>
      </c>
      <c r="F283">
        <v>474</v>
      </c>
      <c r="G283">
        <f>VLOOKUP(Table4[[#This Row],[Shortname]], Comp[], 6, FALSE)</f>
        <v>1040</v>
      </c>
      <c r="H283" s="14">
        <f>VLOOKUP(Table4[[#This Row],[Shortname]], Comp[], 7, FALSE)</f>
        <v>79.2</v>
      </c>
      <c r="I283">
        <f>VLOOKUP(Table4[[#This Row],[Shortname]], Comp[], 8, FALSE)</f>
        <v>0</v>
      </c>
      <c r="J283">
        <f>VLOOKUP(Table4[[#This Row],[Shortname]], Comp[], 9, FALSE)</f>
        <v>8.6</v>
      </c>
      <c r="K283">
        <f>VLOOKUP(Table4[[#This Row],[Shortname]], Comp[], 10, FALSE)</f>
        <v>0</v>
      </c>
      <c r="L283">
        <f>VLOOKUP(Table4[[#This Row],[Shortname]], Comp[], 11, FALSE)</f>
        <v>10.1</v>
      </c>
      <c r="M283">
        <f>VLOOKUP(Table4[[#This Row],[Shortname]], Comp[],12, FALSE)</f>
        <v>0</v>
      </c>
      <c r="N283">
        <f>VLOOKUP(Table4[[#This Row],[Shortname]], Comp[], 13, FALSE)</f>
        <v>2.1</v>
      </c>
      <c r="O283">
        <f>VLOOKUP(Table4[[#This Row],[Shortname]], Comp[], 14, FALSE)</f>
        <v>0</v>
      </c>
      <c r="P283">
        <f>VLOOKUP(Table4[[#This Row],[Shortname]], Comp[], 15, FALSE)</f>
        <v>0</v>
      </c>
      <c r="Q283">
        <f>VLOOKUP(Table4[[#This Row],[Shortname]], Comp[], 16, FALSE)</f>
        <v>0</v>
      </c>
      <c r="R283">
        <f>VLOOKUP(Table4[[#This Row],[Shortname]], Comp[], 17, FALSE)</f>
        <v>0</v>
      </c>
      <c r="S283">
        <f>VLOOKUP(Table4[[#This Row],[Shortname]], Comp[], 18, FALSE)</f>
        <v>0</v>
      </c>
      <c r="T283">
        <f>VLOOKUP(Table4[[#This Row],[Shortname]], Comp[], 19, FALSE)</f>
        <v>0</v>
      </c>
      <c r="U283">
        <f>VLOOKUP(Table4[[#This Row],[Shortname]], Comp[], 20, FALSE)</f>
        <v>0</v>
      </c>
      <c r="V283">
        <f>VLOOKUP(Table4[[#This Row],[Shortname]], Comp[], 21, FALSE)</f>
        <v>0</v>
      </c>
      <c r="W283">
        <f>VLOOKUP(Table4[[#This Row],[Shortname]], Comp[], 22, FALSE)</f>
        <v>0</v>
      </c>
      <c r="X283">
        <f>VLOOKUP(Table4[[#This Row],[Shortname]], Comp[], 23, FALSE)</f>
        <v>0</v>
      </c>
      <c r="Y283">
        <f>VLOOKUP(Table4[[#This Row],[Shortname]], Comp[], 24, FALSE)</f>
        <v>0</v>
      </c>
      <c r="Z283">
        <f>VLOOKUP(Table4[[#This Row],[Shortname]], Comp[], 25, FALSE)</f>
        <v>0</v>
      </c>
      <c r="AA283">
        <f>VLOOKUP(Table4[[#This Row],[Shortname]], Comp[], 26, FALSE)</f>
        <v>0</v>
      </c>
      <c r="AB283">
        <f>VLOOKUP(Table4[[#This Row],[Shortname]], Comp[], 27, FALSE)</f>
        <v>0</v>
      </c>
      <c r="AC283">
        <f>VLOOKUP(Table4[[#This Row],[Shortname]], Comp[], 28, FALSE)</f>
        <v>0</v>
      </c>
      <c r="AD283">
        <f>VLOOKUP(Table4[[#This Row],[Shortname]], Comp[], 29, FALSE)</f>
        <v>0</v>
      </c>
      <c r="AE283">
        <f>VLOOKUP(Table4[[#This Row],[Shortname]], Comp[], 30, FALSE)</f>
        <v>0</v>
      </c>
      <c r="AF283">
        <f>VLOOKUP(Table4[[#This Row],[Shortname]], Comp[], 31, FALSE)</f>
        <v>0</v>
      </c>
    </row>
    <row r="284" spans="1:32" x14ac:dyDescent="0.3">
      <c r="A284" s="38" t="s">
        <v>6294</v>
      </c>
      <c r="B284" s="38" t="s">
        <v>6295</v>
      </c>
      <c r="C284" s="39" t="s">
        <v>6290</v>
      </c>
      <c r="D284" s="12">
        <v>25</v>
      </c>
      <c r="E284" s="12">
        <v>900</v>
      </c>
      <c r="F284">
        <v>364.8</v>
      </c>
      <c r="G284">
        <f>VLOOKUP(Table4[[#This Row],[Shortname]], Comp[], 6, FALSE)</f>
        <v>1041</v>
      </c>
      <c r="H284" s="14">
        <f>VLOOKUP(Table4[[#This Row],[Shortname]], Comp[], 7, FALSE)</f>
        <v>78.400000000000006</v>
      </c>
      <c r="I284">
        <f>VLOOKUP(Table4[[#This Row],[Shortname]], Comp[], 8, FALSE)</f>
        <v>2.2999999999999998</v>
      </c>
      <c r="J284">
        <f>VLOOKUP(Table4[[#This Row],[Shortname]], Comp[], 9, FALSE)</f>
        <v>8.8000000000000007</v>
      </c>
      <c r="K284">
        <f>VLOOKUP(Table4[[#This Row],[Shortname]], Comp[], 10, FALSE)</f>
        <v>0</v>
      </c>
      <c r="L284">
        <f>VLOOKUP(Table4[[#This Row],[Shortname]], Comp[], 11, FALSE)</f>
        <v>10.5</v>
      </c>
      <c r="M284">
        <f>VLOOKUP(Table4[[#This Row],[Shortname]], Comp[],12, FALSE)</f>
        <v>0</v>
      </c>
      <c r="N284">
        <f>VLOOKUP(Table4[[#This Row],[Shortname]], Comp[], 13, FALSE)</f>
        <v>0</v>
      </c>
      <c r="O284">
        <f>VLOOKUP(Table4[[#This Row],[Shortname]], Comp[], 14, FALSE)</f>
        <v>0</v>
      </c>
      <c r="P284">
        <f>VLOOKUP(Table4[[#This Row],[Shortname]], Comp[], 15, FALSE)</f>
        <v>0</v>
      </c>
      <c r="Q284">
        <f>VLOOKUP(Table4[[#This Row],[Shortname]], Comp[], 16, FALSE)</f>
        <v>0</v>
      </c>
      <c r="R284">
        <f>VLOOKUP(Table4[[#This Row],[Shortname]], Comp[], 17, FALSE)</f>
        <v>0</v>
      </c>
      <c r="S284">
        <f>VLOOKUP(Table4[[#This Row],[Shortname]], Comp[], 18, FALSE)</f>
        <v>0</v>
      </c>
      <c r="T284">
        <f>VLOOKUP(Table4[[#This Row],[Shortname]], Comp[], 19, FALSE)</f>
        <v>0</v>
      </c>
      <c r="U284">
        <f>VLOOKUP(Table4[[#This Row],[Shortname]], Comp[], 20, FALSE)</f>
        <v>0</v>
      </c>
      <c r="V284">
        <f>VLOOKUP(Table4[[#This Row],[Shortname]], Comp[], 21, FALSE)</f>
        <v>0</v>
      </c>
      <c r="W284">
        <f>VLOOKUP(Table4[[#This Row],[Shortname]], Comp[], 22, FALSE)</f>
        <v>0</v>
      </c>
      <c r="X284">
        <f>VLOOKUP(Table4[[#This Row],[Shortname]], Comp[], 23, FALSE)</f>
        <v>0</v>
      </c>
      <c r="Y284">
        <f>VLOOKUP(Table4[[#This Row],[Shortname]], Comp[], 24, FALSE)</f>
        <v>0</v>
      </c>
      <c r="Z284">
        <f>VLOOKUP(Table4[[#This Row],[Shortname]], Comp[], 25, FALSE)</f>
        <v>0</v>
      </c>
      <c r="AA284">
        <f>VLOOKUP(Table4[[#This Row],[Shortname]], Comp[], 26, FALSE)</f>
        <v>0</v>
      </c>
      <c r="AB284">
        <f>VLOOKUP(Table4[[#This Row],[Shortname]], Comp[], 27, FALSE)</f>
        <v>0</v>
      </c>
      <c r="AC284">
        <f>VLOOKUP(Table4[[#This Row],[Shortname]], Comp[], 28, FALSE)</f>
        <v>0</v>
      </c>
      <c r="AD284">
        <f>VLOOKUP(Table4[[#This Row],[Shortname]], Comp[], 29, FALSE)</f>
        <v>0</v>
      </c>
      <c r="AE284">
        <f>VLOOKUP(Table4[[#This Row],[Shortname]], Comp[], 30, FALSE)</f>
        <v>0</v>
      </c>
      <c r="AF284">
        <f>VLOOKUP(Table4[[#This Row],[Shortname]], Comp[], 31, FALSE)</f>
        <v>0</v>
      </c>
    </row>
    <row r="285" spans="1:32" x14ac:dyDescent="0.3">
      <c r="A285" s="38" t="s">
        <v>6459</v>
      </c>
      <c r="B285" s="38" t="s">
        <v>6460</v>
      </c>
      <c r="C285" s="39" t="s">
        <v>6461</v>
      </c>
      <c r="D285" s="12">
        <v>25</v>
      </c>
      <c r="E285" s="12">
        <v>850</v>
      </c>
      <c r="F285">
        <v>292.64810849393291</v>
      </c>
      <c r="G285">
        <f>VLOOKUP(Table4[[#This Row],[Shortname]], Comp[], 6, FALSE)</f>
        <v>1078</v>
      </c>
      <c r="H285" s="14">
        <f>VLOOKUP(Table4[[#This Row],[Shortname]], Comp[], 7, FALSE)</f>
        <v>72.960000000000008</v>
      </c>
      <c r="I285">
        <f>VLOOKUP(Table4[[#This Row],[Shortname]], Comp[], 8, FALSE)</f>
        <v>10</v>
      </c>
      <c r="J285">
        <f>VLOOKUP(Table4[[#This Row],[Shortname]], Comp[], 9, FALSE)</f>
        <v>5</v>
      </c>
      <c r="K285">
        <f>VLOOKUP(Table4[[#This Row],[Shortname]], Comp[], 10, FALSE)</f>
        <v>0</v>
      </c>
      <c r="L285">
        <f>VLOOKUP(Table4[[#This Row],[Shortname]], Comp[], 11, FALSE)</f>
        <v>0</v>
      </c>
      <c r="M285">
        <f>VLOOKUP(Table4[[#This Row],[Shortname]], Comp[],12, FALSE)</f>
        <v>6</v>
      </c>
      <c r="N285">
        <f>VLOOKUP(Table4[[#This Row],[Shortname]], Comp[], 13, FALSE)</f>
        <v>0</v>
      </c>
      <c r="O285">
        <f>VLOOKUP(Table4[[#This Row],[Shortname]], Comp[], 14, FALSE)</f>
        <v>3</v>
      </c>
      <c r="P285">
        <f>VLOOKUP(Table4[[#This Row],[Shortname]], Comp[], 15, FALSE)</f>
        <v>3</v>
      </c>
      <c r="Q285">
        <f>VLOOKUP(Table4[[#This Row],[Shortname]], Comp[], 16, FALSE)</f>
        <v>0</v>
      </c>
      <c r="R285">
        <f>VLOOKUP(Table4[[#This Row],[Shortname]], Comp[], 17, FALSE)</f>
        <v>0</v>
      </c>
      <c r="S285">
        <f>VLOOKUP(Table4[[#This Row],[Shortname]], Comp[], 18, FALSE)</f>
        <v>0</v>
      </c>
      <c r="T285">
        <f>VLOOKUP(Table4[[#This Row],[Shortname]], Comp[], 19, FALSE)</f>
        <v>0.04</v>
      </c>
      <c r="U285">
        <f>VLOOKUP(Table4[[#This Row],[Shortname]], Comp[], 20, FALSE)</f>
        <v>0</v>
      </c>
      <c r="V285">
        <f>VLOOKUP(Table4[[#This Row],[Shortname]], Comp[], 21, FALSE)</f>
        <v>0</v>
      </c>
      <c r="W285">
        <f>VLOOKUP(Table4[[#This Row],[Shortname]], Comp[], 22, FALSE)</f>
        <v>0</v>
      </c>
      <c r="X285">
        <f>VLOOKUP(Table4[[#This Row],[Shortname]], Comp[], 23, FALSE)</f>
        <v>0</v>
      </c>
      <c r="Y285">
        <f>VLOOKUP(Table4[[#This Row],[Shortname]], Comp[], 24, FALSE)</f>
        <v>0</v>
      </c>
      <c r="Z285">
        <f>VLOOKUP(Table4[[#This Row],[Shortname]], Comp[], 25, FALSE)</f>
        <v>0</v>
      </c>
      <c r="AA285">
        <f>VLOOKUP(Table4[[#This Row],[Shortname]], Comp[], 26, FALSE)</f>
        <v>0</v>
      </c>
      <c r="AB285">
        <f>VLOOKUP(Table4[[#This Row],[Shortname]], Comp[], 27, FALSE)</f>
        <v>0</v>
      </c>
      <c r="AC285">
        <f>VLOOKUP(Table4[[#This Row],[Shortname]], Comp[], 28, FALSE)</f>
        <v>0</v>
      </c>
      <c r="AD285">
        <f>VLOOKUP(Table4[[#This Row],[Shortname]], Comp[], 29, FALSE)</f>
        <v>0</v>
      </c>
      <c r="AE285">
        <f>VLOOKUP(Table4[[#This Row],[Shortname]], Comp[], 30, FALSE)</f>
        <v>0</v>
      </c>
      <c r="AF285">
        <f>VLOOKUP(Table4[[#This Row],[Shortname]], Comp[], 31, FALSE)</f>
        <v>0</v>
      </c>
    </row>
    <row r="286" spans="1:32" x14ac:dyDescent="0.3">
      <c r="A286" s="38" t="s">
        <v>6464</v>
      </c>
      <c r="B286" s="38" t="s">
        <v>6465</v>
      </c>
      <c r="C286" s="39" t="s">
        <v>6466</v>
      </c>
      <c r="D286" s="12">
        <v>25</v>
      </c>
      <c r="E286" s="12">
        <v>850</v>
      </c>
      <c r="F286">
        <v>299.78586723768734</v>
      </c>
      <c r="G286">
        <f>VLOOKUP(Table4[[#This Row],[Shortname]], Comp[], 6, FALSE)</f>
        <v>1079</v>
      </c>
      <c r="H286" s="14">
        <f>VLOOKUP(Table4[[#This Row],[Shortname]], Comp[], 7, FALSE)</f>
        <v>68.960000000000008</v>
      </c>
      <c r="I286">
        <f>VLOOKUP(Table4[[#This Row],[Shortname]], Comp[], 8, FALSE)</f>
        <v>10</v>
      </c>
      <c r="J286">
        <f>VLOOKUP(Table4[[#This Row],[Shortname]], Comp[], 9, FALSE)</f>
        <v>5</v>
      </c>
      <c r="K286">
        <f>VLOOKUP(Table4[[#This Row],[Shortname]], Comp[], 10, FALSE)</f>
        <v>4</v>
      </c>
      <c r="L286">
        <f>VLOOKUP(Table4[[#This Row],[Shortname]], Comp[], 11, FALSE)</f>
        <v>0</v>
      </c>
      <c r="M286">
        <f>VLOOKUP(Table4[[#This Row],[Shortname]], Comp[],12, FALSE)</f>
        <v>6</v>
      </c>
      <c r="N286">
        <f>VLOOKUP(Table4[[#This Row],[Shortname]], Comp[], 13, FALSE)</f>
        <v>0</v>
      </c>
      <c r="O286">
        <f>VLOOKUP(Table4[[#This Row],[Shortname]], Comp[], 14, FALSE)</f>
        <v>3</v>
      </c>
      <c r="P286">
        <f>VLOOKUP(Table4[[#This Row],[Shortname]], Comp[], 15, FALSE)</f>
        <v>3</v>
      </c>
      <c r="Q286">
        <f>VLOOKUP(Table4[[#This Row],[Shortname]], Comp[], 16, FALSE)</f>
        <v>0</v>
      </c>
      <c r="R286">
        <f>VLOOKUP(Table4[[#This Row],[Shortname]], Comp[], 17, FALSE)</f>
        <v>0</v>
      </c>
      <c r="S286">
        <f>VLOOKUP(Table4[[#This Row],[Shortname]], Comp[], 18, FALSE)</f>
        <v>0</v>
      </c>
      <c r="T286">
        <f>VLOOKUP(Table4[[#This Row],[Shortname]], Comp[], 19, FALSE)</f>
        <v>0.04</v>
      </c>
      <c r="U286">
        <f>VLOOKUP(Table4[[#This Row],[Shortname]], Comp[], 20, FALSE)</f>
        <v>0</v>
      </c>
      <c r="V286">
        <f>VLOOKUP(Table4[[#This Row],[Shortname]], Comp[], 21, FALSE)</f>
        <v>0</v>
      </c>
      <c r="W286">
        <f>VLOOKUP(Table4[[#This Row],[Shortname]], Comp[], 22, FALSE)</f>
        <v>0</v>
      </c>
      <c r="X286">
        <f>VLOOKUP(Table4[[#This Row],[Shortname]], Comp[], 23, FALSE)</f>
        <v>0</v>
      </c>
      <c r="Y286">
        <f>VLOOKUP(Table4[[#This Row],[Shortname]], Comp[], 24, FALSE)</f>
        <v>0</v>
      </c>
      <c r="Z286">
        <f>VLOOKUP(Table4[[#This Row],[Shortname]], Comp[], 25, FALSE)</f>
        <v>0</v>
      </c>
      <c r="AA286">
        <f>VLOOKUP(Table4[[#This Row],[Shortname]], Comp[], 26, FALSE)</f>
        <v>0</v>
      </c>
      <c r="AB286">
        <f>VLOOKUP(Table4[[#This Row],[Shortname]], Comp[], 27, FALSE)</f>
        <v>0</v>
      </c>
      <c r="AC286">
        <f>VLOOKUP(Table4[[#This Row],[Shortname]], Comp[], 28, FALSE)</f>
        <v>0</v>
      </c>
      <c r="AD286">
        <f>VLOOKUP(Table4[[#This Row],[Shortname]], Comp[], 29, FALSE)</f>
        <v>0</v>
      </c>
      <c r="AE286">
        <f>VLOOKUP(Table4[[#This Row],[Shortname]], Comp[], 30, FALSE)</f>
        <v>0</v>
      </c>
      <c r="AF286">
        <f>VLOOKUP(Table4[[#This Row],[Shortname]], Comp[], 31, FALSE)</f>
        <v>0</v>
      </c>
    </row>
    <row r="287" spans="1:32" x14ac:dyDescent="0.3">
      <c r="A287" s="38" t="s">
        <v>6472</v>
      </c>
      <c r="B287" s="38" t="s">
        <v>6473</v>
      </c>
      <c r="C287" s="39" t="s">
        <v>6474</v>
      </c>
      <c r="D287" s="12">
        <v>25</v>
      </c>
      <c r="E287" s="12">
        <v>850</v>
      </c>
      <c r="F287">
        <v>344.65177934128684</v>
      </c>
      <c r="G287">
        <f>VLOOKUP(Table4[[#This Row],[Shortname]], Comp[], 6, FALSE)</f>
        <v>1081</v>
      </c>
      <c r="H287" s="14">
        <f>VLOOKUP(Table4[[#This Row],[Shortname]], Comp[], 7, FALSE)</f>
        <v>68.960000000000008</v>
      </c>
      <c r="I287">
        <f>VLOOKUP(Table4[[#This Row],[Shortname]], Comp[], 8, FALSE)</f>
        <v>10</v>
      </c>
      <c r="J287">
        <f>VLOOKUP(Table4[[#This Row],[Shortname]], Comp[], 9, FALSE)</f>
        <v>5</v>
      </c>
      <c r="K287">
        <f>VLOOKUP(Table4[[#This Row],[Shortname]], Comp[], 10, FALSE)</f>
        <v>8</v>
      </c>
      <c r="L287">
        <f>VLOOKUP(Table4[[#This Row],[Shortname]], Comp[], 11, FALSE)</f>
        <v>0</v>
      </c>
      <c r="M287">
        <f>VLOOKUP(Table4[[#This Row],[Shortname]], Comp[],12, FALSE)</f>
        <v>2</v>
      </c>
      <c r="N287">
        <f>VLOOKUP(Table4[[#This Row],[Shortname]], Comp[], 13, FALSE)</f>
        <v>0</v>
      </c>
      <c r="O287">
        <f>VLOOKUP(Table4[[#This Row],[Shortname]], Comp[], 14, FALSE)</f>
        <v>3</v>
      </c>
      <c r="P287">
        <f>VLOOKUP(Table4[[#This Row],[Shortname]], Comp[], 15, FALSE)</f>
        <v>3</v>
      </c>
      <c r="Q287">
        <f>VLOOKUP(Table4[[#This Row],[Shortname]], Comp[], 16, FALSE)</f>
        <v>0</v>
      </c>
      <c r="R287">
        <f>VLOOKUP(Table4[[#This Row],[Shortname]], Comp[], 17, FALSE)</f>
        <v>0</v>
      </c>
      <c r="S287">
        <f>VLOOKUP(Table4[[#This Row],[Shortname]], Comp[], 18, FALSE)</f>
        <v>0</v>
      </c>
      <c r="T287">
        <f>VLOOKUP(Table4[[#This Row],[Shortname]], Comp[], 19, FALSE)</f>
        <v>0.04</v>
      </c>
      <c r="U287">
        <f>VLOOKUP(Table4[[#This Row],[Shortname]], Comp[], 20, FALSE)</f>
        <v>0</v>
      </c>
      <c r="V287">
        <f>VLOOKUP(Table4[[#This Row],[Shortname]], Comp[], 21, FALSE)</f>
        <v>0</v>
      </c>
      <c r="W287">
        <f>VLOOKUP(Table4[[#This Row],[Shortname]], Comp[], 22, FALSE)</f>
        <v>0</v>
      </c>
      <c r="X287">
        <f>VLOOKUP(Table4[[#This Row],[Shortname]], Comp[], 23, FALSE)</f>
        <v>0</v>
      </c>
      <c r="Y287">
        <f>VLOOKUP(Table4[[#This Row],[Shortname]], Comp[], 24, FALSE)</f>
        <v>0</v>
      </c>
      <c r="Z287">
        <f>VLOOKUP(Table4[[#This Row],[Shortname]], Comp[], 25, FALSE)</f>
        <v>0</v>
      </c>
      <c r="AA287">
        <f>VLOOKUP(Table4[[#This Row],[Shortname]], Comp[], 26, FALSE)</f>
        <v>0</v>
      </c>
      <c r="AB287">
        <f>VLOOKUP(Table4[[#This Row],[Shortname]], Comp[], 27, FALSE)</f>
        <v>0</v>
      </c>
      <c r="AC287">
        <f>VLOOKUP(Table4[[#This Row],[Shortname]], Comp[], 28, FALSE)</f>
        <v>0</v>
      </c>
      <c r="AD287">
        <f>VLOOKUP(Table4[[#This Row],[Shortname]], Comp[], 29, FALSE)</f>
        <v>0</v>
      </c>
      <c r="AE287">
        <f>VLOOKUP(Table4[[#This Row],[Shortname]], Comp[], 30, FALSE)</f>
        <v>0</v>
      </c>
      <c r="AF287">
        <f>VLOOKUP(Table4[[#This Row],[Shortname]], Comp[], 31, FALSE)</f>
        <v>0</v>
      </c>
    </row>
    <row r="288" spans="1:32" x14ac:dyDescent="0.3">
      <c r="A288" s="38" t="s">
        <v>6476</v>
      </c>
      <c r="B288" s="38" t="s">
        <v>6477</v>
      </c>
      <c r="C288" s="39" t="s">
        <v>6478</v>
      </c>
      <c r="D288" s="12">
        <v>25</v>
      </c>
      <c r="E288" s="12">
        <v>850</v>
      </c>
      <c r="F288">
        <v>405.23</v>
      </c>
      <c r="G288">
        <f>VLOOKUP(Table4[[#This Row],[Shortname]], Comp[], 6, FALSE)</f>
        <v>1082</v>
      </c>
      <c r="H288" s="14">
        <f>VLOOKUP(Table4[[#This Row],[Shortname]], Comp[], 7, FALSE)</f>
        <v>73.03</v>
      </c>
      <c r="I288">
        <f>VLOOKUP(Table4[[#This Row],[Shortname]], Comp[], 8, FALSE)</f>
        <v>9.74</v>
      </c>
      <c r="J288">
        <f>VLOOKUP(Table4[[#This Row],[Shortname]], Comp[], 9, FALSE)</f>
        <v>4.9800000000000004</v>
      </c>
      <c r="K288">
        <f>VLOOKUP(Table4[[#This Row],[Shortname]], Comp[], 10, FALSE)</f>
        <v>4.1500000000000004</v>
      </c>
      <c r="L288">
        <f>VLOOKUP(Table4[[#This Row],[Shortname]], Comp[], 11, FALSE)</f>
        <v>0</v>
      </c>
      <c r="M288">
        <f>VLOOKUP(Table4[[#This Row],[Shortname]], Comp[],12, FALSE)</f>
        <v>2.04</v>
      </c>
      <c r="N288">
        <f>VLOOKUP(Table4[[#This Row],[Shortname]], Comp[], 13, FALSE)</f>
        <v>1.59</v>
      </c>
      <c r="O288">
        <f>VLOOKUP(Table4[[#This Row],[Shortname]], Comp[], 14, FALSE)</f>
        <v>1.37</v>
      </c>
      <c r="P288">
        <f>VLOOKUP(Table4[[#This Row],[Shortname]], Comp[], 15, FALSE)</f>
        <v>3.02</v>
      </c>
      <c r="Q288">
        <f>VLOOKUP(Table4[[#This Row],[Shortname]], Comp[], 16, FALSE)</f>
        <v>0</v>
      </c>
      <c r="R288">
        <f>VLOOKUP(Table4[[#This Row],[Shortname]], Comp[], 17, FALSE)</f>
        <v>0</v>
      </c>
      <c r="S288">
        <f>VLOOKUP(Table4[[#This Row],[Shortname]], Comp[], 18, FALSE)</f>
        <v>0</v>
      </c>
      <c r="T288">
        <f>VLOOKUP(Table4[[#This Row],[Shortname]], Comp[], 19, FALSE)</f>
        <v>0.08</v>
      </c>
      <c r="U288">
        <f>VLOOKUP(Table4[[#This Row],[Shortname]], Comp[], 20, FALSE)</f>
        <v>0</v>
      </c>
      <c r="V288">
        <f>VLOOKUP(Table4[[#This Row],[Shortname]], Comp[], 21, FALSE)</f>
        <v>0</v>
      </c>
      <c r="W288">
        <f>VLOOKUP(Table4[[#This Row],[Shortname]], Comp[], 22, FALSE)</f>
        <v>0</v>
      </c>
      <c r="X288">
        <f>VLOOKUP(Table4[[#This Row],[Shortname]], Comp[], 23, FALSE)</f>
        <v>0</v>
      </c>
      <c r="Y288">
        <f>VLOOKUP(Table4[[#This Row],[Shortname]], Comp[], 24, FALSE)</f>
        <v>0</v>
      </c>
      <c r="Z288">
        <f>VLOOKUP(Table4[[#This Row],[Shortname]], Comp[], 25, FALSE)</f>
        <v>0</v>
      </c>
      <c r="AA288">
        <f>VLOOKUP(Table4[[#This Row],[Shortname]], Comp[], 26, FALSE)</f>
        <v>0</v>
      </c>
      <c r="AB288">
        <f>VLOOKUP(Table4[[#This Row],[Shortname]], Comp[], 27, FALSE)</f>
        <v>0</v>
      </c>
      <c r="AC288">
        <f>VLOOKUP(Table4[[#This Row],[Shortname]], Comp[], 28, FALSE)</f>
        <v>0</v>
      </c>
      <c r="AD288">
        <f>VLOOKUP(Table4[[#This Row],[Shortname]], Comp[], 29, FALSE)</f>
        <v>0</v>
      </c>
      <c r="AE288">
        <f>VLOOKUP(Table4[[#This Row],[Shortname]], Comp[], 30, FALSE)</f>
        <v>0</v>
      </c>
      <c r="AF288">
        <f>VLOOKUP(Table4[[#This Row],[Shortname]], Comp[], 31, FALSE)</f>
        <v>0</v>
      </c>
    </row>
    <row r="289" spans="1:32" x14ac:dyDescent="0.3">
      <c r="A289" s="38" t="s">
        <v>6481</v>
      </c>
      <c r="B289" s="38" t="s">
        <v>6482</v>
      </c>
      <c r="C289" s="39" t="s">
        <v>6483</v>
      </c>
      <c r="D289" s="12">
        <v>25</v>
      </c>
      <c r="E289" s="12">
        <v>850</v>
      </c>
      <c r="F289">
        <v>410.18</v>
      </c>
      <c r="G289">
        <f>VLOOKUP(Table4[[#This Row],[Shortname]], Comp[], 6, FALSE)</f>
        <v>1083</v>
      </c>
      <c r="H289" s="14">
        <f>VLOOKUP(Table4[[#This Row],[Shortname]], Comp[], 7, FALSE)</f>
        <v>63.180000000000007</v>
      </c>
      <c r="I289">
        <f>VLOOKUP(Table4[[#This Row],[Shortname]], Comp[], 8, FALSE)</f>
        <v>19.43</v>
      </c>
      <c r="J289">
        <f>VLOOKUP(Table4[[#This Row],[Shortname]], Comp[], 9, FALSE)</f>
        <v>5.13</v>
      </c>
      <c r="K289">
        <f>VLOOKUP(Table4[[#This Row],[Shortname]], Comp[], 10, FALSE)</f>
        <v>4.1100000000000003</v>
      </c>
      <c r="L289">
        <f>VLOOKUP(Table4[[#This Row],[Shortname]], Comp[], 11, FALSE)</f>
        <v>0</v>
      </c>
      <c r="M289">
        <f>VLOOKUP(Table4[[#This Row],[Shortname]], Comp[],12, FALSE)</f>
        <v>2.06</v>
      </c>
      <c r="N289">
        <f>VLOOKUP(Table4[[#This Row],[Shortname]], Comp[], 13, FALSE)</f>
        <v>1.59</v>
      </c>
      <c r="O289">
        <f>VLOOKUP(Table4[[#This Row],[Shortname]], Comp[], 14, FALSE)</f>
        <v>1.37</v>
      </c>
      <c r="P289">
        <f>VLOOKUP(Table4[[#This Row],[Shortname]], Comp[], 15, FALSE)</f>
        <v>3.05</v>
      </c>
      <c r="Q289">
        <f>VLOOKUP(Table4[[#This Row],[Shortname]], Comp[], 16, FALSE)</f>
        <v>0</v>
      </c>
      <c r="R289">
        <f>VLOOKUP(Table4[[#This Row],[Shortname]], Comp[], 17, FALSE)</f>
        <v>0</v>
      </c>
      <c r="S289">
        <f>VLOOKUP(Table4[[#This Row],[Shortname]], Comp[], 18, FALSE)</f>
        <v>0</v>
      </c>
      <c r="T289">
        <f>VLOOKUP(Table4[[#This Row],[Shortname]], Comp[], 19, FALSE)</f>
        <v>0.08</v>
      </c>
      <c r="U289">
        <f>VLOOKUP(Table4[[#This Row],[Shortname]], Comp[], 20, FALSE)</f>
        <v>0</v>
      </c>
      <c r="V289">
        <f>VLOOKUP(Table4[[#This Row],[Shortname]], Comp[], 21, FALSE)</f>
        <v>0</v>
      </c>
      <c r="W289">
        <f>VLOOKUP(Table4[[#This Row],[Shortname]], Comp[], 22, FALSE)</f>
        <v>0</v>
      </c>
      <c r="X289">
        <f>VLOOKUP(Table4[[#This Row],[Shortname]], Comp[], 23, FALSE)</f>
        <v>0</v>
      </c>
      <c r="Y289">
        <f>VLOOKUP(Table4[[#This Row],[Shortname]], Comp[], 24, FALSE)</f>
        <v>0</v>
      </c>
      <c r="Z289">
        <f>VLOOKUP(Table4[[#This Row],[Shortname]], Comp[], 25, FALSE)</f>
        <v>0</v>
      </c>
      <c r="AA289">
        <f>VLOOKUP(Table4[[#This Row],[Shortname]], Comp[], 26, FALSE)</f>
        <v>0</v>
      </c>
      <c r="AB289">
        <f>VLOOKUP(Table4[[#This Row],[Shortname]], Comp[], 27, FALSE)</f>
        <v>0</v>
      </c>
      <c r="AC289">
        <f>VLOOKUP(Table4[[#This Row],[Shortname]], Comp[], 28, FALSE)</f>
        <v>0</v>
      </c>
      <c r="AD289">
        <f>VLOOKUP(Table4[[#This Row],[Shortname]], Comp[], 29, FALSE)</f>
        <v>0</v>
      </c>
      <c r="AE289">
        <f>VLOOKUP(Table4[[#This Row],[Shortname]], Comp[], 30, FALSE)</f>
        <v>0</v>
      </c>
      <c r="AF289">
        <f>VLOOKUP(Table4[[#This Row],[Shortname]], Comp[], 31, FALSE)</f>
        <v>0</v>
      </c>
    </row>
    <row r="290" spans="1:32" x14ac:dyDescent="0.3">
      <c r="A290" s="38" t="s">
        <v>6486</v>
      </c>
      <c r="B290" s="38" t="s">
        <v>6487</v>
      </c>
      <c r="C290" s="39" t="s">
        <v>6488</v>
      </c>
      <c r="D290" s="12">
        <v>25</v>
      </c>
      <c r="E290" s="12">
        <v>850</v>
      </c>
      <c r="F290">
        <v>462.02</v>
      </c>
      <c r="G290">
        <f>VLOOKUP(Table4[[#This Row],[Shortname]], Comp[], 6, FALSE)</f>
        <v>1084</v>
      </c>
      <c r="H290" s="14">
        <f>VLOOKUP(Table4[[#This Row],[Shortname]], Comp[], 7, FALSE)</f>
        <v>52.580000000000005</v>
      </c>
      <c r="I290">
        <f>VLOOKUP(Table4[[#This Row],[Shortname]], Comp[], 8, FALSE)</f>
        <v>29.36</v>
      </c>
      <c r="J290">
        <f>VLOOKUP(Table4[[#This Row],[Shortname]], Comp[], 9, FALSE)</f>
        <v>5.44</v>
      </c>
      <c r="K290">
        <f>VLOOKUP(Table4[[#This Row],[Shortname]], Comp[], 10, FALSE)</f>
        <v>4.07</v>
      </c>
      <c r="L290">
        <f>VLOOKUP(Table4[[#This Row],[Shortname]], Comp[], 11, FALSE)</f>
        <v>0</v>
      </c>
      <c r="M290">
        <f>VLOOKUP(Table4[[#This Row],[Shortname]], Comp[],12, FALSE)</f>
        <v>2.27</v>
      </c>
      <c r="N290">
        <f>VLOOKUP(Table4[[#This Row],[Shortname]], Comp[], 13, FALSE)</f>
        <v>1.69</v>
      </c>
      <c r="O290">
        <f>VLOOKUP(Table4[[#This Row],[Shortname]], Comp[], 14, FALSE)</f>
        <v>1.37</v>
      </c>
      <c r="P290">
        <f>VLOOKUP(Table4[[#This Row],[Shortname]], Comp[], 15, FALSE)</f>
        <v>3.14</v>
      </c>
      <c r="Q290">
        <f>VLOOKUP(Table4[[#This Row],[Shortname]], Comp[], 16, FALSE)</f>
        <v>0</v>
      </c>
      <c r="R290">
        <f>VLOOKUP(Table4[[#This Row],[Shortname]], Comp[], 17, FALSE)</f>
        <v>0</v>
      </c>
      <c r="S290">
        <f>VLOOKUP(Table4[[#This Row],[Shortname]], Comp[], 18, FALSE)</f>
        <v>0</v>
      </c>
      <c r="T290">
        <f>VLOOKUP(Table4[[#This Row],[Shortname]], Comp[], 19, FALSE)</f>
        <v>0.08</v>
      </c>
      <c r="U290">
        <f>VLOOKUP(Table4[[#This Row],[Shortname]], Comp[], 20, FALSE)</f>
        <v>0</v>
      </c>
      <c r="V290">
        <f>VLOOKUP(Table4[[#This Row],[Shortname]], Comp[], 21, FALSE)</f>
        <v>0</v>
      </c>
      <c r="W290">
        <f>VLOOKUP(Table4[[#This Row],[Shortname]], Comp[], 22, FALSE)</f>
        <v>0</v>
      </c>
      <c r="X290">
        <f>VLOOKUP(Table4[[#This Row],[Shortname]], Comp[], 23, FALSE)</f>
        <v>0</v>
      </c>
      <c r="Y290">
        <f>VLOOKUP(Table4[[#This Row],[Shortname]], Comp[], 24, FALSE)</f>
        <v>0</v>
      </c>
      <c r="Z290">
        <f>VLOOKUP(Table4[[#This Row],[Shortname]], Comp[], 25, FALSE)</f>
        <v>0</v>
      </c>
      <c r="AA290">
        <f>VLOOKUP(Table4[[#This Row],[Shortname]], Comp[], 26, FALSE)</f>
        <v>0</v>
      </c>
      <c r="AB290">
        <f>VLOOKUP(Table4[[#This Row],[Shortname]], Comp[], 27, FALSE)</f>
        <v>0</v>
      </c>
      <c r="AC290">
        <f>VLOOKUP(Table4[[#This Row],[Shortname]], Comp[], 28, FALSE)</f>
        <v>0</v>
      </c>
      <c r="AD290">
        <f>VLOOKUP(Table4[[#This Row],[Shortname]], Comp[], 29, FALSE)</f>
        <v>0</v>
      </c>
      <c r="AE290">
        <f>VLOOKUP(Table4[[#This Row],[Shortname]], Comp[], 30, FALSE)</f>
        <v>0</v>
      </c>
      <c r="AF290">
        <f>VLOOKUP(Table4[[#This Row],[Shortname]], Comp[], 31, FALSE)</f>
        <v>0</v>
      </c>
    </row>
    <row r="291" spans="1:32" x14ac:dyDescent="0.3">
      <c r="A291" s="38" t="s">
        <v>6490</v>
      </c>
      <c r="B291" s="38" t="s">
        <v>6491</v>
      </c>
      <c r="C291" s="39" t="s">
        <v>6492</v>
      </c>
      <c r="D291" s="12">
        <v>25</v>
      </c>
      <c r="E291" s="12">
        <v>850</v>
      </c>
      <c r="F291">
        <v>409.07</v>
      </c>
      <c r="G291">
        <f>VLOOKUP(Table4[[#This Row],[Shortname]], Comp[], 6, FALSE)</f>
        <v>1085</v>
      </c>
      <c r="H291" s="14">
        <f>VLOOKUP(Table4[[#This Row],[Shortname]], Comp[], 7, FALSE)</f>
        <v>68.84</v>
      </c>
      <c r="I291">
        <f>VLOOKUP(Table4[[#This Row],[Shortname]], Comp[], 8, FALSE)</f>
        <v>9.74</v>
      </c>
      <c r="J291">
        <f>VLOOKUP(Table4[[#This Row],[Shortname]], Comp[], 9, FALSE)</f>
        <v>5.04</v>
      </c>
      <c r="K291">
        <f>VLOOKUP(Table4[[#This Row],[Shortname]], Comp[], 10, FALSE)</f>
        <v>8.2200000000000006</v>
      </c>
      <c r="L291">
        <f>VLOOKUP(Table4[[#This Row],[Shortname]], Comp[], 11, FALSE)</f>
        <v>0</v>
      </c>
      <c r="M291">
        <f>VLOOKUP(Table4[[#This Row],[Shortname]], Comp[],12, FALSE)</f>
        <v>2.0699999999999998</v>
      </c>
      <c r="N291">
        <f>VLOOKUP(Table4[[#This Row],[Shortname]], Comp[], 13, FALSE)</f>
        <v>1.58</v>
      </c>
      <c r="O291">
        <f>VLOOKUP(Table4[[#This Row],[Shortname]], Comp[], 14, FALSE)</f>
        <v>1.41</v>
      </c>
      <c r="P291">
        <f>VLOOKUP(Table4[[#This Row],[Shortname]], Comp[], 15, FALSE)</f>
        <v>3.02</v>
      </c>
      <c r="Q291">
        <f>VLOOKUP(Table4[[#This Row],[Shortname]], Comp[], 16, FALSE)</f>
        <v>0</v>
      </c>
      <c r="R291">
        <f>VLOOKUP(Table4[[#This Row],[Shortname]], Comp[], 17, FALSE)</f>
        <v>0</v>
      </c>
      <c r="S291">
        <f>VLOOKUP(Table4[[#This Row],[Shortname]], Comp[], 18, FALSE)</f>
        <v>0</v>
      </c>
      <c r="T291">
        <f>VLOOKUP(Table4[[#This Row],[Shortname]], Comp[], 19, FALSE)</f>
        <v>0.08</v>
      </c>
      <c r="U291">
        <f>VLOOKUP(Table4[[#This Row],[Shortname]], Comp[], 20, FALSE)</f>
        <v>0</v>
      </c>
      <c r="V291">
        <f>VLOOKUP(Table4[[#This Row],[Shortname]], Comp[], 21, FALSE)</f>
        <v>0</v>
      </c>
      <c r="W291">
        <f>VLOOKUP(Table4[[#This Row],[Shortname]], Comp[], 22, FALSE)</f>
        <v>0</v>
      </c>
      <c r="X291">
        <f>VLOOKUP(Table4[[#This Row],[Shortname]], Comp[], 23, FALSE)</f>
        <v>0</v>
      </c>
      <c r="Y291">
        <f>VLOOKUP(Table4[[#This Row],[Shortname]], Comp[], 24, FALSE)</f>
        <v>0</v>
      </c>
      <c r="Z291">
        <f>VLOOKUP(Table4[[#This Row],[Shortname]], Comp[], 25, FALSE)</f>
        <v>0</v>
      </c>
      <c r="AA291">
        <f>VLOOKUP(Table4[[#This Row],[Shortname]], Comp[], 26, FALSE)</f>
        <v>0</v>
      </c>
      <c r="AB291">
        <f>VLOOKUP(Table4[[#This Row],[Shortname]], Comp[], 27, FALSE)</f>
        <v>0</v>
      </c>
      <c r="AC291">
        <f>VLOOKUP(Table4[[#This Row],[Shortname]], Comp[], 28, FALSE)</f>
        <v>0</v>
      </c>
      <c r="AD291">
        <f>VLOOKUP(Table4[[#This Row],[Shortname]], Comp[], 29, FALSE)</f>
        <v>0</v>
      </c>
      <c r="AE291">
        <f>VLOOKUP(Table4[[#This Row],[Shortname]], Comp[], 30, FALSE)</f>
        <v>0</v>
      </c>
      <c r="AF291">
        <f>VLOOKUP(Table4[[#This Row],[Shortname]], Comp[], 31, FALSE)</f>
        <v>0</v>
      </c>
    </row>
    <row r="292" spans="1:32" x14ac:dyDescent="0.3">
      <c r="A292" s="38" t="s">
        <v>6494</v>
      </c>
      <c r="B292" s="38" t="s">
        <v>6495</v>
      </c>
      <c r="C292" s="39" t="s">
        <v>6496</v>
      </c>
      <c r="D292" s="12">
        <v>25</v>
      </c>
      <c r="E292" s="12">
        <v>850</v>
      </c>
      <c r="F292">
        <v>443.69</v>
      </c>
      <c r="G292">
        <f>VLOOKUP(Table4[[#This Row],[Shortname]], Comp[], 6, FALSE)</f>
        <v>1086</v>
      </c>
      <c r="H292" s="14">
        <f>VLOOKUP(Table4[[#This Row],[Shortname]], Comp[], 7, FALSE)</f>
        <v>59.019999999999996</v>
      </c>
      <c r="I292">
        <f>VLOOKUP(Table4[[#This Row],[Shortname]], Comp[], 8, FALSE)</f>
        <v>19.54</v>
      </c>
      <c r="J292">
        <f>VLOOKUP(Table4[[#This Row],[Shortname]], Comp[], 9, FALSE)</f>
        <v>4.9800000000000004</v>
      </c>
      <c r="K292">
        <f>VLOOKUP(Table4[[#This Row],[Shortname]], Comp[], 10, FALSE)</f>
        <v>8.2899999999999991</v>
      </c>
      <c r="L292">
        <f>VLOOKUP(Table4[[#This Row],[Shortname]], Comp[], 11, FALSE)</f>
        <v>0</v>
      </c>
      <c r="M292">
        <f>VLOOKUP(Table4[[#This Row],[Shortname]], Comp[],12, FALSE)</f>
        <v>2.0699999999999998</v>
      </c>
      <c r="N292">
        <f>VLOOKUP(Table4[[#This Row],[Shortname]], Comp[], 13, FALSE)</f>
        <v>1.61</v>
      </c>
      <c r="O292">
        <f>VLOOKUP(Table4[[#This Row],[Shortname]], Comp[], 14, FALSE)</f>
        <v>1.38</v>
      </c>
      <c r="P292">
        <f>VLOOKUP(Table4[[#This Row],[Shortname]], Comp[], 15, FALSE)</f>
        <v>3.03</v>
      </c>
      <c r="Q292">
        <f>VLOOKUP(Table4[[#This Row],[Shortname]], Comp[], 16, FALSE)</f>
        <v>0</v>
      </c>
      <c r="R292">
        <f>VLOOKUP(Table4[[#This Row],[Shortname]], Comp[], 17, FALSE)</f>
        <v>0</v>
      </c>
      <c r="S292">
        <f>VLOOKUP(Table4[[#This Row],[Shortname]], Comp[], 18, FALSE)</f>
        <v>0</v>
      </c>
      <c r="T292">
        <f>VLOOKUP(Table4[[#This Row],[Shortname]], Comp[], 19, FALSE)</f>
        <v>0.08</v>
      </c>
      <c r="U292">
        <f>VLOOKUP(Table4[[#This Row],[Shortname]], Comp[], 20, FALSE)</f>
        <v>0</v>
      </c>
      <c r="V292">
        <f>VLOOKUP(Table4[[#This Row],[Shortname]], Comp[], 21, FALSE)</f>
        <v>0</v>
      </c>
      <c r="W292">
        <f>VLOOKUP(Table4[[#This Row],[Shortname]], Comp[], 22, FALSE)</f>
        <v>0</v>
      </c>
      <c r="X292">
        <f>VLOOKUP(Table4[[#This Row],[Shortname]], Comp[], 23, FALSE)</f>
        <v>0</v>
      </c>
      <c r="Y292">
        <f>VLOOKUP(Table4[[#This Row],[Shortname]], Comp[], 24, FALSE)</f>
        <v>0</v>
      </c>
      <c r="Z292">
        <f>VLOOKUP(Table4[[#This Row],[Shortname]], Comp[], 25, FALSE)</f>
        <v>0</v>
      </c>
      <c r="AA292">
        <f>VLOOKUP(Table4[[#This Row],[Shortname]], Comp[], 26, FALSE)</f>
        <v>0</v>
      </c>
      <c r="AB292">
        <f>VLOOKUP(Table4[[#This Row],[Shortname]], Comp[], 27, FALSE)</f>
        <v>0</v>
      </c>
      <c r="AC292">
        <f>VLOOKUP(Table4[[#This Row],[Shortname]], Comp[], 28, FALSE)</f>
        <v>0</v>
      </c>
      <c r="AD292">
        <f>VLOOKUP(Table4[[#This Row],[Shortname]], Comp[], 29, FALSE)</f>
        <v>0</v>
      </c>
      <c r="AE292">
        <f>VLOOKUP(Table4[[#This Row],[Shortname]], Comp[], 30, FALSE)</f>
        <v>0</v>
      </c>
      <c r="AF292">
        <f>VLOOKUP(Table4[[#This Row],[Shortname]], Comp[], 31, FALSE)</f>
        <v>0</v>
      </c>
    </row>
    <row r="293" spans="1:32" x14ac:dyDescent="0.3">
      <c r="A293" s="38" t="s">
        <v>6498</v>
      </c>
      <c r="B293" s="38" t="s">
        <v>6499</v>
      </c>
      <c r="C293" s="39" t="s">
        <v>6500</v>
      </c>
      <c r="D293" s="12">
        <v>25</v>
      </c>
      <c r="E293" s="12">
        <v>850</v>
      </c>
      <c r="F293">
        <v>466.93</v>
      </c>
      <c r="G293">
        <f>VLOOKUP(Table4[[#This Row],[Shortname]], Comp[], 6, FALSE)</f>
        <v>1087</v>
      </c>
      <c r="H293" s="14">
        <f>VLOOKUP(Table4[[#This Row],[Shortname]], Comp[], 7, FALSE)</f>
        <v>48.690000000000005</v>
      </c>
      <c r="I293">
        <f>VLOOKUP(Table4[[#This Row],[Shortname]], Comp[], 8, FALSE)</f>
        <v>29.66</v>
      </c>
      <c r="J293">
        <f>VLOOKUP(Table4[[#This Row],[Shortname]], Comp[], 9, FALSE)</f>
        <v>4.9800000000000004</v>
      </c>
      <c r="K293">
        <f>VLOOKUP(Table4[[#This Row],[Shortname]], Comp[], 10, FALSE)</f>
        <v>8.19</v>
      </c>
      <c r="L293">
        <f>VLOOKUP(Table4[[#This Row],[Shortname]], Comp[], 11, FALSE)</f>
        <v>0</v>
      </c>
      <c r="M293">
        <f>VLOOKUP(Table4[[#This Row],[Shortname]], Comp[],12, FALSE)</f>
        <v>2.08</v>
      </c>
      <c r="N293">
        <f>VLOOKUP(Table4[[#This Row],[Shortname]], Comp[], 13, FALSE)</f>
        <v>1.65</v>
      </c>
      <c r="O293">
        <f>VLOOKUP(Table4[[#This Row],[Shortname]], Comp[], 14, FALSE)</f>
        <v>1.6</v>
      </c>
      <c r="P293">
        <f>VLOOKUP(Table4[[#This Row],[Shortname]], Comp[], 15, FALSE)</f>
        <v>3.07</v>
      </c>
      <c r="Q293">
        <f>VLOOKUP(Table4[[#This Row],[Shortname]], Comp[], 16, FALSE)</f>
        <v>0</v>
      </c>
      <c r="R293">
        <f>VLOOKUP(Table4[[#This Row],[Shortname]], Comp[], 17, FALSE)</f>
        <v>0</v>
      </c>
      <c r="S293">
        <f>VLOOKUP(Table4[[#This Row],[Shortname]], Comp[], 18, FALSE)</f>
        <v>0</v>
      </c>
      <c r="T293">
        <f>VLOOKUP(Table4[[#This Row],[Shortname]], Comp[], 19, FALSE)</f>
        <v>0.08</v>
      </c>
      <c r="U293">
        <f>VLOOKUP(Table4[[#This Row],[Shortname]], Comp[], 20, FALSE)</f>
        <v>0</v>
      </c>
      <c r="V293">
        <f>VLOOKUP(Table4[[#This Row],[Shortname]], Comp[], 21, FALSE)</f>
        <v>0</v>
      </c>
      <c r="W293">
        <f>VLOOKUP(Table4[[#This Row],[Shortname]], Comp[], 22, FALSE)</f>
        <v>0</v>
      </c>
      <c r="X293">
        <f>VLOOKUP(Table4[[#This Row],[Shortname]], Comp[], 23, FALSE)</f>
        <v>0</v>
      </c>
      <c r="Y293">
        <f>VLOOKUP(Table4[[#This Row],[Shortname]], Comp[], 24, FALSE)</f>
        <v>0</v>
      </c>
      <c r="Z293">
        <f>VLOOKUP(Table4[[#This Row],[Shortname]], Comp[], 25, FALSE)</f>
        <v>0</v>
      </c>
      <c r="AA293">
        <f>VLOOKUP(Table4[[#This Row],[Shortname]], Comp[], 26, FALSE)</f>
        <v>0</v>
      </c>
      <c r="AB293">
        <f>VLOOKUP(Table4[[#This Row],[Shortname]], Comp[], 27, FALSE)</f>
        <v>0</v>
      </c>
      <c r="AC293">
        <f>VLOOKUP(Table4[[#This Row],[Shortname]], Comp[], 28, FALSE)</f>
        <v>0</v>
      </c>
      <c r="AD293">
        <f>VLOOKUP(Table4[[#This Row],[Shortname]], Comp[], 29, FALSE)</f>
        <v>0</v>
      </c>
      <c r="AE293">
        <f>VLOOKUP(Table4[[#This Row],[Shortname]], Comp[], 30, FALSE)</f>
        <v>0</v>
      </c>
      <c r="AF293">
        <f>VLOOKUP(Table4[[#This Row],[Shortname]], Comp[], 31, FALSE)</f>
        <v>0</v>
      </c>
    </row>
    <row r="294" spans="1:32" x14ac:dyDescent="0.3">
      <c r="A294" s="38" t="s">
        <v>6429</v>
      </c>
      <c r="B294" s="38" t="s">
        <v>6430</v>
      </c>
      <c r="C294" s="39" t="s">
        <v>6431</v>
      </c>
      <c r="D294" s="12">
        <v>25</v>
      </c>
      <c r="E294" s="12">
        <v>850</v>
      </c>
      <c r="F294">
        <v>348.30764770000002</v>
      </c>
      <c r="G294">
        <f>VLOOKUP(Table4[[#This Row],[Shortname]], Comp[], 6, FALSE)</f>
        <v>1072</v>
      </c>
      <c r="H294" s="14">
        <f>VLOOKUP(Table4[[#This Row],[Shortname]], Comp[], 7, FALSE)</f>
        <v>52.410000000000004</v>
      </c>
      <c r="I294">
        <f>VLOOKUP(Table4[[#This Row],[Shortname]], Comp[], 8, FALSE)</f>
        <v>17.489999999999998</v>
      </c>
      <c r="J294">
        <f>VLOOKUP(Table4[[#This Row],[Shortname]], Comp[], 9, FALSE)</f>
        <v>5.42</v>
      </c>
      <c r="K294">
        <f>VLOOKUP(Table4[[#This Row],[Shortname]], Comp[], 10, FALSE)</f>
        <v>4.17</v>
      </c>
      <c r="L294">
        <f>VLOOKUP(Table4[[#This Row],[Shortname]], Comp[], 11, FALSE)</f>
        <v>0</v>
      </c>
      <c r="M294">
        <f>VLOOKUP(Table4[[#This Row],[Shortname]], Comp[],12, FALSE)</f>
        <v>2.0299999999999998</v>
      </c>
      <c r="N294">
        <f>VLOOKUP(Table4[[#This Row],[Shortname]], Comp[], 13, FALSE)</f>
        <v>1.52</v>
      </c>
      <c r="O294">
        <f>VLOOKUP(Table4[[#This Row],[Shortname]], Comp[], 14, FALSE)</f>
        <v>1.44</v>
      </c>
      <c r="P294">
        <f>VLOOKUP(Table4[[#This Row],[Shortname]], Comp[], 15, FALSE)</f>
        <v>3.08</v>
      </c>
      <c r="Q294">
        <f>VLOOKUP(Table4[[#This Row],[Shortname]], Comp[], 16, FALSE)</f>
        <v>0</v>
      </c>
      <c r="R294">
        <f>VLOOKUP(Table4[[#This Row],[Shortname]], Comp[], 17, FALSE)</f>
        <v>0</v>
      </c>
      <c r="S294">
        <f>VLOOKUP(Table4[[#This Row],[Shortname]], Comp[], 18, FALSE)</f>
        <v>0</v>
      </c>
      <c r="T294">
        <f>VLOOKUP(Table4[[#This Row],[Shortname]], Comp[], 19, FALSE)</f>
        <v>0.08</v>
      </c>
      <c r="U294">
        <f>VLOOKUP(Table4[[#This Row],[Shortname]], Comp[], 20, FALSE)</f>
        <v>0</v>
      </c>
      <c r="V294">
        <f>VLOOKUP(Table4[[#This Row],[Shortname]], Comp[], 21, FALSE)</f>
        <v>0</v>
      </c>
      <c r="W294">
        <f>VLOOKUP(Table4[[#This Row],[Shortname]], Comp[], 22, FALSE)</f>
        <v>0</v>
      </c>
      <c r="X294">
        <f>VLOOKUP(Table4[[#This Row],[Shortname]], Comp[], 23, FALSE)</f>
        <v>12.36</v>
      </c>
      <c r="Y294">
        <f>VLOOKUP(Table4[[#This Row],[Shortname]], Comp[], 24, FALSE)</f>
        <v>0</v>
      </c>
      <c r="Z294">
        <f>VLOOKUP(Table4[[#This Row],[Shortname]], Comp[], 25, FALSE)</f>
        <v>0</v>
      </c>
      <c r="AA294">
        <f>VLOOKUP(Table4[[#This Row],[Shortname]], Comp[], 26, FALSE)</f>
        <v>0</v>
      </c>
      <c r="AB294">
        <f>VLOOKUP(Table4[[#This Row],[Shortname]], Comp[], 27, FALSE)</f>
        <v>0</v>
      </c>
      <c r="AC294">
        <f>VLOOKUP(Table4[[#This Row],[Shortname]], Comp[], 28, FALSE)</f>
        <v>0</v>
      </c>
      <c r="AD294">
        <f>VLOOKUP(Table4[[#This Row],[Shortname]], Comp[], 29, FALSE)</f>
        <v>0</v>
      </c>
      <c r="AE294">
        <f>VLOOKUP(Table4[[#This Row],[Shortname]], Comp[], 30, FALSE)</f>
        <v>0</v>
      </c>
      <c r="AF294">
        <f>VLOOKUP(Table4[[#This Row],[Shortname]], Comp[], 31, FALSE)</f>
        <v>0</v>
      </c>
    </row>
    <row r="295" spans="1:32" x14ac:dyDescent="0.3">
      <c r="A295" s="38" t="s">
        <v>6435</v>
      </c>
      <c r="B295" s="38" t="s">
        <v>6436</v>
      </c>
      <c r="C295" s="39" t="s">
        <v>6431</v>
      </c>
      <c r="D295" s="12">
        <v>25</v>
      </c>
      <c r="E295" s="12">
        <v>850</v>
      </c>
      <c r="F295">
        <v>341.78790279999998</v>
      </c>
      <c r="G295">
        <f>VLOOKUP(Table4[[#This Row],[Shortname]], Comp[], 6, FALSE)</f>
        <v>1073</v>
      </c>
      <c r="H295" s="14">
        <f>VLOOKUP(Table4[[#This Row],[Shortname]], Comp[], 7, FALSE)</f>
        <v>52.14</v>
      </c>
      <c r="I295">
        <f>VLOOKUP(Table4[[#This Row],[Shortname]], Comp[], 8, FALSE)</f>
        <v>15.53</v>
      </c>
      <c r="J295">
        <f>VLOOKUP(Table4[[#This Row],[Shortname]], Comp[], 9, FALSE)</f>
        <v>5.63</v>
      </c>
      <c r="K295">
        <f>VLOOKUP(Table4[[#This Row],[Shortname]], Comp[], 10, FALSE)</f>
        <v>4.18</v>
      </c>
      <c r="L295">
        <f>VLOOKUP(Table4[[#This Row],[Shortname]], Comp[], 11, FALSE)</f>
        <v>0</v>
      </c>
      <c r="M295">
        <f>VLOOKUP(Table4[[#This Row],[Shortname]], Comp[],12, FALSE)</f>
        <v>2.0699999999999998</v>
      </c>
      <c r="N295">
        <f>VLOOKUP(Table4[[#This Row],[Shortname]], Comp[], 13, FALSE)</f>
        <v>1.49</v>
      </c>
      <c r="O295">
        <f>VLOOKUP(Table4[[#This Row],[Shortname]], Comp[], 14, FALSE)</f>
        <v>1.5</v>
      </c>
      <c r="P295">
        <f>VLOOKUP(Table4[[#This Row],[Shortname]], Comp[], 15, FALSE)</f>
        <v>3.07</v>
      </c>
      <c r="Q295">
        <f>VLOOKUP(Table4[[#This Row],[Shortname]], Comp[], 16, FALSE)</f>
        <v>0</v>
      </c>
      <c r="R295">
        <f>VLOOKUP(Table4[[#This Row],[Shortname]], Comp[], 17, FALSE)</f>
        <v>0</v>
      </c>
      <c r="S295">
        <f>VLOOKUP(Table4[[#This Row],[Shortname]], Comp[], 18, FALSE)</f>
        <v>0</v>
      </c>
      <c r="T295">
        <f>VLOOKUP(Table4[[#This Row],[Shortname]], Comp[], 19, FALSE)</f>
        <v>0.08</v>
      </c>
      <c r="U295">
        <f>VLOOKUP(Table4[[#This Row],[Shortname]], Comp[], 20, FALSE)</f>
        <v>0</v>
      </c>
      <c r="V295">
        <f>VLOOKUP(Table4[[#This Row],[Shortname]], Comp[], 21, FALSE)</f>
        <v>0</v>
      </c>
      <c r="W295">
        <f>VLOOKUP(Table4[[#This Row],[Shortname]], Comp[], 22, FALSE)</f>
        <v>0</v>
      </c>
      <c r="X295">
        <f>VLOOKUP(Table4[[#This Row],[Shortname]], Comp[], 23, FALSE)</f>
        <v>14.31</v>
      </c>
      <c r="Y295">
        <f>VLOOKUP(Table4[[#This Row],[Shortname]], Comp[], 24, FALSE)</f>
        <v>0</v>
      </c>
      <c r="Z295">
        <f>VLOOKUP(Table4[[#This Row],[Shortname]], Comp[], 25, FALSE)</f>
        <v>0</v>
      </c>
      <c r="AA295">
        <f>VLOOKUP(Table4[[#This Row],[Shortname]], Comp[], 26, FALSE)</f>
        <v>0</v>
      </c>
      <c r="AB295">
        <f>VLOOKUP(Table4[[#This Row],[Shortname]], Comp[], 27, FALSE)</f>
        <v>0</v>
      </c>
      <c r="AC295">
        <f>VLOOKUP(Table4[[#This Row],[Shortname]], Comp[], 28, FALSE)</f>
        <v>0</v>
      </c>
      <c r="AD295">
        <f>VLOOKUP(Table4[[#This Row],[Shortname]], Comp[], 29, FALSE)</f>
        <v>0</v>
      </c>
      <c r="AE295">
        <f>VLOOKUP(Table4[[#This Row],[Shortname]], Comp[], 30, FALSE)</f>
        <v>0</v>
      </c>
      <c r="AF295">
        <f>VLOOKUP(Table4[[#This Row],[Shortname]], Comp[], 31, FALSE)</f>
        <v>0</v>
      </c>
    </row>
    <row r="296" spans="1:32" x14ac:dyDescent="0.3">
      <c r="A296" s="38" t="s">
        <v>6440</v>
      </c>
      <c r="B296" s="38" t="s">
        <v>6441</v>
      </c>
      <c r="C296" s="39" t="s">
        <v>6431</v>
      </c>
      <c r="D296" s="12">
        <v>25</v>
      </c>
      <c r="E296" s="12">
        <v>850</v>
      </c>
      <c r="F296">
        <v>323.38674930000002</v>
      </c>
      <c r="G296">
        <f>VLOOKUP(Table4[[#This Row],[Shortname]], Comp[], 6, FALSE)</f>
        <v>1074</v>
      </c>
      <c r="H296" s="14">
        <f>VLOOKUP(Table4[[#This Row],[Shortname]], Comp[], 7, FALSE)</f>
        <v>52.13</v>
      </c>
      <c r="I296">
        <f>VLOOKUP(Table4[[#This Row],[Shortname]], Comp[], 8, FALSE)</f>
        <v>11.78</v>
      </c>
      <c r="J296">
        <f>VLOOKUP(Table4[[#This Row],[Shortname]], Comp[], 9, FALSE)</f>
        <v>5.45</v>
      </c>
      <c r="K296">
        <f>VLOOKUP(Table4[[#This Row],[Shortname]], Comp[], 10, FALSE)</f>
        <v>4.1399999999999997</v>
      </c>
      <c r="L296">
        <f>VLOOKUP(Table4[[#This Row],[Shortname]], Comp[], 11, FALSE)</f>
        <v>0</v>
      </c>
      <c r="M296">
        <f>VLOOKUP(Table4[[#This Row],[Shortname]], Comp[],12, FALSE)</f>
        <v>2.06</v>
      </c>
      <c r="N296">
        <f>VLOOKUP(Table4[[#This Row],[Shortname]], Comp[], 13, FALSE)</f>
        <v>1.52</v>
      </c>
      <c r="O296">
        <f>VLOOKUP(Table4[[#This Row],[Shortname]], Comp[], 14, FALSE)</f>
        <v>1.51</v>
      </c>
      <c r="P296">
        <f>VLOOKUP(Table4[[#This Row],[Shortname]], Comp[], 15, FALSE)</f>
        <v>3.06</v>
      </c>
      <c r="Q296">
        <f>VLOOKUP(Table4[[#This Row],[Shortname]], Comp[], 16, FALSE)</f>
        <v>0</v>
      </c>
      <c r="R296">
        <f>VLOOKUP(Table4[[#This Row],[Shortname]], Comp[], 17, FALSE)</f>
        <v>0</v>
      </c>
      <c r="S296">
        <f>VLOOKUP(Table4[[#This Row],[Shortname]], Comp[], 18, FALSE)</f>
        <v>0</v>
      </c>
      <c r="T296">
        <f>VLOOKUP(Table4[[#This Row],[Shortname]], Comp[], 19, FALSE)</f>
        <v>0.08</v>
      </c>
      <c r="U296">
        <f>VLOOKUP(Table4[[#This Row],[Shortname]], Comp[], 20, FALSE)</f>
        <v>0</v>
      </c>
      <c r="V296">
        <f>VLOOKUP(Table4[[#This Row],[Shortname]], Comp[], 21, FALSE)</f>
        <v>0</v>
      </c>
      <c r="W296">
        <f>VLOOKUP(Table4[[#This Row],[Shortname]], Comp[], 22, FALSE)</f>
        <v>0</v>
      </c>
      <c r="X296">
        <f>VLOOKUP(Table4[[#This Row],[Shortname]], Comp[], 23, FALSE)</f>
        <v>18.27</v>
      </c>
      <c r="Y296">
        <f>VLOOKUP(Table4[[#This Row],[Shortname]], Comp[], 24, FALSE)</f>
        <v>0</v>
      </c>
      <c r="Z296">
        <f>VLOOKUP(Table4[[#This Row],[Shortname]], Comp[], 25, FALSE)</f>
        <v>0</v>
      </c>
      <c r="AA296">
        <f>VLOOKUP(Table4[[#This Row],[Shortname]], Comp[], 26, FALSE)</f>
        <v>0</v>
      </c>
      <c r="AB296">
        <f>VLOOKUP(Table4[[#This Row],[Shortname]], Comp[], 27, FALSE)</f>
        <v>0</v>
      </c>
      <c r="AC296">
        <f>VLOOKUP(Table4[[#This Row],[Shortname]], Comp[], 28, FALSE)</f>
        <v>0</v>
      </c>
      <c r="AD296">
        <f>VLOOKUP(Table4[[#This Row],[Shortname]], Comp[], 29, FALSE)</f>
        <v>0</v>
      </c>
      <c r="AE296">
        <f>VLOOKUP(Table4[[#This Row],[Shortname]], Comp[], 30, FALSE)</f>
        <v>0</v>
      </c>
      <c r="AF296">
        <f>VLOOKUP(Table4[[#This Row],[Shortname]], Comp[], 31, FALSE)</f>
        <v>0</v>
      </c>
    </row>
    <row r="297" spans="1:32" x14ac:dyDescent="0.3">
      <c r="A297" s="38" t="s">
        <v>6445</v>
      </c>
      <c r="B297" s="38" t="s">
        <v>6446</v>
      </c>
      <c r="C297" s="39" t="s">
        <v>6431</v>
      </c>
      <c r="D297" s="12">
        <v>25</v>
      </c>
      <c r="E297" s="12">
        <v>850</v>
      </c>
      <c r="F297">
        <v>377.88491820000002</v>
      </c>
      <c r="G297">
        <f>VLOOKUP(Table4[[#This Row],[Shortname]], Comp[], 6, FALSE)</f>
        <v>1075</v>
      </c>
      <c r="H297" s="14">
        <f>VLOOKUP(Table4[[#This Row],[Shortname]], Comp[], 7, FALSE)</f>
        <v>48.260000000000005</v>
      </c>
      <c r="I297">
        <f>VLOOKUP(Table4[[#This Row],[Shortname]], Comp[], 8, FALSE)</f>
        <v>17.440000000000001</v>
      </c>
      <c r="J297">
        <f>VLOOKUP(Table4[[#This Row],[Shortname]], Comp[], 9, FALSE)</f>
        <v>5.44</v>
      </c>
      <c r="K297">
        <f>VLOOKUP(Table4[[#This Row],[Shortname]], Comp[], 10, FALSE)</f>
        <v>8.32</v>
      </c>
      <c r="L297">
        <f>VLOOKUP(Table4[[#This Row],[Shortname]], Comp[], 11, FALSE)</f>
        <v>0</v>
      </c>
      <c r="M297">
        <f>VLOOKUP(Table4[[#This Row],[Shortname]], Comp[],12, FALSE)</f>
        <v>2.08</v>
      </c>
      <c r="N297">
        <f>VLOOKUP(Table4[[#This Row],[Shortname]], Comp[], 13, FALSE)</f>
        <v>1.55</v>
      </c>
      <c r="O297">
        <f>VLOOKUP(Table4[[#This Row],[Shortname]], Comp[], 14, FALSE)</f>
        <v>1.48</v>
      </c>
      <c r="P297">
        <f>VLOOKUP(Table4[[#This Row],[Shortname]], Comp[], 15, FALSE)</f>
        <v>3.11</v>
      </c>
      <c r="Q297">
        <f>VLOOKUP(Table4[[#This Row],[Shortname]], Comp[], 16, FALSE)</f>
        <v>0</v>
      </c>
      <c r="R297">
        <f>VLOOKUP(Table4[[#This Row],[Shortname]], Comp[], 17, FALSE)</f>
        <v>0</v>
      </c>
      <c r="S297">
        <f>VLOOKUP(Table4[[#This Row],[Shortname]], Comp[], 18, FALSE)</f>
        <v>0</v>
      </c>
      <c r="T297">
        <f>VLOOKUP(Table4[[#This Row],[Shortname]], Comp[], 19, FALSE)</f>
        <v>0.08</v>
      </c>
      <c r="U297">
        <f>VLOOKUP(Table4[[#This Row],[Shortname]], Comp[], 20, FALSE)</f>
        <v>0</v>
      </c>
      <c r="V297">
        <f>VLOOKUP(Table4[[#This Row],[Shortname]], Comp[], 21, FALSE)</f>
        <v>0</v>
      </c>
      <c r="W297">
        <f>VLOOKUP(Table4[[#This Row],[Shortname]], Comp[], 22, FALSE)</f>
        <v>0</v>
      </c>
      <c r="X297">
        <f>VLOOKUP(Table4[[#This Row],[Shortname]], Comp[], 23, FALSE)</f>
        <v>12.24</v>
      </c>
      <c r="Y297">
        <f>VLOOKUP(Table4[[#This Row],[Shortname]], Comp[], 24, FALSE)</f>
        <v>0</v>
      </c>
      <c r="Z297">
        <f>VLOOKUP(Table4[[#This Row],[Shortname]], Comp[], 25, FALSE)</f>
        <v>0</v>
      </c>
      <c r="AA297">
        <f>VLOOKUP(Table4[[#This Row],[Shortname]], Comp[], 26, FALSE)</f>
        <v>0</v>
      </c>
      <c r="AB297">
        <f>VLOOKUP(Table4[[#This Row],[Shortname]], Comp[], 27, FALSE)</f>
        <v>0</v>
      </c>
      <c r="AC297">
        <f>VLOOKUP(Table4[[#This Row],[Shortname]], Comp[], 28, FALSE)</f>
        <v>0</v>
      </c>
      <c r="AD297">
        <f>VLOOKUP(Table4[[#This Row],[Shortname]], Comp[], 29, FALSE)</f>
        <v>0</v>
      </c>
      <c r="AE297">
        <f>VLOOKUP(Table4[[#This Row],[Shortname]], Comp[], 30, FALSE)</f>
        <v>0</v>
      </c>
      <c r="AF297">
        <f>VLOOKUP(Table4[[#This Row],[Shortname]], Comp[], 31, FALSE)</f>
        <v>0</v>
      </c>
    </row>
    <row r="298" spans="1:32" x14ac:dyDescent="0.3">
      <c r="A298" s="38" t="s">
        <v>6451</v>
      </c>
      <c r="B298" s="38" t="s">
        <v>6452</v>
      </c>
      <c r="C298" s="39" t="s">
        <v>6431</v>
      </c>
      <c r="D298" s="12">
        <v>25</v>
      </c>
      <c r="E298" s="12">
        <v>850</v>
      </c>
      <c r="F298">
        <v>371.27038570000002</v>
      </c>
      <c r="G298">
        <f>VLOOKUP(Table4[[#This Row],[Shortname]], Comp[], 6, FALSE)</f>
        <v>1076</v>
      </c>
      <c r="H298" s="14">
        <f>VLOOKUP(Table4[[#This Row],[Shortname]], Comp[], 7, FALSE)</f>
        <v>48.25</v>
      </c>
      <c r="I298">
        <f>VLOOKUP(Table4[[#This Row],[Shortname]], Comp[], 8, FALSE)</f>
        <v>15.59</v>
      </c>
      <c r="J298">
        <f>VLOOKUP(Table4[[#This Row],[Shortname]], Comp[], 9, FALSE)</f>
        <v>5.44</v>
      </c>
      <c r="K298">
        <f>VLOOKUP(Table4[[#This Row],[Shortname]], Comp[], 10, FALSE)</f>
        <v>8.2899999999999991</v>
      </c>
      <c r="L298">
        <f>VLOOKUP(Table4[[#This Row],[Shortname]], Comp[], 11, FALSE)</f>
        <v>0</v>
      </c>
      <c r="M298">
        <f>VLOOKUP(Table4[[#This Row],[Shortname]], Comp[],12, FALSE)</f>
        <v>2.0699999999999998</v>
      </c>
      <c r="N298">
        <f>VLOOKUP(Table4[[#This Row],[Shortname]], Comp[], 13, FALSE)</f>
        <v>1.51</v>
      </c>
      <c r="O298">
        <f>VLOOKUP(Table4[[#This Row],[Shortname]], Comp[], 14, FALSE)</f>
        <v>1.45</v>
      </c>
      <c r="P298">
        <f>VLOOKUP(Table4[[#This Row],[Shortname]], Comp[], 15, FALSE)</f>
        <v>3.1</v>
      </c>
      <c r="Q298">
        <f>VLOOKUP(Table4[[#This Row],[Shortname]], Comp[], 16, FALSE)</f>
        <v>0</v>
      </c>
      <c r="R298">
        <f>VLOOKUP(Table4[[#This Row],[Shortname]], Comp[], 17, FALSE)</f>
        <v>0</v>
      </c>
      <c r="S298">
        <f>VLOOKUP(Table4[[#This Row],[Shortname]], Comp[], 18, FALSE)</f>
        <v>0</v>
      </c>
      <c r="T298">
        <f>VLOOKUP(Table4[[#This Row],[Shortname]], Comp[], 19, FALSE)</f>
        <v>0.08</v>
      </c>
      <c r="U298">
        <f>VLOOKUP(Table4[[#This Row],[Shortname]], Comp[], 20, FALSE)</f>
        <v>0</v>
      </c>
      <c r="V298">
        <f>VLOOKUP(Table4[[#This Row],[Shortname]], Comp[], 21, FALSE)</f>
        <v>0</v>
      </c>
      <c r="W298">
        <f>VLOOKUP(Table4[[#This Row],[Shortname]], Comp[], 22, FALSE)</f>
        <v>0</v>
      </c>
      <c r="X298">
        <f>VLOOKUP(Table4[[#This Row],[Shortname]], Comp[], 23, FALSE)</f>
        <v>14.22</v>
      </c>
      <c r="Y298">
        <f>VLOOKUP(Table4[[#This Row],[Shortname]], Comp[], 24, FALSE)</f>
        <v>0</v>
      </c>
      <c r="Z298">
        <f>VLOOKUP(Table4[[#This Row],[Shortname]], Comp[], 25, FALSE)</f>
        <v>0</v>
      </c>
      <c r="AA298">
        <f>VLOOKUP(Table4[[#This Row],[Shortname]], Comp[], 26, FALSE)</f>
        <v>0</v>
      </c>
      <c r="AB298">
        <f>VLOOKUP(Table4[[#This Row],[Shortname]], Comp[], 27, FALSE)</f>
        <v>0</v>
      </c>
      <c r="AC298">
        <f>VLOOKUP(Table4[[#This Row],[Shortname]], Comp[], 28, FALSE)</f>
        <v>0</v>
      </c>
      <c r="AD298">
        <f>VLOOKUP(Table4[[#This Row],[Shortname]], Comp[], 29, FALSE)</f>
        <v>0</v>
      </c>
      <c r="AE298">
        <f>VLOOKUP(Table4[[#This Row],[Shortname]], Comp[], 30, FALSE)</f>
        <v>0</v>
      </c>
      <c r="AF298">
        <f>VLOOKUP(Table4[[#This Row],[Shortname]], Comp[], 31, FALSE)</f>
        <v>0</v>
      </c>
    </row>
    <row r="299" spans="1:32" x14ac:dyDescent="0.3">
      <c r="A299" s="38" t="s">
        <v>6456</v>
      </c>
      <c r="B299" s="38" t="s">
        <v>6457</v>
      </c>
      <c r="C299" s="39" t="s">
        <v>6431</v>
      </c>
      <c r="D299" s="12">
        <v>25</v>
      </c>
      <c r="E299" s="12">
        <v>850</v>
      </c>
      <c r="F299">
        <v>336.5037537</v>
      </c>
      <c r="G299">
        <f>VLOOKUP(Table4[[#This Row],[Shortname]], Comp[], 6, FALSE)</f>
        <v>1077</v>
      </c>
      <c r="H299" s="14">
        <f>VLOOKUP(Table4[[#This Row],[Shortname]], Comp[], 7, FALSE)</f>
        <v>48.05</v>
      </c>
      <c r="I299">
        <f>VLOOKUP(Table4[[#This Row],[Shortname]], Comp[], 8, FALSE)</f>
        <v>11.81</v>
      </c>
      <c r="J299">
        <f>VLOOKUP(Table4[[#This Row],[Shortname]], Comp[], 9, FALSE)</f>
        <v>5.49</v>
      </c>
      <c r="K299">
        <f>VLOOKUP(Table4[[#This Row],[Shortname]], Comp[], 10, FALSE)</f>
        <v>8.3000000000000007</v>
      </c>
      <c r="L299">
        <f>VLOOKUP(Table4[[#This Row],[Shortname]], Comp[], 11, FALSE)</f>
        <v>0</v>
      </c>
      <c r="M299">
        <f>VLOOKUP(Table4[[#This Row],[Shortname]], Comp[],12, FALSE)</f>
        <v>2.04</v>
      </c>
      <c r="N299">
        <f>VLOOKUP(Table4[[#This Row],[Shortname]], Comp[], 13, FALSE)</f>
        <v>1.44</v>
      </c>
      <c r="O299">
        <f>VLOOKUP(Table4[[#This Row],[Shortname]], Comp[], 14, FALSE)</f>
        <v>1.41</v>
      </c>
      <c r="P299">
        <f>VLOOKUP(Table4[[#This Row],[Shortname]], Comp[], 15, FALSE)</f>
        <v>3.1</v>
      </c>
      <c r="Q299">
        <f>VLOOKUP(Table4[[#This Row],[Shortname]], Comp[], 16, FALSE)</f>
        <v>0</v>
      </c>
      <c r="R299">
        <f>VLOOKUP(Table4[[#This Row],[Shortname]], Comp[], 17, FALSE)</f>
        <v>0</v>
      </c>
      <c r="S299">
        <f>VLOOKUP(Table4[[#This Row],[Shortname]], Comp[], 18, FALSE)</f>
        <v>0</v>
      </c>
      <c r="T299">
        <f>VLOOKUP(Table4[[#This Row],[Shortname]], Comp[], 19, FALSE)</f>
        <v>0.08</v>
      </c>
      <c r="U299">
        <f>VLOOKUP(Table4[[#This Row],[Shortname]], Comp[], 20, FALSE)</f>
        <v>0</v>
      </c>
      <c r="V299">
        <f>VLOOKUP(Table4[[#This Row],[Shortname]], Comp[], 21, FALSE)</f>
        <v>0</v>
      </c>
      <c r="W299">
        <f>VLOOKUP(Table4[[#This Row],[Shortname]], Comp[], 22, FALSE)</f>
        <v>0</v>
      </c>
      <c r="X299">
        <f>VLOOKUP(Table4[[#This Row],[Shortname]], Comp[], 23, FALSE)</f>
        <v>18.28</v>
      </c>
      <c r="Y299">
        <f>VLOOKUP(Table4[[#This Row],[Shortname]], Comp[], 24, FALSE)</f>
        <v>0</v>
      </c>
      <c r="Z299">
        <f>VLOOKUP(Table4[[#This Row],[Shortname]], Comp[], 25, FALSE)</f>
        <v>0</v>
      </c>
      <c r="AA299">
        <f>VLOOKUP(Table4[[#This Row],[Shortname]], Comp[], 26, FALSE)</f>
        <v>0</v>
      </c>
      <c r="AB299">
        <f>VLOOKUP(Table4[[#This Row],[Shortname]], Comp[], 27, FALSE)</f>
        <v>0</v>
      </c>
      <c r="AC299">
        <f>VLOOKUP(Table4[[#This Row],[Shortname]], Comp[], 28, FALSE)</f>
        <v>0</v>
      </c>
      <c r="AD299">
        <f>VLOOKUP(Table4[[#This Row],[Shortname]], Comp[], 29, FALSE)</f>
        <v>0</v>
      </c>
      <c r="AE299">
        <f>VLOOKUP(Table4[[#This Row],[Shortname]], Comp[], 30, FALSE)</f>
        <v>0</v>
      </c>
      <c r="AF299">
        <f>VLOOKUP(Table4[[#This Row],[Shortname]], Comp[], 31, FALSE)</f>
        <v>0</v>
      </c>
    </row>
    <row r="300" spans="1:32" x14ac:dyDescent="0.3">
      <c r="A300" s="38" t="s">
        <v>6502</v>
      </c>
      <c r="B300" s="38" t="s">
        <v>6503</v>
      </c>
      <c r="C300" s="39" t="s">
        <v>6504</v>
      </c>
      <c r="D300" s="12">
        <v>25</v>
      </c>
      <c r="E300" s="12">
        <v>800</v>
      </c>
      <c r="F300">
        <v>344.65177934128684</v>
      </c>
      <c r="G300">
        <f>VLOOKUP(Table4[[#This Row],[Shortname]], Comp[], 6, FALSE)</f>
        <v>1088</v>
      </c>
      <c r="H300" s="14">
        <f>VLOOKUP(Table4[[#This Row],[Shortname]], Comp[], 7, FALSE)</f>
        <v>49.7</v>
      </c>
      <c r="I300">
        <f>VLOOKUP(Table4[[#This Row],[Shortname]], Comp[], 8, FALSE)</f>
        <v>29.2</v>
      </c>
      <c r="J300">
        <f>VLOOKUP(Table4[[#This Row],[Shortname]], Comp[], 9, FALSE)</f>
        <v>11.1</v>
      </c>
      <c r="K300">
        <f>VLOOKUP(Table4[[#This Row],[Shortname]], Comp[], 10, FALSE)</f>
        <v>4.2</v>
      </c>
      <c r="L300">
        <f>VLOOKUP(Table4[[#This Row],[Shortname]], Comp[], 11, FALSE)</f>
        <v>5.8</v>
      </c>
      <c r="M300">
        <f>VLOOKUP(Table4[[#This Row],[Shortname]], Comp[],12, FALSE)</f>
        <v>0</v>
      </c>
      <c r="N300">
        <f>VLOOKUP(Table4[[#This Row],[Shortname]], Comp[], 13, FALSE)</f>
        <v>0</v>
      </c>
      <c r="O300">
        <f>VLOOKUP(Table4[[#This Row],[Shortname]], Comp[], 14, FALSE)</f>
        <v>0</v>
      </c>
      <c r="P300">
        <f>VLOOKUP(Table4[[#This Row],[Shortname]], Comp[], 15, FALSE)</f>
        <v>0</v>
      </c>
      <c r="Q300">
        <f>VLOOKUP(Table4[[#This Row],[Shortname]], Comp[], 16, FALSE)</f>
        <v>0</v>
      </c>
      <c r="R300">
        <f>VLOOKUP(Table4[[#This Row],[Shortname]], Comp[], 17, FALSE)</f>
        <v>0</v>
      </c>
      <c r="S300">
        <f>VLOOKUP(Table4[[#This Row],[Shortname]], Comp[], 18, FALSE)</f>
        <v>0</v>
      </c>
      <c r="T300">
        <f>VLOOKUP(Table4[[#This Row],[Shortname]], Comp[], 19, FALSE)</f>
        <v>0</v>
      </c>
      <c r="U300">
        <f>VLOOKUP(Table4[[#This Row],[Shortname]], Comp[], 20, FALSE)</f>
        <v>0</v>
      </c>
      <c r="V300">
        <f>VLOOKUP(Table4[[#This Row],[Shortname]], Comp[], 21, FALSE)</f>
        <v>0</v>
      </c>
      <c r="W300">
        <f>VLOOKUP(Table4[[#This Row],[Shortname]], Comp[], 22, FALSE)</f>
        <v>0</v>
      </c>
      <c r="X300">
        <f>VLOOKUP(Table4[[#This Row],[Shortname]], Comp[], 23, FALSE)</f>
        <v>0</v>
      </c>
      <c r="Y300">
        <f>VLOOKUP(Table4[[#This Row],[Shortname]], Comp[], 24, FALSE)</f>
        <v>0</v>
      </c>
      <c r="Z300">
        <f>VLOOKUP(Table4[[#This Row],[Shortname]], Comp[], 25, FALSE)</f>
        <v>0</v>
      </c>
      <c r="AA300">
        <f>VLOOKUP(Table4[[#This Row],[Shortname]], Comp[], 26, FALSE)</f>
        <v>0</v>
      </c>
      <c r="AB300">
        <f>VLOOKUP(Table4[[#This Row],[Shortname]], Comp[], 27, FALSE)</f>
        <v>0</v>
      </c>
      <c r="AC300">
        <f>VLOOKUP(Table4[[#This Row],[Shortname]], Comp[], 28, FALSE)</f>
        <v>0</v>
      </c>
      <c r="AD300">
        <f>VLOOKUP(Table4[[#This Row],[Shortname]], Comp[], 29, FALSE)</f>
        <v>0</v>
      </c>
      <c r="AE300">
        <f>VLOOKUP(Table4[[#This Row],[Shortname]], Comp[], 30, FALSE)</f>
        <v>0</v>
      </c>
      <c r="AF300">
        <f>VLOOKUP(Table4[[#This Row],[Shortname]], Comp[], 31, FALSE)</f>
        <v>0</v>
      </c>
    </row>
    <row r="301" spans="1:32" x14ac:dyDescent="0.3">
      <c r="A301" s="38" t="s">
        <v>6506</v>
      </c>
      <c r="B301" s="38" t="s">
        <v>6507</v>
      </c>
      <c r="C301" s="39" t="s">
        <v>6504</v>
      </c>
      <c r="D301" s="12">
        <v>25</v>
      </c>
      <c r="E301" s="12">
        <v>800</v>
      </c>
      <c r="F301">
        <v>327.31722239216884</v>
      </c>
      <c r="G301">
        <f>VLOOKUP(Table4[[#This Row],[Shortname]], Comp[], 6, FALSE)</f>
        <v>1089</v>
      </c>
      <c r="H301" s="14">
        <f>VLOOKUP(Table4[[#This Row],[Shortname]], Comp[], 7, FALSE)</f>
        <v>45.9</v>
      </c>
      <c r="I301">
        <f>VLOOKUP(Table4[[#This Row],[Shortname]], Comp[], 8, FALSE)</f>
        <v>29.2</v>
      </c>
      <c r="J301">
        <f>VLOOKUP(Table4[[#This Row],[Shortname]], Comp[], 9, FALSE)</f>
        <v>10.9</v>
      </c>
      <c r="K301">
        <f>VLOOKUP(Table4[[#This Row],[Shortname]], Comp[], 10, FALSE)</f>
        <v>4.0999999999999996</v>
      </c>
      <c r="L301">
        <f>VLOOKUP(Table4[[#This Row],[Shortname]], Comp[], 11, FALSE)</f>
        <v>5.8</v>
      </c>
      <c r="M301">
        <f>VLOOKUP(Table4[[#This Row],[Shortname]], Comp[],12, FALSE)</f>
        <v>0</v>
      </c>
      <c r="N301">
        <f>VLOOKUP(Table4[[#This Row],[Shortname]], Comp[], 13, FALSE)</f>
        <v>0</v>
      </c>
      <c r="O301">
        <f>VLOOKUP(Table4[[#This Row],[Shortname]], Comp[], 14, FALSE)</f>
        <v>0</v>
      </c>
      <c r="P301">
        <f>VLOOKUP(Table4[[#This Row],[Shortname]], Comp[], 15, FALSE)</f>
        <v>0</v>
      </c>
      <c r="Q301">
        <f>VLOOKUP(Table4[[#This Row],[Shortname]], Comp[], 16, FALSE)</f>
        <v>0</v>
      </c>
      <c r="R301">
        <f>VLOOKUP(Table4[[#This Row],[Shortname]], Comp[], 17, FALSE)</f>
        <v>0</v>
      </c>
      <c r="S301">
        <f>VLOOKUP(Table4[[#This Row],[Shortname]], Comp[], 18, FALSE)</f>
        <v>0</v>
      </c>
      <c r="T301">
        <f>VLOOKUP(Table4[[#This Row],[Shortname]], Comp[], 19, FALSE)</f>
        <v>0</v>
      </c>
      <c r="U301">
        <f>VLOOKUP(Table4[[#This Row],[Shortname]], Comp[], 20, FALSE)</f>
        <v>0</v>
      </c>
      <c r="V301">
        <f>VLOOKUP(Table4[[#This Row],[Shortname]], Comp[], 21, FALSE)</f>
        <v>0</v>
      </c>
      <c r="W301">
        <f>VLOOKUP(Table4[[#This Row],[Shortname]], Comp[], 22, FALSE)</f>
        <v>0</v>
      </c>
      <c r="X301">
        <f>VLOOKUP(Table4[[#This Row],[Shortname]], Comp[], 23, FALSE)</f>
        <v>4.0999999999999996</v>
      </c>
      <c r="Y301">
        <f>VLOOKUP(Table4[[#This Row],[Shortname]], Comp[], 24, FALSE)</f>
        <v>0</v>
      </c>
      <c r="Z301">
        <f>VLOOKUP(Table4[[#This Row],[Shortname]], Comp[], 25, FALSE)</f>
        <v>0</v>
      </c>
      <c r="AA301">
        <f>VLOOKUP(Table4[[#This Row],[Shortname]], Comp[], 26, FALSE)</f>
        <v>0</v>
      </c>
      <c r="AB301">
        <f>VLOOKUP(Table4[[#This Row],[Shortname]], Comp[], 27, FALSE)</f>
        <v>0</v>
      </c>
      <c r="AC301">
        <f>VLOOKUP(Table4[[#This Row],[Shortname]], Comp[], 28, FALSE)</f>
        <v>0</v>
      </c>
      <c r="AD301">
        <f>VLOOKUP(Table4[[#This Row],[Shortname]], Comp[], 29, FALSE)</f>
        <v>0</v>
      </c>
      <c r="AE301">
        <f>VLOOKUP(Table4[[#This Row],[Shortname]], Comp[], 30, FALSE)</f>
        <v>0</v>
      </c>
      <c r="AF301">
        <f>VLOOKUP(Table4[[#This Row],[Shortname]], Comp[], 31, FALSE)</f>
        <v>0</v>
      </c>
    </row>
    <row r="302" spans="1:32" x14ac:dyDescent="0.3">
      <c r="A302" s="38" t="s">
        <v>6510</v>
      </c>
      <c r="B302" s="38" t="s">
        <v>6511</v>
      </c>
      <c r="C302" s="39" t="s">
        <v>6504</v>
      </c>
      <c r="D302" s="12">
        <v>25</v>
      </c>
      <c r="E302" s="12">
        <v>800</v>
      </c>
      <c r="F302">
        <v>317.12042418680534</v>
      </c>
      <c r="G302">
        <f>VLOOKUP(Table4[[#This Row],[Shortname]], Comp[], 6, FALSE)</f>
        <v>1090</v>
      </c>
      <c r="H302" s="14">
        <f>VLOOKUP(Table4[[#This Row],[Shortname]], Comp[], 7, FALSE)</f>
        <v>41.899999999999991</v>
      </c>
      <c r="I302">
        <f>VLOOKUP(Table4[[#This Row],[Shortname]], Comp[], 8, FALSE)</f>
        <v>29.3</v>
      </c>
      <c r="J302">
        <f>VLOOKUP(Table4[[#This Row],[Shortname]], Comp[], 9, FALSE)</f>
        <v>10.8</v>
      </c>
      <c r="K302">
        <f>VLOOKUP(Table4[[#This Row],[Shortname]], Comp[], 10, FALSE)</f>
        <v>4.0999999999999996</v>
      </c>
      <c r="L302">
        <f>VLOOKUP(Table4[[#This Row],[Shortname]], Comp[], 11, FALSE)</f>
        <v>5.7</v>
      </c>
      <c r="M302">
        <f>VLOOKUP(Table4[[#This Row],[Shortname]], Comp[],12, FALSE)</f>
        <v>0</v>
      </c>
      <c r="N302">
        <f>VLOOKUP(Table4[[#This Row],[Shortname]], Comp[], 13, FALSE)</f>
        <v>0</v>
      </c>
      <c r="O302">
        <f>VLOOKUP(Table4[[#This Row],[Shortname]], Comp[], 14, FALSE)</f>
        <v>0</v>
      </c>
      <c r="P302">
        <f>VLOOKUP(Table4[[#This Row],[Shortname]], Comp[], 15, FALSE)</f>
        <v>0</v>
      </c>
      <c r="Q302">
        <f>VLOOKUP(Table4[[#This Row],[Shortname]], Comp[], 16, FALSE)</f>
        <v>0</v>
      </c>
      <c r="R302">
        <f>VLOOKUP(Table4[[#This Row],[Shortname]], Comp[], 17, FALSE)</f>
        <v>0</v>
      </c>
      <c r="S302">
        <f>VLOOKUP(Table4[[#This Row],[Shortname]], Comp[], 18, FALSE)</f>
        <v>0</v>
      </c>
      <c r="T302">
        <f>VLOOKUP(Table4[[#This Row],[Shortname]], Comp[], 19, FALSE)</f>
        <v>0</v>
      </c>
      <c r="U302">
        <f>VLOOKUP(Table4[[#This Row],[Shortname]], Comp[], 20, FALSE)</f>
        <v>0</v>
      </c>
      <c r="V302">
        <f>VLOOKUP(Table4[[#This Row],[Shortname]], Comp[], 21, FALSE)</f>
        <v>0</v>
      </c>
      <c r="W302">
        <f>VLOOKUP(Table4[[#This Row],[Shortname]], Comp[], 22, FALSE)</f>
        <v>0</v>
      </c>
      <c r="X302">
        <f>VLOOKUP(Table4[[#This Row],[Shortname]], Comp[], 23, FALSE)</f>
        <v>8.1999999999999993</v>
      </c>
      <c r="Y302">
        <f>VLOOKUP(Table4[[#This Row],[Shortname]], Comp[], 24, FALSE)</f>
        <v>0</v>
      </c>
      <c r="Z302">
        <f>VLOOKUP(Table4[[#This Row],[Shortname]], Comp[], 25, FALSE)</f>
        <v>0</v>
      </c>
      <c r="AA302">
        <f>VLOOKUP(Table4[[#This Row],[Shortname]], Comp[], 26, FALSE)</f>
        <v>0</v>
      </c>
      <c r="AB302">
        <f>VLOOKUP(Table4[[#This Row],[Shortname]], Comp[], 27, FALSE)</f>
        <v>0</v>
      </c>
      <c r="AC302">
        <f>VLOOKUP(Table4[[#This Row],[Shortname]], Comp[], 28, FALSE)</f>
        <v>0</v>
      </c>
      <c r="AD302">
        <f>VLOOKUP(Table4[[#This Row],[Shortname]], Comp[], 29, FALSE)</f>
        <v>0</v>
      </c>
      <c r="AE302">
        <f>VLOOKUP(Table4[[#This Row],[Shortname]], Comp[], 30, FALSE)</f>
        <v>0</v>
      </c>
      <c r="AF302">
        <f>VLOOKUP(Table4[[#This Row],[Shortname]], Comp[], 31, FALSE)</f>
        <v>0</v>
      </c>
    </row>
    <row r="303" spans="1:32" x14ac:dyDescent="0.3">
      <c r="A303" s="38" t="s">
        <v>6514</v>
      </c>
      <c r="B303" s="38" t="s">
        <v>6515</v>
      </c>
      <c r="C303" s="39" t="s">
        <v>6504</v>
      </c>
      <c r="D303" s="12">
        <v>25</v>
      </c>
      <c r="E303" s="12">
        <v>800</v>
      </c>
      <c r="F303">
        <v>302.84490669929647</v>
      </c>
      <c r="G303">
        <f>VLOOKUP(Table4[[#This Row],[Shortname]], Comp[], 6, FALSE)</f>
        <v>1091</v>
      </c>
      <c r="H303" s="14">
        <f>VLOOKUP(Table4[[#This Row],[Shortname]], Comp[], 7, FALSE)</f>
        <v>38.199999999999989</v>
      </c>
      <c r="I303">
        <f>VLOOKUP(Table4[[#This Row],[Shortname]], Comp[], 8, FALSE)</f>
        <v>29.3</v>
      </c>
      <c r="J303">
        <f>VLOOKUP(Table4[[#This Row],[Shortname]], Comp[], 9, FALSE)</f>
        <v>10.4</v>
      </c>
      <c r="K303">
        <f>VLOOKUP(Table4[[#This Row],[Shortname]], Comp[], 10, FALSE)</f>
        <v>4.0999999999999996</v>
      </c>
      <c r="L303">
        <f>VLOOKUP(Table4[[#This Row],[Shortname]], Comp[], 11, FALSE)</f>
        <v>5.7</v>
      </c>
      <c r="M303">
        <f>VLOOKUP(Table4[[#This Row],[Shortname]], Comp[],12, FALSE)</f>
        <v>0</v>
      </c>
      <c r="N303">
        <f>VLOOKUP(Table4[[#This Row],[Shortname]], Comp[], 13, FALSE)</f>
        <v>0</v>
      </c>
      <c r="O303">
        <f>VLOOKUP(Table4[[#This Row],[Shortname]], Comp[], 14, FALSE)</f>
        <v>0</v>
      </c>
      <c r="P303">
        <f>VLOOKUP(Table4[[#This Row],[Shortname]], Comp[], 15, FALSE)</f>
        <v>0</v>
      </c>
      <c r="Q303">
        <f>VLOOKUP(Table4[[#This Row],[Shortname]], Comp[], 16, FALSE)</f>
        <v>0</v>
      </c>
      <c r="R303">
        <f>VLOOKUP(Table4[[#This Row],[Shortname]], Comp[], 17, FALSE)</f>
        <v>0</v>
      </c>
      <c r="S303">
        <f>VLOOKUP(Table4[[#This Row],[Shortname]], Comp[], 18, FALSE)</f>
        <v>0</v>
      </c>
      <c r="T303">
        <f>VLOOKUP(Table4[[#This Row],[Shortname]], Comp[], 19, FALSE)</f>
        <v>0</v>
      </c>
      <c r="U303">
        <f>VLOOKUP(Table4[[#This Row],[Shortname]], Comp[], 20, FALSE)</f>
        <v>0</v>
      </c>
      <c r="V303">
        <f>VLOOKUP(Table4[[#This Row],[Shortname]], Comp[], 21, FALSE)</f>
        <v>0</v>
      </c>
      <c r="W303">
        <f>VLOOKUP(Table4[[#This Row],[Shortname]], Comp[], 22, FALSE)</f>
        <v>0</v>
      </c>
      <c r="X303">
        <f>VLOOKUP(Table4[[#This Row],[Shortname]], Comp[], 23, FALSE)</f>
        <v>12.3</v>
      </c>
      <c r="Y303">
        <f>VLOOKUP(Table4[[#This Row],[Shortname]], Comp[], 24, FALSE)</f>
        <v>0</v>
      </c>
      <c r="Z303">
        <f>VLOOKUP(Table4[[#This Row],[Shortname]], Comp[], 25, FALSE)</f>
        <v>0</v>
      </c>
      <c r="AA303">
        <f>VLOOKUP(Table4[[#This Row],[Shortname]], Comp[], 26, FALSE)</f>
        <v>0</v>
      </c>
      <c r="AB303">
        <f>VLOOKUP(Table4[[#This Row],[Shortname]], Comp[], 27, FALSE)</f>
        <v>0</v>
      </c>
      <c r="AC303">
        <f>VLOOKUP(Table4[[#This Row],[Shortname]], Comp[], 28, FALSE)</f>
        <v>0</v>
      </c>
      <c r="AD303">
        <f>VLOOKUP(Table4[[#This Row],[Shortname]], Comp[], 29, FALSE)</f>
        <v>0</v>
      </c>
      <c r="AE303">
        <f>VLOOKUP(Table4[[#This Row],[Shortname]], Comp[], 30, FALSE)</f>
        <v>0</v>
      </c>
      <c r="AF303">
        <f>VLOOKUP(Table4[[#This Row],[Shortname]], Comp[], 31, FALSE)</f>
        <v>0</v>
      </c>
    </row>
    <row r="304" spans="1:32" x14ac:dyDescent="0.3">
      <c r="A304" s="38" t="s">
        <v>6502</v>
      </c>
      <c r="B304" s="38" t="s">
        <v>6503</v>
      </c>
      <c r="C304" s="39" t="s">
        <v>6504</v>
      </c>
      <c r="D304" s="12">
        <v>25</v>
      </c>
      <c r="E304" s="12">
        <v>900</v>
      </c>
      <c r="F304">
        <v>294.68746813500564</v>
      </c>
      <c r="G304">
        <f>VLOOKUP(Table4[[#This Row],[Shortname]], Comp[], 6, FALSE)</f>
        <v>1088</v>
      </c>
      <c r="H304" s="14">
        <f>VLOOKUP(Table4[[#This Row],[Shortname]], Comp[], 7, FALSE)</f>
        <v>49.7</v>
      </c>
      <c r="I304">
        <f>VLOOKUP(Table4[[#This Row],[Shortname]], Comp[], 8, FALSE)</f>
        <v>29.2</v>
      </c>
      <c r="J304">
        <f>VLOOKUP(Table4[[#This Row],[Shortname]], Comp[], 9, FALSE)</f>
        <v>11.1</v>
      </c>
      <c r="K304">
        <f>VLOOKUP(Table4[[#This Row],[Shortname]], Comp[], 10, FALSE)</f>
        <v>4.2</v>
      </c>
      <c r="L304">
        <f>VLOOKUP(Table4[[#This Row],[Shortname]], Comp[], 11, FALSE)</f>
        <v>5.8</v>
      </c>
      <c r="M304">
        <f>VLOOKUP(Table4[[#This Row],[Shortname]], Comp[],12, FALSE)</f>
        <v>0</v>
      </c>
      <c r="N304">
        <f>VLOOKUP(Table4[[#This Row],[Shortname]], Comp[], 13, FALSE)</f>
        <v>0</v>
      </c>
      <c r="O304">
        <f>VLOOKUP(Table4[[#This Row],[Shortname]], Comp[], 14, FALSE)</f>
        <v>0</v>
      </c>
      <c r="P304">
        <f>VLOOKUP(Table4[[#This Row],[Shortname]], Comp[], 15, FALSE)</f>
        <v>0</v>
      </c>
      <c r="Q304">
        <f>VLOOKUP(Table4[[#This Row],[Shortname]], Comp[], 16, FALSE)</f>
        <v>0</v>
      </c>
      <c r="R304">
        <f>VLOOKUP(Table4[[#This Row],[Shortname]], Comp[], 17, FALSE)</f>
        <v>0</v>
      </c>
      <c r="S304">
        <f>VLOOKUP(Table4[[#This Row],[Shortname]], Comp[], 18, FALSE)</f>
        <v>0</v>
      </c>
      <c r="T304">
        <f>VLOOKUP(Table4[[#This Row],[Shortname]], Comp[], 19, FALSE)</f>
        <v>0</v>
      </c>
      <c r="U304">
        <f>VLOOKUP(Table4[[#This Row],[Shortname]], Comp[], 20, FALSE)</f>
        <v>0</v>
      </c>
      <c r="V304">
        <f>VLOOKUP(Table4[[#This Row],[Shortname]], Comp[], 21, FALSE)</f>
        <v>0</v>
      </c>
      <c r="W304">
        <f>VLOOKUP(Table4[[#This Row],[Shortname]], Comp[], 22, FALSE)</f>
        <v>0</v>
      </c>
      <c r="X304">
        <f>VLOOKUP(Table4[[#This Row],[Shortname]], Comp[], 23, FALSE)</f>
        <v>0</v>
      </c>
      <c r="Y304">
        <f>VLOOKUP(Table4[[#This Row],[Shortname]], Comp[], 24, FALSE)</f>
        <v>0</v>
      </c>
      <c r="Z304">
        <f>VLOOKUP(Table4[[#This Row],[Shortname]], Comp[], 25, FALSE)</f>
        <v>0</v>
      </c>
      <c r="AA304">
        <f>VLOOKUP(Table4[[#This Row],[Shortname]], Comp[], 26, FALSE)</f>
        <v>0</v>
      </c>
      <c r="AB304">
        <f>VLOOKUP(Table4[[#This Row],[Shortname]], Comp[], 27, FALSE)</f>
        <v>0</v>
      </c>
      <c r="AC304">
        <f>VLOOKUP(Table4[[#This Row],[Shortname]], Comp[], 28, FALSE)</f>
        <v>0</v>
      </c>
      <c r="AD304">
        <f>VLOOKUP(Table4[[#This Row],[Shortname]], Comp[], 29, FALSE)</f>
        <v>0</v>
      </c>
      <c r="AE304">
        <f>VLOOKUP(Table4[[#This Row],[Shortname]], Comp[], 30, FALSE)</f>
        <v>0</v>
      </c>
      <c r="AF304">
        <f>VLOOKUP(Table4[[#This Row],[Shortname]], Comp[], 31, FALSE)</f>
        <v>0</v>
      </c>
    </row>
    <row r="305" spans="1:32" x14ac:dyDescent="0.3">
      <c r="A305" s="38" t="s">
        <v>6506</v>
      </c>
      <c r="B305" s="38" t="s">
        <v>6507</v>
      </c>
      <c r="C305" s="39" t="s">
        <v>6504</v>
      </c>
      <c r="D305" s="12">
        <v>25</v>
      </c>
      <c r="E305" s="12">
        <v>900</v>
      </c>
      <c r="F305">
        <v>292.64810849393291</v>
      </c>
      <c r="G305">
        <f>VLOOKUP(Table4[[#This Row],[Shortname]], Comp[], 6, FALSE)</f>
        <v>1089</v>
      </c>
      <c r="H305" s="14">
        <f>VLOOKUP(Table4[[#This Row],[Shortname]], Comp[], 7, FALSE)</f>
        <v>45.9</v>
      </c>
      <c r="I305">
        <f>VLOOKUP(Table4[[#This Row],[Shortname]], Comp[], 8, FALSE)</f>
        <v>29.2</v>
      </c>
      <c r="J305">
        <f>VLOOKUP(Table4[[#This Row],[Shortname]], Comp[], 9, FALSE)</f>
        <v>10.9</v>
      </c>
      <c r="K305">
        <f>VLOOKUP(Table4[[#This Row],[Shortname]], Comp[], 10, FALSE)</f>
        <v>4.0999999999999996</v>
      </c>
      <c r="L305">
        <f>VLOOKUP(Table4[[#This Row],[Shortname]], Comp[], 11, FALSE)</f>
        <v>5.8</v>
      </c>
      <c r="M305">
        <f>VLOOKUP(Table4[[#This Row],[Shortname]], Comp[],12, FALSE)</f>
        <v>0</v>
      </c>
      <c r="N305">
        <f>VLOOKUP(Table4[[#This Row],[Shortname]], Comp[], 13, FALSE)</f>
        <v>0</v>
      </c>
      <c r="O305">
        <f>VLOOKUP(Table4[[#This Row],[Shortname]], Comp[], 14, FALSE)</f>
        <v>0</v>
      </c>
      <c r="P305">
        <f>VLOOKUP(Table4[[#This Row],[Shortname]], Comp[], 15, FALSE)</f>
        <v>0</v>
      </c>
      <c r="Q305">
        <f>VLOOKUP(Table4[[#This Row],[Shortname]], Comp[], 16, FALSE)</f>
        <v>0</v>
      </c>
      <c r="R305">
        <f>VLOOKUP(Table4[[#This Row],[Shortname]], Comp[], 17, FALSE)</f>
        <v>0</v>
      </c>
      <c r="S305">
        <f>VLOOKUP(Table4[[#This Row],[Shortname]], Comp[], 18, FALSE)</f>
        <v>0</v>
      </c>
      <c r="T305">
        <f>VLOOKUP(Table4[[#This Row],[Shortname]], Comp[], 19, FALSE)</f>
        <v>0</v>
      </c>
      <c r="U305">
        <f>VLOOKUP(Table4[[#This Row],[Shortname]], Comp[], 20, FALSE)</f>
        <v>0</v>
      </c>
      <c r="V305">
        <f>VLOOKUP(Table4[[#This Row],[Shortname]], Comp[], 21, FALSE)</f>
        <v>0</v>
      </c>
      <c r="W305">
        <f>VLOOKUP(Table4[[#This Row],[Shortname]], Comp[], 22, FALSE)</f>
        <v>0</v>
      </c>
      <c r="X305">
        <f>VLOOKUP(Table4[[#This Row],[Shortname]], Comp[], 23, FALSE)</f>
        <v>4.0999999999999996</v>
      </c>
      <c r="Y305">
        <f>VLOOKUP(Table4[[#This Row],[Shortname]], Comp[], 24, FALSE)</f>
        <v>0</v>
      </c>
      <c r="Z305">
        <f>VLOOKUP(Table4[[#This Row],[Shortname]], Comp[], 25, FALSE)</f>
        <v>0</v>
      </c>
      <c r="AA305">
        <f>VLOOKUP(Table4[[#This Row],[Shortname]], Comp[], 26, FALSE)</f>
        <v>0</v>
      </c>
      <c r="AB305">
        <f>VLOOKUP(Table4[[#This Row],[Shortname]], Comp[], 27, FALSE)</f>
        <v>0</v>
      </c>
      <c r="AC305">
        <f>VLOOKUP(Table4[[#This Row],[Shortname]], Comp[], 28, FALSE)</f>
        <v>0</v>
      </c>
      <c r="AD305">
        <f>VLOOKUP(Table4[[#This Row],[Shortname]], Comp[], 29, FALSE)</f>
        <v>0</v>
      </c>
      <c r="AE305">
        <f>VLOOKUP(Table4[[#This Row],[Shortname]], Comp[], 30, FALSE)</f>
        <v>0</v>
      </c>
      <c r="AF305">
        <f>VLOOKUP(Table4[[#This Row],[Shortname]], Comp[], 31, FALSE)</f>
        <v>0</v>
      </c>
    </row>
    <row r="306" spans="1:32" x14ac:dyDescent="0.3">
      <c r="A306" s="38" t="s">
        <v>6510</v>
      </c>
      <c r="B306" s="38" t="s">
        <v>6511</v>
      </c>
      <c r="C306" s="39" t="s">
        <v>6504</v>
      </c>
      <c r="D306" s="12">
        <v>25</v>
      </c>
      <c r="E306" s="12">
        <v>900</v>
      </c>
      <c r="F306">
        <v>283.47099010910574</v>
      </c>
      <c r="G306">
        <f>VLOOKUP(Table4[[#This Row],[Shortname]], Comp[], 6, FALSE)</f>
        <v>1090</v>
      </c>
      <c r="H306" s="14">
        <f>VLOOKUP(Table4[[#This Row],[Shortname]], Comp[], 7, FALSE)</f>
        <v>41.899999999999991</v>
      </c>
      <c r="I306">
        <f>VLOOKUP(Table4[[#This Row],[Shortname]], Comp[], 8, FALSE)</f>
        <v>29.3</v>
      </c>
      <c r="J306">
        <f>VLOOKUP(Table4[[#This Row],[Shortname]], Comp[], 9, FALSE)</f>
        <v>10.8</v>
      </c>
      <c r="K306">
        <f>VLOOKUP(Table4[[#This Row],[Shortname]], Comp[], 10, FALSE)</f>
        <v>4.0999999999999996</v>
      </c>
      <c r="L306">
        <f>VLOOKUP(Table4[[#This Row],[Shortname]], Comp[], 11, FALSE)</f>
        <v>5.7</v>
      </c>
      <c r="M306">
        <f>VLOOKUP(Table4[[#This Row],[Shortname]], Comp[],12, FALSE)</f>
        <v>0</v>
      </c>
      <c r="N306">
        <f>VLOOKUP(Table4[[#This Row],[Shortname]], Comp[], 13, FALSE)</f>
        <v>0</v>
      </c>
      <c r="O306">
        <f>VLOOKUP(Table4[[#This Row],[Shortname]], Comp[], 14, FALSE)</f>
        <v>0</v>
      </c>
      <c r="P306">
        <f>VLOOKUP(Table4[[#This Row],[Shortname]], Comp[], 15, FALSE)</f>
        <v>0</v>
      </c>
      <c r="Q306">
        <f>VLOOKUP(Table4[[#This Row],[Shortname]], Comp[], 16, FALSE)</f>
        <v>0</v>
      </c>
      <c r="R306">
        <f>VLOOKUP(Table4[[#This Row],[Shortname]], Comp[], 17, FALSE)</f>
        <v>0</v>
      </c>
      <c r="S306">
        <f>VLOOKUP(Table4[[#This Row],[Shortname]], Comp[], 18, FALSE)</f>
        <v>0</v>
      </c>
      <c r="T306">
        <f>VLOOKUP(Table4[[#This Row],[Shortname]], Comp[], 19, FALSE)</f>
        <v>0</v>
      </c>
      <c r="U306">
        <f>VLOOKUP(Table4[[#This Row],[Shortname]], Comp[], 20, FALSE)</f>
        <v>0</v>
      </c>
      <c r="V306">
        <f>VLOOKUP(Table4[[#This Row],[Shortname]], Comp[], 21, FALSE)</f>
        <v>0</v>
      </c>
      <c r="W306">
        <f>VLOOKUP(Table4[[#This Row],[Shortname]], Comp[], 22, FALSE)</f>
        <v>0</v>
      </c>
      <c r="X306">
        <f>VLOOKUP(Table4[[#This Row],[Shortname]], Comp[], 23, FALSE)</f>
        <v>8.1999999999999993</v>
      </c>
      <c r="Y306">
        <f>VLOOKUP(Table4[[#This Row],[Shortname]], Comp[], 24, FALSE)</f>
        <v>0</v>
      </c>
      <c r="Z306">
        <f>VLOOKUP(Table4[[#This Row],[Shortname]], Comp[], 25, FALSE)</f>
        <v>0</v>
      </c>
      <c r="AA306">
        <f>VLOOKUP(Table4[[#This Row],[Shortname]], Comp[], 26, FALSE)</f>
        <v>0</v>
      </c>
      <c r="AB306">
        <f>VLOOKUP(Table4[[#This Row],[Shortname]], Comp[], 27, FALSE)</f>
        <v>0</v>
      </c>
      <c r="AC306">
        <f>VLOOKUP(Table4[[#This Row],[Shortname]], Comp[], 28, FALSE)</f>
        <v>0</v>
      </c>
      <c r="AD306">
        <f>VLOOKUP(Table4[[#This Row],[Shortname]], Comp[], 29, FALSE)</f>
        <v>0</v>
      </c>
      <c r="AE306">
        <f>VLOOKUP(Table4[[#This Row],[Shortname]], Comp[], 30, FALSE)</f>
        <v>0</v>
      </c>
      <c r="AF306">
        <f>VLOOKUP(Table4[[#This Row],[Shortname]], Comp[], 31, FALSE)</f>
        <v>0</v>
      </c>
    </row>
    <row r="307" spans="1:32" x14ac:dyDescent="0.3">
      <c r="A307" s="38" t="s">
        <v>6514</v>
      </c>
      <c r="B307" s="38" t="s">
        <v>6515</v>
      </c>
      <c r="C307" s="39" t="s">
        <v>6504</v>
      </c>
      <c r="D307" s="12">
        <v>25</v>
      </c>
      <c r="E307" s="12">
        <v>900</v>
      </c>
      <c r="F307">
        <v>252.88059549301519</v>
      </c>
      <c r="G307">
        <f>VLOOKUP(Table4[[#This Row],[Shortname]], Comp[], 6, FALSE)</f>
        <v>1091</v>
      </c>
      <c r="H307" s="14">
        <f>VLOOKUP(Table4[[#This Row],[Shortname]], Comp[], 7, FALSE)</f>
        <v>38.199999999999989</v>
      </c>
      <c r="I307">
        <f>VLOOKUP(Table4[[#This Row],[Shortname]], Comp[], 8, FALSE)</f>
        <v>29.3</v>
      </c>
      <c r="J307">
        <f>VLOOKUP(Table4[[#This Row],[Shortname]], Comp[], 9, FALSE)</f>
        <v>10.4</v>
      </c>
      <c r="K307">
        <f>VLOOKUP(Table4[[#This Row],[Shortname]], Comp[], 10, FALSE)</f>
        <v>4.0999999999999996</v>
      </c>
      <c r="L307">
        <f>VLOOKUP(Table4[[#This Row],[Shortname]], Comp[], 11, FALSE)</f>
        <v>5.7</v>
      </c>
      <c r="M307">
        <f>VLOOKUP(Table4[[#This Row],[Shortname]], Comp[],12, FALSE)</f>
        <v>0</v>
      </c>
      <c r="N307">
        <f>VLOOKUP(Table4[[#This Row],[Shortname]], Comp[], 13, FALSE)</f>
        <v>0</v>
      </c>
      <c r="O307">
        <f>VLOOKUP(Table4[[#This Row],[Shortname]], Comp[], 14, FALSE)</f>
        <v>0</v>
      </c>
      <c r="P307">
        <f>VLOOKUP(Table4[[#This Row],[Shortname]], Comp[], 15, FALSE)</f>
        <v>0</v>
      </c>
      <c r="Q307">
        <f>VLOOKUP(Table4[[#This Row],[Shortname]], Comp[], 16, FALSE)</f>
        <v>0</v>
      </c>
      <c r="R307">
        <f>VLOOKUP(Table4[[#This Row],[Shortname]], Comp[], 17, FALSE)</f>
        <v>0</v>
      </c>
      <c r="S307">
        <f>VLOOKUP(Table4[[#This Row],[Shortname]], Comp[], 18, FALSE)</f>
        <v>0</v>
      </c>
      <c r="T307">
        <f>VLOOKUP(Table4[[#This Row],[Shortname]], Comp[], 19, FALSE)</f>
        <v>0</v>
      </c>
      <c r="U307">
        <f>VLOOKUP(Table4[[#This Row],[Shortname]], Comp[], 20, FALSE)</f>
        <v>0</v>
      </c>
      <c r="V307">
        <f>VLOOKUP(Table4[[#This Row],[Shortname]], Comp[], 21, FALSE)</f>
        <v>0</v>
      </c>
      <c r="W307">
        <f>VLOOKUP(Table4[[#This Row],[Shortname]], Comp[], 22, FALSE)</f>
        <v>0</v>
      </c>
      <c r="X307">
        <f>VLOOKUP(Table4[[#This Row],[Shortname]], Comp[], 23, FALSE)</f>
        <v>12.3</v>
      </c>
      <c r="Y307">
        <f>VLOOKUP(Table4[[#This Row],[Shortname]], Comp[], 24, FALSE)</f>
        <v>0</v>
      </c>
      <c r="Z307">
        <f>VLOOKUP(Table4[[#This Row],[Shortname]], Comp[], 25, FALSE)</f>
        <v>0</v>
      </c>
      <c r="AA307">
        <f>VLOOKUP(Table4[[#This Row],[Shortname]], Comp[], 26, FALSE)</f>
        <v>0</v>
      </c>
      <c r="AB307">
        <f>VLOOKUP(Table4[[#This Row],[Shortname]], Comp[], 27, FALSE)</f>
        <v>0</v>
      </c>
      <c r="AC307">
        <f>VLOOKUP(Table4[[#This Row],[Shortname]], Comp[], 28, FALSE)</f>
        <v>0</v>
      </c>
      <c r="AD307">
        <f>VLOOKUP(Table4[[#This Row],[Shortname]], Comp[], 29, FALSE)</f>
        <v>0</v>
      </c>
      <c r="AE307">
        <f>VLOOKUP(Table4[[#This Row],[Shortname]], Comp[], 30, FALSE)</f>
        <v>0</v>
      </c>
      <c r="AF307">
        <f>VLOOKUP(Table4[[#This Row],[Shortname]], Comp[], 31, FALSE)</f>
        <v>0</v>
      </c>
    </row>
  </sheetData>
  <phoneticPr fontId="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83FA-4A0B-466B-994F-CD1D4F757A98}">
  <dimension ref="A1:AH1389"/>
  <sheetViews>
    <sheetView topLeftCell="K1362" workbookViewId="0">
      <selection activeCell="Q28" sqref="Q28"/>
    </sheetView>
  </sheetViews>
  <sheetFormatPr defaultRowHeight="14.4" x14ac:dyDescent="0.3"/>
  <cols>
    <col min="1" max="1" width="11.77734375" customWidth="1"/>
    <col min="4" max="4" width="16.88671875" customWidth="1"/>
    <col min="5" max="5" width="9.6640625" customWidth="1"/>
    <col min="6" max="6" width="11.33203125" customWidth="1"/>
    <col min="7" max="7" width="20.5546875" customWidth="1"/>
  </cols>
  <sheetData>
    <row r="1" spans="1:34" x14ac:dyDescent="0.3">
      <c r="A1" t="s">
        <v>6527</v>
      </c>
      <c r="B1" t="s">
        <v>6530</v>
      </c>
      <c r="C1" t="s">
        <v>6531</v>
      </c>
      <c r="D1" t="s">
        <v>7171</v>
      </c>
      <c r="E1" t="s">
        <v>6583</v>
      </c>
      <c r="F1" t="s">
        <v>7172</v>
      </c>
      <c r="G1" t="s">
        <v>6800</v>
      </c>
      <c r="H1" t="s">
        <v>6558</v>
      </c>
      <c r="I1" t="s">
        <v>6532</v>
      </c>
      <c r="J1" t="s">
        <v>0</v>
      </c>
      <c r="K1" t="s">
        <v>6533</v>
      </c>
      <c r="L1" t="s">
        <v>6534</v>
      </c>
      <c r="M1" t="s">
        <v>6535</v>
      </c>
      <c r="N1" t="s">
        <v>6536</v>
      </c>
      <c r="O1" t="s">
        <v>6537</v>
      </c>
      <c r="P1" t="s">
        <v>6538</v>
      </c>
      <c r="Q1" t="s">
        <v>6539</v>
      </c>
      <c r="R1" t="s">
        <v>6540</v>
      </c>
      <c r="S1" t="s">
        <v>6541</v>
      </c>
      <c r="T1" t="s">
        <v>6542</v>
      </c>
      <c r="U1" t="s">
        <v>6543</v>
      </c>
      <c r="V1" t="s">
        <v>5865</v>
      </c>
      <c r="W1" t="s">
        <v>6544</v>
      </c>
      <c r="X1" t="s">
        <v>6545</v>
      </c>
      <c r="Y1" t="s">
        <v>6546</v>
      </c>
      <c r="Z1" t="s">
        <v>6547</v>
      </c>
      <c r="AA1" t="s">
        <v>6548</v>
      </c>
      <c r="AB1" t="s">
        <v>6549</v>
      </c>
      <c r="AC1" t="s">
        <v>6550</v>
      </c>
      <c r="AD1" t="s">
        <v>6551</v>
      </c>
      <c r="AE1" t="s">
        <v>6552</v>
      </c>
      <c r="AF1" t="s">
        <v>6553</v>
      </c>
      <c r="AG1" t="s">
        <v>6554</v>
      </c>
      <c r="AH1" t="s">
        <v>6555</v>
      </c>
    </row>
    <row r="2" spans="1:34" x14ac:dyDescent="0.3">
      <c r="A2" t="s">
        <v>1526</v>
      </c>
      <c r="B2" t="s">
        <v>1528</v>
      </c>
      <c r="C2" t="s">
        <v>6801</v>
      </c>
      <c r="D2">
        <v>1117</v>
      </c>
      <c r="E2">
        <v>25</v>
      </c>
      <c r="F2" t="s">
        <v>6802</v>
      </c>
      <c r="G2">
        <v>1</v>
      </c>
      <c r="H2" t="s">
        <v>6803</v>
      </c>
      <c r="I2">
        <f>VLOOKUP(Table9[[#This Row],[Shortname]], Comp[], 6, FALSE)</f>
        <v>195</v>
      </c>
      <c r="J2" s="14">
        <f>VLOOKUP(Table9[[#This Row],[Shortname]], Comp[], 7, FALSE)</f>
        <v>42.330000000000005</v>
      </c>
      <c r="K2">
        <f>VLOOKUP(Table9[[#This Row],[Shortname]], Comp[], 8, FALSE)</f>
        <v>32</v>
      </c>
      <c r="L2">
        <f>VLOOKUP(Table9[[#This Row],[Shortname]], Comp[], 9, FALSE)</f>
        <v>6</v>
      </c>
      <c r="M2">
        <f>VLOOKUP(Table9[[#This Row],[Shortname]], Comp[], 10, FALSE)</f>
        <v>12</v>
      </c>
      <c r="N2">
        <f>VLOOKUP(Table9[[#This Row],[Shortname]], Comp[], 11, FALSE)</f>
        <v>3</v>
      </c>
      <c r="O2">
        <f>VLOOKUP(Table9[[#This Row],[Shortname]], Comp[],12, FALSE)</f>
        <v>2.5</v>
      </c>
      <c r="P2">
        <f>VLOOKUP(Table9[[#This Row],[Shortname]], Comp[], 13, FALSE)</f>
        <v>1.5</v>
      </c>
      <c r="Q2">
        <f>VLOOKUP(Table9[[#This Row],[Shortname]], Comp[], 14, FALSE)</f>
        <v>0</v>
      </c>
      <c r="R2">
        <f>VLOOKUP(Table9[[#This Row],[Shortname]], Comp[], 15, FALSE)</f>
        <v>0</v>
      </c>
      <c r="S2">
        <f>VLOOKUP(Table9[[#This Row],[Shortname]], Comp[], 16, FALSE)</f>
        <v>0</v>
      </c>
      <c r="T2">
        <f>VLOOKUP(Table9[[#This Row],[Shortname]], Comp[], 17, FALSE)</f>
        <v>0.08</v>
      </c>
      <c r="U2">
        <f>VLOOKUP(Table9[[#This Row],[Shortname]], Comp[], 18, FALSE)</f>
        <v>0.01</v>
      </c>
      <c r="V2">
        <f>VLOOKUP(Table9[[#This Row],[Shortname]], Comp[], 19, FALSE)</f>
        <v>0.08</v>
      </c>
      <c r="W2">
        <f>VLOOKUP(Table9[[#This Row],[Shortname]], Comp[], 20, FALSE)</f>
        <v>0</v>
      </c>
      <c r="X2">
        <f>VLOOKUP(Table9[[#This Row],[Shortname]], Comp[], 21, FALSE)</f>
        <v>0</v>
      </c>
      <c r="Y2">
        <f>VLOOKUP(Table9[[#This Row],[Shortname]], Comp[], 22, FALSE)</f>
        <v>0.4</v>
      </c>
      <c r="Z2">
        <f>VLOOKUP(Table9[[#This Row],[Shortname]], Comp[], 23, FALSE)</f>
        <v>0</v>
      </c>
      <c r="AA2">
        <f>VLOOKUP(Table9[[#This Row],[Shortname]], Comp[], 24, FALSE)</f>
        <v>0</v>
      </c>
      <c r="AB2">
        <f>VLOOKUP(Table9[[#This Row],[Shortname]], Comp[], 25, FALSE)</f>
        <v>0.1</v>
      </c>
      <c r="AC2">
        <f>VLOOKUP(Table9[[#This Row],[Shortname]], Comp[], 26, FALSE)</f>
        <v>0</v>
      </c>
      <c r="AD2">
        <f>VLOOKUP(Table9[[#This Row],[Shortname]], Comp[], 27, FALSE)</f>
        <v>0</v>
      </c>
      <c r="AE2">
        <f>VLOOKUP(Table9[[#This Row],[Shortname]], Comp[], 28, FALSE)</f>
        <v>0</v>
      </c>
      <c r="AF2">
        <f>VLOOKUP(Table9[[#This Row],[Shortname]], Comp[], 29, FALSE)</f>
        <v>0</v>
      </c>
      <c r="AG2">
        <f>VLOOKUP(Table9[[#This Row],[Shortname]], Comp[], 30, FALSE)</f>
        <v>0</v>
      </c>
      <c r="AH2">
        <f>VLOOKUP(Table9[[#This Row],[Shortname]], Comp[], 31, FALSE)</f>
        <v>0</v>
      </c>
    </row>
    <row r="3" spans="1:34" x14ac:dyDescent="0.3">
      <c r="A3" t="s">
        <v>4414</v>
      </c>
      <c r="B3" t="s">
        <v>4391</v>
      </c>
      <c r="C3" t="s">
        <v>4415</v>
      </c>
      <c r="D3">
        <v>1025</v>
      </c>
      <c r="E3">
        <v>25</v>
      </c>
      <c r="F3">
        <v>1E-4</v>
      </c>
      <c r="G3">
        <v>1</v>
      </c>
      <c r="H3" t="s">
        <v>6803</v>
      </c>
      <c r="I3">
        <f>VLOOKUP(Table9[[#This Row],[Shortname]], Comp[], 6, FALSE)</f>
        <v>671</v>
      </c>
      <c r="J3" s="14">
        <f>VLOOKUP(Table9[[#This Row],[Shortname]], Comp[], 7, FALSE)</f>
        <v>43.92</v>
      </c>
      <c r="K3">
        <f>VLOOKUP(Table9[[#This Row],[Shortname]], Comp[], 8, FALSE)</f>
        <v>30</v>
      </c>
      <c r="L3">
        <f>VLOOKUP(Table9[[#This Row],[Shortname]], Comp[], 9, FALSE)</f>
        <v>4</v>
      </c>
      <c r="M3">
        <f>VLOOKUP(Table9[[#This Row],[Shortname]], Comp[], 10, FALSE)</f>
        <v>12</v>
      </c>
      <c r="N3">
        <f>VLOOKUP(Table9[[#This Row],[Shortname]], Comp[], 11, FALSE)</f>
        <v>2</v>
      </c>
      <c r="O3">
        <f>VLOOKUP(Table9[[#This Row],[Shortname]], Comp[],12, FALSE)</f>
        <v>4.9000000000000004</v>
      </c>
      <c r="P3">
        <f>VLOOKUP(Table9[[#This Row],[Shortname]], Comp[], 13, FALSE)</f>
        <v>1</v>
      </c>
      <c r="Q3">
        <f>VLOOKUP(Table9[[#This Row],[Shortname]], Comp[], 14, FALSE)</f>
        <v>0</v>
      </c>
      <c r="R3">
        <f>VLOOKUP(Table9[[#This Row],[Shortname]], Comp[], 15, FALSE)</f>
        <v>0</v>
      </c>
      <c r="S3">
        <f>VLOOKUP(Table9[[#This Row],[Shortname]], Comp[], 16, FALSE)</f>
        <v>1.5</v>
      </c>
      <c r="T3">
        <f>VLOOKUP(Table9[[#This Row],[Shortname]], Comp[], 17, FALSE)</f>
        <v>7.0000000000000007E-2</v>
      </c>
      <c r="U3">
        <f>VLOOKUP(Table9[[#This Row],[Shortname]], Comp[], 18, FALSE)</f>
        <v>0.01</v>
      </c>
      <c r="V3">
        <f>VLOOKUP(Table9[[#This Row],[Shortname]], Comp[], 19, FALSE)</f>
        <v>0.09</v>
      </c>
      <c r="W3">
        <f>VLOOKUP(Table9[[#This Row],[Shortname]], Comp[], 20, FALSE)</f>
        <v>0</v>
      </c>
      <c r="X3">
        <f>VLOOKUP(Table9[[#This Row],[Shortname]], Comp[], 21, FALSE)</f>
        <v>0</v>
      </c>
      <c r="Y3">
        <f>VLOOKUP(Table9[[#This Row],[Shortname]], Comp[], 22, FALSE)</f>
        <v>0.41</v>
      </c>
      <c r="Z3">
        <f>VLOOKUP(Table9[[#This Row],[Shortname]], Comp[], 23, FALSE)</f>
        <v>0</v>
      </c>
      <c r="AA3">
        <f>VLOOKUP(Table9[[#This Row],[Shortname]], Comp[], 24, FALSE)</f>
        <v>0</v>
      </c>
      <c r="AB3">
        <f>VLOOKUP(Table9[[#This Row],[Shortname]], Comp[], 25, FALSE)</f>
        <v>0.1</v>
      </c>
      <c r="AC3">
        <f>VLOOKUP(Table9[[#This Row],[Shortname]], Comp[], 26, FALSE)</f>
        <v>0</v>
      </c>
      <c r="AD3">
        <f>VLOOKUP(Table9[[#This Row],[Shortname]], Comp[], 27, FALSE)</f>
        <v>0</v>
      </c>
      <c r="AE3">
        <f>VLOOKUP(Table9[[#This Row],[Shortname]], Comp[], 28, FALSE)</f>
        <v>0</v>
      </c>
      <c r="AF3">
        <f>VLOOKUP(Table9[[#This Row],[Shortname]], Comp[], 29, FALSE)</f>
        <v>0</v>
      </c>
      <c r="AG3">
        <f>VLOOKUP(Table9[[#This Row],[Shortname]], Comp[], 30, FALSE)</f>
        <v>0</v>
      </c>
      <c r="AH3">
        <f>VLOOKUP(Table9[[#This Row],[Shortname]], Comp[], 31, FALSE)</f>
        <v>0</v>
      </c>
    </row>
    <row r="4" spans="1:34" x14ac:dyDescent="0.3">
      <c r="A4" t="s">
        <v>2077</v>
      </c>
      <c r="B4" t="s">
        <v>2079</v>
      </c>
      <c r="C4" t="s">
        <v>2065</v>
      </c>
      <c r="D4">
        <v>996</v>
      </c>
      <c r="E4">
        <v>25</v>
      </c>
      <c r="F4">
        <v>1E-4</v>
      </c>
      <c r="G4">
        <v>1</v>
      </c>
      <c r="H4" t="s">
        <v>6803</v>
      </c>
      <c r="I4">
        <f>VLOOKUP(Table9[[#This Row],[Shortname]], Comp[], 6, FALSE)</f>
        <v>273</v>
      </c>
      <c r="J4" s="14">
        <f>VLOOKUP(Table9[[#This Row],[Shortname]], Comp[], 7, FALSE)</f>
        <v>83</v>
      </c>
      <c r="K4">
        <f>VLOOKUP(Table9[[#This Row],[Shortname]], Comp[], 8, FALSE)</f>
        <v>0</v>
      </c>
      <c r="L4">
        <f>VLOOKUP(Table9[[#This Row],[Shortname]], Comp[], 9, FALSE)</f>
        <v>0</v>
      </c>
      <c r="M4">
        <f>VLOOKUP(Table9[[#This Row],[Shortname]], Comp[], 10, FALSE)</f>
        <v>0</v>
      </c>
      <c r="N4">
        <f>VLOOKUP(Table9[[#This Row],[Shortname]], Comp[], 11, FALSE)</f>
        <v>0</v>
      </c>
      <c r="O4">
        <f>VLOOKUP(Table9[[#This Row],[Shortname]], Comp[],12, FALSE)</f>
        <v>12</v>
      </c>
      <c r="P4">
        <f>VLOOKUP(Table9[[#This Row],[Shortname]], Comp[], 13, FALSE)</f>
        <v>0</v>
      </c>
      <c r="Q4">
        <f>VLOOKUP(Table9[[#This Row],[Shortname]], Comp[], 14, FALSE)</f>
        <v>0</v>
      </c>
      <c r="R4">
        <f>VLOOKUP(Table9[[#This Row],[Shortname]], Comp[], 15, FALSE)</f>
        <v>0</v>
      </c>
      <c r="S4">
        <f>VLOOKUP(Table9[[#This Row],[Shortname]], Comp[], 16, FALSE)</f>
        <v>0</v>
      </c>
      <c r="T4">
        <f>VLOOKUP(Table9[[#This Row],[Shortname]], Comp[], 17, FALSE)</f>
        <v>0</v>
      </c>
      <c r="U4">
        <f>VLOOKUP(Table9[[#This Row],[Shortname]], Comp[], 18, FALSE)</f>
        <v>0</v>
      </c>
      <c r="V4">
        <f>VLOOKUP(Table9[[#This Row],[Shortname]], Comp[], 19, FALSE)</f>
        <v>0</v>
      </c>
      <c r="W4">
        <f>VLOOKUP(Table9[[#This Row],[Shortname]], Comp[], 20, FALSE)</f>
        <v>0</v>
      </c>
      <c r="X4">
        <f>VLOOKUP(Table9[[#This Row],[Shortname]], Comp[], 21, FALSE)</f>
        <v>5</v>
      </c>
      <c r="Y4">
        <f>VLOOKUP(Table9[[#This Row],[Shortname]], Comp[], 22, FALSE)</f>
        <v>0</v>
      </c>
      <c r="Z4">
        <f>VLOOKUP(Table9[[#This Row],[Shortname]], Comp[], 23, FALSE)</f>
        <v>0</v>
      </c>
      <c r="AA4">
        <f>VLOOKUP(Table9[[#This Row],[Shortname]], Comp[], 24, FALSE)</f>
        <v>0</v>
      </c>
      <c r="AB4">
        <f>VLOOKUP(Table9[[#This Row],[Shortname]], Comp[], 25, FALSE)</f>
        <v>0</v>
      </c>
      <c r="AC4">
        <f>VLOOKUP(Table9[[#This Row],[Shortname]], Comp[], 26, FALSE)</f>
        <v>0</v>
      </c>
      <c r="AD4">
        <f>VLOOKUP(Table9[[#This Row],[Shortname]], Comp[], 27, FALSE)</f>
        <v>0</v>
      </c>
      <c r="AE4">
        <f>VLOOKUP(Table9[[#This Row],[Shortname]], Comp[], 28, FALSE)</f>
        <v>0</v>
      </c>
      <c r="AF4">
        <f>VLOOKUP(Table9[[#This Row],[Shortname]], Comp[], 29, FALSE)</f>
        <v>0</v>
      </c>
      <c r="AG4">
        <f>VLOOKUP(Table9[[#This Row],[Shortname]], Comp[], 30, FALSE)</f>
        <v>0</v>
      </c>
      <c r="AH4">
        <f>VLOOKUP(Table9[[#This Row],[Shortname]], Comp[], 31, FALSE)</f>
        <v>0</v>
      </c>
    </row>
    <row r="5" spans="1:34" x14ac:dyDescent="0.3">
      <c r="A5" t="s">
        <v>4419</v>
      </c>
      <c r="B5" t="s">
        <v>4420</v>
      </c>
      <c r="C5" t="s">
        <v>4415</v>
      </c>
      <c r="D5">
        <v>990</v>
      </c>
      <c r="E5">
        <v>25</v>
      </c>
      <c r="F5">
        <v>1E-4</v>
      </c>
      <c r="G5">
        <v>1</v>
      </c>
      <c r="H5" t="s">
        <v>6803</v>
      </c>
      <c r="I5">
        <f>VLOOKUP(Table9[[#This Row],[Shortname]], Comp[], 6, FALSE)</f>
        <v>672</v>
      </c>
      <c r="J5" s="14">
        <f>VLOOKUP(Table9[[#This Row],[Shortname]], Comp[], 7, FALSE)</f>
        <v>43.134999999999998</v>
      </c>
      <c r="K5">
        <f>VLOOKUP(Table9[[#This Row],[Shortname]], Comp[], 8, FALSE)</f>
        <v>30</v>
      </c>
      <c r="L5">
        <f>VLOOKUP(Table9[[#This Row],[Shortname]], Comp[], 9, FALSE)</f>
        <v>5.5</v>
      </c>
      <c r="M5">
        <f>VLOOKUP(Table9[[#This Row],[Shortname]], Comp[], 10, FALSE)</f>
        <v>12</v>
      </c>
      <c r="N5">
        <f>VLOOKUP(Table9[[#This Row],[Shortname]], Comp[], 11, FALSE)</f>
        <v>2</v>
      </c>
      <c r="O5">
        <f>VLOOKUP(Table9[[#This Row],[Shortname]], Comp[],12, FALSE)</f>
        <v>4.2</v>
      </c>
      <c r="P5">
        <f>VLOOKUP(Table9[[#This Row],[Shortname]], Comp[], 13, FALSE)</f>
        <v>1</v>
      </c>
      <c r="Q5">
        <f>VLOOKUP(Table9[[#This Row],[Shortname]], Comp[], 14, FALSE)</f>
        <v>0</v>
      </c>
      <c r="R5">
        <f>VLOOKUP(Table9[[#This Row],[Shortname]], Comp[], 15, FALSE)</f>
        <v>0</v>
      </c>
      <c r="S5">
        <f>VLOOKUP(Table9[[#This Row],[Shortname]], Comp[], 16, FALSE)</f>
        <v>1.5</v>
      </c>
      <c r="T5">
        <f>VLOOKUP(Table9[[#This Row],[Shortname]], Comp[], 17, FALSE)</f>
        <v>7.0999999999999994E-2</v>
      </c>
      <c r="U5">
        <f>VLOOKUP(Table9[[#This Row],[Shortname]], Comp[], 18, FALSE)</f>
        <v>8.9999999999999993E-3</v>
      </c>
      <c r="V5">
        <f>VLOOKUP(Table9[[#This Row],[Shortname]], Comp[], 19, FALSE)</f>
        <v>8.5000000000000006E-2</v>
      </c>
      <c r="W5">
        <f>VLOOKUP(Table9[[#This Row],[Shortname]], Comp[], 20, FALSE)</f>
        <v>0</v>
      </c>
      <c r="X5">
        <f>VLOOKUP(Table9[[#This Row],[Shortname]], Comp[], 21, FALSE)</f>
        <v>0</v>
      </c>
      <c r="Y5">
        <f>VLOOKUP(Table9[[#This Row],[Shortname]], Comp[], 22, FALSE)</f>
        <v>0.39</v>
      </c>
      <c r="Z5">
        <f>VLOOKUP(Table9[[#This Row],[Shortname]], Comp[], 23, FALSE)</f>
        <v>0</v>
      </c>
      <c r="AA5">
        <f>VLOOKUP(Table9[[#This Row],[Shortname]], Comp[], 24, FALSE)</f>
        <v>0</v>
      </c>
      <c r="AB5">
        <f>VLOOKUP(Table9[[#This Row],[Shortname]], Comp[], 25, FALSE)</f>
        <v>0.11</v>
      </c>
      <c r="AC5">
        <f>VLOOKUP(Table9[[#This Row],[Shortname]], Comp[], 26, FALSE)</f>
        <v>0</v>
      </c>
      <c r="AD5">
        <f>VLOOKUP(Table9[[#This Row],[Shortname]], Comp[], 27, FALSE)</f>
        <v>0</v>
      </c>
      <c r="AE5">
        <f>VLOOKUP(Table9[[#This Row],[Shortname]], Comp[], 28, FALSE)</f>
        <v>0</v>
      </c>
      <c r="AF5">
        <f>VLOOKUP(Table9[[#This Row],[Shortname]], Comp[], 29, FALSE)</f>
        <v>0</v>
      </c>
      <c r="AG5">
        <f>VLOOKUP(Table9[[#This Row],[Shortname]], Comp[], 30, FALSE)</f>
        <v>0</v>
      </c>
      <c r="AH5">
        <f>VLOOKUP(Table9[[#This Row],[Shortname]], Comp[], 31, FALSE)</f>
        <v>0</v>
      </c>
    </row>
    <row r="6" spans="1:34" x14ac:dyDescent="0.3">
      <c r="A6" t="s">
        <v>1538</v>
      </c>
      <c r="B6" t="s">
        <v>1540</v>
      </c>
      <c r="C6" t="s">
        <v>6801</v>
      </c>
      <c r="D6">
        <v>985</v>
      </c>
      <c r="E6">
        <v>25</v>
      </c>
      <c r="F6" t="s">
        <v>6802</v>
      </c>
      <c r="G6">
        <v>1</v>
      </c>
      <c r="H6" t="s">
        <v>6803</v>
      </c>
      <c r="I6">
        <f>VLOOKUP(Table9[[#This Row],[Shortname]], Comp[], 6, FALSE)</f>
        <v>196</v>
      </c>
      <c r="J6" s="14">
        <f>VLOOKUP(Table9[[#This Row],[Shortname]], Comp[], 7, FALSE)</f>
        <v>41.03</v>
      </c>
      <c r="K6">
        <f>VLOOKUP(Table9[[#This Row],[Shortname]], Comp[], 8, FALSE)</f>
        <v>31.8</v>
      </c>
      <c r="L6">
        <f>VLOOKUP(Table9[[#This Row],[Shortname]], Comp[], 9, FALSE)</f>
        <v>8.6999999999999993</v>
      </c>
      <c r="M6">
        <f>VLOOKUP(Table9[[#This Row],[Shortname]], Comp[], 10, FALSE)</f>
        <v>12.6</v>
      </c>
      <c r="N6">
        <f>VLOOKUP(Table9[[#This Row],[Shortname]], Comp[], 11, FALSE)</f>
        <v>4.7</v>
      </c>
      <c r="O6">
        <f>VLOOKUP(Table9[[#This Row],[Shortname]], Comp[],12, FALSE)</f>
        <v>0.3</v>
      </c>
      <c r="P6">
        <f>VLOOKUP(Table9[[#This Row],[Shortname]], Comp[], 13, FALSE)</f>
        <v>0.2</v>
      </c>
      <c r="Q6">
        <f>VLOOKUP(Table9[[#This Row],[Shortname]], Comp[], 14, FALSE)</f>
        <v>0</v>
      </c>
      <c r="R6">
        <f>VLOOKUP(Table9[[#This Row],[Shortname]], Comp[], 15, FALSE)</f>
        <v>0</v>
      </c>
      <c r="S6">
        <f>VLOOKUP(Table9[[#This Row],[Shortname]], Comp[], 16, FALSE)</f>
        <v>0</v>
      </c>
      <c r="T6">
        <f>VLOOKUP(Table9[[#This Row],[Shortname]], Comp[], 17, FALSE)</f>
        <v>0.08</v>
      </c>
      <c r="U6">
        <f>VLOOKUP(Table9[[#This Row],[Shortname]], Comp[], 18, FALSE)</f>
        <v>0.01</v>
      </c>
      <c r="V6">
        <f>VLOOKUP(Table9[[#This Row],[Shortname]], Comp[], 19, FALSE)</f>
        <v>0.08</v>
      </c>
      <c r="W6">
        <f>VLOOKUP(Table9[[#This Row],[Shortname]], Comp[], 20, FALSE)</f>
        <v>0</v>
      </c>
      <c r="X6">
        <f>VLOOKUP(Table9[[#This Row],[Shortname]], Comp[], 21, FALSE)</f>
        <v>0</v>
      </c>
      <c r="Y6">
        <f>VLOOKUP(Table9[[#This Row],[Shortname]], Comp[], 22, FALSE)</f>
        <v>0.4</v>
      </c>
      <c r="Z6">
        <f>VLOOKUP(Table9[[#This Row],[Shortname]], Comp[], 23, FALSE)</f>
        <v>0</v>
      </c>
      <c r="AA6">
        <f>VLOOKUP(Table9[[#This Row],[Shortname]], Comp[], 24, FALSE)</f>
        <v>0</v>
      </c>
      <c r="AB6">
        <f>VLOOKUP(Table9[[#This Row],[Shortname]], Comp[], 25, FALSE)</f>
        <v>0.1</v>
      </c>
      <c r="AC6">
        <f>VLOOKUP(Table9[[#This Row],[Shortname]], Comp[], 26, FALSE)</f>
        <v>0</v>
      </c>
      <c r="AD6">
        <f>VLOOKUP(Table9[[#This Row],[Shortname]], Comp[], 27, FALSE)</f>
        <v>0</v>
      </c>
      <c r="AE6">
        <f>VLOOKUP(Table9[[#This Row],[Shortname]], Comp[], 28, FALSE)</f>
        <v>0</v>
      </c>
      <c r="AF6">
        <f>VLOOKUP(Table9[[#This Row],[Shortname]], Comp[], 29, FALSE)</f>
        <v>0</v>
      </c>
      <c r="AG6">
        <f>VLOOKUP(Table9[[#This Row],[Shortname]], Comp[], 30, FALSE)</f>
        <v>0</v>
      </c>
      <c r="AH6">
        <f>VLOOKUP(Table9[[#This Row],[Shortname]], Comp[], 31, FALSE)</f>
        <v>0</v>
      </c>
    </row>
    <row r="7" spans="1:34" x14ac:dyDescent="0.3">
      <c r="A7" t="s">
        <v>4424</v>
      </c>
      <c r="B7" t="s">
        <v>4425</v>
      </c>
      <c r="C7" t="s">
        <v>4415</v>
      </c>
      <c r="D7">
        <v>960</v>
      </c>
      <c r="E7">
        <v>25</v>
      </c>
      <c r="F7">
        <v>1E-4</v>
      </c>
      <c r="G7">
        <v>1</v>
      </c>
      <c r="H7" t="s">
        <v>6803</v>
      </c>
      <c r="I7">
        <f>VLOOKUP(Table9[[#This Row],[Shortname]], Comp[], 6, FALSE)</f>
        <v>673</v>
      </c>
      <c r="J7" s="14">
        <f>VLOOKUP(Table9[[#This Row],[Shortname]], Comp[], 7, FALSE)</f>
        <v>43.321999999999996</v>
      </c>
      <c r="K7">
        <f>VLOOKUP(Table9[[#This Row],[Shortname]], Comp[], 8, FALSE)</f>
        <v>30</v>
      </c>
      <c r="L7">
        <f>VLOOKUP(Table9[[#This Row],[Shortname]], Comp[], 9, FALSE)</f>
        <v>6</v>
      </c>
      <c r="M7">
        <f>VLOOKUP(Table9[[#This Row],[Shortname]], Comp[], 10, FALSE)</f>
        <v>12</v>
      </c>
      <c r="N7">
        <f>VLOOKUP(Table9[[#This Row],[Shortname]], Comp[], 11, FALSE)</f>
        <v>2</v>
      </c>
      <c r="O7">
        <f>VLOOKUP(Table9[[#This Row],[Shortname]], Comp[],12, FALSE)</f>
        <v>3.5</v>
      </c>
      <c r="P7">
        <f>VLOOKUP(Table9[[#This Row],[Shortname]], Comp[], 13, FALSE)</f>
        <v>1</v>
      </c>
      <c r="Q7">
        <f>VLOOKUP(Table9[[#This Row],[Shortname]], Comp[], 14, FALSE)</f>
        <v>0</v>
      </c>
      <c r="R7">
        <f>VLOOKUP(Table9[[#This Row],[Shortname]], Comp[], 15, FALSE)</f>
        <v>0</v>
      </c>
      <c r="S7">
        <f>VLOOKUP(Table9[[#This Row],[Shortname]], Comp[], 16, FALSE)</f>
        <v>1.5</v>
      </c>
      <c r="T7">
        <f>VLOOKUP(Table9[[#This Row],[Shortname]], Comp[], 17, FALSE)</f>
        <v>8.5000000000000006E-2</v>
      </c>
      <c r="U7">
        <f>VLOOKUP(Table9[[#This Row],[Shortname]], Comp[], 18, FALSE)</f>
        <v>8.9999999999999993E-3</v>
      </c>
      <c r="V7">
        <f>VLOOKUP(Table9[[#This Row],[Shortname]], Comp[], 19, FALSE)</f>
        <v>8.4000000000000005E-2</v>
      </c>
      <c r="W7">
        <f>VLOOKUP(Table9[[#This Row],[Shortname]], Comp[], 20, FALSE)</f>
        <v>0</v>
      </c>
      <c r="X7">
        <f>VLOOKUP(Table9[[#This Row],[Shortname]], Comp[], 21, FALSE)</f>
        <v>0</v>
      </c>
      <c r="Y7">
        <f>VLOOKUP(Table9[[#This Row],[Shortname]], Comp[], 22, FALSE)</f>
        <v>0.39</v>
      </c>
      <c r="Z7">
        <f>VLOOKUP(Table9[[#This Row],[Shortname]], Comp[], 23, FALSE)</f>
        <v>0</v>
      </c>
      <c r="AA7">
        <f>VLOOKUP(Table9[[#This Row],[Shortname]], Comp[], 24, FALSE)</f>
        <v>0</v>
      </c>
      <c r="AB7">
        <f>VLOOKUP(Table9[[#This Row],[Shortname]], Comp[], 25, FALSE)</f>
        <v>0.11</v>
      </c>
      <c r="AC7">
        <f>VLOOKUP(Table9[[#This Row],[Shortname]], Comp[], 26, FALSE)</f>
        <v>0</v>
      </c>
      <c r="AD7">
        <f>VLOOKUP(Table9[[#This Row],[Shortname]], Comp[], 27, FALSE)</f>
        <v>0</v>
      </c>
      <c r="AE7">
        <f>VLOOKUP(Table9[[#This Row],[Shortname]], Comp[], 28, FALSE)</f>
        <v>0</v>
      </c>
      <c r="AF7">
        <f>VLOOKUP(Table9[[#This Row],[Shortname]], Comp[], 29, FALSE)</f>
        <v>0</v>
      </c>
      <c r="AG7">
        <f>VLOOKUP(Table9[[#This Row],[Shortname]], Comp[], 30, FALSE)</f>
        <v>0</v>
      </c>
      <c r="AH7">
        <f>VLOOKUP(Table9[[#This Row],[Shortname]], Comp[], 31, FALSE)</f>
        <v>0</v>
      </c>
    </row>
    <row r="8" spans="1:34" x14ac:dyDescent="0.3">
      <c r="A8" t="s">
        <v>1526</v>
      </c>
      <c r="B8" t="s">
        <v>1528</v>
      </c>
      <c r="C8" t="s">
        <v>6801</v>
      </c>
      <c r="D8">
        <v>941</v>
      </c>
      <c r="E8">
        <v>600</v>
      </c>
      <c r="F8" t="s">
        <v>6802</v>
      </c>
      <c r="G8">
        <v>1</v>
      </c>
      <c r="H8" t="s">
        <v>6803</v>
      </c>
      <c r="I8">
        <f>VLOOKUP(Table9[[#This Row],[Shortname]], Comp[], 6, FALSE)</f>
        <v>195</v>
      </c>
      <c r="J8" s="14">
        <f>VLOOKUP(Table9[[#This Row],[Shortname]], Comp[], 7, FALSE)</f>
        <v>42.330000000000005</v>
      </c>
      <c r="K8">
        <f>VLOOKUP(Table9[[#This Row],[Shortname]], Comp[], 8, FALSE)</f>
        <v>32</v>
      </c>
      <c r="L8">
        <f>VLOOKUP(Table9[[#This Row],[Shortname]], Comp[], 9, FALSE)</f>
        <v>6</v>
      </c>
      <c r="M8">
        <f>VLOOKUP(Table9[[#This Row],[Shortname]], Comp[], 10, FALSE)</f>
        <v>12</v>
      </c>
      <c r="N8">
        <f>VLOOKUP(Table9[[#This Row],[Shortname]], Comp[], 11, FALSE)</f>
        <v>3</v>
      </c>
      <c r="O8">
        <f>VLOOKUP(Table9[[#This Row],[Shortname]], Comp[],12, FALSE)</f>
        <v>2.5</v>
      </c>
      <c r="P8">
        <f>VLOOKUP(Table9[[#This Row],[Shortname]], Comp[], 13, FALSE)</f>
        <v>1.5</v>
      </c>
      <c r="Q8">
        <f>VLOOKUP(Table9[[#This Row],[Shortname]], Comp[], 14, FALSE)</f>
        <v>0</v>
      </c>
      <c r="R8">
        <f>VLOOKUP(Table9[[#This Row],[Shortname]], Comp[], 15, FALSE)</f>
        <v>0</v>
      </c>
      <c r="S8">
        <f>VLOOKUP(Table9[[#This Row],[Shortname]], Comp[], 16, FALSE)</f>
        <v>0</v>
      </c>
      <c r="T8">
        <f>VLOOKUP(Table9[[#This Row],[Shortname]], Comp[], 17, FALSE)</f>
        <v>0.08</v>
      </c>
      <c r="U8">
        <f>VLOOKUP(Table9[[#This Row],[Shortname]], Comp[], 18, FALSE)</f>
        <v>0.01</v>
      </c>
      <c r="V8">
        <f>VLOOKUP(Table9[[#This Row],[Shortname]], Comp[], 19, FALSE)</f>
        <v>0.08</v>
      </c>
      <c r="W8">
        <f>VLOOKUP(Table9[[#This Row],[Shortname]], Comp[], 20, FALSE)</f>
        <v>0</v>
      </c>
      <c r="X8">
        <f>VLOOKUP(Table9[[#This Row],[Shortname]], Comp[], 21, FALSE)</f>
        <v>0</v>
      </c>
      <c r="Y8">
        <f>VLOOKUP(Table9[[#This Row],[Shortname]], Comp[], 22, FALSE)</f>
        <v>0.4</v>
      </c>
      <c r="Z8">
        <f>VLOOKUP(Table9[[#This Row],[Shortname]], Comp[], 23, FALSE)</f>
        <v>0</v>
      </c>
      <c r="AA8">
        <f>VLOOKUP(Table9[[#This Row],[Shortname]], Comp[], 24, FALSE)</f>
        <v>0</v>
      </c>
      <c r="AB8">
        <f>VLOOKUP(Table9[[#This Row],[Shortname]], Comp[], 25, FALSE)</f>
        <v>0.1</v>
      </c>
      <c r="AC8">
        <f>VLOOKUP(Table9[[#This Row],[Shortname]], Comp[], 26, FALSE)</f>
        <v>0</v>
      </c>
      <c r="AD8">
        <f>VLOOKUP(Table9[[#This Row],[Shortname]], Comp[], 27, FALSE)</f>
        <v>0</v>
      </c>
      <c r="AE8">
        <f>VLOOKUP(Table9[[#This Row],[Shortname]], Comp[], 28, FALSE)</f>
        <v>0</v>
      </c>
      <c r="AF8">
        <f>VLOOKUP(Table9[[#This Row],[Shortname]], Comp[], 29, FALSE)</f>
        <v>0</v>
      </c>
      <c r="AG8">
        <f>VLOOKUP(Table9[[#This Row],[Shortname]], Comp[], 30, FALSE)</f>
        <v>0</v>
      </c>
      <c r="AH8">
        <f>VLOOKUP(Table9[[#This Row],[Shortname]], Comp[], 31, FALSE)</f>
        <v>0</v>
      </c>
    </row>
    <row r="9" spans="1:34" x14ac:dyDescent="0.3">
      <c r="A9" t="s">
        <v>1526</v>
      </c>
      <c r="B9" t="s">
        <v>1528</v>
      </c>
      <c r="C9" t="s">
        <v>6801</v>
      </c>
      <c r="D9">
        <v>924</v>
      </c>
      <c r="E9">
        <v>750</v>
      </c>
      <c r="F9" t="s">
        <v>6802</v>
      </c>
      <c r="G9">
        <v>1</v>
      </c>
      <c r="H9" t="s">
        <v>6803</v>
      </c>
      <c r="I9">
        <f>VLOOKUP(Table9[[#This Row],[Shortname]], Comp[], 6, FALSE)</f>
        <v>195</v>
      </c>
      <c r="J9" s="14">
        <f>VLOOKUP(Table9[[#This Row],[Shortname]], Comp[], 7, FALSE)</f>
        <v>42.330000000000005</v>
      </c>
      <c r="K9">
        <f>VLOOKUP(Table9[[#This Row],[Shortname]], Comp[], 8, FALSE)</f>
        <v>32</v>
      </c>
      <c r="L9">
        <f>VLOOKUP(Table9[[#This Row],[Shortname]], Comp[], 9, FALSE)</f>
        <v>6</v>
      </c>
      <c r="M9">
        <f>VLOOKUP(Table9[[#This Row],[Shortname]], Comp[], 10, FALSE)</f>
        <v>12</v>
      </c>
      <c r="N9">
        <f>VLOOKUP(Table9[[#This Row],[Shortname]], Comp[], 11, FALSE)</f>
        <v>3</v>
      </c>
      <c r="O9">
        <f>VLOOKUP(Table9[[#This Row],[Shortname]], Comp[],12, FALSE)</f>
        <v>2.5</v>
      </c>
      <c r="P9">
        <f>VLOOKUP(Table9[[#This Row],[Shortname]], Comp[], 13, FALSE)</f>
        <v>1.5</v>
      </c>
      <c r="Q9">
        <f>VLOOKUP(Table9[[#This Row],[Shortname]], Comp[], 14, FALSE)</f>
        <v>0</v>
      </c>
      <c r="R9">
        <f>VLOOKUP(Table9[[#This Row],[Shortname]], Comp[], 15, FALSE)</f>
        <v>0</v>
      </c>
      <c r="S9">
        <f>VLOOKUP(Table9[[#This Row],[Shortname]], Comp[], 16, FALSE)</f>
        <v>0</v>
      </c>
      <c r="T9">
        <f>VLOOKUP(Table9[[#This Row],[Shortname]], Comp[], 17, FALSE)</f>
        <v>0.08</v>
      </c>
      <c r="U9">
        <f>VLOOKUP(Table9[[#This Row],[Shortname]], Comp[], 18, FALSE)</f>
        <v>0.01</v>
      </c>
      <c r="V9">
        <f>VLOOKUP(Table9[[#This Row],[Shortname]], Comp[], 19, FALSE)</f>
        <v>0.08</v>
      </c>
      <c r="W9">
        <f>VLOOKUP(Table9[[#This Row],[Shortname]], Comp[], 20, FALSE)</f>
        <v>0</v>
      </c>
      <c r="X9">
        <f>VLOOKUP(Table9[[#This Row],[Shortname]], Comp[], 21, FALSE)</f>
        <v>0</v>
      </c>
      <c r="Y9">
        <f>VLOOKUP(Table9[[#This Row],[Shortname]], Comp[], 22, FALSE)</f>
        <v>0.4</v>
      </c>
      <c r="Z9">
        <f>VLOOKUP(Table9[[#This Row],[Shortname]], Comp[], 23, FALSE)</f>
        <v>0</v>
      </c>
      <c r="AA9">
        <f>VLOOKUP(Table9[[#This Row],[Shortname]], Comp[], 24, FALSE)</f>
        <v>0</v>
      </c>
      <c r="AB9">
        <f>VLOOKUP(Table9[[#This Row],[Shortname]], Comp[], 25, FALSE)</f>
        <v>0.1</v>
      </c>
      <c r="AC9">
        <f>VLOOKUP(Table9[[#This Row],[Shortname]], Comp[], 26, FALSE)</f>
        <v>0</v>
      </c>
      <c r="AD9">
        <f>VLOOKUP(Table9[[#This Row],[Shortname]], Comp[], 27, FALSE)</f>
        <v>0</v>
      </c>
      <c r="AE9">
        <f>VLOOKUP(Table9[[#This Row],[Shortname]], Comp[], 28, FALSE)</f>
        <v>0</v>
      </c>
      <c r="AF9">
        <f>VLOOKUP(Table9[[#This Row],[Shortname]], Comp[], 29, FALSE)</f>
        <v>0</v>
      </c>
      <c r="AG9">
        <f>VLOOKUP(Table9[[#This Row],[Shortname]], Comp[], 30, FALSE)</f>
        <v>0</v>
      </c>
      <c r="AH9">
        <f>VLOOKUP(Table9[[#This Row],[Shortname]], Comp[], 31, FALSE)</f>
        <v>0</v>
      </c>
    </row>
    <row r="10" spans="1:34" x14ac:dyDescent="0.3">
      <c r="A10" t="s">
        <v>2070</v>
      </c>
      <c r="B10" t="s">
        <v>2072</v>
      </c>
      <c r="C10" t="s">
        <v>2065</v>
      </c>
      <c r="D10">
        <v>922</v>
      </c>
      <c r="E10">
        <v>25</v>
      </c>
      <c r="F10">
        <v>1E-4</v>
      </c>
      <c r="G10">
        <v>1</v>
      </c>
      <c r="H10" t="s">
        <v>6803</v>
      </c>
      <c r="I10">
        <f>VLOOKUP(Table9[[#This Row],[Shortname]], Comp[], 6, FALSE)</f>
        <v>272</v>
      </c>
      <c r="J10" s="14">
        <f>VLOOKUP(Table9[[#This Row],[Shortname]], Comp[], 7, FALSE)</f>
        <v>85</v>
      </c>
      <c r="K10">
        <f>VLOOKUP(Table9[[#This Row],[Shortname]], Comp[], 8, FALSE)</f>
        <v>0</v>
      </c>
      <c r="L10">
        <f>VLOOKUP(Table9[[#This Row],[Shortname]], Comp[], 9, FALSE)</f>
        <v>0</v>
      </c>
      <c r="M10">
        <f>VLOOKUP(Table9[[#This Row],[Shortname]], Comp[], 10, FALSE)</f>
        <v>0</v>
      </c>
      <c r="N10">
        <f>VLOOKUP(Table9[[#This Row],[Shortname]], Comp[], 11, FALSE)</f>
        <v>0</v>
      </c>
      <c r="O10">
        <f>VLOOKUP(Table9[[#This Row],[Shortname]], Comp[],12, FALSE)</f>
        <v>12</v>
      </c>
      <c r="P10">
        <f>VLOOKUP(Table9[[#This Row],[Shortname]], Comp[], 13, FALSE)</f>
        <v>0</v>
      </c>
      <c r="Q10">
        <f>VLOOKUP(Table9[[#This Row],[Shortname]], Comp[], 14, FALSE)</f>
        <v>0</v>
      </c>
      <c r="R10">
        <f>VLOOKUP(Table9[[#This Row],[Shortname]], Comp[], 15, FALSE)</f>
        <v>0</v>
      </c>
      <c r="S10">
        <f>VLOOKUP(Table9[[#This Row],[Shortname]], Comp[], 16, FALSE)</f>
        <v>0</v>
      </c>
      <c r="T10">
        <f>VLOOKUP(Table9[[#This Row],[Shortname]], Comp[], 17, FALSE)</f>
        <v>0</v>
      </c>
      <c r="U10">
        <f>VLOOKUP(Table9[[#This Row],[Shortname]], Comp[], 18, FALSE)</f>
        <v>0</v>
      </c>
      <c r="V10">
        <f>VLOOKUP(Table9[[#This Row],[Shortname]], Comp[], 19, FALSE)</f>
        <v>0</v>
      </c>
      <c r="W10">
        <f>VLOOKUP(Table9[[#This Row],[Shortname]], Comp[], 20, FALSE)</f>
        <v>0</v>
      </c>
      <c r="X10">
        <f>VLOOKUP(Table9[[#This Row],[Shortname]], Comp[], 21, FALSE)</f>
        <v>3</v>
      </c>
      <c r="Y10">
        <f>VLOOKUP(Table9[[#This Row],[Shortname]], Comp[], 22, FALSE)</f>
        <v>0</v>
      </c>
      <c r="Z10">
        <f>VLOOKUP(Table9[[#This Row],[Shortname]], Comp[], 23, FALSE)</f>
        <v>0</v>
      </c>
      <c r="AA10">
        <f>VLOOKUP(Table9[[#This Row],[Shortname]], Comp[], 24, FALSE)</f>
        <v>0</v>
      </c>
      <c r="AB10">
        <f>VLOOKUP(Table9[[#This Row],[Shortname]], Comp[], 25, FALSE)</f>
        <v>0</v>
      </c>
      <c r="AC10">
        <f>VLOOKUP(Table9[[#This Row],[Shortname]], Comp[], 26, FALSE)</f>
        <v>0</v>
      </c>
      <c r="AD10">
        <f>VLOOKUP(Table9[[#This Row],[Shortname]], Comp[], 27, FALSE)</f>
        <v>0</v>
      </c>
      <c r="AE10">
        <f>VLOOKUP(Table9[[#This Row],[Shortname]], Comp[], 28, FALSE)</f>
        <v>0</v>
      </c>
      <c r="AF10">
        <f>VLOOKUP(Table9[[#This Row],[Shortname]], Comp[], 29, FALSE)</f>
        <v>0</v>
      </c>
      <c r="AG10">
        <f>VLOOKUP(Table9[[#This Row],[Shortname]], Comp[], 30, FALSE)</f>
        <v>0</v>
      </c>
      <c r="AH10">
        <f>VLOOKUP(Table9[[#This Row],[Shortname]], Comp[], 31, FALSE)</f>
        <v>0</v>
      </c>
    </row>
    <row r="11" spans="1:34" x14ac:dyDescent="0.3">
      <c r="A11" t="s">
        <v>2077</v>
      </c>
      <c r="B11" t="s">
        <v>2079</v>
      </c>
      <c r="C11" t="s">
        <v>2065</v>
      </c>
      <c r="D11">
        <v>922</v>
      </c>
      <c r="E11">
        <v>600</v>
      </c>
      <c r="F11">
        <v>1E-4</v>
      </c>
      <c r="G11">
        <v>1</v>
      </c>
      <c r="H11" t="s">
        <v>6803</v>
      </c>
      <c r="I11">
        <f>VLOOKUP(Table9[[#This Row],[Shortname]], Comp[], 6, FALSE)</f>
        <v>273</v>
      </c>
      <c r="J11" s="14">
        <f>VLOOKUP(Table9[[#This Row],[Shortname]], Comp[], 7, FALSE)</f>
        <v>83</v>
      </c>
      <c r="K11">
        <f>VLOOKUP(Table9[[#This Row],[Shortname]], Comp[], 8, FALSE)</f>
        <v>0</v>
      </c>
      <c r="L11">
        <f>VLOOKUP(Table9[[#This Row],[Shortname]], Comp[], 9, FALSE)</f>
        <v>0</v>
      </c>
      <c r="M11">
        <f>VLOOKUP(Table9[[#This Row],[Shortname]], Comp[], 10, FALSE)</f>
        <v>0</v>
      </c>
      <c r="N11">
        <f>VLOOKUP(Table9[[#This Row],[Shortname]], Comp[], 11, FALSE)</f>
        <v>0</v>
      </c>
      <c r="O11">
        <f>VLOOKUP(Table9[[#This Row],[Shortname]], Comp[],12, FALSE)</f>
        <v>12</v>
      </c>
      <c r="P11">
        <f>VLOOKUP(Table9[[#This Row],[Shortname]], Comp[], 13, FALSE)</f>
        <v>0</v>
      </c>
      <c r="Q11">
        <f>VLOOKUP(Table9[[#This Row],[Shortname]], Comp[], 14, FALSE)</f>
        <v>0</v>
      </c>
      <c r="R11">
        <f>VLOOKUP(Table9[[#This Row],[Shortname]], Comp[], 15, FALSE)</f>
        <v>0</v>
      </c>
      <c r="S11">
        <f>VLOOKUP(Table9[[#This Row],[Shortname]], Comp[], 16, FALSE)</f>
        <v>0</v>
      </c>
      <c r="T11">
        <f>VLOOKUP(Table9[[#This Row],[Shortname]], Comp[], 17, FALSE)</f>
        <v>0</v>
      </c>
      <c r="U11">
        <f>VLOOKUP(Table9[[#This Row],[Shortname]], Comp[], 18, FALSE)</f>
        <v>0</v>
      </c>
      <c r="V11">
        <f>VLOOKUP(Table9[[#This Row],[Shortname]], Comp[], 19, FALSE)</f>
        <v>0</v>
      </c>
      <c r="W11">
        <f>VLOOKUP(Table9[[#This Row],[Shortname]], Comp[], 20, FALSE)</f>
        <v>0</v>
      </c>
      <c r="X11">
        <f>VLOOKUP(Table9[[#This Row],[Shortname]], Comp[], 21, FALSE)</f>
        <v>5</v>
      </c>
      <c r="Y11">
        <f>VLOOKUP(Table9[[#This Row],[Shortname]], Comp[], 22, FALSE)</f>
        <v>0</v>
      </c>
      <c r="Z11">
        <f>VLOOKUP(Table9[[#This Row],[Shortname]], Comp[], 23, FALSE)</f>
        <v>0</v>
      </c>
      <c r="AA11">
        <f>VLOOKUP(Table9[[#This Row],[Shortname]], Comp[], 24, FALSE)</f>
        <v>0</v>
      </c>
      <c r="AB11">
        <f>VLOOKUP(Table9[[#This Row],[Shortname]], Comp[], 25, FALSE)</f>
        <v>0</v>
      </c>
      <c r="AC11">
        <f>VLOOKUP(Table9[[#This Row],[Shortname]], Comp[], 26, FALSE)</f>
        <v>0</v>
      </c>
      <c r="AD11">
        <f>VLOOKUP(Table9[[#This Row],[Shortname]], Comp[], 27, FALSE)</f>
        <v>0</v>
      </c>
      <c r="AE11">
        <f>VLOOKUP(Table9[[#This Row],[Shortname]], Comp[], 28, FALSE)</f>
        <v>0</v>
      </c>
      <c r="AF11">
        <f>VLOOKUP(Table9[[#This Row],[Shortname]], Comp[], 29, FALSE)</f>
        <v>0</v>
      </c>
      <c r="AG11">
        <f>VLOOKUP(Table9[[#This Row],[Shortname]], Comp[], 30, FALSE)</f>
        <v>0</v>
      </c>
      <c r="AH11">
        <f>VLOOKUP(Table9[[#This Row],[Shortname]], Comp[], 31, FALSE)</f>
        <v>0</v>
      </c>
    </row>
    <row r="12" spans="1:34" x14ac:dyDescent="0.3">
      <c r="A12" t="s">
        <v>1788</v>
      </c>
      <c r="B12" t="s">
        <v>1790</v>
      </c>
      <c r="C12" t="s">
        <v>1791</v>
      </c>
      <c r="D12">
        <v>920</v>
      </c>
      <c r="E12">
        <v>25</v>
      </c>
      <c r="F12">
        <v>1E-3</v>
      </c>
      <c r="G12">
        <v>1</v>
      </c>
      <c r="I12">
        <f>VLOOKUP(Table9[[#This Row],[Shortname]], Comp[], 6, FALSE)</f>
        <v>231</v>
      </c>
      <c r="J12" s="14">
        <f>VLOOKUP(Table9[[#This Row],[Shortname]], Comp[], 7, FALSE)</f>
        <v>36.11</v>
      </c>
      <c r="K12">
        <f>VLOOKUP(Table9[[#This Row],[Shortname]], Comp[], 8, FALSE)</f>
        <v>34.200000000000003</v>
      </c>
      <c r="L12">
        <f>VLOOKUP(Table9[[#This Row],[Shortname]], Comp[], 9, FALSE)</f>
        <v>10.5</v>
      </c>
      <c r="M12">
        <f>VLOOKUP(Table9[[#This Row],[Shortname]], Comp[], 10, FALSE)</f>
        <v>14.8</v>
      </c>
      <c r="N12">
        <f>VLOOKUP(Table9[[#This Row],[Shortname]], Comp[], 11, FALSE)</f>
        <v>3</v>
      </c>
      <c r="O12">
        <f>VLOOKUP(Table9[[#This Row],[Shortname]], Comp[],12, FALSE)</f>
        <v>0</v>
      </c>
      <c r="P12">
        <f>VLOOKUP(Table9[[#This Row],[Shortname]], Comp[], 13, FALSE)</f>
        <v>1</v>
      </c>
      <c r="Q12">
        <f>VLOOKUP(Table9[[#This Row],[Shortname]], Comp[], 14, FALSE)</f>
        <v>0</v>
      </c>
      <c r="R12">
        <f>VLOOKUP(Table9[[#This Row],[Shortname]], Comp[], 15, FALSE)</f>
        <v>0</v>
      </c>
      <c r="S12">
        <f>VLOOKUP(Table9[[#This Row],[Shortname]], Comp[], 16, FALSE)</f>
        <v>0</v>
      </c>
      <c r="T12">
        <f>VLOOKUP(Table9[[#This Row],[Shortname]], Comp[], 17, FALSE)</f>
        <v>0.15</v>
      </c>
      <c r="U12">
        <f>VLOOKUP(Table9[[#This Row],[Shortname]], Comp[], 18, FALSE)</f>
        <v>0.04</v>
      </c>
      <c r="V12">
        <f>VLOOKUP(Table9[[#This Row],[Shortname]], Comp[], 19, FALSE)</f>
        <v>0.2</v>
      </c>
      <c r="W12">
        <f>VLOOKUP(Table9[[#This Row],[Shortname]], Comp[], 20, FALSE)</f>
        <v>0</v>
      </c>
      <c r="X12">
        <f>VLOOKUP(Table9[[#This Row],[Shortname]], Comp[], 21, FALSE)</f>
        <v>0</v>
      </c>
      <c r="Y12">
        <f>VLOOKUP(Table9[[#This Row],[Shortname]], Comp[], 22, FALSE)</f>
        <v>0</v>
      </c>
      <c r="Z12">
        <f>VLOOKUP(Table9[[#This Row],[Shortname]], Comp[], 23, FALSE)</f>
        <v>0</v>
      </c>
      <c r="AA12">
        <f>VLOOKUP(Table9[[#This Row],[Shortname]], Comp[], 24, FALSE)</f>
        <v>0</v>
      </c>
      <c r="AB12">
        <f>VLOOKUP(Table9[[#This Row],[Shortname]], Comp[], 25, FALSE)</f>
        <v>0</v>
      </c>
      <c r="AC12">
        <f>VLOOKUP(Table9[[#This Row],[Shortname]], Comp[], 26, FALSE)</f>
        <v>0</v>
      </c>
      <c r="AD12">
        <f>VLOOKUP(Table9[[#This Row],[Shortname]], Comp[], 27, FALSE)</f>
        <v>0</v>
      </c>
      <c r="AE12">
        <f>VLOOKUP(Table9[[#This Row],[Shortname]], Comp[], 28, FALSE)</f>
        <v>0</v>
      </c>
      <c r="AF12">
        <f>VLOOKUP(Table9[[#This Row],[Shortname]], Comp[], 29, FALSE)</f>
        <v>0</v>
      </c>
      <c r="AG12">
        <f>VLOOKUP(Table9[[#This Row],[Shortname]], Comp[], 30, FALSE)</f>
        <v>0</v>
      </c>
      <c r="AH12">
        <f>VLOOKUP(Table9[[#This Row],[Shortname]], Comp[], 31, FALSE)</f>
        <v>0</v>
      </c>
    </row>
    <row r="13" spans="1:34" x14ac:dyDescent="0.3">
      <c r="A13" t="s">
        <v>4430</v>
      </c>
      <c r="B13" t="s">
        <v>4409</v>
      </c>
      <c r="C13" t="s">
        <v>4415</v>
      </c>
      <c r="D13">
        <v>915</v>
      </c>
      <c r="E13">
        <v>25</v>
      </c>
      <c r="F13">
        <v>1E-4</v>
      </c>
      <c r="G13">
        <v>1</v>
      </c>
      <c r="H13" t="s">
        <v>6803</v>
      </c>
      <c r="I13">
        <f>VLOOKUP(Table9[[#This Row],[Shortname]], Comp[], 6, FALSE)</f>
        <v>674</v>
      </c>
      <c r="J13" s="14">
        <f>VLOOKUP(Table9[[#This Row],[Shortname]], Comp[], 7, FALSE)</f>
        <v>42.326000000000001</v>
      </c>
      <c r="K13">
        <f>VLOOKUP(Table9[[#This Row],[Shortname]], Comp[], 8, FALSE)</f>
        <v>30</v>
      </c>
      <c r="L13">
        <f>VLOOKUP(Table9[[#This Row],[Shortname]], Comp[], 9, FALSE)</f>
        <v>7</v>
      </c>
      <c r="M13">
        <f>VLOOKUP(Table9[[#This Row],[Shortname]], Comp[], 10, FALSE)</f>
        <v>12</v>
      </c>
      <c r="N13">
        <f>VLOOKUP(Table9[[#This Row],[Shortname]], Comp[], 11, FALSE)</f>
        <v>2</v>
      </c>
      <c r="O13">
        <f>VLOOKUP(Table9[[#This Row],[Shortname]], Comp[],12, FALSE)</f>
        <v>3.5</v>
      </c>
      <c r="P13">
        <f>VLOOKUP(Table9[[#This Row],[Shortname]], Comp[], 13, FALSE)</f>
        <v>1</v>
      </c>
      <c r="Q13">
        <f>VLOOKUP(Table9[[#This Row],[Shortname]], Comp[], 14, FALSE)</f>
        <v>0</v>
      </c>
      <c r="R13">
        <f>VLOOKUP(Table9[[#This Row],[Shortname]], Comp[], 15, FALSE)</f>
        <v>0</v>
      </c>
      <c r="S13">
        <f>VLOOKUP(Table9[[#This Row],[Shortname]], Comp[], 16, FALSE)</f>
        <v>1.5</v>
      </c>
      <c r="T13">
        <f>VLOOKUP(Table9[[#This Row],[Shortname]], Comp[], 17, FALSE)</f>
        <v>0.08</v>
      </c>
      <c r="U13">
        <f>VLOOKUP(Table9[[#This Row],[Shortname]], Comp[], 18, FALSE)</f>
        <v>8.9999999999999993E-3</v>
      </c>
      <c r="V13">
        <f>VLOOKUP(Table9[[#This Row],[Shortname]], Comp[], 19, FALSE)</f>
        <v>8.5000000000000006E-2</v>
      </c>
      <c r="W13">
        <f>VLOOKUP(Table9[[#This Row],[Shortname]], Comp[], 20, FALSE)</f>
        <v>0</v>
      </c>
      <c r="X13">
        <f>VLOOKUP(Table9[[#This Row],[Shortname]], Comp[], 21, FALSE)</f>
        <v>0</v>
      </c>
      <c r="Y13">
        <f>VLOOKUP(Table9[[#This Row],[Shortname]], Comp[], 22, FALSE)</f>
        <v>0.39</v>
      </c>
      <c r="Z13">
        <f>VLOOKUP(Table9[[#This Row],[Shortname]], Comp[], 23, FALSE)</f>
        <v>0</v>
      </c>
      <c r="AA13">
        <f>VLOOKUP(Table9[[#This Row],[Shortname]], Comp[], 24, FALSE)</f>
        <v>0</v>
      </c>
      <c r="AB13">
        <f>VLOOKUP(Table9[[#This Row],[Shortname]], Comp[], 25, FALSE)</f>
        <v>0.11</v>
      </c>
      <c r="AC13">
        <f>VLOOKUP(Table9[[#This Row],[Shortname]], Comp[], 26, FALSE)</f>
        <v>0</v>
      </c>
      <c r="AD13">
        <f>VLOOKUP(Table9[[#This Row],[Shortname]], Comp[], 27, FALSE)</f>
        <v>0</v>
      </c>
      <c r="AE13">
        <f>VLOOKUP(Table9[[#This Row],[Shortname]], Comp[], 28, FALSE)</f>
        <v>0</v>
      </c>
      <c r="AF13">
        <f>VLOOKUP(Table9[[#This Row],[Shortname]], Comp[], 29, FALSE)</f>
        <v>0</v>
      </c>
      <c r="AG13">
        <f>VLOOKUP(Table9[[#This Row],[Shortname]], Comp[], 30, FALSE)</f>
        <v>0</v>
      </c>
      <c r="AH13">
        <f>VLOOKUP(Table9[[#This Row],[Shortname]], Comp[], 31, FALSE)</f>
        <v>0</v>
      </c>
    </row>
    <row r="14" spans="1:34" x14ac:dyDescent="0.3">
      <c r="A14" t="s">
        <v>2224</v>
      </c>
      <c r="B14" t="s">
        <v>2226</v>
      </c>
      <c r="C14" t="s">
        <v>2211</v>
      </c>
      <c r="D14">
        <v>893</v>
      </c>
      <c r="E14">
        <v>25</v>
      </c>
      <c r="F14">
        <v>1E-4</v>
      </c>
      <c r="G14">
        <v>1</v>
      </c>
      <c r="H14" t="s">
        <v>6803</v>
      </c>
      <c r="I14">
        <f>VLOOKUP(Table9[[#This Row],[Shortname]], Comp[], 6, FALSE)</f>
        <v>293</v>
      </c>
      <c r="J14" s="14">
        <f>VLOOKUP(Table9[[#This Row],[Shortname]], Comp[], 7, FALSE)</f>
        <v>83.9</v>
      </c>
      <c r="K14">
        <f>VLOOKUP(Table9[[#This Row],[Shortname]], Comp[], 8, FALSE)</f>
        <v>0</v>
      </c>
      <c r="L14">
        <f>VLOOKUP(Table9[[#This Row],[Shortname]], Comp[], 9, FALSE)</f>
        <v>0</v>
      </c>
      <c r="M14">
        <f>VLOOKUP(Table9[[#This Row],[Shortname]], Comp[], 10, FALSE)</f>
        <v>0</v>
      </c>
      <c r="N14">
        <f>VLOOKUP(Table9[[#This Row],[Shortname]], Comp[], 11, FALSE)</f>
        <v>2.1</v>
      </c>
      <c r="O14">
        <f>VLOOKUP(Table9[[#This Row],[Shortname]], Comp[],12, FALSE)</f>
        <v>4.0999999999999996</v>
      </c>
      <c r="P14">
        <f>VLOOKUP(Table9[[#This Row],[Shortname]], Comp[], 13, FALSE)</f>
        <v>0</v>
      </c>
      <c r="Q14">
        <f>VLOOKUP(Table9[[#This Row],[Shortname]], Comp[], 14, FALSE)</f>
        <v>0</v>
      </c>
      <c r="R14">
        <f>VLOOKUP(Table9[[#This Row],[Shortname]], Comp[], 15, FALSE)</f>
        <v>9.9</v>
      </c>
      <c r="S14">
        <f>VLOOKUP(Table9[[#This Row],[Shortname]], Comp[], 16, FALSE)</f>
        <v>0</v>
      </c>
      <c r="T14">
        <f>VLOOKUP(Table9[[#This Row],[Shortname]], Comp[], 17, FALSE)</f>
        <v>0</v>
      </c>
      <c r="U14">
        <f>VLOOKUP(Table9[[#This Row],[Shortname]], Comp[], 18, FALSE)</f>
        <v>0</v>
      </c>
      <c r="V14">
        <f>VLOOKUP(Table9[[#This Row],[Shortname]], Comp[], 19, FALSE)</f>
        <v>0</v>
      </c>
      <c r="W14">
        <f>VLOOKUP(Table9[[#This Row],[Shortname]], Comp[], 20, FALSE)</f>
        <v>0</v>
      </c>
      <c r="X14">
        <f>VLOOKUP(Table9[[#This Row],[Shortname]], Comp[], 21, FALSE)</f>
        <v>0</v>
      </c>
      <c r="Y14">
        <f>VLOOKUP(Table9[[#This Row],[Shortname]], Comp[], 22, FALSE)</f>
        <v>0</v>
      </c>
      <c r="Z14">
        <f>VLOOKUP(Table9[[#This Row],[Shortname]], Comp[], 23, FALSE)</f>
        <v>0</v>
      </c>
      <c r="AA14">
        <f>VLOOKUP(Table9[[#This Row],[Shortname]], Comp[], 24, FALSE)</f>
        <v>0</v>
      </c>
      <c r="AB14">
        <f>VLOOKUP(Table9[[#This Row],[Shortname]], Comp[], 25, FALSE)</f>
        <v>0</v>
      </c>
      <c r="AC14">
        <f>VLOOKUP(Table9[[#This Row],[Shortname]], Comp[], 26, FALSE)</f>
        <v>0</v>
      </c>
      <c r="AD14">
        <f>VLOOKUP(Table9[[#This Row],[Shortname]], Comp[], 27, FALSE)</f>
        <v>0</v>
      </c>
      <c r="AE14">
        <f>VLOOKUP(Table9[[#This Row],[Shortname]], Comp[], 28, FALSE)</f>
        <v>0</v>
      </c>
      <c r="AF14">
        <f>VLOOKUP(Table9[[#This Row],[Shortname]], Comp[], 29, FALSE)</f>
        <v>0</v>
      </c>
      <c r="AG14">
        <f>VLOOKUP(Table9[[#This Row],[Shortname]], Comp[], 30, FALSE)</f>
        <v>0</v>
      </c>
      <c r="AH14">
        <f>VLOOKUP(Table9[[#This Row],[Shortname]], Comp[], 31, FALSE)</f>
        <v>0</v>
      </c>
    </row>
    <row r="15" spans="1:34" x14ac:dyDescent="0.3">
      <c r="A15" t="s">
        <v>2989</v>
      </c>
      <c r="B15" t="s">
        <v>2991</v>
      </c>
      <c r="C15" t="s">
        <v>2992</v>
      </c>
      <c r="D15">
        <v>884</v>
      </c>
      <c r="E15">
        <v>25</v>
      </c>
      <c r="F15">
        <v>1E-4</v>
      </c>
      <c r="G15">
        <v>1</v>
      </c>
      <c r="H15" t="s">
        <v>6803</v>
      </c>
      <c r="I15">
        <f>VLOOKUP(Table9[[#This Row],[Shortname]], Comp[], 6, FALSE)</f>
        <v>411</v>
      </c>
      <c r="J15" s="14">
        <f>VLOOKUP(Table9[[#This Row],[Shortname]], Comp[], 7, FALSE)</f>
        <v>84</v>
      </c>
      <c r="K15">
        <f>VLOOKUP(Table9[[#This Row],[Shortname]], Comp[], 8, FALSE)</f>
        <v>0</v>
      </c>
      <c r="L15">
        <f>VLOOKUP(Table9[[#This Row],[Shortname]], Comp[], 9, FALSE)</f>
        <v>0</v>
      </c>
      <c r="M15">
        <f>VLOOKUP(Table9[[#This Row],[Shortname]], Comp[], 10, FALSE)</f>
        <v>0</v>
      </c>
      <c r="N15">
        <f>VLOOKUP(Table9[[#This Row],[Shortname]], Comp[], 11, FALSE)</f>
        <v>0</v>
      </c>
      <c r="O15">
        <f>VLOOKUP(Table9[[#This Row],[Shortname]], Comp[],12, FALSE)</f>
        <v>2</v>
      </c>
      <c r="P15">
        <f>VLOOKUP(Table9[[#This Row],[Shortname]], Comp[], 13, FALSE)</f>
        <v>2</v>
      </c>
      <c r="Q15">
        <f>VLOOKUP(Table9[[#This Row],[Shortname]], Comp[], 14, FALSE)</f>
        <v>0</v>
      </c>
      <c r="R15">
        <f>VLOOKUP(Table9[[#This Row],[Shortname]], Comp[], 15, FALSE)</f>
        <v>12</v>
      </c>
      <c r="S15">
        <f>VLOOKUP(Table9[[#This Row],[Shortname]], Comp[], 16, FALSE)</f>
        <v>0</v>
      </c>
      <c r="T15">
        <f>VLOOKUP(Table9[[#This Row],[Shortname]], Comp[], 17, FALSE)</f>
        <v>0</v>
      </c>
      <c r="U15">
        <f>VLOOKUP(Table9[[#This Row],[Shortname]], Comp[], 18, FALSE)</f>
        <v>0</v>
      </c>
      <c r="V15">
        <f>VLOOKUP(Table9[[#This Row],[Shortname]], Comp[], 19, FALSE)</f>
        <v>0</v>
      </c>
      <c r="W15">
        <f>VLOOKUP(Table9[[#This Row],[Shortname]], Comp[], 20, FALSE)</f>
        <v>0</v>
      </c>
      <c r="X15">
        <f>VLOOKUP(Table9[[#This Row],[Shortname]], Comp[], 21, FALSE)</f>
        <v>0</v>
      </c>
      <c r="Y15">
        <f>VLOOKUP(Table9[[#This Row],[Shortname]], Comp[], 22, FALSE)</f>
        <v>0</v>
      </c>
      <c r="Z15">
        <f>VLOOKUP(Table9[[#This Row],[Shortname]], Comp[], 23, FALSE)</f>
        <v>0</v>
      </c>
      <c r="AA15">
        <f>VLOOKUP(Table9[[#This Row],[Shortname]], Comp[], 24, FALSE)</f>
        <v>0</v>
      </c>
      <c r="AB15">
        <f>VLOOKUP(Table9[[#This Row],[Shortname]], Comp[], 25, FALSE)</f>
        <v>0</v>
      </c>
      <c r="AC15">
        <f>VLOOKUP(Table9[[#This Row],[Shortname]], Comp[], 26, FALSE)</f>
        <v>0</v>
      </c>
      <c r="AD15">
        <f>VLOOKUP(Table9[[#This Row],[Shortname]], Comp[], 27, FALSE)</f>
        <v>0</v>
      </c>
      <c r="AE15">
        <f>VLOOKUP(Table9[[#This Row],[Shortname]], Comp[], 28, FALSE)</f>
        <v>0</v>
      </c>
      <c r="AF15">
        <f>VLOOKUP(Table9[[#This Row],[Shortname]], Comp[], 29, FALSE)</f>
        <v>0</v>
      </c>
      <c r="AG15">
        <f>VLOOKUP(Table9[[#This Row],[Shortname]], Comp[], 30, FALSE)</f>
        <v>0</v>
      </c>
      <c r="AH15">
        <f>VLOOKUP(Table9[[#This Row],[Shortname]], Comp[], 31, FALSE)</f>
        <v>0</v>
      </c>
    </row>
    <row r="16" spans="1:34" x14ac:dyDescent="0.3">
      <c r="A16" t="s">
        <v>1526</v>
      </c>
      <c r="B16" t="s">
        <v>1528</v>
      </c>
      <c r="C16" t="s">
        <v>6801</v>
      </c>
      <c r="D16">
        <v>880</v>
      </c>
      <c r="E16">
        <v>800</v>
      </c>
      <c r="F16" t="s">
        <v>6802</v>
      </c>
      <c r="G16">
        <v>1</v>
      </c>
      <c r="H16" t="s">
        <v>6803</v>
      </c>
      <c r="I16">
        <f>VLOOKUP(Table9[[#This Row],[Shortname]], Comp[], 6, FALSE)</f>
        <v>195</v>
      </c>
      <c r="J16" s="14">
        <f>VLOOKUP(Table9[[#This Row],[Shortname]], Comp[], 7, FALSE)</f>
        <v>42.330000000000005</v>
      </c>
      <c r="K16">
        <f>VLOOKUP(Table9[[#This Row],[Shortname]], Comp[], 8, FALSE)</f>
        <v>32</v>
      </c>
      <c r="L16">
        <f>VLOOKUP(Table9[[#This Row],[Shortname]], Comp[], 9, FALSE)</f>
        <v>6</v>
      </c>
      <c r="M16">
        <f>VLOOKUP(Table9[[#This Row],[Shortname]], Comp[], 10, FALSE)</f>
        <v>12</v>
      </c>
      <c r="N16">
        <f>VLOOKUP(Table9[[#This Row],[Shortname]], Comp[], 11, FALSE)</f>
        <v>3</v>
      </c>
      <c r="O16">
        <f>VLOOKUP(Table9[[#This Row],[Shortname]], Comp[],12, FALSE)</f>
        <v>2.5</v>
      </c>
      <c r="P16">
        <f>VLOOKUP(Table9[[#This Row],[Shortname]], Comp[], 13, FALSE)</f>
        <v>1.5</v>
      </c>
      <c r="Q16">
        <f>VLOOKUP(Table9[[#This Row],[Shortname]], Comp[], 14, FALSE)</f>
        <v>0</v>
      </c>
      <c r="R16">
        <f>VLOOKUP(Table9[[#This Row],[Shortname]], Comp[], 15, FALSE)</f>
        <v>0</v>
      </c>
      <c r="S16">
        <f>VLOOKUP(Table9[[#This Row],[Shortname]], Comp[], 16, FALSE)</f>
        <v>0</v>
      </c>
      <c r="T16">
        <f>VLOOKUP(Table9[[#This Row],[Shortname]], Comp[], 17, FALSE)</f>
        <v>0.08</v>
      </c>
      <c r="U16">
        <f>VLOOKUP(Table9[[#This Row],[Shortname]], Comp[], 18, FALSE)</f>
        <v>0.01</v>
      </c>
      <c r="V16">
        <f>VLOOKUP(Table9[[#This Row],[Shortname]], Comp[], 19, FALSE)</f>
        <v>0.08</v>
      </c>
      <c r="W16">
        <f>VLOOKUP(Table9[[#This Row],[Shortname]], Comp[], 20, FALSE)</f>
        <v>0</v>
      </c>
      <c r="X16">
        <f>VLOOKUP(Table9[[#This Row],[Shortname]], Comp[], 21, FALSE)</f>
        <v>0</v>
      </c>
      <c r="Y16">
        <f>VLOOKUP(Table9[[#This Row],[Shortname]], Comp[], 22, FALSE)</f>
        <v>0.4</v>
      </c>
      <c r="Z16">
        <f>VLOOKUP(Table9[[#This Row],[Shortname]], Comp[], 23, FALSE)</f>
        <v>0</v>
      </c>
      <c r="AA16">
        <f>VLOOKUP(Table9[[#This Row],[Shortname]], Comp[], 24, FALSE)</f>
        <v>0</v>
      </c>
      <c r="AB16">
        <f>VLOOKUP(Table9[[#This Row],[Shortname]], Comp[], 25, FALSE)</f>
        <v>0.1</v>
      </c>
      <c r="AC16">
        <f>VLOOKUP(Table9[[#This Row],[Shortname]], Comp[], 26, FALSE)</f>
        <v>0</v>
      </c>
      <c r="AD16">
        <f>VLOOKUP(Table9[[#This Row],[Shortname]], Comp[], 27, FALSE)</f>
        <v>0</v>
      </c>
      <c r="AE16">
        <f>VLOOKUP(Table9[[#This Row],[Shortname]], Comp[], 28, FALSE)</f>
        <v>0</v>
      </c>
      <c r="AF16">
        <f>VLOOKUP(Table9[[#This Row],[Shortname]], Comp[], 29, FALSE)</f>
        <v>0</v>
      </c>
      <c r="AG16">
        <f>VLOOKUP(Table9[[#This Row],[Shortname]], Comp[], 30, FALSE)</f>
        <v>0</v>
      </c>
      <c r="AH16">
        <f>VLOOKUP(Table9[[#This Row],[Shortname]], Comp[], 31, FALSE)</f>
        <v>0</v>
      </c>
    </row>
    <row r="17" spans="1:34" x14ac:dyDescent="0.3">
      <c r="A17" t="s">
        <v>2989</v>
      </c>
      <c r="B17" t="s">
        <v>3118</v>
      </c>
      <c r="C17" t="s">
        <v>3119</v>
      </c>
      <c r="D17">
        <v>877</v>
      </c>
      <c r="E17">
        <v>25</v>
      </c>
      <c r="F17">
        <v>1E-4</v>
      </c>
      <c r="G17">
        <v>1</v>
      </c>
      <c r="H17" t="s">
        <v>6803</v>
      </c>
      <c r="I17">
        <f>VLOOKUP(Table9[[#This Row],[Shortname]], Comp[], 6, FALSE)</f>
        <v>411</v>
      </c>
      <c r="J17" s="14">
        <f>VLOOKUP(Table9[[#This Row],[Shortname]], Comp[], 7, FALSE)</f>
        <v>84</v>
      </c>
      <c r="K17">
        <f>VLOOKUP(Table9[[#This Row],[Shortname]], Comp[], 8, FALSE)</f>
        <v>0</v>
      </c>
      <c r="L17">
        <f>VLOOKUP(Table9[[#This Row],[Shortname]], Comp[], 9, FALSE)</f>
        <v>0</v>
      </c>
      <c r="M17">
        <f>VLOOKUP(Table9[[#This Row],[Shortname]], Comp[], 10, FALSE)</f>
        <v>0</v>
      </c>
      <c r="N17">
        <f>VLOOKUP(Table9[[#This Row],[Shortname]], Comp[], 11, FALSE)</f>
        <v>0</v>
      </c>
      <c r="O17">
        <f>VLOOKUP(Table9[[#This Row],[Shortname]], Comp[],12, FALSE)</f>
        <v>2</v>
      </c>
      <c r="P17">
        <f>VLOOKUP(Table9[[#This Row],[Shortname]], Comp[], 13, FALSE)</f>
        <v>2</v>
      </c>
      <c r="Q17">
        <f>VLOOKUP(Table9[[#This Row],[Shortname]], Comp[], 14, FALSE)</f>
        <v>0</v>
      </c>
      <c r="R17">
        <f>VLOOKUP(Table9[[#This Row],[Shortname]], Comp[], 15, FALSE)</f>
        <v>12</v>
      </c>
      <c r="S17">
        <f>VLOOKUP(Table9[[#This Row],[Shortname]], Comp[], 16, FALSE)</f>
        <v>0</v>
      </c>
      <c r="T17">
        <f>VLOOKUP(Table9[[#This Row],[Shortname]], Comp[], 17, FALSE)</f>
        <v>0</v>
      </c>
      <c r="U17">
        <f>VLOOKUP(Table9[[#This Row],[Shortname]], Comp[], 18, FALSE)</f>
        <v>0</v>
      </c>
      <c r="V17">
        <f>VLOOKUP(Table9[[#This Row],[Shortname]], Comp[], 19, FALSE)</f>
        <v>0</v>
      </c>
      <c r="W17">
        <f>VLOOKUP(Table9[[#This Row],[Shortname]], Comp[], 20, FALSE)</f>
        <v>0</v>
      </c>
      <c r="X17">
        <f>VLOOKUP(Table9[[#This Row],[Shortname]], Comp[], 21, FALSE)</f>
        <v>0</v>
      </c>
      <c r="Y17">
        <f>VLOOKUP(Table9[[#This Row],[Shortname]], Comp[], 22, FALSE)</f>
        <v>0</v>
      </c>
      <c r="Z17">
        <f>VLOOKUP(Table9[[#This Row],[Shortname]], Comp[], 23, FALSE)</f>
        <v>0</v>
      </c>
      <c r="AA17">
        <f>VLOOKUP(Table9[[#This Row],[Shortname]], Comp[], 24, FALSE)</f>
        <v>0</v>
      </c>
      <c r="AB17">
        <f>VLOOKUP(Table9[[#This Row],[Shortname]], Comp[], 25, FALSE)</f>
        <v>0</v>
      </c>
      <c r="AC17">
        <f>VLOOKUP(Table9[[#This Row],[Shortname]], Comp[], 26, FALSE)</f>
        <v>0</v>
      </c>
      <c r="AD17">
        <f>VLOOKUP(Table9[[#This Row],[Shortname]], Comp[], 27, FALSE)</f>
        <v>0</v>
      </c>
      <c r="AE17">
        <f>VLOOKUP(Table9[[#This Row],[Shortname]], Comp[], 28, FALSE)</f>
        <v>0</v>
      </c>
      <c r="AF17">
        <f>VLOOKUP(Table9[[#This Row],[Shortname]], Comp[], 29, FALSE)</f>
        <v>0</v>
      </c>
      <c r="AG17">
        <f>VLOOKUP(Table9[[#This Row],[Shortname]], Comp[], 30, FALSE)</f>
        <v>0</v>
      </c>
      <c r="AH17">
        <f>VLOOKUP(Table9[[#This Row],[Shortname]], Comp[], 31, FALSE)</f>
        <v>0</v>
      </c>
    </row>
    <row r="18" spans="1:34" x14ac:dyDescent="0.3">
      <c r="A18" t="s">
        <v>2839</v>
      </c>
      <c r="B18" t="s">
        <v>2841</v>
      </c>
      <c r="C18" t="s">
        <v>2842</v>
      </c>
      <c r="D18">
        <v>872</v>
      </c>
      <c r="E18">
        <v>870</v>
      </c>
      <c r="F18">
        <v>1E-3</v>
      </c>
      <c r="G18">
        <v>1</v>
      </c>
      <c r="H18" t="s">
        <v>6803</v>
      </c>
      <c r="I18">
        <f>VLOOKUP(Table9[[#This Row],[Shortname]], Comp[], 6, FALSE)</f>
        <v>384</v>
      </c>
      <c r="J18" s="14">
        <f>VLOOKUP(Table9[[#This Row],[Shortname]], Comp[], 7, FALSE)</f>
        <v>50.400000000000006</v>
      </c>
      <c r="K18">
        <f>VLOOKUP(Table9[[#This Row],[Shortname]], Comp[], 8, FALSE)</f>
        <v>30.4</v>
      </c>
      <c r="L18">
        <f>VLOOKUP(Table9[[#This Row],[Shortname]], Comp[], 9, FALSE)</f>
        <v>9.5</v>
      </c>
      <c r="M18">
        <f>VLOOKUP(Table9[[#This Row],[Shortname]], Comp[], 10, FALSE)</f>
        <v>0</v>
      </c>
      <c r="N18">
        <f>VLOOKUP(Table9[[#This Row],[Shortname]], Comp[], 11, FALSE)</f>
        <v>0</v>
      </c>
      <c r="O18">
        <f>VLOOKUP(Table9[[#This Row],[Shortname]], Comp[],12, FALSE)</f>
        <v>0</v>
      </c>
      <c r="P18">
        <f>VLOOKUP(Table9[[#This Row],[Shortname]], Comp[], 13, FALSE)</f>
        <v>0</v>
      </c>
      <c r="Q18">
        <f>VLOOKUP(Table9[[#This Row],[Shortname]], Comp[], 14, FALSE)</f>
        <v>2.4</v>
      </c>
      <c r="R18">
        <f>VLOOKUP(Table9[[#This Row],[Shortname]], Comp[], 15, FALSE)</f>
        <v>0</v>
      </c>
      <c r="S18">
        <f>VLOOKUP(Table9[[#This Row],[Shortname]], Comp[], 16, FALSE)</f>
        <v>5.3</v>
      </c>
      <c r="T18">
        <f>VLOOKUP(Table9[[#This Row],[Shortname]], Comp[], 17, FALSE)</f>
        <v>0</v>
      </c>
      <c r="U18">
        <f>VLOOKUP(Table9[[#This Row],[Shortname]], Comp[], 18, FALSE)</f>
        <v>0</v>
      </c>
      <c r="V18">
        <f>VLOOKUP(Table9[[#This Row],[Shortname]], Comp[], 19, FALSE)</f>
        <v>0</v>
      </c>
      <c r="W18">
        <f>VLOOKUP(Table9[[#This Row],[Shortname]], Comp[], 20, FALSE)</f>
        <v>0</v>
      </c>
      <c r="X18">
        <f>VLOOKUP(Table9[[#This Row],[Shortname]], Comp[], 21, FALSE)</f>
        <v>2</v>
      </c>
      <c r="Y18">
        <f>VLOOKUP(Table9[[#This Row],[Shortname]], Comp[], 22, FALSE)</f>
        <v>0</v>
      </c>
      <c r="Z18">
        <f>VLOOKUP(Table9[[#This Row],[Shortname]], Comp[], 23, FALSE)</f>
        <v>0</v>
      </c>
      <c r="AA18">
        <f>VLOOKUP(Table9[[#This Row],[Shortname]], Comp[], 24, FALSE)</f>
        <v>0</v>
      </c>
      <c r="AB18">
        <f>VLOOKUP(Table9[[#This Row],[Shortname]], Comp[], 25, FALSE)</f>
        <v>0</v>
      </c>
      <c r="AC18">
        <f>VLOOKUP(Table9[[#This Row],[Shortname]], Comp[], 26, FALSE)</f>
        <v>0</v>
      </c>
      <c r="AD18">
        <f>VLOOKUP(Table9[[#This Row],[Shortname]], Comp[], 27, FALSE)</f>
        <v>0</v>
      </c>
      <c r="AE18">
        <f>VLOOKUP(Table9[[#This Row],[Shortname]], Comp[], 28, FALSE)</f>
        <v>0</v>
      </c>
      <c r="AF18">
        <f>VLOOKUP(Table9[[#This Row],[Shortname]], Comp[], 29, FALSE)</f>
        <v>0</v>
      </c>
      <c r="AG18">
        <f>VLOOKUP(Table9[[#This Row],[Shortname]], Comp[], 30, FALSE)</f>
        <v>0</v>
      </c>
      <c r="AH18">
        <f>VLOOKUP(Table9[[#This Row],[Shortname]], Comp[], 31, FALSE)</f>
        <v>0</v>
      </c>
    </row>
    <row r="19" spans="1:34" x14ac:dyDescent="0.3">
      <c r="A19" t="s">
        <v>3420</v>
      </c>
      <c r="B19" t="s">
        <v>3420</v>
      </c>
      <c r="C19" t="s">
        <v>3401</v>
      </c>
      <c r="D19">
        <v>870</v>
      </c>
      <c r="E19">
        <v>870</v>
      </c>
      <c r="F19">
        <v>2.0000000000000001E-4</v>
      </c>
      <c r="G19">
        <v>1</v>
      </c>
      <c r="H19" t="s">
        <v>6803</v>
      </c>
      <c r="I19">
        <f>VLOOKUP(Table9[[#This Row],[Shortname]], Comp[], 6, FALSE)</f>
        <v>486</v>
      </c>
      <c r="J19" s="14">
        <f>VLOOKUP(Table9[[#This Row],[Shortname]], Comp[], 7, FALSE)</f>
        <v>80.3</v>
      </c>
      <c r="K19">
        <f>VLOOKUP(Table9[[#This Row],[Shortname]], Comp[], 8, FALSE)</f>
        <v>0</v>
      </c>
      <c r="L19">
        <f>VLOOKUP(Table9[[#This Row],[Shortname]], Comp[], 9, FALSE)</f>
        <v>9.3000000000000007</v>
      </c>
      <c r="M19">
        <f>VLOOKUP(Table9[[#This Row],[Shortname]], Comp[], 10, FALSE)</f>
        <v>0</v>
      </c>
      <c r="N19">
        <f>VLOOKUP(Table9[[#This Row],[Shortname]], Comp[], 11, FALSE)</f>
        <v>10.4</v>
      </c>
      <c r="O19">
        <f>VLOOKUP(Table9[[#This Row],[Shortname]], Comp[],12, FALSE)</f>
        <v>0</v>
      </c>
      <c r="P19">
        <f>VLOOKUP(Table9[[#This Row],[Shortname]], Comp[], 13, FALSE)</f>
        <v>0</v>
      </c>
      <c r="Q19">
        <f>VLOOKUP(Table9[[#This Row],[Shortname]], Comp[], 14, FALSE)</f>
        <v>0</v>
      </c>
      <c r="R19">
        <f>VLOOKUP(Table9[[#This Row],[Shortname]], Comp[], 15, FALSE)</f>
        <v>0</v>
      </c>
      <c r="S19">
        <f>VLOOKUP(Table9[[#This Row],[Shortname]], Comp[], 16, FALSE)</f>
        <v>0</v>
      </c>
      <c r="T19">
        <f>VLOOKUP(Table9[[#This Row],[Shortname]], Comp[], 17, FALSE)</f>
        <v>0</v>
      </c>
      <c r="U19">
        <f>VLOOKUP(Table9[[#This Row],[Shortname]], Comp[], 18, FALSE)</f>
        <v>0</v>
      </c>
      <c r="V19">
        <f>VLOOKUP(Table9[[#This Row],[Shortname]], Comp[], 19, FALSE)</f>
        <v>0</v>
      </c>
      <c r="W19">
        <f>VLOOKUP(Table9[[#This Row],[Shortname]], Comp[], 20, FALSE)</f>
        <v>0</v>
      </c>
      <c r="X19">
        <f>VLOOKUP(Table9[[#This Row],[Shortname]], Comp[], 21, FALSE)</f>
        <v>0</v>
      </c>
      <c r="Y19">
        <f>VLOOKUP(Table9[[#This Row],[Shortname]], Comp[], 22, FALSE)</f>
        <v>0</v>
      </c>
      <c r="Z19">
        <f>VLOOKUP(Table9[[#This Row],[Shortname]], Comp[], 23, FALSE)</f>
        <v>0</v>
      </c>
      <c r="AA19">
        <f>VLOOKUP(Table9[[#This Row],[Shortname]], Comp[], 24, FALSE)</f>
        <v>0</v>
      </c>
      <c r="AB19">
        <f>VLOOKUP(Table9[[#This Row],[Shortname]], Comp[], 25, FALSE)</f>
        <v>0</v>
      </c>
      <c r="AC19">
        <f>VLOOKUP(Table9[[#This Row],[Shortname]], Comp[], 26, FALSE)</f>
        <v>0</v>
      </c>
      <c r="AD19">
        <f>VLOOKUP(Table9[[#This Row],[Shortname]], Comp[], 27, FALSE)</f>
        <v>0</v>
      </c>
      <c r="AE19">
        <f>VLOOKUP(Table9[[#This Row],[Shortname]], Comp[], 28, FALSE)</f>
        <v>0</v>
      </c>
      <c r="AF19">
        <f>VLOOKUP(Table9[[#This Row],[Shortname]], Comp[], 29, FALSE)</f>
        <v>0</v>
      </c>
      <c r="AG19">
        <f>VLOOKUP(Table9[[#This Row],[Shortname]], Comp[], 30, FALSE)</f>
        <v>0</v>
      </c>
      <c r="AH19">
        <f>VLOOKUP(Table9[[#This Row],[Shortname]], Comp[], 31, FALSE)</f>
        <v>0</v>
      </c>
    </row>
    <row r="20" spans="1:34" x14ac:dyDescent="0.3">
      <c r="A20" t="s">
        <v>2070</v>
      </c>
      <c r="B20" t="s">
        <v>2072</v>
      </c>
      <c r="C20" t="s">
        <v>2065</v>
      </c>
      <c r="D20">
        <v>862</v>
      </c>
      <c r="E20">
        <v>600</v>
      </c>
      <c r="F20">
        <v>1E-4</v>
      </c>
      <c r="G20">
        <v>1</v>
      </c>
      <c r="H20" t="s">
        <v>6803</v>
      </c>
      <c r="I20">
        <f>VLOOKUP(Table9[[#This Row],[Shortname]], Comp[], 6, FALSE)</f>
        <v>272</v>
      </c>
      <c r="J20" s="14">
        <f>VLOOKUP(Table9[[#This Row],[Shortname]], Comp[], 7, FALSE)</f>
        <v>85</v>
      </c>
      <c r="K20">
        <f>VLOOKUP(Table9[[#This Row],[Shortname]], Comp[], 8, FALSE)</f>
        <v>0</v>
      </c>
      <c r="L20">
        <f>VLOOKUP(Table9[[#This Row],[Shortname]], Comp[], 9, FALSE)</f>
        <v>0</v>
      </c>
      <c r="M20">
        <f>VLOOKUP(Table9[[#This Row],[Shortname]], Comp[], 10, FALSE)</f>
        <v>0</v>
      </c>
      <c r="N20">
        <f>VLOOKUP(Table9[[#This Row],[Shortname]], Comp[], 11, FALSE)</f>
        <v>0</v>
      </c>
      <c r="O20">
        <f>VLOOKUP(Table9[[#This Row],[Shortname]], Comp[],12, FALSE)</f>
        <v>12</v>
      </c>
      <c r="P20">
        <f>VLOOKUP(Table9[[#This Row],[Shortname]], Comp[], 13, FALSE)</f>
        <v>0</v>
      </c>
      <c r="Q20">
        <f>VLOOKUP(Table9[[#This Row],[Shortname]], Comp[], 14, FALSE)</f>
        <v>0</v>
      </c>
      <c r="R20">
        <f>VLOOKUP(Table9[[#This Row],[Shortname]], Comp[], 15, FALSE)</f>
        <v>0</v>
      </c>
      <c r="S20">
        <f>VLOOKUP(Table9[[#This Row],[Shortname]], Comp[], 16, FALSE)</f>
        <v>0</v>
      </c>
      <c r="T20">
        <f>VLOOKUP(Table9[[#This Row],[Shortname]], Comp[], 17, FALSE)</f>
        <v>0</v>
      </c>
      <c r="U20">
        <f>VLOOKUP(Table9[[#This Row],[Shortname]], Comp[], 18, FALSE)</f>
        <v>0</v>
      </c>
      <c r="V20">
        <f>VLOOKUP(Table9[[#This Row],[Shortname]], Comp[], 19, FALSE)</f>
        <v>0</v>
      </c>
      <c r="W20">
        <f>VLOOKUP(Table9[[#This Row],[Shortname]], Comp[], 20, FALSE)</f>
        <v>0</v>
      </c>
      <c r="X20">
        <f>VLOOKUP(Table9[[#This Row],[Shortname]], Comp[], 21, FALSE)</f>
        <v>3</v>
      </c>
      <c r="Y20">
        <f>VLOOKUP(Table9[[#This Row],[Shortname]], Comp[], 22, FALSE)</f>
        <v>0</v>
      </c>
      <c r="Z20">
        <f>VLOOKUP(Table9[[#This Row],[Shortname]], Comp[], 23, FALSE)</f>
        <v>0</v>
      </c>
      <c r="AA20">
        <f>VLOOKUP(Table9[[#This Row],[Shortname]], Comp[], 24, FALSE)</f>
        <v>0</v>
      </c>
      <c r="AB20">
        <f>VLOOKUP(Table9[[#This Row],[Shortname]], Comp[], 25, FALSE)</f>
        <v>0</v>
      </c>
      <c r="AC20">
        <f>VLOOKUP(Table9[[#This Row],[Shortname]], Comp[], 26, FALSE)</f>
        <v>0</v>
      </c>
      <c r="AD20">
        <f>VLOOKUP(Table9[[#This Row],[Shortname]], Comp[], 27, FALSE)</f>
        <v>0</v>
      </c>
      <c r="AE20">
        <f>VLOOKUP(Table9[[#This Row],[Shortname]], Comp[], 28, FALSE)</f>
        <v>0</v>
      </c>
      <c r="AF20">
        <f>VLOOKUP(Table9[[#This Row],[Shortname]], Comp[], 29, FALSE)</f>
        <v>0</v>
      </c>
      <c r="AG20">
        <f>VLOOKUP(Table9[[#This Row],[Shortname]], Comp[], 30, FALSE)</f>
        <v>0</v>
      </c>
      <c r="AH20">
        <f>VLOOKUP(Table9[[#This Row],[Shortname]], Comp[], 31, FALSE)</f>
        <v>0</v>
      </c>
    </row>
    <row r="21" spans="1:34" x14ac:dyDescent="0.3">
      <c r="A21" t="s">
        <v>4414</v>
      </c>
      <c r="B21" t="s">
        <v>4391</v>
      </c>
      <c r="C21" t="s">
        <v>4415</v>
      </c>
      <c r="D21">
        <v>861</v>
      </c>
      <c r="E21">
        <v>750</v>
      </c>
      <c r="F21">
        <v>1E-4</v>
      </c>
      <c r="G21">
        <v>1</v>
      </c>
      <c r="H21" t="s">
        <v>6803</v>
      </c>
      <c r="I21">
        <f>VLOOKUP(Table9[[#This Row],[Shortname]], Comp[], 6, FALSE)</f>
        <v>671</v>
      </c>
      <c r="J21" s="14">
        <f>VLOOKUP(Table9[[#This Row],[Shortname]], Comp[], 7, FALSE)</f>
        <v>43.92</v>
      </c>
      <c r="K21">
        <f>VLOOKUP(Table9[[#This Row],[Shortname]], Comp[], 8, FALSE)</f>
        <v>30</v>
      </c>
      <c r="L21">
        <f>VLOOKUP(Table9[[#This Row],[Shortname]], Comp[], 9, FALSE)</f>
        <v>4</v>
      </c>
      <c r="M21">
        <f>VLOOKUP(Table9[[#This Row],[Shortname]], Comp[], 10, FALSE)</f>
        <v>12</v>
      </c>
      <c r="N21">
        <f>VLOOKUP(Table9[[#This Row],[Shortname]], Comp[], 11, FALSE)</f>
        <v>2</v>
      </c>
      <c r="O21">
        <f>VLOOKUP(Table9[[#This Row],[Shortname]], Comp[],12, FALSE)</f>
        <v>4.9000000000000004</v>
      </c>
      <c r="P21">
        <f>VLOOKUP(Table9[[#This Row],[Shortname]], Comp[], 13, FALSE)</f>
        <v>1</v>
      </c>
      <c r="Q21">
        <f>VLOOKUP(Table9[[#This Row],[Shortname]], Comp[], 14, FALSE)</f>
        <v>0</v>
      </c>
      <c r="R21">
        <f>VLOOKUP(Table9[[#This Row],[Shortname]], Comp[], 15, FALSE)</f>
        <v>0</v>
      </c>
      <c r="S21">
        <f>VLOOKUP(Table9[[#This Row],[Shortname]], Comp[], 16, FALSE)</f>
        <v>1.5</v>
      </c>
      <c r="T21">
        <f>VLOOKUP(Table9[[#This Row],[Shortname]], Comp[], 17, FALSE)</f>
        <v>7.0000000000000007E-2</v>
      </c>
      <c r="U21">
        <f>VLOOKUP(Table9[[#This Row],[Shortname]], Comp[], 18, FALSE)</f>
        <v>0.01</v>
      </c>
      <c r="V21">
        <f>VLOOKUP(Table9[[#This Row],[Shortname]], Comp[], 19, FALSE)</f>
        <v>0.09</v>
      </c>
      <c r="W21">
        <f>VLOOKUP(Table9[[#This Row],[Shortname]], Comp[], 20, FALSE)</f>
        <v>0</v>
      </c>
      <c r="X21">
        <f>VLOOKUP(Table9[[#This Row],[Shortname]], Comp[], 21, FALSE)</f>
        <v>0</v>
      </c>
      <c r="Y21">
        <f>VLOOKUP(Table9[[#This Row],[Shortname]], Comp[], 22, FALSE)</f>
        <v>0.41</v>
      </c>
      <c r="Z21">
        <f>VLOOKUP(Table9[[#This Row],[Shortname]], Comp[], 23, FALSE)</f>
        <v>0</v>
      </c>
      <c r="AA21">
        <f>VLOOKUP(Table9[[#This Row],[Shortname]], Comp[], 24, FALSE)</f>
        <v>0</v>
      </c>
      <c r="AB21">
        <f>VLOOKUP(Table9[[#This Row],[Shortname]], Comp[], 25, FALSE)</f>
        <v>0.1</v>
      </c>
      <c r="AC21">
        <f>VLOOKUP(Table9[[#This Row],[Shortname]], Comp[], 26, FALSE)</f>
        <v>0</v>
      </c>
      <c r="AD21">
        <f>VLOOKUP(Table9[[#This Row],[Shortname]], Comp[], 27, FALSE)</f>
        <v>0</v>
      </c>
      <c r="AE21">
        <f>VLOOKUP(Table9[[#This Row],[Shortname]], Comp[], 28, FALSE)</f>
        <v>0</v>
      </c>
      <c r="AF21">
        <f>VLOOKUP(Table9[[#This Row],[Shortname]], Comp[], 29, FALSE)</f>
        <v>0</v>
      </c>
      <c r="AG21">
        <f>VLOOKUP(Table9[[#This Row],[Shortname]], Comp[], 30, FALSE)</f>
        <v>0</v>
      </c>
      <c r="AH21">
        <f>VLOOKUP(Table9[[#This Row],[Shortname]], Comp[], 31, FALSE)</f>
        <v>0</v>
      </c>
    </row>
    <row r="22" spans="1:34" x14ac:dyDescent="0.3">
      <c r="A22" t="s">
        <v>3425</v>
      </c>
      <c r="B22" t="s">
        <v>3425</v>
      </c>
      <c r="C22" t="s">
        <v>3401</v>
      </c>
      <c r="D22">
        <v>860</v>
      </c>
      <c r="E22">
        <v>25</v>
      </c>
      <c r="F22">
        <v>2.0000000000000001E-4</v>
      </c>
      <c r="G22">
        <v>1</v>
      </c>
      <c r="H22" t="s">
        <v>6803</v>
      </c>
      <c r="I22">
        <f>VLOOKUP(Table9[[#This Row],[Shortname]], Comp[], 6, FALSE)</f>
        <v>487</v>
      </c>
      <c r="J22" s="14">
        <f>VLOOKUP(Table9[[#This Row],[Shortname]], Comp[], 7, FALSE)</f>
        <v>80.28</v>
      </c>
      <c r="K22">
        <f>VLOOKUP(Table9[[#This Row],[Shortname]], Comp[], 8, FALSE)</f>
        <v>0</v>
      </c>
      <c r="L22">
        <f>VLOOKUP(Table9[[#This Row],[Shortname]], Comp[], 9, FALSE)</f>
        <v>9.3000000000000007</v>
      </c>
      <c r="M22">
        <f>VLOOKUP(Table9[[#This Row],[Shortname]], Comp[], 10, FALSE)</f>
        <v>0</v>
      </c>
      <c r="N22">
        <f>VLOOKUP(Table9[[#This Row],[Shortname]], Comp[], 11, FALSE)</f>
        <v>10.4</v>
      </c>
      <c r="O22">
        <f>VLOOKUP(Table9[[#This Row],[Shortname]], Comp[],12, FALSE)</f>
        <v>0</v>
      </c>
      <c r="P22">
        <f>VLOOKUP(Table9[[#This Row],[Shortname]], Comp[], 13, FALSE)</f>
        <v>0</v>
      </c>
      <c r="Q22">
        <f>VLOOKUP(Table9[[#This Row],[Shortname]], Comp[], 14, FALSE)</f>
        <v>0</v>
      </c>
      <c r="R22">
        <f>VLOOKUP(Table9[[#This Row],[Shortname]], Comp[], 15, FALSE)</f>
        <v>0</v>
      </c>
      <c r="S22">
        <f>VLOOKUP(Table9[[#This Row],[Shortname]], Comp[], 16, FALSE)</f>
        <v>0</v>
      </c>
      <c r="T22">
        <f>VLOOKUP(Table9[[#This Row],[Shortname]], Comp[], 17, FALSE)</f>
        <v>0</v>
      </c>
      <c r="U22">
        <f>VLOOKUP(Table9[[#This Row],[Shortname]], Comp[], 18, FALSE)</f>
        <v>0</v>
      </c>
      <c r="V22">
        <f>VLOOKUP(Table9[[#This Row],[Shortname]], Comp[], 19, FALSE)</f>
        <v>0.02</v>
      </c>
      <c r="W22">
        <f>VLOOKUP(Table9[[#This Row],[Shortname]], Comp[], 20, FALSE)</f>
        <v>0</v>
      </c>
      <c r="X22">
        <f>VLOOKUP(Table9[[#This Row],[Shortname]], Comp[], 21, FALSE)</f>
        <v>0</v>
      </c>
      <c r="Y22">
        <f>VLOOKUP(Table9[[#This Row],[Shortname]], Comp[], 22, FALSE)</f>
        <v>0</v>
      </c>
      <c r="Z22">
        <f>VLOOKUP(Table9[[#This Row],[Shortname]], Comp[], 23, FALSE)</f>
        <v>0</v>
      </c>
      <c r="AA22">
        <f>VLOOKUP(Table9[[#This Row],[Shortname]], Comp[], 24, FALSE)</f>
        <v>0</v>
      </c>
      <c r="AB22">
        <f>VLOOKUP(Table9[[#This Row],[Shortname]], Comp[], 25, FALSE)</f>
        <v>0</v>
      </c>
      <c r="AC22">
        <f>VLOOKUP(Table9[[#This Row],[Shortname]], Comp[], 26, FALSE)</f>
        <v>0</v>
      </c>
      <c r="AD22">
        <f>VLOOKUP(Table9[[#This Row],[Shortname]], Comp[], 27, FALSE)</f>
        <v>0</v>
      </c>
      <c r="AE22">
        <f>VLOOKUP(Table9[[#This Row],[Shortname]], Comp[], 28, FALSE)</f>
        <v>0</v>
      </c>
      <c r="AF22">
        <f>VLOOKUP(Table9[[#This Row],[Shortname]], Comp[], 29, FALSE)</f>
        <v>0</v>
      </c>
      <c r="AG22">
        <f>VLOOKUP(Table9[[#This Row],[Shortname]], Comp[], 30, FALSE)</f>
        <v>0</v>
      </c>
      <c r="AH22">
        <f>VLOOKUP(Table9[[#This Row],[Shortname]], Comp[], 31, FALSE)</f>
        <v>0</v>
      </c>
    </row>
    <row r="23" spans="1:34" x14ac:dyDescent="0.3">
      <c r="A23" t="s">
        <v>2216</v>
      </c>
      <c r="B23" t="s">
        <v>2218</v>
      </c>
      <c r="C23" t="s">
        <v>2211</v>
      </c>
      <c r="D23">
        <v>855</v>
      </c>
      <c r="E23">
        <v>25</v>
      </c>
      <c r="F23">
        <v>1E-4</v>
      </c>
      <c r="G23">
        <v>1</v>
      </c>
      <c r="H23" t="s">
        <v>6803</v>
      </c>
      <c r="I23">
        <f>VLOOKUP(Table9[[#This Row],[Shortname]], Comp[], 6, FALSE)</f>
        <v>292</v>
      </c>
      <c r="J23" s="14">
        <f>VLOOKUP(Table9[[#This Row],[Shortname]], Comp[], 7, FALSE)</f>
        <v>83.6</v>
      </c>
      <c r="K23">
        <f>VLOOKUP(Table9[[#This Row],[Shortname]], Comp[], 8, FALSE)</f>
        <v>0</v>
      </c>
      <c r="L23">
        <f>VLOOKUP(Table9[[#This Row],[Shortname]], Comp[], 9, FALSE)</f>
        <v>0</v>
      </c>
      <c r="M23">
        <f>VLOOKUP(Table9[[#This Row],[Shortname]], Comp[], 10, FALSE)</f>
        <v>0</v>
      </c>
      <c r="N23">
        <f>VLOOKUP(Table9[[#This Row],[Shortname]], Comp[], 11, FALSE)</f>
        <v>0</v>
      </c>
      <c r="O23">
        <f>VLOOKUP(Table9[[#This Row],[Shortname]], Comp[],12, FALSE)</f>
        <v>4.0999999999999996</v>
      </c>
      <c r="P23">
        <f>VLOOKUP(Table9[[#This Row],[Shortname]], Comp[], 13, FALSE)</f>
        <v>0</v>
      </c>
      <c r="Q23">
        <f>VLOOKUP(Table9[[#This Row],[Shortname]], Comp[], 14, FALSE)</f>
        <v>2.2000000000000002</v>
      </c>
      <c r="R23">
        <f>VLOOKUP(Table9[[#This Row],[Shortname]], Comp[], 15, FALSE)</f>
        <v>10.1</v>
      </c>
      <c r="S23">
        <f>VLOOKUP(Table9[[#This Row],[Shortname]], Comp[], 16, FALSE)</f>
        <v>0</v>
      </c>
      <c r="T23">
        <f>VLOOKUP(Table9[[#This Row],[Shortname]], Comp[], 17, FALSE)</f>
        <v>0</v>
      </c>
      <c r="U23">
        <f>VLOOKUP(Table9[[#This Row],[Shortname]], Comp[], 18, FALSE)</f>
        <v>0</v>
      </c>
      <c r="V23">
        <f>VLOOKUP(Table9[[#This Row],[Shortname]], Comp[], 19, FALSE)</f>
        <v>0</v>
      </c>
      <c r="W23">
        <f>VLOOKUP(Table9[[#This Row],[Shortname]], Comp[], 20, FALSE)</f>
        <v>0</v>
      </c>
      <c r="X23">
        <f>VLOOKUP(Table9[[#This Row],[Shortname]], Comp[], 21, FALSE)</f>
        <v>0</v>
      </c>
      <c r="Y23">
        <f>VLOOKUP(Table9[[#This Row],[Shortname]], Comp[], 22, FALSE)</f>
        <v>0</v>
      </c>
      <c r="Z23">
        <f>VLOOKUP(Table9[[#This Row],[Shortname]], Comp[], 23, FALSE)</f>
        <v>0</v>
      </c>
      <c r="AA23">
        <f>VLOOKUP(Table9[[#This Row],[Shortname]], Comp[], 24, FALSE)</f>
        <v>0</v>
      </c>
      <c r="AB23">
        <f>VLOOKUP(Table9[[#This Row],[Shortname]], Comp[], 25, FALSE)</f>
        <v>0</v>
      </c>
      <c r="AC23">
        <f>VLOOKUP(Table9[[#This Row],[Shortname]], Comp[], 26, FALSE)</f>
        <v>0</v>
      </c>
      <c r="AD23">
        <f>VLOOKUP(Table9[[#This Row],[Shortname]], Comp[], 27, FALSE)</f>
        <v>0</v>
      </c>
      <c r="AE23">
        <f>VLOOKUP(Table9[[#This Row],[Shortname]], Comp[], 28, FALSE)</f>
        <v>0</v>
      </c>
      <c r="AF23">
        <f>VLOOKUP(Table9[[#This Row],[Shortname]], Comp[], 29, FALSE)</f>
        <v>0</v>
      </c>
      <c r="AG23">
        <f>VLOOKUP(Table9[[#This Row],[Shortname]], Comp[], 30, FALSE)</f>
        <v>0</v>
      </c>
      <c r="AH23">
        <f>VLOOKUP(Table9[[#This Row],[Shortname]], Comp[], 31, FALSE)</f>
        <v>0</v>
      </c>
    </row>
    <row r="24" spans="1:34" x14ac:dyDescent="0.3">
      <c r="A24" t="s">
        <v>4419</v>
      </c>
      <c r="B24" t="s">
        <v>4420</v>
      </c>
      <c r="C24" t="s">
        <v>4415</v>
      </c>
      <c r="D24">
        <v>847</v>
      </c>
      <c r="E24">
        <v>750</v>
      </c>
      <c r="F24">
        <v>1E-4</v>
      </c>
      <c r="G24">
        <v>1</v>
      </c>
      <c r="H24" t="s">
        <v>6803</v>
      </c>
      <c r="I24">
        <f>VLOOKUP(Table9[[#This Row],[Shortname]], Comp[], 6, FALSE)</f>
        <v>672</v>
      </c>
      <c r="J24" s="14">
        <f>VLOOKUP(Table9[[#This Row],[Shortname]], Comp[], 7, FALSE)</f>
        <v>43.134999999999998</v>
      </c>
      <c r="K24">
        <f>VLOOKUP(Table9[[#This Row],[Shortname]], Comp[], 8, FALSE)</f>
        <v>30</v>
      </c>
      <c r="L24">
        <f>VLOOKUP(Table9[[#This Row],[Shortname]], Comp[], 9, FALSE)</f>
        <v>5.5</v>
      </c>
      <c r="M24">
        <f>VLOOKUP(Table9[[#This Row],[Shortname]], Comp[], 10, FALSE)</f>
        <v>12</v>
      </c>
      <c r="N24">
        <f>VLOOKUP(Table9[[#This Row],[Shortname]], Comp[], 11, FALSE)</f>
        <v>2</v>
      </c>
      <c r="O24">
        <f>VLOOKUP(Table9[[#This Row],[Shortname]], Comp[],12, FALSE)</f>
        <v>4.2</v>
      </c>
      <c r="P24">
        <f>VLOOKUP(Table9[[#This Row],[Shortname]], Comp[], 13, FALSE)</f>
        <v>1</v>
      </c>
      <c r="Q24">
        <f>VLOOKUP(Table9[[#This Row],[Shortname]], Comp[], 14, FALSE)</f>
        <v>0</v>
      </c>
      <c r="R24">
        <f>VLOOKUP(Table9[[#This Row],[Shortname]], Comp[], 15, FALSE)</f>
        <v>0</v>
      </c>
      <c r="S24">
        <f>VLOOKUP(Table9[[#This Row],[Shortname]], Comp[], 16, FALSE)</f>
        <v>1.5</v>
      </c>
      <c r="T24">
        <f>VLOOKUP(Table9[[#This Row],[Shortname]], Comp[], 17, FALSE)</f>
        <v>7.0999999999999994E-2</v>
      </c>
      <c r="U24">
        <f>VLOOKUP(Table9[[#This Row],[Shortname]], Comp[], 18, FALSE)</f>
        <v>8.9999999999999993E-3</v>
      </c>
      <c r="V24">
        <f>VLOOKUP(Table9[[#This Row],[Shortname]], Comp[], 19, FALSE)</f>
        <v>8.5000000000000006E-2</v>
      </c>
      <c r="W24">
        <f>VLOOKUP(Table9[[#This Row],[Shortname]], Comp[], 20, FALSE)</f>
        <v>0</v>
      </c>
      <c r="X24">
        <f>VLOOKUP(Table9[[#This Row],[Shortname]], Comp[], 21, FALSE)</f>
        <v>0</v>
      </c>
      <c r="Y24">
        <f>VLOOKUP(Table9[[#This Row],[Shortname]], Comp[], 22, FALSE)</f>
        <v>0.39</v>
      </c>
      <c r="Z24">
        <f>VLOOKUP(Table9[[#This Row],[Shortname]], Comp[], 23, FALSE)</f>
        <v>0</v>
      </c>
      <c r="AA24">
        <f>VLOOKUP(Table9[[#This Row],[Shortname]], Comp[], 24, FALSE)</f>
        <v>0</v>
      </c>
      <c r="AB24">
        <f>VLOOKUP(Table9[[#This Row],[Shortname]], Comp[], 25, FALSE)</f>
        <v>0.11</v>
      </c>
      <c r="AC24">
        <f>VLOOKUP(Table9[[#This Row],[Shortname]], Comp[], 26, FALSE)</f>
        <v>0</v>
      </c>
      <c r="AD24">
        <f>VLOOKUP(Table9[[#This Row],[Shortname]], Comp[], 27, FALSE)</f>
        <v>0</v>
      </c>
      <c r="AE24">
        <f>VLOOKUP(Table9[[#This Row],[Shortname]], Comp[], 28, FALSE)</f>
        <v>0</v>
      </c>
      <c r="AF24">
        <f>VLOOKUP(Table9[[#This Row],[Shortname]], Comp[], 29, FALSE)</f>
        <v>0</v>
      </c>
      <c r="AG24">
        <f>VLOOKUP(Table9[[#This Row],[Shortname]], Comp[], 30, FALSE)</f>
        <v>0</v>
      </c>
      <c r="AH24">
        <f>VLOOKUP(Table9[[#This Row],[Shortname]], Comp[], 31, FALSE)</f>
        <v>0</v>
      </c>
    </row>
    <row r="25" spans="1:34" x14ac:dyDescent="0.3">
      <c r="A25" t="s">
        <v>2062</v>
      </c>
      <c r="B25" t="s">
        <v>2064</v>
      </c>
      <c r="C25" t="s">
        <v>2065</v>
      </c>
      <c r="D25">
        <v>845</v>
      </c>
      <c r="E25">
        <v>25</v>
      </c>
      <c r="F25">
        <v>1E-4</v>
      </c>
      <c r="G25">
        <v>1</v>
      </c>
      <c r="H25" t="s">
        <v>6803</v>
      </c>
      <c r="I25">
        <f>VLOOKUP(Table9[[#This Row],[Shortname]], Comp[], 6, FALSE)</f>
        <v>271</v>
      </c>
      <c r="J25" s="14">
        <f>VLOOKUP(Table9[[#This Row],[Shortname]], Comp[], 7, FALSE)</f>
        <v>87</v>
      </c>
      <c r="K25">
        <f>VLOOKUP(Table9[[#This Row],[Shortname]], Comp[], 8, FALSE)</f>
        <v>0</v>
      </c>
      <c r="L25">
        <f>VLOOKUP(Table9[[#This Row],[Shortname]], Comp[], 9, FALSE)</f>
        <v>0</v>
      </c>
      <c r="M25">
        <f>VLOOKUP(Table9[[#This Row],[Shortname]], Comp[], 10, FALSE)</f>
        <v>0</v>
      </c>
      <c r="N25">
        <f>VLOOKUP(Table9[[#This Row],[Shortname]], Comp[], 11, FALSE)</f>
        <v>0</v>
      </c>
      <c r="O25">
        <f>VLOOKUP(Table9[[#This Row],[Shortname]], Comp[],12, FALSE)</f>
        <v>12</v>
      </c>
      <c r="P25">
        <f>VLOOKUP(Table9[[#This Row],[Shortname]], Comp[], 13, FALSE)</f>
        <v>0</v>
      </c>
      <c r="Q25">
        <f>VLOOKUP(Table9[[#This Row],[Shortname]], Comp[], 14, FALSE)</f>
        <v>0</v>
      </c>
      <c r="R25">
        <f>VLOOKUP(Table9[[#This Row],[Shortname]], Comp[], 15, FALSE)</f>
        <v>0</v>
      </c>
      <c r="S25">
        <f>VLOOKUP(Table9[[#This Row],[Shortname]], Comp[], 16, FALSE)</f>
        <v>0</v>
      </c>
      <c r="T25">
        <f>VLOOKUP(Table9[[#This Row],[Shortname]], Comp[], 17, FALSE)</f>
        <v>0</v>
      </c>
      <c r="U25">
        <f>VLOOKUP(Table9[[#This Row],[Shortname]], Comp[], 18, FALSE)</f>
        <v>0</v>
      </c>
      <c r="V25">
        <f>VLOOKUP(Table9[[#This Row],[Shortname]], Comp[], 19, FALSE)</f>
        <v>0</v>
      </c>
      <c r="W25">
        <f>VLOOKUP(Table9[[#This Row],[Shortname]], Comp[], 20, FALSE)</f>
        <v>0</v>
      </c>
      <c r="X25">
        <f>VLOOKUP(Table9[[#This Row],[Shortname]], Comp[], 21, FALSE)</f>
        <v>1</v>
      </c>
      <c r="Y25">
        <f>VLOOKUP(Table9[[#This Row],[Shortname]], Comp[], 22, FALSE)</f>
        <v>0</v>
      </c>
      <c r="Z25">
        <f>VLOOKUP(Table9[[#This Row],[Shortname]], Comp[], 23, FALSE)</f>
        <v>0</v>
      </c>
      <c r="AA25">
        <f>VLOOKUP(Table9[[#This Row],[Shortname]], Comp[], 24, FALSE)</f>
        <v>0</v>
      </c>
      <c r="AB25">
        <f>VLOOKUP(Table9[[#This Row],[Shortname]], Comp[], 25, FALSE)</f>
        <v>0</v>
      </c>
      <c r="AC25">
        <f>VLOOKUP(Table9[[#This Row],[Shortname]], Comp[], 26, FALSE)</f>
        <v>0</v>
      </c>
      <c r="AD25">
        <f>VLOOKUP(Table9[[#This Row],[Shortname]], Comp[], 27, FALSE)</f>
        <v>0</v>
      </c>
      <c r="AE25">
        <f>VLOOKUP(Table9[[#This Row],[Shortname]], Comp[], 28, FALSE)</f>
        <v>0</v>
      </c>
      <c r="AF25">
        <f>VLOOKUP(Table9[[#This Row],[Shortname]], Comp[], 29, FALSE)</f>
        <v>0</v>
      </c>
      <c r="AG25">
        <f>VLOOKUP(Table9[[#This Row],[Shortname]], Comp[], 30, FALSE)</f>
        <v>0</v>
      </c>
      <c r="AH25">
        <f>VLOOKUP(Table9[[#This Row],[Shortname]], Comp[], 31, FALSE)</f>
        <v>0</v>
      </c>
    </row>
    <row r="26" spans="1:34" x14ac:dyDescent="0.3">
      <c r="A26" t="s">
        <v>2077</v>
      </c>
      <c r="B26" t="s">
        <v>2079</v>
      </c>
      <c r="C26" t="s">
        <v>2065</v>
      </c>
      <c r="D26">
        <v>841</v>
      </c>
      <c r="E26">
        <v>700</v>
      </c>
      <c r="F26">
        <v>1E-4</v>
      </c>
      <c r="G26">
        <v>1</v>
      </c>
      <c r="H26" t="s">
        <v>6803</v>
      </c>
      <c r="I26">
        <f>VLOOKUP(Table9[[#This Row],[Shortname]], Comp[], 6, FALSE)</f>
        <v>273</v>
      </c>
      <c r="J26" s="14">
        <f>VLOOKUP(Table9[[#This Row],[Shortname]], Comp[], 7, FALSE)</f>
        <v>83</v>
      </c>
      <c r="K26">
        <f>VLOOKUP(Table9[[#This Row],[Shortname]], Comp[], 8, FALSE)</f>
        <v>0</v>
      </c>
      <c r="L26">
        <f>VLOOKUP(Table9[[#This Row],[Shortname]], Comp[], 9, FALSE)</f>
        <v>0</v>
      </c>
      <c r="M26">
        <f>VLOOKUP(Table9[[#This Row],[Shortname]], Comp[], 10, FALSE)</f>
        <v>0</v>
      </c>
      <c r="N26">
        <f>VLOOKUP(Table9[[#This Row],[Shortname]], Comp[], 11, FALSE)</f>
        <v>0</v>
      </c>
      <c r="O26">
        <f>VLOOKUP(Table9[[#This Row],[Shortname]], Comp[],12, FALSE)</f>
        <v>12</v>
      </c>
      <c r="P26">
        <f>VLOOKUP(Table9[[#This Row],[Shortname]], Comp[], 13, FALSE)</f>
        <v>0</v>
      </c>
      <c r="Q26">
        <f>VLOOKUP(Table9[[#This Row],[Shortname]], Comp[], 14, FALSE)</f>
        <v>0</v>
      </c>
      <c r="R26">
        <f>VLOOKUP(Table9[[#This Row],[Shortname]], Comp[], 15, FALSE)</f>
        <v>0</v>
      </c>
      <c r="S26">
        <f>VLOOKUP(Table9[[#This Row],[Shortname]], Comp[], 16, FALSE)</f>
        <v>0</v>
      </c>
      <c r="T26">
        <f>VLOOKUP(Table9[[#This Row],[Shortname]], Comp[], 17, FALSE)</f>
        <v>0</v>
      </c>
      <c r="U26">
        <f>VLOOKUP(Table9[[#This Row],[Shortname]], Comp[], 18, FALSE)</f>
        <v>0</v>
      </c>
      <c r="V26">
        <f>VLOOKUP(Table9[[#This Row],[Shortname]], Comp[], 19, FALSE)</f>
        <v>0</v>
      </c>
      <c r="W26">
        <f>VLOOKUP(Table9[[#This Row],[Shortname]], Comp[], 20, FALSE)</f>
        <v>0</v>
      </c>
      <c r="X26">
        <f>VLOOKUP(Table9[[#This Row],[Shortname]], Comp[], 21, FALSE)</f>
        <v>5</v>
      </c>
      <c r="Y26">
        <f>VLOOKUP(Table9[[#This Row],[Shortname]], Comp[], 22, FALSE)</f>
        <v>0</v>
      </c>
      <c r="Z26">
        <f>VLOOKUP(Table9[[#This Row],[Shortname]], Comp[], 23, FALSE)</f>
        <v>0</v>
      </c>
      <c r="AA26">
        <f>VLOOKUP(Table9[[#This Row],[Shortname]], Comp[], 24, FALSE)</f>
        <v>0</v>
      </c>
      <c r="AB26">
        <f>VLOOKUP(Table9[[#This Row],[Shortname]], Comp[], 25, FALSE)</f>
        <v>0</v>
      </c>
      <c r="AC26">
        <f>VLOOKUP(Table9[[#This Row],[Shortname]], Comp[], 26, FALSE)</f>
        <v>0</v>
      </c>
      <c r="AD26">
        <f>VLOOKUP(Table9[[#This Row],[Shortname]], Comp[], 27, FALSE)</f>
        <v>0</v>
      </c>
      <c r="AE26">
        <f>VLOOKUP(Table9[[#This Row],[Shortname]], Comp[], 28, FALSE)</f>
        <v>0</v>
      </c>
      <c r="AF26">
        <f>VLOOKUP(Table9[[#This Row],[Shortname]], Comp[], 29, FALSE)</f>
        <v>0</v>
      </c>
      <c r="AG26">
        <f>VLOOKUP(Table9[[#This Row],[Shortname]], Comp[], 30, FALSE)</f>
        <v>0</v>
      </c>
      <c r="AH26">
        <f>VLOOKUP(Table9[[#This Row],[Shortname]], Comp[], 31, FALSE)</f>
        <v>0</v>
      </c>
    </row>
    <row r="27" spans="1:34" x14ac:dyDescent="0.3">
      <c r="A27" t="s">
        <v>1788</v>
      </c>
      <c r="B27" t="s">
        <v>1790</v>
      </c>
      <c r="C27" t="s">
        <v>1791</v>
      </c>
      <c r="D27">
        <v>840</v>
      </c>
      <c r="E27">
        <v>750</v>
      </c>
      <c r="F27">
        <v>1E-3</v>
      </c>
      <c r="G27">
        <v>1</v>
      </c>
      <c r="I27">
        <f>VLOOKUP(Table9[[#This Row],[Shortname]], Comp[], 6, FALSE)</f>
        <v>231</v>
      </c>
      <c r="J27" s="14">
        <f>VLOOKUP(Table9[[#This Row],[Shortname]], Comp[], 7, FALSE)</f>
        <v>36.11</v>
      </c>
      <c r="K27">
        <f>VLOOKUP(Table9[[#This Row],[Shortname]], Comp[], 8, FALSE)</f>
        <v>34.200000000000003</v>
      </c>
      <c r="L27">
        <f>VLOOKUP(Table9[[#This Row],[Shortname]], Comp[], 9, FALSE)</f>
        <v>10.5</v>
      </c>
      <c r="M27">
        <f>VLOOKUP(Table9[[#This Row],[Shortname]], Comp[], 10, FALSE)</f>
        <v>14.8</v>
      </c>
      <c r="N27">
        <f>VLOOKUP(Table9[[#This Row],[Shortname]], Comp[], 11, FALSE)</f>
        <v>3</v>
      </c>
      <c r="O27">
        <f>VLOOKUP(Table9[[#This Row],[Shortname]], Comp[],12, FALSE)</f>
        <v>0</v>
      </c>
      <c r="P27">
        <f>VLOOKUP(Table9[[#This Row],[Shortname]], Comp[], 13, FALSE)</f>
        <v>1</v>
      </c>
      <c r="Q27">
        <f>VLOOKUP(Table9[[#This Row],[Shortname]], Comp[], 14, FALSE)</f>
        <v>0</v>
      </c>
      <c r="R27">
        <f>VLOOKUP(Table9[[#This Row],[Shortname]], Comp[], 15, FALSE)</f>
        <v>0</v>
      </c>
      <c r="S27">
        <f>VLOOKUP(Table9[[#This Row],[Shortname]], Comp[], 16, FALSE)</f>
        <v>0</v>
      </c>
      <c r="T27">
        <f>VLOOKUP(Table9[[#This Row],[Shortname]], Comp[], 17, FALSE)</f>
        <v>0.15</v>
      </c>
      <c r="U27">
        <f>VLOOKUP(Table9[[#This Row],[Shortname]], Comp[], 18, FALSE)</f>
        <v>0.04</v>
      </c>
      <c r="V27">
        <f>VLOOKUP(Table9[[#This Row],[Shortname]], Comp[], 19, FALSE)</f>
        <v>0.2</v>
      </c>
      <c r="W27">
        <f>VLOOKUP(Table9[[#This Row],[Shortname]], Comp[], 20, FALSE)</f>
        <v>0</v>
      </c>
      <c r="X27">
        <f>VLOOKUP(Table9[[#This Row],[Shortname]], Comp[], 21, FALSE)</f>
        <v>0</v>
      </c>
      <c r="Y27">
        <f>VLOOKUP(Table9[[#This Row],[Shortname]], Comp[], 22, FALSE)</f>
        <v>0</v>
      </c>
      <c r="Z27">
        <f>VLOOKUP(Table9[[#This Row],[Shortname]], Comp[], 23, FALSE)</f>
        <v>0</v>
      </c>
      <c r="AA27">
        <f>VLOOKUP(Table9[[#This Row],[Shortname]], Comp[], 24, FALSE)</f>
        <v>0</v>
      </c>
      <c r="AB27">
        <f>VLOOKUP(Table9[[#This Row],[Shortname]], Comp[], 25, FALSE)</f>
        <v>0</v>
      </c>
      <c r="AC27">
        <f>VLOOKUP(Table9[[#This Row],[Shortname]], Comp[], 26, FALSE)</f>
        <v>0</v>
      </c>
      <c r="AD27">
        <f>VLOOKUP(Table9[[#This Row],[Shortname]], Comp[], 27, FALSE)</f>
        <v>0</v>
      </c>
      <c r="AE27">
        <f>VLOOKUP(Table9[[#This Row],[Shortname]], Comp[], 28, FALSE)</f>
        <v>0</v>
      </c>
      <c r="AF27">
        <f>VLOOKUP(Table9[[#This Row],[Shortname]], Comp[], 29, FALSE)</f>
        <v>0</v>
      </c>
      <c r="AG27">
        <f>VLOOKUP(Table9[[#This Row],[Shortname]], Comp[], 30, FALSE)</f>
        <v>0</v>
      </c>
      <c r="AH27">
        <f>VLOOKUP(Table9[[#This Row],[Shortname]], Comp[], 31, FALSE)</f>
        <v>0</v>
      </c>
    </row>
    <row r="28" spans="1:34" x14ac:dyDescent="0.3">
      <c r="A28" t="s">
        <v>3433</v>
      </c>
      <c r="B28" t="s">
        <v>6804</v>
      </c>
      <c r="C28" t="s">
        <v>3401</v>
      </c>
      <c r="D28">
        <v>840</v>
      </c>
      <c r="E28">
        <v>25</v>
      </c>
      <c r="F28">
        <v>2.0000000000000001E-4</v>
      </c>
      <c r="G28">
        <v>1</v>
      </c>
      <c r="H28" t="s">
        <v>6803</v>
      </c>
      <c r="I28">
        <f>VLOOKUP(Table9[[#This Row],[Shortname]], Comp[], 6, FALSE)</f>
        <v>489</v>
      </c>
      <c r="J28" s="14">
        <f>VLOOKUP(Table9[[#This Row],[Shortname]], Comp[], 7, FALSE)</f>
        <v>81.28</v>
      </c>
      <c r="K28">
        <f>VLOOKUP(Table9[[#This Row],[Shortname]], Comp[], 8, FALSE)</f>
        <v>0</v>
      </c>
      <c r="L28">
        <f>VLOOKUP(Table9[[#This Row],[Shortname]], Comp[], 9, FALSE)</f>
        <v>9.1999999999999993</v>
      </c>
      <c r="M28">
        <f>VLOOKUP(Table9[[#This Row],[Shortname]], Comp[], 10, FALSE)</f>
        <v>0</v>
      </c>
      <c r="N28">
        <f>VLOOKUP(Table9[[#This Row],[Shortname]], Comp[], 11, FALSE)</f>
        <v>9.5</v>
      </c>
      <c r="O28">
        <f>VLOOKUP(Table9[[#This Row],[Shortname]], Comp[],12, FALSE)</f>
        <v>0</v>
      </c>
      <c r="P28">
        <f>VLOOKUP(Table9[[#This Row],[Shortname]], Comp[], 13, FALSE)</f>
        <v>0</v>
      </c>
      <c r="Q28">
        <f>VLOOKUP(Table9[[#This Row],[Shortname]], Comp[], 14, FALSE)</f>
        <v>0</v>
      </c>
      <c r="R28">
        <f>VLOOKUP(Table9[[#This Row],[Shortname]], Comp[], 15, FALSE)</f>
        <v>0</v>
      </c>
      <c r="S28">
        <f>VLOOKUP(Table9[[#This Row],[Shortname]], Comp[], 16, FALSE)</f>
        <v>0</v>
      </c>
      <c r="T28">
        <f>VLOOKUP(Table9[[#This Row],[Shortname]], Comp[], 17, FALSE)</f>
        <v>0</v>
      </c>
      <c r="U28">
        <f>VLOOKUP(Table9[[#This Row],[Shortname]], Comp[], 18, FALSE)</f>
        <v>0</v>
      </c>
      <c r="V28">
        <f>VLOOKUP(Table9[[#This Row],[Shortname]], Comp[], 19, FALSE)</f>
        <v>0.02</v>
      </c>
      <c r="W28">
        <f>VLOOKUP(Table9[[#This Row],[Shortname]], Comp[], 20, FALSE)</f>
        <v>0</v>
      </c>
      <c r="X28">
        <f>VLOOKUP(Table9[[#This Row],[Shortname]], Comp[], 21, FALSE)</f>
        <v>0</v>
      </c>
      <c r="Y28">
        <f>VLOOKUP(Table9[[#This Row],[Shortname]], Comp[], 22, FALSE)</f>
        <v>0</v>
      </c>
      <c r="Z28">
        <f>VLOOKUP(Table9[[#This Row],[Shortname]], Comp[], 23, FALSE)</f>
        <v>0</v>
      </c>
      <c r="AA28">
        <f>VLOOKUP(Table9[[#This Row],[Shortname]], Comp[], 24, FALSE)</f>
        <v>0</v>
      </c>
      <c r="AB28">
        <f>VLOOKUP(Table9[[#This Row],[Shortname]], Comp[], 25, FALSE)</f>
        <v>0</v>
      </c>
      <c r="AC28">
        <f>VLOOKUP(Table9[[#This Row],[Shortname]], Comp[], 26, FALSE)</f>
        <v>0</v>
      </c>
      <c r="AD28">
        <f>VLOOKUP(Table9[[#This Row],[Shortname]], Comp[], 27, FALSE)</f>
        <v>0</v>
      </c>
      <c r="AE28">
        <f>VLOOKUP(Table9[[#This Row],[Shortname]], Comp[], 28, FALSE)</f>
        <v>0</v>
      </c>
      <c r="AF28">
        <f>VLOOKUP(Table9[[#This Row],[Shortname]], Comp[], 29, FALSE)</f>
        <v>0</v>
      </c>
      <c r="AG28">
        <f>VLOOKUP(Table9[[#This Row],[Shortname]], Comp[], 30, FALSE)</f>
        <v>0</v>
      </c>
      <c r="AH28">
        <f>VLOOKUP(Table9[[#This Row],[Shortname]], Comp[], 31, FALSE)</f>
        <v>0</v>
      </c>
    </row>
    <row r="29" spans="1:34" x14ac:dyDescent="0.3">
      <c r="A29" t="s">
        <v>2070</v>
      </c>
      <c r="B29" t="s">
        <v>2072</v>
      </c>
      <c r="C29" t="s">
        <v>2065</v>
      </c>
      <c r="D29">
        <v>838</v>
      </c>
      <c r="E29">
        <v>700</v>
      </c>
      <c r="F29">
        <v>1E-4</v>
      </c>
      <c r="G29">
        <v>1</v>
      </c>
      <c r="H29" t="s">
        <v>6803</v>
      </c>
      <c r="I29">
        <f>VLOOKUP(Table9[[#This Row],[Shortname]], Comp[], 6, FALSE)</f>
        <v>272</v>
      </c>
      <c r="J29" s="14">
        <f>VLOOKUP(Table9[[#This Row],[Shortname]], Comp[], 7, FALSE)</f>
        <v>85</v>
      </c>
      <c r="K29">
        <f>VLOOKUP(Table9[[#This Row],[Shortname]], Comp[], 8, FALSE)</f>
        <v>0</v>
      </c>
      <c r="L29">
        <f>VLOOKUP(Table9[[#This Row],[Shortname]], Comp[], 9, FALSE)</f>
        <v>0</v>
      </c>
      <c r="M29">
        <f>VLOOKUP(Table9[[#This Row],[Shortname]], Comp[], 10, FALSE)</f>
        <v>0</v>
      </c>
      <c r="N29">
        <f>VLOOKUP(Table9[[#This Row],[Shortname]], Comp[], 11, FALSE)</f>
        <v>0</v>
      </c>
      <c r="O29">
        <f>VLOOKUP(Table9[[#This Row],[Shortname]], Comp[],12, FALSE)</f>
        <v>12</v>
      </c>
      <c r="P29">
        <f>VLOOKUP(Table9[[#This Row],[Shortname]], Comp[], 13, FALSE)</f>
        <v>0</v>
      </c>
      <c r="Q29">
        <f>VLOOKUP(Table9[[#This Row],[Shortname]], Comp[], 14, FALSE)</f>
        <v>0</v>
      </c>
      <c r="R29">
        <f>VLOOKUP(Table9[[#This Row],[Shortname]], Comp[], 15, FALSE)</f>
        <v>0</v>
      </c>
      <c r="S29">
        <f>VLOOKUP(Table9[[#This Row],[Shortname]], Comp[], 16, FALSE)</f>
        <v>0</v>
      </c>
      <c r="T29">
        <f>VLOOKUP(Table9[[#This Row],[Shortname]], Comp[], 17, FALSE)</f>
        <v>0</v>
      </c>
      <c r="U29">
        <f>VLOOKUP(Table9[[#This Row],[Shortname]], Comp[], 18, FALSE)</f>
        <v>0</v>
      </c>
      <c r="V29">
        <f>VLOOKUP(Table9[[#This Row],[Shortname]], Comp[], 19, FALSE)</f>
        <v>0</v>
      </c>
      <c r="W29">
        <f>VLOOKUP(Table9[[#This Row],[Shortname]], Comp[], 20, FALSE)</f>
        <v>0</v>
      </c>
      <c r="X29">
        <f>VLOOKUP(Table9[[#This Row],[Shortname]], Comp[], 21, FALSE)</f>
        <v>3</v>
      </c>
      <c r="Y29">
        <f>VLOOKUP(Table9[[#This Row],[Shortname]], Comp[], 22, FALSE)</f>
        <v>0</v>
      </c>
      <c r="Z29">
        <f>VLOOKUP(Table9[[#This Row],[Shortname]], Comp[], 23, FALSE)</f>
        <v>0</v>
      </c>
      <c r="AA29">
        <f>VLOOKUP(Table9[[#This Row],[Shortname]], Comp[], 24, FALSE)</f>
        <v>0</v>
      </c>
      <c r="AB29">
        <f>VLOOKUP(Table9[[#This Row],[Shortname]], Comp[], 25, FALSE)</f>
        <v>0</v>
      </c>
      <c r="AC29">
        <f>VLOOKUP(Table9[[#This Row],[Shortname]], Comp[], 26, FALSE)</f>
        <v>0</v>
      </c>
      <c r="AD29">
        <f>VLOOKUP(Table9[[#This Row],[Shortname]], Comp[], 27, FALSE)</f>
        <v>0</v>
      </c>
      <c r="AE29">
        <f>VLOOKUP(Table9[[#This Row],[Shortname]], Comp[], 28, FALSE)</f>
        <v>0</v>
      </c>
      <c r="AF29">
        <f>VLOOKUP(Table9[[#This Row],[Shortname]], Comp[], 29, FALSE)</f>
        <v>0</v>
      </c>
      <c r="AG29">
        <f>VLOOKUP(Table9[[#This Row],[Shortname]], Comp[], 30, FALSE)</f>
        <v>0</v>
      </c>
      <c r="AH29">
        <f>VLOOKUP(Table9[[#This Row],[Shortname]], Comp[], 31, FALSE)</f>
        <v>0</v>
      </c>
    </row>
    <row r="30" spans="1:34" x14ac:dyDescent="0.3">
      <c r="A30" t="s">
        <v>870</v>
      </c>
      <c r="B30" t="s">
        <v>872</v>
      </c>
      <c r="C30" t="s">
        <v>6805</v>
      </c>
      <c r="D30">
        <v>837</v>
      </c>
      <c r="E30">
        <v>700</v>
      </c>
      <c r="F30">
        <v>1E-4</v>
      </c>
      <c r="G30">
        <v>1</v>
      </c>
      <c r="H30" t="s">
        <v>6803</v>
      </c>
      <c r="I30">
        <f>VLOOKUP(Table9[[#This Row],[Shortname]], Comp[], 6, FALSE)</f>
        <v>112</v>
      </c>
      <c r="J30" s="14">
        <f>VLOOKUP(Table9[[#This Row],[Shortname]], Comp[], 7, FALSE)</f>
        <v>49</v>
      </c>
      <c r="K30">
        <f>VLOOKUP(Table9[[#This Row],[Shortname]], Comp[], 8, FALSE)</f>
        <v>30</v>
      </c>
      <c r="L30">
        <f>VLOOKUP(Table9[[#This Row],[Shortname]], Comp[], 9, FALSE)</f>
        <v>10</v>
      </c>
      <c r="M30">
        <f>VLOOKUP(Table9[[#This Row],[Shortname]], Comp[], 10, FALSE)</f>
        <v>0</v>
      </c>
      <c r="N30">
        <f>VLOOKUP(Table9[[#This Row],[Shortname]], Comp[], 11, FALSE)</f>
        <v>0</v>
      </c>
      <c r="O30">
        <f>VLOOKUP(Table9[[#This Row],[Shortname]], Comp[],12, FALSE)</f>
        <v>2</v>
      </c>
      <c r="P30">
        <f>VLOOKUP(Table9[[#This Row],[Shortname]], Comp[], 13, FALSE)</f>
        <v>4</v>
      </c>
      <c r="Q30">
        <f>VLOOKUP(Table9[[#This Row],[Shortname]], Comp[], 14, FALSE)</f>
        <v>0</v>
      </c>
      <c r="R30">
        <f>VLOOKUP(Table9[[#This Row],[Shortname]], Comp[], 15, FALSE)</f>
        <v>5</v>
      </c>
      <c r="S30">
        <f>VLOOKUP(Table9[[#This Row],[Shortname]], Comp[], 16, FALSE)</f>
        <v>0</v>
      </c>
      <c r="T30">
        <f>VLOOKUP(Table9[[#This Row],[Shortname]], Comp[], 17, FALSE)</f>
        <v>0</v>
      </c>
      <c r="U30">
        <f>VLOOKUP(Table9[[#This Row],[Shortname]], Comp[], 18, FALSE)</f>
        <v>0</v>
      </c>
      <c r="V30">
        <f>VLOOKUP(Table9[[#This Row],[Shortname]], Comp[], 19, FALSE)</f>
        <v>0</v>
      </c>
      <c r="W30">
        <f>VLOOKUP(Table9[[#This Row],[Shortname]], Comp[], 20, FALSE)</f>
        <v>0</v>
      </c>
      <c r="X30">
        <f>VLOOKUP(Table9[[#This Row],[Shortname]], Comp[], 21, FALSE)</f>
        <v>0</v>
      </c>
      <c r="Y30">
        <f>VLOOKUP(Table9[[#This Row],[Shortname]], Comp[], 22, FALSE)</f>
        <v>0</v>
      </c>
      <c r="Z30">
        <f>VLOOKUP(Table9[[#This Row],[Shortname]], Comp[], 23, FALSE)</f>
        <v>0</v>
      </c>
      <c r="AA30">
        <f>VLOOKUP(Table9[[#This Row],[Shortname]], Comp[], 24, FALSE)</f>
        <v>0</v>
      </c>
      <c r="AB30">
        <f>VLOOKUP(Table9[[#This Row],[Shortname]], Comp[], 25, FALSE)</f>
        <v>0</v>
      </c>
      <c r="AC30">
        <f>VLOOKUP(Table9[[#This Row],[Shortname]], Comp[], 26, FALSE)</f>
        <v>0</v>
      </c>
      <c r="AD30">
        <f>VLOOKUP(Table9[[#This Row],[Shortname]], Comp[], 27, FALSE)</f>
        <v>0</v>
      </c>
      <c r="AE30">
        <f>VLOOKUP(Table9[[#This Row],[Shortname]], Comp[], 28, FALSE)</f>
        <v>0</v>
      </c>
      <c r="AF30">
        <f>VLOOKUP(Table9[[#This Row],[Shortname]], Comp[], 29, FALSE)</f>
        <v>0</v>
      </c>
      <c r="AG30">
        <f>VLOOKUP(Table9[[#This Row],[Shortname]], Comp[], 30, FALSE)</f>
        <v>0</v>
      </c>
      <c r="AH30">
        <f>VLOOKUP(Table9[[#This Row],[Shortname]], Comp[], 31, FALSE)</f>
        <v>0</v>
      </c>
    </row>
    <row r="31" spans="1:34" x14ac:dyDescent="0.3">
      <c r="A31" t="s">
        <v>4414</v>
      </c>
      <c r="B31" t="s">
        <v>4391</v>
      </c>
      <c r="C31" t="s">
        <v>4415</v>
      </c>
      <c r="D31">
        <v>826</v>
      </c>
      <c r="E31">
        <v>800</v>
      </c>
      <c r="F31">
        <v>1E-4</v>
      </c>
      <c r="G31">
        <v>1</v>
      </c>
      <c r="H31" t="s">
        <v>6803</v>
      </c>
      <c r="I31">
        <f>VLOOKUP(Table9[[#This Row],[Shortname]], Comp[], 6, FALSE)</f>
        <v>671</v>
      </c>
      <c r="J31" s="14">
        <f>VLOOKUP(Table9[[#This Row],[Shortname]], Comp[], 7, FALSE)</f>
        <v>43.92</v>
      </c>
      <c r="K31">
        <f>VLOOKUP(Table9[[#This Row],[Shortname]], Comp[], 8, FALSE)</f>
        <v>30</v>
      </c>
      <c r="L31">
        <f>VLOOKUP(Table9[[#This Row],[Shortname]], Comp[], 9, FALSE)</f>
        <v>4</v>
      </c>
      <c r="M31">
        <f>VLOOKUP(Table9[[#This Row],[Shortname]], Comp[], 10, FALSE)</f>
        <v>12</v>
      </c>
      <c r="N31">
        <f>VLOOKUP(Table9[[#This Row],[Shortname]], Comp[], 11, FALSE)</f>
        <v>2</v>
      </c>
      <c r="O31">
        <f>VLOOKUP(Table9[[#This Row],[Shortname]], Comp[],12, FALSE)</f>
        <v>4.9000000000000004</v>
      </c>
      <c r="P31">
        <f>VLOOKUP(Table9[[#This Row],[Shortname]], Comp[], 13, FALSE)</f>
        <v>1</v>
      </c>
      <c r="Q31">
        <f>VLOOKUP(Table9[[#This Row],[Shortname]], Comp[], 14, FALSE)</f>
        <v>0</v>
      </c>
      <c r="R31">
        <f>VLOOKUP(Table9[[#This Row],[Shortname]], Comp[], 15, FALSE)</f>
        <v>0</v>
      </c>
      <c r="S31">
        <f>VLOOKUP(Table9[[#This Row],[Shortname]], Comp[], 16, FALSE)</f>
        <v>1.5</v>
      </c>
      <c r="T31">
        <f>VLOOKUP(Table9[[#This Row],[Shortname]], Comp[], 17, FALSE)</f>
        <v>7.0000000000000007E-2</v>
      </c>
      <c r="U31">
        <f>VLOOKUP(Table9[[#This Row],[Shortname]], Comp[], 18, FALSE)</f>
        <v>0.01</v>
      </c>
      <c r="V31">
        <f>VLOOKUP(Table9[[#This Row],[Shortname]], Comp[], 19, FALSE)</f>
        <v>0.09</v>
      </c>
      <c r="W31">
        <f>VLOOKUP(Table9[[#This Row],[Shortname]], Comp[], 20, FALSE)</f>
        <v>0</v>
      </c>
      <c r="X31">
        <f>VLOOKUP(Table9[[#This Row],[Shortname]], Comp[], 21, FALSE)</f>
        <v>0</v>
      </c>
      <c r="Y31">
        <f>VLOOKUP(Table9[[#This Row],[Shortname]], Comp[], 22, FALSE)</f>
        <v>0.41</v>
      </c>
      <c r="Z31">
        <f>VLOOKUP(Table9[[#This Row],[Shortname]], Comp[], 23, FALSE)</f>
        <v>0</v>
      </c>
      <c r="AA31">
        <f>VLOOKUP(Table9[[#This Row],[Shortname]], Comp[], 24, FALSE)</f>
        <v>0</v>
      </c>
      <c r="AB31">
        <f>VLOOKUP(Table9[[#This Row],[Shortname]], Comp[], 25, FALSE)</f>
        <v>0.1</v>
      </c>
      <c r="AC31">
        <f>VLOOKUP(Table9[[#This Row],[Shortname]], Comp[], 26, FALSE)</f>
        <v>0</v>
      </c>
      <c r="AD31">
        <f>VLOOKUP(Table9[[#This Row],[Shortname]], Comp[], 27, FALSE)</f>
        <v>0</v>
      </c>
      <c r="AE31">
        <f>VLOOKUP(Table9[[#This Row],[Shortname]], Comp[], 28, FALSE)</f>
        <v>0</v>
      </c>
      <c r="AF31">
        <f>VLOOKUP(Table9[[#This Row],[Shortname]], Comp[], 29, FALSE)</f>
        <v>0</v>
      </c>
      <c r="AG31">
        <f>VLOOKUP(Table9[[#This Row],[Shortname]], Comp[], 30, FALSE)</f>
        <v>0</v>
      </c>
      <c r="AH31">
        <f>VLOOKUP(Table9[[#This Row],[Shortname]], Comp[], 31, FALSE)</f>
        <v>0</v>
      </c>
    </row>
    <row r="32" spans="1:34" x14ac:dyDescent="0.3">
      <c r="A32" t="s">
        <v>4933</v>
      </c>
      <c r="B32" t="s">
        <v>4935</v>
      </c>
      <c r="C32" t="s">
        <v>4936</v>
      </c>
      <c r="D32">
        <v>823</v>
      </c>
      <c r="E32">
        <v>800</v>
      </c>
      <c r="F32">
        <v>1E-4</v>
      </c>
      <c r="G32">
        <v>1</v>
      </c>
      <c r="H32" t="s">
        <v>6803</v>
      </c>
      <c r="I32">
        <f>VLOOKUP(Table9[[#This Row],[Shortname]], Comp[], 6, FALSE)</f>
        <v>753</v>
      </c>
      <c r="J32" s="14">
        <f>VLOOKUP(Table9[[#This Row],[Shortname]], Comp[], 7, FALSE)</f>
        <v>81.88</v>
      </c>
      <c r="K32">
        <f>VLOOKUP(Table9[[#This Row],[Shortname]], Comp[], 8, FALSE)</f>
        <v>0</v>
      </c>
      <c r="L32">
        <f>VLOOKUP(Table9[[#This Row],[Shortname]], Comp[], 9, FALSE)</f>
        <v>5.6</v>
      </c>
      <c r="M32">
        <f>VLOOKUP(Table9[[#This Row],[Shortname]], Comp[], 10, FALSE)</f>
        <v>0</v>
      </c>
      <c r="N32">
        <f>VLOOKUP(Table9[[#This Row],[Shortname]], Comp[], 11, FALSE)</f>
        <v>5.8</v>
      </c>
      <c r="O32">
        <f>VLOOKUP(Table9[[#This Row],[Shortname]], Comp[],12, FALSE)</f>
        <v>6.6</v>
      </c>
      <c r="P32">
        <f>VLOOKUP(Table9[[#This Row],[Shortname]], Comp[], 13, FALSE)</f>
        <v>0</v>
      </c>
      <c r="Q32">
        <f>VLOOKUP(Table9[[#This Row],[Shortname]], Comp[], 14, FALSE)</f>
        <v>0</v>
      </c>
      <c r="R32">
        <f>VLOOKUP(Table9[[#This Row],[Shortname]], Comp[], 15, FALSE)</f>
        <v>0</v>
      </c>
      <c r="S32">
        <f>VLOOKUP(Table9[[#This Row],[Shortname]], Comp[], 16, FALSE)</f>
        <v>0</v>
      </c>
      <c r="T32">
        <f>VLOOKUP(Table9[[#This Row],[Shortname]], Comp[], 17, FALSE)</f>
        <v>0</v>
      </c>
      <c r="U32">
        <f>VLOOKUP(Table9[[#This Row],[Shortname]], Comp[], 18, FALSE)</f>
        <v>0</v>
      </c>
      <c r="V32">
        <f>VLOOKUP(Table9[[#This Row],[Shortname]], Comp[], 19, FALSE)</f>
        <v>0.12</v>
      </c>
      <c r="W32">
        <f>VLOOKUP(Table9[[#This Row],[Shortname]], Comp[], 20, FALSE)</f>
        <v>0</v>
      </c>
      <c r="X32">
        <f>VLOOKUP(Table9[[#This Row],[Shortname]], Comp[], 21, FALSE)</f>
        <v>0</v>
      </c>
      <c r="Y32">
        <f>VLOOKUP(Table9[[#This Row],[Shortname]], Comp[], 22, FALSE)</f>
        <v>0</v>
      </c>
      <c r="Z32">
        <f>VLOOKUP(Table9[[#This Row],[Shortname]], Comp[], 23, FALSE)</f>
        <v>0</v>
      </c>
      <c r="AA32">
        <f>VLOOKUP(Table9[[#This Row],[Shortname]], Comp[], 24, FALSE)</f>
        <v>0</v>
      </c>
      <c r="AB32">
        <f>VLOOKUP(Table9[[#This Row],[Shortname]], Comp[], 25, FALSE)</f>
        <v>0</v>
      </c>
      <c r="AC32">
        <f>VLOOKUP(Table9[[#This Row],[Shortname]], Comp[], 26, FALSE)</f>
        <v>0</v>
      </c>
      <c r="AD32">
        <f>VLOOKUP(Table9[[#This Row],[Shortname]], Comp[], 27, FALSE)</f>
        <v>0</v>
      </c>
      <c r="AE32">
        <f>VLOOKUP(Table9[[#This Row],[Shortname]], Comp[], 28, FALSE)</f>
        <v>0</v>
      </c>
      <c r="AF32">
        <f>VLOOKUP(Table9[[#This Row],[Shortname]], Comp[], 29, FALSE)</f>
        <v>0</v>
      </c>
      <c r="AG32">
        <f>VLOOKUP(Table9[[#This Row],[Shortname]], Comp[], 30, FALSE)</f>
        <v>0</v>
      </c>
      <c r="AH32">
        <f>VLOOKUP(Table9[[#This Row],[Shortname]], Comp[], 31, FALSE)</f>
        <v>0</v>
      </c>
    </row>
    <row r="33" spans="1:34" x14ac:dyDescent="0.3">
      <c r="A33" t="s">
        <v>1788</v>
      </c>
      <c r="B33" t="s">
        <v>1790</v>
      </c>
      <c r="C33" t="s">
        <v>1791</v>
      </c>
      <c r="D33">
        <v>820</v>
      </c>
      <c r="E33">
        <v>700</v>
      </c>
      <c r="F33">
        <v>1E-3</v>
      </c>
      <c r="G33">
        <v>1</v>
      </c>
      <c r="I33">
        <f>VLOOKUP(Table9[[#This Row],[Shortname]], Comp[], 6, FALSE)</f>
        <v>231</v>
      </c>
      <c r="J33" s="14">
        <f>VLOOKUP(Table9[[#This Row],[Shortname]], Comp[], 7, FALSE)</f>
        <v>36.11</v>
      </c>
      <c r="K33">
        <f>VLOOKUP(Table9[[#This Row],[Shortname]], Comp[], 8, FALSE)</f>
        <v>34.200000000000003</v>
      </c>
      <c r="L33">
        <f>VLOOKUP(Table9[[#This Row],[Shortname]], Comp[], 9, FALSE)</f>
        <v>10.5</v>
      </c>
      <c r="M33">
        <f>VLOOKUP(Table9[[#This Row],[Shortname]], Comp[], 10, FALSE)</f>
        <v>14.8</v>
      </c>
      <c r="N33">
        <f>VLOOKUP(Table9[[#This Row],[Shortname]], Comp[], 11, FALSE)</f>
        <v>3</v>
      </c>
      <c r="O33">
        <f>VLOOKUP(Table9[[#This Row],[Shortname]], Comp[],12, FALSE)</f>
        <v>0</v>
      </c>
      <c r="P33">
        <f>VLOOKUP(Table9[[#This Row],[Shortname]], Comp[], 13, FALSE)</f>
        <v>1</v>
      </c>
      <c r="Q33">
        <f>VLOOKUP(Table9[[#This Row],[Shortname]], Comp[], 14, FALSE)</f>
        <v>0</v>
      </c>
      <c r="R33">
        <f>VLOOKUP(Table9[[#This Row],[Shortname]], Comp[], 15, FALSE)</f>
        <v>0</v>
      </c>
      <c r="S33">
        <f>VLOOKUP(Table9[[#This Row],[Shortname]], Comp[], 16, FALSE)</f>
        <v>0</v>
      </c>
      <c r="T33">
        <f>VLOOKUP(Table9[[#This Row],[Shortname]], Comp[], 17, FALSE)</f>
        <v>0.15</v>
      </c>
      <c r="U33">
        <f>VLOOKUP(Table9[[#This Row],[Shortname]], Comp[], 18, FALSE)</f>
        <v>0.04</v>
      </c>
      <c r="V33">
        <f>VLOOKUP(Table9[[#This Row],[Shortname]], Comp[], 19, FALSE)</f>
        <v>0.2</v>
      </c>
      <c r="W33">
        <f>VLOOKUP(Table9[[#This Row],[Shortname]], Comp[], 20, FALSE)</f>
        <v>0</v>
      </c>
      <c r="X33">
        <f>VLOOKUP(Table9[[#This Row],[Shortname]], Comp[], 21, FALSE)</f>
        <v>0</v>
      </c>
      <c r="Y33">
        <f>VLOOKUP(Table9[[#This Row],[Shortname]], Comp[], 22, FALSE)</f>
        <v>0</v>
      </c>
      <c r="Z33">
        <f>VLOOKUP(Table9[[#This Row],[Shortname]], Comp[], 23, FALSE)</f>
        <v>0</v>
      </c>
      <c r="AA33">
        <f>VLOOKUP(Table9[[#This Row],[Shortname]], Comp[], 24, FALSE)</f>
        <v>0</v>
      </c>
      <c r="AB33">
        <f>VLOOKUP(Table9[[#This Row],[Shortname]], Comp[], 25, FALSE)</f>
        <v>0</v>
      </c>
      <c r="AC33">
        <f>VLOOKUP(Table9[[#This Row],[Shortname]], Comp[], 26, FALSE)</f>
        <v>0</v>
      </c>
      <c r="AD33">
        <f>VLOOKUP(Table9[[#This Row],[Shortname]], Comp[], 27, FALSE)</f>
        <v>0</v>
      </c>
      <c r="AE33">
        <f>VLOOKUP(Table9[[#This Row],[Shortname]], Comp[], 28, FALSE)</f>
        <v>0</v>
      </c>
      <c r="AF33">
        <f>VLOOKUP(Table9[[#This Row],[Shortname]], Comp[], 29, FALSE)</f>
        <v>0</v>
      </c>
      <c r="AG33">
        <f>VLOOKUP(Table9[[#This Row],[Shortname]], Comp[], 30, FALSE)</f>
        <v>0</v>
      </c>
      <c r="AH33">
        <f>VLOOKUP(Table9[[#This Row],[Shortname]], Comp[], 31, FALSE)</f>
        <v>0</v>
      </c>
    </row>
    <row r="34" spans="1:34" x14ac:dyDescent="0.3">
      <c r="A34" t="s">
        <v>1788</v>
      </c>
      <c r="B34" t="s">
        <v>1790</v>
      </c>
      <c r="C34" t="s">
        <v>1791</v>
      </c>
      <c r="D34">
        <v>820</v>
      </c>
      <c r="E34">
        <v>800</v>
      </c>
      <c r="F34">
        <v>1E-3</v>
      </c>
      <c r="G34">
        <v>1</v>
      </c>
      <c r="I34">
        <f>VLOOKUP(Table9[[#This Row],[Shortname]], Comp[], 6, FALSE)</f>
        <v>231</v>
      </c>
      <c r="J34" s="14">
        <f>VLOOKUP(Table9[[#This Row],[Shortname]], Comp[], 7, FALSE)</f>
        <v>36.11</v>
      </c>
      <c r="K34">
        <f>VLOOKUP(Table9[[#This Row],[Shortname]], Comp[], 8, FALSE)</f>
        <v>34.200000000000003</v>
      </c>
      <c r="L34">
        <f>VLOOKUP(Table9[[#This Row],[Shortname]], Comp[], 9, FALSE)</f>
        <v>10.5</v>
      </c>
      <c r="M34">
        <f>VLOOKUP(Table9[[#This Row],[Shortname]], Comp[], 10, FALSE)</f>
        <v>14.8</v>
      </c>
      <c r="N34">
        <f>VLOOKUP(Table9[[#This Row],[Shortname]], Comp[], 11, FALSE)</f>
        <v>3</v>
      </c>
      <c r="O34">
        <f>VLOOKUP(Table9[[#This Row],[Shortname]], Comp[],12, FALSE)</f>
        <v>0</v>
      </c>
      <c r="P34">
        <f>VLOOKUP(Table9[[#This Row],[Shortname]], Comp[], 13, FALSE)</f>
        <v>1</v>
      </c>
      <c r="Q34">
        <f>VLOOKUP(Table9[[#This Row],[Shortname]], Comp[], 14, FALSE)</f>
        <v>0</v>
      </c>
      <c r="R34">
        <f>VLOOKUP(Table9[[#This Row],[Shortname]], Comp[], 15, FALSE)</f>
        <v>0</v>
      </c>
      <c r="S34">
        <f>VLOOKUP(Table9[[#This Row],[Shortname]], Comp[], 16, FALSE)</f>
        <v>0</v>
      </c>
      <c r="T34">
        <f>VLOOKUP(Table9[[#This Row],[Shortname]], Comp[], 17, FALSE)</f>
        <v>0.15</v>
      </c>
      <c r="U34">
        <f>VLOOKUP(Table9[[#This Row],[Shortname]], Comp[], 18, FALSE)</f>
        <v>0.04</v>
      </c>
      <c r="V34">
        <f>VLOOKUP(Table9[[#This Row],[Shortname]], Comp[], 19, FALSE)</f>
        <v>0.2</v>
      </c>
      <c r="W34">
        <f>VLOOKUP(Table9[[#This Row],[Shortname]], Comp[], 20, FALSE)</f>
        <v>0</v>
      </c>
      <c r="X34">
        <f>VLOOKUP(Table9[[#This Row],[Shortname]], Comp[], 21, FALSE)</f>
        <v>0</v>
      </c>
      <c r="Y34">
        <f>VLOOKUP(Table9[[#This Row],[Shortname]], Comp[], 22, FALSE)</f>
        <v>0</v>
      </c>
      <c r="Z34">
        <f>VLOOKUP(Table9[[#This Row],[Shortname]], Comp[], 23, FALSE)</f>
        <v>0</v>
      </c>
      <c r="AA34">
        <f>VLOOKUP(Table9[[#This Row],[Shortname]], Comp[], 24, FALSE)</f>
        <v>0</v>
      </c>
      <c r="AB34">
        <f>VLOOKUP(Table9[[#This Row],[Shortname]], Comp[], 25, FALSE)</f>
        <v>0</v>
      </c>
      <c r="AC34">
        <f>VLOOKUP(Table9[[#This Row],[Shortname]], Comp[], 26, FALSE)</f>
        <v>0</v>
      </c>
      <c r="AD34">
        <f>VLOOKUP(Table9[[#This Row],[Shortname]], Comp[], 27, FALSE)</f>
        <v>0</v>
      </c>
      <c r="AE34">
        <f>VLOOKUP(Table9[[#This Row],[Shortname]], Comp[], 28, FALSE)</f>
        <v>0</v>
      </c>
      <c r="AF34">
        <f>VLOOKUP(Table9[[#This Row],[Shortname]], Comp[], 29, FALSE)</f>
        <v>0</v>
      </c>
      <c r="AG34">
        <f>VLOOKUP(Table9[[#This Row],[Shortname]], Comp[], 30, FALSE)</f>
        <v>0</v>
      </c>
      <c r="AH34">
        <f>VLOOKUP(Table9[[#This Row],[Shortname]], Comp[], 31, FALSE)</f>
        <v>0</v>
      </c>
    </row>
    <row r="35" spans="1:34" x14ac:dyDescent="0.3">
      <c r="A35" t="s">
        <v>4419</v>
      </c>
      <c r="B35" t="s">
        <v>4420</v>
      </c>
      <c r="C35" t="s">
        <v>4415</v>
      </c>
      <c r="D35">
        <v>819</v>
      </c>
      <c r="E35">
        <v>800</v>
      </c>
      <c r="F35">
        <v>1E-4</v>
      </c>
      <c r="G35">
        <v>1</v>
      </c>
      <c r="H35" t="s">
        <v>6803</v>
      </c>
      <c r="I35">
        <f>VLOOKUP(Table9[[#This Row],[Shortname]], Comp[], 6, FALSE)</f>
        <v>672</v>
      </c>
      <c r="J35" s="14">
        <f>VLOOKUP(Table9[[#This Row],[Shortname]], Comp[], 7, FALSE)</f>
        <v>43.134999999999998</v>
      </c>
      <c r="K35">
        <f>VLOOKUP(Table9[[#This Row],[Shortname]], Comp[], 8, FALSE)</f>
        <v>30</v>
      </c>
      <c r="L35">
        <f>VLOOKUP(Table9[[#This Row],[Shortname]], Comp[], 9, FALSE)</f>
        <v>5.5</v>
      </c>
      <c r="M35">
        <f>VLOOKUP(Table9[[#This Row],[Shortname]], Comp[], 10, FALSE)</f>
        <v>12</v>
      </c>
      <c r="N35">
        <f>VLOOKUP(Table9[[#This Row],[Shortname]], Comp[], 11, FALSE)</f>
        <v>2</v>
      </c>
      <c r="O35">
        <f>VLOOKUP(Table9[[#This Row],[Shortname]], Comp[],12, FALSE)</f>
        <v>4.2</v>
      </c>
      <c r="P35">
        <f>VLOOKUP(Table9[[#This Row],[Shortname]], Comp[], 13, FALSE)</f>
        <v>1</v>
      </c>
      <c r="Q35">
        <f>VLOOKUP(Table9[[#This Row],[Shortname]], Comp[], 14, FALSE)</f>
        <v>0</v>
      </c>
      <c r="R35">
        <f>VLOOKUP(Table9[[#This Row],[Shortname]], Comp[], 15, FALSE)</f>
        <v>0</v>
      </c>
      <c r="S35">
        <f>VLOOKUP(Table9[[#This Row],[Shortname]], Comp[], 16, FALSE)</f>
        <v>1.5</v>
      </c>
      <c r="T35">
        <f>VLOOKUP(Table9[[#This Row],[Shortname]], Comp[], 17, FALSE)</f>
        <v>7.0999999999999994E-2</v>
      </c>
      <c r="U35">
        <f>VLOOKUP(Table9[[#This Row],[Shortname]], Comp[], 18, FALSE)</f>
        <v>8.9999999999999993E-3</v>
      </c>
      <c r="V35">
        <f>VLOOKUP(Table9[[#This Row],[Shortname]], Comp[], 19, FALSE)</f>
        <v>8.5000000000000006E-2</v>
      </c>
      <c r="W35">
        <f>VLOOKUP(Table9[[#This Row],[Shortname]], Comp[], 20, FALSE)</f>
        <v>0</v>
      </c>
      <c r="X35">
        <f>VLOOKUP(Table9[[#This Row],[Shortname]], Comp[], 21, FALSE)</f>
        <v>0</v>
      </c>
      <c r="Y35">
        <f>VLOOKUP(Table9[[#This Row],[Shortname]], Comp[], 22, FALSE)</f>
        <v>0.39</v>
      </c>
      <c r="Z35">
        <f>VLOOKUP(Table9[[#This Row],[Shortname]], Comp[], 23, FALSE)</f>
        <v>0</v>
      </c>
      <c r="AA35">
        <f>VLOOKUP(Table9[[#This Row],[Shortname]], Comp[], 24, FALSE)</f>
        <v>0</v>
      </c>
      <c r="AB35">
        <f>VLOOKUP(Table9[[#This Row],[Shortname]], Comp[], 25, FALSE)</f>
        <v>0.11</v>
      </c>
      <c r="AC35">
        <f>VLOOKUP(Table9[[#This Row],[Shortname]], Comp[], 26, FALSE)</f>
        <v>0</v>
      </c>
      <c r="AD35">
        <f>VLOOKUP(Table9[[#This Row],[Shortname]], Comp[], 27, FALSE)</f>
        <v>0</v>
      </c>
      <c r="AE35">
        <f>VLOOKUP(Table9[[#This Row],[Shortname]], Comp[], 28, FALSE)</f>
        <v>0</v>
      </c>
      <c r="AF35">
        <f>VLOOKUP(Table9[[#This Row],[Shortname]], Comp[], 29, FALSE)</f>
        <v>0</v>
      </c>
      <c r="AG35">
        <f>VLOOKUP(Table9[[#This Row],[Shortname]], Comp[], 30, FALSE)</f>
        <v>0</v>
      </c>
      <c r="AH35">
        <f>VLOOKUP(Table9[[#This Row],[Shortname]], Comp[], 31, FALSE)</f>
        <v>0</v>
      </c>
    </row>
    <row r="36" spans="1:34" x14ac:dyDescent="0.3">
      <c r="A36" t="s">
        <v>4933</v>
      </c>
      <c r="B36" t="s">
        <v>4935</v>
      </c>
      <c r="C36" t="s">
        <v>4936</v>
      </c>
      <c r="D36">
        <v>816</v>
      </c>
      <c r="E36">
        <v>25</v>
      </c>
      <c r="F36">
        <v>1E-4</v>
      </c>
      <c r="G36">
        <v>1</v>
      </c>
      <c r="H36" t="s">
        <v>6803</v>
      </c>
      <c r="I36">
        <f>VLOOKUP(Table9[[#This Row],[Shortname]], Comp[], 6, FALSE)</f>
        <v>753</v>
      </c>
      <c r="J36" s="14">
        <f>VLOOKUP(Table9[[#This Row],[Shortname]], Comp[], 7, FALSE)</f>
        <v>81.88</v>
      </c>
      <c r="K36">
        <f>VLOOKUP(Table9[[#This Row],[Shortname]], Comp[], 8, FALSE)</f>
        <v>0</v>
      </c>
      <c r="L36">
        <f>VLOOKUP(Table9[[#This Row],[Shortname]], Comp[], 9, FALSE)</f>
        <v>5.6</v>
      </c>
      <c r="M36">
        <f>VLOOKUP(Table9[[#This Row],[Shortname]], Comp[], 10, FALSE)</f>
        <v>0</v>
      </c>
      <c r="N36">
        <f>VLOOKUP(Table9[[#This Row],[Shortname]], Comp[], 11, FALSE)</f>
        <v>5.8</v>
      </c>
      <c r="O36">
        <f>VLOOKUP(Table9[[#This Row],[Shortname]], Comp[],12, FALSE)</f>
        <v>6.6</v>
      </c>
      <c r="P36">
        <f>VLOOKUP(Table9[[#This Row],[Shortname]], Comp[], 13, FALSE)</f>
        <v>0</v>
      </c>
      <c r="Q36">
        <f>VLOOKUP(Table9[[#This Row],[Shortname]], Comp[], 14, FALSE)</f>
        <v>0</v>
      </c>
      <c r="R36">
        <f>VLOOKUP(Table9[[#This Row],[Shortname]], Comp[], 15, FALSE)</f>
        <v>0</v>
      </c>
      <c r="S36">
        <f>VLOOKUP(Table9[[#This Row],[Shortname]], Comp[], 16, FALSE)</f>
        <v>0</v>
      </c>
      <c r="T36">
        <f>VLOOKUP(Table9[[#This Row],[Shortname]], Comp[], 17, FALSE)</f>
        <v>0</v>
      </c>
      <c r="U36">
        <f>VLOOKUP(Table9[[#This Row],[Shortname]], Comp[], 18, FALSE)</f>
        <v>0</v>
      </c>
      <c r="V36">
        <f>VLOOKUP(Table9[[#This Row],[Shortname]], Comp[], 19, FALSE)</f>
        <v>0.12</v>
      </c>
      <c r="W36">
        <f>VLOOKUP(Table9[[#This Row],[Shortname]], Comp[], 20, FALSE)</f>
        <v>0</v>
      </c>
      <c r="X36">
        <f>VLOOKUP(Table9[[#This Row],[Shortname]], Comp[], 21, FALSE)</f>
        <v>0</v>
      </c>
      <c r="Y36">
        <f>VLOOKUP(Table9[[#This Row],[Shortname]], Comp[], 22, FALSE)</f>
        <v>0</v>
      </c>
      <c r="Z36">
        <f>VLOOKUP(Table9[[#This Row],[Shortname]], Comp[], 23, FALSE)</f>
        <v>0</v>
      </c>
      <c r="AA36">
        <f>VLOOKUP(Table9[[#This Row],[Shortname]], Comp[], 24, FALSE)</f>
        <v>0</v>
      </c>
      <c r="AB36">
        <f>VLOOKUP(Table9[[#This Row],[Shortname]], Comp[], 25, FALSE)</f>
        <v>0</v>
      </c>
      <c r="AC36">
        <f>VLOOKUP(Table9[[#This Row],[Shortname]], Comp[], 26, FALSE)</f>
        <v>0</v>
      </c>
      <c r="AD36">
        <f>VLOOKUP(Table9[[#This Row],[Shortname]], Comp[], 27, FALSE)</f>
        <v>0</v>
      </c>
      <c r="AE36">
        <f>VLOOKUP(Table9[[#This Row],[Shortname]], Comp[], 28, FALSE)</f>
        <v>0</v>
      </c>
      <c r="AF36">
        <f>VLOOKUP(Table9[[#This Row],[Shortname]], Comp[], 29, FALSE)</f>
        <v>0</v>
      </c>
      <c r="AG36">
        <f>VLOOKUP(Table9[[#This Row],[Shortname]], Comp[], 30, FALSE)</f>
        <v>0</v>
      </c>
      <c r="AH36">
        <f>VLOOKUP(Table9[[#This Row],[Shortname]], Comp[], 31, FALSE)</f>
        <v>0</v>
      </c>
    </row>
    <row r="37" spans="1:34" x14ac:dyDescent="0.3">
      <c r="A37" t="s">
        <v>3168</v>
      </c>
      <c r="B37" t="s">
        <v>3170</v>
      </c>
      <c r="C37" t="s">
        <v>3157</v>
      </c>
      <c r="D37">
        <v>815</v>
      </c>
      <c r="E37">
        <v>25</v>
      </c>
      <c r="F37">
        <v>1E-4</v>
      </c>
      <c r="G37">
        <v>1</v>
      </c>
      <c r="H37" t="s">
        <v>6803</v>
      </c>
      <c r="I37">
        <f>VLOOKUP(Table9[[#This Row],[Shortname]], Comp[], 6, FALSE)</f>
        <v>442</v>
      </c>
      <c r="J37" s="14">
        <f>VLOOKUP(Table9[[#This Row],[Shortname]], Comp[], 7, FALSE)</f>
        <v>78</v>
      </c>
      <c r="K37">
        <f>VLOOKUP(Table9[[#This Row],[Shortname]], Comp[], 8, FALSE)</f>
        <v>2</v>
      </c>
      <c r="L37">
        <f>VLOOKUP(Table9[[#This Row],[Shortname]], Comp[], 9, FALSE)</f>
        <v>0</v>
      </c>
      <c r="M37">
        <f>VLOOKUP(Table9[[#This Row],[Shortname]], Comp[], 10, FALSE)</f>
        <v>0</v>
      </c>
      <c r="N37">
        <f>VLOOKUP(Table9[[#This Row],[Shortname]], Comp[], 11, FALSE)</f>
        <v>0</v>
      </c>
      <c r="O37">
        <f>VLOOKUP(Table9[[#This Row],[Shortname]], Comp[],12, FALSE)</f>
        <v>5</v>
      </c>
      <c r="P37">
        <f>VLOOKUP(Table9[[#This Row],[Shortname]], Comp[], 13, FALSE)</f>
        <v>0</v>
      </c>
      <c r="Q37">
        <f>VLOOKUP(Table9[[#This Row],[Shortname]], Comp[], 14, FALSE)</f>
        <v>0</v>
      </c>
      <c r="R37">
        <f>VLOOKUP(Table9[[#This Row],[Shortname]], Comp[], 15, FALSE)</f>
        <v>15</v>
      </c>
      <c r="S37">
        <f>VLOOKUP(Table9[[#This Row],[Shortname]], Comp[], 16, FALSE)</f>
        <v>0</v>
      </c>
      <c r="T37">
        <f>VLOOKUP(Table9[[#This Row],[Shortname]], Comp[], 17, FALSE)</f>
        <v>0</v>
      </c>
      <c r="U37">
        <f>VLOOKUP(Table9[[#This Row],[Shortname]], Comp[], 18, FALSE)</f>
        <v>0</v>
      </c>
      <c r="V37">
        <f>VLOOKUP(Table9[[#This Row],[Shortname]], Comp[], 19, FALSE)</f>
        <v>0</v>
      </c>
      <c r="W37">
        <f>VLOOKUP(Table9[[#This Row],[Shortname]], Comp[], 20, FALSE)</f>
        <v>0</v>
      </c>
      <c r="X37">
        <f>VLOOKUP(Table9[[#This Row],[Shortname]], Comp[], 21, FALSE)</f>
        <v>0</v>
      </c>
      <c r="Y37">
        <f>VLOOKUP(Table9[[#This Row],[Shortname]], Comp[], 22, FALSE)</f>
        <v>0</v>
      </c>
      <c r="Z37">
        <f>VLOOKUP(Table9[[#This Row],[Shortname]], Comp[], 23, FALSE)</f>
        <v>0</v>
      </c>
      <c r="AA37">
        <f>VLOOKUP(Table9[[#This Row],[Shortname]], Comp[], 24, FALSE)</f>
        <v>0</v>
      </c>
      <c r="AB37">
        <f>VLOOKUP(Table9[[#This Row],[Shortname]], Comp[], 25, FALSE)</f>
        <v>0</v>
      </c>
      <c r="AC37">
        <f>VLOOKUP(Table9[[#This Row],[Shortname]], Comp[], 26, FALSE)</f>
        <v>0</v>
      </c>
      <c r="AD37">
        <f>VLOOKUP(Table9[[#This Row],[Shortname]], Comp[], 27, FALSE)</f>
        <v>0</v>
      </c>
      <c r="AE37">
        <f>VLOOKUP(Table9[[#This Row],[Shortname]], Comp[], 28, FALSE)</f>
        <v>0</v>
      </c>
      <c r="AF37">
        <f>VLOOKUP(Table9[[#This Row],[Shortname]], Comp[], 29, FALSE)</f>
        <v>0</v>
      </c>
      <c r="AG37">
        <f>VLOOKUP(Table9[[#This Row],[Shortname]], Comp[], 30, FALSE)</f>
        <v>0</v>
      </c>
      <c r="AH37">
        <f>VLOOKUP(Table9[[#This Row],[Shortname]], Comp[], 31, FALSE)</f>
        <v>0</v>
      </c>
    </row>
    <row r="38" spans="1:34" x14ac:dyDescent="0.3">
      <c r="A38" t="s">
        <v>870</v>
      </c>
      <c r="B38" t="s">
        <v>872</v>
      </c>
      <c r="C38" t="s">
        <v>6806</v>
      </c>
      <c r="D38">
        <v>815</v>
      </c>
      <c r="E38">
        <v>750</v>
      </c>
      <c r="F38">
        <v>1E-4</v>
      </c>
      <c r="G38">
        <v>1</v>
      </c>
      <c r="H38" t="s">
        <v>6803</v>
      </c>
      <c r="I38">
        <f>VLOOKUP(Table9[[#This Row],[Shortname]], Comp[], 6, FALSE)</f>
        <v>112</v>
      </c>
      <c r="J38" s="14">
        <f>VLOOKUP(Table9[[#This Row],[Shortname]], Comp[], 7, FALSE)</f>
        <v>49</v>
      </c>
      <c r="K38">
        <f>VLOOKUP(Table9[[#This Row],[Shortname]], Comp[], 8, FALSE)</f>
        <v>30</v>
      </c>
      <c r="L38">
        <f>VLOOKUP(Table9[[#This Row],[Shortname]], Comp[], 9, FALSE)</f>
        <v>10</v>
      </c>
      <c r="M38">
        <f>VLOOKUP(Table9[[#This Row],[Shortname]], Comp[], 10, FALSE)</f>
        <v>0</v>
      </c>
      <c r="N38">
        <f>VLOOKUP(Table9[[#This Row],[Shortname]], Comp[], 11, FALSE)</f>
        <v>0</v>
      </c>
      <c r="O38">
        <f>VLOOKUP(Table9[[#This Row],[Shortname]], Comp[],12, FALSE)</f>
        <v>2</v>
      </c>
      <c r="P38">
        <f>VLOOKUP(Table9[[#This Row],[Shortname]], Comp[], 13, FALSE)</f>
        <v>4</v>
      </c>
      <c r="Q38">
        <f>VLOOKUP(Table9[[#This Row],[Shortname]], Comp[], 14, FALSE)</f>
        <v>0</v>
      </c>
      <c r="R38">
        <f>VLOOKUP(Table9[[#This Row],[Shortname]], Comp[], 15, FALSE)</f>
        <v>5</v>
      </c>
      <c r="S38">
        <f>VLOOKUP(Table9[[#This Row],[Shortname]], Comp[], 16, FALSE)</f>
        <v>0</v>
      </c>
      <c r="T38">
        <f>VLOOKUP(Table9[[#This Row],[Shortname]], Comp[], 17, FALSE)</f>
        <v>0</v>
      </c>
      <c r="U38">
        <f>VLOOKUP(Table9[[#This Row],[Shortname]], Comp[], 18, FALSE)</f>
        <v>0</v>
      </c>
      <c r="V38">
        <f>VLOOKUP(Table9[[#This Row],[Shortname]], Comp[], 19, FALSE)</f>
        <v>0</v>
      </c>
      <c r="W38">
        <f>VLOOKUP(Table9[[#This Row],[Shortname]], Comp[], 20, FALSE)</f>
        <v>0</v>
      </c>
      <c r="X38">
        <f>VLOOKUP(Table9[[#This Row],[Shortname]], Comp[], 21, FALSE)</f>
        <v>0</v>
      </c>
      <c r="Y38">
        <f>VLOOKUP(Table9[[#This Row],[Shortname]], Comp[], 22, FALSE)</f>
        <v>0</v>
      </c>
      <c r="Z38">
        <f>VLOOKUP(Table9[[#This Row],[Shortname]], Comp[], 23, FALSE)</f>
        <v>0</v>
      </c>
      <c r="AA38">
        <f>VLOOKUP(Table9[[#This Row],[Shortname]], Comp[], 24, FALSE)</f>
        <v>0</v>
      </c>
      <c r="AB38">
        <f>VLOOKUP(Table9[[#This Row],[Shortname]], Comp[], 25, FALSE)</f>
        <v>0</v>
      </c>
      <c r="AC38">
        <f>VLOOKUP(Table9[[#This Row],[Shortname]], Comp[], 26, FALSE)</f>
        <v>0</v>
      </c>
      <c r="AD38">
        <f>VLOOKUP(Table9[[#This Row],[Shortname]], Comp[], 27, FALSE)</f>
        <v>0</v>
      </c>
      <c r="AE38">
        <f>VLOOKUP(Table9[[#This Row],[Shortname]], Comp[], 28, FALSE)</f>
        <v>0</v>
      </c>
      <c r="AF38">
        <f>VLOOKUP(Table9[[#This Row],[Shortname]], Comp[], 29, FALSE)</f>
        <v>0</v>
      </c>
      <c r="AG38">
        <f>VLOOKUP(Table9[[#This Row],[Shortname]], Comp[], 30, FALSE)</f>
        <v>0</v>
      </c>
      <c r="AH38">
        <f>VLOOKUP(Table9[[#This Row],[Shortname]], Comp[], 31, FALSE)</f>
        <v>0</v>
      </c>
    </row>
    <row r="39" spans="1:34" x14ac:dyDescent="0.3">
      <c r="A39" t="s">
        <v>4933</v>
      </c>
      <c r="B39" t="s">
        <v>4935</v>
      </c>
      <c r="C39" t="s">
        <v>4936</v>
      </c>
      <c r="D39">
        <v>810</v>
      </c>
      <c r="E39">
        <v>850</v>
      </c>
      <c r="F39">
        <v>1E-4</v>
      </c>
      <c r="G39">
        <v>1</v>
      </c>
      <c r="H39" t="s">
        <v>6803</v>
      </c>
      <c r="I39">
        <f>VLOOKUP(Table9[[#This Row],[Shortname]], Comp[], 6, FALSE)</f>
        <v>753</v>
      </c>
      <c r="J39" s="14">
        <f>VLOOKUP(Table9[[#This Row],[Shortname]], Comp[], 7, FALSE)</f>
        <v>81.88</v>
      </c>
      <c r="K39">
        <f>VLOOKUP(Table9[[#This Row],[Shortname]], Comp[], 8, FALSE)</f>
        <v>0</v>
      </c>
      <c r="L39">
        <f>VLOOKUP(Table9[[#This Row],[Shortname]], Comp[], 9, FALSE)</f>
        <v>5.6</v>
      </c>
      <c r="M39">
        <f>VLOOKUP(Table9[[#This Row],[Shortname]], Comp[], 10, FALSE)</f>
        <v>0</v>
      </c>
      <c r="N39">
        <f>VLOOKUP(Table9[[#This Row],[Shortname]], Comp[], 11, FALSE)</f>
        <v>5.8</v>
      </c>
      <c r="O39">
        <f>VLOOKUP(Table9[[#This Row],[Shortname]], Comp[],12, FALSE)</f>
        <v>6.6</v>
      </c>
      <c r="P39">
        <f>VLOOKUP(Table9[[#This Row],[Shortname]], Comp[], 13, FALSE)</f>
        <v>0</v>
      </c>
      <c r="Q39">
        <f>VLOOKUP(Table9[[#This Row],[Shortname]], Comp[], 14, FALSE)</f>
        <v>0</v>
      </c>
      <c r="R39">
        <f>VLOOKUP(Table9[[#This Row],[Shortname]], Comp[], 15, FALSE)</f>
        <v>0</v>
      </c>
      <c r="S39">
        <f>VLOOKUP(Table9[[#This Row],[Shortname]], Comp[], 16, FALSE)</f>
        <v>0</v>
      </c>
      <c r="T39">
        <f>VLOOKUP(Table9[[#This Row],[Shortname]], Comp[], 17, FALSE)</f>
        <v>0</v>
      </c>
      <c r="U39">
        <f>VLOOKUP(Table9[[#This Row],[Shortname]], Comp[], 18, FALSE)</f>
        <v>0</v>
      </c>
      <c r="V39">
        <f>VLOOKUP(Table9[[#This Row],[Shortname]], Comp[], 19, FALSE)</f>
        <v>0.12</v>
      </c>
      <c r="W39">
        <f>VLOOKUP(Table9[[#This Row],[Shortname]], Comp[], 20, FALSE)</f>
        <v>0</v>
      </c>
      <c r="X39">
        <f>VLOOKUP(Table9[[#This Row],[Shortname]], Comp[], 21, FALSE)</f>
        <v>0</v>
      </c>
      <c r="Y39">
        <f>VLOOKUP(Table9[[#This Row],[Shortname]], Comp[], 22, FALSE)</f>
        <v>0</v>
      </c>
      <c r="Z39">
        <f>VLOOKUP(Table9[[#This Row],[Shortname]], Comp[], 23, FALSE)</f>
        <v>0</v>
      </c>
      <c r="AA39">
        <f>VLOOKUP(Table9[[#This Row],[Shortname]], Comp[], 24, FALSE)</f>
        <v>0</v>
      </c>
      <c r="AB39">
        <f>VLOOKUP(Table9[[#This Row],[Shortname]], Comp[], 25, FALSE)</f>
        <v>0</v>
      </c>
      <c r="AC39">
        <f>VLOOKUP(Table9[[#This Row],[Shortname]], Comp[], 26, FALSE)</f>
        <v>0</v>
      </c>
      <c r="AD39">
        <f>VLOOKUP(Table9[[#This Row],[Shortname]], Comp[], 27, FALSE)</f>
        <v>0</v>
      </c>
      <c r="AE39">
        <f>VLOOKUP(Table9[[#This Row],[Shortname]], Comp[], 28, FALSE)</f>
        <v>0</v>
      </c>
      <c r="AF39">
        <f>VLOOKUP(Table9[[#This Row],[Shortname]], Comp[], 29, FALSE)</f>
        <v>0</v>
      </c>
      <c r="AG39">
        <f>VLOOKUP(Table9[[#This Row],[Shortname]], Comp[], 30, FALSE)</f>
        <v>0</v>
      </c>
      <c r="AH39">
        <f>VLOOKUP(Table9[[#This Row],[Shortname]], Comp[], 31, FALSE)</f>
        <v>0</v>
      </c>
    </row>
    <row r="40" spans="1:34" x14ac:dyDescent="0.3">
      <c r="A40" t="s">
        <v>513</v>
      </c>
      <c r="B40" t="s">
        <v>6692</v>
      </c>
      <c r="C40" t="s">
        <v>499</v>
      </c>
      <c r="D40">
        <v>807</v>
      </c>
      <c r="E40">
        <v>750</v>
      </c>
      <c r="F40">
        <v>1E-4</v>
      </c>
      <c r="G40">
        <v>1</v>
      </c>
      <c r="I40">
        <f>VLOOKUP(Table9[[#This Row],[Shortname]], Comp[], 6, FALSE)</f>
        <v>67</v>
      </c>
      <c r="J40" s="14">
        <f>VLOOKUP(Table9[[#This Row],[Shortname]], Comp[], 7, FALSE)</f>
        <v>72.5</v>
      </c>
      <c r="K40">
        <f>VLOOKUP(Table9[[#This Row],[Shortname]], Comp[], 8, FALSE)</f>
        <v>10</v>
      </c>
      <c r="L40">
        <f>VLOOKUP(Table9[[#This Row],[Shortname]], Comp[], 9, FALSE)</f>
        <v>4.5</v>
      </c>
      <c r="M40">
        <f>VLOOKUP(Table9[[#This Row],[Shortname]], Comp[], 10, FALSE)</f>
        <v>0</v>
      </c>
      <c r="N40">
        <f>VLOOKUP(Table9[[#This Row],[Shortname]], Comp[], 11, FALSE)</f>
        <v>5.2</v>
      </c>
      <c r="O40">
        <f>VLOOKUP(Table9[[#This Row],[Shortname]], Comp[],12, FALSE)</f>
        <v>7.8</v>
      </c>
      <c r="P40">
        <f>VLOOKUP(Table9[[#This Row],[Shortname]], Comp[], 13, FALSE)</f>
        <v>0</v>
      </c>
      <c r="Q40">
        <f>VLOOKUP(Table9[[#This Row],[Shortname]], Comp[], 14, FALSE)</f>
        <v>0</v>
      </c>
      <c r="R40">
        <f>VLOOKUP(Table9[[#This Row],[Shortname]], Comp[], 15, FALSE)</f>
        <v>0</v>
      </c>
      <c r="S40">
        <f>VLOOKUP(Table9[[#This Row],[Shortname]], Comp[], 16, FALSE)</f>
        <v>0</v>
      </c>
      <c r="T40">
        <f>VLOOKUP(Table9[[#This Row],[Shortname]], Comp[], 17, FALSE)</f>
        <v>0</v>
      </c>
      <c r="U40">
        <f>VLOOKUP(Table9[[#This Row],[Shortname]], Comp[], 18, FALSE)</f>
        <v>0</v>
      </c>
      <c r="V40">
        <f>VLOOKUP(Table9[[#This Row],[Shortname]], Comp[], 19, FALSE)</f>
        <v>0</v>
      </c>
      <c r="W40">
        <f>VLOOKUP(Table9[[#This Row],[Shortname]], Comp[], 20, FALSE)</f>
        <v>0</v>
      </c>
      <c r="X40">
        <f>VLOOKUP(Table9[[#This Row],[Shortname]], Comp[], 21, FALSE)</f>
        <v>0</v>
      </c>
      <c r="Y40">
        <f>VLOOKUP(Table9[[#This Row],[Shortname]], Comp[], 22, FALSE)</f>
        <v>0</v>
      </c>
      <c r="Z40">
        <f>VLOOKUP(Table9[[#This Row],[Shortname]], Comp[], 23, FALSE)</f>
        <v>0</v>
      </c>
      <c r="AA40">
        <f>VLOOKUP(Table9[[#This Row],[Shortname]], Comp[], 24, FALSE)</f>
        <v>0</v>
      </c>
      <c r="AB40">
        <f>VLOOKUP(Table9[[#This Row],[Shortname]], Comp[], 25, FALSE)</f>
        <v>0</v>
      </c>
      <c r="AC40">
        <f>VLOOKUP(Table9[[#This Row],[Shortname]], Comp[], 26, FALSE)</f>
        <v>0</v>
      </c>
      <c r="AD40">
        <f>VLOOKUP(Table9[[#This Row],[Shortname]], Comp[], 27, FALSE)</f>
        <v>0</v>
      </c>
      <c r="AE40">
        <f>VLOOKUP(Table9[[#This Row],[Shortname]], Comp[], 28, FALSE)</f>
        <v>0</v>
      </c>
      <c r="AF40">
        <f>VLOOKUP(Table9[[#This Row],[Shortname]], Comp[], 29, FALSE)</f>
        <v>0</v>
      </c>
      <c r="AG40">
        <f>VLOOKUP(Table9[[#This Row],[Shortname]], Comp[], 30, FALSE)</f>
        <v>0</v>
      </c>
      <c r="AH40">
        <f>VLOOKUP(Table9[[#This Row],[Shortname]], Comp[], 31, FALSE)</f>
        <v>0</v>
      </c>
    </row>
    <row r="41" spans="1:34" x14ac:dyDescent="0.3">
      <c r="A41" t="s">
        <v>1538</v>
      </c>
      <c r="B41" t="s">
        <v>1540</v>
      </c>
      <c r="C41" t="s">
        <v>6801</v>
      </c>
      <c r="D41">
        <v>806</v>
      </c>
      <c r="E41">
        <v>600</v>
      </c>
      <c r="F41" t="s">
        <v>6802</v>
      </c>
      <c r="G41">
        <v>1</v>
      </c>
      <c r="H41" t="s">
        <v>6803</v>
      </c>
      <c r="I41">
        <f>VLOOKUP(Table9[[#This Row],[Shortname]], Comp[], 6, FALSE)</f>
        <v>196</v>
      </c>
      <c r="J41" s="14">
        <f>VLOOKUP(Table9[[#This Row],[Shortname]], Comp[], 7, FALSE)</f>
        <v>41.03</v>
      </c>
      <c r="K41">
        <f>VLOOKUP(Table9[[#This Row],[Shortname]], Comp[], 8, FALSE)</f>
        <v>31.8</v>
      </c>
      <c r="L41">
        <f>VLOOKUP(Table9[[#This Row],[Shortname]], Comp[], 9, FALSE)</f>
        <v>8.6999999999999993</v>
      </c>
      <c r="M41">
        <f>VLOOKUP(Table9[[#This Row],[Shortname]], Comp[], 10, FALSE)</f>
        <v>12.6</v>
      </c>
      <c r="N41">
        <f>VLOOKUP(Table9[[#This Row],[Shortname]], Comp[], 11, FALSE)</f>
        <v>4.7</v>
      </c>
      <c r="O41">
        <f>VLOOKUP(Table9[[#This Row],[Shortname]], Comp[],12, FALSE)</f>
        <v>0.3</v>
      </c>
      <c r="P41">
        <f>VLOOKUP(Table9[[#This Row],[Shortname]], Comp[], 13, FALSE)</f>
        <v>0.2</v>
      </c>
      <c r="Q41">
        <f>VLOOKUP(Table9[[#This Row],[Shortname]], Comp[], 14, FALSE)</f>
        <v>0</v>
      </c>
      <c r="R41">
        <f>VLOOKUP(Table9[[#This Row],[Shortname]], Comp[], 15, FALSE)</f>
        <v>0</v>
      </c>
      <c r="S41">
        <f>VLOOKUP(Table9[[#This Row],[Shortname]], Comp[], 16, FALSE)</f>
        <v>0</v>
      </c>
      <c r="T41">
        <f>VLOOKUP(Table9[[#This Row],[Shortname]], Comp[], 17, FALSE)</f>
        <v>0.08</v>
      </c>
      <c r="U41">
        <f>VLOOKUP(Table9[[#This Row],[Shortname]], Comp[], 18, FALSE)</f>
        <v>0.01</v>
      </c>
      <c r="V41">
        <f>VLOOKUP(Table9[[#This Row],[Shortname]], Comp[], 19, FALSE)</f>
        <v>0.08</v>
      </c>
      <c r="W41">
        <f>VLOOKUP(Table9[[#This Row],[Shortname]], Comp[], 20, FALSE)</f>
        <v>0</v>
      </c>
      <c r="X41">
        <f>VLOOKUP(Table9[[#This Row],[Shortname]], Comp[], 21, FALSE)</f>
        <v>0</v>
      </c>
      <c r="Y41">
        <f>VLOOKUP(Table9[[#This Row],[Shortname]], Comp[], 22, FALSE)</f>
        <v>0.4</v>
      </c>
      <c r="Z41">
        <f>VLOOKUP(Table9[[#This Row],[Shortname]], Comp[], 23, FALSE)</f>
        <v>0</v>
      </c>
      <c r="AA41">
        <f>VLOOKUP(Table9[[#This Row],[Shortname]], Comp[], 24, FALSE)</f>
        <v>0</v>
      </c>
      <c r="AB41">
        <f>VLOOKUP(Table9[[#This Row],[Shortname]], Comp[], 25, FALSE)</f>
        <v>0.1</v>
      </c>
      <c r="AC41">
        <f>VLOOKUP(Table9[[#This Row],[Shortname]], Comp[], 26, FALSE)</f>
        <v>0</v>
      </c>
      <c r="AD41">
        <f>VLOOKUP(Table9[[#This Row],[Shortname]], Comp[], 27, FALSE)</f>
        <v>0</v>
      </c>
      <c r="AE41">
        <f>VLOOKUP(Table9[[#This Row],[Shortname]], Comp[], 28, FALSE)</f>
        <v>0</v>
      </c>
      <c r="AF41">
        <f>VLOOKUP(Table9[[#This Row],[Shortname]], Comp[], 29, FALSE)</f>
        <v>0</v>
      </c>
      <c r="AG41">
        <f>VLOOKUP(Table9[[#This Row],[Shortname]], Comp[], 30, FALSE)</f>
        <v>0</v>
      </c>
      <c r="AH41">
        <f>VLOOKUP(Table9[[#This Row],[Shortname]], Comp[], 31, FALSE)</f>
        <v>0</v>
      </c>
    </row>
    <row r="42" spans="1:34" x14ac:dyDescent="0.3">
      <c r="A42" t="s">
        <v>1538</v>
      </c>
      <c r="B42" t="s">
        <v>1540</v>
      </c>
      <c r="C42" t="s">
        <v>6801</v>
      </c>
      <c r="D42">
        <v>797</v>
      </c>
      <c r="E42">
        <v>750</v>
      </c>
      <c r="F42" t="s">
        <v>6802</v>
      </c>
      <c r="G42">
        <v>1</v>
      </c>
      <c r="H42" t="s">
        <v>6803</v>
      </c>
      <c r="I42">
        <f>VLOOKUP(Table9[[#This Row],[Shortname]], Comp[], 6, FALSE)</f>
        <v>196</v>
      </c>
      <c r="J42" s="14">
        <f>VLOOKUP(Table9[[#This Row],[Shortname]], Comp[], 7, FALSE)</f>
        <v>41.03</v>
      </c>
      <c r="K42">
        <f>VLOOKUP(Table9[[#This Row],[Shortname]], Comp[], 8, FALSE)</f>
        <v>31.8</v>
      </c>
      <c r="L42">
        <f>VLOOKUP(Table9[[#This Row],[Shortname]], Comp[], 9, FALSE)</f>
        <v>8.6999999999999993</v>
      </c>
      <c r="M42">
        <f>VLOOKUP(Table9[[#This Row],[Shortname]], Comp[], 10, FALSE)</f>
        <v>12.6</v>
      </c>
      <c r="N42">
        <f>VLOOKUP(Table9[[#This Row],[Shortname]], Comp[], 11, FALSE)</f>
        <v>4.7</v>
      </c>
      <c r="O42">
        <f>VLOOKUP(Table9[[#This Row],[Shortname]], Comp[],12, FALSE)</f>
        <v>0.3</v>
      </c>
      <c r="P42">
        <f>VLOOKUP(Table9[[#This Row],[Shortname]], Comp[], 13, FALSE)</f>
        <v>0.2</v>
      </c>
      <c r="Q42">
        <f>VLOOKUP(Table9[[#This Row],[Shortname]], Comp[], 14, FALSE)</f>
        <v>0</v>
      </c>
      <c r="R42">
        <f>VLOOKUP(Table9[[#This Row],[Shortname]], Comp[], 15, FALSE)</f>
        <v>0</v>
      </c>
      <c r="S42">
        <f>VLOOKUP(Table9[[#This Row],[Shortname]], Comp[], 16, FALSE)</f>
        <v>0</v>
      </c>
      <c r="T42">
        <f>VLOOKUP(Table9[[#This Row],[Shortname]], Comp[], 17, FALSE)</f>
        <v>0.08</v>
      </c>
      <c r="U42">
        <f>VLOOKUP(Table9[[#This Row],[Shortname]], Comp[], 18, FALSE)</f>
        <v>0.01</v>
      </c>
      <c r="V42">
        <f>VLOOKUP(Table9[[#This Row],[Shortname]], Comp[], 19, FALSE)</f>
        <v>0.08</v>
      </c>
      <c r="W42">
        <f>VLOOKUP(Table9[[#This Row],[Shortname]], Comp[], 20, FALSE)</f>
        <v>0</v>
      </c>
      <c r="X42">
        <f>VLOOKUP(Table9[[#This Row],[Shortname]], Comp[], 21, FALSE)</f>
        <v>0</v>
      </c>
      <c r="Y42">
        <f>VLOOKUP(Table9[[#This Row],[Shortname]], Comp[], 22, FALSE)</f>
        <v>0.4</v>
      </c>
      <c r="Z42">
        <f>VLOOKUP(Table9[[#This Row],[Shortname]], Comp[], 23, FALSE)</f>
        <v>0</v>
      </c>
      <c r="AA42">
        <f>VLOOKUP(Table9[[#This Row],[Shortname]], Comp[], 24, FALSE)</f>
        <v>0</v>
      </c>
      <c r="AB42">
        <f>VLOOKUP(Table9[[#This Row],[Shortname]], Comp[], 25, FALSE)</f>
        <v>0.1</v>
      </c>
      <c r="AC42">
        <f>VLOOKUP(Table9[[#This Row],[Shortname]], Comp[], 26, FALSE)</f>
        <v>0</v>
      </c>
      <c r="AD42">
        <f>VLOOKUP(Table9[[#This Row],[Shortname]], Comp[], 27, FALSE)</f>
        <v>0</v>
      </c>
      <c r="AE42">
        <f>VLOOKUP(Table9[[#This Row],[Shortname]], Comp[], 28, FALSE)</f>
        <v>0</v>
      </c>
      <c r="AF42">
        <f>VLOOKUP(Table9[[#This Row],[Shortname]], Comp[], 29, FALSE)</f>
        <v>0</v>
      </c>
      <c r="AG42">
        <f>VLOOKUP(Table9[[#This Row],[Shortname]], Comp[], 30, FALSE)</f>
        <v>0</v>
      </c>
      <c r="AH42">
        <f>VLOOKUP(Table9[[#This Row],[Shortname]], Comp[], 31, FALSE)</f>
        <v>0</v>
      </c>
    </row>
    <row r="43" spans="1:34" x14ac:dyDescent="0.3">
      <c r="A43" t="s">
        <v>1788</v>
      </c>
      <c r="B43" t="s">
        <v>1790</v>
      </c>
      <c r="C43" t="s">
        <v>1791</v>
      </c>
      <c r="D43">
        <v>790</v>
      </c>
      <c r="E43">
        <v>650</v>
      </c>
      <c r="F43">
        <v>1E-3</v>
      </c>
      <c r="G43">
        <v>1</v>
      </c>
      <c r="I43">
        <f>VLOOKUP(Table9[[#This Row],[Shortname]], Comp[], 6, FALSE)</f>
        <v>231</v>
      </c>
      <c r="J43" s="14">
        <f>VLOOKUP(Table9[[#This Row],[Shortname]], Comp[], 7, FALSE)</f>
        <v>36.11</v>
      </c>
      <c r="K43">
        <f>VLOOKUP(Table9[[#This Row],[Shortname]], Comp[], 8, FALSE)</f>
        <v>34.200000000000003</v>
      </c>
      <c r="L43">
        <f>VLOOKUP(Table9[[#This Row],[Shortname]], Comp[], 9, FALSE)</f>
        <v>10.5</v>
      </c>
      <c r="M43">
        <f>VLOOKUP(Table9[[#This Row],[Shortname]], Comp[], 10, FALSE)</f>
        <v>14.8</v>
      </c>
      <c r="N43">
        <f>VLOOKUP(Table9[[#This Row],[Shortname]], Comp[], 11, FALSE)</f>
        <v>3</v>
      </c>
      <c r="O43">
        <f>VLOOKUP(Table9[[#This Row],[Shortname]], Comp[],12, FALSE)</f>
        <v>0</v>
      </c>
      <c r="P43">
        <f>VLOOKUP(Table9[[#This Row],[Shortname]], Comp[], 13, FALSE)</f>
        <v>1</v>
      </c>
      <c r="Q43">
        <f>VLOOKUP(Table9[[#This Row],[Shortname]], Comp[], 14, FALSE)</f>
        <v>0</v>
      </c>
      <c r="R43">
        <f>VLOOKUP(Table9[[#This Row],[Shortname]], Comp[], 15, FALSE)</f>
        <v>0</v>
      </c>
      <c r="S43">
        <f>VLOOKUP(Table9[[#This Row],[Shortname]], Comp[], 16, FALSE)</f>
        <v>0</v>
      </c>
      <c r="T43">
        <f>VLOOKUP(Table9[[#This Row],[Shortname]], Comp[], 17, FALSE)</f>
        <v>0.15</v>
      </c>
      <c r="U43">
        <f>VLOOKUP(Table9[[#This Row],[Shortname]], Comp[], 18, FALSE)</f>
        <v>0.04</v>
      </c>
      <c r="V43">
        <f>VLOOKUP(Table9[[#This Row],[Shortname]], Comp[], 19, FALSE)</f>
        <v>0.2</v>
      </c>
      <c r="W43">
        <f>VLOOKUP(Table9[[#This Row],[Shortname]], Comp[], 20, FALSE)</f>
        <v>0</v>
      </c>
      <c r="X43">
        <f>VLOOKUP(Table9[[#This Row],[Shortname]], Comp[], 21, FALSE)</f>
        <v>0</v>
      </c>
      <c r="Y43">
        <f>VLOOKUP(Table9[[#This Row],[Shortname]], Comp[], 22, FALSE)</f>
        <v>0</v>
      </c>
      <c r="Z43">
        <f>VLOOKUP(Table9[[#This Row],[Shortname]], Comp[], 23, FALSE)</f>
        <v>0</v>
      </c>
      <c r="AA43">
        <f>VLOOKUP(Table9[[#This Row],[Shortname]], Comp[], 24, FALSE)</f>
        <v>0</v>
      </c>
      <c r="AB43">
        <f>VLOOKUP(Table9[[#This Row],[Shortname]], Comp[], 25, FALSE)</f>
        <v>0</v>
      </c>
      <c r="AC43">
        <f>VLOOKUP(Table9[[#This Row],[Shortname]], Comp[], 26, FALSE)</f>
        <v>0</v>
      </c>
      <c r="AD43">
        <f>VLOOKUP(Table9[[#This Row],[Shortname]], Comp[], 27, FALSE)</f>
        <v>0</v>
      </c>
      <c r="AE43">
        <f>VLOOKUP(Table9[[#This Row],[Shortname]], Comp[], 28, FALSE)</f>
        <v>0</v>
      </c>
      <c r="AF43">
        <f>VLOOKUP(Table9[[#This Row],[Shortname]], Comp[], 29, FALSE)</f>
        <v>0</v>
      </c>
      <c r="AG43">
        <f>VLOOKUP(Table9[[#This Row],[Shortname]], Comp[], 30, FALSE)</f>
        <v>0</v>
      </c>
      <c r="AH43">
        <f>VLOOKUP(Table9[[#This Row],[Shortname]], Comp[], 31, FALSE)</f>
        <v>0</v>
      </c>
    </row>
    <row r="44" spans="1:34" x14ac:dyDescent="0.3">
      <c r="A44" t="s">
        <v>4933</v>
      </c>
      <c r="B44" t="s">
        <v>4935</v>
      </c>
      <c r="C44" t="s">
        <v>4936</v>
      </c>
      <c r="D44">
        <v>784</v>
      </c>
      <c r="E44">
        <v>750</v>
      </c>
      <c r="F44">
        <v>1E-4</v>
      </c>
      <c r="G44">
        <v>1</v>
      </c>
      <c r="H44" t="s">
        <v>6803</v>
      </c>
      <c r="I44">
        <f>VLOOKUP(Table9[[#This Row],[Shortname]], Comp[], 6, FALSE)</f>
        <v>753</v>
      </c>
      <c r="J44" s="14">
        <f>VLOOKUP(Table9[[#This Row],[Shortname]], Comp[], 7, FALSE)</f>
        <v>81.88</v>
      </c>
      <c r="K44">
        <f>VLOOKUP(Table9[[#This Row],[Shortname]], Comp[], 8, FALSE)</f>
        <v>0</v>
      </c>
      <c r="L44">
        <f>VLOOKUP(Table9[[#This Row],[Shortname]], Comp[], 9, FALSE)</f>
        <v>5.6</v>
      </c>
      <c r="M44">
        <f>VLOOKUP(Table9[[#This Row],[Shortname]], Comp[], 10, FALSE)</f>
        <v>0</v>
      </c>
      <c r="N44">
        <f>VLOOKUP(Table9[[#This Row],[Shortname]], Comp[], 11, FALSE)</f>
        <v>5.8</v>
      </c>
      <c r="O44">
        <f>VLOOKUP(Table9[[#This Row],[Shortname]], Comp[],12, FALSE)</f>
        <v>6.6</v>
      </c>
      <c r="P44">
        <f>VLOOKUP(Table9[[#This Row],[Shortname]], Comp[], 13, FALSE)</f>
        <v>0</v>
      </c>
      <c r="Q44">
        <f>VLOOKUP(Table9[[#This Row],[Shortname]], Comp[], 14, FALSE)</f>
        <v>0</v>
      </c>
      <c r="R44">
        <f>VLOOKUP(Table9[[#This Row],[Shortname]], Comp[], 15, FALSE)</f>
        <v>0</v>
      </c>
      <c r="S44">
        <f>VLOOKUP(Table9[[#This Row],[Shortname]], Comp[], 16, FALSE)</f>
        <v>0</v>
      </c>
      <c r="T44">
        <f>VLOOKUP(Table9[[#This Row],[Shortname]], Comp[], 17, FALSE)</f>
        <v>0</v>
      </c>
      <c r="U44">
        <f>VLOOKUP(Table9[[#This Row],[Shortname]], Comp[], 18, FALSE)</f>
        <v>0</v>
      </c>
      <c r="V44">
        <f>VLOOKUP(Table9[[#This Row],[Shortname]], Comp[], 19, FALSE)</f>
        <v>0.12</v>
      </c>
      <c r="W44">
        <f>VLOOKUP(Table9[[#This Row],[Shortname]], Comp[], 20, FALSE)</f>
        <v>0</v>
      </c>
      <c r="X44">
        <f>VLOOKUP(Table9[[#This Row],[Shortname]], Comp[], 21, FALSE)</f>
        <v>0</v>
      </c>
      <c r="Y44">
        <f>VLOOKUP(Table9[[#This Row],[Shortname]], Comp[], 22, FALSE)</f>
        <v>0</v>
      </c>
      <c r="Z44">
        <f>VLOOKUP(Table9[[#This Row],[Shortname]], Comp[], 23, FALSE)</f>
        <v>0</v>
      </c>
      <c r="AA44">
        <f>VLOOKUP(Table9[[#This Row],[Shortname]], Comp[], 24, FALSE)</f>
        <v>0</v>
      </c>
      <c r="AB44">
        <f>VLOOKUP(Table9[[#This Row],[Shortname]], Comp[], 25, FALSE)</f>
        <v>0</v>
      </c>
      <c r="AC44">
        <f>VLOOKUP(Table9[[#This Row],[Shortname]], Comp[], 26, FALSE)</f>
        <v>0</v>
      </c>
      <c r="AD44">
        <f>VLOOKUP(Table9[[#This Row],[Shortname]], Comp[], 27, FALSE)</f>
        <v>0</v>
      </c>
      <c r="AE44">
        <f>VLOOKUP(Table9[[#This Row],[Shortname]], Comp[], 28, FALSE)</f>
        <v>0</v>
      </c>
      <c r="AF44">
        <f>VLOOKUP(Table9[[#This Row],[Shortname]], Comp[], 29, FALSE)</f>
        <v>0</v>
      </c>
      <c r="AG44">
        <f>VLOOKUP(Table9[[#This Row],[Shortname]], Comp[], 30, FALSE)</f>
        <v>0</v>
      </c>
      <c r="AH44">
        <f>VLOOKUP(Table9[[#This Row],[Shortname]], Comp[], 31, FALSE)</f>
        <v>0</v>
      </c>
    </row>
    <row r="45" spans="1:34" x14ac:dyDescent="0.3">
      <c r="A45" t="s">
        <v>513</v>
      </c>
      <c r="B45" t="s">
        <v>6692</v>
      </c>
      <c r="C45" t="s">
        <v>499</v>
      </c>
      <c r="D45">
        <v>776</v>
      </c>
      <c r="E45">
        <v>800</v>
      </c>
      <c r="F45">
        <v>1E-4</v>
      </c>
      <c r="G45">
        <v>1</v>
      </c>
      <c r="I45">
        <f>VLOOKUP(Table9[[#This Row],[Shortname]], Comp[], 6, FALSE)</f>
        <v>67</v>
      </c>
      <c r="J45" s="14">
        <f>VLOOKUP(Table9[[#This Row],[Shortname]], Comp[], 7, FALSE)</f>
        <v>72.5</v>
      </c>
      <c r="K45">
        <f>VLOOKUP(Table9[[#This Row],[Shortname]], Comp[], 8, FALSE)</f>
        <v>10</v>
      </c>
      <c r="L45">
        <f>VLOOKUP(Table9[[#This Row],[Shortname]], Comp[], 9, FALSE)</f>
        <v>4.5</v>
      </c>
      <c r="M45">
        <f>VLOOKUP(Table9[[#This Row],[Shortname]], Comp[], 10, FALSE)</f>
        <v>0</v>
      </c>
      <c r="N45">
        <f>VLOOKUP(Table9[[#This Row],[Shortname]], Comp[], 11, FALSE)</f>
        <v>5.2</v>
      </c>
      <c r="O45">
        <f>VLOOKUP(Table9[[#This Row],[Shortname]], Comp[],12, FALSE)</f>
        <v>7.8</v>
      </c>
      <c r="P45">
        <f>VLOOKUP(Table9[[#This Row],[Shortname]], Comp[], 13, FALSE)</f>
        <v>0</v>
      </c>
      <c r="Q45">
        <f>VLOOKUP(Table9[[#This Row],[Shortname]], Comp[], 14, FALSE)</f>
        <v>0</v>
      </c>
      <c r="R45">
        <f>VLOOKUP(Table9[[#This Row],[Shortname]], Comp[], 15, FALSE)</f>
        <v>0</v>
      </c>
      <c r="S45">
        <f>VLOOKUP(Table9[[#This Row],[Shortname]], Comp[], 16, FALSE)</f>
        <v>0</v>
      </c>
      <c r="T45">
        <f>VLOOKUP(Table9[[#This Row],[Shortname]], Comp[], 17, FALSE)</f>
        <v>0</v>
      </c>
      <c r="U45">
        <f>VLOOKUP(Table9[[#This Row],[Shortname]], Comp[], 18, FALSE)</f>
        <v>0</v>
      </c>
      <c r="V45">
        <f>VLOOKUP(Table9[[#This Row],[Shortname]], Comp[], 19, FALSE)</f>
        <v>0</v>
      </c>
      <c r="W45">
        <f>VLOOKUP(Table9[[#This Row],[Shortname]], Comp[], 20, FALSE)</f>
        <v>0</v>
      </c>
      <c r="X45">
        <f>VLOOKUP(Table9[[#This Row],[Shortname]], Comp[], 21, FALSE)</f>
        <v>0</v>
      </c>
      <c r="Y45">
        <f>VLOOKUP(Table9[[#This Row],[Shortname]], Comp[], 22, FALSE)</f>
        <v>0</v>
      </c>
      <c r="Z45">
        <f>VLOOKUP(Table9[[#This Row],[Shortname]], Comp[], 23, FALSE)</f>
        <v>0</v>
      </c>
      <c r="AA45">
        <f>VLOOKUP(Table9[[#This Row],[Shortname]], Comp[], 24, FALSE)</f>
        <v>0</v>
      </c>
      <c r="AB45">
        <f>VLOOKUP(Table9[[#This Row],[Shortname]], Comp[], 25, FALSE)</f>
        <v>0</v>
      </c>
      <c r="AC45">
        <f>VLOOKUP(Table9[[#This Row],[Shortname]], Comp[], 26, FALSE)</f>
        <v>0</v>
      </c>
      <c r="AD45">
        <f>VLOOKUP(Table9[[#This Row],[Shortname]], Comp[], 27, FALSE)</f>
        <v>0</v>
      </c>
      <c r="AE45">
        <f>VLOOKUP(Table9[[#This Row],[Shortname]], Comp[], 28, FALSE)</f>
        <v>0</v>
      </c>
      <c r="AF45">
        <f>VLOOKUP(Table9[[#This Row],[Shortname]], Comp[], 29, FALSE)</f>
        <v>0</v>
      </c>
      <c r="AG45">
        <f>VLOOKUP(Table9[[#This Row],[Shortname]], Comp[], 30, FALSE)</f>
        <v>0</v>
      </c>
      <c r="AH45">
        <f>VLOOKUP(Table9[[#This Row],[Shortname]], Comp[], 31, FALSE)</f>
        <v>0</v>
      </c>
    </row>
    <row r="46" spans="1:34" x14ac:dyDescent="0.3">
      <c r="A46" t="s">
        <v>2848</v>
      </c>
      <c r="B46" t="s">
        <v>2850</v>
      </c>
      <c r="C46" t="s">
        <v>2851</v>
      </c>
      <c r="D46">
        <v>770</v>
      </c>
      <c r="E46">
        <v>770</v>
      </c>
      <c r="F46">
        <v>1E-3</v>
      </c>
      <c r="G46">
        <v>1</v>
      </c>
      <c r="H46" t="s">
        <v>6803</v>
      </c>
      <c r="I46">
        <f>VLOOKUP(Table9[[#This Row],[Shortname]], Comp[], 6, FALSE)</f>
        <v>385</v>
      </c>
      <c r="J46" s="14">
        <f>VLOOKUP(Table9[[#This Row],[Shortname]], Comp[], 7, FALSE)</f>
        <v>37.900000000000013</v>
      </c>
      <c r="K46">
        <f>VLOOKUP(Table9[[#This Row],[Shortname]], Comp[], 8, FALSE)</f>
        <v>35.4</v>
      </c>
      <c r="L46">
        <f>VLOOKUP(Table9[[#This Row],[Shortname]], Comp[], 9, FALSE)</f>
        <v>9.6999999999999993</v>
      </c>
      <c r="M46">
        <f>VLOOKUP(Table9[[#This Row],[Shortname]], Comp[], 10, FALSE)</f>
        <v>6</v>
      </c>
      <c r="N46">
        <f>VLOOKUP(Table9[[#This Row],[Shortname]], Comp[], 11, FALSE)</f>
        <v>0</v>
      </c>
      <c r="O46">
        <f>VLOOKUP(Table9[[#This Row],[Shortname]], Comp[],12, FALSE)</f>
        <v>3.4</v>
      </c>
      <c r="P46">
        <f>VLOOKUP(Table9[[#This Row],[Shortname]], Comp[], 13, FALSE)</f>
        <v>2.8</v>
      </c>
      <c r="Q46">
        <f>VLOOKUP(Table9[[#This Row],[Shortname]], Comp[], 14, FALSE)</f>
        <v>0</v>
      </c>
      <c r="R46">
        <f>VLOOKUP(Table9[[#This Row],[Shortname]], Comp[], 15, FALSE)</f>
        <v>0</v>
      </c>
      <c r="S46">
        <f>VLOOKUP(Table9[[#This Row],[Shortname]], Comp[], 16, FALSE)</f>
        <v>4.8</v>
      </c>
      <c r="T46">
        <f>VLOOKUP(Table9[[#This Row],[Shortname]], Comp[], 17, FALSE)</f>
        <v>0</v>
      </c>
      <c r="U46">
        <f>VLOOKUP(Table9[[#This Row],[Shortname]], Comp[], 18, FALSE)</f>
        <v>0</v>
      </c>
      <c r="V46">
        <f>VLOOKUP(Table9[[#This Row],[Shortname]], Comp[], 19, FALSE)</f>
        <v>0</v>
      </c>
      <c r="W46">
        <f>VLOOKUP(Table9[[#This Row],[Shortname]], Comp[], 20, FALSE)</f>
        <v>0</v>
      </c>
      <c r="X46">
        <f>VLOOKUP(Table9[[#This Row],[Shortname]], Comp[], 21, FALSE)</f>
        <v>0</v>
      </c>
      <c r="Y46">
        <f>VLOOKUP(Table9[[#This Row],[Shortname]], Comp[], 22, FALSE)</f>
        <v>0</v>
      </c>
      <c r="Z46">
        <f>VLOOKUP(Table9[[#This Row],[Shortname]], Comp[], 23, FALSE)</f>
        <v>0</v>
      </c>
      <c r="AA46">
        <f>VLOOKUP(Table9[[#This Row],[Shortname]], Comp[], 24, FALSE)</f>
        <v>0</v>
      </c>
      <c r="AB46">
        <f>VLOOKUP(Table9[[#This Row],[Shortname]], Comp[], 25, FALSE)</f>
        <v>0</v>
      </c>
      <c r="AC46">
        <f>VLOOKUP(Table9[[#This Row],[Shortname]], Comp[], 26, FALSE)</f>
        <v>0</v>
      </c>
      <c r="AD46">
        <f>VLOOKUP(Table9[[#This Row],[Shortname]], Comp[], 27, FALSE)</f>
        <v>0</v>
      </c>
      <c r="AE46">
        <f>VLOOKUP(Table9[[#This Row],[Shortname]], Comp[], 28, FALSE)</f>
        <v>0</v>
      </c>
      <c r="AF46">
        <f>VLOOKUP(Table9[[#This Row],[Shortname]], Comp[], 29, FALSE)</f>
        <v>0</v>
      </c>
      <c r="AG46">
        <f>VLOOKUP(Table9[[#This Row],[Shortname]], Comp[], 30, FALSE)</f>
        <v>0</v>
      </c>
      <c r="AH46">
        <f>VLOOKUP(Table9[[#This Row],[Shortname]], Comp[], 31, FALSE)</f>
        <v>0</v>
      </c>
    </row>
    <row r="47" spans="1:34" x14ac:dyDescent="0.3">
      <c r="A47" t="s">
        <v>3420</v>
      </c>
      <c r="B47" t="s">
        <v>3420</v>
      </c>
      <c r="C47" t="s">
        <v>3401</v>
      </c>
      <c r="D47">
        <v>767</v>
      </c>
      <c r="E47">
        <v>25</v>
      </c>
      <c r="F47">
        <v>2.0000000000000001E-4</v>
      </c>
      <c r="G47">
        <v>1</v>
      </c>
      <c r="H47" t="s">
        <v>6803</v>
      </c>
      <c r="I47">
        <f>VLOOKUP(Table9[[#This Row],[Shortname]], Comp[], 6, FALSE)</f>
        <v>486</v>
      </c>
      <c r="J47" s="14">
        <f>VLOOKUP(Table9[[#This Row],[Shortname]], Comp[], 7, FALSE)</f>
        <v>80.3</v>
      </c>
      <c r="K47">
        <f>VLOOKUP(Table9[[#This Row],[Shortname]], Comp[], 8, FALSE)</f>
        <v>0</v>
      </c>
      <c r="L47">
        <f>VLOOKUP(Table9[[#This Row],[Shortname]], Comp[], 9, FALSE)</f>
        <v>9.3000000000000007</v>
      </c>
      <c r="M47">
        <f>VLOOKUP(Table9[[#This Row],[Shortname]], Comp[], 10, FALSE)</f>
        <v>0</v>
      </c>
      <c r="N47">
        <f>VLOOKUP(Table9[[#This Row],[Shortname]], Comp[], 11, FALSE)</f>
        <v>10.4</v>
      </c>
      <c r="O47">
        <f>VLOOKUP(Table9[[#This Row],[Shortname]], Comp[],12, FALSE)</f>
        <v>0</v>
      </c>
      <c r="P47">
        <f>VLOOKUP(Table9[[#This Row],[Shortname]], Comp[], 13, FALSE)</f>
        <v>0</v>
      </c>
      <c r="Q47">
        <f>VLOOKUP(Table9[[#This Row],[Shortname]], Comp[], 14, FALSE)</f>
        <v>0</v>
      </c>
      <c r="R47">
        <f>VLOOKUP(Table9[[#This Row],[Shortname]], Comp[], 15, FALSE)</f>
        <v>0</v>
      </c>
      <c r="S47">
        <f>VLOOKUP(Table9[[#This Row],[Shortname]], Comp[], 16, FALSE)</f>
        <v>0</v>
      </c>
      <c r="T47">
        <f>VLOOKUP(Table9[[#This Row],[Shortname]], Comp[], 17, FALSE)</f>
        <v>0</v>
      </c>
      <c r="U47">
        <f>VLOOKUP(Table9[[#This Row],[Shortname]], Comp[], 18, FALSE)</f>
        <v>0</v>
      </c>
      <c r="V47">
        <f>VLOOKUP(Table9[[#This Row],[Shortname]], Comp[], 19, FALSE)</f>
        <v>0</v>
      </c>
      <c r="W47">
        <f>VLOOKUP(Table9[[#This Row],[Shortname]], Comp[], 20, FALSE)</f>
        <v>0</v>
      </c>
      <c r="X47">
        <f>VLOOKUP(Table9[[#This Row],[Shortname]], Comp[], 21, FALSE)</f>
        <v>0</v>
      </c>
      <c r="Y47">
        <f>VLOOKUP(Table9[[#This Row],[Shortname]], Comp[], 22, FALSE)</f>
        <v>0</v>
      </c>
      <c r="Z47">
        <f>VLOOKUP(Table9[[#This Row],[Shortname]], Comp[], 23, FALSE)</f>
        <v>0</v>
      </c>
      <c r="AA47">
        <f>VLOOKUP(Table9[[#This Row],[Shortname]], Comp[], 24, FALSE)</f>
        <v>0</v>
      </c>
      <c r="AB47">
        <f>VLOOKUP(Table9[[#This Row],[Shortname]], Comp[], 25, FALSE)</f>
        <v>0</v>
      </c>
      <c r="AC47">
        <f>VLOOKUP(Table9[[#This Row],[Shortname]], Comp[], 26, FALSE)</f>
        <v>0</v>
      </c>
      <c r="AD47">
        <f>VLOOKUP(Table9[[#This Row],[Shortname]], Comp[], 27, FALSE)</f>
        <v>0</v>
      </c>
      <c r="AE47">
        <f>VLOOKUP(Table9[[#This Row],[Shortname]], Comp[], 28, FALSE)</f>
        <v>0</v>
      </c>
      <c r="AF47">
        <f>VLOOKUP(Table9[[#This Row],[Shortname]], Comp[], 29, FALSE)</f>
        <v>0</v>
      </c>
      <c r="AG47">
        <f>VLOOKUP(Table9[[#This Row],[Shortname]], Comp[], 30, FALSE)</f>
        <v>0</v>
      </c>
      <c r="AH47">
        <f>VLOOKUP(Table9[[#This Row],[Shortname]], Comp[], 31, FALSE)</f>
        <v>0</v>
      </c>
    </row>
    <row r="48" spans="1:34" x14ac:dyDescent="0.3">
      <c r="A48" t="s">
        <v>3138</v>
      </c>
      <c r="B48" t="s">
        <v>3140</v>
      </c>
      <c r="C48" t="s">
        <v>3119</v>
      </c>
      <c r="D48">
        <v>766</v>
      </c>
      <c r="E48">
        <v>25</v>
      </c>
      <c r="F48">
        <v>1E-4</v>
      </c>
      <c r="G48">
        <v>1</v>
      </c>
      <c r="H48" t="s">
        <v>6803</v>
      </c>
      <c r="I48">
        <f>VLOOKUP(Table9[[#This Row],[Shortname]], Comp[], 6, FALSE)</f>
        <v>438</v>
      </c>
      <c r="J48" s="14">
        <f>VLOOKUP(Table9[[#This Row],[Shortname]], Comp[], 7, FALSE)</f>
        <v>84</v>
      </c>
      <c r="K48">
        <f>VLOOKUP(Table9[[#This Row],[Shortname]], Comp[], 8, FALSE)</f>
        <v>0</v>
      </c>
      <c r="L48">
        <f>VLOOKUP(Table9[[#This Row],[Shortname]], Comp[], 9, FALSE)</f>
        <v>2</v>
      </c>
      <c r="M48">
        <f>VLOOKUP(Table9[[#This Row],[Shortname]], Comp[], 10, FALSE)</f>
        <v>0</v>
      </c>
      <c r="N48">
        <f>VLOOKUP(Table9[[#This Row],[Shortname]], Comp[], 11, FALSE)</f>
        <v>0</v>
      </c>
      <c r="O48">
        <f>VLOOKUP(Table9[[#This Row],[Shortname]], Comp[],12, FALSE)</f>
        <v>0</v>
      </c>
      <c r="P48">
        <f>VLOOKUP(Table9[[#This Row],[Shortname]], Comp[], 13, FALSE)</f>
        <v>2</v>
      </c>
      <c r="Q48">
        <f>VLOOKUP(Table9[[#This Row],[Shortname]], Comp[], 14, FALSE)</f>
        <v>0</v>
      </c>
      <c r="R48">
        <f>VLOOKUP(Table9[[#This Row],[Shortname]], Comp[], 15, FALSE)</f>
        <v>12</v>
      </c>
      <c r="S48">
        <f>VLOOKUP(Table9[[#This Row],[Shortname]], Comp[], 16, FALSE)</f>
        <v>0</v>
      </c>
      <c r="T48">
        <f>VLOOKUP(Table9[[#This Row],[Shortname]], Comp[], 17, FALSE)</f>
        <v>0</v>
      </c>
      <c r="U48">
        <f>VLOOKUP(Table9[[#This Row],[Shortname]], Comp[], 18, FALSE)</f>
        <v>0</v>
      </c>
      <c r="V48">
        <f>VLOOKUP(Table9[[#This Row],[Shortname]], Comp[], 19, FALSE)</f>
        <v>0</v>
      </c>
      <c r="W48">
        <f>VLOOKUP(Table9[[#This Row],[Shortname]], Comp[], 20, FALSE)</f>
        <v>0</v>
      </c>
      <c r="X48">
        <f>VLOOKUP(Table9[[#This Row],[Shortname]], Comp[], 21, FALSE)</f>
        <v>0</v>
      </c>
      <c r="Y48">
        <f>VLOOKUP(Table9[[#This Row],[Shortname]], Comp[], 22, FALSE)</f>
        <v>0</v>
      </c>
      <c r="Z48">
        <f>VLOOKUP(Table9[[#This Row],[Shortname]], Comp[], 23, FALSE)</f>
        <v>0</v>
      </c>
      <c r="AA48">
        <f>VLOOKUP(Table9[[#This Row],[Shortname]], Comp[], 24, FALSE)</f>
        <v>0</v>
      </c>
      <c r="AB48">
        <f>VLOOKUP(Table9[[#This Row],[Shortname]], Comp[], 25, FALSE)</f>
        <v>0</v>
      </c>
      <c r="AC48">
        <f>VLOOKUP(Table9[[#This Row],[Shortname]], Comp[], 26, FALSE)</f>
        <v>0</v>
      </c>
      <c r="AD48">
        <f>VLOOKUP(Table9[[#This Row],[Shortname]], Comp[], 27, FALSE)</f>
        <v>0</v>
      </c>
      <c r="AE48">
        <f>VLOOKUP(Table9[[#This Row],[Shortname]], Comp[], 28, FALSE)</f>
        <v>0</v>
      </c>
      <c r="AF48">
        <f>VLOOKUP(Table9[[#This Row],[Shortname]], Comp[], 29, FALSE)</f>
        <v>0</v>
      </c>
      <c r="AG48">
        <f>VLOOKUP(Table9[[#This Row],[Shortname]], Comp[], 30, FALSE)</f>
        <v>0</v>
      </c>
      <c r="AH48">
        <f>VLOOKUP(Table9[[#This Row],[Shortname]], Comp[], 31, FALSE)</f>
        <v>0</v>
      </c>
    </row>
    <row r="49" spans="1:34" x14ac:dyDescent="0.3">
      <c r="A49" t="s">
        <v>2848</v>
      </c>
      <c r="B49" t="s">
        <v>2850</v>
      </c>
      <c r="C49" t="s">
        <v>2851</v>
      </c>
      <c r="D49">
        <v>765</v>
      </c>
      <c r="E49">
        <v>25</v>
      </c>
      <c r="F49">
        <v>1E-3</v>
      </c>
      <c r="G49">
        <v>1</v>
      </c>
      <c r="H49" t="s">
        <v>6803</v>
      </c>
      <c r="I49">
        <f>VLOOKUP(Table9[[#This Row],[Shortname]], Comp[], 6, FALSE)</f>
        <v>385</v>
      </c>
      <c r="J49" s="14">
        <f>VLOOKUP(Table9[[#This Row],[Shortname]], Comp[], 7, FALSE)</f>
        <v>37.900000000000013</v>
      </c>
      <c r="K49">
        <f>VLOOKUP(Table9[[#This Row],[Shortname]], Comp[], 8, FALSE)</f>
        <v>35.4</v>
      </c>
      <c r="L49">
        <f>VLOOKUP(Table9[[#This Row],[Shortname]], Comp[], 9, FALSE)</f>
        <v>9.6999999999999993</v>
      </c>
      <c r="M49">
        <f>VLOOKUP(Table9[[#This Row],[Shortname]], Comp[], 10, FALSE)</f>
        <v>6</v>
      </c>
      <c r="N49">
        <f>VLOOKUP(Table9[[#This Row],[Shortname]], Comp[], 11, FALSE)</f>
        <v>0</v>
      </c>
      <c r="O49">
        <f>VLOOKUP(Table9[[#This Row],[Shortname]], Comp[],12, FALSE)</f>
        <v>3.4</v>
      </c>
      <c r="P49">
        <f>VLOOKUP(Table9[[#This Row],[Shortname]], Comp[], 13, FALSE)</f>
        <v>2.8</v>
      </c>
      <c r="Q49">
        <f>VLOOKUP(Table9[[#This Row],[Shortname]], Comp[], 14, FALSE)</f>
        <v>0</v>
      </c>
      <c r="R49">
        <f>VLOOKUP(Table9[[#This Row],[Shortname]], Comp[], 15, FALSE)</f>
        <v>0</v>
      </c>
      <c r="S49">
        <f>VLOOKUP(Table9[[#This Row],[Shortname]], Comp[], 16, FALSE)</f>
        <v>4.8</v>
      </c>
      <c r="T49">
        <f>VLOOKUP(Table9[[#This Row],[Shortname]], Comp[], 17, FALSE)</f>
        <v>0</v>
      </c>
      <c r="U49">
        <f>VLOOKUP(Table9[[#This Row],[Shortname]], Comp[], 18, FALSE)</f>
        <v>0</v>
      </c>
      <c r="V49">
        <f>VLOOKUP(Table9[[#This Row],[Shortname]], Comp[], 19, FALSE)</f>
        <v>0</v>
      </c>
      <c r="W49">
        <f>VLOOKUP(Table9[[#This Row],[Shortname]], Comp[], 20, FALSE)</f>
        <v>0</v>
      </c>
      <c r="X49">
        <f>VLOOKUP(Table9[[#This Row],[Shortname]], Comp[], 21, FALSE)</f>
        <v>0</v>
      </c>
      <c r="Y49">
        <f>VLOOKUP(Table9[[#This Row],[Shortname]], Comp[], 22, FALSE)</f>
        <v>0</v>
      </c>
      <c r="Z49">
        <f>VLOOKUP(Table9[[#This Row],[Shortname]], Comp[], 23, FALSE)</f>
        <v>0</v>
      </c>
      <c r="AA49">
        <f>VLOOKUP(Table9[[#This Row],[Shortname]], Comp[], 24, FALSE)</f>
        <v>0</v>
      </c>
      <c r="AB49">
        <f>VLOOKUP(Table9[[#This Row],[Shortname]], Comp[], 25, FALSE)</f>
        <v>0</v>
      </c>
      <c r="AC49">
        <f>VLOOKUP(Table9[[#This Row],[Shortname]], Comp[], 26, FALSE)</f>
        <v>0</v>
      </c>
      <c r="AD49">
        <f>VLOOKUP(Table9[[#This Row],[Shortname]], Comp[], 27, FALSE)</f>
        <v>0</v>
      </c>
      <c r="AE49">
        <f>VLOOKUP(Table9[[#This Row],[Shortname]], Comp[], 28, FALSE)</f>
        <v>0</v>
      </c>
      <c r="AF49">
        <f>VLOOKUP(Table9[[#This Row],[Shortname]], Comp[], 29, FALSE)</f>
        <v>0</v>
      </c>
      <c r="AG49">
        <f>VLOOKUP(Table9[[#This Row],[Shortname]], Comp[], 30, FALSE)</f>
        <v>0</v>
      </c>
      <c r="AH49">
        <f>VLOOKUP(Table9[[#This Row],[Shortname]], Comp[], 31, FALSE)</f>
        <v>0</v>
      </c>
    </row>
    <row r="50" spans="1:34" x14ac:dyDescent="0.3">
      <c r="A50" t="s">
        <v>4430</v>
      </c>
      <c r="B50" t="s">
        <v>4409</v>
      </c>
      <c r="C50" t="s">
        <v>4415</v>
      </c>
      <c r="D50">
        <v>764</v>
      </c>
      <c r="E50">
        <v>800</v>
      </c>
      <c r="F50">
        <v>1E-4</v>
      </c>
      <c r="G50">
        <v>1</v>
      </c>
      <c r="H50" t="s">
        <v>6803</v>
      </c>
      <c r="I50">
        <f>VLOOKUP(Table9[[#This Row],[Shortname]], Comp[], 6, FALSE)</f>
        <v>674</v>
      </c>
      <c r="J50" s="14">
        <f>VLOOKUP(Table9[[#This Row],[Shortname]], Comp[], 7, FALSE)</f>
        <v>42.326000000000001</v>
      </c>
      <c r="K50">
        <f>VLOOKUP(Table9[[#This Row],[Shortname]], Comp[], 8, FALSE)</f>
        <v>30</v>
      </c>
      <c r="L50">
        <f>VLOOKUP(Table9[[#This Row],[Shortname]], Comp[], 9, FALSE)</f>
        <v>7</v>
      </c>
      <c r="M50">
        <f>VLOOKUP(Table9[[#This Row],[Shortname]], Comp[], 10, FALSE)</f>
        <v>12</v>
      </c>
      <c r="N50">
        <f>VLOOKUP(Table9[[#This Row],[Shortname]], Comp[], 11, FALSE)</f>
        <v>2</v>
      </c>
      <c r="O50">
        <f>VLOOKUP(Table9[[#This Row],[Shortname]], Comp[],12, FALSE)</f>
        <v>3.5</v>
      </c>
      <c r="P50">
        <f>VLOOKUP(Table9[[#This Row],[Shortname]], Comp[], 13, FALSE)</f>
        <v>1</v>
      </c>
      <c r="Q50">
        <f>VLOOKUP(Table9[[#This Row],[Shortname]], Comp[], 14, FALSE)</f>
        <v>0</v>
      </c>
      <c r="R50">
        <f>VLOOKUP(Table9[[#This Row],[Shortname]], Comp[], 15, FALSE)</f>
        <v>0</v>
      </c>
      <c r="S50">
        <f>VLOOKUP(Table9[[#This Row],[Shortname]], Comp[], 16, FALSE)</f>
        <v>1.5</v>
      </c>
      <c r="T50">
        <f>VLOOKUP(Table9[[#This Row],[Shortname]], Comp[], 17, FALSE)</f>
        <v>0.08</v>
      </c>
      <c r="U50">
        <f>VLOOKUP(Table9[[#This Row],[Shortname]], Comp[], 18, FALSE)</f>
        <v>8.9999999999999993E-3</v>
      </c>
      <c r="V50">
        <f>VLOOKUP(Table9[[#This Row],[Shortname]], Comp[], 19, FALSE)</f>
        <v>8.5000000000000006E-2</v>
      </c>
      <c r="W50">
        <f>VLOOKUP(Table9[[#This Row],[Shortname]], Comp[], 20, FALSE)</f>
        <v>0</v>
      </c>
      <c r="X50">
        <f>VLOOKUP(Table9[[#This Row],[Shortname]], Comp[], 21, FALSE)</f>
        <v>0</v>
      </c>
      <c r="Y50">
        <f>VLOOKUP(Table9[[#This Row],[Shortname]], Comp[], 22, FALSE)</f>
        <v>0.39</v>
      </c>
      <c r="Z50">
        <f>VLOOKUP(Table9[[#This Row],[Shortname]], Comp[], 23, FALSE)</f>
        <v>0</v>
      </c>
      <c r="AA50">
        <f>VLOOKUP(Table9[[#This Row],[Shortname]], Comp[], 24, FALSE)</f>
        <v>0</v>
      </c>
      <c r="AB50">
        <f>VLOOKUP(Table9[[#This Row],[Shortname]], Comp[], 25, FALSE)</f>
        <v>0.11</v>
      </c>
      <c r="AC50">
        <f>VLOOKUP(Table9[[#This Row],[Shortname]], Comp[], 26, FALSE)</f>
        <v>0</v>
      </c>
      <c r="AD50">
        <f>VLOOKUP(Table9[[#This Row],[Shortname]], Comp[], 27, FALSE)</f>
        <v>0</v>
      </c>
      <c r="AE50">
        <f>VLOOKUP(Table9[[#This Row],[Shortname]], Comp[], 28, FALSE)</f>
        <v>0</v>
      </c>
      <c r="AF50">
        <f>VLOOKUP(Table9[[#This Row],[Shortname]], Comp[], 29, FALSE)</f>
        <v>0</v>
      </c>
      <c r="AG50">
        <f>VLOOKUP(Table9[[#This Row],[Shortname]], Comp[], 30, FALSE)</f>
        <v>0</v>
      </c>
      <c r="AH50">
        <f>VLOOKUP(Table9[[#This Row],[Shortname]], Comp[], 31, FALSE)</f>
        <v>0</v>
      </c>
    </row>
    <row r="51" spans="1:34" x14ac:dyDescent="0.3">
      <c r="A51" t="s">
        <v>2848</v>
      </c>
      <c r="B51" t="s">
        <v>2850</v>
      </c>
      <c r="C51" t="s">
        <v>2851</v>
      </c>
      <c r="D51">
        <v>761</v>
      </c>
      <c r="E51">
        <v>470</v>
      </c>
      <c r="F51">
        <v>1E-3</v>
      </c>
      <c r="G51">
        <v>1</v>
      </c>
      <c r="H51" t="s">
        <v>6803</v>
      </c>
      <c r="I51">
        <f>VLOOKUP(Table9[[#This Row],[Shortname]], Comp[], 6, FALSE)</f>
        <v>385</v>
      </c>
      <c r="J51" s="14">
        <f>VLOOKUP(Table9[[#This Row],[Shortname]], Comp[], 7, FALSE)</f>
        <v>37.900000000000013</v>
      </c>
      <c r="K51">
        <f>VLOOKUP(Table9[[#This Row],[Shortname]], Comp[], 8, FALSE)</f>
        <v>35.4</v>
      </c>
      <c r="L51">
        <f>VLOOKUP(Table9[[#This Row],[Shortname]], Comp[], 9, FALSE)</f>
        <v>9.6999999999999993</v>
      </c>
      <c r="M51">
        <f>VLOOKUP(Table9[[#This Row],[Shortname]], Comp[], 10, FALSE)</f>
        <v>6</v>
      </c>
      <c r="N51">
        <f>VLOOKUP(Table9[[#This Row],[Shortname]], Comp[], 11, FALSE)</f>
        <v>0</v>
      </c>
      <c r="O51">
        <f>VLOOKUP(Table9[[#This Row],[Shortname]], Comp[],12, FALSE)</f>
        <v>3.4</v>
      </c>
      <c r="P51">
        <f>VLOOKUP(Table9[[#This Row],[Shortname]], Comp[], 13, FALSE)</f>
        <v>2.8</v>
      </c>
      <c r="Q51">
        <f>VLOOKUP(Table9[[#This Row],[Shortname]], Comp[], 14, FALSE)</f>
        <v>0</v>
      </c>
      <c r="R51">
        <f>VLOOKUP(Table9[[#This Row],[Shortname]], Comp[], 15, FALSE)</f>
        <v>0</v>
      </c>
      <c r="S51">
        <f>VLOOKUP(Table9[[#This Row],[Shortname]], Comp[], 16, FALSE)</f>
        <v>4.8</v>
      </c>
      <c r="T51">
        <f>VLOOKUP(Table9[[#This Row],[Shortname]], Comp[], 17, FALSE)</f>
        <v>0</v>
      </c>
      <c r="U51">
        <f>VLOOKUP(Table9[[#This Row],[Shortname]], Comp[], 18, FALSE)</f>
        <v>0</v>
      </c>
      <c r="V51">
        <f>VLOOKUP(Table9[[#This Row],[Shortname]], Comp[], 19, FALSE)</f>
        <v>0</v>
      </c>
      <c r="W51">
        <f>VLOOKUP(Table9[[#This Row],[Shortname]], Comp[], 20, FALSE)</f>
        <v>0</v>
      </c>
      <c r="X51">
        <f>VLOOKUP(Table9[[#This Row],[Shortname]], Comp[], 21, FALSE)</f>
        <v>0</v>
      </c>
      <c r="Y51">
        <f>VLOOKUP(Table9[[#This Row],[Shortname]], Comp[], 22, FALSE)</f>
        <v>0</v>
      </c>
      <c r="Z51">
        <f>VLOOKUP(Table9[[#This Row],[Shortname]], Comp[], 23, FALSE)</f>
        <v>0</v>
      </c>
      <c r="AA51">
        <f>VLOOKUP(Table9[[#This Row],[Shortname]], Comp[], 24, FALSE)</f>
        <v>0</v>
      </c>
      <c r="AB51">
        <f>VLOOKUP(Table9[[#This Row],[Shortname]], Comp[], 25, FALSE)</f>
        <v>0</v>
      </c>
      <c r="AC51">
        <f>VLOOKUP(Table9[[#This Row],[Shortname]], Comp[], 26, FALSE)</f>
        <v>0</v>
      </c>
      <c r="AD51">
        <f>VLOOKUP(Table9[[#This Row],[Shortname]], Comp[], 27, FALSE)</f>
        <v>0</v>
      </c>
      <c r="AE51">
        <f>VLOOKUP(Table9[[#This Row],[Shortname]], Comp[], 28, FALSE)</f>
        <v>0</v>
      </c>
      <c r="AF51">
        <f>VLOOKUP(Table9[[#This Row],[Shortname]], Comp[], 29, FALSE)</f>
        <v>0</v>
      </c>
      <c r="AG51">
        <f>VLOOKUP(Table9[[#This Row],[Shortname]], Comp[], 30, FALSE)</f>
        <v>0</v>
      </c>
      <c r="AH51">
        <f>VLOOKUP(Table9[[#This Row],[Shortname]], Comp[], 31, FALSE)</f>
        <v>0</v>
      </c>
    </row>
    <row r="52" spans="1:34" x14ac:dyDescent="0.3">
      <c r="A52" t="s">
        <v>525</v>
      </c>
      <c r="B52" t="s">
        <v>6694</v>
      </c>
      <c r="C52" t="s">
        <v>499</v>
      </c>
      <c r="D52">
        <v>760</v>
      </c>
      <c r="E52">
        <v>750</v>
      </c>
      <c r="F52">
        <v>1E-4</v>
      </c>
      <c r="G52">
        <v>1</v>
      </c>
      <c r="I52">
        <f>VLOOKUP(Table9[[#This Row],[Shortname]], Comp[], 6, FALSE)</f>
        <v>68</v>
      </c>
      <c r="J52" s="14">
        <f>VLOOKUP(Table9[[#This Row],[Shortname]], Comp[], 7, FALSE)</f>
        <v>72.400000000000006</v>
      </c>
      <c r="K52">
        <f>VLOOKUP(Table9[[#This Row],[Shortname]], Comp[], 8, FALSE)</f>
        <v>10.199999999999999</v>
      </c>
      <c r="L52">
        <f>VLOOKUP(Table9[[#This Row],[Shortname]], Comp[], 9, FALSE)</f>
        <v>5.4</v>
      </c>
      <c r="M52">
        <f>VLOOKUP(Table9[[#This Row],[Shortname]], Comp[], 10, FALSE)</f>
        <v>0</v>
      </c>
      <c r="N52">
        <f>VLOOKUP(Table9[[#This Row],[Shortname]], Comp[], 11, FALSE)</f>
        <v>6.1</v>
      </c>
      <c r="O52">
        <f>VLOOKUP(Table9[[#This Row],[Shortname]], Comp[],12, FALSE)</f>
        <v>5.9</v>
      </c>
      <c r="P52">
        <f>VLOOKUP(Table9[[#This Row],[Shortname]], Comp[], 13, FALSE)</f>
        <v>0</v>
      </c>
      <c r="Q52">
        <f>VLOOKUP(Table9[[#This Row],[Shortname]], Comp[], 14, FALSE)</f>
        <v>0</v>
      </c>
      <c r="R52">
        <f>VLOOKUP(Table9[[#This Row],[Shortname]], Comp[], 15, FALSE)</f>
        <v>0</v>
      </c>
      <c r="S52">
        <f>VLOOKUP(Table9[[#This Row],[Shortname]], Comp[], 16, FALSE)</f>
        <v>0</v>
      </c>
      <c r="T52">
        <f>VLOOKUP(Table9[[#This Row],[Shortname]], Comp[], 17, FALSE)</f>
        <v>0</v>
      </c>
      <c r="U52">
        <f>VLOOKUP(Table9[[#This Row],[Shortname]], Comp[], 18, FALSE)</f>
        <v>0</v>
      </c>
      <c r="V52">
        <f>VLOOKUP(Table9[[#This Row],[Shortname]], Comp[], 19, FALSE)</f>
        <v>0</v>
      </c>
      <c r="W52">
        <f>VLOOKUP(Table9[[#This Row],[Shortname]], Comp[], 20, FALSE)</f>
        <v>0</v>
      </c>
      <c r="X52">
        <f>VLOOKUP(Table9[[#This Row],[Shortname]], Comp[], 21, FALSE)</f>
        <v>0</v>
      </c>
      <c r="Y52">
        <f>VLOOKUP(Table9[[#This Row],[Shortname]], Comp[], 22, FALSE)</f>
        <v>0</v>
      </c>
      <c r="Z52">
        <f>VLOOKUP(Table9[[#This Row],[Shortname]], Comp[], 23, FALSE)</f>
        <v>0</v>
      </c>
      <c r="AA52">
        <f>VLOOKUP(Table9[[#This Row],[Shortname]], Comp[], 24, FALSE)</f>
        <v>0</v>
      </c>
      <c r="AB52">
        <f>VLOOKUP(Table9[[#This Row],[Shortname]], Comp[], 25, FALSE)</f>
        <v>0</v>
      </c>
      <c r="AC52">
        <f>VLOOKUP(Table9[[#This Row],[Shortname]], Comp[], 26, FALSE)</f>
        <v>0</v>
      </c>
      <c r="AD52">
        <f>VLOOKUP(Table9[[#This Row],[Shortname]], Comp[], 27, FALSE)</f>
        <v>0</v>
      </c>
      <c r="AE52">
        <f>VLOOKUP(Table9[[#This Row],[Shortname]], Comp[], 28, FALSE)</f>
        <v>0</v>
      </c>
      <c r="AF52">
        <f>VLOOKUP(Table9[[#This Row],[Shortname]], Comp[], 29, FALSE)</f>
        <v>0</v>
      </c>
      <c r="AG52">
        <f>VLOOKUP(Table9[[#This Row],[Shortname]], Comp[], 30, FALSE)</f>
        <v>0</v>
      </c>
      <c r="AH52">
        <f>VLOOKUP(Table9[[#This Row],[Shortname]], Comp[], 31, FALSE)</f>
        <v>0</v>
      </c>
    </row>
    <row r="53" spans="1:34" x14ac:dyDescent="0.3">
      <c r="A53" t="s">
        <v>513</v>
      </c>
      <c r="B53" t="s">
        <v>6692</v>
      </c>
      <c r="C53" t="s">
        <v>499</v>
      </c>
      <c r="D53">
        <v>760</v>
      </c>
      <c r="E53">
        <v>25</v>
      </c>
      <c r="F53">
        <v>1E-4</v>
      </c>
      <c r="G53">
        <v>1</v>
      </c>
      <c r="I53">
        <f>VLOOKUP(Table9[[#This Row],[Shortname]], Comp[], 6, FALSE)</f>
        <v>67</v>
      </c>
      <c r="J53" s="14">
        <f>VLOOKUP(Table9[[#This Row],[Shortname]], Comp[], 7, FALSE)</f>
        <v>72.5</v>
      </c>
      <c r="K53">
        <f>VLOOKUP(Table9[[#This Row],[Shortname]], Comp[], 8, FALSE)</f>
        <v>10</v>
      </c>
      <c r="L53">
        <f>VLOOKUP(Table9[[#This Row],[Shortname]], Comp[], 9, FALSE)</f>
        <v>4.5</v>
      </c>
      <c r="M53">
        <f>VLOOKUP(Table9[[#This Row],[Shortname]], Comp[], 10, FALSE)</f>
        <v>0</v>
      </c>
      <c r="N53">
        <f>VLOOKUP(Table9[[#This Row],[Shortname]], Comp[], 11, FALSE)</f>
        <v>5.2</v>
      </c>
      <c r="O53">
        <f>VLOOKUP(Table9[[#This Row],[Shortname]], Comp[],12, FALSE)</f>
        <v>7.8</v>
      </c>
      <c r="P53">
        <f>VLOOKUP(Table9[[#This Row],[Shortname]], Comp[], 13, FALSE)</f>
        <v>0</v>
      </c>
      <c r="Q53">
        <f>VLOOKUP(Table9[[#This Row],[Shortname]], Comp[], 14, FALSE)</f>
        <v>0</v>
      </c>
      <c r="R53">
        <f>VLOOKUP(Table9[[#This Row],[Shortname]], Comp[], 15, FALSE)</f>
        <v>0</v>
      </c>
      <c r="S53">
        <f>VLOOKUP(Table9[[#This Row],[Shortname]], Comp[], 16, FALSE)</f>
        <v>0</v>
      </c>
      <c r="T53">
        <f>VLOOKUP(Table9[[#This Row],[Shortname]], Comp[], 17, FALSE)</f>
        <v>0</v>
      </c>
      <c r="U53">
        <f>VLOOKUP(Table9[[#This Row],[Shortname]], Comp[], 18, FALSE)</f>
        <v>0</v>
      </c>
      <c r="V53">
        <f>VLOOKUP(Table9[[#This Row],[Shortname]], Comp[], 19, FALSE)</f>
        <v>0</v>
      </c>
      <c r="W53">
        <f>VLOOKUP(Table9[[#This Row],[Shortname]], Comp[], 20, FALSE)</f>
        <v>0</v>
      </c>
      <c r="X53">
        <f>VLOOKUP(Table9[[#This Row],[Shortname]], Comp[], 21, FALSE)</f>
        <v>0</v>
      </c>
      <c r="Y53">
        <f>VLOOKUP(Table9[[#This Row],[Shortname]], Comp[], 22, FALSE)</f>
        <v>0</v>
      </c>
      <c r="Z53">
        <f>VLOOKUP(Table9[[#This Row],[Shortname]], Comp[], 23, FALSE)</f>
        <v>0</v>
      </c>
      <c r="AA53">
        <f>VLOOKUP(Table9[[#This Row],[Shortname]], Comp[], 24, FALSE)</f>
        <v>0</v>
      </c>
      <c r="AB53">
        <f>VLOOKUP(Table9[[#This Row],[Shortname]], Comp[], 25, FALSE)</f>
        <v>0</v>
      </c>
      <c r="AC53">
        <f>VLOOKUP(Table9[[#This Row],[Shortname]], Comp[], 26, FALSE)</f>
        <v>0</v>
      </c>
      <c r="AD53">
        <f>VLOOKUP(Table9[[#This Row],[Shortname]], Comp[], 27, FALSE)</f>
        <v>0</v>
      </c>
      <c r="AE53">
        <f>VLOOKUP(Table9[[#This Row],[Shortname]], Comp[], 28, FALSE)</f>
        <v>0</v>
      </c>
      <c r="AF53">
        <f>VLOOKUP(Table9[[#This Row],[Shortname]], Comp[], 29, FALSE)</f>
        <v>0</v>
      </c>
      <c r="AG53">
        <f>VLOOKUP(Table9[[#This Row],[Shortname]], Comp[], 30, FALSE)</f>
        <v>0</v>
      </c>
      <c r="AH53">
        <f>VLOOKUP(Table9[[#This Row],[Shortname]], Comp[], 31, FALSE)</f>
        <v>0</v>
      </c>
    </row>
    <row r="54" spans="1:34" x14ac:dyDescent="0.3">
      <c r="A54" t="s">
        <v>2062</v>
      </c>
      <c r="B54" t="s">
        <v>2064</v>
      </c>
      <c r="C54" t="s">
        <v>2065</v>
      </c>
      <c r="D54">
        <v>760</v>
      </c>
      <c r="E54">
        <v>600</v>
      </c>
      <c r="F54">
        <v>1E-4</v>
      </c>
      <c r="G54">
        <v>1</v>
      </c>
      <c r="H54" t="s">
        <v>6803</v>
      </c>
      <c r="I54">
        <f>VLOOKUP(Table9[[#This Row],[Shortname]], Comp[], 6, FALSE)</f>
        <v>271</v>
      </c>
      <c r="J54" s="14">
        <f>VLOOKUP(Table9[[#This Row],[Shortname]], Comp[], 7, FALSE)</f>
        <v>87</v>
      </c>
      <c r="K54">
        <f>VLOOKUP(Table9[[#This Row],[Shortname]], Comp[], 8, FALSE)</f>
        <v>0</v>
      </c>
      <c r="L54">
        <f>VLOOKUP(Table9[[#This Row],[Shortname]], Comp[], 9, FALSE)</f>
        <v>0</v>
      </c>
      <c r="M54">
        <f>VLOOKUP(Table9[[#This Row],[Shortname]], Comp[], 10, FALSE)</f>
        <v>0</v>
      </c>
      <c r="N54">
        <f>VLOOKUP(Table9[[#This Row],[Shortname]], Comp[], 11, FALSE)</f>
        <v>0</v>
      </c>
      <c r="O54">
        <f>VLOOKUP(Table9[[#This Row],[Shortname]], Comp[],12, FALSE)</f>
        <v>12</v>
      </c>
      <c r="P54">
        <f>VLOOKUP(Table9[[#This Row],[Shortname]], Comp[], 13, FALSE)</f>
        <v>0</v>
      </c>
      <c r="Q54">
        <f>VLOOKUP(Table9[[#This Row],[Shortname]], Comp[], 14, FALSE)</f>
        <v>0</v>
      </c>
      <c r="R54">
        <f>VLOOKUP(Table9[[#This Row],[Shortname]], Comp[], 15, FALSE)</f>
        <v>0</v>
      </c>
      <c r="S54">
        <f>VLOOKUP(Table9[[#This Row],[Shortname]], Comp[], 16, FALSE)</f>
        <v>0</v>
      </c>
      <c r="T54">
        <f>VLOOKUP(Table9[[#This Row],[Shortname]], Comp[], 17, FALSE)</f>
        <v>0</v>
      </c>
      <c r="U54">
        <f>VLOOKUP(Table9[[#This Row],[Shortname]], Comp[], 18, FALSE)</f>
        <v>0</v>
      </c>
      <c r="V54">
        <f>VLOOKUP(Table9[[#This Row],[Shortname]], Comp[], 19, FALSE)</f>
        <v>0</v>
      </c>
      <c r="W54">
        <f>VLOOKUP(Table9[[#This Row],[Shortname]], Comp[], 20, FALSE)</f>
        <v>0</v>
      </c>
      <c r="X54">
        <f>VLOOKUP(Table9[[#This Row],[Shortname]], Comp[], 21, FALSE)</f>
        <v>1</v>
      </c>
      <c r="Y54">
        <f>VLOOKUP(Table9[[#This Row],[Shortname]], Comp[], 22, FALSE)</f>
        <v>0</v>
      </c>
      <c r="Z54">
        <f>VLOOKUP(Table9[[#This Row],[Shortname]], Comp[], 23, FALSE)</f>
        <v>0</v>
      </c>
      <c r="AA54">
        <f>VLOOKUP(Table9[[#This Row],[Shortname]], Comp[], 24, FALSE)</f>
        <v>0</v>
      </c>
      <c r="AB54">
        <f>VLOOKUP(Table9[[#This Row],[Shortname]], Comp[], 25, FALSE)</f>
        <v>0</v>
      </c>
      <c r="AC54">
        <f>VLOOKUP(Table9[[#This Row],[Shortname]], Comp[], 26, FALSE)</f>
        <v>0</v>
      </c>
      <c r="AD54">
        <f>VLOOKUP(Table9[[#This Row],[Shortname]], Comp[], 27, FALSE)</f>
        <v>0</v>
      </c>
      <c r="AE54">
        <f>VLOOKUP(Table9[[#This Row],[Shortname]], Comp[], 28, FALSE)</f>
        <v>0</v>
      </c>
      <c r="AF54">
        <f>VLOOKUP(Table9[[#This Row],[Shortname]], Comp[], 29, FALSE)</f>
        <v>0</v>
      </c>
      <c r="AG54">
        <f>VLOOKUP(Table9[[#This Row],[Shortname]], Comp[], 30, FALSE)</f>
        <v>0</v>
      </c>
      <c r="AH54">
        <f>VLOOKUP(Table9[[#This Row],[Shortname]], Comp[], 31, FALSE)</f>
        <v>0</v>
      </c>
    </row>
    <row r="55" spans="1:34" x14ac:dyDescent="0.3">
      <c r="A55" t="s">
        <v>3154</v>
      </c>
      <c r="B55" t="s">
        <v>3156</v>
      </c>
      <c r="C55" t="s">
        <v>3157</v>
      </c>
      <c r="D55">
        <v>755</v>
      </c>
      <c r="E55">
        <v>25</v>
      </c>
      <c r="F55">
        <v>1E-4</v>
      </c>
      <c r="G55">
        <v>1</v>
      </c>
      <c r="H55" t="s">
        <v>6803</v>
      </c>
      <c r="I55">
        <f>VLOOKUP(Table9[[#This Row],[Shortname]], Comp[], 6, FALSE)</f>
        <v>440</v>
      </c>
      <c r="J55" s="14">
        <f>VLOOKUP(Table9[[#This Row],[Shortname]], Comp[], 7, FALSE)</f>
        <v>80</v>
      </c>
      <c r="K55">
        <f>VLOOKUP(Table9[[#This Row],[Shortname]], Comp[], 8, FALSE)</f>
        <v>0</v>
      </c>
      <c r="L55">
        <f>VLOOKUP(Table9[[#This Row],[Shortname]], Comp[], 9, FALSE)</f>
        <v>0</v>
      </c>
      <c r="M55">
        <f>VLOOKUP(Table9[[#This Row],[Shortname]], Comp[], 10, FALSE)</f>
        <v>0</v>
      </c>
      <c r="N55">
        <f>VLOOKUP(Table9[[#This Row],[Shortname]], Comp[], 11, FALSE)</f>
        <v>0</v>
      </c>
      <c r="O55">
        <f>VLOOKUP(Table9[[#This Row],[Shortname]], Comp[],12, FALSE)</f>
        <v>5</v>
      </c>
      <c r="P55">
        <f>VLOOKUP(Table9[[#This Row],[Shortname]], Comp[], 13, FALSE)</f>
        <v>0</v>
      </c>
      <c r="Q55">
        <f>VLOOKUP(Table9[[#This Row],[Shortname]], Comp[], 14, FALSE)</f>
        <v>0</v>
      </c>
      <c r="R55">
        <f>VLOOKUP(Table9[[#This Row],[Shortname]], Comp[], 15, FALSE)</f>
        <v>15</v>
      </c>
      <c r="S55">
        <f>VLOOKUP(Table9[[#This Row],[Shortname]], Comp[], 16, FALSE)</f>
        <v>0</v>
      </c>
      <c r="T55">
        <f>VLOOKUP(Table9[[#This Row],[Shortname]], Comp[], 17, FALSE)</f>
        <v>0</v>
      </c>
      <c r="U55">
        <f>VLOOKUP(Table9[[#This Row],[Shortname]], Comp[], 18, FALSE)</f>
        <v>0</v>
      </c>
      <c r="V55">
        <f>VLOOKUP(Table9[[#This Row],[Shortname]], Comp[], 19, FALSE)</f>
        <v>0</v>
      </c>
      <c r="W55">
        <f>VLOOKUP(Table9[[#This Row],[Shortname]], Comp[], 20, FALSE)</f>
        <v>0</v>
      </c>
      <c r="X55">
        <f>VLOOKUP(Table9[[#This Row],[Shortname]], Comp[], 21, FALSE)</f>
        <v>0</v>
      </c>
      <c r="Y55">
        <f>VLOOKUP(Table9[[#This Row],[Shortname]], Comp[], 22, FALSE)</f>
        <v>0</v>
      </c>
      <c r="Z55">
        <f>VLOOKUP(Table9[[#This Row],[Shortname]], Comp[], 23, FALSE)</f>
        <v>0</v>
      </c>
      <c r="AA55">
        <f>VLOOKUP(Table9[[#This Row],[Shortname]], Comp[], 24, FALSE)</f>
        <v>0</v>
      </c>
      <c r="AB55">
        <f>VLOOKUP(Table9[[#This Row],[Shortname]], Comp[], 25, FALSE)</f>
        <v>0</v>
      </c>
      <c r="AC55">
        <f>VLOOKUP(Table9[[#This Row],[Shortname]], Comp[], 26, FALSE)</f>
        <v>0</v>
      </c>
      <c r="AD55">
        <f>VLOOKUP(Table9[[#This Row],[Shortname]], Comp[], 27, FALSE)</f>
        <v>0</v>
      </c>
      <c r="AE55">
        <f>VLOOKUP(Table9[[#This Row],[Shortname]], Comp[], 28, FALSE)</f>
        <v>0</v>
      </c>
      <c r="AF55">
        <f>VLOOKUP(Table9[[#This Row],[Shortname]], Comp[], 29, FALSE)</f>
        <v>0</v>
      </c>
      <c r="AG55">
        <f>VLOOKUP(Table9[[#This Row],[Shortname]], Comp[], 30, FALSE)</f>
        <v>0</v>
      </c>
      <c r="AH55">
        <f>VLOOKUP(Table9[[#This Row],[Shortname]], Comp[], 31, FALSE)</f>
        <v>0</v>
      </c>
    </row>
    <row r="56" spans="1:34" x14ac:dyDescent="0.3">
      <c r="A56" t="s">
        <v>3168</v>
      </c>
      <c r="B56" t="s">
        <v>3170</v>
      </c>
      <c r="C56" t="s">
        <v>3157</v>
      </c>
      <c r="D56">
        <v>752</v>
      </c>
      <c r="E56">
        <v>544</v>
      </c>
      <c r="F56">
        <v>1E-4</v>
      </c>
      <c r="G56">
        <v>1</v>
      </c>
      <c r="H56" t="s">
        <v>6803</v>
      </c>
      <c r="I56">
        <f>VLOOKUP(Table9[[#This Row],[Shortname]], Comp[], 6, FALSE)</f>
        <v>442</v>
      </c>
      <c r="J56" s="14">
        <f>VLOOKUP(Table9[[#This Row],[Shortname]], Comp[], 7, FALSE)</f>
        <v>78</v>
      </c>
      <c r="K56">
        <f>VLOOKUP(Table9[[#This Row],[Shortname]], Comp[], 8, FALSE)</f>
        <v>2</v>
      </c>
      <c r="L56">
        <f>VLOOKUP(Table9[[#This Row],[Shortname]], Comp[], 9, FALSE)</f>
        <v>0</v>
      </c>
      <c r="M56">
        <f>VLOOKUP(Table9[[#This Row],[Shortname]], Comp[], 10, FALSE)</f>
        <v>0</v>
      </c>
      <c r="N56">
        <f>VLOOKUP(Table9[[#This Row],[Shortname]], Comp[], 11, FALSE)</f>
        <v>0</v>
      </c>
      <c r="O56">
        <f>VLOOKUP(Table9[[#This Row],[Shortname]], Comp[],12, FALSE)</f>
        <v>5</v>
      </c>
      <c r="P56">
        <f>VLOOKUP(Table9[[#This Row],[Shortname]], Comp[], 13, FALSE)</f>
        <v>0</v>
      </c>
      <c r="Q56">
        <f>VLOOKUP(Table9[[#This Row],[Shortname]], Comp[], 14, FALSE)</f>
        <v>0</v>
      </c>
      <c r="R56">
        <f>VLOOKUP(Table9[[#This Row],[Shortname]], Comp[], 15, FALSE)</f>
        <v>15</v>
      </c>
      <c r="S56">
        <f>VLOOKUP(Table9[[#This Row],[Shortname]], Comp[], 16, FALSE)</f>
        <v>0</v>
      </c>
      <c r="T56">
        <f>VLOOKUP(Table9[[#This Row],[Shortname]], Comp[], 17, FALSE)</f>
        <v>0</v>
      </c>
      <c r="U56">
        <f>VLOOKUP(Table9[[#This Row],[Shortname]], Comp[], 18, FALSE)</f>
        <v>0</v>
      </c>
      <c r="V56">
        <f>VLOOKUP(Table9[[#This Row],[Shortname]], Comp[], 19, FALSE)</f>
        <v>0</v>
      </c>
      <c r="W56">
        <f>VLOOKUP(Table9[[#This Row],[Shortname]], Comp[], 20, FALSE)</f>
        <v>0</v>
      </c>
      <c r="X56">
        <f>VLOOKUP(Table9[[#This Row],[Shortname]], Comp[], 21, FALSE)</f>
        <v>0</v>
      </c>
      <c r="Y56">
        <f>VLOOKUP(Table9[[#This Row],[Shortname]], Comp[], 22, FALSE)</f>
        <v>0</v>
      </c>
      <c r="Z56">
        <f>VLOOKUP(Table9[[#This Row],[Shortname]], Comp[], 23, FALSE)</f>
        <v>0</v>
      </c>
      <c r="AA56">
        <f>VLOOKUP(Table9[[#This Row],[Shortname]], Comp[], 24, FALSE)</f>
        <v>0</v>
      </c>
      <c r="AB56">
        <f>VLOOKUP(Table9[[#This Row],[Shortname]], Comp[], 25, FALSE)</f>
        <v>0</v>
      </c>
      <c r="AC56">
        <f>VLOOKUP(Table9[[#This Row],[Shortname]], Comp[], 26, FALSE)</f>
        <v>0</v>
      </c>
      <c r="AD56">
        <f>VLOOKUP(Table9[[#This Row],[Shortname]], Comp[], 27, FALSE)</f>
        <v>0</v>
      </c>
      <c r="AE56">
        <f>VLOOKUP(Table9[[#This Row],[Shortname]], Comp[], 28, FALSE)</f>
        <v>0</v>
      </c>
      <c r="AF56">
        <f>VLOOKUP(Table9[[#This Row],[Shortname]], Comp[], 29, FALSE)</f>
        <v>0</v>
      </c>
      <c r="AG56">
        <f>VLOOKUP(Table9[[#This Row],[Shortname]], Comp[], 30, FALSE)</f>
        <v>0</v>
      </c>
      <c r="AH56">
        <f>VLOOKUP(Table9[[#This Row],[Shortname]], Comp[], 31, FALSE)</f>
        <v>0</v>
      </c>
    </row>
    <row r="57" spans="1:34" x14ac:dyDescent="0.3">
      <c r="A57" t="s">
        <v>67</v>
      </c>
      <c r="B57" t="s">
        <v>69</v>
      </c>
      <c r="C57" t="s">
        <v>52</v>
      </c>
      <c r="D57">
        <v>750</v>
      </c>
      <c r="E57">
        <v>750</v>
      </c>
      <c r="F57">
        <v>1E-3</v>
      </c>
      <c r="G57">
        <v>1</v>
      </c>
      <c r="H57" t="s">
        <v>6807</v>
      </c>
      <c r="I57">
        <f>VLOOKUP(Table9[[#This Row],[Shortname]], Comp[], 6, FALSE)</f>
        <v>7</v>
      </c>
      <c r="J57" s="14">
        <f>VLOOKUP(Table9[[#This Row],[Shortname]], Comp[], 7, FALSE)</f>
        <v>40.259999999999991</v>
      </c>
      <c r="K57">
        <f>VLOOKUP(Table9[[#This Row],[Shortname]], Comp[], 8, FALSE)</f>
        <v>31.07</v>
      </c>
      <c r="L57">
        <f>VLOOKUP(Table9[[#This Row],[Shortname]], Comp[], 9, FALSE)</f>
        <v>10.6</v>
      </c>
      <c r="M57">
        <f>VLOOKUP(Table9[[#This Row],[Shortname]], Comp[], 10, FALSE)</f>
        <v>10.67</v>
      </c>
      <c r="N57">
        <f>VLOOKUP(Table9[[#This Row],[Shortname]], Comp[], 11, FALSE)</f>
        <v>0</v>
      </c>
      <c r="O57">
        <f>VLOOKUP(Table9[[#This Row],[Shortname]], Comp[],12, FALSE)</f>
        <v>0</v>
      </c>
      <c r="P57">
        <f>VLOOKUP(Table9[[#This Row],[Shortname]], Comp[], 13, FALSE)</f>
        <v>1.88</v>
      </c>
      <c r="Q57">
        <f>VLOOKUP(Table9[[#This Row],[Shortname]], Comp[], 14, FALSE)</f>
        <v>0.99</v>
      </c>
      <c r="R57">
        <f>VLOOKUP(Table9[[#This Row],[Shortname]], Comp[], 15, FALSE)</f>
        <v>0</v>
      </c>
      <c r="S57">
        <f>VLOOKUP(Table9[[#This Row],[Shortname]], Comp[], 16, FALSE)</f>
        <v>3.99</v>
      </c>
      <c r="T57">
        <f>VLOOKUP(Table9[[#This Row],[Shortname]], Comp[], 17, FALSE)</f>
        <v>0.31</v>
      </c>
      <c r="U57">
        <f>VLOOKUP(Table9[[#This Row],[Shortname]], Comp[], 18, FALSE)</f>
        <v>0.04</v>
      </c>
      <c r="V57">
        <f>VLOOKUP(Table9[[#This Row],[Shortname]], Comp[], 19, FALSE)</f>
        <v>0.19</v>
      </c>
      <c r="W57">
        <f>VLOOKUP(Table9[[#This Row],[Shortname]], Comp[], 20, FALSE)</f>
        <v>0</v>
      </c>
      <c r="X57">
        <f>VLOOKUP(Table9[[#This Row],[Shortname]], Comp[], 21, FALSE)</f>
        <v>0</v>
      </c>
      <c r="Y57">
        <f>VLOOKUP(Table9[[#This Row],[Shortname]], Comp[], 22, FALSE)</f>
        <v>0</v>
      </c>
      <c r="Z57">
        <f>VLOOKUP(Table9[[#This Row],[Shortname]], Comp[], 23, FALSE)</f>
        <v>0</v>
      </c>
      <c r="AA57">
        <f>VLOOKUP(Table9[[#This Row],[Shortname]], Comp[], 24, FALSE)</f>
        <v>0</v>
      </c>
      <c r="AB57">
        <f>VLOOKUP(Table9[[#This Row],[Shortname]], Comp[], 25, FALSE)</f>
        <v>0</v>
      </c>
      <c r="AC57">
        <f>VLOOKUP(Table9[[#This Row],[Shortname]], Comp[], 26, FALSE)</f>
        <v>0</v>
      </c>
      <c r="AD57">
        <f>VLOOKUP(Table9[[#This Row],[Shortname]], Comp[], 27, FALSE)</f>
        <v>0</v>
      </c>
      <c r="AE57">
        <f>VLOOKUP(Table9[[#This Row],[Shortname]], Comp[], 28, FALSE)</f>
        <v>0</v>
      </c>
      <c r="AF57">
        <f>VLOOKUP(Table9[[#This Row],[Shortname]], Comp[], 29, FALSE)</f>
        <v>0</v>
      </c>
      <c r="AG57">
        <f>VLOOKUP(Table9[[#This Row],[Shortname]], Comp[], 30, FALSE)</f>
        <v>0</v>
      </c>
      <c r="AH57">
        <f>VLOOKUP(Table9[[#This Row],[Shortname]], Comp[], 31, FALSE)</f>
        <v>0</v>
      </c>
    </row>
    <row r="58" spans="1:34" x14ac:dyDescent="0.3">
      <c r="A58" t="s">
        <v>5062</v>
      </c>
      <c r="B58" t="s">
        <v>5531</v>
      </c>
      <c r="C58" t="s">
        <v>5054</v>
      </c>
      <c r="D58">
        <v>747.9</v>
      </c>
      <c r="E58">
        <v>25</v>
      </c>
      <c r="F58">
        <v>1E-3</v>
      </c>
      <c r="G58">
        <v>1</v>
      </c>
      <c r="I58">
        <f>VLOOKUP(Table9[[#This Row],[Shortname]], Comp[], 6, FALSE)</f>
        <v>781</v>
      </c>
      <c r="J58" s="14">
        <f>VLOOKUP(Table9[[#This Row],[Shortname]], Comp[], 7, FALSE)</f>
        <v>53</v>
      </c>
      <c r="K58">
        <f>VLOOKUP(Table9[[#This Row],[Shortname]], Comp[], 8, FALSE)</f>
        <v>30</v>
      </c>
      <c r="L58">
        <f>VLOOKUP(Table9[[#This Row],[Shortname]], Comp[], 9, FALSE)</f>
        <v>10</v>
      </c>
      <c r="M58">
        <f>VLOOKUP(Table9[[#This Row],[Shortname]], Comp[], 10, FALSE)</f>
        <v>0</v>
      </c>
      <c r="N58">
        <f>VLOOKUP(Table9[[#This Row],[Shortname]], Comp[], 11, FALSE)</f>
        <v>0</v>
      </c>
      <c r="O58">
        <f>VLOOKUP(Table9[[#This Row],[Shortname]], Comp[],12, FALSE)</f>
        <v>2</v>
      </c>
      <c r="P58">
        <f>VLOOKUP(Table9[[#This Row],[Shortname]], Comp[], 13, FALSE)</f>
        <v>0</v>
      </c>
      <c r="Q58">
        <f>VLOOKUP(Table9[[#This Row],[Shortname]], Comp[], 14, FALSE)</f>
        <v>0</v>
      </c>
      <c r="R58">
        <f>VLOOKUP(Table9[[#This Row],[Shortname]], Comp[], 15, FALSE)</f>
        <v>0</v>
      </c>
      <c r="S58">
        <f>VLOOKUP(Table9[[#This Row],[Shortname]], Comp[], 16, FALSE)</f>
        <v>5</v>
      </c>
      <c r="T58">
        <f>VLOOKUP(Table9[[#This Row],[Shortname]], Comp[], 17, FALSE)</f>
        <v>0</v>
      </c>
      <c r="U58">
        <f>VLOOKUP(Table9[[#This Row],[Shortname]], Comp[], 18, FALSE)</f>
        <v>0</v>
      </c>
      <c r="V58">
        <f>VLOOKUP(Table9[[#This Row],[Shortname]], Comp[], 19, FALSE)</f>
        <v>0</v>
      </c>
      <c r="W58">
        <f>VLOOKUP(Table9[[#This Row],[Shortname]], Comp[], 20, FALSE)</f>
        <v>0</v>
      </c>
      <c r="X58">
        <f>VLOOKUP(Table9[[#This Row],[Shortname]], Comp[], 21, FALSE)</f>
        <v>0</v>
      </c>
      <c r="Y58">
        <f>VLOOKUP(Table9[[#This Row],[Shortname]], Comp[], 22, FALSE)</f>
        <v>0</v>
      </c>
      <c r="Z58">
        <f>VLOOKUP(Table9[[#This Row],[Shortname]], Comp[], 23, FALSE)</f>
        <v>0</v>
      </c>
      <c r="AA58">
        <f>VLOOKUP(Table9[[#This Row],[Shortname]], Comp[], 24, FALSE)</f>
        <v>0</v>
      </c>
      <c r="AB58">
        <f>VLOOKUP(Table9[[#This Row],[Shortname]], Comp[], 25, FALSE)</f>
        <v>0</v>
      </c>
      <c r="AC58">
        <f>VLOOKUP(Table9[[#This Row],[Shortname]], Comp[], 26, FALSE)</f>
        <v>0</v>
      </c>
      <c r="AD58">
        <f>VLOOKUP(Table9[[#This Row],[Shortname]], Comp[], 27, FALSE)</f>
        <v>0</v>
      </c>
      <c r="AE58">
        <f>VLOOKUP(Table9[[#This Row],[Shortname]], Comp[], 28, FALSE)</f>
        <v>0</v>
      </c>
      <c r="AF58">
        <f>VLOOKUP(Table9[[#This Row],[Shortname]], Comp[], 29, FALSE)</f>
        <v>0</v>
      </c>
      <c r="AG58">
        <f>VLOOKUP(Table9[[#This Row],[Shortname]], Comp[], 30, FALSE)</f>
        <v>0</v>
      </c>
      <c r="AH58">
        <f>VLOOKUP(Table9[[#This Row],[Shortname]], Comp[], 31, FALSE)</f>
        <v>0</v>
      </c>
    </row>
    <row r="59" spans="1:34" x14ac:dyDescent="0.3">
      <c r="A59" t="s">
        <v>525</v>
      </c>
      <c r="B59" t="s">
        <v>6694</v>
      </c>
      <c r="C59" t="s">
        <v>499</v>
      </c>
      <c r="D59">
        <v>745</v>
      </c>
      <c r="E59">
        <v>25</v>
      </c>
      <c r="F59">
        <v>1E-4</v>
      </c>
      <c r="G59">
        <v>1</v>
      </c>
      <c r="I59">
        <f>VLOOKUP(Table9[[#This Row],[Shortname]], Comp[], 6, FALSE)</f>
        <v>68</v>
      </c>
      <c r="J59" s="14">
        <f>VLOOKUP(Table9[[#This Row],[Shortname]], Comp[], 7, FALSE)</f>
        <v>72.400000000000006</v>
      </c>
      <c r="K59">
        <f>VLOOKUP(Table9[[#This Row],[Shortname]], Comp[], 8, FALSE)</f>
        <v>10.199999999999999</v>
      </c>
      <c r="L59">
        <f>VLOOKUP(Table9[[#This Row],[Shortname]], Comp[], 9, FALSE)</f>
        <v>5.4</v>
      </c>
      <c r="M59">
        <f>VLOOKUP(Table9[[#This Row],[Shortname]], Comp[], 10, FALSE)</f>
        <v>0</v>
      </c>
      <c r="N59">
        <f>VLOOKUP(Table9[[#This Row],[Shortname]], Comp[], 11, FALSE)</f>
        <v>6.1</v>
      </c>
      <c r="O59">
        <f>VLOOKUP(Table9[[#This Row],[Shortname]], Comp[],12, FALSE)</f>
        <v>5.9</v>
      </c>
      <c r="P59">
        <f>VLOOKUP(Table9[[#This Row],[Shortname]], Comp[], 13, FALSE)</f>
        <v>0</v>
      </c>
      <c r="Q59">
        <f>VLOOKUP(Table9[[#This Row],[Shortname]], Comp[], 14, FALSE)</f>
        <v>0</v>
      </c>
      <c r="R59">
        <f>VLOOKUP(Table9[[#This Row],[Shortname]], Comp[], 15, FALSE)</f>
        <v>0</v>
      </c>
      <c r="S59">
        <f>VLOOKUP(Table9[[#This Row],[Shortname]], Comp[], 16, FALSE)</f>
        <v>0</v>
      </c>
      <c r="T59">
        <f>VLOOKUP(Table9[[#This Row],[Shortname]], Comp[], 17, FALSE)</f>
        <v>0</v>
      </c>
      <c r="U59">
        <f>VLOOKUP(Table9[[#This Row],[Shortname]], Comp[], 18, FALSE)</f>
        <v>0</v>
      </c>
      <c r="V59">
        <f>VLOOKUP(Table9[[#This Row],[Shortname]], Comp[], 19, FALSE)</f>
        <v>0</v>
      </c>
      <c r="W59">
        <f>VLOOKUP(Table9[[#This Row],[Shortname]], Comp[], 20, FALSE)</f>
        <v>0</v>
      </c>
      <c r="X59">
        <f>VLOOKUP(Table9[[#This Row],[Shortname]], Comp[], 21, FALSE)</f>
        <v>0</v>
      </c>
      <c r="Y59">
        <f>VLOOKUP(Table9[[#This Row],[Shortname]], Comp[], 22, FALSE)</f>
        <v>0</v>
      </c>
      <c r="Z59">
        <f>VLOOKUP(Table9[[#This Row],[Shortname]], Comp[], 23, FALSE)</f>
        <v>0</v>
      </c>
      <c r="AA59">
        <f>VLOOKUP(Table9[[#This Row],[Shortname]], Comp[], 24, FALSE)</f>
        <v>0</v>
      </c>
      <c r="AB59">
        <f>VLOOKUP(Table9[[#This Row],[Shortname]], Comp[], 25, FALSE)</f>
        <v>0</v>
      </c>
      <c r="AC59">
        <f>VLOOKUP(Table9[[#This Row],[Shortname]], Comp[], 26, FALSE)</f>
        <v>0</v>
      </c>
      <c r="AD59">
        <f>VLOOKUP(Table9[[#This Row],[Shortname]], Comp[], 27, FALSE)</f>
        <v>0</v>
      </c>
      <c r="AE59">
        <f>VLOOKUP(Table9[[#This Row],[Shortname]], Comp[], 28, FALSE)</f>
        <v>0</v>
      </c>
      <c r="AF59">
        <f>VLOOKUP(Table9[[#This Row],[Shortname]], Comp[], 29, FALSE)</f>
        <v>0</v>
      </c>
      <c r="AG59">
        <f>VLOOKUP(Table9[[#This Row],[Shortname]], Comp[], 30, FALSE)</f>
        <v>0</v>
      </c>
      <c r="AH59">
        <f>VLOOKUP(Table9[[#This Row],[Shortname]], Comp[], 31, FALSE)</f>
        <v>0</v>
      </c>
    </row>
    <row r="60" spans="1:34" x14ac:dyDescent="0.3">
      <c r="A60" t="s">
        <v>2208</v>
      </c>
      <c r="B60" t="s">
        <v>2210</v>
      </c>
      <c r="C60" t="s">
        <v>2211</v>
      </c>
      <c r="D60">
        <v>745</v>
      </c>
      <c r="E60">
        <v>25</v>
      </c>
      <c r="F60">
        <v>1E-4</v>
      </c>
      <c r="G60">
        <v>1</v>
      </c>
      <c r="H60" t="s">
        <v>6803</v>
      </c>
      <c r="I60">
        <f>VLOOKUP(Table9[[#This Row],[Shortname]], Comp[], 6, FALSE)</f>
        <v>291</v>
      </c>
      <c r="J60" s="14">
        <f>VLOOKUP(Table9[[#This Row],[Shortname]], Comp[], 7, FALSE)</f>
        <v>83.7</v>
      </c>
      <c r="K60">
        <f>VLOOKUP(Table9[[#This Row],[Shortname]], Comp[], 8, FALSE)</f>
        <v>0</v>
      </c>
      <c r="L60">
        <f>VLOOKUP(Table9[[#This Row],[Shortname]], Comp[], 9, FALSE)</f>
        <v>0</v>
      </c>
      <c r="M60">
        <f>VLOOKUP(Table9[[#This Row],[Shortname]], Comp[], 10, FALSE)</f>
        <v>0</v>
      </c>
      <c r="N60">
        <f>VLOOKUP(Table9[[#This Row],[Shortname]], Comp[], 11, FALSE)</f>
        <v>0</v>
      </c>
      <c r="O60">
        <f>VLOOKUP(Table9[[#This Row],[Shortname]], Comp[],12, FALSE)</f>
        <v>4.2</v>
      </c>
      <c r="P60">
        <f>VLOOKUP(Table9[[#This Row],[Shortname]], Comp[], 13, FALSE)</f>
        <v>0</v>
      </c>
      <c r="Q60">
        <f>VLOOKUP(Table9[[#This Row],[Shortname]], Comp[], 14, FALSE)</f>
        <v>0</v>
      </c>
      <c r="R60">
        <f>VLOOKUP(Table9[[#This Row],[Shortname]], Comp[], 15, FALSE)</f>
        <v>12.1</v>
      </c>
      <c r="S60">
        <f>VLOOKUP(Table9[[#This Row],[Shortname]], Comp[], 16, FALSE)</f>
        <v>0</v>
      </c>
      <c r="T60">
        <f>VLOOKUP(Table9[[#This Row],[Shortname]], Comp[], 17, FALSE)</f>
        <v>0</v>
      </c>
      <c r="U60">
        <f>VLOOKUP(Table9[[#This Row],[Shortname]], Comp[], 18, FALSE)</f>
        <v>0</v>
      </c>
      <c r="V60">
        <f>VLOOKUP(Table9[[#This Row],[Shortname]], Comp[], 19, FALSE)</f>
        <v>0</v>
      </c>
      <c r="W60">
        <f>VLOOKUP(Table9[[#This Row],[Shortname]], Comp[], 20, FALSE)</f>
        <v>0</v>
      </c>
      <c r="X60">
        <f>VLOOKUP(Table9[[#This Row],[Shortname]], Comp[], 21, FALSE)</f>
        <v>0</v>
      </c>
      <c r="Y60">
        <f>VLOOKUP(Table9[[#This Row],[Shortname]], Comp[], 22, FALSE)</f>
        <v>0</v>
      </c>
      <c r="Z60">
        <f>VLOOKUP(Table9[[#This Row],[Shortname]], Comp[], 23, FALSE)</f>
        <v>0</v>
      </c>
      <c r="AA60">
        <f>VLOOKUP(Table9[[#This Row],[Shortname]], Comp[], 24, FALSE)</f>
        <v>0</v>
      </c>
      <c r="AB60">
        <f>VLOOKUP(Table9[[#This Row],[Shortname]], Comp[], 25, FALSE)</f>
        <v>0</v>
      </c>
      <c r="AC60">
        <f>VLOOKUP(Table9[[#This Row],[Shortname]], Comp[], 26, FALSE)</f>
        <v>0</v>
      </c>
      <c r="AD60">
        <f>VLOOKUP(Table9[[#This Row],[Shortname]], Comp[], 27, FALSE)</f>
        <v>0</v>
      </c>
      <c r="AE60">
        <f>VLOOKUP(Table9[[#This Row],[Shortname]], Comp[], 28, FALSE)</f>
        <v>0</v>
      </c>
      <c r="AF60">
        <f>VLOOKUP(Table9[[#This Row],[Shortname]], Comp[], 29, FALSE)</f>
        <v>0</v>
      </c>
      <c r="AG60">
        <f>VLOOKUP(Table9[[#This Row],[Shortname]], Comp[], 30, FALSE)</f>
        <v>0</v>
      </c>
      <c r="AH60">
        <f>VLOOKUP(Table9[[#This Row],[Shortname]], Comp[], 31, FALSE)</f>
        <v>0</v>
      </c>
    </row>
    <row r="61" spans="1:34" x14ac:dyDescent="0.3">
      <c r="A61" t="s">
        <v>3429</v>
      </c>
      <c r="B61" t="s">
        <v>3429</v>
      </c>
      <c r="C61" t="s">
        <v>3401</v>
      </c>
      <c r="D61">
        <v>743</v>
      </c>
      <c r="E61">
        <v>25</v>
      </c>
      <c r="F61">
        <v>2.0000000000000001E-4</v>
      </c>
      <c r="G61">
        <v>1</v>
      </c>
      <c r="H61" t="s">
        <v>6803</v>
      </c>
      <c r="I61">
        <f>VLOOKUP(Table9[[#This Row],[Shortname]], Comp[], 6, FALSE)</f>
        <v>488</v>
      </c>
      <c r="J61" s="14">
        <f>VLOOKUP(Table9[[#This Row],[Shortname]], Comp[], 7, FALSE)</f>
        <v>81.3</v>
      </c>
      <c r="K61">
        <f>VLOOKUP(Table9[[#This Row],[Shortname]], Comp[], 8, FALSE)</f>
        <v>0</v>
      </c>
      <c r="L61">
        <f>VLOOKUP(Table9[[#This Row],[Shortname]], Comp[], 9, FALSE)</f>
        <v>9.1999999999999993</v>
      </c>
      <c r="M61">
        <f>VLOOKUP(Table9[[#This Row],[Shortname]], Comp[], 10, FALSE)</f>
        <v>0</v>
      </c>
      <c r="N61">
        <f>VLOOKUP(Table9[[#This Row],[Shortname]], Comp[], 11, FALSE)</f>
        <v>9.5</v>
      </c>
      <c r="O61">
        <f>VLOOKUP(Table9[[#This Row],[Shortname]], Comp[],12, FALSE)</f>
        <v>0</v>
      </c>
      <c r="P61">
        <f>VLOOKUP(Table9[[#This Row],[Shortname]], Comp[], 13, FALSE)</f>
        <v>0</v>
      </c>
      <c r="Q61">
        <f>VLOOKUP(Table9[[#This Row],[Shortname]], Comp[], 14, FALSE)</f>
        <v>0</v>
      </c>
      <c r="R61">
        <f>VLOOKUP(Table9[[#This Row],[Shortname]], Comp[], 15, FALSE)</f>
        <v>0</v>
      </c>
      <c r="S61">
        <f>VLOOKUP(Table9[[#This Row],[Shortname]], Comp[], 16, FALSE)</f>
        <v>0</v>
      </c>
      <c r="T61">
        <f>VLOOKUP(Table9[[#This Row],[Shortname]], Comp[], 17, FALSE)</f>
        <v>0</v>
      </c>
      <c r="U61">
        <f>VLOOKUP(Table9[[#This Row],[Shortname]], Comp[], 18, FALSE)</f>
        <v>0</v>
      </c>
      <c r="V61">
        <f>VLOOKUP(Table9[[#This Row],[Shortname]], Comp[], 19, FALSE)</f>
        <v>0</v>
      </c>
      <c r="W61">
        <f>VLOOKUP(Table9[[#This Row],[Shortname]], Comp[], 20, FALSE)</f>
        <v>0</v>
      </c>
      <c r="X61">
        <f>VLOOKUP(Table9[[#This Row],[Shortname]], Comp[], 21, FALSE)</f>
        <v>0</v>
      </c>
      <c r="Y61">
        <f>VLOOKUP(Table9[[#This Row],[Shortname]], Comp[], 22, FALSE)</f>
        <v>0</v>
      </c>
      <c r="Z61">
        <f>VLOOKUP(Table9[[#This Row],[Shortname]], Comp[], 23, FALSE)</f>
        <v>0</v>
      </c>
      <c r="AA61">
        <f>VLOOKUP(Table9[[#This Row],[Shortname]], Comp[], 24, FALSE)</f>
        <v>0</v>
      </c>
      <c r="AB61">
        <f>VLOOKUP(Table9[[#This Row],[Shortname]], Comp[], 25, FALSE)</f>
        <v>0</v>
      </c>
      <c r="AC61">
        <f>VLOOKUP(Table9[[#This Row],[Shortname]], Comp[], 26, FALSE)</f>
        <v>0</v>
      </c>
      <c r="AD61">
        <f>VLOOKUP(Table9[[#This Row],[Shortname]], Comp[], 27, FALSE)</f>
        <v>0</v>
      </c>
      <c r="AE61">
        <f>VLOOKUP(Table9[[#This Row],[Shortname]], Comp[], 28, FALSE)</f>
        <v>0</v>
      </c>
      <c r="AF61">
        <f>VLOOKUP(Table9[[#This Row],[Shortname]], Comp[], 29, FALSE)</f>
        <v>0</v>
      </c>
      <c r="AG61">
        <f>VLOOKUP(Table9[[#This Row],[Shortname]], Comp[], 30, FALSE)</f>
        <v>0</v>
      </c>
      <c r="AH61">
        <f>VLOOKUP(Table9[[#This Row],[Shortname]], Comp[], 31, FALSE)</f>
        <v>0</v>
      </c>
    </row>
    <row r="62" spans="1:34" x14ac:dyDescent="0.3">
      <c r="A62" t="s">
        <v>870</v>
      </c>
      <c r="B62" t="s">
        <v>872</v>
      </c>
      <c r="C62" t="s">
        <v>865</v>
      </c>
      <c r="D62">
        <v>743</v>
      </c>
      <c r="E62">
        <v>500</v>
      </c>
      <c r="F62">
        <v>1E-4</v>
      </c>
      <c r="G62">
        <v>1</v>
      </c>
      <c r="H62" t="s">
        <v>6803</v>
      </c>
      <c r="I62">
        <f>VLOOKUP(Table9[[#This Row],[Shortname]], Comp[], 6, FALSE)</f>
        <v>112</v>
      </c>
      <c r="J62" s="14">
        <f>VLOOKUP(Table9[[#This Row],[Shortname]], Comp[], 7, FALSE)</f>
        <v>49</v>
      </c>
      <c r="K62">
        <f>VLOOKUP(Table9[[#This Row],[Shortname]], Comp[], 8, FALSE)</f>
        <v>30</v>
      </c>
      <c r="L62">
        <f>VLOOKUP(Table9[[#This Row],[Shortname]], Comp[], 9, FALSE)</f>
        <v>10</v>
      </c>
      <c r="M62">
        <f>VLOOKUP(Table9[[#This Row],[Shortname]], Comp[], 10, FALSE)</f>
        <v>0</v>
      </c>
      <c r="N62">
        <f>VLOOKUP(Table9[[#This Row],[Shortname]], Comp[], 11, FALSE)</f>
        <v>0</v>
      </c>
      <c r="O62">
        <f>VLOOKUP(Table9[[#This Row],[Shortname]], Comp[],12, FALSE)</f>
        <v>2</v>
      </c>
      <c r="P62">
        <f>VLOOKUP(Table9[[#This Row],[Shortname]], Comp[], 13, FALSE)</f>
        <v>4</v>
      </c>
      <c r="Q62">
        <f>VLOOKUP(Table9[[#This Row],[Shortname]], Comp[], 14, FALSE)</f>
        <v>0</v>
      </c>
      <c r="R62">
        <f>VLOOKUP(Table9[[#This Row],[Shortname]], Comp[], 15, FALSE)</f>
        <v>5</v>
      </c>
      <c r="S62">
        <f>VLOOKUP(Table9[[#This Row],[Shortname]], Comp[], 16, FALSE)</f>
        <v>0</v>
      </c>
      <c r="T62">
        <f>VLOOKUP(Table9[[#This Row],[Shortname]], Comp[], 17, FALSE)</f>
        <v>0</v>
      </c>
      <c r="U62">
        <f>VLOOKUP(Table9[[#This Row],[Shortname]], Comp[], 18, FALSE)</f>
        <v>0</v>
      </c>
      <c r="V62">
        <f>VLOOKUP(Table9[[#This Row],[Shortname]], Comp[], 19, FALSE)</f>
        <v>0</v>
      </c>
      <c r="W62">
        <f>VLOOKUP(Table9[[#This Row],[Shortname]], Comp[], 20, FALSE)</f>
        <v>0</v>
      </c>
      <c r="X62">
        <f>VLOOKUP(Table9[[#This Row],[Shortname]], Comp[], 21, FALSE)</f>
        <v>0</v>
      </c>
      <c r="Y62">
        <f>VLOOKUP(Table9[[#This Row],[Shortname]], Comp[], 22, FALSE)</f>
        <v>0</v>
      </c>
      <c r="Z62">
        <f>VLOOKUP(Table9[[#This Row],[Shortname]], Comp[], 23, FALSE)</f>
        <v>0</v>
      </c>
      <c r="AA62">
        <f>VLOOKUP(Table9[[#This Row],[Shortname]], Comp[], 24, FALSE)</f>
        <v>0</v>
      </c>
      <c r="AB62">
        <f>VLOOKUP(Table9[[#This Row],[Shortname]], Comp[], 25, FALSE)</f>
        <v>0</v>
      </c>
      <c r="AC62">
        <f>VLOOKUP(Table9[[#This Row],[Shortname]], Comp[], 26, FALSE)</f>
        <v>0</v>
      </c>
      <c r="AD62">
        <f>VLOOKUP(Table9[[#This Row],[Shortname]], Comp[], 27, FALSE)</f>
        <v>0</v>
      </c>
      <c r="AE62">
        <f>VLOOKUP(Table9[[#This Row],[Shortname]], Comp[], 28, FALSE)</f>
        <v>0</v>
      </c>
      <c r="AF62">
        <f>VLOOKUP(Table9[[#This Row],[Shortname]], Comp[], 29, FALSE)</f>
        <v>0</v>
      </c>
      <c r="AG62">
        <f>VLOOKUP(Table9[[#This Row],[Shortname]], Comp[], 30, FALSE)</f>
        <v>0</v>
      </c>
      <c r="AH62">
        <f>VLOOKUP(Table9[[#This Row],[Shortname]], Comp[], 31, FALSE)</f>
        <v>0</v>
      </c>
    </row>
    <row r="63" spans="1:34" x14ac:dyDescent="0.3">
      <c r="A63" t="s">
        <v>2839</v>
      </c>
      <c r="B63" t="s">
        <v>2841</v>
      </c>
      <c r="C63" t="s">
        <v>2842</v>
      </c>
      <c r="D63">
        <v>741</v>
      </c>
      <c r="E63">
        <v>25</v>
      </c>
      <c r="F63">
        <v>1E-3</v>
      </c>
      <c r="G63">
        <v>1</v>
      </c>
      <c r="H63" t="s">
        <v>6803</v>
      </c>
      <c r="I63">
        <f>VLOOKUP(Table9[[#This Row],[Shortname]], Comp[], 6, FALSE)</f>
        <v>384</v>
      </c>
      <c r="J63" s="14">
        <f>VLOOKUP(Table9[[#This Row],[Shortname]], Comp[], 7, FALSE)</f>
        <v>50.400000000000006</v>
      </c>
      <c r="K63">
        <f>VLOOKUP(Table9[[#This Row],[Shortname]], Comp[], 8, FALSE)</f>
        <v>30.4</v>
      </c>
      <c r="L63">
        <f>VLOOKUP(Table9[[#This Row],[Shortname]], Comp[], 9, FALSE)</f>
        <v>9.5</v>
      </c>
      <c r="M63">
        <f>VLOOKUP(Table9[[#This Row],[Shortname]], Comp[], 10, FALSE)</f>
        <v>0</v>
      </c>
      <c r="N63">
        <f>VLOOKUP(Table9[[#This Row],[Shortname]], Comp[], 11, FALSE)</f>
        <v>0</v>
      </c>
      <c r="O63">
        <f>VLOOKUP(Table9[[#This Row],[Shortname]], Comp[],12, FALSE)</f>
        <v>0</v>
      </c>
      <c r="P63">
        <f>VLOOKUP(Table9[[#This Row],[Shortname]], Comp[], 13, FALSE)</f>
        <v>0</v>
      </c>
      <c r="Q63">
        <f>VLOOKUP(Table9[[#This Row],[Shortname]], Comp[], 14, FALSE)</f>
        <v>2.4</v>
      </c>
      <c r="R63">
        <f>VLOOKUP(Table9[[#This Row],[Shortname]], Comp[], 15, FALSE)</f>
        <v>0</v>
      </c>
      <c r="S63">
        <f>VLOOKUP(Table9[[#This Row],[Shortname]], Comp[], 16, FALSE)</f>
        <v>5.3</v>
      </c>
      <c r="T63">
        <f>VLOOKUP(Table9[[#This Row],[Shortname]], Comp[], 17, FALSE)</f>
        <v>0</v>
      </c>
      <c r="U63">
        <f>VLOOKUP(Table9[[#This Row],[Shortname]], Comp[], 18, FALSE)</f>
        <v>0</v>
      </c>
      <c r="V63">
        <f>VLOOKUP(Table9[[#This Row],[Shortname]], Comp[], 19, FALSE)</f>
        <v>0</v>
      </c>
      <c r="W63">
        <f>VLOOKUP(Table9[[#This Row],[Shortname]], Comp[], 20, FALSE)</f>
        <v>0</v>
      </c>
      <c r="X63">
        <f>VLOOKUP(Table9[[#This Row],[Shortname]], Comp[], 21, FALSE)</f>
        <v>2</v>
      </c>
      <c r="Y63">
        <f>VLOOKUP(Table9[[#This Row],[Shortname]], Comp[], 22, FALSE)</f>
        <v>0</v>
      </c>
      <c r="Z63">
        <f>VLOOKUP(Table9[[#This Row],[Shortname]], Comp[], 23, FALSE)</f>
        <v>0</v>
      </c>
      <c r="AA63">
        <f>VLOOKUP(Table9[[#This Row],[Shortname]], Comp[], 24, FALSE)</f>
        <v>0</v>
      </c>
      <c r="AB63">
        <f>VLOOKUP(Table9[[#This Row],[Shortname]], Comp[], 25, FALSE)</f>
        <v>0</v>
      </c>
      <c r="AC63">
        <f>VLOOKUP(Table9[[#This Row],[Shortname]], Comp[], 26, FALSE)</f>
        <v>0</v>
      </c>
      <c r="AD63">
        <f>VLOOKUP(Table9[[#This Row],[Shortname]], Comp[], 27, FALSE)</f>
        <v>0</v>
      </c>
      <c r="AE63">
        <f>VLOOKUP(Table9[[#This Row],[Shortname]], Comp[], 28, FALSE)</f>
        <v>0</v>
      </c>
      <c r="AF63">
        <f>VLOOKUP(Table9[[#This Row],[Shortname]], Comp[], 29, FALSE)</f>
        <v>0</v>
      </c>
      <c r="AG63">
        <f>VLOOKUP(Table9[[#This Row],[Shortname]], Comp[], 30, FALSE)</f>
        <v>0</v>
      </c>
      <c r="AH63">
        <f>VLOOKUP(Table9[[#This Row],[Shortname]], Comp[], 31, FALSE)</f>
        <v>0</v>
      </c>
    </row>
    <row r="64" spans="1:34" x14ac:dyDescent="0.3">
      <c r="A64" t="s">
        <v>534</v>
      </c>
      <c r="B64" t="s">
        <v>6695</v>
      </c>
      <c r="C64" t="s">
        <v>499</v>
      </c>
      <c r="D64">
        <v>735</v>
      </c>
      <c r="E64">
        <v>25</v>
      </c>
      <c r="F64">
        <v>1E-4</v>
      </c>
      <c r="G64">
        <v>1</v>
      </c>
      <c r="I64">
        <f>VLOOKUP(Table9[[#This Row],[Shortname]], Comp[], 6, FALSE)</f>
        <v>69</v>
      </c>
      <c r="J64" s="14">
        <f>VLOOKUP(Table9[[#This Row],[Shortname]], Comp[], 7, FALSE)</f>
        <v>72.3</v>
      </c>
      <c r="K64">
        <f>VLOOKUP(Table9[[#This Row],[Shortname]], Comp[], 8, FALSE)</f>
        <v>10.3</v>
      </c>
      <c r="L64">
        <f>VLOOKUP(Table9[[#This Row],[Shortname]], Comp[], 9, FALSE)</f>
        <v>6.3</v>
      </c>
      <c r="M64">
        <f>VLOOKUP(Table9[[#This Row],[Shortname]], Comp[], 10, FALSE)</f>
        <v>0</v>
      </c>
      <c r="N64">
        <f>VLOOKUP(Table9[[#This Row],[Shortname]], Comp[], 11, FALSE)</f>
        <v>7</v>
      </c>
      <c r="O64">
        <f>VLOOKUP(Table9[[#This Row],[Shortname]], Comp[],12, FALSE)</f>
        <v>4.0999999999999996</v>
      </c>
      <c r="P64">
        <f>VLOOKUP(Table9[[#This Row],[Shortname]], Comp[], 13, FALSE)</f>
        <v>0</v>
      </c>
      <c r="Q64">
        <f>VLOOKUP(Table9[[#This Row],[Shortname]], Comp[], 14, FALSE)</f>
        <v>0</v>
      </c>
      <c r="R64">
        <f>VLOOKUP(Table9[[#This Row],[Shortname]], Comp[], 15, FALSE)</f>
        <v>0</v>
      </c>
      <c r="S64">
        <f>VLOOKUP(Table9[[#This Row],[Shortname]], Comp[], 16, FALSE)</f>
        <v>0</v>
      </c>
      <c r="T64">
        <f>VLOOKUP(Table9[[#This Row],[Shortname]], Comp[], 17, FALSE)</f>
        <v>0</v>
      </c>
      <c r="U64">
        <f>VLOOKUP(Table9[[#This Row],[Shortname]], Comp[], 18, FALSE)</f>
        <v>0</v>
      </c>
      <c r="V64">
        <f>VLOOKUP(Table9[[#This Row],[Shortname]], Comp[], 19, FALSE)</f>
        <v>0</v>
      </c>
      <c r="W64">
        <f>VLOOKUP(Table9[[#This Row],[Shortname]], Comp[], 20, FALSE)</f>
        <v>0</v>
      </c>
      <c r="X64">
        <f>VLOOKUP(Table9[[#This Row],[Shortname]], Comp[], 21, FALSE)</f>
        <v>0</v>
      </c>
      <c r="Y64">
        <f>VLOOKUP(Table9[[#This Row],[Shortname]], Comp[], 22, FALSE)</f>
        <v>0</v>
      </c>
      <c r="Z64">
        <f>VLOOKUP(Table9[[#This Row],[Shortname]], Comp[], 23, FALSE)</f>
        <v>0</v>
      </c>
      <c r="AA64">
        <f>VLOOKUP(Table9[[#This Row],[Shortname]], Comp[], 24, FALSE)</f>
        <v>0</v>
      </c>
      <c r="AB64">
        <f>VLOOKUP(Table9[[#This Row],[Shortname]], Comp[], 25, FALSE)</f>
        <v>0</v>
      </c>
      <c r="AC64">
        <f>VLOOKUP(Table9[[#This Row],[Shortname]], Comp[], 26, FALSE)</f>
        <v>0</v>
      </c>
      <c r="AD64">
        <f>VLOOKUP(Table9[[#This Row],[Shortname]], Comp[], 27, FALSE)</f>
        <v>0</v>
      </c>
      <c r="AE64">
        <f>VLOOKUP(Table9[[#This Row],[Shortname]], Comp[], 28, FALSE)</f>
        <v>0</v>
      </c>
      <c r="AF64">
        <f>VLOOKUP(Table9[[#This Row],[Shortname]], Comp[], 29, FALSE)</f>
        <v>0</v>
      </c>
      <c r="AG64">
        <f>VLOOKUP(Table9[[#This Row],[Shortname]], Comp[], 30, FALSE)</f>
        <v>0</v>
      </c>
      <c r="AH64">
        <f>VLOOKUP(Table9[[#This Row],[Shortname]], Comp[], 31, FALSE)</f>
        <v>0</v>
      </c>
    </row>
    <row r="65" spans="1:34" x14ac:dyDescent="0.3">
      <c r="A65" t="s">
        <v>5053</v>
      </c>
      <c r="B65" t="s">
        <v>3927</v>
      </c>
      <c r="C65" t="s">
        <v>5054</v>
      </c>
      <c r="D65">
        <v>734.3</v>
      </c>
      <c r="E65">
        <v>25</v>
      </c>
      <c r="F65">
        <v>1E-3</v>
      </c>
      <c r="G65">
        <v>1</v>
      </c>
      <c r="I65">
        <f>VLOOKUP(Table9[[#This Row],[Shortname]], Comp[], 6, FALSE)</f>
        <v>779</v>
      </c>
      <c r="J65" s="14">
        <f>VLOOKUP(Table9[[#This Row],[Shortname]], Comp[], 7, FALSE)</f>
        <v>53</v>
      </c>
      <c r="K65">
        <f>VLOOKUP(Table9[[#This Row],[Shortname]], Comp[], 8, FALSE)</f>
        <v>30</v>
      </c>
      <c r="L65">
        <f>VLOOKUP(Table9[[#This Row],[Shortname]], Comp[], 9, FALSE)</f>
        <v>10</v>
      </c>
      <c r="M65">
        <f>VLOOKUP(Table9[[#This Row],[Shortname]], Comp[], 10, FALSE)</f>
        <v>0</v>
      </c>
      <c r="N65">
        <f>VLOOKUP(Table9[[#This Row],[Shortname]], Comp[], 11, FALSE)</f>
        <v>0</v>
      </c>
      <c r="O65">
        <f>VLOOKUP(Table9[[#This Row],[Shortname]], Comp[],12, FALSE)</f>
        <v>0</v>
      </c>
      <c r="P65">
        <f>VLOOKUP(Table9[[#This Row],[Shortname]], Comp[], 13, FALSE)</f>
        <v>0</v>
      </c>
      <c r="Q65">
        <f>VLOOKUP(Table9[[#This Row],[Shortname]], Comp[], 14, FALSE)</f>
        <v>2</v>
      </c>
      <c r="R65">
        <f>VLOOKUP(Table9[[#This Row],[Shortname]], Comp[], 15, FALSE)</f>
        <v>0</v>
      </c>
      <c r="S65">
        <f>VLOOKUP(Table9[[#This Row],[Shortname]], Comp[], 16, FALSE)</f>
        <v>5</v>
      </c>
      <c r="T65">
        <f>VLOOKUP(Table9[[#This Row],[Shortname]], Comp[], 17, FALSE)</f>
        <v>0</v>
      </c>
      <c r="U65">
        <f>VLOOKUP(Table9[[#This Row],[Shortname]], Comp[], 18, FALSE)</f>
        <v>0</v>
      </c>
      <c r="V65">
        <f>VLOOKUP(Table9[[#This Row],[Shortname]], Comp[], 19, FALSE)</f>
        <v>0</v>
      </c>
      <c r="W65">
        <f>VLOOKUP(Table9[[#This Row],[Shortname]], Comp[], 20, FALSE)</f>
        <v>0</v>
      </c>
      <c r="X65">
        <f>VLOOKUP(Table9[[#This Row],[Shortname]], Comp[], 21, FALSE)</f>
        <v>0</v>
      </c>
      <c r="Y65">
        <f>VLOOKUP(Table9[[#This Row],[Shortname]], Comp[], 22, FALSE)</f>
        <v>0</v>
      </c>
      <c r="Z65">
        <f>VLOOKUP(Table9[[#This Row],[Shortname]], Comp[], 23, FALSE)</f>
        <v>0</v>
      </c>
      <c r="AA65">
        <f>VLOOKUP(Table9[[#This Row],[Shortname]], Comp[], 24, FALSE)</f>
        <v>0</v>
      </c>
      <c r="AB65">
        <f>VLOOKUP(Table9[[#This Row],[Shortname]], Comp[], 25, FALSE)</f>
        <v>0</v>
      </c>
      <c r="AC65">
        <f>VLOOKUP(Table9[[#This Row],[Shortname]], Comp[], 26, FALSE)</f>
        <v>0</v>
      </c>
      <c r="AD65">
        <f>VLOOKUP(Table9[[#This Row],[Shortname]], Comp[], 27, FALSE)</f>
        <v>0</v>
      </c>
      <c r="AE65">
        <f>VLOOKUP(Table9[[#This Row],[Shortname]], Comp[], 28, FALSE)</f>
        <v>0</v>
      </c>
      <c r="AF65">
        <f>VLOOKUP(Table9[[#This Row],[Shortname]], Comp[], 29, FALSE)</f>
        <v>0</v>
      </c>
      <c r="AG65">
        <f>VLOOKUP(Table9[[#This Row],[Shortname]], Comp[], 30, FALSE)</f>
        <v>0</v>
      </c>
      <c r="AH65">
        <f>VLOOKUP(Table9[[#This Row],[Shortname]], Comp[], 31, FALSE)</f>
        <v>0</v>
      </c>
    </row>
    <row r="66" spans="1:34" x14ac:dyDescent="0.3">
      <c r="A66" t="s">
        <v>67</v>
      </c>
      <c r="B66" t="s">
        <v>69</v>
      </c>
      <c r="C66" t="s">
        <v>34</v>
      </c>
      <c r="D66">
        <v>734</v>
      </c>
      <c r="E66">
        <v>650</v>
      </c>
      <c r="F66">
        <v>1E-3</v>
      </c>
      <c r="G66">
        <v>1</v>
      </c>
      <c r="H66" t="s">
        <v>6807</v>
      </c>
      <c r="I66">
        <f>VLOOKUP(Table9[[#This Row],[Shortname]], Comp[], 6, FALSE)</f>
        <v>7</v>
      </c>
      <c r="J66" s="14">
        <f>VLOOKUP(Table9[[#This Row],[Shortname]], Comp[], 7, FALSE)</f>
        <v>40.259999999999991</v>
      </c>
      <c r="K66">
        <f>VLOOKUP(Table9[[#This Row],[Shortname]], Comp[], 8, FALSE)</f>
        <v>31.07</v>
      </c>
      <c r="L66">
        <f>VLOOKUP(Table9[[#This Row],[Shortname]], Comp[], 9, FALSE)</f>
        <v>10.6</v>
      </c>
      <c r="M66">
        <f>VLOOKUP(Table9[[#This Row],[Shortname]], Comp[], 10, FALSE)</f>
        <v>10.67</v>
      </c>
      <c r="N66">
        <f>VLOOKUP(Table9[[#This Row],[Shortname]], Comp[], 11, FALSE)</f>
        <v>0</v>
      </c>
      <c r="O66">
        <f>VLOOKUP(Table9[[#This Row],[Shortname]], Comp[],12, FALSE)</f>
        <v>0</v>
      </c>
      <c r="P66">
        <f>VLOOKUP(Table9[[#This Row],[Shortname]], Comp[], 13, FALSE)</f>
        <v>1.88</v>
      </c>
      <c r="Q66">
        <f>VLOOKUP(Table9[[#This Row],[Shortname]], Comp[], 14, FALSE)</f>
        <v>0.99</v>
      </c>
      <c r="R66">
        <f>VLOOKUP(Table9[[#This Row],[Shortname]], Comp[], 15, FALSE)</f>
        <v>0</v>
      </c>
      <c r="S66">
        <f>VLOOKUP(Table9[[#This Row],[Shortname]], Comp[], 16, FALSE)</f>
        <v>3.99</v>
      </c>
      <c r="T66">
        <f>VLOOKUP(Table9[[#This Row],[Shortname]], Comp[], 17, FALSE)</f>
        <v>0.31</v>
      </c>
      <c r="U66">
        <f>VLOOKUP(Table9[[#This Row],[Shortname]], Comp[], 18, FALSE)</f>
        <v>0.04</v>
      </c>
      <c r="V66">
        <f>VLOOKUP(Table9[[#This Row],[Shortname]], Comp[], 19, FALSE)</f>
        <v>0.19</v>
      </c>
      <c r="W66">
        <f>VLOOKUP(Table9[[#This Row],[Shortname]], Comp[], 20, FALSE)</f>
        <v>0</v>
      </c>
      <c r="X66">
        <f>VLOOKUP(Table9[[#This Row],[Shortname]], Comp[], 21, FALSE)</f>
        <v>0</v>
      </c>
      <c r="Y66">
        <f>VLOOKUP(Table9[[#This Row],[Shortname]], Comp[], 22, FALSE)</f>
        <v>0</v>
      </c>
      <c r="Z66">
        <f>VLOOKUP(Table9[[#This Row],[Shortname]], Comp[], 23, FALSE)</f>
        <v>0</v>
      </c>
      <c r="AA66">
        <f>VLOOKUP(Table9[[#This Row],[Shortname]], Comp[], 24, FALSE)</f>
        <v>0</v>
      </c>
      <c r="AB66">
        <f>VLOOKUP(Table9[[#This Row],[Shortname]], Comp[], 25, FALSE)</f>
        <v>0</v>
      </c>
      <c r="AC66">
        <f>VLOOKUP(Table9[[#This Row],[Shortname]], Comp[], 26, FALSE)</f>
        <v>0</v>
      </c>
      <c r="AD66">
        <f>VLOOKUP(Table9[[#This Row],[Shortname]], Comp[], 27, FALSE)</f>
        <v>0</v>
      </c>
      <c r="AE66">
        <f>VLOOKUP(Table9[[#This Row],[Shortname]], Comp[], 28, FALSE)</f>
        <v>0</v>
      </c>
      <c r="AF66">
        <f>VLOOKUP(Table9[[#This Row],[Shortname]], Comp[], 29, FALSE)</f>
        <v>0</v>
      </c>
      <c r="AG66">
        <f>VLOOKUP(Table9[[#This Row],[Shortname]], Comp[], 30, FALSE)</f>
        <v>0</v>
      </c>
      <c r="AH66">
        <f>VLOOKUP(Table9[[#This Row],[Shortname]], Comp[], 31, FALSE)</f>
        <v>0</v>
      </c>
    </row>
    <row r="67" spans="1:34" x14ac:dyDescent="0.3">
      <c r="A67" t="s">
        <v>1788</v>
      </c>
      <c r="B67" t="s">
        <v>1790</v>
      </c>
      <c r="C67" t="s">
        <v>1791</v>
      </c>
      <c r="D67">
        <v>730</v>
      </c>
      <c r="E67">
        <v>850</v>
      </c>
      <c r="F67">
        <v>1E-3</v>
      </c>
      <c r="G67">
        <v>1</v>
      </c>
      <c r="I67">
        <f>VLOOKUP(Table9[[#This Row],[Shortname]], Comp[], 6, FALSE)</f>
        <v>231</v>
      </c>
      <c r="J67" s="14">
        <f>VLOOKUP(Table9[[#This Row],[Shortname]], Comp[], 7, FALSE)</f>
        <v>36.11</v>
      </c>
      <c r="K67">
        <f>VLOOKUP(Table9[[#This Row],[Shortname]], Comp[], 8, FALSE)</f>
        <v>34.200000000000003</v>
      </c>
      <c r="L67">
        <f>VLOOKUP(Table9[[#This Row],[Shortname]], Comp[], 9, FALSE)</f>
        <v>10.5</v>
      </c>
      <c r="M67">
        <f>VLOOKUP(Table9[[#This Row],[Shortname]], Comp[], 10, FALSE)</f>
        <v>14.8</v>
      </c>
      <c r="N67">
        <f>VLOOKUP(Table9[[#This Row],[Shortname]], Comp[], 11, FALSE)</f>
        <v>3</v>
      </c>
      <c r="O67">
        <f>VLOOKUP(Table9[[#This Row],[Shortname]], Comp[],12, FALSE)</f>
        <v>0</v>
      </c>
      <c r="P67">
        <f>VLOOKUP(Table9[[#This Row],[Shortname]], Comp[], 13, FALSE)</f>
        <v>1</v>
      </c>
      <c r="Q67">
        <f>VLOOKUP(Table9[[#This Row],[Shortname]], Comp[], 14, FALSE)</f>
        <v>0</v>
      </c>
      <c r="R67">
        <f>VLOOKUP(Table9[[#This Row],[Shortname]], Comp[], 15, FALSE)</f>
        <v>0</v>
      </c>
      <c r="S67">
        <f>VLOOKUP(Table9[[#This Row],[Shortname]], Comp[], 16, FALSE)</f>
        <v>0</v>
      </c>
      <c r="T67">
        <f>VLOOKUP(Table9[[#This Row],[Shortname]], Comp[], 17, FALSE)</f>
        <v>0.15</v>
      </c>
      <c r="U67">
        <f>VLOOKUP(Table9[[#This Row],[Shortname]], Comp[], 18, FALSE)</f>
        <v>0.04</v>
      </c>
      <c r="V67">
        <f>VLOOKUP(Table9[[#This Row],[Shortname]], Comp[], 19, FALSE)</f>
        <v>0.2</v>
      </c>
      <c r="W67">
        <f>VLOOKUP(Table9[[#This Row],[Shortname]], Comp[], 20, FALSE)</f>
        <v>0</v>
      </c>
      <c r="X67">
        <f>VLOOKUP(Table9[[#This Row],[Shortname]], Comp[], 21, FALSE)</f>
        <v>0</v>
      </c>
      <c r="Y67">
        <f>VLOOKUP(Table9[[#This Row],[Shortname]], Comp[], 22, FALSE)</f>
        <v>0</v>
      </c>
      <c r="Z67">
        <f>VLOOKUP(Table9[[#This Row],[Shortname]], Comp[], 23, FALSE)</f>
        <v>0</v>
      </c>
      <c r="AA67">
        <f>VLOOKUP(Table9[[#This Row],[Shortname]], Comp[], 24, FALSE)</f>
        <v>0</v>
      </c>
      <c r="AB67">
        <f>VLOOKUP(Table9[[#This Row],[Shortname]], Comp[], 25, FALSE)</f>
        <v>0</v>
      </c>
      <c r="AC67">
        <f>VLOOKUP(Table9[[#This Row],[Shortname]], Comp[], 26, FALSE)</f>
        <v>0</v>
      </c>
      <c r="AD67">
        <f>VLOOKUP(Table9[[#This Row],[Shortname]], Comp[], 27, FALSE)</f>
        <v>0</v>
      </c>
      <c r="AE67">
        <f>VLOOKUP(Table9[[#This Row],[Shortname]], Comp[], 28, FALSE)</f>
        <v>0</v>
      </c>
      <c r="AF67">
        <f>VLOOKUP(Table9[[#This Row],[Shortname]], Comp[], 29, FALSE)</f>
        <v>0</v>
      </c>
      <c r="AG67">
        <f>VLOOKUP(Table9[[#This Row],[Shortname]], Comp[], 30, FALSE)</f>
        <v>0</v>
      </c>
      <c r="AH67">
        <f>VLOOKUP(Table9[[#This Row],[Shortname]], Comp[], 31, FALSE)</f>
        <v>0</v>
      </c>
    </row>
    <row r="68" spans="1:34" x14ac:dyDescent="0.3">
      <c r="A68" t="s">
        <v>4430</v>
      </c>
      <c r="B68" t="s">
        <v>4409</v>
      </c>
      <c r="C68" t="s">
        <v>4415</v>
      </c>
      <c r="D68">
        <v>729</v>
      </c>
      <c r="E68">
        <v>750</v>
      </c>
      <c r="F68">
        <v>1E-4</v>
      </c>
      <c r="G68">
        <v>1</v>
      </c>
      <c r="H68" t="s">
        <v>6803</v>
      </c>
      <c r="I68">
        <f>VLOOKUP(Table9[[#This Row],[Shortname]], Comp[], 6, FALSE)</f>
        <v>674</v>
      </c>
      <c r="J68" s="14">
        <f>VLOOKUP(Table9[[#This Row],[Shortname]], Comp[], 7, FALSE)</f>
        <v>42.326000000000001</v>
      </c>
      <c r="K68">
        <f>VLOOKUP(Table9[[#This Row],[Shortname]], Comp[], 8, FALSE)</f>
        <v>30</v>
      </c>
      <c r="L68">
        <f>VLOOKUP(Table9[[#This Row],[Shortname]], Comp[], 9, FALSE)</f>
        <v>7</v>
      </c>
      <c r="M68">
        <f>VLOOKUP(Table9[[#This Row],[Shortname]], Comp[], 10, FALSE)</f>
        <v>12</v>
      </c>
      <c r="N68">
        <f>VLOOKUP(Table9[[#This Row],[Shortname]], Comp[], 11, FALSE)</f>
        <v>2</v>
      </c>
      <c r="O68">
        <f>VLOOKUP(Table9[[#This Row],[Shortname]], Comp[],12, FALSE)</f>
        <v>3.5</v>
      </c>
      <c r="P68">
        <f>VLOOKUP(Table9[[#This Row],[Shortname]], Comp[], 13, FALSE)</f>
        <v>1</v>
      </c>
      <c r="Q68">
        <f>VLOOKUP(Table9[[#This Row],[Shortname]], Comp[], 14, FALSE)</f>
        <v>0</v>
      </c>
      <c r="R68">
        <f>VLOOKUP(Table9[[#This Row],[Shortname]], Comp[], 15, FALSE)</f>
        <v>0</v>
      </c>
      <c r="S68">
        <f>VLOOKUP(Table9[[#This Row],[Shortname]], Comp[], 16, FALSE)</f>
        <v>1.5</v>
      </c>
      <c r="T68">
        <f>VLOOKUP(Table9[[#This Row],[Shortname]], Comp[], 17, FALSE)</f>
        <v>0.08</v>
      </c>
      <c r="U68">
        <f>VLOOKUP(Table9[[#This Row],[Shortname]], Comp[], 18, FALSE)</f>
        <v>8.9999999999999993E-3</v>
      </c>
      <c r="V68">
        <f>VLOOKUP(Table9[[#This Row],[Shortname]], Comp[], 19, FALSE)</f>
        <v>8.5000000000000006E-2</v>
      </c>
      <c r="W68">
        <f>VLOOKUP(Table9[[#This Row],[Shortname]], Comp[], 20, FALSE)</f>
        <v>0</v>
      </c>
      <c r="X68">
        <f>VLOOKUP(Table9[[#This Row],[Shortname]], Comp[], 21, FALSE)</f>
        <v>0</v>
      </c>
      <c r="Y68">
        <f>VLOOKUP(Table9[[#This Row],[Shortname]], Comp[], 22, FALSE)</f>
        <v>0.39</v>
      </c>
      <c r="Z68">
        <f>VLOOKUP(Table9[[#This Row],[Shortname]], Comp[], 23, FALSE)</f>
        <v>0</v>
      </c>
      <c r="AA68">
        <f>VLOOKUP(Table9[[#This Row],[Shortname]], Comp[], 24, FALSE)</f>
        <v>0</v>
      </c>
      <c r="AB68">
        <f>VLOOKUP(Table9[[#This Row],[Shortname]], Comp[], 25, FALSE)</f>
        <v>0.11</v>
      </c>
      <c r="AC68">
        <f>VLOOKUP(Table9[[#This Row],[Shortname]], Comp[], 26, FALSE)</f>
        <v>0</v>
      </c>
      <c r="AD68">
        <f>VLOOKUP(Table9[[#This Row],[Shortname]], Comp[], 27, FALSE)</f>
        <v>0</v>
      </c>
      <c r="AE68">
        <f>VLOOKUP(Table9[[#This Row],[Shortname]], Comp[], 28, FALSE)</f>
        <v>0</v>
      </c>
      <c r="AF68">
        <f>VLOOKUP(Table9[[#This Row],[Shortname]], Comp[], 29, FALSE)</f>
        <v>0</v>
      </c>
      <c r="AG68">
        <f>VLOOKUP(Table9[[#This Row],[Shortname]], Comp[], 30, FALSE)</f>
        <v>0</v>
      </c>
      <c r="AH68">
        <f>VLOOKUP(Table9[[#This Row],[Shortname]], Comp[], 31, FALSE)</f>
        <v>0</v>
      </c>
    </row>
    <row r="69" spans="1:34" x14ac:dyDescent="0.3">
      <c r="A69" t="s">
        <v>67</v>
      </c>
      <c r="B69" t="s">
        <v>69</v>
      </c>
      <c r="C69" t="s">
        <v>43</v>
      </c>
      <c r="D69">
        <v>728</v>
      </c>
      <c r="E69">
        <v>700</v>
      </c>
      <c r="F69">
        <v>1E-3</v>
      </c>
      <c r="G69">
        <v>1</v>
      </c>
      <c r="H69" t="s">
        <v>6807</v>
      </c>
      <c r="I69">
        <f>VLOOKUP(Table9[[#This Row],[Shortname]], Comp[], 6, FALSE)</f>
        <v>7</v>
      </c>
      <c r="J69" s="14">
        <f>VLOOKUP(Table9[[#This Row],[Shortname]], Comp[], 7, FALSE)</f>
        <v>40.259999999999991</v>
      </c>
      <c r="K69">
        <f>VLOOKUP(Table9[[#This Row],[Shortname]], Comp[], 8, FALSE)</f>
        <v>31.07</v>
      </c>
      <c r="L69">
        <f>VLOOKUP(Table9[[#This Row],[Shortname]], Comp[], 9, FALSE)</f>
        <v>10.6</v>
      </c>
      <c r="M69">
        <f>VLOOKUP(Table9[[#This Row],[Shortname]], Comp[], 10, FALSE)</f>
        <v>10.67</v>
      </c>
      <c r="N69">
        <f>VLOOKUP(Table9[[#This Row],[Shortname]], Comp[], 11, FALSE)</f>
        <v>0</v>
      </c>
      <c r="O69">
        <f>VLOOKUP(Table9[[#This Row],[Shortname]], Comp[],12, FALSE)</f>
        <v>0</v>
      </c>
      <c r="P69">
        <f>VLOOKUP(Table9[[#This Row],[Shortname]], Comp[], 13, FALSE)</f>
        <v>1.88</v>
      </c>
      <c r="Q69">
        <f>VLOOKUP(Table9[[#This Row],[Shortname]], Comp[], 14, FALSE)</f>
        <v>0.99</v>
      </c>
      <c r="R69">
        <f>VLOOKUP(Table9[[#This Row],[Shortname]], Comp[], 15, FALSE)</f>
        <v>0</v>
      </c>
      <c r="S69">
        <f>VLOOKUP(Table9[[#This Row],[Shortname]], Comp[], 16, FALSE)</f>
        <v>3.99</v>
      </c>
      <c r="T69">
        <f>VLOOKUP(Table9[[#This Row],[Shortname]], Comp[], 17, FALSE)</f>
        <v>0.31</v>
      </c>
      <c r="U69">
        <f>VLOOKUP(Table9[[#This Row],[Shortname]], Comp[], 18, FALSE)</f>
        <v>0.04</v>
      </c>
      <c r="V69">
        <f>VLOOKUP(Table9[[#This Row],[Shortname]], Comp[], 19, FALSE)</f>
        <v>0.19</v>
      </c>
      <c r="W69">
        <f>VLOOKUP(Table9[[#This Row],[Shortname]], Comp[], 20, FALSE)</f>
        <v>0</v>
      </c>
      <c r="X69">
        <f>VLOOKUP(Table9[[#This Row],[Shortname]], Comp[], 21, FALSE)</f>
        <v>0</v>
      </c>
      <c r="Y69">
        <f>VLOOKUP(Table9[[#This Row],[Shortname]], Comp[], 22, FALSE)</f>
        <v>0</v>
      </c>
      <c r="Z69">
        <f>VLOOKUP(Table9[[#This Row],[Shortname]], Comp[], 23, FALSE)</f>
        <v>0</v>
      </c>
      <c r="AA69">
        <f>VLOOKUP(Table9[[#This Row],[Shortname]], Comp[], 24, FALSE)</f>
        <v>0</v>
      </c>
      <c r="AB69">
        <f>VLOOKUP(Table9[[#This Row],[Shortname]], Comp[], 25, FALSE)</f>
        <v>0</v>
      </c>
      <c r="AC69">
        <f>VLOOKUP(Table9[[#This Row],[Shortname]], Comp[], 26, FALSE)</f>
        <v>0</v>
      </c>
      <c r="AD69">
        <f>VLOOKUP(Table9[[#This Row],[Shortname]], Comp[], 27, FALSE)</f>
        <v>0</v>
      </c>
      <c r="AE69">
        <f>VLOOKUP(Table9[[#This Row],[Shortname]], Comp[], 28, FALSE)</f>
        <v>0</v>
      </c>
      <c r="AF69">
        <f>VLOOKUP(Table9[[#This Row],[Shortname]], Comp[], 29, FALSE)</f>
        <v>0</v>
      </c>
      <c r="AG69">
        <f>VLOOKUP(Table9[[#This Row],[Shortname]], Comp[], 30, FALSE)</f>
        <v>0</v>
      </c>
      <c r="AH69">
        <f>VLOOKUP(Table9[[#This Row],[Shortname]], Comp[], 31, FALSE)</f>
        <v>0</v>
      </c>
    </row>
    <row r="70" spans="1:34" x14ac:dyDescent="0.3">
      <c r="A70" t="s">
        <v>82</v>
      </c>
      <c r="B70" t="s">
        <v>84</v>
      </c>
      <c r="C70" t="s">
        <v>6808</v>
      </c>
      <c r="D70">
        <v>728</v>
      </c>
      <c r="E70">
        <v>700</v>
      </c>
      <c r="F70">
        <v>1E-3</v>
      </c>
      <c r="G70">
        <v>1</v>
      </c>
      <c r="H70" t="s">
        <v>6807</v>
      </c>
      <c r="I70">
        <f>VLOOKUP(Table9[[#This Row],[Shortname]], Comp[], 6, FALSE)</f>
        <v>8</v>
      </c>
      <c r="J70" s="14">
        <f>VLOOKUP(Table9[[#This Row],[Shortname]], Comp[], 7, FALSE)</f>
        <v>40.210000000000008</v>
      </c>
      <c r="K70">
        <f>VLOOKUP(Table9[[#This Row],[Shortname]], Comp[], 8, FALSE)</f>
        <v>31.14</v>
      </c>
      <c r="L70">
        <f>VLOOKUP(Table9[[#This Row],[Shortname]], Comp[], 9, FALSE)</f>
        <v>10.76</v>
      </c>
      <c r="M70">
        <f>VLOOKUP(Table9[[#This Row],[Shortname]], Comp[], 10, FALSE)</f>
        <v>10.83</v>
      </c>
      <c r="N70">
        <f>VLOOKUP(Table9[[#This Row],[Shortname]], Comp[], 11, FALSE)</f>
        <v>0</v>
      </c>
      <c r="O70">
        <f>VLOOKUP(Table9[[#This Row],[Shortname]], Comp[],12, FALSE)</f>
        <v>0</v>
      </c>
      <c r="P70">
        <f>VLOOKUP(Table9[[#This Row],[Shortname]], Comp[], 13, FALSE)</f>
        <v>2.54</v>
      </c>
      <c r="Q70">
        <f>VLOOKUP(Table9[[#This Row],[Shortname]], Comp[], 14, FALSE)</f>
        <v>0</v>
      </c>
      <c r="R70">
        <f>VLOOKUP(Table9[[#This Row],[Shortname]], Comp[], 15, FALSE)</f>
        <v>0</v>
      </c>
      <c r="S70">
        <f>VLOOKUP(Table9[[#This Row],[Shortname]], Comp[], 16, FALSE)</f>
        <v>4.03</v>
      </c>
      <c r="T70">
        <f>VLOOKUP(Table9[[#This Row],[Shortname]], Comp[], 17, FALSE)</f>
        <v>0.22</v>
      </c>
      <c r="U70">
        <f>VLOOKUP(Table9[[#This Row],[Shortname]], Comp[], 18, FALSE)</f>
        <v>0.05</v>
      </c>
      <c r="V70">
        <f>VLOOKUP(Table9[[#This Row],[Shortname]], Comp[], 19, FALSE)</f>
        <v>0.22</v>
      </c>
      <c r="W70">
        <f>VLOOKUP(Table9[[#This Row],[Shortname]], Comp[], 20, FALSE)</f>
        <v>0</v>
      </c>
      <c r="X70">
        <f>VLOOKUP(Table9[[#This Row],[Shortname]], Comp[], 21, FALSE)</f>
        <v>0</v>
      </c>
      <c r="Y70">
        <f>VLOOKUP(Table9[[#This Row],[Shortname]], Comp[], 22, FALSE)</f>
        <v>0</v>
      </c>
      <c r="Z70">
        <f>VLOOKUP(Table9[[#This Row],[Shortname]], Comp[], 23, FALSE)</f>
        <v>0</v>
      </c>
      <c r="AA70">
        <f>VLOOKUP(Table9[[#This Row],[Shortname]], Comp[], 24, FALSE)</f>
        <v>0</v>
      </c>
      <c r="AB70">
        <f>VLOOKUP(Table9[[#This Row],[Shortname]], Comp[], 25, FALSE)</f>
        <v>0</v>
      </c>
      <c r="AC70">
        <f>VLOOKUP(Table9[[#This Row],[Shortname]], Comp[], 26, FALSE)</f>
        <v>0</v>
      </c>
      <c r="AD70">
        <f>VLOOKUP(Table9[[#This Row],[Shortname]], Comp[], 27, FALSE)</f>
        <v>0</v>
      </c>
      <c r="AE70">
        <f>VLOOKUP(Table9[[#This Row],[Shortname]], Comp[], 28, FALSE)</f>
        <v>0</v>
      </c>
      <c r="AF70">
        <f>VLOOKUP(Table9[[#This Row],[Shortname]], Comp[], 29, FALSE)</f>
        <v>0</v>
      </c>
      <c r="AG70">
        <f>VLOOKUP(Table9[[#This Row],[Shortname]], Comp[], 30, FALSE)</f>
        <v>0</v>
      </c>
      <c r="AH70">
        <f>VLOOKUP(Table9[[#This Row],[Shortname]], Comp[], 31, FALSE)</f>
        <v>0</v>
      </c>
    </row>
    <row r="71" spans="1:34" x14ac:dyDescent="0.3">
      <c r="A71" t="s">
        <v>67</v>
      </c>
      <c r="B71" t="s">
        <v>69</v>
      </c>
      <c r="C71" t="s">
        <v>61</v>
      </c>
      <c r="D71">
        <v>726</v>
      </c>
      <c r="E71">
        <v>800</v>
      </c>
      <c r="F71">
        <v>1E-3</v>
      </c>
      <c r="G71">
        <v>1</v>
      </c>
      <c r="H71" t="s">
        <v>6807</v>
      </c>
      <c r="I71">
        <f>VLOOKUP(Table9[[#This Row],[Shortname]], Comp[], 6, FALSE)</f>
        <v>7</v>
      </c>
      <c r="J71" s="14">
        <f>VLOOKUP(Table9[[#This Row],[Shortname]], Comp[], 7, FALSE)</f>
        <v>40.259999999999991</v>
      </c>
      <c r="K71">
        <f>VLOOKUP(Table9[[#This Row],[Shortname]], Comp[], 8, FALSE)</f>
        <v>31.07</v>
      </c>
      <c r="L71">
        <f>VLOOKUP(Table9[[#This Row],[Shortname]], Comp[], 9, FALSE)</f>
        <v>10.6</v>
      </c>
      <c r="M71">
        <f>VLOOKUP(Table9[[#This Row],[Shortname]], Comp[], 10, FALSE)</f>
        <v>10.67</v>
      </c>
      <c r="N71">
        <f>VLOOKUP(Table9[[#This Row],[Shortname]], Comp[], 11, FALSE)</f>
        <v>0</v>
      </c>
      <c r="O71">
        <f>VLOOKUP(Table9[[#This Row],[Shortname]], Comp[],12, FALSE)</f>
        <v>0</v>
      </c>
      <c r="P71">
        <f>VLOOKUP(Table9[[#This Row],[Shortname]], Comp[], 13, FALSE)</f>
        <v>1.88</v>
      </c>
      <c r="Q71">
        <f>VLOOKUP(Table9[[#This Row],[Shortname]], Comp[], 14, FALSE)</f>
        <v>0.99</v>
      </c>
      <c r="R71">
        <f>VLOOKUP(Table9[[#This Row],[Shortname]], Comp[], 15, FALSE)</f>
        <v>0</v>
      </c>
      <c r="S71">
        <f>VLOOKUP(Table9[[#This Row],[Shortname]], Comp[], 16, FALSE)</f>
        <v>3.99</v>
      </c>
      <c r="T71">
        <f>VLOOKUP(Table9[[#This Row],[Shortname]], Comp[], 17, FALSE)</f>
        <v>0.31</v>
      </c>
      <c r="U71">
        <f>VLOOKUP(Table9[[#This Row],[Shortname]], Comp[], 18, FALSE)</f>
        <v>0.04</v>
      </c>
      <c r="V71">
        <f>VLOOKUP(Table9[[#This Row],[Shortname]], Comp[], 19, FALSE)</f>
        <v>0.19</v>
      </c>
      <c r="W71">
        <f>VLOOKUP(Table9[[#This Row],[Shortname]], Comp[], 20, FALSE)</f>
        <v>0</v>
      </c>
      <c r="X71">
        <f>VLOOKUP(Table9[[#This Row],[Shortname]], Comp[], 21, FALSE)</f>
        <v>0</v>
      </c>
      <c r="Y71">
        <f>VLOOKUP(Table9[[#This Row],[Shortname]], Comp[], 22, FALSE)</f>
        <v>0</v>
      </c>
      <c r="Z71">
        <f>VLOOKUP(Table9[[#This Row],[Shortname]], Comp[], 23, FALSE)</f>
        <v>0</v>
      </c>
      <c r="AA71">
        <f>VLOOKUP(Table9[[#This Row],[Shortname]], Comp[], 24, FALSE)</f>
        <v>0</v>
      </c>
      <c r="AB71">
        <f>VLOOKUP(Table9[[#This Row],[Shortname]], Comp[], 25, FALSE)</f>
        <v>0</v>
      </c>
      <c r="AC71">
        <f>VLOOKUP(Table9[[#This Row],[Shortname]], Comp[], 26, FALSE)</f>
        <v>0</v>
      </c>
      <c r="AD71">
        <f>VLOOKUP(Table9[[#This Row],[Shortname]], Comp[], 27, FALSE)</f>
        <v>0</v>
      </c>
      <c r="AE71">
        <f>VLOOKUP(Table9[[#This Row],[Shortname]], Comp[], 28, FALSE)</f>
        <v>0</v>
      </c>
      <c r="AF71">
        <f>VLOOKUP(Table9[[#This Row],[Shortname]], Comp[], 29, FALSE)</f>
        <v>0</v>
      </c>
      <c r="AG71">
        <f>VLOOKUP(Table9[[#This Row],[Shortname]], Comp[], 30, FALSE)</f>
        <v>0</v>
      </c>
      <c r="AH71">
        <f>VLOOKUP(Table9[[#This Row],[Shortname]], Comp[], 31, FALSE)</f>
        <v>0</v>
      </c>
    </row>
    <row r="72" spans="1:34" x14ac:dyDescent="0.3">
      <c r="A72" t="s">
        <v>5057</v>
      </c>
      <c r="B72" t="s">
        <v>5059</v>
      </c>
      <c r="C72" t="s">
        <v>5054</v>
      </c>
      <c r="D72">
        <v>725.24</v>
      </c>
      <c r="E72">
        <v>25</v>
      </c>
      <c r="F72">
        <v>1E-3</v>
      </c>
      <c r="G72">
        <v>1</v>
      </c>
      <c r="I72">
        <f>VLOOKUP(Table9[[#This Row],[Shortname]], Comp[], 6, FALSE)</f>
        <v>780</v>
      </c>
      <c r="J72" s="14">
        <f>VLOOKUP(Table9[[#This Row],[Shortname]], Comp[], 7, FALSE)</f>
        <v>43</v>
      </c>
      <c r="K72">
        <f>VLOOKUP(Table9[[#This Row],[Shortname]], Comp[], 8, FALSE)</f>
        <v>30</v>
      </c>
      <c r="L72">
        <f>VLOOKUP(Table9[[#This Row],[Shortname]], Comp[], 9, FALSE)</f>
        <v>10</v>
      </c>
      <c r="M72">
        <f>VLOOKUP(Table9[[#This Row],[Shortname]], Comp[], 10, FALSE)</f>
        <v>10</v>
      </c>
      <c r="N72">
        <f>VLOOKUP(Table9[[#This Row],[Shortname]], Comp[], 11, FALSE)</f>
        <v>0</v>
      </c>
      <c r="O72">
        <f>VLOOKUP(Table9[[#This Row],[Shortname]], Comp[],12, FALSE)</f>
        <v>0</v>
      </c>
      <c r="P72">
        <f>VLOOKUP(Table9[[#This Row],[Shortname]], Comp[], 13, FALSE)</f>
        <v>0</v>
      </c>
      <c r="Q72">
        <f>VLOOKUP(Table9[[#This Row],[Shortname]], Comp[], 14, FALSE)</f>
        <v>2</v>
      </c>
      <c r="R72">
        <f>VLOOKUP(Table9[[#This Row],[Shortname]], Comp[], 15, FALSE)</f>
        <v>0</v>
      </c>
      <c r="S72">
        <f>VLOOKUP(Table9[[#This Row],[Shortname]], Comp[], 16, FALSE)</f>
        <v>5</v>
      </c>
      <c r="T72">
        <f>VLOOKUP(Table9[[#This Row],[Shortname]], Comp[], 17, FALSE)</f>
        <v>0</v>
      </c>
      <c r="U72">
        <f>VLOOKUP(Table9[[#This Row],[Shortname]], Comp[], 18, FALSE)</f>
        <v>0</v>
      </c>
      <c r="V72">
        <f>VLOOKUP(Table9[[#This Row],[Shortname]], Comp[], 19, FALSE)</f>
        <v>0</v>
      </c>
      <c r="W72">
        <f>VLOOKUP(Table9[[#This Row],[Shortname]], Comp[], 20, FALSE)</f>
        <v>0</v>
      </c>
      <c r="X72">
        <f>VLOOKUP(Table9[[#This Row],[Shortname]], Comp[], 21, FALSE)</f>
        <v>0</v>
      </c>
      <c r="Y72">
        <f>VLOOKUP(Table9[[#This Row],[Shortname]], Comp[], 22, FALSE)</f>
        <v>0</v>
      </c>
      <c r="Z72">
        <f>VLOOKUP(Table9[[#This Row],[Shortname]], Comp[], 23, FALSE)</f>
        <v>0</v>
      </c>
      <c r="AA72">
        <f>VLOOKUP(Table9[[#This Row],[Shortname]], Comp[], 24, FALSE)</f>
        <v>0</v>
      </c>
      <c r="AB72">
        <f>VLOOKUP(Table9[[#This Row],[Shortname]], Comp[], 25, FALSE)</f>
        <v>0</v>
      </c>
      <c r="AC72">
        <f>VLOOKUP(Table9[[#This Row],[Shortname]], Comp[], 26, FALSE)</f>
        <v>0</v>
      </c>
      <c r="AD72">
        <f>VLOOKUP(Table9[[#This Row],[Shortname]], Comp[], 27, FALSE)</f>
        <v>0</v>
      </c>
      <c r="AE72">
        <f>VLOOKUP(Table9[[#This Row],[Shortname]], Comp[], 28, FALSE)</f>
        <v>0</v>
      </c>
      <c r="AF72">
        <f>VLOOKUP(Table9[[#This Row],[Shortname]], Comp[], 29, FALSE)</f>
        <v>0</v>
      </c>
      <c r="AG72">
        <f>VLOOKUP(Table9[[#This Row],[Shortname]], Comp[], 30, FALSE)</f>
        <v>0</v>
      </c>
      <c r="AH72">
        <f>VLOOKUP(Table9[[#This Row],[Shortname]], Comp[], 31, FALSE)</f>
        <v>0</v>
      </c>
    </row>
    <row r="73" spans="1:34" x14ac:dyDescent="0.3">
      <c r="A73" t="s">
        <v>525</v>
      </c>
      <c r="B73" t="s">
        <v>6694</v>
      </c>
      <c r="C73" t="s">
        <v>499</v>
      </c>
      <c r="D73">
        <v>724</v>
      </c>
      <c r="E73">
        <v>800</v>
      </c>
      <c r="F73">
        <v>1E-4</v>
      </c>
      <c r="G73">
        <v>1</v>
      </c>
      <c r="I73">
        <f>VLOOKUP(Table9[[#This Row],[Shortname]], Comp[], 6, FALSE)</f>
        <v>68</v>
      </c>
      <c r="J73" s="14">
        <f>VLOOKUP(Table9[[#This Row],[Shortname]], Comp[], 7, FALSE)</f>
        <v>72.400000000000006</v>
      </c>
      <c r="K73">
        <f>VLOOKUP(Table9[[#This Row],[Shortname]], Comp[], 8, FALSE)</f>
        <v>10.199999999999999</v>
      </c>
      <c r="L73">
        <f>VLOOKUP(Table9[[#This Row],[Shortname]], Comp[], 9, FALSE)</f>
        <v>5.4</v>
      </c>
      <c r="M73">
        <f>VLOOKUP(Table9[[#This Row],[Shortname]], Comp[], 10, FALSE)</f>
        <v>0</v>
      </c>
      <c r="N73">
        <f>VLOOKUP(Table9[[#This Row],[Shortname]], Comp[], 11, FALSE)</f>
        <v>6.1</v>
      </c>
      <c r="O73">
        <f>VLOOKUP(Table9[[#This Row],[Shortname]], Comp[],12, FALSE)</f>
        <v>5.9</v>
      </c>
      <c r="P73">
        <f>VLOOKUP(Table9[[#This Row],[Shortname]], Comp[], 13, FALSE)</f>
        <v>0</v>
      </c>
      <c r="Q73">
        <f>VLOOKUP(Table9[[#This Row],[Shortname]], Comp[], 14, FALSE)</f>
        <v>0</v>
      </c>
      <c r="R73">
        <f>VLOOKUP(Table9[[#This Row],[Shortname]], Comp[], 15, FALSE)</f>
        <v>0</v>
      </c>
      <c r="S73">
        <f>VLOOKUP(Table9[[#This Row],[Shortname]], Comp[], 16, FALSE)</f>
        <v>0</v>
      </c>
      <c r="T73">
        <f>VLOOKUP(Table9[[#This Row],[Shortname]], Comp[], 17, FALSE)</f>
        <v>0</v>
      </c>
      <c r="U73">
        <f>VLOOKUP(Table9[[#This Row],[Shortname]], Comp[], 18, FALSE)</f>
        <v>0</v>
      </c>
      <c r="V73">
        <f>VLOOKUP(Table9[[#This Row],[Shortname]], Comp[], 19, FALSE)</f>
        <v>0</v>
      </c>
      <c r="W73">
        <f>VLOOKUP(Table9[[#This Row],[Shortname]], Comp[], 20, FALSE)</f>
        <v>0</v>
      </c>
      <c r="X73">
        <f>VLOOKUP(Table9[[#This Row],[Shortname]], Comp[], 21, FALSE)</f>
        <v>0</v>
      </c>
      <c r="Y73">
        <f>VLOOKUP(Table9[[#This Row],[Shortname]], Comp[], 22, FALSE)</f>
        <v>0</v>
      </c>
      <c r="Z73">
        <f>VLOOKUP(Table9[[#This Row],[Shortname]], Comp[], 23, FALSE)</f>
        <v>0</v>
      </c>
      <c r="AA73">
        <f>VLOOKUP(Table9[[#This Row],[Shortname]], Comp[], 24, FALSE)</f>
        <v>0</v>
      </c>
      <c r="AB73">
        <f>VLOOKUP(Table9[[#This Row],[Shortname]], Comp[], 25, FALSE)</f>
        <v>0</v>
      </c>
      <c r="AC73">
        <f>VLOOKUP(Table9[[#This Row],[Shortname]], Comp[], 26, FALSE)</f>
        <v>0</v>
      </c>
      <c r="AD73">
        <f>VLOOKUP(Table9[[#This Row],[Shortname]], Comp[], 27, FALSE)</f>
        <v>0</v>
      </c>
      <c r="AE73">
        <f>VLOOKUP(Table9[[#This Row],[Shortname]], Comp[], 28, FALSE)</f>
        <v>0</v>
      </c>
      <c r="AF73">
        <f>VLOOKUP(Table9[[#This Row],[Shortname]], Comp[], 29, FALSE)</f>
        <v>0</v>
      </c>
      <c r="AG73">
        <f>VLOOKUP(Table9[[#This Row],[Shortname]], Comp[], 30, FALSE)</f>
        <v>0</v>
      </c>
      <c r="AH73">
        <f>VLOOKUP(Table9[[#This Row],[Shortname]], Comp[], 31, FALSE)</f>
        <v>0</v>
      </c>
    </row>
    <row r="74" spans="1:34" x14ac:dyDescent="0.3">
      <c r="A74" t="s">
        <v>2989</v>
      </c>
      <c r="B74" t="s">
        <v>3118</v>
      </c>
      <c r="C74" t="s">
        <v>3119</v>
      </c>
      <c r="D74">
        <v>720</v>
      </c>
      <c r="E74">
        <v>500</v>
      </c>
      <c r="F74">
        <v>1E-4</v>
      </c>
      <c r="G74">
        <v>1</v>
      </c>
      <c r="H74" t="s">
        <v>6803</v>
      </c>
      <c r="I74">
        <f>VLOOKUP(Table9[[#This Row],[Shortname]], Comp[], 6, FALSE)</f>
        <v>411</v>
      </c>
      <c r="J74" s="14">
        <f>VLOOKUP(Table9[[#This Row],[Shortname]], Comp[], 7, FALSE)</f>
        <v>84</v>
      </c>
      <c r="K74">
        <f>VLOOKUP(Table9[[#This Row],[Shortname]], Comp[], 8, FALSE)</f>
        <v>0</v>
      </c>
      <c r="L74">
        <f>VLOOKUP(Table9[[#This Row],[Shortname]], Comp[], 9, FALSE)</f>
        <v>0</v>
      </c>
      <c r="M74">
        <f>VLOOKUP(Table9[[#This Row],[Shortname]], Comp[], 10, FALSE)</f>
        <v>0</v>
      </c>
      <c r="N74">
        <f>VLOOKUP(Table9[[#This Row],[Shortname]], Comp[], 11, FALSE)</f>
        <v>0</v>
      </c>
      <c r="O74">
        <f>VLOOKUP(Table9[[#This Row],[Shortname]], Comp[],12, FALSE)</f>
        <v>2</v>
      </c>
      <c r="P74">
        <f>VLOOKUP(Table9[[#This Row],[Shortname]], Comp[], 13, FALSE)</f>
        <v>2</v>
      </c>
      <c r="Q74">
        <f>VLOOKUP(Table9[[#This Row],[Shortname]], Comp[], 14, FALSE)</f>
        <v>0</v>
      </c>
      <c r="R74">
        <f>VLOOKUP(Table9[[#This Row],[Shortname]], Comp[], 15, FALSE)</f>
        <v>12</v>
      </c>
      <c r="S74">
        <f>VLOOKUP(Table9[[#This Row],[Shortname]], Comp[], 16, FALSE)</f>
        <v>0</v>
      </c>
      <c r="T74">
        <f>VLOOKUP(Table9[[#This Row],[Shortname]], Comp[], 17, FALSE)</f>
        <v>0</v>
      </c>
      <c r="U74">
        <f>VLOOKUP(Table9[[#This Row],[Shortname]], Comp[], 18, FALSE)</f>
        <v>0</v>
      </c>
      <c r="V74">
        <f>VLOOKUP(Table9[[#This Row],[Shortname]], Comp[], 19, FALSE)</f>
        <v>0</v>
      </c>
      <c r="W74">
        <f>VLOOKUP(Table9[[#This Row],[Shortname]], Comp[], 20, FALSE)</f>
        <v>0</v>
      </c>
      <c r="X74">
        <f>VLOOKUP(Table9[[#This Row],[Shortname]], Comp[], 21, FALSE)</f>
        <v>0</v>
      </c>
      <c r="Y74">
        <f>VLOOKUP(Table9[[#This Row],[Shortname]], Comp[], 22, FALSE)</f>
        <v>0</v>
      </c>
      <c r="Z74">
        <f>VLOOKUP(Table9[[#This Row],[Shortname]], Comp[], 23, FALSE)</f>
        <v>0</v>
      </c>
      <c r="AA74">
        <f>VLOOKUP(Table9[[#This Row],[Shortname]], Comp[], 24, FALSE)</f>
        <v>0</v>
      </c>
      <c r="AB74">
        <f>VLOOKUP(Table9[[#This Row],[Shortname]], Comp[], 25, FALSE)</f>
        <v>0</v>
      </c>
      <c r="AC74">
        <f>VLOOKUP(Table9[[#This Row],[Shortname]], Comp[], 26, FALSE)</f>
        <v>0</v>
      </c>
      <c r="AD74">
        <f>VLOOKUP(Table9[[#This Row],[Shortname]], Comp[], 27, FALSE)</f>
        <v>0</v>
      </c>
      <c r="AE74">
        <f>VLOOKUP(Table9[[#This Row],[Shortname]], Comp[], 28, FALSE)</f>
        <v>0</v>
      </c>
      <c r="AF74">
        <f>VLOOKUP(Table9[[#This Row],[Shortname]], Comp[], 29, FALSE)</f>
        <v>0</v>
      </c>
      <c r="AG74">
        <f>VLOOKUP(Table9[[#This Row],[Shortname]], Comp[], 30, FALSE)</f>
        <v>0</v>
      </c>
      <c r="AH74">
        <f>VLOOKUP(Table9[[#This Row],[Shortname]], Comp[], 31, FALSE)</f>
        <v>0</v>
      </c>
    </row>
    <row r="75" spans="1:34" x14ac:dyDescent="0.3">
      <c r="A75" t="s">
        <v>3414</v>
      </c>
      <c r="B75" t="s">
        <v>3416</v>
      </c>
      <c r="C75" t="s">
        <v>3401</v>
      </c>
      <c r="D75">
        <v>720</v>
      </c>
      <c r="E75">
        <v>25</v>
      </c>
      <c r="F75">
        <v>2.0000000000000001E-4</v>
      </c>
      <c r="G75">
        <v>1</v>
      </c>
      <c r="H75" t="s">
        <v>6803</v>
      </c>
      <c r="I75">
        <f>VLOOKUP(Table9[[#This Row],[Shortname]], Comp[], 6, FALSE)</f>
        <v>485</v>
      </c>
      <c r="J75" s="14">
        <f>VLOOKUP(Table9[[#This Row],[Shortname]], Comp[], 7, FALSE)</f>
        <v>82.78</v>
      </c>
      <c r="K75">
        <f>VLOOKUP(Table9[[#This Row],[Shortname]], Comp[], 8, FALSE)</f>
        <v>0</v>
      </c>
      <c r="L75">
        <f>VLOOKUP(Table9[[#This Row],[Shortname]], Comp[], 9, FALSE)</f>
        <v>9</v>
      </c>
      <c r="M75">
        <f>VLOOKUP(Table9[[#This Row],[Shortname]], Comp[], 10, FALSE)</f>
        <v>0</v>
      </c>
      <c r="N75">
        <f>VLOOKUP(Table9[[#This Row],[Shortname]], Comp[], 11, FALSE)</f>
        <v>8.1999999999999993</v>
      </c>
      <c r="O75">
        <f>VLOOKUP(Table9[[#This Row],[Shortname]], Comp[],12, FALSE)</f>
        <v>0</v>
      </c>
      <c r="P75">
        <f>VLOOKUP(Table9[[#This Row],[Shortname]], Comp[], 13, FALSE)</f>
        <v>0</v>
      </c>
      <c r="Q75">
        <f>VLOOKUP(Table9[[#This Row],[Shortname]], Comp[], 14, FALSE)</f>
        <v>0</v>
      </c>
      <c r="R75">
        <f>VLOOKUP(Table9[[#This Row],[Shortname]], Comp[], 15, FALSE)</f>
        <v>0</v>
      </c>
      <c r="S75">
        <f>VLOOKUP(Table9[[#This Row],[Shortname]], Comp[], 16, FALSE)</f>
        <v>0</v>
      </c>
      <c r="T75">
        <f>VLOOKUP(Table9[[#This Row],[Shortname]], Comp[], 17, FALSE)</f>
        <v>0</v>
      </c>
      <c r="U75">
        <f>VLOOKUP(Table9[[#This Row],[Shortname]], Comp[], 18, FALSE)</f>
        <v>0</v>
      </c>
      <c r="V75">
        <f>VLOOKUP(Table9[[#This Row],[Shortname]], Comp[], 19, FALSE)</f>
        <v>0.02</v>
      </c>
      <c r="W75">
        <f>VLOOKUP(Table9[[#This Row],[Shortname]], Comp[], 20, FALSE)</f>
        <v>0</v>
      </c>
      <c r="X75">
        <f>VLOOKUP(Table9[[#This Row],[Shortname]], Comp[], 21, FALSE)</f>
        <v>0</v>
      </c>
      <c r="Y75">
        <f>VLOOKUP(Table9[[#This Row],[Shortname]], Comp[], 22, FALSE)</f>
        <v>0</v>
      </c>
      <c r="Z75">
        <f>VLOOKUP(Table9[[#This Row],[Shortname]], Comp[], 23, FALSE)</f>
        <v>0</v>
      </c>
      <c r="AA75">
        <f>VLOOKUP(Table9[[#This Row],[Shortname]], Comp[], 24, FALSE)</f>
        <v>0</v>
      </c>
      <c r="AB75">
        <f>VLOOKUP(Table9[[#This Row],[Shortname]], Comp[], 25, FALSE)</f>
        <v>0</v>
      </c>
      <c r="AC75">
        <f>VLOOKUP(Table9[[#This Row],[Shortname]], Comp[], 26, FALSE)</f>
        <v>0</v>
      </c>
      <c r="AD75">
        <f>VLOOKUP(Table9[[#This Row],[Shortname]], Comp[], 27, FALSE)</f>
        <v>0</v>
      </c>
      <c r="AE75">
        <f>VLOOKUP(Table9[[#This Row],[Shortname]], Comp[], 28, FALSE)</f>
        <v>0</v>
      </c>
      <c r="AF75">
        <f>VLOOKUP(Table9[[#This Row],[Shortname]], Comp[], 29, FALSE)</f>
        <v>0</v>
      </c>
      <c r="AG75">
        <f>VLOOKUP(Table9[[#This Row],[Shortname]], Comp[], 30, FALSE)</f>
        <v>0</v>
      </c>
      <c r="AH75">
        <f>VLOOKUP(Table9[[#This Row],[Shortname]], Comp[], 31, FALSE)</f>
        <v>0</v>
      </c>
    </row>
    <row r="76" spans="1:34" x14ac:dyDescent="0.3">
      <c r="A76" t="s">
        <v>4424</v>
      </c>
      <c r="B76" t="s">
        <v>4425</v>
      </c>
      <c r="C76" t="s">
        <v>4415</v>
      </c>
      <c r="D76">
        <v>715</v>
      </c>
      <c r="E76">
        <v>750</v>
      </c>
      <c r="F76">
        <v>1E-4</v>
      </c>
      <c r="G76">
        <v>1</v>
      </c>
      <c r="H76" t="s">
        <v>6803</v>
      </c>
      <c r="I76">
        <f>VLOOKUP(Table9[[#This Row],[Shortname]], Comp[], 6, FALSE)</f>
        <v>673</v>
      </c>
      <c r="J76" s="14">
        <f>VLOOKUP(Table9[[#This Row],[Shortname]], Comp[], 7, FALSE)</f>
        <v>43.321999999999996</v>
      </c>
      <c r="K76">
        <f>VLOOKUP(Table9[[#This Row],[Shortname]], Comp[], 8, FALSE)</f>
        <v>30</v>
      </c>
      <c r="L76">
        <f>VLOOKUP(Table9[[#This Row],[Shortname]], Comp[], 9, FALSE)</f>
        <v>6</v>
      </c>
      <c r="M76">
        <f>VLOOKUP(Table9[[#This Row],[Shortname]], Comp[], 10, FALSE)</f>
        <v>12</v>
      </c>
      <c r="N76">
        <f>VLOOKUP(Table9[[#This Row],[Shortname]], Comp[], 11, FALSE)</f>
        <v>2</v>
      </c>
      <c r="O76">
        <f>VLOOKUP(Table9[[#This Row],[Shortname]], Comp[],12, FALSE)</f>
        <v>3.5</v>
      </c>
      <c r="P76">
        <f>VLOOKUP(Table9[[#This Row],[Shortname]], Comp[], 13, FALSE)</f>
        <v>1</v>
      </c>
      <c r="Q76">
        <f>VLOOKUP(Table9[[#This Row],[Shortname]], Comp[], 14, FALSE)</f>
        <v>0</v>
      </c>
      <c r="R76">
        <f>VLOOKUP(Table9[[#This Row],[Shortname]], Comp[], 15, FALSE)</f>
        <v>0</v>
      </c>
      <c r="S76">
        <f>VLOOKUP(Table9[[#This Row],[Shortname]], Comp[], 16, FALSE)</f>
        <v>1.5</v>
      </c>
      <c r="T76">
        <f>VLOOKUP(Table9[[#This Row],[Shortname]], Comp[], 17, FALSE)</f>
        <v>8.5000000000000006E-2</v>
      </c>
      <c r="U76">
        <f>VLOOKUP(Table9[[#This Row],[Shortname]], Comp[], 18, FALSE)</f>
        <v>8.9999999999999993E-3</v>
      </c>
      <c r="V76">
        <f>VLOOKUP(Table9[[#This Row],[Shortname]], Comp[], 19, FALSE)</f>
        <v>8.4000000000000005E-2</v>
      </c>
      <c r="W76">
        <f>VLOOKUP(Table9[[#This Row],[Shortname]], Comp[], 20, FALSE)</f>
        <v>0</v>
      </c>
      <c r="X76">
        <f>VLOOKUP(Table9[[#This Row],[Shortname]], Comp[], 21, FALSE)</f>
        <v>0</v>
      </c>
      <c r="Y76">
        <f>VLOOKUP(Table9[[#This Row],[Shortname]], Comp[], 22, FALSE)</f>
        <v>0.39</v>
      </c>
      <c r="Z76">
        <f>VLOOKUP(Table9[[#This Row],[Shortname]], Comp[], 23, FALSE)</f>
        <v>0</v>
      </c>
      <c r="AA76">
        <f>VLOOKUP(Table9[[#This Row],[Shortname]], Comp[], 24, FALSE)</f>
        <v>0</v>
      </c>
      <c r="AB76">
        <f>VLOOKUP(Table9[[#This Row],[Shortname]], Comp[], 25, FALSE)</f>
        <v>0.11</v>
      </c>
      <c r="AC76">
        <f>VLOOKUP(Table9[[#This Row],[Shortname]], Comp[], 26, FALSE)</f>
        <v>0</v>
      </c>
      <c r="AD76">
        <f>VLOOKUP(Table9[[#This Row],[Shortname]], Comp[], 27, FALSE)</f>
        <v>0</v>
      </c>
      <c r="AE76">
        <f>VLOOKUP(Table9[[#This Row],[Shortname]], Comp[], 28, FALSE)</f>
        <v>0</v>
      </c>
      <c r="AF76">
        <f>VLOOKUP(Table9[[#This Row],[Shortname]], Comp[], 29, FALSE)</f>
        <v>0</v>
      </c>
      <c r="AG76">
        <f>VLOOKUP(Table9[[#This Row],[Shortname]], Comp[], 30, FALSE)</f>
        <v>0</v>
      </c>
      <c r="AH76">
        <f>VLOOKUP(Table9[[#This Row],[Shortname]], Comp[], 31, FALSE)</f>
        <v>0</v>
      </c>
    </row>
    <row r="77" spans="1:34" x14ac:dyDescent="0.3">
      <c r="A77" t="s">
        <v>544</v>
      </c>
      <c r="B77" t="s">
        <v>6696</v>
      </c>
      <c r="C77" t="s">
        <v>499</v>
      </c>
      <c r="D77">
        <v>714</v>
      </c>
      <c r="E77">
        <v>25</v>
      </c>
      <c r="F77">
        <v>1E-4</v>
      </c>
      <c r="G77">
        <v>1</v>
      </c>
      <c r="I77">
        <f>VLOOKUP(Table9[[#This Row],[Shortname]], Comp[], 6, FALSE)</f>
        <v>70</v>
      </c>
      <c r="J77" s="14">
        <f>VLOOKUP(Table9[[#This Row],[Shortname]], Comp[], 7, FALSE)</f>
        <v>72.3</v>
      </c>
      <c r="K77">
        <f>VLOOKUP(Table9[[#This Row],[Shortname]], Comp[], 8, FALSE)</f>
        <v>10.199999999999999</v>
      </c>
      <c r="L77">
        <f>VLOOKUP(Table9[[#This Row],[Shortname]], Comp[], 9, FALSE)</f>
        <v>7.3</v>
      </c>
      <c r="M77">
        <f>VLOOKUP(Table9[[#This Row],[Shortname]], Comp[], 10, FALSE)</f>
        <v>0</v>
      </c>
      <c r="N77">
        <f>VLOOKUP(Table9[[#This Row],[Shortname]], Comp[], 11, FALSE)</f>
        <v>8</v>
      </c>
      <c r="O77">
        <f>VLOOKUP(Table9[[#This Row],[Shortname]], Comp[],12, FALSE)</f>
        <v>2.2000000000000002</v>
      </c>
      <c r="P77">
        <f>VLOOKUP(Table9[[#This Row],[Shortname]], Comp[], 13, FALSE)</f>
        <v>0</v>
      </c>
      <c r="Q77">
        <f>VLOOKUP(Table9[[#This Row],[Shortname]], Comp[], 14, FALSE)</f>
        <v>0</v>
      </c>
      <c r="R77">
        <f>VLOOKUP(Table9[[#This Row],[Shortname]], Comp[], 15, FALSE)</f>
        <v>0</v>
      </c>
      <c r="S77">
        <f>VLOOKUP(Table9[[#This Row],[Shortname]], Comp[], 16, FALSE)</f>
        <v>0</v>
      </c>
      <c r="T77">
        <f>VLOOKUP(Table9[[#This Row],[Shortname]], Comp[], 17, FALSE)</f>
        <v>0</v>
      </c>
      <c r="U77">
        <f>VLOOKUP(Table9[[#This Row],[Shortname]], Comp[], 18, FALSE)</f>
        <v>0</v>
      </c>
      <c r="V77">
        <f>VLOOKUP(Table9[[#This Row],[Shortname]], Comp[], 19, FALSE)</f>
        <v>0</v>
      </c>
      <c r="W77">
        <f>VLOOKUP(Table9[[#This Row],[Shortname]], Comp[], 20, FALSE)</f>
        <v>0</v>
      </c>
      <c r="X77">
        <f>VLOOKUP(Table9[[#This Row],[Shortname]], Comp[], 21, FALSE)</f>
        <v>0</v>
      </c>
      <c r="Y77">
        <f>VLOOKUP(Table9[[#This Row],[Shortname]], Comp[], 22, FALSE)</f>
        <v>0</v>
      </c>
      <c r="Z77">
        <f>VLOOKUP(Table9[[#This Row],[Shortname]], Comp[], 23, FALSE)</f>
        <v>0</v>
      </c>
      <c r="AA77">
        <f>VLOOKUP(Table9[[#This Row],[Shortname]], Comp[], 24, FALSE)</f>
        <v>0</v>
      </c>
      <c r="AB77">
        <f>VLOOKUP(Table9[[#This Row],[Shortname]], Comp[], 25, FALSE)</f>
        <v>0</v>
      </c>
      <c r="AC77">
        <f>VLOOKUP(Table9[[#This Row],[Shortname]], Comp[], 26, FALSE)</f>
        <v>0</v>
      </c>
      <c r="AD77">
        <f>VLOOKUP(Table9[[#This Row],[Shortname]], Comp[], 27, FALSE)</f>
        <v>0</v>
      </c>
      <c r="AE77">
        <f>VLOOKUP(Table9[[#This Row],[Shortname]], Comp[], 28, FALSE)</f>
        <v>0</v>
      </c>
      <c r="AF77">
        <f>VLOOKUP(Table9[[#This Row],[Shortname]], Comp[], 29, FALSE)</f>
        <v>0</v>
      </c>
      <c r="AG77">
        <f>VLOOKUP(Table9[[#This Row],[Shortname]], Comp[], 30, FALSE)</f>
        <v>0</v>
      </c>
      <c r="AH77">
        <f>VLOOKUP(Table9[[#This Row],[Shortname]], Comp[], 31, FALSE)</f>
        <v>0</v>
      </c>
    </row>
    <row r="78" spans="1:34" x14ac:dyDescent="0.3">
      <c r="A78" t="s">
        <v>1526</v>
      </c>
      <c r="B78" t="s">
        <v>1528</v>
      </c>
      <c r="C78" t="s">
        <v>6801</v>
      </c>
      <c r="D78">
        <v>714</v>
      </c>
      <c r="E78">
        <v>850</v>
      </c>
      <c r="F78" t="s">
        <v>6802</v>
      </c>
      <c r="G78">
        <v>1</v>
      </c>
      <c r="H78" t="s">
        <v>6803</v>
      </c>
      <c r="I78">
        <f>VLOOKUP(Table9[[#This Row],[Shortname]], Comp[], 6, FALSE)</f>
        <v>195</v>
      </c>
      <c r="J78" s="14">
        <f>VLOOKUP(Table9[[#This Row],[Shortname]], Comp[], 7, FALSE)</f>
        <v>42.330000000000005</v>
      </c>
      <c r="K78">
        <f>VLOOKUP(Table9[[#This Row],[Shortname]], Comp[], 8, FALSE)</f>
        <v>32</v>
      </c>
      <c r="L78">
        <f>VLOOKUP(Table9[[#This Row],[Shortname]], Comp[], 9, FALSE)</f>
        <v>6</v>
      </c>
      <c r="M78">
        <f>VLOOKUP(Table9[[#This Row],[Shortname]], Comp[], 10, FALSE)</f>
        <v>12</v>
      </c>
      <c r="N78">
        <f>VLOOKUP(Table9[[#This Row],[Shortname]], Comp[], 11, FALSE)</f>
        <v>3</v>
      </c>
      <c r="O78">
        <f>VLOOKUP(Table9[[#This Row],[Shortname]], Comp[],12, FALSE)</f>
        <v>2.5</v>
      </c>
      <c r="P78">
        <f>VLOOKUP(Table9[[#This Row],[Shortname]], Comp[], 13, FALSE)</f>
        <v>1.5</v>
      </c>
      <c r="Q78">
        <f>VLOOKUP(Table9[[#This Row],[Shortname]], Comp[], 14, FALSE)</f>
        <v>0</v>
      </c>
      <c r="R78">
        <f>VLOOKUP(Table9[[#This Row],[Shortname]], Comp[], 15, FALSE)</f>
        <v>0</v>
      </c>
      <c r="S78">
        <f>VLOOKUP(Table9[[#This Row],[Shortname]], Comp[], 16, FALSE)</f>
        <v>0</v>
      </c>
      <c r="T78">
        <f>VLOOKUP(Table9[[#This Row],[Shortname]], Comp[], 17, FALSE)</f>
        <v>0.08</v>
      </c>
      <c r="U78">
        <f>VLOOKUP(Table9[[#This Row],[Shortname]], Comp[], 18, FALSE)</f>
        <v>0.01</v>
      </c>
      <c r="V78">
        <f>VLOOKUP(Table9[[#This Row],[Shortname]], Comp[], 19, FALSE)</f>
        <v>0.08</v>
      </c>
      <c r="W78">
        <f>VLOOKUP(Table9[[#This Row],[Shortname]], Comp[], 20, FALSE)</f>
        <v>0</v>
      </c>
      <c r="X78">
        <f>VLOOKUP(Table9[[#This Row],[Shortname]], Comp[], 21, FALSE)</f>
        <v>0</v>
      </c>
      <c r="Y78">
        <f>VLOOKUP(Table9[[#This Row],[Shortname]], Comp[], 22, FALSE)</f>
        <v>0.4</v>
      </c>
      <c r="Z78">
        <f>VLOOKUP(Table9[[#This Row],[Shortname]], Comp[], 23, FALSE)</f>
        <v>0</v>
      </c>
      <c r="AA78">
        <f>VLOOKUP(Table9[[#This Row],[Shortname]], Comp[], 24, FALSE)</f>
        <v>0</v>
      </c>
      <c r="AB78">
        <f>VLOOKUP(Table9[[#This Row],[Shortname]], Comp[], 25, FALSE)</f>
        <v>0.1</v>
      </c>
      <c r="AC78">
        <f>VLOOKUP(Table9[[#This Row],[Shortname]], Comp[], 26, FALSE)</f>
        <v>0</v>
      </c>
      <c r="AD78">
        <f>VLOOKUP(Table9[[#This Row],[Shortname]], Comp[], 27, FALSE)</f>
        <v>0</v>
      </c>
      <c r="AE78">
        <f>VLOOKUP(Table9[[#This Row],[Shortname]], Comp[], 28, FALSE)</f>
        <v>0</v>
      </c>
      <c r="AF78">
        <f>VLOOKUP(Table9[[#This Row],[Shortname]], Comp[], 29, FALSE)</f>
        <v>0</v>
      </c>
      <c r="AG78">
        <f>VLOOKUP(Table9[[#This Row],[Shortname]], Comp[], 30, FALSE)</f>
        <v>0</v>
      </c>
      <c r="AH78">
        <f>VLOOKUP(Table9[[#This Row],[Shortname]], Comp[], 31, FALSE)</f>
        <v>0</v>
      </c>
    </row>
    <row r="79" spans="1:34" x14ac:dyDescent="0.3">
      <c r="A79" t="s">
        <v>5062</v>
      </c>
      <c r="B79" t="s">
        <v>5531</v>
      </c>
      <c r="C79" t="s">
        <v>5054</v>
      </c>
      <c r="D79">
        <v>711.65</v>
      </c>
      <c r="E79">
        <v>520</v>
      </c>
      <c r="F79">
        <v>1E-3</v>
      </c>
      <c r="G79">
        <v>1</v>
      </c>
      <c r="I79">
        <f>VLOOKUP(Table9[[#This Row],[Shortname]], Comp[], 6, FALSE)</f>
        <v>781</v>
      </c>
      <c r="J79" s="14">
        <f>VLOOKUP(Table9[[#This Row],[Shortname]], Comp[], 7, FALSE)</f>
        <v>53</v>
      </c>
      <c r="K79">
        <f>VLOOKUP(Table9[[#This Row],[Shortname]], Comp[], 8, FALSE)</f>
        <v>30</v>
      </c>
      <c r="L79">
        <f>VLOOKUP(Table9[[#This Row],[Shortname]], Comp[], 9, FALSE)</f>
        <v>10</v>
      </c>
      <c r="M79">
        <f>VLOOKUP(Table9[[#This Row],[Shortname]], Comp[], 10, FALSE)</f>
        <v>0</v>
      </c>
      <c r="N79">
        <f>VLOOKUP(Table9[[#This Row],[Shortname]], Comp[], 11, FALSE)</f>
        <v>0</v>
      </c>
      <c r="O79">
        <f>VLOOKUP(Table9[[#This Row],[Shortname]], Comp[],12, FALSE)</f>
        <v>2</v>
      </c>
      <c r="P79">
        <f>VLOOKUP(Table9[[#This Row],[Shortname]], Comp[], 13, FALSE)</f>
        <v>0</v>
      </c>
      <c r="Q79">
        <f>VLOOKUP(Table9[[#This Row],[Shortname]], Comp[], 14, FALSE)</f>
        <v>0</v>
      </c>
      <c r="R79">
        <f>VLOOKUP(Table9[[#This Row],[Shortname]], Comp[], 15, FALSE)</f>
        <v>0</v>
      </c>
      <c r="S79">
        <f>VLOOKUP(Table9[[#This Row],[Shortname]], Comp[], 16, FALSE)</f>
        <v>5</v>
      </c>
      <c r="T79">
        <f>VLOOKUP(Table9[[#This Row],[Shortname]], Comp[], 17, FALSE)</f>
        <v>0</v>
      </c>
      <c r="U79">
        <f>VLOOKUP(Table9[[#This Row],[Shortname]], Comp[], 18, FALSE)</f>
        <v>0</v>
      </c>
      <c r="V79">
        <f>VLOOKUP(Table9[[#This Row],[Shortname]], Comp[], 19, FALSE)</f>
        <v>0</v>
      </c>
      <c r="W79">
        <f>VLOOKUP(Table9[[#This Row],[Shortname]], Comp[], 20, FALSE)</f>
        <v>0</v>
      </c>
      <c r="X79">
        <f>VLOOKUP(Table9[[#This Row],[Shortname]], Comp[], 21, FALSE)</f>
        <v>0</v>
      </c>
      <c r="Y79">
        <f>VLOOKUP(Table9[[#This Row],[Shortname]], Comp[], 22, FALSE)</f>
        <v>0</v>
      </c>
      <c r="Z79">
        <f>VLOOKUP(Table9[[#This Row],[Shortname]], Comp[], 23, FALSE)</f>
        <v>0</v>
      </c>
      <c r="AA79">
        <f>VLOOKUP(Table9[[#This Row],[Shortname]], Comp[], 24, FALSE)</f>
        <v>0</v>
      </c>
      <c r="AB79">
        <f>VLOOKUP(Table9[[#This Row],[Shortname]], Comp[], 25, FALSE)</f>
        <v>0</v>
      </c>
      <c r="AC79">
        <f>VLOOKUP(Table9[[#This Row],[Shortname]], Comp[], 26, FALSE)</f>
        <v>0</v>
      </c>
      <c r="AD79">
        <f>VLOOKUP(Table9[[#This Row],[Shortname]], Comp[], 27, FALSE)</f>
        <v>0</v>
      </c>
      <c r="AE79">
        <f>VLOOKUP(Table9[[#This Row],[Shortname]], Comp[], 28, FALSE)</f>
        <v>0</v>
      </c>
      <c r="AF79">
        <f>VLOOKUP(Table9[[#This Row],[Shortname]], Comp[], 29, FALSE)</f>
        <v>0</v>
      </c>
      <c r="AG79">
        <f>VLOOKUP(Table9[[#This Row],[Shortname]], Comp[], 30, FALSE)</f>
        <v>0</v>
      </c>
      <c r="AH79">
        <f>VLOOKUP(Table9[[#This Row],[Shortname]], Comp[], 31, FALSE)</f>
        <v>0</v>
      </c>
    </row>
    <row r="80" spans="1:34" x14ac:dyDescent="0.3">
      <c r="A80" t="s">
        <v>4933</v>
      </c>
      <c r="B80" t="s">
        <v>4935</v>
      </c>
      <c r="C80" t="s">
        <v>4936</v>
      </c>
      <c r="D80">
        <v>709</v>
      </c>
      <c r="E80">
        <v>700</v>
      </c>
      <c r="F80">
        <v>1E-4</v>
      </c>
      <c r="G80">
        <v>1</v>
      </c>
      <c r="H80" t="s">
        <v>6803</v>
      </c>
      <c r="I80">
        <f>VLOOKUP(Table9[[#This Row],[Shortname]], Comp[], 6, FALSE)</f>
        <v>753</v>
      </c>
      <c r="J80" s="14">
        <f>VLOOKUP(Table9[[#This Row],[Shortname]], Comp[], 7, FALSE)</f>
        <v>81.88</v>
      </c>
      <c r="K80">
        <f>VLOOKUP(Table9[[#This Row],[Shortname]], Comp[], 8, FALSE)</f>
        <v>0</v>
      </c>
      <c r="L80">
        <f>VLOOKUP(Table9[[#This Row],[Shortname]], Comp[], 9, FALSE)</f>
        <v>5.6</v>
      </c>
      <c r="M80">
        <f>VLOOKUP(Table9[[#This Row],[Shortname]], Comp[], 10, FALSE)</f>
        <v>0</v>
      </c>
      <c r="N80">
        <f>VLOOKUP(Table9[[#This Row],[Shortname]], Comp[], 11, FALSE)</f>
        <v>5.8</v>
      </c>
      <c r="O80">
        <f>VLOOKUP(Table9[[#This Row],[Shortname]], Comp[],12, FALSE)</f>
        <v>6.6</v>
      </c>
      <c r="P80">
        <f>VLOOKUP(Table9[[#This Row],[Shortname]], Comp[], 13, FALSE)</f>
        <v>0</v>
      </c>
      <c r="Q80">
        <f>VLOOKUP(Table9[[#This Row],[Shortname]], Comp[], 14, FALSE)</f>
        <v>0</v>
      </c>
      <c r="R80">
        <f>VLOOKUP(Table9[[#This Row],[Shortname]], Comp[], 15, FALSE)</f>
        <v>0</v>
      </c>
      <c r="S80">
        <f>VLOOKUP(Table9[[#This Row],[Shortname]], Comp[], 16, FALSE)</f>
        <v>0</v>
      </c>
      <c r="T80">
        <f>VLOOKUP(Table9[[#This Row],[Shortname]], Comp[], 17, FALSE)</f>
        <v>0</v>
      </c>
      <c r="U80">
        <f>VLOOKUP(Table9[[#This Row],[Shortname]], Comp[], 18, FALSE)</f>
        <v>0</v>
      </c>
      <c r="V80">
        <f>VLOOKUP(Table9[[#This Row],[Shortname]], Comp[], 19, FALSE)</f>
        <v>0.12</v>
      </c>
      <c r="W80">
        <f>VLOOKUP(Table9[[#This Row],[Shortname]], Comp[], 20, FALSE)</f>
        <v>0</v>
      </c>
      <c r="X80">
        <f>VLOOKUP(Table9[[#This Row],[Shortname]], Comp[], 21, FALSE)</f>
        <v>0</v>
      </c>
      <c r="Y80">
        <f>VLOOKUP(Table9[[#This Row],[Shortname]], Comp[], 22, FALSE)</f>
        <v>0</v>
      </c>
      <c r="Z80">
        <f>VLOOKUP(Table9[[#This Row],[Shortname]], Comp[], 23, FALSE)</f>
        <v>0</v>
      </c>
      <c r="AA80">
        <f>VLOOKUP(Table9[[#This Row],[Shortname]], Comp[], 24, FALSE)</f>
        <v>0</v>
      </c>
      <c r="AB80">
        <f>VLOOKUP(Table9[[#This Row],[Shortname]], Comp[], 25, FALSE)</f>
        <v>0</v>
      </c>
      <c r="AC80">
        <f>VLOOKUP(Table9[[#This Row],[Shortname]], Comp[], 26, FALSE)</f>
        <v>0</v>
      </c>
      <c r="AD80">
        <f>VLOOKUP(Table9[[#This Row],[Shortname]], Comp[], 27, FALSE)</f>
        <v>0</v>
      </c>
      <c r="AE80">
        <f>VLOOKUP(Table9[[#This Row],[Shortname]], Comp[], 28, FALSE)</f>
        <v>0</v>
      </c>
      <c r="AF80">
        <f>VLOOKUP(Table9[[#This Row],[Shortname]], Comp[], 29, FALSE)</f>
        <v>0</v>
      </c>
      <c r="AG80">
        <f>VLOOKUP(Table9[[#This Row],[Shortname]], Comp[], 30, FALSE)</f>
        <v>0</v>
      </c>
      <c r="AH80">
        <f>VLOOKUP(Table9[[#This Row],[Shortname]], Comp[], 31, FALSE)</f>
        <v>0</v>
      </c>
    </row>
    <row r="81" spans="1:34" x14ac:dyDescent="0.3">
      <c r="A81" t="s">
        <v>2848</v>
      </c>
      <c r="B81" t="s">
        <v>2850</v>
      </c>
      <c r="C81" t="s">
        <v>2851</v>
      </c>
      <c r="D81">
        <v>708</v>
      </c>
      <c r="E81">
        <v>570</v>
      </c>
      <c r="F81">
        <v>1E-3</v>
      </c>
      <c r="G81">
        <v>1</v>
      </c>
      <c r="H81" t="s">
        <v>6803</v>
      </c>
      <c r="I81">
        <f>VLOOKUP(Table9[[#This Row],[Shortname]], Comp[], 6, FALSE)</f>
        <v>385</v>
      </c>
      <c r="J81" s="14">
        <f>VLOOKUP(Table9[[#This Row],[Shortname]], Comp[], 7, FALSE)</f>
        <v>37.900000000000013</v>
      </c>
      <c r="K81">
        <f>VLOOKUP(Table9[[#This Row],[Shortname]], Comp[], 8, FALSE)</f>
        <v>35.4</v>
      </c>
      <c r="L81">
        <f>VLOOKUP(Table9[[#This Row],[Shortname]], Comp[], 9, FALSE)</f>
        <v>9.6999999999999993</v>
      </c>
      <c r="M81">
        <f>VLOOKUP(Table9[[#This Row],[Shortname]], Comp[], 10, FALSE)</f>
        <v>6</v>
      </c>
      <c r="N81">
        <f>VLOOKUP(Table9[[#This Row],[Shortname]], Comp[], 11, FALSE)</f>
        <v>0</v>
      </c>
      <c r="O81">
        <f>VLOOKUP(Table9[[#This Row],[Shortname]], Comp[],12, FALSE)</f>
        <v>3.4</v>
      </c>
      <c r="P81">
        <f>VLOOKUP(Table9[[#This Row],[Shortname]], Comp[], 13, FALSE)</f>
        <v>2.8</v>
      </c>
      <c r="Q81">
        <f>VLOOKUP(Table9[[#This Row],[Shortname]], Comp[], 14, FALSE)</f>
        <v>0</v>
      </c>
      <c r="R81">
        <f>VLOOKUP(Table9[[#This Row],[Shortname]], Comp[], 15, FALSE)</f>
        <v>0</v>
      </c>
      <c r="S81">
        <f>VLOOKUP(Table9[[#This Row],[Shortname]], Comp[], 16, FALSE)</f>
        <v>4.8</v>
      </c>
      <c r="T81">
        <f>VLOOKUP(Table9[[#This Row],[Shortname]], Comp[], 17, FALSE)</f>
        <v>0</v>
      </c>
      <c r="U81">
        <f>VLOOKUP(Table9[[#This Row],[Shortname]], Comp[], 18, FALSE)</f>
        <v>0</v>
      </c>
      <c r="V81">
        <f>VLOOKUP(Table9[[#This Row],[Shortname]], Comp[], 19, FALSE)</f>
        <v>0</v>
      </c>
      <c r="W81">
        <f>VLOOKUP(Table9[[#This Row],[Shortname]], Comp[], 20, FALSE)</f>
        <v>0</v>
      </c>
      <c r="X81">
        <f>VLOOKUP(Table9[[#This Row],[Shortname]], Comp[], 21, FALSE)</f>
        <v>0</v>
      </c>
      <c r="Y81">
        <f>VLOOKUP(Table9[[#This Row],[Shortname]], Comp[], 22, FALSE)</f>
        <v>0</v>
      </c>
      <c r="Z81">
        <f>VLOOKUP(Table9[[#This Row],[Shortname]], Comp[], 23, FALSE)</f>
        <v>0</v>
      </c>
      <c r="AA81">
        <f>VLOOKUP(Table9[[#This Row],[Shortname]], Comp[], 24, FALSE)</f>
        <v>0</v>
      </c>
      <c r="AB81">
        <f>VLOOKUP(Table9[[#This Row],[Shortname]], Comp[], 25, FALSE)</f>
        <v>0</v>
      </c>
      <c r="AC81">
        <f>VLOOKUP(Table9[[#This Row],[Shortname]], Comp[], 26, FALSE)</f>
        <v>0</v>
      </c>
      <c r="AD81">
        <f>VLOOKUP(Table9[[#This Row],[Shortname]], Comp[], 27, FALSE)</f>
        <v>0</v>
      </c>
      <c r="AE81">
        <f>VLOOKUP(Table9[[#This Row],[Shortname]], Comp[], 28, FALSE)</f>
        <v>0</v>
      </c>
      <c r="AF81">
        <f>VLOOKUP(Table9[[#This Row],[Shortname]], Comp[], 29, FALSE)</f>
        <v>0</v>
      </c>
      <c r="AG81">
        <f>VLOOKUP(Table9[[#This Row],[Shortname]], Comp[], 30, FALSE)</f>
        <v>0</v>
      </c>
      <c r="AH81">
        <f>VLOOKUP(Table9[[#This Row],[Shortname]], Comp[], 31, FALSE)</f>
        <v>0</v>
      </c>
    </row>
    <row r="82" spans="1:34" x14ac:dyDescent="0.3">
      <c r="A82" t="s">
        <v>513</v>
      </c>
      <c r="B82" t="s">
        <v>6692</v>
      </c>
      <c r="C82" t="s">
        <v>499</v>
      </c>
      <c r="D82">
        <v>706</v>
      </c>
      <c r="E82">
        <v>700</v>
      </c>
      <c r="F82">
        <v>1E-4</v>
      </c>
      <c r="G82">
        <v>1</v>
      </c>
      <c r="I82">
        <f>VLOOKUP(Table9[[#This Row],[Shortname]], Comp[], 6, FALSE)</f>
        <v>67</v>
      </c>
      <c r="J82" s="14">
        <f>VLOOKUP(Table9[[#This Row],[Shortname]], Comp[], 7, FALSE)</f>
        <v>72.5</v>
      </c>
      <c r="K82">
        <f>VLOOKUP(Table9[[#This Row],[Shortname]], Comp[], 8, FALSE)</f>
        <v>10</v>
      </c>
      <c r="L82">
        <f>VLOOKUP(Table9[[#This Row],[Shortname]], Comp[], 9, FALSE)</f>
        <v>4.5</v>
      </c>
      <c r="M82">
        <f>VLOOKUP(Table9[[#This Row],[Shortname]], Comp[], 10, FALSE)</f>
        <v>0</v>
      </c>
      <c r="N82">
        <f>VLOOKUP(Table9[[#This Row],[Shortname]], Comp[], 11, FALSE)</f>
        <v>5.2</v>
      </c>
      <c r="O82">
        <f>VLOOKUP(Table9[[#This Row],[Shortname]], Comp[],12, FALSE)</f>
        <v>7.8</v>
      </c>
      <c r="P82">
        <f>VLOOKUP(Table9[[#This Row],[Shortname]], Comp[], 13, FALSE)</f>
        <v>0</v>
      </c>
      <c r="Q82">
        <f>VLOOKUP(Table9[[#This Row],[Shortname]], Comp[], 14, FALSE)</f>
        <v>0</v>
      </c>
      <c r="R82">
        <f>VLOOKUP(Table9[[#This Row],[Shortname]], Comp[], 15, FALSE)</f>
        <v>0</v>
      </c>
      <c r="S82">
        <f>VLOOKUP(Table9[[#This Row],[Shortname]], Comp[], 16, FALSE)</f>
        <v>0</v>
      </c>
      <c r="T82">
        <f>VLOOKUP(Table9[[#This Row],[Shortname]], Comp[], 17, FALSE)</f>
        <v>0</v>
      </c>
      <c r="U82">
        <f>VLOOKUP(Table9[[#This Row],[Shortname]], Comp[], 18, FALSE)</f>
        <v>0</v>
      </c>
      <c r="V82">
        <f>VLOOKUP(Table9[[#This Row],[Shortname]], Comp[], 19, FALSE)</f>
        <v>0</v>
      </c>
      <c r="W82">
        <f>VLOOKUP(Table9[[#This Row],[Shortname]], Comp[], 20, FALSE)</f>
        <v>0</v>
      </c>
      <c r="X82">
        <f>VLOOKUP(Table9[[#This Row],[Shortname]], Comp[], 21, FALSE)</f>
        <v>0</v>
      </c>
      <c r="Y82">
        <f>VLOOKUP(Table9[[#This Row],[Shortname]], Comp[], 22, FALSE)</f>
        <v>0</v>
      </c>
      <c r="Z82">
        <f>VLOOKUP(Table9[[#This Row],[Shortname]], Comp[], 23, FALSE)</f>
        <v>0</v>
      </c>
      <c r="AA82">
        <f>VLOOKUP(Table9[[#This Row],[Shortname]], Comp[], 24, FALSE)</f>
        <v>0</v>
      </c>
      <c r="AB82">
        <f>VLOOKUP(Table9[[#This Row],[Shortname]], Comp[], 25, FALSE)</f>
        <v>0</v>
      </c>
      <c r="AC82">
        <f>VLOOKUP(Table9[[#This Row],[Shortname]], Comp[], 26, FALSE)</f>
        <v>0</v>
      </c>
      <c r="AD82">
        <f>VLOOKUP(Table9[[#This Row],[Shortname]], Comp[], 27, FALSE)</f>
        <v>0</v>
      </c>
      <c r="AE82">
        <f>VLOOKUP(Table9[[#This Row],[Shortname]], Comp[], 28, FALSE)</f>
        <v>0</v>
      </c>
      <c r="AF82">
        <f>VLOOKUP(Table9[[#This Row],[Shortname]], Comp[], 29, FALSE)</f>
        <v>0</v>
      </c>
      <c r="AG82">
        <f>VLOOKUP(Table9[[#This Row],[Shortname]], Comp[], 30, FALSE)</f>
        <v>0</v>
      </c>
      <c r="AH82">
        <f>VLOOKUP(Table9[[#This Row],[Shortname]], Comp[], 31, FALSE)</f>
        <v>0</v>
      </c>
    </row>
    <row r="83" spans="1:34" x14ac:dyDescent="0.3">
      <c r="A83" t="s">
        <v>82</v>
      </c>
      <c r="B83" t="s">
        <v>84</v>
      </c>
      <c r="C83" t="s">
        <v>6809</v>
      </c>
      <c r="D83">
        <v>704</v>
      </c>
      <c r="E83">
        <v>750</v>
      </c>
      <c r="F83">
        <v>1E-3</v>
      </c>
      <c r="G83">
        <v>1</v>
      </c>
      <c r="H83" t="s">
        <v>6807</v>
      </c>
      <c r="I83">
        <f>VLOOKUP(Table9[[#This Row],[Shortname]], Comp[], 6, FALSE)</f>
        <v>8</v>
      </c>
      <c r="J83" s="14">
        <f>VLOOKUP(Table9[[#This Row],[Shortname]], Comp[], 7, FALSE)</f>
        <v>40.210000000000008</v>
      </c>
      <c r="K83">
        <f>VLOOKUP(Table9[[#This Row],[Shortname]], Comp[], 8, FALSE)</f>
        <v>31.14</v>
      </c>
      <c r="L83">
        <f>VLOOKUP(Table9[[#This Row],[Shortname]], Comp[], 9, FALSE)</f>
        <v>10.76</v>
      </c>
      <c r="M83">
        <f>VLOOKUP(Table9[[#This Row],[Shortname]], Comp[], 10, FALSE)</f>
        <v>10.83</v>
      </c>
      <c r="N83">
        <f>VLOOKUP(Table9[[#This Row],[Shortname]], Comp[], 11, FALSE)</f>
        <v>0</v>
      </c>
      <c r="O83">
        <f>VLOOKUP(Table9[[#This Row],[Shortname]], Comp[],12, FALSE)</f>
        <v>0</v>
      </c>
      <c r="P83">
        <f>VLOOKUP(Table9[[#This Row],[Shortname]], Comp[], 13, FALSE)</f>
        <v>2.54</v>
      </c>
      <c r="Q83">
        <f>VLOOKUP(Table9[[#This Row],[Shortname]], Comp[], 14, FALSE)</f>
        <v>0</v>
      </c>
      <c r="R83">
        <f>VLOOKUP(Table9[[#This Row],[Shortname]], Comp[], 15, FALSE)</f>
        <v>0</v>
      </c>
      <c r="S83">
        <f>VLOOKUP(Table9[[#This Row],[Shortname]], Comp[], 16, FALSE)</f>
        <v>4.03</v>
      </c>
      <c r="T83">
        <f>VLOOKUP(Table9[[#This Row],[Shortname]], Comp[], 17, FALSE)</f>
        <v>0.22</v>
      </c>
      <c r="U83">
        <f>VLOOKUP(Table9[[#This Row],[Shortname]], Comp[], 18, FALSE)</f>
        <v>0.05</v>
      </c>
      <c r="V83">
        <f>VLOOKUP(Table9[[#This Row],[Shortname]], Comp[], 19, FALSE)</f>
        <v>0.22</v>
      </c>
      <c r="W83">
        <f>VLOOKUP(Table9[[#This Row],[Shortname]], Comp[], 20, FALSE)</f>
        <v>0</v>
      </c>
      <c r="X83">
        <f>VLOOKUP(Table9[[#This Row],[Shortname]], Comp[], 21, FALSE)</f>
        <v>0</v>
      </c>
      <c r="Y83">
        <f>VLOOKUP(Table9[[#This Row],[Shortname]], Comp[], 22, FALSE)</f>
        <v>0</v>
      </c>
      <c r="Z83">
        <f>VLOOKUP(Table9[[#This Row],[Shortname]], Comp[], 23, FALSE)</f>
        <v>0</v>
      </c>
      <c r="AA83">
        <f>VLOOKUP(Table9[[#This Row],[Shortname]], Comp[], 24, FALSE)</f>
        <v>0</v>
      </c>
      <c r="AB83">
        <f>VLOOKUP(Table9[[#This Row],[Shortname]], Comp[], 25, FALSE)</f>
        <v>0</v>
      </c>
      <c r="AC83">
        <f>VLOOKUP(Table9[[#This Row],[Shortname]], Comp[], 26, FALSE)</f>
        <v>0</v>
      </c>
      <c r="AD83">
        <f>VLOOKUP(Table9[[#This Row],[Shortname]], Comp[], 27, FALSE)</f>
        <v>0</v>
      </c>
      <c r="AE83">
        <f>VLOOKUP(Table9[[#This Row],[Shortname]], Comp[], 28, FALSE)</f>
        <v>0</v>
      </c>
      <c r="AF83">
        <f>VLOOKUP(Table9[[#This Row],[Shortname]], Comp[], 29, FALSE)</f>
        <v>0</v>
      </c>
      <c r="AG83">
        <f>VLOOKUP(Table9[[#This Row],[Shortname]], Comp[], 30, FALSE)</f>
        <v>0</v>
      </c>
      <c r="AH83">
        <f>VLOOKUP(Table9[[#This Row],[Shortname]], Comp[], 31, FALSE)</f>
        <v>0</v>
      </c>
    </row>
    <row r="84" spans="1:34" x14ac:dyDescent="0.3">
      <c r="A84" t="s">
        <v>4933</v>
      </c>
      <c r="B84" t="s">
        <v>4935</v>
      </c>
      <c r="C84" t="s">
        <v>4936</v>
      </c>
      <c r="D84">
        <v>702</v>
      </c>
      <c r="E84">
        <v>900</v>
      </c>
      <c r="F84">
        <v>1E-4</v>
      </c>
      <c r="G84">
        <v>1</v>
      </c>
      <c r="H84" t="s">
        <v>6803</v>
      </c>
      <c r="I84">
        <f>VLOOKUP(Table9[[#This Row],[Shortname]], Comp[], 6, FALSE)</f>
        <v>753</v>
      </c>
      <c r="J84" s="14">
        <f>VLOOKUP(Table9[[#This Row],[Shortname]], Comp[], 7, FALSE)</f>
        <v>81.88</v>
      </c>
      <c r="K84">
        <f>VLOOKUP(Table9[[#This Row],[Shortname]], Comp[], 8, FALSE)</f>
        <v>0</v>
      </c>
      <c r="L84">
        <f>VLOOKUP(Table9[[#This Row],[Shortname]], Comp[], 9, FALSE)</f>
        <v>5.6</v>
      </c>
      <c r="M84">
        <f>VLOOKUP(Table9[[#This Row],[Shortname]], Comp[], 10, FALSE)</f>
        <v>0</v>
      </c>
      <c r="N84">
        <f>VLOOKUP(Table9[[#This Row],[Shortname]], Comp[], 11, FALSE)</f>
        <v>5.8</v>
      </c>
      <c r="O84">
        <f>VLOOKUP(Table9[[#This Row],[Shortname]], Comp[],12, FALSE)</f>
        <v>6.6</v>
      </c>
      <c r="P84">
        <f>VLOOKUP(Table9[[#This Row],[Shortname]], Comp[], 13, FALSE)</f>
        <v>0</v>
      </c>
      <c r="Q84">
        <f>VLOOKUP(Table9[[#This Row],[Shortname]], Comp[], 14, FALSE)</f>
        <v>0</v>
      </c>
      <c r="R84">
        <f>VLOOKUP(Table9[[#This Row],[Shortname]], Comp[], 15, FALSE)</f>
        <v>0</v>
      </c>
      <c r="S84">
        <f>VLOOKUP(Table9[[#This Row],[Shortname]], Comp[], 16, FALSE)</f>
        <v>0</v>
      </c>
      <c r="T84">
        <f>VLOOKUP(Table9[[#This Row],[Shortname]], Comp[], 17, FALSE)</f>
        <v>0</v>
      </c>
      <c r="U84">
        <f>VLOOKUP(Table9[[#This Row],[Shortname]], Comp[], 18, FALSE)</f>
        <v>0</v>
      </c>
      <c r="V84">
        <f>VLOOKUP(Table9[[#This Row],[Shortname]], Comp[], 19, FALSE)</f>
        <v>0.12</v>
      </c>
      <c r="W84">
        <f>VLOOKUP(Table9[[#This Row],[Shortname]], Comp[], 20, FALSE)</f>
        <v>0</v>
      </c>
      <c r="X84">
        <f>VLOOKUP(Table9[[#This Row],[Shortname]], Comp[], 21, FALSE)</f>
        <v>0</v>
      </c>
      <c r="Y84">
        <f>VLOOKUP(Table9[[#This Row],[Shortname]], Comp[], 22, FALSE)</f>
        <v>0</v>
      </c>
      <c r="Z84">
        <f>VLOOKUP(Table9[[#This Row],[Shortname]], Comp[], 23, FALSE)</f>
        <v>0</v>
      </c>
      <c r="AA84">
        <f>VLOOKUP(Table9[[#This Row],[Shortname]], Comp[], 24, FALSE)</f>
        <v>0</v>
      </c>
      <c r="AB84">
        <f>VLOOKUP(Table9[[#This Row],[Shortname]], Comp[], 25, FALSE)</f>
        <v>0</v>
      </c>
      <c r="AC84">
        <f>VLOOKUP(Table9[[#This Row],[Shortname]], Comp[], 26, FALSE)</f>
        <v>0</v>
      </c>
      <c r="AD84">
        <f>VLOOKUP(Table9[[#This Row],[Shortname]], Comp[], 27, FALSE)</f>
        <v>0</v>
      </c>
      <c r="AE84">
        <f>VLOOKUP(Table9[[#This Row],[Shortname]], Comp[], 28, FALSE)</f>
        <v>0</v>
      </c>
      <c r="AF84">
        <f>VLOOKUP(Table9[[#This Row],[Shortname]], Comp[], 29, FALSE)</f>
        <v>0</v>
      </c>
      <c r="AG84">
        <f>VLOOKUP(Table9[[#This Row],[Shortname]], Comp[], 30, FALSE)</f>
        <v>0</v>
      </c>
      <c r="AH84">
        <f>VLOOKUP(Table9[[#This Row],[Shortname]], Comp[], 31, FALSE)</f>
        <v>0</v>
      </c>
    </row>
    <row r="85" spans="1:34" x14ac:dyDescent="0.3">
      <c r="A85" t="s">
        <v>82</v>
      </c>
      <c r="B85" t="s">
        <v>84</v>
      </c>
      <c r="C85" t="s">
        <v>6810</v>
      </c>
      <c r="D85">
        <v>700</v>
      </c>
      <c r="E85">
        <v>650</v>
      </c>
      <c r="F85">
        <v>1E-3</v>
      </c>
      <c r="G85">
        <v>1</v>
      </c>
      <c r="H85" t="s">
        <v>6807</v>
      </c>
      <c r="I85">
        <f>VLOOKUP(Table9[[#This Row],[Shortname]], Comp[], 6, FALSE)</f>
        <v>8</v>
      </c>
      <c r="J85" s="14">
        <f>VLOOKUP(Table9[[#This Row],[Shortname]], Comp[], 7, FALSE)</f>
        <v>40.210000000000008</v>
      </c>
      <c r="K85">
        <f>VLOOKUP(Table9[[#This Row],[Shortname]], Comp[], 8, FALSE)</f>
        <v>31.14</v>
      </c>
      <c r="L85">
        <f>VLOOKUP(Table9[[#This Row],[Shortname]], Comp[], 9, FALSE)</f>
        <v>10.76</v>
      </c>
      <c r="M85">
        <f>VLOOKUP(Table9[[#This Row],[Shortname]], Comp[], 10, FALSE)</f>
        <v>10.83</v>
      </c>
      <c r="N85">
        <f>VLOOKUP(Table9[[#This Row],[Shortname]], Comp[], 11, FALSE)</f>
        <v>0</v>
      </c>
      <c r="O85">
        <f>VLOOKUP(Table9[[#This Row],[Shortname]], Comp[],12, FALSE)</f>
        <v>0</v>
      </c>
      <c r="P85">
        <f>VLOOKUP(Table9[[#This Row],[Shortname]], Comp[], 13, FALSE)</f>
        <v>2.54</v>
      </c>
      <c r="Q85">
        <f>VLOOKUP(Table9[[#This Row],[Shortname]], Comp[], 14, FALSE)</f>
        <v>0</v>
      </c>
      <c r="R85">
        <f>VLOOKUP(Table9[[#This Row],[Shortname]], Comp[], 15, FALSE)</f>
        <v>0</v>
      </c>
      <c r="S85">
        <f>VLOOKUP(Table9[[#This Row],[Shortname]], Comp[], 16, FALSE)</f>
        <v>4.03</v>
      </c>
      <c r="T85">
        <f>VLOOKUP(Table9[[#This Row],[Shortname]], Comp[], 17, FALSE)</f>
        <v>0.22</v>
      </c>
      <c r="U85">
        <f>VLOOKUP(Table9[[#This Row],[Shortname]], Comp[], 18, FALSE)</f>
        <v>0.05</v>
      </c>
      <c r="V85">
        <f>VLOOKUP(Table9[[#This Row],[Shortname]], Comp[], 19, FALSE)</f>
        <v>0.22</v>
      </c>
      <c r="W85">
        <f>VLOOKUP(Table9[[#This Row],[Shortname]], Comp[], 20, FALSE)</f>
        <v>0</v>
      </c>
      <c r="X85">
        <f>VLOOKUP(Table9[[#This Row],[Shortname]], Comp[], 21, FALSE)</f>
        <v>0</v>
      </c>
      <c r="Y85">
        <f>VLOOKUP(Table9[[#This Row],[Shortname]], Comp[], 22, FALSE)</f>
        <v>0</v>
      </c>
      <c r="Z85">
        <f>VLOOKUP(Table9[[#This Row],[Shortname]], Comp[], 23, FALSE)</f>
        <v>0</v>
      </c>
      <c r="AA85">
        <f>VLOOKUP(Table9[[#This Row],[Shortname]], Comp[], 24, FALSE)</f>
        <v>0</v>
      </c>
      <c r="AB85">
        <f>VLOOKUP(Table9[[#This Row],[Shortname]], Comp[], 25, FALSE)</f>
        <v>0</v>
      </c>
      <c r="AC85">
        <f>VLOOKUP(Table9[[#This Row],[Shortname]], Comp[], 26, FALSE)</f>
        <v>0</v>
      </c>
      <c r="AD85">
        <f>VLOOKUP(Table9[[#This Row],[Shortname]], Comp[], 27, FALSE)</f>
        <v>0</v>
      </c>
      <c r="AE85">
        <f>VLOOKUP(Table9[[#This Row],[Shortname]], Comp[], 28, FALSE)</f>
        <v>0</v>
      </c>
      <c r="AF85">
        <f>VLOOKUP(Table9[[#This Row],[Shortname]], Comp[], 29, FALSE)</f>
        <v>0</v>
      </c>
      <c r="AG85">
        <f>VLOOKUP(Table9[[#This Row],[Shortname]], Comp[], 30, FALSE)</f>
        <v>0</v>
      </c>
      <c r="AH85">
        <f>VLOOKUP(Table9[[#This Row],[Shortname]], Comp[], 31, FALSE)</f>
        <v>0</v>
      </c>
    </row>
    <row r="86" spans="1:34" x14ac:dyDescent="0.3">
      <c r="A86" t="s">
        <v>2848</v>
      </c>
      <c r="B86" t="s">
        <v>2850</v>
      </c>
      <c r="C86" t="s">
        <v>2851</v>
      </c>
      <c r="D86">
        <v>695</v>
      </c>
      <c r="E86">
        <v>870</v>
      </c>
      <c r="F86">
        <v>1E-3</v>
      </c>
      <c r="G86">
        <v>1</v>
      </c>
      <c r="H86" t="s">
        <v>6803</v>
      </c>
      <c r="I86">
        <f>VLOOKUP(Table9[[#This Row],[Shortname]], Comp[], 6, FALSE)</f>
        <v>385</v>
      </c>
      <c r="J86" s="14">
        <f>VLOOKUP(Table9[[#This Row],[Shortname]], Comp[], 7, FALSE)</f>
        <v>37.900000000000013</v>
      </c>
      <c r="K86">
        <f>VLOOKUP(Table9[[#This Row],[Shortname]], Comp[], 8, FALSE)</f>
        <v>35.4</v>
      </c>
      <c r="L86">
        <f>VLOOKUP(Table9[[#This Row],[Shortname]], Comp[], 9, FALSE)</f>
        <v>9.6999999999999993</v>
      </c>
      <c r="M86">
        <f>VLOOKUP(Table9[[#This Row],[Shortname]], Comp[], 10, FALSE)</f>
        <v>6</v>
      </c>
      <c r="N86">
        <f>VLOOKUP(Table9[[#This Row],[Shortname]], Comp[], 11, FALSE)</f>
        <v>0</v>
      </c>
      <c r="O86">
        <f>VLOOKUP(Table9[[#This Row],[Shortname]], Comp[],12, FALSE)</f>
        <v>3.4</v>
      </c>
      <c r="P86">
        <f>VLOOKUP(Table9[[#This Row],[Shortname]], Comp[], 13, FALSE)</f>
        <v>2.8</v>
      </c>
      <c r="Q86">
        <f>VLOOKUP(Table9[[#This Row],[Shortname]], Comp[], 14, FALSE)</f>
        <v>0</v>
      </c>
      <c r="R86">
        <f>VLOOKUP(Table9[[#This Row],[Shortname]], Comp[], 15, FALSE)</f>
        <v>0</v>
      </c>
      <c r="S86">
        <f>VLOOKUP(Table9[[#This Row],[Shortname]], Comp[], 16, FALSE)</f>
        <v>4.8</v>
      </c>
      <c r="T86">
        <f>VLOOKUP(Table9[[#This Row],[Shortname]], Comp[], 17, FALSE)</f>
        <v>0</v>
      </c>
      <c r="U86">
        <f>VLOOKUP(Table9[[#This Row],[Shortname]], Comp[], 18, FALSE)</f>
        <v>0</v>
      </c>
      <c r="V86">
        <f>VLOOKUP(Table9[[#This Row],[Shortname]], Comp[], 19, FALSE)</f>
        <v>0</v>
      </c>
      <c r="W86">
        <f>VLOOKUP(Table9[[#This Row],[Shortname]], Comp[], 20, FALSE)</f>
        <v>0</v>
      </c>
      <c r="X86">
        <f>VLOOKUP(Table9[[#This Row],[Shortname]], Comp[], 21, FALSE)</f>
        <v>0</v>
      </c>
      <c r="Y86">
        <f>VLOOKUP(Table9[[#This Row],[Shortname]], Comp[], 22, FALSE)</f>
        <v>0</v>
      </c>
      <c r="Z86">
        <f>VLOOKUP(Table9[[#This Row],[Shortname]], Comp[], 23, FALSE)</f>
        <v>0</v>
      </c>
      <c r="AA86">
        <f>VLOOKUP(Table9[[#This Row],[Shortname]], Comp[], 24, FALSE)</f>
        <v>0</v>
      </c>
      <c r="AB86">
        <f>VLOOKUP(Table9[[#This Row],[Shortname]], Comp[], 25, FALSE)</f>
        <v>0</v>
      </c>
      <c r="AC86">
        <f>VLOOKUP(Table9[[#This Row],[Shortname]], Comp[], 26, FALSE)</f>
        <v>0</v>
      </c>
      <c r="AD86">
        <f>VLOOKUP(Table9[[#This Row],[Shortname]], Comp[], 27, FALSE)</f>
        <v>0</v>
      </c>
      <c r="AE86">
        <f>VLOOKUP(Table9[[#This Row],[Shortname]], Comp[], 28, FALSE)</f>
        <v>0</v>
      </c>
      <c r="AF86">
        <f>VLOOKUP(Table9[[#This Row],[Shortname]], Comp[], 29, FALSE)</f>
        <v>0</v>
      </c>
      <c r="AG86">
        <f>VLOOKUP(Table9[[#This Row],[Shortname]], Comp[], 30, FALSE)</f>
        <v>0</v>
      </c>
      <c r="AH86">
        <f>VLOOKUP(Table9[[#This Row],[Shortname]], Comp[], 31, FALSE)</f>
        <v>0</v>
      </c>
    </row>
    <row r="87" spans="1:34" x14ac:dyDescent="0.3">
      <c r="A87" t="s">
        <v>3132</v>
      </c>
      <c r="B87" t="s">
        <v>3134</v>
      </c>
      <c r="C87" t="s">
        <v>3119</v>
      </c>
      <c r="D87">
        <v>692</v>
      </c>
      <c r="E87">
        <v>25</v>
      </c>
      <c r="F87">
        <v>1E-4</v>
      </c>
      <c r="G87">
        <v>1</v>
      </c>
      <c r="H87" t="s">
        <v>6803</v>
      </c>
      <c r="I87">
        <f>VLOOKUP(Table9[[#This Row],[Shortname]], Comp[], 6, FALSE)</f>
        <v>437</v>
      </c>
      <c r="J87" s="14">
        <f>VLOOKUP(Table9[[#This Row],[Shortname]], Comp[], 7, FALSE)</f>
        <v>86</v>
      </c>
      <c r="K87">
        <f>VLOOKUP(Table9[[#This Row],[Shortname]], Comp[], 8, FALSE)</f>
        <v>0</v>
      </c>
      <c r="L87">
        <f>VLOOKUP(Table9[[#This Row],[Shortname]], Comp[], 9, FALSE)</f>
        <v>0</v>
      </c>
      <c r="M87">
        <f>VLOOKUP(Table9[[#This Row],[Shortname]], Comp[], 10, FALSE)</f>
        <v>0</v>
      </c>
      <c r="N87">
        <f>VLOOKUP(Table9[[#This Row],[Shortname]], Comp[], 11, FALSE)</f>
        <v>0</v>
      </c>
      <c r="O87">
        <f>VLOOKUP(Table9[[#This Row],[Shortname]], Comp[],12, FALSE)</f>
        <v>0</v>
      </c>
      <c r="P87">
        <f>VLOOKUP(Table9[[#This Row],[Shortname]], Comp[], 13, FALSE)</f>
        <v>2</v>
      </c>
      <c r="Q87">
        <f>VLOOKUP(Table9[[#This Row],[Shortname]], Comp[], 14, FALSE)</f>
        <v>0</v>
      </c>
      <c r="R87">
        <f>VLOOKUP(Table9[[#This Row],[Shortname]], Comp[], 15, FALSE)</f>
        <v>12</v>
      </c>
      <c r="S87">
        <f>VLOOKUP(Table9[[#This Row],[Shortname]], Comp[], 16, FALSE)</f>
        <v>0</v>
      </c>
      <c r="T87">
        <f>VLOOKUP(Table9[[#This Row],[Shortname]], Comp[], 17, FALSE)</f>
        <v>0</v>
      </c>
      <c r="U87">
        <f>VLOOKUP(Table9[[#This Row],[Shortname]], Comp[], 18, FALSE)</f>
        <v>0</v>
      </c>
      <c r="V87">
        <f>VLOOKUP(Table9[[#This Row],[Shortname]], Comp[], 19, FALSE)</f>
        <v>0</v>
      </c>
      <c r="W87">
        <f>VLOOKUP(Table9[[#This Row],[Shortname]], Comp[], 20, FALSE)</f>
        <v>0</v>
      </c>
      <c r="X87">
        <f>VLOOKUP(Table9[[#This Row],[Shortname]], Comp[], 21, FALSE)</f>
        <v>0</v>
      </c>
      <c r="Y87">
        <f>VLOOKUP(Table9[[#This Row],[Shortname]], Comp[], 22, FALSE)</f>
        <v>0</v>
      </c>
      <c r="Z87">
        <f>VLOOKUP(Table9[[#This Row],[Shortname]], Comp[], 23, FALSE)</f>
        <v>0</v>
      </c>
      <c r="AA87">
        <f>VLOOKUP(Table9[[#This Row],[Shortname]], Comp[], 24, FALSE)</f>
        <v>0</v>
      </c>
      <c r="AB87">
        <f>VLOOKUP(Table9[[#This Row],[Shortname]], Comp[], 25, FALSE)</f>
        <v>0</v>
      </c>
      <c r="AC87">
        <f>VLOOKUP(Table9[[#This Row],[Shortname]], Comp[], 26, FALSE)</f>
        <v>0</v>
      </c>
      <c r="AD87">
        <f>VLOOKUP(Table9[[#This Row],[Shortname]], Comp[], 27, FALSE)</f>
        <v>0</v>
      </c>
      <c r="AE87">
        <f>VLOOKUP(Table9[[#This Row],[Shortname]], Comp[], 28, FALSE)</f>
        <v>0</v>
      </c>
      <c r="AF87">
        <f>VLOOKUP(Table9[[#This Row],[Shortname]], Comp[], 29, FALSE)</f>
        <v>0</v>
      </c>
      <c r="AG87">
        <f>VLOOKUP(Table9[[#This Row],[Shortname]], Comp[], 30, FALSE)</f>
        <v>0</v>
      </c>
      <c r="AH87">
        <f>VLOOKUP(Table9[[#This Row],[Shortname]], Comp[], 31, FALSE)</f>
        <v>0</v>
      </c>
    </row>
    <row r="88" spans="1:34" x14ac:dyDescent="0.3">
      <c r="A88" t="s">
        <v>2989</v>
      </c>
      <c r="B88" t="s">
        <v>3118</v>
      </c>
      <c r="C88" t="s">
        <v>3119</v>
      </c>
      <c r="D88">
        <v>691</v>
      </c>
      <c r="E88">
        <v>750</v>
      </c>
      <c r="F88">
        <v>1E-4</v>
      </c>
      <c r="G88">
        <v>1</v>
      </c>
      <c r="H88" t="s">
        <v>6803</v>
      </c>
      <c r="I88">
        <f>VLOOKUP(Table9[[#This Row],[Shortname]], Comp[], 6, FALSE)</f>
        <v>411</v>
      </c>
      <c r="J88" s="14">
        <f>VLOOKUP(Table9[[#This Row],[Shortname]], Comp[], 7, FALSE)</f>
        <v>84</v>
      </c>
      <c r="K88">
        <f>VLOOKUP(Table9[[#This Row],[Shortname]], Comp[], 8, FALSE)</f>
        <v>0</v>
      </c>
      <c r="L88">
        <f>VLOOKUP(Table9[[#This Row],[Shortname]], Comp[], 9, FALSE)</f>
        <v>0</v>
      </c>
      <c r="M88">
        <f>VLOOKUP(Table9[[#This Row],[Shortname]], Comp[], 10, FALSE)</f>
        <v>0</v>
      </c>
      <c r="N88">
        <f>VLOOKUP(Table9[[#This Row],[Shortname]], Comp[], 11, FALSE)</f>
        <v>0</v>
      </c>
      <c r="O88">
        <f>VLOOKUP(Table9[[#This Row],[Shortname]], Comp[],12, FALSE)</f>
        <v>2</v>
      </c>
      <c r="P88">
        <f>VLOOKUP(Table9[[#This Row],[Shortname]], Comp[], 13, FALSE)</f>
        <v>2</v>
      </c>
      <c r="Q88">
        <f>VLOOKUP(Table9[[#This Row],[Shortname]], Comp[], 14, FALSE)</f>
        <v>0</v>
      </c>
      <c r="R88">
        <f>VLOOKUP(Table9[[#This Row],[Shortname]], Comp[], 15, FALSE)</f>
        <v>12</v>
      </c>
      <c r="S88">
        <f>VLOOKUP(Table9[[#This Row],[Shortname]], Comp[], 16, FALSE)</f>
        <v>0</v>
      </c>
      <c r="T88">
        <f>VLOOKUP(Table9[[#This Row],[Shortname]], Comp[], 17, FALSE)</f>
        <v>0</v>
      </c>
      <c r="U88">
        <f>VLOOKUP(Table9[[#This Row],[Shortname]], Comp[], 18, FALSE)</f>
        <v>0</v>
      </c>
      <c r="V88">
        <f>VLOOKUP(Table9[[#This Row],[Shortname]], Comp[], 19, FALSE)</f>
        <v>0</v>
      </c>
      <c r="W88">
        <f>VLOOKUP(Table9[[#This Row],[Shortname]], Comp[], 20, FALSE)</f>
        <v>0</v>
      </c>
      <c r="X88">
        <f>VLOOKUP(Table9[[#This Row],[Shortname]], Comp[], 21, FALSE)</f>
        <v>0</v>
      </c>
      <c r="Y88">
        <f>VLOOKUP(Table9[[#This Row],[Shortname]], Comp[], 22, FALSE)</f>
        <v>0</v>
      </c>
      <c r="Z88">
        <f>VLOOKUP(Table9[[#This Row],[Shortname]], Comp[], 23, FALSE)</f>
        <v>0</v>
      </c>
      <c r="AA88">
        <f>VLOOKUP(Table9[[#This Row],[Shortname]], Comp[], 24, FALSE)</f>
        <v>0</v>
      </c>
      <c r="AB88">
        <f>VLOOKUP(Table9[[#This Row],[Shortname]], Comp[], 25, FALSE)</f>
        <v>0</v>
      </c>
      <c r="AC88">
        <f>VLOOKUP(Table9[[#This Row],[Shortname]], Comp[], 26, FALSE)</f>
        <v>0</v>
      </c>
      <c r="AD88">
        <f>VLOOKUP(Table9[[#This Row],[Shortname]], Comp[], 27, FALSE)</f>
        <v>0</v>
      </c>
      <c r="AE88">
        <f>VLOOKUP(Table9[[#This Row],[Shortname]], Comp[], 28, FALSE)</f>
        <v>0</v>
      </c>
      <c r="AF88">
        <f>VLOOKUP(Table9[[#This Row],[Shortname]], Comp[], 29, FALSE)</f>
        <v>0</v>
      </c>
      <c r="AG88">
        <f>VLOOKUP(Table9[[#This Row],[Shortname]], Comp[], 30, FALSE)</f>
        <v>0</v>
      </c>
      <c r="AH88">
        <f>VLOOKUP(Table9[[#This Row],[Shortname]], Comp[], 31, FALSE)</f>
        <v>0</v>
      </c>
    </row>
    <row r="89" spans="1:34" x14ac:dyDescent="0.3">
      <c r="A89" t="s">
        <v>5062</v>
      </c>
      <c r="B89" t="s">
        <v>5531</v>
      </c>
      <c r="C89" t="s">
        <v>5054</v>
      </c>
      <c r="D89">
        <v>689</v>
      </c>
      <c r="E89">
        <v>570</v>
      </c>
      <c r="F89">
        <v>1E-3</v>
      </c>
      <c r="G89">
        <v>1</v>
      </c>
      <c r="I89">
        <f>VLOOKUP(Table9[[#This Row],[Shortname]], Comp[], 6, FALSE)</f>
        <v>781</v>
      </c>
      <c r="J89" s="14">
        <f>VLOOKUP(Table9[[#This Row],[Shortname]], Comp[], 7, FALSE)</f>
        <v>53</v>
      </c>
      <c r="K89">
        <f>VLOOKUP(Table9[[#This Row],[Shortname]], Comp[], 8, FALSE)</f>
        <v>30</v>
      </c>
      <c r="L89">
        <f>VLOOKUP(Table9[[#This Row],[Shortname]], Comp[], 9, FALSE)</f>
        <v>10</v>
      </c>
      <c r="M89">
        <f>VLOOKUP(Table9[[#This Row],[Shortname]], Comp[], 10, FALSE)</f>
        <v>0</v>
      </c>
      <c r="N89">
        <f>VLOOKUP(Table9[[#This Row],[Shortname]], Comp[], 11, FALSE)</f>
        <v>0</v>
      </c>
      <c r="O89">
        <f>VLOOKUP(Table9[[#This Row],[Shortname]], Comp[],12, FALSE)</f>
        <v>2</v>
      </c>
      <c r="P89">
        <f>VLOOKUP(Table9[[#This Row],[Shortname]], Comp[], 13, FALSE)</f>
        <v>0</v>
      </c>
      <c r="Q89">
        <f>VLOOKUP(Table9[[#This Row],[Shortname]], Comp[], 14, FALSE)</f>
        <v>0</v>
      </c>
      <c r="R89">
        <f>VLOOKUP(Table9[[#This Row],[Shortname]], Comp[], 15, FALSE)</f>
        <v>0</v>
      </c>
      <c r="S89">
        <f>VLOOKUP(Table9[[#This Row],[Shortname]], Comp[], 16, FALSE)</f>
        <v>5</v>
      </c>
      <c r="T89">
        <f>VLOOKUP(Table9[[#This Row],[Shortname]], Comp[], 17, FALSE)</f>
        <v>0</v>
      </c>
      <c r="U89">
        <f>VLOOKUP(Table9[[#This Row],[Shortname]], Comp[], 18, FALSE)</f>
        <v>0</v>
      </c>
      <c r="V89">
        <f>VLOOKUP(Table9[[#This Row],[Shortname]], Comp[], 19, FALSE)</f>
        <v>0</v>
      </c>
      <c r="W89">
        <f>VLOOKUP(Table9[[#This Row],[Shortname]], Comp[], 20, FALSE)</f>
        <v>0</v>
      </c>
      <c r="X89">
        <f>VLOOKUP(Table9[[#This Row],[Shortname]], Comp[], 21, FALSE)</f>
        <v>0</v>
      </c>
      <c r="Y89">
        <f>VLOOKUP(Table9[[#This Row],[Shortname]], Comp[], 22, FALSE)</f>
        <v>0</v>
      </c>
      <c r="Z89">
        <f>VLOOKUP(Table9[[#This Row],[Shortname]], Comp[], 23, FALSE)</f>
        <v>0</v>
      </c>
      <c r="AA89">
        <f>VLOOKUP(Table9[[#This Row],[Shortname]], Comp[], 24, FALSE)</f>
        <v>0</v>
      </c>
      <c r="AB89">
        <f>VLOOKUP(Table9[[#This Row],[Shortname]], Comp[], 25, FALSE)</f>
        <v>0</v>
      </c>
      <c r="AC89">
        <f>VLOOKUP(Table9[[#This Row],[Shortname]], Comp[], 26, FALSE)</f>
        <v>0</v>
      </c>
      <c r="AD89">
        <f>VLOOKUP(Table9[[#This Row],[Shortname]], Comp[], 27, FALSE)</f>
        <v>0</v>
      </c>
      <c r="AE89">
        <f>VLOOKUP(Table9[[#This Row],[Shortname]], Comp[], 28, FALSE)</f>
        <v>0</v>
      </c>
      <c r="AF89">
        <f>VLOOKUP(Table9[[#This Row],[Shortname]], Comp[], 29, FALSE)</f>
        <v>0</v>
      </c>
      <c r="AG89">
        <f>VLOOKUP(Table9[[#This Row],[Shortname]], Comp[], 30, FALSE)</f>
        <v>0</v>
      </c>
      <c r="AH89">
        <f>VLOOKUP(Table9[[#This Row],[Shortname]], Comp[], 31, FALSE)</f>
        <v>0</v>
      </c>
    </row>
    <row r="90" spans="1:34" x14ac:dyDescent="0.3">
      <c r="A90" t="s">
        <v>544</v>
      </c>
      <c r="B90" t="s">
        <v>6696</v>
      </c>
      <c r="C90" t="s">
        <v>499</v>
      </c>
      <c r="D90">
        <v>684</v>
      </c>
      <c r="E90">
        <v>800</v>
      </c>
      <c r="F90">
        <v>1E-4</v>
      </c>
      <c r="G90">
        <v>1</v>
      </c>
      <c r="I90">
        <f>VLOOKUP(Table9[[#This Row],[Shortname]], Comp[], 6, FALSE)</f>
        <v>70</v>
      </c>
      <c r="J90" s="14">
        <f>VLOOKUP(Table9[[#This Row],[Shortname]], Comp[], 7, FALSE)</f>
        <v>72.3</v>
      </c>
      <c r="K90">
        <f>VLOOKUP(Table9[[#This Row],[Shortname]], Comp[], 8, FALSE)</f>
        <v>10.199999999999999</v>
      </c>
      <c r="L90">
        <f>VLOOKUP(Table9[[#This Row],[Shortname]], Comp[], 9, FALSE)</f>
        <v>7.3</v>
      </c>
      <c r="M90">
        <f>VLOOKUP(Table9[[#This Row],[Shortname]], Comp[], 10, FALSE)</f>
        <v>0</v>
      </c>
      <c r="N90">
        <f>VLOOKUP(Table9[[#This Row],[Shortname]], Comp[], 11, FALSE)</f>
        <v>8</v>
      </c>
      <c r="O90">
        <f>VLOOKUP(Table9[[#This Row],[Shortname]], Comp[],12, FALSE)</f>
        <v>2.2000000000000002</v>
      </c>
      <c r="P90">
        <f>VLOOKUP(Table9[[#This Row],[Shortname]], Comp[], 13, FALSE)</f>
        <v>0</v>
      </c>
      <c r="Q90">
        <f>VLOOKUP(Table9[[#This Row],[Shortname]], Comp[], 14, FALSE)</f>
        <v>0</v>
      </c>
      <c r="R90">
        <f>VLOOKUP(Table9[[#This Row],[Shortname]], Comp[], 15, FALSE)</f>
        <v>0</v>
      </c>
      <c r="S90">
        <f>VLOOKUP(Table9[[#This Row],[Shortname]], Comp[], 16, FALSE)</f>
        <v>0</v>
      </c>
      <c r="T90">
        <f>VLOOKUP(Table9[[#This Row],[Shortname]], Comp[], 17, FALSE)</f>
        <v>0</v>
      </c>
      <c r="U90">
        <f>VLOOKUP(Table9[[#This Row],[Shortname]], Comp[], 18, FALSE)</f>
        <v>0</v>
      </c>
      <c r="V90">
        <f>VLOOKUP(Table9[[#This Row],[Shortname]], Comp[], 19, FALSE)</f>
        <v>0</v>
      </c>
      <c r="W90">
        <f>VLOOKUP(Table9[[#This Row],[Shortname]], Comp[], 20, FALSE)</f>
        <v>0</v>
      </c>
      <c r="X90">
        <f>VLOOKUP(Table9[[#This Row],[Shortname]], Comp[], 21, FALSE)</f>
        <v>0</v>
      </c>
      <c r="Y90">
        <f>VLOOKUP(Table9[[#This Row],[Shortname]], Comp[], 22, FALSE)</f>
        <v>0</v>
      </c>
      <c r="Z90">
        <f>VLOOKUP(Table9[[#This Row],[Shortname]], Comp[], 23, FALSE)</f>
        <v>0</v>
      </c>
      <c r="AA90">
        <f>VLOOKUP(Table9[[#This Row],[Shortname]], Comp[], 24, FALSE)</f>
        <v>0</v>
      </c>
      <c r="AB90">
        <f>VLOOKUP(Table9[[#This Row],[Shortname]], Comp[], 25, FALSE)</f>
        <v>0</v>
      </c>
      <c r="AC90">
        <f>VLOOKUP(Table9[[#This Row],[Shortname]], Comp[], 26, FALSE)</f>
        <v>0</v>
      </c>
      <c r="AD90">
        <f>VLOOKUP(Table9[[#This Row],[Shortname]], Comp[], 27, FALSE)</f>
        <v>0</v>
      </c>
      <c r="AE90">
        <f>VLOOKUP(Table9[[#This Row],[Shortname]], Comp[], 28, FALSE)</f>
        <v>0</v>
      </c>
      <c r="AF90">
        <f>VLOOKUP(Table9[[#This Row],[Shortname]], Comp[], 29, FALSE)</f>
        <v>0</v>
      </c>
      <c r="AG90">
        <f>VLOOKUP(Table9[[#This Row],[Shortname]], Comp[], 30, FALSE)</f>
        <v>0</v>
      </c>
      <c r="AH90">
        <f>VLOOKUP(Table9[[#This Row],[Shortname]], Comp[], 31, FALSE)</f>
        <v>0</v>
      </c>
    </row>
    <row r="91" spans="1:34" x14ac:dyDescent="0.3">
      <c r="A91" t="s">
        <v>5062</v>
      </c>
      <c r="B91" t="s">
        <v>5531</v>
      </c>
      <c r="C91" t="s">
        <v>5054</v>
      </c>
      <c r="D91">
        <v>682.2</v>
      </c>
      <c r="E91">
        <v>620</v>
      </c>
      <c r="F91">
        <v>1E-3</v>
      </c>
      <c r="G91">
        <v>1</v>
      </c>
      <c r="I91">
        <f>VLOOKUP(Table9[[#This Row],[Shortname]], Comp[], 6, FALSE)</f>
        <v>781</v>
      </c>
      <c r="J91" s="14">
        <f>VLOOKUP(Table9[[#This Row],[Shortname]], Comp[], 7, FALSE)</f>
        <v>53</v>
      </c>
      <c r="K91">
        <f>VLOOKUP(Table9[[#This Row],[Shortname]], Comp[], 8, FALSE)</f>
        <v>30</v>
      </c>
      <c r="L91">
        <f>VLOOKUP(Table9[[#This Row],[Shortname]], Comp[], 9, FALSE)</f>
        <v>10</v>
      </c>
      <c r="M91">
        <f>VLOOKUP(Table9[[#This Row],[Shortname]], Comp[], 10, FALSE)</f>
        <v>0</v>
      </c>
      <c r="N91">
        <f>VLOOKUP(Table9[[#This Row],[Shortname]], Comp[], 11, FALSE)</f>
        <v>0</v>
      </c>
      <c r="O91">
        <f>VLOOKUP(Table9[[#This Row],[Shortname]], Comp[],12, FALSE)</f>
        <v>2</v>
      </c>
      <c r="P91">
        <f>VLOOKUP(Table9[[#This Row],[Shortname]], Comp[], 13, FALSE)</f>
        <v>0</v>
      </c>
      <c r="Q91">
        <f>VLOOKUP(Table9[[#This Row],[Shortname]], Comp[], 14, FALSE)</f>
        <v>0</v>
      </c>
      <c r="R91">
        <f>VLOOKUP(Table9[[#This Row],[Shortname]], Comp[], 15, FALSE)</f>
        <v>0</v>
      </c>
      <c r="S91">
        <f>VLOOKUP(Table9[[#This Row],[Shortname]], Comp[], 16, FALSE)</f>
        <v>5</v>
      </c>
      <c r="T91">
        <f>VLOOKUP(Table9[[#This Row],[Shortname]], Comp[], 17, FALSE)</f>
        <v>0</v>
      </c>
      <c r="U91">
        <f>VLOOKUP(Table9[[#This Row],[Shortname]], Comp[], 18, FALSE)</f>
        <v>0</v>
      </c>
      <c r="V91">
        <f>VLOOKUP(Table9[[#This Row],[Shortname]], Comp[], 19, FALSE)</f>
        <v>0</v>
      </c>
      <c r="W91">
        <f>VLOOKUP(Table9[[#This Row],[Shortname]], Comp[], 20, FALSE)</f>
        <v>0</v>
      </c>
      <c r="X91">
        <f>VLOOKUP(Table9[[#This Row],[Shortname]], Comp[], 21, FALSE)</f>
        <v>0</v>
      </c>
      <c r="Y91">
        <f>VLOOKUP(Table9[[#This Row],[Shortname]], Comp[], 22, FALSE)</f>
        <v>0</v>
      </c>
      <c r="Z91">
        <f>VLOOKUP(Table9[[#This Row],[Shortname]], Comp[], 23, FALSE)</f>
        <v>0</v>
      </c>
      <c r="AA91">
        <f>VLOOKUP(Table9[[#This Row],[Shortname]], Comp[], 24, FALSE)</f>
        <v>0</v>
      </c>
      <c r="AB91">
        <f>VLOOKUP(Table9[[#This Row],[Shortname]], Comp[], 25, FALSE)</f>
        <v>0</v>
      </c>
      <c r="AC91">
        <f>VLOOKUP(Table9[[#This Row],[Shortname]], Comp[], 26, FALSE)</f>
        <v>0</v>
      </c>
      <c r="AD91">
        <f>VLOOKUP(Table9[[#This Row],[Shortname]], Comp[], 27, FALSE)</f>
        <v>0</v>
      </c>
      <c r="AE91">
        <f>VLOOKUP(Table9[[#This Row],[Shortname]], Comp[], 28, FALSE)</f>
        <v>0</v>
      </c>
      <c r="AF91">
        <f>VLOOKUP(Table9[[#This Row],[Shortname]], Comp[], 29, FALSE)</f>
        <v>0</v>
      </c>
      <c r="AG91">
        <f>VLOOKUP(Table9[[#This Row],[Shortname]], Comp[], 30, FALSE)</f>
        <v>0</v>
      </c>
      <c r="AH91">
        <f>VLOOKUP(Table9[[#This Row],[Shortname]], Comp[], 31, FALSE)</f>
        <v>0</v>
      </c>
    </row>
    <row r="92" spans="1:34" x14ac:dyDescent="0.3">
      <c r="A92" t="s">
        <v>870</v>
      </c>
      <c r="B92" t="s">
        <v>872</v>
      </c>
      <c r="C92" t="s">
        <v>873</v>
      </c>
      <c r="D92">
        <v>682</v>
      </c>
      <c r="E92">
        <v>25</v>
      </c>
      <c r="F92">
        <v>1E-4</v>
      </c>
      <c r="G92">
        <v>1</v>
      </c>
      <c r="H92" t="s">
        <v>6811</v>
      </c>
      <c r="I92">
        <f>VLOOKUP(Table9[[#This Row],[Shortname]], Comp[], 6, FALSE)</f>
        <v>112</v>
      </c>
      <c r="J92" s="14">
        <f>VLOOKUP(Table9[[#This Row],[Shortname]], Comp[], 7, FALSE)</f>
        <v>49</v>
      </c>
      <c r="K92">
        <f>VLOOKUP(Table9[[#This Row],[Shortname]], Comp[], 8, FALSE)</f>
        <v>30</v>
      </c>
      <c r="L92">
        <f>VLOOKUP(Table9[[#This Row],[Shortname]], Comp[], 9, FALSE)</f>
        <v>10</v>
      </c>
      <c r="M92">
        <f>VLOOKUP(Table9[[#This Row],[Shortname]], Comp[], 10, FALSE)</f>
        <v>0</v>
      </c>
      <c r="N92">
        <f>VLOOKUP(Table9[[#This Row],[Shortname]], Comp[], 11, FALSE)</f>
        <v>0</v>
      </c>
      <c r="O92">
        <f>VLOOKUP(Table9[[#This Row],[Shortname]], Comp[],12, FALSE)</f>
        <v>2</v>
      </c>
      <c r="P92">
        <f>VLOOKUP(Table9[[#This Row],[Shortname]], Comp[], 13, FALSE)</f>
        <v>4</v>
      </c>
      <c r="Q92">
        <f>VLOOKUP(Table9[[#This Row],[Shortname]], Comp[], 14, FALSE)</f>
        <v>0</v>
      </c>
      <c r="R92">
        <f>VLOOKUP(Table9[[#This Row],[Shortname]], Comp[], 15, FALSE)</f>
        <v>5</v>
      </c>
      <c r="S92">
        <f>VLOOKUP(Table9[[#This Row],[Shortname]], Comp[], 16, FALSE)</f>
        <v>0</v>
      </c>
      <c r="T92">
        <f>VLOOKUP(Table9[[#This Row],[Shortname]], Comp[], 17, FALSE)</f>
        <v>0</v>
      </c>
      <c r="U92">
        <f>VLOOKUP(Table9[[#This Row],[Shortname]], Comp[], 18, FALSE)</f>
        <v>0</v>
      </c>
      <c r="V92">
        <f>VLOOKUP(Table9[[#This Row],[Shortname]], Comp[], 19, FALSE)</f>
        <v>0</v>
      </c>
      <c r="W92">
        <f>VLOOKUP(Table9[[#This Row],[Shortname]], Comp[], 20, FALSE)</f>
        <v>0</v>
      </c>
      <c r="X92">
        <f>VLOOKUP(Table9[[#This Row],[Shortname]], Comp[], 21, FALSE)</f>
        <v>0</v>
      </c>
      <c r="Y92">
        <f>VLOOKUP(Table9[[#This Row],[Shortname]], Comp[], 22, FALSE)</f>
        <v>0</v>
      </c>
      <c r="Z92">
        <f>VLOOKUP(Table9[[#This Row],[Shortname]], Comp[], 23, FALSE)</f>
        <v>0</v>
      </c>
      <c r="AA92">
        <f>VLOOKUP(Table9[[#This Row],[Shortname]], Comp[], 24, FALSE)</f>
        <v>0</v>
      </c>
      <c r="AB92">
        <f>VLOOKUP(Table9[[#This Row],[Shortname]], Comp[], 25, FALSE)</f>
        <v>0</v>
      </c>
      <c r="AC92">
        <f>VLOOKUP(Table9[[#This Row],[Shortname]], Comp[], 26, FALSE)</f>
        <v>0</v>
      </c>
      <c r="AD92">
        <f>VLOOKUP(Table9[[#This Row],[Shortname]], Comp[], 27, FALSE)</f>
        <v>0</v>
      </c>
      <c r="AE92">
        <f>VLOOKUP(Table9[[#This Row],[Shortname]], Comp[], 28, FALSE)</f>
        <v>0</v>
      </c>
      <c r="AF92">
        <f>VLOOKUP(Table9[[#This Row],[Shortname]], Comp[], 29, FALSE)</f>
        <v>0</v>
      </c>
      <c r="AG92">
        <f>VLOOKUP(Table9[[#This Row],[Shortname]], Comp[], 30, FALSE)</f>
        <v>0</v>
      </c>
      <c r="AH92">
        <f>VLOOKUP(Table9[[#This Row],[Shortname]], Comp[], 31, FALSE)</f>
        <v>0</v>
      </c>
    </row>
    <row r="93" spans="1:34" x14ac:dyDescent="0.3">
      <c r="A93" t="s">
        <v>534</v>
      </c>
      <c r="B93" t="s">
        <v>6695</v>
      </c>
      <c r="C93" t="s">
        <v>499</v>
      </c>
      <c r="D93">
        <v>680</v>
      </c>
      <c r="E93">
        <v>750</v>
      </c>
      <c r="F93">
        <v>1E-4</v>
      </c>
      <c r="G93">
        <v>1</v>
      </c>
      <c r="I93">
        <f>VLOOKUP(Table9[[#This Row],[Shortname]], Comp[], 6, FALSE)</f>
        <v>69</v>
      </c>
      <c r="J93" s="14">
        <f>VLOOKUP(Table9[[#This Row],[Shortname]], Comp[], 7, FALSE)</f>
        <v>72.3</v>
      </c>
      <c r="K93">
        <f>VLOOKUP(Table9[[#This Row],[Shortname]], Comp[], 8, FALSE)</f>
        <v>10.3</v>
      </c>
      <c r="L93">
        <f>VLOOKUP(Table9[[#This Row],[Shortname]], Comp[], 9, FALSE)</f>
        <v>6.3</v>
      </c>
      <c r="M93">
        <f>VLOOKUP(Table9[[#This Row],[Shortname]], Comp[], 10, FALSE)</f>
        <v>0</v>
      </c>
      <c r="N93">
        <f>VLOOKUP(Table9[[#This Row],[Shortname]], Comp[], 11, FALSE)</f>
        <v>7</v>
      </c>
      <c r="O93">
        <f>VLOOKUP(Table9[[#This Row],[Shortname]], Comp[],12, FALSE)</f>
        <v>4.0999999999999996</v>
      </c>
      <c r="P93">
        <f>VLOOKUP(Table9[[#This Row],[Shortname]], Comp[], 13, FALSE)</f>
        <v>0</v>
      </c>
      <c r="Q93">
        <f>VLOOKUP(Table9[[#This Row],[Shortname]], Comp[], 14, FALSE)</f>
        <v>0</v>
      </c>
      <c r="R93">
        <f>VLOOKUP(Table9[[#This Row],[Shortname]], Comp[], 15, FALSE)</f>
        <v>0</v>
      </c>
      <c r="S93">
        <f>VLOOKUP(Table9[[#This Row],[Shortname]], Comp[], 16, FALSE)</f>
        <v>0</v>
      </c>
      <c r="T93">
        <f>VLOOKUP(Table9[[#This Row],[Shortname]], Comp[], 17, FALSE)</f>
        <v>0</v>
      </c>
      <c r="U93">
        <f>VLOOKUP(Table9[[#This Row],[Shortname]], Comp[], 18, FALSE)</f>
        <v>0</v>
      </c>
      <c r="V93">
        <f>VLOOKUP(Table9[[#This Row],[Shortname]], Comp[], 19, FALSE)</f>
        <v>0</v>
      </c>
      <c r="W93">
        <f>VLOOKUP(Table9[[#This Row],[Shortname]], Comp[], 20, FALSE)</f>
        <v>0</v>
      </c>
      <c r="X93">
        <f>VLOOKUP(Table9[[#This Row],[Shortname]], Comp[], 21, FALSE)</f>
        <v>0</v>
      </c>
      <c r="Y93">
        <f>VLOOKUP(Table9[[#This Row],[Shortname]], Comp[], 22, FALSE)</f>
        <v>0</v>
      </c>
      <c r="Z93">
        <f>VLOOKUP(Table9[[#This Row],[Shortname]], Comp[], 23, FALSE)</f>
        <v>0</v>
      </c>
      <c r="AA93">
        <f>VLOOKUP(Table9[[#This Row],[Shortname]], Comp[], 24, FALSE)</f>
        <v>0</v>
      </c>
      <c r="AB93">
        <f>VLOOKUP(Table9[[#This Row],[Shortname]], Comp[], 25, FALSE)</f>
        <v>0</v>
      </c>
      <c r="AC93">
        <f>VLOOKUP(Table9[[#This Row],[Shortname]], Comp[], 26, FALSE)</f>
        <v>0</v>
      </c>
      <c r="AD93">
        <f>VLOOKUP(Table9[[#This Row],[Shortname]], Comp[], 27, FALSE)</f>
        <v>0</v>
      </c>
      <c r="AE93">
        <f>VLOOKUP(Table9[[#This Row],[Shortname]], Comp[], 28, FALSE)</f>
        <v>0</v>
      </c>
      <c r="AF93">
        <f>VLOOKUP(Table9[[#This Row],[Shortname]], Comp[], 29, FALSE)</f>
        <v>0</v>
      </c>
      <c r="AG93">
        <f>VLOOKUP(Table9[[#This Row],[Shortname]], Comp[], 30, FALSE)</f>
        <v>0</v>
      </c>
      <c r="AH93">
        <f>VLOOKUP(Table9[[#This Row],[Shortname]], Comp[], 31, FALSE)</f>
        <v>0</v>
      </c>
    </row>
    <row r="94" spans="1:34" x14ac:dyDescent="0.3">
      <c r="A94" t="s">
        <v>525</v>
      </c>
      <c r="B94" t="s">
        <v>6694</v>
      </c>
      <c r="C94" t="s">
        <v>499</v>
      </c>
      <c r="D94">
        <v>680</v>
      </c>
      <c r="E94">
        <v>700</v>
      </c>
      <c r="F94">
        <v>1E-4</v>
      </c>
      <c r="G94">
        <v>1</v>
      </c>
      <c r="I94">
        <f>VLOOKUP(Table9[[#This Row],[Shortname]], Comp[], 6, FALSE)</f>
        <v>68</v>
      </c>
      <c r="J94" s="14">
        <f>VLOOKUP(Table9[[#This Row],[Shortname]], Comp[], 7, FALSE)</f>
        <v>72.400000000000006</v>
      </c>
      <c r="K94">
        <f>VLOOKUP(Table9[[#This Row],[Shortname]], Comp[], 8, FALSE)</f>
        <v>10.199999999999999</v>
      </c>
      <c r="L94">
        <f>VLOOKUP(Table9[[#This Row],[Shortname]], Comp[], 9, FALSE)</f>
        <v>5.4</v>
      </c>
      <c r="M94">
        <f>VLOOKUP(Table9[[#This Row],[Shortname]], Comp[], 10, FALSE)</f>
        <v>0</v>
      </c>
      <c r="N94">
        <f>VLOOKUP(Table9[[#This Row],[Shortname]], Comp[], 11, FALSE)</f>
        <v>6.1</v>
      </c>
      <c r="O94">
        <f>VLOOKUP(Table9[[#This Row],[Shortname]], Comp[],12, FALSE)</f>
        <v>5.9</v>
      </c>
      <c r="P94">
        <f>VLOOKUP(Table9[[#This Row],[Shortname]], Comp[], 13, FALSE)</f>
        <v>0</v>
      </c>
      <c r="Q94">
        <f>VLOOKUP(Table9[[#This Row],[Shortname]], Comp[], 14, FALSE)</f>
        <v>0</v>
      </c>
      <c r="R94">
        <f>VLOOKUP(Table9[[#This Row],[Shortname]], Comp[], 15, FALSE)</f>
        <v>0</v>
      </c>
      <c r="S94">
        <f>VLOOKUP(Table9[[#This Row],[Shortname]], Comp[], 16, FALSE)</f>
        <v>0</v>
      </c>
      <c r="T94">
        <f>VLOOKUP(Table9[[#This Row],[Shortname]], Comp[], 17, FALSE)</f>
        <v>0</v>
      </c>
      <c r="U94">
        <f>VLOOKUP(Table9[[#This Row],[Shortname]], Comp[], 18, FALSE)</f>
        <v>0</v>
      </c>
      <c r="V94">
        <f>VLOOKUP(Table9[[#This Row],[Shortname]], Comp[], 19, FALSE)</f>
        <v>0</v>
      </c>
      <c r="W94">
        <f>VLOOKUP(Table9[[#This Row],[Shortname]], Comp[], 20, FALSE)</f>
        <v>0</v>
      </c>
      <c r="X94">
        <f>VLOOKUP(Table9[[#This Row],[Shortname]], Comp[], 21, FALSE)</f>
        <v>0</v>
      </c>
      <c r="Y94">
        <f>VLOOKUP(Table9[[#This Row],[Shortname]], Comp[], 22, FALSE)</f>
        <v>0</v>
      </c>
      <c r="Z94">
        <f>VLOOKUP(Table9[[#This Row],[Shortname]], Comp[], 23, FALSE)</f>
        <v>0</v>
      </c>
      <c r="AA94">
        <f>VLOOKUP(Table9[[#This Row],[Shortname]], Comp[], 24, FALSE)</f>
        <v>0</v>
      </c>
      <c r="AB94">
        <f>VLOOKUP(Table9[[#This Row],[Shortname]], Comp[], 25, FALSE)</f>
        <v>0</v>
      </c>
      <c r="AC94">
        <f>VLOOKUP(Table9[[#This Row],[Shortname]], Comp[], 26, FALSE)</f>
        <v>0</v>
      </c>
      <c r="AD94">
        <f>VLOOKUP(Table9[[#This Row],[Shortname]], Comp[], 27, FALSE)</f>
        <v>0</v>
      </c>
      <c r="AE94">
        <f>VLOOKUP(Table9[[#This Row],[Shortname]], Comp[], 28, FALSE)</f>
        <v>0</v>
      </c>
      <c r="AF94">
        <f>VLOOKUP(Table9[[#This Row],[Shortname]], Comp[], 29, FALSE)</f>
        <v>0</v>
      </c>
      <c r="AG94">
        <f>VLOOKUP(Table9[[#This Row],[Shortname]], Comp[], 30, FALSE)</f>
        <v>0</v>
      </c>
      <c r="AH94">
        <f>VLOOKUP(Table9[[#This Row],[Shortname]], Comp[], 31, FALSE)</f>
        <v>0</v>
      </c>
    </row>
    <row r="95" spans="1:34" x14ac:dyDescent="0.3">
      <c r="A95" t="s">
        <v>870</v>
      </c>
      <c r="B95" t="s">
        <v>872</v>
      </c>
      <c r="C95" t="s">
        <v>6812</v>
      </c>
      <c r="D95">
        <v>680</v>
      </c>
      <c r="E95">
        <v>800</v>
      </c>
      <c r="F95">
        <v>1E-4</v>
      </c>
      <c r="G95">
        <v>1</v>
      </c>
      <c r="H95" t="s">
        <v>6803</v>
      </c>
      <c r="I95">
        <f>VLOOKUP(Table9[[#This Row],[Shortname]], Comp[], 6, FALSE)</f>
        <v>112</v>
      </c>
      <c r="J95" s="14">
        <f>VLOOKUP(Table9[[#This Row],[Shortname]], Comp[], 7, FALSE)</f>
        <v>49</v>
      </c>
      <c r="K95">
        <f>VLOOKUP(Table9[[#This Row],[Shortname]], Comp[], 8, FALSE)</f>
        <v>30</v>
      </c>
      <c r="L95">
        <f>VLOOKUP(Table9[[#This Row],[Shortname]], Comp[], 9, FALSE)</f>
        <v>10</v>
      </c>
      <c r="M95">
        <f>VLOOKUP(Table9[[#This Row],[Shortname]], Comp[], 10, FALSE)</f>
        <v>0</v>
      </c>
      <c r="N95">
        <f>VLOOKUP(Table9[[#This Row],[Shortname]], Comp[], 11, FALSE)</f>
        <v>0</v>
      </c>
      <c r="O95">
        <f>VLOOKUP(Table9[[#This Row],[Shortname]], Comp[],12, FALSE)</f>
        <v>2</v>
      </c>
      <c r="P95">
        <f>VLOOKUP(Table9[[#This Row],[Shortname]], Comp[], 13, FALSE)</f>
        <v>4</v>
      </c>
      <c r="Q95">
        <f>VLOOKUP(Table9[[#This Row],[Shortname]], Comp[], 14, FALSE)</f>
        <v>0</v>
      </c>
      <c r="R95">
        <f>VLOOKUP(Table9[[#This Row],[Shortname]], Comp[], 15, FALSE)</f>
        <v>5</v>
      </c>
      <c r="S95">
        <f>VLOOKUP(Table9[[#This Row],[Shortname]], Comp[], 16, FALSE)</f>
        <v>0</v>
      </c>
      <c r="T95">
        <f>VLOOKUP(Table9[[#This Row],[Shortname]], Comp[], 17, FALSE)</f>
        <v>0</v>
      </c>
      <c r="U95">
        <f>VLOOKUP(Table9[[#This Row],[Shortname]], Comp[], 18, FALSE)</f>
        <v>0</v>
      </c>
      <c r="V95">
        <f>VLOOKUP(Table9[[#This Row],[Shortname]], Comp[], 19, FALSE)</f>
        <v>0</v>
      </c>
      <c r="W95">
        <f>VLOOKUP(Table9[[#This Row],[Shortname]], Comp[], 20, FALSE)</f>
        <v>0</v>
      </c>
      <c r="X95">
        <f>VLOOKUP(Table9[[#This Row],[Shortname]], Comp[], 21, FALSE)</f>
        <v>0</v>
      </c>
      <c r="Y95">
        <f>VLOOKUP(Table9[[#This Row],[Shortname]], Comp[], 22, FALSE)</f>
        <v>0</v>
      </c>
      <c r="Z95">
        <f>VLOOKUP(Table9[[#This Row],[Shortname]], Comp[], 23, FALSE)</f>
        <v>0</v>
      </c>
      <c r="AA95">
        <f>VLOOKUP(Table9[[#This Row],[Shortname]], Comp[], 24, FALSE)</f>
        <v>0</v>
      </c>
      <c r="AB95">
        <f>VLOOKUP(Table9[[#This Row],[Shortname]], Comp[], 25, FALSE)</f>
        <v>0</v>
      </c>
      <c r="AC95">
        <f>VLOOKUP(Table9[[#This Row],[Shortname]], Comp[], 26, FALSE)</f>
        <v>0</v>
      </c>
      <c r="AD95">
        <f>VLOOKUP(Table9[[#This Row],[Shortname]], Comp[], 27, FALSE)</f>
        <v>0</v>
      </c>
      <c r="AE95">
        <f>VLOOKUP(Table9[[#This Row],[Shortname]], Comp[], 28, FALSE)</f>
        <v>0</v>
      </c>
      <c r="AF95">
        <f>VLOOKUP(Table9[[#This Row],[Shortname]], Comp[], 29, FALSE)</f>
        <v>0</v>
      </c>
      <c r="AG95">
        <f>VLOOKUP(Table9[[#This Row],[Shortname]], Comp[], 30, FALSE)</f>
        <v>0</v>
      </c>
      <c r="AH95">
        <f>VLOOKUP(Table9[[#This Row],[Shortname]], Comp[], 31, FALSE)</f>
        <v>0</v>
      </c>
    </row>
    <row r="96" spans="1:34" x14ac:dyDescent="0.3">
      <c r="A96" t="s">
        <v>1538</v>
      </c>
      <c r="B96" t="s">
        <v>1540</v>
      </c>
      <c r="C96" t="s">
        <v>6801</v>
      </c>
      <c r="D96">
        <v>679</v>
      </c>
      <c r="E96">
        <v>800</v>
      </c>
      <c r="F96" t="s">
        <v>6802</v>
      </c>
      <c r="G96">
        <v>1</v>
      </c>
      <c r="H96" t="s">
        <v>6803</v>
      </c>
      <c r="I96">
        <f>VLOOKUP(Table9[[#This Row],[Shortname]], Comp[], 6, FALSE)</f>
        <v>196</v>
      </c>
      <c r="J96" s="14">
        <f>VLOOKUP(Table9[[#This Row],[Shortname]], Comp[], 7, FALSE)</f>
        <v>41.03</v>
      </c>
      <c r="K96">
        <f>VLOOKUP(Table9[[#This Row],[Shortname]], Comp[], 8, FALSE)</f>
        <v>31.8</v>
      </c>
      <c r="L96">
        <f>VLOOKUP(Table9[[#This Row],[Shortname]], Comp[], 9, FALSE)</f>
        <v>8.6999999999999993</v>
      </c>
      <c r="M96">
        <f>VLOOKUP(Table9[[#This Row],[Shortname]], Comp[], 10, FALSE)</f>
        <v>12.6</v>
      </c>
      <c r="N96">
        <f>VLOOKUP(Table9[[#This Row],[Shortname]], Comp[], 11, FALSE)</f>
        <v>4.7</v>
      </c>
      <c r="O96">
        <f>VLOOKUP(Table9[[#This Row],[Shortname]], Comp[],12, FALSE)</f>
        <v>0.3</v>
      </c>
      <c r="P96">
        <f>VLOOKUP(Table9[[#This Row],[Shortname]], Comp[], 13, FALSE)</f>
        <v>0.2</v>
      </c>
      <c r="Q96">
        <f>VLOOKUP(Table9[[#This Row],[Shortname]], Comp[], 14, FALSE)</f>
        <v>0</v>
      </c>
      <c r="R96">
        <f>VLOOKUP(Table9[[#This Row],[Shortname]], Comp[], 15, FALSE)</f>
        <v>0</v>
      </c>
      <c r="S96">
        <f>VLOOKUP(Table9[[#This Row],[Shortname]], Comp[], 16, FALSE)</f>
        <v>0</v>
      </c>
      <c r="T96">
        <f>VLOOKUP(Table9[[#This Row],[Shortname]], Comp[], 17, FALSE)</f>
        <v>0.08</v>
      </c>
      <c r="U96">
        <f>VLOOKUP(Table9[[#This Row],[Shortname]], Comp[], 18, FALSE)</f>
        <v>0.01</v>
      </c>
      <c r="V96">
        <f>VLOOKUP(Table9[[#This Row],[Shortname]], Comp[], 19, FALSE)</f>
        <v>0.08</v>
      </c>
      <c r="W96">
        <f>VLOOKUP(Table9[[#This Row],[Shortname]], Comp[], 20, FALSE)</f>
        <v>0</v>
      </c>
      <c r="X96">
        <f>VLOOKUP(Table9[[#This Row],[Shortname]], Comp[], 21, FALSE)</f>
        <v>0</v>
      </c>
      <c r="Y96">
        <f>VLOOKUP(Table9[[#This Row],[Shortname]], Comp[], 22, FALSE)</f>
        <v>0.4</v>
      </c>
      <c r="Z96">
        <f>VLOOKUP(Table9[[#This Row],[Shortname]], Comp[], 23, FALSE)</f>
        <v>0</v>
      </c>
      <c r="AA96">
        <f>VLOOKUP(Table9[[#This Row],[Shortname]], Comp[], 24, FALSE)</f>
        <v>0</v>
      </c>
      <c r="AB96">
        <f>VLOOKUP(Table9[[#This Row],[Shortname]], Comp[], 25, FALSE)</f>
        <v>0.1</v>
      </c>
      <c r="AC96">
        <f>VLOOKUP(Table9[[#This Row],[Shortname]], Comp[], 26, FALSE)</f>
        <v>0</v>
      </c>
      <c r="AD96">
        <f>VLOOKUP(Table9[[#This Row],[Shortname]], Comp[], 27, FALSE)</f>
        <v>0</v>
      </c>
      <c r="AE96">
        <f>VLOOKUP(Table9[[#This Row],[Shortname]], Comp[], 28, FALSE)</f>
        <v>0</v>
      </c>
      <c r="AF96">
        <f>VLOOKUP(Table9[[#This Row],[Shortname]], Comp[], 29, FALSE)</f>
        <v>0</v>
      </c>
      <c r="AG96">
        <f>VLOOKUP(Table9[[#This Row],[Shortname]], Comp[], 30, FALSE)</f>
        <v>0</v>
      </c>
      <c r="AH96">
        <f>VLOOKUP(Table9[[#This Row],[Shortname]], Comp[], 31, FALSE)</f>
        <v>0</v>
      </c>
    </row>
    <row r="97" spans="1:34" x14ac:dyDescent="0.3">
      <c r="A97" t="s">
        <v>2839</v>
      </c>
      <c r="B97" t="s">
        <v>2841</v>
      </c>
      <c r="C97" t="s">
        <v>2842</v>
      </c>
      <c r="D97">
        <v>673</v>
      </c>
      <c r="E97">
        <v>670</v>
      </c>
      <c r="F97">
        <v>1E-3</v>
      </c>
      <c r="G97">
        <v>1</v>
      </c>
      <c r="H97" t="s">
        <v>6803</v>
      </c>
      <c r="I97">
        <f>VLOOKUP(Table9[[#This Row],[Shortname]], Comp[], 6, FALSE)</f>
        <v>384</v>
      </c>
      <c r="J97" s="14">
        <f>VLOOKUP(Table9[[#This Row],[Shortname]], Comp[], 7, FALSE)</f>
        <v>50.400000000000006</v>
      </c>
      <c r="K97">
        <f>VLOOKUP(Table9[[#This Row],[Shortname]], Comp[], 8, FALSE)</f>
        <v>30.4</v>
      </c>
      <c r="L97">
        <f>VLOOKUP(Table9[[#This Row],[Shortname]], Comp[], 9, FALSE)</f>
        <v>9.5</v>
      </c>
      <c r="M97">
        <f>VLOOKUP(Table9[[#This Row],[Shortname]], Comp[], 10, FALSE)</f>
        <v>0</v>
      </c>
      <c r="N97">
        <f>VLOOKUP(Table9[[#This Row],[Shortname]], Comp[], 11, FALSE)</f>
        <v>0</v>
      </c>
      <c r="O97">
        <f>VLOOKUP(Table9[[#This Row],[Shortname]], Comp[],12, FALSE)</f>
        <v>0</v>
      </c>
      <c r="P97">
        <f>VLOOKUP(Table9[[#This Row],[Shortname]], Comp[], 13, FALSE)</f>
        <v>0</v>
      </c>
      <c r="Q97">
        <f>VLOOKUP(Table9[[#This Row],[Shortname]], Comp[], 14, FALSE)</f>
        <v>2.4</v>
      </c>
      <c r="R97">
        <f>VLOOKUP(Table9[[#This Row],[Shortname]], Comp[], 15, FALSE)</f>
        <v>0</v>
      </c>
      <c r="S97">
        <f>VLOOKUP(Table9[[#This Row],[Shortname]], Comp[], 16, FALSE)</f>
        <v>5.3</v>
      </c>
      <c r="T97">
        <f>VLOOKUP(Table9[[#This Row],[Shortname]], Comp[], 17, FALSE)</f>
        <v>0</v>
      </c>
      <c r="U97">
        <f>VLOOKUP(Table9[[#This Row],[Shortname]], Comp[], 18, FALSE)</f>
        <v>0</v>
      </c>
      <c r="V97">
        <f>VLOOKUP(Table9[[#This Row],[Shortname]], Comp[], 19, FALSE)</f>
        <v>0</v>
      </c>
      <c r="W97">
        <f>VLOOKUP(Table9[[#This Row],[Shortname]], Comp[], 20, FALSE)</f>
        <v>0</v>
      </c>
      <c r="X97">
        <f>VLOOKUP(Table9[[#This Row],[Shortname]], Comp[], 21, FALSE)</f>
        <v>2</v>
      </c>
      <c r="Y97">
        <f>VLOOKUP(Table9[[#This Row],[Shortname]], Comp[], 22, FALSE)</f>
        <v>0</v>
      </c>
      <c r="Z97">
        <f>VLOOKUP(Table9[[#This Row],[Shortname]], Comp[], 23, FALSE)</f>
        <v>0</v>
      </c>
      <c r="AA97">
        <f>VLOOKUP(Table9[[#This Row],[Shortname]], Comp[], 24, FALSE)</f>
        <v>0</v>
      </c>
      <c r="AB97">
        <f>VLOOKUP(Table9[[#This Row],[Shortname]], Comp[], 25, FALSE)</f>
        <v>0</v>
      </c>
      <c r="AC97">
        <f>VLOOKUP(Table9[[#This Row],[Shortname]], Comp[], 26, FALSE)</f>
        <v>0</v>
      </c>
      <c r="AD97">
        <f>VLOOKUP(Table9[[#This Row],[Shortname]], Comp[], 27, FALSE)</f>
        <v>0</v>
      </c>
      <c r="AE97">
        <f>VLOOKUP(Table9[[#This Row],[Shortname]], Comp[], 28, FALSE)</f>
        <v>0</v>
      </c>
      <c r="AF97">
        <f>VLOOKUP(Table9[[#This Row],[Shortname]], Comp[], 29, FALSE)</f>
        <v>0</v>
      </c>
      <c r="AG97">
        <f>VLOOKUP(Table9[[#This Row],[Shortname]], Comp[], 30, FALSE)</f>
        <v>0</v>
      </c>
      <c r="AH97">
        <f>VLOOKUP(Table9[[#This Row],[Shortname]], Comp[], 31, FALSE)</f>
        <v>0</v>
      </c>
    </row>
    <row r="98" spans="1:34" x14ac:dyDescent="0.3">
      <c r="A98" t="s">
        <v>3409</v>
      </c>
      <c r="B98" t="s">
        <v>3410</v>
      </c>
      <c r="C98" t="s">
        <v>3401</v>
      </c>
      <c r="D98">
        <v>673</v>
      </c>
      <c r="E98">
        <v>25</v>
      </c>
      <c r="F98">
        <v>2.0000000000000001E-4</v>
      </c>
      <c r="G98">
        <v>1</v>
      </c>
      <c r="H98" t="s">
        <v>6803</v>
      </c>
      <c r="I98">
        <f>VLOOKUP(Table9[[#This Row],[Shortname]], Comp[], 6, FALSE)</f>
        <v>484</v>
      </c>
      <c r="J98" s="14">
        <f>VLOOKUP(Table9[[#This Row],[Shortname]], Comp[], 7, FALSE)</f>
        <v>82.8</v>
      </c>
      <c r="K98">
        <f>VLOOKUP(Table9[[#This Row],[Shortname]], Comp[], 8, FALSE)</f>
        <v>0</v>
      </c>
      <c r="L98">
        <f>VLOOKUP(Table9[[#This Row],[Shortname]], Comp[], 9, FALSE)</f>
        <v>9</v>
      </c>
      <c r="M98">
        <f>VLOOKUP(Table9[[#This Row],[Shortname]], Comp[], 10, FALSE)</f>
        <v>0</v>
      </c>
      <c r="N98">
        <f>VLOOKUP(Table9[[#This Row],[Shortname]], Comp[], 11, FALSE)</f>
        <v>8.1999999999999993</v>
      </c>
      <c r="O98">
        <f>VLOOKUP(Table9[[#This Row],[Shortname]], Comp[],12, FALSE)</f>
        <v>0</v>
      </c>
      <c r="P98">
        <f>VLOOKUP(Table9[[#This Row],[Shortname]], Comp[], 13, FALSE)</f>
        <v>0</v>
      </c>
      <c r="Q98">
        <f>VLOOKUP(Table9[[#This Row],[Shortname]], Comp[], 14, FALSE)</f>
        <v>0</v>
      </c>
      <c r="R98">
        <f>VLOOKUP(Table9[[#This Row],[Shortname]], Comp[], 15, FALSE)</f>
        <v>0</v>
      </c>
      <c r="S98">
        <f>VLOOKUP(Table9[[#This Row],[Shortname]], Comp[], 16, FALSE)</f>
        <v>0</v>
      </c>
      <c r="T98">
        <f>VLOOKUP(Table9[[#This Row],[Shortname]], Comp[], 17, FALSE)</f>
        <v>0</v>
      </c>
      <c r="U98">
        <f>VLOOKUP(Table9[[#This Row],[Shortname]], Comp[], 18, FALSE)</f>
        <v>0</v>
      </c>
      <c r="V98">
        <f>VLOOKUP(Table9[[#This Row],[Shortname]], Comp[], 19, FALSE)</f>
        <v>0</v>
      </c>
      <c r="W98">
        <f>VLOOKUP(Table9[[#This Row],[Shortname]], Comp[], 20, FALSE)</f>
        <v>0</v>
      </c>
      <c r="X98">
        <f>VLOOKUP(Table9[[#This Row],[Shortname]], Comp[], 21, FALSE)</f>
        <v>0</v>
      </c>
      <c r="Y98">
        <f>VLOOKUP(Table9[[#This Row],[Shortname]], Comp[], 22, FALSE)</f>
        <v>0</v>
      </c>
      <c r="Z98">
        <f>VLOOKUP(Table9[[#This Row],[Shortname]], Comp[], 23, FALSE)</f>
        <v>0</v>
      </c>
      <c r="AA98">
        <f>VLOOKUP(Table9[[#This Row],[Shortname]], Comp[], 24, FALSE)</f>
        <v>0</v>
      </c>
      <c r="AB98">
        <f>VLOOKUP(Table9[[#This Row],[Shortname]], Comp[], 25, FALSE)</f>
        <v>0</v>
      </c>
      <c r="AC98">
        <f>VLOOKUP(Table9[[#This Row],[Shortname]], Comp[], 26, FALSE)</f>
        <v>0</v>
      </c>
      <c r="AD98">
        <f>VLOOKUP(Table9[[#This Row],[Shortname]], Comp[], 27, FALSE)</f>
        <v>0</v>
      </c>
      <c r="AE98">
        <f>VLOOKUP(Table9[[#This Row],[Shortname]], Comp[], 28, FALSE)</f>
        <v>0</v>
      </c>
      <c r="AF98">
        <f>VLOOKUP(Table9[[#This Row],[Shortname]], Comp[], 29, FALSE)</f>
        <v>0</v>
      </c>
      <c r="AG98">
        <f>VLOOKUP(Table9[[#This Row],[Shortname]], Comp[], 30, FALSE)</f>
        <v>0</v>
      </c>
      <c r="AH98">
        <f>VLOOKUP(Table9[[#This Row],[Shortname]], Comp[], 31, FALSE)</f>
        <v>0</v>
      </c>
    </row>
    <row r="99" spans="1:34" x14ac:dyDescent="0.3">
      <c r="A99" t="s">
        <v>534</v>
      </c>
      <c r="B99" t="s">
        <v>6695</v>
      </c>
      <c r="C99" t="s">
        <v>499</v>
      </c>
      <c r="D99">
        <v>670</v>
      </c>
      <c r="E99">
        <v>750</v>
      </c>
      <c r="F99">
        <v>1E-4</v>
      </c>
      <c r="G99">
        <v>1</v>
      </c>
      <c r="I99">
        <f>VLOOKUP(Table9[[#This Row],[Shortname]], Comp[], 6, FALSE)</f>
        <v>69</v>
      </c>
      <c r="J99" s="14">
        <f>VLOOKUP(Table9[[#This Row],[Shortname]], Comp[], 7, FALSE)</f>
        <v>72.3</v>
      </c>
      <c r="K99">
        <f>VLOOKUP(Table9[[#This Row],[Shortname]], Comp[], 8, FALSE)</f>
        <v>10.3</v>
      </c>
      <c r="L99">
        <f>VLOOKUP(Table9[[#This Row],[Shortname]], Comp[], 9, FALSE)</f>
        <v>6.3</v>
      </c>
      <c r="M99">
        <f>VLOOKUP(Table9[[#This Row],[Shortname]], Comp[], 10, FALSE)</f>
        <v>0</v>
      </c>
      <c r="N99">
        <f>VLOOKUP(Table9[[#This Row],[Shortname]], Comp[], 11, FALSE)</f>
        <v>7</v>
      </c>
      <c r="O99">
        <f>VLOOKUP(Table9[[#This Row],[Shortname]], Comp[],12, FALSE)</f>
        <v>4.0999999999999996</v>
      </c>
      <c r="P99">
        <f>VLOOKUP(Table9[[#This Row],[Shortname]], Comp[], 13, FALSE)</f>
        <v>0</v>
      </c>
      <c r="Q99">
        <f>VLOOKUP(Table9[[#This Row],[Shortname]], Comp[], 14, FALSE)</f>
        <v>0</v>
      </c>
      <c r="R99">
        <f>VLOOKUP(Table9[[#This Row],[Shortname]], Comp[], 15, FALSE)</f>
        <v>0</v>
      </c>
      <c r="S99">
        <f>VLOOKUP(Table9[[#This Row],[Shortname]], Comp[], 16, FALSE)</f>
        <v>0</v>
      </c>
      <c r="T99">
        <f>VLOOKUP(Table9[[#This Row],[Shortname]], Comp[], 17, FALSE)</f>
        <v>0</v>
      </c>
      <c r="U99">
        <f>VLOOKUP(Table9[[#This Row],[Shortname]], Comp[], 18, FALSE)</f>
        <v>0</v>
      </c>
      <c r="V99">
        <f>VLOOKUP(Table9[[#This Row],[Shortname]], Comp[], 19, FALSE)</f>
        <v>0</v>
      </c>
      <c r="W99">
        <f>VLOOKUP(Table9[[#This Row],[Shortname]], Comp[], 20, FALSE)</f>
        <v>0</v>
      </c>
      <c r="X99">
        <f>VLOOKUP(Table9[[#This Row],[Shortname]], Comp[], 21, FALSE)</f>
        <v>0</v>
      </c>
      <c r="Y99">
        <f>VLOOKUP(Table9[[#This Row],[Shortname]], Comp[], 22, FALSE)</f>
        <v>0</v>
      </c>
      <c r="Z99">
        <f>VLOOKUP(Table9[[#This Row],[Shortname]], Comp[], 23, FALSE)</f>
        <v>0</v>
      </c>
      <c r="AA99">
        <f>VLOOKUP(Table9[[#This Row],[Shortname]], Comp[], 24, FALSE)</f>
        <v>0</v>
      </c>
      <c r="AB99">
        <f>VLOOKUP(Table9[[#This Row],[Shortname]], Comp[], 25, FALSE)</f>
        <v>0</v>
      </c>
      <c r="AC99">
        <f>VLOOKUP(Table9[[#This Row],[Shortname]], Comp[], 26, FALSE)</f>
        <v>0</v>
      </c>
      <c r="AD99">
        <f>VLOOKUP(Table9[[#This Row],[Shortname]], Comp[], 27, FALSE)</f>
        <v>0</v>
      </c>
      <c r="AE99">
        <f>VLOOKUP(Table9[[#This Row],[Shortname]], Comp[], 28, FALSE)</f>
        <v>0</v>
      </c>
      <c r="AF99">
        <f>VLOOKUP(Table9[[#This Row],[Shortname]], Comp[], 29, FALSE)</f>
        <v>0</v>
      </c>
      <c r="AG99">
        <f>VLOOKUP(Table9[[#This Row],[Shortname]], Comp[], 30, FALSE)</f>
        <v>0</v>
      </c>
      <c r="AH99">
        <f>VLOOKUP(Table9[[#This Row],[Shortname]], Comp[], 31, FALSE)</f>
        <v>0</v>
      </c>
    </row>
    <row r="100" spans="1:34" x14ac:dyDescent="0.3">
      <c r="A100" t="s">
        <v>4933</v>
      </c>
      <c r="B100" t="s">
        <v>4935</v>
      </c>
      <c r="C100" t="s">
        <v>4936</v>
      </c>
      <c r="D100">
        <v>670</v>
      </c>
      <c r="E100">
        <v>600</v>
      </c>
      <c r="F100">
        <v>1E-4</v>
      </c>
      <c r="G100">
        <v>1</v>
      </c>
      <c r="H100" t="s">
        <v>6803</v>
      </c>
      <c r="I100">
        <f>VLOOKUP(Table9[[#This Row],[Shortname]], Comp[], 6, FALSE)</f>
        <v>753</v>
      </c>
      <c r="J100" s="14">
        <f>VLOOKUP(Table9[[#This Row],[Shortname]], Comp[], 7, FALSE)</f>
        <v>81.88</v>
      </c>
      <c r="K100">
        <f>VLOOKUP(Table9[[#This Row],[Shortname]], Comp[], 8, FALSE)</f>
        <v>0</v>
      </c>
      <c r="L100">
        <f>VLOOKUP(Table9[[#This Row],[Shortname]], Comp[], 9, FALSE)</f>
        <v>5.6</v>
      </c>
      <c r="M100">
        <f>VLOOKUP(Table9[[#This Row],[Shortname]], Comp[], 10, FALSE)</f>
        <v>0</v>
      </c>
      <c r="N100">
        <f>VLOOKUP(Table9[[#This Row],[Shortname]], Comp[], 11, FALSE)</f>
        <v>5.8</v>
      </c>
      <c r="O100">
        <f>VLOOKUP(Table9[[#This Row],[Shortname]], Comp[],12, FALSE)</f>
        <v>6.6</v>
      </c>
      <c r="P100">
        <f>VLOOKUP(Table9[[#This Row],[Shortname]], Comp[], 13, FALSE)</f>
        <v>0</v>
      </c>
      <c r="Q100">
        <f>VLOOKUP(Table9[[#This Row],[Shortname]], Comp[], 14, FALSE)</f>
        <v>0</v>
      </c>
      <c r="R100">
        <f>VLOOKUP(Table9[[#This Row],[Shortname]], Comp[], 15, FALSE)</f>
        <v>0</v>
      </c>
      <c r="S100">
        <f>VLOOKUP(Table9[[#This Row],[Shortname]], Comp[], 16, FALSE)</f>
        <v>0</v>
      </c>
      <c r="T100">
        <f>VLOOKUP(Table9[[#This Row],[Shortname]], Comp[], 17, FALSE)</f>
        <v>0</v>
      </c>
      <c r="U100">
        <f>VLOOKUP(Table9[[#This Row],[Shortname]], Comp[], 18, FALSE)</f>
        <v>0</v>
      </c>
      <c r="V100">
        <f>VLOOKUP(Table9[[#This Row],[Shortname]], Comp[], 19, FALSE)</f>
        <v>0.12</v>
      </c>
      <c r="W100">
        <f>VLOOKUP(Table9[[#This Row],[Shortname]], Comp[], 20, FALSE)</f>
        <v>0</v>
      </c>
      <c r="X100">
        <f>VLOOKUP(Table9[[#This Row],[Shortname]], Comp[], 21, FALSE)</f>
        <v>0</v>
      </c>
      <c r="Y100">
        <f>VLOOKUP(Table9[[#This Row],[Shortname]], Comp[], 22, FALSE)</f>
        <v>0</v>
      </c>
      <c r="Z100">
        <f>VLOOKUP(Table9[[#This Row],[Shortname]], Comp[], 23, FALSE)</f>
        <v>0</v>
      </c>
      <c r="AA100">
        <f>VLOOKUP(Table9[[#This Row],[Shortname]], Comp[], 24, FALSE)</f>
        <v>0</v>
      </c>
      <c r="AB100">
        <f>VLOOKUP(Table9[[#This Row],[Shortname]], Comp[], 25, FALSE)</f>
        <v>0</v>
      </c>
      <c r="AC100">
        <f>VLOOKUP(Table9[[#This Row],[Shortname]], Comp[], 26, FALSE)</f>
        <v>0</v>
      </c>
      <c r="AD100">
        <f>VLOOKUP(Table9[[#This Row],[Shortname]], Comp[], 27, FALSE)</f>
        <v>0</v>
      </c>
      <c r="AE100">
        <f>VLOOKUP(Table9[[#This Row],[Shortname]], Comp[], 28, FALSE)</f>
        <v>0</v>
      </c>
      <c r="AF100">
        <f>VLOOKUP(Table9[[#This Row],[Shortname]], Comp[], 29, FALSE)</f>
        <v>0</v>
      </c>
      <c r="AG100">
        <f>VLOOKUP(Table9[[#This Row],[Shortname]], Comp[], 30, FALSE)</f>
        <v>0</v>
      </c>
      <c r="AH100">
        <f>VLOOKUP(Table9[[#This Row],[Shortname]], Comp[], 31, FALSE)</f>
        <v>0</v>
      </c>
    </row>
    <row r="101" spans="1:34" x14ac:dyDescent="0.3">
      <c r="A101" t="s">
        <v>1446</v>
      </c>
      <c r="B101" t="s">
        <v>1448</v>
      </c>
      <c r="C101" t="s">
        <v>1449</v>
      </c>
      <c r="D101">
        <v>669</v>
      </c>
      <c r="E101">
        <v>900</v>
      </c>
      <c r="F101">
        <v>1E-4</v>
      </c>
      <c r="G101">
        <v>1</v>
      </c>
      <c r="H101" t="s">
        <v>6813</v>
      </c>
      <c r="I101">
        <f>VLOOKUP(Table9[[#This Row],[Shortname]], Comp[], 6, FALSE)</f>
        <v>185</v>
      </c>
      <c r="J101" s="14">
        <f>VLOOKUP(Table9[[#This Row],[Shortname]], Comp[], 7, FALSE)</f>
        <v>48.800000000000004</v>
      </c>
      <c r="K101">
        <f>VLOOKUP(Table9[[#This Row],[Shortname]], Comp[], 8, FALSE)</f>
        <v>30.8</v>
      </c>
      <c r="L101">
        <f>VLOOKUP(Table9[[#This Row],[Shortname]], Comp[], 9, FALSE)</f>
        <v>9.5</v>
      </c>
      <c r="M101">
        <f>VLOOKUP(Table9[[#This Row],[Shortname]], Comp[], 10, FALSE)</f>
        <v>0</v>
      </c>
      <c r="N101">
        <f>VLOOKUP(Table9[[#This Row],[Shortname]], Comp[], 11, FALSE)</f>
        <v>4.4000000000000004</v>
      </c>
      <c r="O101">
        <f>VLOOKUP(Table9[[#This Row],[Shortname]], Comp[],12, FALSE)</f>
        <v>3.8</v>
      </c>
      <c r="P101">
        <f>VLOOKUP(Table9[[#This Row],[Shortname]], Comp[], 13, FALSE)</f>
        <v>2.7</v>
      </c>
      <c r="Q101">
        <f>VLOOKUP(Table9[[#This Row],[Shortname]], Comp[], 14, FALSE)</f>
        <v>0</v>
      </c>
      <c r="R101">
        <f>VLOOKUP(Table9[[#This Row],[Shortname]], Comp[], 15, FALSE)</f>
        <v>0</v>
      </c>
      <c r="S101">
        <f>VLOOKUP(Table9[[#This Row],[Shortname]], Comp[], 16, FALSE)</f>
        <v>0</v>
      </c>
      <c r="T101">
        <f>VLOOKUP(Table9[[#This Row],[Shortname]], Comp[], 17, FALSE)</f>
        <v>0</v>
      </c>
      <c r="U101">
        <f>VLOOKUP(Table9[[#This Row],[Shortname]], Comp[], 18, FALSE)</f>
        <v>0</v>
      </c>
      <c r="V101">
        <f>VLOOKUP(Table9[[#This Row],[Shortname]], Comp[], 19, FALSE)</f>
        <v>0</v>
      </c>
      <c r="W101">
        <f>VLOOKUP(Table9[[#This Row],[Shortname]], Comp[], 20, FALSE)</f>
        <v>0</v>
      </c>
      <c r="X101">
        <f>VLOOKUP(Table9[[#This Row],[Shortname]], Comp[], 21, FALSE)</f>
        <v>0</v>
      </c>
      <c r="Y101">
        <f>VLOOKUP(Table9[[#This Row],[Shortname]], Comp[], 22, FALSE)</f>
        <v>0</v>
      </c>
      <c r="Z101">
        <f>VLOOKUP(Table9[[#This Row],[Shortname]], Comp[], 23, FALSE)</f>
        <v>0</v>
      </c>
      <c r="AA101">
        <f>VLOOKUP(Table9[[#This Row],[Shortname]], Comp[], 24, FALSE)</f>
        <v>0</v>
      </c>
      <c r="AB101">
        <f>VLOOKUP(Table9[[#This Row],[Shortname]], Comp[], 25, FALSE)</f>
        <v>0</v>
      </c>
      <c r="AC101">
        <f>VLOOKUP(Table9[[#This Row],[Shortname]], Comp[], 26, FALSE)</f>
        <v>0</v>
      </c>
      <c r="AD101">
        <f>VLOOKUP(Table9[[#This Row],[Shortname]], Comp[], 27, FALSE)</f>
        <v>0</v>
      </c>
      <c r="AE101">
        <f>VLOOKUP(Table9[[#This Row],[Shortname]], Comp[], 28, FALSE)</f>
        <v>0</v>
      </c>
      <c r="AF101">
        <f>VLOOKUP(Table9[[#This Row],[Shortname]], Comp[], 29, FALSE)</f>
        <v>0</v>
      </c>
      <c r="AG101">
        <f>VLOOKUP(Table9[[#This Row],[Shortname]], Comp[], 30, FALSE)</f>
        <v>0</v>
      </c>
      <c r="AH101">
        <f>VLOOKUP(Table9[[#This Row],[Shortname]], Comp[], 31, FALSE)</f>
        <v>0</v>
      </c>
    </row>
    <row r="102" spans="1:34" x14ac:dyDescent="0.3">
      <c r="A102" t="s">
        <v>2062</v>
      </c>
      <c r="B102" t="s">
        <v>2064</v>
      </c>
      <c r="C102" t="s">
        <v>2065</v>
      </c>
      <c r="D102">
        <v>669</v>
      </c>
      <c r="E102">
        <v>700</v>
      </c>
      <c r="F102">
        <v>1E-4</v>
      </c>
      <c r="G102">
        <v>1</v>
      </c>
      <c r="H102" t="s">
        <v>6803</v>
      </c>
      <c r="I102">
        <f>VLOOKUP(Table9[[#This Row],[Shortname]], Comp[], 6, FALSE)</f>
        <v>271</v>
      </c>
      <c r="J102" s="14">
        <f>VLOOKUP(Table9[[#This Row],[Shortname]], Comp[], 7, FALSE)</f>
        <v>87</v>
      </c>
      <c r="K102">
        <f>VLOOKUP(Table9[[#This Row],[Shortname]], Comp[], 8, FALSE)</f>
        <v>0</v>
      </c>
      <c r="L102">
        <f>VLOOKUP(Table9[[#This Row],[Shortname]], Comp[], 9, FALSE)</f>
        <v>0</v>
      </c>
      <c r="M102">
        <f>VLOOKUP(Table9[[#This Row],[Shortname]], Comp[], 10, FALSE)</f>
        <v>0</v>
      </c>
      <c r="N102">
        <f>VLOOKUP(Table9[[#This Row],[Shortname]], Comp[], 11, FALSE)</f>
        <v>0</v>
      </c>
      <c r="O102">
        <f>VLOOKUP(Table9[[#This Row],[Shortname]], Comp[],12, FALSE)</f>
        <v>12</v>
      </c>
      <c r="P102">
        <f>VLOOKUP(Table9[[#This Row],[Shortname]], Comp[], 13, FALSE)</f>
        <v>0</v>
      </c>
      <c r="Q102">
        <f>VLOOKUP(Table9[[#This Row],[Shortname]], Comp[], 14, FALSE)</f>
        <v>0</v>
      </c>
      <c r="R102">
        <f>VLOOKUP(Table9[[#This Row],[Shortname]], Comp[], 15, FALSE)</f>
        <v>0</v>
      </c>
      <c r="S102">
        <f>VLOOKUP(Table9[[#This Row],[Shortname]], Comp[], 16, FALSE)</f>
        <v>0</v>
      </c>
      <c r="T102">
        <f>VLOOKUP(Table9[[#This Row],[Shortname]], Comp[], 17, FALSE)</f>
        <v>0</v>
      </c>
      <c r="U102">
        <f>VLOOKUP(Table9[[#This Row],[Shortname]], Comp[], 18, FALSE)</f>
        <v>0</v>
      </c>
      <c r="V102">
        <f>VLOOKUP(Table9[[#This Row],[Shortname]], Comp[], 19, FALSE)</f>
        <v>0</v>
      </c>
      <c r="W102">
        <f>VLOOKUP(Table9[[#This Row],[Shortname]], Comp[], 20, FALSE)</f>
        <v>0</v>
      </c>
      <c r="X102">
        <f>VLOOKUP(Table9[[#This Row],[Shortname]], Comp[], 21, FALSE)</f>
        <v>1</v>
      </c>
      <c r="Y102">
        <f>VLOOKUP(Table9[[#This Row],[Shortname]], Comp[], 22, FALSE)</f>
        <v>0</v>
      </c>
      <c r="Z102">
        <f>VLOOKUP(Table9[[#This Row],[Shortname]], Comp[], 23, FALSE)</f>
        <v>0</v>
      </c>
      <c r="AA102">
        <f>VLOOKUP(Table9[[#This Row],[Shortname]], Comp[], 24, FALSE)</f>
        <v>0</v>
      </c>
      <c r="AB102">
        <f>VLOOKUP(Table9[[#This Row],[Shortname]], Comp[], 25, FALSE)</f>
        <v>0</v>
      </c>
      <c r="AC102">
        <f>VLOOKUP(Table9[[#This Row],[Shortname]], Comp[], 26, FALSE)</f>
        <v>0</v>
      </c>
      <c r="AD102">
        <f>VLOOKUP(Table9[[#This Row],[Shortname]], Comp[], 27, FALSE)</f>
        <v>0</v>
      </c>
      <c r="AE102">
        <f>VLOOKUP(Table9[[#This Row],[Shortname]], Comp[], 28, FALSE)</f>
        <v>0</v>
      </c>
      <c r="AF102">
        <f>VLOOKUP(Table9[[#This Row],[Shortname]], Comp[], 29, FALSE)</f>
        <v>0</v>
      </c>
      <c r="AG102">
        <f>VLOOKUP(Table9[[#This Row],[Shortname]], Comp[], 30, FALSE)</f>
        <v>0</v>
      </c>
      <c r="AH102">
        <f>VLOOKUP(Table9[[#This Row],[Shortname]], Comp[], 31, FALSE)</f>
        <v>0</v>
      </c>
    </row>
    <row r="103" spans="1:34" x14ac:dyDescent="0.3">
      <c r="A103" t="s">
        <v>2848</v>
      </c>
      <c r="B103" t="s">
        <v>2850</v>
      </c>
      <c r="C103" t="s">
        <v>2851</v>
      </c>
      <c r="D103">
        <v>669</v>
      </c>
      <c r="E103">
        <v>670</v>
      </c>
      <c r="F103">
        <v>1E-3</v>
      </c>
      <c r="G103">
        <v>1</v>
      </c>
      <c r="H103" t="s">
        <v>6803</v>
      </c>
      <c r="I103">
        <f>VLOOKUP(Table9[[#This Row],[Shortname]], Comp[], 6, FALSE)</f>
        <v>385</v>
      </c>
      <c r="J103" s="14">
        <f>VLOOKUP(Table9[[#This Row],[Shortname]], Comp[], 7, FALSE)</f>
        <v>37.900000000000013</v>
      </c>
      <c r="K103">
        <f>VLOOKUP(Table9[[#This Row],[Shortname]], Comp[], 8, FALSE)</f>
        <v>35.4</v>
      </c>
      <c r="L103">
        <f>VLOOKUP(Table9[[#This Row],[Shortname]], Comp[], 9, FALSE)</f>
        <v>9.6999999999999993</v>
      </c>
      <c r="M103">
        <f>VLOOKUP(Table9[[#This Row],[Shortname]], Comp[], 10, FALSE)</f>
        <v>6</v>
      </c>
      <c r="N103">
        <f>VLOOKUP(Table9[[#This Row],[Shortname]], Comp[], 11, FALSE)</f>
        <v>0</v>
      </c>
      <c r="O103">
        <f>VLOOKUP(Table9[[#This Row],[Shortname]], Comp[],12, FALSE)</f>
        <v>3.4</v>
      </c>
      <c r="P103">
        <f>VLOOKUP(Table9[[#This Row],[Shortname]], Comp[], 13, FALSE)</f>
        <v>2.8</v>
      </c>
      <c r="Q103">
        <f>VLOOKUP(Table9[[#This Row],[Shortname]], Comp[], 14, FALSE)</f>
        <v>0</v>
      </c>
      <c r="R103">
        <f>VLOOKUP(Table9[[#This Row],[Shortname]], Comp[], 15, FALSE)</f>
        <v>0</v>
      </c>
      <c r="S103">
        <f>VLOOKUP(Table9[[#This Row],[Shortname]], Comp[], 16, FALSE)</f>
        <v>4.8</v>
      </c>
      <c r="T103">
        <f>VLOOKUP(Table9[[#This Row],[Shortname]], Comp[], 17, FALSE)</f>
        <v>0</v>
      </c>
      <c r="U103">
        <f>VLOOKUP(Table9[[#This Row],[Shortname]], Comp[], 18, FALSE)</f>
        <v>0</v>
      </c>
      <c r="V103">
        <f>VLOOKUP(Table9[[#This Row],[Shortname]], Comp[], 19, FALSE)</f>
        <v>0</v>
      </c>
      <c r="W103">
        <f>VLOOKUP(Table9[[#This Row],[Shortname]], Comp[], 20, FALSE)</f>
        <v>0</v>
      </c>
      <c r="X103">
        <f>VLOOKUP(Table9[[#This Row],[Shortname]], Comp[], 21, FALSE)</f>
        <v>0</v>
      </c>
      <c r="Y103">
        <f>VLOOKUP(Table9[[#This Row],[Shortname]], Comp[], 22, FALSE)</f>
        <v>0</v>
      </c>
      <c r="Z103">
        <f>VLOOKUP(Table9[[#This Row],[Shortname]], Comp[], 23, FALSE)</f>
        <v>0</v>
      </c>
      <c r="AA103">
        <f>VLOOKUP(Table9[[#This Row],[Shortname]], Comp[], 24, FALSE)</f>
        <v>0</v>
      </c>
      <c r="AB103">
        <f>VLOOKUP(Table9[[#This Row],[Shortname]], Comp[], 25, FALSE)</f>
        <v>0</v>
      </c>
      <c r="AC103">
        <f>VLOOKUP(Table9[[#This Row],[Shortname]], Comp[], 26, FALSE)</f>
        <v>0</v>
      </c>
      <c r="AD103">
        <f>VLOOKUP(Table9[[#This Row],[Shortname]], Comp[], 27, FALSE)</f>
        <v>0</v>
      </c>
      <c r="AE103">
        <f>VLOOKUP(Table9[[#This Row],[Shortname]], Comp[], 28, FALSE)</f>
        <v>0</v>
      </c>
      <c r="AF103">
        <f>VLOOKUP(Table9[[#This Row],[Shortname]], Comp[], 29, FALSE)</f>
        <v>0</v>
      </c>
      <c r="AG103">
        <f>VLOOKUP(Table9[[#This Row],[Shortname]], Comp[], 30, FALSE)</f>
        <v>0</v>
      </c>
      <c r="AH103">
        <f>VLOOKUP(Table9[[#This Row],[Shortname]], Comp[], 31, FALSE)</f>
        <v>0</v>
      </c>
    </row>
    <row r="104" spans="1:34" x14ac:dyDescent="0.3">
      <c r="A104" t="s">
        <v>3482</v>
      </c>
      <c r="B104" t="s">
        <v>3483</v>
      </c>
      <c r="C104" t="s">
        <v>3480</v>
      </c>
      <c r="D104">
        <v>669</v>
      </c>
      <c r="E104">
        <v>25</v>
      </c>
      <c r="F104">
        <v>1E-4</v>
      </c>
      <c r="G104">
        <v>1</v>
      </c>
      <c r="H104" t="s">
        <v>6803</v>
      </c>
      <c r="I104">
        <f>VLOOKUP(Table9[[#This Row],[Shortname]], Comp[], 6, FALSE)</f>
        <v>499</v>
      </c>
      <c r="J104" s="14">
        <f>VLOOKUP(Table9[[#This Row],[Shortname]], Comp[], 7, FALSE)</f>
        <v>77.900000000000006</v>
      </c>
      <c r="K104">
        <f>VLOOKUP(Table9[[#This Row],[Shortname]], Comp[], 8, FALSE)</f>
        <v>0</v>
      </c>
      <c r="L104">
        <f>VLOOKUP(Table9[[#This Row],[Shortname]], Comp[], 9, FALSE)</f>
        <v>7.8</v>
      </c>
      <c r="M104">
        <f>VLOOKUP(Table9[[#This Row],[Shortname]], Comp[], 10, FALSE)</f>
        <v>4.5</v>
      </c>
      <c r="N104">
        <f>VLOOKUP(Table9[[#This Row],[Shortname]], Comp[], 11, FALSE)</f>
        <v>7.8</v>
      </c>
      <c r="O104">
        <f>VLOOKUP(Table9[[#This Row],[Shortname]], Comp[],12, FALSE)</f>
        <v>0</v>
      </c>
      <c r="P104">
        <f>VLOOKUP(Table9[[#This Row],[Shortname]], Comp[], 13, FALSE)</f>
        <v>2</v>
      </c>
      <c r="Q104">
        <f>VLOOKUP(Table9[[#This Row],[Shortname]], Comp[], 14, FALSE)</f>
        <v>0</v>
      </c>
      <c r="R104">
        <f>VLOOKUP(Table9[[#This Row],[Shortname]], Comp[], 15, FALSE)</f>
        <v>0</v>
      </c>
      <c r="S104">
        <f>VLOOKUP(Table9[[#This Row],[Shortname]], Comp[], 16, FALSE)</f>
        <v>0</v>
      </c>
      <c r="T104">
        <f>VLOOKUP(Table9[[#This Row],[Shortname]], Comp[], 17, FALSE)</f>
        <v>0</v>
      </c>
      <c r="U104">
        <f>VLOOKUP(Table9[[#This Row],[Shortname]], Comp[], 18, FALSE)</f>
        <v>0</v>
      </c>
      <c r="V104">
        <f>VLOOKUP(Table9[[#This Row],[Shortname]], Comp[], 19, FALSE)</f>
        <v>0</v>
      </c>
      <c r="W104">
        <f>VLOOKUP(Table9[[#This Row],[Shortname]], Comp[], 20, FALSE)</f>
        <v>0</v>
      </c>
      <c r="X104">
        <f>VLOOKUP(Table9[[#This Row],[Shortname]], Comp[], 21, FALSE)</f>
        <v>0</v>
      </c>
      <c r="Y104">
        <f>VLOOKUP(Table9[[#This Row],[Shortname]], Comp[], 22, FALSE)</f>
        <v>0</v>
      </c>
      <c r="Z104">
        <f>VLOOKUP(Table9[[#This Row],[Shortname]], Comp[], 23, FALSE)</f>
        <v>0</v>
      </c>
      <c r="AA104">
        <f>VLOOKUP(Table9[[#This Row],[Shortname]], Comp[], 24, FALSE)</f>
        <v>0</v>
      </c>
      <c r="AB104">
        <f>VLOOKUP(Table9[[#This Row],[Shortname]], Comp[], 25, FALSE)</f>
        <v>0</v>
      </c>
      <c r="AC104">
        <f>VLOOKUP(Table9[[#This Row],[Shortname]], Comp[], 26, FALSE)</f>
        <v>0</v>
      </c>
      <c r="AD104">
        <f>VLOOKUP(Table9[[#This Row],[Shortname]], Comp[], 27, FALSE)</f>
        <v>0</v>
      </c>
      <c r="AE104">
        <f>VLOOKUP(Table9[[#This Row],[Shortname]], Comp[], 28, FALSE)</f>
        <v>0</v>
      </c>
      <c r="AF104">
        <f>VLOOKUP(Table9[[#This Row],[Shortname]], Comp[], 29, FALSE)</f>
        <v>0</v>
      </c>
      <c r="AG104">
        <f>VLOOKUP(Table9[[#This Row],[Shortname]], Comp[], 30, FALSE)</f>
        <v>0</v>
      </c>
      <c r="AH104">
        <f>VLOOKUP(Table9[[#This Row],[Shortname]], Comp[], 31, FALSE)</f>
        <v>0</v>
      </c>
    </row>
    <row r="105" spans="1:34" x14ac:dyDescent="0.3">
      <c r="A105" t="s">
        <v>82</v>
      </c>
      <c r="B105" t="s">
        <v>84</v>
      </c>
      <c r="C105" t="s">
        <v>6814</v>
      </c>
      <c r="D105">
        <v>668</v>
      </c>
      <c r="E105">
        <v>800</v>
      </c>
      <c r="F105">
        <v>1E-3</v>
      </c>
      <c r="G105">
        <v>1</v>
      </c>
      <c r="H105" t="s">
        <v>6807</v>
      </c>
      <c r="I105">
        <f>VLOOKUP(Table9[[#This Row],[Shortname]], Comp[], 6, FALSE)</f>
        <v>8</v>
      </c>
      <c r="J105" s="14">
        <f>VLOOKUP(Table9[[#This Row],[Shortname]], Comp[], 7, FALSE)</f>
        <v>40.210000000000008</v>
      </c>
      <c r="K105">
        <f>VLOOKUP(Table9[[#This Row],[Shortname]], Comp[], 8, FALSE)</f>
        <v>31.14</v>
      </c>
      <c r="L105">
        <f>VLOOKUP(Table9[[#This Row],[Shortname]], Comp[], 9, FALSE)</f>
        <v>10.76</v>
      </c>
      <c r="M105">
        <f>VLOOKUP(Table9[[#This Row],[Shortname]], Comp[], 10, FALSE)</f>
        <v>10.83</v>
      </c>
      <c r="N105">
        <f>VLOOKUP(Table9[[#This Row],[Shortname]], Comp[], 11, FALSE)</f>
        <v>0</v>
      </c>
      <c r="O105">
        <f>VLOOKUP(Table9[[#This Row],[Shortname]], Comp[],12, FALSE)</f>
        <v>0</v>
      </c>
      <c r="P105">
        <f>VLOOKUP(Table9[[#This Row],[Shortname]], Comp[], 13, FALSE)</f>
        <v>2.54</v>
      </c>
      <c r="Q105">
        <f>VLOOKUP(Table9[[#This Row],[Shortname]], Comp[], 14, FALSE)</f>
        <v>0</v>
      </c>
      <c r="R105">
        <f>VLOOKUP(Table9[[#This Row],[Shortname]], Comp[], 15, FALSE)</f>
        <v>0</v>
      </c>
      <c r="S105">
        <f>VLOOKUP(Table9[[#This Row],[Shortname]], Comp[], 16, FALSE)</f>
        <v>4.03</v>
      </c>
      <c r="T105">
        <f>VLOOKUP(Table9[[#This Row],[Shortname]], Comp[], 17, FALSE)</f>
        <v>0.22</v>
      </c>
      <c r="U105">
        <f>VLOOKUP(Table9[[#This Row],[Shortname]], Comp[], 18, FALSE)</f>
        <v>0.05</v>
      </c>
      <c r="V105">
        <f>VLOOKUP(Table9[[#This Row],[Shortname]], Comp[], 19, FALSE)</f>
        <v>0.22</v>
      </c>
      <c r="W105">
        <f>VLOOKUP(Table9[[#This Row],[Shortname]], Comp[], 20, FALSE)</f>
        <v>0</v>
      </c>
      <c r="X105">
        <f>VLOOKUP(Table9[[#This Row],[Shortname]], Comp[], 21, FALSE)</f>
        <v>0</v>
      </c>
      <c r="Y105">
        <f>VLOOKUP(Table9[[#This Row],[Shortname]], Comp[], 22, FALSE)</f>
        <v>0</v>
      </c>
      <c r="Z105">
        <f>VLOOKUP(Table9[[#This Row],[Shortname]], Comp[], 23, FALSE)</f>
        <v>0</v>
      </c>
      <c r="AA105">
        <f>VLOOKUP(Table9[[#This Row],[Shortname]], Comp[], 24, FALSE)</f>
        <v>0</v>
      </c>
      <c r="AB105">
        <f>VLOOKUP(Table9[[#This Row],[Shortname]], Comp[], 25, FALSE)</f>
        <v>0</v>
      </c>
      <c r="AC105">
        <f>VLOOKUP(Table9[[#This Row],[Shortname]], Comp[], 26, FALSE)</f>
        <v>0</v>
      </c>
      <c r="AD105">
        <f>VLOOKUP(Table9[[#This Row],[Shortname]], Comp[], 27, FALSE)</f>
        <v>0</v>
      </c>
      <c r="AE105">
        <f>VLOOKUP(Table9[[#This Row],[Shortname]], Comp[], 28, FALSE)</f>
        <v>0</v>
      </c>
      <c r="AF105">
        <f>VLOOKUP(Table9[[#This Row],[Shortname]], Comp[], 29, FALSE)</f>
        <v>0</v>
      </c>
      <c r="AG105">
        <f>VLOOKUP(Table9[[#This Row],[Shortname]], Comp[], 30, FALSE)</f>
        <v>0</v>
      </c>
      <c r="AH105">
        <f>VLOOKUP(Table9[[#This Row],[Shortname]], Comp[], 31, FALSE)</f>
        <v>0</v>
      </c>
    </row>
    <row r="106" spans="1:34" x14ac:dyDescent="0.3">
      <c r="A106" t="s">
        <v>552</v>
      </c>
      <c r="B106" t="s">
        <v>6697</v>
      </c>
      <c r="C106" t="s">
        <v>499</v>
      </c>
      <c r="D106">
        <v>667</v>
      </c>
      <c r="E106">
        <v>25</v>
      </c>
      <c r="F106">
        <v>1E-4</v>
      </c>
      <c r="G106">
        <v>1</v>
      </c>
      <c r="H106" t="s">
        <v>6815</v>
      </c>
      <c r="I106">
        <f>VLOOKUP(Table9[[#This Row],[Shortname]], Comp[], 6, FALSE)</f>
        <v>71</v>
      </c>
      <c r="J106" s="14">
        <f>VLOOKUP(Table9[[#This Row],[Shortname]], Comp[], 7, FALSE)</f>
        <v>72.800000000000011</v>
      </c>
      <c r="K106">
        <f>VLOOKUP(Table9[[#This Row],[Shortname]], Comp[], 8, FALSE)</f>
        <v>10.199999999999999</v>
      </c>
      <c r="L106">
        <f>VLOOKUP(Table9[[#This Row],[Shortname]], Comp[], 9, FALSE)</f>
        <v>8.1</v>
      </c>
      <c r="M106">
        <f>VLOOKUP(Table9[[#This Row],[Shortname]], Comp[], 10, FALSE)</f>
        <v>0</v>
      </c>
      <c r="N106">
        <f>VLOOKUP(Table9[[#This Row],[Shortname]], Comp[], 11, FALSE)</f>
        <v>8.9</v>
      </c>
      <c r="O106">
        <f>VLOOKUP(Table9[[#This Row],[Shortname]], Comp[],12, FALSE)</f>
        <v>0</v>
      </c>
      <c r="P106">
        <f>VLOOKUP(Table9[[#This Row],[Shortname]], Comp[], 13, FALSE)</f>
        <v>0</v>
      </c>
      <c r="Q106">
        <f>VLOOKUP(Table9[[#This Row],[Shortname]], Comp[], 14, FALSE)</f>
        <v>0</v>
      </c>
      <c r="R106">
        <f>VLOOKUP(Table9[[#This Row],[Shortname]], Comp[], 15, FALSE)</f>
        <v>0</v>
      </c>
      <c r="S106">
        <f>VLOOKUP(Table9[[#This Row],[Shortname]], Comp[], 16, FALSE)</f>
        <v>0</v>
      </c>
      <c r="T106">
        <f>VLOOKUP(Table9[[#This Row],[Shortname]], Comp[], 17, FALSE)</f>
        <v>0</v>
      </c>
      <c r="U106">
        <f>VLOOKUP(Table9[[#This Row],[Shortname]], Comp[], 18, FALSE)</f>
        <v>0</v>
      </c>
      <c r="V106">
        <f>VLOOKUP(Table9[[#This Row],[Shortname]], Comp[], 19, FALSE)</f>
        <v>0</v>
      </c>
      <c r="W106">
        <f>VLOOKUP(Table9[[#This Row],[Shortname]], Comp[], 20, FALSE)</f>
        <v>0</v>
      </c>
      <c r="X106">
        <f>VLOOKUP(Table9[[#This Row],[Shortname]], Comp[], 21, FALSE)</f>
        <v>0</v>
      </c>
      <c r="Y106">
        <f>VLOOKUP(Table9[[#This Row],[Shortname]], Comp[], 22, FALSE)</f>
        <v>0</v>
      </c>
      <c r="Z106">
        <f>VLOOKUP(Table9[[#This Row],[Shortname]], Comp[], 23, FALSE)</f>
        <v>0</v>
      </c>
      <c r="AA106">
        <f>VLOOKUP(Table9[[#This Row],[Shortname]], Comp[], 24, FALSE)</f>
        <v>0</v>
      </c>
      <c r="AB106">
        <f>VLOOKUP(Table9[[#This Row],[Shortname]], Comp[], 25, FALSE)</f>
        <v>0</v>
      </c>
      <c r="AC106">
        <f>VLOOKUP(Table9[[#This Row],[Shortname]], Comp[], 26, FALSE)</f>
        <v>0</v>
      </c>
      <c r="AD106">
        <f>VLOOKUP(Table9[[#This Row],[Shortname]], Comp[], 27, FALSE)</f>
        <v>0</v>
      </c>
      <c r="AE106">
        <f>VLOOKUP(Table9[[#This Row],[Shortname]], Comp[], 28, FALSE)</f>
        <v>0</v>
      </c>
      <c r="AF106">
        <f>VLOOKUP(Table9[[#This Row],[Shortname]], Comp[], 29, FALSE)</f>
        <v>0</v>
      </c>
      <c r="AG106">
        <f>VLOOKUP(Table9[[#This Row],[Shortname]], Comp[], 30, FALSE)</f>
        <v>0</v>
      </c>
      <c r="AH106">
        <f>VLOOKUP(Table9[[#This Row],[Shortname]], Comp[], 31, FALSE)</f>
        <v>0</v>
      </c>
    </row>
    <row r="107" spans="1:34" x14ac:dyDescent="0.3">
      <c r="A107" t="s">
        <v>534</v>
      </c>
      <c r="B107" t="s">
        <v>6695</v>
      </c>
      <c r="C107" t="s">
        <v>499</v>
      </c>
      <c r="D107">
        <v>665</v>
      </c>
      <c r="E107">
        <v>800</v>
      </c>
      <c r="F107">
        <v>1E-4</v>
      </c>
      <c r="G107">
        <v>1</v>
      </c>
      <c r="I107">
        <f>VLOOKUP(Table9[[#This Row],[Shortname]], Comp[], 6, FALSE)</f>
        <v>69</v>
      </c>
      <c r="J107" s="14">
        <f>VLOOKUP(Table9[[#This Row],[Shortname]], Comp[], 7, FALSE)</f>
        <v>72.3</v>
      </c>
      <c r="K107">
        <f>VLOOKUP(Table9[[#This Row],[Shortname]], Comp[], 8, FALSE)</f>
        <v>10.3</v>
      </c>
      <c r="L107">
        <f>VLOOKUP(Table9[[#This Row],[Shortname]], Comp[], 9, FALSE)</f>
        <v>6.3</v>
      </c>
      <c r="M107">
        <f>VLOOKUP(Table9[[#This Row],[Shortname]], Comp[], 10, FALSE)</f>
        <v>0</v>
      </c>
      <c r="N107">
        <f>VLOOKUP(Table9[[#This Row],[Shortname]], Comp[], 11, FALSE)</f>
        <v>7</v>
      </c>
      <c r="O107">
        <f>VLOOKUP(Table9[[#This Row],[Shortname]], Comp[],12, FALSE)</f>
        <v>4.0999999999999996</v>
      </c>
      <c r="P107">
        <f>VLOOKUP(Table9[[#This Row],[Shortname]], Comp[], 13, FALSE)</f>
        <v>0</v>
      </c>
      <c r="Q107">
        <f>VLOOKUP(Table9[[#This Row],[Shortname]], Comp[], 14, FALSE)</f>
        <v>0</v>
      </c>
      <c r="R107">
        <f>VLOOKUP(Table9[[#This Row],[Shortname]], Comp[], 15, FALSE)</f>
        <v>0</v>
      </c>
      <c r="S107">
        <f>VLOOKUP(Table9[[#This Row],[Shortname]], Comp[], 16, FALSE)</f>
        <v>0</v>
      </c>
      <c r="T107">
        <f>VLOOKUP(Table9[[#This Row],[Shortname]], Comp[], 17, FALSE)</f>
        <v>0</v>
      </c>
      <c r="U107">
        <f>VLOOKUP(Table9[[#This Row],[Shortname]], Comp[], 18, FALSE)</f>
        <v>0</v>
      </c>
      <c r="V107">
        <f>VLOOKUP(Table9[[#This Row],[Shortname]], Comp[], 19, FALSE)</f>
        <v>0</v>
      </c>
      <c r="W107">
        <f>VLOOKUP(Table9[[#This Row],[Shortname]], Comp[], 20, FALSE)</f>
        <v>0</v>
      </c>
      <c r="X107">
        <f>VLOOKUP(Table9[[#This Row],[Shortname]], Comp[], 21, FALSE)</f>
        <v>0</v>
      </c>
      <c r="Y107">
        <f>VLOOKUP(Table9[[#This Row],[Shortname]], Comp[], 22, FALSE)</f>
        <v>0</v>
      </c>
      <c r="Z107">
        <f>VLOOKUP(Table9[[#This Row],[Shortname]], Comp[], 23, FALSE)</f>
        <v>0</v>
      </c>
      <c r="AA107">
        <f>VLOOKUP(Table9[[#This Row],[Shortname]], Comp[], 24, FALSE)</f>
        <v>0</v>
      </c>
      <c r="AB107">
        <f>VLOOKUP(Table9[[#This Row],[Shortname]], Comp[], 25, FALSE)</f>
        <v>0</v>
      </c>
      <c r="AC107">
        <f>VLOOKUP(Table9[[#This Row],[Shortname]], Comp[], 26, FALSE)</f>
        <v>0</v>
      </c>
      <c r="AD107">
        <f>VLOOKUP(Table9[[#This Row],[Shortname]], Comp[], 27, FALSE)</f>
        <v>0</v>
      </c>
      <c r="AE107">
        <f>VLOOKUP(Table9[[#This Row],[Shortname]], Comp[], 28, FALSE)</f>
        <v>0</v>
      </c>
      <c r="AF107">
        <f>VLOOKUP(Table9[[#This Row],[Shortname]], Comp[], 29, FALSE)</f>
        <v>0</v>
      </c>
      <c r="AG107">
        <f>VLOOKUP(Table9[[#This Row],[Shortname]], Comp[], 30, FALSE)</f>
        <v>0</v>
      </c>
      <c r="AH107">
        <f>VLOOKUP(Table9[[#This Row],[Shortname]], Comp[], 31, FALSE)</f>
        <v>0</v>
      </c>
    </row>
    <row r="108" spans="1:34" x14ac:dyDescent="0.3">
      <c r="A108" t="s">
        <v>5062</v>
      </c>
      <c r="B108" t="s">
        <v>5531</v>
      </c>
      <c r="C108" t="s">
        <v>5054</v>
      </c>
      <c r="D108">
        <v>659.55</v>
      </c>
      <c r="E108">
        <v>670</v>
      </c>
      <c r="F108">
        <v>1E-3</v>
      </c>
      <c r="G108">
        <v>1</v>
      </c>
      <c r="I108">
        <f>VLOOKUP(Table9[[#This Row],[Shortname]], Comp[], 6, FALSE)</f>
        <v>781</v>
      </c>
      <c r="J108" s="14">
        <f>VLOOKUP(Table9[[#This Row],[Shortname]], Comp[], 7, FALSE)</f>
        <v>53</v>
      </c>
      <c r="K108">
        <f>VLOOKUP(Table9[[#This Row],[Shortname]], Comp[], 8, FALSE)</f>
        <v>30</v>
      </c>
      <c r="L108">
        <f>VLOOKUP(Table9[[#This Row],[Shortname]], Comp[], 9, FALSE)</f>
        <v>10</v>
      </c>
      <c r="M108">
        <f>VLOOKUP(Table9[[#This Row],[Shortname]], Comp[], 10, FALSE)</f>
        <v>0</v>
      </c>
      <c r="N108">
        <f>VLOOKUP(Table9[[#This Row],[Shortname]], Comp[], 11, FALSE)</f>
        <v>0</v>
      </c>
      <c r="O108">
        <f>VLOOKUP(Table9[[#This Row],[Shortname]], Comp[],12, FALSE)</f>
        <v>2</v>
      </c>
      <c r="P108">
        <f>VLOOKUP(Table9[[#This Row],[Shortname]], Comp[], 13, FALSE)</f>
        <v>0</v>
      </c>
      <c r="Q108">
        <f>VLOOKUP(Table9[[#This Row],[Shortname]], Comp[], 14, FALSE)</f>
        <v>0</v>
      </c>
      <c r="R108">
        <f>VLOOKUP(Table9[[#This Row],[Shortname]], Comp[], 15, FALSE)</f>
        <v>0</v>
      </c>
      <c r="S108">
        <f>VLOOKUP(Table9[[#This Row],[Shortname]], Comp[], 16, FALSE)</f>
        <v>5</v>
      </c>
      <c r="T108">
        <f>VLOOKUP(Table9[[#This Row],[Shortname]], Comp[], 17, FALSE)</f>
        <v>0</v>
      </c>
      <c r="U108">
        <f>VLOOKUP(Table9[[#This Row],[Shortname]], Comp[], 18, FALSE)</f>
        <v>0</v>
      </c>
      <c r="V108">
        <f>VLOOKUP(Table9[[#This Row],[Shortname]], Comp[], 19, FALSE)</f>
        <v>0</v>
      </c>
      <c r="W108">
        <f>VLOOKUP(Table9[[#This Row],[Shortname]], Comp[], 20, FALSE)</f>
        <v>0</v>
      </c>
      <c r="X108">
        <f>VLOOKUP(Table9[[#This Row],[Shortname]], Comp[], 21, FALSE)</f>
        <v>0</v>
      </c>
      <c r="Y108">
        <f>VLOOKUP(Table9[[#This Row],[Shortname]], Comp[], 22, FALSE)</f>
        <v>0</v>
      </c>
      <c r="Z108">
        <f>VLOOKUP(Table9[[#This Row],[Shortname]], Comp[], 23, FALSE)</f>
        <v>0</v>
      </c>
      <c r="AA108">
        <f>VLOOKUP(Table9[[#This Row],[Shortname]], Comp[], 24, FALSE)</f>
        <v>0</v>
      </c>
      <c r="AB108">
        <f>VLOOKUP(Table9[[#This Row],[Shortname]], Comp[], 25, FALSE)</f>
        <v>0</v>
      </c>
      <c r="AC108">
        <f>VLOOKUP(Table9[[#This Row],[Shortname]], Comp[], 26, FALSE)</f>
        <v>0</v>
      </c>
      <c r="AD108">
        <f>VLOOKUP(Table9[[#This Row],[Shortname]], Comp[], 27, FALSE)</f>
        <v>0</v>
      </c>
      <c r="AE108">
        <f>VLOOKUP(Table9[[#This Row],[Shortname]], Comp[], 28, FALSE)</f>
        <v>0</v>
      </c>
      <c r="AF108">
        <f>VLOOKUP(Table9[[#This Row],[Shortname]], Comp[], 29, FALSE)</f>
        <v>0</v>
      </c>
      <c r="AG108">
        <f>VLOOKUP(Table9[[#This Row],[Shortname]], Comp[], 30, FALSE)</f>
        <v>0</v>
      </c>
      <c r="AH108">
        <f>VLOOKUP(Table9[[#This Row],[Shortname]], Comp[], 31, FALSE)</f>
        <v>0</v>
      </c>
    </row>
    <row r="109" spans="1:34" x14ac:dyDescent="0.3">
      <c r="A109" t="s">
        <v>5062</v>
      </c>
      <c r="B109" t="s">
        <v>5531</v>
      </c>
      <c r="C109" t="s">
        <v>5054</v>
      </c>
      <c r="D109">
        <v>659.55</v>
      </c>
      <c r="E109">
        <v>720</v>
      </c>
      <c r="F109">
        <v>1E-3</v>
      </c>
      <c r="G109">
        <v>1</v>
      </c>
      <c r="I109">
        <f>VLOOKUP(Table9[[#This Row],[Shortname]], Comp[], 6, FALSE)</f>
        <v>781</v>
      </c>
      <c r="J109" s="14">
        <f>VLOOKUP(Table9[[#This Row],[Shortname]], Comp[], 7, FALSE)</f>
        <v>53</v>
      </c>
      <c r="K109">
        <f>VLOOKUP(Table9[[#This Row],[Shortname]], Comp[], 8, FALSE)</f>
        <v>30</v>
      </c>
      <c r="L109">
        <f>VLOOKUP(Table9[[#This Row],[Shortname]], Comp[], 9, FALSE)</f>
        <v>10</v>
      </c>
      <c r="M109">
        <f>VLOOKUP(Table9[[#This Row],[Shortname]], Comp[], 10, FALSE)</f>
        <v>0</v>
      </c>
      <c r="N109">
        <f>VLOOKUP(Table9[[#This Row],[Shortname]], Comp[], 11, FALSE)</f>
        <v>0</v>
      </c>
      <c r="O109">
        <f>VLOOKUP(Table9[[#This Row],[Shortname]], Comp[],12, FALSE)</f>
        <v>2</v>
      </c>
      <c r="P109">
        <f>VLOOKUP(Table9[[#This Row],[Shortname]], Comp[], 13, FALSE)</f>
        <v>0</v>
      </c>
      <c r="Q109">
        <f>VLOOKUP(Table9[[#This Row],[Shortname]], Comp[], 14, FALSE)</f>
        <v>0</v>
      </c>
      <c r="R109">
        <f>VLOOKUP(Table9[[#This Row],[Shortname]], Comp[], 15, FALSE)</f>
        <v>0</v>
      </c>
      <c r="S109">
        <f>VLOOKUP(Table9[[#This Row],[Shortname]], Comp[], 16, FALSE)</f>
        <v>5</v>
      </c>
      <c r="T109">
        <f>VLOOKUP(Table9[[#This Row],[Shortname]], Comp[], 17, FALSE)</f>
        <v>0</v>
      </c>
      <c r="U109">
        <f>VLOOKUP(Table9[[#This Row],[Shortname]], Comp[], 18, FALSE)</f>
        <v>0</v>
      </c>
      <c r="V109">
        <f>VLOOKUP(Table9[[#This Row],[Shortname]], Comp[], 19, FALSE)</f>
        <v>0</v>
      </c>
      <c r="W109">
        <f>VLOOKUP(Table9[[#This Row],[Shortname]], Comp[], 20, FALSE)</f>
        <v>0</v>
      </c>
      <c r="X109">
        <f>VLOOKUP(Table9[[#This Row],[Shortname]], Comp[], 21, FALSE)</f>
        <v>0</v>
      </c>
      <c r="Y109">
        <f>VLOOKUP(Table9[[#This Row],[Shortname]], Comp[], 22, FALSE)</f>
        <v>0</v>
      </c>
      <c r="Z109">
        <f>VLOOKUP(Table9[[#This Row],[Shortname]], Comp[], 23, FALSE)</f>
        <v>0</v>
      </c>
      <c r="AA109">
        <f>VLOOKUP(Table9[[#This Row],[Shortname]], Comp[], 24, FALSE)</f>
        <v>0</v>
      </c>
      <c r="AB109">
        <f>VLOOKUP(Table9[[#This Row],[Shortname]], Comp[], 25, FALSE)</f>
        <v>0</v>
      </c>
      <c r="AC109">
        <f>VLOOKUP(Table9[[#This Row],[Shortname]], Comp[], 26, FALSE)</f>
        <v>0</v>
      </c>
      <c r="AD109">
        <f>VLOOKUP(Table9[[#This Row],[Shortname]], Comp[], 27, FALSE)</f>
        <v>0</v>
      </c>
      <c r="AE109">
        <f>VLOOKUP(Table9[[#This Row],[Shortname]], Comp[], 28, FALSE)</f>
        <v>0</v>
      </c>
      <c r="AF109">
        <f>VLOOKUP(Table9[[#This Row],[Shortname]], Comp[], 29, FALSE)</f>
        <v>0</v>
      </c>
      <c r="AG109">
        <f>VLOOKUP(Table9[[#This Row],[Shortname]], Comp[], 30, FALSE)</f>
        <v>0</v>
      </c>
      <c r="AH109">
        <f>VLOOKUP(Table9[[#This Row],[Shortname]], Comp[], 31, FALSE)</f>
        <v>0</v>
      </c>
    </row>
    <row r="110" spans="1:34" x14ac:dyDescent="0.3">
      <c r="A110" t="s">
        <v>2989</v>
      </c>
      <c r="B110" t="s">
        <v>3118</v>
      </c>
      <c r="C110" t="s">
        <v>3119</v>
      </c>
      <c r="D110">
        <v>657</v>
      </c>
      <c r="E110">
        <v>650</v>
      </c>
      <c r="F110">
        <v>1E-4</v>
      </c>
      <c r="G110">
        <v>1</v>
      </c>
      <c r="H110" t="s">
        <v>6803</v>
      </c>
      <c r="I110">
        <f>VLOOKUP(Table9[[#This Row],[Shortname]], Comp[], 6, FALSE)</f>
        <v>411</v>
      </c>
      <c r="J110" s="14">
        <f>VLOOKUP(Table9[[#This Row],[Shortname]], Comp[], 7, FALSE)</f>
        <v>84</v>
      </c>
      <c r="K110">
        <f>VLOOKUP(Table9[[#This Row],[Shortname]], Comp[], 8, FALSE)</f>
        <v>0</v>
      </c>
      <c r="L110">
        <f>VLOOKUP(Table9[[#This Row],[Shortname]], Comp[], 9, FALSE)</f>
        <v>0</v>
      </c>
      <c r="M110">
        <f>VLOOKUP(Table9[[#This Row],[Shortname]], Comp[], 10, FALSE)</f>
        <v>0</v>
      </c>
      <c r="N110">
        <f>VLOOKUP(Table9[[#This Row],[Shortname]], Comp[], 11, FALSE)</f>
        <v>0</v>
      </c>
      <c r="O110">
        <f>VLOOKUP(Table9[[#This Row],[Shortname]], Comp[],12, FALSE)</f>
        <v>2</v>
      </c>
      <c r="P110">
        <f>VLOOKUP(Table9[[#This Row],[Shortname]], Comp[], 13, FALSE)</f>
        <v>2</v>
      </c>
      <c r="Q110">
        <f>VLOOKUP(Table9[[#This Row],[Shortname]], Comp[], 14, FALSE)</f>
        <v>0</v>
      </c>
      <c r="R110">
        <f>VLOOKUP(Table9[[#This Row],[Shortname]], Comp[], 15, FALSE)</f>
        <v>12</v>
      </c>
      <c r="S110">
        <f>VLOOKUP(Table9[[#This Row],[Shortname]], Comp[], 16, FALSE)</f>
        <v>0</v>
      </c>
      <c r="T110">
        <f>VLOOKUP(Table9[[#This Row],[Shortname]], Comp[], 17, FALSE)</f>
        <v>0</v>
      </c>
      <c r="U110">
        <f>VLOOKUP(Table9[[#This Row],[Shortname]], Comp[], 18, FALSE)</f>
        <v>0</v>
      </c>
      <c r="V110">
        <f>VLOOKUP(Table9[[#This Row],[Shortname]], Comp[], 19, FALSE)</f>
        <v>0</v>
      </c>
      <c r="W110">
        <f>VLOOKUP(Table9[[#This Row],[Shortname]], Comp[], 20, FALSE)</f>
        <v>0</v>
      </c>
      <c r="X110">
        <f>VLOOKUP(Table9[[#This Row],[Shortname]], Comp[], 21, FALSE)</f>
        <v>0</v>
      </c>
      <c r="Y110">
        <f>VLOOKUP(Table9[[#This Row],[Shortname]], Comp[], 22, FALSE)</f>
        <v>0</v>
      </c>
      <c r="Z110">
        <f>VLOOKUP(Table9[[#This Row],[Shortname]], Comp[], 23, FALSE)</f>
        <v>0</v>
      </c>
      <c r="AA110">
        <f>VLOOKUP(Table9[[#This Row],[Shortname]], Comp[], 24, FALSE)</f>
        <v>0</v>
      </c>
      <c r="AB110">
        <f>VLOOKUP(Table9[[#This Row],[Shortname]], Comp[], 25, FALSE)</f>
        <v>0</v>
      </c>
      <c r="AC110">
        <f>VLOOKUP(Table9[[#This Row],[Shortname]], Comp[], 26, FALSE)</f>
        <v>0</v>
      </c>
      <c r="AD110">
        <f>VLOOKUP(Table9[[#This Row],[Shortname]], Comp[], 27, FALSE)</f>
        <v>0</v>
      </c>
      <c r="AE110">
        <f>VLOOKUP(Table9[[#This Row],[Shortname]], Comp[], 28, FALSE)</f>
        <v>0</v>
      </c>
      <c r="AF110">
        <f>VLOOKUP(Table9[[#This Row],[Shortname]], Comp[], 29, FALSE)</f>
        <v>0</v>
      </c>
      <c r="AG110">
        <f>VLOOKUP(Table9[[#This Row],[Shortname]], Comp[], 30, FALSE)</f>
        <v>0</v>
      </c>
      <c r="AH110">
        <f>VLOOKUP(Table9[[#This Row],[Shortname]], Comp[], 31, FALSE)</f>
        <v>0</v>
      </c>
    </row>
    <row r="111" spans="1:34" x14ac:dyDescent="0.3">
      <c r="A111" t="s">
        <v>4424</v>
      </c>
      <c r="B111" t="s">
        <v>4425</v>
      </c>
      <c r="C111" t="s">
        <v>4415</v>
      </c>
      <c r="D111">
        <v>656</v>
      </c>
      <c r="E111">
        <v>800</v>
      </c>
      <c r="F111">
        <v>1E-4</v>
      </c>
      <c r="G111">
        <v>1</v>
      </c>
      <c r="H111" t="s">
        <v>6803</v>
      </c>
      <c r="I111">
        <f>VLOOKUP(Table9[[#This Row],[Shortname]], Comp[], 6, FALSE)</f>
        <v>673</v>
      </c>
      <c r="J111" s="14">
        <f>VLOOKUP(Table9[[#This Row],[Shortname]], Comp[], 7, FALSE)</f>
        <v>43.321999999999996</v>
      </c>
      <c r="K111">
        <f>VLOOKUP(Table9[[#This Row],[Shortname]], Comp[], 8, FALSE)</f>
        <v>30</v>
      </c>
      <c r="L111">
        <f>VLOOKUP(Table9[[#This Row],[Shortname]], Comp[], 9, FALSE)</f>
        <v>6</v>
      </c>
      <c r="M111">
        <f>VLOOKUP(Table9[[#This Row],[Shortname]], Comp[], 10, FALSE)</f>
        <v>12</v>
      </c>
      <c r="N111">
        <f>VLOOKUP(Table9[[#This Row],[Shortname]], Comp[], 11, FALSE)</f>
        <v>2</v>
      </c>
      <c r="O111">
        <f>VLOOKUP(Table9[[#This Row],[Shortname]], Comp[],12, FALSE)</f>
        <v>3.5</v>
      </c>
      <c r="P111">
        <f>VLOOKUP(Table9[[#This Row],[Shortname]], Comp[], 13, FALSE)</f>
        <v>1</v>
      </c>
      <c r="Q111">
        <f>VLOOKUP(Table9[[#This Row],[Shortname]], Comp[], 14, FALSE)</f>
        <v>0</v>
      </c>
      <c r="R111">
        <f>VLOOKUP(Table9[[#This Row],[Shortname]], Comp[], 15, FALSE)</f>
        <v>0</v>
      </c>
      <c r="S111">
        <f>VLOOKUP(Table9[[#This Row],[Shortname]], Comp[], 16, FALSE)</f>
        <v>1.5</v>
      </c>
      <c r="T111">
        <f>VLOOKUP(Table9[[#This Row],[Shortname]], Comp[], 17, FALSE)</f>
        <v>8.5000000000000006E-2</v>
      </c>
      <c r="U111">
        <f>VLOOKUP(Table9[[#This Row],[Shortname]], Comp[], 18, FALSE)</f>
        <v>8.9999999999999993E-3</v>
      </c>
      <c r="V111">
        <f>VLOOKUP(Table9[[#This Row],[Shortname]], Comp[], 19, FALSE)</f>
        <v>8.4000000000000005E-2</v>
      </c>
      <c r="W111">
        <f>VLOOKUP(Table9[[#This Row],[Shortname]], Comp[], 20, FALSE)</f>
        <v>0</v>
      </c>
      <c r="X111">
        <f>VLOOKUP(Table9[[#This Row],[Shortname]], Comp[], 21, FALSE)</f>
        <v>0</v>
      </c>
      <c r="Y111">
        <f>VLOOKUP(Table9[[#This Row],[Shortname]], Comp[], 22, FALSE)</f>
        <v>0.39</v>
      </c>
      <c r="Z111">
        <f>VLOOKUP(Table9[[#This Row],[Shortname]], Comp[], 23, FALSE)</f>
        <v>0</v>
      </c>
      <c r="AA111">
        <f>VLOOKUP(Table9[[#This Row],[Shortname]], Comp[], 24, FALSE)</f>
        <v>0</v>
      </c>
      <c r="AB111">
        <f>VLOOKUP(Table9[[#This Row],[Shortname]], Comp[], 25, FALSE)</f>
        <v>0.11</v>
      </c>
      <c r="AC111">
        <f>VLOOKUP(Table9[[#This Row],[Shortname]], Comp[], 26, FALSE)</f>
        <v>0</v>
      </c>
      <c r="AD111">
        <f>VLOOKUP(Table9[[#This Row],[Shortname]], Comp[], 27, FALSE)</f>
        <v>0</v>
      </c>
      <c r="AE111">
        <f>VLOOKUP(Table9[[#This Row],[Shortname]], Comp[], 28, FALSE)</f>
        <v>0</v>
      </c>
      <c r="AF111">
        <f>VLOOKUP(Table9[[#This Row],[Shortname]], Comp[], 29, FALSE)</f>
        <v>0</v>
      </c>
      <c r="AG111">
        <f>VLOOKUP(Table9[[#This Row],[Shortname]], Comp[], 30, FALSE)</f>
        <v>0</v>
      </c>
      <c r="AH111">
        <f>VLOOKUP(Table9[[#This Row],[Shortname]], Comp[], 31, FALSE)</f>
        <v>0</v>
      </c>
    </row>
    <row r="112" spans="1:34" x14ac:dyDescent="0.3">
      <c r="A112" t="s">
        <v>544</v>
      </c>
      <c r="B112" t="s">
        <v>6696</v>
      </c>
      <c r="C112" t="s">
        <v>499</v>
      </c>
      <c r="D112">
        <v>655</v>
      </c>
      <c r="E112">
        <v>750</v>
      </c>
      <c r="F112">
        <v>1E-4</v>
      </c>
      <c r="G112">
        <v>1</v>
      </c>
      <c r="I112">
        <f>VLOOKUP(Table9[[#This Row],[Shortname]], Comp[], 6, FALSE)</f>
        <v>70</v>
      </c>
      <c r="J112" s="14">
        <f>VLOOKUP(Table9[[#This Row],[Shortname]], Comp[], 7, FALSE)</f>
        <v>72.3</v>
      </c>
      <c r="K112">
        <f>VLOOKUP(Table9[[#This Row],[Shortname]], Comp[], 8, FALSE)</f>
        <v>10.199999999999999</v>
      </c>
      <c r="L112">
        <f>VLOOKUP(Table9[[#This Row],[Shortname]], Comp[], 9, FALSE)</f>
        <v>7.3</v>
      </c>
      <c r="M112">
        <f>VLOOKUP(Table9[[#This Row],[Shortname]], Comp[], 10, FALSE)</f>
        <v>0</v>
      </c>
      <c r="N112">
        <f>VLOOKUP(Table9[[#This Row],[Shortname]], Comp[], 11, FALSE)</f>
        <v>8</v>
      </c>
      <c r="O112">
        <f>VLOOKUP(Table9[[#This Row],[Shortname]], Comp[],12, FALSE)</f>
        <v>2.2000000000000002</v>
      </c>
      <c r="P112">
        <f>VLOOKUP(Table9[[#This Row],[Shortname]], Comp[], 13, FALSE)</f>
        <v>0</v>
      </c>
      <c r="Q112">
        <f>VLOOKUP(Table9[[#This Row],[Shortname]], Comp[], 14, FALSE)</f>
        <v>0</v>
      </c>
      <c r="R112">
        <f>VLOOKUP(Table9[[#This Row],[Shortname]], Comp[], 15, FALSE)</f>
        <v>0</v>
      </c>
      <c r="S112">
        <f>VLOOKUP(Table9[[#This Row],[Shortname]], Comp[], 16, FALSE)</f>
        <v>0</v>
      </c>
      <c r="T112">
        <f>VLOOKUP(Table9[[#This Row],[Shortname]], Comp[], 17, FALSE)</f>
        <v>0</v>
      </c>
      <c r="U112">
        <f>VLOOKUP(Table9[[#This Row],[Shortname]], Comp[], 18, FALSE)</f>
        <v>0</v>
      </c>
      <c r="V112">
        <f>VLOOKUP(Table9[[#This Row],[Shortname]], Comp[], 19, FALSE)</f>
        <v>0</v>
      </c>
      <c r="W112">
        <f>VLOOKUP(Table9[[#This Row],[Shortname]], Comp[], 20, FALSE)</f>
        <v>0</v>
      </c>
      <c r="X112">
        <f>VLOOKUP(Table9[[#This Row],[Shortname]], Comp[], 21, FALSE)</f>
        <v>0</v>
      </c>
      <c r="Y112">
        <f>VLOOKUP(Table9[[#This Row],[Shortname]], Comp[], 22, FALSE)</f>
        <v>0</v>
      </c>
      <c r="Z112">
        <f>VLOOKUP(Table9[[#This Row],[Shortname]], Comp[], 23, FALSE)</f>
        <v>0</v>
      </c>
      <c r="AA112">
        <f>VLOOKUP(Table9[[#This Row],[Shortname]], Comp[], 24, FALSE)</f>
        <v>0</v>
      </c>
      <c r="AB112">
        <f>VLOOKUP(Table9[[#This Row],[Shortname]], Comp[], 25, FALSE)</f>
        <v>0</v>
      </c>
      <c r="AC112">
        <f>VLOOKUP(Table9[[#This Row],[Shortname]], Comp[], 26, FALSE)</f>
        <v>0</v>
      </c>
      <c r="AD112">
        <f>VLOOKUP(Table9[[#This Row],[Shortname]], Comp[], 27, FALSE)</f>
        <v>0</v>
      </c>
      <c r="AE112">
        <f>VLOOKUP(Table9[[#This Row],[Shortname]], Comp[], 28, FALSE)</f>
        <v>0</v>
      </c>
      <c r="AF112">
        <f>VLOOKUP(Table9[[#This Row],[Shortname]], Comp[], 29, FALSE)</f>
        <v>0</v>
      </c>
      <c r="AG112">
        <f>VLOOKUP(Table9[[#This Row],[Shortname]], Comp[], 30, FALSE)</f>
        <v>0</v>
      </c>
      <c r="AH112">
        <f>VLOOKUP(Table9[[#This Row],[Shortname]], Comp[], 31, FALSE)</f>
        <v>0</v>
      </c>
    </row>
    <row r="113" spans="1:34" x14ac:dyDescent="0.3">
      <c r="A113" t="s">
        <v>2989</v>
      </c>
      <c r="B113" t="s">
        <v>3118</v>
      </c>
      <c r="C113" t="s">
        <v>3119</v>
      </c>
      <c r="D113">
        <v>654</v>
      </c>
      <c r="E113">
        <v>600</v>
      </c>
      <c r="F113">
        <v>1E-4</v>
      </c>
      <c r="G113">
        <v>1</v>
      </c>
      <c r="H113" t="s">
        <v>6803</v>
      </c>
      <c r="I113">
        <f>VLOOKUP(Table9[[#This Row],[Shortname]], Comp[], 6, FALSE)</f>
        <v>411</v>
      </c>
      <c r="J113" s="14">
        <f>VLOOKUP(Table9[[#This Row],[Shortname]], Comp[], 7, FALSE)</f>
        <v>84</v>
      </c>
      <c r="K113">
        <f>VLOOKUP(Table9[[#This Row],[Shortname]], Comp[], 8, FALSE)</f>
        <v>0</v>
      </c>
      <c r="L113">
        <f>VLOOKUP(Table9[[#This Row],[Shortname]], Comp[], 9, FALSE)</f>
        <v>0</v>
      </c>
      <c r="M113">
        <f>VLOOKUP(Table9[[#This Row],[Shortname]], Comp[], 10, FALSE)</f>
        <v>0</v>
      </c>
      <c r="N113">
        <f>VLOOKUP(Table9[[#This Row],[Shortname]], Comp[], 11, FALSE)</f>
        <v>0</v>
      </c>
      <c r="O113">
        <f>VLOOKUP(Table9[[#This Row],[Shortname]], Comp[],12, FALSE)</f>
        <v>2</v>
      </c>
      <c r="P113">
        <f>VLOOKUP(Table9[[#This Row],[Shortname]], Comp[], 13, FALSE)</f>
        <v>2</v>
      </c>
      <c r="Q113">
        <f>VLOOKUP(Table9[[#This Row],[Shortname]], Comp[], 14, FALSE)</f>
        <v>0</v>
      </c>
      <c r="R113">
        <f>VLOOKUP(Table9[[#This Row],[Shortname]], Comp[], 15, FALSE)</f>
        <v>12</v>
      </c>
      <c r="S113">
        <f>VLOOKUP(Table9[[#This Row],[Shortname]], Comp[], 16, FALSE)</f>
        <v>0</v>
      </c>
      <c r="T113">
        <f>VLOOKUP(Table9[[#This Row],[Shortname]], Comp[], 17, FALSE)</f>
        <v>0</v>
      </c>
      <c r="U113">
        <f>VLOOKUP(Table9[[#This Row],[Shortname]], Comp[], 18, FALSE)</f>
        <v>0</v>
      </c>
      <c r="V113">
        <f>VLOOKUP(Table9[[#This Row],[Shortname]], Comp[], 19, FALSE)</f>
        <v>0</v>
      </c>
      <c r="W113">
        <f>VLOOKUP(Table9[[#This Row],[Shortname]], Comp[], 20, FALSE)</f>
        <v>0</v>
      </c>
      <c r="X113">
        <f>VLOOKUP(Table9[[#This Row],[Shortname]], Comp[], 21, FALSE)</f>
        <v>0</v>
      </c>
      <c r="Y113">
        <f>VLOOKUP(Table9[[#This Row],[Shortname]], Comp[], 22, FALSE)</f>
        <v>0</v>
      </c>
      <c r="Z113">
        <f>VLOOKUP(Table9[[#This Row],[Shortname]], Comp[], 23, FALSE)</f>
        <v>0</v>
      </c>
      <c r="AA113">
        <f>VLOOKUP(Table9[[#This Row],[Shortname]], Comp[], 24, FALSE)</f>
        <v>0</v>
      </c>
      <c r="AB113">
        <f>VLOOKUP(Table9[[#This Row],[Shortname]], Comp[], 25, FALSE)</f>
        <v>0</v>
      </c>
      <c r="AC113">
        <f>VLOOKUP(Table9[[#This Row],[Shortname]], Comp[], 26, FALSE)</f>
        <v>0</v>
      </c>
      <c r="AD113">
        <f>VLOOKUP(Table9[[#This Row],[Shortname]], Comp[], 27, FALSE)</f>
        <v>0</v>
      </c>
      <c r="AE113">
        <f>VLOOKUP(Table9[[#This Row],[Shortname]], Comp[], 28, FALSE)</f>
        <v>0</v>
      </c>
      <c r="AF113">
        <f>VLOOKUP(Table9[[#This Row],[Shortname]], Comp[], 29, FALSE)</f>
        <v>0</v>
      </c>
      <c r="AG113">
        <f>VLOOKUP(Table9[[#This Row],[Shortname]], Comp[], 30, FALSE)</f>
        <v>0</v>
      </c>
      <c r="AH113">
        <f>VLOOKUP(Table9[[#This Row],[Shortname]], Comp[], 31, FALSE)</f>
        <v>0</v>
      </c>
    </row>
    <row r="114" spans="1:34" x14ac:dyDescent="0.3">
      <c r="A114" t="s">
        <v>2989</v>
      </c>
      <c r="B114" t="s">
        <v>3118</v>
      </c>
      <c r="C114" t="s">
        <v>3119</v>
      </c>
      <c r="D114">
        <v>652</v>
      </c>
      <c r="E114">
        <v>700</v>
      </c>
      <c r="F114">
        <v>1E-4</v>
      </c>
      <c r="G114">
        <v>1</v>
      </c>
      <c r="H114" t="s">
        <v>6803</v>
      </c>
      <c r="I114">
        <f>VLOOKUP(Table9[[#This Row],[Shortname]], Comp[], 6, FALSE)</f>
        <v>411</v>
      </c>
      <c r="J114" s="14">
        <f>VLOOKUP(Table9[[#This Row],[Shortname]], Comp[], 7, FALSE)</f>
        <v>84</v>
      </c>
      <c r="K114">
        <f>VLOOKUP(Table9[[#This Row],[Shortname]], Comp[], 8, FALSE)</f>
        <v>0</v>
      </c>
      <c r="L114">
        <f>VLOOKUP(Table9[[#This Row],[Shortname]], Comp[], 9, FALSE)</f>
        <v>0</v>
      </c>
      <c r="M114">
        <f>VLOOKUP(Table9[[#This Row],[Shortname]], Comp[], 10, FALSE)</f>
        <v>0</v>
      </c>
      <c r="N114">
        <f>VLOOKUP(Table9[[#This Row],[Shortname]], Comp[], 11, FALSE)</f>
        <v>0</v>
      </c>
      <c r="O114">
        <f>VLOOKUP(Table9[[#This Row],[Shortname]], Comp[],12, FALSE)</f>
        <v>2</v>
      </c>
      <c r="P114">
        <f>VLOOKUP(Table9[[#This Row],[Shortname]], Comp[], 13, FALSE)</f>
        <v>2</v>
      </c>
      <c r="Q114">
        <f>VLOOKUP(Table9[[#This Row],[Shortname]], Comp[], 14, FALSE)</f>
        <v>0</v>
      </c>
      <c r="R114">
        <f>VLOOKUP(Table9[[#This Row],[Shortname]], Comp[], 15, FALSE)</f>
        <v>12</v>
      </c>
      <c r="S114">
        <f>VLOOKUP(Table9[[#This Row],[Shortname]], Comp[], 16, FALSE)</f>
        <v>0</v>
      </c>
      <c r="T114">
        <f>VLOOKUP(Table9[[#This Row],[Shortname]], Comp[], 17, FALSE)</f>
        <v>0</v>
      </c>
      <c r="U114">
        <f>VLOOKUP(Table9[[#This Row],[Shortname]], Comp[], 18, FALSE)</f>
        <v>0</v>
      </c>
      <c r="V114">
        <f>VLOOKUP(Table9[[#This Row],[Shortname]], Comp[], 19, FALSE)</f>
        <v>0</v>
      </c>
      <c r="W114">
        <f>VLOOKUP(Table9[[#This Row],[Shortname]], Comp[], 20, FALSE)</f>
        <v>0</v>
      </c>
      <c r="X114">
        <f>VLOOKUP(Table9[[#This Row],[Shortname]], Comp[], 21, FALSE)</f>
        <v>0</v>
      </c>
      <c r="Y114">
        <f>VLOOKUP(Table9[[#This Row],[Shortname]], Comp[], 22, FALSE)</f>
        <v>0</v>
      </c>
      <c r="Z114">
        <f>VLOOKUP(Table9[[#This Row],[Shortname]], Comp[], 23, FALSE)</f>
        <v>0</v>
      </c>
      <c r="AA114">
        <f>VLOOKUP(Table9[[#This Row],[Shortname]], Comp[], 24, FALSE)</f>
        <v>0</v>
      </c>
      <c r="AB114">
        <f>VLOOKUP(Table9[[#This Row],[Shortname]], Comp[], 25, FALSE)</f>
        <v>0</v>
      </c>
      <c r="AC114">
        <f>VLOOKUP(Table9[[#This Row],[Shortname]], Comp[], 26, FALSE)</f>
        <v>0</v>
      </c>
      <c r="AD114">
        <f>VLOOKUP(Table9[[#This Row],[Shortname]], Comp[], 27, FALSE)</f>
        <v>0</v>
      </c>
      <c r="AE114">
        <f>VLOOKUP(Table9[[#This Row],[Shortname]], Comp[], 28, FALSE)</f>
        <v>0</v>
      </c>
      <c r="AF114">
        <f>VLOOKUP(Table9[[#This Row],[Shortname]], Comp[], 29, FALSE)</f>
        <v>0</v>
      </c>
      <c r="AG114">
        <f>VLOOKUP(Table9[[#This Row],[Shortname]], Comp[], 30, FALSE)</f>
        <v>0</v>
      </c>
      <c r="AH114">
        <f>VLOOKUP(Table9[[#This Row],[Shortname]], Comp[], 31, FALSE)</f>
        <v>0</v>
      </c>
    </row>
    <row r="115" spans="1:34" x14ac:dyDescent="0.3">
      <c r="A115" t="s">
        <v>1465</v>
      </c>
      <c r="B115" t="s">
        <v>1467</v>
      </c>
      <c r="C115" t="s">
        <v>1459</v>
      </c>
      <c r="D115">
        <v>648</v>
      </c>
      <c r="E115">
        <v>25</v>
      </c>
      <c r="F115">
        <v>1E-4</v>
      </c>
      <c r="G115">
        <v>1</v>
      </c>
      <c r="H115" t="s">
        <v>6813</v>
      </c>
      <c r="I115">
        <f>VLOOKUP(Table9[[#This Row],[Shortname]], Comp[], 6, FALSE)</f>
        <v>187</v>
      </c>
      <c r="J115" s="14">
        <f>VLOOKUP(Table9[[#This Row],[Shortname]], Comp[], 7, FALSE)</f>
        <v>52.8</v>
      </c>
      <c r="K115">
        <f>VLOOKUP(Table9[[#This Row],[Shortname]], Comp[], 8, FALSE)</f>
        <v>30.5</v>
      </c>
      <c r="L115">
        <f>VLOOKUP(Table9[[#This Row],[Shortname]], Comp[], 9, FALSE)</f>
        <v>9.6</v>
      </c>
      <c r="M115">
        <f>VLOOKUP(Table9[[#This Row],[Shortname]], Comp[], 10, FALSE)</f>
        <v>0</v>
      </c>
      <c r="N115">
        <f>VLOOKUP(Table9[[#This Row],[Shortname]], Comp[], 11, FALSE)</f>
        <v>7.1</v>
      </c>
      <c r="O115">
        <f>VLOOKUP(Table9[[#This Row],[Shortname]], Comp[],12, FALSE)</f>
        <v>0</v>
      </c>
      <c r="P115">
        <f>VLOOKUP(Table9[[#This Row],[Shortname]], Comp[], 13, FALSE)</f>
        <v>0</v>
      </c>
      <c r="Q115">
        <f>VLOOKUP(Table9[[#This Row],[Shortname]], Comp[], 14, FALSE)</f>
        <v>0</v>
      </c>
      <c r="R115">
        <f>VLOOKUP(Table9[[#This Row],[Shortname]], Comp[], 15, FALSE)</f>
        <v>0</v>
      </c>
      <c r="S115">
        <f>VLOOKUP(Table9[[#This Row],[Shortname]], Comp[], 16, FALSE)</f>
        <v>0</v>
      </c>
      <c r="T115">
        <f>VLOOKUP(Table9[[#This Row],[Shortname]], Comp[], 17, FALSE)</f>
        <v>0</v>
      </c>
      <c r="U115">
        <f>VLOOKUP(Table9[[#This Row],[Shortname]], Comp[], 18, FALSE)</f>
        <v>0</v>
      </c>
      <c r="V115">
        <f>VLOOKUP(Table9[[#This Row],[Shortname]], Comp[], 19, FALSE)</f>
        <v>0</v>
      </c>
      <c r="W115">
        <f>VLOOKUP(Table9[[#This Row],[Shortname]], Comp[], 20, FALSE)</f>
        <v>0</v>
      </c>
      <c r="X115">
        <f>VLOOKUP(Table9[[#This Row],[Shortname]], Comp[], 21, FALSE)</f>
        <v>0</v>
      </c>
      <c r="Y115">
        <f>VLOOKUP(Table9[[#This Row],[Shortname]], Comp[], 22, FALSE)</f>
        <v>0</v>
      </c>
      <c r="Z115">
        <f>VLOOKUP(Table9[[#This Row],[Shortname]], Comp[], 23, FALSE)</f>
        <v>0</v>
      </c>
      <c r="AA115">
        <f>VLOOKUP(Table9[[#This Row],[Shortname]], Comp[], 24, FALSE)</f>
        <v>0</v>
      </c>
      <c r="AB115">
        <f>VLOOKUP(Table9[[#This Row],[Shortname]], Comp[], 25, FALSE)</f>
        <v>0</v>
      </c>
      <c r="AC115">
        <f>VLOOKUP(Table9[[#This Row],[Shortname]], Comp[], 26, FALSE)</f>
        <v>0</v>
      </c>
      <c r="AD115">
        <f>VLOOKUP(Table9[[#This Row],[Shortname]], Comp[], 27, FALSE)</f>
        <v>0</v>
      </c>
      <c r="AE115">
        <f>VLOOKUP(Table9[[#This Row],[Shortname]], Comp[], 28, FALSE)</f>
        <v>0</v>
      </c>
      <c r="AF115">
        <f>VLOOKUP(Table9[[#This Row],[Shortname]], Comp[], 29, FALSE)</f>
        <v>0</v>
      </c>
      <c r="AG115">
        <f>VLOOKUP(Table9[[#This Row],[Shortname]], Comp[], 30, FALSE)</f>
        <v>0</v>
      </c>
      <c r="AH115">
        <f>VLOOKUP(Table9[[#This Row],[Shortname]], Comp[], 31, FALSE)</f>
        <v>0</v>
      </c>
    </row>
    <row r="116" spans="1:34" x14ac:dyDescent="0.3">
      <c r="A116" t="s">
        <v>2839</v>
      </c>
      <c r="B116" t="s">
        <v>2841</v>
      </c>
      <c r="C116" t="s">
        <v>2842</v>
      </c>
      <c r="D116">
        <v>646</v>
      </c>
      <c r="E116">
        <v>470</v>
      </c>
      <c r="F116">
        <v>1E-3</v>
      </c>
      <c r="G116">
        <v>1</v>
      </c>
      <c r="H116" t="s">
        <v>6803</v>
      </c>
      <c r="I116">
        <f>VLOOKUP(Table9[[#This Row],[Shortname]], Comp[], 6, FALSE)</f>
        <v>384</v>
      </c>
      <c r="J116" s="14">
        <f>VLOOKUP(Table9[[#This Row],[Shortname]], Comp[], 7, FALSE)</f>
        <v>50.400000000000006</v>
      </c>
      <c r="K116">
        <f>VLOOKUP(Table9[[#This Row],[Shortname]], Comp[], 8, FALSE)</f>
        <v>30.4</v>
      </c>
      <c r="L116">
        <f>VLOOKUP(Table9[[#This Row],[Shortname]], Comp[], 9, FALSE)</f>
        <v>9.5</v>
      </c>
      <c r="M116">
        <f>VLOOKUP(Table9[[#This Row],[Shortname]], Comp[], 10, FALSE)</f>
        <v>0</v>
      </c>
      <c r="N116">
        <f>VLOOKUP(Table9[[#This Row],[Shortname]], Comp[], 11, FALSE)</f>
        <v>0</v>
      </c>
      <c r="O116">
        <f>VLOOKUP(Table9[[#This Row],[Shortname]], Comp[],12, FALSE)</f>
        <v>0</v>
      </c>
      <c r="P116">
        <f>VLOOKUP(Table9[[#This Row],[Shortname]], Comp[], 13, FALSE)</f>
        <v>0</v>
      </c>
      <c r="Q116">
        <f>VLOOKUP(Table9[[#This Row],[Shortname]], Comp[], 14, FALSE)</f>
        <v>2.4</v>
      </c>
      <c r="R116">
        <f>VLOOKUP(Table9[[#This Row],[Shortname]], Comp[], 15, FALSE)</f>
        <v>0</v>
      </c>
      <c r="S116">
        <f>VLOOKUP(Table9[[#This Row],[Shortname]], Comp[], 16, FALSE)</f>
        <v>5.3</v>
      </c>
      <c r="T116">
        <f>VLOOKUP(Table9[[#This Row],[Shortname]], Comp[], 17, FALSE)</f>
        <v>0</v>
      </c>
      <c r="U116">
        <f>VLOOKUP(Table9[[#This Row],[Shortname]], Comp[], 18, FALSE)</f>
        <v>0</v>
      </c>
      <c r="V116">
        <f>VLOOKUP(Table9[[#This Row],[Shortname]], Comp[], 19, FALSE)</f>
        <v>0</v>
      </c>
      <c r="W116">
        <f>VLOOKUP(Table9[[#This Row],[Shortname]], Comp[], 20, FALSE)</f>
        <v>0</v>
      </c>
      <c r="X116">
        <f>VLOOKUP(Table9[[#This Row],[Shortname]], Comp[], 21, FALSE)</f>
        <v>2</v>
      </c>
      <c r="Y116">
        <f>VLOOKUP(Table9[[#This Row],[Shortname]], Comp[], 22, FALSE)</f>
        <v>0</v>
      </c>
      <c r="Z116">
        <f>VLOOKUP(Table9[[#This Row],[Shortname]], Comp[], 23, FALSE)</f>
        <v>0</v>
      </c>
      <c r="AA116">
        <f>VLOOKUP(Table9[[#This Row],[Shortname]], Comp[], 24, FALSE)</f>
        <v>0</v>
      </c>
      <c r="AB116">
        <f>VLOOKUP(Table9[[#This Row],[Shortname]], Comp[], 25, FALSE)</f>
        <v>0</v>
      </c>
      <c r="AC116">
        <f>VLOOKUP(Table9[[#This Row],[Shortname]], Comp[], 26, FALSE)</f>
        <v>0</v>
      </c>
      <c r="AD116">
        <f>VLOOKUP(Table9[[#This Row],[Shortname]], Comp[], 27, FALSE)</f>
        <v>0</v>
      </c>
      <c r="AE116">
        <f>VLOOKUP(Table9[[#This Row],[Shortname]], Comp[], 28, FALSE)</f>
        <v>0</v>
      </c>
      <c r="AF116">
        <f>VLOOKUP(Table9[[#This Row],[Shortname]], Comp[], 29, FALSE)</f>
        <v>0</v>
      </c>
      <c r="AG116">
        <f>VLOOKUP(Table9[[#This Row],[Shortname]], Comp[], 30, FALSE)</f>
        <v>0</v>
      </c>
      <c r="AH116">
        <f>VLOOKUP(Table9[[#This Row],[Shortname]], Comp[], 31, FALSE)</f>
        <v>0</v>
      </c>
    </row>
    <row r="117" spans="1:34" x14ac:dyDescent="0.3">
      <c r="A117" t="s">
        <v>5053</v>
      </c>
      <c r="B117" t="s">
        <v>3927</v>
      </c>
      <c r="C117" t="s">
        <v>5054</v>
      </c>
      <c r="D117">
        <v>645.95000000000005</v>
      </c>
      <c r="E117">
        <v>570</v>
      </c>
      <c r="F117">
        <v>1E-3</v>
      </c>
      <c r="G117">
        <v>1</v>
      </c>
      <c r="I117">
        <f>VLOOKUP(Table9[[#This Row],[Shortname]], Comp[], 6, FALSE)</f>
        <v>779</v>
      </c>
      <c r="J117" s="14">
        <f>VLOOKUP(Table9[[#This Row],[Shortname]], Comp[], 7, FALSE)</f>
        <v>53</v>
      </c>
      <c r="K117">
        <f>VLOOKUP(Table9[[#This Row],[Shortname]], Comp[], 8, FALSE)</f>
        <v>30</v>
      </c>
      <c r="L117">
        <f>VLOOKUP(Table9[[#This Row],[Shortname]], Comp[], 9, FALSE)</f>
        <v>10</v>
      </c>
      <c r="M117">
        <f>VLOOKUP(Table9[[#This Row],[Shortname]], Comp[], 10, FALSE)</f>
        <v>0</v>
      </c>
      <c r="N117">
        <f>VLOOKUP(Table9[[#This Row],[Shortname]], Comp[], 11, FALSE)</f>
        <v>0</v>
      </c>
      <c r="O117">
        <f>VLOOKUP(Table9[[#This Row],[Shortname]], Comp[],12, FALSE)</f>
        <v>0</v>
      </c>
      <c r="P117">
        <f>VLOOKUP(Table9[[#This Row],[Shortname]], Comp[], 13, FALSE)</f>
        <v>0</v>
      </c>
      <c r="Q117">
        <f>VLOOKUP(Table9[[#This Row],[Shortname]], Comp[], 14, FALSE)</f>
        <v>2</v>
      </c>
      <c r="R117">
        <f>VLOOKUP(Table9[[#This Row],[Shortname]], Comp[], 15, FALSE)</f>
        <v>0</v>
      </c>
      <c r="S117">
        <f>VLOOKUP(Table9[[#This Row],[Shortname]], Comp[], 16, FALSE)</f>
        <v>5</v>
      </c>
      <c r="T117">
        <f>VLOOKUP(Table9[[#This Row],[Shortname]], Comp[], 17, FALSE)</f>
        <v>0</v>
      </c>
      <c r="U117">
        <f>VLOOKUP(Table9[[#This Row],[Shortname]], Comp[], 18, FALSE)</f>
        <v>0</v>
      </c>
      <c r="V117">
        <f>VLOOKUP(Table9[[#This Row],[Shortname]], Comp[], 19, FALSE)</f>
        <v>0</v>
      </c>
      <c r="W117">
        <f>VLOOKUP(Table9[[#This Row],[Shortname]], Comp[], 20, FALSE)</f>
        <v>0</v>
      </c>
      <c r="X117">
        <f>VLOOKUP(Table9[[#This Row],[Shortname]], Comp[], 21, FALSE)</f>
        <v>0</v>
      </c>
      <c r="Y117">
        <f>VLOOKUP(Table9[[#This Row],[Shortname]], Comp[], 22, FALSE)</f>
        <v>0</v>
      </c>
      <c r="Z117">
        <f>VLOOKUP(Table9[[#This Row],[Shortname]], Comp[], 23, FALSE)</f>
        <v>0</v>
      </c>
      <c r="AA117">
        <f>VLOOKUP(Table9[[#This Row],[Shortname]], Comp[], 24, FALSE)</f>
        <v>0</v>
      </c>
      <c r="AB117">
        <f>VLOOKUP(Table9[[#This Row],[Shortname]], Comp[], 25, FALSE)</f>
        <v>0</v>
      </c>
      <c r="AC117">
        <f>VLOOKUP(Table9[[#This Row],[Shortname]], Comp[], 26, FALSE)</f>
        <v>0</v>
      </c>
      <c r="AD117">
        <f>VLOOKUP(Table9[[#This Row],[Shortname]], Comp[], 27, FALSE)</f>
        <v>0</v>
      </c>
      <c r="AE117">
        <f>VLOOKUP(Table9[[#This Row],[Shortname]], Comp[], 28, FALSE)</f>
        <v>0</v>
      </c>
      <c r="AF117">
        <f>VLOOKUP(Table9[[#This Row],[Shortname]], Comp[], 29, FALSE)</f>
        <v>0</v>
      </c>
      <c r="AG117">
        <f>VLOOKUP(Table9[[#This Row],[Shortname]], Comp[], 30, FALSE)</f>
        <v>0</v>
      </c>
      <c r="AH117">
        <f>VLOOKUP(Table9[[#This Row],[Shortname]], Comp[], 31, FALSE)</f>
        <v>0</v>
      </c>
    </row>
    <row r="118" spans="1:34" x14ac:dyDescent="0.3">
      <c r="A118" t="s">
        <v>513</v>
      </c>
      <c r="B118" t="s">
        <v>6692</v>
      </c>
      <c r="C118" t="s">
        <v>499</v>
      </c>
      <c r="D118">
        <v>642</v>
      </c>
      <c r="E118">
        <v>600</v>
      </c>
      <c r="F118">
        <v>1E-4</v>
      </c>
      <c r="G118">
        <v>1</v>
      </c>
      <c r="I118">
        <f>VLOOKUP(Table9[[#This Row],[Shortname]], Comp[], 6, FALSE)</f>
        <v>67</v>
      </c>
      <c r="J118" s="14">
        <f>VLOOKUP(Table9[[#This Row],[Shortname]], Comp[], 7, FALSE)</f>
        <v>72.5</v>
      </c>
      <c r="K118">
        <f>VLOOKUP(Table9[[#This Row],[Shortname]], Comp[], 8, FALSE)</f>
        <v>10</v>
      </c>
      <c r="L118">
        <f>VLOOKUP(Table9[[#This Row],[Shortname]], Comp[], 9, FALSE)</f>
        <v>4.5</v>
      </c>
      <c r="M118">
        <f>VLOOKUP(Table9[[#This Row],[Shortname]], Comp[], 10, FALSE)</f>
        <v>0</v>
      </c>
      <c r="N118">
        <f>VLOOKUP(Table9[[#This Row],[Shortname]], Comp[], 11, FALSE)</f>
        <v>5.2</v>
      </c>
      <c r="O118">
        <f>VLOOKUP(Table9[[#This Row],[Shortname]], Comp[],12, FALSE)</f>
        <v>7.8</v>
      </c>
      <c r="P118">
        <f>VLOOKUP(Table9[[#This Row],[Shortname]], Comp[], 13, FALSE)</f>
        <v>0</v>
      </c>
      <c r="Q118">
        <f>VLOOKUP(Table9[[#This Row],[Shortname]], Comp[], 14, FALSE)</f>
        <v>0</v>
      </c>
      <c r="R118">
        <f>VLOOKUP(Table9[[#This Row],[Shortname]], Comp[], 15, FALSE)</f>
        <v>0</v>
      </c>
      <c r="S118">
        <f>VLOOKUP(Table9[[#This Row],[Shortname]], Comp[], 16, FALSE)</f>
        <v>0</v>
      </c>
      <c r="T118">
        <f>VLOOKUP(Table9[[#This Row],[Shortname]], Comp[], 17, FALSE)</f>
        <v>0</v>
      </c>
      <c r="U118">
        <f>VLOOKUP(Table9[[#This Row],[Shortname]], Comp[], 18, FALSE)</f>
        <v>0</v>
      </c>
      <c r="V118">
        <f>VLOOKUP(Table9[[#This Row],[Shortname]], Comp[], 19, FALSE)</f>
        <v>0</v>
      </c>
      <c r="W118">
        <f>VLOOKUP(Table9[[#This Row],[Shortname]], Comp[], 20, FALSE)</f>
        <v>0</v>
      </c>
      <c r="X118">
        <f>VLOOKUP(Table9[[#This Row],[Shortname]], Comp[], 21, FALSE)</f>
        <v>0</v>
      </c>
      <c r="Y118">
        <f>VLOOKUP(Table9[[#This Row],[Shortname]], Comp[], 22, FALSE)</f>
        <v>0</v>
      </c>
      <c r="Z118">
        <f>VLOOKUP(Table9[[#This Row],[Shortname]], Comp[], 23, FALSE)</f>
        <v>0</v>
      </c>
      <c r="AA118">
        <f>VLOOKUP(Table9[[#This Row],[Shortname]], Comp[], 24, FALSE)</f>
        <v>0</v>
      </c>
      <c r="AB118">
        <f>VLOOKUP(Table9[[#This Row],[Shortname]], Comp[], 25, FALSE)</f>
        <v>0</v>
      </c>
      <c r="AC118">
        <f>VLOOKUP(Table9[[#This Row],[Shortname]], Comp[], 26, FALSE)</f>
        <v>0</v>
      </c>
      <c r="AD118">
        <f>VLOOKUP(Table9[[#This Row],[Shortname]], Comp[], 27, FALSE)</f>
        <v>0</v>
      </c>
      <c r="AE118">
        <f>VLOOKUP(Table9[[#This Row],[Shortname]], Comp[], 28, FALSE)</f>
        <v>0</v>
      </c>
      <c r="AF118">
        <f>VLOOKUP(Table9[[#This Row],[Shortname]], Comp[], 29, FALSE)</f>
        <v>0</v>
      </c>
      <c r="AG118">
        <f>VLOOKUP(Table9[[#This Row],[Shortname]], Comp[], 30, FALSE)</f>
        <v>0</v>
      </c>
      <c r="AH118">
        <f>VLOOKUP(Table9[[#This Row],[Shortname]], Comp[], 31, FALSE)</f>
        <v>0</v>
      </c>
    </row>
    <row r="119" spans="1:34" x14ac:dyDescent="0.3">
      <c r="A119" t="s">
        <v>2216</v>
      </c>
      <c r="B119" t="s">
        <v>2218</v>
      </c>
      <c r="C119" t="s">
        <v>2211</v>
      </c>
      <c r="D119">
        <v>642</v>
      </c>
      <c r="E119">
        <v>750</v>
      </c>
      <c r="F119">
        <v>1E-4</v>
      </c>
      <c r="G119">
        <v>1</v>
      </c>
      <c r="H119" t="s">
        <v>6803</v>
      </c>
      <c r="I119">
        <f>VLOOKUP(Table9[[#This Row],[Shortname]], Comp[], 6, FALSE)</f>
        <v>292</v>
      </c>
      <c r="J119" s="14">
        <f>VLOOKUP(Table9[[#This Row],[Shortname]], Comp[], 7, FALSE)</f>
        <v>83.6</v>
      </c>
      <c r="K119">
        <f>VLOOKUP(Table9[[#This Row],[Shortname]], Comp[], 8, FALSE)</f>
        <v>0</v>
      </c>
      <c r="L119">
        <f>VLOOKUP(Table9[[#This Row],[Shortname]], Comp[], 9, FALSE)</f>
        <v>0</v>
      </c>
      <c r="M119">
        <f>VLOOKUP(Table9[[#This Row],[Shortname]], Comp[], 10, FALSE)</f>
        <v>0</v>
      </c>
      <c r="N119">
        <f>VLOOKUP(Table9[[#This Row],[Shortname]], Comp[], 11, FALSE)</f>
        <v>0</v>
      </c>
      <c r="O119">
        <f>VLOOKUP(Table9[[#This Row],[Shortname]], Comp[],12, FALSE)</f>
        <v>4.0999999999999996</v>
      </c>
      <c r="P119">
        <f>VLOOKUP(Table9[[#This Row],[Shortname]], Comp[], 13, FALSE)</f>
        <v>0</v>
      </c>
      <c r="Q119">
        <f>VLOOKUP(Table9[[#This Row],[Shortname]], Comp[], 14, FALSE)</f>
        <v>2.2000000000000002</v>
      </c>
      <c r="R119">
        <f>VLOOKUP(Table9[[#This Row],[Shortname]], Comp[], 15, FALSE)</f>
        <v>10.1</v>
      </c>
      <c r="S119">
        <f>VLOOKUP(Table9[[#This Row],[Shortname]], Comp[], 16, FALSE)</f>
        <v>0</v>
      </c>
      <c r="T119">
        <f>VLOOKUP(Table9[[#This Row],[Shortname]], Comp[], 17, FALSE)</f>
        <v>0</v>
      </c>
      <c r="U119">
        <f>VLOOKUP(Table9[[#This Row],[Shortname]], Comp[], 18, FALSE)</f>
        <v>0</v>
      </c>
      <c r="V119">
        <f>VLOOKUP(Table9[[#This Row],[Shortname]], Comp[], 19, FALSE)</f>
        <v>0</v>
      </c>
      <c r="W119">
        <f>VLOOKUP(Table9[[#This Row],[Shortname]], Comp[], 20, FALSE)</f>
        <v>0</v>
      </c>
      <c r="X119">
        <f>VLOOKUP(Table9[[#This Row],[Shortname]], Comp[], 21, FALSE)</f>
        <v>0</v>
      </c>
      <c r="Y119">
        <f>VLOOKUP(Table9[[#This Row],[Shortname]], Comp[], 22, FALSE)</f>
        <v>0</v>
      </c>
      <c r="Z119">
        <f>VLOOKUP(Table9[[#This Row],[Shortname]], Comp[], 23, FALSE)</f>
        <v>0</v>
      </c>
      <c r="AA119">
        <f>VLOOKUP(Table9[[#This Row],[Shortname]], Comp[], 24, FALSE)</f>
        <v>0</v>
      </c>
      <c r="AB119">
        <f>VLOOKUP(Table9[[#This Row],[Shortname]], Comp[], 25, FALSE)</f>
        <v>0</v>
      </c>
      <c r="AC119">
        <f>VLOOKUP(Table9[[#This Row],[Shortname]], Comp[], 26, FALSE)</f>
        <v>0</v>
      </c>
      <c r="AD119">
        <f>VLOOKUP(Table9[[#This Row],[Shortname]], Comp[], 27, FALSE)</f>
        <v>0</v>
      </c>
      <c r="AE119">
        <f>VLOOKUP(Table9[[#This Row],[Shortname]], Comp[], 28, FALSE)</f>
        <v>0</v>
      </c>
      <c r="AF119">
        <f>VLOOKUP(Table9[[#This Row],[Shortname]], Comp[], 29, FALSE)</f>
        <v>0</v>
      </c>
      <c r="AG119">
        <f>VLOOKUP(Table9[[#This Row],[Shortname]], Comp[], 30, FALSE)</f>
        <v>0</v>
      </c>
      <c r="AH119">
        <f>VLOOKUP(Table9[[#This Row],[Shortname]], Comp[], 31, FALSE)</f>
        <v>0</v>
      </c>
    </row>
    <row r="120" spans="1:34" x14ac:dyDescent="0.3">
      <c r="A120" t="s">
        <v>5057</v>
      </c>
      <c r="B120" t="s">
        <v>5059</v>
      </c>
      <c r="C120" t="s">
        <v>5054</v>
      </c>
      <c r="D120">
        <v>641.41999999999996</v>
      </c>
      <c r="E120">
        <v>720</v>
      </c>
      <c r="F120">
        <v>1E-3</v>
      </c>
      <c r="G120">
        <v>1</v>
      </c>
      <c r="I120">
        <f>VLOOKUP(Table9[[#This Row],[Shortname]], Comp[], 6, FALSE)</f>
        <v>780</v>
      </c>
      <c r="J120" s="14">
        <f>VLOOKUP(Table9[[#This Row],[Shortname]], Comp[], 7, FALSE)</f>
        <v>43</v>
      </c>
      <c r="K120">
        <f>VLOOKUP(Table9[[#This Row],[Shortname]], Comp[], 8, FALSE)</f>
        <v>30</v>
      </c>
      <c r="L120">
        <f>VLOOKUP(Table9[[#This Row],[Shortname]], Comp[], 9, FALSE)</f>
        <v>10</v>
      </c>
      <c r="M120">
        <f>VLOOKUP(Table9[[#This Row],[Shortname]], Comp[], 10, FALSE)</f>
        <v>10</v>
      </c>
      <c r="N120">
        <f>VLOOKUP(Table9[[#This Row],[Shortname]], Comp[], 11, FALSE)</f>
        <v>0</v>
      </c>
      <c r="O120">
        <f>VLOOKUP(Table9[[#This Row],[Shortname]], Comp[],12, FALSE)</f>
        <v>0</v>
      </c>
      <c r="P120">
        <f>VLOOKUP(Table9[[#This Row],[Shortname]], Comp[], 13, FALSE)</f>
        <v>0</v>
      </c>
      <c r="Q120">
        <f>VLOOKUP(Table9[[#This Row],[Shortname]], Comp[], 14, FALSE)</f>
        <v>2</v>
      </c>
      <c r="R120">
        <f>VLOOKUP(Table9[[#This Row],[Shortname]], Comp[], 15, FALSE)</f>
        <v>0</v>
      </c>
      <c r="S120">
        <f>VLOOKUP(Table9[[#This Row],[Shortname]], Comp[], 16, FALSE)</f>
        <v>5</v>
      </c>
      <c r="T120">
        <f>VLOOKUP(Table9[[#This Row],[Shortname]], Comp[], 17, FALSE)</f>
        <v>0</v>
      </c>
      <c r="U120">
        <f>VLOOKUP(Table9[[#This Row],[Shortname]], Comp[], 18, FALSE)</f>
        <v>0</v>
      </c>
      <c r="V120">
        <f>VLOOKUP(Table9[[#This Row],[Shortname]], Comp[], 19, FALSE)</f>
        <v>0</v>
      </c>
      <c r="W120">
        <f>VLOOKUP(Table9[[#This Row],[Shortname]], Comp[], 20, FALSE)</f>
        <v>0</v>
      </c>
      <c r="X120">
        <f>VLOOKUP(Table9[[#This Row],[Shortname]], Comp[], 21, FALSE)</f>
        <v>0</v>
      </c>
      <c r="Y120">
        <f>VLOOKUP(Table9[[#This Row],[Shortname]], Comp[], 22, FALSE)</f>
        <v>0</v>
      </c>
      <c r="Z120">
        <f>VLOOKUP(Table9[[#This Row],[Shortname]], Comp[], 23, FALSE)</f>
        <v>0</v>
      </c>
      <c r="AA120">
        <f>VLOOKUP(Table9[[#This Row],[Shortname]], Comp[], 24, FALSE)</f>
        <v>0</v>
      </c>
      <c r="AB120">
        <f>VLOOKUP(Table9[[#This Row],[Shortname]], Comp[], 25, FALSE)</f>
        <v>0</v>
      </c>
      <c r="AC120">
        <f>VLOOKUP(Table9[[#This Row],[Shortname]], Comp[], 26, FALSE)</f>
        <v>0</v>
      </c>
      <c r="AD120">
        <f>VLOOKUP(Table9[[#This Row],[Shortname]], Comp[], 27, FALSE)</f>
        <v>0</v>
      </c>
      <c r="AE120">
        <f>VLOOKUP(Table9[[#This Row],[Shortname]], Comp[], 28, FALSE)</f>
        <v>0</v>
      </c>
      <c r="AF120">
        <f>VLOOKUP(Table9[[#This Row],[Shortname]], Comp[], 29, FALSE)</f>
        <v>0</v>
      </c>
      <c r="AG120">
        <f>VLOOKUP(Table9[[#This Row],[Shortname]], Comp[], 30, FALSE)</f>
        <v>0</v>
      </c>
      <c r="AH120">
        <f>VLOOKUP(Table9[[#This Row],[Shortname]], Comp[], 31, FALSE)</f>
        <v>0</v>
      </c>
    </row>
    <row r="121" spans="1:34" x14ac:dyDescent="0.3">
      <c r="A121" t="s">
        <v>3425</v>
      </c>
      <c r="B121" t="s">
        <v>3425</v>
      </c>
      <c r="C121" t="s">
        <v>3401</v>
      </c>
      <c r="D121">
        <v>633</v>
      </c>
      <c r="E121">
        <v>870</v>
      </c>
      <c r="F121">
        <v>2.0000000000000001E-4</v>
      </c>
      <c r="G121">
        <v>1</v>
      </c>
      <c r="H121" t="s">
        <v>6803</v>
      </c>
      <c r="I121">
        <f>VLOOKUP(Table9[[#This Row],[Shortname]], Comp[], 6, FALSE)</f>
        <v>487</v>
      </c>
      <c r="J121" s="14">
        <f>VLOOKUP(Table9[[#This Row],[Shortname]], Comp[], 7, FALSE)</f>
        <v>80.28</v>
      </c>
      <c r="K121">
        <f>VLOOKUP(Table9[[#This Row],[Shortname]], Comp[], 8, FALSE)</f>
        <v>0</v>
      </c>
      <c r="L121">
        <f>VLOOKUP(Table9[[#This Row],[Shortname]], Comp[], 9, FALSE)</f>
        <v>9.3000000000000007</v>
      </c>
      <c r="M121">
        <f>VLOOKUP(Table9[[#This Row],[Shortname]], Comp[], 10, FALSE)</f>
        <v>0</v>
      </c>
      <c r="N121">
        <f>VLOOKUP(Table9[[#This Row],[Shortname]], Comp[], 11, FALSE)</f>
        <v>10.4</v>
      </c>
      <c r="O121">
        <f>VLOOKUP(Table9[[#This Row],[Shortname]], Comp[],12, FALSE)</f>
        <v>0</v>
      </c>
      <c r="P121">
        <f>VLOOKUP(Table9[[#This Row],[Shortname]], Comp[], 13, FALSE)</f>
        <v>0</v>
      </c>
      <c r="Q121">
        <f>VLOOKUP(Table9[[#This Row],[Shortname]], Comp[], 14, FALSE)</f>
        <v>0</v>
      </c>
      <c r="R121">
        <f>VLOOKUP(Table9[[#This Row],[Shortname]], Comp[], 15, FALSE)</f>
        <v>0</v>
      </c>
      <c r="S121">
        <f>VLOOKUP(Table9[[#This Row],[Shortname]], Comp[], 16, FALSE)</f>
        <v>0</v>
      </c>
      <c r="T121">
        <f>VLOOKUP(Table9[[#This Row],[Shortname]], Comp[], 17, FALSE)</f>
        <v>0</v>
      </c>
      <c r="U121">
        <f>VLOOKUP(Table9[[#This Row],[Shortname]], Comp[], 18, FALSE)</f>
        <v>0</v>
      </c>
      <c r="V121">
        <f>VLOOKUP(Table9[[#This Row],[Shortname]], Comp[], 19, FALSE)</f>
        <v>0.02</v>
      </c>
      <c r="W121">
        <f>VLOOKUP(Table9[[#This Row],[Shortname]], Comp[], 20, FALSE)</f>
        <v>0</v>
      </c>
      <c r="X121">
        <f>VLOOKUP(Table9[[#This Row],[Shortname]], Comp[], 21, FALSE)</f>
        <v>0</v>
      </c>
      <c r="Y121">
        <f>VLOOKUP(Table9[[#This Row],[Shortname]], Comp[], 22, FALSE)</f>
        <v>0</v>
      </c>
      <c r="Z121">
        <f>VLOOKUP(Table9[[#This Row],[Shortname]], Comp[], 23, FALSE)</f>
        <v>0</v>
      </c>
      <c r="AA121">
        <f>VLOOKUP(Table9[[#This Row],[Shortname]], Comp[], 24, FALSE)</f>
        <v>0</v>
      </c>
      <c r="AB121">
        <f>VLOOKUP(Table9[[#This Row],[Shortname]], Comp[], 25, FALSE)</f>
        <v>0</v>
      </c>
      <c r="AC121">
        <f>VLOOKUP(Table9[[#This Row],[Shortname]], Comp[], 26, FALSE)</f>
        <v>0</v>
      </c>
      <c r="AD121">
        <f>VLOOKUP(Table9[[#This Row],[Shortname]], Comp[], 27, FALSE)</f>
        <v>0</v>
      </c>
      <c r="AE121">
        <f>VLOOKUP(Table9[[#This Row],[Shortname]], Comp[], 28, FALSE)</f>
        <v>0</v>
      </c>
      <c r="AF121">
        <f>VLOOKUP(Table9[[#This Row],[Shortname]], Comp[], 29, FALSE)</f>
        <v>0</v>
      </c>
      <c r="AG121">
        <f>VLOOKUP(Table9[[#This Row],[Shortname]], Comp[], 30, FALSE)</f>
        <v>0</v>
      </c>
      <c r="AH121">
        <f>VLOOKUP(Table9[[#This Row],[Shortname]], Comp[], 31, FALSE)</f>
        <v>0</v>
      </c>
    </row>
    <row r="122" spans="1:34" x14ac:dyDescent="0.3">
      <c r="A122" t="s">
        <v>3497</v>
      </c>
      <c r="B122" t="s">
        <v>3498</v>
      </c>
      <c r="C122" t="s">
        <v>3495</v>
      </c>
      <c r="D122">
        <v>633</v>
      </c>
      <c r="E122">
        <v>25</v>
      </c>
      <c r="F122">
        <v>1E-4</v>
      </c>
      <c r="G122">
        <v>1</v>
      </c>
      <c r="H122" t="s">
        <v>6803</v>
      </c>
      <c r="I122">
        <f>VLOOKUP(Table9[[#This Row],[Shortname]], Comp[], 6, FALSE)</f>
        <v>503</v>
      </c>
      <c r="J122" s="14">
        <f>VLOOKUP(Table9[[#This Row],[Shortname]], Comp[], 7, FALSE)</f>
        <v>80</v>
      </c>
      <c r="K122">
        <f>VLOOKUP(Table9[[#This Row],[Shortname]], Comp[], 8, FALSE)</f>
        <v>0</v>
      </c>
      <c r="L122">
        <f>VLOOKUP(Table9[[#This Row],[Shortname]], Comp[], 9, FALSE)</f>
        <v>9</v>
      </c>
      <c r="M122">
        <f>VLOOKUP(Table9[[#This Row],[Shortname]], Comp[], 10, FALSE)</f>
        <v>0</v>
      </c>
      <c r="N122">
        <f>VLOOKUP(Table9[[#This Row],[Shortname]], Comp[], 11, FALSE)</f>
        <v>9</v>
      </c>
      <c r="O122">
        <f>VLOOKUP(Table9[[#This Row],[Shortname]], Comp[],12, FALSE)</f>
        <v>0</v>
      </c>
      <c r="P122">
        <f>VLOOKUP(Table9[[#This Row],[Shortname]], Comp[], 13, FALSE)</f>
        <v>2</v>
      </c>
      <c r="Q122">
        <f>VLOOKUP(Table9[[#This Row],[Shortname]], Comp[], 14, FALSE)</f>
        <v>0</v>
      </c>
      <c r="R122">
        <f>VLOOKUP(Table9[[#This Row],[Shortname]], Comp[], 15, FALSE)</f>
        <v>0</v>
      </c>
      <c r="S122">
        <f>VLOOKUP(Table9[[#This Row],[Shortname]], Comp[], 16, FALSE)</f>
        <v>0</v>
      </c>
      <c r="T122">
        <f>VLOOKUP(Table9[[#This Row],[Shortname]], Comp[], 17, FALSE)</f>
        <v>0</v>
      </c>
      <c r="U122">
        <f>VLOOKUP(Table9[[#This Row],[Shortname]], Comp[], 18, FALSE)</f>
        <v>0</v>
      </c>
      <c r="V122">
        <f>VLOOKUP(Table9[[#This Row],[Shortname]], Comp[], 19, FALSE)</f>
        <v>0</v>
      </c>
      <c r="W122">
        <f>VLOOKUP(Table9[[#This Row],[Shortname]], Comp[], 20, FALSE)</f>
        <v>0</v>
      </c>
      <c r="X122">
        <f>VLOOKUP(Table9[[#This Row],[Shortname]], Comp[], 21, FALSE)</f>
        <v>0</v>
      </c>
      <c r="Y122">
        <f>VLOOKUP(Table9[[#This Row],[Shortname]], Comp[], 22, FALSE)</f>
        <v>0</v>
      </c>
      <c r="Z122">
        <f>VLOOKUP(Table9[[#This Row],[Shortname]], Comp[], 23, FALSE)</f>
        <v>0</v>
      </c>
      <c r="AA122">
        <f>VLOOKUP(Table9[[#This Row],[Shortname]], Comp[], 24, FALSE)</f>
        <v>0</v>
      </c>
      <c r="AB122">
        <f>VLOOKUP(Table9[[#This Row],[Shortname]], Comp[], 25, FALSE)</f>
        <v>0</v>
      </c>
      <c r="AC122">
        <f>VLOOKUP(Table9[[#This Row],[Shortname]], Comp[], 26, FALSE)</f>
        <v>0</v>
      </c>
      <c r="AD122">
        <f>VLOOKUP(Table9[[#This Row],[Shortname]], Comp[], 27, FALSE)</f>
        <v>0</v>
      </c>
      <c r="AE122">
        <f>VLOOKUP(Table9[[#This Row],[Shortname]], Comp[], 28, FALSE)</f>
        <v>0</v>
      </c>
      <c r="AF122">
        <f>VLOOKUP(Table9[[#This Row],[Shortname]], Comp[], 29, FALSE)</f>
        <v>0</v>
      </c>
      <c r="AG122">
        <f>VLOOKUP(Table9[[#This Row],[Shortname]], Comp[], 30, FALSE)</f>
        <v>0</v>
      </c>
      <c r="AH122">
        <f>VLOOKUP(Table9[[#This Row],[Shortname]], Comp[], 31, FALSE)</f>
        <v>0</v>
      </c>
    </row>
    <row r="123" spans="1:34" x14ac:dyDescent="0.3">
      <c r="A123" t="s">
        <v>5053</v>
      </c>
      <c r="B123" t="s">
        <v>3927</v>
      </c>
      <c r="C123" t="s">
        <v>5054</v>
      </c>
      <c r="D123">
        <v>630.1</v>
      </c>
      <c r="E123">
        <v>520</v>
      </c>
      <c r="F123">
        <v>1E-3</v>
      </c>
      <c r="G123">
        <v>1</v>
      </c>
      <c r="I123">
        <f>VLOOKUP(Table9[[#This Row],[Shortname]], Comp[], 6, FALSE)</f>
        <v>779</v>
      </c>
      <c r="J123" s="14">
        <f>VLOOKUP(Table9[[#This Row],[Shortname]], Comp[], 7, FALSE)</f>
        <v>53</v>
      </c>
      <c r="K123">
        <f>VLOOKUP(Table9[[#This Row],[Shortname]], Comp[], 8, FALSE)</f>
        <v>30</v>
      </c>
      <c r="L123">
        <f>VLOOKUP(Table9[[#This Row],[Shortname]], Comp[], 9, FALSE)</f>
        <v>10</v>
      </c>
      <c r="M123">
        <f>VLOOKUP(Table9[[#This Row],[Shortname]], Comp[], 10, FALSE)</f>
        <v>0</v>
      </c>
      <c r="N123">
        <f>VLOOKUP(Table9[[#This Row],[Shortname]], Comp[], 11, FALSE)</f>
        <v>0</v>
      </c>
      <c r="O123">
        <f>VLOOKUP(Table9[[#This Row],[Shortname]], Comp[],12, FALSE)</f>
        <v>0</v>
      </c>
      <c r="P123">
        <f>VLOOKUP(Table9[[#This Row],[Shortname]], Comp[], 13, FALSE)</f>
        <v>0</v>
      </c>
      <c r="Q123">
        <f>VLOOKUP(Table9[[#This Row],[Shortname]], Comp[], 14, FALSE)</f>
        <v>2</v>
      </c>
      <c r="R123">
        <f>VLOOKUP(Table9[[#This Row],[Shortname]], Comp[], 15, FALSE)</f>
        <v>0</v>
      </c>
      <c r="S123">
        <f>VLOOKUP(Table9[[#This Row],[Shortname]], Comp[], 16, FALSE)</f>
        <v>5</v>
      </c>
      <c r="T123">
        <f>VLOOKUP(Table9[[#This Row],[Shortname]], Comp[], 17, FALSE)</f>
        <v>0</v>
      </c>
      <c r="U123">
        <f>VLOOKUP(Table9[[#This Row],[Shortname]], Comp[], 18, FALSE)</f>
        <v>0</v>
      </c>
      <c r="V123">
        <f>VLOOKUP(Table9[[#This Row],[Shortname]], Comp[], 19, FALSE)</f>
        <v>0</v>
      </c>
      <c r="W123">
        <f>VLOOKUP(Table9[[#This Row],[Shortname]], Comp[], 20, FALSE)</f>
        <v>0</v>
      </c>
      <c r="X123">
        <f>VLOOKUP(Table9[[#This Row],[Shortname]], Comp[], 21, FALSE)</f>
        <v>0</v>
      </c>
      <c r="Y123">
        <f>VLOOKUP(Table9[[#This Row],[Shortname]], Comp[], 22, FALSE)</f>
        <v>0</v>
      </c>
      <c r="Z123">
        <f>VLOOKUP(Table9[[#This Row],[Shortname]], Comp[], 23, FALSE)</f>
        <v>0</v>
      </c>
      <c r="AA123">
        <f>VLOOKUP(Table9[[#This Row],[Shortname]], Comp[], 24, FALSE)</f>
        <v>0</v>
      </c>
      <c r="AB123">
        <f>VLOOKUP(Table9[[#This Row],[Shortname]], Comp[], 25, FALSE)</f>
        <v>0</v>
      </c>
      <c r="AC123">
        <f>VLOOKUP(Table9[[#This Row],[Shortname]], Comp[], 26, FALSE)</f>
        <v>0</v>
      </c>
      <c r="AD123">
        <f>VLOOKUP(Table9[[#This Row],[Shortname]], Comp[], 27, FALSE)</f>
        <v>0</v>
      </c>
      <c r="AE123">
        <f>VLOOKUP(Table9[[#This Row],[Shortname]], Comp[], 28, FALSE)</f>
        <v>0</v>
      </c>
      <c r="AF123">
        <f>VLOOKUP(Table9[[#This Row],[Shortname]], Comp[], 29, FALSE)</f>
        <v>0</v>
      </c>
      <c r="AG123">
        <f>VLOOKUP(Table9[[#This Row],[Shortname]], Comp[], 30, FALSE)</f>
        <v>0</v>
      </c>
      <c r="AH123">
        <f>VLOOKUP(Table9[[#This Row],[Shortname]], Comp[], 31, FALSE)</f>
        <v>0</v>
      </c>
    </row>
    <row r="124" spans="1:34" x14ac:dyDescent="0.3">
      <c r="A124" t="s">
        <v>1735</v>
      </c>
      <c r="B124" t="s">
        <v>2354</v>
      </c>
      <c r="C124" t="s">
        <v>3480</v>
      </c>
      <c r="D124">
        <v>629</v>
      </c>
      <c r="E124">
        <v>25</v>
      </c>
      <c r="F124">
        <v>1E-4</v>
      </c>
      <c r="G124">
        <v>1</v>
      </c>
      <c r="H124" t="s">
        <v>6803</v>
      </c>
      <c r="I124">
        <f>VLOOKUP(Table9[[#This Row],[Shortname]], Comp[], 6, FALSE)</f>
        <v>222</v>
      </c>
      <c r="J124" s="14">
        <f>VLOOKUP(Table9[[#This Row],[Shortname]], Comp[], 7, FALSE)</f>
        <v>79.400000000000006</v>
      </c>
      <c r="K124">
        <f>VLOOKUP(Table9[[#This Row],[Shortname]], Comp[], 8, FALSE)</f>
        <v>0</v>
      </c>
      <c r="L124">
        <f>VLOOKUP(Table9[[#This Row],[Shortname]], Comp[], 9, FALSE)</f>
        <v>8.8000000000000007</v>
      </c>
      <c r="M124">
        <f>VLOOKUP(Table9[[#This Row],[Shortname]], Comp[], 10, FALSE)</f>
        <v>0</v>
      </c>
      <c r="N124">
        <f>VLOOKUP(Table9[[#This Row],[Shortname]], Comp[], 11, FALSE)</f>
        <v>9.8000000000000007</v>
      </c>
      <c r="O124">
        <f>VLOOKUP(Table9[[#This Row],[Shortname]], Comp[],12, FALSE)</f>
        <v>0</v>
      </c>
      <c r="P124">
        <f>VLOOKUP(Table9[[#This Row],[Shortname]], Comp[], 13, FALSE)</f>
        <v>2</v>
      </c>
      <c r="Q124">
        <f>VLOOKUP(Table9[[#This Row],[Shortname]], Comp[], 14, FALSE)</f>
        <v>0</v>
      </c>
      <c r="R124">
        <f>VLOOKUP(Table9[[#This Row],[Shortname]], Comp[], 15, FALSE)</f>
        <v>0</v>
      </c>
      <c r="S124">
        <f>VLOOKUP(Table9[[#This Row],[Shortname]], Comp[], 16, FALSE)</f>
        <v>0</v>
      </c>
      <c r="T124">
        <f>VLOOKUP(Table9[[#This Row],[Shortname]], Comp[], 17, FALSE)</f>
        <v>0</v>
      </c>
      <c r="U124">
        <f>VLOOKUP(Table9[[#This Row],[Shortname]], Comp[], 18, FALSE)</f>
        <v>0</v>
      </c>
      <c r="V124">
        <f>VLOOKUP(Table9[[#This Row],[Shortname]], Comp[], 19, FALSE)</f>
        <v>0</v>
      </c>
      <c r="W124">
        <f>VLOOKUP(Table9[[#This Row],[Shortname]], Comp[], 20, FALSE)</f>
        <v>0</v>
      </c>
      <c r="X124">
        <f>VLOOKUP(Table9[[#This Row],[Shortname]], Comp[], 21, FALSE)</f>
        <v>0</v>
      </c>
      <c r="Y124">
        <f>VLOOKUP(Table9[[#This Row],[Shortname]], Comp[], 22, FALSE)</f>
        <v>0</v>
      </c>
      <c r="Z124">
        <f>VLOOKUP(Table9[[#This Row],[Shortname]], Comp[], 23, FALSE)</f>
        <v>0</v>
      </c>
      <c r="AA124">
        <f>VLOOKUP(Table9[[#This Row],[Shortname]], Comp[], 24, FALSE)</f>
        <v>0</v>
      </c>
      <c r="AB124">
        <f>VLOOKUP(Table9[[#This Row],[Shortname]], Comp[], 25, FALSE)</f>
        <v>0</v>
      </c>
      <c r="AC124">
        <f>VLOOKUP(Table9[[#This Row],[Shortname]], Comp[], 26, FALSE)</f>
        <v>0</v>
      </c>
      <c r="AD124">
        <f>VLOOKUP(Table9[[#This Row],[Shortname]], Comp[], 27, FALSE)</f>
        <v>0</v>
      </c>
      <c r="AE124">
        <f>VLOOKUP(Table9[[#This Row],[Shortname]], Comp[], 28, FALSE)</f>
        <v>0</v>
      </c>
      <c r="AF124">
        <f>VLOOKUP(Table9[[#This Row],[Shortname]], Comp[], 29, FALSE)</f>
        <v>0</v>
      </c>
      <c r="AG124">
        <f>VLOOKUP(Table9[[#This Row],[Shortname]], Comp[], 30, FALSE)</f>
        <v>0</v>
      </c>
      <c r="AH124">
        <f>VLOOKUP(Table9[[#This Row],[Shortname]], Comp[], 31, FALSE)</f>
        <v>0</v>
      </c>
    </row>
    <row r="125" spans="1:34" x14ac:dyDescent="0.3">
      <c r="A125" t="s">
        <v>1613</v>
      </c>
      <c r="B125" t="s">
        <v>1615</v>
      </c>
      <c r="C125" t="s">
        <v>1568</v>
      </c>
      <c r="D125">
        <v>626</v>
      </c>
      <c r="E125">
        <v>750</v>
      </c>
      <c r="F125">
        <v>1E-4</v>
      </c>
      <c r="G125">
        <v>1</v>
      </c>
      <c r="H125" t="s">
        <v>6803</v>
      </c>
      <c r="I125">
        <f>VLOOKUP(Table9[[#This Row],[Shortname]], Comp[], 6, FALSE)</f>
        <v>205</v>
      </c>
      <c r="J125" s="14">
        <f>VLOOKUP(Table9[[#This Row],[Shortname]], Comp[], 7, FALSE)</f>
        <v>43.83</v>
      </c>
      <c r="K125">
        <f>VLOOKUP(Table9[[#This Row],[Shortname]], Comp[], 8, FALSE)</f>
        <v>29.69</v>
      </c>
      <c r="L125">
        <f>VLOOKUP(Table9[[#This Row],[Shortname]], Comp[], 9, FALSE)</f>
        <v>9.0500000000000007</v>
      </c>
      <c r="M125">
        <f>VLOOKUP(Table9[[#This Row],[Shortname]], Comp[], 10, FALSE)</f>
        <v>12.43</v>
      </c>
      <c r="N125">
        <f>VLOOKUP(Table9[[#This Row],[Shortname]], Comp[], 11, FALSE)</f>
        <v>1.26</v>
      </c>
      <c r="O125">
        <f>VLOOKUP(Table9[[#This Row],[Shortname]], Comp[],12, FALSE)</f>
        <v>0</v>
      </c>
      <c r="P125">
        <f>VLOOKUP(Table9[[#This Row],[Shortname]], Comp[], 13, FALSE)</f>
        <v>0</v>
      </c>
      <c r="Q125">
        <f>VLOOKUP(Table9[[#This Row],[Shortname]], Comp[], 14, FALSE)</f>
        <v>3.74</v>
      </c>
      <c r="R125">
        <f>VLOOKUP(Table9[[#This Row],[Shortname]], Comp[], 15, FALSE)</f>
        <v>0</v>
      </c>
      <c r="S125">
        <f>VLOOKUP(Table9[[#This Row],[Shortname]], Comp[], 16, FALSE)</f>
        <v>0</v>
      </c>
      <c r="T125">
        <f>VLOOKUP(Table9[[#This Row],[Shortname]], Comp[], 17, FALSE)</f>
        <v>0</v>
      </c>
      <c r="U125">
        <f>VLOOKUP(Table9[[#This Row],[Shortname]], Comp[], 18, FALSE)</f>
        <v>0</v>
      </c>
      <c r="V125">
        <f>VLOOKUP(Table9[[#This Row],[Shortname]], Comp[], 19, FALSE)</f>
        <v>0</v>
      </c>
      <c r="W125">
        <f>VLOOKUP(Table9[[#This Row],[Shortname]], Comp[], 20, FALSE)</f>
        <v>0</v>
      </c>
      <c r="X125">
        <f>VLOOKUP(Table9[[#This Row],[Shortname]], Comp[], 21, FALSE)</f>
        <v>0</v>
      </c>
      <c r="Y125">
        <f>VLOOKUP(Table9[[#This Row],[Shortname]], Comp[], 22, FALSE)</f>
        <v>0</v>
      </c>
      <c r="Z125">
        <f>VLOOKUP(Table9[[#This Row],[Shortname]], Comp[], 23, FALSE)</f>
        <v>0</v>
      </c>
      <c r="AA125">
        <f>VLOOKUP(Table9[[#This Row],[Shortname]], Comp[], 24, FALSE)</f>
        <v>0</v>
      </c>
      <c r="AB125">
        <f>VLOOKUP(Table9[[#This Row],[Shortname]], Comp[], 25, FALSE)</f>
        <v>0</v>
      </c>
      <c r="AC125">
        <f>VLOOKUP(Table9[[#This Row],[Shortname]], Comp[], 26, FALSE)</f>
        <v>0</v>
      </c>
      <c r="AD125">
        <f>VLOOKUP(Table9[[#This Row],[Shortname]], Comp[], 27, FALSE)</f>
        <v>0</v>
      </c>
      <c r="AE125">
        <f>VLOOKUP(Table9[[#This Row],[Shortname]], Comp[], 28, FALSE)</f>
        <v>0</v>
      </c>
      <c r="AF125">
        <f>VLOOKUP(Table9[[#This Row],[Shortname]], Comp[], 29, FALSE)</f>
        <v>0</v>
      </c>
      <c r="AG125">
        <f>VLOOKUP(Table9[[#This Row],[Shortname]], Comp[], 30, FALSE)</f>
        <v>0</v>
      </c>
      <c r="AH125">
        <f>VLOOKUP(Table9[[#This Row],[Shortname]], Comp[], 31, FALSE)</f>
        <v>0</v>
      </c>
    </row>
    <row r="126" spans="1:34" x14ac:dyDescent="0.3">
      <c r="A126" t="s">
        <v>4448</v>
      </c>
      <c r="B126" t="s">
        <v>4450</v>
      </c>
      <c r="C126" t="s">
        <v>4438</v>
      </c>
      <c r="D126">
        <v>626</v>
      </c>
      <c r="E126">
        <v>750</v>
      </c>
      <c r="F126">
        <v>1E-4</v>
      </c>
      <c r="G126">
        <v>1</v>
      </c>
      <c r="H126" t="s">
        <v>6803</v>
      </c>
      <c r="I126">
        <f>VLOOKUP(Table9[[#This Row],[Shortname]], Comp[], 6, FALSE)</f>
        <v>677</v>
      </c>
      <c r="J126" s="14">
        <f>VLOOKUP(Table9[[#This Row],[Shortname]], Comp[], 7, FALSE)</f>
        <v>89</v>
      </c>
      <c r="K126">
        <f>VLOOKUP(Table9[[#This Row],[Shortname]], Comp[], 8, FALSE)</f>
        <v>0</v>
      </c>
      <c r="L126">
        <f>VLOOKUP(Table9[[#This Row],[Shortname]], Comp[], 9, FALSE)</f>
        <v>8</v>
      </c>
      <c r="M126">
        <f>VLOOKUP(Table9[[#This Row],[Shortname]], Comp[], 10, FALSE)</f>
        <v>0</v>
      </c>
      <c r="N126">
        <f>VLOOKUP(Table9[[#This Row],[Shortname]], Comp[], 11, FALSE)</f>
        <v>3</v>
      </c>
      <c r="O126">
        <f>VLOOKUP(Table9[[#This Row],[Shortname]], Comp[],12, FALSE)</f>
        <v>0</v>
      </c>
      <c r="P126">
        <f>VLOOKUP(Table9[[#This Row],[Shortname]], Comp[], 13, FALSE)</f>
        <v>0</v>
      </c>
      <c r="Q126">
        <f>VLOOKUP(Table9[[#This Row],[Shortname]], Comp[], 14, FALSE)</f>
        <v>0</v>
      </c>
      <c r="R126">
        <f>VLOOKUP(Table9[[#This Row],[Shortname]], Comp[], 15, FALSE)</f>
        <v>0</v>
      </c>
      <c r="S126">
        <f>VLOOKUP(Table9[[#This Row],[Shortname]], Comp[], 16, FALSE)</f>
        <v>0</v>
      </c>
      <c r="T126">
        <f>VLOOKUP(Table9[[#This Row],[Shortname]], Comp[], 17, FALSE)</f>
        <v>0</v>
      </c>
      <c r="U126">
        <f>VLOOKUP(Table9[[#This Row],[Shortname]], Comp[], 18, FALSE)</f>
        <v>0</v>
      </c>
      <c r="V126">
        <f>VLOOKUP(Table9[[#This Row],[Shortname]], Comp[], 19, FALSE)</f>
        <v>0</v>
      </c>
      <c r="W126">
        <f>VLOOKUP(Table9[[#This Row],[Shortname]], Comp[], 20, FALSE)</f>
        <v>0</v>
      </c>
      <c r="X126">
        <f>VLOOKUP(Table9[[#This Row],[Shortname]], Comp[], 21, FALSE)</f>
        <v>0</v>
      </c>
      <c r="Y126">
        <f>VLOOKUP(Table9[[#This Row],[Shortname]], Comp[], 22, FALSE)</f>
        <v>0</v>
      </c>
      <c r="Z126">
        <f>VLOOKUP(Table9[[#This Row],[Shortname]], Comp[], 23, FALSE)</f>
        <v>0</v>
      </c>
      <c r="AA126">
        <f>VLOOKUP(Table9[[#This Row],[Shortname]], Comp[], 24, FALSE)</f>
        <v>0</v>
      </c>
      <c r="AB126">
        <f>VLOOKUP(Table9[[#This Row],[Shortname]], Comp[], 25, FALSE)</f>
        <v>0</v>
      </c>
      <c r="AC126">
        <f>VLOOKUP(Table9[[#This Row],[Shortname]], Comp[], 26, FALSE)</f>
        <v>0</v>
      </c>
      <c r="AD126">
        <f>VLOOKUP(Table9[[#This Row],[Shortname]], Comp[], 27, FALSE)</f>
        <v>0</v>
      </c>
      <c r="AE126">
        <f>VLOOKUP(Table9[[#This Row],[Shortname]], Comp[], 28, FALSE)</f>
        <v>0</v>
      </c>
      <c r="AF126">
        <f>VLOOKUP(Table9[[#This Row],[Shortname]], Comp[], 29, FALSE)</f>
        <v>0</v>
      </c>
      <c r="AG126">
        <f>VLOOKUP(Table9[[#This Row],[Shortname]], Comp[], 30, FALSE)</f>
        <v>0</v>
      </c>
      <c r="AH126">
        <f>VLOOKUP(Table9[[#This Row],[Shortname]], Comp[], 31, FALSE)</f>
        <v>0</v>
      </c>
    </row>
    <row r="127" spans="1:34" x14ac:dyDescent="0.3">
      <c r="A127" t="s">
        <v>3433</v>
      </c>
      <c r="B127" t="s">
        <v>6804</v>
      </c>
      <c r="C127" t="s">
        <v>3401</v>
      </c>
      <c r="D127">
        <v>624</v>
      </c>
      <c r="E127">
        <v>800</v>
      </c>
      <c r="F127">
        <v>2.0000000000000001E-4</v>
      </c>
      <c r="G127">
        <v>1</v>
      </c>
      <c r="H127" t="s">
        <v>6803</v>
      </c>
      <c r="I127">
        <f>VLOOKUP(Table9[[#This Row],[Shortname]], Comp[], 6, FALSE)</f>
        <v>489</v>
      </c>
      <c r="J127" s="14">
        <f>VLOOKUP(Table9[[#This Row],[Shortname]], Comp[], 7, FALSE)</f>
        <v>81.28</v>
      </c>
      <c r="K127">
        <f>VLOOKUP(Table9[[#This Row],[Shortname]], Comp[], 8, FALSE)</f>
        <v>0</v>
      </c>
      <c r="L127">
        <f>VLOOKUP(Table9[[#This Row],[Shortname]], Comp[], 9, FALSE)</f>
        <v>9.1999999999999993</v>
      </c>
      <c r="M127">
        <f>VLOOKUP(Table9[[#This Row],[Shortname]], Comp[], 10, FALSE)</f>
        <v>0</v>
      </c>
      <c r="N127">
        <f>VLOOKUP(Table9[[#This Row],[Shortname]], Comp[], 11, FALSE)</f>
        <v>9.5</v>
      </c>
      <c r="O127">
        <f>VLOOKUP(Table9[[#This Row],[Shortname]], Comp[],12, FALSE)</f>
        <v>0</v>
      </c>
      <c r="P127">
        <f>VLOOKUP(Table9[[#This Row],[Shortname]], Comp[], 13, FALSE)</f>
        <v>0</v>
      </c>
      <c r="Q127">
        <f>VLOOKUP(Table9[[#This Row],[Shortname]], Comp[], 14, FALSE)</f>
        <v>0</v>
      </c>
      <c r="R127">
        <f>VLOOKUP(Table9[[#This Row],[Shortname]], Comp[], 15, FALSE)</f>
        <v>0</v>
      </c>
      <c r="S127">
        <f>VLOOKUP(Table9[[#This Row],[Shortname]], Comp[], 16, FALSE)</f>
        <v>0</v>
      </c>
      <c r="T127">
        <f>VLOOKUP(Table9[[#This Row],[Shortname]], Comp[], 17, FALSE)</f>
        <v>0</v>
      </c>
      <c r="U127">
        <f>VLOOKUP(Table9[[#This Row],[Shortname]], Comp[], 18, FALSE)</f>
        <v>0</v>
      </c>
      <c r="V127">
        <f>VLOOKUP(Table9[[#This Row],[Shortname]], Comp[], 19, FALSE)</f>
        <v>0.02</v>
      </c>
      <c r="W127">
        <f>VLOOKUP(Table9[[#This Row],[Shortname]], Comp[], 20, FALSE)</f>
        <v>0</v>
      </c>
      <c r="X127">
        <f>VLOOKUP(Table9[[#This Row],[Shortname]], Comp[], 21, FALSE)</f>
        <v>0</v>
      </c>
      <c r="Y127">
        <f>VLOOKUP(Table9[[#This Row],[Shortname]], Comp[], 22, FALSE)</f>
        <v>0</v>
      </c>
      <c r="Z127">
        <f>VLOOKUP(Table9[[#This Row],[Shortname]], Comp[], 23, FALSE)</f>
        <v>0</v>
      </c>
      <c r="AA127">
        <f>VLOOKUP(Table9[[#This Row],[Shortname]], Comp[], 24, FALSE)</f>
        <v>0</v>
      </c>
      <c r="AB127">
        <f>VLOOKUP(Table9[[#This Row],[Shortname]], Comp[], 25, FALSE)</f>
        <v>0</v>
      </c>
      <c r="AC127">
        <f>VLOOKUP(Table9[[#This Row],[Shortname]], Comp[], 26, FALSE)</f>
        <v>0</v>
      </c>
      <c r="AD127">
        <f>VLOOKUP(Table9[[#This Row],[Shortname]], Comp[], 27, FALSE)</f>
        <v>0</v>
      </c>
      <c r="AE127">
        <f>VLOOKUP(Table9[[#This Row],[Shortname]], Comp[], 28, FALSE)</f>
        <v>0</v>
      </c>
      <c r="AF127">
        <f>VLOOKUP(Table9[[#This Row],[Shortname]], Comp[], 29, FALSE)</f>
        <v>0</v>
      </c>
      <c r="AG127">
        <f>VLOOKUP(Table9[[#This Row],[Shortname]], Comp[], 30, FALSE)</f>
        <v>0</v>
      </c>
      <c r="AH127">
        <f>VLOOKUP(Table9[[#This Row],[Shortname]], Comp[], 31, FALSE)</f>
        <v>0</v>
      </c>
    </row>
    <row r="128" spans="1:34" x14ac:dyDescent="0.3">
      <c r="A128" t="s">
        <v>5057</v>
      </c>
      <c r="B128" t="s">
        <v>5059</v>
      </c>
      <c r="C128" t="s">
        <v>5054</v>
      </c>
      <c r="D128">
        <v>623.29999999999995</v>
      </c>
      <c r="E128">
        <v>620</v>
      </c>
      <c r="F128">
        <v>1E-3</v>
      </c>
      <c r="G128">
        <v>1</v>
      </c>
      <c r="I128">
        <f>VLOOKUP(Table9[[#This Row],[Shortname]], Comp[], 6, FALSE)</f>
        <v>780</v>
      </c>
      <c r="J128" s="14">
        <f>VLOOKUP(Table9[[#This Row],[Shortname]], Comp[], 7, FALSE)</f>
        <v>43</v>
      </c>
      <c r="K128">
        <f>VLOOKUP(Table9[[#This Row],[Shortname]], Comp[], 8, FALSE)</f>
        <v>30</v>
      </c>
      <c r="L128">
        <f>VLOOKUP(Table9[[#This Row],[Shortname]], Comp[], 9, FALSE)</f>
        <v>10</v>
      </c>
      <c r="M128">
        <f>VLOOKUP(Table9[[#This Row],[Shortname]], Comp[], 10, FALSE)</f>
        <v>10</v>
      </c>
      <c r="N128">
        <f>VLOOKUP(Table9[[#This Row],[Shortname]], Comp[], 11, FALSE)</f>
        <v>0</v>
      </c>
      <c r="O128">
        <f>VLOOKUP(Table9[[#This Row],[Shortname]], Comp[],12, FALSE)</f>
        <v>0</v>
      </c>
      <c r="P128">
        <f>VLOOKUP(Table9[[#This Row],[Shortname]], Comp[], 13, FALSE)</f>
        <v>0</v>
      </c>
      <c r="Q128">
        <f>VLOOKUP(Table9[[#This Row],[Shortname]], Comp[], 14, FALSE)</f>
        <v>2</v>
      </c>
      <c r="R128">
        <f>VLOOKUP(Table9[[#This Row],[Shortname]], Comp[], 15, FALSE)</f>
        <v>0</v>
      </c>
      <c r="S128">
        <f>VLOOKUP(Table9[[#This Row],[Shortname]], Comp[], 16, FALSE)</f>
        <v>5</v>
      </c>
      <c r="T128">
        <f>VLOOKUP(Table9[[#This Row],[Shortname]], Comp[], 17, FALSE)</f>
        <v>0</v>
      </c>
      <c r="U128">
        <f>VLOOKUP(Table9[[#This Row],[Shortname]], Comp[], 18, FALSE)</f>
        <v>0</v>
      </c>
      <c r="V128">
        <f>VLOOKUP(Table9[[#This Row],[Shortname]], Comp[], 19, FALSE)</f>
        <v>0</v>
      </c>
      <c r="W128">
        <f>VLOOKUP(Table9[[#This Row],[Shortname]], Comp[], 20, FALSE)</f>
        <v>0</v>
      </c>
      <c r="X128">
        <f>VLOOKUP(Table9[[#This Row],[Shortname]], Comp[], 21, FALSE)</f>
        <v>0</v>
      </c>
      <c r="Y128">
        <f>VLOOKUP(Table9[[#This Row],[Shortname]], Comp[], 22, FALSE)</f>
        <v>0</v>
      </c>
      <c r="Z128">
        <f>VLOOKUP(Table9[[#This Row],[Shortname]], Comp[], 23, FALSE)</f>
        <v>0</v>
      </c>
      <c r="AA128">
        <f>VLOOKUP(Table9[[#This Row],[Shortname]], Comp[], 24, FALSE)</f>
        <v>0</v>
      </c>
      <c r="AB128">
        <f>VLOOKUP(Table9[[#This Row],[Shortname]], Comp[], 25, FALSE)</f>
        <v>0</v>
      </c>
      <c r="AC128">
        <f>VLOOKUP(Table9[[#This Row],[Shortname]], Comp[], 26, FALSE)</f>
        <v>0</v>
      </c>
      <c r="AD128">
        <f>VLOOKUP(Table9[[#This Row],[Shortname]], Comp[], 27, FALSE)</f>
        <v>0</v>
      </c>
      <c r="AE128">
        <f>VLOOKUP(Table9[[#This Row],[Shortname]], Comp[], 28, FALSE)</f>
        <v>0</v>
      </c>
      <c r="AF128">
        <f>VLOOKUP(Table9[[#This Row],[Shortname]], Comp[], 29, FALSE)</f>
        <v>0</v>
      </c>
      <c r="AG128">
        <f>VLOOKUP(Table9[[#This Row],[Shortname]], Comp[], 30, FALSE)</f>
        <v>0</v>
      </c>
      <c r="AH128">
        <f>VLOOKUP(Table9[[#This Row],[Shortname]], Comp[], 31, FALSE)</f>
        <v>0</v>
      </c>
    </row>
    <row r="129" spans="1:34" x14ac:dyDescent="0.3">
      <c r="A129" t="s">
        <v>534</v>
      </c>
      <c r="B129" t="s">
        <v>6695</v>
      </c>
      <c r="C129" t="s">
        <v>499</v>
      </c>
      <c r="D129">
        <v>620</v>
      </c>
      <c r="E129">
        <v>700</v>
      </c>
      <c r="F129">
        <v>1E-4</v>
      </c>
      <c r="G129">
        <v>1</v>
      </c>
      <c r="I129">
        <f>VLOOKUP(Table9[[#This Row],[Shortname]], Comp[], 6, FALSE)</f>
        <v>69</v>
      </c>
      <c r="J129" s="14">
        <f>VLOOKUP(Table9[[#This Row],[Shortname]], Comp[], 7, FALSE)</f>
        <v>72.3</v>
      </c>
      <c r="K129">
        <f>VLOOKUP(Table9[[#This Row],[Shortname]], Comp[], 8, FALSE)</f>
        <v>10.3</v>
      </c>
      <c r="L129">
        <f>VLOOKUP(Table9[[#This Row],[Shortname]], Comp[], 9, FALSE)</f>
        <v>6.3</v>
      </c>
      <c r="M129">
        <f>VLOOKUP(Table9[[#This Row],[Shortname]], Comp[], 10, FALSE)</f>
        <v>0</v>
      </c>
      <c r="N129">
        <f>VLOOKUP(Table9[[#This Row],[Shortname]], Comp[], 11, FALSE)</f>
        <v>7</v>
      </c>
      <c r="O129">
        <f>VLOOKUP(Table9[[#This Row],[Shortname]], Comp[],12, FALSE)</f>
        <v>4.0999999999999996</v>
      </c>
      <c r="P129">
        <f>VLOOKUP(Table9[[#This Row],[Shortname]], Comp[], 13, FALSE)</f>
        <v>0</v>
      </c>
      <c r="Q129">
        <f>VLOOKUP(Table9[[#This Row],[Shortname]], Comp[], 14, FALSE)</f>
        <v>0</v>
      </c>
      <c r="R129">
        <f>VLOOKUP(Table9[[#This Row],[Shortname]], Comp[], 15, FALSE)</f>
        <v>0</v>
      </c>
      <c r="S129">
        <f>VLOOKUP(Table9[[#This Row],[Shortname]], Comp[], 16, FALSE)</f>
        <v>0</v>
      </c>
      <c r="T129">
        <f>VLOOKUP(Table9[[#This Row],[Shortname]], Comp[], 17, FALSE)</f>
        <v>0</v>
      </c>
      <c r="U129">
        <f>VLOOKUP(Table9[[#This Row],[Shortname]], Comp[], 18, FALSE)</f>
        <v>0</v>
      </c>
      <c r="V129">
        <f>VLOOKUP(Table9[[#This Row],[Shortname]], Comp[], 19, FALSE)</f>
        <v>0</v>
      </c>
      <c r="W129">
        <f>VLOOKUP(Table9[[#This Row],[Shortname]], Comp[], 20, FALSE)</f>
        <v>0</v>
      </c>
      <c r="X129">
        <f>VLOOKUP(Table9[[#This Row],[Shortname]], Comp[], 21, FALSE)</f>
        <v>0</v>
      </c>
      <c r="Y129">
        <f>VLOOKUP(Table9[[#This Row],[Shortname]], Comp[], 22, FALSE)</f>
        <v>0</v>
      </c>
      <c r="Z129">
        <f>VLOOKUP(Table9[[#This Row],[Shortname]], Comp[], 23, FALSE)</f>
        <v>0</v>
      </c>
      <c r="AA129">
        <f>VLOOKUP(Table9[[#This Row],[Shortname]], Comp[], 24, FALSE)</f>
        <v>0</v>
      </c>
      <c r="AB129">
        <f>VLOOKUP(Table9[[#This Row],[Shortname]], Comp[], 25, FALSE)</f>
        <v>0</v>
      </c>
      <c r="AC129">
        <f>VLOOKUP(Table9[[#This Row],[Shortname]], Comp[], 26, FALSE)</f>
        <v>0</v>
      </c>
      <c r="AD129">
        <f>VLOOKUP(Table9[[#This Row],[Shortname]], Comp[], 27, FALSE)</f>
        <v>0</v>
      </c>
      <c r="AE129">
        <f>VLOOKUP(Table9[[#This Row],[Shortname]], Comp[], 28, FALSE)</f>
        <v>0</v>
      </c>
      <c r="AF129">
        <f>VLOOKUP(Table9[[#This Row],[Shortname]], Comp[], 29, FALSE)</f>
        <v>0</v>
      </c>
      <c r="AG129">
        <f>VLOOKUP(Table9[[#This Row],[Shortname]], Comp[], 30, FALSE)</f>
        <v>0</v>
      </c>
      <c r="AH129">
        <f>VLOOKUP(Table9[[#This Row],[Shortname]], Comp[], 31, FALSE)</f>
        <v>0</v>
      </c>
    </row>
    <row r="130" spans="1:34" x14ac:dyDescent="0.3">
      <c r="A130" t="s">
        <v>1456</v>
      </c>
      <c r="B130" t="s">
        <v>1458</v>
      </c>
      <c r="C130" t="s">
        <v>1459</v>
      </c>
      <c r="D130">
        <v>620</v>
      </c>
      <c r="E130">
        <v>900</v>
      </c>
      <c r="F130">
        <v>1E-4</v>
      </c>
      <c r="G130">
        <v>1</v>
      </c>
      <c r="H130" t="s">
        <v>6813</v>
      </c>
      <c r="I130">
        <f>VLOOKUP(Table9[[#This Row],[Shortname]], Comp[], 6, FALSE)</f>
        <v>186</v>
      </c>
      <c r="J130" s="14">
        <f>VLOOKUP(Table9[[#This Row],[Shortname]], Comp[], 7, FALSE)</f>
        <v>47.5</v>
      </c>
      <c r="K130">
        <f>VLOOKUP(Table9[[#This Row],[Shortname]], Comp[], 8, FALSE)</f>
        <v>31.2</v>
      </c>
      <c r="L130">
        <f>VLOOKUP(Table9[[#This Row],[Shortname]], Comp[], 9, FALSE)</f>
        <v>9.5</v>
      </c>
      <c r="M130">
        <f>VLOOKUP(Table9[[#This Row],[Shortname]], Comp[], 10, FALSE)</f>
        <v>0</v>
      </c>
      <c r="N130">
        <f>VLOOKUP(Table9[[#This Row],[Shortname]], Comp[], 11, FALSE)</f>
        <v>7.2</v>
      </c>
      <c r="O130">
        <f>VLOOKUP(Table9[[#This Row],[Shortname]], Comp[],12, FALSE)</f>
        <v>2.8</v>
      </c>
      <c r="P130">
        <f>VLOOKUP(Table9[[#This Row],[Shortname]], Comp[], 13, FALSE)</f>
        <v>1.8</v>
      </c>
      <c r="Q130">
        <f>VLOOKUP(Table9[[#This Row],[Shortname]], Comp[], 14, FALSE)</f>
        <v>0</v>
      </c>
      <c r="R130">
        <f>VLOOKUP(Table9[[#This Row],[Shortname]], Comp[], 15, FALSE)</f>
        <v>0</v>
      </c>
      <c r="S130">
        <f>VLOOKUP(Table9[[#This Row],[Shortname]], Comp[], 16, FALSE)</f>
        <v>0</v>
      </c>
      <c r="T130">
        <f>VLOOKUP(Table9[[#This Row],[Shortname]], Comp[], 17, FALSE)</f>
        <v>0</v>
      </c>
      <c r="U130">
        <f>VLOOKUP(Table9[[#This Row],[Shortname]], Comp[], 18, FALSE)</f>
        <v>0</v>
      </c>
      <c r="V130">
        <f>VLOOKUP(Table9[[#This Row],[Shortname]], Comp[], 19, FALSE)</f>
        <v>0</v>
      </c>
      <c r="W130">
        <f>VLOOKUP(Table9[[#This Row],[Shortname]], Comp[], 20, FALSE)</f>
        <v>0</v>
      </c>
      <c r="X130">
        <f>VLOOKUP(Table9[[#This Row],[Shortname]], Comp[], 21, FALSE)</f>
        <v>0</v>
      </c>
      <c r="Y130">
        <f>VLOOKUP(Table9[[#This Row],[Shortname]], Comp[], 22, FALSE)</f>
        <v>0</v>
      </c>
      <c r="Z130">
        <f>VLOOKUP(Table9[[#This Row],[Shortname]], Comp[], 23, FALSE)</f>
        <v>0</v>
      </c>
      <c r="AA130">
        <f>VLOOKUP(Table9[[#This Row],[Shortname]], Comp[], 24, FALSE)</f>
        <v>0</v>
      </c>
      <c r="AB130">
        <f>VLOOKUP(Table9[[#This Row],[Shortname]], Comp[], 25, FALSE)</f>
        <v>0</v>
      </c>
      <c r="AC130">
        <f>VLOOKUP(Table9[[#This Row],[Shortname]], Comp[], 26, FALSE)</f>
        <v>0</v>
      </c>
      <c r="AD130">
        <f>VLOOKUP(Table9[[#This Row],[Shortname]], Comp[], 27, FALSE)</f>
        <v>0</v>
      </c>
      <c r="AE130">
        <f>VLOOKUP(Table9[[#This Row],[Shortname]], Comp[], 28, FALSE)</f>
        <v>0</v>
      </c>
      <c r="AF130">
        <f>VLOOKUP(Table9[[#This Row],[Shortname]], Comp[], 29, FALSE)</f>
        <v>0</v>
      </c>
      <c r="AG130">
        <f>VLOOKUP(Table9[[#This Row],[Shortname]], Comp[], 30, FALSE)</f>
        <v>0</v>
      </c>
      <c r="AH130">
        <f>VLOOKUP(Table9[[#This Row],[Shortname]], Comp[], 31, FALSE)</f>
        <v>0</v>
      </c>
    </row>
    <row r="131" spans="1:34" x14ac:dyDescent="0.3">
      <c r="A131" t="s">
        <v>5057</v>
      </c>
      <c r="B131" t="s">
        <v>5059</v>
      </c>
      <c r="C131" t="s">
        <v>5054</v>
      </c>
      <c r="D131">
        <v>618.77</v>
      </c>
      <c r="E131">
        <v>670</v>
      </c>
      <c r="F131">
        <v>1E-3</v>
      </c>
      <c r="G131">
        <v>1</v>
      </c>
      <c r="I131">
        <f>VLOOKUP(Table9[[#This Row],[Shortname]], Comp[], 6, FALSE)</f>
        <v>780</v>
      </c>
      <c r="J131" s="14">
        <f>VLOOKUP(Table9[[#This Row],[Shortname]], Comp[], 7, FALSE)</f>
        <v>43</v>
      </c>
      <c r="K131">
        <f>VLOOKUP(Table9[[#This Row],[Shortname]], Comp[], 8, FALSE)</f>
        <v>30</v>
      </c>
      <c r="L131">
        <f>VLOOKUP(Table9[[#This Row],[Shortname]], Comp[], 9, FALSE)</f>
        <v>10</v>
      </c>
      <c r="M131">
        <f>VLOOKUP(Table9[[#This Row],[Shortname]], Comp[], 10, FALSE)</f>
        <v>10</v>
      </c>
      <c r="N131">
        <f>VLOOKUP(Table9[[#This Row],[Shortname]], Comp[], 11, FALSE)</f>
        <v>0</v>
      </c>
      <c r="O131">
        <f>VLOOKUP(Table9[[#This Row],[Shortname]], Comp[],12, FALSE)</f>
        <v>0</v>
      </c>
      <c r="P131">
        <f>VLOOKUP(Table9[[#This Row],[Shortname]], Comp[], 13, FALSE)</f>
        <v>0</v>
      </c>
      <c r="Q131">
        <f>VLOOKUP(Table9[[#This Row],[Shortname]], Comp[], 14, FALSE)</f>
        <v>2</v>
      </c>
      <c r="R131">
        <f>VLOOKUP(Table9[[#This Row],[Shortname]], Comp[], 15, FALSE)</f>
        <v>0</v>
      </c>
      <c r="S131">
        <f>VLOOKUP(Table9[[#This Row],[Shortname]], Comp[], 16, FALSE)</f>
        <v>5</v>
      </c>
      <c r="T131">
        <f>VLOOKUP(Table9[[#This Row],[Shortname]], Comp[], 17, FALSE)</f>
        <v>0</v>
      </c>
      <c r="U131">
        <f>VLOOKUP(Table9[[#This Row],[Shortname]], Comp[], 18, FALSE)</f>
        <v>0</v>
      </c>
      <c r="V131">
        <f>VLOOKUP(Table9[[#This Row],[Shortname]], Comp[], 19, FALSE)</f>
        <v>0</v>
      </c>
      <c r="W131">
        <f>VLOOKUP(Table9[[#This Row],[Shortname]], Comp[], 20, FALSE)</f>
        <v>0</v>
      </c>
      <c r="X131">
        <f>VLOOKUP(Table9[[#This Row],[Shortname]], Comp[], 21, FALSE)</f>
        <v>0</v>
      </c>
      <c r="Y131">
        <f>VLOOKUP(Table9[[#This Row],[Shortname]], Comp[], 22, FALSE)</f>
        <v>0</v>
      </c>
      <c r="Z131">
        <f>VLOOKUP(Table9[[#This Row],[Shortname]], Comp[], 23, FALSE)</f>
        <v>0</v>
      </c>
      <c r="AA131">
        <f>VLOOKUP(Table9[[#This Row],[Shortname]], Comp[], 24, FALSE)</f>
        <v>0</v>
      </c>
      <c r="AB131">
        <f>VLOOKUP(Table9[[#This Row],[Shortname]], Comp[], 25, FALSE)</f>
        <v>0</v>
      </c>
      <c r="AC131">
        <f>VLOOKUP(Table9[[#This Row],[Shortname]], Comp[], 26, FALSE)</f>
        <v>0</v>
      </c>
      <c r="AD131">
        <f>VLOOKUP(Table9[[#This Row],[Shortname]], Comp[], 27, FALSE)</f>
        <v>0</v>
      </c>
      <c r="AE131">
        <f>VLOOKUP(Table9[[#This Row],[Shortname]], Comp[], 28, FALSE)</f>
        <v>0</v>
      </c>
      <c r="AF131">
        <f>VLOOKUP(Table9[[#This Row],[Shortname]], Comp[], 29, FALSE)</f>
        <v>0</v>
      </c>
      <c r="AG131">
        <f>VLOOKUP(Table9[[#This Row],[Shortname]], Comp[], 30, FALSE)</f>
        <v>0</v>
      </c>
      <c r="AH131">
        <f>VLOOKUP(Table9[[#This Row],[Shortname]], Comp[], 31, FALSE)</f>
        <v>0</v>
      </c>
    </row>
    <row r="132" spans="1:34" x14ac:dyDescent="0.3">
      <c r="A132" t="s">
        <v>4232</v>
      </c>
      <c r="B132" t="s">
        <v>4234</v>
      </c>
      <c r="C132" t="s">
        <v>4235</v>
      </c>
      <c r="D132">
        <v>617</v>
      </c>
      <c r="E132">
        <v>25</v>
      </c>
      <c r="F132">
        <v>1E-4</v>
      </c>
      <c r="G132">
        <v>1</v>
      </c>
      <c r="H132" t="s">
        <v>6803</v>
      </c>
      <c r="I132">
        <f>VLOOKUP(Table9[[#This Row],[Shortname]], Comp[], 6, FALSE)</f>
        <v>644</v>
      </c>
      <c r="J132" s="14">
        <f>VLOOKUP(Table9[[#This Row],[Shortname]], Comp[], 7, FALSE)</f>
        <v>74</v>
      </c>
      <c r="K132">
        <f>VLOOKUP(Table9[[#This Row],[Shortname]], Comp[], 8, FALSE)</f>
        <v>0</v>
      </c>
      <c r="L132">
        <f>VLOOKUP(Table9[[#This Row],[Shortname]], Comp[], 9, FALSE)</f>
        <v>0</v>
      </c>
      <c r="M132">
        <f>VLOOKUP(Table9[[#This Row],[Shortname]], Comp[], 10, FALSE)</f>
        <v>15</v>
      </c>
      <c r="N132">
        <f>VLOOKUP(Table9[[#This Row],[Shortname]], Comp[], 11, FALSE)</f>
        <v>0</v>
      </c>
      <c r="O132">
        <f>VLOOKUP(Table9[[#This Row],[Shortname]], Comp[],12, FALSE)</f>
        <v>11</v>
      </c>
      <c r="P132">
        <f>VLOOKUP(Table9[[#This Row],[Shortname]], Comp[], 13, FALSE)</f>
        <v>0</v>
      </c>
      <c r="Q132">
        <f>VLOOKUP(Table9[[#This Row],[Shortname]], Comp[], 14, FALSE)</f>
        <v>0</v>
      </c>
      <c r="R132">
        <f>VLOOKUP(Table9[[#This Row],[Shortname]], Comp[], 15, FALSE)</f>
        <v>0</v>
      </c>
      <c r="S132">
        <f>VLOOKUP(Table9[[#This Row],[Shortname]], Comp[], 16, FALSE)</f>
        <v>0</v>
      </c>
      <c r="T132">
        <f>VLOOKUP(Table9[[#This Row],[Shortname]], Comp[], 17, FALSE)</f>
        <v>0</v>
      </c>
      <c r="U132">
        <f>VLOOKUP(Table9[[#This Row],[Shortname]], Comp[], 18, FALSE)</f>
        <v>0</v>
      </c>
      <c r="V132">
        <f>VLOOKUP(Table9[[#This Row],[Shortname]], Comp[], 19, FALSE)</f>
        <v>0</v>
      </c>
      <c r="W132">
        <f>VLOOKUP(Table9[[#This Row],[Shortname]], Comp[], 20, FALSE)</f>
        <v>0</v>
      </c>
      <c r="X132">
        <f>VLOOKUP(Table9[[#This Row],[Shortname]], Comp[], 21, FALSE)</f>
        <v>0</v>
      </c>
      <c r="Y132">
        <f>VLOOKUP(Table9[[#This Row],[Shortname]], Comp[], 22, FALSE)</f>
        <v>0</v>
      </c>
      <c r="Z132">
        <f>VLOOKUP(Table9[[#This Row],[Shortname]], Comp[], 23, FALSE)</f>
        <v>0</v>
      </c>
      <c r="AA132">
        <f>VLOOKUP(Table9[[#This Row],[Shortname]], Comp[], 24, FALSE)</f>
        <v>0</v>
      </c>
      <c r="AB132">
        <f>VLOOKUP(Table9[[#This Row],[Shortname]], Comp[], 25, FALSE)</f>
        <v>0</v>
      </c>
      <c r="AC132">
        <f>VLOOKUP(Table9[[#This Row],[Shortname]], Comp[], 26, FALSE)</f>
        <v>0</v>
      </c>
      <c r="AD132">
        <f>VLOOKUP(Table9[[#This Row],[Shortname]], Comp[], 27, FALSE)</f>
        <v>0</v>
      </c>
      <c r="AE132">
        <f>VLOOKUP(Table9[[#This Row],[Shortname]], Comp[], 28, FALSE)</f>
        <v>0</v>
      </c>
      <c r="AF132">
        <f>VLOOKUP(Table9[[#This Row],[Shortname]], Comp[], 29, FALSE)</f>
        <v>0</v>
      </c>
      <c r="AG132">
        <f>VLOOKUP(Table9[[#This Row],[Shortname]], Comp[], 30, FALSE)</f>
        <v>0</v>
      </c>
      <c r="AH132">
        <f>VLOOKUP(Table9[[#This Row],[Shortname]], Comp[], 31, FALSE)</f>
        <v>0</v>
      </c>
    </row>
    <row r="133" spans="1:34" x14ac:dyDescent="0.3">
      <c r="A133" t="s">
        <v>5057</v>
      </c>
      <c r="B133" t="s">
        <v>5059</v>
      </c>
      <c r="C133" t="s">
        <v>5054</v>
      </c>
      <c r="D133">
        <v>616.5</v>
      </c>
      <c r="E133">
        <v>520</v>
      </c>
      <c r="F133">
        <v>1E-3</v>
      </c>
      <c r="G133">
        <v>1</v>
      </c>
      <c r="I133">
        <f>VLOOKUP(Table9[[#This Row],[Shortname]], Comp[], 6, FALSE)</f>
        <v>780</v>
      </c>
      <c r="J133" s="14">
        <f>VLOOKUP(Table9[[#This Row],[Shortname]], Comp[], 7, FALSE)</f>
        <v>43</v>
      </c>
      <c r="K133">
        <f>VLOOKUP(Table9[[#This Row],[Shortname]], Comp[], 8, FALSE)</f>
        <v>30</v>
      </c>
      <c r="L133">
        <f>VLOOKUP(Table9[[#This Row],[Shortname]], Comp[], 9, FALSE)</f>
        <v>10</v>
      </c>
      <c r="M133">
        <f>VLOOKUP(Table9[[#This Row],[Shortname]], Comp[], 10, FALSE)</f>
        <v>10</v>
      </c>
      <c r="N133">
        <f>VLOOKUP(Table9[[#This Row],[Shortname]], Comp[], 11, FALSE)</f>
        <v>0</v>
      </c>
      <c r="O133">
        <f>VLOOKUP(Table9[[#This Row],[Shortname]], Comp[],12, FALSE)</f>
        <v>0</v>
      </c>
      <c r="P133">
        <f>VLOOKUP(Table9[[#This Row],[Shortname]], Comp[], 13, FALSE)</f>
        <v>0</v>
      </c>
      <c r="Q133">
        <f>VLOOKUP(Table9[[#This Row],[Shortname]], Comp[], 14, FALSE)</f>
        <v>2</v>
      </c>
      <c r="R133">
        <f>VLOOKUP(Table9[[#This Row],[Shortname]], Comp[], 15, FALSE)</f>
        <v>0</v>
      </c>
      <c r="S133">
        <f>VLOOKUP(Table9[[#This Row],[Shortname]], Comp[], 16, FALSE)</f>
        <v>5</v>
      </c>
      <c r="T133">
        <f>VLOOKUP(Table9[[#This Row],[Shortname]], Comp[], 17, FALSE)</f>
        <v>0</v>
      </c>
      <c r="U133">
        <f>VLOOKUP(Table9[[#This Row],[Shortname]], Comp[], 18, FALSE)</f>
        <v>0</v>
      </c>
      <c r="V133">
        <f>VLOOKUP(Table9[[#This Row],[Shortname]], Comp[], 19, FALSE)</f>
        <v>0</v>
      </c>
      <c r="W133">
        <f>VLOOKUP(Table9[[#This Row],[Shortname]], Comp[], 20, FALSE)</f>
        <v>0</v>
      </c>
      <c r="X133">
        <f>VLOOKUP(Table9[[#This Row],[Shortname]], Comp[], 21, FALSE)</f>
        <v>0</v>
      </c>
      <c r="Y133">
        <f>VLOOKUP(Table9[[#This Row],[Shortname]], Comp[], 22, FALSE)</f>
        <v>0</v>
      </c>
      <c r="Z133">
        <f>VLOOKUP(Table9[[#This Row],[Shortname]], Comp[], 23, FALSE)</f>
        <v>0</v>
      </c>
      <c r="AA133">
        <f>VLOOKUP(Table9[[#This Row],[Shortname]], Comp[], 24, FALSE)</f>
        <v>0</v>
      </c>
      <c r="AB133">
        <f>VLOOKUP(Table9[[#This Row],[Shortname]], Comp[], 25, FALSE)</f>
        <v>0</v>
      </c>
      <c r="AC133">
        <f>VLOOKUP(Table9[[#This Row],[Shortname]], Comp[], 26, FALSE)</f>
        <v>0</v>
      </c>
      <c r="AD133">
        <f>VLOOKUP(Table9[[#This Row],[Shortname]], Comp[], 27, FALSE)</f>
        <v>0</v>
      </c>
      <c r="AE133">
        <f>VLOOKUP(Table9[[#This Row],[Shortname]], Comp[], 28, FALSE)</f>
        <v>0</v>
      </c>
      <c r="AF133">
        <f>VLOOKUP(Table9[[#This Row],[Shortname]], Comp[], 29, FALSE)</f>
        <v>0</v>
      </c>
      <c r="AG133">
        <f>VLOOKUP(Table9[[#This Row],[Shortname]], Comp[], 30, FALSE)</f>
        <v>0</v>
      </c>
      <c r="AH133">
        <f>VLOOKUP(Table9[[#This Row],[Shortname]], Comp[], 31, FALSE)</f>
        <v>0</v>
      </c>
    </row>
    <row r="134" spans="1:34" x14ac:dyDescent="0.3">
      <c r="A134" t="s">
        <v>5057</v>
      </c>
      <c r="B134" t="s">
        <v>5059</v>
      </c>
      <c r="C134" t="s">
        <v>5054</v>
      </c>
      <c r="D134">
        <v>616.5</v>
      </c>
      <c r="E134">
        <v>570</v>
      </c>
      <c r="F134">
        <v>1E-3</v>
      </c>
      <c r="G134">
        <v>1</v>
      </c>
      <c r="I134">
        <f>VLOOKUP(Table9[[#This Row],[Shortname]], Comp[], 6, FALSE)</f>
        <v>780</v>
      </c>
      <c r="J134" s="14">
        <f>VLOOKUP(Table9[[#This Row],[Shortname]], Comp[], 7, FALSE)</f>
        <v>43</v>
      </c>
      <c r="K134">
        <f>VLOOKUP(Table9[[#This Row],[Shortname]], Comp[], 8, FALSE)</f>
        <v>30</v>
      </c>
      <c r="L134">
        <f>VLOOKUP(Table9[[#This Row],[Shortname]], Comp[], 9, FALSE)</f>
        <v>10</v>
      </c>
      <c r="M134">
        <f>VLOOKUP(Table9[[#This Row],[Shortname]], Comp[], 10, FALSE)</f>
        <v>10</v>
      </c>
      <c r="N134">
        <f>VLOOKUP(Table9[[#This Row],[Shortname]], Comp[], 11, FALSE)</f>
        <v>0</v>
      </c>
      <c r="O134">
        <f>VLOOKUP(Table9[[#This Row],[Shortname]], Comp[],12, FALSE)</f>
        <v>0</v>
      </c>
      <c r="P134">
        <f>VLOOKUP(Table9[[#This Row],[Shortname]], Comp[], 13, FALSE)</f>
        <v>0</v>
      </c>
      <c r="Q134">
        <f>VLOOKUP(Table9[[#This Row],[Shortname]], Comp[], 14, FALSE)</f>
        <v>2</v>
      </c>
      <c r="R134">
        <f>VLOOKUP(Table9[[#This Row],[Shortname]], Comp[], 15, FALSE)</f>
        <v>0</v>
      </c>
      <c r="S134">
        <f>VLOOKUP(Table9[[#This Row],[Shortname]], Comp[], 16, FALSE)</f>
        <v>5</v>
      </c>
      <c r="T134">
        <f>VLOOKUP(Table9[[#This Row],[Shortname]], Comp[], 17, FALSE)</f>
        <v>0</v>
      </c>
      <c r="U134">
        <f>VLOOKUP(Table9[[#This Row],[Shortname]], Comp[], 18, FALSE)</f>
        <v>0</v>
      </c>
      <c r="V134">
        <f>VLOOKUP(Table9[[#This Row],[Shortname]], Comp[], 19, FALSE)</f>
        <v>0</v>
      </c>
      <c r="W134">
        <f>VLOOKUP(Table9[[#This Row],[Shortname]], Comp[], 20, FALSE)</f>
        <v>0</v>
      </c>
      <c r="X134">
        <f>VLOOKUP(Table9[[#This Row],[Shortname]], Comp[], 21, FALSE)</f>
        <v>0</v>
      </c>
      <c r="Y134">
        <f>VLOOKUP(Table9[[#This Row],[Shortname]], Comp[], 22, FALSE)</f>
        <v>0</v>
      </c>
      <c r="Z134">
        <f>VLOOKUP(Table9[[#This Row],[Shortname]], Comp[], 23, FALSE)</f>
        <v>0</v>
      </c>
      <c r="AA134">
        <f>VLOOKUP(Table9[[#This Row],[Shortname]], Comp[], 24, FALSE)</f>
        <v>0</v>
      </c>
      <c r="AB134">
        <f>VLOOKUP(Table9[[#This Row],[Shortname]], Comp[], 25, FALSE)</f>
        <v>0</v>
      </c>
      <c r="AC134">
        <f>VLOOKUP(Table9[[#This Row],[Shortname]], Comp[], 26, FALSE)</f>
        <v>0</v>
      </c>
      <c r="AD134">
        <f>VLOOKUP(Table9[[#This Row],[Shortname]], Comp[], 27, FALSE)</f>
        <v>0</v>
      </c>
      <c r="AE134">
        <f>VLOOKUP(Table9[[#This Row],[Shortname]], Comp[], 28, FALSE)</f>
        <v>0</v>
      </c>
      <c r="AF134">
        <f>VLOOKUP(Table9[[#This Row],[Shortname]], Comp[], 29, FALSE)</f>
        <v>0</v>
      </c>
      <c r="AG134">
        <f>VLOOKUP(Table9[[#This Row],[Shortname]], Comp[], 30, FALSE)</f>
        <v>0</v>
      </c>
      <c r="AH134">
        <f>VLOOKUP(Table9[[#This Row],[Shortname]], Comp[], 31, FALSE)</f>
        <v>0</v>
      </c>
    </row>
    <row r="135" spans="1:34" x14ac:dyDescent="0.3">
      <c r="A135" t="s">
        <v>82</v>
      </c>
      <c r="B135" t="s">
        <v>84</v>
      </c>
      <c r="C135" t="s">
        <v>6816</v>
      </c>
      <c r="D135">
        <v>616</v>
      </c>
      <c r="E135">
        <v>850</v>
      </c>
      <c r="F135">
        <v>1E-3</v>
      </c>
      <c r="G135">
        <v>1</v>
      </c>
      <c r="H135" t="s">
        <v>6807</v>
      </c>
      <c r="I135">
        <f>VLOOKUP(Table9[[#This Row],[Shortname]], Comp[], 6, FALSE)</f>
        <v>8</v>
      </c>
      <c r="J135" s="14">
        <f>VLOOKUP(Table9[[#This Row],[Shortname]], Comp[], 7, FALSE)</f>
        <v>40.210000000000008</v>
      </c>
      <c r="K135">
        <f>VLOOKUP(Table9[[#This Row],[Shortname]], Comp[], 8, FALSE)</f>
        <v>31.14</v>
      </c>
      <c r="L135">
        <f>VLOOKUP(Table9[[#This Row],[Shortname]], Comp[], 9, FALSE)</f>
        <v>10.76</v>
      </c>
      <c r="M135">
        <f>VLOOKUP(Table9[[#This Row],[Shortname]], Comp[], 10, FALSE)</f>
        <v>10.83</v>
      </c>
      <c r="N135">
        <f>VLOOKUP(Table9[[#This Row],[Shortname]], Comp[], 11, FALSE)</f>
        <v>0</v>
      </c>
      <c r="O135">
        <f>VLOOKUP(Table9[[#This Row],[Shortname]], Comp[],12, FALSE)</f>
        <v>0</v>
      </c>
      <c r="P135">
        <f>VLOOKUP(Table9[[#This Row],[Shortname]], Comp[], 13, FALSE)</f>
        <v>2.54</v>
      </c>
      <c r="Q135">
        <f>VLOOKUP(Table9[[#This Row],[Shortname]], Comp[], 14, FALSE)</f>
        <v>0</v>
      </c>
      <c r="R135">
        <f>VLOOKUP(Table9[[#This Row],[Shortname]], Comp[], 15, FALSE)</f>
        <v>0</v>
      </c>
      <c r="S135">
        <f>VLOOKUP(Table9[[#This Row],[Shortname]], Comp[], 16, FALSE)</f>
        <v>4.03</v>
      </c>
      <c r="T135">
        <f>VLOOKUP(Table9[[#This Row],[Shortname]], Comp[], 17, FALSE)</f>
        <v>0.22</v>
      </c>
      <c r="U135">
        <f>VLOOKUP(Table9[[#This Row],[Shortname]], Comp[], 18, FALSE)</f>
        <v>0.05</v>
      </c>
      <c r="V135">
        <f>VLOOKUP(Table9[[#This Row],[Shortname]], Comp[], 19, FALSE)</f>
        <v>0.22</v>
      </c>
      <c r="W135">
        <f>VLOOKUP(Table9[[#This Row],[Shortname]], Comp[], 20, FALSE)</f>
        <v>0</v>
      </c>
      <c r="X135">
        <f>VLOOKUP(Table9[[#This Row],[Shortname]], Comp[], 21, FALSE)</f>
        <v>0</v>
      </c>
      <c r="Y135">
        <f>VLOOKUP(Table9[[#This Row],[Shortname]], Comp[], 22, FALSE)</f>
        <v>0</v>
      </c>
      <c r="Z135">
        <f>VLOOKUP(Table9[[#This Row],[Shortname]], Comp[], 23, FALSE)</f>
        <v>0</v>
      </c>
      <c r="AA135">
        <f>VLOOKUP(Table9[[#This Row],[Shortname]], Comp[], 24, FALSE)</f>
        <v>0</v>
      </c>
      <c r="AB135">
        <f>VLOOKUP(Table9[[#This Row],[Shortname]], Comp[], 25, FALSE)</f>
        <v>0</v>
      </c>
      <c r="AC135">
        <f>VLOOKUP(Table9[[#This Row],[Shortname]], Comp[], 26, FALSE)</f>
        <v>0</v>
      </c>
      <c r="AD135">
        <f>VLOOKUP(Table9[[#This Row],[Shortname]], Comp[], 27, FALSE)</f>
        <v>0</v>
      </c>
      <c r="AE135">
        <f>VLOOKUP(Table9[[#This Row],[Shortname]], Comp[], 28, FALSE)</f>
        <v>0</v>
      </c>
      <c r="AF135">
        <f>VLOOKUP(Table9[[#This Row],[Shortname]], Comp[], 29, FALSE)</f>
        <v>0</v>
      </c>
      <c r="AG135">
        <f>VLOOKUP(Table9[[#This Row],[Shortname]], Comp[], 30, FALSE)</f>
        <v>0</v>
      </c>
      <c r="AH135">
        <f>VLOOKUP(Table9[[#This Row],[Shortname]], Comp[], 31, FALSE)</f>
        <v>0</v>
      </c>
    </row>
    <row r="136" spans="1:34" x14ac:dyDescent="0.3">
      <c r="A136" t="s">
        <v>1446</v>
      </c>
      <c r="B136" t="s">
        <v>1448</v>
      </c>
      <c r="C136" t="s">
        <v>1449</v>
      </c>
      <c r="D136">
        <v>615</v>
      </c>
      <c r="E136">
        <v>800</v>
      </c>
      <c r="F136">
        <v>1E-4</v>
      </c>
      <c r="G136">
        <v>1</v>
      </c>
      <c r="H136" t="s">
        <v>6813</v>
      </c>
      <c r="I136">
        <f>VLOOKUP(Table9[[#This Row],[Shortname]], Comp[], 6, FALSE)</f>
        <v>185</v>
      </c>
      <c r="J136" s="14">
        <f>VLOOKUP(Table9[[#This Row],[Shortname]], Comp[], 7, FALSE)</f>
        <v>48.800000000000004</v>
      </c>
      <c r="K136">
        <f>VLOOKUP(Table9[[#This Row],[Shortname]], Comp[], 8, FALSE)</f>
        <v>30.8</v>
      </c>
      <c r="L136">
        <f>VLOOKUP(Table9[[#This Row],[Shortname]], Comp[], 9, FALSE)</f>
        <v>9.5</v>
      </c>
      <c r="M136">
        <f>VLOOKUP(Table9[[#This Row],[Shortname]], Comp[], 10, FALSE)</f>
        <v>0</v>
      </c>
      <c r="N136">
        <f>VLOOKUP(Table9[[#This Row],[Shortname]], Comp[], 11, FALSE)</f>
        <v>4.4000000000000004</v>
      </c>
      <c r="O136">
        <f>VLOOKUP(Table9[[#This Row],[Shortname]], Comp[],12, FALSE)</f>
        <v>3.8</v>
      </c>
      <c r="P136">
        <f>VLOOKUP(Table9[[#This Row],[Shortname]], Comp[], 13, FALSE)</f>
        <v>2.7</v>
      </c>
      <c r="Q136">
        <f>VLOOKUP(Table9[[#This Row],[Shortname]], Comp[], 14, FALSE)</f>
        <v>0</v>
      </c>
      <c r="R136">
        <f>VLOOKUP(Table9[[#This Row],[Shortname]], Comp[], 15, FALSE)</f>
        <v>0</v>
      </c>
      <c r="S136">
        <f>VLOOKUP(Table9[[#This Row],[Shortname]], Comp[], 16, FALSE)</f>
        <v>0</v>
      </c>
      <c r="T136">
        <f>VLOOKUP(Table9[[#This Row],[Shortname]], Comp[], 17, FALSE)</f>
        <v>0</v>
      </c>
      <c r="U136">
        <f>VLOOKUP(Table9[[#This Row],[Shortname]], Comp[], 18, FALSE)</f>
        <v>0</v>
      </c>
      <c r="V136">
        <f>VLOOKUP(Table9[[#This Row],[Shortname]], Comp[], 19, FALSE)</f>
        <v>0</v>
      </c>
      <c r="W136">
        <f>VLOOKUP(Table9[[#This Row],[Shortname]], Comp[], 20, FALSE)</f>
        <v>0</v>
      </c>
      <c r="X136">
        <f>VLOOKUP(Table9[[#This Row],[Shortname]], Comp[], 21, FALSE)</f>
        <v>0</v>
      </c>
      <c r="Y136">
        <f>VLOOKUP(Table9[[#This Row],[Shortname]], Comp[], 22, FALSE)</f>
        <v>0</v>
      </c>
      <c r="Z136">
        <f>VLOOKUP(Table9[[#This Row],[Shortname]], Comp[], 23, FALSE)</f>
        <v>0</v>
      </c>
      <c r="AA136">
        <f>VLOOKUP(Table9[[#This Row],[Shortname]], Comp[], 24, FALSE)</f>
        <v>0</v>
      </c>
      <c r="AB136">
        <f>VLOOKUP(Table9[[#This Row],[Shortname]], Comp[], 25, FALSE)</f>
        <v>0</v>
      </c>
      <c r="AC136">
        <f>VLOOKUP(Table9[[#This Row],[Shortname]], Comp[], 26, FALSE)</f>
        <v>0</v>
      </c>
      <c r="AD136">
        <f>VLOOKUP(Table9[[#This Row],[Shortname]], Comp[], 27, FALSE)</f>
        <v>0</v>
      </c>
      <c r="AE136">
        <f>VLOOKUP(Table9[[#This Row],[Shortname]], Comp[], 28, FALSE)</f>
        <v>0</v>
      </c>
      <c r="AF136">
        <f>VLOOKUP(Table9[[#This Row],[Shortname]], Comp[], 29, FALSE)</f>
        <v>0</v>
      </c>
      <c r="AG136">
        <f>VLOOKUP(Table9[[#This Row],[Shortname]], Comp[], 30, FALSE)</f>
        <v>0</v>
      </c>
      <c r="AH136">
        <f>VLOOKUP(Table9[[#This Row],[Shortname]], Comp[], 31, FALSE)</f>
        <v>0</v>
      </c>
    </row>
    <row r="137" spans="1:34" x14ac:dyDescent="0.3">
      <c r="A137" t="s">
        <v>5053</v>
      </c>
      <c r="B137" t="s">
        <v>3927</v>
      </c>
      <c r="C137" t="s">
        <v>5054</v>
      </c>
      <c r="D137">
        <v>614.24</v>
      </c>
      <c r="E137">
        <v>620</v>
      </c>
      <c r="F137">
        <v>1E-3</v>
      </c>
      <c r="G137">
        <v>1</v>
      </c>
      <c r="I137">
        <f>VLOOKUP(Table9[[#This Row],[Shortname]], Comp[], 6, FALSE)</f>
        <v>779</v>
      </c>
      <c r="J137" s="14">
        <f>VLOOKUP(Table9[[#This Row],[Shortname]], Comp[], 7, FALSE)</f>
        <v>53</v>
      </c>
      <c r="K137">
        <f>VLOOKUP(Table9[[#This Row],[Shortname]], Comp[], 8, FALSE)</f>
        <v>30</v>
      </c>
      <c r="L137">
        <f>VLOOKUP(Table9[[#This Row],[Shortname]], Comp[], 9, FALSE)</f>
        <v>10</v>
      </c>
      <c r="M137">
        <f>VLOOKUP(Table9[[#This Row],[Shortname]], Comp[], 10, FALSE)</f>
        <v>0</v>
      </c>
      <c r="N137">
        <f>VLOOKUP(Table9[[#This Row],[Shortname]], Comp[], 11, FALSE)</f>
        <v>0</v>
      </c>
      <c r="O137">
        <f>VLOOKUP(Table9[[#This Row],[Shortname]], Comp[],12, FALSE)</f>
        <v>0</v>
      </c>
      <c r="P137">
        <f>VLOOKUP(Table9[[#This Row],[Shortname]], Comp[], 13, FALSE)</f>
        <v>0</v>
      </c>
      <c r="Q137">
        <f>VLOOKUP(Table9[[#This Row],[Shortname]], Comp[], 14, FALSE)</f>
        <v>2</v>
      </c>
      <c r="R137">
        <f>VLOOKUP(Table9[[#This Row],[Shortname]], Comp[], 15, FALSE)</f>
        <v>0</v>
      </c>
      <c r="S137">
        <f>VLOOKUP(Table9[[#This Row],[Shortname]], Comp[], 16, FALSE)</f>
        <v>5</v>
      </c>
      <c r="T137">
        <f>VLOOKUP(Table9[[#This Row],[Shortname]], Comp[], 17, FALSE)</f>
        <v>0</v>
      </c>
      <c r="U137">
        <f>VLOOKUP(Table9[[#This Row],[Shortname]], Comp[], 18, FALSE)</f>
        <v>0</v>
      </c>
      <c r="V137">
        <f>VLOOKUP(Table9[[#This Row],[Shortname]], Comp[], 19, FALSE)</f>
        <v>0</v>
      </c>
      <c r="W137">
        <f>VLOOKUP(Table9[[#This Row],[Shortname]], Comp[], 20, FALSE)</f>
        <v>0</v>
      </c>
      <c r="X137">
        <f>VLOOKUP(Table9[[#This Row],[Shortname]], Comp[], 21, FALSE)</f>
        <v>0</v>
      </c>
      <c r="Y137">
        <f>VLOOKUP(Table9[[#This Row],[Shortname]], Comp[], 22, FALSE)</f>
        <v>0</v>
      </c>
      <c r="Z137">
        <f>VLOOKUP(Table9[[#This Row],[Shortname]], Comp[], 23, FALSE)</f>
        <v>0</v>
      </c>
      <c r="AA137">
        <f>VLOOKUP(Table9[[#This Row],[Shortname]], Comp[], 24, FALSE)</f>
        <v>0</v>
      </c>
      <c r="AB137">
        <f>VLOOKUP(Table9[[#This Row],[Shortname]], Comp[], 25, FALSE)</f>
        <v>0</v>
      </c>
      <c r="AC137">
        <f>VLOOKUP(Table9[[#This Row],[Shortname]], Comp[], 26, FALSE)</f>
        <v>0</v>
      </c>
      <c r="AD137">
        <f>VLOOKUP(Table9[[#This Row],[Shortname]], Comp[], 27, FALSE)</f>
        <v>0</v>
      </c>
      <c r="AE137">
        <f>VLOOKUP(Table9[[#This Row],[Shortname]], Comp[], 28, FALSE)</f>
        <v>0</v>
      </c>
      <c r="AF137">
        <f>VLOOKUP(Table9[[#This Row],[Shortname]], Comp[], 29, FALSE)</f>
        <v>0</v>
      </c>
      <c r="AG137">
        <f>VLOOKUP(Table9[[#This Row],[Shortname]], Comp[], 30, FALSE)</f>
        <v>0</v>
      </c>
      <c r="AH137">
        <f>VLOOKUP(Table9[[#This Row],[Shortname]], Comp[], 31, FALSE)</f>
        <v>0</v>
      </c>
    </row>
    <row r="138" spans="1:34" x14ac:dyDescent="0.3">
      <c r="A138" t="s">
        <v>5053</v>
      </c>
      <c r="B138" t="s">
        <v>3927</v>
      </c>
      <c r="C138" t="s">
        <v>5054</v>
      </c>
      <c r="D138">
        <v>609.71</v>
      </c>
      <c r="E138">
        <v>670</v>
      </c>
      <c r="F138">
        <v>1E-3</v>
      </c>
      <c r="G138">
        <v>1</v>
      </c>
      <c r="I138">
        <f>VLOOKUP(Table9[[#This Row],[Shortname]], Comp[], 6, FALSE)</f>
        <v>779</v>
      </c>
      <c r="J138" s="14">
        <f>VLOOKUP(Table9[[#This Row],[Shortname]], Comp[], 7, FALSE)</f>
        <v>53</v>
      </c>
      <c r="K138">
        <f>VLOOKUP(Table9[[#This Row],[Shortname]], Comp[], 8, FALSE)</f>
        <v>30</v>
      </c>
      <c r="L138">
        <f>VLOOKUP(Table9[[#This Row],[Shortname]], Comp[], 9, FALSE)</f>
        <v>10</v>
      </c>
      <c r="M138">
        <f>VLOOKUP(Table9[[#This Row],[Shortname]], Comp[], 10, FALSE)</f>
        <v>0</v>
      </c>
      <c r="N138">
        <f>VLOOKUP(Table9[[#This Row],[Shortname]], Comp[], 11, FALSE)</f>
        <v>0</v>
      </c>
      <c r="O138">
        <f>VLOOKUP(Table9[[#This Row],[Shortname]], Comp[],12, FALSE)</f>
        <v>0</v>
      </c>
      <c r="P138">
        <f>VLOOKUP(Table9[[#This Row],[Shortname]], Comp[], 13, FALSE)</f>
        <v>0</v>
      </c>
      <c r="Q138">
        <f>VLOOKUP(Table9[[#This Row],[Shortname]], Comp[], 14, FALSE)</f>
        <v>2</v>
      </c>
      <c r="R138">
        <f>VLOOKUP(Table9[[#This Row],[Shortname]], Comp[], 15, FALSE)</f>
        <v>0</v>
      </c>
      <c r="S138">
        <f>VLOOKUP(Table9[[#This Row],[Shortname]], Comp[], 16, FALSE)</f>
        <v>5</v>
      </c>
      <c r="T138">
        <f>VLOOKUP(Table9[[#This Row],[Shortname]], Comp[], 17, FALSE)</f>
        <v>0</v>
      </c>
      <c r="U138">
        <f>VLOOKUP(Table9[[#This Row],[Shortname]], Comp[], 18, FALSE)</f>
        <v>0</v>
      </c>
      <c r="V138">
        <f>VLOOKUP(Table9[[#This Row],[Shortname]], Comp[], 19, FALSE)</f>
        <v>0</v>
      </c>
      <c r="W138">
        <f>VLOOKUP(Table9[[#This Row],[Shortname]], Comp[], 20, FALSE)</f>
        <v>0</v>
      </c>
      <c r="X138">
        <f>VLOOKUP(Table9[[#This Row],[Shortname]], Comp[], 21, FALSE)</f>
        <v>0</v>
      </c>
      <c r="Y138">
        <f>VLOOKUP(Table9[[#This Row],[Shortname]], Comp[], 22, FALSE)</f>
        <v>0</v>
      </c>
      <c r="Z138">
        <f>VLOOKUP(Table9[[#This Row],[Shortname]], Comp[], 23, FALSE)</f>
        <v>0</v>
      </c>
      <c r="AA138">
        <f>VLOOKUP(Table9[[#This Row],[Shortname]], Comp[], 24, FALSE)</f>
        <v>0</v>
      </c>
      <c r="AB138">
        <f>VLOOKUP(Table9[[#This Row],[Shortname]], Comp[], 25, FALSE)</f>
        <v>0</v>
      </c>
      <c r="AC138">
        <f>VLOOKUP(Table9[[#This Row],[Shortname]], Comp[], 26, FALSE)</f>
        <v>0</v>
      </c>
      <c r="AD138">
        <f>VLOOKUP(Table9[[#This Row],[Shortname]], Comp[], 27, FALSE)</f>
        <v>0</v>
      </c>
      <c r="AE138">
        <f>VLOOKUP(Table9[[#This Row],[Shortname]], Comp[], 28, FALSE)</f>
        <v>0</v>
      </c>
      <c r="AF138">
        <f>VLOOKUP(Table9[[#This Row],[Shortname]], Comp[], 29, FALSE)</f>
        <v>0</v>
      </c>
      <c r="AG138">
        <f>VLOOKUP(Table9[[#This Row],[Shortname]], Comp[], 30, FALSE)</f>
        <v>0</v>
      </c>
      <c r="AH138">
        <f>VLOOKUP(Table9[[#This Row],[Shortname]], Comp[], 31, FALSE)</f>
        <v>0</v>
      </c>
    </row>
    <row r="139" spans="1:34" x14ac:dyDescent="0.3">
      <c r="A139" t="s">
        <v>5053</v>
      </c>
      <c r="B139" t="s">
        <v>3927</v>
      </c>
      <c r="C139" t="s">
        <v>5054</v>
      </c>
      <c r="D139">
        <v>609.71</v>
      </c>
      <c r="E139">
        <v>720</v>
      </c>
      <c r="F139">
        <v>1E-3</v>
      </c>
      <c r="G139">
        <v>1</v>
      </c>
      <c r="I139">
        <f>VLOOKUP(Table9[[#This Row],[Shortname]], Comp[], 6, FALSE)</f>
        <v>779</v>
      </c>
      <c r="J139" s="14">
        <f>VLOOKUP(Table9[[#This Row],[Shortname]], Comp[], 7, FALSE)</f>
        <v>53</v>
      </c>
      <c r="K139">
        <f>VLOOKUP(Table9[[#This Row],[Shortname]], Comp[], 8, FALSE)</f>
        <v>30</v>
      </c>
      <c r="L139">
        <f>VLOOKUP(Table9[[#This Row],[Shortname]], Comp[], 9, FALSE)</f>
        <v>10</v>
      </c>
      <c r="M139">
        <f>VLOOKUP(Table9[[#This Row],[Shortname]], Comp[], 10, FALSE)</f>
        <v>0</v>
      </c>
      <c r="N139">
        <f>VLOOKUP(Table9[[#This Row],[Shortname]], Comp[], 11, FALSE)</f>
        <v>0</v>
      </c>
      <c r="O139">
        <f>VLOOKUP(Table9[[#This Row],[Shortname]], Comp[],12, FALSE)</f>
        <v>0</v>
      </c>
      <c r="P139">
        <f>VLOOKUP(Table9[[#This Row],[Shortname]], Comp[], 13, FALSE)</f>
        <v>0</v>
      </c>
      <c r="Q139">
        <f>VLOOKUP(Table9[[#This Row],[Shortname]], Comp[], 14, FALSE)</f>
        <v>2</v>
      </c>
      <c r="R139">
        <f>VLOOKUP(Table9[[#This Row],[Shortname]], Comp[], 15, FALSE)</f>
        <v>0</v>
      </c>
      <c r="S139">
        <f>VLOOKUP(Table9[[#This Row],[Shortname]], Comp[], 16, FALSE)</f>
        <v>5</v>
      </c>
      <c r="T139">
        <f>VLOOKUP(Table9[[#This Row],[Shortname]], Comp[], 17, FALSE)</f>
        <v>0</v>
      </c>
      <c r="U139">
        <f>VLOOKUP(Table9[[#This Row],[Shortname]], Comp[], 18, FALSE)</f>
        <v>0</v>
      </c>
      <c r="V139">
        <f>VLOOKUP(Table9[[#This Row],[Shortname]], Comp[], 19, FALSE)</f>
        <v>0</v>
      </c>
      <c r="W139">
        <f>VLOOKUP(Table9[[#This Row],[Shortname]], Comp[], 20, FALSE)</f>
        <v>0</v>
      </c>
      <c r="X139">
        <f>VLOOKUP(Table9[[#This Row],[Shortname]], Comp[], 21, FALSE)</f>
        <v>0</v>
      </c>
      <c r="Y139">
        <f>VLOOKUP(Table9[[#This Row],[Shortname]], Comp[], 22, FALSE)</f>
        <v>0</v>
      </c>
      <c r="Z139">
        <f>VLOOKUP(Table9[[#This Row],[Shortname]], Comp[], 23, FALSE)</f>
        <v>0</v>
      </c>
      <c r="AA139">
        <f>VLOOKUP(Table9[[#This Row],[Shortname]], Comp[], 24, FALSE)</f>
        <v>0</v>
      </c>
      <c r="AB139">
        <f>VLOOKUP(Table9[[#This Row],[Shortname]], Comp[], 25, FALSE)</f>
        <v>0</v>
      </c>
      <c r="AC139">
        <f>VLOOKUP(Table9[[#This Row],[Shortname]], Comp[], 26, FALSE)</f>
        <v>0</v>
      </c>
      <c r="AD139">
        <f>VLOOKUP(Table9[[#This Row],[Shortname]], Comp[], 27, FALSE)</f>
        <v>0</v>
      </c>
      <c r="AE139">
        <f>VLOOKUP(Table9[[#This Row],[Shortname]], Comp[], 28, FALSE)</f>
        <v>0</v>
      </c>
      <c r="AF139">
        <f>VLOOKUP(Table9[[#This Row],[Shortname]], Comp[], 29, FALSE)</f>
        <v>0</v>
      </c>
      <c r="AG139">
        <f>VLOOKUP(Table9[[#This Row],[Shortname]], Comp[], 30, FALSE)</f>
        <v>0</v>
      </c>
      <c r="AH139">
        <f>VLOOKUP(Table9[[#This Row],[Shortname]], Comp[], 31, FALSE)</f>
        <v>0</v>
      </c>
    </row>
    <row r="140" spans="1:34" x14ac:dyDescent="0.3">
      <c r="A140" t="s">
        <v>525</v>
      </c>
      <c r="B140" t="s">
        <v>6694</v>
      </c>
      <c r="C140" t="s">
        <v>499</v>
      </c>
      <c r="D140">
        <v>608</v>
      </c>
      <c r="E140">
        <v>600</v>
      </c>
      <c r="F140">
        <v>1E-4</v>
      </c>
      <c r="G140">
        <v>1</v>
      </c>
      <c r="I140">
        <f>VLOOKUP(Table9[[#This Row],[Shortname]], Comp[], 6, FALSE)</f>
        <v>68</v>
      </c>
      <c r="J140" s="14">
        <f>VLOOKUP(Table9[[#This Row],[Shortname]], Comp[], 7, FALSE)</f>
        <v>72.400000000000006</v>
      </c>
      <c r="K140">
        <f>VLOOKUP(Table9[[#This Row],[Shortname]], Comp[], 8, FALSE)</f>
        <v>10.199999999999999</v>
      </c>
      <c r="L140">
        <f>VLOOKUP(Table9[[#This Row],[Shortname]], Comp[], 9, FALSE)</f>
        <v>5.4</v>
      </c>
      <c r="M140">
        <f>VLOOKUP(Table9[[#This Row],[Shortname]], Comp[], 10, FALSE)</f>
        <v>0</v>
      </c>
      <c r="N140">
        <f>VLOOKUP(Table9[[#This Row],[Shortname]], Comp[], 11, FALSE)</f>
        <v>6.1</v>
      </c>
      <c r="O140">
        <f>VLOOKUP(Table9[[#This Row],[Shortname]], Comp[],12, FALSE)</f>
        <v>5.9</v>
      </c>
      <c r="P140">
        <f>VLOOKUP(Table9[[#This Row],[Shortname]], Comp[], 13, FALSE)</f>
        <v>0</v>
      </c>
      <c r="Q140">
        <f>VLOOKUP(Table9[[#This Row],[Shortname]], Comp[], 14, FALSE)</f>
        <v>0</v>
      </c>
      <c r="R140">
        <f>VLOOKUP(Table9[[#This Row],[Shortname]], Comp[], 15, FALSE)</f>
        <v>0</v>
      </c>
      <c r="S140">
        <f>VLOOKUP(Table9[[#This Row],[Shortname]], Comp[], 16, FALSE)</f>
        <v>0</v>
      </c>
      <c r="T140">
        <f>VLOOKUP(Table9[[#This Row],[Shortname]], Comp[], 17, FALSE)</f>
        <v>0</v>
      </c>
      <c r="U140">
        <f>VLOOKUP(Table9[[#This Row],[Shortname]], Comp[], 18, FALSE)</f>
        <v>0</v>
      </c>
      <c r="V140">
        <f>VLOOKUP(Table9[[#This Row],[Shortname]], Comp[], 19, FALSE)</f>
        <v>0</v>
      </c>
      <c r="W140">
        <f>VLOOKUP(Table9[[#This Row],[Shortname]], Comp[], 20, FALSE)</f>
        <v>0</v>
      </c>
      <c r="X140">
        <f>VLOOKUP(Table9[[#This Row],[Shortname]], Comp[], 21, FALSE)</f>
        <v>0</v>
      </c>
      <c r="Y140">
        <f>VLOOKUP(Table9[[#This Row],[Shortname]], Comp[], 22, FALSE)</f>
        <v>0</v>
      </c>
      <c r="Z140">
        <f>VLOOKUP(Table9[[#This Row],[Shortname]], Comp[], 23, FALSE)</f>
        <v>0</v>
      </c>
      <c r="AA140">
        <f>VLOOKUP(Table9[[#This Row],[Shortname]], Comp[], 24, FALSE)</f>
        <v>0</v>
      </c>
      <c r="AB140">
        <f>VLOOKUP(Table9[[#This Row],[Shortname]], Comp[], 25, FALSE)</f>
        <v>0</v>
      </c>
      <c r="AC140">
        <f>VLOOKUP(Table9[[#This Row],[Shortname]], Comp[], 26, FALSE)</f>
        <v>0</v>
      </c>
      <c r="AD140">
        <f>VLOOKUP(Table9[[#This Row],[Shortname]], Comp[], 27, FALSE)</f>
        <v>0</v>
      </c>
      <c r="AE140">
        <f>VLOOKUP(Table9[[#This Row],[Shortname]], Comp[], 28, FALSE)</f>
        <v>0</v>
      </c>
      <c r="AF140">
        <f>VLOOKUP(Table9[[#This Row],[Shortname]], Comp[], 29, FALSE)</f>
        <v>0</v>
      </c>
      <c r="AG140">
        <f>VLOOKUP(Table9[[#This Row],[Shortname]], Comp[], 30, FALSE)</f>
        <v>0</v>
      </c>
      <c r="AH140">
        <f>VLOOKUP(Table9[[#This Row],[Shortname]], Comp[], 31, FALSE)</f>
        <v>0</v>
      </c>
    </row>
    <row r="141" spans="1:34" x14ac:dyDescent="0.3">
      <c r="A141" t="s">
        <v>2216</v>
      </c>
      <c r="B141" t="s">
        <v>2218</v>
      </c>
      <c r="C141" t="s">
        <v>2211</v>
      </c>
      <c r="D141">
        <v>608</v>
      </c>
      <c r="E141">
        <v>800</v>
      </c>
      <c r="F141">
        <v>1E-4</v>
      </c>
      <c r="G141">
        <v>1</v>
      </c>
      <c r="H141" t="s">
        <v>6803</v>
      </c>
      <c r="I141">
        <f>VLOOKUP(Table9[[#This Row],[Shortname]], Comp[], 6, FALSE)</f>
        <v>292</v>
      </c>
      <c r="J141" s="14">
        <f>VLOOKUP(Table9[[#This Row],[Shortname]], Comp[], 7, FALSE)</f>
        <v>83.6</v>
      </c>
      <c r="K141">
        <f>VLOOKUP(Table9[[#This Row],[Shortname]], Comp[], 8, FALSE)</f>
        <v>0</v>
      </c>
      <c r="L141">
        <f>VLOOKUP(Table9[[#This Row],[Shortname]], Comp[], 9, FALSE)</f>
        <v>0</v>
      </c>
      <c r="M141">
        <f>VLOOKUP(Table9[[#This Row],[Shortname]], Comp[], 10, FALSE)</f>
        <v>0</v>
      </c>
      <c r="N141">
        <f>VLOOKUP(Table9[[#This Row],[Shortname]], Comp[], 11, FALSE)</f>
        <v>0</v>
      </c>
      <c r="O141">
        <f>VLOOKUP(Table9[[#This Row],[Shortname]], Comp[],12, FALSE)</f>
        <v>4.0999999999999996</v>
      </c>
      <c r="P141">
        <f>VLOOKUP(Table9[[#This Row],[Shortname]], Comp[], 13, FALSE)</f>
        <v>0</v>
      </c>
      <c r="Q141">
        <f>VLOOKUP(Table9[[#This Row],[Shortname]], Comp[], 14, FALSE)</f>
        <v>2.2000000000000002</v>
      </c>
      <c r="R141">
        <f>VLOOKUP(Table9[[#This Row],[Shortname]], Comp[], 15, FALSE)</f>
        <v>10.1</v>
      </c>
      <c r="S141">
        <f>VLOOKUP(Table9[[#This Row],[Shortname]], Comp[], 16, FALSE)</f>
        <v>0</v>
      </c>
      <c r="T141">
        <f>VLOOKUP(Table9[[#This Row],[Shortname]], Comp[], 17, FALSE)</f>
        <v>0</v>
      </c>
      <c r="U141">
        <f>VLOOKUP(Table9[[#This Row],[Shortname]], Comp[], 18, FALSE)</f>
        <v>0</v>
      </c>
      <c r="V141">
        <f>VLOOKUP(Table9[[#This Row],[Shortname]], Comp[], 19, FALSE)</f>
        <v>0</v>
      </c>
      <c r="W141">
        <f>VLOOKUP(Table9[[#This Row],[Shortname]], Comp[], 20, FALSE)</f>
        <v>0</v>
      </c>
      <c r="X141">
        <f>VLOOKUP(Table9[[#This Row],[Shortname]], Comp[], 21, FALSE)</f>
        <v>0</v>
      </c>
      <c r="Y141">
        <f>VLOOKUP(Table9[[#This Row],[Shortname]], Comp[], 22, FALSE)</f>
        <v>0</v>
      </c>
      <c r="Z141">
        <f>VLOOKUP(Table9[[#This Row],[Shortname]], Comp[], 23, FALSE)</f>
        <v>0</v>
      </c>
      <c r="AA141">
        <f>VLOOKUP(Table9[[#This Row],[Shortname]], Comp[], 24, FALSE)</f>
        <v>0</v>
      </c>
      <c r="AB141">
        <f>VLOOKUP(Table9[[#This Row],[Shortname]], Comp[], 25, FALSE)</f>
        <v>0</v>
      </c>
      <c r="AC141">
        <f>VLOOKUP(Table9[[#This Row],[Shortname]], Comp[], 26, FALSE)</f>
        <v>0</v>
      </c>
      <c r="AD141">
        <f>VLOOKUP(Table9[[#This Row],[Shortname]], Comp[], 27, FALSE)</f>
        <v>0</v>
      </c>
      <c r="AE141">
        <f>VLOOKUP(Table9[[#This Row],[Shortname]], Comp[], 28, FALSE)</f>
        <v>0</v>
      </c>
      <c r="AF141">
        <f>VLOOKUP(Table9[[#This Row],[Shortname]], Comp[], 29, FALSE)</f>
        <v>0</v>
      </c>
      <c r="AG141">
        <f>VLOOKUP(Table9[[#This Row],[Shortname]], Comp[], 30, FALSE)</f>
        <v>0</v>
      </c>
      <c r="AH141">
        <f>VLOOKUP(Table9[[#This Row],[Shortname]], Comp[], 31, FALSE)</f>
        <v>0</v>
      </c>
    </row>
    <row r="142" spans="1:34" x14ac:dyDescent="0.3">
      <c r="A142" t="s">
        <v>2996</v>
      </c>
      <c r="B142" t="s">
        <v>2998</v>
      </c>
      <c r="C142" t="s">
        <v>2999</v>
      </c>
      <c r="D142">
        <v>607</v>
      </c>
      <c r="E142">
        <v>25</v>
      </c>
      <c r="F142">
        <v>1E-4</v>
      </c>
      <c r="G142">
        <v>1</v>
      </c>
      <c r="H142" t="s">
        <v>6803</v>
      </c>
      <c r="I142">
        <f>VLOOKUP(Table9[[#This Row],[Shortname]], Comp[], 6, FALSE)</f>
        <v>412</v>
      </c>
      <c r="J142" s="14">
        <f>VLOOKUP(Table9[[#This Row],[Shortname]], Comp[], 7, FALSE)</f>
        <v>49.82</v>
      </c>
      <c r="K142">
        <f>VLOOKUP(Table9[[#This Row],[Shortname]], Comp[], 8, FALSE)</f>
        <v>30.83</v>
      </c>
      <c r="L142">
        <f>VLOOKUP(Table9[[#This Row],[Shortname]], Comp[], 9, FALSE)</f>
        <v>9.16</v>
      </c>
      <c r="M142">
        <f>VLOOKUP(Table9[[#This Row],[Shortname]], Comp[], 10, FALSE)</f>
        <v>0</v>
      </c>
      <c r="N142">
        <f>VLOOKUP(Table9[[#This Row],[Shortname]], Comp[], 11, FALSE)</f>
        <v>5.09</v>
      </c>
      <c r="O142">
        <f>VLOOKUP(Table9[[#This Row],[Shortname]], Comp[],12, FALSE)</f>
        <v>4.0999999999999996</v>
      </c>
      <c r="P142">
        <f>VLOOKUP(Table9[[#This Row],[Shortname]], Comp[], 13, FALSE)</f>
        <v>1</v>
      </c>
      <c r="Q142">
        <f>VLOOKUP(Table9[[#This Row],[Shortname]], Comp[], 14, FALSE)</f>
        <v>0</v>
      </c>
      <c r="R142">
        <f>VLOOKUP(Table9[[#This Row],[Shortname]], Comp[], 15, FALSE)</f>
        <v>0</v>
      </c>
      <c r="S142">
        <f>VLOOKUP(Table9[[#This Row],[Shortname]], Comp[], 16, FALSE)</f>
        <v>0</v>
      </c>
      <c r="T142">
        <f>VLOOKUP(Table9[[#This Row],[Shortname]], Comp[], 17, FALSE)</f>
        <v>0</v>
      </c>
      <c r="U142">
        <f>VLOOKUP(Table9[[#This Row],[Shortname]], Comp[], 18, FALSE)</f>
        <v>0</v>
      </c>
      <c r="V142">
        <f>VLOOKUP(Table9[[#This Row],[Shortname]], Comp[], 19, FALSE)</f>
        <v>0</v>
      </c>
      <c r="W142">
        <f>VLOOKUP(Table9[[#This Row],[Shortname]], Comp[], 20, FALSE)</f>
        <v>0</v>
      </c>
      <c r="X142">
        <f>VLOOKUP(Table9[[#This Row],[Shortname]], Comp[], 21, FALSE)</f>
        <v>0</v>
      </c>
      <c r="Y142">
        <f>VLOOKUP(Table9[[#This Row],[Shortname]], Comp[], 22, FALSE)</f>
        <v>0</v>
      </c>
      <c r="Z142">
        <f>VLOOKUP(Table9[[#This Row],[Shortname]], Comp[], 23, FALSE)</f>
        <v>0</v>
      </c>
      <c r="AA142">
        <f>VLOOKUP(Table9[[#This Row],[Shortname]], Comp[], 24, FALSE)</f>
        <v>0</v>
      </c>
      <c r="AB142">
        <f>VLOOKUP(Table9[[#This Row],[Shortname]], Comp[], 25, FALSE)</f>
        <v>0</v>
      </c>
      <c r="AC142">
        <f>VLOOKUP(Table9[[#This Row],[Shortname]], Comp[], 26, FALSE)</f>
        <v>0</v>
      </c>
      <c r="AD142">
        <f>VLOOKUP(Table9[[#This Row],[Shortname]], Comp[], 27, FALSE)</f>
        <v>0</v>
      </c>
      <c r="AE142">
        <f>VLOOKUP(Table9[[#This Row],[Shortname]], Comp[], 28, FALSE)</f>
        <v>0</v>
      </c>
      <c r="AF142">
        <f>VLOOKUP(Table9[[#This Row],[Shortname]], Comp[], 29, FALSE)</f>
        <v>0</v>
      </c>
      <c r="AG142">
        <f>VLOOKUP(Table9[[#This Row],[Shortname]], Comp[], 30, FALSE)</f>
        <v>0</v>
      </c>
      <c r="AH142">
        <f>VLOOKUP(Table9[[#This Row],[Shortname]], Comp[], 31, FALSE)</f>
        <v>0</v>
      </c>
    </row>
    <row r="143" spans="1:34" x14ac:dyDescent="0.3">
      <c r="A143" t="s">
        <v>3425</v>
      </c>
      <c r="B143" t="s">
        <v>3425</v>
      </c>
      <c r="C143" t="s">
        <v>3401</v>
      </c>
      <c r="D143">
        <v>606</v>
      </c>
      <c r="E143">
        <v>800</v>
      </c>
      <c r="F143">
        <v>2.0000000000000001E-4</v>
      </c>
      <c r="G143">
        <v>1</v>
      </c>
      <c r="H143" t="s">
        <v>6803</v>
      </c>
      <c r="I143">
        <f>VLOOKUP(Table9[[#This Row],[Shortname]], Comp[], 6, FALSE)</f>
        <v>487</v>
      </c>
      <c r="J143" s="14">
        <f>VLOOKUP(Table9[[#This Row],[Shortname]], Comp[], 7, FALSE)</f>
        <v>80.28</v>
      </c>
      <c r="K143">
        <f>VLOOKUP(Table9[[#This Row],[Shortname]], Comp[], 8, FALSE)</f>
        <v>0</v>
      </c>
      <c r="L143">
        <f>VLOOKUP(Table9[[#This Row],[Shortname]], Comp[], 9, FALSE)</f>
        <v>9.3000000000000007</v>
      </c>
      <c r="M143">
        <f>VLOOKUP(Table9[[#This Row],[Shortname]], Comp[], 10, FALSE)</f>
        <v>0</v>
      </c>
      <c r="N143">
        <f>VLOOKUP(Table9[[#This Row],[Shortname]], Comp[], 11, FALSE)</f>
        <v>10.4</v>
      </c>
      <c r="O143">
        <f>VLOOKUP(Table9[[#This Row],[Shortname]], Comp[],12, FALSE)</f>
        <v>0</v>
      </c>
      <c r="P143">
        <f>VLOOKUP(Table9[[#This Row],[Shortname]], Comp[], 13, FALSE)</f>
        <v>0</v>
      </c>
      <c r="Q143">
        <f>VLOOKUP(Table9[[#This Row],[Shortname]], Comp[], 14, FALSE)</f>
        <v>0</v>
      </c>
      <c r="R143">
        <f>VLOOKUP(Table9[[#This Row],[Shortname]], Comp[], 15, FALSE)</f>
        <v>0</v>
      </c>
      <c r="S143">
        <f>VLOOKUP(Table9[[#This Row],[Shortname]], Comp[], 16, FALSE)</f>
        <v>0</v>
      </c>
      <c r="T143">
        <f>VLOOKUP(Table9[[#This Row],[Shortname]], Comp[], 17, FALSE)</f>
        <v>0</v>
      </c>
      <c r="U143">
        <f>VLOOKUP(Table9[[#This Row],[Shortname]], Comp[], 18, FALSE)</f>
        <v>0</v>
      </c>
      <c r="V143">
        <f>VLOOKUP(Table9[[#This Row],[Shortname]], Comp[], 19, FALSE)</f>
        <v>0.02</v>
      </c>
      <c r="W143">
        <f>VLOOKUP(Table9[[#This Row],[Shortname]], Comp[], 20, FALSE)</f>
        <v>0</v>
      </c>
      <c r="X143">
        <f>VLOOKUP(Table9[[#This Row],[Shortname]], Comp[], 21, FALSE)</f>
        <v>0</v>
      </c>
      <c r="Y143">
        <f>VLOOKUP(Table9[[#This Row],[Shortname]], Comp[], 22, FALSE)</f>
        <v>0</v>
      </c>
      <c r="Z143">
        <f>VLOOKUP(Table9[[#This Row],[Shortname]], Comp[], 23, FALSE)</f>
        <v>0</v>
      </c>
      <c r="AA143">
        <f>VLOOKUP(Table9[[#This Row],[Shortname]], Comp[], 24, FALSE)</f>
        <v>0</v>
      </c>
      <c r="AB143">
        <f>VLOOKUP(Table9[[#This Row],[Shortname]], Comp[], 25, FALSE)</f>
        <v>0</v>
      </c>
      <c r="AC143">
        <f>VLOOKUP(Table9[[#This Row],[Shortname]], Comp[], 26, FALSE)</f>
        <v>0</v>
      </c>
      <c r="AD143">
        <f>VLOOKUP(Table9[[#This Row],[Shortname]], Comp[], 27, FALSE)</f>
        <v>0</v>
      </c>
      <c r="AE143">
        <f>VLOOKUP(Table9[[#This Row],[Shortname]], Comp[], 28, FALSE)</f>
        <v>0</v>
      </c>
      <c r="AF143">
        <f>VLOOKUP(Table9[[#This Row],[Shortname]], Comp[], 29, FALSE)</f>
        <v>0</v>
      </c>
      <c r="AG143">
        <f>VLOOKUP(Table9[[#This Row],[Shortname]], Comp[], 30, FALSE)</f>
        <v>0</v>
      </c>
      <c r="AH143">
        <f>VLOOKUP(Table9[[#This Row],[Shortname]], Comp[], 31, FALSE)</f>
        <v>0</v>
      </c>
    </row>
    <row r="144" spans="1:34" x14ac:dyDescent="0.3">
      <c r="A144" t="s">
        <v>3433</v>
      </c>
      <c r="B144" t="s">
        <v>6804</v>
      </c>
      <c r="C144" t="s">
        <v>3401</v>
      </c>
      <c r="D144">
        <v>606</v>
      </c>
      <c r="E144">
        <v>760</v>
      </c>
      <c r="F144">
        <v>2.0000000000000001E-4</v>
      </c>
      <c r="G144">
        <v>1</v>
      </c>
      <c r="H144" t="s">
        <v>6803</v>
      </c>
      <c r="I144">
        <f>VLOOKUP(Table9[[#This Row],[Shortname]], Comp[], 6, FALSE)</f>
        <v>489</v>
      </c>
      <c r="J144" s="14">
        <f>VLOOKUP(Table9[[#This Row],[Shortname]], Comp[], 7, FALSE)</f>
        <v>81.28</v>
      </c>
      <c r="K144">
        <f>VLOOKUP(Table9[[#This Row],[Shortname]], Comp[], 8, FALSE)</f>
        <v>0</v>
      </c>
      <c r="L144">
        <f>VLOOKUP(Table9[[#This Row],[Shortname]], Comp[], 9, FALSE)</f>
        <v>9.1999999999999993</v>
      </c>
      <c r="M144">
        <f>VLOOKUP(Table9[[#This Row],[Shortname]], Comp[], 10, FALSE)</f>
        <v>0</v>
      </c>
      <c r="N144">
        <f>VLOOKUP(Table9[[#This Row],[Shortname]], Comp[], 11, FALSE)</f>
        <v>9.5</v>
      </c>
      <c r="O144">
        <f>VLOOKUP(Table9[[#This Row],[Shortname]], Comp[],12, FALSE)</f>
        <v>0</v>
      </c>
      <c r="P144">
        <f>VLOOKUP(Table9[[#This Row],[Shortname]], Comp[], 13, FALSE)</f>
        <v>0</v>
      </c>
      <c r="Q144">
        <f>VLOOKUP(Table9[[#This Row],[Shortname]], Comp[], 14, FALSE)</f>
        <v>0</v>
      </c>
      <c r="R144">
        <f>VLOOKUP(Table9[[#This Row],[Shortname]], Comp[], 15, FALSE)</f>
        <v>0</v>
      </c>
      <c r="S144">
        <f>VLOOKUP(Table9[[#This Row],[Shortname]], Comp[], 16, FALSE)</f>
        <v>0</v>
      </c>
      <c r="T144">
        <f>VLOOKUP(Table9[[#This Row],[Shortname]], Comp[], 17, FALSE)</f>
        <v>0</v>
      </c>
      <c r="U144">
        <f>VLOOKUP(Table9[[#This Row],[Shortname]], Comp[], 18, FALSE)</f>
        <v>0</v>
      </c>
      <c r="V144">
        <f>VLOOKUP(Table9[[#This Row],[Shortname]], Comp[], 19, FALSE)</f>
        <v>0.02</v>
      </c>
      <c r="W144">
        <f>VLOOKUP(Table9[[#This Row],[Shortname]], Comp[], 20, FALSE)</f>
        <v>0</v>
      </c>
      <c r="X144">
        <f>VLOOKUP(Table9[[#This Row],[Shortname]], Comp[], 21, FALSE)</f>
        <v>0</v>
      </c>
      <c r="Y144">
        <f>VLOOKUP(Table9[[#This Row],[Shortname]], Comp[], 22, FALSE)</f>
        <v>0</v>
      </c>
      <c r="Z144">
        <f>VLOOKUP(Table9[[#This Row],[Shortname]], Comp[], 23, FALSE)</f>
        <v>0</v>
      </c>
      <c r="AA144">
        <f>VLOOKUP(Table9[[#This Row],[Shortname]], Comp[], 24, FALSE)</f>
        <v>0</v>
      </c>
      <c r="AB144">
        <f>VLOOKUP(Table9[[#This Row],[Shortname]], Comp[], 25, FALSE)</f>
        <v>0</v>
      </c>
      <c r="AC144">
        <f>VLOOKUP(Table9[[#This Row],[Shortname]], Comp[], 26, FALSE)</f>
        <v>0</v>
      </c>
      <c r="AD144">
        <f>VLOOKUP(Table9[[#This Row],[Shortname]], Comp[], 27, FALSE)</f>
        <v>0</v>
      </c>
      <c r="AE144">
        <f>VLOOKUP(Table9[[#This Row],[Shortname]], Comp[], 28, FALSE)</f>
        <v>0</v>
      </c>
      <c r="AF144">
        <f>VLOOKUP(Table9[[#This Row],[Shortname]], Comp[], 29, FALSE)</f>
        <v>0</v>
      </c>
      <c r="AG144">
        <f>VLOOKUP(Table9[[#This Row],[Shortname]], Comp[], 30, FALSE)</f>
        <v>0</v>
      </c>
      <c r="AH144">
        <f>VLOOKUP(Table9[[#This Row],[Shortname]], Comp[], 31, FALSE)</f>
        <v>0</v>
      </c>
    </row>
    <row r="145" spans="1:34" x14ac:dyDescent="0.3">
      <c r="A145" t="s">
        <v>2996</v>
      </c>
      <c r="B145" t="s">
        <v>2998</v>
      </c>
      <c r="C145" t="s">
        <v>2999</v>
      </c>
      <c r="D145">
        <v>605</v>
      </c>
      <c r="E145">
        <v>850</v>
      </c>
      <c r="F145">
        <v>1E-4</v>
      </c>
      <c r="G145">
        <v>1</v>
      </c>
      <c r="H145" t="s">
        <v>6803</v>
      </c>
      <c r="I145">
        <f>VLOOKUP(Table9[[#This Row],[Shortname]], Comp[], 6, FALSE)</f>
        <v>412</v>
      </c>
      <c r="J145" s="14">
        <f>VLOOKUP(Table9[[#This Row],[Shortname]], Comp[], 7, FALSE)</f>
        <v>49.82</v>
      </c>
      <c r="K145">
        <f>VLOOKUP(Table9[[#This Row],[Shortname]], Comp[], 8, FALSE)</f>
        <v>30.83</v>
      </c>
      <c r="L145">
        <f>VLOOKUP(Table9[[#This Row],[Shortname]], Comp[], 9, FALSE)</f>
        <v>9.16</v>
      </c>
      <c r="M145">
        <f>VLOOKUP(Table9[[#This Row],[Shortname]], Comp[], 10, FALSE)</f>
        <v>0</v>
      </c>
      <c r="N145">
        <f>VLOOKUP(Table9[[#This Row],[Shortname]], Comp[], 11, FALSE)</f>
        <v>5.09</v>
      </c>
      <c r="O145">
        <f>VLOOKUP(Table9[[#This Row],[Shortname]], Comp[],12, FALSE)</f>
        <v>4.0999999999999996</v>
      </c>
      <c r="P145">
        <f>VLOOKUP(Table9[[#This Row],[Shortname]], Comp[], 13, FALSE)</f>
        <v>1</v>
      </c>
      <c r="Q145">
        <f>VLOOKUP(Table9[[#This Row],[Shortname]], Comp[], 14, FALSE)</f>
        <v>0</v>
      </c>
      <c r="R145">
        <f>VLOOKUP(Table9[[#This Row],[Shortname]], Comp[], 15, FALSE)</f>
        <v>0</v>
      </c>
      <c r="S145">
        <f>VLOOKUP(Table9[[#This Row],[Shortname]], Comp[], 16, FALSE)</f>
        <v>0</v>
      </c>
      <c r="T145">
        <f>VLOOKUP(Table9[[#This Row],[Shortname]], Comp[], 17, FALSE)</f>
        <v>0</v>
      </c>
      <c r="U145">
        <f>VLOOKUP(Table9[[#This Row],[Shortname]], Comp[], 18, FALSE)</f>
        <v>0</v>
      </c>
      <c r="V145">
        <f>VLOOKUP(Table9[[#This Row],[Shortname]], Comp[], 19, FALSE)</f>
        <v>0</v>
      </c>
      <c r="W145">
        <f>VLOOKUP(Table9[[#This Row],[Shortname]], Comp[], 20, FALSE)</f>
        <v>0</v>
      </c>
      <c r="X145">
        <f>VLOOKUP(Table9[[#This Row],[Shortname]], Comp[], 21, FALSE)</f>
        <v>0</v>
      </c>
      <c r="Y145">
        <f>VLOOKUP(Table9[[#This Row],[Shortname]], Comp[], 22, FALSE)</f>
        <v>0</v>
      </c>
      <c r="Z145">
        <f>VLOOKUP(Table9[[#This Row],[Shortname]], Comp[], 23, FALSE)</f>
        <v>0</v>
      </c>
      <c r="AA145">
        <f>VLOOKUP(Table9[[#This Row],[Shortname]], Comp[], 24, FALSE)</f>
        <v>0</v>
      </c>
      <c r="AB145">
        <f>VLOOKUP(Table9[[#This Row],[Shortname]], Comp[], 25, FALSE)</f>
        <v>0</v>
      </c>
      <c r="AC145">
        <f>VLOOKUP(Table9[[#This Row],[Shortname]], Comp[], 26, FALSE)</f>
        <v>0</v>
      </c>
      <c r="AD145">
        <f>VLOOKUP(Table9[[#This Row],[Shortname]], Comp[], 27, FALSE)</f>
        <v>0</v>
      </c>
      <c r="AE145">
        <f>VLOOKUP(Table9[[#This Row],[Shortname]], Comp[], 28, FALSE)</f>
        <v>0</v>
      </c>
      <c r="AF145">
        <f>VLOOKUP(Table9[[#This Row],[Shortname]], Comp[], 29, FALSE)</f>
        <v>0</v>
      </c>
      <c r="AG145">
        <f>VLOOKUP(Table9[[#This Row],[Shortname]], Comp[], 30, FALSE)</f>
        <v>0</v>
      </c>
      <c r="AH145">
        <f>VLOOKUP(Table9[[#This Row],[Shortname]], Comp[], 31, FALSE)</f>
        <v>0</v>
      </c>
    </row>
    <row r="146" spans="1:34" x14ac:dyDescent="0.3">
      <c r="A146" t="s">
        <v>1446</v>
      </c>
      <c r="B146" t="s">
        <v>1448</v>
      </c>
      <c r="C146" t="s">
        <v>1449</v>
      </c>
      <c r="D146">
        <v>604</v>
      </c>
      <c r="E146">
        <v>700</v>
      </c>
      <c r="F146">
        <v>1E-4</v>
      </c>
      <c r="G146">
        <v>1</v>
      </c>
      <c r="H146" t="s">
        <v>6813</v>
      </c>
      <c r="I146">
        <f>VLOOKUP(Table9[[#This Row],[Shortname]], Comp[], 6, FALSE)</f>
        <v>185</v>
      </c>
      <c r="J146" s="14">
        <f>VLOOKUP(Table9[[#This Row],[Shortname]], Comp[], 7, FALSE)</f>
        <v>48.800000000000004</v>
      </c>
      <c r="K146">
        <f>VLOOKUP(Table9[[#This Row],[Shortname]], Comp[], 8, FALSE)</f>
        <v>30.8</v>
      </c>
      <c r="L146">
        <f>VLOOKUP(Table9[[#This Row],[Shortname]], Comp[], 9, FALSE)</f>
        <v>9.5</v>
      </c>
      <c r="M146">
        <f>VLOOKUP(Table9[[#This Row],[Shortname]], Comp[], 10, FALSE)</f>
        <v>0</v>
      </c>
      <c r="N146">
        <f>VLOOKUP(Table9[[#This Row],[Shortname]], Comp[], 11, FALSE)</f>
        <v>4.4000000000000004</v>
      </c>
      <c r="O146">
        <f>VLOOKUP(Table9[[#This Row],[Shortname]], Comp[],12, FALSE)</f>
        <v>3.8</v>
      </c>
      <c r="P146">
        <f>VLOOKUP(Table9[[#This Row],[Shortname]], Comp[], 13, FALSE)</f>
        <v>2.7</v>
      </c>
      <c r="Q146">
        <f>VLOOKUP(Table9[[#This Row],[Shortname]], Comp[], 14, FALSE)</f>
        <v>0</v>
      </c>
      <c r="R146">
        <f>VLOOKUP(Table9[[#This Row],[Shortname]], Comp[], 15, FALSE)</f>
        <v>0</v>
      </c>
      <c r="S146">
        <f>VLOOKUP(Table9[[#This Row],[Shortname]], Comp[], 16, FALSE)</f>
        <v>0</v>
      </c>
      <c r="T146">
        <f>VLOOKUP(Table9[[#This Row],[Shortname]], Comp[], 17, FALSE)</f>
        <v>0</v>
      </c>
      <c r="U146">
        <f>VLOOKUP(Table9[[#This Row],[Shortname]], Comp[], 18, FALSE)</f>
        <v>0</v>
      </c>
      <c r="V146">
        <f>VLOOKUP(Table9[[#This Row],[Shortname]], Comp[], 19, FALSE)</f>
        <v>0</v>
      </c>
      <c r="W146">
        <f>VLOOKUP(Table9[[#This Row],[Shortname]], Comp[], 20, FALSE)</f>
        <v>0</v>
      </c>
      <c r="X146">
        <f>VLOOKUP(Table9[[#This Row],[Shortname]], Comp[], 21, FALSE)</f>
        <v>0</v>
      </c>
      <c r="Y146">
        <f>VLOOKUP(Table9[[#This Row],[Shortname]], Comp[], 22, FALSE)</f>
        <v>0</v>
      </c>
      <c r="Z146">
        <f>VLOOKUP(Table9[[#This Row],[Shortname]], Comp[], 23, FALSE)</f>
        <v>0</v>
      </c>
      <c r="AA146">
        <f>VLOOKUP(Table9[[#This Row],[Shortname]], Comp[], 24, FALSE)</f>
        <v>0</v>
      </c>
      <c r="AB146">
        <f>VLOOKUP(Table9[[#This Row],[Shortname]], Comp[], 25, FALSE)</f>
        <v>0</v>
      </c>
      <c r="AC146">
        <f>VLOOKUP(Table9[[#This Row],[Shortname]], Comp[], 26, FALSE)</f>
        <v>0</v>
      </c>
      <c r="AD146">
        <f>VLOOKUP(Table9[[#This Row],[Shortname]], Comp[], 27, FALSE)</f>
        <v>0</v>
      </c>
      <c r="AE146">
        <f>VLOOKUP(Table9[[#This Row],[Shortname]], Comp[], 28, FALSE)</f>
        <v>0</v>
      </c>
      <c r="AF146">
        <f>VLOOKUP(Table9[[#This Row],[Shortname]], Comp[], 29, FALSE)</f>
        <v>0</v>
      </c>
      <c r="AG146">
        <f>VLOOKUP(Table9[[#This Row],[Shortname]], Comp[], 30, FALSE)</f>
        <v>0</v>
      </c>
      <c r="AH146">
        <f>VLOOKUP(Table9[[#This Row],[Shortname]], Comp[], 31, FALSE)</f>
        <v>0</v>
      </c>
    </row>
    <row r="147" spans="1:34" x14ac:dyDescent="0.3">
      <c r="A147" t="s">
        <v>2989</v>
      </c>
      <c r="B147" t="s">
        <v>2991</v>
      </c>
      <c r="C147" t="s">
        <v>2992</v>
      </c>
      <c r="D147">
        <v>603</v>
      </c>
      <c r="E147">
        <v>700</v>
      </c>
      <c r="F147">
        <v>1E-4</v>
      </c>
      <c r="G147">
        <v>1</v>
      </c>
      <c r="H147" t="s">
        <v>6803</v>
      </c>
      <c r="I147">
        <f>VLOOKUP(Table9[[#This Row],[Shortname]], Comp[], 6, FALSE)</f>
        <v>411</v>
      </c>
      <c r="J147" s="14">
        <f>VLOOKUP(Table9[[#This Row],[Shortname]], Comp[], 7, FALSE)</f>
        <v>84</v>
      </c>
      <c r="K147">
        <f>VLOOKUP(Table9[[#This Row],[Shortname]], Comp[], 8, FALSE)</f>
        <v>0</v>
      </c>
      <c r="L147">
        <f>VLOOKUP(Table9[[#This Row],[Shortname]], Comp[], 9, FALSE)</f>
        <v>0</v>
      </c>
      <c r="M147">
        <f>VLOOKUP(Table9[[#This Row],[Shortname]], Comp[], 10, FALSE)</f>
        <v>0</v>
      </c>
      <c r="N147">
        <f>VLOOKUP(Table9[[#This Row],[Shortname]], Comp[], 11, FALSE)</f>
        <v>0</v>
      </c>
      <c r="O147">
        <f>VLOOKUP(Table9[[#This Row],[Shortname]], Comp[],12, FALSE)</f>
        <v>2</v>
      </c>
      <c r="P147">
        <f>VLOOKUP(Table9[[#This Row],[Shortname]], Comp[], 13, FALSE)</f>
        <v>2</v>
      </c>
      <c r="Q147">
        <f>VLOOKUP(Table9[[#This Row],[Shortname]], Comp[], 14, FALSE)</f>
        <v>0</v>
      </c>
      <c r="R147">
        <f>VLOOKUP(Table9[[#This Row],[Shortname]], Comp[], 15, FALSE)</f>
        <v>12</v>
      </c>
      <c r="S147">
        <f>VLOOKUP(Table9[[#This Row],[Shortname]], Comp[], 16, FALSE)</f>
        <v>0</v>
      </c>
      <c r="T147">
        <f>VLOOKUP(Table9[[#This Row],[Shortname]], Comp[], 17, FALSE)</f>
        <v>0</v>
      </c>
      <c r="U147">
        <f>VLOOKUP(Table9[[#This Row],[Shortname]], Comp[], 18, FALSE)</f>
        <v>0</v>
      </c>
      <c r="V147">
        <f>VLOOKUP(Table9[[#This Row],[Shortname]], Comp[], 19, FALSE)</f>
        <v>0</v>
      </c>
      <c r="W147">
        <f>VLOOKUP(Table9[[#This Row],[Shortname]], Comp[], 20, FALSE)</f>
        <v>0</v>
      </c>
      <c r="X147">
        <f>VLOOKUP(Table9[[#This Row],[Shortname]], Comp[], 21, FALSE)</f>
        <v>0</v>
      </c>
      <c r="Y147">
        <f>VLOOKUP(Table9[[#This Row],[Shortname]], Comp[], 22, FALSE)</f>
        <v>0</v>
      </c>
      <c r="Z147">
        <f>VLOOKUP(Table9[[#This Row],[Shortname]], Comp[], 23, FALSE)</f>
        <v>0</v>
      </c>
      <c r="AA147">
        <f>VLOOKUP(Table9[[#This Row],[Shortname]], Comp[], 24, FALSE)</f>
        <v>0</v>
      </c>
      <c r="AB147">
        <f>VLOOKUP(Table9[[#This Row],[Shortname]], Comp[], 25, FALSE)</f>
        <v>0</v>
      </c>
      <c r="AC147">
        <f>VLOOKUP(Table9[[#This Row],[Shortname]], Comp[], 26, FALSE)</f>
        <v>0</v>
      </c>
      <c r="AD147">
        <f>VLOOKUP(Table9[[#This Row],[Shortname]], Comp[], 27, FALSE)</f>
        <v>0</v>
      </c>
      <c r="AE147">
        <f>VLOOKUP(Table9[[#This Row],[Shortname]], Comp[], 28, FALSE)</f>
        <v>0</v>
      </c>
      <c r="AF147">
        <f>VLOOKUP(Table9[[#This Row],[Shortname]], Comp[], 29, FALSE)</f>
        <v>0</v>
      </c>
      <c r="AG147">
        <f>VLOOKUP(Table9[[#This Row],[Shortname]], Comp[], 30, FALSE)</f>
        <v>0</v>
      </c>
      <c r="AH147">
        <f>VLOOKUP(Table9[[#This Row],[Shortname]], Comp[], 31, FALSE)</f>
        <v>0</v>
      </c>
    </row>
    <row r="148" spans="1:34" x14ac:dyDescent="0.3">
      <c r="A148" t="s">
        <v>2216</v>
      </c>
      <c r="B148" t="s">
        <v>2218</v>
      </c>
      <c r="C148" t="s">
        <v>2211</v>
      </c>
      <c r="D148">
        <v>601</v>
      </c>
      <c r="E148">
        <v>700</v>
      </c>
      <c r="F148">
        <v>1E-4</v>
      </c>
      <c r="G148">
        <v>1</v>
      </c>
      <c r="H148" t="s">
        <v>6803</v>
      </c>
      <c r="I148">
        <f>VLOOKUP(Table9[[#This Row],[Shortname]], Comp[], 6, FALSE)</f>
        <v>292</v>
      </c>
      <c r="J148" s="14">
        <f>VLOOKUP(Table9[[#This Row],[Shortname]], Comp[], 7, FALSE)</f>
        <v>83.6</v>
      </c>
      <c r="K148">
        <f>VLOOKUP(Table9[[#This Row],[Shortname]], Comp[], 8, FALSE)</f>
        <v>0</v>
      </c>
      <c r="L148">
        <f>VLOOKUP(Table9[[#This Row],[Shortname]], Comp[], 9, FALSE)</f>
        <v>0</v>
      </c>
      <c r="M148">
        <f>VLOOKUP(Table9[[#This Row],[Shortname]], Comp[], 10, FALSE)</f>
        <v>0</v>
      </c>
      <c r="N148">
        <f>VLOOKUP(Table9[[#This Row],[Shortname]], Comp[], 11, FALSE)</f>
        <v>0</v>
      </c>
      <c r="O148">
        <f>VLOOKUP(Table9[[#This Row],[Shortname]], Comp[],12, FALSE)</f>
        <v>4.0999999999999996</v>
      </c>
      <c r="P148">
        <f>VLOOKUP(Table9[[#This Row],[Shortname]], Comp[], 13, FALSE)</f>
        <v>0</v>
      </c>
      <c r="Q148">
        <f>VLOOKUP(Table9[[#This Row],[Shortname]], Comp[], 14, FALSE)</f>
        <v>2.2000000000000002</v>
      </c>
      <c r="R148">
        <f>VLOOKUP(Table9[[#This Row],[Shortname]], Comp[], 15, FALSE)</f>
        <v>10.1</v>
      </c>
      <c r="S148">
        <f>VLOOKUP(Table9[[#This Row],[Shortname]], Comp[], 16, FALSE)</f>
        <v>0</v>
      </c>
      <c r="T148">
        <f>VLOOKUP(Table9[[#This Row],[Shortname]], Comp[], 17, FALSE)</f>
        <v>0</v>
      </c>
      <c r="U148">
        <f>VLOOKUP(Table9[[#This Row],[Shortname]], Comp[], 18, FALSE)</f>
        <v>0</v>
      </c>
      <c r="V148">
        <f>VLOOKUP(Table9[[#This Row],[Shortname]], Comp[], 19, FALSE)</f>
        <v>0</v>
      </c>
      <c r="W148">
        <f>VLOOKUP(Table9[[#This Row],[Shortname]], Comp[], 20, FALSE)</f>
        <v>0</v>
      </c>
      <c r="X148">
        <f>VLOOKUP(Table9[[#This Row],[Shortname]], Comp[], 21, FALSE)</f>
        <v>0</v>
      </c>
      <c r="Y148">
        <f>VLOOKUP(Table9[[#This Row],[Shortname]], Comp[], 22, FALSE)</f>
        <v>0</v>
      </c>
      <c r="Z148">
        <f>VLOOKUP(Table9[[#This Row],[Shortname]], Comp[], 23, FALSE)</f>
        <v>0</v>
      </c>
      <c r="AA148">
        <f>VLOOKUP(Table9[[#This Row],[Shortname]], Comp[], 24, FALSE)</f>
        <v>0</v>
      </c>
      <c r="AB148">
        <f>VLOOKUP(Table9[[#This Row],[Shortname]], Comp[], 25, FALSE)</f>
        <v>0</v>
      </c>
      <c r="AC148">
        <f>VLOOKUP(Table9[[#This Row],[Shortname]], Comp[], 26, FALSE)</f>
        <v>0</v>
      </c>
      <c r="AD148">
        <f>VLOOKUP(Table9[[#This Row],[Shortname]], Comp[], 27, FALSE)</f>
        <v>0</v>
      </c>
      <c r="AE148">
        <f>VLOOKUP(Table9[[#This Row],[Shortname]], Comp[], 28, FALSE)</f>
        <v>0</v>
      </c>
      <c r="AF148">
        <f>VLOOKUP(Table9[[#This Row],[Shortname]], Comp[], 29, FALSE)</f>
        <v>0</v>
      </c>
      <c r="AG148">
        <f>VLOOKUP(Table9[[#This Row],[Shortname]], Comp[], 30, FALSE)</f>
        <v>0</v>
      </c>
      <c r="AH148">
        <f>VLOOKUP(Table9[[#This Row],[Shortname]], Comp[], 31, FALSE)</f>
        <v>0</v>
      </c>
    </row>
    <row r="149" spans="1:34" x14ac:dyDescent="0.3">
      <c r="A149" t="s">
        <v>870</v>
      </c>
      <c r="B149" t="s">
        <v>872</v>
      </c>
      <c r="C149" t="s">
        <v>873</v>
      </c>
      <c r="D149">
        <v>600</v>
      </c>
      <c r="E149">
        <v>800</v>
      </c>
      <c r="F149">
        <v>1E-4</v>
      </c>
      <c r="G149">
        <v>1</v>
      </c>
      <c r="H149" t="s">
        <v>6803</v>
      </c>
      <c r="I149">
        <f>VLOOKUP(Table9[[#This Row],[Shortname]], Comp[], 6, FALSE)</f>
        <v>112</v>
      </c>
      <c r="J149" s="14">
        <f>VLOOKUP(Table9[[#This Row],[Shortname]], Comp[], 7, FALSE)</f>
        <v>49</v>
      </c>
      <c r="K149">
        <f>VLOOKUP(Table9[[#This Row],[Shortname]], Comp[], 8, FALSE)</f>
        <v>30</v>
      </c>
      <c r="L149">
        <f>VLOOKUP(Table9[[#This Row],[Shortname]], Comp[], 9, FALSE)</f>
        <v>10</v>
      </c>
      <c r="M149">
        <f>VLOOKUP(Table9[[#This Row],[Shortname]], Comp[], 10, FALSE)</f>
        <v>0</v>
      </c>
      <c r="N149">
        <f>VLOOKUP(Table9[[#This Row],[Shortname]], Comp[], 11, FALSE)</f>
        <v>0</v>
      </c>
      <c r="O149">
        <f>VLOOKUP(Table9[[#This Row],[Shortname]], Comp[],12, FALSE)</f>
        <v>2</v>
      </c>
      <c r="P149">
        <f>VLOOKUP(Table9[[#This Row],[Shortname]], Comp[], 13, FALSE)</f>
        <v>4</v>
      </c>
      <c r="Q149">
        <f>VLOOKUP(Table9[[#This Row],[Shortname]], Comp[], 14, FALSE)</f>
        <v>0</v>
      </c>
      <c r="R149">
        <f>VLOOKUP(Table9[[#This Row],[Shortname]], Comp[], 15, FALSE)</f>
        <v>5</v>
      </c>
      <c r="S149">
        <f>VLOOKUP(Table9[[#This Row],[Shortname]], Comp[], 16, FALSE)</f>
        <v>0</v>
      </c>
      <c r="T149">
        <f>VLOOKUP(Table9[[#This Row],[Shortname]], Comp[], 17, FALSE)</f>
        <v>0</v>
      </c>
      <c r="U149">
        <f>VLOOKUP(Table9[[#This Row],[Shortname]], Comp[], 18, FALSE)</f>
        <v>0</v>
      </c>
      <c r="V149">
        <f>VLOOKUP(Table9[[#This Row],[Shortname]], Comp[], 19, FALSE)</f>
        <v>0</v>
      </c>
      <c r="W149">
        <f>VLOOKUP(Table9[[#This Row],[Shortname]], Comp[], 20, FALSE)</f>
        <v>0</v>
      </c>
      <c r="X149">
        <f>VLOOKUP(Table9[[#This Row],[Shortname]], Comp[], 21, FALSE)</f>
        <v>0</v>
      </c>
      <c r="Y149">
        <f>VLOOKUP(Table9[[#This Row],[Shortname]], Comp[], 22, FALSE)</f>
        <v>0</v>
      </c>
      <c r="Z149">
        <f>VLOOKUP(Table9[[#This Row],[Shortname]], Comp[], 23, FALSE)</f>
        <v>0</v>
      </c>
      <c r="AA149">
        <f>VLOOKUP(Table9[[#This Row],[Shortname]], Comp[], 24, FALSE)</f>
        <v>0</v>
      </c>
      <c r="AB149">
        <f>VLOOKUP(Table9[[#This Row],[Shortname]], Comp[], 25, FALSE)</f>
        <v>0</v>
      </c>
      <c r="AC149">
        <f>VLOOKUP(Table9[[#This Row],[Shortname]], Comp[], 26, FALSE)</f>
        <v>0</v>
      </c>
      <c r="AD149">
        <f>VLOOKUP(Table9[[#This Row],[Shortname]], Comp[], 27, FALSE)</f>
        <v>0</v>
      </c>
      <c r="AE149">
        <f>VLOOKUP(Table9[[#This Row],[Shortname]], Comp[], 28, FALSE)</f>
        <v>0</v>
      </c>
      <c r="AF149">
        <f>VLOOKUP(Table9[[#This Row],[Shortname]], Comp[], 29, FALSE)</f>
        <v>0</v>
      </c>
      <c r="AG149">
        <f>VLOOKUP(Table9[[#This Row],[Shortname]], Comp[], 30, FALSE)</f>
        <v>0</v>
      </c>
      <c r="AH149">
        <f>VLOOKUP(Table9[[#This Row],[Shortname]], Comp[], 31, FALSE)</f>
        <v>0</v>
      </c>
    </row>
    <row r="150" spans="1:34" x14ac:dyDescent="0.3">
      <c r="A150" t="s">
        <v>870</v>
      </c>
      <c r="B150" t="s">
        <v>872</v>
      </c>
      <c r="C150" t="s">
        <v>6817</v>
      </c>
      <c r="D150">
        <v>600</v>
      </c>
      <c r="E150">
        <v>900</v>
      </c>
      <c r="F150">
        <v>1E-4</v>
      </c>
      <c r="G150">
        <v>1</v>
      </c>
      <c r="H150" t="s">
        <v>6803</v>
      </c>
      <c r="I150">
        <f>VLOOKUP(Table9[[#This Row],[Shortname]], Comp[], 6, FALSE)</f>
        <v>112</v>
      </c>
      <c r="J150" s="14">
        <f>VLOOKUP(Table9[[#This Row],[Shortname]], Comp[], 7, FALSE)</f>
        <v>49</v>
      </c>
      <c r="K150">
        <f>VLOOKUP(Table9[[#This Row],[Shortname]], Comp[], 8, FALSE)</f>
        <v>30</v>
      </c>
      <c r="L150">
        <f>VLOOKUP(Table9[[#This Row],[Shortname]], Comp[], 9, FALSE)</f>
        <v>10</v>
      </c>
      <c r="M150">
        <f>VLOOKUP(Table9[[#This Row],[Shortname]], Comp[], 10, FALSE)</f>
        <v>0</v>
      </c>
      <c r="N150">
        <f>VLOOKUP(Table9[[#This Row],[Shortname]], Comp[], 11, FALSE)</f>
        <v>0</v>
      </c>
      <c r="O150">
        <f>VLOOKUP(Table9[[#This Row],[Shortname]], Comp[],12, FALSE)</f>
        <v>2</v>
      </c>
      <c r="P150">
        <f>VLOOKUP(Table9[[#This Row],[Shortname]], Comp[], 13, FALSE)</f>
        <v>4</v>
      </c>
      <c r="Q150">
        <f>VLOOKUP(Table9[[#This Row],[Shortname]], Comp[], 14, FALSE)</f>
        <v>0</v>
      </c>
      <c r="R150">
        <f>VLOOKUP(Table9[[#This Row],[Shortname]], Comp[], 15, FALSE)</f>
        <v>5</v>
      </c>
      <c r="S150">
        <f>VLOOKUP(Table9[[#This Row],[Shortname]], Comp[], 16, FALSE)</f>
        <v>0</v>
      </c>
      <c r="T150">
        <f>VLOOKUP(Table9[[#This Row],[Shortname]], Comp[], 17, FALSE)</f>
        <v>0</v>
      </c>
      <c r="U150">
        <f>VLOOKUP(Table9[[#This Row],[Shortname]], Comp[], 18, FALSE)</f>
        <v>0</v>
      </c>
      <c r="V150">
        <f>VLOOKUP(Table9[[#This Row],[Shortname]], Comp[], 19, FALSE)</f>
        <v>0</v>
      </c>
      <c r="W150">
        <f>VLOOKUP(Table9[[#This Row],[Shortname]], Comp[], 20, FALSE)</f>
        <v>0</v>
      </c>
      <c r="X150">
        <f>VLOOKUP(Table9[[#This Row],[Shortname]], Comp[], 21, FALSE)</f>
        <v>0</v>
      </c>
      <c r="Y150">
        <f>VLOOKUP(Table9[[#This Row],[Shortname]], Comp[], 22, FALSE)</f>
        <v>0</v>
      </c>
      <c r="Z150">
        <f>VLOOKUP(Table9[[#This Row],[Shortname]], Comp[], 23, FALSE)</f>
        <v>0</v>
      </c>
      <c r="AA150">
        <f>VLOOKUP(Table9[[#This Row],[Shortname]], Comp[], 24, FALSE)</f>
        <v>0</v>
      </c>
      <c r="AB150">
        <f>VLOOKUP(Table9[[#This Row],[Shortname]], Comp[], 25, FALSE)</f>
        <v>0</v>
      </c>
      <c r="AC150">
        <f>VLOOKUP(Table9[[#This Row],[Shortname]], Comp[], 26, FALSE)</f>
        <v>0</v>
      </c>
      <c r="AD150">
        <f>VLOOKUP(Table9[[#This Row],[Shortname]], Comp[], 27, FALSE)</f>
        <v>0</v>
      </c>
      <c r="AE150">
        <f>VLOOKUP(Table9[[#This Row],[Shortname]], Comp[], 28, FALSE)</f>
        <v>0</v>
      </c>
      <c r="AF150">
        <f>VLOOKUP(Table9[[#This Row],[Shortname]], Comp[], 29, FALSE)</f>
        <v>0</v>
      </c>
      <c r="AG150">
        <f>VLOOKUP(Table9[[#This Row],[Shortname]], Comp[], 30, FALSE)</f>
        <v>0</v>
      </c>
      <c r="AH150">
        <f>VLOOKUP(Table9[[#This Row],[Shortname]], Comp[], 31, FALSE)</f>
        <v>0</v>
      </c>
    </row>
    <row r="151" spans="1:34" x14ac:dyDescent="0.3">
      <c r="A151" t="s">
        <v>3132</v>
      </c>
      <c r="B151" t="s">
        <v>3134</v>
      </c>
      <c r="C151" t="s">
        <v>3119</v>
      </c>
      <c r="D151">
        <v>596</v>
      </c>
      <c r="E151">
        <v>750</v>
      </c>
      <c r="F151">
        <v>1E-4</v>
      </c>
      <c r="G151">
        <v>1</v>
      </c>
      <c r="H151" t="s">
        <v>6803</v>
      </c>
      <c r="I151">
        <f>VLOOKUP(Table9[[#This Row],[Shortname]], Comp[], 6, FALSE)</f>
        <v>437</v>
      </c>
      <c r="J151" s="14">
        <f>VLOOKUP(Table9[[#This Row],[Shortname]], Comp[], 7, FALSE)</f>
        <v>86</v>
      </c>
      <c r="K151">
        <f>VLOOKUP(Table9[[#This Row],[Shortname]], Comp[], 8, FALSE)</f>
        <v>0</v>
      </c>
      <c r="L151">
        <f>VLOOKUP(Table9[[#This Row],[Shortname]], Comp[], 9, FALSE)</f>
        <v>0</v>
      </c>
      <c r="M151">
        <f>VLOOKUP(Table9[[#This Row],[Shortname]], Comp[], 10, FALSE)</f>
        <v>0</v>
      </c>
      <c r="N151">
        <f>VLOOKUP(Table9[[#This Row],[Shortname]], Comp[], 11, FALSE)</f>
        <v>0</v>
      </c>
      <c r="O151">
        <f>VLOOKUP(Table9[[#This Row],[Shortname]], Comp[],12, FALSE)</f>
        <v>0</v>
      </c>
      <c r="P151">
        <f>VLOOKUP(Table9[[#This Row],[Shortname]], Comp[], 13, FALSE)</f>
        <v>2</v>
      </c>
      <c r="Q151">
        <f>VLOOKUP(Table9[[#This Row],[Shortname]], Comp[], 14, FALSE)</f>
        <v>0</v>
      </c>
      <c r="R151">
        <f>VLOOKUP(Table9[[#This Row],[Shortname]], Comp[], 15, FALSE)</f>
        <v>12</v>
      </c>
      <c r="S151">
        <f>VLOOKUP(Table9[[#This Row],[Shortname]], Comp[], 16, FALSE)</f>
        <v>0</v>
      </c>
      <c r="T151">
        <f>VLOOKUP(Table9[[#This Row],[Shortname]], Comp[], 17, FALSE)</f>
        <v>0</v>
      </c>
      <c r="U151">
        <f>VLOOKUP(Table9[[#This Row],[Shortname]], Comp[], 18, FALSE)</f>
        <v>0</v>
      </c>
      <c r="V151">
        <f>VLOOKUP(Table9[[#This Row],[Shortname]], Comp[], 19, FALSE)</f>
        <v>0</v>
      </c>
      <c r="W151">
        <f>VLOOKUP(Table9[[#This Row],[Shortname]], Comp[], 20, FALSE)</f>
        <v>0</v>
      </c>
      <c r="X151">
        <f>VLOOKUP(Table9[[#This Row],[Shortname]], Comp[], 21, FALSE)</f>
        <v>0</v>
      </c>
      <c r="Y151">
        <f>VLOOKUP(Table9[[#This Row],[Shortname]], Comp[], 22, FALSE)</f>
        <v>0</v>
      </c>
      <c r="Z151">
        <f>VLOOKUP(Table9[[#This Row],[Shortname]], Comp[], 23, FALSE)</f>
        <v>0</v>
      </c>
      <c r="AA151">
        <f>VLOOKUP(Table9[[#This Row],[Shortname]], Comp[], 24, FALSE)</f>
        <v>0</v>
      </c>
      <c r="AB151">
        <f>VLOOKUP(Table9[[#This Row],[Shortname]], Comp[], 25, FALSE)</f>
        <v>0</v>
      </c>
      <c r="AC151">
        <f>VLOOKUP(Table9[[#This Row],[Shortname]], Comp[], 26, FALSE)</f>
        <v>0</v>
      </c>
      <c r="AD151">
        <f>VLOOKUP(Table9[[#This Row],[Shortname]], Comp[], 27, FALSE)</f>
        <v>0</v>
      </c>
      <c r="AE151">
        <f>VLOOKUP(Table9[[#This Row],[Shortname]], Comp[], 28, FALSE)</f>
        <v>0</v>
      </c>
      <c r="AF151">
        <f>VLOOKUP(Table9[[#This Row],[Shortname]], Comp[], 29, FALSE)</f>
        <v>0</v>
      </c>
      <c r="AG151">
        <f>VLOOKUP(Table9[[#This Row],[Shortname]], Comp[], 30, FALSE)</f>
        <v>0</v>
      </c>
      <c r="AH151">
        <f>VLOOKUP(Table9[[#This Row],[Shortname]], Comp[], 31, FALSE)</f>
        <v>0</v>
      </c>
    </row>
    <row r="152" spans="1:34" x14ac:dyDescent="0.3">
      <c r="A152" t="s">
        <v>67</v>
      </c>
      <c r="B152" t="s">
        <v>69</v>
      </c>
      <c r="C152" t="s">
        <v>6645</v>
      </c>
      <c r="D152">
        <v>592</v>
      </c>
      <c r="E152">
        <v>850</v>
      </c>
      <c r="F152">
        <v>1E-3</v>
      </c>
      <c r="G152">
        <v>1</v>
      </c>
      <c r="H152" t="s">
        <v>6807</v>
      </c>
      <c r="I152">
        <f>VLOOKUP(Table9[[#This Row],[Shortname]], Comp[], 6, FALSE)</f>
        <v>7</v>
      </c>
      <c r="J152" s="14">
        <f>VLOOKUP(Table9[[#This Row],[Shortname]], Comp[], 7, FALSE)</f>
        <v>40.259999999999991</v>
      </c>
      <c r="K152">
        <f>VLOOKUP(Table9[[#This Row],[Shortname]], Comp[], 8, FALSE)</f>
        <v>31.07</v>
      </c>
      <c r="L152">
        <f>VLOOKUP(Table9[[#This Row],[Shortname]], Comp[], 9, FALSE)</f>
        <v>10.6</v>
      </c>
      <c r="M152">
        <f>VLOOKUP(Table9[[#This Row],[Shortname]], Comp[], 10, FALSE)</f>
        <v>10.67</v>
      </c>
      <c r="N152">
        <f>VLOOKUP(Table9[[#This Row],[Shortname]], Comp[], 11, FALSE)</f>
        <v>0</v>
      </c>
      <c r="O152">
        <f>VLOOKUP(Table9[[#This Row],[Shortname]], Comp[],12, FALSE)</f>
        <v>0</v>
      </c>
      <c r="P152">
        <f>VLOOKUP(Table9[[#This Row],[Shortname]], Comp[], 13, FALSE)</f>
        <v>1.88</v>
      </c>
      <c r="Q152">
        <f>VLOOKUP(Table9[[#This Row],[Shortname]], Comp[], 14, FALSE)</f>
        <v>0.99</v>
      </c>
      <c r="R152">
        <f>VLOOKUP(Table9[[#This Row],[Shortname]], Comp[], 15, FALSE)</f>
        <v>0</v>
      </c>
      <c r="S152">
        <f>VLOOKUP(Table9[[#This Row],[Shortname]], Comp[], 16, FALSE)</f>
        <v>3.99</v>
      </c>
      <c r="T152">
        <f>VLOOKUP(Table9[[#This Row],[Shortname]], Comp[], 17, FALSE)</f>
        <v>0.31</v>
      </c>
      <c r="U152">
        <f>VLOOKUP(Table9[[#This Row],[Shortname]], Comp[], 18, FALSE)</f>
        <v>0.04</v>
      </c>
      <c r="V152">
        <f>VLOOKUP(Table9[[#This Row],[Shortname]], Comp[], 19, FALSE)</f>
        <v>0.19</v>
      </c>
      <c r="W152">
        <f>VLOOKUP(Table9[[#This Row],[Shortname]], Comp[], 20, FALSE)</f>
        <v>0</v>
      </c>
      <c r="X152">
        <f>VLOOKUP(Table9[[#This Row],[Shortname]], Comp[], 21, FALSE)</f>
        <v>0</v>
      </c>
      <c r="Y152">
        <f>VLOOKUP(Table9[[#This Row],[Shortname]], Comp[], 22, FALSE)</f>
        <v>0</v>
      </c>
      <c r="Z152">
        <f>VLOOKUP(Table9[[#This Row],[Shortname]], Comp[], 23, FALSE)</f>
        <v>0</v>
      </c>
      <c r="AA152">
        <f>VLOOKUP(Table9[[#This Row],[Shortname]], Comp[], 24, FALSE)</f>
        <v>0</v>
      </c>
      <c r="AB152">
        <f>VLOOKUP(Table9[[#This Row],[Shortname]], Comp[], 25, FALSE)</f>
        <v>0</v>
      </c>
      <c r="AC152">
        <f>VLOOKUP(Table9[[#This Row],[Shortname]], Comp[], 26, FALSE)</f>
        <v>0</v>
      </c>
      <c r="AD152">
        <f>VLOOKUP(Table9[[#This Row],[Shortname]], Comp[], 27, FALSE)</f>
        <v>0</v>
      </c>
      <c r="AE152">
        <f>VLOOKUP(Table9[[#This Row],[Shortname]], Comp[], 28, FALSE)</f>
        <v>0</v>
      </c>
      <c r="AF152">
        <f>VLOOKUP(Table9[[#This Row],[Shortname]], Comp[], 29, FALSE)</f>
        <v>0</v>
      </c>
      <c r="AG152">
        <f>VLOOKUP(Table9[[#This Row],[Shortname]], Comp[], 30, FALSE)</f>
        <v>0</v>
      </c>
      <c r="AH152">
        <f>VLOOKUP(Table9[[#This Row],[Shortname]], Comp[], 31, FALSE)</f>
        <v>0</v>
      </c>
    </row>
    <row r="153" spans="1:34" x14ac:dyDescent="0.3">
      <c r="A153" t="s">
        <v>3425</v>
      </c>
      <c r="B153" t="s">
        <v>3425</v>
      </c>
      <c r="C153" t="s">
        <v>3401</v>
      </c>
      <c r="D153">
        <v>592</v>
      </c>
      <c r="E153">
        <v>760</v>
      </c>
      <c r="F153">
        <v>2.0000000000000001E-4</v>
      </c>
      <c r="G153">
        <v>1</v>
      </c>
      <c r="H153" t="s">
        <v>6803</v>
      </c>
      <c r="I153">
        <f>VLOOKUP(Table9[[#This Row],[Shortname]], Comp[], 6, FALSE)</f>
        <v>487</v>
      </c>
      <c r="J153" s="14">
        <f>VLOOKUP(Table9[[#This Row],[Shortname]], Comp[], 7, FALSE)</f>
        <v>80.28</v>
      </c>
      <c r="K153">
        <f>VLOOKUP(Table9[[#This Row],[Shortname]], Comp[], 8, FALSE)</f>
        <v>0</v>
      </c>
      <c r="L153">
        <f>VLOOKUP(Table9[[#This Row],[Shortname]], Comp[], 9, FALSE)</f>
        <v>9.3000000000000007</v>
      </c>
      <c r="M153">
        <f>VLOOKUP(Table9[[#This Row],[Shortname]], Comp[], 10, FALSE)</f>
        <v>0</v>
      </c>
      <c r="N153">
        <f>VLOOKUP(Table9[[#This Row],[Shortname]], Comp[], 11, FALSE)</f>
        <v>10.4</v>
      </c>
      <c r="O153">
        <f>VLOOKUP(Table9[[#This Row],[Shortname]], Comp[],12, FALSE)</f>
        <v>0</v>
      </c>
      <c r="P153">
        <f>VLOOKUP(Table9[[#This Row],[Shortname]], Comp[], 13, FALSE)</f>
        <v>0</v>
      </c>
      <c r="Q153">
        <f>VLOOKUP(Table9[[#This Row],[Shortname]], Comp[], 14, FALSE)</f>
        <v>0</v>
      </c>
      <c r="R153">
        <f>VLOOKUP(Table9[[#This Row],[Shortname]], Comp[], 15, FALSE)</f>
        <v>0</v>
      </c>
      <c r="S153">
        <f>VLOOKUP(Table9[[#This Row],[Shortname]], Comp[], 16, FALSE)</f>
        <v>0</v>
      </c>
      <c r="T153">
        <f>VLOOKUP(Table9[[#This Row],[Shortname]], Comp[], 17, FALSE)</f>
        <v>0</v>
      </c>
      <c r="U153">
        <f>VLOOKUP(Table9[[#This Row],[Shortname]], Comp[], 18, FALSE)</f>
        <v>0</v>
      </c>
      <c r="V153">
        <f>VLOOKUP(Table9[[#This Row],[Shortname]], Comp[], 19, FALSE)</f>
        <v>0.02</v>
      </c>
      <c r="W153">
        <f>VLOOKUP(Table9[[#This Row],[Shortname]], Comp[], 20, FALSE)</f>
        <v>0</v>
      </c>
      <c r="X153">
        <f>VLOOKUP(Table9[[#This Row],[Shortname]], Comp[], 21, FALSE)</f>
        <v>0</v>
      </c>
      <c r="Y153">
        <f>VLOOKUP(Table9[[#This Row],[Shortname]], Comp[], 22, FALSE)</f>
        <v>0</v>
      </c>
      <c r="Z153">
        <f>VLOOKUP(Table9[[#This Row],[Shortname]], Comp[], 23, FALSE)</f>
        <v>0</v>
      </c>
      <c r="AA153">
        <f>VLOOKUP(Table9[[#This Row],[Shortname]], Comp[], 24, FALSE)</f>
        <v>0</v>
      </c>
      <c r="AB153">
        <f>VLOOKUP(Table9[[#This Row],[Shortname]], Comp[], 25, FALSE)</f>
        <v>0</v>
      </c>
      <c r="AC153">
        <f>VLOOKUP(Table9[[#This Row],[Shortname]], Comp[], 26, FALSE)</f>
        <v>0</v>
      </c>
      <c r="AD153">
        <f>VLOOKUP(Table9[[#This Row],[Shortname]], Comp[], 27, FALSE)</f>
        <v>0</v>
      </c>
      <c r="AE153">
        <f>VLOOKUP(Table9[[#This Row],[Shortname]], Comp[], 28, FALSE)</f>
        <v>0</v>
      </c>
      <c r="AF153">
        <f>VLOOKUP(Table9[[#This Row],[Shortname]], Comp[], 29, FALSE)</f>
        <v>0</v>
      </c>
      <c r="AG153">
        <f>VLOOKUP(Table9[[#This Row],[Shortname]], Comp[], 30, FALSE)</f>
        <v>0</v>
      </c>
      <c r="AH153">
        <f>VLOOKUP(Table9[[#This Row],[Shortname]], Comp[], 31, FALSE)</f>
        <v>0</v>
      </c>
    </row>
    <row r="154" spans="1:34" x14ac:dyDescent="0.3">
      <c r="A154" t="s">
        <v>4435</v>
      </c>
      <c r="B154" t="s">
        <v>4437</v>
      </c>
      <c r="C154" t="s">
        <v>4438</v>
      </c>
      <c r="D154">
        <v>592</v>
      </c>
      <c r="E154">
        <v>750</v>
      </c>
      <c r="F154">
        <v>1E-4</v>
      </c>
      <c r="G154">
        <v>1</v>
      </c>
      <c r="H154" t="s">
        <v>6803</v>
      </c>
      <c r="I154">
        <f>VLOOKUP(Table9[[#This Row],[Shortname]], Comp[], 6, FALSE)</f>
        <v>675</v>
      </c>
      <c r="J154" s="14">
        <f>VLOOKUP(Table9[[#This Row],[Shortname]], Comp[], 7, FALSE)</f>
        <v>91</v>
      </c>
      <c r="K154">
        <f>VLOOKUP(Table9[[#This Row],[Shortname]], Comp[], 8, FALSE)</f>
        <v>0</v>
      </c>
      <c r="L154">
        <f>VLOOKUP(Table9[[#This Row],[Shortname]], Comp[], 9, FALSE)</f>
        <v>6</v>
      </c>
      <c r="M154">
        <f>VLOOKUP(Table9[[#This Row],[Shortname]], Comp[], 10, FALSE)</f>
        <v>0</v>
      </c>
      <c r="N154">
        <f>VLOOKUP(Table9[[#This Row],[Shortname]], Comp[], 11, FALSE)</f>
        <v>3</v>
      </c>
      <c r="O154">
        <f>VLOOKUP(Table9[[#This Row],[Shortname]], Comp[],12, FALSE)</f>
        <v>0</v>
      </c>
      <c r="P154">
        <f>VLOOKUP(Table9[[#This Row],[Shortname]], Comp[], 13, FALSE)</f>
        <v>0</v>
      </c>
      <c r="Q154">
        <f>VLOOKUP(Table9[[#This Row],[Shortname]], Comp[], 14, FALSE)</f>
        <v>0</v>
      </c>
      <c r="R154">
        <f>VLOOKUP(Table9[[#This Row],[Shortname]], Comp[], 15, FALSE)</f>
        <v>0</v>
      </c>
      <c r="S154">
        <f>VLOOKUP(Table9[[#This Row],[Shortname]], Comp[], 16, FALSE)</f>
        <v>0</v>
      </c>
      <c r="T154">
        <f>VLOOKUP(Table9[[#This Row],[Shortname]], Comp[], 17, FALSE)</f>
        <v>0</v>
      </c>
      <c r="U154">
        <f>VLOOKUP(Table9[[#This Row],[Shortname]], Comp[], 18, FALSE)</f>
        <v>0</v>
      </c>
      <c r="V154">
        <f>VLOOKUP(Table9[[#This Row],[Shortname]], Comp[], 19, FALSE)</f>
        <v>0</v>
      </c>
      <c r="W154">
        <f>VLOOKUP(Table9[[#This Row],[Shortname]], Comp[], 20, FALSE)</f>
        <v>0</v>
      </c>
      <c r="X154">
        <f>VLOOKUP(Table9[[#This Row],[Shortname]], Comp[], 21, FALSE)</f>
        <v>0</v>
      </c>
      <c r="Y154">
        <f>VLOOKUP(Table9[[#This Row],[Shortname]], Comp[], 22, FALSE)</f>
        <v>0</v>
      </c>
      <c r="Z154">
        <f>VLOOKUP(Table9[[#This Row],[Shortname]], Comp[], 23, FALSE)</f>
        <v>0</v>
      </c>
      <c r="AA154">
        <f>VLOOKUP(Table9[[#This Row],[Shortname]], Comp[], 24, FALSE)</f>
        <v>0</v>
      </c>
      <c r="AB154">
        <f>VLOOKUP(Table9[[#This Row],[Shortname]], Comp[], 25, FALSE)</f>
        <v>0</v>
      </c>
      <c r="AC154">
        <f>VLOOKUP(Table9[[#This Row],[Shortname]], Comp[], 26, FALSE)</f>
        <v>0</v>
      </c>
      <c r="AD154">
        <f>VLOOKUP(Table9[[#This Row],[Shortname]], Comp[], 27, FALSE)</f>
        <v>0</v>
      </c>
      <c r="AE154">
        <f>VLOOKUP(Table9[[#This Row],[Shortname]], Comp[], 28, FALSE)</f>
        <v>0</v>
      </c>
      <c r="AF154">
        <f>VLOOKUP(Table9[[#This Row],[Shortname]], Comp[], 29, FALSE)</f>
        <v>0</v>
      </c>
      <c r="AG154">
        <f>VLOOKUP(Table9[[#This Row],[Shortname]], Comp[], 30, FALSE)</f>
        <v>0</v>
      </c>
      <c r="AH154">
        <f>VLOOKUP(Table9[[#This Row],[Shortname]], Comp[], 31, FALSE)</f>
        <v>0</v>
      </c>
    </row>
    <row r="155" spans="1:34" x14ac:dyDescent="0.3">
      <c r="A155" t="s">
        <v>4</v>
      </c>
      <c r="B155" t="s">
        <v>7</v>
      </c>
      <c r="C155" t="s">
        <v>6818</v>
      </c>
      <c r="D155">
        <v>590</v>
      </c>
      <c r="E155">
        <v>1025</v>
      </c>
      <c r="F155">
        <v>10</v>
      </c>
      <c r="G155">
        <v>1</v>
      </c>
      <c r="H155" t="s">
        <v>6807</v>
      </c>
      <c r="I155">
        <f>VLOOKUP(Table9[[#This Row],[Shortname]], Comp[], 6, FALSE)</f>
        <v>1</v>
      </c>
      <c r="J155" s="14">
        <f>VLOOKUP(Table9[[#This Row],[Shortname]], Comp[], 7, FALSE)</f>
        <v>41.800000000000004</v>
      </c>
      <c r="K155">
        <f>VLOOKUP(Table9[[#This Row],[Shortname]], Comp[], 8, FALSE)</f>
        <v>29.5</v>
      </c>
      <c r="L155">
        <f>VLOOKUP(Table9[[#This Row],[Shortname]], Comp[], 9, FALSE)</f>
        <v>9.6</v>
      </c>
      <c r="M155">
        <f>VLOOKUP(Table9[[#This Row],[Shortname]], Comp[], 10, FALSE)</f>
        <v>12.7</v>
      </c>
      <c r="N155">
        <f>VLOOKUP(Table9[[#This Row],[Shortname]], Comp[], 11, FALSE)</f>
        <v>0</v>
      </c>
      <c r="O155">
        <f>VLOOKUP(Table9[[#This Row],[Shortname]], Comp[],12, FALSE)</f>
        <v>4.5</v>
      </c>
      <c r="P155">
        <f>VLOOKUP(Table9[[#This Row],[Shortname]], Comp[], 13, FALSE)</f>
        <v>0</v>
      </c>
      <c r="Q155">
        <f>VLOOKUP(Table9[[#This Row],[Shortname]], Comp[], 14, FALSE)</f>
        <v>1.9</v>
      </c>
      <c r="R155">
        <f>VLOOKUP(Table9[[#This Row],[Shortname]], Comp[], 15, FALSE)</f>
        <v>0</v>
      </c>
      <c r="S155">
        <f>VLOOKUP(Table9[[#This Row],[Shortname]], Comp[], 16, FALSE)</f>
        <v>0</v>
      </c>
      <c r="T155">
        <f>VLOOKUP(Table9[[#This Row],[Shortname]], Comp[], 17, FALSE)</f>
        <v>0</v>
      </c>
      <c r="U155">
        <f>VLOOKUP(Table9[[#This Row],[Shortname]], Comp[], 18, FALSE)</f>
        <v>0</v>
      </c>
      <c r="V155">
        <f>VLOOKUP(Table9[[#This Row],[Shortname]], Comp[], 19, FALSE)</f>
        <v>0</v>
      </c>
      <c r="W155">
        <f>VLOOKUP(Table9[[#This Row],[Shortname]], Comp[], 20, FALSE)</f>
        <v>0</v>
      </c>
      <c r="X155">
        <f>VLOOKUP(Table9[[#This Row],[Shortname]], Comp[], 21, FALSE)</f>
        <v>0</v>
      </c>
      <c r="Y155">
        <f>VLOOKUP(Table9[[#This Row],[Shortname]], Comp[], 22, FALSE)</f>
        <v>0</v>
      </c>
      <c r="Z155">
        <f>VLOOKUP(Table9[[#This Row],[Shortname]], Comp[], 23, FALSE)</f>
        <v>0</v>
      </c>
      <c r="AA155">
        <f>VLOOKUP(Table9[[#This Row],[Shortname]], Comp[], 24, FALSE)</f>
        <v>0</v>
      </c>
      <c r="AB155">
        <f>VLOOKUP(Table9[[#This Row],[Shortname]], Comp[], 25, FALSE)</f>
        <v>0</v>
      </c>
      <c r="AC155">
        <f>VLOOKUP(Table9[[#This Row],[Shortname]], Comp[], 26, FALSE)</f>
        <v>0</v>
      </c>
      <c r="AD155">
        <f>VLOOKUP(Table9[[#This Row],[Shortname]], Comp[], 27, FALSE)</f>
        <v>0</v>
      </c>
      <c r="AE155">
        <f>VLOOKUP(Table9[[#This Row],[Shortname]], Comp[], 28, FALSE)</f>
        <v>0</v>
      </c>
      <c r="AF155">
        <f>VLOOKUP(Table9[[#This Row],[Shortname]], Comp[], 29, FALSE)</f>
        <v>0</v>
      </c>
      <c r="AG155">
        <f>VLOOKUP(Table9[[#This Row],[Shortname]], Comp[], 30, FALSE)</f>
        <v>0</v>
      </c>
      <c r="AH155">
        <f>VLOOKUP(Table9[[#This Row],[Shortname]], Comp[], 31, FALSE)</f>
        <v>0</v>
      </c>
    </row>
    <row r="156" spans="1:34" x14ac:dyDescent="0.3">
      <c r="A156" t="s">
        <v>4232</v>
      </c>
      <c r="B156" t="s">
        <v>4234</v>
      </c>
      <c r="C156" t="s">
        <v>4235</v>
      </c>
      <c r="D156">
        <v>590</v>
      </c>
      <c r="E156">
        <v>850</v>
      </c>
      <c r="F156">
        <v>1E-4</v>
      </c>
      <c r="G156">
        <v>1</v>
      </c>
      <c r="H156" t="s">
        <v>6803</v>
      </c>
      <c r="I156">
        <f>VLOOKUP(Table9[[#This Row],[Shortname]], Comp[], 6, FALSE)</f>
        <v>644</v>
      </c>
      <c r="J156" s="14">
        <f>VLOOKUP(Table9[[#This Row],[Shortname]], Comp[], 7, FALSE)</f>
        <v>74</v>
      </c>
      <c r="K156">
        <f>VLOOKUP(Table9[[#This Row],[Shortname]], Comp[], 8, FALSE)</f>
        <v>0</v>
      </c>
      <c r="L156">
        <f>VLOOKUP(Table9[[#This Row],[Shortname]], Comp[], 9, FALSE)</f>
        <v>0</v>
      </c>
      <c r="M156">
        <f>VLOOKUP(Table9[[#This Row],[Shortname]], Comp[], 10, FALSE)</f>
        <v>15</v>
      </c>
      <c r="N156">
        <f>VLOOKUP(Table9[[#This Row],[Shortname]], Comp[], 11, FALSE)</f>
        <v>0</v>
      </c>
      <c r="O156">
        <f>VLOOKUP(Table9[[#This Row],[Shortname]], Comp[],12, FALSE)</f>
        <v>11</v>
      </c>
      <c r="P156">
        <f>VLOOKUP(Table9[[#This Row],[Shortname]], Comp[], 13, FALSE)</f>
        <v>0</v>
      </c>
      <c r="Q156">
        <f>VLOOKUP(Table9[[#This Row],[Shortname]], Comp[], 14, FALSE)</f>
        <v>0</v>
      </c>
      <c r="R156">
        <f>VLOOKUP(Table9[[#This Row],[Shortname]], Comp[], 15, FALSE)</f>
        <v>0</v>
      </c>
      <c r="S156">
        <f>VLOOKUP(Table9[[#This Row],[Shortname]], Comp[], 16, FALSE)</f>
        <v>0</v>
      </c>
      <c r="T156">
        <f>VLOOKUP(Table9[[#This Row],[Shortname]], Comp[], 17, FALSE)</f>
        <v>0</v>
      </c>
      <c r="U156">
        <f>VLOOKUP(Table9[[#This Row],[Shortname]], Comp[], 18, FALSE)</f>
        <v>0</v>
      </c>
      <c r="V156">
        <f>VLOOKUP(Table9[[#This Row],[Shortname]], Comp[], 19, FALSE)</f>
        <v>0</v>
      </c>
      <c r="W156">
        <f>VLOOKUP(Table9[[#This Row],[Shortname]], Comp[], 20, FALSE)</f>
        <v>0</v>
      </c>
      <c r="X156">
        <f>VLOOKUP(Table9[[#This Row],[Shortname]], Comp[], 21, FALSE)</f>
        <v>0</v>
      </c>
      <c r="Y156">
        <f>VLOOKUP(Table9[[#This Row],[Shortname]], Comp[], 22, FALSE)</f>
        <v>0</v>
      </c>
      <c r="Z156">
        <f>VLOOKUP(Table9[[#This Row],[Shortname]], Comp[], 23, FALSE)</f>
        <v>0</v>
      </c>
      <c r="AA156">
        <f>VLOOKUP(Table9[[#This Row],[Shortname]], Comp[], 24, FALSE)</f>
        <v>0</v>
      </c>
      <c r="AB156">
        <f>VLOOKUP(Table9[[#This Row],[Shortname]], Comp[], 25, FALSE)</f>
        <v>0</v>
      </c>
      <c r="AC156">
        <f>VLOOKUP(Table9[[#This Row],[Shortname]], Comp[], 26, FALSE)</f>
        <v>0</v>
      </c>
      <c r="AD156">
        <f>VLOOKUP(Table9[[#This Row],[Shortname]], Comp[], 27, FALSE)</f>
        <v>0</v>
      </c>
      <c r="AE156">
        <f>VLOOKUP(Table9[[#This Row],[Shortname]], Comp[], 28, FALSE)</f>
        <v>0</v>
      </c>
      <c r="AF156">
        <f>VLOOKUP(Table9[[#This Row],[Shortname]], Comp[], 29, FALSE)</f>
        <v>0</v>
      </c>
      <c r="AG156">
        <f>VLOOKUP(Table9[[#This Row],[Shortname]], Comp[], 30, FALSE)</f>
        <v>0</v>
      </c>
      <c r="AH156">
        <f>VLOOKUP(Table9[[#This Row],[Shortname]], Comp[], 31, FALSE)</f>
        <v>0</v>
      </c>
    </row>
    <row r="157" spans="1:34" x14ac:dyDescent="0.3">
      <c r="A157" t="s">
        <v>2989</v>
      </c>
      <c r="B157" t="s">
        <v>3118</v>
      </c>
      <c r="C157" t="s">
        <v>3119</v>
      </c>
      <c r="D157">
        <v>588</v>
      </c>
      <c r="E157">
        <v>800</v>
      </c>
      <c r="F157">
        <v>1E-4</v>
      </c>
      <c r="G157">
        <v>1</v>
      </c>
      <c r="H157" t="s">
        <v>6803</v>
      </c>
      <c r="I157">
        <f>VLOOKUP(Table9[[#This Row],[Shortname]], Comp[], 6, FALSE)</f>
        <v>411</v>
      </c>
      <c r="J157" s="14">
        <f>VLOOKUP(Table9[[#This Row],[Shortname]], Comp[], 7, FALSE)</f>
        <v>84</v>
      </c>
      <c r="K157">
        <f>VLOOKUP(Table9[[#This Row],[Shortname]], Comp[], 8, FALSE)</f>
        <v>0</v>
      </c>
      <c r="L157">
        <f>VLOOKUP(Table9[[#This Row],[Shortname]], Comp[], 9, FALSE)</f>
        <v>0</v>
      </c>
      <c r="M157">
        <f>VLOOKUP(Table9[[#This Row],[Shortname]], Comp[], 10, FALSE)</f>
        <v>0</v>
      </c>
      <c r="N157">
        <f>VLOOKUP(Table9[[#This Row],[Shortname]], Comp[], 11, FALSE)</f>
        <v>0</v>
      </c>
      <c r="O157">
        <f>VLOOKUP(Table9[[#This Row],[Shortname]], Comp[],12, FALSE)</f>
        <v>2</v>
      </c>
      <c r="P157">
        <f>VLOOKUP(Table9[[#This Row],[Shortname]], Comp[], 13, FALSE)</f>
        <v>2</v>
      </c>
      <c r="Q157">
        <f>VLOOKUP(Table9[[#This Row],[Shortname]], Comp[], 14, FALSE)</f>
        <v>0</v>
      </c>
      <c r="R157">
        <f>VLOOKUP(Table9[[#This Row],[Shortname]], Comp[], 15, FALSE)</f>
        <v>12</v>
      </c>
      <c r="S157">
        <f>VLOOKUP(Table9[[#This Row],[Shortname]], Comp[], 16, FALSE)</f>
        <v>0</v>
      </c>
      <c r="T157">
        <f>VLOOKUP(Table9[[#This Row],[Shortname]], Comp[], 17, FALSE)</f>
        <v>0</v>
      </c>
      <c r="U157">
        <f>VLOOKUP(Table9[[#This Row],[Shortname]], Comp[], 18, FALSE)</f>
        <v>0</v>
      </c>
      <c r="V157">
        <f>VLOOKUP(Table9[[#This Row],[Shortname]], Comp[], 19, FALSE)</f>
        <v>0</v>
      </c>
      <c r="W157">
        <f>VLOOKUP(Table9[[#This Row],[Shortname]], Comp[], 20, FALSE)</f>
        <v>0</v>
      </c>
      <c r="X157">
        <f>VLOOKUP(Table9[[#This Row],[Shortname]], Comp[], 21, FALSE)</f>
        <v>0</v>
      </c>
      <c r="Y157">
        <f>VLOOKUP(Table9[[#This Row],[Shortname]], Comp[], 22, FALSE)</f>
        <v>0</v>
      </c>
      <c r="Z157">
        <f>VLOOKUP(Table9[[#This Row],[Shortname]], Comp[], 23, FALSE)</f>
        <v>0</v>
      </c>
      <c r="AA157">
        <f>VLOOKUP(Table9[[#This Row],[Shortname]], Comp[], 24, FALSE)</f>
        <v>0</v>
      </c>
      <c r="AB157">
        <f>VLOOKUP(Table9[[#This Row],[Shortname]], Comp[], 25, FALSE)</f>
        <v>0</v>
      </c>
      <c r="AC157">
        <f>VLOOKUP(Table9[[#This Row],[Shortname]], Comp[], 26, FALSE)</f>
        <v>0</v>
      </c>
      <c r="AD157">
        <f>VLOOKUP(Table9[[#This Row],[Shortname]], Comp[], 27, FALSE)</f>
        <v>0</v>
      </c>
      <c r="AE157">
        <f>VLOOKUP(Table9[[#This Row],[Shortname]], Comp[], 28, FALSE)</f>
        <v>0</v>
      </c>
      <c r="AF157">
        <f>VLOOKUP(Table9[[#This Row],[Shortname]], Comp[], 29, FALSE)</f>
        <v>0</v>
      </c>
      <c r="AG157">
        <f>VLOOKUP(Table9[[#This Row],[Shortname]], Comp[], 30, FALSE)</f>
        <v>0</v>
      </c>
      <c r="AH157">
        <f>VLOOKUP(Table9[[#This Row],[Shortname]], Comp[], 31, FALSE)</f>
        <v>0</v>
      </c>
    </row>
    <row r="158" spans="1:34" x14ac:dyDescent="0.3">
      <c r="A158" t="s">
        <v>544</v>
      </c>
      <c r="B158" t="s">
        <v>6696</v>
      </c>
      <c r="C158" t="s">
        <v>499</v>
      </c>
      <c r="D158">
        <v>587</v>
      </c>
      <c r="E158">
        <v>700</v>
      </c>
      <c r="F158">
        <v>1E-4</v>
      </c>
      <c r="G158">
        <v>1</v>
      </c>
      <c r="I158">
        <f>VLOOKUP(Table9[[#This Row],[Shortname]], Comp[], 6, FALSE)</f>
        <v>70</v>
      </c>
      <c r="J158" s="14">
        <f>VLOOKUP(Table9[[#This Row],[Shortname]], Comp[], 7, FALSE)</f>
        <v>72.3</v>
      </c>
      <c r="K158">
        <f>VLOOKUP(Table9[[#This Row],[Shortname]], Comp[], 8, FALSE)</f>
        <v>10.199999999999999</v>
      </c>
      <c r="L158">
        <f>VLOOKUP(Table9[[#This Row],[Shortname]], Comp[], 9, FALSE)</f>
        <v>7.3</v>
      </c>
      <c r="M158">
        <f>VLOOKUP(Table9[[#This Row],[Shortname]], Comp[], 10, FALSE)</f>
        <v>0</v>
      </c>
      <c r="N158">
        <f>VLOOKUP(Table9[[#This Row],[Shortname]], Comp[], 11, FALSE)</f>
        <v>8</v>
      </c>
      <c r="O158">
        <f>VLOOKUP(Table9[[#This Row],[Shortname]], Comp[],12, FALSE)</f>
        <v>2.2000000000000002</v>
      </c>
      <c r="P158">
        <f>VLOOKUP(Table9[[#This Row],[Shortname]], Comp[], 13, FALSE)</f>
        <v>0</v>
      </c>
      <c r="Q158">
        <f>VLOOKUP(Table9[[#This Row],[Shortname]], Comp[], 14, FALSE)</f>
        <v>0</v>
      </c>
      <c r="R158">
        <f>VLOOKUP(Table9[[#This Row],[Shortname]], Comp[], 15, FALSE)</f>
        <v>0</v>
      </c>
      <c r="S158">
        <f>VLOOKUP(Table9[[#This Row],[Shortname]], Comp[], 16, FALSE)</f>
        <v>0</v>
      </c>
      <c r="T158">
        <f>VLOOKUP(Table9[[#This Row],[Shortname]], Comp[], 17, FALSE)</f>
        <v>0</v>
      </c>
      <c r="U158">
        <f>VLOOKUP(Table9[[#This Row],[Shortname]], Comp[], 18, FALSE)</f>
        <v>0</v>
      </c>
      <c r="V158">
        <f>VLOOKUP(Table9[[#This Row],[Shortname]], Comp[], 19, FALSE)</f>
        <v>0</v>
      </c>
      <c r="W158">
        <f>VLOOKUP(Table9[[#This Row],[Shortname]], Comp[], 20, FALSE)</f>
        <v>0</v>
      </c>
      <c r="X158">
        <f>VLOOKUP(Table9[[#This Row],[Shortname]], Comp[], 21, FALSE)</f>
        <v>0</v>
      </c>
      <c r="Y158">
        <f>VLOOKUP(Table9[[#This Row],[Shortname]], Comp[], 22, FALSE)</f>
        <v>0</v>
      </c>
      <c r="Z158">
        <f>VLOOKUP(Table9[[#This Row],[Shortname]], Comp[], 23, FALSE)</f>
        <v>0</v>
      </c>
      <c r="AA158">
        <f>VLOOKUP(Table9[[#This Row],[Shortname]], Comp[], 24, FALSE)</f>
        <v>0</v>
      </c>
      <c r="AB158">
        <f>VLOOKUP(Table9[[#This Row],[Shortname]], Comp[], 25, FALSE)</f>
        <v>0</v>
      </c>
      <c r="AC158">
        <f>VLOOKUP(Table9[[#This Row],[Shortname]], Comp[], 26, FALSE)</f>
        <v>0</v>
      </c>
      <c r="AD158">
        <f>VLOOKUP(Table9[[#This Row],[Shortname]], Comp[], 27, FALSE)</f>
        <v>0</v>
      </c>
      <c r="AE158">
        <f>VLOOKUP(Table9[[#This Row],[Shortname]], Comp[], 28, FALSE)</f>
        <v>0</v>
      </c>
      <c r="AF158">
        <f>VLOOKUP(Table9[[#This Row],[Shortname]], Comp[], 29, FALSE)</f>
        <v>0</v>
      </c>
      <c r="AG158">
        <f>VLOOKUP(Table9[[#This Row],[Shortname]], Comp[], 30, FALSE)</f>
        <v>0</v>
      </c>
      <c r="AH158">
        <f>VLOOKUP(Table9[[#This Row],[Shortname]], Comp[], 31, FALSE)</f>
        <v>0</v>
      </c>
    </row>
    <row r="159" spans="1:34" x14ac:dyDescent="0.3">
      <c r="A159" t="s">
        <v>2839</v>
      </c>
      <c r="B159" t="s">
        <v>2841</v>
      </c>
      <c r="C159" t="s">
        <v>2842</v>
      </c>
      <c r="D159">
        <v>587</v>
      </c>
      <c r="E159">
        <v>770</v>
      </c>
      <c r="F159">
        <v>1E-3</v>
      </c>
      <c r="G159">
        <v>1</v>
      </c>
      <c r="H159" t="s">
        <v>6803</v>
      </c>
      <c r="I159">
        <f>VLOOKUP(Table9[[#This Row],[Shortname]], Comp[], 6, FALSE)</f>
        <v>384</v>
      </c>
      <c r="J159" s="14">
        <f>VLOOKUP(Table9[[#This Row],[Shortname]], Comp[], 7, FALSE)</f>
        <v>50.400000000000006</v>
      </c>
      <c r="K159">
        <f>VLOOKUP(Table9[[#This Row],[Shortname]], Comp[], 8, FALSE)</f>
        <v>30.4</v>
      </c>
      <c r="L159">
        <f>VLOOKUP(Table9[[#This Row],[Shortname]], Comp[], 9, FALSE)</f>
        <v>9.5</v>
      </c>
      <c r="M159">
        <f>VLOOKUP(Table9[[#This Row],[Shortname]], Comp[], 10, FALSE)</f>
        <v>0</v>
      </c>
      <c r="N159">
        <f>VLOOKUP(Table9[[#This Row],[Shortname]], Comp[], 11, FALSE)</f>
        <v>0</v>
      </c>
      <c r="O159">
        <f>VLOOKUP(Table9[[#This Row],[Shortname]], Comp[],12, FALSE)</f>
        <v>0</v>
      </c>
      <c r="P159">
        <f>VLOOKUP(Table9[[#This Row],[Shortname]], Comp[], 13, FALSE)</f>
        <v>0</v>
      </c>
      <c r="Q159">
        <f>VLOOKUP(Table9[[#This Row],[Shortname]], Comp[], 14, FALSE)</f>
        <v>2.4</v>
      </c>
      <c r="R159">
        <f>VLOOKUP(Table9[[#This Row],[Shortname]], Comp[], 15, FALSE)</f>
        <v>0</v>
      </c>
      <c r="S159">
        <f>VLOOKUP(Table9[[#This Row],[Shortname]], Comp[], 16, FALSE)</f>
        <v>5.3</v>
      </c>
      <c r="T159">
        <f>VLOOKUP(Table9[[#This Row],[Shortname]], Comp[], 17, FALSE)</f>
        <v>0</v>
      </c>
      <c r="U159">
        <f>VLOOKUP(Table9[[#This Row],[Shortname]], Comp[], 18, FALSE)</f>
        <v>0</v>
      </c>
      <c r="V159">
        <f>VLOOKUP(Table9[[#This Row],[Shortname]], Comp[], 19, FALSE)</f>
        <v>0</v>
      </c>
      <c r="W159">
        <f>VLOOKUP(Table9[[#This Row],[Shortname]], Comp[], 20, FALSE)</f>
        <v>0</v>
      </c>
      <c r="X159">
        <f>VLOOKUP(Table9[[#This Row],[Shortname]], Comp[], 21, FALSE)</f>
        <v>2</v>
      </c>
      <c r="Y159">
        <f>VLOOKUP(Table9[[#This Row],[Shortname]], Comp[], 22, FALSE)</f>
        <v>0</v>
      </c>
      <c r="Z159">
        <f>VLOOKUP(Table9[[#This Row],[Shortname]], Comp[], 23, FALSE)</f>
        <v>0</v>
      </c>
      <c r="AA159">
        <f>VLOOKUP(Table9[[#This Row],[Shortname]], Comp[], 24, FALSE)</f>
        <v>0</v>
      </c>
      <c r="AB159">
        <f>VLOOKUP(Table9[[#This Row],[Shortname]], Comp[], 25, FALSE)</f>
        <v>0</v>
      </c>
      <c r="AC159">
        <f>VLOOKUP(Table9[[#This Row],[Shortname]], Comp[], 26, FALSE)</f>
        <v>0</v>
      </c>
      <c r="AD159">
        <f>VLOOKUP(Table9[[#This Row],[Shortname]], Comp[], 27, FALSE)</f>
        <v>0</v>
      </c>
      <c r="AE159">
        <f>VLOOKUP(Table9[[#This Row],[Shortname]], Comp[], 28, FALSE)</f>
        <v>0</v>
      </c>
      <c r="AF159">
        <f>VLOOKUP(Table9[[#This Row],[Shortname]], Comp[], 29, FALSE)</f>
        <v>0</v>
      </c>
      <c r="AG159">
        <f>VLOOKUP(Table9[[#This Row],[Shortname]], Comp[], 30, FALSE)</f>
        <v>0</v>
      </c>
      <c r="AH159">
        <f>VLOOKUP(Table9[[#This Row],[Shortname]], Comp[], 31, FALSE)</f>
        <v>0</v>
      </c>
    </row>
    <row r="160" spans="1:34" x14ac:dyDescent="0.3">
      <c r="A160" t="s">
        <v>3482</v>
      </c>
      <c r="B160" t="s">
        <v>3483</v>
      </c>
      <c r="C160" t="s">
        <v>3480</v>
      </c>
      <c r="D160">
        <v>581</v>
      </c>
      <c r="E160">
        <v>800</v>
      </c>
      <c r="F160">
        <v>1E-4</v>
      </c>
      <c r="G160">
        <v>1</v>
      </c>
      <c r="H160" t="s">
        <v>6803</v>
      </c>
      <c r="I160">
        <f>VLOOKUP(Table9[[#This Row],[Shortname]], Comp[], 6, FALSE)</f>
        <v>499</v>
      </c>
      <c r="J160" s="14">
        <f>VLOOKUP(Table9[[#This Row],[Shortname]], Comp[], 7, FALSE)</f>
        <v>77.900000000000006</v>
      </c>
      <c r="K160">
        <f>VLOOKUP(Table9[[#This Row],[Shortname]], Comp[], 8, FALSE)</f>
        <v>0</v>
      </c>
      <c r="L160">
        <f>VLOOKUP(Table9[[#This Row],[Shortname]], Comp[], 9, FALSE)</f>
        <v>7.8</v>
      </c>
      <c r="M160">
        <f>VLOOKUP(Table9[[#This Row],[Shortname]], Comp[], 10, FALSE)</f>
        <v>4.5</v>
      </c>
      <c r="N160">
        <f>VLOOKUP(Table9[[#This Row],[Shortname]], Comp[], 11, FALSE)</f>
        <v>7.8</v>
      </c>
      <c r="O160">
        <f>VLOOKUP(Table9[[#This Row],[Shortname]], Comp[],12, FALSE)</f>
        <v>0</v>
      </c>
      <c r="P160">
        <f>VLOOKUP(Table9[[#This Row],[Shortname]], Comp[], 13, FALSE)</f>
        <v>2</v>
      </c>
      <c r="Q160">
        <f>VLOOKUP(Table9[[#This Row],[Shortname]], Comp[], 14, FALSE)</f>
        <v>0</v>
      </c>
      <c r="R160">
        <f>VLOOKUP(Table9[[#This Row],[Shortname]], Comp[], 15, FALSE)</f>
        <v>0</v>
      </c>
      <c r="S160">
        <f>VLOOKUP(Table9[[#This Row],[Shortname]], Comp[], 16, FALSE)</f>
        <v>0</v>
      </c>
      <c r="T160">
        <f>VLOOKUP(Table9[[#This Row],[Shortname]], Comp[], 17, FALSE)</f>
        <v>0</v>
      </c>
      <c r="U160">
        <f>VLOOKUP(Table9[[#This Row],[Shortname]], Comp[], 18, FALSE)</f>
        <v>0</v>
      </c>
      <c r="V160">
        <f>VLOOKUP(Table9[[#This Row],[Shortname]], Comp[], 19, FALSE)</f>
        <v>0</v>
      </c>
      <c r="W160">
        <f>VLOOKUP(Table9[[#This Row],[Shortname]], Comp[], 20, FALSE)</f>
        <v>0</v>
      </c>
      <c r="X160">
        <f>VLOOKUP(Table9[[#This Row],[Shortname]], Comp[], 21, FALSE)</f>
        <v>0</v>
      </c>
      <c r="Y160">
        <f>VLOOKUP(Table9[[#This Row],[Shortname]], Comp[], 22, FALSE)</f>
        <v>0</v>
      </c>
      <c r="Z160">
        <f>VLOOKUP(Table9[[#This Row],[Shortname]], Comp[], 23, FALSE)</f>
        <v>0</v>
      </c>
      <c r="AA160">
        <f>VLOOKUP(Table9[[#This Row],[Shortname]], Comp[], 24, FALSE)</f>
        <v>0</v>
      </c>
      <c r="AB160">
        <f>VLOOKUP(Table9[[#This Row],[Shortname]], Comp[], 25, FALSE)</f>
        <v>0</v>
      </c>
      <c r="AC160">
        <f>VLOOKUP(Table9[[#This Row],[Shortname]], Comp[], 26, FALSE)</f>
        <v>0</v>
      </c>
      <c r="AD160">
        <f>VLOOKUP(Table9[[#This Row],[Shortname]], Comp[], 27, FALSE)</f>
        <v>0</v>
      </c>
      <c r="AE160">
        <f>VLOOKUP(Table9[[#This Row],[Shortname]], Comp[], 28, FALSE)</f>
        <v>0</v>
      </c>
      <c r="AF160">
        <f>VLOOKUP(Table9[[#This Row],[Shortname]], Comp[], 29, FALSE)</f>
        <v>0</v>
      </c>
      <c r="AG160">
        <f>VLOOKUP(Table9[[#This Row],[Shortname]], Comp[], 30, FALSE)</f>
        <v>0</v>
      </c>
      <c r="AH160">
        <f>VLOOKUP(Table9[[#This Row],[Shortname]], Comp[], 31, FALSE)</f>
        <v>0</v>
      </c>
    </row>
    <row r="161" spans="1:34" x14ac:dyDescent="0.3">
      <c r="A161" t="s">
        <v>5062</v>
      </c>
      <c r="B161" t="s">
        <v>5531</v>
      </c>
      <c r="C161" t="s">
        <v>5054</v>
      </c>
      <c r="D161">
        <v>580.26</v>
      </c>
      <c r="E161">
        <v>770</v>
      </c>
      <c r="F161">
        <v>1E-3</v>
      </c>
      <c r="G161">
        <v>1</v>
      </c>
      <c r="I161">
        <f>VLOOKUP(Table9[[#This Row],[Shortname]], Comp[], 6, FALSE)</f>
        <v>781</v>
      </c>
      <c r="J161" s="14">
        <f>VLOOKUP(Table9[[#This Row],[Shortname]], Comp[], 7, FALSE)</f>
        <v>53</v>
      </c>
      <c r="K161">
        <f>VLOOKUP(Table9[[#This Row],[Shortname]], Comp[], 8, FALSE)</f>
        <v>30</v>
      </c>
      <c r="L161">
        <f>VLOOKUP(Table9[[#This Row],[Shortname]], Comp[], 9, FALSE)</f>
        <v>10</v>
      </c>
      <c r="M161">
        <f>VLOOKUP(Table9[[#This Row],[Shortname]], Comp[], 10, FALSE)</f>
        <v>0</v>
      </c>
      <c r="N161">
        <f>VLOOKUP(Table9[[#This Row],[Shortname]], Comp[], 11, FALSE)</f>
        <v>0</v>
      </c>
      <c r="O161">
        <f>VLOOKUP(Table9[[#This Row],[Shortname]], Comp[],12, FALSE)</f>
        <v>2</v>
      </c>
      <c r="P161">
        <f>VLOOKUP(Table9[[#This Row],[Shortname]], Comp[], 13, FALSE)</f>
        <v>0</v>
      </c>
      <c r="Q161">
        <f>VLOOKUP(Table9[[#This Row],[Shortname]], Comp[], 14, FALSE)</f>
        <v>0</v>
      </c>
      <c r="R161">
        <f>VLOOKUP(Table9[[#This Row],[Shortname]], Comp[], 15, FALSE)</f>
        <v>0</v>
      </c>
      <c r="S161">
        <f>VLOOKUP(Table9[[#This Row],[Shortname]], Comp[], 16, FALSE)</f>
        <v>5</v>
      </c>
      <c r="T161">
        <f>VLOOKUP(Table9[[#This Row],[Shortname]], Comp[], 17, FALSE)</f>
        <v>0</v>
      </c>
      <c r="U161">
        <f>VLOOKUP(Table9[[#This Row],[Shortname]], Comp[], 18, FALSE)</f>
        <v>0</v>
      </c>
      <c r="V161">
        <f>VLOOKUP(Table9[[#This Row],[Shortname]], Comp[], 19, FALSE)</f>
        <v>0</v>
      </c>
      <c r="W161">
        <f>VLOOKUP(Table9[[#This Row],[Shortname]], Comp[], 20, FALSE)</f>
        <v>0</v>
      </c>
      <c r="X161">
        <f>VLOOKUP(Table9[[#This Row],[Shortname]], Comp[], 21, FALSE)</f>
        <v>0</v>
      </c>
      <c r="Y161">
        <f>VLOOKUP(Table9[[#This Row],[Shortname]], Comp[], 22, FALSE)</f>
        <v>0</v>
      </c>
      <c r="Z161">
        <f>VLOOKUP(Table9[[#This Row],[Shortname]], Comp[], 23, FALSE)</f>
        <v>0</v>
      </c>
      <c r="AA161">
        <f>VLOOKUP(Table9[[#This Row],[Shortname]], Comp[], 24, FALSE)</f>
        <v>0</v>
      </c>
      <c r="AB161">
        <f>VLOOKUP(Table9[[#This Row],[Shortname]], Comp[], 25, FALSE)</f>
        <v>0</v>
      </c>
      <c r="AC161">
        <f>VLOOKUP(Table9[[#This Row],[Shortname]], Comp[], 26, FALSE)</f>
        <v>0</v>
      </c>
      <c r="AD161">
        <f>VLOOKUP(Table9[[#This Row],[Shortname]], Comp[], 27, FALSE)</f>
        <v>0</v>
      </c>
      <c r="AE161">
        <f>VLOOKUP(Table9[[#This Row],[Shortname]], Comp[], 28, FALSE)</f>
        <v>0</v>
      </c>
      <c r="AF161">
        <f>VLOOKUP(Table9[[#This Row],[Shortname]], Comp[], 29, FALSE)</f>
        <v>0</v>
      </c>
      <c r="AG161">
        <f>VLOOKUP(Table9[[#This Row],[Shortname]], Comp[], 30, FALSE)</f>
        <v>0</v>
      </c>
      <c r="AH161">
        <f>VLOOKUP(Table9[[#This Row],[Shortname]], Comp[], 31, FALSE)</f>
        <v>0</v>
      </c>
    </row>
    <row r="162" spans="1:34" x14ac:dyDescent="0.3">
      <c r="A162" t="s">
        <v>3497</v>
      </c>
      <c r="B162" t="s">
        <v>3498</v>
      </c>
      <c r="C162" t="s">
        <v>3495</v>
      </c>
      <c r="D162">
        <v>579</v>
      </c>
      <c r="E162">
        <v>800</v>
      </c>
      <c r="F162">
        <v>1E-4</v>
      </c>
      <c r="G162">
        <v>1</v>
      </c>
      <c r="H162" t="s">
        <v>6803</v>
      </c>
      <c r="I162">
        <f>VLOOKUP(Table9[[#This Row],[Shortname]], Comp[], 6, FALSE)</f>
        <v>503</v>
      </c>
      <c r="J162" s="14">
        <f>VLOOKUP(Table9[[#This Row],[Shortname]], Comp[], 7, FALSE)</f>
        <v>80</v>
      </c>
      <c r="K162">
        <f>VLOOKUP(Table9[[#This Row],[Shortname]], Comp[], 8, FALSE)</f>
        <v>0</v>
      </c>
      <c r="L162">
        <f>VLOOKUP(Table9[[#This Row],[Shortname]], Comp[], 9, FALSE)</f>
        <v>9</v>
      </c>
      <c r="M162">
        <f>VLOOKUP(Table9[[#This Row],[Shortname]], Comp[], 10, FALSE)</f>
        <v>0</v>
      </c>
      <c r="N162">
        <f>VLOOKUP(Table9[[#This Row],[Shortname]], Comp[], 11, FALSE)</f>
        <v>9</v>
      </c>
      <c r="O162">
        <f>VLOOKUP(Table9[[#This Row],[Shortname]], Comp[],12, FALSE)</f>
        <v>0</v>
      </c>
      <c r="P162">
        <f>VLOOKUP(Table9[[#This Row],[Shortname]], Comp[], 13, FALSE)</f>
        <v>2</v>
      </c>
      <c r="Q162">
        <f>VLOOKUP(Table9[[#This Row],[Shortname]], Comp[], 14, FALSE)</f>
        <v>0</v>
      </c>
      <c r="R162">
        <f>VLOOKUP(Table9[[#This Row],[Shortname]], Comp[], 15, FALSE)</f>
        <v>0</v>
      </c>
      <c r="S162">
        <f>VLOOKUP(Table9[[#This Row],[Shortname]], Comp[], 16, FALSE)</f>
        <v>0</v>
      </c>
      <c r="T162">
        <f>VLOOKUP(Table9[[#This Row],[Shortname]], Comp[], 17, FALSE)</f>
        <v>0</v>
      </c>
      <c r="U162">
        <f>VLOOKUP(Table9[[#This Row],[Shortname]], Comp[], 18, FALSE)</f>
        <v>0</v>
      </c>
      <c r="V162">
        <f>VLOOKUP(Table9[[#This Row],[Shortname]], Comp[], 19, FALSE)</f>
        <v>0</v>
      </c>
      <c r="W162">
        <f>VLOOKUP(Table9[[#This Row],[Shortname]], Comp[], 20, FALSE)</f>
        <v>0</v>
      </c>
      <c r="X162">
        <f>VLOOKUP(Table9[[#This Row],[Shortname]], Comp[], 21, FALSE)</f>
        <v>0</v>
      </c>
      <c r="Y162">
        <f>VLOOKUP(Table9[[#This Row],[Shortname]], Comp[], 22, FALSE)</f>
        <v>0</v>
      </c>
      <c r="Z162">
        <f>VLOOKUP(Table9[[#This Row],[Shortname]], Comp[], 23, FALSE)</f>
        <v>0</v>
      </c>
      <c r="AA162">
        <f>VLOOKUP(Table9[[#This Row],[Shortname]], Comp[], 24, FALSE)</f>
        <v>0</v>
      </c>
      <c r="AB162">
        <f>VLOOKUP(Table9[[#This Row],[Shortname]], Comp[], 25, FALSE)</f>
        <v>0</v>
      </c>
      <c r="AC162">
        <f>VLOOKUP(Table9[[#This Row],[Shortname]], Comp[], 26, FALSE)</f>
        <v>0</v>
      </c>
      <c r="AD162">
        <f>VLOOKUP(Table9[[#This Row],[Shortname]], Comp[], 27, FALSE)</f>
        <v>0</v>
      </c>
      <c r="AE162">
        <f>VLOOKUP(Table9[[#This Row],[Shortname]], Comp[], 28, FALSE)</f>
        <v>0</v>
      </c>
      <c r="AF162">
        <f>VLOOKUP(Table9[[#This Row],[Shortname]], Comp[], 29, FALSE)</f>
        <v>0</v>
      </c>
      <c r="AG162">
        <f>VLOOKUP(Table9[[#This Row],[Shortname]], Comp[], 30, FALSE)</f>
        <v>0</v>
      </c>
      <c r="AH162">
        <f>VLOOKUP(Table9[[#This Row],[Shortname]], Comp[], 31, FALSE)</f>
        <v>0</v>
      </c>
    </row>
    <row r="163" spans="1:34" x14ac:dyDescent="0.3">
      <c r="A163" t="s">
        <v>1538</v>
      </c>
      <c r="B163" t="s">
        <v>1540</v>
      </c>
      <c r="C163" t="s">
        <v>6801</v>
      </c>
      <c r="D163">
        <v>578</v>
      </c>
      <c r="E163">
        <v>850</v>
      </c>
      <c r="F163" t="s">
        <v>6802</v>
      </c>
      <c r="G163">
        <v>1</v>
      </c>
      <c r="H163" t="s">
        <v>6803</v>
      </c>
      <c r="I163">
        <f>VLOOKUP(Table9[[#This Row],[Shortname]], Comp[], 6, FALSE)</f>
        <v>196</v>
      </c>
      <c r="J163" s="14">
        <f>VLOOKUP(Table9[[#This Row],[Shortname]], Comp[], 7, FALSE)</f>
        <v>41.03</v>
      </c>
      <c r="K163">
        <f>VLOOKUP(Table9[[#This Row],[Shortname]], Comp[], 8, FALSE)</f>
        <v>31.8</v>
      </c>
      <c r="L163">
        <f>VLOOKUP(Table9[[#This Row],[Shortname]], Comp[], 9, FALSE)</f>
        <v>8.6999999999999993</v>
      </c>
      <c r="M163">
        <f>VLOOKUP(Table9[[#This Row],[Shortname]], Comp[], 10, FALSE)</f>
        <v>12.6</v>
      </c>
      <c r="N163">
        <f>VLOOKUP(Table9[[#This Row],[Shortname]], Comp[], 11, FALSE)</f>
        <v>4.7</v>
      </c>
      <c r="O163">
        <f>VLOOKUP(Table9[[#This Row],[Shortname]], Comp[],12, FALSE)</f>
        <v>0.3</v>
      </c>
      <c r="P163">
        <f>VLOOKUP(Table9[[#This Row],[Shortname]], Comp[], 13, FALSE)</f>
        <v>0.2</v>
      </c>
      <c r="Q163">
        <f>VLOOKUP(Table9[[#This Row],[Shortname]], Comp[], 14, FALSE)</f>
        <v>0</v>
      </c>
      <c r="R163">
        <f>VLOOKUP(Table9[[#This Row],[Shortname]], Comp[], 15, FALSE)</f>
        <v>0</v>
      </c>
      <c r="S163">
        <f>VLOOKUP(Table9[[#This Row],[Shortname]], Comp[], 16, FALSE)</f>
        <v>0</v>
      </c>
      <c r="T163">
        <f>VLOOKUP(Table9[[#This Row],[Shortname]], Comp[], 17, FALSE)</f>
        <v>0.08</v>
      </c>
      <c r="U163">
        <f>VLOOKUP(Table9[[#This Row],[Shortname]], Comp[], 18, FALSE)</f>
        <v>0.01</v>
      </c>
      <c r="V163">
        <f>VLOOKUP(Table9[[#This Row],[Shortname]], Comp[], 19, FALSE)</f>
        <v>0.08</v>
      </c>
      <c r="W163">
        <f>VLOOKUP(Table9[[#This Row],[Shortname]], Comp[], 20, FALSE)</f>
        <v>0</v>
      </c>
      <c r="X163">
        <f>VLOOKUP(Table9[[#This Row],[Shortname]], Comp[], 21, FALSE)</f>
        <v>0</v>
      </c>
      <c r="Y163">
        <f>VLOOKUP(Table9[[#This Row],[Shortname]], Comp[], 22, FALSE)</f>
        <v>0.4</v>
      </c>
      <c r="Z163">
        <f>VLOOKUP(Table9[[#This Row],[Shortname]], Comp[], 23, FALSE)</f>
        <v>0</v>
      </c>
      <c r="AA163">
        <f>VLOOKUP(Table9[[#This Row],[Shortname]], Comp[], 24, FALSE)</f>
        <v>0</v>
      </c>
      <c r="AB163">
        <f>VLOOKUP(Table9[[#This Row],[Shortname]], Comp[], 25, FALSE)</f>
        <v>0.1</v>
      </c>
      <c r="AC163">
        <f>VLOOKUP(Table9[[#This Row],[Shortname]], Comp[], 26, FALSE)</f>
        <v>0</v>
      </c>
      <c r="AD163">
        <f>VLOOKUP(Table9[[#This Row],[Shortname]], Comp[], 27, FALSE)</f>
        <v>0</v>
      </c>
      <c r="AE163">
        <f>VLOOKUP(Table9[[#This Row],[Shortname]], Comp[], 28, FALSE)</f>
        <v>0</v>
      </c>
      <c r="AF163">
        <f>VLOOKUP(Table9[[#This Row],[Shortname]], Comp[], 29, FALSE)</f>
        <v>0</v>
      </c>
      <c r="AG163">
        <f>VLOOKUP(Table9[[#This Row],[Shortname]], Comp[], 30, FALSE)</f>
        <v>0</v>
      </c>
      <c r="AH163">
        <f>VLOOKUP(Table9[[#This Row],[Shortname]], Comp[], 31, FALSE)</f>
        <v>0</v>
      </c>
    </row>
    <row r="164" spans="1:34" x14ac:dyDescent="0.3">
      <c r="A164" t="s">
        <v>2224</v>
      </c>
      <c r="B164" t="s">
        <v>2226</v>
      </c>
      <c r="C164" t="s">
        <v>2211</v>
      </c>
      <c r="D164">
        <v>577</v>
      </c>
      <c r="E164">
        <v>700</v>
      </c>
      <c r="F164">
        <v>1E-4</v>
      </c>
      <c r="G164">
        <v>1</v>
      </c>
      <c r="H164" t="s">
        <v>6803</v>
      </c>
      <c r="I164">
        <f>VLOOKUP(Table9[[#This Row],[Shortname]], Comp[], 6, FALSE)</f>
        <v>293</v>
      </c>
      <c r="J164" s="14">
        <f>VLOOKUP(Table9[[#This Row],[Shortname]], Comp[], 7, FALSE)</f>
        <v>83.9</v>
      </c>
      <c r="K164">
        <f>VLOOKUP(Table9[[#This Row],[Shortname]], Comp[], 8, FALSE)</f>
        <v>0</v>
      </c>
      <c r="L164">
        <f>VLOOKUP(Table9[[#This Row],[Shortname]], Comp[], 9, FALSE)</f>
        <v>0</v>
      </c>
      <c r="M164">
        <f>VLOOKUP(Table9[[#This Row],[Shortname]], Comp[], 10, FALSE)</f>
        <v>0</v>
      </c>
      <c r="N164">
        <f>VLOOKUP(Table9[[#This Row],[Shortname]], Comp[], 11, FALSE)</f>
        <v>2.1</v>
      </c>
      <c r="O164">
        <f>VLOOKUP(Table9[[#This Row],[Shortname]], Comp[],12, FALSE)</f>
        <v>4.0999999999999996</v>
      </c>
      <c r="P164">
        <f>VLOOKUP(Table9[[#This Row],[Shortname]], Comp[], 13, FALSE)</f>
        <v>0</v>
      </c>
      <c r="Q164">
        <f>VLOOKUP(Table9[[#This Row],[Shortname]], Comp[], 14, FALSE)</f>
        <v>0</v>
      </c>
      <c r="R164">
        <f>VLOOKUP(Table9[[#This Row],[Shortname]], Comp[], 15, FALSE)</f>
        <v>9.9</v>
      </c>
      <c r="S164">
        <f>VLOOKUP(Table9[[#This Row],[Shortname]], Comp[], 16, FALSE)</f>
        <v>0</v>
      </c>
      <c r="T164">
        <f>VLOOKUP(Table9[[#This Row],[Shortname]], Comp[], 17, FALSE)</f>
        <v>0</v>
      </c>
      <c r="U164">
        <f>VLOOKUP(Table9[[#This Row],[Shortname]], Comp[], 18, FALSE)</f>
        <v>0</v>
      </c>
      <c r="V164">
        <f>VLOOKUP(Table9[[#This Row],[Shortname]], Comp[], 19, FALSE)</f>
        <v>0</v>
      </c>
      <c r="W164">
        <f>VLOOKUP(Table9[[#This Row],[Shortname]], Comp[], 20, FALSE)</f>
        <v>0</v>
      </c>
      <c r="X164">
        <f>VLOOKUP(Table9[[#This Row],[Shortname]], Comp[], 21, FALSE)</f>
        <v>0</v>
      </c>
      <c r="Y164">
        <f>VLOOKUP(Table9[[#This Row],[Shortname]], Comp[], 22, FALSE)</f>
        <v>0</v>
      </c>
      <c r="Z164">
        <f>VLOOKUP(Table9[[#This Row],[Shortname]], Comp[], 23, FALSE)</f>
        <v>0</v>
      </c>
      <c r="AA164">
        <f>VLOOKUP(Table9[[#This Row],[Shortname]], Comp[], 24, FALSE)</f>
        <v>0</v>
      </c>
      <c r="AB164">
        <f>VLOOKUP(Table9[[#This Row],[Shortname]], Comp[], 25, FALSE)</f>
        <v>0</v>
      </c>
      <c r="AC164">
        <f>VLOOKUP(Table9[[#This Row],[Shortname]], Comp[], 26, FALSE)</f>
        <v>0</v>
      </c>
      <c r="AD164">
        <f>VLOOKUP(Table9[[#This Row],[Shortname]], Comp[], 27, FALSE)</f>
        <v>0</v>
      </c>
      <c r="AE164">
        <f>VLOOKUP(Table9[[#This Row],[Shortname]], Comp[], 28, FALSE)</f>
        <v>0</v>
      </c>
      <c r="AF164">
        <f>VLOOKUP(Table9[[#This Row],[Shortname]], Comp[], 29, FALSE)</f>
        <v>0</v>
      </c>
      <c r="AG164">
        <f>VLOOKUP(Table9[[#This Row],[Shortname]], Comp[], 30, FALSE)</f>
        <v>0</v>
      </c>
      <c r="AH164">
        <f>VLOOKUP(Table9[[#This Row],[Shortname]], Comp[], 31, FALSE)</f>
        <v>0</v>
      </c>
    </row>
    <row r="165" spans="1:34" x14ac:dyDescent="0.3">
      <c r="A165" t="s">
        <v>2989</v>
      </c>
      <c r="B165" t="s">
        <v>2991</v>
      </c>
      <c r="C165" t="s">
        <v>2992</v>
      </c>
      <c r="D165">
        <v>577</v>
      </c>
      <c r="E165">
        <v>750</v>
      </c>
      <c r="F165">
        <v>1E-4</v>
      </c>
      <c r="G165">
        <v>1</v>
      </c>
      <c r="H165" t="s">
        <v>6803</v>
      </c>
      <c r="I165">
        <f>VLOOKUP(Table9[[#This Row],[Shortname]], Comp[], 6, FALSE)</f>
        <v>411</v>
      </c>
      <c r="J165" s="14">
        <f>VLOOKUP(Table9[[#This Row],[Shortname]], Comp[], 7, FALSE)</f>
        <v>84</v>
      </c>
      <c r="K165">
        <f>VLOOKUP(Table9[[#This Row],[Shortname]], Comp[], 8, FALSE)</f>
        <v>0</v>
      </c>
      <c r="L165">
        <f>VLOOKUP(Table9[[#This Row],[Shortname]], Comp[], 9, FALSE)</f>
        <v>0</v>
      </c>
      <c r="M165">
        <f>VLOOKUP(Table9[[#This Row],[Shortname]], Comp[], 10, FALSE)</f>
        <v>0</v>
      </c>
      <c r="N165">
        <f>VLOOKUP(Table9[[#This Row],[Shortname]], Comp[], 11, FALSE)</f>
        <v>0</v>
      </c>
      <c r="O165">
        <f>VLOOKUP(Table9[[#This Row],[Shortname]], Comp[],12, FALSE)</f>
        <v>2</v>
      </c>
      <c r="P165">
        <f>VLOOKUP(Table9[[#This Row],[Shortname]], Comp[], 13, FALSE)</f>
        <v>2</v>
      </c>
      <c r="Q165">
        <f>VLOOKUP(Table9[[#This Row],[Shortname]], Comp[], 14, FALSE)</f>
        <v>0</v>
      </c>
      <c r="R165">
        <f>VLOOKUP(Table9[[#This Row],[Shortname]], Comp[], 15, FALSE)</f>
        <v>12</v>
      </c>
      <c r="S165">
        <f>VLOOKUP(Table9[[#This Row],[Shortname]], Comp[], 16, FALSE)</f>
        <v>0</v>
      </c>
      <c r="T165">
        <f>VLOOKUP(Table9[[#This Row],[Shortname]], Comp[], 17, FALSE)</f>
        <v>0</v>
      </c>
      <c r="U165">
        <f>VLOOKUP(Table9[[#This Row],[Shortname]], Comp[], 18, FALSE)</f>
        <v>0</v>
      </c>
      <c r="V165">
        <f>VLOOKUP(Table9[[#This Row],[Shortname]], Comp[], 19, FALSE)</f>
        <v>0</v>
      </c>
      <c r="W165">
        <f>VLOOKUP(Table9[[#This Row],[Shortname]], Comp[], 20, FALSE)</f>
        <v>0</v>
      </c>
      <c r="X165">
        <f>VLOOKUP(Table9[[#This Row],[Shortname]], Comp[], 21, FALSE)</f>
        <v>0</v>
      </c>
      <c r="Y165">
        <f>VLOOKUP(Table9[[#This Row],[Shortname]], Comp[], 22, FALSE)</f>
        <v>0</v>
      </c>
      <c r="Z165">
        <f>VLOOKUP(Table9[[#This Row],[Shortname]], Comp[], 23, FALSE)</f>
        <v>0</v>
      </c>
      <c r="AA165">
        <f>VLOOKUP(Table9[[#This Row],[Shortname]], Comp[], 24, FALSE)</f>
        <v>0</v>
      </c>
      <c r="AB165">
        <f>VLOOKUP(Table9[[#This Row],[Shortname]], Comp[], 25, FALSE)</f>
        <v>0</v>
      </c>
      <c r="AC165">
        <f>VLOOKUP(Table9[[#This Row],[Shortname]], Comp[], 26, FALSE)</f>
        <v>0</v>
      </c>
      <c r="AD165">
        <f>VLOOKUP(Table9[[#This Row],[Shortname]], Comp[], 27, FALSE)</f>
        <v>0</v>
      </c>
      <c r="AE165">
        <f>VLOOKUP(Table9[[#This Row],[Shortname]], Comp[], 28, FALSE)</f>
        <v>0</v>
      </c>
      <c r="AF165">
        <f>VLOOKUP(Table9[[#This Row],[Shortname]], Comp[], 29, FALSE)</f>
        <v>0</v>
      </c>
      <c r="AG165">
        <f>VLOOKUP(Table9[[#This Row],[Shortname]], Comp[], 30, FALSE)</f>
        <v>0</v>
      </c>
      <c r="AH165">
        <f>VLOOKUP(Table9[[#This Row],[Shortname]], Comp[], 31, FALSE)</f>
        <v>0</v>
      </c>
    </row>
    <row r="166" spans="1:34" x14ac:dyDescent="0.3">
      <c r="A166" t="s">
        <v>3138</v>
      </c>
      <c r="B166" t="s">
        <v>3140</v>
      </c>
      <c r="C166" t="s">
        <v>3119</v>
      </c>
      <c r="D166">
        <v>576</v>
      </c>
      <c r="E166">
        <v>750</v>
      </c>
      <c r="F166">
        <v>1E-4</v>
      </c>
      <c r="G166">
        <v>1</v>
      </c>
      <c r="H166" t="s">
        <v>6803</v>
      </c>
      <c r="I166">
        <f>VLOOKUP(Table9[[#This Row],[Shortname]], Comp[], 6, FALSE)</f>
        <v>438</v>
      </c>
      <c r="J166" s="14">
        <f>VLOOKUP(Table9[[#This Row],[Shortname]], Comp[], 7, FALSE)</f>
        <v>84</v>
      </c>
      <c r="K166">
        <f>VLOOKUP(Table9[[#This Row],[Shortname]], Comp[], 8, FALSE)</f>
        <v>0</v>
      </c>
      <c r="L166">
        <f>VLOOKUP(Table9[[#This Row],[Shortname]], Comp[], 9, FALSE)</f>
        <v>2</v>
      </c>
      <c r="M166">
        <f>VLOOKUP(Table9[[#This Row],[Shortname]], Comp[], 10, FALSE)</f>
        <v>0</v>
      </c>
      <c r="N166">
        <f>VLOOKUP(Table9[[#This Row],[Shortname]], Comp[], 11, FALSE)</f>
        <v>0</v>
      </c>
      <c r="O166">
        <f>VLOOKUP(Table9[[#This Row],[Shortname]], Comp[],12, FALSE)</f>
        <v>0</v>
      </c>
      <c r="P166">
        <f>VLOOKUP(Table9[[#This Row],[Shortname]], Comp[], 13, FALSE)</f>
        <v>2</v>
      </c>
      <c r="Q166">
        <f>VLOOKUP(Table9[[#This Row],[Shortname]], Comp[], 14, FALSE)</f>
        <v>0</v>
      </c>
      <c r="R166">
        <f>VLOOKUP(Table9[[#This Row],[Shortname]], Comp[], 15, FALSE)</f>
        <v>12</v>
      </c>
      <c r="S166">
        <f>VLOOKUP(Table9[[#This Row],[Shortname]], Comp[], 16, FALSE)</f>
        <v>0</v>
      </c>
      <c r="T166">
        <f>VLOOKUP(Table9[[#This Row],[Shortname]], Comp[], 17, FALSE)</f>
        <v>0</v>
      </c>
      <c r="U166">
        <f>VLOOKUP(Table9[[#This Row],[Shortname]], Comp[], 18, FALSE)</f>
        <v>0</v>
      </c>
      <c r="V166">
        <f>VLOOKUP(Table9[[#This Row],[Shortname]], Comp[], 19, FALSE)</f>
        <v>0</v>
      </c>
      <c r="W166">
        <f>VLOOKUP(Table9[[#This Row],[Shortname]], Comp[], 20, FALSE)</f>
        <v>0</v>
      </c>
      <c r="X166">
        <f>VLOOKUP(Table9[[#This Row],[Shortname]], Comp[], 21, FALSE)</f>
        <v>0</v>
      </c>
      <c r="Y166">
        <f>VLOOKUP(Table9[[#This Row],[Shortname]], Comp[], 22, FALSE)</f>
        <v>0</v>
      </c>
      <c r="Z166">
        <f>VLOOKUP(Table9[[#This Row],[Shortname]], Comp[], 23, FALSE)</f>
        <v>0</v>
      </c>
      <c r="AA166">
        <f>VLOOKUP(Table9[[#This Row],[Shortname]], Comp[], 24, FALSE)</f>
        <v>0</v>
      </c>
      <c r="AB166">
        <f>VLOOKUP(Table9[[#This Row],[Shortname]], Comp[], 25, FALSE)</f>
        <v>0</v>
      </c>
      <c r="AC166">
        <f>VLOOKUP(Table9[[#This Row],[Shortname]], Comp[], 26, FALSE)</f>
        <v>0</v>
      </c>
      <c r="AD166">
        <f>VLOOKUP(Table9[[#This Row],[Shortname]], Comp[], 27, FALSE)</f>
        <v>0</v>
      </c>
      <c r="AE166">
        <f>VLOOKUP(Table9[[#This Row],[Shortname]], Comp[], 28, FALSE)</f>
        <v>0</v>
      </c>
      <c r="AF166">
        <f>VLOOKUP(Table9[[#This Row],[Shortname]], Comp[], 29, FALSE)</f>
        <v>0</v>
      </c>
      <c r="AG166">
        <f>VLOOKUP(Table9[[#This Row],[Shortname]], Comp[], 30, FALSE)</f>
        <v>0</v>
      </c>
      <c r="AH166">
        <f>VLOOKUP(Table9[[#This Row],[Shortname]], Comp[], 31, FALSE)</f>
        <v>0</v>
      </c>
    </row>
    <row r="167" spans="1:34" x14ac:dyDescent="0.3">
      <c r="A167" t="s">
        <v>1735</v>
      </c>
      <c r="B167" t="s">
        <v>2354</v>
      </c>
      <c r="C167" t="s">
        <v>3480</v>
      </c>
      <c r="D167">
        <v>576</v>
      </c>
      <c r="E167">
        <v>795</v>
      </c>
      <c r="F167">
        <v>1E-4</v>
      </c>
      <c r="G167">
        <v>1</v>
      </c>
      <c r="H167" t="s">
        <v>6803</v>
      </c>
      <c r="I167">
        <f>VLOOKUP(Table9[[#This Row],[Shortname]], Comp[], 6, FALSE)</f>
        <v>222</v>
      </c>
      <c r="J167" s="14">
        <f>VLOOKUP(Table9[[#This Row],[Shortname]], Comp[], 7, FALSE)</f>
        <v>79.400000000000006</v>
      </c>
      <c r="K167">
        <f>VLOOKUP(Table9[[#This Row],[Shortname]], Comp[], 8, FALSE)</f>
        <v>0</v>
      </c>
      <c r="L167">
        <f>VLOOKUP(Table9[[#This Row],[Shortname]], Comp[], 9, FALSE)</f>
        <v>8.8000000000000007</v>
      </c>
      <c r="M167">
        <f>VLOOKUP(Table9[[#This Row],[Shortname]], Comp[], 10, FALSE)</f>
        <v>0</v>
      </c>
      <c r="N167">
        <f>VLOOKUP(Table9[[#This Row],[Shortname]], Comp[], 11, FALSE)</f>
        <v>9.8000000000000007</v>
      </c>
      <c r="O167">
        <f>VLOOKUP(Table9[[#This Row],[Shortname]], Comp[],12, FALSE)</f>
        <v>0</v>
      </c>
      <c r="P167">
        <f>VLOOKUP(Table9[[#This Row],[Shortname]], Comp[], 13, FALSE)</f>
        <v>2</v>
      </c>
      <c r="Q167">
        <f>VLOOKUP(Table9[[#This Row],[Shortname]], Comp[], 14, FALSE)</f>
        <v>0</v>
      </c>
      <c r="R167">
        <f>VLOOKUP(Table9[[#This Row],[Shortname]], Comp[], 15, FALSE)</f>
        <v>0</v>
      </c>
      <c r="S167">
        <f>VLOOKUP(Table9[[#This Row],[Shortname]], Comp[], 16, FALSE)</f>
        <v>0</v>
      </c>
      <c r="T167">
        <f>VLOOKUP(Table9[[#This Row],[Shortname]], Comp[], 17, FALSE)</f>
        <v>0</v>
      </c>
      <c r="U167">
        <f>VLOOKUP(Table9[[#This Row],[Shortname]], Comp[], 18, FALSE)</f>
        <v>0</v>
      </c>
      <c r="V167">
        <f>VLOOKUP(Table9[[#This Row],[Shortname]], Comp[], 19, FALSE)</f>
        <v>0</v>
      </c>
      <c r="W167">
        <f>VLOOKUP(Table9[[#This Row],[Shortname]], Comp[], 20, FALSE)</f>
        <v>0</v>
      </c>
      <c r="X167">
        <f>VLOOKUP(Table9[[#This Row],[Shortname]], Comp[], 21, FALSE)</f>
        <v>0</v>
      </c>
      <c r="Y167">
        <f>VLOOKUP(Table9[[#This Row],[Shortname]], Comp[], 22, FALSE)</f>
        <v>0</v>
      </c>
      <c r="Z167">
        <f>VLOOKUP(Table9[[#This Row],[Shortname]], Comp[], 23, FALSE)</f>
        <v>0</v>
      </c>
      <c r="AA167">
        <f>VLOOKUP(Table9[[#This Row],[Shortname]], Comp[], 24, FALSE)</f>
        <v>0</v>
      </c>
      <c r="AB167">
        <f>VLOOKUP(Table9[[#This Row],[Shortname]], Comp[], 25, FALSE)</f>
        <v>0</v>
      </c>
      <c r="AC167">
        <f>VLOOKUP(Table9[[#This Row],[Shortname]], Comp[], 26, FALSE)</f>
        <v>0</v>
      </c>
      <c r="AD167">
        <f>VLOOKUP(Table9[[#This Row],[Shortname]], Comp[], 27, FALSE)</f>
        <v>0</v>
      </c>
      <c r="AE167">
        <f>VLOOKUP(Table9[[#This Row],[Shortname]], Comp[], 28, FALSE)</f>
        <v>0</v>
      </c>
      <c r="AF167">
        <f>VLOOKUP(Table9[[#This Row],[Shortname]], Comp[], 29, FALSE)</f>
        <v>0</v>
      </c>
      <c r="AG167">
        <f>VLOOKUP(Table9[[#This Row],[Shortname]], Comp[], 30, FALSE)</f>
        <v>0</v>
      </c>
      <c r="AH167">
        <f>VLOOKUP(Table9[[#This Row],[Shortname]], Comp[], 31, FALSE)</f>
        <v>0</v>
      </c>
    </row>
    <row r="168" spans="1:34" x14ac:dyDescent="0.3">
      <c r="A168" t="s">
        <v>2570</v>
      </c>
      <c r="B168" t="s">
        <v>2572</v>
      </c>
      <c r="C168" t="s">
        <v>2573</v>
      </c>
      <c r="D168">
        <v>573.4</v>
      </c>
      <c r="E168">
        <v>1075</v>
      </c>
      <c r="F168">
        <v>10</v>
      </c>
      <c r="G168">
        <v>1</v>
      </c>
      <c r="I168">
        <f>VLOOKUP(Table9[[#This Row],[Shortname]], Comp[], 6, FALSE)</f>
        <v>340</v>
      </c>
      <c r="J168" s="14">
        <f>VLOOKUP(Table9[[#This Row],[Shortname]], Comp[], 7, FALSE)</f>
        <v>46.73</v>
      </c>
      <c r="K168">
        <f>VLOOKUP(Table9[[#This Row],[Shortname]], Comp[], 8, FALSE)</f>
        <v>29.96</v>
      </c>
      <c r="L168">
        <f>VLOOKUP(Table9[[#This Row],[Shortname]], Comp[], 9, FALSE)</f>
        <v>9.5399999999999991</v>
      </c>
      <c r="M168">
        <f>VLOOKUP(Table9[[#This Row],[Shortname]], Comp[], 10, FALSE)</f>
        <v>4.78</v>
      </c>
      <c r="N168">
        <f>VLOOKUP(Table9[[#This Row],[Shortname]], Comp[], 11, FALSE)</f>
        <v>0</v>
      </c>
      <c r="O168">
        <f>VLOOKUP(Table9[[#This Row],[Shortname]], Comp[],12, FALSE)</f>
        <v>2.13</v>
      </c>
      <c r="P168">
        <f>VLOOKUP(Table9[[#This Row],[Shortname]], Comp[], 13, FALSE)</f>
        <v>1.91</v>
      </c>
      <c r="Q168">
        <f>VLOOKUP(Table9[[#This Row],[Shortname]], Comp[], 14, FALSE)</f>
        <v>0</v>
      </c>
      <c r="R168">
        <f>VLOOKUP(Table9[[#This Row],[Shortname]], Comp[], 15, FALSE)</f>
        <v>0</v>
      </c>
      <c r="S168">
        <f>VLOOKUP(Table9[[#This Row],[Shortname]], Comp[], 16, FALSE)</f>
        <v>4.95</v>
      </c>
      <c r="T168">
        <f>VLOOKUP(Table9[[#This Row],[Shortname]], Comp[], 17, FALSE)</f>
        <v>0</v>
      </c>
      <c r="U168">
        <f>VLOOKUP(Table9[[#This Row],[Shortname]], Comp[], 18, FALSE)</f>
        <v>0</v>
      </c>
      <c r="V168">
        <f>VLOOKUP(Table9[[#This Row],[Shortname]], Comp[], 19, FALSE)</f>
        <v>0</v>
      </c>
      <c r="W168">
        <f>VLOOKUP(Table9[[#This Row],[Shortname]], Comp[], 20, FALSE)</f>
        <v>0</v>
      </c>
      <c r="X168">
        <f>VLOOKUP(Table9[[#This Row],[Shortname]], Comp[], 21, FALSE)</f>
        <v>0</v>
      </c>
      <c r="Y168">
        <f>VLOOKUP(Table9[[#This Row],[Shortname]], Comp[], 22, FALSE)</f>
        <v>0</v>
      </c>
      <c r="Z168">
        <f>VLOOKUP(Table9[[#This Row],[Shortname]], Comp[], 23, FALSE)</f>
        <v>0</v>
      </c>
      <c r="AA168">
        <f>VLOOKUP(Table9[[#This Row],[Shortname]], Comp[], 24, FALSE)</f>
        <v>0</v>
      </c>
      <c r="AB168">
        <f>VLOOKUP(Table9[[#This Row],[Shortname]], Comp[], 25, FALSE)</f>
        <v>0</v>
      </c>
      <c r="AC168">
        <f>VLOOKUP(Table9[[#This Row],[Shortname]], Comp[], 26, FALSE)</f>
        <v>0</v>
      </c>
      <c r="AD168">
        <f>VLOOKUP(Table9[[#This Row],[Shortname]], Comp[], 27, FALSE)</f>
        <v>0</v>
      </c>
      <c r="AE168">
        <f>VLOOKUP(Table9[[#This Row],[Shortname]], Comp[], 28, FALSE)</f>
        <v>0</v>
      </c>
      <c r="AF168">
        <f>VLOOKUP(Table9[[#This Row],[Shortname]], Comp[], 29, FALSE)</f>
        <v>0</v>
      </c>
      <c r="AG168">
        <f>VLOOKUP(Table9[[#This Row],[Shortname]], Comp[], 30, FALSE)</f>
        <v>0</v>
      </c>
      <c r="AH168">
        <f>VLOOKUP(Table9[[#This Row],[Shortname]], Comp[], 31, FALSE)</f>
        <v>0</v>
      </c>
    </row>
    <row r="169" spans="1:34" x14ac:dyDescent="0.3">
      <c r="A169" t="s">
        <v>552</v>
      </c>
      <c r="B169" t="s">
        <v>6697</v>
      </c>
      <c r="C169" t="s">
        <v>499</v>
      </c>
      <c r="D169">
        <v>572</v>
      </c>
      <c r="E169">
        <v>800</v>
      </c>
      <c r="F169">
        <v>1E-4</v>
      </c>
      <c r="G169">
        <v>1</v>
      </c>
      <c r="I169">
        <f>VLOOKUP(Table9[[#This Row],[Shortname]], Comp[], 6, FALSE)</f>
        <v>71</v>
      </c>
      <c r="J169" s="14">
        <f>VLOOKUP(Table9[[#This Row],[Shortname]], Comp[], 7, FALSE)</f>
        <v>72.800000000000011</v>
      </c>
      <c r="K169">
        <f>VLOOKUP(Table9[[#This Row],[Shortname]], Comp[], 8, FALSE)</f>
        <v>10.199999999999999</v>
      </c>
      <c r="L169">
        <f>VLOOKUP(Table9[[#This Row],[Shortname]], Comp[], 9, FALSE)</f>
        <v>8.1</v>
      </c>
      <c r="M169">
        <f>VLOOKUP(Table9[[#This Row],[Shortname]], Comp[], 10, FALSE)</f>
        <v>0</v>
      </c>
      <c r="N169">
        <f>VLOOKUP(Table9[[#This Row],[Shortname]], Comp[], 11, FALSE)</f>
        <v>8.9</v>
      </c>
      <c r="O169">
        <f>VLOOKUP(Table9[[#This Row],[Shortname]], Comp[],12, FALSE)</f>
        <v>0</v>
      </c>
      <c r="P169">
        <f>VLOOKUP(Table9[[#This Row],[Shortname]], Comp[], 13, FALSE)</f>
        <v>0</v>
      </c>
      <c r="Q169">
        <f>VLOOKUP(Table9[[#This Row],[Shortname]], Comp[], 14, FALSE)</f>
        <v>0</v>
      </c>
      <c r="R169">
        <f>VLOOKUP(Table9[[#This Row],[Shortname]], Comp[], 15, FALSE)</f>
        <v>0</v>
      </c>
      <c r="S169">
        <f>VLOOKUP(Table9[[#This Row],[Shortname]], Comp[], 16, FALSE)</f>
        <v>0</v>
      </c>
      <c r="T169">
        <f>VLOOKUP(Table9[[#This Row],[Shortname]], Comp[], 17, FALSE)</f>
        <v>0</v>
      </c>
      <c r="U169">
        <f>VLOOKUP(Table9[[#This Row],[Shortname]], Comp[], 18, FALSE)</f>
        <v>0</v>
      </c>
      <c r="V169">
        <f>VLOOKUP(Table9[[#This Row],[Shortname]], Comp[], 19, FALSE)</f>
        <v>0</v>
      </c>
      <c r="W169">
        <f>VLOOKUP(Table9[[#This Row],[Shortname]], Comp[], 20, FALSE)</f>
        <v>0</v>
      </c>
      <c r="X169">
        <f>VLOOKUP(Table9[[#This Row],[Shortname]], Comp[], 21, FALSE)</f>
        <v>0</v>
      </c>
      <c r="Y169">
        <f>VLOOKUP(Table9[[#This Row],[Shortname]], Comp[], 22, FALSE)</f>
        <v>0</v>
      </c>
      <c r="Z169">
        <f>VLOOKUP(Table9[[#This Row],[Shortname]], Comp[], 23, FALSE)</f>
        <v>0</v>
      </c>
      <c r="AA169">
        <f>VLOOKUP(Table9[[#This Row],[Shortname]], Comp[], 24, FALSE)</f>
        <v>0</v>
      </c>
      <c r="AB169">
        <f>VLOOKUP(Table9[[#This Row],[Shortname]], Comp[], 25, FALSE)</f>
        <v>0</v>
      </c>
      <c r="AC169">
        <f>VLOOKUP(Table9[[#This Row],[Shortname]], Comp[], 26, FALSE)</f>
        <v>0</v>
      </c>
      <c r="AD169">
        <f>VLOOKUP(Table9[[#This Row],[Shortname]], Comp[], 27, FALSE)</f>
        <v>0</v>
      </c>
      <c r="AE169">
        <f>VLOOKUP(Table9[[#This Row],[Shortname]], Comp[], 28, FALSE)</f>
        <v>0</v>
      </c>
      <c r="AF169">
        <f>VLOOKUP(Table9[[#This Row],[Shortname]], Comp[], 29, FALSE)</f>
        <v>0</v>
      </c>
      <c r="AG169">
        <f>VLOOKUP(Table9[[#This Row],[Shortname]], Comp[], 30, FALSE)</f>
        <v>0</v>
      </c>
      <c r="AH169">
        <f>VLOOKUP(Table9[[#This Row],[Shortname]], Comp[], 31, FALSE)</f>
        <v>0</v>
      </c>
    </row>
    <row r="170" spans="1:34" x14ac:dyDescent="0.3">
      <c r="A170" t="s">
        <v>534</v>
      </c>
      <c r="B170" t="s">
        <v>6695</v>
      </c>
      <c r="C170" t="s">
        <v>499</v>
      </c>
      <c r="D170">
        <v>572</v>
      </c>
      <c r="E170">
        <v>600</v>
      </c>
      <c r="F170">
        <v>1E-4</v>
      </c>
      <c r="G170">
        <v>1</v>
      </c>
      <c r="I170">
        <f>VLOOKUP(Table9[[#This Row],[Shortname]], Comp[], 6, FALSE)</f>
        <v>69</v>
      </c>
      <c r="J170" s="14">
        <f>VLOOKUP(Table9[[#This Row],[Shortname]], Comp[], 7, FALSE)</f>
        <v>72.3</v>
      </c>
      <c r="K170">
        <f>VLOOKUP(Table9[[#This Row],[Shortname]], Comp[], 8, FALSE)</f>
        <v>10.3</v>
      </c>
      <c r="L170">
        <f>VLOOKUP(Table9[[#This Row],[Shortname]], Comp[], 9, FALSE)</f>
        <v>6.3</v>
      </c>
      <c r="M170">
        <f>VLOOKUP(Table9[[#This Row],[Shortname]], Comp[], 10, FALSE)</f>
        <v>0</v>
      </c>
      <c r="N170">
        <f>VLOOKUP(Table9[[#This Row],[Shortname]], Comp[], 11, FALSE)</f>
        <v>7</v>
      </c>
      <c r="O170">
        <f>VLOOKUP(Table9[[#This Row],[Shortname]], Comp[],12, FALSE)</f>
        <v>4.0999999999999996</v>
      </c>
      <c r="P170">
        <f>VLOOKUP(Table9[[#This Row],[Shortname]], Comp[], 13, FALSE)</f>
        <v>0</v>
      </c>
      <c r="Q170">
        <f>VLOOKUP(Table9[[#This Row],[Shortname]], Comp[], 14, FALSE)</f>
        <v>0</v>
      </c>
      <c r="R170">
        <f>VLOOKUP(Table9[[#This Row],[Shortname]], Comp[], 15, FALSE)</f>
        <v>0</v>
      </c>
      <c r="S170">
        <f>VLOOKUP(Table9[[#This Row],[Shortname]], Comp[], 16, FALSE)</f>
        <v>0</v>
      </c>
      <c r="T170">
        <f>VLOOKUP(Table9[[#This Row],[Shortname]], Comp[], 17, FALSE)</f>
        <v>0</v>
      </c>
      <c r="U170">
        <f>VLOOKUP(Table9[[#This Row],[Shortname]], Comp[], 18, FALSE)</f>
        <v>0</v>
      </c>
      <c r="V170">
        <f>VLOOKUP(Table9[[#This Row],[Shortname]], Comp[], 19, FALSE)</f>
        <v>0</v>
      </c>
      <c r="W170">
        <f>VLOOKUP(Table9[[#This Row],[Shortname]], Comp[], 20, FALSE)</f>
        <v>0</v>
      </c>
      <c r="X170">
        <f>VLOOKUP(Table9[[#This Row],[Shortname]], Comp[], 21, FALSE)</f>
        <v>0</v>
      </c>
      <c r="Y170">
        <f>VLOOKUP(Table9[[#This Row],[Shortname]], Comp[], 22, FALSE)</f>
        <v>0</v>
      </c>
      <c r="Z170">
        <f>VLOOKUP(Table9[[#This Row],[Shortname]], Comp[], 23, FALSE)</f>
        <v>0</v>
      </c>
      <c r="AA170">
        <f>VLOOKUP(Table9[[#This Row],[Shortname]], Comp[], 24, FALSE)</f>
        <v>0</v>
      </c>
      <c r="AB170">
        <f>VLOOKUP(Table9[[#This Row],[Shortname]], Comp[], 25, FALSE)</f>
        <v>0</v>
      </c>
      <c r="AC170">
        <f>VLOOKUP(Table9[[#This Row],[Shortname]], Comp[], 26, FALSE)</f>
        <v>0</v>
      </c>
      <c r="AD170">
        <f>VLOOKUP(Table9[[#This Row],[Shortname]], Comp[], 27, FALSE)</f>
        <v>0</v>
      </c>
      <c r="AE170">
        <f>VLOOKUP(Table9[[#This Row],[Shortname]], Comp[], 28, FALSE)</f>
        <v>0</v>
      </c>
      <c r="AF170">
        <f>VLOOKUP(Table9[[#This Row],[Shortname]], Comp[], 29, FALSE)</f>
        <v>0</v>
      </c>
      <c r="AG170">
        <f>VLOOKUP(Table9[[#This Row],[Shortname]], Comp[], 30, FALSE)</f>
        <v>0</v>
      </c>
      <c r="AH170">
        <f>VLOOKUP(Table9[[#This Row],[Shortname]], Comp[], 31, FALSE)</f>
        <v>0</v>
      </c>
    </row>
    <row r="171" spans="1:34" x14ac:dyDescent="0.3">
      <c r="A171" t="s">
        <v>2839</v>
      </c>
      <c r="B171" t="s">
        <v>2841</v>
      </c>
      <c r="C171" t="s">
        <v>2842</v>
      </c>
      <c r="D171">
        <v>571</v>
      </c>
      <c r="E171">
        <v>570</v>
      </c>
      <c r="F171">
        <v>1E-3</v>
      </c>
      <c r="G171">
        <v>1</v>
      </c>
      <c r="H171" t="s">
        <v>6803</v>
      </c>
      <c r="I171">
        <f>VLOOKUP(Table9[[#This Row],[Shortname]], Comp[], 6, FALSE)</f>
        <v>384</v>
      </c>
      <c r="J171" s="14">
        <f>VLOOKUP(Table9[[#This Row],[Shortname]], Comp[], 7, FALSE)</f>
        <v>50.400000000000006</v>
      </c>
      <c r="K171">
        <f>VLOOKUP(Table9[[#This Row],[Shortname]], Comp[], 8, FALSE)</f>
        <v>30.4</v>
      </c>
      <c r="L171">
        <f>VLOOKUP(Table9[[#This Row],[Shortname]], Comp[], 9, FALSE)</f>
        <v>9.5</v>
      </c>
      <c r="M171">
        <f>VLOOKUP(Table9[[#This Row],[Shortname]], Comp[], 10, FALSE)</f>
        <v>0</v>
      </c>
      <c r="N171">
        <f>VLOOKUP(Table9[[#This Row],[Shortname]], Comp[], 11, FALSE)</f>
        <v>0</v>
      </c>
      <c r="O171">
        <f>VLOOKUP(Table9[[#This Row],[Shortname]], Comp[],12, FALSE)</f>
        <v>0</v>
      </c>
      <c r="P171">
        <f>VLOOKUP(Table9[[#This Row],[Shortname]], Comp[], 13, FALSE)</f>
        <v>0</v>
      </c>
      <c r="Q171">
        <f>VLOOKUP(Table9[[#This Row],[Shortname]], Comp[], 14, FALSE)</f>
        <v>2.4</v>
      </c>
      <c r="R171">
        <f>VLOOKUP(Table9[[#This Row],[Shortname]], Comp[], 15, FALSE)</f>
        <v>0</v>
      </c>
      <c r="S171">
        <f>VLOOKUP(Table9[[#This Row],[Shortname]], Comp[], 16, FALSE)</f>
        <v>5.3</v>
      </c>
      <c r="T171">
        <f>VLOOKUP(Table9[[#This Row],[Shortname]], Comp[], 17, FALSE)</f>
        <v>0</v>
      </c>
      <c r="U171">
        <f>VLOOKUP(Table9[[#This Row],[Shortname]], Comp[], 18, FALSE)</f>
        <v>0</v>
      </c>
      <c r="V171">
        <f>VLOOKUP(Table9[[#This Row],[Shortname]], Comp[], 19, FALSE)</f>
        <v>0</v>
      </c>
      <c r="W171">
        <f>VLOOKUP(Table9[[#This Row],[Shortname]], Comp[], 20, FALSE)</f>
        <v>0</v>
      </c>
      <c r="X171">
        <f>VLOOKUP(Table9[[#This Row],[Shortname]], Comp[], 21, FALSE)</f>
        <v>2</v>
      </c>
      <c r="Y171">
        <f>VLOOKUP(Table9[[#This Row],[Shortname]], Comp[], 22, FALSE)</f>
        <v>0</v>
      </c>
      <c r="Z171">
        <f>VLOOKUP(Table9[[#This Row],[Shortname]], Comp[], 23, FALSE)</f>
        <v>0</v>
      </c>
      <c r="AA171">
        <f>VLOOKUP(Table9[[#This Row],[Shortname]], Comp[], 24, FALSE)</f>
        <v>0</v>
      </c>
      <c r="AB171">
        <f>VLOOKUP(Table9[[#This Row],[Shortname]], Comp[], 25, FALSE)</f>
        <v>0</v>
      </c>
      <c r="AC171">
        <f>VLOOKUP(Table9[[#This Row],[Shortname]], Comp[], 26, FALSE)</f>
        <v>0</v>
      </c>
      <c r="AD171">
        <f>VLOOKUP(Table9[[#This Row],[Shortname]], Comp[], 27, FALSE)</f>
        <v>0</v>
      </c>
      <c r="AE171">
        <f>VLOOKUP(Table9[[#This Row],[Shortname]], Comp[], 28, FALSE)</f>
        <v>0</v>
      </c>
      <c r="AF171">
        <f>VLOOKUP(Table9[[#This Row],[Shortname]], Comp[], 29, FALSE)</f>
        <v>0</v>
      </c>
      <c r="AG171">
        <f>VLOOKUP(Table9[[#This Row],[Shortname]], Comp[], 30, FALSE)</f>
        <v>0</v>
      </c>
      <c r="AH171">
        <f>VLOOKUP(Table9[[#This Row],[Shortname]], Comp[], 31, FALSE)</f>
        <v>0</v>
      </c>
    </row>
    <row r="172" spans="1:34" x14ac:dyDescent="0.3">
      <c r="A172" t="s">
        <v>3497</v>
      </c>
      <c r="B172" t="s">
        <v>3498</v>
      </c>
      <c r="C172" t="s">
        <v>3495</v>
      </c>
      <c r="D172">
        <v>564</v>
      </c>
      <c r="E172">
        <v>890</v>
      </c>
      <c r="F172">
        <v>1E-4</v>
      </c>
      <c r="G172">
        <v>1</v>
      </c>
      <c r="H172" t="s">
        <v>6803</v>
      </c>
      <c r="I172">
        <f>VLOOKUP(Table9[[#This Row],[Shortname]], Comp[], 6, FALSE)</f>
        <v>503</v>
      </c>
      <c r="J172" s="14">
        <f>VLOOKUP(Table9[[#This Row],[Shortname]], Comp[], 7, FALSE)</f>
        <v>80</v>
      </c>
      <c r="K172">
        <f>VLOOKUP(Table9[[#This Row],[Shortname]], Comp[], 8, FALSE)</f>
        <v>0</v>
      </c>
      <c r="L172">
        <f>VLOOKUP(Table9[[#This Row],[Shortname]], Comp[], 9, FALSE)</f>
        <v>9</v>
      </c>
      <c r="M172">
        <f>VLOOKUP(Table9[[#This Row],[Shortname]], Comp[], 10, FALSE)</f>
        <v>0</v>
      </c>
      <c r="N172">
        <f>VLOOKUP(Table9[[#This Row],[Shortname]], Comp[], 11, FALSE)</f>
        <v>9</v>
      </c>
      <c r="O172">
        <f>VLOOKUP(Table9[[#This Row],[Shortname]], Comp[],12, FALSE)</f>
        <v>0</v>
      </c>
      <c r="P172">
        <f>VLOOKUP(Table9[[#This Row],[Shortname]], Comp[], 13, FALSE)</f>
        <v>2</v>
      </c>
      <c r="Q172">
        <f>VLOOKUP(Table9[[#This Row],[Shortname]], Comp[], 14, FALSE)</f>
        <v>0</v>
      </c>
      <c r="R172">
        <f>VLOOKUP(Table9[[#This Row],[Shortname]], Comp[], 15, FALSE)</f>
        <v>0</v>
      </c>
      <c r="S172">
        <f>VLOOKUP(Table9[[#This Row],[Shortname]], Comp[], 16, FALSE)</f>
        <v>0</v>
      </c>
      <c r="T172">
        <f>VLOOKUP(Table9[[#This Row],[Shortname]], Comp[], 17, FALSE)</f>
        <v>0</v>
      </c>
      <c r="U172">
        <f>VLOOKUP(Table9[[#This Row],[Shortname]], Comp[], 18, FALSE)</f>
        <v>0</v>
      </c>
      <c r="V172">
        <f>VLOOKUP(Table9[[#This Row],[Shortname]], Comp[], 19, FALSE)</f>
        <v>0</v>
      </c>
      <c r="W172">
        <f>VLOOKUP(Table9[[#This Row],[Shortname]], Comp[], 20, FALSE)</f>
        <v>0</v>
      </c>
      <c r="X172">
        <f>VLOOKUP(Table9[[#This Row],[Shortname]], Comp[], 21, FALSE)</f>
        <v>0</v>
      </c>
      <c r="Y172">
        <f>VLOOKUP(Table9[[#This Row],[Shortname]], Comp[], 22, FALSE)</f>
        <v>0</v>
      </c>
      <c r="Z172">
        <f>VLOOKUP(Table9[[#This Row],[Shortname]], Comp[], 23, FALSE)</f>
        <v>0</v>
      </c>
      <c r="AA172">
        <f>VLOOKUP(Table9[[#This Row],[Shortname]], Comp[], 24, FALSE)</f>
        <v>0</v>
      </c>
      <c r="AB172">
        <f>VLOOKUP(Table9[[#This Row],[Shortname]], Comp[], 25, FALSE)</f>
        <v>0</v>
      </c>
      <c r="AC172">
        <f>VLOOKUP(Table9[[#This Row],[Shortname]], Comp[], 26, FALSE)</f>
        <v>0</v>
      </c>
      <c r="AD172">
        <f>VLOOKUP(Table9[[#This Row],[Shortname]], Comp[], 27, FALSE)</f>
        <v>0</v>
      </c>
      <c r="AE172">
        <f>VLOOKUP(Table9[[#This Row],[Shortname]], Comp[], 28, FALSE)</f>
        <v>0</v>
      </c>
      <c r="AF172">
        <f>VLOOKUP(Table9[[#This Row],[Shortname]], Comp[], 29, FALSE)</f>
        <v>0</v>
      </c>
      <c r="AG172">
        <f>VLOOKUP(Table9[[#This Row],[Shortname]], Comp[], 30, FALSE)</f>
        <v>0</v>
      </c>
      <c r="AH172">
        <f>VLOOKUP(Table9[[#This Row],[Shortname]], Comp[], 31, FALSE)</f>
        <v>0</v>
      </c>
    </row>
    <row r="173" spans="1:34" x14ac:dyDescent="0.3">
      <c r="A173" t="s">
        <v>2224</v>
      </c>
      <c r="B173" t="s">
        <v>2226</v>
      </c>
      <c r="C173" t="s">
        <v>2211</v>
      </c>
      <c r="D173">
        <v>563</v>
      </c>
      <c r="E173">
        <v>750</v>
      </c>
      <c r="F173">
        <v>1E-4</v>
      </c>
      <c r="G173">
        <v>1</v>
      </c>
      <c r="H173" t="s">
        <v>6803</v>
      </c>
      <c r="I173">
        <f>VLOOKUP(Table9[[#This Row],[Shortname]], Comp[], 6, FALSE)</f>
        <v>293</v>
      </c>
      <c r="J173" s="14">
        <f>VLOOKUP(Table9[[#This Row],[Shortname]], Comp[], 7, FALSE)</f>
        <v>83.9</v>
      </c>
      <c r="K173">
        <f>VLOOKUP(Table9[[#This Row],[Shortname]], Comp[], 8, FALSE)</f>
        <v>0</v>
      </c>
      <c r="L173">
        <f>VLOOKUP(Table9[[#This Row],[Shortname]], Comp[], 9, FALSE)</f>
        <v>0</v>
      </c>
      <c r="M173">
        <f>VLOOKUP(Table9[[#This Row],[Shortname]], Comp[], 10, FALSE)</f>
        <v>0</v>
      </c>
      <c r="N173">
        <f>VLOOKUP(Table9[[#This Row],[Shortname]], Comp[], 11, FALSE)</f>
        <v>2.1</v>
      </c>
      <c r="O173">
        <f>VLOOKUP(Table9[[#This Row],[Shortname]], Comp[],12, FALSE)</f>
        <v>4.0999999999999996</v>
      </c>
      <c r="P173">
        <f>VLOOKUP(Table9[[#This Row],[Shortname]], Comp[], 13, FALSE)</f>
        <v>0</v>
      </c>
      <c r="Q173">
        <f>VLOOKUP(Table9[[#This Row],[Shortname]], Comp[], 14, FALSE)</f>
        <v>0</v>
      </c>
      <c r="R173">
        <f>VLOOKUP(Table9[[#This Row],[Shortname]], Comp[], 15, FALSE)</f>
        <v>9.9</v>
      </c>
      <c r="S173">
        <f>VLOOKUP(Table9[[#This Row],[Shortname]], Comp[], 16, FALSE)</f>
        <v>0</v>
      </c>
      <c r="T173">
        <f>VLOOKUP(Table9[[#This Row],[Shortname]], Comp[], 17, FALSE)</f>
        <v>0</v>
      </c>
      <c r="U173">
        <f>VLOOKUP(Table9[[#This Row],[Shortname]], Comp[], 18, FALSE)</f>
        <v>0</v>
      </c>
      <c r="V173">
        <f>VLOOKUP(Table9[[#This Row],[Shortname]], Comp[], 19, FALSE)</f>
        <v>0</v>
      </c>
      <c r="W173">
        <f>VLOOKUP(Table9[[#This Row],[Shortname]], Comp[], 20, FALSE)</f>
        <v>0</v>
      </c>
      <c r="X173">
        <f>VLOOKUP(Table9[[#This Row],[Shortname]], Comp[], 21, FALSE)</f>
        <v>0</v>
      </c>
      <c r="Y173">
        <f>VLOOKUP(Table9[[#This Row],[Shortname]], Comp[], 22, FALSE)</f>
        <v>0</v>
      </c>
      <c r="Z173">
        <f>VLOOKUP(Table9[[#This Row],[Shortname]], Comp[], 23, FALSE)</f>
        <v>0</v>
      </c>
      <c r="AA173">
        <f>VLOOKUP(Table9[[#This Row],[Shortname]], Comp[], 24, FALSE)</f>
        <v>0</v>
      </c>
      <c r="AB173">
        <f>VLOOKUP(Table9[[#This Row],[Shortname]], Comp[], 25, FALSE)</f>
        <v>0</v>
      </c>
      <c r="AC173">
        <f>VLOOKUP(Table9[[#This Row],[Shortname]], Comp[], 26, FALSE)</f>
        <v>0</v>
      </c>
      <c r="AD173">
        <f>VLOOKUP(Table9[[#This Row],[Shortname]], Comp[], 27, FALSE)</f>
        <v>0</v>
      </c>
      <c r="AE173">
        <f>VLOOKUP(Table9[[#This Row],[Shortname]], Comp[], 28, FALSE)</f>
        <v>0</v>
      </c>
      <c r="AF173">
        <f>VLOOKUP(Table9[[#This Row],[Shortname]], Comp[], 29, FALSE)</f>
        <v>0</v>
      </c>
      <c r="AG173">
        <f>VLOOKUP(Table9[[#This Row],[Shortname]], Comp[], 30, FALSE)</f>
        <v>0</v>
      </c>
      <c r="AH173">
        <f>VLOOKUP(Table9[[#This Row],[Shortname]], Comp[], 31, FALSE)</f>
        <v>0</v>
      </c>
    </row>
    <row r="174" spans="1:34" x14ac:dyDescent="0.3">
      <c r="A174" t="s">
        <v>1735</v>
      </c>
      <c r="B174" t="s">
        <v>2354</v>
      </c>
      <c r="C174" t="s">
        <v>3480</v>
      </c>
      <c r="D174">
        <v>563</v>
      </c>
      <c r="E174">
        <v>890</v>
      </c>
      <c r="F174">
        <v>1E-4</v>
      </c>
      <c r="G174">
        <v>1</v>
      </c>
      <c r="H174" t="s">
        <v>6803</v>
      </c>
      <c r="I174">
        <f>VLOOKUP(Table9[[#This Row],[Shortname]], Comp[], 6, FALSE)</f>
        <v>222</v>
      </c>
      <c r="J174" s="14">
        <f>VLOOKUP(Table9[[#This Row],[Shortname]], Comp[], 7, FALSE)</f>
        <v>79.400000000000006</v>
      </c>
      <c r="K174">
        <f>VLOOKUP(Table9[[#This Row],[Shortname]], Comp[], 8, FALSE)</f>
        <v>0</v>
      </c>
      <c r="L174">
        <f>VLOOKUP(Table9[[#This Row],[Shortname]], Comp[], 9, FALSE)</f>
        <v>8.8000000000000007</v>
      </c>
      <c r="M174">
        <f>VLOOKUP(Table9[[#This Row],[Shortname]], Comp[], 10, FALSE)</f>
        <v>0</v>
      </c>
      <c r="N174">
        <f>VLOOKUP(Table9[[#This Row],[Shortname]], Comp[], 11, FALSE)</f>
        <v>9.8000000000000007</v>
      </c>
      <c r="O174">
        <f>VLOOKUP(Table9[[#This Row],[Shortname]], Comp[],12, FALSE)</f>
        <v>0</v>
      </c>
      <c r="P174">
        <f>VLOOKUP(Table9[[#This Row],[Shortname]], Comp[], 13, FALSE)</f>
        <v>2</v>
      </c>
      <c r="Q174">
        <f>VLOOKUP(Table9[[#This Row],[Shortname]], Comp[], 14, FALSE)</f>
        <v>0</v>
      </c>
      <c r="R174">
        <f>VLOOKUP(Table9[[#This Row],[Shortname]], Comp[], 15, FALSE)</f>
        <v>0</v>
      </c>
      <c r="S174">
        <f>VLOOKUP(Table9[[#This Row],[Shortname]], Comp[], 16, FALSE)</f>
        <v>0</v>
      </c>
      <c r="T174">
        <f>VLOOKUP(Table9[[#This Row],[Shortname]], Comp[], 17, FALSE)</f>
        <v>0</v>
      </c>
      <c r="U174">
        <f>VLOOKUP(Table9[[#This Row],[Shortname]], Comp[], 18, FALSE)</f>
        <v>0</v>
      </c>
      <c r="V174">
        <f>VLOOKUP(Table9[[#This Row],[Shortname]], Comp[], 19, FALSE)</f>
        <v>0</v>
      </c>
      <c r="W174">
        <f>VLOOKUP(Table9[[#This Row],[Shortname]], Comp[], 20, FALSE)</f>
        <v>0</v>
      </c>
      <c r="X174">
        <f>VLOOKUP(Table9[[#This Row],[Shortname]], Comp[], 21, FALSE)</f>
        <v>0</v>
      </c>
      <c r="Y174">
        <f>VLOOKUP(Table9[[#This Row],[Shortname]], Comp[], 22, FALSE)</f>
        <v>0</v>
      </c>
      <c r="Z174">
        <f>VLOOKUP(Table9[[#This Row],[Shortname]], Comp[], 23, FALSE)</f>
        <v>0</v>
      </c>
      <c r="AA174">
        <f>VLOOKUP(Table9[[#This Row],[Shortname]], Comp[], 24, FALSE)</f>
        <v>0</v>
      </c>
      <c r="AB174">
        <f>VLOOKUP(Table9[[#This Row],[Shortname]], Comp[], 25, FALSE)</f>
        <v>0</v>
      </c>
      <c r="AC174">
        <f>VLOOKUP(Table9[[#This Row],[Shortname]], Comp[], 26, FALSE)</f>
        <v>0</v>
      </c>
      <c r="AD174">
        <f>VLOOKUP(Table9[[#This Row],[Shortname]], Comp[], 27, FALSE)</f>
        <v>0</v>
      </c>
      <c r="AE174">
        <f>VLOOKUP(Table9[[#This Row],[Shortname]], Comp[], 28, FALSE)</f>
        <v>0</v>
      </c>
      <c r="AF174">
        <f>VLOOKUP(Table9[[#This Row],[Shortname]], Comp[], 29, FALSE)</f>
        <v>0</v>
      </c>
      <c r="AG174">
        <f>VLOOKUP(Table9[[#This Row],[Shortname]], Comp[], 30, FALSE)</f>
        <v>0</v>
      </c>
      <c r="AH174">
        <f>VLOOKUP(Table9[[#This Row],[Shortname]], Comp[], 31, FALSE)</f>
        <v>0</v>
      </c>
    </row>
    <row r="175" spans="1:34" x14ac:dyDescent="0.3">
      <c r="A175" t="s">
        <v>3138</v>
      </c>
      <c r="B175" t="s">
        <v>3140</v>
      </c>
      <c r="C175" t="s">
        <v>3119</v>
      </c>
      <c r="D175">
        <v>562</v>
      </c>
      <c r="E175">
        <v>700</v>
      </c>
      <c r="F175">
        <v>1E-4</v>
      </c>
      <c r="G175">
        <v>1</v>
      </c>
      <c r="H175" t="s">
        <v>6803</v>
      </c>
      <c r="I175">
        <f>VLOOKUP(Table9[[#This Row],[Shortname]], Comp[], 6, FALSE)</f>
        <v>438</v>
      </c>
      <c r="J175" s="14">
        <f>VLOOKUP(Table9[[#This Row],[Shortname]], Comp[], 7, FALSE)</f>
        <v>84</v>
      </c>
      <c r="K175">
        <f>VLOOKUP(Table9[[#This Row],[Shortname]], Comp[], 8, FALSE)</f>
        <v>0</v>
      </c>
      <c r="L175">
        <f>VLOOKUP(Table9[[#This Row],[Shortname]], Comp[], 9, FALSE)</f>
        <v>2</v>
      </c>
      <c r="M175">
        <f>VLOOKUP(Table9[[#This Row],[Shortname]], Comp[], 10, FALSE)</f>
        <v>0</v>
      </c>
      <c r="N175">
        <f>VLOOKUP(Table9[[#This Row],[Shortname]], Comp[], 11, FALSE)</f>
        <v>0</v>
      </c>
      <c r="O175">
        <f>VLOOKUP(Table9[[#This Row],[Shortname]], Comp[],12, FALSE)</f>
        <v>0</v>
      </c>
      <c r="P175">
        <f>VLOOKUP(Table9[[#This Row],[Shortname]], Comp[], 13, FALSE)</f>
        <v>2</v>
      </c>
      <c r="Q175">
        <f>VLOOKUP(Table9[[#This Row],[Shortname]], Comp[], 14, FALSE)</f>
        <v>0</v>
      </c>
      <c r="R175">
        <f>VLOOKUP(Table9[[#This Row],[Shortname]], Comp[], 15, FALSE)</f>
        <v>12</v>
      </c>
      <c r="S175">
        <f>VLOOKUP(Table9[[#This Row],[Shortname]], Comp[], 16, FALSE)</f>
        <v>0</v>
      </c>
      <c r="T175">
        <f>VLOOKUP(Table9[[#This Row],[Shortname]], Comp[], 17, FALSE)</f>
        <v>0</v>
      </c>
      <c r="U175">
        <f>VLOOKUP(Table9[[#This Row],[Shortname]], Comp[], 18, FALSE)</f>
        <v>0</v>
      </c>
      <c r="V175">
        <f>VLOOKUP(Table9[[#This Row],[Shortname]], Comp[], 19, FALSE)</f>
        <v>0</v>
      </c>
      <c r="W175">
        <f>VLOOKUP(Table9[[#This Row],[Shortname]], Comp[], 20, FALSE)</f>
        <v>0</v>
      </c>
      <c r="X175">
        <f>VLOOKUP(Table9[[#This Row],[Shortname]], Comp[], 21, FALSE)</f>
        <v>0</v>
      </c>
      <c r="Y175">
        <f>VLOOKUP(Table9[[#This Row],[Shortname]], Comp[], 22, FALSE)</f>
        <v>0</v>
      </c>
      <c r="Z175">
        <f>VLOOKUP(Table9[[#This Row],[Shortname]], Comp[], 23, FALSE)</f>
        <v>0</v>
      </c>
      <c r="AA175">
        <f>VLOOKUP(Table9[[#This Row],[Shortname]], Comp[], 24, FALSE)</f>
        <v>0</v>
      </c>
      <c r="AB175">
        <f>VLOOKUP(Table9[[#This Row],[Shortname]], Comp[], 25, FALSE)</f>
        <v>0</v>
      </c>
      <c r="AC175">
        <f>VLOOKUP(Table9[[#This Row],[Shortname]], Comp[], 26, FALSE)</f>
        <v>0</v>
      </c>
      <c r="AD175">
        <f>VLOOKUP(Table9[[#This Row],[Shortname]], Comp[], 27, FALSE)</f>
        <v>0</v>
      </c>
      <c r="AE175">
        <f>VLOOKUP(Table9[[#This Row],[Shortname]], Comp[], 28, FALSE)</f>
        <v>0</v>
      </c>
      <c r="AF175">
        <f>VLOOKUP(Table9[[#This Row],[Shortname]], Comp[], 29, FALSE)</f>
        <v>0</v>
      </c>
      <c r="AG175">
        <f>VLOOKUP(Table9[[#This Row],[Shortname]], Comp[], 30, FALSE)</f>
        <v>0</v>
      </c>
      <c r="AH175">
        <f>VLOOKUP(Table9[[#This Row],[Shortname]], Comp[], 31, FALSE)</f>
        <v>0</v>
      </c>
    </row>
    <row r="176" spans="1:34" x14ac:dyDescent="0.3">
      <c r="A176" t="s">
        <v>2996</v>
      </c>
      <c r="B176" t="s">
        <v>2998</v>
      </c>
      <c r="C176" t="s">
        <v>2999</v>
      </c>
      <c r="D176">
        <v>561</v>
      </c>
      <c r="E176">
        <v>800</v>
      </c>
      <c r="F176">
        <v>1E-4</v>
      </c>
      <c r="G176">
        <v>1</v>
      </c>
      <c r="H176" t="s">
        <v>6803</v>
      </c>
      <c r="I176">
        <f>VLOOKUP(Table9[[#This Row],[Shortname]], Comp[], 6, FALSE)</f>
        <v>412</v>
      </c>
      <c r="J176" s="14">
        <f>VLOOKUP(Table9[[#This Row],[Shortname]], Comp[], 7, FALSE)</f>
        <v>49.82</v>
      </c>
      <c r="K176">
        <f>VLOOKUP(Table9[[#This Row],[Shortname]], Comp[], 8, FALSE)</f>
        <v>30.83</v>
      </c>
      <c r="L176">
        <f>VLOOKUP(Table9[[#This Row],[Shortname]], Comp[], 9, FALSE)</f>
        <v>9.16</v>
      </c>
      <c r="M176">
        <f>VLOOKUP(Table9[[#This Row],[Shortname]], Comp[], 10, FALSE)</f>
        <v>0</v>
      </c>
      <c r="N176">
        <f>VLOOKUP(Table9[[#This Row],[Shortname]], Comp[], 11, FALSE)</f>
        <v>5.09</v>
      </c>
      <c r="O176">
        <f>VLOOKUP(Table9[[#This Row],[Shortname]], Comp[],12, FALSE)</f>
        <v>4.0999999999999996</v>
      </c>
      <c r="P176">
        <f>VLOOKUP(Table9[[#This Row],[Shortname]], Comp[], 13, FALSE)</f>
        <v>1</v>
      </c>
      <c r="Q176">
        <f>VLOOKUP(Table9[[#This Row],[Shortname]], Comp[], 14, FALSE)</f>
        <v>0</v>
      </c>
      <c r="R176">
        <f>VLOOKUP(Table9[[#This Row],[Shortname]], Comp[], 15, FALSE)</f>
        <v>0</v>
      </c>
      <c r="S176">
        <f>VLOOKUP(Table9[[#This Row],[Shortname]], Comp[], 16, FALSE)</f>
        <v>0</v>
      </c>
      <c r="T176">
        <f>VLOOKUP(Table9[[#This Row],[Shortname]], Comp[], 17, FALSE)</f>
        <v>0</v>
      </c>
      <c r="U176">
        <f>VLOOKUP(Table9[[#This Row],[Shortname]], Comp[], 18, FALSE)</f>
        <v>0</v>
      </c>
      <c r="V176">
        <f>VLOOKUP(Table9[[#This Row],[Shortname]], Comp[], 19, FALSE)</f>
        <v>0</v>
      </c>
      <c r="W176">
        <f>VLOOKUP(Table9[[#This Row],[Shortname]], Comp[], 20, FALSE)</f>
        <v>0</v>
      </c>
      <c r="X176">
        <f>VLOOKUP(Table9[[#This Row],[Shortname]], Comp[], 21, FALSE)</f>
        <v>0</v>
      </c>
      <c r="Y176">
        <f>VLOOKUP(Table9[[#This Row],[Shortname]], Comp[], 22, FALSE)</f>
        <v>0</v>
      </c>
      <c r="Z176">
        <f>VLOOKUP(Table9[[#This Row],[Shortname]], Comp[], 23, FALSE)</f>
        <v>0</v>
      </c>
      <c r="AA176">
        <f>VLOOKUP(Table9[[#This Row],[Shortname]], Comp[], 24, FALSE)</f>
        <v>0</v>
      </c>
      <c r="AB176">
        <f>VLOOKUP(Table9[[#This Row],[Shortname]], Comp[], 25, FALSE)</f>
        <v>0</v>
      </c>
      <c r="AC176">
        <f>VLOOKUP(Table9[[#This Row],[Shortname]], Comp[], 26, FALSE)</f>
        <v>0</v>
      </c>
      <c r="AD176">
        <f>VLOOKUP(Table9[[#This Row],[Shortname]], Comp[], 27, FALSE)</f>
        <v>0</v>
      </c>
      <c r="AE176">
        <f>VLOOKUP(Table9[[#This Row],[Shortname]], Comp[], 28, FALSE)</f>
        <v>0</v>
      </c>
      <c r="AF176">
        <f>VLOOKUP(Table9[[#This Row],[Shortname]], Comp[], 29, FALSE)</f>
        <v>0</v>
      </c>
      <c r="AG176">
        <f>VLOOKUP(Table9[[#This Row],[Shortname]], Comp[], 30, FALSE)</f>
        <v>0</v>
      </c>
      <c r="AH176">
        <f>VLOOKUP(Table9[[#This Row],[Shortname]], Comp[], 31, FALSE)</f>
        <v>0</v>
      </c>
    </row>
    <row r="177" spans="1:34" x14ac:dyDescent="0.3">
      <c r="A177" t="s">
        <v>2989</v>
      </c>
      <c r="B177" t="s">
        <v>2991</v>
      </c>
      <c r="C177" t="s">
        <v>2992</v>
      </c>
      <c r="D177">
        <v>560</v>
      </c>
      <c r="E177">
        <v>800</v>
      </c>
      <c r="F177">
        <v>1E-4</v>
      </c>
      <c r="G177">
        <v>1</v>
      </c>
      <c r="H177" t="s">
        <v>6803</v>
      </c>
      <c r="I177">
        <f>VLOOKUP(Table9[[#This Row],[Shortname]], Comp[], 6, FALSE)</f>
        <v>411</v>
      </c>
      <c r="J177" s="14">
        <f>VLOOKUP(Table9[[#This Row],[Shortname]], Comp[], 7, FALSE)</f>
        <v>84</v>
      </c>
      <c r="K177">
        <f>VLOOKUP(Table9[[#This Row],[Shortname]], Comp[], 8, FALSE)</f>
        <v>0</v>
      </c>
      <c r="L177">
        <f>VLOOKUP(Table9[[#This Row],[Shortname]], Comp[], 9, FALSE)</f>
        <v>0</v>
      </c>
      <c r="M177">
        <f>VLOOKUP(Table9[[#This Row],[Shortname]], Comp[], 10, FALSE)</f>
        <v>0</v>
      </c>
      <c r="N177">
        <f>VLOOKUP(Table9[[#This Row],[Shortname]], Comp[], 11, FALSE)</f>
        <v>0</v>
      </c>
      <c r="O177">
        <f>VLOOKUP(Table9[[#This Row],[Shortname]], Comp[],12, FALSE)</f>
        <v>2</v>
      </c>
      <c r="P177">
        <f>VLOOKUP(Table9[[#This Row],[Shortname]], Comp[], 13, FALSE)</f>
        <v>2</v>
      </c>
      <c r="Q177">
        <f>VLOOKUP(Table9[[#This Row],[Shortname]], Comp[], 14, FALSE)</f>
        <v>0</v>
      </c>
      <c r="R177">
        <f>VLOOKUP(Table9[[#This Row],[Shortname]], Comp[], 15, FALSE)</f>
        <v>12</v>
      </c>
      <c r="S177">
        <f>VLOOKUP(Table9[[#This Row],[Shortname]], Comp[], 16, FALSE)</f>
        <v>0</v>
      </c>
      <c r="T177">
        <f>VLOOKUP(Table9[[#This Row],[Shortname]], Comp[], 17, FALSE)</f>
        <v>0</v>
      </c>
      <c r="U177">
        <f>VLOOKUP(Table9[[#This Row],[Shortname]], Comp[], 18, FALSE)</f>
        <v>0</v>
      </c>
      <c r="V177">
        <f>VLOOKUP(Table9[[#This Row],[Shortname]], Comp[], 19, FALSE)</f>
        <v>0</v>
      </c>
      <c r="W177">
        <f>VLOOKUP(Table9[[#This Row],[Shortname]], Comp[], 20, FALSE)</f>
        <v>0</v>
      </c>
      <c r="X177">
        <f>VLOOKUP(Table9[[#This Row],[Shortname]], Comp[], 21, FALSE)</f>
        <v>0</v>
      </c>
      <c r="Y177">
        <f>VLOOKUP(Table9[[#This Row],[Shortname]], Comp[], 22, FALSE)</f>
        <v>0</v>
      </c>
      <c r="Z177">
        <f>VLOOKUP(Table9[[#This Row],[Shortname]], Comp[], 23, FALSE)</f>
        <v>0</v>
      </c>
      <c r="AA177">
        <f>VLOOKUP(Table9[[#This Row],[Shortname]], Comp[], 24, FALSE)</f>
        <v>0</v>
      </c>
      <c r="AB177">
        <f>VLOOKUP(Table9[[#This Row],[Shortname]], Comp[], 25, FALSE)</f>
        <v>0</v>
      </c>
      <c r="AC177">
        <f>VLOOKUP(Table9[[#This Row],[Shortname]], Comp[], 26, FALSE)</f>
        <v>0</v>
      </c>
      <c r="AD177">
        <f>VLOOKUP(Table9[[#This Row],[Shortname]], Comp[], 27, FALSE)</f>
        <v>0</v>
      </c>
      <c r="AE177">
        <f>VLOOKUP(Table9[[#This Row],[Shortname]], Comp[], 28, FALSE)</f>
        <v>0</v>
      </c>
      <c r="AF177">
        <f>VLOOKUP(Table9[[#This Row],[Shortname]], Comp[], 29, FALSE)</f>
        <v>0</v>
      </c>
      <c r="AG177">
        <f>VLOOKUP(Table9[[#This Row],[Shortname]], Comp[], 30, FALSE)</f>
        <v>0</v>
      </c>
      <c r="AH177">
        <f>VLOOKUP(Table9[[#This Row],[Shortname]], Comp[], 31, FALSE)</f>
        <v>0</v>
      </c>
    </row>
    <row r="178" spans="1:34" x14ac:dyDescent="0.3">
      <c r="A178" t="s">
        <v>3132</v>
      </c>
      <c r="B178" t="s">
        <v>3134</v>
      </c>
      <c r="C178" t="s">
        <v>3119</v>
      </c>
      <c r="D178">
        <v>558</v>
      </c>
      <c r="E178">
        <v>500</v>
      </c>
      <c r="F178">
        <v>1E-4</v>
      </c>
      <c r="G178">
        <v>1</v>
      </c>
      <c r="H178" t="s">
        <v>6803</v>
      </c>
      <c r="I178">
        <f>VLOOKUP(Table9[[#This Row],[Shortname]], Comp[], 6, FALSE)</f>
        <v>437</v>
      </c>
      <c r="J178" s="14">
        <f>VLOOKUP(Table9[[#This Row],[Shortname]], Comp[], 7, FALSE)</f>
        <v>86</v>
      </c>
      <c r="K178">
        <f>VLOOKUP(Table9[[#This Row],[Shortname]], Comp[], 8, FALSE)</f>
        <v>0</v>
      </c>
      <c r="L178">
        <f>VLOOKUP(Table9[[#This Row],[Shortname]], Comp[], 9, FALSE)</f>
        <v>0</v>
      </c>
      <c r="M178">
        <f>VLOOKUP(Table9[[#This Row],[Shortname]], Comp[], 10, FALSE)</f>
        <v>0</v>
      </c>
      <c r="N178">
        <f>VLOOKUP(Table9[[#This Row],[Shortname]], Comp[], 11, FALSE)</f>
        <v>0</v>
      </c>
      <c r="O178">
        <f>VLOOKUP(Table9[[#This Row],[Shortname]], Comp[],12, FALSE)</f>
        <v>0</v>
      </c>
      <c r="P178">
        <f>VLOOKUP(Table9[[#This Row],[Shortname]], Comp[], 13, FALSE)</f>
        <v>2</v>
      </c>
      <c r="Q178">
        <f>VLOOKUP(Table9[[#This Row],[Shortname]], Comp[], 14, FALSE)</f>
        <v>0</v>
      </c>
      <c r="R178">
        <f>VLOOKUP(Table9[[#This Row],[Shortname]], Comp[], 15, FALSE)</f>
        <v>12</v>
      </c>
      <c r="S178">
        <f>VLOOKUP(Table9[[#This Row],[Shortname]], Comp[], 16, FALSE)</f>
        <v>0</v>
      </c>
      <c r="T178">
        <f>VLOOKUP(Table9[[#This Row],[Shortname]], Comp[], 17, FALSE)</f>
        <v>0</v>
      </c>
      <c r="U178">
        <f>VLOOKUP(Table9[[#This Row],[Shortname]], Comp[], 18, FALSE)</f>
        <v>0</v>
      </c>
      <c r="V178">
        <f>VLOOKUP(Table9[[#This Row],[Shortname]], Comp[], 19, FALSE)</f>
        <v>0</v>
      </c>
      <c r="W178">
        <f>VLOOKUP(Table9[[#This Row],[Shortname]], Comp[], 20, FALSE)</f>
        <v>0</v>
      </c>
      <c r="X178">
        <f>VLOOKUP(Table9[[#This Row],[Shortname]], Comp[], 21, FALSE)</f>
        <v>0</v>
      </c>
      <c r="Y178">
        <f>VLOOKUP(Table9[[#This Row],[Shortname]], Comp[], 22, FALSE)</f>
        <v>0</v>
      </c>
      <c r="Z178">
        <f>VLOOKUP(Table9[[#This Row],[Shortname]], Comp[], 23, FALSE)</f>
        <v>0</v>
      </c>
      <c r="AA178">
        <f>VLOOKUP(Table9[[#This Row],[Shortname]], Comp[], 24, FALSE)</f>
        <v>0</v>
      </c>
      <c r="AB178">
        <f>VLOOKUP(Table9[[#This Row],[Shortname]], Comp[], 25, FALSE)</f>
        <v>0</v>
      </c>
      <c r="AC178">
        <f>VLOOKUP(Table9[[#This Row],[Shortname]], Comp[], 26, FALSE)</f>
        <v>0</v>
      </c>
      <c r="AD178">
        <f>VLOOKUP(Table9[[#This Row],[Shortname]], Comp[], 27, FALSE)</f>
        <v>0</v>
      </c>
      <c r="AE178">
        <f>VLOOKUP(Table9[[#This Row],[Shortname]], Comp[], 28, FALSE)</f>
        <v>0</v>
      </c>
      <c r="AF178">
        <f>VLOOKUP(Table9[[#This Row],[Shortname]], Comp[], 29, FALSE)</f>
        <v>0</v>
      </c>
      <c r="AG178">
        <f>VLOOKUP(Table9[[#This Row],[Shortname]], Comp[], 30, FALSE)</f>
        <v>0</v>
      </c>
      <c r="AH178">
        <f>VLOOKUP(Table9[[#This Row],[Shortname]], Comp[], 31, FALSE)</f>
        <v>0</v>
      </c>
    </row>
    <row r="179" spans="1:34" x14ac:dyDescent="0.3">
      <c r="A179" t="s">
        <v>3132</v>
      </c>
      <c r="B179" t="s">
        <v>3134</v>
      </c>
      <c r="C179" t="s">
        <v>3119</v>
      </c>
      <c r="D179">
        <v>558</v>
      </c>
      <c r="E179">
        <v>700</v>
      </c>
      <c r="F179">
        <v>1E-4</v>
      </c>
      <c r="G179">
        <v>1</v>
      </c>
      <c r="H179" t="s">
        <v>6803</v>
      </c>
      <c r="I179">
        <f>VLOOKUP(Table9[[#This Row],[Shortname]], Comp[], 6, FALSE)</f>
        <v>437</v>
      </c>
      <c r="J179" s="14">
        <f>VLOOKUP(Table9[[#This Row],[Shortname]], Comp[], 7, FALSE)</f>
        <v>86</v>
      </c>
      <c r="K179">
        <f>VLOOKUP(Table9[[#This Row],[Shortname]], Comp[], 8, FALSE)</f>
        <v>0</v>
      </c>
      <c r="L179">
        <f>VLOOKUP(Table9[[#This Row],[Shortname]], Comp[], 9, FALSE)</f>
        <v>0</v>
      </c>
      <c r="M179">
        <f>VLOOKUP(Table9[[#This Row],[Shortname]], Comp[], 10, FALSE)</f>
        <v>0</v>
      </c>
      <c r="N179">
        <f>VLOOKUP(Table9[[#This Row],[Shortname]], Comp[], 11, FALSE)</f>
        <v>0</v>
      </c>
      <c r="O179">
        <f>VLOOKUP(Table9[[#This Row],[Shortname]], Comp[],12, FALSE)</f>
        <v>0</v>
      </c>
      <c r="P179">
        <f>VLOOKUP(Table9[[#This Row],[Shortname]], Comp[], 13, FALSE)</f>
        <v>2</v>
      </c>
      <c r="Q179">
        <f>VLOOKUP(Table9[[#This Row],[Shortname]], Comp[], 14, FALSE)</f>
        <v>0</v>
      </c>
      <c r="R179">
        <f>VLOOKUP(Table9[[#This Row],[Shortname]], Comp[], 15, FALSE)</f>
        <v>12</v>
      </c>
      <c r="S179">
        <f>VLOOKUP(Table9[[#This Row],[Shortname]], Comp[], 16, FALSE)</f>
        <v>0</v>
      </c>
      <c r="T179">
        <f>VLOOKUP(Table9[[#This Row],[Shortname]], Comp[], 17, FALSE)</f>
        <v>0</v>
      </c>
      <c r="U179">
        <f>VLOOKUP(Table9[[#This Row],[Shortname]], Comp[], 18, FALSE)</f>
        <v>0</v>
      </c>
      <c r="V179">
        <f>VLOOKUP(Table9[[#This Row],[Shortname]], Comp[], 19, FALSE)</f>
        <v>0</v>
      </c>
      <c r="W179">
        <f>VLOOKUP(Table9[[#This Row],[Shortname]], Comp[], 20, FALSE)</f>
        <v>0</v>
      </c>
      <c r="X179">
        <f>VLOOKUP(Table9[[#This Row],[Shortname]], Comp[], 21, FALSE)</f>
        <v>0</v>
      </c>
      <c r="Y179">
        <f>VLOOKUP(Table9[[#This Row],[Shortname]], Comp[], 22, FALSE)</f>
        <v>0</v>
      </c>
      <c r="Z179">
        <f>VLOOKUP(Table9[[#This Row],[Shortname]], Comp[], 23, FALSE)</f>
        <v>0</v>
      </c>
      <c r="AA179">
        <f>VLOOKUP(Table9[[#This Row],[Shortname]], Comp[], 24, FALSE)</f>
        <v>0</v>
      </c>
      <c r="AB179">
        <f>VLOOKUP(Table9[[#This Row],[Shortname]], Comp[], 25, FALSE)</f>
        <v>0</v>
      </c>
      <c r="AC179">
        <f>VLOOKUP(Table9[[#This Row],[Shortname]], Comp[], 26, FALSE)</f>
        <v>0</v>
      </c>
      <c r="AD179">
        <f>VLOOKUP(Table9[[#This Row],[Shortname]], Comp[], 27, FALSE)</f>
        <v>0</v>
      </c>
      <c r="AE179">
        <f>VLOOKUP(Table9[[#This Row],[Shortname]], Comp[], 28, FALSE)</f>
        <v>0</v>
      </c>
      <c r="AF179">
        <f>VLOOKUP(Table9[[#This Row],[Shortname]], Comp[], 29, FALSE)</f>
        <v>0</v>
      </c>
      <c r="AG179">
        <f>VLOOKUP(Table9[[#This Row],[Shortname]], Comp[], 30, FALSE)</f>
        <v>0</v>
      </c>
      <c r="AH179">
        <f>VLOOKUP(Table9[[#This Row],[Shortname]], Comp[], 31, FALSE)</f>
        <v>0</v>
      </c>
    </row>
    <row r="180" spans="1:34" x14ac:dyDescent="0.3">
      <c r="A180" t="s">
        <v>2224</v>
      </c>
      <c r="B180" t="s">
        <v>2226</v>
      </c>
      <c r="C180" t="s">
        <v>2211</v>
      </c>
      <c r="D180">
        <v>553</v>
      </c>
      <c r="E180">
        <v>600</v>
      </c>
      <c r="F180">
        <v>1E-4</v>
      </c>
      <c r="G180">
        <v>1</v>
      </c>
      <c r="H180" t="s">
        <v>6803</v>
      </c>
      <c r="I180">
        <f>VLOOKUP(Table9[[#This Row],[Shortname]], Comp[], 6, FALSE)</f>
        <v>293</v>
      </c>
      <c r="J180" s="14">
        <f>VLOOKUP(Table9[[#This Row],[Shortname]], Comp[], 7, FALSE)</f>
        <v>83.9</v>
      </c>
      <c r="K180">
        <f>VLOOKUP(Table9[[#This Row],[Shortname]], Comp[], 8, FALSE)</f>
        <v>0</v>
      </c>
      <c r="L180">
        <f>VLOOKUP(Table9[[#This Row],[Shortname]], Comp[], 9, FALSE)</f>
        <v>0</v>
      </c>
      <c r="M180">
        <f>VLOOKUP(Table9[[#This Row],[Shortname]], Comp[], 10, FALSE)</f>
        <v>0</v>
      </c>
      <c r="N180">
        <f>VLOOKUP(Table9[[#This Row],[Shortname]], Comp[], 11, FALSE)</f>
        <v>2.1</v>
      </c>
      <c r="O180">
        <f>VLOOKUP(Table9[[#This Row],[Shortname]], Comp[],12, FALSE)</f>
        <v>4.0999999999999996</v>
      </c>
      <c r="P180">
        <f>VLOOKUP(Table9[[#This Row],[Shortname]], Comp[], 13, FALSE)</f>
        <v>0</v>
      </c>
      <c r="Q180">
        <f>VLOOKUP(Table9[[#This Row],[Shortname]], Comp[], 14, FALSE)</f>
        <v>0</v>
      </c>
      <c r="R180">
        <f>VLOOKUP(Table9[[#This Row],[Shortname]], Comp[], 15, FALSE)</f>
        <v>9.9</v>
      </c>
      <c r="S180">
        <f>VLOOKUP(Table9[[#This Row],[Shortname]], Comp[], 16, FALSE)</f>
        <v>0</v>
      </c>
      <c r="T180">
        <f>VLOOKUP(Table9[[#This Row],[Shortname]], Comp[], 17, FALSE)</f>
        <v>0</v>
      </c>
      <c r="U180">
        <f>VLOOKUP(Table9[[#This Row],[Shortname]], Comp[], 18, FALSE)</f>
        <v>0</v>
      </c>
      <c r="V180">
        <f>VLOOKUP(Table9[[#This Row],[Shortname]], Comp[], 19, FALSE)</f>
        <v>0</v>
      </c>
      <c r="W180">
        <f>VLOOKUP(Table9[[#This Row],[Shortname]], Comp[], 20, FALSE)</f>
        <v>0</v>
      </c>
      <c r="X180">
        <f>VLOOKUP(Table9[[#This Row],[Shortname]], Comp[], 21, FALSE)</f>
        <v>0</v>
      </c>
      <c r="Y180">
        <f>VLOOKUP(Table9[[#This Row],[Shortname]], Comp[], 22, FALSE)</f>
        <v>0</v>
      </c>
      <c r="Z180">
        <f>VLOOKUP(Table9[[#This Row],[Shortname]], Comp[], 23, FALSE)</f>
        <v>0</v>
      </c>
      <c r="AA180">
        <f>VLOOKUP(Table9[[#This Row],[Shortname]], Comp[], 24, FALSE)</f>
        <v>0</v>
      </c>
      <c r="AB180">
        <f>VLOOKUP(Table9[[#This Row],[Shortname]], Comp[], 25, FALSE)</f>
        <v>0</v>
      </c>
      <c r="AC180">
        <f>VLOOKUP(Table9[[#This Row],[Shortname]], Comp[], 26, FALSE)</f>
        <v>0</v>
      </c>
      <c r="AD180">
        <f>VLOOKUP(Table9[[#This Row],[Shortname]], Comp[], 27, FALSE)</f>
        <v>0</v>
      </c>
      <c r="AE180">
        <f>VLOOKUP(Table9[[#This Row],[Shortname]], Comp[], 28, FALSE)</f>
        <v>0</v>
      </c>
      <c r="AF180">
        <f>VLOOKUP(Table9[[#This Row],[Shortname]], Comp[], 29, FALSE)</f>
        <v>0</v>
      </c>
      <c r="AG180">
        <f>VLOOKUP(Table9[[#This Row],[Shortname]], Comp[], 30, FALSE)</f>
        <v>0</v>
      </c>
      <c r="AH180">
        <f>VLOOKUP(Table9[[#This Row],[Shortname]], Comp[], 31, FALSE)</f>
        <v>0</v>
      </c>
    </row>
    <row r="181" spans="1:34" x14ac:dyDescent="0.3">
      <c r="A181" t="s">
        <v>4442</v>
      </c>
      <c r="B181" t="s">
        <v>4444</v>
      </c>
      <c r="C181" t="s">
        <v>4438</v>
      </c>
      <c r="D181">
        <v>552</v>
      </c>
      <c r="E181">
        <v>750</v>
      </c>
      <c r="F181">
        <v>1E-4</v>
      </c>
      <c r="G181">
        <v>1</v>
      </c>
      <c r="H181" t="s">
        <v>6803</v>
      </c>
      <c r="I181">
        <f>VLOOKUP(Table9[[#This Row],[Shortname]], Comp[], 6, FALSE)</f>
        <v>676</v>
      </c>
      <c r="J181" s="14">
        <f>VLOOKUP(Table9[[#This Row],[Shortname]], Comp[], 7, FALSE)</f>
        <v>91</v>
      </c>
      <c r="K181">
        <f>VLOOKUP(Table9[[#This Row],[Shortname]], Comp[], 8, FALSE)</f>
        <v>0</v>
      </c>
      <c r="L181">
        <f>VLOOKUP(Table9[[#This Row],[Shortname]], Comp[], 9, FALSE)</f>
        <v>6</v>
      </c>
      <c r="M181">
        <f>VLOOKUP(Table9[[#This Row],[Shortname]], Comp[], 10, FALSE)</f>
        <v>0</v>
      </c>
      <c r="N181">
        <f>VLOOKUP(Table9[[#This Row],[Shortname]], Comp[], 11, FALSE)</f>
        <v>2</v>
      </c>
      <c r="O181">
        <f>VLOOKUP(Table9[[#This Row],[Shortname]], Comp[],12, FALSE)</f>
        <v>0</v>
      </c>
      <c r="P181">
        <f>VLOOKUP(Table9[[#This Row],[Shortname]], Comp[], 13, FALSE)</f>
        <v>0</v>
      </c>
      <c r="Q181">
        <f>VLOOKUP(Table9[[#This Row],[Shortname]], Comp[], 14, FALSE)</f>
        <v>0</v>
      </c>
      <c r="R181">
        <f>VLOOKUP(Table9[[#This Row],[Shortname]], Comp[], 15, FALSE)</f>
        <v>0</v>
      </c>
      <c r="S181">
        <f>VLOOKUP(Table9[[#This Row],[Shortname]], Comp[], 16, FALSE)</f>
        <v>1</v>
      </c>
      <c r="T181">
        <f>VLOOKUP(Table9[[#This Row],[Shortname]], Comp[], 17, FALSE)</f>
        <v>0</v>
      </c>
      <c r="U181">
        <f>VLOOKUP(Table9[[#This Row],[Shortname]], Comp[], 18, FALSE)</f>
        <v>0</v>
      </c>
      <c r="V181">
        <f>VLOOKUP(Table9[[#This Row],[Shortname]], Comp[], 19, FALSE)</f>
        <v>0</v>
      </c>
      <c r="W181">
        <f>VLOOKUP(Table9[[#This Row],[Shortname]], Comp[], 20, FALSE)</f>
        <v>0</v>
      </c>
      <c r="X181">
        <f>VLOOKUP(Table9[[#This Row],[Shortname]], Comp[], 21, FALSE)</f>
        <v>0</v>
      </c>
      <c r="Y181">
        <f>VLOOKUP(Table9[[#This Row],[Shortname]], Comp[], 22, FALSE)</f>
        <v>0</v>
      </c>
      <c r="Z181">
        <f>VLOOKUP(Table9[[#This Row],[Shortname]], Comp[], 23, FALSE)</f>
        <v>0</v>
      </c>
      <c r="AA181">
        <f>VLOOKUP(Table9[[#This Row],[Shortname]], Comp[], 24, FALSE)</f>
        <v>0</v>
      </c>
      <c r="AB181">
        <f>VLOOKUP(Table9[[#This Row],[Shortname]], Comp[], 25, FALSE)</f>
        <v>0</v>
      </c>
      <c r="AC181">
        <f>VLOOKUP(Table9[[#This Row],[Shortname]], Comp[], 26, FALSE)</f>
        <v>0</v>
      </c>
      <c r="AD181">
        <f>VLOOKUP(Table9[[#This Row],[Shortname]], Comp[], 27, FALSE)</f>
        <v>0</v>
      </c>
      <c r="AE181">
        <f>VLOOKUP(Table9[[#This Row],[Shortname]], Comp[], 28, FALSE)</f>
        <v>0</v>
      </c>
      <c r="AF181">
        <f>VLOOKUP(Table9[[#This Row],[Shortname]], Comp[], 29, FALSE)</f>
        <v>0</v>
      </c>
      <c r="AG181">
        <f>VLOOKUP(Table9[[#This Row],[Shortname]], Comp[], 30, FALSE)</f>
        <v>0</v>
      </c>
      <c r="AH181">
        <f>VLOOKUP(Table9[[#This Row],[Shortname]], Comp[], 31, FALSE)</f>
        <v>0</v>
      </c>
    </row>
    <row r="182" spans="1:34" x14ac:dyDescent="0.3">
      <c r="A182" t="s">
        <v>4933</v>
      </c>
      <c r="B182" t="s">
        <v>4935</v>
      </c>
      <c r="C182" t="s">
        <v>4936</v>
      </c>
      <c r="D182">
        <v>552</v>
      </c>
      <c r="E182">
        <v>950</v>
      </c>
      <c r="F182">
        <v>1E-4</v>
      </c>
      <c r="G182">
        <v>1</v>
      </c>
      <c r="H182" t="s">
        <v>6803</v>
      </c>
      <c r="I182">
        <f>VLOOKUP(Table9[[#This Row],[Shortname]], Comp[], 6, FALSE)</f>
        <v>753</v>
      </c>
      <c r="J182" s="14">
        <f>VLOOKUP(Table9[[#This Row],[Shortname]], Comp[], 7, FALSE)</f>
        <v>81.88</v>
      </c>
      <c r="K182">
        <f>VLOOKUP(Table9[[#This Row],[Shortname]], Comp[], 8, FALSE)</f>
        <v>0</v>
      </c>
      <c r="L182">
        <f>VLOOKUP(Table9[[#This Row],[Shortname]], Comp[], 9, FALSE)</f>
        <v>5.6</v>
      </c>
      <c r="M182">
        <f>VLOOKUP(Table9[[#This Row],[Shortname]], Comp[], 10, FALSE)</f>
        <v>0</v>
      </c>
      <c r="N182">
        <f>VLOOKUP(Table9[[#This Row],[Shortname]], Comp[], 11, FALSE)</f>
        <v>5.8</v>
      </c>
      <c r="O182">
        <f>VLOOKUP(Table9[[#This Row],[Shortname]], Comp[],12, FALSE)</f>
        <v>6.6</v>
      </c>
      <c r="P182">
        <f>VLOOKUP(Table9[[#This Row],[Shortname]], Comp[], 13, FALSE)</f>
        <v>0</v>
      </c>
      <c r="Q182">
        <f>VLOOKUP(Table9[[#This Row],[Shortname]], Comp[], 14, FALSE)</f>
        <v>0</v>
      </c>
      <c r="R182">
        <f>VLOOKUP(Table9[[#This Row],[Shortname]], Comp[], 15, FALSE)</f>
        <v>0</v>
      </c>
      <c r="S182">
        <f>VLOOKUP(Table9[[#This Row],[Shortname]], Comp[], 16, FALSE)</f>
        <v>0</v>
      </c>
      <c r="T182">
        <f>VLOOKUP(Table9[[#This Row],[Shortname]], Comp[], 17, FALSE)</f>
        <v>0</v>
      </c>
      <c r="U182">
        <f>VLOOKUP(Table9[[#This Row],[Shortname]], Comp[], 18, FALSE)</f>
        <v>0</v>
      </c>
      <c r="V182">
        <f>VLOOKUP(Table9[[#This Row],[Shortname]], Comp[], 19, FALSE)</f>
        <v>0.12</v>
      </c>
      <c r="W182">
        <f>VLOOKUP(Table9[[#This Row],[Shortname]], Comp[], 20, FALSE)</f>
        <v>0</v>
      </c>
      <c r="X182">
        <f>VLOOKUP(Table9[[#This Row],[Shortname]], Comp[], 21, FALSE)</f>
        <v>0</v>
      </c>
      <c r="Y182">
        <f>VLOOKUP(Table9[[#This Row],[Shortname]], Comp[], 22, FALSE)</f>
        <v>0</v>
      </c>
      <c r="Z182">
        <f>VLOOKUP(Table9[[#This Row],[Shortname]], Comp[], 23, FALSE)</f>
        <v>0</v>
      </c>
      <c r="AA182">
        <f>VLOOKUP(Table9[[#This Row],[Shortname]], Comp[], 24, FALSE)</f>
        <v>0</v>
      </c>
      <c r="AB182">
        <f>VLOOKUP(Table9[[#This Row],[Shortname]], Comp[], 25, FALSE)</f>
        <v>0</v>
      </c>
      <c r="AC182">
        <f>VLOOKUP(Table9[[#This Row],[Shortname]], Comp[], 26, FALSE)</f>
        <v>0</v>
      </c>
      <c r="AD182">
        <f>VLOOKUP(Table9[[#This Row],[Shortname]], Comp[], 27, FALSE)</f>
        <v>0</v>
      </c>
      <c r="AE182">
        <f>VLOOKUP(Table9[[#This Row],[Shortname]], Comp[], 28, FALSE)</f>
        <v>0</v>
      </c>
      <c r="AF182">
        <f>VLOOKUP(Table9[[#This Row],[Shortname]], Comp[], 29, FALSE)</f>
        <v>0</v>
      </c>
      <c r="AG182">
        <f>VLOOKUP(Table9[[#This Row],[Shortname]], Comp[], 30, FALSE)</f>
        <v>0</v>
      </c>
      <c r="AH182">
        <f>VLOOKUP(Table9[[#This Row],[Shortname]], Comp[], 31, FALSE)</f>
        <v>0</v>
      </c>
    </row>
    <row r="183" spans="1:34" x14ac:dyDescent="0.3">
      <c r="A183" t="s">
        <v>1788</v>
      </c>
      <c r="B183" t="s">
        <v>1790</v>
      </c>
      <c r="C183" t="s">
        <v>1791</v>
      </c>
      <c r="D183">
        <v>550</v>
      </c>
      <c r="E183">
        <v>900</v>
      </c>
      <c r="F183">
        <v>1E-3</v>
      </c>
      <c r="G183">
        <v>1</v>
      </c>
      <c r="I183">
        <f>VLOOKUP(Table9[[#This Row],[Shortname]], Comp[], 6, FALSE)</f>
        <v>231</v>
      </c>
      <c r="J183" s="14">
        <f>VLOOKUP(Table9[[#This Row],[Shortname]], Comp[], 7, FALSE)</f>
        <v>36.11</v>
      </c>
      <c r="K183">
        <f>VLOOKUP(Table9[[#This Row],[Shortname]], Comp[], 8, FALSE)</f>
        <v>34.200000000000003</v>
      </c>
      <c r="L183">
        <f>VLOOKUP(Table9[[#This Row],[Shortname]], Comp[], 9, FALSE)</f>
        <v>10.5</v>
      </c>
      <c r="M183">
        <f>VLOOKUP(Table9[[#This Row],[Shortname]], Comp[], 10, FALSE)</f>
        <v>14.8</v>
      </c>
      <c r="N183">
        <f>VLOOKUP(Table9[[#This Row],[Shortname]], Comp[], 11, FALSE)</f>
        <v>3</v>
      </c>
      <c r="O183">
        <f>VLOOKUP(Table9[[#This Row],[Shortname]], Comp[],12, FALSE)</f>
        <v>0</v>
      </c>
      <c r="P183">
        <f>VLOOKUP(Table9[[#This Row],[Shortname]], Comp[], 13, FALSE)</f>
        <v>1</v>
      </c>
      <c r="Q183">
        <f>VLOOKUP(Table9[[#This Row],[Shortname]], Comp[], 14, FALSE)</f>
        <v>0</v>
      </c>
      <c r="R183">
        <f>VLOOKUP(Table9[[#This Row],[Shortname]], Comp[], 15, FALSE)</f>
        <v>0</v>
      </c>
      <c r="S183">
        <f>VLOOKUP(Table9[[#This Row],[Shortname]], Comp[], 16, FALSE)</f>
        <v>0</v>
      </c>
      <c r="T183">
        <f>VLOOKUP(Table9[[#This Row],[Shortname]], Comp[], 17, FALSE)</f>
        <v>0.15</v>
      </c>
      <c r="U183">
        <f>VLOOKUP(Table9[[#This Row],[Shortname]], Comp[], 18, FALSE)</f>
        <v>0.04</v>
      </c>
      <c r="V183">
        <f>VLOOKUP(Table9[[#This Row],[Shortname]], Comp[], 19, FALSE)</f>
        <v>0.2</v>
      </c>
      <c r="W183">
        <f>VLOOKUP(Table9[[#This Row],[Shortname]], Comp[], 20, FALSE)</f>
        <v>0</v>
      </c>
      <c r="X183">
        <f>VLOOKUP(Table9[[#This Row],[Shortname]], Comp[], 21, FALSE)</f>
        <v>0</v>
      </c>
      <c r="Y183">
        <f>VLOOKUP(Table9[[#This Row],[Shortname]], Comp[], 22, FALSE)</f>
        <v>0</v>
      </c>
      <c r="Z183">
        <f>VLOOKUP(Table9[[#This Row],[Shortname]], Comp[], 23, FALSE)</f>
        <v>0</v>
      </c>
      <c r="AA183">
        <f>VLOOKUP(Table9[[#This Row],[Shortname]], Comp[], 24, FALSE)</f>
        <v>0</v>
      </c>
      <c r="AB183">
        <f>VLOOKUP(Table9[[#This Row],[Shortname]], Comp[], 25, FALSE)</f>
        <v>0</v>
      </c>
      <c r="AC183">
        <f>VLOOKUP(Table9[[#This Row],[Shortname]], Comp[], 26, FALSE)</f>
        <v>0</v>
      </c>
      <c r="AD183">
        <f>VLOOKUP(Table9[[#This Row],[Shortname]], Comp[], 27, FALSE)</f>
        <v>0</v>
      </c>
      <c r="AE183">
        <f>VLOOKUP(Table9[[#This Row],[Shortname]], Comp[], 28, FALSE)</f>
        <v>0</v>
      </c>
      <c r="AF183">
        <f>VLOOKUP(Table9[[#This Row],[Shortname]], Comp[], 29, FALSE)</f>
        <v>0</v>
      </c>
      <c r="AG183">
        <f>VLOOKUP(Table9[[#This Row],[Shortname]], Comp[], 30, FALSE)</f>
        <v>0</v>
      </c>
      <c r="AH183">
        <f>VLOOKUP(Table9[[#This Row],[Shortname]], Comp[], 31, FALSE)</f>
        <v>0</v>
      </c>
    </row>
    <row r="184" spans="1:34" x14ac:dyDescent="0.3">
      <c r="A184" t="s">
        <v>2989</v>
      </c>
      <c r="B184" t="s">
        <v>2991</v>
      </c>
      <c r="C184" t="s">
        <v>2992</v>
      </c>
      <c r="D184">
        <v>550</v>
      </c>
      <c r="E184">
        <v>650</v>
      </c>
      <c r="F184">
        <v>1E-4</v>
      </c>
      <c r="G184">
        <v>1</v>
      </c>
      <c r="H184" t="s">
        <v>6803</v>
      </c>
      <c r="I184">
        <f>VLOOKUP(Table9[[#This Row],[Shortname]], Comp[], 6, FALSE)</f>
        <v>411</v>
      </c>
      <c r="J184" s="14">
        <f>VLOOKUP(Table9[[#This Row],[Shortname]], Comp[], 7, FALSE)</f>
        <v>84</v>
      </c>
      <c r="K184">
        <f>VLOOKUP(Table9[[#This Row],[Shortname]], Comp[], 8, FALSE)</f>
        <v>0</v>
      </c>
      <c r="L184">
        <f>VLOOKUP(Table9[[#This Row],[Shortname]], Comp[], 9, FALSE)</f>
        <v>0</v>
      </c>
      <c r="M184">
        <f>VLOOKUP(Table9[[#This Row],[Shortname]], Comp[], 10, FALSE)</f>
        <v>0</v>
      </c>
      <c r="N184">
        <f>VLOOKUP(Table9[[#This Row],[Shortname]], Comp[], 11, FALSE)</f>
        <v>0</v>
      </c>
      <c r="O184">
        <f>VLOOKUP(Table9[[#This Row],[Shortname]], Comp[],12, FALSE)</f>
        <v>2</v>
      </c>
      <c r="P184">
        <f>VLOOKUP(Table9[[#This Row],[Shortname]], Comp[], 13, FALSE)</f>
        <v>2</v>
      </c>
      <c r="Q184">
        <f>VLOOKUP(Table9[[#This Row],[Shortname]], Comp[], 14, FALSE)</f>
        <v>0</v>
      </c>
      <c r="R184">
        <f>VLOOKUP(Table9[[#This Row],[Shortname]], Comp[], 15, FALSE)</f>
        <v>12</v>
      </c>
      <c r="S184">
        <f>VLOOKUP(Table9[[#This Row],[Shortname]], Comp[], 16, FALSE)</f>
        <v>0</v>
      </c>
      <c r="T184">
        <f>VLOOKUP(Table9[[#This Row],[Shortname]], Comp[], 17, FALSE)</f>
        <v>0</v>
      </c>
      <c r="U184">
        <f>VLOOKUP(Table9[[#This Row],[Shortname]], Comp[], 18, FALSE)</f>
        <v>0</v>
      </c>
      <c r="V184">
        <f>VLOOKUP(Table9[[#This Row],[Shortname]], Comp[], 19, FALSE)</f>
        <v>0</v>
      </c>
      <c r="W184">
        <f>VLOOKUP(Table9[[#This Row],[Shortname]], Comp[], 20, FALSE)</f>
        <v>0</v>
      </c>
      <c r="X184">
        <f>VLOOKUP(Table9[[#This Row],[Shortname]], Comp[], 21, FALSE)</f>
        <v>0</v>
      </c>
      <c r="Y184">
        <f>VLOOKUP(Table9[[#This Row],[Shortname]], Comp[], 22, FALSE)</f>
        <v>0</v>
      </c>
      <c r="Z184">
        <f>VLOOKUP(Table9[[#This Row],[Shortname]], Comp[], 23, FALSE)</f>
        <v>0</v>
      </c>
      <c r="AA184">
        <f>VLOOKUP(Table9[[#This Row],[Shortname]], Comp[], 24, FALSE)</f>
        <v>0</v>
      </c>
      <c r="AB184">
        <f>VLOOKUP(Table9[[#This Row],[Shortname]], Comp[], 25, FALSE)</f>
        <v>0</v>
      </c>
      <c r="AC184">
        <f>VLOOKUP(Table9[[#This Row],[Shortname]], Comp[], 26, FALSE)</f>
        <v>0</v>
      </c>
      <c r="AD184">
        <f>VLOOKUP(Table9[[#This Row],[Shortname]], Comp[], 27, FALSE)</f>
        <v>0</v>
      </c>
      <c r="AE184">
        <f>VLOOKUP(Table9[[#This Row],[Shortname]], Comp[], 28, FALSE)</f>
        <v>0</v>
      </c>
      <c r="AF184">
        <f>VLOOKUP(Table9[[#This Row],[Shortname]], Comp[], 29, FALSE)</f>
        <v>0</v>
      </c>
      <c r="AG184">
        <f>VLOOKUP(Table9[[#This Row],[Shortname]], Comp[], 30, FALSE)</f>
        <v>0</v>
      </c>
      <c r="AH184">
        <f>VLOOKUP(Table9[[#This Row],[Shortname]], Comp[], 31, FALSE)</f>
        <v>0</v>
      </c>
    </row>
    <row r="185" spans="1:34" x14ac:dyDescent="0.3">
      <c r="A185" t="s">
        <v>2996</v>
      </c>
      <c r="B185" t="s">
        <v>2998</v>
      </c>
      <c r="C185" t="s">
        <v>2999</v>
      </c>
      <c r="D185">
        <v>550</v>
      </c>
      <c r="E185">
        <v>900</v>
      </c>
      <c r="F185">
        <v>1E-4</v>
      </c>
      <c r="G185">
        <v>1</v>
      </c>
      <c r="H185" t="s">
        <v>6803</v>
      </c>
      <c r="I185">
        <f>VLOOKUP(Table9[[#This Row],[Shortname]], Comp[], 6, FALSE)</f>
        <v>412</v>
      </c>
      <c r="J185" s="14">
        <f>VLOOKUP(Table9[[#This Row],[Shortname]], Comp[], 7, FALSE)</f>
        <v>49.82</v>
      </c>
      <c r="K185">
        <f>VLOOKUP(Table9[[#This Row],[Shortname]], Comp[], 8, FALSE)</f>
        <v>30.83</v>
      </c>
      <c r="L185">
        <f>VLOOKUP(Table9[[#This Row],[Shortname]], Comp[], 9, FALSE)</f>
        <v>9.16</v>
      </c>
      <c r="M185">
        <f>VLOOKUP(Table9[[#This Row],[Shortname]], Comp[], 10, FALSE)</f>
        <v>0</v>
      </c>
      <c r="N185">
        <f>VLOOKUP(Table9[[#This Row],[Shortname]], Comp[], 11, FALSE)</f>
        <v>5.09</v>
      </c>
      <c r="O185">
        <f>VLOOKUP(Table9[[#This Row],[Shortname]], Comp[],12, FALSE)</f>
        <v>4.0999999999999996</v>
      </c>
      <c r="P185">
        <f>VLOOKUP(Table9[[#This Row],[Shortname]], Comp[], 13, FALSE)</f>
        <v>1</v>
      </c>
      <c r="Q185">
        <f>VLOOKUP(Table9[[#This Row],[Shortname]], Comp[], 14, FALSE)</f>
        <v>0</v>
      </c>
      <c r="R185">
        <f>VLOOKUP(Table9[[#This Row],[Shortname]], Comp[], 15, FALSE)</f>
        <v>0</v>
      </c>
      <c r="S185">
        <f>VLOOKUP(Table9[[#This Row],[Shortname]], Comp[], 16, FALSE)</f>
        <v>0</v>
      </c>
      <c r="T185">
        <f>VLOOKUP(Table9[[#This Row],[Shortname]], Comp[], 17, FALSE)</f>
        <v>0</v>
      </c>
      <c r="U185">
        <f>VLOOKUP(Table9[[#This Row],[Shortname]], Comp[], 18, FALSE)</f>
        <v>0</v>
      </c>
      <c r="V185">
        <f>VLOOKUP(Table9[[#This Row],[Shortname]], Comp[], 19, FALSE)</f>
        <v>0</v>
      </c>
      <c r="W185">
        <f>VLOOKUP(Table9[[#This Row],[Shortname]], Comp[], 20, FALSE)</f>
        <v>0</v>
      </c>
      <c r="X185">
        <f>VLOOKUP(Table9[[#This Row],[Shortname]], Comp[], 21, FALSE)</f>
        <v>0</v>
      </c>
      <c r="Y185">
        <f>VLOOKUP(Table9[[#This Row],[Shortname]], Comp[], 22, FALSE)</f>
        <v>0</v>
      </c>
      <c r="Z185">
        <f>VLOOKUP(Table9[[#This Row],[Shortname]], Comp[], 23, FALSE)</f>
        <v>0</v>
      </c>
      <c r="AA185">
        <f>VLOOKUP(Table9[[#This Row],[Shortname]], Comp[], 24, FALSE)</f>
        <v>0</v>
      </c>
      <c r="AB185">
        <f>VLOOKUP(Table9[[#This Row],[Shortname]], Comp[], 25, FALSE)</f>
        <v>0</v>
      </c>
      <c r="AC185">
        <f>VLOOKUP(Table9[[#This Row],[Shortname]], Comp[], 26, FALSE)</f>
        <v>0</v>
      </c>
      <c r="AD185">
        <f>VLOOKUP(Table9[[#This Row],[Shortname]], Comp[], 27, FALSE)</f>
        <v>0</v>
      </c>
      <c r="AE185">
        <f>VLOOKUP(Table9[[#This Row],[Shortname]], Comp[], 28, FALSE)</f>
        <v>0</v>
      </c>
      <c r="AF185">
        <f>VLOOKUP(Table9[[#This Row],[Shortname]], Comp[], 29, FALSE)</f>
        <v>0</v>
      </c>
      <c r="AG185">
        <f>VLOOKUP(Table9[[#This Row],[Shortname]], Comp[], 30, FALSE)</f>
        <v>0</v>
      </c>
      <c r="AH185">
        <f>VLOOKUP(Table9[[#This Row],[Shortname]], Comp[], 31, FALSE)</f>
        <v>0</v>
      </c>
    </row>
    <row r="186" spans="1:34" x14ac:dyDescent="0.3">
      <c r="A186" t="s">
        <v>3138</v>
      </c>
      <c r="B186" t="s">
        <v>3140</v>
      </c>
      <c r="C186" t="s">
        <v>3119</v>
      </c>
      <c r="D186">
        <v>548</v>
      </c>
      <c r="E186">
        <v>500</v>
      </c>
      <c r="F186">
        <v>1E-4</v>
      </c>
      <c r="G186">
        <v>1</v>
      </c>
      <c r="H186" t="s">
        <v>6803</v>
      </c>
      <c r="I186">
        <f>VLOOKUP(Table9[[#This Row],[Shortname]], Comp[], 6, FALSE)</f>
        <v>438</v>
      </c>
      <c r="J186" s="14">
        <f>VLOOKUP(Table9[[#This Row],[Shortname]], Comp[], 7, FALSE)</f>
        <v>84</v>
      </c>
      <c r="K186">
        <f>VLOOKUP(Table9[[#This Row],[Shortname]], Comp[], 8, FALSE)</f>
        <v>0</v>
      </c>
      <c r="L186">
        <f>VLOOKUP(Table9[[#This Row],[Shortname]], Comp[], 9, FALSE)</f>
        <v>2</v>
      </c>
      <c r="M186">
        <f>VLOOKUP(Table9[[#This Row],[Shortname]], Comp[], 10, FALSE)</f>
        <v>0</v>
      </c>
      <c r="N186">
        <f>VLOOKUP(Table9[[#This Row],[Shortname]], Comp[], 11, FALSE)</f>
        <v>0</v>
      </c>
      <c r="O186">
        <f>VLOOKUP(Table9[[#This Row],[Shortname]], Comp[],12, FALSE)</f>
        <v>0</v>
      </c>
      <c r="P186">
        <f>VLOOKUP(Table9[[#This Row],[Shortname]], Comp[], 13, FALSE)</f>
        <v>2</v>
      </c>
      <c r="Q186">
        <f>VLOOKUP(Table9[[#This Row],[Shortname]], Comp[], 14, FALSE)</f>
        <v>0</v>
      </c>
      <c r="R186">
        <f>VLOOKUP(Table9[[#This Row],[Shortname]], Comp[], 15, FALSE)</f>
        <v>12</v>
      </c>
      <c r="S186">
        <f>VLOOKUP(Table9[[#This Row],[Shortname]], Comp[], 16, FALSE)</f>
        <v>0</v>
      </c>
      <c r="T186">
        <f>VLOOKUP(Table9[[#This Row],[Shortname]], Comp[], 17, FALSE)</f>
        <v>0</v>
      </c>
      <c r="U186">
        <f>VLOOKUP(Table9[[#This Row],[Shortname]], Comp[], 18, FALSE)</f>
        <v>0</v>
      </c>
      <c r="V186">
        <f>VLOOKUP(Table9[[#This Row],[Shortname]], Comp[], 19, FALSE)</f>
        <v>0</v>
      </c>
      <c r="W186">
        <f>VLOOKUP(Table9[[#This Row],[Shortname]], Comp[], 20, FALSE)</f>
        <v>0</v>
      </c>
      <c r="X186">
        <f>VLOOKUP(Table9[[#This Row],[Shortname]], Comp[], 21, FALSE)</f>
        <v>0</v>
      </c>
      <c r="Y186">
        <f>VLOOKUP(Table9[[#This Row],[Shortname]], Comp[], 22, FALSE)</f>
        <v>0</v>
      </c>
      <c r="Z186">
        <f>VLOOKUP(Table9[[#This Row],[Shortname]], Comp[], 23, FALSE)</f>
        <v>0</v>
      </c>
      <c r="AA186">
        <f>VLOOKUP(Table9[[#This Row],[Shortname]], Comp[], 24, FALSE)</f>
        <v>0</v>
      </c>
      <c r="AB186">
        <f>VLOOKUP(Table9[[#This Row],[Shortname]], Comp[], 25, FALSE)</f>
        <v>0</v>
      </c>
      <c r="AC186">
        <f>VLOOKUP(Table9[[#This Row],[Shortname]], Comp[], 26, FALSE)</f>
        <v>0</v>
      </c>
      <c r="AD186">
        <f>VLOOKUP(Table9[[#This Row],[Shortname]], Comp[], 27, FALSE)</f>
        <v>0</v>
      </c>
      <c r="AE186">
        <f>VLOOKUP(Table9[[#This Row],[Shortname]], Comp[], 28, FALSE)</f>
        <v>0</v>
      </c>
      <c r="AF186">
        <f>VLOOKUP(Table9[[#This Row],[Shortname]], Comp[], 29, FALSE)</f>
        <v>0</v>
      </c>
      <c r="AG186">
        <f>VLOOKUP(Table9[[#This Row],[Shortname]], Comp[], 30, FALSE)</f>
        <v>0</v>
      </c>
      <c r="AH186">
        <f>VLOOKUP(Table9[[#This Row],[Shortname]], Comp[], 31, FALSE)</f>
        <v>0</v>
      </c>
    </row>
    <row r="187" spans="1:34" x14ac:dyDescent="0.3">
      <c r="A187" t="s">
        <v>3414</v>
      </c>
      <c r="B187" t="s">
        <v>3416</v>
      </c>
      <c r="C187" t="s">
        <v>3401</v>
      </c>
      <c r="D187">
        <v>548</v>
      </c>
      <c r="E187">
        <v>760</v>
      </c>
      <c r="F187">
        <v>2.0000000000000001E-4</v>
      </c>
      <c r="G187">
        <v>1</v>
      </c>
      <c r="H187" t="s">
        <v>6803</v>
      </c>
      <c r="I187">
        <f>VLOOKUP(Table9[[#This Row],[Shortname]], Comp[], 6, FALSE)</f>
        <v>485</v>
      </c>
      <c r="J187" s="14">
        <f>VLOOKUP(Table9[[#This Row],[Shortname]], Comp[], 7, FALSE)</f>
        <v>82.78</v>
      </c>
      <c r="K187">
        <f>VLOOKUP(Table9[[#This Row],[Shortname]], Comp[], 8, FALSE)</f>
        <v>0</v>
      </c>
      <c r="L187">
        <f>VLOOKUP(Table9[[#This Row],[Shortname]], Comp[], 9, FALSE)</f>
        <v>9</v>
      </c>
      <c r="M187">
        <f>VLOOKUP(Table9[[#This Row],[Shortname]], Comp[], 10, FALSE)</f>
        <v>0</v>
      </c>
      <c r="N187">
        <f>VLOOKUP(Table9[[#This Row],[Shortname]], Comp[], 11, FALSE)</f>
        <v>8.1999999999999993</v>
      </c>
      <c r="O187">
        <f>VLOOKUP(Table9[[#This Row],[Shortname]], Comp[],12, FALSE)</f>
        <v>0</v>
      </c>
      <c r="P187">
        <f>VLOOKUP(Table9[[#This Row],[Shortname]], Comp[], 13, FALSE)</f>
        <v>0</v>
      </c>
      <c r="Q187">
        <f>VLOOKUP(Table9[[#This Row],[Shortname]], Comp[], 14, FALSE)</f>
        <v>0</v>
      </c>
      <c r="R187">
        <f>VLOOKUP(Table9[[#This Row],[Shortname]], Comp[], 15, FALSE)</f>
        <v>0</v>
      </c>
      <c r="S187">
        <f>VLOOKUP(Table9[[#This Row],[Shortname]], Comp[], 16, FALSE)</f>
        <v>0</v>
      </c>
      <c r="T187">
        <f>VLOOKUP(Table9[[#This Row],[Shortname]], Comp[], 17, FALSE)</f>
        <v>0</v>
      </c>
      <c r="U187">
        <f>VLOOKUP(Table9[[#This Row],[Shortname]], Comp[], 18, FALSE)</f>
        <v>0</v>
      </c>
      <c r="V187">
        <f>VLOOKUP(Table9[[#This Row],[Shortname]], Comp[], 19, FALSE)</f>
        <v>0.02</v>
      </c>
      <c r="W187">
        <f>VLOOKUP(Table9[[#This Row],[Shortname]], Comp[], 20, FALSE)</f>
        <v>0</v>
      </c>
      <c r="X187">
        <f>VLOOKUP(Table9[[#This Row],[Shortname]], Comp[], 21, FALSE)</f>
        <v>0</v>
      </c>
      <c r="Y187">
        <f>VLOOKUP(Table9[[#This Row],[Shortname]], Comp[], 22, FALSE)</f>
        <v>0</v>
      </c>
      <c r="Z187">
        <f>VLOOKUP(Table9[[#This Row],[Shortname]], Comp[], 23, FALSE)</f>
        <v>0</v>
      </c>
      <c r="AA187">
        <f>VLOOKUP(Table9[[#This Row],[Shortname]], Comp[], 24, FALSE)</f>
        <v>0</v>
      </c>
      <c r="AB187">
        <f>VLOOKUP(Table9[[#This Row],[Shortname]], Comp[], 25, FALSE)</f>
        <v>0</v>
      </c>
      <c r="AC187">
        <f>VLOOKUP(Table9[[#This Row],[Shortname]], Comp[], 26, FALSE)</f>
        <v>0</v>
      </c>
      <c r="AD187">
        <f>VLOOKUP(Table9[[#This Row],[Shortname]], Comp[], 27, FALSE)</f>
        <v>0</v>
      </c>
      <c r="AE187">
        <f>VLOOKUP(Table9[[#This Row],[Shortname]], Comp[], 28, FALSE)</f>
        <v>0</v>
      </c>
      <c r="AF187">
        <f>VLOOKUP(Table9[[#This Row],[Shortname]], Comp[], 29, FALSE)</f>
        <v>0</v>
      </c>
      <c r="AG187">
        <f>VLOOKUP(Table9[[#This Row],[Shortname]], Comp[], 30, FALSE)</f>
        <v>0</v>
      </c>
      <c r="AH187">
        <f>VLOOKUP(Table9[[#This Row],[Shortname]], Comp[], 31, FALSE)</f>
        <v>0</v>
      </c>
    </row>
    <row r="188" spans="1:34" x14ac:dyDescent="0.3">
      <c r="A188" t="s">
        <v>544</v>
      </c>
      <c r="B188" t="s">
        <v>6696</v>
      </c>
      <c r="C188" t="s">
        <v>499</v>
      </c>
      <c r="D188">
        <v>546</v>
      </c>
      <c r="E188">
        <v>600</v>
      </c>
      <c r="F188">
        <v>1E-4</v>
      </c>
      <c r="G188">
        <v>1</v>
      </c>
      <c r="I188">
        <f>VLOOKUP(Table9[[#This Row],[Shortname]], Comp[], 6, FALSE)</f>
        <v>70</v>
      </c>
      <c r="J188" s="14">
        <f>VLOOKUP(Table9[[#This Row],[Shortname]], Comp[], 7, FALSE)</f>
        <v>72.3</v>
      </c>
      <c r="K188">
        <f>VLOOKUP(Table9[[#This Row],[Shortname]], Comp[], 8, FALSE)</f>
        <v>10.199999999999999</v>
      </c>
      <c r="L188">
        <f>VLOOKUP(Table9[[#This Row],[Shortname]], Comp[], 9, FALSE)</f>
        <v>7.3</v>
      </c>
      <c r="M188">
        <f>VLOOKUP(Table9[[#This Row],[Shortname]], Comp[], 10, FALSE)</f>
        <v>0</v>
      </c>
      <c r="N188">
        <f>VLOOKUP(Table9[[#This Row],[Shortname]], Comp[], 11, FALSE)</f>
        <v>8</v>
      </c>
      <c r="O188">
        <f>VLOOKUP(Table9[[#This Row],[Shortname]], Comp[],12, FALSE)</f>
        <v>2.2000000000000002</v>
      </c>
      <c r="P188">
        <f>VLOOKUP(Table9[[#This Row],[Shortname]], Comp[], 13, FALSE)</f>
        <v>0</v>
      </c>
      <c r="Q188">
        <f>VLOOKUP(Table9[[#This Row],[Shortname]], Comp[], 14, FALSE)</f>
        <v>0</v>
      </c>
      <c r="R188">
        <f>VLOOKUP(Table9[[#This Row],[Shortname]], Comp[], 15, FALSE)</f>
        <v>0</v>
      </c>
      <c r="S188">
        <f>VLOOKUP(Table9[[#This Row],[Shortname]], Comp[], 16, FALSE)</f>
        <v>0</v>
      </c>
      <c r="T188">
        <f>VLOOKUP(Table9[[#This Row],[Shortname]], Comp[], 17, FALSE)</f>
        <v>0</v>
      </c>
      <c r="U188">
        <f>VLOOKUP(Table9[[#This Row],[Shortname]], Comp[], 18, FALSE)</f>
        <v>0</v>
      </c>
      <c r="V188">
        <f>VLOOKUP(Table9[[#This Row],[Shortname]], Comp[], 19, FALSE)</f>
        <v>0</v>
      </c>
      <c r="W188">
        <f>VLOOKUP(Table9[[#This Row],[Shortname]], Comp[], 20, FALSE)</f>
        <v>0</v>
      </c>
      <c r="X188">
        <f>VLOOKUP(Table9[[#This Row],[Shortname]], Comp[], 21, FALSE)</f>
        <v>0</v>
      </c>
      <c r="Y188">
        <f>VLOOKUP(Table9[[#This Row],[Shortname]], Comp[], 22, FALSE)</f>
        <v>0</v>
      </c>
      <c r="Z188">
        <f>VLOOKUP(Table9[[#This Row],[Shortname]], Comp[], 23, FALSE)</f>
        <v>0</v>
      </c>
      <c r="AA188">
        <f>VLOOKUP(Table9[[#This Row],[Shortname]], Comp[], 24, FALSE)</f>
        <v>0</v>
      </c>
      <c r="AB188">
        <f>VLOOKUP(Table9[[#This Row],[Shortname]], Comp[], 25, FALSE)</f>
        <v>0</v>
      </c>
      <c r="AC188">
        <f>VLOOKUP(Table9[[#This Row],[Shortname]], Comp[], 26, FALSE)</f>
        <v>0</v>
      </c>
      <c r="AD188">
        <f>VLOOKUP(Table9[[#This Row],[Shortname]], Comp[], 27, FALSE)</f>
        <v>0</v>
      </c>
      <c r="AE188">
        <f>VLOOKUP(Table9[[#This Row],[Shortname]], Comp[], 28, FALSE)</f>
        <v>0</v>
      </c>
      <c r="AF188">
        <f>VLOOKUP(Table9[[#This Row],[Shortname]], Comp[], 29, FALSE)</f>
        <v>0</v>
      </c>
      <c r="AG188">
        <f>VLOOKUP(Table9[[#This Row],[Shortname]], Comp[], 30, FALSE)</f>
        <v>0</v>
      </c>
      <c r="AH188">
        <f>VLOOKUP(Table9[[#This Row],[Shortname]], Comp[], 31, FALSE)</f>
        <v>0</v>
      </c>
    </row>
    <row r="189" spans="1:34" x14ac:dyDescent="0.3">
      <c r="A189" t="s">
        <v>1607</v>
      </c>
      <c r="B189" t="s">
        <v>1609</v>
      </c>
      <c r="C189" t="s">
        <v>1568</v>
      </c>
      <c r="D189">
        <v>544</v>
      </c>
      <c r="E189">
        <v>750</v>
      </c>
      <c r="F189">
        <v>1E-4</v>
      </c>
      <c r="G189">
        <v>1</v>
      </c>
      <c r="H189" t="s">
        <v>6803</v>
      </c>
      <c r="I189">
        <f>VLOOKUP(Table9[[#This Row],[Shortname]], Comp[], 6, FALSE)</f>
        <v>204</v>
      </c>
      <c r="J189" s="14">
        <f>VLOOKUP(Table9[[#This Row],[Shortname]], Comp[], 7, FALSE)</f>
        <v>44.41</v>
      </c>
      <c r="K189">
        <f>VLOOKUP(Table9[[#This Row],[Shortname]], Comp[], 8, FALSE)</f>
        <v>29.89</v>
      </c>
      <c r="L189">
        <f>VLOOKUP(Table9[[#This Row],[Shortname]], Comp[], 9, FALSE)</f>
        <v>8.69</v>
      </c>
      <c r="M189">
        <f>VLOOKUP(Table9[[#This Row],[Shortname]], Comp[], 10, FALSE)</f>
        <v>12.11</v>
      </c>
      <c r="N189">
        <f>VLOOKUP(Table9[[#This Row],[Shortname]], Comp[], 11, FALSE)</f>
        <v>3.09</v>
      </c>
      <c r="O189">
        <f>VLOOKUP(Table9[[#This Row],[Shortname]], Comp[],12, FALSE)</f>
        <v>0</v>
      </c>
      <c r="P189">
        <f>VLOOKUP(Table9[[#This Row],[Shortname]], Comp[], 13, FALSE)</f>
        <v>0</v>
      </c>
      <c r="Q189">
        <f>VLOOKUP(Table9[[#This Row],[Shortname]], Comp[], 14, FALSE)</f>
        <v>1.81</v>
      </c>
      <c r="R189">
        <f>VLOOKUP(Table9[[#This Row],[Shortname]], Comp[], 15, FALSE)</f>
        <v>0</v>
      </c>
      <c r="S189">
        <f>VLOOKUP(Table9[[#This Row],[Shortname]], Comp[], 16, FALSE)</f>
        <v>0</v>
      </c>
      <c r="T189">
        <f>VLOOKUP(Table9[[#This Row],[Shortname]], Comp[], 17, FALSE)</f>
        <v>0</v>
      </c>
      <c r="U189">
        <f>VLOOKUP(Table9[[#This Row],[Shortname]], Comp[], 18, FALSE)</f>
        <v>0</v>
      </c>
      <c r="V189">
        <f>VLOOKUP(Table9[[#This Row],[Shortname]], Comp[], 19, FALSE)</f>
        <v>0</v>
      </c>
      <c r="W189">
        <f>VLOOKUP(Table9[[#This Row],[Shortname]], Comp[], 20, FALSE)</f>
        <v>0</v>
      </c>
      <c r="X189">
        <f>VLOOKUP(Table9[[#This Row],[Shortname]], Comp[], 21, FALSE)</f>
        <v>0</v>
      </c>
      <c r="Y189">
        <f>VLOOKUP(Table9[[#This Row],[Shortname]], Comp[], 22, FALSE)</f>
        <v>0</v>
      </c>
      <c r="Z189">
        <f>VLOOKUP(Table9[[#This Row],[Shortname]], Comp[], 23, FALSE)</f>
        <v>0</v>
      </c>
      <c r="AA189">
        <f>VLOOKUP(Table9[[#This Row],[Shortname]], Comp[], 24, FALSE)</f>
        <v>0</v>
      </c>
      <c r="AB189">
        <f>VLOOKUP(Table9[[#This Row],[Shortname]], Comp[], 25, FALSE)</f>
        <v>0</v>
      </c>
      <c r="AC189">
        <f>VLOOKUP(Table9[[#This Row],[Shortname]], Comp[], 26, FALSE)</f>
        <v>0</v>
      </c>
      <c r="AD189">
        <f>VLOOKUP(Table9[[#This Row],[Shortname]], Comp[], 27, FALSE)</f>
        <v>0</v>
      </c>
      <c r="AE189">
        <f>VLOOKUP(Table9[[#This Row],[Shortname]], Comp[], 28, FALSE)</f>
        <v>0</v>
      </c>
      <c r="AF189">
        <f>VLOOKUP(Table9[[#This Row],[Shortname]], Comp[], 29, FALSE)</f>
        <v>0</v>
      </c>
      <c r="AG189">
        <f>VLOOKUP(Table9[[#This Row],[Shortname]], Comp[], 30, FALSE)</f>
        <v>0</v>
      </c>
      <c r="AH189">
        <f>VLOOKUP(Table9[[#This Row],[Shortname]], Comp[], 31, FALSE)</f>
        <v>0</v>
      </c>
    </row>
    <row r="190" spans="1:34" x14ac:dyDescent="0.3">
      <c r="A190" t="s">
        <v>1728</v>
      </c>
      <c r="B190" t="s">
        <v>2150</v>
      </c>
      <c r="C190" t="s">
        <v>3480</v>
      </c>
      <c r="D190">
        <v>544</v>
      </c>
      <c r="E190">
        <v>25</v>
      </c>
      <c r="F190">
        <v>1E-4</v>
      </c>
      <c r="G190">
        <v>1</v>
      </c>
      <c r="H190" t="s">
        <v>6803</v>
      </c>
      <c r="I190">
        <f>VLOOKUP(Table9[[#This Row],[Shortname]], Comp[], 6, FALSE)</f>
        <v>221</v>
      </c>
      <c r="J190" s="14">
        <f>VLOOKUP(Table9[[#This Row],[Shortname]], Comp[], 7, FALSE)</f>
        <v>79.900000000000006</v>
      </c>
      <c r="K190">
        <f>VLOOKUP(Table9[[#This Row],[Shortname]], Comp[], 8, FALSE)</f>
        <v>0</v>
      </c>
      <c r="L190">
        <f>VLOOKUP(Table9[[#This Row],[Shortname]], Comp[], 9, FALSE)</f>
        <v>9.4</v>
      </c>
      <c r="M190">
        <f>VLOOKUP(Table9[[#This Row],[Shortname]], Comp[], 10, FALSE)</f>
        <v>0</v>
      </c>
      <c r="N190">
        <f>VLOOKUP(Table9[[#This Row],[Shortname]], Comp[], 11, FALSE)</f>
        <v>10.7</v>
      </c>
      <c r="O190">
        <f>VLOOKUP(Table9[[#This Row],[Shortname]], Comp[],12, FALSE)</f>
        <v>0</v>
      </c>
      <c r="P190">
        <f>VLOOKUP(Table9[[#This Row],[Shortname]], Comp[], 13, FALSE)</f>
        <v>0</v>
      </c>
      <c r="Q190">
        <f>VLOOKUP(Table9[[#This Row],[Shortname]], Comp[], 14, FALSE)</f>
        <v>0</v>
      </c>
      <c r="R190">
        <f>VLOOKUP(Table9[[#This Row],[Shortname]], Comp[], 15, FALSE)</f>
        <v>0</v>
      </c>
      <c r="S190">
        <f>VLOOKUP(Table9[[#This Row],[Shortname]], Comp[], 16, FALSE)</f>
        <v>0</v>
      </c>
      <c r="T190">
        <f>VLOOKUP(Table9[[#This Row],[Shortname]], Comp[], 17, FALSE)</f>
        <v>0</v>
      </c>
      <c r="U190">
        <f>VLOOKUP(Table9[[#This Row],[Shortname]], Comp[], 18, FALSE)</f>
        <v>0</v>
      </c>
      <c r="V190">
        <f>VLOOKUP(Table9[[#This Row],[Shortname]], Comp[], 19, FALSE)</f>
        <v>0</v>
      </c>
      <c r="W190">
        <f>VLOOKUP(Table9[[#This Row],[Shortname]], Comp[], 20, FALSE)</f>
        <v>0</v>
      </c>
      <c r="X190">
        <f>VLOOKUP(Table9[[#This Row],[Shortname]], Comp[], 21, FALSE)</f>
        <v>0</v>
      </c>
      <c r="Y190">
        <f>VLOOKUP(Table9[[#This Row],[Shortname]], Comp[], 22, FALSE)</f>
        <v>0</v>
      </c>
      <c r="Z190">
        <f>VLOOKUP(Table9[[#This Row],[Shortname]], Comp[], 23, FALSE)</f>
        <v>0</v>
      </c>
      <c r="AA190">
        <f>VLOOKUP(Table9[[#This Row],[Shortname]], Comp[], 24, FALSE)</f>
        <v>0</v>
      </c>
      <c r="AB190">
        <f>VLOOKUP(Table9[[#This Row],[Shortname]], Comp[], 25, FALSE)</f>
        <v>0</v>
      </c>
      <c r="AC190">
        <f>VLOOKUP(Table9[[#This Row],[Shortname]], Comp[], 26, FALSE)</f>
        <v>0</v>
      </c>
      <c r="AD190">
        <f>VLOOKUP(Table9[[#This Row],[Shortname]], Comp[], 27, FALSE)</f>
        <v>0</v>
      </c>
      <c r="AE190">
        <f>VLOOKUP(Table9[[#This Row],[Shortname]], Comp[], 28, FALSE)</f>
        <v>0</v>
      </c>
      <c r="AF190">
        <f>VLOOKUP(Table9[[#This Row],[Shortname]], Comp[], 29, FALSE)</f>
        <v>0</v>
      </c>
      <c r="AG190">
        <f>VLOOKUP(Table9[[#This Row],[Shortname]], Comp[], 30, FALSE)</f>
        <v>0</v>
      </c>
      <c r="AH190">
        <f>VLOOKUP(Table9[[#This Row],[Shortname]], Comp[], 31, FALSE)</f>
        <v>0</v>
      </c>
    </row>
    <row r="191" spans="1:34" x14ac:dyDescent="0.3">
      <c r="A191" t="s">
        <v>2989</v>
      </c>
      <c r="B191" t="s">
        <v>2991</v>
      </c>
      <c r="C191" t="s">
        <v>2992</v>
      </c>
      <c r="D191">
        <v>543</v>
      </c>
      <c r="E191">
        <v>600</v>
      </c>
      <c r="F191">
        <v>1E-4</v>
      </c>
      <c r="G191">
        <v>1</v>
      </c>
      <c r="H191" t="s">
        <v>6803</v>
      </c>
      <c r="I191">
        <f>VLOOKUP(Table9[[#This Row],[Shortname]], Comp[], 6, FALSE)</f>
        <v>411</v>
      </c>
      <c r="J191" s="14">
        <f>VLOOKUP(Table9[[#This Row],[Shortname]], Comp[], 7, FALSE)</f>
        <v>84</v>
      </c>
      <c r="K191">
        <f>VLOOKUP(Table9[[#This Row],[Shortname]], Comp[], 8, FALSE)</f>
        <v>0</v>
      </c>
      <c r="L191">
        <f>VLOOKUP(Table9[[#This Row],[Shortname]], Comp[], 9, FALSE)</f>
        <v>0</v>
      </c>
      <c r="M191">
        <f>VLOOKUP(Table9[[#This Row],[Shortname]], Comp[], 10, FALSE)</f>
        <v>0</v>
      </c>
      <c r="N191">
        <f>VLOOKUP(Table9[[#This Row],[Shortname]], Comp[], 11, FALSE)</f>
        <v>0</v>
      </c>
      <c r="O191">
        <f>VLOOKUP(Table9[[#This Row],[Shortname]], Comp[],12, FALSE)</f>
        <v>2</v>
      </c>
      <c r="P191">
        <f>VLOOKUP(Table9[[#This Row],[Shortname]], Comp[], 13, FALSE)</f>
        <v>2</v>
      </c>
      <c r="Q191">
        <f>VLOOKUP(Table9[[#This Row],[Shortname]], Comp[], 14, FALSE)</f>
        <v>0</v>
      </c>
      <c r="R191">
        <f>VLOOKUP(Table9[[#This Row],[Shortname]], Comp[], 15, FALSE)</f>
        <v>12</v>
      </c>
      <c r="S191">
        <f>VLOOKUP(Table9[[#This Row],[Shortname]], Comp[], 16, FALSE)</f>
        <v>0</v>
      </c>
      <c r="T191">
        <f>VLOOKUP(Table9[[#This Row],[Shortname]], Comp[], 17, FALSE)</f>
        <v>0</v>
      </c>
      <c r="U191">
        <f>VLOOKUP(Table9[[#This Row],[Shortname]], Comp[], 18, FALSE)</f>
        <v>0</v>
      </c>
      <c r="V191">
        <f>VLOOKUP(Table9[[#This Row],[Shortname]], Comp[], 19, FALSE)</f>
        <v>0</v>
      </c>
      <c r="W191">
        <f>VLOOKUP(Table9[[#This Row],[Shortname]], Comp[], 20, FALSE)</f>
        <v>0</v>
      </c>
      <c r="X191">
        <f>VLOOKUP(Table9[[#This Row],[Shortname]], Comp[], 21, FALSE)</f>
        <v>0</v>
      </c>
      <c r="Y191">
        <f>VLOOKUP(Table9[[#This Row],[Shortname]], Comp[], 22, FALSE)</f>
        <v>0</v>
      </c>
      <c r="Z191">
        <f>VLOOKUP(Table9[[#This Row],[Shortname]], Comp[], 23, FALSE)</f>
        <v>0</v>
      </c>
      <c r="AA191">
        <f>VLOOKUP(Table9[[#This Row],[Shortname]], Comp[], 24, FALSE)</f>
        <v>0</v>
      </c>
      <c r="AB191">
        <f>VLOOKUP(Table9[[#This Row],[Shortname]], Comp[], 25, FALSE)</f>
        <v>0</v>
      </c>
      <c r="AC191">
        <f>VLOOKUP(Table9[[#This Row],[Shortname]], Comp[], 26, FALSE)</f>
        <v>0</v>
      </c>
      <c r="AD191">
        <f>VLOOKUP(Table9[[#This Row],[Shortname]], Comp[], 27, FALSE)</f>
        <v>0</v>
      </c>
      <c r="AE191">
        <f>VLOOKUP(Table9[[#This Row],[Shortname]], Comp[], 28, FALSE)</f>
        <v>0</v>
      </c>
      <c r="AF191">
        <f>VLOOKUP(Table9[[#This Row],[Shortname]], Comp[], 29, FALSE)</f>
        <v>0</v>
      </c>
      <c r="AG191">
        <f>VLOOKUP(Table9[[#This Row],[Shortname]], Comp[], 30, FALSE)</f>
        <v>0</v>
      </c>
      <c r="AH191">
        <f>VLOOKUP(Table9[[#This Row],[Shortname]], Comp[], 31, FALSE)</f>
        <v>0</v>
      </c>
    </row>
    <row r="192" spans="1:34" x14ac:dyDescent="0.3">
      <c r="A192" t="s">
        <v>3414</v>
      </c>
      <c r="B192" t="s">
        <v>3416</v>
      </c>
      <c r="C192" t="s">
        <v>3401</v>
      </c>
      <c r="D192">
        <v>542</v>
      </c>
      <c r="E192">
        <v>870</v>
      </c>
      <c r="F192">
        <v>2.0000000000000001E-4</v>
      </c>
      <c r="G192">
        <v>1</v>
      </c>
      <c r="H192" t="s">
        <v>6803</v>
      </c>
      <c r="I192">
        <f>VLOOKUP(Table9[[#This Row],[Shortname]], Comp[], 6, FALSE)</f>
        <v>485</v>
      </c>
      <c r="J192" s="14">
        <f>VLOOKUP(Table9[[#This Row],[Shortname]], Comp[], 7, FALSE)</f>
        <v>82.78</v>
      </c>
      <c r="K192">
        <f>VLOOKUP(Table9[[#This Row],[Shortname]], Comp[], 8, FALSE)</f>
        <v>0</v>
      </c>
      <c r="L192">
        <f>VLOOKUP(Table9[[#This Row],[Shortname]], Comp[], 9, FALSE)</f>
        <v>9</v>
      </c>
      <c r="M192">
        <f>VLOOKUP(Table9[[#This Row],[Shortname]], Comp[], 10, FALSE)</f>
        <v>0</v>
      </c>
      <c r="N192">
        <f>VLOOKUP(Table9[[#This Row],[Shortname]], Comp[], 11, FALSE)</f>
        <v>8.1999999999999993</v>
      </c>
      <c r="O192">
        <f>VLOOKUP(Table9[[#This Row],[Shortname]], Comp[],12, FALSE)</f>
        <v>0</v>
      </c>
      <c r="P192">
        <f>VLOOKUP(Table9[[#This Row],[Shortname]], Comp[], 13, FALSE)</f>
        <v>0</v>
      </c>
      <c r="Q192">
        <f>VLOOKUP(Table9[[#This Row],[Shortname]], Comp[], 14, FALSE)</f>
        <v>0</v>
      </c>
      <c r="R192">
        <f>VLOOKUP(Table9[[#This Row],[Shortname]], Comp[], 15, FALSE)</f>
        <v>0</v>
      </c>
      <c r="S192">
        <f>VLOOKUP(Table9[[#This Row],[Shortname]], Comp[], 16, FALSE)</f>
        <v>0</v>
      </c>
      <c r="T192">
        <f>VLOOKUP(Table9[[#This Row],[Shortname]], Comp[], 17, FALSE)</f>
        <v>0</v>
      </c>
      <c r="U192">
        <f>VLOOKUP(Table9[[#This Row],[Shortname]], Comp[], 18, FALSE)</f>
        <v>0</v>
      </c>
      <c r="V192">
        <f>VLOOKUP(Table9[[#This Row],[Shortname]], Comp[], 19, FALSE)</f>
        <v>0.02</v>
      </c>
      <c r="W192">
        <f>VLOOKUP(Table9[[#This Row],[Shortname]], Comp[], 20, FALSE)</f>
        <v>0</v>
      </c>
      <c r="X192">
        <f>VLOOKUP(Table9[[#This Row],[Shortname]], Comp[], 21, FALSE)</f>
        <v>0</v>
      </c>
      <c r="Y192">
        <f>VLOOKUP(Table9[[#This Row],[Shortname]], Comp[], 22, FALSE)</f>
        <v>0</v>
      </c>
      <c r="Z192">
        <f>VLOOKUP(Table9[[#This Row],[Shortname]], Comp[], 23, FALSE)</f>
        <v>0</v>
      </c>
      <c r="AA192">
        <f>VLOOKUP(Table9[[#This Row],[Shortname]], Comp[], 24, FALSE)</f>
        <v>0</v>
      </c>
      <c r="AB192">
        <f>VLOOKUP(Table9[[#This Row],[Shortname]], Comp[], 25, FALSE)</f>
        <v>0</v>
      </c>
      <c r="AC192">
        <f>VLOOKUP(Table9[[#This Row],[Shortname]], Comp[], 26, FALSE)</f>
        <v>0</v>
      </c>
      <c r="AD192">
        <f>VLOOKUP(Table9[[#This Row],[Shortname]], Comp[], 27, FALSE)</f>
        <v>0</v>
      </c>
      <c r="AE192">
        <f>VLOOKUP(Table9[[#This Row],[Shortname]], Comp[], 28, FALSE)</f>
        <v>0</v>
      </c>
      <c r="AF192">
        <f>VLOOKUP(Table9[[#This Row],[Shortname]], Comp[], 29, FALSE)</f>
        <v>0</v>
      </c>
      <c r="AG192">
        <f>VLOOKUP(Table9[[#This Row],[Shortname]], Comp[], 30, FALSE)</f>
        <v>0</v>
      </c>
      <c r="AH192">
        <f>VLOOKUP(Table9[[#This Row],[Shortname]], Comp[], 31, FALSE)</f>
        <v>0</v>
      </c>
    </row>
    <row r="193" spans="1:34" x14ac:dyDescent="0.3">
      <c r="A193" t="s">
        <v>5057</v>
      </c>
      <c r="B193" t="s">
        <v>5059</v>
      </c>
      <c r="C193" t="s">
        <v>5054</v>
      </c>
      <c r="D193">
        <v>541.75</v>
      </c>
      <c r="E193">
        <v>770</v>
      </c>
      <c r="F193">
        <v>1E-3</v>
      </c>
      <c r="G193">
        <v>1</v>
      </c>
      <c r="I193">
        <f>VLOOKUP(Table9[[#This Row],[Shortname]], Comp[], 6, FALSE)</f>
        <v>780</v>
      </c>
      <c r="J193" s="14">
        <f>VLOOKUP(Table9[[#This Row],[Shortname]], Comp[], 7, FALSE)</f>
        <v>43</v>
      </c>
      <c r="K193">
        <f>VLOOKUP(Table9[[#This Row],[Shortname]], Comp[], 8, FALSE)</f>
        <v>30</v>
      </c>
      <c r="L193">
        <f>VLOOKUP(Table9[[#This Row],[Shortname]], Comp[], 9, FALSE)</f>
        <v>10</v>
      </c>
      <c r="M193">
        <f>VLOOKUP(Table9[[#This Row],[Shortname]], Comp[], 10, FALSE)</f>
        <v>10</v>
      </c>
      <c r="N193">
        <f>VLOOKUP(Table9[[#This Row],[Shortname]], Comp[], 11, FALSE)</f>
        <v>0</v>
      </c>
      <c r="O193">
        <f>VLOOKUP(Table9[[#This Row],[Shortname]], Comp[],12, FALSE)</f>
        <v>0</v>
      </c>
      <c r="P193">
        <f>VLOOKUP(Table9[[#This Row],[Shortname]], Comp[], 13, FALSE)</f>
        <v>0</v>
      </c>
      <c r="Q193">
        <f>VLOOKUP(Table9[[#This Row],[Shortname]], Comp[], 14, FALSE)</f>
        <v>2</v>
      </c>
      <c r="R193">
        <f>VLOOKUP(Table9[[#This Row],[Shortname]], Comp[], 15, FALSE)</f>
        <v>0</v>
      </c>
      <c r="S193">
        <f>VLOOKUP(Table9[[#This Row],[Shortname]], Comp[], 16, FALSE)</f>
        <v>5</v>
      </c>
      <c r="T193">
        <f>VLOOKUP(Table9[[#This Row],[Shortname]], Comp[], 17, FALSE)</f>
        <v>0</v>
      </c>
      <c r="U193">
        <f>VLOOKUP(Table9[[#This Row],[Shortname]], Comp[], 18, FALSE)</f>
        <v>0</v>
      </c>
      <c r="V193">
        <f>VLOOKUP(Table9[[#This Row],[Shortname]], Comp[], 19, FALSE)</f>
        <v>0</v>
      </c>
      <c r="W193">
        <f>VLOOKUP(Table9[[#This Row],[Shortname]], Comp[], 20, FALSE)</f>
        <v>0</v>
      </c>
      <c r="X193">
        <f>VLOOKUP(Table9[[#This Row],[Shortname]], Comp[], 21, FALSE)</f>
        <v>0</v>
      </c>
      <c r="Y193">
        <f>VLOOKUP(Table9[[#This Row],[Shortname]], Comp[], 22, FALSE)</f>
        <v>0</v>
      </c>
      <c r="Z193">
        <f>VLOOKUP(Table9[[#This Row],[Shortname]], Comp[], 23, FALSE)</f>
        <v>0</v>
      </c>
      <c r="AA193">
        <f>VLOOKUP(Table9[[#This Row],[Shortname]], Comp[], 24, FALSE)</f>
        <v>0</v>
      </c>
      <c r="AB193">
        <f>VLOOKUP(Table9[[#This Row],[Shortname]], Comp[], 25, FALSE)</f>
        <v>0</v>
      </c>
      <c r="AC193">
        <f>VLOOKUP(Table9[[#This Row],[Shortname]], Comp[], 26, FALSE)</f>
        <v>0</v>
      </c>
      <c r="AD193">
        <f>VLOOKUP(Table9[[#This Row],[Shortname]], Comp[], 27, FALSE)</f>
        <v>0</v>
      </c>
      <c r="AE193">
        <f>VLOOKUP(Table9[[#This Row],[Shortname]], Comp[], 28, FALSE)</f>
        <v>0</v>
      </c>
      <c r="AF193">
        <f>VLOOKUP(Table9[[#This Row],[Shortname]], Comp[], 29, FALSE)</f>
        <v>0</v>
      </c>
      <c r="AG193">
        <f>VLOOKUP(Table9[[#This Row],[Shortname]], Comp[], 30, FALSE)</f>
        <v>0</v>
      </c>
      <c r="AH193">
        <f>VLOOKUP(Table9[[#This Row],[Shortname]], Comp[], 31, FALSE)</f>
        <v>0</v>
      </c>
    </row>
    <row r="194" spans="1:34" x14ac:dyDescent="0.3">
      <c r="A194" t="s">
        <v>2996</v>
      </c>
      <c r="B194" t="s">
        <v>2998</v>
      </c>
      <c r="C194" t="s">
        <v>2999</v>
      </c>
      <c r="D194">
        <v>540</v>
      </c>
      <c r="E194">
        <v>750</v>
      </c>
      <c r="F194">
        <v>1E-4</v>
      </c>
      <c r="G194">
        <v>1</v>
      </c>
      <c r="H194" t="s">
        <v>6803</v>
      </c>
      <c r="I194">
        <f>VLOOKUP(Table9[[#This Row],[Shortname]], Comp[], 6, FALSE)</f>
        <v>412</v>
      </c>
      <c r="J194" s="14">
        <f>VLOOKUP(Table9[[#This Row],[Shortname]], Comp[], 7, FALSE)</f>
        <v>49.82</v>
      </c>
      <c r="K194">
        <f>VLOOKUP(Table9[[#This Row],[Shortname]], Comp[], 8, FALSE)</f>
        <v>30.83</v>
      </c>
      <c r="L194">
        <f>VLOOKUP(Table9[[#This Row],[Shortname]], Comp[], 9, FALSE)</f>
        <v>9.16</v>
      </c>
      <c r="M194">
        <f>VLOOKUP(Table9[[#This Row],[Shortname]], Comp[], 10, FALSE)</f>
        <v>0</v>
      </c>
      <c r="N194">
        <f>VLOOKUP(Table9[[#This Row],[Shortname]], Comp[], 11, FALSE)</f>
        <v>5.09</v>
      </c>
      <c r="O194">
        <f>VLOOKUP(Table9[[#This Row],[Shortname]], Comp[],12, FALSE)</f>
        <v>4.0999999999999996</v>
      </c>
      <c r="P194">
        <f>VLOOKUP(Table9[[#This Row],[Shortname]], Comp[], 13, FALSE)</f>
        <v>1</v>
      </c>
      <c r="Q194">
        <f>VLOOKUP(Table9[[#This Row],[Shortname]], Comp[], 14, FALSE)</f>
        <v>0</v>
      </c>
      <c r="R194">
        <f>VLOOKUP(Table9[[#This Row],[Shortname]], Comp[], 15, FALSE)</f>
        <v>0</v>
      </c>
      <c r="S194">
        <f>VLOOKUP(Table9[[#This Row],[Shortname]], Comp[], 16, FALSE)</f>
        <v>0</v>
      </c>
      <c r="T194">
        <f>VLOOKUP(Table9[[#This Row],[Shortname]], Comp[], 17, FALSE)</f>
        <v>0</v>
      </c>
      <c r="U194">
        <f>VLOOKUP(Table9[[#This Row],[Shortname]], Comp[], 18, FALSE)</f>
        <v>0</v>
      </c>
      <c r="V194">
        <f>VLOOKUP(Table9[[#This Row],[Shortname]], Comp[], 19, FALSE)</f>
        <v>0</v>
      </c>
      <c r="W194">
        <f>VLOOKUP(Table9[[#This Row],[Shortname]], Comp[], 20, FALSE)</f>
        <v>0</v>
      </c>
      <c r="X194">
        <f>VLOOKUP(Table9[[#This Row],[Shortname]], Comp[], 21, FALSE)</f>
        <v>0</v>
      </c>
      <c r="Y194">
        <f>VLOOKUP(Table9[[#This Row],[Shortname]], Comp[], 22, FALSE)</f>
        <v>0</v>
      </c>
      <c r="Z194">
        <f>VLOOKUP(Table9[[#This Row],[Shortname]], Comp[], 23, FALSE)</f>
        <v>0</v>
      </c>
      <c r="AA194">
        <f>VLOOKUP(Table9[[#This Row],[Shortname]], Comp[], 24, FALSE)</f>
        <v>0</v>
      </c>
      <c r="AB194">
        <f>VLOOKUP(Table9[[#This Row],[Shortname]], Comp[], 25, FALSE)</f>
        <v>0</v>
      </c>
      <c r="AC194">
        <f>VLOOKUP(Table9[[#This Row],[Shortname]], Comp[], 26, FALSE)</f>
        <v>0</v>
      </c>
      <c r="AD194">
        <f>VLOOKUP(Table9[[#This Row],[Shortname]], Comp[], 27, FALSE)</f>
        <v>0</v>
      </c>
      <c r="AE194">
        <f>VLOOKUP(Table9[[#This Row],[Shortname]], Comp[], 28, FALSE)</f>
        <v>0</v>
      </c>
      <c r="AF194">
        <f>VLOOKUP(Table9[[#This Row],[Shortname]], Comp[], 29, FALSE)</f>
        <v>0</v>
      </c>
      <c r="AG194">
        <f>VLOOKUP(Table9[[#This Row],[Shortname]], Comp[], 30, FALSE)</f>
        <v>0</v>
      </c>
      <c r="AH194">
        <f>VLOOKUP(Table9[[#This Row],[Shortname]], Comp[], 31, FALSE)</f>
        <v>0</v>
      </c>
    </row>
    <row r="195" spans="1:34" x14ac:dyDescent="0.3">
      <c r="A195" t="s">
        <v>1446</v>
      </c>
      <c r="B195" t="s">
        <v>1448</v>
      </c>
      <c r="C195" t="s">
        <v>1449</v>
      </c>
      <c r="D195">
        <v>539</v>
      </c>
      <c r="E195">
        <v>600</v>
      </c>
      <c r="F195">
        <v>1E-4</v>
      </c>
      <c r="G195">
        <v>1</v>
      </c>
      <c r="H195" t="s">
        <v>6813</v>
      </c>
      <c r="I195">
        <f>VLOOKUP(Table9[[#This Row],[Shortname]], Comp[], 6, FALSE)</f>
        <v>185</v>
      </c>
      <c r="J195" s="14">
        <f>VLOOKUP(Table9[[#This Row],[Shortname]], Comp[], 7, FALSE)</f>
        <v>48.800000000000004</v>
      </c>
      <c r="K195">
        <f>VLOOKUP(Table9[[#This Row],[Shortname]], Comp[], 8, FALSE)</f>
        <v>30.8</v>
      </c>
      <c r="L195">
        <f>VLOOKUP(Table9[[#This Row],[Shortname]], Comp[], 9, FALSE)</f>
        <v>9.5</v>
      </c>
      <c r="M195">
        <f>VLOOKUP(Table9[[#This Row],[Shortname]], Comp[], 10, FALSE)</f>
        <v>0</v>
      </c>
      <c r="N195">
        <f>VLOOKUP(Table9[[#This Row],[Shortname]], Comp[], 11, FALSE)</f>
        <v>4.4000000000000004</v>
      </c>
      <c r="O195">
        <f>VLOOKUP(Table9[[#This Row],[Shortname]], Comp[],12, FALSE)</f>
        <v>3.8</v>
      </c>
      <c r="P195">
        <f>VLOOKUP(Table9[[#This Row],[Shortname]], Comp[], 13, FALSE)</f>
        <v>2.7</v>
      </c>
      <c r="Q195">
        <f>VLOOKUP(Table9[[#This Row],[Shortname]], Comp[], 14, FALSE)</f>
        <v>0</v>
      </c>
      <c r="R195">
        <f>VLOOKUP(Table9[[#This Row],[Shortname]], Comp[], 15, FALSE)</f>
        <v>0</v>
      </c>
      <c r="S195">
        <f>VLOOKUP(Table9[[#This Row],[Shortname]], Comp[], 16, FALSE)</f>
        <v>0</v>
      </c>
      <c r="T195">
        <f>VLOOKUP(Table9[[#This Row],[Shortname]], Comp[], 17, FALSE)</f>
        <v>0</v>
      </c>
      <c r="U195">
        <f>VLOOKUP(Table9[[#This Row],[Shortname]], Comp[], 18, FALSE)</f>
        <v>0</v>
      </c>
      <c r="V195">
        <f>VLOOKUP(Table9[[#This Row],[Shortname]], Comp[], 19, FALSE)</f>
        <v>0</v>
      </c>
      <c r="W195">
        <f>VLOOKUP(Table9[[#This Row],[Shortname]], Comp[], 20, FALSE)</f>
        <v>0</v>
      </c>
      <c r="X195">
        <f>VLOOKUP(Table9[[#This Row],[Shortname]], Comp[], 21, FALSE)</f>
        <v>0</v>
      </c>
      <c r="Y195">
        <f>VLOOKUP(Table9[[#This Row],[Shortname]], Comp[], 22, FALSE)</f>
        <v>0</v>
      </c>
      <c r="Z195">
        <f>VLOOKUP(Table9[[#This Row],[Shortname]], Comp[], 23, FALSE)</f>
        <v>0</v>
      </c>
      <c r="AA195">
        <f>VLOOKUP(Table9[[#This Row],[Shortname]], Comp[], 24, FALSE)</f>
        <v>0</v>
      </c>
      <c r="AB195">
        <f>VLOOKUP(Table9[[#This Row],[Shortname]], Comp[], 25, FALSE)</f>
        <v>0</v>
      </c>
      <c r="AC195">
        <f>VLOOKUP(Table9[[#This Row],[Shortname]], Comp[], 26, FALSE)</f>
        <v>0</v>
      </c>
      <c r="AD195">
        <f>VLOOKUP(Table9[[#This Row],[Shortname]], Comp[], 27, FALSE)</f>
        <v>0</v>
      </c>
      <c r="AE195">
        <f>VLOOKUP(Table9[[#This Row],[Shortname]], Comp[], 28, FALSE)</f>
        <v>0</v>
      </c>
      <c r="AF195">
        <f>VLOOKUP(Table9[[#This Row],[Shortname]], Comp[], 29, FALSE)</f>
        <v>0</v>
      </c>
      <c r="AG195">
        <f>VLOOKUP(Table9[[#This Row],[Shortname]], Comp[], 30, FALSE)</f>
        <v>0</v>
      </c>
      <c r="AH195">
        <f>VLOOKUP(Table9[[#This Row],[Shortname]], Comp[], 31, FALSE)</f>
        <v>0</v>
      </c>
    </row>
    <row r="196" spans="1:34" x14ac:dyDescent="0.3">
      <c r="A196" t="s">
        <v>3132</v>
      </c>
      <c r="B196" t="s">
        <v>3134</v>
      </c>
      <c r="C196" t="s">
        <v>3119</v>
      </c>
      <c r="D196">
        <v>538</v>
      </c>
      <c r="E196">
        <v>600</v>
      </c>
      <c r="F196">
        <v>1E-4</v>
      </c>
      <c r="G196">
        <v>1</v>
      </c>
      <c r="H196" t="s">
        <v>6803</v>
      </c>
      <c r="I196">
        <f>VLOOKUP(Table9[[#This Row],[Shortname]], Comp[], 6, FALSE)</f>
        <v>437</v>
      </c>
      <c r="J196" s="14">
        <f>VLOOKUP(Table9[[#This Row],[Shortname]], Comp[], 7, FALSE)</f>
        <v>86</v>
      </c>
      <c r="K196">
        <f>VLOOKUP(Table9[[#This Row],[Shortname]], Comp[], 8, FALSE)</f>
        <v>0</v>
      </c>
      <c r="L196">
        <f>VLOOKUP(Table9[[#This Row],[Shortname]], Comp[], 9, FALSE)</f>
        <v>0</v>
      </c>
      <c r="M196">
        <f>VLOOKUP(Table9[[#This Row],[Shortname]], Comp[], 10, FALSE)</f>
        <v>0</v>
      </c>
      <c r="N196">
        <f>VLOOKUP(Table9[[#This Row],[Shortname]], Comp[], 11, FALSE)</f>
        <v>0</v>
      </c>
      <c r="O196">
        <f>VLOOKUP(Table9[[#This Row],[Shortname]], Comp[],12, FALSE)</f>
        <v>0</v>
      </c>
      <c r="P196">
        <f>VLOOKUP(Table9[[#This Row],[Shortname]], Comp[], 13, FALSE)</f>
        <v>2</v>
      </c>
      <c r="Q196">
        <f>VLOOKUP(Table9[[#This Row],[Shortname]], Comp[], 14, FALSE)</f>
        <v>0</v>
      </c>
      <c r="R196">
        <f>VLOOKUP(Table9[[#This Row],[Shortname]], Comp[], 15, FALSE)</f>
        <v>12</v>
      </c>
      <c r="S196">
        <f>VLOOKUP(Table9[[#This Row],[Shortname]], Comp[], 16, FALSE)</f>
        <v>0</v>
      </c>
      <c r="T196">
        <f>VLOOKUP(Table9[[#This Row],[Shortname]], Comp[], 17, FALSE)</f>
        <v>0</v>
      </c>
      <c r="U196">
        <f>VLOOKUP(Table9[[#This Row],[Shortname]], Comp[], 18, FALSE)</f>
        <v>0</v>
      </c>
      <c r="V196">
        <f>VLOOKUP(Table9[[#This Row],[Shortname]], Comp[], 19, FALSE)</f>
        <v>0</v>
      </c>
      <c r="W196">
        <f>VLOOKUP(Table9[[#This Row],[Shortname]], Comp[], 20, FALSE)</f>
        <v>0</v>
      </c>
      <c r="X196">
        <f>VLOOKUP(Table9[[#This Row],[Shortname]], Comp[], 21, FALSE)</f>
        <v>0</v>
      </c>
      <c r="Y196">
        <f>VLOOKUP(Table9[[#This Row],[Shortname]], Comp[], 22, FALSE)</f>
        <v>0</v>
      </c>
      <c r="Z196">
        <f>VLOOKUP(Table9[[#This Row],[Shortname]], Comp[], 23, FALSE)</f>
        <v>0</v>
      </c>
      <c r="AA196">
        <f>VLOOKUP(Table9[[#This Row],[Shortname]], Comp[], 24, FALSE)</f>
        <v>0</v>
      </c>
      <c r="AB196">
        <f>VLOOKUP(Table9[[#This Row],[Shortname]], Comp[], 25, FALSE)</f>
        <v>0</v>
      </c>
      <c r="AC196">
        <f>VLOOKUP(Table9[[#This Row],[Shortname]], Comp[], 26, FALSE)</f>
        <v>0</v>
      </c>
      <c r="AD196">
        <f>VLOOKUP(Table9[[#This Row],[Shortname]], Comp[], 27, FALSE)</f>
        <v>0</v>
      </c>
      <c r="AE196">
        <f>VLOOKUP(Table9[[#This Row],[Shortname]], Comp[], 28, FALSE)</f>
        <v>0</v>
      </c>
      <c r="AF196">
        <f>VLOOKUP(Table9[[#This Row],[Shortname]], Comp[], 29, FALSE)</f>
        <v>0</v>
      </c>
      <c r="AG196">
        <f>VLOOKUP(Table9[[#This Row],[Shortname]], Comp[], 30, FALSE)</f>
        <v>0</v>
      </c>
      <c r="AH196">
        <f>VLOOKUP(Table9[[#This Row],[Shortname]], Comp[], 31, FALSE)</f>
        <v>0</v>
      </c>
    </row>
    <row r="197" spans="1:34" x14ac:dyDescent="0.3">
      <c r="A197" t="s">
        <v>3132</v>
      </c>
      <c r="B197" t="s">
        <v>3134</v>
      </c>
      <c r="C197" t="s">
        <v>3119</v>
      </c>
      <c r="D197">
        <v>535</v>
      </c>
      <c r="E197">
        <v>650</v>
      </c>
      <c r="F197">
        <v>1E-4</v>
      </c>
      <c r="G197">
        <v>1</v>
      </c>
      <c r="H197" t="s">
        <v>6803</v>
      </c>
      <c r="I197">
        <f>VLOOKUP(Table9[[#This Row],[Shortname]], Comp[], 6, FALSE)</f>
        <v>437</v>
      </c>
      <c r="J197" s="14">
        <f>VLOOKUP(Table9[[#This Row],[Shortname]], Comp[], 7, FALSE)</f>
        <v>86</v>
      </c>
      <c r="K197">
        <f>VLOOKUP(Table9[[#This Row],[Shortname]], Comp[], 8, FALSE)</f>
        <v>0</v>
      </c>
      <c r="L197">
        <f>VLOOKUP(Table9[[#This Row],[Shortname]], Comp[], 9, FALSE)</f>
        <v>0</v>
      </c>
      <c r="M197">
        <f>VLOOKUP(Table9[[#This Row],[Shortname]], Comp[], 10, FALSE)</f>
        <v>0</v>
      </c>
      <c r="N197">
        <f>VLOOKUP(Table9[[#This Row],[Shortname]], Comp[], 11, FALSE)</f>
        <v>0</v>
      </c>
      <c r="O197">
        <f>VLOOKUP(Table9[[#This Row],[Shortname]], Comp[],12, FALSE)</f>
        <v>0</v>
      </c>
      <c r="P197">
        <f>VLOOKUP(Table9[[#This Row],[Shortname]], Comp[], 13, FALSE)</f>
        <v>2</v>
      </c>
      <c r="Q197">
        <f>VLOOKUP(Table9[[#This Row],[Shortname]], Comp[], 14, FALSE)</f>
        <v>0</v>
      </c>
      <c r="R197">
        <f>VLOOKUP(Table9[[#This Row],[Shortname]], Comp[], 15, FALSE)</f>
        <v>12</v>
      </c>
      <c r="S197">
        <f>VLOOKUP(Table9[[#This Row],[Shortname]], Comp[], 16, FALSE)</f>
        <v>0</v>
      </c>
      <c r="T197">
        <f>VLOOKUP(Table9[[#This Row],[Shortname]], Comp[], 17, FALSE)</f>
        <v>0</v>
      </c>
      <c r="U197">
        <f>VLOOKUP(Table9[[#This Row],[Shortname]], Comp[], 18, FALSE)</f>
        <v>0</v>
      </c>
      <c r="V197">
        <f>VLOOKUP(Table9[[#This Row],[Shortname]], Comp[], 19, FALSE)</f>
        <v>0</v>
      </c>
      <c r="W197">
        <f>VLOOKUP(Table9[[#This Row],[Shortname]], Comp[], 20, FALSE)</f>
        <v>0</v>
      </c>
      <c r="X197">
        <f>VLOOKUP(Table9[[#This Row],[Shortname]], Comp[], 21, FALSE)</f>
        <v>0</v>
      </c>
      <c r="Y197">
        <f>VLOOKUP(Table9[[#This Row],[Shortname]], Comp[], 22, FALSE)</f>
        <v>0</v>
      </c>
      <c r="Z197">
        <f>VLOOKUP(Table9[[#This Row],[Shortname]], Comp[], 23, FALSE)</f>
        <v>0</v>
      </c>
      <c r="AA197">
        <f>VLOOKUP(Table9[[#This Row],[Shortname]], Comp[], 24, FALSE)</f>
        <v>0</v>
      </c>
      <c r="AB197">
        <f>VLOOKUP(Table9[[#This Row],[Shortname]], Comp[], 25, FALSE)</f>
        <v>0</v>
      </c>
      <c r="AC197">
        <f>VLOOKUP(Table9[[#This Row],[Shortname]], Comp[], 26, FALSE)</f>
        <v>0</v>
      </c>
      <c r="AD197">
        <f>VLOOKUP(Table9[[#This Row],[Shortname]], Comp[], 27, FALSE)</f>
        <v>0</v>
      </c>
      <c r="AE197">
        <f>VLOOKUP(Table9[[#This Row],[Shortname]], Comp[], 28, FALSE)</f>
        <v>0</v>
      </c>
      <c r="AF197">
        <f>VLOOKUP(Table9[[#This Row],[Shortname]], Comp[], 29, FALSE)</f>
        <v>0</v>
      </c>
      <c r="AG197">
        <f>VLOOKUP(Table9[[#This Row],[Shortname]], Comp[], 30, FALSE)</f>
        <v>0</v>
      </c>
      <c r="AH197">
        <f>VLOOKUP(Table9[[#This Row],[Shortname]], Comp[], 31, FALSE)</f>
        <v>0</v>
      </c>
    </row>
    <row r="198" spans="1:34" x14ac:dyDescent="0.3">
      <c r="A198" t="s">
        <v>5062</v>
      </c>
      <c r="B198" t="s">
        <v>5531</v>
      </c>
      <c r="C198" t="s">
        <v>5054</v>
      </c>
      <c r="D198">
        <v>534.95000000000005</v>
      </c>
      <c r="E198">
        <v>870</v>
      </c>
      <c r="F198">
        <v>1E-3</v>
      </c>
      <c r="G198">
        <v>1</v>
      </c>
      <c r="I198">
        <f>VLOOKUP(Table9[[#This Row],[Shortname]], Comp[], 6, FALSE)</f>
        <v>781</v>
      </c>
      <c r="J198" s="14">
        <f>VLOOKUP(Table9[[#This Row],[Shortname]], Comp[], 7, FALSE)</f>
        <v>53</v>
      </c>
      <c r="K198">
        <f>VLOOKUP(Table9[[#This Row],[Shortname]], Comp[], 8, FALSE)</f>
        <v>30</v>
      </c>
      <c r="L198">
        <f>VLOOKUP(Table9[[#This Row],[Shortname]], Comp[], 9, FALSE)</f>
        <v>10</v>
      </c>
      <c r="M198">
        <f>VLOOKUP(Table9[[#This Row],[Shortname]], Comp[], 10, FALSE)</f>
        <v>0</v>
      </c>
      <c r="N198">
        <f>VLOOKUP(Table9[[#This Row],[Shortname]], Comp[], 11, FALSE)</f>
        <v>0</v>
      </c>
      <c r="O198">
        <f>VLOOKUP(Table9[[#This Row],[Shortname]], Comp[],12, FALSE)</f>
        <v>2</v>
      </c>
      <c r="P198">
        <f>VLOOKUP(Table9[[#This Row],[Shortname]], Comp[], 13, FALSE)</f>
        <v>0</v>
      </c>
      <c r="Q198">
        <f>VLOOKUP(Table9[[#This Row],[Shortname]], Comp[], 14, FALSE)</f>
        <v>0</v>
      </c>
      <c r="R198">
        <f>VLOOKUP(Table9[[#This Row],[Shortname]], Comp[], 15, FALSE)</f>
        <v>0</v>
      </c>
      <c r="S198">
        <f>VLOOKUP(Table9[[#This Row],[Shortname]], Comp[], 16, FALSE)</f>
        <v>5</v>
      </c>
      <c r="T198">
        <f>VLOOKUP(Table9[[#This Row],[Shortname]], Comp[], 17, FALSE)</f>
        <v>0</v>
      </c>
      <c r="U198">
        <f>VLOOKUP(Table9[[#This Row],[Shortname]], Comp[], 18, FALSE)</f>
        <v>0</v>
      </c>
      <c r="V198">
        <f>VLOOKUP(Table9[[#This Row],[Shortname]], Comp[], 19, FALSE)</f>
        <v>0</v>
      </c>
      <c r="W198">
        <f>VLOOKUP(Table9[[#This Row],[Shortname]], Comp[], 20, FALSE)</f>
        <v>0</v>
      </c>
      <c r="X198">
        <f>VLOOKUP(Table9[[#This Row],[Shortname]], Comp[], 21, FALSE)</f>
        <v>0</v>
      </c>
      <c r="Y198">
        <f>VLOOKUP(Table9[[#This Row],[Shortname]], Comp[], 22, FALSE)</f>
        <v>0</v>
      </c>
      <c r="Z198">
        <f>VLOOKUP(Table9[[#This Row],[Shortname]], Comp[], 23, FALSE)</f>
        <v>0</v>
      </c>
      <c r="AA198">
        <f>VLOOKUP(Table9[[#This Row],[Shortname]], Comp[], 24, FALSE)</f>
        <v>0</v>
      </c>
      <c r="AB198">
        <f>VLOOKUP(Table9[[#This Row],[Shortname]], Comp[], 25, FALSE)</f>
        <v>0</v>
      </c>
      <c r="AC198">
        <f>VLOOKUP(Table9[[#This Row],[Shortname]], Comp[], 26, FALSE)</f>
        <v>0</v>
      </c>
      <c r="AD198">
        <f>VLOOKUP(Table9[[#This Row],[Shortname]], Comp[], 27, FALSE)</f>
        <v>0</v>
      </c>
      <c r="AE198">
        <f>VLOOKUP(Table9[[#This Row],[Shortname]], Comp[], 28, FALSE)</f>
        <v>0</v>
      </c>
      <c r="AF198">
        <f>VLOOKUP(Table9[[#This Row],[Shortname]], Comp[], 29, FALSE)</f>
        <v>0</v>
      </c>
      <c r="AG198">
        <f>VLOOKUP(Table9[[#This Row],[Shortname]], Comp[], 30, FALSE)</f>
        <v>0</v>
      </c>
      <c r="AH198">
        <f>VLOOKUP(Table9[[#This Row],[Shortname]], Comp[], 31, FALSE)</f>
        <v>0</v>
      </c>
    </row>
    <row r="199" spans="1:34" x14ac:dyDescent="0.3">
      <c r="A199" t="s">
        <v>552</v>
      </c>
      <c r="B199" t="s">
        <v>6697</v>
      </c>
      <c r="C199" t="s">
        <v>499</v>
      </c>
      <c r="D199">
        <v>532</v>
      </c>
      <c r="E199">
        <v>750</v>
      </c>
      <c r="F199">
        <v>1E-4</v>
      </c>
      <c r="G199">
        <v>1</v>
      </c>
      <c r="I199">
        <f>VLOOKUP(Table9[[#This Row],[Shortname]], Comp[], 6, FALSE)</f>
        <v>71</v>
      </c>
      <c r="J199" s="14">
        <f>VLOOKUP(Table9[[#This Row],[Shortname]], Comp[], 7, FALSE)</f>
        <v>72.800000000000011</v>
      </c>
      <c r="K199">
        <f>VLOOKUP(Table9[[#This Row],[Shortname]], Comp[], 8, FALSE)</f>
        <v>10.199999999999999</v>
      </c>
      <c r="L199">
        <f>VLOOKUP(Table9[[#This Row],[Shortname]], Comp[], 9, FALSE)</f>
        <v>8.1</v>
      </c>
      <c r="M199">
        <f>VLOOKUP(Table9[[#This Row],[Shortname]], Comp[], 10, FALSE)</f>
        <v>0</v>
      </c>
      <c r="N199">
        <f>VLOOKUP(Table9[[#This Row],[Shortname]], Comp[], 11, FALSE)</f>
        <v>8.9</v>
      </c>
      <c r="O199">
        <f>VLOOKUP(Table9[[#This Row],[Shortname]], Comp[],12, FALSE)</f>
        <v>0</v>
      </c>
      <c r="P199">
        <f>VLOOKUP(Table9[[#This Row],[Shortname]], Comp[], 13, FALSE)</f>
        <v>0</v>
      </c>
      <c r="Q199">
        <f>VLOOKUP(Table9[[#This Row],[Shortname]], Comp[], 14, FALSE)</f>
        <v>0</v>
      </c>
      <c r="R199">
        <f>VLOOKUP(Table9[[#This Row],[Shortname]], Comp[], 15, FALSE)</f>
        <v>0</v>
      </c>
      <c r="S199">
        <f>VLOOKUP(Table9[[#This Row],[Shortname]], Comp[], 16, FALSE)</f>
        <v>0</v>
      </c>
      <c r="T199">
        <f>VLOOKUP(Table9[[#This Row],[Shortname]], Comp[], 17, FALSE)</f>
        <v>0</v>
      </c>
      <c r="U199">
        <f>VLOOKUP(Table9[[#This Row],[Shortname]], Comp[], 18, FALSE)</f>
        <v>0</v>
      </c>
      <c r="V199">
        <f>VLOOKUP(Table9[[#This Row],[Shortname]], Comp[], 19, FALSE)</f>
        <v>0</v>
      </c>
      <c r="W199">
        <f>VLOOKUP(Table9[[#This Row],[Shortname]], Comp[], 20, FALSE)</f>
        <v>0</v>
      </c>
      <c r="X199">
        <f>VLOOKUP(Table9[[#This Row],[Shortname]], Comp[], 21, FALSE)</f>
        <v>0</v>
      </c>
      <c r="Y199">
        <f>VLOOKUP(Table9[[#This Row],[Shortname]], Comp[], 22, FALSE)</f>
        <v>0</v>
      </c>
      <c r="Z199">
        <f>VLOOKUP(Table9[[#This Row],[Shortname]], Comp[], 23, FALSE)</f>
        <v>0</v>
      </c>
      <c r="AA199">
        <f>VLOOKUP(Table9[[#This Row],[Shortname]], Comp[], 24, FALSE)</f>
        <v>0</v>
      </c>
      <c r="AB199">
        <f>VLOOKUP(Table9[[#This Row],[Shortname]], Comp[], 25, FALSE)</f>
        <v>0</v>
      </c>
      <c r="AC199">
        <f>VLOOKUP(Table9[[#This Row],[Shortname]], Comp[], 26, FALSE)</f>
        <v>0</v>
      </c>
      <c r="AD199">
        <f>VLOOKUP(Table9[[#This Row],[Shortname]], Comp[], 27, FALSE)</f>
        <v>0</v>
      </c>
      <c r="AE199">
        <f>VLOOKUP(Table9[[#This Row],[Shortname]], Comp[], 28, FALSE)</f>
        <v>0</v>
      </c>
      <c r="AF199">
        <f>VLOOKUP(Table9[[#This Row],[Shortname]], Comp[], 29, FALSE)</f>
        <v>0</v>
      </c>
      <c r="AG199">
        <f>VLOOKUP(Table9[[#This Row],[Shortname]], Comp[], 30, FALSE)</f>
        <v>0</v>
      </c>
      <c r="AH199">
        <f>VLOOKUP(Table9[[#This Row],[Shortname]], Comp[], 31, FALSE)</f>
        <v>0</v>
      </c>
    </row>
    <row r="200" spans="1:34" x14ac:dyDescent="0.3">
      <c r="A200" t="s">
        <v>3433</v>
      </c>
      <c r="B200" t="s">
        <v>6804</v>
      </c>
      <c r="C200" t="s">
        <v>3401</v>
      </c>
      <c r="D200">
        <v>530</v>
      </c>
      <c r="E200">
        <v>650</v>
      </c>
      <c r="F200">
        <v>2.0000000000000001E-4</v>
      </c>
      <c r="G200">
        <v>1</v>
      </c>
      <c r="H200" t="s">
        <v>6803</v>
      </c>
      <c r="I200">
        <f>VLOOKUP(Table9[[#This Row],[Shortname]], Comp[], 6, FALSE)</f>
        <v>489</v>
      </c>
      <c r="J200" s="14">
        <f>VLOOKUP(Table9[[#This Row],[Shortname]], Comp[], 7, FALSE)</f>
        <v>81.28</v>
      </c>
      <c r="K200">
        <f>VLOOKUP(Table9[[#This Row],[Shortname]], Comp[], 8, FALSE)</f>
        <v>0</v>
      </c>
      <c r="L200">
        <f>VLOOKUP(Table9[[#This Row],[Shortname]], Comp[], 9, FALSE)</f>
        <v>9.1999999999999993</v>
      </c>
      <c r="M200">
        <f>VLOOKUP(Table9[[#This Row],[Shortname]], Comp[], 10, FALSE)</f>
        <v>0</v>
      </c>
      <c r="N200">
        <f>VLOOKUP(Table9[[#This Row],[Shortname]], Comp[], 11, FALSE)</f>
        <v>9.5</v>
      </c>
      <c r="O200">
        <f>VLOOKUP(Table9[[#This Row],[Shortname]], Comp[],12, FALSE)</f>
        <v>0</v>
      </c>
      <c r="P200">
        <f>VLOOKUP(Table9[[#This Row],[Shortname]], Comp[], 13, FALSE)</f>
        <v>0</v>
      </c>
      <c r="Q200">
        <f>VLOOKUP(Table9[[#This Row],[Shortname]], Comp[], 14, FALSE)</f>
        <v>0</v>
      </c>
      <c r="R200">
        <f>VLOOKUP(Table9[[#This Row],[Shortname]], Comp[], 15, FALSE)</f>
        <v>0</v>
      </c>
      <c r="S200">
        <f>VLOOKUP(Table9[[#This Row],[Shortname]], Comp[], 16, FALSE)</f>
        <v>0</v>
      </c>
      <c r="T200">
        <f>VLOOKUP(Table9[[#This Row],[Shortname]], Comp[], 17, FALSE)</f>
        <v>0</v>
      </c>
      <c r="U200">
        <f>VLOOKUP(Table9[[#This Row],[Shortname]], Comp[], 18, FALSE)</f>
        <v>0</v>
      </c>
      <c r="V200">
        <f>VLOOKUP(Table9[[#This Row],[Shortname]], Comp[], 19, FALSE)</f>
        <v>0.02</v>
      </c>
      <c r="W200">
        <f>VLOOKUP(Table9[[#This Row],[Shortname]], Comp[], 20, FALSE)</f>
        <v>0</v>
      </c>
      <c r="X200">
        <f>VLOOKUP(Table9[[#This Row],[Shortname]], Comp[], 21, FALSE)</f>
        <v>0</v>
      </c>
      <c r="Y200">
        <f>VLOOKUP(Table9[[#This Row],[Shortname]], Comp[], 22, FALSE)</f>
        <v>0</v>
      </c>
      <c r="Z200">
        <f>VLOOKUP(Table9[[#This Row],[Shortname]], Comp[], 23, FALSE)</f>
        <v>0</v>
      </c>
      <c r="AA200">
        <f>VLOOKUP(Table9[[#This Row],[Shortname]], Comp[], 24, FALSE)</f>
        <v>0</v>
      </c>
      <c r="AB200">
        <f>VLOOKUP(Table9[[#This Row],[Shortname]], Comp[], 25, FALSE)</f>
        <v>0</v>
      </c>
      <c r="AC200">
        <f>VLOOKUP(Table9[[#This Row],[Shortname]], Comp[], 26, FALSE)</f>
        <v>0</v>
      </c>
      <c r="AD200">
        <f>VLOOKUP(Table9[[#This Row],[Shortname]], Comp[], 27, FALSE)</f>
        <v>0</v>
      </c>
      <c r="AE200">
        <f>VLOOKUP(Table9[[#This Row],[Shortname]], Comp[], 28, FALSE)</f>
        <v>0</v>
      </c>
      <c r="AF200">
        <f>VLOOKUP(Table9[[#This Row],[Shortname]], Comp[], 29, FALSE)</f>
        <v>0</v>
      </c>
      <c r="AG200">
        <f>VLOOKUP(Table9[[#This Row],[Shortname]], Comp[], 30, FALSE)</f>
        <v>0</v>
      </c>
      <c r="AH200">
        <f>VLOOKUP(Table9[[#This Row],[Shortname]], Comp[], 31, FALSE)</f>
        <v>0</v>
      </c>
    </row>
    <row r="201" spans="1:34" x14ac:dyDescent="0.3">
      <c r="A201" t="s">
        <v>1446</v>
      </c>
      <c r="B201" t="s">
        <v>1448</v>
      </c>
      <c r="C201" t="s">
        <v>1449</v>
      </c>
      <c r="D201">
        <v>528</v>
      </c>
      <c r="E201">
        <v>1000</v>
      </c>
      <c r="F201">
        <v>1E-4</v>
      </c>
      <c r="G201">
        <v>1</v>
      </c>
      <c r="H201" t="s">
        <v>6813</v>
      </c>
      <c r="I201">
        <f>VLOOKUP(Table9[[#This Row],[Shortname]], Comp[], 6, FALSE)</f>
        <v>185</v>
      </c>
      <c r="J201" s="14">
        <f>VLOOKUP(Table9[[#This Row],[Shortname]], Comp[], 7, FALSE)</f>
        <v>48.800000000000004</v>
      </c>
      <c r="K201">
        <f>VLOOKUP(Table9[[#This Row],[Shortname]], Comp[], 8, FALSE)</f>
        <v>30.8</v>
      </c>
      <c r="L201">
        <f>VLOOKUP(Table9[[#This Row],[Shortname]], Comp[], 9, FALSE)</f>
        <v>9.5</v>
      </c>
      <c r="M201">
        <f>VLOOKUP(Table9[[#This Row],[Shortname]], Comp[], 10, FALSE)</f>
        <v>0</v>
      </c>
      <c r="N201">
        <f>VLOOKUP(Table9[[#This Row],[Shortname]], Comp[], 11, FALSE)</f>
        <v>4.4000000000000004</v>
      </c>
      <c r="O201">
        <f>VLOOKUP(Table9[[#This Row],[Shortname]], Comp[],12, FALSE)</f>
        <v>3.8</v>
      </c>
      <c r="P201">
        <f>VLOOKUP(Table9[[#This Row],[Shortname]], Comp[], 13, FALSE)</f>
        <v>2.7</v>
      </c>
      <c r="Q201">
        <f>VLOOKUP(Table9[[#This Row],[Shortname]], Comp[], 14, FALSE)</f>
        <v>0</v>
      </c>
      <c r="R201">
        <f>VLOOKUP(Table9[[#This Row],[Shortname]], Comp[], 15, FALSE)</f>
        <v>0</v>
      </c>
      <c r="S201">
        <f>VLOOKUP(Table9[[#This Row],[Shortname]], Comp[], 16, FALSE)</f>
        <v>0</v>
      </c>
      <c r="T201">
        <f>VLOOKUP(Table9[[#This Row],[Shortname]], Comp[], 17, FALSE)</f>
        <v>0</v>
      </c>
      <c r="U201">
        <f>VLOOKUP(Table9[[#This Row],[Shortname]], Comp[], 18, FALSE)</f>
        <v>0</v>
      </c>
      <c r="V201">
        <f>VLOOKUP(Table9[[#This Row],[Shortname]], Comp[], 19, FALSE)</f>
        <v>0</v>
      </c>
      <c r="W201">
        <f>VLOOKUP(Table9[[#This Row],[Shortname]], Comp[], 20, FALSE)</f>
        <v>0</v>
      </c>
      <c r="X201">
        <f>VLOOKUP(Table9[[#This Row],[Shortname]], Comp[], 21, FALSE)</f>
        <v>0</v>
      </c>
      <c r="Y201">
        <f>VLOOKUP(Table9[[#This Row],[Shortname]], Comp[], 22, FALSE)</f>
        <v>0</v>
      </c>
      <c r="Z201">
        <f>VLOOKUP(Table9[[#This Row],[Shortname]], Comp[], 23, FALSE)</f>
        <v>0</v>
      </c>
      <c r="AA201">
        <f>VLOOKUP(Table9[[#This Row],[Shortname]], Comp[], 24, FALSE)</f>
        <v>0</v>
      </c>
      <c r="AB201">
        <f>VLOOKUP(Table9[[#This Row],[Shortname]], Comp[], 25, FALSE)</f>
        <v>0</v>
      </c>
      <c r="AC201">
        <f>VLOOKUP(Table9[[#This Row],[Shortname]], Comp[], 26, FALSE)</f>
        <v>0</v>
      </c>
      <c r="AD201">
        <f>VLOOKUP(Table9[[#This Row],[Shortname]], Comp[], 27, FALSE)</f>
        <v>0</v>
      </c>
      <c r="AE201">
        <f>VLOOKUP(Table9[[#This Row],[Shortname]], Comp[], 28, FALSE)</f>
        <v>0</v>
      </c>
      <c r="AF201">
        <f>VLOOKUP(Table9[[#This Row],[Shortname]], Comp[], 29, FALSE)</f>
        <v>0</v>
      </c>
      <c r="AG201">
        <f>VLOOKUP(Table9[[#This Row],[Shortname]], Comp[], 30, FALSE)</f>
        <v>0</v>
      </c>
      <c r="AH201">
        <f>VLOOKUP(Table9[[#This Row],[Shortname]], Comp[], 31, FALSE)</f>
        <v>0</v>
      </c>
    </row>
    <row r="202" spans="1:34" x14ac:dyDescent="0.3">
      <c r="A202" t="s">
        <v>3138</v>
      </c>
      <c r="B202" t="s">
        <v>3140</v>
      </c>
      <c r="C202" t="s">
        <v>3119</v>
      </c>
      <c r="D202">
        <v>521</v>
      </c>
      <c r="E202">
        <v>800</v>
      </c>
      <c r="F202">
        <v>1E-4</v>
      </c>
      <c r="G202">
        <v>1</v>
      </c>
      <c r="H202" t="s">
        <v>6803</v>
      </c>
      <c r="I202">
        <f>VLOOKUP(Table9[[#This Row],[Shortname]], Comp[], 6, FALSE)</f>
        <v>438</v>
      </c>
      <c r="J202" s="14">
        <f>VLOOKUP(Table9[[#This Row],[Shortname]], Comp[], 7, FALSE)</f>
        <v>84</v>
      </c>
      <c r="K202">
        <f>VLOOKUP(Table9[[#This Row],[Shortname]], Comp[], 8, FALSE)</f>
        <v>0</v>
      </c>
      <c r="L202">
        <f>VLOOKUP(Table9[[#This Row],[Shortname]], Comp[], 9, FALSE)</f>
        <v>2</v>
      </c>
      <c r="M202">
        <f>VLOOKUP(Table9[[#This Row],[Shortname]], Comp[], 10, FALSE)</f>
        <v>0</v>
      </c>
      <c r="N202">
        <f>VLOOKUP(Table9[[#This Row],[Shortname]], Comp[], 11, FALSE)</f>
        <v>0</v>
      </c>
      <c r="O202">
        <f>VLOOKUP(Table9[[#This Row],[Shortname]], Comp[],12, FALSE)</f>
        <v>0</v>
      </c>
      <c r="P202">
        <f>VLOOKUP(Table9[[#This Row],[Shortname]], Comp[], 13, FALSE)</f>
        <v>2</v>
      </c>
      <c r="Q202">
        <f>VLOOKUP(Table9[[#This Row],[Shortname]], Comp[], 14, FALSE)</f>
        <v>0</v>
      </c>
      <c r="R202">
        <f>VLOOKUP(Table9[[#This Row],[Shortname]], Comp[], 15, FALSE)</f>
        <v>12</v>
      </c>
      <c r="S202">
        <f>VLOOKUP(Table9[[#This Row],[Shortname]], Comp[], 16, FALSE)</f>
        <v>0</v>
      </c>
      <c r="T202">
        <f>VLOOKUP(Table9[[#This Row],[Shortname]], Comp[], 17, FALSE)</f>
        <v>0</v>
      </c>
      <c r="U202">
        <f>VLOOKUP(Table9[[#This Row],[Shortname]], Comp[], 18, FALSE)</f>
        <v>0</v>
      </c>
      <c r="V202">
        <f>VLOOKUP(Table9[[#This Row],[Shortname]], Comp[], 19, FALSE)</f>
        <v>0</v>
      </c>
      <c r="W202">
        <f>VLOOKUP(Table9[[#This Row],[Shortname]], Comp[], 20, FALSE)</f>
        <v>0</v>
      </c>
      <c r="X202">
        <f>VLOOKUP(Table9[[#This Row],[Shortname]], Comp[], 21, FALSE)</f>
        <v>0</v>
      </c>
      <c r="Y202">
        <f>VLOOKUP(Table9[[#This Row],[Shortname]], Comp[], 22, FALSE)</f>
        <v>0</v>
      </c>
      <c r="Z202">
        <f>VLOOKUP(Table9[[#This Row],[Shortname]], Comp[], 23, FALSE)</f>
        <v>0</v>
      </c>
      <c r="AA202">
        <f>VLOOKUP(Table9[[#This Row],[Shortname]], Comp[], 24, FALSE)</f>
        <v>0</v>
      </c>
      <c r="AB202">
        <f>VLOOKUP(Table9[[#This Row],[Shortname]], Comp[], 25, FALSE)</f>
        <v>0</v>
      </c>
      <c r="AC202">
        <f>VLOOKUP(Table9[[#This Row],[Shortname]], Comp[], 26, FALSE)</f>
        <v>0</v>
      </c>
      <c r="AD202">
        <f>VLOOKUP(Table9[[#This Row],[Shortname]], Comp[], 27, FALSE)</f>
        <v>0</v>
      </c>
      <c r="AE202">
        <f>VLOOKUP(Table9[[#This Row],[Shortname]], Comp[], 28, FALSE)</f>
        <v>0</v>
      </c>
      <c r="AF202">
        <f>VLOOKUP(Table9[[#This Row],[Shortname]], Comp[], 29, FALSE)</f>
        <v>0</v>
      </c>
      <c r="AG202">
        <f>VLOOKUP(Table9[[#This Row],[Shortname]], Comp[], 30, FALSE)</f>
        <v>0</v>
      </c>
      <c r="AH202">
        <f>VLOOKUP(Table9[[#This Row],[Shortname]], Comp[], 31, FALSE)</f>
        <v>0</v>
      </c>
    </row>
    <row r="203" spans="1:34" x14ac:dyDescent="0.3">
      <c r="A203" t="s">
        <v>2989</v>
      </c>
      <c r="B203" t="s">
        <v>2991</v>
      </c>
      <c r="C203" t="s">
        <v>2992</v>
      </c>
      <c r="D203">
        <v>520</v>
      </c>
      <c r="E203">
        <v>850</v>
      </c>
      <c r="F203">
        <v>1E-4</v>
      </c>
      <c r="G203">
        <v>1</v>
      </c>
      <c r="H203" t="s">
        <v>6803</v>
      </c>
      <c r="I203">
        <f>VLOOKUP(Table9[[#This Row],[Shortname]], Comp[], 6, FALSE)</f>
        <v>411</v>
      </c>
      <c r="J203" s="14">
        <f>VLOOKUP(Table9[[#This Row],[Shortname]], Comp[], 7, FALSE)</f>
        <v>84</v>
      </c>
      <c r="K203">
        <f>VLOOKUP(Table9[[#This Row],[Shortname]], Comp[], 8, FALSE)</f>
        <v>0</v>
      </c>
      <c r="L203">
        <f>VLOOKUP(Table9[[#This Row],[Shortname]], Comp[], 9, FALSE)</f>
        <v>0</v>
      </c>
      <c r="M203">
        <f>VLOOKUP(Table9[[#This Row],[Shortname]], Comp[], 10, FALSE)</f>
        <v>0</v>
      </c>
      <c r="N203">
        <f>VLOOKUP(Table9[[#This Row],[Shortname]], Comp[], 11, FALSE)</f>
        <v>0</v>
      </c>
      <c r="O203">
        <f>VLOOKUP(Table9[[#This Row],[Shortname]], Comp[],12, FALSE)</f>
        <v>2</v>
      </c>
      <c r="P203">
        <f>VLOOKUP(Table9[[#This Row],[Shortname]], Comp[], 13, FALSE)</f>
        <v>2</v>
      </c>
      <c r="Q203">
        <f>VLOOKUP(Table9[[#This Row],[Shortname]], Comp[], 14, FALSE)</f>
        <v>0</v>
      </c>
      <c r="R203">
        <f>VLOOKUP(Table9[[#This Row],[Shortname]], Comp[], 15, FALSE)</f>
        <v>12</v>
      </c>
      <c r="S203">
        <f>VLOOKUP(Table9[[#This Row],[Shortname]], Comp[], 16, FALSE)</f>
        <v>0</v>
      </c>
      <c r="T203">
        <f>VLOOKUP(Table9[[#This Row],[Shortname]], Comp[], 17, FALSE)</f>
        <v>0</v>
      </c>
      <c r="U203">
        <f>VLOOKUP(Table9[[#This Row],[Shortname]], Comp[], 18, FALSE)</f>
        <v>0</v>
      </c>
      <c r="V203">
        <f>VLOOKUP(Table9[[#This Row],[Shortname]], Comp[], 19, FALSE)</f>
        <v>0</v>
      </c>
      <c r="W203">
        <f>VLOOKUP(Table9[[#This Row],[Shortname]], Comp[], 20, FALSE)</f>
        <v>0</v>
      </c>
      <c r="X203">
        <f>VLOOKUP(Table9[[#This Row],[Shortname]], Comp[], 21, FALSE)</f>
        <v>0</v>
      </c>
      <c r="Y203">
        <f>VLOOKUP(Table9[[#This Row],[Shortname]], Comp[], 22, FALSE)</f>
        <v>0</v>
      </c>
      <c r="Z203">
        <f>VLOOKUP(Table9[[#This Row],[Shortname]], Comp[], 23, FALSE)</f>
        <v>0</v>
      </c>
      <c r="AA203">
        <f>VLOOKUP(Table9[[#This Row],[Shortname]], Comp[], 24, FALSE)</f>
        <v>0</v>
      </c>
      <c r="AB203">
        <f>VLOOKUP(Table9[[#This Row],[Shortname]], Comp[], 25, FALSE)</f>
        <v>0</v>
      </c>
      <c r="AC203">
        <f>VLOOKUP(Table9[[#This Row],[Shortname]], Comp[], 26, FALSE)</f>
        <v>0</v>
      </c>
      <c r="AD203">
        <f>VLOOKUP(Table9[[#This Row],[Shortname]], Comp[], 27, FALSE)</f>
        <v>0</v>
      </c>
      <c r="AE203">
        <f>VLOOKUP(Table9[[#This Row],[Shortname]], Comp[], 28, FALSE)</f>
        <v>0</v>
      </c>
      <c r="AF203">
        <f>VLOOKUP(Table9[[#This Row],[Shortname]], Comp[], 29, FALSE)</f>
        <v>0</v>
      </c>
      <c r="AG203">
        <f>VLOOKUP(Table9[[#This Row],[Shortname]], Comp[], 30, FALSE)</f>
        <v>0</v>
      </c>
      <c r="AH203">
        <f>VLOOKUP(Table9[[#This Row],[Shortname]], Comp[], 31, FALSE)</f>
        <v>0</v>
      </c>
    </row>
    <row r="204" spans="1:34" x14ac:dyDescent="0.3">
      <c r="A204" t="s">
        <v>3154</v>
      </c>
      <c r="B204" t="s">
        <v>3156</v>
      </c>
      <c r="C204" t="s">
        <v>3157</v>
      </c>
      <c r="D204">
        <v>520</v>
      </c>
      <c r="E204">
        <v>750</v>
      </c>
      <c r="F204">
        <v>1E-4</v>
      </c>
      <c r="G204">
        <v>1</v>
      </c>
      <c r="H204" t="s">
        <v>6803</v>
      </c>
      <c r="I204">
        <f>VLOOKUP(Table9[[#This Row],[Shortname]], Comp[], 6, FALSE)</f>
        <v>440</v>
      </c>
      <c r="J204" s="14">
        <f>VLOOKUP(Table9[[#This Row],[Shortname]], Comp[], 7, FALSE)</f>
        <v>80</v>
      </c>
      <c r="K204">
        <f>VLOOKUP(Table9[[#This Row],[Shortname]], Comp[], 8, FALSE)</f>
        <v>0</v>
      </c>
      <c r="L204">
        <f>VLOOKUP(Table9[[#This Row],[Shortname]], Comp[], 9, FALSE)</f>
        <v>0</v>
      </c>
      <c r="M204">
        <f>VLOOKUP(Table9[[#This Row],[Shortname]], Comp[], 10, FALSE)</f>
        <v>0</v>
      </c>
      <c r="N204">
        <f>VLOOKUP(Table9[[#This Row],[Shortname]], Comp[], 11, FALSE)</f>
        <v>0</v>
      </c>
      <c r="O204">
        <f>VLOOKUP(Table9[[#This Row],[Shortname]], Comp[],12, FALSE)</f>
        <v>5</v>
      </c>
      <c r="P204">
        <f>VLOOKUP(Table9[[#This Row],[Shortname]], Comp[], 13, FALSE)</f>
        <v>0</v>
      </c>
      <c r="Q204">
        <f>VLOOKUP(Table9[[#This Row],[Shortname]], Comp[], 14, FALSE)</f>
        <v>0</v>
      </c>
      <c r="R204">
        <f>VLOOKUP(Table9[[#This Row],[Shortname]], Comp[], 15, FALSE)</f>
        <v>15</v>
      </c>
      <c r="S204">
        <f>VLOOKUP(Table9[[#This Row],[Shortname]], Comp[], 16, FALSE)</f>
        <v>0</v>
      </c>
      <c r="T204">
        <f>VLOOKUP(Table9[[#This Row],[Shortname]], Comp[], 17, FALSE)</f>
        <v>0</v>
      </c>
      <c r="U204">
        <f>VLOOKUP(Table9[[#This Row],[Shortname]], Comp[], 18, FALSE)</f>
        <v>0</v>
      </c>
      <c r="V204">
        <f>VLOOKUP(Table9[[#This Row],[Shortname]], Comp[], 19, FALSE)</f>
        <v>0</v>
      </c>
      <c r="W204">
        <f>VLOOKUP(Table9[[#This Row],[Shortname]], Comp[], 20, FALSE)</f>
        <v>0</v>
      </c>
      <c r="X204">
        <f>VLOOKUP(Table9[[#This Row],[Shortname]], Comp[], 21, FALSE)</f>
        <v>0</v>
      </c>
      <c r="Y204">
        <f>VLOOKUP(Table9[[#This Row],[Shortname]], Comp[], 22, FALSE)</f>
        <v>0</v>
      </c>
      <c r="Z204">
        <f>VLOOKUP(Table9[[#This Row],[Shortname]], Comp[], 23, FALSE)</f>
        <v>0</v>
      </c>
      <c r="AA204">
        <f>VLOOKUP(Table9[[#This Row],[Shortname]], Comp[], 24, FALSE)</f>
        <v>0</v>
      </c>
      <c r="AB204">
        <f>VLOOKUP(Table9[[#This Row],[Shortname]], Comp[], 25, FALSE)</f>
        <v>0</v>
      </c>
      <c r="AC204">
        <f>VLOOKUP(Table9[[#This Row],[Shortname]], Comp[], 26, FALSE)</f>
        <v>0</v>
      </c>
      <c r="AD204">
        <f>VLOOKUP(Table9[[#This Row],[Shortname]], Comp[], 27, FALSE)</f>
        <v>0</v>
      </c>
      <c r="AE204">
        <f>VLOOKUP(Table9[[#This Row],[Shortname]], Comp[], 28, FALSE)</f>
        <v>0</v>
      </c>
      <c r="AF204">
        <f>VLOOKUP(Table9[[#This Row],[Shortname]], Comp[], 29, FALSE)</f>
        <v>0</v>
      </c>
      <c r="AG204">
        <f>VLOOKUP(Table9[[#This Row],[Shortname]], Comp[], 30, FALSE)</f>
        <v>0</v>
      </c>
      <c r="AH204">
        <f>VLOOKUP(Table9[[#This Row],[Shortname]], Comp[], 31, FALSE)</f>
        <v>0</v>
      </c>
    </row>
    <row r="205" spans="1:34" x14ac:dyDescent="0.3">
      <c r="A205" t="s">
        <v>641</v>
      </c>
      <c r="B205" t="s">
        <v>3494</v>
      </c>
      <c r="C205" t="s">
        <v>3495</v>
      </c>
      <c r="D205">
        <v>519</v>
      </c>
      <c r="E205">
        <v>25</v>
      </c>
      <c r="F205">
        <v>1E-4</v>
      </c>
      <c r="G205">
        <v>1</v>
      </c>
      <c r="H205" t="s">
        <v>6803</v>
      </c>
      <c r="I205">
        <f>VLOOKUP(Table9[[#This Row],[Shortname]], Comp[], 6, FALSE)</f>
        <v>82</v>
      </c>
      <c r="J205" s="14">
        <f>VLOOKUP(Table9[[#This Row],[Shortname]], Comp[], 7, FALSE)</f>
        <v>82</v>
      </c>
      <c r="K205">
        <f>VLOOKUP(Table9[[#This Row],[Shortname]], Comp[], 8, FALSE)</f>
        <v>0</v>
      </c>
      <c r="L205">
        <f>VLOOKUP(Table9[[#This Row],[Shortname]], Comp[], 9, FALSE)</f>
        <v>9</v>
      </c>
      <c r="M205">
        <f>VLOOKUP(Table9[[#This Row],[Shortname]], Comp[], 10, FALSE)</f>
        <v>0</v>
      </c>
      <c r="N205">
        <f>VLOOKUP(Table9[[#This Row],[Shortname]], Comp[], 11, FALSE)</f>
        <v>9</v>
      </c>
      <c r="O205">
        <f>VLOOKUP(Table9[[#This Row],[Shortname]], Comp[],12, FALSE)</f>
        <v>0</v>
      </c>
      <c r="P205">
        <f>VLOOKUP(Table9[[#This Row],[Shortname]], Comp[], 13, FALSE)</f>
        <v>0</v>
      </c>
      <c r="Q205">
        <f>VLOOKUP(Table9[[#This Row],[Shortname]], Comp[], 14, FALSE)</f>
        <v>0</v>
      </c>
      <c r="R205">
        <f>VLOOKUP(Table9[[#This Row],[Shortname]], Comp[], 15, FALSE)</f>
        <v>0</v>
      </c>
      <c r="S205">
        <f>VLOOKUP(Table9[[#This Row],[Shortname]], Comp[], 16, FALSE)</f>
        <v>0</v>
      </c>
      <c r="T205">
        <f>VLOOKUP(Table9[[#This Row],[Shortname]], Comp[], 17, FALSE)</f>
        <v>0</v>
      </c>
      <c r="U205">
        <f>VLOOKUP(Table9[[#This Row],[Shortname]], Comp[], 18, FALSE)</f>
        <v>0</v>
      </c>
      <c r="V205">
        <f>VLOOKUP(Table9[[#This Row],[Shortname]], Comp[], 19, FALSE)</f>
        <v>0</v>
      </c>
      <c r="W205">
        <f>VLOOKUP(Table9[[#This Row],[Shortname]], Comp[], 20, FALSE)</f>
        <v>0</v>
      </c>
      <c r="X205">
        <f>VLOOKUP(Table9[[#This Row],[Shortname]], Comp[], 21, FALSE)</f>
        <v>0</v>
      </c>
      <c r="Y205">
        <f>VLOOKUP(Table9[[#This Row],[Shortname]], Comp[], 22, FALSE)</f>
        <v>0</v>
      </c>
      <c r="Z205">
        <f>VLOOKUP(Table9[[#This Row],[Shortname]], Comp[], 23, FALSE)</f>
        <v>0</v>
      </c>
      <c r="AA205">
        <f>VLOOKUP(Table9[[#This Row],[Shortname]], Comp[], 24, FALSE)</f>
        <v>0</v>
      </c>
      <c r="AB205">
        <f>VLOOKUP(Table9[[#This Row],[Shortname]], Comp[], 25, FALSE)</f>
        <v>0</v>
      </c>
      <c r="AC205">
        <f>VLOOKUP(Table9[[#This Row],[Shortname]], Comp[], 26, FALSE)</f>
        <v>0</v>
      </c>
      <c r="AD205">
        <f>VLOOKUP(Table9[[#This Row],[Shortname]], Comp[], 27, FALSE)</f>
        <v>0</v>
      </c>
      <c r="AE205">
        <f>VLOOKUP(Table9[[#This Row],[Shortname]], Comp[], 28, FALSE)</f>
        <v>0</v>
      </c>
      <c r="AF205">
        <f>VLOOKUP(Table9[[#This Row],[Shortname]], Comp[], 29, FALSE)</f>
        <v>0</v>
      </c>
      <c r="AG205">
        <f>VLOOKUP(Table9[[#This Row],[Shortname]], Comp[], 30, FALSE)</f>
        <v>0</v>
      </c>
      <c r="AH205">
        <f>VLOOKUP(Table9[[#This Row],[Shortname]], Comp[], 31, FALSE)</f>
        <v>0</v>
      </c>
    </row>
    <row r="206" spans="1:34" x14ac:dyDescent="0.3">
      <c r="A206" t="s">
        <v>2996</v>
      </c>
      <c r="B206" t="s">
        <v>2998</v>
      </c>
      <c r="C206" t="s">
        <v>2999</v>
      </c>
      <c r="D206">
        <v>518</v>
      </c>
      <c r="E206">
        <v>700</v>
      </c>
      <c r="F206">
        <v>1E-4</v>
      </c>
      <c r="G206">
        <v>1</v>
      </c>
      <c r="H206" t="s">
        <v>6803</v>
      </c>
      <c r="I206">
        <f>VLOOKUP(Table9[[#This Row],[Shortname]], Comp[], 6, FALSE)</f>
        <v>412</v>
      </c>
      <c r="J206" s="14">
        <f>VLOOKUP(Table9[[#This Row],[Shortname]], Comp[], 7, FALSE)</f>
        <v>49.82</v>
      </c>
      <c r="K206">
        <f>VLOOKUP(Table9[[#This Row],[Shortname]], Comp[], 8, FALSE)</f>
        <v>30.83</v>
      </c>
      <c r="L206">
        <f>VLOOKUP(Table9[[#This Row],[Shortname]], Comp[], 9, FALSE)</f>
        <v>9.16</v>
      </c>
      <c r="M206">
        <f>VLOOKUP(Table9[[#This Row],[Shortname]], Comp[], 10, FALSE)</f>
        <v>0</v>
      </c>
      <c r="N206">
        <f>VLOOKUP(Table9[[#This Row],[Shortname]], Comp[], 11, FALSE)</f>
        <v>5.09</v>
      </c>
      <c r="O206">
        <f>VLOOKUP(Table9[[#This Row],[Shortname]], Comp[],12, FALSE)</f>
        <v>4.0999999999999996</v>
      </c>
      <c r="P206">
        <f>VLOOKUP(Table9[[#This Row],[Shortname]], Comp[], 13, FALSE)</f>
        <v>1</v>
      </c>
      <c r="Q206">
        <f>VLOOKUP(Table9[[#This Row],[Shortname]], Comp[], 14, FALSE)</f>
        <v>0</v>
      </c>
      <c r="R206">
        <f>VLOOKUP(Table9[[#This Row],[Shortname]], Comp[], 15, FALSE)</f>
        <v>0</v>
      </c>
      <c r="S206">
        <f>VLOOKUP(Table9[[#This Row],[Shortname]], Comp[], 16, FALSE)</f>
        <v>0</v>
      </c>
      <c r="T206">
        <f>VLOOKUP(Table9[[#This Row],[Shortname]], Comp[], 17, FALSE)</f>
        <v>0</v>
      </c>
      <c r="U206">
        <f>VLOOKUP(Table9[[#This Row],[Shortname]], Comp[], 18, FALSE)</f>
        <v>0</v>
      </c>
      <c r="V206">
        <f>VLOOKUP(Table9[[#This Row],[Shortname]], Comp[], 19, FALSE)</f>
        <v>0</v>
      </c>
      <c r="W206">
        <f>VLOOKUP(Table9[[#This Row],[Shortname]], Comp[], 20, FALSE)</f>
        <v>0</v>
      </c>
      <c r="X206">
        <f>VLOOKUP(Table9[[#This Row],[Shortname]], Comp[], 21, FALSE)</f>
        <v>0</v>
      </c>
      <c r="Y206">
        <f>VLOOKUP(Table9[[#This Row],[Shortname]], Comp[], 22, FALSE)</f>
        <v>0</v>
      </c>
      <c r="Z206">
        <f>VLOOKUP(Table9[[#This Row],[Shortname]], Comp[], 23, FALSE)</f>
        <v>0</v>
      </c>
      <c r="AA206">
        <f>VLOOKUP(Table9[[#This Row],[Shortname]], Comp[], 24, FALSE)</f>
        <v>0</v>
      </c>
      <c r="AB206">
        <f>VLOOKUP(Table9[[#This Row],[Shortname]], Comp[], 25, FALSE)</f>
        <v>0</v>
      </c>
      <c r="AC206">
        <f>VLOOKUP(Table9[[#This Row],[Shortname]], Comp[], 26, FALSE)</f>
        <v>0</v>
      </c>
      <c r="AD206">
        <f>VLOOKUP(Table9[[#This Row],[Shortname]], Comp[], 27, FALSE)</f>
        <v>0</v>
      </c>
      <c r="AE206">
        <f>VLOOKUP(Table9[[#This Row],[Shortname]], Comp[], 28, FALSE)</f>
        <v>0</v>
      </c>
      <c r="AF206">
        <f>VLOOKUP(Table9[[#This Row],[Shortname]], Comp[], 29, FALSE)</f>
        <v>0</v>
      </c>
      <c r="AG206">
        <f>VLOOKUP(Table9[[#This Row],[Shortname]], Comp[], 30, FALSE)</f>
        <v>0</v>
      </c>
      <c r="AH206">
        <f>VLOOKUP(Table9[[#This Row],[Shortname]], Comp[], 31, FALSE)</f>
        <v>0</v>
      </c>
    </row>
    <row r="207" spans="1:34" x14ac:dyDescent="0.3">
      <c r="A207" t="s">
        <v>3182</v>
      </c>
      <c r="B207" t="s">
        <v>97</v>
      </c>
      <c r="C207" t="s">
        <v>3480</v>
      </c>
      <c r="D207">
        <v>517</v>
      </c>
      <c r="E207">
        <v>25</v>
      </c>
      <c r="F207">
        <v>1E-4</v>
      </c>
      <c r="G207">
        <v>1</v>
      </c>
      <c r="H207" t="s">
        <v>6803</v>
      </c>
      <c r="I207">
        <f>VLOOKUP(Table9[[#This Row],[Shortname]], Comp[], 6, FALSE)</f>
        <v>446</v>
      </c>
      <c r="J207" s="14">
        <f>VLOOKUP(Table9[[#This Row],[Shortname]], Comp[], 7, FALSE)</f>
        <v>81.8</v>
      </c>
      <c r="K207">
        <f>VLOOKUP(Table9[[#This Row],[Shortname]], Comp[], 8, FALSE)</f>
        <v>0</v>
      </c>
      <c r="L207">
        <f>VLOOKUP(Table9[[#This Row],[Shortname]], Comp[], 9, FALSE)</f>
        <v>9.1999999999999993</v>
      </c>
      <c r="M207">
        <f>VLOOKUP(Table9[[#This Row],[Shortname]], Comp[], 10, FALSE)</f>
        <v>0</v>
      </c>
      <c r="N207">
        <f>VLOOKUP(Table9[[#This Row],[Shortname]], Comp[], 11, FALSE)</f>
        <v>9</v>
      </c>
      <c r="O207">
        <f>VLOOKUP(Table9[[#This Row],[Shortname]], Comp[],12, FALSE)</f>
        <v>0</v>
      </c>
      <c r="P207">
        <f>VLOOKUP(Table9[[#This Row],[Shortname]], Comp[], 13, FALSE)</f>
        <v>0</v>
      </c>
      <c r="Q207">
        <f>VLOOKUP(Table9[[#This Row],[Shortname]], Comp[], 14, FALSE)</f>
        <v>0</v>
      </c>
      <c r="R207">
        <f>VLOOKUP(Table9[[#This Row],[Shortname]], Comp[], 15, FALSE)</f>
        <v>0</v>
      </c>
      <c r="S207">
        <f>VLOOKUP(Table9[[#This Row],[Shortname]], Comp[], 16, FALSE)</f>
        <v>0</v>
      </c>
      <c r="T207">
        <f>VLOOKUP(Table9[[#This Row],[Shortname]], Comp[], 17, FALSE)</f>
        <v>0</v>
      </c>
      <c r="U207">
        <f>VLOOKUP(Table9[[#This Row],[Shortname]], Comp[], 18, FALSE)</f>
        <v>0</v>
      </c>
      <c r="V207">
        <f>VLOOKUP(Table9[[#This Row],[Shortname]], Comp[], 19, FALSE)</f>
        <v>0</v>
      </c>
      <c r="W207">
        <f>VLOOKUP(Table9[[#This Row],[Shortname]], Comp[], 20, FALSE)</f>
        <v>0</v>
      </c>
      <c r="X207">
        <f>VLOOKUP(Table9[[#This Row],[Shortname]], Comp[], 21, FALSE)</f>
        <v>0</v>
      </c>
      <c r="Y207">
        <f>VLOOKUP(Table9[[#This Row],[Shortname]], Comp[], 22, FALSE)</f>
        <v>0</v>
      </c>
      <c r="Z207">
        <f>VLOOKUP(Table9[[#This Row],[Shortname]], Comp[], 23, FALSE)</f>
        <v>0</v>
      </c>
      <c r="AA207">
        <f>VLOOKUP(Table9[[#This Row],[Shortname]], Comp[], 24, FALSE)</f>
        <v>0</v>
      </c>
      <c r="AB207">
        <f>VLOOKUP(Table9[[#This Row],[Shortname]], Comp[], 25, FALSE)</f>
        <v>0</v>
      </c>
      <c r="AC207">
        <f>VLOOKUP(Table9[[#This Row],[Shortname]], Comp[], 26, FALSE)</f>
        <v>0</v>
      </c>
      <c r="AD207">
        <f>VLOOKUP(Table9[[#This Row],[Shortname]], Comp[], 27, FALSE)</f>
        <v>0</v>
      </c>
      <c r="AE207">
        <f>VLOOKUP(Table9[[#This Row],[Shortname]], Comp[], 28, FALSE)</f>
        <v>0</v>
      </c>
      <c r="AF207">
        <f>VLOOKUP(Table9[[#This Row],[Shortname]], Comp[], 29, FALSE)</f>
        <v>0</v>
      </c>
      <c r="AG207">
        <f>VLOOKUP(Table9[[#This Row],[Shortname]], Comp[], 30, FALSE)</f>
        <v>0</v>
      </c>
      <c r="AH207">
        <f>VLOOKUP(Table9[[#This Row],[Shortname]], Comp[], 31, FALSE)</f>
        <v>0</v>
      </c>
    </row>
    <row r="208" spans="1:34" x14ac:dyDescent="0.3">
      <c r="A208" t="s">
        <v>2208</v>
      </c>
      <c r="B208" t="s">
        <v>2210</v>
      </c>
      <c r="C208" t="s">
        <v>2211</v>
      </c>
      <c r="D208">
        <v>515</v>
      </c>
      <c r="E208">
        <v>750</v>
      </c>
      <c r="F208">
        <v>1E-4</v>
      </c>
      <c r="G208">
        <v>1</v>
      </c>
      <c r="H208" t="s">
        <v>6803</v>
      </c>
      <c r="I208">
        <f>VLOOKUP(Table9[[#This Row],[Shortname]], Comp[], 6, FALSE)</f>
        <v>291</v>
      </c>
      <c r="J208" s="14">
        <f>VLOOKUP(Table9[[#This Row],[Shortname]], Comp[], 7, FALSE)</f>
        <v>83.7</v>
      </c>
      <c r="K208">
        <f>VLOOKUP(Table9[[#This Row],[Shortname]], Comp[], 8, FALSE)</f>
        <v>0</v>
      </c>
      <c r="L208">
        <f>VLOOKUP(Table9[[#This Row],[Shortname]], Comp[], 9, FALSE)</f>
        <v>0</v>
      </c>
      <c r="M208">
        <f>VLOOKUP(Table9[[#This Row],[Shortname]], Comp[], 10, FALSE)</f>
        <v>0</v>
      </c>
      <c r="N208">
        <f>VLOOKUP(Table9[[#This Row],[Shortname]], Comp[], 11, FALSE)</f>
        <v>0</v>
      </c>
      <c r="O208">
        <f>VLOOKUP(Table9[[#This Row],[Shortname]], Comp[],12, FALSE)</f>
        <v>4.2</v>
      </c>
      <c r="P208">
        <f>VLOOKUP(Table9[[#This Row],[Shortname]], Comp[], 13, FALSE)</f>
        <v>0</v>
      </c>
      <c r="Q208">
        <f>VLOOKUP(Table9[[#This Row],[Shortname]], Comp[], 14, FALSE)</f>
        <v>0</v>
      </c>
      <c r="R208">
        <f>VLOOKUP(Table9[[#This Row],[Shortname]], Comp[], 15, FALSE)</f>
        <v>12.1</v>
      </c>
      <c r="S208">
        <f>VLOOKUP(Table9[[#This Row],[Shortname]], Comp[], 16, FALSE)</f>
        <v>0</v>
      </c>
      <c r="T208">
        <f>VLOOKUP(Table9[[#This Row],[Shortname]], Comp[], 17, FALSE)</f>
        <v>0</v>
      </c>
      <c r="U208">
        <f>VLOOKUP(Table9[[#This Row],[Shortname]], Comp[], 18, FALSE)</f>
        <v>0</v>
      </c>
      <c r="V208">
        <f>VLOOKUP(Table9[[#This Row],[Shortname]], Comp[], 19, FALSE)</f>
        <v>0</v>
      </c>
      <c r="W208">
        <f>VLOOKUP(Table9[[#This Row],[Shortname]], Comp[], 20, FALSE)</f>
        <v>0</v>
      </c>
      <c r="X208">
        <f>VLOOKUP(Table9[[#This Row],[Shortname]], Comp[], 21, FALSE)</f>
        <v>0</v>
      </c>
      <c r="Y208">
        <f>VLOOKUP(Table9[[#This Row],[Shortname]], Comp[], 22, FALSE)</f>
        <v>0</v>
      </c>
      <c r="Z208">
        <f>VLOOKUP(Table9[[#This Row],[Shortname]], Comp[], 23, FALSE)</f>
        <v>0</v>
      </c>
      <c r="AA208">
        <f>VLOOKUP(Table9[[#This Row],[Shortname]], Comp[], 24, FALSE)</f>
        <v>0</v>
      </c>
      <c r="AB208">
        <f>VLOOKUP(Table9[[#This Row],[Shortname]], Comp[], 25, FALSE)</f>
        <v>0</v>
      </c>
      <c r="AC208">
        <f>VLOOKUP(Table9[[#This Row],[Shortname]], Comp[], 26, FALSE)</f>
        <v>0</v>
      </c>
      <c r="AD208">
        <f>VLOOKUP(Table9[[#This Row],[Shortname]], Comp[], 27, FALSE)</f>
        <v>0</v>
      </c>
      <c r="AE208">
        <f>VLOOKUP(Table9[[#This Row],[Shortname]], Comp[], 28, FALSE)</f>
        <v>0</v>
      </c>
      <c r="AF208">
        <f>VLOOKUP(Table9[[#This Row],[Shortname]], Comp[], 29, FALSE)</f>
        <v>0</v>
      </c>
      <c r="AG208">
        <f>VLOOKUP(Table9[[#This Row],[Shortname]], Comp[], 30, FALSE)</f>
        <v>0</v>
      </c>
      <c r="AH208">
        <f>VLOOKUP(Table9[[#This Row],[Shortname]], Comp[], 31, FALSE)</f>
        <v>0</v>
      </c>
    </row>
    <row r="209" spans="1:34" x14ac:dyDescent="0.3">
      <c r="A209" t="s">
        <v>2224</v>
      </c>
      <c r="B209" t="s">
        <v>2226</v>
      </c>
      <c r="C209" t="s">
        <v>2211</v>
      </c>
      <c r="D209">
        <v>515</v>
      </c>
      <c r="E209">
        <v>800</v>
      </c>
      <c r="F209">
        <v>1E-4</v>
      </c>
      <c r="G209">
        <v>1</v>
      </c>
      <c r="H209" t="s">
        <v>6803</v>
      </c>
      <c r="I209">
        <f>VLOOKUP(Table9[[#This Row],[Shortname]], Comp[], 6, FALSE)</f>
        <v>293</v>
      </c>
      <c r="J209" s="14">
        <f>VLOOKUP(Table9[[#This Row],[Shortname]], Comp[], 7, FALSE)</f>
        <v>83.9</v>
      </c>
      <c r="K209">
        <f>VLOOKUP(Table9[[#This Row],[Shortname]], Comp[], 8, FALSE)</f>
        <v>0</v>
      </c>
      <c r="L209">
        <f>VLOOKUP(Table9[[#This Row],[Shortname]], Comp[], 9, FALSE)</f>
        <v>0</v>
      </c>
      <c r="M209">
        <f>VLOOKUP(Table9[[#This Row],[Shortname]], Comp[], 10, FALSE)</f>
        <v>0</v>
      </c>
      <c r="N209">
        <f>VLOOKUP(Table9[[#This Row],[Shortname]], Comp[], 11, FALSE)</f>
        <v>2.1</v>
      </c>
      <c r="O209">
        <f>VLOOKUP(Table9[[#This Row],[Shortname]], Comp[],12, FALSE)</f>
        <v>4.0999999999999996</v>
      </c>
      <c r="P209">
        <f>VLOOKUP(Table9[[#This Row],[Shortname]], Comp[], 13, FALSE)</f>
        <v>0</v>
      </c>
      <c r="Q209">
        <f>VLOOKUP(Table9[[#This Row],[Shortname]], Comp[], 14, FALSE)</f>
        <v>0</v>
      </c>
      <c r="R209">
        <f>VLOOKUP(Table9[[#This Row],[Shortname]], Comp[], 15, FALSE)</f>
        <v>9.9</v>
      </c>
      <c r="S209">
        <f>VLOOKUP(Table9[[#This Row],[Shortname]], Comp[], 16, FALSE)</f>
        <v>0</v>
      </c>
      <c r="T209">
        <f>VLOOKUP(Table9[[#This Row],[Shortname]], Comp[], 17, FALSE)</f>
        <v>0</v>
      </c>
      <c r="U209">
        <f>VLOOKUP(Table9[[#This Row],[Shortname]], Comp[], 18, FALSE)</f>
        <v>0</v>
      </c>
      <c r="V209">
        <f>VLOOKUP(Table9[[#This Row],[Shortname]], Comp[], 19, FALSE)</f>
        <v>0</v>
      </c>
      <c r="W209">
        <f>VLOOKUP(Table9[[#This Row],[Shortname]], Comp[], 20, FALSE)</f>
        <v>0</v>
      </c>
      <c r="X209">
        <f>VLOOKUP(Table9[[#This Row],[Shortname]], Comp[], 21, FALSE)</f>
        <v>0</v>
      </c>
      <c r="Y209">
        <f>VLOOKUP(Table9[[#This Row],[Shortname]], Comp[], 22, FALSE)</f>
        <v>0</v>
      </c>
      <c r="Z209">
        <f>VLOOKUP(Table9[[#This Row],[Shortname]], Comp[], 23, FALSE)</f>
        <v>0</v>
      </c>
      <c r="AA209">
        <f>VLOOKUP(Table9[[#This Row],[Shortname]], Comp[], 24, FALSE)</f>
        <v>0</v>
      </c>
      <c r="AB209">
        <f>VLOOKUP(Table9[[#This Row],[Shortname]], Comp[], 25, FALSE)</f>
        <v>0</v>
      </c>
      <c r="AC209">
        <f>VLOOKUP(Table9[[#This Row],[Shortname]], Comp[], 26, FALSE)</f>
        <v>0</v>
      </c>
      <c r="AD209">
        <f>VLOOKUP(Table9[[#This Row],[Shortname]], Comp[], 27, FALSE)</f>
        <v>0</v>
      </c>
      <c r="AE209">
        <f>VLOOKUP(Table9[[#This Row],[Shortname]], Comp[], 28, FALSE)</f>
        <v>0</v>
      </c>
      <c r="AF209">
        <f>VLOOKUP(Table9[[#This Row],[Shortname]], Comp[], 29, FALSE)</f>
        <v>0</v>
      </c>
      <c r="AG209">
        <f>VLOOKUP(Table9[[#This Row],[Shortname]], Comp[], 30, FALSE)</f>
        <v>0</v>
      </c>
      <c r="AH209">
        <f>VLOOKUP(Table9[[#This Row],[Shortname]], Comp[], 31, FALSE)</f>
        <v>0</v>
      </c>
    </row>
    <row r="210" spans="1:34" x14ac:dyDescent="0.3">
      <c r="A210" t="s">
        <v>2077</v>
      </c>
      <c r="B210" t="s">
        <v>2079</v>
      </c>
      <c r="C210" t="s">
        <v>2065</v>
      </c>
      <c r="D210">
        <v>514</v>
      </c>
      <c r="E210">
        <v>800</v>
      </c>
      <c r="F210">
        <v>1E-4</v>
      </c>
      <c r="G210">
        <v>1</v>
      </c>
      <c r="H210" t="s">
        <v>6803</v>
      </c>
      <c r="I210">
        <f>VLOOKUP(Table9[[#This Row],[Shortname]], Comp[], 6, FALSE)</f>
        <v>273</v>
      </c>
      <c r="J210" s="14">
        <f>VLOOKUP(Table9[[#This Row],[Shortname]], Comp[], 7, FALSE)</f>
        <v>83</v>
      </c>
      <c r="K210">
        <f>VLOOKUP(Table9[[#This Row],[Shortname]], Comp[], 8, FALSE)</f>
        <v>0</v>
      </c>
      <c r="L210">
        <f>VLOOKUP(Table9[[#This Row],[Shortname]], Comp[], 9, FALSE)</f>
        <v>0</v>
      </c>
      <c r="M210">
        <f>VLOOKUP(Table9[[#This Row],[Shortname]], Comp[], 10, FALSE)</f>
        <v>0</v>
      </c>
      <c r="N210">
        <f>VLOOKUP(Table9[[#This Row],[Shortname]], Comp[], 11, FALSE)</f>
        <v>0</v>
      </c>
      <c r="O210">
        <f>VLOOKUP(Table9[[#This Row],[Shortname]], Comp[],12, FALSE)</f>
        <v>12</v>
      </c>
      <c r="P210">
        <f>VLOOKUP(Table9[[#This Row],[Shortname]], Comp[], 13, FALSE)</f>
        <v>0</v>
      </c>
      <c r="Q210">
        <f>VLOOKUP(Table9[[#This Row],[Shortname]], Comp[], 14, FALSE)</f>
        <v>0</v>
      </c>
      <c r="R210">
        <f>VLOOKUP(Table9[[#This Row],[Shortname]], Comp[], 15, FALSE)</f>
        <v>0</v>
      </c>
      <c r="S210">
        <f>VLOOKUP(Table9[[#This Row],[Shortname]], Comp[], 16, FALSE)</f>
        <v>0</v>
      </c>
      <c r="T210">
        <f>VLOOKUP(Table9[[#This Row],[Shortname]], Comp[], 17, FALSE)</f>
        <v>0</v>
      </c>
      <c r="U210">
        <f>VLOOKUP(Table9[[#This Row],[Shortname]], Comp[], 18, FALSE)</f>
        <v>0</v>
      </c>
      <c r="V210">
        <f>VLOOKUP(Table9[[#This Row],[Shortname]], Comp[], 19, FALSE)</f>
        <v>0</v>
      </c>
      <c r="W210">
        <f>VLOOKUP(Table9[[#This Row],[Shortname]], Comp[], 20, FALSE)</f>
        <v>0</v>
      </c>
      <c r="X210">
        <f>VLOOKUP(Table9[[#This Row],[Shortname]], Comp[], 21, FALSE)</f>
        <v>5</v>
      </c>
      <c r="Y210">
        <f>VLOOKUP(Table9[[#This Row],[Shortname]], Comp[], 22, FALSE)</f>
        <v>0</v>
      </c>
      <c r="Z210">
        <f>VLOOKUP(Table9[[#This Row],[Shortname]], Comp[], 23, FALSE)</f>
        <v>0</v>
      </c>
      <c r="AA210">
        <f>VLOOKUP(Table9[[#This Row],[Shortname]], Comp[], 24, FALSE)</f>
        <v>0</v>
      </c>
      <c r="AB210">
        <f>VLOOKUP(Table9[[#This Row],[Shortname]], Comp[], 25, FALSE)</f>
        <v>0</v>
      </c>
      <c r="AC210">
        <f>VLOOKUP(Table9[[#This Row],[Shortname]], Comp[], 26, FALSE)</f>
        <v>0</v>
      </c>
      <c r="AD210">
        <f>VLOOKUP(Table9[[#This Row],[Shortname]], Comp[], 27, FALSE)</f>
        <v>0</v>
      </c>
      <c r="AE210">
        <f>VLOOKUP(Table9[[#This Row],[Shortname]], Comp[], 28, FALSE)</f>
        <v>0</v>
      </c>
      <c r="AF210">
        <f>VLOOKUP(Table9[[#This Row],[Shortname]], Comp[], 29, FALSE)</f>
        <v>0</v>
      </c>
      <c r="AG210">
        <f>VLOOKUP(Table9[[#This Row],[Shortname]], Comp[], 30, FALSE)</f>
        <v>0</v>
      </c>
      <c r="AH210">
        <f>VLOOKUP(Table9[[#This Row],[Shortname]], Comp[], 31, FALSE)</f>
        <v>0</v>
      </c>
    </row>
    <row r="211" spans="1:34" x14ac:dyDescent="0.3">
      <c r="A211" t="s">
        <v>3138</v>
      </c>
      <c r="B211" t="s">
        <v>3140</v>
      </c>
      <c r="C211" t="s">
        <v>3119</v>
      </c>
      <c r="D211">
        <v>511</v>
      </c>
      <c r="E211">
        <v>650</v>
      </c>
      <c r="F211">
        <v>1E-4</v>
      </c>
      <c r="G211">
        <v>1</v>
      </c>
      <c r="H211" t="s">
        <v>6803</v>
      </c>
      <c r="I211">
        <f>VLOOKUP(Table9[[#This Row],[Shortname]], Comp[], 6, FALSE)</f>
        <v>438</v>
      </c>
      <c r="J211" s="14">
        <f>VLOOKUP(Table9[[#This Row],[Shortname]], Comp[], 7, FALSE)</f>
        <v>84</v>
      </c>
      <c r="K211">
        <f>VLOOKUP(Table9[[#This Row],[Shortname]], Comp[], 8, FALSE)</f>
        <v>0</v>
      </c>
      <c r="L211">
        <f>VLOOKUP(Table9[[#This Row],[Shortname]], Comp[], 9, FALSE)</f>
        <v>2</v>
      </c>
      <c r="M211">
        <f>VLOOKUP(Table9[[#This Row],[Shortname]], Comp[], 10, FALSE)</f>
        <v>0</v>
      </c>
      <c r="N211">
        <f>VLOOKUP(Table9[[#This Row],[Shortname]], Comp[], 11, FALSE)</f>
        <v>0</v>
      </c>
      <c r="O211">
        <f>VLOOKUP(Table9[[#This Row],[Shortname]], Comp[],12, FALSE)</f>
        <v>0</v>
      </c>
      <c r="P211">
        <f>VLOOKUP(Table9[[#This Row],[Shortname]], Comp[], 13, FALSE)</f>
        <v>2</v>
      </c>
      <c r="Q211">
        <f>VLOOKUP(Table9[[#This Row],[Shortname]], Comp[], 14, FALSE)</f>
        <v>0</v>
      </c>
      <c r="R211">
        <f>VLOOKUP(Table9[[#This Row],[Shortname]], Comp[], 15, FALSE)</f>
        <v>12</v>
      </c>
      <c r="S211">
        <f>VLOOKUP(Table9[[#This Row],[Shortname]], Comp[], 16, FALSE)</f>
        <v>0</v>
      </c>
      <c r="T211">
        <f>VLOOKUP(Table9[[#This Row],[Shortname]], Comp[], 17, FALSE)</f>
        <v>0</v>
      </c>
      <c r="U211">
        <f>VLOOKUP(Table9[[#This Row],[Shortname]], Comp[], 18, FALSE)</f>
        <v>0</v>
      </c>
      <c r="V211">
        <f>VLOOKUP(Table9[[#This Row],[Shortname]], Comp[], 19, FALSE)</f>
        <v>0</v>
      </c>
      <c r="W211">
        <f>VLOOKUP(Table9[[#This Row],[Shortname]], Comp[], 20, FALSE)</f>
        <v>0</v>
      </c>
      <c r="X211">
        <f>VLOOKUP(Table9[[#This Row],[Shortname]], Comp[], 21, FALSE)</f>
        <v>0</v>
      </c>
      <c r="Y211">
        <f>VLOOKUP(Table9[[#This Row],[Shortname]], Comp[], 22, FALSE)</f>
        <v>0</v>
      </c>
      <c r="Z211">
        <f>VLOOKUP(Table9[[#This Row],[Shortname]], Comp[], 23, FALSE)</f>
        <v>0</v>
      </c>
      <c r="AA211">
        <f>VLOOKUP(Table9[[#This Row],[Shortname]], Comp[], 24, FALSE)</f>
        <v>0</v>
      </c>
      <c r="AB211">
        <f>VLOOKUP(Table9[[#This Row],[Shortname]], Comp[], 25, FALSE)</f>
        <v>0</v>
      </c>
      <c r="AC211">
        <f>VLOOKUP(Table9[[#This Row],[Shortname]], Comp[], 26, FALSE)</f>
        <v>0</v>
      </c>
      <c r="AD211">
        <f>VLOOKUP(Table9[[#This Row],[Shortname]], Comp[], 27, FALSE)</f>
        <v>0</v>
      </c>
      <c r="AE211">
        <f>VLOOKUP(Table9[[#This Row],[Shortname]], Comp[], 28, FALSE)</f>
        <v>0</v>
      </c>
      <c r="AF211">
        <f>VLOOKUP(Table9[[#This Row],[Shortname]], Comp[], 29, FALSE)</f>
        <v>0</v>
      </c>
      <c r="AG211">
        <f>VLOOKUP(Table9[[#This Row],[Shortname]], Comp[], 30, FALSE)</f>
        <v>0</v>
      </c>
      <c r="AH211">
        <f>VLOOKUP(Table9[[#This Row],[Shortname]], Comp[], 31, FALSE)</f>
        <v>0</v>
      </c>
    </row>
    <row r="212" spans="1:34" x14ac:dyDescent="0.3">
      <c r="A212" t="s">
        <v>3138</v>
      </c>
      <c r="B212" t="s">
        <v>3140</v>
      </c>
      <c r="C212" t="s">
        <v>3119</v>
      </c>
      <c r="D212">
        <v>510</v>
      </c>
      <c r="E212">
        <v>600</v>
      </c>
      <c r="F212">
        <v>1E-4</v>
      </c>
      <c r="G212">
        <v>1</v>
      </c>
      <c r="H212" t="s">
        <v>6803</v>
      </c>
      <c r="I212">
        <f>VLOOKUP(Table9[[#This Row],[Shortname]], Comp[], 6, FALSE)</f>
        <v>438</v>
      </c>
      <c r="J212" s="14">
        <f>VLOOKUP(Table9[[#This Row],[Shortname]], Comp[], 7, FALSE)</f>
        <v>84</v>
      </c>
      <c r="K212">
        <f>VLOOKUP(Table9[[#This Row],[Shortname]], Comp[], 8, FALSE)</f>
        <v>0</v>
      </c>
      <c r="L212">
        <f>VLOOKUP(Table9[[#This Row],[Shortname]], Comp[], 9, FALSE)</f>
        <v>2</v>
      </c>
      <c r="M212">
        <f>VLOOKUP(Table9[[#This Row],[Shortname]], Comp[], 10, FALSE)</f>
        <v>0</v>
      </c>
      <c r="N212">
        <f>VLOOKUP(Table9[[#This Row],[Shortname]], Comp[], 11, FALSE)</f>
        <v>0</v>
      </c>
      <c r="O212">
        <f>VLOOKUP(Table9[[#This Row],[Shortname]], Comp[],12, FALSE)</f>
        <v>0</v>
      </c>
      <c r="P212">
        <f>VLOOKUP(Table9[[#This Row],[Shortname]], Comp[], 13, FALSE)</f>
        <v>2</v>
      </c>
      <c r="Q212">
        <f>VLOOKUP(Table9[[#This Row],[Shortname]], Comp[], 14, FALSE)</f>
        <v>0</v>
      </c>
      <c r="R212">
        <f>VLOOKUP(Table9[[#This Row],[Shortname]], Comp[], 15, FALSE)</f>
        <v>12</v>
      </c>
      <c r="S212">
        <f>VLOOKUP(Table9[[#This Row],[Shortname]], Comp[], 16, FALSE)</f>
        <v>0</v>
      </c>
      <c r="T212">
        <f>VLOOKUP(Table9[[#This Row],[Shortname]], Comp[], 17, FALSE)</f>
        <v>0</v>
      </c>
      <c r="U212">
        <f>VLOOKUP(Table9[[#This Row],[Shortname]], Comp[], 18, FALSE)</f>
        <v>0</v>
      </c>
      <c r="V212">
        <f>VLOOKUP(Table9[[#This Row],[Shortname]], Comp[], 19, FALSE)</f>
        <v>0</v>
      </c>
      <c r="W212">
        <f>VLOOKUP(Table9[[#This Row],[Shortname]], Comp[], 20, FALSE)</f>
        <v>0</v>
      </c>
      <c r="X212">
        <f>VLOOKUP(Table9[[#This Row],[Shortname]], Comp[], 21, FALSE)</f>
        <v>0</v>
      </c>
      <c r="Y212">
        <f>VLOOKUP(Table9[[#This Row],[Shortname]], Comp[], 22, FALSE)</f>
        <v>0</v>
      </c>
      <c r="Z212">
        <f>VLOOKUP(Table9[[#This Row],[Shortname]], Comp[], 23, FALSE)</f>
        <v>0</v>
      </c>
      <c r="AA212">
        <f>VLOOKUP(Table9[[#This Row],[Shortname]], Comp[], 24, FALSE)</f>
        <v>0</v>
      </c>
      <c r="AB212">
        <f>VLOOKUP(Table9[[#This Row],[Shortname]], Comp[], 25, FALSE)</f>
        <v>0</v>
      </c>
      <c r="AC212">
        <f>VLOOKUP(Table9[[#This Row],[Shortname]], Comp[], 26, FALSE)</f>
        <v>0</v>
      </c>
      <c r="AD212">
        <f>VLOOKUP(Table9[[#This Row],[Shortname]], Comp[], 27, FALSE)</f>
        <v>0</v>
      </c>
      <c r="AE212">
        <f>VLOOKUP(Table9[[#This Row],[Shortname]], Comp[], 28, FALSE)</f>
        <v>0</v>
      </c>
      <c r="AF212">
        <f>VLOOKUP(Table9[[#This Row],[Shortname]], Comp[], 29, FALSE)</f>
        <v>0</v>
      </c>
      <c r="AG212">
        <f>VLOOKUP(Table9[[#This Row],[Shortname]], Comp[], 30, FALSE)</f>
        <v>0</v>
      </c>
      <c r="AH212">
        <f>VLOOKUP(Table9[[#This Row],[Shortname]], Comp[], 31, FALSE)</f>
        <v>0</v>
      </c>
    </row>
    <row r="213" spans="1:34" x14ac:dyDescent="0.3">
      <c r="A213" t="s">
        <v>3168</v>
      </c>
      <c r="B213" t="s">
        <v>3170</v>
      </c>
      <c r="C213" t="s">
        <v>3157</v>
      </c>
      <c r="D213">
        <v>507</v>
      </c>
      <c r="E213">
        <v>800</v>
      </c>
      <c r="F213">
        <v>1E-4</v>
      </c>
      <c r="G213">
        <v>1</v>
      </c>
      <c r="H213" t="s">
        <v>6803</v>
      </c>
      <c r="I213">
        <f>VLOOKUP(Table9[[#This Row],[Shortname]], Comp[], 6, FALSE)</f>
        <v>442</v>
      </c>
      <c r="J213" s="14">
        <f>VLOOKUP(Table9[[#This Row],[Shortname]], Comp[], 7, FALSE)</f>
        <v>78</v>
      </c>
      <c r="K213">
        <f>VLOOKUP(Table9[[#This Row],[Shortname]], Comp[], 8, FALSE)</f>
        <v>2</v>
      </c>
      <c r="L213">
        <f>VLOOKUP(Table9[[#This Row],[Shortname]], Comp[], 9, FALSE)</f>
        <v>0</v>
      </c>
      <c r="M213">
        <f>VLOOKUP(Table9[[#This Row],[Shortname]], Comp[], 10, FALSE)</f>
        <v>0</v>
      </c>
      <c r="N213">
        <f>VLOOKUP(Table9[[#This Row],[Shortname]], Comp[], 11, FALSE)</f>
        <v>0</v>
      </c>
      <c r="O213">
        <f>VLOOKUP(Table9[[#This Row],[Shortname]], Comp[],12, FALSE)</f>
        <v>5</v>
      </c>
      <c r="P213">
        <f>VLOOKUP(Table9[[#This Row],[Shortname]], Comp[], 13, FALSE)</f>
        <v>0</v>
      </c>
      <c r="Q213">
        <f>VLOOKUP(Table9[[#This Row],[Shortname]], Comp[], 14, FALSE)</f>
        <v>0</v>
      </c>
      <c r="R213">
        <f>VLOOKUP(Table9[[#This Row],[Shortname]], Comp[], 15, FALSE)</f>
        <v>15</v>
      </c>
      <c r="S213">
        <f>VLOOKUP(Table9[[#This Row],[Shortname]], Comp[], 16, FALSE)</f>
        <v>0</v>
      </c>
      <c r="T213">
        <f>VLOOKUP(Table9[[#This Row],[Shortname]], Comp[], 17, FALSE)</f>
        <v>0</v>
      </c>
      <c r="U213">
        <f>VLOOKUP(Table9[[#This Row],[Shortname]], Comp[], 18, FALSE)</f>
        <v>0</v>
      </c>
      <c r="V213">
        <f>VLOOKUP(Table9[[#This Row],[Shortname]], Comp[], 19, FALSE)</f>
        <v>0</v>
      </c>
      <c r="W213">
        <f>VLOOKUP(Table9[[#This Row],[Shortname]], Comp[], 20, FALSE)</f>
        <v>0</v>
      </c>
      <c r="X213">
        <f>VLOOKUP(Table9[[#This Row],[Shortname]], Comp[], 21, FALSE)</f>
        <v>0</v>
      </c>
      <c r="Y213">
        <f>VLOOKUP(Table9[[#This Row],[Shortname]], Comp[], 22, FALSE)</f>
        <v>0</v>
      </c>
      <c r="Z213">
        <f>VLOOKUP(Table9[[#This Row],[Shortname]], Comp[], 23, FALSE)</f>
        <v>0</v>
      </c>
      <c r="AA213">
        <f>VLOOKUP(Table9[[#This Row],[Shortname]], Comp[], 24, FALSE)</f>
        <v>0</v>
      </c>
      <c r="AB213">
        <f>VLOOKUP(Table9[[#This Row],[Shortname]], Comp[], 25, FALSE)</f>
        <v>0</v>
      </c>
      <c r="AC213">
        <f>VLOOKUP(Table9[[#This Row],[Shortname]], Comp[], 26, FALSE)</f>
        <v>0</v>
      </c>
      <c r="AD213">
        <f>VLOOKUP(Table9[[#This Row],[Shortname]], Comp[], 27, FALSE)</f>
        <v>0</v>
      </c>
      <c r="AE213">
        <f>VLOOKUP(Table9[[#This Row],[Shortname]], Comp[], 28, FALSE)</f>
        <v>0</v>
      </c>
      <c r="AF213">
        <f>VLOOKUP(Table9[[#This Row],[Shortname]], Comp[], 29, FALSE)</f>
        <v>0</v>
      </c>
      <c r="AG213">
        <f>VLOOKUP(Table9[[#This Row],[Shortname]], Comp[], 30, FALSE)</f>
        <v>0</v>
      </c>
      <c r="AH213">
        <f>VLOOKUP(Table9[[#This Row],[Shortname]], Comp[], 31, FALSE)</f>
        <v>0</v>
      </c>
    </row>
    <row r="214" spans="1:34" x14ac:dyDescent="0.3">
      <c r="A214" t="s">
        <v>3168</v>
      </c>
      <c r="B214" t="s">
        <v>3170</v>
      </c>
      <c r="C214" t="s">
        <v>3157</v>
      </c>
      <c r="D214">
        <v>505</v>
      </c>
      <c r="E214">
        <v>700</v>
      </c>
      <c r="F214">
        <v>1E-4</v>
      </c>
      <c r="G214">
        <v>1</v>
      </c>
      <c r="H214" t="s">
        <v>6803</v>
      </c>
      <c r="I214">
        <f>VLOOKUP(Table9[[#This Row],[Shortname]], Comp[], 6, FALSE)</f>
        <v>442</v>
      </c>
      <c r="J214" s="14">
        <f>VLOOKUP(Table9[[#This Row],[Shortname]], Comp[], 7, FALSE)</f>
        <v>78</v>
      </c>
      <c r="K214">
        <f>VLOOKUP(Table9[[#This Row],[Shortname]], Comp[], 8, FALSE)</f>
        <v>2</v>
      </c>
      <c r="L214">
        <f>VLOOKUP(Table9[[#This Row],[Shortname]], Comp[], 9, FALSE)</f>
        <v>0</v>
      </c>
      <c r="M214">
        <f>VLOOKUP(Table9[[#This Row],[Shortname]], Comp[], 10, FALSE)</f>
        <v>0</v>
      </c>
      <c r="N214">
        <f>VLOOKUP(Table9[[#This Row],[Shortname]], Comp[], 11, FALSE)</f>
        <v>0</v>
      </c>
      <c r="O214">
        <f>VLOOKUP(Table9[[#This Row],[Shortname]], Comp[],12, FALSE)</f>
        <v>5</v>
      </c>
      <c r="P214">
        <f>VLOOKUP(Table9[[#This Row],[Shortname]], Comp[], 13, FALSE)</f>
        <v>0</v>
      </c>
      <c r="Q214">
        <f>VLOOKUP(Table9[[#This Row],[Shortname]], Comp[], 14, FALSE)</f>
        <v>0</v>
      </c>
      <c r="R214">
        <f>VLOOKUP(Table9[[#This Row],[Shortname]], Comp[], 15, FALSE)</f>
        <v>15</v>
      </c>
      <c r="S214">
        <f>VLOOKUP(Table9[[#This Row],[Shortname]], Comp[], 16, FALSE)</f>
        <v>0</v>
      </c>
      <c r="T214">
        <f>VLOOKUP(Table9[[#This Row],[Shortname]], Comp[], 17, FALSE)</f>
        <v>0</v>
      </c>
      <c r="U214">
        <f>VLOOKUP(Table9[[#This Row],[Shortname]], Comp[], 18, FALSE)</f>
        <v>0</v>
      </c>
      <c r="V214">
        <f>VLOOKUP(Table9[[#This Row],[Shortname]], Comp[], 19, FALSE)</f>
        <v>0</v>
      </c>
      <c r="W214">
        <f>VLOOKUP(Table9[[#This Row],[Shortname]], Comp[], 20, FALSE)</f>
        <v>0</v>
      </c>
      <c r="X214">
        <f>VLOOKUP(Table9[[#This Row],[Shortname]], Comp[], 21, FALSE)</f>
        <v>0</v>
      </c>
      <c r="Y214">
        <f>VLOOKUP(Table9[[#This Row],[Shortname]], Comp[], 22, FALSE)</f>
        <v>0</v>
      </c>
      <c r="Z214">
        <f>VLOOKUP(Table9[[#This Row],[Shortname]], Comp[], 23, FALSE)</f>
        <v>0</v>
      </c>
      <c r="AA214">
        <f>VLOOKUP(Table9[[#This Row],[Shortname]], Comp[], 24, FALSE)</f>
        <v>0</v>
      </c>
      <c r="AB214">
        <f>VLOOKUP(Table9[[#This Row],[Shortname]], Comp[], 25, FALSE)</f>
        <v>0</v>
      </c>
      <c r="AC214">
        <f>VLOOKUP(Table9[[#This Row],[Shortname]], Comp[], 26, FALSE)</f>
        <v>0</v>
      </c>
      <c r="AD214">
        <f>VLOOKUP(Table9[[#This Row],[Shortname]], Comp[], 27, FALSE)</f>
        <v>0</v>
      </c>
      <c r="AE214">
        <f>VLOOKUP(Table9[[#This Row],[Shortname]], Comp[], 28, FALSE)</f>
        <v>0</v>
      </c>
      <c r="AF214">
        <f>VLOOKUP(Table9[[#This Row],[Shortname]], Comp[], 29, FALSE)</f>
        <v>0</v>
      </c>
      <c r="AG214">
        <f>VLOOKUP(Table9[[#This Row],[Shortname]], Comp[], 30, FALSE)</f>
        <v>0</v>
      </c>
      <c r="AH214">
        <f>VLOOKUP(Table9[[#This Row],[Shortname]], Comp[], 31, FALSE)</f>
        <v>0</v>
      </c>
    </row>
    <row r="215" spans="1:34" x14ac:dyDescent="0.3">
      <c r="A215" t="s">
        <v>1456</v>
      </c>
      <c r="B215" t="s">
        <v>1458</v>
      </c>
      <c r="C215" t="s">
        <v>1459</v>
      </c>
      <c r="D215">
        <v>503</v>
      </c>
      <c r="E215">
        <v>800</v>
      </c>
      <c r="F215">
        <v>1E-4</v>
      </c>
      <c r="G215">
        <v>1</v>
      </c>
      <c r="H215" t="s">
        <v>6813</v>
      </c>
      <c r="I215">
        <f>VLOOKUP(Table9[[#This Row],[Shortname]], Comp[], 6, FALSE)</f>
        <v>186</v>
      </c>
      <c r="J215" s="14">
        <f>VLOOKUP(Table9[[#This Row],[Shortname]], Comp[], 7, FALSE)</f>
        <v>47.5</v>
      </c>
      <c r="K215">
        <f>VLOOKUP(Table9[[#This Row],[Shortname]], Comp[], 8, FALSE)</f>
        <v>31.2</v>
      </c>
      <c r="L215">
        <f>VLOOKUP(Table9[[#This Row],[Shortname]], Comp[], 9, FALSE)</f>
        <v>9.5</v>
      </c>
      <c r="M215">
        <f>VLOOKUP(Table9[[#This Row],[Shortname]], Comp[], 10, FALSE)</f>
        <v>0</v>
      </c>
      <c r="N215">
        <f>VLOOKUP(Table9[[#This Row],[Shortname]], Comp[], 11, FALSE)</f>
        <v>7.2</v>
      </c>
      <c r="O215">
        <f>VLOOKUP(Table9[[#This Row],[Shortname]], Comp[],12, FALSE)</f>
        <v>2.8</v>
      </c>
      <c r="P215">
        <f>VLOOKUP(Table9[[#This Row],[Shortname]], Comp[], 13, FALSE)</f>
        <v>1.8</v>
      </c>
      <c r="Q215">
        <f>VLOOKUP(Table9[[#This Row],[Shortname]], Comp[], 14, FALSE)</f>
        <v>0</v>
      </c>
      <c r="R215">
        <f>VLOOKUP(Table9[[#This Row],[Shortname]], Comp[], 15, FALSE)</f>
        <v>0</v>
      </c>
      <c r="S215">
        <f>VLOOKUP(Table9[[#This Row],[Shortname]], Comp[], 16, FALSE)</f>
        <v>0</v>
      </c>
      <c r="T215">
        <f>VLOOKUP(Table9[[#This Row],[Shortname]], Comp[], 17, FALSE)</f>
        <v>0</v>
      </c>
      <c r="U215">
        <f>VLOOKUP(Table9[[#This Row],[Shortname]], Comp[], 18, FALSE)</f>
        <v>0</v>
      </c>
      <c r="V215">
        <f>VLOOKUP(Table9[[#This Row],[Shortname]], Comp[], 19, FALSE)</f>
        <v>0</v>
      </c>
      <c r="W215">
        <f>VLOOKUP(Table9[[#This Row],[Shortname]], Comp[], 20, FALSE)</f>
        <v>0</v>
      </c>
      <c r="X215">
        <f>VLOOKUP(Table9[[#This Row],[Shortname]], Comp[], 21, FALSE)</f>
        <v>0</v>
      </c>
      <c r="Y215">
        <f>VLOOKUP(Table9[[#This Row],[Shortname]], Comp[], 22, FALSE)</f>
        <v>0</v>
      </c>
      <c r="Z215">
        <f>VLOOKUP(Table9[[#This Row],[Shortname]], Comp[], 23, FALSE)</f>
        <v>0</v>
      </c>
      <c r="AA215">
        <f>VLOOKUP(Table9[[#This Row],[Shortname]], Comp[], 24, FALSE)</f>
        <v>0</v>
      </c>
      <c r="AB215">
        <f>VLOOKUP(Table9[[#This Row],[Shortname]], Comp[], 25, FALSE)</f>
        <v>0</v>
      </c>
      <c r="AC215">
        <f>VLOOKUP(Table9[[#This Row],[Shortname]], Comp[], 26, FALSE)</f>
        <v>0</v>
      </c>
      <c r="AD215">
        <f>VLOOKUP(Table9[[#This Row],[Shortname]], Comp[], 27, FALSE)</f>
        <v>0</v>
      </c>
      <c r="AE215">
        <f>VLOOKUP(Table9[[#This Row],[Shortname]], Comp[], 28, FALSE)</f>
        <v>0</v>
      </c>
      <c r="AF215">
        <f>VLOOKUP(Table9[[#This Row],[Shortname]], Comp[], 29, FALSE)</f>
        <v>0</v>
      </c>
      <c r="AG215">
        <f>VLOOKUP(Table9[[#This Row],[Shortname]], Comp[], 30, FALSE)</f>
        <v>0</v>
      </c>
      <c r="AH215">
        <f>VLOOKUP(Table9[[#This Row],[Shortname]], Comp[], 31, FALSE)</f>
        <v>0</v>
      </c>
    </row>
    <row r="216" spans="1:34" x14ac:dyDescent="0.3">
      <c r="A216" t="s">
        <v>2208</v>
      </c>
      <c r="B216" t="s">
        <v>2210</v>
      </c>
      <c r="C216" t="s">
        <v>2211</v>
      </c>
      <c r="D216">
        <v>501</v>
      </c>
      <c r="E216">
        <v>700</v>
      </c>
      <c r="F216">
        <v>1E-4</v>
      </c>
      <c r="G216">
        <v>1</v>
      </c>
      <c r="H216" t="s">
        <v>6803</v>
      </c>
      <c r="I216">
        <f>VLOOKUP(Table9[[#This Row],[Shortname]], Comp[], 6, FALSE)</f>
        <v>291</v>
      </c>
      <c r="J216" s="14">
        <f>VLOOKUP(Table9[[#This Row],[Shortname]], Comp[], 7, FALSE)</f>
        <v>83.7</v>
      </c>
      <c r="K216">
        <f>VLOOKUP(Table9[[#This Row],[Shortname]], Comp[], 8, FALSE)</f>
        <v>0</v>
      </c>
      <c r="L216">
        <f>VLOOKUP(Table9[[#This Row],[Shortname]], Comp[], 9, FALSE)</f>
        <v>0</v>
      </c>
      <c r="M216">
        <f>VLOOKUP(Table9[[#This Row],[Shortname]], Comp[], 10, FALSE)</f>
        <v>0</v>
      </c>
      <c r="N216">
        <f>VLOOKUP(Table9[[#This Row],[Shortname]], Comp[], 11, FALSE)</f>
        <v>0</v>
      </c>
      <c r="O216">
        <f>VLOOKUP(Table9[[#This Row],[Shortname]], Comp[],12, FALSE)</f>
        <v>4.2</v>
      </c>
      <c r="P216">
        <f>VLOOKUP(Table9[[#This Row],[Shortname]], Comp[], 13, FALSE)</f>
        <v>0</v>
      </c>
      <c r="Q216">
        <f>VLOOKUP(Table9[[#This Row],[Shortname]], Comp[], 14, FALSE)</f>
        <v>0</v>
      </c>
      <c r="R216">
        <f>VLOOKUP(Table9[[#This Row],[Shortname]], Comp[], 15, FALSE)</f>
        <v>12.1</v>
      </c>
      <c r="S216">
        <f>VLOOKUP(Table9[[#This Row],[Shortname]], Comp[], 16, FALSE)</f>
        <v>0</v>
      </c>
      <c r="T216">
        <f>VLOOKUP(Table9[[#This Row],[Shortname]], Comp[], 17, FALSE)</f>
        <v>0</v>
      </c>
      <c r="U216">
        <f>VLOOKUP(Table9[[#This Row],[Shortname]], Comp[], 18, FALSE)</f>
        <v>0</v>
      </c>
      <c r="V216">
        <f>VLOOKUP(Table9[[#This Row],[Shortname]], Comp[], 19, FALSE)</f>
        <v>0</v>
      </c>
      <c r="W216">
        <f>VLOOKUP(Table9[[#This Row],[Shortname]], Comp[], 20, FALSE)</f>
        <v>0</v>
      </c>
      <c r="X216">
        <f>VLOOKUP(Table9[[#This Row],[Shortname]], Comp[], 21, FALSE)</f>
        <v>0</v>
      </c>
      <c r="Y216">
        <f>VLOOKUP(Table9[[#This Row],[Shortname]], Comp[], 22, FALSE)</f>
        <v>0</v>
      </c>
      <c r="Z216">
        <f>VLOOKUP(Table9[[#This Row],[Shortname]], Comp[], 23, FALSE)</f>
        <v>0</v>
      </c>
      <c r="AA216">
        <f>VLOOKUP(Table9[[#This Row],[Shortname]], Comp[], 24, FALSE)</f>
        <v>0</v>
      </c>
      <c r="AB216">
        <f>VLOOKUP(Table9[[#This Row],[Shortname]], Comp[], 25, FALSE)</f>
        <v>0</v>
      </c>
      <c r="AC216">
        <f>VLOOKUP(Table9[[#This Row],[Shortname]], Comp[], 26, FALSE)</f>
        <v>0</v>
      </c>
      <c r="AD216">
        <f>VLOOKUP(Table9[[#This Row],[Shortname]], Comp[], 27, FALSE)</f>
        <v>0</v>
      </c>
      <c r="AE216">
        <f>VLOOKUP(Table9[[#This Row],[Shortname]], Comp[], 28, FALSE)</f>
        <v>0</v>
      </c>
      <c r="AF216">
        <f>VLOOKUP(Table9[[#This Row],[Shortname]], Comp[], 29, FALSE)</f>
        <v>0</v>
      </c>
      <c r="AG216">
        <f>VLOOKUP(Table9[[#This Row],[Shortname]], Comp[], 30, FALSE)</f>
        <v>0</v>
      </c>
      <c r="AH216">
        <f>VLOOKUP(Table9[[#This Row],[Shortname]], Comp[], 31, FALSE)</f>
        <v>0</v>
      </c>
    </row>
    <row r="217" spans="1:34" x14ac:dyDescent="0.3">
      <c r="A217" t="s">
        <v>2216</v>
      </c>
      <c r="B217" t="s">
        <v>2218</v>
      </c>
      <c r="C217" t="s">
        <v>2211</v>
      </c>
      <c r="D217">
        <v>501</v>
      </c>
      <c r="E217">
        <v>600</v>
      </c>
      <c r="F217">
        <v>1E-4</v>
      </c>
      <c r="G217">
        <v>1</v>
      </c>
      <c r="H217" t="s">
        <v>6803</v>
      </c>
      <c r="I217">
        <f>VLOOKUP(Table9[[#This Row],[Shortname]], Comp[], 6, FALSE)</f>
        <v>292</v>
      </c>
      <c r="J217" s="14">
        <f>VLOOKUP(Table9[[#This Row],[Shortname]], Comp[], 7, FALSE)</f>
        <v>83.6</v>
      </c>
      <c r="K217">
        <f>VLOOKUP(Table9[[#This Row],[Shortname]], Comp[], 8, FALSE)</f>
        <v>0</v>
      </c>
      <c r="L217">
        <f>VLOOKUP(Table9[[#This Row],[Shortname]], Comp[], 9, FALSE)</f>
        <v>0</v>
      </c>
      <c r="M217">
        <f>VLOOKUP(Table9[[#This Row],[Shortname]], Comp[], 10, FALSE)</f>
        <v>0</v>
      </c>
      <c r="N217">
        <f>VLOOKUP(Table9[[#This Row],[Shortname]], Comp[], 11, FALSE)</f>
        <v>0</v>
      </c>
      <c r="O217">
        <f>VLOOKUP(Table9[[#This Row],[Shortname]], Comp[],12, FALSE)</f>
        <v>4.0999999999999996</v>
      </c>
      <c r="P217">
        <f>VLOOKUP(Table9[[#This Row],[Shortname]], Comp[], 13, FALSE)</f>
        <v>0</v>
      </c>
      <c r="Q217">
        <f>VLOOKUP(Table9[[#This Row],[Shortname]], Comp[], 14, FALSE)</f>
        <v>2.2000000000000002</v>
      </c>
      <c r="R217">
        <f>VLOOKUP(Table9[[#This Row],[Shortname]], Comp[], 15, FALSE)</f>
        <v>10.1</v>
      </c>
      <c r="S217">
        <f>VLOOKUP(Table9[[#This Row],[Shortname]], Comp[], 16, FALSE)</f>
        <v>0</v>
      </c>
      <c r="T217">
        <f>VLOOKUP(Table9[[#This Row],[Shortname]], Comp[], 17, FALSE)</f>
        <v>0</v>
      </c>
      <c r="U217">
        <f>VLOOKUP(Table9[[#This Row],[Shortname]], Comp[], 18, FALSE)</f>
        <v>0</v>
      </c>
      <c r="V217">
        <f>VLOOKUP(Table9[[#This Row],[Shortname]], Comp[], 19, FALSE)</f>
        <v>0</v>
      </c>
      <c r="W217">
        <f>VLOOKUP(Table9[[#This Row],[Shortname]], Comp[], 20, FALSE)</f>
        <v>0</v>
      </c>
      <c r="X217">
        <f>VLOOKUP(Table9[[#This Row],[Shortname]], Comp[], 21, FALSE)</f>
        <v>0</v>
      </c>
      <c r="Y217">
        <f>VLOOKUP(Table9[[#This Row],[Shortname]], Comp[], 22, FALSE)</f>
        <v>0</v>
      </c>
      <c r="Z217">
        <f>VLOOKUP(Table9[[#This Row],[Shortname]], Comp[], 23, FALSE)</f>
        <v>0</v>
      </c>
      <c r="AA217">
        <f>VLOOKUP(Table9[[#This Row],[Shortname]], Comp[], 24, FALSE)</f>
        <v>0</v>
      </c>
      <c r="AB217">
        <f>VLOOKUP(Table9[[#This Row],[Shortname]], Comp[], 25, FALSE)</f>
        <v>0</v>
      </c>
      <c r="AC217">
        <f>VLOOKUP(Table9[[#This Row],[Shortname]], Comp[], 26, FALSE)</f>
        <v>0</v>
      </c>
      <c r="AD217">
        <f>VLOOKUP(Table9[[#This Row],[Shortname]], Comp[], 27, FALSE)</f>
        <v>0</v>
      </c>
      <c r="AE217">
        <f>VLOOKUP(Table9[[#This Row],[Shortname]], Comp[], 28, FALSE)</f>
        <v>0</v>
      </c>
      <c r="AF217">
        <f>VLOOKUP(Table9[[#This Row],[Shortname]], Comp[], 29, FALSE)</f>
        <v>0</v>
      </c>
      <c r="AG217">
        <f>VLOOKUP(Table9[[#This Row],[Shortname]], Comp[], 30, FALSE)</f>
        <v>0</v>
      </c>
      <c r="AH217">
        <f>VLOOKUP(Table9[[#This Row],[Shortname]], Comp[], 31, FALSE)</f>
        <v>0</v>
      </c>
    </row>
    <row r="218" spans="1:34" x14ac:dyDescent="0.3">
      <c r="A218" t="s">
        <v>3168</v>
      </c>
      <c r="B218" t="s">
        <v>3170</v>
      </c>
      <c r="C218" t="s">
        <v>3157</v>
      </c>
      <c r="D218">
        <v>501</v>
      </c>
      <c r="E218">
        <v>600</v>
      </c>
      <c r="F218">
        <v>1E-4</v>
      </c>
      <c r="G218">
        <v>1</v>
      </c>
      <c r="H218" t="s">
        <v>6803</v>
      </c>
      <c r="I218">
        <f>VLOOKUP(Table9[[#This Row],[Shortname]], Comp[], 6, FALSE)</f>
        <v>442</v>
      </c>
      <c r="J218" s="14">
        <f>VLOOKUP(Table9[[#This Row],[Shortname]], Comp[], 7, FALSE)</f>
        <v>78</v>
      </c>
      <c r="K218">
        <f>VLOOKUP(Table9[[#This Row],[Shortname]], Comp[], 8, FALSE)</f>
        <v>2</v>
      </c>
      <c r="L218">
        <f>VLOOKUP(Table9[[#This Row],[Shortname]], Comp[], 9, FALSE)</f>
        <v>0</v>
      </c>
      <c r="M218">
        <f>VLOOKUP(Table9[[#This Row],[Shortname]], Comp[], 10, FALSE)</f>
        <v>0</v>
      </c>
      <c r="N218">
        <f>VLOOKUP(Table9[[#This Row],[Shortname]], Comp[], 11, FALSE)</f>
        <v>0</v>
      </c>
      <c r="O218">
        <f>VLOOKUP(Table9[[#This Row],[Shortname]], Comp[],12, FALSE)</f>
        <v>5</v>
      </c>
      <c r="P218">
        <f>VLOOKUP(Table9[[#This Row],[Shortname]], Comp[], 13, FALSE)</f>
        <v>0</v>
      </c>
      <c r="Q218">
        <f>VLOOKUP(Table9[[#This Row],[Shortname]], Comp[], 14, FALSE)</f>
        <v>0</v>
      </c>
      <c r="R218">
        <f>VLOOKUP(Table9[[#This Row],[Shortname]], Comp[], 15, FALSE)</f>
        <v>15</v>
      </c>
      <c r="S218">
        <f>VLOOKUP(Table9[[#This Row],[Shortname]], Comp[], 16, FALSE)</f>
        <v>0</v>
      </c>
      <c r="T218">
        <f>VLOOKUP(Table9[[#This Row],[Shortname]], Comp[], 17, FALSE)</f>
        <v>0</v>
      </c>
      <c r="U218">
        <f>VLOOKUP(Table9[[#This Row],[Shortname]], Comp[], 18, FALSE)</f>
        <v>0</v>
      </c>
      <c r="V218">
        <f>VLOOKUP(Table9[[#This Row],[Shortname]], Comp[], 19, FALSE)</f>
        <v>0</v>
      </c>
      <c r="W218">
        <f>VLOOKUP(Table9[[#This Row],[Shortname]], Comp[], 20, FALSE)</f>
        <v>0</v>
      </c>
      <c r="X218">
        <f>VLOOKUP(Table9[[#This Row],[Shortname]], Comp[], 21, FALSE)</f>
        <v>0</v>
      </c>
      <c r="Y218">
        <f>VLOOKUP(Table9[[#This Row],[Shortname]], Comp[], 22, FALSE)</f>
        <v>0</v>
      </c>
      <c r="Z218">
        <f>VLOOKUP(Table9[[#This Row],[Shortname]], Comp[], 23, FALSE)</f>
        <v>0</v>
      </c>
      <c r="AA218">
        <f>VLOOKUP(Table9[[#This Row],[Shortname]], Comp[], 24, FALSE)</f>
        <v>0</v>
      </c>
      <c r="AB218">
        <f>VLOOKUP(Table9[[#This Row],[Shortname]], Comp[], 25, FALSE)</f>
        <v>0</v>
      </c>
      <c r="AC218">
        <f>VLOOKUP(Table9[[#This Row],[Shortname]], Comp[], 26, FALSE)</f>
        <v>0</v>
      </c>
      <c r="AD218">
        <f>VLOOKUP(Table9[[#This Row],[Shortname]], Comp[], 27, FALSE)</f>
        <v>0</v>
      </c>
      <c r="AE218">
        <f>VLOOKUP(Table9[[#This Row],[Shortname]], Comp[], 28, FALSE)</f>
        <v>0</v>
      </c>
      <c r="AF218">
        <f>VLOOKUP(Table9[[#This Row],[Shortname]], Comp[], 29, FALSE)</f>
        <v>0</v>
      </c>
      <c r="AG218">
        <f>VLOOKUP(Table9[[#This Row],[Shortname]], Comp[], 30, FALSE)</f>
        <v>0</v>
      </c>
      <c r="AH218">
        <f>VLOOKUP(Table9[[#This Row],[Shortname]], Comp[], 31, FALSE)</f>
        <v>0</v>
      </c>
    </row>
    <row r="219" spans="1:34" x14ac:dyDescent="0.3">
      <c r="A219" t="s">
        <v>3405</v>
      </c>
      <c r="B219" t="s">
        <v>3405</v>
      </c>
      <c r="C219" t="s">
        <v>3401</v>
      </c>
      <c r="D219">
        <v>501</v>
      </c>
      <c r="E219">
        <v>25</v>
      </c>
      <c r="F219">
        <v>2.0000000000000001E-4</v>
      </c>
      <c r="G219">
        <v>1</v>
      </c>
      <c r="H219" t="s">
        <v>6803</v>
      </c>
      <c r="I219">
        <f>VLOOKUP(Table9[[#This Row],[Shortname]], Comp[], 6, FALSE)</f>
        <v>483</v>
      </c>
      <c r="J219" s="14">
        <f>VLOOKUP(Table9[[#This Row],[Shortname]], Comp[], 7, FALSE)</f>
        <v>84.18</v>
      </c>
      <c r="K219">
        <f>VLOOKUP(Table9[[#This Row],[Shortname]], Comp[], 8, FALSE)</f>
        <v>0</v>
      </c>
      <c r="L219">
        <f>VLOOKUP(Table9[[#This Row],[Shortname]], Comp[], 9, FALSE)</f>
        <v>8.9</v>
      </c>
      <c r="M219">
        <f>VLOOKUP(Table9[[#This Row],[Shortname]], Comp[], 10, FALSE)</f>
        <v>0</v>
      </c>
      <c r="N219">
        <f>VLOOKUP(Table9[[#This Row],[Shortname]], Comp[], 11, FALSE)</f>
        <v>6.9</v>
      </c>
      <c r="O219">
        <f>VLOOKUP(Table9[[#This Row],[Shortname]], Comp[],12, FALSE)</f>
        <v>0</v>
      </c>
      <c r="P219">
        <f>VLOOKUP(Table9[[#This Row],[Shortname]], Comp[], 13, FALSE)</f>
        <v>0</v>
      </c>
      <c r="Q219">
        <f>VLOOKUP(Table9[[#This Row],[Shortname]], Comp[], 14, FALSE)</f>
        <v>0</v>
      </c>
      <c r="R219">
        <f>VLOOKUP(Table9[[#This Row],[Shortname]], Comp[], 15, FALSE)</f>
        <v>0</v>
      </c>
      <c r="S219">
        <f>VLOOKUP(Table9[[#This Row],[Shortname]], Comp[], 16, FALSE)</f>
        <v>0</v>
      </c>
      <c r="T219">
        <f>VLOOKUP(Table9[[#This Row],[Shortname]], Comp[], 17, FALSE)</f>
        <v>0</v>
      </c>
      <c r="U219">
        <f>VLOOKUP(Table9[[#This Row],[Shortname]], Comp[], 18, FALSE)</f>
        <v>0</v>
      </c>
      <c r="V219">
        <f>VLOOKUP(Table9[[#This Row],[Shortname]], Comp[], 19, FALSE)</f>
        <v>0.02</v>
      </c>
      <c r="W219">
        <f>VLOOKUP(Table9[[#This Row],[Shortname]], Comp[], 20, FALSE)</f>
        <v>0</v>
      </c>
      <c r="X219">
        <f>VLOOKUP(Table9[[#This Row],[Shortname]], Comp[], 21, FALSE)</f>
        <v>0</v>
      </c>
      <c r="Y219">
        <f>VLOOKUP(Table9[[#This Row],[Shortname]], Comp[], 22, FALSE)</f>
        <v>0</v>
      </c>
      <c r="Z219">
        <f>VLOOKUP(Table9[[#This Row],[Shortname]], Comp[], 23, FALSE)</f>
        <v>0</v>
      </c>
      <c r="AA219">
        <f>VLOOKUP(Table9[[#This Row],[Shortname]], Comp[], 24, FALSE)</f>
        <v>0</v>
      </c>
      <c r="AB219">
        <f>VLOOKUP(Table9[[#This Row],[Shortname]], Comp[], 25, FALSE)</f>
        <v>0</v>
      </c>
      <c r="AC219">
        <f>VLOOKUP(Table9[[#This Row],[Shortname]], Comp[], 26, FALSE)</f>
        <v>0</v>
      </c>
      <c r="AD219">
        <f>VLOOKUP(Table9[[#This Row],[Shortname]], Comp[], 27, FALSE)</f>
        <v>0</v>
      </c>
      <c r="AE219">
        <f>VLOOKUP(Table9[[#This Row],[Shortname]], Comp[], 28, FALSE)</f>
        <v>0</v>
      </c>
      <c r="AF219">
        <f>VLOOKUP(Table9[[#This Row],[Shortname]], Comp[], 29, FALSE)</f>
        <v>0</v>
      </c>
      <c r="AG219">
        <f>VLOOKUP(Table9[[#This Row],[Shortname]], Comp[], 30, FALSE)</f>
        <v>0</v>
      </c>
      <c r="AH219">
        <f>VLOOKUP(Table9[[#This Row],[Shortname]], Comp[], 31, FALSE)</f>
        <v>0</v>
      </c>
    </row>
    <row r="220" spans="1:34" x14ac:dyDescent="0.3">
      <c r="A220" t="s">
        <v>3497</v>
      </c>
      <c r="B220" t="s">
        <v>3498</v>
      </c>
      <c r="C220" t="s">
        <v>3495</v>
      </c>
      <c r="D220">
        <v>501</v>
      </c>
      <c r="E220">
        <v>700</v>
      </c>
      <c r="F220">
        <v>1E-4</v>
      </c>
      <c r="G220">
        <v>1</v>
      </c>
      <c r="H220" t="s">
        <v>6803</v>
      </c>
      <c r="I220">
        <f>VLOOKUP(Table9[[#This Row],[Shortname]], Comp[], 6, FALSE)</f>
        <v>503</v>
      </c>
      <c r="J220" s="14">
        <f>VLOOKUP(Table9[[#This Row],[Shortname]], Comp[], 7, FALSE)</f>
        <v>80</v>
      </c>
      <c r="K220">
        <f>VLOOKUP(Table9[[#This Row],[Shortname]], Comp[], 8, FALSE)</f>
        <v>0</v>
      </c>
      <c r="L220">
        <f>VLOOKUP(Table9[[#This Row],[Shortname]], Comp[], 9, FALSE)</f>
        <v>9</v>
      </c>
      <c r="M220">
        <f>VLOOKUP(Table9[[#This Row],[Shortname]], Comp[], 10, FALSE)</f>
        <v>0</v>
      </c>
      <c r="N220">
        <f>VLOOKUP(Table9[[#This Row],[Shortname]], Comp[], 11, FALSE)</f>
        <v>9</v>
      </c>
      <c r="O220">
        <f>VLOOKUP(Table9[[#This Row],[Shortname]], Comp[],12, FALSE)</f>
        <v>0</v>
      </c>
      <c r="P220">
        <f>VLOOKUP(Table9[[#This Row],[Shortname]], Comp[], 13, FALSE)</f>
        <v>2</v>
      </c>
      <c r="Q220">
        <f>VLOOKUP(Table9[[#This Row],[Shortname]], Comp[], 14, FALSE)</f>
        <v>0</v>
      </c>
      <c r="R220">
        <f>VLOOKUP(Table9[[#This Row],[Shortname]], Comp[], 15, FALSE)</f>
        <v>0</v>
      </c>
      <c r="S220">
        <f>VLOOKUP(Table9[[#This Row],[Shortname]], Comp[], 16, FALSE)</f>
        <v>0</v>
      </c>
      <c r="T220">
        <f>VLOOKUP(Table9[[#This Row],[Shortname]], Comp[], 17, FALSE)</f>
        <v>0</v>
      </c>
      <c r="U220">
        <f>VLOOKUP(Table9[[#This Row],[Shortname]], Comp[], 18, FALSE)</f>
        <v>0</v>
      </c>
      <c r="V220">
        <f>VLOOKUP(Table9[[#This Row],[Shortname]], Comp[], 19, FALSE)</f>
        <v>0</v>
      </c>
      <c r="W220">
        <f>VLOOKUP(Table9[[#This Row],[Shortname]], Comp[], 20, FALSE)</f>
        <v>0</v>
      </c>
      <c r="X220">
        <f>VLOOKUP(Table9[[#This Row],[Shortname]], Comp[], 21, FALSE)</f>
        <v>0</v>
      </c>
      <c r="Y220">
        <f>VLOOKUP(Table9[[#This Row],[Shortname]], Comp[], 22, FALSE)</f>
        <v>0</v>
      </c>
      <c r="Z220">
        <f>VLOOKUP(Table9[[#This Row],[Shortname]], Comp[], 23, FALSE)</f>
        <v>0</v>
      </c>
      <c r="AA220">
        <f>VLOOKUP(Table9[[#This Row],[Shortname]], Comp[], 24, FALSE)</f>
        <v>0</v>
      </c>
      <c r="AB220">
        <f>VLOOKUP(Table9[[#This Row],[Shortname]], Comp[], 25, FALSE)</f>
        <v>0</v>
      </c>
      <c r="AC220">
        <f>VLOOKUP(Table9[[#This Row],[Shortname]], Comp[], 26, FALSE)</f>
        <v>0</v>
      </c>
      <c r="AD220">
        <f>VLOOKUP(Table9[[#This Row],[Shortname]], Comp[], 27, FALSE)</f>
        <v>0</v>
      </c>
      <c r="AE220">
        <f>VLOOKUP(Table9[[#This Row],[Shortname]], Comp[], 28, FALSE)</f>
        <v>0</v>
      </c>
      <c r="AF220">
        <f>VLOOKUP(Table9[[#This Row],[Shortname]], Comp[], 29, FALSE)</f>
        <v>0</v>
      </c>
      <c r="AG220">
        <f>VLOOKUP(Table9[[#This Row],[Shortname]], Comp[], 30, FALSE)</f>
        <v>0</v>
      </c>
      <c r="AH220">
        <f>VLOOKUP(Table9[[#This Row],[Shortname]], Comp[], 31, FALSE)</f>
        <v>0</v>
      </c>
    </row>
    <row r="221" spans="1:34" x14ac:dyDescent="0.3">
      <c r="A221" t="s">
        <v>2996</v>
      </c>
      <c r="B221" t="s">
        <v>2998</v>
      </c>
      <c r="C221" t="s">
        <v>2999</v>
      </c>
      <c r="D221">
        <v>500</v>
      </c>
      <c r="E221">
        <v>650</v>
      </c>
      <c r="F221">
        <v>1E-4</v>
      </c>
      <c r="G221">
        <v>1</v>
      </c>
      <c r="H221" t="s">
        <v>6803</v>
      </c>
      <c r="I221">
        <f>VLOOKUP(Table9[[#This Row],[Shortname]], Comp[], 6, FALSE)</f>
        <v>412</v>
      </c>
      <c r="J221" s="14">
        <f>VLOOKUP(Table9[[#This Row],[Shortname]], Comp[], 7, FALSE)</f>
        <v>49.82</v>
      </c>
      <c r="K221">
        <f>VLOOKUP(Table9[[#This Row],[Shortname]], Comp[], 8, FALSE)</f>
        <v>30.83</v>
      </c>
      <c r="L221">
        <f>VLOOKUP(Table9[[#This Row],[Shortname]], Comp[], 9, FALSE)</f>
        <v>9.16</v>
      </c>
      <c r="M221">
        <f>VLOOKUP(Table9[[#This Row],[Shortname]], Comp[], 10, FALSE)</f>
        <v>0</v>
      </c>
      <c r="N221">
        <f>VLOOKUP(Table9[[#This Row],[Shortname]], Comp[], 11, FALSE)</f>
        <v>5.09</v>
      </c>
      <c r="O221">
        <f>VLOOKUP(Table9[[#This Row],[Shortname]], Comp[],12, FALSE)</f>
        <v>4.0999999999999996</v>
      </c>
      <c r="P221">
        <f>VLOOKUP(Table9[[#This Row],[Shortname]], Comp[], 13, FALSE)</f>
        <v>1</v>
      </c>
      <c r="Q221">
        <f>VLOOKUP(Table9[[#This Row],[Shortname]], Comp[], 14, FALSE)</f>
        <v>0</v>
      </c>
      <c r="R221">
        <f>VLOOKUP(Table9[[#This Row],[Shortname]], Comp[], 15, FALSE)</f>
        <v>0</v>
      </c>
      <c r="S221">
        <f>VLOOKUP(Table9[[#This Row],[Shortname]], Comp[], 16, FALSE)</f>
        <v>0</v>
      </c>
      <c r="T221">
        <f>VLOOKUP(Table9[[#This Row],[Shortname]], Comp[], 17, FALSE)</f>
        <v>0</v>
      </c>
      <c r="U221">
        <f>VLOOKUP(Table9[[#This Row],[Shortname]], Comp[], 18, FALSE)</f>
        <v>0</v>
      </c>
      <c r="V221">
        <f>VLOOKUP(Table9[[#This Row],[Shortname]], Comp[], 19, FALSE)</f>
        <v>0</v>
      </c>
      <c r="W221">
        <f>VLOOKUP(Table9[[#This Row],[Shortname]], Comp[], 20, FALSE)</f>
        <v>0</v>
      </c>
      <c r="X221">
        <f>VLOOKUP(Table9[[#This Row],[Shortname]], Comp[], 21, FALSE)</f>
        <v>0</v>
      </c>
      <c r="Y221">
        <f>VLOOKUP(Table9[[#This Row],[Shortname]], Comp[], 22, FALSE)</f>
        <v>0</v>
      </c>
      <c r="Z221">
        <f>VLOOKUP(Table9[[#This Row],[Shortname]], Comp[], 23, FALSE)</f>
        <v>0</v>
      </c>
      <c r="AA221">
        <f>VLOOKUP(Table9[[#This Row],[Shortname]], Comp[], 24, FALSE)</f>
        <v>0</v>
      </c>
      <c r="AB221">
        <f>VLOOKUP(Table9[[#This Row],[Shortname]], Comp[], 25, FALSE)</f>
        <v>0</v>
      </c>
      <c r="AC221">
        <f>VLOOKUP(Table9[[#This Row],[Shortname]], Comp[], 26, FALSE)</f>
        <v>0</v>
      </c>
      <c r="AD221">
        <f>VLOOKUP(Table9[[#This Row],[Shortname]], Comp[], 27, FALSE)</f>
        <v>0</v>
      </c>
      <c r="AE221">
        <f>VLOOKUP(Table9[[#This Row],[Shortname]], Comp[], 28, FALSE)</f>
        <v>0</v>
      </c>
      <c r="AF221">
        <f>VLOOKUP(Table9[[#This Row],[Shortname]], Comp[], 29, FALSE)</f>
        <v>0</v>
      </c>
      <c r="AG221">
        <f>VLOOKUP(Table9[[#This Row],[Shortname]], Comp[], 30, FALSE)</f>
        <v>0</v>
      </c>
      <c r="AH221">
        <f>VLOOKUP(Table9[[#This Row],[Shortname]], Comp[], 31, FALSE)</f>
        <v>0</v>
      </c>
    </row>
    <row r="222" spans="1:34" x14ac:dyDescent="0.3">
      <c r="A222" t="s">
        <v>3429</v>
      </c>
      <c r="B222" t="s">
        <v>3429</v>
      </c>
      <c r="C222" t="s">
        <v>3401</v>
      </c>
      <c r="D222">
        <v>499</v>
      </c>
      <c r="E222">
        <v>760</v>
      </c>
      <c r="F222">
        <v>2.0000000000000001E-4</v>
      </c>
      <c r="G222">
        <v>1</v>
      </c>
      <c r="H222" t="s">
        <v>6803</v>
      </c>
      <c r="I222">
        <f>VLOOKUP(Table9[[#This Row],[Shortname]], Comp[], 6, FALSE)</f>
        <v>488</v>
      </c>
      <c r="J222" s="14">
        <f>VLOOKUP(Table9[[#This Row],[Shortname]], Comp[], 7, FALSE)</f>
        <v>81.3</v>
      </c>
      <c r="K222">
        <f>VLOOKUP(Table9[[#This Row],[Shortname]], Comp[], 8, FALSE)</f>
        <v>0</v>
      </c>
      <c r="L222">
        <f>VLOOKUP(Table9[[#This Row],[Shortname]], Comp[], 9, FALSE)</f>
        <v>9.1999999999999993</v>
      </c>
      <c r="M222">
        <f>VLOOKUP(Table9[[#This Row],[Shortname]], Comp[], 10, FALSE)</f>
        <v>0</v>
      </c>
      <c r="N222">
        <f>VLOOKUP(Table9[[#This Row],[Shortname]], Comp[], 11, FALSE)</f>
        <v>9.5</v>
      </c>
      <c r="O222">
        <f>VLOOKUP(Table9[[#This Row],[Shortname]], Comp[],12, FALSE)</f>
        <v>0</v>
      </c>
      <c r="P222">
        <f>VLOOKUP(Table9[[#This Row],[Shortname]], Comp[], 13, FALSE)</f>
        <v>0</v>
      </c>
      <c r="Q222">
        <f>VLOOKUP(Table9[[#This Row],[Shortname]], Comp[], 14, FALSE)</f>
        <v>0</v>
      </c>
      <c r="R222">
        <f>VLOOKUP(Table9[[#This Row],[Shortname]], Comp[], 15, FALSE)</f>
        <v>0</v>
      </c>
      <c r="S222">
        <f>VLOOKUP(Table9[[#This Row],[Shortname]], Comp[], 16, FALSE)</f>
        <v>0</v>
      </c>
      <c r="T222">
        <f>VLOOKUP(Table9[[#This Row],[Shortname]], Comp[], 17, FALSE)</f>
        <v>0</v>
      </c>
      <c r="U222">
        <f>VLOOKUP(Table9[[#This Row],[Shortname]], Comp[], 18, FALSE)</f>
        <v>0</v>
      </c>
      <c r="V222">
        <f>VLOOKUP(Table9[[#This Row],[Shortname]], Comp[], 19, FALSE)</f>
        <v>0</v>
      </c>
      <c r="W222">
        <f>VLOOKUP(Table9[[#This Row],[Shortname]], Comp[], 20, FALSE)</f>
        <v>0</v>
      </c>
      <c r="X222">
        <f>VLOOKUP(Table9[[#This Row],[Shortname]], Comp[], 21, FALSE)</f>
        <v>0</v>
      </c>
      <c r="Y222">
        <f>VLOOKUP(Table9[[#This Row],[Shortname]], Comp[], 22, FALSE)</f>
        <v>0</v>
      </c>
      <c r="Z222">
        <f>VLOOKUP(Table9[[#This Row],[Shortname]], Comp[], 23, FALSE)</f>
        <v>0</v>
      </c>
      <c r="AA222">
        <f>VLOOKUP(Table9[[#This Row],[Shortname]], Comp[], 24, FALSE)</f>
        <v>0</v>
      </c>
      <c r="AB222">
        <f>VLOOKUP(Table9[[#This Row],[Shortname]], Comp[], 25, FALSE)</f>
        <v>0</v>
      </c>
      <c r="AC222">
        <f>VLOOKUP(Table9[[#This Row],[Shortname]], Comp[], 26, FALSE)</f>
        <v>0</v>
      </c>
      <c r="AD222">
        <f>VLOOKUP(Table9[[#This Row],[Shortname]], Comp[], 27, FALSE)</f>
        <v>0</v>
      </c>
      <c r="AE222">
        <f>VLOOKUP(Table9[[#This Row],[Shortname]], Comp[], 28, FALSE)</f>
        <v>0</v>
      </c>
      <c r="AF222">
        <f>VLOOKUP(Table9[[#This Row],[Shortname]], Comp[], 29, FALSE)</f>
        <v>0</v>
      </c>
      <c r="AG222">
        <f>VLOOKUP(Table9[[#This Row],[Shortname]], Comp[], 30, FALSE)</f>
        <v>0</v>
      </c>
      <c r="AH222">
        <f>VLOOKUP(Table9[[#This Row],[Shortname]], Comp[], 31, FALSE)</f>
        <v>0</v>
      </c>
    </row>
    <row r="223" spans="1:34" x14ac:dyDescent="0.3">
      <c r="A223" t="s">
        <v>1735</v>
      </c>
      <c r="B223" t="s">
        <v>2354</v>
      </c>
      <c r="C223" t="s">
        <v>3480</v>
      </c>
      <c r="D223">
        <v>499</v>
      </c>
      <c r="E223">
        <v>695</v>
      </c>
      <c r="F223">
        <v>1E-4</v>
      </c>
      <c r="G223">
        <v>1</v>
      </c>
      <c r="H223" t="s">
        <v>6803</v>
      </c>
      <c r="I223">
        <f>VLOOKUP(Table9[[#This Row],[Shortname]], Comp[], 6, FALSE)</f>
        <v>222</v>
      </c>
      <c r="J223" s="14">
        <f>VLOOKUP(Table9[[#This Row],[Shortname]], Comp[], 7, FALSE)</f>
        <v>79.400000000000006</v>
      </c>
      <c r="K223">
        <f>VLOOKUP(Table9[[#This Row],[Shortname]], Comp[], 8, FALSE)</f>
        <v>0</v>
      </c>
      <c r="L223">
        <f>VLOOKUP(Table9[[#This Row],[Shortname]], Comp[], 9, FALSE)</f>
        <v>8.8000000000000007</v>
      </c>
      <c r="M223">
        <f>VLOOKUP(Table9[[#This Row],[Shortname]], Comp[], 10, FALSE)</f>
        <v>0</v>
      </c>
      <c r="N223">
        <f>VLOOKUP(Table9[[#This Row],[Shortname]], Comp[], 11, FALSE)</f>
        <v>9.8000000000000007</v>
      </c>
      <c r="O223">
        <f>VLOOKUP(Table9[[#This Row],[Shortname]], Comp[],12, FALSE)</f>
        <v>0</v>
      </c>
      <c r="P223">
        <f>VLOOKUP(Table9[[#This Row],[Shortname]], Comp[], 13, FALSE)</f>
        <v>2</v>
      </c>
      <c r="Q223">
        <f>VLOOKUP(Table9[[#This Row],[Shortname]], Comp[], 14, FALSE)</f>
        <v>0</v>
      </c>
      <c r="R223">
        <f>VLOOKUP(Table9[[#This Row],[Shortname]], Comp[], 15, FALSE)</f>
        <v>0</v>
      </c>
      <c r="S223">
        <f>VLOOKUP(Table9[[#This Row],[Shortname]], Comp[], 16, FALSE)</f>
        <v>0</v>
      </c>
      <c r="T223">
        <f>VLOOKUP(Table9[[#This Row],[Shortname]], Comp[], 17, FALSE)</f>
        <v>0</v>
      </c>
      <c r="U223">
        <f>VLOOKUP(Table9[[#This Row],[Shortname]], Comp[], 18, FALSE)</f>
        <v>0</v>
      </c>
      <c r="V223">
        <f>VLOOKUP(Table9[[#This Row],[Shortname]], Comp[], 19, FALSE)</f>
        <v>0</v>
      </c>
      <c r="W223">
        <f>VLOOKUP(Table9[[#This Row],[Shortname]], Comp[], 20, FALSE)</f>
        <v>0</v>
      </c>
      <c r="X223">
        <f>VLOOKUP(Table9[[#This Row],[Shortname]], Comp[], 21, FALSE)</f>
        <v>0</v>
      </c>
      <c r="Y223">
        <f>VLOOKUP(Table9[[#This Row],[Shortname]], Comp[], 22, FALSE)</f>
        <v>0</v>
      </c>
      <c r="Z223">
        <f>VLOOKUP(Table9[[#This Row],[Shortname]], Comp[], 23, FALSE)</f>
        <v>0</v>
      </c>
      <c r="AA223">
        <f>VLOOKUP(Table9[[#This Row],[Shortname]], Comp[], 24, FALSE)</f>
        <v>0</v>
      </c>
      <c r="AB223">
        <f>VLOOKUP(Table9[[#This Row],[Shortname]], Comp[], 25, FALSE)</f>
        <v>0</v>
      </c>
      <c r="AC223">
        <f>VLOOKUP(Table9[[#This Row],[Shortname]], Comp[], 26, FALSE)</f>
        <v>0</v>
      </c>
      <c r="AD223">
        <f>VLOOKUP(Table9[[#This Row],[Shortname]], Comp[], 27, FALSE)</f>
        <v>0</v>
      </c>
      <c r="AE223">
        <f>VLOOKUP(Table9[[#This Row],[Shortname]], Comp[], 28, FALSE)</f>
        <v>0</v>
      </c>
      <c r="AF223">
        <f>VLOOKUP(Table9[[#This Row],[Shortname]], Comp[], 29, FALSE)</f>
        <v>0</v>
      </c>
      <c r="AG223">
        <f>VLOOKUP(Table9[[#This Row],[Shortname]], Comp[], 30, FALSE)</f>
        <v>0</v>
      </c>
      <c r="AH223">
        <f>VLOOKUP(Table9[[#This Row],[Shortname]], Comp[], 31, FALSE)</f>
        <v>0</v>
      </c>
    </row>
    <row r="224" spans="1:34" x14ac:dyDescent="0.3">
      <c r="A224" t="s">
        <v>5057</v>
      </c>
      <c r="B224" t="s">
        <v>5059</v>
      </c>
      <c r="C224" t="s">
        <v>5054</v>
      </c>
      <c r="D224">
        <v>498.71</v>
      </c>
      <c r="E224">
        <v>870</v>
      </c>
      <c r="F224">
        <v>1E-3</v>
      </c>
      <c r="G224">
        <v>1</v>
      </c>
      <c r="I224">
        <f>VLOOKUP(Table9[[#This Row],[Shortname]], Comp[], 6, FALSE)</f>
        <v>780</v>
      </c>
      <c r="J224" s="14">
        <f>VLOOKUP(Table9[[#This Row],[Shortname]], Comp[], 7, FALSE)</f>
        <v>43</v>
      </c>
      <c r="K224">
        <f>VLOOKUP(Table9[[#This Row],[Shortname]], Comp[], 8, FALSE)</f>
        <v>30</v>
      </c>
      <c r="L224">
        <f>VLOOKUP(Table9[[#This Row],[Shortname]], Comp[], 9, FALSE)</f>
        <v>10</v>
      </c>
      <c r="M224">
        <f>VLOOKUP(Table9[[#This Row],[Shortname]], Comp[], 10, FALSE)</f>
        <v>10</v>
      </c>
      <c r="N224">
        <f>VLOOKUP(Table9[[#This Row],[Shortname]], Comp[], 11, FALSE)</f>
        <v>0</v>
      </c>
      <c r="O224">
        <f>VLOOKUP(Table9[[#This Row],[Shortname]], Comp[],12, FALSE)</f>
        <v>0</v>
      </c>
      <c r="P224">
        <f>VLOOKUP(Table9[[#This Row],[Shortname]], Comp[], 13, FALSE)</f>
        <v>0</v>
      </c>
      <c r="Q224">
        <f>VLOOKUP(Table9[[#This Row],[Shortname]], Comp[], 14, FALSE)</f>
        <v>2</v>
      </c>
      <c r="R224">
        <f>VLOOKUP(Table9[[#This Row],[Shortname]], Comp[], 15, FALSE)</f>
        <v>0</v>
      </c>
      <c r="S224">
        <f>VLOOKUP(Table9[[#This Row],[Shortname]], Comp[], 16, FALSE)</f>
        <v>5</v>
      </c>
      <c r="T224">
        <f>VLOOKUP(Table9[[#This Row],[Shortname]], Comp[], 17, FALSE)</f>
        <v>0</v>
      </c>
      <c r="U224">
        <f>VLOOKUP(Table9[[#This Row],[Shortname]], Comp[], 18, FALSE)</f>
        <v>0</v>
      </c>
      <c r="V224">
        <f>VLOOKUP(Table9[[#This Row],[Shortname]], Comp[], 19, FALSE)</f>
        <v>0</v>
      </c>
      <c r="W224">
        <f>VLOOKUP(Table9[[#This Row],[Shortname]], Comp[], 20, FALSE)</f>
        <v>0</v>
      </c>
      <c r="X224">
        <f>VLOOKUP(Table9[[#This Row],[Shortname]], Comp[], 21, FALSE)</f>
        <v>0</v>
      </c>
      <c r="Y224">
        <f>VLOOKUP(Table9[[#This Row],[Shortname]], Comp[], 22, FALSE)</f>
        <v>0</v>
      </c>
      <c r="Z224">
        <f>VLOOKUP(Table9[[#This Row],[Shortname]], Comp[], 23, FALSE)</f>
        <v>0</v>
      </c>
      <c r="AA224">
        <f>VLOOKUP(Table9[[#This Row],[Shortname]], Comp[], 24, FALSE)</f>
        <v>0</v>
      </c>
      <c r="AB224">
        <f>VLOOKUP(Table9[[#This Row],[Shortname]], Comp[], 25, FALSE)</f>
        <v>0</v>
      </c>
      <c r="AC224">
        <f>VLOOKUP(Table9[[#This Row],[Shortname]], Comp[], 26, FALSE)</f>
        <v>0</v>
      </c>
      <c r="AD224">
        <f>VLOOKUP(Table9[[#This Row],[Shortname]], Comp[], 27, FALSE)</f>
        <v>0</v>
      </c>
      <c r="AE224">
        <f>VLOOKUP(Table9[[#This Row],[Shortname]], Comp[], 28, FALSE)</f>
        <v>0</v>
      </c>
      <c r="AF224">
        <f>VLOOKUP(Table9[[#This Row],[Shortname]], Comp[], 29, FALSE)</f>
        <v>0</v>
      </c>
      <c r="AG224">
        <f>VLOOKUP(Table9[[#This Row],[Shortname]], Comp[], 30, FALSE)</f>
        <v>0</v>
      </c>
      <c r="AH224">
        <f>VLOOKUP(Table9[[#This Row],[Shortname]], Comp[], 31, FALSE)</f>
        <v>0</v>
      </c>
    </row>
    <row r="225" spans="1:34" x14ac:dyDescent="0.3">
      <c r="A225" t="s">
        <v>2216</v>
      </c>
      <c r="B225" t="s">
        <v>2218</v>
      </c>
      <c r="C225" t="s">
        <v>2211</v>
      </c>
      <c r="D225">
        <v>498</v>
      </c>
      <c r="E225">
        <v>900</v>
      </c>
      <c r="F225">
        <v>1E-4</v>
      </c>
      <c r="G225">
        <v>1</v>
      </c>
      <c r="H225" t="s">
        <v>6803</v>
      </c>
      <c r="I225">
        <f>VLOOKUP(Table9[[#This Row],[Shortname]], Comp[], 6, FALSE)</f>
        <v>292</v>
      </c>
      <c r="J225" s="14">
        <f>VLOOKUP(Table9[[#This Row],[Shortname]], Comp[], 7, FALSE)</f>
        <v>83.6</v>
      </c>
      <c r="K225">
        <f>VLOOKUP(Table9[[#This Row],[Shortname]], Comp[], 8, FALSE)</f>
        <v>0</v>
      </c>
      <c r="L225">
        <f>VLOOKUP(Table9[[#This Row],[Shortname]], Comp[], 9, FALSE)</f>
        <v>0</v>
      </c>
      <c r="M225">
        <f>VLOOKUP(Table9[[#This Row],[Shortname]], Comp[], 10, FALSE)</f>
        <v>0</v>
      </c>
      <c r="N225">
        <f>VLOOKUP(Table9[[#This Row],[Shortname]], Comp[], 11, FALSE)</f>
        <v>0</v>
      </c>
      <c r="O225">
        <f>VLOOKUP(Table9[[#This Row],[Shortname]], Comp[],12, FALSE)</f>
        <v>4.0999999999999996</v>
      </c>
      <c r="P225">
        <f>VLOOKUP(Table9[[#This Row],[Shortname]], Comp[], 13, FALSE)</f>
        <v>0</v>
      </c>
      <c r="Q225">
        <f>VLOOKUP(Table9[[#This Row],[Shortname]], Comp[], 14, FALSE)</f>
        <v>2.2000000000000002</v>
      </c>
      <c r="R225">
        <f>VLOOKUP(Table9[[#This Row],[Shortname]], Comp[], 15, FALSE)</f>
        <v>10.1</v>
      </c>
      <c r="S225">
        <f>VLOOKUP(Table9[[#This Row],[Shortname]], Comp[], 16, FALSE)</f>
        <v>0</v>
      </c>
      <c r="T225">
        <f>VLOOKUP(Table9[[#This Row],[Shortname]], Comp[], 17, FALSE)</f>
        <v>0</v>
      </c>
      <c r="U225">
        <f>VLOOKUP(Table9[[#This Row],[Shortname]], Comp[], 18, FALSE)</f>
        <v>0</v>
      </c>
      <c r="V225">
        <f>VLOOKUP(Table9[[#This Row],[Shortname]], Comp[], 19, FALSE)</f>
        <v>0</v>
      </c>
      <c r="W225">
        <f>VLOOKUP(Table9[[#This Row],[Shortname]], Comp[], 20, FALSE)</f>
        <v>0</v>
      </c>
      <c r="X225">
        <f>VLOOKUP(Table9[[#This Row],[Shortname]], Comp[], 21, FALSE)</f>
        <v>0</v>
      </c>
      <c r="Y225">
        <f>VLOOKUP(Table9[[#This Row],[Shortname]], Comp[], 22, FALSE)</f>
        <v>0</v>
      </c>
      <c r="Z225">
        <f>VLOOKUP(Table9[[#This Row],[Shortname]], Comp[], 23, FALSE)</f>
        <v>0</v>
      </c>
      <c r="AA225">
        <f>VLOOKUP(Table9[[#This Row],[Shortname]], Comp[], 24, FALSE)</f>
        <v>0</v>
      </c>
      <c r="AB225">
        <f>VLOOKUP(Table9[[#This Row],[Shortname]], Comp[], 25, FALSE)</f>
        <v>0</v>
      </c>
      <c r="AC225">
        <f>VLOOKUP(Table9[[#This Row],[Shortname]], Comp[], 26, FALSE)</f>
        <v>0</v>
      </c>
      <c r="AD225">
        <f>VLOOKUP(Table9[[#This Row],[Shortname]], Comp[], 27, FALSE)</f>
        <v>0</v>
      </c>
      <c r="AE225">
        <f>VLOOKUP(Table9[[#This Row],[Shortname]], Comp[], 28, FALSE)</f>
        <v>0</v>
      </c>
      <c r="AF225">
        <f>VLOOKUP(Table9[[#This Row],[Shortname]], Comp[], 29, FALSE)</f>
        <v>0</v>
      </c>
      <c r="AG225">
        <f>VLOOKUP(Table9[[#This Row],[Shortname]], Comp[], 30, FALSE)</f>
        <v>0</v>
      </c>
      <c r="AH225">
        <f>VLOOKUP(Table9[[#This Row],[Shortname]], Comp[], 31, FALSE)</f>
        <v>0</v>
      </c>
    </row>
    <row r="226" spans="1:34" x14ac:dyDescent="0.3">
      <c r="A226" t="s">
        <v>1456</v>
      </c>
      <c r="B226" t="s">
        <v>1458</v>
      </c>
      <c r="C226" t="s">
        <v>1459</v>
      </c>
      <c r="D226">
        <v>495</v>
      </c>
      <c r="E226">
        <v>500</v>
      </c>
      <c r="F226">
        <v>1E-4</v>
      </c>
      <c r="G226">
        <v>1</v>
      </c>
      <c r="H226" t="s">
        <v>6813</v>
      </c>
      <c r="I226">
        <f>VLOOKUP(Table9[[#This Row],[Shortname]], Comp[], 6, FALSE)</f>
        <v>186</v>
      </c>
      <c r="J226" s="14">
        <f>VLOOKUP(Table9[[#This Row],[Shortname]], Comp[], 7, FALSE)</f>
        <v>47.5</v>
      </c>
      <c r="K226">
        <f>VLOOKUP(Table9[[#This Row],[Shortname]], Comp[], 8, FALSE)</f>
        <v>31.2</v>
      </c>
      <c r="L226">
        <f>VLOOKUP(Table9[[#This Row],[Shortname]], Comp[], 9, FALSE)</f>
        <v>9.5</v>
      </c>
      <c r="M226">
        <f>VLOOKUP(Table9[[#This Row],[Shortname]], Comp[], 10, FALSE)</f>
        <v>0</v>
      </c>
      <c r="N226">
        <f>VLOOKUP(Table9[[#This Row],[Shortname]], Comp[], 11, FALSE)</f>
        <v>7.2</v>
      </c>
      <c r="O226">
        <f>VLOOKUP(Table9[[#This Row],[Shortname]], Comp[],12, FALSE)</f>
        <v>2.8</v>
      </c>
      <c r="P226">
        <f>VLOOKUP(Table9[[#This Row],[Shortname]], Comp[], 13, FALSE)</f>
        <v>1.8</v>
      </c>
      <c r="Q226">
        <f>VLOOKUP(Table9[[#This Row],[Shortname]], Comp[], 14, FALSE)</f>
        <v>0</v>
      </c>
      <c r="R226">
        <f>VLOOKUP(Table9[[#This Row],[Shortname]], Comp[], 15, FALSE)</f>
        <v>0</v>
      </c>
      <c r="S226">
        <f>VLOOKUP(Table9[[#This Row],[Shortname]], Comp[], 16, FALSE)</f>
        <v>0</v>
      </c>
      <c r="T226">
        <f>VLOOKUP(Table9[[#This Row],[Shortname]], Comp[], 17, FALSE)</f>
        <v>0</v>
      </c>
      <c r="U226">
        <f>VLOOKUP(Table9[[#This Row],[Shortname]], Comp[], 18, FALSE)</f>
        <v>0</v>
      </c>
      <c r="V226">
        <f>VLOOKUP(Table9[[#This Row],[Shortname]], Comp[], 19, FALSE)</f>
        <v>0</v>
      </c>
      <c r="W226">
        <f>VLOOKUP(Table9[[#This Row],[Shortname]], Comp[], 20, FALSE)</f>
        <v>0</v>
      </c>
      <c r="X226">
        <f>VLOOKUP(Table9[[#This Row],[Shortname]], Comp[], 21, FALSE)</f>
        <v>0</v>
      </c>
      <c r="Y226">
        <f>VLOOKUP(Table9[[#This Row],[Shortname]], Comp[], 22, FALSE)</f>
        <v>0</v>
      </c>
      <c r="Z226">
        <f>VLOOKUP(Table9[[#This Row],[Shortname]], Comp[], 23, FALSE)</f>
        <v>0</v>
      </c>
      <c r="AA226">
        <f>VLOOKUP(Table9[[#This Row],[Shortname]], Comp[], 24, FALSE)</f>
        <v>0</v>
      </c>
      <c r="AB226">
        <f>VLOOKUP(Table9[[#This Row],[Shortname]], Comp[], 25, FALSE)</f>
        <v>0</v>
      </c>
      <c r="AC226">
        <f>VLOOKUP(Table9[[#This Row],[Shortname]], Comp[], 26, FALSE)</f>
        <v>0</v>
      </c>
      <c r="AD226">
        <f>VLOOKUP(Table9[[#This Row],[Shortname]], Comp[], 27, FALSE)</f>
        <v>0</v>
      </c>
      <c r="AE226">
        <f>VLOOKUP(Table9[[#This Row],[Shortname]], Comp[], 28, FALSE)</f>
        <v>0</v>
      </c>
      <c r="AF226">
        <f>VLOOKUP(Table9[[#This Row],[Shortname]], Comp[], 29, FALSE)</f>
        <v>0</v>
      </c>
      <c r="AG226">
        <f>VLOOKUP(Table9[[#This Row],[Shortname]], Comp[], 30, FALSE)</f>
        <v>0</v>
      </c>
      <c r="AH226">
        <f>VLOOKUP(Table9[[#This Row],[Shortname]], Comp[], 31, FALSE)</f>
        <v>0</v>
      </c>
    </row>
    <row r="227" spans="1:34" x14ac:dyDescent="0.3">
      <c r="A227" t="s">
        <v>3132</v>
      </c>
      <c r="B227" t="s">
        <v>3134</v>
      </c>
      <c r="C227" t="s">
        <v>3119</v>
      </c>
      <c r="D227">
        <v>495</v>
      </c>
      <c r="E227">
        <v>800</v>
      </c>
      <c r="F227">
        <v>1E-4</v>
      </c>
      <c r="G227">
        <v>1</v>
      </c>
      <c r="H227" t="s">
        <v>6803</v>
      </c>
      <c r="I227">
        <f>VLOOKUP(Table9[[#This Row],[Shortname]], Comp[], 6, FALSE)</f>
        <v>437</v>
      </c>
      <c r="J227" s="14">
        <f>VLOOKUP(Table9[[#This Row],[Shortname]], Comp[], 7, FALSE)</f>
        <v>86</v>
      </c>
      <c r="K227">
        <f>VLOOKUP(Table9[[#This Row],[Shortname]], Comp[], 8, FALSE)</f>
        <v>0</v>
      </c>
      <c r="L227">
        <f>VLOOKUP(Table9[[#This Row],[Shortname]], Comp[], 9, FALSE)</f>
        <v>0</v>
      </c>
      <c r="M227">
        <f>VLOOKUP(Table9[[#This Row],[Shortname]], Comp[], 10, FALSE)</f>
        <v>0</v>
      </c>
      <c r="N227">
        <f>VLOOKUP(Table9[[#This Row],[Shortname]], Comp[], 11, FALSE)</f>
        <v>0</v>
      </c>
      <c r="O227">
        <f>VLOOKUP(Table9[[#This Row],[Shortname]], Comp[],12, FALSE)</f>
        <v>0</v>
      </c>
      <c r="P227">
        <f>VLOOKUP(Table9[[#This Row],[Shortname]], Comp[], 13, FALSE)</f>
        <v>2</v>
      </c>
      <c r="Q227">
        <f>VLOOKUP(Table9[[#This Row],[Shortname]], Comp[], 14, FALSE)</f>
        <v>0</v>
      </c>
      <c r="R227">
        <f>VLOOKUP(Table9[[#This Row],[Shortname]], Comp[], 15, FALSE)</f>
        <v>12</v>
      </c>
      <c r="S227">
        <f>VLOOKUP(Table9[[#This Row],[Shortname]], Comp[], 16, FALSE)</f>
        <v>0</v>
      </c>
      <c r="T227">
        <f>VLOOKUP(Table9[[#This Row],[Shortname]], Comp[], 17, FALSE)</f>
        <v>0</v>
      </c>
      <c r="U227">
        <f>VLOOKUP(Table9[[#This Row],[Shortname]], Comp[], 18, FALSE)</f>
        <v>0</v>
      </c>
      <c r="V227">
        <f>VLOOKUP(Table9[[#This Row],[Shortname]], Comp[], 19, FALSE)</f>
        <v>0</v>
      </c>
      <c r="W227">
        <f>VLOOKUP(Table9[[#This Row],[Shortname]], Comp[], 20, FALSE)</f>
        <v>0</v>
      </c>
      <c r="X227">
        <f>VLOOKUP(Table9[[#This Row],[Shortname]], Comp[], 21, FALSE)</f>
        <v>0</v>
      </c>
      <c r="Y227">
        <f>VLOOKUP(Table9[[#This Row],[Shortname]], Comp[], 22, FALSE)</f>
        <v>0</v>
      </c>
      <c r="Z227">
        <f>VLOOKUP(Table9[[#This Row],[Shortname]], Comp[], 23, FALSE)</f>
        <v>0</v>
      </c>
      <c r="AA227">
        <f>VLOOKUP(Table9[[#This Row],[Shortname]], Comp[], 24, FALSE)</f>
        <v>0</v>
      </c>
      <c r="AB227">
        <f>VLOOKUP(Table9[[#This Row],[Shortname]], Comp[], 25, FALSE)</f>
        <v>0</v>
      </c>
      <c r="AC227">
        <f>VLOOKUP(Table9[[#This Row],[Shortname]], Comp[], 26, FALSE)</f>
        <v>0</v>
      </c>
      <c r="AD227">
        <f>VLOOKUP(Table9[[#This Row],[Shortname]], Comp[], 27, FALSE)</f>
        <v>0</v>
      </c>
      <c r="AE227">
        <f>VLOOKUP(Table9[[#This Row],[Shortname]], Comp[], 28, FALSE)</f>
        <v>0</v>
      </c>
      <c r="AF227">
        <f>VLOOKUP(Table9[[#This Row],[Shortname]], Comp[], 29, FALSE)</f>
        <v>0</v>
      </c>
      <c r="AG227">
        <f>VLOOKUP(Table9[[#This Row],[Shortname]], Comp[], 30, FALSE)</f>
        <v>0</v>
      </c>
      <c r="AH227">
        <f>VLOOKUP(Table9[[#This Row],[Shortname]], Comp[], 31, FALSE)</f>
        <v>0</v>
      </c>
    </row>
    <row r="228" spans="1:34" x14ac:dyDescent="0.3">
      <c r="A228" t="s">
        <v>3425</v>
      </c>
      <c r="B228" t="s">
        <v>3425</v>
      </c>
      <c r="C228" t="s">
        <v>3401</v>
      </c>
      <c r="D228">
        <v>495</v>
      </c>
      <c r="E228">
        <v>650</v>
      </c>
      <c r="F228">
        <v>2.0000000000000001E-4</v>
      </c>
      <c r="G228">
        <v>1</v>
      </c>
      <c r="H228" t="s">
        <v>6803</v>
      </c>
      <c r="I228">
        <f>VLOOKUP(Table9[[#This Row],[Shortname]], Comp[], 6, FALSE)</f>
        <v>487</v>
      </c>
      <c r="J228" s="14">
        <f>VLOOKUP(Table9[[#This Row],[Shortname]], Comp[], 7, FALSE)</f>
        <v>80.28</v>
      </c>
      <c r="K228">
        <f>VLOOKUP(Table9[[#This Row],[Shortname]], Comp[], 8, FALSE)</f>
        <v>0</v>
      </c>
      <c r="L228">
        <f>VLOOKUP(Table9[[#This Row],[Shortname]], Comp[], 9, FALSE)</f>
        <v>9.3000000000000007</v>
      </c>
      <c r="M228">
        <f>VLOOKUP(Table9[[#This Row],[Shortname]], Comp[], 10, FALSE)</f>
        <v>0</v>
      </c>
      <c r="N228">
        <f>VLOOKUP(Table9[[#This Row],[Shortname]], Comp[], 11, FALSE)</f>
        <v>10.4</v>
      </c>
      <c r="O228">
        <f>VLOOKUP(Table9[[#This Row],[Shortname]], Comp[],12, FALSE)</f>
        <v>0</v>
      </c>
      <c r="P228">
        <f>VLOOKUP(Table9[[#This Row],[Shortname]], Comp[], 13, FALSE)</f>
        <v>0</v>
      </c>
      <c r="Q228">
        <f>VLOOKUP(Table9[[#This Row],[Shortname]], Comp[], 14, FALSE)</f>
        <v>0</v>
      </c>
      <c r="R228">
        <f>VLOOKUP(Table9[[#This Row],[Shortname]], Comp[], 15, FALSE)</f>
        <v>0</v>
      </c>
      <c r="S228">
        <f>VLOOKUP(Table9[[#This Row],[Shortname]], Comp[], 16, FALSE)</f>
        <v>0</v>
      </c>
      <c r="T228">
        <f>VLOOKUP(Table9[[#This Row],[Shortname]], Comp[], 17, FALSE)</f>
        <v>0</v>
      </c>
      <c r="U228">
        <f>VLOOKUP(Table9[[#This Row],[Shortname]], Comp[], 18, FALSE)</f>
        <v>0</v>
      </c>
      <c r="V228">
        <f>VLOOKUP(Table9[[#This Row],[Shortname]], Comp[], 19, FALSE)</f>
        <v>0.02</v>
      </c>
      <c r="W228">
        <f>VLOOKUP(Table9[[#This Row],[Shortname]], Comp[], 20, FALSE)</f>
        <v>0</v>
      </c>
      <c r="X228">
        <f>VLOOKUP(Table9[[#This Row],[Shortname]], Comp[], 21, FALSE)</f>
        <v>0</v>
      </c>
      <c r="Y228">
        <f>VLOOKUP(Table9[[#This Row],[Shortname]], Comp[], 22, FALSE)</f>
        <v>0</v>
      </c>
      <c r="Z228">
        <f>VLOOKUP(Table9[[#This Row],[Shortname]], Comp[], 23, FALSE)</f>
        <v>0</v>
      </c>
      <c r="AA228">
        <f>VLOOKUP(Table9[[#This Row],[Shortname]], Comp[], 24, FALSE)</f>
        <v>0</v>
      </c>
      <c r="AB228">
        <f>VLOOKUP(Table9[[#This Row],[Shortname]], Comp[], 25, FALSE)</f>
        <v>0</v>
      </c>
      <c r="AC228">
        <f>VLOOKUP(Table9[[#This Row],[Shortname]], Comp[], 26, FALSE)</f>
        <v>0</v>
      </c>
      <c r="AD228">
        <f>VLOOKUP(Table9[[#This Row],[Shortname]], Comp[], 27, FALSE)</f>
        <v>0</v>
      </c>
      <c r="AE228">
        <f>VLOOKUP(Table9[[#This Row],[Shortname]], Comp[], 28, FALSE)</f>
        <v>0</v>
      </c>
      <c r="AF228">
        <f>VLOOKUP(Table9[[#This Row],[Shortname]], Comp[], 29, FALSE)</f>
        <v>0</v>
      </c>
      <c r="AG228">
        <f>VLOOKUP(Table9[[#This Row],[Shortname]], Comp[], 30, FALSE)</f>
        <v>0</v>
      </c>
      <c r="AH228">
        <f>VLOOKUP(Table9[[#This Row],[Shortname]], Comp[], 31, FALSE)</f>
        <v>0</v>
      </c>
    </row>
    <row r="229" spans="1:34" x14ac:dyDescent="0.3">
      <c r="A229" t="s">
        <v>552</v>
      </c>
      <c r="B229" t="s">
        <v>6697</v>
      </c>
      <c r="C229" t="s">
        <v>499</v>
      </c>
      <c r="D229">
        <v>493</v>
      </c>
      <c r="E229">
        <v>750</v>
      </c>
      <c r="F229">
        <v>1E-4</v>
      </c>
      <c r="G229">
        <v>1</v>
      </c>
      <c r="I229">
        <f>VLOOKUP(Table9[[#This Row],[Shortname]], Comp[], 6, FALSE)</f>
        <v>71</v>
      </c>
      <c r="J229" s="14">
        <f>VLOOKUP(Table9[[#This Row],[Shortname]], Comp[], 7, FALSE)</f>
        <v>72.800000000000011</v>
      </c>
      <c r="K229">
        <f>VLOOKUP(Table9[[#This Row],[Shortname]], Comp[], 8, FALSE)</f>
        <v>10.199999999999999</v>
      </c>
      <c r="L229">
        <f>VLOOKUP(Table9[[#This Row],[Shortname]], Comp[], 9, FALSE)</f>
        <v>8.1</v>
      </c>
      <c r="M229">
        <f>VLOOKUP(Table9[[#This Row],[Shortname]], Comp[], 10, FALSE)</f>
        <v>0</v>
      </c>
      <c r="N229">
        <f>VLOOKUP(Table9[[#This Row],[Shortname]], Comp[], 11, FALSE)</f>
        <v>8.9</v>
      </c>
      <c r="O229">
        <f>VLOOKUP(Table9[[#This Row],[Shortname]], Comp[],12, FALSE)</f>
        <v>0</v>
      </c>
      <c r="P229">
        <f>VLOOKUP(Table9[[#This Row],[Shortname]], Comp[], 13, FALSE)</f>
        <v>0</v>
      </c>
      <c r="Q229">
        <f>VLOOKUP(Table9[[#This Row],[Shortname]], Comp[], 14, FALSE)</f>
        <v>0</v>
      </c>
      <c r="R229">
        <f>VLOOKUP(Table9[[#This Row],[Shortname]], Comp[], 15, FALSE)</f>
        <v>0</v>
      </c>
      <c r="S229">
        <f>VLOOKUP(Table9[[#This Row],[Shortname]], Comp[], 16, FALSE)</f>
        <v>0</v>
      </c>
      <c r="T229">
        <f>VLOOKUP(Table9[[#This Row],[Shortname]], Comp[], 17, FALSE)</f>
        <v>0</v>
      </c>
      <c r="U229">
        <f>VLOOKUP(Table9[[#This Row],[Shortname]], Comp[], 18, FALSE)</f>
        <v>0</v>
      </c>
      <c r="V229">
        <f>VLOOKUP(Table9[[#This Row],[Shortname]], Comp[], 19, FALSE)</f>
        <v>0</v>
      </c>
      <c r="W229">
        <f>VLOOKUP(Table9[[#This Row],[Shortname]], Comp[], 20, FALSE)</f>
        <v>0</v>
      </c>
      <c r="X229">
        <f>VLOOKUP(Table9[[#This Row],[Shortname]], Comp[], 21, FALSE)</f>
        <v>0</v>
      </c>
      <c r="Y229">
        <f>VLOOKUP(Table9[[#This Row],[Shortname]], Comp[], 22, FALSE)</f>
        <v>0</v>
      </c>
      <c r="Z229">
        <f>VLOOKUP(Table9[[#This Row],[Shortname]], Comp[], 23, FALSE)</f>
        <v>0</v>
      </c>
      <c r="AA229">
        <f>VLOOKUP(Table9[[#This Row],[Shortname]], Comp[], 24, FALSE)</f>
        <v>0</v>
      </c>
      <c r="AB229">
        <f>VLOOKUP(Table9[[#This Row],[Shortname]], Comp[], 25, FALSE)</f>
        <v>0</v>
      </c>
      <c r="AC229">
        <f>VLOOKUP(Table9[[#This Row],[Shortname]], Comp[], 26, FALSE)</f>
        <v>0</v>
      </c>
      <c r="AD229">
        <f>VLOOKUP(Table9[[#This Row],[Shortname]], Comp[], 27, FALSE)</f>
        <v>0</v>
      </c>
      <c r="AE229">
        <f>VLOOKUP(Table9[[#This Row],[Shortname]], Comp[], 28, FALSE)</f>
        <v>0</v>
      </c>
      <c r="AF229">
        <f>VLOOKUP(Table9[[#This Row],[Shortname]], Comp[], 29, FALSE)</f>
        <v>0</v>
      </c>
      <c r="AG229">
        <f>VLOOKUP(Table9[[#This Row],[Shortname]], Comp[], 30, FALSE)</f>
        <v>0</v>
      </c>
      <c r="AH229">
        <f>VLOOKUP(Table9[[#This Row],[Shortname]], Comp[], 31, FALSE)</f>
        <v>0</v>
      </c>
    </row>
    <row r="230" spans="1:34" x14ac:dyDescent="0.3">
      <c r="A230" t="s">
        <v>3425</v>
      </c>
      <c r="B230" t="s">
        <v>3425</v>
      </c>
      <c r="C230" t="s">
        <v>3401</v>
      </c>
      <c r="D230">
        <v>492</v>
      </c>
      <c r="E230">
        <v>980</v>
      </c>
      <c r="F230">
        <v>2.0000000000000001E-4</v>
      </c>
      <c r="G230">
        <v>1</v>
      </c>
      <c r="H230" t="s">
        <v>6803</v>
      </c>
      <c r="I230">
        <f>VLOOKUP(Table9[[#This Row],[Shortname]], Comp[], 6, FALSE)</f>
        <v>487</v>
      </c>
      <c r="J230" s="14">
        <f>VLOOKUP(Table9[[#This Row],[Shortname]], Comp[], 7, FALSE)</f>
        <v>80.28</v>
      </c>
      <c r="K230">
        <f>VLOOKUP(Table9[[#This Row],[Shortname]], Comp[], 8, FALSE)</f>
        <v>0</v>
      </c>
      <c r="L230">
        <f>VLOOKUP(Table9[[#This Row],[Shortname]], Comp[], 9, FALSE)</f>
        <v>9.3000000000000007</v>
      </c>
      <c r="M230">
        <f>VLOOKUP(Table9[[#This Row],[Shortname]], Comp[], 10, FALSE)</f>
        <v>0</v>
      </c>
      <c r="N230">
        <f>VLOOKUP(Table9[[#This Row],[Shortname]], Comp[], 11, FALSE)</f>
        <v>10.4</v>
      </c>
      <c r="O230">
        <f>VLOOKUP(Table9[[#This Row],[Shortname]], Comp[],12, FALSE)</f>
        <v>0</v>
      </c>
      <c r="P230">
        <f>VLOOKUP(Table9[[#This Row],[Shortname]], Comp[], 13, FALSE)</f>
        <v>0</v>
      </c>
      <c r="Q230">
        <f>VLOOKUP(Table9[[#This Row],[Shortname]], Comp[], 14, FALSE)</f>
        <v>0</v>
      </c>
      <c r="R230">
        <f>VLOOKUP(Table9[[#This Row],[Shortname]], Comp[], 15, FALSE)</f>
        <v>0</v>
      </c>
      <c r="S230">
        <f>VLOOKUP(Table9[[#This Row],[Shortname]], Comp[], 16, FALSE)</f>
        <v>0</v>
      </c>
      <c r="T230">
        <f>VLOOKUP(Table9[[#This Row],[Shortname]], Comp[], 17, FALSE)</f>
        <v>0</v>
      </c>
      <c r="U230">
        <f>VLOOKUP(Table9[[#This Row],[Shortname]], Comp[], 18, FALSE)</f>
        <v>0</v>
      </c>
      <c r="V230">
        <f>VLOOKUP(Table9[[#This Row],[Shortname]], Comp[], 19, FALSE)</f>
        <v>0.02</v>
      </c>
      <c r="W230">
        <f>VLOOKUP(Table9[[#This Row],[Shortname]], Comp[], 20, FALSE)</f>
        <v>0</v>
      </c>
      <c r="X230">
        <f>VLOOKUP(Table9[[#This Row],[Shortname]], Comp[], 21, FALSE)</f>
        <v>0</v>
      </c>
      <c r="Y230">
        <f>VLOOKUP(Table9[[#This Row],[Shortname]], Comp[], 22, FALSE)</f>
        <v>0</v>
      </c>
      <c r="Z230">
        <f>VLOOKUP(Table9[[#This Row],[Shortname]], Comp[], 23, FALSE)</f>
        <v>0</v>
      </c>
      <c r="AA230">
        <f>VLOOKUP(Table9[[#This Row],[Shortname]], Comp[], 24, FALSE)</f>
        <v>0</v>
      </c>
      <c r="AB230">
        <f>VLOOKUP(Table9[[#This Row],[Shortname]], Comp[], 25, FALSE)</f>
        <v>0</v>
      </c>
      <c r="AC230">
        <f>VLOOKUP(Table9[[#This Row],[Shortname]], Comp[], 26, FALSE)</f>
        <v>0</v>
      </c>
      <c r="AD230">
        <f>VLOOKUP(Table9[[#This Row],[Shortname]], Comp[], 27, FALSE)</f>
        <v>0</v>
      </c>
      <c r="AE230">
        <f>VLOOKUP(Table9[[#This Row],[Shortname]], Comp[], 28, FALSE)</f>
        <v>0</v>
      </c>
      <c r="AF230">
        <f>VLOOKUP(Table9[[#This Row],[Shortname]], Comp[], 29, FALSE)</f>
        <v>0</v>
      </c>
      <c r="AG230">
        <f>VLOOKUP(Table9[[#This Row],[Shortname]], Comp[], 30, FALSE)</f>
        <v>0</v>
      </c>
      <c r="AH230">
        <f>VLOOKUP(Table9[[#This Row],[Shortname]], Comp[], 31, FALSE)</f>
        <v>0</v>
      </c>
    </row>
    <row r="231" spans="1:34" x14ac:dyDescent="0.3">
      <c r="A231" t="s">
        <v>1465</v>
      </c>
      <c r="B231" t="s">
        <v>1467</v>
      </c>
      <c r="C231" t="s">
        <v>1459</v>
      </c>
      <c r="D231">
        <v>490</v>
      </c>
      <c r="E231">
        <v>700</v>
      </c>
      <c r="F231">
        <v>1E-4</v>
      </c>
      <c r="G231">
        <v>1</v>
      </c>
      <c r="H231" t="s">
        <v>6813</v>
      </c>
      <c r="I231">
        <f>VLOOKUP(Table9[[#This Row],[Shortname]], Comp[], 6, FALSE)</f>
        <v>187</v>
      </c>
      <c r="J231" s="14">
        <f>VLOOKUP(Table9[[#This Row],[Shortname]], Comp[], 7, FALSE)</f>
        <v>52.8</v>
      </c>
      <c r="K231">
        <f>VLOOKUP(Table9[[#This Row],[Shortname]], Comp[], 8, FALSE)</f>
        <v>30.5</v>
      </c>
      <c r="L231">
        <f>VLOOKUP(Table9[[#This Row],[Shortname]], Comp[], 9, FALSE)</f>
        <v>9.6</v>
      </c>
      <c r="M231">
        <f>VLOOKUP(Table9[[#This Row],[Shortname]], Comp[], 10, FALSE)</f>
        <v>0</v>
      </c>
      <c r="N231">
        <f>VLOOKUP(Table9[[#This Row],[Shortname]], Comp[], 11, FALSE)</f>
        <v>7.1</v>
      </c>
      <c r="O231">
        <f>VLOOKUP(Table9[[#This Row],[Shortname]], Comp[],12, FALSE)</f>
        <v>0</v>
      </c>
      <c r="P231">
        <f>VLOOKUP(Table9[[#This Row],[Shortname]], Comp[], 13, FALSE)</f>
        <v>0</v>
      </c>
      <c r="Q231">
        <f>VLOOKUP(Table9[[#This Row],[Shortname]], Comp[], 14, FALSE)</f>
        <v>0</v>
      </c>
      <c r="R231">
        <f>VLOOKUP(Table9[[#This Row],[Shortname]], Comp[], 15, FALSE)</f>
        <v>0</v>
      </c>
      <c r="S231">
        <f>VLOOKUP(Table9[[#This Row],[Shortname]], Comp[], 16, FALSE)</f>
        <v>0</v>
      </c>
      <c r="T231">
        <f>VLOOKUP(Table9[[#This Row],[Shortname]], Comp[], 17, FALSE)</f>
        <v>0</v>
      </c>
      <c r="U231">
        <f>VLOOKUP(Table9[[#This Row],[Shortname]], Comp[], 18, FALSE)</f>
        <v>0</v>
      </c>
      <c r="V231">
        <f>VLOOKUP(Table9[[#This Row],[Shortname]], Comp[], 19, FALSE)</f>
        <v>0</v>
      </c>
      <c r="W231">
        <f>VLOOKUP(Table9[[#This Row],[Shortname]], Comp[], 20, FALSE)</f>
        <v>0</v>
      </c>
      <c r="X231">
        <f>VLOOKUP(Table9[[#This Row],[Shortname]], Comp[], 21, FALSE)</f>
        <v>0</v>
      </c>
      <c r="Y231">
        <f>VLOOKUP(Table9[[#This Row],[Shortname]], Comp[], 22, FALSE)</f>
        <v>0</v>
      </c>
      <c r="Z231">
        <f>VLOOKUP(Table9[[#This Row],[Shortname]], Comp[], 23, FALSE)</f>
        <v>0</v>
      </c>
      <c r="AA231">
        <f>VLOOKUP(Table9[[#This Row],[Shortname]], Comp[], 24, FALSE)</f>
        <v>0</v>
      </c>
      <c r="AB231">
        <f>VLOOKUP(Table9[[#This Row],[Shortname]], Comp[], 25, FALSE)</f>
        <v>0</v>
      </c>
      <c r="AC231">
        <f>VLOOKUP(Table9[[#This Row],[Shortname]], Comp[], 26, FALSE)</f>
        <v>0</v>
      </c>
      <c r="AD231">
        <f>VLOOKUP(Table9[[#This Row],[Shortname]], Comp[], 27, FALSE)</f>
        <v>0</v>
      </c>
      <c r="AE231">
        <f>VLOOKUP(Table9[[#This Row],[Shortname]], Comp[], 28, FALSE)</f>
        <v>0</v>
      </c>
      <c r="AF231">
        <f>VLOOKUP(Table9[[#This Row],[Shortname]], Comp[], 29, FALSE)</f>
        <v>0</v>
      </c>
      <c r="AG231">
        <f>VLOOKUP(Table9[[#This Row],[Shortname]], Comp[], 30, FALSE)</f>
        <v>0</v>
      </c>
      <c r="AH231">
        <f>VLOOKUP(Table9[[#This Row],[Shortname]], Comp[], 31, FALSE)</f>
        <v>0</v>
      </c>
    </row>
    <row r="232" spans="1:34" x14ac:dyDescent="0.3">
      <c r="A232" t="s">
        <v>5053</v>
      </c>
      <c r="B232" t="s">
        <v>3927</v>
      </c>
      <c r="C232" t="s">
        <v>5054</v>
      </c>
      <c r="D232">
        <v>489.64</v>
      </c>
      <c r="E232">
        <v>770</v>
      </c>
      <c r="F232">
        <v>1E-3</v>
      </c>
      <c r="G232">
        <v>1</v>
      </c>
      <c r="I232">
        <f>VLOOKUP(Table9[[#This Row],[Shortname]], Comp[], 6, FALSE)</f>
        <v>779</v>
      </c>
      <c r="J232" s="14">
        <f>VLOOKUP(Table9[[#This Row],[Shortname]], Comp[], 7, FALSE)</f>
        <v>53</v>
      </c>
      <c r="K232">
        <f>VLOOKUP(Table9[[#This Row],[Shortname]], Comp[], 8, FALSE)</f>
        <v>30</v>
      </c>
      <c r="L232">
        <f>VLOOKUP(Table9[[#This Row],[Shortname]], Comp[], 9, FALSE)</f>
        <v>10</v>
      </c>
      <c r="M232">
        <f>VLOOKUP(Table9[[#This Row],[Shortname]], Comp[], 10, FALSE)</f>
        <v>0</v>
      </c>
      <c r="N232">
        <f>VLOOKUP(Table9[[#This Row],[Shortname]], Comp[], 11, FALSE)</f>
        <v>0</v>
      </c>
      <c r="O232">
        <f>VLOOKUP(Table9[[#This Row],[Shortname]], Comp[],12, FALSE)</f>
        <v>0</v>
      </c>
      <c r="P232">
        <f>VLOOKUP(Table9[[#This Row],[Shortname]], Comp[], 13, FALSE)</f>
        <v>0</v>
      </c>
      <c r="Q232">
        <f>VLOOKUP(Table9[[#This Row],[Shortname]], Comp[], 14, FALSE)</f>
        <v>2</v>
      </c>
      <c r="R232">
        <f>VLOOKUP(Table9[[#This Row],[Shortname]], Comp[], 15, FALSE)</f>
        <v>0</v>
      </c>
      <c r="S232">
        <f>VLOOKUP(Table9[[#This Row],[Shortname]], Comp[], 16, FALSE)</f>
        <v>5</v>
      </c>
      <c r="T232">
        <f>VLOOKUP(Table9[[#This Row],[Shortname]], Comp[], 17, FALSE)</f>
        <v>0</v>
      </c>
      <c r="U232">
        <f>VLOOKUP(Table9[[#This Row],[Shortname]], Comp[], 18, FALSE)</f>
        <v>0</v>
      </c>
      <c r="V232">
        <f>VLOOKUP(Table9[[#This Row],[Shortname]], Comp[], 19, FALSE)</f>
        <v>0</v>
      </c>
      <c r="W232">
        <f>VLOOKUP(Table9[[#This Row],[Shortname]], Comp[], 20, FALSE)</f>
        <v>0</v>
      </c>
      <c r="X232">
        <f>VLOOKUP(Table9[[#This Row],[Shortname]], Comp[], 21, FALSE)</f>
        <v>0</v>
      </c>
      <c r="Y232">
        <f>VLOOKUP(Table9[[#This Row],[Shortname]], Comp[], 22, FALSE)</f>
        <v>0</v>
      </c>
      <c r="Z232">
        <f>VLOOKUP(Table9[[#This Row],[Shortname]], Comp[], 23, FALSE)</f>
        <v>0</v>
      </c>
      <c r="AA232">
        <f>VLOOKUP(Table9[[#This Row],[Shortname]], Comp[], 24, FALSE)</f>
        <v>0</v>
      </c>
      <c r="AB232">
        <f>VLOOKUP(Table9[[#This Row],[Shortname]], Comp[], 25, FALSE)</f>
        <v>0</v>
      </c>
      <c r="AC232">
        <f>VLOOKUP(Table9[[#This Row],[Shortname]], Comp[], 26, FALSE)</f>
        <v>0</v>
      </c>
      <c r="AD232">
        <f>VLOOKUP(Table9[[#This Row],[Shortname]], Comp[], 27, FALSE)</f>
        <v>0</v>
      </c>
      <c r="AE232">
        <f>VLOOKUP(Table9[[#This Row],[Shortname]], Comp[], 28, FALSE)</f>
        <v>0</v>
      </c>
      <c r="AF232">
        <f>VLOOKUP(Table9[[#This Row],[Shortname]], Comp[], 29, FALSE)</f>
        <v>0</v>
      </c>
      <c r="AG232">
        <f>VLOOKUP(Table9[[#This Row],[Shortname]], Comp[], 30, FALSE)</f>
        <v>0</v>
      </c>
      <c r="AH232">
        <f>VLOOKUP(Table9[[#This Row],[Shortname]], Comp[], 31, FALSE)</f>
        <v>0</v>
      </c>
    </row>
    <row r="233" spans="1:34" x14ac:dyDescent="0.3">
      <c r="A233" t="s">
        <v>3429</v>
      </c>
      <c r="B233" t="s">
        <v>3429</v>
      </c>
      <c r="C233" t="s">
        <v>3401</v>
      </c>
      <c r="D233">
        <v>489</v>
      </c>
      <c r="E233">
        <v>650</v>
      </c>
      <c r="F233">
        <v>2.0000000000000001E-4</v>
      </c>
      <c r="G233">
        <v>1</v>
      </c>
      <c r="H233" t="s">
        <v>6803</v>
      </c>
      <c r="I233">
        <f>VLOOKUP(Table9[[#This Row],[Shortname]], Comp[], 6, FALSE)</f>
        <v>488</v>
      </c>
      <c r="J233" s="14">
        <f>VLOOKUP(Table9[[#This Row],[Shortname]], Comp[], 7, FALSE)</f>
        <v>81.3</v>
      </c>
      <c r="K233">
        <f>VLOOKUP(Table9[[#This Row],[Shortname]], Comp[], 8, FALSE)</f>
        <v>0</v>
      </c>
      <c r="L233">
        <f>VLOOKUP(Table9[[#This Row],[Shortname]], Comp[], 9, FALSE)</f>
        <v>9.1999999999999993</v>
      </c>
      <c r="M233">
        <f>VLOOKUP(Table9[[#This Row],[Shortname]], Comp[], 10, FALSE)</f>
        <v>0</v>
      </c>
      <c r="N233">
        <f>VLOOKUP(Table9[[#This Row],[Shortname]], Comp[], 11, FALSE)</f>
        <v>9.5</v>
      </c>
      <c r="O233">
        <f>VLOOKUP(Table9[[#This Row],[Shortname]], Comp[],12, FALSE)</f>
        <v>0</v>
      </c>
      <c r="P233">
        <f>VLOOKUP(Table9[[#This Row],[Shortname]], Comp[], 13, FALSE)</f>
        <v>0</v>
      </c>
      <c r="Q233">
        <f>VLOOKUP(Table9[[#This Row],[Shortname]], Comp[], 14, FALSE)</f>
        <v>0</v>
      </c>
      <c r="R233">
        <f>VLOOKUP(Table9[[#This Row],[Shortname]], Comp[], 15, FALSE)</f>
        <v>0</v>
      </c>
      <c r="S233">
        <f>VLOOKUP(Table9[[#This Row],[Shortname]], Comp[], 16, FALSE)</f>
        <v>0</v>
      </c>
      <c r="T233">
        <f>VLOOKUP(Table9[[#This Row],[Shortname]], Comp[], 17, FALSE)</f>
        <v>0</v>
      </c>
      <c r="U233">
        <f>VLOOKUP(Table9[[#This Row],[Shortname]], Comp[], 18, FALSE)</f>
        <v>0</v>
      </c>
      <c r="V233">
        <f>VLOOKUP(Table9[[#This Row],[Shortname]], Comp[], 19, FALSE)</f>
        <v>0</v>
      </c>
      <c r="W233">
        <f>VLOOKUP(Table9[[#This Row],[Shortname]], Comp[], 20, FALSE)</f>
        <v>0</v>
      </c>
      <c r="X233">
        <f>VLOOKUP(Table9[[#This Row],[Shortname]], Comp[], 21, FALSE)</f>
        <v>0</v>
      </c>
      <c r="Y233">
        <f>VLOOKUP(Table9[[#This Row],[Shortname]], Comp[], 22, FALSE)</f>
        <v>0</v>
      </c>
      <c r="Z233">
        <f>VLOOKUP(Table9[[#This Row],[Shortname]], Comp[], 23, FALSE)</f>
        <v>0</v>
      </c>
      <c r="AA233">
        <f>VLOOKUP(Table9[[#This Row],[Shortname]], Comp[], 24, FALSE)</f>
        <v>0</v>
      </c>
      <c r="AB233">
        <f>VLOOKUP(Table9[[#This Row],[Shortname]], Comp[], 25, FALSE)</f>
        <v>0</v>
      </c>
      <c r="AC233">
        <f>VLOOKUP(Table9[[#This Row],[Shortname]], Comp[], 26, FALSE)</f>
        <v>0</v>
      </c>
      <c r="AD233">
        <f>VLOOKUP(Table9[[#This Row],[Shortname]], Comp[], 27, FALSE)</f>
        <v>0</v>
      </c>
      <c r="AE233">
        <f>VLOOKUP(Table9[[#This Row],[Shortname]], Comp[], 28, FALSE)</f>
        <v>0</v>
      </c>
      <c r="AF233">
        <f>VLOOKUP(Table9[[#This Row],[Shortname]], Comp[], 29, FALSE)</f>
        <v>0</v>
      </c>
      <c r="AG233">
        <f>VLOOKUP(Table9[[#This Row],[Shortname]], Comp[], 30, FALSE)</f>
        <v>0</v>
      </c>
      <c r="AH233">
        <f>VLOOKUP(Table9[[#This Row],[Shortname]], Comp[], 31, FALSE)</f>
        <v>0</v>
      </c>
    </row>
    <row r="234" spans="1:34" x14ac:dyDescent="0.3">
      <c r="A234" t="s">
        <v>2208</v>
      </c>
      <c r="B234" t="s">
        <v>2210</v>
      </c>
      <c r="C234" t="s">
        <v>2211</v>
      </c>
      <c r="D234">
        <v>488</v>
      </c>
      <c r="E234">
        <v>800</v>
      </c>
      <c r="F234">
        <v>1E-4</v>
      </c>
      <c r="G234">
        <v>1</v>
      </c>
      <c r="H234" t="s">
        <v>6803</v>
      </c>
      <c r="I234">
        <f>VLOOKUP(Table9[[#This Row],[Shortname]], Comp[], 6, FALSE)</f>
        <v>291</v>
      </c>
      <c r="J234" s="14">
        <f>VLOOKUP(Table9[[#This Row],[Shortname]], Comp[], 7, FALSE)</f>
        <v>83.7</v>
      </c>
      <c r="K234">
        <f>VLOOKUP(Table9[[#This Row],[Shortname]], Comp[], 8, FALSE)</f>
        <v>0</v>
      </c>
      <c r="L234">
        <f>VLOOKUP(Table9[[#This Row],[Shortname]], Comp[], 9, FALSE)</f>
        <v>0</v>
      </c>
      <c r="M234">
        <f>VLOOKUP(Table9[[#This Row],[Shortname]], Comp[], 10, FALSE)</f>
        <v>0</v>
      </c>
      <c r="N234">
        <f>VLOOKUP(Table9[[#This Row],[Shortname]], Comp[], 11, FALSE)</f>
        <v>0</v>
      </c>
      <c r="O234">
        <f>VLOOKUP(Table9[[#This Row],[Shortname]], Comp[],12, FALSE)</f>
        <v>4.2</v>
      </c>
      <c r="P234">
        <f>VLOOKUP(Table9[[#This Row],[Shortname]], Comp[], 13, FALSE)</f>
        <v>0</v>
      </c>
      <c r="Q234">
        <f>VLOOKUP(Table9[[#This Row],[Shortname]], Comp[], 14, FALSE)</f>
        <v>0</v>
      </c>
      <c r="R234">
        <f>VLOOKUP(Table9[[#This Row],[Shortname]], Comp[], 15, FALSE)</f>
        <v>12.1</v>
      </c>
      <c r="S234">
        <f>VLOOKUP(Table9[[#This Row],[Shortname]], Comp[], 16, FALSE)</f>
        <v>0</v>
      </c>
      <c r="T234">
        <f>VLOOKUP(Table9[[#This Row],[Shortname]], Comp[], 17, FALSE)</f>
        <v>0</v>
      </c>
      <c r="U234">
        <f>VLOOKUP(Table9[[#This Row],[Shortname]], Comp[], 18, FALSE)</f>
        <v>0</v>
      </c>
      <c r="V234">
        <f>VLOOKUP(Table9[[#This Row],[Shortname]], Comp[], 19, FALSE)</f>
        <v>0</v>
      </c>
      <c r="W234">
        <f>VLOOKUP(Table9[[#This Row],[Shortname]], Comp[], 20, FALSE)</f>
        <v>0</v>
      </c>
      <c r="X234">
        <f>VLOOKUP(Table9[[#This Row],[Shortname]], Comp[], 21, FALSE)</f>
        <v>0</v>
      </c>
      <c r="Y234">
        <f>VLOOKUP(Table9[[#This Row],[Shortname]], Comp[], 22, FALSE)</f>
        <v>0</v>
      </c>
      <c r="Z234">
        <f>VLOOKUP(Table9[[#This Row],[Shortname]], Comp[], 23, FALSE)</f>
        <v>0</v>
      </c>
      <c r="AA234">
        <f>VLOOKUP(Table9[[#This Row],[Shortname]], Comp[], 24, FALSE)</f>
        <v>0</v>
      </c>
      <c r="AB234">
        <f>VLOOKUP(Table9[[#This Row],[Shortname]], Comp[], 25, FALSE)</f>
        <v>0</v>
      </c>
      <c r="AC234">
        <f>VLOOKUP(Table9[[#This Row],[Shortname]], Comp[], 26, FALSE)</f>
        <v>0</v>
      </c>
      <c r="AD234">
        <f>VLOOKUP(Table9[[#This Row],[Shortname]], Comp[], 27, FALSE)</f>
        <v>0</v>
      </c>
      <c r="AE234">
        <f>VLOOKUP(Table9[[#This Row],[Shortname]], Comp[], 28, FALSE)</f>
        <v>0</v>
      </c>
      <c r="AF234">
        <f>VLOOKUP(Table9[[#This Row],[Shortname]], Comp[], 29, FALSE)</f>
        <v>0</v>
      </c>
      <c r="AG234">
        <f>VLOOKUP(Table9[[#This Row],[Shortname]], Comp[], 30, FALSE)</f>
        <v>0</v>
      </c>
      <c r="AH234">
        <f>VLOOKUP(Table9[[#This Row],[Shortname]], Comp[], 31, FALSE)</f>
        <v>0</v>
      </c>
    </row>
    <row r="235" spans="1:34" x14ac:dyDescent="0.3">
      <c r="A235" t="s">
        <v>1599</v>
      </c>
      <c r="B235" t="s">
        <v>1601</v>
      </c>
      <c r="C235" t="s">
        <v>1568</v>
      </c>
      <c r="D235">
        <v>487</v>
      </c>
      <c r="E235">
        <v>750</v>
      </c>
      <c r="F235">
        <v>1E-4</v>
      </c>
      <c r="G235">
        <v>1</v>
      </c>
      <c r="H235" t="s">
        <v>6803</v>
      </c>
      <c r="I235">
        <f>VLOOKUP(Table9[[#This Row],[Shortname]], Comp[], 6, FALSE)</f>
        <v>203</v>
      </c>
      <c r="J235" s="14">
        <f>VLOOKUP(Table9[[#This Row],[Shortname]], Comp[], 7, FALSE)</f>
        <v>43.760000000000005</v>
      </c>
      <c r="K235">
        <f>VLOOKUP(Table9[[#This Row],[Shortname]], Comp[], 8, FALSE)</f>
        <v>29.91</v>
      </c>
      <c r="L235">
        <f>VLOOKUP(Table9[[#This Row],[Shortname]], Comp[], 9, FALSE)</f>
        <v>9.0299999999999994</v>
      </c>
      <c r="M235">
        <f>VLOOKUP(Table9[[#This Row],[Shortname]], Comp[], 10, FALSE)</f>
        <v>12.19</v>
      </c>
      <c r="N235">
        <f>VLOOKUP(Table9[[#This Row],[Shortname]], Comp[], 11, FALSE)</f>
        <v>4.07</v>
      </c>
      <c r="O235">
        <f>VLOOKUP(Table9[[#This Row],[Shortname]], Comp[],12, FALSE)</f>
        <v>0</v>
      </c>
      <c r="P235">
        <f>VLOOKUP(Table9[[#This Row],[Shortname]], Comp[], 13, FALSE)</f>
        <v>0</v>
      </c>
      <c r="Q235">
        <f>VLOOKUP(Table9[[#This Row],[Shortname]], Comp[], 14, FALSE)</f>
        <v>1.04</v>
      </c>
      <c r="R235">
        <f>VLOOKUP(Table9[[#This Row],[Shortname]], Comp[], 15, FALSE)</f>
        <v>0</v>
      </c>
      <c r="S235">
        <f>VLOOKUP(Table9[[#This Row],[Shortname]], Comp[], 16, FALSE)</f>
        <v>0</v>
      </c>
      <c r="T235">
        <f>VLOOKUP(Table9[[#This Row],[Shortname]], Comp[], 17, FALSE)</f>
        <v>0</v>
      </c>
      <c r="U235">
        <f>VLOOKUP(Table9[[#This Row],[Shortname]], Comp[], 18, FALSE)</f>
        <v>0</v>
      </c>
      <c r="V235">
        <f>VLOOKUP(Table9[[#This Row],[Shortname]], Comp[], 19, FALSE)</f>
        <v>0</v>
      </c>
      <c r="W235">
        <f>VLOOKUP(Table9[[#This Row],[Shortname]], Comp[], 20, FALSE)</f>
        <v>0</v>
      </c>
      <c r="X235">
        <f>VLOOKUP(Table9[[#This Row],[Shortname]], Comp[], 21, FALSE)</f>
        <v>0</v>
      </c>
      <c r="Y235">
        <f>VLOOKUP(Table9[[#This Row],[Shortname]], Comp[], 22, FALSE)</f>
        <v>0</v>
      </c>
      <c r="Z235">
        <f>VLOOKUP(Table9[[#This Row],[Shortname]], Comp[], 23, FALSE)</f>
        <v>0</v>
      </c>
      <c r="AA235">
        <f>VLOOKUP(Table9[[#This Row],[Shortname]], Comp[], 24, FALSE)</f>
        <v>0</v>
      </c>
      <c r="AB235">
        <f>VLOOKUP(Table9[[#This Row],[Shortname]], Comp[], 25, FALSE)</f>
        <v>0</v>
      </c>
      <c r="AC235">
        <f>VLOOKUP(Table9[[#This Row],[Shortname]], Comp[], 26, FALSE)</f>
        <v>0</v>
      </c>
      <c r="AD235">
        <f>VLOOKUP(Table9[[#This Row],[Shortname]], Comp[], 27, FALSE)</f>
        <v>0</v>
      </c>
      <c r="AE235">
        <f>VLOOKUP(Table9[[#This Row],[Shortname]], Comp[], 28, FALSE)</f>
        <v>0</v>
      </c>
      <c r="AF235">
        <f>VLOOKUP(Table9[[#This Row],[Shortname]], Comp[], 29, FALSE)</f>
        <v>0</v>
      </c>
      <c r="AG235">
        <f>VLOOKUP(Table9[[#This Row],[Shortname]], Comp[], 30, FALSE)</f>
        <v>0</v>
      </c>
      <c r="AH235">
        <f>VLOOKUP(Table9[[#This Row],[Shortname]], Comp[], 31, FALSE)</f>
        <v>0</v>
      </c>
    </row>
    <row r="236" spans="1:34" x14ac:dyDescent="0.3">
      <c r="A236" t="s">
        <v>3482</v>
      </c>
      <c r="B236" t="s">
        <v>3483</v>
      </c>
      <c r="C236" t="s">
        <v>3480</v>
      </c>
      <c r="D236">
        <v>483</v>
      </c>
      <c r="E236">
        <v>700</v>
      </c>
      <c r="F236">
        <v>1E-4</v>
      </c>
      <c r="G236">
        <v>1</v>
      </c>
      <c r="H236" t="s">
        <v>6803</v>
      </c>
      <c r="I236">
        <f>VLOOKUP(Table9[[#This Row],[Shortname]], Comp[], 6, FALSE)</f>
        <v>499</v>
      </c>
      <c r="J236" s="14">
        <f>VLOOKUP(Table9[[#This Row],[Shortname]], Comp[], 7, FALSE)</f>
        <v>77.900000000000006</v>
      </c>
      <c r="K236">
        <f>VLOOKUP(Table9[[#This Row],[Shortname]], Comp[], 8, FALSE)</f>
        <v>0</v>
      </c>
      <c r="L236">
        <f>VLOOKUP(Table9[[#This Row],[Shortname]], Comp[], 9, FALSE)</f>
        <v>7.8</v>
      </c>
      <c r="M236">
        <f>VLOOKUP(Table9[[#This Row],[Shortname]], Comp[], 10, FALSE)</f>
        <v>4.5</v>
      </c>
      <c r="N236">
        <f>VLOOKUP(Table9[[#This Row],[Shortname]], Comp[], 11, FALSE)</f>
        <v>7.8</v>
      </c>
      <c r="O236">
        <f>VLOOKUP(Table9[[#This Row],[Shortname]], Comp[],12, FALSE)</f>
        <v>0</v>
      </c>
      <c r="P236">
        <f>VLOOKUP(Table9[[#This Row],[Shortname]], Comp[], 13, FALSE)</f>
        <v>2</v>
      </c>
      <c r="Q236">
        <f>VLOOKUP(Table9[[#This Row],[Shortname]], Comp[], 14, FALSE)</f>
        <v>0</v>
      </c>
      <c r="R236">
        <f>VLOOKUP(Table9[[#This Row],[Shortname]], Comp[], 15, FALSE)</f>
        <v>0</v>
      </c>
      <c r="S236">
        <f>VLOOKUP(Table9[[#This Row],[Shortname]], Comp[], 16, FALSE)</f>
        <v>0</v>
      </c>
      <c r="T236">
        <f>VLOOKUP(Table9[[#This Row],[Shortname]], Comp[], 17, FALSE)</f>
        <v>0</v>
      </c>
      <c r="U236">
        <f>VLOOKUP(Table9[[#This Row],[Shortname]], Comp[], 18, FALSE)</f>
        <v>0</v>
      </c>
      <c r="V236">
        <f>VLOOKUP(Table9[[#This Row],[Shortname]], Comp[], 19, FALSE)</f>
        <v>0</v>
      </c>
      <c r="W236">
        <f>VLOOKUP(Table9[[#This Row],[Shortname]], Comp[], 20, FALSE)</f>
        <v>0</v>
      </c>
      <c r="X236">
        <f>VLOOKUP(Table9[[#This Row],[Shortname]], Comp[], 21, FALSE)</f>
        <v>0</v>
      </c>
      <c r="Y236">
        <f>VLOOKUP(Table9[[#This Row],[Shortname]], Comp[], 22, FALSE)</f>
        <v>0</v>
      </c>
      <c r="Z236">
        <f>VLOOKUP(Table9[[#This Row],[Shortname]], Comp[], 23, FALSE)</f>
        <v>0</v>
      </c>
      <c r="AA236">
        <f>VLOOKUP(Table9[[#This Row],[Shortname]], Comp[], 24, FALSE)</f>
        <v>0</v>
      </c>
      <c r="AB236">
        <f>VLOOKUP(Table9[[#This Row],[Shortname]], Comp[], 25, FALSE)</f>
        <v>0</v>
      </c>
      <c r="AC236">
        <f>VLOOKUP(Table9[[#This Row],[Shortname]], Comp[], 26, FALSE)</f>
        <v>0</v>
      </c>
      <c r="AD236">
        <f>VLOOKUP(Table9[[#This Row],[Shortname]], Comp[], 27, FALSE)</f>
        <v>0</v>
      </c>
      <c r="AE236">
        <f>VLOOKUP(Table9[[#This Row],[Shortname]], Comp[], 28, FALSE)</f>
        <v>0</v>
      </c>
      <c r="AF236">
        <f>VLOOKUP(Table9[[#This Row],[Shortname]], Comp[], 29, FALSE)</f>
        <v>0</v>
      </c>
      <c r="AG236">
        <f>VLOOKUP(Table9[[#This Row],[Shortname]], Comp[], 30, FALSE)</f>
        <v>0</v>
      </c>
      <c r="AH236">
        <f>VLOOKUP(Table9[[#This Row],[Shortname]], Comp[], 31, FALSE)</f>
        <v>0</v>
      </c>
    </row>
    <row r="237" spans="1:34" x14ac:dyDescent="0.3">
      <c r="A237" t="s">
        <v>1456</v>
      </c>
      <c r="B237" t="s">
        <v>1458</v>
      </c>
      <c r="C237" t="s">
        <v>1459</v>
      </c>
      <c r="D237">
        <v>482</v>
      </c>
      <c r="E237">
        <v>1000</v>
      </c>
      <c r="F237">
        <v>1E-4</v>
      </c>
      <c r="G237">
        <v>1</v>
      </c>
      <c r="H237" t="s">
        <v>6813</v>
      </c>
      <c r="I237">
        <f>VLOOKUP(Table9[[#This Row],[Shortname]], Comp[], 6, FALSE)</f>
        <v>186</v>
      </c>
      <c r="J237" s="14">
        <f>VLOOKUP(Table9[[#This Row],[Shortname]], Comp[], 7, FALSE)</f>
        <v>47.5</v>
      </c>
      <c r="K237">
        <f>VLOOKUP(Table9[[#This Row],[Shortname]], Comp[], 8, FALSE)</f>
        <v>31.2</v>
      </c>
      <c r="L237">
        <f>VLOOKUP(Table9[[#This Row],[Shortname]], Comp[], 9, FALSE)</f>
        <v>9.5</v>
      </c>
      <c r="M237">
        <f>VLOOKUP(Table9[[#This Row],[Shortname]], Comp[], 10, FALSE)</f>
        <v>0</v>
      </c>
      <c r="N237">
        <f>VLOOKUP(Table9[[#This Row],[Shortname]], Comp[], 11, FALSE)</f>
        <v>7.2</v>
      </c>
      <c r="O237">
        <f>VLOOKUP(Table9[[#This Row],[Shortname]], Comp[],12, FALSE)</f>
        <v>2.8</v>
      </c>
      <c r="P237">
        <f>VLOOKUP(Table9[[#This Row],[Shortname]], Comp[], 13, FALSE)</f>
        <v>1.8</v>
      </c>
      <c r="Q237">
        <f>VLOOKUP(Table9[[#This Row],[Shortname]], Comp[], 14, FALSE)</f>
        <v>0</v>
      </c>
      <c r="R237">
        <f>VLOOKUP(Table9[[#This Row],[Shortname]], Comp[], 15, FALSE)</f>
        <v>0</v>
      </c>
      <c r="S237">
        <f>VLOOKUP(Table9[[#This Row],[Shortname]], Comp[], 16, FALSE)</f>
        <v>0</v>
      </c>
      <c r="T237">
        <f>VLOOKUP(Table9[[#This Row],[Shortname]], Comp[], 17, FALSE)</f>
        <v>0</v>
      </c>
      <c r="U237">
        <f>VLOOKUP(Table9[[#This Row],[Shortname]], Comp[], 18, FALSE)</f>
        <v>0</v>
      </c>
      <c r="V237">
        <f>VLOOKUP(Table9[[#This Row],[Shortname]], Comp[], 19, FALSE)</f>
        <v>0</v>
      </c>
      <c r="W237">
        <f>VLOOKUP(Table9[[#This Row],[Shortname]], Comp[], 20, FALSE)</f>
        <v>0</v>
      </c>
      <c r="X237">
        <f>VLOOKUP(Table9[[#This Row],[Shortname]], Comp[], 21, FALSE)</f>
        <v>0</v>
      </c>
      <c r="Y237">
        <f>VLOOKUP(Table9[[#This Row],[Shortname]], Comp[], 22, FALSE)</f>
        <v>0</v>
      </c>
      <c r="Z237">
        <f>VLOOKUP(Table9[[#This Row],[Shortname]], Comp[], 23, FALSE)</f>
        <v>0</v>
      </c>
      <c r="AA237">
        <f>VLOOKUP(Table9[[#This Row],[Shortname]], Comp[], 24, FALSE)</f>
        <v>0</v>
      </c>
      <c r="AB237">
        <f>VLOOKUP(Table9[[#This Row],[Shortname]], Comp[], 25, FALSE)</f>
        <v>0</v>
      </c>
      <c r="AC237">
        <f>VLOOKUP(Table9[[#This Row],[Shortname]], Comp[], 26, FALSE)</f>
        <v>0</v>
      </c>
      <c r="AD237">
        <f>VLOOKUP(Table9[[#This Row],[Shortname]], Comp[], 27, FALSE)</f>
        <v>0</v>
      </c>
      <c r="AE237">
        <f>VLOOKUP(Table9[[#This Row],[Shortname]], Comp[], 28, FALSE)</f>
        <v>0</v>
      </c>
      <c r="AF237">
        <f>VLOOKUP(Table9[[#This Row],[Shortname]], Comp[], 29, FALSE)</f>
        <v>0</v>
      </c>
      <c r="AG237">
        <f>VLOOKUP(Table9[[#This Row],[Shortname]], Comp[], 30, FALSE)</f>
        <v>0</v>
      </c>
      <c r="AH237">
        <f>VLOOKUP(Table9[[#This Row],[Shortname]], Comp[], 31, FALSE)</f>
        <v>0</v>
      </c>
    </row>
    <row r="238" spans="1:34" x14ac:dyDescent="0.3">
      <c r="A238" t="s">
        <v>544</v>
      </c>
      <c r="B238" t="s">
        <v>6696</v>
      </c>
      <c r="C238" t="s">
        <v>499</v>
      </c>
      <c r="D238">
        <v>479</v>
      </c>
      <c r="E238">
        <v>900</v>
      </c>
      <c r="F238">
        <v>1E-4</v>
      </c>
      <c r="G238">
        <v>1</v>
      </c>
      <c r="I238">
        <f>VLOOKUP(Table9[[#This Row],[Shortname]], Comp[], 6, FALSE)</f>
        <v>70</v>
      </c>
      <c r="J238" s="14">
        <f>VLOOKUP(Table9[[#This Row],[Shortname]], Comp[], 7, FALSE)</f>
        <v>72.3</v>
      </c>
      <c r="K238">
        <f>VLOOKUP(Table9[[#This Row],[Shortname]], Comp[], 8, FALSE)</f>
        <v>10.199999999999999</v>
      </c>
      <c r="L238">
        <f>VLOOKUP(Table9[[#This Row],[Shortname]], Comp[], 9, FALSE)</f>
        <v>7.3</v>
      </c>
      <c r="M238">
        <f>VLOOKUP(Table9[[#This Row],[Shortname]], Comp[], 10, FALSE)</f>
        <v>0</v>
      </c>
      <c r="N238">
        <f>VLOOKUP(Table9[[#This Row],[Shortname]], Comp[], 11, FALSE)</f>
        <v>8</v>
      </c>
      <c r="O238">
        <f>VLOOKUP(Table9[[#This Row],[Shortname]], Comp[],12, FALSE)</f>
        <v>2.2000000000000002</v>
      </c>
      <c r="P238">
        <f>VLOOKUP(Table9[[#This Row],[Shortname]], Comp[], 13, FALSE)</f>
        <v>0</v>
      </c>
      <c r="Q238">
        <f>VLOOKUP(Table9[[#This Row],[Shortname]], Comp[], 14, FALSE)</f>
        <v>0</v>
      </c>
      <c r="R238">
        <f>VLOOKUP(Table9[[#This Row],[Shortname]], Comp[], 15, FALSE)</f>
        <v>0</v>
      </c>
      <c r="S238">
        <f>VLOOKUP(Table9[[#This Row],[Shortname]], Comp[], 16, FALSE)</f>
        <v>0</v>
      </c>
      <c r="T238">
        <f>VLOOKUP(Table9[[#This Row],[Shortname]], Comp[], 17, FALSE)</f>
        <v>0</v>
      </c>
      <c r="U238">
        <f>VLOOKUP(Table9[[#This Row],[Shortname]], Comp[], 18, FALSE)</f>
        <v>0</v>
      </c>
      <c r="V238">
        <f>VLOOKUP(Table9[[#This Row],[Shortname]], Comp[], 19, FALSE)</f>
        <v>0</v>
      </c>
      <c r="W238">
        <f>VLOOKUP(Table9[[#This Row],[Shortname]], Comp[], 20, FALSE)</f>
        <v>0</v>
      </c>
      <c r="X238">
        <f>VLOOKUP(Table9[[#This Row],[Shortname]], Comp[], 21, FALSE)</f>
        <v>0</v>
      </c>
      <c r="Y238">
        <f>VLOOKUP(Table9[[#This Row],[Shortname]], Comp[], 22, FALSE)</f>
        <v>0</v>
      </c>
      <c r="Z238">
        <f>VLOOKUP(Table9[[#This Row],[Shortname]], Comp[], 23, FALSE)</f>
        <v>0</v>
      </c>
      <c r="AA238">
        <f>VLOOKUP(Table9[[#This Row],[Shortname]], Comp[], 24, FALSE)</f>
        <v>0</v>
      </c>
      <c r="AB238">
        <f>VLOOKUP(Table9[[#This Row],[Shortname]], Comp[], 25, FALSE)</f>
        <v>0</v>
      </c>
      <c r="AC238">
        <f>VLOOKUP(Table9[[#This Row],[Shortname]], Comp[], 26, FALSE)</f>
        <v>0</v>
      </c>
      <c r="AD238">
        <f>VLOOKUP(Table9[[#This Row],[Shortname]], Comp[], 27, FALSE)</f>
        <v>0</v>
      </c>
      <c r="AE238">
        <f>VLOOKUP(Table9[[#This Row],[Shortname]], Comp[], 28, FALSE)</f>
        <v>0</v>
      </c>
      <c r="AF238">
        <f>VLOOKUP(Table9[[#This Row],[Shortname]], Comp[], 29, FALSE)</f>
        <v>0</v>
      </c>
      <c r="AG238">
        <f>VLOOKUP(Table9[[#This Row],[Shortname]], Comp[], 30, FALSE)</f>
        <v>0</v>
      </c>
      <c r="AH238">
        <f>VLOOKUP(Table9[[#This Row],[Shortname]], Comp[], 31, FALSE)</f>
        <v>0</v>
      </c>
    </row>
    <row r="239" spans="1:34" x14ac:dyDescent="0.3">
      <c r="A239" t="s">
        <v>534</v>
      </c>
      <c r="B239" t="s">
        <v>6695</v>
      </c>
      <c r="C239" t="s">
        <v>499</v>
      </c>
      <c r="D239">
        <v>478</v>
      </c>
      <c r="E239">
        <v>900</v>
      </c>
      <c r="F239">
        <v>1E-4</v>
      </c>
      <c r="G239">
        <v>1</v>
      </c>
      <c r="I239">
        <f>VLOOKUP(Table9[[#This Row],[Shortname]], Comp[], 6, FALSE)</f>
        <v>69</v>
      </c>
      <c r="J239" s="14">
        <f>VLOOKUP(Table9[[#This Row],[Shortname]], Comp[], 7, FALSE)</f>
        <v>72.3</v>
      </c>
      <c r="K239">
        <f>VLOOKUP(Table9[[#This Row],[Shortname]], Comp[], 8, FALSE)</f>
        <v>10.3</v>
      </c>
      <c r="L239">
        <f>VLOOKUP(Table9[[#This Row],[Shortname]], Comp[], 9, FALSE)</f>
        <v>6.3</v>
      </c>
      <c r="M239">
        <f>VLOOKUP(Table9[[#This Row],[Shortname]], Comp[], 10, FALSE)</f>
        <v>0</v>
      </c>
      <c r="N239">
        <f>VLOOKUP(Table9[[#This Row],[Shortname]], Comp[], 11, FALSE)</f>
        <v>7</v>
      </c>
      <c r="O239">
        <f>VLOOKUP(Table9[[#This Row],[Shortname]], Comp[],12, FALSE)</f>
        <v>4.0999999999999996</v>
      </c>
      <c r="P239">
        <f>VLOOKUP(Table9[[#This Row],[Shortname]], Comp[], 13, FALSE)</f>
        <v>0</v>
      </c>
      <c r="Q239">
        <f>VLOOKUP(Table9[[#This Row],[Shortname]], Comp[], 14, FALSE)</f>
        <v>0</v>
      </c>
      <c r="R239">
        <f>VLOOKUP(Table9[[#This Row],[Shortname]], Comp[], 15, FALSE)</f>
        <v>0</v>
      </c>
      <c r="S239">
        <f>VLOOKUP(Table9[[#This Row],[Shortname]], Comp[], 16, FALSE)</f>
        <v>0</v>
      </c>
      <c r="T239">
        <f>VLOOKUP(Table9[[#This Row],[Shortname]], Comp[], 17, FALSE)</f>
        <v>0</v>
      </c>
      <c r="U239">
        <f>VLOOKUP(Table9[[#This Row],[Shortname]], Comp[], 18, FALSE)</f>
        <v>0</v>
      </c>
      <c r="V239">
        <f>VLOOKUP(Table9[[#This Row],[Shortname]], Comp[], 19, FALSE)</f>
        <v>0</v>
      </c>
      <c r="W239">
        <f>VLOOKUP(Table9[[#This Row],[Shortname]], Comp[], 20, FALSE)</f>
        <v>0</v>
      </c>
      <c r="X239">
        <f>VLOOKUP(Table9[[#This Row],[Shortname]], Comp[], 21, FALSE)</f>
        <v>0</v>
      </c>
      <c r="Y239">
        <f>VLOOKUP(Table9[[#This Row],[Shortname]], Comp[], 22, FALSE)</f>
        <v>0</v>
      </c>
      <c r="Z239">
        <f>VLOOKUP(Table9[[#This Row],[Shortname]], Comp[], 23, FALSE)</f>
        <v>0</v>
      </c>
      <c r="AA239">
        <f>VLOOKUP(Table9[[#This Row],[Shortname]], Comp[], 24, FALSE)</f>
        <v>0</v>
      </c>
      <c r="AB239">
        <f>VLOOKUP(Table9[[#This Row],[Shortname]], Comp[], 25, FALSE)</f>
        <v>0</v>
      </c>
      <c r="AC239">
        <f>VLOOKUP(Table9[[#This Row],[Shortname]], Comp[], 26, FALSE)</f>
        <v>0</v>
      </c>
      <c r="AD239">
        <f>VLOOKUP(Table9[[#This Row],[Shortname]], Comp[], 27, FALSE)</f>
        <v>0</v>
      </c>
      <c r="AE239">
        <f>VLOOKUP(Table9[[#This Row],[Shortname]], Comp[], 28, FALSE)</f>
        <v>0</v>
      </c>
      <c r="AF239">
        <f>VLOOKUP(Table9[[#This Row],[Shortname]], Comp[], 29, FALSE)</f>
        <v>0</v>
      </c>
      <c r="AG239">
        <f>VLOOKUP(Table9[[#This Row],[Shortname]], Comp[], 30, FALSE)</f>
        <v>0</v>
      </c>
      <c r="AH239">
        <f>VLOOKUP(Table9[[#This Row],[Shortname]], Comp[], 31, FALSE)</f>
        <v>0</v>
      </c>
    </row>
    <row r="240" spans="1:34" x14ac:dyDescent="0.3">
      <c r="A240" t="s">
        <v>3420</v>
      </c>
      <c r="B240" t="s">
        <v>3420</v>
      </c>
      <c r="C240" t="s">
        <v>3401</v>
      </c>
      <c r="D240">
        <v>478</v>
      </c>
      <c r="E240">
        <v>760</v>
      </c>
      <c r="F240">
        <v>2.0000000000000001E-4</v>
      </c>
      <c r="G240">
        <v>1</v>
      </c>
      <c r="H240" t="s">
        <v>6803</v>
      </c>
      <c r="I240">
        <f>VLOOKUP(Table9[[#This Row],[Shortname]], Comp[], 6, FALSE)</f>
        <v>486</v>
      </c>
      <c r="J240" s="14">
        <f>VLOOKUP(Table9[[#This Row],[Shortname]], Comp[], 7, FALSE)</f>
        <v>80.3</v>
      </c>
      <c r="K240">
        <f>VLOOKUP(Table9[[#This Row],[Shortname]], Comp[], 8, FALSE)</f>
        <v>0</v>
      </c>
      <c r="L240">
        <f>VLOOKUP(Table9[[#This Row],[Shortname]], Comp[], 9, FALSE)</f>
        <v>9.3000000000000007</v>
      </c>
      <c r="M240">
        <f>VLOOKUP(Table9[[#This Row],[Shortname]], Comp[], 10, FALSE)</f>
        <v>0</v>
      </c>
      <c r="N240">
        <f>VLOOKUP(Table9[[#This Row],[Shortname]], Comp[], 11, FALSE)</f>
        <v>10.4</v>
      </c>
      <c r="O240">
        <f>VLOOKUP(Table9[[#This Row],[Shortname]], Comp[],12, FALSE)</f>
        <v>0</v>
      </c>
      <c r="P240">
        <f>VLOOKUP(Table9[[#This Row],[Shortname]], Comp[], 13, FALSE)</f>
        <v>0</v>
      </c>
      <c r="Q240">
        <f>VLOOKUP(Table9[[#This Row],[Shortname]], Comp[], 14, FALSE)</f>
        <v>0</v>
      </c>
      <c r="R240">
        <f>VLOOKUP(Table9[[#This Row],[Shortname]], Comp[], 15, FALSE)</f>
        <v>0</v>
      </c>
      <c r="S240">
        <f>VLOOKUP(Table9[[#This Row],[Shortname]], Comp[], 16, FALSE)</f>
        <v>0</v>
      </c>
      <c r="T240">
        <f>VLOOKUP(Table9[[#This Row],[Shortname]], Comp[], 17, FALSE)</f>
        <v>0</v>
      </c>
      <c r="U240">
        <f>VLOOKUP(Table9[[#This Row],[Shortname]], Comp[], 18, FALSE)</f>
        <v>0</v>
      </c>
      <c r="V240">
        <f>VLOOKUP(Table9[[#This Row],[Shortname]], Comp[], 19, FALSE)</f>
        <v>0</v>
      </c>
      <c r="W240">
        <f>VLOOKUP(Table9[[#This Row],[Shortname]], Comp[], 20, FALSE)</f>
        <v>0</v>
      </c>
      <c r="X240">
        <f>VLOOKUP(Table9[[#This Row],[Shortname]], Comp[], 21, FALSE)</f>
        <v>0</v>
      </c>
      <c r="Y240">
        <f>VLOOKUP(Table9[[#This Row],[Shortname]], Comp[], 22, FALSE)</f>
        <v>0</v>
      </c>
      <c r="Z240">
        <f>VLOOKUP(Table9[[#This Row],[Shortname]], Comp[], 23, FALSE)</f>
        <v>0</v>
      </c>
      <c r="AA240">
        <f>VLOOKUP(Table9[[#This Row],[Shortname]], Comp[], 24, FALSE)</f>
        <v>0</v>
      </c>
      <c r="AB240">
        <f>VLOOKUP(Table9[[#This Row],[Shortname]], Comp[], 25, FALSE)</f>
        <v>0</v>
      </c>
      <c r="AC240">
        <f>VLOOKUP(Table9[[#This Row],[Shortname]], Comp[], 26, FALSE)</f>
        <v>0</v>
      </c>
      <c r="AD240">
        <f>VLOOKUP(Table9[[#This Row],[Shortname]], Comp[], 27, FALSE)</f>
        <v>0</v>
      </c>
      <c r="AE240">
        <f>VLOOKUP(Table9[[#This Row],[Shortname]], Comp[], 28, FALSE)</f>
        <v>0</v>
      </c>
      <c r="AF240">
        <f>VLOOKUP(Table9[[#This Row],[Shortname]], Comp[], 29, FALSE)</f>
        <v>0</v>
      </c>
      <c r="AG240">
        <f>VLOOKUP(Table9[[#This Row],[Shortname]], Comp[], 30, FALSE)</f>
        <v>0</v>
      </c>
      <c r="AH240">
        <f>VLOOKUP(Table9[[#This Row],[Shortname]], Comp[], 31, FALSE)</f>
        <v>0</v>
      </c>
    </row>
    <row r="241" spans="1:34" x14ac:dyDescent="0.3">
      <c r="A241" t="s">
        <v>3154</v>
      </c>
      <c r="B241" t="s">
        <v>3156</v>
      </c>
      <c r="C241" t="s">
        <v>3157</v>
      </c>
      <c r="D241">
        <v>476</v>
      </c>
      <c r="E241">
        <v>700</v>
      </c>
      <c r="F241">
        <v>1E-4</v>
      </c>
      <c r="G241">
        <v>1</v>
      </c>
      <c r="H241" t="s">
        <v>6803</v>
      </c>
      <c r="I241">
        <f>VLOOKUP(Table9[[#This Row],[Shortname]], Comp[], 6, FALSE)</f>
        <v>440</v>
      </c>
      <c r="J241" s="14">
        <f>VLOOKUP(Table9[[#This Row],[Shortname]], Comp[], 7, FALSE)</f>
        <v>80</v>
      </c>
      <c r="K241">
        <f>VLOOKUP(Table9[[#This Row],[Shortname]], Comp[], 8, FALSE)</f>
        <v>0</v>
      </c>
      <c r="L241">
        <f>VLOOKUP(Table9[[#This Row],[Shortname]], Comp[], 9, FALSE)</f>
        <v>0</v>
      </c>
      <c r="M241">
        <f>VLOOKUP(Table9[[#This Row],[Shortname]], Comp[], 10, FALSE)</f>
        <v>0</v>
      </c>
      <c r="N241">
        <f>VLOOKUP(Table9[[#This Row],[Shortname]], Comp[], 11, FALSE)</f>
        <v>0</v>
      </c>
      <c r="O241">
        <f>VLOOKUP(Table9[[#This Row],[Shortname]], Comp[],12, FALSE)</f>
        <v>5</v>
      </c>
      <c r="P241">
        <f>VLOOKUP(Table9[[#This Row],[Shortname]], Comp[], 13, FALSE)</f>
        <v>0</v>
      </c>
      <c r="Q241">
        <f>VLOOKUP(Table9[[#This Row],[Shortname]], Comp[], 14, FALSE)</f>
        <v>0</v>
      </c>
      <c r="R241">
        <f>VLOOKUP(Table9[[#This Row],[Shortname]], Comp[], 15, FALSE)</f>
        <v>15</v>
      </c>
      <c r="S241">
        <f>VLOOKUP(Table9[[#This Row],[Shortname]], Comp[], 16, FALSE)</f>
        <v>0</v>
      </c>
      <c r="T241">
        <f>VLOOKUP(Table9[[#This Row],[Shortname]], Comp[], 17, FALSE)</f>
        <v>0</v>
      </c>
      <c r="U241">
        <f>VLOOKUP(Table9[[#This Row],[Shortname]], Comp[], 18, FALSE)</f>
        <v>0</v>
      </c>
      <c r="V241">
        <f>VLOOKUP(Table9[[#This Row],[Shortname]], Comp[], 19, FALSE)</f>
        <v>0</v>
      </c>
      <c r="W241">
        <f>VLOOKUP(Table9[[#This Row],[Shortname]], Comp[], 20, FALSE)</f>
        <v>0</v>
      </c>
      <c r="X241">
        <f>VLOOKUP(Table9[[#This Row],[Shortname]], Comp[], 21, FALSE)</f>
        <v>0</v>
      </c>
      <c r="Y241">
        <f>VLOOKUP(Table9[[#This Row],[Shortname]], Comp[], 22, FALSE)</f>
        <v>0</v>
      </c>
      <c r="Z241">
        <f>VLOOKUP(Table9[[#This Row],[Shortname]], Comp[], 23, FALSE)</f>
        <v>0</v>
      </c>
      <c r="AA241">
        <f>VLOOKUP(Table9[[#This Row],[Shortname]], Comp[], 24, FALSE)</f>
        <v>0</v>
      </c>
      <c r="AB241">
        <f>VLOOKUP(Table9[[#This Row],[Shortname]], Comp[], 25, FALSE)</f>
        <v>0</v>
      </c>
      <c r="AC241">
        <f>VLOOKUP(Table9[[#This Row],[Shortname]], Comp[], 26, FALSE)</f>
        <v>0</v>
      </c>
      <c r="AD241">
        <f>VLOOKUP(Table9[[#This Row],[Shortname]], Comp[], 27, FALSE)</f>
        <v>0</v>
      </c>
      <c r="AE241">
        <f>VLOOKUP(Table9[[#This Row],[Shortname]], Comp[], 28, FALSE)</f>
        <v>0</v>
      </c>
      <c r="AF241">
        <f>VLOOKUP(Table9[[#This Row],[Shortname]], Comp[], 29, FALSE)</f>
        <v>0</v>
      </c>
      <c r="AG241">
        <f>VLOOKUP(Table9[[#This Row],[Shortname]], Comp[], 30, FALSE)</f>
        <v>0</v>
      </c>
      <c r="AH241">
        <f>VLOOKUP(Table9[[#This Row],[Shortname]], Comp[], 31, FALSE)</f>
        <v>0</v>
      </c>
    </row>
    <row r="242" spans="1:34" x14ac:dyDescent="0.3">
      <c r="A242" t="s">
        <v>3420</v>
      </c>
      <c r="B242" t="s">
        <v>3420</v>
      </c>
      <c r="C242" t="s">
        <v>3401</v>
      </c>
      <c r="D242">
        <v>475</v>
      </c>
      <c r="E242">
        <v>650</v>
      </c>
      <c r="F242">
        <v>2.0000000000000001E-4</v>
      </c>
      <c r="G242">
        <v>1</v>
      </c>
      <c r="H242" t="s">
        <v>6803</v>
      </c>
      <c r="I242">
        <f>VLOOKUP(Table9[[#This Row],[Shortname]], Comp[], 6, FALSE)</f>
        <v>486</v>
      </c>
      <c r="J242" s="14">
        <f>VLOOKUP(Table9[[#This Row],[Shortname]], Comp[], 7, FALSE)</f>
        <v>80.3</v>
      </c>
      <c r="K242">
        <f>VLOOKUP(Table9[[#This Row],[Shortname]], Comp[], 8, FALSE)</f>
        <v>0</v>
      </c>
      <c r="L242">
        <f>VLOOKUP(Table9[[#This Row],[Shortname]], Comp[], 9, FALSE)</f>
        <v>9.3000000000000007</v>
      </c>
      <c r="M242">
        <f>VLOOKUP(Table9[[#This Row],[Shortname]], Comp[], 10, FALSE)</f>
        <v>0</v>
      </c>
      <c r="N242">
        <f>VLOOKUP(Table9[[#This Row],[Shortname]], Comp[], 11, FALSE)</f>
        <v>10.4</v>
      </c>
      <c r="O242">
        <f>VLOOKUP(Table9[[#This Row],[Shortname]], Comp[],12, FALSE)</f>
        <v>0</v>
      </c>
      <c r="P242">
        <f>VLOOKUP(Table9[[#This Row],[Shortname]], Comp[], 13, FALSE)</f>
        <v>0</v>
      </c>
      <c r="Q242">
        <f>VLOOKUP(Table9[[#This Row],[Shortname]], Comp[], 14, FALSE)</f>
        <v>0</v>
      </c>
      <c r="R242">
        <f>VLOOKUP(Table9[[#This Row],[Shortname]], Comp[], 15, FALSE)</f>
        <v>0</v>
      </c>
      <c r="S242">
        <f>VLOOKUP(Table9[[#This Row],[Shortname]], Comp[], 16, FALSE)</f>
        <v>0</v>
      </c>
      <c r="T242">
        <f>VLOOKUP(Table9[[#This Row],[Shortname]], Comp[], 17, FALSE)</f>
        <v>0</v>
      </c>
      <c r="U242">
        <f>VLOOKUP(Table9[[#This Row],[Shortname]], Comp[], 18, FALSE)</f>
        <v>0</v>
      </c>
      <c r="V242">
        <f>VLOOKUP(Table9[[#This Row],[Shortname]], Comp[], 19, FALSE)</f>
        <v>0</v>
      </c>
      <c r="W242">
        <f>VLOOKUP(Table9[[#This Row],[Shortname]], Comp[], 20, FALSE)</f>
        <v>0</v>
      </c>
      <c r="X242">
        <f>VLOOKUP(Table9[[#This Row],[Shortname]], Comp[], 21, FALSE)</f>
        <v>0</v>
      </c>
      <c r="Y242">
        <f>VLOOKUP(Table9[[#This Row],[Shortname]], Comp[], 22, FALSE)</f>
        <v>0</v>
      </c>
      <c r="Z242">
        <f>VLOOKUP(Table9[[#This Row],[Shortname]], Comp[], 23, FALSE)</f>
        <v>0</v>
      </c>
      <c r="AA242">
        <f>VLOOKUP(Table9[[#This Row],[Shortname]], Comp[], 24, FALSE)</f>
        <v>0</v>
      </c>
      <c r="AB242">
        <f>VLOOKUP(Table9[[#This Row],[Shortname]], Comp[], 25, FALSE)</f>
        <v>0</v>
      </c>
      <c r="AC242">
        <f>VLOOKUP(Table9[[#This Row],[Shortname]], Comp[], 26, FALSE)</f>
        <v>0</v>
      </c>
      <c r="AD242">
        <f>VLOOKUP(Table9[[#This Row],[Shortname]], Comp[], 27, FALSE)</f>
        <v>0</v>
      </c>
      <c r="AE242">
        <f>VLOOKUP(Table9[[#This Row],[Shortname]], Comp[], 28, FALSE)</f>
        <v>0</v>
      </c>
      <c r="AF242">
        <f>VLOOKUP(Table9[[#This Row],[Shortname]], Comp[], 29, FALSE)</f>
        <v>0</v>
      </c>
      <c r="AG242">
        <f>VLOOKUP(Table9[[#This Row],[Shortname]], Comp[], 30, FALSE)</f>
        <v>0</v>
      </c>
      <c r="AH242">
        <f>VLOOKUP(Table9[[#This Row],[Shortname]], Comp[], 31, FALSE)</f>
        <v>0</v>
      </c>
    </row>
    <row r="243" spans="1:34" x14ac:dyDescent="0.3">
      <c r="A243" t="s">
        <v>552</v>
      </c>
      <c r="B243" t="s">
        <v>6697</v>
      </c>
      <c r="C243" t="s">
        <v>499</v>
      </c>
      <c r="D243">
        <v>474</v>
      </c>
      <c r="E243">
        <v>600</v>
      </c>
      <c r="F243">
        <v>1E-4</v>
      </c>
      <c r="G243">
        <v>1</v>
      </c>
      <c r="I243">
        <f>VLOOKUP(Table9[[#This Row],[Shortname]], Comp[], 6, FALSE)</f>
        <v>71</v>
      </c>
      <c r="J243" s="14">
        <f>VLOOKUP(Table9[[#This Row],[Shortname]], Comp[], 7, FALSE)</f>
        <v>72.800000000000011</v>
      </c>
      <c r="K243">
        <f>VLOOKUP(Table9[[#This Row],[Shortname]], Comp[], 8, FALSE)</f>
        <v>10.199999999999999</v>
      </c>
      <c r="L243">
        <f>VLOOKUP(Table9[[#This Row],[Shortname]], Comp[], 9, FALSE)</f>
        <v>8.1</v>
      </c>
      <c r="M243">
        <f>VLOOKUP(Table9[[#This Row],[Shortname]], Comp[], 10, FALSE)</f>
        <v>0</v>
      </c>
      <c r="N243">
        <f>VLOOKUP(Table9[[#This Row],[Shortname]], Comp[], 11, FALSE)</f>
        <v>8.9</v>
      </c>
      <c r="O243">
        <f>VLOOKUP(Table9[[#This Row],[Shortname]], Comp[],12, FALSE)</f>
        <v>0</v>
      </c>
      <c r="P243">
        <f>VLOOKUP(Table9[[#This Row],[Shortname]], Comp[], 13, FALSE)</f>
        <v>0</v>
      </c>
      <c r="Q243">
        <f>VLOOKUP(Table9[[#This Row],[Shortname]], Comp[], 14, FALSE)</f>
        <v>0</v>
      </c>
      <c r="R243">
        <f>VLOOKUP(Table9[[#This Row],[Shortname]], Comp[], 15, FALSE)</f>
        <v>0</v>
      </c>
      <c r="S243">
        <f>VLOOKUP(Table9[[#This Row],[Shortname]], Comp[], 16, FALSE)</f>
        <v>0</v>
      </c>
      <c r="T243">
        <f>VLOOKUP(Table9[[#This Row],[Shortname]], Comp[], 17, FALSE)</f>
        <v>0</v>
      </c>
      <c r="U243">
        <f>VLOOKUP(Table9[[#This Row],[Shortname]], Comp[], 18, FALSE)</f>
        <v>0</v>
      </c>
      <c r="V243">
        <f>VLOOKUP(Table9[[#This Row],[Shortname]], Comp[], 19, FALSE)</f>
        <v>0</v>
      </c>
      <c r="W243">
        <f>VLOOKUP(Table9[[#This Row],[Shortname]], Comp[], 20, FALSE)</f>
        <v>0</v>
      </c>
      <c r="X243">
        <f>VLOOKUP(Table9[[#This Row],[Shortname]], Comp[], 21, FALSE)</f>
        <v>0</v>
      </c>
      <c r="Y243">
        <f>VLOOKUP(Table9[[#This Row],[Shortname]], Comp[], 22, FALSE)</f>
        <v>0</v>
      </c>
      <c r="Z243">
        <f>VLOOKUP(Table9[[#This Row],[Shortname]], Comp[], 23, FALSE)</f>
        <v>0</v>
      </c>
      <c r="AA243">
        <f>VLOOKUP(Table9[[#This Row],[Shortname]], Comp[], 24, FALSE)</f>
        <v>0</v>
      </c>
      <c r="AB243">
        <f>VLOOKUP(Table9[[#This Row],[Shortname]], Comp[], 25, FALSE)</f>
        <v>0</v>
      </c>
      <c r="AC243">
        <f>VLOOKUP(Table9[[#This Row],[Shortname]], Comp[], 26, FALSE)</f>
        <v>0</v>
      </c>
      <c r="AD243">
        <f>VLOOKUP(Table9[[#This Row],[Shortname]], Comp[], 27, FALSE)</f>
        <v>0</v>
      </c>
      <c r="AE243">
        <f>VLOOKUP(Table9[[#This Row],[Shortname]], Comp[], 28, FALSE)</f>
        <v>0</v>
      </c>
      <c r="AF243">
        <f>VLOOKUP(Table9[[#This Row],[Shortname]], Comp[], 29, FALSE)</f>
        <v>0</v>
      </c>
      <c r="AG243">
        <f>VLOOKUP(Table9[[#This Row],[Shortname]], Comp[], 30, FALSE)</f>
        <v>0</v>
      </c>
      <c r="AH243">
        <f>VLOOKUP(Table9[[#This Row],[Shortname]], Comp[], 31, FALSE)</f>
        <v>0</v>
      </c>
    </row>
    <row r="244" spans="1:34" x14ac:dyDescent="0.3">
      <c r="A244" t="s">
        <v>2996</v>
      </c>
      <c r="B244" t="s">
        <v>2998</v>
      </c>
      <c r="C244" t="s">
        <v>2999</v>
      </c>
      <c r="D244">
        <v>474</v>
      </c>
      <c r="E244">
        <v>600</v>
      </c>
      <c r="F244">
        <v>1E-4</v>
      </c>
      <c r="G244">
        <v>1</v>
      </c>
      <c r="H244" t="s">
        <v>6803</v>
      </c>
      <c r="I244">
        <f>VLOOKUP(Table9[[#This Row],[Shortname]], Comp[], 6, FALSE)</f>
        <v>412</v>
      </c>
      <c r="J244" s="14">
        <f>VLOOKUP(Table9[[#This Row],[Shortname]], Comp[], 7, FALSE)</f>
        <v>49.82</v>
      </c>
      <c r="K244">
        <f>VLOOKUP(Table9[[#This Row],[Shortname]], Comp[], 8, FALSE)</f>
        <v>30.83</v>
      </c>
      <c r="L244">
        <f>VLOOKUP(Table9[[#This Row],[Shortname]], Comp[], 9, FALSE)</f>
        <v>9.16</v>
      </c>
      <c r="M244">
        <f>VLOOKUP(Table9[[#This Row],[Shortname]], Comp[], 10, FALSE)</f>
        <v>0</v>
      </c>
      <c r="N244">
        <f>VLOOKUP(Table9[[#This Row],[Shortname]], Comp[], 11, FALSE)</f>
        <v>5.09</v>
      </c>
      <c r="O244">
        <f>VLOOKUP(Table9[[#This Row],[Shortname]], Comp[],12, FALSE)</f>
        <v>4.0999999999999996</v>
      </c>
      <c r="P244">
        <f>VLOOKUP(Table9[[#This Row],[Shortname]], Comp[], 13, FALSE)</f>
        <v>1</v>
      </c>
      <c r="Q244">
        <f>VLOOKUP(Table9[[#This Row],[Shortname]], Comp[], 14, FALSE)</f>
        <v>0</v>
      </c>
      <c r="R244">
        <f>VLOOKUP(Table9[[#This Row],[Shortname]], Comp[], 15, FALSE)</f>
        <v>0</v>
      </c>
      <c r="S244">
        <f>VLOOKUP(Table9[[#This Row],[Shortname]], Comp[], 16, FALSE)</f>
        <v>0</v>
      </c>
      <c r="T244">
        <f>VLOOKUP(Table9[[#This Row],[Shortname]], Comp[], 17, FALSE)</f>
        <v>0</v>
      </c>
      <c r="U244">
        <f>VLOOKUP(Table9[[#This Row],[Shortname]], Comp[], 18, FALSE)</f>
        <v>0</v>
      </c>
      <c r="V244">
        <f>VLOOKUP(Table9[[#This Row],[Shortname]], Comp[], 19, FALSE)</f>
        <v>0</v>
      </c>
      <c r="W244">
        <f>VLOOKUP(Table9[[#This Row],[Shortname]], Comp[], 20, FALSE)</f>
        <v>0</v>
      </c>
      <c r="X244">
        <f>VLOOKUP(Table9[[#This Row],[Shortname]], Comp[], 21, FALSE)</f>
        <v>0</v>
      </c>
      <c r="Y244">
        <f>VLOOKUP(Table9[[#This Row],[Shortname]], Comp[], 22, FALSE)</f>
        <v>0</v>
      </c>
      <c r="Z244">
        <f>VLOOKUP(Table9[[#This Row],[Shortname]], Comp[], 23, FALSE)</f>
        <v>0</v>
      </c>
      <c r="AA244">
        <f>VLOOKUP(Table9[[#This Row],[Shortname]], Comp[], 24, FALSE)</f>
        <v>0</v>
      </c>
      <c r="AB244">
        <f>VLOOKUP(Table9[[#This Row],[Shortname]], Comp[], 25, FALSE)</f>
        <v>0</v>
      </c>
      <c r="AC244">
        <f>VLOOKUP(Table9[[#This Row],[Shortname]], Comp[], 26, FALSE)</f>
        <v>0</v>
      </c>
      <c r="AD244">
        <f>VLOOKUP(Table9[[#This Row],[Shortname]], Comp[], 27, FALSE)</f>
        <v>0</v>
      </c>
      <c r="AE244">
        <f>VLOOKUP(Table9[[#This Row],[Shortname]], Comp[], 28, FALSE)</f>
        <v>0</v>
      </c>
      <c r="AF244">
        <f>VLOOKUP(Table9[[#This Row],[Shortname]], Comp[], 29, FALSE)</f>
        <v>0</v>
      </c>
      <c r="AG244">
        <f>VLOOKUP(Table9[[#This Row],[Shortname]], Comp[], 30, FALSE)</f>
        <v>0</v>
      </c>
      <c r="AH244">
        <f>VLOOKUP(Table9[[#This Row],[Shortname]], Comp[], 31, FALSE)</f>
        <v>0</v>
      </c>
    </row>
    <row r="245" spans="1:34" x14ac:dyDescent="0.3">
      <c r="A245" t="s">
        <v>2070</v>
      </c>
      <c r="B245" t="s">
        <v>2072</v>
      </c>
      <c r="C245" t="s">
        <v>2065</v>
      </c>
      <c r="D245">
        <v>472</v>
      </c>
      <c r="E245">
        <v>800</v>
      </c>
      <c r="F245">
        <v>1E-4</v>
      </c>
      <c r="G245">
        <v>1</v>
      </c>
      <c r="H245" t="s">
        <v>6803</v>
      </c>
      <c r="I245">
        <f>VLOOKUP(Table9[[#This Row],[Shortname]], Comp[], 6, FALSE)</f>
        <v>272</v>
      </c>
      <c r="J245" s="14">
        <f>VLOOKUP(Table9[[#This Row],[Shortname]], Comp[], 7, FALSE)</f>
        <v>85</v>
      </c>
      <c r="K245">
        <f>VLOOKUP(Table9[[#This Row],[Shortname]], Comp[], 8, FALSE)</f>
        <v>0</v>
      </c>
      <c r="L245">
        <f>VLOOKUP(Table9[[#This Row],[Shortname]], Comp[], 9, FALSE)</f>
        <v>0</v>
      </c>
      <c r="M245">
        <f>VLOOKUP(Table9[[#This Row],[Shortname]], Comp[], 10, FALSE)</f>
        <v>0</v>
      </c>
      <c r="N245">
        <f>VLOOKUP(Table9[[#This Row],[Shortname]], Comp[], 11, FALSE)</f>
        <v>0</v>
      </c>
      <c r="O245">
        <f>VLOOKUP(Table9[[#This Row],[Shortname]], Comp[],12, FALSE)</f>
        <v>12</v>
      </c>
      <c r="P245">
        <f>VLOOKUP(Table9[[#This Row],[Shortname]], Comp[], 13, FALSE)</f>
        <v>0</v>
      </c>
      <c r="Q245">
        <f>VLOOKUP(Table9[[#This Row],[Shortname]], Comp[], 14, FALSE)</f>
        <v>0</v>
      </c>
      <c r="R245">
        <f>VLOOKUP(Table9[[#This Row],[Shortname]], Comp[], 15, FALSE)</f>
        <v>0</v>
      </c>
      <c r="S245">
        <f>VLOOKUP(Table9[[#This Row],[Shortname]], Comp[], 16, FALSE)</f>
        <v>0</v>
      </c>
      <c r="T245">
        <f>VLOOKUP(Table9[[#This Row],[Shortname]], Comp[], 17, FALSE)</f>
        <v>0</v>
      </c>
      <c r="U245">
        <f>VLOOKUP(Table9[[#This Row],[Shortname]], Comp[], 18, FALSE)</f>
        <v>0</v>
      </c>
      <c r="V245">
        <f>VLOOKUP(Table9[[#This Row],[Shortname]], Comp[], 19, FALSE)</f>
        <v>0</v>
      </c>
      <c r="W245">
        <f>VLOOKUP(Table9[[#This Row],[Shortname]], Comp[], 20, FALSE)</f>
        <v>0</v>
      </c>
      <c r="X245">
        <f>VLOOKUP(Table9[[#This Row],[Shortname]], Comp[], 21, FALSE)</f>
        <v>3</v>
      </c>
      <c r="Y245">
        <f>VLOOKUP(Table9[[#This Row],[Shortname]], Comp[], 22, FALSE)</f>
        <v>0</v>
      </c>
      <c r="Z245">
        <f>VLOOKUP(Table9[[#This Row],[Shortname]], Comp[], 23, FALSE)</f>
        <v>0</v>
      </c>
      <c r="AA245">
        <f>VLOOKUP(Table9[[#This Row],[Shortname]], Comp[], 24, FALSE)</f>
        <v>0</v>
      </c>
      <c r="AB245">
        <f>VLOOKUP(Table9[[#This Row],[Shortname]], Comp[], 25, FALSE)</f>
        <v>0</v>
      </c>
      <c r="AC245">
        <f>VLOOKUP(Table9[[#This Row],[Shortname]], Comp[], 26, FALSE)</f>
        <v>0</v>
      </c>
      <c r="AD245">
        <f>VLOOKUP(Table9[[#This Row],[Shortname]], Comp[], 27, FALSE)</f>
        <v>0</v>
      </c>
      <c r="AE245">
        <f>VLOOKUP(Table9[[#This Row],[Shortname]], Comp[], 28, FALSE)</f>
        <v>0</v>
      </c>
      <c r="AF245">
        <f>VLOOKUP(Table9[[#This Row],[Shortname]], Comp[], 29, FALSE)</f>
        <v>0</v>
      </c>
      <c r="AG245">
        <f>VLOOKUP(Table9[[#This Row],[Shortname]], Comp[], 30, FALSE)</f>
        <v>0</v>
      </c>
      <c r="AH245">
        <f>VLOOKUP(Table9[[#This Row],[Shortname]], Comp[], 31, FALSE)</f>
        <v>0</v>
      </c>
    </row>
    <row r="246" spans="1:34" x14ac:dyDescent="0.3">
      <c r="A246" t="s">
        <v>2077</v>
      </c>
      <c r="B246" t="s">
        <v>2079</v>
      </c>
      <c r="C246" t="s">
        <v>2065</v>
      </c>
      <c r="D246">
        <v>472</v>
      </c>
      <c r="E246">
        <v>850</v>
      </c>
      <c r="F246">
        <v>1E-4</v>
      </c>
      <c r="G246">
        <v>1</v>
      </c>
      <c r="H246" t="s">
        <v>6803</v>
      </c>
      <c r="I246">
        <f>VLOOKUP(Table9[[#This Row],[Shortname]], Comp[], 6, FALSE)</f>
        <v>273</v>
      </c>
      <c r="J246" s="14">
        <f>VLOOKUP(Table9[[#This Row],[Shortname]], Comp[], 7, FALSE)</f>
        <v>83</v>
      </c>
      <c r="K246">
        <f>VLOOKUP(Table9[[#This Row],[Shortname]], Comp[], 8, FALSE)</f>
        <v>0</v>
      </c>
      <c r="L246">
        <f>VLOOKUP(Table9[[#This Row],[Shortname]], Comp[], 9, FALSE)</f>
        <v>0</v>
      </c>
      <c r="M246">
        <f>VLOOKUP(Table9[[#This Row],[Shortname]], Comp[], 10, FALSE)</f>
        <v>0</v>
      </c>
      <c r="N246">
        <f>VLOOKUP(Table9[[#This Row],[Shortname]], Comp[], 11, FALSE)</f>
        <v>0</v>
      </c>
      <c r="O246">
        <f>VLOOKUP(Table9[[#This Row],[Shortname]], Comp[],12, FALSE)</f>
        <v>12</v>
      </c>
      <c r="P246">
        <f>VLOOKUP(Table9[[#This Row],[Shortname]], Comp[], 13, FALSE)</f>
        <v>0</v>
      </c>
      <c r="Q246">
        <f>VLOOKUP(Table9[[#This Row],[Shortname]], Comp[], 14, FALSE)</f>
        <v>0</v>
      </c>
      <c r="R246">
        <f>VLOOKUP(Table9[[#This Row],[Shortname]], Comp[], 15, FALSE)</f>
        <v>0</v>
      </c>
      <c r="S246">
        <f>VLOOKUP(Table9[[#This Row],[Shortname]], Comp[], 16, FALSE)</f>
        <v>0</v>
      </c>
      <c r="T246">
        <f>VLOOKUP(Table9[[#This Row],[Shortname]], Comp[], 17, FALSE)</f>
        <v>0</v>
      </c>
      <c r="U246">
        <f>VLOOKUP(Table9[[#This Row],[Shortname]], Comp[], 18, FALSE)</f>
        <v>0</v>
      </c>
      <c r="V246">
        <f>VLOOKUP(Table9[[#This Row],[Shortname]], Comp[], 19, FALSE)</f>
        <v>0</v>
      </c>
      <c r="W246">
        <f>VLOOKUP(Table9[[#This Row],[Shortname]], Comp[], 20, FALSE)</f>
        <v>0</v>
      </c>
      <c r="X246">
        <f>VLOOKUP(Table9[[#This Row],[Shortname]], Comp[], 21, FALSE)</f>
        <v>5</v>
      </c>
      <c r="Y246">
        <f>VLOOKUP(Table9[[#This Row],[Shortname]], Comp[], 22, FALSE)</f>
        <v>0</v>
      </c>
      <c r="Z246">
        <f>VLOOKUP(Table9[[#This Row],[Shortname]], Comp[], 23, FALSE)</f>
        <v>0</v>
      </c>
      <c r="AA246">
        <f>VLOOKUP(Table9[[#This Row],[Shortname]], Comp[], 24, FALSE)</f>
        <v>0</v>
      </c>
      <c r="AB246">
        <f>VLOOKUP(Table9[[#This Row],[Shortname]], Comp[], 25, FALSE)</f>
        <v>0</v>
      </c>
      <c r="AC246">
        <f>VLOOKUP(Table9[[#This Row],[Shortname]], Comp[], 26, FALSE)</f>
        <v>0</v>
      </c>
      <c r="AD246">
        <f>VLOOKUP(Table9[[#This Row],[Shortname]], Comp[], 27, FALSE)</f>
        <v>0</v>
      </c>
      <c r="AE246">
        <f>VLOOKUP(Table9[[#This Row],[Shortname]], Comp[], 28, FALSE)</f>
        <v>0</v>
      </c>
      <c r="AF246">
        <f>VLOOKUP(Table9[[#This Row],[Shortname]], Comp[], 29, FALSE)</f>
        <v>0</v>
      </c>
      <c r="AG246">
        <f>VLOOKUP(Table9[[#This Row],[Shortname]], Comp[], 30, FALSE)</f>
        <v>0</v>
      </c>
      <c r="AH246">
        <f>VLOOKUP(Table9[[#This Row],[Shortname]], Comp[], 31, FALSE)</f>
        <v>0</v>
      </c>
    </row>
    <row r="247" spans="1:34" x14ac:dyDescent="0.3">
      <c r="A247" t="s">
        <v>1446</v>
      </c>
      <c r="B247" t="s">
        <v>1448</v>
      </c>
      <c r="C247" t="s">
        <v>1449</v>
      </c>
      <c r="D247">
        <v>471</v>
      </c>
      <c r="E247">
        <v>500</v>
      </c>
      <c r="F247">
        <v>1E-4</v>
      </c>
      <c r="G247">
        <v>1</v>
      </c>
      <c r="H247" t="s">
        <v>6813</v>
      </c>
      <c r="I247">
        <f>VLOOKUP(Table9[[#This Row],[Shortname]], Comp[], 6, FALSE)</f>
        <v>185</v>
      </c>
      <c r="J247" s="14">
        <f>VLOOKUP(Table9[[#This Row],[Shortname]], Comp[], 7, FALSE)</f>
        <v>48.800000000000004</v>
      </c>
      <c r="K247">
        <f>VLOOKUP(Table9[[#This Row],[Shortname]], Comp[], 8, FALSE)</f>
        <v>30.8</v>
      </c>
      <c r="L247">
        <f>VLOOKUP(Table9[[#This Row],[Shortname]], Comp[], 9, FALSE)</f>
        <v>9.5</v>
      </c>
      <c r="M247">
        <f>VLOOKUP(Table9[[#This Row],[Shortname]], Comp[], 10, FALSE)</f>
        <v>0</v>
      </c>
      <c r="N247">
        <f>VLOOKUP(Table9[[#This Row],[Shortname]], Comp[], 11, FALSE)</f>
        <v>4.4000000000000004</v>
      </c>
      <c r="O247">
        <f>VLOOKUP(Table9[[#This Row],[Shortname]], Comp[],12, FALSE)</f>
        <v>3.8</v>
      </c>
      <c r="P247">
        <f>VLOOKUP(Table9[[#This Row],[Shortname]], Comp[], 13, FALSE)</f>
        <v>2.7</v>
      </c>
      <c r="Q247">
        <f>VLOOKUP(Table9[[#This Row],[Shortname]], Comp[], 14, FALSE)</f>
        <v>0</v>
      </c>
      <c r="R247">
        <f>VLOOKUP(Table9[[#This Row],[Shortname]], Comp[], 15, FALSE)</f>
        <v>0</v>
      </c>
      <c r="S247">
        <f>VLOOKUP(Table9[[#This Row],[Shortname]], Comp[], 16, FALSE)</f>
        <v>0</v>
      </c>
      <c r="T247">
        <f>VLOOKUP(Table9[[#This Row],[Shortname]], Comp[], 17, FALSE)</f>
        <v>0</v>
      </c>
      <c r="U247">
        <f>VLOOKUP(Table9[[#This Row],[Shortname]], Comp[], 18, FALSE)</f>
        <v>0</v>
      </c>
      <c r="V247">
        <f>VLOOKUP(Table9[[#This Row],[Shortname]], Comp[], 19, FALSE)</f>
        <v>0</v>
      </c>
      <c r="W247">
        <f>VLOOKUP(Table9[[#This Row],[Shortname]], Comp[], 20, FALSE)</f>
        <v>0</v>
      </c>
      <c r="X247">
        <f>VLOOKUP(Table9[[#This Row],[Shortname]], Comp[], 21, FALSE)</f>
        <v>0</v>
      </c>
      <c r="Y247">
        <f>VLOOKUP(Table9[[#This Row],[Shortname]], Comp[], 22, FALSE)</f>
        <v>0</v>
      </c>
      <c r="Z247">
        <f>VLOOKUP(Table9[[#This Row],[Shortname]], Comp[], 23, FALSE)</f>
        <v>0</v>
      </c>
      <c r="AA247">
        <f>VLOOKUP(Table9[[#This Row],[Shortname]], Comp[], 24, FALSE)</f>
        <v>0</v>
      </c>
      <c r="AB247">
        <f>VLOOKUP(Table9[[#This Row],[Shortname]], Comp[], 25, FALSE)</f>
        <v>0</v>
      </c>
      <c r="AC247">
        <f>VLOOKUP(Table9[[#This Row],[Shortname]], Comp[], 26, FALSE)</f>
        <v>0</v>
      </c>
      <c r="AD247">
        <f>VLOOKUP(Table9[[#This Row],[Shortname]], Comp[], 27, FALSE)</f>
        <v>0</v>
      </c>
      <c r="AE247">
        <f>VLOOKUP(Table9[[#This Row],[Shortname]], Comp[], 28, FALSE)</f>
        <v>0</v>
      </c>
      <c r="AF247">
        <f>VLOOKUP(Table9[[#This Row],[Shortname]], Comp[], 29, FALSE)</f>
        <v>0</v>
      </c>
      <c r="AG247">
        <f>VLOOKUP(Table9[[#This Row],[Shortname]], Comp[], 30, FALSE)</f>
        <v>0</v>
      </c>
      <c r="AH247">
        <f>VLOOKUP(Table9[[#This Row],[Shortname]], Comp[], 31, FALSE)</f>
        <v>0</v>
      </c>
    </row>
    <row r="248" spans="1:34" x14ac:dyDescent="0.3">
      <c r="A248" t="s">
        <v>3154</v>
      </c>
      <c r="B248" t="s">
        <v>3156</v>
      </c>
      <c r="C248" t="s">
        <v>3157</v>
      </c>
      <c r="D248">
        <v>470</v>
      </c>
      <c r="E248">
        <v>800</v>
      </c>
      <c r="F248">
        <v>1E-4</v>
      </c>
      <c r="G248">
        <v>1</v>
      </c>
      <c r="H248" t="s">
        <v>6803</v>
      </c>
      <c r="I248">
        <f>VLOOKUP(Table9[[#This Row],[Shortname]], Comp[], 6, FALSE)</f>
        <v>440</v>
      </c>
      <c r="J248" s="14">
        <f>VLOOKUP(Table9[[#This Row],[Shortname]], Comp[], 7, FALSE)</f>
        <v>80</v>
      </c>
      <c r="K248">
        <f>VLOOKUP(Table9[[#This Row],[Shortname]], Comp[], 8, FALSE)</f>
        <v>0</v>
      </c>
      <c r="L248">
        <f>VLOOKUP(Table9[[#This Row],[Shortname]], Comp[], 9, FALSE)</f>
        <v>0</v>
      </c>
      <c r="M248">
        <f>VLOOKUP(Table9[[#This Row],[Shortname]], Comp[], 10, FALSE)</f>
        <v>0</v>
      </c>
      <c r="N248">
        <f>VLOOKUP(Table9[[#This Row],[Shortname]], Comp[], 11, FALSE)</f>
        <v>0</v>
      </c>
      <c r="O248">
        <f>VLOOKUP(Table9[[#This Row],[Shortname]], Comp[],12, FALSE)</f>
        <v>5</v>
      </c>
      <c r="P248">
        <f>VLOOKUP(Table9[[#This Row],[Shortname]], Comp[], 13, FALSE)</f>
        <v>0</v>
      </c>
      <c r="Q248">
        <f>VLOOKUP(Table9[[#This Row],[Shortname]], Comp[], 14, FALSE)</f>
        <v>0</v>
      </c>
      <c r="R248">
        <f>VLOOKUP(Table9[[#This Row],[Shortname]], Comp[], 15, FALSE)</f>
        <v>15</v>
      </c>
      <c r="S248">
        <f>VLOOKUP(Table9[[#This Row],[Shortname]], Comp[], 16, FALSE)</f>
        <v>0</v>
      </c>
      <c r="T248">
        <f>VLOOKUP(Table9[[#This Row],[Shortname]], Comp[], 17, FALSE)</f>
        <v>0</v>
      </c>
      <c r="U248">
        <f>VLOOKUP(Table9[[#This Row],[Shortname]], Comp[], 18, FALSE)</f>
        <v>0</v>
      </c>
      <c r="V248">
        <f>VLOOKUP(Table9[[#This Row],[Shortname]], Comp[], 19, FALSE)</f>
        <v>0</v>
      </c>
      <c r="W248">
        <f>VLOOKUP(Table9[[#This Row],[Shortname]], Comp[], 20, FALSE)</f>
        <v>0</v>
      </c>
      <c r="X248">
        <f>VLOOKUP(Table9[[#This Row],[Shortname]], Comp[], 21, FALSE)</f>
        <v>0</v>
      </c>
      <c r="Y248">
        <f>VLOOKUP(Table9[[#This Row],[Shortname]], Comp[], 22, FALSE)</f>
        <v>0</v>
      </c>
      <c r="Z248">
        <f>VLOOKUP(Table9[[#This Row],[Shortname]], Comp[], 23, FALSE)</f>
        <v>0</v>
      </c>
      <c r="AA248">
        <f>VLOOKUP(Table9[[#This Row],[Shortname]], Comp[], 24, FALSE)</f>
        <v>0</v>
      </c>
      <c r="AB248">
        <f>VLOOKUP(Table9[[#This Row],[Shortname]], Comp[], 25, FALSE)</f>
        <v>0</v>
      </c>
      <c r="AC248">
        <f>VLOOKUP(Table9[[#This Row],[Shortname]], Comp[], 26, FALSE)</f>
        <v>0</v>
      </c>
      <c r="AD248">
        <f>VLOOKUP(Table9[[#This Row],[Shortname]], Comp[], 27, FALSE)</f>
        <v>0</v>
      </c>
      <c r="AE248">
        <f>VLOOKUP(Table9[[#This Row],[Shortname]], Comp[], 28, FALSE)</f>
        <v>0</v>
      </c>
      <c r="AF248">
        <f>VLOOKUP(Table9[[#This Row],[Shortname]], Comp[], 29, FALSE)</f>
        <v>0</v>
      </c>
      <c r="AG248">
        <f>VLOOKUP(Table9[[#This Row],[Shortname]], Comp[], 30, FALSE)</f>
        <v>0</v>
      </c>
      <c r="AH248">
        <f>VLOOKUP(Table9[[#This Row],[Shortname]], Comp[], 31, FALSE)</f>
        <v>0</v>
      </c>
    </row>
    <row r="249" spans="1:34" x14ac:dyDescent="0.3">
      <c r="A249" t="s">
        <v>82</v>
      </c>
      <c r="B249" t="s">
        <v>84</v>
      </c>
      <c r="C249" t="s">
        <v>6819</v>
      </c>
      <c r="D249">
        <v>468</v>
      </c>
      <c r="E249">
        <v>900</v>
      </c>
      <c r="F249">
        <v>1E-3</v>
      </c>
      <c r="G249">
        <v>1</v>
      </c>
      <c r="H249" t="s">
        <v>6807</v>
      </c>
      <c r="I249">
        <f>VLOOKUP(Table9[[#This Row],[Shortname]], Comp[], 6, FALSE)</f>
        <v>8</v>
      </c>
      <c r="J249" s="14">
        <f>VLOOKUP(Table9[[#This Row],[Shortname]], Comp[], 7, FALSE)</f>
        <v>40.210000000000008</v>
      </c>
      <c r="K249">
        <f>VLOOKUP(Table9[[#This Row],[Shortname]], Comp[], 8, FALSE)</f>
        <v>31.14</v>
      </c>
      <c r="L249">
        <f>VLOOKUP(Table9[[#This Row],[Shortname]], Comp[], 9, FALSE)</f>
        <v>10.76</v>
      </c>
      <c r="M249">
        <f>VLOOKUP(Table9[[#This Row],[Shortname]], Comp[], 10, FALSE)</f>
        <v>10.83</v>
      </c>
      <c r="N249">
        <f>VLOOKUP(Table9[[#This Row],[Shortname]], Comp[], 11, FALSE)</f>
        <v>0</v>
      </c>
      <c r="O249">
        <f>VLOOKUP(Table9[[#This Row],[Shortname]], Comp[],12, FALSE)</f>
        <v>0</v>
      </c>
      <c r="P249">
        <f>VLOOKUP(Table9[[#This Row],[Shortname]], Comp[], 13, FALSE)</f>
        <v>2.54</v>
      </c>
      <c r="Q249">
        <f>VLOOKUP(Table9[[#This Row],[Shortname]], Comp[], 14, FALSE)</f>
        <v>0</v>
      </c>
      <c r="R249">
        <f>VLOOKUP(Table9[[#This Row],[Shortname]], Comp[], 15, FALSE)</f>
        <v>0</v>
      </c>
      <c r="S249">
        <f>VLOOKUP(Table9[[#This Row],[Shortname]], Comp[], 16, FALSE)</f>
        <v>4.03</v>
      </c>
      <c r="T249">
        <f>VLOOKUP(Table9[[#This Row],[Shortname]], Comp[], 17, FALSE)</f>
        <v>0.22</v>
      </c>
      <c r="U249">
        <f>VLOOKUP(Table9[[#This Row],[Shortname]], Comp[], 18, FALSE)</f>
        <v>0.05</v>
      </c>
      <c r="V249">
        <f>VLOOKUP(Table9[[#This Row],[Shortname]], Comp[], 19, FALSE)</f>
        <v>0.22</v>
      </c>
      <c r="W249">
        <f>VLOOKUP(Table9[[#This Row],[Shortname]], Comp[], 20, FALSE)</f>
        <v>0</v>
      </c>
      <c r="X249">
        <f>VLOOKUP(Table9[[#This Row],[Shortname]], Comp[], 21, FALSE)</f>
        <v>0</v>
      </c>
      <c r="Y249">
        <f>VLOOKUP(Table9[[#This Row],[Shortname]], Comp[], 22, FALSE)</f>
        <v>0</v>
      </c>
      <c r="Z249">
        <f>VLOOKUP(Table9[[#This Row],[Shortname]], Comp[], 23, FALSE)</f>
        <v>0</v>
      </c>
      <c r="AA249">
        <f>VLOOKUP(Table9[[#This Row],[Shortname]], Comp[], 24, FALSE)</f>
        <v>0</v>
      </c>
      <c r="AB249">
        <f>VLOOKUP(Table9[[#This Row],[Shortname]], Comp[], 25, FALSE)</f>
        <v>0</v>
      </c>
      <c r="AC249">
        <f>VLOOKUP(Table9[[#This Row],[Shortname]], Comp[], 26, FALSE)</f>
        <v>0</v>
      </c>
      <c r="AD249">
        <f>VLOOKUP(Table9[[#This Row],[Shortname]], Comp[], 27, FALSE)</f>
        <v>0</v>
      </c>
      <c r="AE249">
        <f>VLOOKUP(Table9[[#This Row],[Shortname]], Comp[], 28, FALSE)</f>
        <v>0</v>
      </c>
      <c r="AF249">
        <f>VLOOKUP(Table9[[#This Row],[Shortname]], Comp[], 29, FALSE)</f>
        <v>0</v>
      </c>
      <c r="AG249">
        <f>VLOOKUP(Table9[[#This Row],[Shortname]], Comp[], 30, FALSE)</f>
        <v>0</v>
      </c>
      <c r="AH249">
        <f>VLOOKUP(Table9[[#This Row],[Shortname]], Comp[], 31, FALSE)</f>
        <v>0</v>
      </c>
    </row>
    <row r="250" spans="1:34" x14ac:dyDescent="0.3">
      <c r="A250" t="s">
        <v>3154</v>
      </c>
      <c r="B250" t="s">
        <v>3156</v>
      </c>
      <c r="C250" t="s">
        <v>3157</v>
      </c>
      <c r="D250">
        <v>468</v>
      </c>
      <c r="E250">
        <v>600</v>
      </c>
      <c r="F250">
        <v>1E-4</v>
      </c>
      <c r="G250">
        <v>1</v>
      </c>
      <c r="H250" t="s">
        <v>6803</v>
      </c>
      <c r="I250">
        <f>VLOOKUP(Table9[[#This Row],[Shortname]], Comp[], 6, FALSE)</f>
        <v>440</v>
      </c>
      <c r="J250" s="14">
        <f>VLOOKUP(Table9[[#This Row],[Shortname]], Comp[], 7, FALSE)</f>
        <v>80</v>
      </c>
      <c r="K250">
        <f>VLOOKUP(Table9[[#This Row],[Shortname]], Comp[], 8, FALSE)</f>
        <v>0</v>
      </c>
      <c r="L250">
        <f>VLOOKUP(Table9[[#This Row],[Shortname]], Comp[], 9, FALSE)</f>
        <v>0</v>
      </c>
      <c r="M250">
        <f>VLOOKUP(Table9[[#This Row],[Shortname]], Comp[], 10, FALSE)</f>
        <v>0</v>
      </c>
      <c r="N250">
        <f>VLOOKUP(Table9[[#This Row],[Shortname]], Comp[], 11, FALSE)</f>
        <v>0</v>
      </c>
      <c r="O250">
        <f>VLOOKUP(Table9[[#This Row],[Shortname]], Comp[],12, FALSE)</f>
        <v>5</v>
      </c>
      <c r="P250">
        <f>VLOOKUP(Table9[[#This Row],[Shortname]], Comp[], 13, FALSE)</f>
        <v>0</v>
      </c>
      <c r="Q250">
        <f>VLOOKUP(Table9[[#This Row],[Shortname]], Comp[], 14, FALSE)</f>
        <v>0</v>
      </c>
      <c r="R250">
        <f>VLOOKUP(Table9[[#This Row],[Shortname]], Comp[], 15, FALSE)</f>
        <v>15</v>
      </c>
      <c r="S250">
        <f>VLOOKUP(Table9[[#This Row],[Shortname]], Comp[], 16, FALSE)</f>
        <v>0</v>
      </c>
      <c r="T250">
        <f>VLOOKUP(Table9[[#This Row],[Shortname]], Comp[], 17, FALSE)</f>
        <v>0</v>
      </c>
      <c r="U250">
        <f>VLOOKUP(Table9[[#This Row],[Shortname]], Comp[], 18, FALSE)</f>
        <v>0</v>
      </c>
      <c r="V250">
        <f>VLOOKUP(Table9[[#This Row],[Shortname]], Comp[], 19, FALSE)</f>
        <v>0</v>
      </c>
      <c r="W250">
        <f>VLOOKUP(Table9[[#This Row],[Shortname]], Comp[], 20, FALSE)</f>
        <v>0</v>
      </c>
      <c r="X250">
        <f>VLOOKUP(Table9[[#This Row],[Shortname]], Comp[], 21, FALSE)</f>
        <v>0</v>
      </c>
      <c r="Y250">
        <f>VLOOKUP(Table9[[#This Row],[Shortname]], Comp[], 22, FALSE)</f>
        <v>0</v>
      </c>
      <c r="Z250">
        <f>VLOOKUP(Table9[[#This Row],[Shortname]], Comp[], 23, FALSE)</f>
        <v>0</v>
      </c>
      <c r="AA250">
        <f>VLOOKUP(Table9[[#This Row],[Shortname]], Comp[], 24, FALSE)</f>
        <v>0</v>
      </c>
      <c r="AB250">
        <f>VLOOKUP(Table9[[#This Row],[Shortname]], Comp[], 25, FALSE)</f>
        <v>0</v>
      </c>
      <c r="AC250">
        <f>VLOOKUP(Table9[[#This Row],[Shortname]], Comp[], 26, FALSE)</f>
        <v>0</v>
      </c>
      <c r="AD250">
        <f>VLOOKUP(Table9[[#This Row],[Shortname]], Comp[], 27, FALSE)</f>
        <v>0</v>
      </c>
      <c r="AE250">
        <f>VLOOKUP(Table9[[#This Row],[Shortname]], Comp[], 28, FALSE)</f>
        <v>0</v>
      </c>
      <c r="AF250">
        <f>VLOOKUP(Table9[[#This Row],[Shortname]], Comp[], 29, FALSE)</f>
        <v>0</v>
      </c>
      <c r="AG250">
        <f>VLOOKUP(Table9[[#This Row],[Shortname]], Comp[], 30, FALSE)</f>
        <v>0</v>
      </c>
      <c r="AH250">
        <f>VLOOKUP(Table9[[#This Row],[Shortname]], Comp[], 31, FALSE)</f>
        <v>0</v>
      </c>
    </row>
    <row r="251" spans="1:34" x14ac:dyDescent="0.3">
      <c r="A251" t="s">
        <v>2208</v>
      </c>
      <c r="B251" t="s">
        <v>2210</v>
      </c>
      <c r="C251" t="s">
        <v>2211</v>
      </c>
      <c r="D251">
        <v>467</v>
      </c>
      <c r="E251">
        <v>600</v>
      </c>
      <c r="F251">
        <v>1E-4</v>
      </c>
      <c r="G251">
        <v>1</v>
      </c>
      <c r="H251" t="s">
        <v>6803</v>
      </c>
      <c r="I251">
        <f>VLOOKUP(Table9[[#This Row],[Shortname]], Comp[], 6, FALSE)</f>
        <v>291</v>
      </c>
      <c r="J251" s="14">
        <f>VLOOKUP(Table9[[#This Row],[Shortname]], Comp[], 7, FALSE)</f>
        <v>83.7</v>
      </c>
      <c r="K251">
        <f>VLOOKUP(Table9[[#This Row],[Shortname]], Comp[], 8, FALSE)</f>
        <v>0</v>
      </c>
      <c r="L251">
        <f>VLOOKUP(Table9[[#This Row],[Shortname]], Comp[], 9, FALSE)</f>
        <v>0</v>
      </c>
      <c r="M251">
        <f>VLOOKUP(Table9[[#This Row],[Shortname]], Comp[], 10, FALSE)</f>
        <v>0</v>
      </c>
      <c r="N251">
        <f>VLOOKUP(Table9[[#This Row],[Shortname]], Comp[], 11, FALSE)</f>
        <v>0</v>
      </c>
      <c r="O251">
        <f>VLOOKUP(Table9[[#This Row],[Shortname]], Comp[],12, FALSE)</f>
        <v>4.2</v>
      </c>
      <c r="P251">
        <f>VLOOKUP(Table9[[#This Row],[Shortname]], Comp[], 13, FALSE)</f>
        <v>0</v>
      </c>
      <c r="Q251">
        <f>VLOOKUP(Table9[[#This Row],[Shortname]], Comp[], 14, FALSE)</f>
        <v>0</v>
      </c>
      <c r="R251">
        <f>VLOOKUP(Table9[[#This Row],[Shortname]], Comp[], 15, FALSE)</f>
        <v>12.1</v>
      </c>
      <c r="S251">
        <f>VLOOKUP(Table9[[#This Row],[Shortname]], Comp[], 16, FALSE)</f>
        <v>0</v>
      </c>
      <c r="T251">
        <f>VLOOKUP(Table9[[#This Row],[Shortname]], Comp[], 17, FALSE)</f>
        <v>0</v>
      </c>
      <c r="U251">
        <f>VLOOKUP(Table9[[#This Row],[Shortname]], Comp[], 18, FALSE)</f>
        <v>0</v>
      </c>
      <c r="V251">
        <f>VLOOKUP(Table9[[#This Row],[Shortname]], Comp[], 19, FALSE)</f>
        <v>0</v>
      </c>
      <c r="W251">
        <f>VLOOKUP(Table9[[#This Row],[Shortname]], Comp[], 20, FALSE)</f>
        <v>0</v>
      </c>
      <c r="X251">
        <f>VLOOKUP(Table9[[#This Row],[Shortname]], Comp[], 21, FALSE)</f>
        <v>0</v>
      </c>
      <c r="Y251">
        <f>VLOOKUP(Table9[[#This Row],[Shortname]], Comp[], 22, FALSE)</f>
        <v>0</v>
      </c>
      <c r="Z251">
        <f>VLOOKUP(Table9[[#This Row],[Shortname]], Comp[], 23, FALSE)</f>
        <v>0</v>
      </c>
      <c r="AA251">
        <f>VLOOKUP(Table9[[#This Row],[Shortname]], Comp[], 24, FALSE)</f>
        <v>0</v>
      </c>
      <c r="AB251">
        <f>VLOOKUP(Table9[[#This Row],[Shortname]], Comp[], 25, FALSE)</f>
        <v>0</v>
      </c>
      <c r="AC251">
        <f>VLOOKUP(Table9[[#This Row],[Shortname]], Comp[], 26, FALSE)</f>
        <v>0</v>
      </c>
      <c r="AD251">
        <f>VLOOKUP(Table9[[#This Row],[Shortname]], Comp[], 27, FALSE)</f>
        <v>0</v>
      </c>
      <c r="AE251">
        <f>VLOOKUP(Table9[[#This Row],[Shortname]], Comp[], 28, FALSE)</f>
        <v>0</v>
      </c>
      <c r="AF251">
        <f>VLOOKUP(Table9[[#This Row],[Shortname]], Comp[], 29, FALSE)</f>
        <v>0</v>
      </c>
      <c r="AG251">
        <f>VLOOKUP(Table9[[#This Row],[Shortname]], Comp[], 30, FALSE)</f>
        <v>0</v>
      </c>
      <c r="AH251">
        <f>VLOOKUP(Table9[[#This Row],[Shortname]], Comp[], 31, FALSE)</f>
        <v>0</v>
      </c>
    </row>
    <row r="252" spans="1:34" x14ac:dyDescent="0.3">
      <c r="A252" t="s">
        <v>3154</v>
      </c>
      <c r="B252" t="s">
        <v>3156</v>
      </c>
      <c r="C252" t="s">
        <v>3157</v>
      </c>
      <c r="D252">
        <v>466</v>
      </c>
      <c r="E252">
        <v>650</v>
      </c>
      <c r="F252">
        <v>1E-4</v>
      </c>
      <c r="G252">
        <v>1</v>
      </c>
      <c r="H252" t="s">
        <v>6803</v>
      </c>
      <c r="I252">
        <f>VLOOKUP(Table9[[#This Row],[Shortname]], Comp[], 6, FALSE)</f>
        <v>440</v>
      </c>
      <c r="J252" s="14">
        <f>VLOOKUP(Table9[[#This Row],[Shortname]], Comp[], 7, FALSE)</f>
        <v>80</v>
      </c>
      <c r="K252">
        <f>VLOOKUP(Table9[[#This Row],[Shortname]], Comp[], 8, FALSE)</f>
        <v>0</v>
      </c>
      <c r="L252">
        <f>VLOOKUP(Table9[[#This Row],[Shortname]], Comp[], 9, FALSE)</f>
        <v>0</v>
      </c>
      <c r="M252">
        <f>VLOOKUP(Table9[[#This Row],[Shortname]], Comp[], 10, FALSE)</f>
        <v>0</v>
      </c>
      <c r="N252">
        <f>VLOOKUP(Table9[[#This Row],[Shortname]], Comp[], 11, FALSE)</f>
        <v>0</v>
      </c>
      <c r="O252">
        <f>VLOOKUP(Table9[[#This Row],[Shortname]], Comp[],12, FALSE)</f>
        <v>5</v>
      </c>
      <c r="P252">
        <f>VLOOKUP(Table9[[#This Row],[Shortname]], Comp[], 13, FALSE)</f>
        <v>0</v>
      </c>
      <c r="Q252">
        <f>VLOOKUP(Table9[[#This Row],[Shortname]], Comp[], 14, FALSE)</f>
        <v>0</v>
      </c>
      <c r="R252">
        <f>VLOOKUP(Table9[[#This Row],[Shortname]], Comp[], 15, FALSE)</f>
        <v>15</v>
      </c>
      <c r="S252">
        <f>VLOOKUP(Table9[[#This Row],[Shortname]], Comp[], 16, FALSE)</f>
        <v>0</v>
      </c>
      <c r="T252">
        <f>VLOOKUP(Table9[[#This Row],[Shortname]], Comp[], 17, FALSE)</f>
        <v>0</v>
      </c>
      <c r="U252">
        <f>VLOOKUP(Table9[[#This Row],[Shortname]], Comp[], 18, FALSE)</f>
        <v>0</v>
      </c>
      <c r="V252">
        <f>VLOOKUP(Table9[[#This Row],[Shortname]], Comp[], 19, FALSE)</f>
        <v>0</v>
      </c>
      <c r="W252">
        <f>VLOOKUP(Table9[[#This Row],[Shortname]], Comp[], 20, FALSE)</f>
        <v>0</v>
      </c>
      <c r="X252">
        <f>VLOOKUP(Table9[[#This Row],[Shortname]], Comp[], 21, FALSE)</f>
        <v>0</v>
      </c>
      <c r="Y252">
        <f>VLOOKUP(Table9[[#This Row],[Shortname]], Comp[], 22, FALSE)</f>
        <v>0</v>
      </c>
      <c r="Z252">
        <f>VLOOKUP(Table9[[#This Row],[Shortname]], Comp[], 23, FALSE)</f>
        <v>0</v>
      </c>
      <c r="AA252">
        <f>VLOOKUP(Table9[[#This Row],[Shortname]], Comp[], 24, FALSE)</f>
        <v>0</v>
      </c>
      <c r="AB252">
        <f>VLOOKUP(Table9[[#This Row],[Shortname]], Comp[], 25, FALSE)</f>
        <v>0</v>
      </c>
      <c r="AC252">
        <f>VLOOKUP(Table9[[#This Row],[Shortname]], Comp[], 26, FALSE)</f>
        <v>0</v>
      </c>
      <c r="AD252">
        <f>VLOOKUP(Table9[[#This Row],[Shortname]], Comp[], 27, FALSE)</f>
        <v>0</v>
      </c>
      <c r="AE252">
        <f>VLOOKUP(Table9[[#This Row],[Shortname]], Comp[], 28, FALSE)</f>
        <v>0</v>
      </c>
      <c r="AF252">
        <f>VLOOKUP(Table9[[#This Row],[Shortname]], Comp[], 29, FALSE)</f>
        <v>0</v>
      </c>
      <c r="AG252">
        <f>VLOOKUP(Table9[[#This Row],[Shortname]], Comp[], 30, FALSE)</f>
        <v>0</v>
      </c>
      <c r="AH252">
        <f>VLOOKUP(Table9[[#This Row],[Shortname]], Comp[], 31, FALSE)</f>
        <v>0</v>
      </c>
    </row>
    <row r="253" spans="1:34" x14ac:dyDescent="0.3">
      <c r="A253" t="s">
        <v>3168</v>
      </c>
      <c r="B253" t="s">
        <v>3170</v>
      </c>
      <c r="C253" t="s">
        <v>3157</v>
      </c>
      <c r="D253">
        <v>464</v>
      </c>
      <c r="E253">
        <v>850</v>
      </c>
      <c r="F253">
        <v>1E-4</v>
      </c>
      <c r="G253">
        <v>1</v>
      </c>
      <c r="H253" t="s">
        <v>6803</v>
      </c>
      <c r="I253">
        <f>VLOOKUP(Table9[[#This Row],[Shortname]], Comp[], 6, FALSE)</f>
        <v>442</v>
      </c>
      <c r="J253" s="14">
        <f>VLOOKUP(Table9[[#This Row],[Shortname]], Comp[], 7, FALSE)</f>
        <v>78</v>
      </c>
      <c r="K253">
        <f>VLOOKUP(Table9[[#This Row],[Shortname]], Comp[], 8, FALSE)</f>
        <v>2</v>
      </c>
      <c r="L253">
        <f>VLOOKUP(Table9[[#This Row],[Shortname]], Comp[], 9, FALSE)</f>
        <v>0</v>
      </c>
      <c r="M253">
        <f>VLOOKUP(Table9[[#This Row],[Shortname]], Comp[], 10, FALSE)</f>
        <v>0</v>
      </c>
      <c r="N253">
        <f>VLOOKUP(Table9[[#This Row],[Shortname]], Comp[], 11, FALSE)</f>
        <v>0</v>
      </c>
      <c r="O253">
        <f>VLOOKUP(Table9[[#This Row],[Shortname]], Comp[],12, FALSE)</f>
        <v>5</v>
      </c>
      <c r="P253">
        <f>VLOOKUP(Table9[[#This Row],[Shortname]], Comp[], 13, FALSE)</f>
        <v>0</v>
      </c>
      <c r="Q253">
        <f>VLOOKUP(Table9[[#This Row],[Shortname]], Comp[], 14, FALSE)</f>
        <v>0</v>
      </c>
      <c r="R253">
        <f>VLOOKUP(Table9[[#This Row],[Shortname]], Comp[], 15, FALSE)</f>
        <v>15</v>
      </c>
      <c r="S253">
        <f>VLOOKUP(Table9[[#This Row],[Shortname]], Comp[], 16, FALSE)</f>
        <v>0</v>
      </c>
      <c r="T253">
        <f>VLOOKUP(Table9[[#This Row],[Shortname]], Comp[], 17, FALSE)</f>
        <v>0</v>
      </c>
      <c r="U253">
        <f>VLOOKUP(Table9[[#This Row],[Shortname]], Comp[], 18, FALSE)</f>
        <v>0</v>
      </c>
      <c r="V253">
        <f>VLOOKUP(Table9[[#This Row],[Shortname]], Comp[], 19, FALSE)</f>
        <v>0</v>
      </c>
      <c r="W253">
        <f>VLOOKUP(Table9[[#This Row],[Shortname]], Comp[], 20, FALSE)</f>
        <v>0</v>
      </c>
      <c r="X253">
        <f>VLOOKUP(Table9[[#This Row],[Shortname]], Comp[], 21, FALSE)</f>
        <v>0</v>
      </c>
      <c r="Y253">
        <f>VLOOKUP(Table9[[#This Row],[Shortname]], Comp[], 22, FALSE)</f>
        <v>0</v>
      </c>
      <c r="Z253">
        <f>VLOOKUP(Table9[[#This Row],[Shortname]], Comp[], 23, FALSE)</f>
        <v>0</v>
      </c>
      <c r="AA253">
        <f>VLOOKUP(Table9[[#This Row],[Shortname]], Comp[], 24, FALSE)</f>
        <v>0</v>
      </c>
      <c r="AB253">
        <f>VLOOKUP(Table9[[#This Row],[Shortname]], Comp[], 25, FALSE)</f>
        <v>0</v>
      </c>
      <c r="AC253">
        <f>VLOOKUP(Table9[[#This Row],[Shortname]], Comp[], 26, FALSE)</f>
        <v>0</v>
      </c>
      <c r="AD253">
        <f>VLOOKUP(Table9[[#This Row],[Shortname]], Comp[], 27, FALSE)</f>
        <v>0</v>
      </c>
      <c r="AE253">
        <f>VLOOKUP(Table9[[#This Row],[Shortname]], Comp[], 28, FALSE)</f>
        <v>0</v>
      </c>
      <c r="AF253">
        <f>VLOOKUP(Table9[[#This Row],[Shortname]], Comp[], 29, FALSE)</f>
        <v>0</v>
      </c>
      <c r="AG253">
        <f>VLOOKUP(Table9[[#This Row],[Shortname]], Comp[], 30, FALSE)</f>
        <v>0</v>
      </c>
      <c r="AH253">
        <f>VLOOKUP(Table9[[#This Row],[Shortname]], Comp[], 31, FALSE)</f>
        <v>0</v>
      </c>
    </row>
    <row r="254" spans="1:34" x14ac:dyDescent="0.3">
      <c r="A254" t="s">
        <v>3414</v>
      </c>
      <c r="B254" t="s">
        <v>3416</v>
      </c>
      <c r="C254" t="s">
        <v>3401</v>
      </c>
      <c r="D254">
        <v>464</v>
      </c>
      <c r="E254">
        <v>650</v>
      </c>
      <c r="F254">
        <v>2.0000000000000001E-4</v>
      </c>
      <c r="G254">
        <v>1</v>
      </c>
      <c r="H254" t="s">
        <v>6803</v>
      </c>
      <c r="I254">
        <f>VLOOKUP(Table9[[#This Row],[Shortname]], Comp[], 6, FALSE)</f>
        <v>485</v>
      </c>
      <c r="J254" s="14">
        <f>VLOOKUP(Table9[[#This Row],[Shortname]], Comp[], 7, FALSE)</f>
        <v>82.78</v>
      </c>
      <c r="K254">
        <f>VLOOKUP(Table9[[#This Row],[Shortname]], Comp[], 8, FALSE)</f>
        <v>0</v>
      </c>
      <c r="L254">
        <f>VLOOKUP(Table9[[#This Row],[Shortname]], Comp[], 9, FALSE)</f>
        <v>9</v>
      </c>
      <c r="M254">
        <f>VLOOKUP(Table9[[#This Row],[Shortname]], Comp[], 10, FALSE)</f>
        <v>0</v>
      </c>
      <c r="N254">
        <f>VLOOKUP(Table9[[#This Row],[Shortname]], Comp[], 11, FALSE)</f>
        <v>8.1999999999999993</v>
      </c>
      <c r="O254">
        <f>VLOOKUP(Table9[[#This Row],[Shortname]], Comp[],12, FALSE)</f>
        <v>0</v>
      </c>
      <c r="P254">
        <f>VLOOKUP(Table9[[#This Row],[Shortname]], Comp[], 13, FALSE)</f>
        <v>0</v>
      </c>
      <c r="Q254">
        <f>VLOOKUP(Table9[[#This Row],[Shortname]], Comp[], 14, FALSE)</f>
        <v>0</v>
      </c>
      <c r="R254">
        <f>VLOOKUP(Table9[[#This Row],[Shortname]], Comp[], 15, FALSE)</f>
        <v>0</v>
      </c>
      <c r="S254">
        <f>VLOOKUP(Table9[[#This Row],[Shortname]], Comp[], 16, FALSE)</f>
        <v>0</v>
      </c>
      <c r="T254">
        <f>VLOOKUP(Table9[[#This Row],[Shortname]], Comp[], 17, FALSE)</f>
        <v>0</v>
      </c>
      <c r="U254">
        <f>VLOOKUP(Table9[[#This Row],[Shortname]], Comp[], 18, FALSE)</f>
        <v>0</v>
      </c>
      <c r="V254">
        <f>VLOOKUP(Table9[[#This Row],[Shortname]], Comp[], 19, FALSE)</f>
        <v>0.02</v>
      </c>
      <c r="W254">
        <f>VLOOKUP(Table9[[#This Row],[Shortname]], Comp[], 20, FALSE)</f>
        <v>0</v>
      </c>
      <c r="X254">
        <f>VLOOKUP(Table9[[#This Row],[Shortname]], Comp[], 21, FALSE)</f>
        <v>0</v>
      </c>
      <c r="Y254">
        <f>VLOOKUP(Table9[[#This Row],[Shortname]], Comp[], 22, FALSE)</f>
        <v>0</v>
      </c>
      <c r="Z254">
        <f>VLOOKUP(Table9[[#This Row],[Shortname]], Comp[], 23, FALSE)</f>
        <v>0</v>
      </c>
      <c r="AA254">
        <f>VLOOKUP(Table9[[#This Row],[Shortname]], Comp[], 24, FALSE)</f>
        <v>0</v>
      </c>
      <c r="AB254">
        <f>VLOOKUP(Table9[[#This Row],[Shortname]], Comp[], 25, FALSE)</f>
        <v>0</v>
      </c>
      <c r="AC254">
        <f>VLOOKUP(Table9[[#This Row],[Shortname]], Comp[], 26, FALSE)</f>
        <v>0</v>
      </c>
      <c r="AD254">
        <f>VLOOKUP(Table9[[#This Row],[Shortname]], Comp[], 27, FALSE)</f>
        <v>0</v>
      </c>
      <c r="AE254">
        <f>VLOOKUP(Table9[[#This Row],[Shortname]], Comp[], 28, FALSE)</f>
        <v>0</v>
      </c>
      <c r="AF254">
        <f>VLOOKUP(Table9[[#This Row],[Shortname]], Comp[], 29, FALSE)</f>
        <v>0</v>
      </c>
      <c r="AG254">
        <f>VLOOKUP(Table9[[#This Row],[Shortname]], Comp[], 30, FALSE)</f>
        <v>0</v>
      </c>
      <c r="AH254">
        <f>VLOOKUP(Table9[[#This Row],[Shortname]], Comp[], 31, FALSE)</f>
        <v>0</v>
      </c>
    </row>
    <row r="255" spans="1:34" x14ac:dyDescent="0.3">
      <c r="A255" t="s">
        <v>641</v>
      </c>
      <c r="B255" t="s">
        <v>3494</v>
      </c>
      <c r="C255" t="s">
        <v>3495</v>
      </c>
      <c r="D255">
        <v>464</v>
      </c>
      <c r="E255">
        <v>700</v>
      </c>
      <c r="F255">
        <v>1E-4</v>
      </c>
      <c r="G255">
        <v>1</v>
      </c>
      <c r="H255" t="s">
        <v>6803</v>
      </c>
      <c r="I255">
        <f>VLOOKUP(Table9[[#This Row],[Shortname]], Comp[], 6, FALSE)</f>
        <v>82</v>
      </c>
      <c r="J255" s="14">
        <f>VLOOKUP(Table9[[#This Row],[Shortname]], Comp[], 7, FALSE)</f>
        <v>82</v>
      </c>
      <c r="K255">
        <f>VLOOKUP(Table9[[#This Row],[Shortname]], Comp[], 8, FALSE)</f>
        <v>0</v>
      </c>
      <c r="L255">
        <f>VLOOKUP(Table9[[#This Row],[Shortname]], Comp[], 9, FALSE)</f>
        <v>9</v>
      </c>
      <c r="M255">
        <f>VLOOKUP(Table9[[#This Row],[Shortname]], Comp[], 10, FALSE)</f>
        <v>0</v>
      </c>
      <c r="N255">
        <f>VLOOKUP(Table9[[#This Row],[Shortname]], Comp[], 11, FALSE)</f>
        <v>9</v>
      </c>
      <c r="O255">
        <f>VLOOKUP(Table9[[#This Row],[Shortname]], Comp[],12, FALSE)</f>
        <v>0</v>
      </c>
      <c r="P255">
        <f>VLOOKUP(Table9[[#This Row],[Shortname]], Comp[], 13, FALSE)</f>
        <v>0</v>
      </c>
      <c r="Q255">
        <f>VLOOKUP(Table9[[#This Row],[Shortname]], Comp[], 14, FALSE)</f>
        <v>0</v>
      </c>
      <c r="R255">
        <f>VLOOKUP(Table9[[#This Row],[Shortname]], Comp[], 15, FALSE)</f>
        <v>0</v>
      </c>
      <c r="S255">
        <f>VLOOKUP(Table9[[#This Row],[Shortname]], Comp[], 16, FALSE)</f>
        <v>0</v>
      </c>
      <c r="T255">
        <f>VLOOKUP(Table9[[#This Row],[Shortname]], Comp[], 17, FALSE)</f>
        <v>0</v>
      </c>
      <c r="U255">
        <f>VLOOKUP(Table9[[#This Row],[Shortname]], Comp[], 18, FALSE)</f>
        <v>0</v>
      </c>
      <c r="V255">
        <f>VLOOKUP(Table9[[#This Row],[Shortname]], Comp[], 19, FALSE)</f>
        <v>0</v>
      </c>
      <c r="W255">
        <f>VLOOKUP(Table9[[#This Row],[Shortname]], Comp[], 20, FALSE)</f>
        <v>0</v>
      </c>
      <c r="X255">
        <f>VLOOKUP(Table9[[#This Row],[Shortname]], Comp[], 21, FALSE)</f>
        <v>0</v>
      </c>
      <c r="Y255">
        <f>VLOOKUP(Table9[[#This Row],[Shortname]], Comp[], 22, FALSE)</f>
        <v>0</v>
      </c>
      <c r="Z255">
        <f>VLOOKUP(Table9[[#This Row],[Shortname]], Comp[], 23, FALSE)</f>
        <v>0</v>
      </c>
      <c r="AA255">
        <f>VLOOKUP(Table9[[#This Row],[Shortname]], Comp[], 24, FALSE)</f>
        <v>0</v>
      </c>
      <c r="AB255">
        <f>VLOOKUP(Table9[[#This Row],[Shortname]], Comp[], 25, FALSE)</f>
        <v>0</v>
      </c>
      <c r="AC255">
        <f>VLOOKUP(Table9[[#This Row],[Shortname]], Comp[], 26, FALSE)</f>
        <v>0</v>
      </c>
      <c r="AD255">
        <f>VLOOKUP(Table9[[#This Row],[Shortname]], Comp[], 27, FALSE)</f>
        <v>0</v>
      </c>
      <c r="AE255">
        <f>VLOOKUP(Table9[[#This Row],[Shortname]], Comp[], 28, FALSE)</f>
        <v>0</v>
      </c>
      <c r="AF255">
        <f>VLOOKUP(Table9[[#This Row],[Shortname]], Comp[], 29, FALSE)</f>
        <v>0</v>
      </c>
      <c r="AG255">
        <f>VLOOKUP(Table9[[#This Row],[Shortname]], Comp[], 30, FALSE)</f>
        <v>0</v>
      </c>
      <c r="AH255">
        <f>VLOOKUP(Table9[[#This Row],[Shortname]], Comp[], 31, FALSE)</f>
        <v>0</v>
      </c>
    </row>
    <row r="256" spans="1:34" x14ac:dyDescent="0.3">
      <c r="A256" t="s">
        <v>1465</v>
      </c>
      <c r="B256" t="s">
        <v>1467</v>
      </c>
      <c r="C256" t="s">
        <v>1459</v>
      </c>
      <c r="D256">
        <v>462</v>
      </c>
      <c r="E256">
        <v>800</v>
      </c>
      <c r="F256">
        <v>1E-4</v>
      </c>
      <c r="G256">
        <v>1</v>
      </c>
      <c r="H256" t="s">
        <v>6813</v>
      </c>
      <c r="I256">
        <f>VLOOKUP(Table9[[#This Row],[Shortname]], Comp[], 6, FALSE)</f>
        <v>187</v>
      </c>
      <c r="J256" s="14">
        <f>VLOOKUP(Table9[[#This Row],[Shortname]], Comp[], 7, FALSE)</f>
        <v>52.8</v>
      </c>
      <c r="K256">
        <f>VLOOKUP(Table9[[#This Row],[Shortname]], Comp[], 8, FALSE)</f>
        <v>30.5</v>
      </c>
      <c r="L256">
        <f>VLOOKUP(Table9[[#This Row],[Shortname]], Comp[], 9, FALSE)</f>
        <v>9.6</v>
      </c>
      <c r="M256">
        <f>VLOOKUP(Table9[[#This Row],[Shortname]], Comp[], 10, FALSE)</f>
        <v>0</v>
      </c>
      <c r="N256">
        <f>VLOOKUP(Table9[[#This Row],[Shortname]], Comp[], 11, FALSE)</f>
        <v>7.1</v>
      </c>
      <c r="O256">
        <f>VLOOKUP(Table9[[#This Row],[Shortname]], Comp[],12, FALSE)</f>
        <v>0</v>
      </c>
      <c r="P256">
        <f>VLOOKUP(Table9[[#This Row],[Shortname]], Comp[], 13, FALSE)</f>
        <v>0</v>
      </c>
      <c r="Q256">
        <f>VLOOKUP(Table9[[#This Row],[Shortname]], Comp[], 14, FALSE)</f>
        <v>0</v>
      </c>
      <c r="R256">
        <f>VLOOKUP(Table9[[#This Row],[Shortname]], Comp[], 15, FALSE)</f>
        <v>0</v>
      </c>
      <c r="S256">
        <f>VLOOKUP(Table9[[#This Row],[Shortname]], Comp[], 16, FALSE)</f>
        <v>0</v>
      </c>
      <c r="T256">
        <f>VLOOKUP(Table9[[#This Row],[Shortname]], Comp[], 17, FALSE)</f>
        <v>0</v>
      </c>
      <c r="U256">
        <f>VLOOKUP(Table9[[#This Row],[Shortname]], Comp[], 18, FALSE)</f>
        <v>0</v>
      </c>
      <c r="V256">
        <f>VLOOKUP(Table9[[#This Row],[Shortname]], Comp[], 19, FALSE)</f>
        <v>0</v>
      </c>
      <c r="W256">
        <f>VLOOKUP(Table9[[#This Row],[Shortname]], Comp[], 20, FALSE)</f>
        <v>0</v>
      </c>
      <c r="X256">
        <f>VLOOKUP(Table9[[#This Row],[Shortname]], Comp[], 21, FALSE)</f>
        <v>0</v>
      </c>
      <c r="Y256">
        <f>VLOOKUP(Table9[[#This Row],[Shortname]], Comp[], 22, FALSE)</f>
        <v>0</v>
      </c>
      <c r="Z256">
        <f>VLOOKUP(Table9[[#This Row],[Shortname]], Comp[], 23, FALSE)</f>
        <v>0</v>
      </c>
      <c r="AA256">
        <f>VLOOKUP(Table9[[#This Row],[Shortname]], Comp[], 24, FALSE)</f>
        <v>0</v>
      </c>
      <c r="AB256">
        <f>VLOOKUP(Table9[[#This Row],[Shortname]], Comp[], 25, FALSE)</f>
        <v>0</v>
      </c>
      <c r="AC256">
        <f>VLOOKUP(Table9[[#This Row],[Shortname]], Comp[], 26, FALSE)</f>
        <v>0</v>
      </c>
      <c r="AD256">
        <f>VLOOKUP(Table9[[#This Row],[Shortname]], Comp[], 27, FALSE)</f>
        <v>0</v>
      </c>
      <c r="AE256">
        <f>VLOOKUP(Table9[[#This Row],[Shortname]], Comp[], 28, FALSE)</f>
        <v>0</v>
      </c>
      <c r="AF256">
        <f>VLOOKUP(Table9[[#This Row],[Shortname]], Comp[], 29, FALSE)</f>
        <v>0</v>
      </c>
      <c r="AG256">
        <f>VLOOKUP(Table9[[#This Row],[Shortname]], Comp[], 30, FALSE)</f>
        <v>0</v>
      </c>
      <c r="AH256">
        <f>VLOOKUP(Table9[[#This Row],[Shortname]], Comp[], 31, FALSE)</f>
        <v>0</v>
      </c>
    </row>
    <row r="257" spans="1:34" x14ac:dyDescent="0.3">
      <c r="A257" t="s">
        <v>552</v>
      </c>
      <c r="B257" t="s">
        <v>6697</v>
      </c>
      <c r="C257" t="s">
        <v>499</v>
      </c>
      <c r="D257">
        <v>461</v>
      </c>
      <c r="E257">
        <v>700</v>
      </c>
      <c r="F257">
        <v>1E-4</v>
      </c>
      <c r="G257">
        <v>1</v>
      </c>
      <c r="I257">
        <f>VLOOKUP(Table9[[#This Row],[Shortname]], Comp[], 6, FALSE)</f>
        <v>71</v>
      </c>
      <c r="J257" s="14">
        <f>VLOOKUP(Table9[[#This Row],[Shortname]], Comp[], 7, FALSE)</f>
        <v>72.800000000000011</v>
      </c>
      <c r="K257">
        <f>VLOOKUP(Table9[[#This Row],[Shortname]], Comp[], 8, FALSE)</f>
        <v>10.199999999999999</v>
      </c>
      <c r="L257">
        <f>VLOOKUP(Table9[[#This Row],[Shortname]], Comp[], 9, FALSE)</f>
        <v>8.1</v>
      </c>
      <c r="M257">
        <f>VLOOKUP(Table9[[#This Row],[Shortname]], Comp[], 10, FALSE)</f>
        <v>0</v>
      </c>
      <c r="N257">
        <f>VLOOKUP(Table9[[#This Row],[Shortname]], Comp[], 11, FALSE)</f>
        <v>8.9</v>
      </c>
      <c r="O257">
        <f>VLOOKUP(Table9[[#This Row],[Shortname]], Comp[],12, FALSE)</f>
        <v>0</v>
      </c>
      <c r="P257">
        <f>VLOOKUP(Table9[[#This Row],[Shortname]], Comp[], 13, FALSE)</f>
        <v>0</v>
      </c>
      <c r="Q257">
        <f>VLOOKUP(Table9[[#This Row],[Shortname]], Comp[], 14, FALSE)</f>
        <v>0</v>
      </c>
      <c r="R257">
        <f>VLOOKUP(Table9[[#This Row],[Shortname]], Comp[], 15, FALSE)</f>
        <v>0</v>
      </c>
      <c r="S257">
        <f>VLOOKUP(Table9[[#This Row],[Shortname]], Comp[], 16, FALSE)</f>
        <v>0</v>
      </c>
      <c r="T257">
        <f>VLOOKUP(Table9[[#This Row],[Shortname]], Comp[], 17, FALSE)</f>
        <v>0</v>
      </c>
      <c r="U257">
        <f>VLOOKUP(Table9[[#This Row],[Shortname]], Comp[], 18, FALSE)</f>
        <v>0</v>
      </c>
      <c r="V257">
        <f>VLOOKUP(Table9[[#This Row],[Shortname]], Comp[], 19, FALSE)</f>
        <v>0</v>
      </c>
      <c r="W257">
        <f>VLOOKUP(Table9[[#This Row],[Shortname]], Comp[], 20, FALSE)</f>
        <v>0</v>
      </c>
      <c r="X257">
        <f>VLOOKUP(Table9[[#This Row],[Shortname]], Comp[], 21, FALSE)</f>
        <v>0</v>
      </c>
      <c r="Y257">
        <f>VLOOKUP(Table9[[#This Row],[Shortname]], Comp[], 22, FALSE)</f>
        <v>0</v>
      </c>
      <c r="Z257">
        <f>VLOOKUP(Table9[[#This Row],[Shortname]], Comp[], 23, FALSE)</f>
        <v>0</v>
      </c>
      <c r="AA257">
        <f>VLOOKUP(Table9[[#This Row],[Shortname]], Comp[], 24, FALSE)</f>
        <v>0</v>
      </c>
      <c r="AB257">
        <f>VLOOKUP(Table9[[#This Row],[Shortname]], Comp[], 25, FALSE)</f>
        <v>0</v>
      </c>
      <c r="AC257">
        <f>VLOOKUP(Table9[[#This Row],[Shortname]], Comp[], 26, FALSE)</f>
        <v>0</v>
      </c>
      <c r="AD257">
        <f>VLOOKUP(Table9[[#This Row],[Shortname]], Comp[], 27, FALSE)</f>
        <v>0</v>
      </c>
      <c r="AE257">
        <f>VLOOKUP(Table9[[#This Row],[Shortname]], Comp[], 28, FALSE)</f>
        <v>0</v>
      </c>
      <c r="AF257">
        <f>VLOOKUP(Table9[[#This Row],[Shortname]], Comp[], 29, FALSE)</f>
        <v>0</v>
      </c>
      <c r="AG257">
        <f>VLOOKUP(Table9[[#This Row],[Shortname]], Comp[], 30, FALSE)</f>
        <v>0</v>
      </c>
      <c r="AH257">
        <f>VLOOKUP(Table9[[#This Row],[Shortname]], Comp[], 31, FALSE)</f>
        <v>0</v>
      </c>
    </row>
    <row r="258" spans="1:34" x14ac:dyDescent="0.3">
      <c r="A258" t="s">
        <v>3482</v>
      </c>
      <c r="B258" t="s">
        <v>3483</v>
      </c>
      <c r="C258" t="s">
        <v>3480</v>
      </c>
      <c r="D258">
        <v>461</v>
      </c>
      <c r="E258">
        <v>605</v>
      </c>
      <c r="F258">
        <v>1E-4</v>
      </c>
      <c r="G258">
        <v>1</v>
      </c>
      <c r="H258" t="s">
        <v>6803</v>
      </c>
      <c r="I258">
        <f>VLOOKUP(Table9[[#This Row],[Shortname]], Comp[], 6, FALSE)</f>
        <v>499</v>
      </c>
      <c r="J258" s="14">
        <f>VLOOKUP(Table9[[#This Row],[Shortname]], Comp[], 7, FALSE)</f>
        <v>77.900000000000006</v>
      </c>
      <c r="K258">
        <f>VLOOKUP(Table9[[#This Row],[Shortname]], Comp[], 8, FALSE)</f>
        <v>0</v>
      </c>
      <c r="L258">
        <f>VLOOKUP(Table9[[#This Row],[Shortname]], Comp[], 9, FALSE)</f>
        <v>7.8</v>
      </c>
      <c r="M258">
        <f>VLOOKUP(Table9[[#This Row],[Shortname]], Comp[], 10, FALSE)</f>
        <v>4.5</v>
      </c>
      <c r="N258">
        <f>VLOOKUP(Table9[[#This Row],[Shortname]], Comp[], 11, FALSE)</f>
        <v>7.8</v>
      </c>
      <c r="O258">
        <f>VLOOKUP(Table9[[#This Row],[Shortname]], Comp[],12, FALSE)</f>
        <v>0</v>
      </c>
      <c r="P258">
        <f>VLOOKUP(Table9[[#This Row],[Shortname]], Comp[], 13, FALSE)</f>
        <v>2</v>
      </c>
      <c r="Q258">
        <f>VLOOKUP(Table9[[#This Row],[Shortname]], Comp[], 14, FALSE)</f>
        <v>0</v>
      </c>
      <c r="R258">
        <f>VLOOKUP(Table9[[#This Row],[Shortname]], Comp[], 15, FALSE)</f>
        <v>0</v>
      </c>
      <c r="S258">
        <f>VLOOKUP(Table9[[#This Row],[Shortname]], Comp[], 16, FALSE)</f>
        <v>0</v>
      </c>
      <c r="T258">
        <f>VLOOKUP(Table9[[#This Row],[Shortname]], Comp[], 17, FALSE)</f>
        <v>0</v>
      </c>
      <c r="U258">
        <f>VLOOKUP(Table9[[#This Row],[Shortname]], Comp[], 18, FALSE)</f>
        <v>0</v>
      </c>
      <c r="V258">
        <f>VLOOKUP(Table9[[#This Row],[Shortname]], Comp[], 19, FALSE)</f>
        <v>0</v>
      </c>
      <c r="W258">
        <f>VLOOKUP(Table9[[#This Row],[Shortname]], Comp[], 20, FALSE)</f>
        <v>0</v>
      </c>
      <c r="X258">
        <f>VLOOKUP(Table9[[#This Row],[Shortname]], Comp[], 21, FALSE)</f>
        <v>0</v>
      </c>
      <c r="Y258">
        <f>VLOOKUP(Table9[[#This Row],[Shortname]], Comp[], 22, FALSE)</f>
        <v>0</v>
      </c>
      <c r="Z258">
        <f>VLOOKUP(Table9[[#This Row],[Shortname]], Comp[], 23, FALSE)</f>
        <v>0</v>
      </c>
      <c r="AA258">
        <f>VLOOKUP(Table9[[#This Row],[Shortname]], Comp[], 24, FALSE)</f>
        <v>0</v>
      </c>
      <c r="AB258">
        <f>VLOOKUP(Table9[[#This Row],[Shortname]], Comp[], 25, FALSE)</f>
        <v>0</v>
      </c>
      <c r="AC258">
        <f>VLOOKUP(Table9[[#This Row],[Shortname]], Comp[], 26, FALSE)</f>
        <v>0</v>
      </c>
      <c r="AD258">
        <f>VLOOKUP(Table9[[#This Row],[Shortname]], Comp[], 27, FALSE)</f>
        <v>0</v>
      </c>
      <c r="AE258">
        <f>VLOOKUP(Table9[[#This Row],[Shortname]], Comp[], 28, FALSE)</f>
        <v>0</v>
      </c>
      <c r="AF258">
        <f>VLOOKUP(Table9[[#This Row],[Shortname]], Comp[], 29, FALSE)</f>
        <v>0</v>
      </c>
      <c r="AG258">
        <f>VLOOKUP(Table9[[#This Row],[Shortname]], Comp[], 30, FALSE)</f>
        <v>0</v>
      </c>
      <c r="AH258">
        <f>VLOOKUP(Table9[[#This Row],[Shortname]], Comp[], 31, FALSE)</f>
        <v>0</v>
      </c>
    </row>
    <row r="259" spans="1:34" x14ac:dyDescent="0.3">
      <c r="A259" t="s">
        <v>3497</v>
      </c>
      <c r="B259" t="s">
        <v>3498</v>
      </c>
      <c r="C259" t="s">
        <v>3495</v>
      </c>
      <c r="D259">
        <v>461</v>
      </c>
      <c r="E259">
        <v>600</v>
      </c>
      <c r="F259">
        <v>1E-4</v>
      </c>
      <c r="G259">
        <v>1</v>
      </c>
      <c r="H259" t="s">
        <v>6803</v>
      </c>
      <c r="I259">
        <f>VLOOKUP(Table9[[#This Row],[Shortname]], Comp[], 6, FALSE)</f>
        <v>503</v>
      </c>
      <c r="J259" s="14">
        <f>VLOOKUP(Table9[[#This Row],[Shortname]], Comp[], 7, FALSE)</f>
        <v>80</v>
      </c>
      <c r="K259">
        <f>VLOOKUP(Table9[[#This Row],[Shortname]], Comp[], 8, FALSE)</f>
        <v>0</v>
      </c>
      <c r="L259">
        <f>VLOOKUP(Table9[[#This Row],[Shortname]], Comp[], 9, FALSE)</f>
        <v>9</v>
      </c>
      <c r="M259">
        <f>VLOOKUP(Table9[[#This Row],[Shortname]], Comp[], 10, FALSE)</f>
        <v>0</v>
      </c>
      <c r="N259">
        <f>VLOOKUP(Table9[[#This Row],[Shortname]], Comp[], 11, FALSE)</f>
        <v>9</v>
      </c>
      <c r="O259">
        <f>VLOOKUP(Table9[[#This Row],[Shortname]], Comp[],12, FALSE)</f>
        <v>0</v>
      </c>
      <c r="P259">
        <f>VLOOKUP(Table9[[#This Row],[Shortname]], Comp[], 13, FALSE)</f>
        <v>2</v>
      </c>
      <c r="Q259">
        <f>VLOOKUP(Table9[[#This Row],[Shortname]], Comp[], 14, FALSE)</f>
        <v>0</v>
      </c>
      <c r="R259">
        <f>VLOOKUP(Table9[[#This Row],[Shortname]], Comp[], 15, FALSE)</f>
        <v>0</v>
      </c>
      <c r="S259">
        <f>VLOOKUP(Table9[[#This Row],[Shortname]], Comp[], 16, FALSE)</f>
        <v>0</v>
      </c>
      <c r="T259">
        <f>VLOOKUP(Table9[[#This Row],[Shortname]], Comp[], 17, FALSE)</f>
        <v>0</v>
      </c>
      <c r="U259">
        <f>VLOOKUP(Table9[[#This Row],[Shortname]], Comp[], 18, FALSE)</f>
        <v>0</v>
      </c>
      <c r="V259">
        <f>VLOOKUP(Table9[[#This Row],[Shortname]], Comp[], 19, FALSE)</f>
        <v>0</v>
      </c>
      <c r="W259">
        <f>VLOOKUP(Table9[[#This Row],[Shortname]], Comp[], 20, FALSE)</f>
        <v>0</v>
      </c>
      <c r="X259">
        <f>VLOOKUP(Table9[[#This Row],[Shortname]], Comp[], 21, FALSE)</f>
        <v>0</v>
      </c>
      <c r="Y259">
        <f>VLOOKUP(Table9[[#This Row],[Shortname]], Comp[], 22, FALSE)</f>
        <v>0</v>
      </c>
      <c r="Z259">
        <f>VLOOKUP(Table9[[#This Row],[Shortname]], Comp[], 23, FALSE)</f>
        <v>0</v>
      </c>
      <c r="AA259">
        <f>VLOOKUP(Table9[[#This Row],[Shortname]], Comp[], 24, FALSE)</f>
        <v>0</v>
      </c>
      <c r="AB259">
        <f>VLOOKUP(Table9[[#This Row],[Shortname]], Comp[], 25, FALSE)</f>
        <v>0</v>
      </c>
      <c r="AC259">
        <f>VLOOKUP(Table9[[#This Row],[Shortname]], Comp[], 26, FALSE)</f>
        <v>0</v>
      </c>
      <c r="AD259">
        <f>VLOOKUP(Table9[[#This Row],[Shortname]], Comp[], 27, FALSE)</f>
        <v>0</v>
      </c>
      <c r="AE259">
        <f>VLOOKUP(Table9[[#This Row],[Shortname]], Comp[], 28, FALSE)</f>
        <v>0</v>
      </c>
      <c r="AF259">
        <f>VLOOKUP(Table9[[#This Row],[Shortname]], Comp[], 29, FALSE)</f>
        <v>0</v>
      </c>
      <c r="AG259">
        <f>VLOOKUP(Table9[[#This Row],[Shortname]], Comp[], 30, FALSE)</f>
        <v>0</v>
      </c>
      <c r="AH259">
        <f>VLOOKUP(Table9[[#This Row],[Shortname]], Comp[], 31, FALSE)</f>
        <v>0</v>
      </c>
    </row>
    <row r="260" spans="1:34" x14ac:dyDescent="0.3">
      <c r="A260" t="s">
        <v>3182</v>
      </c>
      <c r="B260" t="s">
        <v>97</v>
      </c>
      <c r="C260" t="s">
        <v>3480</v>
      </c>
      <c r="D260">
        <v>458</v>
      </c>
      <c r="E260">
        <v>700</v>
      </c>
      <c r="F260">
        <v>1E-4</v>
      </c>
      <c r="G260">
        <v>1</v>
      </c>
      <c r="H260" t="s">
        <v>6803</v>
      </c>
      <c r="I260">
        <f>VLOOKUP(Table9[[#This Row],[Shortname]], Comp[], 6, FALSE)</f>
        <v>446</v>
      </c>
      <c r="J260" s="14">
        <f>VLOOKUP(Table9[[#This Row],[Shortname]], Comp[], 7, FALSE)</f>
        <v>81.8</v>
      </c>
      <c r="K260">
        <f>VLOOKUP(Table9[[#This Row],[Shortname]], Comp[], 8, FALSE)</f>
        <v>0</v>
      </c>
      <c r="L260">
        <f>VLOOKUP(Table9[[#This Row],[Shortname]], Comp[], 9, FALSE)</f>
        <v>9.1999999999999993</v>
      </c>
      <c r="M260">
        <f>VLOOKUP(Table9[[#This Row],[Shortname]], Comp[], 10, FALSE)</f>
        <v>0</v>
      </c>
      <c r="N260">
        <f>VLOOKUP(Table9[[#This Row],[Shortname]], Comp[], 11, FALSE)</f>
        <v>9</v>
      </c>
      <c r="O260">
        <f>VLOOKUP(Table9[[#This Row],[Shortname]], Comp[],12, FALSE)</f>
        <v>0</v>
      </c>
      <c r="P260">
        <f>VLOOKUP(Table9[[#This Row],[Shortname]], Comp[], 13, FALSE)</f>
        <v>0</v>
      </c>
      <c r="Q260">
        <f>VLOOKUP(Table9[[#This Row],[Shortname]], Comp[], 14, FALSE)</f>
        <v>0</v>
      </c>
      <c r="R260">
        <f>VLOOKUP(Table9[[#This Row],[Shortname]], Comp[], 15, FALSE)</f>
        <v>0</v>
      </c>
      <c r="S260">
        <f>VLOOKUP(Table9[[#This Row],[Shortname]], Comp[], 16, FALSE)</f>
        <v>0</v>
      </c>
      <c r="T260">
        <f>VLOOKUP(Table9[[#This Row],[Shortname]], Comp[], 17, FALSE)</f>
        <v>0</v>
      </c>
      <c r="U260">
        <f>VLOOKUP(Table9[[#This Row],[Shortname]], Comp[], 18, FALSE)</f>
        <v>0</v>
      </c>
      <c r="V260">
        <f>VLOOKUP(Table9[[#This Row],[Shortname]], Comp[], 19, FALSE)</f>
        <v>0</v>
      </c>
      <c r="W260">
        <f>VLOOKUP(Table9[[#This Row],[Shortname]], Comp[], 20, FALSE)</f>
        <v>0</v>
      </c>
      <c r="X260">
        <f>VLOOKUP(Table9[[#This Row],[Shortname]], Comp[], 21, FALSE)</f>
        <v>0</v>
      </c>
      <c r="Y260">
        <f>VLOOKUP(Table9[[#This Row],[Shortname]], Comp[], 22, FALSE)</f>
        <v>0</v>
      </c>
      <c r="Z260">
        <f>VLOOKUP(Table9[[#This Row],[Shortname]], Comp[], 23, FALSE)</f>
        <v>0</v>
      </c>
      <c r="AA260">
        <f>VLOOKUP(Table9[[#This Row],[Shortname]], Comp[], 24, FALSE)</f>
        <v>0</v>
      </c>
      <c r="AB260">
        <f>VLOOKUP(Table9[[#This Row],[Shortname]], Comp[], 25, FALSE)</f>
        <v>0</v>
      </c>
      <c r="AC260">
        <f>VLOOKUP(Table9[[#This Row],[Shortname]], Comp[], 26, FALSE)</f>
        <v>0</v>
      </c>
      <c r="AD260">
        <f>VLOOKUP(Table9[[#This Row],[Shortname]], Comp[], 27, FALSE)</f>
        <v>0</v>
      </c>
      <c r="AE260">
        <f>VLOOKUP(Table9[[#This Row],[Shortname]], Comp[], 28, FALSE)</f>
        <v>0</v>
      </c>
      <c r="AF260">
        <f>VLOOKUP(Table9[[#This Row],[Shortname]], Comp[], 29, FALSE)</f>
        <v>0</v>
      </c>
      <c r="AG260">
        <f>VLOOKUP(Table9[[#This Row],[Shortname]], Comp[], 30, FALSE)</f>
        <v>0</v>
      </c>
      <c r="AH260">
        <f>VLOOKUP(Table9[[#This Row],[Shortname]], Comp[], 31, FALSE)</f>
        <v>0</v>
      </c>
    </row>
    <row r="261" spans="1:34" x14ac:dyDescent="0.3">
      <c r="A261" t="s">
        <v>1456</v>
      </c>
      <c r="B261" t="s">
        <v>1458</v>
      </c>
      <c r="C261" t="s">
        <v>1459</v>
      </c>
      <c r="D261">
        <v>457</v>
      </c>
      <c r="E261">
        <v>700</v>
      </c>
      <c r="F261">
        <v>1E-4</v>
      </c>
      <c r="G261">
        <v>1</v>
      </c>
      <c r="H261" t="s">
        <v>6813</v>
      </c>
      <c r="I261">
        <f>VLOOKUP(Table9[[#This Row],[Shortname]], Comp[], 6, FALSE)</f>
        <v>186</v>
      </c>
      <c r="J261" s="14">
        <f>VLOOKUP(Table9[[#This Row],[Shortname]], Comp[], 7, FALSE)</f>
        <v>47.5</v>
      </c>
      <c r="K261">
        <f>VLOOKUP(Table9[[#This Row],[Shortname]], Comp[], 8, FALSE)</f>
        <v>31.2</v>
      </c>
      <c r="L261">
        <f>VLOOKUP(Table9[[#This Row],[Shortname]], Comp[], 9, FALSE)</f>
        <v>9.5</v>
      </c>
      <c r="M261">
        <f>VLOOKUP(Table9[[#This Row],[Shortname]], Comp[], 10, FALSE)</f>
        <v>0</v>
      </c>
      <c r="N261">
        <f>VLOOKUP(Table9[[#This Row],[Shortname]], Comp[], 11, FALSE)</f>
        <v>7.2</v>
      </c>
      <c r="O261">
        <f>VLOOKUP(Table9[[#This Row],[Shortname]], Comp[],12, FALSE)</f>
        <v>2.8</v>
      </c>
      <c r="P261">
        <f>VLOOKUP(Table9[[#This Row],[Shortname]], Comp[], 13, FALSE)</f>
        <v>1.8</v>
      </c>
      <c r="Q261">
        <f>VLOOKUP(Table9[[#This Row],[Shortname]], Comp[], 14, FALSE)</f>
        <v>0</v>
      </c>
      <c r="R261">
        <f>VLOOKUP(Table9[[#This Row],[Shortname]], Comp[], 15, FALSE)</f>
        <v>0</v>
      </c>
      <c r="S261">
        <f>VLOOKUP(Table9[[#This Row],[Shortname]], Comp[], 16, FALSE)</f>
        <v>0</v>
      </c>
      <c r="T261">
        <f>VLOOKUP(Table9[[#This Row],[Shortname]], Comp[], 17, FALSE)</f>
        <v>0</v>
      </c>
      <c r="U261">
        <f>VLOOKUP(Table9[[#This Row],[Shortname]], Comp[], 18, FALSE)</f>
        <v>0</v>
      </c>
      <c r="V261">
        <f>VLOOKUP(Table9[[#This Row],[Shortname]], Comp[], 19, FALSE)</f>
        <v>0</v>
      </c>
      <c r="W261">
        <f>VLOOKUP(Table9[[#This Row],[Shortname]], Comp[], 20, FALSE)</f>
        <v>0</v>
      </c>
      <c r="X261">
        <f>VLOOKUP(Table9[[#This Row],[Shortname]], Comp[], 21, FALSE)</f>
        <v>0</v>
      </c>
      <c r="Y261">
        <f>VLOOKUP(Table9[[#This Row],[Shortname]], Comp[], 22, FALSE)</f>
        <v>0</v>
      </c>
      <c r="Z261">
        <f>VLOOKUP(Table9[[#This Row],[Shortname]], Comp[], 23, FALSE)</f>
        <v>0</v>
      </c>
      <c r="AA261">
        <f>VLOOKUP(Table9[[#This Row],[Shortname]], Comp[], 24, FALSE)</f>
        <v>0</v>
      </c>
      <c r="AB261">
        <f>VLOOKUP(Table9[[#This Row],[Shortname]], Comp[], 25, FALSE)</f>
        <v>0</v>
      </c>
      <c r="AC261">
        <f>VLOOKUP(Table9[[#This Row],[Shortname]], Comp[], 26, FALSE)</f>
        <v>0</v>
      </c>
      <c r="AD261">
        <f>VLOOKUP(Table9[[#This Row],[Shortname]], Comp[], 27, FALSE)</f>
        <v>0</v>
      </c>
      <c r="AE261">
        <f>VLOOKUP(Table9[[#This Row],[Shortname]], Comp[], 28, FALSE)</f>
        <v>0</v>
      </c>
      <c r="AF261">
        <f>VLOOKUP(Table9[[#This Row],[Shortname]], Comp[], 29, FALSE)</f>
        <v>0</v>
      </c>
      <c r="AG261">
        <f>VLOOKUP(Table9[[#This Row],[Shortname]], Comp[], 30, FALSE)</f>
        <v>0</v>
      </c>
      <c r="AH261">
        <f>VLOOKUP(Table9[[#This Row],[Shortname]], Comp[], 31, FALSE)</f>
        <v>0</v>
      </c>
    </row>
    <row r="262" spans="1:34" x14ac:dyDescent="0.3">
      <c r="A262" t="s">
        <v>3400</v>
      </c>
      <c r="B262" t="s">
        <v>3400</v>
      </c>
      <c r="C262" t="s">
        <v>3401</v>
      </c>
      <c r="D262">
        <v>457</v>
      </c>
      <c r="E262">
        <v>25</v>
      </c>
      <c r="F262">
        <v>2.0000000000000001E-4</v>
      </c>
      <c r="G262">
        <v>1</v>
      </c>
      <c r="H262" t="s">
        <v>6803</v>
      </c>
      <c r="I262">
        <f>VLOOKUP(Table9[[#This Row],[Shortname]], Comp[], 6, FALSE)</f>
        <v>482</v>
      </c>
      <c r="J262" s="14">
        <f>VLOOKUP(Table9[[#This Row],[Shortname]], Comp[], 7, FALSE)</f>
        <v>84.2</v>
      </c>
      <c r="K262">
        <f>VLOOKUP(Table9[[#This Row],[Shortname]], Comp[], 8, FALSE)</f>
        <v>0</v>
      </c>
      <c r="L262">
        <f>VLOOKUP(Table9[[#This Row],[Shortname]], Comp[], 9, FALSE)</f>
        <v>8.9</v>
      </c>
      <c r="M262">
        <f>VLOOKUP(Table9[[#This Row],[Shortname]], Comp[], 10, FALSE)</f>
        <v>0</v>
      </c>
      <c r="N262">
        <f>VLOOKUP(Table9[[#This Row],[Shortname]], Comp[], 11, FALSE)</f>
        <v>6.9</v>
      </c>
      <c r="O262">
        <f>VLOOKUP(Table9[[#This Row],[Shortname]], Comp[],12, FALSE)</f>
        <v>0</v>
      </c>
      <c r="P262">
        <f>VLOOKUP(Table9[[#This Row],[Shortname]], Comp[], 13, FALSE)</f>
        <v>0</v>
      </c>
      <c r="Q262">
        <f>VLOOKUP(Table9[[#This Row],[Shortname]], Comp[], 14, FALSE)</f>
        <v>0</v>
      </c>
      <c r="R262">
        <f>VLOOKUP(Table9[[#This Row],[Shortname]], Comp[], 15, FALSE)</f>
        <v>0</v>
      </c>
      <c r="S262">
        <f>VLOOKUP(Table9[[#This Row],[Shortname]], Comp[], 16, FALSE)</f>
        <v>0</v>
      </c>
      <c r="T262">
        <f>VLOOKUP(Table9[[#This Row],[Shortname]], Comp[], 17, FALSE)</f>
        <v>0</v>
      </c>
      <c r="U262">
        <f>VLOOKUP(Table9[[#This Row],[Shortname]], Comp[], 18, FALSE)</f>
        <v>0</v>
      </c>
      <c r="V262">
        <f>VLOOKUP(Table9[[#This Row],[Shortname]], Comp[], 19, FALSE)</f>
        <v>0</v>
      </c>
      <c r="W262">
        <f>VLOOKUP(Table9[[#This Row],[Shortname]], Comp[], 20, FALSE)</f>
        <v>0</v>
      </c>
      <c r="X262">
        <f>VLOOKUP(Table9[[#This Row],[Shortname]], Comp[], 21, FALSE)</f>
        <v>0</v>
      </c>
      <c r="Y262">
        <f>VLOOKUP(Table9[[#This Row],[Shortname]], Comp[], 22, FALSE)</f>
        <v>0</v>
      </c>
      <c r="Z262">
        <f>VLOOKUP(Table9[[#This Row],[Shortname]], Comp[], 23, FALSE)</f>
        <v>0</v>
      </c>
      <c r="AA262">
        <f>VLOOKUP(Table9[[#This Row],[Shortname]], Comp[], 24, FALSE)</f>
        <v>0</v>
      </c>
      <c r="AB262">
        <f>VLOOKUP(Table9[[#This Row],[Shortname]], Comp[], 25, FALSE)</f>
        <v>0</v>
      </c>
      <c r="AC262">
        <f>VLOOKUP(Table9[[#This Row],[Shortname]], Comp[], 26, FALSE)</f>
        <v>0</v>
      </c>
      <c r="AD262">
        <f>VLOOKUP(Table9[[#This Row],[Shortname]], Comp[], 27, FALSE)</f>
        <v>0</v>
      </c>
      <c r="AE262">
        <f>VLOOKUP(Table9[[#This Row],[Shortname]], Comp[], 28, FALSE)</f>
        <v>0</v>
      </c>
      <c r="AF262">
        <f>VLOOKUP(Table9[[#This Row],[Shortname]], Comp[], 29, FALSE)</f>
        <v>0</v>
      </c>
      <c r="AG262">
        <f>VLOOKUP(Table9[[#This Row],[Shortname]], Comp[], 30, FALSE)</f>
        <v>0</v>
      </c>
      <c r="AH262">
        <f>VLOOKUP(Table9[[#This Row],[Shortname]], Comp[], 31, FALSE)</f>
        <v>0</v>
      </c>
    </row>
    <row r="263" spans="1:34" x14ac:dyDescent="0.3">
      <c r="A263" t="s">
        <v>2848</v>
      </c>
      <c r="B263" t="s">
        <v>2850</v>
      </c>
      <c r="C263" t="s">
        <v>2851</v>
      </c>
      <c r="D263">
        <v>456</v>
      </c>
      <c r="E263">
        <v>970</v>
      </c>
      <c r="F263">
        <v>1E-3</v>
      </c>
      <c r="G263">
        <v>1</v>
      </c>
      <c r="H263" t="s">
        <v>6803</v>
      </c>
      <c r="I263">
        <f>VLOOKUP(Table9[[#This Row],[Shortname]], Comp[], 6, FALSE)</f>
        <v>385</v>
      </c>
      <c r="J263" s="14">
        <f>VLOOKUP(Table9[[#This Row],[Shortname]], Comp[], 7, FALSE)</f>
        <v>37.900000000000013</v>
      </c>
      <c r="K263">
        <f>VLOOKUP(Table9[[#This Row],[Shortname]], Comp[], 8, FALSE)</f>
        <v>35.4</v>
      </c>
      <c r="L263">
        <f>VLOOKUP(Table9[[#This Row],[Shortname]], Comp[], 9, FALSE)</f>
        <v>9.6999999999999993</v>
      </c>
      <c r="M263">
        <f>VLOOKUP(Table9[[#This Row],[Shortname]], Comp[], 10, FALSE)</f>
        <v>6</v>
      </c>
      <c r="N263">
        <f>VLOOKUP(Table9[[#This Row],[Shortname]], Comp[], 11, FALSE)</f>
        <v>0</v>
      </c>
      <c r="O263">
        <f>VLOOKUP(Table9[[#This Row],[Shortname]], Comp[],12, FALSE)</f>
        <v>3.4</v>
      </c>
      <c r="P263">
        <f>VLOOKUP(Table9[[#This Row],[Shortname]], Comp[], 13, FALSE)</f>
        <v>2.8</v>
      </c>
      <c r="Q263">
        <f>VLOOKUP(Table9[[#This Row],[Shortname]], Comp[], 14, FALSE)</f>
        <v>0</v>
      </c>
      <c r="R263">
        <f>VLOOKUP(Table9[[#This Row],[Shortname]], Comp[], 15, FALSE)</f>
        <v>0</v>
      </c>
      <c r="S263">
        <f>VLOOKUP(Table9[[#This Row],[Shortname]], Comp[], 16, FALSE)</f>
        <v>4.8</v>
      </c>
      <c r="T263">
        <f>VLOOKUP(Table9[[#This Row],[Shortname]], Comp[], 17, FALSE)</f>
        <v>0</v>
      </c>
      <c r="U263">
        <f>VLOOKUP(Table9[[#This Row],[Shortname]], Comp[], 18, FALSE)</f>
        <v>0</v>
      </c>
      <c r="V263">
        <f>VLOOKUP(Table9[[#This Row],[Shortname]], Comp[], 19, FALSE)</f>
        <v>0</v>
      </c>
      <c r="W263">
        <f>VLOOKUP(Table9[[#This Row],[Shortname]], Comp[], 20, FALSE)</f>
        <v>0</v>
      </c>
      <c r="X263">
        <f>VLOOKUP(Table9[[#This Row],[Shortname]], Comp[], 21, FALSE)</f>
        <v>0</v>
      </c>
      <c r="Y263">
        <f>VLOOKUP(Table9[[#This Row],[Shortname]], Comp[], 22, FALSE)</f>
        <v>0</v>
      </c>
      <c r="Z263">
        <f>VLOOKUP(Table9[[#This Row],[Shortname]], Comp[], 23, FALSE)</f>
        <v>0</v>
      </c>
      <c r="AA263">
        <f>VLOOKUP(Table9[[#This Row],[Shortname]], Comp[], 24, FALSE)</f>
        <v>0</v>
      </c>
      <c r="AB263">
        <f>VLOOKUP(Table9[[#This Row],[Shortname]], Comp[], 25, FALSE)</f>
        <v>0</v>
      </c>
      <c r="AC263">
        <f>VLOOKUP(Table9[[#This Row],[Shortname]], Comp[], 26, FALSE)</f>
        <v>0</v>
      </c>
      <c r="AD263">
        <f>VLOOKUP(Table9[[#This Row],[Shortname]], Comp[], 27, FALSE)</f>
        <v>0</v>
      </c>
      <c r="AE263">
        <f>VLOOKUP(Table9[[#This Row],[Shortname]], Comp[], 28, FALSE)</f>
        <v>0</v>
      </c>
      <c r="AF263">
        <f>VLOOKUP(Table9[[#This Row],[Shortname]], Comp[], 29, FALSE)</f>
        <v>0</v>
      </c>
      <c r="AG263">
        <f>VLOOKUP(Table9[[#This Row],[Shortname]], Comp[], 30, FALSE)</f>
        <v>0</v>
      </c>
      <c r="AH263">
        <f>VLOOKUP(Table9[[#This Row],[Shortname]], Comp[], 31, FALSE)</f>
        <v>0</v>
      </c>
    </row>
    <row r="264" spans="1:34" x14ac:dyDescent="0.3">
      <c r="A264" t="s">
        <v>2989</v>
      </c>
      <c r="B264" t="s">
        <v>3118</v>
      </c>
      <c r="C264" t="s">
        <v>3119</v>
      </c>
      <c r="D264">
        <v>455</v>
      </c>
      <c r="E264">
        <v>850</v>
      </c>
      <c r="F264">
        <v>1E-4</v>
      </c>
      <c r="G264">
        <v>1</v>
      </c>
      <c r="H264" t="s">
        <v>6803</v>
      </c>
      <c r="I264">
        <f>VLOOKUP(Table9[[#This Row],[Shortname]], Comp[], 6, FALSE)</f>
        <v>411</v>
      </c>
      <c r="J264" s="14">
        <f>VLOOKUP(Table9[[#This Row],[Shortname]], Comp[], 7, FALSE)</f>
        <v>84</v>
      </c>
      <c r="K264">
        <f>VLOOKUP(Table9[[#This Row],[Shortname]], Comp[], 8, FALSE)</f>
        <v>0</v>
      </c>
      <c r="L264">
        <f>VLOOKUP(Table9[[#This Row],[Shortname]], Comp[], 9, FALSE)</f>
        <v>0</v>
      </c>
      <c r="M264">
        <f>VLOOKUP(Table9[[#This Row],[Shortname]], Comp[], 10, FALSE)</f>
        <v>0</v>
      </c>
      <c r="N264">
        <f>VLOOKUP(Table9[[#This Row],[Shortname]], Comp[], 11, FALSE)</f>
        <v>0</v>
      </c>
      <c r="O264">
        <f>VLOOKUP(Table9[[#This Row],[Shortname]], Comp[],12, FALSE)</f>
        <v>2</v>
      </c>
      <c r="P264">
        <f>VLOOKUP(Table9[[#This Row],[Shortname]], Comp[], 13, FALSE)</f>
        <v>2</v>
      </c>
      <c r="Q264">
        <f>VLOOKUP(Table9[[#This Row],[Shortname]], Comp[], 14, FALSE)</f>
        <v>0</v>
      </c>
      <c r="R264">
        <f>VLOOKUP(Table9[[#This Row],[Shortname]], Comp[], 15, FALSE)</f>
        <v>12</v>
      </c>
      <c r="S264">
        <f>VLOOKUP(Table9[[#This Row],[Shortname]], Comp[], 16, FALSE)</f>
        <v>0</v>
      </c>
      <c r="T264">
        <f>VLOOKUP(Table9[[#This Row],[Shortname]], Comp[], 17, FALSE)</f>
        <v>0</v>
      </c>
      <c r="U264">
        <f>VLOOKUP(Table9[[#This Row],[Shortname]], Comp[], 18, FALSE)</f>
        <v>0</v>
      </c>
      <c r="V264">
        <f>VLOOKUP(Table9[[#This Row],[Shortname]], Comp[], 19, FALSE)</f>
        <v>0</v>
      </c>
      <c r="W264">
        <f>VLOOKUP(Table9[[#This Row],[Shortname]], Comp[], 20, FALSE)</f>
        <v>0</v>
      </c>
      <c r="X264">
        <f>VLOOKUP(Table9[[#This Row],[Shortname]], Comp[], 21, FALSE)</f>
        <v>0</v>
      </c>
      <c r="Y264">
        <f>VLOOKUP(Table9[[#This Row],[Shortname]], Comp[], 22, FALSE)</f>
        <v>0</v>
      </c>
      <c r="Z264">
        <f>VLOOKUP(Table9[[#This Row],[Shortname]], Comp[], 23, FALSE)</f>
        <v>0</v>
      </c>
      <c r="AA264">
        <f>VLOOKUP(Table9[[#This Row],[Shortname]], Comp[], 24, FALSE)</f>
        <v>0</v>
      </c>
      <c r="AB264">
        <f>VLOOKUP(Table9[[#This Row],[Shortname]], Comp[], 25, FALSE)</f>
        <v>0</v>
      </c>
      <c r="AC264">
        <f>VLOOKUP(Table9[[#This Row],[Shortname]], Comp[], 26, FALSE)</f>
        <v>0</v>
      </c>
      <c r="AD264">
        <f>VLOOKUP(Table9[[#This Row],[Shortname]], Comp[], 27, FALSE)</f>
        <v>0</v>
      </c>
      <c r="AE264">
        <f>VLOOKUP(Table9[[#This Row],[Shortname]], Comp[], 28, FALSE)</f>
        <v>0</v>
      </c>
      <c r="AF264">
        <f>VLOOKUP(Table9[[#This Row],[Shortname]], Comp[], 29, FALSE)</f>
        <v>0</v>
      </c>
      <c r="AG264">
        <f>VLOOKUP(Table9[[#This Row],[Shortname]], Comp[], 30, FALSE)</f>
        <v>0</v>
      </c>
      <c r="AH264">
        <f>VLOOKUP(Table9[[#This Row],[Shortname]], Comp[], 31, FALSE)</f>
        <v>0</v>
      </c>
    </row>
    <row r="265" spans="1:34" x14ac:dyDescent="0.3">
      <c r="A265" t="s">
        <v>4232</v>
      </c>
      <c r="B265" t="s">
        <v>4234</v>
      </c>
      <c r="C265" t="s">
        <v>4235</v>
      </c>
      <c r="D265">
        <v>454</v>
      </c>
      <c r="E265">
        <v>750</v>
      </c>
      <c r="F265">
        <v>1E-4</v>
      </c>
      <c r="G265">
        <v>1</v>
      </c>
      <c r="H265" t="s">
        <v>6803</v>
      </c>
      <c r="I265">
        <f>VLOOKUP(Table9[[#This Row],[Shortname]], Comp[], 6, FALSE)</f>
        <v>644</v>
      </c>
      <c r="J265" s="14">
        <f>VLOOKUP(Table9[[#This Row],[Shortname]], Comp[], 7, FALSE)</f>
        <v>74</v>
      </c>
      <c r="K265">
        <f>VLOOKUP(Table9[[#This Row],[Shortname]], Comp[], 8, FALSE)</f>
        <v>0</v>
      </c>
      <c r="L265">
        <f>VLOOKUP(Table9[[#This Row],[Shortname]], Comp[], 9, FALSE)</f>
        <v>0</v>
      </c>
      <c r="M265">
        <f>VLOOKUP(Table9[[#This Row],[Shortname]], Comp[], 10, FALSE)</f>
        <v>15</v>
      </c>
      <c r="N265">
        <f>VLOOKUP(Table9[[#This Row],[Shortname]], Comp[], 11, FALSE)</f>
        <v>0</v>
      </c>
      <c r="O265">
        <f>VLOOKUP(Table9[[#This Row],[Shortname]], Comp[],12, FALSE)</f>
        <v>11</v>
      </c>
      <c r="P265">
        <f>VLOOKUP(Table9[[#This Row],[Shortname]], Comp[], 13, FALSE)</f>
        <v>0</v>
      </c>
      <c r="Q265">
        <f>VLOOKUP(Table9[[#This Row],[Shortname]], Comp[], 14, FALSE)</f>
        <v>0</v>
      </c>
      <c r="R265">
        <f>VLOOKUP(Table9[[#This Row],[Shortname]], Comp[], 15, FALSE)</f>
        <v>0</v>
      </c>
      <c r="S265">
        <f>VLOOKUP(Table9[[#This Row],[Shortname]], Comp[], 16, FALSE)</f>
        <v>0</v>
      </c>
      <c r="T265">
        <f>VLOOKUP(Table9[[#This Row],[Shortname]], Comp[], 17, FALSE)</f>
        <v>0</v>
      </c>
      <c r="U265">
        <f>VLOOKUP(Table9[[#This Row],[Shortname]], Comp[], 18, FALSE)</f>
        <v>0</v>
      </c>
      <c r="V265">
        <f>VLOOKUP(Table9[[#This Row],[Shortname]], Comp[], 19, FALSE)</f>
        <v>0</v>
      </c>
      <c r="W265">
        <f>VLOOKUP(Table9[[#This Row],[Shortname]], Comp[], 20, FALSE)</f>
        <v>0</v>
      </c>
      <c r="X265">
        <f>VLOOKUP(Table9[[#This Row],[Shortname]], Comp[], 21, FALSE)</f>
        <v>0</v>
      </c>
      <c r="Y265">
        <f>VLOOKUP(Table9[[#This Row],[Shortname]], Comp[], 22, FALSE)</f>
        <v>0</v>
      </c>
      <c r="Z265">
        <f>VLOOKUP(Table9[[#This Row],[Shortname]], Comp[], 23, FALSE)</f>
        <v>0</v>
      </c>
      <c r="AA265">
        <f>VLOOKUP(Table9[[#This Row],[Shortname]], Comp[], 24, FALSE)</f>
        <v>0</v>
      </c>
      <c r="AB265">
        <f>VLOOKUP(Table9[[#This Row],[Shortname]], Comp[], 25, FALSE)</f>
        <v>0</v>
      </c>
      <c r="AC265">
        <f>VLOOKUP(Table9[[#This Row],[Shortname]], Comp[], 26, FALSE)</f>
        <v>0</v>
      </c>
      <c r="AD265">
        <f>VLOOKUP(Table9[[#This Row],[Shortname]], Comp[], 27, FALSE)</f>
        <v>0</v>
      </c>
      <c r="AE265">
        <f>VLOOKUP(Table9[[#This Row],[Shortname]], Comp[], 28, FALSE)</f>
        <v>0</v>
      </c>
      <c r="AF265">
        <f>VLOOKUP(Table9[[#This Row],[Shortname]], Comp[], 29, FALSE)</f>
        <v>0</v>
      </c>
      <c r="AG265">
        <f>VLOOKUP(Table9[[#This Row],[Shortname]], Comp[], 30, FALSE)</f>
        <v>0</v>
      </c>
      <c r="AH265">
        <f>VLOOKUP(Table9[[#This Row],[Shortname]], Comp[], 31, FALSE)</f>
        <v>0</v>
      </c>
    </row>
    <row r="266" spans="1:34" x14ac:dyDescent="0.3">
      <c r="A266" t="s">
        <v>1735</v>
      </c>
      <c r="B266" t="s">
        <v>2354</v>
      </c>
      <c r="C266" t="s">
        <v>3480</v>
      </c>
      <c r="D266">
        <v>453</v>
      </c>
      <c r="E266">
        <v>600</v>
      </c>
      <c r="F266">
        <v>1E-4</v>
      </c>
      <c r="G266">
        <v>1</v>
      </c>
      <c r="H266" t="s">
        <v>6803</v>
      </c>
      <c r="I266">
        <f>VLOOKUP(Table9[[#This Row],[Shortname]], Comp[], 6, FALSE)</f>
        <v>222</v>
      </c>
      <c r="J266" s="14">
        <f>VLOOKUP(Table9[[#This Row],[Shortname]], Comp[], 7, FALSE)</f>
        <v>79.400000000000006</v>
      </c>
      <c r="K266">
        <f>VLOOKUP(Table9[[#This Row],[Shortname]], Comp[], 8, FALSE)</f>
        <v>0</v>
      </c>
      <c r="L266">
        <f>VLOOKUP(Table9[[#This Row],[Shortname]], Comp[], 9, FALSE)</f>
        <v>8.8000000000000007</v>
      </c>
      <c r="M266">
        <f>VLOOKUP(Table9[[#This Row],[Shortname]], Comp[], 10, FALSE)</f>
        <v>0</v>
      </c>
      <c r="N266">
        <f>VLOOKUP(Table9[[#This Row],[Shortname]], Comp[], 11, FALSE)</f>
        <v>9.8000000000000007</v>
      </c>
      <c r="O266">
        <f>VLOOKUP(Table9[[#This Row],[Shortname]], Comp[],12, FALSE)</f>
        <v>0</v>
      </c>
      <c r="P266">
        <f>VLOOKUP(Table9[[#This Row],[Shortname]], Comp[], 13, FALSE)</f>
        <v>2</v>
      </c>
      <c r="Q266">
        <f>VLOOKUP(Table9[[#This Row],[Shortname]], Comp[], 14, FALSE)</f>
        <v>0</v>
      </c>
      <c r="R266">
        <f>VLOOKUP(Table9[[#This Row],[Shortname]], Comp[], 15, FALSE)</f>
        <v>0</v>
      </c>
      <c r="S266">
        <f>VLOOKUP(Table9[[#This Row],[Shortname]], Comp[], 16, FALSE)</f>
        <v>0</v>
      </c>
      <c r="T266">
        <f>VLOOKUP(Table9[[#This Row],[Shortname]], Comp[], 17, FALSE)</f>
        <v>0</v>
      </c>
      <c r="U266">
        <f>VLOOKUP(Table9[[#This Row],[Shortname]], Comp[], 18, FALSE)</f>
        <v>0</v>
      </c>
      <c r="V266">
        <f>VLOOKUP(Table9[[#This Row],[Shortname]], Comp[], 19, FALSE)</f>
        <v>0</v>
      </c>
      <c r="W266">
        <f>VLOOKUP(Table9[[#This Row],[Shortname]], Comp[], 20, FALSE)</f>
        <v>0</v>
      </c>
      <c r="X266">
        <f>VLOOKUP(Table9[[#This Row],[Shortname]], Comp[], 21, FALSE)</f>
        <v>0</v>
      </c>
      <c r="Y266">
        <f>VLOOKUP(Table9[[#This Row],[Shortname]], Comp[], 22, FALSE)</f>
        <v>0</v>
      </c>
      <c r="Z266">
        <f>VLOOKUP(Table9[[#This Row],[Shortname]], Comp[], 23, FALSE)</f>
        <v>0</v>
      </c>
      <c r="AA266">
        <f>VLOOKUP(Table9[[#This Row],[Shortname]], Comp[], 24, FALSE)</f>
        <v>0</v>
      </c>
      <c r="AB266">
        <f>VLOOKUP(Table9[[#This Row],[Shortname]], Comp[], 25, FALSE)</f>
        <v>0</v>
      </c>
      <c r="AC266">
        <f>VLOOKUP(Table9[[#This Row],[Shortname]], Comp[], 26, FALSE)</f>
        <v>0</v>
      </c>
      <c r="AD266">
        <f>VLOOKUP(Table9[[#This Row],[Shortname]], Comp[], 27, FALSE)</f>
        <v>0</v>
      </c>
      <c r="AE266">
        <f>VLOOKUP(Table9[[#This Row],[Shortname]], Comp[], 28, FALSE)</f>
        <v>0</v>
      </c>
      <c r="AF266">
        <f>VLOOKUP(Table9[[#This Row],[Shortname]], Comp[], 29, FALSE)</f>
        <v>0</v>
      </c>
      <c r="AG266">
        <f>VLOOKUP(Table9[[#This Row],[Shortname]], Comp[], 30, FALSE)</f>
        <v>0</v>
      </c>
      <c r="AH266">
        <f>VLOOKUP(Table9[[#This Row],[Shortname]], Comp[], 31, FALSE)</f>
        <v>0</v>
      </c>
    </row>
    <row r="267" spans="1:34" x14ac:dyDescent="0.3">
      <c r="A267" t="s">
        <v>4</v>
      </c>
      <c r="B267" t="s">
        <v>7</v>
      </c>
      <c r="C267" t="s">
        <v>6820</v>
      </c>
      <c r="D267">
        <v>452</v>
      </c>
      <c r="E267">
        <v>1025</v>
      </c>
      <c r="F267">
        <v>1</v>
      </c>
      <c r="G267">
        <v>1</v>
      </c>
      <c r="H267" t="s">
        <v>6807</v>
      </c>
      <c r="I267">
        <f>VLOOKUP(Table9[[#This Row],[Shortname]], Comp[], 6, FALSE)</f>
        <v>1</v>
      </c>
      <c r="J267" s="14">
        <f>VLOOKUP(Table9[[#This Row],[Shortname]], Comp[], 7, FALSE)</f>
        <v>41.800000000000004</v>
      </c>
      <c r="K267">
        <f>VLOOKUP(Table9[[#This Row],[Shortname]], Comp[], 8, FALSE)</f>
        <v>29.5</v>
      </c>
      <c r="L267">
        <f>VLOOKUP(Table9[[#This Row],[Shortname]], Comp[], 9, FALSE)</f>
        <v>9.6</v>
      </c>
      <c r="M267">
        <f>VLOOKUP(Table9[[#This Row],[Shortname]], Comp[], 10, FALSE)</f>
        <v>12.7</v>
      </c>
      <c r="N267">
        <f>VLOOKUP(Table9[[#This Row],[Shortname]], Comp[], 11, FALSE)</f>
        <v>0</v>
      </c>
      <c r="O267">
        <f>VLOOKUP(Table9[[#This Row],[Shortname]], Comp[],12, FALSE)</f>
        <v>4.5</v>
      </c>
      <c r="P267">
        <f>VLOOKUP(Table9[[#This Row],[Shortname]], Comp[], 13, FALSE)</f>
        <v>0</v>
      </c>
      <c r="Q267">
        <f>VLOOKUP(Table9[[#This Row],[Shortname]], Comp[], 14, FALSE)</f>
        <v>1.9</v>
      </c>
      <c r="R267">
        <f>VLOOKUP(Table9[[#This Row],[Shortname]], Comp[], 15, FALSE)</f>
        <v>0</v>
      </c>
      <c r="S267">
        <f>VLOOKUP(Table9[[#This Row],[Shortname]], Comp[], 16, FALSE)</f>
        <v>0</v>
      </c>
      <c r="T267">
        <f>VLOOKUP(Table9[[#This Row],[Shortname]], Comp[], 17, FALSE)</f>
        <v>0</v>
      </c>
      <c r="U267">
        <f>VLOOKUP(Table9[[#This Row],[Shortname]], Comp[], 18, FALSE)</f>
        <v>0</v>
      </c>
      <c r="V267">
        <f>VLOOKUP(Table9[[#This Row],[Shortname]], Comp[], 19, FALSE)</f>
        <v>0</v>
      </c>
      <c r="W267">
        <f>VLOOKUP(Table9[[#This Row],[Shortname]], Comp[], 20, FALSE)</f>
        <v>0</v>
      </c>
      <c r="X267">
        <f>VLOOKUP(Table9[[#This Row],[Shortname]], Comp[], 21, FALSE)</f>
        <v>0</v>
      </c>
      <c r="Y267">
        <f>VLOOKUP(Table9[[#This Row],[Shortname]], Comp[], 22, FALSE)</f>
        <v>0</v>
      </c>
      <c r="Z267">
        <f>VLOOKUP(Table9[[#This Row],[Shortname]], Comp[], 23, FALSE)</f>
        <v>0</v>
      </c>
      <c r="AA267">
        <f>VLOOKUP(Table9[[#This Row],[Shortname]], Comp[], 24, FALSE)</f>
        <v>0</v>
      </c>
      <c r="AB267">
        <f>VLOOKUP(Table9[[#This Row],[Shortname]], Comp[], 25, FALSE)</f>
        <v>0</v>
      </c>
      <c r="AC267">
        <f>VLOOKUP(Table9[[#This Row],[Shortname]], Comp[], 26, FALSE)</f>
        <v>0</v>
      </c>
      <c r="AD267">
        <f>VLOOKUP(Table9[[#This Row],[Shortname]], Comp[], 27, FALSE)</f>
        <v>0</v>
      </c>
      <c r="AE267">
        <f>VLOOKUP(Table9[[#This Row],[Shortname]], Comp[], 28, FALSE)</f>
        <v>0</v>
      </c>
      <c r="AF267">
        <f>VLOOKUP(Table9[[#This Row],[Shortname]], Comp[], 29, FALSE)</f>
        <v>0</v>
      </c>
      <c r="AG267">
        <f>VLOOKUP(Table9[[#This Row],[Shortname]], Comp[], 30, FALSE)</f>
        <v>0</v>
      </c>
      <c r="AH267">
        <f>VLOOKUP(Table9[[#This Row],[Shortname]], Comp[], 31, FALSE)</f>
        <v>0</v>
      </c>
    </row>
    <row r="268" spans="1:34" x14ac:dyDescent="0.3">
      <c r="A268" t="s">
        <v>525</v>
      </c>
      <c r="B268" t="s">
        <v>6694</v>
      </c>
      <c r="C268" t="s">
        <v>499</v>
      </c>
      <c r="D268">
        <v>452</v>
      </c>
      <c r="E268">
        <v>900</v>
      </c>
      <c r="F268">
        <v>1E-4</v>
      </c>
      <c r="G268">
        <v>1</v>
      </c>
      <c r="I268">
        <f>VLOOKUP(Table9[[#This Row],[Shortname]], Comp[], 6, FALSE)</f>
        <v>68</v>
      </c>
      <c r="J268" s="14">
        <f>VLOOKUP(Table9[[#This Row],[Shortname]], Comp[], 7, FALSE)</f>
        <v>72.400000000000006</v>
      </c>
      <c r="K268">
        <f>VLOOKUP(Table9[[#This Row],[Shortname]], Comp[], 8, FALSE)</f>
        <v>10.199999999999999</v>
      </c>
      <c r="L268">
        <f>VLOOKUP(Table9[[#This Row],[Shortname]], Comp[], 9, FALSE)</f>
        <v>5.4</v>
      </c>
      <c r="M268">
        <f>VLOOKUP(Table9[[#This Row],[Shortname]], Comp[], 10, FALSE)</f>
        <v>0</v>
      </c>
      <c r="N268">
        <f>VLOOKUP(Table9[[#This Row],[Shortname]], Comp[], 11, FALSE)</f>
        <v>6.1</v>
      </c>
      <c r="O268">
        <f>VLOOKUP(Table9[[#This Row],[Shortname]], Comp[],12, FALSE)</f>
        <v>5.9</v>
      </c>
      <c r="P268">
        <f>VLOOKUP(Table9[[#This Row],[Shortname]], Comp[], 13, FALSE)</f>
        <v>0</v>
      </c>
      <c r="Q268">
        <f>VLOOKUP(Table9[[#This Row],[Shortname]], Comp[], 14, FALSE)</f>
        <v>0</v>
      </c>
      <c r="R268">
        <f>VLOOKUP(Table9[[#This Row],[Shortname]], Comp[], 15, FALSE)</f>
        <v>0</v>
      </c>
      <c r="S268">
        <f>VLOOKUP(Table9[[#This Row],[Shortname]], Comp[], 16, FALSE)</f>
        <v>0</v>
      </c>
      <c r="T268">
        <f>VLOOKUP(Table9[[#This Row],[Shortname]], Comp[], 17, FALSE)</f>
        <v>0</v>
      </c>
      <c r="U268">
        <f>VLOOKUP(Table9[[#This Row],[Shortname]], Comp[], 18, FALSE)</f>
        <v>0</v>
      </c>
      <c r="V268">
        <f>VLOOKUP(Table9[[#This Row],[Shortname]], Comp[], 19, FALSE)</f>
        <v>0</v>
      </c>
      <c r="W268">
        <f>VLOOKUP(Table9[[#This Row],[Shortname]], Comp[], 20, FALSE)</f>
        <v>0</v>
      </c>
      <c r="X268">
        <f>VLOOKUP(Table9[[#This Row],[Shortname]], Comp[], 21, FALSE)</f>
        <v>0</v>
      </c>
      <c r="Y268">
        <f>VLOOKUP(Table9[[#This Row],[Shortname]], Comp[], 22, FALSE)</f>
        <v>0</v>
      </c>
      <c r="Z268">
        <f>VLOOKUP(Table9[[#This Row],[Shortname]], Comp[], 23, FALSE)</f>
        <v>0</v>
      </c>
      <c r="AA268">
        <f>VLOOKUP(Table9[[#This Row],[Shortname]], Comp[], 24, FALSE)</f>
        <v>0</v>
      </c>
      <c r="AB268">
        <f>VLOOKUP(Table9[[#This Row],[Shortname]], Comp[], 25, FALSE)</f>
        <v>0</v>
      </c>
      <c r="AC268">
        <f>VLOOKUP(Table9[[#This Row],[Shortname]], Comp[], 26, FALSE)</f>
        <v>0</v>
      </c>
      <c r="AD268">
        <f>VLOOKUP(Table9[[#This Row],[Shortname]], Comp[], 27, FALSE)</f>
        <v>0</v>
      </c>
      <c r="AE268">
        <f>VLOOKUP(Table9[[#This Row],[Shortname]], Comp[], 28, FALSE)</f>
        <v>0</v>
      </c>
      <c r="AF268">
        <f>VLOOKUP(Table9[[#This Row],[Shortname]], Comp[], 29, FALSE)</f>
        <v>0</v>
      </c>
      <c r="AG268">
        <f>VLOOKUP(Table9[[#This Row],[Shortname]], Comp[], 30, FALSE)</f>
        <v>0</v>
      </c>
      <c r="AH268">
        <f>VLOOKUP(Table9[[#This Row],[Shortname]], Comp[], 31, FALSE)</f>
        <v>0</v>
      </c>
    </row>
    <row r="269" spans="1:34" x14ac:dyDescent="0.3">
      <c r="A269" t="s">
        <v>2996</v>
      </c>
      <c r="B269" t="s">
        <v>2998</v>
      </c>
      <c r="C269" t="s">
        <v>2999</v>
      </c>
      <c r="D269">
        <v>452</v>
      </c>
      <c r="E269">
        <v>950</v>
      </c>
      <c r="F269">
        <v>1E-4</v>
      </c>
      <c r="G269">
        <v>1</v>
      </c>
      <c r="H269" t="s">
        <v>6803</v>
      </c>
      <c r="I269">
        <f>VLOOKUP(Table9[[#This Row],[Shortname]], Comp[], 6, FALSE)</f>
        <v>412</v>
      </c>
      <c r="J269" s="14">
        <f>VLOOKUP(Table9[[#This Row],[Shortname]], Comp[], 7, FALSE)</f>
        <v>49.82</v>
      </c>
      <c r="K269">
        <f>VLOOKUP(Table9[[#This Row],[Shortname]], Comp[], 8, FALSE)</f>
        <v>30.83</v>
      </c>
      <c r="L269">
        <f>VLOOKUP(Table9[[#This Row],[Shortname]], Comp[], 9, FALSE)</f>
        <v>9.16</v>
      </c>
      <c r="M269">
        <f>VLOOKUP(Table9[[#This Row],[Shortname]], Comp[], 10, FALSE)</f>
        <v>0</v>
      </c>
      <c r="N269">
        <f>VLOOKUP(Table9[[#This Row],[Shortname]], Comp[], 11, FALSE)</f>
        <v>5.09</v>
      </c>
      <c r="O269">
        <f>VLOOKUP(Table9[[#This Row],[Shortname]], Comp[],12, FALSE)</f>
        <v>4.0999999999999996</v>
      </c>
      <c r="P269">
        <f>VLOOKUP(Table9[[#This Row],[Shortname]], Comp[], 13, FALSE)</f>
        <v>1</v>
      </c>
      <c r="Q269">
        <f>VLOOKUP(Table9[[#This Row],[Shortname]], Comp[], 14, FALSE)</f>
        <v>0</v>
      </c>
      <c r="R269">
        <f>VLOOKUP(Table9[[#This Row],[Shortname]], Comp[], 15, FALSE)</f>
        <v>0</v>
      </c>
      <c r="S269">
        <f>VLOOKUP(Table9[[#This Row],[Shortname]], Comp[], 16, FALSE)</f>
        <v>0</v>
      </c>
      <c r="T269">
        <f>VLOOKUP(Table9[[#This Row],[Shortname]], Comp[], 17, FALSE)</f>
        <v>0</v>
      </c>
      <c r="U269">
        <f>VLOOKUP(Table9[[#This Row],[Shortname]], Comp[], 18, FALSE)</f>
        <v>0</v>
      </c>
      <c r="V269">
        <f>VLOOKUP(Table9[[#This Row],[Shortname]], Comp[], 19, FALSE)</f>
        <v>0</v>
      </c>
      <c r="W269">
        <f>VLOOKUP(Table9[[#This Row],[Shortname]], Comp[], 20, FALSE)</f>
        <v>0</v>
      </c>
      <c r="X269">
        <f>VLOOKUP(Table9[[#This Row],[Shortname]], Comp[], 21, FALSE)</f>
        <v>0</v>
      </c>
      <c r="Y269">
        <f>VLOOKUP(Table9[[#This Row],[Shortname]], Comp[], 22, FALSE)</f>
        <v>0</v>
      </c>
      <c r="Z269">
        <f>VLOOKUP(Table9[[#This Row],[Shortname]], Comp[], 23, FALSE)</f>
        <v>0</v>
      </c>
      <c r="AA269">
        <f>VLOOKUP(Table9[[#This Row],[Shortname]], Comp[], 24, FALSE)</f>
        <v>0</v>
      </c>
      <c r="AB269">
        <f>VLOOKUP(Table9[[#This Row],[Shortname]], Comp[], 25, FALSE)</f>
        <v>0</v>
      </c>
      <c r="AC269">
        <f>VLOOKUP(Table9[[#This Row],[Shortname]], Comp[], 26, FALSE)</f>
        <v>0</v>
      </c>
      <c r="AD269">
        <f>VLOOKUP(Table9[[#This Row],[Shortname]], Comp[], 27, FALSE)</f>
        <v>0</v>
      </c>
      <c r="AE269">
        <f>VLOOKUP(Table9[[#This Row],[Shortname]], Comp[], 28, FALSE)</f>
        <v>0</v>
      </c>
      <c r="AF269">
        <f>VLOOKUP(Table9[[#This Row],[Shortname]], Comp[], 29, FALSE)</f>
        <v>0</v>
      </c>
      <c r="AG269">
        <f>VLOOKUP(Table9[[#This Row],[Shortname]], Comp[], 30, FALSE)</f>
        <v>0</v>
      </c>
      <c r="AH269">
        <f>VLOOKUP(Table9[[#This Row],[Shortname]], Comp[], 31, FALSE)</f>
        <v>0</v>
      </c>
    </row>
    <row r="270" spans="1:34" x14ac:dyDescent="0.3">
      <c r="A270" t="s">
        <v>3162</v>
      </c>
      <c r="B270" t="s">
        <v>3164</v>
      </c>
      <c r="C270" t="s">
        <v>3157</v>
      </c>
      <c r="D270">
        <v>451</v>
      </c>
      <c r="E270">
        <v>25</v>
      </c>
      <c r="F270">
        <v>1E-4</v>
      </c>
      <c r="G270">
        <v>1</v>
      </c>
      <c r="H270" t="s">
        <v>6803</v>
      </c>
      <c r="I270">
        <f>VLOOKUP(Table9[[#This Row],[Shortname]], Comp[], 6, FALSE)</f>
        <v>441</v>
      </c>
      <c r="J270" s="14">
        <f>VLOOKUP(Table9[[#This Row],[Shortname]], Comp[], 7, FALSE)</f>
        <v>78</v>
      </c>
      <c r="K270">
        <f>VLOOKUP(Table9[[#This Row],[Shortname]], Comp[], 8, FALSE)</f>
        <v>0</v>
      </c>
      <c r="L270">
        <f>VLOOKUP(Table9[[#This Row],[Shortname]], Comp[], 9, FALSE)</f>
        <v>2</v>
      </c>
      <c r="M270">
        <f>VLOOKUP(Table9[[#This Row],[Shortname]], Comp[], 10, FALSE)</f>
        <v>0</v>
      </c>
      <c r="N270">
        <f>VLOOKUP(Table9[[#This Row],[Shortname]], Comp[], 11, FALSE)</f>
        <v>0</v>
      </c>
      <c r="O270">
        <f>VLOOKUP(Table9[[#This Row],[Shortname]], Comp[],12, FALSE)</f>
        <v>5</v>
      </c>
      <c r="P270">
        <f>VLOOKUP(Table9[[#This Row],[Shortname]], Comp[], 13, FALSE)</f>
        <v>0</v>
      </c>
      <c r="Q270">
        <f>VLOOKUP(Table9[[#This Row],[Shortname]], Comp[], 14, FALSE)</f>
        <v>0</v>
      </c>
      <c r="R270">
        <f>VLOOKUP(Table9[[#This Row],[Shortname]], Comp[], 15, FALSE)</f>
        <v>15</v>
      </c>
      <c r="S270">
        <f>VLOOKUP(Table9[[#This Row],[Shortname]], Comp[], 16, FALSE)</f>
        <v>0</v>
      </c>
      <c r="T270">
        <f>VLOOKUP(Table9[[#This Row],[Shortname]], Comp[], 17, FALSE)</f>
        <v>0</v>
      </c>
      <c r="U270">
        <f>VLOOKUP(Table9[[#This Row],[Shortname]], Comp[], 18, FALSE)</f>
        <v>0</v>
      </c>
      <c r="V270">
        <f>VLOOKUP(Table9[[#This Row],[Shortname]], Comp[], 19, FALSE)</f>
        <v>0</v>
      </c>
      <c r="W270">
        <f>VLOOKUP(Table9[[#This Row],[Shortname]], Comp[], 20, FALSE)</f>
        <v>0</v>
      </c>
      <c r="X270">
        <f>VLOOKUP(Table9[[#This Row],[Shortname]], Comp[], 21, FALSE)</f>
        <v>0</v>
      </c>
      <c r="Y270">
        <f>VLOOKUP(Table9[[#This Row],[Shortname]], Comp[], 22, FALSE)</f>
        <v>0</v>
      </c>
      <c r="Z270">
        <f>VLOOKUP(Table9[[#This Row],[Shortname]], Comp[], 23, FALSE)</f>
        <v>0</v>
      </c>
      <c r="AA270">
        <f>VLOOKUP(Table9[[#This Row],[Shortname]], Comp[], 24, FALSE)</f>
        <v>0</v>
      </c>
      <c r="AB270">
        <f>VLOOKUP(Table9[[#This Row],[Shortname]], Comp[], 25, FALSE)</f>
        <v>0</v>
      </c>
      <c r="AC270">
        <f>VLOOKUP(Table9[[#This Row],[Shortname]], Comp[], 26, FALSE)</f>
        <v>0</v>
      </c>
      <c r="AD270">
        <f>VLOOKUP(Table9[[#This Row],[Shortname]], Comp[], 27, FALSE)</f>
        <v>0</v>
      </c>
      <c r="AE270">
        <f>VLOOKUP(Table9[[#This Row],[Shortname]], Comp[], 28, FALSE)</f>
        <v>0</v>
      </c>
      <c r="AF270">
        <f>VLOOKUP(Table9[[#This Row],[Shortname]], Comp[], 29, FALSE)</f>
        <v>0</v>
      </c>
      <c r="AG270">
        <f>VLOOKUP(Table9[[#This Row],[Shortname]], Comp[], 30, FALSE)</f>
        <v>0</v>
      </c>
      <c r="AH270">
        <f>VLOOKUP(Table9[[#This Row],[Shortname]], Comp[], 31, FALSE)</f>
        <v>0</v>
      </c>
    </row>
    <row r="271" spans="1:34" x14ac:dyDescent="0.3">
      <c r="A271" t="s">
        <v>513</v>
      </c>
      <c r="B271" t="s">
        <v>6692</v>
      </c>
      <c r="C271" t="s">
        <v>499</v>
      </c>
      <c r="D271">
        <v>450</v>
      </c>
      <c r="E271">
        <v>900</v>
      </c>
      <c r="F271">
        <v>1E-4</v>
      </c>
      <c r="G271">
        <v>1</v>
      </c>
      <c r="I271">
        <f>VLOOKUP(Table9[[#This Row],[Shortname]], Comp[], 6, FALSE)</f>
        <v>67</v>
      </c>
      <c r="J271" s="14">
        <f>VLOOKUP(Table9[[#This Row],[Shortname]], Comp[], 7, FALSE)</f>
        <v>72.5</v>
      </c>
      <c r="K271">
        <f>VLOOKUP(Table9[[#This Row],[Shortname]], Comp[], 8, FALSE)</f>
        <v>10</v>
      </c>
      <c r="L271">
        <f>VLOOKUP(Table9[[#This Row],[Shortname]], Comp[], 9, FALSE)</f>
        <v>4.5</v>
      </c>
      <c r="M271">
        <f>VLOOKUP(Table9[[#This Row],[Shortname]], Comp[], 10, FALSE)</f>
        <v>0</v>
      </c>
      <c r="N271">
        <f>VLOOKUP(Table9[[#This Row],[Shortname]], Comp[], 11, FALSE)</f>
        <v>5.2</v>
      </c>
      <c r="O271">
        <f>VLOOKUP(Table9[[#This Row],[Shortname]], Comp[],12, FALSE)</f>
        <v>7.8</v>
      </c>
      <c r="P271">
        <f>VLOOKUP(Table9[[#This Row],[Shortname]], Comp[], 13, FALSE)</f>
        <v>0</v>
      </c>
      <c r="Q271">
        <f>VLOOKUP(Table9[[#This Row],[Shortname]], Comp[], 14, FALSE)</f>
        <v>0</v>
      </c>
      <c r="R271">
        <f>VLOOKUP(Table9[[#This Row],[Shortname]], Comp[], 15, FALSE)</f>
        <v>0</v>
      </c>
      <c r="S271">
        <f>VLOOKUP(Table9[[#This Row],[Shortname]], Comp[], 16, FALSE)</f>
        <v>0</v>
      </c>
      <c r="T271">
        <f>VLOOKUP(Table9[[#This Row],[Shortname]], Comp[], 17, FALSE)</f>
        <v>0</v>
      </c>
      <c r="U271">
        <f>VLOOKUP(Table9[[#This Row],[Shortname]], Comp[], 18, FALSE)</f>
        <v>0</v>
      </c>
      <c r="V271">
        <f>VLOOKUP(Table9[[#This Row],[Shortname]], Comp[], 19, FALSE)</f>
        <v>0</v>
      </c>
      <c r="W271">
        <f>VLOOKUP(Table9[[#This Row],[Shortname]], Comp[], 20, FALSE)</f>
        <v>0</v>
      </c>
      <c r="X271">
        <f>VLOOKUP(Table9[[#This Row],[Shortname]], Comp[], 21, FALSE)</f>
        <v>0</v>
      </c>
      <c r="Y271">
        <f>VLOOKUP(Table9[[#This Row],[Shortname]], Comp[], 22, FALSE)</f>
        <v>0</v>
      </c>
      <c r="Z271">
        <f>VLOOKUP(Table9[[#This Row],[Shortname]], Comp[], 23, FALSE)</f>
        <v>0</v>
      </c>
      <c r="AA271">
        <f>VLOOKUP(Table9[[#This Row],[Shortname]], Comp[], 24, FALSE)</f>
        <v>0</v>
      </c>
      <c r="AB271">
        <f>VLOOKUP(Table9[[#This Row],[Shortname]], Comp[], 25, FALSE)</f>
        <v>0</v>
      </c>
      <c r="AC271">
        <f>VLOOKUP(Table9[[#This Row],[Shortname]], Comp[], 26, FALSE)</f>
        <v>0</v>
      </c>
      <c r="AD271">
        <f>VLOOKUP(Table9[[#This Row],[Shortname]], Comp[], 27, FALSE)</f>
        <v>0</v>
      </c>
      <c r="AE271">
        <f>VLOOKUP(Table9[[#This Row],[Shortname]], Comp[], 28, FALSE)</f>
        <v>0</v>
      </c>
      <c r="AF271">
        <f>VLOOKUP(Table9[[#This Row],[Shortname]], Comp[], 29, FALSE)</f>
        <v>0</v>
      </c>
      <c r="AG271">
        <f>VLOOKUP(Table9[[#This Row],[Shortname]], Comp[], 30, FALSE)</f>
        <v>0</v>
      </c>
      <c r="AH271">
        <f>VLOOKUP(Table9[[#This Row],[Shortname]], Comp[], 31, FALSE)</f>
        <v>0</v>
      </c>
    </row>
    <row r="272" spans="1:34" x14ac:dyDescent="0.3">
      <c r="A272" t="s">
        <v>983</v>
      </c>
      <c r="B272" t="s">
        <v>5230</v>
      </c>
      <c r="C272" t="s">
        <v>5231</v>
      </c>
      <c r="D272">
        <v>450</v>
      </c>
      <c r="E272">
        <v>-195</v>
      </c>
      <c r="F272">
        <v>1E-4</v>
      </c>
      <c r="G272">
        <v>1</v>
      </c>
      <c r="H272" t="s">
        <v>6803</v>
      </c>
      <c r="I272">
        <f>VLOOKUP(Table9[[#This Row],[Shortname]], Comp[], 6, FALSE)</f>
        <v>127</v>
      </c>
      <c r="J272" s="14">
        <f>VLOOKUP(Table9[[#This Row],[Shortname]], Comp[], 7, FALSE)</f>
        <v>77</v>
      </c>
      <c r="K272">
        <f>VLOOKUP(Table9[[#This Row],[Shortname]], Comp[], 8, FALSE)</f>
        <v>0</v>
      </c>
      <c r="L272">
        <f>VLOOKUP(Table9[[#This Row],[Shortname]], Comp[], 9, FALSE)</f>
        <v>12</v>
      </c>
      <c r="M272">
        <f>VLOOKUP(Table9[[#This Row],[Shortname]], Comp[], 10, FALSE)</f>
        <v>0</v>
      </c>
      <c r="N272">
        <f>VLOOKUP(Table9[[#This Row],[Shortname]], Comp[], 11, FALSE)</f>
        <v>11</v>
      </c>
      <c r="O272">
        <f>VLOOKUP(Table9[[#This Row],[Shortname]], Comp[],12, FALSE)</f>
        <v>0</v>
      </c>
      <c r="P272">
        <f>VLOOKUP(Table9[[#This Row],[Shortname]], Comp[], 13, FALSE)</f>
        <v>0</v>
      </c>
      <c r="Q272">
        <f>VLOOKUP(Table9[[#This Row],[Shortname]], Comp[], 14, FALSE)</f>
        <v>0</v>
      </c>
      <c r="R272">
        <f>VLOOKUP(Table9[[#This Row],[Shortname]], Comp[], 15, FALSE)</f>
        <v>0</v>
      </c>
      <c r="S272">
        <f>VLOOKUP(Table9[[#This Row],[Shortname]], Comp[], 16, FALSE)</f>
        <v>0</v>
      </c>
      <c r="T272">
        <f>VLOOKUP(Table9[[#This Row],[Shortname]], Comp[], 17, FALSE)</f>
        <v>0</v>
      </c>
      <c r="U272">
        <f>VLOOKUP(Table9[[#This Row],[Shortname]], Comp[], 18, FALSE)</f>
        <v>0</v>
      </c>
      <c r="V272">
        <f>VLOOKUP(Table9[[#This Row],[Shortname]], Comp[], 19, FALSE)</f>
        <v>0</v>
      </c>
      <c r="W272">
        <f>VLOOKUP(Table9[[#This Row],[Shortname]], Comp[], 20, FALSE)</f>
        <v>0</v>
      </c>
      <c r="X272">
        <f>VLOOKUP(Table9[[#This Row],[Shortname]], Comp[], 21, FALSE)</f>
        <v>0</v>
      </c>
      <c r="Y272">
        <f>VLOOKUP(Table9[[#This Row],[Shortname]], Comp[], 22, FALSE)</f>
        <v>0</v>
      </c>
      <c r="Z272">
        <f>VLOOKUP(Table9[[#This Row],[Shortname]], Comp[], 23, FALSE)</f>
        <v>0</v>
      </c>
      <c r="AA272">
        <f>VLOOKUP(Table9[[#This Row],[Shortname]], Comp[], 24, FALSE)</f>
        <v>0</v>
      </c>
      <c r="AB272">
        <f>VLOOKUP(Table9[[#This Row],[Shortname]], Comp[], 25, FALSE)</f>
        <v>0</v>
      </c>
      <c r="AC272">
        <f>VLOOKUP(Table9[[#This Row],[Shortname]], Comp[], 26, FALSE)</f>
        <v>0</v>
      </c>
      <c r="AD272">
        <f>VLOOKUP(Table9[[#This Row],[Shortname]], Comp[], 27, FALSE)</f>
        <v>0</v>
      </c>
      <c r="AE272">
        <f>VLOOKUP(Table9[[#This Row],[Shortname]], Comp[], 28, FALSE)</f>
        <v>0</v>
      </c>
      <c r="AF272">
        <f>VLOOKUP(Table9[[#This Row],[Shortname]], Comp[], 29, FALSE)</f>
        <v>0</v>
      </c>
      <c r="AG272">
        <f>VLOOKUP(Table9[[#This Row],[Shortname]], Comp[], 30, FALSE)</f>
        <v>0</v>
      </c>
      <c r="AH272">
        <f>VLOOKUP(Table9[[#This Row],[Shortname]], Comp[], 31, FALSE)</f>
        <v>0</v>
      </c>
    </row>
    <row r="273" spans="1:34" x14ac:dyDescent="0.3">
      <c r="A273" t="s">
        <v>3405</v>
      </c>
      <c r="B273" t="s">
        <v>3405</v>
      </c>
      <c r="C273" t="s">
        <v>3401</v>
      </c>
      <c r="D273">
        <v>449</v>
      </c>
      <c r="E273">
        <v>760</v>
      </c>
      <c r="F273">
        <v>2.0000000000000001E-4</v>
      </c>
      <c r="G273">
        <v>1</v>
      </c>
      <c r="H273" t="s">
        <v>6803</v>
      </c>
      <c r="I273">
        <f>VLOOKUP(Table9[[#This Row],[Shortname]], Comp[], 6, FALSE)</f>
        <v>483</v>
      </c>
      <c r="J273" s="14">
        <f>VLOOKUP(Table9[[#This Row],[Shortname]], Comp[], 7, FALSE)</f>
        <v>84.18</v>
      </c>
      <c r="K273">
        <f>VLOOKUP(Table9[[#This Row],[Shortname]], Comp[], 8, FALSE)</f>
        <v>0</v>
      </c>
      <c r="L273">
        <f>VLOOKUP(Table9[[#This Row],[Shortname]], Comp[], 9, FALSE)</f>
        <v>8.9</v>
      </c>
      <c r="M273">
        <f>VLOOKUP(Table9[[#This Row],[Shortname]], Comp[], 10, FALSE)</f>
        <v>0</v>
      </c>
      <c r="N273">
        <f>VLOOKUP(Table9[[#This Row],[Shortname]], Comp[], 11, FALSE)</f>
        <v>6.9</v>
      </c>
      <c r="O273">
        <f>VLOOKUP(Table9[[#This Row],[Shortname]], Comp[],12, FALSE)</f>
        <v>0</v>
      </c>
      <c r="P273">
        <f>VLOOKUP(Table9[[#This Row],[Shortname]], Comp[], 13, FALSE)</f>
        <v>0</v>
      </c>
      <c r="Q273">
        <f>VLOOKUP(Table9[[#This Row],[Shortname]], Comp[], 14, FALSE)</f>
        <v>0</v>
      </c>
      <c r="R273">
        <f>VLOOKUP(Table9[[#This Row],[Shortname]], Comp[], 15, FALSE)</f>
        <v>0</v>
      </c>
      <c r="S273">
        <f>VLOOKUP(Table9[[#This Row],[Shortname]], Comp[], 16, FALSE)</f>
        <v>0</v>
      </c>
      <c r="T273">
        <f>VLOOKUP(Table9[[#This Row],[Shortname]], Comp[], 17, FALSE)</f>
        <v>0</v>
      </c>
      <c r="U273">
        <f>VLOOKUP(Table9[[#This Row],[Shortname]], Comp[], 18, FALSE)</f>
        <v>0</v>
      </c>
      <c r="V273">
        <f>VLOOKUP(Table9[[#This Row],[Shortname]], Comp[], 19, FALSE)</f>
        <v>0.02</v>
      </c>
      <c r="W273">
        <f>VLOOKUP(Table9[[#This Row],[Shortname]], Comp[], 20, FALSE)</f>
        <v>0</v>
      </c>
      <c r="X273">
        <f>VLOOKUP(Table9[[#This Row],[Shortname]], Comp[], 21, FALSE)</f>
        <v>0</v>
      </c>
      <c r="Y273">
        <f>VLOOKUP(Table9[[#This Row],[Shortname]], Comp[], 22, FALSE)</f>
        <v>0</v>
      </c>
      <c r="Z273">
        <f>VLOOKUP(Table9[[#This Row],[Shortname]], Comp[], 23, FALSE)</f>
        <v>0</v>
      </c>
      <c r="AA273">
        <f>VLOOKUP(Table9[[#This Row],[Shortname]], Comp[], 24, FALSE)</f>
        <v>0</v>
      </c>
      <c r="AB273">
        <f>VLOOKUP(Table9[[#This Row],[Shortname]], Comp[], 25, FALSE)</f>
        <v>0</v>
      </c>
      <c r="AC273">
        <f>VLOOKUP(Table9[[#This Row],[Shortname]], Comp[], 26, FALSE)</f>
        <v>0</v>
      </c>
      <c r="AD273">
        <f>VLOOKUP(Table9[[#This Row],[Shortname]], Comp[], 27, FALSE)</f>
        <v>0</v>
      </c>
      <c r="AE273">
        <f>VLOOKUP(Table9[[#This Row],[Shortname]], Comp[], 28, FALSE)</f>
        <v>0</v>
      </c>
      <c r="AF273">
        <f>VLOOKUP(Table9[[#This Row],[Shortname]], Comp[], 29, FALSE)</f>
        <v>0</v>
      </c>
      <c r="AG273">
        <f>VLOOKUP(Table9[[#This Row],[Shortname]], Comp[], 30, FALSE)</f>
        <v>0</v>
      </c>
      <c r="AH273">
        <f>VLOOKUP(Table9[[#This Row],[Shortname]], Comp[], 31, FALSE)</f>
        <v>0</v>
      </c>
    </row>
    <row r="274" spans="1:34" x14ac:dyDescent="0.3">
      <c r="A274" t="s">
        <v>2062</v>
      </c>
      <c r="B274" t="s">
        <v>2064</v>
      </c>
      <c r="C274" t="s">
        <v>2065</v>
      </c>
      <c r="D274">
        <v>447</v>
      </c>
      <c r="E274">
        <v>800</v>
      </c>
      <c r="F274">
        <v>1E-4</v>
      </c>
      <c r="G274">
        <v>1</v>
      </c>
      <c r="H274" t="s">
        <v>6803</v>
      </c>
      <c r="I274">
        <f>VLOOKUP(Table9[[#This Row],[Shortname]], Comp[], 6, FALSE)</f>
        <v>271</v>
      </c>
      <c r="J274" s="14">
        <f>VLOOKUP(Table9[[#This Row],[Shortname]], Comp[], 7, FALSE)</f>
        <v>87</v>
      </c>
      <c r="K274">
        <f>VLOOKUP(Table9[[#This Row],[Shortname]], Comp[], 8, FALSE)</f>
        <v>0</v>
      </c>
      <c r="L274">
        <f>VLOOKUP(Table9[[#This Row],[Shortname]], Comp[], 9, FALSE)</f>
        <v>0</v>
      </c>
      <c r="M274">
        <f>VLOOKUP(Table9[[#This Row],[Shortname]], Comp[], 10, FALSE)</f>
        <v>0</v>
      </c>
      <c r="N274">
        <f>VLOOKUP(Table9[[#This Row],[Shortname]], Comp[], 11, FALSE)</f>
        <v>0</v>
      </c>
      <c r="O274">
        <f>VLOOKUP(Table9[[#This Row],[Shortname]], Comp[],12, FALSE)</f>
        <v>12</v>
      </c>
      <c r="P274">
        <f>VLOOKUP(Table9[[#This Row],[Shortname]], Comp[], 13, FALSE)</f>
        <v>0</v>
      </c>
      <c r="Q274">
        <f>VLOOKUP(Table9[[#This Row],[Shortname]], Comp[], 14, FALSE)</f>
        <v>0</v>
      </c>
      <c r="R274">
        <f>VLOOKUP(Table9[[#This Row],[Shortname]], Comp[], 15, FALSE)</f>
        <v>0</v>
      </c>
      <c r="S274">
        <f>VLOOKUP(Table9[[#This Row],[Shortname]], Comp[], 16, FALSE)</f>
        <v>0</v>
      </c>
      <c r="T274">
        <f>VLOOKUP(Table9[[#This Row],[Shortname]], Comp[], 17, FALSE)</f>
        <v>0</v>
      </c>
      <c r="U274">
        <f>VLOOKUP(Table9[[#This Row],[Shortname]], Comp[], 18, FALSE)</f>
        <v>0</v>
      </c>
      <c r="V274">
        <f>VLOOKUP(Table9[[#This Row],[Shortname]], Comp[], 19, FALSE)</f>
        <v>0</v>
      </c>
      <c r="W274">
        <f>VLOOKUP(Table9[[#This Row],[Shortname]], Comp[], 20, FALSE)</f>
        <v>0</v>
      </c>
      <c r="X274">
        <f>VLOOKUP(Table9[[#This Row],[Shortname]], Comp[], 21, FALSE)</f>
        <v>1</v>
      </c>
      <c r="Y274">
        <f>VLOOKUP(Table9[[#This Row],[Shortname]], Comp[], 22, FALSE)</f>
        <v>0</v>
      </c>
      <c r="Z274">
        <f>VLOOKUP(Table9[[#This Row],[Shortname]], Comp[], 23, FALSE)</f>
        <v>0</v>
      </c>
      <c r="AA274">
        <f>VLOOKUP(Table9[[#This Row],[Shortname]], Comp[], 24, FALSE)</f>
        <v>0</v>
      </c>
      <c r="AB274">
        <f>VLOOKUP(Table9[[#This Row],[Shortname]], Comp[], 25, FALSE)</f>
        <v>0</v>
      </c>
      <c r="AC274">
        <f>VLOOKUP(Table9[[#This Row],[Shortname]], Comp[], 26, FALSE)</f>
        <v>0</v>
      </c>
      <c r="AD274">
        <f>VLOOKUP(Table9[[#This Row],[Shortname]], Comp[], 27, FALSE)</f>
        <v>0</v>
      </c>
      <c r="AE274">
        <f>VLOOKUP(Table9[[#This Row],[Shortname]], Comp[], 28, FALSE)</f>
        <v>0</v>
      </c>
      <c r="AF274">
        <f>VLOOKUP(Table9[[#This Row],[Shortname]], Comp[], 29, FALSE)</f>
        <v>0</v>
      </c>
      <c r="AG274">
        <f>VLOOKUP(Table9[[#This Row],[Shortname]], Comp[], 30, FALSE)</f>
        <v>0</v>
      </c>
      <c r="AH274">
        <f>VLOOKUP(Table9[[#This Row],[Shortname]], Comp[], 31, FALSE)</f>
        <v>0</v>
      </c>
    </row>
    <row r="275" spans="1:34" x14ac:dyDescent="0.3">
      <c r="A275" t="s">
        <v>983</v>
      </c>
      <c r="B275" t="s">
        <v>5230</v>
      </c>
      <c r="C275" t="s">
        <v>5231</v>
      </c>
      <c r="D275">
        <v>445</v>
      </c>
      <c r="E275">
        <v>-195</v>
      </c>
      <c r="F275">
        <v>1E-4</v>
      </c>
      <c r="G275">
        <v>1</v>
      </c>
      <c r="H275" t="s">
        <v>6803</v>
      </c>
      <c r="I275">
        <f>VLOOKUP(Table9[[#This Row],[Shortname]], Comp[], 6, FALSE)</f>
        <v>127</v>
      </c>
      <c r="J275" s="14">
        <f>VLOOKUP(Table9[[#This Row],[Shortname]], Comp[], 7, FALSE)</f>
        <v>77</v>
      </c>
      <c r="K275">
        <f>VLOOKUP(Table9[[#This Row],[Shortname]], Comp[], 8, FALSE)</f>
        <v>0</v>
      </c>
      <c r="L275">
        <f>VLOOKUP(Table9[[#This Row],[Shortname]], Comp[], 9, FALSE)</f>
        <v>12</v>
      </c>
      <c r="M275">
        <f>VLOOKUP(Table9[[#This Row],[Shortname]], Comp[], 10, FALSE)</f>
        <v>0</v>
      </c>
      <c r="N275">
        <f>VLOOKUP(Table9[[#This Row],[Shortname]], Comp[], 11, FALSE)</f>
        <v>11</v>
      </c>
      <c r="O275">
        <f>VLOOKUP(Table9[[#This Row],[Shortname]], Comp[],12, FALSE)</f>
        <v>0</v>
      </c>
      <c r="P275">
        <f>VLOOKUP(Table9[[#This Row],[Shortname]], Comp[], 13, FALSE)</f>
        <v>0</v>
      </c>
      <c r="Q275">
        <f>VLOOKUP(Table9[[#This Row],[Shortname]], Comp[], 14, FALSE)</f>
        <v>0</v>
      </c>
      <c r="R275">
        <f>VLOOKUP(Table9[[#This Row],[Shortname]], Comp[], 15, FALSE)</f>
        <v>0</v>
      </c>
      <c r="S275">
        <f>VLOOKUP(Table9[[#This Row],[Shortname]], Comp[], 16, FALSE)</f>
        <v>0</v>
      </c>
      <c r="T275">
        <f>VLOOKUP(Table9[[#This Row],[Shortname]], Comp[], 17, FALSE)</f>
        <v>0</v>
      </c>
      <c r="U275">
        <f>VLOOKUP(Table9[[#This Row],[Shortname]], Comp[], 18, FALSE)</f>
        <v>0</v>
      </c>
      <c r="V275">
        <f>VLOOKUP(Table9[[#This Row],[Shortname]], Comp[], 19, FALSE)</f>
        <v>0</v>
      </c>
      <c r="W275">
        <f>VLOOKUP(Table9[[#This Row],[Shortname]], Comp[], 20, FALSE)</f>
        <v>0</v>
      </c>
      <c r="X275">
        <f>VLOOKUP(Table9[[#This Row],[Shortname]], Comp[], 21, FALSE)</f>
        <v>0</v>
      </c>
      <c r="Y275">
        <f>VLOOKUP(Table9[[#This Row],[Shortname]], Comp[], 22, FALSE)</f>
        <v>0</v>
      </c>
      <c r="Z275">
        <f>VLOOKUP(Table9[[#This Row],[Shortname]], Comp[], 23, FALSE)</f>
        <v>0</v>
      </c>
      <c r="AA275">
        <f>VLOOKUP(Table9[[#This Row],[Shortname]], Comp[], 24, FALSE)</f>
        <v>0</v>
      </c>
      <c r="AB275">
        <f>VLOOKUP(Table9[[#This Row],[Shortname]], Comp[], 25, FALSE)</f>
        <v>0</v>
      </c>
      <c r="AC275">
        <f>VLOOKUP(Table9[[#This Row],[Shortname]], Comp[], 26, FALSE)</f>
        <v>0</v>
      </c>
      <c r="AD275">
        <f>VLOOKUP(Table9[[#This Row],[Shortname]], Comp[], 27, FALSE)</f>
        <v>0</v>
      </c>
      <c r="AE275">
        <f>VLOOKUP(Table9[[#This Row],[Shortname]], Comp[], 28, FALSE)</f>
        <v>0</v>
      </c>
      <c r="AF275">
        <f>VLOOKUP(Table9[[#This Row],[Shortname]], Comp[], 29, FALSE)</f>
        <v>0</v>
      </c>
      <c r="AG275">
        <f>VLOOKUP(Table9[[#This Row],[Shortname]], Comp[], 30, FALSE)</f>
        <v>0</v>
      </c>
      <c r="AH275">
        <f>VLOOKUP(Table9[[#This Row],[Shortname]], Comp[], 31, FALSE)</f>
        <v>0</v>
      </c>
    </row>
    <row r="276" spans="1:34" x14ac:dyDescent="0.3">
      <c r="A276" t="s">
        <v>1565</v>
      </c>
      <c r="B276" t="s">
        <v>1567</v>
      </c>
      <c r="C276" t="s">
        <v>1568</v>
      </c>
      <c r="D276">
        <v>443</v>
      </c>
      <c r="E276">
        <v>750</v>
      </c>
      <c r="F276">
        <v>1E-4</v>
      </c>
      <c r="G276">
        <v>1</v>
      </c>
      <c r="H276" t="s">
        <v>6803</v>
      </c>
      <c r="I276">
        <f>VLOOKUP(Table9[[#This Row],[Shortname]], Comp[], 6, FALSE)</f>
        <v>199</v>
      </c>
      <c r="J276" s="14">
        <f>VLOOKUP(Table9[[#This Row],[Shortname]], Comp[], 7, FALSE)</f>
        <v>44.04</v>
      </c>
      <c r="K276">
        <f>VLOOKUP(Table9[[#This Row],[Shortname]], Comp[], 8, FALSE)</f>
        <v>29.71</v>
      </c>
      <c r="L276">
        <f>VLOOKUP(Table9[[#This Row],[Shortname]], Comp[], 9, FALSE)</f>
        <v>8.86</v>
      </c>
      <c r="M276">
        <f>VLOOKUP(Table9[[#This Row],[Shortname]], Comp[], 10, FALSE)</f>
        <v>12.32</v>
      </c>
      <c r="N276">
        <f>VLOOKUP(Table9[[#This Row],[Shortname]], Comp[], 11, FALSE)</f>
        <v>5.07</v>
      </c>
      <c r="O276">
        <f>VLOOKUP(Table9[[#This Row],[Shortname]], Comp[],12, FALSE)</f>
        <v>0</v>
      </c>
      <c r="P276">
        <f>VLOOKUP(Table9[[#This Row],[Shortname]], Comp[], 13, FALSE)</f>
        <v>0</v>
      </c>
      <c r="Q276">
        <f>VLOOKUP(Table9[[#This Row],[Shortname]], Comp[], 14, FALSE)</f>
        <v>0</v>
      </c>
      <c r="R276">
        <f>VLOOKUP(Table9[[#This Row],[Shortname]], Comp[], 15, FALSE)</f>
        <v>0</v>
      </c>
      <c r="S276">
        <f>VLOOKUP(Table9[[#This Row],[Shortname]], Comp[], 16, FALSE)</f>
        <v>0</v>
      </c>
      <c r="T276">
        <f>VLOOKUP(Table9[[#This Row],[Shortname]], Comp[], 17, FALSE)</f>
        <v>0</v>
      </c>
      <c r="U276">
        <f>VLOOKUP(Table9[[#This Row],[Shortname]], Comp[], 18, FALSE)</f>
        <v>0</v>
      </c>
      <c r="V276">
        <f>VLOOKUP(Table9[[#This Row],[Shortname]], Comp[], 19, FALSE)</f>
        <v>0</v>
      </c>
      <c r="W276">
        <f>VLOOKUP(Table9[[#This Row],[Shortname]], Comp[], 20, FALSE)</f>
        <v>0</v>
      </c>
      <c r="X276">
        <f>VLOOKUP(Table9[[#This Row],[Shortname]], Comp[], 21, FALSE)</f>
        <v>0</v>
      </c>
      <c r="Y276">
        <f>VLOOKUP(Table9[[#This Row],[Shortname]], Comp[], 22, FALSE)</f>
        <v>0</v>
      </c>
      <c r="Z276">
        <f>VLOOKUP(Table9[[#This Row],[Shortname]], Comp[], 23, FALSE)</f>
        <v>0</v>
      </c>
      <c r="AA276">
        <f>VLOOKUP(Table9[[#This Row],[Shortname]], Comp[], 24, FALSE)</f>
        <v>0</v>
      </c>
      <c r="AB276">
        <f>VLOOKUP(Table9[[#This Row],[Shortname]], Comp[], 25, FALSE)</f>
        <v>0</v>
      </c>
      <c r="AC276">
        <f>VLOOKUP(Table9[[#This Row],[Shortname]], Comp[], 26, FALSE)</f>
        <v>0</v>
      </c>
      <c r="AD276">
        <f>VLOOKUP(Table9[[#This Row],[Shortname]], Comp[], 27, FALSE)</f>
        <v>0</v>
      </c>
      <c r="AE276">
        <f>VLOOKUP(Table9[[#This Row],[Shortname]], Comp[], 28, FALSE)</f>
        <v>0</v>
      </c>
      <c r="AF276">
        <f>VLOOKUP(Table9[[#This Row],[Shortname]], Comp[], 29, FALSE)</f>
        <v>0</v>
      </c>
      <c r="AG276">
        <f>VLOOKUP(Table9[[#This Row],[Shortname]], Comp[], 30, FALSE)</f>
        <v>0</v>
      </c>
      <c r="AH276">
        <f>VLOOKUP(Table9[[#This Row],[Shortname]], Comp[], 31, FALSE)</f>
        <v>0</v>
      </c>
    </row>
    <row r="277" spans="1:34" x14ac:dyDescent="0.3">
      <c r="A277" t="s">
        <v>641</v>
      </c>
      <c r="B277" t="s">
        <v>3494</v>
      </c>
      <c r="C277" t="s">
        <v>3495</v>
      </c>
      <c r="D277">
        <v>441</v>
      </c>
      <c r="E277">
        <v>510</v>
      </c>
      <c r="F277">
        <v>1E-4</v>
      </c>
      <c r="G277">
        <v>1</v>
      </c>
      <c r="H277" t="s">
        <v>6803</v>
      </c>
      <c r="I277">
        <f>VLOOKUP(Table9[[#This Row],[Shortname]], Comp[], 6, FALSE)</f>
        <v>82</v>
      </c>
      <c r="J277" s="14">
        <f>VLOOKUP(Table9[[#This Row],[Shortname]], Comp[], 7, FALSE)</f>
        <v>82</v>
      </c>
      <c r="K277">
        <f>VLOOKUP(Table9[[#This Row],[Shortname]], Comp[], 8, FALSE)</f>
        <v>0</v>
      </c>
      <c r="L277">
        <f>VLOOKUP(Table9[[#This Row],[Shortname]], Comp[], 9, FALSE)</f>
        <v>9</v>
      </c>
      <c r="M277">
        <f>VLOOKUP(Table9[[#This Row],[Shortname]], Comp[], 10, FALSE)</f>
        <v>0</v>
      </c>
      <c r="N277">
        <f>VLOOKUP(Table9[[#This Row],[Shortname]], Comp[], 11, FALSE)</f>
        <v>9</v>
      </c>
      <c r="O277">
        <f>VLOOKUP(Table9[[#This Row],[Shortname]], Comp[],12, FALSE)</f>
        <v>0</v>
      </c>
      <c r="P277">
        <f>VLOOKUP(Table9[[#This Row],[Shortname]], Comp[], 13, FALSE)</f>
        <v>0</v>
      </c>
      <c r="Q277">
        <f>VLOOKUP(Table9[[#This Row],[Shortname]], Comp[], 14, FALSE)</f>
        <v>0</v>
      </c>
      <c r="R277">
        <f>VLOOKUP(Table9[[#This Row],[Shortname]], Comp[], 15, FALSE)</f>
        <v>0</v>
      </c>
      <c r="S277">
        <f>VLOOKUP(Table9[[#This Row],[Shortname]], Comp[], 16, FALSE)</f>
        <v>0</v>
      </c>
      <c r="T277">
        <f>VLOOKUP(Table9[[#This Row],[Shortname]], Comp[], 17, FALSE)</f>
        <v>0</v>
      </c>
      <c r="U277">
        <f>VLOOKUP(Table9[[#This Row],[Shortname]], Comp[], 18, FALSE)</f>
        <v>0</v>
      </c>
      <c r="V277">
        <f>VLOOKUP(Table9[[#This Row],[Shortname]], Comp[], 19, FALSE)</f>
        <v>0</v>
      </c>
      <c r="W277">
        <f>VLOOKUP(Table9[[#This Row],[Shortname]], Comp[], 20, FALSE)</f>
        <v>0</v>
      </c>
      <c r="X277">
        <f>VLOOKUP(Table9[[#This Row],[Shortname]], Comp[], 21, FALSE)</f>
        <v>0</v>
      </c>
      <c r="Y277">
        <f>VLOOKUP(Table9[[#This Row],[Shortname]], Comp[], 22, FALSE)</f>
        <v>0</v>
      </c>
      <c r="Z277">
        <f>VLOOKUP(Table9[[#This Row],[Shortname]], Comp[], 23, FALSE)</f>
        <v>0</v>
      </c>
      <c r="AA277">
        <f>VLOOKUP(Table9[[#This Row],[Shortname]], Comp[], 24, FALSE)</f>
        <v>0</v>
      </c>
      <c r="AB277">
        <f>VLOOKUP(Table9[[#This Row],[Shortname]], Comp[], 25, FALSE)</f>
        <v>0</v>
      </c>
      <c r="AC277">
        <f>VLOOKUP(Table9[[#This Row],[Shortname]], Comp[], 26, FALSE)</f>
        <v>0</v>
      </c>
      <c r="AD277">
        <f>VLOOKUP(Table9[[#This Row],[Shortname]], Comp[], 27, FALSE)</f>
        <v>0</v>
      </c>
      <c r="AE277">
        <f>VLOOKUP(Table9[[#This Row],[Shortname]], Comp[], 28, FALSE)</f>
        <v>0</v>
      </c>
      <c r="AF277">
        <f>VLOOKUP(Table9[[#This Row],[Shortname]], Comp[], 29, FALSE)</f>
        <v>0</v>
      </c>
      <c r="AG277">
        <f>VLOOKUP(Table9[[#This Row],[Shortname]], Comp[], 30, FALSE)</f>
        <v>0</v>
      </c>
      <c r="AH277">
        <f>VLOOKUP(Table9[[#This Row],[Shortname]], Comp[], 31, FALSE)</f>
        <v>0</v>
      </c>
    </row>
    <row r="278" spans="1:34" x14ac:dyDescent="0.3">
      <c r="A278" t="s">
        <v>983</v>
      </c>
      <c r="B278" t="s">
        <v>5230</v>
      </c>
      <c r="C278" t="s">
        <v>5231</v>
      </c>
      <c r="D278">
        <v>440</v>
      </c>
      <c r="E278">
        <v>-195</v>
      </c>
      <c r="F278">
        <v>1E-4</v>
      </c>
      <c r="G278">
        <v>1</v>
      </c>
      <c r="H278" t="s">
        <v>6803</v>
      </c>
      <c r="I278">
        <f>VLOOKUP(Table9[[#This Row],[Shortname]], Comp[], 6, FALSE)</f>
        <v>127</v>
      </c>
      <c r="J278" s="14">
        <f>VLOOKUP(Table9[[#This Row],[Shortname]], Comp[], 7, FALSE)</f>
        <v>77</v>
      </c>
      <c r="K278">
        <f>VLOOKUP(Table9[[#This Row],[Shortname]], Comp[], 8, FALSE)</f>
        <v>0</v>
      </c>
      <c r="L278">
        <f>VLOOKUP(Table9[[#This Row],[Shortname]], Comp[], 9, FALSE)</f>
        <v>12</v>
      </c>
      <c r="M278">
        <f>VLOOKUP(Table9[[#This Row],[Shortname]], Comp[], 10, FALSE)</f>
        <v>0</v>
      </c>
      <c r="N278">
        <f>VLOOKUP(Table9[[#This Row],[Shortname]], Comp[], 11, FALSE)</f>
        <v>11</v>
      </c>
      <c r="O278">
        <f>VLOOKUP(Table9[[#This Row],[Shortname]], Comp[],12, FALSE)</f>
        <v>0</v>
      </c>
      <c r="P278">
        <f>VLOOKUP(Table9[[#This Row],[Shortname]], Comp[], 13, FALSE)</f>
        <v>0</v>
      </c>
      <c r="Q278">
        <f>VLOOKUP(Table9[[#This Row],[Shortname]], Comp[], 14, FALSE)</f>
        <v>0</v>
      </c>
      <c r="R278">
        <f>VLOOKUP(Table9[[#This Row],[Shortname]], Comp[], 15, FALSE)</f>
        <v>0</v>
      </c>
      <c r="S278">
        <f>VLOOKUP(Table9[[#This Row],[Shortname]], Comp[], 16, FALSE)</f>
        <v>0</v>
      </c>
      <c r="T278">
        <f>VLOOKUP(Table9[[#This Row],[Shortname]], Comp[], 17, FALSE)</f>
        <v>0</v>
      </c>
      <c r="U278">
        <f>VLOOKUP(Table9[[#This Row],[Shortname]], Comp[], 18, FALSE)</f>
        <v>0</v>
      </c>
      <c r="V278">
        <f>VLOOKUP(Table9[[#This Row],[Shortname]], Comp[], 19, FALSE)</f>
        <v>0</v>
      </c>
      <c r="W278">
        <f>VLOOKUP(Table9[[#This Row],[Shortname]], Comp[], 20, FALSE)</f>
        <v>0</v>
      </c>
      <c r="X278">
        <f>VLOOKUP(Table9[[#This Row],[Shortname]], Comp[], 21, FALSE)</f>
        <v>0</v>
      </c>
      <c r="Y278">
        <f>VLOOKUP(Table9[[#This Row],[Shortname]], Comp[], 22, FALSE)</f>
        <v>0</v>
      </c>
      <c r="Z278">
        <f>VLOOKUP(Table9[[#This Row],[Shortname]], Comp[], 23, FALSE)</f>
        <v>0</v>
      </c>
      <c r="AA278">
        <f>VLOOKUP(Table9[[#This Row],[Shortname]], Comp[], 24, FALSE)</f>
        <v>0</v>
      </c>
      <c r="AB278">
        <f>VLOOKUP(Table9[[#This Row],[Shortname]], Comp[], 25, FALSE)</f>
        <v>0</v>
      </c>
      <c r="AC278">
        <f>VLOOKUP(Table9[[#This Row],[Shortname]], Comp[], 26, FALSE)</f>
        <v>0</v>
      </c>
      <c r="AD278">
        <f>VLOOKUP(Table9[[#This Row],[Shortname]], Comp[], 27, FALSE)</f>
        <v>0</v>
      </c>
      <c r="AE278">
        <f>VLOOKUP(Table9[[#This Row],[Shortname]], Comp[], 28, FALSE)</f>
        <v>0</v>
      </c>
      <c r="AF278">
        <f>VLOOKUP(Table9[[#This Row],[Shortname]], Comp[], 29, FALSE)</f>
        <v>0</v>
      </c>
      <c r="AG278">
        <f>VLOOKUP(Table9[[#This Row],[Shortname]], Comp[], 30, FALSE)</f>
        <v>0</v>
      </c>
      <c r="AH278">
        <f>VLOOKUP(Table9[[#This Row],[Shortname]], Comp[], 31, FALSE)</f>
        <v>0</v>
      </c>
    </row>
    <row r="279" spans="1:34" x14ac:dyDescent="0.3">
      <c r="A279" t="s">
        <v>3154</v>
      </c>
      <c r="B279" t="s">
        <v>3156</v>
      </c>
      <c r="C279" t="s">
        <v>3157</v>
      </c>
      <c r="D279">
        <v>437</v>
      </c>
      <c r="E279">
        <v>850</v>
      </c>
      <c r="F279">
        <v>1E-4</v>
      </c>
      <c r="G279">
        <v>1</v>
      </c>
      <c r="H279" t="s">
        <v>6803</v>
      </c>
      <c r="I279">
        <f>VLOOKUP(Table9[[#This Row],[Shortname]], Comp[], 6, FALSE)</f>
        <v>440</v>
      </c>
      <c r="J279" s="14">
        <f>VLOOKUP(Table9[[#This Row],[Shortname]], Comp[], 7, FALSE)</f>
        <v>80</v>
      </c>
      <c r="K279">
        <f>VLOOKUP(Table9[[#This Row],[Shortname]], Comp[], 8, FALSE)</f>
        <v>0</v>
      </c>
      <c r="L279">
        <f>VLOOKUP(Table9[[#This Row],[Shortname]], Comp[], 9, FALSE)</f>
        <v>0</v>
      </c>
      <c r="M279">
        <f>VLOOKUP(Table9[[#This Row],[Shortname]], Comp[], 10, FALSE)</f>
        <v>0</v>
      </c>
      <c r="N279">
        <f>VLOOKUP(Table9[[#This Row],[Shortname]], Comp[], 11, FALSE)</f>
        <v>0</v>
      </c>
      <c r="O279">
        <f>VLOOKUP(Table9[[#This Row],[Shortname]], Comp[],12, FALSE)</f>
        <v>5</v>
      </c>
      <c r="P279">
        <f>VLOOKUP(Table9[[#This Row],[Shortname]], Comp[], 13, FALSE)</f>
        <v>0</v>
      </c>
      <c r="Q279">
        <f>VLOOKUP(Table9[[#This Row],[Shortname]], Comp[], 14, FALSE)</f>
        <v>0</v>
      </c>
      <c r="R279">
        <f>VLOOKUP(Table9[[#This Row],[Shortname]], Comp[], 15, FALSE)</f>
        <v>15</v>
      </c>
      <c r="S279">
        <f>VLOOKUP(Table9[[#This Row],[Shortname]], Comp[], 16, FALSE)</f>
        <v>0</v>
      </c>
      <c r="T279">
        <f>VLOOKUP(Table9[[#This Row],[Shortname]], Comp[], 17, FALSE)</f>
        <v>0</v>
      </c>
      <c r="U279">
        <f>VLOOKUP(Table9[[#This Row],[Shortname]], Comp[], 18, FALSE)</f>
        <v>0</v>
      </c>
      <c r="V279">
        <f>VLOOKUP(Table9[[#This Row],[Shortname]], Comp[], 19, FALSE)</f>
        <v>0</v>
      </c>
      <c r="W279">
        <f>VLOOKUP(Table9[[#This Row],[Shortname]], Comp[], 20, FALSE)</f>
        <v>0</v>
      </c>
      <c r="X279">
        <f>VLOOKUP(Table9[[#This Row],[Shortname]], Comp[], 21, FALSE)</f>
        <v>0</v>
      </c>
      <c r="Y279">
        <f>VLOOKUP(Table9[[#This Row],[Shortname]], Comp[], 22, FALSE)</f>
        <v>0</v>
      </c>
      <c r="Z279">
        <f>VLOOKUP(Table9[[#This Row],[Shortname]], Comp[], 23, FALSE)</f>
        <v>0</v>
      </c>
      <c r="AA279">
        <f>VLOOKUP(Table9[[#This Row],[Shortname]], Comp[], 24, FALSE)</f>
        <v>0</v>
      </c>
      <c r="AB279">
        <f>VLOOKUP(Table9[[#This Row],[Shortname]], Comp[], 25, FALSE)</f>
        <v>0</v>
      </c>
      <c r="AC279">
        <f>VLOOKUP(Table9[[#This Row],[Shortname]], Comp[], 26, FALSE)</f>
        <v>0</v>
      </c>
      <c r="AD279">
        <f>VLOOKUP(Table9[[#This Row],[Shortname]], Comp[], 27, FALSE)</f>
        <v>0</v>
      </c>
      <c r="AE279">
        <f>VLOOKUP(Table9[[#This Row],[Shortname]], Comp[], 28, FALSE)</f>
        <v>0</v>
      </c>
      <c r="AF279">
        <f>VLOOKUP(Table9[[#This Row],[Shortname]], Comp[], 29, FALSE)</f>
        <v>0</v>
      </c>
      <c r="AG279">
        <f>VLOOKUP(Table9[[#This Row],[Shortname]], Comp[], 30, FALSE)</f>
        <v>0</v>
      </c>
      <c r="AH279">
        <f>VLOOKUP(Table9[[#This Row],[Shortname]], Comp[], 31, FALSE)</f>
        <v>0</v>
      </c>
    </row>
    <row r="280" spans="1:34" x14ac:dyDescent="0.3">
      <c r="A280" t="s">
        <v>3409</v>
      </c>
      <c r="B280" t="s">
        <v>3410</v>
      </c>
      <c r="C280" t="s">
        <v>3401</v>
      </c>
      <c r="D280">
        <v>437</v>
      </c>
      <c r="E280">
        <v>760</v>
      </c>
      <c r="F280">
        <v>2.0000000000000001E-4</v>
      </c>
      <c r="G280">
        <v>1</v>
      </c>
      <c r="H280" t="s">
        <v>6803</v>
      </c>
      <c r="I280">
        <f>VLOOKUP(Table9[[#This Row],[Shortname]], Comp[], 6, FALSE)</f>
        <v>484</v>
      </c>
      <c r="J280" s="14">
        <f>VLOOKUP(Table9[[#This Row],[Shortname]], Comp[], 7, FALSE)</f>
        <v>82.8</v>
      </c>
      <c r="K280">
        <f>VLOOKUP(Table9[[#This Row],[Shortname]], Comp[], 8, FALSE)</f>
        <v>0</v>
      </c>
      <c r="L280">
        <f>VLOOKUP(Table9[[#This Row],[Shortname]], Comp[], 9, FALSE)</f>
        <v>9</v>
      </c>
      <c r="M280">
        <f>VLOOKUP(Table9[[#This Row],[Shortname]], Comp[], 10, FALSE)</f>
        <v>0</v>
      </c>
      <c r="N280">
        <f>VLOOKUP(Table9[[#This Row],[Shortname]], Comp[], 11, FALSE)</f>
        <v>8.1999999999999993</v>
      </c>
      <c r="O280">
        <f>VLOOKUP(Table9[[#This Row],[Shortname]], Comp[],12, FALSE)</f>
        <v>0</v>
      </c>
      <c r="P280">
        <f>VLOOKUP(Table9[[#This Row],[Shortname]], Comp[], 13, FALSE)</f>
        <v>0</v>
      </c>
      <c r="Q280">
        <f>VLOOKUP(Table9[[#This Row],[Shortname]], Comp[], 14, FALSE)</f>
        <v>0</v>
      </c>
      <c r="R280">
        <f>VLOOKUP(Table9[[#This Row],[Shortname]], Comp[], 15, FALSE)</f>
        <v>0</v>
      </c>
      <c r="S280">
        <f>VLOOKUP(Table9[[#This Row],[Shortname]], Comp[], 16, FALSE)</f>
        <v>0</v>
      </c>
      <c r="T280">
        <f>VLOOKUP(Table9[[#This Row],[Shortname]], Comp[], 17, FALSE)</f>
        <v>0</v>
      </c>
      <c r="U280">
        <f>VLOOKUP(Table9[[#This Row],[Shortname]], Comp[], 18, FALSE)</f>
        <v>0</v>
      </c>
      <c r="V280">
        <f>VLOOKUP(Table9[[#This Row],[Shortname]], Comp[], 19, FALSE)</f>
        <v>0</v>
      </c>
      <c r="W280">
        <f>VLOOKUP(Table9[[#This Row],[Shortname]], Comp[], 20, FALSE)</f>
        <v>0</v>
      </c>
      <c r="X280">
        <f>VLOOKUP(Table9[[#This Row],[Shortname]], Comp[], 21, FALSE)</f>
        <v>0</v>
      </c>
      <c r="Y280">
        <f>VLOOKUP(Table9[[#This Row],[Shortname]], Comp[], 22, FALSE)</f>
        <v>0</v>
      </c>
      <c r="Z280">
        <f>VLOOKUP(Table9[[#This Row],[Shortname]], Comp[], 23, FALSE)</f>
        <v>0</v>
      </c>
      <c r="AA280">
        <f>VLOOKUP(Table9[[#This Row],[Shortname]], Comp[], 24, FALSE)</f>
        <v>0</v>
      </c>
      <c r="AB280">
        <f>VLOOKUP(Table9[[#This Row],[Shortname]], Comp[], 25, FALSE)</f>
        <v>0</v>
      </c>
      <c r="AC280">
        <f>VLOOKUP(Table9[[#This Row],[Shortname]], Comp[], 26, FALSE)</f>
        <v>0</v>
      </c>
      <c r="AD280">
        <f>VLOOKUP(Table9[[#This Row],[Shortname]], Comp[], 27, FALSE)</f>
        <v>0</v>
      </c>
      <c r="AE280">
        <f>VLOOKUP(Table9[[#This Row],[Shortname]], Comp[], 28, FALSE)</f>
        <v>0</v>
      </c>
      <c r="AF280">
        <f>VLOOKUP(Table9[[#This Row],[Shortname]], Comp[], 29, FALSE)</f>
        <v>0</v>
      </c>
      <c r="AG280">
        <f>VLOOKUP(Table9[[#This Row],[Shortname]], Comp[], 30, FALSE)</f>
        <v>0</v>
      </c>
      <c r="AH280">
        <f>VLOOKUP(Table9[[#This Row],[Shortname]], Comp[], 31, FALSE)</f>
        <v>0</v>
      </c>
    </row>
    <row r="281" spans="1:34" x14ac:dyDescent="0.3">
      <c r="A281" t="s">
        <v>3182</v>
      </c>
      <c r="B281" t="s">
        <v>97</v>
      </c>
      <c r="C281" t="s">
        <v>3480</v>
      </c>
      <c r="D281">
        <v>437</v>
      </c>
      <c r="E281">
        <v>505</v>
      </c>
      <c r="F281">
        <v>1E-4</v>
      </c>
      <c r="G281">
        <v>1</v>
      </c>
      <c r="H281" t="s">
        <v>6803</v>
      </c>
      <c r="I281">
        <f>VLOOKUP(Table9[[#This Row],[Shortname]], Comp[], 6, FALSE)</f>
        <v>446</v>
      </c>
      <c r="J281" s="14">
        <f>VLOOKUP(Table9[[#This Row],[Shortname]], Comp[], 7, FALSE)</f>
        <v>81.8</v>
      </c>
      <c r="K281">
        <f>VLOOKUP(Table9[[#This Row],[Shortname]], Comp[], 8, FALSE)</f>
        <v>0</v>
      </c>
      <c r="L281">
        <f>VLOOKUP(Table9[[#This Row],[Shortname]], Comp[], 9, FALSE)</f>
        <v>9.1999999999999993</v>
      </c>
      <c r="M281">
        <f>VLOOKUP(Table9[[#This Row],[Shortname]], Comp[], 10, FALSE)</f>
        <v>0</v>
      </c>
      <c r="N281">
        <f>VLOOKUP(Table9[[#This Row],[Shortname]], Comp[], 11, FALSE)</f>
        <v>9</v>
      </c>
      <c r="O281">
        <f>VLOOKUP(Table9[[#This Row],[Shortname]], Comp[],12, FALSE)</f>
        <v>0</v>
      </c>
      <c r="P281">
        <f>VLOOKUP(Table9[[#This Row],[Shortname]], Comp[], 13, FALSE)</f>
        <v>0</v>
      </c>
      <c r="Q281">
        <f>VLOOKUP(Table9[[#This Row],[Shortname]], Comp[], 14, FALSE)</f>
        <v>0</v>
      </c>
      <c r="R281">
        <f>VLOOKUP(Table9[[#This Row],[Shortname]], Comp[], 15, FALSE)</f>
        <v>0</v>
      </c>
      <c r="S281">
        <f>VLOOKUP(Table9[[#This Row],[Shortname]], Comp[], 16, FALSE)</f>
        <v>0</v>
      </c>
      <c r="T281">
        <f>VLOOKUP(Table9[[#This Row],[Shortname]], Comp[], 17, FALSE)</f>
        <v>0</v>
      </c>
      <c r="U281">
        <f>VLOOKUP(Table9[[#This Row],[Shortname]], Comp[], 18, FALSE)</f>
        <v>0</v>
      </c>
      <c r="V281">
        <f>VLOOKUP(Table9[[#This Row],[Shortname]], Comp[], 19, FALSE)</f>
        <v>0</v>
      </c>
      <c r="W281">
        <f>VLOOKUP(Table9[[#This Row],[Shortname]], Comp[], 20, FALSE)</f>
        <v>0</v>
      </c>
      <c r="X281">
        <f>VLOOKUP(Table9[[#This Row],[Shortname]], Comp[], 21, FALSE)</f>
        <v>0</v>
      </c>
      <c r="Y281">
        <f>VLOOKUP(Table9[[#This Row],[Shortname]], Comp[], 22, FALSE)</f>
        <v>0</v>
      </c>
      <c r="Z281">
        <f>VLOOKUP(Table9[[#This Row],[Shortname]], Comp[], 23, FALSE)</f>
        <v>0</v>
      </c>
      <c r="AA281">
        <f>VLOOKUP(Table9[[#This Row],[Shortname]], Comp[], 24, FALSE)</f>
        <v>0</v>
      </c>
      <c r="AB281">
        <f>VLOOKUP(Table9[[#This Row],[Shortname]], Comp[], 25, FALSE)</f>
        <v>0</v>
      </c>
      <c r="AC281">
        <f>VLOOKUP(Table9[[#This Row],[Shortname]], Comp[], 26, FALSE)</f>
        <v>0</v>
      </c>
      <c r="AD281">
        <f>VLOOKUP(Table9[[#This Row],[Shortname]], Comp[], 27, FALSE)</f>
        <v>0</v>
      </c>
      <c r="AE281">
        <f>VLOOKUP(Table9[[#This Row],[Shortname]], Comp[], 28, FALSE)</f>
        <v>0</v>
      </c>
      <c r="AF281">
        <f>VLOOKUP(Table9[[#This Row],[Shortname]], Comp[], 29, FALSE)</f>
        <v>0</v>
      </c>
      <c r="AG281">
        <f>VLOOKUP(Table9[[#This Row],[Shortname]], Comp[], 30, FALSE)</f>
        <v>0</v>
      </c>
      <c r="AH281">
        <f>VLOOKUP(Table9[[#This Row],[Shortname]], Comp[], 31, FALSE)</f>
        <v>0</v>
      </c>
    </row>
    <row r="282" spans="1:34" x14ac:dyDescent="0.3">
      <c r="A282" t="s">
        <v>552</v>
      </c>
      <c r="B282" t="s">
        <v>6697</v>
      </c>
      <c r="C282" t="s">
        <v>499</v>
      </c>
      <c r="D282">
        <v>435</v>
      </c>
      <c r="E282">
        <v>900</v>
      </c>
      <c r="F282">
        <v>1E-4</v>
      </c>
      <c r="G282">
        <v>1</v>
      </c>
      <c r="I282">
        <f>VLOOKUP(Table9[[#This Row],[Shortname]], Comp[], 6, FALSE)</f>
        <v>71</v>
      </c>
      <c r="J282" s="14">
        <f>VLOOKUP(Table9[[#This Row],[Shortname]], Comp[], 7, FALSE)</f>
        <v>72.800000000000011</v>
      </c>
      <c r="K282">
        <f>VLOOKUP(Table9[[#This Row],[Shortname]], Comp[], 8, FALSE)</f>
        <v>10.199999999999999</v>
      </c>
      <c r="L282">
        <f>VLOOKUP(Table9[[#This Row],[Shortname]], Comp[], 9, FALSE)</f>
        <v>8.1</v>
      </c>
      <c r="M282">
        <f>VLOOKUP(Table9[[#This Row],[Shortname]], Comp[], 10, FALSE)</f>
        <v>0</v>
      </c>
      <c r="N282">
        <f>VLOOKUP(Table9[[#This Row],[Shortname]], Comp[], 11, FALSE)</f>
        <v>8.9</v>
      </c>
      <c r="O282">
        <f>VLOOKUP(Table9[[#This Row],[Shortname]], Comp[],12, FALSE)</f>
        <v>0</v>
      </c>
      <c r="P282">
        <f>VLOOKUP(Table9[[#This Row],[Shortname]], Comp[], 13, FALSE)</f>
        <v>0</v>
      </c>
      <c r="Q282">
        <f>VLOOKUP(Table9[[#This Row],[Shortname]], Comp[], 14, FALSE)</f>
        <v>0</v>
      </c>
      <c r="R282">
        <f>VLOOKUP(Table9[[#This Row],[Shortname]], Comp[], 15, FALSE)</f>
        <v>0</v>
      </c>
      <c r="S282">
        <f>VLOOKUP(Table9[[#This Row],[Shortname]], Comp[], 16, FALSE)</f>
        <v>0</v>
      </c>
      <c r="T282">
        <f>VLOOKUP(Table9[[#This Row],[Shortname]], Comp[], 17, FALSE)</f>
        <v>0</v>
      </c>
      <c r="U282">
        <f>VLOOKUP(Table9[[#This Row],[Shortname]], Comp[], 18, FALSE)</f>
        <v>0</v>
      </c>
      <c r="V282">
        <f>VLOOKUP(Table9[[#This Row],[Shortname]], Comp[], 19, FALSE)</f>
        <v>0</v>
      </c>
      <c r="W282">
        <f>VLOOKUP(Table9[[#This Row],[Shortname]], Comp[], 20, FALSE)</f>
        <v>0</v>
      </c>
      <c r="X282">
        <f>VLOOKUP(Table9[[#This Row],[Shortname]], Comp[], 21, FALSE)</f>
        <v>0</v>
      </c>
      <c r="Y282">
        <f>VLOOKUP(Table9[[#This Row],[Shortname]], Comp[], 22, FALSE)</f>
        <v>0</v>
      </c>
      <c r="Z282">
        <f>VLOOKUP(Table9[[#This Row],[Shortname]], Comp[], 23, FALSE)</f>
        <v>0</v>
      </c>
      <c r="AA282">
        <f>VLOOKUP(Table9[[#This Row],[Shortname]], Comp[], 24, FALSE)</f>
        <v>0</v>
      </c>
      <c r="AB282">
        <f>VLOOKUP(Table9[[#This Row],[Shortname]], Comp[], 25, FALSE)</f>
        <v>0</v>
      </c>
      <c r="AC282">
        <f>VLOOKUP(Table9[[#This Row],[Shortname]], Comp[], 26, FALSE)</f>
        <v>0</v>
      </c>
      <c r="AD282">
        <f>VLOOKUP(Table9[[#This Row],[Shortname]], Comp[], 27, FALSE)</f>
        <v>0</v>
      </c>
      <c r="AE282">
        <f>VLOOKUP(Table9[[#This Row],[Shortname]], Comp[], 28, FALSE)</f>
        <v>0</v>
      </c>
      <c r="AF282">
        <f>VLOOKUP(Table9[[#This Row],[Shortname]], Comp[], 29, FALSE)</f>
        <v>0</v>
      </c>
      <c r="AG282">
        <f>VLOOKUP(Table9[[#This Row],[Shortname]], Comp[], 30, FALSE)</f>
        <v>0</v>
      </c>
      <c r="AH282">
        <f>VLOOKUP(Table9[[#This Row],[Shortname]], Comp[], 31, FALSE)</f>
        <v>0</v>
      </c>
    </row>
    <row r="283" spans="1:34" x14ac:dyDescent="0.3">
      <c r="A283" t="s">
        <v>1446</v>
      </c>
      <c r="B283" t="s">
        <v>1448</v>
      </c>
      <c r="C283" t="s">
        <v>1449</v>
      </c>
      <c r="D283">
        <v>432</v>
      </c>
      <c r="E283">
        <v>25</v>
      </c>
      <c r="F283">
        <v>1E-4</v>
      </c>
      <c r="G283">
        <v>1</v>
      </c>
      <c r="H283" t="s">
        <v>6813</v>
      </c>
      <c r="I283">
        <f>VLOOKUP(Table9[[#This Row],[Shortname]], Comp[], 6, FALSE)</f>
        <v>185</v>
      </c>
      <c r="J283" s="14">
        <f>VLOOKUP(Table9[[#This Row],[Shortname]], Comp[], 7, FALSE)</f>
        <v>48.800000000000004</v>
      </c>
      <c r="K283">
        <f>VLOOKUP(Table9[[#This Row],[Shortname]], Comp[], 8, FALSE)</f>
        <v>30.8</v>
      </c>
      <c r="L283">
        <f>VLOOKUP(Table9[[#This Row],[Shortname]], Comp[], 9, FALSE)</f>
        <v>9.5</v>
      </c>
      <c r="M283">
        <f>VLOOKUP(Table9[[#This Row],[Shortname]], Comp[], 10, FALSE)</f>
        <v>0</v>
      </c>
      <c r="N283">
        <f>VLOOKUP(Table9[[#This Row],[Shortname]], Comp[], 11, FALSE)</f>
        <v>4.4000000000000004</v>
      </c>
      <c r="O283">
        <f>VLOOKUP(Table9[[#This Row],[Shortname]], Comp[],12, FALSE)</f>
        <v>3.8</v>
      </c>
      <c r="P283">
        <f>VLOOKUP(Table9[[#This Row],[Shortname]], Comp[], 13, FALSE)</f>
        <v>2.7</v>
      </c>
      <c r="Q283">
        <f>VLOOKUP(Table9[[#This Row],[Shortname]], Comp[], 14, FALSE)</f>
        <v>0</v>
      </c>
      <c r="R283">
        <f>VLOOKUP(Table9[[#This Row],[Shortname]], Comp[], 15, FALSE)</f>
        <v>0</v>
      </c>
      <c r="S283">
        <f>VLOOKUP(Table9[[#This Row],[Shortname]], Comp[], 16, FALSE)</f>
        <v>0</v>
      </c>
      <c r="T283">
        <f>VLOOKUP(Table9[[#This Row],[Shortname]], Comp[], 17, FALSE)</f>
        <v>0</v>
      </c>
      <c r="U283">
        <f>VLOOKUP(Table9[[#This Row],[Shortname]], Comp[], 18, FALSE)</f>
        <v>0</v>
      </c>
      <c r="V283">
        <f>VLOOKUP(Table9[[#This Row],[Shortname]], Comp[], 19, FALSE)</f>
        <v>0</v>
      </c>
      <c r="W283">
        <f>VLOOKUP(Table9[[#This Row],[Shortname]], Comp[], 20, FALSE)</f>
        <v>0</v>
      </c>
      <c r="X283">
        <f>VLOOKUP(Table9[[#This Row],[Shortname]], Comp[], 21, FALSE)</f>
        <v>0</v>
      </c>
      <c r="Y283">
        <f>VLOOKUP(Table9[[#This Row],[Shortname]], Comp[], 22, FALSE)</f>
        <v>0</v>
      </c>
      <c r="Z283">
        <f>VLOOKUP(Table9[[#This Row],[Shortname]], Comp[], 23, FALSE)</f>
        <v>0</v>
      </c>
      <c r="AA283">
        <f>VLOOKUP(Table9[[#This Row],[Shortname]], Comp[], 24, FALSE)</f>
        <v>0</v>
      </c>
      <c r="AB283">
        <f>VLOOKUP(Table9[[#This Row],[Shortname]], Comp[], 25, FALSE)</f>
        <v>0</v>
      </c>
      <c r="AC283">
        <f>VLOOKUP(Table9[[#This Row],[Shortname]], Comp[], 26, FALSE)</f>
        <v>0</v>
      </c>
      <c r="AD283">
        <f>VLOOKUP(Table9[[#This Row],[Shortname]], Comp[], 27, FALSE)</f>
        <v>0</v>
      </c>
      <c r="AE283">
        <f>VLOOKUP(Table9[[#This Row],[Shortname]], Comp[], 28, FALSE)</f>
        <v>0</v>
      </c>
      <c r="AF283">
        <f>VLOOKUP(Table9[[#This Row],[Shortname]], Comp[], 29, FALSE)</f>
        <v>0</v>
      </c>
      <c r="AG283">
        <f>VLOOKUP(Table9[[#This Row],[Shortname]], Comp[], 30, FALSE)</f>
        <v>0</v>
      </c>
      <c r="AH283">
        <f>VLOOKUP(Table9[[#This Row],[Shortname]], Comp[], 31, FALSE)</f>
        <v>0</v>
      </c>
    </row>
    <row r="284" spans="1:34" x14ac:dyDescent="0.3">
      <c r="A284" t="s">
        <v>2224</v>
      </c>
      <c r="B284" t="s">
        <v>2226</v>
      </c>
      <c r="C284" t="s">
        <v>2211</v>
      </c>
      <c r="D284">
        <v>432</v>
      </c>
      <c r="E284">
        <v>900</v>
      </c>
      <c r="F284">
        <v>1E-4</v>
      </c>
      <c r="G284">
        <v>1</v>
      </c>
      <c r="H284" t="s">
        <v>6803</v>
      </c>
      <c r="I284">
        <f>VLOOKUP(Table9[[#This Row],[Shortname]], Comp[], 6, FALSE)</f>
        <v>293</v>
      </c>
      <c r="J284" s="14">
        <f>VLOOKUP(Table9[[#This Row],[Shortname]], Comp[], 7, FALSE)</f>
        <v>83.9</v>
      </c>
      <c r="K284">
        <f>VLOOKUP(Table9[[#This Row],[Shortname]], Comp[], 8, FALSE)</f>
        <v>0</v>
      </c>
      <c r="L284">
        <f>VLOOKUP(Table9[[#This Row],[Shortname]], Comp[], 9, FALSE)</f>
        <v>0</v>
      </c>
      <c r="M284">
        <f>VLOOKUP(Table9[[#This Row],[Shortname]], Comp[], 10, FALSE)</f>
        <v>0</v>
      </c>
      <c r="N284">
        <f>VLOOKUP(Table9[[#This Row],[Shortname]], Comp[], 11, FALSE)</f>
        <v>2.1</v>
      </c>
      <c r="O284">
        <f>VLOOKUP(Table9[[#This Row],[Shortname]], Comp[],12, FALSE)</f>
        <v>4.0999999999999996</v>
      </c>
      <c r="P284">
        <f>VLOOKUP(Table9[[#This Row],[Shortname]], Comp[], 13, FALSE)</f>
        <v>0</v>
      </c>
      <c r="Q284">
        <f>VLOOKUP(Table9[[#This Row],[Shortname]], Comp[], 14, FALSE)</f>
        <v>0</v>
      </c>
      <c r="R284">
        <f>VLOOKUP(Table9[[#This Row],[Shortname]], Comp[], 15, FALSE)</f>
        <v>9.9</v>
      </c>
      <c r="S284">
        <f>VLOOKUP(Table9[[#This Row],[Shortname]], Comp[], 16, FALSE)</f>
        <v>0</v>
      </c>
      <c r="T284">
        <f>VLOOKUP(Table9[[#This Row],[Shortname]], Comp[], 17, FALSE)</f>
        <v>0</v>
      </c>
      <c r="U284">
        <f>VLOOKUP(Table9[[#This Row],[Shortname]], Comp[], 18, FALSE)</f>
        <v>0</v>
      </c>
      <c r="V284">
        <f>VLOOKUP(Table9[[#This Row],[Shortname]], Comp[], 19, FALSE)</f>
        <v>0</v>
      </c>
      <c r="W284">
        <f>VLOOKUP(Table9[[#This Row],[Shortname]], Comp[], 20, FALSE)</f>
        <v>0</v>
      </c>
      <c r="X284">
        <f>VLOOKUP(Table9[[#This Row],[Shortname]], Comp[], 21, FALSE)</f>
        <v>0</v>
      </c>
      <c r="Y284">
        <f>VLOOKUP(Table9[[#This Row],[Shortname]], Comp[], 22, FALSE)</f>
        <v>0</v>
      </c>
      <c r="Z284">
        <f>VLOOKUP(Table9[[#This Row],[Shortname]], Comp[], 23, FALSE)</f>
        <v>0</v>
      </c>
      <c r="AA284">
        <f>VLOOKUP(Table9[[#This Row],[Shortname]], Comp[], 24, FALSE)</f>
        <v>0</v>
      </c>
      <c r="AB284">
        <f>VLOOKUP(Table9[[#This Row],[Shortname]], Comp[], 25, FALSE)</f>
        <v>0</v>
      </c>
      <c r="AC284">
        <f>VLOOKUP(Table9[[#This Row],[Shortname]], Comp[], 26, FALSE)</f>
        <v>0</v>
      </c>
      <c r="AD284">
        <f>VLOOKUP(Table9[[#This Row],[Shortname]], Comp[], 27, FALSE)</f>
        <v>0</v>
      </c>
      <c r="AE284">
        <f>VLOOKUP(Table9[[#This Row],[Shortname]], Comp[], 28, FALSE)</f>
        <v>0</v>
      </c>
      <c r="AF284">
        <f>VLOOKUP(Table9[[#This Row],[Shortname]], Comp[], 29, FALSE)</f>
        <v>0</v>
      </c>
      <c r="AG284">
        <f>VLOOKUP(Table9[[#This Row],[Shortname]], Comp[], 30, FALSE)</f>
        <v>0</v>
      </c>
      <c r="AH284">
        <f>VLOOKUP(Table9[[#This Row],[Shortname]], Comp[], 31, FALSE)</f>
        <v>0</v>
      </c>
    </row>
    <row r="285" spans="1:34" x14ac:dyDescent="0.3">
      <c r="A285" t="s">
        <v>1728</v>
      </c>
      <c r="B285" t="s">
        <v>2150</v>
      </c>
      <c r="C285" t="s">
        <v>3480</v>
      </c>
      <c r="D285">
        <v>432</v>
      </c>
      <c r="E285">
        <v>700</v>
      </c>
      <c r="F285">
        <v>1E-4</v>
      </c>
      <c r="G285">
        <v>1</v>
      </c>
      <c r="H285" t="s">
        <v>6803</v>
      </c>
      <c r="I285">
        <f>VLOOKUP(Table9[[#This Row],[Shortname]], Comp[], 6, FALSE)</f>
        <v>221</v>
      </c>
      <c r="J285" s="14">
        <f>VLOOKUP(Table9[[#This Row],[Shortname]], Comp[], 7, FALSE)</f>
        <v>79.900000000000006</v>
      </c>
      <c r="K285">
        <f>VLOOKUP(Table9[[#This Row],[Shortname]], Comp[], 8, FALSE)</f>
        <v>0</v>
      </c>
      <c r="L285">
        <f>VLOOKUP(Table9[[#This Row],[Shortname]], Comp[], 9, FALSE)</f>
        <v>9.4</v>
      </c>
      <c r="M285">
        <f>VLOOKUP(Table9[[#This Row],[Shortname]], Comp[], 10, FALSE)</f>
        <v>0</v>
      </c>
      <c r="N285">
        <f>VLOOKUP(Table9[[#This Row],[Shortname]], Comp[], 11, FALSE)</f>
        <v>10.7</v>
      </c>
      <c r="O285">
        <f>VLOOKUP(Table9[[#This Row],[Shortname]], Comp[],12, FALSE)</f>
        <v>0</v>
      </c>
      <c r="P285">
        <f>VLOOKUP(Table9[[#This Row],[Shortname]], Comp[], 13, FALSE)</f>
        <v>0</v>
      </c>
      <c r="Q285">
        <f>VLOOKUP(Table9[[#This Row],[Shortname]], Comp[], 14, FALSE)</f>
        <v>0</v>
      </c>
      <c r="R285">
        <f>VLOOKUP(Table9[[#This Row],[Shortname]], Comp[], 15, FALSE)</f>
        <v>0</v>
      </c>
      <c r="S285">
        <f>VLOOKUP(Table9[[#This Row],[Shortname]], Comp[], 16, FALSE)</f>
        <v>0</v>
      </c>
      <c r="T285">
        <f>VLOOKUP(Table9[[#This Row],[Shortname]], Comp[], 17, FALSE)</f>
        <v>0</v>
      </c>
      <c r="U285">
        <f>VLOOKUP(Table9[[#This Row],[Shortname]], Comp[], 18, FALSE)</f>
        <v>0</v>
      </c>
      <c r="V285">
        <f>VLOOKUP(Table9[[#This Row],[Shortname]], Comp[], 19, FALSE)</f>
        <v>0</v>
      </c>
      <c r="W285">
        <f>VLOOKUP(Table9[[#This Row],[Shortname]], Comp[], 20, FALSE)</f>
        <v>0</v>
      </c>
      <c r="X285">
        <f>VLOOKUP(Table9[[#This Row],[Shortname]], Comp[], 21, FALSE)</f>
        <v>0</v>
      </c>
      <c r="Y285">
        <f>VLOOKUP(Table9[[#This Row],[Shortname]], Comp[], 22, FALSE)</f>
        <v>0</v>
      </c>
      <c r="Z285">
        <f>VLOOKUP(Table9[[#This Row],[Shortname]], Comp[], 23, FALSE)</f>
        <v>0</v>
      </c>
      <c r="AA285">
        <f>VLOOKUP(Table9[[#This Row],[Shortname]], Comp[], 24, FALSE)</f>
        <v>0</v>
      </c>
      <c r="AB285">
        <f>VLOOKUP(Table9[[#This Row],[Shortname]], Comp[], 25, FALSE)</f>
        <v>0</v>
      </c>
      <c r="AC285">
        <f>VLOOKUP(Table9[[#This Row],[Shortname]], Comp[], 26, FALSE)</f>
        <v>0</v>
      </c>
      <c r="AD285">
        <f>VLOOKUP(Table9[[#This Row],[Shortname]], Comp[], 27, FALSE)</f>
        <v>0</v>
      </c>
      <c r="AE285">
        <f>VLOOKUP(Table9[[#This Row],[Shortname]], Comp[], 28, FALSE)</f>
        <v>0</v>
      </c>
      <c r="AF285">
        <f>VLOOKUP(Table9[[#This Row],[Shortname]], Comp[], 29, FALSE)</f>
        <v>0</v>
      </c>
      <c r="AG285">
        <f>VLOOKUP(Table9[[#This Row],[Shortname]], Comp[], 30, FALSE)</f>
        <v>0</v>
      </c>
      <c r="AH285">
        <f>VLOOKUP(Table9[[#This Row],[Shortname]], Comp[], 31, FALSE)</f>
        <v>0</v>
      </c>
    </row>
    <row r="286" spans="1:34" x14ac:dyDescent="0.3">
      <c r="A286" t="s">
        <v>5062</v>
      </c>
      <c r="B286" t="s">
        <v>5531</v>
      </c>
      <c r="C286" t="s">
        <v>5054</v>
      </c>
      <c r="D286">
        <v>430.74</v>
      </c>
      <c r="E286">
        <v>900</v>
      </c>
      <c r="F286">
        <v>1E-3</v>
      </c>
      <c r="G286">
        <v>1</v>
      </c>
      <c r="I286">
        <f>VLOOKUP(Table9[[#This Row],[Shortname]], Comp[], 6, FALSE)</f>
        <v>781</v>
      </c>
      <c r="J286" s="14">
        <f>VLOOKUP(Table9[[#This Row],[Shortname]], Comp[], 7, FALSE)</f>
        <v>53</v>
      </c>
      <c r="K286">
        <f>VLOOKUP(Table9[[#This Row],[Shortname]], Comp[], 8, FALSE)</f>
        <v>30</v>
      </c>
      <c r="L286">
        <f>VLOOKUP(Table9[[#This Row],[Shortname]], Comp[], 9, FALSE)</f>
        <v>10</v>
      </c>
      <c r="M286">
        <f>VLOOKUP(Table9[[#This Row],[Shortname]], Comp[], 10, FALSE)</f>
        <v>0</v>
      </c>
      <c r="N286">
        <f>VLOOKUP(Table9[[#This Row],[Shortname]], Comp[], 11, FALSE)</f>
        <v>0</v>
      </c>
      <c r="O286">
        <f>VLOOKUP(Table9[[#This Row],[Shortname]], Comp[],12, FALSE)</f>
        <v>2</v>
      </c>
      <c r="P286">
        <f>VLOOKUP(Table9[[#This Row],[Shortname]], Comp[], 13, FALSE)</f>
        <v>0</v>
      </c>
      <c r="Q286">
        <f>VLOOKUP(Table9[[#This Row],[Shortname]], Comp[], 14, FALSE)</f>
        <v>0</v>
      </c>
      <c r="R286">
        <f>VLOOKUP(Table9[[#This Row],[Shortname]], Comp[], 15, FALSE)</f>
        <v>0</v>
      </c>
      <c r="S286">
        <f>VLOOKUP(Table9[[#This Row],[Shortname]], Comp[], 16, FALSE)</f>
        <v>5</v>
      </c>
      <c r="T286">
        <f>VLOOKUP(Table9[[#This Row],[Shortname]], Comp[], 17, FALSE)</f>
        <v>0</v>
      </c>
      <c r="U286">
        <f>VLOOKUP(Table9[[#This Row],[Shortname]], Comp[], 18, FALSE)</f>
        <v>0</v>
      </c>
      <c r="V286">
        <f>VLOOKUP(Table9[[#This Row],[Shortname]], Comp[], 19, FALSE)</f>
        <v>0</v>
      </c>
      <c r="W286">
        <f>VLOOKUP(Table9[[#This Row],[Shortname]], Comp[], 20, FALSE)</f>
        <v>0</v>
      </c>
      <c r="X286">
        <f>VLOOKUP(Table9[[#This Row],[Shortname]], Comp[], 21, FALSE)</f>
        <v>0</v>
      </c>
      <c r="Y286">
        <f>VLOOKUP(Table9[[#This Row],[Shortname]], Comp[], 22, FALSE)</f>
        <v>0</v>
      </c>
      <c r="Z286">
        <f>VLOOKUP(Table9[[#This Row],[Shortname]], Comp[], 23, FALSE)</f>
        <v>0</v>
      </c>
      <c r="AA286">
        <f>VLOOKUP(Table9[[#This Row],[Shortname]], Comp[], 24, FALSE)</f>
        <v>0</v>
      </c>
      <c r="AB286">
        <f>VLOOKUP(Table9[[#This Row],[Shortname]], Comp[], 25, FALSE)</f>
        <v>0</v>
      </c>
      <c r="AC286">
        <f>VLOOKUP(Table9[[#This Row],[Shortname]], Comp[], 26, FALSE)</f>
        <v>0</v>
      </c>
      <c r="AD286">
        <f>VLOOKUP(Table9[[#This Row],[Shortname]], Comp[], 27, FALSE)</f>
        <v>0</v>
      </c>
      <c r="AE286">
        <f>VLOOKUP(Table9[[#This Row],[Shortname]], Comp[], 28, FALSE)</f>
        <v>0</v>
      </c>
      <c r="AF286">
        <f>VLOOKUP(Table9[[#This Row],[Shortname]], Comp[], 29, FALSE)</f>
        <v>0</v>
      </c>
      <c r="AG286">
        <f>VLOOKUP(Table9[[#This Row],[Shortname]], Comp[], 30, FALSE)</f>
        <v>0</v>
      </c>
      <c r="AH286">
        <f>VLOOKUP(Table9[[#This Row],[Shortname]], Comp[], 31, FALSE)</f>
        <v>0</v>
      </c>
    </row>
    <row r="287" spans="1:34" x14ac:dyDescent="0.3">
      <c r="A287" t="s">
        <v>1574</v>
      </c>
      <c r="B287" t="s">
        <v>1576</v>
      </c>
      <c r="C287" t="s">
        <v>1568</v>
      </c>
      <c r="D287">
        <v>429</v>
      </c>
      <c r="E287">
        <v>750</v>
      </c>
      <c r="F287">
        <v>1E-4</v>
      </c>
      <c r="G287">
        <v>1</v>
      </c>
      <c r="H287" t="s">
        <v>6803</v>
      </c>
      <c r="I287">
        <f>VLOOKUP(Table9[[#This Row],[Shortname]], Comp[], 6, FALSE)</f>
        <v>200</v>
      </c>
      <c r="J287" s="14">
        <f>VLOOKUP(Table9[[#This Row],[Shortname]], Comp[], 7, FALSE)</f>
        <v>44.07</v>
      </c>
      <c r="K287">
        <f>VLOOKUP(Table9[[#This Row],[Shortname]], Comp[], 8, FALSE)</f>
        <v>29.49</v>
      </c>
      <c r="L287">
        <f>VLOOKUP(Table9[[#This Row],[Shortname]], Comp[], 9, FALSE)</f>
        <v>8.9</v>
      </c>
      <c r="M287">
        <f>VLOOKUP(Table9[[#This Row],[Shortname]], Comp[], 10, FALSE)</f>
        <v>12.58</v>
      </c>
      <c r="N287">
        <f>VLOOKUP(Table9[[#This Row],[Shortname]], Comp[], 11, FALSE)</f>
        <v>3.92</v>
      </c>
      <c r="O287">
        <f>VLOOKUP(Table9[[#This Row],[Shortname]], Comp[],12, FALSE)</f>
        <v>0</v>
      </c>
      <c r="P287">
        <f>VLOOKUP(Table9[[#This Row],[Shortname]], Comp[], 13, FALSE)</f>
        <v>0</v>
      </c>
      <c r="Q287">
        <f>VLOOKUP(Table9[[#This Row],[Shortname]], Comp[], 14, FALSE)</f>
        <v>0</v>
      </c>
      <c r="R287">
        <f>VLOOKUP(Table9[[#This Row],[Shortname]], Comp[], 15, FALSE)</f>
        <v>0</v>
      </c>
      <c r="S287">
        <f>VLOOKUP(Table9[[#This Row],[Shortname]], Comp[], 16, FALSE)</f>
        <v>1.04</v>
      </c>
      <c r="T287">
        <f>VLOOKUP(Table9[[#This Row],[Shortname]], Comp[], 17, FALSE)</f>
        <v>0</v>
      </c>
      <c r="U287">
        <f>VLOOKUP(Table9[[#This Row],[Shortname]], Comp[], 18, FALSE)</f>
        <v>0</v>
      </c>
      <c r="V287">
        <f>VLOOKUP(Table9[[#This Row],[Shortname]], Comp[], 19, FALSE)</f>
        <v>0</v>
      </c>
      <c r="W287">
        <f>VLOOKUP(Table9[[#This Row],[Shortname]], Comp[], 20, FALSE)</f>
        <v>0</v>
      </c>
      <c r="X287">
        <f>VLOOKUP(Table9[[#This Row],[Shortname]], Comp[], 21, FALSE)</f>
        <v>0</v>
      </c>
      <c r="Y287">
        <f>VLOOKUP(Table9[[#This Row],[Shortname]], Comp[], 22, FALSE)</f>
        <v>0</v>
      </c>
      <c r="Z287">
        <f>VLOOKUP(Table9[[#This Row],[Shortname]], Comp[], 23, FALSE)</f>
        <v>0</v>
      </c>
      <c r="AA287">
        <f>VLOOKUP(Table9[[#This Row],[Shortname]], Comp[], 24, FALSE)</f>
        <v>0</v>
      </c>
      <c r="AB287">
        <f>VLOOKUP(Table9[[#This Row],[Shortname]], Comp[], 25, FALSE)</f>
        <v>0</v>
      </c>
      <c r="AC287">
        <f>VLOOKUP(Table9[[#This Row],[Shortname]], Comp[], 26, FALSE)</f>
        <v>0</v>
      </c>
      <c r="AD287">
        <f>VLOOKUP(Table9[[#This Row],[Shortname]], Comp[], 27, FALSE)</f>
        <v>0</v>
      </c>
      <c r="AE287">
        <f>VLOOKUP(Table9[[#This Row],[Shortname]], Comp[], 28, FALSE)</f>
        <v>0</v>
      </c>
      <c r="AF287">
        <f>VLOOKUP(Table9[[#This Row],[Shortname]], Comp[], 29, FALSE)</f>
        <v>0</v>
      </c>
      <c r="AG287">
        <f>VLOOKUP(Table9[[#This Row],[Shortname]], Comp[], 30, FALSE)</f>
        <v>0</v>
      </c>
      <c r="AH287">
        <f>VLOOKUP(Table9[[#This Row],[Shortname]], Comp[], 31, FALSE)</f>
        <v>0</v>
      </c>
    </row>
    <row r="288" spans="1:34" x14ac:dyDescent="0.3">
      <c r="A288" t="s">
        <v>5057</v>
      </c>
      <c r="B288" t="s">
        <v>5059</v>
      </c>
      <c r="C288" t="s">
        <v>5054</v>
      </c>
      <c r="D288">
        <v>428.48</v>
      </c>
      <c r="E288">
        <v>900</v>
      </c>
      <c r="F288">
        <v>1E-3</v>
      </c>
      <c r="G288">
        <v>1</v>
      </c>
      <c r="I288">
        <f>VLOOKUP(Table9[[#This Row],[Shortname]], Comp[], 6, FALSE)</f>
        <v>780</v>
      </c>
      <c r="J288" s="14">
        <f>VLOOKUP(Table9[[#This Row],[Shortname]], Comp[], 7, FALSE)</f>
        <v>43</v>
      </c>
      <c r="K288">
        <f>VLOOKUP(Table9[[#This Row],[Shortname]], Comp[], 8, FALSE)</f>
        <v>30</v>
      </c>
      <c r="L288">
        <f>VLOOKUP(Table9[[#This Row],[Shortname]], Comp[], 9, FALSE)</f>
        <v>10</v>
      </c>
      <c r="M288">
        <f>VLOOKUP(Table9[[#This Row],[Shortname]], Comp[], 10, FALSE)</f>
        <v>10</v>
      </c>
      <c r="N288">
        <f>VLOOKUP(Table9[[#This Row],[Shortname]], Comp[], 11, FALSE)</f>
        <v>0</v>
      </c>
      <c r="O288">
        <f>VLOOKUP(Table9[[#This Row],[Shortname]], Comp[],12, FALSE)</f>
        <v>0</v>
      </c>
      <c r="P288">
        <f>VLOOKUP(Table9[[#This Row],[Shortname]], Comp[], 13, FALSE)</f>
        <v>0</v>
      </c>
      <c r="Q288">
        <f>VLOOKUP(Table9[[#This Row],[Shortname]], Comp[], 14, FALSE)</f>
        <v>2</v>
      </c>
      <c r="R288">
        <f>VLOOKUP(Table9[[#This Row],[Shortname]], Comp[], 15, FALSE)</f>
        <v>0</v>
      </c>
      <c r="S288">
        <f>VLOOKUP(Table9[[#This Row],[Shortname]], Comp[], 16, FALSE)</f>
        <v>5</v>
      </c>
      <c r="T288">
        <f>VLOOKUP(Table9[[#This Row],[Shortname]], Comp[], 17, FALSE)</f>
        <v>0</v>
      </c>
      <c r="U288">
        <f>VLOOKUP(Table9[[#This Row],[Shortname]], Comp[], 18, FALSE)</f>
        <v>0</v>
      </c>
      <c r="V288">
        <f>VLOOKUP(Table9[[#This Row],[Shortname]], Comp[], 19, FALSE)</f>
        <v>0</v>
      </c>
      <c r="W288">
        <f>VLOOKUP(Table9[[#This Row],[Shortname]], Comp[], 20, FALSE)</f>
        <v>0</v>
      </c>
      <c r="X288">
        <f>VLOOKUP(Table9[[#This Row],[Shortname]], Comp[], 21, FALSE)</f>
        <v>0</v>
      </c>
      <c r="Y288">
        <f>VLOOKUP(Table9[[#This Row],[Shortname]], Comp[], 22, FALSE)</f>
        <v>0</v>
      </c>
      <c r="Z288">
        <f>VLOOKUP(Table9[[#This Row],[Shortname]], Comp[], 23, FALSE)</f>
        <v>0</v>
      </c>
      <c r="AA288">
        <f>VLOOKUP(Table9[[#This Row],[Shortname]], Comp[], 24, FALSE)</f>
        <v>0</v>
      </c>
      <c r="AB288">
        <f>VLOOKUP(Table9[[#This Row],[Shortname]], Comp[], 25, FALSE)</f>
        <v>0</v>
      </c>
      <c r="AC288">
        <f>VLOOKUP(Table9[[#This Row],[Shortname]], Comp[], 26, FALSE)</f>
        <v>0</v>
      </c>
      <c r="AD288">
        <f>VLOOKUP(Table9[[#This Row],[Shortname]], Comp[], 27, FALSE)</f>
        <v>0</v>
      </c>
      <c r="AE288">
        <f>VLOOKUP(Table9[[#This Row],[Shortname]], Comp[], 28, FALSE)</f>
        <v>0</v>
      </c>
      <c r="AF288">
        <f>VLOOKUP(Table9[[#This Row],[Shortname]], Comp[], 29, FALSE)</f>
        <v>0</v>
      </c>
      <c r="AG288">
        <f>VLOOKUP(Table9[[#This Row],[Shortname]], Comp[], 30, FALSE)</f>
        <v>0</v>
      </c>
      <c r="AH288">
        <f>VLOOKUP(Table9[[#This Row],[Shortname]], Comp[], 31, FALSE)</f>
        <v>0</v>
      </c>
    </row>
    <row r="289" spans="1:34" x14ac:dyDescent="0.3">
      <c r="A289" t="s">
        <v>983</v>
      </c>
      <c r="B289" t="s">
        <v>5230</v>
      </c>
      <c r="C289" t="s">
        <v>5231</v>
      </c>
      <c r="D289">
        <v>425</v>
      </c>
      <c r="E289">
        <v>-195</v>
      </c>
      <c r="F289">
        <v>1E-4</v>
      </c>
      <c r="G289">
        <v>1</v>
      </c>
      <c r="H289" t="s">
        <v>6803</v>
      </c>
      <c r="I289">
        <f>VLOOKUP(Table9[[#This Row],[Shortname]], Comp[], 6, FALSE)</f>
        <v>127</v>
      </c>
      <c r="J289" s="14">
        <f>VLOOKUP(Table9[[#This Row],[Shortname]], Comp[], 7, FALSE)</f>
        <v>77</v>
      </c>
      <c r="K289">
        <f>VLOOKUP(Table9[[#This Row],[Shortname]], Comp[], 8, FALSE)</f>
        <v>0</v>
      </c>
      <c r="L289">
        <f>VLOOKUP(Table9[[#This Row],[Shortname]], Comp[], 9, FALSE)</f>
        <v>12</v>
      </c>
      <c r="M289">
        <f>VLOOKUP(Table9[[#This Row],[Shortname]], Comp[], 10, FALSE)</f>
        <v>0</v>
      </c>
      <c r="N289">
        <f>VLOOKUP(Table9[[#This Row],[Shortname]], Comp[], 11, FALSE)</f>
        <v>11</v>
      </c>
      <c r="O289">
        <f>VLOOKUP(Table9[[#This Row],[Shortname]], Comp[],12, FALSE)</f>
        <v>0</v>
      </c>
      <c r="P289">
        <f>VLOOKUP(Table9[[#This Row],[Shortname]], Comp[], 13, FALSE)</f>
        <v>0</v>
      </c>
      <c r="Q289">
        <f>VLOOKUP(Table9[[#This Row],[Shortname]], Comp[], 14, FALSE)</f>
        <v>0</v>
      </c>
      <c r="R289">
        <f>VLOOKUP(Table9[[#This Row],[Shortname]], Comp[], 15, FALSE)</f>
        <v>0</v>
      </c>
      <c r="S289">
        <f>VLOOKUP(Table9[[#This Row],[Shortname]], Comp[], 16, FALSE)</f>
        <v>0</v>
      </c>
      <c r="T289">
        <f>VLOOKUP(Table9[[#This Row],[Shortname]], Comp[], 17, FALSE)</f>
        <v>0</v>
      </c>
      <c r="U289">
        <f>VLOOKUP(Table9[[#This Row],[Shortname]], Comp[], 18, FALSE)</f>
        <v>0</v>
      </c>
      <c r="V289">
        <f>VLOOKUP(Table9[[#This Row],[Shortname]], Comp[], 19, FALSE)</f>
        <v>0</v>
      </c>
      <c r="W289">
        <f>VLOOKUP(Table9[[#This Row],[Shortname]], Comp[], 20, FALSE)</f>
        <v>0</v>
      </c>
      <c r="X289">
        <f>VLOOKUP(Table9[[#This Row],[Shortname]], Comp[], 21, FALSE)</f>
        <v>0</v>
      </c>
      <c r="Y289">
        <f>VLOOKUP(Table9[[#This Row],[Shortname]], Comp[], 22, FALSE)</f>
        <v>0</v>
      </c>
      <c r="Z289">
        <f>VLOOKUP(Table9[[#This Row],[Shortname]], Comp[], 23, FALSE)</f>
        <v>0</v>
      </c>
      <c r="AA289">
        <f>VLOOKUP(Table9[[#This Row],[Shortname]], Comp[], 24, FALSE)</f>
        <v>0</v>
      </c>
      <c r="AB289">
        <f>VLOOKUP(Table9[[#This Row],[Shortname]], Comp[], 25, FALSE)</f>
        <v>0</v>
      </c>
      <c r="AC289">
        <f>VLOOKUP(Table9[[#This Row],[Shortname]], Comp[], 26, FALSE)</f>
        <v>0</v>
      </c>
      <c r="AD289">
        <f>VLOOKUP(Table9[[#This Row],[Shortname]], Comp[], 27, FALSE)</f>
        <v>0</v>
      </c>
      <c r="AE289">
        <f>VLOOKUP(Table9[[#This Row],[Shortname]], Comp[], 28, FALSE)</f>
        <v>0</v>
      </c>
      <c r="AF289">
        <f>VLOOKUP(Table9[[#This Row],[Shortname]], Comp[], 29, FALSE)</f>
        <v>0</v>
      </c>
      <c r="AG289">
        <f>VLOOKUP(Table9[[#This Row],[Shortname]], Comp[], 30, FALSE)</f>
        <v>0</v>
      </c>
      <c r="AH289">
        <f>VLOOKUP(Table9[[#This Row],[Shortname]], Comp[], 31, FALSE)</f>
        <v>0</v>
      </c>
    </row>
    <row r="290" spans="1:34" x14ac:dyDescent="0.3">
      <c r="A290" t="s">
        <v>1735</v>
      </c>
      <c r="B290" t="s">
        <v>2354</v>
      </c>
      <c r="C290" t="s">
        <v>3480</v>
      </c>
      <c r="D290">
        <v>424</v>
      </c>
      <c r="E290">
        <v>937</v>
      </c>
      <c r="F290">
        <v>1E-4</v>
      </c>
      <c r="G290">
        <v>1</v>
      </c>
      <c r="H290" t="s">
        <v>6803</v>
      </c>
      <c r="I290">
        <f>VLOOKUP(Table9[[#This Row],[Shortname]], Comp[], 6, FALSE)</f>
        <v>222</v>
      </c>
      <c r="J290" s="14">
        <f>VLOOKUP(Table9[[#This Row],[Shortname]], Comp[], 7, FALSE)</f>
        <v>79.400000000000006</v>
      </c>
      <c r="K290">
        <f>VLOOKUP(Table9[[#This Row],[Shortname]], Comp[], 8, FALSE)</f>
        <v>0</v>
      </c>
      <c r="L290">
        <f>VLOOKUP(Table9[[#This Row],[Shortname]], Comp[], 9, FALSE)</f>
        <v>8.8000000000000007</v>
      </c>
      <c r="M290">
        <f>VLOOKUP(Table9[[#This Row],[Shortname]], Comp[], 10, FALSE)</f>
        <v>0</v>
      </c>
      <c r="N290">
        <f>VLOOKUP(Table9[[#This Row],[Shortname]], Comp[], 11, FALSE)</f>
        <v>9.8000000000000007</v>
      </c>
      <c r="O290">
        <f>VLOOKUP(Table9[[#This Row],[Shortname]], Comp[],12, FALSE)</f>
        <v>0</v>
      </c>
      <c r="P290">
        <f>VLOOKUP(Table9[[#This Row],[Shortname]], Comp[], 13, FALSE)</f>
        <v>2</v>
      </c>
      <c r="Q290">
        <f>VLOOKUP(Table9[[#This Row],[Shortname]], Comp[], 14, FALSE)</f>
        <v>0</v>
      </c>
      <c r="R290">
        <f>VLOOKUP(Table9[[#This Row],[Shortname]], Comp[], 15, FALSE)</f>
        <v>0</v>
      </c>
      <c r="S290">
        <f>VLOOKUP(Table9[[#This Row],[Shortname]], Comp[], 16, FALSE)</f>
        <v>0</v>
      </c>
      <c r="T290">
        <f>VLOOKUP(Table9[[#This Row],[Shortname]], Comp[], 17, FALSE)</f>
        <v>0</v>
      </c>
      <c r="U290">
        <f>VLOOKUP(Table9[[#This Row],[Shortname]], Comp[], 18, FALSE)</f>
        <v>0</v>
      </c>
      <c r="V290">
        <f>VLOOKUP(Table9[[#This Row],[Shortname]], Comp[], 19, FALSE)</f>
        <v>0</v>
      </c>
      <c r="W290">
        <f>VLOOKUP(Table9[[#This Row],[Shortname]], Comp[], 20, FALSE)</f>
        <v>0</v>
      </c>
      <c r="X290">
        <f>VLOOKUP(Table9[[#This Row],[Shortname]], Comp[], 21, FALSE)</f>
        <v>0</v>
      </c>
      <c r="Y290">
        <f>VLOOKUP(Table9[[#This Row],[Shortname]], Comp[], 22, FALSE)</f>
        <v>0</v>
      </c>
      <c r="Z290">
        <f>VLOOKUP(Table9[[#This Row],[Shortname]], Comp[], 23, FALSE)</f>
        <v>0</v>
      </c>
      <c r="AA290">
        <f>VLOOKUP(Table9[[#This Row],[Shortname]], Comp[], 24, FALSE)</f>
        <v>0</v>
      </c>
      <c r="AB290">
        <f>VLOOKUP(Table9[[#This Row],[Shortname]], Comp[], 25, FALSE)</f>
        <v>0</v>
      </c>
      <c r="AC290">
        <f>VLOOKUP(Table9[[#This Row],[Shortname]], Comp[], 26, FALSE)</f>
        <v>0</v>
      </c>
      <c r="AD290">
        <f>VLOOKUP(Table9[[#This Row],[Shortname]], Comp[], 27, FALSE)</f>
        <v>0</v>
      </c>
      <c r="AE290">
        <f>VLOOKUP(Table9[[#This Row],[Shortname]], Comp[], 28, FALSE)</f>
        <v>0</v>
      </c>
      <c r="AF290">
        <f>VLOOKUP(Table9[[#This Row],[Shortname]], Comp[], 29, FALSE)</f>
        <v>0</v>
      </c>
      <c r="AG290">
        <f>VLOOKUP(Table9[[#This Row],[Shortname]], Comp[], 30, FALSE)</f>
        <v>0</v>
      </c>
      <c r="AH290">
        <f>VLOOKUP(Table9[[#This Row],[Shortname]], Comp[], 31, FALSE)</f>
        <v>0</v>
      </c>
    </row>
    <row r="291" spans="1:34" x14ac:dyDescent="0.3">
      <c r="A291" t="s">
        <v>1728</v>
      </c>
      <c r="B291" t="s">
        <v>2150</v>
      </c>
      <c r="C291" t="s">
        <v>3480</v>
      </c>
      <c r="D291">
        <v>421</v>
      </c>
      <c r="E291">
        <v>604</v>
      </c>
      <c r="F291">
        <v>1E-4</v>
      </c>
      <c r="G291">
        <v>1</v>
      </c>
      <c r="H291" t="s">
        <v>6803</v>
      </c>
      <c r="I291">
        <f>VLOOKUP(Table9[[#This Row],[Shortname]], Comp[], 6, FALSE)</f>
        <v>221</v>
      </c>
      <c r="J291" s="14">
        <f>VLOOKUP(Table9[[#This Row],[Shortname]], Comp[], 7, FALSE)</f>
        <v>79.900000000000006</v>
      </c>
      <c r="K291">
        <f>VLOOKUP(Table9[[#This Row],[Shortname]], Comp[], 8, FALSE)</f>
        <v>0</v>
      </c>
      <c r="L291">
        <f>VLOOKUP(Table9[[#This Row],[Shortname]], Comp[], 9, FALSE)</f>
        <v>9.4</v>
      </c>
      <c r="M291">
        <f>VLOOKUP(Table9[[#This Row],[Shortname]], Comp[], 10, FALSE)</f>
        <v>0</v>
      </c>
      <c r="N291">
        <f>VLOOKUP(Table9[[#This Row],[Shortname]], Comp[], 11, FALSE)</f>
        <v>10.7</v>
      </c>
      <c r="O291">
        <f>VLOOKUP(Table9[[#This Row],[Shortname]], Comp[],12, FALSE)</f>
        <v>0</v>
      </c>
      <c r="P291">
        <f>VLOOKUP(Table9[[#This Row],[Shortname]], Comp[], 13, FALSE)</f>
        <v>0</v>
      </c>
      <c r="Q291">
        <f>VLOOKUP(Table9[[#This Row],[Shortname]], Comp[], 14, FALSE)</f>
        <v>0</v>
      </c>
      <c r="R291">
        <f>VLOOKUP(Table9[[#This Row],[Shortname]], Comp[], 15, FALSE)</f>
        <v>0</v>
      </c>
      <c r="S291">
        <f>VLOOKUP(Table9[[#This Row],[Shortname]], Comp[], 16, FALSE)</f>
        <v>0</v>
      </c>
      <c r="T291">
        <f>VLOOKUP(Table9[[#This Row],[Shortname]], Comp[], 17, FALSE)</f>
        <v>0</v>
      </c>
      <c r="U291">
        <f>VLOOKUP(Table9[[#This Row],[Shortname]], Comp[], 18, FALSE)</f>
        <v>0</v>
      </c>
      <c r="V291">
        <f>VLOOKUP(Table9[[#This Row],[Shortname]], Comp[], 19, FALSE)</f>
        <v>0</v>
      </c>
      <c r="W291">
        <f>VLOOKUP(Table9[[#This Row],[Shortname]], Comp[], 20, FALSE)</f>
        <v>0</v>
      </c>
      <c r="X291">
        <f>VLOOKUP(Table9[[#This Row],[Shortname]], Comp[], 21, FALSE)</f>
        <v>0</v>
      </c>
      <c r="Y291">
        <f>VLOOKUP(Table9[[#This Row],[Shortname]], Comp[], 22, FALSE)</f>
        <v>0</v>
      </c>
      <c r="Z291">
        <f>VLOOKUP(Table9[[#This Row],[Shortname]], Comp[], 23, FALSE)</f>
        <v>0</v>
      </c>
      <c r="AA291">
        <f>VLOOKUP(Table9[[#This Row],[Shortname]], Comp[], 24, FALSE)</f>
        <v>0</v>
      </c>
      <c r="AB291">
        <f>VLOOKUP(Table9[[#This Row],[Shortname]], Comp[], 25, FALSE)</f>
        <v>0</v>
      </c>
      <c r="AC291">
        <f>VLOOKUP(Table9[[#This Row],[Shortname]], Comp[], 26, FALSE)</f>
        <v>0</v>
      </c>
      <c r="AD291">
        <f>VLOOKUP(Table9[[#This Row],[Shortname]], Comp[], 27, FALSE)</f>
        <v>0</v>
      </c>
      <c r="AE291">
        <f>VLOOKUP(Table9[[#This Row],[Shortname]], Comp[], 28, FALSE)</f>
        <v>0</v>
      </c>
      <c r="AF291">
        <f>VLOOKUP(Table9[[#This Row],[Shortname]], Comp[], 29, FALSE)</f>
        <v>0</v>
      </c>
      <c r="AG291">
        <f>VLOOKUP(Table9[[#This Row],[Shortname]], Comp[], 30, FALSE)</f>
        <v>0</v>
      </c>
      <c r="AH291">
        <f>VLOOKUP(Table9[[#This Row],[Shortname]], Comp[], 31, FALSE)</f>
        <v>0</v>
      </c>
    </row>
    <row r="292" spans="1:34" x14ac:dyDescent="0.3">
      <c r="A292" t="s">
        <v>641</v>
      </c>
      <c r="B292" t="s">
        <v>3494</v>
      </c>
      <c r="C292" t="s">
        <v>3495</v>
      </c>
      <c r="D292">
        <v>421</v>
      </c>
      <c r="E292">
        <v>650</v>
      </c>
      <c r="F292">
        <v>1E-4</v>
      </c>
      <c r="G292">
        <v>1</v>
      </c>
      <c r="H292" t="s">
        <v>6803</v>
      </c>
      <c r="I292">
        <f>VLOOKUP(Table9[[#This Row],[Shortname]], Comp[], 6, FALSE)</f>
        <v>82</v>
      </c>
      <c r="J292" s="14">
        <f>VLOOKUP(Table9[[#This Row],[Shortname]], Comp[], 7, FALSE)</f>
        <v>82</v>
      </c>
      <c r="K292">
        <f>VLOOKUP(Table9[[#This Row],[Shortname]], Comp[], 8, FALSE)</f>
        <v>0</v>
      </c>
      <c r="L292">
        <f>VLOOKUP(Table9[[#This Row],[Shortname]], Comp[], 9, FALSE)</f>
        <v>9</v>
      </c>
      <c r="M292">
        <f>VLOOKUP(Table9[[#This Row],[Shortname]], Comp[], 10, FALSE)</f>
        <v>0</v>
      </c>
      <c r="N292">
        <f>VLOOKUP(Table9[[#This Row],[Shortname]], Comp[], 11, FALSE)</f>
        <v>9</v>
      </c>
      <c r="O292">
        <f>VLOOKUP(Table9[[#This Row],[Shortname]], Comp[],12, FALSE)</f>
        <v>0</v>
      </c>
      <c r="P292">
        <f>VLOOKUP(Table9[[#This Row],[Shortname]], Comp[], 13, FALSE)</f>
        <v>0</v>
      </c>
      <c r="Q292">
        <f>VLOOKUP(Table9[[#This Row],[Shortname]], Comp[], 14, FALSE)</f>
        <v>0</v>
      </c>
      <c r="R292">
        <f>VLOOKUP(Table9[[#This Row],[Shortname]], Comp[], 15, FALSE)</f>
        <v>0</v>
      </c>
      <c r="S292">
        <f>VLOOKUP(Table9[[#This Row],[Shortname]], Comp[], 16, FALSE)</f>
        <v>0</v>
      </c>
      <c r="T292">
        <f>VLOOKUP(Table9[[#This Row],[Shortname]], Comp[], 17, FALSE)</f>
        <v>0</v>
      </c>
      <c r="U292">
        <f>VLOOKUP(Table9[[#This Row],[Shortname]], Comp[], 18, FALSE)</f>
        <v>0</v>
      </c>
      <c r="V292">
        <f>VLOOKUP(Table9[[#This Row],[Shortname]], Comp[], 19, FALSE)</f>
        <v>0</v>
      </c>
      <c r="W292">
        <f>VLOOKUP(Table9[[#This Row],[Shortname]], Comp[], 20, FALSE)</f>
        <v>0</v>
      </c>
      <c r="X292">
        <f>VLOOKUP(Table9[[#This Row],[Shortname]], Comp[], 21, FALSE)</f>
        <v>0</v>
      </c>
      <c r="Y292">
        <f>VLOOKUP(Table9[[#This Row],[Shortname]], Comp[], 22, FALSE)</f>
        <v>0</v>
      </c>
      <c r="Z292">
        <f>VLOOKUP(Table9[[#This Row],[Shortname]], Comp[], 23, FALSE)</f>
        <v>0</v>
      </c>
      <c r="AA292">
        <f>VLOOKUP(Table9[[#This Row],[Shortname]], Comp[], 24, FALSE)</f>
        <v>0</v>
      </c>
      <c r="AB292">
        <f>VLOOKUP(Table9[[#This Row],[Shortname]], Comp[], 25, FALSE)</f>
        <v>0</v>
      </c>
      <c r="AC292">
        <f>VLOOKUP(Table9[[#This Row],[Shortname]], Comp[], 26, FALSE)</f>
        <v>0</v>
      </c>
      <c r="AD292">
        <f>VLOOKUP(Table9[[#This Row],[Shortname]], Comp[], 27, FALSE)</f>
        <v>0</v>
      </c>
      <c r="AE292">
        <f>VLOOKUP(Table9[[#This Row],[Shortname]], Comp[], 28, FALSE)</f>
        <v>0</v>
      </c>
      <c r="AF292">
        <f>VLOOKUP(Table9[[#This Row],[Shortname]], Comp[], 29, FALSE)</f>
        <v>0</v>
      </c>
      <c r="AG292">
        <f>VLOOKUP(Table9[[#This Row],[Shortname]], Comp[], 30, FALSE)</f>
        <v>0</v>
      </c>
      <c r="AH292">
        <f>VLOOKUP(Table9[[#This Row],[Shortname]], Comp[], 31, FALSE)</f>
        <v>0</v>
      </c>
    </row>
    <row r="293" spans="1:34" x14ac:dyDescent="0.3">
      <c r="A293" t="s">
        <v>3182</v>
      </c>
      <c r="B293" t="s">
        <v>97</v>
      </c>
      <c r="C293" t="s">
        <v>3480</v>
      </c>
      <c r="D293">
        <v>416</v>
      </c>
      <c r="E293">
        <v>650</v>
      </c>
      <c r="F293">
        <v>1E-4</v>
      </c>
      <c r="G293">
        <v>1</v>
      </c>
      <c r="H293" t="s">
        <v>6803</v>
      </c>
      <c r="I293">
        <f>VLOOKUP(Table9[[#This Row],[Shortname]], Comp[], 6, FALSE)</f>
        <v>446</v>
      </c>
      <c r="J293" s="14">
        <f>VLOOKUP(Table9[[#This Row],[Shortname]], Comp[], 7, FALSE)</f>
        <v>81.8</v>
      </c>
      <c r="K293">
        <f>VLOOKUP(Table9[[#This Row],[Shortname]], Comp[], 8, FALSE)</f>
        <v>0</v>
      </c>
      <c r="L293">
        <f>VLOOKUP(Table9[[#This Row],[Shortname]], Comp[], 9, FALSE)</f>
        <v>9.1999999999999993</v>
      </c>
      <c r="M293">
        <f>VLOOKUP(Table9[[#This Row],[Shortname]], Comp[], 10, FALSE)</f>
        <v>0</v>
      </c>
      <c r="N293">
        <f>VLOOKUP(Table9[[#This Row],[Shortname]], Comp[], 11, FALSE)</f>
        <v>9</v>
      </c>
      <c r="O293">
        <f>VLOOKUP(Table9[[#This Row],[Shortname]], Comp[],12, FALSE)</f>
        <v>0</v>
      </c>
      <c r="P293">
        <f>VLOOKUP(Table9[[#This Row],[Shortname]], Comp[], 13, FALSE)</f>
        <v>0</v>
      </c>
      <c r="Q293">
        <f>VLOOKUP(Table9[[#This Row],[Shortname]], Comp[], 14, FALSE)</f>
        <v>0</v>
      </c>
      <c r="R293">
        <f>VLOOKUP(Table9[[#This Row],[Shortname]], Comp[], 15, FALSE)</f>
        <v>0</v>
      </c>
      <c r="S293">
        <f>VLOOKUP(Table9[[#This Row],[Shortname]], Comp[], 16, FALSE)</f>
        <v>0</v>
      </c>
      <c r="T293">
        <f>VLOOKUP(Table9[[#This Row],[Shortname]], Comp[], 17, FALSE)</f>
        <v>0</v>
      </c>
      <c r="U293">
        <f>VLOOKUP(Table9[[#This Row],[Shortname]], Comp[], 18, FALSE)</f>
        <v>0</v>
      </c>
      <c r="V293">
        <f>VLOOKUP(Table9[[#This Row],[Shortname]], Comp[], 19, FALSE)</f>
        <v>0</v>
      </c>
      <c r="W293">
        <f>VLOOKUP(Table9[[#This Row],[Shortname]], Comp[], 20, FALSE)</f>
        <v>0</v>
      </c>
      <c r="X293">
        <f>VLOOKUP(Table9[[#This Row],[Shortname]], Comp[], 21, FALSE)</f>
        <v>0</v>
      </c>
      <c r="Y293">
        <f>VLOOKUP(Table9[[#This Row],[Shortname]], Comp[], 22, FALSE)</f>
        <v>0</v>
      </c>
      <c r="Z293">
        <f>VLOOKUP(Table9[[#This Row],[Shortname]], Comp[], 23, FALSE)</f>
        <v>0</v>
      </c>
      <c r="AA293">
        <f>VLOOKUP(Table9[[#This Row],[Shortname]], Comp[], 24, FALSE)</f>
        <v>0</v>
      </c>
      <c r="AB293">
        <f>VLOOKUP(Table9[[#This Row],[Shortname]], Comp[], 25, FALSE)</f>
        <v>0</v>
      </c>
      <c r="AC293">
        <f>VLOOKUP(Table9[[#This Row],[Shortname]], Comp[], 26, FALSE)</f>
        <v>0</v>
      </c>
      <c r="AD293">
        <f>VLOOKUP(Table9[[#This Row],[Shortname]], Comp[], 27, FALSE)</f>
        <v>0</v>
      </c>
      <c r="AE293">
        <f>VLOOKUP(Table9[[#This Row],[Shortname]], Comp[], 28, FALSE)</f>
        <v>0</v>
      </c>
      <c r="AF293">
        <f>VLOOKUP(Table9[[#This Row],[Shortname]], Comp[], 29, FALSE)</f>
        <v>0</v>
      </c>
      <c r="AG293">
        <f>VLOOKUP(Table9[[#This Row],[Shortname]], Comp[], 30, FALSE)</f>
        <v>0</v>
      </c>
      <c r="AH293">
        <f>VLOOKUP(Table9[[#This Row],[Shortname]], Comp[], 31, FALSE)</f>
        <v>0</v>
      </c>
    </row>
    <row r="294" spans="1:34" x14ac:dyDescent="0.3">
      <c r="A294" t="s">
        <v>1580</v>
      </c>
      <c r="B294" t="s">
        <v>1582</v>
      </c>
      <c r="C294" t="s">
        <v>1568</v>
      </c>
      <c r="D294">
        <v>415</v>
      </c>
      <c r="E294">
        <v>750</v>
      </c>
      <c r="F294">
        <v>1E-4</v>
      </c>
      <c r="G294">
        <v>1</v>
      </c>
      <c r="H294" t="s">
        <v>6803</v>
      </c>
      <c r="I294">
        <f>VLOOKUP(Table9[[#This Row],[Shortname]], Comp[], 6, FALSE)</f>
        <v>201</v>
      </c>
      <c r="J294" s="14">
        <f>VLOOKUP(Table9[[#This Row],[Shortname]], Comp[], 7, FALSE)</f>
        <v>44.220000000000006</v>
      </c>
      <c r="K294">
        <f>VLOOKUP(Table9[[#This Row],[Shortname]], Comp[], 8, FALSE)</f>
        <v>29.89</v>
      </c>
      <c r="L294">
        <f>VLOOKUP(Table9[[#This Row],[Shortname]], Comp[], 9, FALSE)</f>
        <v>8.91</v>
      </c>
      <c r="M294">
        <f>VLOOKUP(Table9[[#This Row],[Shortname]], Comp[], 10, FALSE)</f>
        <v>12.1</v>
      </c>
      <c r="N294">
        <f>VLOOKUP(Table9[[#This Row],[Shortname]], Comp[], 11, FALSE)</f>
        <v>3.09</v>
      </c>
      <c r="O294">
        <f>VLOOKUP(Table9[[#This Row],[Shortname]], Comp[],12, FALSE)</f>
        <v>0</v>
      </c>
      <c r="P294">
        <f>VLOOKUP(Table9[[#This Row],[Shortname]], Comp[], 13, FALSE)</f>
        <v>0</v>
      </c>
      <c r="Q294">
        <f>VLOOKUP(Table9[[#This Row],[Shortname]], Comp[], 14, FALSE)</f>
        <v>0</v>
      </c>
      <c r="R294">
        <f>VLOOKUP(Table9[[#This Row],[Shortname]], Comp[], 15, FALSE)</f>
        <v>0</v>
      </c>
      <c r="S294">
        <f>VLOOKUP(Table9[[#This Row],[Shortname]], Comp[], 16, FALSE)</f>
        <v>1.79</v>
      </c>
      <c r="T294">
        <f>VLOOKUP(Table9[[#This Row],[Shortname]], Comp[], 17, FALSE)</f>
        <v>0</v>
      </c>
      <c r="U294">
        <f>VLOOKUP(Table9[[#This Row],[Shortname]], Comp[], 18, FALSE)</f>
        <v>0</v>
      </c>
      <c r="V294">
        <f>VLOOKUP(Table9[[#This Row],[Shortname]], Comp[], 19, FALSE)</f>
        <v>0</v>
      </c>
      <c r="W294">
        <f>VLOOKUP(Table9[[#This Row],[Shortname]], Comp[], 20, FALSE)</f>
        <v>0</v>
      </c>
      <c r="X294">
        <f>VLOOKUP(Table9[[#This Row],[Shortname]], Comp[], 21, FALSE)</f>
        <v>0</v>
      </c>
      <c r="Y294">
        <f>VLOOKUP(Table9[[#This Row],[Shortname]], Comp[], 22, FALSE)</f>
        <v>0</v>
      </c>
      <c r="Z294">
        <f>VLOOKUP(Table9[[#This Row],[Shortname]], Comp[], 23, FALSE)</f>
        <v>0</v>
      </c>
      <c r="AA294">
        <f>VLOOKUP(Table9[[#This Row],[Shortname]], Comp[], 24, FALSE)</f>
        <v>0</v>
      </c>
      <c r="AB294">
        <f>VLOOKUP(Table9[[#This Row],[Shortname]], Comp[], 25, FALSE)</f>
        <v>0</v>
      </c>
      <c r="AC294">
        <f>VLOOKUP(Table9[[#This Row],[Shortname]], Comp[], 26, FALSE)</f>
        <v>0</v>
      </c>
      <c r="AD294">
        <f>VLOOKUP(Table9[[#This Row],[Shortname]], Comp[], 27, FALSE)</f>
        <v>0</v>
      </c>
      <c r="AE294">
        <f>VLOOKUP(Table9[[#This Row],[Shortname]], Comp[], 28, FALSE)</f>
        <v>0</v>
      </c>
      <c r="AF294">
        <f>VLOOKUP(Table9[[#This Row],[Shortname]], Comp[], 29, FALSE)</f>
        <v>0</v>
      </c>
      <c r="AG294">
        <f>VLOOKUP(Table9[[#This Row],[Shortname]], Comp[], 30, FALSE)</f>
        <v>0</v>
      </c>
      <c r="AH294">
        <f>VLOOKUP(Table9[[#This Row],[Shortname]], Comp[], 31, FALSE)</f>
        <v>0</v>
      </c>
    </row>
    <row r="295" spans="1:34" x14ac:dyDescent="0.3">
      <c r="A295" t="s">
        <v>641</v>
      </c>
      <c r="B295" t="s">
        <v>3494</v>
      </c>
      <c r="C295" t="s">
        <v>3495</v>
      </c>
      <c r="D295">
        <v>415</v>
      </c>
      <c r="E295">
        <v>600</v>
      </c>
      <c r="F295">
        <v>1E-4</v>
      </c>
      <c r="G295">
        <v>1</v>
      </c>
      <c r="H295" t="s">
        <v>6803</v>
      </c>
      <c r="I295">
        <f>VLOOKUP(Table9[[#This Row],[Shortname]], Comp[], 6, FALSE)</f>
        <v>82</v>
      </c>
      <c r="J295" s="14">
        <f>VLOOKUP(Table9[[#This Row],[Shortname]], Comp[], 7, FALSE)</f>
        <v>82</v>
      </c>
      <c r="K295">
        <f>VLOOKUP(Table9[[#This Row],[Shortname]], Comp[], 8, FALSE)</f>
        <v>0</v>
      </c>
      <c r="L295">
        <f>VLOOKUP(Table9[[#This Row],[Shortname]], Comp[], 9, FALSE)</f>
        <v>9</v>
      </c>
      <c r="M295">
        <f>VLOOKUP(Table9[[#This Row],[Shortname]], Comp[], 10, FALSE)</f>
        <v>0</v>
      </c>
      <c r="N295">
        <f>VLOOKUP(Table9[[#This Row],[Shortname]], Comp[], 11, FALSE)</f>
        <v>9</v>
      </c>
      <c r="O295">
        <f>VLOOKUP(Table9[[#This Row],[Shortname]], Comp[],12, FALSE)</f>
        <v>0</v>
      </c>
      <c r="P295">
        <f>VLOOKUP(Table9[[#This Row],[Shortname]], Comp[], 13, FALSE)</f>
        <v>0</v>
      </c>
      <c r="Q295">
        <f>VLOOKUP(Table9[[#This Row],[Shortname]], Comp[], 14, FALSE)</f>
        <v>0</v>
      </c>
      <c r="R295">
        <f>VLOOKUP(Table9[[#This Row],[Shortname]], Comp[], 15, FALSE)</f>
        <v>0</v>
      </c>
      <c r="S295">
        <f>VLOOKUP(Table9[[#This Row],[Shortname]], Comp[], 16, FALSE)</f>
        <v>0</v>
      </c>
      <c r="T295">
        <f>VLOOKUP(Table9[[#This Row],[Shortname]], Comp[], 17, FALSE)</f>
        <v>0</v>
      </c>
      <c r="U295">
        <f>VLOOKUP(Table9[[#This Row],[Shortname]], Comp[], 18, FALSE)</f>
        <v>0</v>
      </c>
      <c r="V295">
        <f>VLOOKUP(Table9[[#This Row],[Shortname]], Comp[], 19, FALSE)</f>
        <v>0</v>
      </c>
      <c r="W295">
        <f>VLOOKUP(Table9[[#This Row],[Shortname]], Comp[], 20, FALSE)</f>
        <v>0</v>
      </c>
      <c r="X295">
        <f>VLOOKUP(Table9[[#This Row],[Shortname]], Comp[], 21, FALSE)</f>
        <v>0</v>
      </c>
      <c r="Y295">
        <f>VLOOKUP(Table9[[#This Row],[Shortname]], Comp[], 22, FALSE)</f>
        <v>0</v>
      </c>
      <c r="Z295">
        <f>VLOOKUP(Table9[[#This Row],[Shortname]], Comp[], 23, FALSE)</f>
        <v>0</v>
      </c>
      <c r="AA295">
        <f>VLOOKUP(Table9[[#This Row],[Shortname]], Comp[], 24, FALSE)</f>
        <v>0</v>
      </c>
      <c r="AB295">
        <f>VLOOKUP(Table9[[#This Row],[Shortname]], Comp[], 25, FALSE)</f>
        <v>0</v>
      </c>
      <c r="AC295">
        <f>VLOOKUP(Table9[[#This Row],[Shortname]], Comp[], 26, FALSE)</f>
        <v>0</v>
      </c>
      <c r="AD295">
        <f>VLOOKUP(Table9[[#This Row],[Shortname]], Comp[], 27, FALSE)</f>
        <v>0</v>
      </c>
      <c r="AE295">
        <f>VLOOKUP(Table9[[#This Row],[Shortname]], Comp[], 28, FALSE)</f>
        <v>0</v>
      </c>
      <c r="AF295">
        <f>VLOOKUP(Table9[[#This Row],[Shortname]], Comp[], 29, FALSE)</f>
        <v>0</v>
      </c>
      <c r="AG295">
        <f>VLOOKUP(Table9[[#This Row],[Shortname]], Comp[], 30, FALSE)</f>
        <v>0</v>
      </c>
      <c r="AH295">
        <f>VLOOKUP(Table9[[#This Row],[Shortname]], Comp[], 31, FALSE)</f>
        <v>0</v>
      </c>
    </row>
    <row r="296" spans="1:34" x14ac:dyDescent="0.3">
      <c r="A296" t="s">
        <v>983</v>
      </c>
      <c r="B296" t="s">
        <v>5230</v>
      </c>
      <c r="C296" t="s">
        <v>5231</v>
      </c>
      <c r="D296">
        <v>414</v>
      </c>
      <c r="E296">
        <v>-195</v>
      </c>
      <c r="F296">
        <v>1E-4</v>
      </c>
      <c r="G296">
        <v>1</v>
      </c>
      <c r="H296" t="s">
        <v>6803</v>
      </c>
      <c r="I296">
        <f>VLOOKUP(Table9[[#This Row],[Shortname]], Comp[], 6, FALSE)</f>
        <v>127</v>
      </c>
      <c r="J296" s="14">
        <f>VLOOKUP(Table9[[#This Row],[Shortname]], Comp[], 7, FALSE)</f>
        <v>77</v>
      </c>
      <c r="K296">
        <f>VLOOKUP(Table9[[#This Row],[Shortname]], Comp[], 8, FALSE)</f>
        <v>0</v>
      </c>
      <c r="L296">
        <f>VLOOKUP(Table9[[#This Row],[Shortname]], Comp[], 9, FALSE)</f>
        <v>12</v>
      </c>
      <c r="M296">
        <f>VLOOKUP(Table9[[#This Row],[Shortname]], Comp[], 10, FALSE)</f>
        <v>0</v>
      </c>
      <c r="N296">
        <f>VLOOKUP(Table9[[#This Row],[Shortname]], Comp[], 11, FALSE)</f>
        <v>11</v>
      </c>
      <c r="O296">
        <f>VLOOKUP(Table9[[#This Row],[Shortname]], Comp[],12, FALSE)</f>
        <v>0</v>
      </c>
      <c r="P296">
        <f>VLOOKUP(Table9[[#This Row],[Shortname]], Comp[], 13, FALSE)</f>
        <v>0</v>
      </c>
      <c r="Q296">
        <f>VLOOKUP(Table9[[#This Row],[Shortname]], Comp[], 14, FALSE)</f>
        <v>0</v>
      </c>
      <c r="R296">
        <f>VLOOKUP(Table9[[#This Row],[Shortname]], Comp[], 15, FALSE)</f>
        <v>0</v>
      </c>
      <c r="S296">
        <f>VLOOKUP(Table9[[#This Row],[Shortname]], Comp[], 16, FALSE)</f>
        <v>0</v>
      </c>
      <c r="T296">
        <f>VLOOKUP(Table9[[#This Row],[Shortname]], Comp[], 17, FALSE)</f>
        <v>0</v>
      </c>
      <c r="U296">
        <f>VLOOKUP(Table9[[#This Row],[Shortname]], Comp[], 18, FALSE)</f>
        <v>0</v>
      </c>
      <c r="V296">
        <f>VLOOKUP(Table9[[#This Row],[Shortname]], Comp[], 19, FALSE)</f>
        <v>0</v>
      </c>
      <c r="W296">
        <f>VLOOKUP(Table9[[#This Row],[Shortname]], Comp[], 20, FALSE)</f>
        <v>0</v>
      </c>
      <c r="X296">
        <f>VLOOKUP(Table9[[#This Row],[Shortname]], Comp[], 21, FALSE)</f>
        <v>0</v>
      </c>
      <c r="Y296">
        <f>VLOOKUP(Table9[[#This Row],[Shortname]], Comp[], 22, FALSE)</f>
        <v>0</v>
      </c>
      <c r="Z296">
        <f>VLOOKUP(Table9[[#This Row],[Shortname]], Comp[], 23, FALSE)</f>
        <v>0</v>
      </c>
      <c r="AA296">
        <f>VLOOKUP(Table9[[#This Row],[Shortname]], Comp[], 24, FALSE)</f>
        <v>0</v>
      </c>
      <c r="AB296">
        <f>VLOOKUP(Table9[[#This Row],[Shortname]], Comp[], 25, FALSE)</f>
        <v>0</v>
      </c>
      <c r="AC296">
        <f>VLOOKUP(Table9[[#This Row],[Shortname]], Comp[], 26, FALSE)</f>
        <v>0</v>
      </c>
      <c r="AD296">
        <f>VLOOKUP(Table9[[#This Row],[Shortname]], Comp[], 27, FALSE)</f>
        <v>0</v>
      </c>
      <c r="AE296">
        <f>VLOOKUP(Table9[[#This Row],[Shortname]], Comp[], 28, FALSE)</f>
        <v>0</v>
      </c>
      <c r="AF296">
        <f>VLOOKUP(Table9[[#This Row],[Shortname]], Comp[], 29, FALSE)</f>
        <v>0</v>
      </c>
      <c r="AG296">
        <f>VLOOKUP(Table9[[#This Row],[Shortname]], Comp[], 30, FALSE)</f>
        <v>0</v>
      </c>
      <c r="AH296">
        <f>VLOOKUP(Table9[[#This Row],[Shortname]], Comp[], 31, FALSE)</f>
        <v>0</v>
      </c>
    </row>
    <row r="297" spans="1:34" x14ac:dyDescent="0.3">
      <c r="A297" t="s">
        <v>3154</v>
      </c>
      <c r="B297" t="s">
        <v>3156</v>
      </c>
      <c r="C297" t="s">
        <v>3157</v>
      </c>
      <c r="D297">
        <v>414</v>
      </c>
      <c r="E297">
        <v>900</v>
      </c>
      <c r="F297">
        <v>1E-4</v>
      </c>
      <c r="G297">
        <v>1</v>
      </c>
      <c r="H297" t="s">
        <v>6803</v>
      </c>
      <c r="I297">
        <f>VLOOKUP(Table9[[#This Row],[Shortname]], Comp[], 6, FALSE)</f>
        <v>440</v>
      </c>
      <c r="J297" s="14">
        <f>VLOOKUP(Table9[[#This Row],[Shortname]], Comp[], 7, FALSE)</f>
        <v>80</v>
      </c>
      <c r="K297">
        <f>VLOOKUP(Table9[[#This Row],[Shortname]], Comp[], 8, FALSE)</f>
        <v>0</v>
      </c>
      <c r="L297">
        <f>VLOOKUP(Table9[[#This Row],[Shortname]], Comp[], 9, FALSE)</f>
        <v>0</v>
      </c>
      <c r="M297">
        <f>VLOOKUP(Table9[[#This Row],[Shortname]], Comp[], 10, FALSE)</f>
        <v>0</v>
      </c>
      <c r="N297">
        <f>VLOOKUP(Table9[[#This Row],[Shortname]], Comp[], 11, FALSE)</f>
        <v>0</v>
      </c>
      <c r="O297">
        <f>VLOOKUP(Table9[[#This Row],[Shortname]], Comp[],12, FALSE)</f>
        <v>5</v>
      </c>
      <c r="P297">
        <f>VLOOKUP(Table9[[#This Row],[Shortname]], Comp[], 13, FALSE)</f>
        <v>0</v>
      </c>
      <c r="Q297">
        <f>VLOOKUP(Table9[[#This Row],[Shortname]], Comp[], 14, FALSE)</f>
        <v>0</v>
      </c>
      <c r="R297">
        <f>VLOOKUP(Table9[[#This Row],[Shortname]], Comp[], 15, FALSE)</f>
        <v>15</v>
      </c>
      <c r="S297">
        <f>VLOOKUP(Table9[[#This Row],[Shortname]], Comp[], 16, FALSE)</f>
        <v>0</v>
      </c>
      <c r="T297">
        <f>VLOOKUP(Table9[[#This Row],[Shortname]], Comp[], 17, FALSE)</f>
        <v>0</v>
      </c>
      <c r="U297">
        <f>VLOOKUP(Table9[[#This Row],[Shortname]], Comp[], 18, FALSE)</f>
        <v>0</v>
      </c>
      <c r="V297">
        <f>VLOOKUP(Table9[[#This Row],[Shortname]], Comp[], 19, FALSE)</f>
        <v>0</v>
      </c>
      <c r="W297">
        <f>VLOOKUP(Table9[[#This Row],[Shortname]], Comp[], 20, FALSE)</f>
        <v>0</v>
      </c>
      <c r="X297">
        <f>VLOOKUP(Table9[[#This Row],[Shortname]], Comp[], 21, FALSE)</f>
        <v>0</v>
      </c>
      <c r="Y297">
        <f>VLOOKUP(Table9[[#This Row],[Shortname]], Comp[], 22, FALSE)</f>
        <v>0</v>
      </c>
      <c r="Z297">
        <f>VLOOKUP(Table9[[#This Row],[Shortname]], Comp[], 23, FALSE)</f>
        <v>0</v>
      </c>
      <c r="AA297">
        <f>VLOOKUP(Table9[[#This Row],[Shortname]], Comp[], 24, FALSE)</f>
        <v>0</v>
      </c>
      <c r="AB297">
        <f>VLOOKUP(Table9[[#This Row],[Shortname]], Comp[], 25, FALSE)</f>
        <v>0</v>
      </c>
      <c r="AC297">
        <f>VLOOKUP(Table9[[#This Row],[Shortname]], Comp[], 26, FALSE)</f>
        <v>0</v>
      </c>
      <c r="AD297">
        <f>VLOOKUP(Table9[[#This Row],[Shortname]], Comp[], 27, FALSE)</f>
        <v>0</v>
      </c>
      <c r="AE297">
        <f>VLOOKUP(Table9[[#This Row],[Shortname]], Comp[], 28, FALSE)</f>
        <v>0</v>
      </c>
      <c r="AF297">
        <f>VLOOKUP(Table9[[#This Row],[Shortname]], Comp[], 29, FALSE)</f>
        <v>0</v>
      </c>
      <c r="AG297">
        <f>VLOOKUP(Table9[[#This Row],[Shortname]], Comp[], 30, FALSE)</f>
        <v>0</v>
      </c>
      <c r="AH297">
        <f>VLOOKUP(Table9[[#This Row],[Shortname]], Comp[], 31, FALSE)</f>
        <v>0</v>
      </c>
    </row>
    <row r="298" spans="1:34" x14ac:dyDescent="0.3">
      <c r="A298" t="s">
        <v>4232</v>
      </c>
      <c r="B298" t="s">
        <v>4234</v>
      </c>
      <c r="C298" t="s">
        <v>4235</v>
      </c>
      <c r="D298">
        <v>414</v>
      </c>
      <c r="E298">
        <v>600</v>
      </c>
      <c r="F298">
        <v>1E-4</v>
      </c>
      <c r="G298">
        <v>1</v>
      </c>
      <c r="H298" t="s">
        <v>6803</v>
      </c>
      <c r="I298">
        <f>VLOOKUP(Table9[[#This Row],[Shortname]], Comp[], 6, FALSE)</f>
        <v>644</v>
      </c>
      <c r="J298" s="14">
        <f>VLOOKUP(Table9[[#This Row],[Shortname]], Comp[], 7, FALSE)</f>
        <v>74</v>
      </c>
      <c r="K298">
        <f>VLOOKUP(Table9[[#This Row],[Shortname]], Comp[], 8, FALSE)</f>
        <v>0</v>
      </c>
      <c r="L298">
        <f>VLOOKUP(Table9[[#This Row],[Shortname]], Comp[], 9, FALSE)</f>
        <v>0</v>
      </c>
      <c r="M298">
        <f>VLOOKUP(Table9[[#This Row],[Shortname]], Comp[], 10, FALSE)</f>
        <v>15</v>
      </c>
      <c r="N298">
        <f>VLOOKUP(Table9[[#This Row],[Shortname]], Comp[], 11, FALSE)</f>
        <v>0</v>
      </c>
      <c r="O298">
        <f>VLOOKUP(Table9[[#This Row],[Shortname]], Comp[],12, FALSE)</f>
        <v>11</v>
      </c>
      <c r="P298">
        <f>VLOOKUP(Table9[[#This Row],[Shortname]], Comp[], 13, FALSE)</f>
        <v>0</v>
      </c>
      <c r="Q298">
        <f>VLOOKUP(Table9[[#This Row],[Shortname]], Comp[], 14, FALSE)</f>
        <v>0</v>
      </c>
      <c r="R298">
        <f>VLOOKUP(Table9[[#This Row],[Shortname]], Comp[], 15, FALSE)</f>
        <v>0</v>
      </c>
      <c r="S298">
        <f>VLOOKUP(Table9[[#This Row],[Shortname]], Comp[], 16, FALSE)</f>
        <v>0</v>
      </c>
      <c r="T298">
        <f>VLOOKUP(Table9[[#This Row],[Shortname]], Comp[], 17, FALSE)</f>
        <v>0</v>
      </c>
      <c r="U298">
        <f>VLOOKUP(Table9[[#This Row],[Shortname]], Comp[], 18, FALSE)</f>
        <v>0</v>
      </c>
      <c r="V298">
        <f>VLOOKUP(Table9[[#This Row],[Shortname]], Comp[], 19, FALSE)</f>
        <v>0</v>
      </c>
      <c r="W298">
        <f>VLOOKUP(Table9[[#This Row],[Shortname]], Comp[], 20, FALSE)</f>
        <v>0</v>
      </c>
      <c r="X298">
        <f>VLOOKUP(Table9[[#This Row],[Shortname]], Comp[], 21, FALSE)</f>
        <v>0</v>
      </c>
      <c r="Y298">
        <f>VLOOKUP(Table9[[#This Row],[Shortname]], Comp[], 22, FALSE)</f>
        <v>0</v>
      </c>
      <c r="Z298">
        <f>VLOOKUP(Table9[[#This Row],[Shortname]], Comp[], 23, FALSE)</f>
        <v>0</v>
      </c>
      <c r="AA298">
        <f>VLOOKUP(Table9[[#This Row],[Shortname]], Comp[], 24, FALSE)</f>
        <v>0</v>
      </c>
      <c r="AB298">
        <f>VLOOKUP(Table9[[#This Row],[Shortname]], Comp[], 25, FALSE)</f>
        <v>0</v>
      </c>
      <c r="AC298">
        <f>VLOOKUP(Table9[[#This Row],[Shortname]], Comp[], 26, FALSE)</f>
        <v>0</v>
      </c>
      <c r="AD298">
        <f>VLOOKUP(Table9[[#This Row],[Shortname]], Comp[], 27, FALSE)</f>
        <v>0</v>
      </c>
      <c r="AE298">
        <f>VLOOKUP(Table9[[#This Row],[Shortname]], Comp[], 28, FALSE)</f>
        <v>0</v>
      </c>
      <c r="AF298">
        <f>VLOOKUP(Table9[[#This Row],[Shortname]], Comp[], 29, FALSE)</f>
        <v>0</v>
      </c>
      <c r="AG298">
        <f>VLOOKUP(Table9[[#This Row],[Shortname]], Comp[], 30, FALSE)</f>
        <v>0</v>
      </c>
      <c r="AH298">
        <f>VLOOKUP(Table9[[#This Row],[Shortname]], Comp[], 31, FALSE)</f>
        <v>0</v>
      </c>
    </row>
    <row r="299" spans="1:34" x14ac:dyDescent="0.3">
      <c r="A299" t="s">
        <v>3182</v>
      </c>
      <c r="B299" t="s">
        <v>97</v>
      </c>
      <c r="C299" t="s">
        <v>3480</v>
      </c>
      <c r="D299">
        <v>413</v>
      </c>
      <c r="E299">
        <v>596</v>
      </c>
      <c r="F299">
        <v>1E-4</v>
      </c>
      <c r="G299">
        <v>1</v>
      </c>
      <c r="H299" t="s">
        <v>6803</v>
      </c>
      <c r="I299">
        <f>VLOOKUP(Table9[[#This Row],[Shortname]], Comp[], 6, FALSE)</f>
        <v>446</v>
      </c>
      <c r="J299" s="14">
        <f>VLOOKUP(Table9[[#This Row],[Shortname]], Comp[], 7, FALSE)</f>
        <v>81.8</v>
      </c>
      <c r="K299">
        <f>VLOOKUP(Table9[[#This Row],[Shortname]], Comp[], 8, FALSE)</f>
        <v>0</v>
      </c>
      <c r="L299">
        <f>VLOOKUP(Table9[[#This Row],[Shortname]], Comp[], 9, FALSE)</f>
        <v>9.1999999999999993</v>
      </c>
      <c r="M299">
        <f>VLOOKUP(Table9[[#This Row],[Shortname]], Comp[], 10, FALSE)</f>
        <v>0</v>
      </c>
      <c r="N299">
        <f>VLOOKUP(Table9[[#This Row],[Shortname]], Comp[], 11, FALSE)</f>
        <v>9</v>
      </c>
      <c r="O299">
        <f>VLOOKUP(Table9[[#This Row],[Shortname]], Comp[],12, FALSE)</f>
        <v>0</v>
      </c>
      <c r="P299">
        <f>VLOOKUP(Table9[[#This Row],[Shortname]], Comp[], 13, FALSE)</f>
        <v>0</v>
      </c>
      <c r="Q299">
        <f>VLOOKUP(Table9[[#This Row],[Shortname]], Comp[], 14, FALSE)</f>
        <v>0</v>
      </c>
      <c r="R299">
        <f>VLOOKUP(Table9[[#This Row],[Shortname]], Comp[], 15, FALSE)</f>
        <v>0</v>
      </c>
      <c r="S299">
        <f>VLOOKUP(Table9[[#This Row],[Shortname]], Comp[], 16, FALSE)</f>
        <v>0</v>
      </c>
      <c r="T299">
        <f>VLOOKUP(Table9[[#This Row],[Shortname]], Comp[], 17, FALSE)</f>
        <v>0</v>
      </c>
      <c r="U299">
        <f>VLOOKUP(Table9[[#This Row],[Shortname]], Comp[], 18, FALSE)</f>
        <v>0</v>
      </c>
      <c r="V299">
        <f>VLOOKUP(Table9[[#This Row],[Shortname]], Comp[], 19, FALSE)</f>
        <v>0</v>
      </c>
      <c r="W299">
        <f>VLOOKUP(Table9[[#This Row],[Shortname]], Comp[], 20, FALSE)</f>
        <v>0</v>
      </c>
      <c r="X299">
        <f>VLOOKUP(Table9[[#This Row],[Shortname]], Comp[], 21, FALSE)</f>
        <v>0</v>
      </c>
      <c r="Y299">
        <f>VLOOKUP(Table9[[#This Row],[Shortname]], Comp[], 22, FALSE)</f>
        <v>0</v>
      </c>
      <c r="Z299">
        <f>VLOOKUP(Table9[[#This Row],[Shortname]], Comp[], 23, FALSE)</f>
        <v>0</v>
      </c>
      <c r="AA299">
        <f>VLOOKUP(Table9[[#This Row],[Shortname]], Comp[], 24, FALSE)</f>
        <v>0</v>
      </c>
      <c r="AB299">
        <f>VLOOKUP(Table9[[#This Row],[Shortname]], Comp[], 25, FALSE)</f>
        <v>0</v>
      </c>
      <c r="AC299">
        <f>VLOOKUP(Table9[[#This Row],[Shortname]], Comp[], 26, FALSE)</f>
        <v>0</v>
      </c>
      <c r="AD299">
        <f>VLOOKUP(Table9[[#This Row],[Shortname]], Comp[], 27, FALSE)</f>
        <v>0</v>
      </c>
      <c r="AE299">
        <f>VLOOKUP(Table9[[#This Row],[Shortname]], Comp[], 28, FALSE)</f>
        <v>0</v>
      </c>
      <c r="AF299">
        <f>VLOOKUP(Table9[[#This Row],[Shortname]], Comp[], 29, FALSE)</f>
        <v>0</v>
      </c>
      <c r="AG299">
        <f>VLOOKUP(Table9[[#This Row],[Shortname]], Comp[], 30, FALSE)</f>
        <v>0</v>
      </c>
      <c r="AH299">
        <f>VLOOKUP(Table9[[#This Row],[Shortname]], Comp[], 31, FALSE)</f>
        <v>0</v>
      </c>
    </row>
    <row r="300" spans="1:34" x14ac:dyDescent="0.3">
      <c r="A300" t="s">
        <v>3409</v>
      </c>
      <c r="B300" t="s">
        <v>3410</v>
      </c>
      <c r="C300" t="s">
        <v>3401</v>
      </c>
      <c r="D300">
        <v>411</v>
      </c>
      <c r="E300">
        <v>650</v>
      </c>
      <c r="F300">
        <v>2.0000000000000001E-4</v>
      </c>
      <c r="G300">
        <v>1</v>
      </c>
      <c r="H300" t="s">
        <v>6803</v>
      </c>
      <c r="I300">
        <f>VLOOKUP(Table9[[#This Row],[Shortname]], Comp[], 6, FALSE)</f>
        <v>484</v>
      </c>
      <c r="J300" s="14">
        <f>VLOOKUP(Table9[[#This Row],[Shortname]], Comp[], 7, FALSE)</f>
        <v>82.8</v>
      </c>
      <c r="K300">
        <f>VLOOKUP(Table9[[#This Row],[Shortname]], Comp[], 8, FALSE)</f>
        <v>0</v>
      </c>
      <c r="L300">
        <f>VLOOKUP(Table9[[#This Row],[Shortname]], Comp[], 9, FALSE)</f>
        <v>9</v>
      </c>
      <c r="M300">
        <f>VLOOKUP(Table9[[#This Row],[Shortname]], Comp[], 10, FALSE)</f>
        <v>0</v>
      </c>
      <c r="N300">
        <f>VLOOKUP(Table9[[#This Row],[Shortname]], Comp[], 11, FALSE)</f>
        <v>8.1999999999999993</v>
      </c>
      <c r="O300">
        <f>VLOOKUP(Table9[[#This Row],[Shortname]], Comp[],12, FALSE)</f>
        <v>0</v>
      </c>
      <c r="P300">
        <f>VLOOKUP(Table9[[#This Row],[Shortname]], Comp[], 13, FALSE)</f>
        <v>0</v>
      </c>
      <c r="Q300">
        <f>VLOOKUP(Table9[[#This Row],[Shortname]], Comp[], 14, FALSE)</f>
        <v>0</v>
      </c>
      <c r="R300">
        <f>VLOOKUP(Table9[[#This Row],[Shortname]], Comp[], 15, FALSE)</f>
        <v>0</v>
      </c>
      <c r="S300">
        <f>VLOOKUP(Table9[[#This Row],[Shortname]], Comp[], 16, FALSE)</f>
        <v>0</v>
      </c>
      <c r="T300">
        <f>VLOOKUP(Table9[[#This Row],[Shortname]], Comp[], 17, FALSE)</f>
        <v>0</v>
      </c>
      <c r="U300">
        <f>VLOOKUP(Table9[[#This Row],[Shortname]], Comp[], 18, FALSE)</f>
        <v>0</v>
      </c>
      <c r="V300">
        <f>VLOOKUP(Table9[[#This Row],[Shortname]], Comp[], 19, FALSE)</f>
        <v>0</v>
      </c>
      <c r="W300">
        <f>VLOOKUP(Table9[[#This Row],[Shortname]], Comp[], 20, FALSE)</f>
        <v>0</v>
      </c>
      <c r="X300">
        <f>VLOOKUP(Table9[[#This Row],[Shortname]], Comp[], 21, FALSE)</f>
        <v>0</v>
      </c>
      <c r="Y300">
        <f>VLOOKUP(Table9[[#This Row],[Shortname]], Comp[], 22, FALSE)</f>
        <v>0</v>
      </c>
      <c r="Z300">
        <f>VLOOKUP(Table9[[#This Row],[Shortname]], Comp[], 23, FALSE)</f>
        <v>0</v>
      </c>
      <c r="AA300">
        <f>VLOOKUP(Table9[[#This Row],[Shortname]], Comp[], 24, FALSE)</f>
        <v>0</v>
      </c>
      <c r="AB300">
        <f>VLOOKUP(Table9[[#This Row],[Shortname]], Comp[], 25, FALSE)</f>
        <v>0</v>
      </c>
      <c r="AC300">
        <f>VLOOKUP(Table9[[#This Row],[Shortname]], Comp[], 26, FALSE)</f>
        <v>0</v>
      </c>
      <c r="AD300">
        <f>VLOOKUP(Table9[[#This Row],[Shortname]], Comp[], 27, FALSE)</f>
        <v>0</v>
      </c>
      <c r="AE300">
        <f>VLOOKUP(Table9[[#This Row],[Shortname]], Comp[], 28, FALSE)</f>
        <v>0</v>
      </c>
      <c r="AF300">
        <f>VLOOKUP(Table9[[#This Row],[Shortname]], Comp[], 29, FALSE)</f>
        <v>0</v>
      </c>
      <c r="AG300">
        <f>VLOOKUP(Table9[[#This Row],[Shortname]], Comp[], 30, FALSE)</f>
        <v>0</v>
      </c>
      <c r="AH300">
        <f>VLOOKUP(Table9[[#This Row],[Shortname]], Comp[], 31, FALSE)</f>
        <v>0</v>
      </c>
    </row>
    <row r="301" spans="1:34" x14ac:dyDescent="0.3">
      <c r="A301" t="s">
        <v>2570</v>
      </c>
      <c r="B301" t="s">
        <v>2572</v>
      </c>
      <c r="C301" t="s">
        <v>2573</v>
      </c>
      <c r="D301">
        <v>410</v>
      </c>
      <c r="E301">
        <v>1125</v>
      </c>
      <c r="F301">
        <v>10</v>
      </c>
      <c r="G301">
        <v>1</v>
      </c>
      <c r="I301">
        <f>VLOOKUP(Table9[[#This Row],[Shortname]], Comp[], 6, FALSE)</f>
        <v>340</v>
      </c>
      <c r="J301" s="14">
        <f>VLOOKUP(Table9[[#This Row],[Shortname]], Comp[], 7, FALSE)</f>
        <v>46.73</v>
      </c>
      <c r="K301">
        <f>VLOOKUP(Table9[[#This Row],[Shortname]], Comp[], 8, FALSE)</f>
        <v>29.96</v>
      </c>
      <c r="L301">
        <f>VLOOKUP(Table9[[#This Row],[Shortname]], Comp[], 9, FALSE)</f>
        <v>9.5399999999999991</v>
      </c>
      <c r="M301">
        <f>VLOOKUP(Table9[[#This Row],[Shortname]], Comp[], 10, FALSE)</f>
        <v>4.78</v>
      </c>
      <c r="N301">
        <f>VLOOKUP(Table9[[#This Row],[Shortname]], Comp[], 11, FALSE)</f>
        <v>0</v>
      </c>
      <c r="O301">
        <f>VLOOKUP(Table9[[#This Row],[Shortname]], Comp[],12, FALSE)</f>
        <v>2.13</v>
      </c>
      <c r="P301">
        <f>VLOOKUP(Table9[[#This Row],[Shortname]], Comp[], 13, FALSE)</f>
        <v>1.91</v>
      </c>
      <c r="Q301">
        <f>VLOOKUP(Table9[[#This Row],[Shortname]], Comp[], 14, FALSE)</f>
        <v>0</v>
      </c>
      <c r="R301">
        <f>VLOOKUP(Table9[[#This Row],[Shortname]], Comp[], 15, FALSE)</f>
        <v>0</v>
      </c>
      <c r="S301">
        <f>VLOOKUP(Table9[[#This Row],[Shortname]], Comp[], 16, FALSE)</f>
        <v>4.95</v>
      </c>
      <c r="T301">
        <f>VLOOKUP(Table9[[#This Row],[Shortname]], Comp[], 17, FALSE)</f>
        <v>0</v>
      </c>
      <c r="U301">
        <f>VLOOKUP(Table9[[#This Row],[Shortname]], Comp[], 18, FALSE)</f>
        <v>0</v>
      </c>
      <c r="V301">
        <f>VLOOKUP(Table9[[#This Row],[Shortname]], Comp[], 19, FALSE)</f>
        <v>0</v>
      </c>
      <c r="W301">
        <f>VLOOKUP(Table9[[#This Row],[Shortname]], Comp[], 20, FALSE)</f>
        <v>0</v>
      </c>
      <c r="X301">
        <f>VLOOKUP(Table9[[#This Row],[Shortname]], Comp[], 21, FALSE)</f>
        <v>0</v>
      </c>
      <c r="Y301">
        <f>VLOOKUP(Table9[[#This Row],[Shortname]], Comp[], 22, FALSE)</f>
        <v>0</v>
      </c>
      <c r="Z301">
        <f>VLOOKUP(Table9[[#This Row],[Shortname]], Comp[], 23, FALSE)</f>
        <v>0</v>
      </c>
      <c r="AA301">
        <f>VLOOKUP(Table9[[#This Row],[Shortname]], Comp[], 24, FALSE)</f>
        <v>0</v>
      </c>
      <c r="AB301">
        <f>VLOOKUP(Table9[[#This Row],[Shortname]], Comp[], 25, FALSE)</f>
        <v>0</v>
      </c>
      <c r="AC301">
        <f>VLOOKUP(Table9[[#This Row],[Shortname]], Comp[], 26, FALSE)</f>
        <v>0</v>
      </c>
      <c r="AD301">
        <f>VLOOKUP(Table9[[#This Row],[Shortname]], Comp[], 27, FALSE)</f>
        <v>0</v>
      </c>
      <c r="AE301">
        <f>VLOOKUP(Table9[[#This Row],[Shortname]], Comp[], 28, FALSE)</f>
        <v>0</v>
      </c>
      <c r="AF301">
        <f>VLOOKUP(Table9[[#This Row],[Shortname]], Comp[], 29, FALSE)</f>
        <v>0</v>
      </c>
      <c r="AG301">
        <f>VLOOKUP(Table9[[#This Row],[Shortname]], Comp[], 30, FALSE)</f>
        <v>0</v>
      </c>
      <c r="AH301">
        <f>VLOOKUP(Table9[[#This Row],[Shortname]], Comp[], 31, FALSE)</f>
        <v>0</v>
      </c>
    </row>
    <row r="302" spans="1:34" x14ac:dyDescent="0.3">
      <c r="A302" t="s">
        <v>1456</v>
      </c>
      <c r="B302" t="s">
        <v>1458</v>
      </c>
      <c r="C302" t="s">
        <v>1459</v>
      </c>
      <c r="D302">
        <v>409</v>
      </c>
      <c r="E302">
        <v>600</v>
      </c>
      <c r="F302">
        <v>1E-4</v>
      </c>
      <c r="G302">
        <v>1</v>
      </c>
      <c r="H302" t="s">
        <v>6813</v>
      </c>
      <c r="I302">
        <f>VLOOKUP(Table9[[#This Row],[Shortname]], Comp[], 6, FALSE)</f>
        <v>186</v>
      </c>
      <c r="J302" s="14">
        <f>VLOOKUP(Table9[[#This Row],[Shortname]], Comp[], 7, FALSE)</f>
        <v>47.5</v>
      </c>
      <c r="K302">
        <f>VLOOKUP(Table9[[#This Row],[Shortname]], Comp[], 8, FALSE)</f>
        <v>31.2</v>
      </c>
      <c r="L302">
        <f>VLOOKUP(Table9[[#This Row],[Shortname]], Comp[], 9, FALSE)</f>
        <v>9.5</v>
      </c>
      <c r="M302">
        <f>VLOOKUP(Table9[[#This Row],[Shortname]], Comp[], 10, FALSE)</f>
        <v>0</v>
      </c>
      <c r="N302">
        <f>VLOOKUP(Table9[[#This Row],[Shortname]], Comp[], 11, FALSE)</f>
        <v>7.2</v>
      </c>
      <c r="O302">
        <f>VLOOKUP(Table9[[#This Row],[Shortname]], Comp[],12, FALSE)</f>
        <v>2.8</v>
      </c>
      <c r="P302">
        <f>VLOOKUP(Table9[[#This Row],[Shortname]], Comp[], 13, FALSE)</f>
        <v>1.8</v>
      </c>
      <c r="Q302">
        <f>VLOOKUP(Table9[[#This Row],[Shortname]], Comp[], 14, FALSE)</f>
        <v>0</v>
      </c>
      <c r="R302">
        <f>VLOOKUP(Table9[[#This Row],[Shortname]], Comp[], 15, FALSE)</f>
        <v>0</v>
      </c>
      <c r="S302">
        <f>VLOOKUP(Table9[[#This Row],[Shortname]], Comp[], 16, FALSE)</f>
        <v>0</v>
      </c>
      <c r="T302">
        <f>VLOOKUP(Table9[[#This Row],[Shortname]], Comp[], 17, FALSE)</f>
        <v>0</v>
      </c>
      <c r="U302">
        <f>VLOOKUP(Table9[[#This Row],[Shortname]], Comp[], 18, FALSE)</f>
        <v>0</v>
      </c>
      <c r="V302">
        <f>VLOOKUP(Table9[[#This Row],[Shortname]], Comp[], 19, FALSE)</f>
        <v>0</v>
      </c>
      <c r="W302">
        <f>VLOOKUP(Table9[[#This Row],[Shortname]], Comp[], 20, FALSE)</f>
        <v>0</v>
      </c>
      <c r="X302">
        <f>VLOOKUP(Table9[[#This Row],[Shortname]], Comp[], 21, FALSE)</f>
        <v>0</v>
      </c>
      <c r="Y302">
        <f>VLOOKUP(Table9[[#This Row],[Shortname]], Comp[], 22, FALSE)</f>
        <v>0</v>
      </c>
      <c r="Z302">
        <f>VLOOKUP(Table9[[#This Row],[Shortname]], Comp[], 23, FALSE)</f>
        <v>0</v>
      </c>
      <c r="AA302">
        <f>VLOOKUP(Table9[[#This Row],[Shortname]], Comp[], 24, FALSE)</f>
        <v>0</v>
      </c>
      <c r="AB302">
        <f>VLOOKUP(Table9[[#This Row],[Shortname]], Comp[], 25, FALSE)</f>
        <v>0</v>
      </c>
      <c r="AC302">
        <f>VLOOKUP(Table9[[#This Row],[Shortname]], Comp[], 26, FALSE)</f>
        <v>0</v>
      </c>
      <c r="AD302">
        <f>VLOOKUP(Table9[[#This Row],[Shortname]], Comp[], 27, FALSE)</f>
        <v>0</v>
      </c>
      <c r="AE302">
        <f>VLOOKUP(Table9[[#This Row],[Shortname]], Comp[], 28, FALSE)</f>
        <v>0</v>
      </c>
      <c r="AF302">
        <f>VLOOKUP(Table9[[#This Row],[Shortname]], Comp[], 29, FALSE)</f>
        <v>0</v>
      </c>
      <c r="AG302">
        <f>VLOOKUP(Table9[[#This Row],[Shortname]], Comp[], 30, FALSE)</f>
        <v>0</v>
      </c>
      <c r="AH302">
        <f>VLOOKUP(Table9[[#This Row],[Shortname]], Comp[], 31, FALSE)</f>
        <v>0</v>
      </c>
    </row>
    <row r="303" spans="1:34" x14ac:dyDescent="0.3">
      <c r="A303" t="s">
        <v>2518</v>
      </c>
      <c r="B303" t="s">
        <v>2520</v>
      </c>
      <c r="C303" t="s">
        <v>2513</v>
      </c>
      <c r="D303">
        <v>407</v>
      </c>
      <c r="E303">
        <v>25</v>
      </c>
      <c r="F303">
        <v>1E-4</v>
      </c>
      <c r="G303">
        <v>1</v>
      </c>
      <c r="H303" t="s">
        <v>6803</v>
      </c>
      <c r="I303">
        <f>VLOOKUP(Table9[[#This Row],[Shortname]], Comp[], 6, FALSE)</f>
        <v>333</v>
      </c>
      <c r="J303" s="14">
        <f>VLOOKUP(Table9[[#This Row],[Shortname]], Comp[], 7, FALSE)</f>
        <v>78</v>
      </c>
      <c r="K303">
        <f>VLOOKUP(Table9[[#This Row],[Shortname]], Comp[], 8, FALSE)</f>
        <v>0</v>
      </c>
      <c r="L303">
        <f>VLOOKUP(Table9[[#This Row],[Shortname]], Comp[], 9, FALSE)</f>
        <v>10</v>
      </c>
      <c r="M303">
        <f>VLOOKUP(Table9[[#This Row],[Shortname]], Comp[], 10, FALSE)</f>
        <v>0</v>
      </c>
      <c r="N303">
        <f>VLOOKUP(Table9[[#This Row],[Shortname]], Comp[], 11, FALSE)</f>
        <v>12</v>
      </c>
      <c r="O303">
        <f>VLOOKUP(Table9[[#This Row],[Shortname]], Comp[],12, FALSE)</f>
        <v>0</v>
      </c>
      <c r="P303">
        <f>VLOOKUP(Table9[[#This Row],[Shortname]], Comp[], 13, FALSE)</f>
        <v>0</v>
      </c>
      <c r="Q303">
        <f>VLOOKUP(Table9[[#This Row],[Shortname]], Comp[], 14, FALSE)</f>
        <v>0</v>
      </c>
      <c r="R303">
        <f>VLOOKUP(Table9[[#This Row],[Shortname]], Comp[], 15, FALSE)</f>
        <v>0</v>
      </c>
      <c r="S303">
        <f>VLOOKUP(Table9[[#This Row],[Shortname]], Comp[], 16, FALSE)</f>
        <v>0</v>
      </c>
      <c r="T303">
        <f>VLOOKUP(Table9[[#This Row],[Shortname]], Comp[], 17, FALSE)</f>
        <v>0</v>
      </c>
      <c r="U303">
        <f>VLOOKUP(Table9[[#This Row],[Shortname]], Comp[], 18, FALSE)</f>
        <v>0</v>
      </c>
      <c r="V303">
        <f>VLOOKUP(Table9[[#This Row],[Shortname]], Comp[], 19, FALSE)</f>
        <v>0</v>
      </c>
      <c r="W303">
        <f>VLOOKUP(Table9[[#This Row],[Shortname]], Comp[], 20, FALSE)</f>
        <v>0</v>
      </c>
      <c r="X303">
        <f>VLOOKUP(Table9[[#This Row],[Shortname]], Comp[], 21, FALSE)</f>
        <v>0</v>
      </c>
      <c r="Y303">
        <f>VLOOKUP(Table9[[#This Row],[Shortname]], Comp[], 22, FALSE)</f>
        <v>0</v>
      </c>
      <c r="Z303">
        <f>VLOOKUP(Table9[[#This Row],[Shortname]], Comp[], 23, FALSE)</f>
        <v>0</v>
      </c>
      <c r="AA303">
        <f>VLOOKUP(Table9[[#This Row],[Shortname]], Comp[], 24, FALSE)</f>
        <v>0</v>
      </c>
      <c r="AB303">
        <f>VLOOKUP(Table9[[#This Row],[Shortname]], Comp[], 25, FALSE)</f>
        <v>0</v>
      </c>
      <c r="AC303">
        <f>VLOOKUP(Table9[[#This Row],[Shortname]], Comp[], 26, FALSE)</f>
        <v>0</v>
      </c>
      <c r="AD303">
        <f>VLOOKUP(Table9[[#This Row],[Shortname]], Comp[], 27, FALSE)</f>
        <v>0</v>
      </c>
      <c r="AE303">
        <f>VLOOKUP(Table9[[#This Row],[Shortname]], Comp[], 28, FALSE)</f>
        <v>0</v>
      </c>
      <c r="AF303">
        <f>VLOOKUP(Table9[[#This Row],[Shortname]], Comp[], 29, FALSE)</f>
        <v>0</v>
      </c>
      <c r="AG303">
        <f>VLOOKUP(Table9[[#This Row],[Shortname]], Comp[], 30, FALSE)</f>
        <v>0</v>
      </c>
      <c r="AH303">
        <f>VLOOKUP(Table9[[#This Row],[Shortname]], Comp[], 31, FALSE)</f>
        <v>0</v>
      </c>
    </row>
    <row r="304" spans="1:34" x14ac:dyDescent="0.3">
      <c r="A304" t="s">
        <v>2989</v>
      </c>
      <c r="B304" t="s">
        <v>2991</v>
      </c>
      <c r="C304" t="s">
        <v>2992</v>
      </c>
      <c r="D304">
        <v>405</v>
      </c>
      <c r="E304">
        <v>900</v>
      </c>
      <c r="F304">
        <v>1E-4</v>
      </c>
      <c r="G304">
        <v>1</v>
      </c>
      <c r="H304" t="s">
        <v>6803</v>
      </c>
      <c r="I304">
        <f>VLOOKUP(Table9[[#This Row],[Shortname]], Comp[], 6, FALSE)</f>
        <v>411</v>
      </c>
      <c r="J304" s="14">
        <f>VLOOKUP(Table9[[#This Row],[Shortname]], Comp[], 7, FALSE)</f>
        <v>84</v>
      </c>
      <c r="K304">
        <f>VLOOKUP(Table9[[#This Row],[Shortname]], Comp[], 8, FALSE)</f>
        <v>0</v>
      </c>
      <c r="L304">
        <f>VLOOKUP(Table9[[#This Row],[Shortname]], Comp[], 9, FALSE)</f>
        <v>0</v>
      </c>
      <c r="M304">
        <f>VLOOKUP(Table9[[#This Row],[Shortname]], Comp[], 10, FALSE)</f>
        <v>0</v>
      </c>
      <c r="N304">
        <f>VLOOKUP(Table9[[#This Row],[Shortname]], Comp[], 11, FALSE)</f>
        <v>0</v>
      </c>
      <c r="O304">
        <f>VLOOKUP(Table9[[#This Row],[Shortname]], Comp[],12, FALSE)</f>
        <v>2</v>
      </c>
      <c r="P304">
        <f>VLOOKUP(Table9[[#This Row],[Shortname]], Comp[], 13, FALSE)</f>
        <v>2</v>
      </c>
      <c r="Q304">
        <f>VLOOKUP(Table9[[#This Row],[Shortname]], Comp[], 14, FALSE)</f>
        <v>0</v>
      </c>
      <c r="R304">
        <f>VLOOKUP(Table9[[#This Row],[Shortname]], Comp[], 15, FALSE)</f>
        <v>12</v>
      </c>
      <c r="S304">
        <f>VLOOKUP(Table9[[#This Row],[Shortname]], Comp[], 16, FALSE)</f>
        <v>0</v>
      </c>
      <c r="T304">
        <f>VLOOKUP(Table9[[#This Row],[Shortname]], Comp[], 17, FALSE)</f>
        <v>0</v>
      </c>
      <c r="U304">
        <f>VLOOKUP(Table9[[#This Row],[Shortname]], Comp[], 18, FALSE)</f>
        <v>0</v>
      </c>
      <c r="V304">
        <f>VLOOKUP(Table9[[#This Row],[Shortname]], Comp[], 19, FALSE)</f>
        <v>0</v>
      </c>
      <c r="W304">
        <f>VLOOKUP(Table9[[#This Row],[Shortname]], Comp[], 20, FALSE)</f>
        <v>0</v>
      </c>
      <c r="X304">
        <f>VLOOKUP(Table9[[#This Row],[Shortname]], Comp[], 21, FALSE)</f>
        <v>0</v>
      </c>
      <c r="Y304">
        <f>VLOOKUP(Table9[[#This Row],[Shortname]], Comp[], 22, FALSE)</f>
        <v>0</v>
      </c>
      <c r="Z304">
        <f>VLOOKUP(Table9[[#This Row],[Shortname]], Comp[], 23, FALSE)</f>
        <v>0</v>
      </c>
      <c r="AA304">
        <f>VLOOKUP(Table9[[#This Row],[Shortname]], Comp[], 24, FALSE)</f>
        <v>0</v>
      </c>
      <c r="AB304">
        <f>VLOOKUP(Table9[[#This Row],[Shortname]], Comp[], 25, FALSE)</f>
        <v>0</v>
      </c>
      <c r="AC304">
        <f>VLOOKUP(Table9[[#This Row],[Shortname]], Comp[], 26, FALSE)</f>
        <v>0</v>
      </c>
      <c r="AD304">
        <f>VLOOKUP(Table9[[#This Row],[Shortname]], Comp[], 27, FALSE)</f>
        <v>0</v>
      </c>
      <c r="AE304">
        <f>VLOOKUP(Table9[[#This Row],[Shortname]], Comp[], 28, FALSE)</f>
        <v>0</v>
      </c>
      <c r="AF304">
        <f>VLOOKUP(Table9[[#This Row],[Shortname]], Comp[], 29, FALSE)</f>
        <v>0</v>
      </c>
      <c r="AG304">
        <f>VLOOKUP(Table9[[#This Row],[Shortname]], Comp[], 30, FALSE)</f>
        <v>0</v>
      </c>
      <c r="AH304">
        <f>VLOOKUP(Table9[[#This Row],[Shortname]], Comp[], 31, FALSE)</f>
        <v>0</v>
      </c>
    </row>
    <row r="305" spans="1:34" x14ac:dyDescent="0.3">
      <c r="A305" t="s">
        <v>3429</v>
      </c>
      <c r="B305" t="s">
        <v>3429</v>
      </c>
      <c r="C305" t="s">
        <v>3401</v>
      </c>
      <c r="D305">
        <v>405</v>
      </c>
      <c r="E305">
        <v>870</v>
      </c>
      <c r="F305">
        <v>2.0000000000000001E-4</v>
      </c>
      <c r="G305">
        <v>1</v>
      </c>
      <c r="H305" t="s">
        <v>6803</v>
      </c>
      <c r="I305">
        <f>VLOOKUP(Table9[[#This Row],[Shortname]], Comp[], 6, FALSE)</f>
        <v>488</v>
      </c>
      <c r="J305" s="14">
        <f>VLOOKUP(Table9[[#This Row],[Shortname]], Comp[], 7, FALSE)</f>
        <v>81.3</v>
      </c>
      <c r="K305">
        <f>VLOOKUP(Table9[[#This Row],[Shortname]], Comp[], 8, FALSE)</f>
        <v>0</v>
      </c>
      <c r="L305">
        <f>VLOOKUP(Table9[[#This Row],[Shortname]], Comp[], 9, FALSE)</f>
        <v>9.1999999999999993</v>
      </c>
      <c r="M305">
        <f>VLOOKUP(Table9[[#This Row],[Shortname]], Comp[], 10, FALSE)</f>
        <v>0</v>
      </c>
      <c r="N305">
        <f>VLOOKUP(Table9[[#This Row],[Shortname]], Comp[], 11, FALSE)</f>
        <v>9.5</v>
      </c>
      <c r="O305">
        <f>VLOOKUP(Table9[[#This Row],[Shortname]], Comp[],12, FALSE)</f>
        <v>0</v>
      </c>
      <c r="P305">
        <f>VLOOKUP(Table9[[#This Row],[Shortname]], Comp[], 13, FALSE)</f>
        <v>0</v>
      </c>
      <c r="Q305">
        <f>VLOOKUP(Table9[[#This Row],[Shortname]], Comp[], 14, FALSE)</f>
        <v>0</v>
      </c>
      <c r="R305">
        <f>VLOOKUP(Table9[[#This Row],[Shortname]], Comp[], 15, FALSE)</f>
        <v>0</v>
      </c>
      <c r="S305">
        <f>VLOOKUP(Table9[[#This Row],[Shortname]], Comp[], 16, FALSE)</f>
        <v>0</v>
      </c>
      <c r="T305">
        <f>VLOOKUP(Table9[[#This Row],[Shortname]], Comp[], 17, FALSE)</f>
        <v>0</v>
      </c>
      <c r="U305">
        <f>VLOOKUP(Table9[[#This Row],[Shortname]], Comp[], 18, FALSE)</f>
        <v>0</v>
      </c>
      <c r="V305">
        <f>VLOOKUP(Table9[[#This Row],[Shortname]], Comp[], 19, FALSE)</f>
        <v>0</v>
      </c>
      <c r="W305">
        <f>VLOOKUP(Table9[[#This Row],[Shortname]], Comp[], 20, FALSE)</f>
        <v>0</v>
      </c>
      <c r="X305">
        <f>VLOOKUP(Table9[[#This Row],[Shortname]], Comp[], 21, FALSE)</f>
        <v>0</v>
      </c>
      <c r="Y305">
        <f>VLOOKUP(Table9[[#This Row],[Shortname]], Comp[], 22, FALSE)</f>
        <v>0</v>
      </c>
      <c r="Z305">
        <f>VLOOKUP(Table9[[#This Row],[Shortname]], Comp[], 23, FALSE)</f>
        <v>0</v>
      </c>
      <c r="AA305">
        <f>VLOOKUP(Table9[[#This Row],[Shortname]], Comp[], 24, FALSE)</f>
        <v>0</v>
      </c>
      <c r="AB305">
        <f>VLOOKUP(Table9[[#This Row],[Shortname]], Comp[], 25, FALSE)</f>
        <v>0</v>
      </c>
      <c r="AC305">
        <f>VLOOKUP(Table9[[#This Row],[Shortname]], Comp[], 26, FALSE)</f>
        <v>0</v>
      </c>
      <c r="AD305">
        <f>VLOOKUP(Table9[[#This Row],[Shortname]], Comp[], 27, FALSE)</f>
        <v>0</v>
      </c>
      <c r="AE305">
        <f>VLOOKUP(Table9[[#This Row],[Shortname]], Comp[], 28, FALSE)</f>
        <v>0</v>
      </c>
      <c r="AF305">
        <f>VLOOKUP(Table9[[#This Row],[Shortname]], Comp[], 29, FALSE)</f>
        <v>0</v>
      </c>
      <c r="AG305">
        <f>VLOOKUP(Table9[[#This Row],[Shortname]], Comp[], 30, FALSE)</f>
        <v>0</v>
      </c>
      <c r="AH305">
        <f>VLOOKUP(Table9[[#This Row],[Shortname]], Comp[], 31, FALSE)</f>
        <v>0</v>
      </c>
    </row>
    <row r="306" spans="1:34" x14ac:dyDescent="0.3">
      <c r="A306" t="s">
        <v>67</v>
      </c>
      <c r="B306" t="s">
        <v>69</v>
      </c>
      <c r="C306" t="s">
        <v>6821</v>
      </c>
      <c r="D306">
        <v>400</v>
      </c>
      <c r="E306">
        <v>900</v>
      </c>
      <c r="F306">
        <v>1E-3</v>
      </c>
      <c r="G306">
        <v>1</v>
      </c>
      <c r="H306" t="s">
        <v>6807</v>
      </c>
      <c r="I306">
        <f>VLOOKUP(Table9[[#This Row],[Shortname]], Comp[], 6, FALSE)</f>
        <v>7</v>
      </c>
      <c r="J306" s="14">
        <f>VLOOKUP(Table9[[#This Row],[Shortname]], Comp[], 7, FALSE)</f>
        <v>40.259999999999991</v>
      </c>
      <c r="K306">
        <f>VLOOKUP(Table9[[#This Row],[Shortname]], Comp[], 8, FALSE)</f>
        <v>31.07</v>
      </c>
      <c r="L306">
        <f>VLOOKUP(Table9[[#This Row],[Shortname]], Comp[], 9, FALSE)</f>
        <v>10.6</v>
      </c>
      <c r="M306">
        <f>VLOOKUP(Table9[[#This Row],[Shortname]], Comp[], 10, FALSE)</f>
        <v>10.67</v>
      </c>
      <c r="N306">
        <f>VLOOKUP(Table9[[#This Row],[Shortname]], Comp[], 11, FALSE)</f>
        <v>0</v>
      </c>
      <c r="O306">
        <f>VLOOKUP(Table9[[#This Row],[Shortname]], Comp[],12, FALSE)</f>
        <v>0</v>
      </c>
      <c r="P306">
        <f>VLOOKUP(Table9[[#This Row],[Shortname]], Comp[], 13, FALSE)</f>
        <v>1.88</v>
      </c>
      <c r="Q306">
        <f>VLOOKUP(Table9[[#This Row],[Shortname]], Comp[], 14, FALSE)</f>
        <v>0.99</v>
      </c>
      <c r="R306">
        <f>VLOOKUP(Table9[[#This Row],[Shortname]], Comp[], 15, FALSE)</f>
        <v>0</v>
      </c>
      <c r="S306">
        <f>VLOOKUP(Table9[[#This Row],[Shortname]], Comp[], 16, FALSE)</f>
        <v>3.99</v>
      </c>
      <c r="T306">
        <f>VLOOKUP(Table9[[#This Row],[Shortname]], Comp[], 17, FALSE)</f>
        <v>0.31</v>
      </c>
      <c r="U306">
        <f>VLOOKUP(Table9[[#This Row],[Shortname]], Comp[], 18, FALSE)</f>
        <v>0.04</v>
      </c>
      <c r="V306">
        <f>VLOOKUP(Table9[[#This Row],[Shortname]], Comp[], 19, FALSE)</f>
        <v>0.19</v>
      </c>
      <c r="W306">
        <f>VLOOKUP(Table9[[#This Row],[Shortname]], Comp[], 20, FALSE)</f>
        <v>0</v>
      </c>
      <c r="X306">
        <f>VLOOKUP(Table9[[#This Row],[Shortname]], Comp[], 21, FALSE)</f>
        <v>0</v>
      </c>
      <c r="Y306">
        <f>VLOOKUP(Table9[[#This Row],[Shortname]], Comp[], 22, FALSE)</f>
        <v>0</v>
      </c>
      <c r="Z306">
        <f>VLOOKUP(Table9[[#This Row],[Shortname]], Comp[], 23, FALSE)</f>
        <v>0</v>
      </c>
      <c r="AA306">
        <f>VLOOKUP(Table9[[#This Row],[Shortname]], Comp[], 24, FALSE)</f>
        <v>0</v>
      </c>
      <c r="AB306">
        <f>VLOOKUP(Table9[[#This Row],[Shortname]], Comp[], 25, FALSE)</f>
        <v>0</v>
      </c>
      <c r="AC306">
        <f>VLOOKUP(Table9[[#This Row],[Shortname]], Comp[], 26, FALSE)</f>
        <v>0</v>
      </c>
      <c r="AD306">
        <f>VLOOKUP(Table9[[#This Row],[Shortname]], Comp[], 27, FALSE)</f>
        <v>0</v>
      </c>
      <c r="AE306">
        <f>VLOOKUP(Table9[[#This Row],[Shortname]], Comp[], 28, FALSE)</f>
        <v>0</v>
      </c>
      <c r="AF306">
        <f>VLOOKUP(Table9[[#This Row],[Shortname]], Comp[], 29, FALSE)</f>
        <v>0</v>
      </c>
      <c r="AG306">
        <f>VLOOKUP(Table9[[#This Row],[Shortname]], Comp[], 30, FALSE)</f>
        <v>0</v>
      </c>
      <c r="AH306">
        <f>VLOOKUP(Table9[[#This Row],[Shortname]], Comp[], 31, FALSE)</f>
        <v>0</v>
      </c>
    </row>
    <row r="307" spans="1:34" x14ac:dyDescent="0.3">
      <c r="A307" t="s">
        <v>1465</v>
      </c>
      <c r="B307" t="s">
        <v>1467</v>
      </c>
      <c r="C307" t="s">
        <v>1459</v>
      </c>
      <c r="D307">
        <v>400</v>
      </c>
      <c r="E307">
        <v>300</v>
      </c>
      <c r="F307">
        <v>1E-4</v>
      </c>
      <c r="G307">
        <v>1</v>
      </c>
      <c r="H307" t="s">
        <v>6813</v>
      </c>
      <c r="I307">
        <f>VLOOKUP(Table9[[#This Row],[Shortname]], Comp[], 6, FALSE)</f>
        <v>187</v>
      </c>
      <c r="J307" s="14">
        <f>VLOOKUP(Table9[[#This Row],[Shortname]], Comp[], 7, FALSE)</f>
        <v>52.8</v>
      </c>
      <c r="K307">
        <f>VLOOKUP(Table9[[#This Row],[Shortname]], Comp[], 8, FALSE)</f>
        <v>30.5</v>
      </c>
      <c r="L307">
        <f>VLOOKUP(Table9[[#This Row],[Shortname]], Comp[], 9, FALSE)</f>
        <v>9.6</v>
      </c>
      <c r="M307">
        <f>VLOOKUP(Table9[[#This Row],[Shortname]], Comp[], 10, FALSE)</f>
        <v>0</v>
      </c>
      <c r="N307">
        <f>VLOOKUP(Table9[[#This Row],[Shortname]], Comp[], 11, FALSE)</f>
        <v>7.1</v>
      </c>
      <c r="O307">
        <f>VLOOKUP(Table9[[#This Row],[Shortname]], Comp[],12, FALSE)</f>
        <v>0</v>
      </c>
      <c r="P307">
        <f>VLOOKUP(Table9[[#This Row],[Shortname]], Comp[], 13, FALSE)</f>
        <v>0</v>
      </c>
      <c r="Q307">
        <f>VLOOKUP(Table9[[#This Row],[Shortname]], Comp[], 14, FALSE)</f>
        <v>0</v>
      </c>
      <c r="R307">
        <f>VLOOKUP(Table9[[#This Row],[Shortname]], Comp[], 15, FALSE)</f>
        <v>0</v>
      </c>
      <c r="S307">
        <f>VLOOKUP(Table9[[#This Row],[Shortname]], Comp[], 16, FALSE)</f>
        <v>0</v>
      </c>
      <c r="T307">
        <f>VLOOKUP(Table9[[#This Row],[Shortname]], Comp[], 17, FALSE)</f>
        <v>0</v>
      </c>
      <c r="U307">
        <f>VLOOKUP(Table9[[#This Row],[Shortname]], Comp[], 18, FALSE)</f>
        <v>0</v>
      </c>
      <c r="V307">
        <f>VLOOKUP(Table9[[#This Row],[Shortname]], Comp[], 19, FALSE)</f>
        <v>0</v>
      </c>
      <c r="W307">
        <f>VLOOKUP(Table9[[#This Row],[Shortname]], Comp[], 20, FALSE)</f>
        <v>0</v>
      </c>
      <c r="X307">
        <f>VLOOKUP(Table9[[#This Row],[Shortname]], Comp[], 21, FALSE)</f>
        <v>0</v>
      </c>
      <c r="Y307">
        <f>VLOOKUP(Table9[[#This Row],[Shortname]], Comp[], 22, FALSE)</f>
        <v>0</v>
      </c>
      <c r="Z307">
        <f>VLOOKUP(Table9[[#This Row],[Shortname]], Comp[], 23, FALSE)</f>
        <v>0</v>
      </c>
      <c r="AA307">
        <f>VLOOKUP(Table9[[#This Row],[Shortname]], Comp[], 24, FALSE)</f>
        <v>0</v>
      </c>
      <c r="AB307">
        <f>VLOOKUP(Table9[[#This Row],[Shortname]], Comp[], 25, FALSE)</f>
        <v>0</v>
      </c>
      <c r="AC307">
        <f>VLOOKUP(Table9[[#This Row],[Shortname]], Comp[], 26, FALSE)</f>
        <v>0</v>
      </c>
      <c r="AD307">
        <f>VLOOKUP(Table9[[#This Row],[Shortname]], Comp[], 27, FALSE)</f>
        <v>0</v>
      </c>
      <c r="AE307">
        <f>VLOOKUP(Table9[[#This Row],[Shortname]], Comp[], 28, FALSE)</f>
        <v>0</v>
      </c>
      <c r="AF307">
        <f>VLOOKUP(Table9[[#This Row],[Shortname]], Comp[], 29, FALSE)</f>
        <v>0</v>
      </c>
      <c r="AG307">
        <f>VLOOKUP(Table9[[#This Row],[Shortname]], Comp[], 30, FALSE)</f>
        <v>0</v>
      </c>
      <c r="AH307">
        <f>VLOOKUP(Table9[[#This Row],[Shortname]], Comp[], 31, FALSE)</f>
        <v>0</v>
      </c>
    </row>
    <row r="308" spans="1:34" x14ac:dyDescent="0.3">
      <c r="A308" t="s">
        <v>5053</v>
      </c>
      <c r="B308" t="s">
        <v>3927</v>
      </c>
      <c r="C308" t="s">
        <v>5054</v>
      </c>
      <c r="D308">
        <v>399.03</v>
      </c>
      <c r="E308">
        <v>870</v>
      </c>
      <c r="F308">
        <v>1E-3</v>
      </c>
      <c r="G308">
        <v>1</v>
      </c>
      <c r="I308">
        <f>VLOOKUP(Table9[[#This Row],[Shortname]], Comp[], 6, FALSE)</f>
        <v>779</v>
      </c>
      <c r="J308" s="14">
        <f>VLOOKUP(Table9[[#This Row],[Shortname]], Comp[], 7, FALSE)</f>
        <v>53</v>
      </c>
      <c r="K308">
        <f>VLOOKUP(Table9[[#This Row],[Shortname]], Comp[], 8, FALSE)</f>
        <v>30</v>
      </c>
      <c r="L308">
        <f>VLOOKUP(Table9[[#This Row],[Shortname]], Comp[], 9, FALSE)</f>
        <v>10</v>
      </c>
      <c r="M308">
        <f>VLOOKUP(Table9[[#This Row],[Shortname]], Comp[], 10, FALSE)</f>
        <v>0</v>
      </c>
      <c r="N308">
        <f>VLOOKUP(Table9[[#This Row],[Shortname]], Comp[], 11, FALSE)</f>
        <v>0</v>
      </c>
      <c r="O308">
        <f>VLOOKUP(Table9[[#This Row],[Shortname]], Comp[],12, FALSE)</f>
        <v>0</v>
      </c>
      <c r="P308">
        <f>VLOOKUP(Table9[[#This Row],[Shortname]], Comp[], 13, FALSE)</f>
        <v>0</v>
      </c>
      <c r="Q308">
        <f>VLOOKUP(Table9[[#This Row],[Shortname]], Comp[], 14, FALSE)</f>
        <v>2</v>
      </c>
      <c r="R308">
        <f>VLOOKUP(Table9[[#This Row],[Shortname]], Comp[], 15, FALSE)</f>
        <v>0</v>
      </c>
      <c r="S308">
        <f>VLOOKUP(Table9[[#This Row],[Shortname]], Comp[], 16, FALSE)</f>
        <v>5</v>
      </c>
      <c r="T308">
        <f>VLOOKUP(Table9[[#This Row],[Shortname]], Comp[], 17, FALSE)</f>
        <v>0</v>
      </c>
      <c r="U308">
        <f>VLOOKUP(Table9[[#This Row],[Shortname]], Comp[], 18, FALSE)</f>
        <v>0</v>
      </c>
      <c r="V308">
        <f>VLOOKUP(Table9[[#This Row],[Shortname]], Comp[], 19, FALSE)</f>
        <v>0</v>
      </c>
      <c r="W308">
        <f>VLOOKUP(Table9[[#This Row],[Shortname]], Comp[], 20, FALSE)</f>
        <v>0</v>
      </c>
      <c r="X308">
        <f>VLOOKUP(Table9[[#This Row],[Shortname]], Comp[], 21, FALSE)</f>
        <v>0</v>
      </c>
      <c r="Y308">
        <f>VLOOKUP(Table9[[#This Row],[Shortname]], Comp[], 22, FALSE)</f>
        <v>0</v>
      </c>
      <c r="Z308">
        <f>VLOOKUP(Table9[[#This Row],[Shortname]], Comp[], 23, FALSE)</f>
        <v>0</v>
      </c>
      <c r="AA308">
        <f>VLOOKUP(Table9[[#This Row],[Shortname]], Comp[], 24, FALSE)</f>
        <v>0</v>
      </c>
      <c r="AB308">
        <f>VLOOKUP(Table9[[#This Row],[Shortname]], Comp[], 25, FALSE)</f>
        <v>0</v>
      </c>
      <c r="AC308">
        <f>VLOOKUP(Table9[[#This Row],[Shortname]], Comp[], 26, FALSE)</f>
        <v>0</v>
      </c>
      <c r="AD308">
        <f>VLOOKUP(Table9[[#This Row],[Shortname]], Comp[], 27, FALSE)</f>
        <v>0</v>
      </c>
      <c r="AE308">
        <f>VLOOKUP(Table9[[#This Row],[Shortname]], Comp[], 28, FALSE)</f>
        <v>0</v>
      </c>
      <c r="AF308">
        <f>VLOOKUP(Table9[[#This Row],[Shortname]], Comp[], 29, FALSE)</f>
        <v>0</v>
      </c>
      <c r="AG308">
        <f>VLOOKUP(Table9[[#This Row],[Shortname]], Comp[], 30, FALSE)</f>
        <v>0</v>
      </c>
      <c r="AH308">
        <f>VLOOKUP(Table9[[#This Row],[Shortname]], Comp[], 31, FALSE)</f>
        <v>0</v>
      </c>
    </row>
    <row r="309" spans="1:34" x14ac:dyDescent="0.3">
      <c r="A309" t="s">
        <v>4</v>
      </c>
      <c r="B309" t="s">
        <v>7</v>
      </c>
      <c r="C309" t="s">
        <v>6822</v>
      </c>
      <c r="D309">
        <v>390</v>
      </c>
      <c r="E309">
        <v>1075</v>
      </c>
      <c r="F309">
        <v>10</v>
      </c>
      <c r="G309">
        <v>1</v>
      </c>
      <c r="H309" t="s">
        <v>6807</v>
      </c>
      <c r="I309">
        <f>VLOOKUP(Table9[[#This Row],[Shortname]], Comp[], 6, FALSE)</f>
        <v>1</v>
      </c>
      <c r="J309" s="14">
        <f>VLOOKUP(Table9[[#This Row],[Shortname]], Comp[], 7, FALSE)</f>
        <v>41.800000000000004</v>
      </c>
      <c r="K309">
        <f>VLOOKUP(Table9[[#This Row],[Shortname]], Comp[], 8, FALSE)</f>
        <v>29.5</v>
      </c>
      <c r="L309">
        <f>VLOOKUP(Table9[[#This Row],[Shortname]], Comp[], 9, FALSE)</f>
        <v>9.6</v>
      </c>
      <c r="M309">
        <f>VLOOKUP(Table9[[#This Row],[Shortname]], Comp[], 10, FALSE)</f>
        <v>12.7</v>
      </c>
      <c r="N309">
        <f>VLOOKUP(Table9[[#This Row],[Shortname]], Comp[], 11, FALSE)</f>
        <v>0</v>
      </c>
      <c r="O309">
        <f>VLOOKUP(Table9[[#This Row],[Shortname]], Comp[],12, FALSE)</f>
        <v>4.5</v>
      </c>
      <c r="P309">
        <f>VLOOKUP(Table9[[#This Row],[Shortname]], Comp[], 13, FALSE)</f>
        <v>0</v>
      </c>
      <c r="Q309">
        <f>VLOOKUP(Table9[[#This Row],[Shortname]], Comp[], 14, FALSE)</f>
        <v>1.9</v>
      </c>
      <c r="R309">
        <f>VLOOKUP(Table9[[#This Row],[Shortname]], Comp[], 15, FALSE)</f>
        <v>0</v>
      </c>
      <c r="S309">
        <f>VLOOKUP(Table9[[#This Row],[Shortname]], Comp[], 16, FALSE)</f>
        <v>0</v>
      </c>
      <c r="T309">
        <f>VLOOKUP(Table9[[#This Row],[Shortname]], Comp[], 17, FALSE)</f>
        <v>0</v>
      </c>
      <c r="U309">
        <f>VLOOKUP(Table9[[#This Row],[Shortname]], Comp[], 18, FALSE)</f>
        <v>0</v>
      </c>
      <c r="V309">
        <f>VLOOKUP(Table9[[#This Row],[Shortname]], Comp[], 19, FALSE)</f>
        <v>0</v>
      </c>
      <c r="W309">
        <f>VLOOKUP(Table9[[#This Row],[Shortname]], Comp[], 20, FALSE)</f>
        <v>0</v>
      </c>
      <c r="X309">
        <f>VLOOKUP(Table9[[#This Row],[Shortname]], Comp[], 21, FALSE)</f>
        <v>0</v>
      </c>
      <c r="Y309">
        <f>VLOOKUP(Table9[[#This Row],[Shortname]], Comp[], 22, FALSE)</f>
        <v>0</v>
      </c>
      <c r="Z309">
        <f>VLOOKUP(Table9[[#This Row],[Shortname]], Comp[], 23, FALSE)</f>
        <v>0</v>
      </c>
      <c r="AA309">
        <f>VLOOKUP(Table9[[#This Row],[Shortname]], Comp[], 24, FALSE)</f>
        <v>0</v>
      </c>
      <c r="AB309">
        <f>VLOOKUP(Table9[[#This Row],[Shortname]], Comp[], 25, FALSE)</f>
        <v>0</v>
      </c>
      <c r="AC309">
        <f>VLOOKUP(Table9[[#This Row],[Shortname]], Comp[], 26, FALSE)</f>
        <v>0</v>
      </c>
      <c r="AD309">
        <f>VLOOKUP(Table9[[#This Row],[Shortname]], Comp[], 27, FALSE)</f>
        <v>0</v>
      </c>
      <c r="AE309">
        <f>VLOOKUP(Table9[[#This Row],[Shortname]], Comp[], 28, FALSE)</f>
        <v>0</v>
      </c>
      <c r="AF309">
        <f>VLOOKUP(Table9[[#This Row],[Shortname]], Comp[], 29, FALSE)</f>
        <v>0</v>
      </c>
      <c r="AG309">
        <f>VLOOKUP(Table9[[#This Row],[Shortname]], Comp[], 30, FALSE)</f>
        <v>0</v>
      </c>
      <c r="AH309">
        <f>VLOOKUP(Table9[[#This Row],[Shortname]], Comp[], 31, FALSE)</f>
        <v>0</v>
      </c>
    </row>
    <row r="310" spans="1:34" x14ac:dyDescent="0.3">
      <c r="A310" t="s">
        <v>983</v>
      </c>
      <c r="B310" t="s">
        <v>5230</v>
      </c>
      <c r="C310" t="s">
        <v>5231</v>
      </c>
      <c r="D310">
        <v>389</v>
      </c>
      <c r="E310">
        <v>-195</v>
      </c>
      <c r="F310">
        <v>1E-4</v>
      </c>
      <c r="G310">
        <v>1</v>
      </c>
      <c r="H310" t="s">
        <v>6803</v>
      </c>
      <c r="I310">
        <f>VLOOKUP(Table9[[#This Row],[Shortname]], Comp[], 6, FALSE)</f>
        <v>127</v>
      </c>
      <c r="J310" s="14">
        <f>VLOOKUP(Table9[[#This Row],[Shortname]], Comp[], 7, FALSE)</f>
        <v>77</v>
      </c>
      <c r="K310">
        <f>VLOOKUP(Table9[[#This Row],[Shortname]], Comp[], 8, FALSE)</f>
        <v>0</v>
      </c>
      <c r="L310">
        <f>VLOOKUP(Table9[[#This Row],[Shortname]], Comp[], 9, FALSE)</f>
        <v>12</v>
      </c>
      <c r="M310">
        <f>VLOOKUP(Table9[[#This Row],[Shortname]], Comp[], 10, FALSE)</f>
        <v>0</v>
      </c>
      <c r="N310">
        <f>VLOOKUP(Table9[[#This Row],[Shortname]], Comp[], 11, FALSE)</f>
        <v>11</v>
      </c>
      <c r="O310">
        <f>VLOOKUP(Table9[[#This Row],[Shortname]], Comp[],12, FALSE)</f>
        <v>0</v>
      </c>
      <c r="P310">
        <f>VLOOKUP(Table9[[#This Row],[Shortname]], Comp[], 13, FALSE)</f>
        <v>0</v>
      </c>
      <c r="Q310">
        <f>VLOOKUP(Table9[[#This Row],[Shortname]], Comp[], 14, FALSE)</f>
        <v>0</v>
      </c>
      <c r="R310">
        <f>VLOOKUP(Table9[[#This Row],[Shortname]], Comp[], 15, FALSE)</f>
        <v>0</v>
      </c>
      <c r="S310">
        <f>VLOOKUP(Table9[[#This Row],[Shortname]], Comp[], 16, FALSE)</f>
        <v>0</v>
      </c>
      <c r="T310">
        <f>VLOOKUP(Table9[[#This Row],[Shortname]], Comp[], 17, FALSE)</f>
        <v>0</v>
      </c>
      <c r="U310">
        <f>VLOOKUP(Table9[[#This Row],[Shortname]], Comp[], 18, FALSE)</f>
        <v>0</v>
      </c>
      <c r="V310">
        <f>VLOOKUP(Table9[[#This Row],[Shortname]], Comp[], 19, FALSE)</f>
        <v>0</v>
      </c>
      <c r="W310">
        <f>VLOOKUP(Table9[[#This Row],[Shortname]], Comp[], 20, FALSE)</f>
        <v>0</v>
      </c>
      <c r="X310">
        <f>VLOOKUP(Table9[[#This Row],[Shortname]], Comp[], 21, FALSE)</f>
        <v>0</v>
      </c>
      <c r="Y310">
        <f>VLOOKUP(Table9[[#This Row],[Shortname]], Comp[], 22, FALSE)</f>
        <v>0</v>
      </c>
      <c r="Z310">
        <f>VLOOKUP(Table9[[#This Row],[Shortname]], Comp[], 23, FALSE)</f>
        <v>0</v>
      </c>
      <c r="AA310">
        <f>VLOOKUP(Table9[[#This Row],[Shortname]], Comp[], 24, FALSE)</f>
        <v>0</v>
      </c>
      <c r="AB310">
        <f>VLOOKUP(Table9[[#This Row],[Shortname]], Comp[], 25, FALSE)</f>
        <v>0</v>
      </c>
      <c r="AC310">
        <f>VLOOKUP(Table9[[#This Row],[Shortname]], Comp[], 26, FALSE)</f>
        <v>0</v>
      </c>
      <c r="AD310">
        <f>VLOOKUP(Table9[[#This Row],[Shortname]], Comp[], 27, FALSE)</f>
        <v>0</v>
      </c>
      <c r="AE310">
        <f>VLOOKUP(Table9[[#This Row],[Shortname]], Comp[], 28, FALSE)</f>
        <v>0</v>
      </c>
      <c r="AF310">
        <f>VLOOKUP(Table9[[#This Row],[Shortname]], Comp[], 29, FALSE)</f>
        <v>0</v>
      </c>
      <c r="AG310">
        <f>VLOOKUP(Table9[[#This Row],[Shortname]], Comp[], 30, FALSE)</f>
        <v>0</v>
      </c>
      <c r="AH310">
        <f>VLOOKUP(Table9[[#This Row],[Shortname]], Comp[], 31, FALSE)</f>
        <v>0</v>
      </c>
    </row>
    <row r="311" spans="1:34" x14ac:dyDescent="0.3">
      <c r="A311" t="s">
        <v>1465</v>
      </c>
      <c r="B311" t="s">
        <v>1467</v>
      </c>
      <c r="C311" t="s">
        <v>1459</v>
      </c>
      <c r="D311">
        <v>388</v>
      </c>
      <c r="E311">
        <v>600</v>
      </c>
      <c r="F311">
        <v>1E-4</v>
      </c>
      <c r="G311">
        <v>1</v>
      </c>
      <c r="H311" t="s">
        <v>6813</v>
      </c>
      <c r="I311">
        <f>VLOOKUP(Table9[[#This Row],[Shortname]], Comp[], 6, FALSE)</f>
        <v>187</v>
      </c>
      <c r="J311" s="14">
        <f>VLOOKUP(Table9[[#This Row],[Shortname]], Comp[], 7, FALSE)</f>
        <v>52.8</v>
      </c>
      <c r="K311">
        <f>VLOOKUP(Table9[[#This Row],[Shortname]], Comp[], 8, FALSE)</f>
        <v>30.5</v>
      </c>
      <c r="L311">
        <f>VLOOKUP(Table9[[#This Row],[Shortname]], Comp[], 9, FALSE)</f>
        <v>9.6</v>
      </c>
      <c r="M311">
        <f>VLOOKUP(Table9[[#This Row],[Shortname]], Comp[], 10, FALSE)</f>
        <v>0</v>
      </c>
      <c r="N311">
        <f>VLOOKUP(Table9[[#This Row],[Shortname]], Comp[], 11, FALSE)</f>
        <v>7.1</v>
      </c>
      <c r="O311">
        <f>VLOOKUP(Table9[[#This Row],[Shortname]], Comp[],12, FALSE)</f>
        <v>0</v>
      </c>
      <c r="P311">
        <f>VLOOKUP(Table9[[#This Row],[Shortname]], Comp[], 13, FALSE)</f>
        <v>0</v>
      </c>
      <c r="Q311">
        <f>VLOOKUP(Table9[[#This Row],[Shortname]], Comp[], 14, FALSE)</f>
        <v>0</v>
      </c>
      <c r="R311">
        <f>VLOOKUP(Table9[[#This Row],[Shortname]], Comp[], 15, FALSE)</f>
        <v>0</v>
      </c>
      <c r="S311">
        <f>VLOOKUP(Table9[[#This Row],[Shortname]], Comp[], 16, FALSE)</f>
        <v>0</v>
      </c>
      <c r="T311">
        <f>VLOOKUP(Table9[[#This Row],[Shortname]], Comp[], 17, FALSE)</f>
        <v>0</v>
      </c>
      <c r="U311">
        <f>VLOOKUP(Table9[[#This Row],[Shortname]], Comp[], 18, FALSE)</f>
        <v>0</v>
      </c>
      <c r="V311">
        <f>VLOOKUP(Table9[[#This Row],[Shortname]], Comp[], 19, FALSE)</f>
        <v>0</v>
      </c>
      <c r="W311">
        <f>VLOOKUP(Table9[[#This Row],[Shortname]], Comp[], 20, FALSE)</f>
        <v>0</v>
      </c>
      <c r="X311">
        <f>VLOOKUP(Table9[[#This Row],[Shortname]], Comp[], 21, FALSE)</f>
        <v>0</v>
      </c>
      <c r="Y311">
        <f>VLOOKUP(Table9[[#This Row],[Shortname]], Comp[], 22, FALSE)</f>
        <v>0</v>
      </c>
      <c r="Z311">
        <f>VLOOKUP(Table9[[#This Row],[Shortname]], Comp[], 23, FALSE)</f>
        <v>0</v>
      </c>
      <c r="AA311">
        <f>VLOOKUP(Table9[[#This Row],[Shortname]], Comp[], 24, FALSE)</f>
        <v>0</v>
      </c>
      <c r="AB311">
        <f>VLOOKUP(Table9[[#This Row],[Shortname]], Comp[], 25, FALSE)</f>
        <v>0</v>
      </c>
      <c r="AC311">
        <f>VLOOKUP(Table9[[#This Row],[Shortname]], Comp[], 26, FALSE)</f>
        <v>0</v>
      </c>
      <c r="AD311">
        <f>VLOOKUP(Table9[[#This Row],[Shortname]], Comp[], 27, FALSE)</f>
        <v>0</v>
      </c>
      <c r="AE311">
        <f>VLOOKUP(Table9[[#This Row],[Shortname]], Comp[], 28, FALSE)</f>
        <v>0</v>
      </c>
      <c r="AF311">
        <f>VLOOKUP(Table9[[#This Row],[Shortname]], Comp[], 29, FALSE)</f>
        <v>0</v>
      </c>
      <c r="AG311">
        <f>VLOOKUP(Table9[[#This Row],[Shortname]], Comp[], 30, FALSE)</f>
        <v>0</v>
      </c>
      <c r="AH311">
        <f>VLOOKUP(Table9[[#This Row],[Shortname]], Comp[], 31, FALSE)</f>
        <v>0</v>
      </c>
    </row>
    <row r="312" spans="1:34" x14ac:dyDescent="0.3">
      <c r="A312" t="s">
        <v>2518</v>
      </c>
      <c r="B312" t="s">
        <v>2520</v>
      </c>
      <c r="C312" t="s">
        <v>2513</v>
      </c>
      <c r="D312">
        <v>387</v>
      </c>
      <c r="E312">
        <v>800</v>
      </c>
      <c r="F312">
        <v>1E-4</v>
      </c>
      <c r="G312">
        <v>1</v>
      </c>
      <c r="H312" t="s">
        <v>6803</v>
      </c>
      <c r="I312">
        <f>VLOOKUP(Table9[[#This Row],[Shortname]], Comp[], 6, FALSE)</f>
        <v>333</v>
      </c>
      <c r="J312" s="14">
        <f>VLOOKUP(Table9[[#This Row],[Shortname]], Comp[], 7, FALSE)</f>
        <v>78</v>
      </c>
      <c r="K312">
        <f>VLOOKUP(Table9[[#This Row],[Shortname]], Comp[], 8, FALSE)</f>
        <v>0</v>
      </c>
      <c r="L312">
        <f>VLOOKUP(Table9[[#This Row],[Shortname]], Comp[], 9, FALSE)</f>
        <v>10</v>
      </c>
      <c r="M312">
        <f>VLOOKUP(Table9[[#This Row],[Shortname]], Comp[], 10, FALSE)</f>
        <v>0</v>
      </c>
      <c r="N312">
        <f>VLOOKUP(Table9[[#This Row],[Shortname]], Comp[], 11, FALSE)</f>
        <v>12</v>
      </c>
      <c r="O312">
        <f>VLOOKUP(Table9[[#This Row],[Shortname]], Comp[],12, FALSE)</f>
        <v>0</v>
      </c>
      <c r="P312">
        <f>VLOOKUP(Table9[[#This Row],[Shortname]], Comp[], 13, FALSE)</f>
        <v>0</v>
      </c>
      <c r="Q312">
        <f>VLOOKUP(Table9[[#This Row],[Shortname]], Comp[], 14, FALSE)</f>
        <v>0</v>
      </c>
      <c r="R312">
        <f>VLOOKUP(Table9[[#This Row],[Shortname]], Comp[], 15, FALSE)</f>
        <v>0</v>
      </c>
      <c r="S312">
        <f>VLOOKUP(Table9[[#This Row],[Shortname]], Comp[], 16, FALSE)</f>
        <v>0</v>
      </c>
      <c r="T312">
        <f>VLOOKUP(Table9[[#This Row],[Shortname]], Comp[], 17, FALSE)</f>
        <v>0</v>
      </c>
      <c r="U312">
        <f>VLOOKUP(Table9[[#This Row],[Shortname]], Comp[], 18, FALSE)</f>
        <v>0</v>
      </c>
      <c r="V312">
        <f>VLOOKUP(Table9[[#This Row],[Shortname]], Comp[], 19, FALSE)</f>
        <v>0</v>
      </c>
      <c r="W312">
        <f>VLOOKUP(Table9[[#This Row],[Shortname]], Comp[], 20, FALSE)</f>
        <v>0</v>
      </c>
      <c r="X312">
        <f>VLOOKUP(Table9[[#This Row],[Shortname]], Comp[], 21, FALSE)</f>
        <v>0</v>
      </c>
      <c r="Y312">
        <f>VLOOKUP(Table9[[#This Row],[Shortname]], Comp[], 22, FALSE)</f>
        <v>0</v>
      </c>
      <c r="Z312">
        <f>VLOOKUP(Table9[[#This Row],[Shortname]], Comp[], 23, FALSE)</f>
        <v>0</v>
      </c>
      <c r="AA312">
        <f>VLOOKUP(Table9[[#This Row],[Shortname]], Comp[], 24, FALSE)</f>
        <v>0</v>
      </c>
      <c r="AB312">
        <f>VLOOKUP(Table9[[#This Row],[Shortname]], Comp[], 25, FALSE)</f>
        <v>0</v>
      </c>
      <c r="AC312">
        <f>VLOOKUP(Table9[[#This Row],[Shortname]], Comp[], 26, FALSE)</f>
        <v>0</v>
      </c>
      <c r="AD312">
        <f>VLOOKUP(Table9[[#This Row],[Shortname]], Comp[], 27, FALSE)</f>
        <v>0</v>
      </c>
      <c r="AE312">
        <f>VLOOKUP(Table9[[#This Row],[Shortname]], Comp[], 28, FALSE)</f>
        <v>0</v>
      </c>
      <c r="AF312">
        <f>VLOOKUP(Table9[[#This Row],[Shortname]], Comp[], 29, FALSE)</f>
        <v>0</v>
      </c>
      <c r="AG312">
        <f>VLOOKUP(Table9[[#This Row],[Shortname]], Comp[], 30, FALSE)</f>
        <v>0</v>
      </c>
      <c r="AH312">
        <f>VLOOKUP(Table9[[#This Row],[Shortname]], Comp[], 31, FALSE)</f>
        <v>0</v>
      </c>
    </row>
    <row r="313" spans="1:34" x14ac:dyDescent="0.3">
      <c r="A313" t="s">
        <v>3482</v>
      </c>
      <c r="B313" t="s">
        <v>3483</v>
      </c>
      <c r="C313" t="s">
        <v>3480</v>
      </c>
      <c r="D313">
        <v>384</v>
      </c>
      <c r="E313">
        <v>893</v>
      </c>
      <c r="F313">
        <v>1E-4</v>
      </c>
      <c r="G313">
        <v>1</v>
      </c>
      <c r="H313" t="s">
        <v>6803</v>
      </c>
      <c r="I313">
        <f>VLOOKUP(Table9[[#This Row],[Shortname]], Comp[], 6, FALSE)</f>
        <v>499</v>
      </c>
      <c r="J313" s="14">
        <f>VLOOKUP(Table9[[#This Row],[Shortname]], Comp[], 7, FALSE)</f>
        <v>77.900000000000006</v>
      </c>
      <c r="K313">
        <f>VLOOKUP(Table9[[#This Row],[Shortname]], Comp[], 8, FALSE)</f>
        <v>0</v>
      </c>
      <c r="L313">
        <f>VLOOKUP(Table9[[#This Row],[Shortname]], Comp[], 9, FALSE)</f>
        <v>7.8</v>
      </c>
      <c r="M313">
        <f>VLOOKUP(Table9[[#This Row],[Shortname]], Comp[], 10, FALSE)</f>
        <v>4.5</v>
      </c>
      <c r="N313">
        <f>VLOOKUP(Table9[[#This Row],[Shortname]], Comp[], 11, FALSE)</f>
        <v>7.8</v>
      </c>
      <c r="O313">
        <f>VLOOKUP(Table9[[#This Row],[Shortname]], Comp[],12, FALSE)</f>
        <v>0</v>
      </c>
      <c r="P313">
        <f>VLOOKUP(Table9[[#This Row],[Shortname]], Comp[], 13, FALSE)</f>
        <v>2</v>
      </c>
      <c r="Q313">
        <f>VLOOKUP(Table9[[#This Row],[Shortname]], Comp[], 14, FALSE)</f>
        <v>0</v>
      </c>
      <c r="R313">
        <f>VLOOKUP(Table9[[#This Row],[Shortname]], Comp[], 15, FALSE)</f>
        <v>0</v>
      </c>
      <c r="S313">
        <f>VLOOKUP(Table9[[#This Row],[Shortname]], Comp[], 16, FALSE)</f>
        <v>0</v>
      </c>
      <c r="T313">
        <f>VLOOKUP(Table9[[#This Row],[Shortname]], Comp[], 17, FALSE)</f>
        <v>0</v>
      </c>
      <c r="U313">
        <f>VLOOKUP(Table9[[#This Row],[Shortname]], Comp[], 18, FALSE)</f>
        <v>0</v>
      </c>
      <c r="V313">
        <f>VLOOKUP(Table9[[#This Row],[Shortname]], Comp[], 19, FALSE)</f>
        <v>0</v>
      </c>
      <c r="W313">
        <f>VLOOKUP(Table9[[#This Row],[Shortname]], Comp[], 20, FALSE)</f>
        <v>0</v>
      </c>
      <c r="X313">
        <f>VLOOKUP(Table9[[#This Row],[Shortname]], Comp[], 21, FALSE)</f>
        <v>0</v>
      </c>
      <c r="Y313">
        <f>VLOOKUP(Table9[[#This Row],[Shortname]], Comp[], 22, FALSE)</f>
        <v>0</v>
      </c>
      <c r="Z313">
        <f>VLOOKUP(Table9[[#This Row],[Shortname]], Comp[], 23, FALSE)</f>
        <v>0</v>
      </c>
      <c r="AA313">
        <f>VLOOKUP(Table9[[#This Row],[Shortname]], Comp[], 24, FALSE)</f>
        <v>0</v>
      </c>
      <c r="AB313">
        <f>VLOOKUP(Table9[[#This Row],[Shortname]], Comp[], 25, FALSE)</f>
        <v>0</v>
      </c>
      <c r="AC313">
        <f>VLOOKUP(Table9[[#This Row],[Shortname]], Comp[], 26, FALSE)</f>
        <v>0</v>
      </c>
      <c r="AD313">
        <f>VLOOKUP(Table9[[#This Row],[Shortname]], Comp[], 27, FALSE)</f>
        <v>0</v>
      </c>
      <c r="AE313">
        <f>VLOOKUP(Table9[[#This Row],[Shortname]], Comp[], 28, FALSE)</f>
        <v>0</v>
      </c>
      <c r="AF313">
        <f>VLOOKUP(Table9[[#This Row],[Shortname]], Comp[], 29, FALSE)</f>
        <v>0</v>
      </c>
      <c r="AG313">
        <f>VLOOKUP(Table9[[#This Row],[Shortname]], Comp[], 30, FALSE)</f>
        <v>0</v>
      </c>
      <c r="AH313">
        <f>VLOOKUP(Table9[[#This Row],[Shortname]], Comp[], 31, FALSE)</f>
        <v>0</v>
      </c>
    </row>
    <row r="314" spans="1:34" x14ac:dyDescent="0.3">
      <c r="A314" t="s">
        <v>2208</v>
      </c>
      <c r="B314" t="s">
        <v>2210</v>
      </c>
      <c r="C314" t="s">
        <v>2211</v>
      </c>
      <c r="D314">
        <v>381</v>
      </c>
      <c r="E314">
        <v>900</v>
      </c>
      <c r="F314">
        <v>1E-4</v>
      </c>
      <c r="G314">
        <v>1</v>
      </c>
      <c r="H314" t="s">
        <v>6803</v>
      </c>
      <c r="I314">
        <f>VLOOKUP(Table9[[#This Row],[Shortname]], Comp[], 6, FALSE)</f>
        <v>291</v>
      </c>
      <c r="J314" s="14">
        <f>VLOOKUP(Table9[[#This Row],[Shortname]], Comp[], 7, FALSE)</f>
        <v>83.7</v>
      </c>
      <c r="K314">
        <f>VLOOKUP(Table9[[#This Row],[Shortname]], Comp[], 8, FALSE)</f>
        <v>0</v>
      </c>
      <c r="L314">
        <f>VLOOKUP(Table9[[#This Row],[Shortname]], Comp[], 9, FALSE)</f>
        <v>0</v>
      </c>
      <c r="M314">
        <f>VLOOKUP(Table9[[#This Row],[Shortname]], Comp[], 10, FALSE)</f>
        <v>0</v>
      </c>
      <c r="N314">
        <f>VLOOKUP(Table9[[#This Row],[Shortname]], Comp[], 11, FALSE)</f>
        <v>0</v>
      </c>
      <c r="O314">
        <f>VLOOKUP(Table9[[#This Row],[Shortname]], Comp[],12, FALSE)</f>
        <v>4.2</v>
      </c>
      <c r="P314">
        <f>VLOOKUP(Table9[[#This Row],[Shortname]], Comp[], 13, FALSE)</f>
        <v>0</v>
      </c>
      <c r="Q314">
        <f>VLOOKUP(Table9[[#This Row],[Shortname]], Comp[], 14, FALSE)</f>
        <v>0</v>
      </c>
      <c r="R314">
        <f>VLOOKUP(Table9[[#This Row],[Shortname]], Comp[], 15, FALSE)</f>
        <v>12.1</v>
      </c>
      <c r="S314">
        <f>VLOOKUP(Table9[[#This Row],[Shortname]], Comp[], 16, FALSE)</f>
        <v>0</v>
      </c>
      <c r="T314">
        <f>VLOOKUP(Table9[[#This Row],[Shortname]], Comp[], 17, FALSE)</f>
        <v>0</v>
      </c>
      <c r="U314">
        <f>VLOOKUP(Table9[[#This Row],[Shortname]], Comp[], 18, FALSE)</f>
        <v>0</v>
      </c>
      <c r="V314">
        <f>VLOOKUP(Table9[[#This Row],[Shortname]], Comp[], 19, FALSE)</f>
        <v>0</v>
      </c>
      <c r="W314">
        <f>VLOOKUP(Table9[[#This Row],[Shortname]], Comp[], 20, FALSE)</f>
        <v>0</v>
      </c>
      <c r="X314">
        <f>VLOOKUP(Table9[[#This Row],[Shortname]], Comp[], 21, FALSE)</f>
        <v>0</v>
      </c>
      <c r="Y314">
        <f>VLOOKUP(Table9[[#This Row],[Shortname]], Comp[], 22, FALSE)</f>
        <v>0</v>
      </c>
      <c r="Z314">
        <f>VLOOKUP(Table9[[#This Row],[Shortname]], Comp[], 23, FALSE)</f>
        <v>0</v>
      </c>
      <c r="AA314">
        <f>VLOOKUP(Table9[[#This Row],[Shortname]], Comp[], 24, FALSE)</f>
        <v>0</v>
      </c>
      <c r="AB314">
        <f>VLOOKUP(Table9[[#This Row],[Shortname]], Comp[], 25, FALSE)</f>
        <v>0</v>
      </c>
      <c r="AC314">
        <f>VLOOKUP(Table9[[#This Row],[Shortname]], Comp[], 26, FALSE)</f>
        <v>0</v>
      </c>
      <c r="AD314">
        <f>VLOOKUP(Table9[[#This Row],[Shortname]], Comp[], 27, FALSE)</f>
        <v>0</v>
      </c>
      <c r="AE314">
        <f>VLOOKUP(Table9[[#This Row],[Shortname]], Comp[], 28, FALSE)</f>
        <v>0</v>
      </c>
      <c r="AF314">
        <f>VLOOKUP(Table9[[#This Row],[Shortname]], Comp[], 29, FALSE)</f>
        <v>0</v>
      </c>
      <c r="AG314">
        <f>VLOOKUP(Table9[[#This Row],[Shortname]], Comp[], 30, FALSE)</f>
        <v>0</v>
      </c>
      <c r="AH314">
        <f>VLOOKUP(Table9[[#This Row],[Shortname]], Comp[], 31, FALSE)</f>
        <v>0</v>
      </c>
    </row>
    <row r="315" spans="1:34" x14ac:dyDescent="0.3">
      <c r="A315" t="s">
        <v>2518</v>
      </c>
      <c r="B315" t="s">
        <v>2520</v>
      </c>
      <c r="C315" t="s">
        <v>2513</v>
      </c>
      <c r="D315">
        <v>381</v>
      </c>
      <c r="E315">
        <v>900</v>
      </c>
      <c r="F315">
        <v>1E-4</v>
      </c>
      <c r="G315">
        <v>1</v>
      </c>
      <c r="H315" t="s">
        <v>6803</v>
      </c>
      <c r="I315">
        <f>VLOOKUP(Table9[[#This Row],[Shortname]], Comp[], 6, FALSE)</f>
        <v>333</v>
      </c>
      <c r="J315" s="14">
        <f>VLOOKUP(Table9[[#This Row],[Shortname]], Comp[], 7, FALSE)</f>
        <v>78</v>
      </c>
      <c r="K315">
        <f>VLOOKUP(Table9[[#This Row],[Shortname]], Comp[], 8, FALSE)</f>
        <v>0</v>
      </c>
      <c r="L315">
        <f>VLOOKUP(Table9[[#This Row],[Shortname]], Comp[], 9, FALSE)</f>
        <v>10</v>
      </c>
      <c r="M315">
        <f>VLOOKUP(Table9[[#This Row],[Shortname]], Comp[], 10, FALSE)</f>
        <v>0</v>
      </c>
      <c r="N315">
        <f>VLOOKUP(Table9[[#This Row],[Shortname]], Comp[], 11, FALSE)</f>
        <v>12</v>
      </c>
      <c r="O315">
        <f>VLOOKUP(Table9[[#This Row],[Shortname]], Comp[],12, FALSE)</f>
        <v>0</v>
      </c>
      <c r="P315">
        <f>VLOOKUP(Table9[[#This Row],[Shortname]], Comp[], 13, FALSE)</f>
        <v>0</v>
      </c>
      <c r="Q315">
        <f>VLOOKUP(Table9[[#This Row],[Shortname]], Comp[], 14, FALSE)</f>
        <v>0</v>
      </c>
      <c r="R315">
        <f>VLOOKUP(Table9[[#This Row],[Shortname]], Comp[], 15, FALSE)</f>
        <v>0</v>
      </c>
      <c r="S315">
        <f>VLOOKUP(Table9[[#This Row],[Shortname]], Comp[], 16, FALSE)</f>
        <v>0</v>
      </c>
      <c r="T315">
        <f>VLOOKUP(Table9[[#This Row],[Shortname]], Comp[], 17, FALSE)</f>
        <v>0</v>
      </c>
      <c r="U315">
        <f>VLOOKUP(Table9[[#This Row],[Shortname]], Comp[], 18, FALSE)</f>
        <v>0</v>
      </c>
      <c r="V315">
        <f>VLOOKUP(Table9[[#This Row],[Shortname]], Comp[], 19, FALSE)</f>
        <v>0</v>
      </c>
      <c r="W315">
        <f>VLOOKUP(Table9[[#This Row],[Shortname]], Comp[], 20, FALSE)</f>
        <v>0</v>
      </c>
      <c r="X315">
        <f>VLOOKUP(Table9[[#This Row],[Shortname]], Comp[], 21, FALSE)</f>
        <v>0</v>
      </c>
      <c r="Y315">
        <f>VLOOKUP(Table9[[#This Row],[Shortname]], Comp[], 22, FALSE)</f>
        <v>0</v>
      </c>
      <c r="Z315">
        <f>VLOOKUP(Table9[[#This Row],[Shortname]], Comp[], 23, FALSE)</f>
        <v>0</v>
      </c>
      <c r="AA315">
        <f>VLOOKUP(Table9[[#This Row],[Shortname]], Comp[], 24, FALSE)</f>
        <v>0</v>
      </c>
      <c r="AB315">
        <f>VLOOKUP(Table9[[#This Row],[Shortname]], Comp[], 25, FALSE)</f>
        <v>0</v>
      </c>
      <c r="AC315">
        <f>VLOOKUP(Table9[[#This Row],[Shortname]], Comp[], 26, FALSE)</f>
        <v>0</v>
      </c>
      <c r="AD315">
        <f>VLOOKUP(Table9[[#This Row],[Shortname]], Comp[], 27, FALSE)</f>
        <v>0</v>
      </c>
      <c r="AE315">
        <f>VLOOKUP(Table9[[#This Row],[Shortname]], Comp[], 28, FALSE)</f>
        <v>0</v>
      </c>
      <c r="AF315">
        <f>VLOOKUP(Table9[[#This Row],[Shortname]], Comp[], 29, FALSE)</f>
        <v>0</v>
      </c>
      <c r="AG315">
        <f>VLOOKUP(Table9[[#This Row],[Shortname]], Comp[], 30, FALSE)</f>
        <v>0</v>
      </c>
      <c r="AH315">
        <f>VLOOKUP(Table9[[#This Row],[Shortname]], Comp[], 31, FALSE)</f>
        <v>0</v>
      </c>
    </row>
    <row r="316" spans="1:34" x14ac:dyDescent="0.3">
      <c r="A316" t="s">
        <v>1465</v>
      </c>
      <c r="B316" t="s">
        <v>1467</v>
      </c>
      <c r="C316" t="s">
        <v>1459</v>
      </c>
      <c r="D316">
        <v>380</v>
      </c>
      <c r="E316">
        <v>500</v>
      </c>
      <c r="F316">
        <v>1E-4</v>
      </c>
      <c r="G316">
        <v>1</v>
      </c>
      <c r="H316" t="s">
        <v>6813</v>
      </c>
      <c r="I316">
        <f>VLOOKUP(Table9[[#This Row],[Shortname]], Comp[], 6, FALSE)</f>
        <v>187</v>
      </c>
      <c r="J316" s="14">
        <f>VLOOKUP(Table9[[#This Row],[Shortname]], Comp[], 7, FALSE)</f>
        <v>52.8</v>
      </c>
      <c r="K316">
        <f>VLOOKUP(Table9[[#This Row],[Shortname]], Comp[], 8, FALSE)</f>
        <v>30.5</v>
      </c>
      <c r="L316">
        <f>VLOOKUP(Table9[[#This Row],[Shortname]], Comp[], 9, FALSE)</f>
        <v>9.6</v>
      </c>
      <c r="M316">
        <f>VLOOKUP(Table9[[#This Row],[Shortname]], Comp[], 10, FALSE)</f>
        <v>0</v>
      </c>
      <c r="N316">
        <f>VLOOKUP(Table9[[#This Row],[Shortname]], Comp[], 11, FALSE)</f>
        <v>7.1</v>
      </c>
      <c r="O316">
        <f>VLOOKUP(Table9[[#This Row],[Shortname]], Comp[],12, FALSE)</f>
        <v>0</v>
      </c>
      <c r="P316">
        <f>VLOOKUP(Table9[[#This Row],[Shortname]], Comp[], 13, FALSE)</f>
        <v>0</v>
      </c>
      <c r="Q316">
        <f>VLOOKUP(Table9[[#This Row],[Shortname]], Comp[], 14, FALSE)</f>
        <v>0</v>
      </c>
      <c r="R316">
        <f>VLOOKUP(Table9[[#This Row],[Shortname]], Comp[], 15, FALSE)</f>
        <v>0</v>
      </c>
      <c r="S316">
        <f>VLOOKUP(Table9[[#This Row],[Shortname]], Comp[], 16, FALSE)</f>
        <v>0</v>
      </c>
      <c r="T316">
        <f>VLOOKUP(Table9[[#This Row],[Shortname]], Comp[], 17, FALSE)</f>
        <v>0</v>
      </c>
      <c r="U316">
        <f>VLOOKUP(Table9[[#This Row],[Shortname]], Comp[], 18, FALSE)</f>
        <v>0</v>
      </c>
      <c r="V316">
        <f>VLOOKUP(Table9[[#This Row],[Shortname]], Comp[], 19, FALSE)</f>
        <v>0</v>
      </c>
      <c r="W316">
        <f>VLOOKUP(Table9[[#This Row],[Shortname]], Comp[], 20, FALSE)</f>
        <v>0</v>
      </c>
      <c r="X316">
        <f>VLOOKUP(Table9[[#This Row],[Shortname]], Comp[], 21, FALSE)</f>
        <v>0</v>
      </c>
      <c r="Y316">
        <f>VLOOKUP(Table9[[#This Row],[Shortname]], Comp[], 22, FALSE)</f>
        <v>0</v>
      </c>
      <c r="Z316">
        <f>VLOOKUP(Table9[[#This Row],[Shortname]], Comp[], 23, FALSE)</f>
        <v>0</v>
      </c>
      <c r="AA316">
        <f>VLOOKUP(Table9[[#This Row],[Shortname]], Comp[], 24, FALSE)</f>
        <v>0</v>
      </c>
      <c r="AB316">
        <f>VLOOKUP(Table9[[#This Row],[Shortname]], Comp[], 25, FALSE)</f>
        <v>0</v>
      </c>
      <c r="AC316">
        <f>VLOOKUP(Table9[[#This Row],[Shortname]], Comp[], 26, FALSE)</f>
        <v>0</v>
      </c>
      <c r="AD316">
        <f>VLOOKUP(Table9[[#This Row],[Shortname]], Comp[], 27, FALSE)</f>
        <v>0</v>
      </c>
      <c r="AE316">
        <f>VLOOKUP(Table9[[#This Row],[Shortname]], Comp[], 28, FALSE)</f>
        <v>0</v>
      </c>
      <c r="AF316">
        <f>VLOOKUP(Table9[[#This Row],[Shortname]], Comp[], 29, FALSE)</f>
        <v>0</v>
      </c>
      <c r="AG316">
        <f>VLOOKUP(Table9[[#This Row],[Shortname]], Comp[], 30, FALSE)</f>
        <v>0</v>
      </c>
      <c r="AH316">
        <f>VLOOKUP(Table9[[#This Row],[Shortname]], Comp[], 31, FALSE)</f>
        <v>0</v>
      </c>
    </row>
    <row r="317" spans="1:34" x14ac:dyDescent="0.3">
      <c r="A317" t="s">
        <v>3400</v>
      </c>
      <c r="B317" t="s">
        <v>3400</v>
      </c>
      <c r="C317" t="s">
        <v>3401</v>
      </c>
      <c r="D317">
        <v>376</v>
      </c>
      <c r="E317">
        <v>760</v>
      </c>
      <c r="F317">
        <v>2.0000000000000001E-4</v>
      </c>
      <c r="G317">
        <v>1</v>
      </c>
      <c r="H317" t="s">
        <v>6803</v>
      </c>
      <c r="I317">
        <f>VLOOKUP(Table9[[#This Row],[Shortname]], Comp[], 6, FALSE)</f>
        <v>482</v>
      </c>
      <c r="J317" s="14">
        <f>VLOOKUP(Table9[[#This Row],[Shortname]], Comp[], 7, FALSE)</f>
        <v>84.2</v>
      </c>
      <c r="K317">
        <f>VLOOKUP(Table9[[#This Row],[Shortname]], Comp[], 8, FALSE)</f>
        <v>0</v>
      </c>
      <c r="L317">
        <f>VLOOKUP(Table9[[#This Row],[Shortname]], Comp[], 9, FALSE)</f>
        <v>8.9</v>
      </c>
      <c r="M317">
        <f>VLOOKUP(Table9[[#This Row],[Shortname]], Comp[], 10, FALSE)</f>
        <v>0</v>
      </c>
      <c r="N317">
        <f>VLOOKUP(Table9[[#This Row],[Shortname]], Comp[], 11, FALSE)</f>
        <v>6.9</v>
      </c>
      <c r="O317">
        <f>VLOOKUP(Table9[[#This Row],[Shortname]], Comp[],12, FALSE)</f>
        <v>0</v>
      </c>
      <c r="P317">
        <f>VLOOKUP(Table9[[#This Row],[Shortname]], Comp[], 13, FALSE)</f>
        <v>0</v>
      </c>
      <c r="Q317">
        <f>VLOOKUP(Table9[[#This Row],[Shortname]], Comp[], 14, FALSE)</f>
        <v>0</v>
      </c>
      <c r="R317">
        <f>VLOOKUP(Table9[[#This Row],[Shortname]], Comp[], 15, FALSE)</f>
        <v>0</v>
      </c>
      <c r="S317">
        <f>VLOOKUP(Table9[[#This Row],[Shortname]], Comp[], 16, FALSE)</f>
        <v>0</v>
      </c>
      <c r="T317">
        <f>VLOOKUP(Table9[[#This Row],[Shortname]], Comp[], 17, FALSE)</f>
        <v>0</v>
      </c>
      <c r="U317">
        <f>VLOOKUP(Table9[[#This Row],[Shortname]], Comp[], 18, FALSE)</f>
        <v>0</v>
      </c>
      <c r="V317">
        <f>VLOOKUP(Table9[[#This Row],[Shortname]], Comp[], 19, FALSE)</f>
        <v>0</v>
      </c>
      <c r="W317">
        <f>VLOOKUP(Table9[[#This Row],[Shortname]], Comp[], 20, FALSE)</f>
        <v>0</v>
      </c>
      <c r="X317">
        <f>VLOOKUP(Table9[[#This Row],[Shortname]], Comp[], 21, FALSE)</f>
        <v>0</v>
      </c>
      <c r="Y317">
        <f>VLOOKUP(Table9[[#This Row],[Shortname]], Comp[], 22, FALSE)</f>
        <v>0</v>
      </c>
      <c r="Z317">
        <f>VLOOKUP(Table9[[#This Row],[Shortname]], Comp[], 23, FALSE)</f>
        <v>0</v>
      </c>
      <c r="AA317">
        <f>VLOOKUP(Table9[[#This Row],[Shortname]], Comp[], 24, FALSE)</f>
        <v>0</v>
      </c>
      <c r="AB317">
        <f>VLOOKUP(Table9[[#This Row],[Shortname]], Comp[], 25, FALSE)</f>
        <v>0</v>
      </c>
      <c r="AC317">
        <f>VLOOKUP(Table9[[#This Row],[Shortname]], Comp[], 26, FALSE)</f>
        <v>0</v>
      </c>
      <c r="AD317">
        <f>VLOOKUP(Table9[[#This Row],[Shortname]], Comp[], 27, FALSE)</f>
        <v>0</v>
      </c>
      <c r="AE317">
        <f>VLOOKUP(Table9[[#This Row],[Shortname]], Comp[], 28, FALSE)</f>
        <v>0</v>
      </c>
      <c r="AF317">
        <f>VLOOKUP(Table9[[#This Row],[Shortname]], Comp[], 29, FALSE)</f>
        <v>0</v>
      </c>
      <c r="AG317">
        <f>VLOOKUP(Table9[[#This Row],[Shortname]], Comp[], 30, FALSE)</f>
        <v>0</v>
      </c>
      <c r="AH317">
        <f>VLOOKUP(Table9[[#This Row],[Shortname]], Comp[], 31, FALSE)</f>
        <v>0</v>
      </c>
    </row>
    <row r="318" spans="1:34" x14ac:dyDescent="0.3">
      <c r="A318" t="s">
        <v>3433</v>
      </c>
      <c r="B318" t="s">
        <v>6804</v>
      </c>
      <c r="C318" t="s">
        <v>3401</v>
      </c>
      <c r="D318">
        <v>376</v>
      </c>
      <c r="E318">
        <v>980</v>
      </c>
      <c r="F318">
        <v>2.0000000000000001E-4</v>
      </c>
      <c r="G318">
        <v>1</v>
      </c>
      <c r="H318" t="s">
        <v>6803</v>
      </c>
      <c r="I318">
        <f>VLOOKUP(Table9[[#This Row],[Shortname]], Comp[], 6, FALSE)</f>
        <v>489</v>
      </c>
      <c r="J318" s="14">
        <f>VLOOKUP(Table9[[#This Row],[Shortname]], Comp[], 7, FALSE)</f>
        <v>81.28</v>
      </c>
      <c r="K318">
        <f>VLOOKUP(Table9[[#This Row],[Shortname]], Comp[], 8, FALSE)</f>
        <v>0</v>
      </c>
      <c r="L318">
        <f>VLOOKUP(Table9[[#This Row],[Shortname]], Comp[], 9, FALSE)</f>
        <v>9.1999999999999993</v>
      </c>
      <c r="M318">
        <f>VLOOKUP(Table9[[#This Row],[Shortname]], Comp[], 10, FALSE)</f>
        <v>0</v>
      </c>
      <c r="N318">
        <f>VLOOKUP(Table9[[#This Row],[Shortname]], Comp[], 11, FALSE)</f>
        <v>9.5</v>
      </c>
      <c r="O318">
        <f>VLOOKUP(Table9[[#This Row],[Shortname]], Comp[],12, FALSE)</f>
        <v>0</v>
      </c>
      <c r="P318">
        <f>VLOOKUP(Table9[[#This Row],[Shortname]], Comp[], 13, FALSE)</f>
        <v>0</v>
      </c>
      <c r="Q318">
        <f>VLOOKUP(Table9[[#This Row],[Shortname]], Comp[], 14, FALSE)</f>
        <v>0</v>
      </c>
      <c r="R318">
        <f>VLOOKUP(Table9[[#This Row],[Shortname]], Comp[], 15, FALSE)</f>
        <v>0</v>
      </c>
      <c r="S318">
        <f>VLOOKUP(Table9[[#This Row],[Shortname]], Comp[], 16, FALSE)</f>
        <v>0</v>
      </c>
      <c r="T318">
        <f>VLOOKUP(Table9[[#This Row],[Shortname]], Comp[], 17, FALSE)</f>
        <v>0</v>
      </c>
      <c r="U318">
        <f>VLOOKUP(Table9[[#This Row],[Shortname]], Comp[], 18, FALSE)</f>
        <v>0</v>
      </c>
      <c r="V318">
        <f>VLOOKUP(Table9[[#This Row],[Shortname]], Comp[], 19, FALSE)</f>
        <v>0.02</v>
      </c>
      <c r="W318">
        <f>VLOOKUP(Table9[[#This Row],[Shortname]], Comp[], 20, FALSE)</f>
        <v>0</v>
      </c>
      <c r="X318">
        <f>VLOOKUP(Table9[[#This Row],[Shortname]], Comp[], 21, FALSE)</f>
        <v>0</v>
      </c>
      <c r="Y318">
        <f>VLOOKUP(Table9[[#This Row],[Shortname]], Comp[], 22, FALSE)</f>
        <v>0</v>
      </c>
      <c r="Z318">
        <f>VLOOKUP(Table9[[#This Row],[Shortname]], Comp[], 23, FALSE)</f>
        <v>0</v>
      </c>
      <c r="AA318">
        <f>VLOOKUP(Table9[[#This Row],[Shortname]], Comp[], 24, FALSE)</f>
        <v>0</v>
      </c>
      <c r="AB318">
        <f>VLOOKUP(Table9[[#This Row],[Shortname]], Comp[], 25, FALSE)</f>
        <v>0</v>
      </c>
      <c r="AC318">
        <f>VLOOKUP(Table9[[#This Row],[Shortname]], Comp[], 26, FALSE)</f>
        <v>0</v>
      </c>
      <c r="AD318">
        <f>VLOOKUP(Table9[[#This Row],[Shortname]], Comp[], 27, FALSE)</f>
        <v>0</v>
      </c>
      <c r="AE318">
        <f>VLOOKUP(Table9[[#This Row],[Shortname]], Comp[], 28, FALSE)</f>
        <v>0</v>
      </c>
      <c r="AF318">
        <f>VLOOKUP(Table9[[#This Row],[Shortname]], Comp[], 29, FALSE)</f>
        <v>0</v>
      </c>
      <c r="AG318">
        <f>VLOOKUP(Table9[[#This Row],[Shortname]], Comp[], 30, FALSE)</f>
        <v>0</v>
      </c>
      <c r="AH318">
        <f>VLOOKUP(Table9[[#This Row],[Shortname]], Comp[], 31, FALSE)</f>
        <v>0</v>
      </c>
    </row>
    <row r="319" spans="1:34" x14ac:dyDescent="0.3">
      <c r="A319" t="s">
        <v>2070</v>
      </c>
      <c r="B319" t="s">
        <v>2072</v>
      </c>
      <c r="C319" t="s">
        <v>2065</v>
      </c>
      <c r="D319">
        <v>373</v>
      </c>
      <c r="E319">
        <v>850</v>
      </c>
      <c r="F319">
        <v>1E-4</v>
      </c>
      <c r="G319">
        <v>1</v>
      </c>
      <c r="H319" t="s">
        <v>6803</v>
      </c>
      <c r="I319">
        <f>VLOOKUP(Table9[[#This Row],[Shortname]], Comp[], 6, FALSE)</f>
        <v>272</v>
      </c>
      <c r="J319" s="14">
        <f>VLOOKUP(Table9[[#This Row],[Shortname]], Comp[], 7, FALSE)</f>
        <v>85</v>
      </c>
      <c r="K319">
        <f>VLOOKUP(Table9[[#This Row],[Shortname]], Comp[], 8, FALSE)</f>
        <v>0</v>
      </c>
      <c r="L319">
        <f>VLOOKUP(Table9[[#This Row],[Shortname]], Comp[], 9, FALSE)</f>
        <v>0</v>
      </c>
      <c r="M319">
        <f>VLOOKUP(Table9[[#This Row],[Shortname]], Comp[], 10, FALSE)</f>
        <v>0</v>
      </c>
      <c r="N319">
        <f>VLOOKUP(Table9[[#This Row],[Shortname]], Comp[], 11, FALSE)</f>
        <v>0</v>
      </c>
      <c r="O319">
        <f>VLOOKUP(Table9[[#This Row],[Shortname]], Comp[],12, FALSE)</f>
        <v>12</v>
      </c>
      <c r="P319">
        <f>VLOOKUP(Table9[[#This Row],[Shortname]], Comp[], 13, FALSE)</f>
        <v>0</v>
      </c>
      <c r="Q319">
        <f>VLOOKUP(Table9[[#This Row],[Shortname]], Comp[], 14, FALSE)</f>
        <v>0</v>
      </c>
      <c r="R319">
        <f>VLOOKUP(Table9[[#This Row],[Shortname]], Comp[], 15, FALSE)</f>
        <v>0</v>
      </c>
      <c r="S319">
        <f>VLOOKUP(Table9[[#This Row],[Shortname]], Comp[], 16, FALSE)</f>
        <v>0</v>
      </c>
      <c r="T319">
        <f>VLOOKUP(Table9[[#This Row],[Shortname]], Comp[], 17, FALSE)</f>
        <v>0</v>
      </c>
      <c r="U319">
        <f>VLOOKUP(Table9[[#This Row],[Shortname]], Comp[], 18, FALSE)</f>
        <v>0</v>
      </c>
      <c r="V319">
        <f>VLOOKUP(Table9[[#This Row],[Shortname]], Comp[], 19, FALSE)</f>
        <v>0</v>
      </c>
      <c r="W319">
        <f>VLOOKUP(Table9[[#This Row],[Shortname]], Comp[], 20, FALSE)</f>
        <v>0</v>
      </c>
      <c r="X319">
        <f>VLOOKUP(Table9[[#This Row],[Shortname]], Comp[], 21, FALSE)</f>
        <v>3</v>
      </c>
      <c r="Y319">
        <f>VLOOKUP(Table9[[#This Row],[Shortname]], Comp[], 22, FALSE)</f>
        <v>0</v>
      </c>
      <c r="Z319">
        <f>VLOOKUP(Table9[[#This Row],[Shortname]], Comp[], 23, FALSE)</f>
        <v>0</v>
      </c>
      <c r="AA319">
        <f>VLOOKUP(Table9[[#This Row],[Shortname]], Comp[], 24, FALSE)</f>
        <v>0</v>
      </c>
      <c r="AB319">
        <f>VLOOKUP(Table9[[#This Row],[Shortname]], Comp[], 25, FALSE)</f>
        <v>0</v>
      </c>
      <c r="AC319">
        <f>VLOOKUP(Table9[[#This Row],[Shortname]], Comp[], 26, FALSE)</f>
        <v>0</v>
      </c>
      <c r="AD319">
        <f>VLOOKUP(Table9[[#This Row],[Shortname]], Comp[], 27, FALSE)</f>
        <v>0</v>
      </c>
      <c r="AE319">
        <f>VLOOKUP(Table9[[#This Row],[Shortname]], Comp[], 28, FALSE)</f>
        <v>0</v>
      </c>
      <c r="AF319">
        <f>VLOOKUP(Table9[[#This Row],[Shortname]], Comp[], 29, FALSE)</f>
        <v>0</v>
      </c>
      <c r="AG319">
        <f>VLOOKUP(Table9[[#This Row],[Shortname]], Comp[], 30, FALSE)</f>
        <v>0</v>
      </c>
      <c r="AH319">
        <f>VLOOKUP(Table9[[#This Row],[Shortname]], Comp[], 31, FALSE)</f>
        <v>0</v>
      </c>
    </row>
    <row r="320" spans="1:34" x14ac:dyDescent="0.3">
      <c r="A320" t="s">
        <v>3138</v>
      </c>
      <c r="B320" t="s">
        <v>3140</v>
      </c>
      <c r="C320" t="s">
        <v>3119</v>
      </c>
      <c r="D320">
        <v>373</v>
      </c>
      <c r="E320">
        <v>850</v>
      </c>
      <c r="F320">
        <v>1E-4</v>
      </c>
      <c r="G320">
        <v>1</v>
      </c>
      <c r="H320" t="s">
        <v>6803</v>
      </c>
      <c r="I320">
        <f>VLOOKUP(Table9[[#This Row],[Shortname]], Comp[], 6, FALSE)</f>
        <v>438</v>
      </c>
      <c r="J320" s="14">
        <f>VLOOKUP(Table9[[#This Row],[Shortname]], Comp[], 7, FALSE)</f>
        <v>84</v>
      </c>
      <c r="K320">
        <f>VLOOKUP(Table9[[#This Row],[Shortname]], Comp[], 8, FALSE)</f>
        <v>0</v>
      </c>
      <c r="L320">
        <f>VLOOKUP(Table9[[#This Row],[Shortname]], Comp[], 9, FALSE)</f>
        <v>2</v>
      </c>
      <c r="M320">
        <f>VLOOKUP(Table9[[#This Row],[Shortname]], Comp[], 10, FALSE)</f>
        <v>0</v>
      </c>
      <c r="N320">
        <f>VLOOKUP(Table9[[#This Row],[Shortname]], Comp[], 11, FALSE)</f>
        <v>0</v>
      </c>
      <c r="O320">
        <f>VLOOKUP(Table9[[#This Row],[Shortname]], Comp[],12, FALSE)</f>
        <v>0</v>
      </c>
      <c r="P320">
        <f>VLOOKUP(Table9[[#This Row],[Shortname]], Comp[], 13, FALSE)</f>
        <v>2</v>
      </c>
      <c r="Q320">
        <f>VLOOKUP(Table9[[#This Row],[Shortname]], Comp[], 14, FALSE)</f>
        <v>0</v>
      </c>
      <c r="R320">
        <f>VLOOKUP(Table9[[#This Row],[Shortname]], Comp[], 15, FALSE)</f>
        <v>12</v>
      </c>
      <c r="S320">
        <f>VLOOKUP(Table9[[#This Row],[Shortname]], Comp[], 16, FALSE)</f>
        <v>0</v>
      </c>
      <c r="T320">
        <f>VLOOKUP(Table9[[#This Row],[Shortname]], Comp[], 17, FALSE)</f>
        <v>0</v>
      </c>
      <c r="U320">
        <f>VLOOKUP(Table9[[#This Row],[Shortname]], Comp[], 18, FALSE)</f>
        <v>0</v>
      </c>
      <c r="V320">
        <f>VLOOKUP(Table9[[#This Row],[Shortname]], Comp[], 19, FALSE)</f>
        <v>0</v>
      </c>
      <c r="W320">
        <f>VLOOKUP(Table9[[#This Row],[Shortname]], Comp[], 20, FALSE)</f>
        <v>0</v>
      </c>
      <c r="X320">
        <f>VLOOKUP(Table9[[#This Row],[Shortname]], Comp[], 21, FALSE)</f>
        <v>0</v>
      </c>
      <c r="Y320">
        <f>VLOOKUP(Table9[[#This Row],[Shortname]], Comp[], 22, FALSE)</f>
        <v>0</v>
      </c>
      <c r="Z320">
        <f>VLOOKUP(Table9[[#This Row],[Shortname]], Comp[], 23, FALSE)</f>
        <v>0</v>
      </c>
      <c r="AA320">
        <f>VLOOKUP(Table9[[#This Row],[Shortname]], Comp[], 24, FALSE)</f>
        <v>0</v>
      </c>
      <c r="AB320">
        <f>VLOOKUP(Table9[[#This Row],[Shortname]], Comp[], 25, FALSE)</f>
        <v>0</v>
      </c>
      <c r="AC320">
        <f>VLOOKUP(Table9[[#This Row],[Shortname]], Comp[], 26, FALSE)</f>
        <v>0</v>
      </c>
      <c r="AD320">
        <f>VLOOKUP(Table9[[#This Row],[Shortname]], Comp[], 27, FALSE)</f>
        <v>0</v>
      </c>
      <c r="AE320">
        <f>VLOOKUP(Table9[[#This Row],[Shortname]], Comp[], 28, FALSE)</f>
        <v>0</v>
      </c>
      <c r="AF320">
        <f>VLOOKUP(Table9[[#This Row],[Shortname]], Comp[], 29, FALSE)</f>
        <v>0</v>
      </c>
      <c r="AG320">
        <f>VLOOKUP(Table9[[#This Row],[Shortname]], Comp[], 30, FALSE)</f>
        <v>0</v>
      </c>
      <c r="AH320">
        <f>VLOOKUP(Table9[[#This Row],[Shortname]], Comp[], 31, FALSE)</f>
        <v>0</v>
      </c>
    </row>
    <row r="321" spans="1:34" x14ac:dyDescent="0.3">
      <c r="A321" t="s">
        <v>641</v>
      </c>
      <c r="B321" t="s">
        <v>3494</v>
      </c>
      <c r="C321" t="s">
        <v>3495</v>
      </c>
      <c r="D321">
        <v>370</v>
      </c>
      <c r="E321">
        <v>750</v>
      </c>
      <c r="F321">
        <v>1E-4</v>
      </c>
      <c r="G321">
        <v>1</v>
      </c>
      <c r="H321" t="s">
        <v>6803</v>
      </c>
      <c r="I321">
        <f>VLOOKUP(Table9[[#This Row],[Shortname]], Comp[], 6, FALSE)</f>
        <v>82</v>
      </c>
      <c r="J321" s="14">
        <f>VLOOKUP(Table9[[#This Row],[Shortname]], Comp[], 7, FALSE)</f>
        <v>82</v>
      </c>
      <c r="K321">
        <f>VLOOKUP(Table9[[#This Row],[Shortname]], Comp[], 8, FALSE)</f>
        <v>0</v>
      </c>
      <c r="L321">
        <f>VLOOKUP(Table9[[#This Row],[Shortname]], Comp[], 9, FALSE)</f>
        <v>9</v>
      </c>
      <c r="M321">
        <f>VLOOKUP(Table9[[#This Row],[Shortname]], Comp[], 10, FALSE)</f>
        <v>0</v>
      </c>
      <c r="N321">
        <f>VLOOKUP(Table9[[#This Row],[Shortname]], Comp[], 11, FALSE)</f>
        <v>9</v>
      </c>
      <c r="O321">
        <f>VLOOKUP(Table9[[#This Row],[Shortname]], Comp[],12, FALSE)</f>
        <v>0</v>
      </c>
      <c r="P321">
        <f>VLOOKUP(Table9[[#This Row],[Shortname]], Comp[], 13, FALSE)</f>
        <v>0</v>
      </c>
      <c r="Q321">
        <f>VLOOKUP(Table9[[#This Row],[Shortname]], Comp[], 14, FALSE)</f>
        <v>0</v>
      </c>
      <c r="R321">
        <f>VLOOKUP(Table9[[#This Row],[Shortname]], Comp[], 15, FALSE)</f>
        <v>0</v>
      </c>
      <c r="S321">
        <f>VLOOKUP(Table9[[#This Row],[Shortname]], Comp[], 16, FALSE)</f>
        <v>0</v>
      </c>
      <c r="T321">
        <f>VLOOKUP(Table9[[#This Row],[Shortname]], Comp[], 17, FALSE)</f>
        <v>0</v>
      </c>
      <c r="U321">
        <f>VLOOKUP(Table9[[#This Row],[Shortname]], Comp[], 18, FALSE)</f>
        <v>0</v>
      </c>
      <c r="V321">
        <f>VLOOKUP(Table9[[#This Row],[Shortname]], Comp[], 19, FALSE)</f>
        <v>0</v>
      </c>
      <c r="W321">
        <f>VLOOKUP(Table9[[#This Row],[Shortname]], Comp[], 20, FALSE)</f>
        <v>0</v>
      </c>
      <c r="X321">
        <f>VLOOKUP(Table9[[#This Row],[Shortname]], Comp[], 21, FALSE)</f>
        <v>0</v>
      </c>
      <c r="Y321">
        <f>VLOOKUP(Table9[[#This Row],[Shortname]], Comp[], 22, FALSE)</f>
        <v>0</v>
      </c>
      <c r="Z321">
        <f>VLOOKUP(Table9[[#This Row],[Shortname]], Comp[], 23, FALSE)</f>
        <v>0</v>
      </c>
      <c r="AA321">
        <f>VLOOKUP(Table9[[#This Row],[Shortname]], Comp[], 24, FALSE)</f>
        <v>0</v>
      </c>
      <c r="AB321">
        <f>VLOOKUP(Table9[[#This Row],[Shortname]], Comp[], 25, FALSE)</f>
        <v>0</v>
      </c>
      <c r="AC321">
        <f>VLOOKUP(Table9[[#This Row],[Shortname]], Comp[], 26, FALSE)</f>
        <v>0</v>
      </c>
      <c r="AD321">
        <f>VLOOKUP(Table9[[#This Row],[Shortname]], Comp[], 27, FALSE)</f>
        <v>0</v>
      </c>
      <c r="AE321">
        <f>VLOOKUP(Table9[[#This Row],[Shortname]], Comp[], 28, FALSE)</f>
        <v>0</v>
      </c>
      <c r="AF321">
        <f>VLOOKUP(Table9[[#This Row],[Shortname]], Comp[], 29, FALSE)</f>
        <v>0</v>
      </c>
      <c r="AG321">
        <f>VLOOKUP(Table9[[#This Row],[Shortname]], Comp[], 30, FALSE)</f>
        <v>0</v>
      </c>
      <c r="AH321">
        <f>VLOOKUP(Table9[[#This Row],[Shortname]], Comp[], 31, FALSE)</f>
        <v>0</v>
      </c>
    </row>
    <row r="322" spans="1:34" x14ac:dyDescent="0.3">
      <c r="A322" t="s">
        <v>3168</v>
      </c>
      <c r="B322" t="s">
        <v>3170</v>
      </c>
      <c r="C322" t="s">
        <v>3157</v>
      </c>
      <c r="D322">
        <v>367</v>
      </c>
      <c r="E322">
        <v>906</v>
      </c>
      <c r="F322">
        <v>1E-4</v>
      </c>
      <c r="G322">
        <v>1</v>
      </c>
      <c r="H322" t="s">
        <v>6803</v>
      </c>
      <c r="I322">
        <f>VLOOKUP(Table9[[#This Row],[Shortname]], Comp[], 6, FALSE)</f>
        <v>442</v>
      </c>
      <c r="J322" s="14">
        <f>VLOOKUP(Table9[[#This Row],[Shortname]], Comp[], 7, FALSE)</f>
        <v>78</v>
      </c>
      <c r="K322">
        <f>VLOOKUP(Table9[[#This Row],[Shortname]], Comp[], 8, FALSE)</f>
        <v>2</v>
      </c>
      <c r="L322">
        <f>VLOOKUP(Table9[[#This Row],[Shortname]], Comp[], 9, FALSE)</f>
        <v>0</v>
      </c>
      <c r="M322">
        <f>VLOOKUP(Table9[[#This Row],[Shortname]], Comp[], 10, FALSE)</f>
        <v>0</v>
      </c>
      <c r="N322">
        <f>VLOOKUP(Table9[[#This Row],[Shortname]], Comp[], 11, FALSE)</f>
        <v>0</v>
      </c>
      <c r="O322">
        <f>VLOOKUP(Table9[[#This Row],[Shortname]], Comp[],12, FALSE)</f>
        <v>5</v>
      </c>
      <c r="P322">
        <f>VLOOKUP(Table9[[#This Row],[Shortname]], Comp[], 13, FALSE)</f>
        <v>0</v>
      </c>
      <c r="Q322">
        <f>VLOOKUP(Table9[[#This Row],[Shortname]], Comp[], 14, FALSE)</f>
        <v>0</v>
      </c>
      <c r="R322">
        <f>VLOOKUP(Table9[[#This Row],[Shortname]], Comp[], 15, FALSE)</f>
        <v>15</v>
      </c>
      <c r="S322">
        <f>VLOOKUP(Table9[[#This Row],[Shortname]], Comp[], 16, FALSE)</f>
        <v>0</v>
      </c>
      <c r="T322">
        <f>VLOOKUP(Table9[[#This Row],[Shortname]], Comp[], 17, FALSE)</f>
        <v>0</v>
      </c>
      <c r="U322">
        <f>VLOOKUP(Table9[[#This Row],[Shortname]], Comp[], 18, FALSE)</f>
        <v>0</v>
      </c>
      <c r="V322">
        <f>VLOOKUP(Table9[[#This Row],[Shortname]], Comp[], 19, FALSE)</f>
        <v>0</v>
      </c>
      <c r="W322">
        <f>VLOOKUP(Table9[[#This Row],[Shortname]], Comp[], 20, FALSE)</f>
        <v>0</v>
      </c>
      <c r="X322">
        <f>VLOOKUP(Table9[[#This Row],[Shortname]], Comp[], 21, FALSE)</f>
        <v>0</v>
      </c>
      <c r="Y322">
        <f>VLOOKUP(Table9[[#This Row],[Shortname]], Comp[], 22, FALSE)</f>
        <v>0</v>
      </c>
      <c r="Z322">
        <f>VLOOKUP(Table9[[#This Row],[Shortname]], Comp[], 23, FALSE)</f>
        <v>0</v>
      </c>
      <c r="AA322">
        <f>VLOOKUP(Table9[[#This Row],[Shortname]], Comp[], 24, FALSE)</f>
        <v>0</v>
      </c>
      <c r="AB322">
        <f>VLOOKUP(Table9[[#This Row],[Shortname]], Comp[], 25, FALSE)</f>
        <v>0</v>
      </c>
      <c r="AC322">
        <f>VLOOKUP(Table9[[#This Row],[Shortname]], Comp[], 26, FALSE)</f>
        <v>0</v>
      </c>
      <c r="AD322">
        <f>VLOOKUP(Table9[[#This Row],[Shortname]], Comp[], 27, FALSE)</f>
        <v>0</v>
      </c>
      <c r="AE322">
        <f>VLOOKUP(Table9[[#This Row],[Shortname]], Comp[], 28, FALSE)</f>
        <v>0</v>
      </c>
      <c r="AF322">
        <f>VLOOKUP(Table9[[#This Row],[Shortname]], Comp[], 29, FALSE)</f>
        <v>0</v>
      </c>
      <c r="AG322">
        <f>VLOOKUP(Table9[[#This Row],[Shortname]], Comp[], 30, FALSE)</f>
        <v>0</v>
      </c>
      <c r="AH322">
        <f>VLOOKUP(Table9[[#This Row],[Shortname]], Comp[], 31, FALSE)</f>
        <v>0</v>
      </c>
    </row>
    <row r="323" spans="1:34" x14ac:dyDescent="0.3">
      <c r="A323" t="s">
        <v>1465</v>
      </c>
      <c r="B323" t="s">
        <v>1467</v>
      </c>
      <c r="C323" t="s">
        <v>1459</v>
      </c>
      <c r="D323">
        <v>362</v>
      </c>
      <c r="E323">
        <v>400</v>
      </c>
      <c r="F323">
        <v>1E-4</v>
      </c>
      <c r="G323">
        <v>1</v>
      </c>
      <c r="H323" t="s">
        <v>6813</v>
      </c>
      <c r="I323">
        <f>VLOOKUP(Table9[[#This Row],[Shortname]], Comp[], 6, FALSE)</f>
        <v>187</v>
      </c>
      <c r="J323" s="14">
        <f>VLOOKUP(Table9[[#This Row],[Shortname]], Comp[], 7, FALSE)</f>
        <v>52.8</v>
      </c>
      <c r="K323">
        <f>VLOOKUP(Table9[[#This Row],[Shortname]], Comp[], 8, FALSE)</f>
        <v>30.5</v>
      </c>
      <c r="L323">
        <f>VLOOKUP(Table9[[#This Row],[Shortname]], Comp[], 9, FALSE)</f>
        <v>9.6</v>
      </c>
      <c r="M323">
        <f>VLOOKUP(Table9[[#This Row],[Shortname]], Comp[], 10, FALSE)</f>
        <v>0</v>
      </c>
      <c r="N323">
        <f>VLOOKUP(Table9[[#This Row],[Shortname]], Comp[], 11, FALSE)</f>
        <v>7.1</v>
      </c>
      <c r="O323">
        <f>VLOOKUP(Table9[[#This Row],[Shortname]], Comp[],12, FALSE)</f>
        <v>0</v>
      </c>
      <c r="P323">
        <f>VLOOKUP(Table9[[#This Row],[Shortname]], Comp[], 13, FALSE)</f>
        <v>0</v>
      </c>
      <c r="Q323">
        <f>VLOOKUP(Table9[[#This Row],[Shortname]], Comp[], 14, FALSE)</f>
        <v>0</v>
      </c>
      <c r="R323">
        <f>VLOOKUP(Table9[[#This Row],[Shortname]], Comp[], 15, FALSE)</f>
        <v>0</v>
      </c>
      <c r="S323">
        <f>VLOOKUP(Table9[[#This Row],[Shortname]], Comp[], 16, FALSE)</f>
        <v>0</v>
      </c>
      <c r="T323">
        <f>VLOOKUP(Table9[[#This Row],[Shortname]], Comp[], 17, FALSE)</f>
        <v>0</v>
      </c>
      <c r="U323">
        <f>VLOOKUP(Table9[[#This Row],[Shortname]], Comp[], 18, FALSE)</f>
        <v>0</v>
      </c>
      <c r="V323">
        <f>VLOOKUP(Table9[[#This Row],[Shortname]], Comp[], 19, FALSE)</f>
        <v>0</v>
      </c>
      <c r="W323">
        <f>VLOOKUP(Table9[[#This Row],[Shortname]], Comp[], 20, FALSE)</f>
        <v>0</v>
      </c>
      <c r="X323">
        <f>VLOOKUP(Table9[[#This Row],[Shortname]], Comp[], 21, FALSE)</f>
        <v>0</v>
      </c>
      <c r="Y323">
        <f>VLOOKUP(Table9[[#This Row],[Shortname]], Comp[], 22, FALSE)</f>
        <v>0</v>
      </c>
      <c r="Z323">
        <f>VLOOKUP(Table9[[#This Row],[Shortname]], Comp[], 23, FALSE)</f>
        <v>0</v>
      </c>
      <c r="AA323">
        <f>VLOOKUP(Table9[[#This Row],[Shortname]], Comp[], 24, FALSE)</f>
        <v>0</v>
      </c>
      <c r="AB323">
        <f>VLOOKUP(Table9[[#This Row],[Shortname]], Comp[], 25, FALSE)</f>
        <v>0</v>
      </c>
      <c r="AC323">
        <f>VLOOKUP(Table9[[#This Row],[Shortname]], Comp[], 26, FALSE)</f>
        <v>0</v>
      </c>
      <c r="AD323">
        <f>VLOOKUP(Table9[[#This Row],[Shortname]], Comp[], 27, FALSE)</f>
        <v>0</v>
      </c>
      <c r="AE323">
        <f>VLOOKUP(Table9[[#This Row],[Shortname]], Comp[], 28, FALSE)</f>
        <v>0</v>
      </c>
      <c r="AF323">
        <f>VLOOKUP(Table9[[#This Row],[Shortname]], Comp[], 29, FALSE)</f>
        <v>0</v>
      </c>
      <c r="AG323">
        <f>VLOOKUP(Table9[[#This Row],[Shortname]], Comp[], 30, FALSE)</f>
        <v>0</v>
      </c>
      <c r="AH323">
        <f>VLOOKUP(Table9[[#This Row],[Shortname]], Comp[], 31, FALSE)</f>
        <v>0</v>
      </c>
    </row>
    <row r="324" spans="1:34" x14ac:dyDescent="0.3">
      <c r="A324" t="s">
        <v>3182</v>
      </c>
      <c r="B324" t="s">
        <v>97</v>
      </c>
      <c r="C324" t="s">
        <v>3480</v>
      </c>
      <c r="D324">
        <v>362</v>
      </c>
      <c r="E324">
        <v>750</v>
      </c>
      <c r="F324">
        <v>1E-4</v>
      </c>
      <c r="G324">
        <v>1</v>
      </c>
      <c r="H324" t="s">
        <v>6803</v>
      </c>
      <c r="I324">
        <f>VLOOKUP(Table9[[#This Row],[Shortname]], Comp[], 6, FALSE)</f>
        <v>446</v>
      </c>
      <c r="J324" s="14">
        <f>VLOOKUP(Table9[[#This Row],[Shortname]], Comp[], 7, FALSE)</f>
        <v>81.8</v>
      </c>
      <c r="K324">
        <f>VLOOKUP(Table9[[#This Row],[Shortname]], Comp[], 8, FALSE)</f>
        <v>0</v>
      </c>
      <c r="L324">
        <f>VLOOKUP(Table9[[#This Row],[Shortname]], Comp[], 9, FALSE)</f>
        <v>9.1999999999999993</v>
      </c>
      <c r="M324">
        <f>VLOOKUP(Table9[[#This Row],[Shortname]], Comp[], 10, FALSE)</f>
        <v>0</v>
      </c>
      <c r="N324">
        <f>VLOOKUP(Table9[[#This Row],[Shortname]], Comp[], 11, FALSE)</f>
        <v>9</v>
      </c>
      <c r="O324">
        <f>VLOOKUP(Table9[[#This Row],[Shortname]], Comp[],12, FALSE)</f>
        <v>0</v>
      </c>
      <c r="P324">
        <f>VLOOKUP(Table9[[#This Row],[Shortname]], Comp[], 13, FALSE)</f>
        <v>0</v>
      </c>
      <c r="Q324">
        <f>VLOOKUP(Table9[[#This Row],[Shortname]], Comp[], 14, FALSE)</f>
        <v>0</v>
      </c>
      <c r="R324">
        <f>VLOOKUP(Table9[[#This Row],[Shortname]], Comp[], 15, FALSE)</f>
        <v>0</v>
      </c>
      <c r="S324">
        <f>VLOOKUP(Table9[[#This Row],[Shortname]], Comp[], 16, FALSE)</f>
        <v>0</v>
      </c>
      <c r="T324">
        <f>VLOOKUP(Table9[[#This Row],[Shortname]], Comp[], 17, FALSE)</f>
        <v>0</v>
      </c>
      <c r="U324">
        <f>VLOOKUP(Table9[[#This Row],[Shortname]], Comp[], 18, FALSE)</f>
        <v>0</v>
      </c>
      <c r="V324">
        <f>VLOOKUP(Table9[[#This Row],[Shortname]], Comp[], 19, FALSE)</f>
        <v>0</v>
      </c>
      <c r="W324">
        <f>VLOOKUP(Table9[[#This Row],[Shortname]], Comp[], 20, FALSE)</f>
        <v>0</v>
      </c>
      <c r="X324">
        <f>VLOOKUP(Table9[[#This Row],[Shortname]], Comp[], 21, FALSE)</f>
        <v>0</v>
      </c>
      <c r="Y324">
        <f>VLOOKUP(Table9[[#This Row],[Shortname]], Comp[], 22, FALSE)</f>
        <v>0</v>
      </c>
      <c r="Z324">
        <f>VLOOKUP(Table9[[#This Row],[Shortname]], Comp[], 23, FALSE)</f>
        <v>0</v>
      </c>
      <c r="AA324">
        <f>VLOOKUP(Table9[[#This Row],[Shortname]], Comp[], 24, FALSE)</f>
        <v>0</v>
      </c>
      <c r="AB324">
        <f>VLOOKUP(Table9[[#This Row],[Shortname]], Comp[], 25, FALSE)</f>
        <v>0</v>
      </c>
      <c r="AC324">
        <f>VLOOKUP(Table9[[#This Row],[Shortname]], Comp[], 26, FALSE)</f>
        <v>0</v>
      </c>
      <c r="AD324">
        <f>VLOOKUP(Table9[[#This Row],[Shortname]], Comp[], 27, FALSE)</f>
        <v>0</v>
      </c>
      <c r="AE324">
        <f>VLOOKUP(Table9[[#This Row],[Shortname]], Comp[], 28, FALSE)</f>
        <v>0</v>
      </c>
      <c r="AF324">
        <f>VLOOKUP(Table9[[#This Row],[Shortname]], Comp[], 29, FALSE)</f>
        <v>0</v>
      </c>
      <c r="AG324">
        <f>VLOOKUP(Table9[[#This Row],[Shortname]], Comp[], 30, FALSE)</f>
        <v>0</v>
      </c>
      <c r="AH324">
        <f>VLOOKUP(Table9[[#This Row],[Shortname]], Comp[], 31, FALSE)</f>
        <v>0</v>
      </c>
    </row>
    <row r="325" spans="1:34" x14ac:dyDescent="0.3">
      <c r="A325" t="s">
        <v>1788</v>
      </c>
      <c r="B325" t="s">
        <v>1790</v>
      </c>
      <c r="C325" t="s">
        <v>1791</v>
      </c>
      <c r="D325">
        <v>360</v>
      </c>
      <c r="E325">
        <v>930</v>
      </c>
      <c r="F325">
        <v>1E-3</v>
      </c>
      <c r="G325">
        <v>1</v>
      </c>
      <c r="I325">
        <f>VLOOKUP(Table9[[#This Row],[Shortname]], Comp[], 6, FALSE)</f>
        <v>231</v>
      </c>
      <c r="J325" s="14">
        <f>VLOOKUP(Table9[[#This Row],[Shortname]], Comp[], 7, FALSE)</f>
        <v>36.11</v>
      </c>
      <c r="K325">
        <f>VLOOKUP(Table9[[#This Row],[Shortname]], Comp[], 8, FALSE)</f>
        <v>34.200000000000003</v>
      </c>
      <c r="L325">
        <f>VLOOKUP(Table9[[#This Row],[Shortname]], Comp[], 9, FALSE)</f>
        <v>10.5</v>
      </c>
      <c r="M325">
        <f>VLOOKUP(Table9[[#This Row],[Shortname]], Comp[], 10, FALSE)</f>
        <v>14.8</v>
      </c>
      <c r="N325">
        <f>VLOOKUP(Table9[[#This Row],[Shortname]], Comp[], 11, FALSE)</f>
        <v>3</v>
      </c>
      <c r="O325">
        <f>VLOOKUP(Table9[[#This Row],[Shortname]], Comp[],12, FALSE)</f>
        <v>0</v>
      </c>
      <c r="P325">
        <f>VLOOKUP(Table9[[#This Row],[Shortname]], Comp[], 13, FALSE)</f>
        <v>1</v>
      </c>
      <c r="Q325">
        <f>VLOOKUP(Table9[[#This Row],[Shortname]], Comp[], 14, FALSE)</f>
        <v>0</v>
      </c>
      <c r="R325">
        <f>VLOOKUP(Table9[[#This Row],[Shortname]], Comp[], 15, FALSE)</f>
        <v>0</v>
      </c>
      <c r="S325">
        <f>VLOOKUP(Table9[[#This Row],[Shortname]], Comp[], 16, FALSE)</f>
        <v>0</v>
      </c>
      <c r="T325">
        <f>VLOOKUP(Table9[[#This Row],[Shortname]], Comp[], 17, FALSE)</f>
        <v>0.15</v>
      </c>
      <c r="U325">
        <f>VLOOKUP(Table9[[#This Row],[Shortname]], Comp[], 18, FALSE)</f>
        <v>0.04</v>
      </c>
      <c r="V325">
        <f>VLOOKUP(Table9[[#This Row],[Shortname]], Comp[], 19, FALSE)</f>
        <v>0.2</v>
      </c>
      <c r="W325">
        <f>VLOOKUP(Table9[[#This Row],[Shortname]], Comp[], 20, FALSE)</f>
        <v>0</v>
      </c>
      <c r="X325">
        <f>VLOOKUP(Table9[[#This Row],[Shortname]], Comp[], 21, FALSE)</f>
        <v>0</v>
      </c>
      <c r="Y325">
        <f>VLOOKUP(Table9[[#This Row],[Shortname]], Comp[], 22, FALSE)</f>
        <v>0</v>
      </c>
      <c r="Z325">
        <f>VLOOKUP(Table9[[#This Row],[Shortname]], Comp[], 23, FALSE)</f>
        <v>0</v>
      </c>
      <c r="AA325">
        <f>VLOOKUP(Table9[[#This Row],[Shortname]], Comp[], 24, FALSE)</f>
        <v>0</v>
      </c>
      <c r="AB325">
        <f>VLOOKUP(Table9[[#This Row],[Shortname]], Comp[], 25, FALSE)</f>
        <v>0</v>
      </c>
      <c r="AC325">
        <f>VLOOKUP(Table9[[#This Row],[Shortname]], Comp[], 26, FALSE)</f>
        <v>0</v>
      </c>
      <c r="AD325">
        <f>VLOOKUP(Table9[[#This Row],[Shortname]], Comp[], 27, FALSE)</f>
        <v>0</v>
      </c>
      <c r="AE325">
        <f>VLOOKUP(Table9[[#This Row],[Shortname]], Comp[], 28, FALSE)</f>
        <v>0</v>
      </c>
      <c r="AF325">
        <f>VLOOKUP(Table9[[#This Row],[Shortname]], Comp[], 29, FALSE)</f>
        <v>0</v>
      </c>
      <c r="AG325">
        <f>VLOOKUP(Table9[[#This Row],[Shortname]], Comp[], 30, FALSE)</f>
        <v>0</v>
      </c>
      <c r="AH325">
        <f>VLOOKUP(Table9[[#This Row],[Shortname]], Comp[], 31, FALSE)</f>
        <v>0</v>
      </c>
    </row>
    <row r="326" spans="1:34" x14ac:dyDescent="0.3">
      <c r="A326" t="s">
        <v>983</v>
      </c>
      <c r="B326" t="s">
        <v>5230</v>
      </c>
      <c r="C326" t="s">
        <v>5231</v>
      </c>
      <c r="D326">
        <v>355</v>
      </c>
      <c r="E326">
        <v>-111</v>
      </c>
      <c r="F326">
        <v>1E-4</v>
      </c>
      <c r="G326">
        <v>1</v>
      </c>
      <c r="H326" t="s">
        <v>6803</v>
      </c>
      <c r="I326">
        <f>VLOOKUP(Table9[[#This Row],[Shortname]], Comp[], 6, FALSE)</f>
        <v>127</v>
      </c>
      <c r="J326" s="14">
        <f>VLOOKUP(Table9[[#This Row],[Shortname]], Comp[], 7, FALSE)</f>
        <v>77</v>
      </c>
      <c r="K326">
        <f>VLOOKUP(Table9[[#This Row],[Shortname]], Comp[], 8, FALSE)</f>
        <v>0</v>
      </c>
      <c r="L326">
        <f>VLOOKUP(Table9[[#This Row],[Shortname]], Comp[], 9, FALSE)</f>
        <v>12</v>
      </c>
      <c r="M326">
        <f>VLOOKUP(Table9[[#This Row],[Shortname]], Comp[], 10, FALSE)</f>
        <v>0</v>
      </c>
      <c r="N326">
        <f>VLOOKUP(Table9[[#This Row],[Shortname]], Comp[], 11, FALSE)</f>
        <v>11</v>
      </c>
      <c r="O326">
        <f>VLOOKUP(Table9[[#This Row],[Shortname]], Comp[],12, FALSE)</f>
        <v>0</v>
      </c>
      <c r="P326">
        <f>VLOOKUP(Table9[[#This Row],[Shortname]], Comp[], 13, FALSE)</f>
        <v>0</v>
      </c>
      <c r="Q326">
        <f>VLOOKUP(Table9[[#This Row],[Shortname]], Comp[], 14, FALSE)</f>
        <v>0</v>
      </c>
      <c r="R326">
        <f>VLOOKUP(Table9[[#This Row],[Shortname]], Comp[], 15, FALSE)</f>
        <v>0</v>
      </c>
      <c r="S326">
        <f>VLOOKUP(Table9[[#This Row],[Shortname]], Comp[], 16, FALSE)</f>
        <v>0</v>
      </c>
      <c r="T326">
        <f>VLOOKUP(Table9[[#This Row],[Shortname]], Comp[], 17, FALSE)</f>
        <v>0</v>
      </c>
      <c r="U326">
        <f>VLOOKUP(Table9[[#This Row],[Shortname]], Comp[], 18, FALSE)</f>
        <v>0</v>
      </c>
      <c r="V326">
        <f>VLOOKUP(Table9[[#This Row],[Shortname]], Comp[], 19, FALSE)</f>
        <v>0</v>
      </c>
      <c r="W326">
        <f>VLOOKUP(Table9[[#This Row],[Shortname]], Comp[], 20, FALSE)</f>
        <v>0</v>
      </c>
      <c r="X326">
        <f>VLOOKUP(Table9[[#This Row],[Shortname]], Comp[], 21, FALSE)</f>
        <v>0</v>
      </c>
      <c r="Y326">
        <f>VLOOKUP(Table9[[#This Row],[Shortname]], Comp[], 22, FALSE)</f>
        <v>0</v>
      </c>
      <c r="Z326">
        <f>VLOOKUP(Table9[[#This Row],[Shortname]], Comp[], 23, FALSE)</f>
        <v>0</v>
      </c>
      <c r="AA326">
        <f>VLOOKUP(Table9[[#This Row],[Shortname]], Comp[], 24, FALSE)</f>
        <v>0</v>
      </c>
      <c r="AB326">
        <f>VLOOKUP(Table9[[#This Row],[Shortname]], Comp[], 25, FALSE)</f>
        <v>0</v>
      </c>
      <c r="AC326">
        <f>VLOOKUP(Table9[[#This Row],[Shortname]], Comp[], 26, FALSE)</f>
        <v>0</v>
      </c>
      <c r="AD326">
        <f>VLOOKUP(Table9[[#This Row],[Shortname]], Comp[], 27, FALSE)</f>
        <v>0</v>
      </c>
      <c r="AE326">
        <f>VLOOKUP(Table9[[#This Row],[Shortname]], Comp[], 28, FALSE)</f>
        <v>0</v>
      </c>
      <c r="AF326">
        <f>VLOOKUP(Table9[[#This Row],[Shortname]], Comp[], 29, FALSE)</f>
        <v>0</v>
      </c>
      <c r="AG326">
        <f>VLOOKUP(Table9[[#This Row],[Shortname]], Comp[], 30, FALSE)</f>
        <v>0</v>
      </c>
      <c r="AH326">
        <f>VLOOKUP(Table9[[#This Row],[Shortname]], Comp[], 31, FALSE)</f>
        <v>0</v>
      </c>
    </row>
    <row r="327" spans="1:34" x14ac:dyDescent="0.3">
      <c r="A327" t="s">
        <v>641</v>
      </c>
      <c r="B327" t="s">
        <v>3494</v>
      </c>
      <c r="C327" t="s">
        <v>3495</v>
      </c>
      <c r="D327">
        <v>355</v>
      </c>
      <c r="E327">
        <v>800</v>
      </c>
      <c r="F327">
        <v>1E-4</v>
      </c>
      <c r="G327">
        <v>1</v>
      </c>
      <c r="H327" t="s">
        <v>6803</v>
      </c>
      <c r="I327">
        <f>VLOOKUP(Table9[[#This Row],[Shortname]], Comp[], 6, FALSE)</f>
        <v>82</v>
      </c>
      <c r="J327" s="14">
        <f>VLOOKUP(Table9[[#This Row],[Shortname]], Comp[], 7, FALSE)</f>
        <v>82</v>
      </c>
      <c r="K327">
        <f>VLOOKUP(Table9[[#This Row],[Shortname]], Comp[], 8, FALSE)</f>
        <v>0</v>
      </c>
      <c r="L327">
        <f>VLOOKUP(Table9[[#This Row],[Shortname]], Comp[], 9, FALSE)</f>
        <v>9</v>
      </c>
      <c r="M327">
        <f>VLOOKUP(Table9[[#This Row],[Shortname]], Comp[], 10, FALSE)</f>
        <v>0</v>
      </c>
      <c r="N327">
        <f>VLOOKUP(Table9[[#This Row],[Shortname]], Comp[], 11, FALSE)</f>
        <v>9</v>
      </c>
      <c r="O327">
        <f>VLOOKUP(Table9[[#This Row],[Shortname]], Comp[],12, FALSE)</f>
        <v>0</v>
      </c>
      <c r="P327">
        <f>VLOOKUP(Table9[[#This Row],[Shortname]], Comp[], 13, FALSE)</f>
        <v>0</v>
      </c>
      <c r="Q327">
        <f>VLOOKUP(Table9[[#This Row],[Shortname]], Comp[], 14, FALSE)</f>
        <v>0</v>
      </c>
      <c r="R327">
        <f>VLOOKUP(Table9[[#This Row],[Shortname]], Comp[], 15, FALSE)</f>
        <v>0</v>
      </c>
      <c r="S327">
        <f>VLOOKUP(Table9[[#This Row],[Shortname]], Comp[], 16, FALSE)</f>
        <v>0</v>
      </c>
      <c r="T327">
        <f>VLOOKUP(Table9[[#This Row],[Shortname]], Comp[], 17, FALSE)</f>
        <v>0</v>
      </c>
      <c r="U327">
        <f>VLOOKUP(Table9[[#This Row],[Shortname]], Comp[], 18, FALSE)</f>
        <v>0</v>
      </c>
      <c r="V327">
        <f>VLOOKUP(Table9[[#This Row],[Shortname]], Comp[], 19, FALSE)</f>
        <v>0</v>
      </c>
      <c r="W327">
        <f>VLOOKUP(Table9[[#This Row],[Shortname]], Comp[], 20, FALSE)</f>
        <v>0</v>
      </c>
      <c r="X327">
        <f>VLOOKUP(Table9[[#This Row],[Shortname]], Comp[], 21, FALSE)</f>
        <v>0</v>
      </c>
      <c r="Y327">
        <f>VLOOKUP(Table9[[#This Row],[Shortname]], Comp[], 22, FALSE)</f>
        <v>0</v>
      </c>
      <c r="Z327">
        <f>VLOOKUP(Table9[[#This Row],[Shortname]], Comp[], 23, FALSE)</f>
        <v>0</v>
      </c>
      <c r="AA327">
        <f>VLOOKUP(Table9[[#This Row],[Shortname]], Comp[], 24, FALSE)</f>
        <v>0</v>
      </c>
      <c r="AB327">
        <f>VLOOKUP(Table9[[#This Row],[Shortname]], Comp[], 25, FALSE)</f>
        <v>0</v>
      </c>
      <c r="AC327">
        <f>VLOOKUP(Table9[[#This Row],[Shortname]], Comp[], 26, FALSE)</f>
        <v>0</v>
      </c>
      <c r="AD327">
        <f>VLOOKUP(Table9[[#This Row],[Shortname]], Comp[], 27, FALSE)</f>
        <v>0</v>
      </c>
      <c r="AE327">
        <f>VLOOKUP(Table9[[#This Row],[Shortname]], Comp[], 28, FALSE)</f>
        <v>0</v>
      </c>
      <c r="AF327">
        <f>VLOOKUP(Table9[[#This Row],[Shortname]], Comp[], 29, FALSE)</f>
        <v>0</v>
      </c>
      <c r="AG327">
        <f>VLOOKUP(Table9[[#This Row],[Shortname]], Comp[], 30, FALSE)</f>
        <v>0</v>
      </c>
      <c r="AH327">
        <f>VLOOKUP(Table9[[#This Row],[Shortname]], Comp[], 31, FALSE)</f>
        <v>0</v>
      </c>
    </row>
    <row r="328" spans="1:34" x14ac:dyDescent="0.3">
      <c r="A328" t="s">
        <v>3162</v>
      </c>
      <c r="B328" t="s">
        <v>3164</v>
      </c>
      <c r="C328" t="s">
        <v>3157</v>
      </c>
      <c r="D328">
        <v>352</v>
      </c>
      <c r="E328">
        <v>750</v>
      </c>
      <c r="F328">
        <v>1E-4</v>
      </c>
      <c r="G328">
        <v>1</v>
      </c>
      <c r="H328" t="s">
        <v>6803</v>
      </c>
      <c r="I328">
        <f>VLOOKUP(Table9[[#This Row],[Shortname]], Comp[], 6, FALSE)</f>
        <v>441</v>
      </c>
      <c r="J328" s="14">
        <f>VLOOKUP(Table9[[#This Row],[Shortname]], Comp[], 7, FALSE)</f>
        <v>78</v>
      </c>
      <c r="K328">
        <f>VLOOKUP(Table9[[#This Row],[Shortname]], Comp[], 8, FALSE)</f>
        <v>0</v>
      </c>
      <c r="L328">
        <f>VLOOKUP(Table9[[#This Row],[Shortname]], Comp[], 9, FALSE)</f>
        <v>2</v>
      </c>
      <c r="M328">
        <f>VLOOKUP(Table9[[#This Row],[Shortname]], Comp[], 10, FALSE)</f>
        <v>0</v>
      </c>
      <c r="N328">
        <f>VLOOKUP(Table9[[#This Row],[Shortname]], Comp[], 11, FALSE)</f>
        <v>0</v>
      </c>
      <c r="O328">
        <f>VLOOKUP(Table9[[#This Row],[Shortname]], Comp[],12, FALSE)</f>
        <v>5</v>
      </c>
      <c r="P328">
        <f>VLOOKUP(Table9[[#This Row],[Shortname]], Comp[], 13, FALSE)</f>
        <v>0</v>
      </c>
      <c r="Q328">
        <f>VLOOKUP(Table9[[#This Row],[Shortname]], Comp[], 14, FALSE)</f>
        <v>0</v>
      </c>
      <c r="R328">
        <f>VLOOKUP(Table9[[#This Row],[Shortname]], Comp[], 15, FALSE)</f>
        <v>15</v>
      </c>
      <c r="S328">
        <f>VLOOKUP(Table9[[#This Row],[Shortname]], Comp[], 16, FALSE)</f>
        <v>0</v>
      </c>
      <c r="T328">
        <f>VLOOKUP(Table9[[#This Row],[Shortname]], Comp[], 17, FALSE)</f>
        <v>0</v>
      </c>
      <c r="U328">
        <f>VLOOKUP(Table9[[#This Row],[Shortname]], Comp[], 18, FALSE)</f>
        <v>0</v>
      </c>
      <c r="V328">
        <f>VLOOKUP(Table9[[#This Row],[Shortname]], Comp[], 19, FALSE)</f>
        <v>0</v>
      </c>
      <c r="W328">
        <f>VLOOKUP(Table9[[#This Row],[Shortname]], Comp[], 20, FALSE)</f>
        <v>0</v>
      </c>
      <c r="X328">
        <f>VLOOKUP(Table9[[#This Row],[Shortname]], Comp[], 21, FALSE)</f>
        <v>0</v>
      </c>
      <c r="Y328">
        <f>VLOOKUP(Table9[[#This Row],[Shortname]], Comp[], 22, FALSE)</f>
        <v>0</v>
      </c>
      <c r="Z328">
        <f>VLOOKUP(Table9[[#This Row],[Shortname]], Comp[], 23, FALSE)</f>
        <v>0</v>
      </c>
      <c r="AA328">
        <f>VLOOKUP(Table9[[#This Row],[Shortname]], Comp[], 24, FALSE)</f>
        <v>0</v>
      </c>
      <c r="AB328">
        <f>VLOOKUP(Table9[[#This Row],[Shortname]], Comp[], 25, FALSE)</f>
        <v>0</v>
      </c>
      <c r="AC328">
        <f>VLOOKUP(Table9[[#This Row],[Shortname]], Comp[], 26, FALSE)</f>
        <v>0</v>
      </c>
      <c r="AD328">
        <f>VLOOKUP(Table9[[#This Row],[Shortname]], Comp[], 27, FALSE)</f>
        <v>0</v>
      </c>
      <c r="AE328">
        <f>VLOOKUP(Table9[[#This Row],[Shortname]], Comp[], 28, FALSE)</f>
        <v>0</v>
      </c>
      <c r="AF328">
        <f>VLOOKUP(Table9[[#This Row],[Shortname]], Comp[], 29, FALSE)</f>
        <v>0</v>
      </c>
      <c r="AG328">
        <f>VLOOKUP(Table9[[#This Row],[Shortname]], Comp[], 30, FALSE)</f>
        <v>0</v>
      </c>
      <c r="AH328">
        <f>VLOOKUP(Table9[[#This Row],[Shortname]], Comp[], 31, FALSE)</f>
        <v>0</v>
      </c>
    </row>
    <row r="329" spans="1:34" x14ac:dyDescent="0.3">
      <c r="A329" t="s">
        <v>3162</v>
      </c>
      <c r="B329" t="s">
        <v>3164</v>
      </c>
      <c r="C329" t="s">
        <v>3157</v>
      </c>
      <c r="D329">
        <v>350</v>
      </c>
      <c r="E329">
        <v>700</v>
      </c>
      <c r="F329">
        <v>1E-4</v>
      </c>
      <c r="G329">
        <v>1</v>
      </c>
      <c r="H329" t="s">
        <v>6803</v>
      </c>
      <c r="I329">
        <f>VLOOKUP(Table9[[#This Row],[Shortname]], Comp[], 6, FALSE)</f>
        <v>441</v>
      </c>
      <c r="J329" s="14">
        <f>VLOOKUP(Table9[[#This Row],[Shortname]], Comp[], 7, FALSE)</f>
        <v>78</v>
      </c>
      <c r="K329">
        <f>VLOOKUP(Table9[[#This Row],[Shortname]], Comp[], 8, FALSE)</f>
        <v>0</v>
      </c>
      <c r="L329">
        <f>VLOOKUP(Table9[[#This Row],[Shortname]], Comp[], 9, FALSE)</f>
        <v>2</v>
      </c>
      <c r="M329">
        <f>VLOOKUP(Table9[[#This Row],[Shortname]], Comp[], 10, FALSE)</f>
        <v>0</v>
      </c>
      <c r="N329">
        <f>VLOOKUP(Table9[[#This Row],[Shortname]], Comp[], 11, FALSE)</f>
        <v>0</v>
      </c>
      <c r="O329">
        <f>VLOOKUP(Table9[[#This Row],[Shortname]], Comp[],12, FALSE)</f>
        <v>5</v>
      </c>
      <c r="P329">
        <f>VLOOKUP(Table9[[#This Row],[Shortname]], Comp[], 13, FALSE)</f>
        <v>0</v>
      </c>
      <c r="Q329">
        <f>VLOOKUP(Table9[[#This Row],[Shortname]], Comp[], 14, FALSE)</f>
        <v>0</v>
      </c>
      <c r="R329">
        <f>VLOOKUP(Table9[[#This Row],[Shortname]], Comp[], 15, FALSE)</f>
        <v>15</v>
      </c>
      <c r="S329">
        <f>VLOOKUP(Table9[[#This Row],[Shortname]], Comp[], 16, FALSE)</f>
        <v>0</v>
      </c>
      <c r="T329">
        <f>VLOOKUP(Table9[[#This Row],[Shortname]], Comp[], 17, FALSE)</f>
        <v>0</v>
      </c>
      <c r="U329">
        <f>VLOOKUP(Table9[[#This Row],[Shortname]], Comp[], 18, FALSE)</f>
        <v>0</v>
      </c>
      <c r="V329">
        <f>VLOOKUP(Table9[[#This Row],[Shortname]], Comp[], 19, FALSE)</f>
        <v>0</v>
      </c>
      <c r="W329">
        <f>VLOOKUP(Table9[[#This Row],[Shortname]], Comp[], 20, FALSE)</f>
        <v>0</v>
      </c>
      <c r="X329">
        <f>VLOOKUP(Table9[[#This Row],[Shortname]], Comp[], 21, FALSE)</f>
        <v>0</v>
      </c>
      <c r="Y329">
        <f>VLOOKUP(Table9[[#This Row],[Shortname]], Comp[], 22, FALSE)</f>
        <v>0</v>
      </c>
      <c r="Z329">
        <f>VLOOKUP(Table9[[#This Row],[Shortname]], Comp[], 23, FALSE)</f>
        <v>0</v>
      </c>
      <c r="AA329">
        <f>VLOOKUP(Table9[[#This Row],[Shortname]], Comp[], 24, FALSE)</f>
        <v>0</v>
      </c>
      <c r="AB329">
        <f>VLOOKUP(Table9[[#This Row],[Shortname]], Comp[], 25, FALSE)</f>
        <v>0</v>
      </c>
      <c r="AC329">
        <f>VLOOKUP(Table9[[#This Row],[Shortname]], Comp[], 26, FALSE)</f>
        <v>0</v>
      </c>
      <c r="AD329">
        <f>VLOOKUP(Table9[[#This Row],[Shortname]], Comp[], 27, FALSE)</f>
        <v>0</v>
      </c>
      <c r="AE329">
        <f>VLOOKUP(Table9[[#This Row],[Shortname]], Comp[], 28, FALSE)</f>
        <v>0</v>
      </c>
      <c r="AF329">
        <f>VLOOKUP(Table9[[#This Row],[Shortname]], Comp[], 29, FALSE)</f>
        <v>0</v>
      </c>
      <c r="AG329">
        <f>VLOOKUP(Table9[[#This Row],[Shortname]], Comp[], 30, FALSE)</f>
        <v>0</v>
      </c>
      <c r="AH329">
        <f>VLOOKUP(Table9[[#This Row],[Shortname]], Comp[], 31, FALSE)</f>
        <v>0</v>
      </c>
    </row>
    <row r="330" spans="1:34" x14ac:dyDescent="0.3">
      <c r="A330" t="s">
        <v>3182</v>
      </c>
      <c r="B330" t="s">
        <v>97</v>
      </c>
      <c r="C330" t="s">
        <v>3480</v>
      </c>
      <c r="D330">
        <v>349</v>
      </c>
      <c r="E330">
        <v>790</v>
      </c>
      <c r="F330">
        <v>1E-4</v>
      </c>
      <c r="G330">
        <v>1</v>
      </c>
      <c r="H330" t="s">
        <v>6803</v>
      </c>
      <c r="I330">
        <f>VLOOKUP(Table9[[#This Row],[Shortname]], Comp[], 6, FALSE)</f>
        <v>446</v>
      </c>
      <c r="J330" s="14">
        <f>VLOOKUP(Table9[[#This Row],[Shortname]], Comp[], 7, FALSE)</f>
        <v>81.8</v>
      </c>
      <c r="K330">
        <f>VLOOKUP(Table9[[#This Row],[Shortname]], Comp[], 8, FALSE)</f>
        <v>0</v>
      </c>
      <c r="L330">
        <f>VLOOKUP(Table9[[#This Row],[Shortname]], Comp[], 9, FALSE)</f>
        <v>9.1999999999999993</v>
      </c>
      <c r="M330">
        <f>VLOOKUP(Table9[[#This Row],[Shortname]], Comp[], 10, FALSE)</f>
        <v>0</v>
      </c>
      <c r="N330">
        <f>VLOOKUP(Table9[[#This Row],[Shortname]], Comp[], 11, FALSE)</f>
        <v>9</v>
      </c>
      <c r="O330">
        <f>VLOOKUP(Table9[[#This Row],[Shortname]], Comp[],12, FALSE)</f>
        <v>0</v>
      </c>
      <c r="P330">
        <f>VLOOKUP(Table9[[#This Row],[Shortname]], Comp[], 13, FALSE)</f>
        <v>0</v>
      </c>
      <c r="Q330">
        <f>VLOOKUP(Table9[[#This Row],[Shortname]], Comp[], 14, FALSE)</f>
        <v>0</v>
      </c>
      <c r="R330">
        <f>VLOOKUP(Table9[[#This Row],[Shortname]], Comp[], 15, FALSE)</f>
        <v>0</v>
      </c>
      <c r="S330">
        <f>VLOOKUP(Table9[[#This Row],[Shortname]], Comp[], 16, FALSE)</f>
        <v>0</v>
      </c>
      <c r="T330">
        <f>VLOOKUP(Table9[[#This Row],[Shortname]], Comp[], 17, FALSE)</f>
        <v>0</v>
      </c>
      <c r="U330">
        <f>VLOOKUP(Table9[[#This Row],[Shortname]], Comp[], 18, FALSE)</f>
        <v>0</v>
      </c>
      <c r="V330">
        <f>VLOOKUP(Table9[[#This Row],[Shortname]], Comp[], 19, FALSE)</f>
        <v>0</v>
      </c>
      <c r="W330">
        <f>VLOOKUP(Table9[[#This Row],[Shortname]], Comp[], 20, FALSE)</f>
        <v>0</v>
      </c>
      <c r="X330">
        <f>VLOOKUP(Table9[[#This Row],[Shortname]], Comp[], 21, FALSE)</f>
        <v>0</v>
      </c>
      <c r="Y330">
        <f>VLOOKUP(Table9[[#This Row],[Shortname]], Comp[], 22, FALSE)</f>
        <v>0</v>
      </c>
      <c r="Z330">
        <f>VLOOKUP(Table9[[#This Row],[Shortname]], Comp[], 23, FALSE)</f>
        <v>0</v>
      </c>
      <c r="AA330">
        <f>VLOOKUP(Table9[[#This Row],[Shortname]], Comp[], 24, FALSE)</f>
        <v>0</v>
      </c>
      <c r="AB330">
        <f>VLOOKUP(Table9[[#This Row],[Shortname]], Comp[], 25, FALSE)</f>
        <v>0</v>
      </c>
      <c r="AC330">
        <f>VLOOKUP(Table9[[#This Row],[Shortname]], Comp[], 26, FALSE)</f>
        <v>0</v>
      </c>
      <c r="AD330">
        <f>VLOOKUP(Table9[[#This Row],[Shortname]], Comp[], 27, FALSE)</f>
        <v>0</v>
      </c>
      <c r="AE330">
        <f>VLOOKUP(Table9[[#This Row],[Shortname]], Comp[], 28, FALSE)</f>
        <v>0</v>
      </c>
      <c r="AF330">
        <f>VLOOKUP(Table9[[#This Row],[Shortname]], Comp[], 29, FALSE)</f>
        <v>0</v>
      </c>
      <c r="AG330">
        <f>VLOOKUP(Table9[[#This Row],[Shortname]], Comp[], 30, FALSE)</f>
        <v>0</v>
      </c>
      <c r="AH330">
        <f>VLOOKUP(Table9[[#This Row],[Shortname]], Comp[], 31, FALSE)</f>
        <v>0</v>
      </c>
    </row>
    <row r="331" spans="1:34" x14ac:dyDescent="0.3">
      <c r="A331" t="s">
        <v>983</v>
      </c>
      <c r="B331" t="s">
        <v>5230</v>
      </c>
      <c r="C331" t="s">
        <v>5231</v>
      </c>
      <c r="D331">
        <v>345</v>
      </c>
      <c r="E331">
        <v>851</v>
      </c>
      <c r="F331">
        <v>1E-4</v>
      </c>
      <c r="G331">
        <v>1</v>
      </c>
      <c r="H331" t="s">
        <v>6803</v>
      </c>
      <c r="I331">
        <f>VLOOKUP(Table9[[#This Row],[Shortname]], Comp[], 6, FALSE)</f>
        <v>127</v>
      </c>
      <c r="J331" s="14">
        <f>VLOOKUP(Table9[[#This Row],[Shortname]], Comp[], 7, FALSE)</f>
        <v>77</v>
      </c>
      <c r="K331">
        <f>VLOOKUP(Table9[[#This Row],[Shortname]], Comp[], 8, FALSE)</f>
        <v>0</v>
      </c>
      <c r="L331">
        <f>VLOOKUP(Table9[[#This Row],[Shortname]], Comp[], 9, FALSE)</f>
        <v>12</v>
      </c>
      <c r="M331">
        <f>VLOOKUP(Table9[[#This Row],[Shortname]], Comp[], 10, FALSE)</f>
        <v>0</v>
      </c>
      <c r="N331">
        <f>VLOOKUP(Table9[[#This Row],[Shortname]], Comp[], 11, FALSE)</f>
        <v>11</v>
      </c>
      <c r="O331">
        <f>VLOOKUP(Table9[[#This Row],[Shortname]], Comp[],12, FALSE)</f>
        <v>0</v>
      </c>
      <c r="P331">
        <f>VLOOKUP(Table9[[#This Row],[Shortname]], Comp[], 13, FALSE)</f>
        <v>0</v>
      </c>
      <c r="Q331">
        <f>VLOOKUP(Table9[[#This Row],[Shortname]], Comp[], 14, FALSE)</f>
        <v>0</v>
      </c>
      <c r="R331">
        <f>VLOOKUP(Table9[[#This Row],[Shortname]], Comp[], 15, FALSE)</f>
        <v>0</v>
      </c>
      <c r="S331">
        <f>VLOOKUP(Table9[[#This Row],[Shortname]], Comp[], 16, FALSE)</f>
        <v>0</v>
      </c>
      <c r="T331">
        <f>VLOOKUP(Table9[[#This Row],[Shortname]], Comp[], 17, FALSE)</f>
        <v>0</v>
      </c>
      <c r="U331">
        <f>VLOOKUP(Table9[[#This Row],[Shortname]], Comp[], 18, FALSE)</f>
        <v>0</v>
      </c>
      <c r="V331">
        <f>VLOOKUP(Table9[[#This Row],[Shortname]], Comp[], 19, FALSE)</f>
        <v>0</v>
      </c>
      <c r="W331">
        <f>VLOOKUP(Table9[[#This Row],[Shortname]], Comp[], 20, FALSE)</f>
        <v>0</v>
      </c>
      <c r="X331">
        <f>VLOOKUP(Table9[[#This Row],[Shortname]], Comp[], 21, FALSE)</f>
        <v>0</v>
      </c>
      <c r="Y331">
        <f>VLOOKUP(Table9[[#This Row],[Shortname]], Comp[], 22, FALSE)</f>
        <v>0</v>
      </c>
      <c r="Z331">
        <f>VLOOKUP(Table9[[#This Row],[Shortname]], Comp[], 23, FALSE)</f>
        <v>0</v>
      </c>
      <c r="AA331">
        <f>VLOOKUP(Table9[[#This Row],[Shortname]], Comp[], 24, FALSE)</f>
        <v>0</v>
      </c>
      <c r="AB331">
        <f>VLOOKUP(Table9[[#This Row],[Shortname]], Comp[], 25, FALSE)</f>
        <v>0</v>
      </c>
      <c r="AC331">
        <f>VLOOKUP(Table9[[#This Row],[Shortname]], Comp[], 26, FALSE)</f>
        <v>0</v>
      </c>
      <c r="AD331">
        <f>VLOOKUP(Table9[[#This Row],[Shortname]], Comp[], 27, FALSE)</f>
        <v>0</v>
      </c>
      <c r="AE331">
        <f>VLOOKUP(Table9[[#This Row],[Shortname]], Comp[], 28, FALSE)</f>
        <v>0</v>
      </c>
      <c r="AF331">
        <f>VLOOKUP(Table9[[#This Row],[Shortname]], Comp[], 29, FALSE)</f>
        <v>0</v>
      </c>
      <c r="AG331">
        <f>VLOOKUP(Table9[[#This Row],[Shortname]], Comp[], 30, FALSE)</f>
        <v>0</v>
      </c>
      <c r="AH331">
        <f>VLOOKUP(Table9[[#This Row],[Shortname]], Comp[], 31, FALSE)</f>
        <v>0</v>
      </c>
    </row>
    <row r="332" spans="1:34" x14ac:dyDescent="0.3">
      <c r="A332" t="s">
        <v>3162</v>
      </c>
      <c r="B332" t="s">
        <v>3164</v>
      </c>
      <c r="C332" t="s">
        <v>3157</v>
      </c>
      <c r="D332">
        <v>343</v>
      </c>
      <c r="E332">
        <v>800</v>
      </c>
      <c r="F332">
        <v>1E-4</v>
      </c>
      <c r="G332">
        <v>1</v>
      </c>
      <c r="H332" t="s">
        <v>6803</v>
      </c>
      <c r="I332">
        <f>VLOOKUP(Table9[[#This Row],[Shortname]], Comp[], 6, FALSE)</f>
        <v>441</v>
      </c>
      <c r="J332" s="14">
        <f>VLOOKUP(Table9[[#This Row],[Shortname]], Comp[], 7, FALSE)</f>
        <v>78</v>
      </c>
      <c r="K332">
        <f>VLOOKUP(Table9[[#This Row],[Shortname]], Comp[], 8, FALSE)</f>
        <v>0</v>
      </c>
      <c r="L332">
        <f>VLOOKUP(Table9[[#This Row],[Shortname]], Comp[], 9, FALSE)</f>
        <v>2</v>
      </c>
      <c r="M332">
        <f>VLOOKUP(Table9[[#This Row],[Shortname]], Comp[], 10, FALSE)</f>
        <v>0</v>
      </c>
      <c r="N332">
        <f>VLOOKUP(Table9[[#This Row],[Shortname]], Comp[], 11, FALSE)</f>
        <v>0</v>
      </c>
      <c r="O332">
        <f>VLOOKUP(Table9[[#This Row],[Shortname]], Comp[],12, FALSE)</f>
        <v>5</v>
      </c>
      <c r="P332">
        <f>VLOOKUP(Table9[[#This Row],[Shortname]], Comp[], 13, FALSE)</f>
        <v>0</v>
      </c>
      <c r="Q332">
        <f>VLOOKUP(Table9[[#This Row],[Shortname]], Comp[], 14, FALSE)</f>
        <v>0</v>
      </c>
      <c r="R332">
        <f>VLOOKUP(Table9[[#This Row],[Shortname]], Comp[], 15, FALSE)</f>
        <v>15</v>
      </c>
      <c r="S332">
        <f>VLOOKUP(Table9[[#This Row],[Shortname]], Comp[], 16, FALSE)</f>
        <v>0</v>
      </c>
      <c r="T332">
        <f>VLOOKUP(Table9[[#This Row],[Shortname]], Comp[], 17, FALSE)</f>
        <v>0</v>
      </c>
      <c r="U332">
        <f>VLOOKUP(Table9[[#This Row],[Shortname]], Comp[], 18, FALSE)</f>
        <v>0</v>
      </c>
      <c r="V332">
        <f>VLOOKUP(Table9[[#This Row],[Shortname]], Comp[], 19, FALSE)</f>
        <v>0</v>
      </c>
      <c r="W332">
        <f>VLOOKUP(Table9[[#This Row],[Shortname]], Comp[], 20, FALSE)</f>
        <v>0</v>
      </c>
      <c r="X332">
        <f>VLOOKUP(Table9[[#This Row],[Shortname]], Comp[], 21, FALSE)</f>
        <v>0</v>
      </c>
      <c r="Y332">
        <f>VLOOKUP(Table9[[#This Row],[Shortname]], Comp[], 22, FALSE)</f>
        <v>0</v>
      </c>
      <c r="Z332">
        <f>VLOOKUP(Table9[[#This Row],[Shortname]], Comp[], 23, FALSE)</f>
        <v>0</v>
      </c>
      <c r="AA332">
        <f>VLOOKUP(Table9[[#This Row],[Shortname]], Comp[], 24, FALSE)</f>
        <v>0</v>
      </c>
      <c r="AB332">
        <f>VLOOKUP(Table9[[#This Row],[Shortname]], Comp[], 25, FALSE)</f>
        <v>0</v>
      </c>
      <c r="AC332">
        <f>VLOOKUP(Table9[[#This Row],[Shortname]], Comp[], 26, FALSE)</f>
        <v>0</v>
      </c>
      <c r="AD332">
        <f>VLOOKUP(Table9[[#This Row],[Shortname]], Comp[], 27, FALSE)</f>
        <v>0</v>
      </c>
      <c r="AE332">
        <f>VLOOKUP(Table9[[#This Row],[Shortname]], Comp[], 28, FALSE)</f>
        <v>0</v>
      </c>
      <c r="AF332">
        <f>VLOOKUP(Table9[[#This Row],[Shortname]], Comp[], 29, FALSE)</f>
        <v>0</v>
      </c>
      <c r="AG332">
        <f>VLOOKUP(Table9[[#This Row],[Shortname]], Comp[], 30, FALSE)</f>
        <v>0</v>
      </c>
      <c r="AH332">
        <f>VLOOKUP(Table9[[#This Row],[Shortname]], Comp[], 31, FALSE)</f>
        <v>0</v>
      </c>
    </row>
    <row r="333" spans="1:34" x14ac:dyDescent="0.3">
      <c r="A333" t="s">
        <v>3400</v>
      </c>
      <c r="B333" t="s">
        <v>3400</v>
      </c>
      <c r="C333" t="s">
        <v>3401</v>
      </c>
      <c r="D333">
        <v>341</v>
      </c>
      <c r="E333">
        <v>650</v>
      </c>
      <c r="F333">
        <v>2.0000000000000001E-4</v>
      </c>
      <c r="G333">
        <v>1</v>
      </c>
      <c r="H333" t="s">
        <v>6803</v>
      </c>
      <c r="I333">
        <f>VLOOKUP(Table9[[#This Row],[Shortname]], Comp[], 6, FALSE)</f>
        <v>482</v>
      </c>
      <c r="J333" s="14">
        <f>VLOOKUP(Table9[[#This Row],[Shortname]], Comp[], 7, FALSE)</f>
        <v>84.2</v>
      </c>
      <c r="K333">
        <f>VLOOKUP(Table9[[#This Row],[Shortname]], Comp[], 8, FALSE)</f>
        <v>0</v>
      </c>
      <c r="L333">
        <f>VLOOKUP(Table9[[#This Row],[Shortname]], Comp[], 9, FALSE)</f>
        <v>8.9</v>
      </c>
      <c r="M333">
        <f>VLOOKUP(Table9[[#This Row],[Shortname]], Comp[], 10, FALSE)</f>
        <v>0</v>
      </c>
      <c r="N333">
        <f>VLOOKUP(Table9[[#This Row],[Shortname]], Comp[], 11, FALSE)</f>
        <v>6.9</v>
      </c>
      <c r="O333">
        <f>VLOOKUP(Table9[[#This Row],[Shortname]], Comp[],12, FALSE)</f>
        <v>0</v>
      </c>
      <c r="P333">
        <f>VLOOKUP(Table9[[#This Row],[Shortname]], Comp[], 13, FALSE)</f>
        <v>0</v>
      </c>
      <c r="Q333">
        <f>VLOOKUP(Table9[[#This Row],[Shortname]], Comp[], 14, FALSE)</f>
        <v>0</v>
      </c>
      <c r="R333">
        <f>VLOOKUP(Table9[[#This Row],[Shortname]], Comp[], 15, FALSE)</f>
        <v>0</v>
      </c>
      <c r="S333">
        <f>VLOOKUP(Table9[[#This Row],[Shortname]], Comp[], 16, FALSE)</f>
        <v>0</v>
      </c>
      <c r="T333">
        <f>VLOOKUP(Table9[[#This Row],[Shortname]], Comp[], 17, FALSE)</f>
        <v>0</v>
      </c>
      <c r="U333">
        <f>VLOOKUP(Table9[[#This Row],[Shortname]], Comp[], 18, FALSE)</f>
        <v>0</v>
      </c>
      <c r="V333">
        <f>VLOOKUP(Table9[[#This Row],[Shortname]], Comp[], 19, FALSE)</f>
        <v>0</v>
      </c>
      <c r="W333">
        <f>VLOOKUP(Table9[[#This Row],[Shortname]], Comp[], 20, FALSE)</f>
        <v>0</v>
      </c>
      <c r="X333">
        <f>VLOOKUP(Table9[[#This Row],[Shortname]], Comp[], 21, FALSE)</f>
        <v>0</v>
      </c>
      <c r="Y333">
        <f>VLOOKUP(Table9[[#This Row],[Shortname]], Comp[], 22, FALSE)</f>
        <v>0</v>
      </c>
      <c r="Z333">
        <f>VLOOKUP(Table9[[#This Row],[Shortname]], Comp[], 23, FALSE)</f>
        <v>0</v>
      </c>
      <c r="AA333">
        <f>VLOOKUP(Table9[[#This Row],[Shortname]], Comp[], 24, FALSE)</f>
        <v>0</v>
      </c>
      <c r="AB333">
        <f>VLOOKUP(Table9[[#This Row],[Shortname]], Comp[], 25, FALSE)</f>
        <v>0</v>
      </c>
      <c r="AC333">
        <f>VLOOKUP(Table9[[#This Row],[Shortname]], Comp[], 26, FALSE)</f>
        <v>0</v>
      </c>
      <c r="AD333">
        <f>VLOOKUP(Table9[[#This Row],[Shortname]], Comp[], 27, FALSE)</f>
        <v>0</v>
      </c>
      <c r="AE333">
        <f>VLOOKUP(Table9[[#This Row],[Shortname]], Comp[], 28, FALSE)</f>
        <v>0</v>
      </c>
      <c r="AF333">
        <f>VLOOKUP(Table9[[#This Row],[Shortname]], Comp[], 29, FALSE)</f>
        <v>0</v>
      </c>
      <c r="AG333">
        <f>VLOOKUP(Table9[[#This Row],[Shortname]], Comp[], 30, FALSE)</f>
        <v>0</v>
      </c>
      <c r="AH333">
        <f>VLOOKUP(Table9[[#This Row],[Shortname]], Comp[], 31, FALSE)</f>
        <v>0</v>
      </c>
    </row>
    <row r="334" spans="1:34" x14ac:dyDescent="0.3">
      <c r="A334" t="s">
        <v>2901</v>
      </c>
      <c r="B334" t="s">
        <v>5256</v>
      </c>
      <c r="C334" t="s">
        <v>3480</v>
      </c>
      <c r="D334">
        <v>341</v>
      </c>
      <c r="E334">
        <v>25</v>
      </c>
      <c r="F334">
        <v>1E-4</v>
      </c>
      <c r="G334">
        <v>1</v>
      </c>
      <c r="H334" t="s">
        <v>6803</v>
      </c>
      <c r="I334">
        <f>VLOOKUP(Table9[[#This Row],[Shortname]], Comp[], 6, FALSE)</f>
        <v>395</v>
      </c>
      <c r="J334" s="14">
        <f>VLOOKUP(Table9[[#This Row],[Shortname]], Comp[], 7, FALSE)</f>
        <v>79.400000000000006</v>
      </c>
      <c r="K334">
        <f>VLOOKUP(Table9[[#This Row],[Shortname]], Comp[], 8, FALSE)</f>
        <v>0</v>
      </c>
      <c r="L334">
        <f>VLOOKUP(Table9[[#This Row],[Shortname]], Comp[], 9, FALSE)</f>
        <v>8.8000000000000007</v>
      </c>
      <c r="M334">
        <f>VLOOKUP(Table9[[#This Row],[Shortname]], Comp[], 10, FALSE)</f>
        <v>0</v>
      </c>
      <c r="N334">
        <f>VLOOKUP(Table9[[#This Row],[Shortname]], Comp[], 11, FALSE)</f>
        <v>9.8000000000000007</v>
      </c>
      <c r="O334">
        <f>VLOOKUP(Table9[[#This Row],[Shortname]], Comp[],12, FALSE)</f>
        <v>0</v>
      </c>
      <c r="P334">
        <f>VLOOKUP(Table9[[#This Row],[Shortname]], Comp[], 13, FALSE)</f>
        <v>0</v>
      </c>
      <c r="Q334">
        <f>VLOOKUP(Table9[[#This Row],[Shortname]], Comp[], 14, FALSE)</f>
        <v>0</v>
      </c>
      <c r="R334">
        <f>VLOOKUP(Table9[[#This Row],[Shortname]], Comp[], 15, FALSE)</f>
        <v>0</v>
      </c>
      <c r="S334">
        <f>VLOOKUP(Table9[[#This Row],[Shortname]], Comp[], 16, FALSE)</f>
        <v>0</v>
      </c>
      <c r="T334">
        <f>VLOOKUP(Table9[[#This Row],[Shortname]], Comp[], 17, FALSE)</f>
        <v>0</v>
      </c>
      <c r="U334">
        <f>VLOOKUP(Table9[[#This Row],[Shortname]], Comp[], 18, FALSE)</f>
        <v>0</v>
      </c>
      <c r="V334">
        <f>VLOOKUP(Table9[[#This Row],[Shortname]], Comp[], 19, FALSE)</f>
        <v>0</v>
      </c>
      <c r="W334">
        <f>VLOOKUP(Table9[[#This Row],[Shortname]], Comp[], 20, FALSE)</f>
        <v>0</v>
      </c>
      <c r="X334">
        <f>VLOOKUP(Table9[[#This Row],[Shortname]], Comp[], 21, FALSE)</f>
        <v>2</v>
      </c>
      <c r="Y334">
        <f>VLOOKUP(Table9[[#This Row],[Shortname]], Comp[], 22, FALSE)</f>
        <v>0</v>
      </c>
      <c r="Z334">
        <f>VLOOKUP(Table9[[#This Row],[Shortname]], Comp[], 23, FALSE)</f>
        <v>0</v>
      </c>
      <c r="AA334">
        <f>VLOOKUP(Table9[[#This Row],[Shortname]], Comp[], 24, FALSE)</f>
        <v>0</v>
      </c>
      <c r="AB334">
        <f>VLOOKUP(Table9[[#This Row],[Shortname]], Comp[], 25, FALSE)</f>
        <v>0</v>
      </c>
      <c r="AC334">
        <f>VLOOKUP(Table9[[#This Row],[Shortname]], Comp[], 26, FALSE)</f>
        <v>0</v>
      </c>
      <c r="AD334">
        <f>VLOOKUP(Table9[[#This Row],[Shortname]], Comp[], 27, FALSE)</f>
        <v>0</v>
      </c>
      <c r="AE334">
        <f>VLOOKUP(Table9[[#This Row],[Shortname]], Comp[], 28, FALSE)</f>
        <v>0</v>
      </c>
      <c r="AF334">
        <f>VLOOKUP(Table9[[#This Row],[Shortname]], Comp[], 29, FALSE)</f>
        <v>0</v>
      </c>
      <c r="AG334">
        <f>VLOOKUP(Table9[[#This Row],[Shortname]], Comp[], 30, FALSE)</f>
        <v>0</v>
      </c>
      <c r="AH334">
        <f>VLOOKUP(Table9[[#This Row],[Shortname]], Comp[], 31, FALSE)</f>
        <v>0</v>
      </c>
    </row>
    <row r="335" spans="1:34" x14ac:dyDescent="0.3">
      <c r="A335" t="s">
        <v>3162</v>
      </c>
      <c r="B335" t="s">
        <v>3164</v>
      </c>
      <c r="C335" t="s">
        <v>3157</v>
      </c>
      <c r="D335">
        <v>340</v>
      </c>
      <c r="E335">
        <v>850</v>
      </c>
      <c r="F335">
        <v>1E-4</v>
      </c>
      <c r="G335">
        <v>1</v>
      </c>
      <c r="H335" t="s">
        <v>6803</v>
      </c>
      <c r="I335">
        <f>VLOOKUP(Table9[[#This Row],[Shortname]], Comp[], 6, FALSE)</f>
        <v>441</v>
      </c>
      <c r="J335" s="14">
        <f>VLOOKUP(Table9[[#This Row],[Shortname]], Comp[], 7, FALSE)</f>
        <v>78</v>
      </c>
      <c r="K335">
        <f>VLOOKUP(Table9[[#This Row],[Shortname]], Comp[], 8, FALSE)</f>
        <v>0</v>
      </c>
      <c r="L335">
        <f>VLOOKUP(Table9[[#This Row],[Shortname]], Comp[], 9, FALSE)</f>
        <v>2</v>
      </c>
      <c r="M335">
        <f>VLOOKUP(Table9[[#This Row],[Shortname]], Comp[], 10, FALSE)</f>
        <v>0</v>
      </c>
      <c r="N335">
        <f>VLOOKUP(Table9[[#This Row],[Shortname]], Comp[], 11, FALSE)</f>
        <v>0</v>
      </c>
      <c r="O335">
        <f>VLOOKUP(Table9[[#This Row],[Shortname]], Comp[],12, FALSE)</f>
        <v>5</v>
      </c>
      <c r="P335">
        <f>VLOOKUP(Table9[[#This Row],[Shortname]], Comp[], 13, FALSE)</f>
        <v>0</v>
      </c>
      <c r="Q335">
        <f>VLOOKUP(Table9[[#This Row],[Shortname]], Comp[], 14, FALSE)</f>
        <v>0</v>
      </c>
      <c r="R335">
        <f>VLOOKUP(Table9[[#This Row],[Shortname]], Comp[], 15, FALSE)</f>
        <v>15</v>
      </c>
      <c r="S335">
        <f>VLOOKUP(Table9[[#This Row],[Shortname]], Comp[], 16, FALSE)</f>
        <v>0</v>
      </c>
      <c r="T335">
        <f>VLOOKUP(Table9[[#This Row],[Shortname]], Comp[], 17, FALSE)</f>
        <v>0</v>
      </c>
      <c r="U335">
        <f>VLOOKUP(Table9[[#This Row],[Shortname]], Comp[], 18, FALSE)</f>
        <v>0</v>
      </c>
      <c r="V335">
        <f>VLOOKUP(Table9[[#This Row],[Shortname]], Comp[], 19, FALSE)</f>
        <v>0</v>
      </c>
      <c r="W335">
        <f>VLOOKUP(Table9[[#This Row],[Shortname]], Comp[], 20, FALSE)</f>
        <v>0</v>
      </c>
      <c r="X335">
        <f>VLOOKUP(Table9[[#This Row],[Shortname]], Comp[], 21, FALSE)</f>
        <v>0</v>
      </c>
      <c r="Y335">
        <f>VLOOKUP(Table9[[#This Row],[Shortname]], Comp[], 22, FALSE)</f>
        <v>0</v>
      </c>
      <c r="Z335">
        <f>VLOOKUP(Table9[[#This Row],[Shortname]], Comp[], 23, FALSE)</f>
        <v>0</v>
      </c>
      <c r="AA335">
        <f>VLOOKUP(Table9[[#This Row],[Shortname]], Comp[], 24, FALSE)</f>
        <v>0</v>
      </c>
      <c r="AB335">
        <f>VLOOKUP(Table9[[#This Row],[Shortname]], Comp[], 25, FALSE)</f>
        <v>0</v>
      </c>
      <c r="AC335">
        <f>VLOOKUP(Table9[[#This Row],[Shortname]], Comp[], 26, FALSE)</f>
        <v>0</v>
      </c>
      <c r="AD335">
        <f>VLOOKUP(Table9[[#This Row],[Shortname]], Comp[], 27, FALSE)</f>
        <v>0</v>
      </c>
      <c r="AE335">
        <f>VLOOKUP(Table9[[#This Row],[Shortname]], Comp[], 28, FALSE)</f>
        <v>0</v>
      </c>
      <c r="AF335">
        <f>VLOOKUP(Table9[[#This Row],[Shortname]], Comp[], 29, FALSE)</f>
        <v>0</v>
      </c>
      <c r="AG335">
        <f>VLOOKUP(Table9[[#This Row],[Shortname]], Comp[], 30, FALSE)</f>
        <v>0</v>
      </c>
      <c r="AH335">
        <f>VLOOKUP(Table9[[#This Row],[Shortname]], Comp[], 31, FALSE)</f>
        <v>0</v>
      </c>
    </row>
    <row r="336" spans="1:34" x14ac:dyDescent="0.3">
      <c r="A336" t="s">
        <v>2570</v>
      </c>
      <c r="B336" t="s">
        <v>2572</v>
      </c>
      <c r="C336" t="s">
        <v>2573</v>
      </c>
      <c r="D336">
        <v>339</v>
      </c>
      <c r="E336">
        <v>1075</v>
      </c>
      <c r="F336">
        <v>1</v>
      </c>
      <c r="G336">
        <v>1</v>
      </c>
      <c r="I336">
        <f>VLOOKUP(Table9[[#This Row],[Shortname]], Comp[], 6, FALSE)</f>
        <v>340</v>
      </c>
      <c r="J336" s="14">
        <f>VLOOKUP(Table9[[#This Row],[Shortname]], Comp[], 7, FALSE)</f>
        <v>46.73</v>
      </c>
      <c r="K336">
        <f>VLOOKUP(Table9[[#This Row],[Shortname]], Comp[], 8, FALSE)</f>
        <v>29.96</v>
      </c>
      <c r="L336">
        <f>VLOOKUP(Table9[[#This Row],[Shortname]], Comp[], 9, FALSE)</f>
        <v>9.5399999999999991</v>
      </c>
      <c r="M336">
        <f>VLOOKUP(Table9[[#This Row],[Shortname]], Comp[], 10, FALSE)</f>
        <v>4.78</v>
      </c>
      <c r="N336">
        <f>VLOOKUP(Table9[[#This Row],[Shortname]], Comp[], 11, FALSE)</f>
        <v>0</v>
      </c>
      <c r="O336">
        <f>VLOOKUP(Table9[[#This Row],[Shortname]], Comp[],12, FALSE)</f>
        <v>2.13</v>
      </c>
      <c r="P336">
        <f>VLOOKUP(Table9[[#This Row],[Shortname]], Comp[], 13, FALSE)</f>
        <v>1.91</v>
      </c>
      <c r="Q336">
        <f>VLOOKUP(Table9[[#This Row],[Shortname]], Comp[], 14, FALSE)</f>
        <v>0</v>
      </c>
      <c r="R336">
        <f>VLOOKUP(Table9[[#This Row],[Shortname]], Comp[], 15, FALSE)</f>
        <v>0</v>
      </c>
      <c r="S336">
        <f>VLOOKUP(Table9[[#This Row],[Shortname]], Comp[], 16, FALSE)</f>
        <v>4.95</v>
      </c>
      <c r="T336">
        <f>VLOOKUP(Table9[[#This Row],[Shortname]], Comp[], 17, FALSE)</f>
        <v>0</v>
      </c>
      <c r="U336">
        <f>VLOOKUP(Table9[[#This Row],[Shortname]], Comp[], 18, FALSE)</f>
        <v>0</v>
      </c>
      <c r="V336">
        <f>VLOOKUP(Table9[[#This Row],[Shortname]], Comp[], 19, FALSE)</f>
        <v>0</v>
      </c>
      <c r="W336">
        <f>VLOOKUP(Table9[[#This Row],[Shortname]], Comp[], 20, FALSE)</f>
        <v>0</v>
      </c>
      <c r="X336">
        <f>VLOOKUP(Table9[[#This Row],[Shortname]], Comp[], 21, FALSE)</f>
        <v>0</v>
      </c>
      <c r="Y336">
        <f>VLOOKUP(Table9[[#This Row],[Shortname]], Comp[], 22, FALSE)</f>
        <v>0</v>
      </c>
      <c r="Z336">
        <f>VLOOKUP(Table9[[#This Row],[Shortname]], Comp[], 23, FALSE)</f>
        <v>0</v>
      </c>
      <c r="AA336">
        <f>VLOOKUP(Table9[[#This Row],[Shortname]], Comp[], 24, FALSE)</f>
        <v>0</v>
      </c>
      <c r="AB336">
        <f>VLOOKUP(Table9[[#This Row],[Shortname]], Comp[], 25, FALSE)</f>
        <v>0</v>
      </c>
      <c r="AC336">
        <f>VLOOKUP(Table9[[#This Row],[Shortname]], Comp[], 26, FALSE)</f>
        <v>0</v>
      </c>
      <c r="AD336">
        <f>VLOOKUP(Table9[[#This Row],[Shortname]], Comp[], 27, FALSE)</f>
        <v>0</v>
      </c>
      <c r="AE336">
        <f>VLOOKUP(Table9[[#This Row],[Shortname]], Comp[], 28, FALSE)</f>
        <v>0</v>
      </c>
      <c r="AF336">
        <f>VLOOKUP(Table9[[#This Row],[Shortname]], Comp[], 29, FALSE)</f>
        <v>0</v>
      </c>
      <c r="AG336">
        <f>VLOOKUP(Table9[[#This Row],[Shortname]], Comp[], 30, FALSE)</f>
        <v>0</v>
      </c>
      <c r="AH336">
        <f>VLOOKUP(Table9[[#This Row],[Shortname]], Comp[], 31, FALSE)</f>
        <v>0</v>
      </c>
    </row>
    <row r="337" spans="1:34" x14ac:dyDescent="0.3">
      <c r="A337" t="s">
        <v>983</v>
      </c>
      <c r="B337" t="s">
        <v>5230</v>
      </c>
      <c r="C337" t="s">
        <v>5231</v>
      </c>
      <c r="D337">
        <v>338</v>
      </c>
      <c r="E337">
        <v>801</v>
      </c>
      <c r="F337">
        <v>1E-4</v>
      </c>
      <c r="G337">
        <v>1</v>
      </c>
      <c r="H337" t="s">
        <v>6803</v>
      </c>
      <c r="I337">
        <f>VLOOKUP(Table9[[#This Row],[Shortname]], Comp[], 6, FALSE)</f>
        <v>127</v>
      </c>
      <c r="J337" s="14">
        <f>VLOOKUP(Table9[[#This Row],[Shortname]], Comp[], 7, FALSE)</f>
        <v>77</v>
      </c>
      <c r="K337">
        <f>VLOOKUP(Table9[[#This Row],[Shortname]], Comp[], 8, FALSE)</f>
        <v>0</v>
      </c>
      <c r="L337">
        <f>VLOOKUP(Table9[[#This Row],[Shortname]], Comp[], 9, FALSE)</f>
        <v>12</v>
      </c>
      <c r="M337">
        <f>VLOOKUP(Table9[[#This Row],[Shortname]], Comp[], 10, FALSE)</f>
        <v>0</v>
      </c>
      <c r="N337">
        <f>VLOOKUP(Table9[[#This Row],[Shortname]], Comp[], 11, FALSE)</f>
        <v>11</v>
      </c>
      <c r="O337">
        <f>VLOOKUP(Table9[[#This Row],[Shortname]], Comp[],12, FALSE)</f>
        <v>0</v>
      </c>
      <c r="P337">
        <f>VLOOKUP(Table9[[#This Row],[Shortname]], Comp[], 13, FALSE)</f>
        <v>0</v>
      </c>
      <c r="Q337">
        <f>VLOOKUP(Table9[[#This Row],[Shortname]], Comp[], 14, FALSE)</f>
        <v>0</v>
      </c>
      <c r="R337">
        <f>VLOOKUP(Table9[[#This Row],[Shortname]], Comp[], 15, FALSE)</f>
        <v>0</v>
      </c>
      <c r="S337">
        <f>VLOOKUP(Table9[[#This Row],[Shortname]], Comp[], 16, FALSE)</f>
        <v>0</v>
      </c>
      <c r="T337">
        <f>VLOOKUP(Table9[[#This Row],[Shortname]], Comp[], 17, FALSE)</f>
        <v>0</v>
      </c>
      <c r="U337">
        <f>VLOOKUP(Table9[[#This Row],[Shortname]], Comp[], 18, FALSE)</f>
        <v>0</v>
      </c>
      <c r="V337">
        <f>VLOOKUP(Table9[[#This Row],[Shortname]], Comp[], 19, FALSE)</f>
        <v>0</v>
      </c>
      <c r="W337">
        <f>VLOOKUP(Table9[[#This Row],[Shortname]], Comp[], 20, FALSE)</f>
        <v>0</v>
      </c>
      <c r="X337">
        <f>VLOOKUP(Table9[[#This Row],[Shortname]], Comp[], 21, FALSE)</f>
        <v>0</v>
      </c>
      <c r="Y337">
        <f>VLOOKUP(Table9[[#This Row],[Shortname]], Comp[], 22, FALSE)</f>
        <v>0</v>
      </c>
      <c r="Z337">
        <f>VLOOKUP(Table9[[#This Row],[Shortname]], Comp[], 23, FALSE)</f>
        <v>0</v>
      </c>
      <c r="AA337">
        <f>VLOOKUP(Table9[[#This Row],[Shortname]], Comp[], 24, FALSE)</f>
        <v>0</v>
      </c>
      <c r="AB337">
        <f>VLOOKUP(Table9[[#This Row],[Shortname]], Comp[], 25, FALSE)</f>
        <v>0</v>
      </c>
      <c r="AC337">
        <f>VLOOKUP(Table9[[#This Row],[Shortname]], Comp[], 26, FALSE)</f>
        <v>0</v>
      </c>
      <c r="AD337">
        <f>VLOOKUP(Table9[[#This Row],[Shortname]], Comp[], 27, FALSE)</f>
        <v>0</v>
      </c>
      <c r="AE337">
        <f>VLOOKUP(Table9[[#This Row],[Shortname]], Comp[], 28, FALSE)</f>
        <v>0</v>
      </c>
      <c r="AF337">
        <f>VLOOKUP(Table9[[#This Row],[Shortname]], Comp[], 29, FALSE)</f>
        <v>0</v>
      </c>
      <c r="AG337">
        <f>VLOOKUP(Table9[[#This Row],[Shortname]], Comp[], 30, FALSE)</f>
        <v>0</v>
      </c>
      <c r="AH337">
        <f>VLOOKUP(Table9[[#This Row],[Shortname]], Comp[], 31, FALSE)</f>
        <v>0</v>
      </c>
    </row>
    <row r="338" spans="1:34" x14ac:dyDescent="0.3">
      <c r="A338" t="s">
        <v>5053</v>
      </c>
      <c r="B338" t="s">
        <v>3927</v>
      </c>
      <c r="C338" t="s">
        <v>5054</v>
      </c>
      <c r="D338">
        <v>337.86</v>
      </c>
      <c r="E338">
        <v>900</v>
      </c>
      <c r="F338">
        <v>1E-3</v>
      </c>
      <c r="G338">
        <v>1</v>
      </c>
      <c r="I338">
        <f>VLOOKUP(Table9[[#This Row],[Shortname]], Comp[], 6, FALSE)</f>
        <v>779</v>
      </c>
      <c r="J338" s="14">
        <f>VLOOKUP(Table9[[#This Row],[Shortname]], Comp[], 7, FALSE)</f>
        <v>53</v>
      </c>
      <c r="K338">
        <f>VLOOKUP(Table9[[#This Row],[Shortname]], Comp[], 8, FALSE)</f>
        <v>30</v>
      </c>
      <c r="L338">
        <f>VLOOKUP(Table9[[#This Row],[Shortname]], Comp[], 9, FALSE)</f>
        <v>10</v>
      </c>
      <c r="M338">
        <f>VLOOKUP(Table9[[#This Row],[Shortname]], Comp[], 10, FALSE)</f>
        <v>0</v>
      </c>
      <c r="N338">
        <f>VLOOKUP(Table9[[#This Row],[Shortname]], Comp[], 11, FALSE)</f>
        <v>0</v>
      </c>
      <c r="O338">
        <f>VLOOKUP(Table9[[#This Row],[Shortname]], Comp[],12, FALSE)</f>
        <v>0</v>
      </c>
      <c r="P338">
        <f>VLOOKUP(Table9[[#This Row],[Shortname]], Comp[], 13, FALSE)</f>
        <v>0</v>
      </c>
      <c r="Q338">
        <f>VLOOKUP(Table9[[#This Row],[Shortname]], Comp[], 14, FALSE)</f>
        <v>2</v>
      </c>
      <c r="R338">
        <f>VLOOKUP(Table9[[#This Row],[Shortname]], Comp[], 15, FALSE)</f>
        <v>0</v>
      </c>
      <c r="S338">
        <f>VLOOKUP(Table9[[#This Row],[Shortname]], Comp[], 16, FALSE)</f>
        <v>5</v>
      </c>
      <c r="T338">
        <f>VLOOKUP(Table9[[#This Row],[Shortname]], Comp[], 17, FALSE)</f>
        <v>0</v>
      </c>
      <c r="U338">
        <f>VLOOKUP(Table9[[#This Row],[Shortname]], Comp[], 18, FALSE)</f>
        <v>0</v>
      </c>
      <c r="V338">
        <f>VLOOKUP(Table9[[#This Row],[Shortname]], Comp[], 19, FALSE)</f>
        <v>0</v>
      </c>
      <c r="W338">
        <f>VLOOKUP(Table9[[#This Row],[Shortname]], Comp[], 20, FALSE)</f>
        <v>0</v>
      </c>
      <c r="X338">
        <f>VLOOKUP(Table9[[#This Row],[Shortname]], Comp[], 21, FALSE)</f>
        <v>0</v>
      </c>
      <c r="Y338">
        <f>VLOOKUP(Table9[[#This Row],[Shortname]], Comp[], 22, FALSE)</f>
        <v>0</v>
      </c>
      <c r="Z338">
        <f>VLOOKUP(Table9[[#This Row],[Shortname]], Comp[], 23, FALSE)</f>
        <v>0</v>
      </c>
      <c r="AA338">
        <f>VLOOKUP(Table9[[#This Row],[Shortname]], Comp[], 24, FALSE)</f>
        <v>0</v>
      </c>
      <c r="AB338">
        <f>VLOOKUP(Table9[[#This Row],[Shortname]], Comp[], 25, FALSE)</f>
        <v>0</v>
      </c>
      <c r="AC338">
        <f>VLOOKUP(Table9[[#This Row],[Shortname]], Comp[], 26, FALSE)</f>
        <v>0</v>
      </c>
      <c r="AD338">
        <f>VLOOKUP(Table9[[#This Row],[Shortname]], Comp[], 27, FALSE)</f>
        <v>0</v>
      </c>
      <c r="AE338">
        <f>VLOOKUP(Table9[[#This Row],[Shortname]], Comp[], 28, FALSE)</f>
        <v>0</v>
      </c>
      <c r="AF338">
        <f>VLOOKUP(Table9[[#This Row],[Shortname]], Comp[], 29, FALSE)</f>
        <v>0</v>
      </c>
      <c r="AG338">
        <f>VLOOKUP(Table9[[#This Row],[Shortname]], Comp[], 30, FALSE)</f>
        <v>0</v>
      </c>
      <c r="AH338">
        <f>VLOOKUP(Table9[[#This Row],[Shortname]], Comp[], 31, FALSE)</f>
        <v>0</v>
      </c>
    </row>
    <row r="339" spans="1:34" x14ac:dyDescent="0.3">
      <c r="A339" t="s">
        <v>3405</v>
      </c>
      <c r="B339" t="s">
        <v>3405</v>
      </c>
      <c r="C339" t="s">
        <v>3401</v>
      </c>
      <c r="D339">
        <v>335</v>
      </c>
      <c r="E339">
        <v>650</v>
      </c>
      <c r="F339">
        <v>2.0000000000000001E-4</v>
      </c>
      <c r="G339">
        <v>1</v>
      </c>
      <c r="H339" t="s">
        <v>6803</v>
      </c>
      <c r="I339">
        <f>VLOOKUP(Table9[[#This Row],[Shortname]], Comp[], 6, FALSE)</f>
        <v>483</v>
      </c>
      <c r="J339" s="14">
        <f>VLOOKUP(Table9[[#This Row],[Shortname]], Comp[], 7, FALSE)</f>
        <v>84.18</v>
      </c>
      <c r="K339">
        <f>VLOOKUP(Table9[[#This Row],[Shortname]], Comp[], 8, FALSE)</f>
        <v>0</v>
      </c>
      <c r="L339">
        <f>VLOOKUP(Table9[[#This Row],[Shortname]], Comp[], 9, FALSE)</f>
        <v>8.9</v>
      </c>
      <c r="M339">
        <f>VLOOKUP(Table9[[#This Row],[Shortname]], Comp[], 10, FALSE)</f>
        <v>0</v>
      </c>
      <c r="N339">
        <f>VLOOKUP(Table9[[#This Row],[Shortname]], Comp[], 11, FALSE)</f>
        <v>6.9</v>
      </c>
      <c r="O339">
        <f>VLOOKUP(Table9[[#This Row],[Shortname]], Comp[],12, FALSE)</f>
        <v>0</v>
      </c>
      <c r="P339">
        <f>VLOOKUP(Table9[[#This Row],[Shortname]], Comp[], 13, FALSE)</f>
        <v>0</v>
      </c>
      <c r="Q339">
        <f>VLOOKUP(Table9[[#This Row],[Shortname]], Comp[], 14, FALSE)</f>
        <v>0</v>
      </c>
      <c r="R339">
        <f>VLOOKUP(Table9[[#This Row],[Shortname]], Comp[], 15, FALSE)</f>
        <v>0</v>
      </c>
      <c r="S339">
        <f>VLOOKUP(Table9[[#This Row],[Shortname]], Comp[], 16, FALSE)</f>
        <v>0</v>
      </c>
      <c r="T339">
        <f>VLOOKUP(Table9[[#This Row],[Shortname]], Comp[], 17, FALSE)</f>
        <v>0</v>
      </c>
      <c r="U339">
        <f>VLOOKUP(Table9[[#This Row],[Shortname]], Comp[], 18, FALSE)</f>
        <v>0</v>
      </c>
      <c r="V339">
        <f>VLOOKUP(Table9[[#This Row],[Shortname]], Comp[], 19, FALSE)</f>
        <v>0.02</v>
      </c>
      <c r="W339">
        <f>VLOOKUP(Table9[[#This Row],[Shortname]], Comp[], 20, FALSE)</f>
        <v>0</v>
      </c>
      <c r="X339">
        <f>VLOOKUP(Table9[[#This Row],[Shortname]], Comp[], 21, FALSE)</f>
        <v>0</v>
      </c>
      <c r="Y339">
        <f>VLOOKUP(Table9[[#This Row],[Shortname]], Comp[], 22, FALSE)</f>
        <v>0</v>
      </c>
      <c r="Z339">
        <f>VLOOKUP(Table9[[#This Row],[Shortname]], Comp[], 23, FALSE)</f>
        <v>0</v>
      </c>
      <c r="AA339">
        <f>VLOOKUP(Table9[[#This Row],[Shortname]], Comp[], 24, FALSE)</f>
        <v>0</v>
      </c>
      <c r="AB339">
        <f>VLOOKUP(Table9[[#This Row],[Shortname]], Comp[], 25, FALSE)</f>
        <v>0</v>
      </c>
      <c r="AC339">
        <f>VLOOKUP(Table9[[#This Row],[Shortname]], Comp[], 26, FALSE)</f>
        <v>0</v>
      </c>
      <c r="AD339">
        <f>VLOOKUP(Table9[[#This Row],[Shortname]], Comp[], 27, FALSE)</f>
        <v>0</v>
      </c>
      <c r="AE339">
        <f>VLOOKUP(Table9[[#This Row],[Shortname]], Comp[], 28, FALSE)</f>
        <v>0</v>
      </c>
      <c r="AF339">
        <f>VLOOKUP(Table9[[#This Row],[Shortname]], Comp[], 29, FALSE)</f>
        <v>0</v>
      </c>
      <c r="AG339">
        <f>VLOOKUP(Table9[[#This Row],[Shortname]], Comp[], 30, FALSE)</f>
        <v>0</v>
      </c>
      <c r="AH339">
        <f>VLOOKUP(Table9[[#This Row],[Shortname]], Comp[], 31, FALSE)</f>
        <v>0</v>
      </c>
    </row>
    <row r="340" spans="1:34" x14ac:dyDescent="0.3">
      <c r="A340" t="s">
        <v>3409</v>
      </c>
      <c r="B340" t="s">
        <v>3410</v>
      </c>
      <c r="C340" t="s">
        <v>3401</v>
      </c>
      <c r="D340">
        <v>332</v>
      </c>
      <c r="E340">
        <v>870</v>
      </c>
      <c r="F340">
        <v>2.0000000000000001E-4</v>
      </c>
      <c r="G340">
        <v>1</v>
      </c>
      <c r="H340" t="s">
        <v>6803</v>
      </c>
      <c r="I340">
        <f>VLOOKUP(Table9[[#This Row],[Shortname]], Comp[], 6, FALSE)</f>
        <v>484</v>
      </c>
      <c r="J340" s="14">
        <f>VLOOKUP(Table9[[#This Row],[Shortname]], Comp[], 7, FALSE)</f>
        <v>82.8</v>
      </c>
      <c r="K340">
        <f>VLOOKUP(Table9[[#This Row],[Shortname]], Comp[], 8, FALSE)</f>
        <v>0</v>
      </c>
      <c r="L340">
        <f>VLOOKUP(Table9[[#This Row],[Shortname]], Comp[], 9, FALSE)</f>
        <v>9</v>
      </c>
      <c r="M340">
        <f>VLOOKUP(Table9[[#This Row],[Shortname]], Comp[], 10, FALSE)</f>
        <v>0</v>
      </c>
      <c r="N340">
        <f>VLOOKUP(Table9[[#This Row],[Shortname]], Comp[], 11, FALSE)</f>
        <v>8.1999999999999993</v>
      </c>
      <c r="O340">
        <f>VLOOKUP(Table9[[#This Row],[Shortname]], Comp[],12, FALSE)</f>
        <v>0</v>
      </c>
      <c r="P340">
        <f>VLOOKUP(Table9[[#This Row],[Shortname]], Comp[], 13, FALSE)</f>
        <v>0</v>
      </c>
      <c r="Q340">
        <f>VLOOKUP(Table9[[#This Row],[Shortname]], Comp[], 14, FALSE)</f>
        <v>0</v>
      </c>
      <c r="R340">
        <f>VLOOKUP(Table9[[#This Row],[Shortname]], Comp[], 15, FALSE)</f>
        <v>0</v>
      </c>
      <c r="S340">
        <f>VLOOKUP(Table9[[#This Row],[Shortname]], Comp[], 16, FALSE)</f>
        <v>0</v>
      </c>
      <c r="T340">
        <f>VLOOKUP(Table9[[#This Row],[Shortname]], Comp[], 17, FALSE)</f>
        <v>0</v>
      </c>
      <c r="U340">
        <f>VLOOKUP(Table9[[#This Row],[Shortname]], Comp[], 18, FALSE)</f>
        <v>0</v>
      </c>
      <c r="V340">
        <f>VLOOKUP(Table9[[#This Row],[Shortname]], Comp[], 19, FALSE)</f>
        <v>0</v>
      </c>
      <c r="W340">
        <f>VLOOKUP(Table9[[#This Row],[Shortname]], Comp[], 20, FALSE)</f>
        <v>0</v>
      </c>
      <c r="X340">
        <f>VLOOKUP(Table9[[#This Row],[Shortname]], Comp[], 21, FALSE)</f>
        <v>0</v>
      </c>
      <c r="Y340">
        <f>VLOOKUP(Table9[[#This Row],[Shortname]], Comp[], 22, FALSE)</f>
        <v>0</v>
      </c>
      <c r="Z340">
        <f>VLOOKUP(Table9[[#This Row],[Shortname]], Comp[], 23, FALSE)</f>
        <v>0</v>
      </c>
      <c r="AA340">
        <f>VLOOKUP(Table9[[#This Row],[Shortname]], Comp[], 24, FALSE)</f>
        <v>0</v>
      </c>
      <c r="AB340">
        <f>VLOOKUP(Table9[[#This Row],[Shortname]], Comp[], 25, FALSE)</f>
        <v>0</v>
      </c>
      <c r="AC340">
        <f>VLOOKUP(Table9[[#This Row],[Shortname]], Comp[], 26, FALSE)</f>
        <v>0</v>
      </c>
      <c r="AD340">
        <f>VLOOKUP(Table9[[#This Row],[Shortname]], Comp[], 27, FALSE)</f>
        <v>0</v>
      </c>
      <c r="AE340">
        <f>VLOOKUP(Table9[[#This Row],[Shortname]], Comp[], 28, FALSE)</f>
        <v>0</v>
      </c>
      <c r="AF340">
        <f>VLOOKUP(Table9[[#This Row],[Shortname]], Comp[], 29, FALSE)</f>
        <v>0</v>
      </c>
      <c r="AG340">
        <f>VLOOKUP(Table9[[#This Row],[Shortname]], Comp[], 30, FALSE)</f>
        <v>0</v>
      </c>
      <c r="AH340">
        <f>VLOOKUP(Table9[[#This Row],[Shortname]], Comp[], 31, FALSE)</f>
        <v>0</v>
      </c>
    </row>
    <row r="341" spans="1:34" x14ac:dyDescent="0.3">
      <c r="A341" t="s">
        <v>4232</v>
      </c>
      <c r="B341" t="s">
        <v>4234</v>
      </c>
      <c r="C341" t="s">
        <v>4235</v>
      </c>
      <c r="D341">
        <v>331</v>
      </c>
      <c r="E341">
        <v>900</v>
      </c>
      <c r="F341">
        <v>1E-4</v>
      </c>
      <c r="G341">
        <v>1</v>
      </c>
      <c r="H341" t="s">
        <v>6803</v>
      </c>
      <c r="I341">
        <f>VLOOKUP(Table9[[#This Row],[Shortname]], Comp[], 6, FALSE)</f>
        <v>644</v>
      </c>
      <c r="J341" s="14">
        <f>VLOOKUP(Table9[[#This Row],[Shortname]], Comp[], 7, FALSE)</f>
        <v>74</v>
      </c>
      <c r="K341">
        <f>VLOOKUP(Table9[[#This Row],[Shortname]], Comp[], 8, FALSE)</f>
        <v>0</v>
      </c>
      <c r="L341">
        <f>VLOOKUP(Table9[[#This Row],[Shortname]], Comp[], 9, FALSE)</f>
        <v>0</v>
      </c>
      <c r="M341">
        <f>VLOOKUP(Table9[[#This Row],[Shortname]], Comp[], 10, FALSE)</f>
        <v>15</v>
      </c>
      <c r="N341">
        <f>VLOOKUP(Table9[[#This Row],[Shortname]], Comp[], 11, FALSE)</f>
        <v>0</v>
      </c>
      <c r="O341">
        <f>VLOOKUP(Table9[[#This Row],[Shortname]], Comp[],12, FALSE)</f>
        <v>11</v>
      </c>
      <c r="P341">
        <f>VLOOKUP(Table9[[#This Row],[Shortname]], Comp[], 13, FALSE)</f>
        <v>0</v>
      </c>
      <c r="Q341">
        <f>VLOOKUP(Table9[[#This Row],[Shortname]], Comp[], 14, FALSE)</f>
        <v>0</v>
      </c>
      <c r="R341">
        <f>VLOOKUP(Table9[[#This Row],[Shortname]], Comp[], 15, FALSE)</f>
        <v>0</v>
      </c>
      <c r="S341">
        <f>VLOOKUP(Table9[[#This Row],[Shortname]], Comp[], 16, FALSE)</f>
        <v>0</v>
      </c>
      <c r="T341">
        <f>VLOOKUP(Table9[[#This Row],[Shortname]], Comp[], 17, FALSE)</f>
        <v>0</v>
      </c>
      <c r="U341">
        <f>VLOOKUP(Table9[[#This Row],[Shortname]], Comp[], 18, FALSE)</f>
        <v>0</v>
      </c>
      <c r="V341">
        <f>VLOOKUP(Table9[[#This Row],[Shortname]], Comp[], 19, FALSE)</f>
        <v>0</v>
      </c>
      <c r="W341">
        <f>VLOOKUP(Table9[[#This Row],[Shortname]], Comp[], 20, FALSE)</f>
        <v>0</v>
      </c>
      <c r="X341">
        <f>VLOOKUP(Table9[[#This Row],[Shortname]], Comp[], 21, FALSE)</f>
        <v>0</v>
      </c>
      <c r="Y341">
        <f>VLOOKUP(Table9[[#This Row],[Shortname]], Comp[], 22, FALSE)</f>
        <v>0</v>
      </c>
      <c r="Z341">
        <f>VLOOKUP(Table9[[#This Row],[Shortname]], Comp[], 23, FALSE)</f>
        <v>0</v>
      </c>
      <c r="AA341">
        <f>VLOOKUP(Table9[[#This Row],[Shortname]], Comp[], 24, FALSE)</f>
        <v>0</v>
      </c>
      <c r="AB341">
        <f>VLOOKUP(Table9[[#This Row],[Shortname]], Comp[], 25, FALSE)</f>
        <v>0</v>
      </c>
      <c r="AC341">
        <f>VLOOKUP(Table9[[#This Row],[Shortname]], Comp[], 26, FALSE)</f>
        <v>0</v>
      </c>
      <c r="AD341">
        <f>VLOOKUP(Table9[[#This Row],[Shortname]], Comp[], 27, FALSE)</f>
        <v>0</v>
      </c>
      <c r="AE341">
        <f>VLOOKUP(Table9[[#This Row],[Shortname]], Comp[], 28, FALSE)</f>
        <v>0</v>
      </c>
      <c r="AF341">
        <f>VLOOKUP(Table9[[#This Row],[Shortname]], Comp[], 29, FALSE)</f>
        <v>0</v>
      </c>
      <c r="AG341">
        <f>VLOOKUP(Table9[[#This Row],[Shortname]], Comp[], 30, FALSE)</f>
        <v>0</v>
      </c>
      <c r="AH341">
        <f>VLOOKUP(Table9[[#This Row],[Shortname]], Comp[], 31, FALSE)</f>
        <v>0</v>
      </c>
    </row>
    <row r="342" spans="1:34" x14ac:dyDescent="0.3">
      <c r="A342" t="s">
        <v>983</v>
      </c>
      <c r="B342" t="s">
        <v>5230</v>
      </c>
      <c r="C342" t="s">
        <v>5231</v>
      </c>
      <c r="D342">
        <v>330</v>
      </c>
      <c r="E342">
        <v>25</v>
      </c>
      <c r="F342">
        <v>1E-4</v>
      </c>
      <c r="G342">
        <v>1</v>
      </c>
      <c r="H342" t="s">
        <v>6803</v>
      </c>
      <c r="I342">
        <f>VLOOKUP(Table9[[#This Row],[Shortname]], Comp[], 6, FALSE)</f>
        <v>127</v>
      </c>
      <c r="J342" s="14">
        <f>VLOOKUP(Table9[[#This Row],[Shortname]], Comp[], 7, FALSE)</f>
        <v>77</v>
      </c>
      <c r="K342">
        <f>VLOOKUP(Table9[[#This Row],[Shortname]], Comp[], 8, FALSE)</f>
        <v>0</v>
      </c>
      <c r="L342">
        <f>VLOOKUP(Table9[[#This Row],[Shortname]], Comp[], 9, FALSE)</f>
        <v>12</v>
      </c>
      <c r="M342">
        <f>VLOOKUP(Table9[[#This Row],[Shortname]], Comp[], 10, FALSE)</f>
        <v>0</v>
      </c>
      <c r="N342">
        <f>VLOOKUP(Table9[[#This Row],[Shortname]], Comp[], 11, FALSE)</f>
        <v>11</v>
      </c>
      <c r="O342">
        <f>VLOOKUP(Table9[[#This Row],[Shortname]], Comp[],12, FALSE)</f>
        <v>0</v>
      </c>
      <c r="P342">
        <f>VLOOKUP(Table9[[#This Row],[Shortname]], Comp[], 13, FALSE)</f>
        <v>0</v>
      </c>
      <c r="Q342">
        <f>VLOOKUP(Table9[[#This Row],[Shortname]], Comp[], 14, FALSE)</f>
        <v>0</v>
      </c>
      <c r="R342">
        <f>VLOOKUP(Table9[[#This Row],[Shortname]], Comp[], 15, FALSE)</f>
        <v>0</v>
      </c>
      <c r="S342">
        <f>VLOOKUP(Table9[[#This Row],[Shortname]], Comp[], 16, FALSE)</f>
        <v>0</v>
      </c>
      <c r="T342">
        <f>VLOOKUP(Table9[[#This Row],[Shortname]], Comp[], 17, FALSE)</f>
        <v>0</v>
      </c>
      <c r="U342">
        <f>VLOOKUP(Table9[[#This Row],[Shortname]], Comp[], 18, FALSE)</f>
        <v>0</v>
      </c>
      <c r="V342">
        <f>VLOOKUP(Table9[[#This Row],[Shortname]], Comp[], 19, FALSE)</f>
        <v>0</v>
      </c>
      <c r="W342">
        <f>VLOOKUP(Table9[[#This Row],[Shortname]], Comp[], 20, FALSE)</f>
        <v>0</v>
      </c>
      <c r="X342">
        <f>VLOOKUP(Table9[[#This Row],[Shortname]], Comp[], 21, FALSE)</f>
        <v>0</v>
      </c>
      <c r="Y342">
        <f>VLOOKUP(Table9[[#This Row],[Shortname]], Comp[], 22, FALSE)</f>
        <v>0</v>
      </c>
      <c r="Z342">
        <f>VLOOKUP(Table9[[#This Row],[Shortname]], Comp[], 23, FALSE)</f>
        <v>0</v>
      </c>
      <c r="AA342">
        <f>VLOOKUP(Table9[[#This Row],[Shortname]], Comp[], 24, FALSE)</f>
        <v>0</v>
      </c>
      <c r="AB342">
        <f>VLOOKUP(Table9[[#This Row],[Shortname]], Comp[], 25, FALSE)</f>
        <v>0</v>
      </c>
      <c r="AC342">
        <f>VLOOKUP(Table9[[#This Row],[Shortname]], Comp[], 26, FALSE)</f>
        <v>0</v>
      </c>
      <c r="AD342">
        <f>VLOOKUP(Table9[[#This Row],[Shortname]], Comp[], 27, FALSE)</f>
        <v>0</v>
      </c>
      <c r="AE342">
        <f>VLOOKUP(Table9[[#This Row],[Shortname]], Comp[], 28, FALSE)</f>
        <v>0</v>
      </c>
      <c r="AF342">
        <f>VLOOKUP(Table9[[#This Row],[Shortname]], Comp[], 29, FALSE)</f>
        <v>0</v>
      </c>
      <c r="AG342">
        <f>VLOOKUP(Table9[[#This Row],[Shortname]], Comp[], 30, FALSE)</f>
        <v>0</v>
      </c>
      <c r="AH342">
        <f>VLOOKUP(Table9[[#This Row],[Shortname]], Comp[], 31, FALSE)</f>
        <v>0</v>
      </c>
    </row>
    <row r="343" spans="1:34" x14ac:dyDescent="0.3">
      <c r="A343" t="s">
        <v>2996</v>
      </c>
      <c r="B343" t="s">
        <v>2998</v>
      </c>
      <c r="C343" t="s">
        <v>2999</v>
      </c>
      <c r="D343">
        <v>330</v>
      </c>
      <c r="E343">
        <v>1000</v>
      </c>
      <c r="F343">
        <v>1E-4</v>
      </c>
      <c r="G343">
        <v>1</v>
      </c>
      <c r="H343" t="s">
        <v>6803</v>
      </c>
      <c r="I343">
        <f>VLOOKUP(Table9[[#This Row],[Shortname]], Comp[], 6, FALSE)</f>
        <v>412</v>
      </c>
      <c r="J343" s="14">
        <f>VLOOKUP(Table9[[#This Row],[Shortname]], Comp[], 7, FALSE)</f>
        <v>49.82</v>
      </c>
      <c r="K343">
        <f>VLOOKUP(Table9[[#This Row],[Shortname]], Comp[], 8, FALSE)</f>
        <v>30.83</v>
      </c>
      <c r="L343">
        <f>VLOOKUP(Table9[[#This Row],[Shortname]], Comp[], 9, FALSE)</f>
        <v>9.16</v>
      </c>
      <c r="M343">
        <f>VLOOKUP(Table9[[#This Row],[Shortname]], Comp[], 10, FALSE)</f>
        <v>0</v>
      </c>
      <c r="N343">
        <f>VLOOKUP(Table9[[#This Row],[Shortname]], Comp[], 11, FALSE)</f>
        <v>5.09</v>
      </c>
      <c r="O343">
        <f>VLOOKUP(Table9[[#This Row],[Shortname]], Comp[],12, FALSE)</f>
        <v>4.0999999999999996</v>
      </c>
      <c r="P343">
        <f>VLOOKUP(Table9[[#This Row],[Shortname]], Comp[], 13, FALSE)</f>
        <v>1</v>
      </c>
      <c r="Q343">
        <f>VLOOKUP(Table9[[#This Row],[Shortname]], Comp[], 14, FALSE)</f>
        <v>0</v>
      </c>
      <c r="R343">
        <f>VLOOKUP(Table9[[#This Row],[Shortname]], Comp[], 15, FALSE)</f>
        <v>0</v>
      </c>
      <c r="S343">
        <f>VLOOKUP(Table9[[#This Row],[Shortname]], Comp[], 16, FALSE)</f>
        <v>0</v>
      </c>
      <c r="T343">
        <f>VLOOKUP(Table9[[#This Row],[Shortname]], Comp[], 17, FALSE)</f>
        <v>0</v>
      </c>
      <c r="U343">
        <f>VLOOKUP(Table9[[#This Row],[Shortname]], Comp[], 18, FALSE)</f>
        <v>0</v>
      </c>
      <c r="V343">
        <f>VLOOKUP(Table9[[#This Row],[Shortname]], Comp[], 19, FALSE)</f>
        <v>0</v>
      </c>
      <c r="W343">
        <f>VLOOKUP(Table9[[#This Row],[Shortname]], Comp[], 20, FALSE)</f>
        <v>0</v>
      </c>
      <c r="X343">
        <f>VLOOKUP(Table9[[#This Row],[Shortname]], Comp[], 21, FALSE)</f>
        <v>0</v>
      </c>
      <c r="Y343">
        <f>VLOOKUP(Table9[[#This Row],[Shortname]], Comp[], 22, FALSE)</f>
        <v>0</v>
      </c>
      <c r="Z343">
        <f>VLOOKUP(Table9[[#This Row],[Shortname]], Comp[], 23, FALSE)</f>
        <v>0</v>
      </c>
      <c r="AA343">
        <f>VLOOKUP(Table9[[#This Row],[Shortname]], Comp[], 24, FALSE)</f>
        <v>0</v>
      </c>
      <c r="AB343">
        <f>VLOOKUP(Table9[[#This Row],[Shortname]], Comp[], 25, FALSE)</f>
        <v>0</v>
      </c>
      <c r="AC343">
        <f>VLOOKUP(Table9[[#This Row],[Shortname]], Comp[], 26, FALSE)</f>
        <v>0</v>
      </c>
      <c r="AD343">
        <f>VLOOKUP(Table9[[#This Row],[Shortname]], Comp[], 27, FALSE)</f>
        <v>0</v>
      </c>
      <c r="AE343">
        <f>VLOOKUP(Table9[[#This Row],[Shortname]], Comp[], 28, FALSE)</f>
        <v>0</v>
      </c>
      <c r="AF343">
        <f>VLOOKUP(Table9[[#This Row],[Shortname]], Comp[], 29, FALSE)</f>
        <v>0</v>
      </c>
      <c r="AG343">
        <f>VLOOKUP(Table9[[#This Row],[Shortname]], Comp[], 30, FALSE)</f>
        <v>0</v>
      </c>
      <c r="AH343">
        <f>VLOOKUP(Table9[[#This Row],[Shortname]], Comp[], 31, FALSE)</f>
        <v>0</v>
      </c>
    </row>
    <row r="344" spans="1:34" x14ac:dyDescent="0.3">
      <c r="A344" t="s">
        <v>3162</v>
      </c>
      <c r="B344" t="s">
        <v>3164</v>
      </c>
      <c r="C344" t="s">
        <v>3157</v>
      </c>
      <c r="D344">
        <v>330</v>
      </c>
      <c r="E344">
        <v>900</v>
      </c>
      <c r="F344">
        <v>1E-4</v>
      </c>
      <c r="G344">
        <v>1</v>
      </c>
      <c r="H344" t="s">
        <v>6803</v>
      </c>
      <c r="I344">
        <f>VLOOKUP(Table9[[#This Row],[Shortname]], Comp[], 6, FALSE)</f>
        <v>441</v>
      </c>
      <c r="J344" s="14">
        <f>VLOOKUP(Table9[[#This Row],[Shortname]], Comp[], 7, FALSE)</f>
        <v>78</v>
      </c>
      <c r="K344">
        <f>VLOOKUP(Table9[[#This Row],[Shortname]], Comp[], 8, FALSE)</f>
        <v>0</v>
      </c>
      <c r="L344">
        <f>VLOOKUP(Table9[[#This Row],[Shortname]], Comp[], 9, FALSE)</f>
        <v>2</v>
      </c>
      <c r="M344">
        <f>VLOOKUP(Table9[[#This Row],[Shortname]], Comp[], 10, FALSE)</f>
        <v>0</v>
      </c>
      <c r="N344">
        <f>VLOOKUP(Table9[[#This Row],[Shortname]], Comp[], 11, FALSE)</f>
        <v>0</v>
      </c>
      <c r="O344">
        <f>VLOOKUP(Table9[[#This Row],[Shortname]], Comp[],12, FALSE)</f>
        <v>5</v>
      </c>
      <c r="P344">
        <f>VLOOKUP(Table9[[#This Row],[Shortname]], Comp[], 13, FALSE)</f>
        <v>0</v>
      </c>
      <c r="Q344">
        <f>VLOOKUP(Table9[[#This Row],[Shortname]], Comp[], 14, FALSE)</f>
        <v>0</v>
      </c>
      <c r="R344">
        <f>VLOOKUP(Table9[[#This Row],[Shortname]], Comp[], 15, FALSE)</f>
        <v>15</v>
      </c>
      <c r="S344">
        <f>VLOOKUP(Table9[[#This Row],[Shortname]], Comp[], 16, FALSE)</f>
        <v>0</v>
      </c>
      <c r="T344">
        <f>VLOOKUP(Table9[[#This Row],[Shortname]], Comp[], 17, FALSE)</f>
        <v>0</v>
      </c>
      <c r="U344">
        <f>VLOOKUP(Table9[[#This Row],[Shortname]], Comp[], 18, FALSE)</f>
        <v>0</v>
      </c>
      <c r="V344">
        <f>VLOOKUP(Table9[[#This Row],[Shortname]], Comp[], 19, FALSE)</f>
        <v>0</v>
      </c>
      <c r="W344">
        <f>VLOOKUP(Table9[[#This Row],[Shortname]], Comp[], 20, FALSE)</f>
        <v>0</v>
      </c>
      <c r="X344">
        <f>VLOOKUP(Table9[[#This Row],[Shortname]], Comp[], 21, FALSE)</f>
        <v>0</v>
      </c>
      <c r="Y344">
        <f>VLOOKUP(Table9[[#This Row],[Shortname]], Comp[], 22, FALSE)</f>
        <v>0</v>
      </c>
      <c r="Z344">
        <f>VLOOKUP(Table9[[#This Row],[Shortname]], Comp[], 23, FALSE)</f>
        <v>0</v>
      </c>
      <c r="AA344">
        <f>VLOOKUP(Table9[[#This Row],[Shortname]], Comp[], 24, FALSE)</f>
        <v>0</v>
      </c>
      <c r="AB344">
        <f>VLOOKUP(Table9[[#This Row],[Shortname]], Comp[], 25, FALSE)</f>
        <v>0</v>
      </c>
      <c r="AC344">
        <f>VLOOKUP(Table9[[#This Row],[Shortname]], Comp[], 26, FALSE)</f>
        <v>0</v>
      </c>
      <c r="AD344">
        <f>VLOOKUP(Table9[[#This Row],[Shortname]], Comp[], 27, FALSE)</f>
        <v>0</v>
      </c>
      <c r="AE344">
        <f>VLOOKUP(Table9[[#This Row],[Shortname]], Comp[], 28, FALSE)</f>
        <v>0</v>
      </c>
      <c r="AF344">
        <f>VLOOKUP(Table9[[#This Row],[Shortname]], Comp[], 29, FALSE)</f>
        <v>0</v>
      </c>
      <c r="AG344">
        <f>VLOOKUP(Table9[[#This Row],[Shortname]], Comp[], 30, FALSE)</f>
        <v>0</v>
      </c>
      <c r="AH344">
        <f>VLOOKUP(Table9[[#This Row],[Shortname]], Comp[], 31, FALSE)</f>
        <v>0</v>
      </c>
    </row>
    <row r="345" spans="1:34" x14ac:dyDescent="0.3">
      <c r="A345" t="s">
        <v>983</v>
      </c>
      <c r="B345" t="s">
        <v>5230</v>
      </c>
      <c r="C345" t="s">
        <v>5231</v>
      </c>
      <c r="D345">
        <v>329</v>
      </c>
      <c r="E345">
        <v>-111</v>
      </c>
      <c r="F345">
        <v>1E-4</v>
      </c>
      <c r="G345">
        <v>1</v>
      </c>
      <c r="H345" t="s">
        <v>6803</v>
      </c>
      <c r="I345">
        <f>VLOOKUP(Table9[[#This Row],[Shortname]], Comp[], 6, FALSE)</f>
        <v>127</v>
      </c>
      <c r="J345" s="14">
        <f>VLOOKUP(Table9[[#This Row],[Shortname]], Comp[], 7, FALSE)</f>
        <v>77</v>
      </c>
      <c r="K345">
        <f>VLOOKUP(Table9[[#This Row],[Shortname]], Comp[], 8, FALSE)</f>
        <v>0</v>
      </c>
      <c r="L345">
        <f>VLOOKUP(Table9[[#This Row],[Shortname]], Comp[], 9, FALSE)</f>
        <v>12</v>
      </c>
      <c r="M345">
        <f>VLOOKUP(Table9[[#This Row],[Shortname]], Comp[], 10, FALSE)</f>
        <v>0</v>
      </c>
      <c r="N345">
        <f>VLOOKUP(Table9[[#This Row],[Shortname]], Comp[], 11, FALSE)</f>
        <v>11</v>
      </c>
      <c r="O345">
        <f>VLOOKUP(Table9[[#This Row],[Shortname]], Comp[],12, FALSE)</f>
        <v>0</v>
      </c>
      <c r="P345">
        <f>VLOOKUP(Table9[[#This Row],[Shortname]], Comp[], 13, FALSE)</f>
        <v>0</v>
      </c>
      <c r="Q345">
        <f>VLOOKUP(Table9[[#This Row],[Shortname]], Comp[], 14, FALSE)</f>
        <v>0</v>
      </c>
      <c r="R345">
        <f>VLOOKUP(Table9[[#This Row],[Shortname]], Comp[], 15, FALSE)</f>
        <v>0</v>
      </c>
      <c r="S345">
        <f>VLOOKUP(Table9[[#This Row],[Shortname]], Comp[], 16, FALSE)</f>
        <v>0</v>
      </c>
      <c r="T345">
        <f>VLOOKUP(Table9[[#This Row],[Shortname]], Comp[], 17, FALSE)</f>
        <v>0</v>
      </c>
      <c r="U345">
        <f>VLOOKUP(Table9[[#This Row],[Shortname]], Comp[], 18, FALSE)</f>
        <v>0</v>
      </c>
      <c r="V345">
        <f>VLOOKUP(Table9[[#This Row],[Shortname]], Comp[], 19, FALSE)</f>
        <v>0</v>
      </c>
      <c r="W345">
        <f>VLOOKUP(Table9[[#This Row],[Shortname]], Comp[], 20, FALSE)</f>
        <v>0</v>
      </c>
      <c r="X345">
        <f>VLOOKUP(Table9[[#This Row],[Shortname]], Comp[], 21, FALSE)</f>
        <v>0</v>
      </c>
      <c r="Y345">
        <f>VLOOKUP(Table9[[#This Row],[Shortname]], Comp[], 22, FALSE)</f>
        <v>0</v>
      </c>
      <c r="Z345">
        <f>VLOOKUP(Table9[[#This Row],[Shortname]], Comp[], 23, FALSE)</f>
        <v>0</v>
      </c>
      <c r="AA345">
        <f>VLOOKUP(Table9[[#This Row],[Shortname]], Comp[], 24, FALSE)</f>
        <v>0</v>
      </c>
      <c r="AB345">
        <f>VLOOKUP(Table9[[#This Row],[Shortname]], Comp[], 25, FALSE)</f>
        <v>0</v>
      </c>
      <c r="AC345">
        <f>VLOOKUP(Table9[[#This Row],[Shortname]], Comp[], 26, FALSE)</f>
        <v>0</v>
      </c>
      <c r="AD345">
        <f>VLOOKUP(Table9[[#This Row],[Shortname]], Comp[], 27, FALSE)</f>
        <v>0</v>
      </c>
      <c r="AE345">
        <f>VLOOKUP(Table9[[#This Row],[Shortname]], Comp[], 28, FALSE)</f>
        <v>0</v>
      </c>
      <c r="AF345">
        <f>VLOOKUP(Table9[[#This Row],[Shortname]], Comp[], 29, FALSE)</f>
        <v>0</v>
      </c>
      <c r="AG345">
        <f>VLOOKUP(Table9[[#This Row],[Shortname]], Comp[], 30, FALSE)</f>
        <v>0</v>
      </c>
      <c r="AH345">
        <f>VLOOKUP(Table9[[#This Row],[Shortname]], Comp[], 31, FALSE)</f>
        <v>0</v>
      </c>
    </row>
    <row r="346" spans="1:34" x14ac:dyDescent="0.3">
      <c r="A346" t="s">
        <v>2077</v>
      </c>
      <c r="B346" t="s">
        <v>2079</v>
      </c>
      <c r="C346" t="s">
        <v>2065</v>
      </c>
      <c r="D346">
        <v>324</v>
      </c>
      <c r="E346">
        <v>900</v>
      </c>
      <c r="F346">
        <v>1E-4</v>
      </c>
      <c r="G346">
        <v>1</v>
      </c>
      <c r="H346" t="s">
        <v>6803</v>
      </c>
      <c r="I346">
        <f>VLOOKUP(Table9[[#This Row],[Shortname]], Comp[], 6, FALSE)</f>
        <v>273</v>
      </c>
      <c r="J346" s="14">
        <f>VLOOKUP(Table9[[#This Row],[Shortname]], Comp[], 7, FALSE)</f>
        <v>83</v>
      </c>
      <c r="K346">
        <f>VLOOKUP(Table9[[#This Row],[Shortname]], Comp[], 8, FALSE)</f>
        <v>0</v>
      </c>
      <c r="L346">
        <f>VLOOKUP(Table9[[#This Row],[Shortname]], Comp[], 9, FALSE)</f>
        <v>0</v>
      </c>
      <c r="M346">
        <f>VLOOKUP(Table9[[#This Row],[Shortname]], Comp[], 10, FALSE)</f>
        <v>0</v>
      </c>
      <c r="N346">
        <f>VLOOKUP(Table9[[#This Row],[Shortname]], Comp[], 11, FALSE)</f>
        <v>0</v>
      </c>
      <c r="O346">
        <f>VLOOKUP(Table9[[#This Row],[Shortname]], Comp[],12, FALSE)</f>
        <v>12</v>
      </c>
      <c r="P346">
        <f>VLOOKUP(Table9[[#This Row],[Shortname]], Comp[], 13, FALSE)</f>
        <v>0</v>
      </c>
      <c r="Q346">
        <f>VLOOKUP(Table9[[#This Row],[Shortname]], Comp[], 14, FALSE)</f>
        <v>0</v>
      </c>
      <c r="R346">
        <f>VLOOKUP(Table9[[#This Row],[Shortname]], Comp[], 15, FALSE)</f>
        <v>0</v>
      </c>
      <c r="S346">
        <f>VLOOKUP(Table9[[#This Row],[Shortname]], Comp[], 16, FALSE)</f>
        <v>0</v>
      </c>
      <c r="T346">
        <f>VLOOKUP(Table9[[#This Row],[Shortname]], Comp[], 17, FALSE)</f>
        <v>0</v>
      </c>
      <c r="U346">
        <f>VLOOKUP(Table9[[#This Row],[Shortname]], Comp[], 18, FALSE)</f>
        <v>0</v>
      </c>
      <c r="V346">
        <f>VLOOKUP(Table9[[#This Row],[Shortname]], Comp[], 19, FALSE)</f>
        <v>0</v>
      </c>
      <c r="W346">
        <f>VLOOKUP(Table9[[#This Row],[Shortname]], Comp[], 20, FALSE)</f>
        <v>0</v>
      </c>
      <c r="X346">
        <f>VLOOKUP(Table9[[#This Row],[Shortname]], Comp[], 21, FALSE)</f>
        <v>5</v>
      </c>
      <c r="Y346">
        <f>VLOOKUP(Table9[[#This Row],[Shortname]], Comp[], 22, FALSE)</f>
        <v>0</v>
      </c>
      <c r="Z346">
        <f>VLOOKUP(Table9[[#This Row],[Shortname]], Comp[], 23, FALSE)</f>
        <v>0</v>
      </c>
      <c r="AA346">
        <f>VLOOKUP(Table9[[#This Row],[Shortname]], Comp[], 24, FALSE)</f>
        <v>0</v>
      </c>
      <c r="AB346">
        <f>VLOOKUP(Table9[[#This Row],[Shortname]], Comp[], 25, FALSE)</f>
        <v>0</v>
      </c>
      <c r="AC346">
        <f>VLOOKUP(Table9[[#This Row],[Shortname]], Comp[], 26, FALSE)</f>
        <v>0</v>
      </c>
      <c r="AD346">
        <f>VLOOKUP(Table9[[#This Row],[Shortname]], Comp[], 27, FALSE)</f>
        <v>0</v>
      </c>
      <c r="AE346">
        <f>VLOOKUP(Table9[[#This Row],[Shortname]], Comp[], 28, FALSE)</f>
        <v>0</v>
      </c>
      <c r="AF346">
        <f>VLOOKUP(Table9[[#This Row],[Shortname]], Comp[], 29, FALSE)</f>
        <v>0</v>
      </c>
      <c r="AG346">
        <f>VLOOKUP(Table9[[#This Row],[Shortname]], Comp[], 30, FALSE)</f>
        <v>0</v>
      </c>
      <c r="AH346">
        <f>VLOOKUP(Table9[[#This Row],[Shortname]], Comp[], 31, FALSE)</f>
        <v>0</v>
      </c>
    </row>
    <row r="347" spans="1:34" x14ac:dyDescent="0.3">
      <c r="A347" t="s">
        <v>983</v>
      </c>
      <c r="B347" t="s">
        <v>5230</v>
      </c>
      <c r="C347" t="s">
        <v>5231</v>
      </c>
      <c r="D347">
        <v>324</v>
      </c>
      <c r="E347">
        <v>801</v>
      </c>
      <c r="F347">
        <v>1E-4</v>
      </c>
      <c r="G347">
        <v>1</v>
      </c>
      <c r="H347" t="s">
        <v>6803</v>
      </c>
      <c r="I347">
        <f>VLOOKUP(Table9[[#This Row],[Shortname]], Comp[], 6, FALSE)</f>
        <v>127</v>
      </c>
      <c r="J347" s="14">
        <f>VLOOKUP(Table9[[#This Row],[Shortname]], Comp[], 7, FALSE)</f>
        <v>77</v>
      </c>
      <c r="K347">
        <f>VLOOKUP(Table9[[#This Row],[Shortname]], Comp[], 8, FALSE)</f>
        <v>0</v>
      </c>
      <c r="L347">
        <f>VLOOKUP(Table9[[#This Row],[Shortname]], Comp[], 9, FALSE)</f>
        <v>12</v>
      </c>
      <c r="M347">
        <f>VLOOKUP(Table9[[#This Row],[Shortname]], Comp[], 10, FALSE)</f>
        <v>0</v>
      </c>
      <c r="N347">
        <f>VLOOKUP(Table9[[#This Row],[Shortname]], Comp[], 11, FALSE)</f>
        <v>11</v>
      </c>
      <c r="O347">
        <f>VLOOKUP(Table9[[#This Row],[Shortname]], Comp[],12, FALSE)</f>
        <v>0</v>
      </c>
      <c r="P347">
        <f>VLOOKUP(Table9[[#This Row],[Shortname]], Comp[], 13, FALSE)</f>
        <v>0</v>
      </c>
      <c r="Q347">
        <f>VLOOKUP(Table9[[#This Row],[Shortname]], Comp[], 14, FALSE)</f>
        <v>0</v>
      </c>
      <c r="R347">
        <f>VLOOKUP(Table9[[#This Row],[Shortname]], Comp[], 15, FALSE)</f>
        <v>0</v>
      </c>
      <c r="S347">
        <f>VLOOKUP(Table9[[#This Row],[Shortname]], Comp[], 16, FALSE)</f>
        <v>0</v>
      </c>
      <c r="T347">
        <f>VLOOKUP(Table9[[#This Row],[Shortname]], Comp[], 17, FALSE)</f>
        <v>0</v>
      </c>
      <c r="U347">
        <f>VLOOKUP(Table9[[#This Row],[Shortname]], Comp[], 18, FALSE)</f>
        <v>0</v>
      </c>
      <c r="V347">
        <f>VLOOKUP(Table9[[#This Row],[Shortname]], Comp[], 19, FALSE)</f>
        <v>0</v>
      </c>
      <c r="W347">
        <f>VLOOKUP(Table9[[#This Row],[Shortname]], Comp[], 20, FALSE)</f>
        <v>0</v>
      </c>
      <c r="X347">
        <f>VLOOKUP(Table9[[#This Row],[Shortname]], Comp[], 21, FALSE)</f>
        <v>0</v>
      </c>
      <c r="Y347">
        <f>VLOOKUP(Table9[[#This Row],[Shortname]], Comp[], 22, FALSE)</f>
        <v>0</v>
      </c>
      <c r="Z347">
        <f>VLOOKUP(Table9[[#This Row],[Shortname]], Comp[], 23, FALSE)</f>
        <v>0</v>
      </c>
      <c r="AA347">
        <f>VLOOKUP(Table9[[#This Row],[Shortname]], Comp[], 24, FALSE)</f>
        <v>0</v>
      </c>
      <c r="AB347">
        <f>VLOOKUP(Table9[[#This Row],[Shortname]], Comp[], 25, FALSE)</f>
        <v>0</v>
      </c>
      <c r="AC347">
        <f>VLOOKUP(Table9[[#This Row],[Shortname]], Comp[], 26, FALSE)</f>
        <v>0</v>
      </c>
      <c r="AD347">
        <f>VLOOKUP(Table9[[#This Row],[Shortname]], Comp[], 27, FALSE)</f>
        <v>0</v>
      </c>
      <c r="AE347">
        <f>VLOOKUP(Table9[[#This Row],[Shortname]], Comp[], 28, FALSE)</f>
        <v>0</v>
      </c>
      <c r="AF347">
        <f>VLOOKUP(Table9[[#This Row],[Shortname]], Comp[], 29, FALSE)</f>
        <v>0</v>
      </c>
      <c r="AG347">
        <f>VLOOKUP(Table9[[#This Row],[Shortname]], Comp[], 30, FALSE)</f>
        <v>0</v>
      </c>
      <c r="AH347">
        <f>VLOOKUP(Table9[[#This Row],[Shortname]], Comp[], 31, FALSE)</f>
        <v>0</v>
      </c>
    </row>
    <row r="348" spans="1:34" x14ac:dyDescent="0.3">
      <c r="A348" t="s">
        <v>2901</v>
      </c>
      <c r="B348" t="s">
        <v>5256</v>
      </c>
      <c r="C348" t="s">
        <v>3480</v>
      </c>
      <c r="D348">
        <v>323</v>
      </c>
      <c r="E348">
        <v>695</v>
      </c>
      <c r="F348">
        <v>1E-4</v>
      </c>
      <c r="G348">
        <v>1</v>
      </c>
      <c r="H348" t="s">
        <v>6803</v>
      </c>
      <c r="I348">
        <f>VLOOKUP(Table9[[#This Row],[Shortname]], Comp[], 6, FALSE)</f>
        <v>395</v>
      </c>
      <c r="J348" s="14">
        <f>VLOOKUP(Table9[[#This Row],[Shortname]], Comp[], 7, FALSE)</f>
        <v>79.400000000000006</v>
      </c>
      <c r="K348">
        <f>VLOOKUP(Table9[[#This Row],[Shortname]], Comp[], 8, FALSE)</f>
        <v>0</v>
      </c>
      <c r="L348">
        <f>VLOOKUP(Table9[[#This Row],[Shortname]], Comp[], 9, FALSE)</f>
        <v>8.8000000000000007</v>
      </c>
      <c r="M348">
        <f>VLOOKUP(Table9[[#This Row],[Shortname]], Comp[], 10, FALSE)</f>
        <v>0</v>
      </c>
      <c r="N348">
        <f>VLOOKUP(Table9[[#This Row],[Shortname]], Comp[], 11, FALSE)</f>
        <v>9.8000000000000007</v>
      </c>
      <c r="O348">
        <f>VLOOKUP(Table9[[#This Row],[Shortname]], Comp[],12, FALSE)</f>
        <v>0</v>
      </c>
      <c r="P348">
        <f>VLOOKUP(Table9[[#This Row],[Shortname]], Comp[], 13, FALSE)</f>
        <v>0</v>
      </c>
      <c r="Q348">
        <f>VLOOKUP(Table9[[#This Row],[Shortname]], Comp[], 14, FALSE)</f>
        <v>0</v>
      </c>
      <c r="R348">
        <f>VLOOKUP(Table9[[#This Row],[Shortname]], Comp[], 15, FALSE)</f>
        <v>0</v>
      </c>
      <c r="S348">
        <f>VLOOKUP(Table9[[#This Row],[Shortname]], Comp[], 16, FALSE)</f>
        <v>0</v>
      </c>
      <c r="T348">
        <f>VLOOKUP(Table9[[#This Row],[Shortname]], Comp[], 17, FALSE)</f>
        <v>0</v>
      </c>
      <c r="U348">
        <f>VLOOKUP(Table9[[#This Row],[Shortname]], Comp[], 18, FALSE)</f>
        <v>0</v>
      </c>
      <c r="V348">
        <f>VLOOKUP(Table9[[#This Row],[Shortname]], Comp[], 19, FALSE)</f>
        <v>0</v>
      </c>
      <c r="W348">
        <f>VLOOKUP(Table9[[#This Row],[Shortname]], Comp[], 20, FALSE)</f>
        <v>0</v>
      </c>
      <c r="X348">
        <f>VLOOKUP(Table9[[#This Row],[Shortname]], Comp[], 21, FALSE)</f>
        <v>2</v>
      </c>
      <c r="Y348">
        <f>VLOOKUP(Table9[[#This Row],[Shortname]], Comp[], 22, FALSE)</f>
        <v>0</v>
      </c>
      <c r="Z348">
        <f>VLOOKUP(Table9[[#This Row],[Shortname]], Comp[], 23, FALSE)</f>
        <v>0</v>
      </c>
      <c r="AA348">
        <f>VLOOKUP(Table9[[#This Row],[Shortname]], Comp[], 24, FALSE)</f>
        <v>0</v>
      </c>
      <c r="AB348">
        <f>VLOOKUP(Table9[[#This Row],[Shortname]], Comp[], 25, FALSE)</f>
        <v>0</v>
      </c>
      <c r="AC348">
        <f>VLOOKUP(Table9[[#This Row],[Shortname]], Comp[], 26, FALSE)</f>
        <v>0</v>
      </c>
      <c r="AD348">
        <f>VLOOKUP(Table9[[#This Row],[Shortname]], Comp[], 27, FALSE)</f>
        <v>0</v>
      </c>
      <c r="AE348">
        <f>VLOOKUP(Table9[[#This Row],[Shortname]], Comp[], 28, FALSE)</f>
        <v>0</v>
      </c>
      <c r="AF348">
        <f>VLOOKUP(Table9[[#This Row],[Shortname]], Comp[], 29, FALSE)</f>
        <v>0</v>
      </c>
      <c r="AG348">
        <f>VLOOKUP(Table9[[#This Row],[Shortname]], Comp[], 30, FALSE)</f>
        <v>0</v>
      </c>
      <c r="AH348">
        <f>VLOOKUP(Table9[[#This Row],[Shortname]], Comp[], 31, FALSE)</f>
        <v>0</v>
      </c>
    </row>
    <row r="349" spans="1:34" x14ac:dyDescent="0.3">
      <c r="A349" t="s">
        <v>4</v>
      </c>
      <c r="B349" t="s">
        <v>7</v>
      </c>
      <c r="C349" t="s">
        <v>6823</v>
      </c>
      <c r="D349">
        <v>322</v>
      </c>
      <c r="E349">
        <v>1075</v>
      </c>
      <c r="F349">
        <v>1</v>
      </c>
      <c r="G349">
        <v>1</v>
      </c>
      <c r="H349" t="s">
        <v>6807</v>
      </c>
      <c r="I349">
        <f>VLOOKUP(Table9[[#This Row],[Shortname]], Comp[], 6, FALSE)</f>
        <v>1</v>
      </c>
      <c r="J349" s="14">
        <f>VLOOKUP(Table9[[#This Row],[Shortname]], Comp[], 7, FALSE)</f>
        <v>41.800000000000004</v>
      </c>
      <c r="K349">
        <f>VLOOKUP(Table9[[#This Row],[Shortname]], Comp[], 8, FALSE)</f>
        <v>29.5</v>
      </c>
      <c r="L349">
        <f>VLOOKUP(Table9[[#This Row],[Shortname]], Comp[], 9, FALSE)</f>
        <v>9.6</v>
      </c>
      <c r="M349">
        <f>VLOOKUP(Table9[[#This Row],[Shortname]], Comp[], 10, FALSE)</f>
        <v>12.7</v>
      </c>
      <c r="N349">
        <f>VLOOKUP(Table9[[#This Row],[Shortname]], Comp[], 11, FALSE)</f>
        <v>0</v>
      </c>
      <c r="O349">
        <f>VLOOKUP(Table9[[#This Row],[Shortname]], Comp[],12, FALSE)</f>
        <v>4.5</v>
      </c>
      <c r="P349">
        <f>VLOOKUP(Table9[[#This Row],[Shortname]], Comp[], 13, FALSE)</f>
        <v>0</v>
      </c>
      <c r="Q349">
        <f>VLOOKUP(Table9[[#This Row],[Shortname]], Comp[], 14, FALSE)</f>
        <v>1.9</v>
      </c>
      <c r="R349">
        <f>VLOOKUP(Table9[[#This Row],[Shortname]], Comp[], 15, FALSE)</f>
        <v>0</v>
      </c>
      <c r="S349">
        <f>VLOOKUP(Table9[[#This Row],[Shortname]], Comp[], 16, FALSE)</f>
        <v>0</v>
      </c>
      <c r="T349">
        <f>VLOOKUP(Table9[[#This Row],[Shortname]], Comp[], 17, FALSE)</f>
        <v>0</v>
      </c>
      <c r="U349">
        <f>VLOOKUP(Table9[[#This Row],[Shortname]], Comp[], 18, FALSE)</f>
        <v>0</v>
      </c>
      <c r="V349">
        <f>VLOOKUP(Table9[[#This Row],[Shortname]], Comp[], 19, FALSE)</f>
        <v>0</v>
      </c>
      <c r="W349">
        <f>VLOOKUP(Table9[[#This Row],[Shortname]], Comp[], 20, FALSE)</f>
        <v>0</v>
      </c>
      <c r="X349">
        <f>VLOOKUP(Table9[[#This Row],[Shortname]], Comp[], 21, FALSE)</f>
        <v>0</v>
      </c>
      <c r="Y349">
        <f>VLOOKUP(Table9[[#This Row],[Shortname]], Comp[], 22, FALSE)</f>
        <v>0</v>
      </c>
      <c r="Z349">
        <f>VLOOKUP(Table9[[#This Row],[Shortname]], Comp[], 23, FALSE)</f>
        <v>0</v>
      </c>
      <c r="AA349">
        <f>VLOOKUP(Table9[[#This Row],[Shortname]], Comp[], 24, FALSE)</f>
        <v>0</v>
      </c>
      <c r="AB349">
        <f>VLOOKUP(Table9[[#This Row],[Shortname]], Comp[], 25, FALSE)</f>
        <v>0</v>
      </c>
      <c r="AC349">
        <f>VLOOKUP(Table9[[#This Row],[Shortname]], Comp[], 26, FALSE)</f>
        <v>0</v>
      </c>
      <c r="AD349">
        <f>VLOOKUP(Table9[[#This Row],[Shortname]], Comp[], 27, FALSE)</f>
        <v>0</v>
      </c>
      <c r="AE349">
        <f>VLOOKUP(Table9[[#This Row],[Shortname]], Comp[], 28, FALSE)</f>
        <v>0</v>
      </c>
      <c r="AF349">
        <f>VLOOKUP(Table9[[#This Row],[Shortname]], Comp[], 29, FALSE)</f>
        <v>0</v>
      </c>
      <c r="AG349">
        <f>VLOOKUP(Table9[[#This Row],[Shortname]], Comp[], 30, FALSE)</f>
        <v>0</v>
      </c>
      <c r="AH349">
        <f>VLOOKUP(Table9[[#This Row],[Shortname]], Comp[], 31, FALSE)</f>
        <v>0</v>
      </c>
    </row>
    <row r="350" spans="1:34" x14ac:dyDescent="0.3">
      <c r="A350" t="s">
        <v>2989</v>
      </c>
      <c r="B350" t="s">
        <v>2991</v>
      </c>
      <c r="C350" t="s">
        <v>2992</v>
      </c>
      <c r="D350">
        <v>319</v>
      </c>
      <c r="E350">
        <v>950</v>
      </c>
      <c r="F350">
        <v>1E-4</v>
      </c>
      <c r="G350">
        <v>1</v>
      </c>
      <c r="H350" t="s">
        <v>6803</v>
      </c>
      <c r="I350">
        <f>VLOOKUP(Table9[[#This Row],[Shortname]], Comp[], 6, FALSE)</f>
        <v>411</v>
      </c>
      <c r="J350" s="14">
        <f>VLOOKUP(Table9[[#This Row],[Shortname]], Comp[], 7, FALSE)</f>
        <v>84</v>
      </c>
      <c r="K350">
        <f>VLOOKUP(Table9[[#This Row],[Shortname]], Comp[], 8, FALSE)</f>
        <v>0</v>
      </c>
      <c r="L350">
        <f>VLOOKUP(Table9[[#This Row],[Shortname]], Comp[], 9, FALSE)</f>
        <v>0</v>
      </c>
      <c r="M350">
        <f>VLOOKUP(Table9[[#This Row],[Shortname]], Comp[], 10, FALSE)</f>
        <v>0</v>
      </c>
      <c r="N350">
        <f>VLOOKUP(Table9[[#This Row],[Shortname]], Comp[], 11, FALSE)</f>
        <v>0</v>
      </c>
      <c r="O350">
        <f>VLOOKUP(Table9[[#This Row],[Shortname]], Comp[],12, FALSE)</f>
        <v>2</v>
      </c>
      <c r="P350">
        <f>VLOOKUP(Table9[[#This Row],[Shortname]], Comp[], 13, FALSE)</f>
        <v>2</v>
      </c>
      <c r="Q350">
        <f>VLOOKUP(Table9[[#This Row],[Shortname]], Comp[], 14, FALSE)</f>
        <v>0</v>
      </c>
      <c r="R350">
        <f>VLOOKUP(Table9[[#This Row],[Shortname]], Comp[], 15, FALSE)</f>
        <v>12</v>
      </c>
      <c r="S350">
        <f>VLOOKUP(Table9[[#This Row],[Shortname]], Comp[], 16, FALSE)</f>
        <v>0</v>
      </c>
      <c r="T350">
        <f>VLOOKUP(Table9[[#This Row],[Shortname]], Comp[], 17, FALSE)</f>
        <v>0</v>
      </c>
      <c r="U350">
        <f>VLOOKUP(Table9[[#This Row],[Shortname]], Comp[], 18, FALSE)</f>
        <v>0</v>
      </c>
      <c r="V350">
        <f>VLOOKUP(Table9[[#This Row],[Shortname]], Comp[], 19, FALSE)</f>
        <v>0</v>
      </c>
      <c r="W350">
        <f>VLOOKUP(Table9[[#This Row],[Shortname]], Comp[], 20, FALSE)</f>
        <v>0</v>
      </c>
      <c r="X350">
        <f>VLOOKUP(Table9[[#This Row],[Shortname]], Comp[], 21, FALSE)</f>
        <v>0</v>
      </c>
      <c r="Y350">
        <f>VLOOKUP(Table9[[#This Row],[Shortname]], Comp[], 22, FALSE)</f>
        <v>0</v>
      </c>
      <c r="Z350">
        <f>VLOOKUP(Table9[[#This Row],[Shortname]], Comp[], 23, FALSE)</f>
        <v>0</v>
      </c>
      <c r="AA350">
        <f>VLOOKUP(Table9[[#This Row],[Shortname]], Comp[], 24, FALSE)</f>
        <v>0</v>
      </c>
      <c r="AB350">
        <f>VLOOKUP(Table9[[#This Row],[Shortname]], Comp[], 25, FALSE)</f>
        <v>0</v>
      </c>
      <c r="AC350">
        <f>VLOOKUP(Table9[[#This Row],[Shortname]], Comp[], 26, FALSE)</f>
        <v>0</v>
      </c>
      <c r="AD350">
        <f>VLOOKUP(Table9[[#This Row],[Shortname]], Comp[], 27, FALSE)</f>
        <v>0</v>
      </c>
      <c r="AE350">
        <f>VLOOKUP(Table9[[#This Row],[Shortname]], Comp[], 28, FALSE)</f>
        <v>0</v>
      </c>
      <c r="AF350">
        <f>VLOOKUP(Table9[[#This Row],[Shortname]], Comp[], 29, FALSE)</f>
        <v>0</v>
      </c>
      <c r="AG350">
        <f>VLOOKUP(Table9[[#This Row],[Shortname]], Comp[], 30, FALSE)</f>
        <v>0</v>
      </c>
      <c r="AH350">
        <f>VLOOKUP(Table9[[#This Row],[Shortname]], Comp[], 31, FALSE)</f>
        <v>0</v>
      </c>
    </row>
    <row r="351" spans="1:34" x14ac:dyDescent="0.3">
      <c r="A351" t="s">
        <v>1465</v>
      </c>
      <c r="B351" t="s">
        <v>1467</v>
      </c>
      <c r="C351" t="s">
        <v>1459</v>
      </c>
      <c r="D351">
        <v>317</v>
      </c>
      <c r="E351">
        <v>900</v>
      </c>
      <c r="F351">
        <v>1E-4</v>
      </c>
      <c r="G351">
        <v>1</v>
      </c>
      <c r="H351" t="s">
        <v>6813</v>
      </c>
      <c r="I351">
        <f>VLOOKUP(Table9[[#This Row],[Shortname]], Comp[], 6, FALSE)</f>
        <v>187</v>
      </c>
      <c r="J351" s="14">
        <f>VLOOKUP(Table9[[#This Row],[Shortname]], Comp[], 7, FALSE)</f>
        <v>52.8</v>
      </c>
      <c r="K351">
        <f>VLOOKUP(Table9[[#This Row],[Shortname]], Comp[], 8, FALSE)</f>
        <v>30.5</v>
      </c>
      <c r="L351">
        <f>VLOOKUP(Table9[[#This Row],[Shortname]], Comp[], 9, FALSE)</f>
        <v>9.6</v>
      </c>
      <c r="M351">
        <f>VLOOKUP(Table9[[#This Row],[Shortname]], Comp[], 10, FALSE)</f>
        <v>0</v>
      </c>
      <c r="N351">
        <f>VLOOKUP(Table9[[#This Row],[Shortname]], Comp[], 11, FALSE)</f>
        <v>7.1</v>
      </c>
      <c r="O351">
        <f>VLOOKUP(Table9[[#This Row],[Shortname]], Comp[],12, FALSE)</f>
        <v>0</v>
      </c>
      <c r="P351">
        <f>VLOOKUP(Table9[[#This Row],[Shortname]], Comp[], 13, FALSE)</f>
        <v>0</v>
      </c>
      <c r="Q351">
        <f>VLOOKUP(Table9[[#This Row],[Shortname]], Comp[], 14, FALSE)</f>
        <v>0</v>
      </c>
      <c r="R351">
        <f>VLOOKUP(Table9[[#This Row],[Shortname]], Comp[], 15, FALSE)</f>
        <v>0</v>
      </c>
      <c r="S351">
        <f>VLOOKUP(Table9[[#This Row],[Shortname]], Comp[], 16, FALSE)</f>
        <v>0</v>
      </c>
      <c r="T351">
        <f>VLOOKUP(Table9[[#This Row],[Shortname]], Comp[], 17, FALSE)</f>
        <v>0</v>
      </c>
      <c r="U351">
        <f>VLOOKUP(Table9[[#This Row],[Shortname]], Comp[], 18, FALSE)</f>
        <v>0</v>
      </c>
      <c r="V351">
        <f>VLOOKUP(Table9[[#This Row],[Shortname]], Comp[], 19, FALSE)</f>
        <v>0</v>
      </c>
      <c r="W351">
        <f>VLOOKUP(Table9[[#This Row],[Shortname]], Comp[], 20, FALSE)</f>
        <v>0</v>
      </c>
      <c r="X351">
        <f>VLOOKUP(Table9[[#This Row],[Shortname]], Comp[], 21, FALSE)</f>
        <v>0</v>
      </c>
      <c r="Y351">
        <f>VLOOKUP(Table9[[#This Row],[Shortname]], Comp[], 22, FALSE)</f>
        <v>0</v>
      </c>
      <c r="Z351">
        <f>VLOOKUP(Table9[[#This Row],[Shortname]], Comp[], 23, FALSE)</f>
        <v>0</v>
      </c>
      <c r="AA351">
        <f>VLOOKUP(Table9[[#This Row],[Shortname]], Comp[], 24, FALSE)</f>
        <v>0</v>
      </c>
      <c r="AB351">
        <f>VLOOKUP(Table9[[#This Row],[Shortname]], Comp[], 25, FALSE)</f>
        <v>0</v>
      </c>
      <c r="AC351">
        <f>VLOOKUP(Table9[[#This Row],[Shortname]], Comp[], 26, FALSE)</f>
        <v>0</v>
      </c>
      <c r="AD351">
        <f>VLOOKUP(Table9[[#This Row],[Shortname]], Comp[], 27, FALSE)</f>
        <v>0</v>
      </c>
      <c r="AE351">
        <f>VLOOKUP(Table9[[#This Row],[Shortname]], Comp[], 28, FALSE)</f>
        <v>0</v>
      </c>
      <c r="AF351">
        <f>VLOOKUP(Table9[[#This Row],[Shortname]], Comp[], 29, FALSE)</f>
        <v>0</v>
      </c>
      <c r="AG351">
        <f>VLOOKUP(Table9[[#This Row],[Shortname]], Comp[], 30, FALSE)</f>
        <v>0</v>
      </c>
      <c r="AH351">
        <f>VLOOKUP(Table9[[#This Row],[Shortname]], Comp[], 31, FALSE)</f>
        <v>0</v>
      </c>
    </row>
    <row r="352" spans="1:34" x14ac:dyDescent="0.3">
      <c r="A352" t="s">
        <v>3162</v>
      </c>
      <c r="B352" t="s">
        <v>3164</v>
      </c>
      <c r="C352" t="s">
        <v>3157</v>
      </c>
      <c r="D352">
        <v>317</v>
      </c>
      <c r="E352">
        <v>500</v>
      </c>
      <c r="F352">
        <v>1E-4</v>
      </c>
      <c r="G352">
        <v>1</v>
      </c>
      <c r="H352" t="s">
        <v>6803</v>
      </c>
      <c r="I352">
        <f>VLOOKUP(Table9[[#This Row],[Shortname]], Comp[], 6, FALSE)</f>
        <v>441</v>
      </c>
      <c r="J352" s="14">
        <f>VLOOKUP(Table9[[#This Row],[Shortname]], Comp[], 7, FALSE)</f>
        <v>78</v>
      </c>
      <c r="K352">
        <f>VLOOKUP(Table9[[#This Row],[Shortname]], Comp[], 8, FALSE)</f>
        <v>0</v>
      </c>
      <c r="L352">
        <f>VLOOKUP(Table9[[#This Row],[Shortname]], Comp[], 9, FALSE)</f>
        <v>2</v>
      </c>
      <c r="M352">
        <f>VLOOKUP(Table9[[#This Row],[Shortname]], Comp[], 10, FALSE)</f>
        <v>0</v>
      </c>
      <c r="N352">
        <f>VLOOKUP(Table9[[#This Row],[Shortname]], Comp[], 11, FALSE)</f>
        <v>0</v>
      </c>
      <c r="O352">
        <f>VLOOKUP(Table9[[#This Row],[Shortname]], Comp[],12, FALSE)</f>
        <v>5</v>
      </c>
      <c r="P352">
        <f>VLOOKUP(Table9[[#This Row],[Shortname]], Comp[], 13, FALSE)</f>
        <v>0</v>
      </c>
      <c r="Q352">
        <f>VLOOKUP(Table9[[#This Row],[Shortname]], Comp[], 14, FALSE)</f>
        <v>0</v>
      </c>
      <c r="R352">
        <f>VLOOKUP(Table9[[#This Row],[Shortname]], Comp[], 15, FALSE)</f>
        <v>15</v>
      </c>
      <c r="S352">
        <f>VLOOKUP(Table9[[#This Row],[Shortname]], Comp[], 16, FALSE)</f>
        <v>0</v>
      </c>
      <c r="T352">
        <f>VLOOKUP(Table9[[#This Row],[Shortname]], Comp[], 17, FALSE)</f>
        <v>0</v>
      </c>
      <c r="U352">
        <f>VLOOKUP(Table9[[#This Row],[Shortname]], Comp[], 18, FALSE)</f>
        <v>0</v>
      </c>
      <c r="V352">
        <f>VLOOKUP(Table9[[#This Row],[Shortname]], Comp[], 19, FALSE)</f>
        <v>0</v>
      </c>
      <c r="W352">
        <f>VLOOKUP(Table9[[#This Row],[Shortname]], Comp[], 20, FALSE)</f>
        <v>0</v>
      </c>
      <c r="X352">
        <f>VLOOKUP(Table9[[#This Row],[Shortname]], Comp[], 21, FALSE)</f>
        <v>0</v>
      </c>
      <c r="Y352">
        <f>VLOOKUP(Table9[[#This Row],[Shortname]], Comp[], 22, FALSE)</f>
        <v>0</v>
      </c>
      <c r="Z352">
        <f>VLOOKUP(Table9[[#This Row],[Shortname]], Comp[], 23, FALSE)</f>
        <v>0</v>
      </c>
      <c r="AA352">
        <f>VLOOKUP(Table9[[#This Row],[Shortname]], Comp[], 24, FALSE)</f>
        <v>0</v>
      </c>
      <c r="AB352">
        <f>VLOOKUP(Table9[[#This Row],[Shortname]], Comp[], 25, FALSE)</f>
        <v>0</v>
      </c>
      <c r="AC352">
        <f>VLOOKUP(Table9[[#This Row],[Shortname]], Comp[], 26, FALSE)</f>
        <v>0</v>
      </c>
      <c r="AD352">
        <f>VLOOKUP(Table9[[#This Row],[Shortname]], Comp[], 27, FALSE)</f>
        <v>0</v>
      </c>
      <c r="AE352">
        <f>VLOOKUP(Table9[[#This Row],[Shortname]], Comp[], 28, FALSE)</f>
        <v>0</v>
      </c>
      <c r="AF352">
        <f>VLOOKUP(Table9[[#This Row],[Shortname]], Comp[], 29, FALSE)</f>
        <v>0</v>
      </c>
      <c r="AG352">
        <f>VLOOKUP(Table9[[#This Row],[Shortname]], Comp[], 30, FALSE)</f>
        <v>0</v>
      </c>
      <c r="AH352">
        <f>VLOOKUP(Table9[[#This Row],[Shortname]], Comp[], 31, FALSE)</f>
        <v>0</v>
      </c>
    </row>
    <row r="353" spans="1:34" x14ac:dyDescent="0.3">
      <c r="A353" t="s">
        <v>983</v>
      </c>
      <c r="B353" t="s">
        <v>5230</v>
      </c>
      <c r="C353" t="s">
        <v>5231</v>
      </c>
      <c r="D353">
        <v>315</v>
      </c>
      <c r="E353">
        <v>-111</v>
      </c>
      <c r="F353">
        <v>1E-4</v>
      </c>
      <c r="G353">
        <v>1</v>
      </c>
      <c r="H353" t="s">
        <v>6803</v>
      </c>
      <c r="I353">
        <f>VLOOKUP(Table9[[#This Row],[Shortname]], Comp[], 6, FALSE)</f>
        <v>127</v>
      </c>
      <c r="J353" s="14">
        <f>VLOOKUP(Table9[[#This Row],[Shortname]], Comp[], 7, FALSE)</f>
        <v>77</v>
      </c>
      <c r="K353">
        <f>VLOOKUP(Table9[[#This Row],[Shortname]], Comp[], 8, FALSE)</f>
        <v>0</v>
      </c>
      <c r="L353">
        <f>VLOOKUP(Table9[[#This Row],[Shortname]], Comp[], 9, FALSE)</f>
        <v>12</v>
      </c>
      <c r="M353">
        <f>VLOOKUP(Table9[[#This Row],[Shortname]], Comp[], 10, FALSE)</f>
        <v>0</v>
      </c>
      <c r="N353">
        <f>VLOOKUP(Table9[[#This Row],[Shortname]], Comp[], 11, FALSE)</f>
        <v>11</v>
      </c>
      <c r="O353">
        <f>VLOOKUP(Table9[[#This Row],[Shortname]], Comp[],12, FALSE)</f>
        <v>0</v>
      </c>
      <c r="P353">
        <f>VLOOKUP(Table9[[#This Row],[Shortname]], Comp[], 13, FALSE)</f>
        <v>0</v>
      </c>
      <c r="Q353">
        <f>VLOOKUP(Table9[[#This Row],[Shortname]], Comp[], 14, FALSE)</f>
        <v>0</v>
      </c>
      <c r="R353">
        <f>VLOOKUP(Table9[[#This Row],[Shortname]], Comp[], 15, FALSE)</f>
        <v>0</v>
      </c>
      <c r="S353">
        <f>VLOOKUP(Table9[[#This Row],[Shortname]], Comp[], 16, FALSE)</f>
        <v>0</v>
      </c>
      <c r="T353">
        <f>VLOOKUP(Table9[[#This Row],[Shortname]], Comp[], 17, FALSE)</f>
        <v>0</v>
      </c>
      <c r="U353">
        <f>VLOOKUP(Table9[[#This Row],[Shortname]], Comp[], 18, FALSE)</f>
        <v>0</v>
      </c>
      <c r="V353">
        <f>VLOOKUP(Table9[[#This Row],[Shortname]], Comp[], 19, FALSE)</f>
        <v>0</v>
      </c>
      <c r="W353">
        <f>VLOOKUP(Table9[[#This Row],[Shortname]], Comp[], 20, FALSE)</f>
        <v>0</v>
      </c>
      <c r="X353">
        <f>VLOOKUP(Table9[[#This Row],[Shortname]], Comp[], 21, FALSE)</f>
        <v>0</v>
      </c>
      <c r="Y353">
        <f>VLOOKUP(Table9[[#This Row],[Shortname]], Comp[], 22, FALSE)</f>
        <v>0</v>
      </c>
      <c r="Z353">
        <f>VLOOKUP(Table9[[#This Row],[Shortname]], Comp[], 23, FALSE)</f>
        <v>0</v>
      </c>
      <c r="AA353">
        <f>VLOOKUP(Table9[[#This Row],[Shortname]], Comp[], 24, FALSE)</f>
        <v>0</v>
      </c>
      <c r="AB353">
        <f>VLOOKUP(Table9[[#This Row],[Shortname]], Comp[], 25, FALSE)</f>
        <v>0</v>
      </c>
      <c r="AC353">
        <f>VLOOKUP(Table9[[#This Row],[Shortname]], Comp[], 26, FALSE)</f>
        <v>0</v>
      </c>
      <c r="AD353">
        <f>VLOOKUP(Table9[[#This Row],[Shortname]], Comp[], 27, FALSE)</f>
        <v>0</v>
      </c>
      <c r="AE353">
        <f>VLOOKUP(Table9[[#This Row],[Shortname]], Comp[], 28, FALSE)</f>
        <v>0</v>
      </c>
      <c r="AF353">
        <f>VLOOKUP(Table9[[#This Row],[Shortname]], Comp[], 29, FALSE)</f>
        <v>0</v>
      </c>
      <c r="AG353">
        <f>VLOOKUP(Table9[[#This Row],[Shortname]], Comp[], 30, FALSE)</f>
        <v>0</v>
      </c>
      <c r="AH353">
        <f>VLOOKUP(Table9[[#This Row],[Shortname]], Comp[], 31, FALSE)</f>
        <v>0</v>
      </c>
    </row>
    <row r="354" spans="1:34" x14ac:dyDescent="0.3">
      <c r="A354" t="s">
        <v>4</v>
      </c>
      <c r="B354" t="s">
        <v>7</v>
      </c>
      <c r="C354" t="s">
        <v>6824</v>
      </c>
      <c r="D354">
        <v>313</v>
      </c>
      <c r="E354">
        <v>1125</v>
      </c>
      <c r="F354">
        <v>10</v>
      </c>
      <c r="G354">
        <v>1</v>
      </c>
      <c r="H354" t="s">
        <v>6807</v>
      </c>
      <c r="I354">
        <f>VLOOKUP(Table9[[#This Row],[Shortname]], Comp[], 6, FALSE)</f>
        <v>1</v>
      </c>
      <c r="J354" s="14">
        <f>VLOOKUP(Table9[[#This Row],[Shortname]], Comp[], 7, FALSE)</f>
        <v>41.800000000000004</v>
      </c>
      <c r="K354">
        <f>VLOOKUP(Table9[[#This Row],[Shortname]], Comp[], 8, FALSE)</f>
        <v>29.5</v>
      </c>
      <c r="L354">
        <f>VLOOKUP(Table9[[#This Row],[Shortname]], Comp[], 9, FALSE)</f>
        <v>9.6</v>
      </c>
      <c r="M354">
        <f>VLOOKUP(Table9[[#This Row],[Shortname]], Comp[], 10, FALSE)</f>
        <v>12.7</v>
      </c>
      <c r="N354">
        <f>VLOOKUP(Table9[[#This Row],[Shortname]], Comp[], 11, FALSE)</f>
        <v>0</v>
      </c>
      <c r="O354">
        <f>VLOOKUP(Table9[[#This Row],[Shortname]], Comp[],12, FALSE)</f>
        <v>4.5</v>
      </c>
      <c r="P354">
        <f>VLOOKUP(Table9[[#This Row],[Shortname]], Comp[], 13, FALSE)</f>
        <v>0</v>
      </c>
      <c r="Q354">
        <f>VLOOKUP(Table9[[#This Row],[Shortname]], Comp[], 14, FALSE)</f>
        <v>1.9</v>
      </c>
      <c r="R354">
        <f>VLOOKUP(Table9[[#This Row],[Shortname]], Comp[], 15, FALSE)</f>
        <v>0</v>
      </c>
      <c r="S354">
        <f>VLOOKUP(Table9[[#This Row],[Shortname]], Comp[], 16, FALSE)</f>
        <v>0</v>
      </c>
      <c r="T354">
        <f>VLOOKUP(Table9[[#This Row],[Shortname]], Comp[], 17, FALSE)</f>
        <v>0</v>
      </c>
      <c r="U354">
        <f>VLOOKUP(Table9[[#This Row],[Shortname]], Comp[], 18, FALSE)</f>
        <v>0</v>
      </c>
      <c r="V354">
        <f>VLOOKUP(Table9[[#This Row],[Shortname]], Comp[], 19, FALSE)</f>
        <v>0</v>
      </c>
      <c r="W354">
        <f>VLOOKUP(Table9[[#This Row],[Shortname]], Comp[], 20, FALSE)</f>
        <v>0</v>
      </c>
      <c r="X354">
        <f>VLOOKUP(Table9[[#This Row],[Shortname]], Comp[], 21, FALSE)</f>
        <v>0</v>
      </c>
      <c r="Y354">
        <f>VLOOKUP(Table9[[#This Row],[Shortname]], Comp[], 22, FALSE)</f>
        <v>0</v>
      </c>
      <c r="Z354">
        <f>VLOOKUP(Table9[[#This Row],[Shortname]], Comp[], 23, FALSE)</f>
        <v>0</v>
      </c>
      <c r="AA354">
        <f>VLOOKUP(Table9[[#This Row],[Shortname]], Comp[], 24, FALSE)</f>
        <v>0</v>
      </c>
      <c r="AB354">
        <f>VLOOKUP(Table9[[#This Row],[Shortname]], Comp[], 25, FALSE)</f>
        <v>0</v>
      </c>
      <c r="AC354">
        <f>VLOOKUP(Table9[[#This Row],[Shortname]], Comp[], 26, FALSE)</f>
        <v>0</v>
      </c>
      <c r="AD354">
        <f>VLOOKUP(Table9[[#This Row],[Shortname]], Comp[], 27, FALSE)</f>
        <v>0</v>
      </c>
      <c r="AE354">
        <f>VLOOKUP(Table9[[#This Row],[Shortname]], Comp[], 28, FALSE)</f>
        <v>0</v>
      </c>
      <c r="AF354">
        <f>VLOOKUP(Table9[[#This Row],[Shortname]], Comp[], 29, FALSE)</f>
        <v>0</v>
      </c>
      <c r="AG354">
        <f>VLOOKUP(Table9[[#This Row],[Shortname]], Comp[], 30, FALSE)</f>
        <v>0</v>
      </c>
      <c r="AH354">
        <f>VLOOKUP(Table9[[#This Row],[Shortname]], Comp[], 31, FALSE)</f>
        <v>0</v>
      </c>
    </row>
    <row r="355" spans="1:34" x14ac:dyDescent="0.3">
      <c r="A355" t="s">
        <v>2518</v>
      </c>
      <c r="B355" t="s">
        <v>2520</v>
      </c>
      <c r="C355" t="s">
        <v>2513</v>
      </c>
      <c r="D355">
        <v>311</v>
      </c>
      <c r="E355">
        <v>586</v>
      </c>
      <c r="F355">
        <v>1E-4</v>
      </c>
      <c r="G355">
        <v>1</v>
      </c>
      <c r="H355" t="s">
        <v>6803</v>
      </c>
      <c r="I355">
        <f>VLOOKUP(Table9[[#This Row],[Shortname]], Comp[], 6, FALSE)</f>
        <v>333</v>
      </c>
      <c r="J355" s="14">
        <f>VLOOKUP(Table9[[#This Row],[Shortname]], Comp[], 7, FALSE)</f>
        <v>78</v>
      </c>
      <c r="K355">
        <f>VLOOKUP(Table9[[#This Row],[Shortname]], Comp[], 8, FALSE)</f>
        <v>0</v>
      </c>
      <c r="L355">
        <f>VLOOKUP(Table9[[#This Row],[Shortname]], Comp[], 9, FALSE)</f>
        <v>10</v>
      </c>
      <c r="M355">
        <f>VLOOKUP(Table9[[#This Row],[Shortname]], Comp[], 10, FALSE)</f>
        <v>0</v>
      </c>
      <c r="N355">
        <f>VLOOKUP(Table9[[#This Row],[Shortname]], Comp[], 11, FALSE)</f>
        <v>12</v>
      </c>
      <c r="O355">
        <f>VLOOKUP(Table9[[#This Row],[Shortname]], Comp[],12, FALSE)</f>
        <v>0</v>
      </c>
      <c r="P355">
        <f>VLOOKUP(Table9[[#This Row],[Shortname]], Comp[], 13, FALSE)</f>
        <v>0</v>
      </c>
      <c r="Q355">
        <f>VLOOKUP(Table9[[#This Row],[Shortname]], Comp[], 14, FALSE)</f>
        <v>0</v>
      </c>
      <c r="R355">
        <f>VLOOKUP(Table9[[#This Row],[Shortname]], Comp[], 15, FALSE)</f>
        <v>0</v>
      </c>
      <c r="S355">
        <f>VLOOKUP(Table9[[#This Row],[Shortname]], Comp[], 16, FALSE)</f>
        <v>0</v>
      </c>
      <c r="T355">
        <f>VLOOKUP(Table9[[#This Row],[Shortname]], Comp[], 17, FALSE)</f>
        <v>0</v>
      </c>
      <c r="U355">
        <f>VLOOKUP(Table9[[#This Row],[Shortname]], Comp[], 18, FALSE)</f>
        <v>0</v>
      </c>
      <c r="V355">
        <f>VLOOKUP(Table9[[#This Row],[Shortname]], Comp[], 19, FALSE)</f>
        <v>0</v>
      </c>
      <c r="W355">
        <f>VLOOKUP(Table9[[#This Row],[Shortname]], Comp[], 20, FALSE)</f>
        <v>0</v>
      </c>
      <c r="X355">
        <f>VLOOKUP(Table9[[#This Row],[Shortname]], Comp[], 21, FALSE)</f>
        <v>0</v>
      </c>
      <c r="Y355">
        <f>VLOOKUP(Table9[[#This Row],[Shortname]], Comp[], 22, FALSE)</f>
        <v>0</v>
      </c>
      <c r="Z355">
        <f>VLOOKUP(Table9[[#This Row],[Shortname]], Comp[], 23, FALSE)</f>
        <v>0</v>
      </c>
      <c r="AA355">
        <f>VLOOKUP(Table9[[#This Row],[Shortname]], Comp[], 24, FALSE)</f>
        <v>0</v>
      </c>
      <c r="AB355">
        <f>VLOOKUP(Table9[[#This Row],[Shortname]], Comp[], 25, FALSE)</f>
        <v>0</v>
      </c>
      <c r="AC355">
        <f>VLOOKUP(Table9[[#This Row],[Shortname]], Comp[], 26, FALSE)</f>
        <v>0</v>
      </c>
      <c r="AD355">
        <f>VLOOKUP(Table9[[#This Row],[Shortname]], Comp[], 27, FALSE)</f>
        <v>0</v>
      </c>
      <c r="AE355">
        <f>VLOOKUP(Table9[[#This Row],[Shortname]], Comp[], 28, FALSE)</f>
        <v>0</v>
      </c>
      <c r="AF355">
        <f>VLOOKUP(Table9[[#This Row],[Shortname]], Comp[], 29, FALSE)</f>
        <v>0</v>
      </c>
      <c r="AG355">
        <f>VLOOKUP(Table9[[#This Row],[Shortname]], Comp[], 30, FALSE)</f>
        <v>0</v>
      </c>
      <c r="AH355">
        <f>VLOOKUP(Table9[[#This Row],[Shortname]], Comp[], 31, FALSE)</f>
        <v>0</v>
      </c>
    </row>
    <row r="356" spans="1:34" x14ac:dyDescent="0.3">
      <c r="A356" t="s">
        <v>1456</v>
      </c>
      <c r="B356" t="s">
        <v>1458</v>
      </c>
      <c r="C356" t="s">
        <v>1459</v>
      </c>
      <c r="D356">
        <v>310</v>
      </c>
      <c r="E356">
        <v>400</v>
      </c>
      <c r="F356">
        <v>1E-4</v>
      </c>
      <c r="G356">
        <v>1</v>
      </c>
      <c r="H356" t="s">
        <v>6813</v>
      </c>
      <c r="I356">
        <f>VLOOKUP(Table9[[#This Row],[Shortname]], Comp[], 6, FALSE)</f>
        <v>186</v>
      </c>
      <c r="J356" s="14">
        <f>VLOOKUP(Table9[[#This Row],[Shortname]], Comp[], 7, FALSE)</f>
        <v>47.5</v>
      </c>
      <c r="K356">
        <f>VLOOKUP(Table9[[#This Row],[Shortname]], Comp[], 8, FALSE)</f>
        <v>31.2</v>
      </c>
      <c r="L356">
        <f>VLOOKUP(Table9[[#This Row],[Shortname]], Comp[], 9, FALSE)</f>
        <v>9.5</v>
      </c>
      <c r="M356">
        <f>VLOOKUP(Table9[[#This Row],[Shortname]], Comp[], 10, FALSE)</f>
        <v>0</v>
      </c>
      <c r="N356">
        <f>VLOOKUP(Table9[[#This Row],[Shortname]], Comp[], 11, FALSE)</f>
        <v>7.2</v>
      </c>
      <c r="O356">
        <f>VLOOKUP(Table9[[#This Row],[Shortname]], Comp[],12, FALSE)</f>
        <v>2.8</v>
      </c>
      <c r="P356">
        <f>VLOOKUP(Table9[[#This Row],[Shortname]], Comp[], 13, FALSE)</f>
        <v>1.8</v>
      </c>
      <c r="Q356">
        <f>VLOOKUP(Table9[[#This Row],[Shortname]], Comp[], 14, FALSE)</f>
        <v>0</v>
      </c>
      <c r="R356">
        <f>VLOOKUP(Table9[[#This Row],[Shortname]], Comp[], 15, FALSE)</f>
        <v>0</v>
      </c>
      <c r="S356">
        <f>VLOOKUP(Table9[[#This Row],[Shortname]], Comp[], 16, FALSE)</f>
        <v>0</v>
      </c>
      <c r="T356">
        <f>VLOOKUP(Table9[[#This Row],[Shortname]], Comp[], 17, FALSE)</f>
        <v>0</v>
      </c>
      <c r="U356">
        <f>VLOOKUP(Table9[[#This Row],[Shortname]], Comp[], 18, FALSE)</f>
        <v>0</v>
      </c>
      <c r="V356">
        <f>VLOOKUP(Table9[[#This Row],[Shortname]], Comp[], 19, FALSE)</f>
        <v>0</v>
      </c>
      <c r="W356">
        <f>VLOOKUP(Table9[[#This Row],[Shortname]], Comp[], 20, FALSE)</f>
        <v>0</v>
      </c>
      <c r="X356">
        <f>VLOOKUP(Table9[[#This Row],[Shortname]], Comp[], 21, FALSE)</f>
        <v>0</v>
      </c>
      <c r="Y356">
        <f>VLOOKUP(Table9[[#This Row],[Shortname]], Comp[], 22, FALSE)</f>
        <v>0</v>
      </c>
      <c r="Z356">
        <f>VLOOKUP(Table9[[#This Row],[Shortname]], Comp[], 23, FALSE)</f>
        <v>0</v>
      </c>
      <c r="AA356">
        <f>VLOOKUP(Table9[[#This Row],[Shortname]], Comp[], 24, FALSE)</f>
        <v>0</v>
      </c>
      <c r="AB356">
        <f>VLOOKUP(Table9[[#This Row],[Shortname]], Comp[], 25, FALSE)</f>
        <v>0</v>
      </c>
      <c r="AC356">
        <f>VLOOKUP(Table9[[#This Row],[Shortname]], Comp[], 26, FALSE)</f>
        <v>0</v>
      </c>
      <c r="AD356">
        <f>VLOOKUP(Table9[[#This Row],[Shortname]], Comp[], 27, FALSE)</f>
        <v>0</v>
      </c>
      <c r="AE356">
        <f>VLOOKUP(Table9[[#This Row],[Shortname]], Comp[], 28, FALSE)</f>
        <v>0</v>
      </c>
      <c r="AF356">
        <f>VLOOKUP(Table9[[#This Row],[Shortname]], Comp[], 29, FALSE)</f>
        <v>0</v>
      </c>
      <c r="AG356">
        <f>VLOOKUP(Table9[[#This Row],[Shortname]], Comp[], 30, FALSE)</f>
        <v>0</v>
      </c>
      <c r="AH356">
        <f>VLOOKUP(Table9[[#This Row],[Shortname]], Comp[], 31, FALSE)</f>
        <v>0</v>
      </c>
    </row>
    <row r="357" spans="1:34" x14ac:dyDescent="0.3">
      <c r="A357" t="s">
        <v>2062</v>
      </c>
      <c r="B357" t="s">
        <v>2064</v>
      </c>
      <c r="C357" t="s">
        <v>2065</v>
      </c>
      <c r="D357">
        <v>310</v>
      </c>
      <c r="E357">
        <v>850</v>
      </c>
      <c r="F357">
        <v>1E-4</v>
      </c>
      <c r="G357">
        <v>1</v>
      </c>
      <c r="H357" t="s">
        <v>6803</v>
      </c>
      <c r="I357">
        <f>VLOOKUP(Table9[[#This Row],[Shortname]], Comp[], 6, FALSE)</f>
        <v>271</v>
      </c>
      <c r="J357" s="14">
        <f>VLOOKUP(Table9[[#This Row],[Shortname]], Comp[], 7, FALSE)</f>
        <v>87</v>
      </c>
      <c r="K357">
        <f>VLOOKUP(Table9[[#This Row],[Shortname]], Comp[], 8, FALSE)</f>
        <v>0</v>
      </c>
      <c r="L357">
        <f>VLOOKUP(Table9[[#This Row],[Shortname]], Comp[], 9, FALSE)</f>
        <v>0</v>
      </c>
      <c r="M357">
        <f>VLOOKUP(Table9[[#This Row],[Shortname]], Comp[], 10, FALSE)</f>
        <v>0</v>
      </c>
      <c r="N357">
        <f>VLOOKUP(Table9[[#This Row],[Shortname]], Comp[], 11, FALSE)</f>
        <v>0</v>
      </c>
      <c r="O357">
        <f>VLOOKUP(Table9[[#This Row],[Shortname]], Comp[],12, FALSE)</f>
        <v>12</v>
      </c>
      <c r="P357">
        <f>VLOOKUP(Table9[[#This Row],[Shortname]], Comp[], 13, FALSE)</f>
        <v>0</v>
      </c>
      <c r="Q357">
        <f>VLOOKUP(Table9[[#This Row],[Shortname]], Comp[], 14, FALSE)</f>
        <v>0</v>
      </c>
      <c r="R357">
        <f>VLOOKUP(Table9[[#This Row],[Shortname]], Comp[], 15, FALSE)</f>
        <v>0</v>
      </c>
      <c r="S357">
        <f>VLOOKUP(Table9[[#This Row],[Shortname]], Comp[], 16, FALSE)</f>
        <v>0</v>
      </c>
      <c r="T357">
        <f>VLOOKUP(Table9[[#This Row],[Shortname]], Comp[], 17, FALSE)</f>
        <v>0</v>
      </c>
      <c r="U357">
        <f>VLOOKUP(Table9[[#This Row],[Shortname]], Comp[], 18, FALSE)</f>
        <v>0</v>
      </c>
      <c r="V357">
        <f>VLOOKUP(Table9[[#This Row],[Shortname]], Comp[], 19, FALSE)</f>
        <v>0</v>
      </c>
      <c r="W357">
        <f>VLOOKUP(Table9[[#This Row],[Shortname]], Comp[], 20, FALSE)</f>
        <v>0</v>
      </c>
      <c r="X357">
        <f>VLOOKUP(Table9[[#This Row],[Shortname]], Comp[], 21, FALSE)</f>
        <v>1</v>
      </c>
      <c r="Y357">
        <f>VLOOKUP(Table9[[#This Row],[Shortname]], Comp[], 22, FALSE)</f>
        <v>0</v>
      </c>
      <c r="Z357">
        <f>VLOOKUP(Table9[[#This Row],[Shortname]], Comp[], 23, FALSE)</f>
        <v>0</v>
      </c>
      <c r="AA357">
        <f>VLOOKUP(Table9[[#This Row],[Shortname]], Comp[], 24, FALSE)</f>
        <v>0</v>
      </c>
      <c r="AB357">
        <f>VLOOKUP(Table9[[#This Row],[Shortname]], Comp[], 25, FALSE)</f>
        <v>0</v>
      </c>
      <c r="AC357">
        <f>VLOOKUP(Table9[[#This Row],[Shortname]], Comp[], 26, FALSE)</f>
        <v>0</v>
      </c>
      <c r="AD357">
        <f>VLOOKUP(Table9[[#This Row],[Shortname]], Comp[], 27, FALSE)</f>
        <v>0</v>
      </c>
      <c r="AE357">
        <f>VLOOKUP(Table9[[#This Row],[Shortname]], Comp[], 28, FALSE)</f>
        <v>0</v>
      </c>
      <c r="AF357">
        <f>VLOOKUP(Table9[[#This Row],[Shortname]], Comp[], 29, FALSE)</f>
        <v>0</v>
      </c>
      <c r="AG357">
        <f>VLOOKUP(Table9[[#This Row],[Shortname]], Comp[], 30, FALSE)</f>
        <v>0</v>
      </c>
      <c r="AH357">
        <f>VLOOKUP(Table9[[#This Row],[Shortname]], Comp[], 31, FALSE)</f>
        <v>0</v>
      </c>
    </row>
    <row r="358" spans="1:34" x14ac:dyDescent="0.3">
      <c r="A358" t="s">
        <v>983</v>
      </c>
      <c r="B358" t="s">
        <v>5230</v>
      </c>
      <c r="C358" t="s">
        <v>5231</v>
      </c>
      <c r="D358">
        <v>309</v>
      </c>
      <c r="E358">
        <v>301</v>
      </c>
      <c r="F358">
        <v>1E-4</v>
      </c>
      <c r="G358">
        <v>1</v>
      </c>
      <c r="H358" t="s">
        <v>6803</v>
      </c>
      <c r="I358">
        <f>VLOOKUP(Table9[[#This Row],[Shortname]], Comp[], 6, FALSE)</f>
        <v>127</v>
      </c>
      <c r="J358" s="14">
        <f>VLOOKUP(Table9[[#This Row],[Shortname]], Comp[], 7, FALSE)</f>
        <v>77</v>
      </c>
      <c r="K358">
        <f>VLOOKUP(Table9[[#This Row],[Shortname]], Comp[], 8, FALSE)</f>
        <v>0</v>
      </c>
      <c r="L358">
        <f>VLOOKUP(Table9[[#This Row],[Shortname]], Comp[], 9, FALSE)</f>
        <v>12</v>
      </c>
      <c r="M358">
        <f>VLOOKUP(Table9[[#This Row],[Shortname]], Comp[], 10, FALSE)</f>
        <v>0</v>
      </c>
      <c r="N358">
        <f>VLOOKUP(Table9[[#This Row],[Shortname]], Comp[], 11, FALSE)</f>
        <v>11</v>
      </c>
      <c r="O358">
        <f>VLOOKUP(Table9[[#This Row],[Shortname]], Comp[],12, FALSE)</f>
        <v>0</v>
      </c>
      <c r="P358">
        <f>VLOOKUP(Table9[[#This Row],[Shortname]], Comp[], 13, FALSE)</f>
        <v>0</v>
      </c>
      <c r="Q358">
        <f>VLOOKUP(Table9[[#This Row],[Shortname]], Comp[], 14, FALSE)</f>
        <v>0</v>
      </c>
      <c r="R358">
        <f>VLOOKUP(Table9[[#This Row],[Shortname]], Comp[], 15, FALSE)</f>
        <v>0</v>
      </c>
      <c r="S358">
        <f>VLOOKUP(Table9[[#This Row],[Shortname]], Comp[], 16, FALSE)</f>
        <v>0</v>
      </c>
      <c r="T358">
        <f>VLOOKUP(Table9[[#This Row],[Shortname]], Comp[], 17, FALSE)</f>
        <v>0</v>
      </c>
      <c r="U358">
        <f>VLOOKUP(Table9[[#This Row],[Shortname]], Comp[], 18, FALSE)</f>
        <v>0</v>
      </c>
      <c r="V358">
        <f>VLOOKUP(Table9[[#This Row],[Shortname]], Comp[], 19, FALSE)</f>
        <v>0</v>
      </c>
      <c r="W358">
        <f>VLOOKUP(Table9[[#This Row],[Shortname]], Comp[], 20, FALSE)</f>
        <v>0</v>
      </c>
      <c r="X358">
        <f>VLOOKUP(Table9[[#This Row],[Shortname]], Comp[], 21, FALSE)</f>
        <v>0</v>
      </c>
      <c r="Y358">
        <f>VLOOKUP(Table9[[#This Row],[Shortname]], Comp[], 22, FALSE)</f>
        <v>0</v>
      </c>
      <c r="Z358">
        <f>VLOOKUP(Table9[[#This Row],[Shortname]], Comp[], 23, FALSE)</f>
        <v>0</v>
      </c>
      <c r="AA358">
        <f>VLOOKUP(Table9[[#This Row],[Shortname]], Comp[], 24, FALSE)</f>
        <v>0</v>
      </c>
      <c r="AB358">
        <f>VLOOKUP(Table9[[#This Row],[Shortname]], Comp[], 25, FALSE)</f>
        <v>0</v>
      </c>
      <c r="AC358">
        <f>VLOOKUP(Table9[[#This Row],[Shortname]], Comp[], 26, FALSE)</f>
        <v>0</v>
      </c>
      <c r="AD358">
        <f>VLOOKUP(Table9[[#This Row],[Shortname]], Comp[], 27, FALSE)</f>
        <v>0</v>
      </c>
      <c r="AE358">
        <f>VLOOKUP(Table9[[#This Row],[Shortname]], Comp[], 28, FALSE)</f>
        <v>0</v>
      </c>
      <c r="AF358">
        <f>VLOOKUP(Table9[[#This Row],[Shortname]], Comp[], 29, FALSE)</f>
        <v>0</v>
      </c>
      <c r="AG358">
        <f>VLOOKUP(Table9[[#This Row],[Shortname]], Comp[], 30, FALSE)</f>
        <v>0</v>
      </c>
      <c r="AH358">
        <f>VLOOKUP(Table9[[#This Row],[Shortname]], Comp[], 31, FALSE)</f>
        <v>0</v>
      </c>
    </row>
    <row r="359" spans="1:34" x14ac:dyDescent="0.3">
      <c r="A359" t="s">
        <v>1728</v>
      </c>
      <c r="B359" t="s">
        <v>2150</v>
      </c>
      <c r="C359" t="s">
        <v>3480</v>
      </c>
      <c r="D359">
        <v>309</v>
      </c>
      <c r="E359">
        <v>800</v>
      </c>
      <c r="F359">
        <v>1E-4</v>
      </c>
      <c r="G359">
        <v>1</v>
      </c>
      <c r="H359" t="s">
        <v>6803</v>
      </c>
      <c r="I359">
        <f>VLOOKUP(Table9[[#This Row],[Shortname]], Comp[], 6, FALSE)</f>
        <v>221</v>
      </c>
      <c r="J359" s="14">
        <f>VLOOKUP(Table9[[#This Row],[Shortname]], Comp[], 7, FALSE)</f>
        <v>79.900000000000006</v>
      </c>
      <c r="K359">
        <f>VLOOKUP(Table9[[#This Row],[Shortname]], Comp[], 8, FALSE)</f>
        <v>0</v>
      </c>
      <c r="L359">
        <f>VLOOKUP(Table9[[#This Row],[Shortname]], Comp[], 9, FALSE)</f>
        <v>9.4</v>
      </c>
      <c r="M359">
        <f>VLOOKUP(Table9[[#This Row],[Shortname]], Comp[], 10, FALSE)</f>
        <v>0</v>
      </c>
      <c r="N359">
        <f>VLOOKUP(Table9[[#This Row],[Shortname]], Comp[], 11, FALSE)</f>
        <v>10.7</v>
      </c>
      <c r="O359">
        <f>VLOOKUP(Table9[[#This Row],[Shortname]], Comp[],12, FALSE)</f>
        <v>0</v>
      </c>
      <c r="P359">
        <f>VLOOKUP(Table9[[#This Row],[Shortname]], Comp[], 13, FALSE)</f>
        <v>0</v>
      </c>
      <c r="Q359">
        <f>VLOOKUP(Table9[[#This Row],[Shortname]], Comp[], 14, FALSE)</f>
        <v>0</v>
      </c>
      <c r="R359">
        <f>VLOOKUP(Table9[[#This Row],[Shortname]], Comp[], 15, FALSE)</f>
        <v>0</v>
      </c>
      <c r="S359">
        <f>VLOOKUP(Table9[[#This Row],[Shortname]], Comp[], 16, FALSE)</f>
        <v>0</v>
      </c>
      <c r="T359">
        <f>VLOOKUP(Table9[[#This Row],[Shortname]], Comp[], 17, FALSE)</f>
        <v>0</v>
      </c>
      <c r="U359">
        <f>VLOOKUP(Table9[[#This Row],[Shortname]], Comp[], 18, FALSE)</f>
        <v>0</v>
      </c>
      <c r="V359">
        <f>VLOOKUP(Table9[[#This Row],[Shortname]], Comp[], 19, FALSE)</f>
        <v>0</v>
      </c>
      <c r="W359">
        <f>VLOOKUP(Table9[[#This Row],[Shortname]], Comp[], 20, FALSE)</f>
        <v>0</v>
      </c>
      <c r="X359">
        <f>VLOOKUP(Table9[[#This Row],[Shortname]], Comp[], 21, FALSE)</f>
        <v>0</v>
      </c>
      <c r="Y359">
        <f>VLOOKUP(Table9[[#This Row],[Shortname]], Comp[], 22, FALSE)</f>
        <v>0</v>
      </c>
      <c r="Z359">
        <f>VLOOKUP(Table9[[#This Row],[Shortname]], Comp[], 23, FALSE)</f>
        <v>0</v>
      </c>
      <c r="AA359">
        <f>VLOOKUP(Table9[[#This Row],[Shortname]], Comp[], 24, FALSE)</f>
        <v>0</v>
      </c>
      <c r="AB359">
        <f>VLOOKUP(Table9[[#This Row],[Shortname]], Comp[], 25, FALSE)</f>
        <v>0</v>
      </c>
      <c r="AC359">
        <f>VLOOKUP(Table9[[#This Row],[Shortname]], Comp[], 26, FALSE)</f>
        <v>0</v>
      </c>
      <c r="AD359">
        <f>VLOOKUP(Table9[[#This Row],[Shortname]], Comp[], 27, FALSE)</f>
        <v>0</v>
      </c>
      <c r="AE359">
        <f>VLOOKUP(Table9[[#This Row],[Shortname]], Comp[], 28, FALSE)</f>
        <v>0</v>
      </c>
      <c r="AF359">
        <f>VLOOKUP(Table9[[#This Row],[Shortname]], Comp[], 29, FALSE)</f>
        <v>0</v>
      </c>
      <c r="AG359">
        <f>VLOOKUP(Table9[[#This Row],[Shortname]], Comp[], 30, FALSE)</f>
        <v>0</v>
      </c>
      <c r="AH359">
        <f>VLOOKUP(Table9[[#This Row],[Shortname]], Comp[], 31, FALSE)</f>
        <v>0</v>
      </c>
    </row>
    <row r="360" spans="1:34" x14ac:dyDescent="0.3">
      <c r="A360" t="s">
        <v>2570</v>
      </c>
      <c r="B360" t="s">
        <v>2572</v>
      </c>
      <c r="C360" t="s">
        <v>2573</v>
      </c>
      <c r="D360">
        <v>305.3</v>
      </c>
      <c r="E360">
        <v>1175</v>
      </c>
      <c r="F360">
        <v>10</v>
      </c>
      <c r="G360">
        <v>1</v>
      </c>
      <c r="I360">
        <f>VLOOKUP(Table9[[#This Row],[Shortname]], Comp[], 6, FALSE)</f>
        <v>340</v>
      </c>
      <c r="J360" s="14">
        <f>VLOOKUP(Table9[[#This Row],[Shortname]], Comp[], 7, FALSE)</f>
        <v>46.73</v>
      </c>
      <c r="K360">
        <f>VLOOKUP(Table9[[#This Row],[Shortname]], Comp[], 8, FALSE)</f>
        <v>29.96</v>
      </c>
      <c r="L360">
        <f>VLOOKUP(Table9[[#This Row],[Shortname]], Comp[], 9, FALSE)</f>
        <v>9.5399999999999991</v>
      </c>
      <c r="M360">
        <f>VLOOKUP(Table9[[#This Row],[Shortname]], Comp[], 10, FALSE)</f>
        <v>4.78</v>
      </c>
      <c r="N360">
        <f>VLOOKUP(Table9[[#This Row],[Shortname]], Comp[], 11, FALSE)</f>
        <v>0</v>
      </c>
      <c r="O360">
        <f>VLOOKUP(Table9[[#This Row],[Shortname]], Comp[],12, FALSE)</f>
        <v>2.13</v>
      </c>
      <c r="P360">
        <f>VLOOKUP(Table9[[#This Row],[Shortname]], Comp[], 13, FALSE)</f>
        <v>1.91</v>
      </c>
      <c r="Q360">
        <f>VLOOKUP(Table9[[#This Row],[Shortname]], Comp[], 14, FALSE)</f>
        <v>0</v>
      </c>
      <c r="R360">
        <f>VLOOKUP(Table9[[#This Row],[Shortname]], Comp[], 15, FALSE)</f>
        <v>0</v>
      </c>
      <c r="S360">
        <f>VLOOKUP(Table9[[#This Row],[Shortname]], Comp[], 16, FALSE)</f>
        <v>4.95</v>
      </c>
      <c r="T360">
        <f>VLOOKUP(Table9[[#This Row],[Shortname]], Comp[], 17, FALSE)</f>
        <v>0</v>
      </c>
      <c r="U360">
        <f>VLOOKUP(Table9[[#This Row],[Shortname]], Comp[], 18, FALSE)</f>
        <v>0</v>
      </c>
      <c r="V360">
        <f>VLOOKUP(Table9[[#This Row],[Shortname]], Comp[], 19, FALSE)</f>
        <v>0</v>
      </c>
      <c r="W360">
        <f>VLOOKUP(Table9[[#This Row],[Shortname]], Comp[], 20, FALSE)</f>
        <v>0</v>
      </c>
      <c r="X360">
        <f>VLOOKUP(Table9[[#This Row],[Shortname]], Comp[], 21, FALSE)</f>
        <v>0</v>
      </c>
      <c r="Y360">
        <f>VLOOKUP(Table9[[#This Row],[Shortname]], Comp[], 22, FALSE)</f>
        <v>0</v>
      </c>
      <c r="Z360">
        <f>VLOOKUP(Table9[[#This Row],[Shortname]], Comp[], 23, FALSE)</f>
        <v>0</v>
      </c>
      <c r="AA360">
        <f>VLOOKUP(Table9[[#This Row],[Shortname]], Comp[], 24, FALSE)</f>
        <v>0</v>
      </c>
      <c r="AB360">
        <f>VLOOKUP(Table9[[#This Row],[Shortname]], Comp[], 25, FALSE)</f>
        <v>0</v>
      </c>
      <c r="AC360">
        <f>VLOOKUP(Table9[[#This Row],[Shortname]], Comp[], 26, FALSE)</f>
        <v>0</v>
      </c>
      <c r="AD360">
        <f>VLOOKUP(Table9[[#This Row],[Shortname]], Comp[], 27, FALSE)</f>
        <v>0</v>
      </c>
      <c r="AE360">
        <f>VLOOKUP(Table9[[#This Row],[Shortname]], Comp[], 28, FALSE)</f>
        <v>0</v>
      </c>
      <c r="AF360">
        <f>VLOOKUP(Table9[[#This Row],[Shortname]], Comp[], 29, FALSE)</f>
        <v>0</v>
      </c>
      <c r="AG360">
        <f>VLOOKUP(Table9[[#This Row],[Shortname]], Comp[], 30, FALSE)</f>
        <v>0</v>
      </c>
      <c r="AH360">
        <f>VLOOKUP(Table9[[#This Row],[Shortname]], Comp[], 31, FALSE)</f>
        <v>0</v>
      </c>
    </row>
    <row r="361" spans="1:34" x14ac:dyDescent="0.3">
      <c r="A361" t="s">
        <v>1456</v>
      </c>
      <c r="B361" t="s">
        <v>1458</v>
      </c>
      <c r="C361" t="s">
        <v>1459</v>
      </c>
      <c r="D361">
        <v>304</v>
      </c>
      <c r="E361">
        <v>25</v>
      </c>
      <c r="F361">
        <v>1E-4</v>
      </c>
      <c r="G361">
        <v>1</v>
      </c>
      <c r="H361" t="s">
        <v>6813</v>
      </c>
      <c r="I361">
        <f>VLOOKUP(Table9[[#This Row],[Shortname]], Comp[], 6, FALSE)</f>
        <v>186</v>
      </c>
      <c r="J361" s="14">
        <f>VLOOKUP(Table9[[#This Row],[Shortname]], Comp[], 7, FALSE)</f>
        <v>47.5</v>
      </c>
      <c r="K361">
        <f>VLOOKUP(Table9[[#This Row],[Shortname]], Comp[], 8, FALSE)</f>
        <v>31.2</v>
      </c>
      <c r="L361">
        <f>VLOOKUP(Table9[[#This Row],[Shortname]], Comp[], 9, FALSE)</f>
        <v>9.5</v>
      </c>
      <c r="M361">
        <f>VLOOKUP(Table9[[#This Row],[Shortname]], Comp[], 10, FALSE)</f>
        <v>0</v>
      </c>
      <c r="N361">
        <f>VLOOKUP(Table9[[#This Row],[Shortname]], Comp[], 11, FALSE)</f>
        <v>7.2</v>
      </c>
      <c r="O361">
        <f>VLOOKUP(Table9[[#This Row],[Shortname]], Comp[],12, FALSE)</f>
        <v>2.8</v>
      </c>
      <c r="P361">
        <f>VLOOKUP(Table9[[#This Row],[Shortname]], Comp[], 13, FALSE)</f>
        <v>1.8</v>
      </c>
      <c r="Q361">
        <f>VLOOKUP(Table9[[#This Row],[Shortname]], Comp[], 14, FALSE)</f>
        <v>0</v>
      </c>
      <c r="R361">
        <f>VLOOKUP(Table9[[#This Row],[Shortname]], Comp[], 15, FALSE)</f>
        <v>0</v>
      </c>
      <c r="S361">
        <f>VLOOKUP(Table9[[#This Row],[Shortname]], Comp[], 16, FALSE)</f>
        <v>0</v>
      </c>
      <c r="T361">
        <f>VLOOKUP(Table9[[#This Row],[Shortname]], Comp[], 17, FALSE)</f>
        <v>0</v>
      </c>
      <c r="U361">
        <f>VLOOKUP(Table9[[#This Row],[Shortname]], Comp[], 18, FALSE)</f>
        <v>0</v>
      </c>
      <c r="V361">
        <f>VLOOKUP(Table9[[#This Row],[Shortname]], Comp[], 19, FALSE)</f>
        <v>0</v>
      </c>
      <c r="W361">
        <f>VLOOKUP(Table9[[#This Row],[Shortname]], Comp[], 20, FALSE)</f>
        <v>0</v>
      </c>
      <c r="X361">
        <f>VLOOKUP(Table9[[#This Row],[Shortname]], Comp[], 21, FALSE)</f>
        <v>0</v>
      </c>
      <c r="Y361">
        <f>VLOOKUP(Table9[[#This Row],[Shortname]], Comp[], 22, FALSE)</f>
        <v>0</v>
      </c>
      <c r="Z361">
        <f>VLOOKUP(Table9[[#This Row],[Shortname]], Comp[], 23, FALSE)</f>
        <v>0</v>
      </c>
      <c r="AA361">
        <f>VLOOKUP(Table9[[#This Row],[Shortname]], Comp[], 24, FALSE)</f>
        <v>0</v>
      </c>
      <c r="AB361">
        <f>VLOOKUP(Table9[[#This Row],[Shortname]], Comp[], 25, FALSE)</f>
        <v>0</v>
      </c>
      <c r="AC361">
        <f>VLOOKUP(Table9[[#This Row],[Shortname]], Comp[], 26, FALSE)</f>
        <v>0</v>
      </c>
      <c r="AD361">
        <f>VLOOKUP(Table9[[#This Row],[Shortname]], Comp[], 27, FALSE)</f>
        <v>0</v>
      </c>
      <c r="AE361">
        <f>VLOOKUP(Table9[[#This Row],[Shortname]], Comp[], 28, FALSE)</f>
        <v>0</v>
      </c>
      <c r="AF361">
        <f>VLOOKUP(Table9[[#This Row],[Shortname]], Comp[], 29, FALSE)</f>
        <v>0</v>
      </c>
      <c r="AG361">
        <f>VLOOKUP(Table9[[#This Row],[Shortname]], Comp[], 30, FALSE)</f>
        <v>0</v>
      </c>
      <c r="AH361">
        <f>VLOOKUP(Table9[[#This Row],[Shortname]], Comp[], 31, FALSE)</f>
        <v>0</v>
      </c>
    </row>
    <row r="362" spans="1:34" x14ac:dyDescent="0.3">
      <c r="A362" t="s">
        <v>1446</v>
      </c>
      <c r="B362" t="s">
        <v>1448</v>
      </c>
      <c r="C362" t="s">
        <v>1449</v>
      </c>
      <c r="D362">
        <v>300</v>
      </c>
      <c r="E362">
        <v>1100</v>
      </c>
      <c r="F362">
        <v>1E-4</v>
      </c>
      <c r="G362">
        <v>1</v>
      </c>
      <c r="H362" t="s">
        <v>6813</v>
      </c>
      <c r="I362">
        <f>VLOOKUP(Table9[[#This Row],[Shortname]], Comp[], 6, FALSE)</f>
        <v>185</v>
      </c>
      <c r="J362" s="14">
        <f>VLOOKUP(Table9[[#This Row],[Shortname]], Comp[], 7, FALSE)</f>
        <v>48.800000000000004</v>
      </c>
      <c r="K362">
        <f>VLOOKUP(Table9[[#This Row],[Shortname]], Comp[], 8, FALSE)</f>
        <v>30.8</v>
      </c>
      <c r="L362">
        <f>VLOOKUP(Table9[[#This Row],[Shortname]], Comp[], 9, FALSE)</f>
        <v>9.5</v>
      </c>
      <c r="M362">
        <f>VLOOKUP(Table9[[#This Row],[Shortname]], Comp[], 10, FALSE)</f>
        <v>0</v>
      </c>
      <c r="N362">
        <f>VLOOKUP(Table9[[#This Row],[Shortname]], Comp[], 11, FALSE)</f>
        <v>4.4000000000000004</v>
      </c>
      <c r="O362">
        <f>VLOOKUP(Table9[[#This Row],[Shortname]], Comp[],12, FALSE)</f>
        <v>3.8</v>
      </c>
      <c r="P362">
        <f>VLOOKUP(Table9[[#This Row],[Shortname]], Comp[], 13, FALSE)</f>
        <v>2.7</v>
      </c>
      <c r="Q362">
        <f>VLOOKUP(Table9[[#This Row],[Shortname]], Comp[], 14, FALSE)</f>
        <v>0</v>
      </c>
      <c r="R362">
        <f>VLOOKUP(Table9[[#This Row],[Shortname]], Comp[], 15, FALSE)</f>
        <v>0</v>
      </c>
      <c r="S362">
        <f>VLOOKUP(Table9[[#This Row],[Shortname]], Comp[], 16, FALSE)</f>
        <v>0</v>
      </c>
      <c r="T362">
        <f>VLOOKUP(Table9[[#This Row],[Shortname]], Comp[], 17, FALSE)</f>
        <v>0</v>
      </c>
      <c r="U362">
        <f>VLOOKUP(Table9[[#This Row],[Shortname]], Comp[], 18, FALSE)</f>
        <v>0</v>
      </c>
      <c r="V362">
        <f>VLOOKUP(Table9[[#This Row],[Shortname]], Comp[], 19, FALSE)</f>
        <v>0</v>
      </c>
      <c r="W362">
        <f>VLOOKUP(Table9[[#This Row],[Shortname]], Comp[], 20, FALSE)</f>
        <v>0</v>
      </c>
      <c r="X362">
        <f>VLOOKUP(Table9[[#This Row],[Shortname]], Comp[], 21, FALSE)</f>
        <v>0</v>
      </c>
      <c r="Y362">
        <f>VLOOKUP(Table9[[#This Row],[Shortname]], Comp[], 22, FALSE)</f>
        <v>0</v>
      </c>
      <c r="Z362">
        <f>VLOOKUP(Table9[[#This Row],[Shortname]], Comp[], 23, FALSE)</f>
        <v>0</v>
      </c>
      <c r="AA362">
        <f>VLOOKUP(Table9[[#This Row],[Shortname]], Comp[], 24, FALSE)</f>
        <v>0</v>
      </c>
      <c r="AB362">
        <f>VLOOKUP(Table9[[#This Row],[Shortname]], Comp[], 25, FALSE)</f>
        <v>0</v>
      </c>
      <c r="AC362">
        <f>VLOOKUP(Table9[[#This Row],[Shortname]], Comp[], 26, FALSE)</f>
        <v>0</v>
      </c>
      <c r="AD362">
        <f>VLOOKUP(Table9[[#This Row],[Shortname]], Comp[], 27, FALSE)</f>
        <v>0</v>
      </c>
      <c r="AE362">
        <f>VLOOKUP(Table9[[#This Row],[Shortname]], Comp[], 28, FALSE)</f>
        <v>0</v>
      </c>
      <c r="AF362">
        <f>VLOOKUP(Table9[[#This Row],[Shortname]], Comp[], 29, FALSE)</f>
        <v>0</v>
      </c>
      <c r="AG362">
        <f>VLOOKUP(Table9[[#This Row],[Shortname]], Comp[], 30, FALSE)</f>
        <v>0</v>
      </c>
      <c r="AH362">
        <f>VLOOKUP(Table9[[#This Row],[Shortname]], Comp[], 31, FALSE)</f>
        <v>0</v>
      </c>
    </row>
    <row r="363" spans="1:34" x14ac:dyDescent="0.3">
      <c r="A363" t="s">
        <v>983</v>
      </c>
      <c r="B363" t="s">
        <v>5230</v>
      </c>
      <c r="C363" t="s">
        <v>5231</v>
      </c>
      <c r="D363">
        <v>300</v>
      </c>
      <c r="E363">
        <v>801</v>
      </c>
      <c r="F363">
        <v>1E-4</v>
      </c>
      <c r="G363">
        <v>1</v>
      </c>
      <c r="H363" t="s">
        <v>6803</v>
      </c>
      <c r="I363">
        <f>VLOOKUP(Table9[[#This Row],[Shortname]], Comp[], 6, FALSE)</f>
        <v>127</v>
      </c>
      <c r="J363" s="14">
        <f>VLOOKUP(Table9[[#This Row],[Shortname]], Comp[], 7, FALSE)</f>
        <v>77</v>
      </c>
      <c r="K363">
        <f>VLOOKUP(Table9[[#This Row],[Shortname]], Comp[], 8, FALSE)</f>
        <v>0</v>
      </c>
      <c r="L363">
        <f>VLOOKUP(Table9[[#This Row],[Shortname]], Comp[], 9, FALSE)</f>
        <v>12</v>
      </c>
      <c r="M363">
        <f>VLOOKUP(Table9[[#This Row],[Shortname]], Comp[], 10, FALSE)</f>
        <v>0</v>
      </c>
      <c r="N363">
        <f>VLOOKUP(Table9[[#This Row],[Shortname]], Comp[], 11, FALSE)</f>
        <v>11</v>
      </c>
      <c r="O363">
        <f>VLOOKUP(Table9[[#This Row],[Shortname]], Comp[],12, FALSE)</f>
        <v>0</v>
      </c>
      <c r="P363">
        <f>VLOOKUP(Table9[[#This Row],[Shortname]], Comp[], 13, FALSE)</f>
        <v>0</v>
      </c>
      <c r="Q363">
        <f>VLOOKUP(Table9[[#This Row],[Shortname]], Comp[], 14, FALSE)</f>
        <v>0</v>
      </c>
      <c r="R363">
        <f>VLOOKUP(Table9[[#This Row],[Shortname]], Comp[], 15, FALSE)</f>
        <v>0</v>
      </c>
      <c r="S363">
        <f>VLOOKUP(Table9[[#This Row],[Shortname]], Comp[], 16, FALSE)</f>
        <v>0</v>
      </c>
      <c r="T363">
        <f>VLOOKUP(Table9[[#This Row],[Shortname]], Comp[], 17, FALSE)</f>
        <v>0</v>
      </c>
      <c r="U363">
        <f>VLOOKUP(Table9[[#This Row],[Shortname]], Comp[], 18, FALSE)</f>
        <v>0</v>
      </c>
      <c r="V363">
        <f>VLOOKUP(Table9[[#This Row],[Shortname]], Comp[], 19, FALSE)</f>
        <v>0</v>
      </c>
      <c r="W363">
        <f>VLOOKUP(Table9[[#This Row],[Shortname]], Comp[], 20, FALSE)</f>
        <v>0</v>
      </c>
      <c r="X363">
        <f>VLOOKUP(Table9[[#This Row],[Shortname]], Comp[], 21, FALSE)</f>
        <v>0</v>
      </c>
      <c r="Y363">
        <f>VLOOKUP(Table9[[#This Row],[Shortname]], Comp[], 22, FALSE)</f>
        <v>0</v>
      </c>
      <c r="Z363">
        <f>VLOOKUP(Table9[[#This Row],[Shortname]], Comp[], 23, FALSE)</f>
        <v>0</v>
      </c>
      <c r="AA363">
        <f>VLOOKUP(Table9[[#This Row],[Shortname]], Comp[], 24, FALSE)</f>
        <v>0</v>
      </c>
      <c r="AB363">
        <f>VLOOKUP(Table9[[#This Row],[Shortname]], Comp[], 25, FALSE)</f>
        <v>0</v>
      </c>
      <c r="AC363">
        <f>VLOOKUP(Table9[[#This Row],[Shortname]], Comp[], 26, FALSE)</f>
        <v>0</v>
      </c>
      <c r="AD363">
        <f>VLOOKUP(Table9[[#This Row],[Shortname]], Comp[], 27, FALSE)</f>
        <v>0</v>
      </c>
      <c r="AE363">
        <f>VLOOKUP(Table9[[#This Row],[Shortname]], Comp[], 28, FALSE)</f>
        <v>0</v>
      </c>
      <c r="AF363">
        <f>VLOOKUP(Table9[[#This Row],[Shortname]], Comp[], 29, FALSE)</f>
        <v>0</v>
      </c>
      <c r="AG363">
        <f>VLOOKUP(Table9[[#This Row],[Shortname]], Comp[], 30, FALSE)</f>
        <v>0</v>
      </c>
      <c r="AH363">
        <f>VLOOKUP(Table9[[#This Row],[Shortname]], Comp[], 31, FALSE)</f>
        <v>0</v>
      </c>
    </row>
    <row r="364" spans="1:34" x14ac:dyDescent="0.3">
      <c r="A364" t="s">
        <v>983</v>
      </c>
      <c r="B364" t="s">
        <v>5230</v>
      </c>
      <c r="C364" t="s">
        <v>5231</v>
      </c>
      <c r="D364">
        <v>299</v>
      </c>
      <c r="E364">
        <v>25</v>
      </c>
      <c r="F364">
        <v>1E-4</v>
      </c>
      <c r="G364">
        <v>1</v>
      </c>
      <c r="H364" t="s">
        <v>6803</v>
      </c>
      <c r="I364">
        <f>VLOOKUP(Table9[[#This Row],[Shortname]], Comp[], 6, FALSE)</f>
        <v>127</v>
      </c>
      <c r="J364" s="14">
        <f>VLOOKUP(Table9[[#This Row],[Shortname]], Comp[], 7, FALSE)</f>
        <v>77</v>
      </c>
      <c r="K364">
        <f>VLOOKUP(Table9[[#This Row],[Shortname]], Comp[], 8, FALSE)</f>
        <v>0</v>
      </c>
      <c r="L364">
        <f>VLOOKUP(Table9[[#This Row],[Shortname]], Comp[], 9, FALSE)</f>
        <v>12</v>
      </c>
      <c r="M364">
        <f>VLOOKUP(Table9[[#This Row],[Shortname]], Comp[], 10, FALSE)</f>
        <v>0</v>
      </c>
      <c r="N364">
        <f>VLOOKUP(Table9[[#This Row],[Shortname]], Comp[], 11, FALSE)</f>
        <v>11</v>
      </c>
      <c r="O364">
        <f>VLOOKUP(Table9[[#This Row],[Shortname]], Comp[],12, FALSE)</f>
        <v>0</v>
      </c>
      <c r="P364">
        <f>VLOOKUP(Table9[[#This Row],[Shortname]], Comp[], 13, FALSE)</f>
        <v>0</v>
      </c>
      <c r="Q364">
        <f>VLOOKUP(Table9[[#This Row],[Shortname]], Comp[], 14, FALSE)</f>
        <v>0</v>
      </c>
      <c r="R364">
        <f>VLOOKUP(Table9[[#This Row],[Shortname]], Comp[], 15, FALSE)</f>
        <v>0</v>
      </c>
      <c r="S364">
        <f>VLOOKUP(Table9[[#This Row],[Shortname]], Comp[], 16, FALSE)</f>
        <v>0</v>
      </c>
      <c r="T364">
        <f>VLOOKUP(Table9[[#This Row],[Shortname]], Comp[], 17, FALSE)</f>
        <v>0</v>
      </c>
      <c r="U364">
        <f>VLOOKUP(Table9[[#This Row],[Shortname]], Comp[], 18, FALSE)</f>
        <v>0</v>
      </c>
      <c r="V364">
        <f>VLOOKUP(Table9[[#This Row],[Shortname]], Comp[], 19, FALSE)</f>
        <v>0</v>
      </c>
      <c r="W364">
        <f>VLOOKUP(Table9[[#This Row],[Shortname]], Comp[], 20, FALSE)</f>
        <v>0</v>
      </c>
      <c r="X364">
        <f>VLOOKUP(Table9[[#This Row],[Shortname]], Comp[], 21, FALSE)</f>
        <v>0</v>
      </c>
      <c r="Y364">
        <f>VLOOKUP(Table9[[#This Row],[Shortname]], Comp[], 22, FALSE)</f>
        <v>0</v>
      </c>
      <c r="Z364">
        <f>VLOOKUP(Table9[[#This Row],[Shortname]], Comp[], 23, FALSE)</f>
        <v>0</v>
      </c>
      <c r="AA364">
        <f>VLOOKUP(Table9[[#This Row],[Shortname]], Comp[], 24, FALSE)</f>
        <v>0</v>
      </c>
      <c r="AB364">
        <f>VLOOKUP(Table9[[#This Row],[Shortname]], Comp[], 25, FALSE)</f>
        <v>0</v>
      </c>
      <c r="AC364">
        <f>VLOOKUP(Table9[[#This Row],[Shortname]], Comp[], 26, FALSE)</f>
        <v>0</v>
      </c>
      <c r="AD364">
        <f>VLOOKUP(Table9[[#This Row],[Shortname]], Comp[], 27, FALSE)</f>
        <v>0</v>
      </c>
      <c r="AE364">
        <f>VLOOKUP(Table9[[#This Row],[Shortname]], Comp[], 28, FALSE)</f>
        <v>0</v>
      </c>
      <c r="AF364">
        <f>VLOOKUP(Table9[[#This Row],[Shortname]], Comp[], 29, FALSE)</f>
        <v>0</v>
      </c>
      <c r="AG364">
        <f>VLOOKUP(Table9[[#This Row],[Shortname]], Comp[], 30, FALSE)</f>
        <v>0</v>
      </c>
      <c r="AH364">
        <f>VLOOKUP(Table9[[#This Row],[Shortname]], Comp[], 31, FALSE)</f>
        <v>0</v>
      </c>
    </row>
    <row r="365" spans="1:34" x14ac:dyDescent="0.3">
      <c r="A365" t="s">
        <v>1456</v>
      </c>
      <c r="B365" t="s">
        <v>1458</v>
      </c>
      <c r="C365" t="s">
        <v>1459</v>
      </c>
      <c r="D365">
        <v>297</v>
      </c>
      <c r="E365">
        <v>300</v>
      </c>
      <c r="F365">
        <v>1E-4</v>
      </c>
      <c r="G365">
        <v>1</v>
      </c>
      <c r="H365" t="s">
        <v>6813</v>
      </c>
      <c r="I365">
        <f>VLOOKUP(Table9[[#This Row],[Shortname]], Comp[], 6, FALSE)</f>
        <v>186</v>
      </c>
      <c r="J365" s="14">
        <f>VLOOKUP(Table9[[#This Row],[Shortname]], Comp[], 7, FALSE)</f>
        <v>47.5</v>
      </c>
      <c r="K365">
        <f>VLOOKUP(Table9[[#This Row],[Shortname]], Comp[], 8, FALSE)</f>
        <v>31.2</v>
      </c>
      <c r="L365">
        <f>VLOOKUP(Table9[[#This Row],[Shortname]], Comp[], 9, FALSE)</f>
        <v>9.5</v>
      </c>
      <c r="M365">
        <f>VLOOKUP(Table9[[#This Row],[Shortname]], Comp[], 10, FALSE)</f>
        <v>0</v>
      </c>
      <c r="N365">
        <f>VLOOKUP(Table9[[#This Row],[Shortname]], Comp[], 11, FALSE)</f>
        <v>7.2</v>
      </c>
      <c r="O365">
        <f>VLOOKUP(Table9[[#This Row],[Shortname]], Comp[],12, FALSE)</f>
        <v>2.8</v>
      </c>
      <c r="P365">
        <f>VLOOKUP(Table9[[#This Row],[Shortname]], Comp[], 13, FALSE)</f>
        <v>1.8</v>
      </c>
      <c r="Q365">
        <f>VLOOKUP(Table9[[#This Row],[Shortname]], Comp[], 14, FALSE)</f>
        <v>0</v>
      </c>
      <c r="R365">
        <f>VLOOKUP(Table9[[#This Row],[Shortname]], Comp[], 15, FALSE)</f>
        <v>0</v>
      </c>
      <c r="S365">
        <f>VLOOKUP(Table9[[#This Row],[Shortname]], Comp[], 16, FALSE)</f>
        <v>0</v>
      </c>
      <c r="T365">
        <f>VLOOKUP(Table9[[#This Row],[Shortname]], Comp[], 17, FALSE)</f>
        <v>0</v>
      </c>
      <c r="U365">
        <f>VLOOKUP(Table9[[#This Row],[Shortname]], Comp[], 18, FALSE)</f>
        <v>0</v>
      </c>
      <c r="V365">
        <f>VLOOKUP(Table9[[#This Row],[Shortname]], Comp[], 19, FALSE)</f>
        <v>0</v>
      </c>
      <c r="W365">
        <f>VLOOKUP(Table9[[#This Row],[Shortname]], Comp[], 20, FALSE)</f>
        <v>0</v>
      </c>
      <c r="X365">
        <f>VLOOKUP(Table9[[#This Row],[Shortname]], Comp[], 21, FALSE)</f>
        <v>0</v>
      </c>
      <c r="Y365">
        <f>VLOOKUP(Table9[[#This Row],[Shortname]], Comp[], 22, FALSE)</f>
        <v>0</v>
      </c>
      <c r="Z365">
        <f>VLOOKUP(Table9[[#This Row],[Shortname]], Comp[], 23, FALSE)</f>
        <v>0</v>
      </c>
      <c r="AA365">
        <f>VLOOKUP(Table9[[#This Row],[Shortname]], Comp[], 24, FALSE)</f>
        <v>0</v>
      </c>
      <c r="AB365">
        <f>VLOOKUP(Table9[[#This Row],[Shortname]], Comp[], 25, FALSE)</f>
        <v>0</v>
      </c>
      <c r="AC365">
        <f>VLOOKUP(Table9[[#This Row],[Shortname]], Comp[], 26, FALSE)</f>
        <v>0</v>
      </c>
      <c r="AD365">
        <f>VLOOKUP(Table9[[#This Row],[Shortname]], Comp[], 27, FALSE)</f>
        <v>0</v>
      </c>
      <c r="AE365">
        <f>VLOOKUP(Table9[[#This Row],[Shortname]], Comp[], 28, FALSE)</f>
        <v>0</v>
      </c>
      <c r="AF365">
        <f>VLOOKUP(Table9[[#This Row],[Shortname]], Comp[], 29, FALSE)</f>
        <v>0</v>
      </c>
      <c r="AG365">
        <f>VLOOKUP(Table9[[#This Row],[Shortname]], Comp[], 30, FALSE)</f>
        <v>0</v>
      </c>
      <c r="AH365">
        <f>VLOOKUP(Table9[[#This Row],[Shortname]], Comp[], 31, FALSE)</f>
        <v>0</v>
      </c>
    </row>
    <row r="366" spans="1:34" x14ac:dyDescent="0.3">
      <c r="A366" t="s">
        <v>3429</v>
      </c>
      <c r="B366" t="s">
        <v>3429</v>
      </c>
      <c r="C366" t="s">
        <v>3401</v>
      </c>
      <c r="D366">
        <v>297</v>
      </c>
      <c r="E366">
        <v>980</v>
      </c>
      <c r="F366">
        <v>2.0000000000000001E-4</v>
      </c>
      <c r="G366">
        <v>1</v>
      </c>
      <c r="H366" t="s">
        <v>6803</v>
      </c>
      <c r="I366">
        <f>VLOOKUP(Table9[[#This Row],[Shortname]], Comp[], 6, FALSE)</f>
        <v>488</v>
      </c>
      <c r="J366" s="14">
        <f>VLOOKUP(Table9[[#This Row],[Shortname]], Comp[], 7, FALSE)</f>
        <v>81.3</v>
      </c>
      <c r="K366">
        <f>VLOOKUP(Table9[[#This Row],[Shortname]], Comp[], 8, FALSE)</f>
        <v>0</v>
      </c>
      <c r="L366">
        <f>VLOOKUP(Table9[[#This Row],[Shortname]], Comp[], 9, FALSE)</f>
        <v>9.1999999999999993</v>
      </c>
      <c r="M366">
        <f>VLOOKUP(Table9[[#This Row],[Shortname]], Comp[], 10, FALSE)</f>
        <v>0</v>
      </c>
      <c r="N366">
        <f>VLOOKUP(Table9[[#This Row],[Shortname]], Comp[], 11, FALSE)</f>
        <v>9.5</v>
      </c>
      <c r="O366">
        <f>VLOOKUP(Table9[[#This Row],[Shortname]], Comp[],12, FALSE)</f>
        <v>0</v>
      </c>
      <c r="P366">
        <f>VLOOKUP(Table9[[#This Row],[Shortname]], Comp[], 13, FALSE)</f>
        <v>0</v>
      </c>
      <c r="Q366">
        <f>VLOOKUP(Table9[[#This Row],[Shortname]], Comp[], 14, FALSE)</f>
        <v>0</v>
      </c>
      <c r="R366">
        <f>VLOOKUP(Table9[[#This Row],[Shortname]], Comp[], 15, FALSE)</f>
        <v>0</v>
      </c>
      <c r="S366">
        <f>VLOOKUP(Table9[[#This Row],[Shortname]], Comp[], 16, FALSE)</f>
        <v>0</v>
      </c>
      <c r="T366">
        <f>VLOOKUP(Table9[[#This Row],[Shortname]], Comp[], 17, FALSE)</f>
        <v>0</v>
      </c>
      <c r="U366">
        <f>VLOOKUP(Table9[[#This Row],[Shortname]], Comp[], 18, FALSE)</f>
        <v>0</v>
      </c>
      <c r="V366">
        <f>VLOOKUP(Table9[[#This Row],[Shortname]], Comp[], 19, FALSE)</f>
        <v>0</v>
      </c>
      <c r="W366">
        <f>VLOOKUP(Table9[[#This Row],[Shortname]], Comp[], 20, FALSE)</f>
        <v>0</v>
      </c>
      <c r="X366">
        <f>VLOOKUP(Table9[[#This Row],[Shortname]], Comp[], 21, FALSE)</f>
        <v>0</v>
      </c>
      <c r="Y366">
        <f>VLOOKUP(Table9[[#This Row],[Shortname]], Comp[], 22, FALSE)</f>
        <v>0</v>
      </c>
      <c r="Z366">
        <f>VLOOKUP(Table9[[#This Row],[Shortname]], Comp[], 23, FALSE)</f>
        <v>0</v>
      </c>
      <c r="AA366">
        <f>VLOOKUP(Table9[[#This Row],[Shortname]], Comp[], 24, FALSE)</f>
        <v>0</v>
      </c>
      <c r="AB366">
        <f>VLOOKUP(Table9[[#This Row],[Shortname]], Comp[], 25, FALSE)</f>
        <v>0</v>
      </c>
      <c r="AC366">
        <f>VLOOKUP(Table9[[#This Row],[Shortname]], Comp[], 26, FALSE)</f>
        <v>0</v>
      </c>
      <c r="AD366">
        <f>VLOOKUP(Table9[[#This Row],[Shortname]], Comp[], 27, FALSE)</f>
        <v>0</v>
      </c>
      <c r="AE366">
        <f>VLOOKUP(Table9[[#This Row],[Shortname]], Comp[], 28, FALSE)</f>
        <v>0</v>
      </c>
      <c r="AF366">
        <f>VLOOKUP(Table9[[#This Row],[Shortname]], Comp[], 29, FALSE)</f>
        <v>0</v>
      </c>
      <c r="AG366">
        <f>VLOOKUP(Table9[[#This Row],[Shortname]], Comp[], 30, FALSE)</f>
        <v>0</v>
      </c>
      <c r="AH366">
        <f>VLOOKUP(Table9[[#This Row],[Shortname]], Comp[], 31, FALSE)</f>
        <v>0</v>
      </c>
    </row>
    <row r="367" spans="1:34" x14ac:dyDescent="0.3">
      <c r="A367" t="s">
        <v>983</v>
      </c>
      <c r="B367" t="s">
        <v>5230</v>
      </c>
      <c r="C367" t="s">
        <v>5231</v>
      </c>
      <c r="D367">
        <v>294</v>
      </c>
      <c r="E367">
        <v>702</v>
      </c>
      <c r="F367">
        <v>1E-4</v>
      </c>
      <c r="G367">
        <v>1</v>
      </c>
      <c r="H367" t="s">
        <v>6803</v>
      </c>
      <c r="I367">
        <f>VLOOKUP(Table9[[#This Row],[Shortname]], Comp[], 6, FALSE)</f>
        <v>127</v>
      </c>
      <c r="J367" s="14">
        <f>VLOOKUP(Table9[[#This Row],[Shortname]], Comp[], 7, FALSE)</f>
        <v>77</v>
      </c>
      <c r="K367">
        <f>VLOOKUP(Table9[[#This Row],[Shortname]], Comp[], 8, FALSE)</f>
        <v>0</v>
      </c>
      <c r="L367">
        <f>VLOOKUP(Table9[[#This Row],[Shortname]], Comp[], 9, FALSE)</f>
        <v>12</v>
      </c>
      <c r="M367">
        <f>VLOOKUP(Table9[[#This Row],[Shortname]], Comp[], 10, FALSE)</f>
        <v>0</v>
      </c>
      <c r="N367">
        <f>VLOOKUP(Table9[[#This Row],[Shortname]], Comp[], 11, FALSE)</f>
        <v>11</v>
      </c>
      <c r="O367">
        <f>VLOOKUP(Table9[[#This Row],[Shortname]], Comp[],12, FALSE)</f>
        <v>0</v>
      </c>
      <c r="P367">
        <f>VLOOKUP(Table9[[#This Row],[Shortname]], Comp[], 13, FALSE)</f>
        <v>0</v>
      </c>
      <c r="Q367">
        <f>VLOOKUP(Table9[[#This Row],[Shortname]], Comp[], 14, FALSE)</f>
        <v>0</v>
      </c>
      <c r="R367">
        <f>VLOOKUP(Table9[[#This Row],[Shortname]], Comp[], 15, FALSE)</f>
        <v>0</v>
      </c>
      <c r="S367">
        <f>VLOOKUP(Table9[[#This Row],[Shortname]], Comp[], 16, FALSE)</f>
        <v>0</v>
      </c>
      <c r="T367">
        <f>VLOOKUP(Table9[[#This Row],[Shortname]], Comp[], 17, FALSE)</f>
        <v>0</v>
      </c>
      <c r="U367">
        <f>VLOOKUP(Table9[[#This Row],[Shortname]], Comp[], 18, FALSE)</f>
        <v>0</v>
      </c>
      <c r="V367">
        <f>VLOOKUP(Table9[[#This Row],[Shortname]], Comp[], 19, FALSE)</f>
        <v>0</v>
      </c>
      <c r="W367">
        <f>VLOOKUP(Table9[[#This Row],[Shortname]], Comp[], 20, FALSE)</f>
        <v>0</v>
      </c>
      <c r="X367">
        <f>VLOOKUP(Table9[[#This Row],[Shortname]], Comp[], 21, FALSE)</f>
        <v>0</v>
      </c>
      <c r="Y367">
        <f>VLOOKUP(Table9[[#This Row],[Shortname]], Comp[], 22, FALSE)</f>
        <v>0</v>
      </c>
      <c r="Z367">
        <f>VLOOKUP(Table9[[#This Row],[Shortname]], Comp[], 23, FALSE)</f>
        <v>0</v>
      </c>
      <c r="AA367">
        <f>VLOOKUP(Table9[[#This Row],[Shortname]], Comp[], 24, FALSE)</f>
        <v>0</v>
      </c>
      <c r="AB367">
        <f>VLOOKUP(Table9[[#This Row],[Shortname]], Comp[], 25, FALSE)</f>
        <v>0</v>
      </c>
      <c r="AC367">
        <f>VLOOKUP(Table9[[#This Row],[Shortname]], Comp[], 26, FALSE)</f>
        <v>0</v>
      </c>
      <c r="AD367">
        <f>VLOOKUP(Table9[[#This Row],[Shortname]], Comp[], 27, FALSE)</f>
        <v>0</v>
      </c>
      <c r="AE367">
        <f>VLOOKUP(Table9[[#This Row],[Shortname]], Comp[], 28, FALSE)</f>
        <v>0</v>
      </c>
      <c r="AF367">
        <f>VLOOKUP(Table9[[#This Row],[Shortname]], Comp[], 29, FALSE)</f>
        <v>0</v>
      </c>
      <c r="AG367">
        <f>VLOOKUP(Table9[[#This Row],[Shortname]], Comp[], 30, FALSE)</f>
        <v>0</v>
      </c>
      <c r="AH367">
        <f>VLOOKUP(Table9[[#This Row],[Shortname]], Comp[], 31, FALSE)</f>
        <v>0</v>
      </c>
    </row>
    <row r="368" spans="1:34" x14ac:dyDescent="0.3">
      <c r="A368" t="s">
        <v>2070</v>
      </c>
      <c r="B368" t="s">
        <v>2072</v>
      </c>
      <c r="C368" t="s">
        <v>2065</v>
      </c>
      <c r="D368">
        <v>292</v>
      </c>
      <c r="E368">
        <v>900</v>
      </c>
      <c r="F368">
        <v>1E-4</v>
      </c>
      <c r="G368">
        <v>1</v>
      </c>
      <c r="H368" t="s">
        <v>6803</v>
      </c>
      <c r="I368">
        <f>VLOOKUP(Table9[[#This Row],[Shortname]], Comp[], 6, FALSE)</f>
        <v>272</v>
      </c>
      <c r="J368" s="14">
        <f>VLOOKUP(Table9[[#This Row],[Shortname]], Comp[], 7, FALSE)</f>
        <v>85</v>
      </c>
      <c r="K368">
        <f>VLOOKUP(Table9[[#This Row],[Shortname]], Comp[], 8, FALSE)</f>
        <v>0</v>
      </c>
      <c r="L368">
        <f>VLOOKUP(Table9[[#This Row],[Shortname]], Comp[], 9, FALSE)</f>
        <v>0</v>
      </c>
      <c r="M368">
        <f>VLOOKUP(Table9[[#This Row],[Shortname]], Comp[], 10, FALSE)</f>
        <v>0</v>
      </c>
      <c r="N368">
        <f>VLOOKUP(Table9[[#This Row],[Shortname]], Comp[], 11, FALSE)</f>
        <v>0</v>
      </c>
      <c r="O368">
        <f>VLOOKUP(Table9[[#This Row],[Shortname]], Comp[],12, FALSE)</f>
        <v>12</v>
      </c>
      <c r="P368">
        <f>VLOOKUP(Table9[[#This Row],[Shortname]], Comp[], 13, FALSE)</f>
        <v>0</v>
      </c>
      <c r="Q368">
        <f>VLOOKUP(Table9[[#This Row],[Shortname]], Comp[], 14, FALSE)</f>
        <v>0</v>
      </c>
      <c r="R368">
        <f>VLOOKUP(Table9[[#This Row],[Shortname]], Comp[], 15, FALSE)</f>
        <v>0</v>
      </c>
      <c r="S368">
        <f>VLOOKUP(Table9[[#This Row],[Shortname]], Comp[], 16, FALSE)</f>
        <v>0</v>
      </c>
      <c r="T368">
        <f>VLOOKUP(Table9[[#This Row],[Shortname]], Comp[], 17, FALSE)</f>
        <v>0</v>
      </c>
      <c r="U368">
        <f>VLOOKUP(Table9[[#This Row],[Shortname]], Comp[], 18, FALSE)</f>
        <v>0</v>
      </c>
      <c r="V368">
        <f>VLOOKUP(Table9[[#This Row],[Shortname]], Comp[], 19, FALSE)</f>
        <v>0</v>
      </c>
      <c r="W368">
        <f>VLOOKUP(Table9[[#This Row],[Shortname]], Comp[], 20, FALSE)</f>
        <v>0</v>
      </c>
      <c r="X368">
        <f>VLOOKUP(Table9[[#This Row],[Shortname]], Comp[], 21, FALSE)</f>
        <v>3</v>
      </c>
      <c r="Y368">
        <f>VLOOKUP(Table9[[#This Row],[Shortname]], Comp[], 22, FALSE)</f>
        <v>0</v>
      </c>
      <c r="Z368">
        <f>VLOOKUP(Table9[[#This Row],[Shortname]], Comp[], 23, FALSE)</f>
        <v>0</v>
      </c>
      <c r="AA368">
        <f>VLOOKUP(Table9[[#This Row],[Shortname]], Comp[], 24, FALSE)</f>
        <v>0</v>
      </c>
      <c r="AB368">
        <f>VLOOKUP(Table9[[#This Row],[Shortname]], Comp[], 25, FALSE)</f>
        <v>0</v>
      </c>
      <c r="AC368">
        <f>VLOOKUP(Table9[[#This Row],[Shortname]], Comp[], 26, FALSE)</f>
        <v>0</v>
      </c>
      <c r="AD368">
        <f>VLOOKUP(Table9[[#This Row],[Shortname]], Comp[], 27, FALSE)</f>
        <v>0</v>
      </c>
      <c r="AE368">
        <f>VLOOKUP(Table9[[#This Row],[Shortname]], Comp[], 28, FALSE)</f>
        <v>0</v>
      </c>
      <c r="AF368">
        <f>VLOOKUP(Table9[[#This Row],[Shortname]], Comp[], 29, FALSE)</f>
        <v>0</v>
      </c>
      <c r="AG368">
        <f>VLOOKUP(Table9[[#This Row],[Shortname]], Comp[], 30, FALSE)</f>
        <v>0</v>
      </c>
      <c r="AH368">
        <f>VLOOKUP(Table9[[#This Row],[Shortname]], Comp[], 31, FALSE)</f>
        <v>0</v>
      </c>
    </row>
    <row r="369" spans="1:34" x14ac:dyDescent="0.3">
      <c r="A369" t="s">
        <v>3405</v>
      </c>
      <c r="B369" t="s">
        <v>3405</v>
      </c>
      <c r="C369" t="s">
        <v>3401</v>
      </c>
      <c r="D369">
        <v>291</v>
      </c>
      <c r="E369">
        <v>870</v>
      </c>
      <c r="F369">
        <v>2.0000000000000001E-4</v>
      </c>
      <c r="G369">
        <v>1</v>
      </c>
      <c r="H369" t="s">
        <v>6803</v>
      </c>
      <c r="I369">
        <f>VLOOKUP(Table9[[#This Row],[Shortname]], Comp[], 6, FALSE)</f>
        <v>483</v>
      </c>
      <c r="J369" s="14">
        <f>VLOOKUP(Table9[[#This Row],[Shortname]], Comp[], 7, FALSE)</f>
        <v>84.18</v>
      </c>
      <c r="K369">
        <f>VLOOKUP(Table9[[#This Row],[Shortname]], Comp[], 8, FALSE)</f>
        <v>0</v>
      </c>
      <c r="L369">
        <f>VLOOKUP(Table9[[#This Row],[Shortname]], Comp[], 9, FALSE)</f>
        <v>8.9</v>
      </c>
      <c r="M369">
        <f>VLOOKUP(Table9[[#This Row],[Shortname]], Comp[], 10, FALSE)</f>
        <v>0</v>
      </c>
      <c r="N369">
        <f>VLOOKUP(Table9[[#This Row],[Shortname]], Comp[], 11, FALSE)</f>
        <v>6.9</v>
      </c>
      <c r="O369">
        <f>VLOOKUP(Table9[[#This Row],[Shortname]], Comp[],12, FALSE)</f>
        <v>0</v>
      </c>
      <c r="P369">
        <f>VLOOKUP(Table9[[#This Row],[Shortname]], Comp[], 13, FALSE)</f>
        <v>0</v>
      </c>
      <c r="Q369">
        <f>VLOOKUP(Table9[[#This Row],[Shortname]], Comp[], 14, FALSE)</f>
        <v>0</v>
      </c>
      <c r="R369">
        <f>VLOOKUP(Table9[[#This Row],[Shortname]], Comp[], 15, FALSE)</f>
        <v>0</v>
      </c>
      <c r="S369">
        <f>VLOOKUP(Table9[[#This Row],[Shortname]], Comp[], 16, FALSE)</f>
        <v>0</v>
      </c>
      <c r="T369">
        <f>VLOOKUP(Table9[[#This Row],[Shortname]], Comp[], 17, FALSE)</f>
        <v>0</v>
      </c>
      <c r="U369">
        <f>VLOOKUP(Table9[[#This Row],[Shortname]], Comp[], 18, FALSE)</f>
        <v>0</v>
      </c>
      <c r="V369">
        <f>VLOOKUP(Table9[[#This Row],[Shortname]], Comp[], 19, FALSE)</f>
        <v>0.02</v>
      </c>
      <c r="W369">
        <f>VLOOKUP(Table9[[#This Row],[Shortname]], Comp[], 20, FALSE)</f>
        <v>0</v>
      </c>
      <c r="X369">
        <f>VLOOKUP(Table9[[#This Row],[Shortname]], Comp[], 21, FALSE)</f>
        <v>0</v>
      </c>
      <c r="Y369">
        <f>VLOOKUP(Table9[[#This Row],[Shortname]], Comp[], 22, FALSE)</f>
        <v>0</v>
      </c>
      <c r="Z369">
        <f>VLOOKUP(Table9[[#This Row],[Shortname]], Comp[], 23, FALSE)</f>
        <v>0</v>
      </c>
      <c r="AA369">
        <f>VLOOKUP(Table9[[#This Row],[Shortname]], Comp[], 24, FALSE)</f>
        <v>0</v>
      </c>
      <c r="AB369">
        <f>VLOOKUP(Table9[[#This Row],[Shortname]], Comp[], 25, FALSE)</f>
        <v>0</v>
      </c>
      <c r="AC369">
        <f>VLOOKUP(Table9[[#This Row],[Shortname]], Comp[], 26, FALSE)</f>
        <v>0</v>
      </c>
      <c r="AD369">
        <f>VLOOKUP(Table9[[#This Row],[Shortname]], Comp[], 27, FALSE)</f>
        <v>0</v>
      </c>
      <c r="AE369">
        <f>VLOOKUP(Table9[[#This Row],[Shortname]], Comp[], 28, FALSE)</f>
        <v>0</v>
      </c>
      <c r="AF369">
        <f>VLOOKUP(Table9[[#This Row],[Shortname]], Comp[], 29, FALSE)</f>
        <v>0</v>
      </c>
      <c r="AG369">
        <f>VLOOKUP(Table9[[#This Row],[Shortname]], Comp[], 30, FALSE)</f>
        <v>0</v>
      </c>
      <c r="AH369">
        <f>VLOOKUP(Table9[[#This Row],[Shortname]], Comp[], 31, FALSE)</f>
        <v>0</v>
      </c>
    </row>
    <row r="370" spans="1:34" x14ac:dyDescent="0.3">
      <c r="A370" t="s">
        <v>983</v>
      </c>
      <c r="B370" t="s">
        <v>5230</v>
      </c>
      <c r="C370" t="s">
        <v>5231</v>
      </c>
      <c r="D370">
        <v>289</v>
      </c>
      <c r="E370">
        <v>25</v>
      </c>
      <c r="F370">
        <v>1E-4</v>
      </c>
      <c r="G370">
        <v>1</v>
      </c>
      <c r="H370" t="s">
        <v>6803</v>
      </c>
      <c r="I370">
        <f>VLOOKUP(Table9[[#This Row],[Shortname]], Comp[], 6, FALSE)</f>
        <v>127</v>
      </c>
      <c r="J370" s="14">
        <f>VLOOKUP(Table9[[#This Row],[Shortname]], Comp[], 7, FALSE)</f>
        <v>77</v>
      </c>
      <c r="K370">
        <f>VLOOKUP(Table9[[#This Row],[Shortname]], Comp[], 8, FALSE)</f>
        <v>0</v>
      </c>
      <c r="L370">
        <f>VLOOKUP(Table9[[#This Row],[Shortname]], Comp[], 9, FALSE)</f>
        <v>12</v>
      </c>
      <c r="M370">
        <f>VLOOKUP(Table9[[#This Row],[Shortname]], Comp[], 10, FALSE)</f>
        <v>0</v>
      </c>
      <c r="N370">
        <f>VLOOKUP(Table9[[#This Row],[Shortname]], Comp[], 11, FALSE)</f>
        <v>11</v>
      </c>
      <c r="O370">
        <f>VLOOKUP(Table9[[#This Row],[Shortname]], Comp[],12, FALSE)</f>
        <v>0</v>
      </c>
      <c r="P370">
        <f>VLOOKUP(Table9[[#This Row],[Shortname]], Comp[], 13, FALSE)</f>
        <v>0</v>
      </c>
      <c r="Q370">
        <f>VLOOKUP(Table9[[#This Row],[Shortname]], Comp[], 14, FALSE)</f>
        <v>0</v>
      </c>
      <c r="R370">
        <f>VLOOKUP(Table9[[#This Row],[Shortname]], Comp[], 15, FALSE)</f>
        <v>0</v>
      </c>
      <c r="S370">
        <f>VLOOKUP(Table9[[#This Row],[Shortname]], Comp[], 16, FALSE)</f>
        <v>0</v>
      </c>
      <c r="T370">
        <f>VLOOKUP(Table9[[#This Row],[Shortname]], Comp[], 17, FALSE)</f>
        <v>0</v>
      </c>
      <c r="U370">
        <f>VLOOKUP(Table9[[#This Row],[Shortname]], Comp[], 18, FALSE)</f>
        <v>0</v>
      </c>
      <c r="V370">
        <f>VLOOKUP(Table9[[#This Row],[Shortname]], Comp[], 19, FALSE)</f>
        <v>0</v>
      </c>
      <c r="W370">
        <f>VLOOKUP(Table9[[#This Row],[Shortname]], Comp[], 20, FALSE)</f>
        <v>0</v>
      </c>
      <c r="X370">
        <f>VLOOKUP(Table9[[#This Row],[Shortname]], Comp[], 21, FALSE)</f>
        <v>0</v>
      </c>
      <c r="Y370">
        <f>VLOOKUP(Table9[[#This Row],[Shortname]], Comp[], 22, FALSE)</f>
        <v>0</v>
      </c>
      <c r="Z370">
        <f>VLOOKUP(Table9[[#This Row],[Shortname]], Comp[], 23, FALSE)</f>
        <v>0</v>
      </c>
      <c r="AA370">
        <f>VLOOKUP(Table9[[#This Row],[Shortname]], Comp[], 24, FALSE)</f>
        <v>0</v>
      </c>
      <c r="AB370">
        <f>VLOOKUP(Table9[[#This Row],[Shortname]], Comp[], 25, FALSE)</f>
        <v>0</v>
      </c>
      <c r="AC370">
        <f>VLOOKUP(Table9[[#This Row],[Shortname]], Comp[], 26, FALSE)</f>
        <v>0</v>
      </c>
      <c r="AD370">
        <f>VLOOKUP(Table9[[#This Row],[Shortname]], Comp[], 27, FALSE)</f>
        <v>0</v>
      </c>
      <c r="AE370">
        <f>VLOOKUP(Table9[[#This Row],[Shortname]], Comp[], 28, FALSE)</f>
        <v>0</v>
      </c>
      <c r="AF370">
        <f>VLOOKUP(Table9[[#This Row],[Shortname]], Comp[], 29, FALSE)</f>
        <v>0</v>
      </c>
      <c r="AG370">
        <f>VLOOKUP(Table9[[#This Row],[Shortname]], Comp[], 30, FALSE)</f>
        <v>0</v>
      </c>
      <c r="AH370">
        <f>VLOOKUP(Table9[[#This Row],[Shortname]], Comp[], 31, FALSE)</f>
        <v>0</v>
      </c>
    </row>
    <row r="371" spans="1:34" x14ac:dyDescent="0.3">
      <c r="A371" t="s">
        <v>983</v>
      </c>
      <c r="B371" t="s">
        <v>5230</v>
      </c>
      <c r="C371" t="s">
        <v>5231</v>
      </c>
      <c r="D371">
        <v>289</v>
      </c>
      <c r="E371">
        <v>601</v>
      </c>
      <c r="F371">
        <v>1E-4</v>
      </c>
      <c r="G371">
        <v>1</v>
      </c>
      <c r="H371" t="s">
        <v>6803</v>
      </c>
      <c r="I371">
        <f>VLOOKUP(Table9[[#This Row],[Shortname]], Comp[], 6, FALSE)</f>
        <v>127</v>
      </c>
      <c r="J371" s="14">
        <f>VLOOKUP(Table9[[#This Row],[Shortname]], Comp[], 7, FALSE)</f>
        <v>77</v>
      </c>
      <c r="K371">
        <f>VLOOKUP(Table9[[#This Row],[Shortname]], Comp[], 8, FALSE)</f>
        <v>0</v>
      </c>
      <c r="L371">
        <f>VLOOKUP(Table9[[#This Row],[Shortname]], Comp[], 9, FALSE)</f>
        <v>12</v>
      </c>
      <c r="M371">
        <f>VLOOKUP(Table9[[#This Row],[Shortname]], Comp[], 10, FALSE)</f>
        <v>0</v>
      </c>
      <c r="N371">
        <f>VLOOKUP(Table9[[#This Row],[Shortname]], Comp[], 11, FALSE)</f>
        <v>11</v>
      </c>
      <c r="O371">
        <f>VLOOKUP(Table9[[#This Row],[Shortname]], Comp[],12, FALSE)</f>
        <v>0</v>
      </c>
      <c r="P371">
        <f>VLOOKUP(Table9[[#This Row],[Shortname]], Comp[], 13, FALSE)</f>
        <v>0</v>
      </c>
      <c r="Q371">
        <f>VLOOKUP(Table9[[#This Row],[Shortname]], Comp[], 14, FALSE)</f>
        <v>0</v>
      </c>
      <c r="R371">
        <f>VLOOKUP(Table9[[#This Row],[Shortname]], Comp[], 15, FALSE)</f>
        <v>0</v>
      </c>
      <c r="S371">
        <f>VLOOKUP(Table9[[#This Row],[Shortname]], Comp[], 16, FALSE)</f>
        <v>0</v>
      </c>
      <c r="T371">
        <f>VLOOKUP(Table9[[#This Row],[Shortname]], Comp[], 17, FALSE)</f>
        <v>0</v>
      </c>
      <c r="U371">
        <f>VLOOKUP(Table9[[#This Row],[Shortname]], Comp[], 18, FALSE)</f>
        <v>0</v>
      </c>
      <c r="V371">
        <f>VLOOKUP(Table9[[#This Row],[Shortname]], Comp[], 19, FALSE)</f>
        <v>0</v>
      </c>
      <c r="W371">
        <f>VLOOKUP(Table9[[#This Row],[Shortname]], Comp[], 20, FALSE)</f>
        <v>0</v>
      </c>
      <c r="X371">
        <f>VLOOKUP(Table9[[#This Row],[Shortname]], Comp[], 21, FALSE)</f>
        <v>0</v>
      </c>
      <c r="Y371">
        <f>VLOOKUP(Table9[[#This Row],[Shortname]], Comp[], 22, FALSE)</f>
        <v>0</v>
      </c>
      <c r="Z371">
        <f>VLOOKUP(Table9[[#This Row],[Shortname]], Comp[], 23, FALSE)</f>
        <v>0</v>
      </c>
      <c r="AA371">
        <f>VLOOKUP(Table9[[#This Row],[Shortname]], Comp[], 24, FALSE)</f>
        <v>0</v>
      </c>
      <c r="AB371">
        <f>VLOOKUP(Table9[[#This Row],[Shortname]], Comp[], 25, FALSE)</f>
        <v>0</v>
      </c>
      <c r="AC371">
        <f>VLOOKUP(Table9[[#This Row],[Shortname]], Comp[], 26, FALSE)</f>
        <v>0</v>
      </c>
      <c r="AD371">
        <f>VLOOKUP(Table9[[#This Row],[Shortname]], Comp[], 27, FALSE)</f>
        <v>0</v>
      </c>
      <c r="AE371">
        <f>VLOOKUP(Table9[[#This Row],[Shortname]], Comp[], 28, FALSE)</f>
        <v>0</v>
      </c>
      <c r="AF371">
        <f>VLOOKUP(Table9[[#This Row],[Shortname]], Comp[], 29, FALSE)</f>
        <v>0</v>
      </c>
      <c r="AG371">
        <f>VLOOKUP(Table9[[#This Row],[Shortname]], Comp[], 30, FALSE)</f>
        <v>0</v>
      </c>
      <c r="AH371">
        <f>VLOOKUP(Table9[[#This Row],[Shortname]], Comp[], 31, FALSE)</f>
        <v>0</v>
      </c>
    </row>
    <row r="372" spans="1:34" x14ac:dyDescent="0.3">
      <c r="A372" t="s">
        <v>3400</v>
      </c>
      <c r="B372" t="s">
        <v>3400</v>
      </c>
      <c r="C372" t="s">
        <v>3401</v>
      </c>
      <c r="D372">
        <v>285</v>
      </c>
      <c r="E372">
        <v>870</v>
      </c>
      <c r="F372">
        <v>2.0000000000000001E-4</v>
      </c>
      <c r="G372">
        <v>1</v>
      </c>
      <c r="H372" t="s">
        <v>6803</v>
      </c>
      <c r="I372">
        <f>VLOOKUP(Table9[[#This Row],[Shortname]], Comp[], 6, FALSE)</f>
        <v>482</v>
      </c>
      <c r="J372" s="14">
        <f>VLOOKUP(Table9[[#This Row],[Shortname]], Comp[], 7, FALSE)</f>
        <v>84.2</v>
      </c>
      <c r="K372">
        <f>VLOOKUP(Table9[[#This Row],[Shortname]], Comp[], 8, FALSE)</f>
        <v>0</v>
      </c>
      <c r="L372">
        <f>VLOOKUP(Table9[[#This Row],[Shortname]], Comp[], 9, FALSE)</f>
        <v>8.9</v>
      </c>
      <c r="M372">
        <f>VLOOKUP(Table9[[#This Row],[Shortname]], Comp[], 10, FALSE)</f>
        <v>0</v>
      </c>
      <c r="N372">
        <f>VLOOKUP(Table9[[#This Row],[Shortname]], Comp[], 11, FALSE)</f>
        <v>6.9</v>
      </c>
      <c r="O372">
        <f>VLOOKUP(Table9[[#This Row],[Shortname]], Comp[],12, FALSE)</f>
        <v>0</v>
      </c>
      <c r="P372">
        <f>VLOOKUP(Table9[[#This Row],[Shortname]], Comp[], 13, FALSE)</f>
        <v>0</v>
      </c>
      <c r="Q372">
        <f>VLOOKUP(Table9[[#This Row],[Shortname]], Comp[], 14, FALSE)</f>
        <v>0</v>
      </c>
      <c r="R372">
        <f>VLOOKUP(Table9[[#This Row],[Shortname]], Comp[], 15, FALSE)</f>
        <v>0</v>
      </c>
      <c r="S372">
        <f>VLOOKUP(Table9[[#This Row],[Shortname]], Comp[], 16, FALSE)</f>
        <v>0</v>
      </c>
      <c r="T372">
        <f>VLOOKUP(Table9[[#This Row],[Shortname]], Comp[], 17, FALSE)</f>
        <v>0</v>
      </c>
      <c r="U372">
        <f>VLOOKUP(Table9[[#This Row],[Shortname]], Comp[], 18, FALSE)</f>
        <v>0</v>
      </c>
      <c r="V372">
        <f>VLOOKUP(Table9[[#This Row],[Shortname]], Comp[], 19, FALSE)</f>
        <v>0</v>
      </c>
      <c r="W372">
        <f>VLOOKUP(Table9[[#This Row],[Shortname]], Comp[], 20, FALSE)</f>
        <v>0</v>
      </c>
      <c r="X372">
        <f>VLOOKUP(Table9[[#This Row],[Shortname]], Comp[], 21, FALSE)</f>
        <v>0</v>
      </c>
      <c r="Y372">
        <f>VLOOKUP(Table9[[#This Row],[Shortname]], Comp[], 22, FALSE)</f>
        <v>0</v>
      </c>
      <c r="Z372">
        <f>VLOOKUP(Table9[[#This Row],[Shortname]], Comp[], 23, FALSE)</f>
        <v>0</v>
      </c>
      <c r="AA372">
        <f>VLOOKUP(Table9[[#This Row],[Shortname]], Comp[], 24, FALSE)</f>
        <v>0</v>
      </c>
      <c r="AB372">
        <f>VLOOKUP(Table9[[#This Row],[Shortname]], Comp[], 25, FALSE)</f>
        <v>0</v>
      </c>
      <c r="AC372">
        <f>VLOOKUP(Table9[[#This Row],[Shortname]], Comp[], 26, FALSE)</f>
        <v>0</v>
      </c>
      <c r="AD372">
        <f>VLOOKUP(Table9[[#This Row],[Shortname]], Comp[], 27, FALSE)</f>
        <v>0</v>
      </c>
      <c r="AE372">
        <f>VLOOKUP(Table9[[#This Row],[Shortname]], Comp[], 28, FALSE)</f>
        <v>0</v>
      </c>
      <c r="AF372">
        <f>VLOOKUP(Table9[[#This Row],[Shortname]], Comp[], 29, FALSE)</f>
        <v>0</v>
      </c>
      <c r="AG372">
        <f>VLOOKUP(Table9[[#This Row],[Shortname]], Comp[], 30, FALSE)</f>
        <v>0</v>
      </c>
      <c r="AH372">
        <f>VLOOKUP(Table9[[#This Row],[Shortname]], Comp[], 31, FALSE)</f>
        <v>0</v>
      </c>
    </row>
    <row r="373" spans="1:34" x14ac:dyDescent="0.3">
      <c r="A373" t="s">
        <v>3162</v>
      </c>
      <c r="B373" t="s">
        <v>3164</v>
      </c>
      <c r="C373" t="s">
        <v>3157</v>
      </c>
      <c r="D373">
        <v>284</v>
      </c>
      <c r="E373">
        <v>600</v>
      </c>
      <c r="F373">
        <v>1E-4</v>
      </c>
      <c r="G373">
        <v>1</v>
      </c>
      <c r="H373" t="s">
        <v>6803</v>
      </c>
      <c r="I373">
        <f>VLOOKUP(Table9[[#This Row],[Shortname]], Comp[], 6, FALSE)</f>
        <v>441</v>
      </c>
      <c r="J373" s="14">
        <f>VLOOKUP(Table9[[#This Row],[Shortname]], Comp[], 7, FALSE)</f>
        <v>78</v>
      </c>
      <c r="K373">
        <f>VLOOKUP(Table9[[#This Row],[Shortname]], Comp[], 8, FALSE)</f>
        <v>0</v>
      </c>
      <c r="L373">
        <f>VLOOKUP(Table9[[#This Row],[Shortname]], Comp[], 9, FALSE)</f>
        <v>2</v>
      </c>
      <c r="M373">
        <f>VLOOKUP(Table9[[#This Row],[Shortname]], Comp[], 10, FALSE)</f>
        <v>0</v>
      </c>
      <c r="N373">
        <f>VLOOKUP(Table9[[#This Row],[Shortname]], Comp[], 11, FALSE)</f>
        <v>0</v>
      </c>
      <c r="O373">
        <f>VLOOKUP(Table9[[#This Row],[Shortname]], Comp[],12, FALSE)</f>
        <v>5</v>
      </c>
      <c r="P373">
        <f>VLOOKUP(Table9[[#This Row],[Shortname]], Comp[], 13, FALSE)</f>
        <v>0</v>
      </c>
      <c r="Q373">
        <f>VLOOKUP(Table9[[#This Row],[Shortname]], Comp[], 14, FALSE)</f>
        <v>0</v>
      </c>
      <c r="R373">
        <f>VLOOKUP(Table9[[#This Row],[Shortname]], Comp[], 15, FALSE)</f>
        <v>15</v>
      </c>
      <c r="S373">
        <f>VLOOKUP(Table9[[#This Row],[Shortname]], Comp[], 16, FALSE)</f>
        <v>0</v>
      </c>
      <c r="T373">
        <f>VLOOKUP(Table9[[#This Row],[Shortname]], Comp[], 17, FALSE)</f>
        <v>0</v>
      </c>
      <c r="U373">
        <f>VLOOKUP(Table9[[#This Row],[Shortname]], Comp[], 18, FALSE)</f>
        <v>0</v>
      </c>
      <c r="V373">
        <f>VLOOKUP(Table9[[#This Row],[Shortname]], Comp[], 19, FALSE)</f>
        <v>0</v>
      </c>
      <c r="W373">
        <f>VLOOKUP(Table9[[#This Row],[Shortname]], Comp[], 20, FALSE)</f>
        <v>0</v>
      </c>
      <c r="X373">
        <f>VLOOKUP(Table9[[#This Row],[Shortname]], Comp[], 21, FALSE)</f>
        <v>0</v>
      </c>
      <c r="Y373">
        <f>VLOOKUP(Table9[[#This Row],[Shortname]], Comp[], 22, FALSE)</f>
        <v>0</v>
      </c>
      <c r="Z373">
        <f>VLOOKUP(Table9[[#This Row],[Shortname]], Comp[], 23, FALSE)</f>
        <v>0</v>
      </c>
      <c r="AA373">
        <f>VLOOKUP(Table9[[#This Row],[Shortname]], Comp[], 24, FALSE)</f>
        <v>0</v>
      </c>
      <c r="AB373">
        <f>VLOOKUP(Table9[[#This Row],[Shortname]], Comp[], 25, FALSE)</f>
        <v>0</v>
      </c>
      <c r="AC373">
        <f>VLOOKUP(Table9[[#This Row],[Shortname]], Comp[], 26, FALSE)</f>
        <v>0</v>
      </c>
      <c r="AD373">
        <f>VLOOKUP(Table9[[#This Row],[Shortname]], Comp[], 27, FALSE)</f>
        <v>0</v>
      </c>
      <c r="AE373">
        <f>VLOOKUP(Table9[[#This Row],[Shortname]], Comp[], 28, FALSE)</f>
        <v>0</v>
      </c>
      <c r="AF373">
        <f>VLOOKUP(Table9[[#This Row],[Shortname]], Comp[], 29, FALSE)</f>
        <v>0</v>
      </c>
      <c r="AG373">
        <f>VLOOKUP(Table9[[#This Row],[Shortname]], Comp[], 30, FALSE)</f>
        <v>0</v>
      </c>
      <c r="AH373">
        <f>VLOOKUP(Table9[[#This Row],[Shortname]], Comp[], 31, FALSE)</f>
        <v>0</v>
      </c>
    </row>
    <row r="374" spans="1:34" x14ac:dyDescent="0.3">
      <c r="A374" t="s">
        <v>2570</v>
      </c>
      <c r="B374" t="s">
        <v>2572</v>
      </c>
      <c r="C374" t="s">
        <v>2573</v>
      </c>
      <c r="D374">
        <v>282.2</v>
      </c>
      <c r="E374">
        <v>1075</v>
      </c>
      <c r="F374">
        <v>0.1</v>
      </c>
      <c r="G374">
        <v>1</v>
      </c>
      <c r="I374">
        <f>VLOOKUP(Table9[[#This Row],[Shortname]], Comp[], 6, FALSE)</f>
        <v>340</v>
      </c>
      <c r="J374" s="14">
        <f>VLOOKUP(Table9[[#This Row],[Shortname]], Comp[], 7, FALSE)</f>
        <v>46.73</v>
      </c>
      <c r="K374">
        <f>VLOOKUP(Table9[[#This Row],[Shortname]], Comp[], 8, FALSE)</f>
        <v>29.96</v>
      </c>
      <c r="L374">
        <f>VLOOKUP(Table9[[#This Row],[Shortname]], Comp[], 9, FALSE)</f>
        <v>9.5399999999999991</v>
      </c>
      <c r="M374">
        <f>VLOOKUP(Table9[[#This Row],[Shortname]], Comp[], 10, FALSE)</f>
        <v>4.78</v>
      </c>
      <c r="N374">
        <f>VLOOKUP(Table9[[#This Row],[Shortname]], Comp[], 11, FALSE)</f>
        <v>0</v>
      </c>
      <c r="O374">
        <f>VLOOKUP(Table9[[#This Row],[Shortname]], Comp[],12, FALSE)</f>
        <v>2.13</v>
      </c>
      <c r="P374">
        <f>VLOOKUP(Table9[[#This Row],[Shortname]], Comp[], 13, FALSE)</f>
        <v>1.91</v>
      </c>
      <c r="Q374">
        <f>VLOOKUP(Table9[[#This Row],[Shortname]], Comp[], 14, FALSE)</f>
        <v>0</v>
      </c>
      <c r="R374">
        <f>VLOOKUP(Table9[[#This Row],[Shortname]], Comp[], 15, FALSE)</f>
        <v>0</v>
      </c>
      <c r="S374">
        <f>VLOOKUP(Table9[[#This Row],[Shortname]], Comp[], 16, FALSE)</f>
        <v>4.95</v>
      </c>
      <c r="T374">
        <f>VLOOKUP(Table9[[#This Row],[Shortname]], Comp[], 17, FALSE)</f>
        <v>0</v>
      </c>
      <c r="U374">
        <f>VLOOKUP(Table9[[#This Row],[Shortname]], Comp[], 18, FALSE)</f>
        <v>0</v>
      </c>
      <c r="V374">
        <f>VLOOKUP(Table9[[#This Row],[Shortname]], Comp[], 19, FALSE)</f>
        <v>0</v>
      </c>
      <c r="W374">
        <f>VLOOKUP(Table9[[#This Row],[Shortname]], Comp[], 20, FALSE)</f>
        <v>0</v>
      </c>
      <c r="X374">
        <f>VLOOKUP(Table9[[#This Row],[Shortname]], Comp[], 21, FALSE)</f>
        <v>0</v>
      </c>
      <c r="Y374">
        <f>VLOOKUP(Table9[[#This Row],[Shortname]], Comp[], 22, FALSE)</f>
        <v>0</v>
      </c>
      <c r="Z374">
        <f>VLOOKUP(Table9[[#This Row],[Shortname]], Comp[], 23, FALSE)</f>
        <v>0</v>
      </c>
      <c r="AA374">
        <f>VLOOKUP(Table9[[#This Row],[Shortname]], Comp[], 24, FALSE)</f>
        <v>0</v>
      </c>
      <c r="AB374">
        <f>VLOOKUP(Table9[[#This Row],[Shortname]], Comp[], 25, FALSE)</f>
        <v>0</v>
      </c>
      <c r="AC374">
        <f>VLOOKUP(Table9[[#This Row],[Shortname]], Comp[], 26, FALSE)</f>
        <v>0</v>
      </c>
      <c r="AD374">
        <f>VLOOKUP(Table9[[#This Row],[Shortname]], Comp[], 27, FALSE)</f>
        <v>0</v>
      </c>
      <c r="AE374">
        <f>VLOOKUP(Table9[[#This Row],[Shortname]], Comp[], 28, FALSE)</f>
        <v>0</v>
      </c>
      <c r="AF374">
        <f>VLOOKUP(Table9[[#This Row],[Shortname]], Comp[], 29, FALSE)</f>
        <v>0</v>
      </c>
      <c r="AG374">
        <f>VLOOKUP(Table9[[#This Row],[Shortname]], Comp[], 30, FALSE)</f>
        <v>0</v>
      </c>
      <c r="AH374">
        <f>VLOOKUP(Table9[[#This Row],[Shortname]], Comp[], 31, FALSE)</f>
        <v>0</v>
      </c>
    </row>
    <row r="375" spans="1:34" x14ac:dyDescent="0.3">
      <c r="A375" t="s">
        <v>2216</v>
      </c>
      <c r="B375" t="s">
        <v>2218</v>
      </c>
      <c r="C375" t="s">
        <v>2211</v>
      </c>
      <c r="D375">
        <v>282</v>
      </c>
      <c r="E375">
        <v>1000</v>
      </c>
      <c r="F375">
        <v>1E-4</v>
      </c>
      <c r="G375">
        <v>1</v>
      </c>
      <c r="H375" t="s">
        <v>6803</v>
      </c>
      <c r="I375">
        <f>VLOOKUP(Table9[[#This Row],[Shortname]], Comp[], 6, FALSE)</f>
        <v>292</v>
      </c>
      <c r="J375" s="14">
        <f>VLOOKUP(Table9[[#This Row],[Shortname]], Comp[], 7, FALSE)</f>
        <v>83.6</v>
      </c>
      <c r="K375">
        <f>VLOOKUP(Table9[[#This Row],[Shortname]], Comp[], 8, FALSE)</f>
        <v>0</v>
      </c>
      <c r="L375">
        <f>VLOOKUP(Table9[[#This Row],[Shortname]], Comp[], 9, FALSE)</f>
        <v>0</v>
      </c>
      <c r="M375">
        <f>VLOOKUP(Table9[[#This Row],[Shortname]], Comp[], 10, FALSE)</f>
        <v>0</v>
      </c>
      <c r="N375">
        <f>VLOOKUP(Table9[[#This Row],[Shortname]], Comp[], 11, FALSE)</f>
        <v>0</v>
      </c>
      <c r="O375">
        <f>VLOOKUP(Table9[[#This Row],[Shortname]], Comp[],12, FALSE)</f>
        <v>4.0999999999999996</v>
      </c>
      <c r="P375">
        <f>VLOOKUP(Table9[[#This Row],[Shortname]], Comp[], 13, FALSE)</f>
        <v>0</v>
      </c>
      <c r="Q375">
        <f>VLOOKUP(Table9[[#This Row],[Shortname]], Comp[], 14, FALSE)</f>
        <v>2.2000000000000002</v>
      </c>
      <c r="R375">
        <f>VLOOKUP(Table9[[#This Row],[Shortname]], Comp[], 15, FALSE)</f>
        <v>10.1</v>
      </c>
      <c r="S375">
        <f>VLOOKUP(Table9[[#This Row],[Shortname]], Comp[], 16, FALSE)</f>
        <v>0</v>
      </c>
      <c r="T375">
        <f>VLOOKUP(Table9[[#This Row],[Shortname]], Comp[], 17, FALSE)</f>
        <v>0</v>
      </c>
      <c r="U375">
        <f>VLOOKUP(Table9[[#This Row],[Shortname]], Comp[], 18, FALSE)</f>
        <v>0</v>
      </c>
      <c r="V375">
        <f>VLOOKUP(Table9[[#This Row],[Shortname]], Comp[], 19, FALSE)</f>
        <v>0</v>
      </c>
      <c r="W375">
        <f>VLOOKUP(Table9[[#This Row],[Shortname]], Comp[], 20, FALSE)</f>
        <v>0</v>
      </c>
      <c r="X375">
        <f>VLOOKUP(Table9[[#This Row],[Shortname]], Comp[], 21, FALSE)</f>
        <v>0</v>
      </c>
      <c r="Y375">
        <f>VLOOKUP(Table9[[#This Row],[Shortname]], Comp[], 22, FALSE)</f>
        <v>0</v>
      </c>
      <c r="Z375">
        <f>VLOOKUP(Table9[[#This Row],[Shortname]], Comp[], 23, FALSE)</f>
        <v>0</v>
      </c>
      <c r="AA375">
        <f>VLOOKUP(Table9[[#This Row],[Shortname]], Comp[], 24, FALSE)</f>
        <v>0</v>
      </c>
      <c r="AB375">
        <f>VLOOKUP(Table9[[#This Row],[Shortname]], Comp[], 25, FALSE)</f>
        <v>0</v>
      </c>
      <c r="AC375">
        <f>VLOOKUP(Table9[[#This Row],[Shortname]], Comp[], 26, FALSE)</f>
        <v>0</v>
      </c>
      <c r="AD375">
        <f>VLOOKUP(Table9[[#This Row],[Shortname]], Comp[], 27, FALSE)</f>
        <v>0</v>
      </c>
      <c r="AE375">
        <f>VLOOKUP(Table9[[#This Row],[Shortname]], Comp[], 28, FALSE)</f>
        <v>0</v>
      </c>
      <c r="AF375">
        <f>VLOOKUP(Table9[[#This Row],[Shortname]], Comp[], 29, FALSE)</f>
        <v>0</v>
      </c>
      <c r="AG375">
        <f>VLOOKUP(Table9[[#This Row],[Shortname]], Comp[], 30, FALSE)</f>
        <v>0</v>
      </c>
      <c r="AH375">
        <f>VLOOKUP(Table9[[#This Row],[Shortname]], Comp[], 31, FALSE)</f>
        <v>0</v>
      </c>
    </row>
    <row r="376" spans="1:34" x14ac:dyDescent="0.3">
      <c r="A376" t="s">
        <v>983</v>
      </c>
      <c r="B376" t="s">
        <v>5230</v>
      </c>
      <c r="C376" t="s">
        <v>5231</v>
      </c>
      <c r="D376">
        <v>277</v>
      </c>
      <c r="E376">
        <v>752</v>
      </c>
      <c r="F376">
        <v>1E-4</v>
      </c>
      <c r="G376">
        <v>1</v>
      </c>
      <c r="H376" t="s">
        <v>6803</v>
      </c>
      <c r="I376">
        <f>VLOOKUP(Table9[[#This Row],[Shortname]], Comp[], 6, FALSE)</f>
        <v>127</v>
      </c>
      <c r="J376" s="14">
        <f>VLOOKUP(Table9[[#This Row],[Shortname]], Comp[], 7, FALSE)</f>
        <v>77</v>
      </c>
      <c r="K376">
        <f>VLOOKUP(Table9[[#This Row],[Shortname]], Comp[], 8, FALSE)</f>
        <v>0</v>
      </c>
      <c r="L376">
        <f>VLOOKUP(Table9[[#This Row],[Shortname]], Comp[], 9, FALSE)</f>
        <v>12</v>
      </c>
      <c r="M376">
        <f>VLOOKUP(Table9[[#This Row],[Shortname]], Comp[], 10, FALSE)</f>
        <v>0</v>
      </c>
      <c r="N376">
        <f>VLOOKUP(Table9[[#This Row],[Shortname]], Comp[], 11, FALSE)</f>
        <v>11</v>
      </c>
      <c r="O376">
        <f>VLOOKUP(Table9[[#This Row],[Shortname]], Comp[],12, FALSE)</f>
        <v>0</v>
      </c>
      <c r="P376">
        <f>VLOOKUP(Table9[[#This Row],[Shortname]], Comp[], 13, FALSE)</f>
        <v>0</v>
      </c>
      <c r="Q376">
        <f>VLOOKUP(Table9[[#This Row],[Shortname]], Comp[], 14, FALSE)</f>
        <v>0</v>
      </c>
      <c r="R376">
        <f>VLOOKUP(Table9[[#This Row],[Shortname]], Comp[], 15, FALSE)</f>
        <v>0</v>
      </c>
      <c r="S376">
        <f>VLOOKUP(Table9[[#This Row],[Shortname]], Comp[], 16, FALSE)</f>
        <v>0</v>
      </c>
      <c r="T376">
        <f>VLOOKUP(Table9[[#This Row],[Shortname]], Comp[], 17, FALSE)</f>
        <v>0</v>
      </c>
      <c r="U376">
        <f>VLOOKUP(Table9[[#This Row],[Shortname]], Comp[], 18, FALSE)</f>
        <v>0</v>
      </c>
      <c r="V376">
        <f>VLOOKUP(Table9[[#This Row],[Shortname]], Comp[], 19, FALSE)</f>
        <v>0</v>
      </c>
      <c r="W376">
        <f>VLOOKUP(Table9[[#This Row],[Shortname]], Comp[], 20, FALSE)</f>
        <v>0</v>
      </c>
      <c r="X376">
        <f>VLOOKUP(Table9[[#This Row],[Shortname]], Comp[], 21, FALSE)</f>
        <v>0</v>
      </c>
      <c r="Y376">
        <f>VLOOKUP(Table9[[#This Row],[Shortname]], Comp[], 22, FALSE)</f>
        <v>0</v>
      </c>
      <c r="Z376">
        <f>VLOOKUP(Table9[[#This Row],[Shortname]], Comp[], 23, FALSE)</f>
        <v>0</v>
      </c>
      <c r="AA376">
        <f>VLOOKUP(Table9[[#This Row],[Shortname]], Comp[], 24, FALSE)</f>
        <v>0</v>
      </c>
      <c r="AB376">
        <f>VLOOKUP(Table9[[#This Row],[Shortname]], Comp[], 25, FALSE)</f>
        <v>0</v>
      </c>
      <c r="AC376">
        <f>VLOOKUP(Table9[[#This Row],[Shortname]], Comp[], 26, FALSE)</f>
        <v>0</v>
      </c>
      <c r="AD376">
        <f>VLOOKUP(Table9[[#This Row],[Shortname]], Comp[], 27, FALSE)</f>
        <v>0</v>
      </c>
      <c r="AE376">
        <f>VLOOKUP(Table9[[#This Row],[Shortname]], Comp[], 28, FALSE)</f>
        <v>0</v>
      </c>
      <c r="AF376">
        <f>VLOOKUP(Table9[[#This Row],[Shortname]], Comp[], 29, FALSE)</f>
        <v>0</v>
      </c>
      <c r="AG376">
        <f>VLOOKUP(Table9[[#This Row],[Shortname]], Comp[], 30, FALSE)</f>
        <v>0</v>
      </c>
      <c r="AH376">
        <f>VLOOKUP(Table9[[#This Row],[Shortname]], Comp[], 31, FALSE)</f>
        <v>0</v>
      </c>
    </row>
    <row r="377" spans="1:34" x14ac:dyDescent="0.3">
      <c r="A377" t="s">
        <v>2839</v>
      </c>
      <c r="B377" t="s">
        <v>2841</v>
      </c>
      <c r="C377" t="s">
        <v>2842</v>
      </c>
      <c r="D377">
        <v>276</v>
      </c>
      <c r="E377">
        <v>970</v>
      </c>
      <c r="F377">
        <v>1E-3</v>
      </c>
      <c r="G377">
        <v>1</v>
      </c>
      <c r="H377" t="s">
        <v>6803</v>
      </c>
      <c r="I377">
        <f>VLOOKUP(Table9[[#This Row],[Shortname]], Comp[], 6, FALSE)</f>
        <v>384</v>
      </c>
      <c r="J377" s="14">
        <f>VLOOKUP(Table9[[#This Row],[Shortname]], Comp[], 7, FALSE)</f>
        <v>50.400000000000006</v>
      </c>
      <c r="K377">
        <f>VLOOKUP(Table9[[#This Row],[Shortname]], Comp[], 8, FALSE)</f>
        <v>30.4</v>
      </c>
      <c r="L377">
        <f>VLOOKUP(Table9[[#This Row],[Shortname]], Comp[], 9, FALSE)</f>
        <v>9.5</v>
      </c>
      <c r="M377">
        <f>VLOOKUP(Table9[[#This Row],[Shortname]], Comp[], 10, FALSE)</f>
        <v>0</v>
      </c>
      <c r="N377">
        <f>VLOOKUP(Table9[[#This Row],[Shortname]], Comp[], 11, FALSE)</f>
        <v>0</v>
      </c>
      <c r="O377">
        <f>VLOOKUP(Table9[[#This Row],[Shortname]], Comp[],12, FALSE)</f>
        <v>0</v>
      </c>
      <c r="P377">
        <f>VLOOKUP(Table9[[#This Row],[Shortname]], Comp[], 13, FALSE)</f>
        <v>0</v>
      </c>
      <c r="Q377">
        <f>VLOOKUP(Table9[[#This Row],[Shortname]], Comp[], 14, FALSE)</f>
        <v>2.4</v>
      </c>
      <c r="R377">
        <f>VLOOKUP(Table9[[#This Row],[Shortname]], Comp[], 15, FALSE)</f>
        <v>0</v>
      </c>
      <c r="S377">
        <f>VLOOKUP(Table9[[#This Row],[Shortname]], Comp[], 16, FALSE)</f>
        <v>5.3</v>
      </c>
      <c r="T377">
        <f>VLOOKUP(Table9[[#This Row],[Shortname]], Comp[], 17, FALSE)</f>
        <v>0</v>
      </c>
      <c r="U377">
        <f>VLOOKUP(Table9[[#This Row],[Shortname]], Comp[], 18, FALSE)</f>
        <v>0</v>
      </c>
      <c r="V377">
        <f>VLOOKUP(Table9[[#This Row],[Shortname]], Comp[], 19, FALSE)</f>
        <v>0</v>
      </c>
      <c r="W377">
        <f>VLOOKUP(Table9[[#This Row],[Shortname]], Comp[], 20, FALSE)</f>
        <v>0</v>
      </c>
      <c r="X377">
        <f>VLOOKUP(Table9[[#This Row],[Shortname]], Comp[], 21, FALSE)</f>
        <v>2</v>
      </c>
      <c r="Y377">
        <f>VLOOKUP(Table9[[#This Row],[Shortname]], Comp[], 22, FALSE)</f>
        <v>0</v>
      </c>
      <c r="Z377">
        <f>VLOOKUP(Table9[[#This Row],[Shortname]], Comp[], 23, FALSE)</f>
        <v>0</v>
      </c>
      <c r="AA377">
        <f>VLOOKUP(Table9[[#This Row],[Shortname]], Comp[], 24, FALSE)</f>
        <v>0</v>
      </c>
      <c r="AB377">
        <f>VLOOKUP(Table9[[#This Row],[Shortname]], Comp[], 25, FALSE)</f>
        <v>0</v>
      </c>
      <c r="AC377">
        <f>VLOOKUP(Table9[[#This Row],[Shortname]], Comp[], 26, FALSE)</f>
        <v>0</v>
      </c>
      <c r="AD377">
        <f>VLOOKUP(Table9[[#This Row],[Shortname]], Comp[], 27, FALSE)</f>
        <v>0</v>
      </c>
      <c r="AE377">
        <f>VLOOKUP(Table9[[#This Row],[Shortname]], Comp[], 28, FALSE)</f>
        <v>0</v>
      </c>
      <c r="AF377">
        <f>VLOOKUP(Table9[[#This Row],[Shortname]], Comp[], 29, FALSE)</f>
        <v>0</v>
      </c>
      <c r="AG377">
        <f>VLOOKUP(Table9[[#This Row],[Shortname]], Comp[], 30, FALSE)</f>
        <v>0</v>
      </c>
      <c r="AH377">
        <f>VLOOKUP(Table9[[#This Row],[Shortname]], Comp[], 31, FALSE)</f>
        <v>0</v>
      </c>
    </row>
    <row r="378" spans="1:34" x14ac:dyDescent="0.3">
      <c r="A378" t="s">
        <v>983</v>
      </c>
      <c r="B378" t="s">
        <v>5230</v>
      </c>
      <c r="C378" t="s">
        <v>5231</v>
      </c>
      <c r="D378">
        <v>274</v>
      </c>
      <c r="E378">
        <v>702</v>
      </c>
      <c r="F378">
        <v>1E-4</v>
      </c>
      <c r="G378">
        <v>1</v>
      </c>
      <c r="H378" t="s">
        <v>6803</v>
      </c>
      <c r="I378">
        <f>VLOOKUP(Table9[[#This Row],[Shortname]], Comp[], 6, FALSE)</f>
        <v>127</v>
      </c>
      <c r="J378" s="14">
        <f>VLOOKUP(Table9[[#This Row],[Shortname]], Comp[], 7, FALSE)</f>
        <v>77</v>
      </c>
      <c r="K378">
        <f>VLOOKUP(Table9[[#This Row],[Shortname]], Comp[], 8, FALSE)</f>
        <v>0</v>
      </c>
      <c r="L378">
        <f>VLOOKUP(Table9[[#This Row],[Shortname]], Comp[], 9, FALSE)</f>
        <v>12</v>
      </c>
      <c r="M378">
        <f>VLOOKUP(Table9[[#This Row],[Shortname]], Comp[], 10, FALSE)</f>
        <v>0</v>
      </c>
      <c r="N378">
        <f>VLOOKUP(Table9[[#This Row],[Shortname]], Comp[], 11, FALSE)</f>
        <v>11</v>
      </c>
      <c r="O378">
        <f>VLOOKUP(Table9[[#This Row],[Shortname]], Comp[],12, FALSE)</f>
        <v>0</v>
      </c>
      <c r="P378">
        <f>VLOOKUP(Table9[[#This Row],[Shortname]], Comp[], 13, FALSE)</f>
        <v>0</v>
      </c>
      <c r="Q378">
        <f>VLOOKUP(Table9[[#This Row],[Shortname]], Comp[], 14, FALSE)</f>
        <v>0</v>
      </c>
      <c r="R378">
        <f>VLOOKUP(Table9[[#This Row],[Shortname]], Comp[], 15, FALSE)</f>
        <v>0</v>
      </c>
      <c r="S378">
        <f>VLOOKUP(Table9[[#This Row],[Shortname]], Comp[], 16, FALSE)</f>
        <v>0</v>
      </c>
      <c r="T378">
        <f>VLOOKUP(Table9[[#This Row],[Shortname]], Comp[], 17, FALSE)</f>
        <v>0</v>
      </c>
      <c r="U378">
        <f>VLOOKUP(Table9[[#This Row],[Shortname]], Comp[], 18, FALSE)</f>
        <v>0</v>
      </c>
      <c r="V378">
        <f>VLOOKUP(Table9[[#This Row],[Shortname]], Comp[], 19, FALSE)</f>
        <v>0</v>
      </c>
      <c r="W378">
        <f>VLOOKUP(Table9[[#This Row],[Shortname]], Comp[], 20, FALSE)</f>
        <v>0</v>
      </c>
      <c r="X378">
        <f>VLOOKUP(Table9[[#This Row],[Shortname]], Comp[], 21, FALSE)</f>
        <v>0</v>
      </c>
      <c r="Y378">
        <f>VLOOKUP(Table9[[#This Row],[Shortname]], Comp[], 22, FALSE)</f>
        <v>0</v>
      </c>
      <c r="Z378">
        <f>VLOOKUP(Table9[[#This Row],[Shortname]], Comp[], 23, FALSE)</f>
        <v>0</v>
      </c>
      <c r="AA378">
        <f>VLOOKUP(Table9[[#This Row],[Shortname]], Comp[], 24, FALSE)</f>
        <v>0</v>
      </c>
      <c r="AB378">
        <f>VLOOKUP(Table9[[#This Row],[Shortname]], Comp[], 25, FALSE)</f>
        <v>0</v>
      </c>
      <c r="AC378">
        <f>VLOOKUP(Table9[[#This Row],[Shortname]], Comp[], 26, FALSE)</f>
        <v>0</v>
      </c>
      <c r="AD378">
        <f>VLOOKUP(Table9[[#This Row],[Shortname]], Comp[], 27, FALSE)</f>
        <v>0</v>
      </c>
      <c r="AE378">
        <f>VLOOKUP(Table9[[#This Row],[Shortname]], Comp[], 28, FALSE)</f>
        <v>0</v>
      </c>
      <c r="AF378">
        <f>VLOOKUP(Table9[[#This Row],[Shortname]], Comp[], 29, FALSE)</f>
        <v>0</v>
      </c>
      <c r="AG378">
        <f>VLOOKUP(Table9[[#This Row],[Shortname]], Comp[], 30, FALSE)</f>
        <v>0</v>
      </c>
      <c r="AH378">
        <f>VLOOKUP(Table9[[#This Row],[Shortname]], Comp[], 31, FALSE)</f>
        <v>0</v>
      </c>
    </row>
    <row r="379" spans="1:34" x14ac:dyDescent="0.3">
      <c r="A379" t="s">
        <v>2989</v>
      </c>
      <c r="B379" t="s">
        <v>3118</v>
      </c>
      <c r="C379" t="s">
        <v>3119</v>
      </c>
      <c r="D379">
        <v>273</v>
      </c>
      <c r="E379">
        <v>900</v>
      </c>
      <c r="F379">
        <v>1E-4</v>
      </c>
      <c r="G379">
        <v>1</v>
      </c>
      <c r="H379" t="s">
        <v>6803</v>
      </c>
      <c r="I379">
        <f>VLOOKUP(Table9[[#This Row],[Shortname]], Comp[], 6, FALSE)</f>
        <v>411</v>
      </c>
      <c r="J379" s="14">
        <f>VLOOKUP(Table9[[#This Row],[Shortname]], Comp[], 7, FALSE)</f>
        <v>84</v>
      </c>
      <c r="K379">
        <f>VLOOKUP(Table9[[#This Row],[Shortname]], Comp[], 8, FALSE)</f>
        <v>0</v>
      </c>
      <c r="L379">
        <f>VLOOKUP(Table9[[#This Row],[Shortname]], Comp[], 9, FALSE)</f>
        <v>0</v>
      </c>
      <c r="M379">
        <f>VLOOKUP(Table9[[#This Row],[Shortname]], Comp[], 10, FALSE)</f>
        <v>0</v>
      </c>
      <c r="N379">
        <f>VLOOKUP(Table9[[#This Row],[Shortname]], Comp[], 11, FALSE)</f>
        <v>0</v>
      </c>
      <c r="O379">
        <f>VLOOKUP(Table9[[#This Row],[Shortname]], Comp[],12, FALSE)</f>
        <v>2</v>
      </c>
      <c r="P379">
        <f>VLOOKUP(Table9[[#This Row],[Shortname]], Comp[], 13, FALSE)</f>
        <v>2</v>
      </c>
      <c r="Q379">
        <f>VLOOKUP(Table9[[#This Row],[Shortname]], Comp[], 14, FALSE)</f>
        <v>0</v>
      </c>
      <c r="R379">
        <f>VLOOKUP(Table9[[#This Row],[Shortname]], Comp[], 15, FALSE)</f>
        <v>12</v>
      </c>
      <c r="S379">
        <f>VLOOKUP(Table9[[#This Row],[Shortname]], Comp[], 16, FALSE)</f>
        <v>0</v>
      </c>
      <c r="T379">
        <f>VLOOKUP(Table9[[#This Row],[Shortname]], Comp[], 17, FALSE)</f>
        <v>0</v>
      </c>
      <c r="U379">
        <f>VLOOKUP(Table9[[#This Row],[Shortname]], Comp[], 18, FALSE)</f>
        <v>0</v>
      </c>
      <c r="V379">
        <f>VLOOKUP(Table9[[#This Row],[Shortname]], Comp[], 19, FALSE)</f>
        <v>0</v>
      </c>
      <c r="W379">
        <f>VLOOKUP(Table9[[#This Row],[Shortname]], Comp[], 20, FALSE)</f>
        <v>0</v>
      </c>
      <c r="X379">
        <f>VLOOKUP(Table9[[#This Row],[Shortname]], Comp[], 21, FALSE)</f>
        <v>0</v>
      </c>
      <c r="Y379">
        <f>VLOOKUP(Table9[[#This Row],[Shortname]], Comp[], 22, FALSE)</f>
        <v>0</v>
      </c>
      <c r="Z379">
        <f>VLOOKUP(Table9[[#This Row],[Shortname]], Comp[], 23, FALSE)</f>
        <v>0</v>
      </c>
      <c r="AA379">
        <f>VLOOKUP(Table9[[#This Row],[Shortname]], Comp[], 24, FALSE)</f>
        <v>0</v>
      </c>
      <c r="AB379">
        <f>VLOOKUP(Table9[[#This Row],[Shortname]], Comp[], 25, FALSE)</f>
        <v>0</v>
      </c>
      <c r="AC379">
        <f>VLOOKUP(Table9[[#This Row],[Shortname]], Comp[], 26, FALSE)</f>
        <v>0</v>
      </c>
      <c r="AD379">
        <f>VLOOKUP(Table9[[#This Row],[Shortname]], Comp[], 27, FALSE)</f>
        <v>0</v>
      </c>
      <c r="AE379">
        <f>VLOOKUP(Table9[[#This Row],[Shortname]], Comp[], 28, FALSE)</f>
        <v>0</v>
      </c>
      <c r="AF379">
        <f>VLOOKUP(Table9[[#This Row],[Shortname]], Comp[], 29, FALSE)</f>
        <v>0</v>
      </c>
      <c r="AG379">
        <f>VLOOKUP(Table9[[#This Row],[Shortname]], Comp[], 30, FALSE)</f>
        <v>0</v>
      </c>
      <c r="AH379">
        <f>VLOOKUP(Table9[[#This Row],[Shortname]], Comp[], 31, FALSE)</f>
        <v>0</v>
      </c>
    </row>
    <row r="380" spans="1:34" x14ac:dyDescent="0.3">
      <c r="A380" t="s">
        <v>1456</v>
      </c>
      <c r="B380" t="s">
        <v>1458</v>
      </c>
      <c r="C380" t="s">
        <v>1459</v>
      </c>
      <c r="D380">
        <v>272</v>
      </c>
      <c r="E380">
        <v>1100</v>
      </c>
      <c r="F380">
        <v>1E-4</v>
      </c>
      <c r="G380">
        <v>1</v>
      </c>
      <c r="H380" t="s">
        <v>6813</v>
      </c>
      <c r="I380">
        <f>VLOOKUP(Table9[[#This Row],[Shortname]], Comp[], 6, FALSE)</f>
        <v>186</v>
      </c>
      <c r="J380" s="14">
        <f>VLOOKUP(Table9[[#This Row],[Shortname]], Comp[], 7, FALSE)</f>
        <v>47.5</v>
      </c>
      <c r="K380">
        <f>VLOOKUP(Table9[[#This Row],[Shortname]], Comp[], 8, FALSE)</f>
        <v>31.2</v>
      </c>
      <c r="L380">
        <f>VLOOKUP(Table9[[#This Row],[Shortname]], Comp[], 9, FALSE)</f>
        <v>9.5</v>
      </c>
      <c r="M380">
        <f>VLOOKUP(Table9[[#This Row],[Shortname]], Comp[], 10, FALSE)</f>
        <v>0</v>
      </c>
      <c r="N380">
        <f>VLOOKUP(Table9[[#This Row],[Shortname]], Comp[], 11, FALSE)</f>
        <v>7.2</v>
      </c>
      <c r="O380">
        <f>VLOOKUP(Table9[[#This Row],[Shortname]], Comp[],12, FALSE)</f>
        <v>2.8</v>
      </c>
      <c r="P380">
        <f>VLOOKUP(Table9[[#This Row],[Shortname]], Comp[], 13, FALSE)</f>
        <v>1.8</v>
      </c>
      <c r="Q380">
        <f>VLOOKUP(Table9[[#This Row],[Shortname]], Comp[], 14, FALSE)</f>
        <v>0</v>
      </c>
      <c r="R380">
        <f>VLOOKUP(Table9[[#This Row],[Shortname]], Comp[], 15, FALSE)</f>
        <v>0</v>
      </c>
      <c r="S380">
        <f>VLOOKUP(Table9[[#This Row],[Shortname]], Comp[], 16, FALSE)</f>
        <v>0</v>
      </c>
      <c r="T380">
        <f>VLOOKUP(Table9[[#This Row],[Shortname]], Comp[], 17, FALSE)</f>
        <v>0</v>
      </c>
      <c r="U380">
        <f>VLOOKUP(Table9[[#This Row],[Shortname]], Comp[], 18, FALSE)</f>
        <v>0</v>
      </c>
      <c r="V380">
        <f>VLOOKUP(Table9[[#This Row],[Shortname]], Comp[], 19, FALSE)</f>
        <v>0</v>
      </c>
      <c r="W380">
        <f>VLOOKUP(Table9[[#This Row],[Shortname]], Comp[], 20, FALSE)</f>
        <v>0</v>
      </c>
      <c r="X380">
        <f>VLOOKUP(Table9[[#This Row],[Shortname]], Comp[], 21, FALSE)</f>
        <v>0</v>
      </c>
      <c r="Y380">
        <f>VLOOKUP(Table9[[#This Row],[Shortname]], Comp[], 22, FALSE)</f>
        <v>0</v>
      </c>
      <c r="Z380">
        <f>VLOOKUP(Table9[[#This Row],[Shortname]], Comp[], 23, FALSE)</f>
        <v>0</v>
      </c>
      <c r="AA380">
        <f>VLOOKUP(Table9[[#This Row],[Shortname]], Comp[], 24, FALSE)</f>
        <v>0</v>
      </c>
      <c r="AB380">
        <f>VLOOKUP(Table9[[#This Row],[Shortname]], Comp[], 25, FALSE)</f>
        <v>0</v>
      </c>
      <c r="AC380">
        <f>VLOOKUP(Table9[[#This Row],[Shortname]], Comp[], 26, FALSE)</f>
        <v>0</v>
      </c>
      <c r="AD380">
        <f>VLOOKUP(Table9[[#This Row],[Shortname]], Comp[], 27, FALSE)</f>
        <v>0</v>
      </c>
      <c r="AE380">
        <f>VLOOKUP(Table9[[#This Row],[Shortname]], Comp[], 28, FALSE)</f>
        <v>0</v>
      </c>
      <c r="AF380">
        <f>VLOOKUP(Table9[[#This Row],[Shortname]], Comp[], 29, FALSE)</f>
        <v>0</v>
      </c>
      <c r="AG380">
        <f>VLOOKUP(Table9[[#This Row],[Shortname]], Comp[], 30, FALSE)</f>
        <v>0</v>
      </c>
      <c r="AH380">
        <f>VLOOKUP(Table9[[#This Row],[Shortname]], Comp[], 31, FALSE)</f>
        <v>0</v>
      </c>
    </row>
    <row r="381" spans="1:34" x14ac:dyDescent="0.3">
      <c r="A381" t="s">
        <v>2901</v>
      </c>
      <c r="B381" t="s">
        <v>5256</v>
      </c>
      <c r="C381" t="s">
        <v>3480</v>
      </c>
      <c r="D381">
        <v>267</v>
      </c>
      <c r="E381">
        <v>600</v>
      </c>
      <c r="F381">
        <v>1E-4</v>
      </c>
      <c r="G381">
        <v>1</v>
      </c>
      <c r="H381" t="s">
        <v>6803</v>
      </c>
      <c r="I381">
        <f>VLOOKUP(Table9[[#This Row],[Shortname]], Comp[], 6, FALSE)</f>
        <v>395</v>
      </c>
      <c r="J381" s="14">
        <f>VLOOKUP(Table9[[#This Row],[Shortname]], Comp[], 7, FALSE)</f>
        <v>79.400000000000006</v>
      </c>
      <c r="K381">
        <f>VLOOKUP(Table9[[#This Row],[Shortname]], Comp[], 8, FALSE)</f>
        <v>0</v>
      </c>
      <c r="L381">
        <f>VLOOKUP(Table9[[#This Row],[Shortname]], Comp[], 9, FALSE)</f>
        <v>8.8000000000000007</v>
      </c>
      <c r="M381">
        <f>VLOOKUP(Table9[[#This Row],[Shortname]], Comp[], 10, FALSE)</f>
        <v>0</v>
      </c>
      <c r="N381">
        <f>VLOOKUP(Table9[[#This Row],[Shortname]], Comp[], 11, FALSE)</f>
        <v>9.8000000000000007</v>
      </c>
      <c r="O381">
        <f>VLOOKUP(Table9[[#This Row],[Shortname]], Comp[],12, FALSE)</f>
        <v>0</v>
      </c>
      <c r="P381">
        <f>VLOOKUP(Table9[[#This Row],[Shortname]], Comp[], 13, FALSE)</f>
        <v>0</v>
      </c>
      <c r="Q381">
        <f>VLOOKUP(Table9[[#This Row],[Shortname]], Comp[], 14, FALSE)</f>
        <v>0</v>
      </c>
      <c r="R381">
        <f>VLOOKUP(Table9[[#This Row],[Shortname]], Comp[], 15, FALSE)</f>
        <v>0</v>
      </c>
      <c r="S381">
        <f>VLOOKUP(Table9[[#This Row],[Shortname]], Comp[], 16, FALSE)</f>
        <v>0</v>
      </c>
      <c r="T381">
        <f>VLOOKUP(Table9[[#This Row],[Shortname]], Comp[], 17, FALSE)</f>
        <v>0</v>
      </c>
      <c r="U381">
        <f>VLOOKUP(Table9[[#This Row],[Shortname]], Comp[], 18, FALSE)</f>
        <v>0</v>
      </c>
      <c r="V381">
        <f>VLOOKUP(Table9[[#This Row],[Shortname]], Comp[], 19, FALSE)</f>
        <v>0</v>
      </c>
      <c r="W381">
        <f>VLOOKUP(Table9[[#This Row],[Shortname]], Comp[], 20, FALSE)</f>
        <v>0</v>
      </c>
      <c r="X381">
        <f>VLOOKUP(Table9[[#This Row],[Shortname]], Comp[], 21, FALSE)</f>
        <v>2</v>
      </c>
      <c r="Y381">
        <f>VLOOKUP(Table9[[#This Row],[Shortname]], Comp[], 22, FALSE)</f>
        <v>0</v>
      </c>
      <c r="Z381">
        <f>VLOOKUP(Table9[[#This Row],[Shortname]], Comp[], 23, FALSE)</f>
        <v>0</v>
      </c>
      <c r="AA381">
        <f>VLOOKUP(Table9[[#This Row],[Shortname]], Comp[], 24, FALSE)</f>
        <v>0</v>
      </c>
      <c r="AB381">
        <f>VLOOKUP(Table9[[#This Row],[Shortname]], Comp[], 25, FALSE)</f>
        <v>0</v>
      </c>
      <c r="AC381">
        <f>VLOOKUP(Table9[[#This Row],[Shortname]], Comp[], 26, FALSE)</f>
        <v>0</v>
      </c>
      <c r="AD381">
        <f>VLOOKUP(Table9[[#This Row],[Shortname]], Comp[], 27, FALSE)</f>
        <v>0</v>
      </c>
      <c r="AE381">
        <f>VLOOKUP(Table9[[#This Row],[Shortname]], Comp[], 28, FALSE)</f>
        <v>0</v>
      </c>
      <c r="AF381">
        <f>VLOOKUP(Table9[[#This Row],[Shortname]], Comp[], 29, FALSE)</f>
        <v>0</v>
      </c>
      <c r="AG381">
        <f>VLOOKUP(Table9[[#This Row],[Shortname]], Comp[], 30, FALSE)</f>
        <v>0</v>
      </c>
      <c r="AH381">
        <f>VLOOKUP(Table9[[#This Row],[Shortname]], Comp[], 31, FALSE)</f>
        <v>0</v>
      </c>
    </row>
    <row r="382" spans="1:34" x14ac:dyDescent="0.3">
      <c r="A382" t="s">
        <v>2570</v>
      </c>
      <c r="B382" t="s">
        <v>2572</v>
      </c>
      <c r="C382" t="s">
        <v>2573</v>
      </c>
      <c r="D382">
        <v>261</v>
      </c>
      <c r="E382">
        <v>1225</v>
      </c>
      <c r="F382">
        <v>10</v>
      </c>
      <c r="G382">
        <v>1</v>
      </c>
      <c r="I382">
        <f>VLOOKUP(Table9[[#This Row],[Shortname]], Comp[], 6, FALSE)</f>
        <v>340</v>
      </c>
      <c r="J382" s="14">
        <f>VLOOKUP(Table9[[#This Row],[Shortname]], Comp[], 7, FALSE)</f>
        <v>46.73</v>
      </c>
      <c r="K382">
        <f>VLOOKUP(Table9[[#This Row],[Shortname]], Comp[], 8, FALSE)</f>
        <v>29.96</v>
      </c>
      <c r="L382">
        <f>VLOOKUP(Table9[[#This Row],[Shortname]], Comp[], 9, FALSE)</f>
        <v>9.5399999999999991</v>
      </c>
      <c r="M382">
        <f>VLOOKUP(Table9[[#This Row],[Shortname]], Comp[], 10, FALSE)</f>
        <v>4.78</v>
      </c>
      <c r="N382">
        <f>VLOOKUP(Table9[[#This Row],[Shortname]], Comp[], 11, FALSE)</f>
        <v>0</v>
      </c>
      <c r="O382">
        <f>VLOOKUP(Table9[[#This Row],[Shortname]], Comp[],12, FALSE)</f>
        <v>2.13</v>
      </c>
      <c r="P382">
        <f>VLOOKUP(Table9[[#This Row],[Shortname]], Comp[], 13, FALSE)</f>
        <v>1.91</v>
      </c>
      <c r="Q382">
        <f>VLOOKUP(Table9[[#This Row],[Shortname]], Comp[], 14, FALSE)</f>
        <v>0</v>
      </c>
      <c r="R382">
        <f>VLOOKUP(Table9[[#This Row],[Shortname]], Comp[], 15, FALSE)</f>
        <v>0</v>
      </c>
      <c r="S382">
        <f>VLOOKUP(Table9[[#This Row],[Shortname]], Comp[], 16, FALSE)</f>
        <v>4.95</v>
      </c>
      <c r="T382">
        <f>VLOOKUP(Table9[[#This Row],[Shortname]], Comp[], 17, FALSE)</f>
        <v>0</v>
      </c>
      <c r="U382">
        <f>VLOOKUP(Table9[[#This Row],[Shortname]], Comp[], 18, FALSE)</f>
        <v>0</v>
      </c>
      <c r="V382">
        <f>VLOOKUP(Table9[[#This Row],[Shortname]], Comp[], 19, FALSE)</f>
        <v>0</v>
      </c>
      <c r="W382">
        <f>VLOOKUP(Table9[[#This Row],[Shortname]], Comp[], 20, FALSE)</f>
        <v>0</v>
      </c>
      <c r="X382">
        <f>VLOOKUP(Table9[[#This Row],[Shortname]], Comp[], 21, FALSE)</f>
        <v>0</v>
      </c>
      <c r="Y382">
        <f>VLOOKUP(Table9[[#This Row],[Shortname]], Comp[], 22, FALSE)</f>
        <v>0</v>
      </c>
      <c r="Z382">
        <f>VLOOKUP(Table9[[#This Row],[Shortname]], Comp[], 23, FALSE)</f>
        <v>0</v>
      </c>
      <c r="AA382">
        <f>VLOOKUP(Table9[[#This Row],[Shortname]], Comp[], 24, FALSE)</f>
        <v>0</v>
      </c>
      <c r="AB382">
        <f>VLOOKUP(Table9[[#This Row],[Shortname]], Comp[], 25, FALSE)</f>
        <v>0</v>
      </c>
      <c r="AC382">
        <f>VLOOKUP(Table9[[#This Row],[Shortname]], Comp[], 26, FALSE)</f>
        <v>0</v>
      </c>
      <c r="AD382">
        <f>VLOOKUP(Table9[[#This Row],[Shortname]], Comp[], 27, FALSE)</f>
        <v>0</v>
      </c>
      <c r="AE382">
        <f>VLOOKUP(Table9[[#This Row],[Shortname]], Comp[], 28, FALSE)</f>
        <v>0</v>
      </c>
      <c r="AF382">
        <f>VLOOKUP(Table9[[#This Row],[Shortname]], Comp[], 29, FALSE)</f>
        <v>0</v>
      </c>
      <c r="AG382">
        <f>VLOOKUP(Table9[[#This Row],[Shortname]], Comp[], 30, FALSE)</f>
        <v>0</v>
      </c>
      <c r="AH382">
        <f>VLOOKUP(Table9[[#This Row],[Shortname]], Comp[], 31, FALSE)</f>
        <v>0</v>
      </c>
    </row>
    <row r="383" spans="1:34" x14ac:dyDescent="0.3">
      <c r="A383" t="s">
        <v>3132</v>
      </c>
      <c r="B383" t="s">
        <v>3134</v>
      </c>
      <c r="C383" t="s">
        <v>3119</v>
      </c>
      <c r="D383">
        <v>261</v>
      </c>
      <c r="E383">
        <v>900</v>
      </c>
      <c r="F383">
        <v>1E-4</v>
      </c>
      <c r="G383">
        <v>1</v>
      </c>
      <c r="H383" t="s">
        <v>6803</v>
      </c>
      <c r="I383">
        <f>VLOOKUP(Table9[[#This Row],[Shortname]], Comp[], 6, FALSE)</f>
        <v>437</v>
      </c>
      <c r="J383" s="14">
        <f>VLOOKUP(Table9[[#This Row],[Shortname]], Comp[], 7, FALSE)</f>
        <v>86</v>
      </c>
      <c r="K383">
        <f>VLOOKUP(Table9[[#This Row],[Shortname]], Comp[], 8, FALSE)</f>
        <v>0</v>
      </c>
      <c r="L383">
        <f>VLOOKUP(Table9[[#This Row],[Shortname]], Comp[], 9, FALSE)</f>
        <v>0</v>
      </c>
      <c r="M383">
        <f>VLOOKUP(Table9[[#This Row],[Shortname]], Comp[], 10, FALSE)</f>
        <v>0</v>
      </c>
      <c r="N383">
        <f>VLOOKUP(Table9[[#This Row],[Shortname]], Comp[], 11, FALSE)</f>
        <v>0</v>
      </c>
      <c r="O383">
        <f>VLOOKUP(Table9[[#This Row],[Shortname]], Comp[],12, FALSE)</f>
        <v>0</v>
      </c>
      <c r="P383">
        <f>VLOOKUP(Table9[[#This Row],[Shortname]], Comp[], 13, FALSE)</f>
        <v>2</v>
      </c>
      <c r="Q383">
        <f>VLOOKUP(Table9[[#This Row],[Shortname]], Comp[], 14, FALSE)</f>
        <v>0</v>
      </c>
      <c r="R383">
        <f>VLOOKUP(Table9[[#This Row],[Shortname]], Comp[], 15, FALSE)</f>
        <v>12</v>
      </c>
      <c r="S383">
        <f>VLOOKUP(Table9[[#This Row],[Shortname]], Comp[], 16, FALSE)</f>
        <v>0</v>
      </c>
      <c r="T383">
        <f>VLOOKUP(Table9[[#This Row],[Shortname]], Comp[], 17, FALSE)</f>
        <v>0</v>
      </c>
      <c r="U383">
        <f>VLOOKUP(Table9[[#This Row],[Shortname]], Comp[], 18, FALSE)</f>
        <v>0</v>
      </c>
      <c r="V383">
        <f>VLOOKUP(Table9[[#This Row],[Shortname]], Comp[], 19, FALSE)</f>
        <v>0</v>
      </c>
      <c r="W383">
        <f>VLOOKUP(Table9[[#This Row],[Shortname]], Comp[], 20, FALSE)</f>
        <v>0</v>
      </c>
      <c r="X383">
        <f>VLOOKUP(Table9[[#This Row],[Shortname]], Comp[], 21, FALSE)</f>
        <v>0</v>
      </c>
      <c r="Y383">
        <f>VLOOKUP(Table9[[#This Row],[Shortname]], Comp[], 22, FALSE)</f>
        <v>0</v>
      </c>
      <c r="Z383">
        <f>VLOOKUP(Table9[[#This Row],[Shortname]], Comp[], 23, FALSE)</f>
        <v>0</v>
      </c>
      <c r="AA383">
        <f>VLOOKUP(Table9[[#This Row],[Shortname]], Comp[], 24, FALSE)</f>
        <v>0</v>
      </c>
      <c r="AB383">
        <f>VLOOKUP(Table9[[#This Row],[Shortname]], Comp[], 25, FALSE)</f>
        <v>0</v>
      </c>
      <c r="AC383">
        <f>VLOOKUP(Table9[[#This Row],[Shortname]], Comp[], 26, FALSE)</f>
        <v>0</v>
      </c>
      <c r="AD383">
        <f>VLOOKUP(Table9[[#This Row],[Shortname]], Comp[], 27, FALSE)</f>
        <v>0</v>
      </c>
      <c r="AE383">
        <f>VLOOKUP(Table9[[#This Row],[Shortname]], Comp[], 28, FALSE)</f>
        <v>0</v>
      </c>
      <c r="AF383">
        <f>VLOOKUP(Table9[[#This Row],[Shortname]], Comp[], 29, FALSE)</f>
        <v>0</v>
      </c>
      <c r="AG383">
        <f>VLOOKUP(Table9[[#This Row],[Shortname]], Comp[], 30, FALSE)</f>
        <v>0</v>
      </c>
      <c r="AH383">
        <f>VLOOKUP(Table9[[#This Row],[Shortname]], Comp[], 31, FALSE)</f>
        <v>0</v>
      </c>
    </row>
    <row r="384" spans="1:34" x14ac:dyDescent="0.3">
      <c r="A384" t="s">
        <v>2062</v>
      </c>
      <c r="B384" t="s">
        <v>2064</v>
      </c>
      <c r="C384" t="s">
        <v>2065</v>
      </c>
      <c r="D384">
        <v>260</v>
      </c>
      <c r="E384">
        <v>900</v>
      </c>
      <c r="F384">
        <v>1E-4</v>
      </c>
      <c r="G384">
        <v>1</v>
      </c>
      <c r="H384" t="s">
        <v>6803</v>
      </c>
      <c r="I384">
        <f>VLOOKUP(Table9[[#This Row],[Shortname]], Comp[], 6, FALSE)</f>
        <v>271</v>
      </c>
      <c r="J384" s="14">
        <f>VLOOKUP(Table9[[#This Row],[Shortname]], Comp[], 7, FALSE)</f>
        <v>87</v>
      </c>
      <c r="K384">
        <f>VLOOKUP(Table9[[#This Row],[Shortname]], Comp[], 8, FALSE)</f>
        <v>0</v>
      </c>
      <c r="L384">
        <f>VLOOKUP(Table9[[#This Row],[Shortname]], Comp[], 9, FALSE)</f>
        <v>0</v>
      </c>
      <c r="M384">
        <f>VLOOKUP(Table9[[#This Row],[Shortname]], Comp[], 10, FALSE)</f>
        <v>0</v>
      </c>
      <c r="N384">
        <f>VLOOKUP(Table9[[#This Row],[Shortname]], Comp[], 11, FALSE)</f>
        <v>0</v>
      </c>
      <c r="O384">
        <f>VLOOKUP(Table9[[#This Row],[Shortname]], Comp[],12, FALSE)</f>
        <v>12</v>
      </c>
      <c r="P384">
        <f>VLOOKUP(Table9[[#This Row],[Shortname]], Comp[], 13, FALSE)</f>
        <v>0</v>
      </c>
      <c r="Q384">
        <f>VLOOKUP(Table9[[#This Row],[Shortname]], Comp[], 14, FALSE)</f>
        <v>0</v>
      </c>
      <c r="R384">
        <f>VLOOKUP(Table9[[#This Row],[Shortname]], Comp[], 15, FALSE)</f>
        <v>0</v>
      </c>
      <c r="S384">
        <f>VLOOKUP(Table9[[#This Row],[Shortname]], Comp[], 16, FALSE)</f>
        <v>0</v>
      </c>
      <c r="T384">
        <f>VLOOKUP(Table9[[#This Row],[Shortname]], Comp[], 17, FALSE)</f>
        <v>0</v>
      </c>
      <c r="U384">
        <f>VLOOKUP(Table9[[#This Row],[Shortname]], Comp[], 18, FALSE)</f>
        <v>0</v>
      </c>
      <c r="V384">
        <f>VLOOKUP(Table9[[#This Row],[Shortname]], Comp[], 19, FALSE)</f>
        <v>0</v>
      </c>
      <c r="W384">
        <f>VLOOKUP(Table9[[#This Row],[Shortname]], Comp[], 20, FALSE)</f>
        <v>0</v>
      </c>
      <c r="X384">
        <f>VLOOKUP(Table9[[#This Row],[Shortname]], Comp[], 21, FALSE)</f>
        <v>1</v>
      </c>
      <c r="Y384">
        <f>VLOOKUP(Table9[[#This Row],[Shortname]], Comp[], 22, FALSE)</f>
        <v>0</v>
      </c>
      <c r="Z384">
        <f>VLOOKUP(Table9[[#This Row],[Shortname]], Comp[], 23, FALSE)</f>
        <v>0</v>
      </c>
      <c r="AA384">
        <f>VLOOKUP(Table9[[#This Row],[Shortname]], Comp[], 24, FALSE)</f>
        <v>0</v>
      </c>
      <c r="AB384">
        <f>VLOOKUP(Table9[[#This Row],[Shortname]], Comp[], 25, FALSE)</f>
        <v>0</v>
      </c>
      <c r="AC384">
        <f>VLOOKUP(Table9[[#This Row],[Shortname]], Comp[], 26, FALSE)</f>
        <v>0</v>
      </c>
      <c r="AD384">
        <f>VLOOKUP(Table9[[#This Row],[Shortname]], Comp[], 27, FALSE)</f>
        <v>0</v>
      </c>
      <c r="AE384">
        <f>VLOOKUP(Table9[[#This Row],[Shortname]], Comp[], 28, FALSE)</f>
        <v>0</v>
      </c>
      <c r="AF384">
        <f>VLOOKUP(Table9[[#This Row],[Shortname]], Comp[], 29, FALSE)</f>
        <v>0</v>
      </c>
      <c r="AG384">
        <f>VLOOKUP(Table9[[#This Row],[Shortname]], Comp[], 30, FALSE)</f>
        <v>0</v>
      </c>
      <c r="AH384">
        <f>VLOOKUP(Table9[[#This Row],[Shortname]], Comp[], 31, FALSE)</f>
        <v>0</v>
      </c>
    </row>
    <row r="385" spans="1:34" x14ac:dyDescent="0.3">
      <c r="A385" t="s">
        <v>1589</v>
      </c>
      <c r="B385" t="s">
        <v>1591</v>
      </c>
      <c r="C385" t="s">
        <v>1568</v>
      </c>
      <c r="D385">
        <v>256</v>
      </c>
      <c r="E385">
        <v>750</v>
      </c>
      <c r="F385">
        <v>1E-4</v>
      </c>
      <c r="G385">
        <v>1</v>
      </c>
      <c r="H385" t="s">
        <v>6803</v>
      </c>
      <c r="I385">
        <f>VLOOKUP(Table9[[#This Row],[Shortname]], Comp[], 6, FALSE)</f>
        <v>202</v>
      </c>
      <c r="J385" s="14">
        <f>VLOOKUP(Table9[[#This Row],[Shortname]], Comp[], 7, FALSE)</f>
        <v>46.809999999999995</v>
      </c>
      <c r="K385">
        <f>VLOOKUP(Table9[[#This Row],[Shortname]], Comp[], 8, FALSE)</f>
        <v>26.69</v>
      </c>
      <c r="L385">
        <f>VLOOKUP(Table9[[#This Row],[Shortname]], Comp[], 9, FALSE)</f>
        <v>9.0500000000000007</v>
      </c>
      <c r="M385">
        <f>VLOOKUP(Table9[[#This Row],[Shortname]], Comp[], 10, FALSE)</f>
        <v>12.42</v>
      </c>
      <c r="N385">
        <f>VLOOKUP(Table9[[#This Row],[Shortname]], Comp[], 11, FALSE)</f>
        <v>1.25</v>
      </c>
      <c r="O385">
        <f>VLOOKUP(Table9[[#This Row],[Shortname]], Comp[],12, FALSE)</f>
        <v>0</v>
      </c>
      <c r="P385">
        <f>VLOOKUP(Table9[[#This Row],[Shortname]], Comp[], 13, FALSE)</f>
        <v>0</v>
      </c>
      <c r="Q385">
        <f>VLOOKUP(Table9[[#This Row],[Shortname]], Comp[], 14, FALSE)</f>
        <v>0</v>
      </c>
      <c r="R385">
        <f>VLOOKUP(Table9[[#This Row],[Shortname]], Comp[], 15, FALSE)</f>
        <v>0</v>
      </c>
      <c r="S385">
        <f>VLOOKUP(Table9[[#This Row],[Shortname]], Comp[], 16, FALSE)</f>
        <v>3.78</v>
      </c>
      <c r="T385">
        <f>VLOOKUP(Table9[[#This Row],[Shortname]], Comp[], 17, FALSE)</f>
        <v>0</v>
      </c>
      <c r="U385">
        <f>VLOOKUP(Table9[[#This Row],[Shortname]], Comp[], 18, FALSE)</f>
        <v>0</v>
      </c>
      <c r="V385">
        <f>VLOOKUP(Table9[[#This Row],[Shortname]], Comp[], 19, FALSE)</f>
        <v>0</v>
      </c>
      <c r="W385">
        <f>VLOOKUP(Table9[[#This Row],[Shortname]], Comp[], 20, FALSE)</f>
        <v>0</v>
      </c>
      <c r="X385">
        <f>VLOOKUP(Table9[[#This Row],[Shortname]], Comp[], 21, FALSE)</f>
        <v>0</v>
      </c>
      <c r="Y385">
        <f>VLOOKUP(Table9[[#This Row],[Shortname]], Comp[], 22, FALSE)</f>
        <v>0</v>
      </c>
      <c r="Z385">
        <f>VLOOKUP(Table9[[#This Row],[Shortname]], Comp[], 23, FALSE)</f>
        <v>0</v>
      </c>
      <c r="AA385">
        <f>VLOOKUP(Table9[[#This Row],[Shortname]], Comp[], 24, FALSE)</f>
        <v>0</v>
      </c>
      <c r="AB385">
        <f>VLOOKUP(Table9[[#This Row],[Shortname]], Comp[], 25, FALSE)</f>
        <v>0</v>
      </c>
      <c r="AC385">
        <f>VLOOKUP(Table9[[#This Row],[Shortname]], Comp[], 26, FALSE)</f>
        <v>0</v>
      </c>
      <c r="AD385">
        <f>VLOOKUP(Table9[[#This Row],[Shortname]], Comp[], 27, FALSE)</f>
        <v>0</v>
      </c>
      <c r="AE385">
        <f>VLOOKUP(Table9[[#This Row],[Shortname]], Comp[], 28, FALSE)</f>
        <v>0</v>
      </c>
      <c r="AF385">
        <f>VLOOKUP(Table9[[#This Row],[Shortname]], Comp[], 29, FALSE)</f>
        <v>0</v>
      </c>
      <c r="AG385">
        <f>VLOOKUP(Table9[[#This Row],[Shortname]], Comp[], 30, FALSE)</f>
        <v>0</v>
      </c>
      <c r="AH385">
        <f>VLOOKUP(Table9[[#This Row],[Shortname]], Comp[], 31, FALSE)</f>
        <v>0</v>
      </c>
    </row>
    <row r="386" spans="1:34" x14ac:dyDescent="0.3">
      <c r="A386" t="s">
        <v>2224</v>
      </c>
      <c r="B386" t="s">
        <v>2226</v>
      </c>
      <c r="C386" t="s">
        <v>2211</v>
      </c>
      <c r="D386">
        <v>250</v>
      </c>
      <c r="E386">
        <v>1000</v>
      </c>
      <c r="F386">
        <v>1E-4</v>
      </c>
      <c r="G386">
        <v>1</v>
      </c>
      <c r="H386" t="s">
        <v>6803</v>
      </c>
      <c r="I386">
        <f>VLOOKUP(Table9[[#This Row],[Shortname]], Comp[], 6, FALSE)</f>
        <v>293</v>
      </c>
      <c r="J386" s="14">
        <f>VLOOKUP(Table9[[#This Row],[Shortname]], Comp[], 7, FALSE)</f>
        <v>83.9</v>
      </c>
      <c r="K386">
        <f>VLOOKUP(Table9[[#This Row],[Shortname]], Comp[], 8, FALSE)</f>
        <v>0</v>
      </c>
      <c r="L386">
        <f>VLOOKUP(Table9[[#This Row],[Shortname]], Comp[], 9, FALSE)</f>
        <v>0</v>
      </c>
      <c r="M386">
        <f>VLOOKUP(Table9[[#This Row],[Shortname]], Comp[], 10, FALSE)</f>
        <v>0</v>
      </c>
      <c r="N386">
        <f>VLOOKUP(Table9[[#This Row],[Shortname]], Comp[], 11, FALSE)</f>
        <v>2.1</v>
      </c>
      <c r="O386">
        <f>VLOOKUP(Table9[[#This Row],[Shortname]], Comp[],12, FALSE)</f>
        <v>4.0999999999999996</v>
      </c>
      <c r="P386">
        <f>VLOOKUP(Table9[[#This Row],[Shortname]], Comp[], 13, FALSE)</f>
        <v>0</v>
      </c>
      <c r="Q386">
        <f>VLOOKUP(Table9[[#This Row],[Shortname]], Comp[], 14, FALSE)</f>
        <v>0</v>
      </c>
      <c r="R386">
        <f>VLOOKUP(Table9[[#This Row],[Shortname]], Comp[], 15, FALSE)</f>
        <v>9.9</v>
      </c>
      <c r="S386">
        <f>VLOOKUP(Table9[[#This Row],[Shortname]], Comp[], 16, FALSE)</f>
        <v>0</v>
      </c>
      <c r="T386">
        <f>VLOOKUP(Table9[[#This Row],[Shortname]], Comp[], 17, FALSE)</f>
        <v>0</v>
      </c>
      <c r="U386">
        <f>VLOOKUP(Table9[[#This Row],[Shortname]], Comp[], 18, FALSE)</f>
        <v>0</v>
      </c>
      <c r="V386">
        <f>VLOOKUP(Table9[[#This Row],[Shortname]], Comp[], 19, FALSE)</f>
        <v>0</v>
      </c>
      <c r="W386">
        <f>VLOOKUP(Table9[[#This Row],[Shortname]], Comp[], 20, FALSE)</f>
        <v>0</v>
      </c>
      <c r="X386">
        <f>VLOOKUP(Table9[[#This Row],[Shortname]], Comp[], 21, FALSE)</f>
        <v>0</v>
      </c>
      <c r="Y386">
        <f>VLOOKUP(Table9[[#This Row],[Shortname]], Comp[], 22, FALSE)</f>
        <v>0</v>
      </c>
      <c r="Z386">
        <f>VLOOKUP(Table9[[#This Row],[Shortname]], Comp[], 23, FALSE)</f>
        <v>0</v>
      </c>
      <c r="AA386">
        <f>VLOOKUP(Table9[[#This Row],[Shortname]], Comp[], 24, FALSE)</f>
        <v>0</v>
      </c>
      <c r="AB386">
        <f>VLOOKUP(Table9[[#This Row],[Shortname]], Comp[], 25, FALSE)</f>
        <v>0</v>
      </c>
      <c r="AC386">
        <f>VLOOKUP(Table9[[#This Row],[Shortname]], Comp[], 26, FALSE)</f>
        <v>0</v>
      </c>
      <c r="AD386">
        <f>VLOOKUP(Table9[[#This Row],[Shortname]], Comp[], 27, FALSE)</f>
        <v>0</v>
      </c>
      <c r="AE386">
        <f>VLOOKUP(Table9[[#This Row],[Shortname]], Comp[], 28, FALSE)</f>
        <v>0</v>
      </c>
      <c r="AF386">
        <f>VLOOKUP(Table9[[#This Row],[Shortname]], Comp[], 29, FALSE)</f>
        <v>0</v>
      </c>
      <c r="AG386">
        <f>VLOOKUP(Table9[[#This Row],[Shortname]], Comp[], 30, FALSE)</f>
        <v>0</v>
      </c>
      <c r="AH386">
        <f>VLOOKUP(Table9[[#This Row],[Shortname]], Comp[], 31, FALSE)</f>
        <v>0</v>
      </c>
    </row>
    <row r="387" spans="1:34" x14ac:dyDescent="0.3">
      <c r="A387" t="s">
        <v>2570</v>
      </c>
      <c r="B387" t="s">
        <v>2572</v>
      </c>
      <c r="C387" t="s">
        <v>2573</v>
      </c>
      <c r="D387">
        <v>245</v>
      </c>
      <c r="E387">
        <v>1125</v>
      </c>
      <c r="F387">
        <v>1</v>
      </c>
      <c r="G387">
        <v>1</v>
      </c>
      <c r="I387">
        <f>VLOOKUP(Table9[[#This Row],[Shortname]], Comp[], 6, FALSE)</f>
        <v>340</v>
      </c>
      <c r="J387" s="14">
        <f>VLOOKUP(Table9[[#This Row],[Shortname]], Comp[], 7, FALSE)</f>
        <v>46.73</v>
      </c>
      <c r="K387">
        <f>VLOOKUP(Table9[[#This Row],[Shortname]], Comp[], 8, FALSE)</f>
        <v>29.96</v>
      </c>
      <c r="L387">
        <f>VLOOKUP(Table9[[#This Row],[Shortname]], Comp[], 9, FALSE)</f>
        <v>9.5399999999999991</v>
      </c>
      <c r="M387">
        <f>VLOOKUP(Table9[[#This Row],[Shortname]], Comp[], 10, FALSE)</f>
        <v>4.78</v>
      </c>
      <c r="N387">
        <f>VLOOKUP(Table9[[#This Row],[Shortname]], Comp[], 11, FALSE)</f>
        <v>0</v>
      </c>
      <c r="O387">
        <f>VLOOKUP(Table9[[#This Row],[Shortname]], Comp[],12, FALSE)</f>
        <v>2.13</v>
      </c>
      <c r="P387">
        <f>VLOOKUP(Table9[[#This Row],[Shortname]], Comp[], 13, FALSE)</f>
        <v>1.91</v>
      </c>
      <c r="Q387">
        <f>VLOOKUP(Table9[[#This Row],[Shortname]], Comp[], 14, FALSE)</f>
        <v>0</v>
      </c>
      <c r="R387">
        <f>VLOOKUP(Table9[[#This Row],[Shortname]], Comp[], 15, FALSE)</f>
        <v>0</v>
      </c>
      <c r="S387">
        <f>VLOOKUP(Table9[[#This Row],[Shortname]], Comp[], 16, FALSE)</f>
        <v>4.95</v>
      </c>
      <c r="T387">
        <f>VLOOKUP(Table9[[#This Row],[Shortname]], Comp[], 17, FALSE)</f>
        <v>0</v>
      </c>
      <c r="U387">
        <f>VLOOKUP(Table9[[#This Row],[Shortname]], Comp[], 18, FALSE)</f>
        <v>0</v>
      </c>
      <c r="V387">
        <f>VLOOKUP(Table9[[#This Row],[Shortname]], Comp[], 19, FALSE)</f>
        <v>0</v>
      </c>
      <c r="W387">
        <f>VLOOKUP(Table9[[#This Row],[Shortname]], Comp[], 20, FALSE)</f>
        <v>0</v>
      </c>
      <c r="X387">
        <f>VLOOKUP(Table9[[#This Row],[Shortname]], Comp[], 21, FALSE)</f>
        <v>0</v>
      </c>
      <c r="Y387">
        <f>VLOOKUP(Table9[[#This Row],[Shortname]], Comp[], 22, FALSE)</f>
        <v>0</v>
      </c>
      <c r="Z387">
        <f>VLOOKUP(Table9[[#This Row],[Shortname]], Comp[], 23, FALSE)</f>
        <v>0</v>
      </c>
      <c r="AA387">
        <f>VLOOKUP(Table9[[#This Row],[Shortname]], Comp[], 24, FALSE)</f>
        <v>0</v>
      </c>
      <c r="AB387">
        <f>VLOOKUP(Table9[[#This Row],[Shortname]], Comp[], 25, FALSE)</f>
        <v>0</v>
      </c>
      <c r="AC387">
        <f>VLOOKUP(Table9[[#This Row],[Shortname]], Comp[], 26, FALSE)</f>
        <v>0</v>
      </c>
      <c r="AD387">
        <f>VLOOKUP(Table9[[#This Row],[Shortname]], Comp[], 27, FALSE)</f>
        <v>0</v>
      </c>
      <c r="AE387">
        <f>VLOOKUP(Table9[[#This Row],[Shortname]], Comp[], 28, FALSE)</f>
        <v>0</v>
      </c>
      <c r="AF387">
        <f>VLOOKUP(Table9[[#This Row],[Shortname]], Comp[], 29, FALSE)</f>
        <v>0</v>
      </c>
      <c r="AG387">
        <f>VLOOKUP(Table9[[#This Row],[Shortname]], Comp[], 30, FALSE)</f>
        <v>0</v>
      </c>
      <c r="AH387">
        <f>VLOOKUP(Table9[[#This Row],[Shortname]], Comp[], 31, FALSE)</f>
        <v>0</v>
      </c>
    </row>
    <row r="388" spans="1:34" x14ac:dyDescent="0.3">
      <c r="A388" t="s">
        <v>4</v>
      </c>
      <c r="B388" t="s">
        <v>7</v>
      </c>
      <c r="C388" t="s">
        <v>6825</v>
      </c>
      <c r="D388">
        <v>238</v>
      </c>
      <c r="E388">
        <v>1125</v>
      </c>
      <c r="F388">
        <v>1</v>
      </c>
      <c r="G388">
        <v>1</v>
      </c>
      <c r="H388" t="s">
        <v>6807</v>
      </c>
      <c r="I388">
        <f>VLOOKUP(Table9[[#This Row],[Shortname]], Comp[], 6, FALSE)</f>
        <v>1</v>
      </c>
      <c r="J388" s="14">
        <f>VLOOKUP(Table9[[#This Row],[Shortname]], Comp[], 7, FALSE)</f>
        <v>41.800000000000004</v>
      </c>
      <c r="K388">
        <f>VLOOKUP(Table9[[#This Row],[Shortname]], Comp[], 8, FALSE)</f>
        <v>29.5</v>
      </c>
      <c r="L388">
        <f>VLOOKUP(Table9[[#This Row],[Shortname]], Comp[], 9, FALSE)</f>
        <v>9.6</v>
      </c>
      <c r="M388">
        <f>VLOOKUP(Table9[[#This Row],[Shortname]], Comp[], 10, FALSE)</f>
        <v>12.7</v>
      </c>
      <c r="N388">
        <f>VLOOKUP(Table9[[#This Row],[Shortname]], Comp[], 11, FALSE)</f>
        <v>0</v>
      </c>
      <c r="O388">
        <f>VLOOKUP(Table9[[#This Row],[Shortname]], Comp[],12, FALSE)</f>
        <v>4.5</v>
      </c>
      <c r="P388">
        <f>VLOOKUP(Table9[[#This Row],[Shortname]], Comp[], 13, FALSE)</f>
        <v>0</v>
      </c>
      <c r="Q388">
        <f>VLOOKUP(Table9[[#This Row],[Shortname]], Comp[], 14, FALSE)</f>
        <v>1.9</v>
      </c>
      <c r="R388">
        <f>VLOOKUP(Table9[[#This Row],[Shortname]], Comp[], 15, FALSE)</f>
        <v>0</v>
      </c>
      <c r="S388">
        <f>VLOOKUP(Table9[[#This Row],[Shortname]], Comp[], 16, FALSE)</f>
        <v>0</v>
      </c>
      <c r="T388">
        <f>VLOOKUP(Table9[[#This Row],[Shortname]], Comp[], 17, FALSE)</f>
        <v>0</v>
      </c>
      <c r="U388">
        <f>VLOOKUP(Table9[[#This Row],[Shortname]], Comp[], 18, FALSE)</f>
        <v>0</v>
      </c>
      <c r="V388">
        <f>VLOOKUP(Table9[[#This Row],[Shortname]], Comp[], 19, FALSE)</f>
        <v>0</v>
      </c>
      <c r="W388">
        <f>VLOOKUP(Table9[[#This Row],[Shortname]], Comp[], 20, FALSE)</f>
        <v>0</v>
      </c>
      <c r="X388">
        <f>VLOOKUP(Table9[[#This Row],[Shortname]], Comp[], 21, FALSE)</f>
        <v>0</v>
      </c>
      <c r="Y388">
        <f>VLOOKUP(Table9[[#This Row],[Shortname]], Comp[], 22, FALSE)</f>
        <v>0</v>
      </c>
      <c r="Z388">
        <f>VLOOKUP(Table9[[#This Row],[Shortname]], Comp[], 23, FALSE)</f>
        <v>0</v>
      </c>
      <c r="AA388">
        <f>VLOOKUP(Table9[[#This Row],[Shortname]], Comp[], 24, FALSE)</f>
        <v>0</v>
      </c>
      <c r="AB388">
        <f>VLOOKUP(Table9[[#This Row],[Shortname]], Comp[], 25, FALSE)</f>
        <v>0</v>
      </c>
      <c r="AC388">
        <f>VLOOKUP(Table9[[#This Row],[Shortname]], Comp[], 26, FALSE)</f>
        <v>0</v>
      </c>
      <c r="AD388">
        <f>VLOOKUP(Table9[[#This Row],[Shortname]], Comp[], 27, FALSE)</f>
        <v>0</v>
      </c>
      <c r="AE388">
        <f>VLOOKUP(Table9[[#This Row],[Shortname]], Comp[], 28, FALSE)</f>
        <v>0</v>
      </c>
      <c r="AF388">
        <f>VLOOKUP(Table9[[#This Row],[Shortname]], Comp[], 29, FALSE)</f>
        <v>0</v>
      </c>
      <c r="AG388">
        <f>VLOOKUP(Table9[[#This Row],[Shortname]], Comp[], 30, FALSE)</f>
        <v>0</v>
      </c>
      <c r="AH388">
        <f>VLOOKUP(Table9[[#This Row],[Shortname]], Comp[], 31, FALSE)</f>
        <v>0</v>
      </c>
    </row>
    <row r="389" spans="1:34" x14ac:dyDescent="0.3">
      <c r="A389" t="s">
        <v>4</v>
      </c>
      <c r="B389" t="s">
        <v>7</v>
      </c>
      <c r="C389" t="s">
        <v>6826</v>
      </c>
      <c r="D389">
        <v>233</v>
      </c>
      <c r="E389">
        <v>1025</v>
      </c>
      <c r="F389">
        <v>0.1</v>
      </c>
      <c r="G389">
        <v>1</v>
      </c>
      <c r="H389" t="s">
        <v>6807</v>
      </c>
      <c r="I389">
        <f>VLOOKUP(Table9[[#This Row],[Shortname]], Comp[], 6, FALSE)</f>
        <v>1</v>
      </c>
      <c r="J389" s="14">
        <f>VLOOKUP(Table9[[#This Row],[Shortname]], Comp[], 7, FALSE)</f>
        <v>41.800000000000004</v>
      </c>
      <c r="K389">
        <f>VLOOKUP(Table9[[#This Row],[Shortname]], Comp[], 8, FALSE)</f>
        <v>29.5</v>
      </c>
      <c r="L389">
        <f>VLOOKUP(Table9[[#This Row],[Shortname]], Comp[], 9, FALSE)</f>
        <v>9.6</v>
      </c>
      <c r="M389">
        <f>VLOOKUP(Table9[[#This Row],[Shortname]], Comp[], 10, FALSE)</f>
        <v>12.7</v>
      </c>
      <c r="N389">
        <f>VLOOKUP(Table9[[#This Row],[Shortname]], Comp[], 11, FALSE)</f>
        <v>0</v>
      </c>
      <c r="O389">
        <f>VLOOKUP(Table9[[#This Row],[Shortname]], Comp[],12, FALSE)</f>
        <v>4.5</v>
      </c>
      <c r="P389">
        <f>VLOOKUP(Table9[[#This Row],[Shortname]], Comp[], 13, FALSE)</f>
        <v>0</v>
      </c>
      <c r="Q389">
        <f>VLOOKUP(Table9[[#This Row],[Shortname]], Comp[], 14, FALSE)</f>
        <v>1.9</v>
      </c>
      <c r="R389">
        <f>VLOOKUP(Table9[[#This Row],[Shortname]], Comp[], 15, FALSE)</f>
        <v>0</v>
      </c>
      <c r="S389">
        <f>VLOOKUP(Table9[[#This Row],[Shortname]], Comp[], 16, FALSE)</f>
        <v>0</v>
      </c>
      <c r="T389">
        <f>VLOOKUP(Table9[[#This Row],[Shortname]], Comp[], 17, FALSE)</f>
        <v>0</v>
      </c>
      <c r="U389">
        <f>VLOOKUP(Table9[[#This Row],[Shortname]], Comp[], 18, FALSE)</f>
        <v>0</v>
      </c>
      <c r="V389">
        <f>VLOOKUP(Table9[[#This Row],[Shortname]], Comp[], 19, FALSE)</f>
        <v>0</v>
      </c>
      <c r="W389">
        <f>VLOOKUP(Table9[[#This Row],[Shortname]], Comp[], 20, FALSE)</f>
        <v>0</v>
      </c>
      <c r="X389">
        <f>VLOOKUP(Table9[[#This Row],[Shortname]], Comp[], 21, FALSE)</f>
        <v>0</v>
      </c>
      <c r="Y389">
        <f>VLOOKUP(Table9[[#This Row],[Shortname]], Comp[], 22, FALSE)</f>
        <v>0</v>
      </c>
      <c r="Z389">
        <f>VLOOKUP(Table9[[#This Row],[Shortname]], Comp[], 23, FALSE)</f>
        <v>0</v>
      </c>
      <c r="AA389">
        <f>VLOOKUP(Table9[[#This Row],[Shortname]], Comp[], 24, FALSE)</f>
        <v>0</v>
      </c>
      <c r="AB389">
        <f>VLOOKUP(Table9[[#This Row],[Shortname]], Comp[], 25, FALSE)</f>
        <v>0</v>
      </c>
      <c r="AC389">
        <f>VLOOKUP(Table9[[#This Row],[Shortname]], Comp[], 26, FALSE)</f>
        <v>0</v>
      </c>
      <c r="AD389">
        <f>VLOOKUP(Table9[[#This Row],[Shortname]], Comp[], 27, FALSE)</f>
        <v>0</v>
      </c>
      <c r="AE389">
        <f>VLOOKUP(Table9[[#This Row],[Shortname]], Comp[], 28, FALSE)</f>
        <v>0</v>
      </c>
      <c r="AF389">
        <f>VLOOKUP(Table9[[#This Row],[Shortname]], Comp[], 29, FALSE)</f>
        <v>0</v>
      </c>
      <c r="AG389">
        <f>VLOOKUP(Table9[[#This Row],[Shortname]], Comp[], 30, FALSE)</f>
        <v>0</v>
      </c>
      <c r="AH389">
        <f>VLOOKUP(Table9[[#This Row],[Shortname]], Comp[], 31, FALSE)</f>
        <v>0</v>
      </c>
    </row>
    <row r="390" spans="1:34" x14ac:dyDescent="0.3">
      <c r="A390" t="s">
        <v>983</v>
      </c>
      <c r="B390" t="s">
        <v>5230</v>
      </c>
      <c r="C390" t="s">
        <v>5231</v>
      </c>
      <c r="D390">
        <v>229</v>
      </c>
      <c r="E390">
        <v>902</v>
      </c>
      <c r="F390">
        <v>1E-4</v>
      </c>
      <c r="G390">
        <v>1</v>
      </c>
      <c r="H390" t="s">
        <v>6803</v>
      </c>
      <c r="I390">
        <f>VLOOKUP(Table9[[#This Row],[Shortname]], Comp[], 6, FALSE)</f>
        <v>127</v>
      </c>
      <c r="J390" s="14">
        <f>VLOOKUP(Table9[[#This Row],[Shortname]], Comp[], 7, FALSE)</f>
        <v>77</v>
      </c>
      <c r="K390">
        <f>VLOOKUP(Table9[[#This Row],[Shortname]], Comp[], 8, FALSE)</f>
        <v>0</v>
      </c>
      <c r="L390">
        <f>VLOOKUP(Table9[[#This Row],[Shortname]], Comp[], 9, FALSE)</f>
        <v>12</v>
      </c>
      <c r="M390">
        <f>VLOOKUP(Table9[[#This Row],[Shortname]], Comp[], 10, FALSE)</f>
        <v>0</v>
      </c>
      <c r="N390">
        <f>VLOOKUP(Table9[[#This Row],[Shortname]], Comp[], 11, FALSE)</f>
        <v>11</v>
      </c>
      <c r="O390">
        <f>VLOOKUP(Table9[[#This Row],[Shortname]], Comp[],12, FALSE)</f>
        <v>0</v>
      </c>
      <c r="P390">
        <f>VLOOKUP(Table9[[#This Row],[Shortname]], Comp[], 13, FALSE)</f>
        <v>0</v>
      </c>
      <c r="Q390">
        <f>VLOOKUP(Table9[[#This Row],[Shortname]], Comp[], 14, FALSE)</f>
        <v>0</v>
      </c>
      <c r="R390">
        <f>VLOOKUP(Table9[[#This Row],[Shortname]], Comp[], 15, FALSE)</f>
        <v>0</v>
      </c>
      <c r="S390">
        <f>VLOOKUP(Table9[[#This Row],[Shortname]], Comp[], 16, FALSE)</f>
        <v>0</v>
      </c>
      <c r="T390">
        <f>VLOOKUP(Table9[[#This Row],[Shortname]], Comp[], 17, FALSE)</f>
        <v>0</v>
      </c>
      <c r="U390">
        <f>VLOOKUP(Table9[[#This Row],[Shortname]], Comp[], 18, FALSE)</f>
        <v>0</v>
      </c>
      <c r="V390">
        <f>VLOOKUP(Table9[[#This Row],[Shortname]], Comp[], 19, FALSE)</f>
        <v>0</v>
      </c>
      <c r="W390">
        <f>VLOOKUP(Table9[[#This Row],[Shortname]], Comp[], 20, FALSE)</f>
        <v>0</v>
      </c>
      <c r="X390">
        <f>VLOOKUP(Table9[[#This Row],[Shortname]], Comp[], 21, FALSE)</f>
        <v>0</v>
      </c>
      <c r="Y390">
        <f>VLOOKUP(Table9[[#This Row],[Shortname]], Comp[], 22, FALSE)</f>
        <v>0</v>
      </c>
      <c r="Z390">
        <f>VLOOKUP(Table9[[#This Row],[Shortname]], Comp[], 23, FALSE)</f>
        <v>0</v>
      </c>
      <c r="AA390">
        <f>VLOOKUP(Table9[[#This Row],[Shortname]], Comp[], 24, FALSE)</f>
        <v>0</v>
      </c>
      <c r="AB390">
        <f>VLOOKUP(Table9[[#This Row],[Shortname]], Comp[], 25, FALSE)</f>
        <v>0</v>
      </c>
      <c r="AC390">
        <f>VLOOKUP(Table9[[#This Row],[Shortname]], Comp[], 26, FALSE)</f>
        <v>0</v>
      </c>
      <c r="AD390">
        <f>VLOOKUP(Table9[[#This Row],[Shortname]], Comp[], 27, FALSE)</f>
        <v>0</v>
      </c>
      <c r="AE390">
        <f>VLOOKUP(Table9[[#This Row],[Shortname]], Comp[], 28, FALSE)</f>
        <v>0</v>
      </c>
      <c r="AF390">
        <f>VLOOKUP(Table9[[#This Row],[Shortname]], Comp[], 29, FALSE)</f>
        <v>0</v>
      </c>
      <c r="AG390">
        <f>VLOOKUP(Table9[[#This Row],[Shortname]], Comp[], 30, FALSE)</f>
        <v>0</v>
      </c>
      <c r="AH390">
        <f>VLOOKUP(Table9[[#This Row],[Shortname]], Comp[], 31, FALSE)</f>
        <v>0</v>
      </c>
    </row>
    <row r="391" spans="1:34" x14ac:dyDescent="0.3">
      <c r="A391" t="s">
        <v>3168</v>
      </c>
      <c r="B391" t="s">
        <v>3170</v>
      </c>
      <c r="C391" t="s">
        <v>3157</v>
      </c>
      <c r="D391">
        <v>224</v>
      </c>
      <c r="E391">
        <v>1000</v>
      </c>
      <c r="F391">
        <v>1E-4</v>
      </c>
      <c r="G391">
        <v>1</v>
      </c>
      <c r="H391" t="s">
        <v>6803</v>
      </c>
      <c r="I391">
        <f>VLOOKUP(Table9[[#This Row],[Shortname]], Comp[], 6, FALSE)</f>
        <v>442</v>
      </c>
      <c r="J391" s="14">
        <f>VLOOKUP(Table9[[#This Row],[Shortname]], Comp[], 7, FALSE)</f>
        <v>78</v>
      </c>
      <c r="K391">
        <f>VLOOKUP(Table9[[#This Row],[Shortname]], Comp[], 8, FALSE)</f>
        <v>2</v>
      </c>
      <c r="L391">
        <f>VLOOKUP(Table9[[#This Row],[Shortname]], Comp[], 9, FALSE)</f>
        <v>0</v>
      </c>
      <c r="M391">
        <f>VLOOKUP(Table9[[#This Row],[Shortname]], Comp[], 10, FALSE)</f>
        <v>0</v>
      </c>
      <c r="N391">
        <f>VLOOKUP(Table9[[#This Row],[Shortname]], Comp[], 11, FALSE)</f>
        <v>0</v>
      </c>
      <c r="O391">
        <f>VLOOKUP(Table9[[#This Row],[Shortname]], Comp[],12, FALSE)</f>
        <v>5</v>
      </c>
      <c r="P391">
        <f>VLOOKUP(Table9[[#This Row],[Shortname]], Comp[], 13, FALSE)</f>
        <v>0</v>
      </c>
      <c r="Q391">
        <f>VLOOKUP(Table9[[#This Row],[Shortname]], Comp[], 14, FALSE)</f>
        <v>0</v>
      </c>
      <c r="R391">
        <f>VLOOKUP(Table9[[#This Row],[Shortname]], Comp[], 15, FALSE)</f>
        <v>15</v>
      </c>
      <c r="S391">
        <f>VLOOKUP(Table9[[#This Row],[Shortname]], Comp[], 16, FALSE)</f>
        <v>0</v>
      </c>
      <c r="T391">
        <f>VLOOKUP(Table9[[#This Row],[Shortname]], Comp[], 17, FALSE)</f>
        <v>0</v>
      </c>
      <c r="U391">
        <f>VLOOKUP(Table9[[#This Row],[Shortname]], Comp[], 18, FALSE)</f>
        <v>0</v>
      </c>
      <c r="V391">
        <f>VLOOKUP(Table9[[#This Row],[Shortname]], Comp[], 19, FALSE)</f>
        <v>0</v>
      </c>
      <c r="W391">
        <f>VLOOKUP(Table9[[#This Row],[Shortname]], Comp[], 20, FALSE)</f>
        <v>0</v>
      </c>
      <c r="X391">
        <f>VLOOKUP(Table9[[#This Row],[Shortname]], Comp[], 21, FALSE)</f>
        <v>0</v>
      </c>
      <c r="Y391">
        <f>VLOOKUP(Table9[[#This Row],[Shortname]], Comp[], 22, FALSE)</f>
        <v>0</v>
      </c>
      <c r="Z391">
        <f>VLOOKUP(Table9[[#This Row],[Shortname]], Comp[], 23, FALSE)</f>
        <v>0</v>
      </c>
      <c r="AA391">
        <f>VLOOKUP(Table9[[#This Row],[Shortname]], Comp[], 24, FALSE)</f>
        <v>0</v>
      </c>
      <c r="AB391">
        <f>VLOOKUP(Table9[[#This Row],[Shortname]], Comp[], 25, FALSE)</f>
        <v>0</v>
      </c>
      <c r="AC391">
        <f>VLOOKUP(Table9[[#This Row],[Shortname]], Comp[], 26, FALSE)</f>
        <v>0</v>
      </c>
      <c r="AD391">
        <f>VLOOKUP(Table9[[#This Row],[Shortname]], Comp[], 27, FALSE)</f>
        <v>0</v>
      </c>
      <c r="AE391">
        <f>VLOOKUP(Table9[[#This Row],[Shortname]], Comp[], 28, FALSE)</f>
        <v>0</v>
      </c>
      <c r="AF391">
        <f>VLOOKUP(Table9[[#This Row],[Shortname]], Comp[], 29, FALSE)</f>
        <v>0</v>
      </c>
      <c r="AG391">
        <f>VLOOKUP(Table9[[#This Row],[Shortname]], Comp[], 30, FALSE)</f>
        <v>0</v>
      </c>
      <c r="AH391">
        <f>VLOOKUP(Table9[[#This Row],[Shortname]], Comp[], 31, FALSE)</f>
        <v>0</v>
      </c>
    </row>
    <row r="392" spans="1:34" x14ac:dyDescent="0.3">
      <c r="A392" t="s">
        <v>4232</v>
      </c>
      <c r="B392" t="s">
        <v>4234</v>
      </c>
      <c r="C392" t="s">
        <v>4235</v>
      </c>
      <c r="D392">
        <v>217</v>
      </c>
      <c r="E392">
        <v>1000</v>
      </c>
      <c r="F392">
        <v>1E-4</v>
      </c>
      <c r="G392">
        <v>1</v>
      </c>
      <c r="H392" t="s">
        <v>6803</v>
      </c>
      <c r="I392">
        <f>VLOOKUP(Table9[[#This Row],[Shortname]], Comp[], 6, FALSE)</f>
        <v>644</v>
      </c>
      <c r="J392" s="14">
        <f>VLOOKUP(Table9[[#This Row],[Shortname]], Comp[], 7, FALSE)</f>
        <v>74</v>
      </c>
      <c r="K392">
        <f>VLOOKUP(Table9[[#This Row],[Shortname]], Comp[], 8, FALSE)</f>
        <v>0</v>
      </c>
      <c r="L392">
        <f>VLOOKUP(Table9[[#This Row],[Shortname]], Comp[], 9, FALSE)</f>
        <v>0</v>
      </c>
      <c r="M392">
        <f>VLOOKUP(Table9[[#This Row],[Shortname]], Comp[], 10, FALSE)</f>
        <v>15</v>
      </c>
      <c r="N392">
        <f>VLOOKUP(Table9[[#This Row],[Shortname]], Comp[], 11, FALSE)</f>
        <v>0</v>
      </c>
      <c r="O392">
        <f>VLOOKUP(Table9[[#This Row],[Shortname]], Comp[],12, FALSE)</f>
        <v>11</v>
      </c>
      <c r="P392">
        <f>VLOOKUP(Table9[[#This Row],[Shortname]], Comp[], 13, FALSE)</f>
        <v>0</v>
      </c>
      <c r="Q392">
        <f>VLOOKUP(Table9[[#This Row],[Shortname]], Comp[], 14, FALSE)</f>
        <v>0</v>
      </c>
      <c r="R392">
        <f>VLOOKUP(Table9[[#This Row],[Shortname]], Comp[], 15, FALSE)</f>
        <v>0</v>
      </c>
      <c r="S392">
        <f>VLOOKUP(Table9[[#This Row],[Shortname]], Comp[], 16, FALSE)</f>
        <v>0</v>
      </c>
      <c r="T392">
        <f>VLOOKUP(Table9[[#This Row],[Shortname]], Comp[], 17, FALSE)</f>
        <v>0</v>
      </c>
      <c r="U392">
        <f>VLOOKUP(Table9[[#This Row],[Shortname]], Comp[], 18, FALSE)</f>
        <v>0</v>
      </c>
      <c r="V392">
        <f>VLOOKUP(Table9[[#This Row],[Shortname]], Comp[], 19, FALSE)</f>
        <v>0</v>
      </c>
      <c r="W392">
        <f>VLOOKUP(Table9[[#This Row],[Shortname]], Comp[], 20, FALSE)</f>
        <v>0</v>
      </c>
      <c r="X392">
        <f>VLOOKUP(Table9[[#This Row],[Shortname]], Comp[], 21, FALSE)</f>
        <v>0</v>
      </c>
      <c r="Y392">
        <f>VLOOKUP(Table9[[#This Row],[Shortname]], Comp[], 22, FALSE)</f>
        <v>0</v>
      </c>
      <c r="Z392">
        <f>VLOOKUP(Table9[[#This Row],[Shortname]], Comp[], 23, FALSE)</f>
        <v>0</v>
      </c>
      <c r="AA392">
        <f>VLOOKUP(Table9[[#This Row],[Shortname]], Comp[], 24, FALSE)</f>
        <v>0</v>
      </c>
      <c r="AB392">
        <f>VLOOKUP(Table9[[#This Row],[Shortname]], Comp[], 25, FALSE)</f>
        <v>0</v>
      </c>
      <c r="AC392">
        <f>VLOOKUP(Table9[[#This Row],[Shortname]], Comp[], 26, FALSE)</f>
        <v>0</v>
      </c>
      <c r="AD392">
        <f>VLOOKUP(Table9[[#This Row],[Shortname]], Comp[], 27, FALSE)</f>
        <v>0</v>
      </c>
      <c r="AE392">
        <f>VLOOKUP(Table9[[#This Row],[Shortname]], Comp[], 28, FALSE)</f>
        <v>0</v>
      </c>
      <c r="AF392">
        <f>VLOOKUP(Table9[[#This Row],[Shortname]], Comp[], 29, FALSE)</f>
        <v>0</v>
      </c>
      <c r="AG392">
        <f>VLOOKUP(Table9[[#This Row],[Shortname]], Comp[], 30, FALSE)</f>
        <v>0</v>
      </c>
      <c r="AH392">
        <f>VLOOKUP(Table9[[#This Row],[Shortname]], Comp[], 31, FALSE)</f>
        <v>0</v>
      </c>
    </row>
    <row r="393" spans="1:34" x14ac:dyDescent="0.3">
      <c r="A393" t="s">
        <v>2570</v>
      </c>
      <c r="B393" t="s">
        <v>2572</v>
      </c>
      <c r="C393" t="s">
        <v>2573</v>
      </c>
      <c r="D393">
        <v>213</v>
      </c>
      <c r="E393">
        <v>1175</v>
      </c>
      <c r="F393">
        <v>1</v>
      </c>
      <c r="G393">
        <v>1</v>
      </c>
      <c r="I393">
        <f>VLOOKUP(Table9[[#This Row],[Shortname]], Comp[], 6, FALSE)</f>
        <v>340</v>
      </c>
      <c r="J393" s="14">
        <f>VLOOKUP(Table9[[#This Row],[Shortname]], Comp[], 7, FALSE)</f>
        <v>46.73</v>
      </c>
      <c r="K393">
        <f>VLOOKUP(Table9[[#This Row],[Shortname]], Comp[], 8, FALSE)</f>
        <v>29.96</v>
      </c>
      <c r="L393">
        <f>VLOOKUP(Table9[[#This Row],[Shortname]], Comp[], 9, FALSE)</f>
        <v>9.5399999999999991</v>
      </c>
      <c r="M393">
        <f>VLOOKUP(Table9[[#This Row],[Shortname]], Comp[], 10, FALSE)</f>
        <v>4.78</v>
      </c>
      <c r="N393">
        <f>VLOOKUP(Table9[[#This Row],[Shortname]], Comp[], 11, FALSE)</f>
        <v>0</v>
      </c>
      <c r="O393">
        <f>VLOOKUP(Table9[[#This Row],[Shortname]], Comp[],12, FALSE)</f>
        <v>2.13</v>
      </c>
      <c r="P393">
        <f>VLOOKUP(Table9[[#This Row],[Shortname]], Comp[], 13, FALSE)</f>
        <v>1.91</v>
      </c>
      <c r="Q393">
        <f>VLOOKUP(Table9[[#This Row],[Shortname]], Comp[], 14, FALSE)</f>
        <v>0</v>
      </c>
      <c r="R393">
        <f>VLOOKUP(Table9[[#This Row],[Shortname]], Comp[], 15, FALSE)</f>
        <v>0</v>
      </c>
      <c r="S393">
        <f>VLOOKUP(Table9[[#This Row],[Shortname]], Comp[], 16, FALSE)</f>
        <v>4.95</v>
      </c>
      <c r="T393">
        <f>VLOOKUP(Table9[[#This Row],[Shortname]], Comp[], 17, FALSE)</f>
        <v>0</v>
      </c>
      <c r="U393">
        <f>VLOOKUP(Table9[[#This Row],[Shortname]], Comp[], 18, FALSE)</f>
        <v>0</v>
      </c>
      <c r="V393">
        <f>VLOOKUP(Table9[[#This Row],[Shortname]], Comp[], 19, FALSE)</f>
        <v>0</v>
      </c>
      <c r="W393">
        <f>VLOOKUP(Table9[[#This Row],[Shortname]], Comp[], 20, FALSE)</f>
        <v>0</v>
      </c>
      <c r="X393">
        <f>VLOOKUP(Table9[[#This Row],[Shortname]], Comp[], 21, FALSE)</f>
        <v>0</v>
      </c>
      <c r="Y393">
        <f>VLOOKUP(Table9[[#This Row],[Shortname]], Comp[], 22, FALSE)</f>
        <v>0</v>
      </c>
      <c r="Z393">
        <f>VLOOKUP(Table9[[#This Row],[Shortname]], Comp[], 23, FALSE)</f>
        <v>0</v>
      </c>
      <c r="AA393">
        <f>VLOOKUP(Table9[[#This Row],[Shortname]], Comp[], 24, FALSE)</f>
        <v>0</v>
      </c>
      <c r="AB393">
        <f>VLOOKUP(Table9[[#This Row],[Shortname]], Comp[], 25, FALSE)</f>
        <v>0</v>
      </c>
      <c r="AC393">
        <f>VLOOKUP(Table9[[#This Row],[Shortname]], Comp[], 26, FALSE)</f>
        <v>0</v>
      </c>
      <c r="AD393">
        <f>VLOOKUP(Table9[[#This Row],[Shortname]], Comp[], 27, FALSE)</f>
        <v>0</v>
      </c>
      <c r="AE393">
        <f>VLOOKUP(Table9[[#This Row],[Shortname]], Comp[], 28, FALSE)</f>
        <v>0</v>
      </c>
      <c r="AF393">
        <f>VLOOKUP(Table9[[#This Row],[Shortname]], Comp[], 29, FALSE)</f>
        <v>0</v>
      </c>
      <c r="AG393">
        <f>VLOOKUP(Table9[[#This Row],[Shortname]], Comp[], 30, FALSE)</f>
        <v>0</v>
      </c>
      <c r="AH393">
        <f>VLOOKUP(Table9[[#This Row],[Shortname]], Comp[], 31, FALSE)</f>
        <v>0</v>
      </c>
    </row>
    <row r="394" spans="1:34" x14ac:dyDescent="0.3">
      <c r="A394" t="s">
        <v>4</v>
      </c>
      <c r="B394" t="s">
        <v>7</v>
      </c>
      <c r="C394" t="s">
        <v>6827</v>
      </c>
      <c r="D394">
        <v>210</v>
      </c>
      <c r="E394">
        <v>1175</v>
      </c>
      <c r="F394">
        <v>10</v>
      </c>
      <c r="G394">
        <v>1</v>
      </c>
      <c r="H394" t="s">
        <v>6807</v>
      </c>
      <c r="I394">
        <f>VLOOKUP(Table9[[#This Row],[Shortname]], Comp[], 6, FALSE)</f>
        <v>1</v>
      </c>
      <c r="J394" s="14">
        <f>VLOOKUP(Table9[[#This Row],[Shortname]], Comp[], 7, FALSE)</f>
        <v>41.800000000000004</v>
      </c>
      <c r="K394">
        <f>VLOOKUP(Table9[[#This Row],[Shortname]], Comp[], 8, FALSE)</f>
        <v>29.5</v>
      </c>
      <c r="L394">
        <f>VLOOKUP(Table9[[#This Row],[Shortname]], Comp[], 9, FALSE)</f>
        <v>9.6</v>
      </c>
      <c r="M394">
        <f>VLOOKUP(Table9[[#This Row],[Shortname]], Comp[], 10, FALSE)</f>
        <v>12.7</v>
      </c>
      <c r="N394">
        <f>VLOOKUP(Table9[[#This Row],[Shortname]], Comp[], 11, FALSE)</f>
        <v>0</v>
      </c>
      <c r="O394">
        <f>VLOOKUP(Table9[[#This Row],[Shortname]], Comp[],12, FALSE)</f>
        <v>4.5</v>
      </c>
      <c r="P394">
        <f>VLOOKUP(Table9[[#This Row],[Shortname]], Comp[], 13, FALSE)</f>
        <v>0</v>
      </c>
      <c r="Q394">
        <f>VLOOKUP(Table9[[#This Row],[Shortname]], Comp[], 14, FALSE)</f>
        <v>1.9</v>
      </c>
      <c r="R394">
        <f>VLOOKUP(Table9[[#This Row],[Shortname]], Comp[], 15, FALSE)</f>
        <v>0</v>
      </c>
      <c r="S394">
        <f>VLOOKUP(Table9[[#This Row],[Shortname]], Comp[], 16, FALSE)</f>
        <v>0</v>
      </c>
      <c r="T394">
        <f>VLOOKUP(Table9[[#This Row],[Shortname]], Comp[], 17, FALSE)</f>
        <v>0</v>
      </c>
      <c r="U394">
        <f>VLOOKUP(Table9[[#This Row],[Shortname]], Comp[], 18, FALSE)</f>
        <v>0</v>
      </c>
      <c r="V394">
        <f>VLOOKUP(Table9[[#This Row],[Shortname]], Comp[], 19, FALSE)</f>
        <v>0</v>
      </c>
      <c r="W394">
        <f>VLOOKUP(Table9[[#This Row],[Shortname]], Comp[], 20, FALSE)</f>
        <v>0</v>
      </c>
      <c r="X394">
        <f>VLOOKUP(Table9[[#This Row],[Shortname]], Comp[], 21, FALSE)</f>
        <v>0</v>
      </c>
      <c r="Y394">
        <f>VLOOKUP(Table9[[#This Row],[Shortname]], Comp[], 22, FALSE)</f>
        <v>0</v>
      </c>
      <c r="Z394">
        <f>VLOOKUP(Table9[[#This Row],[Shortname]], Comp[], 23, FALSE)</f>
        <v>0</v>
      </c>
      <c r="AA394">
        <f>VLOOKUP(Table9[[#This Row],[Shortname]], Comp[], 24, FALSE)</f>
        <v>0</v>
      </c>
      <c r="AB394">
        <f>VLOOKUP(Table9[[#This Row],[Shortname]], Comp[], 25, FALSE)</f>
        <v>0</v>
      </c>
      <c r="AC394">
        <f>VLOOKUP(Table9[[#This Row],[Shortname]], Comp[], 26, FALSE)</f>
        <v>0</v>
      </c>
      <c r="AD394">
        <f>VLOOKUP(Table9[[#This Row],[Shortname]], Comp[], 27, FALSE)</f>
        <v>0</v>
      </c>
      <c r="AE394">
        <f>VLOOKUP(Table9[[#This Row],[Shortname]], Comp[], 28, FALSE)</f>
        <v>0</v>
      </c>
      <c r="AF394">
        <f>VLOOKUP(Table9[[#This Row],[Shortname]], Comp[], 29, FALSE)</f>
        <v>0</v>
      </c>
      <c r="AG394">
        <f>VLOOKUP(Table9[[#This Row],[Shortname]], Comp[], 30, FALSE)</f>
        <v>0</v>
      </c>
      <c r="AH394">
        <f>VLOOKUP(Table9[[#This Row],[Shortname]], Comp[], 31, FALSE)</f>
        <v>0</v>
      </c>
    </row>
    <row r="395" spans="1:34" x14ac:dyDescent="0.3">
      <c r="A395" t="s">
        <v>2901</v>
      </c>
      <c r="B395" t="s">
        <v>5256</v>
      </c>
      <c r="C395" t="s">
        <v>3480</v>
      </c>
      <c r="D395">
        <v>206</v>
      </c>
      <c r="E395">
        <v>740</v>
      </c>
      <c r="F395">
        <v>1E-4</v>
      </c>
      <c r="G395">
        <v>1</v>
      </c>
      <c r="H395" t="s">
        <v>6803</v>
      </c>
      <c r="I395">
        <f>VLOOKUP(Table9[[#This Row],[Shortname]], Comp[], 6, FALSE)</f>
        <v>395</v>
      </c>
      <c r="J395" s="14">
        <f>VLOOKUP(Table9[[#This Row],[Shortname]], Comp[], 7, FALSE)</f>
        <v>79.400000000000006</v>
      </c>
      <c r="K395">
        <f>VLOOKUP(Table9[[#This Row],[Shortname]], Comp[], 8, FALSE)</f>
        <v>0</v>
      </c>
      <c r="L395">
        <f>VLOOKUP(Table9[[#This Row],[Shortname]], Comp[], 9, FALSE)</f>
        <v>8.8000000000000007</v>
      </c>
      <c r="M395">
        <f>VLOOKUP(Table9[[#This Row],[Shortname]], Comp[], 10, FALSE)</f>
        <v>0</v>
      </c>
      <c r="N395">
        <f>VLOOKUP(Table9[[#This Row],[Shortname]], Comp[], 11, FALSE)</f>
        <v>9.8000000000000007</v>
      </c>
      <c r="O395">
        <f>VLOOKUP(Table9[[#This Row],[Shortname]], Comp[],12, FALSE)</f>
        <v>0</v>
      </c>
      <c r="P395">
        <f>VLOOKUP(Table9[[#This Row],[Shortname]], Comp[], 13, FALSE)</f>
        <v>0</v>
      </c>
      <c r="Q395">
        <f>VLOOKUP(Table9[[#This Row],[Shortname]], Comp[], 14, FALSE)</f>
        <v>0</v>
      </c>
      <c r="R395">
        <f>VLOOKUP(Table9[[#This Row],[Shortname]], Comp[], 15, FALSE)</f>
        <v>0</v>
      </c>
      <c r="S395">
        <f>VLOOKUP(Table9[[#This Row],[Shortname]], Comp[], 16, FALSE)</f>
        <v>0</v>
      </c>
      <c r="T395">
        <f>VLOOKUP(Table9[[#This Row],[Shortname]], Comp[], 17, FALSE)</f>
        <v>0</v>
      </c>
      <c r="U395">
        <f>VLOOKUP(Table9[[#This Row],[Shortname]], Comp[], 18, FALSE)</f>
        <v>0</v>
      </c>
      <c r="V395">
        <f>VLOOKUP(Table9[[#This Row],[Shortname]], Comp[], 19, FALSE)</f>
        <v>0</v>
      </c>
      <c r="W395">
        <f>VLOOKUP(Table9[[#This Row],[Shortname]], Comp[], 20, FALSE)</f>
        <v>0</v>
      </c>
      <c r="X395">
        <f>VLOOKUP(Table9[[#This Row],[Shortname]], Comp[], 21, FALSE)</f>
        <v>2</v>
      </c>
      <c r="Y395">
        <f>VLOOKUP(Table9[[#This Row],[Shortname]], Comp[], 22, FALSE)</f>
        <v>0</v>
      </c>
      <c r="Z395">
        <f>VLOOKUP(Table9[[#This Row],[Shortname]], Comp[], 23, FALSE)</f>
        <v>0</v>
      </c>
      <c r="AA395">
        <f>VLOOKUP(Table9[[#This Row],[Shortname]], Comp[], 24, FALSE)</f>
        <v>0</v>
      </c>
      <c r="AB395">
        <f>VLOOKUP(Table9[[#This Row],[Shortname]], Comp[], 25, FALSE)</f>
        <v>0</v>
      </c>
      <c r="AC395">
        <f>VLOOKUP(Table9[[#This Row],[Shortname]], Comp[], 26, FALSE)</f>
        <v>0</v>
      </c>
      <c r="AD395">
        <f>VLOOKUP(Table9[[#This Row],[Shortname]], Comp[], 27, FALSE)</f>
        <v>0</v>
      </c>
      <c r="AE395">
        <f>VLOOKUP(Table9[[#This Row],[Shortname]], Comp[], 28, FALSE)</f>
        <v>0</v>
      </c>
      <c r="AF395">
        <f>VLOOKUP(Table9[[#This Row],[Shortname]], Comp[], 29, FALSE)</f>
        <v>0</v>
      </c>
      <c r="AG395">
        <f>VLOOKUP(Table9[[#This Row],[Shortname]], Comp[], 30, FALSE)</f>
        <v>0</v>
      </c>
      <c r="AH395">
        <f>VLOOKUP(Table9[[#This Row],[Shortname]], Comp[], 31, FALSE)</f>
        <v>0</v>
      </c>
    </row>
    <row r="396" spans="1:34" x14ac:dyDescent="0.3">
      <c r="A396" t="s">
        <v>3420</v>
      </c>
      <c r="B396" t="s">
        <v>3420</v>
      </c>
      <c r="C396" t="s">
        <v>3401</v>
      </c>
      <c r="D396">
        <v>198</v>
      </c>
      <c r="E396">
        <v>980</v>
      </c>
      <c r="F396">
        <v>2.0000000000000001E-4</v>
      </c>
      <c r="G396">
        <v>1</v>
      </c>
      <c r="H396" t="s">
        <v>6803</v>
      </c>
      <c r="I396">
        <f>VLOOKUP(Table9[[#This Row],[Shortname]], Comp[], 6, FALSE)</f>
        <v>486</v>
      </c>
      <c r="J396" s="14">
        <f>VLOOKUP(Table9[[#This Row],[Shortname]], Comp[], 7, FALSE)</f>
        <v>80.3</v>
      </c>
      <c r="K396">
        <f>VLOOKUP(Table9[[#This Row],[Shortname]], Comp[], 8, FALSE)</f>
        <v>0</v>
      </c>
      <c r="L396">
        <f>VLOOKUP(Table9[[#This Row],[Shortname]], Comp[], 9, FALSE)</f>
        <v>9.3000000000000007</v>
      </c>
      <c r="M396">
        <f>VLOOKUP(Table9[[#This Row],[Shortname]], Comp[], 10, FALSE)</f>
        <v>0</v>
      </c>
      <c r="N396">
        <f>VLOOKUP(Table9[[#This Row],[Shortname]], Comp[], 11, FALSE)</f>
        <v>10.4</v>
      </c>
      <c r="O396">
        <f>VLOOKUP(Table9[[#This Row],[Shortname]], Comp[],12, FALSE)</f>
        <v>0</v>
      </c>
      <c r="P396">
        <f>VLOOKUP(Table9[[#This Row],[Shortname]], Comp[], 13, FALSE)</f>
        <v>0</v>
      </c>
      <c r="Q396">
        <f>VLOOKUP(Table9[[#This Row],[Shortname]], Comp[], 14, FALSE)</f>
        <v>0</v>
      </c>
      <c r="R396">
        <f>VLOOKUP(Table9[[#This Row],[Shortname]], Comp[], 15, FALSE)</f>
        <v>0</v>
      </c>
      <c r="S396">
        <f>VLOOKUP(Table9[[#This Row],[Shortname]], Comp[], 16, FALSE)</f>
        <v>0</v>
      </c>
      <c r="T396">
        <f>VLOOKUP(Table9[[#This Row],[Shortname]], Comp[], 17, FALSE)</f>
        <v>0</v>
      </c>
      <c r="U396">
        <f>VLOOKUP(Table9[[#This Row],[Shortname]], Comp[], 18, FALSE)</f>
        <v>0</v>
      </c>
      <c r="V396">
        <f>VLOOKUP(Table9[[#This Row],[Shortname]], Comp[], 19, FALSE)</f>
        <v>0</v>
      </c>
      <c r="W396">
        <f>VLOOKUP(Table9[[#This Row],[Shortname]], Comp[], 20, FALSE)</f>
        <v>0</v>
      </c>
      <c r="X396">
        <f>VLOOKUP(Table9[[#This Row],[Shortname]], Comp[], 21, FALSE)</f>
        <v>0</v>
      </c>
      <c r="Y396">
        <f>VLOOKUP(Table9[[#This Row],[Shortname]], Comp[], 22, FALSE)</f>
        <v>0</v>
      </c>
      <c r="Z396">
        <f>VLOOKUP(Table9[[#This Row],[Shortname]], Comp[], 23, FALSE)</f>
        <v>0</v>
      </c>
      <c r="AA396">
        <f>VLOOKUP(Table9[[#This Row],[Shortname]], Comp[], 24, FALSE)</f>
        <v>0</v>
      </c>
      <c r="AB396">
        <f>VLOOKUP(Table9[[#This Row],[Shortname]], Comp[], 25, FALSE)</f>
        <v>0</v>
      </c>
      <c r="AC396">
        <f>VLOOKUP(Table9[[#This Row],[Shortname]], Comp[], 26, FALSE)</f>
        <v>0</v>
      </c>
      <c r="AD396">
        <f>VLOOKUP(Table9[[#This Row],[Shortname]], Comp[], 27, FALSE)</f>
        <v>0</v>
      </c>
      <c r="AE396">
        <f>VLOOKUP(Table9[[#This Row],[Shortname]], Comp[], 28, FALSE)</f>
        <v>0</v>
      </c>
      <c r="AF396">
        <f>VLOOKUP(Table9[[#This Row],[Shortname]], Comp[], 29, FALSE)</f>
        <v>0</v>
      </c>
      <c r="AG396">
        <f>VLOOKUP(Table9[[#This Row],[Shortname]], Comp[], 30, FALSE)</f>
        <v>0</v>
      </c>
      <c r="AH396">
        <f>VLOOKUP(Table9[[#This Row],[Shortname]], Comp[], 31, FALSE)</f>
        <v>0</v>
      </c>
    </row>
    <row r="397" spans="1:34" x14ac:dyDescent="0.3">
      <c r="A397" t="s">
        <v>3154</v>
      </c>
      <c r="B397" t="s">
        <v>3156</v>
      </c>
      <c r="C397" t="s">
        <v>3157</v>
      </c>
      <c r="D397">
        <v>197</v>
      </c>
      <c r="E397">
        <v>1000</v>
      </c>
      <c r="F397">
        <v>1E-4</v>
      </c>
      <c r="G397">
        <v>1</v>
      </c>
      <c r="H397" t="s">
        <v>6803</v>
      </c>
      <c r="I397">
        <f>VLOOKUP(Table9[[#This Row],[Shortname]], Comp[], 6, FALSE)</f>
        <v>440</v>
      </c>
      <c r="J397" s="14">
        <f>VLOOKUP(Table9[[#This Row],[Shortname]], Comp[], 7, FALSE)</f>
        <v>80</v>
      </c>
      <c r="K397">
        <f>VLOOKUP(Table9[[#This Row],[Shortname]], Comp[], 8, FALSE)</f>
        <v>0</v>
      </c>
      <c r="L397">
        <f>VLOOKUP(Table9[[#This Row],[Shortname]], Comp[], 9, FALSE)</f>
        <v>0</v>
      </c>
      <c r="M397">
        <f>VLOOKUP(Table9[[#This Row],[Shortname]], Comp[], 10, FALSE)</f>
        <v>0</v>
      </c>
      <c r="N397">
        <f>VLOOKUP(Table9[[#This Row],[Shortname]], Comp[], 11, FALSE)</f>
        <v>0</v>
      </c>
      <c r="O397">
        <f>VLOOKUP(Table9[[#This Row],[Shortname]], Comp[],12, FALSE)</f>
        <v>5</v>
      </c>
      <c r="P397">
        <f>VLOOKUP(Table9[[#This Row],[Shortname]], Comp[], 13, FALSE)</f>
        <v>0</v>
      </c>
      <c r="Q397">
        <f>VLOOKUP(Table9[[#This Row],[Shortname]], Comp[], 14, FALSE)</f>
        <v>0</v>
      </c>
      <c r="R397">
        <f>VLOOKUP(Table9[[#This Row],[Shortname]], Comp[], 15, FALSE)</f>
        <v>15</v>
      </c>
      <c r="S397">
        <f>VLOOKUP(Table9[[#This Row],[Shortname]], Comp[], 16, FALSE)</f>
        <v>0</v>
      </c>
      <c r="T397">
        <f>VLOOKUP(Table9[[#This Row],[Shortname]], Comp[], 17, FALSE)</f>
        <v>0</v>
      </c>
      <c r="U397">
        <f>VLOOKUP(Table9[[#This Row],[Shortname]], Comp[], 18, FALSE)</f>
        <v>0</v>
      </c>
      <c r="V397">
        <f>VLOOKUP(Table9[[#This Row],[Shortname]], Comp[], 19, FALSE)</f>
        <v>0</v>
      </c>
      <c r="W397">
        <f>VLOOKUP(Table9[[#This Row],[Shortname]], Comp[], 20, FALSE)</f>
        <v>0</v>
      </c>
      <c r="X397">
        <f>VLOOKUP(Table9[[#This Row],[Shortname]], Comp[], 21, FALSE)</f>
        <v>0</v>
      </c>
      <c r="Y397">
        <f>VLOOKUP(Table9[[#This Row],[Shortname]], Comp[], 22, FALSE)</f>
        <v>0</v>
      </c>
      <c r="Z397">
        <f>VLOOKUP(Table9[[#This Row],[Shortname]], Comp[], 23, FALSE)</f>
        <v>0</v>
      </c>
      <c r="AA397">
        <f>VLOOKUP(Table9[[#This Row],[Shortname]], Comp[], 24, FALSE)</f>
        <v>0</v>
      </c>
      <c r="AB397">
        <f>VLOOKUP(Table9[[#This Row],[Shortname]], Comp[], 25, FALSE)</f>
        <v>0</v>
      </c>
      <c r="AC397">
        <f>VLOOKUP(Table9[[#This Row],[Shortname]], Comp[], 26, FALSE)</f>
        <v>0</v>
      </c>
      <c r="AD397">
        <f>VLOOKUP(Table9[[#This Row],[Shortname]], Comp[], 27, FALSE)</f>
        <v>0</v>
      </c>
      <c r="AE397">
        <f>VLOOKUP(Table9[[#This Row],[Shortname]], Comp[], 28, FALSE)</f>
        <v>0</v>
      </c>
      <c r="AF397">
        <f>VLOOKUP(Table9[[#This Row],[Shortname]], Comp[], 29, FALSE)</f>
        <v>0</v>
      </c>
      <c r="AG397">
        <f>VLOOKUP(Table9[[#This Row],[Shortname]], Comp[], 30, FALSE)</f>
        <v>0</v>
      </c>
      <c r="AH397">
        <f>VLOOKUP(Table9[[#This Row],[Shortname]], Comp[], 31, FALSE)</f>
        <v>0</v>
      </c>
    </row>
    <row r="398" spans="1:34" x14ac:dyDescent="0.3">
      <c r="A398" t="s">
        <v>2208</v>
      </c>
      <c r="B398" t="s">
        <v>2210</v>
      </c>
      <c r="C398" t="s">
        <v>2211</v>
      </c>
      <c r="D398">
        <v>195</v>
      </c>
      <c r="E398">
        <v>1000</v>
      </c>
      <c r="F398">
        <v>1E-4</v>
      </c>
      <c r="G398">
        <v>1</v>
      </c>
      <c r="H398" t="s">
        <v>6803</v>
      </c>
      <c r="I398">
        <f>VLOOKUP(Table9[[#This Row],[Shortname]], Comp[], 6, FALSE)</f>
        <v>291</v>
      </c>
      <c r="J398" s="14">
        <f>VLOOKUP(Table9[[#This Row],[Shortname]], Comp[], 7, FALSE)</f>
        <v>83.7</v>
      </c>
      <c r="K398">
        <f>VLOOKUP(Table9[[#This Row],[Shortname]], Comp[], 8, FALSE)</f>
        <v>0</v>
      </c>
      <c r="L398">
        <f>VLOOKUP(Table9[[#This Row],[Shortname]], Comp[], 9, FALSE)</f>
        <v>0</v>
      </c>
      <c r="M398">
        <f>VLOOKUP(Table9[[#This Row],[Shortname]], Comp[], 10, FALSE)</f>
        <v>0</v>
      </c>
      <c r="N398">
        <f>VLOOKUP(Table9[[#This Row],[Shortname]], Comp[], 11, FALSE)</f>
        <v>0</v>
      </c>
      <c r="O398">
        <f>VLOOKUP(Table9[[#This Row],[Shortname]], Comp[],12, FALSE)</f>
        <v>4.2</v>
      </c>
      <c r="P398">
        <f>VLOOKUP(Table9[[#This Row],[Shortname]], Comp[], 13, FALSE)</f>
        <v>0</v>
      </c>
      <c r="Q398">
        <f>VLOOKUP(Table9[[#This Row],[Shortname]], Comp[], 14, FALSE)</f>
        <v>0</v>
      </c>
      <c r="R398">
        <f>VLOOKUP(Table9[[#This Row],[Shortname]], Comp[], 15, FALSE)</f>
        <v>12.1</v>
      </c>
      <c r="S398">
        <f>VLOOKUP(Table9[[#This Row],[Shortname]], Comp[], 16, FALSE)</f>
        <v>0</v>
      </c>
      <c r="T398">
        <f>VLOOKUP(Table9[[#This Row],[Shortname]], Comp[], 17, FALSE)</f>
        <v>0</v>
      </c>
      <c r="U398">
        <f>VLOOKUP(Table9[[#This Row],[Shortname]], Comp[], 18, FALSE)</f>
        <v>0</v>
      </c>
      <c r="V398">
        <f>VLOOKUP(Table9[[#This Row],[Shortname]], Comp[], 19, FALSE)</f>
        <v>0</v>
      </c>
      <c r="W398">
        <f>VLOOKUP(Table9[[#This Row],[Shortname]], Comp[], 20, FALSE)</f>
        <v>0</v>
      </c>
      <c r="X398">
        <f>VLOOKUP(Table9[[#This Row],[Shortname]], Comp[], 21, FALSE)</f>
        <v>0</v>
      </c>
      <c r="Y398">
        <f>VLOOKUP(Table9[[#This Row],[Shortname]], Comp[], 22, FALSE)</f>
        <v>0</v>
      </c>
      <c r="Z398">
        <f>VLOOKUP(Table9[[#This Row],[Shortname]], Comp[], 23, FALSE)</f>
        <v>0</v>
      </c>
      <c r="AA398">
        <f>VLOOKUP(Table9[[#This Row],[Shortname]], Comp[], 24, FALSE)</f>
        <v>0</v>
      </c>
      <c r="AB398">
        <f>VLOOKUP(Table9[[#This Row],[Shortname]], Comp[], 25, FALSE)</f>
        <v>0</v>
      </c>
      <c r="AC398">
        <f>VLOOKUP(Table9[[#This Row],[Shortname]], Comp[], 26, FALSE)</f>
        <v>0</v>
      </c>
      <c r="AD398">
        <f>VLOOKUP(Table9[[#This Row],[Shortname]], Comp[], 27, FALSE)</f>
        <v>0</v>
      </c>
      <c r="AE398">
        <f>VLOOKUP(Table9[[#This Row],[Shortname]], Comp[], 28, FALSE)</f>
        <v>0</v>
      </c>
      <c r="AF398">
        <f>VLOOKUP(Table9[[#This Row],[Shortname]], Comp[], 29, FALSE)</f>
        <v>0</v>
      </c>
      <c r="AG398">
        <f>VLOOKUP(Table9[[#This Row],[Shortname]], Comp[], 30, FALSE)</f>
        <v>0</v>
      </c>
      <c r="AH398">
        <f>VLOOKUP(Table9[[#This Row],[Shortname]], Comp[], 31, FALSE)</f>
        <v>0</v>
      </c>
    </row>
    <row r="399" spans="1:34" x14ac:dyDescent="0.3">
      <c r="A399" t="s">
        <v>4</v>
      </c>
      <c r="B399" t="s">
        <v>7</v>
      </c>
      <c r="C399" t="s">
        <v>6828</v>
      </c>
      <c r="D399">
        <v>193</v>
      </c>
      <c r="E399">
        <v>1175</v>
      </c>
      <c r="F399">
        <v>1</v>
      </c>
      <c r="G399">
        <v>1</v>
      </c>
      <c r="H399" t="s">
        <v>6807</v>
      </c>
      <c r="I399">
        <f>VLOOKUP(Table9[[#This Row],[Shortname]], Comp[], 6, FALSE)</f>
        <v>1</v>
      </c>
      <c r="J399" s="14">
        <f>VLOOKUP(Table9[[#This Row],[Shortname]], Comp[], 7, FALSE)</f>
        <v>41.800000000000004</v>
      </c>
      <c r="K399">
        <f>VLOOKUP(Table9[[#This Row],[Shortname]], Comp[], 8, FALSE)</f>
        <v>29.5</v>
      </c>
      <c r="L399">
        <f>VLOOKUP(Table9[[#This Row],[Shortname]], Comp[], 9, FALSE)</f>
        <v>9.6</v>
      </c>
      <c r="M399">
        <f>VLOOKUP(Table9[[#This Row],[Shortname]], Comp[], 10, FALSE)</f>
        <v>12.7</v>
      </c>
      <c r="N399">
        <f>VLOOKUP(Table9[[#This Row],[Shortname]], Comp[], 11, FALSE)</f>
        <v>0</v>
      </c>
      <c r="O399">
        <f>VLOOKUP(Table9[[#This Row],[Shortname]], Comp[],12, FALSE)</f>
        <v>4.5</v>
      </c>
      <c r="P399">
        <f>VLOOKUP(Table9[[#This Row],[Shortname]], Comp[], 13, FALSE)</f>
        <v>0</v>
      </c>
      <c r="Q399">
        <f>VLOOKUP(Table9[[#This Row],[Shortname]], Comp[], 14, FALSE)</f>
        <v>1.9</v>
      </c>
      <c r="R399">
        <f>VLOOKUP(Table9[[#This Row],[Shortname]], Comp[], 15, FALSE)</f>
        <v>0</v>
      </c>
      <c r="S399">
        <f>VLOOKUP(Table9[[#This Row],[Shortname]], Comp[], 16, FALSE)</f>
        <v>0</v>
      </c>
      <c r="T399">
        <f>VLOOKUP(Table9[[#This Row],[Shortname]], Comp[], 17, FALSE)</f>
        <v>0</v>
      </c>
      <c r="U399">
        <f>VLOOKUP(Table9[[#This Row],[Shortname]], Comp[], 18, FALSE)</f>
        <v>0</v>
      </c>
      <c r="V399">
        <f>VLOOKUP(Table9[[#This Row],[Shortname]], Comp[], 19, FALSE)</f>
        <v>0</v>
      </c>
      <c r="W399">
        <f>VLOOKUP(Table9[[#This Row],[Shortname]], Comp[], 20, FALSE)</f>
        <v>0</v>
      </c>
      <c r="X399">
        <f>VLOOKUP(Table9[[#This Row],[Shortname]], Comp[], 21, FALSE)</f>
        <v>0</v>
      </c>
      <c r="Y399">
        <f>VLOOKUP(Table9[[#This Row],[Shortname]], Comp[], 22, FALSE)</f>
        <v>0</v>
      </c>
      <c r="Z399">
        <f>VLOOKUP(Table9[[#This Row],[Shortname]], Comp[], 23, FALSE)</f>
        <v>0</v>
      </c>
      <c r="AA399">
        <f>VLOOKUP(Table9[[#This Row],[Shortname]], Comp[], 24, FALSE)</f>
        <v>0</v>
      </c>
      <c r="AB399">
        <f>VLOOKUP(Table9[[#This Row],[Shortname]], Comp[], 25, FALSE)</f>
        <v>0</v>
      </c>
      <c r="AC399">
        <f>VLOOKUP(Table9[[#This Row],[Shortname]], Comp[], 26, FALSE)</f>
        <v>0</v>
      </c>
      <c r="AD399">
        <f>VLOOKUP(Table9[[#This Row],[Shortname]], Comp[], 27, FALSE)</f>
        <v>0</v>
      </c>
      <c r="AE399">
        <f>VLOOKUP(Table9[[#This Row],[Shortname]], Comp[], 28, FALSE)</f>
        <v>0</v>
      </c>
      <c r="AF399">
        <f>VLOOKUP(Table9[[#This Row],[Shortname]], Comp[], 29, FALSE)</f>
        <v>0</v>
      </c>
      <c r="AG399">
        <f>VLOOKUP(Table9[[#This Row],[Shortname]], Comp[], 30, FALSE)</f>
        <v>0</v>
      </c>
      <c r="AH399">
        <f>VLOOKUP(Table9[[#This Row],[Shortname]], Comp[], 31, FALSE)</f>
        <v>0</v>
      </c>
    </row>
    <row r="400" spans="1:34" x14ac:dyDescent="0.3">
      <c r="A400" t="s">
        <v>2570</v>
      </c>
      <c r="B400" t="s">
        <v>2572</v>
      </c>
      <c r="C400" t="s">
        <v>2573</v>
      </c>
      <c r="D400">
        <v>188.2</v>
      </c>
      <c r="E400">
        <v>1125</v>
      </c>
      <c r="F400">
        <v>0.1</v>
      </c>
      <c r="G400">
        <v>1</v>
      </c>
      <c r="I400">
        <f>VLOOKUP(Table9[[#This Row],[Shortname]], Comp[], 6, FALSE)</f>
        <v>340</v>
      </c>
      <c r="J400" s="14">
        <f>VLOOKUP(Table9[[#This Row],[Shortname]], Comp[], 7, FALSE)</f>
        <v>46.73</v>
      </c>
      <c r="K400">
        <f>VLOOKUP(Table9[[#This Row],[Shortname]], Comp[], 8, FALSE)</f>
        <v>29.96</v>
      </c>
      <c r="L400">
        <f>VLOOKUP(Table9[[#This Row],[Shortname]], Comp[], 9, FALSE)</f>
        <v>9.5399999999999991</v>
      </c>
      <c r="M400">
        <f>VLOOKUP(Table9[[#This Row],[Shortname]], Comp[], 10, FALSE)</f>
        <v>4.78</v>
      </c>
      <c r="N400">
        <f>VLOOKUP(Table9[[#This Row],[Shortname]], Comp[], 11, FALSE)</f>
        <v>0</v>
      </c>
      <c r="O400">
        <f>VLOOKUP(Table9[[#This Row],[Shortname]], Comp[],12, FALSE)</f>
        <v>2.13</v>
      </c>
      <c r="P400">
        <f>VLOOKUP(Table9[[#This Row],[Shortname]], Comp[], 13, FALSE)</f>
        <v>1.91</v>
      </c>
      <c r="Q400">
        <f>VLOOKUP(Table9[[#This Row],[Shortname]], Comp[], 14, FALSE)</f>
        <v>0</v>
      </c>
      <c r="R400">
        <f>VLOOKUP(Table9[[#This Row],[Shortname]], Comp[], 15, FALSE)</f>
        <v>0</v>
      </c>
      <c r="S400">
        <f>VLOOKUP(Table9[[#This Row],[Shortname]], Comp[], 16, FALSE)</f>
        <v>4.95</v>
      </c>
      <c r="T400">
        <f>VLOOKUP(Table9[[#This Row],[Shortname]], Comp[], 17, FALSE)</f>
        <v>0</v>
      </c>
      <c r="U400">
        <f>VLOOKUP(Table9[[#This Row],[Shortname]], Comp[], 18, FALSE)</f>
        <v>0</v>
      </c>
      <c r="V400">
        <f>VLOOKUP(Table9[[#This Row],[Shortname]], Comp[], 19, FALSE)</f>
        <v>0</v>
      </c>
      <c r="W400">
        <f>VLOOKUP(Table9[[#This Row],[Shortname]], Comp[], 20, FALSE)</f>
        <v>0</v>
      </c>
      <c r="X400">
        <f>VLOOKUP(Table9[[#This Row],[Shortname]], Comp[], 21, FALSE)</f>
        <v>0</v>
      </c>
      <c r="Y400">
        <f>VLOOKUP(Table9[[#This Row],[Shortname]], Comp[], 22, FALSE)</f>
        <v>0</v>
      </c>
      <c r="Z400">
        <f>VLOOKUP(Table9[[#This Row],[Shortname]], Comp[], 23, FALSE)</f>
        <v>0</v>
      </c>
      <c r="AA400">
        <f>VLOOKUP(Table9[[#This Row],[Shortname]], Comp[], 24, FALSE)</f>
        <v>0</v>
      </c>
      <c r="AB400">
        <f>VLOOKUP(Table9[[#This Row],[Shortname]], Comp[], 25, FALSE)</f>
        <v>0</v>
      </c>
      <c r="AC400">
        <f>VLOOKUP(Table9[[#This Row],[Shortname]], Comp[], 26, FALSE)</f>
        <v>0</v>
      </c>
      <c r="AD400">
        <f>VLOOKUP(Table9[[#This Row],[Shortname]], Comp[], 27, FALSE)</f>
        <v>0</v>
      </c>
      <c r="AE400">
        <f>VLOOKUP(Table9[[#This Row],[Shortname]], Comp[], 28, FALSE)</f>
        <v>0</v>
      </c>
      <c r="AF400">
        <f>VLOOKUP(Table9[[#This Row],[Shortname]], Comp[], 29, FALSE)</f>
        <v>0</v>
      </c>
      <c r="AG400">
        <f>VLOOKUP(Table9[[#This Row],[Shortname]], Comp[], 30, FALSE)</f>
        <v>0</v>
      </c>
      <c r="AH400">
        <f>VLOOKUP(Table9[[#This Row],[Shortname]], Comp[], 31, FALSE)</f>
        <v>0</v>
      </c>
    </row>
    <row r="401" spans="1:34" x14ac:dyDescent="0.3">
      <c r="A401" t="s">
        <v>4</v>
      </c>
      <c r="B401" t="s">
        <v>7</v>
      </c>
      <c r="C401" t="s">
        <v>6829</v>
      </c>
      <c r="D401">
        <v>174</v>
      </c>
      <c r="E401">
        <v>1025</v>
      </c>
      <c r="F401">
        <v>0.01</v>
      </c>
      <c r="G401">
        <v>1</v>
      </c>
      <c r="H401" t="s">
        <v>6807</v>
      </c>
      <c r="I401">
        <f>VLOOKUP(Table9[[#This Row],[Shortname]], Comp[], 6, FALSE)</f>
        <v>1</v>
      </c>
      <c r="J401" s="14">
        <f>VLOOKUP(Table9[[#This Row],[Shortname]], Comp[], 7, FALSE)</f>
        <v>41.800000000000004</v>
      </c>
      <c r="K401">
        <f>VLOOKUP(Table9[[#This Row],[Shortname]], Comp[], 8, FALSE)</f>
        <v>29.5</v>
      </c>
      <c r="L401">
        <f>VLOOKUP(Table9[[#This Row],[Shortname]], Comp[], 9, FALSE)</f>
        <v>9.6</v>
      </c>
      <c r="M401">
        <f>VLOOKUP(Table9[[#This Row],[Shortname]], Comp[], 10, FALSE)</f>
        <v>12.7</v>
      </c>
      <c r="N401">
        <f>VLOOKUP(Table9[[#This Row],[Shortname]], Comp[], 11, FALSE)</f>
        <v>0</v>
      </c>
      <c r="O401">
        <f>VLOOKUP(Table9[[#This Row],[Shortname]], Comp[],12, FALSE)</f>
        <v>4.5</v>
      </c>
      <c r="P401">
        <f>VLOOKUP(Table9[[#This Row],[Shortname]], Comp[], 13, FALSE)</f>
        <v>0</v>
      </c>
      <c r="Q401">
        <f>VLOOKUP(Table9[[#This Row],[Shortname]], Comp[], 14, FALSE)</f>
        <v>1.9</v>
      </c>
      <c r="R401">
        <f>VLOOKUP(Table9[[#This Row],[Shortname]], Comp[], 15, FALSE)</f>
        <v>0</v>
      </c>
      <c r="S401">
        <f>VLOOKUP(Table9[[#This Row],[Shortname]], Comp[], 16, FALSE)</f>
        <v>0</v>
      </c>
      <c r="T401">
        <f>VLOOKUP(Table9[[#This Row],[Shortname]], Comp[], 17, FALSE)</f>
        <v>0</v>
      </c>
      <c r="U401">
        <f>VLOOKUP(Table9[[#This Row],[Shortname]], Comp[], 18, FALSE)</f>
        <v>0</v>
      </c>
      <c r="V401">
        <f>VLOOKUP(Table9[[#This Row],[Shortname]], Comp[], 19, FALSE)</f>
        <v>0</v>
      </c>
      <c r="W401">
        <f>VLOOKUP(Table9[[#This Row],[Shortname]], Comp[], 20, FALSE)</f>
        <v>0</v>
      </c>
      <c r="X401">
        <f>VLOOKUP(Table9[[#This Row],[Shortname]], Comp[], 21, FALSE)</f>
        <v>0</v>
      </c>
      <c r="Y401">
        <f>VLOOKUP(Table9[[#This Row],[Shortname]], Comp[], 22, FALSE)</f>
        <v>0</v>
      </c>
      <c r="Z401">
        <f>VLOOKUP(Table9[[#This Row],[Shortname]], Comp[], 23, FALSE)</f>
        <v>0</v>
      </c>
      <c r="AA401">
        <f>VLOOKUP(Table9[[#This Row],[Shortname]], Comp[], 24, FALSE)</f>
        <v>0</v>
      </c>
      <c r="AB401">
        <f>VLOOKUP(Table9[[#This Row],[Shortname]], Comp[], 25, FALSE)</f>
        <v>0</v>
      </c>
      <c r="AC401">
        <f>VLOOKUP(Table9[[#This Row],[Shortname]], Comp[], 26, FALSE)</f>
        <v>0</v>
      </c>
      <c r="AD401">
        <f>VLOOKUP(Table9[[#This Row],[Shortname]], Comp[], 27, FALSE)</f>
        <v>0</v>
      </c>
      <c r="AE401">
        <f>VLOOKUP(Table9[[#This Row],[Shortname]], Comp[], 28, FALSE)</f>
        <v>0</v>
      </c>
      <c r="AF401">
        <f>VLOOKUP(Table9[[#This Row],[Shortname]], Comp[], 29, FALSE)</f>
        <v>0</v>
      </c>
      <c r="AG401">
        <f>VLOOKUP(Table9[[#This Row],[Shortname]], Comp[], 30, FALSE)</f>
        <v>0</v>
      </c>
      <c r="AH401">
        <f>VLOOKUP(Table9[[#This Row],[Shortname]], Comp[], 31, FALSE)</f>
        <v>0</v>
      </c>
    </row>
    <row r="402" spans="1:34" x14ac:dyDescent="0.3">
      <c r="A402" t="s">
        <v>2570</v>
      </c>
      <c r="B402" t="s">
        <v>2572</v>
      </c>
      <c r="C402" t="s">
        <v>2573</v>
      </c>
      <c r="D402">
        <v>170.41</v>
      </c>
      <c r="E402">
        <v>1225</v>
      </c>
      <c r="F402">
        <v>1</v>
      </c>
      <c r="G402">
        <v>1</v>
      </c>
      <c r="I402">
        <f>VLOOKUP(Table9[[#This Row],[Shortname]], Comp[], 6, FALSE)</f>
        <v>340</v>
      </c>
      <c r="J402" s="14">
        <f>VLOOKUP(Table9[[#This Row],[Shortname]], Comp[], 7, FALSE)</f>
        <v>46.73</v>
      </c>
      <c r="K402">
        <f>VLOOKUP(Table9[[#This Row],[Shortname]], Comp[], 8, FALSE)</f>
        <v>29.96</v>
      </c>
      <c r="L402">
        <f>VLOOKUP(Table9[[#This Row],[Shortname]], Comp[], 9, FALSE)</f>
        <v>9.5399999999999991</v>
      </c>
      <c r="M402">
        <f>VLOOKUP(Table9[[#This Row],[Shortname]], Comp[], 10, FALSE)</f>
        <v>4.78</v>
      </c>
      <c r="N402">
        <f>VLOOKUP(Table9[[#This Row],[Shortname]], Comp[], 11, FALSE)</f>
        <v>0</v>
      </c>
      <c r="O402">
        <f>VLOOKUP(Table9[[#This Row],[Shortname]], Comp[],12, FALSE)</f>
        <v>2.13</v>
      </c>
      <c r="P402">
        <f>VLOOKUP(Table9[[#This Row],[Shortname]], Comp[], 13, FALSE)</f>
        <v>1.91</v>
      </c>
      <c r="Q402">
        <f>VLOOKUP(Table9[[#This Row],[Shortname]], Comp[], 14, FALSE)</f>
        <v>0</v>
      </c>
      <c r="R402">
        <f>VLOOKUP(Table9[[#This Row],[Shortname]], Comp[], 15, FALSE)</f>
        <v>0</v>
      </c>
      <c r="S402">
        <f>VLOOKUP(Table9[[#This Row],[Shortname]], Comp[], 16, FALSE)</f>
        <v>4.95</v>
      </c>
      <c r="T402">
        <f>VLOOKUP(Table9[[#This Row],[Shortname]], Comp[], 17, FALSE)</f>
        <v>0</v>
      </c>
      <c r="U402">
        <f>VLOOKUP(Table9[[#This Row],[Shortname]], Comp[], 18, FALSE)</f>
        <v>0</v>
      </c>
      <c r="V402">
        <f>VLOOKUP(Table9[[#This Row],[Shortname]], Comp[], 19, FALSE)</f>
        <v>0</v>
      </c>
      <c r="W402">
        <f>VLOOKUP(Table9[[#This Row],[Shortname]], Comp[], 20, FALSE)</f>
        <v>0</v>
      </c>
      <c r="X402">
        <f>VLOOKUP(Table9[[#This Row],[Shortname]], Comp[], 21, FALSE)</f>
        <v>0</v>
      </c>
      <c r="Y402">
        <f>VLOOKUP(Table9[[#This Row],[Shortname]], Comp[], 22, FALSE)</f>
        <v>0</v>
      </c>
      <c r="Z402">
        <f>VLOOKUP(Table9[[#This Row],[Shortname]], Comp[], 23, FALSE)</f>
        <v>0</v>
      </c>
      <c r="AA402">
        <f>VLOOKUP(Table9[[#This Row],[Shortname]], Comp[], 24, FALSE)</f>
        <v>0</v>
      </c>
      <c r="AB402">
        <f>VLOOKUP(Table9[[#This Row],[Shortname]], Comp[], 25, FALSE)</f>
        <v>0</v>
      </c>
      <c r="AC402">
        <f>VLOOKUP(Table9[[#This Row],[Shortname]], Comp[], 26, FALSE)</f>
        <v>0</v>
      </c>
      <c r="AD402">
        <f>VLOOKUP(Table9[[#This Row],[Shortname]], Comp[], 27, FALSE)</f>
        <v>0</v>
      </c>
      <c r="AE402">
        <f>VLOOKUP(Table9[[#This Row],[Shortname]], Comp[], 28, FALSE)</f>
        <v>0</v>
      </c>
      <c r="AF402">
        <f>VLOOKUP(Table9[[#This Row],[Shortname]], Comp[], 29, FALSE)</f>
        <v>0</v>
      </c>
      <c r="AG402">
        <f>VLOOKUP(Table9[[#This Row],[Shortname]], Comp[], 30, FALSE)</f>
        <v>0</v>
      </c>
      <c r="AH402">
        <f>VLOOKUP(Table9[[#This Row],[Shortname]], Comp[], 31, FALSE)</f>
        <v>0</v>
      </c>
    </row>
    <row r="403" spans="1:34" x14ac:dyDescent="0.3">
      <c r="A403" t="s">
        <v>3162</v>
      </c>
      <c r="B403" t="s">
        <v>3164</v>
      </c>
      <c r="C403" t="s">
        <v>3157</v>
      </c>
      <c r="D403">
        <v>162</v>
      </c>
      <c r="E403">
        <v>1000</v>
      </c>
      <c r="F403">
        <v>1E-4</v>
      </c>
      <c r="G403">
        <v>1</v>
      </c>
      <c r="H403" t="s">
        <v>6803</v>
      </c>
      <c r="I403">
        <f>VLOOKUP(Table9[[#This Row],[Shortname]], Comp[], 6, FALSE)</f>
        <v>441</v>
      </c>
      <c r="J403" s="14">
        <f>VLOOKUP(Table9[[#This Row],[Shortname]], Comp[], 7, FALSE)</f>
        <v>78</v>
      </c>
      <c r="K403">
        <f>VLOOKUP(Table9[[#This Row],[Shortname]], Comp[], 8, FALSE)</f>
        <v>0</v>
      </c>
      <c r="L403">
        <f>VLOOKUP(Table9[[#This Row],[Shortname]], Comp[], 9, FALSE)</f>
        <v>2</v>
      </c>
      <c r="M403">
        <f>VLOOKUP(Table9[[#This Row],[Shortname]], Comp[], 10, FALSE)</f>
        <v>0</v>
      </c>
      <c r="N403">
        <f>VLOOKUP(Table9[[#This Row],[Shortname]], Comp[], 11, FALSE)</f>
        <v>0</v>
      </c>
      <c r="O403">
        <f>VLOOKUP(Table9[[#This Row],[Shortname]], Comp[],12, FALSE)</f>
        <v>5</v>
      </c>
      <c r="P403">
        <f>VLOOKUP(Table9[[#This Row],[Shortname]], Comp[], 13, FALSE)</f>
        <v>0</v>
      </c>
      <c r="Q403">
        <f>VLOOKUP(Table9[[#This Row],[Shortname]], Comp[], 14, FALSE)</f>
        <v>0</v>
      </c>
      <c r="R403">
        <f>VLOOKUP(Table9[[#This Row],[Shortname]], Comp[], 15, FALSE)</f>
        <v>15</v>
      </c>
      <c r="S403">
        <f>VLOOKUP(Table9[[#This Row],[Shortname]], Comp[], 16, FALSE)</f>
        <v>0</v>
      </c>
      <c r="T403">
        <f>VLOOKUP(Table9[[#This Row],[Shortname]], Comp[], 17, FALSE)</f>
        <v>0</v>
      </c>
      <c r="U403">
        <f>VLOOKUP(Table9[[#This Row],[Shortname]], Comp[], 18, FALSE)</f>
        <v>0</v>
      </c>
      <c r="V403">
        <f>VLOOKUP(Table9[[#This Row],[Shortname]], Comp[], 19, FALSE)</f>
        <v>0</v>
      </c>
      <c r="W403">
        <f>VLOOKUP(Table9[[#This Row],[Shortname]], Comp[], 20, FALSE)</f>
        <v>0</v>
      </c>
      <c r="X403">
        <f>VLOOKUP(Table9[[#This Row],[Shortname]], Comp[], 21, FALSE)</f>
        <v>0</v>
      </c>
      <c r="Y403">
        <f>VLOOKUP(Table9[[#This Row],[Shortname]], Comp[], 22, FALSE)</f>
        <v>0</v>
      </c>
      <c r="Z403">
        <f>VLOOKUP(Table9[[#This Row],[Shortname]], Comp[], 23, FALSE)</f>
        <v>0</v>
      </c>
      <c r="AA403">
        <f>VLOOKUP(Table9[[#This Row],[Shortname]], Comp[], 24, FALSE)</f>
        <v>0</v>
      </c>
      <c r="AB403">
        <f>VLOOKUP(Table9[[#This Row],[Shortname]], Comp[], 25, FALSE)</f>
        <v>0</v>
      </c>
      <c r="AC403">
        <f>VLOOKUP(Table9[[#This Row],[Shortname]], Comp[], 26, FALSE)</f>
        <v>0</v>
      </c>
      <c r="AD403">
        <f>VLOOKUP(Table9[[#This Row],[Shortname]], Comp[], 27, FALSE)</f>
        <v>0</v>
      </c>
      <c r="AE403">
        <f>VLOOKUP(Table9[[#This Row],[Shortname]], Comp[], 28, FALSE)</f>
        <v>0</v>
      </c>
      <c r="AF403">
        <f>VLOOKUP(Table9[[#This Row],[Shortname]], Comp[], 29, FALSE)</f>
        <v>0</v>
      </c>
      <c r="AG403">
        <f>VLOOKUP(Table9[[#This Row],[Shortname]], Comp[], 30, FALSE)</f>
        <v>0</v>
      </c>
      <c r="AH403">
        <f>VLOOKUP(Table9[[#This Row],[Shortname]], Comp[], 31, FALSE)</f>
        <v>0</v>
      </c>
    </row>
    <row r="404" spans="1:34" x14ac:dyDescent="0.3">
      <c r="A404" t="s">
        <v>2570</v>
      </c>
      <c r="B404" t="s">
        <v>2572</v>
      </c>
      <c r="C404" t="s">
        <v>2573</v>
      </c>
      <c r="D404">
        <v>161.5</v>
      </c>
      <c r="E404">
        <v>1075</v>
      </c>
      <c r="F404">
        <v>0.01</v>
      </c>
      <c r="G404">
        <v>1</v>
      </c>
      <c r="I404">
        <f>VLOOKUP(Table9[[#This Row],[Shortname]], Comp[], 6, FALSE)</f>
        <v>340</v>
      </c>
      <c r="J404" s="14">
        <f>VLOOKUP(Table9[[#This Row],[Shortname]], Comp[], 7, FALSE)</f>
        <v>46.73</v>
      </c>
      <c r="K404">
        <f>VLOOKUP(Table9[[#This Row],[Shortname]], Comp[], 8, FALSE)</f>
        <v>29.96</v>
      </c>
      <c r="L404">
        <f>VLOOKUP(Table9[[#This Row],[Shortname]], Comp[], 9, FALSE)</f>
        <v>9.5399999999999991</v>
      </c>
      <c r="M404">
        <f>VLOOKUP(Table9[[#This Row],[Shortname]], Comp[], 10, FALSE)</f>
        <v>4.78</v>
      </c>
      <c r="N404">
        <f>VLOOKUP(Table9[[#This Row],[Shortname]], Comp[], 11, FALSE)</f>
        <v>0</v>
      </c>
      <c r="O404">
        <f>VLOOKUP(Table9[[#This Row],[Shortname]], Comp[],12, FALSE)</f>
        <v>2.13</v>
      </c>
      <c r="P404">
        <f>VLOOKUP(Table9[[#This Row],[Shortname]], Comp[], 13, FALSE)</f>
        <v>1.91</v>
      </c>
      <c r="Q404">
        <f>VLOOKUP(Table9[[#This Row],[Shortname]], Comp[], 14, FALSE)</f>
        <v>0</v>
      </c>
      <c r="R404">
        <f>VLOOKUP(Table9[[#This Row],[Shortname]], Comp[], 15, FALSE)</f>
        <v>0</v>
      </c>
      <c r="S404">
        <f>VLOOKUP(Table9[[#This Row],[Shortname]], Comp[], 16, FALSE)</f>
        <v>4.95</v>
      </c>
      <c r="T404">
        <f>VLOOKUP(Table9[[#This Row],[Shortname]], Comp[], 17, FALSE)</f>
        <v>0</v>
      </c>
      <c r="U404">
        <f>VLOOKUP(Table9[[#This Row],[Shortname]], Comp[], 18, FALSE)</f>
        <v>0</v>
      </c>
      <c r="V404">
        <f>VLOOKUP(Table9[[#This Row],[Shortname]], Comp[], 19, FALSE)</f>
        <v>0</v>
      </c>
      <c r="W404">
        <f>VLOOKUP(Table9[[#This Row],[Shortname]], Comp[], 20, FALSE)</f>
        <v>0</v>
      </c>
      <c r="X404">
        <f>VLOOKUP(Table9[[#This Row],[Shortname]], Comp[], 21, FALSE)</f>
        <v>0</v>
      </c>
      <c r="Y404">
        <f>VLOOKUP(Table9[[#This Row],[Shortname]], Comp[], 22, FALSE)</f>
        <v>0</v>
      </c>
      <c r="Z404">
        <f>VLOOKUP(Table9[[#This Row],[Shortname]], Comp[], 23, FALSE)</f>
        <v>0</v>
      </c>
      <c r="AA404">
        <f>VLOOKUP(Table9[[#This Row],[Shortname]], Comp[], 24, FALSE)</f>
        <v>0</v>
      </c>
      <c r="AB404">
        <f>VLOOKUP(Table9[[#This Row],[Shortname]], Comp[], 25, FALSE)</f>
        <v>0</v>
      </c>
      <c r="AC404">
        <f>VLOOKUP(Table9[[#This Row],[Shortname]], Comp[], 26, FALSE)</f>
        <v>0</v>
      </c>
      <c r="AD404">
        <f>VLOOKUP(Table9[[#This Row],[Shortname]], Comp[], 27, FALSE)</f>
        <v>0</v>
      </c>
      <c r="AE404">
        <f>VLOOKUP(Table9[[#This Row],[Shortname]], Comp[], 28, FALSE)</f>
        <v>0</v>
      </c>
      <c r="AF404">
        <f>VLOOKUP(Table9[[#This Row],[Shortname]], Comp[], 29, FALSE)</f>
        <v>0</v>
      </c>
      <c r="AG404">
        <f>VLOOKUP(Table9[[#This Row],[Shortname]], Comp[], 30, FALSE)</f>
        <v>0</v>
      </c>
      <c r="AH404">
        <f>VLOOKUP(Table9[[#This Row],[Shortname]], Comp[], 31, FALSE)</f>
        <v>0</v>
      </c>
    </row>
    <row r="405" spans="1:34" x14ac:dyDescent="0.3">
      <c r="A405" t="s">
        <v>3414</v>
      </c>
      <c r="B405" t="s">
        <v>3416</v>
      </c>
      <c r="C405" t="s">
        <v>3401</v>
      </c>
      <c r="D405">
        <v>151</v>
      </c>
      <c r="E405">
        <v>980</v>
      </c>
      <c r="F405">
        <v>2.0000000000000001E-4</v>
      </c>
      <c r="G405">
        <v>1</v>
      </c>
      <c r="H405" t="s">
        <v>6803</v>
      </c>
      <c r="I405">
        <f>VLOOKUP(Table9[[#This Row],[Shortname]], Comp[], 6, FALSE)</f>
        <v>485</v>
      </c>
      <c r="J405" s="14">
        <f>VLOOKUP(Table9[[#This Row],[Shortname]], Comp[], 7, FALSE)</f>
        <v>82.78</v>
      </c>
      <c r="K405">
        <f>VLOOKUP(Table9[[#This Row],[Shortname]], Comp[], 8, FALSE)</f>
        <v>0</v>
      </c>
      <c r="L405">
        <f>VLOOKUP(Table9[[#This Row],[Shortname]], Comp[], 9, FALSE)</f>
        <v>9</v>
      </c>
      <c r="M405">
        <f>VLOOKUP(Table9[[#This Row],[Shortname]], Comp[], 10, FALSE)</f>
        <v>0</v>
      </c>
      <c r="N405">
        <f>VLOOKUP(Table9[[#This Row],[Shortname]], Comp[], 11, FALSE)</f>
        <v>8.1999999999999993</v>
      </c>
      <c r="O405">
        <f>VLOOKUP(Table9[[#This Row],[Shortname]], Comp[],12, FALSE)</f>
        <v>0</v>
      </c>
      <c r="P405">
        <f>VLOOKUP(Table9[[#This Row],[Shortname]], Comp[], 13, FALSE)</f>
        <v>0</v>
      </c>
      <c r="Q405">
        <f>VLOOKUP(Table9[[#This Row],[Shortname]], Comp[], 14, FALSE)</f>
        <v>0</v>
      </c>
      <c r="R405">
        <f>VLOOKUP(Table9[[#This Row],[Shortname]], Comp[], 15, FALSE)</f>
        <v>0</v>
      </c>
      <c r="S405">
        <f>VLOOKUP(Table9[[#This Row],[Shortname]], Comp[], 16, FALSE)</f>
        <v>0</v>
      </c>
      <c r="T405">
        <f>VLOOKUP(Table9[[#This Row],[Shortname]], Comp[], 17, FALSE)</f>
        <v>0</v>
      </c>
      <c r="U405">
        <f>VLOOKUP(Table9[[#This Row],[Shortname]], Comp[], 18, FALSE)</f>
        <v>0</v>
      </c>
      <c r="V405">
        <f>VLOOKUP(Table9[[#This Row],[Shortname]], Comp[], 19, FALSE)</f>
        <v>0.02</v>
      </c>
      <c r="W405">
        <f>VLOOKUP(Table9[[#This Row],[Shortname]], Comp[], 20, FALSE)</f>
        <v>0</v>
      </c>
      <c r="X405">
        <f>VLOOKUP(Table9[[#This Row],[Shortname]], Comp[], 21, FALSE)</f>
        <v>0</v>
      </c>
      <c r="Y405">
        <f>VLOOKUP(Table9[[#This Row],[Shortname]], Comp[], 22, FALSE)</f>
        <v>0</v>
      </c>
      <c r="Z405">
        <f>VLOOKUP(Table9[[#This Row],[Shortname]], Comp[], 23, FALSE)</f>
        <v>0</v>
      </c>
      <c r="AA405">
        <f>VLOOKUP(Table9[[#This Row],[Shortname]], Comp[], 24, FALSE)</f>
        <v>0</v>
      </c>
      <c r="AB405">
        <f>VLOOKUP(Table9[[#This Row],[Shortname]], Comp[], 25, FALSE)</f>
        <v>0</v>
      </c>
      <c r="AC405">
        <f>VLOOKUP(Table9[[#This Row],[Shortname]], Comp[], 26, FALSE)</f>
        <v>0</v>
      </c>
      <c r="AD405">
        <f>VLOOKUP(Table9[[#This Row],[Shortname]], Comp[], 27, FALSE)</f>
        <v>0</v>
      </c>
      <c r="AE405">
        <f>VLOOKUP(Table9[[#This Row],[Shortname]], Comp[], 28, FALSE)</f>
        <v>0</v>
      </c>
      <c r="AF405">
        <f>VLOOKUP(Table9[[#This Row],[Shortname]], Comp[], 29, FALSE)</f>
        <v>0</v>
      </c>
      <c r="AG405">
        <f>VLOOKUP(Table9[[#This Row],[Shortname]], Comp[], 30, FALSE)</f>
        <v>0</v>
      </c>
      <c r="AH405">
        <f>VLOOKUP(Table9[[#This Row],[Shortname]], Comp[], 31, FALSE)</f>
        <v>0</v>
      </c>
    </row>
    <row r="406" spans="1:34" x14ac:dyDescent="0.3">
      <c r="A406" t="s">
        <v>4</v>
      </c>
      <c r="B406" t="s">
        <v>7</v>
      </c>
      <c r="C406" t="s">
        <v>6830</v>
      </c>
      <c r="D406">
        <v>150</v>
      </c>
      <c r="E406">
        <v>1075</v>
      </c>
      <c r="F406">
        <v>0.1</v>
      </c>
      <c r="G406">
        <v>1</v>
      </c>
      <c r="H406" t="s">
        <v>6807</v>
      </c>
      <c r="I406">
        <f>VLOOKUP(Table9[[#This Row],[Shortname]], Comp[], 6, FALSE)</f>
        <v>1</v>
      </c>
      <c r="J406" s="14">
        <f>VLOOKUP(Table9[[#This Row],[Shortname]], Comp[], 7, FALSE)</f>
        <v>41.800000000000004</v>
      </c>
      <c r="K406">
        <f>VLOOKUP(Table9[[#This Row],[Shortname]], Comp[], 8, FALSE)</f>
        <v>29.5</v>
      </c>
      <c r="L406">
        <f>VLOOKUP(Table9[[#This Row],[Shortname]], Comp[], 9, FALSE)</f>
        <v>9.6</v>
      </c>
      <c r="M406">
        <f>VLOOKUP(Table9[[#This Row],[Shortname]], Comp[], 10, FALSE)</f>
        <v>12.7</v>
      </c>
      <c r="N406">
        <f>VLOOKUP(Table9[[#This Row],[Shortname]], Comp[], 11, FALSE)</f>
        <v>0</v>
      </c>
      <c r="O406">
        <f>VLOOKUP(Table9[[#This Row],[Shortname]], Comp[],12, FALSE)</f>
        <v>4.5</v>
      </c>
      <c r="P406">
        <f>VLOOKUP(Table9[[#This Row],[Shortname]], Comp[], 13, FALSE)</f>
        <v>0</v>
      </c>
      <c r="Q406">
        <f>VLOOKUP(Table9[[#This Row],[Shortname]], Comp[], 14, FALSE)</f>
        <v>1.9</v>
      </c>
      <c r="R406">
        <f>VLOOKUP(Table9[[#This Row],[Shortname]], Comp[], 15, FALSE)</f>
        <v>0</v>
      </c>
      <c r="S406">
        <f>VLOOKUP(Table9[[#This Row],[Shortname]], Comp[], 16, FALSE)</f>
        <v>0</v>
      </c>
      <c r="T406">
        <f>VLOOKUP(Table9[[#This Row],[Shortname]], Comp[], 17, FALSE)</f>
        <v>0</v>
      </c>
      <c r="U406">
        <f>VLOOKUP(Table9[[#This Row],[Shortname]], Comp[], 18, FALSE)</f>
        <v>0</v>
      </c>
      <c r="V406">
        <f>VLOOKUP(Table9[[#This Row],[Shortname]], Comp[], 19, FALSE)</f>
        <v>0</v>
      </c>
      <c r="W406">
        <f>VLOOKUP(Table9[[#This Row],[Shortname]], Comp[], 20, FALSE)</f>
        <v>0</v>
      </c>
      <c r="X406">
        <f>VLOOKUP(Table9[[#This Row],[Shortname]], Comp[], 21, FALSE)</f>
        <v>0</v>
      </c>
      <c r="Y406">
        <f>VLOOKUP(Table9[[#This Row],[Shortname]], Comp[], 22, FALSE)</f>
        <v>0</v>
      </c>
      <c r="Z406">
        <f>VLOOKUP(Table9[[#This Row],[Shortname]], Comp[], 23, FALSE)</f>
        <v>0</v>
      </c>
      <c r="AA406">
        <f>VLOOKUP(Table9[[#This Row],[Shortname]], Comp[], 24, FALSE)</f>
        <v>0</v>
      </c>
      <c r="AB406">
        <f>VLOOKUP(Table9[[#This Row],[Shortname]], Comp[], 25, FALSE)</f>
        <v>0</v>
      </c>
      <c r="AC406">
        <f>VLOOKUP(Table9[[#This Row],[Shortname]], Comp[], 26, FALSE)</f>
        <v>0</v>
      </c>
      <c r="AD406">
        <f>VLOOKUP(Table9[[#This Row],[Shortname]], Comp[], 27, FALSE)</f>
        <v>0</v>
      </c>
      <c r="AE406">
        <f>VLOOKUP(Table9[[#This Row],[Shortname]], Comp[], 28, FALSE)</f>
        <v>0</v>
      </c>
      <c r="AF406">
        <f>VLOOKUP(Table9[[#This Row],[Shortname]], Comp[], 29, FALSE)</f>
        <v>0</v>
      </c>
      <c r="AG406">
        <f>VLOOKUP(Table9[[#This Row],[Shortname]], Comp[], 30, FALSE)</f>
        <v>0</v>
      </c>
      <c r="AH406">
        <f>VLOOKUP(Table9[[#This Row],[Shortname]], Comp[], 31, FALSE)</f>
        <v>0</v>
      </c>
    </row>
    <row r="407" spans="1:34" x14ac:dyDescent="0.3">
      <c r="A407" t="s">
        <v>3405</v>
      </c>
      <c r="B407" t="s">
        <v>3405</v>
      </c>
      <c r="C407" t="s">
        <v>3401</v>
      </c>
      <c r="D407">
        <v>140</v>
      </c>
      <c r="E407">
        <v>980</v>
      </c>
      <c r="F407">
        <v>2.0000000000000001E-4</v>
      </c>
      <c r="G407">
        <v>1</v>
      </c>
      <c r="H407" t="s">
        <v>6803</v>
      </c>
      <c r="I407">
        <f>VLOOKUP(Table9[[#This Row],[Shortname]], Comp[], 6, FALSE)</f>
        <v>483</v>
      </c>
      <c r="J407" s="14">
        <f>VLOOKUP(Table9[[#This Row],[Shortname]], Comp[], 7, FALSE)</f>
        <v>84.18</v>
      </c>
      <c r="K407">
        <f>VLOOKUP(Table9[[#This Row],[Shortname]], Comp[], 8, FALSE)</f>
        <v>0</v>
      </c>
      <c r="L407">
        <f>VLOOKUP(Table9[[#This Row],[Shortname]], Comp[], 9, FALSE)</f>
        <v>8.9</v>
      </c>
      <c r="M407">
        <f>VLOOKUP(Table9[[#This Row],[Shortname]], Comp[], 10, FALSE)</f>
        <v>0</v>
      </c>
      <c r="N407">
        <f>VLOOKUP(Table9[[#This Row],[Shortname]], Comp[], 11, FALSE)</f>
        <v>6.9</v>
      </c>
      <c r="O407">
        <f>VLOOKUP(Table9[[#This Row],[Shortname]], Comp[],12, FALSE)</f>
        <v>0</v>
      </c>
      <c r="P407">
        <f>VLOOKUP(Table9[[#This Row],[Shortname]], Comp[], 13, FALSE)</f>
        <v>0</v>
      </c>
      <c r="Q407">
        <f>VLOOKUP(Table9[[#This Row],[Shortname]], Comp[], 14, FALSE)</f>
        <v>0</v>
      </c>
      <c r="R407">
        <f>VLOOKUP(Table9[[#This Row],[Shortname]], Comp[], 15, FALSE)</f>
        <v>0</v>
      </c>
      <c r="S407">
        <f>VLOOKUP(Table9[[#This Row],[Shortname]], Comp[], 16, FALSE)</f>
        <v>0</v>
      </c>
      <c r="T407">
        <f>VLOOKUP(Table9[[#This Row],[Shortname]], Comp[], 17, FALSE)</f>
        <v>0</v>
      </c>
      <c r="U407">
        <f>VLOOKUP(Table9[[#This Row],[Shortname]], Comp[], 18, FALSE)</f>
        <v>0</v>
      </c>
      <c r="V407">
        <f>VLOOKUP(Table9[[#This Row],[Shortname]], Comp[], 19, FALSE)</f>
        <v>0.02</v>
      </c>
      <c r="W407">
        <f>VLOOKUP(Table9[[#This Row],[Shortname]], Comp[], 20, FALSE)</f>
        <v>0</v>
      </c>
      <c r="X407">
        <f>VLOOKUP(Table9[[#This Row],[Shortname]], Comp[], 21, FALSE)</f>
        <v>0</v>
      </c>
      <c r="Y407">
        <f>VLOOKUP(Table9[[#This Row],[Shortname]], Comp[], 22, FALSE)</f>
        <v>0</v>
      </c>
      <c r="Z407">
        <f>VLOOKUP(Table9[[#This Row],[Shortname]], Comp[], 23, FALSE)</f>
        <v>0</v>
      </c>
      <c r="AA407">
        <f>VLOOKUP(Table9[[#This Row],[Shortname]], Comp[], 24, FALSE)</f>
        <v>0</v>
      </c>
      <c r="AB407">
        <f>VLOOKUP(Table9[[#This Row],[Shortname]], Comp[], 25, FALSE)</f>
        <v>0</v>
      </c>
      <c r="AC407">
        <f>VLOOKUP(Table9[[#This Row],[Shortname]], Comp[], 26, FALSE)</f>
        <v>0</v>
      </c>
      <c r="AD407">
        <f>VLOOKUP(Table9[[#This Row],[Shortname]], Comp[], 27, FALSE)</f>
        <v>0</v>
      </c>
      <c r="AE407">
        <f>VLOOKUP(Table9[[#This Row],[Shortname]], Comp[], 28, FALSE)</f>
        <v>0</v>
      </c>
      <c r="AF407">
        <f>VLOOKUP(Table9[[#This Row],[Shortname]], Comp[], 29, FALSE)</f>
        <v>0</v>
      </c>
      <c r="AG407">
        <f>VLOOKUP(Table9[[#This Row],[Shortname]], Comp[], 30, FALSE)</f>
        <v>0</v>
      </c>
      <c r="AH407">
        <f>VLOOKUP(Table9[[#This Row],[Shortname]], Comp[], 31, FALSE)</f>
        <v>0</v>
      </c>
    </row>
    <row r="408" spans="1:34" x14ac:dyDescent="0.3">
      <c r="A408" t="s">
        <v>2570</v>
      </c>
      <c r="B408" t="s">
        <v>2572</v>
      </c>
      <c r="C408" t="s">
        <v>2573</v>
      </c>
      <c r="D408">
        <v>136.69999999999999</v>
      </c>
      <c r="E408">
        <v>1175</v>
      </c>
      <c r="F408">
        <v>0.1</v>
      </c>
      <c r="G408">
        <v>1</v>
      </c>
      <c r="I408">
        <f>VLOOKUP(Table9[[#This Row],[Shortname]], Comp[], 6, FALSE)</f>
        <v>340</v>
      </c>
      <c r="J408" s="14">
        <f>VLOOKUP(Table9[[#This Row],[Shortname]], Comp[], 7, FALSE)</f>
        <v>46.73</v>
      </c>
      <c r="K408">
        <f>VLOOKUP(Table9[[#This Row],[Shortname]], Comp[], 8, FALSE)</f>
        <v>29.96</v>
      </c>
      <c r="L408">
        <f>VLOOKUP(Table9[[#This Row],[Shortname]], Comp[], 9, FALSE)</f>
        <v>9.5399999999999991</v>
      </c>
      <c r="M408">
        <f>VLOOKUP(Table9[[#This Row],[Shortname]], Comp[], 10, FALSE)</f>
        <v>4.78</v>
      </c>
      <c r="N408">
        <f>VLOOKUP(Table9[[#This Row],[Shortname]], Comp[], 11, FALSE)</f>
        <v>0</v>
      </c>
      <c r="O408">
        <f>VLOOKUP(Table9[[#This Row],[Shortname]], Comp[],12, FALSE)</f>
        <v>2.13</v>
      </c>
      <c r="P408">
        <f>VLOOKUP(Table9[[#This Row],[Shortname]], Comp[], 13, FALSE)</f>
        <v>1.91</v>
      </c>
      <c r="Q408">
        <f>VLOOKUP(Table9[[#This Row],[Shortname]], Comp[], 14, FALSE)</f>
        <v>0</v>
      </c>
      <c r="R408">
        <f>VLOOKUP(Table9[[#This Row],[Shortname]], Comp[], 15, FALSE)</f>
        <v>0</v>
      </c>
      <c r="S408">
        <f>VLOOKUP(Table9[[#This Row],[Shortname]], Comp[], 16, FALSE)</f>
        <v>4.95</v>
      </c>
      <c r="T408">
        <f>VLOOKUP(Table9[[#This Row],[Shortname]], Comp[], 17, FALSE)</f>
        <v>0</v>
      </c>
      <c r="U408">
        <f>VLOOKUP(Table9[[#This Row],[Shortname]], Comp[], 18, FALSE)</f>
        <v>0</v>
      </c>
      <c r="V408">
        <f>VLOOKUP(Table9[[#This Row],[Shortname]], Comp[], 19, FALSE)</f>
        <v>0</v>
      </c>
      <c r="W408">
        <f>VLOOKUP(Table9[[#This Row],[Shortname]], Comp[], 20, FALSE)</f>
        <v>0</v>
      </c>
      <c r="X408">
        <f>VLOOKUP(Table9[[#This Row],[Shortname]], Comp[], 21, FALSE)</f>
        <v>0</v>
      </c>
      <c r="Y408">
        <f>VLOOKUP(Table9[[#This Row],[Shortname]], Comp[], 22, FALSE)</f>
        <v>0</v>
      </c>
      <c r="Z408">
        <f>VLOOKUP(Table9[[#This Row],[Shortname]], Comp[], 23, FALSE)</f>
        <v>0</v>
      </c>
      <c r="AA408">
        <f>VLOOKUP(Table9[[#This Row],[Shortname]], Comp[], 24, FALSE)</f>
        <v>0</v>
      </c>
      <c r="AB408">
        <f>VLOOKUP(Table9[[#This Row],[Shortname]], Comp[], 25, FALSE)</f>
        <v>0</v>
      </c>
      <c r="AC408">
        <f>VLOOKUP(Table9[[#This Row],[Shortname]], Comp[], 26, FALSE)</f>
        <v>0</v>
      </c>
      <c r="AD408">
        <f>VLOOKUP(Table9[[#This Row],[Shortname]], Comp[], 27, FALSE)</f>
        <v>0</v>
      </c>
      <c r="AE408">
        <f>VLOOKUP(Table9[[#This Row],[Shortname]], Comp[], 28, FALSE)</f>
        <v>0</v>
      </c>
      <c r="AF408">
        <f>VLOOKUP(Table9[[#This Row],[Shortname]], Comp[], 29, FALSE)</f>
        <v>0</v>
      </c>
      <c r="AG408">
        <f>VLOOKUP(Table9[[#This Row],[Shortname]], Comp[], 30, FALSE)</f>
        <v>0</v>
      </c>
      <c r="AH408">
        <f>VLOOKUP(Table9[[#This Row],[Shortname]], Comp[], 31, FALSE)</f>
        <v>0</v>
      </c>
    </row>
    <row r="409" spans="1:34" x14ac:dyDescent="0.3">
      <c r="A409" t="s">
        <v>4</v>
      </c>
      <c r="B409" t="s">
        <v>7</v>
      </c>
      <c r="C409" t="s">
        <v>6831</v>
      </c>
      <c r="D409">
        <v>134</v>
      </c>
      <c r="E409">
        <v>1125</v>
      </c>
      <c r="F409">
        <v>0.1</v>
      </c>
      <c r="G409">
        <v>1</v>
      </c>
      <c r="H409" t="s">
        <v>6807</v>
      </c>
      <c r="I409">
        <f>VLOOKUP(Table9[[#This Row],[Shortname]], Comp[], 6, FALSE)</f>
        <v>1</v>
      </c>
      <c r="J409" s="14">
        <f>VLOOKUP(Table9[[#This Row],[Shortname]], Comp[], 7, FALSE)</f>
        <v>41.800000000000004</v>
      </c>
      <c r="K409">
        <f>VLOOKUP(Table9[[#This Row],[Shortname]], Comp[], 8, FALSE)</f>
        <v>29.5</v>
      </c>
      <c r="L409">
        <f>VLOOKUP(Table9[[#This Row],[Shortname]], Comp[], 9, FALSE)</f>
        <v>9.6</v>
      </c>
      <c r="M409">
        <f>VLOOKUP(Table9[[#This Row],[Shortname]], Comp[], 10, FALSE)</f>
        <v>12.7</v>
      </c>
      <c r="N409">
        <f>VLOOKUP(Table9[[#This Row],[Shortname]], Comp[], 11, FALSE)</f>
        <v>0</v>
      </c>
      <c r="O409">
        <f>VLOOKUP(Table9[[#This Row],[Shortname]], Comp[],12, FALSE)</f>
        <v>4.5</v>
      </c>
      <c r="P409">
        <f>VLOOKUP(Table9[[#This Row],[Shortname]], Comp[], 13, FALSE)</f>
        <v>0</v>
      </c>
      <c r="Q409">
        <f>VLOOKUP(Table9[[#This Row],[Shortname]], Comp[], 14, FALSE)</f>
        <v>1.9</v>
      </c>
      <c r="R409">
        <f>VLOOKUP(Table9[[#This Row],[Shortname]], Comp[], 15, FALSE)</f>
        <v>0</v>
      </c>
      <c r="S409">
        <f>VLOOKUP(Table9[[#This Row],[Shortname]], Comp[], 16, FALSE)</f>
        <v>0</v>
      </c>
      <c r="T409">
        <f>VLOOKUP(Table9[[#This Row],[Shortname]], Comp[], 17, FALSE)</f>
        <v>0</v>
      </c>
      <c r="U409">
        <f>VLOOKUP(Table9[[#This Row],[Shortname]], Comp[], 18, FALSE)</f>
        <v>0</v>
      </c>
      <c r="V409">
        <f>VLOOKUP(Table9[[#This Row],[Shortname]], Comp[], 19, FALSE)</f>
        <v>0</v>
      </c>
      <c r="W409">
        <f>VLOOKUP(Table9[[#This Row],[Shortname]], Comp[], 20, FALSE)</f>
        <v>0</v>
      </c>
      <c r="X409">
        <f>VLOOKUP(Table9[[#This Row],[Shortname]], Comp[], 21, FALSE)</f>
        <v>0</v>
      </c>
      <c r="Y409">
        <f>VLOOKUP(Table9[[#This Row],[Shortname]], Comp[], 22, FALSE)</f>
        <v>0</v>
      </c>
      <c r="Z409">
        <f>VLOOKUP(Table9[[#This Row],[Shortname]], Comp[], 23, FALSE)</f>
        <v>0</v>
      </c>
      <c r="AA409">
        <f>VLOOKUP(Table9[[#This Row],[Shortname]], Comp[], 24, FALSE)</f>
        <v>0</v>
      </c>
      <c r="AB409">
        <f>VLOOKUP(Table9[[#This Row],[Shortname]], Comp[], 25, FALSE)</f>
        <v>0</v>
      </c>
      <c r="AC409">
        <f>VLOOKUP(Table9[[#This Row],[Shortname]], Comp[], 26, FALSE)</f>
        <v>0</v>
      </c>
      <c r="AD409">
        <f>VLOOKUP(Table9[[#This Row],[Shortname]], Comp[], 27, FALSE)</f>
        <v>0</v>
      </c>
      <c r="AE409">
        <f>VLOOKUP(Table9[[#This Row],[Shortname]], Comp[], 28, FALSE)</f>
        <v>0</v>
      </c>
      <c r="AF409">
        <f>VLOOKUP(Table9[[#This Row],[Shortname]], Comp[], 29, FALSE)</f>
        <v>0</v>
      </c>
      <c r="AG409">
        <f>VLOOKUP(Table9[[#This Row],[Shortname]], Comp[], 30, FALSE)</f>
        <v>0</v>
      </c>
      <c r="AH409">
        <f>VLOOKUP(Table9[[#This Row],[Shortname]], Comp[], 31, FALSE)</f>
        <v>0</v>
      </c>
    </row>
    <row r="410" spans="1:34" x14ac:dyDescent="0.3">
      <c r="A410" t="s">
        <v>1465</v>
      </c>
      <c r="B410" t="s">
        <v>1467</v>
      </c>
      <c r="C410" t="s">
        <v>1459</v>
      </c>
      <c r="D410">
        <v>134</v>
      </c>
      <c r="E410">
        <v>996</v>
      </c>
      <c r="F410">
        <v>1E-4</v>
      </c>
      <c r="G410">
        <v>1</v>
      </c>
      <c r="H410" t="s">
        <v>6813</v>
      </c>
      <c r="I410">
        <f>VLOOKUP(Table9[[#This Row],[Shortname]], Comp[], 6, FALSE)</f>
        <v>187</v>
      </c>
      <c r="J410" s="14">
        <f>VLOOKUP(Table9[[#This Row],[Shortname]], Comp[], 7, FALSE)</f>
        <v>52.8</v>
      </c>
      <c r="K410">
        <f>VLOOKUP(Table9[[#This Row],[Shortname]], Comp[], 8, FALSE)</f>
        <v>30.5</v>
      </c>
      <c r="L410">
        <f>VLOOKUP(Table9[[#This Row],[Shortname]], Comp[], 9, FALSE)</f>
        <v>9.6</v>
      </c>
      <c r="M410">
        <f>VLOOKUP(Table9[[#This Row],[Shortname]], Comp[], 10, FALSE)</f>
        <v>0</v>
      </c>
      <c r="N410">
        <f>VLOOKUP(Table9[[#This Row],[Shortname]], Comp[], 11, FALSE)</f>
        <v>7.1</v>
      </c>
      <c r="O410">
        <f>VLOOKUP(Table9[[#This Row],[Shortname]], Comp[],12, FALSE)</f>
        <v>0</v>
      </c>
      <c r="P410">
        <f>VLOOKUP(Table9[[#This Row],[Shortname]], Comp[], 13, FALSE)</f>
        <v>0</v>
      </c>
      <c r="Q410">
        <f>VLOOKUP(Table9[[#This Row],[Shortname]], Comp[], 14, FALSE)</f>
        <v>0</v>
      </c>
      <c r="R410">
        <f>VLOOKUP(Table9[[#This Row],[Shortname]], Comp[], 15, FALSE)</f>
        <v>0</v>
      </c>
      <c r="S410">
        <f>VLOOKUP(Table9[[#This Row],[Shortname]], Comp[], 16, FALSE)</f>
        <v>0</v>
      </c>
      <c r="T410">
        <f>VLOOKUP(Table9[[#This Row],[Shortname]], Comp[], 17, FALSE)</f>
        <v>0</v>
      </c>
      <c r="U410">
        <f>VLOOKUP(Table9[[#This Row],[Shortname]], Comp[], 18, FALSE)</f>
        <v>0</v>
      </c>
      <c r="V410">
        <f>VLOOKUP(Table9[[#This Row],[Shortname]], Comp[], 19, FALSE)</f>
        <v>0</v>
      </c>
      <c r="W410">
        <f>VLOOKUP(Table9[[#This Row],[Shortname]], Comp[], 20, FALSE)</f>
        <v>0</v>
      </c>
      <c r="X410">
        <f>VLOOKUP(Table9[[#This Row],[Shortname]], Comp[], 21, FALSE)</f>
        <v>0</v>
      </c>
      <c r="Y410">
        <f>VLOOKUP(Table9[[#This Row],[Shortname]], Comp[], 22, FALSE)</f>
        <v>0</v>
      </c>
      <c r="Z410">
        <f>VLOOKUP(Table9[[#This Row],[Shortname]], Comp[], 23, FALSE)</f>
        <v>0</v>
      </c>
      <c r="AA410">
        <f>VLOOKUP(Table9[[#This Row],[Shortname]], Comp[], 24, FALSE)</f>
        <v>0</v>
      </c>
      <c r="AB410">
        <f>VLOOKUP(Table9[[#This Row],[Shortname]], Comp[], 25, FALSE)</f>
        <v>0</v>
      </c>
      <c r="AC410">
        <f>VLOOKUP(Table9[[#This Row],[Shortname]], Comp[], 26, FALSE)</f>
        <v>0</v>
      </c>
      <c r="AD410">
        <f>VLOOKUP(Table9[[#This Row],[Shortname]], Comp[], 27, FALSE)</f>
        <v>0</v>
      </c>
      <c r="AE410">
        <f>VLOOKUP(Table9[[#This Row],[Shortname]], Comp[], 28, FALSE)</f>
        <v>0</v>
      </c>
      <c r="AF410">
        <f>VLOOKUP(Table9[[#This Row],[Shortname]], Comp[], 29, FALSE)</f>
        <v>0</v>
      </c>
      <c r="AG410">
        <f>VLOOKUP(Table9[[#This Row],[Shortname]], Comp[], 30, FALSE)</f>
        <v>0</v>
      </c>
      <c r="AH410">
        <f>VLOOKUP(Table9[[#This Row],[Shortname]], Comp[], 31, FALSE)</f>
        <v>0</v>
      </c>
    </row>
    <row r="411" spans="1:34" x14ac:dyDescent="0.3">
      <c r="A411" t="s">
        <v>3409</v>
      </c>
      <c r="B411" t="s">
        <v>3410</v>
      </c>
      <c r="C411" t="s">
        <v>3401</v>
      </c>
      <c r="D411">
        <v>134</v>
      </c>
      <c r="E411">
        <v>980</v>
      </c>
      <c r="F411">
        <v>2.0000000000000001E-4</v>
      </c>
      <c r="G411">
        <v>1</v>
      </c>
      <c r="H411" t="s">
        <v>6803</v>
      </c>
      <c r="I411">
        <f>VLOOKUP(Table9[[#This Row],[Shortname]], Comp[], 6, FALSE)</f>
        <v>484</v>
      </c>
      <c r="J411" s="14">
        <f>VLOOKUP(Table9[[#This Row],[Shortname]], Comp[], 7, FALSE)</f>
        <v>82.8</v>
      </c>
      <c r="K411">
        <f>VLOOKUP(Table9[[#This Row],[Shortname]], Comp[], 8, FALSE)</f>
        <v>0</v>
      </c>
      <c r="L411">
        <f>VLOOKUP(Table9[[#This Row],[Shortname]], Comp[], 9, FALSE)</f>
        <v>9</v>
      </c>
      <c r="M411">
        <f>VLOOKUP(Table9[[#This Row],[Shortname]], Comp[], 10, FALSE)</f>
        <v>0</v>
      </c>
      <c r="N411">
        <f>VLOOKUP(Table9[[#This Row],[Shortname]], Comp[], 11, FALSE)</f>
        <v>8.1999999999999993</v>
      </c>
      <c r="O411">
        <f>VLOOKUP(Table9[[#This Row],[Shortname]], Comp[],12, FALSE)</f>
        <v>0</v>
      </c>
      <c r="P411">
        <f>VLOOKUP(Table9[[#This Row],[Shortname]], Comp[], 13, FALSE)</f>
        <v>0</v>
      </c>
      <c r="Q411">
        <f>VLOOKUP(Table9[[#This Row],[Shortname]], Comp[], 14, FALSE)</f>
        <v>0</v>
      </c>
      <c r="R411">
        <f>VLOOKUP(Table9[[#This Row],[Shortname]], Comp[], 15, FALSE)</f>
        <v>0</v>
      </c>
      <c r="S411">
        <f>VLOOKUP(Table9[[#This Row],[Shortname]], Comp[], 16, FALSE)</f>
        <v>0</v>
      </c>
      <c r="T411">
        <f>VLOOKUP(Table9[[#This Row],[Shortname]], Comp[], 17, FALSE)</f>
        <v>0</v>
      </c>
      <c r="U411">
        <f>VLOOKUP(Table9[[#This Row],[Shortname]], Comp[], 18, FALSE)</f>
        <v>0</v>
      </c>
      <c r="V411">
        <f>VLOOKUP(Table9[[#This Row],[Shortname]], Comp[], 19, FALSE)</f>
        <v>0</v>
      </c>
      <c r="W411">
        <f>VLOOKUP(Table9[[#This Row],[Shortname]], Comp[], 20, FALSE)</f>
        <v>0</v>
      </c>
      <c r="X411">
        <f>VLOOKUP(Table9[[#This Row],[Shortname]], Comp[], 21, FALSE)</f>
        <v>0</v>
      </c>
      <c r="Y411">
        <f>VLOOKUP(Table9[[#This Row],[Shortname]], Comp[], 22, FALSE)</f>
        <v>0</v>
      </c>
      <c r="Z411">
        <f>VLOOKUP(Table9[[#This Row],[Shortname]], Comp[], 23, FALSE)</f>
        <v>0</v>
      </c>
      <c r="AA411">
        <f>VLOOKUP(Table9[[#This Row],[Shortname]], Comp[], 24, FALSE)</f>
        <v>0</v>
      </c>
      <c r="AB411">
        <f>VLOOKUP(Table9[[#This Row],[Shortname]], Comp[], 25, FALSE)</f>
        <v>0</v>
      </c>
      <c r="AC411">
        <f>VLOOKUP(Table9[[#This Row],[Shortname]], Comp[], 26, FALSE)</f>
        <v>0</v>
      </c>
      <c r="AD411">
        <f>VLOOKUP(Table9[[#This Row],[Shortname]], Comp[], 27, FALSE)</f>
        <v>0</v>
      </c>
      <c r="AE411">
        <f>VLOOKUP(Table9[[#This Row],[Shortname]], Comp[], 28, FALSE)</f>
        <v>0</v>
      </c>
      <c r="AF411">
        <f>VLOOKUP(Table9[[#This Row],[Shortname]], Comp[], 29, FALSE)</f>
        <v>0</v>
      </c>
      <c r="AG411">
        <f>VLOOKUP(Table9[[#This Row],[Shortname]], Comp[], 30, FALSE)</f>
        <v>0</v>
      </c>
      <c r="AH411">
        <f>VLOOKUP(Table9[[#This Row],[Shortname]], Comp[], 31, FALSE)</f>
        <v>0</v>
      </c>
    </row>
    <row r="412" spans="1:34" x14ac:dyDescent="0.3">
      <c r="A412" t="s">
        <v>2570</v>
      </c>
      <c r="B412" t="s">
        <v>2572</v>
      </c>
      <c r="C412" t="s">
        <v>2573</v>
      </c>
      <c r="D412">
        <v>124.3</v>
      </c>
      <c r="E412">
        <v>1075</v>
      </c>
      <c r="F412">
        <v>1E-3</v>
      </c>
      <c r="G412">
        <v>1</v>
      </c>
      <c r="I412">
        <f>VLOOKUP(Table9[[#This Row],[Shortname]], Comp[], 6, FALSE)</f>
        <v>340</v>
      </c>
      <c r="J412" s="14">
        <f>VLOOKUP(Table9[[#This Row],[Shortname]], Comp[], 7, FALSE)</f>
        <v>46.73</v>
      </c>
      <c r="K412">
        <f>VLOOKUP(Table9[[#This Row],[Shortname]], Comp[], 8, FALSE)</f>
        <v>29.96</v>
      </c>
      <c r="L412">
        <f>VLOOKUP(Table9[[#This Row],[Shortname]], Comp[], 9, FALSE)</f>
        <v>9.5399999999999991</v>
      </c>
      <c r="M412">
        <f>VLOOKUP(Table9[[#This Row],[Shortname]], Comp[], 10, FALSE)</f>
        <v>4.78</v>
      </c>
      <c r="N412">
        <f>VLOOKUP(Table9[[#This Row],[Shortname]], Comp[], 11, FALSE)</f>
        <v>0</v>
      </c>
      <c r="O412">
        <f>VLOOKUP(Table9[[#This Row],[Shortname]], Comp[],12, FALSE)</f>
        <v>2.13</v>
      </c>
      <c r="P412">
        <f>VLOOKUP(Table9[[#This Row],[Shortname]], Comp[], 13, FALSE)</f>
        <v>1.91</v>
      </c>
      <c r="Q412">
        <f>VLOOKUP(Table9[[#This Row],[Shortname]], Comp[], 14, FALSE)</f>
        <v>0</v>
      </c>
      <c r="R412">
        <f>VLOOKUP(Table9[[#This Row],[Shortname]], Comp[], 15, FALSE)</f>
        <v>0</v>
      </c>
      <c r="S412">
        <f>VLOOKUP(Table9[[#This Row],[Shortname]], Comp[], 16, FALSE)</f>
        <v>4.95</v>
      </c>
      <c r="T412">
        <f>VLOOKUP(Table9[[#This Row],[Shortname]], Comp[], 17, FALSE)</f>
        <v>0</v>
      </c>
      <c r="U412">
        <f>VLOOKUP(Table9[[#This Row],[Shortname]], Comp[], 18, FALSE)</f>
        <v>0</v>
      </c>
      <c r="V412">
        <f>VLOOKUP(Table9[[#This Row],[Shortname]], Comp[], 19, FALSE)</f>
        <v>0</v>
      </c>
      <c r="W412">
        <f>VLOOKUP(Table9[[#This Row],[Shortname]], Comp[], 20, FALSE)</f>
        <v>0</v>
      </c>
      <c r="X412">
        <f>VLOOKUP(Table9[[#This Row],[Shortname]], Comp[], 21, FALSE)</f>
        <v>0</v>
      </c>
      <c r="Y412">
        <f>VLOOKUP(Table9[[#This Row],[Shortname]], Comp[], 22, FALSE)</f>
        <v>0</v>
      </c>
      <c r="Z412">
        <f>VLOOKUP(Table9[[#This Row],[Shortname]], Comp[], 23, FALSE)</f>
        <v>0</v>
      </c>
      <c r="AA412">
        <f>VLOOKUP(Table9[[#This Row],[Shortname]], Comp[], 24, FALSE)</f>
        <v>0</v>
      </c>
      <c r="AB412">
        <f>VLOOKUP(Table9[[#This Row],[Shortname]], Comp[], 25, FALSE)</f>
        <v>0</v>
      </c>
      <c r="AC412">
        <f>VLOOKUP(Table9[[#This Row],[Shortname]], Comp[], 26, FALSE)</f>
        <v>0</v>
      </c>
      <c r="AD412">
        <f>VLOOKUP(Table9[[#This Row],[Shortname]], Comp[], 27, FALSE)</f>
        <v>0</v>
      </c>
      <c r="AE412">
        <f>VLOOKUP(Table9[[#This Row],[Shortname]], Comp[], 28, FALSE)</f>
        <v>0</v>
      </c>
      <c r="AF412">
        <f>VLOOKUP(Table9[[#This Row],[Shortname]], Comp[], 29, FALSE)</f>
        <v>0</v>
      </c>
      <c r="AG412">
        <f>VLOOKUP(Table9[[#This Row],[Shortname]], Comp[], 30, FALSE)</f>
        <v>0</v>
      </c>
      <c r="AH412">
        <f>VLOOKUP(Table9[[#This Row],[Shortname]], Comp[], 31, FALSE)</f>
        <v>0</v>
      </c>
    </row>
    <row r="413" spans="1:34" x14ac:dyDescent="0.3">
      <c r="A413" t="s">
        <v>4</v>
      </c>
      <c r="B413" t="s">
        <v>7</v>
      </c>
      <c r="C413" t="s">
        <v>6832</v>
      </c>
      <c r="D413">
        <v>122</v>
      </c>
      <c r="E413">
        <v>1075</v>
      </c>
      <c r="F413">
        <v>0.01</v>
      </c>
      <c r="G413">
        <v>1</v>
      </c>
      <c r="H413" t="s">
        <v>6807</v>
      </c>
      <c r="I413">
        <f>VLOOKUP(Table9[[#This Row],[Shortname]], Comp[], 6, FALSE)</f>
        <v>1</v>
      </c>
      <c r="J413" s="14">
        <f>VLOOKUP(Table9[[#This Row],[Shortname]], Comp[], 7, FALSE)</f>
        <v>41.800000000000004</v>
      </c>
      <c r="K413">
        <f>VLOOKUP(Table9[[#This Row],[Shortname]], Comp[], 8, FALSE)</f>
        <v>29.5</v>
      </c>
      <c r="L413">
        <f>VLOOKUP(Table9[[#This Row],[Shortname]], Comp[], 9, FALSE)</f>
        <v>9.6</v>
      </c>
      <c r="M413">
        <f>VLOOKUP(Table9[[#This Row],[Shortname]], Comp[], 10, FALSE)</f>
        <v>12.7</v>
      </c>
      <c r="N413">
        <f>VLOOKUP(Table9[[#This Row],[Shortname]], Comp[], 11, FALSE)</f>
        <v>0</v>
      </c>
      <c r="O413">
        <f>VLOOKUP(Table9[[#This Row],[Shortname]], Comp[],12, FALSE)</f>
        <v>4.5</v>
      </c>
      <c r="P413">
        <f>VLOOKUP(Table9[[#This Row],[Shortname]], Comp[], 13, FALSE)</f>
        <v>0</v>
      </c>
      <c r="Q413">
        <f>VLOOKUP(Table9[[#This Row],[Shortname]], Comp[], 14, FALSE)</f>
        <v>1.9</v>
      </c>
      <c r="R413">
        <f>VLOOKUP(Table9[[#This Row],[Shortname]], Comp[], 15, FALSE)</f>
        <v>0</v>
      </c>
      <c r="S413">
        <f>VLOOKUP(Table9[[#This Row],[Shortname]], Comp[], 16, FALSE)</f>
        <v>0</v>
      </c>
      <c r="T413">
        <f>VLOOKUP(Table9[[#This Row],[Shortname]], Comp[], 17, FALSE)</f>
        <v>0</v>
      </c>
      <c r="U413">
        <f>VLOOKUP(Table9[[#This Row],[Shortname]], Comp[], 18, FALSE)</f>
        <v>0</v>
      </c>
      <c r="V413">
        <f>VLOOKUP(Table9[[#This Row],[Shortname]], Comp[], 19, FALSE)</f>
        <v>0</v>
      </c>
      <c r="W413">
        <f>VLOOKUP(Table9[[#This Row],[Shortname]], Comp[], 20, FALSE)</f>
        <v>0</v>
      </c>
      <c r="X413">
        <f>VLOOKUP(Table9[[#This Row],[Shortname]], Comp[], 21, FALSE)</f>
        <v>0</v>
      </c>
      <c r="Y413">
        <f>VLOOKUP(Table9[[#This Row],[Shortname]], Comp[], 22, FALSE)</f>
        <v>0</v>
      </c>
      <c r="Z413">
        <f>VLOOKUP(Table9[[#This Row],[Shortname]], Comp[], 23, FALSE)</f>
        <v>0</v>
      </c>
      <c r="AA413">
        <f>VLOOKUP(Table9[[#This Row],[Shortname]], Comp[], 24, FALSE)</f>
        <v>0</v>
      </c>
      <c r="AB413">
        <f>VLOOKUP(Table9[[#This Row],[Shortname]], Comp[], 25, FALSE)</f>
        <v>0</v>
      </c>
      <c r="AC413">
        <f>VLOOKUP(Table9[[#This Row],[Shortname]], Comp[], 26, FALSE)</f>
        <v>0</v>
      </c>
      <c r="AD413">
        <f>VLOOKUP(Table9[[#This Row],[Shortname]], Comp[], 27, FALSE)</f>
        <v>0</v>
      </c>
      <c r="AE413">
        <f>VLOOKUP(Table9[[#This Row],[Shortname]], Comp[], 28, FALSE)</f>
        <v>0</v>
      </c>
      <c r="AF413">
        <f>VLOOKUP(Table9[[#This Row],[Shortname]], Comp[], 29, FALSE)</f>
        <v>0</v>
      </c>
      <c r="AG413">
        <f>VLOOKUP(Table9[[#This Row],[Shortname]], Comp[], 30, FALSE)</f>
        <v>0</v>
      </c>
      <c r="AH413">
        <f>VLOOKUP(Table9[[#This Row],[Shortname]], Comp[], 31, FALSE)</f>
        <v>0</v>
      </c>
    </row>
    <row r="414" spans="1:34" x14ac:dyDescent="0.3">
      <c r="A414" t="s">
        <v>4232</v>
      </c>
      <c r="B414" t="s">
        <v>4234</v>
      </c>
      <c r="C414" t="s">
        <v>4235</v>
      </c>
      <c r="D414">
        <v>114</v>
      </c>
      <c r="E414">
        <v>1050</v>
      </c>
      <c r="F414">
        <v>1E-4</v>
      </c>
      <c r="G414">
        <v>1</v>
      </c>
      <c r="H414" t="s">
        <v>6803</v>
      </c>
      <c r="I414">
        <f>VLOOKUP(Table9[[#This Row],[Shortname]], Comp[], 6, FALSE)</f>
        <v>644</v>
      </c>
      <c r="J414" s="14">
        <f>VLOOKUP(Table9[[#This Row],[Shortname]], Comp[], 7, FALSE)</f>
        <v>74</v>
      </c>
      <c r="K414">
        <f>VLOOKUP(Table9[[#This Row],[Shortname]], Comp[], 8, FALSE)</f>
        <v>0</v>
      </c>
      <c r="L414">
        <f>VLOOKUP(Table9[[#This Row],[Shortname]], Comp[], 9, FALSE)</f>
        <v>0</v>
      </c>
      <c r="M414">
        <f>VLOOKUP(Table9[[#This Row],[Shortname]], Comp[], 10, FALSE)</f>
        <v>15</v>
      </c>
      <c r="N414">
        <f>VLOOKUP(Table9[[#This Row],[Shortname]], Comp[], 11, FALSE)</f>
        <v>0</v>
      </c>
      <c r="O414">
        <f>VLOOKUP(Table9[[#This Row],[Shortname]], Comp[],12, FALSE)</f>
        <v>11</v>
      </c>
      <c r="P414">
        <f>VLOOKUP(Table9[[#This Row],[Shortname]], Comp[], 13, FALSE)</f>
        <v>0</v>
      </c>
      <c r="Q414">
        <f>VLOOKUP(Table9[[#This Row],[Shortname]], Comp[], 14, FALSE)</f>
        <v>0</v>
      </c>
      <c r="R414">
        <f>VLOOKUP(Table9[[#This Row],[Shortname]], Comp[], 15, FALSE)</f>
        <v>0</v>
      </c>
      <c r="S414">
        <f>VLOOKUP(Table9[[#This Row],[Shortname]], Comp[], 16, FALSE)</f>
        <v>0</v>
      </c>
      <c r="T414">
        <f>VLOOKUP(Table9[[#This Row],[Shortname]], Comp[], 17, FALSE)</f>
        <v>0</v>
      </c>
      <c r="U414">
        <f>VLOOKUP(Table9[[#This Row],[Shortname]], Comp[], 18, FALSE)</f>
        <v>0</v>
      </c>
      <c r="V414">
        <f>VLOOKUP(Table9[[#This Row],[Shortname]], Comp[], 19, FALSE)</f>
        <v>0</v>
      </c>
      <c r="W414">
        <f>VLOOKUP(Table9[[#This Row],[Shortname]], Comp[], 20, FALSE)</f>
        <v>0</v>
      </c>
      <c r="X414">
        <f>VLOOKUP(Table9[[#This Row],[Shortname]], Comp[], 21, FALSE)</f>
        <v>0</v>
      </c>
      <c r="Y414">
        <f>VLOOKUP(Table9[[#This Row],[Shortname]], Comp[], 22, FALSE)</f>
        <v>0</v>
      </c>
      <c r="Z414">
        <f>VLOOKUP(Table9[[#This Row],[Shortname]], Comp[], 23, FALSE)</f>
        <v>0</v>
      </c>
      <c r="AA414">
        <f>VLOOKUP(Table9[[#This Row],[Shortname]], Comp[], 24, FALSE)</f>
        <v>0</v>
      </c>
      <c r="AB414">
        <f>VLOOKUP(Table9[[#This Row],[Shortname]], Comp[], 25, FALSE)</f>
        <v>0</v>
      </c>
      <c r="AC414">
        <f>VLOOKUP(Table9[[#This Row],[Shortname]], Comp[], 26, FALSE)</f>
        <v>0</v>
      </c>
      <c r="AD414">
        <f>VLOOKUP(Table9[[#This Row],[Shortname]], Comp[], 27, FALSE)</f>
        <v>0</v>
      </c>
      <c r="AE414">
        <f>VLOOKUP(Table9[[#This Row],[Shortname]], Comp[], 28, FALSE)</f>
        <v>0</v>
      </c>
      <c r="AF414">
        <f>VLOOKUP(Table9[[#This Row],[Shortname]], Comp[], 29, FALSE)</f>
        <v>0</v>
      </c>
      <c r="AG414">
        <f>VLOOKUP(Table9[[#This Row],[Shortname]], Comp[], 30, FALSE)</f>
        <v>0</v>
      </c>
      <c r="AH414">
        <f>VLOOKUP(Table9[[#This Row],[Shortname]], Comp[], 31, FALSE)</f>
        <v>0</v>
      </c>
    </row>
    <row r="415" spans="1:34" x14ac:dyDescent="0.3">
      <c r="A415" t="s">
        <v>2570</v>
      </c>
      <c r="B415" t="s">
        <v>2572</v>
      </c>
      <c r="C415" t="s">
        <v>2573</v>
      </c>
      <c r="D415">
        <v>106.51</v>
      </c>
      <c r="E415">
        <v>1225</v>
      </c>
      <c r="F415">
        <v>0.1</v>
      </c>
      <c r="G415">
        <v>1</v>
      </c>
      <c r="I415">
        <f>VLOOKUP(Table9[[#This Row],[Shortname]], Comp[], 6, FALSE)</f>
        <v>340</v>
      </c>
      <c r="J415" s="14">
        <f>VLOOKUP(Table9[[#This Row],[Shortname]], Comp[], 7, FALSE)</f>
        <v>46.73</v>
      </c>
      <c r="K415">
        <f>VLOOKUP(Table9[[#This Row],[Shortname]], Comp[], 8, FALSE)</f>
        <v>29.96</v>
      </c>
      <c r="L415">
        <f>VLOOKUP(Table9[[#This Row],[Shortname]], Comp[], 9, FALSE)</f>
        <v>9.5399999999999991</v>
      </c>
      <c r="M415">
        <f>VLOOKUP(Table9[[#This Row],[Shortname]], Comp[], 10, FALSE)</f>
        <v>4.78</v>
      </c>
      <c r="N415">
        <f>VLOOKUP(Table9[[#This Row],[Shortname]], Comp[], 11, FALSE)</f>
        <v>0</v>
      </c>
      <c r="O415">
        <f>VLOOKUP(Table9[[#This Row],[Shortname]], Comp[],12, FALSE)</f>
        <v>2.13</v>
      </c>
      <c r="P415">
        <f>VLOOKUP(Table9[[#This Row],[Shortname]], Comp[], 13, FALSE)</f>
        <v>1.91</v>
      </c>
      <c r="Q415">
        <f>VLOOKUP(Table9[[#This Row],[Shortname]], Comp[], 14, FALSE)</f>
        <v>0</v>
      </c>
      <c r="R415">
        <f>VLOOKUP(Table9[[#This Row],[Shortname]], Comp[], 15, FALSE)</f>
        <v>0</v>
      </c>
      <c r="S415">
        <f>VLOOKUP(Table9[[#This Row],[Shortname]], Comp[], 16, FALSE)</f>
        <v>4.95</v>
      </c>
      <c r="T415">
        <f>VLOOKUP(Table9[[#This Row],[Shortname]], Comp[], 17, FALSE)</f>
        <v>0</v>
      </c>
      <c r="U415">
        <f>VLOOKUP(Table9[[#This Row],[Shortname]], Comp[], 18, FALSE)</f>
        <v>0</v>
      </c>
      <c r="V415">
        <f>VLOOKUP(Table9[[#This Row],[Shortname]], Comp[], 19, FALSE)</f>
        <v>0</v>
      </c>
      <c r="W415">
        <f>VLOOKUP(Table9[[#This Row],[Shortname]], Comp[], 20, FALSE)</f>
        <v>0</v>
      </c>
      <c r="X415">
        <f>VLOOKUP(Table9[[#This Row],[Shortname]], Comp[], 21, FALSE)</f>
        <v>0</v>
      </c>
      <c r="Y415">
        <f>VLOOKUP(Table9[[#This Row],[Shortname]], Comp[], 22, FALSE)</f>
        <v>0</v>
      </c>
      <c r="Z415">
        <f>VLOOKUP(Table9[[#This Row],[Shortname]], Comp[], 23, FALSE)</f>
        <v>0</v>
      </c>
      <c r="AA415">
        <f>VLOOKUP(Table9[[#This Row],[Shortname]], Comp[], 24, FALSE)</f>
        <v>0</v>
      </c>
      <c r="AB415">
        <f>VLOOKUP(Table9[[#This Row],[Shortname]], Comp[], 25, FALSE)</f>
        <v>0</v>
      </c>
      <c r="AC415">
        <f>VLOOKUP(Table9[[#This Row],[Shortname]], Comp[], 26, FALSE)</f>
        <v>0</v>
      </c>
      <c r="AD415">
        <f>VLOOKUP(Table9[[#This Row],[Shortname]], Comp[], 27, FALSE)</f>
        <v>0</v>
      </c>
      <c r="AE415">
        <f>VLOOKUP(Table9[[#This Row],[Shortname]], Comp[], 28, FALSE)</f>
        <v>0</v>
      </c>
      <c r="AF415">
        <f>VLOOKUP(Table9[[#This Row],[Shortname]], Comp[], 29, FALSE)</f>
        <v>0</v>
      </c>
      <c r="AG415">
        <f>VLOOKUP(Table9[[#This Row],[Shortname]], Comp[], 30, FALSE)</f>
        <v>0</v>
      </c>
      <c r="AH415">
        <f>VLOOKUP(Table9[[#This Row],[Shortname]], Comp[], 31, FALSE)</f>
        <v>0</v>
      </c>
    </row>
    <row r="416" spans="1:34" x14ac:dyDescent="0.3">
      <c r="A416" t="s">
        <v>2570</v>
      </c>
      <c r="B416" t="s">
        <v>2572</v>
      </c>
      <c r="C416" t="s">
        <v>2573</v>
      </c>
      <c r="D416">
        <v>106.5</v>
      </c>
      <c r="E416">
        <v>1125</v>
      </c>
      <c r="F416">
        <v>0.01</v>
      </c>
      <c r="G416">
        <v>1</v>
      </c>
      <c r="I416">
        <f>VLOOKUP(Table9[[#This Row],[Shortname]], Comp[], 6, FALSE)</f>
        <v>340</v>
      </c>
      <c r="J416" s="14">
        <f>VLOOKUP(Table9[[#This Row],[Shortname]], Comp[], 7, FALSE)</f>
        <v>46.73</v>
      </c>
      <c r="K416">
        <f>VLOOKUP(Table9[[#This Row],[Shortname]], Comp[], 8, FALSE)</f>
        <v>29.96</v>
      </c>
      <c r="L416">
        <f>VLOOKUP(Table9[[#This Row],[Shortname]], Comp[], 9, FALSE)</f>
        <v>9.5399999999999991</v>
      </c>
      <c r="M416">
        <f>VLOOKUP(Table9[[#This Row],[Shortname]], Comp[], 10, FALSE)</f>
        <v>4.78</v>
      </c>
      <c r="N416">
        <f>VLOOKUP(Table9[[#This Row],[Shortname]], Comp[], 11, FALSE)</f>
        <v>0</v>
      </c>
      <c r="O416">
        <f>VLOOKUP(Table9[[#This Row],[Shortname]], Comp[],12, FALSE)</f>
        <v>2.13</v>
      </c>
      <c r="P416">
        <f>VLOOKUP(Table9[[#This Row],[Shortname]], Comp[], 13, FALSE)</f>
        <v>1.91</v>
      </c>
      <c r="Q416">
        <f>VLOOKUP(Table9[[#This Row],[Shortname]], Comp[], 14, FALSE)</f>
        <v>0</v>
      </c>
      <c r="R416">
        <f>VLOOKUP(Table9[[#This Row],[Shortname]], Comp[], 15, FALSE)</f>
        <v>0</v>
      </c>
      <c r="S416">
        <f>VLOOKUP(Table9[[#This Row],[Shortname]], Comp[], 16, FALSE)</f>
        <v>4.95</v>
      </c>
      <c r="T416">
        <f>VLOOKUP(Table9[[#This Row],[Shortname]], Comp[], 17, FALSE)</f>
        <v>0</v>
      </c>
      <c r="U416">
        <f>VLOOKUP(Table9[[#This Row],[Shortname]], Comp[], 18, FALSE)</f>
        <v>0</v>
      </c>
      <c r="V416">
        <f>VLOOKUP(Table9[[#This Row],[Shortname]], Comp[], 19, FALSE)</f>
        <v>0</v>
      </c>
      <c r="W416">
        <f>VLOOKUP(Table9[[#This Row],[Shortname]], Comp[], 20, FALSE)</f>
        <v>0</v>
      </c>
      <c r="X416">
        <f>VLOOKUP(Table9[[#This Row],[Shortname]], Comp[], 21, FALSE)</f>
        <v>0</v>
      </c>
      <c r="Y416">
        <f>VLOOKUP(Table9[[#This Row],[Shortname]], Comp[], 22, FALSE)</f>
        <v>0</v>
      </c>
      <c r="Z416">
        <f>VLOOKUP(Table9[[#This Row],[Shortname]], Comp[], 23, FALSE)</f>
        <v>0</v>
      </c>
      <c r="AA416">
        <f>VLOOKUP(Table9[[#This Row],[Shortname]], Comp[], 24, FALSE)</f>
        <v>0</v>
      </c>
      <c r="AB416">
        <f>VLOOKUP(Table9[[#This Row],[Shortname]], Comp[], 25, FALSE)</f>
        <v>0</v>
      </c>
      <c r="AC416">
        <f>VLOOKUP(Table9[[#This Row],[Shortname]], Comp[], 26, FALSE)</f>
        <v>0</v>
      </c>
      <c r="AD416">
        <f>VLOOKUP(Table9[[#This Row],[Shortname]], Comp[], 27, FALSE)</f>
        <v>0</v>
      </c>
      <c r="AE416">
        <f>VLOOKUP(Table9[[#This Row],[Shortname]], Comp[], 28, FALSE)</f>
        <v>0</v>
      </c>
      <c r="AF416">
        <f>VLOOKUP(Table9[[#This Row],[Shortname]], Comp[], 29, FALSE)</f>
        <v>0</v>
      </c>
      <c r="AG416">
        <f>VLOOKUP(Table9[[#This Row],[Shortname]], Comp[], 30, FALSE)</f>
        <v>0</v>
      </c>
      <c r="AH416">
        <f>VLOOKUP(Table9[[#This Row],[Shortname]], Comp[], 31, FALSE)</f>
        <v>0</v>
      </c>
    </row>
    <row r="417" spans="1:34" x14ac:dyDescent="0.3">
      <c r="A417" t="s">
        <v>4</v>
      </c>
      <c r="B417" t="s">
        <v>7</v>
      </c>
      <c r="C417" t="s">
        <v>8</v>
      </c>
      <c r="D417">
        <v>100</v>
      </c>
      <c r="E417">
        <v>1025</v>
      </c>
      <c r="F417">
        <v>1E-3</v>
      </c>
      <c r="G417">
        <v>1</v>
      </c>
      <c r="H417" t="s">
        <v>6807</v>
      </c>
      <c r="I417">
        <f>VLOOKUP(Table9[[#This Row],[Shortname]], Comp[], 6, FALSE)</f>
        <v>1</v>
      </c>
      <c r="J417" s="14">
        <f>VLOOKUP(Table9[[#This Row],[Shortname]], Comp[], 7, FALSE)</f>
        <v>41.800000000000004</v>
      </c>
      <c r="K417">
        <f>VLOOKUP(Table9[[#This Row],[Shortname]], Comp[], 8, FALSE)</f>
        <v>29.5</v>
      </c>
      <c r="L417">
        <f>VLOOKUP(Table9[[#This Row],[Shortname]], Comp[], 9, FALSE)</f>
        <v>9.6</v>
      </c>
      <c r="M417">
        <f>VLOOKUP(Table9[[#This Row],[Shortname]], Comp[], 10, FALSE)</f>
        <v>12.7</v>
      </c>
      <c r="N417">
        <f>VLOOKUP(Table9[[#This Row],[Shortname]], Comp[], 11, FALSE)</f>
        <v>0</v>
      </c>
      <c r="O417">
        <f>VLOOKUP(Table9[[#This Row],[Shortname]], Comp[],12, FALSE)</f>
        <v>4.5</v>
      </c>
      <c r="P417">
        <f>VLOOKUP(Table9[[#This Row],[Shortname]], Comp[], 13, FALSE)</f>
        <v>0</v>
      </c>
      <c r="Q417">
        <f>VLOOKUP(Table9[[#This Row],[Shortname]], Comp[], 14, FALSE)</f>
        <v>1.9</v>
      </c>
      <c r="R417">
        <f>VLOOKUP(Table9[[#This Row],[Shortname]], Comp[], 15, FALSE)</f>
        <v>0</v>
      </c>
      <c r="S417">
        <f>VLOOKUP(Table9[[#This Row],[Shortname]], Comp[], 16, FALSE)</f>
        <v>0</v>
      </c>
      <c r="T417">
        <f>VLOOKUP(Table9[[#This Row],[Shortname]], Comp[], 17, FALSE)</f>
        <v>0</v>
      </c>
      <c r="U417">
        <f>VLOOKUP(Table9[[#This Row],[Shortname]], Comp[], 18, FALSE)</f>
        <v>0</v>
      </c>
      <c r="V417">
        <f>VLOOKUP(Table9[[#This Row],[Shortname]], Comp[], 19, FALSE)</f>
        <v>0</v>
      </c>
      <c r="W417">
        <f>VLOOKUP(Table9[[#This Row],[Shortname]], Comp[], 20, FALSE)</f>
        <v>0</v>
      </c>
      <c r="X417">
        <f>VLOOKUP(Table9[[#This Row],[Shortname]], Comp[], 21, FALSE)</f>
        <v>0</v>
      </c>
      <c r="Y417">
        <f>VLOOKUP(Table9[[#This Row],[Shortname]], Comp[], 22, FALSE)</f>
        <v>0</v>
      </c>
      <c r="Z417">
        <f>VLOOKUP(Table9[[#This Row],[Shortname]], Comp[], 23, FALSE)</f>
        <v>0</v>
      </c>
      <c r="AA417">
        <f>VLOOKUP(Table9[[#This Row],[Shortname]], Comp[], 24, FALSE)</f>
        <v>0</v>
      </c>
      <c r="AB417">
        <f>VLOOKUP(Table9[[#This Row],[Shortname]], Comp[], 25, FALSE)</f>
        <v>0</v>
      </c>
      <c r="AC417">
        <f>VLOOKUP(Table9[[#This Row],[Shortname]], Comp[], 26, FALSE)</f>
        <v>0</v>
      </c>
      <c r="AD417">
        <f>VLOOKUP(Table9[[#This Row],[Shortname]], Comp[], 27, FALSE)</f>
        <v>0</v>
      </c>
      <c r="AE417">
        <f>VLOOKUP(Table9[[#This Row],[Shortname]], Comp[], 28, FALSE)</f>
        <v>0</v>
      </c>
      <c r="AF417">
        <f>VLOOKUP(Table9[[#This Row],[Shortname]], Comp[], 29, FALSE)</f>
        <v>0</v>
      </c>
      <c r="AG417">
        <f>VLOOKUP(Table9[[#This Row],[Shortname]], Comp[], 30, FALSE)</f>
        <v>0</v>
      </c>
      <c r="AH417">
        <f>VLOOKUP(Table9[[#This Row],[Shortname]], Comp[], 31, FALSE)</f>
        <v>0</v>
      </c>
    </row>
    <row r="418" spans="1:34" x14ac:dyDescent="0.3">
      <c r="A418" t="s">
        <v>3400</v>
      </c>
      <c r="B418" t="s">
        <v>3400</v>
      </c>
      <c r="C418" t="s">
        <v>3401</v>
      </c>
      <c r="D418">
        <v>99</v>
      </c>
      <c r="E418">
        <v>980</v>
      </c>
      <c r="F418">
        <v>2.0000000000000001E-4</v>
      </c>
      <c r="G418">
        <v>1</v>
      </c>
      <c r="H418" t="s">
        <v>6803</v>
      </c>
      <c r="I418">
        <f>VLOOKUP(Table9[[#This Row],[Shortname]], Comp[], 6, FALSE)</f>
        <v>482</v>
      </c>
      <c r="J418" s="14">
        <f>VLOOKUP(Table9[[#This Row],[Shortname]], Comp[], 7, FALSE)</f>
        <v>84.2</v>
      </c>
      <c r="K418">
        <f>VLOOKUP(Table9[[#This Row],[Shortname]], Comp[], 8, FALSE)</f>
        <v>0</v>
      </c>
      <c r="L418">
        <f>VLOOKUP(Table9[[#This Row],[Shortname]], Comp[], 9, FALSE)</f>
        <v>8.9</v>
      </c>
      <c r="M418">
        <f>VLOOKUP(Table9[[#This Row],[Shortname]], Comp[], 10, FALSE)</f>
        <v>0</v>
      </c>
      <c r="N418">
        <f>VLOOKUP(Table9[[#This Row],[Shortname]], Comp[], 11, FALSE)</f>
        <v>6.9</v>
      </c>
      <c r="O418">
        <f>VLOOKUP(Table9[[#This Row],[Shortname]], Comp[],12, FALSE)</f>
        <v>0</v>
      </c>
      <c r="P418">
        <f>VLOOKUP(Table9[[#This Row],[Shortname]], Comp[], 13, FALSE)</f>
        <v>0</v>
      </c>
      <c r="Q418">
        <f>VLOOKUP(Table9[[#This Row],[Shortname]], Comp[], 14, FALSE)</f>
        <v>0</v>
      </c>
      <c r="R418">
        <f>VLOOKUP(Table9[[#This Row],[Shortname]], Comp[], 15, FALSE)</f>
        <v>0</v>
      </c>
      <c r="S418">
        <f>VLOOKUP(Table9[[#This Row],[Shortname]], Comp[], 16, FALSE)</f>
        <v>0</v>
      </c>
      <c r="T418">
        <f>VLOOKUP(Table9[[#This Row],[Shortname]], Comp[], 17, FALSE)</f>
        <v>0</v>
      </c>
      <c r="U418">
        <f>VLOOKUP(Table9[[#This Row],[Shortname]], Comp[], 18, FALSE)</f>
        <v>0</v>
      </c>
      <c r="V418">
        <f>VLOOKUP(Table9[[#This Row],[Shortname]], Comp[], 19, FALSE)</f>
        <v>0</v>
      </c>
      <c r="W418">
        <f>VLOOKUP(Table9[[#This Row],[Shortname]], Comp[], 20, FALSE)</f>
        <v>0</v>
      </c>
      <c r="X418">
        <f>VLOOKUP(Table9[[#This Row],[Shortname]], Comp[], 21, FALSE)</f>
        <v>0</v>
      </c>
      <c r="Y418">
        <f>VLOOKUP(Table9[[#This Row],[Shortname]], Comp[], 22, FALSE)</f>
        <v>0</v>
      </c>
      <c r="Z418">
        <f>VLOOKUP(Table9[[#This Row],[Shortname]], Comp[], 23, FALSE)</f>
        <v>0</v>
      </c>
      <c r="AA418">
        <f>VLOOKUP(Table9[[#This Row],[Shortname]], Comp[], 24, FALSE)</f>
        <v>0</v>
      </c>
      <c r="AB418">
        <f>VLOOKUP(Table9[[#This Row],[Shortname]], Comp[], 25, FALSE)</f>
        <v>0</v>
      </c>
      <c r="AC418">
        <f>VLOOKUP(Table9[[#This Row],[Shortname]], Comp[], 26, FALSE)</f>
        <v>0</v>
      </c>
      <c r="AD418">
        <f>VLOOKUP(Table9[[#This Row],[Shortname]], Comp[], 27, FALSE)</f>
        <v>0</v>
      </c>
      <c r="AE418">
        <f>VLOOKUP(Table9[[#This Row],[Shortname]], Comp[], 28, FALSE)</f>
        <v>0</v>
      </c>
      <c r="AF418">
        <f>VLOOKUP(Table9[[#This Row],[Shortname]], Comp[], 29, FALSE)</f>
        <v>0</v>
      </c>
      <c r="AG418">
        <f>VLOOKUP(Table9[[#This Row],[Shortname]], Comp[], 30, FALSE)</f>
        <v>0</v>
      </c>
      <c r="AH418">
        <f>VLOOKUP(Table9[[#This Row],[Shortname]], Comp[], 31, FALSE)</f>
        <v>0</v>
      </c>
    </row>
    <row r="419" spans="1:34" x14ac:dyDescent="0.3">
      <c r="A419" t="s">
        <v>4</v>
      </c>
      <c r="B419" t="s">
        <v>7</v>
      </c>
      <c r="C419" t="s">
        <v>6833</v>
      </c>
      <c r="D419">
        <v>92</v>
      </c>
      <c r="E419">
        <v>1175</v>
      </c>
      <c r="F419">
        <v>0.1</v>
      </c>
      <c r="G419">
        <v>1</v>
      </c>
      <c r="H419" t="s">
        <v>6807</v>
      </c>
      <c r="I419">
        <f>VLOOKUP(Table9[[#This Row],[Shortname]], Comp[], 6, FALSE)</f>
        <v>1</v>
      </c>
      <c r="J419" s="14">
        <f>VLOOKUP(Table9[[#This Row],[Shortname]], Comp[], 7, FALSE)</f>
        <v>41.800000000000004</v>
      </c>
      <c r="K419">
        <f>VLOOKUP(Table9[[#This Row],[Shortname]], Comp[], 8, FALSE)</f>
        <v>29.5</v>
      </c>
      <c r="L419">
        <f>VLOOKUP(Table9[[#This Row],[Shortname]], Comp[], 9, FALSE)</f>
        <v>9.6</v>
      </c>
      <c r="M419">
        <f>VLOOKUP(Table9[[#This Row],[Shortname]], Comp[], 10, FALSE)</f>
        <v>12.7</v>
      </c>
      <c r="N419">
        <f>VLOOKUP(Table9[[#This Row],[Shortname]], Comp[], 11, FALSE)</f>
        <v>0</v>
      </c>
      <c r="O419">
        <f>VLOOKUP(Table9[[#This Row],[Shortname]], Comp[],12, FALSE)</f>
        <v>4.5</v>
      </c>
      <c r="P419">
        <f>VLOOKUP(Table9[[#This Row],[Shortname]], Comp[], 13, FALSE)</f>
        <v>0</v>
      </c>
      <c r="Q419">
        <f>VLOOKUP(Table9[[#This Row],[Shortname]], Comp[], 14, FALSE)</f>
        <v>1.9</v>
      </c>
      <c r="R419">
        <f>VLOOKUP(Table9[[#This Row],[Shortname]], Comp[], 15, FALSE)</f>
        <v>0</v>
      </c>
      <c r="S419">
        <f>VLOOKUP(Table9[[#This Row],[Shortname]], Comp[], 16, FALSE)</f>
        <v>0</v>
      </c>
      <c r="T419">
        <f>VLOOKUP(Table9[[#This Row],[Shortname]], Comp[], 17, FALSE)</f>
        <v>0</v>
      </c>
      <c r="U419">
        <f>VLOOKUP(Table9[[#This Row],[Shortname]], Comp[], 18, FALSE)</f>
        <v>0</v>
      </c>
      <c r="V419">
        <f>VLOOKUP(Table9[[#This Row],[Shortname]], Comp[], 19, FALSE)</f>
        <v>0</v>
      </c>
      <c r="W419">
        <f>VLOOKUP(Table9[[#This Row],[Shortname]], Comp[], 20, FALSE)</f>
        <v>0</v>
      </c>
      <c r="X419">
        <f>VLOOKUP(Table9[[#This Row],[Shortname]], Comp[], 21, FALSE)</f>
        <v>0</v>
      </c>
      <c r="Y419">
        <f>VLOOKUP(Table9[[#This Row],[Shortname]], Comp[], 22, FALSE)</f>
        <v>0</v>
      </c>
      <c r="Z419">
        <f>VLOOKUP(Table9[[#This Row],[Shortname]], Comp[], 23, FALSE)</f>
        <v>0</v>
      </c>
      <c r="AA419">
        <f>VLOOKUP(Table9[[#This Row],[Shortname]], Comp[], 24, FALSE)</f>
        <v>0</v>
      </c>
      <c r="AB419">
        <f>VLOOKUP(Table9[[#This Row],[Shortname]], Comp[], 25, FALSE)</f>
        <v>0</v>
      </c>
      <c r="AC419">
        <f>VLOOKUP(Table9[[#This Row],[Shortname]], Comp[], 26, FALSE)</f>
        <v>0</v>
      </c>
      <c r="AD419">
        <f>VLOOKUP(Table9[[#This Row],[Shortname]], Comp[], 27, FALSE)</f>
        <v>0</v>
      </c>
      <c r="AE419">
        <f>VLOOKUP(Table9[[#This Row],[Shortname]], Comp[], 28, FALSE)</f>
        <v>0</v>
      </c>
      <c r="AF419">
        <f>VLOOKUP(Table9[[#This Row],[Shortname]], Comp[], 29, FALSE)</f>
        <v>0</v>
      </c>
      <c r="AG419">
        <f>VLOOKUP(Table9[[#This Row],[Shortname]], Comp[], 30, FALSE)</f>
        <v>0</v>
      </c>
      <c r="AH419">
        <f>VLOOKUP(Table9[[#This Row],[Shortname]], Comp[], 31, FALSE)</f>
        <v>0</v>
      </c>
    </row>
    <row r="420" spans="1:34" x14ac:dyDescent="0.3">
      <c r="A420" t="s">
        <v>4</v>
      </c>
      <c r="B420" t="s">
        <v>7</v>
      </c>
      <c r="C420" t="s">
        <v>6834</v>
      </c>
      <c r="D420">
        <v>83</v>
      </c>
      <c r="E420">
        <v>1125</v>
      </c>
      <c r="F420">
        <v>0.01</v>
      </c>
      <c r="G420">
        <v>1</v>
      </c>
      <c r="H420" t="s">
        <v>6807</v>
      </c>
      <c r="I420">
        <f>VLOOKUP(Table9[[#This Row],[Shortname]], Comp[], 6, FALSE)</f>
        <v>1</v>
      </c>
      <c r="J420" s="14">
        <f>VLOOKUP(Table9[[#This Row],[Shortname]], Comp[], 7, FALSE)</f>
        <v>41.800000000000004</v>
      </c>
      <c r="K420">
        <f>VLOOKUP(Table9[[#This Row],[Shortname]], Comp[], 8, FALSE)</f>
        <v>29.5</v>
      </c>
      <c r="L420">
        <f>VLOOKUP(Table9[[#This Row],[Shortname]], Comp[], 9, FALSE)</f>
        <v>9.6</v>
      </c>
      <c r="M420">
        <f>VLOOKUP(Table9[[#This Row],[Shortname]], Comp[], 10, FALSE)</f>
        <v>12.7</v>
      </c>
      <c r="N420">
        <f>VLOOKUP(Table9[[#This Row],[Shortname]], Comp[], 11, FALSE)</f>
        <v>0</v>
      </c>
      <c r="O420">
        <f>VLOOKUP(Table9[[#This Row],[Shortname]], Comp[],12, FALSE)</f>
        <v>4.5</v>
      </c>
      <c r="P420">
        <f>VLOOKUP(Table9[[#This Row],[Shortname]], Comp[], 13, FALSE)</f>
        <v>0</v>
      </c>
      <c r="Q420">
        <f>VLOOKUP(Table9[[#This Row],[Shortname]], Comp[], 14, FALSE)</f>
        <v>1.9</v>
      </c>
      <c r="R420">
        <f>VLOOKUP(Table9[[#This Row],[Shortname]], Comp[], 15, FALSE)</f>
        <v>0</v>
      </c>
      <c r="S420">
        <f>VLOOKUP(Table9[[#This Row],[Shortname]], Comp[], 16, FALSE)</f>
        <v>0</v>
      </c>
      <c r="T420">
        <f>VLOOKUP(Table9[[#This Row],[Shortname]], Comp[], 17, FALSE)</f>
        <v>0</v>
      </c>
      <c r="U420">
        <f>VLOOKUP(Table9[[#This Row],[Shortname]], Comp[], 18, FALSE)</f>
        <v>0</v>
      </c>
      <c r="V420">
        <f>VLOOKUP(Table9[[#This Row],[Shortname]], Comp[], 19, FALSE)</f>
        <v>0</v>
      </c>
      <c r="W420">
        <f>VLOOKUP(Table9[[#This Row],[Shortname]], Comp[], 20, FALSE)</f>
        <v>0</v>
      </c>
      <c r="X420">
        <f>VLOOKUP(Table9[[#This Row],[Shortname]], Comp[], 21, FALSE)</f>
        <v>0</v>
      </c>
      <c r="Y420">
        <f>VLOOKUP(Table9[[#This Row],[Shortname]], Comp[], 22, FALSE)</f>
        <v>0</v>
      </c>
      <c r="Z420">
        <f>VLOOKUP(Table9[[#This Row],[Shortname]], Comp[], 23, FALSE)</f>
        <v>0</v>
      </c>
      <c r="AA420">
        <f>VLOOKUP(Table9[[#This Row],[Shortname]], Comp[], 24, FALSE)</f>
        <v>0</v>
      </c>
      <c r="AB420">
        <f>VLOOKUP(Table9[[#This Row],[Shortname]], Comp[], 25, FALSE)</f>
        <v>0</v>
      </c>
      <c r="AC420">
        <f>VLOOKUP(Table9[[#This Row],[Shortname]], Comp[], 26, FALSE)</f>
        <v>0</v>
      </c>
      <c r="AD420">
        <f>VLOOKUP(Table9[[#This Row],[Shortname]], Comp[], 27, FALSE)</f>
        <v>0</v>
      </c>
      <c r="AE420">
        <f>VLOOKUP(Table9[[#This Row],[Shortname]], Comp[], 28, FALSE)</f>
        <v>0</v>
      </c>
      <c r="AF420">
        <f>VLOOKUP(Table9[[#This Row],[Shortname]], Comp[], 29, FALSE)</f>
        <v>0</v>
      </c>
      <c r="AG420">
        <f>VLOOKUP(Table9[[#This Row],[Shortname]], Comp[], 30, FALSE)</f>
        <v>0</v>
      </c>
      <c r="AH420">
        <f>VLOOKUP(Table9[[#This Row],[Shortname]], Comp[], 31, FALSE)</f>
        <v>0</v>
      </c>
    </row>
    <row r="421" spans="1:34" x14ac:dyDescent="0.3">
      <c r="A421" t="s">
        <v>2570</v>
      </c>
      <c r="B421" t="s">
        <v>2572</v>
      </c>
      <c r="C421" t="s">
        <v>2573</v>
      </c>
      <c r="D421">
        <v>79.900000000000006</v>
      </c>
      <c r="E421">
        <v>1175</v>
      </c>
      <c r="F421">
        <v>0.01</v>
      </c>
      <c r="G421">
        <v>1</v>
      </c>
      <c r="I421">
        <f>VLOOKUP(Table9[[#This Row],[Shortname]], Comp[], 6, FALSE)</f>
        <v>340</v>
      </c>
      <c r="J421" s="14">
        <f>VLOOKUP(Table9[[#This Row],[Shortname]], Comp[], 7, FALSE)</f>
        <v>46.73</v>
      </c>
      <c r="K421">
        <f>VLOOKUP(Table9[[#This Row],[Shortname]], Comp[], 8, FALSE)</f>
        <v>29.96</v>
      </c>
      <c r="L421">
        <f>VLOOKUP(Table9[[#This Row],[Shortname]], Comp[], 9, FALSE)</f>
        <v>9.5399999999999991</v>
      </c>
      <c r="M421">
        <f>VLOOKUP(Table9[[#This Row],[Shortname]], Comp[], 10, FALSE)</f>
        <v>4.78</v>
      </c>
      <c r="N421">
        <f>VLOOKUP(Table9[[#This Row],[Shortname]], Comp[], 11, FALSE)</f>
        <v>0</v>
      </c>
      <c r="O421">
        <f>VLOOKUP(Table9[[#This Row],[Shortname]], Comp[],12, FALSE)</f>
        <v>2.13</v>
      </c>
      <c r="P421">
        <f>VLOOKUP(Table9[[#This Row],[Shortname]], Comp[], 13, FALSE)</f>
        <v>1.91</v>
      </c>
      <c r="Q421">
        <f>VLOOKUP(Table9[[#This Row],[Shortname]], Comp[], 14, FALSE)</f>
        <v>0</v>
      </c>
      <c r="R421">
        <f>VLOOKUP(Table9[[#This Row],[Shortname]], Comp[], 15, FALSE)</f>
        <v>0</v>
      </c>
      <c r="S421">
        <f>VLOOKUP(Table9[[#This Row],[Shortname]], Comp[], 16, FALSE)</f>
        <v>4.95</v>
      </c>
      <c r="T421">
        <f>VLOOKUP(Table9[[#This Row],[Shortname]], Comp[], 17, FALSE)</f>
        <v>0</v>
      </c>
      <c r="U421">
        <f>VLOOKUP(Table9[[#This Row],[Shortname]], Comp[], 18, FALSE)</f>
        <v>0</v>
      </c>
      <c r="V421">
        <f>VLOOKUP(Table9[[#This Row],[Shortname]], Comp[], 19, FALSE)</f>
        <v>0</v>
      </c>
      <c r="W421">
        <f>VLOOKUP(Table9[[#This Row],[Shortname]], Comp[], 20, FALSE)</f>
        <v>0</v>
      </c>
      <c r="X421">
        <f>VLOOKUP(Table9[[#This Row],[Shortname]], Comp[], 21, FALSE)</f>
        <v>0</v>
      </c>
      <c r="Y421">
        <f>VLOOKUP(Table9[[#This Row],[Shortname]], Comp[], 22, FALSE)</f>
        <v>0</v>
      </c>
      <c r="Z421">
        <f>VLOOKUP(Table9[[#This Row],[Shortname]], Comp[], 23, FALSE)</f>
        <v>0</v>
      </c>
      <c r="AA421">
        <f>VLOOKUP(Table9[[#This Row],[Shortname]], Comp[], 24, FALSE)</f>
        <v>0</v>
      </c>
      <c r="AB421">
        <f>VLOOKUP(Table9[[#This Row],[Shortname]], Comp[], 25, FALSE)</f>
        <v>0</v>
      </c>
      <c r="AC421">
        <f>VLOOKUP(Table9[[#This Row],[Shortname]], Comp[], 26, FALSE)</f>
        <v>0</v>
      </c>
      <c r="AD421">
        <f>VLOOKUP(Table9[[#This Row],[Shortname]], Comp[], 27, FALSE)</f>
        <v>0</v>
      </c>
      <c r="AE421">
        <f>VLOOKUP(Table9[[#This Row],[Shortname]], Comp[], 28, FALSE)</f>
        <v>0</v>
      </c>
      <c r="AF421">
        <f>VLOOKUP(Table9[[#This Row],[Shortname]], Comp[], 29, FALSE)</f>
        <v>0</v>
      </c>
      <c r="AG421">
        <f>VLOOKUP(Table9[[#This Row],[Shortname]], Comp[], 30, FALSE)</f>
        <v>0</v>
      </c>
      <c r="AH421">
        <f>VLOOKUP(Table9[[#This Row],[Shortname]], Comp[], 31, FALSE)</f>
        <v>0</v>
      </c>
    </row>
    <row r="422" spans="1:34" x14ac:dyDescent="0.3">
      <c r="A422" t="s">
        <v>983</v>
      </c>
      <c r="B422" t="s">
        <v>5230</v>
      </c>
      <c r="C422" t="s">
        <v>5231</v>
      </c>
      <c r="D422">
        <v>74</v>
      </c>
      <c r="E422">
        <v>1001</v>
      </c>
      <c r="F422">
        <v>1E-4</v>
      </c>
      <c r="G422">
        <v>1</v>
      </c>
      <c r="H422" t="s">
        <v>6803</v>
      </c>
      <c r="I422">
        <f>VLOOKUP(Table9[[#This Row],[Shortname]], Comp[], 6, FALSE)</f>
        <v>127</v>
      </c>
      <c r="J422" s="14">
        <f>VLOOKUP(Table9[[#This Row],[Shortname]], Comp[], 7, FALSE)</f>
        <v>77</v>
      </c>
      <c r="K422">
        <f>VLOOKUP(Table9[[#This Row],[Shortname]], Comp[], 8, FALSE)</f>
        <v>0</v>
      </c>
      <c r="L422">
        <f>VLOOKUP(Table9[[#This Row],[Shortname]], Comp[], 9, FALSE)</f>
        <v>12</v>
      </c>
      <c r="M422">
        <f>VLOOKUP(Table9[[#This Row],[Shortname]], Comp[], 10, FALSE)</f>
        <v>0</v>
      </c>
      <c r="N422">
        <f>VLOOKUP(Table9[[#This Row],[Shortname]], Comp[], 11, FALSE)</f>
        <v>11</v>
      </c>
      <c r="O422">
        <f>VLOOKUP(Table9[[#This Row],[Shortname]], Comp[],12, FALSE)</f>
        <v>0</v>
      </c>
      <c r="P422">
        <f>VLOOKUP(Table9[[#This Row],[Shortname]], Comp[], 13, FALSE)</f>
        <v>0</v>
      </c>
      <c r="Q422">
        <f>VLOOKUP(Table9[[#This Row],[Shortname]], Comp[], 14, FALSE)</f>
        <v>0</v>
      </c>
      <c r="R422">
        <f>VLOOKUP(Table9[[#This Row],[Shortname]], Comp[], 15, FALSE)</f>
        <v>0</v>
      </c>
      <c r="S422">
        <f>VLOOKUP(Table9[[#This Row],[Shortname]], Comp[], 16, FALSE)</f>
        <v>0</v>
      </c>
      <c r="T422">
        <f>VLOOKUP(Table9[[#This Row],[Shortname]], Comp[], 17, FALSE)</f>
        <v>0</v>
      </c>
      <c r="U422">
        <f>VLOOKUP(Table9[[#This Row],[Shortname]], Comp[], 18, FALSE)</f>
        <v>0</v>
      </c>
      <c r="V422">
        <f>VLOOKUP(Table9[[#This Row],[Shortname]], Comp[], 19, FALSE)</f>
        <v>0</v>
      </c>
      <c r="W422">
        <f>VLOOKUP(Table9[[#This Row],[Shortname]], Comp[], 20, FALSE)</f>
        <v>0</v>
      </c>
      <c r="X422">
        <f>VLOOKUP(Table9[[#This Row],[Shortname]], Comp[], 21, FALSE)</f>
        <v>0</v>
      </c>
      <c r="Y422">
        <f>VLOOKUP(Table9[[#This Row],[Shortname]], Comp[], 22, FALSE)</f>
        <v>0</v>
      </c>
      <c r="Z422">
        <f>VLOOKUP(Table9[[#This Row],[Shortname]], Comp[], 23, FALSE)</f>
        <v>0</v>
      </c>
      <c r="AA422">
        <f>VLOOKUP(Table9[[#This Row],[Shortname]], Comp[], 24, FALSE)</f>
        <v>0</v>
      </c>
      <c r="AB422">
        <f>VLOOKUP(Table9[[#This Row],[Shortname]], Comp[], 25, FALSE)</f>
        <v>0</v>
      </c>
      <c r="AC422">
        <f>VLOOKUP(Table9[[#This Row],[Shortname]], Comp[], 26, FALSE)</f>
        <v>0</v>
      </c>
      <c r="AD422">
        <f>VLOOKUP(Table9[[#This Row],[Shortname]], Comp[], 27, FALSE)</f>
        <v>0</v>
      </c>
      <c r="AE422">
        <f>VLOOKUP(Table9[[#This Row],[Shortname]], Comp[], 28, FALSE)</f>
        <v>0</v>
      </c>
      <c r="AF422">
        <f>VLOOKUP(Table9[[#This Row],[Shortname]], Comp[], 29, FALSE)</f>
        <v>0</v>
      </c>
      <c r="AG422">
        <f>VLOOKUP(Table9[[#This Row],[Shortname]], Comp[], 30, FALSE)</f>
        <v>0</v>
      </c>
      <c r="AH422">
        <f>VLOOKUP(Table9[[#This Row],[Shortname]], Comp[], 31, FALSE)</f>
        <v>0</v>
      </c>
    </row>
    <row r="423" spans="1:34" x14ac:dyDescent="0.3">
      <c r="A423" t="s">
        <v>4</v>
      </c>
      <c r="B423" t="s">
        <v>7</v>
      </c>
      <c r="C423" t="s">
        <v>6835</v>
      </c>
      <c r="D423">
        <v>68</v>
      </c>
      <c r="E423">
        <v>1075</v>
      </c>
      <c r="F423">
        <v>1E-3</v>
      </c>
      <c r="G423">
        <v>1</v>
      </c>
      <c r="H423" t="s">
        <v>6807</v>
      </c>
      <c r="I423">
        <f>VLOOKUP(Table9[[#This Row],[Shortname]], Comp[], 6, FALSE)</f>
        <v>1</v>
      </c>
      <c r="J423" s="14">
        <f>VLOOKUP(Table9[[#This Row],[Shortname]], Comp[], 7, FALSE)</f>
        <v>41.800000000000004</v>
      </c>
      <c r="K423">
        <f>VLOOKUP(Table9[[#This Row],[Shortname]], Comp[], 8, FALSE)</f>
        <v>29.5</v>
      </c>
      <c r="L423">
        <f>VLOOKUP(Table9[[#This Row],[Shortname]], Comp[], 9, FALSE)</f>
        <v>9.6</v>
      </c>
      <c r="M423">
        <f>VLOOKUP(Table9[[#This Row],[Shortname]], Comp[], 10, FALSE)</f>
        <v>12.7</v>
      </c>
      <c r="N423">
        <f>VLOOKUP(Table9[[#This Row],[Shortname]], Comp[], 11, FALSE)</f>
        <v>0</v>
      </c>
      <c r="O423">
        <f>VLOOKUP(Table9[[#This Row],[Shortname]], Comp[],12, FALSE)</f>
        <v>4.5</v>
      </c>
      <c r="P423">
        <f>VLOOKUP(Table9[[#This Row],[Shortname]], Comp[], 13, FALSE)</f>
        <v>0</v>
      </c>
      <c r="Q423">
        <f>VLOOKUP(Table9[[#This Row],[Shortname]], Comp[], 14, FALSE)</f>
        <v>1.9</v>
      </c>
      <c r="R423">
        <f>VLOOKUP(Table9[[#This Row],[Shortname]], Comp[], 15, FALSE)</f>
        <v>0</v>
      </c>
      <c r="S423">
        <f>VLOOKUP(Table9[[#This Row],[Shortname]], Comp[], 16, FALSE)</f>
        <v>0</v>
      </c>
      <c r="T423">
        <f>VLOOKUP(Table9[[#This Row],[Shortname]], Comp[], 17, FALSE)</f>
        <v>0</v>
      </c>
      <c r="U423">
        <f>VLOOKUP(Table9[[#This Row],[Shortname]], Comp[], 18, FALSE)</f>
        <v>0</v>
      </c>
      <c r="V423">
        <f>VLOOKUP(Table9[[#This Row],[Shortname]], Comp[], 19, FALSE)</f>
        <v>0</v>
      </c>
      <c r="W423">
        <f>VLOOKUP(Table9[[#This Row],[Shortname]], Comp[], 20, FALSE)</f>
        <v>0</v>
      </c>
      <c r="X423">
        <f>VLOOKUP(Table9[[#This Row],[Shortname]], Comp[], 21, FALSE)</f>
        <v>0</v>
      </c>
      <c r="Y423">
        <f>VLOOKUP(Table9[[#This Row],[Shortname]], Comp[], 22, FALSE)</f>
        <v>0</v>
      </c>
      <c r="Z423">
        <f>VLOOKUP(Table9[[#This Row],[Shortname]], Comp[], 23, FALSE)</f>
        <v>0</v>
      </c>
      <c r="AA423">
        <f>VLOOKUP(Table9[[#This Row],[Shortname]], Comp[], 24, FALSE)</f>
        <v>0</v>
      </c>
      <c r="AB423">
        <f>VLOOKUP(Table9[[#This Row],[Shortname]], Comp[], 25, FALSE)</f>
        <v>0</v>
      </c>
      <c r="AC423">
        <f>VLOOKUP(Table9[[#This Row],[Shortname]], Comp[], 26, FALSE)</f>
        <v>0</v>
      </c>
      <c r="AD423">
        <f>VLOOKUP(Table9[[#This Row],[Shortname]], Comp[], 27, FALSE)</f>
        <v>0</v>
      </c>
      <c r="AE423">
        <f>VLOOKUP(Table9[[#This Row],[Shortname]], Comp[], 28, FALSE)</f>
        <v>0</v>
      </c>
      <c r="AF423">
        <f>VLOOKUP(Table9[[#This Row],[Shortname]], Comp[], 29, FALSE)</f>
        <v>0</v>
      </c>
      <c r="AG423">
        <f>VLOOKUP(Table9[[#This Row],[Shortname]], Comp[], 30, FALSE)</f>
        <v>0</v>
      </c>
      <c r="AH423">
        <f>VLOOKUP(Table9[[#This Row],[Shortname]], Comp[], 31, FALSE)</f>
        <v>0</v>
      </c>
    </row>
    <row r="424" spans="1:34" x14ac:dyDescent="0.3">
      <c r="A424" t="s">
        <v>2570</v>
      </c>
      <c r="B424" t="s">
        <v>2572</v>
      </c>
      <c r="C424" t="s">
        <v>2573</v>
      </c>
      <c r="D424">
        <v>65.680000000000007</v>
      </c>
      <c r="E424">
        <v>1225</v>
      </c>
      <c r="F424">
        <v>0.01</v>
      </c>
      <c r="G424">
        <v>1</v>
      </c>
      <c r="I424">
        <f>VLOOKUP(Table9[[#This Row],[Shortname]], Comp[], 6, FALSE)</f>
        <v>340</v>
      </c>
      <c r="J424" s="14">
        <f>VLOOKUP(Table9[[#This Row],[Shortname]], Comp[], 7, FALSE)</f>
        <v>46.73</v>
      </c>
      <c r="K424">
        <f>VLOOKUP(Table9[[#This Row],[Shortname]], Comp[], 8, FALSE)</f>
        <v>29.96</v>
      </c>
      <c r="L424">
        <f>VLOOKUP(Table9[[#This Row],[Shortname]], Comp[], 9, FALSE)</f>
        <v>9.5399999999999991</v>
      </c>
      <c r="M424">
        <f>VLOOKUP(Table9[[#This Row],[Shortname]], Comp[], 10, FALSE)</f>
        <v>4.78</v>
      </c>
      <c r="N424">
        <f>VLOOKUP(Table9[[#This Row],[Shortname]], Comp[], 11, FALSE)</f>
        <v>0</v>
      </c>
      <c r="O424">
        <f>VLOOKUP(Table9[[#This Row],[Shortname]], Comp[],12, FALSE)</f>
        <v>2.13</v>
      </c>
      <c r="P424">
        <f>VLOOKUP(Table9[[#This Row],[Shortname]], Comp[], 13, FALSE)</f>
        <v>1.91</v>
      </c>
      <c r="Q424">
        <f>VLOOKUP(Table9[[#This Row],[Shortname]], Comp[], 14, FALSE)</f>
        <v>0</v>
      </c>
      <c r="R424">
        <f>VLOOKUP(Table9[[#This Row],[Shortname]], Comp[], 15, FALSE)</f>
        <v>0</v>
      </c>
      <c r="S424">
        <f>VLOOKUP(Table9[[#This Row],[Shortname]], Comp[], 16, FALSE)</f>
        <v>4.95</v>
      </c>
      <c r="T424">
        <f>VLOOKUP(Table9[[#This Row],[Shortname]], Comp[], 17, FALSE)</f>
        <v>0</v>
      </c>
      <c r="U424">
        <f>VLOOKUP(Table9[[#This Row],[Shortname]], Comp[], 18, FALSE)</f>
        <v>0</v>
      </c>
      <c r="V424">
        <f>VLOOKUP(Table9[[#This Row],[Shortname]], Comp[], 19, FALSE)</f>
        <v>0</v>
      </c>
      <c r="W424">
        <f>VLOOKUP(Table9[[#This Row],[Shortname]], Comp[], 20, FALSE)</f>
        <v>0</v>
      </c>
      <c r="X424">
        <f>VLOOKUP(Table9[[#This Row],[Shortname]], Comp[], 21, FALSE)</f>
        <v>0</v>
      </c>
      <c r="Y424">
        <f>VLOOKUP(Table9[[#This Row],[Shortname]], Comp[], 22, FALSE)</f>
        <v>0</v>
      </c>
      <c r="Z424">
        <f>VLOOKUP(Table9[[#This Row],[Shortname]], Comp[], 23, FALSE)</f>
        <v>0</v>
      </c>
      <c r="AA424">
        <f>VLOOKUP(Table9[[#This Row],[Shortname]], Comp[], 24, FALSE)</f>
        <v>0</v>
      </c>
      <c r="AB424">
        <f>VLOOKUP(Table9[[#This Row],[Shortname]], Comp[], 25, FALSE)</f>
        <v>0</v>
      </c>
      <c r="AC424">
        <f>VLOOKUP(Table9[[#This Row],[Shortname]], Comp[], 26, FALSE)</f>
        <v>0</v>
      </c>
      <c r="AD424">
        <f>VLOOKUP(Table9[[#This Row],[Shortname]], Comp[], 27, FALSE)</f>
        <v>0</v>
      </c>
      <c r="AE424">
        <f>VLOOKUP(Table9[[#This Row],[Shortname]], Comp[], 28, FALSE)</f>
        <v>0</v>
      </c>
      <c r="AF424">
        <f>VLOOKUP(Table9[[#This Row],[Shortname]], Comp[], 29, FALSE)</f>
        <v>0</v>
      </c>
      <c r="AG424">
        <f>VLOOKUP(Table9[[#This Row],[Shortname]], Comp[], 30, FALSE)</f>
        <v>0</v>
      </c>
      <c r="AH424">
        <f>VLOOKUP(Table9[[#This Row],[Shortname]], Comp[], 31, FALSE)</f>
        <v>0</v>
      </c>
    </row>
    <row r="425" spans="1:34" x14ac:dyDescent="0.3">
      <c r="A425" t="s">
        <v>2570</v>
      </c>
      <c r="B425" t="s">
        <v>2572</v>
      </c>
      <c r="C425" t="s">
        <v>2573</v>
      </c>
      <c r="D425">
        <v>63.9</v>
      </c>
      <c r="E425">
        <v>1125</v>
      </c>
      <c r="F425">
        <v>1E-3</v>
      </c>
      <c r="G425">
        <v>1</v>
      </c>
      <c r="I425">
        <f>VLOOKUP(Table9[[#This Row],[Shortname]], Comp[], 6, FALSE)</f>
        <v>340</v>
      </c>
      <c r="J425" s="14">
        <f>VLOOKUP(Table9[[#This Row],[Shortname]], Comp[], 7, FALSE)</f>
        <v>46.73</v>
      </c>
      <c r="K425">
        <f>VLOOKUP(Table9[[#This Row],[Shortname]], Comp[], 8, FALSE)</f>
        <v>29.96</v>
      </c>
      <c r="L425">
        <f>VLOOKUP(Table9[[#This Row],[Shortname]], Comp[], 9, FALSE)</f>
        <v>9.5399999999999991</v>
      </c>
      <c r="M425">
        <f>VLOOKUP(Table9[[#This Row],[Shortname]], Comp[], 10, FALSE)</f>
        <v>4.78</v>
      </c>
      <c r="N425">
        <f>VLOOKUP(Table9[[#This Row],[Shortname]], Comp[], 11, FALSE)</f>
        <v>0</v>
      </c>
      <c r="O425">
        <f>VLOOKUP(Table9[[#This Row],[Shortname]], Comp[],12, FALSE)</f>
        <v>2.13</v>
      </c>
      <c r="P425">
        <f>VLOOKUP(Table9[[#This Row],[Shortname]], Comp[], 13, FALSE)</f>
        <v>1.91</v>
      </c>
      <c r="Q425">
        <f>VLOOKUP(Table9[[#This Row],[Shortname]], Comp[], 14, FALSE)</f>
        <v>0</v>
      </c>
      <c r="R425">
        <f>VLOOKUP(Table9[[#This Row],[Shortname]], Comp[], 15, FALSE)</f>
        <v>0</v>
      </c>
      <c r="S425">
        <f>VLOOKUP(Table9[[#This Row],[Shortname]], Comp[], 16, FALSE)</f>
        <v>4.95</v>
      </c>
      <c r="T425">
        <f>VLOOKUP(Table9[[#This Row],[Shortname]], Comp[], 17, FALSE)</f>
        <v>0</v>
      </c>
      <c r="U425">
        <f>VLOOKUP(Table9[[#This Row],[Shortname]], Comp[], 18, FALSE)</f>
        <v>0</v>
      </c>
      <c r="V425">
        <f>VLOOKUP(Table9[[#This Row],[Shortname]], Comp[], 19, FALSE)</f>
        <v>0</v>
      </c>
      <c r="W425">
        <f>VLOOKUP(Table9[[#This Row],[Shortname]], Comp[], 20, FALSE)</f>
        <v>0</v>
      </c>
      <c r="X425">
        <f>VLOOKUP(Table9[[#This Row],[Shortname]], Comp[], 21, FALSE)</f>
        <v>0</v>
      </c>
      <c r="Y425">
        <f>VLOOKUP(Table9[[#This Row],[Shortname]], Comp[], 22, FALSE)</f>
        <v>0</v>
      </c>
      <c r="Z425">
        <f>VLOOKUP(Table9[[#This Row],[Shortname]], Comp[], 23, FALSE)</f>
        <v>0</v>
      </c>
      <c r="AA425">
        <f>VLOOKUP(Table9[[#This Row],[Shortname]], Comp[], 24, FALSE)</f>
        <v>0</v>
      </c>
      <c r="AB425">
        <f>VLOOKUP(Table9[[#This Row],[Shortname]], Comp[], 25, FALSE)</f>
        <v>0</v>
      </c>
      <c r="AC425">
        <f>VLOOKUP(Table9[[#This Row],[Shortname]], Comp[], 26, FALSE)</f>
        <v>0</v>
      </c>
      <c r="AD425">
        <f>VLOOKUP(Table9[[#This Row],[Shortname]], Comp[], 27, FALSE)</f>
        <v>0</v>
      </c>
      <c r="AE425">
        <f>VLOOKUP(Table9[[#This Row],[Shortname]], Comp[], 28, FALSE)</f>
        <v>0</v>
      </c>
      <c r="AF425">
        <f>VLOOKUP(Table9[[#This Row],[Shortname]], Comp[], 29, FALSE)</f>
        <v>0</v>
      </c>
      <c r="AG425">
        <f>VLOOKUP(Table9[[#This Row],[Shortname]], Comp[], 30, FALSE)</f>
        <v>0</v>
      </c>
      <c r="AH425">
        <f>VLOOKUP(Table9[[#This Row],[Shortname]], Comp[], 31, FALSE)</f>
        <v>0</v>
      </c>
    </row>
    <row r="426" spans="1:34" x14ac:dyDescent="0.3">
      <c r="A426" t="s">
        <v>4</v>
      </c>
      <c r="B426" t="s">
        <v>7</v>
      </c>
      <c r="C426" t="s">
        <v>6836</v>
      </c>
      <c r="D426">
        <v>57</v>
      </c>
      <c r="E426">
        <v>1125</v>
      </c>
      <c r="F426">
        <v>1E-3</v>
      </c>
      <c r="G426">
        <v>1</v>
      </c>
      <c r="H426" t="s">
        <v>6807</v>
      </c>
      <c r="I426">
        <f>VLOOKUP(Table9[[#This Row],[Shortname]], Comp[], 6, FALSE)</f>
        <v>1</v>
      </c>
      <c r="J426" s="14">
        <f>VLOOKUP(Table9[[#This Row],[Shortname]], Comp[], 7, FALSE)</f>
        <v>41.800000000000004</v>
      </c>
      <c r="K426">
        <f>VLOOKUP(Table9[[#This Row],[Shortname]], Comp[], 8, FALSE)</f>
        <v>29.5</v>
      </c>
      <c r="L426">
        <f>VLOOKUP(Table9[[#This Row],[Shortname]], Comp[], 9, FALSE)</f>
        <v>9.6</v>
      </c>
      <c r="M426">
        <f>VLOOKUP(Table9[[#This Row],[Shortname]], Comp[], 10, FALSE)</f>
        <v>12.7</v>
      </c>
      <c r="N426">
        <f>VLOOKUP(Table9[[#This Row],[Shortname]], Comp[], 11, FALSE)</f>
        <v>0</v>
      </c>
      <c r="O426">
        <f>VLOOKUP(Table9[[#This Row],[Shortname]], Comp[],12, FALSE)</f>
        <v>4.5</v>
      </c>
      <c r="P426">
        <f>VLOOKUP(Table9[[#This Row],[Shortname]], Comp[], 13, FALSE)</f>
        <v>0</v>
      </c>
      <c r="Q426">
        <f>VLOOKUP(Table9[[#This Row],[Shortname]], Comp[], 14, FALSE)</f>
        <v>1.9</v>
      </c>
      <c r="R426">
        <f>VLOOKUP(Table9[[#This Row],[Shortname]], Comp[], 15, FALSE)</f>
        <v>0</v>
      </c>
      <c r="S426">
        <f>VLOOKUP(Table9[[#This Row],[Shortname]], Comp[], 16, FALSE)</f>
        <v>0</v>
      </c>
      <c r="T426">
        <f>VLOOKUP(Table9[[#This Row],[Shortname]], Comp[], 17, FALSE)</f>
        <v>0</v>
      </c>
      <c r="U426">
        <f>VLOOKUP(Table9[[#This Row],[Shortname]], Comp[], 18, FALSE)</f>
        <v>0</v>
      </c>
      <c r="V426">
        <f>VLOOKUP(Table9[[#This Row],[Shortname]], Comp[], 19, FALSE)</f>
        <v>0</v>
      </c>
      <c r="W426">
        <f>VLOOKUP(Table9[[#This Row],[Shortname]], Comp[], 20, FALSE)</f>
        <v>0</v>
      </c>
      <c r="X426">
        <f>VLOOKUP(Table9[[#This Row],[Shortname]], Comp[], 21, FALSE)</f>
        <v>0</v>
      </c>
      <c r="Y426">
        <f>VLOOKUP(Table9[[#This Row],[Shortname]], Comp[], 22, FALSE)</f>
        <v>0</v>
      </c>
      <c r="Z426">
        <f>VLOOKUP(Table9[[#This Row],[Shortname]], Comp[], 23, FALSE)</f>
        <v>0</v>
      </c>
      <c r="AA426">
        <f>VLOOKUP(Table9[[#This Row],[Shortname]], Comp[], 24, FALSE)</f>
        <v>0</v>
      </c>
      <c r="AB426">
        <f>VLOOKUP(Table9[[#This Row],[Shortname]], Comp[], 25, FALSE)</f>
        <v>0</v>
      </c>
      <c r="AC426">
        <f>VLOOKUP(Table9[[#This Row],[Shortname]], Comp[], 26, FALSE)</f>
        <v>0</v>
      </c>
      <c r="AD426">
        <f>VLOOKUP(Table9[[#This Row],[Shortname]], Comp[], 27, FALSE)</f>
        <v>0</v>
      </c>
      <c r="AE426">
        <f>VLOOKUP(Table9[[#This Row],[Shortname]], Comp[], 28, FALSE)</f>
        <v>0</v>
      </c>
      <c r="AF426">
        <f>VLOOKUP(Table9[[#This Row],[Shortname]], Comp[], 29, FALSE)</f>
        <v>0</v>
      </c>
      <c r="AG426">
        <f>VLOOKUP(Table9[[#This Row],[Shortname]], Comp[], 30, FALSE)</f>
        <v>0</v>
      </c>
      <c r="AH426">
        <f>VLOOKUP(Table9[[#This Row],[Shortname]], Comp[], 31, FALSE)</f>
        <v>0</v>
      </c>
    </row>
    <row r="427" spans="1:34" x14ac:dyDescent="0.3">
      <c r="A427" t="s">
        <v>4</v>
      </c>
      <c r="B427" t="s">
        <v>7</v>
      </c>
      <c r="C427" t="s">
        <v>6837</v>
      </c>
      <c r="D427">
        <v>51</v>
      </c>
      <c r="E427">
        <v>1175</v>
      </c>
      <c r="F427">
        <v>0.01</v>
      </c>
      <c r="G427">
        <v>1</v>
      </c>
      <c r="H427" t="s">
        <v>6807</v>
      </c>
      <c r="I427">
        <f>VLOOKUP(Table9[[#This Row],[Shortname]], Comp[], 6, FALSE)</f>
        <v>1</v>
      </c>
      <c r="J427" s="14">
        <f>VLOOKUP(Table9[[#This Row],[Shortname]], Comp[], 7, FALSE)</f>
        <v>41.800000000000004</v>
      </c>
      <c r="K427">
        <f>VLOOKUP(Table9[[#This Row],[Shortname]], Comp[], 8, FALSE)</f>
        <v>29.5</v>
      </c>
      <c r="L427">
        <f>VLOOKUP(Table9[[#This Row],[Shortname]], Comp[], 9, FALSE)</f>
        <v>9.6</v>
      </c>
      <c r="M427">
        <f>VLOOKUP(Table9[[#This Row],[Shortname]], Comp[], 10, FALSE)</f>
        <v>12.7</v>
      </c>
      <c r="N427">
        <f>VLOOKUP(Table9[[#This Row],[Shortname]], Comp[], 11, FALSE)</f>
        <v>0</v>
      </c>
      <c r="O427">
        <f>VLOOKUP(Table9[[#This Row],[Shortname]], Comp[],12, FALSE)</f>
        <v>4.5</v>
      </c>
      <c r="P427">
        <f>VLOOKUP(Table9[[#This Row],[Shortname]], Comp[], 13, FALSE)</f>
        <v>0</v>
      </c>
      <c r="Q427">
        <f>VLOOKUP(Table9[[#This Row],[Shortname]], Comp[], 14, FALSE)</f>
        <v>1.9</v>
      </c>
      <c r="R427">
        <f>VLOOKUP(Table9[[#This Row],[Shortname]], Comp[], 15, FALSE)</f>
        <v>0</v>
      </c>
      <c r="S427">
        <f>VLOOKUP(Table9[[#This Row],[Shortname]], Comp[], 16, FALSE)</f>
        <v>0</v>
      </c>
      <c r="T427">
        <f>VLOOKUP(Table9[[#This Row],[Shortname]], Comp[], 17, FALSE)</f>
        <v>0</v>
      </c>
      <c r="U427">
        <f>VLOOKUP(Table9[[#This Row],[Shortname]], Comp[], 18, FALSE)</f>
        <v>0</v>
      </c>
      <c r="V427">
        <f>VLOOKUP(Table9[[#This Row],[Shortname]], Comp[], 19, FALSE)</f>
        <v>0</v>
      </c>
      <c r="W427">
        <f>VLOOKUP(Table9[[#This Row],[Shortname]], Comp[], 20, FALSE)</f>
        <v>0</v>
      </c>
      <c r="X427">
        <f>VLOOKUP(Table9[[#This Row],[Shortname]], Comp[], 21, FALSE)</f>
        <v>0</v>
      </c>
      <c r="Y427">
        <f>VLOOKUP(Table9[[#This Row],[Shortname]], Comp[], 22, FALSE)</f>
        <v>0</v>
      </c>
      <c r="Z427">
        <f>VLOOKUP(Table9[[#This Row],[Shortname]], Comp[], 23, FALSE)</f>
        <v>0</v>
      </c>
      <c r="AA427">
        <f>VLOOKUP(Table9[[#This Row],[Shortname]], Comp[], 24, FALSE)</f>
        <v>0</v>
      </c>
      <c r="AB427">
        <f>VLOOKUP(Table9[[#This Row],[Shortname]], Comp[], 25, FALSE)</f>
        <v>0</v>
      </c>
      <c r="AC427">
        <f>VLOOKUP(Table9[[#This Row],[Shortname]], Comp[], 26, FALSE)</f>
        <v>0</v>
      </c>
      <c r="AD427">
        <f>VLOOKUP(Table9[[#This Row],[Shortname]], Comp[], 27, FALSE)</f>
        <v>0</v>
      </c>
      <c r="AE427">
        <f>VLOOKUP(Table9[[#This Row],[Shortname]], Comp[], 28, FALSE)</f>
        <v>0</v>
      </c>
      <c r="AF427">
        <f>VLOOKUP(Table9[[#This Row],[Shortname]], Comp[], 29, FALSE)</f>
        <v>0</v>
      </c>
      <c r="AG427">
        <f>VLOOKUP(Table9[[#This Row],[Shortname]], Comp[], 30, FALSE)</f>
        <v>0</v>
      </c>
      <c r="AH427">
        <f>VLOOKUP(Table9[[#This Row],[Shortname]], Comp[], 31, FALSE)</f>
        <v>0</v>
      </c>
    </row>
    <row r="428" spans="1:34" x14ac:dyDescent="0.3">
      <c r="A428" t="s">
        <v>2570</v>
      </c>
      <c r="B428" t="s">
        <v>2572</v>
      </c>
      <c r="C428" t="s">
        <v>2573</v>
      </c>
      <c r="D428">
        <v>44.3</v>
      </c>
      <c r="E428">
        <v>1175</v>
      </c>
      <c r="F428">
        <v>1E-3</v>
      </c>
      <c r="G428">
        <v>1</v>
      </c>
      <c r="I428">
        <f>VLOOKUP(Table9[[#This Row],[Shortname]], Comp[], 6, FALSE)</f>
        <v>340</v>
      </c>
      <c r="J428" s="14">
        <f>VLOOKUP(Table9[[#This Row],[Shortname]], Comp[], 7, FALSE)</f>
        <v>46.73</v>
      </c>
      <c r="K428">
        <f>VLOOKUP(Table9[[#This Row],[Shortname]], Comp[], 8, FALSE)</f>
        <v>29.96</v>
      </c>
      <c r="L428">
        <f>VLOOKUP(Table9[[#This Row],[Shortname]], Comp[], 9, FALSE)</f>
        <v>9.5399999999999991</v>
      </c>
      <c r="M428">
        <f>VLOOKUP(Table9[[#This Row],[Shortname]], Comp[], 10, FALSE)</f>
        <v>4.78</v>
      </c>
      <c r="N428">
        <f>VLOOKUP(Table9[[#This Row],[Shortname]], Comp[], 11, FALSE)</f>
        <v>0</v>
      </c>
      <c r="O428">
        <f>VLOOKUP(Table9[[#This Row],[Shortname]], Comp[],12, FALSE)</f>
        <v>2.13</v>
      </c>
      <c r="P428">
        <f>VLOOKUP(Table9[[#This Row],[Shortname]], Comp[], 13, FALSE)</f>
        <v>1.91</v>
      </c>
      <c r="Q428">
        <f>VLOOKUP(Table9[[#This Row],[Shortname]], Comp[], 14, FALSE)</f>
        <v>0</v>
      </c>
      <c r="R428">
        <f>VLOOKUP(Table9[[#This Row],[Shortname]], Comp[], 15, FALSE)</f>
        <v>0</v>
      </c>
      <c r="S428">
        <f>VLOOKUP(Table9[[#This Row],[Shortname]], Comp[], 16, FALSE)</f>
        <v>4.95</v>
      </c>
      <c r="T428">
        <f>VLOOKUP(Table9[[#This Row],[Shortname]], Comp[], 17, FALSE)</f>
        <v>0</v>
      </c>
      <c r="U428">
        <f>VLOOKUP(Table9[[#This Row],[Shortname]], Comp[], 18, FALSE)</f>
        <v>0</v>
      </c>
      <c r="V428">
        <f>VLOOKUP(Table9[[#This Row],[Shortname]], Comp[], 19, FALSE)</f>
        <v>0</v>
      </c>
      <c r="W428">
        <f>VLOOKUP(Table9[[#This Row],[Shortname]], Comp[], 20, FALSE)</f>
        <v>0</v>
      </c>
      <c r="X428">
        <f>VLOOKUP(Table9[[#This Row],[Shortname]], Comp[], 21, FALSE)</f>
        <v>0</v>
      </c>
      <c r="Y428">
        <f>VLOOKUP(Table9[[#This Row],[Shortname]], Comp[], 22, FALSE)</f>
        <v>0</v>
      </c>
      <c r="Z428">
        <f>VLOOKUP(Table9[[#This Row],[Shortname]], Comp[], 23, FALSE)</f>
        <v>0</v>
      </c>
      <c r="AA428">
        <f>VLOOKUP(Table9[[#This Row],[Shortname]], Comp[], 24, FALSE)</f>
        <v>0</v>
      </c>
      <c r="AB428">
        <f>VLOOKUP(Table9[[#This Row],[Shortname]], Comp[], 25, FALSE)</f>
        <v>0</v>
      </c>
      <c r="AC428">
        <f>VLOOKUP(Table9[[#This Row],[Shortname]], Comp[], 26, FALSE)</f>
        <v>0</v>
      </c>
      <c r="AD428">
        <f>VLOOKUP(Table9[[#This Row],[Shortname]], Comp[], 27, FALSE)</f>
        <v>0</v>
      </c>
      <c r="AE428">
        <f>VLOOKUP(Table9[[#This Row],[Shortname]], Comp[], 28, FALSE)</f>
        <v>0</v>
      </c>
      <c r="AF428">
        <f>VLOOKUP(Table9[[#This Row],[Shortname]], Comp[], 29, FALSE)</f>
        <v>0</v>
      </c>
      <c r="AG428">
        <f>VLOOKUP(Table9[[#This Row],[Shortname]], Comp[], 30, FALSE)</f>
        <v>0</v>
      </c>
      <c r="AH428">
        <f>VLOOKUP(Table9[[#This Row],[Shortname]], Comp[], 31, FALSE)</f>
        <v>0</v>
      </c>
    </row>
    <row r="429" spans="1:34" x14ac:dyDescent="0.3">
      <c r="A429" t="s">
        <v>4</v>
      </c>
      <c r="B429" t="s">
        <v>7</v>
      </c>
      <c r="C429" t="s">
        <v>6838</v>
      </c>
      <c r="D429">
        <v>37</v>
      </c>
      <c r="E429">
        <v>1175</v>
      </c>
      <c r="F429">
        <v>1E-3</v>
      </c>
      <c r="G429">
        <v>1</v>
      </c>
      <c r="H429" t="s">
        <v>6807</v>
      </c>
      <c r="I429">
        <f>VLOOKUP(Table9[[#This Row],[Shortname]], Comp[], 6, FALSE)</f>
        <v>1</v>
      </c>
      <c r="J429" s="14">
        <f>VLOOKUP(Table9[[#This Row],[Shortname]], Comp[], 7, FALSE)</f>
        <v>41.800000000000004</v>
      </c>
      <c r="K429">
        <f>VLOOKUP(Table9[[#This Row],[Shortname]], Comp[], 8, FALSE)</f>
        <v>29.5</v>
      </c>
      <c r="L429">
        <f>VLOOKUP(Table9[[#This Row],[Shortname]], Comp[], 9, FALSE)</f>
        <v>9.6</v>
      </c>
      <c r="M429">
        <f>VLOOKUP(Table9[[#This Row],[Shortname]], Comp[], 10, FALSE)</f>
        <v>12.7</v>
      </c>
      <c r="N429">
        <f>VLOOKUP(Table9[[#This Row],[Shortname]], Comp[], 11, FALSE)</f>
        <v>0</v>
      </c>
      <c r="O429">
        <f>VLOOKUP(Table9[[#This Row],[Shortname]], Comp[],12, FALSE)</f>
        <v>4.5</v>
      </c>
      <c r="P429">
        <f>VLOOKUP(Table9[[#This Row],[Shortname]], Comp[], 13, FALSE)</f>
        <v>0</v>
      </c>
      <c r="Q429">
        <f>VLOOKUP(Table9[[#This Row],[Shortname]], Comp[], 14, FALSE)</f>
        <v>1.9</v>
      </c>
      <c r="R429">
        <f>VLOOKUP(Table9[[#This Row],[Shortname]], Comp[], 15, FALSE)</f>
        <v>0</v>
      </c>
      <c r="S429">
        <f>VLOOKUP(Table9[[#This Row],[Shortname]], Comp[], 16, FALSE)</f>
        <v>0</v>
      </c>
      <c r="T429">
        <f>VLOOKUP(Table9[[#This Row],[Shortname]], Comp[], 17, FALSE)</f>
        <v>0</v>
      </c>
      <c r="U429">
        <f>VLOOKUP(Table9[[#This Row],[Shortname]], Comp[], 18, FALSE)</f>
        <v>0</v>
      </c>
      <c r="V429">
        <f>VLOOKUP(Table9[[#This Row],[Shortname]], Comp[], 19, FALSE)</f>
        <v>0</v>
      </c>
      <c r="W429">
        <f>VLOOKUP(Table9[[#This Row],[Shortname]], Comp[], 20, FALSE)</f>
        <v>0</v>
      </c>
      <c r="X429">
        <f>VLOOKUP(Table9[[#This Row],[Shortname]], Comp[], 21, FALSE)</f>
        <v>0</v>
      </c>
      <c r="Y429">
        <f>VLOOKUP(Table9[[#This Row],[Shortname]], Comp[], 22, FALSE)</f>
        <v>0</v>
      </c>
      <c r="Z429">
        <f>VLOOKUP(Table9[[#This Row],[Shortname]], Comp[], 23, FALSE)</f>
        <v>0</v>
      </c>
      <c r="AA429">
        <f>VLOOKUP(Table9[[#This Row],[Shortname]], Comp[], 24, FALSE)</f>
        <v>0</v>
      </c>
      <c r="AB429">
        <f>VLOOKUP(Table9[[#This Row],[Shortname]], Comp[], 25, FALSE)</f>
        <v>0</v>
      </c>
      <c r="AC429">
        <f>VLOOKUP(Table9[[#This Row],[Shortname]], Comp[], 26, FALSE)</f>
        <v>0</v>
      </c>
      <c r="AD429">
        <f>VLOOKUP(Table9[[#This Row],[Shortname]], Comp[], 27, FALSE)</f>
        <v>0</v>
      </c>
      <c r="AE429">
        <f>VLOOKUP(Table9[[#This Row],[Shortname]], Comp[], 28, FALSE)</f>
        <v>0</v>
      </c>
      <c r="AF429">
        <f>VLOOKUP(Table9[[#This Row],[Shortname]], Comp[], 29, FALSE)</f>
        <v>0</v>
      </c>
      <c r="AG429">
        <f>VLOOKUP(Table9[[#This Row],[Shortname]], Comp[], 30, FALSE)</f>
        <v>0</v>
      </c>
      <c r="AH429">
        <f>VLOOKUP(Table9[[#This Row],[Shortname]], Comp[], 31, FALSE)</f>
        <v>0</v>
      </c>
    </row>
    <row r="430" spans="1:34" x14ac:dyDescent="0.3">
      <c r="A430" t="s">
        <v>2570</v>
      </c>
      <c r="B430" t="s">
        <v>2572</v>
      </c>
      <c r="C430" t="s">
        <v>2573</v>
      </c>
      <c r="D430">
        <v>33.729999999999997</v>
      </c>
      <c r="E430">
        <v>1225</v>
      </c>
      <c r="F430">
        <v>1E-3</v>
      </c>
      <c r="G430">
        <v>1</v>
      </c>
      <c r="H430" t="s">
        <v>6839</v>
      </c>
      <c r="I430">
        <f>VLOOKUP(Table9[[#This Row],[Shortname]], Comp[], 6, FALSE)</f>
        <v>340</v>
      </c>
      <c r="J430" s="14">
        <f>VLOOKUP(Table9[[#This Row],[Shortname]], Comp[], 7, FALSE)</f>
        <v>46.73</v>
      </c>
      <c r="K430">
        <f>VLOOKUP(Table9[[#This Row],[Shortname]], Comp[], 8, FALSE)</f>
        <v>29.96</v>
      </c>
      <c r="L430">
        <f>VLOOKUP(Table9[[#This Row],[Shortname]], Comp[], 9, FALSE)</f>
        <v>9.5399999999999991</v>
      </c>
      <c r="M430">
        <f>VLOOKUP(Table9[[#This Row],[Shortname]], Comp[], 10, FALSE)</f>
        <v>4.78</v>
      </c>
      <c r="N430">
        <f>VLOOKUP(Table9[[#This Row],[Shortname]], Comp[], 11, FALSE)</f>
        <v>0</v>
      </c>
      <c r="O430">
        <f>VLOOKUP(Table9[[#This Row],[Shortname]], Comp[],12, FALSE)</f>
        <v>2.13</v>
      </c>
      <c r="P430">
        <f>VLOOKUP(Table9[[#This Row],[Shortname]], Comp[], 13, FALSE)</f>
        <v>1.91</v>
      </c>
      <c r="Q430">
        <f>VLOOKUP(Table9[[#This Row],[Shortname]], Comp[], 14, FALSE)</f>
        <v>0</v>
      </c>
      <c r="R430">
        <f>VLOOKUP(Table9[[#This Row],[Shortname]], Comp[], 15, FALSE)</f>
        <v>0</v>
      </c>
      <c r="S430">
        <f>VLOOKUP(Table9[[#This Row],[Shortname]], Comp[], 16, FALSE)</f>
        <v>4.95</v>
      </c>
      <c r="T430">
        <f>VLOOKUP(Table9[[#This Row],[Shortname]], Comp[], 17, FALSE)</f>
        <v>0</v>
      </c>
      <c r="U430">
        <f>VLOOKUP(Table9[[#This Row],[Shortname]], Comp[], 18, FALSE)</f>
        <v>0</v>
      </c>
      <c r="V430">
        <f>VLOOKUP(Table9[[#This Row],[Shortname]], Comp[], 19, FALSE)</f>
        <v>0</v>
      </c>
      <c r="W430">
        <f>VLOOKUP(Table9[[#This Row],[Shortname]], Comp[], 20, FALSE)</f>
        <v>0</v>
      </c>
      <c r="X430">
        <f>VLOOKUP(Table9[[#This Row],[Shortname]], Comp[], 21, FALSE)</f>
        <v>0</v>
      </c>
      <c r="Y430">
        <f>VLOOKUP(Table9[[#This Row],[Shortname]], Comp[], 22, FALSE)</f>
        <v>0</v>
      </c>
      <c r="Z430">
        <f>VLOOKUP(Table9[[#This Row],[Shortname]], Comp[], 23, FALSE)</f>
        <v>0</v>
      </c>
      <c r="AA430">
        <f>VLOOKUP(Table9[[#This Row],[Shortname]], Comp[], 24, FALSE)</f>
        <v>0</v>
      </c>
      <c r="AB430">
        <f>VLOOKUP(Table9[[#This Row],[Shortname]], Comp[], 25, FALSE)</f>
        <v>0</v>
      </c>
      <c r="AC430">
        <f>VLOOKUP(Table9[[#This Row],[Shortname]], Comp[], 26, FALSE)</f>
        <v>0</v>
      </c>
      <c r="AD430">
        <f>VLOOKUP(Table9[[#This Row],[Shortname]], Comp[], 27, FALSE)</f>
        <v>0</v>
      </c>
      <c r="AE430">
        <f>VLOOKUP(Table9[[#This Row],[Shortname]], Comp[], 28, FALSE)</f>
        <v>0</v>
      </c>
      <c r="AF430">
        <f>VLOOKUP(Table9[[#This Row],[Shortname]], Comp[], 29, FALSE)</f>
        <v>0</v>
      </c>
      <c r="AG430">
        <f>VLOOKUP(Table9[[#This Row],[Shortname]], Comp[], 30, FALSE)</f>
        <v>0</v>
      </c>
      <c r="AH430">
        <f>VLOOKUP(Table9[[#This Row],[Shortname]], Comp[], 31, FALSE)</f>
        <v>0</v>
      </c>
    </row>
    <row r="431" spans="1:34" x14ac:dyDescent="0.3">
      <c r="A431" t="s">
        <v>4</v>
      </c>
      <c r="B431" t="s">
        <v>7</v>
      </c>
      <c r="C431" t="s">
        <v>8</v>
      </c>
      <c r="D431">
        <v>100</v>
      </c>
      <c r="E431">
        <v>1025</v>
      </c>
      <c r="F431">
        <v>1E-3</v>
      </c>
      <c r="G431">
        <v>1</v>
      </c>
      <c r="H431" t="s">
        <v>6840</v>
      </c>
      <c r="I431">
        <f>VLOOKUP(Table9[[#This Row],[Shortname]], Comp[], 6, FALSE)</f>
        <v>1</v>
      </c>
      <c r="J431" s="14">
        <f>VLOOKUP(Table9[[#This Row],[Shortname]], Comp[], 7, FALSE)</f>
        <v>41.800000000000004</v>
      </c>
      <c r="K431">
        <f>VLOOKUP(Table9[[#This Row],[Shortname]], Comp[], 8, FALSE)</f>
        <v>29.5</v>
      </c>
      <c r="L431">
        <f>VLOOKUP(Table9[[#This Row],[Shortname]], Comp[], 9, FALSE)</f>
        <v>9.6</v>
      </c>
      <c r="M431">
        <f>VLOOKUP(Table9[[#This Row],[Shortname]], Comp[], 10, FALSE)</f>
        <v>12.7</v>
      </c>
      <c r="N431">
        <f>VLOOKUP(Table9[[#This Row],[Shortname]], Comp[], 11, FALSE)</f>
        <v>0</v>
      </c>
      <c r="O431">
        <f>VLOOKUP(Table9[[#This Row],[Shortname]], Comp[],12, FALSE)</f>
        <v>4.5</v>
      </c>
      <c r="P431">
        <f>VLOOKUP(Table9[[#This Row],[Shortname]], Comp[], 13, FALSE)</f>
        <v>0</v>
      </c>
      <c r="Q431">
        <f>VLOOKUP(Table9[[#This Row],[Shortname]], Comp[], 14, FALSE)</f>
        <v>1.9</v>
      </c>
      <c r="R431">
        <f>VLOOKUP(Table9[[#This Row],[Shortname]], Comp[], 15, FALSE)</f>
        <v>0</v>
      </c>
      <c r="S431">
        <f>VLOOKUP(Table9[[#This Row],[Shortname]], Comp[], 16, FALSE)</f>
        <v>0</v>
      </c>
      <c r="T431">
        <f>VLOOKUP(Table9[[#This Row],[Shortname]], Comp[], 17, FALSE)</f>
        <v>0</v>
      </c>
      <c r="U431">
        <f>VLOOKUP(Table9[[#This Row],[Shortname]], Comp[], 18, FALSE)</f>
        <v>0</v>
      </c>
      <c r="V431">
        <f>VLOOKUP(Table9[[#This Row],[Shortname]], Comp[], 19, FALSE)</f>
        <v>0</v>
      </c>
      <c r="W431">
        <f>VLOOKUP(Table9[[#This Row],[Shortname]], Comp[], 20, FALSE)</f>
        <v>0</v>
      </c>
      <c r="X431">
        <f>VLOOKUP(Table9[[#This Row],[Shortname]], Comp[], 21, FALSE)</f>
        <v>0</v>
      </c>
      <c r="Y431">
        <f>VLOOKUP(Table9[[#This Row],[Shortname]], Comp[], 22, FALSE)</f>
        <v>0</v>
      </c>
      <c r="Z431">
        <f>VLOOKUP(Table9[[#This Row],[Shortname]], Comp[], 23, FALSE)</f>
        <v>0</v>
      </c>
      <c r="AA431">
        <f>VLOOKUP(Table9[[#This Row],[Shortname]], Comp[], 24, FALSE)</f>
        <v>0</v>
      </c>
      <c r="AB431">
        <f>VLOOKUP(Table9[[#This Row],[Shortname]], Comp[], 25, FALSE)</f>
        <v>0</v>
      </c>
      <c r="AC431">
        <f>VLOOKUP(Table9[[#This Row],[Shortname]], Comp[], 26, FALSE)</f>
        <v>0</v>
      </c>
      <c r="AD431">
        <f>VLOOKUP(Table9[[#This Row],[Shortname]], Comp[], 27, FALSE)</f>
        <v>0</v>
      </c>
      <c r="AE431">
        <f>VLOOKUP(Table9[[#This Row],[Shortname]], Comp[], 28, FALSE)</f>
        <v>0</v>
      </c>
      <c r="AF431">
        <f>VLOOKUP(Table9[[#This Row],[Shortname]], Comp[], 29, FALSE)</f>
        <v>0</v>
      </c>
      <c r="AG431">
        <f>VLOOKUP(Table9[[#This Row],[Shortname]], Comp[], 30, FALSE)</f>
        <v>0</v>
      </c>
      <c r="AH431">
        <f>VLOOKUP(Table9[[#This Row],[Shortname]], Comp[], 31, FALSE)</f>
        <v>0</v>
      </c>
    </row>
    <row r="432" spans="1:34" x14ac:dyDescent="0.3">
      <c r="A432" t="s">
        <v>67</v>
      </c>
      <c r="B432" t="s">
        <v>69</v>
      </c>
      <c r="C432" t="s">
        <v>21</v>
      </c>
      <c r="D432">
        <v>750</v>
      </c>
      <c r="E432">
        <v>750</v>
      </c>
      <c r="F432">
        <v>1E-3</v>
      </c>
      <c r="G432">
        <v>-1</v>
      </c>
      <c r="H432" t="s">
        <v>6841</v>
      </c>
      <c r="I432">
        <f>VLOOKUP(Table9[[#This Row],[Shortname]], Comp[], 6, FALSE)</f>
        <v>7</v>
      </c>
      <c r="J432" s="14">
        <f>VLOOKUP(Table9[[#This Row],[Shortname]], Comp[], 7, FALSE)</f>
        <v>40.259999999999991</v>
      </c>
      <c r="K432">
        <f>VLOOKUP(Table9[[#This Row],[Shortname]], Comp[], 8, FALSE)</f>
        <v>31.07</v>
      </c>
      <c r="L432">
        <f>VLOOKUP(Table9[[#This Row],[Shortname]], Comp[], 9, FALSE)</f>
        <v>10.6</v>
      </c>
      <c r="M432">
        <f>VLOOKUP(Table9[[#This Row],[Shortname]], Comp[], 10, FALSE)</f>
        <v>10.67</v>
      </c>
      <c r="N432">
        <f>VLOOKUP(Table9[[#This Row],[Shortname]], Comp[], 11, FALSE)</f>
        <v>0</v>
      </c>
      <c r="O432">
        <f>VLOOKUP(Table9[[#This Row],[Shortname]], Comp[],12, FALSE)</f>
        <v>0</v>
      </c>
      <c r="P432">
        <f>VLOOKUP(Table9[[#This Row],[Shortname]], Comp[], 13, FALSE)</f>
        <v>1.88</v>
      </c>
      <c r="Q432">
        <f>VLOOKUP(Table9[[#This Row],[Shortname]], Comp[], 14, FALSE)</f>
        <v>0.99</v>
      </c>
      <c r="R432">
        <f>VLOOKUP(Table9[[#This Row],[Shortname]], Comp[], 15, FALSE)</f>
        <v>0</v>
      </c>
      <c r="S432">
        <f>VLOOKUP(Table9[[#This Row],[Shortname]], Comp[], 16, FALSE)</f>
        <v>3.99</v>
      </c>
      <c r="T432">
        <f>VLOOKUP(Table9[[#This Row],[Shortname]], Comp[], 17, FALSE)</f>
        <v>0.31</v>
      </c>
      <c r="U432">
        <f>VLOOKUP(Table9[[#This Row],[Shortname]], Comp[], 18, FALSE)</f>
        <v>0.04</v>
      </c>
      <c r="V432">
        <f>VLOOKUP(Table9[[#This Row],[Shortname]], Comp[], 19, FALSE)</f>
        <v>0.19</v>
      </c>
      <c r="W432">
        <f>VLOOKUP(Table9[[#This Row],[Shortname]], Comp[], 20, FALSE)</f>
        <v>0</v>
      </c>
      <c r="X432">
        <f>VLOOKUP(Table9[[#This Row],[Shortname]], Comp[], 21, FALSE)</f>
        <v>0</v>
      </c>
      <c r="Y432">
        <f>VLOOKUP(Table9[[#This Row],[Shortname]], Comp[], 22, FALSE)</f>
        <v>0</v>
      </c>
      <c r="Z432">
        <f>VLOOKUP(Table9[[#This Row],[Shortname]], Comp[], 23, FALSE)</f>
        <v>0</v>
      </c>
      <c r="AA432">
        <f>VLOOKUP(Table9[[#This Row],[Shortname]], Comp[], 24, FALSE)</f>
        <v>0</v>
      </c>
      <c r="AB432">
        <f>VLOOKUP(Table9[[#This Row],[Shortname]], Comp[], 25, FALSE)</f>
        <v>0</v>
      </c>
      <c r="AC432">
        <f>VLOOKUP(Table9[[#This Row],[Shortname]], Comp[], 26, FALSE)</f>
        <v>0</v>
      </c>
      <c r="AD432">
        <f>VLOOKUP(Table9[[#This Row],[Shortname]], Comp[], 27, FALSE)</f>
        <v>0</v>
      </c>
      <c r="AE432">
        <f>VLOOKUP(Table9[[#This Row],[Shortname]], Comp[], 28, FALSE)</f>
        <v>0</v>
      </c>
      <c r="AF432">
        <f>VLOOKUP(Table9[[#This Row],[Shortname]], Comp[], 29, FALSE)</f>
        <v>0</v>
      </c>
      <c r="AG432">
        <f>VLOOKUP(Table9[[#This Row],[Shortname]], Comp[], 30, FALSE)</f>
        <v>0</v>
      </c>
      <c r="AH432">
        <f>VLOOKUP(Table9[[#This Row],[Shortname]], Comp[], 31, FALSE)</f>
        <v>0</v>
      </c>
    </row>
    <row r="433" spans="1:34" x14ac:dyDescent="0.3">
      <c r="A433" t="s">
        <v>82</v>
      </c>
      <c r="B433" t="s">
        <v>84</v>
      </c>
      <c r="C433" t="s">
        <v>21</v>
      </c>
      <c r="D433">
        <v>728</v>
      </c>
      <c r="E433">
        <v>700</v>
      </c>
      <c r="F433">
        <v>1E-3</v>
      </c>
      <c r="G433">
        <v>-1</v>
      </c>
      <c r="H433" t="s">
        <v>6841</v>
      </c>
      <c r="I433">
        <f>VLOOKUP(Table9[[#This Row],[Shortname]], Comp[], 6, FALSE)</f>
        <v>8</v>
      </c>
      <c r="J433" s="14">
        <f>VLOOKUP(Table9[[#This Row],[Shortname]], Comp[], 7, FALSE)</f>
        <v>40.210000000000008</v>
      </c>
      <c r="K433">
        <f>VLOOKUP(Table9[[#This Row],[Shortname]], Comp[], 8, FALSE)</f>
        <v>31.14</v>
      </c>
      <c r="L433">
        <f>VLOOKUP(Table9[[#This Row],[Shortname]], Comp[], 9, FALSE)</f>
        <v>10.76</v>
      </c>
      <c r="M433">
        <f>VLOOKUP(Table9[[#This Row],[Shortname]], Comp[], 10, FALSE)</f>
        <v>10.83</v>
      </c>
      <c r="N433">
        <f>VLOOKUP(Table9[[#This Row],[Shortname]], Comp[], 11, FALSE)</f>
        <v>0</v>
      </c>
      <c r="O433">
        <f>VLOOKUP(Table9[[#This Row],[Shortname]], Comp[],12, FALSE)</f>
        <v>0</v>
      </c>
      <c r="P433">
        <f>VLOOKUP(Table9[[#This Row],[Shortname]], Comp[], 13, FALSE)</f>
        <v>2.54</v>
      </c>
      <c r="Q433">
        <f>VLOOKUP(Table9[[#This Row],[Shortname]], Comp[], 14, FALSE)</f>
        <v>0</v>
      </c>
      <c r="R433">
        <f>VLOOKUP(Table9[[#This Row],[Shortname]], Comp[], 15, FALSE)</f>
        <v>0</v>
      </c>
      <c r="S433">
        <f>VLOOKUP(Table9[[#This Row],[Shortname]], Comp[], 16, FALSE)</f>
        <v>4.03</v>
      </c>
      <c r="T433">
        <f>VLOOKUP(Table9[[#This Row],[Shortname]], Comp[], 17, FALSE)</f>
        <v>0.22</v>
      </c>
      <c r="U433">
        <f>VLOOKUP(Table9[[#This Row],[Shortname]], Comp[], 18, FALSE)</f>
        <v>0.05</v>
      </c>
      <c r="V433">
        <f>VLOOKUP(Table9[[#This Row],[Shortname]], Comp[], 19, FALSE)</f>
        <v>0.22</v>
      </c>
      <c r="W433">
        <f>VLOOKUP(Table9[[#This Row],[Shortname]], Comp[], 20, FALSE)</f>
        <v>0</v>
      </c>
      <c r="X433">
        <f>VLOOKUP(Table9[[#This Row],[Shortname]], Comp[], 21, FALSE)</f>
        <v>0</v>
      </c>
      <c r="Y433">
        <f>VLOOKUP(Table9[[#This Row],[Shortname]], Comp[], 22, FALSE)</f>
        <v>0</v>
      </c>
      <c r="Z433">
        <f>VLOOKUP(Table9[[#This Row],[Shortname]], Comp[], 23, FALSE)</f>
        <v>0</v>
      </c>
      <c r="AA433">
        <f>VLOOKUP(Table9[[#This Row],[Shortname]], Comp[], 24, FALSE)</f>
        <v>0</v>
      </c>
      <c r="AB433">
        <f>VLOOKUP(Table9[[#This Row],[Shortname]], Comp[], 25, FALSE)</f>
        <v>0</v>
      </c>
      <c r="AC433">
        <f>VLOOKUP(Table9[[#This Row],[Shortname]], Comp[], 26, FALSE)</f>
        <v>0</v>
      </c>
      <c r="AD433">
        <f>VLOOKUP(Table9[[#This Row],[Shortname]], Comp[], 27, FALSE)</f>
        <v>0</v>
      </c>
      <c r="AE433">
        <f>VLOOKUP(Table9[[#This Row],[Shortname]], Comp[], 28, FALSE)</f>
        <v>0</v>
      </c>
      <c r="AF433">
        <f>VLOOKUP(Table9[[#This Row],[Shortname]], Comp[], 29, FALSE)</f>
        <v>0</v>
      </c>
      <c r="AG433">
        <f>VLOOKUP(Table9[[#This Row],[Shortname]], Comp[], 30, FALSE)</f>
        <v>0</v>
      </c>
      <c r="AH433">
        <f>VLOOKUP(Table9[[#This Row],[Shortname]], Comp[], 31, FALSE)</f>
        <v>0</v>
      </c>
    </row>
    <row r="434" spans="1:34" x14ac:dyDescent="0.3">
      <c r="A434" t="s">
        <v>588</v>
      </c>
      <c r="B434" t="s">
        <v>590</v>
      </c>
      <c r="C434" t="s">
        <v>499</v>
      </c>
      <c r="D434">
        <v>618</v>
      </c>
      <c r="E434">
        <v>25</v>
      </c>
      <c r="F434">
        <v>1E-4</v>
      </c>
      <c r="G434">
        <v>1</v>
      </c>
      <c r="I434">
        <f>VLOOKUP(Table9[[#This Row],[Shortname]], Comp[], 6, FALSE)</f>
        <v>76</v>
      </c>
      <c r="J434" s="14">
        <f>VLOOKUP(Table9[[#This Row],[Shortname]], Comp[], 7, FALSE)</f>
        <v>82.777100000000004</v>
      </c>
      <c r="K434">
        <f>VLOOKUP(Table9[[#This Row],[Shortname]], Comp[], 8, FALSE)</f>
        <v>0</v>
      </c>
      <c r="L434">
        <f>VLOOKUP(Table9[[#This Row],[Shortname]], Comp[], 9, FALSE)</f>
        <v>9.5299999999999994</v>
      </c>
      <c r="M434">
        <f>VLOOKUP(Table9[[#This Row],[Shortname]], Comp[], 10, FALSE)</f>
        <v>0</v>
      </c>
      <c r="N434">
        <f>VLOOKUP(Table9[[#This Row],[Shortname]], Comp[], 11, FALSE)</f>
        <v>7.66</v>
      </c>
      <c r="O434">
        <f>VLOOKUP(Table9[[#This Row],[Shortname]], Comp[],12, FALSE)</f>
        <v>0</v>
      </c>
      <c r="P434">
        <f>VLOOKUP(Table9[[#This Row],[Shortname]], Comp[], 13, FALSE)</f>
        <v>0</v>
      </c>
      <c r="Q434">
        <f>VLOOKUP(Table9[[#This Row],[Shortname]], Comp[], 14, FALSE)</f>
        <v>0</v>
      </c>
      <c r="R434">
        <f>VLOOKUP(Table9[[#This Row],[Shortname]], Comp[], 15, FALSE)</f>
        <v>0</v>
      </c>
      <c r="S434">
        <f>VLOOKUP(Table9[[#This Row],[Shortname]], Comp[], 16, FALSE)</f>
        <v>0</v>
      </c>
      <c r="T434">
        <f>VLOOKUP(Table9[[#This Row],[Shortname]], Comp[], 17, FALSE)</f>
        <v>0</v>
      </c>
      <c r="U434">
        <f>VLOOKUP(Table9[[#This Row],[Shortname]], Comp[], 18, FALSE)</f>
        <v>2.75E-2</v>
      </c>
      <c r="V434">
        <f>VLOOKUP(Table9[[#This Row],[Shortname]], Comp[], 19, FALSE)</f>
        <v>5.4000000000000003E-3</v>
      </c>
      <c r="W434">
        <f>VLOOKUP(Table9[[#This Row],[Shortname]], Comp[], 20, FALSE)</f>
        <v>0</v>
      </c>
      <c r="X434">
        <f>VLOOKUP(Table9[[#This Row],[Shortname]], Comp[], 21, FALSE)</f>
        <v>0</v>
      </c>
      <c r="Y434">
        <f>VLOOKUP(Table9[[#This Row],[Shortname]], Comp[], 22, FALSE)</f>
        <v>0</v>
      </c>
      <c r="Z434">
        <f>VLOOKUP(Table9[[#This Row],[Shortname]], Comp[], 23, FALSE)</f>
        <v>0</v>
      </c>
      <c r="AA434">
        <f>VLOOKUP(Table9[[#This Row],[Shortname]], Comp[], 24, FALSE)</f>
        <v>0</v>
      </c>
      <c r="AB434">
        <f>VLOOKUP(Table9[[#This Row],[Shortname]], Comp[], 25, FALSE)</f>
        <v>0</v>
      </c>
      <c r="AC434">
        <f>VLOOKUP(Table9[[#This Row],[Shortname]], Comp[], 26, FALSE)</f>
        <v>0</v>
      </c>
      <c r="AD434">
        <f>VLOOKUP(Table9[[#This Row],[Shortname]], Comp[], 27, FALSE)</f>
        <v>0</v>
      </c>
      <c r="AE434">
        <f>VLOOKUP(Table9[[#This Row],[Shortname]], Comp[], 28, FALSE)</f>
        <v>0</v>
      </c>
      <c r="AF434">
        <f>VLOOKUP(Table9[[#This Row],[Shortname]], Comp[], 29, FALSE)</f>
        <v>0</v>
      </c>
      <c r="AG434">
        <f>VLOOKUP(Table9[[#This Row],[Shortname]], Comp[], 30, FALSE)</f>
        <v>0</v>
      </c>
      <c r="AH434">
        <f>VLOOKUP(Table9[[#This Row],[Shortname]], Comp[], 31, FALSE)</f>
        <v>0</v>
      </c>
    </row>
    <row r="435" spans="1:34" x14ac:dyDescent="0.3">
      <c r="A435" t="s">
        <v>573</v>
      </c>
      <c r="B435" t="s">
        <v>574</v>
      </c>
      <c r="C435" t="s">
        <v>499</v>
      </c>
      <c r="D435">
        <v>607</v>
      </c>
      <c r="E435">
        <v>25</v>
      </c>
      <c r="F435">
        <v>1E-4</v>
      </c>
      <c r="G435">
        <v>1</v>
      </c>
      <c r="I435">
        <f>VLOOKUP(Table9[[#This Row],[Shortname]], Comp[], 6, FALSE)</f>
        <v>74</v>
      </c>
      <c r="J435" s="14">
        <f>VLOOKUP(Table9[[#This Row],[Shortname]], Comp[], 7, FALSE)</f>
        <v>82.500799999999998</v>
      </c>
      <c r="K435">
        <f>VLOOKUP(Table9[[#This Row],[Shortname]], Comp[], 8, FALSE)</f>
        <v>0</v>
      </c>
      <c r="L435">
        <f>VLOOKUP(Table9[[#This Row],[Shortname]], Comp[], 9, FALSE)</f>
        <v>9.85</v>
      </c>
      <c r="M435">
        <f>VLOOKUP(Table9[[#This Row],[Shortname]], Comp[], 10, FALSE)</f>
        <v>0</v>
      </c>
      <c r="N435">
        <f>VLOOKUP(Table9[[#This Row],[Shortname]], Comp[], 11, FALSE)</f>
        <v>7.64</v>
      </c>
      <c r="O435">
        <f>VLOOKUP(Table9[[#This Row],[Shortname]], Comp[],12, FALSE)</f>
        <v>0</v>
      </c>
      <c r="P435">
        <f>VLOOKUP(Table9[[#This Row],[Shortname]], Comp[], 13, FALSE)</f>
        <v>0</v>
      </c>
      <c r="Q435">
        <f>VLOOKUP(Table9[[#This Row],[Shortname]], Comp[], 14, FALSE)</f>
        <v>0</v>
      </c>
      <c r="R435">
        <f>VLOOKUP(Table9[[#This Row],[Shortname]], Comp[], 15, FALSE)</f>
        <v>0</v>
      </c>
      <c r="S435">
        <f>VLOOKUP(Table9[[#This Row],[Shortname]], Comp[], 16, FALSE)</f>
        <v>0</v>
      </c>
      <c r="T435">
        <f>VLOOKUP(Table9[[#This Row],[Shortname]], Comp[], 17, FALSE)</f>
        <v>0</v>
      </c>
      <c r="U435">
        <f>VLOOKUP(Table9[[#This Row],[Shortname]], Comp[], 18, FALSE)</f>
        <v>0</v>
      </c>
      <c r="V435">
        <f>VLOOKUP(Table9[[#This Row],[Shortname]], Comp[], 19, FALSE)</f>
        <v>9.1999999999999998E-3</v>
      </c>
      <c r="W435">
        <f>VLOOKUP(Table9[[#This Row],[Shortname]], Comp[], 20, FALSE)</f>
        <v>0</v>
      </c>
      <c r="X435">
        <f>VLOOKUP(Table9[[#This Row],[Shortname]], Comp[], 21, FALSE)</f>
        <v>0</v>
      </c>
      <c r="Y435">
        <f>VLOOKUP(Table9[[#This Row],[Shortname]], Comp[], 22, FALSE)</f>
        <v>0</v>
      </c>
      <c r="Z435">
        <f>VLOOKUP(Table9[[#This Row],[Shortname]], Comp[], 23, FALSE)</f>
        <v>0</v>
      </c>
      <c r="AA435">
        <f>VLOOKUP(Table9[[#This Row],[Shortname]], Comp[], 24, FALSE)</f>
        <v>0</v>
      </c>
      <c r="AB435">
        <f>VLOOKUP(Table9[[#This Row],[Shortname]], Comp[], 25, FALSE)</f>
        <v>0</v>
      </c>
      <c r="AC435">
        <f>VLOOKUP(Table9[[#This Row],[Shortname]], Comp[], 26, FALSE)</f>
        <v>0</v>
      </c>
      <c r="AD435">
        <f>VLOOKUP(Table9[[#This Row],[Shortname]], Comp[], 27, FALSE)</f>
        <v>0</v>
      </c>
      <c r="AE435">
        <f>VLOOKUP(Table9[[#This Row],[Shortname]], Comp[], 28, FALSE)</f>
        <v>0</v>
      </c>
      <c r="AF435">
        <f>VLOOKUP(Table9[[#This Row],[Shortname]], Comp[], 29, FALSE)</f>
        <v>0</v>
      </c>
      <c r="AG435">
        <f>VLOOKUP(Table9[[#This Row],[Shortname]], Comp[], 30, FALSE)</f>
        <v>0</v>
      </c>
      <c r="AH435">
        <f>VLOOKUP(Table9[[#This Row],[Shortname]], Comp[], 31, FALSE)</f>
        <v>0</v>
      </c>
    </row>
    <row r="436" spans="1:34" x14ac:dyDescent="0.3">
      <c r="A436" t="s">
        <v>581</v>
      </c>
      <c r="B436" t="s">
        <v>583</v>
      </c>
      <c r="C436" t="s">
        <v>499</v>
      </c>
      <c r="D436">
        <v>594</v>
      </c>
      <c r="E436">
        <v>25</v>
      </c>
      <c r="F436">
        <v>1E-4</v>
      </c>
      <c r="G436">
        <v>1</v>
      </c>
      <c r="I436">
        <f>VLOOKUP(Table9[[#This Row],[Shortname]], Comp[], 6, FALSE)</f>
        <v>75</v>
      </c>
      <c r="J436" s="14">
        <f>VLOOKUP(Table9[[#This Row],[Shortname]], Comp[], 7, FALSE)</f>
        <v>82.984999999999999</v>
      </c>
      <c r="K436">
        <f>VLOOKUP(Table9[[#This Row],[Shortname]], Comp[], 8, FALSE)</f>
        <v>0</v>
      </c>
      <c r="L436">
        <f>VLOOKUP(Table9[[#This Row],[Shortname]], Comp[], 9, FALSE)</f>
        <v>9.58</v>
      </c>
      <c r="M436">
        <f>VLOOKUP(Table9[[#This Row],[Shortname]], Comp[], 10, FALSE)</f>
        <v>0</v>
      </c>
      <c r="N436">
        <f>VLOOKUP(Table9[[#This Row],[Shortname]], Comp[], 11, FALSE)</f>
        <v>7.4</v>
      </c>
      <c r="O436">
        <f>VLOOKUP(Table9[[#This Row],[Shortname]], Comp[],12, FALSE)</f>
        <v>0</v>
      </c>
      <c r="P436">
        <f>VLOOKUP(Table9[[#This Row],[Shortname]], Comp[], 13, FALSE)</f>
        <v>0</v>
      </c>
      <c r="Q436">
        <f>VLOOKUP(Table9[[#This Row],[Shortname]], Comp[], 14, FALSE)</f>
        <v>0</v>
      </c>
      <c r="R436">
        <f>VLOOKUP(Table9[[#This Row],[Shortname]], Comp[], 15, FALSE)</f>
        <v>0</v>
      </c>
      <c r="S436">
        <f>VLOOKUP(Table9[[#This Row],[Shortname]], Comp[], 16, FALSE)</f>
        <v>0</v>
      </c>
      <c r="T436">
        <f>VLOOKUP(Table9[[#This Row],[Shortname]], Comp[], 17, FALSE)</f>
        <v>0</v>
      </c>
      <c r="U436">
        <f>VLOOKUP(Table9[[#This Row],[Shortname]], Comp[], 18, FALSE)</f>
        <v>3.5000000000000003E-2</v>
      </c>
      <c r="V436">
        <f>VLOOKUP(Table9[[#This Row],[Shortname]], Comp[], 19, FALSE)</f>
        <v>0</v>
      </c>
      <c r="W436">
        <f>VLOOKUP(Table9[[#This Row],[Shortname]], Comp[], 20, FALSE)</f>
        <v>0</v>
      </c>
      <c r="X436">
        <f>VLOOKUP(Table9[[#This Row],[Shortname]], Comp[], 21, FALSE)</f>
        <v>0</v>
      </c>
      <c r="Y436">
        <f>VLOOKUP(Table9[[#This Row],[Shortname]], Comp[], 22, FALSE)</f>
        <v>0</v>
      </c>
      <c r="Z436">
        <f>VLOOKUP(Table9[[#This Row],[Shortname]], Comp[], 23, FALSE)</f>
        <v>0</v>
      </c>
      <c r="AA436">
        <f>VLOOKUP(Table9[[#This Row],[Shortname]], Comp[], 24, FALSE)</f>
        <v>0</v>
      </c>
      <c r="AB436">
        <f>VLOOKUP(Table9[[#This Row],[Shortname]], Comp[], 25, FALSE)</f>
        <v>0</v>
      </c>
      <c r="AC436">
        <f>VLOOKUP(Table9[[#This Row],[Shortname]], Comp[], 26, FALSE)</f>
        <v>0</v>
      </c>
      <c r="AD436">
        <f>VLOOKUP(Table9[[#This Row],[Shortname]], Comp[], 27, FALSE)</f>
        <v>0</v>
      </c>
      <c r="AE436">
        <f>VLOOKUP(Table9[[#This Row],[Shortname]], Comp[], 28, FALSE)</f>
        <v>0</v>
      </c>
      <c r="AF436">
        <f>VLOOKUP(Table9[[#This Row],[Shortname]], Comp[], 29, FALSE)</f>
        <v>0</v>
      </c>
      <c r="AG436">
        <f>VLOOKUP(Table9[[#This Row],[Shortname]], Comp[], 30, FALSE)</f>
        <v>0</v>
      </c>
      <c r="AH436">
        <f>VLOOKUP(Table9[[#This Row],[Shortname]], Comp[], 31, FALSE)</f>
        <v>0</v>
      </c>
    </row>
    <row r="437" spans="1:34" x14ac:dyDescent="0.3">
      <c r="A437" t="s">
        <v>561</v>
      </c>
      <c r="B437" t="s">
        <v>561</v>
      </c>
      <c r="C437" t="s">
        <v>499</v>
      </c>
      <c r="D437">
        <v>598</v>
      </c>
      <c r="E437">
        <v>25</v>
      </c>
      <c r="F437">
        <v>1E-4</v>
      </c>
      <c r="G437">
        <v>1</v>
      </c>
      <c r="I437">
        <f>VLOOKUP(Table9[[#This Row],[Shortname]], Comp[], 6, FALSE)</f>
        <v>72</v>
      </c>
      <c r="J437" s="14">
        <f>VLOOKUP(Table9[[#This Row],[Shortname]], Comp[], 7, FALSE)</f>
        <v>83.06</v>
      </c>
      <c r="K437">
        <f>VLOOKUP(Table9[[#This Row],[Shortname]], Comp[], 8, FALSE)</f>
        <v>0</v>
      </c>
      <c r="L437">
        <f>VLOOKUP(Table9[[#This Row],[Shortname]], Comp[], 9, FALSE)</f>
        <v>9.49</v>
      </c>
      <c r="M437">
        <f>VLOOKUP(Table9[[#This Row],[Shortname]], Comp[], 10, FALSE)</f>
        <v>0</v>
      </c>
      <c r="N437">
        <f>VLOOKUP(Table9[[#This Row],[Shortname]], Comp[], 11, FALSE)</f>
        <v>7.45</v>
      </c>
      <c r="O437">
        <f>VLOOKUP(Table9[[#This Row],[Shortname]], Comp[],12, FALSE)</f>
        <v>0</v>
      </c>
      <c r="P437">
        <f>VLOOKUP(Table9[[#This Row],[Shortname]], Comp[], 13, FALSE)</f>
        <v>0</v>
      </c>
      <c r="Q437">
        <f>VLOOKUP(Table9[[#This Row],[Shortname]], Comp[], 14, FALSE)</f>
        <v>0</v>
      </c>
      <c r="R437">
        <f>VLOOKUP(Table9[[#This Row],[Shortname]], Comp[], 15, FALSE)</f>
        <v>0</v>
      </c>
      <c r="S437">
        <f>VLOOKUP(Table9[[#This Row],[Shortname]], Comp[], 16, FALSE)</f>
        <v>0</v>
      </c>
      <c r="T437">
        <f>VLOOKUP(Table9[[#This Row],[Shortname]], Comp[], 17, FALSE)</f>
        <v>0</v>
      </c>
      <c r="U437">
        <f>VLOOKUP(Table9[[#This Row],[Shortname]], Comp[], 18, FALSE)</f>
        <v>0</v>
      </c>
      <c r="V437">
        <f>VLOOKUP(Table9[[#This Row],[Shortname]], Comp[], 19, FALSE)</f>
        <v>0</v>
      </c>
      <c r="W437">
        <f>VLOOKUP(Table9[[#This Row],[Shortname]], Comp[], 20, FALSE)</f>
        <v>0</v>
      </c>
      <c r="X437">
        <f>VLOOKUP(Table9[[#This Row],[Shortname]], Comp[], 21, FALSE)</f>
        <v>0</v>
      </c>
      <c r="Y437">
        <f>VLOOKUP(Table9[[#This Row],[Shortname]], Comp[], 22, FALSE)</f>
        <v>0</v>
      </c>
      <c r="Z437">
        <f>VLOOKUP(Table9[[#This Row],[Shortname]], Comp[], 23, FALSE)</f>
        <v>0</v>
      </c>
      <c r="AA437">
        <f>VLOOKUP(Table9[[#This Row],[Shortname]], Comp[], 24, FALSE)</f>
        <v>0</v>
      </c>
      <c r="AB437">
        <f>VLOOKUP(Table9[[#This Row],[Shortname]], Comp[], 25, FALSE)</f>
        <v>0</v>
      </c>
      <c r="AC437">
        <f>VLOOKUP(Table9[[#This Row],[Shortname]], Comp[], 26, FALSE)</f>
        <v>0</v>
      </c>
      <c r="AD437">
        <f>VLOOKUP(Table9[[#This Row],[Shortname]], Comp[], 27, FALSE)</f>
        <v>0</v>
      </c>
      <c r="AE437">
        <f>VLOOKUP(Table9[[#This Row],[Shortname]], Comp[], 28, FALSE)</f>
        <v>0</v>
      </c>
      <c r="AF437">
        <f>VLOOKUP(Table9[[#This Row],[Shortname]], Comp[], 29, FALSE)</f>
        <v>0</v>
      </c>
      <c r="AG437">
        <f>VLOOKUP(Table9[[#This Row],[Shortname]], Comp[], 30, FALSE)</f>
        <v>0</v>
      </c>
      <c r="AH437">
        <f>VLOOKUP(Table9[[#This Row],[Shortname]], Comp[], 31, FALSE)</f>
        <v>0</v>
      </c>
    </row>
    <row r="438" spans="1:34" x14ac:dyDescent="0.3">
      <c r="A438" t="s">
        <v>567</v>
      </c>
      <c r="B438" t="s">
        <v>569</v>
      </c>
      <c r="C438" t="s">
        <v>499</v>
      </c>
      <c r="D438">
        <v>564</v>
      </c>
      <c r="E438">
        <v>25</v>
      </c>
      <c r="F438">
        <v>1E-4</v>
      </c>
      <c r="G438">
        <v>1</v>
      </c>
      <c r="I438">
        <f>VLOOKUP(Table9[[#This Row],[Shortname]], Comp[], 6, FALSE)</f>
        <v>73</v>
      </c>
      <c r="J438" s="14">
        <f>VLOOKUP(Table9[[#This Row],[Shortname]], Comp[], 7, FALSE)</f>
        <v>82.901499999999999</v>
      </c>
      <c r="K438">
        <f>VLOOKUP(Table9[[#This Row],[Shortname]], Comp[], 8, FALSE)</f>
        <v>0</v>
      </c>
      <c r="L438">
        <f>VLOOKUP(Table9[[#This Row],[Shortname]], Comp[], 9, FALSE)</f>
        <v>9.56</v>
      </c>
      <c r="M438">
        <f>VLOOKUP(Table9[[#This Row],[Shortname]], Comp[], 10, FALSE)</f>
        <v>0</v>
      </c>
      <c r="N438">
        <f>VLOOKUP(Table9[[#This Row],[Shortname]], Comp[], 11, FALSE)</f>
        <v>7.5</v>
      </c>
      <c r="O438">
        <f>VLOOKUP(Table9[[#This Row],[Shortname]], Comp[],12, FALSE)</f>
        <v>0</v>
      </c>
      <c r="P438">
        <f>VLOOKUP(Table9[[#This Row],[Shortname]], Comp[], 13, FALSE)</f>
        <v>0</v>
      </c>
      <c r="Q438">
        <f>VLOOKUP(Table9[[#This Row],[Shortname]], Comp[], 14, FALSE)</f>
        <v>0</v>
      </c>
      <c r="R438">
        <f>VLOOKUP(Table9[[#This Row],[Shortname]], Comp[], 15, FALSE)</f>
        <v>0</v>
      </c>
      <c r="S438">
        <f>VLOOKUP(Table9[[#This Row],[Shortname]], Comp[], 16, FALSE)</f>
        <v>0</v>
      </c>
      <c r="T438">
        <f>VLOOKUP(Table9[[#This Row],[Shortname]], Comp[], 17, FALSE)</f>
        <v>0</v>
      </c>
      <c r="U438">
        <f>VLOOKUP(Table9[[#This Row],[Shortname]], Comp[], 18, FALSE)</f>
        <v>0</v>
      </c>
      <c r="V438">
        <f>VLOOKUP(Table9[[#This Row],[Shortname]], Comp[], 19, FALSE)</f>
        <v>3.85E-2</v>
      </c>
      <c r="W438">
        <f>VLOOKUP(Table9[[#This Row],[Shortname]], Comp[], 20, FALSE)</f>
        <v>0</v>
      </c>
      <c r="X438">
        <f>VLOOKUP(Table9[[#This Row],[Shortname]], Comp[], 21, FALSE)</f>
        <v>0</v>
      </c>
      <c r="Y438">
        <f>VLOOKUP(Table9[[#This Row],[Shortname]], Comp[], 22, FALSE)</f>
        <v>0</v>
      </c>
      <c r="Z438">
        <f>VLOOKUP(Table9[[#This Row],[Shortname]], Comp[], 23, FALSE)</f>
        <v>0</v>
      </c>
      <c r="AA438">
        <f>VLOOKUP(Table9[[#This Row],[Shortname]], Comp[], 24, FALSE)</f>
        <v>0</v>
      </c>
      <c r="AB438">
        <f>VLOOKUP(Table9[[#This Row],[Shortname]], Comp[], 25, FALSE)</f>
        <v>0</v>
      </c>
      <c r="AC438">
        <f>VLOOKUP(Table9[[#This Row],[Shortname]], Comp[], 26, FALSE)</f>
        <v>0</v>
      </c>
      <c r="AD438">
        <f>VLOOKUP(Table9[[#This Row],[Shortname]], Comp[], 27, FALSE)</f>
        <v>0</v>
      </c>
      <c r="AE438">
        <f>VLOOKUP(Table9[[#This Row],[Shortname]], Comp[], 28, FALSE)</f>
        <v>0</v>
      </c>
      <c r="AF438">
        <f>VLOOKUP(Table9[[#This Row],[Shortname]], Comp[], 29, FALSE)</f>
        <v>0</v>
      </c>
      <c r="AG438">
        <f>VLOOKUP(Table9[[#This Row],[Shortname]], Comp[], 30, FALSE)</f>
        <v>0</v>
      </c>
      <c r="AH438">
        <f>VLOOKUP(Table9[[#This Row],[Shortname]], Comp[], 31, FALSE)</f>
        <v>0</v>
      </c>
    </row>
    <row r="439" spans="1:34" x14ac:dyDescent="0.3">
      <c r="A439" t="s">
        <v>1473</v>
      </c>
      <c r="B439" t="s">
        <v>1475</v>
      </c>
      <c r="C439" t="s">
        <v>1476</v>
      </c>
      <c r="D439">
        <v>780</v>
      </c>
      <c r="E439">
        <v>25</v>
      </c>
      <c r="F439">
        <v>2.9999999999999997E-4</v>
      </c>
      <c r="G439">
        <v>-1</v>
      </c>
      <c r="I439">
        <f>VLOOKUP(Table9[[#This Row],[Shortname]], Comp[], 6, FALSE)</f>
        <v>188</v>
      </c>
      <c r="J439" s="14">
        <f>VLOOKUP(Table9[[#This Row],[Shortname]], Comp[], 7, FALSE)</f>
        <v>79.98</v>
      </c>
      <c r="K439">
        <f>VLOOKUP(Table9[[#This Row],[Shortname]], Comp[], 8, FALSE)</f>
        <v>0</v>
      </c>
      <c r="L439">
        <f>VLOOKUP(Table9[[#This Row],[Shortname]], Comp[], 9, FALSE)</f>
        <v>9</v>
      </c>
      <c r="M439">
        <f>VLOOKUP(Table9[[#This Row],[Shortname]], Comp[], 10, FALSE)</f>
        <v>0</v>
      </c>
      <c r="N439">
        <f>VLOOKUP(Table9[[#This Row],[Shortname]], Comp[], 11, FALSE)</f>
        <v>9</v>
      </c>
      <c r="O439">
        <f>VLOOKUP(Table9[[#This Row],[Shortname]], Comp[],12, FALSE)</f>
        <v>0</v>
      </c>
      <c r="P439">
        <f>VLOOKUP(Table9[[#This Row],[Shortname]], Comp[], 13, FALSE)</f>
        <v>2</v>
      </c>
      <c r="Q439">
        <f>VLOOKUP(Table9[[#This Row],[Shortname]], Comp[], 14, FALSE)</f>
        <v>0</v>
      </c>
      <c r="R439">
        <f>VLOOKUP(Table9[[#This Row],[Shortname]], Comp[], 15, FALSE)</f>
        <v>0</v>
      </c>
      <c r="S439">
        <f>VLOOKUP(Table9[[#This Row],[Shortname]], Comp[], 16, FALSE)</f>
        <v>0</v>
      </c>
      <c r="T439">
        <f>VLOOKUP(Table9[[#This Row],[Shortname]], Comp[], 17, FALSE)</f>
        <v>0</v>
      </c>
      <c r="U439">
        <f>VLOOKUP(Table9[[#This Row],[Shortname]], Comp[], 18, FALSE)</f>
        <v>0</v>
      </c>
      <c r="V439">
        <f>VLOOKUP(Table9[[#This Row],[Shortname]], Comp[], 19, FALSE)</f>
        <v>0.02</v>
      </c>
      <c r="W439">
        <f>VLOOKUP(Table9[[#This Row],[Shortname]], Comp[], 20, FALSE)</f>
        <v>0</v>
      </c>
      <c r="X439">
        <f>VLOOKUP(Table9[[#This Row],[Shortname]], Comp[], 21, FALSE)</f>
        <v>0</v>
      </c>
      <c r="Y439">
        <f>VLOOKUP(Table9[[#This Row],[Shortname]], Comp[], 22, FALSE)</f>
        <v>0</v>
      </c>
      <c r="Z439">
        <f>VLOOKUP(Table9[[#This Row],[Shortname]], Comp[], 23, FALSE)</f>
        <v>0</v>
      </c>
      <c r="AA439">
        <f>VLOOKUP(Table9[[#This Row],[Shortname]], Comp[], 24, FALSE)</f>
        <v>0</v>
      </c>
      <c r="AB439">
        <f>VLOOKUP(Table9[[#This Row],[Shortname]], Comp[], 25, FALSE)</f>
        <v>0</v>
      </c>
      <c r="AC439">
        <f>VLOOKUP(Table9[[#This Row],[Shortname]], Comp[], 26, FALSE)</f>
        <v>0</v>
      </c>
      <c r="AD439">
        <f>VLOOKUP(Table9[[#This Row],[Shortname]], Comp[], 27, FALSE)</f>
        <v>0</v>
      </c>
      <c r="AE439">
        <f>VLOOKUP(Table9[[#This Row],[Shortname]], Comp[], 28, FALSE)</f>
        <v>0</v>
      </c>
      <c r="AF439">
        <f>VLOOKUP(Table9[[#This Row],[Shortname]], Comp[], 29, FALSE)</f>
        <v>0</v>
      </c>
      <c r="AG439">
        <f>VLOOKUP(Table9[[#This Row],[Shortname]], Comp[], 30, FALSE)</f>
        <v>0</v>
      </c>
      <c r="AH439">
        <f>VLOOKUP(Table9[[#This Row],[Shortname]], Comp[], 31, FALSE)</f>
        <v>0</v>
      </c>
    </row>
    <row r="440" spans="1:34" x14ac:dyDescent="0.3">
      <c r="A440" t="s">
        <v>1482</v>
      </c>
      <c r="B440" t="s">
        <v>1484</v>
      </c>
      <c r="C440" t="s">
        <v>1476</v>
      </c>
      <c r="D440">
        <v>755</v>
      </c>
      <c r="E440">
        <v>25</v>
      </c>
      <c r="F440">
        <v>2.9999999999999997E-4</v>
      </c>
      <c r="G440">
        <v>-1</v>
      </c>
      <c r="I440">
        <f>VLOOKUP(Table9[[#This Row],[Shortname]], Comp[], 6, FALSE)</f>
        <v>189</v>
      </c>
      <c r="J440" s="14">
        <f>VLOOKUP(Table9[[#This Row],[Shortname]], Comp[], 7, FALSE)</f>
        <v>79.98</v>
      </c>
      <c r="K440">
        <f>VLOOKUP(Table9[[#This Row],[Shortname]], Comp[], 8, FALSE)</f>
        <v>0</v>
      </c>
      <c r="L440">
        <f>VLOOKUP(Table9[[#This Row],[Shortname]], Comp[], 9, FALSE)</f>
        <v>9</v>
      </c>
      <c r="M440">
        <f>VLOOKUP(Table9[[#This Row],[Shortname]], Comp[], 10, FALSE)</f>
        <v>0</v>
      </c>
      <c r="N440">
        <f>VLOOKUP(Table9[[#This Row],[Shortname]], Comp[], 11, FALSE)</f>
        <v>7</v>
      </c>
      <c r="O440">
        <f>VLOOKUP(Table9[[#This Row],[Shortname]], Comp[],12, FALSE)</f>
        <v>0</v>
      </c>
      <c r="P440">
        <f>VLOOKUP(Table9[[#This Row],[Shortname]], Comp[], 13, FALSE)</f>
        <v>2</v>
      </c>
      <c r="Q440">
        <f>VLOOKUP(Table9[[#This Row],[Shortname]], Comp[], 14, FALSE)</f>
        <v>0</v>
      </c>
      <c r="R440">
        <f>VLOOKUP(Table9[[#This Row],[Shortname]], Comp[], 15, FALSE)</f>
        <v>0</v>
      </c>
      <c r="S440">
        <f>VLOOKUP(Table9[[#This Row],[Shortname]], Comp[], 16, FALSE)</f>
        <v>2</v>
      </c>
      <c r="T440">
        <f>VLOOKUP(Table9[[#This Row],[Shortname]], Comp[], 17, FALSE)</f>
        <v>0</v>
      </c>
      <c r="U440">
        <f>VLOOKUP(Table9[[#This Row],[Shortname]], Comp[], 18, FALSE)</f>
        <v>0</v>
      </c>
      <c r="V440">
        <f>VLOOKUP(Table9[[#This Row],[Shortname]], Comp[], 19, FALSE)</f>
        <v>0.02</v>
      </c>
      <c r="W440">
        <f>VLOOKUP(Table9[[#This Row],[Shortname]], Comp[], 20, FALSE)</f>
        <v>0</v>
      </c>
      <c r="X440">
        <f>VLOOKUP(Table9[[#This Row],[Shortname]], Comp[], 21, FALSE)</f>
        <v>0</v>
      </c>
      <c r="Y440">
        <f>VLOOKUP(Table9[[#This Row],[Shortname]], Comp[], 22, FALSE)</f>
        <v>0</v>
      </c>
      <c r="Z440">
        <f>VLOOKUP(Table9[[#This Row],[Shortname]], Comp[], 23, FALSE)</f>
        <v>0</v>
      </c>
      <c r="AA440">
        <f>VLOOKUP(Table9[[#This Row],[Shortname]], Comp[], 24, FALSE)</f>
        <v>0</v>
      </c>
      <c r="AB440">
        <f>VLOOKUP(Table9[[#This Row],[Shortname]], Comp[], 25, FALSE)</f>
        <v>0</v>
      </c>
      <c r="AC440">
        <f>VLOOKUP(Table9[[#This Row],[Shortname]], Comp[], 26, FALSE)</f>
        <v>0</v>
      </c>
      <c r="AD440">
        <f>VLOOKUP(Table9[[#This Row],[Shortname]], Comp[], 27, FALSE)</f>
        <v>0</v>
      </c>
      <c r="AE440">
        <f>VLOOKUP(Table9[[#This Row],[Shortname]], Comp[], 28, FALSE)</f>
        <v>0</v>
      </c>
      <c r="AF440">
        <f>VLOOKUP(Table9[[#This Row],[Shortname]], Comp[], 29, FALSE)</f>
        <v>0</v>
      </c>
      <c r="AG440">
        <f>VLOOKUP(Table9[[#This Row],[Shortname]], Comp[], 30, FALSE)</f>
        <v>0</v>
      </c>
      <c r="AH440">
        <f>VLOOKUP(Table9[[#This Row],[Shortname]], Comp[], 31, FALSE)</f>
        <v>0</v>
      </c>
    </row>
    <row r="441" spans="1:34" x14ac:dyDescent="0.3">
      <c r="A441" t="s">
        <v>1488</v>
      </c>
      <c r="B441" t="s">
        <v>1490</v>
      </c>
      <c r="C441" t="s">
        <v>1476</v>
      </c>
      <c r="D441">
        <v>760</v>
      </c>
      <c r="E441">
        <v>25</v>
      </c>
      <c r="F441">
        <v>2.9999999999999997E-4</v>
      </c>
      <c r="G441">
        <v>-1</v>
      </c>
      <c r="I441">
        <f>VLOOKUP(Table9[[#This Row],[Shortname]], Comp[], 6, FALSE)</f>
        <v>190</v>
      </c>
      <c r="J441" s="14">
        <f>VLOOKUP(Table9[[#This Row],[Shortname]], Comp[], 7, FALSE)</f>
        <v>79.98</v>
      </c>
      <c r="K441">
        <f>VLOOKUP(Table9[[#This Row],[Shortname]], Comp[], 8, FALSE)</f>
        <v>0</v>
      </c>
      <c r="L441">
        <f>VLOOKUP(Table9[[#This Row],[Shortname]], Comp[], 9, FALSE)</f>
        <v>9</v>
      </c>
      <c r="M441">
        <f>VLOOKUP(Table9[[#This Row],[Shortname]], Comp[], 10, FALSE)</f>
        <v>0</v>
      </c>
      <c r="N441">
        <f>VLOOKUP(Table9[[#This Row],[Shortname]], Comp[], 11, FALSE)</f>
        <v>5</v>
      </c>
      <c r="O441">
        <f>VLOOKUP(Table9[[#This Row],[Shortname]], Comp[],12, FALSE)</f>
        <v>0</v>
      </c>
      <c r="P441">
        <f>VLOOKUP(Table9[[#This Row],[Shortname]], Comp[], 13, FALSE)</f>
        <v>2</v>
      </c>
      <c r="Q441">
        <f>VLOOKUP(Table9[[#This Row],[Shortname]], Comp[], 14, FALSE)</f>
        <v>0</v>
      </c>
      <c r="R441">
        <f>VLOOKUP(Table9[[#This Row],[Shortname]], Comp[], 15, FALSE)</f>
        <v>0</v>
      </c>
      <c r="S441">
        <f>VLOOKUP(Table9[[#This Row],[Shortname]], Comp[], 16, FALSE)</f>
        <v>4</v>
      </c>
      <c r="T441">
        <f>VLOOKUP(Table9[[#This Row],[Shortname]], Comp[], 17, FALSE)</f>
        <v>0</v>
      </c>
      <c r="U441">
        <f>VLOOKUP(Table9[[#This Row],[Shortname]], Comp[], 18, FALSE)</f>
        <v>0</v>
      </c>
      <c r="V441">
        <f>VLOOKUP(Table9[[#This Row],[Shortname]], Comp[], 19, FALSE)</f>
        <v>0.02</v>
      </c>
      <c r="W441">
        <f>VLOOKUP(Table9[[#This Row],[Shortname]], Comp[], 20, FALSE)</f>
        <v>0</v>
      </c>
      <c r="X441">
        <f>VLOOKUP(Table9[[#This Row],[Shortname]], Comp[], 21, FALSE)</f>
        <v>0</v>
      </c>
      <c r="Y441">
        <f>VLOOKUP(Table9[[#This Row],[Shortname]], Comp[], 22, FALSE)</f>
        <v>0</v>
      </c>
      <c r="Z441">
        <f>VLOOKUP(Table9[[#This Row],[Shortname]], Comp[], 23, FALSE)</f>
        <v>0</v>
      </c>
      <c r="AA441">
        <f>VLOOKUP(Table9[[#This Row],[Shortname]], Comp[], 24, FALSE)</f>
        <v>0</v>
      </c>
      <c r="AB441">
        <f>VLOOKUP(Table9[[#This Row],[Shortname]], Comp[], 25, FALSE)</f>
        <v>0</v>
      </c>
      <c r="AC441">
        <f>VLOOKUP(Table9[[#This Row],[Shortname]], Comp[], 26, FALSE)</f>
        <v>0</v>
      </c>
      <c r="AD441">
        <f>VLOOKUP(Table9[[#This Row],[Shortname]], Comp[], 27, FALSE)</f>
        <v>0</v>
      </c>
      <c r="AE441">
        <f>VLOOKUP(Table9[[#This Row],[Shortname]], Comp[], 28, FALSE)</f>
        <v>0</v>
      </c>
      <c r="AF441">
        <f>VLOOKUP(Table9[[#This Row],[Shortname]], Comp[], 29, FALSE)</f>
        <v>0</v>
      </c>
      <c r="AG441">
        <f>VLOOKUP(Table9[[#This Row],[Shortname]], Comp[], 30, FALSE)</f>
        <v>0</v>
      </c>
      <c r="AH441">
        <f>VLOOKUP(Table9[[#This Row],[Shortname]], Comp[], 31, FALSE)</f>
        <v>0</v>
      </c>
    </row>
    <row r="442" spans="1:34" x14ac:dyDescent="0.3">
      <c r="A442" t="s">
        <v>1495</v>
      </c>
      <c r="B442" t="s">
        <v>1497</v>
      </c>
      <c r="C442" t="s">
        <v>1476</v>
      </c>
      <c r="D442">
        <v>651</v>
      </c>
      <c r="E442">
        <v>25</v>
      </c>
      <c r="F442">
        <v>2.9999999999999997E-4</v>
      </c>
      <c r="G442">
        <v>-1</v>
      </c>
      <c r="I442">
        <f>VLOOKUP(Table9[[#This Row],[Shortname]], Comp[], 6, FALSE)</f>
        <v>191</v>
      </c>
      <c r="J442" s="14">
        <f>VLOOKUP(Table9[[#This Row],[Shortname]], Comp[], 7, FALSE)</f>
        <v>79.98</v>
      </c>
      <c r="K442">
        <f>VLOOKUP(Table9[[#This Row],[Shortname]], Comp[], 8, FALSE)</f>
        <v>0</v>
      </c>
      <c r="L442">
        <f>VLOOKUP(Table9[[#This Row],[Shortname]], Comp[], 9, FALSE)</f>
        <v>9</v>
      </c>
      <c r="M442">
        <f>VLOOKUP(Table9[[#This Row],[Shortname]], Comp[], 10, FALSE)</f>
        <v>0</v>
      </c>
      <c r="N442">
        <f>VLOOKUP(Table9[[#This Row],[Shortname]], Comp[], 11, FALSE)</f>
        <v>3</v>
      </c>
      <c r="O442">
        <f>VLOOKUP(Table9[[#This Row],[Shortname]], Comp[],12, FALSE)</f>
        <v>0</v>
      </c>
      <c r="P442">
        <f>VLOOKUP(Table9[[#This Row],[Shortname]], Comp[], 13, FALSE)</f>
        <v>2</v>
      </c>
      <c r="Q442">
        <f>VLOOKUP(Table9[[#This Row],[Shortname]], Comp[], 14, FALSE)</f>
        <v>0</v>
      </c>
      <c r="R442">
        <f>VLOOKUP(Table9[[#This Row],[Shortname]], Comp[], 15, FALSE)</f>
        <v>0</v>
      </c>
      <c r="S442">
        <f>VLOOKUP(Table9[[#This Row],[Shortname]], Comp[], 16, FALSE)</f>
        <v>6</v>
      </c>
      <c r="T442">
        <f>VLOOKUP(Table9[[#This Row],[Shortname]], Comp[], 17, FALSE)</f>
        <v>0</v>
      </c>
      <c r="U442">
        <f>VLOOKUP(Table9[[#This Row],[Shortname]], Comp[], 18, FALSE)</f>
        <v>0</v>
      </c>
      <c r="V442">
        <f>VLOOKUP(Table9[[#This Row],[Shortname]], Comp[], 19, FALSE)</f>
        <v>0.02</v>
      </c>
      <c r="W442">
        <f>VLOOKUP(Table9[[#This Row],[Shortname]], Comp[], 20, FALSE)</f>
        <v>0</v>
      </c>
      <c r="X442">
        <f>VLOOKUP(Table9[[#This Row],[Shortname]], Comp[], 21, FALSE)</f>
        <v>0</v>
      </c>
      <c r="Y442">
        <f>VLOOKUP(Table9[[#This Row],[Shortname]], Comp[], 22, FALSE)</f>
        <v>0</v>
      </c>
      <c r="Z442">
        <f>VLOOKUP(Table9[[#This Row],[Shortname]], Comp[], 23, FALSE)</f>
        <v>0</v>
      </c>
      <c r="AA442">
        <f>VLOOKUP(Table9[[#This Row],[Shortname]], Comp[], 24, FALSE)</f>
        <v>0</v>
      </c>
      <c r="AB442">
        <f>VLOOKUP(Table9[[#This Row],[Shortname]], Comp[], 25, FALSE)</f>
        <v>0</v>
      </c>
      <c r="AC442">
        <f>VLOOKUP(Table9[[#This Row],[Shortname]], Comp[], 26, FALSE)</f>
        <v>0</v>
      </c>
      <c r="AD442">
        <f>VLOOKUP(Table9[[#This Row],[Shortname]], Comp[], 27, FALSE)</f>
        <v>0</v>
      </c>
      <c r="AE442">
        <f>VLOOKUP(Table9[[#This Row],[Shortname]], Comp[], 28, FALSE)</f>
        <v>0</v>
      </c>
      <c r="AF442">
        <f>VLOOKUP(Table9[[#This Row],[Shortname]], Comp[], 29, FALSE)</f>
        <v>0</v>
      </c>
      <c r="AG442">
        <f>VLOOKUP(Table9[[#This Row],[Shortname]], Comp[], 30, FALSE)</f>
        <v>0</v>
      </c>
      <c r="AH442">
        <f>VLOOKUP(Table9[[#This Row],[Shortname]], Comp[], 31, FALSE)</f>
        <v>0</v>
      </c>
    </row>
    <row r="443" spans="1:34" x14ac:dyDescent="0.3">
      <c r="A443" t="s">
        <v>1503</v>
      </c>
      <c r="B443" t="s">
        <v>1505</v>
      </c>
      <c r="C443" t="s">
        <v>1476</v>
      </c>
      <c r="D443">
        <v>660</v>
      </c>
      <c r="E443">
        <v>25</v>
      </c>
      <c r="F443">
        <v>2.9999999999999997E-4</v>
      </c>
      <c r="G443">
        <v>-1</v>
      </c>
      <c r="I443">
        <f>VLOOKUP(Table9[[#This Row],[Shortname]], Comp[], 6, FALSE)</f>
        <v>192</v>
      </c>
      <c r="J443" s="14">
        <f>VLOOKUP(Table9[[#This Row],[Shortname]], Comp[], 7, FALSE)</f>
        <v>79.98</v>
      </c>
      <c r="K443">
        <f>VLOOKUP(Table9[[#This Row],[Shortname]], Comp[], 8, FALSE)</f>
        <v>0</v>
      </c>
      <c r="L443">
        <f>VLOOKUP(Table9[[#This Row],[Shortname]], Comp[], 9, FALSE)</f>
        <v>9</v>
      </c>
      <c r="M443">
        <f>VLOOKUP(Table9[[#This Row],[Shortname]], Comp[], 10, FALSE)</f>
        <v>0</v>
      </c>
      <c r="N443">
        <f>VLOOKUP(Table9[[#This Row],[Shortname]], Comp[], 11, FALSE)</f>
        <v>0</v>
      </c>
      <c r="O443">
        <f>VLOOKUP(Table9[[#This Row],[Shortname]], Comp[],12, FALSE)</f>
        <v>0</v>
      </c>
      <c r="P443">
        <f>VLOOKUP(Table9[[#This Row],[Shortname]], Comp[], 13, FALSE)</f>
        <v>2</v>
      </c>
      <c r="Q443">
        <f>VLOOKUP(Table9[[#This Row],[Shortname]], Comp[], 14, FALSE)</f>
        <v>0</v>
      </c>
      <c r="R443">
        <f>VLOOKUP(Table9[[#This Row],[Shortname]], Comp[], 15, FALSE)</f>
        <v>0</v>
      </c>
      <c r="S443">
        <f>VLOOKUP(Table9[[#This Row],[Shortname]], Comp[], 16, FALSE)</f>
        <v>9</v>
      </c>
      <c r="T443">
        <f>VLOOKUP(Table9[[#This Row],[Shortname]], Comp[], 17, FALSE)</f>
        <v>0</v>
      </c>
      <c r="U443">
        <f>VLOOKUP(Table9[[#This Row],[Shortname]], Comp[], 18, FALSE)</f>
        <v>0</v>
      </c>
      <c r="V443">
        <f>VLOOKUP(Table9[[#This Row],[Shortname]], Comp[], 19, FALSE)</f>
        <v>0.02</v>
      </c>
      <c r="W443">
        <f>VLOOKUP(Table9[[#This Row],[Shortname]], Comp[], 20, FALSE)</f>
        <v>0</v>
      </c>
      <c r="X443">
        <f>VLOOKUP(Table9[[#This Row],[Shortname]], Comp[], 21, FALSE)</f>
        <v>0</v>
      </c>
      <c r="Y443">
        <f>VLOOKUP(Table9[[#This Row],[Shortname]], Comp[], 22, FALSE)</f>
        <v>0</v>
      </c>
      <c r="Z443">
        <f>VLOOKUP(Table9[[#This Row],[Shortname]], Comp[], 23, FALSE)</f>
        <v>0</v>
      </c>
      <c r="AA443">
        <f>VLOOKUP(Table9[[#This Row],[Shortname]], Comp[], 24, FALSE)</f>
        <v>0</v>
      </c>
      <c r="AB443">
        <f>VLOOKUP(Table9[[#This Row],[Shortname]], Comp[], 25, FALSE)</f>
        <v>0</v>
      </c>
      <c r="AC443">
        <f>VLOOKUP(Table9[[#This Row],[Shortname]], Comp[], 26, FALSE)</f>
        <v>0</v>
      </c>
      <c r="AD443">
        <f>VLOOKUP(Table9[[#This Row],[Shortname]], Comp[], 27, FALSE)</f>
        <v>0</v>
      </c>
      <c r="AE443">
        <f>VLOOKUP(Table9[[#This Row],[Shortname]], Comp[], 28, FALSE)</f>
        <v>0</v>
      </c>
      <c r="AF443">
        <f>VLOOKUP(Table9[[#This Row],[Shortname]], Comp[], 29, FALSE)</f>
        <v>0</v>
      </c>
      <c r="AG443">
        <f>VLOOKUP(Table9[[#This Row],[Shortname]], Comp[], 30, FALSE)</f>
        <v>0</v>
      </c>
      <c r="AH443">
        <f>VLOOKUP(Table9[[#This Row],[Shortname]], Comp[], 31, FALSE)</f>
        <v>0</v>
      </c>
    </row>
    <row r="444" spans="1:34" x14ac:dyDescent="0.3">
      <c r="A444" t="s">
        <v>4980</v>
      </c>
      <c r="B444" t="s">
        <v>6842</v>
      </c>
      <c r="C444" t="s">
        <v>4983</v>
      </c>
      <c r="D444">
        <v>1290</v>
      </c>
      <c r="E444">
        <v>25</v>
      </c>
      <c r="F444">
        <v>1E-4</v>
      </c>
      <c r="G444">
        <v>-1</v>
      </c>
      <c r="H444" t="s">
        <v>6843</v>
      </c>
      <c r="I444">
        <f>VLOOKUP(Table9[[#This Row],[Shortname]], Comp[], 6, FALSE)</f>
        <v>764</v>
      </c>
      <c r="J444" s="14">
        <f>VLOOKUP(Table9[[#This Row],[Shortname]], Comp[], 7, FALSE)</f>
        <v>32.38000000000001</v>
      </c>
      <c r="K444">
        <f>VLOOKUP(Table9[[#This Row],[Shortname]], Comp[], 8, FALSE)</f>
        <v>37.6</v>
      </c>
      <c r="L444">
        <f>VLOOKUP(Table9[[#This Row],[Shortname]], Comp[], 9, FALSE)</f>
        <v>8.9</v>
      </c>
      <c r="M444">
        <f>VLOOKUP(Table9[[#This Row],[Shortname]], Comp[], 10, FALSE)</f>
        <v>15.8</v>
      </c>
      <c r="N444">
        <f>VLOOKUP(Table9[[#This Row],[Shortname]], Comp[], 11, FALSE)</f>
        <v>2.8</v>
      </c>
      <c r="O444">
        <f>VLOOKUP(Table9[[#This Row],[Shortname]], Comp[],12, FALSE)</f>
        <v>1.8</v>
      </c>
      <c r="P444">
        <f>VLOOKUP(Table9[[#This Row],[Shortname]], Comp[], 13, FALSE)</f>
        <v>0.5</v>
      </c>
      <c r="Q444">
        <f>VLOOKUP(Table9[[#This Row],[Shortname]], Comp[], 14, FALSE)</f>
        <v>0</v>
      </c>
      <c r="R444">
        <f>VLOOKUP(Table9[[#This Row],[Shortname]], Comp[], 15, FALSE)</f>
        <v>0</v>
      </c>
      <c r="S444">
        <f>VLOOKUP(Table9[[#This Row],[Shortname]], Comp[], 16, FALSE)</f>
        <v>0</v>
      </c>
      <c r="T444">
        <f>VLOOKUP(Table9[[#This Row],[Shortname]], Comp[], 17, FALSE)</f>
        <v>0.14000000000000001</v>
      </c>
      <c r="U444">
        <f>VLOOKUP(Table9[[#This Row],[Shortname]], Comp[], 18, FALSE)</f>
        <v>0.03</v>
      </c>
      <c r="V444">
        <f>VLOOKUP(Table9[[#This Row],[Shortname]], Comp[], 19, FALSE)</f>
        <v>0.05</v>
      </c>
      <c r="W444">
        <f>VLOOKUP(Table9[[#This Row],[Shortname]], Comp[], 20, FALSE)</f>
        <v>0</v>
      </c>
      <c r="X444">
        <f>VLOOKUP(Table9[[#This Row],[Shortname]], Comp[], 21, FALSE)</f>
        <v>0</v>
      </c>
      <c r="Y444">
        <f>VLOOKUP(Table9[[#This Row],[Shortname]], Comp[], 22, FALSE)</f>
        <v>0</v>
      </c>
      <c r="Z444">
        <f>VLOOKUP(Table9[[#This Row],[Shortname]], Comp[], 23, FALSE)</f>
        <v>0</v>
      </c>
      <c r="AA444">
        <f>VLOOKUP(Table9[[#This Row],[Shortname]], Comp[], 24, FALSE)</f>
        <v>0</v>
      </c>
      <c r="AB444">
        <f>VLOOKUP(Table9[[#This Row],[Shortname]], Comp[], 25, FALSE)</f>
        <v>0</v>
      </c>
      <c r="AC444">
        <f>VLOOKUP(Table9[[#This Row],[Shortname]], Comp[], 26, FALSE)</f>
        <v>0</v>
      </c>
      <c r="AD444">
        <f>VLOOKUP(Table9[[#This Row],[Shortname]], Comp[], 27, FALSE)</f>
        <v>0</v>
      </c>
      <c r="AE444">
        <f>VLOOKUP(Table9[[#This Row],[Shortname]], Comp[], 28, FALSE)</f>
        <v>0</v>
      </c>
      <c r="AF444">
        <f>VLOOKUP(Table9[[#This Row],[Shortname]], Comp[], 29, FALSE)</f>
        <v>0</v>
      </c>
      <c r="AG444">
        <f>VLOOKUP(Table9[[#This Row],[Shortname]], Comp[], 30, FALSE)</f>
        <v>0</v>
      </c>
      <c r="AH444">
        <f>VLOOKUP(Table9[[#This Row],[Shortname]], Comp[], 31, FALSE)</f>
        <v>0</v>
      </c>
    </row>
    <row r="445" spans="1:34" x14ac:dyDescent="0.3">
      <c r="A445" t="s">
        <v>4980</v>
      </c>
      <c r="B445" t="s">
        <v>6844</v>
      </c>
      <c r="C445" t="s">
        <v>4983</v>
      </c>
      <c r="D445">
        <v>1000</v>
      </c>
      <c r="E445">
        <v>25</v>
      </c>
      <c r="F445">
        <v>1E-4</v>
      </c>
      <c r="G445">
        <v>-1</v>
      </c>
      <c r="H445" t="s">
        <v>6845</v>
      </c>
      <c r="I445">
        <f>VLOOKUP(Table9[[#This Row],[Shortname]], Comp[], 6, FALSE)</f>
        <v>764</v>
      </c>
      <c r="J445" s="14">
        <f>VLOOKUP(Table9[[#This Row],[Shortname]], Comp[], 7, FALSE)</f>
        <v>32.38000000000001</v>
      </c>
      <c r="K445">
        <f>VLOOKUP(Table9[[#This Row],[Shortname]], Comp[], 8, FALSE)</f>
        <v>37.6</v>
      </c>
      <c r="L445">
        <f>VLOOKUP(Table9[[#This Row],[Shortname]], Comp[], 9, FALSE)</f>
        <v>8.9</v>
      </c>
      <c r="M445">
        <f>VLOOKUP(Table9[[#This Row],[Shortname]], Comp[], 10, FALSE)</f>
        <v>15.8</v>
      </c>
      <c r="N445">
        <f>VLOOKUP(Table9[[#This Row],[Shortname]], Comp[], 11, FALSE)</f>
        <v>2.8</v>
      </c>
      <c r="O445">
        <f>VLOOKUP(Table9[[#This Row],[Shortname]], Comp[],12, FALSE)</f>
        <v>1.8</v>
      </c>
      <c r="P445">
        <f>VLOOKUP(Table9[[#This Row],[Shortname]], Comp[], 13, FALSE)</f>
        <v>0.5</v>
      </c>
      <c r="Q445">
        <f>VLOOKUP(Table9[[#This Row],[Shortname]], Comp[], 14, FALSE)</f>
        <v>0</v>
      </c>
      <c r="R445">
        <f>VLOOKUP(Table9[[#This Row],[Shortname]], Comp[], 15, FALSE)</f>
        <v>0</v>
      </c>
      <c r="S445">
        <f>VLOOKUP(Table9[[#This Row],[Shortname]], Comp[], 16, FALSE)</f>
        <v>0</v>
      </c>
      <c r="T445">
        <f>VLOOKUP(Table9[[#This Row],[Shortname]], Comp[], 17, FALSE)</f>
        <v>0.14000000000000001</v>
      </c>
      <c r="U445">
        <f>VLOOKUP(Table9[[#This Row],[Shortname]], Comp[], 18, FALSE)</f>
        <v>0.03</v>
      </c>
      <c r="V445">
        <f>VLOOKUP(Table9[[#This Row],[Shortname]], Comp[], 19, FALSE)</f>
        <v>0.05</v>
      </c>
      <c r="W445">
        <f>VLOOKUP(Table9[[#This Row],[Shortname]], Comp[], 20, FALSE)</f>
        <v>0</v>
      </c>
      <c r="X445">
        <f>VLOOKUP(Table9[[#This Row],[Shortname]], Comp[], 21, FALSE)</f>
        <v>0</v>
      </c>
      <c r="Y445">
        <f>VLOOKUP(Table9[[#This Row],[Shortname]], Comp[], 22, FALSE)</f>
        <v>0</v>
      </c>
      <c r="Z445">
        <f>VLOOKUP(Table9[[#This Row],[Shortname]], Comp[], 23, FALSE)</f>
        <v>0</v>
      </c>
      <c r="AA445">
        <f>VLOOKUP(Table9[[#This Row],[Shortname]], Comp[], 24, FALSE)</f>
        <v>0</v>
      </c>
      <c r="AB445">
        <f>VLOOKUP(Table9[[#This Row],[Shortname]], Comp[], 25, FALSE)</f>
        <v>0</v>
      </c>
      <c r="AC445">
        <f>VLOOKUP(Table9[[#This Row],[Shortname]], Comp[], 26, FALSE)</f>
        <v>0</v>
      </c>
      <c r="AD445">
        <f>VLOOKUP(Table9[[#This Row],[Shortname]], Comp[], 27, FALSE)</f>
        <v>0</v>
      </c>
      <c r="AE445">
        <f>VLOOKUP(Table9[[#This Row],[Shortname]], Comp[], 28, FALSE)</f>
        <v>0</v>
      </c>
      <c r="AF445">
        <f>VLOOKUP(Table9[[#This Row],[Shortname]], Comp[], 29, FALSE)</f>
        <v>0</v>
      </c>
      <c r="AG445">
        <f>VLOOKUP(Table9[[#This Row],[Shortname]], Comp[], 30, FALSE)</f>
        <v>0</v>
      </c>
      <c r="AH445">
        <f>VLOOKUP(Table9[[#This Row],[Shortname]], Comp[], 31, FALSE)</f>
        <v>0</v>
      </c>
    </row>
    <row r="446" spans="1:34" x14ac:dyDescent="0.3">
      <c r="A446" t="s">
        <v>4980</v>
      </c>
      <c r="B446" t="s">
        <v>6846</v>
      </c>
      <c r="C446" t="s">
        <v>4983</v>
      </c>
      <c r="D446">
        <v>1034</v>
      </c>
      <c r="E446">
        <v>25</v>
      </c>
      <c r="F446">
        <v>1E-4</v>
      </c>
      <c r="G446">
        <v>-1</v>
      </c>
      <c r="H446" t="s">
        <v>6847</v>
      </c>
      <c r="I446">
        <f>VLOOKUP(Table9[[#This Row],[Shortname]], Comp[], 6, FALSE)</f>
        <v>764</v>
      </c>
      <c r="J446" s="14">
        <f>VLOOKUP(Table9[[#This Row],[Shortname]], Comp[], 7, FALSE)</f>
        <v>32.38000000000001</v>
      </c>
      <c r="K446">
        <f>VLOOKUP(Table9[[#This Row],[Shortname]], Comp[], 8, FALSE)</f>
        <v>37.6</v>
      </c>
      <c r="L446">
        <f>VLOOKUP(Table9[[#This Row],[Shortname]], Comp[], 9, FALSE)</f>
        <v>8.9</v>
      </c>
      <c r="M446">
        <f>VLOOKUP(Table9[[#This Row],[Shortname]], Comp[], 10, FALSE)</f>
        <v>15.8</v>
      </c>
      <c r="N446">
        <f>VLOOKUP(Table9[[#This Row],[Shortname]], Comp[], 11, FALSE)</f>
        <v>2.8</v>
      </c>
      <c r="O446">
        <f>VLOOKUP(Table9[[#This Row],[Shortname]], Comp[],12, FALSE)</f>
        <v>1.8</v>
      </c>
      <c r="P446">
        <f>VLOOKUP(Table9[[#This Row],[Shortname]], Comp[], 13, FALSE)</f>
        <v>0.5</v>
      </c>
      <c r="Q446">
        <f>VLOOKUP(Table9[[#This Row],[Shortname]], Comp[], 14, FALSE)</f>
        <v>0</v>
      </c>
      <c r="R446">
        <f>VLOOKUP(Table9[[#This Row],[Shortname]], Comp[], 15, FALSE)</f>
        <v>0</v>
      </c>
      <c r="S446">
        <f>VLOOKUP(Table9[[#This Row],[Shortname]], Comp[], 16, FALSE)</f>
        <v>0</v>
      </c>
      <c r="T446">
        <f>VLOOKUP(Table9[[#This Row],[Shortname]], Comp[], 17, FALSE)</f>
        <v>0.14000000000000001</v>
      </c>
      <c r="U446">
        <f>VLOOKUP(Table9[[#This Row],[Shortname]], Comp[], 18, FALSE)</f>
        <v>0.03</v>
      </c>
      <c r="V446">
        <f>VLOOKUP(Table9[[#This Row],[Shortname]], Comp[], 19, FALSE)</f>
        <v>0.05</v>
      </c>
      <c r="W446">
        <f>VLOOKUP(Table9[[#This Row],[Shortname]], Comp[], 20, FALSE)</f>
        <v>0</v>
      </c>
      <c r="X446">
        <f>VLOOKUP(Table9[[#This Row],[Shortname]], Comp[], 21, FALSE)</f>
        <v>0</v>
      </c>
      <c r="Y446">
        <f>VLOOKUP(Table9[[#This Row],[Shortname]], Comp[], 22, FALSE)</f>
        <v>0</v>
      </c>
      <c r="Z446">
        <f>VLOOKUP(Table9[[#This Row],[Shortname]], Comp[], 23, FALSE)</f>
        <v>0</v>
      </c>
      <c r="AA446">
        <f>VLOOKUP(Table9[[#This Row],[Shortname]], Comp[], 24, FALSE)</f>
        <v>0</v>
      </c>
      <c r="AB446">
        <f>VLOOKUP(Table9[[#This Row],[Shortname]], Comp[], 25, FALSE)</f>
        <v>0</v>
      </c>
      <c r="AC446">
        <f>VLOOKUP(Table9[[#This Row],[Shortname]], Comp[], 26, FALSE)</f>
        <v>0</v>
      </c>
      <c r="AD446">
        <f>VLOOKUP(Table9[[#This Row],[Shortname]], Comp[], 27, FALSE)</f>
        <v>0</v>
      </c>
      <c r="AE446">
        <f>VLOOKUP(Table9[[#This Row],[Shortname]], Comp[], 28, FALSE)</f>
        <v>0</v>
      </c>
      <c r="AF446">
        <f>VLOOKUP(Table9[[#This Row],[Shortname]], Comp[], 29, FALSE)</f>
        <v>0</v>
      </c>
      <c r="AG446">
        <f>VLOOKUP(Table9[[#This Row],[Shortname]], Comp[], 30, FALSE)</f>
        <v>0</v>
      </c>
      <c r="AH446">
        <f>VLOOKUP(Table9[[#This Row],[Shortname]], Comp[], 31, FALSE)</f>
        <v>0</v>
      </c>
    </row>
    <row r="447" spans="1:34" x14ac:dyDescent="0.3">
      <c r="A447" t="s">
        <v>4980</v>
      </c>
      <c r="B447" t="s">
        <v>6842</v>
      </c>
      <c r="C447" t="s">
        <v>4983</v>
      </c>
      <c r="D447">
        <v>1292</v>
      </c>
      <c r="E447">
        <v>25</v>
      </c>
      <c r="F447">
        <v>1E-4</v>
      </c>
      <c r="G447">
        <v>-1</v>
      </c>
      <c r="H447" t="s">
        <v>6848</v>
      </c>
      <c r="I447">
        <f>VLOOKUP(Table9[[#This Row],[Shortname]], Comp[], 6, FALSE)</f>
        <v>764</v>
      </c>
      <c r="J447" s="14">
        <f>VLOOKUP(Table9[[#This Row],[Shortname]], Comp[], 7, FALSE)</f>
        <v>32.38000000000001</v>
      </c>
      <c r="K447">
        <f>VLOOKUP(Table9[[#This Row],[Shortname]], Comp[], 8, FALSE)</f>
        <v>37.6</v>
      </c>
      <c r="L447">
        <f>VLOOKUP(Table9[[#This Row],[Shortname]], Comp[], 9, FALSE)</f>
        <v>8.9</v>
      </c>
      <c r="M447">
        <f>VLOOKUP(Table9[[#This Row],[Shortname]], Comp[], 10, FALSE)</f>
        <v>15.8</v>
      </c>
      <c r="N447">
        <f>VLOOKUP(Table9[[#This Row],[Shortname]], Comp[], 11, FALSE)</f>
        <v>2.8</v>
      </c>
      <c r="O447">
        <f>VLOOKUP(Table9[[#This Row],[Shortname]], Comp[],12, FALSE)</f>
        <v>1.8</v>
      </c>
      <c r="P447">
        <f>VLOOKUP(Table9[[#This Row],[Shortname]], Comp[], 13, FALSE)</f>
        <v>0.5</v>
      </c>
      <c r="Q447">
        <f>VLOOKUP(Table9[[#This Row],[Shortname]], Comp[], 14, FALSE)</f>
        <v>0</v>
      </c>
      <c r="R447">
        <f>VLOOKUP(Table9[[#This Row],[Shortname]], Comp[], 15, FALSE)</f>
        <v>0</v>
      </c>
      <c r="S447">
        <f>VLOOKUP(Table9[[#This Row],[Shortname]], Comp[], 16, FALSE)</f>
        <v>0</v>
      </c>
      <c r="T447">
        <f>VLOOKUP(Table9[[#This Row],[Shortname]], Comp[], 17, FALSE)</f>
        <v>0.14000000000000001</v>
      </c>
      <c r="U447">
        <f>VLOOKUP(Table9[[#This Row],[Shortname]], Comp[], 18, FALSE)</f>
        <v>0.03</v>
      </c>
      <c r="V447">
        <f>VLOOKUP(Table9[[#This Row],[Shortname]], Comp[], 19, FALSE)</f>
        <v>0.05</v>
      </c>
      <c r="W447">
        <f>VLOOKUP(Table9[[#This Row],[Shortname]], Comp[], 20, FALSE)</f>
        <v>0</v>
      </c>
      <c r="X447">
        <f>VLOOKUP(Table9[[#This Row],[Shortname]], Comp[], 21, FALSE)</f>
        <v>0</v>
      </c>
      <c r="Y447">
        <f>VLOOKUP(Table9[[#This Row],[Shortname]], Comp[], 22, FALSE)</f>
        <v>0</v>
      </c>
      <c r="Z447">
        <f>VLOOKUP(Table9[[#This Row],[Shortname]], Comp[], 23, FALSE)</f>
        <v>0</v>
      </c>
      <c r="AA447">
        <f>VLOOKUP(Table9[[#This Row],[Shortname]], Comp[], 24, FALSE)</f>
        <v>0</v>
      </c>
      <c r="AB447">
        <f>VLOOKUP(Table9[[#This Row],[Shortname]], Comp[], 25, FALSE)</f>
        <v>0</v>
      </c>
      <c r="AC447">
        <f>VLOOKUP(Table9[[#This Row],[Shortname]], Comp[], 26, FALSE)</f>
        <v>0</v>
      </c>
      <c r="AD447">
        <f>VLOOKUP(Table9[[#This Row],[Shortname]], Comp[], 27, FALSE)</f>
        <v>0</v>
      </c>
      <c r="AE447">
        <f>VLOOKUP(Table9[[#This Row],[Shortname]], Comp[], 28, FALSE)</f>
        <v>0</v>
      </c>
      <c r="AF447">
        <f>VLOOKUP(Table9[[#This Row],[Shortname]], Comp[], 29, FALSE)</f>
        <v>0</v>
      </c>
      <c r="AG447">
        <f>VLOOKUP(Table9[[#This Row],[Shortname]], Comp[], 30, FALSE)</f>
        <v>0</v>
      </c>
      <c r="AH447">
        <f>VLOOKUP(Table9[[#This Row],[Shortname]], Comp[], 31, FALSE)</f>
        <v>0</v>
      </c>
    </row>
    <row r="448" spans="1:34" x14ac:dyDescent="0.3">
      <c r="A448" t="s">
        <v>4980</v>
      </c>
      <c r="B448" t="s">
        <v>6842</v>
      </c>
      <c r="C448" t="s">
        <v>4983</v>
      </c>
      <c r="D448">
        <v>1070</v>
      </c>
      <c r="E448">
        <v>704</v>
      </c>
      <c r="F448">
        <v>1E-4</v>
      </c>
      <c r="G448">
        <v>-1</v>
      </c>
      <c r="H448" t="s">
        <v>6848</v>
      </c>
      <c r="I448">
        <f>VLOOKUP(Table9[[#This Row],[Shortname]], Comp[], 6, FALSE)</f>
        <v>764</v>
      </c>
      <c r="J448" s="14">
        <f>VLOOKUP(Table9[[#This Row],[Shortname]], Comp[], 7, FALSE)</f>
        <v>32.38000000000001</v>
      </c>
      <c r="K448">
        <f>VLOOKUP(Table9[[#This Row],[Shortname]], Comp[], 8, FALSE)</f>
        <v>37.6</v>
      </c>
      <c r="L448">
        <f>VLOOKUP(Table9[[#This Row],[Shortname]], Comp[], 9, FALSE)</f>
        <v>8.9</v>
      </c>
      <c r="M448">
        <f>VLOOKUP(Table9[[#This Row],[Shortname]], Comp[], 10, FALSE)</f>
        <v>15.8</v>
      </c>
      <c r="N448">
        <f>VLOOKUP(Table9[[#This Row],[Shortname]], Comp[], 11, FALSE)</f>
        <v>2.8</v>
      </c>
      <c r="O448">
        <f>VLOOKUP(Table9[[#This Row],[Shortname]], Comp[],12, FALSE)</f>
        <v>1.8</v>
      </c>
      <c r="P448">
        <f>VLOOKUP(Table9[[#This Row],[Shortname]], Comp[], 13, FALSE)</f>
        <v>0.5</v>
      </c>
      <c r="Q448">
        <f>VLOOKUP(Table9[[#This Row],[Shortname]], Comp[], 14, FALSE)</f>
        <v>0</v>
      </c>
      <c r="R448">
        <f>VLOOKUP(Table9[[#This Row],[Shortname]], Comp[], 15, FALSE)</f>
        <v>0</v>
      </c>
      <c r="S448">
        <f>VLOOKUP(Table9[[#This Row],[Shortname]], Comp[], 16, FALSE)</f>
        <v>0</v>
      </c>
      <c r="T448">
        <f>VLOOKUP(Table9[[#This Row],[Shortname]], Comp[], 17, FALSE)</f>
        <v>0.14000000000000001</v>
      </c>
      <c r="U448">
        <f>VLOOKUP(Table9[[#This Row],[Shortname]], Comp[], 18, FALSE)</f>
        <v>0.03</v>
      </c>
      <c r="V448">
        <f>VLOOKUP(Table9[[#This Row],[Shortname]], Comp[], 19, FALSE)</f>
        <v>0.05</v>
      </c>
      <c r="W448">
        <f>VLOOKUP(Table9[[#This Row],[Shortname]], Comp[], 20, FALSE)</f>
        <v>0</v>
      </c>
      <c r="X448">
        <f>VLOOKUP(Table9[[#This Row],[Shortname]], Comp[], 21, FALSE)</f>
        <v>0</v>
      </c>
      <c r="Y448">
        <f>VLOOKUP(Table9[[#This Row],[Shortname]], Comp[], 22, FALSE)</f>
        <v>0</v>
      </c>
      <c r="Z448">
        <f>VLOOKUP(Table9[[#This Row],[Shortname]], Comp[], 23, FALSE)</f>
        <v>0</v>
      </c>
      <c r="AA448">
        <f>VLOOKUP(Table9[[#This Row],[Shortname]], Comp[], 24, FALSE)</f>
        <v>0</v>
      </c>
      <c r="AB448">
        <f>VLOOKUP(Table9[[#This Row],[Shortname]], Comp[], 25, FALSE)</f>
        <v>0</v>
      </c>
      <c r="AC448">
        <f>VLOOKUP(Table9[[#This Row],[Shortname]], Comp[], 26, FALSE)</f>
        <v>0</v>
      </c>
      <c r="AD448">
        <f>VLOOKUP(Table9[[#This Row],[Shortname]], Comp[], 27, FALSE)</f>
        <v>0</v>
      </c>
      <c r="AE448">
        <f>VLOOKUP(Table9[[#This Row],[Shortname]], Comp[], 28, FALSE)</f>
        <v>0</v>
      </c>
      <c r="AF448">
        <f>VLOOKUP(Table9[[#This Row],[Shortname]], Comp[], 29, FALSE)</f>
        <v>0</v>
      </c>
      <c r="AG448">
        <f>VLOOKUP(Table9[[#This Row],[Shortname]], Comp[], 30, FALSE)</f>
        <v>0</v>
      </c>
      <c r="AH448">
        <f>VLOOKUP(Table9[[#This Row],[Shortname]], Comp[], 31, FALSE)</f>
        <v>0</v>
      </c>
    </row>
    <row r="449" spans="1:34" x14ac:dyDescent="0.3">
      <c r="A449" t="s">
        <v>4980</v>
      </c>
      <c r="B449" t="s">
        <v>6842</v>
      </c>
      <c r="C449" t="s">
        <v>4983</v>
      </c>
      <c r="D449">
        <v>901</v>
      </c>
      <c r="E449">
        <v>759</v>
      </c>
      <c r="F449">
        <v>1E-4</v>
      </c>
      <c r="G449">
        <v>-1</v>
      </c>
      <c r="H449" t="s">
        <v>6848</v>
      </c>
      <c r="I449">
        <f>VLOOKUP(Table9[[#This Row],[Shortname]], Comp[], 6, FALSE)</f>
        <v>764</v>
      </c>
      <c r="J449" s="14">
        <f>VLOOKUP(Table9[[#This Row],[Shortname]], Comp[], 7, FALSE)</f>
        <v>32.38000000000001</v>
      </c>
      <c r="K449">
        <f>VLOOKUP(Table9[[#This Row],[Shortname]], Comp[], 8, FALSE)</f>
        <v>37.6</v>
      </c>
      <c r="L449">
        <f>VLOOKUP(Table9[[#This Row],[Shortname]], Comp[], 9, FALSE)</f>
        <v>8.9</v>
      </c>
      <c r="M449">
        <f>VLOOKUP(Table9[[#This Row],[Shortname]], Comp[], 10, FALSE)</f>
        <v>15.8</v>
      </c>
      <c r="N449">
        <f>VLOOKUP(Table9[[#This Row],[Shortname]], Comp[], 11, FALSE)</f>
        <v>2.8</v>
      </c>
      <c r="O449">
        <f>VLOOKUP(Table9[[#This Row],[Shortname]], Comp[],12, FALSE)</f>
        <v>1.8</v>
      </c>
      <c r="P449">
        <f>VLOOKUP(Table9[[#This Row],[Shortname]], Comp[], 13, FALSE)</f>
        <v>0.5</v>
      </c>
      <c r="Q449">
        <f>VLOOKUP(Table9[[#This Row],[Shortname]], Comp[], 14, FALSE)</f>
        <v>0</v>
      </c>
      <c r="R449">
        <f>VLOOKUP(Table9[[#This Row],[Shortname]], Comp[], 15, FALSE)</f>
        <v>0</v>
      </c>
      <c r="S449">
        <f>VLOOKUP(Table9[[#This Row],[Shortname]], Comp[], 16, FALSE)</f>
        <v>0</v>
      </c>
      <c r="T449">
        <f>VLOOKUP(Table9[[#This Row],[Shortname]], Comp[], 17, FALSE)</f>
        <v>0.14000000000000001</v>
      </c>
      <c r="U449">
        <f>VLOOKUP(Table9[[#This Row],[Shortname]], Comp[], 18, FALSE)</f>
        <v>0.03</v>
      </c>
      <c r="V449">
        <f>VLOOKUP(Table9[[#This Row],[Shortname]], Comp[], 19, FALSE)</f>
        <v>0.05</v>
      </c>
      <c r="W449">
        <f>VLOOKUP(Table9[[#This Row],[Shortname]], Comp[], 20, FALSE)</f>
        <v>0</v>
      </c>
      <c r="X449">
        <f>VLOOKUP(Table9[[#This Row],[Shortname]], Comp[], 21, FALSE)</f>
        <v>0</v>
      </c>
      <c r="Y449">
        <f>VLOOKUP(Table9[[#This Row],[Shortname]], Comp[], 22, FALSE)</f>
        <v>0</v>
      </c>
      <c r="Z449">
        <f>VLOOKUP(Table9[[#This Row],[Shortname]], Comp[], 23, FALSE)</f>
        <v>0</v>
      </c>
      <c r="AA449">
        <f>VLOOKUP(Table9[[#This Row],[Shortname]], Comp[], 24, FALSE)</f>
        <v>0</v>
      </c>
      <c r="AB449">
        <f>VLOOKUP(Table9[[#This Row],[Shortname]], Comp[], 25, FALSE)</f>
        <v>0</v>
      </c>
      <c r="AC449">
        <f>VLOOKUP(Table9[[#This Row],[Shortname]], Comp[], 26, FALSE)</f>
        <v>0</v>
      </c>
      <c r="AD449">
        <f>VLOOKUP(Table9[[#This Row],[Shortname]], Comp[], 27, FALSE)</f>
        <v>0</v>
      </c>
      <c r="AE449">
        <f>VLOOKUP(Table9[[#This Row],[Shortname]], Comp[], 28, FALSE)</f>
        <v>0</v>
      </c>
      <c r="AF449">
        <f>VLOOKUP(Table9[[#This Row],[Shortname]], Comp[], 29, FALSE)</f>
        <v>0</v>
      </c>
      <c r="AG449">
        <f>VLOOKUP(Table9[[#This Row],[Shortname]], Comp[], 30, FALSE)</f>
        <v>0</v>
      </c>
      <c r="AH449">
        <f>VLOOKUP(Table9[[#This Row],[Shortname]], Comp[], 31, FALSE)</f>
        <v>0</v>
      </c>
    </row>
    <row r="450" spans="1:34" x14ac:dyDescent="0.3">
      <c r="A450" t="s">
        <v>4980</v>
      </c>
      <c r="B450" t="s">
        <v>6842</v>
      </c>
      <c r="C450" t="s">
        <v>4983</v>
      </c>
      <c r="D450">
        <v>763</v>
      </c>
      <c r="E450">
        <v>819</v>
      </c>
      <c r="F450">
        <v>1E-4</v>
      </c>
      <c r="G450">
        <v>-1</v>
      </c>
      <c r="H450" t="s">
        <v>6848</v>
      </c>
      <c r="I450">
        <f>VLOOKUP(Table9[[#This Row],[Shortname]], Comp[], 6, FALSE)</f>
        <v>764</v>
      </c>
      <c r="J450" s="14">
        <f>VLOOKUP(Table9[[#This Row],[Shortname]], Comp[], 7, FALSE)</f>
        <v>32.38000000000001</v>
      </c>
      <c r="K450">
        <f>VLOOKUP(Table9[[#This Row],[Shortname]], Comp[], 8, FALSE)</f>
        <v>37.6</v>
      </c>
      <c r="L450">
        <f>VLOOKUP(Table9[[#This Row],[Shortname]], Comp[], 9, FALSE)</f>
        <v>8.9</v>
      </c>
      <c r="M450">
        <f>VLOOKUP(Table9[[#This Row],[Shortname]], Comp[], 10, FALSE)</f>
        <v>15.8</v>
      </c>
      <c r="N450">
        <f>VLOOKUP(Table9[[#This Row],[Shortname]], Comp[], 11, FALSE)</f>
        <v>2.8</v>
      </c>
      <c r="O450">
        <f>VLOOKUP(Table9[[#This Row],[Shortname]], Comp[],12, FALSE)</f>
        <v>1.8</v>
      </c>
      <c r="P450">
        <f>VLOOKUP(Table9[[#This Row],[Shortname]], Comp[], 13, FALSE)</f>
        <v>0.5</v>
      </c>
      <c r="Q450">
        <f>VLOOKUP(Table9[[#This Row],[Shortname]], Comp[], 14, FALSE)</f>
        <v>0</v>
      </c>
      <c r="R450">
        <f>VLOOKUP(Table9[[#This Row],[Shortname]], Comp[], 15, FALSE)</f>
        <v>0</v>
      </c>
      <c r="S450">
        <f>VLOOKUP(Table9[[#This Row],[Shortname]], Comp[], 16, FALSE)</f>
        <v>0</v>
      </c>
      <c r="T450">
        <f>VLOOKUP(Table9[[#This Row],[Shortname]], Comp[], 17, FALSE)</f>
        <v>0.14000000000000001</v>
      </c>
      <c r="U450">
        <f>VLOOKUP(Table9[[#This Row],[Shortname]], Comp[], 18, FALSE)</f>
        <v>0.03</v>
      </c>
      <c r="V450">
        <f>VLOOKUP(Table9[[#This Row],[Shortname]], Comp[], 19, FALSE)</f>
        <v>0.05</v>
      </c>
      <c r="W450">
        <f>VLOOKUP(Table9[[#This Row],[Shortname]], Comp[], 20, FALSE)</f>
        <v>0</v>
      </c>
      <c r="X450">
        <f>VLOOKUP(Table9[[#This Row],[Shortname]], Comp[], 21, FALSE)</f>
        <v>0</v>
      </c>
      <c r="Y450">
        <f>VLOOKUP(Table9[[#This Row],[Shortname]], Comp[], 22, FALSE)</f>
        <v>0</v>
      </c>
      <c r="Z450">
        <f>VLOOKUP(Table9[[#This Row],[Shortname]], Comp[], 23, FALSE)</f>
        <v>0</v>
      </c>
      <c r="AA450">
        <f>VLOOKUP(Table9[[#This Row],[Shortname]], Comp[], 24, FALSE)</f>
        <v>0</v>
      </c>
      <c r="AB450">
        <f>VLOOKUP(Table9[[#This Row],[Shortname]], Comp[], 25, FALSE)</f>
        <v>0</v>
      </c>
      <c r="AC450">
        <f>VLOOKUP(Table9[[#This Row],[Shortname]], Comp[], 26, FALSE)</f>
        <v>0</v>
      </c>
      <c r="AD450">
        <f>VLOOKUP(Table9[[#This Row],[Shortname]], Comp[], 27, FALSE)</f>
        <v>0</v>
      </c>
      <c r="AE450">
        <f>VLOOKUP(Table9[[#This Row],[Shortname]], Comp[], 28, FALSE)</f>
        <v>0</v>
      </c>
      <c r="AF450">
        <f>VLOOKUP(Table9[[#This Row],[Shortname]], Comp[], 29, FALSE)</f>
        <v>0</v>
      </c>
      <c r="AG450">
        <f>VLOOKUP(Table9[[#This Row],[Shortname]], Comp[], 30, FALSE)</f>
        <v>0</v>
      </c>
      <c r="AH450">
        <f>VLOOKUP(Table9[[#This Row],[Shortname]], Comp[], 31, FALSE)</f>
        <v>0</v>
      </c>
    </row>
    <row r="451" spans="1:34" x14ac:dyDescent="0.3">
      <c r="A451" t="s">
        <v>1550</v>
      </c>
      <c r="B451" t="s">
        <v>1552</v>
      </c>
      <c r="C451" t="s">
        <v>1553</v>
      </c>
      <c r="D451">
        <v>935</v>
      </c>
      <c r="E451">
        <v>25</v>
      </c>
      <c r="F451">
        <v>1E-4</v>
      </c>
      <c r="G451">
        <v>1</v>
      </c>
      <c r="I451">
        <f>VLOOKUP(Table9[[#This Row],[Shortname]], Comp[], 6, FALSE)</f>
        <v>197</v>
      </c>
      <c r="J451" s="14">
        <f>VLOOKUP(Table9[[#This Row],[Shortname]], Comp[], 7, FALSE)</f>
        <v>40.830000000000005</v>
      </c>
      <c r="K451">
        <f>VLOOKUP(Table9[[#This Row],[Shortname]], Comp[], 8, FALSE)</f>
        <v>32</v>
      </c>
      <c r="L451">
        <f>VLOOKUP(Table9[[#This Row],[Shortname]], Comp[], 9, FALSE)</f>
        <v>11</v>
      </c>
      <c r="M451">
        <f>VLOOKUP(Table9[[#This Row],[Shortname]], Comp[], 10, FALSE)</f>
        <v>12</v>
      </c>
      <c r="N451">
        <f>VLOOKUP(Table9[[#This Row],[Shortname]], Comp[], 11, FALSE)</f>
        <v>3</v>
      </c>
      <c r="O451">
        <f>VLOOKUP(Table9[[#This Row],[Shortname]], Comp[],12, FALSE)</f>
        <v>0.3</v>
      </c>
      <c r="P451">
        <f>VLOOKUP(Table9[[#This Row],[Shortname]], Comp[], 13, FALSE)</f>
        <v>0.2</v>
      </c>
      <c r="Q451">
        <f>VLOOKUP(Table9[[#This Row],[Shortname]], Comp[], 14, FALSE)</f>
        <v>0</v>
      </c>
      <c r="R451">
        <f>VLOOKUP(Table9[[#This Row],[Shortname]], Comp[], 15, FALSE)</f>
        <v>0</v>
      </c>
      <c r="S451">
        <f>VLOOKUP(Table9[[#This Row],[Shortname]], Comp[], 16, FALSE)</f>
        <v>0</v>
      </c>
      <c r="T451">
        <f>VLOOKUP(Table9[[#This Row],[Shortname]], Comp[], 17, FALSE)</f>
        <v>0.08</v>
      </c>
      <c r="U451">
        <f>VLOOKUP(Table9[[#This Row],[Shortname]], Comp[], 18, FALSE)</f>
        <v>0.01</v>
      </c>
      <c r="V451">
        <f>VLOOKUP(Table9[[#This Row],[Shortname]], Comp[], 19, FALSE)</f>
        <v>0.08</v>
      </c>
      <c r="W451">
        <f>VLOOKUP(Table9[[#This Row],[Shortname]], Comp[], 20, FALSE)</f>
        <v>0</v>
      </c>
      <c r="X451">
        <f>VLOOKUP(Table9[[#This Row],[Shortname]], Comp[], 21, FALSE)</f>
        <v>0</v>
      </c>
      <c r="Y451">
        <f>VLOOKUP(Table9[[#This Row],[Shortname]], Comp[], 22, FALSE)</f>
        <v>0.4</v>
      </c>
      <c r="Z451">
        <f>VLOOKUP(Table9[[#This Row],[Shortname]], Comp[], 23, FALSE)</f>
        <v>0</v>
      </c>
      <c r="AA451">
        <f>VLOOKUP(Table9[[#This Row],[Shortname]], Comp[], 24, FALSE)</f>
        <v>0</v>
      </c>
      <c r="AB451">
        <f>VLOOKUP(Table9[[#This Row],[Shortname]], Comp[], 25, FALSE)</f>
        <v>0.1</v>
      </c>
      <c r="AC451">
        <f>VLOOKUP(Table9[[#This Row],[Shortname]], Comp[], 26, FALSE)</f>
        <v>0</v>
      </c>
      <c r="AD451">
        <f>VLOOKUP(Table9[[#This Row],[Shortname]], Comp[], 27, FALSE)</f>
        <v>0</v>
      </c>
      <c r="AE451">
        <f>VLOOKUP(Table9[[#This Row],[Shortname]], Comp[], 28, FALSE)</f>
        <v>0</v>
      </c>
      <c r="AF451">
        <f>VLOOKUP(Table9[[#This Row],[Shortname]], Comp[], 29, FALSE)</f>
        <v>0</v>
      </c>
      <c r="AG451">
        <f>VLOOKUP(Table9[[#This Row],[Shortname]], Comp[], 30, FALSE)</f>
        <v>0</v>
      </c>
      <c r="AH451">
        <f>VLOOKUP(Table9[[#This Row],[Shortname]], Comp[], 31, FALSE)</f>
        <v>0</v>
      </c>
    </row>
    <row r="452" spans="1:34" x14ac:dyDescent="0.3">
      <c r="A452" t="s">
        <v>1550</v>
      </c>
      <c r="B452" t="s">
        <v>1552</v>
      </c>
      <c r="C452" t="s">
        <v>1553</v>
      </c>
      <c r="D452">
        <v>809</v>
      </c>
      <c r="E452">
        <v>600</v>
      </c>
      <c r="F452">
        <v>1E-4</v>
      </c>
      <c r="G452">
        <v>1</v>
      </c>
      <c r="I452">
        <f>VLOOKUP(Table9[[#This Row],[Shortname]], Comp[], 6, FALSE)</f>
        <v>197</v>
      </c>
      <c r="J452" s="14">
        <f>VLOOKUP(Table9[[#This Row],[Shortname]], Comp[], 7, FALSE)</f>
        <v>40.830000000000005</v>
      </c>
      <c r="K452">
        <f>VLOOKUP(Table9[[#This Row],[Shortname]], Comp[], 8, FALSE)</f>
        <v>32</v>
      </c>
      <c r="L452">
        <f>VLOOKUP(Table9[[#This Row],[Shortname]], Comp[], 9, FALSE)</f>
        <v>11</v>
      </c>
      <c r="M452">
        <f>VLOOKUP(Table9[[#This Row],[Shortname]], Comp[], 10, FALSE)</f>
        <v>12</v>
      </c>
      <c r="N452">
        <f>VLOOKUP(Table9[[#This Row],[Shortname]], Comp[], 11, FALSE)</f>
        <v>3</v>
      </c>
      <c r="O452">
        <f>VLOOKUP(Table9[[#This Row],[Shortname]], Comp[],12, FALSE)</f>
        <v>0.3</v>
      </c>
      <c r="P452">
        <f>VLOOKUP(Table9[[#This Row],[Shortname]], Comp[], 13, FALSE)</f>
        <v>0.2</v>
      </c>
      <c r="Q452">
        <f>VLOOKUP(Table9[[#This Row],[Shortname]], Comp[], 14, FALSE)</f>
        <v>0</v>
      </c>
      <c r="R452">
        <f>VLOOKUP(Table9[[#This Row],[Shortname]], Comp[], 15, FALSE)</f>
        <v>0</v>
      </c>
      <c r="S452">
        <f>VLOOKUP(Table9[[#This Row],[Shortname]], Comp[], 16, FALSE)</f>
        <v>0</v>
      </c>
      <c r="T452">
        <f>VLOOKUP(Table9[[#This Row],[Shortname]], Comp[], 17, FALSE)</f>
        <v>0.08</v>
      </c>
      <c r="U452">
        <f>VLOOKUP(Table9[[#This Row],[Shortname]], Comp[], 18, FALSE)</f>
        <v>0.01</v>
      </c>
      <c r="V452">
        <f>VLOOKUP(Table9[[#This Row],[Shortname]], Comp[], 19, FALSE)</f>
        <v>0.08</v>
      </c>
      <c r="W452">
        <f>VLOOKUP(Table9[[#This Row],[Shortname]], Comp[], 20, FALSE)</f>
        <v>0</v>
      </c>
      <c r="X452">
        <f>VLOOKUP(Table9[[#This Row],[Shortname]], Comp[], 21, FALSE)</f>
        <v>0</v>
      </c>
      <c r="Y452">
        <f>VLOOKUP(Table9[[#This Row],[Shortname]], Comp[], 22, FALSE)</f>
        <v>0.4</v>
      </c>
      <c r="Z452">
        <f>VLOOKUP(Table9[[#This Row],[Shortname]], Comp[], 23, FALSE)</f>
        <v>0</v>
      </c>
      <c r="AA452">
        <f>VLOOKUP(Table9[[#This Row],[Shortname]], Comp[], 24, FALSE)</f>
        <v>0</v>
      </c>
      <c r="AB452">
        <f>VLOOKUP(Table9[[#This Row],[Shortname]], Comp[], 25, FALSE)</f>
        <v>0.1</v>
      </c>
      <c r="AC452">
        <f>VLOOKUP(Table9[[#This Row],[Shortname]], Comp[], 26, FALSE)</f>
        <v>0</v>
      </c>
      <c r="AD452">
        <f>VLOOKUP(Table9[[#This Row],[Shortname]], Comp[], 27, FALSE)</f>
        <v>0</v>
      </c>
      <c r="AE452">
        <f>VLOOKUP(Table9[[#This Row],[Shortname]], Comp[], 28, FALSE)</f>
        <v>0</v>
      </c>
      <c r="AF452">
        <f>VLOOKUP(Table9[[#This Row],[Shortname]], Comp[], 29, FALSE)</f>
        <v>0</v>
      </c>
      <c r="AG452">
        <f>VLOOKUP(Table9[[#This Row],[Shortname]], Comp[], 30, FALSE)</f>
        <v>0</v>
      </c>
      <c r="AH452">
        <f>VLOOKUP(Table9[[#This Row],[Shortname]], Comp[], 31, FALSE)</f>
        <v>0</v>
      </c>
    </row>
    <row r="453" spans="1:34" x14ac:dyDescent="0.3">
      <c r="A453" t="s">
        <v>1550</v>
      </c>
      <c r="B453" t="s">
        <v>1552</v>
      </c>
      <c r="C453" t="s">
        <v>1553</v>
      </c>
      <c r="D453">
        <v>753</v>
      </c>
      <c r="E453">
        <v>750</v>
      </c>
      <c r="F453">
        <v>1E-4</v>
      </c>
      <c r="G453">
        <v>1</v>
      </c>
      <c r="I453">
        <f>VLOOKUP(Table9[[#This Row],[Shortname]], Comp[], 6, FALSE)</f>
        <v>197</v>
      </c>
      <c r="J453" s="14">
        <f>VLOOKUP(Table9[[#This Row],[Shortname]], Comp[], 7, FALSE)</f>
        <v>40.830000000000005</v>
      </c>
      <c r="K453">
        <f>VLOOKUP(Table9[[#This Row],[Shortname]], Comp[], 8, FALSE)</f>
        <v>32</v>
      </c>
      <c r="L453">
        <f>VLOOKUP(Table9[[#This Row],[Shortname]], Comp[], 9, FALSE)</f>
        <v>11</v>
      </c>
      <c r="M453">
        <f>VLOOKUP(Table9[[#This Row],[Shortname]], Comp[], 10, FALSE)</f>
        <v>12</v>
      </c>
      <c r="N453">
        <f>VLOOKUP(Table9[[#This Row],[Shortname]], Comp[], 11, FALSE)</f>
        <v>3</v>
      </c>
      <c r="O453">
        <f>VLOOKUP(Table9[[#This Row],[Shortname]], Comp[],12, FALSE)</f>
        <v>0.3</v>
      </c>
      <c r="P453">
        <f>VLOOKUP(Table9[[#This Row],[Shortname]], Comp[], 13, FALSE)</f>
        <v>0.2</v>
      </c>
      <c r="Q453">
        <f>VLOOKUP(Table9[[#This Row],[Shortname]], Comp[], 14, FALSE)</f>
        <v>0</v>
      </c>
      <c r="R453">
        <f>VLOOKUP(Table9[[#This Row],[Shortname]], Comp[], 15, FALSE)</f>
        <v>0</v>
      </c>
      <c r="S453">
        <f>VLOOKUP(Table9[[#This Row],[Shortname]], Comp[], 16, FALSE)</f>
        <v>0</v>
      </c>
      <c r="T453">
        <f>VLOOKUP(Table9[[#This Row],[Shortname]], Comp[], 17, FALSE)</f>
        <v>0.08</v>
      </c>
      <c r="U453">
        <f>VLOOKUP(Table9[[#This Row],[Shortname]], Comp[], 18, FALSE)</f>
        <v>0.01</v>
      </c>
      <c r="V453">
        <f>VLOOKUP(Table9[[#This Row],[Shortname]], Comp[], 19, FALSE)</f>
        <v>0.08</v>
      </c>
      <c r="W453">
        <f>VLOOKUP(Table9[[#This Row],[Shortname]], Comp[], 20, FALSE)</f>
        <v>0</v>
      </c>
      <c r="X453">
        <f>VLOOKUP(Table9[[#This Row],[Shortname]], Comp[], 21, FALSE)</f>
        <v>0</v>
      </c>
      <c r="Y453">
        <f>VLOOKUP(Table9[[#This Row],[Shortname]], Comp[], 22, FALSE)</f>
        <v>0.4</v>
      </c>
      <c r="Z453">
        <f>VLOOKUP(Table9[[#This Row],[Shortname]], Comp[], 23, FALSE)</f>
        <v>0</v>
      </c>
      <c r="AA453">
        <f>VLOOKUP(Table9[[#This Row],[Shortname]], Comp[], 24, FALSE)</f>
        <v>0</v>
      </c>
      <c r="AB453">
        <f>VLOOKUP(Table9[[#This Row],[Shortname]], Comp[], 25, FALSE)</f>
        <v>0.1</v>
      </c>
      <c r="AC453">
        <f>VLOOKUP(Table9[[#This Row],[Shortname]], Comp[], 26, FALSE)</f>
        <v>0</v>
      </c>
      <c r="AD453">
        <f>VLOOKUP(Table9[[#This Row],[Shortname]], Comp[], 27, FALSE)</f>
        <v>0</v>
      </c>
      <c r="AE453">
        <f>VLOOKUP(Table9[[#This Row],[Shortname]], Comp[], 28, FALSE)</f>
        <v>0</v>
      </c>
      <c r="AF453">
        <f>VLOOKUP(Table9[[#This Row],[Shortname]], Comp[], 29, FALSE)</f>
        <v>0</v>
      </c>
      <c r="AG453">
        <f>VLOOKUP(Table9[[#This Row],[Shortname]], Comp[], 30, FALSE)</f>
        <v>0</v>
      </c>
      <c r="AH453">
        <f>VLOOKUP(Table9[[#This Row],[Shortname]], Comp[], 31, FALSE)</f>
        <v>0</v>
      </c>
    </row>
    <row r="454" spans="1:34" x14ac:dyDescent="0.3">
      <c r="A454" t="s">
        <v>1550</v>
      </c>
      <c r="B454" t="s">
        <v>1552</v>
      </c>
      <c r="C454" t="s">
        <v>1553</v>
      </c>
      <c r="D454">
        <v>597</v>
      </c>
      <c r="E454">
        <v>800</v>
      </c>
      <c r="F454">
        <v>1E-4</v>
      </c>
      <c r="G454">
        <v>1</v>
      </c>
      <c r="I454">
        <f>VLOOKUP(Table9[[#This Row],[Shortname]], Comp[], 6, FALSE)</f>
        <v>197</v>
      </c>
      <c r="J454" s="14">
        <f>VLOOKUP(Table9[[#This Row],[Shortname]], Comp[], 7, FALSE)</f>
        <v>40.830000000000005</v>
      </c>
      <c r="K454">
        <f>VLOOKUP(Table9[[#This Row],[Shortname]], Comp[], 8, FALSE)</f>
        <v>32</v>
      </c>
      <c r="L454">
        <f>VLOOKUP(Table9[[#This Row],[Shortname]], Comp[], 9, FALSE)</f>
        <v>11</v>
      </c>
      <c r="M454">
        <f>VLOOKUP(Table9[[#This Row],[Shortname]], Comp[], 10, FALSE)</f>
        <v>12</v>
      </c>
      <c r="N454">
        <f>VLOOKUP(Table9[[#This Row],[Shortname]], Comp[], 11, FALSE)</f>
        <v>3</v>
      </c>
      <c r="O454">
        <f>VLOOKUP(Table9[[#This Row],[Shortname]], Comp[],12, FALSE)</f>
        <v>0.3</v>
      </c>
      <c r="P454">
        <f>VLOOKUP(Table9[[#This Row],[Shortname]], Comp[], 13, FALSE)</f>
        <v>0.2</v>
      </c>
      <c r="Q454">
        <f>VLOOKUP(Table9[[#This Row],[Shortname]], Comp[], 14, FALSE)</f>
        <v>0</v>
      </c>
      <c r="R454">
        <f>VLOOKUP(Table9[[#This Row],[Shortname]], Comp[], 15, FALSE)</f>
        <v>0</v>
      </c>
      <c r="S454">
        <f>VLOOKUP(Table9[[#This Row],[Shortname]], Comp[], 16, FALSE)</f>
        <v>0</v>
      </c>
      <c r="T454">
        <f>VLOOKUP(Table9[[#This Row],[Shortname]], Comp[], 17, FALSE)</f>
        <v>0.08</v>
      </c>
      <c r="U454">
        <f>VLOOKUP(Table9[[#This Row],[Shortname]], Comp[], 18, FALSE)</f>
        <v>0.01</v>
      </c>
      <c r="V454">
        <f>VLOOKUP(Table9[[#This Row],[Shortname]], Comp[], 19, FALSE)</f>
        <v>0.08</v>
      </c>
      <c r="W454">
        <f>VLOOKUP(Table9[[#This Row],[Shortname]], Comp[], 20, FALSE)</f>
        <v>0</v>
      </c>
      <c r="X454">
        <f>VLOOKUP(Table9[[#This Row],[Shortname]], Comp[], 21, FALSE)</f>
        <v>0</v>
      </c>
      <c r="Y454">
        <f>VLOOKUP(Table9[[#This Row],[Shortname]], Comp[], 22, FALSE)</f>
        <v>0.4</v>
      </c>
      <c r="Z454">
        <f>VLOOKUP(Table9[[#This Row],[Shortname]], Comp[], 23, FALSE)</f>
        <v>0</v>
      </c>
      <c r="AA454">
        <f>VLOOKUP(Table9[[#This Row],[Shortname]], Comp[], 24, FALSE)</f>
        <v>0</v>
      </c>
      <c r="AB454">
        <f>VLOOKUP(Table9[[#This Row],[Shortname]], Comp[], 25, FALSE)</f>
        <v>0.1</v>
      </c>
      <c r="AC454">
        <f>VLOOKUP(Table9[[#This Row],[Shortname]], Comp[], 26, FALSE)</f>
        <v>0</v>
      </c>
      <c r="AD454">
        <f>VLOOKUP(Table9[[#This Row],[Shortname]], Comp[], 27, FALSE)</f>
        <v>0</v>
      </c>
      <c r="AE454">
        <f>VLOOKUP(Table9[[#This Row],[Shortname]], Comp[], 28, FALSE)</f>
        <v>0</v>
      </c>
      <c r="AF454">
        <f>VLOOKUP(Table9[[#This Row],[Shortname]], Comp[], 29, FALSE)</f>
        <v>0</v>
      </c>
      <c r="AG454">
        <f>VLOOKUP(Table9[[#This Row],[Shortname]], Comp[], 30, FALSE)</f>
        <v>0</v>
      </c>
      <c r="AH454">
        <f>VLOOKUP(Table9[[#This Row],[Shortname]], Comp[], 31, FALSE)</f>
        <v>0</v>
      </c>
    </row>
    <row r="455" spans="1:34" x14ac:dyDescent="0.3">
      <c r="A455" t="s">
        <v>1550</v>
      </c>
      <c r="B455" t="s">
        <v>1552</v>
      </c>
      <c r="C455" t="s">
        <v>1553</v>
      </c>
      <c r="D455">
        <v>448</v>
      </c>
      <c r="E455">
        <v>850</v>
      </c>
      <c r="F455">
        <v>1E-4</v>
      </c>
      <c r="G455">
        <v>1</v>
      </c>
      <c r="I455">
        <f>VLOOKUP(Table9[[#This Row],[Shortname]], Comp[], 6, FALSE)</f>
        <v>197</v>
      </c>
      <c r="J455" s="14">
        <f>VLOOKUP(Table9[[#This Row],[Shortname]], Comp[], 7, FALSE)</f>
        <v>40.830000000000005</v>
      </c>
      <c r="K455">
        <f>VLOOKUP(Table9[[#This Row],[Shortname]], Comp[], 8, FALSE)</f>
        <v>32</v>
      </c>
      <c r="L455">
        <f>VLOOKUP(Table9[[#This Row],[Shortname]], Comp[], 9, FALSE)</f>
        <v>11</v>
      </c>
      <c r="M455">
        <f>VLOOKUP(Table9[[#This Row],[Shortname]], Comp[], 10, FALSE)</f>
        <v>12</v>
      </c>
      <c r="N455">
        <f>VLOOKUP(Table9[[#This Row],[Shortname]], Comp[], 11, FALSE)</f>
        <v>3</v>
      </c>
      <c r="O455">
        <f>VLOOKUP(Table9[[#This Row],[Shortname]], Comp[],12, FALSE)</f>
        <v>0.3</v>
      </c>
      <c r="P455">
        <f>VLOOKUP(Table9[[#This Row],[Shortname]], Comp[], 13, FALSE)</f>
        <v>0.2</v>
      </c>
      <c r="Q455">
        <f>VLOOKUP(Table9[[#This Row],[Shortname]], Comp[], 14, FALSE)</f>
        <v>0</v>
      </c>
      <c r="R455">
        <f>VLOOKUP(Table9[[#This Row],[Shortname]], Comp[], 15, FALSE)</f>
        <v>0</v>
      </c>
      <c r="S455">
        <f>VLOOKUP(Table9[[#This Row],[Shortname]], Comp[], 16, FALSE)</f>
        <v>0</v>
      </c>
      <c r="T455">
        <f>VLOOKUP(Table9[[#This Row],[Shortname]], Comp[], 17, FALSE)</f>
        <v>0.08</v>
      </c>
      <c r="U455">
        <f>VLOOKUP(Table9[[#This Row],[Shortname]], Comp[], 18, FALSE)</f>
        <v>0.01</v>
      </c>
      <c r="V455">
        <f>VLOOKUP(Table9[[#This Row],[Shortname]], Comp[], 19, FALSE)</f>
        <v>0.08</v>
      </c>
      <c r="W455">
        <f>VLOOKUP(Table9[[#This Row],[Shortname]], Comp[], 20, FALSE)</f>
        <v>0</v>
      </c>
      <c r="X455">
        <f>VLOOKUP(Table9[[#This Row],[Shortname]], Comp[], 21, FALSE)</f>
        <v>0</v>
      </c>
      <c r="Y455">
        <f>VLOOKUP(Table9[[#This Row],[Shortname]], Comp[], 22, FALSE)</f>
        <v>0.4</v>
      </c>
      <c r="Z455">
        <f>VLOOKUP(Table9[[#This Row],[Shortname]], Comp[], 23, FALSE)</f>
        <v>0</v>
      </c>
      <c r="AA455">
        <f>VLOOKUP(Table9[[#This Row],[Shortname]], Comp[], 24, FALSE)</f>
        <v>0</v>
      </c>
      <c r="AB455">
        <f>VLOOKUP(Table9[[#This Row],[Shortname]], Comp[], 25, FALSE)</f>
        <v>0.1</v>
      </c>
      <c r="AC455">
        <f>VLOOKUP(Table9[[#This Row],[Shortname]], Comp[], 26, FALSE)</f>
        <v>0</v>
      </c>
      <c r="AD455">
        <f>VLOOKUP(Table9[[#This Row],[Shortname]], Comp[], 27, FALSE)</f>
        <v>0</v>
      </c>
      <c r="AE455">
        <f>VLOOKUP(Table9[[#This Row],[Shortname]], Comp[], 28, FALSE)</f>
        <v>0</v>
      </c>
      <c r="AF455">
        <f>VLOOKUP(Table9[[#This Row],[Shortname]], Comp[], 29, FALSE)</f>
        <v>0</v>
      </c>
      <c r="AG455">
        <f>VLOOKUP(Table9[[#This Row],[Shortname]], Comp[], 30, FALSE)</f>
        <v>0</v>
      </c>
      <c r="AH455">
        <f>VLOOKUP(Table9[[#This Row],[Shortname]], Comp[], 31, FALSE)</f>
        <v>0</v>
      </c>
    </row>
    <row r="456" spans="1:34" x14ac:dyDescent="0.3">
      <c r="A456" t="s">
        <v>1538</v>
      </c>
      <c r="B456" t="s">
        <v>1540</v>
      </c>
      <c r="C456" t="s">
        <v>1553</v>
      </c>
      <c r="D456">
        <v>973</v>
      </c>
      <c r="E456">
        <v>25</v>
      </c>
      <c r="F456">
        <v>1E-4</v>
      </c>
      <c r="G456">
        <v>1</v>
      </c>
      <c r="I456">
        <f>VLOOKUP(Table9[[#This Row],[Shortname]], Comp[], 6, FALSE)</f>
        <v>196</v>
      </c>
      <c r="J456" s="14">
        <f>VLOOKUP(Table9[[#This Row],[Shortname]], Comp[], 7, FALSE)</f>
        <v>41.03</v>
      </c>
      <c r="K456">
        <f>VLOOKUP(Table9[[#This Row],[Shortname]], Comp[], 8, FALSE)</f>
        <v>31.8</v>
      </c>
      <c r="L456">
        <f>VLOOKUP(Table9[[#This Row],[Shortname]], Comp[], 9, FALSE)</f>
        <v>8.6999999999999993</v>
      </c>
      <c r="M456">
        <f>VLOOKUP(Table9[[#This Row],[Shortname]], Comp[], 10, FALSE)</f>
        <v>12.6</v>
      </c>
      <c r="N456">
        <f>VLOOKUP(Table9[[#This Row],[Shortname]], Comp[], 11, FALSE)</f>
        <v>4.7</v>
      </c>
      <c r="O456">
        <f>VLOOKUP(Table9[[#This Row],[Shortname]], Comp[],12, FALSE)</f>
        <v>0.3</v>
      </c>
      <c r="P456">
        <f>VLOOKUP(Table9[[#This Row],[Shortname]], Comp[], 13, FALSE)</f>
        <v>0.2</v>
      </c>
      <c r="Q456">
        <f>VLOOKUP(Table9[[#This Row],[Shortname]], Comp[], 14, FALSE)</f>
        <v>0</v>
      </c>
      <c r="R456">
        <f>VLOOKUP(Table9[[#This Row],[Shortname]], Comp[], 15, FALSE)</f>
        <v>0</v>
      </c>
      <c r="S456">
        <f>VLOOKUP(Table9[[#This Row],[Shortname]], Comp[], 16, FALSE)</f>
        <v>0</v>
      </c>
      <c r="T456">
        <f>VLOOKUP(Table9[[#This Row],[Shortname]], Comp[], 17, FALSE)</f>
        <v>0.08</v>
      </c>
      <c r="U456">
        <f>VLOOKUP(Table9[[#This Row],[Shortname]], Comp[], 18, FALSE)</f>
        <v>0.01</v>
      </c>
      <c r="V456">
        <f>VLOOKUP(Table9[[#This Row],[Shortname]], Comp[], 19, FALSE)</f>
        <v>0.08</v>
      </c>
      <c r="W456">
        <f>VLOOKUP(Table9[[#This Row],[Shortname]], Comp[], 20, FALSE)</f>
        <v>0</v>
      </c>
      <c r="X456">
        <f>VLOOKUP(Table9[[#This Row],[Shortname]], Comp[], 21, FALSE)</f>
        <v>0</v>
      </c>
      <c r="Y456">
        <f>VLOOKUP(Table9[[#This Row],[Shortname]], Comp[], 22, FALSE)</f>
        <v>0.4</v>
      </c>
      <c r="Z456">
        <f>VLOOKUP(Table9[[#This Row],[Shortname]], Comp[], 23, FALSE)</f>
        <v>0</v>
      </c>
      <c r="AA456">
        <f>VLOOKUP(Table9[[#This Row],[Shortname]], Comp[], 24, FALSE)</f>
        <v>0</v>
      </c>
      <c r="AB456">
        <f>VLOOKUP(Table9[[#This Row],[Shortname]], Comp[], 25, FALSE)</f>
        <v>0.1</v>
      </c>
      <c r="AC456">
        <f>VLOOKUP(Table9[[#This Row],[Shortname]], Comp[], 26, FALSE)</f>
        <v>0</v>
      </c>
      <c r="AD456">
        <f>VLOOKUP(Table9[[#This Row],[Shortname]], Comp[], 27, FALSE)</f>
        <v>0</v>
      </c>
      <c r="AE456">
        <f>VLOOKUP(Table9[[#This Row],[Shortname]], Comp[], 28, FALSE)</f>
        <v>0</v>
      </c>
      <c r="AF456">
        <f>VLOOKUP(Table9[[#This Row],[Shortname]], Comp[], 29, FALSE)</f>
        <v>0</v>
      </c>
      <c r="AG456">
        <f>VLOOKUP(Table9[[#This Row],[Shortname]], Comp[], 30, FALSE)</f>
        <v>0</v>
      </c>
      <c r="AH456">
        <f>VLOOKUP(Table9[[#This Row],[Shortname]], Comp[], 31, FALSE)</f>
        <v>0</v>
      </c>
    </row>
    <row r="457" spans="1:34" x14ac:dyDescent="0.3">
      <c r="A457" t="s">
        <v>1538</v>
      </c>
      <c r="B457" t="s">
        <v>1540</v>
      </c>
      <c r="C457" t="s">
        <v>1553</v>
      </c>
      <c r="D457">
        <v>809</v>
      </c>
      <c r="E457">
        <v>600</v>
      </c>
      <c r="F457">
        <v>1E-4</v>
      </c>
      <c r="G457">
        <v>1</v>
      </c>
      <c r="I457">
        <f>VLOOKUP(Table9[[#This Row],[Shortname]], Comp[], 6, FALSE)</f>
        <v>196</v>
      </c>
      <c r="J457" s="14">
        <f>VLOOKUP(Table9[[#This Row],[Shortname]], Comp[], 7, FALSE)</f>
        <v>41.03</v>
      </c>
      <c r="K457">
        <f>VLOOKUP(Table9[[#This Row],[Shortname]], Comp[], 8, FALSE)</f>
        <v>31.8</v>
      </c>
      <c r="L457">
        <f>VLOOKUP(Table9[[#This Row],[Shortname]], Comp[], 9, FALSE)</f>
        <v>8.6999999999999993</v>
      </c>
      <c r="M457">
        <f>VLOOKUP(Table9[[#This Row],[Shortname]], Comp[], 10, FALSE)</f>
        <v>12.6</v>
      </c>
      <c r="N457">
        <f>VLOOKUP(Table9[[#This Row],[Shortname]], Comp[], 11, FALSE)</f>
        <v>4.7</v>
      </c>
      <c r="O457">
        <f>VLOOKUP(Table9[[#This Row],[Shortname]], Comp[],12, FALSE)</f>
        <v>0.3</v>
      </c>
      <c r="P457">
        <f>VLOOKUP(Table9[[#This Row],[Shortname]], Comp[], 13, FALSE)</f>
        <v>0.2</v>
      </c>
      <c r="Q457">
        <f>VLOOKUP(Table9[[#This Row],[Shortname]], Comp[], 14, FALSE)</f>
        <v>0</v>
      </c>
      <c r="R457">
        <f>VLOOKUP(Table9[[#This Row],[Shortname]], Comp[], 15, FALSE)</f>
        <v>0</v>
      </c>
      <c r="S457">
        <f>VLOOKUP(Table9[[#This Row],[Shortname]], Comp[], 16, FALSE)</f>
        <v>0</v>
      </c>
      <c r="T457">
        <f>VLOOKUP(Table9[[#This Row],[Shortname]], Comp[], 17, FALSE)</f>
        <v>0.08</v>
      </c>
      <c r="U457">
        <f>VLOOKUP(Table9[[#This Row],[Shortname]], Comp[], 18, FALSE)</f>
        <v>0.01</v>
      </c>
      <c r="V457">
        <f>VLOOKUP(Table9[[#This Row],[Shortname]], Comp[], 19, FALSE)</f>
        <v>0.08</v>
      </c>
      <c r="W457">
        <f>VLOOKUP(Table9[[#This Row],[Shortname]], Comp[], 20, FALSE)</f>
        <v>0</v>
      </c>
      <c r="X457">
        <f>VLOOKUP(Table9[[#This Row],[Shortname]], Comp[], 21, FALSE)</f>
        <v>0</v>
      </c>
      <c r="Y457">
        <f>VLOOKUP(Table9[[#This Row],[Shortname]], Comp[], 22, FALSE)</f>
        <v>0.4</v>
      </c>
      <c r="Z457">
        <f>VLOOKUP(Table9[[#This Row],[Shortname]], Comp[], 23, FALSE)</f>
        <v>0</v>
      </c>
      <c r="AA457">
        <f>VLOOKUP(Table9[[#This Row],[Shortname]], Comp[], 24, FALSE)</f>
        <v>0</v>
      </c>
      <c r="AB457">
        <f>VLOOKUP(Table9[[#This Row],[Shortname]], Comp[], 25, FALSE)</f>
        <v>0.1</v>
      </c>
      <c r="AC457">
        <f>VLOOKUP(Table9[[#This Row],[Shortname]], Comp[], 26, FALSE)</f>
        <v>0</v>
      </c>
      <c r="AD457">
        <f>VLOOKUP(Table9[[#This Row],[Shortname]], Comp[], 27, FALSE)</f>
        <v>0</v>
      </c>
      <c r="AE457">
        <f>VLOOKUP(Table9[[#This Row],[Shortname]], Comp[], 28, FALSE)</f>
        <v>0</v>
      </c>
      <c r="AF457">
        <f>VLOOKUP(Table9[[#This Row],[Shortname]], Comp[], 29, FALSE)</f>
        <v>0</v>
      </c>
      <c r="AG457">
        <f>VLOOKUP(Table9[[#This Row],[Shortname]], Comp[], 30, FALSE)</f>
        <v>0</v>
      </c>
      <c r="AH457">
        <f>VLOOKUP(Table9[[#This Row],[Shortname]], Comp[], 31, FALSE)</f>
        <v>0</v>
      </c>
    </row>
    <row r="458" spans="1:34" x14ac:dyDescent="0.3">
      <c r="A458" t="s">
        <v>1538</v>
      </c>
      <c r="B458" t="s">
        <v>1540</v>
      </c>
      <c r="C458" t="s">
        <v>1553</v>
      </c>
      <c r="D458">
        <v>816</v>
      </c>
      <c r="E458">
        <v>750</v>
      </c>
      <c r="F458">
        <v>1E-4</v>
      </c>
      <c r="G458">
        <v>1</v>
      </c>
      <c r="I458">
        <f>VLOOKUP(Table9[[#This Row],[Shortname]], Comp[], 6, FALSE)</f>
        <v>196</v>
      </c>
      <c r="J458" s="14">
        <f>VLOOKUP(Table9[[#This Row],[Shortname]], Comp[], 7, FALSE)</f>
        <v>41.03</v>
      </c>
      <c r="K458">
        <f>VLOOKUP(Table9[[#This Row],[Shortname]], Comp[], 8, FALSE)</f>
        <v>31.8</v>
      </c>
      <c r="L458">
        <f>VLOOKUP(Table9[[#This Row],[Shortname]], Comp[], 9, FALSE)</f>
        <v>8.6999999999999993</v>
      </c>
      <c r="M458">
        <f>VLOOKUP(Table9[[#This Row],[Shortname]], Comp[], 10, FALSE)</f>
        <v>12.6</v>
      </c>
      <c r="N458">
        <f>VLOOKUP(Table9[[#This Row],[Shortname]], Comp[], 11, FALSE)</f>
        <v>4.7</v>
      </c>
      <c r="O458">
        <f>VLOOKUP(Table9[[#This Row],[Shortname]], Comp[],12, FALSE)</f>
        <v>0.3</v>
      </c>
      <c r="P458">
        <f>VLOOKUP(Table9[[#This Row],[Shortname]], Comp[], 13, FALSE)</f>
        <v>0.2</v>
      </c>
      <c r="Q458">
        <f>VLOOKUP(Table9[[#This Row],[Shortname]], Comp[], 14, FALSE)</f>
        <v>0</v>
      </c>
      <c r="R458">
        <f>VLOOKUP(Table9[[#This Row],[Shortname]], Comp[], 15, FALSE)</f>
        <v>0</v>
      </c>
      <c r="S458">
        <f>VLOOKUP(Table9[[#This Row],[Shortname]], Comp[], 16, FALSE)</f>
        <v>0</v>
      </c>
      <c r="T458">
        <f>VLOOKUP(Table9[[#This Row],[Shortname]], Comp[], 17, FALSE)</f>
        <v>0.08</v>
      </c>
      <c r="U458">
        <f>VLOOKUP(Table9[[#This Row],[Shortname]], Comp[], 18, FALSE)</f>
        <v>0.01</v>
      </c>
      <c r="V458">
        <f>VLOOKUP(Table9[[#This Row],[Shortname]], Comp[], 19, FALSE)</f>
        <v>0.08</v>
      </c>
      <c r="W458">
        <f>VLOOKUP(Table9[[#This Row],[Shortname]], Comp[], 20, FALSE)</f>
        <v>0</v>
      </c>
      <c r="X458">
        <f>VLOOKUP(Table9[[#This Row],[Shortname]], Comp[], 21, FALSE)</f>
        <v>0</v>
      </c>
      <c r="Y458">
        <f>VLOOKUP(Table9[[#This Row],[Shortname]], Comp[], 22, FALSE)</f>
        <v>0.4</v>
      </c>
      <c r="Z458">
        <f>VLOOKUP(Table9[[#This Row],[Shortname]], Comp[], 23, FALSE)</f>
        <v>0</v>
      </c>
      <c r="AA458">
        <f>VLOOKUP(Table9[[#This Row],[Shortname]], Comp[], 24, FALSE)</f>
        <v>0</v>
      </c>
      <c r="AB458">
        <f>VLOOKUP(Table9[[#This Row],[Shortname]], Comp[], 25, FALSE)</f>
        <v>0.1</v>
      </c>
      <c r="AC458">
        <f>VLOOKUP(Table9[[#This Row],[Shortname]], Comp[], 26, FALSE)</f>
        <v>0</v>
      </c>
      <c r="AD458">
        <f>VLOOKUP(Table9[[#This Row],[Shortname]], Comp[], 27, FALSE)</f>
        <v>0</v>
      </c>
      <c r="AE458">
        <f>VLOOKUP(Table9[[#This Row],[Shortname]], Comp[], 28, FALSE)</f>
        <v>0</v>
      </c>
      <c r="AF458">
        <f>VLOOKUP(Table9[[#This Row],[Shortname]], Comp[], 29, FALSE)</f>
        <v>0</v>
      </c>
      <c r="AG458">
        <f>VLOOKUP(Table9[[#This Row],[Shortname]], Comp[], 30, FALSE)</f>
        <v>0</v>
      </c>
      <c r="AH458">
        <f>VLOOKUP(Table9[[#This Row],[Shortname]], Comp[], 31, FALSE)</f>
        <v>0</v>
      </c>
    </row>
    <row r="459" spans="1:34" x14ac:dyDescent="0.3">
      <c r="A459" t="s">
        <v>1538</v>
      </c>
      <c r="B459" t="s">
        <v>1540</v>
      </c>
      <c r="C459" t="s">
        <v>1553</v>
      </c>
      <c r="D459">
        <v>800</v>
      </c>
      <c r="E459">
        <v>800</v>
      </c>
      <c r="F459">
        <v>1E-4</v>
      </c>
      <c r="G459">
        <v>1</v>
      </c>
      <c r="I459">
        <f>VLOOKUP(Table9[[#This Row],[Shortname]], Comp[], 6, FALSE)</f>
        <v>196</v>
      </c>
      <c r="J459" s="14">
        <f>VLOOKUP(Table9[[#This Row],[Shortname]], Comp[], 7, FALSE)</f>
        <v>41.03</v>
      </c>
      <c r="K459">
        <f>VLOOKUP(Table9[[#This Row],[Shortname]], Comp[], 8, FALSE)</f>
        <v>31.8</v>
      </c>
      <c r="L459">
        <f>VLOOKUP(Table9[[#This Row],[Shortname]], Comp[], 9, FALSE)</f>
        <v>8.6999999999999993</v>
      </c>
      <c r="M459">
        <f>VLOOKUP(Table9[[#This Row],[Shortname]], Comp[], 10, FALSE)</f>
        <v>12.6</v>
      </c>
      <c r="N459">
        <f>VLOOKUP(Table9[[#This Row],[Shortname]], Comp[], 11, FALSE)</f>
        <v>4.7</v>
      </c>
      <c r="O459">
        <f>VLOOKUP(Table9[[#This Row],[Shortname]], Comp[],12, FALSE)</f>
        <v>0.3</v>
      </c>
      <c r="P459">
        <f>VLOOKUP(Table9[[#This Row],[Shortname]], Comp[], 13, FALSE)</f>
        <v>0.2</v>
      </c>
      <c r="Q459">
        <f>VLOOKUP(Table9[[#This Row],[Shortname]], Comp[], 14, FALSE)</f>
        <v>0</v>
      </c>
      <c r="R459">
        <f>VLOOKUP(Table9[[#This Row],[Shortname]], Comp[], 15, FALSE)</f>
        <v>0</v>
      </c>
      <c r="S459">
        <f>VLOOKUP(Table9[[#This Row],[Shortname]], Comp[], 16, FALSE)</f>
        <v>0</v>
      </c>
      <c r="T459">
        <f>VLOOKUP(Table9[[#This Row],[Shortname]], Comp[], 17, FALSE)</f>
        <v>0.08</v>
      </c>
      <c r="U459">
        <f>VLOOKUP(Table9[[#This Row],[Shortname]], Comp[], 18, FALSE)</f>
        <v>0.01</v>
      </c>
      <c r="V459">
        <f>VLOOKUP(Table9[[#This Row],[Shortname]], Comp[], 19, FALSE)</f>
        <v>0.08</v>
      </c>
      <c r="W459">
        <f>VLOOKUP(Table9[[#This Row],[Shortname]], Comp[], 20, FALSE)</f>
        <v>0</v>
      </c>
      <c r="X459">
        <f>VLOOKUP(Table9[[#This Row],[Shortname]], Comp[], 21, FALSE)</f>
        <v>0</v>
      </c>
      <c r="Y459">
        <f>VLOOKUP(Table9[[#This Row],[Shortname]], Comp[], 22, FALSE)</f>
        <v>0.4</v>
      </c>
      <c r="Z459">
        <f>VLOOKUP(Table9[[#This Row],[Shortname]], Comp[], 23, FALSE)</f>
        <v>0</v>
      </c>
      <c r="AA459">
        <f>VLOOKUP(Table9[[#This Row],[Shortname]], Comp[], 24, FALSE)</f>
        <v>0</v>
      </c>
      <c r="AB459">
        <f>VLOOKUP(Table9[[#This Row],[Shortname]], Comp[], 25, FALSE)</f>
        <v>0.1</v>
      </c>
      <c r="AC459">
        <f>VLOOKUP(Table9[[#This Row],[Shortname]], Comp[], 26, FALSE)</f>
        <v>0</v>
      </c>
      <c r="AD459">
        <f>VLOOKUP(Table9[[#This Row],[Shortname]], Comp[], 27, FALSE)</f>
        <v>0</v>
      </c>
      <c r="AE459">
        <f>VLOOKUP(Table9[[#This Row],[Shortname]], Comp[], 28, FALSE)</f>
        <v>0</v>
      </c>
      <c r="AF459">
        <f>VLOOKUP(Table9[[#This Row],[Shortname]], Comp[], 29, FALSE)</f>
        <v>0</v>
      </c>
      <c r="AG459">
        <f>VLOOKUP(Table9[[#This Row],[Shortname]], Comp[], 30, FALSE)</f>
        <v>0</v>
      </c>
      <c r="AH459">
        <f>VLOOKUP(Table9[[#This Row],[Shortname]], Comp[], 31, FALSE)</f>
        <v>0</v>
      </c>
    </row>
    <row r="460" spans="1:34" x14ac:dyDescent="0.3">
      <c r="A460" t="s">
        <v>1538</v>
      </c>
      <c r="B460" t="s">
        <v>1540</v>
      </c>
      <c r="C460" t="s">
        <v>1553</v>
      </c>
      <c r="D460">
        <v>571</v>
      </c>
      <c r="E460">
        <v>850</v>
      </c>
      <c r="F460">
        <v>1E-4</v>
      </c>
      <c r="G460">
        <v>1</v>
      </c>
      <c r="I460">
        <f>VLOOKUP(Table9[[#This Row],[Shortname]], Comp[], 6, FALSE)</f>
        <v>196</v>
      </c>
      <c r="J460" s="14">
        <f>VLOOKUP(Table9[[#This Row],[Shortname]], Comp[], 7, FALSE)</f>
        <v>41.03</v>
      </c>
      <c r="K460">
        <f>VLOOKUP(Table9[[#This Row],[Shortname]], Comp[], 8, FALSE)</f>
        <v>31.8</v>
      </c>
      <c r="L460">
        <f>VLOOKUP(Table9[[#This Row],[Shortname]], Comp[], 9, FALSE)</f>
        <v>8.6999999999999993</v>
      </c>
      <c r="M460">
        <f>VLOOKUP(Table9[[#This Row],[Shortname]], Comp[], 10, FALSE)</f>
        <v>12.6</v>
      </c>
      <c r="N460">
        <f>VLOOKUP(Table9[[#This Row],[Shortname]], Comp[], 11, FALSE)</f>
        <v>4.7</v>
      </c>
      <c r="O460">
        <f>VLOOKUP(Table9[[#This Row],[Shortname]], Comp[],12, FALSE)</f>
        <v>0.3</v>
      </c>
      <c r="P460">
        <f>VLOOKUP(Table9[[#This Row],[Shortname]], Comp[], 13, FALSE)</f>
        <v>0.2</v>
      </c>
      <c r="Q460">
        <f>VLOOKUP(Table9[[#This Row],[Shortname]], Comp[], 14, FALSE)</f>
        <v>0</v>
      </c>
      <c r="R460">
        <f>VLOOKUP(Table9[[#This Row],[Shortname]], Comp[], 15, FALSE)</f>
        <v>0</v>
      </c>
      <c r="S460">
        <f>VLOOKUP(Table9[[#This Row],[Shortname]], Comp[], 16, FALSE)</f>
        <v>0</v>
      </c>
      <c r="T460">
        <f>VLOOKUP(Table9[[#This Row],[Shortname]], Comp[], 17, FALSE)</f>
        <v>0.08</v>
      </c>
      <c r="U460">
        <f>VLOOKUP(Table9[[#This Row],[Shortname]], Comp[], 18, FALSE)</f>
        <v>0.01</v>
      </c>
      <c r="V460">
        <f>VLOOKUP(Table9[[#This Row],[Shortname]], Comp[], 19, FALSE)</f>
        <v>0.08</v>
      </c>
      <c r="W460">
        <f>VLOOKUP(Table9[[#This Row],[Shortname]], Comp[], 20, FALSE)</f>
        <v>0</v>
      </c>
      <c r="X460">
        <f>VLOOKUP(Table9[[#This Row],[Shortname]], Comp[], 21, FALSE)</f>
        <v>0</v>
      </c>
      <c r="Y460">
        <f>VLOOKUP(Table9[[#This Row],[Shortname]], Comp[], 22, FALSE)</f>
        <v>0.4</v>
      </c>
      <c r="Z460">
        <f>VLOOKUP(Table9[[#This Row],[Shortname]], Comp[], 23, FALSE)</f>
        <v>0</v>
      </c>
      <c r="AA460">
        <f>VLOOKUP(Table9[[#This Row],[Shortname]], Comp[], 24, FALSE)</f>
        <v>0</v>
      </c>
      <c r="AB460">
        <f>VLOOKUP(Table9[[#This Row],[Shortname]], Comp[], 25, FALSE)</f>
        <v>0.1</v>
      </c>
      <c r="AC460">
        <f>VLOOKUP(Table9[[#This Row],[Shortname]], Comp[], 26, FALSE)</f>
        <v>0</v>
      </c>
      <c r="AD460">
        <f>VLOOKUP(Table9[[#This Row],[Shortname]], Comp[], 27, FALSE)</f>
        <v>0</v>
      </c>
      <c r="AE460">
        <f>VLOOKUP(Table9[[#This Row],[Shortname]], Comp[], 28, FALSE)</f>
        <v>0</v>
      </c>
      <c r="AF460">
        <f>VLOOKUP(Table9[[#This Row],[Shortname]], Comp[], 29, FALSE)</f>
        <v>0</v>
      </c>
      <c r="AG460">
        <f>VLOOKUP(Table9[[#This Row],[Shortname]], Comp[], 30, FALSE)</f>
        <v>0</v>
      </c>
      <c r="AH460">
        <f>VLOOKUP(Table9[[#This Row],[Shortname]], Comp[], 31, FALSE)</f>
        <v>0</v>
      </c>
    </row>
    <row r="461" spans="1:34" x14ac:dyDescent="0.3">
      <c r="A461" t="s">
        <v>1557</v>
      </c>
      <c r="B461" t="s">
        <v>1559</v>
      </c>
      <c r="C461" t="s">
        <v>1553</v>
      </c>
      <c r="D461">
        <v>1025</v>
      </c>
      <c r="E461">
        <v>25</v>
      </c>
      <c r="F461">
        <v>1E-4</v>
      </c>
      <c r="G461">
        <v>1</v>
      </c>
      <c r="I461">
        <f>VLOOKUP(Table9[[#This Row],[Shortname]], Comp[], 6, FALSE)</f>
        <v>198</v>
      </c>
      <c r="J461" s="14">
        <f>VLOOKUP(Table9[[#This Row],[Shortname]], Comp[], 7, FALSE)</f>
        <v>39.830000000000005</v>
      </c>
      <c r="K461">
        <f>VLOOKUP(Table9[[#This Row],[Shortname]], Comp[], 8, FALSE)</f>
        <v>32</v>
      </c>
      <c r="L461">
        <f>VLOOKUP(Table9[[#This Row],[Shortname]], Comp[], 9, FALSE)</f>
        <v>9</v>
      </c>
      <c r="M461">
        <f>VLOOKUP(Table9[[#This Row],[Shortname]], Comp[], 10, FALSE)</f>
        <v>12</v>
      </c>
      <c r="N461">
        <f>VLOOKUP(Table9[[#This Row],[Shortname]], Comp[], 11, FALSE)</f>
        <v>5</v>
      </c>
      <c r="O461">
        <f>VLOOKUP(Table9[[#This Row],[Shortname]], Comp[],12, FALSE)</f>
        <v>0.3</v>
      </c>
      <c r="P461">
        <f>VLOOKUP(Table9[[#This Row],[Shortname]], Comp[], 13, FALSE)</f>
        <v>0.2</v>
      </c>
      <c r="Q461">
        <f>VLOOKUP(Table9[[#This Row],[Shortname]], Comp[], 14, FALSE)</f>
        <v>0</v>
      </c>
      <c r="R461">
        <f>VLOOKUP(Table9[[#This Row],[Shortname]], Comp[], 15, FALSE)</f>
        <v>0</v>
      </c>
      <c r="S461">
        <f>VLOOKUP(Table9[[#This Row],[Shortname]], Comp[], 16, FALSE)</f>
        <v>1</v>
      </c>
      <c r="T461">
        <f>VLOOKUP(Table9[[#This Row],[Shortname]], Comp[], 17, FALSE)</f>
        <v>0.08</v>
      </c>
      <c r="U461">
        <f>VLOOKUP(Table9[[#This Row],[Shortname]], Comp[], 18, FALSE)</f>
        <v>0.01</v>
      </c>
      <c r="V461">
        <f>VLOOKUP(Table9[[#This Row],[Shortname]], Comp[], 19, FALSE)</f>
        <v>0.08</v>
      </c>
      <c r="W461">
        <f>VLOOKUP(Table9[[#This Row],[Shortname]], Comp[], 20, FALSE)</f>
        <v>0</v>
      </c>
      <c r="X461">
        <f>VLOOKUP(Table9[[#This Row],[Shortname]], Comp[], 21, FALSE)</f>
        <v>0</v>
      </c>
      <c r="Y461">
        <f>VLOOKUP(Table9[[#This Row],[Shortname]], Comp[], 22, FALSE)</f>
        <v>0.4</v>
      </c>
      <c r="Z461">
        <f>VLOOKUP(Table9[[#This Row],[Shortname]], Comp[], 23, FALSE)</f>
        <v>0</v>
      </c>
      <c r="AA461">
        <f>VLOOKUP(Table9[[#This Row],[Shortname]], Comp[], 24, FALSE)</f>
        <v>0</v>
      </c>
      <c r="AB461">
        <f>VLOOKUP(Table9[[#This Row],[Shortname]], Comp[], 25, FALSE)</f>
        <v>0.1</v>
      </c>
      <c r="AC461">
        <f>VLOOKUP(Table9[[#This Row],[Shortname]], Comp[], 26, FALSE)</f>
        <v>0</v>
      </c>
      <c r="AD461">
        <f>VLOOKUP(Table9[[#This Row],[Shortname]], Comp[], 27, FALSE)</f>
        <v>0</v>
      </c>
      <c r="AE461">
        <f>VLOOKUP(Table9[[#This Row],[Shortname]], Comp[], 28, FALSE)</f>
        <v>0</v>
      </c>
      <c r="AF461">
        <f>VLOOKUP(Table9[[#This Row],[Shortname]], Comp[], 29, FALSE)</f>
        <v>0</v>
      </c>
      <c r="AG461">
        <f>VLOOKUP(Table9[[#This Row],[Shortname]], Comp[], 30, FALSE)</f>
        <v>0</v>
      </c>
      <c r="AH461">
        <f>VLOOKUP(Table9[[#This Row],[Shortname]], Comp[], 31, FALSE)</f>
        <v>0</v>
      </c>
    </row>
    <row r="462" spans="1:34" x14ac:dyDescent="0.3">
      <c r="A462" t="s">
        <v>1557</v>
      </c>
      <c r="B462" t="s">
        <v>1559</v>
      </c>
      <c r="C462" t="s">
        <v>1553</v>
      </c>
      <c r="D462">
        <v>902</v>
      </c>
      <c r="E462">
        <v>600</v>
      </c>
      <c r="F462">
        <v>1E-4</v>
      </c>
      <c r="G462">
        <v>1</v>
      </c>
      <c r="I462">
        <f>VLOOKUP(Table9[[#This Row],[Shortname]], Comp[], 6, FALSE)</f>
        <v>198</v>
      </c>
      <c r="J462" s="14">
        <f>VLOOKUP(Table9[[#This Row],[Shortname]], Comp[], 7, FALSE)</f>
        <v>39.830000000000005</v>
      </c>
      <c r="K462">
        <f>VLOOKUP(Table9[[#This Row],[Shortname]], Comp[], 8, FALSE)</f>
        <v>32</v>
      </c>
      <c r="L462">
        <f>VLOOKUP(Table9[[#This Row],[Shortname]], Comp[], 9, FALSE)</f>
        <v>9</v>
      </c>
      <c r="M462">
        <f>VLOOKUP(Table9[[#This Row],[Shortname]], Comp[], 10, FALSE)</f>
        <v>12</v>
      </c>
      <c r="N462">
        <f>VLOOKUP(Table9[[#This Row],[Shortname]], Comp[], 11, FALSE)</f>
        <v>5</v>
      </c>
      <c r="O462">
        <f>VLOOKUP(Table9[[#This Row],[Shortname]], Comp[],12, FALSE)</f>
        <v>0.3</v>
      </c>
      <c r="P462">
        <f>VLOOKUP(Table9[[#This Row],[Shortname]], Comp[], 13, FALSE)</f>
        <v>0.2</v>
      </c>
      <c r="Q462">
        <f>VLOOKUP(Table9[[#This Row],[Shortname]], Comp[], 14, FALSE)</f>
        <v>0</v>
      </c>
      <c r="R462">
        <f>VLOOKUP(Table9[[#This Row],[Shortname]], Comp[], 15, FALSE)</f>
        <v>0</v>
      </c>
      <c r="S462">
        <f>VLOOKUP(Table9[[#This Row],[Shortname]], Comp[], 16, FALSE)</f>
        <v>1</v>
      </c>
      <c r="T462">
        <f>VLOOKUP(Table9[[#This Row],[Shortname]], Comp[], 17, FALSE)</f>
        <v>0.08</v>
      </c>
      <c r="U462">
        <f>VLOOKUP(Table9[[#This Row],[Shortname]], Comp[], 18, FALSE)</f>
        <v>0.01</v>
      </c>
      <c r="V462">
        <f>VLOOKUP(Table9[[#This Row],[Shortname]], Comp[], 19, FALSE)</f>
        <v>0.08</v>
      </c>
      <c r="W462">
        <f>VLOOKUP(Table9[[#This Row],[Shortname]], Comp[], 20, FALSE)</f>
        <v>0</v>
      </c>
      <c r="X462">
        <f>VLOOKUP(Table9[[#This Row],[Shortname]], Comp[], 21, FALSE)</f>
        <v>0</v>
      </c>
      <c r="Y462">
        <f>VLOOKUP(Table9[[#This Row],[Shortname]], Comp[], 22, FALSE)</f>
        <v>0.4</v>
      </c>
      <c r="Z462">
        <f>VLOOKUP(Table9[[#This Row],[Shortname]], Comp[], 23, FALSE)</f>
        <v>0</v>
      </c>
      <c r="AA462">
        <f>VLOOKUP(Table9[[#This Row],[Shortname]], Comp[], 24, FALSE)</f>
        <v>0</v>
      </c>
      <c r="AB462">
        <f>VLOOKUP(Table9[[#This Row],[Shortname]], Comp[], 25, FALSE)</f>
        <v>0.1</v>
      </c>
      <c r="AC462">
        <f>VLOOKUP(Table9[[#This Row],[Shortname]], Comp[], 26, FALSE)</f>
        <v>0</v>
      </c>
      <c r="AD462">
        <f>VLOOKUP(Table9[[#This Row],[Shortname]], Comp[], 27, FALSE)</f>
        <v>0</v>
      </c>
      <c r="AE462">
        <f>VLOOKUP(Table9[[#This Row],[Shortname]], Comp[], 28, FALSE)</f>
        <v>0</v>
      </c>
      <c r="AF462">
        <f>VLOOKUP(Table9[[#This Row],[Shortname]], Comp[], 29, FALSE)</f>
        <v>0</v>
      </c>
      <c r="AG462">
        <f>VLOOKUP(Table9[[#This Row],[Shortname]], Comp[], 30, FALSE)</f>
        <v>0</v>
      </c>
      <c r="AH462">
        <f>VLOOKUP(Table9[[#This Row],[Shortname]], Comp[], 31, FALSE)</f>
        <v>0</v>
      </c>
    </row>
    <row r="463" spans="1:34" x14ac:dyDescent="0.3">
      <c r="A463" t="s">
        <v>1557</v>
      </c>
      <c r="B463" t="s">
        <v>1559</v>
      </c>
      <c r="C463" t="s">
        <v>1553</v>
      </c>
      <c r="D463">
        <v>750</v>
      </c>
      <c r="E463">
        <v>750</v>
      </c>
      <c r="F463">
        <v>1E-4</v>
      </c>
      <c r="G463">
        <v>1</v>
      </c>
      <c r="I463">
        <f>VLOOKUP(Table9[[#This Row],[Shortname]], Comp[], 6, FALSE)</f>
        <v>198</v>
      </c>
      <c r="J463" s="14">
        <f>VLOOKUP(Table9[[#This Row],[Shortname]], Comp[], 7, FALSE)</f>
        <v>39.830000000000005</v>
      </c>
      <c r="K463">
        <f>VLOOKUP(Table9[[#This Row],[Shortname]], Comp[], 8, FALSE)</f>
        <v>32</v>
      </c>
      <c r="L463">
        <f>VLOOKUP(Table9[[#This Row],[Shortname]], Comp[], 9, FALSE)</f>
        <v>9</v>
      </c>
      <c r="M463">
        <f>VLOOKUP(Table9[[#This Row],[Shortname]], Comp[], 10, FALSE)</f>
        <v>12</v>
      </c>
      <c r="N463">
        <f>VLOOKUP(Table9[[#This Row],[Shortname]], Comp[], 11, FALSE)</f>
        <v>5</v>
      </c>
      <c r="O463">
        <f>VLOOKUP(Table9[[#This Row],[Shortname]], Comp[],12, FALSE)</f>
        <v>0.3</v>
      </c>
      <c r="P463">
        <f>VLOOKUP(Table9[[#This Row],[Shortname]], Comp[], 13, FALSE)</f>
        <v>0.2</v>
      </c>
      <c r="Q463">
        <f>VLOOKUP(Table9[[#This Row],[Shortname]], Comp[], 14, FALSE)</f>
        <v>0</v>
      </c>
      <c r="R463">
        <f>VLOOKUP(Table9[[#This Row],[Shortname]], Comp[], 15, FALSE)</f>
        <v>0</v>
      </c>
      <c r="S463">
        <f>VLOOKUP(Table9[[#This Row],[Shortname]], Comp[], 16, FALSE)</f>
        <v>1</v>
      </c>
      <c r="T463">
        <f>VLOOKUP(Table9[[#This Row],[Shortname]], Comp[], 17, FALSE)</f>
        <v>0.08</v>
      </c>
      <c r="U463">
        <f>VLOOKUP(Table9[[#This Row],[Shortname]], Comp[], 18, FALSE)</f>
        <v>0.01</v>
      </c>
      <c r="V463">
        <f>VLOOKUP(Table9[[#This Row],[Shortname]], Comp[], 19, FALSE)</f>
        <v>0.08</v>
      </c>
      <c r="W463">
        <f>VLOOKUP(Table9[[#This Row],[Shortname]], Comp[], 20, FALSE)</f>
        <v>0</v>
      </c>
      <c r="X463">
        <f>VLOOKUP(Table9[[#This Row],[Shortname]], Comp[], 21, FALSE)</f>
        <v>0</v>
      </c>
      <c r="Y463">
        <f>VLOOKUP(Table9[[#This Row],[Shortname]], Comp[], 22, FALSE)</f>
        <v>0.4</v>
      </c>
      <c r="Z463">
        <f>VLOOKUP(Table9[[#This Row],[Shortname]], Comp[], 23, FALSE)</f>
        <v>0</v>
      </c>
      <c r="AA463">
        <f>VLOOKUP(Table9[[#This Row],[Shortname]], Comp[], 24, FALSE)</f>
        <v>0</v>
      </c>
      <c r="AB463">
        <f>VLOOKUP(Table9[[#This Row],[Shortname]], Comp[], 25, FALSE)</f>
        <v>0.1</v>
      </c>
      <c r="AC463">
        <f>VLOOKUP(Table9[[#This Row],[Shortname]], Comp[], 26, FALSE)</f>
        <v>0</v>
      </c>
      <c r="AD463">
        <f>VLOOKUP(Table9[[#This Row],[Shortname]], Comp[], 27, FALSE)</f>
        <v>0</v>
      </c>
      <c r="AE463">
        <f>VLOOKUP(Table9[[#This Row],[Shortname]], Comp[], 28, FALSE)</f>
        <v>0</v>
      </c>
      <c r="AF463">
        <f>VLOOKUP(Table9[[#This Row],[Shortname]], Comp[], 29, FALSE)</f>
        <v>0</v>
      </c>
      <c r="AG463">
        <f>VLOOKUP(Table9[[#This Row],[Shortname]], Comp[], 30, FALSE)</f>
        <v>0</v>
      </c>
      <c r="AH463">
        <f>VLOOKUP(Table9[[#This Row],[Shortname]], Comp[], 31, FALSE)</f>
        <v>0</v>
      </c>
    </row>
    <row r="464" spans="1:34" x14ac:dyDescent="0.3">
      <c r="A464" t="s">
        <v>1557</v>
      </c>
      <c r="B464" t="s">
        <v>1559</v>
      </c>
      <c r="C464" t="s">
        <v>1553</v>
      </c>
      <c r="D464">
        <v>760</v>
      </c>
      <c r="E464">
        <v>800</v>
      </c>
      <c r="F464">
        <v>1E-4</v>
      </c>
      <c r="G464">
        <v>1</v>
      </c>
      <c r="I464">
        <f>VLOOKUP(Table9[[#This Row],[Shortname]], Comp[], 6, FALSE)</f>
        <v>198</v>
      </c>
      <c r="J464" s="14">
        <f>VLOOKUP(Table9[[#This Row],[Shortname]], Comp[], 7, FALSE)</f>
        <v>39.830000000000005</v>
      </c>
      <c r="K464">
        <f>VLOOKUP(Table9[[#This Row],[Shortname]], Comp[], 8, FALSE)</f>
        <v>32</v>
      </c>
      <c r="L464">
        <f>VLOOKUP(Table9[[#This Row],[Shortname]], Comp[], 9, FALSE)</f>
        <v>9</v>
      </c>
      <c r="M464">
        <f>VLOOKUP(Table9[[#This Row],[Shortname]], Comp[], 10, FALSE)</f>
        <v>12</v>
      </c>
      <c r="N464">
        <f>VLOOKUP(Table9[[#This Row],[Shortname]], Comp[], 11, FALSE)</f>
        <v>5</v>
      </c>
      <c r="O464">
        <f>VLOOKUP(Table9[[#This Row],[Shortname]], Comp[],12, FALSE)</f>
        <v>0.3</v>
      </c>
      <c r="P464">
        <f>VLOOKUP(Table9[[#This Row],[Shortname]], Comp[], 13, FALSE)</f>
        <v>0.2</v>
      </c>
      <c r="Q464">
        <f>VLOOKUP(Table9[[#This Row],[Shortname]], Comp[], 14, FALSE)</f>
        <v>0</v>
      </c>
      <c r="R464">
        <f>VLOOKUP(Table9[[#This Row],[Shortname]], Comp[], 15, FALSE)</f>
        <v>0</v>
      </c>
      <c r="S464">
        <f>VLOOKUP(Table9[[#This Row],[Shortname]], Comp[], 16, FALSE)</f>
        <v>1</v>
      </c>
      <c r="T464">
        <f>VLOOKUP(Table9[[#This Row],[Shortname]], Comp[], 17, FALSE)</f>
        <v>0.08</v>
      </c>
      <c r="U464">
        <f>VLOOKUP(Table9[[#This Row],[Shortname]], Comp[], 18, FALSE)</f>
        <v>0.01</v>
      </c>
      <c r="V464">
        <f>VLOOKUP(Table9[[#This Row],[Shortname]], Comp[], 19, FALSE)</f>
        <v>0.08</v>
      </c>
      <c r="W464">
        <f>VLOOKUP(Table9[[#This Row],[Shortname]], Comp[], 20, FALSE)</f>
        <v>0</v>
      </c>
      <c r="X464">
        <f>VLOOKUP(Table9[[#This Row],[Shortname]], Comp[], 21, FALSE)</f>
        <v>0</v>
      </c>
      <c r="Y464">
        <f>VLOOKUP(Table9[[#This Row],[Shortname]], Comp[], 22, FALSE)</f>
        <v>0.4</v>
      </c>
      <c r="Z464">
        <f>VLOOKUP(Table9[[#This Row],[Shortname]], Comp[], 23, FALSE)</f>
        <v>0</v>
      </c>
      <c r="AA464">
        <f>VLOOKUP(Table9[[#This Row],[Shortname]], Comp[], 24, FALSE)</f>
        <v>0</v>
      </c>
      <c r="AB464">
        <f>VLOOKUP(Table9[[#This Row],[Shortname]], Comp[], 25, FALSE)</f>
        <v>0.1</v>
      </c>
      <c r="AC464">
        <f>VLOOKUP(Table9[[#This Row],[Shortname]], Comp[], 26, FALSE)</f>
        <v>0</v>
      </c>
      <c r="AD464">
        <f>VLOOKUP(Table9[[#This Row],[Shortname]], Comp[], 27, FALSE)</f>
        <v>0</v>
      </c>
      <c r="AE464">
        <f>VLOOKUP(Table9[[#This Row],[Shortname]], Comp[], 28, FALSE)</f>
        <v>0</v>
      </c>
      <c r="AF464">
        <f>VLOOKUP(Table9[[#This Row],[Shortname]], Comp[], 29, FALSE)</f>
        <v>0</v>
      </c>
      <c r="AG464">
        <f>VLOOKUP(Table9[[#This Row],[Shortname]], Comp[], 30, FALSE)</f>
        <v>0</v>
      </c>
      <c r="AH464">
        <f>VLOOKUP(Table9[[#This Row],[Shortname]], Comp[], 31, FALSE)</f>
        <v>0</v>
      </c>
    </row>
    <row r="465" spans="1:34" x14ac:dyDescent="0.3">
      <c r="A465" t="s">
        <v>1557</v>
      </c>
      <c r="B465" t="s">
        <v>1559</v>
      </c>
      <c r="C465" t="s">
        <v>1553</v>
      </c>
      <c r="D465">
        <v>571</v>
      </c>
      <c r="E465">
        <v>850</v>
      </c>
      <c r="F465">
        <v>1E-4</v>
      </c>
      <c r="G465">
        <v>1</v>
      </c>
      <c r="I465">
        <f>VLOOKUP(Table9[[#This Row],[Shortname]], Comp[], 6, FALSE)</f>
        <v>198</v>
      </c>
      <c r="J465" s="14">
        <f>VLOOKUP(Table9[[#This Row],[Shortname]], Comp[], 7, FALSE)</f>
        <v>39.830000000000005</v>
      </c>
      <c r="K465">
        <f>VLOOKUP(Table9[[#This Row],[Shortname]], Comp[], 8, FALSE)</f>
        <v>32</v>
      </c>
      <c r="L465">
        <f>VLOOKUP(Table9[[#This Row],[Shortname]], Comp[], 9, FALSE)</f>
        <v>9</v>
      </c>
      <c r="M465">
        <f>VLOOKUP(Table9[[#This Row],[Shortname]], Comp[], 10, FALSE)</f>
        <v>12</v>
      </c>
      <c r="N465">
        <f>VLOOKUP(Table9[[#This Row],[Shortname]], Comp[], 11, FALSE)</f>
        <v>5</v>
      </c>
      <c r="O465">
        <f>VLOOKUP(Table9[[#This Row],[Shortname]], Comp[],12, FALSE)</f>
        <v>0.3</v>
      </c>
      <c r="P465">
        <f>VLOOKUP(Table9[[#This Row],[Shortname]], Comp[], 13, FALSE)</f>
        <v>0.2</v>
      </c>
      <c r="Q465">
        <f>VLOOKUP(Table9[[#This Row],[Shortname]], Comp[], 14, FALSE)</f>
        <v>0</v>
      </c>
      <c r="R465">
        <f>VLOOKUP(Table9[[#This Row],[Shortname]], Comp[], 15, FALSE)</f>
        <v>0</v>
      </c>
      <c r="S465">
        <f>VLOOKUP(Table9[[#This Row],[Shortname]], Comp[], 16, FALSE)</f>
        <v>1</v>
      </c>
      <c r="T465">
        <f>VLOOKUP(Table9[[#This Row],[Shortname]], Comp[], 17, FALSE)</f>
        <v>0.08</v>
      </c>
      <c r="U465">
        <f>VLOOKUP(Table9[[#This Row],[Shortname]], Comp[], 18, FALSE)</f>
        <v>0.01</v>
      </c>
      <c r="V465">
        <f>VLOOKUP(Table9[[#This Row],[Shortname]], Comp[], 19, FALSE)</f>
        <v>0.08</v>
      </c>
      <c r="W465">
        <f>VLOOKUP(Table9[[#This Row],[Shortname]], Comp[], 20, FALSE)</f>
        <v>0</v>
      </c>
      <c r="X465">
        <f>VLOOKUP(Table9[[#This Row],[Shortname]], Comp[], 21, FALSE)</f>
        <v>0</v>
      </c>
      <c r="Y465">
        <f>VLOOKUP(Table9[[#This Row],[Shortname]], Comp[], 22, FALSE)</f>
        <v>0.4</v>
      </c>
      <c r="Z465">
        <f>VLOOKUP(Table9[[#This Row],[Shortname]], Comp[], 23, FALSE)</f>
        <v>0</v>
      </c>
      <c r="AA465">
        <f>VLOOKUP(Table9[[#This Row],[Shortname]], Comp[], 24, FALSE)</f>
        <v>0</v>
      </c>
      <c r="AB465">
        <f>VLOOKUP(Table9[[#This Row],[Shortname]], Comp[], 25, FALSE)</f>
        <v>0.1</v>
      </c>
      <c r="AC465">
        <f>VLOOKUP(Table9[[#This Row],[Shortname]], Comp[], 26, FALSE)</f>
        <v>0</v>
      </c>
      <c r="AD465">
        <f>VLOOKUP(Table9[[#This Row],[Shortname]], Comp[], 27, FALSE)</f>
        <v>0</v>
      </c>
      <c r="AE465">
        <f>VLOOKUP(Table9[[#This Row],[Shortname]], Comp[], 28, FALSE)</f>
        <v>0</v>
      </c>
      <c r="AF465">
        <f>VLOOKUP(Table9[[#This Row],[Shortname]], Comp[], 29, FALSE)</f>
        <v>0</v>
      </c>
      <c r="AG465">
        <f>VLOOKUP(Table9[[#This Row],[Shortname]], Comp[], 30, FALSE)</f>
        <v>0</v>
      </c>
      <c r="AH465">
        <f>VLOOKUP(Table9[[#This Row],[Shortname]], Comp[], 31, FALSE)</f>
        <v>0</v>
      </c>
    </row>
    <row r="466" spans="1:34" x14ac:dyDescent="0.3">
      <c r="A466" t="s">
        <v>2176</v>
      </c>
      <c r="B466" t="s">
        <v>2178</v>
      </c>
      <c r="C466" t="s">
        <v>2179</v>
      </c>
      <c r="D466">
        <v>522</v>
      </c>
      <c r="E466">
        <v>900</v>
      </c>
      <c r="F466">
        <v>1E-4</v>
      </c>
      <c r="G466">
        <v>-1</v>
      </c>
      <c r="H466" t="s">
        <v>6849</v>
      </c>
      <c r="I466">
        <f>VLOOKUP(Table9[[#This Row],[Shortname]], Comp[], 6, FALSE)</f>
        <v>288</v>
      </c>
      <c r="J466" s="14">
        <f>VLOOKUP(Table9[[#This Row],[Shortname]], Comp[], 7, FALSE)</f>
        <v>54.751794346763752</v>
      </c>
      <c r="K466">
        <f>VLOOKUP(Table9[[#This Row],[Shortname]], Comp[], 8, FALSE)</f>
        <v>16.351836731071355</v>
      </c>
      <c r="L466">
        <f>VLOOKUP(Table9[[#This Row],[Shortname]], Comp[], 9, FALSE)</f>
        <v>9.4852207966473578</v>
      </c>
      <c r="M466">
        <f>VLOOKUP(Table9[[#This Row],[Shortname]], Comp[], 10, FALSE)</f>
        <v>6.152642211303248</v>
      </c>
      <c r="N466">
        <f>VLOOKUP(Table9[[#This Row],[Shortname]], Comp[], 11, FALSE)</f>
        <v>3.4803392560805455</v>
      </c>
      <c r="O466">
        <f>VLOOKUP(Table9[[#This Row],[Shortname]], Comp[],12, FALSE)</f>
        <v>2.6691651113338928</v>
      </c>
      <c r="P466">
        <f>VLOOKUP(Table9[[#This Row],[Shortname]], Comp[], 13, FALSE)</f>
        <v>2.8287397351217352</v>
      </c>
      <c r="Q466">
        <f>VLOOKUP(Table9[[#This Row],[Shortname]], Comp[], 14, FALSE)</f>
        <v>0</v>
      </c>
      <c r="R466">
        <f>VLOOKUP(Table9[[#This Row],[Shortname]], Comp[], 15, FALSE)</f>
        <v>0</v>
      </c>
      <c r="S466">
        <f>VLOOKUP(Table9[[#This Row],[Shortname]], Comp[], 16, FALSE)</f>
        <v>3.3341613800825822</v>
      </c>
      <c r="T466">
        <f>VLOOKUP(Table9[[#This Row],[Shortname]], Comp[], 17, FALSE)</f>
        <v>0.26634983300218446</v>
      </c>
      <c r="U466">
        <f>VLOOKUP(Table9[[#This Row],[Shortname]], Comp[], 18, FALSE)</f>
        <v>0</v>
      </c>
      <c r="V466">
        <f>VLOOKUP(Table9[[#This Row],[Shortname]], Comp[], 19, FALSE)</f>
        <v>0.1420519301767654</v>
      </c>
      <c r="W466">
        <f>VLOOKUP(Table9[[#This Row],[Shortname]], Comp[], 20, FALSE)</f>
        <v>0</v>
      </c>
      <c r="X466">
        <f>VLOOKUP(Table9[[#This Row],[Shortname]], Comp[], 21, FALSE)</f>
        <v>0</v>
      </c>
      <c r="Y466">
        <f>VLOOKUP(Table9[[#This Row],[Shortname]], Comp[], 22, FALSE)</f>
        <v>0</v>
      </c>
      <c r="Z466">
        <f>VLOOKUP(Table9[[#This Row],[Shortname]], Comp[], 23, FALSE)</f>
        <v>0</v>
      </c>
      <c r="AA466">
        <f>VLOOKUP(Table9[[#This Row],[Shortname]], Comp[], 24, FALSE)</f>
        <v>0</v>
      </c>
      <c r="AB466">
        <f>VLOOKUP(Table9[[#This Row],[Shortname]], Comp[], 25, FALSE)</f>
        <v>0.53769866841658975</v>
      </c>
      <c r="AC466">
        <f>VLOOKUP(Table9[[#This Row],[Shortname]], Comp[], 26, FALSE)</f>
        <v>0</v>
      </c>
      <c r="AD466">
        <f>VLOOKUP(Table9[[#This Row],[Shortname]], Comp[], 27, FALSE)</f>
        <v>0</v>
      </c>
      <c r="AE466">
        <f>VLOOKUP(Table9[[#This Row],[Shortname]], Comp[], 28, FALSE)</f>
        <v>0</v>
      </c>
      <c r="AF466">
        <f>VLOOKUP(Table9[[#This Row],[Shortname]], Comp[], 29, FALSE)</f>
        <v>0</v>
      </c>
      <c r="AG466">
        <f>VLOOKUP(Table9[[#This Row],[Shortname]], Comp[], 30, FALSE)</f>
        <v>0</v>
      </c>
      <c r="AH466">
        <f>VLOOKUP(Table9[[#This Row],[Shortname]], Comp[], 31, FALSE)</f>
        <v>0</v>
      </c>
    </row>
    <row r="467" spans="1:34" x14ac:dyDescent="0.3">
      <c r="A467" t="s">
        <v>2190</v>
      </c>
      <c r="B467" t="s">
        <v>1475</v>
      </c>
      <c r="C467" t="s">
        <v>2179</v>
      </c>
      <c r="D467">
        <v>560</v>
      </c>
      <c r="E467">
        <v>25</v>
      </c>
      <c r="F467">
        <v>1E-4</v>
      </c>
      <c r="G467">
        <v>-1</v>
      </c>
      <c r="H467" t="s">
        <v>6849</v>
      </c>
      <c r="I467">
        <f>VLOOKUP(Table9[[#This Row],[Shortname]], Comp[], 6, FALSE)</f>
        <v>289</v>
      </c>
      <c r="J467" s="14">
        <f>VLOOKUP(Table9[[#This Row],[Shortname]], Comp[], 7, FALSE)</f>
        <v>58.945736155988662</v>
      </c>
      <c r="K467">
        <f>VLOOKUP(Table9[[#This Row],[Shortname]], Comp[], 8, FALSE)</f>
        <v>16.016412425311604</v>
      </c>
      <c r="L467">
        <f>VLOOKUP(Table9[[#This Row],[Shortname]], Comp[], 9, FALSE)</f>
        <v>9.2906509967515536</v>
      </c>
      <c r="M467">
        <f>VLOOKUP(Table9[[#This Row],[Shortname]], Comp[], 10, FALSE)</f>
        <v>6.0264334082032844</v>
      </c>
      <c r="N467">
        <f>VLOOKUP(Table9[[#This Row],[Shortname]], Comp[], 11, FALSE)</f>
        <v>3.4089472529692992</v>
      </c>
      <c r="O467">
        <f>VLOOKUP(Table9[[#This Row],[Shortname]], Comp[],12, FALSE)</f>
        <v>2.61441267776011</v>
      </c>
      <c r="P467">
        <f>VLOOKUP(Table9[[#This Row],[Shortname]], Comp[], 13, FALSE)</f>
        <v>2.7707139562790877</v>
      </c>
      <c r="Q467">
        <f>VLOOKUP(Table9[[#This Row],[Shortname]], Comp[], 14, FALSE)</f>
        <v>0</v>
      </c>
      <c r="R467">
        <f>VLOOKUP(Table9[[#This Row],[Shortname]], Comp[], 15, FALSE)</f>
        <v>0</v>
      </c>
      <c r="S467">
        <f>VLOOKUP(Table9[[#This Row],[Shortname]], Comp[], 16, FALSE)</f>
        <v>0</v>
      </c>
      <c r="T467">
        <f>VLOOKUP(Table9[[#This Row],[Shortname]], Comp[], 17, FALSE)</f>
        <v>0.26088621388139049</v>
      </c>
      <c r="U467">
        <f>VLOOKUP(Table9[[#This Row],[Shortname]], Comp[], 18, FALSE)</f>
        <v>0</v>
      </c>
      <c r="V467">
        <f>VLOOKUP(Table9[[#This Row],[Shortname]], Comp[], 19, FALSE)</f>
        <v>0.13913802693488458</v>
      </c>
      <c r="W467">
        <f>VLOOKUP(Table9[[#This Row],[Shortname]], Comp[], 20, FALSE)</f>
        <v>0</v>
      </c>
      <c r="X467">
        <f>VLOOKUP(Table9[[#This Row],[Shortname]], Comp[], 21, FALSE)</f>
        <v>0</v>
      </c>
      <c r="Y467">
        <f>VLOOKUP(Table9[[#This Row],[Shortname]], Comp[], 22, FALSE)</f>
        <v>0</v>
      </c>
      <c r="Z467">
        <f>VLOOKUP(Table9[[#This Row],[Shortname]], Comp[], 23, FALSE)</f>
        <v>0</v>
      </c>
      <c r="AA467">
        <f>VLOOKUP(Table9[[#This Row],[Shortname]], Comp[], 24, FALSE)</f>
        <v>0</v>
      </c>
      <c r="AB467">
        <f>VLOOKUP(Table9[[#This Row],[Shortname]], Comp[], 25, FALSE)</f>
        <v>0.5266688859201154</v>
      </c>
      <c r="AC467">
        <f>VLOOKUP(Table9[[#This Row],[Shortname]], Comp[], 26, FALSE)</f>
        <v>0</v>
      </c>
      <c r="AD467">
        <f>VLOOKUP(Table9[[#This Row],[Shortname]], Comp[], 27, FALSE)</f>
        <v>0</v>
      </c>
      <c r="AE467">
        <f>VLOOKUP(Table9[[#This Row],[Shortname]], Comp[], 28, FALSE)</f>
        <v>0</v>
      </c>
      <c r="AF467">
        <f>VLOOKUP(Table9[[#This Row],[Shortname]], Comp[], 29, FALSE)</f>
        <v>0</v>
      </c>
      <c r="AG467">
        <f>VLOOKUP(Table9[[#This Row],[Shortname]], Comp[], 30, FALSE)</f>
        <v>0</v>
      </c>
      <c r="AH467">
        <f>VLOOKUP(Table9[[#This Row],[Shortname]], Comp[], 31, FALSE)</f>
        <v>0</v>
      </c>
    </row>
    <row r="468" spans="1:34" x14ac:dyDescent="0.3">
      <c r="A468" t="s">
        <v>2176</v>
      </c>
      <c r="B468" t="s">
        <v>2178</v>
      </c>
      <c r="C468" t="s">
        <v>2179</v>
      </c>
      <c r="D468">
        <v>543</v>
      </c>
      <c r="E468">
        <v>25</v>
      </c>
      <c r="F468">
        <v>1E-4</v>
      </c>
      <c r="G468">
        <v>-1</v>
      </c>
      <c r="H468" t="s">
        <v>6849</v>
      </c>
      <c r="I468">
        <f>VLOOKUP(Table9[[#This Row],[Shortname]], Comp[], 6, FALSE)</f>
        <v>288</v>
      </c>
      <c r="J468" s="14">
        <f>VLOOKUP(Table9[[#This Row],[Shortname]], Comp[], 7, FALSE)</f>
        <v>54.751794346763752</v>
      </c>
      <c r="K468">
        <f>VLOOKUP(Table9[[#This Row],[Shortname]], Comp[], 8, FALSE)</f>
        <v>16.351836731071355</v>
      </c>
      <c r="L468">
        <f>VLOOKUP(Table9[[#This Row],[Shortname]], Comp[], 9, FALSE)</f>
        <v>9.4852207966473578</v>
      </c>
      <c r="M468">
        <f>VLOOKUP(Table9[[#This Row],[Shortname]], Comp[], 10, FALSE)</f>
        <v>6.152642211303248</v>
      </c>
      <c r="N468">
        <f>VLOOKUP(Table9[[#This Row],[Shortname]], Comp[], 11, FALSE)</f>
        <v>3.4803392560805455</v>
      </c>
      <c r="O468">
        <f>VLOOKUP(Table9[[#This Row],[Shortname]], Comp[],12, FALSE)</f>
        <v>2.6691651113338928</v>
      </c>
      <c r="P468">
        <f>VLOOKUP(Table9[[#This Row],[Shortname]], Comp[], 13, FALSE)</f>
        <v>2.8287397351217352</v>
      </c>
      <c r="Q468">
        <f>VLOOKUP(Table9[[#This Row],[Shortname]], Comp[], 14, FALSE)</f>
        <v>0</v>
      </c>
      <c r="R468">
        <f>VLOOKUP(Table9[[#This Row],[Shortname]], Comp[], 15, FALSE)</f>
        <v>0</v>
      </c>
      <c r="S468">
        <f>VLOOKUP(Table9[[#This Row],[Shortname]], Comp[], 16, FALSE)</f>
        <v>3.3341613800825822</v>
      </c>
      <c r="T468">
        <f>VLOOKUP(Table9[[#This Row],[Shortname]], Comp[], 17, FALSE)</f>
        <v>0.26634983300218446</v>
      </c>
      <c r="U468">
        <f>VLOOKUP(Table9[[#This Row],[Shortname]], Comp[], 18, FALSE)</f>
        <v>0</v>
      </c>
      <c r="V468">
        <f>VLOOKUP(Table9[[#This Row],[Shortname]], Comp[], 19, FALSE)</f>
        <v>0.1420519301767654</v>
      </c>
      <c r="W468">
        <f>VLOOKUP(Table9[[#This Row],[Shortname]], Comp[], 20, FALSE)</f>
        <v>0</v>
      </c>
      <c r="X468">
        <f>VLOOKUP(Table9[[#This Row],[Shortname]], Comp[], 21, FALSE)</f>
        <v>0</v>
      </c>
      <c r="Y468">
        <f>VLOOKUP(Table9[[#This Row],[Shortname]], Comp[], 22, FALSE)</f>
        <v>0</v>
      </c>
      <c r="Z468">
        <f>VLOOKUP(Table9[[#This Row],[Shortname]], Comp[], 23, FALSE)</f>
        <v>0</v>
      </c>
      <c r="AA468">
        <f>VLOOKUP(Table9[[#This Row],[Shortname]], Comp[], 24, FALSE)</f>
        <v>0</v>
      </c>
      <c r="AB468">
        <f>VLOOKUP(Table9[[#This Row],[Shortname]], Comp[], 25, FALSE)</f>
        <v>0.53769866841658975</v>
      </c>
      <c r="AC468">
        <f>VLOOKUP(Table9[[#This Row],[Shortname]], Comp[], 26, FALSE)</f>
        <v>0</v>
      </c>
      <c r="AD468">
        <f>VLOOKUP(Table9[[#This Row],[Shortname]], Comp[], 27, FALSE)</f>
        <v>0</v>
      </c>
      <c r="AE468">
        <f>VLOOKUP(Table9[[#This Row],[Shortname]], Comp[], 28, FALSE)</f>
        <v>0</v>
      </c>
      <c r="AF468">
        <f>VLOOKUP(Table9[[#This Row],[Shortname]], Comp[], 29, FALSE)</f>
        <v>0</v>
      </c>
      <c r="AG468">
        <f>VLOOKUP(Table9[[#This Row],[Shortname]], Comp[], 30, FALSE)</f>
        <v>0</v>
      </c>
      <c r="AH468">
        <f>VLOOKUP(Table9[[#This Row],[Shortname]], Comp[], 31, FALSE)</f>
        <v>0</v>
      </c>
    </row>
    <row r="469" spans="1:34" x14ac:dyDescent="0.3">
      <c r="A469" t="s">
        <v>2461</v>
      </c>
      <c r="B469" t="s">
        <v>5239</v>
      </c>
      <c r="C469" t="s">
        <v>5240</v>
      </c>
      <c r="D469">
        <v>495</v>
      </c>
      <c r="E469">
        <v>25</v>
      </c>
      <c r="F469">
        <v>1E-3</v>
      </c>
      <c r="G469">
        <v>-1</v>
      </c>
      <c r="H469" t="s">
        <v>6850</v>
      </c>
      <c r="I469">
        <f>VLOOKUP(Table9[[#This Row],[Shortname]], Comp[], 6, FALSE)</f>
        <v>325</v>
      </c>
      <c r="J469" s="14">
        <f>VLOOKUP(Table9[[#This Row],[Shortname]], Comp[], 7, FALSE)</f>
        <v>67</v>
      </c>
      <c r="K469">
        <f>VLOOKUP(Table9[[#This Row],[Shortname]], Comp[], 8, FALSE)</f>
        <v>15.9</v>
      </c>
      <c r="L469">
        <f>VLOOKUP(Table9[[#This Row],[Shortname]], Comp[], 9, FALSE)</f>
        <v>13.6</v>
      </c>
      <c r="M469">
        <f>VLOOKUP(Table9[[#This Row],[Shortname]], Comp[], 10, FALSE)</f>
        <v>0</v>
      </c>
      <c r="N469">
        <f>VLOOKUP(Table9[[#This Row],[Shortname]], Comp[], 11, FALSE)</f>
        <v>1.9</v>
      </c>
      <c r="O469">
        <f>VLOOKUP(Table9[[#This Row],[Shortname]], Comp[],12, FALSE)</f>
        <v>0</v>
      </c>
      <c r="P469">
        <f>VLOOKUP(Table9[[#This Row],[Shortname]], Comp[], 13, FALSE)</f>
        <v>0.7</v>
      </c>
      <c r="Q469">
        <f>VLOOKUP(Table9[[#This Row],[Shortname]], Comp[], 14, FALSE)</f>
        <v>0</v>
      </c>
      <c r="R469">
        <f>VLOOKUP(Table9[[#This Row],[Shortname]], Comp[], 15, FALSE)</f>
        <v>0</v>
      </c>
      <c r="S469">
        <f>VLOOKUP(Table9[[#This Row],[Shortname]], Comp[], 16, FALSE)</f>
        <v>0.6</v>
      </c>
      <c r="T469">
        <f>VLOOKUP(Table9[[#This Row],[Shortname]], Comp[], 17, FALSE)</f>
        <v>0</v>
      </c>
      <c r="U469">
        <f>VLOOKUP(Table9[[#This Row],[Shortname]], Comp[], 18, FALSE)</f>
        <v>0</v>
      </c>
      <c r="V469">
        <f>VLOOKUP(Table9[[#This Row],[Shortname]], Comp[], 19, FALSE)</f>
        <v>0</v>
      </c>
      <c r="W469">
        <f>VLOOKUP(Table9[[#This Row],[Shortname]], Comp[], 20, FALSE)</f>
        <v>0</v>
      </c>
      <c r="X469">
        <f>VLOOKUP(Table9[[#This Row],[Shortname]], Comp[], 21, FALSE)</f>
        <v>0.3</v>
      </c>
      <c r="Y469">
        <f>VLOOKUP(Table9[[#This Row],[Shortname]], Comp[], 22, FALSE)</f>
        <v>0</v>
      </c>
      <c r="Z469">
        <f>VLOOKUP(Table9[[#This Row],[Shortname]], Comp[], 23, FALSE)</f>
        <v>0</v>
      </c>
      <c r="AA469">
        <f>VLOOKUP(Table9[[#This Row],[Shortname]], Comp[], 24, FALSE)</f>
        <v>0</v>
      </c>
      <c r="AB469">
        <f>VLOOKUP(Table9[[#This Row],[Shortname]], Comp[], 25, FALSE)</f>
        <v>0</v>
      </c>
      <c r="AC469">
        <f>VLOOKUP(Table9[[#This Row],[Shortname]], Comp[], 26, FALSE)</f>
        <v>0</v>
      </c>
      <c r="AD469">
        <f>VLOOKUP(Table9[[#This Row],[Shortname]], Comp[], 27, FALSE)</f>
        <v>0</v>
      </c>
      <c r="AE469">
        <f>VLOOKUP(Table9[[#This Row],[Shortname]], Comp[], 28, FALSE)</f>
        <v>0</v>
      </c>
      <c r="AF469">
        <f>VLOOKUP(Table9[[#This Row],[Shortname]], Comp[], 29, FALSE)</f>
        <v>0</v>
      </c>
      <c r="AG469">
        <f>VLOOKUP(Table9[[#This Row],[Shortname]], Comp[], 30, FALSE)</f>
        <v>0</v>
      </c>
      <c r="AH469">
        <f>VLOOKUP(Table9[[#This Row],[Shortname]], Comp[], 31, FALSE)</f>
        <v>0</v>
      </c>
    </row>
    <row r="470" spans="1:34" x14ac:dyDescent="0.3">
      <c r="A470" t="s">
        <v>2461</v>
      </c>
      <c r="B470" t="s">
        <v>5239</v>
      </c>
      <c r="C470" t="s">
        <v>5240</v>
      </c>
      <c r="D470">
        <v>505</v>
      </c>
      <c r="E470">
        <v>600</v>
      </c>
      <c r="F470">
        <v>1E-3</v>
      </c>
      <c r="G470">
        <v>-1</v>
      </c>
      <c r="H470" t="s">
        <v>6850</v>
      </c>
      <c r="I470">
        <f>VLOOKUP(Table9[[#This Row],[Shortname]], Comp[], 6, FALSE)</f>
        <v>325</v>
      </c>
      <c r="J470" s="14">
        <f>VLOOKUP(Table9[[#This Row],[Shortname]], Comp[], 7, FALSE)</f>
        <v>67</v>
      </c>
      <c r="K470">
        <f>VLOOKUP(Table9[[#This Row],[Shortname]], Comp[], 8, FALSE)</f>
        <v>15.9</v>
      </c>
      <c r="L470">
        <f>VLOOKUP(Table9[[#This Row],[Shortname]], Comp[], 9, FALSE)</f>
        <v>13.6</v>
      </c>
      <c r="M470">
        <f>VLOOKUP(Table9[[#This Row],[Shortname]], Comp[], 10, FALSE)</f>
        <v>0</v>
      </c>
      <c r="N470">
        <f>VLOOKUP(Table9[[#This Row],[Shortname]], Comp[], 11, FALSE)</f>
        <v>1.9</v>
      </c>
      <c r="O470">
        <f>VLOOKUP(Table9[[#This Row],[Shortname]], Comp[],12, FALSE)</f>
        <v>0</v>
      </c>
      <c r="P470">
        <f>VLOOKUP(Table9[[#This Row],[Shortname]], Comp[], 13, FALSE)</f>
        <v>0.7</v>
      </c>
      <c r="Q470">
        <f>VLOOKUP(Table9[[#This Row],[Shortname]], Comp[], 14, FALSE)</f>
        <v>0</v>
      </c>
      <c r="R470">
        <f>VLOOKUP(Table9[[#This Row],[Shortname]], Comp[], 15, FALSE)</f>
        <v>0</v>
      </c>
      <c r="S470">
        <f>VLOOKUP(Table9[[#This Row],[Shortname]], Comp[], 16, FALSE)</f>
        <v>0.6</v>
      </c>
      <c r="T470">
        <f>VLOOKUP(Table9[[#This Row],[Shortname]], Comp[], 17, FALSE)</f>
        <v>0</v>
      </c>
      <c r="U470">
        <f>VLOOKUP(Table9[[#This Row],[Shortname]], Comp[], 18, FALSE)</f>
        <v>0</v>
      </c>
      <c r="V470">
        <f>VLOOKUP(Table9[[#This Row],[Shortname]], Comp[], 19, FALSE)</f>
        <v>0</v>
      </c>
      <c r="W470">
        <f>VLOOKUP(Table9[[#This Row],[Shortname]], Comp[], 20, FALSE)</f>
        <v>0</v>
      </c>
      <c r="X470">
        <f>VLOOKUP(Table9[[#This Row],[Shortname]], Comp[], 21, FALSE)</f>
        <v>0.3</v>
      </c>
      <c r="Y470">
        <f>VLOOKUP(Table9[[#This Row],[Shortname]], Comp[], 22, FALSE)</f>
        <v>0</v>
      </c>
      <c r="Z470">
        <f>VLOOKUP(Table9[[#This Row],[Shortname]], Comp[], 23, FALSE)</f>
        <v>0</v>
      </c>
      <c r="AA470">
        <f>VLOOKUP(Table9[[#This Row],[Shortname]], Comp[], 24, FALSE)</f>
        <v>0</v>
      </c>
      <c r="AB470">
        <f>VLOOKUP(Table9[[#This Row],[Shortname]], Comp[], 25, FALSE)</f>
        <v>0</v>
      </c>
      <c r="AC470">
        <f>VLOOKUP(Table9[[#This Row],[Shortname]], Comp[], 26, FALSE)</f>
        <v>0</v>
      </c>
      <c r="AD470">
        <f>VLOOKUP(Table9[[#This Row],[Shortname]], Comp[], 27, FALSE)</f>
        <v>0</v>
      </c>
      <c r="AE470">
        <f>VLOOKUP(Table9[[#This Row],[Shortname]], Comp[], 28, FALSE)</f>
        <v>0</v>
      </c>
      <c r="AF470">
        <f>VLOOKUP(Table9[[#This Row],[Shortname]], Comp[], 29, FALSE)</f>
        <v>0</v>
      </c>
      <c r="AG470">
        <f>VLOOKUP(Table9[[#This Row],[Shortname]], Comp[], 30, FALSE)</f>
        <v>0</v>
      </c>
      <c r="AH470">
        <f>VLOOKUP(Table9[[#This Row],[Shortname]], Comp[], 31, FALSE)</f>
        <v>0</v>
      </c>
    </row>
    <row r="471" spans="1:34" x14ac:dyDescent="0.3">
      <c r="A471" t="s">
        <v>2461</v>
      </c>
      <c r="B471" t="s">
        <v>5239</v>
      </c>
      <c r="C471" t="s">
        <v>5240</v>
      </c>
      <c r="D471">
        <v>486</v>
      </c>
      <c r="E471">
        <v>700</v>
      </c>
      <c r="F471">
        <v>1E-3</v>
      </c>
      <c r="G471">
        <v>-1</v>
      </c>
      <c r="H471" t="s">
        <v>6850</v>
      </c>
      <c r="I471">
        <f>VLOOKUP(Table9[[#This Row],[Shortname]], Comp[], 6, FALSE)</f>
        <v>325</v>
      </c>
      <c r="J471" s="14">
        <f>VLOOKUP(Table9[[#This Row],[Shortname]], Comp[], 7, FALSE)</f>
        <v>67</v>
      </c>
      <c r="K471">
        <f>VLOOKUP(Table9[[#This Row],[Shortname]], Comp[], 8, FALSE)</f>
        <v>15.9</v>
      </c>
      <c r="L471">
        <f>VLOOKUP(Table9[[#This Row],[Shortname]], Comp[], 9, FALSE)</f>
        <v>13.6</v>
      </c>
      <c r="M471">
        <f>VLOOKUP(Table9[[#This Row],[Shortname]], Comp[], 10, FALSE)</f>
        <v>0</v>
      </c>
      <c r="N471">
        <f>VLOOKUP(Table9[[#This Row],[Shortname]], Comp[], 11, FALSE)</f>
        <v>1.9</v>
      </c>
      <c r="O471">
        <f>VLOOKUP(Table9[[#This Row],[Shortname]], Comp[],12, FALSE)</f>
        <v>0</v>
      </c>
      <c r="P471">
        <f>VLOOKUP(Table9[[#This Row],[Shortname]], Comp[], 13, FALSE)</f>
        <v>0.7</v>
      </c>
      <c r="Q471">
        <f>VLOOKUP(Table9[[#This Row],[Shortname]], Comp[], 14, FALSE)</f>
        <v>0</v>
      </c>
      <c r="R471">
        <f>VLOOKUP(Table9[[#This Row],[Shortname]], Comp[], 15, FALSE)</f>
        <v>0</v>
      </c>
      <c r="S471">
        <f>VLOOKUP(Table9[[#This Row],[Shortname]], Comp[], 16, FALSE)</f>
        <v>0.6</v>
      </c>
      <c r="T471">
        <f>VLOOKUP(Table9[[#This Row],[Shortname]], Comp[], 17, FALSE)</f>
        <v>0</v>
      </c>
      <c r="U471">
        <f>VLOOKUP(Table9[[#This Row],[Shortname]], Comp[], 18, FALSE)</f>
        <v>0</v>
      </c>
      <c r="V471">
        <f>VLOOKUP(Table9[[#This Row],[Shortname]], Comp[], 19, FALSE)</f>
        <v>0</v>
      </c>
      <c r="W471">
        <f>VLOOKUP(Table9[[#This Row],[Shortname]], Comp[], 20, FALSE)</f>
        <v>0</v>
      </c>
      <c r="X471">
        <f>VLOOKUP(Table9[[#This Row],[Shortname]], Comp[], 21, FALSE)</f>
        <v>0.3</v>
      </c>
      <c r="Y471">
        <f>VLOOKUP(Table9[[#This Row],[Shortname]], Comp[], 22, FALSE)</f>
        <v>0</v>
      </c>
      <c r="Z471">
        <f>VLOOKUP(Table9[[#This Row],[Shortname]], Comp[], 23, FALSE)</f>
        <v>0</v>
      </c>
      <c r="AA471">
        <f>VLOOKUP(Table9[[#This Row],[Shortname]], Comp[], 24, FALSE)</f>
        <v>0</v>
      </c>
      <c r="AB471">
        <f>VLOOKUP(Table9[[#This Row],[Shortname]], Comp[], 25, FALSE)</f>
        <v>0</v>
      </c>
      <c r="AC471">
        <f>VLOOKUP(Table9[[#This Row],[Shortname]], Comp[], 26, FALSE)</f>
        <v>0</v>
      </c>
      <c r="AD471">
        <f>VLOOKUP(Table9[[#This Row],[Shortname]], Comp[], 27, FALSE)</f>
        <v>0</v>
      </c>
      <c r="AE471">
        <f>VLOOKUP(Table9[[#This Row],[Shortname]], Comp[], 28, FALSE)</f>
        <v>0</v>
      </c>
      <c r="AF471">
        <f>VLOOKUP(Table9[[#This Row],[Shortname]], Comp[], 29, FALSE)</f>
        <v>0</v>
      </c>
      <c r="AG471">
        <f>VLOOKUP(Table9[[#This Row],[Shortname]], Comp[], 30, FALSE)</f>
        <v>0</v>
      </c>
      <c r="AH471">
        <f>VLOOKUP(Table9[[#This Row],[Shortname]], Comp[], 31, FALSE)</f>
        <v>0</v>
      </c>
    </row>
    <row r="472" spans="1:34" x14ac:dyDescent="0.3">
      <c r="A472" t="s">
        <v>2461</v>
      </c>
      <c r="B472" t="s">
        <v>5239</v>
      </c>
      <c r="C472" t="s">
        <v>5240</v>
      </c>
      <c r="D472">
        <v>398</v>
      </c>
      <c r="E472">
        <v>800</v>
      </c>
      <c r="F472">
        <v>1E-3</v>
      </c>
      <c r="G472">
        <v>-1</v>
      </c>
      <c r="H472" t="s">
        <v>6850</v>
      </c>
      <c r="I472">
        <f>VLOOKUP(Table9[[#This Row],[Shortname]], Comp[], 6, FALSE)</f>
        <v>325</v>
      </c>
      <c r="J472" s="14">
        <f>VLOOKUP(Table9[[#This Row],[Shortname]], Comp[], 7, FALSE)</f>
        <v>67</v>
      </c>
      <c r="K472">
        <f>VLOOKUP(Table9[[#This Row],[Shortname]], Comp[], 8, FALSE)</f>
        <v>15.9</v>
      </c>
      <c r="L472">
        <f>VLOOKUP(Table9[[#This Row],[Shortname]], Comp[], 9, FALSE)</f>
        <v>13.6</v>
      </c>
      <c r="M472">
        <f>VLOOKUP(Table9[[#This Row],[Shortname]], Comp[], 10, FALSE)</f>
        <v>0</v>
      </c>
      <c r="N472">
        <f>VLOOKUP(Table9[[#This Row],[Shortname]], Comp[], 11, FALSE)</f>
        <v>1.9</v>
      </c>
      <c r="O472">
        <f>VLOOKUP(Table9[[#This Row],[Shortname]], Comp[],12, FALSE)</f>
        <v>0</v>
      </c>
      <c r="P472">
        <f>VLOOKUP(Table9[[#This Row],[Shortname]], Comp[], 13, FALSE)</f>
        <v>0.7</v>
      </c>
      <c r="Q472">
        <f>VLOOKUP(Table9[[#This Row],[Shortname]], Comp[], 14, FALSE)</f>
        <v>0</v>
      </c>
      <c r="R472">
        <f>VLOOKUP(Table9[[#This Row],[Shortname]], Comp[], 15, FALSE)</f>
        <v>0</v>
      </c>
      <c r="S472">
        <f>VLOOKUP(Table9[[#This Row],[Shortname]], Comp[], 16, FALSE)</f>
        <v>0.6</v>
      </c>
      <c r="T472">
        <f>VLOOKUP(Table9[[#This Row],[Shortname]], Comp[], 17, FALSE)</f>
        <v>0</v>
      </c>
      <c r="U472">
        <f>VLOOKUP(Table9[[#This Row],[Shortname]], Comp[], 18, FALSE)</f>
        <v>0</v>
      </c>
      <c r="V472">
        <f>VLOOKUP(Table9[[#This Row],[Shortname]], Comp[], 19, FALSE)</f>
        <v>0</v>
      </c>
      <c r="W472">
        <f>VLOOKUP(Table9[[#This Row],[Shortname]], Comp[], 20, FALSE)</f>
        <v>0</v>
      </c>
      <c r="X472">
        <f>VLOOKUP(Table9[[#This Row],[Shortname]], Comp[], 21, FALSE)</f>
        <v>0.3</v>
      </c>
      <c r="Y472">
        <f>VLOOKUP(Table9[[#This Row],[Shortname]], Comp[], 22, FALSE)</f>
        <v>0</v>
      </c>
      <c r="Z472">
        <f>VLOOKUP(Table9[[#This Row],[Shortname]], Comp[], 23, FALSE)</f>
        <v>0</v>
      </c>
      <c r="AA472">
        <f>VLOOKUP(Table9[[#This Row],[Shortname]], Comp[], 24, FALSE)</f>
        <v>0</v>
      </c>
      <c r="AB472">
        <f>VLOOKUP(Table9[[#This Row],[Shortname]], Comp[], 25, FALSE)</f>
        <v>0</v>
      </c>
      <c r="AC472">
        <f>VLOOKUP(Table9[[#This Row],[Shortname]], Comp[], 26, FALSE)</f>
        <v>0</v>
      </c>
      <c r="AD472">
        <f>VLOOKUP(Table9[[#This Row],[Shortname]], Comp[], 27, FALSE)</f>
        <v>0</v>
      </c>
      <c r="AE472">
        <f>VLOOKUP(Table9[[#This Row],[Shortname]], Comp[], 28, FALSE)</f>
        <v>0</v>
      </c>
      <c r="AF472">
        <f>VLOOKUP(Table9[[#This Row],[Shortname]], Comp[], 29, FALSE)</f>
        <v>0</v>
      </c>
      <c r="AG472">
        <f>VLOOKUP(Table9[[#This Row],[Shortname]], Comp[], 30, FALSE)</f>
        <v>0</v>
      </c>
      <c r="AH472">
        <f>VLOOKUP(Table9[[#This Row],[Shortname]], Comp[], 31, FALSE)</f>
        <v>0</v>
      </c>
    </row>
    <row r="473" spans="1:34" x14ac:dyDescent="0.3">
      <c r="A473" t="s">
        <v>2461</v>
      </c>
      <c r="B473" t="s">
        <v>5239</v>
      </c>
      <c r="C473" t="s">
        <v>5240</v>
      </c>
      <c r="D473">
        <v>250</v>
      </c>
      <c r="E473">
        <v>900</v>
      </c>
      <c r="F473">
        <v>1E-3</v>
      </c>
      <c r="G473">
        <v>-1</v>
      </c>
      <c r="H473" t="s">
        <v>6850</v>
      </c>
      <c r="I473">
        <f>VLOOKUP(Table9[[#This Row],[Shortname]], Comp[], 6, FALSE)</f>
        <v>325</v>
      </c>
      <c r="J473" s="14">
        <f>VLOOKUP(Table9[[#This Row],[Shortname]], Comp[], 7, FALSE)</f>
        <v>67</v>
      </c>
      <c r="K473">
        <f>VLOOKUP(Table9[[#This Row],[Shortname]], Comp[], 8, FALSE)</f>
        <v>15.9</v>
      </c>
      <c r="L473">
        <f>VLOOKUP(Table9[[#This Row],[Shortname]], Comp[], 9, FALSE)</f>
        <v>13.6</v>
      </c>
      <c r="M473">
        <f>VLOOKUP(Table9[[#This Row],[Shortname]], Comp[], 10, FALSE)</f>
        <v>0</v>
      </c>
      <c r="N473">
        <f>VLOOKUP(Table9[[#This Row],[Shortname]], Comp[], 11, FALSE)</f>
        <v>1.9</v>
      </c>
      <c r="O473">
        <f>VLOOKUP(Table9[[#This Row],[Shortname]], Comp[],12, FALSE)</f>
        <v>0</v>
      </c>
      <c r="P473">
        <f>VLOOKUP(Table9[[#This Row],[Shortname]], Comp[], 13, FALSE)</f>
        <v>0.7</v>
      </c>
      <c r="Q473">
        <f>VLOOKUP(Table9[[#This Row],[Shortname]], Comp[], 14, FALSE)</f>
        <v>0</v>
      </c>
      <c r="R473">
        <f>VLOOKUP(Table9[[#This Row],[Shortname]], Comp[], 15, FALSE)</f>
        <v>0</v>
      </c>
      <c r="S473">
        <f>VLOOKUP(Table9[[#This Row],[Shortname]], Comp[], 16, FALSE)</f>
        <v>0.6</v>
      </c>
      <c r="T473">
        <f>VLOOKUP(Table9[[#This Row],[Shortname]], Comp[], 17, FALSE)</f>
        <v>0</v>
      </c>
      <c r="U473">
        <f>VLOOKUP(Table9[[#This Row],[Shortname]], Comp[], 18, FALSE)</f>
        <v>0</v>
      </c>
      <c r="V473">
        <f>VLOOKUP(Table9[[#This Row],[Shortname]], Comp[], 19, FALSE)</f>
        <v>0</v>
      </c>
      <c r="W473">
        <f>VLOOKUP(Table9[[#This Row],[Shortname]], Comp[], 20, FALSE)</f>
        <v>0</v>
      </c>
      <c r="X473">
        <f>VLOOKUP(Table9[[#This Row],[Shortname]], Comp[], 21, FALSE)</f>
        <v>0.3</v>
      </c>
      <c r="Y473">
        <f>VLOOKUP(Table9[[#This Row],[Shortname]], Comp[], 22, FALSE)</f>
        <v>0</v>
      </c>
      <c r="Z473">
        <f>VLOOKUP(Table9[[#This Row],[Shortname]], Comp[], 23, FALSE)</f>
        <v>0</v>
      </c>
      <c r="AA473">
        <f>VLOOKUP(Table9[[#This Row],[Shortname]], Comp[], 24, FALSE)</f>
        <v>0</v>
      </c>
      <c r="AB473">
        <f>VLOOKUP(Table9[[#This Row],[Shortname]], Comp[], 25, FALSE)</f>
        <v>0</v>
      </c>
      <c r="AC473">
        <f>VLOOKUP(Table9[[#This Row],[Shortname]], Comp[], 26, FALSE)</f>
        <v>0</v>
      </c>
      <c r="AD473">
        <f>VLOOKUP(Table9[[#This Row],[Shortname]], Comp[], 27, FALSE)</f>
        <v>0</v>
      </c>
      <c r="AE473">
        <f>VLOOKUP(Table9[[#This Row],[Shortname]], Comp[], 28, FALSE)</f>
        <v>0</v>
      </c>
      <c r="AF473">
        <f>VLOOKUP(Table9[[#This Row],[Shortname]], Comp[], 29, FALSE)</f>
        <v>0</v>
      </c>
      <c r="AG473">
        <f>VLOOKUP(Table9[[#This Row],[Shortname]], Comp[], 30, FALSE)</f>
        <v>0</v>
      </c>
      <c r="AH473">
        <f>VLOOKUP(Table9[[#This Row],[Shortname]], Comp[], 31, FALSE)</f>
        <v>0</v>
      </c>
    </row>
    <row r="474" spans="1:34" x14ac:dyDescent="0.3">
      <c r="A474" t="s">
        <v>2461</v>
      </c>
      <c r="B474" t="s">
        <v>5239</v>
      </c>
      <c r="C474" t="s">
        <v>5240</v>
      </c>
      <c r="D474">
        <v>100</v>
      </c>
      <c r="E474">
        <v>1000</v>
      </c>
      <c r="F474">
        <v>1E-3</v>
      </c>
      <c r="G474">
        <v>-1</v>
      </c>
      <c r="H474" t="s">
        <v>6850</v>
      </c>
      <c r="I474">
        <f>VLOOKUP(Table9[[#This Row],[Shortname]], Comp[], 6, FALSE)</f>
        <v>325</v>
      </c>
      <c r="J474" s="14">
        <f>VLOOKUP(Table9[[#This Row],[Shortname]], Comp[], 7, FALSE)</f>
        <v>67</v>
      </c>
      <c r="K474">
        <f>VLOOKUP(Table9[[#This Row],[Shortname]], Comp[], 8, FALSE)</f>
        <v>15.9</v>
      </c>
      <c r="L474">
        <f>VLOOKUP(Table9[[#This Row],[Shortname]], Comp[], 9, FALSE)</f>
        <v>13.6</v>
      </c>
      <c r="M474">
        <f>VLOOKUP(Table9[[#This Row],[Shortname]], Comp[], 10, FALSE)</f>
        <v>0</v>
      </c>
      <c r="N474">
        <f>VLOOKUP(Table9[[#This Row],[Shortname]], Comp[], 11, FALSE)</f>
        <v>1.9</v>
      </c>
      <c r="O474">
        <f>VLOOKUP(Table9[[#This Row],[Shortname]], Comp[],12, FALSE)</f>
        <v>0</v>
      </c>
      <c r="P474">
        <f>VLOOKUP(Table9[[#This Row],[Shortname]], Comp[], 13, FALSE)</f>
        <v>0.7</v>
      </c>
      <c r="Q474">
        <f>VLOOKUP(Table9[[#This Row],[Shortname]], Comp[], 14, FALSE)</f>
        <v>0</v>
      </c>
      <c r="R474">
        <f>VLOOKUP(Table9[[#This Row],[Shortname]], Comp[], 15, FALSE)</f>
        <v>0</v>
      </c>
      <c r="S474">
        <f>VLOOKUP(Table9[[#This Row],[Shortname]], Comp[], 16, FALSE)</f>
        <v>0.6</v>
      </c>
      <c r="T474">
        <f>VLOOKUP(Table9[[#This Row],[Shortname]], Comp[], 17, FALSE)</f>
        <v>0</v>
      </c>
      <c r="U474">
        <f>VLOOKUP(Table9[[#This Row],[Shortname]], Comp[], 18, FALSE)</f>
        <v>0</v>
      </c>
      <c r="V474">
        <f>VLOOKUP(Table9[[#This Row],[Shortname]], Comp[], 19, FALSE)</f>
        <v>0</v>
      </c>
      <c r="W474">
        <f>VLOOKUP(Table9[[#This Row],[Shortname]], Comp[], 20, FALSE)</f>
        <v>0</v>
      </c>
      <c r="X474">
        <f>VLOOKUP(Table9[[#This Row],[Shortname]], Comp[], 21, FALSE)</f>
        <v>0.3</v>
      </c>
      <c r="Y474">
        <f>VLOOKUP(Table9[[#This Row],[Shortname]], Comp[], 22, FALSE)</f>
        <v>0</v>
      </c>
      <c r="Z474">
        <f>VLOOKUP(Table9[[#This Row],[Shortname]], Comp[], 23, FALSE)</f>
        <v>0</v>
      </c>
      <c r="AA474">
        <f>VLOOKUP(Table9[[#This Row],[Shortname]], Comp[], 24, FALSE)</f>
        <v>0</v>
      </c>
      <c r="AB474">
        <f>VLOOKUP(Table9[[#This Row],[Shortname]], Comp[], 25, FALSE)</f>
        <v>0</v>
      </c>
      <c r="AC474">
        <f>VLOOKUP(Table9[[#This Row],[Shortname]], Comp[], 26, FALSE)</f>
        <v>0</v>
      </c>
      <c r="AD474">
        <f>VLOOKUP(Table9[[#This Row],[Shortname]], Comp[], 27, FALSE)</f>
        <v>0</v>
      </c>
      <c r="AE474">
        <f>VLOOKUP(Table9[[#This Row],[Shortname]], Comp[], 28, FALSE)</f>
        <v>0</v>
      </c>
      <c r="AF474">
        <f>VLOOKUP(Table9[[#This Row],[Shortname]], Comp[], 29, FALSE)</f>
        <v>0</v>
      </c>
      <c r="AG474">
        <f>VLOOKUP(Table9[[#This Row],[Shortname]], Comp[], 30, FALSE)</f>
        <v>0</v>
      </c>
      <c r="AH474">
        <f>VLOOKUP(Table9[[#This Row],[Shortname]], Comp[], 31, FALSE)</f>
        <v>0</v>
      </c>
    </row>
    <row r="475" spans="1:34" x14ac:dyDescent="0.3">
      <c r="A475" t="s">
        <v>1663</v>
      </c>
      <c r="B475" t="s">
        <v>5247</v>
      </c>
      <c r="C475" t="s">
        <v>6797</v>
      </c>
      <c r="D475">
        <v>708</v>
      </c>
      <c r="E475">
        <v>850</v>
      </c>
      <c r="F475">
        <v>1E-4</v>
      </c>
      <c r="G475">
        <v>1</v>
      </c>
      <c r="H475" t="s">
        <v>6849</v>
      </c>
      <c r="I475">
        <f>VLOOKUP(Table9[[#This Row],[Shortname]], Comp[], 6, FALSE)</f>
        <v>212</v>
      </c>
      <c r="J475" s="14">
        <f>VLOOKUP(Table9[[#This Row],[Shortname]], Comp[], 7, FALSE)</f>
        <v>59.199999999999996</v>
      </c>
      <c r="K475">
        <f>VLOOKUP(Table9[[#This Row],[Shortname]], Comp[], 8, FALSE)</f>
        <v>20.399999999999999</v>
      </c>
      <c r="L475">
        <f>VLOOKUP(Table9[[#This Row],[Shortname]], Comp[], 9, FALSE)</f>
        <v>9.8000000000000007</v>
      </c>
      <c r="M475">
        <f>VLOOKUP(Table9[[#This Row],[Shortname]], Comp[], 10, FALSE)</f>
        <v>0</v>
      </c>
      <c r="N475">
        <f>VLOOKUP(Table9[[#This Row],[Shortname]], Comp[], 11, FALSE)</f>
        <v>7.4</v>
      </c>
      <c r="O475">
        <f>VLOOKUP(Table9[[#This Row],[Shortname]], Comp[],12, FALSE)</f>
        <v>2.7</v>
      </c>
      <c r="P475">
        <f>VLOOKUP(Table9[[#This Row],[Shortname]], Comp[], 13, FALSE)</f>
        <v>0</v>
      </c>
      <c r="Q475">
        <f>VLOOKUP(Table9[[#This Row],[Shortname]], Comp[], 14, FALSE)</f>
        <v>0</v>
      </c>
      <c r="R475">
        <f>VLOOKUP(Table9[[#This Row],[Shortname]], Comp[], 15, FALSE)</f>
        <v>0</v>
      </c>
      <c r="S475">
        <f>VLOOKUP(Table9[[#This Row],[Shortname]], Comp[], 16, FALSE)</f>
        <v>0</v>
      </c>
      <c r="T475">
        <f>VLOOKUP(Table9[[#This Row],[Shortname]], Comp[], 17, FALSE)</f>
        <v>0.4</v>
      </c>
      <c r="U475">
        <f>VLOOKUP(Table9[[#This Row],[Shortname]], Comp[], 18, FALSE)</f>
        <v>0</v>
      </c>
      <c r="V475">
        <f>VLOOKUP(Table9[[#This Row],[Shortname]], Comp[], 19, FALSE)</f>
        <v>0.1</v>
      </c>
      <c r="W475">
        <f>VLOOKUP(Table9[[#This Row],[Shortname]], Comp[], 20, FALSE)</f>
        <v>0</v>
      </c>
      <c r="X475">
        <f>VLOOKUP(Table9[[#This Row],[Shortname]], Comp[], 21, FALSE)</f>
        <v>0</v>
      </c>
      <c r="Y475">
        <f>VLOOKUP(Table9[[#This Row],[Shortname]], Comp[], 22, FALSE)</f>
        <v>0</v>
      </c>
      <c r="Z475">
        <f>VLOOKUP(Table9[[#This Row],[Shortname]], Comp[], 23, FALSE)</f>
        <v>0</v>
      </c>
      <c r="AA475">
        <f>VLOOKUP(Table9[[#This Row],[Shortname]], Comp[], 24, FALSE)</f>
        <v>0</v>
      </c>
      <c r="AB475">
        <f>VLOOKUP(Table9[[#This Row],[Shortname]], Comp[], 25, FALSE)</f>
        <v>0</v>
      </c>
      <c r="AC475">
        <f>VLOOKUP(Table9[[#This Row],[Shortname]], Comp[], 26, FALSE)</f>
        <v>0</v>
      </c>
      <c r="AD475">
        <f>VLOOKUP(Table9[[#This Row],[Shortname]], Comp[], 27, FALSE)</f>
        <v>0</v>
      </c>
      <c r="AE475">
        <f>VLOOKUP(Table9[[#This Row],[Shortname]], Comp[], 28, FALSE)</f>
        <v>0</v>
      </c>
      <c r="AF475">
        <f>VLOOKUP(Table9[[#This Row],[Shortname]], Comp[], 29, FALSE)</f>
        <v>0</v>
      </c>
      <c r="AG475">
        <f>VLOOKUP(Table9[[#This Row],[Shortname]], Comp[], 30, FALSE)</f>
        <v>0</v>
      </c>
      <c r="AH475">
        <f>VLOOKUP(Table9[[#This Row],[Shortname]], Comp[], 31, FALSE)</f>
        <v>0</v>
      </c>
    </row>
    <row r="476" spans="1:34" x14ac:dyDescent="0.3">
      <c r="A476" t="s">
        <v>3182</v>
      </c>
      <c r="B476" t="s">
        <v>2897</v>
      </c>
      <c r="C476" t="s">
        <v>3176</v>
      </c>
      <c r="D476">
        <v>473</v>
      </c>
      <c r="E476">
        <v>870</v>
      </c>
      <c r="F476">
        <v>1E-4</v>
      </c>
      <c r="G476">
        <v>1</v>
      </c>
      <c r="H476" t="s">
        <v>6849</v>
      </c>
      <c r="I476">
        <f>VLOOKUP(Table9[[#This Row],[Shortname]], Comp[], 6, FALSE)</f>
        <v>446</v>
      </c>
      <c r="J476" s="14">
        <f>VLOOKUP(Table9[[#This Row],[Shortname]], Comp[], 7, FALSE)</f>
        <v>81.8</v>
      </c>
      <c r="K476">
        <f>VLOOKUP(Table9[[#This Row],[Shortname]], Comp[], 8, FALSE)</f>
        <v>0</v>
      </c>
      <c r="L476">
        <f>VLOOKUP(Table9[[#This Row],[Shortname]], Comp[], 9, FALSE)</f>
        <v>9.1999999999999993</v>
      </c>
      <c r="M476">
        <f>VLOOKUP(Table9[[#This Row],[Shortname]], Comp[], 10, FALSE)</f>
        <v>0</v>
      </c>
      <c r="N476">
        <f>VLOOKUP(Table9[[#This Row],[Shortname]], Comp[], 11, FALSE)</f>
        <v>9</v>
      </c>
      <c r="O476">
        <f>VLOOKUP(Table9[[#This Row],[Shortname]], Comp[],12, FALSE)</f>
        <v>0</v>
      </c>
      <c r="P476">
        <f>VLOOKUP(Table9[[#This Row],[Shortname]], Comp[], 13, FALSE)</f>
        <v>0</v>
      </c>
      <c r="Q476">
        <f>VLOOKUP(Table9[[#This Row],[Shortname]], Comp[], 14, FALSE)</f>
        <v>0</v>
      </c>
      <c r="R476">
        <f>VLOOKUP(Table9[[#This Row],[Shortname]], Comp[], 15, FALSE)</f>
        <v>0</v>
      </c>
      <c r="S476">
        <f>VLOOKUP(Table9[[#This Row],[Shortname]], Comp[], 16, FALSE)</f>
        <v>0</v>
      </c>
      <c r="T476">
        <f>VLOOKUP(Table9[[#This Row],[Shortname]], Comp[], 17, FALSE)</f>
        <v>0</v>
      </c>
      <c r="U476">
        <f>VLOOKUP(Table9[[#This Row],[Shortname]], Comp[], 18, FALSE)</f>
        <v>0</v>
      </c>
      <c r="V476">
        <f>VLOOKUP(Table9[[#This Row],[Shortname]], Comp[], 19, FALSE)</f>
        <v>0</v>
      </c>
      <c r="W476">
        <f>VLOOKUP(Table9[[#This Row],[Shortname]], Comp[], 20, FALSE)</f>
        <v>0</v>
      </c>
      <c r="X476">
        <f>VLOOKUP(Table9[[#This Row],[Shortname]], Comp[], 21, FALSE)</f>
        <v>0</v>
      </c>
      <c r="Y476">
        <f>VLOOKUP(Table9[[#This Row],[Shortname]], Comp[], 22, FALSE)</f>
        <v>0</v>
      </c>
      <c r="Z476">
        <f>VLOOKUP(Table9[[#This Row],[Shortname]], Comp[], 23, FALSE)</f>
        <v>0</v>
      </c>
      <c r="AA476">
        <f>VLOOKUP(Table9[[#This Row],[Shortname]], Comp[], 24, FALSE)</f>
        <v>0</v>
      </c>
      <c r="AB476">
        <f>VLOOKUP(Table9[[#This Row],[Shortname]], Comp[], 25, FALSE)</f>
        <v>0</v>
      </c>
      <c r="AC476">
        <f>VLOOKUP(Table9[[#This Row],[Shortname]], Comp[], 26, FALSE)</f>
        <v>0</v>
      </c>
      <c r="AD476">
        <f>VLOOKUP(Table9[[#This Row],[Shortname]], Comp[], 27, FALSE)</f>
        <v>0</v>
      </c>
      <c r="AE476">
        <f>VLOOKUP(Table9[[#This Row],[Shortname]], Comp[], 28, FALSE)</f>
        <v>0</v>
      </c>
      <c r="AF476">
        <f>VLOOKUP(Table9[[#This Row],[Shortname]], Comp[], 29, FALSE)</f>
        <v>0</v>
      </c>
      <c r="AG476">
        <f>VLOOKUP(Table9[[#This Row],[Shortname]], Comp[], 30, FALSE)</f>
        <v>0</v>
      </c>
      <c r="AH476">
        <f>VLOOKUP(Table9[[#This Row],[Shortname]], Comp[], 31, FALSE)</f>
        <v>0</v>
      </c>
    </row>
    <row r="477" spans="1:34" x14ac:dyDescent="0.3">
      <c r="A477" t="s">
        <v>1735</v>
      </c>
      <c r="B477" t="s">
        <v>3180</v>
      </c>
      <c r="C477" t="s">
        <v>3176</v>
      </c>
      <c r="D477">
        <v>674</v>
      </c>
      <c r="E477">
        <v>870</v>
      </c>
      <c r="F477">
        <v>1E-4</v>
      </c>
      <c r="G477">
        <v>1</v>
      </c>
      <c r="H477" t="s">
        <v>6849</v>
      </c>
      <c r="I477">
        <f>VLOOKUP(Table9[[#This Row],[Shortname]], Comp[], 6, FALSE)</f>
        <v>222</v>
      </c>
      <c r="J477" s="14">
        <f>VLOOKUP(Table9[[#This Row],[Shortname]], Comp[], 7, FALSE)</f>
        <v>79.400000000000006</v>
      </c>
      <c r="K477">
        <f>VLOOKUP(Table9[[#This Row],[Shortname]], Comp[], 8, FALSE)</f>
        <v>0</v>
      </c>
      <c r="L477">
        <f>VLOOKUP(Table9[[#This Row],[Shortname]], Comp[], 9, FALSE)</f>
        <v>8.8000000000000007</v>
      </c>
      <c r="M477">
        <f>VLOOKUP(Table9[[#This Row],[Shortname]], Comp[], 10, FALSE)</f>
        <v>0</v>
      </c>
      <c r="N477">
        <f>VLOOKUP(Table9[[#This Row],[Shortname]], Comp[], 11, FALSE)</f>
        <v>9.8000000000000007</v>
      </c>
      <c r="O477">
        <f>VLOOKUP(Table9[[#This Row],[Shortname]], Comp[],12, FALSE)</f>
        <v>0</v>
      </c>
      <c r="P477">
        <f>VLOOKUP(Table9[[#This Row],[Shortname]], Comp[], 13, FALSE)</f>
        <v>2</v>
      </c>
      <c r="Q477">
        <f>VLOOKUP(Table9[[#This Row],[Shortname]], Comp[], 14, FALSE)</f>
        <v>0</v>
      </c>
      <c r="R477">
        <f>VLOOKUP(Table9[[#This Row],[Shortname]], Comp[], 15, FALSE)</f>
        <v>0</v>
      </c>
      <c r="S477">
        <f>VLOOKUP(Table9[[#This Row],[Shortname]], Comp[], 16, FALSE)</f>
        <v>0</v>
      </c>
      <c r="T477">
        <f>VLOOKUP(Table9[[#This Row],[Shortname]], Comp[], 17, FALSE)</f>
        <v>0</v>
      </c>
      <c r="U477">
        <f>VLOOKUP(Table9[[#This Row],[Shortname]], Comp[], 18, FALSE)</f>
        <v>0</v>
      </c>
      <c r="V477">
        <f>VLOOKUP(Table9[[#This Row],[Shortname]], Comp[], 19, FALSE)</f>
        <v>0</v>
      </c>
      <c r="W477">
        <f>VLOOKUP(Table9[[#This Row],[Shortname]], Comp[], 20, FALSE)</f>
        <v>0</v>
      </c>
      <c r="X477">
        <f>VLOOKUP(Table9[[#This Row],[Shortname]], Comp[], 21, FALSE)</f>
        <v>0</v>
      </c>
      <c r="Y477">
        <f>VLOOKUP(Table9[[#This Row],[Shortname]], Comp[], 22, FALSE)</f>
        <v>0</v>
      </c>
      <c r="Z477">
        <f>VLOOKUP(Table9[[#This Row],[Shortname]], Comp[], 23, FALSE)</f>
        <v>0</v>
      </c>
      <c r="AA477">
        <f>VLOOKUP(Table9[[#This Row],[Shortname]], Comp[], 24, FALSE)</f>
        <v>0</v>
      </c>
      <c r="AB477">
        <f>VLOOKUP(Table9[[#This Row],[Shortname]], Comp[], 25, FALSE)</f>
        <v>0</v>
      </c>
      <c r="AC477">
        <f>VLOOKUP(Table9[[#This Row],[Shortname]], Comp[], 26, FALSE)</f>
        <v>0</v>
      </c>
      <c r="AD477">
        <f>VLOOKUP(Table9[[#This Row],[Shortname]], Comp[], 27, FALSE)</f>
        <v>0</v>
      </c>
      <c r="AE477">
        <f>VLOOKUP(Table9[[#This Row],[Shortname]], Comp[], 28, FALSE)</f>
        <v>0</v>
      </c>
      <c r="AF477">
        <f>VLOOKUP(Table9[[#This Row],[Shortname]], Comp[], 29, FALSE)</f>
        <v>0</v>
      </c>
      <c r="AG477">
        <f>VLOOKUP(Table9[[#This Row],[Shortname]], Comp[], 30, FALSE)</f>
        <v>0</v>
      </c>
      <c r="AH477">
        <f>VLOOKUP(Table9[[#This Row],[Shortname]], Comp[], 31, FALSE)</f>
        <v>0</v>
      </c>
    </row>
    <row r="478" spans="1:34" x14ac:dyDescent="0.3">
      <c r="A478" t="s">
        <v>3182</v>
      </c>
      <c r="B478" t="s">
        <v>2897</v>
      </c>
      <c r="C478" t="s">
        <v>3176</v>
      </c>
      <c r="D478">
        <v>737</v>
      </c>
      <c r="E478">
        <v>25</v>
      </c>
      <c r="F478">
        <v>1E-4</v>
      </c>
      <c r="G478">
        <v>-1</v>
      </c>
      <c r="H478" t="s">
        <v>6849</v>
      </c>
      <c r="I478">
        <f>VLOOKUP(Table9[[#This Row],[Shortname]], Comp[], 6, FALSE)</f>
        <v>446</v>
      </c>
      <c r="J478" s="14">
        <f>VLOOKUP(Table9[[#This Row],[Shortname]], Comp[], 7, FALSE)</f>
        <v>81.8</v>
      </c>
      <c r="K478">
        <f>VLOOKUP(Table9[[#This Row],[Shortname]], Comp[], 8, FALSE)</f>
        <v>0</v>
      </c>
      <c r="L478">
        <f>VLOOKUP(Table9[[#This Row],[Shortname]], Comp[], 9, FALSE)</f>
        <v>9.1999999999999993</v>
      </c>
      <c r="M478">
        <f>VLOOKUP(Table9[[#This Row],[Shortname]], Comp[], 10, FALSE)</f>
        <v>0</v>
      </c>
      <c r="N478">
        <f>VLOOKUP(Table9[[#This Row],[Shortname]], Comp[], 11, FALSE)</f>
        <v>9</v>
      </c>
      <c r="O478">
        <f>VLOOKUP(Table9[[#This Row],[Shortname]], Comp[],12, FALSE)</f>
        <v>0</v>
      </c>
      <c r="P478">
        <f>VLOOKUP(Table9[[#This Row],[Shortname]], Comp[], 13, FALSE)</f>
        <v>0</v>
      </c>
      <c r="Q478">
        <f>VLOOKUP(Table9[[#This Row],[Shortname]], Comp[], 14, FALSE)</f>
        <v>0</v>
      </c>
      <c r="R478">
        <f>VLOOKUP(Table9[[#This Row],[Shortname]], Comp[], 15, FALSE)</f>
        <v>0</v>
      </c>
      <c r="S478">
        <f>VLOOKUP(Table9[[#This Row],[Shortname]], Comp[], 16, FALSE)</f>
        <v>0</v>
      </c>
      <c r="T478">
        <f>VLOOKUP(Table9[[#This Row],[Shortname]], Comp[], 17, FALSE)</f>
        <v>0</v>
      </c>
      <c r="U478">
        <f>VLOOKUP(Table9[[#This Row],[Shortname]], Comp[], 18, FALSE)</f>
        <v>0</v>
      </c>
      <c r="V478">
        <f>VLOOKUP(Table9[[#This Row],[Shortname]], Comp[], 19, FALSE)</f>
        <v>0</v>
      </c>
      <c r="W478">
        <f>VLOOKUP(Table9[[#This Row],[Shortname]], Comp[], 20, FALSE)</f>
        <v>0</v>
      </c>
      <c r="X478">
        <f>VLOOKUP(Table9[[#This Row],[Shortname]], Comp[], 21, FALSE)</f>
        <v>0</v>
      </c>
      <c r="Y478">
        <f>VLOOKUP(Table9[[#This Row],[Shortname]], Comp[], 22, FALSE)</f>
        <v>0</v>
      </c>
      <c r="Z478">
        <f>VLOOKUP(Table9[[#This Row],[Shortname]], Comp[], 23, FALSE)</f>
        <v>0</v>
      </c>
      <c r="AA478">
        <f>VLOOKUP(Table9[[#This Row],[Shortname]], Comp[], 24, FALSE)</f>
        <v>0</v>
      </c>
      <c r="AB478">
        <f>VLOOKUP(Table9[[#This Row],[Shortname]], Comp[], 25, FALSE)</f>
        <v>0</v>
      </c>
      <c r="AC478">
        <f>VLOOKUP(Table9[[#This Row],[Shortname]], Comp[], 26, FALSE)</f>
        <v>0</v>
      </c>
      <c r="AD478">
        <f>VLOOKUP(Table9[[#This Row],[Shortname]], Comp[], 27, FALSE)</f>
        <v>0</v>
      </c>
      <c r="AE478">
        <f>VLOOKUP(Table9[[#This Row],[Shortname]], Comp[], 28, FALSE)</f>
        <v>0</v>
      </c>
      <c r="AF478">
        <f>VLOOKUP(Table9[[#This Row],[Shortname]], Comp[], 29, FALSE)</f>
        <v>0</v>
      </c>
      <c r="AG478">
        <f>VLOOKUP(Table9[[#This Row],[Shortname]], Comp[], 30, FALSE)</f>
        <v>0</v>
      </c>
      <c r="AH478">
        <f>VLOOKUP(Table9[[#This Row],[Shortname]], Comp[], 31, FALSE)</f>
        <v>0</v>
      </c>
    </row>
    <row r="479" spans="1:34" x14ac:dyDescent="0.3">
      <c r="A479" t="s">
        <v>3509</v>
      </c>
      <c r="B479" t="s">
        <v>3511</v>
      </c>
      <c r="C479" t="s">
        <v>3505</v>
      </c>
      <c r="D479">
        <v>1054</v>
      </c>
      <c r="E479">
        <v>25</v>
      </c>
      <c r="F479">
        <v>1.1E-4</v>
      </c>
      <c r="G479">
        <v>-1</v>
      </c>
      <c r="H479" t="s">
        <v>6851</v>
      </c>
      <c r="I479">
        <f>VLOOKUP(Table9[[#This Row],[Shortname]], Comp[], 6, FALSE)</f>
        <v>506</v>
      </c>
      <c r="J479" s="14">
        <f>VLOOKUP(Table9[[#This Row],[Shortname]], Comp[], 7, FALSE)</f>
        <v>80</v>
      </c>
      <c r="K479">
        <f>VLOOKUP(Table9[[#This Row],[Shortname]], Comp[], 8, FALSE)</f>
        <v>0</v>
      </c>
      <c r="L479">
        <f>VLOOKUP(Table9[[#This Row],[Shortname]], Comp[], 9, FALSE)</f>
        <v>0</v>
      </c>
      <c r="M479">
        <f>VLOOKUP(Table9[[#This Row],[Shortname]], Comp[], 10, FALSE)</f>
        <v>0</v>
      </c>
      <c r="N479">
        <f>VLOOKUP(Table9[[#This Row],[Shortname]], Comp[], 11, FALSE)</f>
        <v>0</v>
      </c>
      <c r="O479">
        <f>VLOOKUP(Table9[[#This Row],[Shortname]], Comp[],12, FALSE)</f>
        <v>20</v>
      </c>
      <c r="P479">
        <f>VLOOKUP(Table9[[#This Row],[Shortname]], Comp[], 13, FALSE)</f>
        <v>0</v>
      </c>
      <c r="Q479">
        <f>VLOOKUP(Table9[[#This Row],[Shortname]], Comp[], 14, FALSE)</f>
        <v>0</v>
      </c>
      <c r="R479">
        <f>VLOOKUP(Table9[[#This Row],[Shortname]], Comp[], 15, FALSE)</f>
        <v>0</v>
      </c>
      <c r="S479">
        <f>VLOOKUP(Table9[[#This Row],[Shortname]], Comp[], 16, FALSE)</f>
        <v>0</v>
      </c>
      <c r="T479">
        <f>VLOOKUP(Table9[[#This Row],[Shortname]], Comp[], 17, FALSE)</f>
        <v>0</v>
      </c>
      <c r="U479">
        <f>VLOOKUP(Table9[[#This Row],[Shortname]], Comp[], 18, FALSE)</f>
        <v>0</v>
      </c>
      <c r="V479">
        <f>VLOOKUP(Table9[[#This Row],[Shortname]], Comp[], 19, FALSE)</f>
        <v>0</v>
      </c>
      <c r="W479">
        <f>VLOOKUP(Table9[[#This Row],[Shortname]], Comp[], 20, FALSE)</f>
        <v>0</v>
      </c>
      <c r="X479">
        <f>VLOOKUP(Table9[[#This Row],[Shortname]], Comp[], 21, FALSE)</f>
        <v>0</v>
      </c>
      <c r="Y479">
        <f>VLOOKUP(Table9[[#This Row],[Shortname]], Comp[], 22, FALSE)</f>
        <v>0</v>
      </c>
      <c r="Z479">
        <f>VLOOKUP(Table9[[#This Row],[Shortname]], Comp[], 23, FALSE)</f>
        <v>0</v>
      </c>
      <c r="AA479">
        <f>VLOOKUP(Table9[[#This Row],[Shortname]], Comp[], 24, FALSE)</f>
        <v>0</v>
      </c>
      <c r="AB479">
        <f>VLOOKUP(Table9[[#This Row],[Shortname]], Comp[], 25, FALSE)</f>
        <v>0</v>
      </c>
      <c r="AC479">
        <f>VLOOKUP(Table9[[#This Row],[Shortname]], Comp[], 26, FALSE)</f>
        <v>0</v>
      </c>
      <c r="AD479">
        <f>VLOOKUP(Table9[[#This Row],[Shortname]], Comp[], 27, FALSE)</f>
        <v>0</v>
      </c>
      <c r="AE479">
        <f>VLOOKUP(Table9[[#This Row],[Shortname]], Comp[], 28, FALSE)</f>
        <v>0</v>
      </c>
      <c r="AF479">
        <f>VLOOKUP(Table9[[#This Row],[Shortname]], Comp[], 29, FALSE)</f>
        <v>0</v>
      </c>
      <c r="AG479">
        <f>VLOOKUP(Table9[[#This Row],[Shortname]], Comp[], 30, FALSE)</f>
        <v>0</v>
      </c>
      <c r="AH479">
        <f>VLOOKUP(Table9[[#This Row],[Shortname]], Comp[], 31, FALSE)</f>
        <v>0</v>
      </c>
    </row>
    <row r="480" spans="1:34" x14ac:dyDescent="0.3">
      <c r="A480" t="s">
        <v>3509</v>
      </c>
      <c r="B480" t="s">
        <v>3511</v>
      </c>
      <c r="C480" t="s">
        <v>3505</v>
      </c>
      <c r="D480">
        <v>765</v>
      </c>
      <c r="E480">
        <v>400</v>
      </c>
      <c r="F480">
        <v>1.1E-4</v>
      </c>
      <c r="G480">
        <v>-1</v>
      </c>
      <c r="H480" t="s">
        <v>6851</v>
      </c>
      <c r="I480">
        <f>VLOOKUP(Table9[[#This Row],[Shortname]], Comp[], 6, FALSE)</f>
        <v>506</v>
      </c>
      <c r="J480" s="14">
        <f>VLOOKUP(Table9[[#This Row],[Shortname]], Comp[], 7, FALSE)</f>
        <v>80</v>
      </c>
      <c r="K480">
        <f>VLOOKUP(Table9[[#This Row],[Shortname]], Comp[], 8, FALSE)</f>
        <v>0</v>
      </c>
      <c r="L480">
        <f>VLOOKUP(Table9[[#This Row],[Shortname]], Comp[], 9, FALSE)</f>
        <v>0</v>
      </c>
      <c r="M480">
        <f>VLOOKUP(Table9[[#This Row],[Shortname]], Comp[], 10, FALSE)</f>
        <v>0</v>
      </c>
      <c r="N480">
        <f>VLOOKUP(Table9[[#This Row],[Shortname]], Comp[], 11, FALSE)</f>
        <v>0</v>
      </c>
      <c r="O480">
        <f>VLOOKUP(Table9[[#This Row],[Shortname]], Comp[],12, FALSE)</f>
        <v>20</v>
      </c>
      <c r="P480">
        <f>VLOOKUP(Table9[[#This Row],[Shortname]], Comp[], 13, FALSE)</f>
        <v>0</v>
      </c>
      <c r="Q480">
        <f>VLOOKUP(Table9[[#This Row],[Shortname]], Comp[], 14, FALSE)</f>
        <v>0</v>
      </c>
      <c r="R480">
        <f>VLOOKUP(Table9[[#This Row],[Shortname]], Comp[], 15, FALSE)</f>
        <v>0</v>
      </c>
      <c r="S480">
        <f>VLOOKUP(Table9[[#This Row],[Shortname]], Comp[], 16, FALSE)</f>
        <v>0</v>
      </c>
      <c r="T480">
        <f>VLOOKUP(Table9[[#This Row],[Shortname]], Comp[], 17, FALSE)</f>
        <v>0</v>
      </c>
      <c r="U480">
        <f>VLOOKUP(Table9[[#This Row],[Shortname]], Comp[], 18, FALSE)</f>
        <v>0</v>
      </c>
      <c r="V480">
        <f>VLOOKUP(Table9[[#This Row],[Shortname]], Comp[], 19, FALSE)</f>
        <v>0</v>
      </c>
      <c r="W480">
        <f>VLOOKUP(Table9[[#This Row],[Shortname]], Comp[], 20, FALSE)</f>
        <v>0</v>
      </c>
      <c r="X480">
        <f>VLOOKUP(Table9[[#This Row],[Shortname]], Comp[], 21, FALSE)</f>
        <v>0</v>
      </c>
      <c r="Y480">
        <f>VLOOKUP(Table9[[#This Row],[Shortname]], Comp[], 22, FALSE)</f>
        <v>0</v>
      </c>
      <c r="Z480">
        <f>VLOOKUP(Table9[[#This Row],[Shortname]], Comp[], 23, FALSE)</f>
        <v>0</v>
      </c>
      <c r="AA480">
        <f>VLOOKUP(Table9[[#This Row],[Shortname]], Comp[], 24, FALSE)</f>
        <v>0</v>
      </c>
      <c r="AB480">
        <f>VLOOKUP(Table9[[#This Row],[Shortname]], Comp[], 25, FALSE)</f>
        <v>0</v>
      </c>
      <c r="AC480">
        <f>VLOOKUP(Table9[[#This Row],[Shortname]], Comp[], 26, FALSE)</f>
        <v>0</v>
      </c>
      <c r="AD480">
        <f>VLOOKUP(Table9[[#This Row],[Shortname]], Comp[], 27, FALSE)</f>
        <v>0</v>
      </c>
      <c r="AE480">
        <f>VLOOKUP(Table9[[#This Row],[Shortname]], Comp[], 28, FALSE)</f>
        <v>0</v>
      </c>
      <c r="AF480">
        <f>VLOOKUP(Table9[[#This Row],[Shortname]], Comp[], 29, FALSE)</f>
        <v>0</v>
      </c>
      <c r="AG480">
        <f>VLOOKUP(Table9[[#This Row],[Shortname]], Comp[], 30, FALSE)</f>
        <v>0</v>
      </c>
      <c r="AH480">
        <f>VLOOKUP(Table9[[#This Row],[Shortname]], Comp[], 31, FALSE)</f>
        <v>0</v>
      </c>
    </row>
    <row r="481" spans="1:34" x14ac:dyDescent="0.3">
      <c r="A481" t="s">
        <v>3509</v>
      </c>
      <c r="B481" t="s">
        <v>3511</v>
      </c>
      <c r="C481" t="s">
        <v>3505</v>
      </c>
      <c r="D481">
        <v>479</v>
      </c>
      <c r="E481">
        <v>600</v>
      </c>
      <c r="F481">
        <v>1.1E-4</v>
      </c>
      <c r="G481">
        <v>-1</v>
      </c>
      <c r="H481" t="s">
        <v>6851</v>
      </c>
      <c r="I481">
        <f>VLOOKUP(Table9[[#This Row],[Shortname]], Comp[], 6, FALSE)</f>
        <v>506</v>
      </c>
      <c r="J481" s="14">
        <f>VLOOKUP(Table9[[#This Row],[Shortname]], Comp[], 7, FALSE)</f>
        <v>80</v>
      </c>
      <c r="K481">
        <f>VLOOKUP(Table9[[#This Row],[Shortname]], Comp[], 8, FALSE)</f>
        <v>0</v>
      </c>
      <c r="L481">
        <f>VLOOKUP(Table9[[#This Row],[Shortname]], Comp[], 9, FALSE)</f>
        <v>0</v>
      </c>
      <c r="M481">
        <f>VLOOKUP(Table9[[#This Row],[Shortname]], Comp[], 10, FALSE)</f>
        <v>0</v>
      </c>
      <c r="N481">
        <f>VLOOKUP(Table9[[#This Row],[Shortname]], Comp[], 11, FALSE)</f>
        <v>0</v>
      </c>
      <c r="O481">
        <f>VLOOKUP(Table9[[#This Row],[Shortname]], Comp[],12, FALSE)</f>
        <v>20</v>
      </c>
      <c r="P481">
        <f>VLOOKUP(Table9[[#This Row],[Shortname]], Comp[], 13, FALSE)</f>
        <v>0</v>
      </c>
      <c r="Q481">
        <f>VLOOKUP(Table9[[#This Row],[Shortname]], Comp[], 14, FALSE)</f>
        <v>0</v>
      </c>
      <c r="R481">
        <f>VLOOKUP(Table9[[#This Row],[Shortname]], Comp[], 15, FALSE)</f>
        <v>0</v>
      </c>
      <c r="S481">
        <f>VLOOKUP(Table9[[#This Row],[Shortname]], Comp[], 16, FALSE)</f>
        <v>0</v>
      </c>
      <c r="T481">
        <f>VLOOKUP(Table9[[#This Row],[Shortname]], Comp[], 17, FALSE)</f>
        <v>0</v>
      </c>
      <c r="U481">
        <f>VLOOKUP(Table9[[#This Row],[Shortname]], Comp[], 18, FALSE)</f>
        <v>0</v>
      </c>
      <c r="V481">
        <f>VLOOKUP(Table9[[#This Row],[Shortname]], Comp[], 19, FALSE)</f>
        <v>0</v>
      </c>
      <c r="W481">
        <f>VLOOKUP(Table9[[#This Row],[Shortname]], Comp[], 20, FALSE)</f>
        <v>0</v>
      </c>
      <c r="X481">
        <f>VLOOKUP(Table9[[#This Row],[Shortname]], Comp[], 21, FALSE)</f>
        <v>0</v>
      </c>
      <c r="Y481">
        <f>VLOOKUP(Table9[[#This Row],[Shortname]], Comp[], 22, FALSE)</f>
        <v>0</v>
      </c>
      <c r="Z481">
        <f>VLOOKUP(Table9[[#This Row],[Shortname]], Comp[], 23, FALSE)</f>
        <v>0</v>
      </c>
      <c r="AA481">
        <f>VLOOKUP(Table9[[#This Row],[Shortname]], Comp[], 24, FALSE)</f>
        <v>0</v>
      </c>
      <c r="AB481">
        <f>VLOOKUP(Table9[[#This Row],[Shortname]], Comp[], 25, FALSE)</f>
        <v>0</v>
      </c>
      <c r="AC481">
        <f>VLOOKUP(Table9[[#This Row],[Shortname]], Comp[], 26, FALSE)</f>
        <v>0</v>
      </c>
      <c r="AD481">
        <f>VLOOKUP(Table9[[#This Row],[Shortname]], Comp[], 27, FALSE)</f>
        <v>0</v>
      </c>
      <c r="AE481">
        <f>VLOOKUP(Table9[[#This Row],[Shortname]], Comp[], 28, FALSE)</f>
        <v>0</v>
      </c>
      <c r="AF481">
        <f>VLOOKUP(Table9[[#This Row],[Shortname]], Comp[], 29, FALSE)</f>
        <v>0</v>
      </c>
      <c r="AG481">
        <f>VLOOKUP(Table9[[#This Row],[Shortname]], Comp[], 30, FALSE)</f>
        <v>0</v>
      </c>
      <c r="AH481">
        <f>VLOOKUP(Table9[[#This Row],[Shortname]], Comp[], 31, FALSE)</f>
        <v>0</v>
      </c>
    </row>
    <row r="482" spans="1:34" x14ac:dyDescent="0.3">
      <c r="A482" t="s">
        <v>3509</v>
      </c>
      <c r="B482" t="s">
        <v>3511</v>
      </c>
      <c r="C482" t="s">
        <v>3505</v>
      </c>
      <c r="D482">
        <v>357</v>
      </c>
      <c r="E482">
        <v>800</v>
      </c>
      <c r="F482">
        <v>1.1E-4</v>
      </c>
      <c r="G482">
        <v>-1</v>
      </c>
      <c r="H482" t="s">
        <v>6851</v>
      </c>
      <c r="I482">
        <f>VLOOKUP(Table9[[#This Row],[Shortname]], Comp[], 6, FALSE)</f>
        <v>506</v>
      </c>
      <c r="J482" s="14">
        <f>VLOOKUP(Table9[[#This Row],[Shortname]], Comp[], 7, FALSE)</f>
        <v>80</v>
      </c>
      <c r="K482">
        <f>VLOOKUP(Table9[[#This Row],[Shortname]], Comp[], 8, FALSE)</f>
        <v>0</v>
      </c>
      <c r="L482">
        <f>VLOOKUP(Table9[[#This Row],[Shortname]], Comp[], 9, FALSE)</f>
        <v>0</v>
      </c>
      <c r="M482">
        <f>VLOOKUP(Table9[[#This Row],[Shortname]], Comp[], 10, FALSE)</f>
        <v>0</v>
      </c>
      <c r="N482">
        <f>VLOOKUP(Table9[[#This Row],[Shortname]], Comp[], 11, FALSE)</f>
        <v>0</v>
      </c>
      <c r="O482">
        <f>VLOOKUP(Table9[[#This Row],[Shortname]], Comp[],12, FALSE)</f>
        <v>20</v>
      </c>
      <c r="P482">
        <f>VLOOKUP(Table9[[#This Row],[Shortname]], Comp[], 13, FALSE)</f>
        <v>0</v>
      </c>
      <c r="Q482">
        <f>VLOOKUP(Table9[[#This Row],[Shortname]], Comp[], 14, FALSE)</f>
        <v>0</v>
      </c>
      <c r="R482">
        <f>VLOOKUP(Table9[[#This Row],[Shortname]], Comp[], 15, FALSE)</f>
        <v>0</v>
      </c>
      <c r="S482">
        <f>VLOOKUP(Table9[[#This Row],[Shortname]], Comp[], 16, FALSE)</f>
        <v>0</v>
      </c>
      <c r="T482">
        <f>VLOOKUP(Table9[[#This Row],[Shortname]], Comp[], 17, FALSE)</f>
        <v>0</v>
      </c>
      <c r="U482">
        <f>VLOOKUP(Table9[[#This Row],[Shortname]], Comp[], 18, FALSE)</f>
        <v>0</v>
      </c>
      <c r="V482">
        <f>VLOOKUP(Table9[[#This Row],[Shortname]], Comp[], 19, FALSE)</f>
        <v>0</v>
      </c>
      <c r="W482">
        <f>VLOOKUP(Table9[[#This Row],[Shortname]], Comp[], 20, FALSE)</f>
        <v>0</v>
      </c>
      <c r="X482">
        <f>VLOOKUP(Table9[[#This Row],[Shortname]], Comp[], 21, FALSE)</f>
        <v>0</v>
      </c>
      <c r="Y482">
        <f>VLOOKUP(Table9[[#This Row],[Shortname]], Comp[], 22, FALSE)</f>
        <v>0</v>
      </c>
      <c r="Z482">
        <f>VLOOKUP(Table9[[#This Row],[Shortname]], Comp[], 23, FALSE)</f>
        <v>0</v>
      </c>
      <c r="AA482">
        <f>VLOOKUP(Table9[[#This Row],[Shortname]], Comp[], 24, FALSE)</f>
        <v>0</v>
      </c>
      <c r="AB482">
        <f>VLOOKUP(Table9[[#This Row],[Shortname]], Comp[], 25, FALSE)</f>
        <v>0</v>
      </c>
      <c r="AC482">
        <f>VLOOKUP(Table9[[#This Row],[Shortname]], Comp[], 26, FALSE)</f>
        <v>0</v>
      </c>
      <c r="AD482">
        <f>VLOOKUP(Table9[[#This Row],[Shortname]], Comp[], 27, FALSE)</f>
        <v>0</v>
      </c>
      <c r="AE482">
        <f>VLOOKUP(Table9[[#This Row],[Shortname]], Comp[], 28, FALSE)</f>
        <v>0</v>
      </c>
      <c r="AF482">
        <f>VLOOKUP(Table9[[#This Row],[Shortname]], Comp[], 29, FALSE)</f>
        <v>0</v>
      </c>
      <c r="AG482">
        <f>VLOOKUP(Table9[[#This Row],[Shortname]], Comp[], 30, FALSE)</f>
        <v>0</v>
      </c>
      <c r="AH482">
        <f>VLOOKUP(Table9[[#This Row],[Shortname]], Comp[], 31, FALSE)</f>
        <v>0</v>
      </c>
    </row>
    <row r="483" spans="1:34" x14ac:dyDescent="0.3">
      <c r="A483" t="s">
        <v>3509</v>
      </c>
      <c r="B483" t="s">
        <v>3511</v>
      </c>
      <c r="C483" t="s">
        <v>3505</v>
      </c>
      <c r="D483">
        <v>330</v>
      </c>
      <c r="E483">
        <v>950</v>
      </c>
      <c r="F483">
        <v>1.1E-4</v>
      </c>
      <c r="G483">
        <v>-1</v>
      </c>
      <c r="H483" t="s">
        <v>6851</v>
      </c>
      <c r="I483">
        <f>VLOOKUP(Table9[[#This Row],[Shortname]], Comp[], 6, FALSE)</f>
        <v>506</v>
      </c>
      <c r="J483" s="14">
        <f>VLOOKUP(Table9[[#This Row],[Shortname]], Comp[], 7, FALSE)</f>
        <v>80</v>
      </c>
      <c r="K483">
        <f>VLOOKUP(Table9[[#This Row],[Shortname]], Comp[], 8, FALSE)</f>
        <v>0</v>
      </c>
      <c r="L483">
        <f>VLOOKUP(Table9[[#This Row],[Shortname]], Comp[], 9, FALSE)</f>
        <v>0</v>
      </c>
      <c r="M483">
        <f>VLOOKUP(Table9[[#This Row],[Shortname]], Comp[], 10, FALSE)</f>
        <v>0</v>
      </c>
      <c r="N483">
        <f>VLOOKUP(Table9[[#This Row],[Shortname]], Comp[], 11, FALSE)</f>
        <v>0</v>
      </c>
      <c r="O483">
        <f>VLOOKUP(Table9[[#This Row],[Shortname]], Comp[],12, FALSE)</f>
        <v>20</v>
      </c>
      <c r="P483">
        <f>VLOOKUP(Table9[[#This Row],[Shortname]], Comp[], 13, FALSE)</f>
        <v>0</v>
      </c>
      <c r="Q483">
        <f>VLOOKUP(Table9[[#This Row],[Shortname]], Comp[], 14, FALSE)</f>
        <v>0</v>
      </c>
      <c r="R483">
        <f>VLOOKUP(Table9[[#This Row],[Shortname]], Comp[], 15, FALSE)</f>
        <v>0</v>
      </c>
      <c r="S483">
        <f>VLOOKUP(Table9[[#This Row],[Shortname]], Comp[], 16, FALSE)</f>
        <v>0</v>
      </c>
      <c r="T483">
        <f>VLOOKUP(Table9[[#This Row],[Shortname]], Comp[], 17, FALSE)</f>
        <v>0</v>
      </c>
      <c r="U483">
        <f>VLOOKUP(Table9[[#This Row],[Shortname]], Comp[], 18, FALSE)</f>
        <v>0</v>
      </c>
      <c r="V483">
        <f>VLOOKUP(Table9[[#This Row],[Shortname]], Comp[], 19, FALSE)</f>
        <v>0</v>
      </c>
      <c r="W483">
        <f>VLOOKUP(Table9[[#This Row],[Shortname]], Comp[], 20, FALSE)</f>
        <v>0</v>
      </c>
      <c r="X483">
        <f>VLOOKUP(Table9[[#This Row],[Shortname]], Comp[], 21, FALSE)</f>
        <v>0</v>
      </c>
      <c r="Y483">
        <f>VLOOKUP(Table9[[#This Row],[Shortname]], Comp[], 22, FALSE)</f>
        <v>0</v>
      </c>
      <c r="Z483">
        <f>VLOOKUP(Table9[[#This Row],[Shortname]], Comp[], 23, FALSE)</f>
        <v>0</v>
      </c>
      <c r="AA483">
        <f>VLOOKUP(Table9[[#This Row],[Shortname]], Comp[], 24, FALSE)</f>
        <v>0</v>
      </c>
      <c r="AB483">
        <f>VLOOKUP(Table9[[#This Row],[Shortname]], Comp[], 25, FALSE)</f>
        <v>0</v>
      </c>
      <c r="AC483">
        <f>VLOOKUP(Table9[[#This Row],[Shortname]], Comp[], 26, FALSE)</f>
        <v>0</v>
      </c>
      <c r="AD483">
        <f>VLOOKUP(Table9[[#This Row],[Shortname]], Comp[], 27, FALSE)</f>
        <v>0</v>
      </c>
      <c r="AE483">
        <f>VLOOKUP(Table9[[#This Row],[Shortname]], Comp[], 28, FALSE)</f>
        <v>0</v>
      </c>
      <c r="AF483">
        <f>VLOOKUP(Table9[[#This Row],[Shortname]], Comp[], 29, FALSE)</f>
        <v>0</v>
      </c>
      <c r="AG483">
        <f>VLOOKUP(Table9[[#This Row],[Shortname]], Comp[], 30, FALSE)</f>
        <v>0</v>
      </c>
      <c r="AH483">
        <f>VLOOKUP(Table9[[#This Row],[Shortname]], Comp[], 31, FALSE)</f>
        <v>0</v>
      </c>
    </row>
    <row r="484" spans="1:34" x14ac:dyDescent="0.3">
      <c r="A484" t="s">
        <v>3509</v>
      </c>
      <c r="B484" t="s">
        <v>3511</v>
      </c>
      <c r="C484" t="s">
        <v>3505</v>
      </c>
      <c r="D484">
        <v>201</v>
      </c>
      <c r="E484">
        <v>1050</v>
      </c>
      <c r="F484">
        <v>1.1E-4</v>
      </c>
      <c r="G484">
        <v>-1</v>
      </c>
      <c r="H484" t="s">
        <v>6851</v>
      </c>
      <c r="I484">
        <f>VLOOKUP(Table9[[#This Row],[Shortname]], Comp[], 6, FALSE)</f>
        <v>506</v>
      </c>
      <c r="J484" s="14">
        <f>VLOOKUP(Table9[[#This Row],[Shortname]], Comp[], 7, FALSE)</f>
        <v>80</v>
      </c>
      <c r="K484">
        <f>VLOOKUP(Table9[[#This Row],[Shortname]], Comp[], 8, FALSE)</f>
        <v>0</v>
      </c>
      <c r="L484">
        <f>VLOOKUP(Table9[[#This Row],[Shortname]], Comp[], 9, FALSE)</f>
        <v>0</v>
      </c>
      <c r="M484">
        <f>VLOOKUP(Table9[[#This Row],[Shortname]], Comp[], 10, FALSE)</f>
        <v>0</v>
      </c>
      <c r="N484">
        <f>VLOOKUP(Table9[[#This Row],[Shortname]], Comp[], 11, FALSE)</f>
        <v>0</v>
      </c>
      <c r="O484">
        <f>VLOOKUP(Table9[[#This Row],[Shortname]], Comp[],12, FALSE)</f>
        <v>20</v>
      </c>
      <c r="P484">
        <f>VLOOKUP(Table9[[#This Row],[Shortname]], Comp[], 13, FALSE)</f>
        <v>0</v>
      </c>
      <c r="Q484">
        <f>VLOOKUP(Table9[[#This Row],[Shortname]], Comp[], 14, FALSE)</f>
        <v>0</v>
      </c>
      <c r="R484">
        <f>VLOOKUP(Table9[[#This Row],[Shortname]], Comp[], 15, FALSE)</f>
        <v>0</v>
      </c>
      <c r="S484">
        <f>VLOOKUP(Table9[[#This Row],[Shortname]], Comp[], 16, FALSE)</f>
        <v>0</v>
      </c>
      <c r="T484">
        <f>VLOOKUP(Table9[[#This Row],[Shortname]], Comp[], 17, FALSE)</f>
        <v>0</v>
      </c>
      <c r="U484">
        <f>VLOOKUP(Table9[[#This Row],[Shortname]], Comp[], 18, FALSE)</f>
        <v>0</v>
      </c>
      <c r="V484">
        <f>VLOOKUP(Table9[[#This Row],[Shortname]], Comp[], 19, FALSE)</f>
        <v>0</v>
      </c>
      <c r="W484">
        <f>VLOOKUP(Table9[[#This Row],[Shortname]], Comp[], 20, FALSE)</f>
        <v>0</v>
      </c>
      <c r="X484">
        <f>VLOOKUP(Table9[[#This Row],[Shortname]], Comp[], 21, FALSE)</f>
        <v>0</v>
      </c>
      <c r="Y484">
        <f>VLOOKUP(Table9[[#This Row],[Shortname]], Comp[], 22, FALSE)</f>
        <v>0</v>
      </c>
      <c r="Z484">
        <f>VLOOKUP(Table9[[#This Row],[Shortname]], Comp[], 23, FALSE)</f>
        <v>0</v>
      </c>
      <c r="AA484">
        <f>VLOOKUP(Table9[[#This Row],[Shortname]], Comp[], 24, FALSE)</f>
        <v>0</v>
      </c>
      <c r="AB484">
        <f>VLOOKUP(Table9[[#This Row],[Shortname]], Comp[], 25, FALSE)</f>
        <v>0</v>
      </c>
      <c r="AC484">
        <f>VLOOKUP(Table9[[#This Row],[Shortname]], Comp[], 26, FALSE)</f>
        <v>0</v>
      </c>
      <c r="AD484">
        <f>VLOOKUP(Table9[[#This Row],[Shortname]], Comp[], 27, FALSE)</f>
        <v>0</v>
      </c>
      <c r="AE484">
        <f>VLOOKUP(Table9[[#This Row],[Shortname]], Comp[], 28, FALSE)</f>
        <v>0</v>
      </c>
      <c r="AF484">
        <f>VLOOKUP(Table9[[#This Row],[Shortname]], Comp[], 29, FALSE)</f>
        <v>0</v>
      </c>
      <c r="AG484">
        <f>VLOOKUP(Table9[[#This Row],[Shortname]], Comp[], 30, FALSE)</f>
        <v>0</v>
      </c>
      <c r="AH484">
        <f>VLOOKUP(Table9[[#This Row],[Shortname]], Comp[], 31, FALSE)</f>
        <v>0</v>
      </c>
    </row>
    <row r="485" spans="1:34" x14ac:dyDescent="0.3">
      <c r="A485" t="s">
        <v>3502</v>
      </c>
      <c r="B485" t="s">
        <v>3504</v>
      </c>
      <c r="C485" t="s">
        <v>3505</v>
      </c>
      <c r="D485">
        <v>1030</v>
      </c>
      <c r="E485">
        <v>25</v>
      </c>
      <c r="F485">
        <v>1.1E-4</v>
      </c>
      <c r="G485">
        <v>-1</v>
      </c>
      <c r="H485" t="s">
        <v>6851</v>
      </c>
      <c r="I485">
        <f>VLOOKUP(Table9[[#This Row],[Shortname]], Comp[], 6, FALSE)</f>
        <v>505</v>
      </c>
      <c r="J485" s="14">
        <f>VLOOKUP(Table9[[#This Row],[Shortname]], Comp[], 7, FALSE)</f>
        <v>79</v>
      </c>
      <c r="K485">
        <f>VLOOKUP(Table9[[#This Row],[Shortname]], Comp[], 8, FALSE)</f>
        <v>0</v>
      </c>
      <c r="L485">
        <f>VLOOKUP(Table9[[#This Row],[Shortname]], Comp[], 9, FALSE)</f>
        <v>0</v>
      </c>
      <c r="M485">
        <f>VLOOKUP(Table9[[#This Row],[Shortname]], Comp[], 10, FALSE)</f>
        <v>0</v>
      </c>
      <c r="N485">
        <f>VLOOKUP(Table9[[#This Row],[Shortname]], Comp[], 11, FALSE)</f>
        <v>0</v>
      </c>
      <c r="O485">
        <f>VLOOKUP(Table9[[#This Row],[Shortname]], Comp[],12, FALSE)</f>
        <v>21</v>
      </c>
      <c r="P485">
        <f>VLOOKUP(Table9[[#This Row],[Shortname]], Comp[], 13, FALSE)</f>
        <v>0</v>
      </c>
      <c r="Q485">
        <f>VLOOKUP(Table9[[#This Row],[Shortname]], Comp[], 14, FALSE)</f>
        <v>0</v>
      </c>
      <c r="R485">
        <f>VLOOKUP(Table9[[#This Row],[Shortname]], Comp[], 15, FALSE)</f>
        <v>0</v>
      </c>
      <c r="S485">
        <f>VLOOKUP(Table9[[#This Row],[Shortname]], Comp[], 16, FALSE)</f>
        <v>0</v>
      </c>
      <c r="T485">
        <f>VLOOKUP(Table9[[#This Row],[Shortname]], Comp[], 17, FALSE)</f>
        <v>0</v>
      </c>
      <c r="U485">
        <f>VLOOKUP(Table9[[#This Row],[Shortname]], Comp[], 18, FALSE)</f>
        <v>0</v>
      </c>
      <c r="V485">
        <f>VLOOKUP(Table9[[#This Row],[Shortname]], Comp[], 19, FALSE)</f>
        <v>0</v>
      </c>
      <c r="W485">
        <f>VLOOKUP(Table9[[#This Row],[Shortname]], Comp[], 20, FALSE)</f>
        <v>0</v>
      </c>
      <c r="X485">
        <f>VLOOKUP(Table9[[#This Row],[Shortname]], Comp[], 21, FALSE)</f>
        <v>0</v>
      </c>
      <c r="Y485">
        <f>VLOOKUP(Table9[[#This Row],[Shortname]], Comp[], 22, FALSE)</f>
        <v>0</v>
      </c>
      <c r="Z485">
        <f>VLOOKUP(Table9[[#This Row],[Shortname]], Comp[], 23, FALSE)</f>
        <v>0</v>
      </c>
      <c r="AA485">
        <f>VLOOKUP(Table9[[#This Row],[Shortname]], Comp[], 24, FALSE)</f>
        <v>0</v>
      </c>
      <c r="AB485">
        <f>VLOOKUP(Table9[[#This Row],[Shortname]], Comp[], 25, FALSE)</f>
        <v>0</v>
      </c>
      <c r="AC485">
        <f>VLOOKUP(Table9[[#This Row],[Shortname]], Comp[], 26, FALSE)</f>
        <v>0</v>
      </c>
      <c r="AD485">
        <f>VLOOKUP(Table9[[#This Row],[Shortname]], Comp[], 27, FALSE)</f>
        <v>0</v>
      </c>
      <c r="AE485">
        <f>VLOOKUP(Table9[[#This Row],[Shortname]], Comp[], 28, FALSE)</f>
        <v>0</v>
      </c>
      <c r="AF485">
        <f>VLOOKUP(Table9[[#This Row],[Shortname]], Comp[], 29, FALSE)</f>
        <v>0</v>
      </c>
      <c r="AG485">
        <f>VLOOKUP(Table9[[#This Row],[Shortname]], Comp[], 30, FALSE)</f>
        <v>0</v>
      </c>
      <c r="AH485">
        <f>VLOOKUP(Table9[[#This Row],[Shortname]], Comp[], 31, FALSE)</f>
        <v>0</v>
      </c>
    </row>
    <row r="486" spans="1:34" x14ac:dyDescent="0.3">
      <c r="A486" t="s">
        <v>3502</v>
      </c>
      <c r="B486" t="s">
        <v>3504</v>
      </c>
      <c r="C486" t="s">
        <v>3505</v>
      </c>
      <c r="D486">
        <v>503</v>
      </c>
      <c r="E486">
        <v>600</v>
      </c>
      <c r="F486">
        <v>1.1E-4</v>
      </c>
      <c r="G486">
        <v>-1</v>
      </c>
      <c r="H486" t="s">
        <v>6851</v>
      </c>
      <c r="I486">
        <f>VLOOKUP(Table9[[#This Row],[Shortname]], Comp[], 6, FALSE)</f>
        <v>505</v>
      </c>
      <c r="J486" s="14">
        <f>VLOOKUP(Table9[[#This Row],[Shortname]], Comp[], 7, FALSE)</f>
        <v>79</v>
      </c>
      <c r="K486">
        <f>VLOOKUP(Table9[[#This Row],[Shortname]], Comp[], 8, FALSE)</f>
        <v>0</v>
      </c>
      <c r="L486">
        <f>VLOOKUP(Table9[[#This Row],[Shortname]], Comp[], 9, FALSE)</f>
        <v>0</v>
      </c>
      <c r="M486">
        <f>VLOOKUP(Table9[[#This Row],[Shortname]], Comp[], 10, FALSE)</f>
        <v>0</v>
      </c>
      <c r="N486">
        <f>VLOOKUP(Table9[[#This Row],[Shortname]], Comp[], 11, FALSE)</f>
        <v>0</v>
      </c>
      <c r="O486">
        <f>VLOOKUP(Table9[[#This Row],[Shortname]], Comp[],12, FALSE)</f>
        <v>21</v>
      </c>
      <c r="P486">
        <f>VLOOKUP(Table9[[#This Row],[Shortname]], Comp[], 13, FALSE)</f>
        <v>0</v>
      </c>
      <c r="Q486">
        <f>VLOOKUP(Table9[[#This Row],[Shortname]], Comp[], 14, FALSE)</f>
        <v>0</v>
      </c>
      <c r="R486">
        <f>VLOOKUP(Table9[[#This Row],[Shortname]], Comp[], 15, FALSE)</f>
        <v>0</v>
      </c>
      <c r="S486">
        <f>VLOOKUP(Table9[[#This Row],[Shortname]], Comp[], 16, FALSE)</f>
        <v>0</v>
      </c>
      <c r="T486">
        <f>VLOOKUP(Table9[[#This Row],[Shortname]], Comp[], 17, FALSE)</f>
        <v>0</v>
      </c>
      <c r="U486">
        <f>VLOOKUP(Table9[[#This Row],[Shortname]], Comp[], 18, FALSE)</f>
        <v>0</v>
      </c>
      <c r="V486">
        <f>VLOOKUP(Table9[[#This Row],[Shortname]], Comp[], 19, FALSE)</f>
        <v>0</v>
      </c>
      <c r="W486">
        <f>VLOOKUP(Table9[[#This Row],[Shortname]], Comp[], 20, FALSE)</f>
        <v>0</v>
      </c>
      <c r="X486">
        <f>VLOOKUP(Table9[[#This Row],[Shortname]], Comp[], 21, FALSE)</f>
        <v>0</v>
      </c>
      <c r="Y486">
        <f>VLOOKUP(Table9[[#This Row],[Shortname]], Comp[], 22, FALSE)</f>
        <v>0</v>
      </c>
      <c r="Z486">
        <f>VLOOKUP(Table9[[#This Row],[Shortname]], Comp[], 23, FALSE)</f>
        <v>0</v>
      </c>
      <c r="AA486">
        <f>VLOOKUP(Table9[[#This Row],[Shortname]], Comp[], 24, FALSE)</f>
        <v>0</v>
      </c>
      <c r="AB486">
        <f>VLOOKUP(Table9[[#This Row],[Shortname]], Comp[], 25, FALSE)</f>
        <v>0</v>
      </c>
      <c r="AC486">
        <f>VLOOKUP(Table9[[#This Row],[Shortname]], Comp[], 26, FALSE)</f>
        <v>0</v>
      </c>
      <c r="AD486">
        <f>VLOOKUP(Table9[[#This Row],[Shortname]], Comp[], 27, FALSE)</f>
        <v>0</v>
      </c>
      <c r="AE486">
        <f>VLOOKUP(Table9[[#This Row],[Shortname]], Comp[], 28, FALSE)</f>
        <v>0</v>
      </c>
      <c r="AF486">
        <f>VLOOKUP(Table9[[#This Row],[Shortname]], Comp[], 29, FALSE)</f>
        <v>0</v>
      </c>
      <c r="AG486">
        <f>VLOOKUP(Table9[[#This Row],[Shortname]], Comp[], 30, FALSE)</f>
        <v>0</v>
      </c>
      <c r="AH486">
        <f>VLOOKUP(Table9[[#This Row],[Shortname]], Comp[], 31, FALSE)</f>
        <v>0</v>
      </c>
    </row>
    <row r="487" spans="1:34" x14ac:dyDescent="0.3">
      <c r="A487" t="s">
        <v>3502</v>
      </c>
      <c r="B487" t="s">
        <v>3504</v>
      </c>
      <c r="C487" t="s">
        <v>3505</v>
      </c>
      <c r="D487">
        <v>173</v>
      </c>
      <c r="E487">
        <v>800</v>
      </c>
      <c r="F487">
        <v>1.1E-4</v>
      </c>
      <c r="G487">
        <v>-1</v>
      </c>
      <c r="H487" t="s">
        <v>6851</v>
      </c>
      <c r="I487">
        <f>VLOOKUP(Table9[[#This Row],[Shortname]], Comp[], 6, FALSE)</f>
        <v>505</v>
      </c>
      <c r="J487" s="14">
        <f>VLOOKUP(Table9[[#This Row],[Shortname]], Comp[], 7, FALSE)</f>
        <v>79</v>
      </c>
      <c r="K487">
        <f>VLOOKUP(Table9[[#This Row],[Shortname]], Comp[], 8, FALSE)</f>
        <v>0</v>
      </c>
      <c r="L487">
        <f>VLOOKUP(Table9[[#This Row],[Shortname]], Comp[], 9, FALSE)</f>
        <v>0</v>
      </c>
      <c r="M487">
        <f>VLOOKUP(Table9[[#This Row],[Shortname]], Comp[], 10, FALSE)</f>
        <v>0</v>
      </c>
      <c r="N487">
        <f>VLOOKUP(Table9[[#This Row],[Shortname]], Comp[], 11, FALSE)</f>
        <v>0</v>
      </c>
      <c r="O487">
        <f>VLOOKUP(Table9[[#This Row],[Shortname]], Comp[],12, FALSE)</f>
        <v>21</v>
      </c>
      <c r="P487">
        <f>VLOOKUP(Table9[[#This Row],[Shortname]], Comp[], 13, FALSE)</f>
        <v>0</v>
      </c>
      <c r="Q487">
        <f>VLOOKUP(Table9[[#This Row],[Shortname]], Comp[], 14, FALSE)</f>
        <v>0</v>
      </c>
      <c r="R487">
        <f>VLOOKUP(Table9[[#This Row],[Shortname]], Comp[], 15, FALSE)</f>
        <v>0</v>
      </c>
      <c r="S487">
        <f>VLOOKUP(Table9[[#This Row],[Shortname]], Comp[], 16, FALSE)</f>
        <v>0</v>
      </c>
      <c r="T487">
        <f>VLOOKUP(Table9[[#This Row],[Shortname]], Comp[], 17, FALSE)</f>
        <v>0</v>
      </c>
      <c r="U487">
        <f>VLOOKUP(Table9[[#This Row],[Shortname]], Comp[], 18, FALSE)</f>
        <v>0</v>
      </c>
      <c r="V487">
        <f>VLOOKUP(Table9[[#This Row],[Shortname]], Comp[], 19, FALSE)</f>
        <v>0</v>
      </c>
      <c r="W487">
        <f>VLOOKUP(Table9[[#This Row],[Shortname]], Comp[], 20, FALSE)</f>
        <v>0</v>
      </c>
      <c r="X487">
        <f>VLOOKUP(Table9[[#This Row],[Shortname]], Comp[], 21, FALSE)</f>
        <v>0</v>
      </c>
      <c r="Y487">
        <f>VLOOKUP(Table9[[#This Row],[Shortname]], Comp[], 22, FALSE)</f>
        <v>0</v>
      </c>
      <c r="Z487">
        <f>VLOOKUP(Table9[[#This Row],[Shortname]], Comp[], 23, FALSE)</f>
        <v>0</v>
      </c>
      <c r="AA487">
        <f>VLOOKUP(Table9[[#This Row],[Shortname]], Comp[], 24, FALSE)</f>
        <v>0</v>
      </c>
      <c r="AB487">
        <f>VLOOKUP(Table9[[#This Row],[Shortname]], Comp[], 25, FALSE)</f>
        <v>0</v>
      </c>
      <c r="AC487">
        <f>VLOOKUP(Table9[[#This Row],[Shortname]], Comp[], 26, FALSE)</f>
        <v>0</v>
      </c>
      <c r="AD487">
        <f>VLOOKUP(Table9[[#This Row],[Shortname]], Comp[], 27, FALSE)</f>
        <v>0</v>
      </c>
      <c r="AE487">
        <f>VLOOKUP(Table9[[#This Row],[Shortname]], Comp[], 28, FALSE)</f>
        <v>0</v>
      </c>
      <c r="AF487">
        <f>VLOOKUP(Table9[[#This Row],[Shortname]], Comp[], 29, FALSE)</f>
        <v>0</v>
      </c>
      <c r="AG487">
        <f>VLOOKUP(Table9[[#This Row],[Shortname]], Comp[], 30, FALSE)</f>
        <v>0</v>
      </c>
      <c r="AH487">
        <f>VLOOKUP(Table9[[#This Row],[Shortname]], Comp[], 31, FALSE)</f>
        <v>0</v>
      </c>
    </row>
    <row r="488" spans="1:34" x14ac:dyDescent="0.3">
      <c r="A488" t="s">
        <v>2232</v>
      </c>
      <c r="B488" t="s">
        <v>5260</v>
      </c>
      <c r="C488" t="s">
        <v>3505</v>
      </c>
      <c r="D488">
        <v>548</v>
      </c>
      <c r="E488">
        <v>25</v>
      </c>
      <c r="F488">
        <v>1.1E-4</v>
      </c>
      <c r="G488">
        <v>-1</v>
      </c>
      <c r="H488" t="s">
        <v>6851</v>
      </c>
      <c r="I488">
        <f>VLOOKUP(Table9[[#This Row],[Shortname]], Comp[], 6, FALSE)</f>
        <v>294</v>
      </c>
      <c r="J488" s="14">
        <f>VLOOKUP(Table9[[#This Row],[Shortname]], Comp[], 7, FALSE)</f>
        <v>77</v>
      </c>
      <c r="K488">
        <f>VLOOKUP(Table9[[#This Row],[Shortname]], Comp[], 8, FALSE)</f>
        <v>0</v>
      </c>
      <c r="L488">
        <f>VLOOKUP(Table9[[#This Row],[Shortname]], Comp[], 9, FALSE)</f>
        <v>0</v>
      </c>
      <c r="M488">
        <f>VLOOKUP(Table9[[#This Row],[Shortname]], Comp[], 10, FALSE)</f>
        <v>0</v>
      </c>
      <c r="N488">
        <f>VLOOKUP(Table9[[#This Row],[Shortname]], Comp[], 11, FALSE)</f>
        <v>0</v>
      </c>
      <c r="O488">
        <f>VLOOKUP(Table9[[#This Row],[Shortname]], Comp[],12, FALSE)</f>
        <v>23</v>
      </c>
      <c r="P488">
        <f>VLOOKUP(Table9[[#This Row],[Shortname]], Comp[], 13, FALSE)</f>
        <v>0</v>
      </c>
      <c r="Q488">
        <f>VLOOKUP(Table9[[#This Row],[Shortname]], Comp[], 14, FALSE)</f>
        <v>0</v>
      </c>
      <c r="R488">
        <f>VLOOKUP(Table9[[#This Row],[Shortname]], Comp[], 15, FALSE)</f>
        <v>0</v>
      </c>
      <c r="S488">
        <f>VLOOKUP(Table9[[#This Row],[Shortname]], Comp[], 16, FALSE)</f>
        <v>0</v>
      </c>
      <c r="T488">
        <f>VLOOKUP(Table9[[#This Row],[Shortname]], Comp[], 17, FALSE)</f>
        <v>0</v>
      </c>
      <c r="U488">
        <f>VLOOKUP(Table9[[#This Row],[Shortname]], Comp[], 18, FALSE)</f>
        <v>0</v>
      </c>
      <c r="V488">
        <f>VLOOKUP(Table9[[#This Row],[Shortname]], Comp[], 19, FALSE)</f>
        <v>0</v>
      </c>
      <c r="W488">
        <f>VLOOKUP(Table9[[#This Row],[Shortname]], Comp[], 20, FALSE)</f>
        <v>0</v>
      </c>
      <c r="X488">
        <f>VLOOKUP(Table9[[#This Row],[Shortname]], Comp[], 21, FALSE)</f>
        <v>0</v>
      </c>
      <c r="Y488">
        <f>VLOOKUP(Table9[[#This Row],[Shortname]], Comp[], 22, FALSE)</f>
        <v>0</v>
      </c>
      <c r="Z488">
        <f>VLOOKUP(Table9[[#This Row],[Shortname]], Comp[], 23, FALSE)</f>
        <v>0</v>
      </c>
      <c r="AA488">
        <f>VLOOKUP(Table9[[#This Row],[Shortname]], Comp[], 24, FALSE)</f>
        <v>0</v>
      </c>
      <c r="AB488">
        <f>VLOOKUP(Table9[[#This Row],[Shortname]], Comp[], 25, FALSE)</f>
        <v>0</v>
      </c>
      <c r="AC488">
        <f>VLOOKUP(Table9[[#This Row],[Shortname]], Comp[], 26, FALSE)</f>
        <v>0</v>
      </c>
      <c r="AD488">
        <f>VLOOKUP(Table9[[#This Row],[Shortname]], Comp[], 27, FALSE)</f>
        <v>0</v>
      </c>
      <c r="AE488">
        <f>VLOOKUP(Table9[[#This Row],[Shortname]], Comp[], 28, FALSE)</f>
        <v>0</v>
      </c>
      <c r="AF488">
        <f>VLOOKUP(Table9[[#This Row],[Shortname]], Comp[], 29, FALSE)</f>
        <v>0</v>
      </c>
      <c r="AG488">
        <f>VLOOKUP(Table9[[#This Row],[Shortname]], Comp[], 30, FALSE)</f>
        <v>0</v>
      </c>
      <c r="AH488">
        <f>VLOOKUP(Table9[[#This Row],[Shortname]], Comp[], 31, FALSE)</f>
        <v>0</v>
      </c>
    </row>
    <row r="489" spans="1:34" x14ac:dyDescent="0.3">
      <c r="A489" t="s">
        <v>2232</v>
      </c>
      <c r="B489" t="s">
        <v>5260</v>
      </c>
      <c r="C489" t="s">
        <v>3505</v>
      </c>
      <c r="D489">
        <v>578</v>
      </c>
      <c r="E489">
        <v>600</v>
      </c>
      <c r="F489">
        <v>1.1E-4</v>
      </c>
      <c r="G489">
        <v>-1</v>
      </c>
      <c r="H489" t="s">
        <v>6851</v>
      </c>
      <c r="I489">
        <f>VLOOKUP(Table9[[#This Row],[Shortname]], Comp[], 6, FALSE)</f>
        <v>294</v>
      </c>
      <c r="J489" s="14">
        <f>VLOOKUP(Table9[[#This Row],[Shortname]], Comp[], 7, FALSE)</f>
        <v>77</v>
      </c>
      <c r="K489">
        <f>VLOOKUP(Table9[[#This Row],[Shortname]], Comp[], 8, FALSE)</f>
        <v>0</v>
      </c>
      <c r="L489">
        <f>VLOOKUP(Table9[[#This Row],[Shortname]], Comp[], 9, FALSE)</f>
        <v>0</v>
      </c>
      <c r="M489">
        <f>VLOOKUP(Table9[[#This Row],[Shortname]], Comp[], 10, FALSE)</f>
        <v>0</v>
      </c>
      <c r="N489">
        <f>VLOOKUP(Table9[[#This Row],[Shortname]], Comp[], 11, FALSE)</f>
        <v>0</v>
      </c>
      <c r="O489">
        <f>VLOOKUP(Table9[[#This Row],[Shortname]], Comp[],12, FALSE)</f>
        <v>23</v>
      </c>
      <c r="P489">
        <f>VLOOKUP(Table9[[#This Row],[Shortname]], Comp[], 13, FALSE)</f>
        <v>0</v>
      </c>
      <c r="Q489">
        <f>VLOOKUP(Table9[[#This Row],[Shortname]], Comp[], 14, FALSE)</f>
        <v>0</v>
      </c>
      <c r="R489">
        <f>VLOOKUP(Table9[[#This Row],[Shortname]], Comp[], 15, FALSE)</f>
        <v>0</v>
      </c>
      <c r="S489">
        <f>VLOOKUP(Table9[[#This Row],[Shortname]], Comp[], 16, FALSE)</f>
        <v>0</v>
      </c>
      <c r="T489">
        <f>VLOOKUP(Table9[[#This Row],[Shortname]], Comp[], 17, FALSE)</f>
        <v>0</v>
      </c>
      <c r="U489">
        <f>VLOOKUP(Table9[[#This Row],[Shortname]], Comp[], 18, FALSE)</f>
        <v>0</v>
      </c>
      <c r="V489">
        <f>VLOOKUP(Table9[[#This Row],[Shortname]], Comp[], 19, FALSE)</f>
        <v>0</v>
      </c>
      <c r="W489">
        <f>VLOOKUP(Table9[[#This Row],[Shortname]], Comp[], 20, FALSE)</f>
        <v>0</v>
      </c>
      <c r="X489">
        <f>VLOOKUP(Table9[[#This Row],[Shortname]], Comp[], 21, FALSE)</f>
        <v>0</v>
      </c>
      <c r="Y489">
        <f>VLOOKUP(Table9[[#This Row],[Shortname]], Comp[], 22, FALSE)</f>
        <v>0</v>
      </c>
      <c r="Z489">
        <f>VLOOKUP(Table9[[#This Row],[Shortname]], Comp[], 23, FALSE)</f>
        <v>0</v>
      </c>
      <c r="AA489">
        <f>VLOOKUP(Table9[[#This Row],[Shortname]], Comp[], 24, FALSE)</f>
        <v>0</v>
      </c>
      <c r="AB489">
        <f>VLOOKUP(Table9[[#This Row],[Shortname]], Comp[], 25, FALSE)</f>
        <v>0</v>
      </c>
      <c r="AC489">
        <f>VLOOKUP(Table9[[#This Row],[Shortname]], Comp[], 26, FALSE)</f>
        <v>0</v>
      </c>
      <c r="AD489">
        <f>VLOOKUP(Table9[[#This Row],[Shortname]], Comp[], 27, FALSE)</f>
        <v>0</v>
      </c>
      <c r="AE489">
        <f>VLOOKUP(Table9[[#This Row],[Shortname]], Comp[], 28, FALSE)</f>
        <v>0</v>
      </c>
      <c r="AF489">
        <f>VLOOKUP(Table9[[#This Row],[Shortname]], Comp[], 29, FALSE)</f>
        <v>0</v>
      </c>
      <c r="AG489">
        <f>VLOOKUP(Table9[[#This Row],[Shortname]], Comp[], 30, FALSE)</f>
        <v>0</v>
      </c>
      <c r="AH489">
        <f>VLOOKUP(Table9[[#This Row],[Shortname]], Comp[], 31, FALSE)</f>
        <v>0</v>
      </c>
    </row>
    <row r="490" spans="1:34" x14ac:dyDescent="0.3">
      <c r="A490" t="s">
        <v>2232</v>
      </c>
      <c r="B490" t="s">
        <v>5260</v>
      </c>
      <c r="C490" t="s">
        <v>3505</v>
      </c>
      <c r="D490">
        <v>432</v>
      </c>
      <c r="E490">
        <v>800</v>
      </c>
      <c r="F490">
        <v>1.1E-4</v>
      </c>
      <c r="G490">
        <v>-1</v>
      </c>
      <c r="H490" t="s">
        <v>6851</v>
      </c>
      <c r="I490">
        <f>VLOOKUP(Table9[[#This Row],[Shortname]], Comp[], 6, FALSE)</f>
        <v>294</v>
      </c>
      <c r="J490" s="14">
        <f>VLOOKUP(Table9[[#This Row],[Shortname]], Comp[], 7, FALSE)</f>
        <v>77</v>
      </c>
      <c r="K490">
        <f>VLOOKUP(Table9[[#This Row],[Shortname]], Comp[], 8, FALSE)</f>
        <v>0</v>
      </c>
      <c r="L490">
        <f>VLOOKUP(Table9[[#This Row],[Shortname]], Comp[], 9, FALSE)</f>
        <v>0</v>
      </c>
      <c r="M490">
        <f>VLOOKUP(Table9[[#This Row],[Shortname]], Comp[], 10, FALSE)</f>
        <v>0</v>
      </c>
      <c r="N490">
        <f>VLOOKUP(Table9[[#This Row],[Shortname]], Comp[], 11, FALSE)</f>
        <v>0</v>
      </c>
      <c r="O490">
        <f>VLOOKUP(Table9[[#This Row],[Shortname]], Comp[],12, FALSE)</f>
        <v>23</v>
      </c>
      <c r="P490">
        <f>VLOOKUP(Table9[[#This Row],[Shortname]], Comp[], 13, FALSE)</f>
        <v>0</v>
      </c>
      <c r="Q490">
        <f>VLOOKUP(Table9[[#This Row],[Shortname]], Comp[], 14, FALSE)</f>
        <v>0</v>
      </c>
      <c r="R490">
        <f>VLOOKUP(Table9[[#This Row],[Shortname]], Comp[], 15, FALSE)</f>
        <v>0</v>
      </c>
      <c r="S490">
        <f>VLOOKUP(Table9[[#This Row],[Shortname]], Comp[], 16, FALSE)</f>
        <v>0</v>
      </c>
      <c r="T490">
        <f>VLOOKUP(Table9[[#This Row],[Shortname]], Comp[], 17, FALSE)</f>
        <v>0</v>
      </c>
      <c r="U490">
        <f>VLOOKUP(Table9[[#This Row],[Shortname]], Comp[], 18, FALSE)</f>
        <v>0</v>
      </c>
      <c r="V490">
        <f>VLOOKUP(Table9[[#This Row],[Shortname]], Comp[], 19, FALSE)</f>
        <v>0</v>
      </c>
      <c r="W490">
        <f>VLOOKUP(Table9[[#This Row],[Shortname]], Comp[], 20, FALSE)</f>
        <v>0</v>
      </c>
      <c r="X490">
        <f>VLOOKUP(Table9[[#This Row],[Shortname]], Comp[], 21, FALSE)</f>
        <v>0</v>
      </c>
      <c r="Y490">
        <f>VLOOKUP(Table9[[#This Row],[Shortname]], Comp[], 22, FALSE)</f>
        <v>0</v>
      </c>
      <c r="Z490">
        <f>VLOOKUP(Table9[[#This Row],[Shortname]], Comp[], 23, FALSE)</f>
        <v>0</v>
      </c>
      <c r="AA490">
        <f>VLOOKUP(Table9[[#This Row],[Shortname]], Comp[], 24, FALSE)</f>
        <v>0</v>
      </c>
      <c r="AB490">
        <f>VLOOKUP(Table9[[#This Row],[Shortname]], Comp[], 25, FALSE)</f>
        <v>0</v>
      </c>
      <c r="AC490">
        <f>VLOOKUP(Table9[[#This Row],[Shortname]], Comp[], 26, FALSE)</f>
        <v>0</v>
      </c>
      <c r="AD490">
        <f>VLOOKUP(Table9[[#This Row],[Shortname]], Comp[], 27, FALSE)</f>
        <v>0</v>
      </c>
      <c r="AE490">
        <f>VLOOKUP(Table9[[#This Row],[Shortname]], Comp[], 28, FALSE)</f>
        <v>0</v>
      </c>
      <c r="AF490">
        <f>VLOOKUP(Table9[[#This Row],[Shortname]], Comp[], 29, FALSE)</f>
        <v>0</v>
      </c>
      <c r="AG490">
        <f>VLOOKUP(Table9[[#This Row],[Shortname]], Comp[], 30, FALSE)</f>
        <v>0</v>
      </c>
      <c r="AH490">
        <f>VLOOKUP(Table9[[#This Row],[Shortname]], Comp[], 31, FALSE)</f>
        <v>0</v>
      </c>
    </row>
    <row r="491" spans="1:34" x14ac:dyDescent="0.3">
      <c r="A491" t="s">
        <v>2232</v>
      </c>
      <c r="B491" t="s">
        <v>5260</v>
      </c>
      <c r="C491" t="s">
        <v>3505</v>
      </c>
      <c r="D491">
        <v>255</v>
      </c>
      <c r="E491">
        <v>950</v>
      </c>
      <c r="F491">
        <v>1.1E-4</v>
      </c>
      <c r="G491">
        <v>-1</v>
      </c>
      <c r="H491" t="s">
        <v>6851</v>
      </c>
      <c r="I491">
        <f>VLOOKUP(Table9[[#This Row],[Shortname]], Comp[], 6, FALSE)</f>
        <v>294</v>
      </c>
      <c r="J491" s="14">
        <f>VLOOKUP(Table9[[#This Row],[Shortname]], Comp[], 7, FALSE)</f>
        <v>77</v>
      </c>
      <c r="K491">
        <f>VLOOKUP(Table9[[#This Row],[Shortname]], Comp[], 8, FALSE)</f>
        <v>0</v>
      </c>
      <c r="L491">
        <f>VLOOKUP(Table9[[#This Row],[Shortname]], Comp[], 9, FALSE)</f>
        <v>0</v>
      </c>
      <c r="M491">
        <f>VLOOKUP(Table9[[#This Row],[Shortname]], Comp[], 10, FALSE)</f>
        <v>0</v>
      </c>
      <c r="N491">
        <f>VLOOKUP(Table9[[#This Row],[Shortname]], Comp[], 11, FALSE)</f>
        <v>0</v>
      </c>
      <c r="O491">
        <f>VLOOKUP(Table9[[#This Row],[Shortname]], Comp[],12, FALSE)</f>
        <v>23</v>
      </c>
      <c r="P491">
        <f>VLOOKUP(Table9[[#This Row],[Shortname]], Comp[], 13, FALSE)</f>
        <v>0</v>
      </c>
      <c r="Q491">
        <f>VLOOKUP(Table9[[#This Row],[Shortname]], Comp[], 14, FALSE)</f>
        <v>0</v>
      </c>
      <c r="R491">
        <f>VLOOKUP(Table9[[#This Row],[Shortname]], Comp[], 15, FALSE)</f>
        <v>0</v>
      </c>
      <c r="S491">
        <f>VLOOKUP(Table9[[#This Row],[Shortname]], Comp[], 16, FALSE)</f>
        <v>0</v>
      </c>
      <c r="T491">
        <f>VLOOKUP(Table9[[#This Row],[Shortname]], Comp[], 17, FALSE)</f>
        <v>0</v>
      </c>
      <c r="U491">
        <f>VLOOKUP(Table9[[#This Row],[Shortname]], Comp[], 18, FALSE)</f>
        <v>0</v>
      </c>
      <c r="V491">
        <f>VLOOKUP(Table9[[#This Row],[Shortname]], Comp[], 19, FALSE)</f>
        <v>0</v>
      </c>
      <c r="W491">
        <f>VLOOKUP(Table9[[#This Row],[Shortname]], Comp[], 20, FALSE)</f>
        <v>0</v>
      </c>
      <c r="X491">
        <f>VLOOKUP(Table9[[#This Row],[Shortname]], Comp[], 21, FALSE)</f>
        <v>0</v>
      </c>
      <c r="Y491">
        <f>VLOOKUP(Table9[[#This Row],[Shortname]], Comp[], 22, FALSE)</f>
        <v>0</v>
      </c>
      <c r="Z491">
        <f>VLOOKUP(Table9[[#This Row],[Shortname]], Comp[], 23, FALSE)</f>
        <v>0</v>
      </c>
      <c r="AA491">
        <f>VLOOKUP(Table9[[#This Row],[Shortname]], Comp[], 24, FALSE)</f>
        <v>0</v>
      </c>
      <c r="AB491">
        <f>VLOOKUP(Table9[[#This Row],[Shortname]], Comp[], 25, FALSE)</f>
        <v>0</v>
      </c>
      <c r="AC491">
        <f>VLOOKUP(Table9[[#This Row],[Shortname]], Comp[], 26, FALSE)</f>
        <v>0</v>
      </c>
      <c r="AD491">
        <f>VLOOKUP(Table9[[#This Row],[Shortname]], Comp[], 27, FALSE)</f>
        <v>0</v>
      </c>
      <c r="AE491">
        <f>VLOOKUP(Table9[[#This Row],[Shortname]], Comp[], 28, FALSE)</f>
        <v>0</v>
      </c>
      <c r="AF491">
        <f>VLOOKUP(Table9[[#This Row],[Shortname]], Comp[], 29, FALSE)</f>
        <v>0</v>
      </c>
      <c r="AG491">
        <f>VLOOKUP(Table9[[#This Row],[Shortname]], Comp[], 30, FALSE)</f>
        <v>0</v>
      </c>
      <c r="AH491">
        <f>VLOOKUP(Table9[[#This Row],[Shortname]], Comp[], 31, FALSE)</f>
        <v>0</v>
      </c>
    </row>
    <row r="492" spans="1:34" x14ac:dyDescent="0.3">
      <c r="A492" t="s">
        <v>3870</v>
      </c>
      <c r="B492" t="s">
        <v>3872</v>
      </c>
      <c r="C492" t="s">
        <v>3873</v>
      </c>
      <c r="D492">
        <v>559</v>
      </c>
      <c r="E492">
        <v>900</v>
      </c>
      <c r="F492">
        <v>1E-4</v>
      </c>
      <c r="G492">
        <v>-1</v>
      </c>
      <c r="H492" t="s">
        <v>6852</v>
      </c>
      <c r="I492">
        <f>VLOOKUP(Table9[[#This Row],[Shortname]], Comp[], 6, FALSE)</f>
        <v>581</v>
      </c>
      <c r="J492" s="14">
        <f>VLOOKUP(Table9[[#This Row],[Shortname]], Comp[], 7, FALSE)</f>
        <v>38</v>
      </c>
      <c r="K492">
        <f>VLOOKUP(Table9[[#This Row],[Shortname]], Comp[], 8, FALSE)</f>
        <v>38</v>
      </c>
      <c r="L492">
        <f>VLOOKUP(Table9[[#This Row],[Shortname]], Comp[], 9, FALSE)</f>
        <v>9</v>
      </c>
      <c r="M492">
        <f>VLOOKUP(Table9[[#This Row],[Shortname]], Comp[], 10, FALSE)</f>
        <v>6</v>
      </c>
      <c r="N492">
        <f>VLOOKUP(Table9[[#This Row],[Shortname]], Comp[], 11, FALSE)</f>
        <v>2</v>
      </c>
      <c r="O492">
        <f>VLOOKUP(Table9[[#This Row],[Shortname]], Comp[],12, FALSE)</f>
        <v>5</v>
      </c>
      <c r="P492">
        <f>VLOOKUP(Table9[[#This Row],[Shortname]], Comp[], 13, FALSE)</f>
        <v>1</v>
      </c>
      <c r="Q492">
        <f>VLOOKUP(Table9[[#This Row],[Shortname]], Comp[], 14, FALSE)</f>
        <v>0</v>
      </c>
      <c r="R492">
        <f>VLOOKUP(Table9[[#This Row],[Shortname]], Comp[], 15, FALSE)</f>
        <v>0</v>
      </c>
      <c r="S492">
        <f>VLOOKUP(Table9[[#This Row],[Shortname]], Comp[], 16, FALSE)</f>
        <v>1</v>
      </c>
      <c r="T492">
        <f>VLOOKUP(Table9[[#This Row],[Shortname]], Comp[], 17, FALSE)</f>
        <v>0</v>
      </c>
      <c r="U492">
        <f>VLOOKUP(Table9[[#This Row],[Shortname]], Comp[], 18, FALSE)</f>
        <v>0</v>
      </c>
      <c r="V492">
        <f>VLOOKUP(Table9[[#This Row],[Shortname]], Comp[], 19, FALSE)</f>
        <v>0</v>
      </c>
      <c r="W492">
        <f>VLOOKUP(Table9[[#This Row],[Shortname]], Comp[], 20, FALSE)</f>
        <v>0</v>
      </c>
      <c r="X492">
        <f>VLOOKUP(Table9[[#This Row],[Shortname]], Comp[], 21, FALSE)</f>
        <v>0</v>
      </c>
      <c r="Y492">
        <f>VLOOKUP(Table9[[#This Row],[Shortname]], Comp[], 22, FALSE)</f>
        <v>0</v>
      </c>
      <c r="Z492">
        <f>VLOOKUP(Table9[[#This Row],[Shortname]], Comp[], 23, FALSE)</f>
        <v>0</v>
      </c>
      <c r="AA492">
        <f>VLOOKUP(Table9[[#This Row],[Shortname]], Comp[], 24, FALSE)</f>
        <v>0</v>
      </c>
      <c r="AB492">
        <f>VLOOKUP(Table9[[#This Row],[Shortname]], Comp[], 25, FALSE)</f>
        <v>0</v>
      </c>
      <c r="AC492">
        <f>VLOOKUP(Table9[[#This Row],[Shortname]], Comp[], 26, FALSE)</f>
        <v>0</v>
      </c>
      <c r="AD492">
        <f>VLOOKUP(Table9[[#This Row],[Shortname]], Comp[], 27, FALSE)</f>
        <v>0</v>
      </c>
      <c r="AE492">
        <f>VLOOKUP(Table9[[#This Row],[Shortname]], Comp[], 28, FALSE)</f>
        <v>0</v>
      </c>
      <c r="AF492">
        <f>VLOOKUP(Table9[[#This Row],[Shortname]], Comp[], 29, FALSE)</f>
        <v>0</v>
      </c>
      <c r="AG492">
        <f>VLOOKUP(Table9[[#This Row],[Shortname]], Comp[], 30, FALSE)</f>
        <v>0</v>
      </c>
      <c r="AH492">
        <f>VLOOKUP(Table9[[#This Row],[Shortname]], Comp[], 31, FALSE)</f>
        <v>0</v>
      </c>
    </row>
    <row r="493" spans="1:34" x14ac:dyDescent="0.3">
      <c r="A493" t="s">
        <v>3877</v>
      </c>
      <c r="B493" t="s">
        <v>3879</v>
      </c>
      <c r="C493" t="s">
        <v>3873</v>
      </c>
      <c r="D493">
        <v>496</v>
      </c>
      <c r="E493">
        <v>900</v>
      </c>
      <c r="F493">
        <v>1E-4</v>
      </c>
      <c r="G493">
        <v>-1</v>
      </c>
      <c r="H493" t="s">
        <v>6852</v>
      </c>
      <c r="I493">
        <f>VLOOKUP(Table9[[#This Row],[Shortname]], Comp[], 6, FALSE)</f>
        <v>582</v>
      </c>
      <c r="J493" s="14">
        <f>VLOOKUP(Table9[[#This Row],[Shortname]], Comp[], 7, FALSE)</f>
        <v>38</v>
      </c>
      <c r="K493">
        <f>VLOOKUP(Table9[[#This Row],[Shortname]], Comp[], 8, FALSE)</f>
        <v>35</v>
      </c>
      <c r="L493">
        <f>VLOOKUP(Table9[[#This Row],[Shortname]], Comp[], 9, FALSE)</f>
        <v>13</v>
      </c>
      <c r="M493">
        <f>VLOOKUP(Table9[[#This Row],[Shortname]], Comp[], 10, FALSE)</f>
        <v>6</v>
      </c>
      <c r="N493">
        <f>VLOOKUP(Table9[[#This Row],[Shortname]], Comp[], 11, FALSE)</f>
        <v>2</v>
      </c>
      <c r="O493">
        <f>VLOOKUP(Table9[[#This Row],[Shortname]], Comp[],12, FALSE)</f>
        <v>5</v>
      </c>
      <c r="P493">
        <f>VLOOKUP(Table9[[#This Row],[Shortname]], Comp[], 13, FALSE)</f>
        <v>1</v>
      </c>
      <c r="Q493">
        <f>VLOOKUP(Table9[[#This Row],[Shortname]], Comp[], 14, FALSE)</f>
        <v>0</v>
      </c>
      <c r="R493">
        <f>VLOOKUP(Table9[[#This Row],[Shortname]], Comp[], 15, FALSE)</f>
        <v>0</v>
      </c>
      <c r="S493">
        <f>VLOOKUP(Table9[[#This Row],[Shortname]], Comp[], 16, FALSE)</f>
        <v>0</v>
      </c>
      <c r="T493">
        <f>VLOOKUP(Table9[[#This Row],[Shortname]], Comp[], 17, FALSE)</f>
        <v>0</v>
      </c>
      <c r="U493">
        <f>VLOOKUP(Table9[[#This Row],[Shortname]], Comp[], 18, FALSE)</f>
        <v>0</v>
      </c>
      <c r="V493">
        <f>VLOOKUP(Table9[[#This Row],[Shortname]], Comp[], 19, FALSE)</f>
        <v>0</v>
      </c>
      <c r="W493">
        <f>VLOOKUP(Table9[[#This Row],[Shortname]], Comp[], 20, FALSE)</f>
        <v>0</v>
      </c>
      <c r="X493">
        <f>VLOOKUP(Table9[[#This Row],[Shortname]], Comp[], 21, FALSE)</f>
        <v>0</v>
      </c>
      <c r="Y493">
        <f>VLOOKUP(Table9[[#This Row],[Shortname]], Comp[], 22, FALSE)</f>
        <v>0</v>
      </c>
      <c r="Z493">
        <f>VLOOKUP(Table9[[#This Row],[Shortname]], Comp[], 23, FALSE)</f>
        <v>0</v>
      </c>
      <c r="AA493">
        <f>VLOOKUP(Table9[[#This Row],[Shortname]], Comp[], 24, FALSE)</f>
        <v>0</v>
      </c>
      <c r="AB493">
        <f>VLOOKUP(Table9[[#This Row],[Shortname]], Comp[], 25, FALSE)</f>
        <v>0</v>
      </c>
      <c r="AC493">
        <f>VLOOKUP(Table9[[#This Row],[Shortname]], Comp[], 26, FALSE)</f>
        <v>0</v>
      </c>
      <c r="AD493">
        <f>VLOOKUP(Table9[[#This Row],[Shortname]], Comp[], 27, FALSE)</f>
        <v>0</v>
      </c>
      <c r="AE493">
        <f>VLOOKUP(Table9[[#This Row],[Shortname]], Comp[], 28, FALSE)</f>
        <v>0</v>
      </c>
      <c r="AF493">
        <f>VLOOKUP(Table9[[#This Row],[Shortname]], Comp[], 29, FALSE)</f>
        <v>0</v>
      </c>
      <c r="AG493">
        <f>VLOOKUP(Table9[[#This Row],[Shortname]], Comp[], 30, FALSE)</f>
        <v>0</v>
      </c>
      <c r="AH493">
        <f>VLOOKUP(Table9[[#This Row],[Shortname]], Comp[], 31, FALSE)</f>
        <v>0</v>
      </c>
    </row>
    <row r="494" spans="1:34" x14ac:dyDescent="0.3">
      <c r="A494" t="s">
        <v>4491</v>
      </c>
      <c r="B494" t="s">
        <v>4493</v>
      </c>
      <c r="C494" t="s">
        <v>4494</v>
      </c>
      <c r="D494">
        <v>339.27</v>
      </c>
      <c r="E494">
        <v>1050</v>
      </c>
      <c r="F494">
        <v>0.01</v>
      </c>
      <c r="G494">
        <v>1</v>
      </c>
      <c r="I494">
        <f>VLOOKUP(Table9[[#This Row],[Shortname]], Comp[], 6, FALSE)</f>
        <v>685</v>
      </c>
      <c r="J494" s="14">
        <f>VLOOKUP(Table9[[#This Row],[Shortname]], Comp[], 7, FALSE)</f>
        <v>43.794999999999995</v>
      </c>
      <c r="K494">
        <f>VLOOKUP(Table9[[#This Row],[Shortname]], Comp[], 8, FALSE)</f>
        <v>31</v>
      </c>
      <c r="L494">
        <f>VLOOKUP(Table9[[#This Row],[Shortname]], Comp[], 9, FALSE)</f>
        <v>2.63</v>
      </c>
      <c r="M494">
        <f>VLOOKUP(Table9[[#This Row],[Shortname]], Comp[], 10, FALSE)</f>
        <v>11</v>
      </c>
      <c r="N494">
        <f>VLOOKUP(Table9[[#This Row],[Shortname]], Comp[], 11, FALSE)</f>
        <v>9</v>
      </c>
      <c r="O494">
        <f>VLOOKUP(Table9[[#This Row],[Shortname]], Comp[],12, FALSE)</f>
        <v>1.98</v>
      </c>
      <c r="P494">
        <f>VLOOKUP(Table9[[#This Row],[Shortname]], Comp[], 13, FALSE)</f>
        <v>0</v>
      </c>
      <c r="Q494">
        <f>VLOOKUP(Table9[[#This Row],[Shortname]], Comp[], 14, FALSE)</f>
        <v>0</v>
      </c>
      <c r="R494">
        <f>VLOOKUP(Table9[[#This Row],[Shortname]], Comp[], 15, FALSE)</f>
        <v>0</v>
      </c>
      <c r="S494">
        <f>VLOOKUP(Table9[[#This Row],[Shortname]], Comp[], 16, FALSE)</f>
        <v>0</v>
      </c>
      <c r="T494">
        <f>VLOOKUP(Table9[[#This Row],[Shortname]], Comp[], 17, FALSE)</f>
        <v>7.0000000000000007E-2</v>
      </c>
      <c r="U494">
        <f>VLOOKUP(Table9[[#This Row],[Shortname]], Comp[], 18, FALSE)</f>
        <v>0</v>
      </c>
      <c r="V494">
        <f>VLOOKUP(Table9[[#This Row],[Shortname]], Comp[], 19, FALSE)</f>
        <v>1.4999999999999999E-2</v>
      </c>
      <c r="W494">
        <f>VLOOKUP(Table9[[#This Row],[Shortname]], Comp[], 20, FALSE)</f>
        <v>0</v>
      </c>
      <c r="X494">
        <f>VLOOKUP(Table9[[#This Row],[Shortname]], Comp[], 21, FALSE)</f>
        <v>0</v>
      </c>
      <c r="Y494">
        <f>VLOOKUP(Table9[[#This Row],[Shortname]], Comp[], 22, FALSE)</f>
        <v>0.2</v>
      </c>
      <c r="Z494">
        <f>VLOOKUP(Table9[[#This Row],[Shortname]], Comp[], 23, FALSE)</f>
        <v>0</v>
      </c>
      <c r="AA494">
        <f>VLOOKUP(Table9[[#This Row],[Shortname]], Comp[], 24, FALSE)</f>
        <v>0</v>
      </c>
      <c r="AB494">
        <f>VLOOKUP(Table9[[#This Row],[Shortname]], Comp[], 25, FALSE)</f>
        <v>0.31</v>
      </c>
      <c r="AC494">
        <f>VLOOKUP(Table9[[#This Row],[Shortname]], Comp[], 26, FALSE)</f>
        <v>0</v>
      </c>
      <c r="AD494">
        <f>VLOOKUP(Table9[[#This Row],[Shortname]], Comp[], 27, FALSE)</f>
        <v>0</v>
      </c>
      <c r="AE494">
        <f>VLOOKUP(Table9[[#This Row],[Shortname]], Comp[], 28, FALSE)</f>
        <v>0</v>
      </c>
      <c r="AF494">
        <f>VLOOKUP(Table9[[#This Row],[Shortname]], Comp[], 29, FALSE)</f>
        <v>0</v>
      </c>
      <c r="AG494">
        <f>VLOOKUP(Table9[[#This Row],[Shortname]], Comp[], 30, FALSE)</f>
        <v>0</v>
      </c>
      <c r="AH494">
        <f>VLOOKUP(Table9[[#This Row],[Shortname]], Comp[], 31, FALSE)</f>
        <v>0</v>
      </c>
    </row>
    <row r="495" spans="1:34" x14ac:dyDescent="0.3">
      <c r="A495" t="s">
        <v>4491</v>
      </c>
      <c r="B495" t="s">
        <v>4493</v>
      </c>
      <c r="C495" t="s">
        <v>4494</v>
      </c>
      <c r="D495">
        <v>213.85</v>
      </c>
      <c r="E495">
        <v>1100</v>
      </c>
      <c r="F495">
        <v>0.01</v>
      </c>
      <c r="G495">
        <v>1</v>
      </c>
      <c r="I495">
        <f>VLOOKUP(Table9[[#This Row],[Shortname]], Comp[], 6, FALSE)</f>
        <v>685</v>
      </c>
      <c r="J495" s="14">
        <f>VLOOKUP(Table9[[#This Row],[Shortname]], Comp[], 7, FALSE)</f>
        <v>43.794999999999995</v>
      </c>
      <c r="K495">
        <f>VLOOKUP(Table9[[#This Row],[Shortname]], Comp[], 8, FALSE)</f>
        <v>31</v>
      </c>
      <c r="L495">
        <f>VLOOKUP(Table9[[#This Row],[Shortname]], Comp[], 9, FALSE)</f>
        <v>2.63</v>
      </c>
      <c r="M495">
        <f>VLOOKUP(Table9[[#This Row],[Shortname]], Comp[], 10, FALSE)</f>
        <v>11</v>
      </c>
      <c r="N495">
        <f>VLOOKUP(Table9[[#This Row],[Shortname]], Comp[], 11, FALSE)</f>
        <v>9</v>
      </c>
      <c r="O495">
        <f>VLOOKUP(Table9[[#This Row],[Shortname]], Comp[],12, FALSE)</f>
        <v>1.98</v>
      </c>
      <c r="P495">
        <f>VLOOKUP(Table9[[#This Row],[Shortname]], Comp[], 13, FALSE)</f>
        <v>0</v>
      </c>
      <c r="Q495">
        <f>VLOOKUP(Table9[[#This Row],[Shortname]], Comp[], 14, FALSE)</f>
        <v>0</v>
      </c>
      <c r="R495">
        <f>VLOOKUP(Table9[[#This Row],[Shortname]], Comp[], 15, FALSE)</f>
        <v>0</v>
      </c>
      <c r="S495">
        <f>VLOOKUP(Table9[[#This Row],[Shortname]], Comp[], 16, FALSE)</f>
        <v>0</v>
      </c>
      <c r="T495">
        <f>VLOOKUP(Table9[[#This Row],[Shortname]], Comp[], 17, FALSE)</f>
        <v>7.0000000000000007E-2</v>
      </c>
      <c r="U495">
        <f>VLOOKUP(Table9[[#This Row],[Shortname]], Comp[], 18, FALSE)</f>
        <v>0</v>
      </c>
      <c r="V495">
        <f>VLOOKUP(Table9[[#This Row],[Shortname]], Comp[], 19, FALSE)</f>
        <v>1.4999999999999999E-2</v>
      </c>
      <c r="W495">
        <f>VLOOKUP(Table9[[#This Row],[Shortname]], Comp[], 20, FALSE)</f>
        <v>0</v>
      </c>
      <c r="X495">
        <f>VLOOKUP(Table9[[#This Row],[Shortname]], Comp[], 21, FALSE)</f>
        <v>0</v>
      </c>
      <c r="Y495">
        <f>VLOOKUP(Table9[[#This Row],[Shortname]], Comp[], 22, FALSE)</f>
        <v>0.2</v>
      </c>
      <c r="Z495">
        <f>VLOOKUP(Table9[[#This Row],[Shortname]], Comp[], 23, FALSE)</f>
        <v>0</v>
      </c>
      <c r="AA495">
        <f>VLOOKUP(Table9[[#This Row],[Shortname]], Comp[], 24, FALSE)</f>
        <v>0</v>
      </c>
      <c r="AB495">
        <f>VLOOKUP(Table9[[#This Row],[Shortname]], Comp[], 25, FALSE)</f>
        <v>0.31</v>
      </c>
      <c r="AC495">
        <f>VLOOKUP(Table9[[#This Row],[Shortname]], Comp[], 26, FALSE)</f>
        <v>0</v>
      </c>
      <c r="AD495">
        <f>VLOOKUP(Table9[[#This Row],[Shortname]], Comp[], 27, FALSE)</f>
        <v>0</v>
      </c>
      <c r="AE495">
        <f>VLOOKUP(Table9[[#This Row],[Shortname]], Comp[], 28, FALSE)</f>
        <v>0</v>
      </c>
      <c r="AF495">
        <f>VLOOKUP(Table9[[#This Row],[Shortname]], Comp[], 29, FALSE)</f>
        <v>0</v>
      </c>
      <c r="AG495">
        <f>VLOOKUP(Table9[[#This Row],[Shortname]], Comp[], 30, FALSE)</f>
        <v>0</v>
      </c>
      <c r="AH495">
        <f>VLOOKUP(Table9[[#This Row],[Shortname]], Comp[], 31, FALSE)</f>
        <v>0</v>
      </c>
    </row>
    <row r="496" spans="1:34" x14ac:dyDescent="0.3">
      <c r="A496" t="s">
        <v>4491</v>
      </c>
      <c r="B496" t="s">
        <v>4493</v>
      </c>
      <c r="C496" t="s">
        <v>4494</v>
      </c>
      <c r="D496">
        <v>129.5</v>
      </c>
      <c r="E496">
        <v>1150</v>
      </c>
      <c r="F496">
        <v>0.01</v>
      </c>
      <c r="G496">
        <v>1</v>
      </c>
      <c r="I496">
        <f>VLOOKUP(Table9[[#This Row],[Shortname]], Comp[], 6, FALSE)</f>
        <v>685</v>
      </c>
      <c r="J496" s="14">
        <f>VLOOKUP(Table9[[#This Row],[Shortname]], Comp[], 7, FALSE)</f>
        <v>43.794999999999995</v>
      </c>
      <c r="K496">
        <f>VLOOKUP(Table9[[#This Row],[Shortname]], Comp[], 8, FALSE)</f>
        <v>31</v>
      </c>
      <c r="L496">
        <f>VLOOKUP(Table9[[#This Row],[Shortname]], Comp[], 9, FALSE)</f>
        <v>2.63</v>
      </c>
      <c r="M496">
        <f>VLOOKUP(Table9[[#This Row],[Shortname]], Comp[], 10, FALSE)</f>
        <v>11</v>
      </c>
      <c r="N496">
        <f>VLOOKUP(Table9[[#This Row],[Shortname]], Comp[], 11, FALSE)</f>
        <v>9</v>
      </c>
      <c r="O496">
        <f>VLOOKUP(Table9[[#This Row],[Shortname]], Comp[],12, FALSE)</f>
        <v>1.98</v>
      </c>
      <c r="P496">
        <f>VLOOKUP(Table9[[#This Row],[Shortname]], Comp[], 13, FALSE)</f>
        <v>0</v>
      </c>
      <c r="Q496">
        <f>VLOOKUP(Table9[[#This Row],[Shortname]], Comp[], 14, FALSE)</f>
        <v>0</v>
      </c>
      <c r="R496">
        <f>VLOOKUP(Table9[[#This Row],[Shortname]], Comp[], 15, FALSE)</f>
        <v>0</v>
      </c>
      <c r="S496">
        <f>VLOOKUP(Table9[[#This Row],[Shortname]], Comp[], 16, FALSE)</f>
        <v>0</v>
      </c>
      <c r="T496">
        <f>VLOOKUP(Table9[[#This Row],[Shortname]], Comp[], 17, FALSE)</f>
        <v>7.0000000000000007E-2</v>
      </c>
      <c r="U496">
        <f>VLOOKUP(Table9[[#This Row],[Shortname]], Comp[], 18, FALSE)</f>
        <v>0</v>
      </c>
      <c r="V496">
        <f>VLOOKUP(Table9[[#This Row],[Shortname]], Comp[], 19, FALSE)</f>
        <v>1.4999999999999999E-2</v>
      </c>
      <c r="W496">
        <f>VLOOKUP(Table9[[#This Row],[Shortname]], Comp[], 20, FALSE)</f>
        <v>0</v>
      </c>
      <c r="X496">
        <f>VLOOKUP(Table9[[#This Row],[Shortname]], Comp[], 21, FALSE)</f>
        <v>0</v>
      </c>
      <c r="Y496">
        <f>VLOOKUP(Table9[[#This Row],[Shortname]], Comp[], 22, FALSE)</f>
        <v>0.2</v>
      </c>
      <c r="Z496">
        <f>VLOOKUP(Table9[[#This Row],[Shortname]], Comp[], 23, FALSE)</f>
        <v>0</v>
      </c>
      <c r="AA496">
        <f>VLOOKUP(Table9[[#This Row],[Shortname]], Comp[], 24, FALSE)</f>
        <v>0</v>
      </c>
      <c r="AB496">
        <f>VLOOKUP(Table9[[#This Row],[Shortname]], Comp[], 25, FALSE)</f>
        <v>0.31</v>
      </c>
      <c r="AC496">
        <f>VLOOKUP(Table9[[#This Row],[Shortname]], Comp[], 26, FALSE)</f>
        <v>0</v>
      </c>
      <c r="AD496">
        <f>VLOOKUP(Table9[[#This Row],[Shortname]], Comp[], 27, FALSE)</f>
        <v>0</v>
      </c>
      <c r="AE496">
        <f>VLOOKUP(Table9[[#This Row],[Shortname]], Comp[], 28, FALSE)</f>
        <v>0</v>
      </c>
      <c r="AF496">
        <f>VLOOKUP(Table9[[#This Row],[Shortname]], Comp[], 29, FALSE)</f>
        <v>0</v>
      </c>
      <c r="AG496">
        <f>VLOOKUP(Table9[[#This Row],[Shortname]], Comp[], 30, FALSE)</f>
        <v>0</v>
      </c>
      <c r="AH496">
        <f>VLOOKUP(Table9[[#This Row],[Shortname]], Comp[], 31, FALSE)</f>
        <v>0</v>
      </c>
    </row>
    <row r="497" spans="1:34" x14ac:dyDescent="0.3">
      <c r="A497" t="s">
        <v>4491</v>
      </c>
      <c r="B497" t="s">
        <v>4493</v>
      </c>
      <c r="C497" t="s">
        <v>4494</v>
      </c>
      <c r="D497">
        <v>100.32</v>
      </c>
      <c r="E497">
        <v>1200</v>
      </c>
      <c r="F497">
        <v>0.01</v>
      </c>
      <c r="G497">
        <v>1</v>
      </c>
      <c r="I497">
        <f>VLOOKUP(Table9[[#This Row],[Shortname]], Comp[], 6, FALSE)</f>
        <v>685</v>
      </c>
      <c r="J497" s="14">
        <f>VLOOKUP(Table9[[#This Row],[Shortname]], Comp[], 7, FALSE)</f>
        <v>43.794999999999995</v>
      </c>
      <c r="K497">
        <f>VLOOKUP(Table9[[#This Row],[Shortname]], Comp[], 8, FALSE)</f>
        <v>31</v>
      </c>
      <c r="L497">
        <f>VLOOKUP(Table9[[#This Row],[Shortname]], Comp[], 9, FALSE)</f>
        <v>2.63</v>
      </c>
      <c r="M497">
        <f>VLOOKUP(Table9[[#This Row],[Shortname]], Comp[], 10, FALSE)</f>
        <v>11</v>
      </c>
      <c r="N497">
        <f>VLOOKUP(Table9[[#This Row],[Shortname]], Comp[], 11, FALSE)</f>
        <v>9</v>
      </c>
      <c r="O497">
        <f>VLOOKUP(Table9[[#This Row],[Shortname]], Comp[],12, FALSE)</f>
        <v>1.98</v>
      </c>
      <c r="P497">
        <f>VLOOKUP(Table9[[#This Row],[Shortname]], Comp[], 13, FALSE)</f>
        <v>0</v>
      </c>
      <c r="Q497">
        <f>VLOOKUP(Table9[[#This Row],[Shortname]], Comp[], 14, FALSE)</f>
        <v>0</v>
      </c>
      <c r="R497">
        <f>VLOOKUP(Table9[[#This Row],[Shortname]], Comp[], 15, FALSE)</f>
        <v>0</v>
      </c>
      <c r="S497">
        <f>VLOOKUP(Table9[[#This Row],[Shortname]], Comp[], 16, FALSE)</f>
        <v>0</v>
      </c>
      <c r="T497">
        <f>VLOOKUP(Table9[[#This Row],[Shortname]], Comp[], 17, FALSE)</f>
        <v>7.0000000000000007E-2</v>
      </c>
      <c r="U497">
        <f>VLOOKUP(Table9[[#This Row],[Shortname]], Comp[], 18, FALSE)</f>
        <v>0</v>
      </c>
      <c r="V497">
        <f>VLOOKUP(Table9[[#This Row],[Shortname]], Comp[], 19, FALSE)</f>
        <v>1.4999999999999999E-2</v>
      </c>
      <c r="W497">
        <f>VLOOKUP(Table9[[#This Row],[Shortname]], Comp[], 20, FALSE)</f>
        <v>0</v>
      </c>
      <c r="X497">
        <f>VLOOKUP(Table9[[#This Row],[Shortname]], Comp[], 21, FALSE)</f>
        <v>0</v>
      </c>
      <c r="Y497">
        <f>VLOOKUP(Table9[[#This Row],[Shortname]], Comp[], 22, FALSE)</f>
        <v>0.2</v>
      </c>
      <c r="Z497">
        <f>VLOOKUP(Table9[[#This Row],[Shortname]], Comp[], 23, FALSE)</f>
        <v>0</v>
      </c>
      <c r="AA497">
        <f>VLOOKUP(Table9[[#This Row],[Shortname]], Comp[], 24, FALSE)</f>
        <v>0</v>
      </c>
      <c r="AB497">
        <f>VLOOKUP(Table9[[#This Row],[Shortname]], Comp[], 25, FALSE)</f>
        <v>0.31</v>
      </c>
      <c r="AC497">
        <f>VLOOKUP(Table9[[#This Row],[Shortname]], Comp[], 26, FALSE)</f>
        <v>0</v>
      </c>
      <c r="AD497">
        <f>VLOOKUP(Table9[[#This Row],[Shortname]], Comp[], 27, FALSE)</f>
        <v>0</v>
      </c>
      <c r="AE497">
        <f>VLOOKUP(Table9[[#This Row],[Shortname]], Comp[], 28, FALSE)</f>
        <v>0</v>
      </c>
      <c r="AF497">
        <f>VLOOKUP(Table9[[#This Row],[Shortname]], Comp[], 29, FALSE)</f>
        <v>0</v>
      </c>
      <c r="AG497">
        <f>VLOOKUP(Table9[[#This Row],[Shortname]], Comp[], 30, FALSE)</f>
        <v>0</v>
      </c>
      <c r="AH497">
        <f>VLOOKUP(Table9[[#This Row],[Shortname]], Comp[], 31, FALSE)</f>
        <v>0</v>
      </c>
    </row>
    <row r="498" spans="1:34" x14ac:dyDescent="0.3">
      <c r="A498" t="s">
        <v>4491</v>
      </c>
      <c r="B498" t="s">
        <v>4493</v>
      </c>
      <c r="C498" t="s">
        <v>4494</v>
      </c>
      <c r="D498">
        <v>480.68</v>
      </c>
      <c r="E498">
        <v>1050</v>
      </c>
      <c r="F498">
        <v>0.1</v>
      </c>
      <c r="G498">
        <v>1</v>
      </c>
      <c r="I498">
        <f>VLOOKUP(Table9[[#This Row],[Shortname]], Comp[], 6, FALSE)</f>
        <v>685</v>
      </c>
      <c r="J498" s="14">
        <f>VLOOKUP(Table9[[#This Row],[Shortname]], Comp[], 7, FALSE)</f>
        <v>43.794999999999995</v>
      </c>
      <c r="K498">
        <f>VLOOKUP(Table9[[#This Row],[Shortname]], Comp[], 8, FALSE)</f>
        <v>31</v>
      </c>
      <c r="L498">
        <f>VLOOKUP(Table9[[#This Row],[Shortname]], Comp[], 9, FALSE)</f>
        <v>2.63</v>
      </c>
      <c r="M498">
        <f>VLOOKUP(Table9[[#This Row],[Shortname]], Comp[], 10, FALSE)</f>
        <v>11</v>
      </c>
      <c r="N498">
        <f>VLOOKUP(Table9[[#This Row],[Shortname]], Comp[], 11, FALSE)</f>
        <v>9</v>
      </c>
      <c r="O498">
        <f>VLOOKUP(Table9[[#This Row],[Shortname]], Comp[],12, FALSE)</f>
        <v>1.98</v>
      </c>
      <c r="P498">
        <f>VLOOKUP(Table9[[#This Row],[Shortname]], Comp[], 13, FALSE)</f>
        <v>0</v>
      </c>
      <c r="Q498">
        <f>VLOOKUP(Table9[[#This Row],[Shortname]], Comp[], 14, FALSE)</f>
        <v>0</v>
      </c>
      <c r="R498">
        <f>VLOOKUP(Table9[[#This Row],[Shortname]], Comp[], 15, FALSE)</f>
        <v>0</v>
      </c>
      <c r="S498">
        <f>VLOOKUP(Table9[[#This Row],[Shortname]], Comp[], 16, FALSE)</f>
        <v>0</v>
      </c>
      <c r="T498">
        <f>VLOOKUP(Table9[[#This Row],[Shortname]], Comp[], 17, FALSE)</f>
        <v>7.0000000000000007E-2</v>
      </c>
      <c r="U498">
        <f>VLOOKUP(Table9[[#This Row],[Shortname]], Comp[], 18, FALSE)</f>
        <v>0</v>
      </c>
      <c r="V498">
        <f>VLOOKUP(Table9[[#This Row],[Shortname]], Comp[], 19, FALSE)</f>
        <v>1.4999999999999999E-2</v>
      </c>
      <c r="W498">
        <f>VLOOKUP(Table9[[#This Row],[Shortname]], Comp[], 20, FALSE)</f>
        <v>0</v>
      </c>
      <c r="X498">
        <f>VLOOKUP(Table9[[#This Row],[Shortname]], Comp[], 21, FALSE)</f>
        <v>0</v>
      </c>
      <c r="Y498">
        <f>VLOOKUP(Table9[[#This Row],[Shortname]], Comp[], 22, FALSE)</f>
        <v>0.2</v>
      </c>
      <c r="Z498">
        <f>VLOOKUP(Table9[[#This Row],[Shortname]], Comp[], 23, FALSE)</f>
        <v>0</v>
      </c>
      <c r="AA498">
        <f>VLOOKUP(Table9[[#This Row],[Shortname]], Comp[], 24, FALSE)</f>
        <v>0</v>
      </c>
      <c r="AB498">
        <f>VLOOKUP(Table9[[#This Row],[Shortname]], Comp[], 25, FALSE)</f>
        <v>0.31</v>
      </c>
      <c r="AC498">
        <f>VLOOKUP(Table9[[#This Row],[Shortname]], Comp[], 26, FALSE)</f>
        <v>0</v>
      </c>
      <c r="AD498">
        <f>VLOOKUP(Table9[[#This Row],[Shortname]], Comp[], 27, FALSE)</f>
        <v>0</v>
      </c>
      <c r="AE498">
        <f>VLOOKUP(Table9[[#This Row],[Shortname]], Comp[], 28, FALSE)</f>
        <v>0</v>
      </c>
      <c r="AF498">
        <f>VLOOKUP(Table9[[#This Row],[Shortname]], Comp[], 29, FALSE)</f>
        <v>0</v>
      </c>
      <c r="AG498">
        <f>VLOOKUP(Table9[[#This Row],[Shortname]], Comp[], 30, FALSE)</f>
        <v>0</v>
      </c>
      <c r="AH498">
        <f>VLOOKUP(Table9[[#This Row],[Shortname]], Comp[], 31, FALSE)</f>
        <v>0</v>
      </c>
    </row>
    <row r="499" spans="1:34" x14ac:dyDescent="0.3">
      <c r="A499" t="s">
        <v>4491</v>
      </c>
      <c r="B499" t="s">
        <v>4493</v>
      </c>
      <c r="C499" t="s">
        <v>4494</v>
      </c>
      <c r="D499">
        <v>298.18</v>
      </c>
      <c r="E499">
        <v>1100</v>
      </c>
      <c r="F499">
        <v>0.1</v>
      </c>
      <c r="G499">
        <v>1</v>
      </c>
      <c r="I499">
        <f>VLOOKUP(Table9[[#This Row],[Shortname]], Comp[], 6, FALSE)</f>
        <v>685</v>
      </c>
      <c r="J499" s="14">
        <f>VLOOKUP(Table9[[#This Row],[Shortname]], Comp[], 7, FALSE)</f>
        <v>43.794999999999995</v>
      </c>
      <c r="K499">
        <f>VLOOKUP(Table9[[#This Row],[Shortname]], Comp[], 8, FALSE)</f>
        <v>31</v>
      </c>
      <c r="L499">
        <f>VLOOKUP(Table9[[#This Row],[Shortname]], Comp[], 9, FALSE)</f>
        <v>2.63</v>
      </c>
      <c r="M499">
        <f>VLOOKUP(Table9[[#This Row],[Shortname]], Comp[], 10, FALSE)</f>
        <v>11</v>
      </c>
      <c r="N499">
        <f>VLOOKUP(Table9[[#This Row],[Shortname]], Comp[], 11, FALSE)</f>
        <v>9</v>
      </c>
      <c r="O499">
        <f>VLOOKUP(Table9[[#This Row],[Shortname]], Comp[],12, FALSE)</f>
        <v>1.98</v>
      </c>
      <c r="P499">
        <f>VLOOKUP(Table9[[#This Row],[Shortname]], Comp[], 13, FALSE)</f>
        <v>0</v>
      </c>
      <c r="Q499">
        <f>VLOOKUP(Table9[[#This Row],[Shortname]], Comp[], 14, FALSE)</f>
        <v>0</v>
      </c>
      <c r="R499">
        <f>VLOOKUP(Table9[[#This Row],[Shortname]], Comp[], 15, FALSE)</f>
        <v>0</v>
      </c>
      <c r="S499">
        <f>VLOOKUP(Table9[[#This Row],[Shortname]], Comp[], 16, FALSE)</f>
        <v>0</v>
      </c>
      <c r="T499">
        <f>VLOOKUP(Table9[[#This Row],[Shortname]], Comp[], 17, FALSE)</f>
        <v>7.0000000000000007E-2</v>
      </c>
      <c r="U499">
        <f>VLOOKUP(Table9[[#This Row],[Shortname]], Comp[], 18, FALSE)</f>
        <v>0</v>
      </c>
      <c r="V499">
        <f>VLOOKUP(Table9[[#This Row],[Shortname]], Comp[], 19, FALSE)</f>
        <v>1.4999999999999999E-2</v>
      </c>
      <c r="W499">
        <f>VLOOKUP(Table9[[#This Row],[Shortname]], Comp[], 20, FALSE)</f>
        <v>0</v>
      </c>
      <c r="X499">
        <f>VLOOKUP(Table9[[#This Row],[Shortname]], Comp[], 21, FALSE)</f>
        <v>0</v>
      </c>
      <c r="Y499">
        <f>VLOOKUP(Table9[[#This Row],[Shortname]], Comp[], 22, FALSE)</f>
        <v>0.2</v>
      </c>
      <c r="Z499">
        <f>VLOOKUP(Table9[[#This Row],[Shortname]], Comp[], 23, FALSE)</f>
        <v>0</v>
      </c>
      <c r="AA499">
        <f>VLOOKUP(Table9[[#This Row],[Shortname]], Comp[], 24, FALSE)</f>
        <v>0</v>
      </c>
      <c r="AB499">
        <f>VLOOKUP(Table9[[#This Row],[Shortname]], Comp[], 25, FALSE)</f>
        <v>0.31</v>
      </c>
      <c r="AC499">
        <f>VLOOKUP(Table9[[#This Row],[Shortname]], Comp[], 26, FALSE)</f>
        <v>0</v>
      </c>
      <c r="AD499">
        <f>VLOOKUP(Table9[[#This Row],[Shortname]], Comp[], 27, FALSE)</f>
        <v>0</v>
      </c>
      <c r="AE499">
        <f>VLOOKUP(Table9[[#This Row],[Shortname]], Comp[], 28, FALSE)</f>
        <v>0</v>
      </c>
      <c r="AF499">
        <f>VLOOKUP(Table9[[#This Row],[Shortname]], Comp[], 29, FALSE)</f>
        <v>0</v>
      </c>
      <c r="AG499">
        <f>VLOOKUP(Table9[[#This Row],[Shortname]], Comp[], 30, FALSE)</f>
        <v>0</v>
      </c>
      <c r="AH499">
        <f>VLOOKUP(Table9[[#This Row],[Shortname]], Comp[], 31, FALSE)</f>
        <v>0</v>
      </c>
    </row>
    <row r="500" spans="1:34" x14ac:dyDescent="0.3">
      <c r="A500" t="s">
        <v>4491</v>
      </c>
      <c r="B500" t="s">
        <v>4493</v>
      </c>
      <c r="C500" t="s">
        <v>4494</v>
      </c>
      <c r="D500">
        <v>205.85</v>
      </c>
      <c r="E500">
        <v>1150</v>
      </c>
      <c r="F500">
        <v>0.1</v>
      </c>
      <c r="G500">
        <v>1</v>
      </c>
      <c r="I500">
        <f>VLOOKUP(Table9[[#This Row],[Shortname]], Comp[], 6, FALSE)</f>
        <v>685</v>
      </c>
      <c r="J500" s="14">
        <f>VLOOKUP(Table9[[#This Row],[Shortname]], Comp[], 7, FALSE)</f>
        <v>43.794999999999995</v>
      </c>
      <c r="K500">
        <f>VLOOKUP(Table9[[#This Row],[Shortname]], Comp[], 8, FALSE)</f>
        <v>31</v>
      </c>
      <c r="L500">
        <f>VLOOKUP(Table9[[#This Row],[Shortname]], Comp[], 9, FALSE)</f>
        <v>2.63</v>
      </c>
      <c r="M500">
        <f>VLOOKUP(Table9[[#This Row],[Shortname]], Comp[], 10, FALSE)</f>
        <v>11</v>
      </c>
      <c r="N500">
        <f>VLOOKUP(Table9[[#This Row],[Shortname]], Comp[], 11, FALSE)</f>
        <v>9</v>
      </c>
      <c r="O500">
        <f>VLOOKUP(Table9[[#This Row],[Shortname]], Comp[],12, FALSE)</f>
        <v>1.98</v>
      </c>
      <c r="P500">
        <f>VLOOKUP(Table9[[#This Row],[Shortname]], Comp[], 13, FALSE)</f>
        <v>0</v>
      </c>
      <c r="Q500">
        <f>VLOOKUP(Table9[[#This Row],[Shortname]], Comp[], 14, FALSE)</f>
        <v>0</v>
      </c>
      <c r="R500">
        <f>VLOOKUP(Table9[[#This Row],[Shortname]], Comp[], 15, FALSE)</f>
        <v>0</v>
      </c>
      <c r="S500">
        <f>VLOOKUP(Table9[[#This Row],[Shortname]], Comp[], 16, FALSE)</f>
        <v>0</v>
      </c>
      <c r="T500">
        <f>VLOOKUP(Table9[[#This Row],[Shortname]], Comp[], 17, FALSE)</f>
        <v>7.0000000000000007E-2</v>
      </c>
      <c r="U500">
        <f>VLOOKUP(Table9[[#This Row],[Shortname]], Comp[], 18, FALSE)</f>
        <v>0</v>
      </c>
      <c r="V500">
        <f>VLOOKUP(Table9[[#This Row],[Shortname]], Comp[], 19, FALSE)</f>
        <v>1.4999999999999999E-2</v>
      </c>
      <c r="W500">
        <f>VLOOKUP(Table9[[#This Row],[Shortname]], Comp[], 20, FALSE)</f>
        <v>0</v>
      </c>
      <c r="X500">
        <f>VLOOKUP(Table9[[#This Row],[Shortname]], Comp[], 21, FALSE)</f>
        <v>0</v>
      </c>
      <c r="Y500">
        <f>VLOOKUP(Table9[[#This Row],[Shortname]], Comp[], 22, FALSE)</f>
        <v>0.2</v>
      </c>
      <c r="Z500">
        <f>VLOOKUP(Table9[[#This Row],[Shortname]], Comp[], 23, FALSE)</f>
        <v>0</v>
      </c>
      <c r="AA500">
        <f>VLOOKUP(Table9[[#This Row],[Shortname]], Comp[], 24, FALSE)</f>
        <v>0</v>
      </c>
      <c r="AB500">
        <f>VLOOKUP(Table9[[#This Row],[Shortname]], Comp[], 25, FALSE)</f>
        <v>0.31</v>
      </c>
      <c r="AC500">
        <f>VLOOKUP(Table9[[#This Row],[Shortname]], Comp[], 26, FALSE)</f>
        <v>0</v>
      </c>
      <c r="AD500">
        <f>VLOOKUP(Table9[[#This Row],[Shortname]], Comp[], 27, FALSE)</f>
        <v>0</v>
      </c>
      <c r="AE500">
        <f>VLOOKUP(Table9[[#This Row],[Shortname]], Comp[], 28, FALSE)</f>
        <v>0</v>
      </c>
      <c r="AF500">
        <f>VLOOKUP(Table9[[#This Row],[Shortname]], Comp[], 29, FALSE)</f>
        <v>0</v>
      </c>
      <c r="AG500">
        <f>VLOOKUP(Table9[[#This Row],[Shortname]], Comp[], 30, FALSE)</f>
        <v>0</v>
      </c>
      <c r="AH500">
        <f>VLOOKUP(Table9[[#This Row],[Shortname]], Comp[], 31, FALSE)</f>
        <v>0</v>
      </c>
    </row>
    <row r="501" spans="1:34" x14ac:dyDescent="0.3">
      <c r="A501" t="s">
        <v>4491</v>
      </c>
      <c r="B501" t="s">
        <v>4493</v>
      </c>
      <c r="C501" t="s">
        <v>4494</v>
      </c>
      <c r="D501">
        <v>158.94</v>
      </c>
      <c r="E501">
        <v>1200</v>
      </c>
      <c r="F501">
        <v>0.1</v>
      </c>
      <c r="G501">
        <v>1</v>
      </c>
      <c r="I501">
        <f>VLOOKUP(Table9[[#This Row],[Shortname]], Comp[], 6, FALSE)</f>
        <v>685</v>
      </c>
      <c r="J501" s="14">
        <f>VLOOKUP(Table9[[#This Row],[Shortname]], Comp[], 7, FALSE)</f>
        <v>43.794999999999995</v>
      </c>
      <c r="K501">
        <f>VLOOKUP(Table9[[#This Row],[Shortname]], Comp[], 8, FALSE)</f>
        <v>31</v>
      </c>
      <c r="L501">
        <f>VLOOKUP(Table9[[#This Row],[Shortname]], Comp[], 9, FALSE)</f>
        <v>2.63</v>
      </c>
      <c r="M501">
        <f>VLOOKUP(Table9[[#This Row],[Shortname]], Comp[], 10, FALSE)</f>
        <v>11</v>
      </c>
      <c r="N501">
        <f>VLOOKUP(Table9[[#This Row],[Shortname]], Comp[], 11, FALSE)</f>
        <v>9</v>
      </c>
      <c r="O501">
        <f>VLOOKUP(Table9[[#This Row],[Shortname]], Comp[],12, FALSE)</f>
        <v>1.98</v>
      </c>
      <c r="P501">
        <f>VLOOKUP(Table9[[#This Row],[Shortname]], Comp[], 13, FALSE)</f>
        <v>0</v>
      </c>
      <c r="Q501">
        <f>VLOOKUP(Table9[[#This Row],[Shortname]], Comp[], 14, FALSE)</f>
        <v>0</v>
      </c>
      <c r="R501">
        <f>VLOOKUP(Table9[[#This Row],[Shortname]], Comp[], 15, FALSE)</f>
        <v>0</v>
      </c>
      <c r="S501">
        <f>VLOOKUP(Table9[[#This Row],[Shortname]], Comp[], 16, FALSE)</f>
        <v>0</v>
      </c>
      <c r="T501">
        <f>VLOOKUP(Table9[[#This Row],[Shortname]], Comp[], 17, FALSE)</f>
        <v>7.0000000000000007E-2</v>
      </c>
      <c r="U501">
        <f>VLOOKUP(Table9[[#This Row],[Shortname]], Comp[], 18, FALSE)</f>
        <v>0</v>
      </c>
      <c r="V501">
        <f>VLOOKUP(Table9[[#This Row],[Shortname]], Comp[], 19, FALSE)</f>
        <v>1.4999999999999999E-2</v>
      </c>
      <c r="W501">
        <f>VLOOKUP(Table9[[#This Row],[Shortname]], Comp[], 20, FALSE)</f>
        <v>0</v>
      </c>
      <c r="X501">
        <f>VLOOKUP(Table9[[#This Row],[Shortname]], Comp[], 21, FALSE)</f>
        <v>0</v>
      </c>
      <c r="Y501">
        <f>VLOOKUP(Table9[[#This Row],[Shortname]], Comp[], 22, FALSE)</f>
        <v>0.2</v>
      </c>
      <c r="Z501">
        <f>VLOOKUP(Table9[[#This Row],[Shortname]], Comp[], 23, FALSE)</f>
        <v>0</v>
      </c>
      <c r="AA501">
        <f>VLOOKUP(Table9[[#This Row],[Shortname]], Comp[], 24, FALSE)</f>
        <v>0</v>
      </c>
      <c r="AB501">
        <f>VLOOKUP(Table9[[#This Row],[Shortname]], Comp[], 25, FALSE)</f>
        <v>0.31</v>
      </c>
      <c r="AC501">
        <f>VLOOKUP(Table9[[#This Row],[Shortname]], Comp[], 26, FALSE)</f>
        <v>0</v>
      </c>
      <c r="AD501">
        <f>VLOOKUP(Table9[[#This Row],[Shortname]], Comp[], 27, FALSE)</f>
        <v>0</v>
      </c>
      <c r="AE501">
        <f>VLOOKUP(Table9[[#This Row],[Shortname]], Comp[], 28, FALSE)</f>
        <v>0</v>
      </c>
      <c r="AF501">
        <f>VLOOKUP(Table9[[#This Row],[Shortname]], Comp[], 29, FALSE)</f>
        <v>0</v>
      </c>
      <c r="AG501">
        <f>VLOOKUP(Table9[[#This Row],[Shortname]], Comp[], 30, FALSE)</f>
        <v>0</v>
      </c>
      <c r="AH501">
        <f>VLOOKUP(Table9[[#This Row],[Shortname]], Comp[], 31, FALSE)</f>
        <v>0</v>
      </c>
    </row>
    <row r="502" spans="1:34" x14ac:dyDescent="0.3">
      <c r="A502" t="s">
        <v>4491</v>
      </c>
      <c r="B502" t="s">
        <v>4493</v>
      </c>
      <c r="C502" t="s">
        <v>4494</v>
      </c>
      <c r="D502">
        <v>495.45</v>
      </c>
      <c r="E502">
        <v>1050</v>
      </c>
      <c r="F502">
        <v>1</v>
      </c>
      <c r="G502">
        <v>1</v>
      </c>
      <c r="I502">
        <f>VLOOKUP(Table9[[#This Row],[Shortname]], Comp[], 6, FALSE)</f>
        <v>685</v>
      </c>
      <c r="J502" s="14">
        <f>VLOOKUP(Table9[[#This Row],[Shortname]], Comp[], 7, FALSE)</f>
        <v>43.794999999999995</v>
      </c>
      <c r="K502">
        <f>VLOOKUP(Table9[[#This Row],[Shortname]], Comp[], 8, FALSE)</f>
        <v>31</v>
      </c>
      <c r="L502">
        <f>VLOOKUP(Table9[[#This Row],[Shortname]], Comp[], 9, FALSE)</f>
        <v>2.63</v>
      </c>
      <c r="M502">
        <f>VLOOKUP(Table9[[#This Row],[Shortname]], Comp[], 10, FALSE)</f>
        <v>11</v>
      </c>
      <c r="N502">
        <f>VLOOKUP(Table9[[#This Row],[Shortname]], Comp[], 11, FALSE)</f>
        <v>9</v>
      </c>
      <c r="O502">
        <f>VLOOKUP(Table9[[#This Row],[Shortname]], Comp[],12, FALSE)</f>
        <v>1.98</v>
      </c>
      <c r="P502">
        <f>VLOOKUP(Table9[[#This Row],[Shortname]], Comp[], 13, FALSE)</f>
        <v>0</v>
      </c>
      <c r="Q502">
        <f>VLOOKUP(Table9[[#This Row],[Shortname]], Comp[], 14, FALSE)</f>
        <v>0</v>
      </c>
      <c r="R502">
        <f>VLOOKUP(Table9[[#This Row],[Shortname]], Comp[], 15, FALSE)</f>
        <v>0</v>
      </c>
      <c r="S502">
        <f>VLOOKUP(Table9[[#This Row],[Shortname]], Comp[], 16, FALSE)</f>
        <v>0</v>
      </c>
      <c r="T502">
        <f>VLOOKUP(Table9[[#This Row],[Shortname]], Comp[], 17, FALSE)</f>
        <v>7.0000000000000007E-2</v>
      </c>
      <c r="U502">
        <f>VLOOKUP(Table9[[#This Row],[Shortname]], Comp[], 18, FALSE)</f>
        <v>0</v>
      </c>
      <c r="V502">
        <f>VLOOKUP(Table9[[#This Row],[Shortname]], Comp[], 19, FALSE)</f>
        <v>1.4999999999999999E-2</v>
      </c>
      <c r="W502">
        <f>VLOOKUP(Table9[[#This Row],[Shortname]], Comp[], 20, FALSE)</f>
        <v>0</v>
      </c>
      <c r="X502">
        <f>VLOOKUP(Table9[[#This Row],[Shortname]], Comp[], 21, FALSE)</f>
        <v>0</v>
      </c>
      <c r="Y502">
        <f>VLOOKUP(Table9[[#This Row],[Shortname]], Comp[], 22, FALSE)</f>
        <v>0.2</v>
      </c>
      <c r="Z502">
        <f>VLOOKUP(Table9[[#This Row],[Shortname]], Comp[], 23, FALSE)</f>
        <v>0</v>
      </c>
      <c r="AA502">
        <f>VLOOKUP(Table9[[#This Row],[Shortname]], Comp[], 24, FALSE)</f>
        <v>0</v>
      </c>
      <c r="AB502">
        <f>VLOOKUP(Table9[[#This Row],[Shortname]], Comp[], 25, FALSE)</f>
        <v>0.31</v>
      </c>
      <c r="AC502">
        <f>VLOOKUP(Table9[[#This Row],[Shortname]], Comp[], 26, FALSE)</f>
        <v>0</v>
      </c>
      <c r="AD502">
        <f>VLOOKUP(Table9[[#This Row],[Shortname]], Comp[], 27, FALSE)</f>
        <v>0</v>
      </c>
      <c r="AE502">
        <f>VLOOKUP(Table9[[#This Row],[Shortname]], Comp[], 28, FALSE)</f>
        <v>0</v>
      </c>
      <c r="AF502">
        <f>VLOOKUP(Table9[[#This Row],[Shortname]], Comp[], 29, FALSE)</f>
        <v>0</v>
      </c>
      <c r="AG502">
        <f>VLOOKUP(Table9[[#This Row],[Shortname]], Comp[], 30, FALSE)</f>
        <v>0</v>
      </c>
      <c r="AH502">
        <f>VLOOKUP(Table9[[#This Row],[Shortname]], Comp[], 31, FALSE)</f>
        <v>0</v>
      </c>
    </row>
    <row r="503" spans="1:34" x14ac:dyDescent="0.3">
      <c r="A503" t="s">
        <v>4491</v>
      </c>
      <c r="B503" t="s">
        <v>4493</v>
      </c>
      <c r="C503" t="s">
        <v>4494</v>
      </c>
      <c r="D503">
        <v>395.34</v>
      </c>
      <c r="E503">
        <v>1100</v>
      </c>
      <c r="F503">
        <v>1</v>
      </c>
      <c r="G503">
        <v>1</v>
      </c>
      <c r="I503">
        <f>VLOOKUP(Table9[[#This Row],[Shortname]], Comp[], 6, FALSE)</f>
        <v>685</v>
      </c>
      <c r="J503" s="14">
        <f>VLOOKUP(Table9[[#This Row],[Shortname]], Comp[], 7, FALSE)</f>
        <v>43.794999999999995</v>
      </c>
      <c r="K503">
        <f>VLOOKUP(Table9[[#This Row],[Shortname]], Comp[], 8, FALSE)</f>
        <v>31</v>
      </c>
      <c r="L503">
        <f>VLOOKUP(Table9[[#This Row],[Shortname]], Comp[], 9, FALSE)</f>
        <v>2.63</v>
      </c>
      <c r="M503">
        <f>VLOOKUP(Table9[[#This Row],[Shortname]], Comp[], 10, FALSE)</f>
        <v>11</v>
      </c>
      <c r="N503">
        <f>VLOOKUP(Table9[[#This Row],[Shortname]], Comp[], 11, FALSE)</f>
        <v>9</v>
      </c>
      <c r="O503">
        <f>VLOOKUP(Table9[[#This Row],[Shortname]], Comp[],12, FALSE)</f>
        <v>1.98</v>
      </c>
      <c r="P503">
        <f>VLOOKUP(Table9[[#This Row],[Shortname]], Comp[], 13, FALSE)</f>
        <v>0</v>
      </c>
      <c r="Q503">
        <f>VLOOKUP(Table9[[#This Row],[Shortname]], Comp[], 14, FALSE)</f>
        <v>0</v>
      </c>
      <c r="R503">
        <f>VLOOKUP(Table9[[#This Row],[Shortname]], Comp[], 15, FALSE)</f>
        <v>0</v>
      </c>
      <c r="S503">
        <f>VLOOKUP(Table9[[#This Row],[Shortname]], Comp[], 16, FALSE)</f>
        <v>0</v>
      </c>
      <c r="T503">
        <f>VLOOKUP(Table9[[#This Row],[Shortname]], Comp[], 17, FALSE)</f>
        <v>7.0000000000000007E-2</v>
      </c>
      <c r="U503">
        <f>VLOOKUP(Table9[[#This Row],[Shortname]], Comp[], 18, FALSE)</f>
        <v>0</v>
      </c>
      <c r="V503">
        <f>VLOOKUP(Table9[[#This Row],[Shortname]], Comp[], 19, FALSE)</f>
        <v>1.4999999999999999E-2</v>
      </c>
      <c r="W503">
        <f>VLOOKUP(Table9[[#This Row],[Shortname]], Comp[], 20, FALSE)</f>
        <v>0</v>
      </c>
      <c r="X503">
        <f>VLOOKUP(Table9[[#This Row],[Shortname]], Comp[], 21, FALSE)</f>
        <v>0</v>
      </c>
      <c r="Y503">
        <f>VLOOKUP(Table9[[#This Row],[Shortname]], Comp[], 22, FALSE)</f>
        <v>0.2</v>
      </c>
      <c r="Z503">
        <f>VLOOKUP(Table9[[#This Row],[Shortname]], Comp[], 23, FALSE)</f>
        <v>0</v>
      </c>
      <c r="AA503">
        <f>VLOOKUP(Table9[[#This Row],[Shortname]], Comp[], 24, FALSE)</f>
        <v>0</v>
      </c>
      <c r="AB503">
        <f>VLOOKUP(Table9[[#This Row],[Shortname]], Comp[], 25, FALSE)</f>
        <v>0.31</v>
      </c>
      <c r="AC503">
        <f>VLOOKUP(Table9[[#This Row],[Shortname]], Comp[], 26, FALSE)</f>
        <v>0</v>
      </c>
      <c r="AD503">
        <f>VLOOKUP(Table9[[#This Row],[Shortname]], Comp[], 27, FALSE)</f>
        <v>0</v>
      </c>
      <c r="AE503">
        <f>VLOOKUP(Table9[[#This Row],[Shortname]], Comp[], 28, FALSE)</f>
        <v>0</v>
      </c>
      <c r="AF503">
        <f>VLOOKUP(Table9[[#This Row],[Shortname]], Comp[], 29, FALSE)</f>
        <v>0</v>
      </c>
      <c r="AG503">
        <f>VLOOKUP(Table9[[#This Row],[Shortname]], Comp[], 30, FALSE)</f>
        <v>0</v>
      </c>
      <c r="AH503">
        <f>VLOOKUP(Table9[[#This Row],[Shortname]], Comp[], 31, FALSE)</f>
        <v>0</v>
      </c>
    </row>
    <row r="504" spans="1:34" x14ac:dyDescent="0.3">
      <c r="A504" t="s">
        <v>4491</v>
      </c>
      <c r="B504" t="s">
        <v>4493</v>
      </c>
      <c r="C504" t="s">
        <v>4494</v>
      </c>
      <c r="D504">
        <v>276.95999999999998</v>
      </c>
      <c r="E504">
        <v>1150</v>
      </c>
      <c r="F504">
        <v>1</v>
      </c>
      <c r="G504">
        <v>1</v>
      </c>
      <c r="I504">
        <f>VLOOKUP(Table9[[#This Row],[Shortname]], Comp[], 6, FALSE)</f>
        <v>685</v>
      </c>
      <c r="J504" s="14">
        <f>VLOOKUP(Table9[[#This Row],[Shortname]], Comp[], 7, FALSE)</f>
        <v>43.794999999999995</v>
      </c>
      <c r="K504">
        <f>VLOOKUP(Table9[[#This Row],[Shortname]], Comp[], 8, FALSE)</f>
        <v>31</v>
      </c>
      <c r="L504">
        <f>VLOOKUP(Table9[[#This Row],[Shortname]], Comp[], 9, FALSE)</f>
        <v>2.63</v>
      </c>
      <c r="M504">
        <f>VLOOKUP(Table9[[#This Row],[Shortname]], Comp[], 10, FALSE)</f>
        <v>11</v>
      </c>
      <c r="N504">
        <f>VLOOKUP(Table9[[#This Row],[Shortname]], Comp[], 11, FALSE)</f>
        <v>9</v>
      </c>
      <c r="O504">
        <f>VLOOKUP(Table9[[#This Row],[Shortname]], Comp[],12, FALSE)</f>
        <v>1.98</v>
      </c>
      <c r="P504">
        <f>VLOOKUP(Table9[[#This Row],[Shortname]], Comp[], 13, FALSE)</f>
        <v>0</v>
      </c>
      <c r="Q504">
        <f>VLOOKUP(Table9[[#This Row],[Shortname]], Comp[], 14, FALSE)</f>
        <v>0</v>
      </c>
      <c r="R504">
        <f>VLOOKUP(Table9[[#This Row],[Shortname]], Comp[], 15, FALSE)</f>
        <v>0</v>
      </c>
      <c r="S504">
        <f>VLOOKUP(Table9[[#This Row],[Shortname]], Comp[], 16, FALSE)</f>
        <v>0</v>
      </c>
      <c r="T504">
        <f>VLOOKUP(Table9[[#This Row],[Shortname]], Comp[], 17, FALSE)</f>
        <v>7.0000000000000007E-2</v>
      </c>
      <c r="U504">
        <f>VLOOKUP(Table9[[#This Row],[Shortname]], Comp[], 18, FALSE)</f>
        <v>0</v>
      </c>
      <c r="V504">
        <f>VLOOKUP(Table9[[#This Row],[Shortname]], Comp[], 19, FALSE)</f>
        <v>1.4999999999999999E-2</v>
      </c>
      <c r="W504">
        <f>VLOOKUP(Table9[[#This Row],[Shortname]], Comp[], 20, FALSE)</f>
        <v>0</v>
      </c>
      <c r="X504">
        <f>VLOOKUP(Table9[[#This Row],[Shortname]], Comp[], 21, FALSE)</f>
        <v>0</v>
      </c>
      <c r="Y504">
        <f>VLOOKUP(Table9[[#This Row],[Shortname]], Comp[], 22, FALSE)</f>
        <v>0.2</v>
      </c>
      <c r="Z504">
        <f>VLOOKUP(Table9[[#This Row],[Shortname]], Comp[], 23, FALSE)</f>
        <v>0</v>
      </c>
      <c r="AA504">
        <f>VLOOKUP(Table9[[#This Row],[Shortname]], Comp[], 24, FALSE)</f>
        <v>0</v>
      </c>
      <c r="AB504">
        <f>VLOOKUP(Table9[[#This Row],[Shortname]], Comp[], 25, FALSE)</f>
        <v>0.31</v>
      </c>
      <c r="AC504">
        <f>VLOOKUP(Table9[[#This Row],[Shortname]], Comp[], 26, FALSE)</f>
        <v>0</v>
      </c>
      <c r="AD504">
        <f>VLOOKUP(Table9[[#This Row],[Shortname]], Comp[], 27, FALSE)</f>
        <v>0</v>
      </c>
      <c r="AE504">
        <f>VLOOKUP(Table9[[#This Row],[Shortname]], Comp[], 28, FALSE)</f>
        <v>0</v>
      </c>
      <c r="AF504">
        <f>VLOOKUP(Table9[[#This Row],[Shortname]], Comp[], 29, FALSE)</f>
        <v>0</v>
      </c>
      <c r="AG504">
        <f>VLOOKUP(Table9[[#This Row],[Shortname]], Comp[], 30, FALSE)</f>
        <v>0</v>
      </c>
      <c r="AH504">
        <f>VLOOKUP(Table9[[#This Row],[Shortname]], Comp[], 31, FALSE)</f>
        <v>0</v>
      </c>
    </row>
    <row r="505" spans="1:34" x14ac:dyDescent="0.3">
      <c r="A505" t="s">
        <v>4491</v>
      </c>
      <c r="B505" t="s">
        <v>4493</v>
      </c>
      <c r="C505" t="s">
        <v>4494</v>
      </c>
      <c r="D505">
        <v>216.64</v>
      </c>
      <c r="E505">
        <v>1200</v>
      </c>
      <c r="F505">
        <v>1</v>
      </c>
      <c r="G505">
        <v>1</v>
      </c>
      <c r="I505">
        <f>VLOOKUP(Table9[[#This Row],[Shortname]], Comp[], 6, FALSE)</f>
        <v>685</v>
      </c>
      <c r="J505" s="14">
        <f>VLOOKUP(Table9[[#This Row],[Shortname]], Comp[], 7, FALSE)</f>
        <v>43.794999999999995</v>
      </c>
      <c r="K505">
        <f>VLOOKUP(Table9[[#This Row],[Shortname]], Comp[], 8, FALSE)</f>
        <v>31</v>
      </c>
      <c r="L505">
        <f>VLOOKUP(Table9[[#This Row],[Shortname]], Comp[], 9, FALSE)</f>
        <v>2.63</v>
      </c>
      <c r="M505">
        <f>VLOOKUP(Table9[[#This Row],[Shortname]], Comp[], 10, FALSE)</f>
        <v>11</v>
      </c>
      <c r="N505">
        <f>VLOOKUP(Table9[[#This Row],[Shortname]], Comp[], 11, FALSE)</f>
        <v>9</v>
      </c>
      <c r="O505">
        <f>VLOOKUP(Table9[[#This Row],[Shortname]], Comp[],12, FALSE)</f>
        <v>1.98</v>
      </c>
      <c r="P505">
        <f>VLOOKUP(Table9[[#This Row],[Shortname]], Comp[], 13, FALSE)</f>
        <v>0</v>
      </c>
      <c r="Q505">
        <f>VLOOKUP(Table9[[#This Row],[Shortname]], Comp[], 14, FALSE)</f>
        <v>0</v>
      </c>
      <c r="R505">
        <f>VLOOKUP(Table9[[#This Row],[Shortname]], Comp[], 15, FALSE)</f>
        <v>0</v>
      </c>
      <c r="S505">
        <f>VLOOKUP(Table9[[#This Row],[Shortname]], Comp[], 16, FALSE)</f>
        <v>0</v>
      </c>
      <c r="T505">
        <f>VLOOKUP(Table9[[#This Row],[Shortname]], Comp[], 17, FALSE)</f>
        <v>7.0000000000000007E-2</v>
      </c>
      <c r="U505">
        <f>VLOOKUP(Table9[[#This Row],[Shortname]], Comp[], 18, FALSE)</f>
        <v>0</v>
      </c>
      <c r="V505">
        <f>VLOOKUP(Table9[[#This Row],[Shortname]], Comp[], 19, FALSE)</f>
        <v>1.4999999999999999E-2</v>
      </c>
      <c r="W505">
        <f>VLOOKUP(Table9[[#This Row],[Shortname]], Comp[], 20, FALSE)</f>
        <v>0</v>
      </c>
      <c r="X505">
        <f>VLOOKUP(Table9[[#This Row],[Shortname]], Comp[], 21, FALSE)</f>
        <v>0</v>
      </c>
      <c r="Y505">
        <f>VLOOKUP(Table9[[#This Row],[Shortname]], Comp[], 22, FALSE)</f>
        <v>0.2</v>
      </c>
      <c r="Z505">
        <f>VLOOKUP(Table9[[#This Row],[Shortname]], Comp[], 23, FALSE)</f>
        <v>0</v>
      </c>
      <c r="AA505">
        <f>VLOOKUP(Table9[[#This Row],[Shortname]], Comp[], 24, FALSE)</f>
        <v>0</v>
      </c>
      <c r="AB505">
        <f>VLOOKUP(Table9[[#This Row],[Shortname]], Comp[], 25, FALSE)</f>
        <v>0.31</v>
      </c>
      <c r="AC505">
        <f>VLOOKUP(Table9[[#This Row],[Shortname]], Comp[], 26, FALSE)</f>
        <v>0</v>
      </c>
      <c r="AD505">
        <f>VLOOKUP(Table9[[#This Row],[Shortname]], Comp[], 27, FALSE)</f>
        <v>0</v>
      </c>
      <c r="AE505">
        <f>VLOOKUP(Table9[[#This Row],[Shortname]], Comp[], 28, FALSE)</f>
        <v>0</v>
      </c>
      <c r="AF505">
        <f>VLOOKUP(Table9[[#This Row],[Shortname]], Comp[], 29, FALSE)</f>
        <v>0</v>
      </c>
      <c r="AG505">
        <f>VLOOKUP(Table9[[#This Row],[Shortname]], Comp[], 30, FALSE)</f>
        <v>0</v>
      </c>
      <c r="AH505">
        <f>VLOOKUP(Table9[[#This Row],[Shortname]], Comp[], 31, FALSE)</f>
        <v>0</v>
      </c>
    </row>
    <row r="506" spans="1:34" x14ac:dyDescent="0.3">
      <c r="A506" t="s">
        <v>4491</v>
      </c>
      <c r="B506" t="s">
        <v>4493</v>
      </c>
      <c r="C506" t="s">
        <v>4494</v>
      </c>
      <c r="D506">
        <v>646.29</v>
      </c>
      <c r="E506">
        <v>1050</v>
      </c>
      <c r="F506">
        <v>10</v>
      </c>
      <c r="G506">
        <v>1</v>
      </c>
      <c r="I506">
        <f>VLOOKUP(Table9[[#This Row],[Shortname]], Comp[], 6, FALSE)</f>
        <v>685</v>
      </c>
      <c r="J506" s="14">
        <f>VLOOKUP(Table9[[#This Row],[Shortname]], Comp[], 7, FALSE)</f>
        <v>43.794999999999995</v>
      </c>
      <c r="K506">
        <f>VLOOKUP(Table9[[#This Row],[Shortname]], Comp[], 8, FALSE)</f>
        <v>31</v>
      </c>
      <c r="L506">
        <f>VLOOKUP(Table9[[#This Row],[Shortname]], Comp[], 9, FALSE)</f>
        <v>2.63</v>
      </c>
      <c r="M506">
        <f>VLOOKUP(Table9[[#This Row],[Shortname]], Comp[], 10, FALSE)</f>
        <v>11</v>
      </c>
      <c r="N506">
        <f>VLOOKUP(Table9[[#This Row],[Shortname]], Comp[], 11, FALSE)</f>
        <v>9</v>
      </c>
      <c r="O506">
        <f>VLOOKUP(Table9[[#This Row],[Shortname]], Comp[],12, FALSE)</f>
        <v>1.98</v>
      </c>
      <c r="P506">
        <f>VLOOKUP(Table9[[#This Row],[Shortname]], Comp[], 13, FALSE)</f>
        <v>0</v>
      </c>
      <c r="Q506">
        <f>VLOOKUP(Table9[[#This Row],[Shortname]], Comp[], 14, FALSE)</f>
        <v>0</v>
      </c>
      <c r="R506">
        <f>VLOOKUP(Table9[[#This Row],[Shortname]], Comp[], 15, FALSE)</f>
        <v>0</v>
      </c>
      <c r="S506">
        <f>VLOOKUP(Table9[[#This Row],[Shortname]], Comp[], 16, FALSE)</f>
        <v>0</v>
      </c>
      <c r="T506">
        <f>VLOOKUP(Table9[[#This Row],[Shortname]], Comp[], 17, FALSE)</f>
        <v>7.0000000000000007E-2</v>
      </c>
      <c r="U506">
        <f>VLOOKUP(Table9[[#This Row],[Shortname]], Comp[], 18, FALSE)</f>
        <v>0</v>
      </c>
      <c r="V506">
        <f>VLOOKUP(Table9[[#This Row],[Shortname]], Comp[], 19, FALSE)</f>
        <v>1.4999999999999999E-2</v>
      </c>
      <c r="W506">
        <f>VLOOKUP(Table9[[#This Row],[Shortname]], Comp[], 20, FALSE)</f>
        <v>0</v>
      </c>
      <c r="X506">
        <f>VLOOKUP(Table9[[#This Row],[Shortname]], Comp[], 21, FALSE)</f>
        <v>0</v>
      </c>
      <c r="Y506">
        <f>VLOOKUP(Table9[[#This Row],[Shortname]], Comp[], 22, FALSE)</f>
        <v>0.2</v>
      </c>
      <c r="Z506">
        <f>VLOOKUP(Table9[[#This Row],[Shortname]], Comp[], 23, FALSE)</f>
        <v>0</v>
      </c>
      <c r="AA506">
        <f>VLOOKUP(Table9[[#This Row],[Shortname]], Comp[], 24, FALSE)</f>
        <v>0</v>
      </c>
      <c r="AB506">
        <f>VLOOKUP(Table9[[#This Row],[Shortname]], Comp[], 25, FALSE)</f>
        <v>0.31</v>
      </c>
      <c r="AC506">
        <f>VLOOKUP(Table9[[#This Row],[Shortname]], Comp[], 26, FALSE)</f>
        <v>0</v>
      </c>
      <c r="AD506">
        <f>VLOOKUP(Table9[[#This Row],[Shortname]], Comp[], 27, FALSE)</f>
        <v>0</v>
      </c>
      <c r="AE506">
        <f>VLOOKUP(Table9[[#This Row],[Shortname]], Comp[], 28, FALSE)</f>
        <v>0</v>
      </c>
      <c r="AF506">
        <f>VLOOKUP(Table9[[#This Row],[Shortname]], Comp[], 29, FALSE)</f>
        <v>0</v>
      </c>
      <c r="AG506">
        <f>VLOOKUP(Table9[[#This Row],[Shortname]], Comp[], 30, FALSE)</f>
        <v>0</v>
      </c>
      <c r="AH506">
        <f>VLOOKUP(Table9[[#This Row],[Shortname]], Comp[], 31, FALSE)</f>
        <v>0</v>
      </c>
    </row>
    <row r="507" spans="1:34" x14ac:dyDescent="0.3">
      <c r="A507" t="s">
        <v>4491</v>
      </c>
      <c r="B507" t="s">
        <v>4493</v>
      </c>
      <c r="C507" t="s">
        <v>4494</v>
      </c>
      <c r="D507">
        <v>495.57</v>
      </c>
      <c r="E507">
        <v>1100</v>
      </c>
      <c r="F507">
        <v>10</v>
      </c>
      <c r="G507">
        <v>1</v>
      </c>
      <c r="I507">
        <f>VLOOKUP(Table9[[#This Row],[Shortname]], Comp[], 6, FALSE)</f>
        <v>685</v>
      </c>
      <c r="J507" s="14">
        <f>VLOOKUP(Table9[[#This Row],[Shortname]], Comp[], 7, FALSE)</f>
        <v>43.794999999999995</v>
      </c>
      <c r="K507">
        <f>VLOOKUP(Table9[[#This Row],[Shortname]], Comp[], 8, FALSE)</f>
        <v>31</v>
      </c>
      <c r="L507">
        <f>VLOOKUP(Table9[[#This Row],[Shortname]], Comp[], 9, FALSE)</f>
        <v>2.63</v>
      </c>
      <c r="M507">
        <f>VLOOKUP(Table9[[#This Row],[Shortname]], Comp[], 10, FALSE)</f>
        <v>11</v>
      </c>
      <c r="N507">
        <f>VLOOKUP(Table9[[#This Row],[Shortname]], Comp[], 11, FALSE)</f>
        <v>9</v>
      </c>
      <c r="O507">
        <f>VLOOKUP(Table9[[#This Row],[Shortname]], Comp[],12, FALSE)</f>
        <v>1.98</v>
      </c>
      <c r="P507">
        <f>VLOOKUP(Table9[[#This Row],[Shortname]], Comp[], 13, FALSE)</f>
        <v>0</v>
      </c>
      <c r="Q507">
        <f>VLOOKUP(Table9[[#This Row],[Shortname]], Comp[], 14, FALSE)</f>
        <v>0</v>
      </c>
      <c r="R507">
        <f>VLOOKUP(Table9[[#This Row],[Shortname]], Comp[], 15, FALSE)</f>
        <v>0</v>
      </c>
      <c r="S507">
        <f>VLOOKUP(Table9[[#This Row],[Shortname]], Comp[], 16, FALSE)</f>
        <v>0</v>
      </c>
      <c r="T507">
        <f>VLOOKUP(Table9[[#This Row],[Shortname]], Comp[], 17, FALSE)</f>
        <v>7.0000000000000007E-2</v>
      </c>
      <c r="U507">
        <f>VLOOKUP(Table9[[#This Row],[Shortname]], Comp[], 18, FALSE)</f>
        <v>0</v>
      </c>
      <c r="V507">
        <f>VLOOKUP(Table9[[#This Row],[Shortname]], Comp[], 19, FALSE)</f>
        <v>1.4999999999999999E-2</v>
      </c>
      <c r="W507">
        <f>VLOOKUP(Table9[[#This Row],[Shortname]], Comp[], 20, FALSE)</f>
        <v>0</v>
      </c>
      <c r="X507">
        <f>VLOOKUP(Table9[[#This Row],[Shortname]], Comp[], 21, FALSE)</f>
        <v>0</v>
      </c>
      <c r="Y507">
        <f>VLOOKUP(Table9[[#This Row],[Shortname]], Comp[], 22, FALSE)</f>
        <v>0.2</v>
      </c>
      <c r="Z507">
        <f>VLOOKUP(Table9[[#This Row],[Shortname]], Comp[], 23, FALSE)</f>
        <v>0</v>
      </c>
      <c r="AA507">
        <f>VLOOKUP(Table9[[#This Row],[Shortname]], Comp[], 24, FALSE)</f>
        <v>0</v>
      </c>
      <c r="AB507">
        <f>VLOOKUP(Table9[[#This Row],[Shortname]], Comp[], 25, FALSE)</f>
        <v>0.31</v>
      </c>
      <c r="AC507">
        <f>VLOOKUP(Table9[[#This Row],[Shortname]], Comp[], 26, FALSE)</f>
        <v>0</v>
      </c>
      <c r="AD507">
        <f>VLOOKUP(Table9[[#This Row],[Shortname]], Comp[], 27, FALSE)</f>
        <v>0</v>
      </c>
      <c r="AE507">
        <f>VLOOKUP(Table9[[#This Row],[Shortname]], Comp[], 28, FALSE)</f>
        <v>0</v>
      </c>
      <c r="AF507">
        <f>VLOOKUP(Table9[[#This Row],[Shortname]], Comp[], 29, FALSE)</f>
        <v>0</v>
      </c>
      <c r="AG507">
        <f>VLOOKUP(Table9[[#This Row],[Shortname]], Comp[], 30, FALSE)</f>
        <v>0</v>
      </c>
      <c r="AH507">
        <f>VLOOKUP(Table9[[#This Row],[Shortname]], Comp[], 31, FALSE)</f>
        <v>0</v>
      </c>
    </row>
    <row r="508" spans="1:34" x14ac:dyDescent="0.3">
      <c r="A508" t="s">
        <v>4491</v>
      </c>
      <c r="B508" t="s">
        <v>4493</v>
      </c>
      <c r="C508" t="s">
        <v>4494</v>
      </c>
      <c r="D508">
        <v>388.01</v>
      </c>
      <c r="E508">
        <v>1150</v>
      </c>
      <c r="F508">
        <v>10</v>
      </c>
      <c r="G508">
        <v>1</v>
      </c>
      <c r="I508">
        <f>VLOOKUP(Table9[[#This Row],[Shortname]], Comp[], 6, FALSE)</f>
        <v>685</v>
      </c>
      <c r="J508" s="14">
        <f>VLOOKUP(Table9[[#This Row],[Shortname]], Comp[], 7, FALSE)</f>
        <v>43.794999999999995</v>
      </c>
      <c r="K508">
        <f>VLOOKUP(Table9[[#This Row],[Shortname]], Comp[], 8, FALSE)</f>
        <v>31</v>
      </c>
      <c r="L508">
        <f>VLOOKUP(Table9[[#This Row],[Shortname]], Comp[], 9, FALSE)</f>
        <v>2.63</v>
      </c>
      <c r="M508">
        <f>VLOOKUP(Table9[[#This Row],[Shortname]], Comp[], 10, FALSE)</f>
        <v>11</v>
      </c>
      <c r="N508">
        <f>VLOOKUP(Table9[[#This Row],[Shortname]], Comp[], 11, FALSE)</f>
        <v>9</v>
      </c>
      <c r="O508">
        <f>VLOOKUP(Table9[[#This Row],[Shortname]], Comp[],12, FALSE)</f>
        <v>1.98</v>
      </c>
      <c r="P508">
        <f>VLOOKUP(Table9[[#This Row],[Shortname]], Comp[], 13, FALSE)</f>
        <v>0</v>
      </c>
      <c r="Q508">
        <f>VLOOKUP(Table9[[#This Row],[Shortname]], Comp[], 14, FALSE)</f>
        <v>0</v>
      </c>
      <c r="R508">
        <f>VLOOKUP(Table9[[#This Row],[Shortname]], Comp[], 15, FALSE)</f>
        <v>0</v>
      </c>
      <c r="S508">
        <f>VLOOKUP(Table9[[#This Row],[Shortname]], Comp[], 16, FALSE)</f>
        <v>0</v>
      </c>
      <c r="T508">
        <f>VLOOKUP(Table9[[#This Row],[Shortname]], Comp[], 17, FALSE)</f>
        <v>7.0000000000000007E-2</v>
      </c>
      <c r="U508">
        <f>VLOOKUP(Table9[[#This Row],[Shortname]], Comp[], 18, FALSE)</f>
        <v>0</v>
      </c>
      <c r="V508">
        <f>VLOOKUP(Table9[[#This Row],[Shortname]], Comp[], 19, FALSE)</f>
        <v>1.4999999999999999E-2</v>
      </c>
      <c r="W508">
        <f>VLOOKUP(Table9[[#This Row],[Shortname]], Comp[], 20, FALSE)</f>
        <v>0</v>
      </c>
      <c r="X508">
        <f>VLOOKUP(Table9[[#This Row],[Shortname]], Comp[], 21, FALSE)</f>
        <v>0</v>
      </c>
      <c r="Y508">
        <f>VLOOKUP(Table9[[#This Row],[Shortname]], Comp[], 22, FALSE)</f>
        <v>0.2</v>
      </c>
      <c r="Z508">
        <f>VLOOKUP(Table9[[#This Row],[Shortname]], Comp[], 23, FALSE)</f>
        <v>0</v>
      </c>
      <c r="AA508">
        <f>VLOOKUP(Table9[[#This Row],[Shortname]], Comp[], 24, FALSE)</f>
        <v>0</v>
      </c>
      <c r="AB508">
        <f>VLOOKUP(Table9[[#This Row],[Shortname]], Comp[], 25, FALSE)</f>
        <v>0.31</v>
      </c>
      <c r="AC508">
        <f>VLOOKUP(Table9[[#This Row],[Shortname]], Comp[], 26, FALSE)</f>
        <v>0</v>
      </c>
      <c r="AD508">
        <f>VLOOKUP(Table9[[#This Row],[Shortname]], Comp[], 27, FALSE)</f>
        <v>0</v>
      </c>
      <c r="AE508">
        <f>VLOOKUP(Table9[[#This Row],[Shortname]], Comp[], 28, FALSE)</f>
        <v>0</v>
      </c>
      <c r="AF508">
        <f>VLOOKUP(Table9[[#This Row],[Shortname]], Comp[], 29, FALSE)</f>
        <v>0</v>
      </c>
      <c r="AG508">
        <f>VLOOKUP(Table9[[#This Row],[Shortname]], Comp[], 30, FALSE)</f>
        <v>0</v>
      </c>
      <c r="AH508">
        <f>VLOOKUP(Table9[[#This Row],[Shortname]], Comp[], 31, FALSE)</f>
        <v>0</v>
      </c>
    </row>
    <row r="509" spans="1:34" x14ac:dyDescent="0.3">
      <c r="A509" t="s">
        <v>4491</v>
      </c>
      <c r="B509" t="s">
        <v>4493</v>
      </c>
      <c r="C509" t="s">
        <v>4494</v>
      </c>
      <c r="D509">
        <v>300.83</v>
      </c>
      <c r="E509">
        <v>1200</v>
      </c>
      <c r="F509">
        <v>10</v>
      </c>
      <c r="G509">
        <v>1</v>
      </c>
      <c r="I509">
        <f>VLOOKUP(Table9[[#This Row],[Shortname]], Comp[], 6, FALSE)</f>
        <v>685</v>
      </c>
      <c r="J509" s="14">
        <f>VLOOKUP(Table9[[#This Row],[Shortname]], Comp[], 7, FALSE)</f>
        <v>43.794999999999995</v>
      </c>
      <c r="K509">
        <f>VLOOKUP(Table9[[#This Row],[Shortname]], Comp[], 8, FALSE)</f>
        <v>31</v>
      </c>
      <c r="L509">
        <f>VLOOKUP(Table9[[#This Row],[Shortname]], Comp[], 9, FALSE)</f>
        <v>2.63</v>
      </c>
      <c r="M509">
        <f>VLOOKUP(Table9[[#This Row],[Shortname]], Comp[], 10, FALSE)</f>
        <v>11</v>
      </c>
      <c r="N509">
        <f>VLOOKUP(Table9[[#This Row],[Shortname]], Comp[], 11, FALSE)</f>
        <v>9</v>
      </c>
      <c r="O509">
        <f>VLOOKUP(Table9[[#This Row],[Shortname]], Comp[],12, FALSE)</f>
        <v>1.98</v>
      </c>
      <c r="P509">
        <f>VLOOKUP(Table9[[#This Row],[Shortname]], Comp[], 13, FALSE)</f>
        <v>0</v>
      </c>
      <c r="Q509">
        <f>VLOOKUP(Table9[[#This Row],[Shortname]], Comp[], 14, FALSE)</f>
        <v>0</v>
      </c>
      <c r="R509">
        <f>VLOOKUP(Table9[[#This Row],[Shortname]], Comp[], 15, FALSE)</f>
        <v>0</v>
      </c>
      <c r="S509">
        <f>VLOOKUP(Table9[[#This Row],[Shortname]], Comp[], 16, FALSE)</f>
        <v>0</v>
      </c>
      <c r="T509">
        <f>VLOOKUP(Table9[[#This Row],[Shortname]], Comp[], 17, FALSE)</f>
        <v>7.0000000000000007E-2</v>
      </c>
      <c r="U509">
        <f>VLOOKUP(Table9[[#This Row],[Shortname]], Comp[], 18, FALSE)</f>
        <v>0</v>
      </c>
      <c r="V509">
        <f>VLOOKUP(Table9[[#This Row],[Shortname]], Comp[], 19, FALSE)</f>
        <v>1.4999999999999999E-2</v>
      </c>
      <c r="W509">
        <f>VLOOKUP(Table9[[#This Row],[Shortname]], Comp[], 20, FALSE)</f>
        <v>0</v>
      </c>
      <c r="X509">
        <f>VLOOKUP(Table9[[#This Row],[Shortname]], Comp[], 21, FALSE)</f>
        <v>0</v>
      </c>
      <c r="Y509">
        <f>VLOOKUP(Table9[[#This Row],[Shortname]], Comp[], 22, FALSE)</f>
        <v>0.2</v>
      </c>
      <c r="Z509">
        <f>VLOOKUP(Table9[[#This Row],[Shortname]], Comp[], 23, FALSE)</f>
        <v>0</v>
      </c>
      <c r="AA509">
        <f>VLOOKUP(Table9[[#This Row],[Shortname]], Comp[], 24, FALSE)</f>
        <v>0</v>
      </c>
      <c r="AB509">
        <f>VLOOKUP(Table9[[#This Row],[Shortname]], Comp[], 25, FALSE)</f>
        <v>0.31</v>
      </c>
      <c r="AC509">
        <f>VLOOKUP(Table9[[#This Row],[Shortname]], Comp[], 26, FALSE)</f>
        <v>0</v>
      </c>
      <c r="AD509">
        <f>VLOOKUP(Table9[[#This Row],[Shortname]], Comp[], 27, FALSE)</f>
        <v>0</v>
      </c>
      <c r="AE509">
        <f>VLOOKUP(Table9[[#This Row],[Shortname]], Comp[], 28, FALSE)</f>
        <v>0</v>
      </c>
      <c r="AF509">
        <f>VLOOKUP(Table9[[#This Row],[Shortname]], Comp[], 29, FALSE)</f>
        <v>0</v>
      </c>
      <c r="AG509">
        <f>VLOOKUP(Table9[[#This Row],[Shortname]], Comp[], 30, FALSE)</f>
        <v>0</v>
      </c>
      <c r="AH509">
        <f>VLOOKUP(Table9[[#This Row],[Shortname]], Comp[], 31, FALSE)</f>
        <v>0</v>
      </c>
    </row>
    <row r="510" spans="1:34" x14ac:dyDescent="0.3">
      <c r="A510" t="s">
        <v>4500</v>
      </c>
      <c r="B510" t="s">
        <v>4502</v>
      </c>
      <c r="C510" t="s">
        <v>4503</v>
      </c>
      <c r="D510">
        <v>586</v>
      </c>
      <c r="E510">
        <v>25</v>
      </c>
      <c r="F510">
        <v>1E-3</v>
      </c>
      <c r="G510">
        <v>-1</v>
      </c>
      <c r="H510" t="s">
        <v>6853</v>
      </c>
      <c r="I510">
        <f>VLOOKUP(Table9[[#This Row],[Shortname]], Comp[], 6, FALSE)</f>
        <v>686</v>
      </c>
      <c r="J510" s="14">
        <f>VLOOKUP(Table9[[#This Row],[Shortname]], Comp[], 7, FALSE)</f>
        <v>42.300000000000004</v>
      </c>
      <c r="K510">
        <f>VLOOKUP(Table9[[#This Row],[Shortname]], Comp[], 8, FALSE)</f>
        <v>32</v>
      </c>
      <c r="L510">
        <f>VLOOKUP(Table9[[#This Row],[Shortname]], Comp[], 9, FALSE)</f>
        <v>6</v>
      </c>
      <c r="M510">
        <f>VLOOKUP(Table9[[#This Row],[Shortname]], Comp[], 10, FALSE)</f>
        <v>12</v>
      </c>
      <c r="N510">
        <f>VLOOKUP(Table9[[#This Row],[Shortname]], Comp[], 11, FALSE)</f>
        <v>3</v>
      </c>
      <c r="O510">
        <f>VLOOKUP(Table9[[#This Row],[Shortname]], Comp[],12, FALSE)</f>
        <v>2.5</v>
      </c>
      <c r="P510">
        <f>VLOOKUP(Table9[[#This Row],[Shortname]], Comp[], 13, FALSE)</f>
        <v>1.5</v>
      </c>
      <c r="Q510">
        <f>VLOOKUP(Table9[[#This Row],[Shortname]], Comp[], 14, FALSE)</f>
        <v>0.4</v>
      </c>
      <c r="R510">
        <f>VLOOKUP(Table9[[#This Row],[Shortname]], Comp[], 15, FALSE)</f>
        <v>0</v>
      </c>
      <c r="S510">
        <f>VLOOKUP(Table9[[#This Row],[Shortname]], Comp[], 16, FALSE)</f>
        <v>0</v>
      </c>
      <c r="T510">
        <f>VLOOKUP(Table9[[#This Row],[Shortname]], Comp[], 17, FALSE)</f>
        <v>0</v>
      </c>
      <c r="U510">
        <f>VLOOKUP(Table9[[#This Row],[Shortname]], Comp[], 18, FALSE)</f>
        <v>0</v>
      </c>
      <c r="V510">
        <f>VLOOKUP(Table9[[#This Row],[Shortname]], Comp[], 19, FALSE)</f>
        <v>0</v>
      </c>
      <c r="W510">
        <f>VLOOKUP(Table9[[#This Row],[Shortname]], Comp[], 20, FALSE)</f>
        <v>0</v>
      </c>
      <c r="X510">
        <f>VLOOKUP(Table9[[#This Row],[Shortname]], Comp[], 21, FALSE)</f>
        <v>0</v>
      </c>
      <c r="Y510">
        <f>VLOOKUP(Table9[[#This Row],[Shortname]], Comp[], 22, FALSE)</f>
        <v>0</v>
      </c>
      <c r="Z510">
        <f>VLOOKUP(Table9[[#This Row],[Shortname]], Comp[], 23, FALSE)</f>
        <v>0.3</v>
      </c>
      <c r="AA510">
        <f>VLOOKUP(Table9[[#This Row],[Shortname]], Comp[], 24, FALSE)</f>
        <v>0</v>
      </c>
      <c r="AB510">
        <f>VLOOKUP(Table9[[#This Row],[Shortname]], Comp[], 25, FALSE)</f>
        <v>0</v>
      </c>
      <c r="AC510">
        <f>VLOOKUP(Table9[[#This Row],[Shortname]], Comp[], 26, FALSE)</f>
        <v>0</v>
      </c>
      <c r="AD510">
        <f>VLOOKUP(Table9[[#This Row],[Shortname]], Comp[], 27, FALSE)</f>
        <v>0</v>
      </c>
      <c r="AE510">
        <f>VLOOKUP(Table9[[#This Row],[Shortname]], Comp[], 28, FALSE)</f>
        <v>0</v>
      </c>
      <c r="AF510">
        <f>VLOOKUP(Table9[[#This Row],[Shortname]], Comp[], 29, FALSE)</f>
        <v>0</v>
      </c>
      <c r="AG510">
        <f>VLOOKUP(Table9[[#This Row],[Shortname]], Comp[], 30, FALSE)</f>
        <v>0</v>
      </c>
      <c r="AH510">
        <f>VLOOKUP(Table9[[#This Row],[Shortname]], Comp[], 31, FALSE)</f>
        <v>0</v>
      </c>
    </row>
    <row r="511" spans="1:34" x14ac:dyDescent="0.3">
      <c r="A511" t="s">
        <v>4500</v>
      </c>
      <c r="B511" t="s">
        <v>4502</v>
      </c>
      <c r="C511" t="s">
        <v>4503</v>
      </c>
      <c r="D511">
        <v>836</v>
      </c>
      <c r="E511">
        <v>25</v>
      </c>
      <c r="F511">
        <v>1E-3</v>
      </c>
      <c r="G511">
        <v>-1</v>
      </c>
      <c r="H511" t="s">
        <v>6854</v>
      </c>
      <c r="I511">
        <f>VLOOKUP(Table9[[#This Row],[Shortname]], Comp[], 6, FALSE)</f>
        <v>686</v>
      </c>
      <c r="J511" s="14">
        <f>VLOOKUP(Table9[[#This Row],[Shortname]], Comp[], 7, FALSE)</f>
        <v>42.300000000000004</v>
      </c>
      <c r="K511">
        <f>VLOOKUP(Table9[[#This Row],[Shortname]], Comp[], 8, FALSE)</f>
        <v>32</v>
      </c>
      <c r="L511">
        <f>VLOOKUP(Table9[[#This Row],[Shortname]], Comp[], 9, FALSE)</f>
        <v>6</v>
      </c>
      <c r="M511">
        <f>VLOOKUP(Table9[[#This Row],[Shortname]], Comp[], 10, FALSE)</f>
        <v>12</v>
      </c>
      <c r="N511">
        <f>VLOOKUP(Table9[[#This Row],[Shortname]], Comp[], 11, FALSE)</f>
        <v>3</v>
      </c>
      <c r="O511">
        <f>VLOOKUP(Table9[[#This Row],[Shortname]], Comp[],12, FALSE)</f>
        <v>2.5</v>
      </c>
      <c r="P511">
        <f>VLOOKUP(Table9[[#This Row],[Shortname]], Comp[], 13, FALSE)</f>
        <v>1.5</v>
      </c>
      <c r="Q511">
        <f>VLOOKUP(Table9[[#This Row],[Shortname]], Comp[], 14, FALSE)</f>
        <v>0.4</v>
      </c>
      <c r="R511">
        <f>VLOOKUP(Table9[[#This Row],[Shortname]], Comp[], 15, FALSE)</f>
        <v>0</v>
      </c>
      <c r="S511">
        <f>VLOOKUP(Table9[[#This Row],[Shortname]], Comp[], 16, FALSE)</f>
        <v>0</v>
      </c>
      <c r="T511">
        <f>VLOOKUP(Table9[[#This Row],[Shortname]], Comp[], 17, FALSE)</f>
        <v>0</v>
      </c>
      <c r="U511">
        <f>VLOOKUP(Table9[[#This Row],[Shortname]], Comp[], 18, FALSE)</f>
        <v>0</v>
      </c>
      <c r="V511">
        <f>VLOOKUP(Table9[[#This Row],[Shortname]], Comp[], 19, FALSE)</f>
        <v>0</v>
      </c>
      <c r="W511">
        <f>VLOOKUP(Table9[[#This Row],[Shortname]], Comp[], 20, FALSE)</f>
        <v>0</v>
      </c>
      <c r="X511">
        <f>VLOOKUP(Table9[[#This Row],[Shortname]], Comp[], 21, FALSE)</f>
        <v>0</v>
      </c>
      <c r="Y511">
        <f>VLOOKUP(Table9[[#This Row],[Shortname]], Comp[], 22, FALSE)</f>
        <v>0</v>
      </c>
      <c r="Z511">
        <f>VLOOKUP(Table9[[#This Row],[Shortname]], Comp[], 23, FALSE)</f>
        <v>0.3</v>
      </c>
      <c r="AA511">
        <f>VLOOKUP(Table9[[#This Row],[Shortname]], Comp[], 24, FALSE)</f>
        <v>0</v>
      </c>
      <c r="AB511">
        <f>VLOOKUP(Table9[[#This Row],[Shortname]], Comp[], 25, FALSE)</f>
        <v>0</v>
      </c>
      <c r="AC511">
        <f>VLOOKUP(Table9[[#This Row],[Shortname]], Comp[], 26, FALSE)</f>
        <v>0</v>
      </c>
      <c r="AD511">
        <f>VLOOKUP(Table9[[#This Row],[Shortname]], Comp[], 27, FALSE)</f>
        <v>0</v>
      </c>
      <c r="AE511">
        <f>VLOOKUP(Table9[[#This Row],[Shortname]], Comp[], 28, FALSE)</f>
        <v>0</v>
      </c>
      <c r="AF511">
        <f>VLOOKUP(Table9[[#This Row],[Shortname]], Comp[], 29, FALSE)</f>
        <v>0</v>
      </c>
      <c r="AG511">
        <f>VLOOKUP(Table9[[#This Row],[Shortname]], Comp[], 30, FALSE)</f>
        <v>0</v>
      </c>
      <c r="AH511">
        <f>VLOOKUP(Table9[[#This Row],[Shortname]], Comp[], 31, FALSE)</f>
        <v>0</v>
      </c>
    </row>
    <row r="512" spans="1:34" x14ac:dyDescent="0.3">
      <c r="A512" t="s">
        <v>67</v>
      </c>
      <c r="B512" t="s">
        <v>69</v>
      </c>
      <c r="C512" t="s">
        <v>70</v>
      </c>
      <c r="D512">
        <v>822</v>
      </c>
      <c r="E512">
        <v>25</v>
      </c>
      <c r="F512">
        <v>1E-3</v>
      </c>
      <c r="G512">
        <v>-1</v>
      </c>
      <c r="H512" t="s">
        <v>6855</v>
      </c>
      <c r="I512">
        <f>VLOOKUP(Table9[[#This Row],[Shortname]], Comp[], 6, FALSE)</f>
        <v>7</v>
      </c>
      <c r="J512" s="14">
        <f>VLOOKUP(Table9[[#This Row],[Shortname]], Comp[], 7, FALSE)</f>
        <v>40.259999999999991</v>
      </c>
      <c r="K512">
        <f>VLOOKUP(Table9[[#This Row],[Shortname]], Comp[], 8, FALSE)</f>
        <v>31.07</v>
      </c>
      <c r="L512">
        <f>VLOOKUP(Table9[[#This Row],[Shortname]], Comp[], 9, FALSE)</f>
        <v>10.6</v>
      </c>
      <c r="M512">
        <f>VLOOKUP(Table9[[#This Row],[Shortname]], Comp[], 10, FALSE)</f>
        <v>10.67</v>
      </c>
      <c r="N512">
        <f>VLOOKUP(Table9[[#This Row],[Shortname]], Comp[], 11, FALSE)</f>
        <v>0</v>
      </c>
      <c r="O512">
        <f>VLOOKUP(Table9[[#This Row],[Shortname]], Comp[],12, FALSE)</f>
        <v>0</v>
      </c>
      <c r="P512">
        <f>VLOOKUP(Table9[[#This Row],[Shortname]], Comp[], 13, FALSE)</f>
        <v>1.88</v>
      </c>
      <c r="Q512">
        <f>VLOOKUP(Table9[[#This Row],[Shortname]], Comp[], 14, FALSE)</f>
        <v>0.99</v>
      </c>
      <c r="R512">
        <f>VLOOKUP(Table9[[#This Row],[Shortname]], Comp[], 15, FALSE)</f>
        <v>0</v>
      </c>
      <c r="S512">
        <f>VLOOKUP(Table9[[#This Row],[Shortname]], Comp[], 16, FALSE)</f>
        <v>3.99</v>
      </c>
      <c r="T512">
        <f>VLOOKUP(Table9[[#This Row],[Shortname]], Comp[], 17, FALSE)</f>
        <v>0.31</v>
      </c>
      <c r="U512">
        <f>VLOOKUP(Table9[[#This Row],[Shortname]], Comp[], 18, FALSE)</f>
        <v>0.04</v>
      </c>
      <c r="V512">
        <f>VLOOKUP(Table9[[#This Row],[Shortname]], Comp[], 19, FALSE)</f>
        <v>0.19</v>
      </c>
      <c r="W512">
        <f>VLOOKUP(Table9[[#This Row],[Shortname]], Comp[], 20, FALSE)</f>
        <v>0</v>
      </c>
      <c r="X512">
        <f>VLOOKUP(Table9[[#This Row],[Shortname]], Comp[], 21, FALSE)</f>
        <v>0</v>
      </c>
      <c r="Y512">
        <f>VLOOKUP(Table9[[#This Row],[Shortname]], Comp[], 22, FALSE)</f>
        <v>0</v>
      </c>
      <c r="Z512">
        <f>VLOOKUP(Table9[[#This Row],[Shortname]], Comp[], 23, FALSE)</f>
        <v>0</v>
      </c>
      <c r="AA512">
        <f>VLOOKUP(Table9[[#This Row],[Shortname]], Comp[], 24, FALSE)</f>
        <v>0</v>
      </c>
      <c r="AB512">
        <f>VLOOKUP(Table9[[#This Row],[Shortname]], Comp[], 25, FALSE)</f>
        <v>0</v>
      </c>
      <c r="AC512">
        <f>VLOOKUP(Table9[[#This Row],[Shortname]], Comp[], 26, FALSE)</f>
        <v>0</v>
      </c>
      <c r="AD512">
        <f>VLOOKUP(Table9[[#This Row],[Shortname]], Comp[], 27, FALSE)</f>
        <v>0</v>
      </c>
      <c r="AE512">
        <f>VLOOKUP(Table9[[#This Row],[Shortname]], Comp[], 28, FALSE)</f>
        <v>0</v>
      </c>
      <c r="AF512">
        <f>VLOOKUP(Table9[[#This Row],[Shortname]], Comp[], 29, FALSE)</f>
        <v>0</v>
      </c>
      <c r="AG512">
        <f>VLOOKUP(Table9[[#This Row],[Shortname]], Comp[], 30, FALSE)</f>
        <v>0</v>
      </c>
      <c r="AH512">
        <f>VLOOKUP(Table9[[#This Row],[Shortname]], Comp[], 31, FALSE)</f>
        <v>0</v>
      </c>
    </row>
    <row r="513" spans="1:34" x14ac:dyDescent="0.3">
      <c r="A513" t="s">
        <v>67</v>
      </c>
      <c r="B513" t="s">
        <v>69</v>
      </c>
      <c r="C513" t="s">
        <v>70</v>
      </c>
      <c r="D513">
        <v>752</v>
      </c>
      <c r="E513">
        <v>750</v>
      </c>
      <c r="F513">
        <v>1E-3</v>
      </c>
      <c r="G513">
        <v>-1</v>
      </c>
      <c r="H513" t="s">
        <v>6855</v>
      </c>
      <c r="I513">
        <f>VLOOKUP(Table9[[#This Row],[Shortname]], Comp[], 6, FALSE)</f>
        <v>7</v>
      </c>
      <c r="J513" s="14">
        <f>VLOOKUP(Table9[[#This Row],[Shortname]], Comp[], 7, FALSE)</f>
        <v>40.259999999999991</v>
      </c>
      <c r="K513">
        <f>VLOOKUP(Table9[[#This Row],[Shortname]], Comp[], 8, FALSE)</f>
        <v>31.07</v>
      </c>
      <c r="L513">
        <f>VLOOKUP(Table9[[#This Row],[Shortname]], Comp[], 9, FALSE)</f>
        <v>10.6</v>
      </c>
      <c r="M513">
        <f>VLOOKUP(Table9[[#This Row],[Shortname]], Comp[], 10, FALSE)</f>
        <v>10.67</v>
      </c>
      <c r="N513">
        <f>VLOOKUP(Table9[[#This Row],[Shortname]], Comp[], 11, FALSE)</f>
        <v>0</v>
      </c>
      <c r="O513">
        <f>VLOOKUP(Table9[[#This Row],[Shortname]], Comp[],12, FALSE)</f>
        <v>0</v>
      </c>
      <c r="P513">
        <f>VLOOKUP(Table9[[#This Row],[Shortname]], Comp[], 13, FALSE)</f>
        <v>1.88</v>
      </c>
      <c r="Q513">
        <f>VLOOKUP(Table9[[#This Row],[Shortname]], Comp[], 14, FALSE)</f>
        <v>0.99</v>
      </c>
      <c r="R513">
        <f>VLOOKUP(Table9[[#This Row],[Shortname]], Comp[], 15, FALSE)</f>
        <v>0</v>
      </c>
      <c r="S513">
        <f>VLOOKUP(Table9[[#This Row],[Shortname]], Comp[], 16, FALSE)</f>
        <v>3.99</v>
      </c>
      <c r="T513">
        <f>VLOOKUP(Table9[[#This Row],[Shortname]], Comp[], 17, FALSE)</f>
        <v>0.31</v>
      </c>
      <c r="U513">
        <f>VLOOKUP(Table9[[#This Row],[Shortname]], Comp[], 18, FALSE)</f>
        <v>0.04</v>
      </c>
      <c r="V513">
        <f>VLOOKUP(Table9[[#This Row],[Shortname]], Comp[], 19, FALSE)</f>
        <v>0.19</v>
      </c>
      <c r="W513">
        <f>VLOOKUP(Table9[[#This Row],[Shortname]], Comp[], 20, FALSE)</f>
        <v>0</v>
      </c>
      <c r="X513">
        <f>VLOOKUP(Table9[[#This Row],[Shortname]], Comp[], 21, FALSE)</f>
        <v>0</v>
      </c>
      <c r="Y513">
        <f>VLOOKUP(Table9[[#This Row],[Shortname]], Comp[], 22, FALSE)</f>
        <v>0</v>
      </c>
      <c r="Z513">
        <f>VLOOKUP(Table9[[#This Row],[Shortname]], Comp[], 23, FALSE)</f>
        <v>0</v>
      </c>
      <c r="AA513">
        <f>VLOOKUP(Table9[[#This Row],[Shortname]], Comp[], 24, FALSE)</f>
        <v>0</v>
      </c>
      <c r="AB513">
        <f>VLOOKUP(Table9[[#This Row],[Shortname]], Comp[], 25, FALSE)</f>
        <v>0</v>
      </c>
      <c r="AC513">
        <f>VLOOKUP(Table9[[#This Row],[Shortname]], Comp[], 26, FALSE)</f>
        <v>0</v>
      </c>
      <c r="AD513">
        <f>VLOOKUP(Table9[[#This Row],[Shortname]], Comp[], 27, FALSE)</f>
        <v>0</v>
      </c>
      <c r="AE513">
        <f>VLOOKUP(Table9[[#This Row],[Shortname]], Comp[], 28, FALSE)</f>
        <v>0</v>
      </c>
      <c r="AF513">
        <f>VLOOKUP(Table9[[#This Row],[Shortname]], Comp[], 29, FALSE)</f>
        <v>0</v>
      </c>
      <c r="AG513">
        <f>VLOOKUP(Table9[[#This Row],[Shortname]], Comp[], 30, FALSE)</f>
        <v>0</v>
      </c>
      <c r="AH513">
        <f>VLOOKUP(Table9[[#This Row],[Shortname]], Comp[], 31, FALSE)</f>
        <v>0</v>
      </c>
    </row>
    <row r="514" spans="1:34" x14ac:dyDescent="0.3">
      <c r="A514" t="s">
        <v>82</v>
      </c>
      <c r="B514" t="s">
        <v>84</v>
      </c>
      <c r="C514" t="s">
        <v>70</v>
      </c>
      <c r="D514">
        <v>785</v>
      </c>
      <c r="E514">
        <v>25</v>
      </c>
      <c r="F514">
        <v>1E-3</v>
      </c>
      <c r="G514">
        <v>-1</v>
      </c>
      <c r="H514" t="s">
        <v>6855</v>
      </c>
      <c r="I514">
        <f>VLOOKUP(Table9[[#This Row],[Shortname]], Comp[], 6, FALSE)</f>
        <v>8</v>
      </c>
      <c r="J514" s="14">
        <f>VLOOKUP(Table9[[#This Row],[Shortname]], Comp[], 7, FALSE)</f>
        <v>40.210000000000008</v>
      </c>
      <c r="K514">
        <f>VLOOKUP(Table9[[#This Row],[Shortname]], Comp[], 8, FALSE)</f>
        <v>31.14</v>
      </c>
      <c r="L514">
        <f>VLOOKUP(Table9[[#This Row],[Shortname]], Comp[], 9, FALSE)</f>
        <v>10.76</v>
      </c>
      <c r="M514">
        <f>VLOOKUP(Table9[[#This Row],[Shortname]], Comp[], 10, FALSE)</f>
        <v>10.83</v>
      </c>
      <c r="N514">
        <f>VLOOKUP(Table9[[#This Row],[Shortname]], Comp[], 11, FALSE)</f>
        <v>0</v>
      </c>
      <c r="O514">
        <f>VLOOKUP(Table9[[#This Row],[Shortname]], Comp[],12, FALSE)</f>
        <v>0</v>
      </c>
      <c r="P514">
        <f>VLOOKUP(Table9[[#This Row],[Shortname]], Comp[], 13, FALSE)</f>
        <v>2.54</v>
      </c>
      <c r="Q514">
        <f>VLOOKUP(Table9[[#This Row],[Shortname]], Comp[], 14, FALSE)</f>
        <v>0</v>
      </c>
      <c r="R514">
        <f>VLOOKUP(Table9[[#This Row],[Shortname]], Comp[], 15, FALSE)</f>
        <v>0</v>
      </c>
      <c r="S514">
        <f>VLOOKUP(Table9[[#This Row],[Shortname]], Comp[], 16, FALSE)</f>
        <v>4.03</v>
      </c>
      <c r="T514">
        <f>VLOOKUP(Table9[[#This Row],[Shortname]], Comp[], 17, FALSE)</f>
        <v>0.22</v>
      </c>
      <c r="U514">
        <f>VLOOKUP(Table9[[#This Row],[Shortname]], Comp[], 18, FALSE)</f>
        <v>0.05</v>
      </c>
      <c r="V514">
        <f>VLOOKUP(Table9[[#This Row],[Shortname]], Comp[], 19, FALSE)</f>
        <v>0.22</v>
      </c>
      <c r="W514">
        <f>VLOOKUP(Table9[[#This Row],[Shortname]], Comp[], 20, FALSE)</f>
        <v>0</v>
      </c>
      <c r="X514">
        <f>VLOOKUP(Table9[[#This Row],[Shortname]], Comp[], 21, FALSE)</f>
        <v>0</v>
      </c>
      <c r="Y514">
        <f>VLOOKUP(Table9[[#This Row],[Shortname]], Comp[], 22, FALSE)</f>
        <v>0</v>
      </c>
      <c r="Z514">
        <f>VLOOKUP(Table9[[#This Row],[Shortname]], Comp[], 23, FALSE)</f>
        <v>0</v>
      </c>
      <c r="AA514">
        <f>VLOOKUP(Table9[[#This Row],[Shortname]], Comp[], 24, FALSE)</f>
        <v>0</v>
      </c>
      <c r="AB514">
        <f>VLOOKUP(Table9[[#This Row],[Shortname]], Comp[], 25, FALSE)</f>
        <v>0</v>
      </c>
      <c r="AC514">
        <f>VLOOKUP(Table9[[#This Row],[Shortname]], Comp[], 26, FALSE)</f>
        <v>0</v>
      </c>
      <c r="AD514">
        <f>VLOOKUP(Table9[[#This Row],[Shortname]], Comp[], 27, FALSE)</f>
        <v>0</v>
      </c>
      <c r="AE514">
        <f>VLOOKUP(Table9[[#This Row],[Shortname]], Comp[], 28, FALSE)</f>
        <v>0</v>
      </c>
      <c r="AF514">
        <f>VLOOKUP(Table9[[#This Row],[Shortname]], Comp[], 29, FALSE)</f>
        <v>0</v>
      </c>
      <c r="AG514">
        <f>VLOOKUP(Table9[[#This Row],[Shortname]], Comp[], 30, FALSE)</f>
        <v>0</v>
      </c>
      <c r="AH514">
        <f>VLOOKUP(Table9[[#This Row],[Shortname]], Comp[], 31, FALSE)</f>
        <v>0</v>
      </c>
    </row>
    <row r="515" spans="1:34" x14ac:dyDescent="0.3">
      <c r="A515" t="s">
        <v>82</v>
      </c>
      <c r="B515" t="s">
        <v>84</v>
      </c>
      <c r="C515" t="s">
        <v>70</v>
      </c>
      <c r="D515">
        <v>702</v>
      </c>
      <c r="E515">
        <v>750</v>
      </c>
      <c r="F515">
        <v>1E-3</v>
      </c>
      <c r="G515">
        <v>-1</v>
      </c>
      <c r="H515" t="s">
        <v>6855</v>
      </c>
      <c r="I515">
        <f>VLOOKUP(Table9[[#This Row],[Shortname]], Comp[], 6, FALSE)</f>
        <v>8</v>
      </c>
      <c r="J515" s="14">
        <f>VLOOKUP(Table9[[#This Row],[Shortname]], Comp[], 7, FALSE)</f>
        <v>40.210000000000008</v>
      </c>
      <c r="K515">
        <f>VLOOKUP(Table9[[#This Row],[Shortname]], Comp[], 8, FALSE)</f>
        <v>31.14</v>
      </c>
      <c r="L515">
        <f>VLOOKUP(Table9[[#This Row],[Shortname]], Comp[], 9, FALSE)</f>
        <v>10.76</v>
      </c>
      <c r="M515">
        <f>VLOOKUP(Table9[[#This Row],[Shortname]], Comp[], 10, FALSE)</f>
        <v>10.83</v>
      </c>
      <c r="N515">
        <f>VLOOKUP(Table9[[#This Row],[Shortname]], Comp[], 11, FALSE)</f>
        <v>0</v>
      </c>
      <c r="O515">
        <f>VLOOKUP(Table9[[#This Row],[Shortname]], Comp[],12, FALSE)</f>
        <v>0</v>
      </c>
      <c r="P515">
        <f>VLOOKUP(Table9[[#This Row],[Shortname]], Comp[], 13, FALSE)</f>
        <v>2.54</v>
      </c>
      <c r="Q515">
        <f>VLOOKUP(Table9[[#This Row],[Shortname]], Comp[], 14, FALSE)</f>
        <v>0</v>
      </c>
      <c r="R515">
        <f>VLOOKUP(Table9[[#This Row],[Shortname]], Comp[], 15, FALSE)</f>
        <v>0</v>
      </c>
      <c r="S515">
        <f>VLOOKUP(Table9[[#This Row],[Shortname]], Comp[], 16, FALSE)</f>
        <v>4.03</v>
      </c>
      <c r="T515">
        <f>VLOOKUP(Table9[[#This Row],[Shortname]], Comp[], 17, FALSE)</f>
        <v>0.22</v>
      </c>
      <c r="U515">
        <f>VLOOKUP(Table9[[#This Row],[Shortname]], Comp[], 18, FALSE)</f>
        <v>0.05</v>
      </c>
      <c r="V515">
        <f>VLOOKUP(Table9[[#This Row],[Shortname]], Comp[], 19, FALSE)</f>
        <v>0.22</v>
      </c>
      <c r="W515">
        <f>VLOOKUP(Table9[[#This Row],[Shortname]], Comp[], 20, FALSE)</f>
        <v>0</v>
      </c>
      <c r="X515">
        <f>VLOOKUP(Table9[[#This Row],[Shortname]], Comp[], 21, FALSE)</f>
        <v>0</v>
      </c>
      <c r="Y515">
        <f>VLOOKUP(Table9[[#This Row],[Shortname]], Comp[], 22, FALSE)</f>
        <v>0</v>
      </c>
      <c r="Z515">
        <f>VLOOKUP(Table9[[#This Row],[Shortname]], Comp[], 23, FALSE)</f>
        <v>0</v>
      </c>
      <c r="AA515">
        <f>VLOOKUP(Table9[[#This Row],[Shortname]], Comp[], 24, FALSE)</f>
        <v>0</v>
      </c>
      <c r="AB515">
        <f>VLOOKUP(Table9[[#This Row],[Shortname]], Comp[], 25, FALSE)</f>
        <v>0</v>
      </c>
      <c r="AC515">
        <f>VLOOKUP(Table9[[#This Row],[Shortname]], Comp[], 26, FALSE)</f>
        <v>0</v>
      </c>
      <c r="AD515">
        <f>VLOOKUP(Table9[[#This Row],[Shortname]], Comp[], 27, FALSE)</f>
        <v>0</v>
      </c>
      <c r="AE515">
        <f>VLOOKUP(Table9[[#This Row],[Shortname]], Comp[], 28, FALSE)</f>
        <v>0</v>
      </c>
      <c r="AF515">
        <f>VLOOKUP(Table9[[#This Row],[Shortname]], Comp[], 29, FALSE)</f>
        <v>0</v>
      </c>
      <c r="AG515">
        <f>VLOOKUP(Table9[[#This Row],[Shortname]], Comp[], 30, FALSE)</f>
        <v>0</v>
      </c>
      <c r="AH515">
        <f>VLOOKUP(Table9[[#This Row],[Shortname]], Comp[], 31, FALSE)</f>
        <v>0</v>
      </c>
    </row>
    <row r="516" spans="1:34" x14ac:dyDescent="0.3">
      <c r="A516" t="s">
        <v>641</v>
      </c>
      <c r="B516" t="s">
        <v>649</v>
      </c>
      <c r="C516" t="s">
        <v>6796</v>
      </c>
      <c r="D516">
        <v>1023</v>
      </c>
      <c r="E516">
        <v>25</v>
      </c>
      <c r="F516">
        <v>4.0000000000000001E-3</v>
      </c>
      <c r="G516">
        <v>1</v>
      </c>
      <c r="H516" t="s">
        <v>6803</v>
      </c>
      <c r="I516">
        <f>VLOOKUP(Table9[[#This Row],[Shortname]], Comp[], 6, FALSE)</f>
        <v>82</v>
      </c>
      <c r="J516" s="14">
        <f>VLOOKUP(Table9[[#This Row],[Shortname]], Comp[], 7, FALSE)</f>
        <v>82</v>
      </c>
      <c r="K516">
        <f>VLOOKUP(Table9[[#This Row],[Shortname]], Comp[], 8, FALSE)</f>
        <v>0</v>
      </c>
      <c r="L516">
        <f>VLOOKUP(Table9[[#This Row],[Shortname]], Comp[], 9, FALSE)</f>
        <v>9</v>
      </c>
      <c r="M516">
        <f>VLOOKUP(Table9[[#This Row],[Shortname]], Comp[], 10, FALSE)</f>
        <v>0</v>
      </c>
      <c r="N516">
        <f>VLOOKUP(Table9[[#This Row],[Shortname]], Comp[], 11, FALSE)</f>
        <v>9</v>
      </c>
      <c r="O516">
        <f>VLOOKUP(Table9[[#This Row],[Shortname]], Comp[],12, FALSE)</f>
        <v>0</v>
      </c>
      <c r="P516">
        <f>VLOOKUP(Table9[[#This Row],[Shortname]], Comp[], 13, FALSE)</f>
        <v>0</v>
      </c>
      <c r="Q516">
        <f>VLOOKUP(Table9[[#This Row],[Shortname]], Comp[], 14, FALSE)</f>
        <v>0</v>
      </c>
      <c r="R516">
        <f>VLOOKUP(Table9[[#This Row],[Shortname]], Comp[], 15, FALSE)</f>
        <v>0</v>
      </c>
      <c r="S516">
        <f>VLOOKUP(Table9[[#This Row],[Shortname]], Comp[], 16, FALSE)</f>
        <v>0</v>
      </c>
      <c r="T516">
        <f>VLOOKUP(Table9[[#This Row],[Shortname]], Comp[], 17, FALSE)</f>
        <v>0</v>
      </c>
      <c r="U516">
        <f>VLOOKUP(Table9[[#This Row],[Shortname]], Comp[], 18, FALSE)</f>
        <v>0</v>
      </c>
      <c r="V516">
        <f>VLOOKUP(Table9[[#This Row],[Shortname]], Comp[], 19, FALSE)</f>
        <v>0</v>
      </c>
      <c r="W516">
        <f>VLOOKUP(Table9[[#This Row],[Shortname]], Comp[], 20, FALSE)</f>
        <v>0</v>
      </c>
      <c r="X516">
        <f>VLOOKUP(Table9[[#This Row],[Shortname]], Comp[], 21, FALSE)</f>
        <v>0</v>
      </c>
      <c r="Y516">
        <f>VLOOKUP(Table9[[#This Row],[Shortname]], Comp[], 22, FALSE)</f>
        <v>0</v>
      </c>
      <c r="Z516">
        <f>VLOOKUP(Table9[[#This Row],[Shortname]], Comp[], 23, FALSE)</f>
        <v>0</v>
      </c>
      <c r="AA516">
        <f>VLOOKUP(Table9[[#This Row],[Shortname]], Comp[], 24, FALSE)</f>
        <v>0</v>
      </c>
      <c r="AB516">
        <f>VLOOKUP(Table9[[#This Row],[Shortname]], Comp[], 25, FALSE)</f>
        <v>0</v>
      </c>
      <c r="AC516">
        <f>VLOOKUP(Table9[[#This Row],[Shortname]], Comp[], 26, FALSE)</f>
        <v>0</v>
      </c>
      <c r="AD516">
        <f>VLOOKUP(Table9[[#This Row],[Shortname]], Comp[], 27, FALSE)</f>
        <v>0</v>
      </c>
      <c r="AE516">
        <f>VLOOKUP(Table9[[#This Row],[Shortname]], Comp[], 28, FALSE)</f>
        <v>0</v>
      </c>
      <c r="AF516">
        <f>VLOOKUP(Table9[[#This Row],[Shortname]], Comp[], 29, FALSE)</f>
        <v>0</v>
      </c>
      <c r="AG516">
        <f>VLOOKUP(Table9[[#This Row],[Shortname]], Comp[], 30, FALSE)</f>
        <v>0</v>
      </c>
      <c r="AH516">
        <f>VLOOKUP(Table9[[#This Row],[Shortname]], Comp[], 31, FALSE)</f>
        <v>0</v>
      </c>
    </row>
    <row r="517" spans="1:34" x14ac:dyDescent="0.3">
      <c r="A517" t="s">
        <v>641</v>
      </c>
      <c r="B517" t="s">
        <v>643</v>
      </c>
      <c r="C517" t="s">
        <v>6795</v>
      </c>
      <c r="D517">
        <v>965</v>
      </c>
      <c r="E517">
        <v>25</v>
      </c>
      <c r="F517">
        <v>4.0000000000000001E-3</v>
      </c>
      <c r="G517">
        <v>1</v>
      </c>
      <c r="H517" t="s">
        <v>6803</v>
      </c>
      <c r="I517">
        <f>VLOOKUP(Table9[[#This Row],[Shortname]], Comp[], 6, FALSE)</f>
        <v>82</v>
      </c>
      <c r="J517" s="14">
        <f>VLOOKUP(Table9[[#This Row],[Shortname]], Comp[], 7, FALSE)</f>
        <v>82</v>
      </c>
      <c r="K517">
        <f>VLOOKUP(Table9[[#This Row],[Shortname]], Comp[], 8, FALSE)</f>
        <v>0</v>
      </c>
      <c r="L517">
        <f>VLOOKUP(Table9[[#This Row],[Shortname]], Comp[], 9, FALSE)</f>
        <v>9</v>
      </c>
      <c r="M517">
        <f>VLOOKUP(Table9[[#This Row],[Shortname]], Comp[], 10, FALSE)</f>
        <v>0</v>
      </c>
      <c r="N517">
        <f>VLOOKUP(Table9[[#This Row],[Shortname]], Comp[], 11, FALSE)</f>
        <v>9</v>
      </c>
      <c r="O517">
        <f>VLOOKUP(Table9[[#This Row],[Shortname]], Comp[],12, FALSE)</f>
        <v>0</v>
      </c>
      <c r="P517">
        <f>VLOOKUP(Table9[[#This Row],[Shortname]], Comp[], 13, FALSE)</f>
        <v>0</v>
      </c>
      <c r="Q517">
        <f>VLOOKUP(Table9[[#This Row],[Shortname]], Comp[], 14, FALSE)</f>
        <v>0</v>
      </c>
      <c r="R517">
        <f>VLOOKUP(Table9[[#This Row],[Shortname]], Comp[], 15, FALSE)</f>
        <v>0</v>
      </c>
      <c r="S517">
        <f>VLOOKUP(Table9[[#This Row],[Shortname]], Comp[], 16, FALSE)</f>
        <v>0</v>
      </c>
      <c r="T517">
        <f>VLOOKUP(Table9[[#This Row],[Shortname]], Comp[], 17, FALSE)</f>
        <v>0</v>
      </c>
      <c r="U517">
        <f>VLOOKUP(Table9[[#This Row],[Shortname]], Comp[], 18, FALSE)</f>
        <v>0</v>
      </c>
      <c r="V517">
        <f>VLOOKUP(Table9[[#This Row],[Shortname]], Comp[], 19, FALSE)</f>
        <v>0</v>
      </c>
      <c r="W517">
        <f>VLOOKUP(Table9[[#This Row],[Shortname]], Comp[], 20, FALSE)</f>
        <v>0</v>
      </c>
      <c r="X517">
        <f>VLOOKUP(Table9[[#This Row],[Shortname]], Comp[], 21, FALSE)</f>
        <v>0</v>
      </c>
      <c r="Y517">
        <f>VLOOKUP(Table9[[#This Row],[Shortname]], Comp[], 22, FALSE)</f>
        <v>0</v>
      </c>
      <c r="Z517">
        <f>VLOOKUP(Table9[[#This Row],[Shortname]], Comp[], 23, FALSE)</f>
        <v>0</v>
      </c>
      <c r="AA517">
        <f>VLOOKUP(Table9[[#This Row],[Shortname]], Comp[], 24, FALSE)</f>
        <v>0</v>
      </c>
      <c r="AB517">
        <f>VLOOKUP(Table9[[#This Row],[Shortname]], Comp[], 25, FALSE)</f>
        <v>0</v>
      </c>
      <c r="AC517">
        <f>VLOOKUP(Table9[[#This Row],[Shortname]], Comp[], 26, FALSE)</f>
        <v>0</v>
      </c>
      <c r="AD517">
        <f>VLOOKUP(Table9[[#This Row],[Shortname]], Comp[], 27, FALSE)</f>
        <v>0</v>
      </c>
      <c r="AE517">
        <f>VLOOKUP(Table9[[#This Row],[Shortname]], Comp[], 28, FALSE)</f>
        <v>0</v>
      </c>
      <c r="AF517">
        <f>VLOOKUP(Table9[[#This Row],[Shortname]], Comp[], 29, FALSE)</f>
        <v>0</v>
      </c>
      <c r="AG517">
        <f>VLOOKUP(Table9[[#This Row],[Shortname]], Comp[], 30, FALSE)</f>
        <v>0</v>
      </c>
      <c r="AH517">
        <f>VLOOKUP(Table9[[#This Row],[Shortname]], Comp[], 31, FALSE)</f>
        <v>0</v>
      </c>
    </row>
    <row r="518" spans="1:34" x14ac:dyDescent="0.3">
      <c r="A518" t="s">
        <v>641</v>
      </c>
      <c r="B518" t="s">
        <v>643</v>
      </c>
      <c r="C518" t="s">
        <v>6856</v>
      </c>
      <c r="D518">
        <v>902</v>
      </c>
      <c r="E518">
        <v>400</v>
      </c>
      <c r="F518">
        <v>4.0000000000000001E-3</v>
      </c>
      <c r="G518">
        <v>1</v>
      </c>
      <c r="H518" t="s">
        <v>6803</v>
      </c>
      <c r="I518">
        <f>VLOOKUP(Table9[[#This Row],[Shortname]], Comp[], 6, FALSE)</f>
        <v>82</v>
      </c>
      <c r="J518" s="14">
        <f>VLOOKUP(Table9[[#This Row],[Shortname]], Comp[], 7, FALSE)</f>
        <v>82</v>
      </c>
      <c r="K518">
        <f>VLOOKUP(Table9[[#This Row],[Shortname]], Comp[], 8, FALSE)</f>
        <v>0</v>
      </c>
      <c r="L518">
        <f>VLOOKUP(Table9[[#This Row],[Shortname]], Comp[], 9, FALSE)</f>
        <v>9</v>
      </c>
      <c r="M518">
        <f>VLOOKUP(Table9[[#This Row],[Shortname]], Comp[], 10, FALSE)</f>
        <v>0</v>
      </c>
      <c r="N518">
        <f>VLOOKUP(Table9[[#This Row],[Shortname]], Comp[], 11, FALSE)</f>
        <v>9</v>
      </c>
      <c r="O518">
        <f>VLOOKUP(Table9[[#This Row],[Shortname]], Comp[],12, FALSE)</f>
        <v>0</v>
      </c>
      <c r="P518">
        <f>VLOOKUP(Table9[[#This Row],[Shortname]], Comp[], 13, FALSE)</f>
        <v>0</v>
      </c>
      <c r="Q518">
        <f>VLOOKUP(Table9[[#This Row],[Shortname]], Comp[], 14, FALSE)</f>
        <v>0</v>
      </c>
      <c r="R518">
        <f>VLOOKUP(Table9[[#This Row],[Shortname]], Comp[], 15, FALSE)</f>
        <v>0</v>
      </c>
      <c r="S518">
        <f>VLOOKUP(Table9[[#This Row],[Shortname]], Comp[], 16, FALSE)</f>
        <v>0</v>
      </c>
      <c r="T518">
        <f>VLOOKUP(Table9[[#This Row],[Shortname]], Comp[], 17, FALSE)</f>
        <v>0</v>
      </c>
      <c r="U518">
        <f>VLOOKUP(Table9[[#This Row],[Shortname]], Comp[], 18, FALSE)</f>
        <v>0</v>
      </c>
      <c r="V518">
        <f>VLOOKUP(Table9[[#This Row],[Shortname]], Comp[], 19, FALSE)</f>
        <v>0</v>
      </c>
      <c r="W518">
        <f>VLOOKUP(Table9[[#This Row],[Shortname]], Comp[], 20, FALSE)</f>
        <v>0</v>
      </c>
      <c r="X518">
        <f>VLOOKUP(Table9[[#This Row],[Shortname]], Comp[], 21, FALSE)</f>
        <v>0</v>
      </c>
      <c r="Y518">
        <f>VLOOKUP(Table9[[#This Row],[Shortname]], Comp[], 22, FALSE)</f>
        <v>0</v>
      </c>
      <c r="Z518">
        <f>VLOOKUP(Table9[[#This Row],[Shortname]], Comp[], 23, FALSE)</f>
        <v>0</v>
      </c>
      <c r="AA518">
        <f>VLOOKUP(Table9[[#This Row],[Shortname]], Comp[], 24, FALSE)</f>
        <v>0</v>
      </c>
      <c r="AB518">
        <f>VLOOKUP(Table9[[#This Row],[Shortname]], Comp[], 25, FALSE)</f>
        <v>0</v>
      </c>
      <c r="AC518">
        <f>VLOOKUP(Table9[[#This Row],[Shortname]], Comp[], 26, FALSE)</f>
        <v>0</v>
      </c>
      <c r="AD518">
        <f>VLOOKUP(Table9[[#This Row],[Shortname]], Comp[], 27, FALSE)</f>
        <v>0</v>
      </c>
      <c r="AE518">
        <f>VLOOKUP(Table9[[#This Row],[Shortname]], Comp[], 28, FALSE)</f>
        <v>0</v>
      </c>
      <c r="AF518">
        <f>VLOOKUP(Table9[[#This Row],[Shortname]], Comp[], 29, FALSE)</f>
        <v>0</v>
      </c>
      <c r="AG518">
        <f>VLOOKUP(Table9[[#This Row],[Shortname]], Comp[], 30, FALSE)</f>
        <v>0</v>
      </c>
      <c r="AH518">
        <f>VLOOKUP(Table9[[#This Row],[Shortname]], Comp[], 31, FALSE)</f>
        <v>0</v>
      </c>
    </row>
    <row r="519" spans="1:34" x14ac:dyDescent="0.3">
      <c r="A519" t="s">
        <v>641</v>
      </c>
      <c r="B519" t="s">
        <v>649</v>
      </c>
      <c r="C519" t="s">
        <v>6857</v>
      </c>
      <c r="D519">
        <v>835</v>
      </c>
      <c r="E519">
        <v>400</v>
      </c>
      <c r="F519">
        <v>4.0000000000000001E-3</v>
      </c>
      <c r="G519">
        <v>1</v>
      </c>
      <c r="H519" t="s">
        <v>6803</v>
      </c>
      <c r="I519">
        <f>VLOOKUP(Table9[[#This Row],[Shortname]], Comp[], 6, FALSE)</f>
        <v>82</v>
      </c>
      <c r="J519" s="14">
        <f>VLOOKUP(Table9[[#This Row],[Shortname]], Comp[], 7, FALSE)</f>
        <v>82</v>
      </c>
      <c r="K519">
        <f>VLOOKUP(Table9[[#This Row],[Shortname]], Comp[], 8, FALSE)</f>
        <v>0</v>
      </c>
      <c r="L519">
        <f>VLOOKUP(Table9[[#This Row],[Shortname]], Comp[], 9, FALSE)</f>
        <v>9</v>
      </c>
      <c r="M519">
        <f>VLOOKUP(Table9[[#This Row],[Shortname]], Comp[], 10, FALSE)</f>
        <v>0</v>
      </c>
      <c r="N519">
        <f>VLOOKUP(Table9[[#This Row],[Shortname]], Comp[], 11, FALSE)</f>
        <v>9</v>
      </c>
      <c r="O519">
        <f>VLOOKUP(Table9[[#This Row],[Shortname]], Comp[],12, FALSE)</f>
        <v>0</v>
      </c>
      <c r="P519">
        <f>VLOOKUP(Table9[[#This Row],[Shortname]], Comp[], 13, FALSE)</f>
        <v>0</v>
      </c>
      <c r="Q519">
        <f>VLOOKUP(Table9[[#This Row],[Shortname]], Comp[], 14, FALSE)</f>
        <v>0</v>
      </c>
      <c r="R519">
        <f>VLOOKUP(Table9[[#This Row],[Shortname]], Comp[], 15, FALSE)</f>
        <v>0</v>
      </c>
      <c r="S519">
        <f>VLOOKUP(Table9[[#This Row],[Shortname]], Comp[], 16, FALSE)</f>
        <v>0</v>
      </c>
      <c r="T519">
        <f>VLOOKUP(Table9[[#This Row],[Shortname]], Comp[], 17, FALSE)</f>
        <v>0</v>
      </c>
      <c r="U519">
        <f>VLOOKUP(Table9[[#This Row],[Shortname]], Comp[], 18, FALSE)</f>
        <v>0</v>
      </c>
      <c r="V519">
        <f>VLOOKUP(Table9[[#This Row],[Shortname]], Comp[], 19, FALSE)</f>
        <v>0</v>
      </c>
      <c r="W519">
        <f>VLOOKUP(Table9[[#This Row],[Shortname]], Comp[], 20, FALSE)</f>
        <v>0</v>
      </c>
      <c r="X519">
        <f>VLOOKUP(Table9[[#This Row],[Shortname]], Comp[], 21, FALSE)</f>
        <v>0</v>
      </c>
      <c r="Y519">
        <f>VLOOKUP(Table9[[#This Row],[Shortname]], Comp[], 22, FALSE)</f>
        <v>0</v>
      </c>
      <c r="Z519">
        <f>VLOOKUP(Table9[[#This Row],[Shortname]], Comp[], 23, FALSE)</f>
        <v>0</v>
      </c>
      <c r="AA519">
        <f>VLOOKUP(Table9[[#This Row],[Shortname]], Comp[], 24, FALSE)</f>
        <v>0</v>
      </c>
      <c r="AB519">
        <f>VLOOKUP(Table9[[#This Row],[Shortname]], Comp[], 25, FALSE)</f>
        <v>0</v>
      </c>
      <c r="AC519">
        <f>VLOOKUP(Table9[[#This Row],[Shortname]], Comp[], 26, FALSE)</f>
        <v>0</v>
      </c>
      <c r="AD519">
        <f>VLOOKUP(Table9[[#This Row],[Shortname]], Comp[], 27, FALSE)</f>
        <v>0</v>
      </c>
      <c r="AE519">
        <f>VLOOKUP(Table9[[#This Row],[Shortname]], Comp[], 28, FALSE)</f>
        <v>0</v>
      </c>
      <c r="AF519">
        <f>VLOOKUP(Table9[[#This Row],[Shortname]], Comp[], 29, FALSE)</f>
        <v>0</v>
      </c>
      <c r="AG519">
        <f>VLOOKUP(Table9[[#This Row],[Shortname]], Comp[], 30, FALSE)</f>
        <v>0</v>
      </c>
      <c r="AH519">
        <f>VLOOKUP(Table9[[#This Row],[Shortname]], Comp[], 31, FALSE)</f>
        <v>0</v>
      </c>
    </row>
    <row r="520" spans="1:34" x14ac:dyDescent="0.3">
      <c r="A520" t="s">
        <v>641</v>
      </c>
      <c r="B520" t="s">
        <v>649</v>
      </c>
      <c r="C520" t="s">
        <v>6858</v>
      </c>
      <c r="D520">
        <v>660</v>
      </c>
      <c r="E520">
        <v>600</v>
      </c>
      <c r="F520">
        <v>4.0000000000000001E-3</v>
      </c>
      <c r="G520">
        <v>1</v>
      </c>
      <c r="H520" t="s">
        <v>6803</v>
      </c>
      <c r="I520">
        <f>VLOOKUP(Table9[[#This Row],[Shortname]], Comp[], 6, FALSE)</f>
        <v>82</v>
      </c>
      <c r="J520" s="14">
        <f>VLOOKUP(Table9[[#This Row],[Shortname]], Comp[], 7, FALSE)</f>
        <v>82</v>
      </c>
      <c r="K520">
        <f>VLOOKUP(Table9[[#This Row],[Shortname]], Comp[], 8, FALSE)</f>
        <v>0</v>
      </c>
      <c r="L520">
        <f>VLOOKUP(Table9[[#This Row],[Shortname]], Comp[], 9, FALSE)</f>
        <v>9</v>
      </c>
      <c r="M520">
        <f>VLOOKUP(Table9[[#This Row],[Shortname]], Comp[], 10, FALSE)</f>
        <v>0</v>
      </c>
      <c r="N520">
        <f>VLOOKUP(Table9[[#This Row],[Shortname]], Comp[], 11, FALSE)</f>
        <v>9</v>
      </c>
      <c r="O520">
        <f>VLOOKUP(Table9[[#This Row],[Shortname]], Comp[],12, FALSE)</f>
        <v>0</v>
      </c>
      <c r="P520">
        <f>VLOOKUP(Table9[[#This Row],[Shortname]], Comp[], 13, FALSE)</f>
        <v>0</v>
      </c>
      <c r="Q520">
        <f>VLOOKUP(Table9[[#This Row],[Shortname]], Comp[], 14, FALSE)</f>
        <v>0</v>
      </c>
      <c r="R520">
        <f>VLOOKUP(Table9[[#This Row],[Shortname]], Comp[], 15, FALSE)</f>
        <v>0</v>
      </c>
      <c r="S520">
        <f>VLOOKUP(Table9[[#This Row],[Shortname]], Comp[], 16, FALSE)</f>
        <v>0</v>
      </c>
      <c r="T520">
        <f>VLOOKUP(Table9[[#This Row],[Shortname]], Comp[], 17, FALSE)</f>
        <v>0</v>
      </c>
      <c r="U520">
        <f>VLOOKUP(Table9[[#This Row],[Shortname]], Comp[], 18, FALSE)</f>
        <v>0</v>
      </c>
      <c r="V520">
        <f>VLOOKUP(Table9[[#This Row],[Shortname]], Comp[], 19, FALSE)</f>
        <v>0</v>
      </c>
      <c r="W520">
        <f>VLOOKUP(Table9[[#This Row],[Shortname]], Comp[], 20, FALSE)</f>
        <v>0</v>
      </c>
      <c r="X520">
        <f>VLOOKUP(Table9[[#This Row],[Shortname]], Comp[], 21, FALSE)</f>
        <v>0</v>
      </c>
      <c r="Y520">
        <f>VLOOKUP(Table9[[#This Row],[Shortname]], Comp[], 22, FALSE)</f>
        <v>0</v>
      </c>
      <c r="Z520">
        <f>VLOOKUP(Table9[[#This Row],[Shortname]], Comp[], 23, FALSE)</f>
        <v>0</v>
      </c>
      <c r="AA520">
        <f>VLOOKUP(Table9[[#This Row],[Shortname]], Comp[], 24, FALSE)</f>
        <v>0</v>
      </c>
      <c r="AB520">
        <f>VLOOKUP(Table9[[#This Row],[Shortname]], Comp[], 25, FALSE)</f>
        <v>0</v>
      </c>
      <c r="AC520">
        <f>VLOOKUP(Table9[[#This Row],[Shortname]], Comp[], 26, FALSE)</f>
        <v>0</v>
      </c>
      <c r="AD520">
        <f>VLOOKUP(Table9[[#This Row],[Shortname]], Comp[], 27, FALSE)</f>
        <v>0</v>
      </c>
      <c r="AE520">
        <f>VLOOKUP(Table9[[#This Row],[Shortname]], Comp[], 28, FALSE)</f>
        <v>0</v>
      </c>
      <c r="AF520">
        <f>VLOOKUP(Table9[[#This Row],[Shortname]], Comp[], 29, FALSE)</f>
        <v>0</v>
      </c>
      <c r="AG520">
        <f>VLOOKUP(Table9[[#This Row],[Shortname]], Comp[], 30, FALSE)</f>
        <v>0</v>
      </c>
      <c r="AH520">
        <f>VLOOKUP(Table9[[#This Row],[Shortname]], Comp[], 31, FALSE)</f>
        <v>0</v>
      </c>
    </row>
    <row r="521" spans="1:34" x14ac:dyDescent="0.3">
      <c r="A521" t="s">
        <v>641</v>
      </c>
      <c r="B521" t="s">
        <v>649</v>
      </c>
      <c r="C521" t="s">
        <v>6859</v>
      </c>
      <c r="D521">
        <v>500</v>
      </c>
      <c r="E521">
        <v>700</v>
      </c>
      <c r="F521">
        <v>4.0000000000000001E-3</v>
      </c>
      <c r="G521">
        <v>1</v>
      </c>
      <c r="H521" t="s">
        <v>6803</v>
      </c>
      <c r="I521">
        <f>VLOOKUP(Table9[[#This Row],[Shortname]], Comp[], 6, FALSE)</f>
        <v>82</v>
      </c>
      <c r="J521" s="14">
        <f>VLOOKUP(Table9[[#This Row],[Shortname]], Comp[], 7, FALSE)</f>
        <v>82</v>
      </c>
      <c r="K521">
        <f>VLOOKUP(Table9[[#This Row],[Shortname]], Comp[], 8, FALSE)</f>
        <v>0</v>
      </c>
      <c r="L521">
        <f>VLOOKUP(Table9[[#This Row],[Shortname]], Comp[], 9, FALSE)</f>
        <v>9</v>
      </c>
      <c r="M521">
        <f>VLOOKUP(Table9[[#This Row],[Shortname]], Comp[], 10, FALSE)</f>
        <v>0</v>
      </c>
      <c r="N521">
        <f>VLOOKUP(Table9[[#This Row],[Shortname]], Comp[], 11, FALSE)</f>
        <v>9</v>
      </c>
      <c r="O521">
        <f>VLOOKUP(Table9[[#This Row],[Shortname]], Comp[],12, FALSE)</f>
        <v>0</v>
      </c>
      <c r="P521">
        <f>VLOOKUP(Table9[[#This Row],[Shortname]], Comp[], 13, FALSE)</f>
        <v>0</v>
      </c>
      <c r="Q521">
        <f>VLOOKUP(Table9[[#This Row],[Shortname]], Comp[], 14, FALSE)</f>
        <v>0</v>
      </c>
      <c r="R521">
        <f>VLOOKUP(Table9[[#This Row],[Shortname]], Comp[], 15, FALSE)</f>
        <v>0</v>
      </c>
      <c r="S521">
        <f>VLOOKUP(Table9[[#This Row],[Shortname]], Comp[], 16, FALSE)</f>
        <v>0</v>
      </c>
      <c r="T521">
        <f>VLOOKUP(Table9[[#This Row],[Shortname]], Comp[], 17, FALSE)</f>
        <v>0</v>
      </c>
      <c r="U521">
        <f>VLOOKUP(Table9[[#This Row],[Shortname]], Comp[], 18, FALSE)</f>
        <v>0</v>
      </c>
      <c r="V521">
        <f>VLOOKUP(Table9[[#This Row],[Shortname]], Comp[], 19, FALSE)</f>
        <v>0</v>
      </c>
      <c r="W521">
        <f>VLOOKUP(Table9[[#This Row],[Shortname]], Comp[], 20, FALSE)</f>
        <v>0</v>
      </c>
      <c r="X521">
        <f>VLOOKUP(Table9[[#This Row],[Shortname]], Comp[], 21, FALSE)</f>
        <v>0</v>
      </c>
      <c r="Y521">
        <f>VLOOKUP(Table9[[#This Row],[Shortname]], Comp[], 22, FALSE)</f>
        <v>0</v>
      </c>
      <c r="Z521">
        <f>VLOOKUP(Table9[[#This Row],[Shortname]], Comp[], 23, FALSE)</f>
        <v>0</v>
      </c>
      <c r="AA521">
        <f>VLOOKUP(Table9[[#This Row],[Shortname]], Comp[], 24, FALSE)</f>
        <v>0</v>
      </c>
      <c r="AB521">
        <f>VLOOKUP(Table9[[#This Row],[Shortname]], Comp[], 25, FALSE)</f>
        <v>0</v>
      </c>
      <c r="AC521">
        <f>VLOOKUP(Table9[[#This Row],[Shortname]], Comp[], 26, FALSE)</f>
        <v>0</v>
      </c>
      <c r="AD521">
        <f>VLOOKUP(Table9[[#This Row],[Shortname]], Comp[], 27, FALSE)</f>
        <v>0</v>
      </c>
      <c r="AE521">
        <f>VLOOKUP(Table9[[#This Row],[Shortname]], Comp[], 28, FALSE)</f>
        <v>0</v>
      </c>
      <c r="AF521">
        <f>VLOOKUP(Table9[[#This Row],[Shortname]], Comp[], 29, FALSE)</f>
        <v>0</v>
      </c>
      <c r="AG521">
        <f>VLOOKUP(Table9[[#This Row],[Shortname]], Comp[], 30, FALSE)</f>
        <v>0</v>
      </c>
      <c r="AH521">
        <f>VLOOKUP(Table9[[#This Row],[Shortname]], Comp[], 31, FALSE)</f>
        <v>0</v>
      </c>
    </row>
    <row r="522" spans="1:34" x14ac:dyDescent="0.3">
      <c r="A522" t="s">
        <v>641</v>
      </c>
      <c r="B522" t="s">
        <v>643</v>
      </c>
      <c r="C522" t="s">
        <v>6860</v>
      </c>
      <c r="D522">
        <v>410</v>
      </c>
      <c r="E522">
        <v>600</v>
      </c>
      <c r="F522">
        <v>4.0000000000000001E-3</v>
      </c>
      <c r="G522">
        <v>1</v>
      </c>
      <c r="H522" t="s">
        <v>6803</v>
      </c>
      <c r="I522">
        <f>VLOOKUP(Table9[[#This Row],[Shortname]], Comp[], 6, FALSE)</f>
        <v>82</v>
      </c>
      <c r="J522" s="14">
        <f>VLOOKUP(Table9[[#This Row],[Shortname]], Comp[], 7, FALSE)</f>
        <v>82</v>
      </c>
      <c r="K522">
        <f>VLOOKUP(Table9[[#This Row],[Shortname]], Comp[], 8, FALSE)</f>
        <v>0</v>
      </c>
      <c r="L522">
        <f>VLOOKUP(Table9[[#This Row],[Shortname]], Comp[], 9, FALSE)</f>
        <v>9</v>
      </c>
      <c r="M522">
        <f>VLOOKUP(Table9[[#This Row],[Shortname]], Comp[], 10, FALSE)</f>
        <v>0</v>
      </c>
      <c r="N522">
        <f>VLOOKUP(Table9[[#This Row],[Shortname]], Comp[], 11, FALSE)</f>
        <v>9</v>
      </c>
      <c r="O522">
        <f>VLOOKUP(Table9[[#This Row],[Shortname]], Comp[],12, FALSE)</f>
        <v>0</v>
      </c>
      <c r="P522">
        <f>VLOOKUP(Table9[[#This Row],[Shortname]], Comp[], 13, FALSE)</f>
        <v>0</v>
      </c>
      <c r="Q522">
        <f>VLOOKUP(Table9[[#This Row],[Shortname]], Comp[], 14, FALSE)</f>
        <v>0</v>
      </c>
      <c r="R522">
        <f>VLOOKUP(Table9[[#This Row],[Shortname]], Comp[], 15, FALSE)</f>
        <v>0</v>
      </c>
      <c r="S522">
        <f>VLOOKUP(Table9[[#This Row],[Shortname]], Comp[], 16, FALSE)</f>
        <v>0</v>
      </c>
      <c r="T522">
        <f>VLOOKUP(Table9[[#This Row],[Shortname]], Comp[], 17, FALSE)</f>
        <v>0</v>
      </c>
      <c r="U522">
        <f>VLOOKUP(Table9[[#This Row],[Shortname]], Comp[], 18, FALSE)</f>
        <v>0</v>
      </c>
      <c r="V522">
        <f>VLOOKUP(Table9[[#This Row],[Shortname]], Comp[], 19, FALSE)</f>
        <v>0</v>
      </c>
      <c r="W522">
        <f>VLOOKUP(Table9[[#This Row],[Shortname]], Comp[], 20, FALSE)</f>
        <v>0</v>
      </c>
      <c r="X522">
        <f>VLOOKUP(Table9[[#This Row],[Shortname]], Comp[], 21, FALSE)</f>
        <v>0</v>
      </c>
      <c r="Y522">
        <f>VLOOKUP(Table9[[#This Row],[Shortname]], Comp[], 22, FALSE)</f>
        <v>0</v>
      </c>
      <c r="Z522">
        <f>VLOOKUP(Table9[[#This Row],[Shortname]], Comp[], 23, FALSE)</f>
        <v>0</v>
      </c>
      <c r="AA522">
        <f>VLOOKUP(Table9[[#This Row],[Shortname]], Comp[], 24, FALSE)</f>
        <v>0</v>
      </c>
      <c r="AB522">
        <f>VLOOKUP(Table9[[#This Row],[Shortname]], Comp[], 25, FALSE)</f>
        <v>0</v>
      </c>
      <c r="AC522">
        <f>VLOOKUP(Table9[[#This Row],[Shortname]], Comp[], 26, FALSE)</f>
        <v>0</v>
      </c>
      <c r="AD522">
        <f>VLOOKUP(Table9[[#This Row],[Shortname]], Comp[], 27, FALSE)</f>
        <v>0</v>
      </c>
      <c r="AE522">
        <f>VLOOKUP(Table9[[#This Row],[Shortname]], Comp[], 28, FALSE)</f>
        <v>0</v>
      </c>
      <c r="AF522">
        <f>VLOOKUP(Table9[[#This Row],[Shortname]], Comp[], 29, FALSE)</f>
        <v>0</v>
      </c>
      <c r="AG522">
        <f>VLOOKUP(Table9[[#This Row],[Shortname]], Comp[], 30, FALSE)</f>
        <v>0</v>
      </c>
      <c r="AH522">
        <f>VLOOKUP(Table9[[#This Row],[Shortname]], Comp[], 31, FALSE)</f>
        <v>0</v>
      </c>
    </row>
    <row r="523" spans="1:34" x14ac:dyDescent="0.3">
      <c r="A523" t="s">
        <v>641</v>
      </c>
      <c r="B523" t="s">
        <v>643</v>
      </c>
      <c r="C523" t="s">
        <v>6861</v>
      </c>
      <c r="D523">
        <v>285</v>
      </c>
      <c r="E523">
        <v>700</v>
      </c>
      <c r="F523">
        <v>4.0000000000000001E-3</v>
      </c>
      <c r="G523">
        <v>1</v>
      </c>
      <c r="H523" t="s">
        <v>6803</v>
      </c>
      <c r="I523">
        <f>VLOOKUP(Table9[[#This Row],[Shortname]], Comp[], 6, FALSE)</f>
        <v>82</v>
      </c>
      <c r="J523" s="14">
        <f>VLOOKUP(Table9[[#This Row],[Shortname]], Comp[], 7, FALSE)</f>
        <v>82</v>
      </c>
      <c r="K523">
        <f>VLOOKUP(Table9[[#This Row],[Shortname]], Comp[], 8, FALSE)</f>
        <v>0</v>
      </c>
      <c r="L523">
        <f>VLOOKUP(Table9[[#This Row],[Shortname]], Comp[], 9, FALSE)</f>
        <v>9</v>
      </c>
      <c r="M523">
        <f>VLOOKUP(Table9[[#This Row],[Shortname]], Comp[], 10, FALSE)</f>
        <v>0</v>
      </c>
      <c r="N523">
        <f>VLOOKUP(Table9[[#This Row],[Shortname]], Comp[], 11, FALSE)</f>
        <v>9</v>
      </c>
      <c r="O523">
        <f>VLOOKUP(Table9[[#This Row],[Shortname]], Comp[],12, FALSE)</f>
        <v>0</v>
      </c>
      <c r="P523">
        <f>VLOOKUP(Table9[[#This Row],[Shortname]], Comp[], 13, FALSE)</f>
        <v>0</v>
      </c>
      <c r="Q523">
        <f>VLOOKUP(Table9[[#This Row],[Shortname]], Comp[], 14, FALSE)</f>
        <v>0</v>
      </c>
      <c r="R523">
        <f>VLOOKUP(Table9[[#This Row],[Shortname]], Comp[], 15, FALSE)</f>
        <v>0</v>
      </c>
      <c r="S523">
        <f>VLOOKUP(Table9[[#This Row],[Shortname]], Comp[], 16, FALSE)</f>
        <v>0</v>
      </c>
      <c r="T523">
        <f>VLOOKUP(Table9[[#This Row],[Shortname]], Comp[], 17, FALSE)</f>
        <v>0</v>
      </c>
      <c r="U523">
        <f>VLOOKUP(Table9[[#This Row],[Shortname]], Comp[], 18, FALSE)</f>
        <v>0</v>
      </c>
      <c r="V523">
        <f>VLOOKUP(Table9[[#This Row],[Shortname]], Comp[], 19, FALSE)</f>
        <v>0</v>
      </c>
      <c r="W523">
        <f>VLOOKUP(Table9[[#This Row],[Shortname]], Comp[], 20, FALSE)</f>
        <v>0</v>
      </c>
      <c r="X523">
        <f>VLOOKUP(Table9[[#This Row],[Shortname]], Comp[], 21, FALSE)</f>
        <v>0</v>
      </c>
      <c r="Y523">
        <f>VLOOKUP(Table9[[#This Row],[Shortname]], Comp[], 22, FALSE)</f>
        <v>0</v>
      </c>
      <c r="Z523">
        <f>VLOOKUP(Table9[[#This Row],[Shortname]], Comp[], 23, FALSE)</f>
        <v>0</v>
      </c>
      <c r="AA523">
        <f>VLOOKUP(Table9[[#This Row],[Shortname]], Comp[], 24, FALSE)</f>
        <v>0</v>
      </c>
      <c r="AB523">
        <f>VLOOKUP(Table9[[#This Row],[Shortname]], Comp[], 25, FALSE)</f>
        <v>0</v>
      </c>
      <c r="AC523">
        <f>VLOOKUP(Table9[[#This Row],[Shortname]], Comp[], 26, FALSE)</f>
        <v>0</v>
      </c>
      <c r="AD523">
        <f>VLOOKUP(Table9[[#This Row],[Shortname]], Comp[], 27, FALSE)</f>
        <v>0</v>
      </c>
      <c r="AE523">
        <f>VLOOKUP(Table9[[#This Row],[Shortname]], Comp[], 28, FALSE)</f>
        <v>0</v>
      </c>
      <c r="AF523">
        <f>VLOOKUP(Table9[[#This Row],[Shortname]], Comp[], 29, FALSE)</f>
        <v>0</v>
      </c>
      <c r="AG523">
        <f>VLOOKUP(Table9[[#This Row],[Shortname]], Comp[], 30, FALSE)</f>
        <v>0</v>
      </c>
      <c r="AH523">
        <f>VLOOKUP(Table9[[#This Row],[Shortname]], Comp[], 31, FALSE)</f>
        <v>0</v>
      </c>
    </row>
    <row r="524" spans="1:34" x14ac:dyDescent="0.3">
      <c r="A524" t="s">
        <v>641</v>
      </c>
      <c r="B524" t="s">
        <v>649</v>
      </c>
      <c r="C524" t="s">
        <v>6862</v>
      </c>
      <c r="D524">
        <v>130</v>
      </c>
      <c r="E524">
        <v>850</v>
      </c>
      <c r="F524">
        <v>4.0000000000000001E-3</v>
      </c>
      <c r="G524">
        <v>1</v>
      </c>
      <c r="H524" t="s">
        <v>6803</v>
      </c>
      <c r="I524">
        <f>VLOOKUP(Table9[[#This Row],[Shortname]], Comp[], 6, FALSE)</f>
        <v>82</v>
      </c>
      <c r="J524" s="14">
        <f>VLOOKUP(Table9[[#This Row],[Shortname]], Comp[], 7, FALSE)</f>
        <v>82</v>
      </c>
      <c r="K524">
        <f>VLOOKUP(Table9[[#This Row],[Shortname]], Comp[], 8, FALSE)</f>
        <v>0</v>
      </c>
      <c r="L524">
        <f>VLOOKUP(Table9[[#This Row],[Shortname]], Comp[], 9, FALSE)</f>
        <v>9</v>
      </c>
      <c r="M524">
        <f>VLOOKUP(Table9[[#This Row],[Shortname]], Comp[], 10, FALSE)</f>
        <v>0</v>
      </c>
      <c r="N524">
        <f>VLOOKUP(Table9[[#This Row],[Shortname]], Comp[], 11, FALSE)</f>
        <v>9</v>
      </c>
      <c r="O524">
        <f>VLOOKUP(Table9[[#This Row],[Shortname]], Comp[],12, FALSE)</f>
        <v>0</v>
      </c>
      <c r="P524">
        <f>VLOOKUP(Table9[[#This Row],[Shortname]], Comp[], 13, FALSE)</f>
        <v>0</v>
      </c>
      <c r="Q524">
        <f>VLOOKUP(Table9[[#This Row],[Shortname]], Comp[], 14, FALSE)</f>
        <v>0</v>
      </c>
      <c r="R524">
        <f>VLOOKUP(Table9[[#This Row],[Shortname]], Comp[], 15, FALSE)</f>
        <v>0</v>
      </c>
      <c r="S524">
        <f>VLOOKUP(Table9[[#This Row],[Shortname]], Comp[], 16, FALSE)</f>
        <v>0</v>
      </c>
      <c r="T524">
        <f>VLOOKUP(Table9[[#This Row],[Shortname]], Comp[], 17, FALSE)</f>
        <v>0</v>
      </c>
      <c r="U524">
        <f>VLOOKUP(Table9[[#This Row],[Shortname]], Comp[], 18, FALSE)</f>
        <v>0</v>
      </c>
      <c r="V524">
        <f>VLOOKUP(Table9[[#This Row],[Shortname]], Comp[], 19, FALSE)</f>
        <v>0</v>
      </c>
      <c r="W524">
        <f>VLOOKUP(Table9[[#This Row],[Shortname]], Comp[], 20, FALSE)</f>
        <v>0</v>
      </c>
      <c r="X524">
        <f>VLOOKUP(Table9[[#This Row],[Shortname]], Comp[], 21, FALSE)</f>
        <v>0</v>
      </c>
      <c r="Y524">
        <f>VLOOKUP(Table9[[#This Row],[Shortname]], Comp[], 22, FALSE)</f>
        <v>0</v>
      </c>
      <c r="Z524">
        <f>VLOOKUP(Table9[[#This Row],[Shortname]], Comp[], 23, FALSE)</f>
        <v>0</v>
      </c>
      <c r="AA524">
        <f>VLOOKUP(Table9[[#This Row],[Shortname]], Comp[], 24, FALSE)</f>
        <v>0</v>
      </c>
      <c r="AB524">
        <f>VLOOKUP(Table9[[#This Row],[Shortname]], Comp[], 25, FALSE)</f>
        <v>0</v>
      </c>
      <c r="AC524">
        <f>VLOOKUP(Table9[[#This Row],[Shortname]], Comp[], 26, FALSE)</f>
        <v>0</v>
      </c>
      <c r="AD524">
        <f>VLOOKUP(Table9[[#This Row],[Shortname]], Comp[], 27, FALSE)</f>
        <v>0</v>
      </c>
      <c r="AE524">
        <f>VLOOKUP(Table9[[#This Row],[Shortname]], Comp[], 28, FALSE)</f>
        <v>0</v>
      </c>
      <c r="AF524">
        <f>VLOOKUP(Table9[[#This Row],[Shortname]], Comp[], 29, FALSE)</f>
        <v>0</v>
      </c>
      <c r="AG524">
        <f>VLOOKUP(Table9[[#This Row],[Shortname]], Comp[], 30, FALSE)</f>
        <v>0</v>
      </c>
      <c r="AH524">
        <f>VLOOKUP(Table9[[#This Row],[Shortname]], Comp[], 31, FALSE)</f>
        <v>0</v>
      </c>
    </row>
    <row r="525" spans="1:34" x14ac:dyDescent="0.3">
      <c r="A525" t="s">
        <v>641</v>
      </c>
      <c r="B525" t="s">
        <v>643</v>
      </c>
      <c r="C525" t="s">
        <v>6863</v>
      </c>
      <c r="D525">
        <v>130</v>
      </c>
      <c r="E525">
        <v>850</v>
      </c>
      <c r="F525">
        <v>4.0000000000000001E-3</v>
      </c>
      <c r="G525">
        <v>1</v>
      </c>
      <c r="H525" t="s">
        <v>6803</v>
      </c>
      <c r="I525">
        <f>VLOOKUP(Table9[[#This Row],[Shortname]], Comp[], 6, FALSE)</f>
        <v>82</v>
      </c>
      <c r="J525" s="14">
        <f>VLOOKUP(Table9[[#This Row],[Shortname]], Comp[], 7, FALSE)</f>
        <v>82</v>
      </c>
      <c r="K525">
        <f>VLOOKUP(Table9[[#This Row],[Shortname]], Comp[], 8, FALSE)</f>
        <v>0</v>
      </c>
      <c r="L525">
        <f>VLOOKUP(Table9[[#This Row],[Shortname]], Comp[], 9, FALSE)</f>
        <v>9</v>
      </c>
      <c r="M525">
        <f>VLOOKUP(Table9[[#This Row],[Shortname]], Comp[], 10, FALSE)</f>
        <v>0</v>
      </c>
      <c r="N525">
        <f>VLOOKUP(Table9[[#This Row],[Shortname]], Comp[], 11, FALSE)</f>
        <v>9</v>
      </c>
      <c r="O525">
        <f>VLOOKUP(Table9[[#This Row],[Shortname]], Comp[],12, FALSE)</f>
        <v>0</v>
      </c>
      <c r="P525">
        <f>VLOOKUP(Table9[[#This Row],[Shortname]], Comp[], 13, FALSE)</f>
        <v>0</v>
      </c>
      <c r="Q525">
        <f>VLOOKUP(Table9[[#This Row],[Shortname]], Comp[], 14, FALSE)</f>
        <v>0</v>
      </c>
      <c r="R525">
        <f>VLOOKUP(Table9[[#This Row],[Shortname]], Comp[], 15, FALSE)</f>
        <v>0</v>
      </c>
      <c r="S525">
        <f>VLOOKUP(Table9[[#This Row],[Shortname]], Comp[], 16, FALSE)</f>
        <v>0</v>
      </c>
      <c r="T525">
        <f>VLOOKUP(Table9[[#This Row],[Shortname]], Comp[], 17, FALSE)</f>
        <v>0</v>
      </c>
      <c r="U525">
        <f>VLOOKUP(Table9[[#This Row],[Shortname]], Comp[], 18, FALSE)</f>
        <v>0</v>
      </c>
      <c r="V525">
        <f>VLOOKUP(Table9[[#This Row],[Shortname]], Comp[], 19, FALSE)</f>
        <v>0</v>
      </c>
      <c r="W525">
        <f>VLOOKUP(Table9[[#This Row],[Shortname]], Comp[], 20, FALSE)</f>
        <v>0</v>
      </c>
      <c r="X525">
        <f>VLOOKUP(Table9[[#This Row],[Shortname]], Comp[], 21, FALSE)</f>
        <v>0</v>
      </c>
      <c r="Y525">
        <f>VLOOKUP(Table9[[#This Row],[Shortname]], Comp[], 22, FALSE)</f>
        <v>0</v>
      </c>
      <c r="Z525">
        <f>VLOOKUP(Table9[[#This Row],[Shortname]], Comp[], 23, FALSE)</f>
        <v>0</v>
      </c>
      <c r="AA525">
        <f>VLOOKUP(Table9[[#This Row],[Shortname]], Comp[], 24, FALSE)</f>
        <v>0</v>
      </c>
      <c r="AB525">
        <f>VLOOKUP(Table9[[#This Row],[Shortname]], Comp[], 25, FALSE)</f>
        <v>0</v>
      </c>
      <c r="AC525">
        <f>VLOOKUP(Table9[[#This Row],[Shortname]], Comp[], 26, FALSE)</f>
        <v>0</v>
      </c>
      <c r="AD525">
        <f>VLOOKUP(Table9[[#This Row],[Shortname]], Comp[], 27, FALSE)</f>
        <v>0</v>
      </c>
      <c r="AE525">
        <f>VLOOKUP(Table9[[#This Row],[Shortname]], Comp[], 28, FALSE)</f>
        <v>0</v>
      </c>
      <c r="AF525">
        <f>VLOOKUP(Table9[[#This Row],[Shortname]], Comp[], 29, FALSE)</f>
        <v>0</v>
      </c>
      <c r="AG525">
        <f>VLOOKUP(Table9[[#This Row],[Shortname]], Comp[], 30, FALSE)</f>
        <v>0</v>
      </c>
      <c r="AH525">
        <f>VLOOKUP(Table9[[#This Row],[Shortname]], Comp[], 31, FALSE)</f>
        <v>0</v>
      </c>
    </row>
    <row r="526" spans="1:34" x14ac:dyDescent="0.3">
      <c r="A526" t="s">
        <v>975</v>
      </c>
      <c r="B526" t="s">
        <v>977</v>
      </c>
      <c r="C526" t="s">
        <v>6864</v>
      </c>
      <c r="D526">
        <v>767</v>
      </c>
      <c r="E526">
        <v>700</v>
      </c>
      <c r="F526">
        <v>1E-4</v>
      </c>
      <c r="G526">
        <v>1</v>
      </c>
      <c r="H526" t="s">
        <v>6803</v>
      </c>
      <c r="I526">
        <f>VLOOKUP(Table9[[#This Row],[Shortname]], Comp[], 6, FALSE)</f>
        <v>126</v>
      </c>
      <c r="J526" s="14">
        <f>VLOOKUP(Table9[[#This Row],[Shortname]], Comp[], 7, FALSE)</f>
        <v>46</v>
      </c>
      <c r="K526">
        <f>VLOOKUP(Table9[[#This Row],[Shortname]], Comp[], 8, FALSE)</f>
        <v>30</v>
      </c>
      <c r="L526">
        <f>VLOOKUP(Table9[[#This Row],[Shortname]], Comp[], 9, FALSE)</f>
        <v>12</v>
      </c>
      <c r="M526">
        <f>VLOOKUP(Table9[[#This Row],[Shortname]], Comp[], 10, FALSE)</f>
        <v>12</v>
      </c>
      <c r="N526">
        <f>VLOOKUP(Table9[[#This Row],[Shortname]], Comp[], 11, FALSE)</f>
        <v>0</v>
      </c>
      <c r="O526">
        <f>VLOOKUP(Table9[[#This Row],[Shortname]], Comp[],12, FALSE)</f>
        <v>0</v>
      </c>
      <c r="P526">
        <f>VLOOKUP(Table9[[#This Row],[Shortname]], Comp[], 13, FALSE)</f>
        <v>0</v>
      </c>
      <c r="Q526">
        <f>VLOOKUP(Table9[[#This Row],[Shortname]], Comp[], 14, FALSE)</f>
        <v>0</v>
      </c>
      <c r="R526">
        <f>VLOOKUP(Table9[[#This Row],[Shortname]], Comp[], 15, FALSE)</f>
        <v>0</v>
      </c>
      <c r="S526">
        <f>VLOOKUP(Table9[[#This Row],[Shortname]], Comp[], 16, FALSE)</f>
        <v>0</v>
      </c>
      <c r="T526">
        <f>VLOOKUP(Table9[[#This Row],[Shortname]], Comp[], 17, FALSE)</f>
        <v>0</v>
      </c>
      <c r="U526">
        <f>VLOOKUP(Table9[[#This Row],[Shortname]], Comp[], 18, FALSE)</f>
        <v>0</v>
      </c>
      <c r="V526">
        <f>VLOOKUP(Table9[[#This Row],[Shortname]], Comp[], 19, FALSE)</f>
        <v>0</v>
      </c>
      <c r="W526">
        <f>VLOOKUP(Table9[[#This Row],[Shortname]], Comp[], 20, FALSE)</f>
        <v>0</v>
      </c>
      <c r="X526">
        <f>VLOOKUP(Table9[[#This Row],[Shortname]], Comp[], 21, FALSE)</f>
        <v>0</v>
      </c>
      <c r="Y526">
        <f>VLOOKUP(Table9[[#This Row],[Shortname]], Comp[], 22, FALSE)</f>
        <v>0</v>
      </c>
      <c r="Z526">
        <f>VLOOKUP(Table9[[#This Row],[Shortname]], Comp[], 23, FALSE)</f>
        <v>0</v>
      </c>
      <c r="AA526">
        <f>VLOOKUP(Table9[[#This Row],[Shortname]], Comp[], 24, FALSE)</f>
        <v>0</v>
      </c>
      <c r="AB526">
        <f>VLOOKUP(Table9[[#This Row],[Shortname]], Comp[], 25, FALSE)</f>
        <v>0</v>
      </c>
      <c r="AC526">
        <f>VLOOKUP(Table9[[#This Row],[Shortname]], Comp[], 26, FALSE)</f>
        <v>0</v>
      </c>
      <c r="AD526">
        <f>VLOOKUP(Table9[[#This Row],[Shortname]], Comp[], 27, FALSE)</f>
        <v>0</v>
      </c>
      <c r="AE526">
        <f>VLOOKUP(Table9[[#This Row],[Shortname]], Comp[], 28, FALSE)</f>
        <v>0</v>
      </c>
      <c r="AF526">
        <f>VLOOKUP(Table9[[#This Row],[Shortname]], Comp[], 29, FALSE)</f>
        <v>0</v>
      </c>
      <c r="AG526">
        <f>VLOOKUP(Table9[[#This Row],[Shortname]], Comp[], 30, FALSE)</f>
        <v>0</v>
      </c>
      <c r="AH526">
        <f>VLOOKUP(Table9[[#This Row],[Shortname]], Comp[], 31, FALSE)</f>
        <v>0</v>
      </c>
    </row>
    <row r="527" spans="1:34" x14ac:dyDescent="0.3">
      <c r="A527" t="s">
        <v>975</v>
      </c>
      <c r="B527" t="s">
        <v>977</v>
      </c>
      <c r="C527" t="s">
        <v>978</v>
      </c>
      <c r="D527">
        <v>685</v>
      </c>
      <c r="E527">
        <v>25</v>
      </c>
      <c r="F527">
        <v>1E-4</v>
      </c>
      <c r="G527">
        <v>1</v>
      </c>
      <c r="H527" t="s">
        <v>6803</v>
      </c>
      <c r="I527">
        <f>VLOOKUP(Table9[[#This Row],[Shortname]], Comp[], 6, FALSE)</f>
        <v>126</v>
      </c>
      <c r="J527" s="14">
        <f>VLOOKUP(Table9[[#This Row],[Shortname]], Comp[], 7, FALSE)</f>
        <v>46</v>
      </c>
      <c r="K527">
        <f>VLOOKUP(Table9[[#This Row],[Shortname]], Comp[], 8, FALSE)</f>
        <v>30</v>
      </c>
      <c r="L527">
        <f>VLOOKUP(Table9[[#This Row],[Shortname]], Comp[], 9, FALSE)</f>
        <v>12</v>
      </c>
      <c r="M527">
        <f>VLOOKUP(Table9[[#This Row],[Shortname]], Comp[], 10, FALSE)</f>
        <v>12</v>
      </c>
      <c r="N527">
        <f>VLOOKUP(Table9[[#This Row],[Shortname]], Comp[], 11, FALSE)</f>
        <v>0</v>
      </c>
      <c r="O527">
        <f>VLOOKUP(Table9[[#This Row],[Shortname]], Comp[],12, FALSE)</f>
        <v>0</v>
      </c>
      <c r="P527">
        <f>VLOOKUP(Table9[[#This Row],[Shortname]], Comp[], 13, FALSE)</f>
        <v>0</v>
      </c>
      <c r="Q527">
        <f>VLOOKUP(Table9[[#This Row],[Shortname]], Comp[], 14, FALSE)</f>
        <v>0</v>
      </c>
      <c r="R527">
        <f>VLOOKUP(Table9[[#This Row],[Shortname]], Comp[], 15, FALSE)</f>
        <v>0</v>
      </c>
      <c r="S527">
        <f>VLOOKUP(Table9[[#This Row],[Shortname]], Comp[], 16, FALSE)</f>
        <v>0</v>
      </c>
      <c r="T527">
        <f>VLOOKUP(Table9[[#This Row],[Shortname]], Comp[], 17, FALSE)</f>
        <v>0</v>
      </c>
      <c r="U527">
        <f>VLOOKUP(Table9[[#This Row],[Shortname]], Comp[], 18, FALSE)</f>
        <v>0</v>
      </c>
      <c r="V527">
        <f>VLOOKUP(Table9[[#This Row],[Shortname]], Comp[], 19, FALSE)</f>
        <v>0</v>
      </c>
      <c r="W527">
        <f>VLOOKUP(Table9[[#This Row],[Shortname]], Comp[], 20, FALSE)</f>
        <v>0</v>
      </c>
      <c r="X527">
        <f>VLOOKUP(Table9[[#This Row],[Shortname]], Comp[], 21, FALSE)</f>
        <v>0</v>
      </c>
      <c r="Y527">
        <f>VLOOKUP(Table9[[#This Row],[Shortname]], Comp[], 22, FALSE)</f>
        <v>0</v>
      </c>
      <c r="Z527">
        <f>VLOOKUP(Table9[[#This Row],[Shortname]], Comp[], 23, FALSE)</f>
        <v>0</v>
      </c>
      <c r="AA527">
        <f>VLOOKUP(Table9[[#This Row],[Shortname]], Comp[], 24, FALSE)</f>
        <v>0</v>
      </c>
      <c r="AB527">
        <f>VLOOKUP(Table9[[#This Row],[Shortname]], Comp[], 25, FALSE)</f>
        <v>0</v>
      </c>
      <c r="AC527">
        <f>VLOOKUP(Table9[[#This Row],[Shortname]], Comp[], 26, FALSE)</f>
        <v>0</v>
      </c>
      <c r="AD527">
        <f>VLOOKUP(Table9[[#This Row],[Shortname]], Comp[], 27, FALSE)</f>
        <v>0</v>
      </c>
      <c r="AE527">
        <f>VLOOKUP(Table9[[#This Row],[Shortname]], Comp[], 28, FALSE)</f>
        <v>0</v>
      </c>
      <c r="AF527">
        <f>VLOOKUP(Table9[[#This Row],[Shortname]], Comp[], 29, FALSE)</f>
        <v>0</v>
      </c>
      <c r="AG527">
        <f>VLOOKUP(Table9[[#This Row],[Shortname]], Comp[], 30, FALSE)</f>
        <v>0</v>
      </c>
      <c r="AH527">
        <f>VLOOKUP(Table9[[#This Row],[Shortname]], Comp[], 31, FALSE)</f>
        <v>0</v>
      </c>
    </row>
    <row r="528" spans="1:34" x14ac:dyDescent="0.3">
      <c r="A528" t="s">
        <v>975</v>
      </c>
      <c r="B528" t="s">
        <v>977</v>
      </c>
      <c r="C528" t="s">
        <v>6865</v>
      </c>
      <c r="D528">
        <v>685</v>
      </c>
      <c r="E528">
        <v>800</v>
      </c>
      <c r="F528">
        <v>1E-4</v>
      </c>
      <c r="G528">
        <v>1</v>
      </c>
      <c r="H528" t="s">
        <v>6803</v>
      </c>
      <c r="I528">
        <f>VLOOKUP(Table9[[#This Row],[Shortname]], Comp[], 6, FALSE)</f>
        <v>126</v>
      </c>
      <c r="J528" s="14">
        <f>VLOOKUP(Table9[[#This Row],[Shortname]], Comp[], 7, FALSE)</f>
        <v>46</v>
      </c>
      <c r="K528">
        <f>VLOOKUP(Table9[[#This Row],[Shortname]], Comp[], 8, FALSE)</f>
        <v>30</v>
      </c>
      <c r="L528">
        <f>VLOOKUP(Table9[[#This Row],[Shortname]], Comp[], 9, FALSE)</f>
        <v>12</v>
      </c>
      <c r="M528">
        <f>VLOOKUP(Table9[[#This Row],[Shortname]], Comp[], 10, FALSE)</f>
        <v>12</v>
      </c>
      <c r="N528">
        <f>VLOOKUP(Table9[[#This Row],[Shortname]], Comp[], 11, FALSE)</f>
        <v>0</v>
      </c>
      <c r="O528">
        <f>VLOOKUP(Table9[[#This Row],[Shortname]], Comp[],12, FALSE)</f>
        <v>0</v>
      </c>
      <c r="P528">
        <f>VLOOKUP(Table9[[#This Row],[Shortname]], Comp[], 13, FALSE)</f>
        <v>0</v>
      </c>
      <c r="Q528">
        <f>VLOOKUP(Table9[[#This Row],[Shortname]], Comp[], 14, FALSE)</f>
        <v>0</v>
      </c>
      <c r="R528">
        <f>VLOOKUP(Table9[[#This Row],[Shortname]], Comp[], 15, FALSE)</f>
        <v>0</v>
      </c>
      <c r="S528">
        <f>VLOOKUP(Table9[[#This Row],[Shortname]], Comp[], 16, FALSE)</f>
        <v>0</v>
      </c>
      <c r="T528">
        <f>VLOOKUP(Table9[[#This Row],[Shortname]], Comp[], 17, FALSE)</f>
        <v>0</v>
      </c>
      <c r="U528">
        <f>VLOOKUP(Table9[[#This Row],[Shortname]], Comp[], 18, FALSE)</f>
        <v>0</v>
      </c>
      <c r="V528">
        <f>VLOOKUP(Table9[[#This Row],[Shortname]], Comp[], 19, FALSE)</f>
        <v>0</v>
      </c>
      <c r="W528">
        <f>VLOOKUP(Table9[[#This Row],[Shortname]], Comp[], 20, FALSE)</f>
        <v>0</v>
      </c>
      <c r="X528">
        <f>VLOOKUP(Table9[[#This Row],[Shortname]], Comp[], 21, FALSE)</f>
        <v>0</v>
      </c>
      <c r="Y528">
        <f>VLOOKUP(Table9[[#This Row],[Shortname]], Comp[], 22, FALSE)</f>
        <v>0</v>
      </c>
      <c r="Z528">
        <f>VLOOKUP(Table9[[#This Row],[Shortname]], Comp[], 23, FALSE)</f>
        <v>0</v>
      </c>
      <c r="AA528">
        <f>VLOOKUP(Table9[[#This Row],[Shortname]], Comp[], 24, FALSE)</f>
        <v>0</v>
      </c>
      <c r="AB528">
        <f>VLOOKUP(Table9[[#This Row],[Shortname]], Comp[], 25, FALSE)</f>
        <v>0</v>
      </c>
      <c r="AC528">
        <f>VLOOKUP(Table9[[#This Row],[Shortname]], Comp[], 26, FALSE)</f>
        <v>0</v>
      </c>
      <c r="AD528">
        <f>VLOOKUP(Table9[[#This Row],[Shortname]], Comp[], 27, FALSE)</f>
        <v>0</v>
      </c>
      <c r="AE528">
        <f>VLOOKUP(Table9[[#This Row],[Shortname]], Comp[], 28, FALSE)</f>
        <v>0</v>
      </c>
      <c r="AF528">
        <f>VLOOKUP(Table9[[#This Row],[Shortname]], Comp[], 29, FALSE)</f>
        <v>0</v>
      </c>
      <c r="AG528">
        <f>VLOOKUP(Table9[[#This Row],[Shortname]], Comp[], 30, FALSE)</f>
        <v>0</v>
      </c>
      <c r="AH528">
        <f>VLOOKUP(Table9[[#This Row],[Shortname]], Comp[], 31, FALSE)</f>
        <v>0</v>
      </c>
    </row>
    <row r="529" spans="1:34" x14ac:dyDescent="0.3">
      <c r="A529" t="s">
        <v>975</v>
      </c>
      <c r="B529" t="s">
        <v>977</v>
      </c>
      <c r="C529" t="s">
        <v>6866</v>
      </c>
      <c r="D529">
        <v>630</v>
      </c>
      <c r="E529">
        <v>600</v>
      </c>
      <c r="F529">
        <v>1E-4</v>
      </c>
      <c r="G529">
        <v>1</v>
      </c>
      <c r="H529" t="s">
        <v>6803</v>
      </c>
      <c r="I529">
        <f>VLOOKUP(Table9[[#This Row],[Shortname]], Comp[], 6, FALSE)</f>
        <v>126</v>
      </c>
      <c r="J529" s="14">
        <f>VLOOKUP(Table9[[#This Row],[Shortname]], Comp[], 7, FALSE)</f>
        <v>46</v>
      </c>
      <c r="K529">
        <f>VLOOKUP(Table9[[#This Row],[Shortname]], Comp[], 8, FALSE)</f>
        <v>30</v>
      </c>
      <c r="L529">
        <f>VLOOKUP(Table9[[#This Row],[Shortname]], Comp[], 9, FALSE)</f>
        <v>12</v>
      </c>
      <c r="M529">
        <f>VLOOKUP(Table9[[#This Row],[Shortname]], Comp[], 10, FALSE)</f>
        <v>12</v>
      </c>
      <c r="N529">
        <f>VLOOKUP(Table9[[#This Row],[Shortname]], Comp[], 11, FALSE)</f>
        <v>0</v>
      </c>
      <c r="O529">
        <f>VLOOKUP(Table9[[#This Row],[Shortname]], Comp[],12, FALSE)</f>
        <v>0</v>
      </c>
      <c r="P529">
        <f>VLOOKUP(Table9[[#This Row],[Shortname]], Comp[], 13, FALSE)</f>
        <v>0</v>
      </c>
      <c r="Q529">
        <f>VLOOKUP(Table9[[#This Row],[Shortname]], Comp[], 14, FALSE)</f>
        <v>0</v>
      </c>
      <c r="R529">
        <f>VLOOKUP(Table9[[#This Row],[Shortname]], Comp[], 15, FALSE)</f>
        <v>0</v>
      </c>
      <c r="S529">
        <f>VLOOKUP(Table9[[#This Row],[Shortname]], Comp[], 16, FALSE)</f>
        <v>0</v>
      </c>
      <c r="T529">
        <f>VLOOKUP(Table9[[#This Row],[Shortname]], Comp[], 17, FALSE)</f>
        <v>0</v>
      </c>
      <c r="U529">
        <f>VLOOKUP(Table9[[#This Row],[Shortname]], Comp[], 18, FALSE)</f>
        <v>0</v>
      </c>
      <c r="V529">
        <f>VLOOKUP(Table9[[#This Row],[Shortname]], Comp[], 19, FALSE)</f>
        <v>0</v>
      </c>
      <c r="W529">
        <f>VLOOKUP(Table9[[#This Row],[Shortname]], Comp[], 20, FALSE)</f>
        <v>0</v>
      </c>
      <c r="X529">
        <f>VLOOKUP(Table9[[#This Row],[Shortname]], Comp[], 21, FALSE)</f>
        <v>0</v>
      </c>
      <c r="Y529">
        <f>VLOOKUP(Table9[[#This Row],[Shortname]], Comp[], 22, FALSE)</f>
        <v>0</v>
      </c>
      <c r="Z529">
        <f>VLOOKUP(Table9[[#This Row],[Shortname]], Comp[], 23, FALSE)</f>
        <v>0</v>
      </c>
      <c r="AA529">
        <f>VLOOKUP(Table9[[#This Row],[Shortname]], Comp[], 24, FALSE)</f>
        <v>0</v>
      </c>
      <c r="AB529">
        <f>VLOOKUP(Table9[[#This Row],[Shortname]], Comp[], 25, FALSE)</f>
        <v>0</v>
      </c>
      <c r="AC529">
        <f>VLOOKUP(Table9[[#This Row],[Shortname]], Comp[], 26, FALSE)</f>
        <v>0</v>
      </c>
      <c r="AD529">
        <f>VLOOKUP(Table9[[#This Row],[Shortname]], Comp[], 27, FALSE)</f>
        <v>0</v>
      </c>
      <c r="AE529">
        <f>VLOOKUP(Table9[[#This Row],[Shortname]], Comp[], 28, FALSE)</f>
        <v>0</v>
      </c>
      <c r="AF529">
        <f>VLOOKUP(Table9[[#This Row],[Shortname]], Comp[], 29, FALSE)</f>
        <v>0</v>
      </c>
      <c r="AG529">
        <f>VLOOKUP(Table9[[#This Row],[Shortname]], Comp[], 30, FALSE)</f>
        <v>0</v>
      </c>
      <c r="AH529">
        <f>VLOOKUP(Table9[[#This Row],[Shortname]], Comp[], 31, FALSE)</f>
        <v>0</v>
      </c>
    </row>
    <row r="530" spans="1:34" x14ac:dyDescent="0.3">
      <c r="A530" t="s">
        <v>975</v>
      </c>
      <c r="B530" t="s">
        <v>977</v>
      </c>
      <c r="C530" t="s">
        <v>6867</v>
      </c>
      <c r="D530">
        <v>453</v>
      </c>
      <c r="E530">
        <v>900</v>
      </c>
      <c r="F530">
        <v>1E-4</v>
      </c>
      <c r="G530">
        <v>1</v>
      </c>
      <c r="H530" t="s">
        <v>6803</v>
      </c>
      <c r="I530">
        <f>VLOOKUP(Table9[[#This Row],[Shortname]], Comp[], 6, FALSE)</f>
        <v>126</v>
      </c>
      <c r="J530" s="14">
        <f>VLOOKUP(Table9[[#This Row],[Shortname]], Comp[], 7, FALSE)</f>
        <v>46</v>
      </c>
      <c r="K530">
        <f>VLOOKUP(Table9[[#This Row],[Shortname]], Comp[], 8, FALSE)</f>
        <v>30</v>
      </c>
      <c r="L530">
        <f>VLOOKUP(Table9[[#This Row],[Shortname]], Comp[], 9, FALSE)</f>
        <v>12</v>
      </c>
      <c r="M530">
        <f>VLOOKUP(Table9[[#This Row],[Shortname]], Comp[], 10, FALSE)</f>
        <v>12</v>
      </c>
      <c r="N530">
        <f>VLOOKUP(Table9[[#This Row],[Shortname]], Comp[], 11, FALSE)</f>
        <v>0</v>
      </c>
      <c r="O530">
        <f>VLOOKUP(Table9[[#This Row],[Shortname]], Comp[],12, FALSE)</f>
        <v>0</v>
      </c>
      <c r="P530">
        <f>VLOOKUP(Table9[[#This Row],[Shortname]], Comp[], 13, FALSE)</f>
        <v>0</v>
      </c>
      <c r="Q530">
        <f>VLOOKUP(Table9[[#This Row],[Shortname]], Comp[], 14, FALSE)</f>
        <v>0</v>
      </c>
      <c r="R530">
        <f>VLOOKUP(Table9[[#This Row],[Shortname]], Comp[], 15, FALSE)</f>
        <v>0</v>
      </c>
      <c r="S530">
        <f>VLOOKUP(Table9[[#This Row],[Shortname]], Comp[], 16, FALSE)</f>
        <v>0</v>
      </c>
      <c r="T530">
        <f>VLOOKUP(Table9[[#This Row],[Shortname]], Comp[], 17, FALSE)</f>
        <v>0</v>
      </c>
      <c r="U530">
        <f>VLOOKUP(Table9[[#This Row],[Shortname]], Comp[], 18, FALSE)</f>
        <v>0</v>
      </c>
      <c r="V530">
        <f>VLOOKUP(Table9[[#This Row],[Shortname]], Comp[], 19, FALSE)</f>
        <v>0</v>
      </c>
      <c r="W530">
        <f>VLOOKUP(Table9[[#This Row],[Shortname]], Comp[], 20, FALSE)</f>
        <v>0</v>
      </c>
      <c r="X530">
        <f>VLOOKUP(Table9[[#This Row],[Shortname]], Comp[], 21, FALSE)</f>
        <v>0</v>
      </c>
      <c r="Y530">
        <f>VLOOKUP(Table9[[#This Row],[Shortname]], Comp[], 22, FALSE)</f>
        <v>0</v>
      </c>
      <c r="Z530">
        <f>VLOOKUP(Table9[[#This Row],[Shortname]], Comp[], 23, FALSE)</f>
        <v>0</v>
      </c>
      <c r="AA530">
        <f>VLOOKUP(Table9[[#This Row],[Shortname]], Comp[], 24, FALSE)</f>
        <v>0</v>
      </c>
      <c r="AB530">
        <f>VLOOKUP(Table9[[#This Row],[Shortname]], Comp[], 25, FALSE)</f>
        <v>0</v>
      </c>
      <c r="AC530">
        <f>VLOOKUP(Table9[[#This Row],[Shortname]], Comp[], 26, FALSE)</f>
        <v>0</v>
      </c>
      <c r="AD530">
        <f>VLOOKUP(Table9[[#This Row],[Shortname]], Comp[], 27, FALSE)</f>
        <v>0</v>
      </c>
      <c r="AE530">
        <f>VLOOKUP(Table9[[#This Row],[Shortname]], Comp[], 28, FALSE)</f>
        <v>0</v>
      </c>
      <c r="AF530">
        <f>VLOOKUP(Table9[[#This Row],[Shortname]], Comp[], 29, FALSE)</f>
        <v>0</v>
      </c>
      <c r="AG530">
        <f>VLOOKUP(Table9[[#This Row],[Shortname]], Comp[], 30, FALSE)</f>
        <v>0</v>
      </c>
      <c r="AH530">
        <f>VLOOKUP(Table9[[#This Row],[Shortname]], Comp[], 31, FALSE)</f>
        <v>0</v>
      </c>
    </row>
    <row r="531" spans="1:34" x14ac:dyDescent="0.3">
      <c r="A531" t="s">
        <v>1291</v>
      </c>
      <c r="B531" t="s">
        <v>1293</v>
      </c>
      <c r="C531" t="s">
        <v>1282</v>
      </c>
      <c r="D531">
        <v>905</v>
      </c>
      <c r="E531">
        <v>25</v>
      </c>
      <c r="F531">
        <v>4.4999999999999999E-4</v>
      </c>
      <c r="G531">
        <v>1</v>
      </c>
      <c r="H531" t="s">
        <v>6803</v>
      </c>
      <c r="I531">
        <f>VLOOKUP(Table9[[#This Row],[Shortname]], Comp[], 6, FALSE)</f>
        <v>164</v>
      </c>
      <c r="J531" s="14">
        <f>VLOOKUP(Table9[[#This Row],[Shortname]], Comp[], 7, FALSE)</f>
        <v>29.379999999999995</v>
      </c>
      <c r="K531">
        <f>VLOOKUP(Table9[[#This Row],[Shortname]], Comp[], 8, FALSE)</f>
        <v>40</v>
      </c>
      <c r="L531">
        <f>VLOOKUP(Table9[[#This Row],[Shortname]], Comp[], 9, FALSE)</f>
        <v>10</v>
      </c>
      <c r="M531">
        <f>VLOOKUP(Table9[[#This Row],[Shortname]], Comp[], 10, FALSE)</f>
        <v>10</v>
      </c>
      <c r="N531">
        <f>VLOOKUP(Table9[[#This Row],[Shortname]], Comp[], 11, FALSE)</f>
        <v>7.5</v>
      </c>
      <c r="O531">
        <f>VLOOKUP(Table9[[#This Row],[Shortname]], Comp[],12, FALSE)</f>
        <v>0</v>
      </c>
      <c r="P531">
        <f>VLOOKUP(Table9[[#This Row],[Shortname]], Comp[], 13, FALSE)</f>
        <v>0</v>
      </c>
      <c r="Q531">
        <f>VLOOKUP(Table9[[#This Row],[Shortname]], Comp[], 14, FALSE)</f>
        <v>3</v>
      </c>
      <c r="R531">
        <f>VLOOKUP(Table9[[#This Row],[Shortname]], Comp[], 15, FALSE)</f>
        <v>0</v>
      </c>
      <c r="S531">
        <f>VLOOKUP(Table9[[#This Row],[Shortname]], Comp[], 16, FALSE)</f>
        <v>0</v>
      </c>
      <c r="T531">
        <f>VLOOKUP(Table9[[#This Row],[Shortname]], Comp[], 17, FALSE)</f>
        <v>0.06</v>
      </c>
      <c r="U531">
        <f>VLOOKUP(Table9[[#This Row],[Shortname]], Comp[], 18, FALSE)</f>
        <v>0</v>
      </c>
      <c r="V531">
        <f>VLOOKUP(Table9[[#This Row],[Shortname]], Comp[], 19, FALSE)</f>
        <v>0.06</v>
      </c>
      <c r="W531">
        <f>VLOOKUP(Table9[[#This Row],[Shortname]], Comp[], 20, FALSE)</f>
        <v>0</v>
      </c>
      <c r="X531">
        <f>VLOOKUP(Table9[[#This Row],[Shortname]], Comp[], 21, FALSE)</f>
        <v>0</v>
      </c>
      <c r="Y531">
        <f>VLOOKUP(Table9[[#This Row],[Shortname]], Comp[], 22, FALSE)</f>
        <v>0</v>
      </c>
      <c r="Z531">
        <f>VLOOKUP(Table9[[#This Row],[Shortname]], Comp[], 23, FALSE)</f>
        <v>0</v>
      </c>
      <c r="AA531">
        <f>VLOOKUP(Table9[[#This Row],[Shortname]], Comp[], 24, FALSE)</f>
        <v>0</v>
      </c>
      <c r="AB531">
        <f>VLOOKUP(Table9[[#This Row],[Shortname]], Comp[], 25, FALSE)</f>
        <v>0</v>
      </c>
      <c r="AC531">
        <f>VLOOKUP(Table9[[#This Row],[Shortname]], Comp[], 26, FALSE)</f>
        <v>0</v>
      </c>
      <c r="AD531">
        <f>VLOOKUP(Table9[[#This Row],[Shortname]], Comp[], 27, FALSE)</f>
        <v>0</v>
      </c>
      <c r="AE531">
        <f>VLOOKUP(Table9[[#This Row],[Shortname]], Comp[], 28, FALSE)</f>
        <v>0</v>
      </c>
      <c r="AF531">
        <f>VLOOKUP(Table9[[#This Row],[Shortname]], Comp[], 29, FALSE)</f>
        <v>0</v>
      </c>
      <c r="AG531">
        <f>VLOOKUP(Table9[[#This Row],[Shortname]], Comp[], 30, FALSE)</f>
        <v>0</v>
      </c>
      <c r="AH531">
        <f>VLOOKUP(Table9[[#This Row],[Shortname]], Comp[], 31, FALSE)</f>
        <v>0</v>
      </c>
    </row>
    <row r="532" spans="1:34" x14ac:dyDescent="0.3">
      <c r="A532" t="s">
        <v>1291</v>
      </c>
      <c r="B532" t="s">
        <v>1293</v>
      </c>
      <c r="C532" t="s">
        <v>1282</v>
      </c>
      <c r="D532">
        <v>824</v>
      </c>
      <c r="E532">
        <v>600</v>
      </c>
      <c r="F532">
        <v>4.4999999999999999E-4</v>
      </c>
      <c r="G532">
        <v>1</v>
      </c>
      <c r="H532" t="s">
        <v>6803</v>
      </c>
      <c r="I532">
        <f>VLOOKUP(Table9[[#This Row],[Shortname]], Comp[], 6, FALSE)</f>
        <v>164</v>
      </c>
      <c r="J532" s="14">
        <f>VLOOKUP(Table9[[#This Row],[Shortname]], Comp[], 7, FALSE)</f>
        <v>29.379999999999995</v>
      </c>
      <c r="K532">
        <f>VLOOKUP(Table9[[#This Row],[Shortname]], Comp[], 8, FALSE)</f>
        <v>40</v>
      </c>
      <c r="L532">
        <f>VLOOKUP(Table9[[#This Row],[Shortname]], Comp[], 9, FALSE)</f>
        <v>10</v>
      </c>
      <c r="M532">
        <f>VLOOKUP(Table9[[#This Row],[Shortname]], Comp[], 10, FALSE)</f>
        <v>10</v>
      </c>
      <c r="N532">
        <f>VLOOKUP(Table9[[#This Row],[Shortname]], Comp[], 11, FALSE)</f>
        <v>7.5</v>
      </c>
      <c r="O532">
        <f>VLOOKUP(Table9[[#This Row],[Shortname]], Comp[],12, FALSE)</f>
        <v>0</v>
      </c>
      <c r="P532">
        <f>VLOOKUP(Table9[[#This Row],[Shortname]], Comp[], 13, FALSE)</f>
        <v>0</v>
      </c>
      <c r="Q532">
        <f>VLOOKUP(Table9[[#This Row],[Shortname]], Comp[], 14, FALSE)</f>
        <v>3</v>
      </c>
      <c r="R532">
        <f>VLOOKUP(Table9[[#This Row],[Shortname]], Comp[], 15, FALSE)</f>
        <v>0</v>
      </c>
      <c r="S532">
        <f>VLOOKUP(Table9[[#This Row],[Shortname]], Comp[], 16, FALSE)</f>
        <v>0</v>
      </c>
      <c r="T532">
        <f>VLOOKUP(Table9[[#This Row],[Shortname]], Comp[], 17, FALSE)</f>
        <v>0.06</v>
      </c>
      <c r="U532">
        <f>VLOOKUP(Table9[[#This Row],[Shortname]], Comp[], 18, FALSE)</f>
        <v>0</v>
      </c>
      <c r="V532">
        <f>VLOOKUP(Table9[[#This Row],[Shortname]], Comp[], 19, FALSE)</f>
        <v>0.06</v>
      </c>
      <c r="W532">
        <f>VLOOKUP(Table9[[#This Row],[Shortname]], Comp[], 20, FALSE)</f>
        <v>0</v>
      </c>
      <c r="X532">
        <f>VLOOKUP(Table9[[#This Row],[Shortname]], Comp[], 21, FALSE)</f>
        <v>0</v>
      </c>
      <c r="Y532">
        <f>VLOOKUP(Table9[[#This Row],[Shortname]], Comp[], 22, FALSE)</f>
        <v>0</v>
      </c>
      <c r="Z532">
        <f>VLOOKUP(Table9[[#This Row],[Shortname]], Comp[], 23, FALSE)</f>
        <v>0</v>
      </c>
      <c r="AA532">
        <f>VLOOKUP(Table9[[#This Row],[Shortname]], Comp[], 24, FALSE)</f>
        <v>0</v>
      </c>
      <c r="AB532">
        <f>VLOOKUP(Table9[[#This Row],[Shortname]], Comp[], 25, FALSE)</f>
        <v>0</v>
      </c>
      <c r="AC532">
        <f>VLOOKUP(Table9[[#This Row],[Shortname]], Comp[], 26, FALSE)</f>
        <v>0</v>
      </c>
      <c r="AD532">
        <f>VLOOKUP(Table9[[#This Row],[Shortname]], Comp[], 27, FALSE)</f>
        <v>0</v>
      </c>
      <c r="AE532">
        <f>VLOOKUP(Table9[[#This Row],[Shortname]], Comp[], 28, FALSE)</f>
        <v>0</v>
      </c>
      <c r="AF532">
        <f>VLOOKUP(Table9[[#This Row],[Shortname]], Comp[], 29, FALSE)</f>
        <v>0</v>
      </c>
      <c r="AG532">
        <f>VLOOKUP(Table9[[#This Row],[Shortname]], Comp[], 30, FALSE)</f>
        <v>0</v>
      </c>
      <c r="AH532">
        <f>VLOOKUP(Table9[[#This Row],[Shortname]], Comp[], 31, FALSE)</f>
        <v>0</v>
      </c>
    </row>
    <row r="533" spans="1:34" x14ac:dyDescent="0.3">
      <c r="A533" t="s">
        <v>1291</v>
      </c>
      <c r="B533" t="s">
        <v>1293</v>
      </c>
      <c r="C533" t="s">
        <v>1282</v>
      </c>
      <c r="D533">
        <v>800</v>
      </c>
      <c r="E533">
        <v>750</v>
      </c>
      <c r="F533">
        <v>4.4999999999999999E-4</v>
      </c>
      <c r="G533">
        <v>1</v>
      </c>
      <c r="H533" t="s">
        <v>6803</v>
      </c>
      <c r="I533">
        <f>VLOOKUP(Table9[[#This Row],[Shortname]], Comp[], 6, FALSE)</f>
        <v>164</v>
      </c>
      <c r="J533" s="14">
        <f>VLOOKUP(Table9[[#This Row],[Shortname]], Comp[], 7, FALSE)</f>
        <v>29.379999999999995</v>
      </c>
      <c r="K533">
        <f>VLOOKUP(Table9[[#This Row],[Shortname]], Comp[], 8, FALSE)</f>
        <v>40</v>
      </c>
      <c r="L533">
        <f>VLOOKUP(Table9[[#This Row],[Shortname]], Comp[], 9, FALSE)</f>
        <v>10</v>
      </c>
      <c r="M533">
        <f>VLOOKUP(Table9[[#This Row],[Shortname]], Comp[], 10, FALSE)</f>
        <v>10</v>
      </c>
      <c r="N533">
        <f>VLOOKUP(Table9[[#This Row],[Shortname]], Comp[], 11, FALSE)</f>
        <v>7.5</v>
      </c>
      <c r="O533">
        <f>VLOOKUP(Table9[[#This Row],[Shortname]], Comp[],12, FALSE)</f>
        <v>0</v>
      </c>
      <c r="P533">
        <f>VLOOKUP(Table9[[#This Row],[Shortname]], Comp[], 13, FALSE)</f>
        <v>0</v>
      </c>
      <c r="Q533">
        <f>VLOOKUP(Table9[[#This Row],[Shortname]], Comp[], 14, FALSE)</f>
        <v>3</v>
      </c>
      <c r="R533">
        <f>VLOOKUP(Table9[[#This Row],[Shortname]], Comp[], 15, FALSE)</f>
        <v>0</v>
      </c>
      <c r="S533">
        <f>VLOOKUP(Table9[[#This Row],[Shortname]], Comp[], 16, FALSE)</f>
        <v>0</v>
      </c>
      <c r="T533">
        <f>VLOOKUP(Table9[[#This Row],[Shortname]], Comp[], 17, FALSE)</f>
        <v>0.06</v>
      </c>
      <c r="U533">
        <f>VLOOKUP(Table9[[#This Row],[Shortname]], Comp[], 18, FALSE)</f>
        <v>0</v>
      </c>
      <c r="V533">
        <f>VLOOKUP(Table9[[#This Row],[Shortname]], Comp[], 19, FALSE)</f>
        <v>0.06</v>
      </c>
      <c r="W533">
        <f>VLOOKUP(Table9[[#This Row],[Shortname]], Comp[], 20, FALSE)</f>
        <v>0</v>
      </c>
      <c r="X533">
        <f>VLOOKUP(Table9[[#This Row],[Shortname]], Comp[], 21, FALSE)</f>
        <v>0</v>
      </c>
      <c r="Y533">
        <f>VLOOKUP(Table9[[#This Row],[Shortname]], Comp[], 22, FALSE)</f>
        <v>0</v>
      </c>
      <c r="Z533">
        <f>VLOOKUP(Table9[[#This Row],[Shortname]], Comp[], 23, FALSE)</f>
        <v>0</v>
      </c>
      <c r="AA533">
        <f>VLOOKUP(Table9[[#This Row],[Shortname]], Comp[], 24, FALSE)</f>
        <v>0</v>
      </c>
      <c r="AB533">
        <f>VLOOKUP(Table9[[#This Row],[Shortname]], Comp[], 25, FALSE)</f>
        <v>0</v>
      </c>
      <c r="AC533">
        <f>VLOOKUP(Table9[[#This Row],[Shortname]], Comp[], 26, FALSE)</f>
        <v>0</v>
      </c>
      <c r="AD533">
        <f>VLOOKUP(Table9[[#This Row],[Shortname]], Comp[], 27, FALSE)</f>
        <v>0</v>
      </c>
      <c r="AE533">
        <f>VLOOKUP(Table9[[#This Row],[Shortname]], Comp[], 28, FALSE)</f>
        <v>0</v>
      </c>
      <c r="AF533">
        <f>VLOOKUP(Table9[[#This Row],[Shortname]], Comp[], 29, FALSE)</f>
        <v>0</v>
      </c>
      <c r="AG533">
        <f>VLOOKUP(Table9[[#This Row],[Shortname]], Comp[], 30, FALSE)</f>
        <v>0</v>
      </c>
      <c r="AH533">
        <f>VLOOKUP(Table9[[#This Row],[Shortname]], Comp[], 31, FALSE)</f>
        <v>0</v>
      </c>
    </row>
    <row r="534" spans="1:34" x14ac:dyDescent="0.3">
      <c r="A534" t="s">
        <v>1291</v>
      </c>
      <c r="B534" t="s">
        <v>1293</v>
      </c>
      <c r="C534" t="s">
        <v>1282</v>
      </c>
      <c r="D534">
        <v>760</v>
      </c>
      <c r="E534">
        <v>850</v>
      </c>
      <c r="F534">
        <v>4.4999999999999999E-4</v>
      </c>
      <c r="G534">
        <v>1</v>
      </c>
      <c r="H534" t="s">
        <v>6803</v>
      </c>
      <c r="I534">
        <f>VLOOKUP(Table9[[#This Row],[Shortname]], Comp[], 6, FALSE)</f>
        <v>164</v>
      </c>
      <c r="J534" s="14">
        <f>VLOOKUP(Table9[[#This Row],[Shortname]], Comp[], 7, FALSE)</f>
        <v>29.379999999999995</v>
      </c>
      <c r="K534">
        <f>VLOOKUP(Table9[[#This Row],[Shortname]], Comp[], 8, FALSE)</f>
        <v>40</v>
      </c>
      <c r="L534">
        <f>VLOOKUP(Table9[[#This Row],[Shortname]], Comp[], 9, FALSE)</f>
        <v>10</v>
      </c>
      <c r="M534">
        <f>VLOOKUP(Table9[[#This Row],[Shortname]], Comp[], 10, FALSE)</f>
        <v>10</v>
      </c>
      <c r="N534">
        <f>VLOOKUP(Table9[[#This Row],[Shortname]], Comp[], 11, FALSE)</f>
        <v>7.5</v>
      </c>
      <c r="O534">
        <f>VLOOKUP(Table9[[#This Row],[Shortname]], Comp[],12, FALSE)</f>
        <v>0</v>
      </c>
      <c r="P534">
        <f>VLOOKUP(Table9[[#This Row],[Shortname]], Comp[], 13, FALSE)</f>
        <v>0</v>
      </c>
      <c r="Q534">
        <f>VLOOKUP(Table9[[#This Row],[Shortname]], Comp[], 14, FALSE)</f>
        <v>3</v>
      </c>
      <c r="R534">
        <f>VLOOKUP(Table9[[#This Row],[Shortname]], Comp[], 15, FALSE)</f>
        <v>0</v>
      </c>
      <c r="S534">
        <f>VLOOKUP(Table9[[#This Row],[Shortname]], Comp[], 16, FALSE)</f>
        <v>0</v>
      </c>
      <c r="T534">
        <f>VLOOKUP(Table9[[#This Row],[Shortname]], Comp[], 17, FALSE)</f>
        <v>0.06</v>
      </c>
      <c r="U534">
        <f>VLOOKUP(Table9[[#This Row],[Shortname]], Comp[], 18, FALSE)</f>
        <v>0</v>
      </c>
      <c r="V534">
        <f>VLOOKUP(Table9[[#This Row],[Shortname]], Comp[], 19, FALSE)</f>
        <v>0.06</v>
      </c>
      <c r="W534">
        <f>VLOOKUP(Table9[[#This Row],[Shortname]], Comp[], 20, FALSE)</f>
        <v>0</v>
      </c>
      <c r="X534">
        <f>VLOOKUP(Table9[[#This Row],[Shortname]], Comp[], 21, FALSE)</f>
        <v>0</v>
      </c>
      <c r="Y534">
        <f>VLOOKUP(Table9[[#This Row],[Shortname]], Comp[], 22, FALSE)</f>
        <v>0</v>
      </c>
      <c r="Z534">
        <f>VLOOKUP(Table9[[#This Row],[Shortname]], Comp[], 23, FALSE)</f>
        <v>0</v>
      </c>
      <c r="AA534">
        <f>VLOOKUP(Table9[[#This Row],[Shortname]], Comp[], 24, FALSE)</f>
        <v>0</v>
      </c>
      <c r="AB534">
        <f>VLOOKUP(Table9[[#This Row],[Shortname]], Comp[], 25, FALSE)</f>
        <v>0</v>
      </c>
      <c r="AC534">
        <f>VLOOKUP(Table9[[#This Row],[Shortname]], Comp[], 26, FALSE)</f>
        <v>0</v>
      </c>
      <c r="AD534">
        <f>VLOOKUP(Table9[[#This Row],[Shortname]], Comp[], 27, FALSE)</f>
        <v>0</v>
      </c>
      <c r="AE534">
        <f>VLOOKUP(Table9[[#This Row],[Shortname]], Comp[], 28, FALSE)</f>
        <v>0</v>
      </c>
      <c r="AF534">
        <f>VLOOKUP(Table9[[#This Row],[Shortname]], Comp[], 29, FALSE)</f>
        <v>0</v>
      </c>
      <c r="AG534">
        <f>VLOOKUP(Table9[[#This Row],[Shortname]], Comp[], 30, FALSE)</f>
        <v>0</v>
      </c>
      <c r="AH534">
        <f>VLOOKUP(Table9[[#This Row],[Shortname]], Comp[], 31, FALSE)</f>
        <v>0</v>
      </c>
    </row>
    <row r="535" spans="1:34" x14ac:dyDescent="0.3">
      <c r="A535" t="s">
        <v>1291</v>
      </c>
      <c r="B535" t="s">
        <v>1293</v>
      </c>
      <c r="C535" t="s">
        <v>1282</v>
      </c>
      <c r="D535">
        <v>750</v>
      </c>
      <c r="E535">
        <v>950</v>
      </c>
      <c r="F535">
        <v>4.4999999999999999E-4</v>
      </c>
      <c r="G535">
        <v>1</v>
      </c>
      <c r="H535" t="s">
        <v>6803</v>
      </c>
      <c r="I535">
        <f>VLOOKUP(Table9[[#This Row],[Shortname]], Comp[], 6, FALSE)</f>
        <v>164</v>
      </c>
      <c r="J535" s="14">
        <f>VLOOKUP(Table9[[#This Row],[Shortname]], Comp[], 7, FALSE)</f>
        <v>29.379999999999995</v>
      </c>
      <c r="K535">
        <f>VLOOKUP(Table9[[#This Row],[Shortname]], Comp[], 8, FALSE)</f>
        <v>40</v>
      </c>
      <c r="L535">
        <f>VLOOKUP(Table9[[#This Row],[Shortname]], Comp[], 9, FALSE)</f>
        <v>10</v>
      </c>
      <c r="M535">
        <f>VLOOKUP(Table9[[#This Row],[Shortname]], Comp[], 10, FALSE)</f>
        <v>10</v>
      </c>
      <c r="N535">
        <f>VLOOKUP(Table9[[#This Row],[Shortname]], Comp[], 11, FALSE)</f>
        <v>7.5</v>
      </c>
      <c r="O535">
        <f>VLOOKUP(Table9[[#This Row],[Shortname]], Comp[],12, FALSE)</f>
        <v>0</v>
      </c>
      <c r="P535">
        <f>VLOOKUP(Table9[[#This Row],[Shortname]], Comp[], 13, FALSE)</f>
        <v>0</v>
      </c>
      <c r="Q535">
        <f>VLOOKUP(Table9[[#This Row],[Shortname]], Comp[], 14, FALSE)</f>
        <v>3</v>
      </c>
      <c r="R535">
        <f>VLOOKUP(Table9[[#This Row],[Shortname]], Comp[], 15, FALSE)</f>
        <v>0</v>
      </c>
      <c r="S535">
        <f>VLOOKUP(Table9[[#This Row],[Shortname]], Comp[], 16, FALSE)</f>
        <v>0</v>
      </c>
      <c r="T535">
        <f>VLOOKUP(Table9[[#This Row],[Shortname]], Comp[], 17, FALSE)</f>
        <v>0.06</v>
      </c>
      <c r="U535">
        <f>VLOOKUP(Table9[[#This Row],[Shortname]], Comp[], 18, FALSE)</f>
        <v>0</v>
      </c>
      <c r="V535">
        <f>VLOOKUP(Table9[[#This Row],[Shortname]], Comp[], 19, FALSE)</f>
        <v>0.06</v>
      </c>
      <c r="W535">
        <f>VLOOKUP(Table9[[#This Row],[Shortname]], Comp[], 20, FALSE)</f>
        <v>0</v>
      </c>
      <c r="X535">
        <f>VLOOKUP(Table9[[#This Row],[Shortname]], Comp[], 21, FALSE)</f>
        <v>0</v>
      </c>
      <c r="Y535">
        <f>VLOOKUP(Table9[[#This Row],[Shortname]], Comp[], 22, FALSE)</f>
        <v>0</v>
      </c>
      <c r="Z535">
        <f>VLOOKUP(Table9[[#This Row],[Shortname]], Comp[], 23, FALSE)</f>
        <v>0</v>
      </c>
      <c r="AA535">
        <f>VLOOKUP(Table9[[#This Row],[Shortname]], Comp[], 24, FALSE)</f>
        <v>0</v>
      </c>
      <c r="AB535">
        <f>VLOOKUP(Table9[[#This Row],[Shortname]], Comp[], 25, FALSE)</f>
        <v>0</v>
      </c>
      <c r="AC535">
        <f>VLOOKUP(Table9[[#This Row],[Shortname]], Comp[], 26, FALSE)</f>
        <v>0</v>
      </c>
      <c r="AD535">
        <f>VLOOKUP(Table9[[#This Row],[Shortname]], Comp[], 27, FALSE)</f>
        <v>0</v>
      </c>
      <c r="AE535">
        <f>VLOOKUP(Table9[[#This Row],[Shortname]], Comp[], 28, FALSE)</f>
        <v>0</v>
      </c>
      <c r="AF535">
        <f>VLOOKUP(Table9[[#This Row],[Shortname]], Comp[], 29, FALSE)</f>
        <v>0</v>
      </c>
      <c r="AG535">
        <f>VLOOKUP(Table9[[#This Row],[Shortname]], Comp[], 30, FALSE)</f>
        <v>0</v>
      </c>
      <c r="AH535">
        <f>VLOOKUP(Table9[[#This Row],[Shortname]], Comp[], 31, FALSE)</f>
        <v>0</v>
      </c>
    </row>
    <row r="536" spans="1:34" x14ac:dyDescent="0.3">
      <c r="A536" t="s">
        <v>1291</v>
      </c>
      <c r="B536" t="s">
        <v>1293</v>
      </c>
      <c r="C536" t="s">
        <v>1282</v>
      </c>
      <c r="D536">
        <v>523</v>
      </c>
      <c r="E536">
        <v>1000</v>
      </c>
      <c r="F536">
        <v>4.4999999999999999E-4</v>
      </c>
      <c r="G536">
        <v>1</v>
      </c>
      <c r="H536" t="s">
        <v>6803</v>
      </c>
      <c r="I536">
        <f>VLOOKUP(Table9[[#This Row],[Shortname]], Comp[], 6, FALSE)</f>
        <v>164</v>
      </c>
      <c r="J536" s="14">
        <f>VLOOKUP(Table9[[#This Row],[Shortname]], Comp[], 7, FALSE)</f>
        <v>29.379999999999995</v>
      </c>
      <c r="K536">
        <f>VLOOKUP(Table9[[#This Row],[Shortname]], Comp[], 8, FALSE)</f>
        <v>40</v>
      </c>
      <c r="L536">
        <f>VLOOKUP(Table9[[#This Row],[Shortname]], Comp[], 9, FALSE)</f>
        <v>10</v>
      </c>
      <c r="M536">
        <f>VLOOKUP(Table9[[#This Row],[Shortname]], Comp[], 10, FALSE)</f>
        <v>10</v>
      </c>
      <c r="N536">
        <f>VLOOKUP(Table9[[#This Row],[Shortname]], Comp[], 11, FALSE)</f>
        <v>7.5</v>
      </c>
      <c r="O536">
        <f>VLOOKUP(Table9[[#This Row],[Shortname]], Comp[],12, FALSE)</f>
        <v>0</v>
      </c>
      <c r="P536">
        <f>VLOOKUP(Table9[[#This Row],[Shortname]], Comp[], 13, FALSE)</f>
        <v>0</v>
      </c>
      <c r="Q536">
        <f>VLOOKUP(Table9[[#This Row],[Shortname]], Comp[], 14, FALSE)</f>
        <v>3</v>
      </c>
      <c r="R536">
        <f>VLOOKUP(Table9[[#This Row],[Shortname]], Comp[], 15, FALSE)</f>
        <v>0</v>
      </c>
      <c r="S536">
        <f>VLOOKUP(Table9[[#This Row],[Shortname]], Comp[], 16, FALSE)</f>
        <v>0</v>
      </c>
      <c r="T536">
        <f>VLOOKUP(Table9[[#This Row],[Shortname]], Comp[], 17, FALSE)</f>
        <v>0.06</v>
      </c>
      <c r="U536">
        <f>VLOOKUP(Table9[[#This Row],[Shortname]], Comp[], 18, FALSE)</f>
        <v>0</v>
      </c>
      <c r="V536">
        <f>VLOOKUP(Table9[[#This Row],[Shortname]], Comp[], 19, FALSE)</f>
        <v>0.06</v>
      </c>
      <c r="W536">
        <f>VLOOKUP(Table9[[#This Row],[Shortname]], Comp[], 20, FALSE)</f>
        <v>0</v>
      </c>
      <c r="X536">
        <f>VLOOKUP(Table9[[#This Row],[Shortname]], Comp[], 21, FALSE)</f>
        <v>0</v>
      </c>
      <c r="Y536">
        <f>VLOOKUP(Table9[[#This Row],[Shortname]], Comp[], 22, FALSE)</f>
        <v>0</v>
      </c>
      <c r="Z536">
        <f>VLOOKUP(Table9[[#This Row],[Shortname]], Comp[], 23, FALSE)</f>
        <v>0</v>
      </c>
      <c r="AA536">
        <f>VLOOKUP(Table9[[#This Row],[Shortname]], Comp[], 24, FALSE)</f>
        <v>0</v>
      </c>
      <c r="AB536">
        <f>VLOOKUP(Table9[[#This Row],[Shortname]], Comp[], 25, FALSE)</f>
        <v>0</v>
      </c>
      <c r="AC536">
        <f>VLOOKUP(Table9[[#This Row],[Shortname]], Comp[], 26, FALSE)</f>
        <v>0</v>
      </c>
      <c r="AD536">
        <f>VLOOKUP(Table9[[#This Row],[Shortname]], Comp[], 27, FALSE)</f>
        <v>0</v>
      </c>
      <c r="AE536">
        <f>VLOOKUP(Table9[[#This Row],[Shortname]], Comp[], 28, FALSE)</f>
        <v>0</v>
      </c>
      <c r="AF536">
        <f>VLOOKUP(Table9[[#This Row],[Shortname]], Comp[], 29, FALSE)</f>
        <v>0</v>
      </c>
      <c r="AG536">
        <f>VLOOKUP(Table9[[#This Row],[Shortname]], Comp[], 30, FALSE)</f>
        <v>0</v>
      </c>
      <c r="AH536">
        <f>VLOOKUP(Table9[[#This Row],[Shortname]], Comp[], 31, FALSE)</f>
        <v>0</v>
      </c>
    </row>
    <row r="537" spans="1:34" x14ac:dyDescent="0.3">
      <c r="A537" t="s">
        <v>1279</v>
      </c>
      <c r="B537" t="s">
        <v>1281</v>
      </c>
      <c r="C537" t="s">
        <v>1282</v>
      </c>
      <c r="D537">
        <v>949</v>
      </c>
      <c r="E537">
        <v>25</v>
      </c>
      <c r="F537">
        <v>4.4999999999999999E-4</v>
      </c>
      <c r="G537">
        <v>1</v>
      </c>
      <c r="H537" t="s">
        <v>6803</v>
      </c>
      <c r="I537">
        <f>VLOOKUP(Table9[[#This Row],[Shortname]], Comp[], 6, FALSE)</f>
        <v>163</v>
      </c>
      <c r="J537" s="14">
        <f>VLOOKUP(Table9[[#This Row],[Shortname]], Comp[], 7, FALSE)</f>
        <v>29.379999999999995</v>
      </c>
      <c r="K537">
        <f>VLOOKUP(Table9[[#This Row],[Shortname]], Comp[], 8, FALSE)</f>
        <v>40</v>
      </c>
      <c r="L537">
        <f>VLOOKUP(Table9[[#This Row],[Shortname]], Comp[], 9, FALSE)</f>
        <v>10</v>
      </c>
      <c r="M537">
        <f>VLOOKUP(Table9[[#This Row],[Shortname]], Comp[], 10, FALSE)</f>
        <v>10</v>
      </c>
      <c r="N537">
        <f>VLOOKUP(Table9[[#This Row],[Shortname]], Comp[], 11, FALSE)</f>
        <v>7.5</v>
      </c>
      <c r="O537">
        <f>VLOOKUP(Table9[[#This Row],[Shortname]], Comp[],12, FALSE)</f>
        <v>0</v>
      </c>
      <c r="P537">
        <f>VLOOKUP(Table9[[#This Row],[Shortname]], Comp[], 13, FALSE)</f>
        <v>3</v>
      </c>
      <c r="Q537">
        <f>VLOOKUP(Table9[[#This Row],[Shortname]], Comp[], 14, FALSE)</f>
        <v>0</v>
      </c>
      <c r="R537">
        <f>VLOOKUP(Table9[[#This Row],[Shortname]], Comp[], 15, FALSE)</f>
        <v>0</v>
      </c>
      <c r="S537">
        <f>VLOOKUP(Table9[[#This Row],[Shortname]], Comp[], 16, FALSE)</f>
        <v>0</v>
      </c>
      <c r="T537">
        <f>VLOOKUP(Table9[[#This Row],[Shortname]], Comp[], 17, FALSE)</f>
        <v>0.06</v>
      </c>
      <c r="U537">
        <f>VLOOKUP(Table9[[#This Row],[Shortname]], Comp[], 18, FALSE)</f>
        <v>0</v>
      </c>
      <c r="V537">
        <f>VLOOKUP(Table9[[#This Row],[Shortname]], Comp[], 19, FALSE)</f>
        <v>0.06</v>
      </c>
      <c r="W537">
        <f>VLOOKUP(Table9[[#This Row],[Shortname]], Comp[], 20, FALSE)</f>
        <v>0</v>
      </c>
      <c r="X537">
        <f>VLOOKUP(Table9[[#This Row],[Shortname]], Comp[], 21, FALSE)</f>
        <v>0</v>
      </c>
      <c r="Y537">
        <f>VLOOKUP(Table9[[#This Row],[Shortname]], Comp[], 22, FALSE)</f>
        <v>0</v>
      </c>
      <c r="Z537">
        <f>VLOOKUP(Table9[[#This Row],[Shortname]], Comp[], 23, FALSE)</f>
        <v>0</v>
      </c>
      <c r="AA537">
        <f>VLOOKUP(Table9[[#This Row],[Shortname]], Comp[], 24, FALSE)</f>
        <v>0</v>
      </c>
      <c r="AB537">
        <f>VLOOKUP(Table9[[#This Row],[Shortname]], Comp[], 25, FALSE)</f>
        <v>0</v>
      </c>
      <c r="AC537">
        <f>VLOOKUP(Table9[[#This Row],[Shortname]], Comp[], 26, FALSE)</f>
        <v>0</v>
      </c>
      <c r="AD537">
        <f>VLOOKUP(Table9[[#This Row],[Shortname]], Comp[], 27, FALSE)</f>
        <v>0</v>
      </c>
      <c r="AE537">
        <f>VLOOKUP(Table9[[#This Row],[Shortname]], Comp[], 28, FALSE)</f>
        <v>0</v>
      </c>
      <c r="AF537">
        <f>VLOOKUP(Table9[[#This Row],[Shortname]], Comp[], 29, FALSE)</f>
        <v>0</v>
      </c>
      <c r="AG537">
        <f>VLOOKUP(Table9[[#This Row],[Shortname]], Comp[], 30, FALSE)</f>
        <v>0</v>
      </c>
      <c r="AH537">
        <f>VLOOKUP(Table9[[#This Row],[Shortname]], Comp[], 31, FALSE)</f>
        <v>0</v>
      </c>
    </row>
    <row r="538" spans="1:34" x14ac:dyDescent="0.3">
      <c r="A538" t="s">
        <v>1279</v>
      </c>
      <c r="B538" t="s">
        <v>1281</v>
      </c>
      <c r="C538" t="s">
        <v>1282</v>
      </c>
      <c r="D538">
        <v>884</v>
      </c>
      <c r="E538">
        <v>600</v>
      </c>
      <c r="F538">
        <v>4.4999999999999999E-4</v>
      </c>
      <c r="G538">
        <v>1</v>
      </c>
      <c r="H538" t="s">
        <v>6803</v>
      </c>
      <c r="I538">
        <f>VLOOKUP(Table9[[#This Row],[Shortname]], Comp[], 6, FALSE)</f>
        <v>163</v>
      </c>
      <c r="J538" s="14">
        <f>VLOOKUP(Table9[[#This Row],[Shortname]], Comp[], 7, FALSE)</f>
        <v>29.379999999999995</v>
      </c>
      <c r="K538">
        <f>VLOOKUP(Table9[[#This Row],[Shortname]], Comp[], 8, FALSE)</f>
        <v>40</v>
      </c>
      <c r="L538">
        <f>VLOOKUP(Table9[[#This Row],[Shortname]], Comp[], 9, FALSE)</f>
        <v>10</v>
      </c>
      <c r="M538">
        <f>VLOOKUP(Table9[[#This Row],[Shortname]], Comp[], 10, FALSE)</f>
        <v>10</v>
      </c>
      <c r="N538">
        <f>VLOOKUP(Table9[[#This Row],[Shortname]], Comp[], 11, FALSE)</f>
        <v>7.5</v>
      </c>
      <c r="O538">
        <f>VLOOKUP(Table9[[#This Row],[Shortname]], Comp[],12, FALSE)</f>
        <v>0</v>
      </c>
      <c r="P538">
        <f>VLOOKUP(Table9[[#This Row],[Shortname]], Comp[], 13, FALSE)</f>
        <v>3</v>
      </c>
      <c r="Q538">
        <f>VLOOKUP(Table9[[#This Row],[Shortname]], Comp[], 14, FALSE)</f>
        <v>0</v>
      </c>
      <c r="R538">
        <f>VLOOKUP(Table9[[#This Row],[Shortname]], Comp[], 15, FALSE)</f>
        <v>0</v>
      </c>
      <c r="S538">
        <f>VLOOKUP(Table9[[#This Row],[Shortname]], Comp[], 16, FALSE)</f>
        <v>0</v>
      </c>
      <c r="T538">
        <f>VLOOKUP(Table9[[#This Row],[Shortname]], Comp[], 17, FALSE)</f>
        <v>0.06</v>
      </c>
      <c r="U538">
        <f>VLOOKUP(Table9[[#This Row],[Shortname]], Comp[], 18, FALSE)</f>
        <v>0</v>
      </c>
      <c r="V538">
        <f>VLOOKUP(Table9[[#This Row],[Shortname]], Comp[], 19, FALSE)</f>
        <v>0.06</v>
      </c>
      <c r="W538">
        <f>VLOOKUP(Table9[[#This Row],[Shortname]], Comp[], 20, FALSE)</f>
        <v>0</v>
      </c>
      <c r="X538">
        <f>VLOOKUP(Table9[[#This Row],[Shortname]], Comp[], 21, FALSE)</f>
        <v>0</v>
      </c>
      <c r="Y538">
        <f>VLOOKUP(Table9[[#This Row],[Shortname]], Comp[], 22, FALSE)</f>
        <v>0</v>
      </c>
      <c r="Z538">
        <f>VLOOKUP(Table9[[#This Row],[Shortname]], Comp[], 23, FALSE)</f>
        <v>0</v>
      </c>
      <c r="AA538">
        <f>VLOOKUP(Table9[[#This Row],[Shortname]], Comp[], 24, FALSE)</f>
        <v>0</v>
      </c>
      <c r="AB538">
        <f>VLOOKUP(Table9[[#This Row],[Shortname]], Comp[], 25, FALSE)</f>
        <v>0</v>
      </c>
      <c r="AC538">
        <f>VLOOKUP(Table9[[#This Row],[Shortname]], Comp[], 26, FALSE)</f>
        <v>0</v>
      </c>
      <c r="AD538">
        <f>VLOOKUP(Table9[[#This Row],[Shortname]], Comp[], 27, FALSE)</f>
        <v>0</v>
      </c>
      <c r="AE538">
        <f>VLOOKUP(Table9[[#This Row],[Shortname]], Comp[], 28, FALSE)</f>
        <v>0</v>
      </c>
      <c r="AF538">
        <f>VLOOKUP(Table9[[#This Row],[Shortname]], Comp[], 29, FALSE)</f>
        <v>0</v>
      </c>
      <c r="AG538">
        <f>VLOOKUP(Table9[[#This Row],[Shortname]], Comp[], 30, FALSE)</f>
        <v>0</v>
      </c>
      <c r="AH538">
        <f>VLOOKUP(Table9[[#This Row],[Shortname]], Comp[], 31, FALSE)</f>
        <v>0</v>
      </c>
    </row>
    <row r="539" spans="1:34" x14ac:dyDescent="0.3">
      <c r="A539" t="s">
        <v>1279</v>
      </c>
      <c r="B539" t="s">
        <v>1281</v>
      </c>
      <c r="C539" t="s">
        <v>1282</v>
      </c>
      <c r="D539">
        <v>814</v>
      </c>
      <c r="E539">
        <v>850</v>
      </c>
      <c r="F539">
        <v>4.4999999999999999E-4</v>
      </c>
      <c r="G539">
        <v>1</v>
      </c>
      <c r="H539" t="s">
        <v>6803</v>
      </c>
      <c r="I539">
        <f>VLOOKUP(Table9[[#This Row],[Shortname]], Comp[], 6, FALSE)</f>
        <v>163</v>
      </c>
      <c r="J539" s="14">
        <f>VLOOKUP(Table9[[#This Row],[Shortname]], Comp[], 7, FALSE)</f>
        <v>29.379999999999995</v>
      </c>
      <c r="K539">
        <f>VLOOKUP(Table9[[#This Row],[Shortname]], Comp[], 8, FALSE)</f>
        <v>40</v>
      </c>
      <c r="L539">
        <f>VLOOKUP(Table9[[#This Row],[Shortname]], Comp[], 9, FALSE)</f>
        <v>10</v>
      </c>
      <c r="M539">
        <f>VLOOKUP(Table9[[#This Row],[Shortname]], Comp[], 10, FALSE)</f>
        <v>10</v>
      </c>
      <c r="N539">
        <f>VLOOKUP(Table9[[#This Row],[Shortname]], Comp[], 11, FALSE)</f>
        <v>7.5</v>
      </c>
      <c r="O539">
        <f>VLOOKUP(Table9[[#This Row],[Shortname]], Comp[],12, FALSE)</f>
        <v>0</v>
      </c>
      <c r="P539">
        <f>VLOOKUP(Table9[[#This Row],[Shortname]], Comp[], 13, FALSE)</f>
        <v>3</v>
      </c>
      <c r="Q539">
        <f>VLOOKUP(Table9[[#This Row],[Shortname]], Comp[], 14, FALSE)</f>
        <v>0</v>
      </c>
      <c r="R539">
        <f>VLOOKUP(Table9[[#This Row],[Shortname]], Comp[], 15, FALSE)</f>
        <v>0</v>
      </c>
      <c r="S539">
        <f>VLOOKUP(Table9[[#This Row],[Shortname]], Comp[], 16, FALSE)</f>
        <v>0</v>
      </c>
      <c r="T539">
        <f>VLOOKUP(Table9[[#This Row],[Shortname]], Comp[], 17, FALSE)</f>
        <v>0.06</v>
      </c>
      <c r="U539">
        <f>VLOOKUP(Table9[[#This Row],[Shortname]], Comp[], 18, FALSE)</f>
        <v>0</v>
      </c>
      <c r="V539">
        <f>VLOOKUP(Table9[[#This Row],[Shortname]], Comp[], 19, FALSE)</f>
        <v>0.06</v>
      </c>
      <c r="W539">
        <f>VLOOKUP(Table9[[#This Row],[Shortname]], Comp[], 20, FALSE)</f>
        <v>0</v>
      </c>
      <c r="X539">
        <f>VLOOKUP(Table9[[#This Row],[Shortname]], Comp[], 21, FALSE)</f>
        <v>0</v>
      </c>
      <c r="Y539">
        <f>VLOOKUP(Table9[[#This Row],[Shortname]], Comp[], 22, FALSE)</f>
        <v>0</v>
      </c>
      <c r="Z539">
        <f>VLOOKUP(Table9[[#This Row],[Shortname]], Comp[], 23, FALSE)</f>
        <v>0</v>
      </c>
      <c r="AA539">
        <f>VLOOKUP(Table9[[#This Row],[Shortname]], Comp[], 24, FALSE)</f>
        <v>0</v>
      </c>
      <c r="AB539">
        <f>VLOOKUP(Table9[[#This Row],[Shortname]], Comp[], 25, FALSE)</f>
        <v>0</v>
      </c>
      <c r="AC539">
        <f>VLOOKUP(Table9[[#This Row],[Shortname]], Comp[], 26, FALSE)</f>
        <v>0</v>
      </c>
      <c r="AD539">
        <f>VLOOKUP(Table9[[#This Row],[Shortname]], Comp[], 27, FALSE)</f>
        <v>0</v>
      </c>
      <c r="AE539">
        <f>VLOOKUP(Table9[[#This Row],[Shortname]], Comp[], 28, FALSE)</f>
        <v>0</v>
      </c>
      <c r="AF539">
        <f>VLOOKUP(Table9[[#This Row],[Shortname]], Comp[], 29, FALSE)</f>
        <v>0</v>
      </c>
      <c r="AG539">
        <f>VLOOKUP(Table9[[#This Row],[Shortname]], Comp[], 30, FALSE)</f>
        <v>0</v>
      </c>
      <c r="AH539">
        <f>VLOOKUP(Table9[[#This Row],[Shortname]], Comp[], 31, FALSE)</f>
        <v>0</v>
      </c>
    </row>
    <row r="540" spans="1:34" x14ac:dyDescent="0.3">
      <c r="A540" t="s">
        <v>1279</v>
      </c>
      <c r="B540" t="s">
        <v>1281</v>
      </c>
      <c r="C540" t="s">
        <v>1282</v>
      </c>
      <c r="D540">
        <v>797</v>
      </c>
      <c r="E540">
        <v>750</v>
      </c>
      <c r="F540">
        <v>4.4999999999999999E-4</v>
      </c>
      <c r="G540">
        <v>1</v>
      </c>
      <c r="H540" t="s">
        <v>6803</v>
      </c>
      <c r="I540">
        <f>VLOOKUP(Table9[[#This Row],[Shortname]], Comp[], 6, FALSE)</f>
        <v>163</v>
      </c>
      <c r="J540" s="14">
        <f>VLOOKUP(Table9[[#This Row],[Shortname]], Comp[], 7, FALSE)</f>
        <v>29.379999999999995</v>
      </c>
      <c r="K540">
        <f>VLOOKUP(Table9[[#This Row],[Shortname]], Comp[], 8, FALSE)</f>
        <v>40</v>
      </c>
      <c r="L540">
        <f>VLOOKUP(Table9[[#This Row],[Shortname]], Comp[], 9, FALSE)</f>
        <v>10</v>
      </c>
      <c r="M540">
        <f>VLOOKUP(Table9[[#This Row],[Shortname]], Comp[], 10, FALSE)</f>
        <v>10</v>
      </c>
      <c r="N540">
        <f>VLOOKUP(Table9[[#This Row],[Shortname]], Comp[], 11, FALSE)</f>
        <v>7.5</v>
      </c>
      <c r="O540">
        <f>VLOOKUP(Table9[[#This Row],[Shortname]], Comp[],12, FALSE)</f>
        <v>0</v>
      </c>
      <c r="P540">
        <f>VLOOKUP(Table9[[#This Row],[Shortname]], Comp[], 13, FALSE)</f>
        <v>3</v>
      </c>
      <c r="Q540">
        <f>VLOOKUP(Table9[[#This Row],[Shortname]], Comp[], 14, FALSE)</f>
        <v>0</v>
      </c>
      <c r="R540">
        <f>VLOOKUP(Table9[[#This Row],[Shortname]], Comp[], 15, FALSE)</f>
        <v>0</v>
      </c>
      <c r="S540">
        <f>VLOOKUP(Table9[[#This Row],[Shortname]], Comp[], 16, FALSE)</f>
        <v>0</v>
      </c>
      <c r="T540">
        <f>VLOOKUP(Table9[[#This Row],[Shortname]], Comp[], 17, FALSE)</f>
        <v>0.06</v>
      </c>
      <c r="U540">
        <f>VLOOKUP(Table9[[#This Row],[Shortname]], Comp[], 18, FALSE)</f>
        <v>0</v>
      </c>
      <c r="V540">
        <f>VLOOKUP(Table9[[#This Row],[Shortname]], Comp[], 19, FALSE)</f>
        <v>0.06</v>
      </c>
      <c r="W540">
        <f>VLOOKUP(Table9[[#This Row],[Shortname]], Comp[], 20, FALSE)</f>
        <v>0</v>
      </c>
      <c r="X540">
        <f>VLOOKUP(Table9[[#This Row],[Shortname]], Comp[], 21, FALSE)</f>
        <v>0</v>
      </c>
      <c r="Y540">
        <f>VLOOKUP(Table9[[#This Row],[Shortname]], Comp[], 22, FALSE)</f>
        <v>0</v>
      </c>
      <c r="Z540">
        <f>VLOOKUP(Table9[[#This Row],[Shortname]], Comp[], 23, FALSE)</f>
        <v>0</v>
      </c>
      <c r="AA540">
        <f>VLOOKUP(Table9[[#This Row],[Shortname]], Comp[], 24, FALSE)</f>
        <v>0</v>
      </c>
      <c r="AB540">
        <f>VLOOKUP(Table9[[#This Row],[Shortname]], Comp[], 25, FALSE)</f>
        <v>0</v>
      </c>
      <c r="AC540">
        <f>VLOOKUP(Table9[[#This Row],[Shortname]], Comp[], 26, FALSE)</f>
        <v>0</v>
      </c>
      <c r="AD540">
        <f>VLOOKUP(Table9[[#This Row],[Shortname]], Comp[], 27, FALSE)</f>
        <v>0</v>
      </c>
      <c r="AE540">
        <f>VLOOKUP(Table9[[#This Row],[Shortname]], Comp[], 28, FALSE)</f>
        <v>0</v>
      </c>
      <c r="AF540">
        <f>VLOOKUP(Table9[[#This Row],[Shortname]], Comp[], 29, FALSE)</f>
        <v>0</v>
      </c>
      <c r="AG540">
        <f>VLOOKUP(Table9[[#This Row],[Shortname]], Comp[], 30, FALSE)</f>
        <v>0</v>
      </c>
      <c r="AH540">
        <f>VLOOKUP(Table9[[#This Row],[Shortname]], Comp[], 31, FALSE)</f>
        <v>0</v>
      </c>
    </row>
    <row r="541" spans="1:34" x14ac:dyDescent="0.3">
      <c r="A541" t="s">
        <v>1279</v>
      </c>
      <c r="B541" t="s">
        <v>1281</v>
      </c>
      <c r="C541" t="s">
        <v>1282</v>
      </c>
      <c r="D541">
        <v>769</v>
      </c>
      <c r="E541">
        <v>950</v>
      </c>
      <c r="F541">
        <v>4.4999999999999999E-4</v>
      </c>
      <c r="G541">
        <v>1</v>
      </c>
      <c r="H541" t="s">
        <v>6803</v>
      </c>
      <c r="I541">
        <f>VLOOKUP(Table9[[#This Row],[Shortname]], Comp[], 6, FALSE)</f>
        <v>163</v>
      </c>
      <c r="J541" s="14">
        <f>VLOOKUP(Table9[[#This Row],[Shortname]], Comp[], 7, FALSE)</f>
        <v>29.379999999999995</v>
      </c>
      <c r="K541">
        <f>VLOOKUP(Table9[[#This Row],[Shortname]], Comp[], 8, FALSE)</f>
        <v>40</v>
      </c>
      <c r="L541">
        <f>VLOOKUP(Table9[[#This Row],[Shortname]], Comp[], 9, FALSE)</f>
        <v>10</v>
      </c>
      <c r="M541">
        <f>VLOOKUP(Table9[[#This Row],[Shortname]], Comp[], 10, FALSE)</f>
        <v>10</v>
      </c>
      <c r="N541">
        <f>VLOOKUP(Table9[[#This Row],[Shortname]], Comp[], 11, FALSE)</f>
        <v>7.5</v>
      </c>
      <c r="O541">
        <f>VLOOKUP(Table9[[#This Row],[Shortname]], Comp[],12, FALSE)</f>
        <v>0</v>
      </c>
      <c r="P541">
        <f>VLOOKUP(Table9[[#This Row],[Shortname]], Comp[], 13, FALSE)</f>
        <v>3</v>
      </c>
      <c r="Q541">
        <f>VLOOKUP(Table9[[#This Row],[Shortname]], Comp[], 14, FALSE)</f>
        <v>0</v>
      </c>
      <c r="R541">
        <f>VLOOKUP(Table9[[#This Row],[Shortname]], Comp[], 15, FALSE)</f>
        <v>0</v>
      </c>
      <c r="S541">
        <f>VLOOKUP(Table9[[#This Row],[Shortname]], Comp[], 16, FALSE)</f>
        <v>0</v>
      </c>
      <c r="T541">
        <f>VLOOKUP(Table9[[#This Row],[Shortname]], Comp[], 17, FALSE)</f>
        <v>0.06</v>
      </c>
      <c r="U541">
        <f>VLOOKUP(Table9[[#This Row],[Shortname]], Comp[], 18, FALSE)</f>
        <v>0</v>
      </c>
      <c r="V541">
        <f>VLOOKUP(Table9[[#This Row],[Shortname]], Comp[], 19, FALSE)</f>
        <v>0.06</v>
      </c>
      <c r="W541">
        <f>VLOOKUP(Table9[[#This Row],[Shortname]], Comp[], 20, FALSE)</f>
        <v>0</v>
      </c>
      <c r="X541">
        <f>VLOOKUP(Table9[[#This Row],[Shortname]], Comp[], 21, FALSE)</f>
        <v>0</v>
      </c>
      <c r="Y541">
        <f>VLOOKUP(Table9[[#This Row],[Shortname]], Comp[], 22, FALSE)</f>
        <v>0</v>
      </c>
      <c r="Z541">
        <f>VLOOKUP(Table9[[#This Row],[Shortname]], Comp[], 23, FALSE)</f>
        <v>0</v>
      </c>
      <c r="AA541">
        <f>VLOOKUP(Table9[[#This Row],[Shortname]], Comp[], 24, FALSE)</f>
        <v>0</v>
      </c>
      <c r="AB541">
        <f>VLOOKUP(Table9[[#This Row],[Shortname]], Comp[], 25, FALSE)</f>
        <v>0</v>
      </c>
      <c r="AC541">
        <f>VLOOKUP(Table9[[#This Row],[Shortname]], Comp[], 26, FALSE)</f>
        <v>0</v>
      </c>
      <c r="AD541">
        <f>VLOOKUP(Table9[[#This Row],[Shortname]], Comp[], 27, FALSE)</f>
        <v>0</v>
      </c>
      <c r="AE541">
        <f>VLOOKUP(Table9[[#This Row],[Shortname]], Comp[], 28, FALSE)</f>
        <v>0</v>
      </c>
      <c r="AF541">
        <f>VLOOKUP(Table9[[#This Row],[Shortname]], Comp[], 29, FALSE)</f>
        <v>0</v>
      </c>
      <c r="AG541">
        <f>VLOOKUP(Table9[[#This Row],[Shortname]], Comp[], 30, FALSE)</f>
        <v>0</v>
      </c>
      <c r="AH541">
        <f>VLOOKUP(Table9[[#This Row],[Shortname]], Comp[], 31, FALSE)</f>
        <v>0</v>
      </c>
    </row>
    <row r="542" spans="1:34" x14ac:dyDescent="0.3">
      <c r="A542" t="s">
        <v>1279</v>
      </c>
      <c r="B542" t="s">
        <v>1281</v>
      </c>
      <c r="C542" t="s">
        <v>1282</v>
      </c>
      <c r="D542">
        <v>600</v>
      </c>
      <c r="E542">
        <v>1000</v>
      </c>
      <c r="F542">
        <v>4.4999999999999999E-4</v>
      </c>
      <c r="G542">
        <v>1</v>
      </c>
      <c r="H542" t="s">
        <v>6803</v>
      </c>
      <c r="I542">
        <f>VLOOKUP(Table9[[#This Row],[Shortname]], Comp[], 6, FALSE)</f>
        <v>163</v>
      </c>
      <c r="J542" s="14">
        <f>VLOOKUP(Table9[[#This Row],[Shortname]], Comp[], 7, FALSE)</f>
        <v>29.379999999999995</v>
      </c>
      <c r="K542">
        <f>VLOOKUP(Table9[[#This Row],[Shortname]], Comp[], 8, FALSE)</f>
        <v>40</v>
      </c>
      <c r="L542">
        <f>VLOOKUP(Table9[[#This Row],[Shortname]], Comp[], 9, FALSE)</f>
        <v>10</v>
      </c>
      <c r="M542">
        <f>VLOOKUP(Table9[[#This Row],[Shortname]], Comp[], 10, FALSE)</f>
        <v>10</v>
      </c>
      <c r="N542">
        <f>VLOOKUP(Table9[[#This Row],[Shortname]], Comp[], 11, FALSE)</f>
        <v>7.5</v>
      </c>
      <c r="O542">
        <f>VLOOKUP(Table9[[#This Row],[Shortname]], Comp[],12, FALSE)</f>
        <v>0</v>
      </c>
      <c r="P542">
        <f>VLOOKUP(Table9[[#This Row],[Shortname]], Comp[], 13, FALSE)</f>
        <v>3</v>
      </c>
      <c r="Q542">
        <f>VLOOKUP(Table9[[#This Row],[Shortname]], Comp[], 14, FALSE)</f>
        <v>0</v>
      </c>
      <c r="R542">
        <f>VLOOKUP(Table9[[#This Row],[Shortname]], Comp[], 15, FALSE)</f>
        <v>0</v>
      </c>
      <c r="S542">
        <f>VLOOKUP(Table9[[#This Row],[Shortname]], Comp[], 16, FALSE)</f>
        <v>0</v>
      </c>
      <c r="T542">
        <f>VLOOKUP(Table9[[#This Row],[Shortname]], Comp[], 17, FALSE)</f>
        <v>0.06</v>
      </c>
      <c r="U542">
        <f>VLOOKUP(Table9[[#This Row],[Shortname]], Comp[], 18, FALSE)</f>
        <v>0</v>
      </c>
      <c r="V542">
        <f>VLOOKUP(Table9[[#This Row],[Shortname]], Comp[], 19, FALSE)</f>
        <v>0.06</v>
      </c>
      <c r="W542">
        <f>VLOOKUP(Table9[[#This Row],[Shortname]], Comp[], 20, FALSE)</f>
        <v>0</v>
      </c>
      <c r="X542">
        <f>VLOOKUP(Table9[[#This Row],[Shortname]], Comp[], 21, FALSE)</f>
        <v>0</v>
      </c>
      <c r="Y542">
        <f>VLOOKUP(Table9[[#This Row],[Shortname]], Comp[], 22, FALSE)</f>
        <v>0</v>
      </c>
      <c r="Z542">
        <f>VLOOKUP(Table9[[#This Row],[Shortname]], Comp[], 23, FALSE)</f>
        <v>0</v>
      </c>
      <c r="AA542">
        <f>VLOOKUP(Table9[[#This Row],[Shortname]], Comp[], 24, FALSE)</f>
        <v>0</v>
      </c>
      <c r="AB542">
        <f>VLOOKUP(Table9[[#This Row],[Shortname]], Comp[], 25, FALSE)</f>
        <v>0</v>
      </c>
      <c r="AC542">
        <f>VLOOKUP(Table9[[#This Row],[Shortname]], Comp[], 26, FALSE)</f>
        <v>0</v>
      </c>
      <c r="AD542">
        <f>VLOOKUP(Table9[[#This Row],[Shortname]], Comp[], 27, FALSE)</f>
        <v>0</v>
      </c>
      <c r="AE542">
        <f>VLOOKUP(Table9[[#This Row],[Shortname]], Comp[], 28, FALSE)</f>
        <v>0</v>
      </c>
      <c r="AF542">
        <f>VLOOKUP(Table9[[#This Row],[Shortname]], Comp[], 29, FALSE)</f>
        <v>0</v>
      </c>
      <c r="AG542">
        <f>VLOOKUP(Table9[[#This Row],[Shortname]], Comp[], 30, FALSE)</f>
        <v>0</v>
      </c>
      <c r="AH542">
        <f>VLOOKUP(Table9[[#This Row],[Shortname]], Comp[], 31, FALSE)</f>
        <v>0</v>
      </c>
    </row>
    <row r="543" spans="1:34" x14ac:dyDescent="0.3">
      <c r="A543" t="s">
        <v>1438</v>
      </c>
      <c r="B543" t="s">
        <v>1440</v>
      </c>
      <c r="C543" t="s">
        <v>1351</v>
      </c>
      <c r="D543">
        <v>818</v>
      </c>
      <c r="E543">
        <v>25</v>
      </c>
      <c r="F543">
        <v>4.0000000000000002E-4</v>
      </c>
      <c r="G543">
        <v>-1</v>
      </c>
      <c r="H543" t="s">
        <v>6868</v>
      </c>
      <c r="I543">
        <f>VLOOKUP(Table9[[#This Row],[Shortname]], Comp[], 6, FALSE)</f>
        <v>184</v>
      </c>
      <c r="J543" s="14">
        <f>VLOOKUP(Table9[[#This Row],[Shortname]], Comp[], 7, FALSE)</f>
        <v>80.5</v>
      </c>
      <c r="K543">
        <f>VLOOKUP(Table9[[#This Row],[Shortname]], Comp[], 8, FALSE)</f>
        <v>0</v>
      </c>
      <c r="L543">
        <f>VLOOKUP(Table9[[#This Row],[Shortname]], Comp[], 9, FALSE)</f>
        <v>11</v>
      </c>
      <c r="M543">
        <f>VLOOKUP(Table9[[#This Row],[Shortname]], Comp[], 10, FALSE)</f>
        <v>0</v>
      </c>
      <c r="N543">
        <f>VLOOKUP(Table9[[#This Row],[Shortname]], Comp[], 11, FALSE)</f>
        <v>5.9</v>
      </c>
      <c r="O543">
        <f>VLOOKUP(Table9[[#This Row],[Shortname]], Comp[],12, FALSE)</f>
        <v>0</v>
      </c>
      <c r="P543">
        <f>VLOOKUP(Table9[[#This Row],[Shortname]], Comp[], 13, FALSE)</f>
        <v>2.6</v>
      </c>
      <c r="Q543">
        <f>VLOOKUP(Table9[[#This Row],[Shortname]], Comp[], 14, FALSE)</f>
        <v>0</v>
      </c>
      <c r="R543">
        <f>VLOOKUP(Table9[[#This Row],[Shortname]], Comp[], 15, FALSE)</f>
        <v>0</v>
      </c>
      <c r="S543">
        <f>VLOOKUP(Table9[[#This Row],[Shortname]], Comp[], 16, FALSE)</f>
        <v>0</v>
      </c>
      <c r="T543">
        <f>VLOOKUP(Table9[[#This Row],[Shortname]], Comp[], 17, FALSE)</f>
        <v>0</v>
      </c>
      <c r="U543">
        <f>VLOOKUP(Table9[[#This Row],[Shortname]], Comp[], 18, FALSE)</f>
        <v>0</v>
      </c>
      <c r="V543">
        <f>VLOOKUP(Table9[[#This Row],[Shortname]], Comp[], 19, FALSE)</f>
        <v>0</v>
      </c>
      <c r="W543">
        <f>VLOOKUP(Table9[[#This Row],[Shortname]], Comp[], 20, FALSE)</f>
        <v>0</v>
      </c>
      <c r="X543">
        <f>VLOOKUP(Table9[[#This Row],[Shortname]], Comp[], 21, FALSE)</f>
        <v>0</v>
      </c>
      <c r="Y543">
        <f>VLOOKUP(Table9[[#This Row],[Shortname]], Comp[], 22, FALSE)</f>
        <v>0</v>
      </c>
      <c r="Z543">
        <f>VLOOKUP(Table9[[#This Row],[Shortname]], Comp[], 23, FALSE)</f>
        <v>0</v>
      </c>
      <c r="AA543">
        <f>VLOOKUP(Table9[[#This Row],[Shortname]], Comp[], 24, FALSE)</f>
        <v>0</v>
      </c>
      <c r="AB543">
        <f>VLOOKUP(Table9[[#This Row],[Shortname]], Comp[], 25, FALSE)</f>
        <v>0</v>
      </c>
      <c r="AC543">
        <f>VLOOKUP(Table9[[#This Row],[Shortname]], Comp[], 26, FALSE)</f>
        <v>0</v>
      </c>
      <c r="AD543">
        <f>VLOOKUP(Table9[[#This Row],[Shortname]], Comp[], 27, FALSE)</f>
        <v>0</v>
      </c>
      <c r="AE543">
        <f>VLOOKUP(Table9[[#This Row],[Shortname]], Comp[], 28, FALSE)</f>
        <v>0</v>
      </c>
      <c r="AF543">
        <f>VLOOKUP(Table9[[#This Row],[Shortname]], Comp[], 29, FALSE)</f>
        <v>0</v>
      </c>
      <c r="AG543">
        <f>VLOOKUP(Table9[[#This Row],[Shortname]], Comp[], 30, FALSE)</f>
        <v>0</v>
      </c>
      <c r="AH543">
        <f>VLOOKUP(Table9[[#This Row],[Shortname]], Comp[], 31, FALSE)</f>
        <v>0</v>
      </c>
    </row>
    <row r="544" spans="1:34" x14ac:dyDescent="0.3">
      <c r="A544" t="s">
        <v>1438</v>
      </c>
      <c r="B544" t="s">
        <v>1440</v>
      </c>
      <c r="C544" t="s">
        <v>1351</v>
      </c>
      <c r="D544">
        <v>733</v>
      </c>
      <c r="E544">
        <v>500</v>
      </c>
      <c r="F544">
        <v>4.0000000000000002E-4</v>
      </c>
      <c r="G544">
        <v>-1</v>
      </c>
      <c r="H544" t="s">
        <v>6868</v>
      </c>
      <c r="I544">
        <f>VLOOKUP(Table9[[#This Row],[Shortname]], Comp[], 6, FALSE)</f>
        <v>184</v>
      </c>
      <c r="J544" s="14">
        <f>VLOOKUP(Table9[[#This Row],[Shortname]], Comp[], 7, FALSE)</f>
        <v>80.5</v>
      </c>
      <c r="K544">
        <f>VLOOKUP(Table9[[#This Row],[Shortname]], Comp[], 8, FALSE)</f>
        <v>0</v>
      </c>
      <c r="L544">
        <f>VLOOKUP(Table9[[#This Row],[Shortname]], Comp[], 9, FALSE)</f>
        <v>11</v>
      </c>
      <c r="M544">
        <f>VLOOKUP(Table9[[#This Row],[Shortname]], Comp[], 10, FALSE)</f>
        <v>0</v>
      </c>
      <c r="N544">
        <f>VLOOKUP(Table9[[#This Row],[Shortname]], Comp[], 11, FALSE)</f>
        <v>5.9</v>
      </c>
      <c r="O544">
        <f>VLOOKUP(Table9[[#This Row],[Shortname]], Comp[],12, FALSE)</f>
        <v>0</v>
      </c>
      <c r="P544">
        <f>VLOOKUP(Table9[[#This Row],[Shortname]], Comp[], 13, FALSE)</f>
        <v>2.6</v>
      </c>
      <c r="Q544">
        <f>VLOOKUP(Table9[[#This Row],[Shortname]], Comp[], 14, FALSE)</f>
        <v>0</v>
      </c>
      <c r="R544">
        <f>VLOOKUP(Table9[[#This Row],[Shortname]], Comp[], 15, FALSE)</f>
        <v>0</v>
      </c>
      <c r="S544">
        <f>VLOOKUP(Table9[[#This Row],[Shortname]], Comp[], 16, FALSE)</f>
        <v>0</v>
      </c>
      <c r="T544">
        <f>VLOOKUP(Table9[[#This Row],[Shortname]], Comp[], 17, FALSE)</f>
        <v>0</v>
      </c>
      <c r="U544">
        <f>VLOOKUP(Table9[[#This Row],[Shortname]], Comp[], 18, FALSE)</f>
        <v>0</v>
      </c>
      <c r="V544">
        <f>VLOOKUP(Table9[[#This Row],[Shortname]], Comp[], 19, FALSE)</f>
        <v>0</v>
      </c>
      <c r="W544">
        <f>VLOOKUP(Table9[[#This Row],[Shortname]], Comp[], 20, FALSE)</f>
        <v>0</v>
      </c>
      <c r="X544">
        <f>VLOOKUP(Table9[[#This Row],[Shortname]], Comp[], 21, FALSE)</f>
        <v>0</v>
      </c>
      <c r="Y544">
        <f>VLOOKUP(Table9[[#This Row],[Shortname]], Comp[], 22, FALSE)</f>
        <v>0</v>
      </c>
      <c r="Z544">
        <f>VLOOKUP(Table9[[#This Row],[Shortname]], Comp[], 23, FALSE)</f>
        <v>0</v>
      </c>
      <c r="AA544">
        <f>VLOOKUP(Table9[[#This Row],[Shortname]], Comp[], 24, FALSE)</f>
        <v>0</v>
      </c>
      <c r="AB544">
        <f>VLOOKUP(Table9[[#This Row],[Shortname]], Comp[], 25, FALSE)</f>
        <v>0</v>
      </c>
      <c r="AC544">
        <f>VLOOKUP(Table9[[#This Row],[Shortname]], Comp[], 26, FALSE)</f>
        <v>0</v>
      </c>
      <c r="AD544">
        <f>VLOOKUP(Table9[[#This Row],[Shortname]], Comp[], 27, FALSE)</f>
        <v>0</v>
      </c>
      <c r="AE544">
        <f>VLOOKUP(Table9[[#This Row],[Shortname]], Comp[], 28, FALSE)</f>
        <v>0</v>
      </c>
      <c r="AF544">
        <f>VLOOKUP(Table9[[#This Row],[Shortname]], Comp[], 29, FALSE)</f>
        <v>0</v>
      </c>
      <c r="AG544">
        <f>VLOOKUP(Table9[[#This Row],[Shortname]], Comp[], 30, FALSE)</f>
        <v>0</v>
      </c>
      <c r="AH544">
        <f>VLOOKUP(Table9[[#This Row],[Shortname]], Comp[], 31, FALSE)</f>
        <v>0</v>
      </c>
    </row>
    <row r="545" spans="1:34" x14ac:dyDescent="0.3">
      <c r="A545" t="s">
        <v>1438</v>
      </c>
      <c r="B545" t="s">
        <v>1440</v>
      </c>
      <c r="C545" t="s">
        <v>1351</v>
      </c>
      <c r="D545">
        <v>709</v>
      </c>
      <c r="E545">
        <v>600</v>
      </c>
      <c r="F545">
        <v>4.0000000000000002E-4</v>
      </c>
      <c r="G545">
        <v>-1</v>
      </c>
      <c r="H545" t="s">
        <v>6868</v>
      </c>
      <c r="I545">
        <f>VLOOKUP(Table9[[#This Row],[Shortname]], Comp[], 6, FALSE)</f>
        <v>184</v>
      </c>
      <c r="J545" s="14">
        <f>VLOOKUP(Table9[[#This Row],[Shortname]], Comp[], 7, FALSE)</f>
        <v>80.5</v>
      </c>
      <c r="K545">
        <f>VLOOKUP(Table9[[#This Row],[Shortname]], Comp[], 8, FALSE)</f>
        <v>0</v>
      </c>
      <c r="L545">
        <f>VLOOKUP(Table9[[#This Row],[Shortname]], Comp[], 9, FALSE)</f>
        <v>11</v>
      </c>
      <c r="M545">
        <f>VLOOKUP(Table9[[#This Row],[Shortname]], Comp[], 10, FALSE)</f>
        <v>0</v>
      </c>
      <c r="N545">
        <f>VLOOKUP(Table9[[#This Row],[Shortname]], Comp[], 11, FALSE)</f>
        <v>5.9</v>
      </c>
      <c r="O545">
        <f>VLOOKUP(Table9[[#This Row],[Shortname]], Comp[],12, FALSE)</f>
        <v>0</v>
      </c>
      <c r="P545">
        <f>VLOOKUP(Table9[[#This Row],[Shortname]], Comp[], 13, FALSE)</f>
        <v>2.6</v>
      </c>
      <c r="Q545">
        <f>VLOOKUP(Table9[[#This Row],[Shortname]], Comp[], 14, FALSE)</f>
        <v>0</v>
      </c>
      <c r="R545">
        <f>VLOOKUP(Table9[[#This Row],[Shortname]], Comp[], 15, FALSE)</f>
        <v>0</v>
      </c>
      <c r="S545">
        <f>VLOOKUP(Table9[[#This Row],[Shortname]], Comp[], 16, FALSE)</f>
        <v>0</v>
      </c>
      <c r="T545">
        <f>VLOOKUP(Table9[[#This Row],[Shortname]], Comp[], 17, FALSE)</f>
        <v>0</v>
      </c>
      <c r="U545">
        <f>VLOOKUP(Table9[[#This Row],[Shortname]], Comp[], 18, FALSE)</f>
        <v>0</v>
      </c>
      <c r="V545">
        <f>VLOOKUP(Table9[[#This Row],[Shortname]], Comp[], 19, FALSE)</f>
        <v>0</v>
      </c>
      <c r="W545">
        <f>VLOOKUP(Table9[[#This Row],[Shortname]], Comp[], 20, FALSE)</f>
        <v>0</v>
      </c>
      <c r="X545">
        <f>VLOOKUP(Table9[[#This Row],[Shortname]], Comp[], 21, FALSE)</f>
        <v>0</v>
      </c>
      <c r="Y545">
        <f>VLOOKUP(Table9[[#This Row],[Shortname]], Comp[], 22, FALSE)</f>
        <v>0</v>
      </c>
      <c r="Z545">
        <f>VLOOKUP(Table9[[#This Row],[Shortname]], Comp[], 23, FALSE)</f>
        <v>0</v>
      </c>
      <c r="AA545">
        <f>VLOOKUP(Table9[[#This Row],[Shortname]], Comp[], 24, FALSE)</f>
        <v>0</v>
      </c>
      <c r="AB545">
        <f>VLOOKUP(Table9[[#This Row],[Shortname]], Comp[], 25, FALSE)</f>
        <v>0</v>
      </c>
      <c r="AC545">
        <f>VLOOKUP(Table9[[#This Row],[Shortname]], Comp[], 26, FALSE)</f>
        <v>0</v>
      </c>
      <c r="AD545">
        <f>VLOOKUP(Table9[[#This Row],[Shortname]], Comp[], 27, FALSE)</f>
        <v>0</v>
      </c>
      <c r="AE545">
        <f>VLOOKUP(Table9[[#This Row],[Shortname]], Comp[], 28, FALSE)</f>
        <v>0</v>
      </c>
      <c r="AF545">
        <f>VLOOKUP(Table9[[#This Row],[Shortname]], Comp[], 29, FALSE)</f>
        <v>0</v>
      </c>
      <c r="AG545">
        <f>VLOOKUP(Table9[[#This Row],[Shortname]], Comp[], 30, FALSE)</f>
        <v>0</v>
      </c>
      <c r="AH545">
        <f>VLOOKUP(Table9[[#This Row],[Shortname]], Comp[], 31, FALSE)</f>
        <v>0</v>
      </c>
    </row>
    <row r="546" spans="1:34" x14ac:dyDescent="0.3">
      <c r="A546" t="s">
        <v>1438</v>
      </c>
      <c r="B546" t="s">
        <v>1440</v>
      </c>
      <c r="C546" t="s">
        <v>1351</v>
      </c>
      <c r="D546">
        <v>703</v>
      </c>
      <c r="E546">
        <v>700</v>
      </c>
      <c r="F546">
        <v>4.0000000000000002E-4</v>
      </c>
      <c r="G546">
        <v>-1</v>
      </c>
      <c r="H546" t="s">
        <v>6868</v>
      </c>
      <c r="I546">
        <f>VLOOKUP(Table9[[#This Row],[Shortname]], Comp[], 6, FALSE)</f>
        <v>184</v>
      </c>
      <c r="J546" s="14">
        <f>VLOOKUP(Table9[[#This Row],[Shortname]], Comp[], 7, FALSE)</f>
        <v>80.5</v>
      </c>
      <c r="K546">
        <f>VLOOKUP(Table9[[#This Row],[Shortname]], Comp[], 8, FALSE)</f>
        <v>0</v>
      </c>
      <c r="L546">
        <f>VLOOKUP(Table9[[#This Row],[Shortname]], Comp[], 9, FALSE)</f>
        <v>11</v>
      </c>
      <c r="M546">
        <f>VLOOKUP(Table9[[#This Row],[Shortname]], Comp[], 10, FALSE)</f>
        <v>0</v>
      </c>
      <c r="N546">
        <f>VLOOKUP(Table9[[#This Row],[Shortname]], Comp[], 11, FALSE)</f>
        <v>5.9</v>
      </c>
      <c r="O546">
        <f>VLOOKUP(Table9[[#This Row],[Shortname]], Comp[],12, FALSE)</f>
        <v>0</v>
      </c>
      <c r="P546">
        <f>VLOOKUP(Table9[[#This Row],[Shortname]], Comp[], 13, FALSE)</f>
        <v>2.6</v>
      </c>
      <c r="Q546">
        <f>VLOOKUP(Table9[[#This Row],[Shortname]], Comp[], 14, FALSE)</f>
        <v>0</v>
      </c>
      <c r="R546">
        <f>VLOOKUP(Table9[[#This Row],[Shortname]], Comp[], 15, FALSE)</f>
        <v>0</v>
      </c>
      <c r="S546">
        <f>VLOOKUP(Table9[[#This Row],[Shortname]], Comp[], 16, FALSE)</f>
        <v>0</v>
      </c>
      <c r="T546">
        <f>VLOOKUP(Table9[[#This Row],[Shortname]], Comp[], 17, FALSE)</f>
        <v>0</v>
      </c>
      <c r="U546">
        <f>VLOOKUP(Table9[[#This Row],[Shortname]], Comp[], 18, FALSE)</f>
        <v>0</v>
      </c>
      <c r="V546">
        <f>VLOOKUP(Table9[[#This Row],[Shortname]], Comp[], 19, FALSE)</f>
        <v>0</v>
      </c>
      <c r="W546">
        <f>VLOOKUP(Table9[[#This Row],[Shortname]], Comp[], 20, FALSE)</f>
        <v>0</v>
      </c>
      <c r="X546">
        <f>VLOOKUP(Table9[[#This Row],[Shortname]], Comp[], 21, FALSE)</f>
        <v>0</v>
      </c>
      <c r="Y546">
        <f>VLOOKUP(Table9[[#This Row],[Shortname]], Comp[], 22, FALSE)</f>
        <v>0</v>
      </c>
      <c r="Z546">
        <f>VLOOKUP(Table9[[#This Row],[Shortname]], Comp[], 23, FALSE)</f>
        <v>0</v>
      </c>
      <c r="AA546">
        <f>VLOOKUP(Table9[[#This Row],[Shortname]], Comp[], 24, FALSE)</f>
        <v>0</v>
      </c>
      <c r="AB546">
        <f>VLOOKUP(Table9[[#This Row],[Shortname]], Comp[], 25, FALSE)</f>
        <v>0</v>
      </c>
      <c r="AC546">
        <f>VLOOKUP(Table9[[#This Row],[Shortname]], Comp[], 26, FALSE)</f>
        <v>0</v>
      </c>
      <c r="AD546">
        <f>VLOOKUP(Table9[[#This Row],[Shortname]], Comp[], 27, FALSE)</f>
        <v>0</v>
      </c>
      <c r="AE546">
        <f>VLOOKUP(Table9[[#This Row],[Shortname]], Comp[], 28, FALSE)</f>
        <v>0</v>
      </c>
      <c r="AF546">
        <f>VLOOKUP(Table9[[#This Row],[Shortname]], Comp[], 29, FALSE)</f>
        <v>0</v>
      </c>
      <c r="AG546">
        <f>VLOOKUP(Table9[[#This Row],[Shortname]], Comp[], 30, FALSE)</f>
        <v>0</v>
      </c>
      <c r="AH546">
        <f>VLOOKUP(Table9[[#This Row],[Shortname]], Comp[], 31, FALSE)</f>
        <v>0</v>
      </c>
    </row>
    <row r="547" spans="1:34" x14ac:dyDescent="0.3">
      <c r="A547" t="s">
        <v>1438</v>
      </c>
      <c r="B547" t="s">
        <v>1440</v>
      </c>
      <c r="C547" t="s">
        <v>1351</v>
      </c>
      <c r="D547">
        <v>660</v>
      </c>
      <c r="E547">
        <v>800</v>
      </c>
      <c r="F547">
        <v>4.0000000000000002E-4</v>
      </c>
      <c r="G547">
        <v>-1</v>
      </c>
      <c r="H547" t="s">
        <v>6868</v>
      </c>
      <c r="I547">
        <f>VLOOKUP(Table9[[#This Row],[Shortname]], Comp[], 6, FALSE)</f>
        <v>184</v>
      </c>
      <c r="J547" s="14">
        <f>VLOOKUP(Table9[[#This Row],[Shortname]], Comp[], 7, FALSE)</f>
        <v>80.5</v>
      </c>
      <c r="K547">
        <f>VLOOKUP(Table9[[#This Row],[Shortname]], Comp[], 8, FALSE)</f>
        <v>0</v>
      </c>
      <c r="L547">
        <f>VLOOKUP(Table9[[#This Row],[Shortname]], Comp[], 9, FALSE)</f>
        <v>11</v>
      </c>
      <c r="M547">
        <f>VLOOKUP(Table9[[#This Row],[Shortname]], Comp[], 10, FALSE)</f>
        <v>0</v>
      </c>
      <c r="N547">
        <f>VLOOKUP(Table9[[#This Row],[Shortname]], Comp[], 11, FALSE)</f>
        <v>5.9</v>
      </c>
      <c r="O547">
        <f>VLOOKUP(Table9[[#This Row],[Shortname]], Comp[],12, FALSE)</f>
        <v>0</v>
      </c>
      <c r="P547">
        <f>VLOOKUP(Table9[[#This Row],[Shortname]], Comp[], 13, FALSE)</f>
        <v>2.6</v>
      </c>
      <c r="Q547">
        <f>VLOOKUP(Table9[[#This Row],[Shortname]], Comp[], 14, FALSE)</f>
        <v>0</v>
      </c>
      <c r="R547">
        <f>VLOOKUP(Table9[[#This Row],[Shortname]], Comp[], 15, FALSE)</f>
        <v>0</v>
      </c>
      <c r="S547">
        <f>VLOOKUP(Table9[[#This Row],[Shortname]], Comp[], 16, FALSE)</f>
        <v>0</v>
      </c>
      <c r="T547">
        <f>VLOOKUP(Table9[[#This Row],[Shortname]], Comp[], 17, FALSE)</f>
        <v>0</v>
      </c>
      <c r="U547">
        <f>VLOOKUP(Table9[[#This Row],[Shortname]], Comp[], 18, FALSE)</f>
        <v>0</v>
      </c>
      <c r="V547">
        <f>VLOOKUP(Table9[[#This Row],[Shortname]], Comp[], 19, FALSE)</f>
        <v>0</v>
      </c>
      <c r="W547">
        <f>VLOOKUP(Table9[[#This Row],[Shortname]], Comp[], 20, FALSE)</f>
        <v>0</v>
      </c>
      <c r="X547">
        <f>VLOOKUP(Table9[[#This Row],[Shortname]], Comp[], 21, FALSE)</f>
        <v>0</v>
      </c>
      <c r="Y547">
        <f>VLOOKUP(Table9[[#This Row],[Shortname]], Comp[], 22, FALSE)</f>
        <v>0</v>
      </c>
      <c r="Z547">
        <f>VLOOKUP(Table9[[#This Row],[Shortname]], Comp[], 23, FALSE)</f>
        <v>0</v>
      </c>
      <c r="AA547">
        <f>VLOOKUP(Table9[[#This Row],[Shortname]], Comp[], 24, FALSE)</f>
        <v>0</v>
      </c>
      <c r="AB547">
        <f>VLOOKUP(Table9[[#This Row],[Shortname]], Comp[], 25, FALSE)</f>
        <v>0</v>
      </c>
      <c r="AC547">
        <f>VLOOKUP(Table9[[#This Row],[Shortname]], Comp[], 26, FALSE)</f>
        <v>0</v>
      </c>
      <c r="AD547">
        <f>VLOOKUP(Table9[[#This Row],[Shortname]], Comp[], 27, FALSE)</f>
        <v>0</v>
      </c>
      <c r="AE547">
        <f>VLOOKUP(Table9[[#This Row],[Shortname]], Comp[], 28, FALSE)</f>
        <v>0</v>
      </c>
      <c r="AF547">
        <f>VLOOKUP(Table9[[#This Row],[Shortname]], Comp[], 29, FALSE)</f>
        <v>0</v>
      </c>
      <c r="AG547">
        <f>VLOOKUP(Table9[[#This Row],[Shortname]], Comp[], 30, FALSE)</f>
        <v>0</v>
      </c>
      <c r="AH547">
        <f>VLOOKUP(Table9[[#This Row],[Shortname]], Comp[], 31, FALSE)</f>
        <v>0</v>
      </c>
    </row>
    <row r="548" spans="1:34" x14ac:dyDescent="0.3">
      <c r="A548" t="s">
        <v>1438</v>
      </c>
      <c r="B548" t="s">
        <v>1440</v>
      </c>
      <c r="C548" t="s">
        <v>1351</v>
      </c>
      <c r="D548">
        <v>606</v>
      </c>
      <c r="E548">
        <v>900</v>
      </c>
      <c r="F548">
        <v>4.0000000000000002E-4</v>
      </c>
      <c r="G548">
        <v>-1</v>
      </c>
      <c r="H548" t="s">
        <v>6868</v>
      </c>
      <c r="I548">
        <f>VLOOKUP(Table9[[#This Row],[Shortname]], Comp[], 6, FALSE)</f>
        <v>184</v>
      </c>
      <c r="J548" s="14">
        <f>VLOOKUP(Table9[[#This Row],[Shortname]], Comp[], 7, FALSE)</f>
        <v>80.5</v>
      </c>
      <c r="K548">
        <f>VLOOKUP(Table9[[#This Row],[Shortname]], Comp[], 8, FALSE)</f>
        <v>0</v>
      </c>
      <c r="L548">
        <f>VLOOKUP(Table9[[#This Row],[Shortname]], Comp[], 9, FALSE)</f>
        <v>11</v>
      </c>
      <c r="M548">
        <f>VLOOKUP(Table9[[#This Row],[Shortname]], Comp[], 10, FALSE)</f>
        <v>0</v>
      </c>
      <c r="N548">
        <f>VLOOKUP(Table9[[#This Row],[Shortname]], Comp[], 11, FALSE)</f>
        <v>5.9</v>
      </c>
      <c r="O548">
        <f>VLOOKUP(Table9[[#This Row],[Shortname]], Comp[],12, FALSE)</f>
        <v>0</v>
      </c>
      <c r="P548">
        <f>VLOOKUP(Table9[[#This Row],[Shortname]], Comp[], 13, FALSE)</f>
        <v>2.6</v>
      </c>
      <c r="Q548">
        <f>VLOOKUP(Table9[[#This Row],[Shortname]], Comp[], 14, FALSE)</f>
        <v>0</v>
      </c>
      <c r="R548">
        <f>VLOOKUP(Table9[[#This Row],[Shortname]], Comp[], 15, FALSE)</f>
        <v>0</v>
      </c>
      <c r="S548">
        <f>VLOOKUP(Table9[[#This Row],[Shortname]], Comp[], 16, FALSE)</f>
        <v>0</v>
      </c>
      <c r="T548">
        <f>VLOOKUP(Table9[[#This Row],[Shortname]], Comp[], 17, FALSE)</f>
        <v>0</v>
      </c>
      <c r="U548">
        <f>VLOOKUP(Table9[[#This Row],[Shortname]], Comp[], 18, FALSE)</f>
        <v>0</v>
      </c>
      <c r="V548">
        <f>VLOOKUP(Table9[[#This Row],[Shortname]], Comp[], 19, FALSE)</f>
        <v>0</v>
      </c>
      <c r="W548">
        <f>VLOOKUP(Table9[[#This Row],[Shortname]], Comp[], 20, FALSE)</f>
        <v>0</v>
      </c>
      <c r="X548">
        <f>VLOOKUP(Table9[[#This Row],[Shortname]], Comp[], 21, FALSE)</f>
        <v>0</v>
      </c>
      <c r="Y548">
        <f>VLOOKUP(Table9[[#This Row],[Shortname]], Comp[], 22, FALSE)</f>
        <v>0</v>
      </c>
      <c r="Z548">
        <f>VLOOKUP(Table9[[#This Row],[Shortname]], Comp[], 23, FALSE)</f>
        <v>0</v>
      </c>
      <c r="AA548">
        <f>VLOOKUP(Table9[[#This Row],[Shortname]], Comp[], 24, FALSE)</f>
        <v>0</v>
      </c>
      <c r="AB548">
        <f>VLOOKUP(Table9[[#This Row],[Shortname]], Comp[], 25, FALSE)</f>
        <v>0</v>
      </c>
      <c r="AC548">
        <f>VLOOKUP(Table9[[#This Row],[Shortname]], Comp[], 26, FALSE)</f>
        <v>0</v>
      </c>
      <c r="AD548">
        <f>VLOOKUP(Table9[[#This Row],[Shortname]], Comp[], 27, FALSE)</f>
        <v>0</v>
      </c>
      <c r="AE548">
        <f>VLOOKUP(Table9[[#This Row],[Shortname]], Comp[], 28, FALSE)</f>
        <v>0</v>
      </c>
      <c r="AF548">
        <f>VLOOKUP(Table9[[#This Row],[Shortname]], Comp[], 29, FALSE)</f>
        <v>0</v>
      </c>
      <c r="AG548">
        <f>VLOOKUP(Table9[[#This Row],[Shortname]], Comp[], 30, FALSE)</f>
        <v>0</v>
      </c>
      <c r="AH548">
        <f>VLOOKUP(Table9[[#This Row],[Shortname]], Comp[], 31, FALSE)</f>
        <v>0</v>
      </c>
    </row>
    <row r="549" spans="1:34" x14ac:dyDescent="0.3">
      <c r="A549" t="s">
        <v>1438</v>
      </c>
      <c r="B549" t="s">
        <v>1440</v>
      </c>
      <c r="C549" t="s">
        <v>1351</v>
      </c>
      <c r="D549">
        <v>436</v>
      </c>
      <c r="E549">
        <v>1000</v>
      </c>
      <c r="F549">
        <v>4.0000000000000002E-4</v>
      </c>
      <c r="G549">
        <v>-1</v>
      </c>
      <c r="H549" t="s">
        <v>6868</v>
      </c>
      <c r="I549">
        <f>VLOOKUP(Table9[[#This Row],[Shortname]], Comp[], 6, FALSE)</f>
        <v>184</v>
      </c>
      <c r="J549" s="14">
        <f>VLOOKUP(Table9[[#This Row],[Shortname]], Comp[], 7, FALSE)</f>
        <v>80.5</v>
      </c>
      <c r="K549">
        <f>VLOOKUP(Table9[[#This Row],[Shortname]], Comp[], 8, FALSE)</f>
        <v>0</v>
      </c>
      <c r="L549">
        <f>VLOOKUP(Table9[[#This Row],[Shortname]], Comp[], 9, FALSE)</f>
        <v>11</v>
      </c>
      <c r="M549">
        <f>VLOOKUP(Table9[[#This Row],[Shortname]], Comp[], 10, FALSE)</f>
        <v>0</v>
      </c>
      <c r="N549">
        <f>VLOOKUP(Table9[[#This Row],[Shortname]], Comp[], 11, FALSE)</f>
        <v>5.9</v>
      </c>
      <c r="O549">
        <f>VLOOKUP(Table9[[#This Row],[Shortname]], Comp[],12, FALSE)</f>
        <v>0</v>
      </c>
      <c r="P549">
        <f>VLOOKUP(Table9[[#This Row],[Shortname]], Comp[], 13, FALSE)</f>
        <v>2.6</v>
      </c>
      <c r="Q549">
        <f>VLOOKUP(Table9[[#This Row],[Shortname]], Comp[], 14, FALSE)</f>
        <v>0</v>
      </c>
      <c r="R549">
        <f>VLOOKUP(Table9[[#This Row],[Shortname]], Comp[], 15, FALSE)</f>
        <v>0</v>
      </c>
      <c r="S549">
        <f>VLOOKUP(Table9[[#This Row],[Shortname]], Comp[], 16, FALSE)</f>
        <v>0</v>
      </c>
      <c r="T549">
        <f>VLOOKUP(Table9[[#This Row],[Shortname]], Comp[], 17, FALSE)</f>
        <v>0</v>
      </c>
      <c r="U549">
        <f>VLOOKUP(Table9[[#This Row],[Shortname]], Comp[], 18, FALSE)</f>
        <v>0</v>
      </c>
      <c r="V549">
        <f>VLOOKUP(Table9[[#This Row],[Shortname]], Comp[], 19, FALSE)</f>
        <v>0</v>
      </c>
      <c r="W549">
        <f>VLOOKUP(Table9[[#This Row],[Shortname]], Comp[], 20, FALSE)</f>
        <v>0</v>
      </c>
      <c r="X549">
        <f>VLOOKUP(Table9[[#This Row],[Shortname]], Comp[], 21, FALSE)</f>
        <v>0</v>
      </c>
      <c r="Y549">
        <f>VLOOKUP(Table9[[#This Row],[Shortname]], Comp[], 22, FALSE)</f>
        <v>0</v>
      </c>
      <c r="Z549">
        <f>VLOOKUP(Table9[[#This Row],[Shortname]], Comp[], 23, FALSE)</f>
        <v>0</v>
      </c>
      <c r="AA549">
        <f>VLOOKUP(Table9[[#This Row],[Shortname]], Comp[], 24, FALSE)</f>
        <v>0</v>
      </c>
      <c r="AB549">
        <f>VLOOKUP(Table9[[#This Row],[Shortname]], Comp[], 25, FALSE)</f>
        <v>0</v>
      </c>
      <c r="AC549">
        <f>VLOOKUP(Table9[[#This Row],[Shortname]], Comp[], 26, FALSE)</f>
        <v>0</v>
      </c>
      <c r="AD549">
        <f>VLOOKUP(Table9[[#This Row],[Shortname]], Comp[], 27, FALSE)</f>
        <v>0</v>
      </c>
      <c r="AE549">
        <f>VLOOKUP(Table9[[#This Row],[Shortname]], Comp[], 28, FALSE)</f>
        <v>0</v>
      </c>
      <c r="AF549">
        <f>VLOOKUP(Table9[[#This Row],[Shortname]], Comp[], 29, FALSE)</f>
        <v>0</v>
      </c>
      <c r="AG549">
        <f>VLOOKUP(Table9[[#This Row],[Shortname]], Comp[], 30, FALSE)</f>
        <v>0</v>
      </c>
      <c r="AH549">
        <f>VLOOKUP(Table9[[#This Row],[Shortname]], Comp[], 31, FALSE)</f>
        <v>0</v>
      </c>
    </row>
    <row r="550" spans="1:34" x14ac:dyDescent="0.3">
      <c r="A550" t="s">
        <v>1438</v>
      </c>
      <c r="B550" t="s">
        <v>1440</v>
      </c>
      <c r="C550" t="s">
        <v>1351</v>
      </c>
      <c r="D550">
        <v>49</v>
      </c>
      <c r="E550">
        <v>1100</v>
      </c>
      <c r="F550">
        <v>4.0000000000000002E-4</v>
      </c>
      <c r="G550">
        <v>-1</v>
      </c>
      <c r="H550" t="s">
        <v>6868</v>
      </c>
      <c r="I550">
        <f>VLOOKUP(Table9[[#This Row],[Shortname]], Comp[], 6, FALSE)</f>
        <v>184</v>
      </c>
      <c r="J550" s="14">
        <f>VLOOKUP(Table9[[#This Row],[Shortname]], Comp[], 7, FALSE)</f>
        <v>80.5</v>
      </c>
      <c r="K550">
        <f>VLOOKUP(Table9[[#This Row],[Shortname]], Comp[], 8, FALSE)</f>
        <v>0</v>
      </c>
      <c r="L550">
        <f>VLOOKUP(Table9[[#This Row],[Shortname]], Comp[], 9, FALSE)</f>
        <v>11</v>
      </c>
      <c r="M550">
        <f>VLOOKUP(Table9[[#This Row],[Shortname]], Comp[], 10, FALSE)</f>
        <v>0</v>
      </c>
      <c r="N550">
        <f>VLOOKUP(Table9[[#This Row],[Shortname]], Comp[], 11, FALSE)</f>
        <v>5.9</v>
      </c>
      <c r="O550">
        <f>VLOOKUP(Table9[[#This Row],[Shortname]], Comp[],12, FALSE)</f>
        <v>0</v>
      </c>
      <c r="P550">
        <f>VLOOKUP(Table9[[#This Row],[Shortname]], Comp[], 13, FALSE)</f>
        <v>2.6</v>
      </c>
      <c r="Q550">
        <f>VLOOKUP(Table9[[#This Row],[Shortname]], Comp[], 14, FALSE)</f>
        <v>0</v>
      </c>
      <c r="R550">
        <f>VLOOKUP(Table9[[#This Row],[Shortname]], Comp[], 15, FALSE)</f>
        <v>0</v>
      </c>
      <c r="S550">
        <f>VLOOKUP(Table9[[#This Row],[Shortname]], Comp[], 16, FALSE)</f>
        <v>0</v>
      </c>
      <c r="T550">
        <f>VLOOKUP(Table9[[#This Row],[Shortname]], Comp[], 17, FALSE)</f>
        <v>0</v>
      </c>
      <c r="U550">
        <f>VLOOKUP(Table9[[#This Row],[Shortname]], Comp[], 18, FALSE)</f>
        <v>0</v>
      </c>
      <c r="V550">
        <f>VLOOKUP(Table9[[#This Row],[Shortname]], Comp[], 19, FALSE)</f>
        <v>0</v>
      </c>
      <c r="W550">
        <f>VLOOKUP(Table9[[#This Row],[Shortname]], Comp[], 20, FALSE)</f>
        <v>0</v>
      </c>
      <c r="X550">
        <f>VLOOKUP(Table9[[#This Row],[Shortname]], Comp[], 21, FALSE)</f>
        <v>0</v>
      </c>
      <c r="Y550">
        <f>VLOOKUP(Table9[[#This Row],[Shortname]], Comp[], 22, FALSE)</f>
        <v>0</v>
      </c>
      <c r="Z550">
        <f>VLOOKUP(Table9[[#This Row],[Shortname]], Comp[], 23, FALSE)</f>
        <v>0</v>
      </c>
      <c r="AA550">
        <f>VLOOKUP(Table9[[#This Row],[Shortname]], Comp[], 24, FALSE)</f>
        <v>0</v>
      </c>
      <c r="AB550">
        <f>VLOOKUP(Table9[[#This Row],[Shortname]], Comp[], 25, FALSE)</f>
        <v>0</v>
      </c>
      <c r="AC550">
        <f>VLOOKUP(Table9[[#This Row],[Shortname]], Comp[], 26, FALSE)</f>
        <v>0</v>
      </c>
      <c r="AD550">
        <f>VLOOKUP(Table9[[#This Row],[Shortname]], Comp[], 27, FALSE)</f>
        <v>0</v>
      </c>
      <c r="AE550">
        <f>VLOOKUP(Table9[[#This Row],[Shortname]], Comp[], 28, FALSE)</f>
        <v>0</v>
      </c>
      <c r="AF550">
        <f>VLOOKUP(Table9[[#This Row],[Shortname]], Comp[], 29, FALSE)</f>
        <v>0</v>
      </c>
      <c r="AG550">
        <f>VLOOKUP(Table9[[#This Row],[Shortname]], Comp[], 30, FALSE)</f>
        <v>0</v>
      </c>
      <c r="AH550">
        <f>VLOOKUP(Table9[[#This Row],[Shortname]], Comp[], 31, FALSE)</f>
        <v>0</v>
      </c>
    </row>
    <row r="551" spans="1:34" x14ac:dyDescent="0.3">
      <c r="A551" t="s">
        <v>1438</v>
      </c>
      <c r="B551" t="s">
        <v>1440</v>
      </c>
      <c r="C551" t="s">
        <v>1351</v>
      </c>
      <c r="D551">
        <v>36</v>
      </c>
      <c r="E551">
        <v>1200</v>
      </c>
      <c r="F551">
        <v>4.0000000000000002E-4</v>
      </c>
      <c r="G551">
        <v>-1</v>
      </c>
      <c r="H551" t="s">
        <v>6868</v>
      </c>
      <c r="I551">
        <f>VLOOKUP(Table9[[#This Row],[Shortname]], Comp[], 6, FALSE)</f>
        <v>184</v>
      </c>
      <c r="J551" s="14">
        <f>VLOOKUP(Table9[[#This Row],[Shortname]], Comp[], 7, FALSE)</f>
        <v>80.5</v>
      </c>
      <c r="K551">
        <f>VLOOKUP(Table9[[#This Row],[Shortname]], Comp[], 8, FALSE)</f>
        <v>0</v>
      </c>
      <c r="L551">
        <f>VLOOKUP(Table9[[#This Row],[Shortname]], Comp[], 9, FALSE)</f>
        <v>11</v>
      </c>
      <c r="M551">
        <f>VLOOKUP(Table9[[#This Row],[Shortname]], Comp[], 10, FALSE)</f>
        <v>0</v>
      </c>
      <c r="N551">
        <f>VLOOKUP(Table9[[#This Row],[Shortname]], Comp[], 11, FALSE)</f>
        <v>5.9</v>
      </c>
      <c r="O551">
        <f>VLOOKUP(Table9[[#This Row],[Shortname]], Comp[],12, FALSE)</f>
        <v>0</v>
      </c>
      <c r="P551">
        <f>VLOOKUP(Table9[[#This Row],[Shortname]], Comp[], 13, FALSE)</f>
        <v>2.6</v>
      </c>
      <c r="Q551">
        <f>VLOOKUP(Table9[[#This Row],[Shortname]], Comp[], 14, FALSE)</f>
        <v>0</v>
      </c>
      <c r="R551">
        <f>VLOOKUP(Table9[[#This Row],[Shortname]], Comp[], 15, FALSE)</f>
        <v>0</v>
      </c>
      <c r="S551">
        <f>VLOOKUP(Table9[[#This Row],[Shortname]], Comp[], 16, FALSE)</f>
        <v>0</v>
      </c>
      <c r="T551">
        <f>VLOOKUP(Table9[[#This Row],[Shortname]], Comp[], 17, FALSE)</f>
        <v>0</v>
      </c>
      <c r="U551">
        <f>VLOOKUP(Table9[[#This Row],[Shortname]], Comp[], 18, FALSE)</f>
        <v>0</v>
      </c>
      <c r="V551">
        <f>VLOOKUP(Table9[[#This Row],[Shortname]], Comp[], 19, FALSE)</f>
        <v>0</v>
      </c>
      <c r="W551">
        <f>VLOOKUP(Table9[[#This Row],[Shortname]], Comp[], 20, FALSE)</f>
        <v>0</v>
      </c>
      <c r="X551">
        <f>VLOOKUP(Table9[[#This Row],[Shortname]], Comp[], 21, FALSE)</f>
        <v>0</v>
      </c>
      <c r="Y551">
        <f>VLOOKUP(Table9[[#This Row],[Shortname]], Comp[], 22, FALSE)</f>
        <v>0</v>
      </c>
      <c r="Z551">
        <f>VLOOKUP(Table9[[#This Row],[Shortname]], Comp[], 23, FALSE)</f>
        <v>0</v>
      </c>
      <c r="AA551">
        <f>VLOOKUP(Table9[[#This Row],[Shortname]], Comp[], 24, FALSE)</f>
        <v>0</v>
      </c>
      <c r="AB551">
        <f>VLOOKUP(Table9[[#This Row],[Shortname]], Comp[], 25, FALSE)</f>
        <v>0</v>
      </c>
      <c r="AC551">
        <f>VLOOKUP(Table9[[#This Row],[Shortname]], Comp[], 26, FALSE)</f>
        <v>0</v>
      </c>
      <c r="AD551">
        <f>VLOOKUP(Table9[[#This Row],[Shortname]], Comp[], 27, FALSE)</f>
        <v>0</v>
      </c>
      <c r="AE551">
        <f>VLOOKUP(Table9[[#This Row],[Shortname]], Comp[], 28, FALSE)</f>
        <v>0</v>
      </c>
      <c r="AF551">
        <f>VLOOKUP(Table9[[#This Row],[Shortname]], Comp[], 29, FALSE)</f>
        <v>0</v>
      </c>
      <c r="AG551">
        <f>VLOOKUP(Table9[[#This Row],[Shortname]], Comp[], 30, FALSE)</f>
        <v>0</v>
      </c>
      <c r="AH551">
        <f>VLOOKUP(Table9[[#This Row],[Shortname]], Comp[], 31, FALSE)</f>
        <v>0</v>
      </c>
    </row>
    <row r="552" spans="1:34" x14ac:dyDescent="0.3">
      <c r="A552" t="s">
        <v>1430</v>
      </c>
      <c r="B552" t="s">
        <v>1432</v>
      </c>
      <c r="C552" t="s">
        <v>1351</v>
      </c>
      <c r="D552">
        <v>890</v>
      </c>
      <c r="E552">
        <v>25</v>
      </c>
      <c r="F552">
        <v>4.0000000000000002E-4</v>
      </c>
      <c r="G552">
        <v>-1</v>
      </c>
      <c r="H552" t="s">
        <v>6868</v>
      </c>
      <c r="I552">
        <f>VLOOKUP(Table9[[#This Row],[Shortname]], Comp[], 6, FALSE)</f>
        <v>183</v>
      </c>
      <c r="J552" s="14">
        <f>VLOOKUP(Table9[[#This Row],[Shortname]], Comp[], 7, FALSE)</f>
        <v>79.599999999999994</v>
      </c>
      <c r="K552">
        <f>VLOOKUP(Table9[[#This Row],[Shortname]], Comp[], 8, FALSE)</f>
        <v>0</v>
      </c>
      <c r="L552">
        <f>VLOOKUP(Table9[[#This Row],[Shortname]], Comp[], 9, FALSE)</f>
        <v>13.3</v>
      </c>
      <c r="M552">
        <f>VLOOKUP(Table9[[#This Row],[Shortname]], Comp[], 10, FALSE)</f>
        <v>0</v>
      </c>
      <c r="N552">
        <f>VLOOKUP(Table9[[#This Row],[Shortname]], Comp[], 11, FALSE)</f>
        <v>3.9</v>
      </c>
      <c r="O552">
        <f>VLOOKUP(Table9[[#This Row],[Shortname]], Comp[],12, FALSE)</f>
        <v>0</v>
      </c>
      <c r="P552">
        <f>VLOOKUP(Table9[[#This Row],[Shortname]], Comp[], 13, FALSE)</f>
        <v>3.2</v>
      </c>
      <c r="Q552">
        <f>VLOOKUP(Table9[[#This Row],[Shortname]], Comp[], 14, FALSE)</f>
        <v>0</v>
      </c>
      <c r="R552">
        <f>VLOOKUP(Table9[[#This Row],[Shortname]], Comp[], 15, FALSE)</f>
        <v>0</v>
      </c>
      <c r="S552">
        <f>VLOOKUP(Table9[[#This Row],[Shortname]], Comp[], 16, FALSE)</f>
        <v>0</v>
      </c>
      <c r="T552">
        <f>VLOOKUP(Table9[[#This Row],[Shortname]], Comp[], 17, FALSE)</f>
        <v>0</v>
      </c>
      <c r="U552">
        <f>VLOOKUP(Table9[[#This Row],[Shortname]], Comp[], 18, FALSE)</f>
        <v>0</v>
      </c>
      <c r="V552">
        <f>VLOOKUP(Table9[[#This Row],[Shortname]], Comp[], 19, FALSE)</f>
        <v>0</v>
      </c>
      <c r="W552">
        <f>VLOOKUP(Table9[[#This Row],[Shortname]], Comp[], 20, FALSE)</f>
        <v>0</v>
      </c>
      <c r="X552">
        <f>VLOOKUP(Table9[[#This Row],[Shortname]], Comp[], 21, FALSE)</f>
        <v>0</v>
      </c>
      <c r="Y552">
        <f>VLOOKUP(Table9[[#This Row],[Shortname]], Comp[], 22, FALSE)</f>
        <v>0</v>
      </c>
      <c r="Z552">
        <f>VLOOKUP(Table9[[#This Row],[Shortname]], Comp[], 23, FALSE)</f>
        <v>0</v>
      </c>
      <c r="AA552">
        <f>VLOOKUP(Table9[[#This Row],[Shortname]], Comp[], 24, FALSE)</f>
        <v>0</v>
      </c>
      <c r="AB552">
        <f>VLOOKUP(Table9[[#This Row],[Shortname]], Comp[], 25, FALSE)</f>
        <v>0</v>
      </c>
      <c r="AC552">
        <f>VLOOKUP(Table9[[#This Row],[Shortname]], Comp[], 26, FALSE)</f>
        <v>0</v>
      </c>
      <c r="AD552">
        <f>VLOOKUP(Table9[[#This Row],[Shortname]], Comp[], 27, FALSE)</f>
        <v>0</v>
      </c>
      <c r="AE552">
        <f>VLOOKUP(Table9[[#This Row],[Shortname]], Comp[], 28, FALSE)</f>
        <v>0</v>
      </c>
      <c r="AF552">
        <f>VLOOKUP(Table9[[#This Row],[Shortname]], Comp[], 29, FALSE)</f>
        <v>0</v>
      </c>
      <c r="AG552">
        <f>VLOOKUP(Table9[[#This Row],[Shortname]], Comp[], 30, FALSE)</f>
        <v>0</v>
      </c>
      <c r="AH552">
        <f>VLOOKUP(Table9[[#This Row],[Shortname]], Comp[], 31, FALSE)</f>
        <v>0</v>
      </c>
    </row>
    <row r="553" spans="1:34" x14ac:dyDescent="0.3">
      <c r="A553" t="s">
        <v>1430</v>
      </c>
      <c r="B553" t="s">
        <v>1432</v>
      </c>
      <c r="C553" t="s">
        <v>1351</v>
      </c>
      <c r="D553">
        <v>830</v>
      </c>
      <c r="E553">
        <v>700</v>
      </c>
      <c r="F553">
        <v>4.0000000000000002E-4</v>
      </c>
      <c r="G553">
        <v>-1</v>
      </c>
      <c r="H553" t="s">
        <v>6868</v>
      </c>
      <c r="I553">
        <f>VLOOKUP(Table9[[#This Row],[Shortname]], Comp[], 6, FALSE)</f>
        <v>183</v>
      </c>
      <c r="J553" s="14">
        <f>VLOOKUP(Table9[[#This Row],[Shortname]], Comp[], 7, FALSE)</f>
        <v>79.599999999999994</v>
      </c>
      <c r="K553">
        <f>VLOOKUP(Table9[[#This Row],[Shortname]], Comp[], 8, FALSE)</f>
        <v>0</v>
      </c>
      <c r="L553">
        <f>VLOOKUP(Table9[[#This Row],[Shortname]], Comp[], 9, FALSE)</f>
        <v>13.3</v>
      </c>
      <c r="M553">
        <f>VLOOKUP(Table9[[#This Row],[Shortname]], Comp[], 10, FALSE)</f>
        <v>0</v>
      </c>
      <c r="N553">
        <f>VLOOKUP(Table9[[#This Row],[Shortname]], Comp[], 11, FALSE)</f>
        <v>3.9</v>
      </c>
      <c r="O553">
        <f>VLOOKUP(Table9[[#This Row],[Shortname]], Comp[],12, FALSE)</f>
        <v>0</v>
      </c>
      <c r="P553">
        <f>VLOOKUP(Table9[[#This Row],[Shortname]], Comp[], 13, FALSE)</f>
        <v>3.2</v>
      </c>
      <c r="Q553">
        <f>VLOOKUP(Table9[[#This Row],[Shortname]], Comp[], 14, FALSE)</f>
        <v>0</v>
      </c>
      <c r="R553">
        <f>VLOOKUP(Table9[[#This Row],[Shortname]], Comp[], 15, FALSE)</f>
        <v>0</v>
      </c>
      <c r="S553">
        <f>VLOOKUP(Table9[[#This Row],[Shortname]], Comp[], 16, FALSE)</f>
        <v>0</v>
      </c>
      <c r="T553">
        <f>VLOOKUP(Table9[[#This Row],[Shortname]], Comp[], 17, FALSE)</f>
        <v>0</v>
      </c>
      <c r="U553">
        <f>VLOOKUP(Table9[[#This Row],[Shortname]], Comp[], 18, FALSE)</f>
        <v>0</v>
      </c>
      <c r="V553">
        <f>VLOOKUP(Table9[[#This Row],[Shortname]], Comp[], 19, FALSE)</f>
        <v>0</v>
      </c>
      <c r="W553">
        <f>VLOOKUP(Table9[[#This Row],[Shortname]], Comp[], 20, FALSE)</f>
        <v>0</v>
      </c>
      <c r="X553">
        <f>VLOOKUP(Table9[[#This Row],[Shortname]], Comp[], 21, FALSE)</f>
        <v>0</v>
      </c>
      <c r="Y553">
        <f>VLOOKUP(Table9[[#This Row],[Shortname]], Comp[], 22, FALSE)</f>
        <v>0</v>
      </c>
      <c r="Z553">
        <f>VLOOKUP(Table9[[#This Row],[Shortname]], Comp[], 23, FALSE)</f>
        <v>0</v>
      </c>
      <c r="AA553">
        <f>VLOOKUP(Table9[[#This Row],[Shortname]], Comp[], 24, FALSE)</f>
        <v>0</v>
      </c>
      <c r="AB553">
        <f>VLOOKUP(Table9[[#This Row],[Shortname]], Comp[], 25, FALSE)</f>
        <v>0</v>
      </c>
      <c r="AC553">
        <f>VLOOKUP(Table9[[#This Row],[Shortname]], Comp[], 26, FALSE)</f>
        <v>0</v>
      </c>
      <c r="AD553">
        <f>VLOOKUP(Table9[[#This Row],[Shortname]], Comp[], 27, FALSE)</f>
        <v>0</v>
      </c>
      <c r="AE553">
        <f>VLOOKUP(Table9[[#This Row],[Shortname]], Comp[], 28, FALSE)</f>
        <v>0</v>
      </c>
      <c r="AF553">
        <f>VLOOKUP(Table9[[#This Row],[Shortname]], Comp[], 29, FALSE)</f>
        <v>0</v>
      </c>
      <c r="AG553">
        <f>VLOOKUP(Table9[[#This Row],[Shortname]], Comp[], 30, FALSE)</f>
        <v>0</v>
      </c>
      <c r="AH553">
        <f>VLOOKUP(Table9[[#This Row],[Shortname]], Comp[], 31, FALSE)</f>
        <v>0</v>
      </c>
    </row>
    <row r="554" spans="1:34" x14ac:dyDescent="0.3">
      <c r="A554" t="s">
        <v>1430</v>
      </c>
      <c r="B554" t="s">
        <v>1432</v>
      </c>
      <c r="C554" t="s">
        <v>1351</v>
      </c>
      <c r="D554">
        <v>794</v>
      </c>
      <c r="E554">
        <v>800</v>
      </c>
      <c r="F554">
        <v>4.0000000000000002E-4</v>
      </c>
      <c r="G554">
        <v>-1</v>
      </c>
      <c r="H554" t="s">
        <v>6868</v>
      </c>
      <c r="I554">
        <f>VLOOKUP(Table9[[#This Row],[Shortname]], Comp[], 6, FALSE)</f>
        <v>183</v>
      </c>
      <c r="J554" s="14">
        <f>VLOOKUP(Table9[[#This Row],[Shortname]], Comp[], 7, FALSE)</f>
        <v>79.599999999999994</v>
      </c>
      <c r="K554">
        <f>VLOOKUP(Table9[[#This Row],[Shortname]], Comp[], 8, FALSE)</f>
        <v>0</v>
      </c>
      <c r="L554">
        <f>VLOOKUP(Table9[[#This Row],[Shortname]], Comp[], 9, FALSE)</f>
        <v>13.3</v>
      </c>
      <c r="M554">
        <f>VLOOKUP(Table9[[#This Row],[Shortname]], Comp[], 10, FALSE)</f>
        <v>0</v>
      </c>
      <c r="N554">
        <f>VLOOKUP(Table9[[#This Row],[Shortname]], Comp[], 11, FALSE)</f>
        <v>3.9</v>
      </c>
      <c r="O554">
        <f>VLOOKUP(Table9[[#This Row],[Shortname]], Comp[],12, FALSE)</f>
        <v>0</v>
      </c>
      <c r="P554">
        <f>VLOOKUP(Table9[[#This Row],[Shortname]], Comp[], 13, FALSE)</f>
        <v>3.2</v>
      </c>
      <c r="Q554">
        <f>VLOOKUP(Table9[[#This Row],[Shortname]], Comp[], 14, FALSE)</f>
        <v>0</v>
      </c>
      <c r="R554">
        <f>VLOOKUP(Table9[[#This Row],[Shortname]], Comp[], 15, FALSE)</f>
        <v>0</v>
      </c>
      <c r="S554">
        <f>VLOOKUP(Table9[[#This Row],[Shortname]], Comp[], 16, FALSE)</f>
        <v>0</v>
      </c>
      <c r="T554">
        <f>VLOOKUP(Table9[[#This Row],[Shortname]], Comp[], 17, FALSE)</f>
        <v>0</v>
      </c>
      <c r="U554">
        <f>VLOOKUP(Table9[[#This Row],[Shortname]], Comp[], 18, FALSE)</f>
        <v>0</v>
      </c>
      <c r="V554">
        <f>VLOOKUP(Table9[[#This Row],[Shortname]], Comp[], 19, FALSE)</f>
        <v>0</v>
      </c>
      <c r="W554">
        <f>VLOOKUP(Table9[[#This Row],[Shortname]], Comp[], 20, FALSE)</f>
        <v>0</v>
      </c>
      <c r="X554">
        <f>VLOOKUP(Table9[[#This Row],[Shortname]], Comp[], 21, FALSE)</f>
        <v>0</v>
      </c>
      <c r="Y554">
        <f>VLOOKUP(Table9[[#This Row],[Shortname]], Comp[], 22, FALSE)</f>
        <v>0</v>
      </c>
      <c r="Z554">
        <f>VLOOKUP(Table9[[#This Row],[Shortname]], Comp[], 23, FALSE)</f>
        <v>0</v>
      </c>
      <c r="AA554">
        <f>VLOOKUP(Table9[[#This Row],[Shortname]], Comp[], 24, FALSE)</f>
        <v>0</v>
      </c>
      <c r="AB554">
        <f>VLOOKUP(Table9[[#This Row],[Shortname]], Comp[], 25, FALSE)</f>
        <v>0</v>
      </c>
      <c r="AC554">
        <f>VLOOKUP(Table9[[#This Row],[Shortname]], Comp[], 26, FALSE)</f>
        <v>0</v>
      </c>
      <c r="AD554">
        <f>VLOOKUP(Table9[[#This Row],[Shortname]], Comp[], 27, FALSE)</f>
        <v>0</v>
      </c>
      <c r="AE554">
        <f>VLOOKUP(Table9[[#This Row],[Shortname]], Comp[], 28, FALSE)</f>
        <v>0</v>
      </c>
      <c r="AF554">
        <f>VLOOKUP(Table9[[#This Row],[Shortname]], Comp[], 29, FALSE)</f>
        <v>0</v>
      </c>
      <c r="AG554">
        <f>VLOOKUP(Table9[[#This Row],[Shortname]], Comp[], 30, FALSE)</f>
        <v>0</v>
      </c>
      <c r="AH554">
        <f>VLOOKUP(Table9[[#This Row],[Shortname]], Comp[], 31, FALSE)</f>
        <v>0</v>
      </c>
    </row>
    <row r="555" spans="1:34" x14ac:dyDescent="0.3">
      <c r="A555" t="s">
        <v>1430</v>
      </c>
      <c r="B555" t="s">
        <v>1432</v>
      </c>
      <c r="C555" t="s">
        <v>1351</v>
      </c>
      <c r="D555">
        <v>770</v>
      </c>
      <c r="E555">
        <v>600</v>
      </c>
      <c r="F555">
        <v>4.0000000000000002E-4</v>
      </c>
      <c r="G555">
        <v>-1</v>
      </c>
      <c r="H555" t="s">
        <v>6868</v>
      </c>
      <c r="I555">
        <f>VLOOKUP(Table9[[#This Row],[Shortname]], Comp[], 6, FALSE)</f>
        <v>183</v>
      </c>
      <c r="J555" s="14">
        <f>VLOOKUP(Table9[[#This Row],[Shortname]], Comp[], 7, FALSE)</f>
        <v>79.599999999999994</v>
      </c>
      <c r="K555">
        <f>VLOOKUP(Table9[[#This Row],[Shortname]], Comp[], 8, FALSE)</f>
        <v>0</v>
      </c>
      <c r="L555">
        <f>VLOOKUP(Table9[[#This Row],[Shortname]], Comp[], 9, FALSE)</f>
        <v>13.3</v>
      </c>
      <c r="M555">
        <f>VLOOKUP(Table9[[#This Row],[Shortname]], Comp[], 10, FALSE)</f>
        <v>0</v>
      </c>
      <c r="N555">
        <f>VLOOKUP(Table9[[#This Row],[Shortname]], Comp[], 11, FALSE)</f>
        <v>3.9</v>
      </c>
      <c r="O555">
        <f>VLOOKUP(Table9[[#This Row],[Shortname]], Comp[],12, FALSE)</f>
        <v>0</v>
      </c>
      <c r="P555">
        <f>VLOOKUP(Table9[[#This Row],[Shortname]], Comp[], 13, FALSE)</f>
        <v>3.2</v>
      </c>
      <c r="Q555">
        <f>VLOOKUP(Table9[[#This Row],[Shortname]], Comp[], 14, FALSE)</f>
        <v>0</v>
      </c>
      <c r="R555">
        <f>VLOOKUP(Table9[[#This Row],[Shortname]], Comp[], 15, FALSE)</f>
        <v>0</v>
      </c>
      <c r="S555">
        <f>VLOOKUP(Table9[[#This Row],[Shortname]], Comp[], 16, FALSE)</f>
        <v>0</v>
      </c>
      <c r="T555">
        <f>VLOOKUP(Table9[[#This Row],[Shortname]], Comp[], 17, FALSE)</f>
        <v>0</v>
      </c>
      <c r="U555">
        <f>VLOOKUP(Table9[[#This Row],[Shortname]], Comp[], 18, FALSE)</f>
        <v>0</v>
      </c>
      <c r="V555">
        <f>VLOOKUP(Table9[[#This Row],[Shortname]], Comp[], 19, FALSE)</f>
        <v>0</v>
      </c>
      <c r="W555">
        <f>VLOOKUP(Table9[[#This Row],[Shortname]], Comp[], 20, FALSE)</f>
        <v>0</v>
      </c>
      <c r="X555">
        <f>VLOOKUP(Table9[[#This Row],[Shortname]], Comp[], 21, FALSE)</f>
        <v>0</v>
      </c>
      <c r="Y555">
        <f>VLOOKUP(Table9[[#This Row],[Shortname]], Comp[], 22, FALSE)</f>
        <v>0</v>
      </c>
      <c r="Z555">
        <f>VLOOKUP(Table9[[#This Row],[Shortname]], Comp[], 23, FALSE)</f>
        <v>0</v>
      </c>
      <c r="AA555">
        <f>VLOOKUP(Table9[[#This Row],[Shortname]], Comp[], 24, FALSE)</f>
        <v>0</v>
      </c>
      <c r="AB555">
        <f>VLOOKUP(Table9[[#This Row],[Shortname]], Comp[], 25, FALSE)</f>
        <v>0</v>
      </c>
      <c r="AC555">
        <f>VLOOKUP(Table9[[#This Row],[Shortname]], Comp[], 26, FALSE)</f>
        <v>0</v>
      </c>
      <c r="AD555">
        <f>VLOOKUP(Table9[[#This Row],[Shortname]], Comp[], 27, FALSE)</f>
        <v>0</v>
      </c>
      <c r="AE555">
        <f>VLOOKUP(Table9[[#This Row],[Shortname]], Comp[], 28, FALSE)</f>
        <v>0</v>
      </c>
      <c r="AF555">
        <f>VLOOKUP(Table9[[#This Row],[Shortname]], Comp[], 29, FALSE)</f>
        <v>0</v>
      </c>
      <c r="AG555">
        <f>VLOOKUP(Table9[[#This Row],[Shortname]], Comp[], 30, FALSE)</f>
        <v>0</v>
      </c>
      <c r="AH555">
        <f>VLOOKUP(Table9[[#This Row],[Shortname]], Comp[], 31, FALSE)</f>
        <v>0</v>
      </c>
    </row>
    <row r="556" spans="1:34" x14ac:dyDescent="0.3">
      <c r="A556" t="s">
        <v>1430</v>
      </c>
      <c r="B556" t="s">
        <v>1432</v>
      </c>
      <c r="C556" t="s">
        <v>1351</v>
      </c>
      <c r="D556">
        <v>648</v>
      </c>
      <c r="E556">
        <v>900</v>
      </c>
      <c r="F556">
        <v>4.0000000000000002E-4</v>
      </c>
      <c r="G556">
        <v>-1</v>
      </c>
      <c r="H556" t="s">
        <v>6868</v>
      </c>
      <c r="I556">
        <f>VLOOKUP(Table9[[#This Row],[Shortname]], Comp[], 6, FALSE)</f>
        <v>183</v>
      </c>
      <c r="J556" s="14">
        <f>VLOOKUP(Table9[[#This Row],[Shortname]], Comp[], 7, FALSE)</f>
        <v>79.599999999999994</v>
      </c>
      <c r="K556">
        <f>VLOOKUP(Table9[[#This Row],[Shortname]], Comp[], 8, FALSE)</f>
        <v>0</v>
      </c>
      <c r="L556">
        <f>VLOOKUP(Table9[[#This Row],[Shortname]], Comp[], 9, FALSE)</f>
        <v>13.3</v>
      </c>
      <c r="M556">
        <f>VLOOKUP(Table9[[#This Row],[Shortname]], Comp[], 10, FALSE)</f>
        <v>0</v>
      </c>
      <c r="N556">
        <f>VLOOKUP(Table9[[#This Row],[Shortname]], Comp[], 11, FALSE)</f>
        <v>3.9</v>
      </c>
      <c r="O556">
        <f>VLOOKUP(Table9[[#This Row],[Shortname]], Comp[],12, FALSE)</f>
        <v>0</v>
      </c>
      <c r="P556">
        <f>VLOOKUP(Table9[[#This Row],[Shortname]], Comp[], 13, FALSE)</f>
        <v>3.2</v>
      </c>
      <c r="Q556">
        <f>VLOOKUP(Table9[[#This Row],[Shortname]], Comp[], 14, FALSE)</f>
        <v>0</v>
      </c>
      <c r="R556">
        <f>VLOOKUP(Table9[[#This Row],[Shortname]], Comp[], 15, FALSE)</f>
        <v>0</v>
      </c>
      <c r="S556">
        <f>VLOOKUP(Table9[[#This Row],[Shortname]], Comp[], 16, FALSE)</f>
        <v>0</v>
      </c>
      <c r="T556">
        <f>VLOOKUP(Table9[[#This Row],[Shortname]], Comp[], 17, FALSE)</f>
        <v>0</v>
      </c>
      <c r="U556">
        <f>VLOOKUP(Table9[[#This Row],[Shortname]], Comp[], 18, FALSE)</f>
        <v>0</v>
      </c>
      <c r="V556">
        <f>VLOOKUP(Table9[[#This Row],[Shortname]], Comp[], 19, FALSE)</f>
        <v>0</v>
      </c>
      <c r="W556">
        <f>VLOOKUP(Table9[[#This Row],[Shortname]], Comp[], 20, FALSE)</f>
        <v>0</v>
      </c>
      <c r="X556">
        <f>VLOOKUP(Table9[[#This Row],[Shortname]], Comp[], 21, FALSE)</f>
        <v>0</v>
      </c>
      <c r="Y556">
        <f>VLOOKUP(Table9[[#This Row],[Shortname]], Comp[], 22, FALSE)</f>
        <v>0</v>
      </c>
      <c r="Z556">
        <f>VLOOKUP(Table9[[#This Row],[Shortname]], Comp[], 23, FALSE)</f>
        <v>0</v>
      </c>
      <c r="AA556">
        <f>VLOOKUP(Table9[[#This Row],[Shortname]], Comp[], 24, FALSE)</f>
        <v>0</v>
      </c>
      <c r="AB556">
        <f>VLOOKUP(Table9[[#This Row],[Shortname]], Comp[], 25, FALSE)</f>
        <v>0</v>
      </c>
      <c r="AC556">
        <f>VLOOKUP(Table9[[#This Row],[Shortname]], Comp[], 26, FALSE)</f>
        <v>0</v>
      </c>
      <c r="AD556">
        <f>VLOOKUP(Table9[[#This Row],[Shortname]], Comp[], 27, FALSE)</f>
        <v>0</v>
      </c>
      <c r="AE556">
        <f>VLOOKUP(Table9[[#This Row],[Shortname]], Comp[], 28, FALSE)</f>
        <v>0</v>
      </c>
      <c r="AF556">
        <f>VLOOKUP(Table9[[#This Row],[Shortname]], Comp[], 29, FALSE)</f>
        <v>0</v>
      </c>
      <c r="AG556">
        <f>VLOOKUP(Table9[[#This Row],[Shortname]], Comp[], 30, FALSE)</f>
        <v>0</v>
      </c>
      <c r="AH556">
        <f>VLOOKUP(Table9[[#This Row],[Shortname]], Comp[], 31, FALSE)</f>
        <v>0</v>
      </c>
    </row>
    <row r="557" spans="1:34" x14ac:dyDescent="0.3">
      <c r="A557" t="s">
        <v>4980</v>
      </c>
      <c r="B557" t="s">
        <v>4982</v>
      </c>
      <c r="C557" t="s">
        <v>4983</v>
      </c>
      <c r="D557">
        <v>1289</v>
      </c>
      <c r="E557">
        <v>25</v>
      </c>
      <c r="F557">
        <v>1E-4</v>
      </c>
      <c r="G557">
        <v>-1</v>
      </c>
      <c r="H557" t="s">
        <v>6869</v>
      </c>
      <c r="I557">
        <f>VLOOKUP(Table9[[#This Row],[Shortname]], Comp[], 6, FALSE)</f>
        <v>764</v>
      </c>
      <c r="J557" s="14">
        <f>VLOOKUP(Table9[[#This Row],[Shortname]], Comp[], 7, FALSE)</f>
        <v>32.38000000000001</v>
      </c>
      <c r="K557">
        <f>VLOOKUP(Table9[[#This Row],[Shortname]], Comp[], 8, FALSE)</f>
        <v>37.6</v>
      </c>
      <c r="L557">
        <f>VLOOKUP(Table9[[#This Row],[Shortname]], Comp[], 9, FALSE)</f>
        <v>8.9</v>
      </c>
      <c r="M557">
        <f>VLOOKUP(Table9[[#This Row],[Shortname]], Comp[], 10, FALSE)</f>
        <v>15.8</v>
      </c>
      <c r="N557">
        <f>VLOOKUP(Table9[[#This Row],[Shortname]], Comp[], 11, FALSE)</f>
        <v>2.8</v>
      </c>
      <c r="O557">
        <f>VLOOKUP(Table9[[#This Row],[Shortname]], Comp[],12, FALSE)</f>
        <v>1.8</v>
      </c>
      <c r="P557">
        <f>VLOOKUP(Table9[[#This Row],[Shortname]], Comp[], 13, FALSE)</f>
        <v>0.5</v>
      </c>
      <c r="Q557">
        <f>VLOOKUP(Table9[[#This Row],[Shortname]], Comp[], 14, FALSE)</f>
        <v>0</v>
      </c>
      <c r="R557">
        <f>VLOOKUP(Table9[[#This Row],[Shortname]], Comp[], 15, FALSE)</f>
        <v>0</v>
      </c>
      <c r="S557">
        <f>VLOOKUP(Table9[[#This Row],[Shortname]], Comp[], 16, FALSE)</f>
        <v>0</v>
      </c>
      <c r="T557">
        <f>VLOOKUP(Table9[[#This Row],[Shortname]], Comp[], 17, FALSE)</f>
        <v>0.14000000000000001</v>
      </c>
      <c r="U557">
        <f>VLOOKUP(Table9[[#This Row],[Shortname]], Comp[], 18, FALSE)</f>
        <v>0.03</v>
      </c>
      <c r="V557">
        <f>VLOOKUP(Table9[[#This Row],[Shortname]], Comp[], 19, FALSE)</f>
        <v>0.05</v>
      </c>
      <c r="W557">
        <f>VLOOKUP(Table9[[#This Row],[Shortname]], Comp[], 20, FALSE)</f>
        <v>0</v>
      </c>
      <c r="X557">
        <f>VLOOKUP(Table9[[#This Row],[Shortname]], Comp[], 21, FALSE)</f>
        <v>0</v>
      </c>
      <c r="Y557">
        <f>VLOOKUP(Table9[[#This Row],[Shortname]], Comp[], 22, FALSE)</f>
        <v>0</v>
      </c>
      <c r="Z557">
        <f>VLOOKUP(Table9[[#This Row],[Shortname]], Comp[], 23, FALSE)</f>
        <v>0</v>
      </c>
      <c r="AA557">
        <f>VLOOKUP(Table9[[#This Row],[Shortname]], Comp[], 24, FALSE)</f>
        <v>0</v>
      </c>
      <c r="AB557">
        <f>VLOOKUP(Table9[[#This Row],[Shortname]], Comp[], 25, FALSE)</f>
        <v>0</v>
      </c>
      <c r="AC557">
        <f>VLOOKUP(Table9[[#This Row],[Shortname]], Comp[], 26, FALSE)</f>
        <v>0</v>
      </c>
      <c r="AD557">
        <f>VLOOKUP(Table9[[#This Row],[Shortname]], Comp[], 27, FALSE)</f>
        <v>0</v>
      </c>
      <c r="AE557">
        <f>VLOOKUP(Table9[[#This Row],[Shortname]], Comp[], 28, FALSE)</f>
        <v>0</v>
      </c>
      <c r="AF557">
        <f>VLOOKUP(Table9[[#This Row],[Shortname]], Comp[], 29, FALSE)</f>
        <v>0</v>
      </c>
      <c r="AG557">
        <f>VLOOKUP(Table9[[#This Row],[Shortname]], Comp[], 30, FALSE)</f>
        <v>0</v>
      </c>
      <c r="AH557">
        <f>VLOOKUP(Table9[[#This Row],[Shortname]], Comp[], 31, FALSE)</f>
        <v>0</v>
      </c>
    </row>
    <row r="558" spans="1:34" x14ac:dyDescent="0.3">
      <c r="A558" t="s">
        <v>4980</v>
      </c>
      <c r="B558" t="s">
        <v>4982</v>
      </c>
      <c r="C558" t="s">
        <v>4983</v>
      </c>
      <c r="D558">
        <v>1047</v>
      </c>
      <c r="E558">
        <v>702</v>
      </c>
      <c r="F558">
        <v>1E-4</v>
      </c>
      <c r="G558">
        <v>-1</v>
      </c>
      <c r="H558" t="s">
        <v>6869</v>
      </c>
      <c r="I558">
        <f>VLOOKUP(Table9[[#This Row],[Shortname]], Comp[], 6, FALSE)</f>
        <v>764</v>
      </c>
      <c r="J558" s="14">
        <f>VLOOKUP(Table9[[#This Row],[Shortname]], Comp[], 7, FALSE)</f>
        <v>32.38000000000001</v>
      </c>
      <c r="K558">
        <f>VLOOKUP(Table9[[#This Row],[Shortname]], Comp[], 8, FALSE)</f>
        <v>37.6</v>
      </c>
      <c r="L558">
        <f>VLOOKUP(Table9[[#This Row],[Shortname]], Comp[], 9, FALSE)</f>
        <v>8.9</v>
      </c>
      <c r="M558">
        <f>VLOOKUP(Table9[[#This Row],[Shortname]], Comp[], 10, FALSE)</f>
        <v>15.8</v>
      </c>
      <c r="N558">
        <f>VLOOKUP(Table9[[#This Row],[Shortname]], Comp[], 11, FALSE)</f>
        <v>2.8</v>
      </c>
      <c r="O558">
        <f>VLOOKUP(Table9[[#This Row],[Shortname]], Comp[],12, FALSE)</f>
        <v>1.8</v>
      </c>
      <c r="P558">
        <f>VLOOKUP(Table9[[#This Row],[Shortname]], Comp[], 13, FALSE)</f>
        <v>0.5</v>
      </c>
      <c r="Q558">
        <f>VLOOKUP(Table9[[#This Row],[Shortname]], Comp[], 14, FALSE)</f>
        <v>0</v>
      </c>
      <c r="R558">
        <f>VLOOKUP(Table9[[#This Row],[Shortname]], Comp[], 15, FALSE)</f>
        <v>0</v>
      </c>
      <c r="S558">
        <f>VLOOKUP(Table9[[#This Row],[Shortname]], Comp[], 16, FALSE)</f>
        <v>0</v>
      </c>
      <c r="T558">
        <f>VLOOKUP(Table9[[#This Row],[Shortname]], Comp[], 17, FALSE)</f>
        <v>0.14000000000000001</v>
      </c>
      <c r="U558">
        <f>VLOOKUP(Table9[[#This Row],[Shortname]], Comp[], 18, FALSE)</f>
        <v>0.03</v>
      </c>
      <c r="V558">
        <f>VLOOKUP(Table9[[#This Row],[Shortname]], Comp[], 19, FALSE)</f>
        <v>0.05</v>
      </c>
      <c r="W558">
        <f>VLOOKUP(Table9[[#This Row],[Shortname]], Comp[], 20, FALSE)</f>
        <v>0</v>
      </c>
      <c r="X558">
        <f>VLOOKUP(Table9[[#This Row],[Shortname]], Comp[], 21, FALSE)</f>
        <v>0</v>
      </c>
      <c r="Y558">
        <f>VLOOKUP(Table9[[#This Row],[Shortname]], Comp[], 22, FALSE)</f>
        <v>0</v>
      </c>
      <c r="Z558">
        <f>VLOOKUP(Table9[[#This Row],[Shortname]], Comp[], 23, FALSE)</f>
        <v>0</v>
      </c>
      <c r="AA558">
        <f>VLOOKUP(Table9[[#This Row],[Shortname]], Comp[], 24, FALSE)</f>
        <v>0</v>
      </c>
      <c r="AB558">
        <f>VLOOKUP(Table9[[#This Row],[Shortname]], Comp[], 25, FALSE)</f>
        <v>0</v>
      </c>
      <c r="AC558">
        <f>VLOOKUP(Table9[[#This Row],[Shortname]], Comp[], 26, FALSE)</f>
        <v>0</v>
      </c>
      <c r="AD558">
        <f>VLOOKUP(Table9[[#This Row],[Shortname]], Comp[], 27, FALSE)</f>
        <v>0</v>
      </c>
      <c r="AE558">
        <f>VLOOKUP(Table9[[#This Row],[Shortname]], Comp[], 28, FALSE)</f>
        <v>0</v>
      </c>
      <c r="AF558">
        <f>VLOOKUP(Table9[[#This Row],[Shortname]], Comp[], 29, FALSE)</f>
        <v>0</v>
      </c>
      <c r="AG558">
        <f>VLOOKUP(Table9[[#This Row],[Shortname]], Comp[], 30, FALSE)</f>
        <v>0</v>
      </c>
      <c r="AH558">
        <f>VLOOKUP(Table9[[#This Row],[Shortname]], Comp[], 31, FALSE)</f>
        <v>0</v>
      </c>
    </row>
    <row r="559" spans="1:34" x14ac:dyDescent="0.3">
      <c r="A559" t="s">
        <v>4980</v>
      </c>
      <c r="B559" t="s">
        <v>4982</v>
      </c>
      <c r="C559" t="s">
        <v>4983</v>
      </c>
      <c r="D559">
        <v>886</v>
      </c>
      <c r="E559">
        <v>758</v>
      </c>
      <c r="F559">
        <v>1E-4</v>
      </c>
      <c r="G559">
        <v>-1</v>
      </c>
      <c r="H559" t="s">
        <v>6869</v>
      </c>
      <c r="I559">
        <f>VLOOKUP(Table9[[#This Row],[Shortname]], Comp[], 6, FALSE)</f>
        <v>764</v>
      </c>
      <c r="J559" s="14">
        <f>VLOOKUP(Table9[[#This Row],[Shortname]], Comp[], 7, FALSE)</f>
        <v>32.38000000000001</v>
      </c>
      <c r="K559">
        <f>VLOOKUP(Table9[[#This Row],[Shortname]], Comp[], 8, FALSE)</f>
        <v>37.6</v>
      </c>
      <c r="L559">
        <f>VLOOKUP(Table9[[#This Row],[Shortname]], Comp[], 9, FALSE)</f>
        <v>8.9</v>
      </c>
      <c r="M559">
        <f>VLOOKUP(Table9[[#This Row],[Shortname]], Comp[], 10, FALSE)</f>
        <v>15.8</v>
      </c>
      <c r="N559">
        <f>VLOOKUP(Table9[[#This Row],[Shortname]], Comp[], 11, FALSE)</f>
        <v>2.8</v>
      </c>
      <c r="O559">
        <f>VLOOKUP(Table9[[#This Row],[Shortname]], Comp[],12, FALSE)</f>
        <v>1.8</v>
      </c>
      <c r="P559">
        <f>VLOOKUP(Table9[[#This Row],[Shortname]], Comp[], 13, FALSE)</f>
        <v>0.5</v>
      </c>
      <c r="Q559">
        <f>VLOOKUP(Table9[[#This Row],[Shortname]], Comp[], 14, FALSE)</f>
        <v>0</v>
      </c>
      <c r="R559">
        <f>VLOOKUP(Table9[[#This Row],[Shortname]], Comp[], 15, FALSE)</f>
        <v>0</v>
      </c>
      <c r="S559">
        <f>VLOOKUP(Table9[[#This Row],[Shortname]], Comp[], 16, FALSE)</f>
        <v>0</v>
      </c>
      <c r="T559">
        <f>VLOOKUP(Table9[[#This Row],[Shortname]], Comp[], 17, FALSE)</f>
        <v>0.14000000000000001</v>
      </c>
      <c r="U559">
        <f>VLOOKUP(Table9[[#This Row],[Shortname]], Comp[], 18, FALSE)</f>
        <v>0.03</v>
      </c>
      <c r="V559">
        <f>VLOOKUP(Table9[[#This Row],[Shortname]], Comp[], 19, FALSE)</f>
        <v>0.05</v>
      </c>
      <c r="W559">
        <f>VLOOKUP(Table9[[#This Row],[Shortname]], Comp[], 20, FALSE)</f>
        <v>0</v>
      </c>
      <c r="X559">
        <f>VLOOKUP(Table9[[#This Row],[Shortname]], Comp[], 21, FALSE)</f>
        <v>0</v>
      </c>
      <c r="Y559">
        <f>VLOOKUP(Table9[[#This Row],[Shortname]], Comp[], 22, FALSE)</f>
        <v>0</v>
      </c>
      <c r="Z559">
        <f>VLOOKUP(Table9[[#This Row],[Shortname]], Comp[], 23, FALSE)</f>
        <v>0</v>
      </c>
      <c r="AA559">
        <f>VLOOKUP(Table9[[#This Row],[Shortname]], Comp[], 24, FALSE)</f>
        <v>0</v>
      </c>
      <c r="AB559">
        <f>VLOOKUP(Table9[[#This Row],[Shortname]], Comp[], 25, FALSE)</f>
        <v>0</v>
      </c>
      <c r="AC559">
        <f>VLOOKUP(Table9[[#This Row],[Shortname]], Comp[], 26, FALSE)</f>
        <v>0</v>
      </c>
      <c r="AD559">
        <f>VLOOKUP(Table9[[#This Row],[Shortname]], Comp[], 27, FALSE)</f>
        <v>0</v>
      </c>
      <c r="AE559">
        <f>VLOOKUP(Table9[[#This Row],[Shortname]], Comp[], 28, FALSE)</f>
        <v>0</v>
      </c>
      <c r="AF559">
        <f>VLOOKUP(Table9[[#This Row],[Shortname]], Comp[], 29, FALSE)</f>
        <v>0</v>
      </c>
      <c r="AG559">
        <f>VLOOKUP(Table9[[#This Row],[Shortname]], Comp[], 30, FALSE)</f>
        <v>0</v>
      </c>
      <c r="AH559">
        <f>VLOOKUP(Table9[[#This Row],[Shortname]], Comp[], 31, FALSE)</f>
        <v>0</v>
      </c>
    </row>
    <row r="560" spans="1:34" x14ac:dyDescent="0.3">
      <c r="A560" t="s">
        <v>4980</v>
      </c>
      <c r="B560" t="s">
        <v>4982</v>
      </c>
      <c r="C560" t="s">
        <v>4983</v>
      </c>
      <c r="D560">
        <v>740</v>
      </c>
      <c r="E560">
        <v>816</v>
      </c>
      <c r="F560">
        <v>1E-4</v>
      </c>
      <c r="G560">
        <v>-1</v>
      </c>
      <c r="H560" t="s">
        <v>6869</v>
      </c>
      <c r="I560">
        <f>VLOOKUP(Table9[[#This Row],[Shortname]], Comp[], 6, FALSE)</f>
        <v>764</v>
      </c>
      <c r="J560" s="14">
        <f>VLOOKUP(Table9[[#This Row],[Shortname]], Comp[], 7, FALSE)</f>
        <v>32.38000000000001</v>
      </c>
      <c r="K560">
        <f>VLOOKUP(Table9[[#This Row],[Shortname]], Comp[], 8, FALSE)</f>
        <v>37.6</v>
      </c>
      <c r="L560">
        <f>VLOOKUP(Table9[[#This Row],[Shortname]], Comp[], 9, FALSE)</f>
        <v>8.9</v>
      </c>
      <c r="M560">
        <f>VLOOKUP(Table9[[#This Row],[Shortname]], Comp[], 10, FALSE)</f>
        <v>15.8</v>
      </c>
      <c r="N560">
        <f>VLOOKUP(Table9[[#This Row],[Shortname]], Comp[], 11, FALSE)</f>
        <v>2.8</v>
      </c>
      <c r="O560">
        <f>VLOOKUP(Table9[[#This Row],[Shortname]], Comp[],12, FALSE)</f>
        <v>1.8</v>
      </c>
      <c r="P560">
        <f>VLOOKUP(Table9[[#This Row],[Shortname]], Comp[], 13, FALSE)</f>
        <v>0.5</v>
      </c>
      <c r="Q560">
        <f>VLOOKUP(Table9[[#This Row],[Shortname]], Comp[], 14, FALSE)</f>
        <v>0</v>
      </c>
      <c r="R560">
        <f>VLOOKUP(Table9[[#This Row],[Shortname]], Comp[], 15, FALSE)</f>
        <v>0</v>
      </c>
      <c r="S560">
        <f>VLOOKUP(Table9[[#This Row],[Shortname]], Comp[], 16, FALSE)</f>
        <v>0</v>
      </c>
      <c r="T560">
        <f>VLOOKUP(Table9[[#This Row],[Shortname]], Comp[], 17, FALSE)</f>
        <v>0.14000000000000001</v>
      </c>
      <c r="U560">
        <f>VLOOKUP(Table9[[#This Row],[Shortname]], Comp[], 18, FALSE)</f>
        <v>0.03</v>
      </c>
      <c r="V560">
        <f>VLOOKUP(Table9[[#This Row],[Shortname]], Comp[], 19, FALSE)</f>
        <v>0.05</v>
      </c>
      <c r="W560">
        <f>VLOOKUP(Table9[[#This Row],[Shortname]], Comp[], 20, FALSE)</f>
        <v>0</v>
      </c>
      <c r="X560">
        <f>VLOOKUP(Table9[[#This Row],[Shortname]], Comp[], 21, FALSE)</f>
        <v>0</v>
      </c>
      <c r="Y560">
        <f>VLOOKUP(Table9[[#This Row],[Shortname]], Comp[], 22, FALSE)</f>
        <v>0</v>
      </c>
      <c r="Z560">
        <f>VLOOKUP(Table9[[#This Row],[Shortname]], Comp[], 23, FALSE)</f>
        <v>0</v>
      </c>
      <c r="AA560">
        <f>VLOOKUP(Table9[[#This Row],[Shortname]], Comp[], 24, FALSE)</f>
        <v>0</v>
      </c>
      <c r="AB560">
        <f>VLOOKUP(Table9[[#This Row],[Shortname]], Comp[], 25, FALSE)</f>
        <v>0</v>
      </c>
      <c r="AC560">
        <f>VLOOKUP(Table9[[#This Row],[Shortname]], Comp[], 26, FALSE)</f>
        <v>0</v>
      </c>
      <c r="AD560">
        <f>VLOOKUP(Table9[[#This Row],[Shortname]], Comp[], 27, FALSE)</f>
        <v>0</v>
      </c>
      <c r="AE560">
        <f>VLOOKUP(Table9[[#This Row],[Shortname]], Comp[], 28, FALSE)</f>
        <v>0</v>
      </c>
      <c r="AF560">
        <f>VLOOKUP(Table9[[#This Row],[Shortname]], Comp[], 29, FALSE)</f>
        <v>0</v>
      </c>
      <c r="AG560">
        <f>VLOOKUP(Table9[[#This Row],[Shortname]], Comp[], 30, FALSE)</f>
        <v>0</v>
      </c>
      <c r="AH560">
        <f>VLOOKUP(Table9[[#This Row],[Shortname]], Comp[], 31, FALSE)</f>
        <v>0</v>
      </c>
    </row>
    <row r="561" spans="1:34" x14ac:dyDescent="0.3">
      <c r="A561" t="s">
        <v>1526</v>
      </c>
      <c r="B561" t="s">
        <v>1528</v>
      </c>
      <c r="C561" t="s">
        <v>1529</v>
      </c>
      <c r="D561">
        <v>971</v>
      </c>
      <c r="E561">
        <v>750</v>
      </c>
      <c r="F561">
        <v>1.1E-4</v>
      </c>
      <c r="G561">
        <v>1</v>
      </c>
      <c r="H561" t="s">
        <v>6803</v>
      </c>
      <c r="I561">
        <f>VLOOKUP(Table9[[#This Row],[Shortname]], Comp[], 6, FALSE)</f>
        <v>195</v>
      </c>
      <c r="J561" s="14">
        <f>VLOOKUP(Table9[[#This Row],[Shortname]], Comp[], 7, FALSE)</f>
        <v>42.330000000000005</v>
      </c>
      <c r="K561">
        <f>VLOOKUP(Table9[[#This Row],[Shortname]], Comp[], 8, FALSE)</f>
        <v>32</v>
      </c>
      <c r="L561">
        <f>VLOOKUP(Table9[[#This Row],[Shortname]], Comp[], 9, FALSE)</f>
        <v>6</v>
      </c>
      <c r="M561">
        <f>VLOOKUP(Table9[[#This Row],[Shortname]], Comp[], 10, FALSE)</f>
        <v>12</v>
      </c>
      <c r="N561">
        <f>VLOOKUP(Table9[[#This Row],[Shortname]], Comp[], 11, FALSE)</f>
        <v>3</v>
      </c>
      <c r="O561">
        <f>VLOOKUP(Table9[[#This Row],[Shortname]], Comp[],12, FALSE)</f>
        <v>2.5</v>
      </c>
      <c r="P561">
        <f>VLOOKUP(Table9[[#This Row],[Shortname]], Comp[], 13, FALSE)</f>
        <v>1.5</v>
      </c>
      <c r="Q561">
        <f>VLOOKUP(Table9[[#This Row],[Shortname]], Comp[], 14, FALSE)</f>
        <v>0</v>
      </c>
      <c r="R561">
        <f>VLOOKUP(Table9[[#This Row],[Shortname]], Comp[], 15, FALSE)</f>
        <v>0</v>
      </c>
      <c r="S561">
        <f>VLOOKUP(Table9[[#This Row],[Shortname]], Comp[], 16, FALSE)</f>
        <v>0</v>
      </c>
      <c r="T561">
        <f>VLOOKUP(Table9[[#This Row],[Shortname]], Comp[], 17, FALSE)</f>
        <v>0.08</v>
      </c>
      <c r="U561">
        <f>VLOOKUP(Table9[[#This Row],[Shortname]], Comp[], 18, FALSE)</f>
        <v>0.01</v>
      </c>
      <c r="V561">
        <f>VLOOKUP(Table9[[#This Row],[Shortname]], Comp[], 19, FALSE)</f>
        <v>0.08</v>
      </c>
      <c r="W561">
        <f>VLOOKUP(Table9[[#This Row],[Shortname]], Comp[], 20, FALSE)</f>
        <v>0</v>
      </c>
      <c r="X561">
        <f>VLOOKUP(Table9[[#This Row],[Shortname]], Comp[], 21, FALSE)</f>
        <v>0</v>
      </c>
      <c r="Y561">
        <f>VLOOKUP(Table9[[#This Row],[Shortname]], Comp[], 22, FALSE)</f>
        <v>0.4</v>
      </c>
      <c r="Z561">
        <f>VLOOKUP(Table9[[#This Row],[Shortname]], Comp[], 23, FALSE)</f>
        <v>0</v>
      </c>
      <c r="AA561">
        <f>VLOOKUP(Table9[[#This Row],[Shortname]], Comp[], 24, FALSE)</f>
        <v>0</v>
      </c>
      <c r="AB561">
        <f>VLOOKUP(Table9[[#This Row],[Shortname]], Comp[], 25, FALSE)</f>
        <v>0.1</v>
      </c>
      <c r="AC561">
        <f>VLOOKUP(Table9[[#This Row],[Shortname]], Comp[], 26, FALSE)</f>
        <v>0</v>
      </c>
      <c r="AD561">
        <f>VLOOKUP(Table9[[#This Row],[Shortname]], Comp[], 27, FALSE)</f>
        <v>0</v>
      </c>
      <c r="AE561">
        <f>VLOOKUP(Table9[[#This Row],[Shortname]], Comp[], 28, FALSE)</f>
        <v>0</v>
      </c>
      <c r="AF561">
        <f>VLOOKUP(Table9[[#This Row],[Shortname]], Comp[], 29, FALSE)</f>
        <v>0</v>
      </c>
      <c r="AG561">
        <f>VLOOKUP(Table9[[#This Row],[Shortname]], Comp[], 30, FALSE)</f>
        <v>0</v>
      </c>
      <c r="AH561">
        <f>VLOOKUP(Table9[[#This Row],[Shortname]], Comp[], 31, FALSE)</f>
        <v>0</v>
      </c>
    </row>
    <row r="562" spans="1:34" x14ac:dyDescent="0.3">
      <c r="A562" t="s">
        <v>1526</v>
      </c>
      <c r="B562" t="s">
        <v>1528</v>
      </c>
      <c r="C562" t="s">
        <v>1529</v>
      </c>
      <c r="D562">
        <v>937</v>
      </c>
      <c r="E562">
        <v>600</v>
      </c>
      <c r="F562">
        <v>1.1E-4</v>
      </c>
      <c r="G562">
        <v>1</v>
      </c>
      <c r="H562" t="s">
        <v>6803</v>
      </c>
      <c r="I562">
        <f>VLOOKUP(Table9[[#This Row],[Shortname]], Comp[], 6, FALSE)</f>
        <v>195</v>
      </c>
      <c r="J562" s="14">
        <f>VLOOKUP(Table9[[#This Row],[Shortname]], Comp[], 7, FALSE)</f>
        <v>42.330000000000005</v>
      </c>
      <c r="K562">
        <f>VLOOKUP(Table9[[#This Row],[Shortname]], Comp[], 8, FALSE)</f>
        <v>32</v>
      </c>
      <c r="L562">
        <f>VLOOKUP(Table9[[#This Row],[Shortname]], Comp[], 9, FALSE)</f>
        <v>6</v>
      </c>
      <c r="M562">
        <f>VLOOKUP(Table9[[#This Row],[Shortname]], Comp[], 10, FALSE)</f>
        <v>12</v>
      </c>
      <c r="N562">
        <f>VLOOKUP(Table9[[#This Row],[Shortname]], Comp[], 11, FALSE)</f>
        <v>3</v>
      </c>
      <c r="O562">
        <f>VLOOKUP(Table9[[#This Row],[Shortname]], Comp[],12, FALSE)</f>
        <v>2.5</v>
      </c>
      <c r="P562">
        <f>VLOOKUP(Table9[[#This Row],[Shortname]], Comp[], 13, FALSE)</f>
        <v>1.5</v>
      </c>
      <c r="Q562">
        <f>VLOOKUP(Table9[[#This Row],[Shortname]], Comp[], 14, FALSE)</f>
        <v>0</v>
      </c>
      <c r="R562">
        <f>VLOOKUP(Table9[[#This Row],[Shortname]], Comp[], 15, FALSE)</f>
        <v>0</v>
      </c>
      <c r="S562">
        <f>VLOOKUP(Table9[[#This Row],[Shortname]], Comp[], 16, FALSE)</f>
        <v>0</v>
      </c>
      <c r="T562">
        <f>VLOOKUP(Table9[[#This Row],[Shortname]], Comp[], 17, FALSE)</f>
        <v>0.08</v>
      </c>
      <c r="U562">
        <f>VLOOKUP(Table9[[#This Row],[Shortname]], Comp[], 18, FALSE)</f>
        <v>0.01</v>
      </c>
      <c r="V562">
        <f>VLOOKUP(Table9[[#This Row],[Shortname]], Comp[], 19, FALSE)</f>
        <v>0.08</v>
      </c>
      <c r="W562">
        <f>VLOOKUP(Table9[[#This Row],[Shortname]], Comp[], 20, FALSE)</f>
        <v>0</v>
      </c>
      <c r="X562">
        <f>VLOOKUP(Table9[[#This Row],[Shortname]], Comp[], 21, FALSE)</f>
        <v>0</v>
      </c>
      <c r="Y562">
        <f>VLOOKUP(Table9[[#This Row],[Shortname]], Comp[], 22, FALSE)</f>
        <v>0.4</v>
      </c>
      <c r="Z562">
        <f>VLOOKUP(Table9[[#This Row],[Shortname]], Comp[], 23, FALSE)</f>
        <v>0</v>
      </c>
      <c r="AA562">
        <f>VLOOKUP(Table9[[#This Row],[Shortname]], Comp[], 24, FALSE)</f>
        <v>0</v>
      </c>
      <c r="AB562">
        <f>VLOOKUP(Table9[[#This Row],[Shortname]], Comp[], 25, FALSE)</f>
        <v>0.1</v>
      </c>
      <c r="AC562">
        <f>VLOOKUP(Table9[[#This Row],[Shortname]], Comp[], 26, FALSE)</f>
        <v>0</v>
      </c>
      <c r="AD562">
        <f>VLOOKUP(Table9[[#This Row],[Shortname]], Comp[], 27, FALSE)</f>
        <v>0</v>
      </c>
      <c r="AE562">
        <f>VLOOKUP(Table9[[#This Row],[Shortname]], Comp[], 28, FALSE)</f>
        <v>0</v>
      </c>
      <c r="AF562">
        <f>VLOOKUP(Table9[[#This Row],[Shortname]], Comp[], 29, FALSE)</f>
        <v>0</v>
      </c>
      <c r="AG562">
        <f>VLOOKUP(Table9[[#This Row],[Shortname]], Comp[], 30, FALSE)</f>
        <v>0</v>
      </c>
      <c r="AH562">
        <f>VLOOKUP(Table9[[#This Row],[Shortname]], Comp[], 31, FALSE)</f>
        <v>0</v>
      </c>
    </row>
    <row r="563" spans="1:34" x14ac:dyDescent="0.3">
      <c r="A563" t="s">
        <v>1526</v>
      </c>
      <c r="B563" t="s">
        <v>1528</v>
      </c>
      <c r="C563" t="s">
        <v>1529</v>
      </c>
      <c r="D563">
        <v>866</v>
      </c>
      <c r="E563">
        <v>800</v>
      </c>
      <c r="F563">
        <v>1.1E-4</v>
      </c>
      <c r="G563">
        <v>1</v>
      </c>
      <c r="H563" t="s">
        <v>6803</v>
      </c>
      <c r="I563">
        <f>VLOOKUP(Table9[[#This Row],[Shortname]], Comp[], 6, FALSE)</f>
        <v>195</v>
      </c>
      <c r="J563" s="14">
        <f>VLOOKUP(Table9[[#This Row],[Shortname]], Comp[], 7, FALSE)</f>
        <v>42.330000000000005</v>
      </c>
      <c r="K563">
        <f>VLOOKUP(Table9[[#This Row],[Shortname]], Comp[], 8, FALSE)</f>
        <v>32</v>
      </c>
      <c r="L563">
        <f>VLOOKUP(Table9[[#This Row],[Shortname]], Comp[], 9, FALSE)</f>
        <v>6</v>
      </c>
      <c r="M563">
        <f>VLOOKUP(Table9[[#This Row],[Shortname]], Comp[], 10, FALSE)</f>
        <v>12</v>
      </c>
      <c r="N563">
        <f>VLOOKUP(Table9[[#This Row],[Shortname]], Comp[], 11, FALSE)</f>
        <v>3</v>
      </c>
      <c r="O563">
        <f>VLOOKUP(Table9[[#This Row],[Shortname]], Comp[],12, FALSE)</f>
        <v>2.5</v>
      </c>
      <c r="P563">
        <f>VLOOKUP(Table9[[#This Row],[Shortname]], Comp[], 13, FALSE)</f>
        <v>1.5</v>
      </c>
      <c r="Q563">
        <f>VLOOKUP(Table9[[#This Row],[Shortname]], Comp[], 14, FALSE)</f>
        <v>0</v>
      </c>
      <c r="R563">
        <f>VLOOKUP(Table9[[#This Row],[Shortname]], Comp[], 15, FALSE)</f>
        <v>0</v>
      </c>
      <c r="S563">
        <f>VLOOKUP(Table9[[#This Row],[Shortname]], Comp[], 16, FALSE)</f>
        <v>0</v>
      </c>
      <c r="T563">
        <f>VLOOKUP(Table9[[#This Row],[Shortname]], Comp[], 17, FALSE)</f>
        <v>0.08</v>
      </c>
      <c r="U563">
        <f>VLOOKUP(Table9[[#This Row],[Shortname]], Comp[], 18, FALSE)</f>
        <v>0.01</v>
      </c>
      <c r="V563">
        <f>VLOOKUP(Table9[[#This Row],[Shortname]], Comp[], 19, FALSE)</f>
        <v>0.08</v>
      </c>
      <c r="W563">
        <f>VLOOKUP(Table9[[#This Row],[Shortname]], Comp[], 20, FALSE)</f>
        <v>0</v>
      </c>
      <c r="X563">
        <f>VLOOKUP(Table9[[#This Row],[Shortname]], Comp[], 21, FALSE)</f>
        <v>0</v>
      </c>
      <c r="Y563">
        <f>VLOOKUP(Table9[[#This Row],[Shortname]], Comp[], 22, FALSE)</f>
        <v>0.4</v>
      </c>
      <c r="Z563">
        <f>VLOOKUP(Table9[[#This Row],[Shortname]], Comp[], 23, FALSE)</f>
        <v>0</v>
      </c>
      <c r="AA563">
        <f>VLOOKUP(Table9[[#This Row],[Shortname]], Comp[], 24, FALSE)</f>
        <v>0</v>
      </c>
      <c r="AB563">
        <f>VLOOKUP(Table9[[#This Row],[Shortname]], Comp[], 25, FALSE)</f>
        <v>0.1</v>
      </c>
      <c r="AC563">
        <f>VLOOKUP(Table9[[#This Row],[Shortname]], Comp[], 26, FALSE)</f>
        <v>0</v>
      </c>
      <c r="AD563">
        <f>VLOOKUP(Table9[[#This Row],[Shortname]], Comp[], 27, FALSE)</f>
        <v>0</v>
      </c>
      <c r="AE563">
        <f>VLOOKUP(Table9[[#This Row],[Shortname]], Comp[], 28, FALSE)</f>
        <v>0</v>
      </c>
      <c r="AF563">
        <f>VLOOKUP(Table9[[#This Row],[Shortname]], Comp[], 29, FALSE)</f>
        <v>0</v>
      </c>
      <c r="AG563">
        <f>VLOOKUP(Table9[[#This Row],[Shortname]], Comp[], 30, FALSE)</f>
        <v>0</v>
      </c>
      <c r="AH563">
        <f>VLOOKUP(Table9[[#This Row],[Shortname]], Comp[], 31, FALSE)</f>
        <v>0</v>
      </c>
    </row>
    <row r="564" spans="1:34" x14ac:dyDescent="0.3">
      <c r="A564" t="s">
        <v>1526</v>
      </c>
      <c r="B564" t="s">
        <v>1528</v>
      </c>
      <c r="C564" t="s">
        <v>1529</v>
      </c>
      <c r="D564">
        <v>712</v>
      </c>
      <c r="E564">
        <v>850</v>
      </c>
      <c r="F564">
        <v>1.1E-4</v>
      </c>
      <c r="G564">
        <v>1</v>
      </c>
      <c r="H564" t="s">
        <v>6803</v>
      </c>
      <c r="I564">
        <f>VLOOKUP(Table9[[#This Row],[Shortname]], Comp[], 6, FALSE)</f>
        <v>195</v>
      </c>
      <c r="J564" s="14">
        <f>VLOOKUP(Table9[[#This Row],[Shortname]], Comp[], 7, FALSE)</f>
        <v>42.330000000000005</v>
      </c>
      <c r="K564">
        <f>VLOOKUP(Table9[[#This Row],[Shortname]], Comp[], 8, FALSE)</f>
        <v>32</v>
      </c>
      <c r="L564">
        <f>VLOOKUP(Table9[[#This Row],[Shortname]], Comp[], 9, FALSE)</f>
        <v>6</v>
      </c>
      <c r="M564">
        <f>VLOOKUP(Table9[[#This Row],[Shortname]], Comp[], 10, FALSE)</f>
        <v>12</v>
      </c>
      <c r="N564">
        <f>VLOOKUP(Table9[[#This Row],[Shortname]], Comp[], 11, FALSE)</f>
        <v>3</v>
      </c>
      <c r="O564">
        <f>VLOOKUP(Table9[[#This Row],[Shortname]], Comp[],12, FALSE)</f>
        <v>2.5</v>
      </c>
      <c r="P564">
        <f>VLOOKUP(Table9[[#This Row],[Shortname]], Comp[], 13, FALSE)</f>
        <v>1.5</v>
      </c>
      <c r="Q564">
        <f>VLOOKUP(Table9[[#This Row],[Shortname]], Comp[], 14, FALSE)</f>
        <v>0</v>
      </c>
      <c r="R564">
        <f>VLOOKUP(Table9[[#This Row],[Shortname]], Comp[], 15, FALSE)</f>
        <v>0</v>
      </c>
      <c r="S564">
        <f>VLOOKUP(Table9[[#This Row],[Shortname]], Comp[], 16, FALSE)</f>
        <v>0</v>
      </c>
      <c r="T564">
        <f>VLOOKUP(Table9[[#This Row],[Shortname]], Comp[], 17, FALSE)</f>
        <v>0.08</v>
      </c>
      <c r="U564">
        <f>VLOOKUP(Table9[[#This Row],[Shortname]], Comp[], 18, FALSE)</f>
        <v>0.01</v>
      </c>
      <c r="V564">
        <f>VLOOKUP(Table9[[#This Row],[Shortname]], Comp[], 19, FALSE)</f>
        <v>0.08</v>
      </c>
      <c r="W564">
        <f>VLOOKUP(Table9[[#This Row],[Shortname]], Comp[], 20, FALSE)</f>
        <v>0</v>
      </c>
      <c r="X564">
        <f>VLOOKUP(Table9[[#This Row],[Shortname]], Comp[], 21, FALSE)</f>
        <v>0</v>
      </c>
      <c r="Y564">
        <f>VLOOKUP(Table9[[#This Row],[Shortname]], Comp[], 22, FALSE)</f>
        <v>0.4</v>
      </c>
      <c r="Z564">
        <f>VLOOKUP(Table9[[#This Row],[Shortname]], Comp[], 23, FALSE)</f>
        <v>0</v>
      </c>
      <c r="AA564">
        <f>VLOOKUP(Table9[[#This Row],[Shortname]], Comp[], 24, FALSE)</f>
        <v>0</v>
      </c>
      <c r="AB564">
        <f>VLOOKUP(Table9[[#This Row],[Shortname]], Comp[], 25, FALSE)</f>
        <v>0.1</v>
      </c>
      <c r="AC564">
        <f>VLOOKUP(Table9[[#This Row],[Shortname]], Comp[], 26, FALSE)</f>
        <v>0</v>
      </c>
      <c r="AD564">
        <f>VLOOKUP(Table9[[#This Row],[Shortname]], Comp[], 27, FALSE)</f>
        <v>0</v>
      </c>
      <c r="AE564">
        <f>VLOOKUP(Table9[[#This Row],[Shortname]], Comp[], 28, FALSE)</f>
        <v>0</v>
      </c>
      <c r="AF564">
        <f>VLOOKUP(Table9[[#This Row],[Shortname]], Comp[], 29, FALSE)</f>
        <v>0</v>
      </c>
      <c r="AG564">
        <f>VLOOKUP(Table9[[#This Row],[Shortname]], Comp[], 30, FALSE)</f>
        <v>0</v>
      </c>
      <c r="AH564">
        <f>VLOOKUP(Table9[[#This Row],[Shortname]], Comp[], 31, FALSE)</f>
        <v>0</v>
      </c>
    </row>
    <row r="565" spans="1:34" x14ac:dyDescent="0.3">
      <c r="A565" t="s">
        <v>1538</v>
      </c>
      <c r="B565" t="s">
        <v>1540</v>
      </c>
      <c r="C565" t="s">
        <v>6786</v>
      </c>
      <c r="D565">
        <v>853</v>
      </c>
      <c r="E565">
        <v>25</v>
      </c>
      <c r="F565">
        <v>1.1E-4</v>
      </c>
      <c r="G565">
        <v>1</v>
      </c>
      <c r="H565" t="s">
        <v>6870</v>
      </c>
      <c r="I565">
        <f>VLOOKUP(Table9[[#This Row],[Shortname]], Comp[], 6, FALSE)</f>
        <v>196</v>
      </c>
      <c r="J565" s="14">
        <f>VLOOKUP(Table9[[#This Row],[Shortname]], Comp[], 7, FALSE)</f>
        <v>41.03</v>
      </c>
      <c r="K565">
        <f>VLOOKUP(Table9[[#This Row],[Shortname]], Comp[], 8, FALSE)</f>
        <v>31.8</v>
      </c>
      <c r="L565">
        <f>VLOOKUP(Table9[[#This Row],[Shortname]], Comp[], 9, FALSE)</f>
        <v>8.6999999999999993</v>
      </c>
      <c r="M565">
        <f>VLOOKUP(Table9[[#This Row],[Shortname]], Comp[], 10, FALSE)</f>
        <v>12.6</v>
      </c>
      <c r="N565">
        <f>VLOOKUP(Table9[[#This Row],[Shortname]], Comp[], 11, FALSE)</f>
        <v>4.7</v>
      </c>
      <c r="O565">
        <f>VLOOKUP(Table9[[#This Row],[Shortname]], Comp[],12, FALSE)</f>
        <v>0.3</v>
      </c>
      <c r="P565">
        <f>VLOOKUP(Table9[[#This Row],[Shortname]], Comp[], 13, FALSE)</f>
        <v>0.2</v>
      </c>
      <c r="Q565">
        <f>VLOOKUP(Table9[[#This Row],[Shortname]], Comp[], 14, FALSE)</f>
        <v>0</v>
      </c>
      <c r="R565">
        <f>VLOOKUP(Table9[[#This Row],[Shortname]], Comp[], 15, FALSE)</f>
        <v>0</v>
      </c>
      <c r="S565">
        <f>VLOOKUP(Table9[[#This Row],[Shortname]], Comp[], 16, FALSE)</f>
        <v>0</v>
      </c>
      <c r="T565">
        <f>VLOOKUP(Table9[[#This Row],[Shortname]], Comp[], 17, FALSE)</f>
        <v>0.08</v>
      </c>
      <c r="U565">
        <f>VLOOKUP(Table9[[#This Row],[Shortname]], Comp[], 18, FALSE)</f>
        <v>0.01</v>
      </c>
      <c r="V565">
        <f>VLOOKUP(Table9[[#This Row],[Shortname]], Comp[], 19, FALSE)</f>
        <v>0.08</v>
      </c>
      <c r="W565">
        <f>VLOOKUP(Table9[[#This Row],[Shortname]], Comp[], 20, FALSE)</f>
        <v>0</v>
      </c>
      <c r="X565">
        <f>VLOOKUP(Table9[[#This Row],[Shortname]], Comp[], 21, FALSE)</f>
        <v>0</v>
      </c>
      <c r="Y565">
        <f>VLOOKUP(Table9[[#This Row],[Shortname]], Comp[], 22, FALSE)</f>
        <v>0.4</v>
      </c>
      <c r="Z565">
        <f>VLOOKUP(Table9[[#This Row],[Shortname]], Comp[], 23, FALSE)</f>
        <v>0</v>
      </c>
      <c r="AA565">
        <f>VLOOKUP(Table9[[#This Row],[Shortname]], Comp[], 24, FALSE)</f>
        <v>0</v>
      </c>
      <c r="AB565">
        <f>VLOOKUP(Table9[[#This Row],[Shortname]], Comp[], 25, FALSE)</f>
        <v>0.1</v>
      </c>
      <c r="AC565">
        <f>VLOOKUP(Table9[[#This Row],[Shortname]], Comp[], 26, FALSE)</f>
        <v>0</v>
      </c>
      <c r="AD565">
        <f>VLOOKUP(Table9[[#This Row],[Shortname]], Comp[], 27, FALSE)</f>
        <v>0</v>
      </c>
      <c r="AE565">
        <f>VLOOKUP(Table9[[#This Row],[Shortname]], Comp[], 28, FALSE)</f>
        <v>0</v>
      </c>
      <c r="AF565">
        <f>VLOOKUP(Table9[[#This Row],[Shortname]], Comp[], 29, FALSE)</f>
        <v>0</v>
      </c>
      <c r="AG565">
        <f>VLOOKUP(Table9[[#This Row],[Shortname]], Comp[], 30, FALSE)</f>
        <v>0</v>
      </c>
      <c r="AH565">
        <f>VLOOKUP(Table9[[#This Row],[Shortname]], Comp[], 31, FALSE)</f>
        <v>0</v>
      </c>
    </row>
    <row r="566" spans="1:34" x14ac:dyDescent="0.3">
      <c r="A566" t="s">
        <v>1538</v>
      </c>
      <c r="B566" t="s">
        <v>1540</v>
      </c>
      <c r="C566" t="s">
        <v>6786</v>
      </c>
      <c r="D566">
        <v>812</v>
      </c>
      <c r="E566">
        <v>600</v>
      </c>
      <c r="F566">
        <v>1.1E-4</v>
      </c>
      <c r="G566">
        <v>1</v>
      </c>
      <c r="H566" t="s">
        <v>6871</v>
      </c>
      <c r="I566">
        <f>VLOOKUP(Table9[[#This Row],[Shortname]], Comp[], 6, FALSE)</f>
        <v>196</v>
      </c>
      <c r="J566" s="14">
        <f>VLOOKUP(Table9[[#This Row],[Shortname]], Comp[], 7, FALSE)</f>
        <v>41.03</v>
      </c>
      <c r="K566">
        <f>VLOOKUP(Table9[[#This Row],[Shortname]], Comp[], 8, FALSE)</f>
        <v>31.8</v>
      </c>
      <c r="L566">
        <f>VLOOKUP(Table9[[#This Row],[Shortname]], Comp[], 9, FALSE)</f>
        <v>8.6999999999999993</v>
      </c>
      <c r="M566">
        <f>VLOOKUP(Table9[[#This Row],[Shortname]], Comp[], 10, FALSE)</f>
        <v>12.6</v>
      </c>
      <c r="N566">
        <f>VLOOKUP(Table9[[#This Row],[Shortname]], Comp[], 11, FALSE)</f>
        <v>4.7</v>
      </c>
      <c r="O566">
        <f>VLOOKUP(Table9[[#This Row],[Shortname]], Comp[],12, FALSE)</f>
        <v>0.3</v>
      </c>
      <c r="P566">
        <f>VLOOKUP(Table9[[#This Row],[Shortname]], Comp[], 13, FALSE)</f>
        <v>0.2</v>
      </c>
      <c r="Q566">
        <f>VLOOKUP(Table9[[#This Row],[Shortname]], Comp[], 14, FALSE)</f>
        <v>0</v>
      </c>
      <c r="R566">
        <f>VLOOKUP(Table9[[#This Row],[Shortname]], Comp[], 15, FALSE)</f>
        <v>0</v>
      </c>
      <c r="S566">
        <f>VLOOKUP(Table9[[#This Row],[Shortname]], Comp[], 16, FALSE)</f>
        <v>0</v>
      </c>
      <c r="T566">
        <f>VLOOKUP(Table9[[#This Row],[Shortname]], Comp[], 17, FALSE)</f>
        <v>0.08</v>
      </c>
      <c r="U566">
        <f>VLOOKUP(Table9[[#This Row],[Shortname]], Comp[], 18, FALSE)</f>
        <v>0.01</v>
      </c>
      <c r="V566">
        <f>VLOOKUP(Table9[[#This Row],[Shortname]], Comp[], 19, FALSE)</f>
        <v>0.08</v>
      </c>
      <c r="W566">
        <f>VLOOKUP(Table9[[#This Row],[Shortname]], Comp[], 20, FALSE)</f>
        <v>0</v>
      </c>
      <c r="X566">
        <f>VLOOKUP(Table9[[#This Row],[Shortname]], Comp[], 21, FALSE)</f>
        <v>0</v>
      </c>
      <c r="Y566">
        <f>VLOOKUP(Table9[[#This Row],[Shortname]], Comp[], 22, FALSE)</f>
        <v>0.4</v>
      </c>
      <c r="Z566">
        <f>VLOOKUP(Table9[[#This Row],[Shortname]], Comp[], 23, FALSE)</f>
        <v>0</v>
      </c>
      <c r="AA566">
        <f>VLOOKUP(Table9[[#This Row],[Shortname]], Comp[], 24, FALSE)</f>
        <v>0</v>
      </c>
      <c r="AB566">
        <f>VLOOKUP(Table9[[#This Row],[Shortname]], Comp[], 25, FALSE)</f>
        <v>0.1</v>
      </c>
      <c r="AC566">
        <f>VLOOKUP(Table9[[#This Row],[Shortname]], Comp[], 26, FALSE)</f>
        <v>0</v>
      </c>
      <c r="AD566">
        <f>VLOOKUP(Table9[[#This Row],[Shortname]], Comp[], 27, FALSE)</f>
        <v>0</v>
      </c>
      <c r="AE566">
        <f>VLOOKUP(Table9[[#This Row],[Shortname]], Comp[], 28, FALSE)</f>
        <v>0</v>
      </c>
      <c r="AF566">
        <f>VLOOKUP(Table9[[#This Row],[Shortname]], Comp[], 29, FALSE)</f>
        <v>0</v>
      </c>
      <c r="AG566">
        <f>VLOOKUP(Table9[[#This Row],[Shortname]], Comp[], 30, FALSE)</f>
        <v>0</v>
      </c>
      <c r="AH566">
        <f>VLOOKUP(Table9[[#This Row],[Shortname]], Comp[], 31, FALSE)</f>
        <v>0</v>
      </c>
    </row>
    <row r="567" spans="1:34" x14ac:dyDescent="0.3">
      <c r="A567" t="s">
        <v>1538</v>
      </c>
      <c r="B567" t="s">
        <v>1540</v>
      </c>
      <c r="C567" t="s">
        <v>6786</v>
      </c>
      <c r="D567">
        <v>798</v>
      </c>
      <c r="E567">
        <v>750</v>
      </c>
      <c r="F567">
        <v>1.1E-4</v>
      </c>
      <c r="G567">
        <v>1</v>
      </c>
      <c r="H567" t="s">
        <v>6871</v>
      </c>
      <c r="I567">
        <f>VLOOKUP(Table9[[#This Row],[Shortname]], Comp[], 6, FALSE)</f>
        <v>196</v>
      </c>
      <c r="J567" s="14">
        <f>VLOOKUP(Table9[[#This Row],[Shortname]], Comp[], 7, FALSE)</f>
        <v>41.03</v>
      </c>
      <c r="K567">
        <f>VLOOKUP(Table9[[#This Row],[Shortname]], Comp[], 8, FALSE)</f>
        <v>31.8</v>
      </c>
      <c r="L567">
        <f>VLOOKUP(Table9[[#This Row],[Shortname]], Comp[], 9, FALSE)</f>
        <v>8.6999999999999993</v>
      </c>
      <c r="M567">
        <f>VLOOKUP(Table9[[#This Row],[Shortname]], Comp[], 10, FALSE)</f>
        <v>12.6</v>
      </c>
      <c r="N567">
        <f>VLOOKUP(Table9[[#This Row],[Shortname]], Comp[], 11, FALSE)</f>
        <v>4.7</v>
      </c>
      <c r="O567">
        <f>VLOOKUP(Table9[[#This Row],[Shortname]], Comp[],12, FALSE)</f>
        <v>0.3</v>
      </c>
      <c r="P567">
        <f>VLOOKUP(Table9[[#This Row],[Shortname]], Comp[], 13, FALSE)</f>
        <v>0.2</v>
      </c>
      <c r="Q567">
        <f>VLOOKUP(Table9[[#This Row],[Shortname]], Comp[], 14, FALSE)</f>
        <v>0</v>
      </c>
      <c r="R567">
        <f>VLOOKUP(Table9[[#This Row],[Shortname]], Comp[], 15, FALSE)</f>
        <v>0</v>
      </c>
      <c r="S567">
        <f>VLOOKUP(Table9[[#This Row],[Shortname]], Comp[], 16, FALSE)</f>
        <v>0</v>
      </c>
      <c r="T567">
        <f>VLOOKUP(Table9[[#This Row],[Shortname]], Comp[], 17, FALSE)</f>
        <v>0.08</v>
      </c>
      <c r="U567">
        <f>VLOOKUP(Table9[[#This Row],[Shortname]], Comp[], 18, FALSE)</f>
        <v>0.01</v>
      </c>
      <c r="V567">
        <f>VLOOKUP(Table9[[#This Row],[Shortname]], Comp[], 19, FALSE)</f>
        <v>0.08</v>
      </c>
      <c r="W567">
        <f>VLOOKUP(Table9[[#This Row],[Shortname]], Comp[], 20, FALSE)</f>
        <v>0</v>
      </c>
      <c r="X567">
        <f>VLOOKUP(Table9[[#This Row],[Shortname]], Comp[], 21, FALSE)</f>
        <v>0</v>
      </c>
      <c r="Y567">
        <f>VLOOKUP(Table9[[#This Row],[Shortname]], Comp[], 22, FALSE)</f>
        <v>0.4</v>
      </c>
      <c r="Z567">
        <f>VLOOKUP(Table9[[#This Row],[Shortname]], Comp[], 23, FALSE)</f>
        <v>0</v>
      </c>
      <c r="AA567">
        <f>VLOOKUP(Table9[[#This Row],[Shortname]], Comp[], 24, FALSE)</f>
        <v>0</v>
      </c>
      <c r="AB567">
        <f>VLOOKUP(Table9[[#This Row],[Shortname]], Comp[], 25, FALSE)</f>
        <v>0.1</v>
      </c>
      <c r="AC567">
        <f>VLOOKUP(Table9[[#This Row],[Shortname]], Comp[], 26, FALSE)</f>
        <v>0</v>
      </c>
      <c r="AD567">
        <f>VLOOKUP(Table9[[#This Row],[Shortname]], Comp[], 27, FALSE)</f>
        <v>0</v>
      </c>
      <c r="AE567">
        <f>VLOOKUP(Table9[[#This Row],[Shortname]], Comp[], 28, FALSE)</f>
        <v>0</v>
      </c>
      <c r="AF567">
        <f>VLOOKUP(Table9[[#This Row],[Shortname]], Comp[], 29, FALSE)</f>
        <v>0</v>
      </c>
      <c r="AG567">
        <f>VLOOKUP(Table9[[#This Row],[Shortname]], Comp[], 30, FALSE)</f>
        <v>0</v>
      </c>
      <c r="AH567">
        <f>VLOOKUP(Table9[[#This Row],[Shortname]], Comp[], 31, FALSE)</f>
        <v>0</v>
      </c>
    </row>
    <row r="568" spans="1:34" x14ac:dyDescent="0.3">
      <c r="A568" t="s">
        <v>1538</v>
      </c>
      <c r="B568" t="s">
        <v>1540</v>
      </c>
      <c r="C568" t="s">
        <v>6786</v>
      </c>
      <c r="D568">
        <v>747</v>
      </c>
      <c r="E568">
        <v>600</v>
      </c>
      <c r="F568">
        <v>1.1E-4</v>
      </c>
      <c r="G568">
        <v>1</v>
      </c>
      <c r="H568" t="s">
        <v>6870</v>
      </c>
      <c r="I568">
        <f>VLOOKUP(Table9[[#This Row],[Shortname]], Comp[], 6, FALSE)</f>
        <v>196</v>
      </c>
      <c r="J568" s="14">
        <f>VLOOKUP(Table9[[#This Row],[Shortname]], Comp[], 7, FALSE)</f>
        <v>41.03</v>
      </c>
      <c r="K568">
        <f>VLOOKUP(Table9[[#This Row],[Shortname]], Comp[], 8, FALSE)</f>
        <v>31.8</v>
      </c>
      <c r="L568">
        <f>VLOOKUP(Table9[[#This Row],[Shortname]], Comp[], 9, FALSE)</f>
        <v>8.6999999999999993</v>
      </c>
      <c r="M568">
        <f>VLOOKUP(Table9[[#This Row],[Shortname]], Comp[], 10, FALSE)</f>
        <v>12.6</v>
      </c>
      <c r="N568">
        <f>VLOOKUP(Table9[[#This Row],[Shortname]], Comp[], 11, FALSE)</f>
        <v>4.7</v>
      </c>
      <c r="O568">
        <f>VLOOKUP(Table9[[#This Row],[Shortname]], Comp[],12, FALSE)</f>
        <v>0.3</v>
      </c>
      <c r="P568">
        <f>VLOOKUP(Table9[[#This Row],[Shortname]], Comp[], 13, FALSE)</f>
        <v>0.2</v>
      </c>
      <c r="Q568">
        <f>VLOOKUP(Table9[[#This Row],[Shortname]], Comp[], 14, FALSE)</f>
        <v>0</v>
      </c>
      <c r="R568">
        <f>VLOOKUP(Table9[[#This Row],[Shortname]], Comp[], 15, FALSE)</f>
        <v>0</v>
      </c>
      <c r="S568">
        <f>VLOOKUP(Table9[[#This Row],[Shortname]], Comp[], 16, FALSE)</f>
        <v>0</v>
      </c>
      <c r="T568">
        <f>VLOOKUP(Table9[[#This Row],[Shortname]], Comp[], 17, FALSE)</f>
        <v>0.08</v>
      </c>
      <c r="U568">
        <f>VLOOKUP(Table9[[#This Row],[Shortname]], Comp[], 18, FALSE)</f>
        <v>0.01</v>
      </c>
      <c r="V568">
        <f>VLOOKUP(Table9[[#This Row],[Shortname]], Comp[], 19, FALSE)</f>
        <v>0.08</v>
      </c>
      <c r="W568">
        <f>VLOOKUP(Table9[[#This Row],[Shortname]], Comp[], 20, FALSE)</f>
        <v>0</v>
      </c>
      <c r="X568">
        <f>VLOOKUP(Table9[[#This Row],[Shortname]], Comp[], 21, FALSE)</f>
        <v>0</v>
      </c>
      <c r="Y568">
        <f>VLOOKUP(Table9[[#This Row],[Shortname]], Comp[], 22, FALSE)</f>
        <v>0.4</v>
      </c>
      <c r="Z568">
        <f>VLOOKUP(Table9[[#This Row],[Shortname]], Comp[], 23, FALSE)</f>
        <v>0</v>
      </c>
      <c r="AA568">
        <f>VLOOKUP(Table9[[#This Row],[Shortname]], Comp[], 24, FALSE)</f>
        <v>0</v>
      </c>
      <c r="AB568">
        <f>VLOOKUP(Table9[[#This Row],[Shortname]], Comp[], 25, FALSE)</f>
        <v>0.1</v>
      </c>
      <c r="AC568">
        <f>VLOOKUP(Table9[[#This Row],[Shortname]], Comp[], 26, FALSE)</f>
        <v>0</v>
      </c>
      <c r="AD568">
        <f>VLOOKUP(Table9[[#This Row],[Shortname]], Comp[], 27, FALSE)</f>
        <v>0</v>
      </c>
      <c r="AE568">
        <f>VLOOKUP(Table9[[#This Row],[Shortname]], Comp[], 28, FALSE)</f>
        <v>0</v>
      </c>
      <c r="AF568">
        <f>VLOOKUP(Table9[[#This Row],[Shortname]], Comp[], 29, FALSE)</f>
        <v>0</v>
      </c>
      <c r="AG568">
        <f>VLOOKUP(Table9[[#This Row],[Shortname]], Comp[], 30, FALSE)</f>
        <v>0</v>
      </c>
      <c r="AH568">
        <f>VLOOKUP(Table9[[#This Row],[Shortname]], Comp[], 31, FALSE)</f>
        <v>0</v>
      </c>
    </row>
    <row r="569" spans="1:34" x14ac:dyDescent="0.3">
      <c r="A569" t="s">
        <v>1538</v>
      </c>
      <c r="B569" t="s">
        <v>1540</v>
      </c>
      <c r="C569" t="s">
        <v>6786</v>
      </c>
      <c r="D569">
        <v>725</v>
      </c>
      <c r="E569">
        <v>750</v>
      </c>
      <c r="F569">
        <v>1.1E-4</v>
      </c>
      <c r="G569">
        <v>1</v>
      </c>
      <c r="H569" t="s">
        <v>6870</v>
      </c>
      <c r="I569">
        <f>VLOOKUP(Table9[[#This Row],[Shortname]], Comp[], 6, FALSE)</f>
        <v>196</v>
      </c>
      <c r="J569" s="14">
        <f>VLOOKUP(Table9[[#This Row],[Shortname]], Comp[], 7, FALSE)</f>
        <v>41.03</v>
      </c>
      <c r="K569">
        <f>VLOOKUP(Table9[[#This Row],[Shortname]], Comp[], 8, FALSE)</f>
        <v>31.8</v>
      </c>
      <c r="L569">
        <f>VLOOKUP(Table9[[#This Row],[Shortname]], Comp[], 9, FALSE)</f>
        <v>8.6999999999999993</v>
      </c>
      <c r="M569">
        <f>VLOOKUP(Table9[[#This Row],[Shortname]], Comp[], 10, FALSE)</f>
        <v>12.6</v>
      </c>
      <c r="N569">
        <f>VLOOKUP(Table9[[#This Row],[Shortname]], Comp[], 11, FALSE)</f>
        <v>4.7</v>
      </c>
      <c r="O569">
        <f>VLOOKUP(Table9[[#This Row],[Shortname]], Comp[],12, FALSE)</f>
        <v>0.3</v>
      </c>
      <c r="P569">
        <f>VLOOKUP(Table9[[#This Row],[Shortname]], Comp[], 13, FALSE)</f>
        <v>0.2</v>
      </c>
      <c r="Q569">
        <f>VLOOKUP(Table9[[#This Row],[Shortname]], Comp[], 14, FALSE)</f>
        <v>0</v>
      </c>
      <c r="R569">
        <f>VLOOKUP(Table9[[#This Row],[Shortname]], Comp[], 15, FALSE)</f>
        <v>0</v>
      </c>
      <c r="S569">
        <f>VLOOKUP(Table9[[#This Row],[Shortname]], Comp[], 16, FALSE)</f>
        <v>0</v>
      </c>
      <c r="T569">
        <f>VLOOKUP(Table9[[#This Row],[Shortname]], Comp[], 17, FALSE)</f>
        <v>0.08</v>
      </c>
      <c r="U569">
        <f>VLOOKUP(Table9[[#This Row],[Shortname]], Comp[], 18, FALSE)</f>
        <v>0.01</v>
      </c>
      <c r="V569">
        <f>VLOOKUP(Table9[[#This Row],[Shortname]], Comp[], 19, FALSE)</f>
        <v>0.08</v>
      </c>
      <c r="W569">
        <f>VLOOKUP(Table9[[#This Row],[Shortname]], Comp[], 20, FALSE)</f>
        <v>0</v>
      </c>
      <c r="X569">
        <f>VLOOKUP(Table9[[#This Row],[Shortname]], Comp[], 21, FALSE)</f>
        <v>0</v>
      </c>
      <c r="Y569">
        <f>VLOOKUP(Table9[[#This Row],[Shortname]], Comp[], 22, FALSE)</f>
        <v>0.4</v>
      </c>
      <c r="Z569">
        <f>VLOOKUP(Table9[[#This Row],[Shortname]], Comp[], 23, FALSE)</f>
        <v>0</v>
      </c>
      <c r="AA569">
        <f>VLOOKUP(Table9[[#This Row],[Shortname]], Comp[], 24, FALSE)</f>
        <v>0</v>
      </c>
      <c r="AB569">
        <f>VLOOKUP(Table9[[#This Row],[Shortname]], Comp[], 25, FALSE)</f>
        <v>0.1</v>
      </c>
      <c r="AC569">
        <f>VLOOKUP(Table9[[#This Row],[Shortname]], Comp[], 26, FALSE)</f>
        <v>0</v>
      </c>
      <c r="AD569">
        <f>VLOOKUP(Table9[[#This Row],[Shortname]], Comp[], 27, FALSE)</f>
        <v>0</v>
      </c>
      <c r="AE569">
        <f>VLOOKUP(Table9[[#This Row],[Shortname]], Comp[], 28, FALSE)</f>
        <v>0</v>
      </c>
      <c r="AF569">
        <f>VLOOKUP(Table9[[#This Row],[Shortname]], Comp[], 29, FALSE)</f>
        <v>0</v>
      </c>
      <c r="AG569">
        <f>VLOOKUP(Table9[[#This Row],[Shortname]], Comp[], 30, FALSE)</f>
        <v>0</v>
      </c>
      <c r="AH569">
        <f>VLOOKUP(Table9[[#This Row],[Shortname]], Comp[], 31, FALSE)</f>
        <v>0</v>
      </c>
    </row>
    <row r="570" spans="1:34" x14ac:dyDescent="0.3">
      <c r="A570" t="s">
        <v>1538</v>
      </c>
      <c r="B570" t="s">
        <v>1540</v>
      </c>
      <c r="C570" t="s">
        <v>6786</v>
      </c>
      <c r="D570">
        <v>678</v>
      </c>
      <c r="E570">
        <v>800</v>
      </c>
      <c r="F570">
        <v>1.1E-4</v>
      </c>
      <c r="G570">
        <v>1</v>
      </c>
      <c r="H570" t="s">
        <v>6871</v>
      </c>
      <c r="I570">
        <f>VLOOKUP(Table9[[#This Row],[Shortname]], Comp[], 6, FALSE)</f>
        <v>196</v>
      </c>
      <c r="J570" s="14">
        <f>VLOOKUP(Table9[[#This Row],[Shortname]], Comp[], 7, FALSE)</f>
        <v>41.03</v>
      </c>
      <c r="K570">
        <f>VLOOKUP(Table9[[#This Row],[Shortname]], Comp[], 8, FALSE)</f>
        <v>31.8</v>
      </c>
      <c r="L570">
        <f>VLOOKUP(Table9[[#This Row],[Shortname]], Comp[], 9, FALSE)</f>
        <v>8.6999999999999993</v>
      </c>
      <c r="M570">
        <f>VLOOKUP(Table9[[#This Row],[Shortname]], Comp[], 10, FALSE)</f>
        <v>12.6</v>
      </c>
      <c r="N570">
        <f>VLOOKUP(Table9[[#This Row],[Shortname]], Comp[], 11, FALSE)</f>
        <v>4.7</v>
      </c>
      <c r="O570">
        <f>VLOOKUP(Table9[[#This Row],[Shortname]], Comp[],12, FALSE)</f>
        <v>0.3</v>
      </c>
      <c r="P570">
        <f>VLOOKUP(Table9[[#This Row],[Shortname]], Comp[], 13, FALSE)</f>
        <v>0.2</v>
      </c>
      <c r="Q570">
        <f>VLOOKUP(Table9[[#This Row],[Shortname]], Comp[], 14, FALSE)</f>
        <v>0</v>
      </c>
      <c r="R570">
        <f>VLOOKUP(Table9[[#This Row],[Shortname]], Comp[], 15, FALSE)</f>
        <v>0</v>
      </c>
      <c r="S570">
        <f>VLOOKUP(Table9[[#This Row],[Shortname]], Comp[], 16, FALSE)</f>
        <v>0</v>
      </c>
      <c r="T570">
        <f>VLOOKUP(Table9[[#This Row],[Shortname]], Comp[], 17, FALSE)</f>
        <v>0.08</v>
      </c>
      <c r="U570">
        <f>VLOOKUP(Table9[[#This Row],[Shortname]], Comp[], 18, FALSE)</f>
        <v>0.01</v>
      </c>
      <c r="V570">
        <f>VLOOKUP(Table9[[#This Row],[Shortname]], Comp[], 19, FALSE)</f>
        <v>0.08</v>
      </c>
      <c r="W570">
        <f>VLOOKUP(Table9[[#This Row],[Shortname]], Comp[], 20, FALSE)</f>
        <v>0</v>
      </c>
      <c r="X570">
        <f>VLOOKUP(Table9[[#This Row],[Shortname]], Comp[], 21, FALSE)</f>
        <v>0</v>
      </c>
      <c r="Y570">
        <f>VLOOKUP(Table9[[#This Row],[Shortname]], Comp[], 22, FALSE)</f>
        <v>0.4</v>
      </c>
      <c r="Z570">
        <f>VLOOKUP(Table9[[#This Row],[Shortname]], Comp[], 23, FALSE)</f>
        <v>0</v>
      </c>
      <c r="AA570">
        <f>VLOOKUP(Table9[[#This Row],[Shortname]], Comp[], 24, FALSE)</f>
        <v>0</v>
      </c>
      <c r="AB570">
        <f>VLOOKUP(Table9[[#This Row],[Shortname]], Comp[], 25, FALSE)</f>
        <v>0.1</v>
      </c>
      <c r="AC570">
        <f>VLOOKUP(Table9[[#This Row],[Shortname]], Comp[], 26, FALSE)</f>
        <v>0</v>
      </c>
      <c r="AD570">
        <f>VLOOKUP(Table9[[#This Row],[Shortname]], Comp[], 27, FALSE)</f>
        <v>0</v>
      </c>
      <c r="AE570">
        <f>VLOOKUP(Table9[[#This Row],[Shortname]], Comp[], 28, FALSE)</f>
        <v>0</v>
      </c>
      <c r="AF570">
        <f>VLOOKUP(Table9[[#This Row],[Shortname]], Comp[], 29, FALSE)</f>
        <v>0</v>
      </c>
      <c r="AG570">
        <f>VLOOKUP(Table9[[#This Row],[Shortname]], Comp[], 30, FALSE)</f>
        <v>0</v>
      </c>
      <c r="AH570">
        <f>VLOOKUP(Table9[[#This Row],[Shortname]], Comp[], 31, FALSE)</f>
        <v>0</v>
      </c>
    </row>
    <row r="571" spans="1:34" x14ac:dyDescent="0.3">
      <c r="A571" t="s">
        <v>1538</v>
      </c>
      <c r="B571" t="s">
        <v>1540</v>
      </c>
      <c r="C571" t="s">
        <v>6786</v>
      </c>
      <c r="D571">
        <v>581</v>
      </c>
      <c r="E571">
        <v>850</v>
      </c>
      <c r="F571">
        <v>1.1E-4</v>
      </c>
      <c r="G571">
        <v>1</v>
      </c>
      <c r="H571" t="s">
        <v>6871</v>
      </c>
      <c r="I571">
        <f>VLOOKUP(Table9[[#This Row],[Shortname]], Comp[], 6, FALSE)</f>
        <v>196</v>
      </c>
      <c r="J571" s="14">
        <f>VLOOKUP(Table9[[#This Row],[Shortname]], Comp[], 7, FALSE)</f>
        <v>41.03</v>
      </c>
      <c r="K571">
        <f>VLOOKUP(Table9[[#This Row],[Shortname]], Comp[], 8, FALSE)</f>
        <v>31.8</v>
      </c>
      <c r="L571">
        <f>VLOOKUP(Table9[[#This Row],[Shortname]], Comp[], 9, FALSE)</f>
        <v>8.6999999999999993</v>
      </c>
      <c r="M571">
        <f>VLOOKUP(Table9[[#This Row],[Shortname]], Comp[], 10, FALSE)</f>
        <v>12.6</v>
      </c>
      <c r="N571">
        <f>VLOOKUP(Table9[[#This Row],[Shortname]], Comp[], 11, FALSE)</f>
        <v>4.7</v>
      </c>
      <c r="O571">
        <f>VLOOKUP(Table9[[#This Row],[Shortname]], Comp[],12, FALSE)</f>
        <v>0.3</v>
      </c>
      <c r="P571">
        <f>VLOOKUP(Table9[[#This Row],[Shortname]], Comp[], 13, FALSE)</f>
        <v>0.2</v>
      </c>
      <c r="Q571">
        <f>VLOOKUP(Table9[[#This Row],[Shortname]], Comp[], 14, FALSE)</f>
        <v>0</v>
      </c>
      <c r="R571">
        <f>VLOOKUP(Table9[[#This Row],[Shortname]], Comp[], 15, FALSE)</f>
        <v>0</v>
      </c>
      <c r="S571">
        <f>VLOOKUP(Table9[[#This Row],[Shortname]], Comp[], 16, FALSE)</f>
        <v>0</v>
      </c>
      <c r="T571">
        <f>VLOOKUP(Table9[[#This Row],[Shortname]], Comp[], 17, FALSE)</f>
        <v>0.08</v>
      </c>
      <c r="U571">
        <f>VLOOKUP(Table9[[#This Row],[Shortname]], Comp[], 18, FALSE)</f>
        <v>0.01</v>
      </c>
      <c r="V571">
        <f>VLOOKUP(Table9[[#This Row],[Shortname]], Comp[], 19, FALSE)</f>
        <v>0.08</v>
      </c>
      <c r="W571">
        <f>VLOOKUP(Table9[[#This Row],[Shortname]], Comp[], 20, FALSE)</f>
        <v>0</v>
      </c>
      <c r="X571">
        <f>VLOOKUP(Table9[[#This Row],[Shortname]], Comp[], 21, FALSE)</f>
        <v>0</v>
      </c>
      <c r="Y571">
        <f>VLOOKUP(Table9[[#This Row],[Shortname]], Comp[], 22, FALSE)</f>
        <v>0.4</v>
      </c>
      <c r="Z571">
        <f>VLOOKUP(Table9[[#This Row],[Shortname]], Comp[], 23, FALSE)</f>
        <v>0</v>
      </c>
      <c r="AA571">
        <f>VLOOKUP(Table9[[#This Row],[Shortname]], Comp[], 24, FALSE)</f>
        <v>0</v>
      </c>
      <c r="AB571">
        <f>VLOOKUP(Table9[[#This Row],[Shortname]], Comp[], 25, FALSE)</f>
        <v>0.1</v>
      </c>
      <c r="AC571">
        <f>VLOOKUP(Table9[[#This Row],[Shortname]], Comp[], 26, FALSE)</f>
        <v>0</v>
      </c>
      <c r="AD571">
        <f>VLOOKUP(Table9[[#This Row],[Shortname]], Comp[], 27, FALSE)</f>
        <v>0</v>
      </c>
      <c r="AE571">
        <f>VLOOKUP(Table9[[#This Row],[Shortname]], Comp[], 28, FALSE)</f>
        <v>0</v>
      </c>
      <c r="AF571">
        <f>VLOOKUP(Table9[[#This Row],[Shortname]], Comp[], 29, FALSE)</f>
        <v>0</v>
      </c>
      <c r="AG571">
        <f>VLOOKUP(Table9[[#This Row],[Shortname]], Comp[], 30, FALSE)</f>
        <v>0</v>
      </c>
      <c r="AH571">
        <f>VLOOKUP(Table9[[#This Row],[Shortname]], Comp[], 31, FALSE)</f>
        <v>0</v>
      </c>
    </row>
    <row r="572" spans="1:34" x14ac:dyDescent="0.3">
      <c r="A572" t="s">
        <v>1538</v>
      </c>
      <c r="B572" t="s">
        <v>1540</v>
      </c>
      <c r="C572" t="s">
        <v>6786</v>
      </c>
      <c r="D572">
        <v>545</v>
      </c>
      <c r="E572">
        <v>850</v>
      </c>
      <c r="F572">
        <v>1.1E-4</v>
      </c>
      <c r="G572">
        <v>1</v>
      </c>
      <c r="H572" t="s">
        <v>6870</v>
      </c>
      <c r="I572">
        <f>VLOOKUP(Table9[[#This Row],[Shortname]], Comp[], 6, FALSE)</f>
        <v>196</v>
      </c>
      <c r="J572" s="14">
        <f>VLOOKUP(Table9[[#This Row],[Shortname]], Comp[], 7, FALSE)</f>
        <v>41.03</v>
      </c>
      <c r="K572">
        <f>VLOOKUP(Table9[[#This Row],[Shortname]], Comp[], 8, FALSE)</f>
        <v>31.8</v>
      </c>
      <c r="L572">
        <f>VLOOKUP(Table9[[#This Row],[Shortname]], Comp[], 9, FALSE)</f>
        <v>8.6999999999999993</v>
      </c>
      <c r="M572">
        <f>VLOOKUP(Table9[[#This Row],[Shortname]], Comp[], 10, FALSE)</f>
        <v>12.6</v>
      </c>
      <c r="N572">
        <f>VLOOKUP(Table9[[#This Row],[Shortname]], Comp[], 11, FALSE)</f>
        <v>4.7</v>
      </c>
      <c r="O572">
        <f>VLOOKUP(Table9[[#This Row],[Shortname]], Comp[],12, FALSE)</f>
        <v>0.3</v>
      </c>
      <c r="P572">
        <f>VLOOKUP(Table9[[#This Row],[Shortname]], Comp[], 13, FALSE)</f>
        <v>0.2</v>
      </c>
      <c r="Q572">
        <f>VLOOKUP(Table9[[#This Row],[Shortname]], Comp[], 14, FALSE)</f>
        <v>0</v>
      </c>
      <c r="R572">
        <f>VLOOKUP(Table9[[#This Row],[Shortname]], Comp[], 15, FALSE)</f>
        <v>0</v>
      </c>
      <c r="S572">
        <f>VLOOKUP(Table9[[#This Row],[Shortname]], Comp[], 16, FALSE)</f>
        <v>0</v>
      </c>
      <c r="T572">
        <f>VLOOKUP(Table9[[#This Row],[Shortname]], Comp[], 17, FALSE)</f>
        <v>0.08</v>
      </c>
      <c r="U572">
        <f>VLOOKUP(Table9[[#This Row],[Shortname]], Comp[], 18, FALSE)</f>
        <v>0.01</v>
      </c>
      <c r="V572">
        <f>VLOOKUP(Table9[[#This Row],[Shortname]], Comp[], 19, FALSE)</f>
        <v>0.08</v>
      </c>
      <c r="W572">
        <f>VLOOKUP(Table9[[#This Row],[Shortname]], Comp[], 20, FALSE)</f>
        <v>0</v>
      </c>
      <c r="X572">
        <f>VLOOKUP(Table9[[#This Row],[Shortname]], Comp[], 21, FALSE)</f>
        <v>0</v>
      </c>
      <c r="Y572">
        <f>VLOOKUP(Table9[[#This Row],[Shortname]], Comp[], 22, FALSE)</f>
        <v>0.4</v>
      </c>
      <c r="Z572">
        <f>VLOOKUP(Table9[[#This Row],[Shortname]], Comp[], 23, FALSE)</f>
        <v>0</v>
      </c>
      <c r="AA572">
        <f>VLOOKUP(Table9[[#This Row],[Shortname]], Comp[], 24, FALSE)</f>
        <v>0</v>
      </c>
      <c r="AB572">
        <f>VLOOKUP(Table9[[#This Row],[Shortname]], Comp[], 25, FALSE)</f>
        <v>0.1</v>
      </c>
      <c r="AC572">
        <f>VLOOKUP(Table9[[#This Row],[Shortname]], Comp[], 26, FALSE)</f>
        <v>0</v>
      </c>
      <c r="AD572">
        <f>VLOOKUP(Table9[[#This Row],[Shortname]], Comp[], 27, FALSE)</f>
        <v>0</v>
      </c>
      <c r="AE572">
        <f>VLOOKUP(Table9[[#This Row],[Shortname]], Comp[], 28, FALSE)</f>
        <v>0</v>
      </c>
      <c r="AF572">
        <f>VLOOKUP(Table9[[#This Row],[Shortname]], Comp[], 29, FALSE)</f>
        <v>0</v>
      </c>
      <c r="AG572">
        <f>VLOOKUP(Table9[[#This Row],[Shortname]], Comp[], 30, FALSE)</f>
        <v>0</v>
      </c>
      <c r="AH572">
        <f>VLOOKUP(Table9[[#This Row],[Shortname]], Comp[], 31, FALSE)</f>
        <v>0</v>
      </c>
    </row>
    <row r="573" spans="1:34" x14ac:dyDescent="0.3">
      <c r="A573" t="s">
        <v>1673</v>
      </c>
      <c r="B573" t="s">
        <v>1675</v>
      </c>
      <c r="C573" t="s">
        <v>4959</v>
      </c>
      <c r="D573">
        <v>700.88</v>
      </c>
      <c r="E573">
        <v>25</v>
      </c>
      <c r="F573">
        <v>1E-4</v>
      </c>
      <c r="G573">
        <v>1</v>
      </c>
      <c r="I573">
        <f>VLOOKUP(Table9[[#This Row],[Shortname]], Comp[], 6, FALSE)</f>
        <v>213</v>
      </c>
      <c r="J573" s="14">
        <f>VLOOKUP(Table9[[#This Row],[Shortname]], Comp[], 7, FALSE)</f>
        <v>88</v>
      </c>
      <c r="K573">
        <f>VLOOKUP(Table9[[#This Row],[Shortname]], Comp[], 8, FALSE)</f>
        <v>0</v>
      </c>
      <c r="L573">
        <f>VLOOKUP(Table9[[#This Row],[Shortname]], Comp[], 9, FALSE)</f>
        <v>0</v>
      </c>
      <c r="M573">
        <f>VLOOKUP(Table9[[#This Row],[Shortname]], Comp[], 10, FALSE)</f>
        <v>0</v>
      </c>
      <c r="N573">
        <f>VLOOKUP(Table9[[#This Row],[Shortname]], Comp[], 11, FALSE)</f>
        <v>0</v>
      </c>
      <c r="O573">
        <f>VLOOKUP(Table9[[#This Row],[Shortname]], Comp[],12, FALSE)</f>
        <v>12</v>
      </c>
      <c r="P573">
        <f>VLOOKUP(Table9[[#This Row],[Shortname]], Comp[], 13, FALSE)</f>
        <v>0</v>
      </c>
      <c r="Q573">
        <f>VLOOKUP(Table9[[#This Row],[Shortname]], Comp[], 14, FALSE)</f>
        <v>0</v>
      </c>
      <c r="R573">
        <f>VLOOKUP(Table9[[#This Row],[Shortname]], Comp[], 15, FALSE)</f>
        <v>0</v>
      </c>
      <c r="S573">
        <f>VLOOKUP(Table9[[#This Row],[Shortname]], Comp[], 16, FALSE)</f>
        <v>0</v>
      </c>
      <c r="T573">
        <f>VLOOKUP(Table9[[#This Row],[Shortname]], Comp[], 17, FALSE)</f>
        <v>0</v>
      </c>
      <c r="U573">
        <f>VLOOKUP(Table9[[#This Row],[Shortname]], Comp[], 18, FALSE)</f>
        <v>0</v>
      </c>
      <c r="V573">
        <f>VLOOKUP(Table9[[#This Row],[Shortname]], Comp[], 19, FALSE)</f>
        <v>0</v>
      </c>
      <c r="W573">
        <f>VLOOKUP(Table9[[#This Row],[Shortname]], Comp[], 20, FALSE)</f>
        <v>0</v>
      </c>
      <c r="X573">
        <f>VLOOKUP(Table9[[#This Row],[Shortname]], Comp[], 21, FALSE)</f>
        <v>0</v>
      </c>
      <c r="Y573">
        <f>VLOOKUP(Table9[[#This Row],[Shortname]], Comp[], 22, FALSE)</f>
        <v>0</v>
      </c>
      <c r="Z573">
        <f>VLOOKUP(Table9[[#This Row],[Shortname]], Comp[], 23, FALSE)</f>
        <v>0</v>
      </c>
      <c r="AA573">
        <f>VLOOKUP(Table9[[#This Row],[Shortname]], Comp[], 24, FALSE)</f>
        <v>0</v>
      </c>
      <c r="AB573">
        <f>VLOOKUP(Table9[[#This Row],[Shortname]], Comp[], 25, FALSE)</f>
        <v>0</v>
      </c>
      <c r="AC573">
        <f>VLOOKUP(Table9[[#This Row],[Shortname]], Comp[], 26, FALSE)</f>
        <v>0</v>
      </c>
      <c r="AD573">
        <f>VLOOKUP(Table9[[#This Row],[Shortname]], Comp[], 27, FALSE)</f>
        <v>0</v>
      </c>
      <c r="AE573">
        <f>VLOOKUP(Table9[[#This Row],[Shortname]], Comp[], 28, FALSE)</f>
        <v>0</v>
      </c>
      <c r="AF573">
        <f>VLOOKUP(Table9[[#This Row],[Shortname]], Comp[], 29, FALSE)</f>
        <v>0</v>
      </c>
      <c r="AG573">
        <f>VLOOKUP(Table9[[#This Row],[Shortname]], Comp[], 30, FALSE)</f>
        <v>0</v>
      </c>
      <c r="AH573">
        <f>VLOOKUP(Table9[[#This Row],[Shortname]], Comp[], 31, FALSE)</f>
        <v>0</v>
      </c>
    </row>
    <row r="574" spans="1:34" x14ac:dyDescent="0.3">
      <c r="A574" t="s">
        <v>1673</v>
      </c>
      <c r="B574" t="s">
        <v>1675</v>
      </c>
      <c r="C574" t="s">
        <v>4959</v>
      </c>
      <c r="D574">
        <v>647.79</v>
      </c>
      <c r="E574">
        <v>700</v>
      </c>
      <c r="F574">
        <v>1E-4</v>
      </c>
      <c r="G574">
        <v>1</v>
      </c>
      <c r="I574">
        <f>VLOOKUP(Table9[[#This Row],[Shortname]], Comp[], 6, FALSE)</f>
        <v>213</v>
      </c>
      <c r="J574" s="14">
        <f>VLOOKUP(Table9[[#This Row],[Shortname]], Comp[], 7, FALSE)</f>
        <v>88</v>
      </c>
      <c r="K574">
        <f>VLOOKUP(Table9[[#This Row],[Shortname]], Comp[], 8, FALSE)</f>
        <v>0</v>
      </c>
      <c r="L574">
        <f>VLOOKUP(Table9[[#This Row],[Shortname]], Comp[], 9, FALSE)</f>
        <v>0</v>
      </c>
      <c r="M574">
        <f>VLOOKUP(Table9[[#This Row],[Shortname]], Comp[], 10, FALSE)</f>
        <v>0</v>
      </c>
      <c r="N574">
        <f>VLOOKUP(Table9[[#This Row],[Shortname]], Comp[], 11, FALSE)</f>
        <v>0</v>
      </c>
      <c r="O574">
        <f>VLOOKUP(Table9[[#This Row],[Shortname]], Comp[],12, FALSE)</f>
        <v>12</v>
      </c>
      <c r="P574">
        <f>VLOOKUP(Table9[[#This Row],[Shortname]], Comp[], 13, FALSE)</f>
        <v>0</v>
      </c>
      <c r="Q574">
        <f>VLOOKUP(Table9[[#This Row],[Shortname]], Comp[], 14, FALSE)</f>
        <v>0</v>
      </c>
      <c r="R574">
        <f>VLOOKUP(Table9[[#This Row],[Shortname]], Comp[], 15, FALSE)</f>
        <v>0</v>
      </c>
      <c r="S574">
        <f>VLOOKUP(Table9[[#This Row],[Shortname]], Comp[], 16, FALSE)</f>
        <v>0</v>
      </c>
      <c r="T574">
        <f>VLOOKUP(Table9[[#This Row],[Shortname]], Comp[], 17, FALSE)</f>
        <v>0</v>
      </c>
      <c r="U574">
        <f>VLOOKUP(Table9[[#This Row],[Shortname]], Comp[], 18, FALSE)</f>
        <v>0</v>
      </c>
      <c r="V574">
        <f>VLOOKUP(Table9[[#This Row],[Shortname]], Comp[], 19, FALSE)</f>
        <v>0</v>
      </c>
      <c r="W574">
        <f>VLOOKUP(Table9[[#This Row],[Shortname]], Comp[], 20, FALSE)</f>
        <v>0</v>
      </c>
      <c r="X574">
        <f>VLOOKUP(Table9[[#This Row],[Shortname]], Comp[], 21, FALSE)</f>
        <v>0</v>
      </c>
      <c r="Y574">
        <f>VLOOKUP(Table9[[#This Row],[Shortname]], Comp[], 22, FALSE)</f>
        <v>0</v>
      </c>
      <c r="Z574">
        <f>VLOOKUP(Table9[[#This Row],[Shortname]], Comp[], 23, FALSE)</f>
        <v>0</v>
      </c>
      <c r="AA574">
        <f>VLOOKUP(Table9[[#This Row],[Shortname]], Comp[], 24, FALSE)</f>
        <v>0</v>
      </c>
      <c r="AB574">
        <f>VLOOKUP(Table9[[#This Row],[Shortname]], Comp[], 25, FALSE)</f>
        <v>0</v>
      </c>
      <c r="AC574">
        <f>VLOOKUP(Table9[[#This Row],[Shortname]], Comp[], 26, FALSE)</f>
        <v>0</v>
      </c>
      <c r="AD574">
        <f>VLOOKUP(Table9[[#This Row],[Shortname]], Comp[], 27, FALSE)</f>
        <v>0</v>
      </c>
      <c r="AE574">
        <f>VLOOKUP(Table9[[#This Row],[Shortname]], Comp[], 28, FALSE)</f>
        <v>0</v>
      </c>
      <c r="AF574">
        <f>VLOOKUP(Table9[[#This Row],[Shortname]], Comp[], 29, FALSE)</f>
        <v>0</v>
      </c>
      <c r="AG574">
        <f>VLOOKUP(Table9[[#This Row],[Shortname]], Comp[], 30, FALSE)</f>
        <v>0</v>
      </c>
      <c r="AH574">
        <f>VLOOKUP(Table9[[#This Row],[Shortname]], Comp[], 31, FALSE)</f>
        <v>0</v>
      </c>
    </row>
    <row r="575" spans="1:34" x14ac:dyDescent="0.3">
      <c r="A575" t="s">
        <v>1673</v>
      </c>
      <c r="B575" t="s">
        <v>1675</v>
      </c>
      <c r="C575" t="s">
        <v>4959</v>
      </c>
      <c r="D575">
        <v>594.69000000000005</v>
      </c>
      <c r="E575">
        <v>600</v>
      </c>
      <c r="F575">
        <v>1E-4</v>
      </c>
      <c r="G575">
        <v>1</v>
      </c>
      <c r="I575">
        <f>VLOOKUP(Table9[[#This Row],[Shortname]], Comp[], 6, FALSE)</f>
        <v>213</v>
      </c>
      <c r="J575" s="14">
        <f>VLOOKUP(Table9[[#This Row],[Shortname]], Comp[], 7, FALSE)</f>
        <v>88</v>
      </c>
      <c r="K575">
        <f>VLOOKUP(Table9[[#This Row],[Shortname]], Comp[], 8, FALSE)</f>
        <v>0</v>
      </c>
      <c r="L575">
        <f>VLOOKUP(Table9[[#This Row],[Shortname]], Comp[], 9, FALSE)</f>
        <v>0</v>
      </c>
      <c r="M575">
        <f>VLOOKUP(Table9[[#This Row],[Shortname]], Comp[], 10, FALSE)</f>
        <v>0</v>
      </c>
      <c r="N575">
        <f>VLOOKUP(Table9[[#This Row],[Shortname]], Comp[], 11, FALSE)</f>
        <v>0</v>
      </c>
      <c r="O575">
        <f>VLOOKUP(Table9[[#This Row],[Shortname]], Comp[],12, FALSE)</f>
        <v>12</v>
      </c>
      <c r="P575">
        <f>VLOOKUP(Table9[[#This Row],[Shortname]], Comp[], 13, FALSE)</f>
        <v>0</v>
      </c>
      <c r="Q575">
        <f>VLOOKUP(Table9[[#This Row],[Shortname]], Comp[], 14, FALSE)</f>
        <v>0</v>
      </c>
      <c r="R575">
        <f>VLOOKUP(Table9[[#This Row],[Shortname]], Comp[], 15, FALSE)</f>
        <v>0</v>
      </c>
      <c r="S575">
        <f>VLOOKUP(Table9[[#This Row],[Shortname]], Comp[], 16, FALSE)</f>
        <v>0</v>
      </c>
      <c r="T575">
        <f>VLOOKUP(Table9[[#This Row],[Shortname]], Comp[], 17, FALSE)</f>
        <v>0</v>
      </c>
      <c r="U575">
        <f>VLOOKUP(Table9[[#This Row],[Shortname]], Comp[], 18, FALSE)</f>
        <v>0</v>
      </c>
      <c r="V575">
        <f>VLOOKUP(Table9[[#This Row],[Shortname]], Comp[], 19, FALSE)</f>
        <v>0</v>
      </c>
      <c r="W575">
        <f>VLOOKUP(Table9[[#This Row],[Shortname]], Comp[], 20, FALSE)</f>
        <v>0</v>
      </c>
      <c r="X575">
        <f>VLOOKUP(Table9[[#This Row],[Shortname]], Comp[], 21, FALSE)</f>
        <v>0</v>
      </c>
      <c r="Y575">
        <f>VLOOKUP(Table9[[#This Row],[Shortname]], Comp[], 22, FALSE)</f>
        <v>0</v>
      </c>
      <c r="Z575">
        <f>VLOOKUP(Table9[[#This Row],[Shortname]], Comp[], 23, FALSE)</f>
        <v>0</v>
      </c>
      <c r="AA575">
        <f>VLOOKUP(Table9[[#This Row],[Shortname]], Comp[], 24, FALSE)</f>
        <v>0</v>
      </c>
      <c r="AB575">
        <f>VLOOKUP(Table9[[#This Row],[Shortname]], Comp[], 25, FALSE)</f>
        <v>0</v>
      </c>
      <c r="AC575">
        <f>VLOOKUP(Table9[[#This Row],[Shortname]], Comp[], 26, FALSE)</f>
        <v>0</v>
      </c>
      <c r="AD575">
        <f>VLOOKUP(Table9[[#This Row],[Shortname]], Comp[], 27, FALSE)</f>
        <v>0</v>
      </c>
      <c r="AE575">
        <f>VLOOKUP(Table9[[#This Row],[Shortname]], Comp[], 28, FALSE)</f>
        <v>0</v>
      </c>
      <c r="AF575">
        <f>VLOOKUP(Table9[[#This Row],[Shortname]], Comp[], 29, FALSE)</f>
        <v>0</v>
      </c>
      <c r="AG575">
        <f>VLOOKUP(Table9[[#This Row],[Shortname]], Comp[], 30, FALSE)</f>
        <v>0</v>
      </c>
      <c r="AH575">
        <f>VLOOKUP(Table9[[#This Row],[Shortname]], Comp[], 31, FALSE)</f>
        <v>0</v>
      </c>
    </row>
    <row r="576" spans="1:34" x14ac:dyDescent="0.3">
      <c r="A576" t="s">
        <v>1673</v>
      </c>
      <c r="B576" t="s">
        <v>1675</v>
      </c>
      <c r="C576" t="s">
        <v>4959</v>
      </c>
      <c r="D576">
        <v>578.76</v>
      </c>
      <c r="E576">
        <v>800</v>
      </c>
      <c r="F576">
        <v>1E-4</v>
      </c>
      <c r="G576">
        <v>1</v>
      </c>
      <c r="I576">
        <f>VLOOKUP(Table9[[#This Row],[Shortname]], Comp[], 6, FALSE)</f>
        <v>213</v>
      </c>
      <c r="J576" s="14">
        <f>VLOOKUP(Table9[[#This Row],[Shortname]], Comp[], 7, FALSE)</f>
        <v>88</v>
      </c>
      <c r="K576">
        <f>VLOOKUP(Table9[[#This Row],[Shortname]], Comp[], 8, FALSE)</f>
        <v>0</v>
      </c>
      <c r="L576">
        <f>VLOOKUP(Table9[[#This Row],[Shortname]], Comp[], 9, FALSE)</f>
        <v>0</v>
      </c>
      <c r="M576">
        <f>VLOOKUP(Table9[[#This Row],[Shortname]], Comp[], 10, FALSE)</f>
        <v>0</v>
      </c>
      <c r="N576">
        <f>VLOOKUP(Table9[[#This Row],[Shortname]], Comp[], 11, FALSE)</f>
        <v>0</v>
      </c>
      <c r="O576">
        <f>VLOOKUP(Table9[[#This Row],[Shortname]], Comp[],12, FALSE)</f>
        <v>12</v>
      </c>
      <c r="P576">
        <f>VLOOKUP(Table9[[#This Row],[Shortname]], Comp[], 13, FALSE)</f>
        <v>0</v>
      </c>
      <c r="Q576">
        <f>VLOOKUP(Table9[[#This Row],[Shortname]], Comp[], 14, FALSE)</f>
        <v>0</v>
      </c>
      <c r="R576">
        <f>VLOOKUP(Table9[[#This Row],[Shortname]], Comp[], 15, FALSE)</f>
        <v>0</v>
      </c>
      <c r="S576">
        <f>VLOOKUP(Table9[[#This Row],[Shortname]], Comp[], 16, FALSE)</f>
        <v>0</v>
      </c>
      <c r="T576">
        <f>VLOOKUP(Table9[[#This Row],[Shortname]], Comp[], 17, FALSE)</f>
        <v>0</v>
      </c>
      <c r="U576">
        <f>VLOOKUP(Table9[[#This Row],[Shortname]], Comp[], 18, FALSE)</f>
        <v>0</v>
      </c>
      <c r="V576">
        <f>VLOOKUP(Table9[[#This Row],[Shortname]], Comp[], 19, FALSE)</f>
        <v>0</v>
      </c>
      <c r="W576">
        <f>VLOOKUP(Table9[[#This Row],[Shortname]], Comp[], 20, FALSE)</f>
        <v>0</v>
      </c>
      <c r="X576">
        <f>VLOOKUP(Table9[[#This Row],[Shortname]], Comp[], 21, FALSE)</f>
        <v>0</v>
      </c>
      <c r="Y576">
        <f>VLOOKUP(Table9[[#This Row],[Shortname]], Comp[], 22, FALSE)</f>
        <v>0</v>
      </c>
      <c r="Z576">
        <f>VLOOKUP(Table9[[#This Row],[Shortname]], Comp[], 23, FALSE)</f>
        <v>0</v>
      </c>
      <c r="AA576">
        <f>VLOOKUP(Table9[[#This Row],[Shortname]], Comp[], 24, FALSE)</f>
        <v>0</v>
      </c>
      <c r="AB576">
        <f>VLOOKUP(Table9[[#This Row],[Shortname]], Comp[], 25, FALSE)</f>
        <v>0</v>
      </c>
      <c r="AC576">
        <f>VLOOKUP(Table9[[#This Row],[Shortname]], Comp[], 26, FALSE)</f>
        <v>0</v>
      </c>
      <c r="AD576">
        <f>VLOOKUP(Table9[[#This Row],[Shortname]], Comp[], 27, FALSE)</f>
        <v>0</v>
      </c>
      <c r="AE576">
        <f>VLOOKUP(Table9[[#This Row],[Shortname]], Comp[], 28, FALSE)</f>
        <v>0</v>
      </c>
      <c r="AF576">
        <f>VLOOKUP(Table9[[#This Row],[Shortname]], Comp[], 29, FALSE)</f>
        <v>0</v>
      </c>
      <c r="AG576">
        <f>VLOOKUP(Table9[[#This Row],[Shortname]], Comp[], 30, FALSE)</f>
        <v>0</v>
      </c>
      <c r="AH576">
        <f>VLOOKUP(Table9[[#This Row],[Shortname]], Comp[], 31, FALSE)</f>
        <v>0</v>
      </c>
    </row>
    <row r="577" spans="1:34" x14ac:dyDescent="0.3">
      <c r="A577" t="s">
        <v>1673</v>
      </c>
      <c r="B577" t="s">
        <v>1675</v>
      </c>
      <c r="C577" t="s">
        <v>4959</v>
      </c>
      <c r="D577">
        <v>374.34</v>
      </c>
      <c r="E577">
        <v>900</v>
      </c>
      <c r="F577">
        <v>1E-4</v>
      </c>
      <c r="G577">
        <v>1</v>
      </c>
      <c r="I577">
        <f>VLOOKUP(Table9[[#This Row],[Shortname]], Comp[], 6, FALSE)</f>
        <v>213</v>
      </c>
      <c r="J577" s="14">
        <f>VLOOKUP(Table9[[#This Row],[Shortname]], Comp[], 7, FALSE)</f>
        <v>88</v>
      </c>
      <c r="K577">
        <f>VLOOKUP(Table9[[#This Row],[Shortname]], Comp[], 8, FALSE)</f>
        <v>0</v>
      </c>
      <c r="L577">
        <f>VLOOKUP(Table9[[#This Row],[Shortname]], Comp[], 9, FALSE)</f>
        <v>0</v>
      </c>
      <c r="M577">
        <f>VLOOKUP(Table9[[#This Row],[Shortname]], Comp[], 10, FALSE)</f>
        <v>0</v>
      </c>
      <c r="N577">
        <f>VLOOKUP(Table9[[#This Row],[Shortname]], Comp[], 11, FALSE)</f>
        <v>0</v>
      </c>
      <c r="O577">
        <f>VLOOKUP(Table9[[#This Row],[Shortname]], Comp[],12, FALSE)</f>
        <v>12</v>
      </c>
      <c r="P577">
        <f>VLOOKUP(Table9[[#This Row],[Shortname]], Comp[], 13, FALSE)</f>
        <v>0</v>
      </c>
      <c r="Q577">
        <f>VLOOKUP(Table9[[#This Row],[Shortname]], Comp[], 14, FALSE)</f>
        <v>0</v>
      </c>
      <c r="R577">
        <f>VLOOKUP(Table9[[#This Row],[Shortname]], Comp[], 15, FALSE)</f>
        <v>0</v>
      </c>
      <c r="S577">
        <f>VLOOKUP(Table9[[#This Row],[Shortname]], Comp[], 16, FALSE)</f>
        <v>0</v>
      </c>
      <c r="T577">
        <f>VLOOKUP(Table9[[#This Row],[Shortname]], Comp[], 17, FALSE)</f>
        <v>0</v>
      </c>
      <c r="U577">
        <f>VLOOKUP(Table9[[#This Row],[Shortname]], Comp[], 18, FALSE)</f>
        <v>0</v>
      </c>
      <c r="V577">
        <f>VLOOKUP(Table9[[#This Row],[Shortname]], Comp[], 19, FALSE)</f>
        <v>0</v>
      </c>
      <c r="W577">
        <f>VLOOKUP(Table9[[#This Row],[Shortname]], Comp[], 20, FALSE)</f>
        <v>0</v>
      </c>
      <c r="X577">
        <f>VLOOKUP(Table9[[#This Row],[Shortname]], Comp[], 21, FALSE)</f>
        <v>0</v>
      </c>
      <c r="Y577">
        <f>VLOOKUP(Table9[[#This Row],[Shortname]], Comp[], 22, FALSE)</f>
        <v>0</v>
      </c>
      <c r="Z577">
        <f>VLOOKUP(Table9[[#This Row],[Shortname]], Comp[], 23, FALSE)</f>
        <v>0</v>
      </c>
      <c r="AA577">
        <f>VLOOKUP(Table9[[#This Row],[Shortname]], Comp[], 24, FALSE)</f>
        <v>0</v>
      </c>
      <c r="AB577">
        <f>VLOOKUP(Table9[[#This Row],[Shortname]], Comp[], 25, FALSE)</f>
        <v>0</v>
      </c>
      <c r="AC577">
        <f>VLOOKUP(Table9[[#This Row],[Shortname]], Comp[], 26, FALSE)</f>
        <v>0</v>
      </c>
      <c r="AD577">
        <f>VLOOKUP(Table9[[#This Row],[Shortname]], Comp[], 27, FALSE)</f>
        <v>0</v>
      </c>
      <c r="AE577">
        <f>VLOOKUP(Table9[[#This Row],[Shortname]], Comp[], 28, FALSE)</f>
        <v>0</v>
      </c>
      <c r="AF577">
        <f>VLOOKUP(Table9[[#This Row],[Shortname]], Comp[], 29, FALSE)</f>
        <v>0</v>
      </c>
      <c r="AG577">
        <f>VLOOKUP(Table9[[#This Row],[Shortname]], Comp[], 30, FALSE)</f>
        <v>0</v>
      </c>
      <c r="AH577">
        <f>VLOOKUP(Table9[[#This Row],[Shortname]], Comp[], 31, FALSE)</f>
        <v>0</v>
      </c>
    </row>
    <row r="578" spans="1:34" x14ac:dyDescent="0.3">
      <c r="A578" t="s">
        <v>1680</v>
      </c>
      <c r="B578" t="s">
        <v>4962</v>
      </c>
      <c r="C578" t="s">
        <v>4959</v>
      </c>
      <c r="D578">
        <v>1006.2</v>
      </c>
      <c r="E578">
        <v>25</v>
      </c>
      <c r="F578">
        <v>1E-4</v>
      </c>
      <c r="G578">
        <v>1</v>
      </c>
      <c r="I578">
        <f>VLOOKUP(Table9[[#This Row],[Shortname]], Comp[], 6, FALSE)</f>
        <v>214</v>
      </c>
      <c r="J578" s="14">
        <f>VLOOKUP(Table9[[#This Row],[Shortname]], Comp[], 7, FALSE)</f>
        <v>84</v>
      </c>
      <c r="K578">
        <f>VLOOKUP(Table9[[#This Row],[Shortname]], Comp[], 8, FALSE)</f>
        <v>0</v>
      </c>
      <c r="L578">
        <f>VLOOKUP(Table9[[#This Row],[Shortname]], Comp[], 9, FALSE)</f>
        <v>0</v>
      </c>
      <c r="M578">
        <f>VLOOKUP(Table9[[#This Row],[Shortname]], Comp[], 10, FALSE)</f>
        <v>0</v>
      </c>
      <c r="N578">
        <f>VLOOKUP(Table9[[#This Row],[Shortname]], Comp[], 11, FALSE)</f>
        <v>0</v>
      </c>
      <c r="O578">
        <f>VLOOKUP(Table9[[#This Row],[Shortname]], Comp[],12, FALSE)</f>
        <v>12</v>
      </c>
      <c r="P578">
        <f>VLOOKUP(Table9[[#This Row],[Shortname]], Comp[], 13, FALSE)</f>
        <v>0</v>
      </c>
      <c r="Q578">
        <f>VLOOKUP(Table9[[#This Row],[Shortname]], Comp[], 14, FALSE)</f>
        <v>0</v>
      </c>
      <c r="R578">
        <f>VLOOKUP(Table9[[#This Row],[Shortname]], Comp[], 15, FALSE)</f>
        <v>0</v>
      </c>
      <c r="S578">
        <f>VLOOKUP(Table9[[#This Row],[Shortname]], Comp[], 16, FALSE)</f>
        <v>4</v>
      </c>
      <c r="T578">
        <f>VLOOKUP(Table9[[#This Row],[Shortname]], Comp[], 17, FALSE)</f>
        <v>0</v>
      </c>
      <c r="U578">
        <f>VLOOKUP(Table9[[#This Row],[Shortname]], Comp[], 18, FALSE)</f>
        <v>0</v>
      </c>
      <c r="V578">
        <f>VLOOKUP(Table9[[#This Row],[Shortname]], Comp[], 19, FALSE)</f>
        <v>0</v>
      </c>
      <c r="W578">
        <f>VLOOKUP(Table9[[#This Row],[Shortname]], Comp[], 20, FALSE)</f>
        <v>0</v>
      </c>
      <c r="X578">
        <f>VLOOKUP(Table9[[#This Row],[Shortname]], Comp[], 21, FALSE)</f>
        <v>0</v>
      </c>
      <c r="Y578">
        <f>VLOOKUP(Table9[[#This Row],[Shortname]], Comp[], 22, FALSE)</f>
        <v>0</v>
      </c>
      <c r="Z578">
        <f>VLOOKUP(Table9[[#This Row],[Shortname]], Comp[], 23, FALSE)</f>
        <v>0</v>
      </c>
      <c r="AA578">
        <f>VLOOKUP(Table9[[#This Row],[Shortname]], Comp[], 24, FALSE)</f>
        <v>0</v>
      </c>
      <c r="AB578">
        <f>VLOOKUP(Table9[[#This Row],[Shortname]], Comp[], 25, FALSE)</f>
        <v>0</v>
      </c>
      <c r="AC578">
        <f>VLOOKUP(Table9[[#This Row],[Shortname]], Comp[], 26, FALSE)</f>
        <v>0</v>
      </c>
      <c r="AD578">
        <f>VLOOKUP(Table9[[#This Row],[Shortname]], Comp[], 27, FALSE)</f>
        <v>0</v>
      </c>
      <c r="AE578">
        <f>VLOOKUP(Table9[[#This Row],[Shortname]], Comp[], 28, FALSE)</f>
        <v>0</v>
      </c>
      <c r="AF578">
        <f>VLOOKUP(Table9[[#This Row],[Shortname]], Comp[], 29, FALSE)</f>
        <v>0</v>
      </c>
      <c r="AG578">
        <f>VLOOKUP(Table9[[#This Row],[Shortname]], Comp[], 30, FALSE)</f>
        <v>0</v>
      </c>
      <c r="AH578">
        <f>VLOOKUP(Table9[[#This Row],[Shortname]], Comp[], 31, FALSE)</f>
        <v>0</v>
      </c>
    </row>
    <row r="579" spans="1:34" x14ac:dyDescent="0.3">
      <c r="A579" t="s">
        <v>1680</v>
      </c>
      <c r="B579" t="s">
        <v>4962</v>
      </c>
      <c r="C579" t="s">
        <v>4959</v>
      </c>
      <c r="D579">
        <v>854.87</v>
      </c>
      <c r="E579">
        <v>700</v>
      </c>
      <c r="F579">
        <v>1E-4</v>
      </c>
      <c r="G579">
        <v>1</v>
      </c>
      <c r="I579">
        <f>VLOOKUP(Table9[[#This Row],[Shortname]], Comp[], 6, FALSE)</f>
        <v>214</v>
      </c>
      <c r="J579" s="14">
        <f>VLOOKUP(Table9[[#This Row],[Shortname]], Comp[], 7, FALSE)</f>
        <v>84</v>
      </c>
      <c r="K579">
        <f>VLOOKUP(Table9[[#This Row],[Shortname]], Comp[], 8, FALSE)</f>
        <v>0</v>
      </c>
      <c r="L579">
        <f>VLOOKUP(Table9[[#This Row],[Shortname]], Comp[], 9, FALSE)</f>
        <v>0</v>
      </c>
      <c r="M579">
        <f>VLOOKUP(Table9[[#This Row],[Shortname]], Comp[], 10, FALSE)</f>
        <v>0</v>
      </c>
      <c r="N579">
        <f>VLOOKUP(Table9[[#This Row],[Shortname]], Comp[], 11, FALSE)</f>
        <v>0</v>
      </c>
      <c r="O579">
        <f>VLOOKUP(Table9[[#This Row],[Shortname]], Comp[],12, FALSE)</f>
        <v>12</v>
      </c>
      <c r="P579">
        <f>VLOOKUP(Table9[[#This Row],[Shortname]], Comp[], 13, FALSE)</f>
        <v>0</v>
      </c>
      <c r="Q579">
        <f>VLOOKUP(Table9[[#This Row],[Shortname]], Comp[], 14, FALSE)</f>
        <v>0</v>
      </c>
      <c r="R579">
        <f>VLOOKUP(Table9[[#This Row],[Shortname]], Comp[], 15, FALSE)</f>
        <v>0</v>
      </c>
      <c r="S579">
        <f>VLOOKUP(Table9[[#This Row],[Shortname]], Comp[], 16, FALSE)</f>
        <v>4</v>
      </c>
      <c r="T579">
        <f>VLOOKUP(Table9[[#This Row],[Shortname]], Comp[], 17, FALSE)</f>
        <v>0</v>
      </c>
      <c r="U579">
        <f>VLOOKUP(Table9[[#This Row],[Shortname]], Comp[], 18, FALSE)</f>
        <v>0</v>
      </c>
      <c r="V579">
        <f>VLOOKUP(Table9[[#This Row],[Shortname]], Comp[], 19, FALSE)</f>
        <v>0</v>
      </c>
      <c r="W579">
        <f>VLOOKUP(Table9[[#This Row],[Shortname]], Comp[], 20, FALSE)</f>
        <v>0</v>
      </c>
      <c r="X579">
        <f>VLOOKUP(Table9[[#This Row],[Shortname]], Comp[], 21, FALSE)</f>
        <v>0</v>
      </c>
      <c r="Y579">
        <f>VLOOKUP(Table9[[#This Row],[Shortname]], Comp[], 22, FALSE)</f>
        <v>0</v>
      </c>
      <c r="Z579">
        <f>VLOOKUP(Table9[[#This Row],[Shortname]], Comp[], 23, FALSE)</f>
        <v>0</v>
      </c>
      <c r="AA579">
        <f>VLOOKUP(Table9[[#This Row],[Shortname]], Comp[], 24, FALSE)</f>
        <v>0</v>
      </c>
      <c r="AB579">
        <f>VLOOKUP(Table9[[#This Row],[Shortname]], Comp[], 25, FALSE)</f>
        <v>0</v>
      </c>
      <c r="AC579">
        <f>VLOOKUP(Table9[[#This Row],[Shortname]], Comp[], 26, FALSE)</f>
        <v>0</v>
      </c>
      <c r="AD579">
        <f>VLOOKUP(Table9[[#This Row],[Shortname]], Comp[], 27, FALSE)</f>
        <v>0</v>
      </c>
      <c r="AE579">
        <f>VLOOKUP(Table9[[#This Row],[Shortname]], Comp[], 28, FALSE)</f>
        <v>0</v>
      </c>
      <c r="AF579">
        <f>VLOOKUP(Table9[[#This Row],[Shortname]], Comp[], 29, FALSE)</f>
        <v>0</v>
      </c>
      <c r="AG579">
        <f>VLOOKUP(Table9[[#This Row],[Shortname]], Comp[], 30, FALSE)</f>
        <v>0</v>
      </c>
      <c r="AH579">
        <f>VLOOKUP(Table9[[#This Row],[Shortname]], Comp[], 31, FALSE)</f>
        <v>0</v>
      </c>
    </row>
    <row r="580" spans="1:34" x14ac:dyDescent="0.3">
      <c r="A580" t="s">
        <v>1680</v>
      </c>
      <c r="B580" t="s">
        <v>4962</v>
      </c>
      <c r="C580" t="s">
        <v>4959</v>
      </c>
      <c r="D580">
        <v>777.88</v>
      </c>
      <c r="E580">
        <v>800</v>
      </c>
      <c r="F580">
        <v>1E-4</v>
      </c>
      <c r="G580">
        <v>1</v>
      </c>
      <c r="I580">
        <f>VLOOKUP(Table9[[#This Row],[Shortname]], Comp[], 6, FALSE)</f>
        <v>214</v>
      </c>
      <c r="J580" s="14">
        <f>VLOOKUP(Table9[[#This Row],[Shortname]], Comp[], 7, FALSE)</f>
        <v>84</v>
      </c>
      <c r="K580">
        <f>VLOOKUP(Table9[[#This Row],[Shortname]], Comp[], 8, FALSE)</f>
        <v>0</v>
      </c>
      <c r="L580">
        <f>VLOOKUP(Table9[[#This Row],[Shortname]], Comp[], 9, FALSE)</f>
        <v>0</v>
      </c>
      <c r="M580">
        <f>VLOOKUP(Table9[[#This Row],[Shortname]], Comp[], 10, FALSE)</f>
        <v>0</v>
      </c>
      <c r="N580">
        <f>VLOOKUP(Table9[[#This Row],[Shortname]], Comp[], 11, FALSE)</f>
        <v>0</v>
      </c>
      <c r="O580">
        <f>VLOOKUP(Table9[[#This Row],[Shortname]], Comp[],12, FALSE)</f>
        <v>12</v>
      </c>
      <c r="P580">
        <f>VLOOKUP(Table9[[#This Row],[Shortname]], Comp[], 13, FALSE)</f>
        <v>0</v>
      </c>
      <c r="Q580">
        <f>VLOOKUP(Table9[[#This Row],[Shortname]], Comp[], 14, FALSE)</f>
        <v>0</v>
      </c>
      <c r="R580">
        <f>VLOOKUP(Table9[[#This Row],[Shortname]], Comp[], 15, FALSE)</f>
        <v>0</v>
      </c>
      <c r="S580">
        <f>VLOOKUP(Table9[[#This Row],[Shortname]], Comp[], 16, FALSE)</f>
        <v>4</v>
      </c>
      <c r="T580">
        <f>VLOOKUP(Table9[[#This Row],[Shortname]], Comp[], 17, FALSE)</f>
        <v>0</v>
      </c>
      <c r="U580">
        <f>VLOOKUP(Table9[[#This Row],[Shortname]], Comp[], 18, FALSE)</f>
        <v>0</v>
      </c>
      <c r="V580">
        <f>VLOOKUP(Table9[[#This Row],[Shortname]], Comp[], 19, FALSE)</f>
        <v>0</v>
      </c>
      <c r="W580">
        <f>VLOOKUP(Table9[[#This Row],[Shortname]], Comp[], 20, FALSE)</f>
        <v>0</v>
      </c>
      <c r="X580">
        <f>VLOOKUP(Table9[[#This Row],[Shortname]], Comp[], 21, FALSE)</f>
        <v>0</v>
      </c>
      <c r="Y580">
        <f>VLOOKUP(Table9[[#This Row],[Shortname]], Comp[], 22, FALSE)</f>
        <v>0</v>
      </c>
      <c r="Z580">
        <f>VLOOKUP(Table9[[#This Row],[Shortname]], Comp[], 23, FALSE)</f>
        <v>0</v>
      </c>
      <c r="AA580">
        <f>VLOOKUP(Table9[[#This Row],[Shortname]], Comp[], 24, FALSE)</f>
        <v>0</v>
      </c>
      <c r="AB580">
        <f>VLOOKUP(Table9[[#This Row],[Shortname]], Comp[], 25, FALSE)</f>
        <v>0</v>
      </c>
      <c r="AC580">
        <f>VLOOKUP(Table9[[#This Row],[Shortname]], Comp[], 26, FALSE)</f>
        <v>0</v>
      </c>
      <c r="AD580">
        <f>VLOOKUP(Table9[[#This Row],[Shortname]], Comp[], 27, FALSE)</f>
        <v>0</v>
      </c>
      <c r="AE580">
        <f>VLOOKUP(Table9[[#This Row],[Shortname]], Comp[], 28, FALSE)</f>
        <v>0</v>
      </c>
      <c r="AF580">
        <f>VLOOKUP(Table9[[#This Row],[Shortname]], Comp[], 29, FALSE)</f>
        <v>0</v>
      </c>
      <c r="AG580">
        <f>VLOOKUP(Table9[[#This Row],[Shortname]], Comp[], 30, FALSE)</f>
        <v>0</v>
      </c>
      <c r="AH580">
        <f>VLOOKUP(Table9[[#This Row],[Shortname]], Comp[], 31, FALSE)</f>
        <v>0</v>
      </c>
    </row>
    <row r="581" spans="1:34" x14ac:dyDescent="0.3">
      <c r="A581" t="s">
        <v>1680</v>
      </c>
      <c r="B581" t="s">
        <v>4962</v>
      </c>
      <c r="C581" t="s">
        <v>4959</v>
      </c>
      <c r="D581">
        <v>695.58</v>
      </c>
      <c r="E581">
        <v>600</v>
      </c>
      <c r="F581">
        <v>1E-4</v>
      </c>
      <c r="G581">
        <v>1</v>
      </c>
      <c r="I581">
        <f>VLOOKUP(Table9[[#This Row],[Shortname]], Comp[], 6, FALSE)</f>
        <v>214</v>
      </c>
      <c r="J581" s="14">
        <f>VLOOKUP(Table9[[#This Row],[Shortname]], Comp[], 7, FALSE)</f>
        <v>84</v>
      </c>
      <c r="K581">
        <f>VLOOKUP(Table9[[#This Row],[Shortname]], Comp[], 8, FALSE)</f>
        <v>0</v>
      </c>
      <c r="L581">
        <f>VLOOKUP(Table9[[#This Row],[Shortname]], Comp[], 9, FALSE)</f>
        <v>0</v>
      </c>
      <c r="M581">
        <f>VLOOKUP(Table9[[#This Row],[Shortname]], Comp[], 10, FALSE)</f>
        <v>0</v>
      </c>
      <c r="N581">
        <f>VLOOKUP(Table9[[#This Row],[Shortname]], Comp[], 11, FALSE)</f>
        <v>0</v>
      </c>
      <c r="O581">
        <f>VLOOKUP(Table9[[#This Row],[Shortname]], Comp[],12, FALSE)</f>
        <v>12</v>
      </c>
      <c r="P581">
        <f>VLOOKUP(Table9[[#This Row],[Shortname]], Comp[], 13, FALSE)</f>
        <v>0</v>
      </c>
      <c r="Q581">
        <f>VLOOKUP(Table9[[#This Row],[Shortname]], Comp[], 14, FALSE)</f>
        <v>0</v>
      </c>
      <c r="R581">
        <f>VLOOKUP(Table9[[#This Row],[Shortname]], Comp[], 15, FALSE)</f>
        <v>0</v>
      </c>
      <c r="S581">
        <f>VLOOKUP(Table9[[#This Row],[Shortname]], Comp[], 16, FALSE)</f>
        <v>4</v>
      </c>
      <c r="T581">
        <f>VLOOKUP(Table9[[#This Row],[Shortname]], Comp[], 17, FALSE)</f>
        <v>0</v>
      </c>
      <c r="U581">
        <f>VLOOKUP(Table9[[#This Row],[Shortname]], Comp[], 18, FALSE)</f>
        <v>0</v>
      </c>
      <c r="V581">
        <f>VLOOKUP(Table9[[#This Row],[Shortname]], Comp[], 19, FALSE)</f>
        <v>0</v>
      </c>
      <c r="W581">
        <f>VLOOKUP(Table9[[#This Row],[Shortname]], Comp[], 20, FALSE)</f>
        <v>0</v>
      </c>
      <c r="X581">
        <f>VLOOKUP(Table9[[#This Row],[Shortname]], Comp[], 21, FALSE)</f>
        <v>0</v>
      </c>
      <c r="Y581">
        <f>VLOOKUP(Table9[[#This Row],[Shortname]], Comp[], 22, FALSE)</f>
        <v>0</v>
      </c>
      <c r="Z581">
        <f>VLOOKUP(Table9[[#This Row],[Shortname]], Comp[], 23, FALSE)</f>
        <v>0</v>
      </c>
      <c r="AA581">
        <f>VLOOKUP(Table9[[#This Row],[Shortname]], Comp[], 24, FALSE)</f>
        <v>0</v>
      </c>
      <c r="AB581">
        <f>VLOOKUP(Table9[[#This Row],[Shortname]], Comp[], 25, FALSE)</f>
        <v>0</v>
      </c>
      <c r="AC581">
        <f>VLOOKUP(Table9[[#This Row],[Shortname]], Comp[], 26, FALSE)</f>
        <v>0</v>
      </c>
      <c r="AD581">
        <f>VLOOKUP(Table9[[#This Row],[Shortname]], Comp[], 27, FALSE)</f>
        <v>0</v>
      </c>
      <c r="AE581">
        <f>VLOOKUP(Table9[[#This Row],[Shortname]], Comp[], 28, FALSE)</f>
        <v>0</v>
      </c>
      <c r="AF581">
        <f>VLOOKUP(Table9[[#This Row],[Shortname]], Comp[], 29, FALSE)</f>
        <v>0</v>
      </c>
      <c r="AG581">
        <f>VLOOKUP(Table9[[#This Row],[Shortname]], Comp[], 30, FALSE)</f>
        <v>0</v>
      </c>
      <c r="AH581">
        <f>VLOOKUP(Table9[[#This Row],[Shortname]], Comp[], 31, FALSE)</f>
        <v>0</v>
      </c>
    </row>
    <row r="582" spans="1:34" x14ac:dyDescent="0.3">
      <c r="A582" t="s">
        <v>1680</v>
      </c>
      <c r="B582" t="s">
        <v>4962</v>
      </c>
      <c r="C582" t="s">
        <v>4959</v>
      </c>
      <c r="D582">
        <v>509.73</v>
      </c>
      <c r="E582">
        <v>900</v>
      </c>
      <c r="F582">
        <v>1E-4</v>
      </c>
      <c r="G582">
        <v>1</v>
      </c>
      <c r="I582">
        <f>VLOOKUP(Table9[[#This Row],[Shortname]], Comp[], 6, FALSE)</f>
        <v>214</v>
      </c>
      <c r="J582" s="14">
        <f>VLOOKUP(Table9[[#This Row],[Shortname]], Comp[], 7, FALSE)</f>
        <v>84</v>
      </c>
      <c r="K582">
        <f>VLOOKUP(Table9[[#This Row],[Shortname]], Comp[], 8, FALSE)</f>
        <v>0</v>
      </c>
      <c r="L582">
        <f>VLOOKUP(Table9[[#This Row],[Shortname]], Comp[], 9, FALSE)</f>
        <v>0</v>
      </c>
      <c r="M582">
        <f>VLOOKUP(Table9[[#This Row],[Shortname]], Comp[], 10, FALSE)</f>
        <v>0</v>
      </c>
      <c r="N582">
        <f>VLOOKUP(Table9[[#This Row],[Shortname]], Comp[], 11, FALSE)</f>
        <v>0</v>
      </c>
      <c r="O582">
        <f>VLOOKUP(Table9[[#This Row],[Shortname]], Comp[],12, FALSE)</f>
        <v>12</v>
      </c>
      <c r="P582">
        <f>VLOOKUP(Table9[[#This Row],[Shortname]], Comp[], 13, FALSE)</f>
        <v>0</v>
      </c>
      <c r="Q582">
        <f>VLOOKUP(Table9[[#This Row],[Shortname]], Comp[], 14, FALSE)</f>
        <v>0</v>
      </c>
      <c r="R582">
        <f>VLOOKUP(Table9[[#This Row],[Shortname]], Comp[], 15, FALSE)</f>
        <v>0</v>
      </c>
      <c r="S582">
        <f>VLOOKUP(Table9[[#This Row],[Shortname]], Comp[], 16, FALSE)</f>
        <v>4</v>
      </c>
      <c r="T582">
        <f>VLOOKUP(Table9[[#This Row],[Shortname]], Comp[], 17, FALSE)</f>
        <v>0</v>
      </c>
      <c r="U582">
        <f>VLOOKUP(Table9[[#This Row],[Shortname]], Comp[], 18, FALSE)</f>
        <v>0</v>
      </c>
      <c r="V582">
        <f>VLOOKUP(Table9[[#This Row],[Shortname]], Comp[], 19, FALSE)</f>
        <v>0</v>
      </c>
      <c r="W582">
        <f>VLOOKUP(Table9[[#This Row],[Shortname]], Comp[], 20, FALSE)</f>
        <v>0</v>
      </c>
      <c r="X582">
        <f>VLOOKUP(Table9[[#This Row],[Shortname]], Comp[], 21, FALSE)</f>
        <v>0</v>
      </c>
      <c r="Y582">
        <f>VLOOKUP(Table9[[#This Row],[Shortname]], Comp[], 22, FALSE)</f>
        <v>0</v>
      </c>
      <c r="Z582">
        <f>VLOOKUP(Table9[[#This Row],[Shortname]], Comp[], 23, FALSE)</f>
        <v>0</v>
      </c>
      <c r="AA582">
        <f>VLOOKUP(Table9[[#This Row],[Shortname]], Comp[], 24, FALSE)</f>
        <v>0</v>
      </c>
      <c r="AB582">
        <f>VLOOKUP(Table9[[#This Row],[Shortname]], Comp[], 25, FALSE)</f>
        <v>0</v>
      </c>
      <c r="AC582">
        <f>VLOOKUP(Table9[[#This Row],[Shortname]], Comp[], 26, FALSE)</f>
        <v>0</v>
      </c>
      <c r="AD582">
        <f>VLOOKUP(Table9[[#This Row],[Shortname]], Comp[], 27, FALSE)</f>
        <v>0</v>
      </c>
      <c r="AE582">
        <f>VLOOKUP(Table9[[#This Row],[Shortname]], Comp[], 28, FALSE)</f>
        <v>0</v>
      </c>
      <c r="AF582">
        <f>VLOOKUP(Table9[[#This Row],[Shortname]], Comp[], 29, FALSE)</f>
        <v>0</v>
      </c>
      <c r="AG582">
        <f>VLOOKUP(Table9[[#This Row],[Shortname]], Comp[], 30, FALSE)</f>
        <v>0</v>
      </c>
      <c r="AH582">
        <f>VLOOKUP(Table9[[#This Row],[Shortname]], Comp[], 31, FALSE)</f>
        <v>0</v>
      </c>
    </row>
    <row r="583" spans="1:34" x14ac:dyDescent="0.3">
      <c r="A583" t="s">
        <v>2260</v>
      </c>
      <c r="B583" t="s">
        <v>2262</v>
      </c>
      <c r="C583" t="s">
        <v>2235</v>
      </c>
      <c r="D583">
        <v>405</v>
      </c>
      <c r="E583">
        <v>-192</v>
      </c>
      <c r="F583">
        <v>1.1E-4</v>
      </c>
      <c r="G583">
        <v>-1</v>
      </c>
      <c r="H583" t="s">
        <v>6855</v>
      </c>
      <c r="I583">
        <f>VLOOKUP(Table9[[#This Row],[Shortname]], Comp[], 6, FALSE)</f>
        <v>298</v>
      </c>
      <c r="J583" s="14">
        <f>VLOOKUP(Table9[[#This Row],[Shortname]], Comp[], 7, FALSE)</f>
        <v>77.099999999999994</v>
      </c>
      <c r="K583">
        <f>VLOOKUP(Table9[[#This Row],[Shortname]], Comp[], 8, FALSE)</f>
        <v>0</v>
      </c>
      <c r="L583">
        <f>VLOOKUP(Table9[[#This Row],[Shortname]], Comp[], 9, FALSE)</f>
        <v>0</v>
      </c>
      <c r="M583">
        <f>VLOOKUP(Table9[[#This Row],[Shortname]], Comp[], 10, FALSE)</f>
        <v>0</v>
      </c>
      <c r="N583">
        <f>VLOOKUP(Table9[[#This Row],[Shortname]], Comp[], 11, FALSE)</f>
        <v>1</v>
      </c>
      <c r="O583">
        <f>VLOOKUP(Table9[[#This Row],[Shortname]], Comp[],12, FALSE)</f>
        <v>21.9</v>
      </c>
      <c r="P583">
        <f>VLOOKUP(Table9[[#This Row],[Shortname]], Comp[], 13, FALSE)</f>
        <v>0</v>
      </c>
      <c r="Q583">
        <f>VLOOKUP(Table9[[#This Row],[Shortname]], Comp[], 14, FALSE)</f>
        <v>0</v>
      </c>
      <c r="R583">
        <f>VLOOKUP(Table9[[#This Row],[Shortname]], Comp[], 15, FALSE)</f>
        <v>0</v>
      </c>
      <c r="S583">
        <f>VLOOKUP(Table9[[#This Row],[Shortname]], Comp[], 16, FALSE)</f>
        <v>0</v>
      </c>
      <c r="T583">
        <f>VLOOKUP(Table9[[#This Row],[Shortname]], Comp[], 17, FALSE)</f>
        <v>0</v>
      </c>
      <c r="U583">
        <f>VLOOKUP(Table9[[#This Row],[Shortname]], Comp[], 18, FALSE)</f>
        <v>0</v>
      </c>
      <c r="V583">
        <f>VLOOKUP(Table9[[#This Row],[Shortname]], Comp[], 19, FALSE)</f>
        <v>0</v>
      </c>
      <c r="W583">
        <f>VLOOKUP(Table9[[#This Row],[Shortname]], Comp[], 20, FALSE)</f>
        <v>0</v>
      </c>
      <c r="X583">
        <f>VLOOKUP(Table9[[#This Row],[Shortname]], Comp[], 21, FALSE)</f>
        <v>0</v>
      </c>
      <c r="Y583">
        <f>VLOOKUP(Table9[[#This Row],[Shortname]], Comp[], 22, FALSE)</f>
        <v>0</v>
      </c>
      <c r="Z583">
        <f>VLOOKUP(Table9[[#This Row],[Shortname]], Comp[], 23, FALSE)</f>
        <v>0</v>
      </c>
      <c r="AA583">
        <f>VLOOKUP(Table9[[#This Row],[Shortname]], Comp[], 24, FALSE)</f>
        <v>0</v>
      </c>
      <c r="AB583">
        <f>VLOOKUP(Table9[[#This Row],[Shortname]], Comp[], 25, FALSE)</f>
        <v>0</v>
      </c>
      <c r="AC583">
        <f>VLOOKUP(Table9[[#This Row],[Shortname]], Comp[], 26, FALSE)</f>
        <v>0</v>
      </c>
      <c r="AD583">
        <f>VLOOKUP(Table9[[#This Row],[Shortname]], Comp[], 27, FALSE)</f>
        <v>0</v>
      </c>
      <c r="AE583">
        <f>VLOOKUP(Table9[[#This Row],[Shortname]], Comp[], 28, FALSE)</f>
        <v>0</v>
      </c>
      <c r="AF583">
        <f>VLOOKUP(Table9[[#This Row],[Shortname]], Comp[], 29, FALSE)</f>
        <v>0</v>
      </c>
      <c r="AG583">
        <f>VLOOKUP(Table9[[#This Row],[Shortname]], Comp[], 30, FALSE)</f>
        <v>0</v>
      </c>
      <c r="AH583">
        <f>VLOOKUP(Table9[[#This Row],[Shortname]], Comp[], 31, FALSE)</f>
        <v>0</v>
      </c>
    </row>
    <row r="584" spans="1:34" x14ac:dyDescent="0.3">
      <c r="A584" t="s">
        <v>2260</v>
      </c>
      <c r="B584" t="s">
        <v>2262</v>
      </c>
      <c r="C584" t="s">
        <v>2235</v>
      </c>
      <c r="D584">
        <v>359</v>
      </c>
      <c r="E584">
        <v>600</v>
      </c>
      <c r="F584">
        <v>1.1E-4</v>
      </c>
      <c r="G584">
        <v>-1</v>
      </c>
      <c r="H584" t="s">
        <v>6855</v>
      </c>
      <c r="I584">
        <f>VLOOKUP(Table9[[#This Row],[Shortname]], Comp[], 6, FALSE)</f>
        <v>298</v>
      </c>
      <c r="J584" s="14">
        <f>VLOOKUP(Table9[[#This Row],[Shortname]], Comp[], 7, FALSE)</f>
        <v>77.099999999999994</v>
      </c>
      <c r="K584">
        <f>VLOOKUP(Table9[[#This Row],[Shortname]], Comp[], 8, FALSE)</f>
        <v>0</v>
      </c>
      <c r="L584">
        <f>VLOOKUP(Table9[[#This Row],[Shortname]], Comp[], 9, FALSE)</f>
        <v>0</v>
      </c>
      <c r="M584">
        <f>VLOOKUP(Table9[[#This Row],[Shortname]], Comp[], 10, FALSE)</f>
        <v>0</v>
      </c>
      <c r="N584">
        <f>VLOOKUP(Table9[[#This Row],[Shortname]], Comp[], 11, FALSE)</f>
        <v>1</v>
      </c>
      <c r="O584">
        <f>VLOOKUP(Table9[[#This Row],[Shortname]], Comp[],12, FALSE)</f>
        <v>21.9</v>
      </c>
      <c r="P584">
        <f>VLOOKUP(Table9[[#This Row],[Shortname]], Comp[], 13, FALSE)</f>
        <v>0</v>
      </c>
      <c r="Q584">
        <f>VLOOKUP(Table9[[#This Row],[Shortname]], Comp[], 14, FALSE)</f>
        <v>0</v>
      </c>
      <c r="R584">
        <f>VLOOKUP(Table9[[#This Row],[Shortname]], Comp[], 15, FALSE)</f>
        <v>0</v>
      </c>
      <c r="S584">
        <f>VLOOKUP(Table9[[#This Row],[Shortname]], Comp[], 16, FALSE)</f>
        <v>0</v>
      </c>
      <c r="T584">
        <f>VLOOKUP(Table9[[#This Row],[Shortname]], Comp[], 17, FALSE)</f>
        <v>0</v>
      </c>
      <c r="U584">
        <f>VLOOKUP(Table9[[#This Row],[Shortname]], Comp[], 18, FALSE)</f>
        <v>0</v>
      </c>
      <c r="V584">
        <f>VLOOKUP(Table9[[#This Row],[Shortname]], Comp[], 19, FALSE)</f>
        <v>0</v>
      </c>
      <c r="W584">
        <f>VLOOKUP(Table9[[#This Row],[Shortname]], Comp[], 20, FALSE)</f>
        <v>0</v>
      </c>
      <c r="X584">
        <f>VLOOKUP(Table9[[#This Row],[Shortname]], Comp[], 21, FALSE)</f>
        <v>0</v>
      </c>
      <c r="Y584">
        <f>VLOOKUP(Table9[[#This Row],[Shortname]], Comp[], 22, FALSE)</f>
        <v>0</v>
      </c>
      <c r="Z584">
        <f>VLOOKUP(Table9[[#This Row],[Shortname]], Comp[], 23, FALSE)</f>
        <v>0</v>
      </c>
      <c r="AA584">
        <f>VLOOKUP(Table9[[#This Row],[Shortname]], Comp[], 24, FALSE)</f>
        <v>0</v>
      </c>
      <c r="AB584">
        <f>VLOOKUP(Table9[[#This Row],[Shortname]], Comp[], 25, FALSE)</f>
        <v>0</v>
      </c>
      <c r="AC584">
        <f>VLOOKUP(Table9[[#This Row],[Shortname]], Comp[], 26, FALSE)</f>
        <v>0</v>
      </c>
      <c r="AD584">
        <f>VLOOKUP(Table9[[#This Row],[Shortname]], Comp[], 27, FALSE)</f>
        <v>0</v>
      </c>
      <c r="AE584">
        <f>VLOOKUP(Table9[[#This Row],[Shortname]], Comp[], 28, FALSE)</f>
        <v>0</v>
      </c>
      <c r="AF584">
        <f>VLOOKUP(Table9[[#This Row],[Shortname]], Comp[], 29, FALSE)</f>
        <v>0</v>
      </c>
      <c r="AG584">
        <f>VLOOKUP(Table9[[#This Row],[Shortname]], Comp[], 30, FALSE)</f>
        <v>0</v>
      </c>
      <c r="AH584">
        <f>VLOOKUP(Table9[[#This Row],[Shortname]], Comp[], 31, FALSE)</f>
        <v>0</v>
      </c>
    </row>
    <row r="585" spans="1:34" x14ac:dyDescent="0.3">
      <c r="A585" t="s">
        <v>2260</v>
      </c>
      <c r="B585" t="s">
        <v>2262</v>
      </c>
      <c r="C585" t="s">
        <v>2235</v>
      </c>
      <c r="D585">
        <v>338</v>
      </c>
      <c r="E585">
        <v>800</v>
      </c>
      <c r="F585">
        <v>1.1E-4</v>
      </c>
      <c r="G585">
        <v>-1</v>
      </c>
      <c r="H585" t="s">
        <v>6855</v>
      </c>
      <c r="I585">
        <f>VLOOKUP(Table9[[#This Row],[Shortname]], Comp[], 6, FALSE)</f>
        <v>298</v>
      </c>
      <c r="J585" s="14">
        <f>VLOOKUP(Table9[[#This Row],[Shortname]], Comp[], 7, FALSE)</f>
        <v>77.099999999999994</v>
      </c>
      <c r="K585">
        <f>VLOOKUP(Table9[[#This Row],[Shortname]], Comp[], 8, FALSE)</f>
        <v>0</v>
      </c>
      <c r="L585">
        <f>VLOOKUP(Table9[[#This Row],[Shortname]], Comp[], 9, FALSE)</f>
        <v>0</v>
      </c>
      <c r="M585">
        <f>VLOOKUP(Table9[[#This Row],[Shortname]], Comp[], 10, FALSE)</f>
        <v>0</v>
      </c>
      <c r="N585">
        <f>VLOOKUP(Table9[[#This Row],[Shortname]], Comp[], 11, FALSE)</f>
        <v>1</v>
      </c>
      <c r="O585">
        <f>VLOOKUP(Table9[[#This Row],[Shortname]], Comp[],12, FALSE)</f>
        <v>21.9</v>
      </c>
      <c r="P585">
        <f>VLOOKUP(Table9[[#This Row],[Shortname]], Comp[], 13, FALSE)</f>
        <v>0</v>
      </c>
      <c r="Q585">
        <f>VLOOKUP(Table9[[#This Row],[Shortname]], Comp[], 14, FALSE)</f>
        <v>0</v>
      </c>
      <c r="R585">
        <f>VLOOKUP(Table9[[#This Row],[Shortname]], Comp[], 15, FALSE)</f>
        <v>0</v>
      </c>
      <c r="S585">
        <f>VLOOKUP(Table9[[#This Row],[Shortname]], Comp[], 16, FALSE)</f>
        <v>0</v>
      </c>
      <c r="T585">
        <f>VLOOKUP(Table9[[#This Row],[Shortname]], Comp[], 17, FALSE)</f>
        <v>0</v>
      </c>
      <c r="U585">
        <f>VLOOKUP(Table9[[#This Row],[Shortname]], Comp[], 18, FALSE)</f>
        <v>0</v>
      </c>
      <c r="V585">
        <f>VLOOKUP(Table9[[#This Row],[Shortname]], Comp[], 19, FALSE)</f>
        <v>0</v>
      </c>
      <c r="W585">
        <f>VLOOKUP(Table9[[#This Row],[Shortname]], Comp[], 20, FALSE)</f>
        <v>0</v>
      </c>
      <c r="X585">
        <f>VLOOKUP(Table9[[#This Row],[Shortname]], Comp[], 21, FALSE)</f>
        <v>0</v>
      </c>
      <c r="Y585">
        <f>VLOOKUP(Table9[[#This Row],[Shortname]], Comp[], 22, FALSE)</f>
        <v>0</v>
      </c>
      <c r="Z585">
        <f>VLOOKUP(Table9[[#This Row],[Shortname]], Comp[], 23, FALSE)</f>
        <v>0</v>
      </c>
      <c r="AA585">
        <f>VLOOKUP(Table9[[#This Row],[Shortname]], Comp[], 24, FALSE)</f>
        <v>0</v>
      </c>
      <c r="AB585">
        <f>VLOOKUP(Table9[[#This Row],[Shortname]], Comp[], 25, FALSE)</f>
        <v>0</v>
      </c>
      <c r="AC585">
        <f>VLOOKUP(Table9[[#This Row],[Shortname]], Comp[], 26, FALSE)</f>
        <v>0</v>
      </c>
      <c r="AD585">
        <f>VLOOKUP(Table9[[#This Row],[Shortname]], Comp[], 27, FALSE)</f>
        <v>0</v>
      </c>
      <c r="AE585">
        <f>VLOOKUP(Table9[[#This Row],[Shortname]], Comp[], 28, FALSE)</f>
        <v>0</v>
      </c>
      <c r="AF585">
        <f>VLOOKUP(Table9[[#This Row],[Shortname]], Comp[], 29, FALSE)</f>
        <v>0</v>
      </c>
      <c r="AG585">
        <f>VLOOKUP(Table9[[#This Row],[Shortname]], Comp[], 30, FALSE)</f>
        <v>0</v>
      </c>
      <c r="AH585">
        <f>VLOOKUP(Table9[[#This Row],[Shortname]], Comp[], 31, FALSE)</f>
        <v>0</v>
      </c>
    </row>
    <row r="586" spans="1:34" x14ac:dyDescent="0.3">
      <c r="A586" t="s">
        <v>2260</v>
      </c>
      <c r="B586" t="s">
        <v>2262</v>
      </c>
      <c r="C586" t="s">
        <v>2235</v>
      </c>
      <c r="D586">
        <v>278</v>
      </c>
      <c r="E586">
        <v>25</v>
      </c>
      <c r="F586">
        <v>1.1E-4</v>
      </c>
      <c r="G586">
        <v>-1</v>
      </c>
      <c r="H586" t="s">
        <v>6855</v>
      </c>
      <c r="I586">
        <f>VLOOKUP(Table9[[#This Row],[Shortname]], Comp[], 6, FALSE)</f>
        <v>298</v>
      </c>
      <c r="J586" s="14">
        <f>VLOOKUP(Table9[[#This Row],[Shortname]], Comp[], 7, FALSE)</f>
        <v>77.099999999999994</v>
      </c>
      <c r="K586">
        <f>VLOOKUP(Table9[[#This Row],[Shortname]], Comp[], 8, FALSE)</f>
        <v>0</v>
      </c>
      <c r="L586">
        <f>VLOOKUP(Table9[[#This Row],[Shortname]], Comp[], 9, FALSE)</f>
        <v>0</v>
      </c>
      <c r="M586">
        <f>VLOOKUP(Table9[[#This Row],[Shortname]], Comp[], 10, FALSE)</f>
        <v>0</v>
      </c>
      <c r="N586">
        <f>VLOOKUP(Table9[[#This Row],[Shortname]], Comp[], 11, FALSE)</f>
        <v>1</v>
      </c>
      <c r="O586">
        <f>VLOOKUP(Table9[[#This Row],[Shortname]], Comp[],12, FALSE)</f>
        <v>21.9</v>
      </c>
      <c r="P586">
        <f>VLOOKUP(Table9[[#This Row],[Shortname]], Comp[], 13, FALSE)</f>
        <v>0</v>
      </c>
      <c r="Q586">
        <f>VLOOKUP(Table9[[#This Row],[Shortname]], Comp[], 14, FALSE)</f>
        <v>0</v>
      </c>
      <c r="R586">
        <f>VLOOKUP(Table9[[#This Row],[Shortname]], Comp[], 15, FALSE)</f>
        <v>0</v>
      </c>
      <c r="S586">
        <f>VLOOKUP(Table9[[#This Row],[Shortname]], Comp[], 16, FALSE)</f>
        <v>0</v>
      </c>
      <c r="T586">
        <f>VLOOKUP(Table9[[#This Row],[Shortname]], Comp[], 17, FALSE)</f>
        <v>0</v>
      </c>
      <c r="U586">
        <f>VLOOKUP(Table9[[#This Row],[Shortname]], Comp[], 18, FALSE)</f>
        <v>0</v>
      </c>
      <c r="V586">
        <f>VLOOKUP(Table9[[#This Row],[Shortname]], Comp[], 19, FALSE)</f>
        <v>0</v>
      </c>
      <c r="W586">
        <f>VLOOKUP(Table9[[#This Row],[Shortname]], Comp[], 20, FALSE)</f>
        <v>0</v>
      </c>
      <c r="X586">
        <f>VLOOKUP(Table9[[#This Row],[Shortname]], Comp[], 21, FALSE)</f>
        <v>0</v>
      </c>
      <c r="Y586">
        <f>VLOOKUP(Table9[[#This Row],[Shortname]], Comp[], 22, FALSE)</f>
        <v>0</v>
      </c>
      <c r="Z586">
        <f>VLOOKUP(Table9[[#This Row],[Shortname]], Comp[], 23, FALSE)</f>
        <v>0</v>
      </c>
      <c r="AA586">
        <f>VLOOKUP(Table9[[#This Row],[Shortname]], Comp[], 24, FALSE)</f>
        <v>0</v>
      </c>
      <c r="AB586">
        <f>VLOOKUP(Table9[[#This Row],[Shortname]], Comp[], 25, FALSE)</f>
        <v>0</v>
      </c>
      <c r="AC586">
        <f>VLOOKUP(Table9[[#This Row],[Shortname]], Comp[], 26, FALSE)</f>
        <v>0</v>
      </c>
      <c r="AD586">
        <f>VLOOKUP(Table9[[#This Row],[Shortname]], Comp[], 27, FALSE)</f>
        <v>0</v>
      </c>
      <c r="AE586">
        <f>VLOOKUP(Table9[[#This Row],[Shortname]], Comp[], 28, FALSE)</f>
        <v>0</v>
      </c>
      <c r="AF586">
        <f>VLOOKUP(Table9[[#This Row],[Shortname]], Comp[], 29, FALSE)</f>
        <v>0</v>
      </c>
      <c r="AG586">
        <f>VLOOKUP(Table9[[#This Row],[Shortname]], Comp[], 30, FALSE)</f>
        <v>0</v>
      </c>
      <c r="AH586">
        <f>VLOOKUP(Table9[[#This Row],[Shortname]], Comp[], 31, FALSE)</f>
        <v>0</v>
      </c>
    </row>
    <row r="587" spans="1:34" x14ac:dyDescent="0.3">
      <c r="A587" t="s">
        <v>2260</v>
      </c>
      <c r="B587" t="s">
        <v>2262</v>
      </c>
      <c r="C587" t="s">
        <v>2235</v>
      </c>
      <c r="D587">
        <v>272</v>
      </c>
      <c r="E587">
        <v>400</v>
      </c>
      <c r="F587">
        <v>1.1E-4</v>
      </c>
      <c r="G587">
        <v>-1</v>
      </c>
      <c r="H587" t="s">
        <v>6855</v>
      </c>
      <c r="I587">
        <f>VLOOKUP(Table9[[#This Row],[Shortname]], Comp[], 6, FALSE)</f>
        <v>298</v>
      </c>
      <c r="J587" s="14">
        <f>VLOOKUP(Table9[[#This Row],[Shortname]], Comp[], 7, FALSE)</f>
        <v>77.099999999999994</v>
      </c>
      <c r="K587">
        <f>VLOOKUP(Table9[[#This Row],[Shortname]], Comp[], 8, FALSE)</f>
        <v>0</v>
      </c>
      <c r="L587">
        <f>VLOOKUP(Table9[[#This Row],[Shortname]], Comp[], 9, FALSE)</f>
        <v>0</v>
      </c>
      <c r="M587">
        <f>VLOOKUP(Table9[[#This Row],[Shortname]], Comp[], 10, FALSE)</f>
        <v>0</v>
      </c>
      <c r="N587">
        <f>VLOOKUP(Table9[[#This Row],[Shortname]], Comp[], 11, FALSE)</f>
        <v>1</v>
      </c>
      <c r="O587">
        <f>VLOOKUP(Table9[[#This Row],[Shortname]], Comp[],12, FALSE)</f>
        <v>21.9</v>
      </c>
      <c r="P587">
        <f>VLOOKUP(Table9[[#This Row],[Shortname]], Comp[], 13, FALSE)</f>
        <v>0</v>
      </c>
      <c r="Q587">
        <f>VLOOKUP(Table9[[#This Row],[Shortname]], Comp[], 14, FALSE)</f>
        <v>0</v>
      </c>
      <c r="R587">
        <f>VLOOKUP(Table9[[#This Row],[Shortname]], Comp[], 15, FALSE)</f>
        <v>0</v>
      </c>
      <c r="S587">
        <f>VLOOKUP(Table9[[#This Row],[Shortname]], Comp[], 16, FALSE)</f>
        <v>0</v>
      </c>
      <c r="T587">
        <f>VLOOKUP(Table9[[#This Row],[Shortname]], Comp[], 17, FALSE)</f>
        <v>0</v>
      </c>
      <c r="U587">
        <f>VLOOKUP(Table9[[#This Row],[Shortname]], Comp[], 18, FALSE)</f>
        <v>0</v>
      </c>
      <c r="V587">
        <f>VLOOKUP(Table9[[#This Row],[Shortname]], Comp[], 19, FALSE)</f>
        <v>0</v>
      </c>
      <c r="W587">
        <f>VLOOKUP(Table9[[#This Row],[Shortname]], Comp[], 20, FALSE)</f>
        <v>0</v>
      </c>
      <c r="X587">
        <f>VLOOKUP(Table9[[#This Row],[Shortname]], Comp[], 21, FALSE)</f>
        <v>0</v>
      </c>
      <c r="Y587">
        <f>VLOOKUP(Table9[[#This Row],[Shortname]], Comp[], 22, FALSE)</f>
        <v>0</v>
      </c>
      <c r="Z587">
        <f>VLOOKUP(Table9[[#This Row],[Shortname]], Comp[], 23, FALSE)</f>
        <v>0</v>
      </c>
      <c r="AA587">
        <f>VLOOKUP(Table9[[#This Row],[Shortname]], Comp[], 24, FALSE)</f>
        <v>0</v>
      </c>
      <c r="AB587">
        <f>VLOOKUP(Table9[[#This Row],[Shortname]], Comp[], 25, FALSE)</f>
        <v>0</v>
      </c>
      <c r="AC587">
        <f>VLOOKUP(Table9[[#This Row],[Shortname]], Comp[], 26, FALSE)</f>
        <v>0</v>
      </c>
      <c r="AD587">
        <f>VLOOKUP(Table9[[#This Row],[Shortname]], Comp[], 27, FALSE)</f>
        <v>0</v>
      </c>
      <c r="AE587">
        <f>VLOOKUP(Table9[[#This Row],[Shortname]], Comp[], 28, FALSE)</f>
        <v>0</v>
      </c>
      <c r="AF587">
        <f>VLOOKUP(Table9[[#This Row],[Shortname]], Comp[], 29, FALSE)</f>
        <v>0</v>
      </c>
      <c r="AG587">
        <f>VLOOKUP(Table9[[#This Row],[Shortname]], Comp[], 30, FALSE)</f>
        <v>0</v>
      </c>
      <c r="AH587">
        <f>VLOOKUP(Table9[[#This Row],[Shortname]], Comp[], 31, FALSE)</f>
        <v>0</v>
      </c>
    </row>
    <row r="588" spans="1:34" x14ac:dyDescent="0.3">
      <c r="A588" t="s">
        <v>2260</v>
      </c>
      <c r="B588" t="s">
        <v>2262</v>
      </c>
      <c r="C588" t="s">
        <v>2235</v>
      </c>
      <c r="D588">
        <v>251</v>
      </c>
      <c r="E588">
        <v>200</v>
      </c>
      <c r="F588">
        <v>1.1E-4</v>
      </c>
      <c r="G588">
        <v>-1</v>
      </c>
      <c r="H588" t="s">
        <v>6855</v>
      </c>
      <c r="I588">
        <f>VLOOKUP(Table9[[#This Row],[Shortname]], Comp[], 6, FALSE)</f>
        <v>298</v>
      </c>
      <c r="J588" s="14">
        <f>VLOOKUP(Table9[[#This Row],[Shortname]], Comp[], 7, FALSE)</f>
        <v>77.099999999999994</v>
      </c>
      <c r="K588">
        <f>VLOOKUP(Table9[[#This Row],[Shortname]], Comp[], 8, FALSE)</f>
        <v>0</v>
      </c>
      <c r="L588">
        <f>VLOOKUP(Table9[[#This Row],[Shortname]], Comp[], 9, FALSE)</f>
        <v>0</v>
      </c>
      <c r="M588">
        <f>VLOOKUP(Table9[[#This Row],[Shortname]], Comp[], 10, FALSE)</f>
        <v>0</v>
      </c>
      <c r="N588">
        <f>VLOOKUP(Table9[[#This Row],[Shortname]], Comp[], 11, FALSE)</f>
        <v>1</v>
      </c>
      <c r="O588">
        <f>VLOOKUP(Table9[[#This Row],[Shortname]], Comp[],12, FALSE)</f>
        <v>21.9</v>
      </c>
      <c r="P588">
        <f>VLOOKUP(Table9[[#This Row],[Shortname]], Comp[], 13, FALSE)</f>
        <v>0</v>
      </c>
      <c r="Q588">
        <f>VLOOKUP(Table9[[#This Row],[Shortname]], Comp[], 14, FALSE)</f>
        <v>0</v>
      </c>
      <c r="R588">
        <f>VLOOKUP(Table9[[#This Row],[Shortname]], Comp[], 15, FALSE)</f>
        <v>0</v>
      </c>
      <c r="S588">
        <f>VLOOKUP(Table9[[#This Row],[Shortname]], Comp[], 16, FALSE)</f>
        <v>0</v>
      </c>
      <c r="T588">
        <f>VLOOKUP(Table9[[#This Row],[Shortname]], Comp[], 17, FALSE)</f>
        <v>0</v>
      </c>
      <c r="U588">
        <f>VLOOKUP(Table9[[#This Row],[Shortname]], Comp[], 18, FALSE)</f>
        <v>0</v>
      </c>
      <c r="V588">
        <f>VLOOKUP(Table9[[#This Row],[Shortname]], Comp[], 19, FALSE)</f>
        <v>0</v>
      </c>
      <c r="W588">
        <f>VLOOKUP(Table9[[#This Row],[Shortname]], Comp[], 20, FALSE)</f>
        <v>0</v>
      </c>
      <c r="X588">
        <f>VLOOKUP(Table9[[#This Row],[Shortname]], Comp[], 21, FALSE)</f>
        <v>0</v>
      </c>
      <c r="Y588">
        <f>VLOOKUP(Table9[[#This Row],[Shortname]], Comp[], 22, FALSE)</f>
        <v>0</v>
      </c>
      <c r="Z588">
        <f>VLOOKUP(Table9[[#This Row],[Shortname]], Comp[], 23, FALSE)</f>
        <v>0</v>
      </c>
      <c r="AA588">
        <f>VLOOKUP(Table9[[#This Row],[Shortname]], Comp[], 24, FALSE)</f>
        <v>0</v>
      </c>
      <c r="AB588">
        <f>VLOOKUP(Table9[[#This Row],[Shortname]], Comp[], 25, FALSE)</f>
        <v>0</v>
      </c>
      <c r="AC588">
        <f>VLOOKUP(Table9[[#This Row],[Shortname]], Comp[], 26, FALSE)</f>
        <v>0</v>
      </c>
      <c r="AD588">
        <f>VLOOKUP(Table9[[#This Row],[Shortname]], Comp[], 27, FALSE)</f>
        <v>0</v>
      </c>
      <c r="AE588">
        <f>VLOOKUP(Table9[[#This Row],[Shortname]], Comp[], 28, FALSE)</f>
        <v>0</v>
      </c>
      <c r="AF588">
        <f>VLOOKUP(Table9[[#This Row],[Shortname]], Comp[], 29, FALSE)</f>
        <v>0</v>
      </c>
      <c r="AG588">
        <f>VLOOKUP(Table9[[#This Row],[Shortname]], Comp[], 30, FALSE)</f>
        <v>0</v>
      </c>
      <c r="AH588">
        <f>VLOOKUP(Table9[[#This Row],[Shortname]], Comp[], 31, FALSE)</f>
        <v>0</v>
      </c>
    </row>
    <row r="589" spans="1:34" x14ac:dyDescent="0.3">
      <c r="A589" t="s">
        <v>2260</v>
      </c>
      <c r="B589" t="s">
        <v>2262</v>
      </c>
      <c r="C589" t="s">
        <v>2235</v>
      </c>
      <c r="D589">
        <v>100</v>
      </c>
      <c r="E589">
        <v>1000</v>
      </c>
      <c r="F589">
        <v>1.1E-4</v>
      </c>
      <c r="G589">
        <v>-1</v>
      </c>
      <c r="H589" t="s">
        <v>6855</v>
      </c>
      <c r="I589">
        <f>VLOOKUP(Table9[[#This Row],[Shortname]], Comp[], 6, FALSE)</f>
        <v>298</v>
      </c>
      <c r="J589" s="14">
        <f>VLOOKUP(Table9[[#This Row],[Shortname]], Comp[], 7, FALSE)</f>
        <v>77.099999999999994</v>
      </c>
      <c r="K589">
        <f>VLOOKUP(Table9[[#This Row],[Shortname]], Comp[], 8, FALSE)</f>
        <v>0</v>
      </c>
      <c r="L589">
        <f>VLOOKUP(Table9[[#This Row],[Shortname]], Comp[], 9, FALSE)</f>
        <v>0</v>
      </c>
      <c r="M589">
        <f>VLOOKUP(Table9[[#This Row],[Shortname]], Comp[], 10, FALSE)</f>
        <v>0</v>
      </c>
      <c r="N589">
        <f>VLOOKUP(Table9[[#This Row],[Shortname]], Comp[], 11, FALSE)</f>
        <v>1</v>
      </c>
      <c r="O589">
        <f>VLOOKUP(Table9[[#This Row],[Shortname]], Comp[],12, FALSE)</f>
        <v>21.9</v>
      </c>
      <c r="P589">
        <f>VLOOKUP(Table9[[#This Row],[Shortname]], Comp[], 13, FALSE)</f>
        <v>0</v>
      </c>
      <c r="Q589">
        <f>VLOOKUP(Table9[[#This Row],[Shortname]], Comp[], 14, FALSE)</f>
        <v>0</v>
      </c>
      <c r="R589">
        <f>VLOOKUP(Table9[[#This Row],[Shortname]], Comp[], 15, FALSE)</f>
        <v>0</v>
      </c>
      <c r="S589">
        <f>VLOOKUP(Table9[[#This Row],[Shortname]], Comp[], 16, FALSE)</f>
        <v>0</v>
      </c>
      <c r="T589">
        <f>VLOOKUP(Table9[[#This Row],[Shortname]], Comp[], 17, FALSE)</f>
        <v>0</v>
      </c>
      <c r="U589">
        <f>VLOOKUP(Table9[[#This Row],[Shortname]], Comp[], 18, FALSE)</f>
        <v>0</v>
      </c>
      <c r="V589">
        <f>VLOOKUP(Table9[[#This Row],[Shortname]], Comp[], 19, FALSE)</f>
        <v>0</v>
      </c>
      <c r="W589">
        <f>VLOOKUP(Table9[[#This Row],[Shortname]], Comp[], 20, FALSE)</f>
        <v>0</v>
      </c>
      <c r="X589">
        <f>VLOOKUP(Table9[[#This Row],[Shortname]], Comp[], 21, FALSE)</f>
        <v>0</v>
      </c>
      <c r="Y589">
        <f>VLOOKUP(Table9[[#This Row],[Shortname]], Comp[], 22, FALSE)</f>
        <v>0</v>
      </c>
      <c r="Z589">
        <f>VLOOKUP(Table9[[#This Row],[Shortname]], Comp[], 23, FALSE)</f>
        <v>0</v>
      </c>
      <c r="AA589">
        <f>VLOOKUP(Table9[[#This Row],[Shortname]], Comp[], 24, FALSE)</f>
        <v>0</v>
      </c>
      <c r="AB589">
        <f>VLOOKUP(Table9[[#This Row],[Shortname]], Comp[], 25, FALSE)</f>
        <v>0</v>
      </c>
      <c r="AC589">
        <f>VLOOKUP(Table9[[#This Row],[Shortname]], Comp[], 26, FALSE)</f>
        <v>0</v>
      </c>
      <c r="AD589">
        <f>VLOOKUP(Table9[[#This Row],[Shortname]], Comp[], 27, FALSE)</f>
        <v>0</v>
      </c>
      <c r="AE589">
        <f>VLOOKUP(Table9[[#This Row],[Shortname]], Comp[], 28, FALSE)</f>
        <v>0</v>
      </c>
      <c r="AF589">
        <f>VLOOKUP(Table9[[#This Row],[Shortname]], Comp[], 29, FALSE)</f>
        <v>0</v>
      </c>
      <c r="AG589">
        <f>VLOOKUP(Table9[[#This Row],[Shortname]], Comp[], 30, FALSE)</f>
        <v>0</v>
      </c>
      <c r="AH589">
        <f>VLOOKUP(Table9[[#This Row],[Shortname]], Comp[], 31, FALSE)</f>
        <v>0</v>
      </c>
    </row>
    <row r="590" spans="1:34" x14ac:dyDescent="0.3">
      <c r="A590" t="s">
        <v>2297</v>
      </c>
      <c r="B590" t="s">
        <v>2299</v>
      </c>
      <c r="C590" t="s">
        <v>2235</v>
      </c>
      <c r="D590">
        <v>360</v>
      </c>
      <c r="E590">
        <v>800</v>
      </c>
      <c r="F590">
        <v>1.1E-4</v>
      </c>
      <c r="G590">
        <v>-1</v>
      </c>
      <c r="H590" t="s">
        <v>6855</v>
      </c>
      <c r="I590">
        <f>VLOOKUP(Table9[[#This Row],[Shortname]], Comp[], 6, FALSE)</f>
        <v>303</v>
      </c>
      <c r="J590" s="14">
        <f>VLOOKUP(Table9[[#This Row],[Shortname]], Comp[], 7, FALSE)</f>
        <v>77.25</v>
      </c>
      <c r="K590">
        <f>VLOOKUP(Table9[[#This Row],[Shortname]], Comp[], 8, FALSE)</f>
        <v>0</v>
      </c>
      <c r="L590">
        <f>VLOOKUP(Table9[[#This Row],[Shortname]], Comp[], 9, FALSE)</f>
        <v>0</v>
      </c>
      <c r="M590">
        <f>VLOOKUP(Table9[[#This Row],[Shortname]], Comp[], 10, FALSE)</f>
        <v>0</v>
      </c>
      <c r="N590">
        <f>VLOOKUP(Table9[[#This Row],[Shortname]], Comp[], 11, FALSE)</f>
        <v>0</v>
      </c>
      <c r="O590">
        <f>VLOOKUP(Table9[[#This Row],[Shortname]], Comp[],12, FALSE)</f>
        <v>19.8</v>
      </c>
      <c r="P590">
        <f>VLOOKUP(Table9[[#This Row],[Shortname]], Comp[], 13, FALSE)</f>
        <v>0</v>
      </c>
      <c r="Q590">
        <f>VLOOKUP(Table9[[#This Row],[Shortname]], Comp[], 14, FALSE)</f>
        <v>0</v>
      </c>
      <c r="R590">
        <f>VLOOKUP(Table9[[#This Row],[Shortname]], Comp[], 15, FALSE)</f>
        <v>2.95</v>
      </c>
      <c r="S590">
        <f>VLOOKUP(Table9[[#This Row],[Shortname]], Comp[], 16, FALSE)</f>
        <v>0</v>
      </c>
      <c r="T590">
        <f>VLOOKUP(Table9[[#This Row],[Shortname]], Comp[], 17, FALSE)</f>
        <v>0</v>
      </c>
      <c r="U590">
        <f>VLOOKUP(Table9[[#This Row],[Shortname]], Comp[], 18, FALSE)</f>
        <v>0</v>
      </c>
      <c r="V590">
        <f>VLOOKUP(Table9[[#This Row],[Shortname]], Comp[], 19, FALSE)</f>
        <v>0</v>
      </c>
      <c r="W590">
        <f>VLOOKUP(Table9[[#This Row],[Shortname]], Comp[], 20, FALSE)</f>
        <v>0</v>
      </c>
      <c r="X590">
        <f>VLOOKUP(Table9[[#This Row],[Shortname]], Comp[], 21, FALSE)</f>
        <v>0</v>
      </c>
      <c r="Y590">
        <f>VLOOKUP(Table9[[#This Row],[Shortname]], Comp[], 22, FALSE)</f>
        <v>0</v>
      </c>
      <c r="Z590">
        <f>VLOOKUP(Table9[[#This Row],[Shortname]], Comp[], 23, FALSE)</f>
        <v>0</v>
      </c>
      <c r="AA590">
        <f>VLOOKUP(Table9[[#This Row],[Shortname]], Comp[], 24, FALSE)</f>
        <v>0</v>
      </c>
      <c r="AB590">
        <f>VLOOKUP(Table9[[#This Row],[Shortname]], Comp[], 25, FALSE)</f>
        <v>0</v>
      </c>
      <c r="AC590">
        <f>VLOOKUP(Table9[[#This Row],[Shortname]], Comp[], 26, FALSE)</f>
        <v>0</v>
      </c>
      <c r="AD590">
        <f>VLOOKUP(Table9[[#This Row],[Shortname]], Comp[], 27, FALSE)</f>
        <v>0</v>
      </c>
      <c r="AE590">
        <f>VLOOKUP(Table9[[#This Row],[Shortname]], Comp[], 28, FALSE)</f>
        <v>0</v>
      </c>
      <c r="AF590">
        <f>VLOOKUP(Table9[[#This Row],[Shortname]], Comp[], 29, FALSE)</f>
        <v>0</v>
      </c>
      <c r="AG590">
        <f>VLOOKUP(Table9[[#This Row],[Shortname]], Comp[], 30, FALSE)</f>
        <v>0</v>
      </c>
      <c r="AH590">
        <f>VLOOKUP(Table9[[#This Row],[Shortname]], Comp[], 31, FALSE)</f>
        <v>0</v>
      </c>
    </row>
    <row r="591" spans="1:34" x14ac:dyDescent="0.3">
      <c r="A591" t="s">
        <v>2297</v>
      </c>
      <c r="B591" t="s">
        <v>2299</v>
      </c>
      <c r="C591" t="s">
        <v>2235</v>
      </c>
      <c r="D591">
        <v>333</v>
      </c>
      <c r="E591">
        <v>-192</v>
      </c>
      <c r="F591">
        <v>1.1E-4</v>
      </c>
      <c r="G591">
        <v>-1</v>
      </c>
      <c r="H591" t="s">
        <v>6855</v>
      </c>
      <c r="I591">
        <f>VLOOKUP(Table9[[#This Row],[Shortname]], Comp[], 6, FALSE)</f>
        <v>303</v>
      </c>
      <c r="J591" s="14">
        <f>VLOOKUP(Table9[[#This Row],[Shortname]], Comp[], 7, FALSE)</f>
        <v>77.25</v>
      </c>
      <c r="K591">
        <f>VLOOKUP(Table9[[#This Row],[Shortname]], Comp[], 8, FALSE)</f>
        <v>0</v>
      </c>
      <c r="L591">
        <f>VLOOKUP(Table9[[#This Row],[Shortname]], Comp[], 9, FALSE)</f>
        <v>0</v>
      </c>
      <c r="M591">
        <f>VLOOKUP(Table9[[#This Row],[Shortname]], Comp[], 10, FALSE)</f>
        <v>0</v>
      </c>
      <c r="N591">
        <f>VLOOKUP(Table9[[#This Row],[Shortname]], Comp[], 11, FALSE)</f>
        <v>0</v>
      </c>
      <c r="O591">
        <f>VLOOKUP(Table9[[#This Row],[Shortname]], Comp[],12, FALSE)</f>
        <v>19.8</v>
      </c>
      <c r="P591">
        <f>VLOOKUP(Table9[[#This Row],[Shortname]], Comp[], 13, FALSE)</f>
        <v>0</v>
      </c>
      <c r="Q591">
        <f>VLOOKUP(Table9[[#This Row],[Shortname]], Comp[], 14, FALSE)</f>
        <v>0</v>
      </c>
      <c r="R591">
        <f>VLOOKUP(Table9[[#This Row],[Shortname]], Comp[], 15, FALSE)</f>
        <v>2.95</v>
      </c>
      <c r="S591">
        <f>VLOOKUP(Table9[[#This Row],[Shortname]], Comp[], 16, FALSE)</f>
        <v>0</v>
      </c>
      <c r="T591">
        <f>VLOOKUP(Table9[[#This Row],[Shortname]], Comp[], 17, FALSE)</f>
        <v>0</v>
      </c>
      <c r="U591">
        <f>VLOOKUP(Table9[[#This Row],[Shortname]], Comp[], 18, FALSE)</f>
        <v>0</v>
      </c>
      <c r="V591">
        <f>VLOOKUP(Table9[[#This Row],[Shortname]], Comp[], 19, FALSE)</f>
        <v>0</v>
      </c>
      <c r="W591">
        <f>VLOOKUP(Table9[[#This Row],[Shortname]], Comp[], 20, FALSE)</f>
        <v>0</v>
      </c>
      <c r="X591">
        <f>VLOOKUP(Table9[[#This Row],[Shortname]], Comp[], 21, FALSE)</f>
        <v>0</v>
      </c>
      <c r="Y591">
        <f>VLOOKUP(Table9[[#This Row],[Shortname]], Comp[], 22, FALSE)</f>
        <v>0</v>
      </c>
      <c r="Z591">
        <f>VLOOKUP(Table9[[#This Row],[Shortname]], Comp[], 23, FALSE)</f>
        <v>0</v>
      </c>
      <c r="AA591">
        <f>VLOOKUP(Table9[[#This Row],[Shortname]], Comp[], 24, FALSE)</f>
        <v>0</v>
      </c>
      <c r="AB591">
        <f>VLOOKUP(Table9[[#This Row],[Shortname]], Comp[], 25, FALSE)</f>
        <v>0</v>
      </c>
      <c r="AC591">
        <f>VLOOKUP(Table9[[#This Row],[Shortname]], Comp[], 26, FALSE)</f>
        <v>0</v>
      </c>
      <c r="AD591">
        <f>VLOOKUP(Table9[[#This Row],[Shortname]], Comp[], 27, FALSE)</f>
        <v>0</v>
      </c>
      <c r="AE591">
        <f>VLOOKUP(Table9[[#This Row],[Shortname]], Comp[], 28, FALSE)</f>
        <v>0</v>
      </c>
      <c r="AF591">
        <f>VLOOKUP(Table9[[#This Row],[Shortname]], Comp[], 29, FALSE)</f>
        <v>0</v>
      </c>
      <c r="AG591">
        <f>VLOOKUP(Table9[[#This Row],[Shortname]], Comp[], 30, FALSE)</f>
        <v>0</v>
      </c>
      <c r="AH591">
        <f>VLOOKUP(Table9[[#This Row],[Shortname]], Comp[], 31, FALSE)</f>
        <v>0</v>
      </c>
    </row>
    <row r="592" spans="1:34" x14ac:dyDescent="0.3">
      <c r="A592" t="s">
        <v>2297</v>
      </c>
      <c r="B592" t="s">
        <v>2299</v>
      </c>
      <c r="C592" t="s">
        <v>2235</v>
      </c>
      <c r="D592">
        <v>230</v>
      </c>
      <c r="E592">
        <v>25</v>
      </c>
      <c r="F592">
        <v>1.1E-4</v>
      </c>
      <c r="G592">
        <v>-1</v>
      </c>
      <c r="H592" t="s">
        <v>6855</v>
      </c>
      <c r="I592">
        <f>VLOOKUP(Table9[[#This Row],[Shortname]], Comp[], 6, FALSE)</f>
        <v>303</v>
      </c>
      <c r="J592" s="14">
        <f>VLOOKUP(Table9[[#This Row],[Shortname]], Comp[], 7, FALSE)</f>
        <v>77.25</v>
      </c>
      <c r="K592">
        <f>VLOOKUP(Table9[[#This Row],[Shortname]], Comp[], 8, FALSE)</f>
        <v>0</v>
      </c>
      <c r="L592">
        <f>VLOOKUP(Table9[[#This Row],[Shortname]], Comp[], 9, FALSE)</f>
        <v>0</v>
      </c>
      <c r="M592">
        <f>VLOOKUP(Table9[[#This Row],[Shortname]], Comp[], 10, FALSE)</f>
        <v>0</v>
      </c>
      <c r="N592">
        <f>VLOOKUP(Table9[[#This Row],[Shortname]], Comp[], 11, FALSE)</f>
        <v>0</v>
      </c>
      <c r="O592">
        <f>VLOOKUP(Table9[[#This Row],[Shortname]], Comp[],12, FALSE)</f>
        <v>19.8</v>
      </c>
      <c r="P592">
        <f>VLOOKUP(Table9[[#This Row],[Shortname]], Comp[], 13, FALSE)</f>
        <v>0</v>
      </c>
      <c r="Q592">
        <f>VLOOKUP(Table9[[#This Row],[Shortname]], Comp[], 14, FALSE)</f>
        <v>0</v>
      </c>
      <c r="R592">
        <f>VLOOKUP(Table9[[#This Row],[Shortname]], Comp[], 15, FALSE)</f>
        <v>2.95</v>
      </c>
      <c r="S592">
        <f>VLOOKUP(Table9[[#This Row],[Shortname]], Comp[], 16, FALSE)</f>
        <v>0</v>
      </c>
      <c r="T592">
        <f>VLOOKUP(Table9[[#This Row],[Shortname]], Comp[], 17, FALSE)</f>
        <v>0</v>
      </c>
      <c r="U592">
        <f>VLOOKUP(Table9[[#This Row],[Shortname]], Comp[], 18, FALSE)</f>
        <v>0</v>
      </c>
      <c r="V592">
        <f>VLOOKUP(Table9[[#This Row],[Shortname]], Comp[], 19, FALSE)</f>
        <v>0</v>
      </c>
      <c r="W592">
        <f>VLOOKUP(Table9[[#This Row],[Shortname]], Comp[], 20, FALSE)</f>
        <v>0</v>
      </c>
      <c r="X592">
        <f>VLOOKUP(Table9[[#This Row],[Shortname]], Comp[], 21, FALSE)</f>
        <v>0</v>
      </c>
      <c r="Y592">
        <f>VLOOKUP(Table9[[#This Row],[Shortname]], Comp[], 22, FALSE)</f>
        <v>0</v>
      </c>
      <c r="Z592">
        <f>VLOOKUP(Table9[[#This Row],[Shortname]], Comp[], 23, FALSE)</f>
        <v>0</v>
      </c>
      <c r="AA592">
        <f>VLOOKUP(Table9[[#This Row],[Shortname]], Comp[], 24, FALSE)</f>
        <v>0</v>
      </c>
      <c r="AB592">
        <f>VLOOKUP(Table9[[#This Row],[Shortname]], Comp[], 25, FALSE)</f>
        <v>0</v>
      </c>
      <c r="AC592">
        <f>VLOOKUP(Table9[[#This Row],[Shortname]], Comp[], 26, FALSE)</f>
        <v>0</v>
      </c>
      <c r="AD592">
        <f>VLOOKUP(Table9[[#This Row],[Shortname]], Comp[], 27, FALSE)</f>
        <v>0</v>
      </c>
      <c r="AE592">
        <f>VLOOKUP(Table9[[#This Row],[Shortname]], Comp[], 28, FALSE)</f>
        <v>0</v>
      </c>
      <c r="AF592">
        <f>VLOOKUP(Table9[[#This Row],[Shortname]], Comp[], 29, FALSE)</f>
        <v>0</v>
      </c>
      <c r="AG592">
        <f>VLOOKUP(Table9[[#This Row],[Shortname]], Comp[], 30, FALSE)</f>
        <v>0</v>
      </c>
      <c r="AH592">
        <f>VLOOKUP(Table9[[#This Row],[Shortname]], Comp[], 31, FALSE)</f>
        <v>0</v>
      </c>
    </row>
    <row r="593" spans="1:34" x14ac:dyDescent="0.3">
      <c r="A593" t="s">
        <v>2297</v>
      </c>
      <c r="B593" t="s">
        <v>2299</v>
      </c>
      <c r="C593" t="s">
        <v>2235</v>
      </c>
      <c r="D593">
        <v>208</v>
      </c>
      <c r="E593">
        <v>400</v>
      </c>
      <c r="F593">
        <v>1.1E-4</v>
      </c>
      <c r="G593">
        <v>-1</v>
      </c>
      <c r="H593" t="s">
        <v>6855</v>
      </c>
      <c r="I593">
        <f>VLOOKUP(Table9[[#This Row],[Shortname]], Comp[], 6, FALSE)</f>
        <v>303</v>
      </c>
      <c r="J593" s="14">
        <f>VLOOKUP(Table9[[#This Row],[Shortname]], Comp[], 7, FALSE)</f>
        <v>77.25</v>
      </c>
      <c r="K593">
        <f>VLOOKUP(Table9[[#This Row],[Shortname]], Comp[], 8, FALSE)</f>
        <v>0</v>
      </c>
      <c r="L593">
        <f>VLOOKUP(Table9[[#This Row],[Shortname]], Comp[], 9, FALSE)</f>
        <v>0</v>
      </c>
      <c r="M593">
        <f>VLOOKUP(Table9[[#This Row],[Shortname]], Comp[], 10, FALSE)</f>
        <v>0</v>
      </c>
      <c r="N593">
        <f>VLOOKUP(Table9[[#This Row],[Shortname]], Comp[], 11, FALSE)</f>
        <v>0</v>
      </c>
      <c r="O593">
        <f>VLOOKUP(Table9[[#This Row],[Shortname]], Comp[],12, FALSE)</f>
        <v>19.8</v>
      </c>
      <c r="P593">
        <f>VLOOKUP(Table9[[#This Row],[Shortname]], Comp[], 13, FALSE)</f>
        <v>0</v>
      </c>
      <c r="Q593">
        <f>VLOOKUP(Table9[[#This Row],[Shortname]], Comp[], 14, FALSE)</f>
        <v>0</v>
      </c>
      <c r="R593">
        <f>VLOOKUP(Table9[[#This Row],[Shortname]], Comp[], 15, FALSE)</f>
        <v>2.95</v>
      </c>
      <c r="S593">
        <f>VLOOKUP(Table9[[#This Row],[Shortname]], Comp[], 16, FALSE)</f>
        <v>0</v>
      </c>
      <c r="T593">
        <f>VLOOKUP(Table9[[#This Row],[Shortname]], Comp[], 17, FALSE)</f>
        <v>0</v>
      </c>
      <c r="U593">
        <f>VLOOKUP(Table9[[#This Row],[Shortname]], Comp[], 18, FALSE)</f>
        <v>0</v>
      </c>
      <c r="V593">
        <f>VLOOKUP(Table9[[#This Row],[Shortname]], Comp[], 19, FALSE)</f>
        <v>0</v>
      </c>
      <c r="W593">
        <f>VLOOKUP(Table9[[#This Row],[Shortname]], Comp[], 20, FALSE)</f>
        <v>0</v>
      </c>
      <c r="X593">
        <f>VLOOKUP(Table9[[#This Row],[Shortname]], Comp[], 21, FALSE)</f>
        <v>0</v>
      </c>
      <c r="Y593">
        <f>VLOOKUP(Table9[[#This Row],[Shortname]], Comp[], 22, FALSE)</f>
        <v>0</v>
      </c>
      <c r="Z593">
        <f>VLOOKUP(Table9[[#This Row],[Shortname]], Comp[], 23, FALSE)</f>
        <v>0</v>
      </c>
      <c r="AA593">
        <f>VLOOKUP(Table9[[#This Row],[Shortname]], Comp[], 24, FALSE)</f>
        <v>0</v>
      </c>
      <c r="AB593">
        <f>VLOOKUP(Table9[[#This Row],[Shortname]], Comp[], 25, FALSE)</f>
        <v>0</v>
      </c>
      <c r="AC593">
        <f>VLOOKUP(Table9[[#This Row],[Shortname]], Comp[], 26, FALSE)</f>
        <v>0</v>
      </c>
      <c r="AD593">
        <f>VLOOKUP(Table9[[#This Row],[Shortname]], Comp[], 27, FALSE)</f>
        <v>0</v>
      </c>
      <c r="AE593">
        <f>VLOOKUP(Table9[[#This Row],[Shortname]], Comp[], 28, FALSE)</f>
        <v>0</v>
      </c>
      <c r="AF593">
        <f>VLOOKUP(Table9[[#This Row],[Shortname]], Comp[], 29, FALSE)</f>
        <v>0</v>
      </c>
      <c r="AG593">
        <f>VLOOKUP(Table9[[#This Row],[Shortname]], Comp[], 30, FALSE)</f>
        <v>0</v>
      </c>
      <c r="AH593">
        <f>VLOOKUP(Table9[[#This Row],[Shortname]], Comp[], 31, FALSE)</f>
        <v>0</v>
      </c>
    </row>
    <row r="594" spans="1:34" x14ac:dyDescent="0.3">
      <c r="A594" t="s">
        <v>2297</v>
      </c>
      <c r="B594" t="s">
        <v>2299</v>
      </c>
      <c r="C594" t="s">
        <v>2235</v>
      </c>
      <c r="D594">
        <v>75</v>
      </c>
      <c r="E594">
        <v>1000</v>
      </c>
      <c r="F594">
        <v>1.1E-4</v>
      </c>
      <c r="G594">
        <v>-1</v>
      </c>
      <c r="H594" t="s">
        <v>6855</v>
      </c>
      <c r="I594">
        <f>VLOOKUP(Table9[[#This Row],[Shortname]], Comp[], 6, FALSE)</f>
        <v>303</v>
      </c>
      <c r="J594" s="14">
        <f>VLOOKUP(Table9[[#This Row],[Shortname]], Comp[], 7, FALSE)</f>
        <v>77.25</v>
      </c>
      <c r="K594">
        <f>VLOOKUP(Table9[[#This Row],[Shortname]], Comp[], 8, FALSE)</f>
        <v>0</v>
      </c>
      <c r="L594">
        <f>VLOOKUP(Table9[[#This Row],[Shortname]], Comp[], 9, FALSE)</f>
        <v>0</v>
      </c>
      <c r="M594">
        <f>VLOOKUP(Table9[[#This Row],[Shortname]], Comp[], 10, FALSE)</f>
        <v>0</v>
      </c>
      <c r="N594">
        <f>VLOOKUP(Table9[[#This Row],[Shortname]], Comp[], 11, FALSE)</f>
        <v>0</v>
      </c>
      <c r="O594">
        <f>VLOOKUP(Table9[[#This Row],[Shortname]], Comp[],12, FALSE)</f>
        <v>19.8</v>
      </c>
      <c r="P594">
        <f>VLOOKUP(Table9[[#This Row],[Shortname]], Comp[], 13, FALSE)</f>
        <v>0</v>
      </c>
      <c r="Q594">
        <f>VLOOKUP(Table9[[#This Row],[Shortname]], Comp[], 14, FALSE)</f>
        <v>0</v>
      </c>
      <c r="R594">
        <f>VLOOKUP(Table9[[#This Row],[Shortname]], Comp[], 15, FALSE)</f>
        <v>2.95</v>
      </c>
      <c r="S594">
        <f>VLOOKUP(Table9[[#This Row],[Shortname]], Comp[], 16, FALSE)</f>
        <v>0</v>
      </c>
      <c r="T594">
        <f>VLOOKUP(Table9[[#This Row],[Shortname]], Comp[], 17, FALSE)</f>
        <v>0</v>
      </c>
      <c r="U594">
        <f>VLOOKUP(Table9[[#This Row],[Shortname]], Comp[], 18, FALSE)</f>
        <v>0</v>
      </c>
      <c r="V594">
        <f>VLOOKUP(Table9[[#This Row],[Shortname]], Comp[], 19, FALSE)</f>
        <v>0</v>
      </c>
      <c r="W594">
        <f>VLOOKUP(Table9[[#This Row],[Shortname]], Comp[], 20, FALSE)</f>
        <v>0</v>
      </c>
      <c r="X594">
        <f>VLOOKUP(Table9[[#This Row],[Shortname]], Comp[], 21, FALSE)</f>
        <v>0</v>
      </c>
      <c r="Y594">
        <f>VLOOKUP(Table9[[#This Row],[Shortname]], Comp[], 22, FALSE)</f>
        <v>0</v>
      </c>
      <c r="Z594">
        <f>VLOOKUP(Table9[[#This Row],[Shortname]], Comp[], 23, FALSE)</f>
        <v>0</v>
      </c>
      <c r="AA594">
        <f>VLOOKUP(Table9[[#This Row],[Shortname]], Comp[], 24, FALSE)</f>
        <v>0</v>
      </c>
      <c r="AB594">
        <f>VLOOKUP(Table9[[#This Row],[Shortname]], Comp[], 25, FALSE)</f>
        <v>0</v>
      </c>
      <c r="AC594">
        <f>VLOOKUP(Table9[[#This Row],[Shortname]], Comp[], 26, FALSE)</f>
        <v>0</v>
      </c>
      <c r="AD594">
        <f>VLOOKUP(Table9[[#This Row],[Shortname]], Comp[], 27, FALSE)</f>
        <v>0</v>
      </c>
      <c r="AE594">
        <f>VLOOKUP(Table9[[#This Row],[Shortname]], Comp[], 28, FALSE)</f>
        <v>0</v>
      </c>
      <c r="AF594">
        <f>VLOOKUP(Table9[[#This Row],[Shortname]], Comp[], 29, FALSE)</f>
        <v>0</v>
      </c>
      <c r="AG594">
        <f>VLOOKUP(Table9[[#This Row],[Shortname]], Comp[], 30, FALSE)</f>
        <v>0</v>
      </c>
      <c r="AH594">
        <f>VLOOKUP(Table9[[#This Row],[Shortname]], Comp[], 31, FALSE)</f>
        <v>0</v>
      </c>
    </row>
    <row r="595" spans="1:34" x14ac:dyDescent="0.3">
      <c r="A595" t="s">
        <v>2274</v>
      </c>
      <c r="B595" t="s">
        <v>2276</v>
      </c>
      <c r="C595" t="s">
        <v>2235</v>
      </c>
      <c r="D595">
        <v>482</v>
      </c>
      <c r="E595">
        <v>200</v>
      </c>
      <c r="F595">
        <v>1.1E-4</v>
      </c>
      <c r="G595">
        <v>-1</v>
      </c>
      <c r="H595" t="s">
        <v>6855</v>
      </c>
      <c r="I595">
        <f>VLOOKUP(Table9[[#This Row],[Shortname]], Comp[], 6, FALSE)</f>
        <v>300</v>
      </c>
      <c r="J595" s="14">
        <f>VLOOKUP(Table9[[#This Row],[Shortname]], Comp[], 7, FALSE)</f>
        <v>77.03</v>
      </c>
      <c r="K595">
        <f>VLOOKUP(Table9[[#This Row],[Shortname]], Comp[], 8, FALSE)</f>
        <v>0</v>
      </c>
      <c r="L595">
        <f>VLOOKUP(Table9[[#This Row],[Shortname]], Comp[], 9, FALSE)</f>
        <v>2.0699999999999998</v>
      </c>
      <c r="M595">
        <f>VLOOKUP(Table9[[#This Row],[Shortname]], Comp[], 10, FALSE)</f>
        <v>0</v>
      </c>
      <c r="N595">
        <f>VLOOKUP(Table9[[#This Row],[Shortname]], Comp[], 11, FALSE)</f>
        <v>0</v>
      </c>
      <c r="O595">
        <f>VLOOKUP(Table9[[#This Row],[Shortname]], Comp[],12, FALSE)</f>
        <v>20.9</v>
      </c>
      <c r="P595">
        <f>VLOOKUP(Table9[[#This Row],[Shortname]], Comp[], 13, FALSE)</f>
        <v>0</v>
      </c>
      <c r="Q595">
        <f>VLOOKUP(Table9[[#This Row],[Shortname]], Comp[], 14, FALSE)</f>
        <v>0</v>
      </c>
      <c r="R595">
        <f>VLOOKUP(Table9[[#This Row],[Shortname]], Comp[], 15, FALSE)</f>
        <v>0</v>
      </c>
      <c r="S595">
        <f>VLOOKUP(Table9[[#This Row],[Shortname]], Comp[], 16, FALSE)</f>
        <v>0</v>
      </c>
      <c r="T595">
        <f>VLOOKUP(Table9[[#This Row],[Shortname]], Comp[], 17, FALSE)</f>
        <v>0</v>
      </c>
      <c r="U595">
        <f>VLOOKUP(Table9[[#This Row],[Shortname]], Comp[], 18, FALSE)</f>
        <v>0</v>
      </c>
      <c r="V595">
        <f>VLOOKUP(Table9[[#This Row],[Shortname]], Comp[], 19, FALSE)</f>
        <v>0</v>
      </c>
      <c r="W595">
        <f>VLOOKUP(Table9[[#This Row],[Shortname]], Comp[], 20, FALSE)</f>
        <v>0</v>
      </c>
      <c r="X595">
        <f>VLOOKUP(Table9[[#This Row],[Shortname]], Comp[], 21, FALSE)</f>
        <v>0</v>
      </c>
      <c r="Y595">
        <f>VLOOKUP(Table9[[#This Row],[Shortname]], Comp[], 22, FALSE)</f>
        <v>0</v>
      </c>
      <c r="Z595">
        <f>VLOOKUP(Table9[[#This Row],[Shortname]], Comp[], 23, FALSE)</f>
        <v>0</v>
      </c>
      <c r="AA595">
        <f>VLOOKUP(Table9[[#This Row],[Shortname]], Comp[], 24, FALSE)</f>
        <v>0</v>
      </c>
      <c r="AB595">
        <f>VLOOKUP(Table9[[#This Row],[Shortname]], Comp[], 25, FALSE)</f>
        <v>0</v>
      </c>
      <c r="AC595">
        <f>VLOOKUP(Table9[[#This Row],[Shortname]], Comp[], 26, FALSE)</f>
        <v>0</v>
      </c>
      <c r="AD595">
        <f>VLOOKUP(Table9[[#This Row],[Shortname]], Comp[], 27, FALSE)</f>
        <v>0</v>
      </c>
      <c r="AE595">
        <f>VLOOKUP(Table9[[#This Row],[Shortname]], Comp[], 28, FALSE)</f>
        <v>0</v>
      </c>
      <c r="AF595">
        <f>VLOOKUP(Table9[[#This Row],[Shortname]], Comp[], 29, FALSE)</f>
        <v>0</v>
      </c>
      <c r="AG595">
        <f>VLOOKUP(Table9[[#This Row],[Shortname]], Comp[], 30, FALSE)</f>
        <v>0</v>
      </c>
      <c r="AH595">
        <f>VLOOKUP(Table9[[#This Row],[Shortname]], Comp[], 31, FALSE)</f>
        <v>0</v>
      </c>
    </row>
    <row r="596" spans="1:34" x14ac:dyDescent="0.3">
      <c r="A596" t="s">
        <v>2274</v>
      </c>
      <c r="B596" t="s">
        <v>2276</v>
      </c>
      <c r="C596" t="s">
        <v>2235</v>
      </c>
      <c r="D596">
        <v>413</v>
      </c>
      <c r="E596">
        <v>-192</v>
      </c>
      <c r="F596">
        <v>1.1E-4</v>
      </c>
      <c r="G596">
        <v>-1</v>
      </c>
      <c r="H596" t="s">
        <v>6855</v>
      </c>
      <c r="I596">
        <f>VLOOKUP(Table9[[#This Row],[Shortname]], Comp[], 6, FALSE)</f>
        <v>300</v>
      </c>
      <c r="J596" s="14">
        <f>VLOOKUP(Table9[[#This Row],[Shortname]], Comp[], 7, FALSE)</f>
        <v>77.03</v>
      </c>
      <c r="K596">
        <f>VLOOKUP(Table9[[#This Row],[Shortname]], Comp[], 8, FALSE)</f>
        <v>0</v>
      </c>
      <c r="L596">
        <f>VLOOKUP(Table9[[#This Row],[Shortname]], Comp[], 9, FALSE)</f>
        <v>2.0699999999999998</v>
      </c>
      <c r="M596">
        <f>VLOOKUP(Table9[[#This Row],[Shortname]], Comp[], 10, FALSE)</f>
        <v>0</v>
      </c>
      <c r="N596">
        <f>VLOOKUP(Table9[[#This Row],[Shortname]], Comp[], 11, FALSE)</f>
        <v>0</v>
      </c>
      <c r="O596">
        <f>VLOOKUP(Table9[[#This Row],[Shortname]], Comp[],12, FALSE)</f>
        <v>20.9</v>
      </c>
      <c r="P596">
        <f>VLOOKUP(Table9[[#This Row],[Shortname]], Comp[], 13, FALSE)</f>
        <v>0</v>
      </c>
      <c r="Q596">
        <f>VLOOKUP(Table9[[#This Row],[Shortname]], Comp[], 14, FALSE)</f>
        <v>0</v>
      </c>
      <c r="R596">
        <f>VLOOKUP(Table9[[#This Row],[Shortname]], Comp[], 15, FALSE)</f>
        <v>0</v>
      </c>
      <c r="S596">
        <f>VLOOKUP(Table9[[#This Row],[Shortname]], Comp[], 16, FALSE)</f>
        <v>0</v>
      </c>
      <c r="T596">
        <f>VLOOKUP(Table9[[#This Row],[Shortname]], Comp[], 17, FALSE)</f>
        <v>0</v>
      </c>
      <c r="U596">
        <f>VLOOKUP(Table9[[#This Row],[Shortname]], Comp[], 18, FALSE)</f>
        <v>0</v>
      </c>
      <c r="V596">
        <f>VLOOKUP(Table9[[#This Row],[Shortname]], Comp[], 19, FALSE)</f>
        <v>0</v>
      </c>
      <c r="W596">
        <f>VLOOKUP(Table9[[#This Row],[Shortname]], Comp[], 20, FALSE)</f>
        <v>0</v>
      </c>
      <c r="X596">
        <f>VLOOKUP(Table9[[#This Row],[Shortname]], Comp[], 21, FALSE)</f>
        <v>0</v>
      </c>
      <c r="Y596">
        <f>VLOOKUP(Table9[[#This Row],[Shortname]], Comp[], 22, FALSE)</f>
        <v>0</v>
      </c>
      <c r="Z596">
        <f>VLOOKUP(Table9[[#This Row],[Shortname]], Comp[], 23, FALSE)</f>
        <v>0</v>
      </c>
      <c r="AA596">
        <f>VLOOKUP(Table9[[#This Row],[Shortname]], Comp[], 24, FALSE)</f>
        <v>0</v>
      </c>
      <c r="AB596">
        <f>VLOOKUP(Table9[[#This Row],[Shortname]], Comp[], 25, FALSE)</f>
        <v>0</v>
      </c>
      <c r="AC596">
        <f>VLOOKUP(Table9[[#This Row],[Shortname]], Comp[], 26, FALSE)</f>
        <v>0</v>
      </c>
      <c r="AD596">
        <f>VLOOKUP(Table9[[#This Row],[Shortname]], Comp[], 27, FALSE)</f>
        <v>0</v>
      </c>
      <c r="AE596">
        <f>VLOOKUP(Table9[[#This Row],[Shortname]], Comp[], 28, FALSE)</f>
        <v>0</v>
      </c>
      <c r="AF596">
        <f>VLOOKUP(Table9[[#This Row],[Shortname]], Comp[], 29, FALSE)</f>
        <v>0</v>
      </c>
      <c r="AG596">
        <f>VLOOKUP(Table9[[#This Row],[Shortname]], Comp[], 30, FALSE)</f>
        <v>0</v>
      </c>
      <c r="AH596">
        <f>VLOOKUP(Table9[[#This Row],[Shortname]], Comp[], 31, FALSE)</f>
        <v>0</v>
      </c>
    </row>
    <row r="597" spans="1:34" x14ac:dyDescent="0.3">
      <c r="A597" t="s">
        <v>2274</v>
      </c>
      <c r="B597" t="s">
        <v>2276</v>
      </c>
      <c r="C597" t="s">
        <v>2235</v>
      </c>
      <c r="D597">
        <v>395</v>
      </c>
      <c r="E597">
        <v>600</v>
      </c>
      <c r="F597">
        <v>1.1E-4</v>
      </c>
      <c r="G597">
        <v>-1</v>
      </c>
      <c r="H597" t="s">
        <v>6855</v>
      </c>
      <c r="I597">
        <f>VLOOKUP(Table9[[#This Row],[Shortname]], Comp[], 6, FALSE)</f>
        <v>300</v>
      </c>
      <c r="J597" s="14">
        <f>VLOOKUP(Table9[[#This Row],[Shortname]], Comp[], 7, FALSE)</f>
        <v>77.03</v>
      </c>
      <c r="K597">
        <f>VLOOKUP(Table9[[#This Row],[Shortname]], Comp[], 8, FALSE)</f>
        <v>0</v>
      </c>
      <c r="L597">
        <f>VLOOKUP(Table9[[#This Row],[Shortname]], Comp[], 9, FALSE)</f>
        <v>2.0699999999999998</v>
      </c>
      <c r="M597">
        <f>VLOOKUP(Table9[[#This Row],[Shortname]], Comp[], 10, FALSE)</f>
        <v>0</v>
      </c>
      <c r="N597">
        <f>VLOOKUP(Table9[[#This Row],[Shortname]], Comp[], 11, FALSE)</f>
        <v>0</v>
      </c>
      <c r="O597">
        <f>VLOOKUP(Table9[[#This Row],[Shortname]], Comp[],12, FALSE)</f>
        <v>20.9</v>
      </c>
      <c r="P597">
        <f>VLOOKUP(Table9[[#This Row],[Shortname]], Comp[], 13, FALSE)</f>
        <v>0</v>
      </c>
      <c r="Q597">
        <f>VLOOKUP(Table9[[#This Row],[Shortname]], Comp[], 14, FALSE)</f>
        <v>0</v>
      </c>
      <c r="R597">
        <f>VLOOKUP(Table9[[#This Row],[Shortname]], Comp[], 15, FALSE)</f>
        <v>0</v>
      </c>
      <c r="S597">
        <f>VLOOKUP(Table9[[#This Row],[Shortname]], Comp[], 16, FALSE)</f>
        <v>0</v>
      </c>
      <c r="T597">
        <f>VLOOKUP(Table9[[#This Row],[Shortname]], Comp[], 17, FALSE)</f>
        <v>0</v>
      </c>
      <c r="U597">
        <f>VLOOKUP(Table9[[#This Row],[Shortname]], Comp[], 18, FALSE)</f>
        <v>0</v>
      </c>
      <c r="V597">
        <f>VLOOKUP(Table9[[#This Row],[Shortname]], Comp[], 19, FALSE)</f>
        <v>0</v>
      </c>
      <c r="W597">
        <f>VLOOKUP(Table9[[#This Row],[Shortname]], Comp[], 20, FALSE)</f>
        <v>0</v>
      </c>
      <c r="X597">
        <f>VLOOKUP(Table9[[#This Row],[Shortname]], Comp[], 21, FALSE)</f>
        <v>0</v>
      </c>
      <c r="Y597">
        <f>VLOOKUP(Table9[[#This Row],[Shortname]], Comp[], 22, FALSE)</f>
        <v>0</v>
      </c>
      <c r="Z597">
        <f>VLOOKUP(Table9[[#This Row],[Shortname]], Comp[], 23, FALSE)</f>
        <v>0</v>
      </c>
      <c r="AA597">
        <f>VLOOKUP(Table9[[#This Row],[Shortname]], Comp[], 24, FALSE)</f>
        <v>0</v>
      </c>
      <c r="AB597">
        <f>VLOOKUP(Table9[[#This Row],[Shortname]], Comp[], 25, FALSE)</f>
        <v>0</v>
      </c>
      <c r="AC597">
        <f>VLOOKUP(Table9[[#This Row],[Shortname]], Comp[], 26, FALSE)</f>
        <v>0</v>
      </c>
      <c r="AD597">
        <f>VLOOKUP(Table9[[#This Row],[Shortname]], Comp[], 27, FALSE)</f>
        <v>0</v>
      </c>
      <c r="AE597">
        <f>VLOOKUP(Table9[[#This Row],[Shortname]], Comp[], 28, FALSE)</f>
        <v>0</v>
      </c>
      <c r="AF597">
        <f>VLOOKUP(Table9[[#This Row],[Shortname]], Comp[], 29, FALSE)</f>
        <v>0</v>
      </c>
      <c r="AG597">
        <f>VLOOKUP(Table9[[#This Row],[Shortname]], Comp[], 30, FALSE)</f>
        <v>0</v>
      </c>
      <c r="AH597">
        <f>VLOOKUP(Table9[[#This Row],[Shortname]], Comp[], 31, FALSE)</f>
        <v>0</v>
      </c>
    </row>
    <row r="598" spans="1:34" x14ac:dyDescent="0.3">
      <c r="A598" t="s">
        <v>2274</v>
      </c>
      <c r="B598" t="s">
        <v>2276</v>
      </c>
      <c r="C598" t="s">
        <v>2235</v>
      </c>
      <c r="D598">
        <v>305</v>
      </c>
      <c r="E598">
        <v>25</v>
      </c>
      <c r="F598">
        <v>1.1E-4</v>
      </c>
      <c r="G598">
        <v>-1</v>
      </c>
      <c r="H598" t="s">
        <v>6855</v>
      </c>
      <c r="I598">
        <f>VLOOKUP(Table9[[#This Row],[Shortname]], Comp[], 6, FALSE)</f>
        <v>300</v>
      </c>
      <c r="J598" s="14">
        <f>VLOOKUP(Table9[[#This Row],[Shortname]], Comp[], 7, FALSE)</f>
        <v>77.03</v>
      </c>
      <c r="K598">
        <f>VLOOKUP(Table9[[#This Row],[Shortname]], Comp[], 8, FALSE)</f>
        <v>0</v>
      </c>
      <c r="L598">
        <f>VLOOKUP(Table9[[#This Row],[Shortname]], Comp[], 9, FALSE)</f>
        <v>2.0699999999999998</v>
      </c>
      <c r="M598">
        <f>VLOOKUP(Table9[[#This Row],[Shortname]], Comp[], 10, FALSE)</f>
        <v>0</v>
      </c>
      <c r="N598">
        <f>VLOOKUP(Table9[[#This Row],[Shortname]], Comp[], 11, FALSE)</f>
        <v>0</v>
      </c>
      <c r="O598">
        <f>VLOOKUP(Table9[[#This Row],[Shortname]], Comp[],12, FALSE)</f>
        <v>20.9</v>
      </c>
      <c r="P598">
        <f>VLOOKUP(Table9[[#This Row],[Shortname]], Comp[], 13, FALSE)</f>
        <v>0</v>
      </c>
      <c r="Q598">
        <f>VLOOKUP(Table9[[#This Row],[Shortname]], Comp[], 14, FALSE)</f>
        <v>0</v>
      </c>
      <c r="R598">
        <f>VLOOKUP(Table9[[#This Row],[Shortname]], Comp[], 15, FALSE)</f>
        <v>0</v>
      </c>
      <c r="S598">
        <f>VLOOKUP(Table9[[#This Row],[Shortname]], Comp[], 16, FALSE)</f>
        <v>0</v>
      </c>
      <c r="T598">
        <f>VLOOKUP(Table9[[#This Row],[Shortname]], Comp[], 17, FALSE)</f>
        <v>0</v>
      </c>
      <c r="U598">
        <f>VLOOKUP(Table9[[#This Row],[Shortname]], Comp[], 18, FALSE)</f>
        <v>0</v>
      </c>
      <c r="V598">
        <f>VLOOKUP(Table9[[#This Row],[Shortname]], Comp[], 19, FALSE)</f>
        <v>0</v>
      </c>
      <c r="W598">
        <f>VLOOKUP(Table9[[#This Row],[Shortname]], Comp[], 20, FALSE)</f>
        <v>0</v>
      </c>
      <c r="X598">
        <f>VLOOKUP(Table9[[#This Row],[Shortname]], Comp[], 21, FALSE)</f>
        <v>0</v>
      </c>
      <c r="Y598">
        <f>VLOOKUP(Table9[[#This Row],[Shortname]], Comp[], 22, FALSE)</f>
        <v>0</v>
      </c>
      <c r="Z598">
        <f>VLOOKUP(Table9[[#This Row],[Shortname]], Comp[], 23, FALSE)</f>
        <v>0</v>
      </c>
      <c r="AA598">
        <f>VLOOKUP(Table9[[#This Row],[Shortname]], Comp[], 24, FALSE)</f>
        <v>0</v>
      </c>
      <c r="AB598">
        <f>VLOOKUP(Table9[[#This Row],[Shortname]], Comp[], 25, FALSE)</f>
        <v>0</v>
      </c>
      <c r="AC598">
        <f>VLOOKUP(Table9[[#This Row],[Shortname]], Comp[], 26, FALSE)</f>
        <v>0</v>
      </c>
      <c r="AD598">
        <f>VLOOKUP(Table9[[#This Row],[Shortname]], Comp[], 27, FALSE)</f>
        <v>0</v>
      </c>
      <c r="AE598">
        <f>VLOOKUP(Table9[[#This Row],[Shortname]], Comp[], 28, FALSE)</f>
        <v>0</v>
      </c>
      <c r="AF598">
        <f>VLOOKUP(Table9[[#This Row],[Shortname]], Comp[], 29, FALSE)</f>
        <v>0</v>
      </c>
      <c r="AG598">
        <f>VLOOKUP(Table9[[#This Row],[Shortname]], Comp[], 30, FALSE)</f>
        <v>0</v>
      </c>
      <c r="AH598">
        <f>VLOOKUP(Table9[[#This Row],[Shortname]], Comp[], 31, FALSE)</f>
        <v>0</v>
      </c>
    </row>
    <row r="599" spans="1:34" x14ac:dyDescent="0.3">
      <c r="A599" t="s">
        <v>2274</v>
      </c>
      <c r="B599" t="s">
        <v>2276</v>
      </c>
      <c r="C599" t="s">
        <v>2235</v>
      </c>
      <c r="D599">
        <v>300</v>
      </c>
      <c r="E599">
        <v>800</v>
      </c>
      <c r="F599">
        <v>1.1E-4</v>
      </c>
      <c r="G599">
        <v>-1</v>
      </c>
      <c r="H599" t="s">
        <v>6855</v>
      </c>
      <c r="I599">
        <f>VLOOKUP(Table9[[#This Row],[Shortname]], Comp[], 6, FALSE)</f>
        <v>300</v>
      </c>
      <c r="J599" s="14">
        <f>VLOOKUP(Table9[[#This Row],[Shortname]], Comp[], 7, FALSE)</f>
        <v>77.03</v>
      </c>
      <c r="K599">
        <f>VLOOKUP(Table9[[#This Row],[Shortname]], Comp[], 8, FALSE)</f>
        <v>0</v>
      </c>
      <c r="L599">
        <f>VLOOKUP(Table9[[#This Row],[Shortname]], Comp[], 9, FALSE)</f>
        <v>2.0699999999999998</v>
      </c>
      <c r="M599">
        <f>VLOOKUP(Table9[[#This Row],[Shortname]], Comp[], 10, FALSE)</f>
        <v>0</v>
      </c>
      <c r="N599">
        <f>VLOOKUP(Table9[[#This Row],[Shortname]], Comp[], 11, FALSE)</f>
        <v>0</v>
      </c>
      <c r="O599">
        <f>VLOOKUP(Table9[[#This Row],[Shortname]], Comp[],12, FALSE)</f>
        <v>20.9</v>
      </c>
      <c r="P599">
        <f>VLOOKUP(Table9[[#This Row],[Shortname]], Comp[], 13, FALSE)</f>
        <v>0</v>
      </c>
      <c r="Q599">
        <f>VLOOKUP(Table9[[#This Row],[Shortname]], Comp[], 14, FALSE)</f>
        <v>0</v>
      </c>
      <c r="R599">
        <f>VLOOKUP(Table9[[#This Row],[Shortname]], Comp[], 15, FALSE)</f>
        <v>0</v>
      </c>
      <c r="S599">
        <f>VLOOKUP(Table9[[#This Row],[Shortname]], Comp[], 16, FALSE)</f>
        <v>0</v>
      </c>
      <c r="T599">
        <f>VLOOKUP(Table9[[#This Row],[Shortname]], Comp[], 17, FALSE)</f>
        <v>0</v>
      </c>
      <c r="U599">
        <f>VLOOKUP(Table9[[#This Row],[Shortname]], Comp[], 18, FALSE)</f>
        <v>0</v>
      </c>
      <c r="V599">
        <f>VLOOKUP(Table9[[#This Row],[Shortname]], Comp[], 19, FALSE)</f>
        <v>0</v>
      </c>
      <c r="W599">
        <f>VLOOKUP(Table9[[#This Row],[Shortname]], Comp[], 20, FALSE)</f>
        <v>0</v>
      </c>
      <c r="X599">
        <f>VLOOKUP(Table9[[#This Row],[Shortname]], Comp[], 21, FALSE)</f>
        <v>0</v>
      </c>
      <c r="Y599">
        <f>VLOOKUP(Table9[[#This Row],[Shortname]], Comp[], 22, FALSE)</f>
        <v>0</v>
      </c>
      <c r="Z599">
        <f>VLOOKUP(Table9[[#This Row],[Shortname]], Comp[], 23, FALSE)</f>
        <v>0</v>
      </c>
      <c r="AA599">
        <f>VLOOKUP(Table9[[#This Row],[Shortname]], Comp[], 24, FALSE)</f>
        <v>0</v>
      </c>
      <c r="AB599">
        <f>VLOOKUP(Table9[[#This Row],[Shortname]], Comp[], 25, FALSE)</f>
        <v>0</v>
      </c>
      <c r="AC599">
        <f>VLOOKUP(Table9[[#This Row],[Shortname]], Comp[], 26, FALSE)</f>
        <v>0</v>
      </c>
      <c r="AD599">
        <f>VLOOKUP(Table9[[#This Row],[Shortname]], Comp[], 27, FALSE)</f>
        <v>0</v>
      </c>
      <c r="AE599">
        <f>VLOOKUP(Table9[[#This Row],[Shortname]], Comp[], 28, FALSE)</f>
        <v>0</v>
      </c>
      <c r="AF599">
        <f>VLOOKUP(Table9[[#This Row],[Shortname]], Comp[], 29, FALSE)</f>
        <v>0</v>
      </c>
      <c r="AG599">
        <f>VLOOKUP(Table9[[#This Row],[Shortname]], Comp[], 30, FALSE)</f>
        <v>0</v>
      </c>
      <c r="AH599">
        <f>VLOOKUP(Table9[[#This Row],[Shortname]], Comp[], 31, FALSE)</f>
        <v>0</v>
      </c>
    </row>
    <row r="600" spans="1:34" x14ac:dyDescent="0.3">
      <c r="A600" t="s">
        <v>2274</v>
      </c>
      <c r="B600" t="s">
        <v>2276</v>
      </c>
      <c r="C600" t="s">
        <v>2235</v>
      </c>
      <c r="D600">
        <v>275</v>
      </c>
      <c r="E600">
        <v>400</v>
      </c>
      <c r="F600">
        <v>1.1E-4</v>
      </c>
      <c r="G600">
        <v>-1</v>
      </c>
      <c r="H600" t="s">
        <v>6855</v>
      </c>
      <c r="I600">
        <f>VLOOKUP(Table9[[#This Row],[Shortname]], Comp[], 6, FALSE)</f>
        <v>300</v>
      </c>
      <c r="J600" s="14">
        <f>VLOOKUP(Table9[[#This Row],[Shortname]], Comp[], 7, FALSE)</f>
        <v>77.03</v>
      </c>
      <c r="K600">
        <f>VLOOKUP(Table9[[#This Row],[Shortname]], Comp[], 8, FALSE)</f>
        <v>0</v>
      </c>
      <c r="L600">
        <f>VLOOKUP(Table9[[#This Row],[Shortname]], Comp[], 9, FALSE)</f>
        <v>2.0699999999999998</v>
      </c>
      <c r="M600">
        <f>VLOOKUP(Table9[[#This Row],[Shortname]], Comp[], 10, FALSE)</f>
        <v>0</v>
      </c>
      <c r="N600">
        <f>VLOOKUP(Table9[[#This Row],[Shortname]], Comp[], 11, FALSE)</f>
        <v>0</v>
      </c>
      <c r="O600">
        <f>VLOOKUP(Table9[[#This Row],[Shortname]], Comp[],12, FALSE)</f>
        <v>20.9</v>
      </c>
      <c r="P600">
        <f>VLOOKUP(Table9[[#This Row],[Shortname]], Comp[], 13, FALSE)</f>
        <v>0</v>
      </c>
      <c r="Q600">
        <f>VLOOKUP(Table9[[#This Row],[Shortname]], Comp[], 14, FALSE)</f>
        <v>0</v>
      </c>
      <c r="R600">
        <f>VLOOKUP(Table9[[#This Row],[Shortname]], Comp[], 15, FALSE)</f>
        <v>0</v>
      </c>
      <c r="S600">
        <f>VLOOKUP(Table9[[#This Row],[Shortname]], Comp[], 16, FALSE)</f>
        <v>0</v>
      </c>
      <c r="T600">
        <f>VLOOKUP(Table9[[#This Row],[Shortname]], Comp[], 17, FALSE)</f>
        <v>0</v>
      </c>
      <c r="U600">
        <f>VLOOKUP(Table9[[#This Row],[Shortname]], Comp[], 18, FALSE)</f>
        <v>0</v>
      </c>
      <c r="V600">
        <f>VLOOKUP(Table9[[#This Row],[Shortname]], Comp[], 19, FALSE)</f>
        <v>0</v>
      </c>
      <c r="W600">
        <f>VLOOKUP(Table9[[#This Row],[Shortname]], Comp[], 20, FALSE)</f>
        <v>0</v>
      </c>
      <c r="X600">
        <f>VLOOKUP(Table9[[#This Row],[Shortname]], Comp[], 21, FALSE)</f>
        <v>0</v>
      </c>
      <c r="Y600">
        <f>VLOOKUP(Table9[[#This Row],[Shortname]], Comp[], 22, FALSE)</f>
        <v>0</v>
      </c>
      <c r="Z600">
        <f>VLOOKUP(Table9[[#This Row],[Shortname]], Comp[], 23, FALSE)</f>
        <v>0</v>
      </c>
      <c r="AA600">
        <f>VLOOKUP(Table9[[#This Row],[Shortname]], Comp[], 24, FALSE)</f>
        <v>0</v>
      </c>
      <c r="AB600">
        <f>VLOOKUP(Table9[[#This Row],[Shortname]], Comp[], 25, FALSE)</f>
        <v>0</v>
      </c>
      <c r="AC600">
        <f>VLOOKUP(Table9[[#This Row],[Shortname]], Comp[], 26, FALSE)</f>
        <v>0</v>
      </c>
      <c r="AD600">
        <f>VLOOKUP(Table9[[#This Row],[Shortname]], Comp[], 27, FALSE)</f>
        <v>0</v>
      </c>
      <c r="AE600">
        <f>VLOOKUP(Table9[[#This Row],[Shortname]], Comp[], 28, FALSE)</f>
        <v>0</v>
      </c>
      <c r="AF600">
        <f>VLOOKUP(Table9[[#This Row],[Shortname]], Comp[], 29, FALSE)</f>
        <v>0</v>
      </c>
      <c r="AG600">
        <f>VLOOKUP(Table9[[#This Row],[Shortname]], Comp[], 30, FALSE)</f>
        <v>0</v>
      </c>
      <c r="AH600">
        <f>VLOOKUP(Table9[[#This Row],[Shortname]], Comp[], 31, FALSE)</f>
        <v>0</v>
      </c>
    </row>
    <row r="601" spans="1:34" x14ac:dyDescent="0.3">
      <c r="A601" t="s">
        <v>2289</v>
      </c>
      <c r="B601" t="s">
        <v>2291</v>
      </c>
      <c r="C601" t="s">
        <v>2235</v>
      </c>
      <c r="D601">
        <v>388</v>
      </c>
      <c r="E601">
        <v>-192</v>
      </c>
      <c r="F601">
        <v>1.1E-4</v>
      </c>
      <c r="G601">
        <v>-1</v>
      </c>
      <c r="H601" t="s">
        <v>6855</v>
      </c>
      <c r="I601">
        <f>VLOOKUP(Table9[[#This Row],[Shortname]], Comp[], 6, FALSE)</f>
        <v>302</v>
      </c>
      <c r="J601" s="14">
        <f>VLOOKUP(Table9[[#This Row],[Shortname]], Comp[], 7, FALSE)</f>
        <v>77.25</v>
      </c>
      <c r="K601">
        <f>VLOOKUP(Table9[[#This Row],[Shortname]], Comp[], 8, FALSE)</f>
        <v>0</v>
      </c>
      <c r="L601">
        <f>VLOOKUP(Table9[[#This Row],[Shortname]], Comp[], 9, FALSE)</f>
        <v>0</v>
      </c>
      <c r="M601">
        <f>VLOOKUP(Table9[[#This Row],[Shortname]], Comp[], 10, FALSE)</f>
        <v>2.85</v>
      </c>
      <c r="N601">
        <f>VLOOKUP(Table9[[#This Row],[Shortname]], Comp[], 11, FALSE)</f>
        <v>0</v>
      </c>
      <c r="O601">
        <f>VLOOKUP(Table9[[#This Row],[Shortname]], Comp[],12, FALSE)</f>
        <v>19.899999999999999</v>
      </c>
      <c r="P601">
        <f>VLOOKUP(Table9[[#This Row],[Shortname]], Comp[], 13, FALSE)</f>
        <v>0</v>
      </c>
      <c r="Q601">
        <f>VLOOKUP(Table9[[#This Row],[Shortname]], Comp[], 14, FALSE)</f>
        <v>0</v>
      </c>
      <c r="R601">
        <f>VLOOKUP(Table9[[#This Row],[Shortname]], Comp[], 15, FALSE)</f>
        <v>0</v>
      </c>
      <c r="S601">
        <f>VLOOKUP(Table9[[#This Row],[Shortname]], Comp[], 16, FALSE)</f>
        <v>0</v>
      </c>
      <c r="T601">
        <f>VLOOKUP(Table9[[#This Row],[Shortname]], Comp[], 17, FALSE)</f>
        <v>0</v>
      </c>
      <c r="U601">
        <f>VLOOKUP(Table9[[#This Row],[Shortname]], Comp[], 18, FALSE)</f>
        <v>0</v>
      </c>
      <c r="V601">
        <f>VLOOKUP(Table9[[#This Row],[Shortname]], Comp[], 19, FALSE)</f>
        <v>0</v>
      </c>
      <c r="W601">
        <f>VLOOKUP(Table9[[#This Row],[Shortname]], Comp[], 20, FALSE)</f>
        <v>0</v>
      </c>
      <c r="X601">
        <f>VLOOKUP(Table9[[#This Row],[Shortname]], Comp[], 21, FALSE)</f>
        <v>0</v>
      </c>
      <c r="Y601">
        <f>VLOOKUP(Table9[[#This Row],[Shortname]], Comp[], 22, FALSE)</f>
        <v>0</v>
      </c>
      <c r="Z601">
        <f>VLOOKUP(Table9[[#This Row],[Shortname]], Comp[], 23, FALSE)</f>
        <v>0</v>
      </c>
      <c r="AA601">
        <f>VLOOKUP(Table9[[#This Row],[Shortname]], Comp[], 24, FALSE)</f>
        <v>0</v>
      </c>
      <c r="AB601">
        <f>VLOOKUP(Table9[[#This Row],[Shortname]], Comp[], 25, FALSE)</f>
        <v>0</v>
      </c>
      <c r="AC601">
        <f>VLOOKUP(Table9[[#This Row],[Shortname]], Comp[], 26, FALSE)</f>
        <v>0</v>
      </c>
      <c r="AD601">
        <f>VLOOKUP(Table9[[#This Row],[Shortname]], Comp[], 27, FALSE)</f>
        <v>0</v>
      </c>
      <c r="AE601">
        <f>VLOOKUP(Table9[[#This Row],[Shortname]], Comp[], 28, FALSE)</f>
        <v>0</v>
      </c>
      <c r="AF601">
        <f>VLOOKUP(Table9[[#This Row],[Shortname]], Comp[], 29, FALSE)</f>
        <v>0</v>
      </c>
      <c r="AG601">
        <f>VLOOKUP(Table9[[#This Row],[Shortname]], Comp[], 30, FALSE)</f>
        <v>0</v>
      </c>
      <c r="AH601">
        <f>VLOOKUP(Table9[[#This Row],[Shortname]], Comp[], 31, FALSE)</f>
        <v>0</v>
      </c>
    </row>
    <row r="602" spans="1:34" x14ac:dyDescent="0.3">
      <c r="A602" t="s">
        <v>2289</v>
      </c>
      <c r="B602" t="s">
        <v>2291</v>
      </c>
      <c r="C602" t="s">
        <v>2235</v>
      </c>
      <c r="D602">
        <v>347</v>
      </c>
      <c r="E602">
        <v>600</v>
      </c>
      <c r="F602">
        <v>1.1E-4</v>
      </c>
      <c r="G602">
        <v>-1</v>
      </c>
      <c r="H602" t="s">
        <v>6855</v>
      </c>
      <c r="I602">
        <f>VLOOKUP(Table9[[#This Row],[Shortname]], Comp[], 6, FALSE)</f>
        <v>302</v>
      </c>
      <c r="J602" s="14">
        <f>VLOOKUP(Table9[[#This Row],[Shortname]], Comp[], 7, FALSE)</f>
        <v>77.25</v>
      </c>
      <c r="K602">
        <f>VLOOKUP(Table9[[#This Row],[Shortname]], Comp[], 8, FALSE)</f>
        <v>0</v>
      </c>
      <c r="L602">
        <f>VLOOKUP(Table9[[#This Row],[Shortname]], Comp[], 9, FALSE)</f>
        <v>0</v>
      </c>
      <c r="M602">
        <f>VLOOKUP(Table9[[#This Row],[Shortname]], Comp[], 10, FALSE)</f>
        <v>2.85</v>
      </c>
      <c r="N602">
        <f>VLOOKUP(Table9[[#This Row],[Shortname]], Comp[], 11, FALSE)</f>
        <v>0</v>
      </c>
      <c r="O602">
        <f>VLOOKUP(Table9[[#This Row],[Shortname]], Comp[],12, FALSE)</f>
        <v>19.899999999999999</v>
      </c>
      <c r="P602">
        <f>VLOOKUP(Table9[[#This Row],[Shortname]], Comp[], 13, FALSE)</f>
        <v>0</v>
      </c>
      <c r="Q602">
        <f>VLOOKUP(Table9[[#This Row],[Shortname]], Comp[], 14, FALSE)</f>
        <v>0</v>
      </c>
      <c r="R602">
        <f>VLOOKUP(Table9[[#This Row],[Shortname]], Comp[], 15, FALSE)</f>
        <v>0</v>
      </c>
      <c r="S602">
        <f>VLOOKUP(Table9[[#This Row],[Shortname]], Comp[], 16, FALSE)</f>
        <v>0</v>
      </c>
      <c r="T602">
        <f>VLOOKUP(Table9[[#This Row],[Shortname]], Comp[], 17, FALSE)</f>
        <v>0</v>
      </c>
      <c r="U602">
        <f>VLOOKUP(Table9[[#This Row],[Shortname]], Comp[], 18, FALSE)</f>
        <v>0</v>
      </c>
      <c r="V602">
        <f>VLOOKUP(Table9[[#This Row],[Shortname]], Comp[], 19, FALSE)</f>
        <v>0</v>
      </c>
      <c r="W602">
        <f>VLOOKUP(Table9[[#This Row],[Shortname]], Comp[], 20, FALSE)</f>
        <v>0</v>
      </c>
      <c r="X602">
        <f>VLOOKUP(Table9[[#This Row],[Shortname]], Comp[], 21, FALSE)</f>
        <v>0</v>
      </c>
      <c r="Y602">
        <f>VLOOKUP(Table9[[#This Row],[Shortname]], Comp[], 22, FALSE)</f>
        <v>0</v>
      </c>
      <c r="Z602">
        <f>VLOOKUP(Table9[[#This Row],[Shortname]], Comp[], 23, FALSE)</f>
        <v>0</v>
      </c>
      <c r="AA602">
        <f>VLOOKUP(Table9[[#This Row],[Shortname]], Comp[], 24, FALSE)</f>
        <v>0</v>
      </c>
      <c r="AB602">
        <f>VLOOKUP(Table9[[#This Row],[Shortname]], Comp[], 25, FALSE)</f>
        <v>0</v>
      </c>
      <c r="AC602">
        <f>VLOOKUP(Table9[[#This Row],[Shortname]], Comp[], 26, FALSE)</f>
        <v>0</v>
      </c>
      <c r="AD602">
        <f>VLOOKUP(Table9[[#This Row],[Shortname]], Comp[], 27, FALSE)</f>
        <v>0</v>
      </c>
      <c r="AE602">
        <f>VLOOKUP(Table9[[#This Row],[Shortname]], Comp[], 28, FALSE)</f>
        <v>0</v>
      </c>
      <c r="AF602">
        <f>VLOOKUP(Table9[[#This Row],[Shortname]], Comp[], 29, FALSE)</f>
        <v>0</v>
      </c>
      <c r="AG602">
        <f>VLOOKUP(Table9[[#This Row],[Shortname]], Comp[], 30, FALSE)</f>
        <v>0</v>
      </c>
      <c r="AH602">
        <f>VLOOKUP(Table9[[#This Row],[Shortname]], Comp[], 31, FALSE)</f>
        <v>0</v>
      </c>
    </row>
    <row r="603" spans="1:34" x14ac:dyDescent="0.3">
      <c r="A603" t="s">
        <v>2289</v>
      </c>
      <c r="B603" t="s">
        <v>2291</v>
      </c>
      <c r="C603" t="s">
        <v>2235</v>
      </c>
      <c r="D603">
        <v>346</v>
      </c>
      <c r="E603">
        <v>800</v>
      </c>
      <c r="F603">
        <v>1.1E-4</v>
      </c>
      <c r="G603">
        <v>-1</v>
      </c>
      <c r="H603" t="s">
        <v>6855</v>
      </c>
      <c r="I603">
        <f>VLOOKUP(Table9[[#This Row],[Shortname]], Comp[], 6, FALSE)</f>
        <v>302</v>
      </c>
      <c r="J603" s="14">
        <f>VLOOKUP(Table9[[#This Row],[Shortname]], Comp[], 7, FALSE)</f>
        <v>77.25</v>
      </c>
      <c r="K603">
        <f>VLOOKUP(Table9[[#This Row],[Shortname]], Comp[], 8, FALSE)</f>
        <v>0</v>
      </c>
      <c r="L603">
        <f>VLOOKUP(Table9[[#This Row],[Shortname]], Comp[], 9, FALSE)</f>
        <v>0</v>
      </c>
      <c r="M603">
        <f>VLOOKUP(Table9[[#This Row],[Shortname]], Comp[], 10, FALSE)</f>
        <v>2.85</v>
      </c>
      <c r="N603">
        <f>VLOOKUP(Table9[[#This Row],[Shortname]], Comp[], 11, FALSE)</f>
        <v>0</v>
      </c>
      <c r="O603">
        <f>VLOOKUP(Table9[[#This Row],[Shortname]], Comp[],12, FALSE)</f>
        <v>19.899999999999999</v>
      </c>
      <c r="P603">
        <f>VLOOKUP(Table9[[#This Row],[Shortname]], Comp[], 13, FALSE)</f>
        <v>0</v>
      </c>
      <c r="Q603">
        <f>VLOOKUP(Table9[[#This Row],[Shortname]], Comp[], 14, FALSE)</f>
        <v>0</v>
      </c>
      <c r="R603">
        <f>VLOOKUP(Table9[[#This Row],[Shortname]], Comp[], 15, FALSE)</f>
        <v>0</v>
      </c>
      <c r="S603">
        <f>VLOOKUP(Table9[[#This Row],[Shortname]], Comp[], 16, FALSE)</f>
        <v>0</v>
      </c>
      <c r="T603">
        <f>VLOOKUP(Table9[[#This Row],[Shortname]], Comp[], 17, FALSE)</f>
        <v>0</v>
      </c>
      <c r="U603">
        <f>VLOOKUP(Table9[[#This Row],[Shortname]], Comp[], 18, FALSE)</f>
        <v>0</v>
      </c>
      <c r="V603">
        <f>VLOOKUP(Table9[[#This Row],[Shortname]], Comp[], 19, FALSE)</f>
        <v>0</v>
      </c>
      <c r="W603">
        <f>VLOOKUP(Table9[[#This Row],[Shortname]], Comp[], 20, FALSE)</f>
        <v>0</v>
      </c>
      <c r="X603">
        <f>VLOOKUP(Table9[[#This Row],[Shortname]], Comp[], 21, FALSE)</f>
        <v>0</v>
      </c>
      <c r="Y603">
        <f>VLOOKUP(Table9[[#This Row],[Shortname]], Comp[], 22, FALSE)</f>
        <v>0</v>
      </c>
      <c r="Z603">
        <f>VLOOKUP(Table9[[#This Row],[Shortname]], Comp[], 23, FALSE)</f>
        <v>0</v>
      </c>
      <c r="AA603">
        <f>VLOOKUP(Table9[[#This Row],[Shortname]], Comp[], 24, FALSE)</f>
        <v>0</v>
      </c>
      <c r="AB603">
        <f>VLOOKUP(Table9[[#This Row],[Shortname]], Comp[], 25, FALSE)</f>
        <v>0</v>
      </c>
      <c r="AC603">
        <f>VLOOKUP(Table9[[#This Row],[Shortname]], Comp[], 26, FALSE)</f>
        <v>0</v>
      </c>
      <c r="AD603">
        <f>VLOOKUP(Table9[[#This Row],[Shortname]], Comp[], 27, FALSE)</f>
        <v>0</v>
      </c>
      <c r="AE603">
        <f>VLOOKUP(Table9[[#This Row],[Shortname]], Comp[], 28, FALSE)</f>
        <v>0</v>
      </c>
      <c r="AF603">
        <f>VLOOKUP(Table9[[#This Row],[Shortname]], Comp[], 29, FALSE)</f>
        <v>0</v>
      </c>
      <c r="AG603">
        <f>VLOOKUP(Table9[[#This Row],[Shortname]], Comp[], 30, FALSE)</f>
        <v>0</v>
      </c>
      <c r="AH603">
        <f>VLOOKUP(Table9[[#This Row],[Shortname]], Comp[], 31, FALSE)</f>
        <v>0</v>
      </c>
    </row>
    <row r="604" spans="1:34" x14ac:dyDescent="0.3">
      <c r="A604" t="s">
        <v>2289</v>
      </c>
      <c r="B604" t="s">
        <v>2291</v>
      </c>
      <c r="C604" t="s">
        <v>2235</v>
      </c>
      <c r="D604">
        <v>267</v>
      </c>
      <c r="E604">
        <v>25</v>
      </c>
      <c r="F604">
        <v>1.1E-4</v>
      </c>
      <c r="G604">
        <v>-1</v>
      </c>
      <c r="H604" t="s">
        <v>6855</v>
      </c>
      <c r="I604">
        <f>VLOOKUP(Table9[[#This Row],[Shortname]], Comp[], 6, FALSE)</f>
        <v>302</v>
      </c>
      <c r="J604" s="14">
        <f>VLOOKUP(Table9[[#This Row],[Shortname]], Comp[], 7, FALSE)</f>
        <v>77.25</v>
      </c>
      <c r="K604">
        <f>VLOOKUP(Table9[[#This Row],[Shortname]], Comp[], 8, FALSE)</f>
        <v>0</v>
      </c>
      <c r="L604">
        <f>VLOOKUP(Table9[[#This Row],[Shortname]], Comp[], 9, FALSE)</f>
        <v>0</v>
      </c>
      <c r="M604">
        <f>VLOOKUP(Table9[[#This Row],[Shortname]], Comp[], 10, FALSE)</f>
        <v>2.85</v>
      </c>
      <c r="N604">
        <f>VLOOKUP(Table9[[#This Row],[Shortname]], Comp[], 11, FALSE)</f>
        <v>0</v>
      </c>
      <c r="O604">
        <f>VLOOKUP(Table9[[#This Row],[Shortname]], Comp[],12, FALSE)</f>
        <v>19.899999999999999</v>
      </c>
      <c r="P604">
        <f>VLOOKUP(Table9[[#This Row],[Shortname]], Comp[], 13, FALSE)</f>
        <v>0</v>
      </c>
      <c r="Q604">
        <f>VLOOKUP(Table9[[#This Row],[Shortname]], Comp[], 14, FALSE)</f>
        <v>0</v>
      </c>
      <c r="R604">
        <f>VLOOKUP(Table9[[#This Row],[Shortname]], Comp[], 15, FALSE)</f>
        <v>0</v>
      </c>
      <c r="S604">
        <f>VLOOKUP(Table9[[#This Row],[Shortname]], Comp[], 16, FALSE)</f>
        <v>0</v>
      </c>
      <c r="T604">
        <f>VLOOKUP(Table9[[#This Row],[Shortname]], Comp[], 17, FALSE)</f>
        <v>0</v>
      </c>
      <c r="U604">
        <f>VLOOKUP(Table9[[#This Row],[Shortname]], Comp[], 18, FALSE)</f>
        <v>0</v>
      </c>
      <c r="V604">
        <f>VLOOKUP(Table9[[#This Row],[Shortname]], Comp[], 19, FALSE)</f>
        <v>0</v>
      </c>
      <c r="W604">
        <f>VLOOKUP(Table9[[#This Row],[Shortname]], Comp[], 20, FALSE)</f>
        <v>0</v>
      </c>
      <c r="X604">
        <f>VLOOKUP(Table9[[#This Row],[Shortname]], Comp[], 21, FALSE)</f>
        <v>0</v>
      </c>
      <c r="Y604">
        <f>VLOOKUP(Table9[[#This Row],[Shortname]], Comp[], 22, FALSE)</f>
        <v>0</v>
      </c>
      <c r="Z604">
        <f>VLOOKUP(Table9[[#This Row],[Shortname]], Comp[], 23, FALSE)</f>
        <v>0</v>
      </c>
      <c r="AA604">
        <f>VLOOKUP(Table9[[#This Row],[Shortname]], Comp[], 24, FALSE)</f>
        <v>0</v>
      </c>
      <c r="AB604">
        <f>VLOOKUP(Table9[[#This Row],[Shortname]], Comp[], 25, FALSE)</f>
        <v>0</v>
      </c>
      <c r="AC604">
        <f>VLOOKUP(Table9[[#This Row],[Shortname]], Comp[], 26, FALSE)</f>
        <v>0</v>
      </c>
      <c r="AD604">
        <f>VLOOKUP(Table9[[#This Row],[Shortname]], Comp[], 27, FALSE)</f>
        <v>0</v>
      </c>
      <c r="AE604">
        <f>VLOOKUP(Table9[[#This Row],[Shortname]], Comp[], 28, FALSE)</f>
        <v>0</v>
      </c>
      <c r="AF604">
        <f>VLOOKUP(Table9[[#This Row],[Shortname]], Comp[], 29, FALSE)</f>
        <v>0</v>
      </c>
      <c r="AG604">
        <f>VLOOKUP(Table9[[#This Row],[Shortname]], Comp[], 30, FALSE)</f>
        <v>0</v>
      </c>
      <c r="AH604">
        <f>VLOOKUP(Table9[[#This Row],[Shortname]], Comp[], 31, FALSE)</f>
        <v>0</v>
      </c>
    </row>
    <row r="605" spans="1:34" x14ac:dyDescent="0.3">
      <c r="A605" t="s">
        <v>2289</v>
      </c>
      <c r="B605" t="s">
        <v>2291</v>
      </c>
      <c r="C605" t="s">
        <v>2235</v>
      </c>
      <c r="D605">
        <v>247</v>
      </c>
      <c r="E605">
        <v>400</v>
      </c>
      <c r="F605">
        <v>1.1E-4</v>
      </c>
      <c r="G605">
        <v>-1</v>
      </c>
      <c r="H605" t="s">
        <v>6855</v>
      </c>
      <c r="I605">
        <f>VLOOKUP(Table9[[#This Row],[Shortname]], Comp[], 6, FALSE)</f>
        <v>302</v>
      </c>
      <c r="J605" s="14">
        <f>VLOOKUP(Table9[[#This Row],[Shortname]], Comp[], 7, FALSE)</f>
        <v>77.25</v>
      </c>
      <c r="K605">
        <f>VLOOKUP(Table9[[#This Row],[Shortname]], Comp[], 8, FALSE)</f>
        <v>0</v>
      </c>
      <c r="L605">
        <f>VLOOKUP(Table9[[#This Row],[Shortname]], Comp[], 9, FALSE)</f>
        <v>0</v>
      </c>
      <c r="M605">
        <f>VLOOKUP(Table9[[#This Row],[Shortname]], Comp[], 10, FALSE)</f>
        <v>2.85</v>
      </c>
      <c r="N605">
        <f>VLOOKUP(Table9[[#This Row],[Shortname]], Comp[], 11, FALSE)</f>
        <v>0</v>
      </c>
      <c r="O605">
        <f>VLOOKUP(Table9[[#This Row],[Shortname]], Comp[],12, FALSE)</f>
        <v>19.899999999999999</v>
      </c>
      <c r="P605">
        <f>VLOOKUP(Table9[[#This Row],[Shortname]], Comp[], 13, FALSE)</f>
        <v>0</v>
      </c>
      <c r="Q605">
        <f>VLOOKUP(Table9[[#This Row],[Shortname]], Comp[], 14, FALSE)</f>
        <v>0</v>
      </c>
      <c r="R605">
        <f>VLOOKUP(Table9[[#This Row],[Shortname]], Comp[], 15, FALSE)</f>
        <v>0</v>
      </c>
      <c r="S605">
        <f>VLOOKUP(Table9[[#This Row],[Shortname]], Comp[], 16, FALSE)</f>
        <v>0</v>
      </c>
      <c r="T605">
        <f>VLOOKUP(Table9[[#This Row],[Shortname]], Comp[], 17, FALSE)</f>
        <v>0</v>
      </c>
      <c r="U605">
        <f>VLOOKUP(Table9[[#This Row],[Shortname]], Comp[], 18, FALSE)</f>
        <v>0</v>
      </c>
      <c r="V605">
        <f>VLOOKUP(Table9[[#This Row],[Shortname]], Comp[], 19, FALSE)</f>
        <v>0</v>
      </c>
      <c r="W605">
        <f>VLOOKUP(Table9[[#This Row],[Shortname]], Comp[], 20, FALSE)</f>
        <v>0</v>
      </c>
      <c r="X605">
        <f>VLOOKUP(Table9[[#This Row],[Shortname]], Comp[], 21, FALSE)</f>
        <v>0</v>
      </c>
      <c r="Y605">
        <f>VLOOKUP(Table9[[#This Row],[Shortname]], Comp[], 22, FALSE)</f>
        <v>0</v>
      </c>
      <c r="Z605">
        <f>VLOOKUP(Table9[[#This Row],[Shortname]], Comp[], 23, FALSE)</f>
        <v>0</v>
      </c>
      <c r="AA605">
        <f>VLOOKUP(Table9[[#This Row],[Shortname]], Comp[], 24, FALSE)</f>
        <v>0</v>
      </c>
      <c r="AB605">
        <f>VLOOKUP(Table9[[#This Row],[Shortname]], Comp[], 25, FALSE)</f>
        <v>0</v>
      </c>
      <c r="AC605">
        <f>VLOOKUP(Table9[[#This Row],[Shortname]], Comp[], 26, FALSE)</f>
        <v>0</v>
      </c>
      <c r="AD605">
        <f>VLOOKUP(Table9[[#This Row],[Shortname]], Comp[], 27, FALSE)</f>
        <v>0</v>
      </c>
      <c r="AE605">
        <f>VLOOKUP(Table9[[#This Row],[Shortname]], Comp[], 28, FALSE)</f>
        <v>0</v>
      </c>
      <c r="AF605">
        <f>VLOOKUP(Table9[[#This Row],[Shortname]], Comp[], 29, FALSE)</f>
        <v>0</v>
      </c>
      <c r="AG605">
        <f>VLOOKUP(Table9[[#This Row],[Shortname]], Comp[], 30, FALSE)</f>
        <v>0</v>
      </c>
      <c r="AH605">
        <f>VLOOKUP(Table9[[#This Row],[Shortname]], Comp[], 31, FALSE)</f>
        <v>0</v>
      </c>
    </row>
    <row r="606" spans="1:34" x14ac:dyDescent="0.3">
      <c r="A606" t="s">
        <v>2289</v>
      </c>
      <c r="B606" t="s">
        <v>2291</v>
      </c>
      <c r="C606" t="s">
        <v>2235</v>
      </c>
      <c r="D606">
        <v>237</v>
      </c>
      <c r="E606">
        <v>200</v>
      </c>
      <c r="F606">
        <v>1.1E-4</v>
      </c>
      <c r="G606">
        <v>-1</v>
      </c>
      <c r="H606" t="s">
        <v>6855</v>
      </c>
      <c r="I606">
        <f>VLOOKUP(Table9[[#This Row],[Shortname]], Comp[], 6, FALSE)</f>
        <v>302</v>
      </c>
      <c r="J606" s="14">
        <f>VLOOKUP(Table9[[#This Row],[Shortname]], Comp[], 7, FALSE)</f>
        <v>77.25</v>
      </c>
      <c r="K606">
        <f>VLOOKUP(Table9[[#This Row],[Shortname]], Comp[], 8, FALSE)</f>
        <v>0</v>
      </c>
      <c r="L606">
        <f>VLOOKUP(Table9[[#This Row],[Shortname]], Comp[], 9, FALSE)</f>
        <v>0</v>
      </c>
      <c r="M606">
        <f>VLOOKUP(Table9[[#This Row],[Shortname]], Comp[], 10, FALSE)</f>
        <v>2.85</v>
      </c>
      <c r="N606">
        <f>VLOOKUP(Table9[[#This Row],[Shortname]], Comp[], 11, FALSE)</f>
        <v>0</v>
      </c>
      <c r="O606">
        <f>VLOOKUP(Table9[[#This Row],[Shortname]], Comp[],12, FALSE)</f>
        <v>19.899999999999999</v>
      </c>
      <c r="P606">
        <f>VLOOKUP(Table9[[#This Row],[Shortname]], Comp[], 13, FALSE)</f>
        <v>0</v>
      </c>
      <c r="Q606">
        <f>VLOOKUP(Table9[[#This Row],[Shortname]], Comp[], 14, FALSE)</f>
        <v>0</v>
      </c>
      <c r="R606">
        <f>VLOOKUP(Table9[[#This Row],[Shortname]], Comp[], 15, FALSE)</f>
        <v>0</v>
      </c>
      <c r="S606">
        <f>VLOOKUP(Table9[[#This Row],[Shortname]], Comp[], 16, FALSE)</f>
        <v>0</v>
      </c>
      <c r="T606">
        <f>VLOOKUP(Table9[[#This Row],[Shortname]], Comp[], 17, FALSE)</f>
        <v>0</v>
      </c>
      <c r="U606">
        <f>VLOOKUP(Table9[[#This Row],[Shortname]], Comp[], 18, FALSE)</f>
        <v>0</v>
      </c>
      <c r="V606">
        <f>VLOOKUP(Table9[[#This Row],[Shortname]], Comp[], 19, FALSE)</f>
        <v>0</v>
      </c>
      <c r="W606">
        <f>VLOOKUP(Table9[[#This Row],[Shortname]], Comp[], 20, FALSE)</f>
        <v>0</v>
      </c>
      <c r="X606">
        <f>VLOOKUP(Table9[[#This Row],[Shortname]], Comp[], 21, FALSE)</f>
        <v>0</v>
      </c>
      <c r="Y606">
        <f>VLOOKUP(Table9[[#This Row],[Shortname]], Comp[], 22, FALSE)</f>
        <v>0</v>
      </c>
      <c r="Z606">
        <f>VLOOKUP(Table9[[#This Row],[Shortname]], Comp[], 23, FALSE)</f>
        <v>0</v>
      </c>
      <c r="AA606">
        <f>VLOOKUP(Table9[[#This Row],[Shortname]], Comp[], 24, FALSE)</f>
        <v>0</v>
      </c>
      <c r="AB606">
        <f>VLOOKUP(Table9[[#This Row],[Shortname]], Comp[], 25, FALSE)</f>
        <v>0</v>
      </c>
      <c r="AC606">
        <f>VLOOKUP(Table9[[#This Row],[Shortname]], Comp[], 26, FALSE)</f>
        <v>0</v>
      </c>
      <c r="AD606">
        <f>VLOOKUP(Table9[[#This Row],[Shortname]], Comp[], 27, FALSE)</f>
        <v>0</v>
      </c>
      <c r="AE606">
        <f>VLOOKUP(Table9[[#This Row],[Shortname]], Comp[], 28, FALSE)</f>
        <v>0</v>
      </c>
      <c r="AF606">
        <f>VLOOKUP(Table9[[#This Row],[Shortname]], Comp[], 29, FALSE)</f>
        <v>0</v>
      </c>
      <c r="AG606">
        <f>VLOOKUP(Table9[[#This Row],[Shortname]], Comp[], 30, FALSE)</f>
        <v>0</v>
      </c>
      <c r="AH606">
        <f>VLOOKUP(Table9[[#This Row],[Shortname]], Comp[], 31, FALSE)</f>
        <v>0</v>
      </c>
    </row>
    <row r="607" spans="1:34" x14ac:dyDescent="0.3">
      <c r="A607" t="s">
        <v>2266</v>
      </c>
      <c r="B607" t="s">
        <v>6872</v>
      </c>
      <c r="C607" t="s">
        <v>2235</v>
      </c>
      <c r="D607">
        <v>350</v>
      </c>
      <c r="E607">
        <v>800</v>
      </c>
      <c r="F607">
        <v>1.1E-4</v>
      </c>
      <c r="G607">
        <v>-1</v>
      </c>
      <c r="H607" t="s">
        <v>6855</v>
      </c>
      <c r="I607">
        <f>VLOOKUP(Table9[[#This Row],[Shortname]], Comp[], 6, FALSE)</f>
        <v>299</v>
      </c>
      <c r="J607" s="14">
        <f>VLOOKUP(Table9[[#This Row],[Shortname]], Comp[], 7, FALSE)</f>
        <v>75.73</v>
      </c>
      <c r="K607">
        <f>VLOOKUP(Table9[[#This Row],[Shortname]], Comp[], 8, FALSE)</f>
        <v>0</v>
      </c>
      <c r="L607">
        <f>VLOOKUP(Table9[[#This Row],[Shortname]], Comp[], 9, FALSE)</f>
        <v>0</v>
      </c>
      <c r="M607">
        <f>VLOOKUP(Table9[[#This Row],[Shortname]], Comp[], 10, FALSE)</f>
        <v>0</v>
      </c>
      <c r="N607">
        <f>VLOOKUP(Table9[[#This Row],[Shortname]], Comp[], 11, FALSE)</f>
        <v>0</v>
      </c>
      <c r="O607">
        <f>VLOOKUP(Table9[[#This Row],[Shortname]], Comp[],12, FALSE)</f>
        <v>21.4</v>
      </c>
      <c r="P607">
        <f>VLOOKUP(Table9[[#This Row],[Shortname]], Comp[], 13, FALSE)</f>
        <v>0</v>
      </c>
      <c r="Q607">
        <f>VLOOKUP(Table9[[#This Row],[Shortname]], Comp[], 14, FALSE)</f>
        <v>0</v>
      </c>
      <c r="R607">
        <f>VLOOKUP(Table9[[#This Row],[Shortname]], Comp[], 15, FALSE)</f>
        <v>0</v>
      </c>
      <c r="S607">
        <f>VLOOKUP(Table9[[#This Row],[Shortname]], Comp[], 16, FALSE)</f>
        <v>0</v>
      </c>
      <c r="T607">
        <f>VLOOKUP(Table9[[#This Row],[Shortname]], Comp[], 17, FALSE)</f>
        <v>0</v>
      </c>
      <c r="U607">
        <f>VLOOKUP(Table9[[#This Row],[Shortname]], Comp[], 18, FALSE)</f>
        <v>0</v>
      </c>
      <c r="V607">
        <f>VLOOKUP(Table9[[#This Row],[Shortname]], Comp[], 19, FALSE)</f>
        <v>0</v>
      </c>
      <c r="W607">
        <f>VLOOKUP(Table9[[#This Row],[Shortname]], Comp[], 20, FALSE)</f>
        <v>0</v>
      </c>
      <c r="X607">
        <f>VLOOKUP(Table9[[#This Row],[Shortname]], Comp[], 21, FALSE)</f>
        <v>0</v>
      </c>
      <c r="Y607">
        <f>VLOOKUP(Table9[[#This Row],[Shortname]], Comp[], 22, FALSE)</f>
        <v>0</v>
      </c>
      <c r="Z607">
        <f>VLOOKUP(Table9[[#This Row],[Shortname]], Comp[], 23, FALSE)</f>
        <v>2.87</v>
      </c>
      <c r="AA607">
        <f>VLOOKUP(Table9[[#This Row],[Shortname]], Comp[], 24, FALSE)</f>
        <v>0</v>
      </c>
      <c r="AB607">
        <f>VLOOKUP(Table9[[#This Row],[Shortname]], Comp[], 25, FALSE)</f>
        <v>0</v>
      </c>
      <c r="AC607">
        <f>VLOOKUP(Table9[[#This Row],[Shortname]], Comp[], 26, FALSE)</f>
        <v>0</v>
      </c>
      <c r="AD607">
        <f>VLOOKUP(Table9[[#This Row],[Shortname]], Comp[], 27, FALSE)</f>
        <v>0</v>
      </c>
      <c r="AE607">
        <f>VLOOKUP(Table9[[#This Row],[Shortname]], Comp[], 28, FALSE)</f>
        <v>0</v>
      </c>
      <c r="AF607">
        <f>VLOOKUP(Table9[[#This Row],[Shortname]], Comp[], 29, FALSE)</f>
        <v>0</v>
      </c>
      <c r="AG607">
        <f>VLOOKUP(Table9[[#This Row],[Shortname]], Comp[], 30, FALSE)</f>
        <v>0</v>
      </c>
      <c r="AH607">
        <f>VLOOKUP(Table9[[#This Row],[Shortname]], Comp[], 31, FALSE)</f>
        <v>0</v>
      </c>
    </row>
    <row r="608" spans="1:34" x14ac:dyDescent="0.3">
      <c r="A608" t="s">
        <v>2266</v>
      </c>
      <c r="B608" t="s">
        <v>6872</v>
      </c>
      <c r="C608" t="s">
        <v>2235</v>
      </c>
      <c r="D608">
        <v>333</v>
      </c>
      <c r="E608">
        <v>600</v>
      </c>
      <c r="F608">
        <v>1.1E-4</v>
      </c>
      <c r="G608">
        <v>-1</v>
      </c>
      <c r="H608" t="s">
        <v>6855</v>
      </c>
      <c r="I608">
        <f>VLOOKUP(Table9[[#This Row],[Shortname]], Comp[], 6, FALSE)</f>
        <v>299</v>
      </c>
      <c r="J608" s="14">
        <f>VLOOKUP(Table9[[#This Row],[Shortname]], Comp[], 7, FALSE)</f>
        <v>75.73</v>
      </c>
      <c r="K608">
        <f>VLOOKUP(Table9[[#This Row],[Shortname]], Comp[], 8, FALSE)</f>
        <v>0</v>
      </c>
      <c r="L608">
        <f>VLOOKUP(Table9[[#This Row],[Shortname]], Comp[], 9, FALSE)</f>
        <v>0</v>
      </c>
      <c r="M608">
        <f>VLOOKUP(Table9[[#This Row],[Shortname]], Comp[], 10, FALSE)</f>
        <v>0</v>
      </c>
      <c r="N608">
        <f>VLOOKUP(Table9[[#This Row],[Shortname]], Comp[], 11, FALSE)</f>
        <v>0</v>
      </c>
      <c r="O608">
        <f>VLOOKUP(Table9[[#This Row],[Shortname]], Comp[],12, FALSE)</f>
        <v>21.4</v>
      </c>
      <c r="P608">
        <f>VLOOKUP(Table9[[#This Row],[Shortname]], Comp[], 13, FALSE)</f>
        <v>0</v>
      </c>
      <c r="Q608">
        <f>VLOOKUP(Table9[[#This Row],[Shortname]], Comp[], 14, FALSE)</f>
        <v>0</v>
      </c>
      <c r="R608">
        <f>VLOOKUP(Table9[[#This Row],[Shortname]], Comp[], 15, FALSE)</f>
        <v>0</v>
      </c>
      <c r="S608">
        <f>VLOOKUP(Table9[[#This Row],[Shortname]], Comp[], 16, FALSE)</f>
        <v>0</v>
      </c>
      <c r="T608">
        <f>VLOOKUP(Table9[[#This Row],[Shortname]], Comp[], 17, FALSE)</f>
        <v>0</v>
      </c>
      <c r="U608">
        <f>VLOOKUP(Table9[[#This Row],[Shortname]], Comp[], 18, FALSE)</f>
        <v>0</v>
      </c>
      <c r="V608">
        <f>VLOOKUP(Table9[[#This Row],[Shortname]], Comp[], 19, FALSE)</f>
        <v>0</v>
      </c>
      <c r="W608">
        <f>VLOOKUP(Table9[[#This Row],[Shortname]], Comp[], 20, FALSE)</f>
        <v>0</v>
      </c>
      <c r="X608">
        <f>VLOOKUP(Table9[[#This Row],[Shortname]], Comp[], 21, FALSE)</f>
        <v>0</v>
      </c>
      <c r="Y608">
        <f>VLOOKUP(Table9[[#This Row],[Shortname]], Comp[], 22, FALSE)</f>
        <v>0</v>
      </c>
      <c r="Z608">
        <f>VLOOKUP(Table9[[#This Row],[Shortname]], Comp[], 23, FALSE)</f>
        <v>2.87</v>
      </c>
      <c r="AA608">
        <f>VLOOKUP(Table9[[#This Row],[Shortname]], Comp[], 24, FALSE)</f>
        <v>0</v>
      </c>
      <c r="AB608">
        <f>VLOOKUP(Table9[[#This Row],[Shortname]], Comp[], 25, FALSE)</f>
        <v>0</v>
      </c>
      <c r="AC608">
        <f>VLOOKUP(Table9[[#This Row],[Shortname]], Comp[], 26, FALSE)</f>
        <v>0</v>
      </c>
      <c r="AD608">
        <f>VLOOKUP(Table9[[#This Row],[Shortname]], Comp[], 27, FALSE)</f>
        <v>0</v>
      </c>
      <c r="AE608">
        <f>VLOOKUP(Table9[[#This Row],[Shortname]], Comp[], 28, FALSE)</f>
        <v>0</v>
      </c>
      <c r="AF608">
        <f>VLOOKUP(Table9[[#This Row],[Shortname]], Comp[], 29, FALSE)</f>
        <v>0</v>
      </c>
      <c r="AG608">
        <f>VLOOKUP(Table9[[#This Row],[Shortname]], Comp[], 30, FALSE)</f>
        <v>0</v>
      </c>
      <c r="AH608">
        <f>VLOOKUP(Table9[[#This Row],[Shortname]], Comp[], 31, FALSE)</f>
        <v>0</v>
      </c>
    </row>
    <row r="609" spans="1:34" x14ac:dyDescent="0.3">
      <c r="A609" t="s">
        <v>2266</v>
      </c>
      <c r="B609" t="s">
        <v>6872</v>
      </c>
      <c r="C609" t="s">
        <v>2235</v>
      </c>
      <c r="D609">
        <v>303</v>
      </c>
      <c r="E609">
        <v>-192</v>
      </c>
      <c r="F609">
        <v>1.1E-4</v>
      </c>
      <c r="G609">
        <v>-1</v>
      </c>
      <c r="H609" t="s">
        <v>6855</v>
      </c>
      <c r="I609">
        <f>VLOOKUP(Table9[[#This Row],[Shortname]], Comp[], 6, FALSE)</f>
        <v>299</v>
      </c>
      <c r="J609" s="14">
        <f>VLOOKUP(Table9[[#This Row],[Shortname]], Comp[], 7, FALSE)</f>
        <v>75.73</v>
      </c>
      <c r="K609">
        <f>VLOOKUP(Table9[[#This Row],[Shortname]], Comp[], 8, FALSE)</f>
        <v>0</v>
      </c>
      <c r="L609">
        <f>VLOOKUP(Table9[[#This Row],[Shortname]], Comp[], 9, FALSE)</f>
        <v>0</v>
      </c>
      <c r="M609">
        <f>VLOOKUP(Table9[[#This Row],[Shortname]], Comp[], 10, FALSE)</f>
        <v>0</v>
      </c>
      <c r="N609">
        <f>VLOOKUP(Table9[[#This Row],[Shortname]], Comp[], 11, FALSE)</f>
        <v>0</v>
      </c>
      <c r="O609">
        <f>VLOOKUP(Table9[[#This Row],[Shortname]], Comp[],12, FALSE)</f>
        <v>21.4</v>
      </c>
      <c r="P609">
        <f>VLOOKUP(Table9[[#This Row],[Shortname]], Comp[], 13, FALSE)</f>
        <v>0</v>
      </c>
      <c r="Q609">
        <f>VLOOKUP(Table9[[#This Row],[Shortname]], Comp[], 14, FALSE)</f>
        <v>0</v>
      </c>
      <c r="R609">
        <f>VLOOKUP(Table9[[#This Row],[Shortname]], Comp[], 15, FALSE)</f>
        <v>0</v>
      </c>
      <c r="S609">
        <f>VLOOKUP(Table9[[#This Row],[Shortname]], Comp[], 16, FALSE)</f>
        <v>0</v>
      </c>
      <c r="T609">
        <f>VLOOKUP(Table9[[#This Row],[Shortname]], Comp[], 17, FALSE)</f>
        <v>0</v>
      </c>
      <c r="U609">
        <f>VLOOKUP(Table9[[#This Row],[Shortname]], Comp[], 18, FALSE)</f>
        <v>0</v>
      </c>
      <c r="V609">
        <f>VLOOKUP(Table9[[#This Row],[Shortname]], Comp[], 19, FALSE)</f>
        <v>0</v>
      </c>
      <c r="W609">
        <f>VLOOKUP(Table9[[#This Row],[Shortname]], Comp[], 20, FALSE)</f>
        <v>0</v>
      </c>
      <c r="X609">
        <f>VLOOKUP(Table9[[#This Row],[Shortname]], Comp[], 21, FALSE)</f>
        <v>0</v>
      </c>
      <c r="Y609">
        <f>VLOOKUP(Table9[[#This Row],[Shortname]], Comp[], 22, FALSE)</f>
        <v>0</v>
      </c>
      <c r="Z609">
        <f>VLOOKUP(Table9[[#This Row],[Shortname]], Comp[], 23, FALSE)</f>
        <v>2.87</v>
      </c>
      <c r="AA609">
        <f>VLOOKUP(Table9[[#This Row],[Shortname]], Comp[], 24, FALSE)</f>
        <v>0</v>
      </c>
      <c r="AB609">
        <f>VLOOKUP(Table9[[#This Row],[Shortname]], Comp[], 25, FALSE)</f>
        <v>0</v>
      </c>
      <c r="AC609">
        <f>VLOOKUP(Table9[[#This Row],[Shortname]], Comp[], 26, FALSE)</f>
        <v>0</v>
      </c>
      <c r="AD609">
        <f>VLOOKUP(Table9[[#This Row],[Shortname]], Comp[], 27, FALSE)</f>
        <v>0</v>
      </c>
      <c r="AE609">
        <f>VLOOKUP(Table9[[#This Row],[Shortname]], Comp[], 28, FALSE)</f>
        <v>0</v>
      </c>
      <c r="AF609">
        <f>VLOOKUP(Table9[[#This Row],[Shortname]], Comp[], 29, FALSE)</f>
        <v>0</v>
      </c>
      <c r="AG609">
        <f>VLOOKUP(Table9[[#This Row],[Shortname]], Comp[], 30, FALSE)</f>
        <v>0</v>
      </c>
      <c r="AH609">
        <f>VLOOKUP(Table9[[#This Row],[Shortname]], Comp[], 31, FALSE)</f>
        <v>0</v>
      </c>
    </row>
    <row r="610" spans="1:34" x14ac:dyDescent="0.3">
      <c r="A610" t="s">
        <v>2266</v>
      </c>
      <c r="B610" t="s">
        <v>6872</v>
      </c>
      <c r="C610" t="s">
        <v>2235</v>
      </c>
      <c r="D610">
        <v>275</v>
      </c>
      <c r="E610">
        <v>500</v>
      </c>
      <c r="F610">
        <v>1.1E-4</v>
      </c>
      <c r="G610">
        <v>-1</v>
      </c>
      <c r="H610" t="s">
        <v>6855</v>
      </c>
      <c r="I610">
        <f>VLOOKUP(Table9[[#This Row],[Shortname]], Comp[], 6, FALSE)</f>
        <v>299</v>
      </c>
      <c r="J610" s="14">
        <f>VLOOKUP(Table9[[#This Row],[Shortname]], Comp[], 7, FALSE)</f>
        <v>75.73</v>
      </c>
      <c r="K610">
        <f>VLOOKUP(Table9[[#This Row],[Shortname]], Comp[], 8, FALSE)</f>
        <v>0</v>
      </c>
      <c r="L610">
        <f>VLOOKUP(Table9[[#This Row],[Shortname]], Comp[], 9, FALSE)</f>
        <v>0</v>
      </c>
      <c r="M610">
        <f>VLOOKUP(Table9[[#This Row],[Shortname]], Comp[], 10, FALSE)</f>
        <v>0</v>
      </c>
      <c r="N610">
        <f>VLOOKUP(Table9[[#This Row],[Shortname]], Comp[], 11, FALSE)</f>
        <v>0</v>
      </c>
      <c r="O610">
        <f>VLOOKUP(Table9[[#This Row],[Shortname]], Comp[],12, FALSE)</f>
        <v>21.4</v>
      </c>
      <c r="P610">
        <f>VLOOKUP(Table9[[#This Row],[Shortname]], Comp[], 13, FALSE)</f>
        <v>0</v>
      </c>
      <c r="Q610">
        <f>VLOOKUP(Table9[[#This Row],[Shortname]], Comp[], 14, FALSE)</f>
        <v>0</v>
      </c>
      <c r="R610">
        <f>VLOOKUP(Table9[[#This Row],[Shortname]], Comp[], 15, FALSE)</f>
        <v>0</v>
      </c>
      <c r="S610">
        <f>VLOOKUP(Table9[[#This Row],[Shortname]], Comp[], 16, FALSE)</f>
        <v>0</v>
      </c>
      <c r="T610">
        <f>VLOOKUP(Table9[[#This Row],[Shortname]], Comp[], 17, FALSE)</f>
        <v>0</v>
      </c>
      <c r="U610">
        <f>VLOOKUP(Table9[[#This Row],[Shortname]], Comp[], 18, FALSE)</f>
        <v>0</v>
      </c>
      <c r="V610">
        <f>VLOOKUP(Table9[[#This Row],[Shortname]], Comp[], 19, FALSE)</f>
        <v>0</v>
      </c>
      <c r="W610">
        <f>VLOOKUP(Table9[[#This Row],[Shortname]], Comp[], 20, FALSE)</f>
        <v>0</v>
      </c>
      <c r="X610">
        <f>VLOOKUP(Table9[[#This Row],[Shortname]], Comp[], 21, FALSE)</f>
        <v>0</v>
      </c>
      <c r="Y610">
        <f>VLOOKUP(Table9[[#This Row],[Shortname]], Comp[], 22, FALSE)</f>
        <v>0</v>
      </c>
      <c r="Z610">
        <f>VLOOKUP(Table9[[#This Row],[Shortname]], Comp[], 23, FALSE)</f>
        <v>2.87</v>
      </c>
      <c r="AA610">
        <f>VLOOKUP(Table9[[#This Row],[Shortname]], Comp[], 24, FALSE)</f>
        <v>0</v>
      </c>
      <c r="AB610">
        <f>VLOOKUP(Table9[[#This Row],[Shortname]], Comp[], 25, FALSE)</f>
        <v>0</v>
      </c>
      <c r="AC610">
        <f>VLOOKUP(Table9[[#This Row],[Shortname]], Comp[], 26, FALSE)</f>
        <v>0</v>
      </c>
      <c r="AD610">
        <f>VLOOKUP(Table9[[#This Row],[Shortname]], Comp[], 27, FALSE)</f>
        <v>0</v>
      </c>
      <c r="AE610">
        <f>VLOOKUP(Table9[[#This Row],[Shortname]], Comp[], 28, FALSE)</f>
        <v>0</v>
      </c>
      <c r="AF610">
        <f>VLOOKUP(Table9[[#This Row],[Shortname]], Comp[], 29, FALSE)</f>
        <v>0</v>
      </c>
      <c r="AG610">
        <f>VLOOKUP(Table9[[#This Row],[Shortname]], Comp[], 30, FALSE)</f>
        <v>0</v>
      </c>
      <c r="AH610">
        <f>VLOOKUP(Table9[[#This Row],[Shortname]], Comp[], 31, FALSE)</f>
        <v>0</v>
      </c>
    </row>
    <row r="611" spans="1:34" x14ac:dyDescent="0.3">
      <c r="A611" t="s">
        <v>2266</v>
      </c>
      <c r="B611" t="s">
        <v>6872</v>
      </c>
      <c r="C611" t="s">
        <v>2235</v>
      </c>
      <c r="D611">
        <v>213</v>
      </c>
      <c r="E611">
        <v>25</v>
      </c>
      <c r="F611">
        <v>1.1E-4</v>
      </c>
      <c r="G611">
        <v>-1</v>
      </c>
      <c r="H611" t="s">
        <v>6855</v>
      </c>
      <c r="I611">
        <f>VLOOKUP(Table9[[#This Row],[Shortname]], Comp[], 6, FALSE)</f>
        <v>299</v>
      </c>
      <c r="J611" s="14">
        <f>VLOOKUP(Table9[[#This Row],[Shortname]], Comp[], 7, FALSE)</f>
        <v>75.73</v>
      </c>
      <c r="K611">
        <f>VLOOKUP(Table9[[#This Row],[Shortname]], Comp[], 8, FALSE)</f>
        <v>0</v>
      </c>
      <c r="L611">
        <f>VLOOKUP(Table9[[#This Row],[Shortname]], Comp[], 9, FALSE)</f>
        <v>0</v>
      </c>
      <c r="M611">
        <f>VLOOKUP(Table9[[#This Row],[Shortname]], Comp[], 10, FALSE)</f>
        <v>0</v>
      </c>
      <c r="N611">
        <f>VLOOKUP(Table9[[#This Row],[Shortname]], Comp[], 11, FALSE)</f>
        <v>0</v>
      </c>
      <c r="O611">
        <f>VLOOKUP(Table9[[#This Row],[Shortname]], Comp[],12, FALSE)</f>
        <v>21.4</v>
      </c>
      <c r="P611">
        <f>VLOOKUP(Table9[[#This Row],[Shortname]], Comp[], 13, FALSE)</f>
        <v>0</v>
      </c>
      <c r="Q611">
        <f>VLOOKUP(Table9[[#This Row],[Shortname]], Comp[], 14, FALSE)</f>
        <v>0</v>
      </c>
      <c r="R611">
        <f>VLOOKUP(Table9[[#This Row],[Shortname]], Comp[], 15, FALSE)</f>
        <v>0</v>
      </c>
      <c r="S611">
        <f>VLOOKUP(Table9[[#This Row],[Shortname]], Comp[], 16, FALSE)</f>
        <v>0</v>
      </c>
      <c r="T611">
        <f>VLOOKUP(Table9[[#This Row],[Shortname]], Comp[], 17, FALSE)</f>
        <v>0</v>
      </c>
      <c r="U611">
        <f>VLOOKUP(Table9[[#This Row],[Shortname]], Comp[], 18, FALSE)</f>
        <v>0</v>
      </c>
      <c r="V611">
        <f>VLOOKUP(Table9[[#This Row],[Shortname]], Comp[], 19, FALSE)</f>
        <v>0</v>
      </c>
      <c r="W611">
        <f>VLOOKUP(Table9[[#This Row],[Shortname]], Comp[], 20, FALSE)</f>
        <v>0</v>
      </c>
      <c r="X611">
        <f>VLOOKUP(Table9[[#This Row],[Shortname]], Comp[], 21, FALSE)</f>
        <v>0</v>
      </c>
      <c r="Y611">
        <f>VLOOKUP(Table9[[#This Row],[Shortname]], Comp[], 22, FALSE)</f>
        <v>0</v>
      </c>
      <c r="Z611">
        <f>VLOOKUP(Table9[[#This Row],[Shortname]], Comp[], 23, FALSE)</f>
        <v>2.87</v>
      </c>
      <c r="AA611">
        <f>VLOOKUP(Table9[[#This Row],[Shortname]], Comp[], 24, FALSE)</f>
        <v>0</v>
      </c>
      <c r="AB611">
        <f>VLOOKUP(Table9[[#This Row],[Shortname]], Comp[], 25, FALSE)</f>
        <v>0</v>
      </c>
      <c r="AC611">
        <f>VLOOKUP(Table9[[#This Row],[Shortname]], Comp[], 26, FALSE)</f>
        <v>0</v>
      </c>
      <c r="AD611">
        <f>VLOOKUP(Table9[[#This Row],[Shortname]], Comp[], 27, FALSE)</f>
        <v>0</v>
      </c>
      <c r="AE611">
        <f>VLOOKUP(Table9[[#This Row],[Shortname]], Comp[], 28, FALSE)</f>
        <v>0</v>
      </c>
      <c r="AF611">
        <f>VLOOKUP(Table9[[#This Row],[Shortname]], Comp[], 29, FALSE)</f>
        <v>0</v>
      </c>
      <c r="AG611">
        <f>VLOOKUP(Table9[[#This Row],[Shortname]], Comp[], 30, FALSE)</f>
        <v>0</v>
      </c>
      <c r="AH611">
        <f>VLOOKUP(Table9[[#This Row],[Shortname]], Comp[], 31, FALSE)</f>
        <v>0</v>
      </c>
    </row>
    <row r="612" spans="1:34" x14ac:dyDescent="0.3">
      <c r="A612" t="s">
        <v>2266</v>
      </c>
      <c r="B612" t="s">
        <v>6872</v>
      </c>
      <c r="C612" t="s">
        <v>2235</v>
      </c>
      <c r="D612">
        <v>185</v>
      </c>
      <c r="E612">
        <v>400</v>
      </c>
      <c r="F612">
        <v>1.1E-4</v>
      </c>
      <c r="G612">
        <v>-1</v>
      </c>
      <c r="H612" t="s">
        <v>6855</v>
      </c>
      <c r="I612">
        <f>VLOOKUP(Table9[[#This Row],[Shortname]], Comp[], 6, FALSE)</f>
        <v>299</v>
      </c>
      <c r="J612" s="14">
        <f>VLOOKUP(Table9[[#This Row],[Shortname]], Comp[], 7, FALSE)</f>
        <v>75.73</v>
      </c>
      <c r="K612">
        <f>VLOOKUP(Table9[[#This Row],[Shortname]], Comp[], 8, FALSE)</f>
        <v>0</v>
      </c>
      <c r="L612">
        <f>VLOOKUP(Table9[[#This Row],[Shortname]], Comp[], 9, FALSE)</f>
        <v>0</v>
      </c>
      <c r="M612">
        <f>VLOOKUP(Table9[[#This Row],[Shortname]], Comp[], 10, FALSE)</f>
        <v>0</v>
      </c>
      <c r="N612">
        <f>VLOOKUP(Table9[[#This Row],[Shortname]], Comp[], 11, FALSE)</f>
        <v>0</v>
      </c>
      <c r="O612">
        <f>VLOOKUP(Table9[[#This Row],[Shortname]], Comp[],12, FALSE)</f>
        <v>21.4</v>
      </c>
      <c r="P612">
        <f>VLOOKUP(Table9[[#This Row],[Shortname]], Comp[], 13, FALSE)</f>
        <v>0</v>
      </c>
      <c r="Q612">
        <f>VLOOKUP(Table9[[#This Row],[Shortname]], Comp[], 14, FALSE)</f>
        <v>0</v>
      </c>
      <c r="R612">
        <f>VLOOKUP(Table9[[#This Row],[Shortname]], Comp[], 15, FALSE)</f>
        <v>0</v>
      </c>
      <c r="S612">
        <f>VLOOKUP(Table9[[#This Row],[Shortname]], Comp[], 16, FALSE)</f>
        <v>0</v>
      </c>
      <c r="T612">
        <f>VLOOKUP(Table9[[#This Row],[Shortname]], Comp[], 17, FALSE)</f>
        <v>0</v>
      </c>
      <c r="U612">
        <f>VLOOKUP(Table9[[#This Row],[Shortname]], Comp[], 18, FALSE)</f>
        <v>0</v>
      </c>
      <c r="V612">
        <f>VLOOKUP(Table9[[#This Row],[Shortname]], Comp[], 19, FALSE)</f>
        <v>0</v>
      </c>
      <c r="W612">
        <f>VLOOKUP(Table9[[#This Row],[Shortname]], Comp[], 20, FALSE)</f>
        <v>0</v>
      </c>
      <c r="X612">
        <f>VLOOKUP(Table9[[#This Row],[Shortname]], Comp[], 21, FALSE)</f>
        <v>0</v>
      </c>
      <c r="Y612">
        <f>VLOOKUP(Table9[[#This Row],[Shortname]], Comp[], 22, FALSE)</f>
        <v>0</v>
      </c>
      <c r="Z612">
        <f>VLOOKUP(Table9[[#This Row],[Shortname]], Comp[], 23, FALSE)</f>
        <v>2.87</v>
      </c>
      <c r="AA612">
        <f>VLOOKUP(Table9[[#This Row],[Shortname]], Comp[], 24, FALSE)</f>
        <v>0</v>
      </c>
      <c r="AB612">
        <f>VLOOKUP(Table9[[#This Row],[Shortname]], Comp[], 25, FALSE)</f>
        <v>0</v>
      </c>
      <c r="AC612">
        <f>VLOOKUP(Table9[[#This Row],[Shortname]], Comp[], 26, FALSE)</f>
        <v>0</v>
      </c>
      <c r="AD612">
        <f>VLOOKUP(Table9[[#This Row],[Shortname]], Comp[], 27, FALSE)</f>
        <v>0</v>
      </c>
      <c r="AE612">
        <f>VLOOKUP(Table9[[#This Row],[Shortname]], Comp[], 28, FALSE)</f>
        <v>0</v>
      </c>
      <c r="AF612">
        <f>VLOOKUP(Table9[[#This Row],[Shortname]], Comp[], 29, FALSE)</f>
        <v>0</v>
      </c>
      <c r="AG612">
        <f>VLOOKUP(Table9[[#This Row],[Shortname]], Comp[], 30, FALSE)</f>
        <v>0</v>
      </c>
      <c r="AH612">
        <f>VLOOKUP(Table9[[#This Row],[Shortname]], Comp[], 31, FALSE)</f>
        <v>0</v>
      </c>
    </row>
    <row r="613" spans="1:34" x14ac:dyDescent="0.3">
      <c r="A613" t="s">
        <v>2266</v>
      </c>
      <c r="B613" t="s">
        <v>6872</v>
      </c>
      <c r="C613" t="s">
        <v>2235</v>
      </c>
      <c r="D613">
        <v>170</v>
      </c>
      <c r="E613">
        <v>200</v>
      </c>
      <c r="F613">
        <v>1.1E-4</v>
      </c>
      <c r="G613">
        <v>-1</v>
      </c>
      <c r="H613" t="s">
        <v>6855</v>
      </c>
      <c r="I613">
        <f>VLOOKUP(Table9[[#This Row],[Shortname]], Comp[], 6, FALSE)</f>
        <v>299</v>
      </c>
      <c r="J613" s="14">
        <f>VLOOKUP(Table9[[#This Row],[Shortname]], Comp[], 7, FALSE)</f>
        <v>75.73</v>
      </c>
      <c r="K613">
        <f>VLOOKUP(Table9[[#This Row],[Shortname]], Comp[], 8, FALSE)</f>
        <v>0</v>
      </c>
      <c r="L613">
        <f>VLOOKUP(Table9[[#This Row],[Shortname]], Comp[], 9, FALSE)</f>
        <v>0</v>
      </c>
      <c r="M613">
        <f>VLOOKUP(Table9[[#This Row],[Shortname]], Comp[], 10, FALSE)</f>
        <v>0</v>
      </c>
      <c r="N613">
        <f>VLOOKUP(Table9[[#This Row],[Shortname]], Comp[], 11, FALSE)</f>
        <v>0</v>
      </c>
      <c r="O613">
        <f>VLOOKUP(Table9[[#This Row],[Shortname]], Comp[],12, FALSE)</f>
        <v>21.4</v>
      </c>
      <c r="P613">
        <f>VLOOKUP(Table9[[#This Row],[Shortname]], Comp[], 13, FALSE)</f>
        <v>0</v>
      </c>
      <c r="Q613">
        <f>VLOOKUP(Table9[[#This Row],[Shortname]], Comp[], 14, FALSE)</f>
        <v>0</v>
      </c>
      <c r="R613">
        <f>VLOOKUP(Table9[[#This Row],[Shortname]], Comp[], 15, FALSE)</f>
        <v>0</v>
      </c>
      <c r="S613">
        <f>VLOOKUP(Table9[[#This Row],[Shortname]], Comp[], 16, FALSE)</f>
        <v>0</v>
      </c>
      <c r="T613">
        <f>VLOOKUP(Table9[[#This Row],[Shortname]], Comp[], 17, FALSE)</f>
        <v>0</v>
      </c>
      <c r="U613">
        <f>VLOOKUP(Table9[[#This Row],[Shortname]], Comp[], 18, FALSE)</f>
        <v>0</v>
      </c>
      <c r="V613">
        <f>VLOOKUP(Table9[[#This Row],[Shortname]], Comp[], 19, FALSE)</f>
        <v>0</v>
      </c>
      <c r="W613">
        <f>VLOOKUP(Table9[[#This Row],[Shortname]], Comp[], 20, FALSE)</f>
        <v>0</v>
      </c>
      <c r="X613">
        <f>VLOOKUP(Table9[[#This Row],[Shortname]], Comp[], 21, FALSE)</f>
        <v>0</v>
      </c>
      <c r="Y613">
        <f>VLOOKUP(Table9[[#This Row],[Shortname]], Comp[], 22, FALSE)</f>
        <v>0</v>
      </c>
      <c r="Z613">
        <f>VLOOKUP(Table9[[#This Row],[Shortname]], Comp[], 23, FALSE)</f>
        <v>2.87</v>
      </c>
      <c r="AA613">
        <f>VLOOKUP(Table9[[#This Row],[Shortname]], Comp[], 24, FALSE)</f>
        <v>0</v>
      </c>
      <c r="AB613">
        <f>VLOOKUP(Table9[[#This Row],[Shortname]], Comp[], 25, FALSE)</f>
        <v>0</v>
      </c>
      <c r="AC613">
        <f>VLOOKUP(Table9[[#This Row],[Shortname]], Comp[], 26, FALSE)</f>
        <v>0</v>
      </c>
      <c r="AD613">
        <f>VLOOKUP(Table9[[#This Row],[Shortname]], Comp[], 27, FALSE)</f>
        <v>0</v>
      </c>
      <c r="AE613">
        <f>VLOOKUP(Table9[[#This Row],[Shortname]], Comp[], 28, FALSE)</f>
        <v>0</v>
      </c>
      <c r="AF613">
        <f>VLOOKUP(Table9[[#This Row],[Shortname]], Comp[], 29, FALSE)</f>
        <v>0</v>
      </c>
      <c r="AG613">
        <f>VLOOKUP(Table9[[#This Row],[Shortname]], Comp[], 30, FALSE)</f>
        <v>0</v>
      </c>
      <c r="AH613">
        <f>VLOOKUP(Table9[[#This Row],[Shortname]], Comp[], 31, FALSE)</f>
        <v>0</v>
      </c>
    </row>
    <row r="614" spans="1:34" x14ac:dyDescent="0.3">
      <c r="A614" t="s">
        <v>2266</v>
      </c>
      <c r="B614" t="s">
        <v>6872</v>
      </c>
      <c r="C614" t="s">
        <v>2235</v>
      </c>
      <c r="D614">
        <v>63</v>
      </c>
      <c r="E614">
        <v>1000</v>
      </c>
      <c r="F614">
        <v>1.1E-4</v>
      </c>
      <c r="G614">
        <v>-1</v>
      </c>
      <c r="H614" t="s">
        <v>6855</v>
      </c>
      <c r="I614">
        <f>VLOOKUP(Table9[[#This Row],[Shortname]], Comp[], 6, FALSE)</f>
        <v>299</v>
      </c>
      <c r="J614" s="14">
        <f>VLOOKUP(Table9[[#This Row],[Shortname]], Comp[], 7, FALSE)</f>
        <v>75.73</v>
      </c>
      <c r="K614">
        <f>VLOOKUP(Table9[[#This Row],[Shortname]], Comp[], 8, FALSE)</f>
        <v>0</v>
      </c>
      <c r="L614">
        <f>VLOOKUP(Table9[[#This Row],[Shortname]], Comp[], 9, FALSE)</f>
        <v>0</v>
      </c>
      <c r="M614">
        <f>VLOOKUP(Table9[[#This Row],[Shortname]], Comp[], 10, FALSE)</f>
        <v>0</v>
      </c>
      <c r="N614">
        <f>VLOOKUP(Table9[[#This Row],[Shortname]], Comp[], 11, FALSE)</f>
        <v>0</v>
      </c>
      <c r="O614">
        <f>VLOOKUP(Table9[[#This Row],[Shortname]], Comp[],12, FALSE)</f>
        <v>21.4</v>
      </c>
      <c r="P614">
        <f>VLOOKUP(Table9[[#This Row],[Shortname]], Comp[], 13, FALSE)</f>
        <v>0</v>
      </c>
      <c r="Q614">
        <f>VLOOKUP(Table9[[#This Row],[Shortname]], Comp[], 14, FALSE)</f>
        <v>0</v>
      </c>
      <c r="R614">
        <f>VLOOKUP(Table9[[#This Row],[Shortname]], Comp[], 15, FALSE)</f>
        <v>0</v>
      </c>
      <c r="S614">
        <f>VLOOKUP(Table9[[#This Row],[Shortname]], Comp[], 16, FALSE)</f>
        <v>0</v>
      </c>
      <c r="T614">
        <f>VLOOKUP(Table9[[#This Row],[Shortname]], Comp[], 17, FALSE)</f>
        <v>0</v>
      </c>
      <c r="U614">
        <f>VLOOKUP(Table9[[#This Row],[Shortname]], Comp[], 18, FALSE)</f>
        <v>0</v>
      </c>
      <c r="V614">
        <f>VLOOKUP(Table9[[#This Row],[Shortname]], Comp[], 19, FALSE)</f>
        <v>0</v>
      </c>
      <c r="W614">
        <f>VLOOKUP(Table9[[#This Row],[Shortname]], Comp[], 20, FALSE)</f>
        <v>0</v>
      </c>
      <c r="X614">
        <f>VLOOKUP(Table9[[#This Row],[Shortname]], Comp[], 21, FALSE)</f>
        <v>0</v>
      </c>
      <c r="Y614">
        <f>VLOOKUP(Table9[[#This Row],[Shortname]], Comp[], 22, FALSE)</f>
        <v>0</v>
      </c>
      <c r="Z614">
        <f>VLOOKUP(Table9[[#This Row],[Shortname]], Comp[], 23, FALSE)</f>
        <v>2.87</v>
      </c>
      <c r="AA614">
        <f>VLOOKUP(Table9[[#This Row],[Shortname]], Comp[], 24, FALSE)</f>
        <v>0</v>
      </c>
      <c r="AB614">
        <f>VLOOKUP(Table9[[#This Row],[Shortname]], Comp[], 25, FALSE)</f>
        <v>0</v>
      </c>
      <c r="AC614">
        <f>VLOOKUP(Table9[[#This Row],[Shortname]], Comp[], 26, FALSE)</f>
        <v>0</v>
      </c>
      <c r="AD614">
        <f>VLOOKUP(Table9[[#This Row],[Shortname]], Comp[], 27, FALSE)</f>
        <v>0</v>
      </c>
      <c r="AE614">
        <f>VLOOKUP(Table9[[#This Row],[Shortname]], Comp[], 28, FALSE)</f>
        <v>0</v>
      </c>
      <c r="AF614">
        <f>VLOOKUP(Table9[[#This Row],[Shortname]], Comp[], 29, FALSE)</f>
        <v>0</v>
      </c>
      <c r="AG614">
        <f>VLOOKUP(Table9[[#This Row],[Shortname]], Comp[], 30, FALSE)</f>
        <v>0</v>
      </c>
      <c r="AH614">
        <f>VLOOKUP(Table9[[#This Row],[Shortname]], Comp[], 31, FALSE)</f>
        <v>0</v>
      </c>
    </row>
    <row r="615" spans="1:34" x14ac:dyDescent="0.3">
      <c r="A615" t="s">
        <v>2282</v>
      </c>
      <c r="B615" t="s">
        <v>2284</v>
      </c>
      <c r="C615" t="s">
        <v>2235</v>
      </c>
      <c r="D615">
        <v>420</v>
      </c>
      <c r="E615">
        <v>600</v>
      </c>
      <c r="F615">
        <v>1.1E-4</v>
      </c>
      <c r="G615">
        <v>-1</v>
      </c>
      <c r="H615" t="s">
        <v>6855</v>
      </c>
      <c r="I615">
        <f>VLOOKUP(Table9[[#This Row],[Shortname]], Comp[], 6, FALSE)</f>
        <v>301</v>
      </c>
      <c r="J615" s="14">
        <f>VLOOKUP(Table9[[#This Row],[Shortname]], Comp[], 7, FALSE)</f>
        <v>77.069999999999993</v>
      </c>
      <c r="K615">
        <f>VLOOKUP(Table9[[#This Row],[Shortname]], Comp[], 8, FALSE)</f>
        <v>0</v>
      </c>
      <c r="L615">
        <f>VLOOKUP(Table9[[#This Row],[Shortname]], Comp[], 9, FALSE)</f>
        <v>0</v>
      </c>
      <c r="M615">
        <f>VLOOKUP(Table9[[#This Row],[Shortname]], Comp[], 10, FALSE)</f>
        <v>0</v>
      </c>
      <c r="N615">
        <f>VLOOKUP(Table9[[#This Row],[Shortname]], Comp[], 11, FALSE)</f>
        <v>0</v>
      </c>
      <c r="O615">
        <f>VLOOKUP(Table9[[#This Row],[Shortname]], Comp[],12, FALSE)</f>
        <v>20.9</v>
      </c>
      <c r="P615">
        <f>VLOOKUP(Table9[[#This Row],[Shortname]], Comp[], 13, FALSE)</f>
        <v>0</v>
      </c>
      <c r="Q615">
        <f>VLOOKUP(Table9[[#This Row],[Shortname]], Comp[], 14, FALSE)</f>
        <v>0</v>
      </c>
      <c r="R615">
        <f>VLOOKUP(Table9[[#This Row],[Shortname]], Comp[], 15, FALSE)</f>
        <v>0</v>
      </c>
      <c r="S615">
        <f>VLOOKUP(Table9[[#This Row],[Shortname]], Comp[], 16, FALSE)</f>
        <v>0</v>
      </c>
      <c r="T615">
        <f>VLOOKUP(Table9[[#This Row],[Shortname]], Comp[], 17, FALSE)</f>
        <v>0</v>
      </c>
      <c r="U615">
        <f>VLOOKUP(Table9[[#This Row],[Shortname]], Comp[], 18, FALSE)</f>
        <v>0</v>
      </c>
      <c r="V615">
        <f>VLOOKUP(Table9[[#This Row],[Shortname]], Comp[], 19, FALSE)</f>
        <v>0</v>
      </c>
      <c r="W615">
        <f>VLOOKUP(Table9[[#This Row],[Shortname]], Comp[], 20, FALSE)</f>
        <v>0</v>
      </c>
      <c r="X615">
        <f>VLOOKUP(Table9[[#This Row],[Shortname]], Comp[], 21, FALSE)</f>
        <v>0</v>
      </c>
      <c r="Y615">
        <f>VLOOKUP(Table9[[#This Row],[Shortname]], Comp[], 22, FALSE)</f>
        <v>0</v>
      </c>
      <c r="Z615">
        <f>VLOOKUP(Table9[[#This Row],[Shortname]], Comp[], 23, FALSE)</f>
        <v>0</v>
      </c>
      <c r="AA615">
        <f>VLOOKUP(Table9[[#This Row],[Shortname]], Comp[], 24, FALSE)</f>
        <v>0</v>
      </c>
      <c r="AB615">
        <f>VLOOKUP(Table9[[#This Row],[Shortname]], Comp[], 25, FALSE)</f>
        <v>0</v>
      </c>
      <c r="AC615">
        <f>VLOOKUP(Table9[[#This Row],[Shortname]], Comp[], 26, FALSE)</f>
        <v>2.0299999999999998</v>
      </c>
      <c r="AD615">
        <f>VLOOKUP(Table9[[#This Row],[Shortname]], Comp[], 27, FALSE)</f>
        <v>0</v>
      </c>
      <c r="AE615">
        <f>VLOOKUP(Table9[[#This Row],[Shortname]], Comp[], 28, FALSE)</f>
        <v>0</v>
      </c>
      <c r="AF615">
        <f>VLOOKUP(Table9[[#This Row],[Shortname]], Comp[], 29, FALSE)</f>
        <v>0</v>
      </c>
      <c r="AG615">
        <f>VLOOKUP(Table9[[#This Row],[Shortname]], Comp[], 30, FALSE)</f>
        <v>0</v>
      </c>
      <c r="AH615">
        <f>VLOOKUP(Table9[[#This Row],[Shortname]], Comp[], 31, FALSE)</f>
        <v>0</v>
      </c>
    </row>
    <row r="616" spans="1:34" x14ac:dyDescent="0.3">
      <c r="A616" t="s">
        <v>2282</v>
      </c>
      <c r="B616" t="s">
        <v>2284</v>
      </c>
      <c r="C616" t="s">
        <v>2235</v>
      </c>
      <c r="D616">
        <v>400</v>
      </c>
      <c r="E616">
        <v>-192</v>
      </c>
      <c r="F616">
        <v>1.1E-4</v>
      </c>
      <c r="G616">
        <v>-1</v>
      </c>
      <c r="H616" t="s">
        <v>6855</v>
      </c>
      <c r="I616">
        <f>VLOOKUP(Table9[[#This Row],[Shortname]], Comp[], 6, FALSE)</f>
        <v>301</v>
      </c>
      <c r="J616" s="14">
        <f>VLOOKUP(Table9[[#This Row],[Shortname]], Comp[], 7, FALSE)</f>
        <v>77.069999999999993</v>
      </c>
      <c r="K616">
        <f>VLOOKUP(Table9[[#This Row],[Shortname]], Comp[], 8, FALSE)</f>
        <v>0</v>
      </c>
      <c r="L616">
        <f>VLOOKUP(Table9[[#This Row],[Shortname]], Comp[], 9, FALSE)</f>
        <v>0</v>
      </c>
      <c r="M616">
        <f>VLOOKUP(Table9[[#This Row],[Shortname]], Comp[], 10, FALSE)</f>
        <v>0</v>
      </c>
      <c r="N616">
        <f>VLOOKUP(Table9[[#This Row],[Shortname]], Comp[], 11, FALSE)</f>
        <v>0</v>
      </c>
      <c r="O616">
        <f>VLOOKUP(Table9[[#This Row],[Shortname]], Comp[],12, FALSE)</f>
        <v>20.9</v>
      </c>
      <c r="P616">
        <f>VLOOKUP(Table9[[#This Row],[Shortname]], Comp[], 13, FALSE)</f>
        <v>0</v>
      </c>
      <c r="Q616">
        <f>VLOOKUP(Table9[[#This Row],[Shortname]], Comp[], 14, FALSE)</f>
        <v>0</v>
      </c>
      <c r="R616">
        <f>VLOOKUP(Table9[[#This Row],[Shortname]], Comp[], 15, FALSE)</f>
        <v>0</v>
      </c>
      <c r="S616">
        <f>VLOOKUP(Table9[[#This Row],[Shortname]], Comp[], 16, FALSE)</f>
        <v>0</v>
      </c>
      <c r="T616">
        <f>VLOOKUP(Table9[[#This Row],[Shortname]], Comp[], 17, FALSE)</f>
        <v>0</v>
      </c>
      <c r="U616">
        <f>VLOOKUP(Table9[[#This Row],[Shortname]], Comp[], 18, FALSE)</f>
        <v>0</v>
      </c>
      <c r="V616">
        <f>VLOOKUP(Table9[[#This Row],[Shortname]], Comp[], 19, FALSE)</f>
        <v>0</v>
      </c>
      <c r="W616">
        <f>VLOOKUP(Table9[[#This Row],[Shortname]], Comp[], 20, FALSE)</f>
        <v>0</v>
      </c>
      <c r="X616">
        <f>VLOOKUP(Table9[[#This Row],[Shortname]], Comp[], 21, FALSE)</f>
        <v>0</v>
      </c>
      <c r="Y616">
        <f>VLOOKUP(Table9[[#This Row],[Shortname]], Comp[], 22, FALSE)</f>
        <v>0</v>
      </c>
      <c r="Z616">
        <f>VLOOKUP(Table9[[#This Row],[Shortname]], Comp[], 23, FALSE)</f>
        <v>0</v>
      </c>
      <c r="AA616">
        <f>VLOOKUP(Table9[[#This Row],[Shortname]], Comp[], 24, FALSE)</f>
        <v>0</v>
      </c>
      <c r="AB616">
        <f>VLOOKUP(Table9[[#This Row],[Shortname]], Comp[], 25, FALSE)</f>
        <v>0</v>
      </c>
      <c r="AC616">
        <f>VLOOKUP(Table9[[#This Row],[Shortname]], Comp[], 26, FALSE)</f>
        <v>2.0299999999999998</v>
      </c>
      <c r="AD616">
        <f>VLOOKUP(Table9[[#This Row],[Shortname]], Comp[], 27, FALSE)</f>
        <v>0</v>
      </c>
      <c r="AE616">
        <f>VLOOKUP(Table9[[#This Row],[Shortname]], Comp[], 28, FALSE)</f>
        <v>0</v>
      </c>
      <c r="AF616">
        <f>VLOOKUP(Table9[[#This Row],[Shortname]], Comp[], 29, FALSE)</f>
        <v>0</v>
      </c>
      <c r="AG616">
        <f>VLOOKUP(Table9[[#This Row],[Shortname]], Comp[], 30, FALSE)</f>
        <v>0</v>
      </c>
      <c r="AH616">
        <f>VLOOKUP(Table9[[#This Row],[Shortname]], Comp[], 31, FALSE)</f>
        <v>0</v>
      </c>
    </row>
    <row r="617" spans="1:34" x14ac:dyDescent="0.3">
      <c r="A617" t="s">
        <v>2282</v>
      </c>
      <c r="B617" t="s">
        <v>2284</v>
      </c>
      <c r="C617" t="s">
        <v>2235</v>
      </c>
      <c r="D617">
        <v>385</v>
      </c>
      <c r="E617">
        <v>800</v>
      </c>
      <c r="F617">
        <v>1.1E-4</v>
      </c>
      <c r="G617">
        <v>-1</v>
      </c>
      <c r="H617" t="s">
        <v>6855</v>
      </c>
      <c r="I617">
        <f>VLOOKUP(Table9[[#This Row],[Shortname]], Comp[], 6, FALSE)</f>
        <v>301</v>
      </c>
      <c r="J617" s="14">
        <f>VLOOKUP(Table9[[#This Row],[Shortname]], Comp[], 7, FALSE)</f>
        <v>77.069999999999993</v>
      </c>
      <c r="K617">
        <f>VLOOKUP(Table9[[#This Row],[Shortname]], Comp[], 8, FALSE)</f>
        <v>0</v>
      </c>
      <c r="L617">
        <f>VLOOKUP(Table9[[#This Row],[Shortname]], Comp[], 9, FALSE)</f>
        <v>0</v>
      </c>
      <c r="M617">
        <f>VLOOKUP(Table9[[#This Row],[Shortname]], Comp[], 10, FALSE)</f>
        <v>0</v>
      </c>
      <c r="N617">
        <f>VLOOKUP(Table9[[#This Row],[Shortname]], Comp[], 11, FALSE)</f>
        <v>0</v>
      </c>
      <c r="O617">
        <f>VLOOKUP(Table9[[#This Row],[Shortname]], Comp[],12, FALSE)</f>
        <v>20.9</v>
      </c>
      <c r="P617">
        <f>VLOOKUP(Table9[[#This Row],[Shortname]], Comp[], 13, FALSE)</f>
        <v>0</v>
      </c>
      <c r="Q617">
        <f>VLOOKUP(Table9[[#This Row],[Shortname]], Comp[], 14, FALSE)</f>
        <v>0</v>
      </c>
      <c r="R617">
        <f>VLOOKUP(Table9[[#This Row],[Shortname]], Comp[], 15, FALSE)</f>
        <v>0</v>
      </c>
      <c r="S617">
        <f>VLOOKUP(Table9[[#This Row],[Shortname]], Comp[], 16, FALSE)</f>
        <v>0</v>
      </c>
      <c r="T617">
        <f>VLOOKUP(Table9[[#This Row],[Shortname]], Comp[], 17, FALSE)</f>
        <v>0</v>
      </c>
      <c r="U617">
        <f>VLOOKUP(Table9[[#This Row],[Shortname]], Comp[], 18, FALSE)</f>
        <v>0</v>
      </c>
      <c r="V617">
        <f>VLOOKUP(Table9[[#This Row],[Shortname]], Comp[], 19, FALSE)</f>
        <v>0</v>
      </c>
      <c r="W617">
        <f>VLOOKUP(Table9[[#This Row],[Shortname]], Comp[], 20, FALSE)</f>
        <v>0</v>
      </c>
      <c r="X617">
        <f>VLOOKUP(Table9[[#This Row],[Shortname]], Comp[], 21, FALSE)</f>
        <v>0</v>
      </c>
      <c r="Y617">
        <f>VLOOKUP(Table9[[#This Row],[Shortname]], Comp[], 22, FALSE)</f>
        <v>0</v>
      </c>
      <c r="Z617">
        <f>VLOOKUP(Table9[[#This Row],[Shortname]], Comp[], 23, FALSE)</f>
        <v>0</v>
      </c>
      <c r="AA617">
        <f>VLOOKUP(Table9[[#This Row],[Shortname]], Comp[], 24, FALSE)</f>
        <v>0</v>
      </c>
      <c r="AB617">
        <f>VLOOKUP(Table9[[#This Row],[Shortname]], Comp[], 25, FALSE)</f>
        <v>0</v>
      </c>
      <c r="AC617">
        <f>VLOOKUP(Table9[[#This Row],[Shortname]], Comp[], 26, FALSE)</f>
        <v>2.0299999999999998</v>
      </c>
      <c r="AD617">
        <f>VLOOKUP(Table9[[#This Row],[Shortname]], Comp[], 27, FALSE)</f>
        <v>0</v>
      </c>
      <c r="AE617">
        <f>VLOOKUP(Table9[[#This Row],[Shortname]], Comp[], 28, FALSE)</f>
        <v>0</v>
      </c>
      <c r="AF617">
        <f>VLOOKUP(Table9[[#This Row],[Shortname]], Comp[], 29, FALSE)</f>
        <v>0</v>
      </c>
      <c r="AG617">
        <f>VLOOKUP(Table9[[#This Row],[Shortname]], Comp[], 30, FALSE)</f>
        <v>0</v>
      </c>
      <c r="AH617">
        <f>VLOOKUP(Table9[[#This Row],[Shortname]], Comp[], 31, FALSE)</f>
        <v>0</v>
      </c>
    </row>
    <row r="618" spans="1:34" x14ac:dyDescent="0.3">
      <c r="A618" t="s">
        <v>2282</v>
      </c>
      <c r="B618" t="s">
        <v>2284</v>
      </c>
      <c r="C618" t="s">
        <v>2235</v>
      </c>
      <c r="D618">
        <v>312</v>
      </c>
      <c r="E618">
        <v>25</v>
      </c>
      <c r="F618">
        <v>1.1E-4</v>
      </c>
      <c r="G618">
        <v>-1</v>
      </c>
      <c r="H618" t="s">
        <v>6855</v>
      </c>
      <c r="I618">
        <f>VLOOKUP(Table9[[#This Row],[Shortname]], Comp[], 6, FALSE)</f>
        <v>301</v>
      </c>
      <c r="J618" s="14">
        <f>VLOOKUP(Table9[[#This Row],[Shortname]], Comp[], 7, FALSE)</f>
        <v>77.069999999999993</v>
      </c>
      <c r="K618">
        <f>VLOOKUP(Table9[[#This Row],[Shortname]], Comp[], 8, FALSE)</f>
        <v>0</v>
      </c>
      <c r="L618">
        <f>VLOOKUP(Table9[[#This Row],[Shortname]], Comp[], 9, FALSE)</f>
        <v>0</v>
      </c>
      <c r="M618">
        <f>VLOOKUP(Table9[[#This Row],[Shortname]], Comp[], 10, FALSE)</f>
        <v>0</v>
      </c>
      <c r="N618">
        <f>VLOOKUP(Table9[[#This Row],[Shortname]], Comp[], 11, FALSE)</f>
        <v>0</v>
      </c>
      <c r="O618">
        <f>VLOOKUP(Table9[[#This Row],[Shortname]], Comp[],12, FALSE)</f>
        <v>20.9</v>
      </c>
      <c r="P618">
        <f>VLOOKUP(Table9[[#This Row],[Shortname]], Comp[], 13, FALSE)</f>
        <v>0</v>
      </c>
      <c r="Q618">
        <f>VLOOKUP(Table9[[#This Row],[Shortname]], Comp[], 14, FALSE)</f>
        <v>0</v>
      </c>
      <c r="R618">
        <f>VLOOKUP(Table9[[#This Row],[Shortname]], Comp[], 15, FALSE)</f>
        <v>0</v>
      </c>
      <c r="S618">
        <f>VLOOKUP(Table9[[#This Row],[Shortname]], Comp[], 16, FALSE)</f>
        <v>0</v>
      </c>
      <c r="T618">
        <f>VLOOKUP(Table9[[#This Row],[Shortname]], Comp[], 17, FALSE)</f>
        <v>0</v>
      </c>
      <c r="U618">
        <f>VLOOKUP(Table9[[#This Row],[Shortname]], Comp[], 18, FALSE)</f>
        <v>0</v>
      </c>
      <c r="V618">
        <f>VLOOKUP(Table9[[#This Row],[Shortname]], Comp[], 19, FALSE)</f>
        <v>0</v>
      </c>
      <c r="W618">
        <f>VLOOKUP(Table9[[#This Row],[Shortname]], Comp[], 20, FALSE)</f>
        <v>0</v>
      </c>
      <c r="X618">
        <f>VLOOKUP(Table9[[#This Row],[Shortname]], Comp[], 21, FALSE)</f>
        <v>0</v>
      </c>
      <c r="Y618">
        <f>VLOOKUP(Table9[[#This Row],[Shortname]], Comp[], 22, FALSE)</f>
        <v>0</v>
      </c>
      <c r="Z618">
        <f>VLOOKUP(Table9[[#This Row],[Shortname]], Comp[], 23, FALSE)</f>
        <v>0</v>
      </c>
      <c r="AA618">
        <f>VLOOKUP(Table9[[#This Row],[Shortname]], Comp[], 24, FALSE)</f>
        <v>0</v>
      </c>
      <c r="AB618">
        <f>VLOOKUP(Table9[[#This Row],[Shortname]], Comp[], 25, FALSE)</f>
        <v>0</v>
      </c>
      <c r="AC618">
        <f>VLOOKUP(Table9[[#This Row],[Shortname]], Comp[], 26, FALSE)</f>
        <v>2.0299999999999998</v>
      </c>
      <c r="AD618">
        <f>VLOOKUP(Table9[[#This Row],[Shortname]], Comp[], 27, FALSE)</f>
        <v>0</v>
      </c>
      <c r="AE618">
        <f>VLOOKUP(Table9[[#This Row],[Shortname]], Comp[], 28, FALSE)</f>
        <v>0</v>
      </c>
      <c r="AF618">
        <f>VLOOKUP(Table9[[#This Row],[Shortname]], Comp[], 29, FALSE)</f>
        <v>0</v>
      </c>
      <c r="AG618">
        <f>VLOOKUP(Table9[[#This Row],[Shortname]], Comp[], 30, FALSE)</f>
        <v>0</v>
      </c>
      <c r="AH618">
        <f>VLOOKUP(Table9[[#This Row],[Shortname]], Comp[], 31, FALSE)</f>
        <v>0</v>
      </c>
    </row>
    <row r="619" spans="1:34" x14ac:dyDescent="0.3">
      <c r="A619" t="s">
        <v>2282</v>
      </c>
      <c r="B619" t="s">
        <v>2284</v>
      </c>
      <c r="C619" t="s">
        <v>2235</v>
      </c>
      <c r="D619">
        <v>300</v>
      </c>
      <c r="E619">
        <v>400</v>
      </c>
      <c r="F619">
        <v>1.1E-4</v>
      </c>
      <c r="G619">
        <v>-1</v>
      </c>
      <c r="H619" t="s">
        <v>6855</v>
      </c>
      <c r="I619">
        <f>VLOOKUP(Table9[[#This Row],[Shortname]], Comp[], 6, FALSE)</f>
        <v>301</v>
      </c>
      <c r="J619" s="14">
        <f>VLOOKUP(Table9[[#This Row],[Shortname]], Comp[], 7, FALSE)</f>
        <v>77.069999999999993</v>
      </c>
      <c r="K619">
        <f>VLOOKUP(Table9[[#This Row],[Shortname]], Comp[], 8, FALSE)</f>
        <v>0</v>
      </c>
      <c r="L619">
        <f>VLOOKUP(Table9[[#This Row],[Shortname]], Comp[], 9, FALSE)</f>
        <v>0</v>
      </c>
      <c r="M619">
        <f>VLOOKUP(Table9[[#This Row],[Shortname]], Comp[], 10, FALSE)</f>
        <v>0</v>
      </c>
      <c r="N619">
        <f>VLOOKUP(Table9[[#This Row],[Shortname]], Comp[], 11, FALSE)</f>
        <v>0</v>
      </c>
      <c r="O619">
        <f>VLOOKUP(Table9[[#This Row],[Shortname]], Comp[],12, FALSE)</f>
        <v>20.9</v>
      </c>
      <c r="P619">
        <f>VLOOKUP(Table9[[#This Row],[Shortname]], Comp[], 13, FALSE)</f>
        <v>0</v>
      </c>
      <c r="Q619">
        <f>VLOOKUP(Table9[[#This Row],[Shortname]], Comp[], 14, FALSE)</f>
        <v>0</v>
      </c>
      <c r="R619">
        <f>VLOOKUP(Table9[[#This Row],[Shortname]], Comp[], 15, FALSE)</f>
        <v>0</v>
      </c>
      <c r="S619">
        <f>VLOOKUP(Table9[[#This Row],[Shortname]], Comp[], 16, FALSE)</f>
        <v>0</v>
      </c>
      <c r="T619">
        <f>VLOOKUP(Table9[[#This Row],[Shortname]], Comp[], 17, FALSE)</f>
        <v>0</v>
      </c>
      <c r="U619">
        <f>VLOOKUP(Table9[[#This Row],[Shortname]], Comp[], 18, FALSE)</f>
        <v>0</v>
      </c>
      <c r="V619">
        <f>VLOOKUP(Table9[[#This Row],[Shortname]], Comp[], 19, FALSE)</f>
        <v>0</v>
      </c>
      <c r="W619">
        <f>VLOOKUP(Table9[[#This Row],[Shortname]], Comp[], 20, FALSE)</f>
        <v>0</v>
      </c>
      <c r="X619">
        <f>VLOOKUP(Table9[[#This Row],[Shortname]], Comp[], 21, FALSE)</f>
        <v>0</v>
      </c>
      <c r="Y619">
        <f>VLOOKUP(Table9[[#This Row],[Shortname]], Comp[], 22, FALSE)</f>
        <v>0</v>
      </c>
      <c r="Z619">
        <f>VLOOKUP(Table9[[#This Row],[Shortname]], Comp[], 23, FALSE)</f>
        <v>0</v>
      </c>
      <c r="AA619">
        <f>VLOOKUP(Table9[[#This Row],[Shortname]], Comp[], 24, FALSE)</f>
        <v>0</v>
      </c>
      <c r="AB619">
        <f>VLOOKUP(Table9[[#This Row],[Shortname]], Comp[], 25, FALSE)</f>
        <v>0</v>
      </c>
      <c r="AC619">
        <f>VLOOKUP(Table9[[#This Row],[Shortname]], Comp[], 26, FALSE)</f>
        <v>2.0299999999999998</v>
      </c>
      <c r="AD619">
        <f>VLOOKUP(Table9[[#This Row],[Shortname]], Comp[], 27, FALSE)</f>
        <v>0</v>
      </c>
      <c r="AE619">
        <f>VLOOKUP(Table9[[#This Row],[Shortname]], Comp[], 28, FALSE)</f>
        <v>0</v>
      </c>
      <c r="AF619">
        <f>VLOOKUP(Table9[[#This Row],[Shortname]], Comp[], 29, FALSE)</f>
        <v>0</v>
      </c>
      <c r="AG619">
        <f>VLOOKUP(Table9[[#This Row],[Shortname]], Comp[], 30, FALSE)</f>
        <v>0</v>
      </c>
      <c r="AH619">
        <f>VLOOKUP(Table9[[#This Row],[Shortname]], Comp[], 31, FALSE)</f>
        <v>0</v>
      </c>
    </row>
    <row r="620" spans="1:34" x14ac:dyDescent="0.3">
      <c r="A620" t="s">
        <v>2282</v>
      </c>
      <c r="B620" t="s">
        <v>2284</v>
      </c>
      <c r="C620" t="s">
        <v>2235</v>
      </c>
      <c r="D620">
        <v>248</v>
      </c>
      <c r="E620">
        <v>200</v>
      </c>
      <c r="F620">
        <v>1.1E-4</v>
      </c>
      <c r="G620">
        <v>-1</v>
      </c>
      <c r="H620" t="s">
        <v>6855</v>
      </c>
      <c r="I620">
        <f>VLOOKUP(Table9[[#This Row],[Shortname]], Comp[], 6, FALSE)</f>
        <v>301</v>
      </c>
      <c r="J620" s="14">
        <f>VLOOKUP(Table9[[#This Row],[Shortname]], Comp[], 7, FALSE)</f>
        <v>77.069999999999993</v>
      </c>
      <c r="K620">
        <f>VLOOKUP(Table9[[#This Row],[Shortname]], Comp[], 8, FALSE)</f>
        <v>0</v>
      </c>
      <c r="L620">
        <f>VLOOKUP(Table9[[#This Row],[Shortname]], Comp[], 9, FALSE)</f>
        <v>0</v>
      </c>
      <c r="M620">
        <f>VLOOKUP(Table9[[#This Row],[Shortname]], Comp[], 10, FALSE)</f>
        <v>0</v>
      </c>
      <c r="N620">
        <f>VLOOKUP(Table9[[#This Row],[Shortname]], Comp[], 11, FALSE)</f>
        <v>0</v>
      </c>
      <c r="O620">
        <f>VLOOKUP(Table9[[#This Row],[Shortname]], Comp[],12, FALSE)</f>
        <v>20.9</v>
      </c>
      <c r="P620">
        <f>VLOOKUP(Table9[[#This Row],[Shortname]], Comp[], 13, FALSE)</f>
        <v>0</v>
      </c>
      <c r="Q620">
        <f>VLOOKUP(Table9[[#This Row],[Shortname]], Comp[], 14, FALSE)</f>
        <v>0</v>
      </c>
      <c r="R620">
        <f>VLOOKUP(Table9[[#This Row],[Shortname]], Comp[], 15, FALSE)</f>
        <v>0</v>
      </c>
      <c r="S620">
        <f>VLOOKUP(Table9[[#This Row],[Shortname]], Comp[], 16, FALSE)</f>
        <v>0</v>
      </c>
      <c r="T620">
        <f>VLOOKUP(Table9[[#This Row],[Shortname]], Comp[], 17, FALSE)</f>
        <v>0</v>
      </c>
      <c r="U620">
        <f>VLOOKUP(Table9[[#This Row],[Shortname]], Comp[], 18, FALSE)</f>
        <v>0</v>
      </c>
      <c r="V620">
        <f>VLOOKUP(Table9[[#This Row],[Shortname]], Comp[], 19, FALSE)</f>
        <v>0</v>
      </c>
      <c r="W620">
        <f>VLOOKUP(Table9[[#This Row],[Shortname]], Comp[], 20, FALSE)</f>
        <v>0</v>
      </c>
      <c r="X620">
        <f>VLOOKUP(Table9[[#This Row],[Shortname]], Comp[], 21, FALSE)</f>
        <v>0</v>
      </c>
      <c r="Y620">
        <f>VLOOKUP(Table9[[#This Row],[Shortname]], Comp[], 22, FALSE)</f>
        <v>0</v>
      </c>
      <c r="Z620">
        <f>VLOOKUP(Table9[[#This Row],[Shortname]], Comp[], 23, FALSE)</f>
        <v>0</v>
      </c>
      <c r="AA620">
        <f>VLOOKUP(Table9[[#This Row],[Shortname]], Comp[], 24, FALSE)</f>
        <v>0</v>
      </c>
      <c r="AB620">
        <f>VLOOKUP(Table9[[#This Row],[Shortname]], Comp[], 25, FALSE)</f>
        <v>0</v>
      </c>
      <c r="AC620">
        <f>VLOOKUP(Table9[[#This Row],[Shortname]], Comp[], 26, FALSE)</f>
        <v>2.0299999999999998</v>
      </c>
      <c r="AD620">
        <f>VLOOKUP(Table9[[#This Row],[Shortname]], Comp[], 27, FALSE)</f>
        <v>0</v>
      </c>
      <c r="AE620">
        <f>VLOOKUP(Table9[[#This Row],[Shortname]], Comp[], 28, FALSE)</f>
        <v>0</v>
      </c>
      <c r="AF620">
        <f>VLOOKUP(Table9[[#This Row],[Shortname]], Comp[], 29, FALSE)</f>
        <v>0</v>
      </c>
      <c r="AG620">
        <f>VLOOKUP(Table9[[#This Row],[Shortname]], Comp[], 30, FALSE)</f>
        <v>0</v>
      </c>
      <c r="AH620">
        <f>VLOOKUP(Table9[[#This Row],[Shortname]], Comp[], 31, FALSE)</f>
        <v>0</v>
      </c>
    </row>
    <row r="621" spans="1:34" x14ac:dyDescent="0.3">
      <c r="A621" t="s">
        <v>2282</v>
      </c>
      <c r="B621" t="s">
        <v>2284</v>
      </c>
      <c r="C621" t="s">
        <v>2235</v>
      </c>
      <c r="D621">
        <v>78</v>
      </c>
      <c r="E621">
        <v>1000</v>
      </c>
      <c r="F621">
        <v>1.1E-4</v>
      </c>
      <c r="G621">
        <v>-1</v>
      </c>
      <c r="H621" t="s">
        <v>6855</v>
      </c>
      <c r="I621">
        <f>VLOOKUP(Table9[[#This Row],[Shortname]], Comp[], 6, FALSE)</f>
        <v>301</v>
      </c>
      <c r="J621" s="14">
        <f>VLOOKUP(Table9[[#This Row],[Shortname]], Comp[], 7, FALSE)</f>
        <v>77.069999999999993</v>
      </c>
      <c r="K621">
        <f>VLOOKUP(Table9[[#This Row],[Shortname]], Comp[], 8, FALSE)</f>
        <v>0</v>
      </c>
      <c r="L621">
        <f>VLOOKUP(Table9[[#This Row],[Shortname]], Comp[], 9, FALSE)</f>
        <v>0</v>
      </c>
      <c r="M621">
        <f>VLOOKUP(Table9[[#This Row],[Shortname]], Comp[], 10, FALSE)</f>
        <v>0</v>
      </c>
      <c r="N621">
        <f>VLOOKUP(Table9[[#This Row],[Shortname]], Comp[], 11, FALSE)</f>
        <v>0</v>
      </c>
      <c r="O621">
        <f>VLOOKUP(Table9[[#This Row],[Shortname]], Comp[],12, FALSE)</f>
        <v>20.9</v>
      </c>
      <c r="P621">
        <f>VLOOKUP(Table9[[#This Row],[Shortname]], Comp[], 13, FALSE)</f>
        <v>0</v>
      </c>
      <c r="Q621">
        <f>VLOOKUP(Table9[[#This Row],[Shortname]], Comp[], 14, FALSE)</f>
        <v>0</v>
      </c>
      <c r="R621">
        <f>VLOOKUP(Table9[[#This Row],[Shortname]], Comp[], 15, FALSE)</f>
        <v>0</v>
      </c>
      <c r="S621">
        <f>VLOOKUP(Table9[[#This Row],[Shortname]], Comp[], 16, FALSE)</f>
        <v>0</v>
      </c>
      <c r="T621">
        <f>VLOOKUP(Table9[[#This Row],[Shortname]], Comp[], 17, FALSE)</f>
        <v>0</v>
      </c>
      <c r="U621">
        <f>VLOOKUP(Table9[[#This Row],[Shortname]], Comp[], 18, FALSE)</f>
        <v>0</v>
      </c>
      <c r="V621">
        <f>VLOOKUP(Table9[[#This Row],[Shortname]], Comp[], 19, FALSE)</f>
        <v>0</v>
      </c>
      <c r="W621">
        <f>VLOOKUP(Table9[[#This Row],[Shortname]], Comp[], 20, FALSE)</f>
        <v>0</v>
      </c>
      <c r="X621">
        <f>VLOOKUP(Table9[[#This Row],[Shortname]], Comp[], 21, FALSE)</f>
        <v>0</v>
      </c>
      <c r="Y621">
        <f>VLOOKUP(Table9[[#This Row],[Shortname]], Comp[], 22, FALSE)</f>
        <v>0</v>
      </c>
      <c r="Z621">
        <f>VLOOKUP(Table9[[#This Row],[Shortname]], Comp[], 23, FALSE)</f>
        <v>0</v>
      </c>
      <c r="AA621">
        <f>VLOOKUP(Table9[[#This Row],[Shortname]], Comp[], 24, FALSE)</f>
        <v>0</v>
      </c>
      <c r="AB621">
        <f>VLOOKUP(Table9[[#This Row],[Shortname]], Comp[], 25, FALSE)</f>
        <v>0</v>
      </c>
      <c r="AC621">
        <f>VLOOKUP(Table9[[#This Row],[Shortname]], Comp[], 26, FALSE)</f>
        <v>2.0299999999999998</v>
      </c>
      <c r="AD621">
        <f>VLOOKUP(Table9[[#This Row],[Shortname]], Comp[], 27, FALSE)</f>
        <v>0</v>
      </c>
      <c r="AE621">
        <f>VLOOKUP(Table9[[#This Row],[Shortname]], Comp[], 28, FALSE)</f>
        <v>0</v>
      </c>
      <c r="AF621">
        <f>VLOOKUP(Table9[[#This Row],[Shortname]], Comp[], 29, FALSE)</f>
        <v>0</v>
      </c>
      <c r="AG621">
        <f>VLOOKUP(Table9[[#This Row],[Shortname]], Comp[], 30, FALSE)</f>
        <v>0</v>
      </c>
      <c r="AH621">
        <f>VLOOKUP(Table9[[#This Row],[Shortname]], Comp[], 31, FALSE)</f>
        <v>0</v>
      </c>
    </row>
    <row r="622" spans="1:34" x14ac:dyDescent="0.3">
      <c r="A622" t="s">
        <v>2253</v>
      </c>
      <c r="B622" t="s">
        <v>2255</v>
      </c>
      <c r="C622" t="s">
        <v>2235</v>
      </c>
      <c r="D622">
        <v>378</v>
      </c>
      <c r="E622">
        <v>600</v>
      </c>
      <c r="F622">
        <v>1.1E-4</v>
      </c>
      <c r="G622">
        <v>-1</v>
      </c>
      <c r="H622" t="s">
        <v>6855</v>
      </c>
      <c r="I622">
        <f>VLOOKUP(Table9[[#This Row],[Shortname]], Comp[], 6, FALSE)</f>
        <v>297</v>
      </c>
      <c r="J622" s="14">
        <f>VLOOKUP(Table9[[#This Row],[Shortname]], Comp[], 7, FALSE)</f>
        <v>77.099999999999994</v>
      </c>
      <c r="K622">
        <f>VLOOKUP(Table9[[#This Row],[Shortname]], Comp[], 8, FALSE)</f>
        <v>0</v>
      </c>
      <c r="L622">
        <f>VLOOKUP(Table9[[#This Row],[Shortname]], Comp[], 9, FALSE)</f>
        <v>0</v>
      </c>
      <c r="M622">
        <f>VLOOKUP(Table9[[#This Row],[Shortname]], Comp[], 10, FALSE)</f>
        <v>0</v>
      </c>
      <c r="N622">
        <f>VLOOKUP(Table9[[#This Row],[Shortname]], Comp[], 11, FALSE)</f>
        <v>0</v>
      </c>
      <c r="O622">
        <f>VLOOKUP(Table9[[#This Row],[Shortname]], Comp[],12, FALSE)</f>
        <v>21.9</v>
      </c>
      <c r="P622">
        <f>VLOOKUP(Table9[[#This Row],[Shortname]], Comp[], 13, FALSE)</f>
        <v>0</v>
      </c>
      <c r="Q622">
        <f>VLOOKUP(Table9[[#This Row],[Shortname]], Comp[], 14, FALSE)</f>
        <v>0</v>
      </c>
      <c r="R622">
        <f>VLOOKUP(Table9[[#This Row],[Shortname]], Comp[], 15, FALSE)</f>
        <v>0</v>
      </c>
      <c r="S622">
        <f>VLOOKUP(Table9[[#This Row],[Shortname]], Comp[], 16, FALSE)</f>
        <v>1</v>
      </c>
      <c r="T622">
        <f>VLOOKUP(Table9[[#This Row],[Shortname]], Comp[], 17, FALSE)</f>
        <v>0</v>
      </c>
      <c r="U622">
        <f>VLOOKUP(Table9[[#This Row],[Shortname]], Comp[], 18, FALSE)</f>
        <v>0</v>
      </c>
      <c r="V622">
        <f>VLOOKUP(Table9[[#This Row],[Shortname]], Comp[], 19, FALSE)</f>
        <v>0</v>
      </c>
      <c r="W622">
        <f>VLOOKUP(Table9[[#This Row],[Shortname]], Comp[], 20, FALSE)</f>
        <v>0</v>
      </c>
      <c r="X622">
        <f>VLOOKUP(Table9[[#This Row],[Shortname]], Comp[], 21, FALSE)</f>
        <v>0</v>
      </c>
      <c r="Y622">
        <f>VLOOKUP(Table9[[#This Row],[Shortname]], Comp[], 22, FALSE)</f>
        <v>0</v>
      </c>
      <c r="Z622">
        <f>VLOOKUP(Table9[[#This Row],[Shortname]], Comp[], 23, FALSE)</f>
        <v>0</v>
      </c>
      <c r="AA622">
        <f>VLOOKUP(Table9[[#This Row],[Shortname]], Comp[], 24, FALSE)</f>
        <v>0</v>
      </c>
      <c r="AB622">
        <f>VLOOKUP(Table9[[#This Row],[Shortname]], Comp[], 25, FALSE)</f>
        <v>0</v>
      </c>
      <c r="AC622">
        <f>VLOOKUP(Table9[[#This Row],[Shortname]], Comp[], 26, FALSE)</f>
        <v>0</v>
      </c>
      <c r="AD622">
        <f>VLOOKUP(Table9[[#This Row],[Shortname]], Comp[], 27, FALSE)</f>
        <v>0</v>
      </c>
      <c r="AE622">
        <f>VLOOKUP(Table9[[#This Row],[Shortname]], Comp[], 28, FALSE)</f>
        <v>0</v>
      </c>
      <c r="AF622">
        <f>VLOOKUP(Table9[[#This Row],[Shortname]], Comp[], 29, FALSE)</f>
        <v>0</v>
      </c>
      <c r="AG622">
        <f>VLOOKUP(Table9[[#This Row],[Shortname]], Comp[], 30, FALSE)</f>
        <v>0</v>
      </c>
      <c r="AH622">
        <f>VLOOKUP(Table9[[#This Row],[Shortname]], Comp[], 31, FALSE)</f>
        <v>0</v>
      </c>
    </row>
    <row r="623" spans="1:34" x14ac:dyDescent="0.3">
      <c r="A623" t="s">
        <v>2253</v>
      </c>
      <c r="B623" t="s">
        <v>2255</v>
      </c>
      <c r="C623" t="s">
        <v>2235</v>
      </c>
      <c r="D623">
        <v>361</v>
      </c>
      <c r="E623">
        <v>800</v>
      </c>
      <c r="F623">
        <v>1.1E-4</v>
      </c>
      <c r="G623">
        <v>-1</v>
      </c>
      <c r="H623" t="s">
        <v>6855</v>
      </c>
      <c r="I623">
        <f>VLOOKUP(Table9[[#This Row],[Shortname]], Comp[], 6, FALSE)</f>
        <v>297</v>
      </c>
      <c r="J623" s="14">
        <f>VLOOKUP(Table9[[#This Row],[Shortname]], Comp[], 7, FALSE)</f>
        <v>77.099999999999994</v>
      </c>
      <c r="K623">
        <f>VLOOKUP(Table9[[#This Row],[Shortname]], Comp[], 8, FALSE)</f>
        <v>0</v>
      </c>
      <c r="L623">
        <f>VLOOKUP(Table9[[#This Row],[Shortname]], Comp[], 9, FALSE)</f>
        <v>0</v>
      </c>
      <c r="M623">
        <f>VLOOKUP(Table9[[#This Row],[Shortname]], Comp[], 10, FALSE)</f>
        <v>0</v>
      </c>
      <c r="N623">
        <f>VLOOKUP(Table9[[#This Row],[Shortname]], Comp[], 11, FALSE)</f>
        <v>0</v>
      </c>
      <c r="O623">
        <f>VLOOKUP(Table9[[#This Row],[Shortname]], Comp[],12, FALSE)</f>
        <v>21.9</v>
      </c>
      <c r="P623">
        <f>VLOOKUP(Table9[[#This Row],[Shortname]], Comp[], 13, FALSE)</f>
        <v>0</v>
      </c>
      <c r="Q623">
        <f>VLOOKUP(Table9[[#This Row],[Shortname]], Comp[], 14, FALSE)</f>
        <v>0</v>
      </c>
      <c r="R623">
        <f>VLOOKUP(Table9[[#This Row],[Shortname]], Comp[], 15, FALSE)</f>
        <v>0</v>
      </c>
      <c r="S623">
        <f>VLOOKUP(Table9[[#This Row],[Shortname]], Comp[], 16, FALSE)</f>
        <v>1</v>
      </c>
      <c r="T623">
        <f>VLOOKUP(Table9[[#This Row],[Shortname]], Comp[], 17, FALSE)</f>
        <v>0</v>
      </c>
      <c r="U623">
        <f>VLOOKUP(Table9[[#This Row],[Shortname]], Comp[], 18, FALSE)</f>
        <v>0</v>
      </c>
      <c r="V623">
        <f>VLOOKUP(Table9[[#This Row],[Shortname]], Comp[], 19, FALSE)</f>
        <v>0</v>
      </c>
      <c r="W623">
        <f>VLOOKUP(Table9[[#This Row],[Shortname]], Comp[], 20, FALSE)</f>
        <v>0</v>
      </c>
      <c r="X623">
        <f>VLOOKUP(Table9[[#This Row],[Shortname]], Comp[], 21, FALSE)</f>
        <v>0</v>
      </c>
      <c r="Y623">
        <f>VLOOKUP(Table9[[#This Row],[Shortname]], Comp[], 22, FALSE)</f>
        <v>0</v>
      </c>
      <c r="Z623">
        <f>VLOOKUP(Table9[[#This Row],[Shortname]], Comp[], 23, FALSE)</f>
        <v>0</v>
      </c>
      <c r="AA623">
        <f>VLOOKUP(Table9[[#This Row],[Shortname]], Comp[], 24, FALSE)</f>
        <v>0</v>
      </c>
      <c r="AB623">
        <f>VLOOKUP(Table9[[#This Row],[Shortname]], Comp[], 25, FALSE)</f>
        <v>0</v>
      </c>
      <c r="AC623">
        <f>VLOOKUP(Table9[[#This Row],[Shortname]], Comp[], 26, FALSE)</f>
        <v>0</v>
      </c>
      <c r="AD623">
        <f>VLOOKUP(Table9[[#This Row],[Shortname]], Comp[], 27, FALSE)</f>
        <v>0</v>
      </c>
      <c r="AE623">
        <f>VLOOKUP(Table9[[#This Row],[Shortname]], Comp[], 28, FALSE)</f>
        <v>0</v>
      </c>
      <c r="AF623">
        <f>VLOOKUP(Table9[[#This Row],[Shortname]], Comp[], 29, FALSE)</f>
        <v>0</v>
      </c>
      <c r="AG623">
        <f>VLOOKUP(Table9[[#This Row],[Shortname]], Comp[], 30, FALSE)</f>
        <v>0</v>
      </c>
      <c r="AH623">
        <f>VLOOKUP(Table9[[#This Row],[Shortname]], Comp[], 31, FALSE)</f>
        <v>0</v>
      </c>
    </row>
    <row r="624" spans="1:34" x14ac:dyDescent="0.3">
      <c r="A624" t="s">
        <v>2253</v>
      </c>
      <c r="B624" t="s">
        <v>2255</v>
      </c>
      <c r="C624" t="s">
        <v>2235</v>
      </c>
      <c r="D624">
        <v>337</v>
      </c>
      <c r="E624">
        <v>-192</v>
      </c>
      <c r="F624">
        <v>1.1E-4</v>
      </c>
      <c r="G624">
        <v>-1</v>
      </c>
      <c r="H624" t="s">
        <v>6855</v>
      </c>
      <c r="I624">
        <f>VLOOKUP(Table9[[#This Row],[Shortname]], Comp[], 6, FALSE)</f>
        <v>297</v>
      </c>
      <c r="J624" s="14">
        <f>VLOOKUP(Table9[[#This Row],[Shortname]], Comp[], 7, FALSE)</f>
        <v>77.099999999999994</v>
      </c>
      <c r="K624">
        <f>VLOOKUP(Table9[[#This Row],[Shortname]], Comp[], 8, FALSE)</f>
        <v>0</v>
      </c>
      <c r="L624">
        <f>VLOOKUP(Table9[[#This Row],[Shortname]], Comp[], 9, FALSE)</f>
        <v>0</v>
      </c>
      <c r="M624">
        <f>VLOOKUP(Table9[[#This Row],[Shortname]], Comp[], 10, FALSE)</f>
        <v>0</v>
      </c>
      <c r="N624">
        <f>VLOOKUP(Table9[[#This Row],[Shortname]], Comp[], 11, FALSE)</f>
        <v>0</v>
      </c>
      <c r="O624">
        <f>VLOOKUP(Table9[[#This Row],[Shortname]], Comp[],12, FALSE)</f>
        <v>21.9</v>
      </c>
      <c r="P624">
        <f>VLOOKUP(Table9[[#This Row],[Shortname]], Comp[], 13, FALSE)</f>
        <v>0</v>
      </c>
      <c r="Q624">
        <f>VLOOKUP(Table9[[#This Row],[Shortname]], Comp[], 14, FALSE)</f>
        <v>0</v>
      </c>
      <c r="R624">
        <f>VLOOKUP(Table9[[#This Row],[Shortname]], Comp[], 15, FALSE)</f>
        <v>0</v>
      </c>
      <c r="S624">
        <f>VLOOKUP(Table9[[#This Row],[Shortname]], Comp[], 16, FALSE)</f>
        <v>1</v>
      </c>
      <c r="T624">
        <f>VLOOKUP(Table9[[#This Row],[Shortname]], Comp[], 17, FALSE)</f>
        <v>0</v>
      </c>
      <c r="U624">
        <f>VLOOKUP(Table9[[#This Row],[Shortname]], Comp[], 18, FALSE)</f>
        <v>0</v>
      </c>
      <c r="V624">
        <f>VLOOKUP(Table9[[#This Row],[Shortname]], Comp[], 19, FALSE)</f>
        <v>0</v>
      </c>
      <c r="W624">
        <f>VLOOKUP(Table9[[#This Row],[Shortname]], Comp[], 20, FALSE)</f>
        <v>0</v>
      </c>
      <c r="X624">
        <f>VLOOKUP(Table9[[#This Row],[Shortname]], Comp[], 21, FALSE)</f>
        <v>0</v>
      </c>
      <c r="Y624">
        <f>VLOOKUP(Table9[[#This Row],[Shortname]], Comp[], 22, FALSE)</f>
        <v>0</v>
      </c>
      <c r="Z624">
        <f>VLOOKUP(Table9[[#This Row],[Shortname]], Comp[], 23, FALSE)</f>
        <v>0</v>
      </c>
      <c r="AA624">
        <f>VLOOKUP(Table9[[#This Row],[Shortname]], Comp[], 24, FALSE)</f>
        <v>0</v>
      </c>
      <c r="AB624">
        <f>VLOOKUP(Table9[[#This Row],[Shortname]], Comp[], 25, FALSE)</f>
        <v>0</v>
      </c>
      <c r="AC624">
        <f>VLOOKUP(Table9[[#This Row],[Shortname]], Comp[], 26, FALSE)</f>
        <v>0</v>
      </c>
      <c r="AD624">
        <f>VLOOKUP(Table9[[#This Row],[Shortname]], Comp[], 27, FALSE)</f>
        <v>0</v>
      </c>
      <c r="AE624">
        <f>VLOOKUP(Table9[[#This Row],[Shortname]], Comp[], 28, FALSE)</f>
        <v>0</v>
      </c>
      <c r="AF624">
        <f>VLOOKUP(Table9[[#This Row],[Shortname]], Comp[], 29, FALSE)</f>
        <v>0</v>
      </c>
      <c r="AG624">
        <f>VLOOKUP(Table9[[#This Row],[Shortname]], Comp[], 30, FALSE)</f>
        <v>0</v>
      </c>
      <c r="AH624">
        <f>VLOOKUP(Table9[[#This Row],[Shortname]], Comp[], 31, FALSE)</f>
        <v>0</v>
      </c>
    </row>
    <row r="625" spans="1:34" x14ac:dyDescent="0.3">
      <c r="A625" t="s">
        <v>2253</v>
      </c>
      <c r="B625" t="s">
        <v>2255</v>
      </c>
      <c r="C625" t="s">
        <v>2235</v>
      </c>
      <c r="D625">
        <v>301</v>
      </c>
      <c r="E625">
        <v>500</v>
      </c>
      <c r="F625">
        <v>1.1E-4</v>
      </c>
      <c r="G625">
        <v>-1</v>
      </c>
      <c r="H625" t="s">
        <v>6855</v>
      </c>
      <c r="I625">
        <f>VLOOKUP(Table9[[#This Row],[Shortname]], Comp[], 6, FALSE)</f>
        <v>297</v>
      </c>
      <c r="J625" s="14">
        <f>VLOOKUP(Table9[[#This Row],[Shortname]], Comp[], 7, FALSE)</f>
        <v>77.099999999999994</v>
      </c>
      <c r="K625">
        <f>VLOOKUP(Table9[[#This Row],[Shortname]], Comp[], 8, FALSE)</f>
        <v>0</v>
      </c>
      <c r="L625">
        <f>VLOOKUP(Table9[[#This Row],[Shortname]], Comp[], 9, FALSE)</f>
        <v>0</v>
      </c>
      <c r="M625">
        <f>VLOOKUP(Table9[[#This Row],[Shortname]], Comp[], 10, FALSE)</f>
        <v>0</v>
      </c>
      <c r="N625">
        <f>VLOOKUP(Table9[[#This Row],[Shortname]], Comp[], 11, FALSE)</f>
        <v>0</v>
      </c>
      <c r="O625">
        <f>VLOOKUP(Table9[[#This Row],[Shortname]], Comp[],12, FALSE)</f>
        <v>21.9</v>
      </c>
      <c r="P625">
        <f>VLOOKUP(Table9[[#This Row],[Shortname]], Comp[], 13, FALSE)</f>
        <v>0</v>
      </c>
      <c r="Q625">
        <f>VLOOKUP(Table9[[#This Row],[Shortname]], Comp[], 14, FALSE)</f>
        <v>0</v>
      </c>
      <c r="R625">
        <f>VLOOKUP(Table9[[#This Row],[Shortname]], Comp[], 15, FALSE)</f>
        <v>0</v>
      </c>
      <c r="S625">
        <f>VLOOKUP(Table9[[#This Row],[Shortname]], Comp[], 16, FALSE)</f>
        <v>1</v>
      </c>
      <c r="T625">
        <f>VLOOKUP(Table9[[#This Row],[Shortname]], Comp[], 17, FALSE)</f>
        <v>0</v>
      </c>
      <c r="U625">
        <f>VLOOKUP(Table9[[#This Row],[Shortname]], Comp[], 18, FALSE)</f>
        <v>0</v>
      </c>
      <c r="V625">
        <f>VLOOKUP(Table9[[#This Row],[Shortname]], Comp[], 19, FALSE)</f>
        <v>0</v>
      </c>
      <c r="W625">
        <f>VLOOKUP(Table9[[#This Row],[Shortname]], Comp[], 20, FALSE)</f>
        <v>0</v>
      </c>
      <c r="X625">
        <f>VLOOKUP(Table9[[#This Row],[Shortname]], Comp[], 21, FALSE)</f>
        <v>0</v>
      </c>
      <c r="Y625">
        <f>VLOOKUP(Table9[[#This Row],[Shortname]], Comp[], 22, FALSE)</f>
        <v>0</v>
      </c>
      <c r="Z625">
        <f>VLOOKUP(Table9[[#This Row],[Shortname]], Comp[], 23, FALSE)</f>
        <v>0</v>
      </c>
      <c r="AA625">
        <f>VLOOKUP(Table9[[#This Row],[Shortname]], Comp[], 24, FALSE)</f>
        <v>0</v>
      </c>
      <c r="AB625">
        <f>VLOOKUP(Table9[[#This Row],[Shortname]], Comp[], 25, FALSE)</f>
        <v>0</v>
      </c>
      <c r="AC625">
        <f>VLOOKUP(Table9[[#This Row],[Shortname]], Comp[], 26, FALSE)</f>
        <v>0</v>
      </c>
      <c r="AD625">
        <f>VLOOKUP(Table9[[#This Row],[Shortname]], Comp[], 27, FALSE)</f>
        <v>0</v>
      </c>
      <c r="AE625">
        <f>VLOOKUP(Table9[[#This Row],[Shortname]], Comp[], 28, FALSE)</f>
        <v>0</v>
      </c>
      <c r="AF625">
        <f>VLOOKUP(Table9[[#This Row],[Shortname]], Comp[], 29, FALSE)</f>
        <v>0</v>
      </c>
      <c r="AG625">
        <f>VLOOKUP(Table9[[#This Row],[Shortname]], Comp[], 30, FALSE)</f>
        <v>0</v>
      </c>
      <c r="AH625">
        <f>VLOOKUP(Table9[[#This Row],[Shortname]], Comp[], 31, FALSE)</f>
        <v>0</v>
      </c>
    </row>
    <row r="626" spans="1:34" x14ac:dyDescent="0.3">
      <c r="A626" t="s">
        <v>2253</v>
      </c>
      <c r="B626" t="s">
        <v>2255</v>
      </c>
      <c r="C626" t="s">
        <v>2235</v>
      </c>
      <c r="D626">
        <v>260</v>
      </c>
      <c r="E626">
        <v>400</v>
      </c>
      <c r="F626">
        <v>1.1E-4</v>
      </c>
      <c r="G626">
        <v>-1</v>
      </c>
      <c r="H626" t="s">
        <v>6855</v>
      </c>
      <c r="I626">
        <f>VLOOKUP(Table9[[#This Row],[Shortname]], Comp[], 6, FALSE)</f>
        <v>297</v>
      </c>
      <c r="J626" s="14">
        <f>VLOOKUP(Table9[[#This Row],[Shortname]], Comp[], 7, FALSE)</f>
        <v>77.099999999999994</v>
      </c>
      <c r="K626">
        <f>VLOOKUP(Table9[[#This Row],[Shortname]], Comp[], 8, FALSE)</f>
        <v>0</v>
      </c>
      <c r="L626">
        <f>VLOOKUP(Table9[[#This Row],[Shortname]], Comp[], 9, FALSE)</f>
        <v>0</v>
      </c>
      <c r="M626">
        <f>VLOOKUP(Table9[[#This Row],[Shortname]], Comp[], 10, FALSE)</f>
        <v>0</v>
      </c>
      <c r="N626">
        <f>VLOOKUP(Table9[[#This Row],[Shortname]], Comp[], 11, FALSE)</f>
        <v>0</v>
      </c>
      <c r="O626">
        <f>VLOOKUP(Table9[[#This Row],[Shortname]], Comp[],12, FALSE)</f>
        <v>21.9</v>
      </c>
      <c r="P626">
        <f>VLOOKUP(Table9[[#This Row],[Shortname]], Comp[], 13, FALSE)</f>
        <v>0</v>
      </c>
      <c r="Q626">
        <f>VLOOKUP(Table9[[#This Row],[Shortname]], Comp[], 14, FALSE)</f>
        <v>0</v>
      </c>
      <c r="R626">
        <f>VLOOKUP(Table9[[#This Row],[Shortname]], Comp[], 15, FALSE)</f>
        <v>0</v>
      </c>
      <c r="S626">
        <f>VLOOKUP(Table9[[#This Row],[Shortname]], Comp[], 16, FALSE)</f>
        <v>1</v>
      </c>
      <c r="T626">
        <f>VLOOKUP(Table9[[#This Row],[Shortname]], Comp[], 17, FALSE)</f>
        <v>0</v>
      </c>
      <c r="U626">
        <f>VLOOKUP(Table9[[#This Row],[Shortname]], Comp[], 18, FALSE)</f>
        <v>0</v>
      </c>
      <c r="V626">
        <f>VLOOKUP(Table9[[#This Row],[Shortname]], Comp[], 19, FALSE)</f>
        <v>0</v>
      </c>
      <c r="W626">
        <f>VLOOKUP(Table9[[#This Row],[Shortname]], Comp[], 20, FALSE)</f>
        <v>0</v>
      </c>
      <c r="X626">
        <f>VLOOKUP(Table9[[#This Row],[Shortname]], Comp[], 21, FALSE)</f>
        <v>0</v>
      </c>
      <c r="Y626">
        <f>VLOOKUP(Table9[[#This Row],[Shortname]], Comp[], 22, FALSE)</f>
        <v>0</v>
      </c>
      <c r="Z626">
        <f>VLOOKUP(Table9[[#This Row],[Shortname]], Comp[], 23, FALSE)</f>
        <v>0</v>
      </c>
      <c r="AA626">
        <f>VLOOKUP(Table9[[#This Row],[Shortname]], Comp[], 24, FALSE)</f>
        <v>0</v>
      </c>
      <c r="AB626">
        <f>VLOOKUP(Table9[[#This Row],[Shortname]], Comp[], 25, FALSE)</f>
        <v>0</v>
      </c>
      <c r="AC626">
        <f>VLOOKUP(Table9[[#This Row],[Shortname]], Comp[], 26, FALSE)</f>
        <v>0</v>
      </c>
      <c r="AD626">
        <f>VLOOKUP(Table9[[#This Row],[Shortname]], Comp[], 27, FALSE)</f>
        <v>0</v>
      </c>
      <c r="AE626">
        <f>VLOOKUP(Table9[[#This Row],[Shortname]], Comp[], 28, FALSE)</f>
        <v>0</v>
      </c>
      <c r="AF626">
        <f>VLOOKUP(Table9[[#This Row],[Shortname]], Comp[], 29, FALSE)</f>
        <v>0</v>
      </c>
      <c r="AG626">
        <f>VLOOKUP(Table9[[#This Row],[Shortname]], Comp[], 30, FALSE)</f>
        <v>0</v>
      </c>
      <c r="AH626">
        <f>VLOOKUP(Table9[[#This Row],[Shortname]], Comp[], 31, FALSE)</f>
        <v>0</v>
      </c>
    </row>
    <row r="627" spans="1:34" x14ac:dyDescent="0.3">
      <c r="A627" t="s">
        <v>2253</v>
      </c>
      <c r="B627" t="s">
        <v>2255</v>
      </c>
      <c r="C627" t="s">
        <v>2235</v>
      </c>
      <c r="D627">
        <v>241</v>
      </c>
      <c r="E627">
        <v>25</v>
      </c>
      <c r="F627">
        <v>1.1E-4</v>
      </c>
      <c r="G627">
        <v>-1</v>
      </c>
      <c r="H627" t="s">
        <v>6855</v>
      </c>
      <c r="I627">
        <f>VLOOKUP(Table9[[#This Row],[Shortname]], Comp[], 6, FALSE)</f>
        <v>297</v>
      </c>
      <c r="J627" s="14">
        <f>VLOOKUP(Table9[[#This Row],[Shortname]], Comp[], 7, FALSE)</f>
        <v>77.099999999999994</v>
      </c>
      <c r="K627">
        <f>VLOOKUP(Table9[[#This Row],[Shortname]], Comp[], 8, FALSE)</f>
        <v>0</v>
      </c>
      <c r="L627">
        <f>VLOOKUP(Table9[[#This Row],[Shortname]], Comp[], 9, FALSE)</f>
        <v>0</v>
      </c>
      <c r="M627">
        <f>VLOOKUP(Table9[[#This Row],[Shortname]], Comp[], 10, FALSE)</f>
        <v>0</v>
      </c>
      <c r="N627">
        <f>VLOOKUP(Table9[[#This Row],[Shortname]], Comp[], 11, FALSE)</f>
        <v>0</v>
      </c>
      <c r="O627">
        <f>VLOOKUP(Table9[[#This Row],[Shortname]], Comp[],12, FALSE)</f>
        <v>21.9</v>
      </c>
      <c r="P627">
        <f>VLOOKUP(Table9[[#This Row],[Shortname]], Comp[], 13, FALSE)</f>
        <v>0</v>
      </c>
      <c r="Q627">
        <f>VLOOKUP(Table9[[#This Row],[Shortname]], Comp[], 14, FALSE)</f>
        <v>0</v>
      </c>
      <c r="R627">
        <f>VLOOKUP(Table9[[#This Row],[Shortname]], Comp[], 15, FALSE)</f>
        <v>0</v>
      </c>
      <c r="S627">
        <f>VLOOKUP(Table9[[#This Row],[Shortname]], Comp[], 16, FALSE)</f>
        <v>1</v>
      </c>
      <c r="T627">
        <f>VLOOKUP(Table9[[#This Row],[Shortname]], Comp[], 17, FALSE)</f>
        <v>0</v>
      </c>
      <c r="U627">
        <f>VLOOKUP(Table9[[#This Row],[Shortname]], Comp[], 18, FALSE)</f>
        <v>0</v>
      </c>
      <c r="V627">
        <f>VLOOKUP(Table9[[#This Row],[Shortname]], Comp[], 19, FALSE)</f>
        <v>0</v>
      </c>
      <c r="W627">
        <f>VLOOKUP(Table9[[#This Row],[Shortname]], Comp[], 20, FALSE)</f>
        <v>0</v>
      </c>
      <c r="X627">
        <f>VLOOKUP(Table9[[#This Row],[Shortname]], Comp[], 21, FALSE)</f>
        <v>0</v>
      </c>
      <c r="Y627">
        <f>VLOOKUP(Table9[[#This Row],[Shortname]], Comp[], 22, FALSE)</f>
        <v>0</v>
      </c>
      <c r="Z627">
        <f>VLOOKUP(Table9[[#This Row],[Shortname]], Comp[], 23, FALSE)</f>
        <v>0</v>
      </c>
      <c r="AA627">
        <f>VLOOKUP(Table9[[#This Row],[Shortname]], Comp[], 24, FALSE)</f>
        <v>0</v>
      </c>
      <c r="AB627">
        <f>VLOOKUP(Table9[[#This Row],[Shortname]], Comp[], 25, FALSE)</f>
        <v>0</v>
      </c>
      <c r="AC627">
        <f>VLOOKUP(Table9[[#This Row],[Shortname]], Comp[], 26, FALSE)</f>
        <v>0</v>
      </c>
      <c r="AD627">
        <f>VLOOKUP(Table9[[#This Row],[Shortname]], Comp[], 27, FALSE)</f>
        <v>0</v>
      </c>
      <c r="AE627">
        <f>VLOOKUP(Table9[[#This Row],[Shortname]], Comp[], 28, FALSE)</f>
        <v>0</v>
      </c>
      <c r="AF627">
        <f>VLOOKUP(Table9[[#This Row],[Shortname]], Comp[], 29, FALSE)</f>
        <v>0</v>
      </c>
      <c r="AG627">
        <f>VLOOKUP(Table9[[#This Row],[Shortname]], Comp[], 30, FALSE)</f>
        <v>0</v>
      </c>
      <c r="AH627">
        <f>VLOOKUP(Table9[[#This Row],[Shortname]], Comp[], 31, FALSE)</f>
        <v>0</v>
      </c>
    </row>
    <row r="628" spans="1:34" x14ac:dyDescent="0.3">
      <c r="A628" t="s">
        <v>2253</v>
      </c>
      <c r="B628" t="s">
        <v>2255</v>
      </c>
      <c r="C628" t="s">
        <v>2235</v>
      </c>
      <c r="D628">
        <v>224</v>
      </c>
      <c r="E628">
        <v>200</v>
      </c>
      <c r="F628">
        <v>1.1E-4</v>
      </c>
      <c r="G628">
        <v>-1</v>
      </c>
      <c r="H628" t="s">
        <v>6855</v>
      </c>
      <c r="I628">
        <f>VLOOKUP(Table9[[#This Row],[Shortname]], Comp[], 6, FALSE)</f>
        <v>297</v>
      </c>
      <c r="J628" s="14">
        <f>VLOOKUP(Table9[[#This Row],[Shortname]], Comp[], 7, FALSE)</f>
        <v>77.099999999999994</v>
      </c>
      <c r="K628">
        <f>VLOOKUP(Table9[[#This Row],[Shortname]], Comp[], 8, FALSE)</f>
        <v>0</v>
      </c>
      <c r="L628">
        <f>VLOOKUP(Table9[[#This Row],[Shortname]], Comp[], 9, FALSE)</f>
        <v>0</v>
      </c>
      <c r="M628">
        <f>VLOOKUP(Table9[[#This Row],[Shortname]], Comp[], 10, FALSE)</f>
        <v>0</v>
      </c>
      <c r="N628">
        <f>VLOOKUP(Table9[[#This Row],[Shortname]], Comp[], 11, FALSE)</f>
        <v>0</v>
      </c>
      <c r="O628">
        <f>VLOOKUP(Table9[[#This Row],[Shortname]], Comp[],12, FALSE)</f>
        <v>21.9</v>
      </c>
      <c r="P628">
        <f>VLOOKUP(Table9[[#This Row],[Shortname]], Comp[], 13, FALSE)</f>
        <v>0</v>
      </c>
      <c r="Q628">
        <f>VLOOKUP(Table9[[#This Row],[Shortname]], Comp[], 14, FALSE)</f>
        <v>0</v>
      </c>
      <c r="R628">
        <f>VLOOKUP(Table9[[#This Row],[Shortname]], Comp[], 15, FALSE)</f>
        <v>0</v>
      </c>
      <c r="S628">
        <f>VLOOKUP(Table9[[#This Row],[Shortname]], Comp[], 16, FALSE)</f>
        <v>1</v>
      </c>
      <c r="T628">
        <f>VLOOKUP(Table9[[#This Row],[Shortname]], Comp[], 17, FALSE)</f>
        <v>0</v>
      </c>
      <c r="U628">
        <f>VLOOKUP(Table9[[#This Row],[Shortname]], Comp[], 18, FALSE)</f>
        <v>0</v>
      </c>
      <c r="V628">
        <f>VLOOKUP(Table9[[#This Row],[Shortname]], Comp[], 19, FALSE)</f>
        <v>0</v>
      </c>
      <c r="W628">
        <f>VLOOKUP(Table9[[#This Row],[Shortname]], Comp[], 20, FALSE)</f>
        <v>0</v>
      </c>
      <c r="X628">
        <f>VLOOKUP(Table9[[#This Row],[Shortname]], Comp[], 21, FALSE)</f>
        <v>0</v>
      </c>
      <c r="Y628">
        <f>VLOOKUP(Table9[[#This Row],[Shortname]], Comp[], 22, FALSE)</f>
        <v>0</v>
      </c>
      <c r="Z628">
        <f>VLOOKUP(Table9[[#This Row],[Shortname]], Comp[], 23, FALSE)</f>
        <v>0</v>
      </c>
      <c r="AA628">
        <f>VLOOKUP(Table9[[#This Row],[Shortname]], Comp[], 24, FALSE)</f>
        <v>0</v>
      </c>
      <c r="AB628">
        <f>VLOOKUP(Table9[[#This Row],[Shortname]], Comp[], 25, FALSE)</f>
        <v>0</v>
      </c>
      <c r="AC628">
        <f>VLOOKUP(Table9[[#This Row],[Shortname]], Comp[], 26, FALSE)</f>
        <v>0</v>
      </c>
      <c r="AD628">
        <f>VLOOKUP(Table9[[#This Row],[Shortname]], Comp[], 27, FALSE)</f>
        <v>0</v>
      </c>
      <c r="AE628">
        <f>VLOOKUP(Table9[[#This Row],[Shortname]], Comp[], 28, FALSE)</f>
        <v>0</v>
      </c>
      <c r="AF628">
        <f>VLOOKUP(Table9[[#This Row],[Shortname]], Comp[], 29, FALSE)</f>
        <v>0</v>
      </c>
      <c r="AG628">
        <f>VLOOKUP(Table9[[#This Row],[Shortname]], Comp[], 30, FALSE)</f>
        <v>0</v>
      </c>
      <c r="AH628">
        <f>VLOOKUP(Table9[[#This Row],[Shortname]], Comp[], 31, FALSE)</f>
        <v>0</v>
      </c>
    </row>
    <row r="629" spans="1:34" x14ac:dyDescent="0.3">
      <c r="A629" t="s">
        <v>2253</v>
      </c>
      <c r="B629" t="s">
        <v>2255</v>
      </c>
      <c r="C629" t="s">
        <v>2235</v>
      </c>
      <c r="D629">
        <v>85</v>
      </c>
      <c r="E629">
        <v>1000</v>
      </c>
      <c r="F629">
        <v>1.1E-4</v>
      </c>
      <c r="G629">
        <v>-1</v>
      </c>
      <c r="H629" t="s">
        <v>6855</v>
      </c>
      <c r="I629">
        <f>VLOOKUP(Table9[[#This Row],[Shortname]], Comp[], 6, FALSE)</f>
        <v>297</v>
      </c>
      <c r="J629" s="14">
        <f>VLOOKUP(Table9[[#This Row],[Shortname]], Comp[], 7, FALSE)</f>
        <v>77.099999999999994</v>
      </c>
      <c r="K629">
        <f>VLOOKUP(Table9[[#This Row],[Shortname]], Comp[], 8, FALSE)</f>
        <v>0</v>
      </c>
      <c r="L629">
        <f>VLOOKUP(Table9[[#This Row],[Shortname]], Comp[], 9, FALSE)</f>
        <v>0</v>
      </c>
      <c r="M629">
        <f>VLOOKUP(Table9[[#This Row],[Shortname]], Comp[], 10, FALSE)</f>
        <v>0</v>
      </c>
      <c r="N629">
        <f>VLOOKUP(Table9[[#This Row],[Shortname]], Comp[], 11, FALSE)</f>
        <v>0</v>
      </c>
      <c r="O629">
        <f>VLOOKUP(Table9[[#This Row],[Shortname]], Comp[],12, FALSE)</f>
        <v>21.9</v>
      </c>
      <c r="P629">
        <f>VLOOKUP(Table9[[#This Row],[Shortname]], Comp[], 13, FALSE)</f>
        <v>0</v>
      </c>
      <c r="Q629">
        <f>VLOOKUP(Table9[[#This Row],[Shortname]], Comp[], 14, FALSE)</f>
        <v>0</v>
      </c>
      <c r="R629">
        <f>VLOOKUP(Table9[[#This Row],[Shortname]], Comp[], 15, FALSE)</f>
        <v>0</v>
      </c>
      <c r="S629">
        <f>VLOOKUP(Table9[[#This Row],[Shortname]], Comp[], 16, FALSE)</f>
        <v>1</v>
      </c>
      <c r="T629">
        <f>VLOOKUP(Table9[[#This Row],[Shortname]], Comp[], 17, FALSE)</f>
        <v>0</v>
      </c>
      <c r="U629">
        <f>VLOOKUP(Table9[[#This Row],[Shortname]], Comp[], 18, FALSE)</f>
        <v>0</v>
      </c>
      <c r="V629">
        <f>VLOOKUP(Table9[[#This Row],[Shortname]], Comp[], 19, FALSE)</f>
        <v>0</v>
      </c>
      <c r="W629">
        <f>VLOOKUP(Table9[[#This Row],[Shortname]], Comp[], 20, FALSE)</f>
        <v>0</v>
      </c>
      <c r="X629">
        <f>VLOOKUP(Table9[[#This Row],[Shortname]], Comp[], 21, FALSE)</f>
        <v>0</v>
      </c>
      <c r="Y629">
        <f>VLOOKUP(Table9[[#This Row],[Shortname]], Comp[], 22, FALSE)</f>
        <v>0</v>
      </c>
      <c r="Z629">
        <f>VLOOKUP(Table9[[#This Row],[Shortname]], Comp[], 23, FALSE)</f>
        <v>0</v>
      </c>
      <c r="AA629">
        <f>VLOOKUP(Table9[[#This Row],[Shortname]], Comp[], 24, FALSE)</f>
        <v>0</v>
      </c>
      <c r="AB629">
        <f>VLOOKUP(Table9[[#This Row],[Shortname]], Comp[], 25, FALSE)</f>
        <v>0</v>
      </c>
      <c r="AC629">
        <f>VLOOKUP(Table9[[#This Row],[Shortname]], Comp[], 26, FALSE)</f>
        <v>0</v>
      </c>
      <c r="AD629">
        <f>VLOOKUP(Table9[[#This Row],[Shortname]], Comp[], 27, FALSE)</f>
        <v>0</v>
      </c>
      <c r="AE629">
        <f>VLOOKUP(Table9[[#This Row],[Shortname]], Comp[], 28, FALSE)</f>
        <v>0</v>
      </c>
      <c r="AF629">
        <f>VLOOKUP(Table9[[#This Row],[Shortname]], Comp[], 29, FALSE)</f>
        <v>0</v>
      </c>
      <c r="AG629">
        <f>VLOOKUP(Table9[[#This Row],[Shortname]], Comp[], 30, FALSE)</f>
        <v>0</v>
      </c>
      <c r="AH629">
        <f>VLOOKUP(Table9[[#This Row],[Shortname]], Comp[], 31, FALSE)</f>
        <v>0</v>
      </c>
    </row>
    <row r="630" spans="1:34" x14ac:dyDescent="0.3">
      <c r="A630" t="s">
        <v>2246</v>
      </c>
      <c r="B630" t="s">
        <v>2248</v>
      </c>
      <c r="C630" t="s">
        <v>2235</v>
      </c>
      <c r="D630">
        <v>488</v>
      </c>
      <c r="E630">
        <v>800</v>
      </c>
      <c r="F630">
        <v>5.5000000000000003E-4</v>
      </c>
      <c r="G630">
        <v>-1</v>
      </c>
      <c r="H630" t="s">
        <v>6855</v>
      </c>
      <c r="I630">
        <f>VLOOKUP(Table9[[#This Row],[Shortname]], Comp[], 6, FALSE)</f>
        <v>296</v>
      </c>
      <c r="J630" s="14">
        <f>VLOOKUP(Table9[[#This Row],[Shortname]], Comp[], 7, FALSE)</f>
        <v>77</v>
      </c>
      <c r="K630">
        <f>VLOOKUP(Table9[[#This Row],[Shortname]], Comp[], 8, FALSE)</f>
        <v>0</v>
      </c>
      <c r="L630">
        <f>VLOOKUP(Table9[[#This Row],[Shortname]], Comp[], 9, FALSE)</f>
        <v>0</v>
      </c>
      <c r="M630">
        <f>VLOOKUP(Table9[[#This Row],[Shortname]], Comp[], 10, FALSE)</f>
        <v>0</v>
      </c>
      <c r="N630">
        <f>VLOOKUP(Table9[[#This Row],[Shortname]], Comp[], 11, FALSE)</f>
        <v>0</v>
      </c>
      <c r="O630">
        <f>VLOOKUP(Table9[[#This Row],[Shortname]], Comp[],12, FALSE)</f>
        <v>22</v>
      </c>
      <c r="P630">
        <f>VLOOKUP(Table9[[#This Row],[Shortname]], Comp[], 13, FALSE)</f>
        <v>1</v>
      </c>
      <c r="Q630">
        <f>VLOOKUP(Table9[[#This Row],[Shortname]], Comp[], 14, FALSE)</f>
        <v>0</v>
      </c>
      <c r="R630">
        <f>VLOOKUP(Table9[[#This Row],[Shortname]], Comp[], 15, FALSE)</f>
        <v>0</v>
      </c>
      <c r="S630">
        <f>VLOOKUP(Table9[[#This Row],[Shortname]], Comp[], 16, FALSE)</f>
        <v>0</v>
      </c>
      <c r="T630">
        <f>VLOOKUP(Table9[[#This Row],[Shortname]], Comp[], 17, FALSE)</f>
        <v>0</v>
      </c>
      <c r="U630">
        <f>VLOOKUP(Table9[[#This Row],[Shortname]], Comp[], 18, FALSE)</f>
        <v>0</v>
      </c>
      <c r="V630">
        <f>VLOOKUP(Table9[[#This Row],[Shortname]], Comp[], 19, FALSE)</f>
        <v>0</v>
      </c>
      <c r="W630">
        <f>VLOOKUP(Table9[[#This Row],[Shortname]], Comp[], 20, FALSE)</f>
        <v>0</v>
      </c>
      <c r="X630">
        <f>VLOOKUP(Table9[[#This Row],[Shortname]], Comp[], 21, FALSE)</f>
        <v>0</v>
      </c>
      <c r="Y630">
        <f>VLOOKUP(Table9[[#This Row],[Shortname]], Comp[], 22, FALSE)</f>
        <v>0</v>
      </c>
      <c r="Z630">
        <f>VLOOKUP(Table9[[#This Row],[Shortname]], Comp[], 23, FALSE)</f>
        <v>0</v>
      </c>
      <c r="AA630">
        <f>VLOOKUP(Table9[[#This Row],[Shortname]], Comp[], 24, FALSE)</f>
        <v>0</v>
      </c>
      <c r="AB630">
        <f>VLOOKUP(Table9[[#This Row],[Shortname]], Comp[], 25, FALSE)</f>
        <v>0</v>
      </c>
      <c r="AC630">
        <f>VLOOKUP(Table9[[#This Row],[Shortname]], Comp[], 26, FALSE)</f>
        <v>0</v>
      </c>
      <c r="AD630">
        <f>VLOOKUP(Table9[[#This Row],[Shortname]], Comp[], 27, FALSE)</f>
        <v>0</v>
      </c>
      <c r="AE630">
        <f>VLOOKUP(Table9[[#This Row],[Shortname]], Comp[], 28, FALSE)</f>
        <v>0</v>
      </c>
      <c r="AF630">
        <f>VLOOKUP(Table9[[#This Row],[Shortname]], Comp[], 29, FALSE)</f>
        <v>0</v>
      </c>
      <c r="AG630">
        <f>VLOOKUP(Table9[[#This Row],[Shortname]], Comp[], 30, FALSE)</f>
        <v>0</v>
      </c>
      <c r="AH630">
        <f>VLOOKUP(Table9[[#This Row],[Shortname]], Comp[], 31, FALSE)</f>
        <v>0</v>
      </c>
    </row>
    <row r="631" spans="1:34" x14ac:dyDescent="0.3">
      <c r="A631" t="s">
        <v>2246</v>
      </c>
      <c r="B631" t="s">
        <v>2248</v>
      </c>
      <c r="C631" t="s">
        <v>2235</v>
      </c>
      <c r="D631">
        <v>465</v>
      </c>
      <c r="E631">
        <v>700</v>
      </c>
      <c r="F631">
        <v>5.5000000000000003E-4</v>
      </c>
      <c r="G631">
        <v>-1</v>
      </c>
      <c r="H631" t="s">
        <v>6855</v>
      </c>
      <c r="I631">
        <f>VLOOKUP(Table9[[#This Row],[Shortname]], Comp[], 6, FALSE)</f>
        <v>296</v>
      </c>
      <c r="J631" s="14">
        <f>VLOOKUP(Table9[[#This Row],[Shortname]], Comp[], 7, FALSE)</f>
        <v>77</v>
      </c>
      <c r="K631">
        <f>VLOOKUP(Table9[[#This Row],[Shortname]], Comp[], 8, FALSE)</f>
        <v>0</v>
      </c>
      <c r="L631">
        <f>VLOOKUP(Table9[[#This Row],[Shortname]], Comp[], 9, FALSE)</f>
        <v>0</v>
      </c>
      <c r="M631">
        <f>VLOOKUP(Table9[[#This Row],[Shortname]], Comp[], 10, FALSE)</f>
        <v>0</v>
      </c>
      <c r="N631">
        <f>VLOOKUP(Table9[[#This Row],[Shortname]], Comp[], 11, FALSE)</f>
        <v>0</v>
      </c>
      <c r="O631">
        <f>VLOOKUP(Table9[[#This Row],[Shortname]], Comp[],12, FALSE)</f>
        <v>22</v>
      </c>
      <c r="P631">
        <f>VLOOKUP(Table9[[#This Row],[Shortname]], Comp[], 13, FALSE)</f>
        <v>1</v>
      </c>
      <c r="Q631">
        <f>VLOOKUP(Table9[[#This Row],[Shortname]], Comp[], 14, FALSE)</f>
        <v>0</v>
      </c>
      <c r="R631">
        <f>VLOOKUP(Table9[[#This Row],[Shortname]], Comp[], 15, FALSE)</f>
        <v>0</v>
      </c>
      <c r="S631">
        <f>VLOOKUP(Table9[[#This Row],[Shortname]], Comp[], 16, FALSE)</f>
        <v>0</v>
      </c>
      <c r="T631">
        <f>VLOOKUP(Table9[[#This Row],[Shortname]], Comp[], 17, FALSE)</f>
        <v>0</v>
      </c>
      <c r="U631">
        <f>VLOOKUP(Table9[[#This Row],[Shortname]], Comp[], 18, FALSE)</f>
        <v>0</v>
      </c>
      <c r="V631">
        <f>VLOOKUP(Table9[[#This Row],[Shortname]], Comp[], 19, FALSE)</f>
        <v>0</v>
      </c>
      <c r="W631">
        <f>VLOOKUP(Table9[[#This Row],[Shortname]], Comp[], 20, FALSE)</f>
        <v>0</v>
      </c>
      <c r="X631">
        <f>VLOOKUP(Table9[[#This Row],[Shortname]], Comp[], 21, FALSE)</f>
        <v>0</v>
      </c>
      <c r="Y631">
        <f>VLOOKUP(Table9[[#This Row],[Shortname]], Comp[], 22, FALSE)</f>
        <v>0</v>
      </c>
      <c r="Z631">
        <f>VLOOKUP(Table9[[#This Row],[Shortname]], Comp[], 23, FALSE)</f>
        <v>0</v>
      </c>
      <c r="AA631">
        <f>VLOOKUP(Table9[[#This Row],[Shortname]], Comp[], 24, FALSE)</f>
        <v>0</v>
      </c>
      <c r="AB631">
        <f>VLOOKUP(Table9[[#This Row],[Shortname]], Comp[], 25, FALSE)</f>
        <v>0</v>
      </c>
      <c r="AC631">
        <f>VLOOKUP(Table9[[#This Row],[Shortname]], Comp[], 26, FALSE)</f>
        <v>0</v>
      </c>
      <c r="AD631">
        <f>VLOOKUP(Table9[[#This Row],[Shortname]], Comp[], 27, FALSE)</f>
        <v>0</v>
      </c>
      <c r="AE631">
        <f>VLOOKUP(Table9[[#This Row],[Shortname]], Comp[], 28, FALSE)</f>
        <v>0</v>
      </c>
      <c r="AF631">
        <f>VLOOKUP(Table9[[#This Row],[Shortname]], Comp[], 29, FALSE)</f>
        <v>0</v>
      </c>
      <c r="AG631">
        <f>VLOOKUP(Table9[[#This Row],[Shortname]], Comp[], 30, FALSE)</f>
        <v>0</v>
      </c>
      <c r="AH631">
        <f>VLOOKUP(Table9[[#This Row],[Shortname]], Comp[], 31, FALSE)</f>
        <v>0</v>
      </c>
    </row>
    <row r="632" spans="1:34" x14ac:dyDescent="0.3">
      <c r="A632" t="s">
        <v>2246</v>
      </c>
      <c r="B632" t="s">
        <v>2248</v>
      </c>
      <c r="C632" t="s">
        <v>2235</v>
      </c>
      <c r="D632">
        <v>420</v>
      </c>
      <c r="E632">
        <v>600</v>
      </c>
      <c r="F632">
        <v>5.5000000000000003E-4</v>
      </c>
      <c r="G632">
        <v>-1</v>
      </c>
      <c r="H632" t="s">
        <v>6855</v>
      </c>
      <c r="I632">
        <f>VLOOKUP(Table9[[#This Row],[Shortname]], Comp[], 6, FALSE)</f>
        <v>296</v>
      </c>
      <c r="J632" s="14">
        <f>VLOOKUP(Table9[[#This Row],[Shortname]], Comp[], 7, FALSE)</f>
        <v>77</v>
      </c>
      <c r="K632">
        <f>VLOOKUP(Table9[[#This Row],[Shortname]], Comp[], 8, FALSE)</f>
        <v>0</v>
      </c>
      <c r="L632">
        <f>VLOOKUP(Table9[[#This Row],[Shortname]], Comp[], 9, FALSE)</f>
        <v>0</v>
      </c>
      <c r="M632">
        <f>VLOOKUP(Table9[[#This Row],[Shortname]], Comp[], 10, FALSE)</f>
        <v>0</v>
      </c>
      <c r="N632">
        <f>VLOOKUP(Table9[[#This Row],[Shortname]], Comp[], 11, FALSE)</f>
        <v>0</v>
      </c>
      <c r="O632">
        <f>VLOOKUP(Table9[[#This Row],[Shortname]], Comp[],12, FALSE)</f>
        <v>22</v>
      </c>
      <c r="P632">
        <f>VLOOKUP(Table9[[#This Row],[Shortname]], Comp[], 13, FALSE)</f>
        <v>1</v>
      </c>
      <c r="Q632">
        <f>VLOOKUP(Table9[[#This Row],[Shortname]], Comp[], 14, FALSE)</f>
        <v>0</v>
      </c>
      <c r="R632">
        <f>VLOOKUP(Table9[[#This Row],[Shortname]], Comp[], 15, FALSE)</f>
        <v>0</v>
      </c>
      <c r="S632">
        <f>VLOOKUP(Table9[[#This Row],[Shortname]], Comp[], 16, FALSE)</f>
        <v>0</v>
      </c>
      <c r="T632">
        <f>VLOOKUP(Table9[[#This Row],[Shortname]], Comp[], 17, FALSE)</f>
        <v>0</v>
      </c>
      <c r="U632">
        <f>VLOOKUP(Table9[[#This Row],[Shortname]], Comp[], 18, FALSE)</f>
        <v>0</v>
      </c>
      <c r="V632">
        <f>VLOOKUP(Table9[[#This Row],[Shortname]], Comp[], 19, FALSE)</f>
        <v>0</v>
      </c>
      <c r="W632">
        <f>VLOOKUP(Table9[[#This Row],[Shortname]], Comp[], 20, FALSE)</f>
        <v>0</v>
      </c>
      <c r="X632">
        <f>VLOOKUP(Table9[[#This Row],[Shortname]], Comp[], 21, FALSE)</f>
        <v>0</v>
      </c>
      <c r="Y632">
        <f>VLOOKUP(Table9[[#This Row],[Shortname]], Comp[], 22, FALSE)</f>
        <v>0</v>
      </c>
      <c r="Z632">
        <f>VLOOKUP(Table9[[#This Row],[Shortname]], Comp[], 23, FALSE)</f>
        <v>0</v>
      </c>
      <c r="AA632">
        <f>VLOOKUP(Table9[[#This Row],[Shortname]], Comp[], 24, FALSE)</f>
        <v>0</v>
      </c>
      <c r="AB632">
        <f>VLOOKUP(Table9[[#This Row],[Shortname]], Comp[], 25, FALSE)</f>
        <v>0</v>
      </c>
      <c r="AC632">
        <f>VLOOKUP(Table9[[#This Row],[Shortname]], Comp[], 26, FALSE)</f>
        <v>0</v>
      </c>
      <c r="AD632">
        <f>VLOOKUP(Table9[[#This Row],[Shortname]], Comp[], 27, FALSE)</f>
        <v>0</v>
      </c>
      <c r="AE632">
        <f>VLOOKUP(Table9[[#This Row],[Shortname]], Comp[], 28, FALSE)</f>
        <v>0</v>
      </c>
      <c r="AF632">
        <f>VLOOKUP(Table9[[#This Row],[Shortname]], Comp[], 29, FALSE)</f>
        <v>0</v>
      </c>
      <c r="AG632">
        <f>VLOOKUP(Table9[[#This Row],[Shortname]], Comp[], 30, FALSE)</f>
        <v>0</v>
      </c>
      <c r="AH632">
        <f>VLOOKUP(Table9[[#This Row],[Shortname]], Comp[], 31, FALSE)</f>
        <v>0</v>
      </c>
    </row>
    <row r="633" spans="1:34" x14ac:dyDescent="0.3">
      <c r="A633" t="s">
        <v>2246</v>
      </c>
      <c r="B633" t="s">
        <v>2248</v>
      </c>
      <c r="C633" t="s">
        <v>2235</v>
      </c>
      <c r="D633">
        <v>390</v>
      </c>
      <c r="E633">
        <v>-192</v>
      </c>
      <c r="F633">
        <v>1.1E-4</v>
      </c>
      <c r="G633">
        <v>-1</v>
      </c>
      <c r="H633" t="s">
        <v>6855</v>
      </c>
      <c r="I633">
        <f>VLOOKUP(Table9[[#This Row],[Shortname]], Comp[], 6, FALSE)</f>
        <v>296</v>
      </c>
      <c r="J633" s="14">
        <f>VLOOKUP(Table9[[#This Row],[Shortname]], Comp[], 7, FALSE)</f>
        <v>77</v>
      </c>
      <c r="K633">
        <f>VLOOKUP(Table9[[#This Row],[Shortname]], Comp[], 8, FALSE)</f>
        <v>0</v>
      </c>
      <c r="L633">
        <f>VLOOKUP(Table9[[#This Row],[Shortname]], Comp[], 9, FALSE)</f>
        <v>0</v>
      </c>
      <c r="M633">
        <f>VLOOKUP(Table9[[#This Row],[Shortname]], Comp[], 10, FALSE)</f>
        <v>0</v>
      </c>
      <c r="N633">
        <f>VLOOKUP(Table9[[#This Row],[Shortname]], Comp[], 11, FALSE)</f>
        <v>0</v>
      </c>
      <c r="O633">
        <f>VLOOKUP(Table9[[#This Row],[Shortname]], Comp[],12, FALSE)</f>
        <v>22</v>
      </c>
      <c r="P633">
        <f>VLOOKUP(Table9[[#This Row],[Shortname]], Comp[], 13, FALSE)</f>
        <v>1</v>
      </c>
      <c r="Q633">
        <f>VLOOKUP(Table9[[#This Row],[Shortname]], Comp[], 14, FALSE)</f>
        <v>0</v>
      </c>
      <c r="R633">
        <f>VLOOKUP(Table9[[#This Row],[Shortname]], Comp[], 15, FALSE)</f>
        <v>0</v>
      </c>
      <c r="S633">
        <f>VLOOKUP(Table9[[#This Row],[Shortname]], Comp[], 16, FALSE)</f>
        <v>0</v>
      </c>
      <c r="T633">
        <f>VLOOKUP(Table9[[#This Row],[Shortname]], Comp[], 17, FALSE)</f>
        <v>0</v>
      </c>
      <c r="U633">
        <f>VLOOKUP(Table9[[#This Row],[Shortname]], Comp[], 18, FALSE)</f>
        <v>0</v>
      </c>
      <c r="V633">
        <f>VLOOKUP(Table9[[#This Row],[Shortname]], Comp[], 19, FALSE)</f>
        <v>0</v>
      </c>
      <c r="W633">
        <f>VLOOKUP(Table9[[#This Row],[Shortname]], Comp[], 20, FALSE)</f>
        <v>0</v>
      </c>
      <c r="X633">
        <f>VLOOKUP(Table9[[#This Row],[Shortname]], Comp[], 21, FALSE)</f>
        <v>0</v>
      </c>
      <c r="Y633">
        <f>VLOOKUP(Table9[[#This Row],[Shortname]], Comp[], 22, FALSE)</f>
        <v>0</v>
      </c>
      <c r="Z633">
        <f>VLOOKUP(Table9[[#This Row],[Shortname]], Comp[], 23, FALSE)</f>
        <v>0</v>
      </c>
      <c r="AA633">
        <f>VLOOKUP(Table9[[#This Row],[Shortname]], Comp[], 24, FALSE)</f>
        <v>0</v>
      </c>
      <c r="AB633">
        <f>VLOOKUP(Table9[[#This Row],[Shortname]], Comp[], 25, FALSE)</f>
        <v>0</v>
      </c>
      <c r="AC633">
        <f>VLOOKUP(Table9[[#This Row],[Shortname]], Comp[], 26, FALSE)</f>
        <v>0</v>
      </c>
      <c r="AD633">
        <f>VLOOKUP(Table9[[#This Row],[Shortname]], Comp[], 27, FALSE)</f>
        <v>0</v>
      </c>
      <c r="AE633">
        <f>VLOOKUP(Table9[[#This Row],[Shortname]], Comp[], 28, FALSE)</f>
        <v>0</v>
      </c>
      <c r="AF633">
        <f>VLOOKUP(Table9[[#This Row],[Shortname]], Comp[], 29, FALSE)</f>
        <v>0</v>
      </c>
      <c r="AG633">
        <f>VLOOKUP(Table9[[#This Row],[Shortname]], Comp[], 30, FALSE)</f>
        <v>0</v>
      </c>
      <c r="AH633">
        <f>VLOOKUP(Table9[[#This Row],[Shortname]], Comp[], 31, FALSE)</f>
        <v>0</v>
      </c>
    </row>
    <row r="634" spans="1:34" x14ac:dyDescent="0.3">
      <c r="A634" t="s">
        <v>2246</v>
      </c>
      <c r="B634" t="s">
        <v>2248</v>
      </c>
      <c r="C634" t="s">
        <v>2235</v>
      </c>
      <c r="D634">
        <v>380</v>
      </c>
      <c r="E634">
        <v>600</v>
      </c>
      <c r="F634">
        <v>1.1E-4</v>
      </c>
      <c r="G634">
        <v>-1</v>
      </c>
      <c r="H634" t="s">
        <v>6855</v>
      </c>
      <c r="I634">
        <f>VLOOKUP(Table9[[#This Row],[Shortname]], Comp[], 6, FALSE)</f>
        <v>296</v>
      </c>
      <c r="J634" s="14">
        <f>VLOOKUP(Table9[[#This Row],[Shortname]], Comp[], 7, FALSE)</f>
        <v>77</v>
      </c>
      <c r="K634">
        <f>VLOOKUP(Table9[[#This Row],[Shortname]], Comp[], 8, FALSE)</f>
        <v>0</v>
      </c>
      <c r="L634">
        <f>VLOOKUP(Table9[[#This Row],[Shortname]], Comp[], 9, FALSE)</f>
        <v>0</v>
      </c>
      <c r="M634">
        <f>VLOOKUP(Table9[[#This Row],[Shortname]], Comp[], 10, FALSE)</f>
        <v>0</v>
      </c>
      <c r="N634">
        <f>VLOOKUP(Table9[[#This Row],[Shortname]], Comp[], 11, FALSE)</f>
        <v>0</v>
      </c>
      <c r="O634">
        <f>VLOOKUP(Table9[[#This Row],[Shortname]], Comp[],12, FALSE)</f>
        <v>22</v>
      </c>
      <c r="P634">
        <f>VLOOKUP(Table9[[#This Row],[Shortname]], Comp[], 13, FALSE)</f>
        <v>1</v>
      </c>
      <c r="Q634">
        <f>VLOOKUP(Table9[[#This Row],[Shortname]], Comp[], 14, FALSE)</f>
        <v>0</v>
      </c>
      <c r="R634">
        <f>VLOOKUP(Table9[[#This Row],[Shortname]], Comp[], 15, FALSE)</f>
        <v>0</v>
      </c>
      <c r="S634">
        <f>VLOOKUP(Table9[[#This Row],[Shortname]], Comp[], 16, FALSE)</f>
        <v>0</v>
      </c>
      <c r="T634">
        <f>VLOOKUP(Table9[[#This Row],[Shortname]], Comp[], 17, FALSE)</f>
        <v>0</v>
      </c>
      <c r="U634">
        <f>VLOOKUP(Table9[[#This Row],[Shortname]], Comp[], 18, FALSE)</f>
        <v>0</v>
      </c>
      <c r="V634">
        <f>VLOOKUP(Table9[[#This Row],[Shortname]], Comp[], 19, FALSE)</f>
        <v>0</v>
      </c>
      <c r="W634">
        <f>VLOOKUP(Table9[[#This Row],[Shortname]], Comp[], 20, FALSE)</f>
        <v>0</v>
      </c>
      <c r="X634">
        <f>VLOOKUP(Table9[[#This Row],[Shortname]], Comp[], 21, FALSE)</f>
        <v>0</v>
      </c>
      <c r="Y634">
        <f>VLOOKUP(Table9[[#This Row],[Shortname]], Comp[], 22, FALSE)</f>
        <v>0</v>
      </c>
      <c r="Z634">
        <f>VLOOKUP(Table9[[#This Row],[Shortname]], Comp[], 23, FALSE)</f>
        <v>0</v>
      </c>
      <c r="AA634">
        <f>VLOOKUP(Table9[[#This Row],[Shortname]], Comp[], 24, FALSE)</f>
        <v>0</v>
      </c>
      <c r="AB634">
        <f>VLOOKUP(Table9[[#This Row],[Shortname]], Comp[], 25, FALSE)</f>
        <v>0</v>
      </c>
      <c r="AC634">
        <f>VLOOKUP(Table9[[#This Row],[Shortname]], Comp[], 26, FALSE)</f>
        <v>0</v>
      </c>
      <c r="AD634">
        <f>VLOOKUP(Table9[[#This Row],[Shortname]], Comp[], 27, FALSE)</f>
        <v>0</v>
      </c>
      <c r="AE634">
        <f>VLOOKUP(Table9[[#This Row],[Shortname]], Comp[], 28, FALSE)</f>
        <v>0</v>
      </c>
      <c r="AF634">
        <f>VLOOKUP(Table9[[#This Row],[Shortname]], Comp[], 29, FALSE)</f>
        <v>0</v>
      </c>
      <c r="AG634">
        <f>VLOOKUP(Table9[[#This Row],[Shortname]], Comp[], 30, FALSE)</f>
        <v>0</v>
      </c>
      <c r="AH634">
        <f>VLOOKUP(Table9[[#This Row],[Shortname]], Comp[], 31, FALSE)</f>
        <v>0</v>
      </c>
    </row>
    <row r="635" spans="1:34" x14ac:dyDescent="0.3">
      <c r="A635" t="s">
        <v>2246</v>
      </c>
      <c r="B635" t="s">
        <v>2248</v>
      </c>
      <c r="C635" t="s">
        <v>2235</v>
      </c>
      <c r="D635">
        <v>315</v>
      </c>
      <c r="E635">
        <v>500</v>
      </c>
      <c r="F635">
        <v>5.5000000000000003E-4</v>
      </c>
      <c r="G635">
        <v>-1</v>
      </c>
      <c r="H635" t="s">
        <v>6855</v>
      </c>
      <c r="I635">
        <f>VLOOKUP(Table9[[#This Row],[Shortname]], Comp[], 6, FALSE)</f>
        <v>296</v>
      </c>
      <c r="J635" s="14">
        <f>VLOOKUP(Table9[[#This Row],[Shortname]], Comp[], 7, FALSE)</f>
        <v>77</v>
      </c>
      <c r="K635">
        <f>VLOOKUP(Table9[[#This Row],[Shortname]], Comp[], 8, FALSE)</f>
        <v>0</v>
      </c>
      <c r="L635">
        <f>VLOOKUP(Table9[[#This Row],[Shortname]], Comp[], 9, FALSE)</f>
        <v>0</v>
      </c>
      <c r="M635">
        <f>VLOOKUP(Table9[[#This Row],[Shortname]], Comp[], 10, FALSE)</f>
        <v>0</v>
      </c>
      <c r="N635">
        <f>VLOOKUP(Table9[[#This Row],[Shortname]], Comp[], 11, FALSE)</f>
        <v>0</v>
      </c>
      <c r="O635">
        <f>VLOOKUP(Table9[[#This Row],[Shortname]], Comp[],12, FALSE)</f>
        <v>22</v>
      </c>
      <c r="P635">
        <f>VLOOKUP(Table9[[#This Row],[Shortname]], Comp[], 13, FALSE)</f>
        <v>1</v>
      </c>
      <c r="Q635">
        <f>VLOOKUP(Table9[[#This Row],[Shortname]], Comp[], 14, FALSE)</f>
        <v>0</v>
      </c>
      <c r="R635">
        <f>VLOOKUP(Table9[[#This Row],[Shortname]], Comp[], 15, FALSE)</f>
        <v>0</v>
      </c>
      <c r="S635">
        <f>VLOOKUP(Table9[[#This Row],[Shortname]], Comp[], 16, FALSE)</f>
        <v>0</v>
      </c>
      <c r="T635">
        <f>VLOOKUP(Table9[[#This Row],[Shortname]], Comp[], 17, FALSE)</f>
        <v>0</v>
      </c>
      <c r="U635">
        <f>VLOOKUP(Table9[[#This Row],[Shortname]], Comp[], 18, FALSE)</f>
        <v>0</v>
      </c>
      <c r="V635">
        <f>VLOOKUP(Table9[[#This Row],[Shortname]], Comp[], 19, FALSE)</f>
        <v>0</v>
      </c>
      <c r="W635">
        <f>VLOOKUP(Table9[[#This Row],[Shortname]], Comp[], 20, FALSE)</f>
        <v>0</v>
      </c>
      <c r="X635">
        <f>VLOOKUP(Table9[[#This Row],[Shortname]], Comp[], 21, FALSE)</f>
        <v>0</v>
      </c>
      <c r="Y635">
        <f>VLOOKUP(Table9[[#This Row],[Shortname]], Comp[], 22, FALSE)</f>
        <v>0</v>
      </c>
      <c r="Z635">
        <f>VLOOKUP(Table9[[#This Row],[Shortname]], Comp[], 23, FALSE)</f>
        <v>0</v>
      </c>
      <c r="AA635">
        <f>VLOOKUP(Table9[[#This Row],[Shortname]], Comp[], 24, FALSE)</f>
        <v>0</v>
      </c>
      <c r="AB635">
        <f>VLOOKUP(Table9[[#This Row],[Shortname]], Comp[], 25, FALSE)</f>
        <v>0</v>
      </c>
      <c r="AC635">
        <f>VLOOKUP(Table9[[#This Row],[Shortname]], Comp[], 26, FALSE)</f>
        <v>0</v>
      </c>
      <c r="AD635">
        <f>VLOOKUP(Table9[[#This Row],[Shortname]], Comp[], 27, FALSE)</f>
        <v>0</v>
      </c>
      <c r="AE635">
        <f>VLOOKUP(Table9[[#This Row],[Shortname]], Comp[], 28, FALSE)</f>
        <v>0</v>
      </c>
      <c r="AF635">
        <f>VLOOKUP(Table9[[#This Row],[Shortname]], Comp[], 29, FALSE)</f>
        <v>0</v>
      </c>
      <c r="AG635">
        <f>VLOOKUP(Table9[[#This Row],[Shortname]], Comp[], 30, FALSE)</f>
        <v>0</v>
      </c>
      <c r="AH635">
        <f>VLOOKUP(Table9[[#This Row],[Shortname]], Comp[], 31, FALSE)</f>
        <v>0</v>
      </c>
    </row>
    <row r="636" spans="1:34" x14ac:dyDescent="0.3">
      <c r="A636" t="s">
        <v>2246</v>
      </c>
      <c r="B636" t="s">
        <v>2248</v>
      </c>
      <c r="C636" t="s">
        <v>2235</v>
      </c>
      <c r="D636">
        <v>273</v>
      </c>
      <c r="E636">
        <v>400</v>
      </c>
      <c r="F636">
        <v>1.1E-4</v>
      </c>
      <c r="G636">
        <v>-1</v>
      </c>
      <c r="H636" t="s">
        <v>6855</v>
      </c>
      <c r="I636">
        <f>VLOOKUP(Table9[[#This Row],[Shortname]], Comp[], 6, FALSE)</f>
        <v>296</v>
      </c>
      <c r="J636" s="14">
        <f>VLOOKUP(Table9[[#This Row],[Shortname]], Comp[], 7, FALSE)</f>
        <v>77</v>
      </c>
      <c r="K636">
        <f>VLOOKUP(Table9[[#This Row],[Shortname]], Comp[], 8, FALSE)</f>
        <v>0</v>
      </c>
      <c r="L636">
        <f>VLOOKUP(Table9[[#This Row],[Shortname]], Comp[], 9, FALSE)</f>
        <v>0</v>
      </c>
      <c r="M636">
        <f>VLOOKUP(Table9[[#This Row],[Shortname]], Comp[], 10, FALSE)</f>
        <v>0</v>
      </c>
      <c r="N636">
        <f>VLOOKUP(Table9[[#This Row],[Shortname]], Comp[], 11, FALSE)</f>
        <v>0</v>
      </c>
      <c r="O636">
        <f>VLOOKUP(Table9[[#This Row],[Shortname]], Comp[],12, FALSE)</f>
        <v>22</v>
      </c>
      <c r="P636">
        <f>VLOOKUP(Table9[[#This Row],[Shortname]], Comp[], 13, FALSE)</f>
        <v>1</v>
      </c>
      <c r="Q636">
        <f>VLOOKUP(Table9[[#This Row],[Shortname]], Comp[], 14, FALSE)</f>
        <v>0</v>
      </c>
      <c r="R636">
        <f>VLOOKUP(Table9[[#This Row],[Shortname]], Comp[], 15, FALSE)</f>
        <v>0</v>
      </c>
      <c r="S636">
        <f>VLOOKUP(Table9[[#This Row],[Shortname]], Comp[], 16, FALSE)</f>
        <v>0</v>
      </c>
      <c r="T636">
        <f>VLOOKUP(Table9[[#This Row],[Shortname]], Comp[], 17, FALSE)</f>
        <v>0</v>
      </c>
      <c r="U636">
        <f>VLOOKUP(Table9[[#This Row],[Shortname]], Comp[], 18, FALSE)</f>
        <v>0</v>
      </c>
      <c r="V636">
        <f>VLOOKUP(Table9[[#This Row],[Shortname]], Comp[], 19, FALSE)</f>
        <v>0</v>
      </c>
      <c r="W636">
        <f>VLOOKUP(Table9[[#This Row],[Shortname]], Comp[], 20, FALSE)</f>
        <v>0</v>
      </c>
      <c r="X636">
        <f>VLOOKUP(Table9[[#This Row],[Shortname]], Comp[], 21, FALSE)</f>
        <v>0</v>
      </c>
      <c r="Y636">
        <f>VLOOKUP(Table9[[#This Row],[Shortname]], Comp[], 22, FALSE)</f>
        <v>0</v>
      </c>
      <c r="Z636">
        <f>VLOOKUP(Table9[[#This Row],[Shortname]], Comp[], 23, FALSE)</f>
        <v>0</v>
      </c>
      <c r="AA636">
        <f>VLOOKUP(Table9[[#This Row],[Shortname]], Comp[], 24, FALSE)</f>
        <v>0</v>
      </c>
      <c r="AB636">
        <f>VLOOKUP(Table9[[#This Row],[Shortname]], Comp[], 25, FALSE)</f>
        <v>0</v>
      </c>
      <c r="AC636">
        <f>VLOOKUP(Table9[[#This Row],[Shortname]], Comp[], 26, FALSE)</f>
        <v>0</v>
      </c>
      <c r="AD636">
        <f>VLOOKUP(Table9[[#This Row],[Shortname]], Comp[], 27, FALSE)</f>
        <v>0</v>
      </c>
      <c r="AE636">
        <f>VLOOKUP(Table9[[#This Row],[Shortname]], Comp[], 28, FALSE)</f>
        <v>0</v>
      </c>
      <c r="AF636">
        <f>VLOOKUP(Table9[[#This Row],[Shortname]], Comp[], 29, FALSE)</f>
        <v>0</v>
      </c>
      <c r="AG636">
        <f>VLOOKUP(Table9[[#This Row],[Shortname]], Comp[], 30, FALSE)</f>
        <v>0</v>
      </c>
      <c r="AH636">
        <f>VLOOKUP(Table9[[#This Row],[Shortname]], Comp[], 31, FALSE)</f>
        <v>0</v>
      </c>
    </row>
    <row r="637" spans="1:34" x14ac:dyDescent="0.3">
      <c r="A637" t="s">
        <v>2246</v>
      </c>
      <c r="B637" t="s">
        <v>2248</v>
      </c>
      <c r="C637" t="s">
        <v>2235</v>
      </c>
      <c r="D637">
        <v>265</v>
      </c>
      <c r="E637">
        <v>25</v>
      </c>
      <c r="F637">
        <v>1.1E-4</v>
      </c>
      <c r="G637">
        <v>-1</v>
      </c>
      <c r="H637" t="s">
        <v>6855</v>
      </c>
      <c r="I637">
        <f>VLOOKUP(Table9[[#This Row],[Shortname]], Comp[], 6, FALSE)</f>
        <v>296</v>
      </c>
      <c r="J637" s="14">
        <f>VLOOKUP(Table9[[#This Row],[Shortname]], Comp[], 7, FALSE)</f>
        <v>77</v>
      </c>
      <c r="K637">
        <f>VLOOKUP(Table9[[#This Row],[Shortname]], Comp[], 8, FALSE)</f>
        <v>0</v>
      </c>
      <c r="L637">
        <f>VLOOKUP(Table9[[#This Row],[Shortname]], Comp[], 9, FALSE)</f>
        <v>0</v>
      </c>
      <c r="M637">
        <f>VLOOKUP(Table9[[#This Row],[Shortname]], Comp[], 10, FALSE)</f>
        <v>0</v>
      </c>
      <c r="N637">
        <f>VLOOKUP(Table9[[#This Row],[Shortname]], Comp[], 11, FALSE)</f>
        <v>0</v>
      </c>
      <c r="O637">
        <f>VLOOKUP(Table9[[#This Row],[Shortname]], Comp[],12, FALSE)</f>
        <v>22</v>
      </c>
      <c r="P637">
        <f>VLOOKUP(Table9[[#This Row],[Shortname]], Comp[], 13, FALSE)</f>
        <v>1</v>
      </c>
      <c r="Q637">
        <f>VLOOKUP(Table9[[#This Row],[Shortname]], Comp[], 14, FALSE)</f>
        <v>0</v>
      </c>
      <c r="R637">
        <f>VLOOKUP(Table9[[#This Row],[Shortname]], Comp[], 15, FALSE)</f>
        <v>0</v>
      </c>
      <c r="S637">
        <f>VLOOKUP(Table9[[#This Row],[Shortname]], Comp[], 16, FALSE)</f>
        <v>0</v>
      </c>
      <c r="T637">
        <f>VLOOKUP(Table9[[#This Row],[Shortname]], Comp[], 17, FALSE)</f>
        <v>0</v>
      </c>
      <c r="U637">
        <f>VLOOKUP(Table9[[#This Row],[Shortname]], Comp[], 18, FALSE)</f>
        <v>0</v>
      </c>
      <c r="V637">
        <f>VLOOKUP(Table9[[#This Row],[Shortname]], Comp[], 19, FALSE)</f>
        <v>0</v>
      </c>
      <c r="W637">
        <f>VLOOKUP(Table9[[#This Row],[Shortname]], Comp[], 20, FALSE)</f>
        <v>0</v>
      </c>
      <c r="X637">
        <f>VLOOKUP(Table9[[#This Row],[Shortname]], Comp[], 21, FALSE)</f>
        <v>0</v>
      </c>
      <c r="Y637">
        <f>VLOOKUP(Table9[[#This Row],[Shortname]], Comp[], 22, FALSE)</f>
        <v>0</v>
      </c>
      <c r="Z637">
        <f>VLOOKUP(Table9[[#This Row],[Shortname]], Comp[], 23, FALSE)</f>
        <v>0</v>
      </c>
      <c r="AA637">
        <f>VLOOKUP(Table9[[#This Row],[Shortname]], Comp[], 24, FALSE)</f>
        <v>0</v>
      </c>
      <c r="AB637">
        <f>VLOOKUP(Table9[[#This Row],[Shortname]], Comp[], 25, FALSE)</f>
        <v>0</v>
      </c>
      <c r="AC637">
        <f>VLOOKUP(Table9[[#This Row],[Shortname]], Comp[], 26, FALSE)</f>
        <v>0</v>
      </c>
      <c r="AD637">
        <f>VLOOKUP(Table9[[#This Row],[Shortname]], Comp[], 27, FALSE)</f>
        <v>0</v>
      </c>
      <c r="AE637">
        <f>VLOOKUP(Table9[[#This Row],[Shortname]], Comp[], 28, FALSE)</f>
        <v>0</v>
      </c>
      <c r="AF637">
        <f>VLOOKUP(Table9[[#This Row],[Shortname]], Comp[], 29, FALSE)</f>
        <v>0</v>
      </c>
      <c r="AG637">
        <f>VLOOKUP(Table9[[#This Row],[Shortname]], Comp[], 30, FALSE)</f>
        <v>0</v>
      </c>
      <c r="AH637">
        <f>VLOOKUP(Table9[[#This Row],[Shortname]], Comp[], 31, FALSE)</f>
        <v>0</v>
      </c>
    </row>
    <row r="638" spans="1:34" x14ac:dyDescent="0.3">
      <c r="A638" t="s">
        <v>2246</v>
      </c>
      <c r="B638" t="s">
        <v>2248</v>
      </c>
      <c r="C638" t="s">
        <v>2235</v>
      </c>
      <c r="D638">
        <v>230</v>
      </c>
      <c r="E638">
        <v>200</v>
      </c>
      <c r="F638">
        <v>1.1E-4</v>
      </c>
      <c r="G638">
        <v>-1</v>
      </c>
      <c r="H638" t="s">
        <v>6855</v>
      </c>
      <c r="I638">
        <f>VLOOKUP(Table9[[#This Row],[Shortname]], Comp[], 6, FALSE)</f>
        <v>296</v>
      </c>
      <c r="J638" s="14">
        <f>VLOOKUP(Table9[[#This Row],[Shortname]], Comp[], 7, FALSE)</f>
        <v>77</v>
      </c>
      <c r="K638">
        <f>VLOOKUP(Table9[[#This Row],[Shortname]], Comp[], 8, FALSE)</f>
        <v>0</v>
      </c>
      <c r="L638">
        <f>VLOOKUP(Table9[[#This Row],[Shortname]], Comp[], 9, FALSE)</f>
        <v>0</v>
      </c>
      <c r="M638">
        <f>VLOOKUP(Table9[[#This Row],[Shortname]], Comp[], 10, FALSE)</f>
        <v>0</v>
      </c>
      <c r="N638">
        <f>VLOOKUP(Table9[[#This Row],[Shortname]], Comp[], 11, FALSE)</f>
        <v>0</v>
      </c>
      <c r="O638">
        <f>VLOOKUP(Table9[[#This Row],[Shortname]], Comp[],12, FALSE)</f>
        <v>22</v>
      </c>
      <c r="P638">
        <f>VLOOKUP(Table9[[#This Row],[Shortname]], Comp[], 13, FALSE)</f>
        <v>1</v>
      </c>
      <c r="Q638">
        <f>VLOOKUP(Table9[[#This Row],[Shortname]], Comp[], 14, FALSE)</f>
        <v>0</v>
      </c>
      <c r="R638">
        <f>VLOOKUP(Table9[[#This Row],[Shortname]], Comp[], 15, FALSE)</f>
        <v>0</v>
      </c>
      <c r="S638">
        <f>VLOOKUP(Table9[[#This Row],[Shortname]], Comp[], 16, FALSE)</f>
        <v>0</v>
      </c>
      <c r="T638">
        <f>VLOOKUP(Table9[[#This Row],[Shortname]], Comp[], 17, FALSE)</f>
        <v>0</v>
      </c>
      <c r="U638">
        <f>VLOOKUP(Table9[[#This Row],[Shortname]], Comp[], 18, FALSE)</f>
        <v>0</v>
      </c>
      <c r="V638">
        <f>VLOOKUP(Table9[[#This Row],[Shortname]], Comp[], 19, FALSE)</f>
        <v>0</v>
      </c>
      <c r="W638">
        <f>VLOOKUP(Table9[[#This Row],[Shortname]], Comp[], 20, FALSE)</f>
        <v>0</v>
      </c>
      <c r="X638">
        <f>VLOOKUP(Table9[[#This Row],[Shortname]], Comp[], 21, FALSE)</f>
        <v>0</v>
      </c>
      <c r="Y638">
        <f>VLOOKUP(Table9[[#This Row],[Shortname]], Comp[], 22, FALSE)</f>
        <v>0</v>
      </c>
      <c r="Z638">
        <f>VLOOKUP(Table9[[#This Row],[Shortname]], Comp[], 23, FALSE)</f>
        <v>0</v>
      </c>
      <c r="AA638">
        <f>VLOOKUP(Table9[[#This Row],[Shortname]], Comp[], 24, FALSE)</f>
        <v>0</v>
      </c>
      <c r="AB638">
        <f>VLOOKUP(Table9[[#This Row],[Shortname]], Comp[], 25, FALSE)</f>
        <v>0</v>
      </c>
      <c r="AC638">
        <f>VLOOKUP(Table9[[#This Row],[Shortname]], Comp[], 26, FALSE)</f>
        <v>0</v>
      </c>
      <c r="AD638">
        <f>VLOOKUP(Table9[[#This Row],[Shortname]], Comp[], 27, FALSE)</f>
        <v>0</v>
      </c>
      <c r="AE638">
        <f>VLOOKUP(Table9[[#This Row],[Shortname]], Comp[], 28, FALSE)</f>
        <v>0</v>
      </c>
      <c r="AF638">
        <f>VLOOKUP(Table9[[#This Row],[Shortname]], Comp[], 29, FALSE)</f>
        <v>0</v>
      </c>
      <c r="AG638">
        <f>VLOOKUP(Table9[[#This Row],[Shortname]], Comp[], 30, FALSE)</f>
        <v>0</v>
      </c>
      <c r="AH638">
        <f>VLOOKUP(Table9[[#This Row],[Shortname]], Comp[], 31, FALSE)</f>
        <v>0</v>
      </c>
    </row>
    <row r="639" spans="1:34" x14ac:dyDescent="0.3">
      <c r="A639" t="s">
        <v>2232</v>
      </c>
      <c r="B639" t="s">
        <v>2234</v>
      </c>
      <c r="C639" t="s">
        <v>2235</v>
      </c>
      <c r="D639">
        <v>778</v>
      </c>
      <c r="E639">
        <v>500</v>
      </c>
      <c r="F639">
        <v>1.1E-4</v>
      </c>
      <c r="G639">
        <v>-1</v>
      </c>
      <c r="H639" t="s">
        <v>6855</v>
      </c>
      <c r="I639">
        <f>VLOOKUP(Table9[[#This Row],[Shortname]], Comp[], 6, FALSE)</f>
        <v>294</v>
      </c>
      <c r="J639" s="14">
        <f>VLOOKUP(Table9[[#This Row],[Shortname]], Comp[], 7, FALSE)</f>
        <v>77</v>
      </c>
      <c r="K639">
        <f>VLOOKUP(Table9[[#This Row],[Shortname]], Comp[], 8, FALSE)</f>
        <v>0</v>
      </c>
      <c r="L639">
        <f>VLOOKUP(Table9[[#This Row],[Shortname]], Comp[], 9, FALSE)</f>
        <v>0</v>
      </c>
      <c r="M639">
        <f>VLOOKUP(Table9[[#This Row],[Shortname]], Comp[], 10, FALSE)</f>
        <v>0</v>
      </c>
      <c r="N639">
        <f>VLOOKUP(Table9[[#This Row],[Shortname]], Comp[], 11, FALSE)</f>
        <v>0</v>
      </c>
      <c r="O639">
        <f>VLOOKUP(Table9[[#This Row],[Shortname]], Comp[],12, FALSE)</f>
        <v>23</v>
      </c>
      <c r="P639">
        <f>VLOOKUP(Table9[[#This Row],[Shortname]], Comp[], 13, FALSE)</f>
        <v>0</v>
      </c>
      <c r="Q639">
        <f>VLOOKUP(Table9[[#This Row],[Shortname]], Comp[], 14, FALSE)</f>
        <v>0</v>
      </c>
      <c r="R639">
        <f>VLOOKUP(Table9[[#This Row],[Shortname]], Comp[], 15, FALSE)</f>
        <v>0</v>
      </c>
      <c r="S639">
        <f>VLOOKUP(Table9[[#This Row],[Shortname]], Comp[], 16, FALSE)</f>
        <v>0</v>
      </c>
      <c r="T639">
        <f>VLOOKUP(Table9[[#This Row],[Shortname]], Comp[], 17, FALSE)</f>
        <v>0</v>
      </c>
      <c r="U639">
        <f>VLOOKUP(Table9[[#This Row],[Shortname]], Comp[], 18, FALSE)</f>
        <v>0</v>
      </c>
      <c r="V639">
        <f>VLOOKUP(Table9[[#This Row],[Shortname]], Comp[], 19, FALSE)</f>
        <v>0</v>
      </c>
      <c r="W639">
        <f>VLOOKUP(Table9[[#This Row],[Shortname]], Comp[], 20, FALSE)</f>
        <v>0</v>
      </c>
      <c r="X639">
        <f>VLOOKUP(Table9[[#This Row],[Shortname]], Comp[], 21, FALSE)</f>
        <v>0</v>
      </c>
      <c r="Y639">
        <f>VLOOKUP(Table9[[#This Row],[Shortname]], Comp[], 22, FALSE)</f>
        <v>0</v>
      </c>
      <c r="Z639">
        <f>VLOOKUP(Table9[[#This Row],[Shortname]], Comp[], 23, FALSE)</f>
        <v>0</v>
      </c>
      <c r="AA639">
        <f>VLOOKUP(Table9[[#This Row],[Shortname]], Comp[], 24, FALSE)</f>
        <v>0</v>
      </c>
      <c r="AB639">
        <f>VLOOKUP(Table9[[#This Row],[Shortname]], Comp[], 25, FALSE)</f>
        <v>0</v>
      </c>
      <c r="AC639">
        <f>VLOOKUP(Table9[[#This Row],[Shortname]], Comp[], 26, FALSE)</f>
        <v>0</v>
      </c>
      <c r="AD639">
        <f>VLOOKUP(Table9[[#This Row],[Shortname]], Comp[], 27, FALSE)</f>
        <v>0</v>
      </c>
      <c r="AE639">
        <f>VLOOKUP(Table9[[#This Row],[Shortname]], Comp[], 28, FALSE)</f>
        <v>0</v>
      </c>
      <c r="AF639">
        <f>VLOOKUP(Table9[[#This Row],[Shortname]], Comp[], 29, FALSE)</f>
        <v>0</v>
      </c>
      <c r="AG639">
        <f>VLOOKUP(Table9[[#This Row],[Shortname]], Comp[], 30, FALSE)</f>
        <v>0</v>
      </c>
      <c r="AH639">
        <f>VLOOKUP(Table9[[#This Row],[Shortname]], Comp[], 31, FALSE)</f>
        <v>0</v>
      </c>
    </row>
    <row r="640" spans="1:34" x14ac:dyDescent="0.3">
      <c r="A640" t="s">
        <v>2232</v>
      </c>
      <c r="B640" t="s">
        <v>2234</v>
      </c>
      <c r="C640" t="s">
        <v>2235</v>
      </c>
      <c r="D640">
        <v>676</v>
      </c>
      <c r="E640">
        <v>400</v>
      </c>
      <c r="F640">
        <v>1.1E-4</v>
      </c>
      <c r="G640">
        <v>-1</v>
      </c>
      <c r="H640" t="s">
        <v>6855</v>
      </c>
      <c r="I640">
        <f>VLOOKUP(Table9[[#This Row],[Shortname]], Comp[], 6, FALSE)</f>
        <v>294</v>
      </c>
      <c r="J640" s="14">
        <f>VLOOKUP(Table9[[#This Row],[Shortname]], Comp[], 7, FALSE)</f>
        <v>77</v>
      </c>
      <c r="K640">
        <f>VLOOKUP(Table9[[#This Row],[Shortname]], Comp[], 8, FALSE)</f>
        <v>0</v>
      </c>
      <c r="L640">
        <f>VLOOKUP(Table9[[#This Row],[Shortname]], Comp[], 9, FALSE)</f>
        <v>0</v>
      </c>
      <c r="M640">
        <f>VLOOKUP(Table9[[#This Row],[Shortname]], Comp[], 10, FALSE)</f>
        <v>0</v>
      </c>
      <c r="N640">
        <f>VLOOKUP(Table9[[#This Row],[Shortname]], Comp[], 11, FALSE)</f>
        <v>0</v>
      </c>
      <c r="O640">
        <f>VLOOKUP(Table9[[#This Row],[Shortname]], Comp[],12, FALSE)</f>
        <v>23</v>
      </c>
      <c r="P640">
        <f>VLOOKUP(Table9[[#This Row],[Shortname]], Comp[], 13, FALSE)</f>
        <v>0</v>
      </c>
      <c r="Q640">
        <f>VLOOKUP(Table9[[#This Row],[Shortname]], Comp[], 14, FALSE)</f>
        <v>0</v>
      </c>
      <c r="R640">
        <f>VLOOKUP(Table9[[#This Row],[Shortname]], Comp[], 15, FALSE)</f>
        <v>0</v>
      </c>
      <c r="S640">
        <f>VLOOKUP(Table9[[#This Row],[Shortname]], Comp[], 16, FALSE)</f>
        <v>0</v>
      </c>
      <c r="T640">
        <f>VLOOKUP(Table9[[#This Row],[Shortname]], Comp[], 17, FALSE)</f>
        <v>0</v>
      </c>
      <c r="U640">
        <f>VLOOKUP(Table9[[#This Row],[Shortname]], Comp[], 18, FALSE)</f>
        <v>0</v>
      </c>
      <c r="V640">
        <f>VLOOKUP(Table9[[#This Row],[Shortname]], Comp[], 19, FALSE)</f>
        <v>0</v>
      </c>
      <c r="W640">
        <f>VLOOKUP(Table9[[#This Row],[Shortname]], Comp[], 20, FALSE)</f>
        <v>0</v>
      </c>
      <c r="X640">
        <f>VLOOKUP(Table9[[#This Row],[Shortname]], Comp[], 21, FALSE)</f>
        <v>0</v>
      </c>
      <c r="Y640">
        <f>VLOOKUP(Table9[[#This Row],[Shortname]], Comp[], 22, FALSE)</f>
        <v>0</v>
      </c>
      <c r="Z640">
        <f>VLOOKUP(Table9[[#This Row],[Shortname]], Comp[], 23, FALSE)</f>
        <v>0</v>
      </c>
      <c r="AA640">
        <f>VLOOKUP(Table9[[#This Row],[Shortname]], Comp[], 24, FALSE)</f>
        <v>0</v>
      </c>
      <c r="AB640">
        <f>VLOOKUP(Table9[[#This Row],[Shortname]], Comp[], 25, FALSE)</f>
        <v>0</v>
      </c>
      <c r="AC640">
        <f>VLOOKUP(Table9[[#This Row],[Shortname]], Comp[], 26, FALSE)</f>
        <v>0</v>
      </c>
      <c r="AD640">
        <f>VLOOKUP(Table9[[#This Row],[Shortname]], Comp[], 27, FALSE)</f>
        <v>0</v>
      </c>
      <c r="AE640">
        <f>VLOOKUP(Table9[[#This Row],[Shortname]], Comp[], 28, FALSE)</f>
        <v>0</v>
      </c>
      <c r="AF640">
        <f>VLOOKUP(Table9[[#This Row],[Shortname]], Comp[], 29, FALSE)</f>
        <v>0</v>
      </c>
      <c r="AG640">
        <f>VLOOKUP(Table9[[#This Row],[Shortname]], Comp[], 30, FALSE)</f>
        <v>0</v>
      </c>
      <c r="AH640">
        <f>VLOOKUP(Table9[[#This Row],[Shortname]], Comp[], 31, FALSE)</f>
        <v>0</v>
      </c>
    </row>
    <row r="641" spans="1:34" x14ac:dyDescent="0.3">
      <c r="A641" t="s">
        <v>2232</v>
      </c>
      <c r="B641" t="s">
        <v>2234</v>
      </c>
      <c r="C641" t="s">
        <v>2235</v>
      </c>
      <c r="D641">
        <v>318</v>
      </c>
      <c r="E641">
        <v>700</v>
      </c>
      <c r="F641">
        <v>1.1E-4</v>
      </c>
      <c r="G641">
        <v>-1</v>
      </c>
      <c r="H641" t="s">
        <v>6855</v>
      </c>
      <c r="I641">
        <f>VLOOKUP(Table9[[#This Row],[Shortname]], Comp[], 6, FALSE)</f>
        <v>294</v>
      </c>
      <c r="J641" s="14">
        <f>VLOOKUP(Table9[[#This Row],[Shortname]], Comp[], 7, FALSE)</f>
        <v>77</v>
      </c>
      <c r="K641">
        <f>VLOOKUP(Table9[[#This Row],[Shortname]], Comp[], 8, FALSE)</f>
        <v>0</v>
      </c>
      <c r="L641">
        <f>VLOOKUP(Table9[[#This Row],[Shortname]], Comp[], 9, FALSE)</f>
        <v>0</v>
      </c>
      <c r="M641">
        <f>VLOOKUP(Table9[[#This Row],[Shortname]], Comp[], 10, FALSE)</f>
        <v>0</v>
      </c>
      <c r="N641">
        <f>VLOOKUP(Table9[[#This Row],[Shortname]], Comp[], 11, FALSE)</f>
        <v>0</v>
      </c>
      <c r="O641">
        <f>VLOOKUP(Table9[[#This Row],[Shortname]], Comp[],12, FALSE)</f>
        <v>23</v>
      </c>
      <c r="P641">
        <f>VLOOKUP(Table9[[#This Row],[Shortname]], Comp[], 13, FALSE)</f>
        <v>0</v>
      </c>
      <c r="Q641">
        <f>VLOOKUP(Table9[[#This Row],[Shortname]], Comp[], 14, FALSE)</f>
        <v>0</v>
      </c>
      <c r="R641">
        <f>VLOOKUP(Table9[[#This Row],[Shortname]], Comp[], 15, FALSE)</f>
        <v>0</v>
      </c>
      <c r="S641">
        <f>VLOOKUP(Table9[[#This Row],[Shortname]], Comp[], 16, FALSE)</f>
        <v>0</v>
      </c>
      <c r="T641">
        <f>VLOOKUP(Table9[[#This Row],[Shortname]], Comp[], 17, FALSE)</f>
        <v>0</v>
      </c>
      <c r="U641">
        <f>VLOOKUP(Table9[[#This Row],[Shortname]], Comp[], 18, FALSE)</f>
        <v>0</v>
      </c>
      <c r="V641">
        <f>VLOOKUP(Table9[[#This Row],[Shortname]], Comp[], 19, FALSE)</f>
        <v>0</v>
      </c>
      <c r="W641">
        <f>VLOOKUP(Table9[[#This Row],[Shortname]], Comp[], 20, FALSE)</f>
        <v>0</v>
      </c>
      <c r="X641">
        <f>VLOOKUP(Table9[[#This Row],[Shortname]], Comp[], 21, FALSE)</f>
        <v>0</v>
      </c>
      <c r="Y641">
        <f>VLOOKUP(Table9[[#This Row],[Shortname]], Comp[], 22, FALSE)</f>
        <v>0</v>
      </c>
      <c r="Z641">
        <f>VLOOKUP(Table9[[#This Row],[Shortname]], Comp[], 23, FALSE)</f>
        <v>0</v>
      </c>
      <c r="AA641">
        <f>VLOOKUP(Table9[[#This Row],[Shortname]], Comp[], 24, FALSE)</f>
        <v>0</v>
      </c>
      <c r="AB641">
        <f>VLOOKUP(Table9[[#This Row],[Shortname]], Comp[], 25, FALSE)</f>
        <v>0</v>
      </c>
      <c r="AC641">
        <f>VLOOKUP(Table9[[#This Row],[Shortname]], Comp[], 26, FALSE)</f>
        <v>0</v>
      </c>
      <c r="AD641">
        <f>VLOOKUP(Table9[[#This Row],[Shortname]], Comp[], 27, FALSE)</f>
        <v>0</v>
      </c>
      <c r="AE641">
        <f>VLOOKUP(Table9[[#This Row],[Shortname]], Comp[], 28, FALSE)</f>
        <v>0</v>
      </c>
      <c r="AF641">
        <f>VLOOKUP(Table9[[#This Row],[Shortname]], Comp[], 29, FALSE)</f>
        <v>0</v>
      </c>
      <c r="AG641">
        <f>VLOOKUP(Table9[[#This Row],[Shortname]], Comp[], 30, FALSE)</f>
        <v>0</v>
      </c>
      <c r="AH641">
        <f>VLOOKUP(Table9[[#This Row],[Shortname]], Comp[], 31, FALSE)</f>
        <v>0</v>
      </c>
    </row>
    <row r="642" spans="1:34" x14ac:dyDescent="0.3">
      <c r="A642" t="s">
        <v>2232</v>
      </c>
      <c r="B642" t="s">
        <v>2234</v>
      </c>
      <c r="C642" t="s">
        <v>2235</v>
      </c>
      <c r="D642">
        <v>285</v>
      </c>
      <c r="E642">
        <v>-192</v>
      </c>
      <c r="F642">
        <v>1.1E-4</v>
      </c>
      <c r="G642">
        <v>-1</v>
      </c>
      <c r="H642" t="s">
        <v>6855</v>
      </c>
      <c r="I642">
        <f>VLOOKUP(Table9[[#This Row],[Shortname]], Comp[], 6, FALSE)</f>
        <v>294</v>
      </c>
      <c r="J642" s="14">
        <f>VLOOKUP(Table9[[#This Row],[Shortname]], Comp[], 7, FALSE)</f>
        <v>77</v>
      </c>
      <c r="K642">
        <f>VLOOKUP(Table9[[#This Row],[Shortname]], Comp[], 8, FALSE)</f>
        <v>0</v>
      </c>
      <c r="L642">
        <f>VLOOKUP(Table9[[#This Row],[Shortname]], Comp[], 9, FALSE)</f>
        <v>0</v>
      </c>
      <c r="M642">
        <f>VLOOKUP(Table9[[#This Row],[Shortname]], Comp[], 10, FALSE)</f>
        <v>0</v>
      </c>
      <c r="N642">
        <f>VLOOKUP(Table9[[#This Row],[Shortname]], Comp[], 11, FALSE)</f>
        <v>0</v>
      </c>
      <c r="O642">
        <f>VLOOKUP(Table9[[#This Row],[Shortname]], Comp[],12, FALSE)</f>
        <v>23</v>
      </c>
      <c r="P642">
        <f>VLOOKUP(Table9[[#This Row],[Shortname]], Comp[], 13, FALSE)</f>
        <v>0</v>
      </c>
      <c r="Q642">
        <f>VLOOKUP(Table9[[#This Row],[Shortname]], Comp[], 14, FALSE)</f>
        <v>0</v>
      </c>
      <c r="R642">
        <f>VLOOKUP(Table9[[#This Row],[Shortname]], Comp[], 15, FALSE)</f>
        <v>0</v>
      </c>
      <c r="S642">
        <f>VLOOKUP(Table9[[#This Row],[Shortname]], Comp[], 16, FALSE)</f>
        <v>0</v>
      </c>
      <c r="T642">
        <f>VLOOKUP(Table9[[#This Row],[Shortname]], Comp[], 17, FALSE)</f>
        <v>0</v>
      </c>
      <c r="U642">
        <f>VLOOKUP(Table9[[#This Row],[Shortname]], Comp[], 18, FALSE)</f>
        <v>0</v>
      </c>
      <c r="V642">
        <f>VLOOKUP(Table9[[#This Row],[Shortname]], Comp[], 19, FALSE)</f>
        <v>0</v>
      </c>
      <c r="W642">
        <f>VLOOKUP(Table9[[#This Row],[Shortname]], Comp[], 20, FALSE)</f>
        <v>0</v>
      </c>
      <c r="X642">
        <f>VLOOKUP(Table9[[#This Row],[Shortname]], Comp[], 21, FALSE)</f>
        <v>0</v>
      </c>
      <c r="Y642">
        <f>VLOOKUP(Table9[[#This Row],[Shortname]], Comp[], 22, FALSE)</f>
        <v>0</v>
      </c>
      <c r="Z642">
        <f>VLOOKUP(Table9[[#This Row],[Shortname]], Comp[], 23, FALSE)</f>
        <v>0</v>
      </c>
      <c r="AA642">
        <f>VLOOKUP(Table9[[#This Row],[Shortname]], Comp[], 24, FALSE)</f>
        <v>0</v>
      </c>
      <c r="AB642">
        <f>VLOOKUP(Table9[[#This Row],[Shortname]], Comp[], 25, FALSE)</f>
        <v>0</v>
      </c>
      <c r="AC642">
        <f>VLOOKUP(Table9[[#This Row],[Shortname]], Comp[], 26, FALSE)</f>
        <v>0</v>
      </c>
      <c r="AD642">
        <f>VLOOKUP(Table9[[#This Row],[Shortname]], Comp[], 27, FALSE)</f>
        <v>0</v>
      </c>
      <c r="AE642">
        <f>VLOOKUP(Table9[[#This Row],[Shortname]], Comp[], 28, FALSE)</f>
        <v>0</v>
      </c>
      <c r="AF642">
        <f>VLOOKUP(Table9[[#This Row],[Shortname]], Comp[], 29, FALSE)</f>
        <v>0</v>
      </c>
      <c r="AG642">
        <f>VLOOKUP(Table9[[#This Row],[Shortname]], Comp[], 30, FALSE)</f>
        <v>0</v>
      </c>
      <c r="AH642">
        <f>VLOOKUP(Table9[[#This Row],[Shortname]], Comp[], 31, FALSE)</f>
        <v>0</v>
      </c>
    </row>
    <row r="643" spans="1:34" x14ac:dyDescent="0.3">
      <c r="A643" t="s">
        <v>2232</v>
      </c>
      <c r="B643" t="s">
        <v>2234</v>
      </c>
      <c r="C643" t="s">
        <v>2235</v>
      </c>
      <c r="D643">
        <v>260</v>
      </c>
      <c r="E643">
        <v>600</v>
      </c>
      <c r="F643">
        <v>1.1E-4</v>
      </c>
      <c r="G643">
        <v>-1</v>
      </c>
      <c r="H643" t="s">
        <v>6855</v>
      </c>
      <c r="I643">
        <f>VLOOKUP(Table9[[#This Row],[Shortname]], Comp[], 6, FALSE)</f>
        <v>294</v>
      </c>
      <c r="J643" s="14">
        <f>VLOOKUP(Table9[[#This Row],[Shortname]], Comp[], 7, FALSE)</f>
        <v>77</v>
      </c>
      <c r="K643">
        <f>VLOOKUP(Table9[[#This Row],[Shortname]], Comp[], 8, FALSE)</f>
        <v>0</v>
      </c>
      <c r="L643">
        <f>VLOOKUP(Table9[[#This Row],[Shortname]], Comp[], 9, FALSE)</f>
        <v>0</v>
      </c>
      <c r="M643">
        <f>VLOOKUP(Table9[[#This Row],[Shortname]], Comp[], 10, FALSE)</f>
        <v>0</v>
      </c>
      <c r="N643">
        <f>VLOOKUP(Table9[[#This Row],[Shortname]], Comp[], 11, FALSE)</f>
        <v>0</v>
      </c>
      <c r="O643">
        <f>VLOOKUP(Table9[[#This Row],[Shortname]], Comp[],12, FALSE)</f>
        <v>23</v>
      </c>
      <c r="P643">
        <f>VLOOKUP(Table9[[#This Row],[Shortname]], Comp[], 13, FALSE)</f>
        <v>0</v>
      </c>
      <c r="Q643">
        <f>VLOOKUP(Table9[[#This Row],[Shortname]], Comp[], 14, FALSE)</f>
        <v>0</v>
      </c>
      <c r="R643">
        <f>VLOOKUP(Table9[[#This Row],[Shortname]], Comp[], 15, FALSE)</f>
        <v>0</v>
      </c>
      <c r="S643">
        <f>VLOOKUP(Table9[[#This Row],[Shortname]], Comp[], 16, FALSE)</f>
        <v>0</v>
      </c>
      <c r="T643">
        <f>VLOOKUP(Table9[[#This Row],[Shortname]], Comp[], 17, FALSE)</f>
        <v>0</v>
      </c>
      <c r="U643">
        <f>VLOOKUP(Table9[[#This Row],[Shortname]], Comp[], 18, FALSE)</f>
        <v>0</v>
      </c>
      <c r="V643">
        <f>VLOOKUP(Table9[[#This Row],[Shortname]], Comp[], 19, FALSE)</f>
        <v>0</v>
      </c>
      <c r="W643">
        <f>VLOOKUP(Table9[[#This Row],[Shortname]], Comp[], 20, FALSE)</f>
        <v>0</v>
      </c>
      <c r="X643">
        <f>VLOOKUP(Table9[[#This Row],[Shortname]], Comp[], 21, FALSE)</f>
        <v>0</v>
      </c>
      <c r="Y643">
        <f>VLOOKUP(Table9[[#This Row],[Shortname]], Comp[], 22, FALSE)</f>
        <v>0</v>
      </c>
      <c r="Z643">
        <f>VLOOKUP(Table9[[#This Row],[Shortname]], Comp[], 23, FALSE)</f>
        <v>0</v>
      </c>
      <c r="AA643">
        <f>VLOOKUP(Table9[[#This Row],[Shortname]], Comp[], 24, FALSE)</f>
        <v>0</v>
      </c>
      <c r="AB643">
        <f>VLOOKUP(Table9[[#This Row],[Shortname]], Comp[], 25, FALSE)</f>
        <v>0</v>
      </c>
      <c r="AC643">
        <f>VLOOKUP(Table9[[#This Row],[Shortname]], Comp[], 26, FALSE)</f>
        <v>0</v>
      </c>
      <c r="AD643">
        <f>VLOOKUP(Table9[[#This Row],[Shortname]], Comp[], 27, FALSE)</f>
        <v>0</v>
      </c>
      <c r="AE643">
        <f>VLOOKUP(Table9[[#This Row],[Shortname]], Comp[], 28, FALSE)</f>
        <v>0</v>
      </c>
      <c r="AF643">
        <f>VLOOKUP(Table9[[#This Row],[Shortname]], Comp[], 29, FALSE)</f>
        <v>0</v>
      </c>
      <c r="AG643">
        <f>VLOOKUP(Table9[[#This Row],[Shortname]], Comp[], 30, FALSE)</f>
        <v>0</v>
      </c>
      <c r="AH643">
        <f>VLOOKUP(Table9[[#This Row],[Shortname]], Comp[], 31, FALSE)</f>
        <v>0</v>
      </c>
    </row>
    <row r="644" spans="1:34" x14ac:dyDescent="0.3">
      <c r="A644" t="s">
        <v>2232</v>
      </c>
      <c r="B644" t="s">
        <v>2234</v>
      </c>
      <c r="C644" t="s">
        <v>2235</v>
      </c>
      <c r="D644">
        <v>200</v>
      </c>
      <c r="E644">
        <v>25</v>
      </c>
      <c r="F644">
        <v>1.1E-4</v>
      </c>
      <c r="G644">
        <v>-1</v>
      </c>
      <c r="H644" t="s">
        <v>6855</v>
      </c>
      <c r="I644">
        <f>VLOOKUP(Table9[[#This Row],[Shortname]], Comp[], 6, FALSE)</f>
        <v>294</v>
      </c>
      <c r="J644" s="14">
        <f>VLOOKUP(Table9[[#This Row],[Shortname]], Comp[], 7, FALSE)</f>
        <v>77</v>
      </c>
      <c r="K644">
        <f>VLOOKUP(Table9[[#This Row],[Shortname]], Comp[], 8, FALSE)</f>
        <v>0</v>
      </c>
      <c r="L644">
        <f>VLOOKUP(Table9[[#This Row],[Shortname]], Comp[], 9, FALSE)</f>
        <v>0</v>
      </c>
      <c r="M644">
        <f>VLOOKUP(Table9[[#This Row],[Shortname]], Comp[], 10, FALSE)</f>
        <v>0</v>
      </c>
      <c r="N644">
        <f>VLOOKUP(Table9[[#This Row],[Shortname]], Comp[], 11, FALSE)</f>
        <v>0</v>
      </c>
      <c r="O644">
        <f>VLOOKUP(Table9[[#This Row],[Shortname]], Comp[],12, FALSE)</f>
        <v>23</v>
      </c>
      <c r="P644">
        <f>VLOOKUP(Table9[[#This Row],[Shortname]], Comp[], 13, FALSE)</f>
        <v>0</v>
      </c>
      <c r="Q644">
        <f>VLOOKUP(Table9[[#This Row],[Shortname]], Comp[], 14, FALSE)</f>
        <v>0</v>
      </c>
      <c r="R644">
        <f>VLOOKUP(Table9[[#This Row],[Shortname]], Comp[], 15, FALSE)</f>
        <v>0</v>
      </c>
      <c r="S644">
        <f>VLOOKUP(Table9[[#This Row],[Shortname]], Comp[], 16, FALSE)</f>
        <v>0</v>
      </c>
      <c r="T644">
        <f>VLOOKUP(Table9[[#This Row],[Shortname]], Comp[], 17, FALSE)</f>
        <v>0</v>
      </c>
      <c r="U644">
        <f>VLOOKUP(Table9[[#This Row],[Shortname]], Comp[], 18, FALSE)</f>
        <v>0</v>
      </c>
      <c r="V644">
        <f>VLOOKUP(Table9[[#This Row],[Shortname]], Comp[], 19, FALSE)</f>
        <v>0</v>
      </c>
      <c r="W644">
        <f>VLOOKUP(Table9[[#This Row],[Shortname]], Comp[], 20, FALSE)</f>
        <v>0</v>
      </c>
      <c r="X644">
        <f>VLOOKUP(Table9[[#This Row],[Shortname]], Comp[], 21, FALSE)</f>
        <v>0</v>
      </c>
      <c r="Y644">
        <f>VLOOKUP(Table9[[#This Row],[Shortname]], Comp[], 22, FALSE)</f>
        <v>0</v>
      </c>
      <c r="Z644">
        <f>VLOOKUP(Table9[[#This Row],[Shortname]], Comp[], 23, FALSE)</f>
        <v>0</v>
      </c>
      <c r="AA644">
        <f>VLOOKUP(Table9[[#This Row],[Shortname]], Comp[], 24, FALSE)</f>
        <v>0</v>
      </c>
      <c r="AB644">
        <f>VLOOKUP(Table9[[#This Row],[Shortname]], Comp[], 25, FALSE)</f>
        <v>0</v>
      </c>
      <c r="AC644">
        <f>VLOOKUP(Table9[[#This Row],[Shortname]], Comp[], 26, FALSE)</f>
        <v>0</v>
      </c>
      <c r="AD644">
        <f>VLOOKUP(Table9[[#This Row],[Shortname]], Comp[], 27, FALSE)</f>
        <v>0</v>
      </c>
      <c r="AE644">
        <f>VLOOKUP(Table9[[#This Row],[Shortname]], Comp[], 28, FALSE)</f>
        <v>0</v>
      </c>
      <c r="AF644">
        <f>VLOOKUP(Table9[[#This Row],[Shortname]], Comp[], 29, FALSE)</f>
        <v>0</v>
      </c>
      <c r="AG644">
        <f>VLOOKUP(Table9[[#This Row],[Shortname]], Comp[], 30, FALSE)</f>
        <v>0</v>
      </c>
      <c r="AH644">
        <f>VLOOKUP(Table9[[#This Row],[Shortname]], Comp[], 31, FALSE)</f>
        <v>0</v>
      </c>
    </row>
    <row r="645" spans="1:34" x14ac:dyDescent="0.3">
      <c r="A645" t="s">
        <v>2232</v>
      </c>
      <c r="B645" t="s">
        <v>2234</v>
      </c>
      <c r="C645" t="s">
        <v>2235</v>
      </c>
      <c r="D645">
        <v>178</v>
      </c>
      <c r="E645">
        <v>200</v>
      </c>
      <c r="F645">
        <v>1.1E-4</v>
      </c>
      <c r="G645">
        <v>-1</v>
      </c>
      <c r="H645" t="s">
        <v>6855</v>
      </c>
      <c r="I645">
        <f>VLOOKUP(Table9[[#This Row],[Shortname]], Comp[], 6, FALSE)</f>
        <v>294</v>
      </c>
      <c r="J645" s="14">
        <f>VLOOKUP(Table9[[#This Row],[Shortname]], Comp[], 7, FALSE)</f>
        <v>77</v>
      </c>
      <c r="K645">
        <f>VLOOKUP(Table9[[#This Row],[Shortname]], Comp[], 8, FALSE)</f>
        <v>0</v>
      </c>
      <c r="L645">
        <f>VLOOKUP(Table9[[#This Row],[Shortname]], Comp[], 9, FALSE)</f>
        <v>0</v>
      </c>
      <c r="M645">
        <f>VLOOKUP(Table9[[#This Row],[Shortname]], Comp[], 10, FALSE)</f>
        <v>0</v>
      </c>
      <c r="N645">
        <f>VLOOKUP(Table9[[#This Row],[Shortname]], Comp[], 11, FALSE)</f>
        <v>0</v>
      </c>
      <c r="O645">
        <f>VLOOKUP(Table9[[#This Row],[Shortname]], Comp[],12, FALSE)</f>
        <v>23</v>
      </c>
      <c r="P645">
        <f>VLOOKUP(Table9[[#This Row],[Shortname]], Comp[], 13, FALSE)</f>
        <v>0</v>
      </c>
      <c r="Q645">
        <f>VLOOKUP(Table9[[#This Row],[Shortname]], Comp[], 14, FALSE)</f>
        <v>0</v>
      </c>
      <c r="R645">
        <f>VLOOKUP(Table9[[#This Row],[Shortname]], Comp[], 15, FALSE)</f>
        <v>0</v>
      </c>
      <c r="S645">
        <f>VLOOKUP(Table9[[#This Row],[Shortname]], Comp[], 16, FALSE)</f>
        <v>0</v>
      </c>
      <c r="T645">
        <f>VLOOKUP(Table9[[#This Row],[Shortname]], Comp[], 17, FALSE)</f>
        <v>0</v>
      </c>
      <c r="U645">
        <f>VLOOKUP(Table9[[#This Row],[Shortname]], Comp[], 18, FALSE)</f>
        <v>0</v>
      </c>
      <c r="V645">
        <f>VLOOKUP(Table9[[#This Row],[Shortname]], Comp[], 19, FALSE)</f>
        <v>0</v>
      </c>
      <c r="W645">
        <f>VLOOKUP(Table9[[#This Row],[Shortname]], Comp[], 20, FALSE)</f>
        <v>0</v>
      </c>
      <c r="X645">
        <f>VLOOKUP(Table9[[#This Row],[Shortname]], Comp[], 21, FALSE)</f>
        <v>0</v>
      </c>
      <c r="Y645">
        <f>VLOOKUP(Table9[[#This Row],[Shortname]], Comp[], 22, FALSE)</f>
        <v>0</v>
      </c>
      <c r="Z645">
        <f>VLOOKUP(Table9[[#This Row],[Shortname]], Comp[], 23, FALSE)</f>
        <v>0</v>
      </c>
      <c r="AA645">
        <f>VLOOKUP(Table9[[#This Row],[Shortname]], Comp[], 24, FALSE)</f>
        <v>0</v>
      </c>
      <c r="AB645">
        <f>VLOOKUP(Table9[[#This Row],[Shortname]], Comp[], 25, FALSE)</f>
        <v>0</v>
      </c>
      <c r="AC645">
        <f>VLOOKUP(Table9[[#This Row],[Shortname]], Comp[], 26, FALSE)</f>
        <v>0</v>
      </c>
      <c r="AD645">
        <f>VLOOKUP(Table9[[#This Row],[Shortname]], Comp[], 27, FALSE)</f>
        <v>0</v>
      </c>
      <c r="AE645">
        <f>VLOOKUP(Table9[[#This Row],[Shortname]], Comp[], 28, FALSE)</f>
        <v>0</v>
      </c>
      <c r="AF645">
        <f>VLOOKUP(Table9[[#This Row],[Shortname]], Comp[], 29, FALSE)</f>
        <v>0</v>
      </c>
      <c r="AG645">
        <f>VLOOKUP(Table9[[#This Row],[Shortname]], Comp[], 30, FALSE)</f>
        <v>0</v>
      </c>
      <c r="AH645">
        <f>VLOOKUP(Table9[[#This Row],[Shortname]], Comp[], 31, FALSE)</f>
        <v>0</v>
      </c>
    </row>
    <row r="646" spans="1:34" x14ac:dyDescent="0.3">
      <c r="A646" t="s">
        <v>2232</v>
      </c>
      <c r="B646" t="s">
        <v>2234</v>
      </c>
      <c r="C646" t="s">
        <v>2235</v>
      </c>
      <c r="D646">
        <v>70</v>
      </c>
      <c r="E646">
        <v>1000</v>
      </c>
      <c r="F646">
        <v>1.1E-4</v>
      </c>
      <c r="G646">
        <v>-1</v>
      </c>
      <c r="H646" t="s">
        <v>6855</v>
      </c>
      <c r="I646">
        <f>VLOOKUP(Table9[[#This Row],[Shortname]], Comp[], 6, FALSE)</f>
        <v>294</v>
      </c>
      <c r="J646" s="14">
        <f>VLOOKUP(Table9[[#This Row],[Shortname]], Comp[], 7, FALSE)</f>
        <v>77</v>
      </c>
      <c r="K646">
        <f>VLOOKUP(Table9[[#This Row],[Shortname]], Comp[], 8, FALSE)</f>
        <v>0</v>
      </c>
      <c r="L646">
        <f>VLOOKUP(Table9[[#This Row],[Shortname]], Comp[], 9, FALSE)</f>
        <v>0</v>
      </c>
      <c r="M646">
        <f>VLOOKUP(Table9[[#This Row],[Shortname]], Comp[], 10, FALSE)</f>
        <v>0</v>
      </c>
      <c r="N646">
        <f>VLOOKUP(Table9[[#This Row],[Shortname]], Comp[], 11, FALSE)</f>
        <v>0</v>
      </c>
      <c r="O646">
        <f>VLOOKUP(Table9[[#This Row],[Shortname]], Comp[],12, FALSE)</f>
        <v>23</v>
      </c>
      <c r="P646">
        <f>VLOOKUP(Table9[[#This Row],[Shortname]], Comp[], 13, FALSE)</f>
        <v>0</v>
      </c>
      <c r="Q646">
        <f>VLOOKUP(Table9[[#This Row],[Shortname]], Comp[], 14, FALSE)</f>
        <v>0</v>
      </c>
      <c r="R646">
        <f>VLOOKUP(Table9[[#This Row],[Shortname]], Comp[], 15, FALSE)</f>
        <v>0</v>
      </c>
      <c r="S646">
        <f>VLOOKUP(Table9[[#This Row],[Shortname]], Comp[], 16, FALSE)</f>
        <v>0</v>
      </c>
      <c r="T646">
        <f>VLOOKUP(Table9[[#This Row],[Shortname]], Comp[], 17, FALSE)</f>
        <v>0</v>
      </c>
      <c r="U646">
        <f>VLOOKUP(Table9[[#This Row],[Shortname]], Comp[], 18, FALSE)</f>
        <v>0</v>
      </c>
      <c r="V646">
        <f>VLOOKUP(Table9[[#This Row],[Shortname]], Comp[], 19, FALSE)</f>
        <v>0</v>
      </c>
      <c r="W646">
        <f>VLOOKUP(Table9[[#This Row],[Shortname]], Comp[], 20, FALSE)</f>
        <v>0</v>
      </c>
      <c r="X646">
        <f>VLOOKUP(Table9[[#This Row],[Shortname]], Comp[], 21, FALSE)</f>
        <v>0</v>
      </c>
      <c r="Y646">
        <f>VLOOKUP(Table9[[#This Row],[Shortname]], Comp[], 22, FALSE)</f>
        <v>0</v>
      </c>
      <c r="Z646">
        <f>VLOOKUP(Table9[[#This Row],[Shortname]], Comp[], 23, FALSE)</f>
        <v>0</v>
      </c>
      <c r="AA646">
        <f>VLOOKUP(Table9[[#This Row],[Shortname]], Comp[], 24, FALSE)</f>
        <v>0</v>
      </c>
      <c r="AB646">
        <f>VLOOKUP(Table9[[#This Row],[Shortname]], Comp[], 25, FALSE)</f>
        <v>0</v>
      </c>
      <c r="AC646">
        <f>VLOOKUP(Table9[[#This Row],[Shortname]], Comp[], 26, FALSE)</f>
        <v>0</v>
      </c>
      <c r="AD646">
        <f>VLOOKUP(Table9[[#This Row],[Shortname]], Comp[], 27, FALSE)</f>
        <v>0</v>
      </c>
      <c r="AE646">
        <f>VLOOKUP(Table9[[#This Row],[Shortname]], Comp[], 28, FALSE)</f>
        <v>0</v>
      </c>
      <c r="AF646">
        <f>VLOOKUP(Table9[[#This Row],[Shortname]], Comp[], 29, FALSE)</f>
        <v>0</v>
      </c>
      <c r="AG646">
        <f>VLOOKUP(Table9[[#This Row],[Shortname]], Comp[], 30, FALSE)</f>
        <v>0</v>
      </c>
      <c r="AH646">
        <f>VLOOKUP(Table9[[#This Row],[Shortname]], Comp[], 31, FALSE)</f>
        <v>0</v>
      </c>
    </row>
    <row r="647" spans="1:34" x14ac:dyDescent="0.3">
      <c r="A647" t="s">
        <v>2359</v>
      </c>
      <c r="B647" t="s">
        <v>2361</v>
      </c>
      <c r="C647" t="s">
        <v>2346</v>
      </c>
      <c r="D647">
        <v>885</v>
      </c>
      <c r="E647">
        <v>25</v>
      </c>
      <c r="F647">
        <v>1E-3</v>
      </c>
      <c r="G647">
        <v>1</v>
      </c>
      <c r="H647" t="s">
        <v>6873</v>
      </c>
      <c r="I647">
        <f>VLOOKUP(Table9[[#This Row],[Shortname]], Comp[], 6, FALSE)</f>
        <v>311</v>
      </c>
      <c r="J647" s="14">
        <f>VLOOKUP(Table9[[#This Row],[Shortname]], Comp[], 7, FALSE)</f>
        <v>51.699999999999996</v>
      </c>
      <c r="K647">
        <f>VLOOKUP(Table9[[#This Row],[Shortname]], Comp[], 8, FALSE)</f>
        <v>31</v>
      </c>
      <c r="L647">
        <f>VLOOKUP(Table9[[#This Row],[Shortname]], Comp[], 9, FALSE)</f>
        <v>10.1</v>
      </c>
      <c r="M647">
        <f>VLOOKUP(Table9[[#This Row],[Shortname]], Comp[], 10, FALSE)</f>
        <v>0</v>
      </c>
      <c r="N647">
        <f>VLOOKUP(Table9[[#This Row],[Shortname]], Comp[], 11, FALSE)</f>
        <v>0</v>
      </c>
      <c r="O647">
        <f>VLOOKUP(Table9[[#This Row],[Shortname]], Comp[],12, FALSE)</f>
        <v>0</v>
      </c>
      <c r="P647">
        <f>VLOOKUP(Table9[[#This Row],[Shortname]], Comp[], 13, FALSE)</f>
        <v>2.1</v>
      </c>
      <c r="Q647">
        <f>VLOOKUP(Table9[[#This Row],[Shortname]], Comp[], 14, FALSE)</f>
        <v>0</v>
      </c>
      <c r="R647">
        <f>VLOOKUP(Table9[[#This Row],[Shortname]], Comp[], 15, FALSE)</f>
        <v>0</v>
      </c>
      <c r="S647">
        <f>VLOOKUP(Table9[[#This Row],[Shortname]], Comp[], 16, FALSE)</f>
        <v>5.0999999999999996</v>
      </c>
      <c r="T647">
        <f>VLOOKUP(Table9[[#This Row],[Shortname]], Comp[], 17, FALSE)</f>
        <v>0</v>
      </c>
      <c r="U647">
        <f>VLOOKUP(Table9[[#This Row],[Shortname]], Comp[], 18, FALSE)</f>
        <v>0</v>
      </c>
      <c r="V647">
        <f>VLOOKUP(Table9[[#This Row],[Shortname]], Comp[], 19, FALSE)</f>
        <v>0</v>
      </c>
      <c r="W647">
        <f>VLOOKUP(Table9[[#This Row],[Shortname]], Comp[], 20, FALSE)</f>
        <v>0</v>
      </c>
      <c r="X647">
        <f>VLOOKUP(Table9[[#This Row],[Shortname]], Comp[], 21, FALSE)</f>
        <v>0</v>
      </c>
      <c r="Y647">
        <f>VLOOKUP(Table9[[#This Row],[Shortname]], Comp[], 22, FALSE)</f>
        <v>0</v>
      </c>
      <c r="Z647">
        <f>VLOOKUP(Table9[[#This Row],[Shortname]], Comp[], 23, FALSE)</f>
        <v>0</v>
      </c>
      <c r="AA647">
        <f>VLOOKUP(Table9[[#This Row],[Shortname]], Comp[], 24, FALSE)</f>
        <v>0</v>
      </c>
      <c r="AB647">
        <f>VLOOKUP(Table9[[#This Row],[Shortname]], Comp[], 25, FALSE)</f>
        <v>0</v>
      </c>
      <c r="AC647">
        <f>VLOOKUP(Table9[[#This Row],[Shortname]], Comp[], 26, FALSE)</f>
        <v>0</v>
      </c>
      <c r="AD647">
        <f>VLOOKUP(Table9[[#This Row],[Shortname]], Comp[], 27, FALSE)</f>
        <v>0</v>
      </c>
      <c r="AE647">
        <f>VLOOKUP(Table9[[#This Row],[Shortname]], Comp[], 28, FALSE)</f>
        <v>0</v>
      </c>
      <c r="AF647">
        <f>VLOOKUP(Table9[[#This Row],[Shortname]], Comp[], 29, FALSE)</f>
        <v>0</v>
      </c>
      <c r="AG647">
        <f>VLOOKUP(Table9[[#This Row],[Shortname]], Comp[], 30, FALSE)</f>
        <v>0</v>
      </c>
      <c r="AH647">
        <f>VLOOKUP(Table9[[#This Row],[Shortname]], Comp[], 31, FALSE)</f>
        <v>0</v>
      </c>
    </row>
    <row r="648" spans="1:34" x14ac:dyDescent="0.3">
      <c r="A648" t="s">
        <v>2359</v>
      </c>
      <c r="B648" t="s">
        <v>2361</v>
      </c>
      <c r="C648" t="s">
        <v>2346</v>
      </c>
      <c r="D648">
        <v>880</v>
      </c>
      <c r="E648">
        <v>25</v>
      </c>
      <c r="F648">
        <v>1E-3</v>
      </c>
      <c r="G648">
        <v>-1</v>
      </c>
      <c r="H648" t="s">
        <v>6874</v>
      </c>
      <c r="I648">
        <f>VLOOKUP(Table9[[#This Row],[Shortname]], Comp[], 6, FALSE)</f>
        <v>311</v>
      </c>
      <c r="J648" s="14">
        <f>VLOOKUP(Table9[[#This Row],[Shortname]], Comp[], 7, FALSE)</f>
        <v>51.699999999999996</v>
      </c>
      <c r="K648">
        <f>VLOOKUP(Table9[[#This Row],[Shortname]], Comp[], 8, FALSE)</f>
        <v>31</v>
      </c>
      <c r="L648">
        <f>VLOOKUP(Table9[[#This Row],[Shortname]], Comp[], 9, FALSE)</f>
        <v>10.1</v>
      </c>
      <c r="M648">
        <f>VLOOKUP(Table9[[#This Row],[Shortname]], Comp[], 10, FALSE)</f>
        <v>0</v>
      </c>
      <c r="N648">
        <f>VLOOKUP(Table9[[#This Row],[Shortname]], Comp[], 11, FALSE)</f>
        <v>0</v>
      </c>
      <c r="O648">
        <f>VLOOKUP(Table9[[#This Row],[Shortname]], Comp[],12, FALSE)</f>
        <v>0</v>
      </c>
      <c r="P648">
        <f>VLOOKUP(Table9[[#This Row],[Shortname]], Comp[], 13, FALSE)</f>
        <v>2.1</v>
      </c>
      <c r="Q648">
        <f>VLOOKUP(Table9[[#This Row],[Shortname]], Comp[], 14, FALSE)</f>
        <v>0</v>
      </c>
      <c r="R648">
        <f>VLOOKUP(Table9[[#This Row],[Shortname]], Comp[], 15, FALSE)</f>
        <v>0</v>
      </c>
      <c r="S648">
        <f>VLOOKUP(Table9[[#This Row],[Shortname]], Comp[], 16, FALSE)</f>
        <v>5.0999999999999996</v>
      </c>
      <c r="T648">
        <f>VLOOKUP(Table9[[#This Row],[Shortname]], Comp[], 17, FALSE)</f>
        <v>0</v>
      </c>
      <c r="U648">
        <f>VLOOKUP(Table9[[#This Row],[Shortname]], Comp[], 18, FALSE)</f>
        <v>0</v>
      </c>
      <c r="V648">
        <f>VLOOKUP(Table9[[#This Row],[Shortname]], Comp[], 19, FALSE)</f>
        <v>0</v>
      </c>
      <c r="W648">
        <f>VLOOKUP(Table9[[#This Row],[Shortname]], Comp[], 20, FALSE)</f>
        <v>0</v>
      </c>
      <c r="X648">
        <f>VLOOKUP(Table9[[#This Row],[Shortname]], Comp[], 21, FALSE)</f>
        <v>0</v>
      </c>
      <c r="Y648">
        <f>VLOOKUP(Table9[[#This Row],[Shortname]], Comp[], 22, FALSE)</f>
        <v>0</v>
      </c>
      <c r="Z648">
        <f>VLOOKUP(Table9[[#This Row],[Shortname]], Comp[], 23, FALSE)</f>
        <v>0</v>
      </c>
      <c r="AA648">
        <f>VLOOKUP(Table9[[#This Row],[Shortname]], Comp[], 24, FALSE)</f>
        <v>0</v>
      </c>
      <c r="AB648">
        <f>VLOOKUP(Table9[[#This Row],[Shortname]], Comp[], 25, FALSE)</f>
        <v>0</v>
      </c>
      <c r="AC648">
        <f>VLOOKUP(Table9[[#This Row],[Shortname]], Comp[], 26, FALSE)</f>
        <v>0</v>
      </c>
      <c r="AD648">
        <f>VLOOKUP(Table9[[#This Row],[Shortname]], Comp[], 27, FALSE)</f>
        <v>0</v>
      </c>
      <c r="AE648">
        <f>VLOOKUP(Table9[[#This Row],[Shortname]], Comp[], 28, FALSE)</f>
        <v>0</v>
      </c>
      <c r="AF648">
        <f>VLOOKUP(Table9[[#This Row],[Shortname]], Comp[], 29, FALSE)</f>
        <v>0</v>
      </c>
      <c r="AG648">
        <f>VLOOKUP(Table9[[#This Row],[Shortname]], Comp[], 30, FALSE)</f>
        <v>0</v>
      </c>
      <c r="AH648">
        <f>VLOOKUP(Table9[[#This Row],[Shortname]], Comp[], 31, FALSE)</f>
        <v>0</v>
      </c>
    </row>
    <row r="649" spans="1:34" x14ac:dyDescent="0.3">
      <c r="A649" t="s">
        <v>2359</v>
      </c>
      <c r="B649" t="s">
        <v>2361</v>
      </c>
      <c r="C649" t="s">
        <v>2346</v>
      </c>
      <c r="D649">
        <v>805</v>
      </c>
      <c r="E649">
        <v>473</v>
      </c>
      <c r="F649">
        <v>1E-3</v>
      </c>
      <c r="G649">
        <v>1</v>
      </c>
      <c r="H649" t="s">
        <v>6873</v>
      </c>
      <c r="I649">
        <f>VLOOKUP(Table9[[#This Row],[Shortname]], Comp[], 6, FALSE)</f>
        <v>311</v>
      </c>
      <c r="J649" s="14">
        <f>VLOOKUP(Table9[[#This Row],[Shortname]], Comp[], 7, FALSE)</f>
        <v>51.699999999999996</v>
      </c>
      <c r="K649">
        <f>VLOOKUP(Table9[[#This Row],[Shortname]], Comp[], 8, FALSE)</f>
        <v>31</v>
      </c>
      <c r="L649">
        <f>VLOOKUP(Table9[[#This Row],[Shortname]], Comp[], 9, FALSE)</f>
        <v>10.1</v>
      </c>
      <c r="M649">
        <f>VLOOKUP(Table9[[#This Row],[Shortname]], Comp[], 10, FALSE)</f>
        <v>0</v>
      </c>
      <c r="N649">
        <f>VLOOKUP(Table9[[#This Row],[Shortname]], Comp[], 11, FALSE)</f>
        <v>0</v>
      </c>
      <c r="O649">
        <f>VLOOKUP(Table9[[#This Row],[Shortname]], Comp[],12, FALSE)</f>
        <v>0</v>
      </c>
      <c r="P649">
        <f>VLOOKUP(Table9[[#This Row],[Shortname]], Comp[], 13, FALSE)</f>
        <v>2.1</v>
      </c>
      <c r="Q649">
        <f>VLOOKUP(Table9[[#This Row],[Shortname]], Comp[], 14, FALSE)</f>
        <v>0</v>
      </c>
      <c r="R649">
        <f>VLOOKUP(Table9[[#This Row],[Shortname]], Comp[], 15, FALSE)</f>
        <v>0</v>
      </c>
      <c r="S649">
        <f>VLOOKUP(Table9[[#This Row],[Shortname]], Comp[], 16, FALSE)</f>
        <v>5.0999999999999996</v>
      </c>
      <c r="T649">
        <f>VLOOKUP(Table9[[#This Row],[Shortname]], Comp[], 17, FALSE)</f>
        <v>0</v>
      </c>
      <c r="U649">
        <f>VLOOKUP(Table9[[#This Row],[Shortname]], Comp[], 18, FALSE)</f>
        <v>0</v>
      </c>
      <c r="V649">
        <f>VLOOKUP(Table9[[#This Row],[Shortname]], Comp[], 19, FALSE)</f>
        <v>0</v>
      </c>
      <c r="W649">
        <f>VLOOKUP(Table9[[#This Row],[Shortname]], Comp[], 20, FALSE)</f>
        <v>0</v>
      </c>
      <c r="X649">
        <f>VLOOKUP(Table9[[#This Row],[Shortname]], Comp[], 21, FALSE)</f>
        <v>0</v>
      </c>
      <c r="Y649">
        <f>VLOOKUP(Table9[[#This Row],[Shortname]], Comp[], 22, FALSE)</f>
        <v>0</v>
      </c>
      <c r="Z649">
        <f>VLOOKUP(Table9[[#This Row],[Shortname]], Comp[], 23, FALSE)</f>
        <v>0</v>
      </c>
      <c r="AA649">
        <f>VLOOKUP(Table9[[#This Row],[Shortname]], Comp[], 24, FALSE)</f>
        <v>0</v>
      </c>
      <c r="AB649">
        <f>VLOOKUP(Table9[[#This Row],[Shortname]], Comp[], 25, FALSE)</f>
        <v>0</v>
      </c>
      <c r="AC649">
        <f>VLOOKUP(Table9[[#This Row],[Shortname]], Comp[], 26, FALSE)</f>
        <v>0</v>
      </c>
      <c r="AD649">
        <f>VLOOKUP(Table9[[#This Row],[Shortname]], Comp[], 27, FALSE)</f>
        <v>0</v>
      </c>
      <c r="AE649">
        <f>VLOOKUP(Table9[[#This Row],[Shortname]], Comp[], 28, FALSE)</f>
        <v>0</v>
      </c>
      <c r="AF649">
        <f>VLOOKUP(Table9[[#This Row],[Shortname]], Comp[], 29, FALSE)</f>
        <v>0</v>
      </c>
      <c r="AG649">
        <f>VLOOKUP(Table9[[#This Row],[Shortname]], Comp[], 30, FALSE)</f>
        <v>0</v>
      </c>
      <c r="AH649">
        <f>VLOOKUP(Table9[[#This Row],[Shortname]], Comp[], 31, FALSE)</f>
        <v>0</v>
      </c>
    </row>
    <row r="650" spans="1:34" x14ac:dyDescent="0.3">
      <c r="A650" t="s">
        <v>2359</v>
      </c>
      <c r="B650" t="s">
        <v>2361</v>
      </c>
      <c r="C650" t="s">
        <v>2346</v>
      </c>
      <c r="D650">
        <v>776</v>
      </c>
      <c r="E650">
        <v>573</v>
      </c>
      <c r="F650">
        <v>1E-3</v>
      </c>
      <c r="G650">
        <v>1</v>
      </c>
      <c r="H650" t="s">
        <v>6873</v>
      </c>
      <c r="I650">
        <f>VLOOKUP(Table9[[#This Row],[Shortname]], Comp[], 6, FALSE)</f>
        <v>311</v>
      </c>
      <c r="J650" s="14">
        <f>VLOOKUP(Table9[[#This Row],[Shortname]], Comp[], 7, FALSE)</f>
        <v>51.699999999999996</v>
      </c>
      <c r="K650">
        <f>VLOOKUP(Table9[[#This Row],[Shortname]], Comp[], 8, FALSE)</f>
        <v>31</v>
      </c>
      <c r="L650">
        <f>VLOOKUP(Table9[[#This Row],[Shortname]], Comp[], 9, FALSE)</f>
        <v>10.1</v>
      </c>
      <c r="M650">
        <f>VLOOKUP(Table9[[#This Row],[Shortname]], Comp[], 10, FALSE)</f>
        <v>0</v>
      </c>
      <c r="N650">
        <f>VLOOKUP(Table9[[#This Row],[Shortname]], Comp[], 11, FALSE)</f>
        <v>0</v>
      </c>
      <c r="O650">
        <f>VLOOKUP(Table9[[#This Row],[Shortname]], Comp[],12, FALSE)</f>
        <v>0</v>
      </c>
      <c r="P650">
        <f>VLOOKUP(Table9[[#This Row],[Shortname]], Comp[], 13, FALSE)</f>
        <v>2.1</v>
      </c>
      <c r="Q650">
        <f>VLOOKUP(Table9[[#This Row],[Shortname]], Comp[], 14, FALSE)</f>
        <v>0</v>
      </c>
      <c r="R650">
        <f>VLOOKUP(Table9[[#This Row],[Shortname]], Comp[], 15, FALSE)</f>
        <v>0</v>
      </c>
      <c r="S650">
        <f>VLOOKUP(Table9[[#This Row],[Shortname]], Comp[], 16, FALSE)</f>
        <v>5.0999999999999996</v>
      </c>
      <c r="T650">
        <f>VLOOKUP(Table9[[#This Row],[Shortname]], Comp[], 17, FALSE)</f>
        <v>0</v>
      </c>
      <c r="U650">
        <f>VLOOKUP(Table9[[#This Row],[Shortname]], Comp[], 18, FALSE)</f>
        <v>0</v>
      </c>
      <c r="V650">
        <f>VLOOKUP(Table9[[#This Row],[Shortname]], Comp[], 19, FALSE)</f>
        <v>0</v>
      </c>
      <c r="W650">
        <f>VLOOKUP(Table9[[#This Row],[Shortname]], Comp[], 20, FALSE)</f>
        <v>0</v>
      </c>
      <c r="X650">
        <f>VLOOKUP(Table9[[#This Row],[Shortname]], Comp[], 21, FALSE)</f>
        <v>0</v>
      </c>
      <c r="Y650">
        <f>VLOOKUP(Table9[[#This Row],[Shortname]], Comp[], 22, FALSE)</f>
        <v>0</v>
      </c>
      <c r="Z650">
        <f>VLOOKUP(Table9[[#This Row],[Shortname]], Comp[], 23, FALSE)</f>
        <v>0</v>
      </c>
      <c r="AA650">
        <f>VLOOKUP(Table9[[#This Row],[Shortname]], Comp[], 24, FALSE)</f>
        <v>0</v>
      </c>
      <c r="AB650">
        <f>VLOOKUP(Table9[[#This Row],[Shortname]], Comp[], 25, FALSE)</f>
        <v>0</v>
      </c>
      <c r="AC650">
        <f>VLOOKUP(Table9[[#This Row],[Shortname]], Comp[], 26, FALSE)</f>
        <v>0</v>
      </c>
      <c r="AD650">
        <f>VLOOKUP(Table9[[#This Row],[Shortname]], Comp[], 27, FALSE)</f>
        <v>0</v>
      </c>
      <c r="AE650">
        <f>VLOOKUP(Table9[[#This Row],[Shortname]], Comp[], 28, FALSE)</f>
        <v>0</v>
      </c>
      <c r="AF650">
        <f>VLOOKUP(Table9[[#This Row],[Shortname]], Comp[], 29, FALSE)</f>
        <v>0</v>
      </c>
      <c r="AG650">
        <f>VLOOKUP(Table9[[#This Row],[Shortname]], Comp[], 30, FALSE)</f>
        <v>0</v>
      </c>
      <c r="AH650">
        <f>VLOOKUP(Table9[[#This Row],[Shortname]], Comp[], 31, FALSE)</f>
        <v>0</v>
      </c>
    </row>
    <row r="651" spans="1:34" x14ac:dyDescent="0.3">
      <c r="A651" t="s">
        <v>2359</v>
      </c>
      <c r="B651" t="s">
        <v>2361</v>
      </c>
      <c r="C651" t="s">
        <v>2346</v>
      </c>
      <c r="D651">
        <v>743</v>
      </c>
      <c r="E651">
        <v>673</v>
      </c>
      <c r="F651">
        <v>1E-3</v>
      </c>
      <c r="G651">
        <v>1</v>
      </c>
      <c r="H651" t="s">
        <v>6873</v>
      </c>
      <c r="I651">
        <f>VLOOKUP(Table9[[#This Row],[Shortname]], Comp[], 6, FALSE)</f>
        <v>311</v>
      </c>
      <c r="J651" s="14">
        <f>VLOOKUP(Table9[[#This Row],[Shortname]], Comp[], 7, FALSE)</f>
        <v>51.699999999999996</v>
      </c>
      <c r="K651">
        <f>VLOOKUP(Table9[[#This Row],[Shortname]], Comp[], 8, FALSE)</f>
        <v>31</v>
      </c>
      <c r="L651">
        <f>VLOOKUP(Table9[[#This Row],[Shortname]], Comp[], 9, FALSE)</f>
        <v>10.1</v>
      </c>
      <c r="M651">
        <f>VLOOKUP(Table9[[#This Row],[Shortname]], Comp[], 10, FALSE)</f>
        <v>0</v>
      </c>
      <c r="N651">
        <f>VLOOKUP(Table9[[#This Row],[Shortname]], Comp[], 11, FALSE)</f>
        <v>0</v>
      </c>
      <c r="O651">
        <f>VLOOKUP(Table9[[#This Row],[Shortname]], Comp[],12, FALSE)</f>
        <v>0</v>
      </c>
      <c r="P651">
        <f>VLOOKUP(Table9[[#This Row],[Shortname]], Comp[], 13, FALSE)</f>
        <v>2.1</v>
      </c>
      <c r="Q651">
        <f>VLOOKUP(Table9[[#This Row],[Shortname]], Comp[], 14, FALSE)</f>
        <v>0</v>
      </c>
      <c r="R651">
        <f>VLOOKUP(Table9[[#This Row],[Shortname]], Comp[], 15, FALSE)</f>
        <v>0</v>
      </c>
      <c r="S651">
        <f>VLOOKUP(Table9[[#This Row],[Shortname]], Comp[], 16, FALSE)</f>
        <v>5.0999999999999996</v>
      </c>
      <c r="T651">
        <f>VLOOKUP(Table9[[#This Row],[Shortname]], Comp[], 17, FALSE)</f>
        <v>0</v>
      </c>
      <c r="U651">
        <f>VLOOKUP(Table9[[#This Row],[Shortname]], Comp[], 18, FALSE)</f>
        <v>0</v>
      </c>
      <c r="V651">
        <f>VLOOKUP(Table9[[#This Row],[Shortname]], Comp[], 19, FALSE)</f>
        <v>0</v>
      </c>
      <c r="W651">
        <f>VLOOKUP(Table9[[#This Row],[Shortname]], Comp[], 20, FALSE)</f>
        <v>0</v>
      </c>
      <c r="X651">
        <f>VLOOKUP(Table9[[#This Row],[Shortname]], Comp[], 21, FALSE)</f>
        <v>0</v>
      </c>
      <c r="Y651">
        <f>VLOOKUP(Table9[[#This Row],[Shortname]], Comp[], 22, FALSE)</f>
        <v>0</v>
      </c>
      <c r="Z651">
        <f>VLOOKUP(Table9[[#This Row],[Shortname]], Comp[], 23, FALSE)</f>
        <v>0</v>
      </c>
      <c r="AA651">
        <f>VLOOKUP(Table9[[#This Row],[Shortname]], Comp[], 24, FALSE)</f>
        <v>0</v>
      </c>
      <c r="AB651">
        <f>VLOOKUP(Table9[[#This Row],[Shortname]], Comp[], 25, FALSE)</f>
        <v>0</v>
      </c>
      <c r="AC651">
        <f>VLOOKUP(Table9[[#This Row],[Shortname]], Comp[], 26, FALSE)</f>
        <v>0</v>
      </c>
      <c r="AD651">
        <f>VLOOKUP(Table9[[#This Row],[Shortname]], Comp[], 27, FALSE)</f>
        <v>0</v>
      </c>
      <c r="AE651">
        <f>VLOOKUP(Table9[[#This Row],[Shortname]], Comp[], 28, FALSE)</f>
        <v>0</v>
      </c>
      <c r="AF651">
        <f>VLOOKUP(Table9[[#This Row],[Shortname]], Comp[], 29, FALSE)</f>
        <v>0</v>
      </c>
      <c r="AG651">
        <f>VLOOKUP(Table9[[#This Row],[Shortname]], Comp[], 30, FALSE)</f>
        <v>0</v>
      </c>
      <c r="AH651">
        <f>VLOOKUP(Table9[[#This Row],[Shortname]], Comp[], 31, FALSE)</f>
        <v>0</v>
      </c>
    </row>
    <row r="652" spans="1:34" x14ac:dyDescent="0.3">
      <c r="A652" t="s">
        <v>2359</v>
      </c>
      <c r="B652" t="s">
        <v>2361</v>
      </c>
      <c r="C652" t="s">
        <v>2346</v>
      </c>
      <c r="D652">
        <v>653</v>
      </c>
      <c r="E652">
        <v>773</v>
      </c>
      <c r="F652">
        <v>1E-3</v>
      </c>
      <c r="G652">
        <v>1</v>
      </c>
      <c r="H652" t="s">
        <v>6873</v>
      </c>
      <c r="I652">
        <f>VLOOKUP(Table9[[#This Row],[Shortname]], Comp[], 6, FALSE)</f>
        <v>311</v>
      </c>
      <c r="J652" s="14">
        <f>VLOOKUP(Table9[[#This Row],[Shortname]], Comp[], 7, FALSE)</f>
        <v>51.699999999999996</v>
      </c>
      <c r="K652">
        <f>VLOOKUP(Table9[[#This Row],[Shortname]], Comp[], 8, FALSE)</f>
        <v>31</v>
      </c>
      <c r="L652">
        <f>VLOOKUP(Table9[[#This Row],[Shortname]], Comp[], 9, FALSE)</f>
        <v>10.1</v>
      </c>
      <c r="M652">
        <f>VLOOKUP(Table9[[#This Row],[Shortname]], Comp[], 10, FALSE)</f>
        <v>0</v>
      </c>
      <c r="N652">
        <f>VLOOKUP(Table9[[#This Row],[Shortname]], Comp[], 11, FALSE)</f>
        <v>0</v>
      </c>
      <c r="O652">
        <f>VLOOKUP(Table9[[#This Row],[Shortname]], Comp[],12, FALSE)</f>
        <v>0</v>
      </c>
      <c r="P652">
        <f>VLOOKUP(Table9[[#This Row],[Shortname]], Comp[], 13, FALSE)</f>
        <v>2.1</v>
      </c>
      <c r="Q652">
        <f>VLOOKUP(Table9[[#This Row],[Shortname]], Comp[], 14, FALSE)</f>
        <v>0</v>
      </c>
      <c r="R652">
        <f>VLOOKUP(Table9[[#This Row],[Shortname]], Comp[], 15, FALSE)</f>
        <v>0</v>
      </c>
      <c r="S652">
        <f>VLOOKUP(Table9[[#This Row],[Shortname]], Comp[], 16, FALSE)</f>
        <v>5.0999999999999996</v>
      </c>
      <c r="T652">
        <f>VLOOKUP(Table9[[#This Row],[Shortname]], Comp[], 17, FALSE)</f>
        <v>0</v>
      </c>
      <c r="U652">
        <f>VLOOKUP(Table9[[#This Row],[Shortname]], Comp[], 18, FALSE)</f>
        <v>0</v>
      </c>
      <c r="V652">
        <f>VLOOKUP(Table9[[#This Row],[Shortname]], Comp[], 19, FALSE)</f>
        <v>0</v>
      </c>
      <c r="W652">
        <f>VLOOKUP(Table9[[#This Row],[Shortname]], Comp[], 20, FALSE)</f>
        <v>0</v>
      </c>
      <c r="X652">
        <f>VLOOKUP(Table9[[#This Row],[Shortname]], Comp[], 21, FALSE)</f>
        <v>0</v>
      </c>
      <c r="Y652">
        <f>VLOOKUP(Table9[[#This Row],[Shortname]], Comp[], 22, FALSE)</f>
        <v>0</v>
      </c>
      <c r="Z652">
        <f>VLOOKUP(Table9[[#This Row],[Shortname]], Comp[], 23, FALSE)</f>
        <v>0</v>
      </c>
      <c r="AA652">
        <f>VLOOKUP(Table9[[#This Row],[Shortname]], Comp[], 24, FALSE)</f>
        <v>0</v>
      </c>
      <c r="AB652">
        <f>VLOOKUP(Table9[[#This Row],[Shortname]], Comp[], 25, FALSE)</f>
        <v>0</v>
      </c>
      <c r="AC652">
        <f>VLOOKUP(Table9[[#This Row],[Shortname]], Comp[], 26, FALSE)</f>
        <v>0</v>
      </c>
      <c r="AD652">
        <f>VLOOKUP(Table9[[#This Row],[Shortname]], Comp[], 27, FALSE)</f>
        <v>0</v>
      </c>
      <c r="AE652">
        <f>VLOOKUP(Table9[[#This Row],[Shortname]], Comp[], 28, FALSE)</f>
        <v>0</v>
      </c>
      <c r="AF652">
        <f>VLOOKUP(Table9[[#This Row],[Shortname]], Comp[], 29, FALSE)</f>
        <v>0</v>
      </c>
      <c r="AG652">
        <f>VLOOKUP(Table9[[#This Row],[Shortname]], Comp[], 30, FALSE)</f>
        <v>0</v>
      </c>
      <c r="AH652">
        <f>VLOOKUP(Table9[[#This Row],[Shortname]], Comp[], 31, FALSE)</f>
        <v>0</v>
      </c>
    </row>
    <row r="653" spans="1:34" x14ac:dyDescent="0.3">
      <c r="A653" t="s">
        <v>2359</v>
      </c>
      <c r="B653" t="s">
        <v>2361</v>
      </c>
      <c r="C653" t="s">
        <v>2346</v>
      </c>
      <c r="D653">
        <v>546</v>
      </c>
      <c r="E653">
        <v>873</v>
      </c>
      <c r="F653">
        <v>1E-3</v>
      </c>
      <c r="G653">
        <v>1</v>
      </c>
      <c r="H653" t="s">
        <v>6873</v>
      </c>
      <c r="I653">
        <f>VLOOKUP(Table9[[#This Row],[Shortname]], Comp[], 6, FALSE)</f>
        <v>311</v>
      </c>
      <c r="J653" s="14">
        <f>VLOOKUP(Table9[[#This Row],[Shortname]], Comp[], 7, FALSE)</f>
        <v>51.699999999999996</v>
      </c>
      <c r="K653">
        <f>VLOOKUP(Table9[[#This Row],[Shortname]], Comp[], 8, FALSE)</f>
        <v>31</v>
      </c>
      <c r="L653">
        <f>VLOOKUP(Table9[[#This Row],[Shortname]], Comp[], 9, FALSE)</f>
        <v>10.1</v>
      </c>
      <c r="M653">
        <f>VLOOKUP(Table9[[#This Row],[Shortname]], Comp[], 10, FALSE)</f>
        <v>0</v>
      </c>
      <c r="N653">
        <f>VLOOKUP(Table9[[#This Row],[Shortname]], Comp[], 11, FALSE)</f>
        <v>0</v>
      </c>
      <c r="O653">
        <f>VLOOKUP(Table9[[#This Row],[Shortname]], Comp[],12, FALSE)</f>
        <v>0</v>
      </c>
      <c r="P653">
        <f>VLOOKUP(Table9[[#This Row],[Shortname]], Comp[], 13, FALSE)</f>
        <v>2.1</v>
      </c>
      <c r="Q653">
        <f>VLOOKUP(Table9[[#This Row],[Shortname]], Comp[], 14, FALSE)</f>
        <v>0</v>
      </c>
      <c r="R653">
        <f>VLOOKUP(Table9[[#This Row],[Shortname]], Comp[], 15, FALSE)</f>
        <v>0</v>
      </c>
      <c r="S653">
        <f>VLOOKUP(Table9[[#This Row],[Shortname]], Comp[], 16, FALSE)</f>
        <v>5.0999999999999996</v>
      </c>
      <c r="T653">
        <f>VLOOKUP(Table9[[#This Row],[Shortname]], Comp[], 17, FALSE)</f>
        <v>0</v>
      </c>
      <c r="U653">
        <f>VLOOKUP(Table9[[#This Row],[Shortname]], Comp[], 18, FALSE)</f>
        <v>0</v>
      </c>
      <c r="V653">
        <f>VLOOKUP(Table9[[#This Row],[Shortname]], Comp[], 19, FALSE)</f>
        <v>0</v>
      </c>
      <c r="W653">
        <f>VLOOKUP(Table9[[#This Row],[Shortname]], Comp[], 20, FALSE)</f>
        <v>0</v>
      </c>
      <c r="X653">
        <f>VLOOKUP(Table9[[#This Row],[Shortname]], Comp[], 21, FALSE)</f>
        <v>0</v>
      </c>
      <c r="Y653">
        <f>VLOOKUP(Table9[[#This Row],[Shortname]], Comp[], 22, FALSE)</f>
        <v>0</v>
      </c>
      <c r="Z653">
        <f>VLOOKUP(Table9[[#This Row],[Shortname]], Comp[], 23, FALSE)</f>
        <v>0</v>
      </c>
      <c r="AA653">
        <f>VLOOKUP(Table9[[#This Row],[Shortname]], Comp[], 24, FALSE)</f>
        <v>0</v>
      </c>
      <c r="AB653">
        <f>VLOOKUP(Table9[[#This Row],[Shortname]], Comp[], 25, FALSE)</f>
        <v>0</v>
      </c>
      <c r="AC653">
        <f>VLOOKUP(Table9[[#This Row],[Shortname]], Comp[], 26, FALSE)</f>
        <v>0</v>
      </c>
      <c r="AD653">
        <f>VLOOKUP(Table9[[#This Row],[Shortname]], Comp[], 27, FALSE)</f>
        <v>0</v>
      </c>
      <c r="AE653">
        <f>VLOOKUP(Table9[[#This Row],[Shortname]], Comp[], 28, FALSE)</f>
        <v>0</v>
      </c>
      <c r="AF653">
        <f>VLOOKUP(Table9[[#This Row],[Shortname]], Comp[], 29, FALSE)</f>
        <v>0</v>
      </c>
      <c r="AG653">
        <f>VLOOKUP(Table9[[#This Row],[Shortname]], Comp[], 30, FALSE)</f>
        <v>0</v>
      </c>
      <c r="AH653">
        <f>VLOOKUP(Table9[[#This Row],[Shortname]], Comp[], 31, FALSE)</f>
        <v>0</v>
      </c>
    </row>
    <row r="654" spans="1:34" x14ac:dyDescent="0.3">
      <c r="A654" t="s">
        <v>2352</v>
      </c>
      <c r="B654" t="s">
        <v>2354</v>
      </c>
      <c r="C654" t="s">
        <v>2346</v>
      </c>
      <c r="D654">
        <v>675</v>
      </c>
      <c r="E654">
        <v>673</v>
      </c>
      <c r="F654">
        <v>1E-3</v>
      </c>
      <c r="G654">
        <v>1</v>
      </c>
      <c r="H654" t="s">
        <v>6873</v>
      </c>
      <c r="I654">
        <f>VLOOKUP(Table9[[#This Row],[Shortname]], Comp[], 6, FALSE)</f>
        <v>310</v>
      </c>
      <c r="J654" s="14">
        <f>VLOOKUP(Table9[[#This Row],[Shortname]], Comp[], 7, FALSE)</f>
        <v>82.9</v>
      </c>
      <c r="K654">
        <f>VLOOKUP(Table9[[#This Row],[Shortname]], Comp[], 8, FALSE)</f>
        <v>0</v>
      </c>
      <c r="L654">
        <f>VLOOKUP(Table9[[#This Row],[Shortname]], Comp[], 9, FALSE)</f>
        <v>9.9</v>
      </c>
      <c r="M654">
        <f>VLOOKUP(Table9[[#This Row],[Shortname]], Comp[], 10, FALSE)</f>
        <v>0</v>
      </c>
      <c r="N654">
        <f>VLOOKUP(Table9[[#This Row],[Shortname]], Comp[], 11, FALSE)</f>
        <v>0</v>
      </c>
      <c r="O654">
        <f>VLOOKUP(Table9[[#This Row],[Shortname]], Comp[],12, FALSE)</f>
        <v>0</v>
      </c>
      <c r="P654">
        <f>VLOOKUP(Table9[[#This Row],[Shortname]], Comp[], 13, FALSE)</f>
        <v>2.1</v>
      </c>
      <c r="Q654">
        <f>VLOOKUP(Table9[[#This Row],[Shortname]], Comp[], 14, FALSE)</f>
        <v>0</v>
      </c>
      <c r="R654">
        <f>VLOOKUP(Table9[[#This Row],[Shortname]], Comp[], 15, FALSE)</f>
        <v>0</v>
      </c>
      <c r="S654">
        <f>VLOOKUP(Table9[[#This Row],[Shortname]], Comp[], 16, FALSE)</f>
        <v>5.0999999999999996</v>
      </c>
      <c r="T654">
        <f>VLOOKUP(Table9[[#This Row],[Shortname]], Comp[], 17, FALSE)</f>
        <v>0</v>
      </c>
      <c r="U654">
        <f>VLOOKUP(Table9[[#This Row],[Shortname]], Comp[], 18, FALSE)</f>
        <v>0</v>
      </c>
      <c r="V654">
        <f>VLOOKUP(Table9[[#This Row],[Shortname]], Comp[], 19, FALSE)</f>
        <v>0</v>
      </c>
      <c r="W654">
        <f>VLOOKUP(Table9[[#This Row],[Shortname]], Comp[], 20, FALSE)</f>
        <v>0</v>
      </c>
      <c r="X654">
        <f>VLOOKUP(Table9[[#This Row],[Shortname]], Comp[], 21, FALSE)</f>
        <v>0</v>
      </c>
      <c r="Y654">
        <f>VLOOKUP(Table9[[#This Row],[Shortname]], Comp[], 22, FALSE)</f>
        <v>0</v>
      </c>
      <c r="Z654">
        <f>VLOOKUP(Table9[[#This Row],[Shortname]], Comp[], 23, FALSE)</f>
        <v>0</v>
      </c>
      <c r="AA654">
        <f>VLOOKUP(Table9[[#This Row],[Shortname]], Comp[], 24, FALSE)</f>
        <v>0</v>
      </c>
      <c r="AB654">
        <f>VLOOKUP(Table9[[#This Row],[Shortname]], Comp[], 25, FALSE)</f>
        <v>0</v>
      </c>
      <c r="AC654">
        <f>VLOOKUP(Table9[[#This Row],[Shortname]], Comp[], 26, FALSE)</f>
        <v>0</v>
      </c>
      <c r="AD654">
        <f>VLOOKUP(Table9[[#This Row],[Shortname]], Comp[], 27, FALSE)</f>
        <v>0</v>
      </c>
      <c r="AE654">
        <f>VLOOKUP(Table9[[#This Row],[Shortname]], Comp[], 28, FALSE)</f>
        <v>0</v>
      </c>
      <c r="AF654">
        <f>VLOOKUP(Table9[[#This Row],[Shortname]], Comp[], 29, FALSE)</f>
        <v>0</v>
      </c>
      <c r="AG654">
        <f>VLOOKUP(Table9[[#This Row],[Shortname]], Comp[], 30, FALSE)</f>
        <v>0</v>
      </c>
      <c r="AH654">
        <f>VLOOKUP(Table9[[#This Row],[Shortname]], Comp[], 31, FALSE)</f>
        <v>0</v>
      </c>
    </row>
    <row r="655" spans="1:34" x14ac:dyDescent="0.3">
      <c r="A655" t="s">
        <v>2352</v>
      </c>
      <c r="B655" t="s">
        <v>2354</v>
      </c>
      <c r="C655" t="s">
        <v>2346</v>
      </c>
      <c r="D655">
        <v>839</v>
      </c>
      <c r="E655">
        <v>25</v>
      </c>
      <c r="F655">
        <v>1E-3</v>
      </c>
      <c r="G655">
        <v>1</v>
      </c>
      <c r="H655" t="s">
        <v>6873</v>
      </c>
      <c r="I655">
        <f>VLOOKUP(Table9[[#This Row],[Shortname]], Comp[], 6, FALSE)</f>
        <v>310</v>
      </c>
      <c r="J655" s="14">
        <f>VLOOKUP(Table9[[#This Row],[Shortname]], Comp[], 7, FALSE)</f>
        <v>82.9</v>
      </c>
      <c r="K655">
        <f>VLOOKUP(Table9[[#This Row],[Shortname]], Comp[], 8, FALSE)</f>
        <v>0</v>
      </c>
      <c r="L655">
        <f>VLOOKUP(Table9[[#This Row],[Shortname]], Comp[], 9, FALSE)</f>
        <v>9.9</v>
      </c>
      <c r="M655">
        <f>VLOOKUP(Table9[[#This Row],[Shortname]], Comp[], 10, FALSE)</f>
        <v>0</v>
      </c>
      <c r="N655">
        <f>VLOOKUP(Table9[[#This Row],[Shortname]], Comp[], 11, FALSE)</f>
        <v>0</v>
      </c>
      <c r="O655">
        <f>VLOOKUP(Table9[[#This Row],[Shortname]], Comp[],12, FALSE)</f>
        <v>0</v>
      </c>
      <c r="P655">
        <f>VLOOKUP(Table9[[#This Row],[Shortname]], Comp[], 13, FALSE)</f>
        <v>2.1</v>
      </c>
      <c r="Q655">
        <f>VLOOKUP(Table9[[#This Row],[Shortname]], Comp[], 14, FALSE)</f>
        <v>0</v>
      </c>
      <c r="R655">
        <f>VLOOKUP(Table9[[#This Row],[Shortname]], Comp[], 15, FALSE)</f>
        <v>0</v>
      </c>
      <c r="S655">
        <f>VLOOKUP(Table9[[#This Row],[Shortname]], Comp[], 16, FALSE)</f>
        <v>5.0999999999999996</v>
      </c>
      <c r="T655">
        <f>VLOOKUP(Table9[[#This Row],[Shortname]], Comp[], 17, FALSE)</f>
        <v>0</v>
      </c>
      <c r="U655">
        <f>VLOOKUP(Table9[[#This Row],[Shortname]], Comp[], 18, FALSE)</f>
        <v>0</v>
      </c>
      <c r="V655">
        <f>VLOOKUP(Table9[[#This Row],[Shortname]], Comp[], 19, FALSE)</f>
        <v>0</v>
      </c>
      <c r="W655">
        <f>VLOOKUP(Table9[[#This Row],[Shortname]], Comp[], 20, FALSE)</f>
        <v>0</v>
      </c>
      <c r="X655">
        <f>VLOOKUP(Table9[[#This Row],[Shortname]], Comp[], 21, FALSE)</f>
        <v>0</v>
      </c>
      <c r="Y655">
        <f>VLOOKUP(Table9[[#This Row],[Shortname]], Comp[], 22, FALSE)</f>
        <v>0</v>
      </c>
      <c r="Z655">
        <f>VLOOKUP(Table9[[#This Row],[Shortname]], Comp[], 23, FALSE)</f>
        <v>0</v>
      </c>
      <c r="AA655">
        <f>VLOOKUP(Table9[[#This Row],[Shortname]], Comp[], 24, FALSE)</f>
        <v>0</v>
      </c>
      <c r="AB655">
        <f>VLOOKUP(Table9[[#This Row],[Shortname]], Comp[], 25, FALSE)</f>
        <v>0</v>
      </c>
      <c r="AC655">
        <f>VLOOKUP(Table9[[#This Row],[Shortname]], Comp[], 26, FALSE)</f>
        <v>0</v>
      </c>
      <c r="AD655">
        <f>VLOOKUP(Table9[[#This Row],[Shortname]], Comp[], 27, FALSE)</f>
        <v>0</v>
      </c>
      <c r="AE655">
        <f>VLOOKUP(Table9[[#This Row],[Shortname]], Comp[], 28, FALSE)</f>
        <v>0</v>
      </c>
      <c r="AF655">
        <f>VLOOKUP(Table9[[#This Row],[Shortname]], Comp[], 29, FALSE)</f>
        <v>0</v>
      </c>
      <c r="AG655">
        <f>VLOOKUP(Table9[[#This Row],[Shortname]], Comp[], 30, FALSE)</f>
        <v>0</v>
      </c>
      <c r="AH655">
        <f>VLOOKUP(Table9[[#This Row],[Shortname]], Comp[], 31, FALSE)</f>
        <v>0</v>
      </c>
    </row>
    <row r="656" spans="1:34" x14ac:dyDescent="0.3">
      <c r="A656" t="s">
        <v>2352</v>
      </c>
      <c r="B656" t="s">
        <v>2354</v>
      </c>
      <c r="C656" t="s">
        <v>2346</v>
      </c>
      <c r="D656">
        <v>800</v>
      </c>
      <c r="E656">
        <v>25</v>
      </c>
      <c r="F656">
        <v>1E-3</v>
      </c>
      <c r="G656">
        <v>-1</v>
      </c>
      <c r="H656" t="s">
        <v>6874</v>
      </c>
      <c r="I656">
        <f>VLOOKUP(Table9[[#This Row],[Shortname]], Comp[], 6, FALSE)</f>
        <v>310</v>
      </c>
      <c r="J656" s="14">
        <f>VLOOKUP(Table9[[#This Row],[Shortname]], Comp[], 7, FALSE)</f>
        <v>82.9</v>
      </c>
      <c r="K656">
        <f>VLOOKUP(Table9[[#This Row],[Shortname]], Comp[], 8, FALSE)</f>
        <v>0</v>
      </c>
      <c r="L656">
        <f>VLOOKUP(Table9[[#This Row],[Shortname]], Comp[], 9, FALSE)</f>
        <v>9.9</v>
      </c>
      <c r="M656">
        <f>VLOOKUP(Table9[[#This Row],[Shortname]], Comp[], 10, FALSE)</f>
        <v>0</v>
      </c>
      <c r="N656">
        <f>VLOOKUP(Table9[[#This Row],[Shortname]], Comp[], 11, FALSE)</f>
        <v>0</v>
      </c>
      <c r="O656">
        <f>VLOOKUP(Table9[[#This Row],[Shortname]], Comp[],12, FALSE)</f>
        <v>0</v>
      </c>
      <c r="P656">
        <f>VLOOKUP(Table9[[#This Row],[Shortname]], Comp[], 13, FALSE)</f>
        <v>2.1</v>
      </c>
      <c r="Q656">
        <f>VLOOKUP(Table9[[#This Row],[Shortname]], Comp[], 14, FALSE)</f>
        <v>0</v>
      </c>
      <c r="R656">
        <f>VLOOKUP(Table9[[#This Row],[Shortname]], Comp[], 15, FALSE)</f>
        <v>0</v>
      </c>
      <c r="S656">
        <f>VLOOKUP(Table9[[#This Row],[Shortname]], Comp[], 16, FALSE)</f>
        <v>5.0999999999999996</v>
      </c>
      <c r="T656">
        <f>VLOOKUP(Table9[[#This Row],[Shortname]], Comp[], 17, FALSE)</f>
        <v>0</v>
      </c>
      <c r="U656">
        <f>VLOOKUP(Table9[[#This Row],[Shortname]], Comp[], 18, FALSE)</f>
        <v>0</v>
      </c>
      <c r="V656">
        <f>VLOOKUP(Table9[[#This Row],[Shortname]], Comp[], 19, FALSE)</f>
        <v>0</v>
      </c>
      <c r="W656">
        <f>VLOOKUP(Table9[[#This Row],[Shortname]], Comp[], 20, FALSE)</f>
        <v>0</v>
      </c>
      <c r="X656">
        <f>VLOOKUP(Table9[[#This Row],[Shortname]], Comp[], 21, FALSE)</f>
        <v>0</v>
      </c>
      <c r="Y656">
        <f>VLOOKUP(Table9[[#This Row],[Shortname]], Comp[], 22, FALSE)</f>
        <v>0</v>
      </c>
      <c r="Z656">
        <f>VLOOKUP(Table9[[#This Row],[Shortname]], Comp[], 23, FALSE)</f>
        <v>0</v>
      </c>
      <c r="AA656">
        <f>VLOOKUP(Table9[[#This Row],[Shortname]], Comp[], 24, FALSE)</f>
        <v>0</v>
      </c>
      <c r="AB656">
        <f>VLOOKUP(Table9[[#This Row],[Shortname]], Comp[], 25, FALSE)</f>
        <v>0</v>
      </c>
      <c r="AC656">
        <f>VLOOKUP(Table9[[#This Row],[Shortname]], Comp[], 26, FALSE)</f>
        <v>0</v>
      </c>
      <c r="AD656">
        <f>VLOOKUP(Table9[[#This Row],[Shortname]], Comp[], 27, FALSE)</f>
        <v>0</v>
      </c>
      <c r="AE656">
        <f>VLOOKUP(Table9[[#This Row],[Shortname]], Comp[], 28, FALSE)</f>
        <v>0</v>
      </c>
      <c r="AF656">
        <f>VLOOKUP(Table9[[#This Row],[Shortname]], Comp[], 29, FALSE)</f>
        <v>0</v>
      </c>
      <c r="AG656">
        <f>VLOOKUP(Table9[[#This Row],[Shortname]], Comp[], 30, FALSE)</f>
        <v>0</v>
      </c>
      <c r="AH656">
        <f>VLOOKUP(Table9[[#This Row],[Shortname]], Comp[], 31, FALSE)</f>
        <v>0</v>
      </c>
    </row>
    <row r="657" spans="1:34" x14ac:dyDescent="0.3">
      <c r="A657" t="s">
        <v>2352</v>
      </c>
      <c r="B657" t="s">
        <v>2354</v>
      </c>
      <c r="C657" t="s">
        <v>2346</v>
      </c>
      <c r="D657">
        <v>734</v>
      </c>
      <c r="E657">
        <v>473</v>
      </c>
      <c r="F657">
        <v>1E-3</v>
      </c>
      <c r="G657">
        <v>1</v>
      </c>
      <c r="H657" t="s">
        <v>6873</v>
      </c>
      <c r="I657">
        <f>VLOOKUP(Table9[[#This Row],[Shortname]], Comp[], 6, FALSE)</f>
        <v>310</v>
      </c>
      <c r="J657" s="14">
        <f>VLOOKUP(Table9[[#This Row],[Shortname]], Comp[], 7, FALSE)</f>
        <v>82.9</v>
      </c>
      <c r="K657">
        <f>VLOOKUP(Table9[[#This Row],[Shortname]], Comp[], 8, FALSE)</f>
        <v>0</v>
      </c>
      <c r="L657">
        <f>VLOOKUP(Table9[[#This Row],[Shortname]], Comp[], 9, FALSE)</f>
        <v>9.9</v>
      </c>
      <c r="M657">
        <f>VLOOKUP(Table9[[#This Row],[Shortname]], Comp[], 10, FALSE)</f>
        <v>0</v>
      </c>
      <c r="N657">
        <f>VLOOKUP(Table9[[#This Row],[Shortname]], Comp[], 11, FALSE)</f>
        <v>0</v>
      </c>
      <c r="O657">
        <f>VLOOKUP(Table9[[#This Row],[Shortname]], Comp[],12, FALSE)</f>
        <v>0</v>
      </c>
      <c r="P657">
        <f>VLOOKUP(Table9[[#This Row],[Shortname]], Comp[], 13, FALSE)</f>
        <v>2.1</v>
      </c>
      <c r="Q657">
        <f>VLOOKUP(Table9[[#This Row],[Shortname]], Comp[], 14, FALSE)</f>
        <v>0</v>
      </c>
      <c r="R657">
        <f>VLOOKUP(Table9[[#This Row],[Shortname]], Comp[], 15, FALSE)</f>
        <v>0</v>
      </c>
      <c r="S657">
        <f>VLOOKUP(Table9[[#This Row],[Shortname]], Comp[], 16, FALSE)</f>
        <v>5.0999999999999996</v>
      </c>
      <c r="T657">
        <f>VLOOKUP(Table9[[#This Row],[Shortname]], Comp[], 17, FALSE)</f>
        <v>0</v>
      </c>
      <c r="U657">
        <f>VLOOKUP(Table9[[#This Row],[Shortname]], Comp[], 18, FALSE)</f>
        <v>0</v>
      </c>
      <c r="V657">
        <f>VLOOKUP(Table9[[#This Row],[Shortname]], Comp[], 19, FALSE)</f>
        <v>0</v>
      </c>
      <c r="W657">
        <f>VLOOKUP(Table9[[#This Row],[Shortname]], Comp[], 20, FALSE)</f>
        <v>0</v>
      </c>
      <c r="X657">
        <f>VLOOKUP(Table9[[#This Row],[Shortname]], Comp[], 21, FALSE)</f>
        <v>0</v>
      </c>
      <c r="Y657">
        <f>VLOOKUP(Table9[[#This Row],[Shortname]], Comp[], 22, FALSE)</f>
        <v>0</v>
      </c>
      <c r="Z657">
        <f>VLOOKUP(Table9[[#This Row],[Shortname]], Comp[], 23, FALSE)</f>
        <v>0</v>
      </c>
      <c r="AA657">
        <f>VLOOKUP(Table9[[#This Row],[Shortname]], Comp[], 24, FALSE)</f>
        <v>0</v>
      </c>
      <c r="AB657">
        <f>VLOOKUP(Table9[[#This Row],[Shortname]], Comp[], 25, FALSE)</f>
        <v>0</v>
      </c>
      <c r="AC657">
        <f>VLOOKUP(Table9[[#This Row],[Shortname]], Comp[], 26, FALSE)</f>
        <v>0</v>
      </c>
      <c r="AD657">
        <f>VLOOKUP(Table9[[#This Row],[Shortname]], Comp[], 27, FALSE)</f>
        <v>0</v>
      </c>
      <c r="AE657">
        <f>VLOOKUP(Table9[[#This Row],[Shortname]], Comp[], 28, FALSE)</f>
        <v>0</v>
      </c>
      <c r="AF657">
        <f>VLOOKUP(Table9[[#This Row],[Shortname]], Comp[], 29, FALSE)</f>
        <v>0</v>
      </c>
      <c r="AG657">
        <f>VLOOKUP(Table9[[#This Row],[Shortname]], Comp[], 30, FALSE)</f>
        <v>0</v>
      </c>
      <c r="AH657">
        <f>VLOOKUP(Table9[[#This Row],[Shortname]], Comp[], 31, FALSE)</f>
        <v>0</v>
      </c>
    </row>
    <row r="658" spans="1:34" x14ac:dyDescent="0.3">
      <c r="A658" t="s">
        <v>2352</v>
      </c>
      <c r="B658" t="s">
        <v>2354</v>
      </c>
      <c r="C658" t="s">
        <v>2346</v>
      </c>
      <c r="D658">
        <v>695</v>
      </c>
      <c r="E658">
        <v>573</v>
      </c>
      <c r="F658">
        <v>1E-3</v>
      </c>
      <c r="G658">
        <v>1</v>
      </c>
      <c r="H658" t="s">
        <v>6873</v>
      </c>
      <c r="I658">
        <f>VLOOKUP(Table9[[#This Row],[Shortname]], Comp[], 6, FALSE)</f>
        <v>310</v>
      </c>
      <c r="J658" s="14">
        <f>VLOOKUP(Table9[[#This Row],[Shortname]], Comp[], 7, FALSE)</f>
        <v>82.9</v>
      </c>
      <c r="K658">
        <f>VLOOKUP(Table9[[#This Row],[Shortname]], Comp[], 8, FALSE)</f>
        <v>0</v>
      </c>
      <c r="L658">
        <f>VLOOKUP(Table9[[#This Row],[Shortname]], Comp[], 9, FALSE)</f>
        <v>9.9</v>
      </c>
      <c r="M658">
        <f>VLOOKUP(Table9[[#This Row],[Shortname]], Comp[], 10, FALSE)</f>
        <v>0</v>
      </c>
      <c r="N658">
        <f>VLOOKUP(Table9[[#This Row],[Shortname]], Comp[], 11, FALSE)</f>
        <v>0</v>
      </c>
      <c r="O658">
        <f>VLOOKUP(Table9[[#This Row],[Shortname]], Comp[],12, FALSE)</f>
        <v>0</v>
      </c>
      <c r="P658">
        <f>VLOOKUP(Table9[[#This Row],[Shortname]], Comp[], 13, FALSE)</f>
        <v>2.1</v>
      </c>
      <c r="Q658">
        <f>VLOOKUP(Table9[[#This Row],[Shortname]], Comp[], 14, FALSE)</f>
        <v>0</v>
      </c>
      <c r="R658">
        <f>VLOOKUP(Table9[[#This Row],[Shortname]], Comp[], 15, FALSE)</f>
        <v>0</v>
      </c>
      <c r="S658">
        <f>VLOOKUP(Table9[[#This Row],[Shortname]], Comp[], 16, FALSE)</f>
        <v>5.0999999999999996</v>
      </c>
      <c r="T658">
        <f>VLOOKUP(Table9[[#This Row],[Shortname]], Comp[], 17, FALSE)</f>
        <v>0</v>
      </c>
      <c r="U658">
        <f>VLOOKUP(Table9[[#This Row],[Shortname]], Comp[], 18, FALSE)</f>
        <v>0</v>
      </c>
      <c r="V658">
        <f>VLOOKUP(Table9[[#This Row],[Shortname]], Comp[], 19, FALSE)</f>
        <v>0</v>
      </c>
      <c r="W658">
        <f>VLOOKUP(Table9[[#This Row],[Shortname]], Comp[], 20, FALSE)</f>
        <v>0</v>
      </c>
      <c r="X658">
        <f>VLOOKUP(Table9[[#This Row],[Shortname]], Comp[], 21, FALSE)</f>
        <v>0</v>
      </c>
      <c r="Y658">
        <f>VLOOKUP(Table9[[#This Row],[Shortname]], Comp[], 22, FALSE)</f>
        <v>0</v>
      </c>
      <c r="Z658">
        <f>VLOOKUP(Table9[[#This Row],[Shortname]], Comp[], 23, FALSE)</f>
        <v>0</v>
      </c>
      <c r="AA658">
        <f>VLOOKUP(Table9[[#This Row],[Shortname]], Comp[], 24, FALSE)</f>
        <v>0</v>
      </c>
      <c r="AB658">
        <f>VLOOKUP(Table9[[#This Row],[Shortname]], Comp[], 25, FALSE)</f>
        <v>0</v>
      </c>
      <c r="AC658">
        <f>VLOOKUP(Table9[[#This Row],[Shortname]], Comp[], 26, FALSE)</f>
        <v>0</v>
      </c>
      <c r="AD658">
        <f>VLOOKUP(Table9[[#This Row],[Shortname]], Comp[], 27, FALSE)</f>
        <v>0</v>
      </c>
      <c r="AE658">
        <f>VLOOKUP(Table9[[#This Row],[Shortname]], Comp[], 28, FALSE)</f>
        <v>0</v>
      </c>
      <c r="AF658">
        <f>VLOOKUP(Table9[[#This Row],[Shortname]], Comp[], 29, FALSE)</f>
        <v>0</v>
      </c>
      <c r="AG658">
        <f>VLOOKUP(Table9[[#This Row],[Shortname]], Comp[], 30, FALSE)</f>
        <v>0</v>
      </c>
      <c r="AH658">
        <f>VLOOKUP(Table9[[#This Row],[Shortname]], Comp[], 31, FALSE)</f>
        <v>0</v>
      </c>
    </row>
    <row r="659" spans="1:34" x14ac:dyDescent="0.3">
      <c r="A659" t="s">
        <v>2352</v>
      </c>
      <c r="B659" t="s">
        <v>2354</v>
      </c>
      <c r="C659" t="s">
        <v>2346</v>
      </c>
      <c r="D659">
        <v>573</v>
      </c>
      <c r="E659">
        <v>773</v>
      </c>
      <c r="F659">
        <v>1E-3</v>
      </c>
      <c r="G659">
        <v>1</v>
      </c>
      <c r="H659" t="s">
        <v>6873</v>
      </c>
      <c r="I659">
        <f>VLOOKUP(Table9[[#This Row],[Shortname]], Comp[], 6, FALSE)</f>
        <v>310</v>
      </c>
      <c r="J659" s="14">
        <f>VLOOKUP(Table9[[#This Row],[Shortname]], Comp[], 7, FALSE)</f>
        <v>82.9</v>
      </c>
      <c r="K659">
        <f>VLOOKUP(Table9[[#This Row],[Shortname]], Comp[], 8, FALSE)</f>
        <v>0</v>
      </c>
      <c r="L659">
        <f>VLOOKUP(Table9[[#This Row],[Shortname]], Comp[], 9, FALSE)</f>
        <v>9.9</v>
      </c>
      <c r="M659">
        <f>VLOOKUP(Table9[[#This Row],[Shortname]], Comp[], 10, FALSE)</f>
        <v>0</v>
      </c>
      <c r="N659">
        <f>VLOOKUP(Table9[[#This Row],[Shortname]], Comp[], 11, FALSE)</f>
        <v>0</v>
      </c>
      <c r="O659">
        <f>VLOOKUP(Table9[[#This Row],[Shortname]], Comp[],12, FALSE)</f>
        <v>0</v>
      </c>
      <c r="P659">
        <f>VLOOKUP(Table9[[#This Row],[Shortname]], Comp[], 13, FALSE)</f>
        <v>2.1</v>
      </c>
      <c r="Q659">
        <f>VLOOKUP(Table9[[#This Row],[Shortname]], Comp[], 14, FALSE)</f>
        <v>0</v>
      </c>
      <c r="R659">
        <f>VLOOKUP(Table9[[#This Row],[Shortname]], Comp[], 15, FALSE)</f>
        <v>0</v>
      </c>
      <c r="S659">
        <f>VLOOKUP(Table9[[#This Row],[Shortname]], Comp[], 16, FALSE)</f>
        <v>5.0999999999999996</v>
      </c>
      <c r="T659">
        <f>VLOOKUP(Table9[[#This Row],[Shortname]], Comp[], 17, FALSE)</f>
        <v>0</v>
      </c>
      <c r="U659">
        <f>VLOOKUP(Table9[[#This Row],[Shortname]], Comp[], 18, FALSE)</f>
        <v>0</v>
      </c>
      <c r="V659">
        <f>VLOOKUP(Table9[[#This Row],[Shortname]], Comp[], 19, FALSE)</f>
        <v>0</v>
      </c>
      <c r="W659">
        <f>VLOOKUP(Table9[[#This Row],[Shortname]], Comp[], 20, FALSE)</f>
        <v>0</v>
      </c>
      <c r="X659">
        <f>VLOOKUP(Table9[[#This Row],[Shortname]], Comp[], 21, FALSE)</f>
        <v>0</v>
      </c>
      <c r="Y659">
        <f>VLOOKUP(Table9[[#This Row],[Shortname]], Comp[], 22, FALSE)</f>
        <v>0</v>
      </c>
      <c r="Z659">
        <f>VLOOKUP(Table9[[#This Row],[Shortname]], Comp[], 23, FALSE)</f>
        <v>0</v>
      </c>
      <c r="AA659">
        <f>VLOOKUP(Table9[[#This Row],[Shortname]], Comp[], 24, FALSE)</f>
        <v>0</v>
      </c>
      <c r="AB659">
        <f>VLOOKUP(Table9[[#This Row],[Shortname]], Comp[], 25, FALSE)</f>
        <v>0</v>
      </c>
      <c r="AC659">
        <f>VLOOKUP(Table9[[#This Row],[Shortname]], Comp[], 26, FALSE)</f>
        <v>0</v>
      </c>
      <c r="AD659">
        <f>VLOOKUP(Table9[[#This Row],[Shortname]], Comp[], 27, FALSE)</f>
        <v>0</v>
      </c>
      <c r="AE659">
        <f>VLOOKUP(Table9[[#This Row],[Shortname]], Comp[], 28, FALSE)</f>
        <v>0</v>
      </c>
      <c r="AF659">
        <f>VLOOKUP(Table9[[#This Row],[Shortname]], Comp[], 29, FALSE)</f>
        <v>0</v>
      </c>
      <c r="AG659">
        <f>VLOOKUP(Table9[[#This Row],[Shortname]], Comp[], 30, FALSE)</f>
        <v>0</v>
      </c>
      <c r="AH659">
        <f>VLOOKUP(Table9[[#This Row],[Shortname]], Comp[], 31, FALSE)</f>
        <v>0</v>
      </c>
    </row>
    <row r="660" spans="1:34" x14ac:dyDescent="0.3">
      <c r="A660" t="s">
        <v>2352</v>
      </c>
      <c r="B660" t="s">
        <v>2354</v>
      </c>
      <c r="C660" t="s">
        <v>2346</v>
      </c>
      <c r="D660">
        <v>478</v>
      </c>
      <c r="E660">
        <v>873</v>
      </c>
      <c r="F660">
        <v>1E-3</v>
      </c>
      <c r="G660">
        <v>1</v>
      </c>
      <c r="H660" t="s">
        <v>6873</v>
      </c>
      <c r="I660">
        <f>VLOOKUP(Table9[[#This Row],[Shortname]], Comp[], 6, FALSE)</f>
        <v>310</v>
      </c>
      <c r="J660" s="14">
        <f>VLOOKUP(Table9[[#This Row],[Shortname]], Comp[], 7, FALSE)</f>
        <v>82.9</v>
      </c>
      <c r="K660">
        <f>VLOOKUP(Table9[[#This Row],[Shortname]], Comp[], 8, FALSE)</f>
        <v>0</v>
      </c>
      <c r="L660">
        <f>VLOOKUP(Table9[[#This Row],[Shortname]], Comp[], 9, FALSE)</f>
        <v>9.9</v>
      </c>
      <c r="M660">
        <f>VLOOKUP(Table9[[#This Row],[Shortname]], Comp[], 10, FALSE)</f>
        <v>0</v>
      </c>
      <c r="N660">
        <f>VLOOKUP(Table9[[#This Row],[Shortname]], Comp[], 11, FALSE)</f>
        <v>0</v>
      </c>
      <c r="O660">
        <f>VLOOKUP(Table9[[#This Row],[Shortname]], Comp[],12, FALSE)</f>
        <v>0</v>
      </c>
      <c r="P660">
        <f>VLOOKUP(Table9[[#This Row],[Shortname]], Comp[], 13, FALSE)</f>
        <v>2.1</v>
      </c>
      <c r="Q660">
        <f>VLOOKUP(Table9[[#This Row],[Shortname]], Comp[], 14, FALSE)</f>
        <v>0</v>
      </c>
      <c r="R660">
        <f>VLOOKUP(Table9[[#This Row],[Shortname]], Comp[], 15, FALSE)</f>
        <v>0</v>
      </c>
      <c r="S660">
        <f>VLOOKUP(Table9[[#This Row],[Shortname]], Comp[], 16, FALSE)</f>
        <v>5.0999999999999996</v>
      </c>
      <c r="T660">
        <f>VLOOKUP(Table9[[#This Row],[Shortname]], Comp[], 17, FALSE)</f>
        <v>0</v>
      </c>
      <c r="U660">
        <f>VLOOKUP(Table9[[#This Row],[Shortname]], Comp[], 18, FALSE)</f>
        <v>0</v>
      </c>
      <c r="V660">
        <f>VLOOKUP(Table9[[#This Row],[Shortname]], Comp[], 19, FALSE)</f>
        <v>0</v>
      </c>
      <c r="W660">
        <f>VLOOKUP(Table9[[#This Row],[Shortname]], Comp[], 20, FALSE)</f>
        <v>0</v>
      </c>
      <c r="X660">
        <f>VLOOKUP(Table9[[#This Row],[Shortname]], Comp[], 21, FALSE)</f>
        <v>0</v>
      </c>
      <c r="Y660">
        <f>VLOOKUP(Table9[[#This Row],[Shortname]], Comp[], 22, FALSE)</f>
        <v>0</v>
      </c>
      <c r="Z660">
        <f>VLOOKUP(Table9[[#This Row],[Shortname]], Comp[], 23, FALSE)</f>
        <v>0</v>
      </c>
      <c r="AA660">
        <f>VLOOKUP(Table9[[#This Row],[Shortname]], Comp[], 24, FALSE)</f>
        <v>0</v>
      </c>
      <c r="AB660">
        <f>VLOOKUP(Table9[[#This Row],[Shortname]], Comp[], 25, FALSE)</f>
        <v>0</v>
      </c>
      <c r="AC660">
        <f>VLOOKUP(Table9[[#This Row],[Shortname]], Comp[], 26, FALSE)</f>
        <v>0</v>
      </c>
      <c r="AD660">
        <f>VLOOKUP(Table9[[#This Row],[Shortname]], Comp[], 27, FALSE)</f>
        <v>0</v>
      </c>
      <c r="AE660">
        <f>VLOOKUP(Table9[[#This Row],[Shortname]], Comp[], 28, FALSE)</f>
        <v>0</v>
      </c>
      <c r="AF660">
        <f>VLOOKUP(Table9[[#This Row],[Shortname]], Comp[], 29, FALSE)</f>
        <v>0</v>
      </c>
      <c r="AG660">
        <f>VLOOKUP(Table9[[#This Row],[Shortname]], Comp[], 30, FALSE)</f>
        <v>0</v>
      </c>
      <c r="AH660">
        <f>VLOOKUP(Table9[[#This Row],[Shortname]], Comp[], 31, FALSE)</f>
        <v>0</v>
      </c>
    </row>
    <row r="661" spans="1:34" x14ac:dyDescent="0.3">
      <c r="A661" t="s">
        <v>2374</v>
      </c>
      <c r="B661" t="s">
        <v>2376</v>
      </c>
      <c r="C661" t="s">
        <v>2377</v>
      </c>
      <c r="D661">
        <v>731</v>
      </c>
      <c r="E661">
        <v>25</v>
      </c>
      <c r="F661">
        <v>1E-3</v>
      </c>
      <c r="G661">
        <v>1</v>
      </c>
      <c r="H661" t="s">
        <v>6875</v>
      </c>
      <c r="I661">
        <f>VLOOKUP(Table9[[#This Row],[Shortname]], Comp[], 6, FALSE)</f>
        <v>313</v>
      </c>
      <c r="J661" s="14">
        <f>VLOOKUP(Table9[[#This Row],[Shortname]], Comp[], 7, FALSE)</f>
        <v>71.3</v>
      </c>
      <c r="K661">
        <f>VLOOKUP(Table9[[#This Row],[Shortname]], Comp[], 8, FALSE)</f>
        <v>11.5</v>
      </c>
      <c r="L661">
        <f>VLOOKUP(Table9[[#This Row],[Shortname]], Comp[], 9, FALSE)</f>
        <v>9.9</v>
      </c>
      <c r="M661">
        <f>VLOOKUP(Table9[[#This Row],[Shortname]], Comp[], 10, FALSE)</f>
        <v>0</v>
      </c>
      <c r="N661">
        <f>VLOOKUP(Table9[[#This Row],[Shortname]], Comp[], 11, FALSE)</f>
        <v>0</v>
      </c>
      <c r="O661">
        <f>VLOOKUP(Table9[[#This Row],[Shortname]], Comp[],12, FALSE)</f>
        <v>0</v>
      </c>
      <c r="P661">
        <f>VLOOKUP(Table9[[#This Row],[Shortname]], Comp[], 13, FALSE)</f>
        <v>0</v>
      </c>
      <c r="Q661">
        <f>VLOOKUP(Table9[[#This Row],[Shortname]], Comp[], 14, FALSE)</f>
        <v>2.1</v>
      </c>
      <c r="R661">
        <f>VLOOKUP(Table9[[#This Row],[Shortname]], Comp[], 15, FALSE)</f>
        <v>0</v>
      </c>
      <c r="S661">
        <f>VLOOKUP(Table9[[#This Row],[Shortname]], Comp[], 16, FALSE)</f>
        <v>5.2</v>
      </c>
      <c r="T661">
        <f>VLOOKUP(Table9[[#This Row],[Shortname]], Comp[], 17, FALSE)</f>
        <v>0</v>
      </c>
      <c r="U661">
        <f>VLOOKUP(Table9[[#This Row],[Shortname]], Comp[], 18, FALSE)</f>
        <v>0</v>
      </c>
      <c r="V661">
        <f>VLOOKUP(Table9[[#This Row],[Shortname]], Comp[], 19, FALSE)</f>
        <v>0</v>
      </c>
      <c r="W661">
        <f>VLOOKUP(Table9[[#This Row],[Shortname]], Comp[], 20, FALSE)</f>
        <v>0</v>
      </c>
      <c r="X661">
        <f>VLOOKUP(Table9[[#This Row],[Shortname]], Comp[], 21, FALSE)</f>
        <v>0</v>
      </c>
      <c r="Y661">
        <f>VLOOKUP(Table9[[#This Row],[Shortname]], Comp[], 22, FALSE)</f>
        <v>0</v>
      </c>
      <c r="Z661">
        <f>VLOOKUP(Table9[[#This Row],[Shortname]], Comp[], 23, FALSE)</f>
        <v>0</v>
      </c>
      <c r="AA661">
        <f>VLOOKUP(Table9[[#This Row],[Shortname]], Comp[], 24, FALSE)</f>
        <v>0</v>
      </c>
      <c r="AB661">
        <f>VLOOKUP(Table9[[#This Row],[Shortname]], Comp[], 25, FALSE)</f>
        <v>0</v>
      </c>
      <c r="AC661">
        <f>VLOOKUP(Table9[[#This Row],[Shortname]], Comp[], 26, FALSE)</f>
        <v>0</v>
      </c>
      <c r="AD661">
        <f>VLOOKUP(Table9[[#This Row],[Shortname]], Comp[], 27, FALSE)</f>
        <v>0</v>
      </c>
      <c r="AE661">
        <f>VLOOKUP(Table9[[#This Row],[Shortname]], Comp[], 28, FALSE)</f>
        <v>0</v>
      </c>
      <c r="AF661">
        <f>VLOOKUP(Table9[[#This Row],[Shortname]], Comp[], 29, FALSE)</f>
        <v>0</v>
      </c>
      <c r="AG661">
        <f>VLOOKUP(Table9[[#This Row],[Shortname]], Comp[], 30, FALSE)</f>
        <v>0</v>
      </c>
      <c r="AH661">
        <f>VLOOKUP(Table9[[#This Row],[Shortname]], Comp[], 31, FALSE)</f>
        <v>0</v>
      </c>
    </row>
    <row r="662" spans="1:34" x14ac:dyDescent="0.3">
      <c r="A662" t="s">
        <v>2374</v>
      </c>
      <c r="B662" t="s">
        <v>2376</v>
      </c>
      <c r="C662" t="s">
        <v>2377</v>
      </c>
      <c r="D662">
        <v>637</v>
      </c>
      <c r="E662">
        <v>473</v>
      </c>
      <c r="F662">
        <v>1E-3</v>
      </c>
      <c r="G662">
        <v>1</v>
      </c>
      <c r="H662" t="s">
        <v>6875</v>
      </c>
      <c r="I662">
        <f>VLOOKUP(Table9[[#This Row],[Shortname]], Comp[], 6, FALSE)</f>
        <v>313</v>
      </c>
      <c r="J662" s="14">
        <f>VLOOKUP(Table9[[#This Row],[Shortname]], Comp[], 7, FALSE)</f>
        <v>71.3</v>
      </c>
      <c r="K662">
        <f>VLOOKUP(Table9[[#This Row],[Shortname]], Comp[], 8, FALSE)</f>
        <v>11.5</v>
      </c>
      <c r="L662">
        <f>VLOOKUP(Table9[[#This Row],[Shortname]], Comp[], 9, FALSE)</f>
        <v>9.9</v>
      </c>
      <c r="M662">
        <f>VLOOKUP(Table9[[#This Row],[Shortname]], Comp[], 10, FALSE)</f>
        <v>0</v>
      </c>
      <c r="N662">
        <f>VLOOKUP(Table9[[#This Row],[Shortname]], Comp[], 11, FALSE)</f>
        <v>0</v>
      </c>
      <c r="O662">
        <f>VLOOKUP(Table9[[#This Row],[Shortname]], Comp[],12, FALSE)</f>
        <v>0</v>
      </c>
      <c r="P662">
        <f>VLOOKUP(Table9[[#This Row],[Shortname]], Comp[], 13, FALSE)</f>
        <v>0</v>
      </c>
      <c r="Q662">
        <f>VLOOKUP(Table9[[#This Row],[Shortname]], Comp[], 14, FALSE)</f>
        <v>2.1</v>
      </c>
      <c r="R662">
        <f>VLOOKUP(Table9[[#This Row],[Shortname]], Comp[], 15, FALSE)</f>
        <v>0</v>
      </c>
      <c r="S662">
        <f>VLOOKUP(Table9[[#This Row],[Shortname]], Comp[], 16, FALSE)</f>
        <v>5.2</v>
      </c>
      <c r="T662">
        <f>VLOOKUP(Table9[[#This Row],[Shortname]], Comp[], 17, FALSE)</f>
        <v>0</v>
      </c>
      <c r="U662">
        <f>VLOOKUP(Table9[[#This Row],[Shortname]], Comp[], 18, FALSE)</f>
        <v>0</v>
      </c>
      <c r="V662">
        <f>VLOOKUP(Table9[[#This Row],[Shortname]], Comp[], 19, FALSE)</f>
        <v>0</v>
      </c>
      <c r="W662">
        <f>VLOOKUP(Table9[[#This Row],[Shortname]], Comp[], 20, FALSE)</f>
        <v>0</v>
      </c>
      <c r="X662">
        <f>VLOOKUP(Table9[[#This Row],[Shortname]], Comp[], 21, FALSE)</f>
        <v>0</v>
      </c>
      <c r="Y662">
        <f>VLOOKUP(Table9[[#This Row],[Shortname]], Comp[], 22, FALSE)</f>
        <v>0</v>
      </c>
      <c r="Z662">
        <f>VLOOKUP(Table9[[#This Row],[Shortname]], Comp[], 23, FALSE)</f>
        <v>0</v>
      </c>
      <c r="AA662">
        <f>VLOOKUP(Table9[[#This Row],[Shortname]], Comp[], 24, FALSE)</f>
        <v>0</v>
      </c>
      <c r="AB662">
        <f>VLOOKUP(Table9[[#This Row],[Shortname]], Comp[], 25, FALSE)</f>
        <v>0</v>
      </c>
      <c r="AC662">
        <f>VLOOKUP(Table9[[#This Row],[Shortname]], Comp[], 26, FALSE)</f>
        <v>0</v>
      </c>
      <c r="AD662">
        <f>VLOOKUP(Table9[[#This Row],[Shortname]], Comp[], 27, FALSE)</f>
        <v>0</v>
      </c>
      <c r="AE662">
        <f>VLOOKUP(Table9[[#This Row],[Shortname]], Comp[], 28, FALSE)</f>
        <v>0</v>
      </c>
      <c r="AF662">
        <f>VLOOKUP(Table9[[#This Row],[Shortname]], Comp[], 29, FALSE)</f>
        <v>0</v>
      </c>
      <c r="AG662">
        <f>VLOOKUP(Table9[[#This Row],[Shortname]], Comp[], 30, FALSE)</f>
        <v>0</v>
      </c>
      <c r="AH662">
        <f>VLOOKUP(Table9[[#This Row],[Shortname]], Comp[], 31, FALSE)</f>
        <v>0</v>
      </c>
    </row>
    <row r="663" spans="1:34" x14ac:dyDescent="0.3">
      <c r="A663" t="s">
        <v>2374</v>
      </c>
      <c r="B663" t="s">
        <v>2376</v>
      </c>
      <c r="C663" t="s">
        <v>2377</v>
      </c>
      <c r="D663">
        <v>622</v>
      </c>
      <c r="E663">
        <v>673</v>
      </c>
      <c r="F663">
        <v>1E-3</v>
      </c>
      <c r="G663">
        <v>1</v>
      </c>
      <c r="H663" t="s">
        <v>6875</v>
      </c>
      <c r="I663">
        <f>VLOOKUP(Table9[[#This Row],[Shortname]], Comp[], 6, FALSE)</f>
        <v>313</v>
      </c>
      <c r="J663" s="14">
        <f>VLOOKUP(Table9[[#This Row],[Shortname]], Comp[], 7, FALSE)</f>
        <v>71.3</v>
      </c>
      <c r="K663">
        <f>VLOOKUP(Table9[[#This Row],[Shortname]], Comp[], 8, FALSE)</f>
        <v>11.5</v>
      </c>
      <c r="L663">
        <f>VLOOKUP(Table9[[#This Row],[Shortname]], Comp[], 9, FALSE)</f>
        <v>9.9</v>
      </c>
      <c r="M663">
        <f>VLOOKUP(Table9[[#This Row],[Shortname]], Comp[], 10, FALSE)</f>
        <v>0</v>
      </c>
      <c r="N663">
        <f>VLOOKUP(Table9[[#This Row],[Shortname]], Comp[], 11, FALSE)</f>
        <v>0</v>
      </c>
      <c r="O663">
        <f>VLOOKUP(Table9[[#This Row],[Shortname]], Comp[],12, FALSE)</f>
        <v>0</v>
      </c>
      <c r="P663">
        <f>VLOOKUP(Table9[[#This Row],[Shortname]], Comp[], 13, FALSE)</f>
        <v>0</v>
      </c>
      <c r="Q663">
        <f>VLOOKUP(Table9[[#This Row],[Shortname]], Comp[], 14, FALSE)</f>
        <v>2.1</v>
      </c>
      <c r="R663">
        <f>VLOOKUP(Table9[[#This Row],[Shortname]], Comp[], 15, FALSE)</f>
        <v>0</v>
      </c>
      <c r="S663">
        <f>VLOOKUP(Table9[[#This Row],[Shortname]], Comp[], 16, FALSE)</f>
        <v>5.2</v>
      </c>
      <c r="T663">
        <f>VLOOKUP(Table9[[#This Row],[Shortname]], Comp[], 17, FALSE)</f>
        <v>0</v>
      </c>
      <c r="U663">
        <f>VLOOKUP(Table9[[#This Row],[Shortname]], Comp[], 18, FALSE)</f>
        <v>0</v>
      </c>
      <c r="V663">
        <f>VLOOKUP(Table9[[#This Row],[Shortname]], Comp[], 19, FALSE)</f>
        <v>0</v>
      </c>
      <c r="W663">
        <f>VLOOKUP(Table9[[#This Row],[Shortname]], Comp[], 20, FALSE)</f>
        <v>0</v>
      </c>
      <c r="X663">
        <f>VLOOKUP(Table9[[#This Row],[Shortname]], Comp[], 21, FALSE)</f>
        <v>0</v>
      </c>
      <c r="Y663">
        <f>VLOOKUP(Table9[[#This Row],[Shortname]], Comp[], 22, FALSE)</f>
        <v>0</v>
      </c>
      <c r="Z663">
        <f>VLOOKUP(Table9[[#This Row],[Shortname]], Comp[], 23, FALSE)</f>
        <v>0</v>
      </c>
      <c r="AA663">
        <f>VLOOKUP(Table9[[#This Row],[Shortname]], Comp[], 24, FALSE)</f>
        <v>0</v>
      </c>
      <c r="AB663">
        <f>VLOOKUP(Table9[[#This Row],[Shortname]], Comp[], 25, FALSE)</f>
        <v>0</v>
      </c>
      <c r="AC663">
        <f>VLOOKUP(Table9[[#This Row],[Shortname]], Comp[], 26, FALSE)</f>
        <v>0</v>
      </c>
      <c r="AD663">
        <f>VLOOKUP(Table9[[#This Row],[Shortname]], Comp[], 27, FALSE)</f>
        <v>0</v>
      </c>
      <c r="AE663">
        <f>VLOOKUP(Table9[[#This Row],[Shortname]], Comp[], 28, FALSE)</f>
        <v>0</v>
      </c>
      <c r="AF663">
        <f>VLOOKUP(Table9[[#This Row],[Shortname]], Comp[], 29, FALSE)</f>
        <v>0</v>
      </c>
      <c r="AG663">
        <f>VLOOKUP(Table9[[#This Row],[Shortname]], Comp[], 30, FALSE)</f>
        <v>0</v>
      </c>
      <c r="AH663">
        <f>VLOOKUP(Table9[[#This Row],[Shortname]], Comp[], 31, FALSE)</f>
        <v>0</v>
      </c>
    </row>
    <row r="664" spans="1:34" x14ac:dyDescent="0.3">
      <c r="A664" t="s">
        <v>2374</v>
      </c>
      <c r="B664" t="s">
        <v>2376</v>
      </c>
      <c r="C664" t="s">
        <v>2377</v>
      </c>
      <c r="D664">
        <v>611</v>
      </c>
      <c r="E664">
        <v>573</v>
      </c>
      <c r="F664">
        <v>1E-3</v>
      </c>
      <c r="G664">
        <v>1</v>
      </c>
      <c r="H664" t="s">
        <v>6875</v>
      </c>
      <c r="I664">
        <f>VLOOKUP(Table9[[#This Row],[Shortname]], Comp[], 6, FALSE)</f>
        <v>313</v>
      </c>
      <c r="J664" s="14">
        <f>VLOOKUP(Table9[[#This Row],[Shortname]], Comp[], 7, FALSE)</f>
        <v>71.3</v>
      </c>
      <c r="K664">
        <f>VLOOKUP(Table9[[#This Row],[Shortname]], Comp[], 8, FALSE)</f>
        <v>11.5</v>
      </c>
      <c r="L664">
        <f>VLOOKUP(Table9[[#This Row],[Shortname]], Comp[], 9, FALSE)</f>
        <v>9.9</v>
      </c>
      <c r="M664">
        <f>VLOOKUP(Table9[[#This Row],[Shortname]], Comp[], 10, FALSE)</f>
        <v>0</v>
      </c>
      <c r="N664">
        <f>VLOOKUP(Table9[[#This Row],[Shortname]], Comp[], 11, FALSE)</f>
        <v>0</v>
      </c>
      <c r="O664">
        <f>VLOOKUP(Table9[[#This Row],[Shortname]], Comp[],12, FALSE)</f>
        <v>0</v>
      </c>
      <c r="P664">
        <f>VLOOKUP(Table9[[#This Row],[Shortname]], Comp[], 13, FALSE)</f>
        <v>0</v>
      </c>
      <c r="Q664">
        <f>VLOOKUP(Table9[[#This Row],[Shortname]], Comp[], 14, FALSE)</f>
        <v>2.1</v>
      </c>
      <c r="R664">
        <f>VLOOKUP(Table9[[#This Row],[Shortname]], Comp[], 15, FALSE)</f>
        <v>0</v>
      </c>
      <c r="S664">
        <f>VLOOKUP(Table9[[#This Row],[Shortname]], Comp[], 16, FALSE)</f>
        <v>5.2</v>
      </c>
      <c r="T664">
        <f>VLOOKUP(Table9[[#This Row],[Shortname]], Comp[], 17, FALSE)</f>
        <v>0</v>
      </c>
      <c r="U664">
        <f>VLOOKUP(Table9[[#This Row],[Shortname]], Comp[], 18, FALSE)</f>
        <v>0</v>
      </c>
      <c r="V664">
        <f>VLOOKUP(Table9[[#This Row],[Shortname]], Comp[], 19, FALSE)</f>
        <v>0</v>
      </c>
      <c r="W664">
        <f>VLOOKUP(Table9[[#This Row],[Shortname]], Comp[], 20, FALSE)</f>
        <v>0</v>
      </c>
      <c r="X664">
        <f>VLOOKUP(Table9[[#This Row],[Shortname]], Comp[], 21, FALSE)</f>
        <v>0</v>
      </c>
      <c r="Y664">
        <f>VLOOKUP(Table9[[#This Row],[Shortname]], Comp[], 22, FALSE)</f>
        <v>0</v>
      </c>
      <c r="Z664">
        <f>VLOOKUP(Table9[[#This Row],[Shortname]], Comp[], 23, FALSE)</f>
        <v>0</v>
      </c>
      <c r="AA664">
        <f>VLOOKUP(Table9[[#This Row],[Shortname]], Comp[], 24, FALSE)</f>
        <v>0</v>
      </c>
      <c r="AB664">
        <f>VLOOKUP(Table9[[#This Row],[Shortname]], Comp[], 25, FALSE)</f>
        <v>0</v>
      </c>
      <c r="AC664">
        <f>VLOOKUP(Table9[[#This Row],[Shortname]], Comp[], 26, FALSE)</f>
        <v>0</v>
      </c>
      <c r="AD664">
        <f>VLOOKUP(Table9[[#This Row],[Shortname]], Comp[], 27, FALSE)</f>
        <v>0</v>
      </c>
      <c r="AE664">
        <f>VLOOKUP(Table9[[#This Row],[Shortname]], Comp[], 28, FALSE)</f>
        <v>0</v>
      </c>
      <c r="AF664">
        <f>VLOOKUP(Table9[[#This Row],[Shortname]], Comp[], 29, FALSE)</f>
        <v>0</v>
      </c>
      <c r="AG664">
        <f>VLOOKUP(Table9[[#This Row],[Shortname]], Comp[], 30, FALSE)</f>
        <v>0</v>
      </c>
      <c r="AH664">
        <f>VLOOKUP(Table9[[#This Row],[Shortname]], Comp[], 31, FALSE)</f>
        <v>0</v>
      </c>
    </row>
    <row r="665" spans="1:34" x14ac:dyDescent="0.3">
      <c r="A665" t="s">
        <v>2374</v>
      </c>
      <c r="B665" t="s">
        <v>2376</v>
      </c>
      <c r="C665" t="s">
        <v>2377</v>
      </c>
      <c r="D665">
        <v>533</v>
      </c>
      <c r="E665">
        <v>773</v>
      </c>
      <c r="F665">
        <v>1E-3</v>
      </c>
      <c r="G665">
        <v>1</v>
      </c>
      <c r="H665" t="s">
        <v>6875</v>
      </c>
      <c r="I665">
        <f>VLOOKUP(Table9[[#This Row],[Shortname]], Comp[], 6, FALSE)</f>
        <v>313</v>
      </c>
      <c r="J665" s="14">
        <f>VLOOKUP(Table9[[#This Row],[Shortname]], Comp[], 7, FALSE)</f>
        <v>71.3</v>
      </c>
      <c r="K665">
        <f>VLOOKUP(Table9[[#This Row],[Shortname]], Comp[], 8, FALSE)</f>
        <v>11.5</v>
      </c>
      <c r="L665">
        <f>VLOOKUP(Table9[[#This Row],[Shortname]], Comp[], 9, FALSE)</f>
        <v>9.9</v>
      </c>
      <c r="M665">
        <f>VLOOKUP(Table9[[#This Row],[Shortname]], Comp[], 10, FALSE)</f>
        <v>0</v>
      </c>
      <c r="N665">
        <f>VLOOKUP(Table9[[#This Row],[Shortname]], Comp[], 11, FALSE)</f>
        <v>0</v>
      </c>
      <c r="O665">
        <f>VLOOKUP(Table9[[#This Row],[Shortname]], Comp[],12, FALSE)</f>
        <v>0</v>
      </c>
      <c r="P665">
        <f>VLOOKUP(Table9[[#This Row],[Shortname]], Comp[], 13, FALSE)</f>
        <v>0</v>
      </c>
      <c r="Q665">
        <f>VLOOKUP(Table9[[#This Row],[Shortname]], Comp[], 14, FALSE)</f>
        <v>2.1</v>
      </c>
      <c r="R665">
        <f>VLOOKUP(Table9[[#This Row],[Shortname]], Comp[], 15, FALSE)</f>
        <v>0</v>
      </c>
      <c r="S665">
        <f>VLOOKUP(Table9[[#This Row],[Shortname]], Comp[], 16, FALSE)</f>
        <v>5.2</v>
      </c>
      <c r="T665">
        <f>VLOOKUP(Table9[[#This Row],[Shortname]], Comp[], 17, FALSE)</f>
        <v>0</v>
      </c>
      <c r="U665">
        <f>VLOOKUP(Table9[[#This Row],[Shortname]], Comp[], 18, FALSE)</f>
        <v>0</v>
      </c>
      <c r="V665">
        <f>VLOOKUP(Table9[[#This Row],[Shortname]], Comp[], 19, FALSE)</f>
        <v>0</v>
      </c>
      <c r="W665">
        <f>VLOOKUP(Table9[[#This Row],[Shortname]], Comp[], 20, FALSE)</f>
        <v>0</v>
      </c>
      <c r="X665">
        <f>VLOOKUP(Table9[[#This Row],[Shortname]], Comp[], 21, FALSE)</f>
        <v>0</v>
      </c>
      <c r="Y665">
        <f>VLOOKUP(Table9[[#This Row],[Shortname]], Comp[], 22, FALSE)</f>
        <v>0</v>
      </c>
      <c r="Z665">
        <f>VLOOKUP(Table9[[#This Row],[Shortname]], Comp[], 23, FALSE)</f>
        <v>0</v>
      </c>
      <c r="AA665">
        <f>VLOOKUP(Table9[[#This Row],[Shortname]], Comp[], 24, FALSE)</f>
        <v>0</v>
      </c>
      <c r="AB665">
        <f>VLOOKUP(Table9[[#This Row],[Shortname]], Comp[], 25, FALSE)</f>
        <v>0</v>
      </c>
      <c r="AC665">
        <f>VLOOKUP(Table9[[#This Row],[Shortname]], Comp[], 26, FALSE)</f>
        <v>0</v>
      </c>
      <c r="AD665">
        <f>VLOOKUP(Table9[[#This Row],[Shortname]], Comp[], 27, FALSE)</f>
        <v>0</v>
      </c>
      <c r="AE665">
        <f>VLOOKUP(Table9[[#This Row],[Shortname]], Comp[], 28, FALSE)</f>
        <v>0</v>
      </c>
      <c r="AF665">
        <f>VLOOKUP(Table9[[#This Row],[Shortname]], Comp[], 29, FALSE)</f>
        <v>0</v>
      </c>
      <c r="AG665">
        <f>VLOOKUP(Table9[[#This Row],[Shortname]], Comp[], 30, FALSE)</f>
        <v>0</v>
      </c>
      <c r="AH665">
        <f>VLOOKUP(Table9[[#This Row],[Shortname]], Comp[], 31, FALSE)</f>
        <v>0</v>
      </c>
    </row>
    <row r="666" spans="1:34" x14ac:dyDescent="0.3">
      <c r="A666" t="s">
        <v>2374</v>
      </c>
      <c r="B666" t="s">
        <v>2376</v>
      </c>
      <c r="C666" t="s">
        <v>2377</v>
      </c>
      <c r="D666">
        <v>510</v>
      </c>
      <c r="E666">
        <v>873</v>
      </c>
      <c r="F666">
        <v>1E-3</v>
      </c>
      <c r="G666">
        <v>1</v>
      </c>
      <c r="H666" t="s">
        <v>6875</v>
      </c>
      <c r="I666">
        <f>VLOOKUP(Table9[[#This Row],[Shortname]], Comp[], 6, FALSE)</f>
        <v>313</v>
      </c>
      <c r="J666" s="14">
        <f>VLOOKUP(Table9[[#This Row],[Shortname]], Comp[], 7, FALSE)</f>
        <v>71.3</v>
      </c>
      <c r="K666">
        <f>VLOOKUP(Table9[[#This Row],[Shortname]], Comp[], 8, FALSE)</f>
        <v>11.5</v>
      </c>
      <c r="L666">
        <f>VLOOKUP(Table9[[#This Row],[Shortname]], Comp[], 9, FALSE)</f>
        <v>9.9</v>
      </c>
      <c r="M666">
        <f>VLOOKUP(Table9[[#This Row],[Shortname]], Comp[], 10, FALSE)</f>
        <v>0</v>
      </c>
      <c r="N666">
        <f>VLOOKUP(Table9[[#This Row],[Shortname]], Comp[], 11, FALSE)</f>
        <v>0</v>
      </c>
      <c r="O666">
        <f>VLOOKUP(Table9[[#This Row],[Shortname]], Comp[],12, FALSE)</f>
        <v>0</v>
      </c>
      <c r="P666">
        <f>VLOOKUP(Table9[[#This Row],[Shortname]], Comp[], 13, FALSE)</f>
        <v>0</v>
      </c>
      <c r="Q666">
        <f>VLOOKUP(Table9[[#This Row],[Shortname]], Comp[], 14, FALSE)</f>
        <v>2.1</v>
      </c>
      <c r="R666">
        <f>VLOOKUP(Table9[[#This Row],[Shortname]], Comp[], 15, FALSE)</f>
        <v>0</v>
      </c>
      <c r="S666">
        <f>VLOOKUP(Table9[[#This Row],[Shortname]], Comp[], 16, FALSE)</f>
        <v>5.2</v>
      </c>
      <c r="T666">
        <f>VLOOKUP(Table9[[#This Row],[Shortname]], Comp[], 17, FALSE)</f>
        <v>0</v>
      </c>
      <c r="U666">
        <f>VLOOKUP(Table9[[#This Row],[Shortname]], Comp[], 18, FALSE)</f>
        <v>0</v>
      </c>
      <c r="V666">
        <f>VLOOKUP(Table9[[#This Row],[Shortname]], Comp[], 19, FALSE)</f>
        <v>0</v>
      </c>
      <c r="W666">
        <f>VLOOKUP(Table9[[#This Row],[Shortname]], Comp[], 20, FALSE)</f>
        <v>0</v>
      </c>
      <c r="X666">
        <f>VLOOKUP(Table9[[#This Row],[Shortname]], Comp[], 21, FALSE)</f>
        <v>0</v>
      </c>
      <c r="Y666">
        <f>VLOOKUP(Table9[[#This Row],[Shortname]], Comp[], 22, FALSE)</f>
        <v>0</v>
      </c>
      <c r="Z666">
        <f>VLOOKUP(Table9[[#This Row],[Shortname]], Comp[], 23, FALSE)</f>
        <v>0</v>
      </c>
      <c r="AA666">
        <f>VLOOKUP(Table9[[#This Row],[Shortname]], Comp[], 24, FALSE)</f>
        <v>0</v>
      </c>
      <c r="AB666">
        <f>VLOOKUP(Table9[[#This Row],[Shortname]], Comp[], 25, FALSE)</f>
        <v>0</v>
      </c>
      <c r="AC666">
        <f>VLOOKUP(Table9[[#This Row],[Shortname]], Comp[], 26, FALSE)</f>
        <v>0</v>
      </c>
      <c r="AD666">
        <f>VLOOKUP(Table9[[#This Row],[Shortname]], Comp[], 27, FALSE)</f>
        <v>0</v>
      </c>
      <c r="AE666">
        <f>VLOOKUP(Table9[[#This Row],[Shortname]], Comp[], 28, FALSE)</f>
        <v>0</v>
      </c>
      <c r="AF666">
        <f>VLOOKUP(Table9[[#This Row],[Shortname]], Comp[], 29, FALSE)</f>
        <v>0</v>
      </c>
      <c r="AG666">
        <f>VLOOKUP(Table9[[#This Row],[Shortname]], Comp[], 30, FALSE)</f>
        <v>0</v>
      </c>
      <c r="AH666">
        <f>VLOOKUP(Table9[[#This Row],[Shortname]], Comp[], 31, FALSE)</f>
        <v>0</v>
      </c>
    </row>
    <row r="667" spans="1:34" x14ac:dyDescent="0.3">
      <c r="A667" t="s">
        <v>2383</v>
      </c>
      <c r="B667" t="s">
        <v>2385</v>
      </c>
      <c r="C667" t="s">
        <v>2377</v>
      </c>
      <c r="D667">
        <v>760</v>
      </c>
      <c r="E667">
        <v>25</v>
      </c>
      <c r="F667">
        <v>1E-3</v>
      </c>
      <c r="G667">
        <v>1</v>
      </c>
      <c r="H667" t="s">
        <v>6875</v>
      </c>
      <c r="I667">
        <f>VLOOKUP(Table9[[#This Row],[Shortname]], Comp[], 6, FALSE)</f>
        <v>314</v>
      </c>
      <c r="J667" s="14">
        <f>VLOOKUP(Table9[[#This Row],[Shortname]], Comp[], 7, FALSE)</f>
        <v>61</v>
      </c>
      <c r="K667">
        <f>VLOOKUP(Table9[[#This Row],[Shortname]], Comp[], 8, FALSE)</f>
        <v>22</v>
      </c>
      <c r="L667">
        <f>VLOOKUP(Table9[[#This Row],[Shortname]], Comp[], 9, FALSE)</f>
        <v>9.8000000000000007</v>
      </c>
      <c r="M667">
        <f>VLOOKUP(Table9[[#This Row],[Shortname]], Comp[], 10, FALSE)</f>
        <v>0</v>
      </c>
      <c r="N667">
        <f>VLOOKUP(Table9[[#This Row],[Shortname]], Comp[], 11, FALSE)</f>
        <v>0</v>
      </c>
      <c r="O667">
        <f>VLOOKUP(Table9[[#This Row],[Shortname]], Comp[],12, FALSE)</f>
        <v>0</v>
      </c>
      <c r="P667">
        <f>VLOOKUP(Table9[[#This Row],[Shortname]], Comp[], 13, FALSE)</f>
        <v>0</v>
      </c>
      <c r="Q667">
        <f>VLOOKUP(Table9[[#This Row],[Shortname]], Comp[], 14, FALSE)</f>
        <v>2.1</v>
      </c>
      <c r="R667">
        <f>VLOOKUP(Table9[[#This Row],[Shortname]], Comp[], 15, FALSE)</f>
        <v>0</v>
      </c>
      <c r="S667">
        <f>VLOOKUP(Table9[[#This Row],[Shortname]], Comp[], 16, FALSE)</f>
        <v>5.0999999999999996</v>
      </c>
      <c r="T667">
        <f>VLOOKUP(Table9[[#This Row],[Shortname]], Comp[], 17, FALSE)</f>
        <v>0</v>
      </c>
      <c r="U667">
        <f>VLOOKUP(Table9[[#This Row],[Shortname]], Comp[], 18, FALSE)</f>
        <v>0</v>
      </c>
      <c r="V667">
        <f>VLOOKUP(Table9[[#This Row],[Shortname]], Comp[], 19, FALSE)</f>
        <v>0</v>
      </c>
      <c r="W667">
        <f>VLOOKUP(Table9[[#This Row],[Shortname]], Comp[], 20, FALSE)</f>
        <v>0</v>
      </c>
      <c r="X667">
        <f>VLOOKUP(Table9[[#This Row],[Shortname]], Comp[], 21, FALSE)</f>
        <v>0</v>
      </c>
      <c r="Y667">
        <f>VLOOKUP(Table9[[#This Row],[Shortname]], Comp[], 22, FALSE)</f>
        <v>0</v>
      </c>
      <c r="Z667">
        <f>VLOOKUP(Table9[[#This Row],[Shortname]], Comp[], 23, FALSE)</f>
        <v>0</v>
      </c>
      <c r="AA667">
        <f>VLOOKUP(Table9[[#This Row],[Shortname]], Comp[], 24, FALSE)</f>
        <v>0</v>
      </c>
      <c r="AB667">
        <f>VLOOKUP(Table9[[#This Row],[Shortname]], Comp[], 25, FALSE)</f>
        <v>0</v>
      </c>
      <c r="AC667">
        <f>VLOOKUP(Table9[[#This Row],[Shortname]], Comp[], 26, FALSE)</f>
        <v>0</v>
      </c>
      <c r="AD667">
        <f>VLOOKUP(Table9[[#This Row],[Shortname]], Comp[], 27, FALSE)</f>
        <v>0</v>
      </c>
      <c r="AE667">
        <f>VLOOKUP(Table9[[#This Row],[Shortname]], Comp[], 28, FALSE)</f>
        <v>0</v>
      </c>
      <c r="AF667">
        <f>VLOOKUP(Table9[[#This Row],[Shortname]], Comp[], 29, FALSE)</f>
        <v>0</v>
      </c>
      <c r="AG667">
        <f>VLOOKUP(Table9[[#This Row],[Shortname]], Comp[], 30, FALSE)</f>
        <v>0</v>
      </c>
      <c r="AH667">
        <f>VLOOKUP(Table9[[#This Row],[Shortname]], Comp[], 31, FALSE)</f>
        <v>0</v>
      </c>
    </row>
    <row r="668" spans="1:34" x14ac:dyDescent="0.3">
      <c r="A668" t="s">
        <v>2383</v>
      </c>
      <c r="B668" t="s">
        <v>2385</v>
      </c>
      <c r="C668" t="s">
        <v>2377</v>
      </c>
      <c r="D668">
        <v>648</v>
      </c>
      <c r="E668">
        <v>473</v>
      </c>
      <c r="F668">
        <v>1E-3</v>
      </c>
      <c r="G668">
        <v>1</v>
      </c>
      <c r="H668" t="s">
        <v>6875</v>
      </c>
      <c r="I668">
        <f>VLOOKUP(Table9[[#This Row],[Shortname]], Comp[], 6, FALSE)</f>
        <v>314</v>
      </c>
      <c r="J668" s="14">
        <f>VLOOKUP(Table9[[#This Row],[Shortname]], Comp[], 7, FALSE)</f>
        <v>61</v>
      </c>
      <c r="K668">
        <f>VLOOKUP(Table9[[#This Row],[Shortname]], Comp[], 8, FALSE)</f>
        <v>22</v>
      </c>
      <c r="L668">
        <f>VLOOKUP(Table9[[#This Row],[Shortname]], Comp[], 9, FALSE)</f>
        <v>9.8000000000000007</v>
      </c>
      <c r="M668">
        <f>VLOOKUP(Table9[[#This Row],[Shortname]], Comp[], 10, FALSE)</f>
        <v>0</v>
      </c>
      <c r="N668">
        <f>VLOOKUP(Table9[[#This Row],[Shortname]], Comp[], 11, FALSE)</f>
        <v>0</v>
      </c>
      <c r="O668">
        <f>VLOOKUP(Table9[[#This Row],[Shortname]], Comp[],12, FALSE)</f>
        <v>0</v>
      </c>
      <c r="P668">
        <f>VLOOKUP(Table9[[#This Row],[Shortname]], Comp[], 13, FALSE)</f>
        <v>0</v>
      </c>
      <c r="Q668">
        <f>VLOOKUP(Table9[[#This Row],[Shortname]], Comp[], 14, FALSE)</f>
        <v>2.1</v>
      </c>
      <c r="R668">
        <f>VLOOKUP(Table9[[#This Row],[Shortname]], Comp[], 15, FALSE)</f>
        <v>0</v>
      </c>
      <c r="S668">
        <f>VLOOKUP(Table9[[#This Row],[Shortname]], Comp[], 16, FALSE)</f>
        <v>5.0999999999999996</v>
      </c>
      <c r="T668">
        <f>VLOOKUP(Table9[[#This Row],[Shortname]], Comp[], 17, FALSE)</f>
        <v>0</v>
      </c>
      <c r="U668">
        <f>VLOOKUP(Table9[[#This Row],[Shortname]], Comp[], 18, FALSE)</f>
        <v>0</v>
      </c>
      <c r="V668">
        <f>VLOOKUP(Table9[[#This Row],[Shortname]], Comp[], 19, FALSE)</f>
        <v>0</v>
      </c>
      <c r="W668">
        <f>VLOOKUP(Table9[[#This Row],[Shortname]], Comp[], 20, FALSE)</f>
        <v>0</v>
      </c>
      <c r="X668">
        <f>VLOOKUP(Table9[[#This Row],[Shortname]], Comp[], 21, FALSE)</f>
        <v>0</v>
      </c>
      <c r="Y668">
        <f>VLOOKUP(Table9[[#This Row],[Shortname]], Comp[], 22, FALSE)</f>
        <v>0</v>
      </c>
      <c r="Z668">
        <f>VLOOKUP(Table9[[#This Row],[Shortname]], Comp[], 23, FALSE)</f>
        <v>0</v>
      </c>
      <c r="AA668">
        <f>VLOOKUP(Table9[[#This Row],[Shortname]], Comp[], 24, FALSE)</f>
        <v>0</v>
      </c>
      <c r="AB668">
        <f>VLOOKUP(Table9[[#This Row],[Shortname]], Comp[], 25, FALSE)</f>
        <v>0</v>
      </c>
      <c r="AC668">
        <f>VLOOKUP(Table9[[#This Row],[Shortname]], Comp[], 26, FALSE)</f>
        <v>0</v>
      </c>
      <c r="AD668">
        <f>VLOOKUP(Table9[[#This Row],[Shortname]], Comp[], 27, FALSE)</f>
        <v>0</v>
      </c>
      <c r="AE668">
        <f>VLOOKUP(Table9[[#This Row],[Shortname]], Comp[], 28, FALSE)</f>
        <v>0</v>
      </c>
      <c r="AF668">
        <f>VLOOKUP(Table9[[#This Row],[Shortname]], Comp[], 29, FALSE)</f>
        <v>0</v>
      </c>
      <c r="AG668">
        <f>VLOOKUP(Table9[[#This Row],[Shortname]], Comp[], 30, FALSE)</f>
        <v>0</v>
      </c>
      <c r="AH668">
        <f>VLOOKUP(Table9[[#This Row],[Shortname]], Comp[], 31, FALSE)</f>
        <v>0</v>
      </c>
    </row>
    <row r="669" spans="1:34" x14ac:dyDescent="0.3">
      <c r="A669" t="s">
        <v>2383</v>
      </c>
      <c r="B669" t="s">
        <v>2385</v>
      </c>
      <c r="C669" t="s">
        <v>2377</v>
      </c>
      <c r="D669">
        <v>642</v>
      </c>
      <c r="E669">
        <v>673</v>
      </c>
      <c r="F669">
        <v>1E-3</v>
      </c>
      <c r="G669">
        <v>1</v>
      </c>
      <c r="H669" t="s">
        <v>6875</v>
      </c>
      <c r="I669">
        <f>VLOOKUP(Table9[[#This Row],[Shortname]], Comp[], 6, FALSE)</f>
        <v>314</v>
      </c>
      <c r="J669" s="14">
        <f>VLOOKUP(Table9[[#This Row],[Shortname]], Comp[], 7, FALSE)</f>
        <v>61</v>
      </c>
      <c r="K669">
        <f>VLOOKUP(Table9[[#This Row],[Shortname]], Comp[], 8, FALSE)</f>
        <v>22</v>
      </c>
      <c r="L669">
        <f>VLOOKUP(Table9[[#This Row],[Shortname]], Comp[], 9, FALSE)</f>
        <v>9.8000000000000007</v>
      </c>
      <c r="M669">
        <f>VLOOKUP(Table9[[#This Row],[Shortname]], Comp[], 10, FALSE)</f>
        <v>0</v>
      </c>
      <c r="N669">
        <f>VLOOKUP(Table9[[#This Row],[Shortname]], Comp[], 11, FALSE)</f>
        <v>0</v>
      </c>
      <c r="O669">
        <f>VLOOKUP(Table9[[#This Row],[Shortname]], Comp[],12, FALSE)</f>
        <v>0</v>
      </c>
      <c r="P669">
        <f>VLOOKUP(Table9[[#This Row],[Shortname]], Comp[], 13, FALSE)</f>
        <v>0</v>
      </c>
      <c r="Q669">
        <f>VLOOKUP(Table9[[#This Row],[Shortname]], Comp[], 14, FALSE)</f>
        <v>2.1</v>
      </c>
      <c r="R669">
        <f>VLOOKUP(Table9[[#This Row],[Shortname]], Comp[], 15, FALSE)</f>
        <v>0</v>
      </c>
      <c r="S669">
        <f>VLOOKUP(Table9[[#This Row],[Shortname]], Comp[], 16, FALSE)</f>
        <v>5.0999999999999996</v>
      </c>
      <c r="T669">
        <f>VLOOKUP(Table9[[#This Row],[Shortname]], Comp[], 17, FALSE)</f>
        <v>0</v>
      </c>
      <c r="U669">
        <f>VLOOKUP(Table9[[#This Row],[Shortname]], Comp[], 18, FALSE)</f>
        <v>0</v>
      </c>
      <c r="V669">
        <f>VLOOKUP(Table9[[#This Row],[Shortname]], Comp[], 19, FALSE)</f>
        <v>0</v>
      </c>
      <c r="W669">
        <f>VLOOKUP(Table9[[#This Row],[Shortname]], Comp[], 20, FALSE)</f>
        <v>0</v>
      </c>
      <c r="X669">
        <f>VLOOKUP(Table9[[#This Row],[Shortname]], Comp[], 21, FALSE)</f>
        <v>0</v>
      </c>
      <c r="Y669">
        <f>VLOOKUP(Table9[[#This Row],[Shortname]], Comp[], 22, FALSE)</f>
        <v>0</v>
      </c>
      <c r="Z669">
        <f>VLOOKUP(Table9[[#This Row],[Shortname]], Comp[], 23, FALSE)</f>
        <v>0</v>
      </c>
      <c r="AA669">
        <f>VLOOKUP(Table9[[#This Row],[Shortname]], Comp[], 24, FALSE)</f>
        <v>0</v>
      </c>
      <c r="AB669">
        <f>VLOOKUP(Table9[[#This Row],[Shortname]], Comp[], 25, FALSE)</f>
        <v>0</v>
      </c>
      <c r="AC669">
        <f>VLOOKUP(Table9[[#This Row],[Shortname]], Comp[], 26, FALSE)</f>
        <v>0</v>
      </c>
      <c r="AD669">
        <f>VLOOKUP(Table9[[#This Row],[Shortname]], Comp[], 27, FALSE)</f>
        <v>0</v>
      </c>
      <c r="AE669">
        <f>VLOOKUP(Table9[[#This Row],[Shortname]], Comp[], 28, FALSE)</f>
        <v>0</v>
      </c>
      <c r="AF669">
        <f>VLOOKUP(Table9[[#This Row],[Shortname]], Comp[], 29, FALSE)</f>
        <v>0</v>
      </c>
      <c r="AG669">
        <f>VLOOKUP(Table9[[#This Row],[Shortname]], Comp[], 30, FALSE)</f>
        <v>0</v>
      </c>
      <c r="AH669">
        <f>VLOOKUP(Table9[[#This Row],[Shortname]], Comp[], 31, FALSE)</f>
        <v>0</v>
      </c>
    </row>
    <row r="670" spans="1:34" x14ac:dyDescent="0.3">
      <c r="A670" t="s">
        <v>2383</v>
      </c>
      <c r="B670" t="s">
        <v>2385</v>
      </c>
      <c r="C670" t="s">
        <v>2377</v>
      </c>
      <c r="D670">
        <v>640</v>
      </c>
      <c r="E670">
        <v>573</v>
      </c>
      <c r="F670">
        <v>1E-3</v>
      </c>
      <c r="G670">
        <v>1</v>
      </c>
      <c r="H670" t="s">
        <v>6875</v>
      </c>
      <c r="I670">
        <f>VLOOKUP(Table9[[#This Row],[Shortname]], Comp[], 6, FALSE)</f>
        <v>314</v>
      </c>
      <c r="J670" s="14">
        <f>VLOOKUP(Table9[[#This Row],[Shortname]], Comp[], 7, FALSE)</f>
        <v>61</v>
      </c>
      <c r="K670">
        <f>VLOOKUP(Table9[[#This Row],[Shortname]], Comp[], 8, FALSE)</f>
        <v>22</v>
      </c>
      <c r="L670">
        <f>VLOOKUP(Table9[[#This Row],[Shortname]], Comp[], 9, FALSE)</f>
        <v>9.8000000000000007</v>
      </c>
      <c r="M670">
        <f>VLOOKUP(Table9[[#This Row],[Shortname]], Comp[], 10, FALSE)</f>
        <v>0</v>
      </c>
      <c r="N670">
        <f>VLOOKUP(Table9[[#This Row],[Shortname]], Comp[], 11, FALSE)</f>
        <v>0</v>
      </c>
      <c r="O670">
        <f>VLOOKUP(Table9[[#This Row],[Shortname]], Comp[],12, FALSE)</f>
        <v>0</v>
      </c>
      <c r="P670">
        <f>VLOOKUP(Table9[[#This Row],[Shortname]], Comp[], 13, FALSE)</f>
        <v>0</v>
      </c>
      <c r="Q670">
        <f>VLOOKUP(Table9[[#This Row],[Shortname]], Comp[], 14, FALSE)</f>
        <v>2.1</v>
      </c>
      <c r="R670">
        <f>VLOOKUP(Table9[[#This Row],[Shortname]], Comp[], 15, FALSE)</f>
        <v>0</v>
      </c>
      <c r="S670">
        <f>VLOOKUP(Table9[[#This Row],[Shortname]], Comp[], 16, FALSE)</f>
        <v>5.0999999999999996</v>
      </c>
      <c r="T670">
        <f>VLOOKUP(Table9[[#This Row],[Shortname]], Comp[], 17, FALSE)</f>
        <v>0</v>
      </c>
      <c r="U670">
        <f>VLOOKUP(Table9[[#This Row],[Shortname]], Comp[], 18, FALSE)</f>
        <v>0</v>
      </c>
      <c r="V670">
        <f>VLOOKUP(Table9[[#This Row],[Shortname]], Comp[], 19, FALSE)</f>
        <v>0</v>
      </c>
      <c r="W670">
        <f>VLOOKUP(Table9[[#This Row],[Shortname]], Comp[], 20, FALSE)</f>
        <v>0</v>
      </c>
      <c r="X670">
        <f>VLOOKUP(Table9[[#This Row],[Shortname]], Comp[], 21, FALSE)</f>
        <v>0</v>
      </c>
      <c r="Y670">
        <f>VLOOKUP(Table9[[#This Row],[Shortname]], Comp[], 22, FALSE)</f>
        <v>0</v>
      </c>
      <c r="Z670">
        <f>VLOOKUP(Table9[[#This Row],[Shortname]], Comp[], 23, FALSE)</f>
        <v>0</v>
      </c>
      <c r="AA670">
        <f>VLOOKUP(Table9[[#This Row],[Shortname]], Comp[], 24, FALSE)</f>
        <v>0</v>
      </c>
      <c r="AB670">
        <f>VLOOKUP(Table9[[#This Row],[Shortname]], Comp[], 25, FALSE)</f>
        <v>0</v>
      </c>
      <c r="AC670">
        <f>VLOOKUP(Table9[[#This Row],[Shortname]], Comp[], 26, FALSE)</f>
        <v>0</v>
      </c>
      <c r="AD670">
        <f>VLOOKUP(Table9[[#This Row],[Shortname]], Comp[], 27, FALSE)</f>
        <v>0</v>
      </c>
      <c r="AE670">
        <f>VLOOKUP(Table9[[#This Row],[Shortname]], Comp[], 28, FALSE)</f>
        <v>0</v>
      </c>
      <c r="AF670">
        <f>VLOOKUP(Table9[[#This Row],[Shortname]], Comp[], 29, FALSE)</f>
        <v>0</v>
      </c>
      <c r="AG670">
        <f>VLOOKUP(Table9[[#This Row],[Shortname]], Comp[], 30, FALSE)</f>
        <v>0</v>
      </c>
      <c r="AH670">
        <f>VLOOKUP(Table9[[#This Row],[Shortname]], Comp[], 31, FALSE)</f>
        <v>0</v>
      </c>
    </row>
    <row r="671" spans="1:34" x14ac:dyDescent="0.3">
      <c r="A671" t="s">
        <v>2383</v>
      </c>
      <c r="B671" t="s">
        <v>2385</v>
      </c>
      <c r="C671" t="s">
        <v>2377</v>
      </c>
      <c r="D671">
        <v>585</v>
      </c>
      <c r="E671">
        <v>773</v>
      </c>
      <c r="F671">
        <v>1E-3</v>
      </c>
      <c r="G671">
        <v>1</v>
      </c>
      <c r="H671" t="s">
        <v>6875</v>
      </c>
      <c r="I671">
        <f>VLOOKUP(Table9[[#This Row],[Shortname]], Comp[], 6, FALSE)</f>
        <v>314</v>
      </c>
      <c r="J671" s="14">
        <f>VLOOKUP(Table9[[#This Row],[Shortname]], Comp[], 7, FALSE)</f>
        <v>61</v>
      </c>
      <c r="K671">
        <f>VLOOKUP(Table9[[#This Row],[Shortname]], Comp[], 8, FALSE)</f>
        <v>22</v>
      </c>
      <c r="L671">
        <f>VLOOKUP(Table9[[#This Row],[Shortname]], Comp[], 9, FALSE)</f>
        <v>9.8000000000000007</v>
      </c>
      <c r="M671">
        <f>VLOOKUP(Table9[[#This Row],[Shortname]], Comp[], 10, FALSE)</f>
        <v>0</v>
      </c>
      <c r="N671">
        <f>VLOOKUP(Table9[[#This Row],[Shortname]], Comp[], 11, FALSE)</f>
        <v>0</v>
      </c>
      <c r="O671">
        <f>VLOOKUP(Table9[[#This Row],[Shortname]], Comp[],12, FALSE)</f>
        <v>0</v>
      </c>
      <c r="P671">
        <f>VLOOKUP(Table9[[#This Row],[Shortname]], Comp[], 13, FALSE)</f>
        <v>0</v>
      </c>
      <c r="Q671">
        <f>VLOOKUP(Table9[[#This Row],[Shortname]], Comp[], 14, FALSE)</f>
        <v>2.1</v>
      </c>
      <c r="R671">
        <f>VLOOKUP(Table9[[#This Row],[Shortname]], Comp[], 15, FALSE)</f>
        <v>0</v>
      </c>
      <c r="S671">
        <f>VLOOKUP(Table9[[#This Row],[Shortname]], Comp[], 16, FALSE)</f>
        <v>5.0999999999999996</v>
      </c>
      <c r="T671">
        <f>VLOOKUP(Table9[[#This Row],[Shortname]], Comp[], 17, FALSE)</f>
        <v>0</v>
      </c>
      <c r="U671">
        <f>VLOOKUP(Table9[[#This Row],[Shortname]], Comp[], 18, FALSE)</f>
        <v>0</v>
      </c>
      <c r="V671">
        <f>VLOOKUP(Table9[[#This Row],[Shortname]], Comp[], 19, FALSE)</f>
        <v>0</v>
      </c>
      <c r="W671">
        <f>VLOOKUP(Table9[[#This Row],[Shortname]], Comp[], 20, FALSE)</f>
        <v>0</v>
      </c>
      <c r="X671">
        <f>VLOOKUP(Table9[[#This Row],[Shortname]], Comp[], 21, FALSE)</f>
        <v>0</v>
      </c>
      <c r="Y671">
        <f>VLOOKUP(Table9[[#This Row],[Shortname]], Comp[], 22, FALSE)</f>
        <v>0</v>
      </c>
      <c r="Z671">
        <f>VLOOKUP(Table9[[#This Row],[Shortname]], Comp[], 23, FALSE)</f>
        <v>0</v>
      </c>
      <c r="AA671">
        <f>VLOOKUP(Table9[[#This Row],[Shortname]], Comp[], 24, FALSE)</f>
        <v>0</v>
      </c>
      <c r="AB671">
        <f>VLOOKUP(Table9[[#This Row],[Shortname]], Comp[], 25, FALSE)</f>
        <v>0</v>
      </c>
      <c r="AC671">
        <f>VLOOKUP(Table9[[#This Row],[Shortname]], Comp[], 26, FALSE)</f>
        <v>0</v>
      </c>
      <c r="AD671">
        <f>VLOOKUP(Table9[[#This Row],[Shortname]], Comp[], 27, FALSE)</f>
        <v>0</v>
      </c>
      <c r="AE671">
        <f>VLOOKUP(Table9[[#This Row],[Shortname]], Comp[], 28, FALSE)</f>
        <v>0</v>
      </c>
      <c r="AF671">
        <f>VLOOKUP(Table9[[#This Row],[Shortname]], Comp[], 29, FALSE)</f>
        <v>0</v>
      </c>
      <c r="AG671">
        <f>VLOOKUP(Table9[[#This Row],[Shortname]], Comp[], 30, FALSE)</f>
        <v>0</v>
      </c>
      <c r="AH671">
        <f>VLOOKUP(Table9[[#This Row],[Shortname]], Comp[], 31, FALSE)</f>
        <v>0</v>
      </c>
    </row>
    <row r="672" spans="1:34" x14ac:dyDescent="0.3">
      <c r="A672" t="s">
        <v>2383</v>
      </c>
      <c r="B672" t="s">
        <v>2385</v>
      </c>
      <c r="C672" t="s">
        <v>2377</v>
      </c>
      <c r="D672">
        <v>524</v>
      </c>
      <c r="E672">
        <v>873</v>
      </c>
      <c r="F672">
        <v>1E-3</v>
      </c>
      <c r="G672">
        <v>1</v>
      </c>
      <c r="H672" t="s">
        <v>6875</v>
      </c>
      <c r="I672">
        <f>VLOOKUP(Table9[[#This Row],[Shortname]], Comp[], 6, FALSE)</f>
        <v>314</v>
      </c>
      <c r="J672" s="14">
        <f>VLOOKUP(Table9[[#This Row],[Shortname]], Comp[], 7, FALSE)</f>
        <v>61</v>
      </c>
      <c r="K672">
        <f>VLOOKUP(Table9[[#This Row],[Shortname]], Comp[], 8, FALSE)</f>
        <v>22</v>
      </c>
      <c r="L672">
        <f>VLOOKUP(Table9[[#This Row],[Shortname]], Comp[], 9, FALSE)</f>
        <v>9.8000000000000007</v>
      </c>
      <c r="M672">
        <f>VLOOKUP(Table9[[#This Row],[Shortname]], Comp[], 10, FALSE)</f>
        <v>0</v>
      </c>
      <c r="N672">
        <f>VLOOKUP(Table9[[#This Row],[Shortname]], Comp[], 11, FALSE)</f>
        <v>0</v>
      </c>
      <c r="O672">
        <f>VLOOKUP(Table9[[#This Row],[Shortname]], Comp[],12, FALSE)</f>
        <v>0</v>
      </c>
      <c r="P672">
        <f>VLOOKUP(Table9[[#This Row],[Shortname]], Comp[], 13, FALSE)</f>
        <v>0</v>
      </c>
      <c r="Q672">
        <f>VLOOKUP(Table9[[#This Row],[Shortname]], Comp[], 14, FALSE)</f>
        <v>2.1</v>
      </c>
      <c r="R672">
        <f>VLOOKUP(Table9[[#This Row],[Shortname]], Comp[], 15, FALSE)</f>
        <v>0</v>
      </c>
      <c r="S672">
        <f>VLOOKUP(Table9[[#This Row],[Shortname]], Comp[], 16, FALSE)</f>
        <v>5.0999999999999996</v>
      </c>
      <c r="T672">
        <f>VLOOKUP(Table9[[#This Row],[Shortname]], Comp[], 17, FALSE)</f>
        <v>0</v>
      </c>
      <c r="U672">
        <f>VLOOKUP(Table9[[#This Row],[Shortname]], Comp[], 18, FALSE)</f>
        <v>0</v>
      </c>
      <c r="V672">
        <f>VLOOKUP(Table9[[#This Row],[Shortname]], Comp[], 19, FALSE)</f>
        <v>0</v>
      </c>
      <c r="W672">
        <f>VLOOKUP(Table9[[#This Row],[Shortname]], Comp[], 20, FALSE)</f>
        <v>0</v>
      </c>
      <c r="X672">
        <f>VLOOKUP(Table9[[#This Row],[Shortname]], Comp[], 21, FALSE)</f>
        <v>0</v>
      </c>
      <c r="Y672">
        <f>VLOOKUP(Table9[[#This Row],[Shortname]], Comp[], 22, FALSE)</f>
        <v>0</v>
      </c>
      <c r="Z672">
        <f>VLOOKUP(Table9[[#This Row],[Shortname]], Comp[], 23, FALSE)</f>
        <v>0</v>
      </c>
      <c r="AA672">
        <f>VLOOKUP(Table9[[#This Row],[Shortname]], Comp[], 24, FALSE)</f>
        <v>0</v>
      </c>
      <c r="AB672">
        <f>VLOOKUP(Table9[[#This Row],[Shortname]], Comp[], 25, FALSE)</f>
        <v>0</v>
      </c>
      <c r="AC672">
        <f>VLOOKUP(Table9[[#This Row],[Shortname]], Comp[], 26, FALSE)</f>
        <v>0</v>
      </c>
      <c r="AD672">
        <f>VLOOKUP(Table9[[#This Row],[Shortname]], Comp[], 27, FALSE)</f>
        <v>0</v>
      </c>
      <c r="AE672">
        <f>VLOOKUP(Table9[[#This Row],[Shortname]], Comp[], 28, FALSE)</f>
        <v>0</v>
      </c>
      <c r="AF672">
        <f>VLOOKUP(Table9[[#This Row],[Shortname]], Comp[], 29, FALSE)</f>
        <v>0</v>
      </c>
      <c r="AG672">
        <f>VLOOKUP(Table9[[#This Row],[Shortname]], Comp[], 30, FALSE)</f>
        <v>0</v>
      </c>
      <c r="AH672">
        <f>VLOOKUP(Table9[[#This Row],[Shortname]], Comp[], 31, FALSE)</f>
        <v>0</v>
      </c>
    </row>
    <row r="673" spans="1:34" x14ac:dyDescent="0.3">
      <c r="A673" t="s">
        <v>2390</v>
      </c>
      <c r="B673" t="s">
        <v>2392</v>
      </c>
      <c r="C673" t="s">
        <v>2377</v>
      </c>
      <c r="D673">
        <v>802</v>
      </c>
      <c r="E673">
        <v>25</v>
      </c>
      <c r="F673">
        <v>1E-3</v>
      </c>
      <c r="G673">
        <v>1</v>
      </c>
      <c r="H673" t="s">
        <v>6875</v>
      </c>
      <c r="I673">
        <f>VLOOKUP(Table9[[#This Row],[Shortname]], Comp[], 6, FALSE)</f>
        <v>315</v>
      </c>
      <c r="J673" s="14">
        <f>VLOOKUP(Table9[[#This Row],[Shortname]], Comp[], 7, FALSE)</f>
        <v>50.8</v>
      </c>
      <c r="K673">
        <f>VLOOKUP(Table9[[#This Row],[Shortname]], Comp[], 8, FALSE)</f>
        <v>32</v>
      </c>
      <c r="L673">
        <f>VLOOKUP(Table9[[#This Row],[Shortname]], Comp[], 9, FALSE)</f>
        <v>9.6999999999999993</v>
      </c>
      <c r="M673">
        <f>VLOOKUP(Table9[[#This Row],[Shortname]], Comp[], 10, FALSE)</f>
        <v>0</v>
      </c>
      <c r="N673">
        <f>VLOOKUP(Table9[[#This Row],[Shortname]], Comp[], 11, FALSE)</f>
        <v>0</v>
      </c>
      <c r="O673">
        <f>VLOOKUP(Table9[[#This Row],[Shortname]], Comp[],12, FALSE)</f>
        <v>0</v>
      </c>
      <c r="P673">
        <f>VLOOKUP(Table9[[#This Row],[Shortname]], Comp[], 13, FALSE)</f>
        <v>0</v>
      </c>
      <c r="Q673">
        <f>VLOOKUP(Table9[[#This Row],[Shortname]], Comp[], 14, FALSE)</f>
        <v>2.2999999999999998</v>
      </c>
      <c r="R673">
        <f>VLOOKUP(Table9[[#This Row],[Shortname]], Comp[], 15, FALSE)</f>
        <v>0</v>
      </c>
      <c r="S673">
        <f>VLOOKUP(Table9[[#This Row],[Shortname]], Comp[], 16, FALSE)</f>
        <v>5.2</v>
      </c>
      <c r="T673">
        <f>VLOOKUP(Table9[[#This Row],[Shortname]], Comp[], 17, FALSE)</f>
        <v>0</v>
      </c>
      <c r="U673">
        <f>VLOOKUP(Table9[[#This Row],[Shortname]], Comp[], 18, FALSE)</f>
        <v>0</v>
      </c>
      <c r="V673">
        <f>VLOOKUP(Table9[[#This Row],[Shortname]], Comp[], 19, FALSE)</f>
        <v>0</v>
      </c>
      <c r="W673">
        <f>VLOOKUP(Table9[[#This Row],[Shortname]], Comp[], 20, FALSE)</f>
        <v>0</v>
      </c>
      <c r="X673">
        <f>VLOOKUP(Table9[[#This Row],[Shortname]], Comp[], 21, FALSE)</f>
        <v>0</v>
      </c>
      <c r="Y673">
        <f>VLOOKUP(Table9[[#This Row],[Shortname]], Comp[], 22, FALSE)</f>
        <v>0</v>
      </c>
      <c r="Z673">
        <f>VLOOKUP(Table9[[#This Row],[Shortname]], Comp[], 23, FALSE)</f>
        <v>0</v>
      </c>
      <c r="AA673">
        <f>VLOOKUP(Table9[[#This Row],[Shortname]], Comp[], 24, FALSE)</f>
        <v>0</v>
      </c>
      <c r="AB673">
        <f>VLOOKUP(Table9[[#This Row],[Shortname]], Comp[], 25, FALSE)</f>
        <v>0</v>
      </c>
      <c r="AC673">
        <f>VLOOKUP(Table9[[#This Row],[Shortname]], Comp[], 26, FALSE)</f>
        <v>0</v>
      </c>
      <c r="AD673">
        <f>VLOOKUP(Table9[[#This Row],[Shortname]], Comp[], 27, FALSE)</f>
        <v>0</v>
      </c>
      <c r="AE673">
        <f>VLOOKUP(Table9[[#This Row],[Shortname]], Comp[], 28, FALSE)</f>
        <v>0</v>
      </c>
      <c r="AF673">
        <f>VLOOKUP(Table9[[#This Row],[Shortname]], Comp[], 29, FALSE)</f>
        <v>0</v>
      </c>
      <c r="AG673">
        <f>VLOOKUP(Table9[[#This Row],[Shortname]], Comp[], 30, FALSE)</f>
        <v>0</v>
      </c>
      <c r="AH673">
        <f>VLOOKUP(Table9[[#This Row],[Shortname]], Comp[], 31, FALSE)</f>
        <v>0</v>
      </c>
    </row>
    <row r="674" spans="1:34" x14ac:dyDescent="0.3">
      <c r="A674" t="s">
        <v>2390</v>
      </c>
      <c r="B674" t="s">
        <v>2392</v>
      </c>
      <c r="C674" t="s">
        <v>2377</v>
      </c>
      <c r="D674">
        <v>680</v>
      </c>
      <c r="E674">
        <v>573</v>
      </c>
      <c r="F674">
        <v>1E-3</v>
      </c>
      <c r="G674">
        <v>1</v>
      </c>
      <c r="H674" t="s">
        <v>6875</v>
      </c>
      <c r="I674">
        <f>VLOOKUP(Table9[[#This Row],[Shortname]], Comp[], 6, FALSE)</f>
        <v>315</v>
      </c>
      <c r="J674" s="14">
        <f>VLOOKUP(Table9[[#This Row],[Shortname]], Comp[], 7, FALSE)</f>
        <v>50.8</v>
      </c>
      <c r="K674">
        <f>VLOOKUP(Table9[[#This Row],[Shortname]], Comp[], 8, FALSE)</f>
        <v>32</v>
      </c>
      <c r="L674">
        <f>VLOOKUP(Table9[[#This Row],[Shortname]], Comp[], 9, FALSE)</f>
        <v>9.6999999999999993</v>
      </c>
      <c r="M674">
        <f>VLOOKUP(Table9[[#This Row],[Shortname]], Comp[], 10, FALSE)</f>
        <v>0</v>
      </c>
      <c r="N674">
        <f>VLOOKUP(Table9[[#This Row],[Shortname]], Comp[], 11, FALSE)</f>
        <v>0</v>
      </c>
      <c r="O674">
        <f>VLOOKUP(Table9[[#This Row],[Shortname]], Comp[],12, FALSE)</f>
        <v>0</v>
      </c>
      <c r="P674">
        <f>VLOOKUP(Table9[[#This Row],[Shortname]], Comp[], 13, FALSE)</f>
        <v>0</v>
      </c>
      <c r="Q674">
        <f>VLOOKUP(Table9[[#This Row],[Shortname]], Comp[], 14, FALSE)</f>
        <v>2.2999999999999998</v>
      </c>
      <c r="R674">
        <f>VLOOKUP(Table9[[#This Row],[Shortname]], Comp[], 15, FALSE)</f>
        <v>0</v>
      </c>
      <c r="S674">
        <f>VLOOKUP(Table9[[#This Row],[Shortname]], Comp[], 16, FALSE)</f>
        <v>5.2</v>
      </c>
      <c r="T674">
        <f>VLOOKUP(Table9[[#This Row],[Shortname]], Comp[], 17, FALSE)</f>
        <v>0</v>
      </c>
      <c r="U674">
        <f>VLOOKUP(Table9[[#This Row],[Shortname]], Comp[], 18, FALSE)</f>
        <v>0</v>
      </c>
      <c r="V674">
        <f>VLOOKUP(Table9[[#This Row],[Shortname]], Comp[], 19, FALSE)</f>
        <v>0</v>
      </c>
      <c r="W674">
        <f>VLOOKUP(Table9[[#This Row],[Shortname]], Comp[], 20, FALSE)</f>
        <v>0</v>
      </c>
      <c r="X674">
        <f>VLOOKUP(Table9[[#This Row],[Shortname]], Comp[], 21, FALSE)</f>
        <v>0</v>
      </c>
      <c r="Y674">
        <f>VLOOKUP(Table9[[#This Row],[Shortname]], Comp[], 22, FALSE)</f>
        <v>0</v>
      </c>
      <c r="Z674">
        <f>VLOOKUP(Table9[[#This Row],[Shortname]], Comp[], 23, FALSE)</f>
        <v>0</v>
      </c>
      <c r="AA674">
        <f>VLOOKUP(Table9[[#This Row],[Shortname]], Comp[], 24, FALSE)</f>
        <v>0</v>
      </c>
      <c r="AB674">
        <f>VLOOKUP(Table9[[#This Row],[Shortname]], Comp[], 25, FALSE)</f>
        <v>0</v>
      </c>
      <c r="AC674">
        <f>VLOOKUP(Table9[[#This Row],[Shortname]], Comp[], 26, FALSE)</f>
        <v>0</v>
      </c>
      <c r="AD674">
        <f>VLOOKUP(Table9[[#This Row],[Shortname]], Comp[], 27, FALSE)</f>
        <v>0</v>
      </c>
      <c r="AE674">
        <f>VLOOKUP(Table9[[#This Row],[Shortname]], Comp[], 28, FALSE)</f>
        <v>0</v>
      </c>
      <c r="AF674">
        <f>VLOOKUP(Table9[[#This Row],[Shortname]], Comp[], 29, FALSE)</f>
        <v>0</v>
      </c>
      <c r="AG674">
        <f>VLOOKUP(Table9[[#This Row],[Shortname]], Comp[], 30, FALSE)</f>
        <v>0</v>
      </c>
      <c r="AH674">
        <f>VLOOKUP(Table9[[#This Row],[Shortname]], Comp[], 31, FALSE)</f>
        <v>0</v>
      </c>
    </row>
    <row r="675" spans="1:34" x14ac:dyDescent="0.3">
      <c r="A675" t="s">
        <v>2390</v>
      </c>
      <c r="B675" t="s">
        <v>2392</v>
      </c>
      <c r="C675" t="s">
        <v>2377</v>
      </c>
      <c r="D675">
        <v>677</v>
      </c>
      <c r="E675">
        <v>473</v>
      </c>
      <c r="F675">
        <v>1E-3</v>
      </c>
      <c r="G675">
        <v>1</v>
      </c>
      <c r="H675" t="s">
        <v>6875</v>
      </c>
      <c r="I675">
        <f>VLOOKUP(Table9[[#This Row],[Shortname]], Comp[], 6, FALSE)</f>
        <v>315</v>
      </c>
      <c r="J675" s="14">
        <f>VLOOKUP(Table9[[#This Row],[Shortname]], Comp[], 7, FALSE)</f>
        <v>50.8</v>
      </c>
      <c r="K675">
        <f>VLOOKUP(Table9[[#This Row],[Shortname]], Comp[], 8, FALSE)</f>
        <v>32</v>
      </c>
      <c r="L675">
        <f>VLOOKUP(Table9[[#This Row],[Shortname]], Comp[], 9, FALSE)</f>
        <v>9.6999999999999993</v>
      </c>
      <c r="M675">
        <f>VLOOKUP(Table9[[#This Row],[Shortname]], Comp[], 10, FALSE)</f>
        <v>0</v>
      </c>
      <c r="N675">
        <f>VLOOKUP(Table9[[#This Row],[Shortname]], Comp[], 11, FALSE)</f>
        <v>0</v>
      </c>
      <c r="O675">
        <f>VLOOKUP(Table9[[#This Row],[Shortname]], Comp[],12, FALSE)</f>
        <v>0</v>
      </c>
      <c r="P675">
        <f>VLOOKUP(Table9[[#This Row],[Shortname]], Comp[], 13, FALSE)</f>
        <v>0</v>
      </c>
      <c r="Q675">
        <f>VLOOKUP(Table9[[#This Row],[Shortname]], Comp[], 14, FALSE)</f>
        <v>2.2999999999999998</v>
      </c>
      <c r="R675">
        <f>VLOOKUP(Table9[[#This Row],[Shortname]], Comp[], 15, FALSE)</f>
        <v>0</v>
      </c>
      <c r="S675">
        <f>VLOOKUP(Table9[[#This Row],[Shortname]], Comp[], 16, FALSE)</f>
        <v>5.2</v>
      </c>
      <c r="T675">
        <f>VLOOKUP(Table9[[#This Row],[Shortname]], Comp[], 17, FALSE)</f>
        <v>0</v>
      </c>
      <c r="U675">
        <f>VLOOKUP(Table9[[#This Row],[Shortname]], Comp[], 18, FALSE)</f>
        <v>0</v>
      </c>
      <c r="V675">
        <f>VLOOKUP(Table9[[#This Row],[Shortname]], Comp[], 19, FALSE)</f>
        <v>0</v>
      </c>
      <c r="W675">
        <f>VLOOKUP(Table9[[#This Row],[Shortname]], Comp[], 20, FALSE)</f>
        <v>0</v>
      </c>
      <c r="X675">
        <f>VLOOKUP(Table9[[#This Row],[Shortname]], Comp[], 21, FALSE)</f>
        <v>0</v>
      </c>
      <c r="Y675">
        <f>VLOOKUP(Table9[[#This Row],[Shortname]], Comp[], 22, FALSE)</f>
        <v>0</v>
      </c>
      <c r="Z675">
        <f>VLOOKUP(Table9[[#This Row],[Shortname]], Comp[], 23, FALSE)</f>
        <v>0</v>
      </c>
      <c r="AA675">
        <f>VLOOKUP(Table9[[#This Row],[Shortname]], Comp[], 24, FALSE)</f>
        <v>0</v>
      </c>
      <c r="AB675">
        <f>VLOOKUP(Table9[[#This Row],[Shortname]], Comp[], 25, FALSE)</f>
        <v>0</v>
      </c>
      <c r="AC675">
        <f>VLOOKUP(Table9[[#This Row],[Shortname]], Comp[], 26, FALSE)</f>
        <v>0</v>
      </c>
      <c r="AD675">
        <f>VLOOKUP(Table9[[#This Row],[Shortname]], Comp[], 27, FALSE)</f>
        <v>0</v>
      </c>
      <c r="AE675">
        <f>VLOOKUP(Table9[[#This Row],[Shortname]], Comp[], 28, FALSE)</f>
        <v>0</v>
      </c>
      <c r="AF675">
        <f>VLOOKUP(Table9[[#This Row],[Shortname]], Comp[], 29, FALSE)</f>
        <v>0</v>
      </c>
      <c r="AG675">
        <f>VLOOKUP(Table9[[#This Row],[Shortname]], Comp[], 30, FALSE)</f>
        <v>0</v>
      </c>
      <c r="AH675">
        <f>VLOOKUP(Table9[[#This Row],[Shortname]], Comp[], 31, FALSE)</f>
        <v>0</v>
      </c>
    </row>
    <row r="676" spans="1:34" x14ac:dyDescent="0.3">
      <c r="A676" t="s">
        <v>2390</v>
      </c>
      <c r="B676" t="s">
        <v>2392</v>
      </c>
      <c r="C676" t="s">
        <v>2377</v>
      </c>
      <c r="D676">
        <v>673</v>
      </c>
      <c r="E676">
        <v>673</v>
      </c>
      <c r="F676">
        <v>1E-3</v>
      </c>
      <c r="G676">
        <v>1</v>
      </c>
      <c r="H676" t="s">
        <v>6875</v>
      </c>
      <c r="I676">
        <f>VLOOKUP(Table9[[#This Row],[Shortname]], Comp[], 6, FALSE)</f>
        <v>315</v>
      </c>
      <c r="J676" s="14">
        <f>VLOOKUP(Table9[[#This Row],[Shortname]], Comp[], 7, FALSE)</f>
        <v>50.8</v>
      </c>
      <c r="K676">
        <f>VLOOKUP(Table9[[#This Row],[Shortname]], Comp[], 8, FALSE)</f>
        <v>32</v>
      </c>
      <c r="L676">
        <f>VLOOKUP(Table9[[#This Row],[Shortname]], Comp[], 9, FALSE)</f>
        <v>9.6999999999999993</v>
      </c>
      <c r="M676">
        <f>VLOOKUP(Table9[[#This Row],[Shortname]], Comp[], 10, FALSE)</f>
        <v>0</v>
      </c>
      <c r="N676">
        <f>VLOOKUP(Table9[[#This Row],[Shortname]], Comp[], 11, FALSE)</f>
        <v>0</v>
      </c>
      <c r="O676">
        <f>VLOOKUP(Table9[[#This Row],[Shortname]], Comp[],12, FALSE)</f>
        <v>0</v>
      </c>
      <c r="P676">
        <f>VLOOKUP(Table9[[#This Row],[Shortname]], Comp[], 13, FALSE)</f>
        <v>0</v>
      </c>
      <c r="Q676">
        <f>VLOOKUP(Table9[[#This Row],[Shortname]], Comp[], 14, FALSE)</f>
        <v>2.2999999999999998</v>
      </c>
      <c r="R676">
        <f>VLOOKUP(Table9[[#This Row],[Shortname]], Comp[], 15, FALSE)</f>
        <v>0</v>
      </c>
      <c r="S676">
        <f>VLOOKUP(Table9[[#This Row],[Shortname]], Comp[], 16, FALSE)</f>
        <v>5.2</v>
      </c>
      <c r="T676">
        <f>VLOOKUP(Table9[[#This Row],[Shortname]], Comp[], 17, FALSE)</f>
        <v>0</v>
      </c>
      <c r="U676">
        <f>VLOOKUP(Table9[[#This Row],[Shortname]], Comp[], 18, FALSE)</f>
        <v>0</v>
      </c>
      <c r="V676">
        <f>VLOOKUP(Table9[[#This Row],[Shortname]], Comp[], 19, FALSE)</f>
        <v>0</v>
      </c>
      <c r="W676">
        <f>VLOOKUP(Table9[[#This Row],[Shortname]], Comp[], 20, FALSE)</f>
        <v>0</v>
      </c>
      <c r="X676">
        <f>VLOOKUP(Table9[[#This Row],[Shortname]], Comp[], 21, FALSE)</f>
        <v>0</v>
      </c>
      <c r="Y676">
        <f>VLOOKUP(Table9[[#This Row],[Shortname]], Comp[], 22, FALSE)</f>
        <v>0</v>
      </c>
      <c r="Z676">
        <f>VLOOKUP(Table9[[#This Row],[Shortname]], Comp[], 23, FALSE)</f>
        <v>0</v>
      </c>
      <c r="AA676">
        <f>VLOOKUP(Table9[[#This Row],[Shortname]], Comp[], 24, FALSE)</f>
        <v>0</v>
      </c>
      <c r="AB676">
        <f>VLOOKUP(Table9[[#This Row],[Shortname]], Comp[], 25, FALSE)</f>
        <v>0</v>
      </c>
      <c r="AC676">
        <f>VLOOKUP(Table9[[#This Row],[Shortname]], Comp[], 26, FALSE)</f>
        <v>0</v>
      </c>
      <c r="AD676">
        <f>VLOOKUP(Table9[[#This Row],[Shortname]], Comp[], 27, FALSE)</f>
        <v>0</v>
      </c>
      <c r="AE676">
        <f>VLOOKUP(Table9[[#This Row],[Shortname]], Comp[], 28, FALSE)</f>
        <v>0</v>
      </c>
      <c r="AF676">
        <f>VLOOKUP(Table9[[#This Row],[Shortname]], Comp[], 29, FALSE)</f>
        <v>0</v>
      </c>
      <c r="AG676">
        <f>VLOOKUP(Table9[[#This Row],[Shortname]], Comp[], 30, FALSE)</f>
        <v>0</v>
      </c>
      <c r="AH676">
        <f>VLOOKUP(Table9[[#This Row],[Shortname]], Comp[], 31, FALSE)</f>
        <v>0</v>
      </c>
    </row>
    <row r="677" spans="1:34" x14ac:dyDescent="0.3">
      <c r="A677" t="s">
        <v>2390</v>
      </c>
      <c r="B677" t="s">
        <v>2392</v>
      </c>
      <c r="C677" t="s">
        <v>2377</v>
      </c>
      <c r="D677">
        <v>611</v>
      </c>
      <c r="E677">
        <v>773</v>
      </c>
      <c r="F677">
        <v>1E-3</v>
      </c>
      <c r="G677">
        <v>1</v>
      </c>
      <c r="H677" t="s">
        <v>6875</v>
      </c>
      <c r="I677">
        <f>VLOOKUP(Table9[[#This Row],[Shortname]], Comp[], 6, FALSE)</f>
        <v>315</v>
      </c>
      <c r="J677" s="14">
        <f>VLOOKUP(Table9[[#This Row],[Shortname]], Comp[], 7, FALSE)</f>
        <v>50.8</v>
      </c>
      <c r="K677">
        <f>VLOOKUP(Table9[[#This Row],[Shortname]], Comp[], 8, FALSE)</f>
        <v>32</v>
      </c>
      <c r="L677">
        <f>VLOOKUP(Table9[[#This Row],[Shortname]], Comp[], 9, FALSE)</f>
        <v>9.6999999999999993</v>
      </c>
      <c r="M677">
        <f>VLOOKUP(Table9[[#This Row],[Shortname]], Comp[], 10, FALSE)</f>
        <v>0</v>
      </c>
      <c r="N677">
        <f>VLOOKUP(Table9[[#This Row],[Shortname]], Comp[], 11, FALSE)</f>
        <v>0</v>
      </c>
      <c r="O677">
        <f>VLOOKUP(Table9[[#This Row],[Shortname]], Comp[],12, FALSE)</f>
        <v>0</v>
      </c>
      <c r="P677">
        <f>VLOOKUP(Table9[[#This Row],[Shortname]], Comp[], 13, FALSE)</f>
        <v>0</v>
      </c>
      <c r="Q677">
        <f>VLOOKUP(Table9[[#This Row],[Shortname]], Comp[], 14, FALSE)</f>
        <v>2.2999999999999998</v>
      </c>
      <c r="R677">
        <f>VLOOKUP(Table9[[#This Row],[Shortname]], Comp[], 15, FALSE)</f>
        <v>0</v>
      </c>
      <c r="S677">
        <f>VLOOKUP(Table9[[#This Row],[Shortname]], Comp[], 16, FALSE)</f>
        <v>5.2</v>
      </c>
      <c r="T677">
        <f>VLOOKUP(Table9[[#This Row],[Shortname]], Comp[], 17, FALSE)</f>
        <v>0</v>
      </c>
      <c r="U677">
        <f>VLOOKUP(Table9[[#This Row],[Shortname]], Comp[], 18, FALSE)</f>
        <v>0</v>
      </c>
      <c r="V677">
        <f>VLOOKUP(Table9[[#This Row],[Shortname]], Comp[], 19, FALSE)</f>
        <v>0</v>
      </c>
      <c r="W677">
        <f>VLOOKUP(Table9[[#This Row],[Shortname]], Comp[], 20, FALSE)</f>
        <v>0</v>
      </c>
      <c r="X677">
        <f>VLOOKUP(Table9[[#This Row],[Shortname]], Comp[], 21, FALSE)</f>
        <v>0</v>
      </c>
      <c r="Y677">
        <f>VLOOKUP(Table9[[#This Row],[Shortname]], Comp[], 22, FALSE)</f>
        <v>0</v>
      </c>
      <c r="Z677">
        <f>VLOOKUP(Table9[[#This Row],[Shortname]], Comp[], 23, FALSE)</f>
        <v>0</v>
      </c>
      <c r="AA677">
        <f>VLOOKUP(Table9[[#This Row],[Shortname]], Comp[], 24, FALSE)</f>
        <v>0</v>
      </c>
      <c r="AB677">
        <f>VLOOKUP(Table9[[#This Row],[Shortname]], Comp[], 25, FALSE)</f>
        <v>0</v>
      </c>
      <c r="AC677">
        <f>VLOOKUP(Table9[[#This Row],[Shortname]], Comp[], 26, FALSE)</f>
        <v>0</v>
      </c>
      <c r="AD677">
        <f>VLOOKUP(Table9[[#This Row],[Shortname]], Comp[], 27, FALSE)</f>
        <v>0</v>
      </c>
      <c r="AE677">
        <f>VLOOKUP(Table9[[#This Row],[Shortname]], Comp[], 28, FALSE)</f>
        <v>0</v>
      </c>
      <c r="AF677">
        <f>VLOOKUP(Table9[[#This Row],[Shortname]], Comp[], 29, FALSE)</f>
        <v>0</v>
      </c>
      <c r="AG677">
        <f>VLOOKUP(Table9[[#This Row],[Shortname]], Comp[], 30, FALSE)</f>
        <v>0</v>
      </c>
      <c r="AH677">
        <f>VLOOKUP(Table9[[#This Row],[Shortname]], Comp[], 31, FALSE)</f>
        <v>0</v>
      </c>
    </row>
    <row r="678" spans="1:34" x14ac:dyDescent="0.3">
      <c r="A678" t="s">
        <v>2390</v>
      </c>
      <c r="B678" t="s">
        <v>2392</v>
      </c>
      <c r="C678" t="s">
        <v>2377</v>
      </c>
      <c r="D678">
        <v>537</v>
      </c>
      <c r="E678">
        <v>873</v>
      </c>
      <c r="F678">
        <v>1E-3</v>
      </c>
      <c r="G678">
        <v>1</v>
      </c>
      <c r="H678" t="s">
        <v>6875</v>
      </c>
      <c r="I678">
        <f>VLOOKUP(Table9[[#This Row],[Shortname]], Comp[], 6, FALSE)</f>
        <v>315</v>
      </c>
      <c r="J678" s="14">
        <f>VLOOKUP(Table9[[#This Row],[Shortname]], Comp[], 7, FALSE)</f>
        <v>50.8</v>
      </c>
      <c r="K678">
        <f>VLOOKUP(Table9[[#This Row],[Shortname]], Comp[], 8, FALSE)</f>
        <v>32</v>
      </c>
      <c r="L678">
        <f>VLOOKUP(Table9[[#This Row],[Shortname]], Comp[], 9, FALSE)</f>
        <v>9.6999999999999993</v>
      </c>
      <c r="M678">
        <f>VLOOKUP(Table9[[#This Row],[Shortname]], Comp[], 10, FALSE)</f>
        <v>0</v>
      </c>
      <c r="N678">
        <f>VLOOKUP(Table9[[#This Row],[Shortname]], Comp[], 11, FALSE)</f>
        <v>0</v>
      </c>
      <c r="O678">
        <f>VLOOKUP(Table9[[#This Row],[Shortname]], Comp[],12, FALSE)</f>
        <v>0</v>
      </c>
      <c r="P678">
        <f>VLOOKUP(Table9[[#This Row],[Shortname]], Comp[], 13, FALSE)</f>
        <v>0</v>
      </c>
      <c r="Q678">
        <f>VLOOKUP(Table9[[#This Row],[Shortname]], Comp[], 14, FALSE)</f>
        <v>2.2999999999999998</v>
      </c>
      <c r="R678">
        <f>VLOOKUP(Table9[[#This Row],[Shortname]], Comp[], 15, FALSE)</f>
        <v>0</v>
      </c>
      <c r="S678">
        <f>VLOOKUP(Table9[[#This Row],[Shortname]], Comp[], 16, FALSE)</f>
        <v>5.2</v>
      </c>
      <c r="T678">
        <f>VLOOKUP(Table9[[#This Row],[Shortname]], Comp[], 17, FALSE)</f>
        <v>0</v>
      </c>
      <c r="U678">
        <f>VLOOKUP(Table9[[#This Row],[Shortname]], Comp[], 18, FALSE)</f>
        <v>0</v>
      </c>
      <c r="V678">
        <f>VLOOKUP(Table9[[#This Row],[Shortname]], Comp[], 19, FALSE)</f>
        <v>0</v>
      </c>
      <c r="W678">
        <f>VLOOKUP(Table9[[#This Row],[Shortname]], Comp[], 20, FALSE)</f>
        <v>0</v>
      </c>
      <c r="X678">
        <f>VLOOKUP(Table9[[#This Row],[Shortname]], Comp[], 21, FALSE)</f>
        <v>0</v>
      </c>
      <c r="Y678">
        <f>VLOOKUP(Table9[[#This Row],[Shortname]], Comp[], 22, FALSE)</f>
        <v>0</v>
      </c>
      <c r="Z678">
        <f>VLOOKUP(Table9[[#This Row],[Shortname]], Comp[], 23, FALSE)</f>
        <v>0</v>
      </c>
      <c r="AA678">
        <f>VLOOKUP(Table9[[#This Row],[Shortname]], Comp[], 24, FALSE)</f>
        <v>0</v>
      </c>
      <c r="AB678">
        <f>VLOOKUP(Table9[[#This Row],[Shortname]], Comp[], 25, FALSE)</f>
        <v>0</v>
      </c>
      <c r="AC678">
        <f>VLOOKUP(Table9[[#This Row],[Shortname]], Comp[], 26, FALSE)</f>
        <v>0</v>
      </c>
      <c r="AD678">
        <f>VLOOKUP(Table9[[#This Row],[Shortname]], Comp[], 27, FALSE)</f>
        <v>0</v>
      </c>
      <c r="AE678">
        <f>VLOOKUP(Table9[[#This Row],[Shortname]], Comp[], 28, FALSE)</f>
        <v>0</v>
      </c>
      <c r="AF678">
        <f>VLOOKUP(Table9[[#This Row],[Shortname]], Comp[], 29, FALSE)</f>
        <v>0</v>
      </c>
      <c r="AG678">
        <f>VLOOKUP(Table9[[#This Row],[Shortname]], Comp[], 30, FALSE)</f>
        <v>0</v>
      </c>
      <c r="AH678">
        <f>VLOOKUP(Table9[[#This Row],[Shortname]], Comp[], 31, FALSE)</f>
        <v>0</v>
      </c>
    </row>
    <row r="679" spans="1:34" x14ac:dyDescent="0.3">
      <c r="A679" t="s">
        <v>2366</v>
      </c>
      <c r="B679" t="s">
        <v>2368</v>
      </c>
      <c r="C679" t="s">
        <v>2377</v>
      </c>
      <c r="D679">
        <v>721</v>
      </c>
      <c r="E679">
        <v>25</v>
      </c>
      <c r="F679">
        <v>1E-3</v>
      </c>
      <c r="G679">
        <v>1</v>
      </c>
      <c r="H679" t="s">
        <v>6875</v>
      </c>
      <c r="I679">
        <f>VLOOKUP(Table9[[#This Row],[Shortname]], Comp[], 6, FALSE)</f>
        <v>312</v>
      </c>
      <c r="J679" s="14">
        <f>VLOOKUP(Table9[[#This Row],[Shortname]], Comp[], 7, FALSE)</f>
        <v>83</v>
      </c>
      <c r="K679">
        <f>VLOOKUP(Table9[[#This Row],[Shortname]], Comp[], 8, FALSE)</f>
        <v>0</v>
      </c>
      <c r="L679">
        <f>VLOOKUP(Table9[[#This Row],[Shortname]], Comp[], 9, FALSE)</f>
        <v>9.8000000000000007</v>
      </c>
      <c r="M679">
        <f>VLOOKUP(Table9[[#This Row],[Shortname]], Comp[], 10, FALSE)</f>
        <v>0</v>
      </c>
      <c r="N679">
        <f>VLOOKUP(Table9[[#This Row],[Shortname]], Comp[], 11, FALSE)</f>
        <v>0</v>
      </c>
      <c r="O679">
        <f>VLOOKUP(Table9[[#This Row],[Shortname]], Comp[],12, FALSE)</f>
        <v>0</v>
      </c>
      <c r="P679">
        <f>VLOOKUP(Table9[[#This Row],[Shortname]], Comp[], 13, FALSE)</f>
        <v>0</v>
      </c>
      <c r="Q679">
        <f>VLOOKUP(Table9[[#This Row],[Shortname]], Comp[], 14, FALSE)</f>
        <v>2.1</v>
      </c>
      <c r="R679">
        <f>VLOOKUP(Table9[[#This Row],[Shortname]], Comp[], 15, FALSE)</f>
        <v>0</v>
      </c>
      <c r="S679">
        <f>VLOOKUP(Table9[[#This Row],[Shortname]], Comp[], 16, FALSE)</f>
        <v>5.0999999999999996</v>
      </c>
      <c r="T679">
        <f>VLOOKUP(Table9[[#This Row],[Shortname]], Comp[], 17, FALSE)</f>
        <v>0</v>
      </c>
      <c r="U679">
        <f>VLOOKUP(Table9[[#This Row],[Shortname]], Comp[], 18, FALSE)</f>
        <v>0</v>
      </c>
      <c r="V679">
        <f>VLOOKUP(Table9[[#This Row],[Shortname]], Comp[], 19, FALSE)</f>
        <v>0</v>
      </c>
      <c r="W679">
        <f>VLOOKUP(Table9[[#This Row],[Shortname]], Comp[], 20, FALSE)</f>
        <v>0</v>
      </c>
      <c r="X679">
        <f>VLOOKUP(Table9[[#This Row],[Shortname]], Comp[], 21, FALSE)</f>
        <v>0</v>
      </c>
      <c r="Y679">
        <f>VLOOKUP(Table9[[#This Row],[Shortname]], Comp[], 22, FALSE)</f>
        <v>0</v>
      </c>
      <c r="Z679">
        <f>VLOOKUP(Table9[[#This Row],[Shortname]], Comp[], 23, FALSE)</f>
        <v>0</v>
      </c>
      <c r="AA679">
        <f>VLOOKUP(Table9[[#This Row],[Shortname]], Comp[], 24, FALSE)</f>
        <v>0</v>
      </c>
      <c r="AB679">
        <f>VLOOKUP(Table9[[#This Row],[Shortname]], Comp[], 25, FALSE)</f>
        <v>0</v>
      </c>
      <c r="AC679">
        <f>VLOOKUP(Table9[[#This Row],[Shortname]], Comp[], 26, FALSE)</f>
        <v>0</v>
      </c>
      <c r="AD679">
        <f>VLOOKUP(Table9[[#This Row],[Shortname]], Comp[], 27, FALSE)</f>
        <v>0</v>
      </c>
      <c r="AE679">
        <f>VLOOKUP(Table9[[#This Row],[Shortname]], Comp[], 28, FALSE)</f>
        <v>0</v>
      </c>
      <c r="AF679">
        <f>VLOOKUP(Table9[[#This Row],[Shortname]], Comp[], 29, FALSE)</f>
        <v>0</v>
      </c>
      <c r="AG679">
        <f>VLOOKUP(Table9[[#This Row],[Shortname]], Comp[], 30, FALSE)</f>
        <v>0</v>
      </c>
      <c r="AH679">
        <f>VLOOKUP(Table9[[#This Row],[Shortname]], Comp[], 31, FALSE)</f>
        <v>0</v>
      </c>
    </row>
    <row r="680" spans="1:34" x14ac:dyDescent="0.3">
      <c r="A680" t="s">
        <v>2366</v>
      </c>
      <c r="B680" t="s">
        <v>2368</v>
      </c>
      <c r="C680" t="s">
        <v>2377</v>
      </c>
      <c r="D680">
        <v>568</v>
      </c>
      <c r="E680">
        <v>573</v>
      </c>
      <c r="F680">
        <v>1E-3</v>
      </c>
      <c r="G680">
        <v>1</v>
      </c>
      <c r="H680" t="s">
        <v>6875</v>
      </c>
      <c r="I680">
        <f>VLOOKUP(Table9[[#This Row],[Shortname]], Comp[], 6, FALSE)</f>
        <v>312</v>
      </c>
      <c r="J680" s="14">
        <f>VLOOKUP(Table9[[#This Row],[Shortname]], Comp[], 7, FALSE)</f>
        <v>83</v>
      </c>
      <c r="K680">
        <f>VLOOKUP(Table9[[#This Row],[Shortname]], Comp[], 8, FALSE)</f>
        <v>0</v>
      </c>
      <c r="L680">
        <f>VLOOKUP(Table9[[#This Row],[Shortname]], Comp[], 9, FALSE)</f>
        <v>9.8000000000000007</v>
      </c>
      <c r="M680">
        <f>VLOOKUP(Table9[[#This Row],[Shortname]], Comp[], 10, FALSE)</f>
        <v>0</v>
      </c>
      <c r="N680">
        <f>VLOOKUP(Table9[[#This Row],[Shortname]], Comp[], 11, FALSE)</f>
        <v>0</v>
      </c>
      <c r="O680">
        <f>VLOOKUP(Table9[[#This Row],[Shortname]], Comp[],12, FALSE)</f>
        <v>0</v>
      </c>
      <c r="P680">
        <f>VLOOKUP(Table9[[#This Row],[Shortname]], Comp[], 13, FALSE)</f>
        <v>0</v>
      </c>
      <c r="Q680">
        <f>VLOOKUP(Table9[[#This Row],[Shortname]], Comp[], 14, FALSE)</f>
        <v>2.1</v>
      </c>
      <c r="R680">
        <f>VLOOKUP(Table9[[#This Row],[Shortname]], Comp[], 15, FALSE)</f>
        <v>0</v>
      </c>
      <c r="S680">
        <f>VLOOKUP(Table9[[#This Row],[Shortname]], Comp[], 16, FALSE)</f>
        <v>5.0999999999999996</v>
      </c>
      <c r="T680">
        <f>VLOOKUP(Table9[[#This Row],[Shortname]], Comp[], 17, FALSE)</f>
        <v>0</v>
      </c>
      <c r="U680">
        <f>VLOOKUP(Table9[[#This Row],[Shortname]], Comp[], 18, FALSE)</f>
        <v>0</v>
      </c>
      <c r="V680">
        <f>VLOOKUP(Table9[[#This Row],[Shortname]], Comp[], 19, FALSE)</f>
        <v>0</v>
      </c>
      <c r="W680">
        <f>VLOOKUP(Table9[[#This Row],[Shortname]], Comp[], 20, FALSE)</f>
        <v>0</v>
      </c>
      <c r="X680">
        <f>VLOOKUP(Table9[[#This Row],[Shortname]], Comp[], 21, FALSE)</f>
        <v>0</v>
      </c>
      <c r="Y680">
        <f>VLOOKUP(Table9[[#This Row],[Shortname]], Comp[], 22, FALSE)</f>
        <v>0</v>
      </c>
      <c r="Z680">
        <f>VLOOKUP(Table9[[#This Row],[Shortname]], Comp[], 23, FALSE)</f>
        <v>0</v>
      </c>
      <c r="AA680">
        <f>VLOOKUP(Table9[[#This Row],[Shortname]], Comp[], 24, FALSE)</f>
        <v>0</v>
      </c>
      <c r="AB680">
        <f>VLOOKUP(Table9[[#This Row],[Shortname]], Comp[], 25, FALSE)</f>
        <v>0</v>
      </c>
      <c r="AC680">
        <f>VLOOKUP(Table9[[#This Row],[Shortname]], Comp[], 26, FALSE)</f>
        <v>0</v>
      </c>
      <c r="AD680">
        <f>VLOOKUP(Table9[[#This Row],[Shortname]], Comp[], 27, FALSE)</f>
        <v>0</v>
      </c>
      <c r="AE680">
        <f>VLOOKUP(Table9[[#This Row],[Shortname]], Comp[], 28, FALSE)</f>
        <v>0</v>
      </c>
      <c r="AF680">
        <f>VLOOKUP(Table9[[#This Row],[Shortname]], Comp[], 29, FALSE)</f>
        <v>0</v>
      </c>
      <c r="AG680">
        <f>VLOOKUP(Table9[[#This Row],[Shortname]], Comp[], 30, FALSE)</f>
        <v>0</v>
      </c>
      <c r="AH680">
        <f>VLOOKUP(Table9[[#This Row],[Shortname]], Comp[], 31, FALSE)</f>
        <v>0</v>
      </c>
    </row>
    <row r="681" spans="1:34" x14ac:dyDescent="0.3">
      <c r="A681" t="s">
        <v>2366</v>
      </c>
      <c r="B681" t="s">
        <v>2368</v>
      </c>
      <c r="C681" t="s">
        <v>2377</v>
      </c>
      <c r="D681">
        <v>562</v>
      </c>
      <c r="E681">
        <v>473</v>
      </c>
      <c r="F681">
        <v>1E-3</v>
      </c>
      <c r="G681">
        <v>1</v>
      </c>
      <c r="H681" t="s">
        <v>6875</v>
      </c>
      <c r="I681">
        <f>VLOOKUP(Table9[[#This Row],[Shortname]], Comp[], 6, FALSE)</f>
        <v>312</v>
      </c>
      <c r="J681" s="14">
        <f>VLOOKUP(Table9[[#This Row],[Shortname]], Comp[], 7, FALSE)</f>
        <v>83</v>
      </c>
      <c r="K681">
        <f>VLOOKUP(Table9[[#This Row],[Shortname]], Comp[], 8, FALSE)</f>
        <v>0</v>
      </c>
      <c r="L681">
        <f>VLOOKUP(Table9[[#This Row],[Shortname]], Comp[], 9, FALSE)</f>
        <v>9.8000000000000007</v>
      </c>
      <c r="M681">
        <f>VLOOKUP(Table9[[#This Row],[Shortname]], Comp[], 10, FALSE)</f>
        <v>0</v>
      </c>
      <c r="N681">
        <f>VLOOKUP(Table9[[#This Row],[Shortname]], Comp[], 11, FALSE)</f>
        <v>0</v>
      </c>
      <c r="O681">
        <f>VLOOKUP(Table9[[#This Row],[Shortname]], Comp[],12, FALSE)</f>
        <v>0</v>
      </c>
      <c r="P681">
        <f>VLOOKUP(Table9[[#This Row],[Shortname]], Comp[], 13, FALSE)</f>
        <v>0</v>
      </c>
      <c r="Q681">
        <f>VLOOKUP(Table9[[#This Row],[Shortname]], Comp[], 14, FALSE)</f>
        <v>2.1</v>
      </c>
      <c r="R681">
        <f>VLOOKUP(Table9[[#This Row],[Shortname]], Comp[], 15, FALSE)</f>
        <v>0</v>
      </c>
      <c r="S681">
        <f>VLOOKUP(Table9[[#This Row],[Shortname]], Comp[], 16, FALSE)</f>
        <v>5.0999999999999996</v>
      </c>
      <c r="T681">
        <f>VLOOKUP(Table9[[#This Row],[Shortname]], Comp[], 17, FALSE)</f>
        <v>0</v>
      </c>
      <c r="U681">
        <f>VLOOKUP(Table9[[#This Row],[Shortname]], Comp[], 18, FALSE)</f>
        <v>0</v>
      </c>
      <c r="V681">
        <f>VLOOKUP(Table9[[#This Row],[Shortname]], Comp[], 19, FALSE)</f>
        <v>0</v>
      </c>
      <c r="W681">
        <f>VLOOKUP(Table9[[#This Row],[Shortname]], Comp[], 20, FALSE)</f>
        <v>0</v>
      </c>
      <c r="X681">
        <f>VLOOKUP(Table9[[#This Row],[Shortname]], Comp[], 21, FALSE)</f>
        <v>0</v>
      </c>
      <c r="Y681">
        <f>VLOOKUP(Table9[[#This Row],[Shortname]], Comp[], 22, FALSE)</f>
        <v>0</v>
      </c>
      <c r="Z681">
        <f>VLOOKUP(Table9[[#This Row],[Shortname]], Comp[], 23, FALSE)</f>
        <v>0</v>
      </c>
      <c r="AA681">
        <f>VLOOKUP(Table9[[#This Row],[Shortname]], Comp[], 24, FALSE)</f>
        <v>0</v>
      </c>
      <c r="AB681">
        <f>VLOOKUP(Table9[[#This Row],[Shortname]], Comp[], 25, FALSE)</f>
        <v>0</v>
      </c>
      <c r="AC681">
        <f>VLOOKUP(Table9[[#This Row],[Shortname]], Comp[], 26, FALSE)</f>
        <v>0</v>
      </c>
      <c r="AD681">
        <f>VLOOKUP(Table9[[#This Row],[Shortname]], Comp[], 27, FALSE)</f>
        <v>0</v>
      </c>
      <c r="AE681">
        <f>VLOOKUP(Table9[[#This Row],[Shortname]], Comp[], 28, FALSE)</f>
        <v>0</v>
      </c>
      <c r="AF681">
        <f>VLOOKUP(Table9[[#This Row],[Shortname]], Comp[], 29, FALSE)</f>
        <v>0</v>
      </c>
      <c r="AG681">
        <f>VLOOKUP(Table9[[#This Row],[Shortname]], Comp[], 30, FALSE)</f>
        <v>0</v>
      </c>
      <c r="AH681">
        <f>VLOOKUP(Table9[[#This Row],[Shortname]], Comp[], 31, FALSE)</f>
        <v>0</v>
      </c>
    </row>
    <row r="682" spans="1:34" x14ac:dyDescent="0.3">
      <c r="A682" t="s">
        <v>2366</v>
      </c>
      <c r="B682" t="s">
        <v>2368</v>
      </c>
      <c r="C682" t="s">
        <v>2377</v>
      </c>
      <c r="D682">
        <v>541</v>
      </c>
      <c r="E682">
        <v>673</v>
      </c>
      <c r="F682">
        <v>1E-3</v>
      </c>
      <c r="G682">
        <v>1</v>
      </c>
      <c r="H682" t="s">
        <v>6875</v>
      </c>
      <c r="I682">
        <f>VLOOKUP(Table9[[#This Row],[Shortname]], Comp[], 6, FALSE)</f>
        <v>312</v>
      </c>
      <c r="J682" s="14">
        <f>VLOOKUP(Table9[[#This Row],[Shortname]], Comp[], 7, FALSE)</f>
        <v>83</v>
      </c>
      <c r="K682">
        <f>VLOOKUP(Table9[[#This Row],[Shortname]], Comp[], 8, FALSE)</f>
        <v>0</v>
      </c>
      <c r="L682">
        <f>VLOOKUP(Table9[[#This Row],[Shortname]], Comp[], 9, FALSE)</f>
        <v>9.8000000000000007</v>
      </c>
      <c r="M682">
        <f>VLOOKUP(Table9[[#This Row],[Shortname]], Comp[], 10, FALSE)</f>
        <v>0</v>
      </c>
      <c r="N682">
        <f>VLOOKUP(Table9[[#This Row],[Shortname]], Comp[], 11, FALSE)</f>
        <v>0</v>
      </c>
      <c r="O682">
        <f>VLOOKUP(Table9[[#This Row],[Shortname]], Comp[],12, FALSE)</f>
        <v>0</v>
      </c>
      <c r="P682">
        <f>VLOOKUP(Table9[[#This Row],[Shortname]], Comp[], 13, FALSE)</f>
        <v>0</v>
      </c>
      <c r="Q682">
        <f>VLOOKUP(Table9[[#This Row],[Shortname]], Comp[], 14, FALSE)</f>
        <v>2.1</v>
      </c>
      <c r="R682">
        <f>VLOOKUP(Table9[[#This Row],[Shortname]], Comp[], 15, FALSE)</f>
        <v>0</v>
      </c>
      <c r="S682">
        <f>VLOOKUP(Table9[[#This Row],[Shortname]], Comp[], 16, FALSE)</f>
        <v>5.0999999999999996</v>
      </c>
      <c r="T682">
        <f>VLOOKUP(Table9[[#This Row],[Shortname]], Comp[], 17, FALSE)</f>
        <v>0</v>
      </c>
      <c r="U682">
        <f>VLOOKUP(Table9[[#This Row],[Shortname]], Comp[], 18, FALSE)</f>
        <v>0</v>
      </c>
      <c r="V682">
        <f>VLOOKUP(Table9[[#This Row],[Shortname]], Comp[], 19, FALSE)</f>
        <v>0</v>
      </c>
      <c r="W682">
        <f>VLOOKUP(Table9[[#This Row],[Shortname]], Comp[], 20, FALSE)</f>
        <v>0</v>
      </c>
      <c r="X682">
        <f>VLOOKUP(Table9[[#This Row],[Shortname]], Comp[], 21, FALSE)</f>
        <v>0</v>
      </c>
      <c r="Y682">
        <f>VLOOKUP(Table9[[#This Row],[Shortname]], Comp[], 22, FALSE)</f>
        <v>0</v>
      </c>
      <c r="Z682">
        <f>VLOOKUP(Table9[[#This Row],[Shortname]], Comp[], 23, FALSE)</f>
        <v>0</v>
      </c>
      <c r="AA682">
        <f>VLOOKUP(Table9[[#This Row],[Shortname]], Comp[], 24, FALSE)</f>
        <v>0</v>
      </c>
      <c r="AB682">
        <f>VLOOKUP(Table9[[#This Row],[Shortname]], Comp[], 25, FALSE)</f>
        <v>0</v>
      </c>
      <c r="AC682">
        <f>VLOOKUP(Table9[[#This Row],[Shortname]], Comp[], 26, FALSE)</f>
        <v>0</v>
      </c>
      <c r="AD682">
        <f>VLOOKUP(Table9[[#This Row],[Shortname]], Comp[], 27, FALSE)</f>
        <v>0</v>
      </c>
      <c r="AE682">
        <f>VLOOKUP(Table9[[#This Row],[Shortname]], Comp[], 28, FALSE)</f>
        <v>0</v>
      </c>
      <c r="AF682">
        <f>VLOOKUP(Table9[[#This Row],[Shortname]], Comp[], 29, FALSE)</f>
        <v>0</v>
      </c>
      <c r="AG682">
        <f>VLOOKUP(Table9[[#This Row],[Shortname]], Comp[], 30, FALSE)</f>
        <v>0</v>
      </c>
      <c r="AH682">
        <f>VLOOKUP(Table9[[#This Row],[Shortname]], Comp[], 31, FALSE)</f>
        <v>0</v>
      </c>
    </row>
    <row r="683" spans="1:34" x14ac:dyDescent="0.3">
      <c r="A683" t="s">
        <v>2366</v>
      </c>
      <c r="B683" t="s">
        <v>2368</v>
      </c>
      <c r="C683" t="s">
        <v>2377</v>
      </c>
      <c r="D683">
        <v>473</v>
      </c>
      <c r="E683">
        <v>773</v>
      </c>
      <c r="F683">
        <v>1E-3</v>
      </c>
      <c r="G683">
        <v>1</v>
      </c>
      <c r="H683" t="s">
        <v>6875</v>
      </c>
      <c r="I683">
        <f>VLOOKUP(Table9[[#This Row],[Shortname]], Comp[], 6, FALSE)</f>
        <v>312</v>
      </c>
      <c r="J683" s="14">
        <f>VLOOKUP(Table9[[#This Row],[Shortname]], Comp[], 7, FALSE)</f>
        <v>83</v>
      </c>
      <c r="K683">
        <f>VLOOKUP(Table9[[#This Row],[Shortname]], Comp[], 8, FALSE)</f>
        <v>0</v>
      </c>
      <c r="L683">
        <f>VLOOKUP(Table9[[#This Row],[Shortname]], Comp[], 9, FALSE)</f>
        <v>9.8000000000000007</v>
      </c>
      <c r="M683">
        <f>VLOOKUP(Table9[[#This Row],[Shortname]], Comp[], 10, FALSE)</f>
        <v>0</v>
      </c>
      <c r="N683">
        <f>VLOOKUP(Table9[[#This Row],[Shortname]], Comp[], 11, FALSE)</f>
        <v>0</v>
      </c>
      <c r="O683">
        <f>VLOOKUP(Table9[[#This Row],[Shortname]], Comp[],12, FALSE)</f>
        <v>0</v>
      </c>
      <c r="P683">
        <f>VLOOKUP(Table9[[#This Row],[Shortname]], Comp[], 13, FALSE)</f>
        <v>0</v>
      </c>
      <c r="Q683">
        <f>VLOOKUP(Table9[[#This Row],[Shortname]], Comp[], 14, FALSE)</f>
        <v>2.1</v>
      </c>
      <c r="R683">
        <f>VLOOKUP(Table9[[#This Row],[Shortname]], Comp[], 15, FALSE)</f>
        <v>0</v>
      </c>
      <c r="S683">
        <f>VLOOKUP(Table9[[#This Row],[Shortname]], Comp[], 16, FALSE)</f>
        <v>5.0999999999999996</v>
      </c>
      <c r="T683">
        <f>VLOOKUP(Table9[[#This Row],[Shortname]], Comp[], 17, FALSE)</f>
        <v>0</v>
      </c>
      <c r="U683">
        <f>VLOOKUP(Table9[[#This Row],[Shortname]], Comp[], 18, FALSE)</f>
        <v>0</v>
      </c>
      <c r="V683">
        <f>VLOOKUP(Table9[[#This Row],[Shortname]], Comp[], 19, FALSE)</f>
        <v>0</v>
      </c>
      <c r="W683">
        <f>VLOOKUP(Table9[[#This Row],[Shortname]], Comp[], 20, FALSE)</f>
        <v>0</v>
      </c>
      <c r="X683">
        <f>VLOOKUP(Table9[[#This Row],[Shortname]], Comp[], 21, FALSE)</f>
        <v>0</v>
      </c>
      <c r="Y683">
        <f>VLOOKUP(Table9[[#This Row],[Shortname]], Comp[], 22, FALSE)</f>
        <v>0</v>
      </c>
      <c r="Z683">
        <f>VLOOKUP(Table9[[#This Row],[Shortname]], Comp[], 23, FALSE)</f>
        <v>0</v>
      </c>
      <c r="AA683">
        <f>VLOOKUP(Table9[[#This Row],[Shortname]], Comp[], 24, FALSE)</f>
        <v>0</v>
      </c>
      <c r="AB683">
        <f>VLOOKUP(Table9[[#This Row],[Shortname]], Comp[], 25, FALSE)</f>
        <v>0</v>
      </c>
      <c r="AC683">
        <f>VLOOKUP(Table9[[#This Row],[Shortname]], Comp[], 26, FALSE)</f>
        <v>0</v>
      </c>
      <c r="AD683">
        <f>VLOOKUP(Table9[[#This Row],[Shortname]], Comp[], 27, FALSE)</f>
        <v>0</v>
      </c>
      <c r="AE683">
        <f>VLOOKUP(Table9[[#This Row],[Shortname]], Comp[], 28, FALSE)</f>
        <v>0</v>
      </c>
      <c r="AF683">
        <f>VLOOKUP(Table9[[#This Row],[Shortname]], Comp[], 29, FALSE)</f>
        <v>0</v>
      </c>
      <c r="AG683">
        <f>VLOOKUP(Table9[[#This Row],[Shortname]], Comp[], 30, FALSE)</f>
        <v>0</v>
      </c>
      <c r="AH683">
        <f>VLOOKUP(Table9[[#This Row],[Shortname]], Comp[], 31, FALSE)</f>
        <v>0</v>
      </c>
    </row>
    <row r="684" spans="1:34" x14ac:dyDescent="0.3">
      <c r="A684" t="s">
        <v>2366</v>
      </c>
      <c r="B684" t="s">
        <v>2368</v>
      </c>
      <c r="C684" t="s">
        <v>2377</v>
      </c>
      <c r="D684">
        <v>390</v>
      </c>
      <c r="E684">
        <v>873</v>
      </c>
      <c r="F684">
        <v>1E-3</v>
      </c>
      <c r="G684">
        <v>1</v>
      </c>
      <c r="H684" t="s">
        <v>6875</v>
      </c>
      <c r="I684">
        <f>VLOOKUP(Table9[[#This Row],[Shortname]], Comp[], 6, FALSE)</f>
        <v>312</v>
      </c>
      <c r="J684" s="14">
        <f>VLOOKUP(Table9[[#This Row],[Shortname]], Comp[], 7, FALSE)</f>
        <v>83</v>
      </c>
      <c r="K684">
        <f>VLOOKUP(Table9[[#This Row],[Shortname]], Comp[], 8, FALSE)</f>
        <v>0</v>
      </c>
      <c r="L684">
        <f>VLOOKUP(Table9[[#This Row],[Shortname]], Comp[], 9, FALSE)</f>
        <v>9.8000000000000007</v>
      </c>
      <c r="M684">
        <f>VLOOKUP(Table9[[#This Row],[Shortname]], Comp[], 10, FALSE)</f>
        <v>0</v>
      </c>
      <c r="N684">
        <f>VLOOKUP(Table9[[#This Row],[Shortname]], Comp[], 11, FALSE)</f>
        <v>0</v>
      </c>
      <c r="O684">
        <f>VLOOKUP(Table9[[#This Row],[Shortname]], Comp[],12, FALSE)</f>
        <v>0</v>
      </c>
      <c r="P684">
        <f>VLOOKUP(Table9[[#This Row],[Shortname]], Comp[], 13, FALSE)</f>
        <v>0</v>
      </c>
      <c r="Q684">
        <f>VLOOKUP(Table9[[#This Row],[Shortname]], Comp[], 14, FALSE)</f>
        <v>2.1</v>
      </c>
      <c r="R684">
        <f>VLOOKUP(Table9[[#This Row],[Shortname]], Comp[], 15, FALSE)</f>
        <v>0</v>
      </c>
      <c r="S684">
        <f>VLOOKUP(Table9[[#This Row],[Shortname]], Comp[], 16, FALSE)</f>
        <v>5.0999999999999996</v>
      </c>
      <c r="T684">
        <f>VLOOKUP(Table9[[#This Row],[Shortname]], Comp[], 17, FALSE)</f>
        <v>0</v>
      </c>
      <c r="U684">
        <f>VLOOKUP(Table9[[#This Row],[Shortname]], Comp[], 18, FALSE)</f>
        <v>0</v>
      </c>
      <c r="V684">
        <f>VLOOKUP(Table9[[#This Row],[Shortname]], Comp[], 19, FALSE)</f>
        <v>0</v>
      </c>
      <c r="W684">
        <f>VLOOKUP(Table9[[#This Row],[Shortname]], Comp[], 20, FALSE)</f>
        <v>0</v>
      </c>
      <c r="X684">
        <f>VLOOKUP(Table9[[#This Row],[Shortname]], Comp[], 21, FALSE)</f>
        <v>0</v>
      </c>
      <c r="Y684">
        <f>VLOOKUP(Table9[[#This Row],[Shortname]], Comp[], 22, FALSE)</f>
        <v>0</v>
      </c>
      <c r="Z684">
        <f>VLOOKUP(Table9[[#This Row],[Shortname]], Comp[], 23, FALSE)</f>
        <v>0</v>
      </c>
      <c r="AA684">
        <f>VLOOKUP(Table9[[#This Row],[Shortname]], Comp[], 24, FALSE)</f>
        <v>0</v>
      </c>
      <c r="AB684">
        <f>VLOOKUP(Table9[[#This Row],[Shortname]], Comp[], 25, FALSE)</f>
        <v>0</v>
      </c>
      <c r="AC684">
        <f>VLOOKUP(Table9[[#This Row],[Shortname]], Comp[], 26, FALSE)</f>
        <v>0</v>
      </c>
      <c r="AD684">
        <f>VLOOKUP(Table9[[#This Row],[Shortname]], Comp[], 27, FALSE)</f>
        <v>0</v>
      </c>
      <c r="AE684">
        <f>VLOOKUP(Table9[[#This Row],[Shortname]], Comp[], 28, FALSE)</f>
        <v>0</v>
      </c>
      <c r="AF684">
        <f>VLOOKUP(Table9[[#This Row],[Shortname]], Comp[], 29, FALSE)</f>
        <v>0</v>
      </c>
      <c r="AG684">
        <f>VLOOKUP(Table9[[#This Row],[Shortname]], Comp[], 30, FALSE)</f>
        <v>0</v>
      </c>
      <c r="AH684">
        <f>VLOOKUP(Table9[[#This Row],[Shortname]], Comp[], 31, FALSE)</f>
        <v>0</v>
      </c>
    </row>
    <row r="685" spans="1:34" x14ac:dyDescent="0.3">
      <c r="A685" t="s">
        <v>2578</v>
      </c>
      <c r="B685" t="s">
        <v>2580</v>
      </c>
      <c r="C685" t="s">
        <v>2581</v>
      </c>
      <c r="D685">
        <v>720</v>
      </c>
      <c r="E685">
        <v>25</v>
      </c>
      <c r="F685">
        <v>1E-3</v>
      </c>
      <c r="G685">
        <v>1</v>
      </c>
      <c r="H685" t="s">
        <v>6875</v>
      </c>
      <c r="I685">
        <f>VLOOKUP(Table9[[#This Row],[Shortname]], Comp[], 6, FALSE)</f>
        <v>341</v>
      </c>
      <c r="J685" s="14">
        <f>VLOOKUP(Table9[[#This Row],[Shortname]], Comp[], 7, FALSE)</f>
        <v>38.9</v>
      </c>
      <c r="K685">
        <f>VLOOKUP(Table9[[#This Row],[Shortname]], Comp[], 8, FALSE)</f>
        <v>30.4</v>
      </c>
      <c r="L685">
        <f>VLOOKUP(Table9[[#This Row],[Shortname]], Comp[], 9, FALSE)</f>
        <v>9.6999999999999993</v>
      </c>
      <c r="M685">
        <f>VLOOKUP(Table9[[#This Row],[Shortname]], Comp[], 10, FALSE)</f>
        <v>11.5</v>
      </c>
      <c r="N685">
        <f>VLOOKUP(Table9[[#This Row],[Shortname]], Comp[], 11, FALSE)</f>
        <v>0</v>
      </c>
      <c r="O685">
        <f>VLOOKUP(Table9[[#This Row],[Shortname]], Comp[],12, FALSE)</f>
        <v>2.1</v>
      </c>
      <c r="P685">
        <f>VLOOKUP(Table9[[#This Row],[Shortname]], Comp[], 13, FALSE)</f>
        <v>2.2000000000000002</v>
      </c>
      <c r="Q685">
        <f>VLOOKUP(Table9[[#This Row],[Shortname]], Comp[], 14, FALSE)</f>
        <v>0</v>
      </c>
      <c r="R685">
        <f>VLOOKUP(Table9[[#This Row],[Shortname]], Comp[], 15, FALSE)</f>
        <v>0</v>
      </c>
      <c r="S685">
        <f>VLOOKUP(Table9[[#This Row],[Shortname]], Comp[], 16, FALSE)</f>
        <v>5.2</v>
      </c>
      <c r="T685">
        <f>VLOOKUP(Table9[[#This Row],[Shortname]], Comp[], 17, FALSE)</f>
        <v>0</v>
      </c>
      <c r="U685">
        <f>VLOOKUP(Table9[[#This Row],[Shortname]], Comp[], 18, FALSE)</f>
        <v>0</v>
      </c>
      <c r="V685">
        <f>VLOOKUP(Table9[[#This Row],[Shortname]], Comp[], 19, FALSE)</f>
        <v>0</v>
      </c>
      <c r="W685">
        <f>VLOOKUP(Table9[[#This Row],[Shortname]], Comp[], 20, FALSE)</f>
        <v>0</v>
      </c>
      <c r="X685">
        <f>VLOOKUP(Table9[[#This Row],[Shortname]], Comp[], 21, FALSE)</f>
        <v>0</v>
      </c>
      <c r="Y685">
        <f>VLOOKUP(Table9[[#This Row],[Shortname]], Comp[], 22, FALSE)</f>
        <v>0</v>
      </c>
      <c r="Z685">
        <f>VLOOKUP(Table9[[#This Row],[Shortname]], Comp[], 23, FALSE)</f>
        <v>0</v>
      </c>
      <c r="AA685">
        <f>VLOOKUP(Table9[[#This Row],[Shortname]], Comp[], 24, FALSE)</f>
        <v>0</v>
      </c>
      <c r="AB685">
        <f>VLOOKUP(Table9[[#This Row],[Shortname]], Comp[], 25, FALSE)</f>
        <v>0</v>
      </c>
      <c r="AC685">
        <f>VLOOKUP(Table9[[#This Row],[Shortname]], Comp[], 26, FALSE)</f>
        <v>0</v>
      </c>
      <c r="AD685">
        <f>VLOOKUP(Table9[[#This Row],[Shortname]], Comp[], 27, FALSE)</f>
        <v>0</v>
      </c>
      <c r="AE685">
        <f>VLOOKUP(Table9[[#This Row],[Shortname]], Comp[], 28, FALSE)</f>
        <v>0</v>
      </c>
      <c r="AF685">
        <f>VLOOKUP(Table9[[#This Row],[Shortname]], Comp[], 29, FALSE)</f>
        <v>0</v>
      </c>
      <c r="AG685">
        <f>VLOOKUP(Table9[[#This Row],[Shortname]], Comp[], 30, FALSE)</f>
        <v>0</v>
      </c>
      <c r="AH685">
        <f>VLOOKUP(Table9[[#This Row],[Shortname]], Comp[], 31, FALSE)</f>
        <v>0</v>
      </c>
    </row>
    <row r="686" spans="1:34" x14ac:dyDescent="0.3">
      <c r="A686" t="s">
        <v>2578</v>
      </c>
      <c r="B686" t="s">
        <v>2580</v>
      </c>
      <c r="C686" t="s">
        <v>2581</v>
      </c>
      <c r="D686">
        <v>720</v>
      </c>
      <c r="E686">
        <v>870</v>
      </c>
      <c r="F686">
        <v>1E-3</v>
      </c>
      <c r="G686">
        <v>1</v>
      </c>
      <c r="H686" t="s">
        <v>6875</v>
      </c>
      <c r="I686">
        <f>VLOOKUP(Table9[[#This Row],[Shortname]], Comp[], 6, FALSE)</f>
        <v>341</v>
      </c>
      <c r="J686" s="14">
        <f>VLOOKUP(Table9[[#This Row],[Shortname]], Comp[], 7, FALSE)</f>
        <v>38.9</v>
      </c>
      <c r="K686">
        <f>VLOOKUP(Table9[[#This Row],[Shortname]], Comp[], 8, FALSE)</f>
        <v>30.4</v>
      </c>
      <c r="L686">
        <f>VLOOKUP(Table9[[#This Row],[Shortname]], Comp[], 9, FALSE)</f>
        <v>9.6999999999999993</v>
      </c>
      <c r="M686">
        <f>VLOOKUP(Table9[[#This Row],[Shortname]], Comp[], 10, FALSE)</f>
        <v>11.5</v>
      </c>
      <c r="N686">
        <f>VLOOKUP(Table9[[#This Row],[Shortname]], Comp[], 11, FALSE)</f>
        <v>0</v>
      </c>
      <c r="O686">
        <f>VLOOKUP(Table9[[#This Row],[Shortname]], Comp[],12, FALSE)</f>
        <v>2.1</v>
      </c>
      <c r="P686">
        <f>VLOOKUP(Table9[[#This Row],[Shortname]], Comp[], 13, FALSE)</f>
        <v>2.2000000000000002</v>
      </c>
      <c r="Q686">
        <f>VLOOKUP(Table9[[#This Row],[Shortname]], Comp[], 14, FALSE)</f>
        <v>0</v>
      </c>
      <c r="R686">
        <f>VLOOKUP(Table9[[#This Row],[Shortname]], Comp[], 15, FALSE)</f>
        <v>0</v>
      </c>
      <c r="S686">
        <f>VLOOKUP(Table9[[#This Row],[Shortname]], Comp[], 16, FALSE)</f>
        <v>5.2</v>
      </c>
      <c r="T686">
        <f>VLOOKUP(Table9[[#This Row],[Shortname]], Comp[], 17, FALSE)</f>
        <v>0</v>
      </c>
      <c r="U686">
        <f>VLOOKUP(Table9[[#This Row],[Shortname]], Comp[], 18, FALSE)</f>
        <v>0</v>
      </c>
      <c r="V686">
        <f>VLOOKUP(Table9[[#This Row],[Shortname]], Comp[], 19, FALSE)</f>
        <v>0</v>
      </c>
      <c r="W686">
        <f>VLOOKUP(Table9[[#This Row],[Shortname]], Comp[], 20, FALSE)</f>
        <v>0</v>
      </c>
      <c r="X686">
        <f>VLOOKUP(Table9[[#This Row],[Shortname]], Comp[], 21, FALSE)</f>
        <v>0</v>
      </c>
      <c r="Y686">
        <f>VLOOKUP(Table9[[#This Row],[Shortname]], Comp[], 22, FALSE)</f>
        <v>0</v>
      </c>
      <c r="Z686">
        <f>VLOOKUP(Table9[[#This Row],[Shortname]], Comp[], 23, FALSE)</f>
        <v>0</v>
      </c>
      <c r="AA686">
        <f>VLOOKUP(Table9[[#This Row],[Shortname]], Comp[], 24, FALSE)</f>
        <v>0</v>
      </c>
      <c r="AB686">
        <f>VLOOKUP(Table9[[#This Row],[Shortname]], Comp[], 25, FALSE)</f>
        <v>0</v>
      </c>
      <c r="AC686">
        <f>VLOOKUP(Table9[[#This Row],[Shortname]], Comp[], 26, FALSE)</f>
        <v>0</v>
      </c>
      <c r="AD686">
        <f>VLOOKUP(Table9[[#This Row],[Shortname]], Comp[], 27, FALSE)</f>
        <v>0</v>
      </c>
      <c r="AE686">
        <f>VLOOKUP(Table9[[#This Row],[Shortname]], Comp[], 28, FALSE)</f>
        <v>0</v>
      </c>
      <c r="AF686">
        <f>VLOOKUP(Table9[[#This Row],[Shortname]], Comp[], 29, FALSE)</f>
        <v>0</v>
      </c>
      <c r="AG686">
        <f>VLOOKUP(Table9[[#This Row],[Shortname]], Comp[], 30, FALSE)</f>
        <v>0</v>
      </c>
      <c r="AH686">
        <f>VLOOKUP(Table9[[#This Row],[Shortname]], Comp[], 31, FALSE)</f>
        <v>0</v>
      </c>
    </row>
    <row r="687" spans="1:34" x14ac:dyDescent="0.3">
      <c r="A687" t="s">
        <v>2578</v>
      </c>
      <c r="B687" t="s">
        <v>2580</v>
      </c>
      <c r="C687" t="s">
        <v>2581</v>
      </c>
      <c r="D687">
        <v>715</v>
      </c>
      <c r="E687">
        <v>470</v>
      </c>
      <c r="F687">
        <v>1E-3</v>
      </c>
      <c r="G687">
        <v>1</v>
      </c>
      <c r="H687" t="s">
        <v>6875</v>
      </c>
      <c r="I687">
        <f>VLOOKUP(Table9[[#This Row],[Shortname]], Comp[], 6, FALSE)</f>
        <v>341</v>
      </c>
      <c r="J687" s="14">
        <f>VLOOKUP(Table9[[#This Row],[Shortname]], Comp[], 7, FALSE)</f>
        <v>38.9</v>
      </c>
      <c r="K687">
        <f>VLOOKUP(Table9[[#This Row],[Shortname]], Comp[], 8, FALSE)</f>
        <v>30.4</v>
      </c>
      <c r="L687">
        <f>VLOOKUP(Table9[[#This Row],[Shortname]], Comp[], 9, FALSE)</f>
        <v>9.6999999999999993</v>
      </c>
      <c r="M687">
        <f>VLOOKUP(Table9[[#This Row],[Shortname]], Comp[], 10, FALSE)</f>
        <v>11.5</v>
      </c>
      <c r="N687">
        <f>VLOOKUP(Table9[[#This Row],[Shortname]], Comp[], 11, FALSE)</f>
        <v>0</v>
      </c>
      <c r="O687">
        <f>VLOOKUP(Table9[[#This Row],[Shortname]], Comp[],12, FALSE)</f>
        <v>2.1</v>
      </c>
      <c r="P687">
        <f>VLOOKUP(Table9[[#This Row],[Shortname]], Comp[], 13, FALSE)</f>
        <v>2.2000000000000002</v>
      </c>
      <c r="Q687">
        <f>VLOOKUP(Table9[[#This Row],[Shortname]], Comp[], 14, FALSE)</f>
        <v>0</v>
      </c>
      <c r="R687">
        <f>VLOOKUP(Table9[[#This Row],[Shortname]], Comp[], 15, FALSE)</f>
        <v>0</v>
      </c>
      <c r="S687">
        <f>VLOOKUP(Table9[[#This Row],[Shortname]], Comp[], 16, FALSE)</f>
        <v>5.2</v>
      </c>
      <c r="T687">
        <f>VLOOKUP(Table9[[#This Row],[Shortname]], Comp[], 17, FALSE)</f>
        <v>0</v>
      </c>
      <c r="U687">
        <f>VLOOKUP(Table9[[#This Row],[Shortname]], Comp[], 18, FALSE)</f>
        <v>0</v>
      </c>
      <c r="V687">
        <f>VLOOKUP(Table9[[#This Row],[Shortname]], Comp[], 19, FALSE)</f>
        <v>0</v>
      </c>
      <c r="W687">
        <f>VLOOKUP(Table9[[#This Row],[Shortname]], Comp[], 20, FALSE)</f>
        <v>0</v>
      </c>
      <c r="X687">
        <f>VLOOKUP(Table9[[#This Row],[Shortname]], Comp[], 21, FALSE)</f>
        <v>0</v>
      </c>
      <c r="Y687">
        <f>VLOOKUP(Table9[[#This Row],[Shortname]], Comp[], 22, FALSE)</f>
        <v>0</v>
      </c>
      <c r="Z687">
        <f>VLOOKUP(Table9[[#This Row],[Shortname]], Comp[], 23, FALSE)</f>
        <v>0</v>
      </c>
      <c r="AA687">
        <f>VLOOKUP(Table9[[#This Row],[Shortname]], Comp[], 24, FALSE)</f>
        <v>0</v>
      </c>
      <c r="AB687">
        <f>VLOOKUP(Table9[[#This Row],[Shortname]], Comp[], 25, FALSE)</f>
        <v>0</v>
      </c>
      <c r="AC687">
        <f>VLOOKUP(Table9[[#This Row],[Shortname]], Comp[], 26, FALSE)</f>
        <v>0</v>
      </c>
      <c r="AD687">
        <f>VLOOKUP(Table9[[#This Row],[Shortname]], Comp[], 27, FALSE)</f>
        <v>0</v>
      </c>
      <c r="AE687">
        <f>VLOOKUP(Table9[[#This Row],[Shortname]], Comp[], 28, FALSE)</f>
        <v>0</v>
      </c>
      <c r="AF687">
        <f>VLOOKUP(Table9[[#This Row],[Shortname]], Comp[], 29, FALSE)</f>
        <v>0</v>
      </c>
      <c r="AG687">
        <f>VLOOKUP(Table9[[#This Row],[Shortname]], Comp[], 30, FALSE)</f>
        <v>0</v>
      </c>
      <c r="AH687">
        <f>VLOOKUP(Table9[[#This Row],[Shortname]], Comp[], 31, FALSE)</f>
        <v>0</v>
      </c>
    </row>
    <row r="688" spans="1:34" x14ac:dyDescent="0.3">
      <c r="A688" t="s">
        <v>2578</v>
      </c>
      <c r="B688" t="s">
        <v>2580</v>
      </c>
      <c r="C688" t="s">
        <v>2581</v>
      </c>
      <c r="D688">
        <v>711</v>
      </c>
      <c r="E688">
        <v>570</v>
      </c>
      <c r="F688">
        <v>1E-3</v>
      </c>
      <c r="G688">
        <v>1</v>
      </c>
      <c r="H688" t="s">
        <v>6875</v>
      </c>
      <c r="I688">
        <f>VLOOKUP(Table9[[#This Row],[Shortname]], Comp[], 6, FALSE)</f>
        <v>341</v>
      </c>
      <c r="J688" s="14">
        <f>VLOOKUP(Table9[[#This Row],[Shortname]], Comp[], 7, FALSE)</f>
        <v>38.9</v>
      </c>
      <c r="K688">
        <f>VLOOKUP(Table9[[#This Row],[Shortname]], Comp[], 8, FALSE)</f>
        <v>30.4</v>
      </c>
      <c r="L688">
        <f>VLOOKUP(Table9[[#This Row],[Shortname]], Comp[], 9, FALSE)</f>
        <v>9.6999999999999993</v>
      </c>
      <c r="M688">
        <f>VLOOKUP(Table9[[#This Row],[Shortname]], Comp[], 10, FALSE)</f>
        <v>11.5</v>
      </c>
      <c r="N688">
        <f>VLOOKUP(Table9[[#This Row],[Shortname]], Comp[], 11, FALSE)</f>
        <v>0</v>
      </c>
      <c r="O688">
        <f>VLOOKUP(Table9[[#This Row],[Shortname]], Comp[],12, FALSE)</f>
        <v>2.1</v>
      </c>
      <c r="P688">
        <f>VLOOKUP(Table9[[#This Row],[Shortname]], Comp[], 13, FALSE)</f>
        <v>2.2000000000000002</v>
      </c>
      <c r="Q688">
        <f>VLOOKUP(Table9[[#This Row],[Shortname]], Comp[], 14, FALSE)</f>
        <v>0</v>
      </c>
      <c r="R688">
        <f>VLOOKUP(Table9[[#This Row],[Shortname]], Comp[], 15, FALSE)</f>
        <v>0</v>
      </c>
      <c r="S688">
        <f>VLOOKUP(Table9[[#This Row],[Shortname]], Comp[], 16, FALSE)</f>
        <v>5.2</v>
      </c>
      <c r="T688">
        <f>VLOOKUP(Table9[[#This Row],[Shortname]], Comp[], 17, FALSE)</f>
        <v>0</v>
      </c>
      <c r="U688">
        <f>VLOOKUP(Table9[[#This Row],[Shortname]], Comp[], 18, FALSE)</f>
        <v>0</v>
      </c>
      <c r="V688">
        <f>VLOOKUP(Table9[[#This Row],[Shortname]], Comp[], 19, FALSE)</f>
        <v>0</v>
      </c>
      <c r="W688">
        <f>VLOOKUP(Table9[[#This Row],[Shortname]], Comp[], 20, FALSE)</f>
        <v>0</v>
      </c>
      <c r="X688">
        <f>VLOOKUP(Table9[[#This Row],[Shortname]], Comp[], 21, FALSE)</f>
        <v>0</v>
      </c>
      <c r="Y688">
        <f>VLOOKUP(Table9[[#This Row],[Shortname]], Comp[], 22, FALSE)</f>
        <v>0</v>
      </c>
      <c r="Z688">
        <f>VLOOKUP(Table9[[#This Row],[Shortname]], Comp[], 23, FALSE)</f>
        <v>0</v>
      </c>
      <c r="AA688">
        <f>VLOOKUP(Table9[[#This Row],[Shortname]], Comp[], 24, FALSE)</f>
        <v>0</v>
      </c>
      <c r="AB688">
        <f>VLOOKUP(Table9[[#This Row],[Shortname]], Comp[], 25, FALSE)</f>
        <v>0</v>
      </c>
      <c r="AC688">
        <f>VLOOKUP(Table9[[#This Row],[Shortname]], Comp[], 26, FALSE)</f>
        <v>0</v>
      </c>
      <c r="AD688">
        <f>VLOOKUP(Table9[[#This Row],[Shortname]], Comp[], 27, FALSE)</f>
        <v>0</v>
      </c>
      <c r="AE688">
        <f>VLOOKUP(Table9[[#This Row],[Shortname]], Comp[], 28, FALSE)</f>
        <v>0</v>
      </c>
      <c r="AF688">
        <f>VLOOKUP(Table9[[#This Row],[Shortname]], Comp[], 29, FALSE)</f>
        <v>0</v>
      </c>
      <c r="AG688">
        <f>VLOOKUP(Table9[[#This Row],[Shortname]], Comp[], 30, FALSE)</f>
        <v>0</v>
      </c>
      <c r="AH688">
        <f>VLOOKUP(Table9[[#This Row],[Shortname]], Comp[], 31, FALSE)</f>
        <v>0</v>
      </c>
    </row>
    <row r="689" spans="1:34" x14ac:dyDescent="0.3">
      <c r="A689" t="s">
        <v>2578</v>
      </c>
      <c r="B689" t="s">
        <v>2580</v>
      </c>
      <c r="C689" t="s">
        <v>2581</v>
      </c>
      <c r="D689">
        <v>711</v>
      </c>
      <c r="E689">
        <v>670</v>
      </c>
      <c r="F689">
        <v>1E-3</v>
      </c>
      <c r="G689">
        <v>1</v>
      </c>
      <c r="H689" t="s">
        <v>6875</v>
      </c>
      <c r="I689">
        <f>VLOOKUP(Table9[[#This Row],[Shortname]], Comp[], 6, FALSE)</f>
        <v>341</v>
      </c>
      <c r="J689" s="14">
        <f>VLOOKUP(Table9[[#This Row],[Shortname]], Comp[], 7, FALSE)</f>
        <v>38.9</v>
      </c>
      <c r="K689">
        <f>VLOOKUP(Table9[[#This Row],[Shortname]], Comp[], 8, FALSE)</f>
        <v>30.4</v>
      </c>
      <c r="L689">
        <f>VLOOKUP(Table9[[#This Row],[Shortname]], Comp[], 9, FALSE)</f>
        <v>9.6999999999999993</v>
      </c>
      <c r="M689">
        <f>VLOOKUP(Table9[[#This Row],[Shortname]], Comp[], 10, FALSE)</f>
        <v>11.5</v>
      </c>
      <c r="N689">
        <f>VLOOKUP(Table9[[#This Row],[Shortname]], Comp[], 11, FALSE)</f>
        <v>0</v>
      </c>
      <c r="O689">
        <f>VLOOKUP(Table9[[#This Row],[Shortname]], Comp[],12, FALSE)</f>
        <v>2.1</v>
      </c>
      <c r="P689">
        <f>VLOOKUP(Table9[[#This Row],[Shortname]], Comp[], 13, FALSE)</f>
        <v>2.2000000000000002</v>
      </c>
      <c r="Q689">
        <f>VLOOKUP(Table9[[#This Row],[Shortname]], Comp[], 14, FALSE)</f>
        <v>0</v>
      </c>
      <c r="R689">
        <f>VLOOKUP(Table9[[#This Row],[Shortname]], Comp[], 15, FALSE)</f>
        <v>0</v>
      </c>
      <c r="S689">
        <f>VLOOKUP(Table9[[#This Row],[Shortname]], Comp[], 16, FALSE)</f>
        <v>5.2</v>
      </c>
      <c r="T689">
        <f>VLOOKUP(Table9[[#This Row],[Shortname]], Comp[], 17, FALSE)</f>
        <v>0</v>
      </c>
      <c r="U689">
        <f>VLOOKUP(Table9[[#This Row],[Shortname]], Comp[], 18, FALSE)</f>
        <v>0</v>
      </c>
      <c r="V689">
        <f>VLOOKUP(Table9[[#This Row],[Shortname]], Comp[], 19, FALSE)</f>
        <v>0</v>
      </c>
      <c r="W689">
        <f>VLOOKUP(Table9[[#This Row],[Shortname]], Comp[], 20, FALSE)</f>
        <v>0</v>
      </c>
      <c r="X689">
        <f>VLOOKUP(Table9[[#This Row],[Shortname]], Comp[], 21, FALSE)</f>
        <v>0</v>
      </c>
      <c r="Y689">
        <f>VLOOKUP(Table9[[#This Row],[Shortname]], Comp[], 22, FALSE)</f>
        <v>0</v>
      </c>
      <c r="Z689">
        <f>VLOOKUP(Table9[[#This Row],[Shortname]], Comp[], 23, FALSE)</f>
        <v>0</v>
      </c>
      <c r="AA689">
        <f>VLOOKUP(Table9[[#This Row],[Shortname]], Comp[], 24, FALSE)</f>
        <v>0</v>
      </c>
      <c r="AB689">
        <f>VLOOKUP(Table9[[#This Row],[Shortname]], Comp[], 25, FALSE)</f>
        <v>0</v>
      </c>
      <c r="AC689">
        <f>VLOOKUP(Table9[[#This Row],[Shortname]], Comp[], 26, FALSE)</f>
        <v>0</v>
      </c>
      <c r="AD689">
        <f>VLOOKUP(Table9[[#This Row],[Shortname]], Comp[], 27, FALSE)</f>
        <v>0</v>
      </c>
      <c r="AE689">
        <f>VLOOKUP(Table9[[#This Row],[Shortname]], Comp[], 28, FALSE)</f>
        <v>0</v>
      </c>
      <c r="AF689">
        <f>VLOOKUP(Table9[[#This Row],[Shortname]], Comp[], 29, FALSE)</f>
        <v>0</v>
      </c>
      <c r="AG689">
        <f>VLOOKUP(Table9[[#This Row],[Shortname]], Comp[], 30, FALSE)</f>
        <v>0</v>
      </c>
      <c r="AH689">
        <f>VLOOKUP(Table9[[#This Row],[Shortname]], Comp[], 31, FALSE)</f>
        <v>0</v>
      </c>
    </row>
    <row r="690" spans="1:34" x14ac:dyDescent="0.3">
      <c r="A690" t="s">
        <v>2578</v>
      </c>
      <c r="B690" t="s">
        <v>2580</v>
      </c>
      <c r="C690" t="s">
        <v>2581</v>
      </c>
      <c r="D690">
        <v>639</v>
      </c>
      <c r="E690">
        <v>770</v>
      </c>
      <c r="F690">
        <v>1E-3</v>
      </c>
      <c r="G690">
        <v>1</v>
      </c>
      <c r="H690" t="s">
        <v>6875</v>
      </c>
      <c r="I690">
        <f>VLOOKUP(Table9[[#This Row],[Shortname]], Comp[], 6, FALSE)</f>
        <v>341</v>
      </c>
      <c r="J690" s="14">
        <f>VLOOKUP(Table9[[#This Row],[Shortname]], Comp[], 7, FALSE)</f>
        <v>38.9</v>
      </c>
      <c r="K690">
        <f>VLOOKUP(Table9[[#This Row],[Shortname]], Comp[], 8, FALSE)</f>
        <v>30.4</v>
      </c>
      <c r="L690">
        <f>VLOOKUP(Table9[[#This Row],[Shortname]], Comp[], 9, FALSE)</f>
        <v>9.6999999999999993</v>
      </c>
      <c r="M690">
        <f>VLOOKUP(Table9[[#This Row],[Shortname]], Comp[], 10, FALSE)</f>
        <v>11.5</v>
      </c>
      <c r="N690">
        <f>VLOOKUP(Table9[[#This Row],[Shortname]], Comp[], 11, FALSE)</f>
        <v>0</v>
      </c>
      <c r="O690">
        <f>VLOOKUP(Table9[[#This Row],[Shortname]], Comp[],12, FALSE)</f>
        <v>2.1</v>
      </c>
      <c r="P690">
        <f>VLOOKUP(Table9[[#This Row],[Shortname]], Comp[], 13, FALSE)</f>
        <v>2.2000000000000002</v>
      </c>
      <c r="Q690">
        <f>VLOOKUP(Table9[[#This Row],[Shortname]], Comp[], 14, FALSE)</f>
        <v>0</v>
      </c>
      <c r="R690">
        <f>VLOOKUP(Table9[[#This Row],[Shortname]], Comp[], 15, FALSE)</f>
        <v>0</v>
      </c>
      <c r="S690">
        <f>VLOOKUP(Table9[[#This Row],[Shortname]], Comp[], 16, FALSE)</f>
        <v>5.2</v>
      </c>
      <c r="T690">
        <f>VLOOKUP(Table9[[#This Row],[Shortname]], Comp[], 17, FALSE)</f>
        <v>0</v>
      </c>
      <c r="U690">
        <f>VLOOKUP(Table9[[#This Row],[Shortname]], Comp[], 18, FALSE)</f>
        <v>0</v>
      </c>
      <c r="V690">
        <f>VLOOKUP(Table9[[#This Row],[Shortname]], Comp[], 19, FALSE)</f>
        <v>0</v>
      </c>
      <c r="W690">
        <f>VLOOKUP(Table9[[#This Row],[Shortname]], Comp[], 20, FALSE)</f>
        <v>0</v>
      </c>
      <c r="X690">
        <f>VLOOKUP(Table9[[#This Row],[Shortname]], Comp[], 21, FALSE)</f>
        <v>0</v>
      </c>
      <c r="Y690">
        <f>VLOOKUP(Table9[[#This Row],[Shortname]], Comp[], 22, FALSE)</f>
        <v>0</v>
      </c>
      <c r="Z690">
        <f>VLOOKUP(Table9[[#This Row],[Shortname]], Comp[], 23, FALSE)</f>
        <v>0</v>
      </c>
      <c r="AA690">
        <f>VLOOKUP(Table9[[#This Row],[Shortname]], Comp[], 24, FALSE)</f>
        <v>0</v>
      </c>
      <c r="AB690">
        <f>VLOOKUP(Table9[[#This Row],[Shortname]], Comp[], 25, FALSE)</f>
        <v>0</v>
      </c>
      <c r="AC690">
        <f>VLOOKUP(Table9[[#This Row],[Shortname]], Comp[], 26, FALSE)</f>
        <v>0</v>
      </c>
      <c r="AD690">
        <f>VLOOKUP(Table9[[#This Row],[Shortname]], Comp[], 27, FALSE)</f>
        <v>0</v>
      </c>
      <c r="AE690">
        <f>VLOOKUP(Table9[[#This Row],[Shortname]], Comp[], 28, FALSE)</f>
        <v>0</v>
      </c>
      <c r="AF690">
        <f>VLOOKUP(Table9[[#This Row],[Shortname]], Comp[], 29, FALSE)</f>
        <v>0</v>
      </c>
      <c r="AG690">
        <f>VLOOKUP(Table9[[#This Row],[Shortname]], Comp[], 30, FALSE)</f>
        <v>0</v>
      </c>
      <c r="AH690">
        <f>VLOOKUP(Table9[[#This Row],[Shortname]], Comp[], 31, FALSE)</f>
        <v>0</v>
      </c>
    </row>
    <row r="691" spans="1:34" x14ac:dyDescent="0.3">
      <c r="A691" t="s">
        <v>2578</v>
      </c>
      <c r="B691" t="s">
        <v>2580</v>
      </c>
      <c r="C691" t="s">
        <v>2581</v>
      </c>
      <c r="D691">
        <v>408</v>
      </c>
      <c r="E691">
        <v>970</v>
      </c>
      <c r="F691">
        <v>1E-3</v>
      </c>
      <c r="G691">
        <v>1</v>
      </c>
      <c r="H691" t="s">
        <v>6875</v>
      </c>
      <c r="I691">
        <f>VLOOKUP(Table9[[#This Row],[Shortname]], Comp[], 6, FALSE)</f>
        <v>341</v>
      </c>
      <c r="J691" s="14">
        <f>VLOOKUP(Table9[[#This Row],[Shortname]], Comp[], 7, FALSE)</f>
        <v>38.9</v>
      </c>
      <c r="K691">
        <f>VLOOKUP(Table9[[#This Row],[Shortname]], Comp[], 8, FALSE)</f>
        <v>30.4</v>
      </c>
      <c r="L691">
        <f>VLOOKUP(Table9[[#This Row],[Shortname]], Comp[], 9, FALSE)</f>
        <v>9.6999999999999993</v>
      </c>
      <c r="M691">
        <f>VLOOKUP(Table9[[#This Row],[Shortname]], Comp[], 10, FALSE)</f>
        <v>11.5</v>
      </c>
      <c r="N691">
        <f>VLOOKUP(Table9[[#This Row],[Shortname]], Comp[], 11, FALSE)</f>
        <v>0</v>
      </c>
      <c r="O691">
        <f>VLOOKUP(Table9[[#This Row],[Shortname]], Comp[],12, FALSE)</f>
        <v>2.1</v>
      </c>
      <c r="P691">
        <f>VLOOKUP(Table9[[#This Row],[Shortname]], Comp[], 13, FALSE)</f>
        <v>2.2000000000000002</v>
      </c>
      <c r="Q691">
        <f>VLOOKUP(Table9[[#This Row],[Shortname]], Comp[], 14, FALSE)</f>
        <v>0</v>
      </c>
      <c r="R691">
        <f>VLOOKUP(Table9[[#This Row],[Shortname]], Comp[], 15, FALSE)</f>
        <v>0</v>
      </c>
      <c r="S691">
        <f>VLOOKUP(Table9[[#This Row],[Shortname]], Comp[], 16, FALSE)</f>
        <v>5.2</v>
      </c>
      <c r="T691">
        <f>VLOOKUP(Table9[[#This Row],[Shortname]], Comp[], 17, FALSE)</f>
        <v>0</v>
      </c>
      <c r="U691">
        <f>VLOOKUP(Table9[[#This Row],[Shortname]], Comp[], 18, FALSE)</f>
        <v>0</v>
      </c>
      <c r="V691">
        <f>VLOOKUP(Table9[[#This Row],[Shortname]], Comp[], 19, FALSE)</f>
        <v>0</v>
      </c>
      <c r="W691">
        <f>VLOOKUP(Table9[[#This Row],[Shortname]], Comp[], 20, FALSE)</f>
        <v>0</v>
      </c>
      <c r="X691">
        <f>VLOOKUP(Table9[[#This Row],[Shortname]], Comp[], 21, FALSE)</f>
        <v>0</v>
      </c>
      <c r="Y691">
        <f>VLOOKUP(Table9[[#This Row],[Shortname]], Comp[], 22, FALSE)</f>
        <v>0</v>
      </c>
      <c r="Z691">
        <f>VLOOKUP(Table9[[#This Row],[Shortname]], Comp[], 23, FALSE)</f>
        <v>0</v>
      </c>
      <c r="AA691">
        <f>VLOOKUP(Table9[[#This Row],[Shortname]], Comp[], 24, FALSE)</f>
        <v>0</v>
      </c>
      <c r="AB691">
        <f>VLOOKUP(Table9[[#This Row],[Shortname]], Comp[], 25, FALSE)</f>
        <v>0</v>
      </c>
      <c r="AC691">
        <f>VLOOKUP(Table9[[#This Row],[Shortname]], Comp[], 26, FALSE)</f>
        <v>0</v>
      </c>
      <c r="AD691">
        <f>VLOOKUP(Table9[[#This Row],[Shortname]], Comp[], 27, FALSE)</f>
        <v>0</v>
      </c>
      <c r="AE691">
        <f>VLOOKUP(Table9[[#This Row],[Shortname]], Comp[], 28, FALSE)</f>
        <v>0</v>
      </c>
      <c r="AF691">
        <f>VLOOKUP(Table9[[#This Row],[Shortname]], Comp[], 29, FALSE)</f>
        <v>0</v>
      </c>
      <c r="AG691">
        <f>VLOOKUP(Table9[[#This Row],[Shortname]], Comp[], 30, FALSE)</f>
        <v>0</v>
      </c>
      <c r="AH691">
        <f>VLOOKUP(Table9[[#This Row],[Shortname]], Comp[], 31, FALSE)</f>
        <v>0</v>
      </c>
    </row>
    <row r="692" spans="1:34" x14ac:dyDescent="0.3">
      <c r="A692" t="s">
        <v>2587</v>
      </c>
      <c r="B692" t="s">
        <v>2589</v>
      </c>
      <c r="C692" t="s">
        <v>2581</v>
      </c>
      <c r="D692">
        <v>670</v>
      </c>
      <c r="E692">
        <v>25</v>
      </c>
      <c r="F692">
        <v>1E-3</v>
      </c>
      <c r="G692">
        <v>1</v>
      </c>
      <c r="H692" t="s">
        <v>6875</v>
      </c>
      <c r="I692">
        <f>VLOOKUP(Table9[[#This Row],[Shortname]], Comp[], 6, FALSE)</f>
        <v>342</v>
      </c>
      <c r="J692" s="14">
        <f>VLOOKUP(Table9[[#This Row],[Shortname]], Comp[], 7, FALSE)</f>
        <v>41</v>
      </c>
      <c r="K692">
        <f>VLOOKUP(Table9[[#This Row],[Shortname]], Comp[], 8, FALSE)</f>
        <v>31.2</v>
      </c>
      <c r="L692">
        <f>VLOOKUP(Table9[[#This Row],[Shortname]], Comp[], 9, FALSE)</f>
        <v>10.1</v>
      </c>
      <c r="M692">
        <f>VLOOKUP(Table9[[#This Row],[Shortname]], Comp[], 10, FALSE)</f>
        <v>10.5</v>
      </c>
      <c r="N692">
        <f>VLOOKUP(Table9[[#This Row],[Shortname]], Comp[], 11, FALSE)</f>
        <v>0</v>
      </c>
      <c r="O692">
        <f>VLOOKUP(Table9[[#This Row],[Shortname]], Comp[],12, FALSE)</f>
        <v>0</v>
      </c>
      <c r="P692">
        <f>VLOOKUP(Table9[[#This Row],[Shortname]], Comp[], 13, FALSE)</f>
        <v>2.1</v>
      </c>
      <c r="Q692">
        <f>VLOOKUP(Table9[[#This Row],[Shortname]], Comp[], 14, FALSE)</f>
        <v>0</v>
      </c>
      <c r="R692">
        <f>VLOOKUP(Table9[[#This Row],[Shortname]], Comp[], 15, FALSE)</f>
        <v>0</v>
      </c>
      <c r="S692">
        <f>VLOOKUP(Table9[[#This Row],[Shortname]], Comp[], 16, FALSE)</f>
        <v>5.0999999999999996</v>
      </c>
      <c r="T692">
        <f>VLOOKUP(Table9[[#This Row],[Shortname]], Comp[], 17, FALSE)</f>
        <v>0</v>
      </c>
      <c r="U692">
        <f>VLOOKUP(Table9[[#This Row],[Shortname]], Comp[], 18, FALSE)</f>
        <v>0</v>
      </c>
      <c r="V692">
        <f>VLOOKUP(Table9[[#This Row],[Shortname]], Comp[], 19, FALSE)</f>
        <v>0</v>
      </c>
      <c r="W692">
        <f>VLOOKUP(Table9[[#This Row],[Shortname]], Comp[], 20, FALSE)</f>
        <v>0</v>
      </c>
      <c r="X692">
        <f>VLOOKUP(Table9[[#This Row],[Shortname]], Comp[], 21, FALSE)</f>
        <v>0</v>
      </c>
      <c r="Y692">
        <f>VLOOKUP(Table9[[#This Row],[Shortname]], Comp[], 22, FALSE)</f>
        <v>0</v>
      </c>
      <c r="Z692">
        <f>VLOOKUP(Table9[[#This Row],[Shortname]], Comp[], 23, FALSE)</f>
        <v>0</v>
      </c>
      <c r="AA692">
        <f>VLOOKUP(Table9[[#This Row],[Shortname]], Comp[], 24, FALSE)</f>
        <v>0</v>
      </c>
      <c r="AB692">
        <f>VLOOKUP(Table9[[#This Row],[Shortname]], Comp[], 25, FALSE)</f>
        <v>0</v>
      </c>
      <c r="AC692">
        <f>VLOOKUP(Table9[[#This Row],[Shortname]], Comp[], 26, FALSE)</f>
        <v>0</v>
      </c>
      <c r="AD692">
        <f>VLOOKUP(Table9[[#This Row],[Shortname]], Comp[], 27, FALSE)</f>
        <v>0</v>
      </c>
      <c r="AE692">
        <f>VLOOKUP(Table9[[#This Row],[Shortname]], Comp[], 28, FALSE)</f>
        <v>0</v>
      </c>
      <c r="AF692">
        <f>VLOOKUP(Table9[[#This Row],[Shortname]], Comp[], 29, FALSE)</f>
        <v>0</v>
      </c>
      <c r="AG692">
        <f>VLOOKUP(Table9[[#This Row],[Shortname]], Comp[], 30, FALSE)</f>
        <v>0</v>
      </c>
      <c r="AH692">
        <f>VLOOKUP(Table9[[#This Row],[Shortname]], Comp[], 31, FALSE)</f>
        <v>0</v>
      </c>
    </row>
    <row r="693" spans="1:34" x14ac:dyDescent="0.3">
      <c r="A693" t="s">
        <v>2587</v>
      </c>
      <c r="B693" t="s">
        <v>2589</v>
      </c>
      <c r="C693" t="s">
        <v>2581</v>
      </c>
      <c r="D693">
        <v>637</v>
      </c>
      <c r="E693">
        <v>470</v>
      </c>
      <c r="F693">
        <v>1E-3</v>
      </c>
      <c r="G693">
        <v>1</v>
      </c>
      <c r="H693" t="s">
        <v>6875</v>
      </c>
      <c r="I693">
        <f>VLOOKUP(Table9[[#This Row],[Shortname]], Comp[], 6, FALSE)</f>
        <v>342</v>
      </c>
      <c r="J693" s="14">
        <f>VLOOKUP(Table9[[#This Row],[Shortname]], Comp[], 7, FALSE)</f>
        <v>41</v>
      </c>
      <c r="K693">
        <f>VLOOKUP(Table9[[#This Row],[Shortname]], Comp[], 8, FALSE)</f>
        <v>31.2</v>
      </c>
      <c r="L693">
        <f>VLOOKUP(Table9[[#This Row],[Shortname]], Comp[], 9, FALSE)</f>
        <v>10.1</v>
      </c>
      <c r="M693">
        <f>VLOOKUP(Table9[[#This Row],[Shortname]], Comp[], 10, FALSE)</f>
        <v>10.5</v>
      </c>
      <c r="N693">
        <f>VLOOKUP(Table9[[#This Row],[Shortname]], Comp[], 11, FALSE)</f>
        <v>0</v>
      </c>
      <c r="O693">
        <f>VLOOKUP(Table9[[#This Row],[Shortname]], Comp[],12, FALSE)</f>
        <v>0</v>
      </c>
      <c r="P693">
        <f>VLOOKUP(Table9[[#This Row],[Shortname]], Comp[], 13, FALSE)</f>
        <v>2.1</v>
      </c>
      <c r="Q693">
        <f>VLOOKUP(Table9[[#This Row],[Shortname]], Comp[], 14, FALSE)</f>
        <v>0</v>
      </c>
      <c r="R693">
        <f>VLOOKUP(Table9[[#This Row],[Shortname]], Comp[], 15, FALSE)</f>
        <v>0</v>
      </c>
      <c r="S693">
        <f>VLOOKUP(Table9[[#This Row],[Shortname]], Comp[], 16, FALSE)</f>
        <v>5.0999999999999996</v>
      </c>
      <c r="T693">
        <f>VLOOKUP(Table9[[#This Row],[Shortname]], Comp[], 17, FALSE)</f>
        <v>0</v>
      </c>
      <c r="U693">
        <f>VLOOKUP(Table9[[#This Row],[Shortname]], Comp[], 18, FALSE)</f>
        <v>0</v>
      </c>
      <c r="V693">
        <f>VLOOKUP(Table9[[#This Row],[Shortname]], Comp[], 19, FALSE)</f>
        <v>0</v>
      </c>
      <c r="W693">
        <f>VLOOKUP(Table9[[#This Row],[Shortname]], Comp[], 20, FALSE)</f>
        <v>0</v>
      </c>
      <c r="X693">
        <f>VLOOKUP(Table9[[#This Row],[Shortname]], Comp[], 21, FALSE)</f>
        <v>0</v>
      </c>
      <c r="Y693">
        <f>VLOOKUP(Table9[[#This Row],[Shortname]], Comp[], 22, FALSE)</f>
        <v>0</v>
      </c>
      <c r="Z693">
        <f>VLOOKUP(Table9[[#This Row],[Shortname]], Comp[], 23, FALSE)</f>
        <v>0</v>
      </c>
      <c r="AA693">
        <f>VLOOKUP(Table9[[#This Row],[Shortname]], Comp[], 24, FALSE)</f>
        <v>0</v>
      </c>
      <c r="AB693">
        <f>VLOOKUP(Table9[[#This Row],[Shortname]], Comp[], 25, FALSE)</f>
        <v>0</v>
      </c>
      <c r="AC693">
        <f>VLOOKUP(Table9[[#This Row],[Shortname]], Comp[], 26, FALSE)</f>
        <v>0</v>
      </c>
      <c r="AD693">
        <f>VLOOKUP(Table9[[#This Row],[Shortname]], Comp[], 27, FALSE)</f>
        <v>0</v>
      </c>
      <c r="AE693">
        <f>VLOOKUP(Table9[[#This Row],[Shortname]], Comp[], 28, FALSE)</f>
        <v>0</v>
      </c>
      <c r="AF693">
        <f>VLOOKUP(Table9[[#This Row],[Shortname]], Comp[], 29, FALSE)</f>
        <v>0</v>
      </c>
      <c r="AG693">
        <f>VLOOKUP(Table9[[#This Row],[Shortname]], Comp[], 30, FALSE)</f>
        <v>0</v>
      </c>
      <c r="AH693">
        <f>VLOOKUP(Table9[[#This Row],[Shortname]], Comp[], 31, FALSE)</f>
        <v>0</v>
      </c>
    </row>
    <row r="694" spans="1:34" x14ac:dyDescent="0.3">
      <c r="A694" t="s">
        <v>2587</v>
      </c>
      <c r="B694" t="s">
        <v>2589</v>
      </c>
      <c r="C694" t="s">
        <v>2581</v>
      </c>
      <c r="D694">
        <v>627</v>
      </c>
      <c r="E694">
        <v>570</v>
      </c>
      <c r="F694">
        <v>1E-3</v>
      </c>
      <c r="G694">
        <v>1</v>
      </c>
      <c r="H694" t="s">
        <v>6875</v>
      </c>
      <c r="I694">
        <f>VLOOKUP(Table9[[#This Row],[Shortname]], Comp[], 6, FALSE)</f>
        <v>342</v>
      </c>
      <c r="J694" s="14">
        <f>VLOOKUP(Table9[[#This Row],[Shortname]], Comp[], 7, FALSE)</f>
        <v>41</v>
      </c>
      <c r="K694">
        <f>VLOOKUP(Table9[[#This Row],[Shortname]], Comp[], 8, FALSE)</f>
        <v>31.2</v>
      </c>
      <c r="L694">
        <f>VLOOKUP(Table9[[#This Row],[Shortname]], Comp[], 9, FALSE)</f>
        <v>10.1</v>
      </c>
      <c r="M694">
        <f>VLOOKUP(Table9[[#This Row],[Shortname]], Comp[], 10, FALSE)</f>
        <v>10.5</v>
      </c>
      <c r="N694">
        <f>VLOOKUP(Table9[[#This Row],[Shortname]], Comp[], 11, FALSE)</f>
        <v>0</v>
      </c>
      <c r="O694">
        <f>VLOOKUP(Table9[[#This Row],[Shortname]], Comp[],12, FALSE)</f>
        <v>0</v>
      </c>
      <c r="P694">
        <f>VLOOKUP(Table9[[#This Row],[Shortname]], Comp[], 13, FALSE)</f>
        <v>2.1</v>
      </c>
      <c r="Q694">
        <f>VLOOKUP(Table9[[#This Row],[Shortname]], Comp[], 14, FALSE)</f>
        <v>0</v>
      </c>
      <c r="R694">
        <f>VLOOKUP(Table9[[#This Row],[Shortname]], Comp[], 15, FALSE)</f>
        <v>0</v>
      </c>
      <c r="S694">
        <f>VLOOKUP(Table9[[#This Row],[Shortname]], Comp[], 16, FALSE)</f>
        <v>5.0999999999999996</v>
      </c>
      <c r="T694">
        <f>VLOOKUP(Table9[[#This Row],[Shortname]], Comp[], 17, FALSE)</f>
        <v>0</v>
      </c>
      <c r="U694">
        <f>VLOOKUP(Table9[[#This Row],[Shortname]], Comp[], 18, FALSE)</f>
        <v>0</v>
      </c>
      <c r="V694">
        <f>VLOOKUP(Table9[[#This Row],[Shortname]], Comp[], 19, FALSE)</f>
        <v>0</v>
      </c>
      <c r="W694">
        <f>VLOOKUP(Table9[[#This Row],[Shortname]], Comp[], 20, FALSE)</f>
        <v>0</v>
      </c>
      <c r="X694">
        <f>VLOOKUP(Table9[[#This Row],[Shortname]], Comp[], 21, FALSE)</f>
        <v>0</v>
      </c>
      <c r="Y694">
        <f>VLOOKUP(Table9[[#This Row],[Shortname]], Comp[], 22, FALSE)</f>
        <v>0</v>
      </c>
      <c r="Z694">
        <f>VLOOKUP(Table9[[#This Row],[Shortname]], Comp[], 23, FALSE)</f>
        <v>0</v>
      </c>
      <c r="AA694">
        <f>VLOOKUP(Table9[[#This Row],[Shortname]], Comp[], 24, FALSE)</f>
        <v>0</v>
      </c>
      <c r="AB694">
        <f>VLOOKUP(Table9[[#This Row],[Shortname]], Comp[], 25, FALSE)</f>
        <v>0</v>
      </c>
      <c r="AC694">
        <f>VLOOKUP(Table9[[#This Row],[Shortname]], Comp[], 26, FALSE)</f>
        <v>0</v>
      </c>
      <c r="AD694">
        <f>VLOOKUP(Table9[[#This Row],[Shortname]], Comp[], 27, FALSE)</f>
        <v>0</v>
      </c>
      <c r="AE694">
        <f>VLOOKUP(Table9[[#This Row],[Shortname]], Comp[], 28, FALSE)</f>
        <v>0</v>
      </c>
      <c r="AF694">
        <f>VLOOKUP(Table9[[#This Row],[Shortname]], Comp[], 29, FALSE)</f>
        <v>0</v>
      </c>
      <c r="AG694">
        <f>VLOOKUP(Table9[[#This Row],[Shortname]], Comp[], 30, FALSE)</f>
        <v>0</v>
      </c>
      <c r="AH694">
        <f>VLOOKUP(Table9[[#This Row],[Shortname]], Comp[], 31, FALSE)</f>
        <v>0</v>
      </c>
    </row>
    <row r="695" spans="1:34" x14ac:dyDescent="0.3">
      <c r="A695" t="s">
        <v>2587</v>
      </c>
      <c r="B695" t="s">
        <v>2589</v>
      </c>
      <c r="C695" t="s">
        <v>2581</v>
      </c>
      <c r="D695">
        <v>626</v>
      </c>
      <c r="E695">
        <v>670</v>
      </c>
      <c r="F695">
        <v>1E-3</v>
      </c>
      <c r="G695">
        <v>1</v>
      </c>
      <c r="H695" t="s">
        <v>6875</v>
      </c>
      <c r="I695">
        <f>VLOOKUP(Table9[[#This Row],[Shortname]], Comp[], 6, FALSE)</f>
        <v>342</v>
      </c>
      <c r="J695" s="14">
        <f>VLOOKUP(Table9[[#This Row],[Shortname]], Comp[], 7, FALSE)</f>
        <v>41</v>
      </c>
      <c r="K695">
        <f>VLOOKUP(Table9[[#This Row],[Shortname]], Comp[], 8, FALSE)</f>
        <v>31.2</v>
      </c>
      <c r="L695">
        <f>VLOOKUP(Table9[[#This Row],[Shortname]], Comp[], 9, FALSE)</f>
        <v>10.1</v>
      </c>
      <c r="M695">
        <f>VLOOKUP(Table9[[#This Row],[Shortname]], Comp[], 10, FALSE)</f>
        <v>10.5</v>
      </c>
      <c r="N695">
        <f>VLOOKUP(Table9[[#This Row],[Shortname]], Comp[], 11, FALSE)</f>
        <v>0</v>
      </c>
      <c r="O695">
        <f>VLOOKUP(Table9[[#This Row],[Shortname]], Comp[],12, FALSE)</f>
        <v>0</v>
      </c>
      <c r="P695">
        <f>VLOOKUP(Table9[[#This Row],[Shortname]], Comp[], 13, FALSE)</f>
        <v>2.1</v>
      </c>
      <c r="Q695">
        <f>VLOOKUP(Table9[[#This Row],[Shortname]], Comp[], 14, FALSE)</f>
        <v>0</v>
      </c>
      <c r="R695">
        <f>VLOOKUP(Table9[[#This Row],[Shortname]], Comp[], 15, FALSE)</f>
        <v>0</v>
      </c>
      <c r="S695">
        <f>VLOOKUP(Table9[[#This Row],[Shortname]], Comp[], 16, FALSE)</f>
        <v>5.0999999999999996</v>
      </c>
      <c r="T695">
        <f>VLOOKUP(Table9[[#This Row],[Shortname]], Comp[], 17, FALSE)</f>
        <v>0</v>
      </c>
      <c r="U695">
        <f>VLOOKUP(Table9[[#This Row],[Shortname]], Comp[], 18, FALSE)</f>
        <v>0</v>
      </c>
      <c r="V695">
        <f>VLOOKUP(Table9[[#This Row],[Shortname]], Comp[], 19, FALSE)</f>
        <v>0</v>
      </c>
      <c r="W695">
        <f>VLOOKUP(Table9[[#This Row],[Shortname]], Comp[], 20, FALSE)</f>
        <v>0</v>
      </c>
      <c r="X695">
        <f>VLOOKUP(Table9[[#This Row],[Shortname]], Comp[], 21, FALSE)</f>
        <v>0</v>
      </c>
      <c r="Y695">
        <f>VLOOKUP(Table9[[#This Row],[Shortname]], Comp[], 22, FALSE)</f>
        <v>0</v>
      </c>
      <c r="Z695">
        <f>VLOOKUP(Table9[[#This Row],[Shortname]], Comp[], 23, FALSE)</f>
        <v>0</v>
      </c>
      <c r="AA695">
        <f>VLOOKUP(Table9[[#This Row],[Shortname]], Comp[], 24, FALSE)</f>
        <v>0</v>
      </c>
      <c r="AB695">
        <f>VLOOKUP(Table9[[#This Row],[Shortname]], Comp[], 25, FALSE)</f>
        <v>0</v>
      </c>
      <c r="AC695">
        <f>VLOOKUP(Table9[[#This Row],[Shortname]], Comp[], 26, FALSE)</f>
        <v>0</v>
      </c>
      <c r="AD695">
        <f>VLOOKUP(Table9[[#This Row],[Shortname]], Comp[], 27, FALSE)</f>
        <v>0</v>
      </c>
      <c r="AE695">
        <f>VLOOKUP(Table9[[#This Row],[Shortname]], Comp[], 28, FALSE)</f>
        <v>0</v>
      </c>
      <c r="AF695">
        <f>VLOOKUP(Table9[[#This Row],[Shortname]], Comp[], 29, FALSE)</f>
        <v>0</v>
      </c>
      <c r="AG695">
        <f>VLOOKUP(Table9[[#This Row],[Shortname]], Comp[], 30, FALSE)</f>
        <v>0</v>
      </c>
      <c r="AH695">
        <f>VLOOKUP(Table9[[#This Row],[Shortname]], Comp[], 31, FALSE)</f>
        <v>0</v>
      </c>
    </row>
    <row r="696" spans="1:34" x14ac:dyDescent="0.3">
      <c r="A696" t="s">
        <v>2587</v>
      </c>
      <c r="B696" t="s">
        <v>2589</v>
      </c>
      <c r="C696" t="s">
        <v>2581</v>
      </c>
      <c r="D696">
        <v>580</v>
      </c>
      <c r="E696">
        <v>770</v>
      </c>
      <c r="F696">
        <v>1E-3</v>
      </c>
      <c r="G696">
        <v>1</v>
      </c>
      <c r="H696" t="s">
        <v>6875</v>
      </c>
      <c r="I696">
        <f>VLOOKUP(Table9[[#This Row],[Shortname]], Comp[], 6, FALSE)</f>
        <v>342</v>
      </c>
      <c r="J696" s="14">
        <f>VLOOKUP(Table9[[#This Row],[Shortname]], Comp[], 7, FALSE)</f>
        <v>41</v>
      </c>
      <c r="K696">
        <f>VLOOKUP(Table9[[#This Row],[Shortname]], Comp[], 8, FALSE)</f>
        <v>31.2</v>
      </c>
      <c r="L696">
        <f>VLOOKUP(Table9[[#This Row],[Shortname]], Comp[], 9, FALSE)</f>
        <v>10.1</v>
      </c>
      <c r="M696">
        <f>VLOOKUP(Table9[[#This Row],[Shortname]], Comp[], 10, FALSE)</f>
        <v>10.5</v>
      </c>
      <c r="N696">
        <f>VLOOKUP(Table9[[#This Row],[Shortname]], Comp[], 11, FALSE)</f>
        <v>0</v>
      </c>
      <c r="O696">
        <f>VLOOKUP(Table9[[#This Row],[Shortname]], Comp[],12, FALSE)</f>
        <v>0</v>
      </c>
      <c r="P696">
        <f>VLOOKUP(Table9[[#This Row],[Shortname]], Comp[], 13, FALSE)</f>
        <v>2.1</v>
      </c>
      <c r="Q696">
        <f>VLOOKUP(Table9[[#This Row],[Shortname]], Comp[], 14, FALSE)</f>
        <v>0</v>
      </c>
      <c r="R696">
        <f>VLOOKUP(Table9[[#This Row],[Shortname]], Comp[], 15, FALSE)</f>
        <v>0</v>
      </c>
      <c r="S696">
        <f>VLOOKUP(Table9[[#This Row],[Shortname]], Comp[], 16, FALSE)</f>
        <v>5.0999999999999996</v>
      </c>
      <c r="T696">
        <f>VLOOKUP(Table9[[#This Row],[Shortname]], Comp[], 17, FALSE)</f>
        <v>0</v>
      </c>
      <c r="U696">
        <f>VLOOKUP(Table9[[#This Row],[Shortname]], Comp[], 18, FALSE)</f>
        <v>0</v>
      </c>
      <c r="V696">
        <f>VLOOKUP(Table9[[#This Row],[Shortname]], Comp[], 19, FALSE)</f>
        <v>0</v>
      </c>
      <c r="W696">
        <f>VLOOKUP(Table9[[#This Row],[Shortname]], Comp[], 20, FALSE)</f>
        <v>0</v>
      </c>
      <c r="X696">
        <f>VLOOKUP(Table9[[#This Row],[Shortname]], Comp[], 21, FALSE)</f>
        <v>0</v>
      </c>
      <c r="Y696">
        <f>VLOOKUP(Table9[[#This Row],[Shortname]], Comp[], 22, FALSE)</f>
        <v>0</v>
      </c>
      <c r="Z696">
        <f>VLOOKUP(Table9[[#This Row],[Shortname]], Comp[], 23, FALSE)</f>
        <v>0</v>
      </c>
      <c r="AA696">
        <f>VLOOKUP(Table9[[#This Row],[Shortname]], Comp[], 24, FALSE)</f>
        <v>0</v>
      </c>
      <c r="AB696">
        <f>VLOOKUP(Table9[[#This Row],[Shortname]], Comp[], 25, FALSE)</f>
        <v>0</v>
      </c>
      <c r="AC696">
        <f>VLOOKUP(Table9[[#This Row],[Shortname]], Comp[], 26, FALSE)</f>
        <v>0</v>
      </c>
      <c r="AD696">
        <f>VLOOKUP(Table9[[#This Row],[Shortname]], Comp[], 27, FALSE)</f>
        <v>0</v>
      </c>
      <c r="AE696">
        <f>VLOOKUP(Table9[[#This Row],[Shortname]], Comp[], 28, FALSE)</f>
        <v>0</v>
      </c>
      <c r="AF696">
        <f>VLOOKUP(Table9[[#This Row],[Shortname]], Comp[], 29, FALSE)</f>
        <v>0</v>
      </c>
      <c r="AG696">
        <f>VLOOKUP(Table9[[#This Row],[Shortname]], Comp[], 30, FALSE)</f>
        <v>0</v>
      </c>
      <c r="AH696">
        <f>VLOOKUP(Table9[[#This Row],[Shortname]], Comp[], 31, FALSE)</f>
        <v>0</v>
      </c>
    </row>
    <row r="697" spans="1:34" x14ac:dyDescent="0.3">
      <c r="A697" t="s">
        <v>2587</v>
      </c>
      <c r="B697" t="s">
        <v>2589</v>
      </c>
      <c r="C697" t="s">
        <v>2581</v>
      </c>
      <c r="D697">
        <v>310</v>
      </c>
      <c r="E697">
        <v>970</v>
      </c>
      <c r="F697">
        <v>1E-3</v>
      </c>
      <c r="G697">
        <v>1</v>
      </c>
      <c r="H697" t="s">
        <v>6875</v>
      </c>
      <c r="I697">
        <f>VLOOKUP(Table9[[#This Row],[Shortname]], Comp[], 6, FALSE)</f>
        <v>342</v>
      </c>
      <c r="J697" s="14">
        <f>VLOOKUP(Table9[[#This Row],[Shortname]], Comp[], 7, FALSE)</f>
        <v>41</v>
      </c>
      <c r="K697">
        <f>VLOOKUP(Table9[[#This Row],[Shortname]], Comp[], 8, FALSE)</f>
        <v>31.2</v>
      </c>
      <c r="L697">
        <f>VLOOKUP(Table9[[#This Row],[Shortname]], Comp[], 9, FALSE)</f>
        <v>10.1</v>
      </c>
      <c r="M697">
        <f>VLOOKUP(Table9[[#This Row],[Shortname]], Comp[], 10, FALSE)</f>
        <v>10.5</v>
      </c>
      <c r="N697">
        <f>VLOOKUP(Table9[[#This Row],[Shortname]], Comp[], 11, FALSE)</f>
        <v>0</v>
      </c>
      <c r="O697">
        <f>VLOOKUP(Table9[[#This Row],[Shortname]], Comp[],12, FALSE)</f>
        <v>0</v>
      </c>
      <c r="P697">
        <f>VLOOKUP(Table9[[#This Row],[Shortname]], Comp[], 13, FALSE)</f>
        <v>2.1</v>
      </c>
      <c r="Q697">
        <f>VLOOKUP(Table9[[#This Row],[Shortname]], Comp[], 14, FALSE)</f>
        <v>0</v>
      </c>
      <c r="R697">
        <f>VLOOKUP(Table9[[#This Row],[Shortname]], Comp[], 15, FALSE)</f>
        <v>0</v>
      </c>
      <c r="S697">
        <f>VLOOKUP(Table9[[#This Row],[Shortname]], Comp[], 16, FALSE)</f>
        <v>5.0999999999999996</v>
      </c>
      <c r="T697">
        <f>VLOOKUP(Table9[[#This Row],[Shortname]], Comp[], 17, FALSE)</f>
        <v>0</v>
      </c>
      <c r="U697">
        <f>VLOOKUP(Table9[[#This Row],[Shortname]], Comp[], 18, FALSE)</f>
        <v>0</v>
      </c>
      <c r="V697">
        <f>VLOOKUP(Table9[[#This Row],[Shortname]], Comp[], 19, FALSE)</f>
        <v>0</v>
      </c>
      <c r="W697">
        <f>VLOOKUP(Table9[[#This Row],[Shortname]], Comp[], 20, FALSE)</f>
        <v>0</v>
      </c>
      <c r="X697">
        <f>VLOOKUP(Table9[[#This Row],[Shortname]], Comp[], 21, FALSE)</f>
        <v>0</v>
      </c>
      <c r="Y697">
        <f>VLOOKUP(Table9[[#This Row],[Shortname]], Comp[], 22, FALSE)</f>
        <v>0</v>
      </c>
      <c r="Z697">
        <f>VLOOKUP(Table9[[#This Row],[Shortname]], Comp[], 23, FALSE)</f>
        <v>0</v>
      </c>
      <c r="AA697">
        <f>VLOOKUP(Table9[[#This Row],[Shortname]], Comp[], 24, FALSE)</f>
        <v>0</v>
      </c>
      <c r="AB697">
        <f>VLOOKUP(Table9[[#This Row],[Shortname]], Comp[], 25, FALSE)</f>
        <v>0</v>
      </c>
      <c r="AC697">
        <f>VLOOKUP(Table9[[#This Row],[Shortname]], Comp[], 26, FALSE)</f>
        <v>0</v>
      </c>
      <c r="AD697">
        <f>VLOOKUP(Table9[[#This Row],[Shortname]], Comp[], 27, FALSE)</f>
        <v>0</v>
      </c>
      <c r="AE697">
        <f>VLOOKUP(Table9[[#This Row],[Shortname]], Comp[], 28, FALSE)</f>
        <v>0</v>
      </c>
      <c r="AF697">
        <f>VLOOKUP(Table9[[#This Row],[Shortname]], Comp[], 29, FALSE)</f>
        <v>0</v>
      </c>
      <c r="AG697">
        <f>VLOOKUP(Table9[[#This Row],[Shortname]], Comp[], 30, FALSE)</f>
        <v>0</v>
      </c>
      <c r="AH697">
        <f>VLOOKUP(Table9[[#This Row],[Shortname]], Comp[], 31, FALSE)</f>
        <v>0</v>
      </c>
    </row>
    <row r="698" spans="1:34" x14ac:dyDescent="0.3">
      <c r="A698" t="s">
        <v>2461</v>
      </c>
      <c r="B698" t="s">
        <v>5239</v>
      </c>
      <c r="C698" t="s">
        <v>5240</v>
      </c>
      <c r="D698">
        <v>505</v>
      </c>
      <c r="E698">
        <v>600</v>
      </c>
      <c r="F698">
        <v>1E-3</v>
      </c>
      <c r="G698">
        <v>-1</v>
      </c>
      <c r="H698" t="s">
        <v>6876</v>
      </c>
      <c r="I698">
        <f>VLOOKUP(Table9[[#This Row],[Shortname]], Comp[], 6, FALSE)</f>
        <v>325</v>
      </c>
      <c r="J698" s="14">
        <f>VLOOKUP(Table9[[#This Row],[Shortname]], Comp[], 7, FALSE)</f>
        <v>67</v>
      </c>
      <c r="K698">
        <f>VLOOKUP(Table9[[#This Row],[Shortname]], Comp[], 8, FALSE)</f>
        <v>15.9</v>
      </c>
      <c r="L698">
        <f>VLOOKUP(Table9[[#This Row],[Shortname]], Comp[], 9, FALSE)</f>
        <v>13.6</v>
      </c>
      <c r="M698">
        <f>VLOOKUP(Table9[[#This Row],[Shortname]], Comp[], 10, FALSE)</f>
        <v>0</v>
      </c>
      <c r="N698">
        <f>VLOOKUP(Table9[[#This Row],[Shortname]], Comp[], 11, FALSE)</f>
        <v>1.9</v>
      </c>
      <c r="O698">
        <f>VLOOKUP(Table9[[#This Row],[Shortname]], Comp[],12, FALSE)</f>
        <v>0</v>
      </c>
      <c r="P698">
        <f>VLOOKUP(Table9[[#This Row],[Shortname]], Comp[], 13, FALSE)</f>
        <v>0.7</v>
      </c>
      <c r="Q698">
        <f>VLOOKUP(Table9[[#This Row],[Shortname]], Comp[], 14, FALSE)</f>
        <v>0</v>
      </c>
      <c r="R698">
        <f>VLOOKUP(Table9[[#This Row],[Shortname]], Comp[], 15, FALSE)</f>
        <v>0</v>
      </c>
      <c r="S698">
        <f>VLOOKUP(Table9[[#This Row],[Shortname]], Comp[], 16, FALSE)</f>
        <v>0.6</v>
      </c>
      <c r="T698">
        <f>VLOOKUP(Table9[[#This Row],[Shortname]], Comp[], 17, FALSE)</f>
        <v>0</v>
      </c>
      <c r="U698">
        <f>VLOOKUP(Table9[[#This Row],[Shortname]], Comp[], 18, FALSE)</f>
        <v>0</v>
      </c>
      <c r="V698">
        <f>VLOOKUP(Table9[[#This Row],[Shortname]], Comp[], 19, FALSE)</f>
        <v>0</v>
      </c>
      <c r="W698">
        <f>VLOOKUP(Table9[[#This Row],[Shortname]], Comp[], 20, FALSE)</f>
        <v>0</v>
      </c>
      <c r="X698">
        <f>VLOOKUP(Table9[[#This Row],[Shortname]], Comp[], 21, FALSE)</f>
        <v>0.3</v>
      </c>
      <c r="Y698">
        <f>VLOOKUP(Table9[[#This Row],[Shortname]], Comp[], 22, FALSE)</f>
        <v>0</v>
      </c>
      <c r="Z698">
        <f>VLOOKUP(Table9[[#This Row],[Shortname]], Comp[], 23, FALSE)</f>
        <v>0</v>
      </c>
      <c r="AA698">
        <f>VLOOKUP(Table9[[#This Row],[Shortname]], Comp[], 24, FALSE)</f>
        <v>0</v>
      </c>
      <c r="AB698">
        <f>VLOOKUP(Table9[[#This Row],[Shortname]], Comp[], 25, FALSE)</f>
        <v>0</v>
      </c>
      <c r="AC698">
        <f>VLOOKUP(Table9[[#This Row],[Shortname]], Comp[], 26, FALSE)</f>
        <v>0</v>
      </c>
      <c r="AD698">
        <f>VLOOKUP(Table9[[#This Row],[Shortname]], Comp[], 27, FALSE)</f>
        <v>0</v>
      </c>
      <c r="AE698">
        <f>VLOOKUP(Table9[[#This Row],[Shortname]], Comp[], 28, FALSE)</f>
        <v>0</v>
      </c>
      <c r="AF698">
        <f>VLOOKUP(Table9[[#This Row],[Shortname]], Comp[], 29, FALSE)</f>
        <v>0</v>
      </c>
      <c r="AG698">
        <f>VLOOKUP(Table9[[#This Row],[Shortname]], Comp[], 30, FALSE)</f>
        <v>0</v>
      </c>
      <c r="AH698">
        <f>VLOOKUP(Table9[[#This Row],[Shortname]], Comp[], 31, FALSE)</f>
        <v>0</v>
      </c>
    </row>
    <row r="699" spans="1:34" x14ac:dyDescent="0.3">
      <c r="A699" t="s">
        <v>2461</v>
      </c>
      <c r="B699" t="s">
        <v>5239</v>
      </c>
      <c r="C699" t="s">
        <v>5240</v>
      </c>
      <c r="D699">
        <v>495</v>
      </c>
      <c r="E699">
        <v>25</v>
      </c>
      <c r="F699">
        <v>1E-3</v>
      </c>
      <c r="G699">
        <v>-1</v>
      </c>
      <c r="H699" t="s">
        <v>6876</v>
      </c>
      <c r="I699">
        <f>VLOOKUP(Table9[[#This Row],[Shortname]], Comp[], 6, FALSE)</f>
        <v>325</v>
      </c>
      <c r="J699" s="14">
        <f>VLOOKUP(Table9[[#This Row],[Shortname]], Comp[], 7, FALSE)</f>
        <v>67</v>
      </c>
      <c r="K699">
        <f>VLOOKUP(Table9[[#This Row],[Shortname]], Comp[], 8, FALSE)</f>
        <v>15.9</v>
      </c>
      <c r="L699">
        <f>VLOOKUP(Table9[[#This Row],[Shortname]], Comp[], 9, FALSE)</f>
        <v>13.6</v>
      </c>
      <c r="M699">
        <f>VLOOKUP(Table9[[#This Row],[Shortname]], Comp[], 10, FALSE)</f>
        <v>0</v>
      </c>
      <c r="N699">
        <f>VLOOKUP(Table9[[#This Row],[Shortname]], Comp[], 11, FALSE)</f>
        <v>1.9</v>
      </c>
      <c r="O699">
        <f>VLOOKUP(Table9[[#This Row],[Shortname]], Comp[],12, FALSE)</f>
        <v>0</v>
      </c>
      <c r="P699">
        <f>VLOOKUP(Table9[[#This Row],[Shortname]], Comp[], 13, FALSE)</f>
        <v>0.7</v>
      </c>
      <c r="Q699">
        <f>VLOOKUP(Table9[[#This Row],[Shortname]], Comp[], 14, FALSE)</f>
        <v>0</v>
      </c>
      <c r="R699">
        <f>VLOOKUP(Table9[[#This Row],[Shortname]], Comp[], 15, FALSE)</f>
        <v>0</v>
      </c>
      <c r="S699">
        <f>VLOOKUP(Table9[[#This Row],[Shortname]], Comp[], 16, FALSE)</f>
        <v>0.6</v>
      </c>
      <c r="T699">
        <f>VLOOKUP(Table9[[#This Row],[Shortname]], Comp[], 17, FALSE)</f>
        <v>0</v>
      </c>
      <c r="U699">
        <f>VLOOKUP(Table9[[#This Row],[Shortname]], Comp[], 18, FALSE)</f>
        <v>0</v>
      </c>
      <c r="V699">
        <f>VLOOKUP(Table9[[#This Row],[Shortname]], Comp[], 19, FALSE)</f>
        <v>0</v>
      </c>
      <c r="W699">
        <f>VLOOKUP(Table9[[#This Row],[Shortname]], Comp[], 20, FALSE)</f>
        <v>0</v>
      </c>
      <c r="X699">
        <f>VLOOKUP(Table9[[#This Row],[Shortname]], Comp[], 21, FALSE)</f>
        <v>0.3</v>
      </c>
      <c r="Y699">
        <f>VLOOKUP(Table9[[#This Row],[Shortname]], Comp[], 22, FALSE)</f>
        <v>0</v>
      </c>
      <c r="Z699">
        <f>VLOOKUP(Table9[[#This Row],[Shortname]], Comp[], 23, FALSE)</f>
        <v>0</v>
      </c>
      <c r="AA699">
        <f>VLOOKUP(Table9[[#This Row],[Shortname]], Comp[], 24, FALSE)</f>
        <v>0</v>
      </c>
      <c r="AB699">
        <f>VLOOKUP(Table9[[#This Row],[Shortname]], Comp[], 25, FALSE)</f>
        <v>0</v>
      </c>
      <c r="AC699">
        <f>VLOOKUP(Table9[[#This Row],[Shortname]], Comp[], 26, FALSE)</f>
        <v>0</v>
      </c>
      <c r="AD699">
        <f>VLOOKUP(Table9[[#This Row],[Shortname]], Comp[], 27, FALSE)</f>
        <v>0</v>
      </c>
      <c r="AE699">
        <f>VLOOKUP(Table9[[#This Row],[Shortname]], Comp[], 28, FALSE)</f>
        <v>0</v>
      </c>
      <c r="AF699">
        <f>VLOOKUP(Table9[[#This Row],[Shortname]], Comp[], 29, FALSE)</f>
        <v>0</v>
      </c>
      <c r="AG699">
        <f>VLOOKUP(Table9[[#This Row],[Shortname]], Comp[], 30, FALSE)</f>
        <v>0</v>
      </c>
      <c r="AH699">
        <f>VLOOKUP(Table9[[#This Row],[Shortname]], Comp[], 31, FALSE)</f>
        <v>0</v>
      </c>
    </row>
    <row r="700" spans="1:34" x14ac:dyDescent="0.3">
      <c r="A700" t="s">
        <v>2461</v>
      </c>
      <c r="B700" t="s">
        <v>5239</v>
      </c>
      <c r="C700" t="s">
        <v>5240</v>
      </c>
      <c r="D700">
        <v>486</v>
      </c>
      <c r="E700">
        <v>700</v>
      </c>
      <c r="F700">
        <v>1E-3</v>
      </c>
      <c r="G700">
        <v>-1</v>
      </c>
      <c r="H700" t="s">
        <v>6876</v>
      </c>
      <c r="I700">
        <f>VLOOKUP(Table9[[#This Row],[Shortname]], Comp[], 6, FALSE)</f>
        <v>325</v>
      </c>
      <c r="J700" s="14">
        <f>VLOOKUP(Table9[[#This Row],[Shortname]], Comp[], 7, FALSE)</f>
        <v>67</v>
      </c>
      <c r="K700">
        <f>VLOOKUP(Table9[[#This Row],[Shortname]], Comp[], 8, FALSE)</f>
        <v>15.9</v>
      </c>
      <c r="L700">
        <f>VLOOKUP(Table9[[#This Row],[Shortname]], Comp[], 9, FALSE)</f>
        <v>13.6</v>
      </c>
      <c r="M700">
        <f>VLOOKUP(Table9[[#This Row],[Shortname]], Comp[], 10, FALSE)</f>
        <v>0</v>
      </c>
      <c r="N700">
        <f>VLOOKUP(Table9[[#This Row],[Shortname]], Comp[], 11, FALSE)</f>
        <v>1.9</v>
      </c>
      <c r="O700">
        <f>VLOOKUP(Table9[[#This Row],[Shortname]], Comp[],12, FALSE)</f>
        <v>0</v>
      </c>
      <c r="P700">
        <f>VLOOKUP(Table9[[#This Row],[Shortname]], Comp[], 13, FALSE)</f>
        <v>0.7</v>
      </c>
      <c r="Q700">
        <f>VLOOKUP(Table9[[#This Row],[Shortname]], Comp[], 14, FALSE)</f>
        <v>0</v>
      </c>
      <c r="R700">
        <f>VLOOKUP(Table9[[#This Row],[Shortname]], Comp[], 15, FALSE)</f>
        <v>0</v>
      </c>
      <c r="S700">
        <f>VLOOKUP(Table9[[#This Row],[Shortname]], Comp[], 16, FALSE)</f>
        <v>0.6</v>
      </c>
      <c r="T700">
        <f>VLOOKUP(Table9[[#This Row],[Shortname]], Comp[], 17, FALSE)</f>
        <v>0</v>
      </c>
      <c r="U700">
        <f>VLOOKUP(Table9[[#This Row],[Shortname]], Comp[], 18, FALSE)</f>
        <v>0</v>
      </c>
      <c r="V700">
        <f>VLOOKUP(Table9[[#This Row],[Shortname]], Comp[], 19, FALSE)</f>
        <v>0</v>
      </c>
      <c r="W700">
        <f>VLOOKUP(Table9[[#This Row],[Shortname]], Comp[], 20, FALSE)</f>
        <v>0</v>
      </c>
      <c r="X700">
        <f>VLOOKUP(Table9[[#This Row],[Shortname]], Comp[], 21, FALSE)</f>
        <v>0.3</v>
      </c>
      <c r="Y700">
        <f>VLOOKUP(Table9[[#This Row],[Shortname]], Comp[], 22, FALSE)</f>
        <v>0</v>
      </c>
      <c r="Z700">
        <f>VLOOKUP(Table9[[#This Row],[Shortname]], Comp[], 23, FALSE)</f>
        <v>0</v>
      </c>
      <c r="AA700">
        <f>VLOOKUP(Table9[[#This Row],[Shortname]], Comp[], 24, FALSE)</f>
        <v>0</v>
      </c>
      <c r="AB700">
        <f>VLOOKUP(Table9[[#This Row],[Shortname]], Comp[], 25, FALSE)</f>
        <v>0</v>
      </c>
      <c r="AC700">
        <f>VLOOKUP(Table9[[#This Row],[Shortname]], Comp[], 26, FALSE)</f>
        <v>0</v>
      </c>
      <c r="AD700">
        <f>VLOOKUP(Table9[[#This Row],[Shortname]], Comp[], 27, FALSE)</f>
        <v>0</v>
      </c>
      <c r="AE700">
        <f>VLOOKUP(Table9[[#This Row],[Shortname]], Comp[], 28, FALSE)</f>
        <v>0</v>
      </c>
      <c r="AF700">
        <f>VLOOKUP(Table9[[#This Row],[Shortname]], Comp[], 29, FALSE)</f>
        <v>0</v>
      </c>
      <c r="AG700">
        <f>VLOOKUP(Table9[[#This Row],[Shortname]], Comp[], 30, FALSE)</f>
        <v>0</v>
      </c>
      <c r="AH700">
        <f>VLOOKUP(Table9[[#This Row],[Shortname]], Comp[], 31, FALSE)</f>
        <v>0</v>
      </c>
    </row>
    <row r="701" spans="1:34" x14ac:dyDescent="0.3">
      <c r="A701" t="s">
        <v>2461</v>
      </c>
      <c r="B701" t="s">
        <v>5239</v>
      </c>
      <c r="C701" t="s">
        <v>5240</v>
      </c>
      <c r="D701">
        <v>398</v>
      </c>
      <c r="E701">
        <v>800</v>
      </c>
      <c r="F701">
        <v>1E-3</v>
      </c>
      <c r="G701">
        <v>-1</v>
      </c>
      <c r="H701" t="s">
        <v>6876</v>
      </c>
      <c r="I701">
        <f>VLOOKUP(Table9[[#This Row],[Shortname]], Comp[], 6, FALSE)</f>
        <v>325</v>
      </c>
      <c r="J701" s="14">
        <f>VLOOKUP(Table9[[#This Row],[Shortname]], Comp[], 7, FALSE)</f>
        <v>67</v>
      </c>
      <c r="K701">
        <f>VLOOKUP(Table9[[#This Row],[Shortname]], Comp[], 8, FALSE)</f>
        <v>15.9</v>
      </c>
      <c r="L701">
        <f>VLOOKUP(Table9[[#This Row],[Shortname]], Comp[], 9, FALSE)</f>
        <v>13.6</v>
      </c>
      <c r="M701">
        <f>VLOOKUP(Table9[[#This Row],[Shortname]], Comp[], 10, FALSE)</f>
        <v>0</v>
      </c>
      <c r="N701">
        <f>VLOOKUP(Table9[[#This Row],[Shortname]], Comp[], 11, FALSE)</f>
        <v>1.9</v>
      </c>
      <c r="O701">
        <f>VLOOKUP(Table9[[#This Row],[Shortname]], Comp[],12, FALSE)</f>
        <v>0</v>
      </c>
      <c r="P701">
        <f>VLOOKUP(Table9[[#This Row],[Shortname]], Comp[], 13, FALSE)</f>
        <v>0.7</v>
      </c>
      <c r="Q701">
        <f>VLOOKUP(Table9[[#This Row],[Shortname]], Comp[], 14, FALSE)</f>
        <v>0</v>
      </c>
      <c r="R701">
        <f>VLOOKUP(Table9[[#This Row],[Shortname]], Comp[], 15, FALSE)</f>
        <v>0</v>
      </c>
      <c r="S701">
        <f>VLOOKUP(Table9[[#This Row],[Shortname]], Comp[], 16, FALSE)</f>
        <v>0.6</v>
      </c>
      <c r="T701">
        <f>VLOOKUP(Table9[[#This Row],[Shortname]], Comp[], 17, FALSE)</f>
        <v>0</v>
      </c>
      <c r="U701">
        <f>VLOOKUP(Table9[[#This Row],[Shortname]], Comp[], 18, FALSE)</f>
        <v>0</v>
      </c>
      <c r="V701">
        <f>VLOOKUP(Table9[[#This Row],[Shortname]], Comp[], 19, FALSE)</f>
        <v>0</v>
      </c>
      <c r="W701">
        <f>VLOOKUP(Table9[[#This Row],[Shortname]], Comp[], 20, FALSE)</f>
        <v>0</v>
      </c>
      <c r="X701">
        <f>VLOOKUP(Table9[[#This Row],[Shortname]], Comp[], 21, FALSE)</f>
        <v>0.3</v>
      </c>
      <c r="Y701">
        <f>VLOOKUP(Table9[[#This Row],[Shortname]], Comp[], 22, FALSE)</f>
        <v>0</v>
      </c>
      <c r="Z701">
        <f>VLOOKUP(Table9[[#This Row],[Shortname]], Comp[], 23, FALSE)</f>
        <v>0</v>
      </c>
      <c r="AA701">
        <f>VLOOKUP(Table9[[#This Row],[Shortname]], Comp[], 24, FALSE)</f>
        <v>0</v>
      </c>
      <c r="AB701">
        <f>VLOOKUP(Table9[[#This Row],[Shortname]], Comp[], 25, FALSE)</f>
        <v>0</v>
      </c>
      <c r="AC701">
        <f>VLOOKUP(Table9[[#This Row],[Shortname]], Comp[], 26, FALSE)</f>
        <v>0</v>
      </c>
      <c r="AD701">
        <f>VLOOKUP(Table9[[#This Row],[Shortname]], Comp[], 27, FALSE)</f>
        <v>0</v>
      </c>
      <c r="AE701">
        <f>VLOOKUP(Table9[[#This Row],[Shortname]], Comp[], 28, FALSE)</f>
        <v>0</v>
      </c>
      <c r="AF701">
        <f>VLOOKUP(Table9[[#This Row],[Shortname]], Comp[], 29, FALSE)</f>
        <v>0</v>
      </c>
      <c r="AG701">
        <f>VLOOKUP(Table9[[#This Row],[Shortname]], Comp[], 30, FALSE)</f>
        <v>0</v>
      </c>
      <c r="AH701">
        <f>VLOOKUP(Table9[[#This Row],[Shortname]], Comp[], 31, FALSE)</f>
        <v>0</v>
      </c>
    </row>
    <row r="702" spans="1:34" x14ac:dyDescent="0.3">
      <c r="A702" t="s">
        <v>2461</v>
      </c>
      <c r="B702" t="s">
        <v>5239</v>
      </c>
      <c r="C702" t="s">
        <v>5240</v>
      </c>
      <c r="D702">
        <v>250</v>
      </c>
      <c r="E702">
        <v>900</v>
      </c>
      <c r="F702">
        <v>1E-3</v>
      </c>
      <c r="G702">
        <v>-1</v>
      </c>
      <c r="H702" t="s">
        <v>6876</v>
      </c>
      <c r="I702">
        <f>VLOOKUP(Table9[[#This Row],[Shortname]], Comp[], 6, FALSE)</f>
        <v>325</v>
      </c>
      <c r="J702" s="14">
        <f>VLOOKUP(Table9[[#This Row],[Shortname]], Comp[], 7, FALSE)</f>
        <v>67</v>
      </c>
      <c r="K702">
        <f>VLOOKUP(Table9[[#This Row],[Shortname]], Comp[], 8, FALSE)</f>
        <v>15.9</v>
      </c>
      <c r="L702">
        <f>VLOOKUP(Table9[[#This Row],[Shortname]], Comp[], 9, FALSE)</f>
        <v>13.6</v>
      </c>
      <c r="M702">
        <f>VLOOKUP(Table9[[#This Row],[Shortname]], Comp[], 10, FALSE)</f>
        <v>0</v>
      </c>
      <c r="N702">
        <f>VLOOKUP(Table9[[#This Row],[Shortname]], Comp[], 11, FALSE)</f>
        <v>1.9</v>
      </c>
      <c r="O702">
        <f>VLOOKUP(Table9[[#This Row],[Shortname]], Comp[],12, FALSE)</f>
        <v>0</v>
      </c>
      <c r="P702">
        <f>VLOOKUP(Table9[[#This Row],[Shortname]], Comp[], 13, FALSE)</f>
        <v>0.7</v>
      </c>
      <c r="Q702">
        <f>VLOOKUP(Table9[[#This Row],[Shortname]], Comp[], 14, FALSE)</f>
        <v>0</v>
      </c>
      <c r="R702">
        <f>VLOOKUP(Table9[[#This Row],[Shortname]], Comp[], 15, FALSE)</f>
        <v>0</v>
      </c>
      <c r="S702">
        <f>VLOOKUP(Table9[[#This Row],[Shortname]], Comp[], 16, FALSE)</f>
        <v>0.6</v>
      </c>
      <c r="T702">
        <f>VLOOKUP(Table9[[#This Row],[Shortname]], Comp[], 17, FALSE)</f>
        <v>0</v>
      </c>
      <c r="U702">
        <f>VLOOKUP(Table9[[#This Row],[Shortname]], Comp[], 18, FALSE)</f>
        <v>0</v>
      </c>
      <c r="V702">
        <f>VLOOKUP(Table9[[#This Row],[Shortname]], Comp[], 19, FALSE)</f>
        <v>0</v>
      </c>
      <c r="W702">
        <f>VLOOKUP(Table9[[#This Row],[Shortname]], Comp[], 20, FALSE)</f>
        <v>0</v>
      </c>
      <c r="X702">
        <f>VLOOKUP(Table9[[#This Row],[Shortname]], Comp[], 21, FALSE)</f>
        <v>0.3</v>
      </c>
      <c r="Y702">
        <f>VLOOKUP(Table9[[#This Row],[Shortname]], Comp[], 22, FALSE)</f>
        <v>0</v>
      </c>
      <c r="Z702">
        <f>VLOOKUP(Table9[[#This Row],[Shortname]], Comp[], 23, FALSE)</f>
        <v>0</v>
      </c>
      <c r="AA702">
        <f>VLOOKUP(Table9[[#This Row],[Shortname]], Comp[], 24, FALSE)</f>
        <v>0</v>
      </c>
      <c r="AB702">
        <f>VLOOKUP(Table9[[#This Row],[Shortname]], Comp[], 25, FALSE)</f>
        <v>0</v>
      </c>
      <c r="AC702">
        <f>VLOOKUP(Table9[[#This Row],[Shortname]], Comp[], 26, FALSE)</f>
        <v>0</v>
      </c>
      <c r="AD702">
        <f>VLOOKUP(Table9[[#This Row],[Shortname]], Comp[], 27, FALSE)</f>
        <v>0</v>
      </c>
      <c r="AE702">
        <f>VLOOKUP(Table9[[#This Row],[Shortname]], Comp[], 28, FALSE)</f>
        <v>0</v>
      </c>
      <c r="AF702">
        <f>VLOOKUP(Table9[[#This Row],[Shortname]], Comp[], 29, FALSE)</f>
        <v>0</v>
      </c>
      <c r="AG702">
        <f>VLOOKUP(Table9[[#This Row],[Shortname]], Comp[], 30, FALSE)</f>
        <v>0</v>
      </c>
      <c r="AH702">
        <f>VLOOKUP(Table9[[#This Row],[Shortname]], Comp[], 31, FALSE)</f>
        <v>0</v>
      </c>
    </row>
    <row r="703" spans="1:34" x14ac:dyDescent="0.3">
      <c r="A703" t="s">
        <v>2461</v>
      </c>
      <c r="B703" t="s">
        <v>5239</v>
      </c>
      <c r="C703" t="s">
        <v>5240</v>
      </c>
      <c r="D703">
        <v>100</v>
      </c>
      <c r="E703">
        <v>1000</v>
      </c>
      <c r="F703">
        <v>1E-3</v>
      </c>
      <c r="G703">
        <v>-1</v>
      </c>
      <c r="H703" t="s">
        <v>6876</v>
      </c>
      <c r="I703">
        <f>VLOOKUP(Table9[[#This Row],[Shortname]], Comp[], 6, FALSE)</f>
        <v>325</v>
      </c>
      <c r="J703" s="14">
        <f>VLOOKUP(Table9[[#This Row],[Shortname]], Comp[], 7, FALSE)</f>
        <v>67</v>
      </c>
      <c r="K703">
        <f>VLOOKUP(Table9[[#This Row],[Shortname]], Comp[], 8, FALSE)</f>
        <v>15.9</v>
      </c>
      <c r="L703">
        <f>VLOOKUP(Table9[[#This Row],[Shortname]], Comp[], 9, FALSE)</f>
        <v>13.6</v>
      </c>
      <c r="M703">
        <f>VLOOKUP(Table9[[#This Row],[Shortname]], Comp[], 10, FALSE)</f>
        <v>0</v>
      </c>
      <c r="N703">
        <f>VLOOKUP(Table9[[#This Row],[Shortname]], Comp[], 11, FALSE)</f>
        <v>1.9</v>
      </c>
      <c r="O703">
        <f>VLOOKUP(Table9[[#This Row],[Shortname]], Comp[],12, FALSE)</f>
        <v>0</v>
      </c>
      <c r="P703">
        <f>VLOOKUP(Table9[[#This Row],[Shortname]], Comp[], 13, FALSE)</f>
        <v>0.7</v>
      </c>
      <c r="Q703">
        <f>VLOOKUP(Table9[[#This Row],[Shortname]], Comp[], 14, FALSE)</f>
        <v>0</v>
      </c>
      <c r="R703">
        <f>VLOOKUP(Table9[[#This Row],[Shortname]], Comp[], 15, FALSE)</f>
        <v>0</v>
      </c>
      <c r="S703">
        <f>VLOOKUP(Table9[[#This Row],[Shortname]], Comp[], 16, FALSE)</f>
        <v>0.6</v>
      </c>
      <c r="T703">
        <f>VLOOKUP(Table9[[#This Row],[Shortname]], Comp[], 17, FALSE)</f>
        <v>0</v>
      </c>
      <c r="U703">
        <f>VLOOKUP(Table9[[#This Row],[Shortname]], Comp[], 18, FALSE)</f>
        <v>0</v>
      </c>
      <c r="V703">
        <f>VLOOKUP(Table9[[#This Row],[Shortname]], Comp[], 19, FALSE)</f>
        <v>0</v>
      </c>
      <c r="W703">
        <f>VLOOKUP(Table9[[#This Row],[Shortname]], Comp[], 20, FALSE)</f>
        <v>0</v>
      </c>
      <c r="X703">
        <f>VLOOKUP(Table9[[#This Row],[Shortname]], Comp[], 21, FALSE)</f>
        <v>0.3</v>
      </c>
      <c r="Y703">
        <f>VLOOKUP(Table9[[#This Row],[Shortname]], Comp[], 22, FALSE)</f>
        <v>0</v>
      </c>
      <c r="Z703">
        <f>VLOOKUP(Table9[[#This Row],[Shortname]], Comp[], 23, FALSE)</f>
        <v>0</v>
      </c>
      <c r="AA703">
        <f>VLOOKUP(Table9[[#This Row],[Shortname]], Comp[], 24, FALSE)</f>
        <v>0</v>
      </c>
      <c r="AB703">
        <f>VLOOKUP(Table9[[#This Row],[Shortname]], Comp[], 25, FALSE)</f>
        <v>0</v>
      </c>
      <c r="AC703">
        <f>VLOOKUP(Table9[[#This Row],[Shortname]], Comp[], 26, FALSE)</f>
        <v>0</v>
      </c>
      <c r="AD703">
        <f>VLOOKUP(Table9[[#This Row],[Shortname]], Comp[], 27, FALSE)</f>
        <v>0</v>
      </c>
      <c r="AE703">
        <f>VLOOKUP(Table9[[#This Row],[Shortname]], Comp[], 28, FALSE)</f>
        <v>0</v>
      </c>
      <c r="AF703">
        <f>VLOOKUP(Table9[[#This Row],[Shortname]], Comp[], 29, FALSE)</f>
        <v>0</v>
      </c>
      <c r="AG703">
        <f>VLOOKUP(Table9[[#This Row],[Shortname]], Comp[], 30, FALSE)</f>
        <v>0</v>
      </c>
      <c r="AH703">
        <f>VLOOKUP(Table9[[#This Row],[Shortname]], Comp[], 31, FALSE)</f>
        <v>0</v>
      </c>
    </row>
    <row r="704" spans="1:34" x14ac:dyDescent="0.3">
      <c r="A704" t="s">
        <v>3210</v>
      </c>
      <c r="B704" t="s">
        <v>3212</v>
      </c>
      <c r="C704" t="s">
        <v>3213</v>
      </c>
      <c r="D704">
        <v>538</v>
      </c>
      <c r="E704">
        <v>25</v>
      </c>
      <c r="F704">
        <v>1E-4</v>
      </c>
      <c r="G704">
        <v>-1</v>
      </c>
      <c r="H704" t="s">
        <v>6855</v>
      </c>
      <c r="I704">
        <f>VLOOKUP(Table9[[#This Row],[Shortname]], Comp[], 6, FALSE)</f>
        <v>451</v>
      </c>
      <c r="J704" s="14">
        <f>VLOOKUP(Table9[[#This Row],[Shortname]], Comp[], 7, FALSE)</f>
        <v>63.5</v>
      </c>
      <c r="K704">
        <f>VLOOKUP(Table9[[#This Row],[Shortname]], Comp[], 8, FALSE)</f>
        <v>16</v>
      </c>
      <c r="L704">
        <f>VLOOKUP(Table9[[#This Row],[Shortname]], Comp[], 9, FALSE)</f>
        <v>9.5</v>
      </c>
      <c r="M704">
        <f>VLOOKUP(Table9[[#This Row],[Shortname]], Comp[], 10, FALSE)</f>
        <v>6</v>
      </c>
      <c r="N704">
        <f>VLOOKUP(Table9[[#This Row],[Shortname]], Comp[], 11, FALSE)</f>
        <v>5</v>
      </c>
      <c r="O704">
        <f>VLOOKUP(Table9[[#This Row],[Shortname]], Comp[],12, FALSE)</f>
        <v>0</v>
      </c>
      <c r="P704">
        <f>VLOOKUP(Table9[[#This Row],[Shortname]], Comp[], 13, FALSE)</f>
        <v>0</v>
      </c>
      <c r="Q704">
        <f>VLOOKUP(Table9[[#This Row],[Shortname]], Comp[], 14, FALSE)</f>
        <v>0</v>
      </c>
      <c r="R704">
        <f>VLOOKUP(Table9[[#This Row],[Shortname]], Comp[], 15, FALSE)</f>
        <v>0</v>
      </c>
      <c r="S704">
        <f>VLOOKUP(Table9[[#This Row],[Shortname]], Comp[], 16, FALSE)</f>
        <v>0</v>
      </c>
      <c r="T704">
        <f>VLOOKUP(Table9[[#This Row],[Shortname]], Comp[], 17, FALSE)</f>
        <v>0</v>
      </c>
      <c r="U704">
        <f>VLOOKUP(Table9[[#This Row],[Shortname]], Comp[], 18, FALSE)</f>
        <v>0</v>
      </c>
      <c r="V704">
        <f>VLOOKUP(Table9[[#This Row],[Shortname]], Comp[], 19, FALSE)</f>
        <v>0</v>
      </c>
      <c r="W704">
        <f>VLOOKUP(Table9[[#This Row],[Shortname]], Comp[], 20, FALSE)</f>
        <v>0</v>
      </c>
      <c r="X704">
        <f>VLOOKUP(Table9[[#This Row],[Shortname]], Comp[], 21, FALSE)</f>
        <v>0</v>
      </c>
      <c r="Y704">
        <f>VLOOKUP(Table9[[#This Row],[Shortname]], Comp[], 22, FALSE)</f>
        <v>0</v>
      </c>
      <c r="Z704">
        <f>VLOOKUP(Table9[[#This Row],[Shortname]], Comp[], 23, FALSE)</f>
        <v>0</v>
      </c>
      <c r="AA704">
        <f>VLOOKUP(Table9[[#This Row],[Shortname]], Comp[], 24, FALSE)</f>
        <v>0</v>
      </c>
      <c r="AB704">
        <f>VLOOKUP(Table9[[#This Row],[Shortname]], Comp[], 25, FALSE)</f>
        <v>0</v>
      </c>
      <c r="AC704">
        <f>VLOOKUP(Table9[[#This Row],[Shortname]], Comp[], 26, FALSE)</f>
        <v>0</v>
      </c>
      <c r="AD704">
        <f>VLOOKUP(Table9[[#This Row],[Shortname]], Comp[], 27, FALSE)</f>
        <v>0</v>
      </c>
      <c r="AE704">
        <f>VLOOKUP(Table9[[#This Row],[Shortname]], Comp[], 28, FALSE)</f>
        <v>0</v>
      </c>
      <c r="AF704">
        <f>VLOOKUP(Table9[[#This Row],[Shortname]], Comp[], 29, FALSE)</f>
        <v>0</v>
      </c>
      <c r="AG704">
        <f>VLOOKUP(Table9[[#This Row],[Shortname]], Comp[], 30, FALSE)</f>
        <v>0</v>
      </c>
      <c r="AH704">
        <f>VLOOKUP(Table9[[#This Row],[Shortname]], Comp[], 31, FALSE)</f>
        <v>0</v>
      </c>
    </row>
    <row r="705" spans="1:34" x14ac:dyDescent="0.3">
      <c r="A705" t="s">
        <v>3210</v>
      </c>
      <c r="B705" t="s">
        <v>3212</v>
      </c>
      <c r="C705" t="s">
        <v>3213</v>
      </c>
      <c r="D705">
        <v>420</v>
      </c>
      <c r="E705">
        <v>600</v>
      </c>
      <c r="F705">
        <v>1E-4</v>
      </c>
      <c r="G705">
        <v>-1</v>
      </c>
      <c r="H705" t="s">
        <v>6855</v>
      </c>
      <c r="I705">
        <f>VLOOKUP(Table9[[#This Row],[Shortname]], Comp[], 6, FALSE)</f>
        <v>451</v>
      </c>
      <c r="J705" s="14">
        <f>VLOOKUP(Table9[[#This Row],[Shortname]], Comp[], 7, FALSE)</f>
        <v>63.5</v>
      </c>
      <c r="K705">
        <f>VLOOKUP(Table9[[#This Row],[Shortname]], Comp[], 8, FALSE)</f>
        <v>16</v>
      </c>
      <c r="L705">
        <f>VLOOKUP(Table9[[#This Row],[Shortname]], Comp[], 9, FALSE)</f>
        <v>9.5</v>
      </c>
      <c r="M705">
        <f>VLOOKUP(Table9[[#This Row],[Shortname]], Comp[], 10, FALSE)</f>
        <v>6</v>
      </c>
      <c r="N705">
        <f>VLOOKUP(Table9[[#This Row],[Shortname]], Comp[], 11, FALSE)</f>
        <v>5</v>
      </c>
      <c r="O705">
        <f>VLOOKUP(Table9[[#This Row],[Shortname]], Comp[],12, FALSE)</f>
        <v>0</v>
      </c>
      <c r="P705">
        <f>VLOOKUP(Table9[[#This Row],[Shortname]], Comp[], 13, FALSE)</f>
        <v>0</v>
      </c>
      <c r="Q705">
        <f>VLOOKUP(Table9[[#This Row],[Shortname]], Comp[], 14, FALSE)</f>
        <v>0</v>
      </c>
      <c r="R705">
        <f>VLOOKUP(Table9[[#This Row],[Shortname]], Comp[], 15, FALSE)</f>
        <v>0</v>
      </c>
      <c r="S705">
        <f>VLOOKUP(Table9[[#This Row],[Shortname]], Comp[], 16, FALSE)</f>
        <v>0</v>
      </c>
      <c r="T705">
        <f>VLOOKUP(Table9[[#This Row],[Shortname]], Comp[], 17, FALSE)</f>
        <v>0</v>
      </c>
      <c r="U705">
        <f>VLOOKUP(Table9[[#This Row],[Shortname]], Comp[], 18, FALSE)</f>
        <v>0</v>
      </c>
      <c r="V705">
        <f>VLOOKUP(Table9[[#This Row],[Shortname]], Comp[], 19, FALSE)</f>
        <v>0</v>
      </c>
      <c r="W705">
        <f>VLOOKUP(Table9[[#This Row],[Shortname]], Comp[], 20, FALSE)</f>
        <v>0</v>
      </c>
      <c r="X705">
        <f>VLOOKUP(Table9[[#This Row],[Shortname]], Comp[], 21, FALSE)</f>
        <v>0</v>
      </c>
      <c r="Y705">
        <f>VLOOKUP(Table9[[#This Row],[Shortname]], Comp[], 22, FALSE)</f>
        <v>0</v>
      </c>
      <c r="Z705">
        <f>VLOOKUP(Table9[[#This Row],[Shortname]], Comp[], 23, FALSE)</f>
        <v>0</v>
      </c>
      <c r="AA705">
        <f>VLOOKUP(Table9[[#This Row],[Shortname]], Comp[], 24, FALSE)</f>
        <v>0</v>
      </c>
      <c r="AB705">
        <f>VLOOKUP(Table9[[#This Row],[Shortname]], Comp[], 25, FALSE)</f>
        <v>0</v>
      </c>
      <c r="AC705">
        <f>VLOOKUP(Table9[[#This Row],[Shortname]], Comp[], 26, FALSE)</f>
        <v>0</v>
      </c>
      <c r="AD705">
        <f>VLOOKUP(Table9[[#This Row],[Shortname]], Comp[], 27, FALSE)</f>
        <v>0</v>
      </c>
      <c r="AE705">
        <f>VLOOKUP(Table9[[#This Row],[Shortname]], Comp[], 28, FALSE)</f>
        <v>0</v>
      </c>
      <c r="AF705">
        <f>VLOOKUP(Table9[[#This Row],[Shortname]], Comp[], 29, FALSE)</f>
        <v>0</v>
      </c>
      <c r="AG705">
        <f>VLOOKUP(Table9[[#This Row],[Shortname]], Comp[], 30, FALSE)</f>
        <v>0</v>
      </c>
      <c r="AH705">
        <f>VLOOKUP(Table9[[#This Row],[Shortname]], Comp[], 31, FALSE)</f>
        <v>0</v>
      </c>
    </row>
    <row r="706" spans="1:34" x14ac:dyDescent="0.3">
      <c r="A706" t="s">
        <v>3210</v>
      </c>
      <c r="B706" t="s">
        <v>3212</v>
      </c>
      <c r="C706" t="s">
        <v>3213</v>
      </c>
      <c r="D706">
        <v>336</v>
      </c>
      <c r="E706">
        <v>800</v>
      </c>
      <c r="F706">
        <v>1E-4</v>
      </c>
      <c r="G706">
        <v>-1</v>
      </c>
      <c r="H706" t="s">
        <v>6855</v>
      </c>
      <c r="I706">
        <f>VLOOKUP(Table9[[#This Row],[Shortname]], Comp[], 6, FALSE)</f>
        <v>451</v>
      </c>
      <c r="J706" s="14">
        <f>VLOOKUP(Table9[[#This Row],[Shortname]], Comp[], 7, FALSE)</f>
        <v>63.5</v>
      </c>
      <c r="K706">
        <f>VLOOKUP(Table9[[#This Row],[Shortname]], Comp[], 8, FALSE)</f>
        <v>16</v>
      </c>
      <c r="L706">
        <f>VLOOKUP(Table9[[#This Row],[Shortname]], Comp[], 9, FALSE)</f>
        <v>9.5</v>
      </c>
      <c r="M706">
        <f>VLOOKUP(Table9[[#This Row],[Shortname]], Comp[], 10, FALSE)</f>
        <v>6</v>
      </c>
      <c r="N706">
        <f>VLOOKUP(Table9[[#This Row],[Shortname]], Comp[], 11, FALSE)</f>
        <v>5</v>
      </c>
      <c r="O706">
        <f>VLOOKUP(Table9[[#This Row],[Shortname]], Comp[],12, FALSE)</f>
        <v>0</v>
      </c>
      <c r="P706">
        <f>VLOOKUP(Table9[[#This Row],[Shortname]], Comp[], 13, FALSE)</f>
        <v>0</v>
      </c>
      <c r="Q706">
        <f>VLOOKUP(Table9[[#This Row],[Shortname]], Comp[], 14, FALSE)</f>
        <v>0</v>
      </c>
      <c r="R706">
        <f>VLOOKUP(Table9[[#This Row],[Shortname]], Comp[], 15, FALSE)</f>
        <v>0</v>
      </c>
      <c r="S706">
        <f>VLOOKUP(Table9[[#This Row],[Shortname]], Comp[], 16, FALSE)</f>
        <v>0</v>
      </c>
      <c r="T706">
        <f>VLOOKUP(Table9[[#This Row],[Shortname]], Comp[], 17, FALSE)</f>
        <v>0</v>
      </c>
      <c r="U706">
        <f>VLOOKUP(Table9[[#This Row],[Shortname]], Comp[], 18, FALSE)</f>
        <v>0</v>
      </c>
      <c r="V706">
        <f>VLOOKUP(Table9[[#This Row],[Shortname]], Comp[], 19, FALSE)</f>
        <v>0</v>
      </c>
      <c r="W706">
        <f>VLOOKUP(Table9[[#This Row],[Shortname]], Comp[], 20, FALSE)</f>
        <v>0</v>
      </c>
      <c r="X706">
        <f>VLOOKUP(Table9[[#This Row],[Shortname]], Comp[], 21, FALSE)</f>
        <v>0</v>
      </c>
      <c r="Y706">
        <f>VLOOKUP(Table9[[#This Row],[Shortname]], Comp[], 22, FALSE)</f>
        <v>0</v>
      </c>
      <c r="Z706">
        <f>VLOOKUP(Table9[[#This Row],[Shortname]], Comp[], 23, FALSE)</f>
        <v>0</v>
      </c>
      <c r="AA706">
        <f>VLOOKUP(Table9[[#This Row],[Shortname]], Comp[], 24, FALSE)</f>
        <v>0</v>
      </c>
      <c r="AB706">
        <f>VLOOKUP(Table9[[#This Row],[Shortname]], Comp[], 25, FALSE)</f>
        <v>0</v>
      </c>
      <c r="AC706">
        <f>VLOOKUP(Table9[[#This Row],[Shortname]], Comp[], 26, FALSE)</f>
        <v>0</v>
      </c>
      <c r="AD706">
        <f>VLOOKUP(Table9[[#This Row],[Shortname]], Comp[], 27, FALSE)</f>
        <v>0</v>
      </c>
      <c r="AE706">
        <f>VLOOKUP(Table9[[#This Row],[Shortname]], Comp[], 28, FALSE)</f>
        <v>0</v>
      </c>
      <c r="AF706">
        <f>VLOOKUP(Table9[[#This Row],[Shortname]], Comp[], 29, FALSE)</f>
        <v>0</v>
      </c>
      <c r="AG706">
        <f>VLOOKUP(Table9[[#This Row],[Shortname]], Comp[], 30, FALSE)</f>
        <v>0</v>
      </c>
      <c r="AH706">
        <f>VLOOKUP(Table9[[#This Row],[Shortname]], Comp[], 31, FALSE)</f>
        <v>0</v>
      </c>
    </row>
    <row r="707" spans="1:34" x14ac:dyDescent="0.3">
      <c r="A707" t="s">
        <v>3210</v>
      </c>
      <c r="B707" t="s">
        <v>3212</v>
      </c>
      <c r="C707" t="s">
        <v>3213</v>
      </c>
      <c r="D707">
        <v>210</v>
      </c>
      <c r="E707">
        <v>900</v>
      </c>
      <c r="F707">
        <v>1E-4</v>
      </c>
      <c r="G707">
        <v>-1</v>
      </c>
      <c r="H707" t="s">
        <v>6855</v>
      </c>
      <c r="I707">
        <f>VLOOKUP(Table9[[#This Row],[Shortname]], Comp[], 6, FALSE)</f>
        <v>451</v>
      </c>
      <c r="J707" s="14">
        <f>VLOOKUP(Table9[[#This Row],[Shortname]], Comp[], 7, FALSE)</f>
        <v>63.5</v>
      </c>
      <c r="K707">
        <f>VLOOKUP(Table9[[#This Row],[Shortname]], Comp[], 8, FALSE)</f>
        <v>16</v>
      </c>
      <c r="L707">
        <f>VLOOKUP(Table9[[#This Row],[Shortname]], Comp[], 9, FALSE)</f>
        <v>9.5</v>
      </c>
      <c r="M707">
        <f>VLOOKUP(Table9[[#This Row],[Shortname]], Comp[], 10, FALSE)</f>
        <v>6</v>
      </c>
      <c r="N707">
        <f>VLOOKUP(Table9[[#This Row],[Shortname]], Comp[], 11, FALSE)</f>
        <v>5</v>
      </c>
      <c r="O707">
        <f>VLOOKUP(Table9[[#This Row],[Shortname]], Comp[],12, FALSE)</f>
        <v>0</v>
      </c>
      <c r="P707">
        <f>VLOOKUP(Table9[[#This Row],[Shortname]], Comp[], 13, FALSE)</f>
        <v>0</v>
      </c>
      <c r="Q707">
        <f>VLOOKUP(Table9[[#This Row],[Shortname]], Comp[], 14, FALSE)</f>
        <v>0</v>
      </c>
      <c r="R707">
        <f>VLOOKUP(Table9[[#This Row],[Shortname]], Comp[], 15, FALSE)</f>
        <v>0</v>
      </c>
      <c r="S707">
        <f>VLOOKUP(Table9[[#This Row],[Shortname]], Comp[], 16, FALSE)</f>
        <v>0</v>
      </c>
      <c r="T707">
        <f>VLOOKUP(Table9[[#This Row],[Shortname]], Comp[], 17, FALSE)</f>
        <v>0</v>
      </c>
      <c r="U707">
        <f>VLOOKUP(Table9[[#This Row],[Shortname]], Comp[], 18, FALSE)</f>
        <v>0</v>
      </c>
      <c r="V707">
        <f>VLOOKUP(Table9[[#This Row],[Shortname]], Comp[], 19, FALSE)</f>
        <v>0</v>
      </c>
      <c r="W707">
        <f>VLOOKUP(Table9[[#This Row],[Shortname]], Comp[], 20, FALSE)</f>
        <v>0</v>
      </c>
      <c r="X707">
        <f>VLOOKUP(Table9[[#This Row],[Shortname]], Comp[], 21, FALSE)</f>
        <v>0</v>
      </c>
      <c r="Y707">
        <f>VLOOKUP(Table9[[#This Row],[Shortname]], Comp[], 22, FALSE)</f>
        <v>0</v>
      </c>
      <c r="Z707">
        <f>VLOOKUP(Table9[[#This Row],[Shortname]], Comp[], 23, FALSE)</f>
        <v>0</v>
      </c>
      <c r="AA707">
        <f>VLOOKUP(Table9[[#This Row],[Shortname]], Comp[], 24, FALSE)</f>
        <v>0</v>
      </c>
      <c r="AB707">
        <f>VLOOKUP(Table9[[#This Row],[Shortname]], Comp[], 25, FALSE)</f>
        <v>0</v>
      </c>
      <c r="AC707">
        <f>VLOOKUP(Table9[[#This Row],[Shortname]], Comp[], 26, FALSE)</f>
        <v>0</v>
      </c>
      <c r="AD707">
        <f>VLOOKUP(Table9[[#This Row],[Shortname]], Comp[], 27, FALSE)</f>
        <v>0</v>
      </c>
      <c r="AE707">
        <f>VLOOKUP(Table9[[#This Row],[Shortname]], Comp[], 28, FALSE)</f>
        <v>0</v>
      </c>
      <c r="AF707">
        <f>VLOOKUP(Table9[[#This Row],[Shortname]], Comp[], 29, FALSE)</f>
        <v>0</v>
      </c>
      <c r="AG707">
        <f>VLOOKUP(Table9[[#This Row],[Shortname]], Comp[], 30, FALSE)</f>
        <v>0</v>
      </c>
      <c r="AH707">
        <f>VLOOKUP(Table9[[#This Row],[Shortname]], Comp[], 31, FALSE)</f>
        <v>0</v>
      </c>
    </row>
    <row r="708" spans="1:34" x14ac:dyDescent="0.3">
      <c r="A708" t="s">
        <v>3217</v>
      </c>
      <c r="B708" t="s">
        <v>3219</v>
      </c>
      <c r="C708" t="s">
        <v>3213</v>
      </c>
      <c r="D708">
        <v>599</v>
      </c>
      <c r="E708">
        <v>25</v>
      </c>
      <c r="F708">
        <v>1E-4</v>
      </c>
      <c r="G708">
        <v>-1</v>
      </c>
      <c r="H708" t="s">
        <v>6855</v>
      </c>
      <c r="I708">
        <f>VLOOKUP(Table9[[#This Row],[Shortname]], Comp[], 6, FALSE)</f>
        <v>452</v>
      </c>
      <c r="J708" s="14">
        <f>VLOOKUP(Table9[[#This Row],[Shortname]], Comp[], 7, FALSE)</f>
        <v>61.7</v>
      </c>
      <c r="K708">
        <f>VLOOKUP(Table9[[#This Row],[Shortname]], Comp[], 8, FALSE)</f>
        <v>16</v>
      </c>
      <c r="L708">
        <f>VLOOKUP(Table9[[#This Row],[Shortname]], Comp[], 9, FALSE)</f>
        <v>9.5</v>
      </c>
      <c r="M708">
        <f>VLOOKUP(Table9[[#This Row],[Shortname]], Comp[], 10, FALSE)</f>
        <v>6</v>
      </c>
      <c r="N708">
        <f>VLOOKUP(Table9[[#This Row],[Shortname]], Comp[], 11, FALSE)</f>
        <v>5</v>
      </c>
      <c r="O708">
        <f>VLOOKUP(Table9[[#This Row],[Shortname]], Comp[],12, FALSE)</f>
        <v>0</v>
      </c>
      <c r="P708">
        <f>VLOOKUP(Table9[[#This Row],[Shortname]], Comp[], 13, FALSE)</f>
        <v>1.8</v>
      </c>
      <c r="Q708">
        <f>VLOOKUP(Table9[[#This Row],[Shortname]], Comp[], 14, FALSE)</f>
        <v>0</v>
      </c>
      <c r="R708">
        <f>VLOOKUP(Table9[[#This Row],[Shortname]], Comp[], 15, FALSE)</f>
        <v>0</v>
      </c>
      <c r="S708">
        <f>VLOOKUP(Table9[[#This Row],[Shortname]], Comp[], 16, FALSE)</f>
        <v>0</v>
      </c>
      <c r="T708">
        <f>VLOOKUP(Table9[[#This Row],[Shortname]], Comp[], 17, FALSE)</f>
        <v>0</v>
      </c>
      <c r="U708">
        <f>VLOOKUP(Table9[[#This Row],[Shortname]], Comp[], 18, FALSE)</f>
        <v>0</v>
      </c>
      <c r="V708">
        <f>VLOOKUP(Table9[[#This Row],[Shortname]], Comp[], 19, FALSE)</f>
        <v>0</v>
      </c>
      <c r="W708">
        <f>VLOOKUP(Table9[[#This Row],[Shortname]], Comp[], 20, FALSE)</f>
        <v>0</v>
      </c>
      <c r="X708">
        <f>VLOOKUP(Table9[[#This Row],[Shortname]], Comp[], 21, FALSE)</f>
        <v>0</v>
      </c>
      <c r="Y708">
        <f>VLOOKUP(Table9[[#This Row],[Shortname]], Comp[], 22, FALSE)</f>
        <v>0</v>
      </c>
      <c r="Z708">
        <f>VLOOKUP(Table9[[#This Row],[Shortname]], Comp[], 23, FALSE)</f>
        <v>0</v>
      </c>
      <c r="AA708">
        <f>VLOOKUP(Table9[[#This Row],[Shortname]], Comp[], 24, FALSE)</f>
        <v>0</v>
      </c>
      <c r="AB708">
        <f>VLOOKUP(Table9[[#This Row],[Shortname]], Comp[], 25, FALSE)</f>
        <v>0</v>
      </c>
      <c r="AC708">
        <f>VLOOKUP(Table9[[#This Row],[Shortname]], Comp[], 26, FALSE)</f>
        <v>0</v>
      </c>
      <c r="AD708">
        <f>VLOOKUP(Table9[[#This Row],[Shortname]], Comp[], 27, FALSE)</f>
        <v>0</v>
      </c>
      <c r="AE708">
        <f>VLOOKUP(Table9[[#This Row],[Shortname]], Comp[], 28, FALSE)</f>
        <v>0</v>
      </c>
      <c r="AF708">
        <f>VLOOKUP(Table9[[#This Row],[Shortname]], Comp[], 29, FALSE)</f>
        <v>0</v>
      </c>
      <c r="AG708">
        <f>VLOOKUP(Table9[[#This Row],[Shortname]], Comp[], 30, FALSE)</f>
        <v>0</v>
      </c>
      <c r="AH708">
        <f>VLOOKUP(Table9[[#This Row],[Shortname]], Comp[], 31, FALSE)</f>
        <v>0</v>
      </c>
    </row>
    <row r="709" spans="1:34" x14ac:dyDescent="0.3">
      <c r="A709" t="s">
        <v>3217</v>
      </c>
      <c r="B709" t="s">
        <v>3219</v>
      </c>
      <c r="C709" t="s">
        <v>3213</v>
      </c>
      <c r="D709">
        <v>522</v>
      </c>
      <c r="E709">
        <v>800</v>
      </c>
      <c r="F709">
        <v>1E-4</v>
      </c>
      <c r="G709">
        <v>-1</v>
      </c>
      <c r="H709" t="s">
        <v>6855</v>
      </c>
      <c r="I709">
        <f>VLOOKUP(Table9[[#This Row],[Shortname]], Comp[], 6, FALSE)</f>
        <v>452</v>
      </c>
      <c r="J709" s="14">
        <f>VLOOKUP(Table9[[#This Row],[Shortname]], Comp[], 7, FALSE)</f>
        <v>61.7</v>
      </c>
      <c r="K709">
        <f>VLOOKUP(Table9[[#This Row],[Shortname]], Comp[], 8, FALSE)</f>
        <v>16</v>
      </c>
      <c r="L709">
        <f>VLOOKUP(Table9[[#This Row],[Shortname]], Comp[], 9, FALSE)</f>
        <v>9.5</v>
      </c>
      <c r="M709">
        <f>VLOOKUP(Table9[[#This Row],[Shortname]], Comp[], 10, FALSE)</f>
        <v>6</v>
      </c>
      <c r="N709">
        <f>VLOOKUP(Table9[[#This Row],[Shortname]], Comp[], 11, FALSE)</f>
        <v>5</v>
      </c>
      <c r="O709">
        <f>VLOOKUP(Table9[[#This Row],[Shortname]], Comp[],12, FALSE)</f>
        <v>0</v>
      </c>
      <c r="P709">
        <f>VLOOKUP(Table9[[#This Row],[Shortname]], Comp[], 13, FALSE)</f>
        <v>1.8</v>
      </c>
      <c r="Q709">
        <f>VLOOKUP(Table9[[#This Row],[Shortname]], Comp[], 14, FALSE)</f>
        <v>0</v>
      </c>
      <c r="R709">
        <f>VLOOKUP(Table9[[#This Row],[Shortname]], Comp[], 15, FALSE)</f>
        <v>0</v>
      </c>
      <c r="S709">
        <f>VLOOKUP(Table9[[#This Row],[Shortname]], Comp[], 16, FALSE)</f>
        <v>0</v>
      </c>
      <c r="T709">
        <f>VLOOKUP(Table9[[#This Row],[Shortname]], Comp[], 17, FALSE)</f>
        <v>0</v>
      </c>
      <c r="U709">
        <f>VLOOKUP(Table9[[#This Row],[Shortname]], Comp[], 18, FALSE)</f>
        <v>0</v>
      </c>
      <c r="V709">
        <f>VLOOKUP(Table9[[#This Row],[Shortname]], Comp[], 19, FALSE)</f>
        <v>0</v>
      </c>
      <c r="W709">
        <f>VLOOKUP(Table9[[#This Row],[Shortname]], Comp[], 20, FALSE)</f>
        <v>0</v>
      </c>
      <c r="X709">
        <f>VLOOKUP(Table9[[#This Row],[Shortname]], Comp[], 21, FALSE)</f>
        <v>0</v>
      </c>
      <c r="Y709">
        <f>VLOOKUP(Table9[[#This Row],[Shortname]], Comp[], 22, FALSE)</f>
        <v>0</v>
      </c>
      <c r="Z709">
        <f>VLOOKUP(Table9[[#This Row],[Shortname]], Comp[], 23, FALSE)</f>
        <v>0</v>
      </c>
      <c r="AA709">
        <f>VLOOKUP(Table9[[#This Row],[Shortname]], Comp[], 24, FALSE)</f>
        <v>0</v>
      </c>
      <c r="AB709">
        <f>VLOOKUP(Table9[[#This Row],[Shortname]], Comp[], 25, FALSE)</f>
        <v>0</v>
      </c>
      <c r="AC709">
        <f>VLOOKUP(Table9[[#This Row],[Shortname]], Comp[], 26, FALSE)</f>
        <v>0</v>
      </c>
      <c r="AD709">
        <f>VLOOKUP(Table9[[#This Row],[Shortname]], Comp[], 27, FALSE)</f>
        <v>0</v>
      </c>
      <c r="AE709">
        <f>VLOOKUP(Table9[[#This Row],[Shortname]], Comp[], 28, FALSE)</f>
        <v>0</v>
      </c>
      <c r="AF709">
        <f>VLOOKUP(Table9[[#This Row],[Shortname]], Comp[], 29, FALSE)</f>
        <v>0</v>
      </c>
      <c r="AG709">
        <f>VLOOKUP(Table9[[#This Row],[Shortname]], Comp[], 30, FALSE)</f>
        <v>0</v>
      </c>
      <c r="AH709">
        <f>VLOOKUP(Table9[[#This Row],[Shortname]], Comp[], 31, FALSE)</f>
        <v>0</v>
      </c>
    </row>
    <row r="710" spans="1:34" x14ac:dyDescent="0.3">
      <c r="A710" t="s">
        <v>3217</v>
      </c>
      <c r="B710" t="s">
        <v>3219</v>
      </c>
      <c r="C710" t="s">
        <v>3213</v>
      </c>
      <c r="D710">
        <v>508</v>
      </c>
      <c r="E710">
        <v>700</v>
      </c>
      <c r="F710">
        <v>1E-4</v>
      </c>
      <c r="G710">
        <v>-1</v>
      </c>
      <c r="H710" t="s">
        <v>6855</v>
      </c>
      <c r="I710">
        <f>VLOOKUP(Table9[[#This Row],[Shortname]], Comp[], 6, FALSE)</f>
        <v>452</v>
      </c>
      <c r="J710" s="14">
        <f>VLOOKUP(Table9[[#This Row],[Shortname]], Comp[], 7, FALSE)</f>
        <v>61.7</v>
      </c>
      <c r="K710">
        <f>VLOOKUP(Table9[[#This Row],[Shortname]], Comp[], 8, FALSE)</f>
        <v>16</v>
      </c>
      <c r="L710">
        <f>VLOOKUP(Table9[[#This Row],[Shortname]], Comp[], 9, FALSE)</f>
        <v>9.5</v>
      </c>
      <c r="M710">
        <f>VLOOKUP(Table9[[#This Row],[Shortname]], Comp[], 10, FALSE)</f>
        <v>6</v>
      </c>
      <c r="N710">
        <f>VLOOKUP(Table9[[#This Row],[Shortname]], Comp[], 11, FALSE)</f>
        <v>5</v>
      </c>
      <c r="O710">
        <f>VLOOKUP(Table9[[#This Row],[Shortname]], Comp[],12, FALSE)</f>
        <v>0</v>
      </c>
      <c r="P710">
        <f>VLOOKUP(Table9[[#This Row],[Shortname]], Comp[], 13, FALSE)</f>
        <v>1.8</v>
      </c>
      <c r="Q710">
        <f>VLOOKUP(Table9[[#This Row],[Shortname]], Comp[], 14, FALSE)</f>
        <v>0</v>
      </c>
      <c r="R710">
        <f>VLOOKUP(Table9[[#This Row],[Shortname]], Comp[], 15, FALSE)</f>
        <v>0</v>
      </c>
      <c r="S710">
        <f>VLOOKUP(Table9[[#This Row],[Shortname]], Comp[], 16, FALSE)</f>
        <v>0</v>
      </c>
      <c r="T710">
        <f>VLOOKUP(Table9[[#This Row],[Shortname]], Comp[], 17, FALSE)</f>
        <v>0</v>
      </c>
      <c r="U710">
        <f>VLOOKUP(Table9[[#This Row],[Shortname]], Comp[], 18, FALSE)</f>
        <v>0</v>
      </c>
      <c r="V710">
        <f>VLOOKUP(Table9[[#This Row],[Shortname]], Comp[], 19, FALSE)</f>
        <v>0</v>
      </c>
      <c r="W710">
        <f>VLOOKUP(Table9[[#This Row],[Shortname]], Comp[], 20, FALSE)</f>
        <v>0</v>
      </c>
      <c r="X710">
        <f>VLOOKUP(Table9[[#This Row],[Shortname]], Comp[], 21, FALSE)</f>
        <v>0</v>
      </c>
      <c r="Y710">
        <f>VLOOKUP(Table9[[#This Row],[Shortname]], Comp[], 22, FALSE)</f>
        <v>0</v>
      </c>
      <c r="Z710">
        <f>VLOOKUP(Table9[[#This Row],[Shortname]], Comp[], 23, FALSE)</f>
        <v>0</v>
      </c>
      <c r="AA710">
        <f>VLOOKUP(Table9[[#This Row],[Shortname]], Comp[], 24, FALSE)</f>
        <v>0</v>
      </c>
      <c r="AB710">
        <f>VLOOKUP(Table9[[#This Row],[Shortname]], Comp[], 25, FALSE)</f>
        <v>0</v>
      </c>
      <c r="AC710">
        <f>VLOOKUP(Table9[[#This Row],[Shortname]], Comp[], 26, FALSE)</f>
        <v>0</v>
      </c>
      <c r="AD710">
        <f>VLOOKUP(Table9[[#This Row],[Shortname]], Comp[], 27, FALSE)</f>
        <v>0</v>
      </c>
      <c r="AE710">
        <f>VLOOKUP(Table9[[#This Row],[Shortname]], Comp[], 28, FALSE)</f>
        <v>0</v>
      </c>
      <c r="AF710">
        <f>VLOOKUP(Table9[[#This Row],[Shortname]], Comp[], 29, FALSE)</f>
        <v>0</v>
      </c>
      <c r="AG710">
        <f>VLOOKUP(Table9[[#This Row],[Shortname]], Comp[], 30, FALSE)</f>
        <v>0</v>
      </c>
      <c r="AH710">
        <f>VLOOKUP(Table9[[#This Row],[Shortname]], Comp[], 31, FALSE)</f>
        <v>0</v>
      </c>
    </row>
    <row r="711" spans="1:34" x14ac:dyDescent="0.3">
      <c r="A711" t="s">
        <v>3217</v>
      </c>
      <c r="B711" t="s">
        <v>3219</v>
      </c>
      <c r="C711" t="s">
        <v>3213</v>
      </c>
      <c r="D711">
        <v>492</v>
      </c>
      <c r="E711">
        <v>600</v>
      </c>
      <c r="F711">
        <v>1E-4</v>
      </c>
      <c r="G711">
        <v>-1</v>
      </c>
      <c r="H711" t="s">
        <v>6855</v>
      </c>
      <c r="I711">
        <f>VLOOKUP(Table9[[#This Row],[Shortname]], Comp[], 6, FALSE)</f>
        <v>452</v>
      </c>
      <c r="J711" s="14">
        <f>VLOOKUP(Table9[[#This Row],[Shortname]], Comp[], 7, FALSE)</f>
        <v>61.7</v>
      </c>
      <c r="K711">
        <f>VLOOKUP(Table9[[#This Row],[Shortname]], Comp[], 8, FALSE)</f>
        <v>16</v>
      </c>
      <c r="L711">
        <f>VLOOKUP(Table9[[#This Row],[Shortname]], Comp[], 9, FALSE)</f>
        <v>9.5</v>
      </c>
      <c r="M711">
        <f>VLOOKUP(Table9[[#This Row],[Shortname]], Comp[], 10, FALSE)</f>
        <v>6</v>
      </c>
      <c r="N711">
        <f>VLOOKUP(Table9[[#This Row],[Shortname]], Comp[], 11, FALSE)</f>
        <v>5</v>
      </c>
      <c r="O711">
        <f>VLOOKUP(Table9[[#This Row],[Shortname]], Comp[],12, FALSE)</f>
        <v>0</v>
      </c>
      <c r="P711">
        <f>VLOOKUP(Table9[[#This Row],[Shortname]], Comp[], 13, FALSE)</f>
        <v>1.8</v>
      </c>
      <c r="Q711">
        <f>VLOOKUP(Table9[[#This Row],[Shortname]], Comp[], 14, FALSE)</f>
        <v>0</v>
      </c>
      <c r="R711">
        <f>VLOOKUP(Table9[[#This Row],[Shortname]], Comp[], 15, FALSE)</f>
        <v>0</v>
      </c>
      <c r="S711">
        <f>VLOOKUP(Table9[[#This Row],[Shortname]], Comp[], 16, FALSE)</f>
        <v>0</v>
      </c>
      <c r="T711">
        <f>VLOOKUP(Table9[[#This Row],[Shortname]], Comp[], 17, FALSE)</f>
        <v>0</v>
      </c>
      <c r="U711">
        <f>VLOOKUP(Table9[[#This Row],[Shortname]], Comp[], 18, FALSE)</f>
        <v>0</v>
      </c>
      <c r="V711">
        <f>VLOOKUP(Table9[[#This Row],[Shortname]], Comp[], 19, FALSE)</f>
        <v>0</v>
      </c>
      <c r="W711">
        <f>VLOOKUP(Table9[[#This Row],[Shortname]], Comp[], 20, FALSE)</f>
        <v>0</v>
      </c>
      <c r="X711">
        <f>VLOOKUP(Table9[[#This Row],[Shortname]], Comp[], 21, FALSE)</f>
        <v>0</v>
      </c>
      <c r="Y711">
        <f>VLOOKUP(Table9[[#This Row],[Shortname]], Comp[], 22, FALSE)</f>
        <v>0</v>
      </c>
      <c r="Z711">
        <f>VLOOKUP(Table9[[#This Row],[Shortname]], Comp[], 23, FALSE)</f>
        <v>0</v>
      </c>
      <c r="AA711">
        <f>VLOOKUP(Table9[[#This Row],[Shortname]], Comp[], 24, FALSE)</f>
        <v>0</v>
      </c>
      <c r="AB711">
        <f>VLOOKUP(Table9[[#This Row],[Shortname]], Comp[], 25, FALSE)</f>
        <v>0</v>
      </c>
      <c r="AC711">
        <f>VLOOKUP(Table9[[#This Row],[Shortname]], Comp[], 26, FALSE)</f>
        <v>0</v>
      </c>
      <c r="AD711">
        <f>VLOOKUP(Table9[[#This Row],[Shortname]], Comp[], 27, FALSE)</f>
        <v>0</v>
      </c>
      <c r="AE711">
        <f>VLOOKUP(Table9[[#This Row],[Shortname]], Comp[], 28, FALSE)</f>
        <v>0</v>
      </c>
      <c r="AF711">
        <f>VLOOKUP(Table9[[#This Row],[Shortname]], Comp[], 29, FALSE)</f>
        <v>0</v>
      </c>
      <c r="AG711">
        <f>VLOOKUP(Table9[[#This Row],[Shortname]], Comp[], 30, FALSE)</f>
        <v>0</v>
      </c>
      <c r="AH711">
        <f>VLOOKUP(Table9[[#This Row],[Shortname]], Comp[], 31, FALSE)</f>
        <v>0</v>
      </c>
    </row>
    <row r="712" spans="1:34" x14ac:dyDescent="0.3">
      <c r="A712" t="s">
        <v>3217</v>
      </c>
      <c r="B712" t="s">
        <v>3219</v>
      </c>
      <c r="C712" t="s">
        <v>3213</v>
      </c>
      <c r="D712">
        <v>455</v>
      </c>
      <c r="E712">
        <v>900</v>
      </c>
      <c r="F712">
        <v>1E-4</v>
      </c>
      <c r="G712">
        <v>-1</v>
      </c>
      <c r="H712" t="s">
        <v>6855</v>
      </c>
      <c r="I712">
        <f>VLOOKUP(Table9[[#This Row],[Shortname]], Comp[], 6, FALSE)</f>
        <v>452</v>
      </c>
      <c r="J712" s="14">
        <f>VLOOKUP(Table9[[#This Row],[Shortname]], Comp[], 7, FALSE)</f>
        <v>61.7</v>
      </c>
      <c r="K712">
        <f>VLOOKUP(Table9[[#This Row],[Shortname]], Comp[], 8, FALSE)</f>
        <v>16</v>
      </c>
      <c r="L712">
        <f>VLOOKUP(Table9[[#This Row],[Shortname]], Comp[], 9, FALSE)</f>
        <v>9.5</v>
      </c>
      <c r="M712">
        <f>VLOOKUP(Table9[[#This Row],[Shortname]], Comp[], 10, FALSE)</f>
        <v>6</v>
      </c>
      <c r="N712">
        <f>VLOOKUP(Table9[[#This Row],[Shortname]], Comp[], 11, FALSE)</f>
        <v>5</v>
      </c>
      <c r="O712">
        <f>VLOOKUP(Table9[[#This Row],[Shortname]], Comp[],12, FALSE)</f>
        <v>0</v>
      </c>
      <c r="P712">
        <f>VLOOKUP(Table9[[#This Row],[Shortname]], Comp[], 13, FALSE)</f>
        <v>1.8</v>
      </c>
      <c r="Q712">
        <f>VLOOKUP(Table9[[#This Row],[Shortname]], Comp[], 14, FALSE)</f>
        <v>0</v>
      </c>
      <c r="R712">
        <f>VLOOKUP(Table9[[#This Row],[Shortname]], Comp[], 15, FALSE)</f>
        <v>0</v>
      </c>
      <c r="S712">
        <f>VLOOKUP(Table9[[#This Row],[Shortname]], Comp[], 16, FALSE)</f>
        <v>0</v>
      </c>
      <c r="T712">
        <f>VLOOKUP(Table9[[#This Row],[Shortname]], Comp[], 17, FALSE)</f>
        <v>0</v>
      </c>
      <c r="U712">
        <f>VLOOKUP(Table9[[#This Row],[Shortname]], Comp[], 18, FALSE)</f>
        <v>0</v>
      </c>
      <c r="V712">
        <f>VLOOKUP(Table9[[#This Row],[Shortname]], Comp[], 19, FALSE)</f>
        <v>0</v>
      </c>
      <c r="W712">
        <f>VLOOKUP(Table9[[#This Row],[Shortname]], Comp[], 20, FALSE)</f>
        <v>0</v>
      </c>
      <c r="X712">
        <f>VLOOKUP(Table9[[#This Row],[Shortname]], Comp[], 21, FALSE)</f>
        <v>0</v>
      </c>
      <c r="Y712">
        <f>VLOOKUP(Table9[[#This Row],[Shortname]], Comp[], 22, FALSE)</f>
        <v>0</v>
      </c>
      <c r="Z712">
        <f>VLOOKUP(Table9[[#This Row],[Shortname]], Comp[], 23, FALSE)</f>
        <v>0</v>
      </c>
      <c r="AA712">
        <f>VLOOKUP(Table9[[#This Row],[Shortname]], Comp[], 24, FALSE)</f>
        <v>0</v>
      </c>
      <c r="AB712">
        <f>VLOOKUP(Table9[[#This Row],[Shortname]], Comp[], 25, FALSE)</f>
        <v>0</v>
      </c>
      <c r="AC712">
        <f>VLOOKUP(Table9[[#This Row],[Shortname]], Comp[], 26, FALSE)</f>
        <v>0</v>
      </c>
      <c r="AD712">
        <f>VLOOKUP(Table9[[#This Row],[Shortname]], Comp[], 27, FALSE)</f>
        <v>0</v>
      </c>
      <c r="AE712">
        <f>VLOOKUP(Table9[[#This Row],[Shortname]], Comp[], 28, FALSE)</f>
        <v>0</v>
      </c>
      <c r="AF712">
        <f>VLOOKUP(Table9[[#This Row],[Shortname]], Comp[], 29, FALSE)</f>
        <v>0</v>
      </c>
      <c r="AG712">
        <f>VLOOKUP(Table9[[#This Row],[Shortname]], Comp[], 30, FALSE)</f>
        <v>0</v>
      </c>
      <c r="AH712">
        <f>VLOOKUP(Table9[[#This Row],[Shortname]], Comp[], 31, FALSE)</f>
        <v>0</v>
      </c>
    </row>
    <row r="713" spans="1:34" x14ac:dyDescent="0.3">
      <c r="A713" t="s">
        <v>3223</v>
      </c>
      <c r="B713" t="s">
        <v>3225</v>
      </c>
      <c r="C713" t="s">
        <v>3213</v>
      </c>
      <c r="D713">
        <v>608</v>
      </c>
      <c r="E713">
        <v>25</v>
      </c>
      <c r="F713">
        <v>1E-4</v>
      </c>
      <c r="G713">
        <v>-1</v>
      </c>
      <c r="H713" t="s">
        <v>6855</v>
      </c>
      <c r="I713">
        <f>VLOOKUP(Table9[[#This Row],[Shortname]], Comp[], 6, FALSE)</f>
        <v>453</v>
      </c>
      <c r="J713" s="14">
        <f>VLOOKUP(Table9[[#This Row],[Shortname]], Comp[], 7, FALSE)</f>
        <v>60.7</v>
      </c>
      <c r="K713">
        <f>VLOOKUP(Table9[[#This Row],[Shortname]], Comp[], 8, FALSE)</f>
        <v>16</v>
      </c>
      <c r="L713">
        <f>VLOOKUP(Table9[[#This Row],[Shortname]], Comp[], 9, FALSE)</f>
        <v>9.5</v>
      </c>
      <c r="M713">
        <f>VLOOKUP(Table9[[#This Row],[Shortname]], Comp[], 10, FALSE)</f>
        <v>6</v>
      </c>
      <c r="N713">
        <f>VLOOKUP(Table9[[#This Row],[Shortname]], Comp[], 11, FALSE)</f>
        <v>5</v>
      </c>
      <c r="O713">
        <f>VLOOKUP(Table9[[#This Row],[Shortname]], Comp[],12, FALSE)</f>
        <v>0</v>
      </c>
      <c r="P713">
        <f>VLOOKUP(Table9[[#This Row],[Shortname]], Comp[], 13, FALSE)</f>
        <v>2.8</v>
      </c>
      <c r="Q713">
        <f>VLOOKUP(Table9[[#This Row],[Shortname]], Comp[], 14, FALSE)</f>
        <v>0</v>
      </c>
      <c r="R713">
        <f>VLOOKUP(Table9[[#This Row],[Shortname]], Comp[], 15, FALSE)</f>
        <v>0</v>
      </c>
      <c r="S713">
        <f>VLOOKUP(Table9[[#This Row],[Shortname]], Comp[], 16, FALSE)</f>
        <v>0</v>
      </c>
      <c r="T713">
        <f>VLOOKUP(Table9[[#This Row],[Shortname]], Comp[], 17, FALSE)</f>
        <v>0</v>
      </c>
      <c r="U713">
        <f>VLOOKUP(Table9[[#This Row],[Shortname]], Comp[], 18, FALSE)</f>
        <v>0</v>
      </c>
      <c r="V713">
        <f>VLOOKUP(Table9[[#This Row],[Shortname]], Comp[], 19, FALSE)</f>
        <v>0</v>
      </c>
      <c r="W713">
        <f>VLOOKUP(Table9[[#This Row],[Shortname]], Comp[], 20, FALSE)</f>
        <v>0</v>
      </c>
      <c r="X713">
        <f>VLOOKUP(Table9[[#This Row],[Shortname]], Comp[], 21, FALSE)</f>
        <v>0</v>
      </c>
      <c r="Y713">
        <f>VLOOKUP(Table9[[#This Row],[Shortname]], Comp[], 22, FALSE)</f>
        <v>0</v>
      </c>
      <c r="Z713">
        <f>VLOOKUP(Table9[[#This Row],[Shortname]], Comp[], 23, FALSE)</f>
        <v>0</v>
      </c>
      <c r="AA713">
        <f>VLOOKUP(Table9[[#This Row],[Shortname]], Comp[], 24, FALSE)</f>
        <v>0</v>
      </c>
      <c r="AB713">
        <f>VLOOKUP(Table9[[#This Row],[Shortname]], Comp[], 25, FALSE)</f>
        <v>0</v>
      </c>
      <c r="AC713">
        <f>VLOOKUP(Table9[[#This Row],[Shortname]], Comp[], 26, FALSE)</f>
        <v>0</v>
      </c>
      <c r="AD713">
        <f>VLOOKUP(Table9[[#This Row],[Shortname]], Comp[], 27, FALSE)</f>
        <v>0</v>
      </c>
      <c r="AE713">
        <f>VLOOKUP(Table9[[#This Row],[Shortname]], Comp[], 28, FALSE)</f>
        <v>0</v>
      </c>
      <c r="AF713">
        <f>VLOOKUP(Table9[[#This Row],[Shortname]], Comp[], 29, FALSE)</f>
        <v>0</v>
      </c>
      <c r="AG713">
        <f>VLOOKUP(Table9[[#This Row],[Shortname]], Comp[], 30, FALSE)</f>
        <v>0</v>
      </c>
      <c r="AH713">
        <f>VLOOKUP(Table9[[#This Row],[Shortname]], Comp[], 31, FALSE)</f>
        <v>0</v>
      </c>
    </row>
    <row r="714" spans="1:34" x14ac:dyDescent="0.3">
      <c r="A714" t="s">
        <v>3223</v>
      </c>
      <c r="B714" t="s">
        <v>3225</v>
      </c>
      <c r="C714" t="s">
        <v>3213</v>
      </c>
      <c r="D714">
        <v>545</v>
      </c>
      <c r="E714">
        <v>800</v>
      </c>
      <c r="F714">
        <v>1E-4</v>
      </c>
      <c r="G714">
        <v>-1</v>
      </c>
      <c r="H714" t="s">
        <v>6855</v>
      </c>
      <c r="I714">
        <f>VLOOKUP(Table9[[#This Row],[Shortname]], Comp[], 6, FALSE)</f>
        <v>453</v>
      </c>
      <c r="J714" s="14">
        <f>VLOOKUP(Table9[[#This Row],[Shortname]], Comp[], 7, FALSE)</f>
        <v>60.7</v>
      </c>
      <c r="K714">
        <f>VLOOKUP(Table9[[#This Row],[Shortname]], Comp[], 8, FALSE)</f>
        <v>16</v>
      </c>
      <c r="L714">
        <f>VLOOKUP(Table9[[#This Row],[Shortname]], Comp[], 9, FALSE)</f>
        <v>9.5</v>
      </c>
      <c r="M714">
        <f>VLOOKUP(Table9[[#This Row],[Shortname]], Comp[], 10, FALSE)</f>
        <v>6</v>
      </c>
      <c r="N714">
        <f>VLOOKUP(Table9[[#This Row],[Shortname]], Comp[], 11, FALSE)</f>
        <v>5</v>
      </c>
      <c r="O714">
        <f>VLOOKUP(Table9[[#This Row],[Shortname]], Comp[],12, FALSE)</f>
        <v>0</v>
      </c>
      <c r="P714">
        <f>VLOOKUP(Table9[[#This Row],[Shortname]], Comp[], 13, FALSE)</f>
        <v>2.8</v>
      </c>
      <c r="Q714">
        <f>VLOOKUP(Table9[[#This Row],[Shortname]], Comp[], 14, FALSE)</f>
        <v>0</v>
      </c>
      <c r="R714">
        <f>VLOOKUP(Table9[[#This Row],[Shortname]], Comp[], 15, FALSE)</f>
        <v>0</v>
      </c>
      <c r="S714">
        <f>VLOOKUP(Table9[[#This Row],[Shortname]], Comp[], 16, FALSE)</f>
        <v>0</v>
      </c>
      <c r="T714">
        <f>VLOOKUP(Table9[[#This Row],[Shortname]], Comp[], 17, FALSE)</f>
        <v>0</v>
      </c>
      <c r="U714">
        <f>VLOOKUP(Table9[[#This Row],[Shortname]], Comp[], 18, FALSE)</f>
        <v>0</v>
      </c>
      <c r="V714">
        <f>VLOOKUP(Table9[[#This Row],[Shortname]], Comp[], 19, FALSE)</f>
        <v>0</v>
      </c>
      <c r="W714">
        <f>VLOOKUP(Table9[[#This Row],[Shortname]], Comp[], 20, FALSE)</f>
        <v>0</v>
      </c>
      <c r="X714">
        <f>VLOOKUP(Table9[[#This Row],[Shortname]], Comp[], 21, FALSE)</f>
        <v>0</v>
      </c>
      <c r="Y714">
        <f>VLOOKUP(Table9[[#This Row],[Shortname]], Comp[], 22, FALSE)</f>
        <v>0</v>
      </c>
      <c r="Z714">
        <f>VLOOKUP(Table9[[#This Row],[Shortname]], Comp[], 23, FALSE)</f>
        <v>0</v>
      </c>
      <c r="AA714">
        <f>VLOOKUP(Table9[[#This Row],[Shortname]], Comp[], 24, FALSE)</f>
        <v>0</v>
      </c>
      <c r="AB714">
        <f>VLOOKUP(Table9[[#This Row],[Shortname]], Comp[], 25, FALSE)</f>
        <v>0</v>
      </c>
      <c r="AC714">
        <f>VLOOKUP(Table9[[#This Row],[Shortname]], Comp[], 26, FALSE)</f>
        <v>0</v>
      </c>
      <c r="AD714">
        <f>VLOOKUP(Table9[[#This Row],[Shortname]], Comp[], 27, FALSE)</f>
        <v>0</v>
      </c>
      <c r="AE714">
        <f>VLOOKUP(Table9[[#This Row],[Shortname]], Comp[], 28, FALSE)</f>
        <v>0</v>
      </c>
      <c r="AF714">
        <f>VLOOKUP(Table9[[#This Row],[Shortname]], Comp[], 29, FALSE)</f>
        <v>0</v>
      </c>
      <c r="AG714">
        <f>VLOOKUP(Table9[[#This Row],[Shortname]], Comp[], 30, FALSE)</f>
        <v>0</v>
      </c>
      <c r="AH714">
        <f>VLOOKUP(Table9[[#This Row],[Shortname]], Comp[], 31, FALSE)</f>
        <v>0</v>
      </c>
    </row>
    <row r="715" spans="1:34" x14ac:dyDescent="0.3">
      <c r="A715" t="s">
        <v>3223</v>
      </c>
      <c r="B715" t="s">
        <v>3225</v>
      </c>
      <c r="C715" t="s">
        <v>3213</v>
      </c>
      <c r="D715">
        <v>524</v>
      </c>
      <c r="E715">
        <v>700</v>
      </c>
      <c r="F715">
        <v>1E-4</v>
      </c>
      <c r="G715">
        <v>-1</v>
      </c>
      <c r="H715" t="s">
        <v>6855</v>
      </c>
      <c r="I715">
        <f>VLOOKUP(Table9[[#This Row],[Shortname]], Comp[], 6, FALSE)</f>
        <v>453</v>
      </c>
      <c r="J715" s="14">
        <f>VLOOKUP(Table9[[#This Row],[Shortname]], Comp[], 7, FALSE)</f>
        <v>60.7</v>
      </c>
      <c r="K715">
        <f>VLOOKUP(Table9[[#This Row],[Shortname]], Comp[], 8, FALSE)</f>
        <v>16</v>
      </c>
      <c r="L715">
        <f>VLOOKUP(Table9[[#This Row],[Shortname]], Comp[], 9, FALSE)</f>
        <v>9.5</v>
      </c>
      <c r="M715">
        <f>VLOOKUP(Table9[[#This Row],[Shortname]], Comp[], 10, FALSE)</f>
        <v>6</v>
      </c>
      <c r="N715">
        <f>VLOOKUP(Table9[[#This Row],[Shortname]], Comp[], 11, FALSE)</f>
        <v>5</v>
      </c>
      <c r="O715">
        <f>VLOOKUP(Table9[[#This Row],[Shortname]], Comp[],12, FALSE)</f>
        <v>0</v>
      </c>
      <c r="P715">
        <f>VLOOKUP(Table9[[#This Row],[Shortname]], Comp[], 13, FALSE)</f>
        <v>2.8</v>
      </c>
      <c r="Q715">
        <f>VLOOKUP(Table9[[#This Row],[Shortname]], Comp[], 14, FALSE)</f>
        <v>0</v>
      </c>
      <c r="R715">
        <f>VLOOKUP(Table9[[#This Row],[Shortname]], Comp[], 15, FALSE)</f>
        <v>0</v>
      </c>
      <c r="S715">
        <f>VLOOKUP(Table9[[#This Row],[Shortname]], Comp[], 16, FALSE)</f>
        <v>0</v>
      </c>
      <c r="T715">
        <f>VLOOKUP(Table9[[#This Row],[Shortname]], Comp[], 17, FALSE)</f>
        <v>0</v>
      </c>
      <c r="U715">
        <f>VLOOKUP(Table9[[#This Row],[Shortname]], Comp[], 18, FALSE)</f>
        <v>0</v>
      </c>
      <c r="V715">
        <f>VLOOKUP(Table9[[#This Row],[Shortname]], Comp[], 19, FALSE)</f>
        <v>0</v>
      </c>
      <c r="W715">
        <f>VLOOKUP(Table9[[#This Row],[Shortname]], Comp[], 20, FALSE)</f>
        <v>0</v>
      </c>
      <c r="X715">
        <f>VLOOKUP(Table9[[#This Row],[Shortname]], Comp[], 21, FALSE)</f>
        <v>0</v>
      </c>
      <c r="Y715">
        <f>VLOOKUP(Table9[[#This Row],[Shortname]], Comp[], 22, FALSE)</f>
        <v>0</v>
      </c>
      <c r="Z715">
        <f>VLOOKUP(Table9[[#This Row],[Shortname]], Comp[], 23, FALSE)</f>
        <v>0</v>
      </c>
      <c r="AA715">
        <f>VLOOKUP(Table9[[#This Row],[Shortname]], Comp[], 24, FALSE)</f>
        <v>0</v>
      </c>
      <c r="AB715">
        <f>VLOOKUP(Table9[[#This Row],[Shortname]], Comp[], 25, FALSE)</f>
        <v>0</v>
      </c>
      <c r="AC715">
        <f>VLOOKUP(Table9[[#This Row],[Shortname]], Comp[], 26, FALSE)</f>
        <v>0</v>
      </c>
      <c r="AD715">
        <f>VLOOKUP(Table9[[#This Row],[Shortname]], Comp[], 27, FALSE)</f>
        <v>0</v>
      </c>
      <c r="AE715">
        <f>VLOOKUP(Table9[[#This Row],[Shortname]], Comp[], 28, FALSE)</f>
        <v>0</v>
      </c>
      <c r="AF715">
        <f>VLOOKUP(Table9[[#This Row],[Shortname]], Comp[], 29, FALSE)</f>
        <v>0</v>
      </c>
      <c r="AG715">
        <f>VLOOKUP(Table9[[#This Row],[Shortname]], Comp[], 30, FALSE)</f>
        <v>0</v>
      </c>
      <c r="AH715">
        <f>VLOOKUP(Table9[[#This Row],[Shortname]], Comp[], 31, FALSE)</f>
        <v>0</v>
      </c>
    </row>
    <row r="716" spans="1:34" x14ac:dyDescent="0.3">
      <c r="A716" t="s">
        <v>3223</v>
      </c>
      <c r="B716" t="s">
        <v>3225</v>
      </c>
      <c r="C716" t="s">
        <v>3213</v>
      </c>
      <c r="D716">
        <v>506</v>
      </c>
      <c r="E716">
        <v>600</v>
      </c>
      <c r="F716">
        <v>1E-4</v>
      </c>
      <c r="G716">
        <v>-1</v>
      </c>
      <c r="H716" t="s">
        <v>6855</v>
      </c>
      <c r="I716">
        <f>VLOOKUP(Table9[[#This Row],[Shortname]], Comp[], 6, FALSE)</f>
        <v>453</v>
      </c>
      <c r="J716" s="14">
        <f>VLOOKUP(Table9[[#This Row],[Shortname]], Comp[], 7, FALSE)</f>
        <v>60.7</v>
      </c>
      <c r="K716">
        <f>VLOOKUP(Table9[[#This Row],[Shortname]], Comp[], 8, FALSE)</f>
        <v>16</v>
      </c>
      <c r="L716">
        <f>VLOOKUP(Table9[[#This Row],[Shortname]], Comp[], 9, FALSE)</f>
        <v>9.5</v>
      </c>
      <c r="M716">
        <f>VLOOKUP(Table9[[#This Row],[Shortname]], Comp[], 10, FALSE)</f>
        <v>6</v>
      </c>
      <c r="N716">
        <f>VLOOKUP(Table9[[#This Row],[Shortname]], Comp[], 11, FALSE)</f>
        <v>5</v>
      </c>
      <c r="O716">
        <f>VLOOKUP(Table9[[#This Row],[Shortname]], Comp[],12, FALSE)</f>
        <v>0</v>
      </c>
      <c r="P716">
        <f>VLOOKUP(Table9[[#This Row],[Shortname]], Comp[], 13, FALSE)</f>
        <v>2.8</v>
      </c>
      <c r="Q716">
        <f>VLOOKUP(Table9[[#This Row],[Shortname]], Comp[], 14, FALSE)</f>
        <v>0</v>
      </c>
      <c r="R716">
        <f>VLOOKUP(Table9[[#This Row],[Shortname]], Comp[], 15, FALSE)</f>
        <v>0</v>
      </c>
      <c r="S716">
        <f>VLOOKUP(Table9[[#This Row],[Shortname]], Comp[], 16, FALSE)</f>
        <v>0</v>
      </c>
      <c r="T716">
        <f>VLOOKUP(Table9[[#This Row],[Shortname]], Comp[], 17, FALSE)</f>
        <v>0</v>
      </c>
      <c r="U716">
        <f>VLOOKUP(Table9[[#This Row],[Shortname]], Comp[], 18, FALSE)</f>
        <v>0</v>
      </c>
      <c r="V716">
        <f>VLOOKUP(Table9[[#This Row],[Shortname]], Comp[], 19, FALSE)</f>
        <v>0</v>
      </c>
      <c r="W716">
        <f>VLOOKUP(Table9[[#This Row],[Shortname]], Comp[], 20, FALSE)</f>
        <v>0</v>
      </c>
      <c r="X716">
        <f>VLOOKUP(Table9[[#This Row],[Shortname]], Comp[], 21, FALSE)</f>
        <v>0</v>
      </c>
      <c r="Y716">
        <f>VLOOKUP(Table9[[#This Row],[Shortname]], Comp[], 22, FALSE)</f>
        <v>0</v>
      </c>
      <c r="Z716">
        <f>VLOOKUP(Table9[[#This Row],[Shortname]], Comp[], 23, FALSE)</f>
        <v>0</v>
      </c>
      <c r="AA716">
        <f>VLOOKUP(Table9[[#This Row],[Shortname]], Comp[], 24, FALSE)</f>
        <v>0</v>
      </c>
      <c r="AB716">
        <f>VLOOKUP(Table9[[#This Row],[Shortname]], Comp[], 25, FALSE)</f>
        <v>0</v>
      </c>
      <c r="AC716">
        <f>VLOOKUP(Table9[[#This Row],[Shortname]], Comp[], 26, FALSE)</f>
        <v>0</v>
      </c>
      <c r="AD716">
        <f>VLOOKUP(Table9[[#This Row],[Shortname]], Comp[], 27, FALSE)</f>
        <v>0</v>
      </c>
      <c r="AE716">
        <f>VLOOKUP(Table9[[#This Row],[Shortname]], Comp[], 28, FALSE)</f>
        <v>0</v>
      </c>
      <c r="AF716">
        <f>VLOOKUP(Table9[[#This Row],[Shortname]], Comp[], 29, FALSE)</f>
        <v>0</v>
      </c>
      <c r="AG716">
        <f>VLOOKUP(Table9[[#This Row],[Shortname]], Comp[], 30, FALSE)</f>
        <v>0</v>
      </c>
      <c r="AH716">
        <f>VLOOKUP(Table9[[#This Row],[Shortname]], Comp[], 31, FALSE)</f>
        <v>0</v>
      </c>
    </row>
    <row r="717" spans="1:34" x14ac:dyDescent="0.3">
      <c r="A717" t="s">
        <v>3223</v>
      </c>
      <c r="B717" t="s">
        <v>3225</v>
      </c>
      <c r="C717" t="s">
        <v>3213</v>
      </c>
      <c r="D717">
        <v>499</v>
      </c>
      <c r="E717">
        <v>900</v>
      </c>
      <c r="F717">
        <v>1E-4</v>
      </c>
      <c r="G717">
        <v>-1</v>
      </c>
      <c r="H717" t="s">
        <v>6855</v>
      </c>
      <c r="I717">
        <f>VLOOKUP(Table9[[#This Row],[Shortname]], Comp[], 6, FALSE)</f>
        <v>453</v>
      </c>
      <c r="J717" s="14">
        <f>VLOOKUP(Table9[[#This Row],[Shortname]], Comp[], 7, FALSE)</f>
        <v>60.7</v>
      </c>
      <c r="K717">
        <f>VLOOKUP(Table9[[#This Row],[Shortname]], Comp[], 8, FALSE)</f>
        <v>16</v>
      </c>
      <c r="L717">
        <f>VLOOKUP(Table9[[#This Row],[Shortname]], Comp[], 9, FALSE)</f>
        <v>9.5</v>
      </c>
      <c r="M717">
        <f>VLOOKUP(Table9[[#This Row],[Shortname]], Comp[], 10, FALSE)</f>
        <v>6</v>
      </c>
      <c r="N717">
        <f>VLOOKUP(Table9[[#This Row],[Shortname]], Comp[], 11, FALSE)</f>
        <v>5</v>
      </c>
      <c r="O717">
        <f>VLOOKUP(Table9[[#This Row],[Shortname]], Comp[],12, FALSE)</f>
        <v>0</v>
      </c>
      <c r="P717">
        <f>VLOOKUP(Table9[[#This Row],[Shortname]], Comp[], 13, FALSE)</f>
        <v>2.8</v>
      </c>
      <c r="Q717">
        <f>VLOOKUP(Table9[[#This Row],[Shortname]], Comp[], 14, FALSE)</f>
        <v>0</v>
      </c>
      <c r="R717">
        <f>VLOOKUP(Table9[[#This Row],[Shortname]], Comp[], 15, FALSE)</f>
        <v>0</v>
      </c>
      <c r="S717">
        <f>VLOOKUP(Table9[[#This Row],[Shortname]], Comp[], 16, FALSE)</f>
        <v>0</v>
      </c>
      <c r="T717">
        <f>VLOOKUP(Table9[[#This Row],[Shortname]], Comp[], 17, FALSE)</f>
        <v>0</v>
      </c>
      <c r="U717">
        <f>VLOOKUP(Table9[[#This Row],[Shortname]], Comp[], 18, FALSE)</f>
        <v>0</v>
      </c>
      <c r="V717">
        <f>VLOOKUP(Table9[[#This Row],[Shortname]], Comp[], 19, FALSE)</f>
        <v>0</v>
      </c>
      <c r="W717">
        <f>VLOOKUP(Table9[[#This Row],[Shortname]], Comp[], 20, FALSE)</f>
        <v>0</v>
      </c>
      <c r="X717">
        <f>VLOOKUP(Table9[[#This Row],[Shortname]], Comp[], 21, FALSE)</f>
        <v>0</v>
      </c>
      <c r="Y717">
        <f>VLOOKUP(Table9[[#This Row],[Shortname]], Comp[], 22, FALSE)</f>
        <v>0</v>
      </c>
      <c r="Z717">
        <f>VLOOKUP(Table9[[#This Row],[Shortname]], Comp[], 23, FALSE)</f>
        <v>0</v>
      </c>
      <c r="AA717">
        <f>VLOOKUP(Table9[[#This Row],[Shortname]], Comp[], 24, FALSE)</f>
        <v>0</v>
      </c>
      <c r="AB717">
        <f>VLOOKUP(Table9[[#This Row],[Shortname]], Comp[], 25, FALSE)</f>
        <v>0</v>
      </c>
      <c r="AC717">
        <f>VLOOKUP(Table9[[#This Row],[Shortname]], Comp[], 26, FALSE)</f>
        <v>0</v>
      </c>
      <c r="AD717">
        <f>VLOOKUP(Table9[[#This Row],[Shortname]], Comp[], 27, FALSE)</f>
        <v>0</v>
      </c>
      <c r="AE717">
        <f>VLOOKUP(Table9[[#This Row],[Shortname]], Comp[], 28, FALSE)</f>
        <v>0</v>
      </c>
      <c r="AF717">
        <f>VLOOKUP(Table9[[#This Row],[Shortname]], Comp[], 29, FALSE)</f>
        <v>0</v>
      </c>
      <c r="AG717">
        <f>VLOOKUP(Table9[[#This Row],[Shortname]], Comp[], 30, FALSE)</f>
        <v>0</v>
      </c>
      <c r="AH717">
        <f>VLOOKUP(Table9[[#This Row],[Shortname]], Comp[], 31, FALSE)</f>
        <v>0</v>
      </c>
    </row>
    <row r="718" spans="1:34" x14ac:dyDescent="0.3">
      <c r="A718" t="s">
        <v>3223</v>
      </c>
      <c r="B718" t="s">
        <v>3225</v>
      </c>
      <c r="C718" t="s">
        <v>3213</v>
      </c>
      <c r="D718">
        <v>324</v>
      </c>
      <c r="E718">
        <v>1000</v>
      </c>
      <c r="F718">
        <v>1E-4</v>
      </c>
      <c r="G718">
        <v>-1</v>
      </c>
      <c r="H718" t="s">
        <v>6855</v>
      </c>
      <c r="I718">
        <f>VLOOKUP(Table9[[#This Row],[Shortname]], Comp[], 6, FALSE)</f>
        <v>453</v>
      </c>
      <c r="J718" s="14">
        <f>VLOOKUP(Table9[[#This Row],[Shortname]], Comp[], 7, FALSE)</f>
        <v>60.7</v>
      </c>
      <c r="K718">
        <f>VLOOKUP(Table9[[#This Row],[Shortname]], Comp[], 8, FALSE)</f>
        <v>16</v>
      </c>
      <c r="L718">
        <f>VLOOKUP(Table9[[#This Row],[Shortname]], Comp[], 9, FALSE)</f>
        <v>9.5</v>
      </c>
      <c r="M718">
        <f>VLOOKUP(Table9[[#This Row],[Shortname]], Comp[], 10, FALSE)</f>
        <v>6</v>
      </c>
      <c r="N718">
        <f>VLOOKUP(Table9[[#This Row],[Shortname]], Comp[], 11, FALSE)</f>
        <v>5</v>
      </c>
      <c r="O718">
        <f>VLOOKUP(Table9[[#This Row],[Shortname]], Comp[],12, FALSE)</f>
        <v>0</v>
      </c>
      <c r="P718">
        <f>VLOOKUP(Table9[[#This Row],[Shortname]], Comp[], 13, FALSE)</f>
        <v>2.8</v>
      </c>
      <c r="Q718">
        <f>VLOOKUP(Table9[[#This Row],[Shortname]], Comp[], 14, FALSE)</f>
        <v>0</v>
      </c>
      <c r="R718">
        <f>VLOOKUP(Table9[[#This Row],[Shortname]], Comp[], 15, FALSE)</f>
        <v>0</v>
      </c>
      <c r="S718">
        <f>VLOOKUP(Table9[[#This Row],[Shortname]], Comp[], 16, FALSE)</f>
        <v>0</v>
      </c>
      <c r="T718">
        <f>VLOOKUP(Table9[[#This Row],[Shortname]], Comp[], 17, FALSE)</f>
        <v>0</v>
      </c>
      <c r="U718">
        <f>VLOOKUP(Table9[[#This Row],[Shortname]], Comp[], 18, FALSE)</f>
        <v>0</v>
      </c>
      <c r="V718">
        <f>VLOOKUP(Table9[[#This Row],[Shortname]], Comp[], 19, FALSE)</f>
        <v>0</v>
      </c>
      <c r="W718">
        <f>VLOOKUP(Table9[[#This Row],[Shortname]], Comp[], 20, FALSE)</f>
        <v>0</v>
      </c>
      <c r="X718">
        <f>VLOOKUP(Table9[[#This Row],[Shortname]], Comp[], 21, FALSE)</f>
        <v>0</v>
      </c>
      <c r="Y718">
        <f>VLOOKUP(Table9[[#This Row],[Shortname]], Comp[], 22, FALSE)</f>
        <v>0</v>
      </c>
      <c r="Z718">
        <f>VLOOKUP(Table9[[#This Row],[Shortname]], Comp[], 23, FALSE)</f>
        <v>0</v>
      </c>
      <c r="AA718">
        <f>VLOOKUP(Table9[[#This Row],[Shortname]], Comp[], 24, FALSE)</f>
        <v>0</v>
      </c>
      <c r="AB718">
        <f>VLOOKUP(Table9[[#This Row],[Shortname]], Comp[], 25, FALSE)</f>
        <v>0</v>
      </c>
      <c r="AC718">
        <f>VLOOKUP(Table9[[#This Row],[Shortname]], Comp[], 26, FALSE)</f>
        <v>0</v>
      </c>
      <c r="AD718">
        <f>VLOOKUP(Table9[[#This Row],[Shortname]], Comp[], 27, FALSE)</f>
        <v>0</v>
      </c>
      <c r="AE718">
        <f>VLOOKUP(Table9[[#This Row],[Shortname]], Comp[], 28, FALSE)</f>
        <v>0</v>
      </c>
      <c r="AF718">
        <f>VLOOKUP(Table9[[#This Row],[Shortname]], Comp[], 29, FALSE)</f>
        <v>0</v>
      </c>
      <c r="AG718">
        <f>VLOOKUP(Table9[[#This Row],[Shortname]], Comp[], 30, FALSE)</f>
        <v>0</v>
      </c>
      <c r="AH718">
        <f>VLOOKUP(Table9[[#This Row],[Shortname]], Comp[], 31, FALSE)</f>
        <v>0</v>
      </c>
    </row>
    <row r="719" spans="1:34" x14ac:dyDescent="0.3">
      <c r="A719" t="s">
        <v>3223</v>
      </c>
      <c r="B719" t="s">
        <v>3225</v>
      </c>
      <c r="C719" t="s">
        <v>3213</v>
      </c>
      <c r="D719">
        <v>215</v>
      </c>
      <c r="E719">
        <v>1000</v>
      </c>
      <c r="F719">
        <v>1E-4</v>
      </c>
      <c r="G719">
        <v>-1</v>
      </c>
      <c r="H719" t="s">
        <v>6855</v>
      </c>
      <c r="I719">
        <f>VLOOKUP(Table9[[#This Row],[Shortname]], Comp[], 6, FALSE)</f>
        <v>453</v>
      </c>
      <c r="J719" s="14">
        <f>VLOOKUP(Table9[[#This Row],[Shortname]], Comp[], 7, FALSE)</f>
        <v>60.7</v>
      </c>
      <c r="K719">
        <f>VLOOKUP(Table9[[#This Row],[Shortname]], Comp[], 8, FALSE)</f>
        <v>16</v>
      </c>
      <c r="L719">
        <f>VLOOKUP(Table9[[#This Row],[Shortname]], Comp[], 9, FALSE)</f>
        <v>9.5</v>
      </c>
      <c r="M719">
        <f>VLOOKUP(Table9[[#This Row],[Shortname]], Comp[], 10, FALSE)</f>
        <v>6</v>
      </c>
      <c r="N719">
        <f>VLOOKUP(Table9[[#This Row],[Shortname]], Comp[], 11, FALSE)</f>
        <v>5</v>
      </c>
      <c r="O719">
        <f>VLOOKUP(Table9[[#This Row],[Shortname]], Comp[],12, FALSE)</f>
        <v>0</v>
      </c>
      <c r="P719">
        <f>VLOOKUP(Table9[[#This Row],[Shortname]], Comp[], 13, FALSE)</f>
        <v>2.8</v>
      </c>
      <c r="Q719">
        <f>VLOOKUP(Table9[[#This Row],[Shortname]], Comp[], 14, FALSE)</f>
        <v>0</v>
      </c>
      <c r="R719">
        <f>VLOOKUP(Table9[[#This Row],[Shortname]], Comp[], 15, FALSE)</f>
        <v>0</v>
      </c>
      <c r="S719">
        <f>VLOOKUP(Table9[[#This Row],[Shortname]], Comp[], 16, FALSE)</f>
        <v>0</v>
      </c>
      <c r="T719">
        <f>VLOOKUP(Table9[[#This Row],[Shortname]], Comp[], 17, FALSE)</f>
        <v>0</v>
      </c>
      <c r="U719">
        <f>VLOOKUP(Table9[[#This Row],[Shortname]], Comp[], 18, FALSE)</f>
        <v>0</v>
      </c>
      <c r="V719">
        <f>VLOOKUP(Table9[[#This Row],[Shortname]], Comp[], 19, FALSE)</f>
        <v>0</v>
      </c>
      <c r="W719">
        <f>VLOOKUP(Table9[[#This Row],[Shortname]], Comp[], 20, FALSE)</f>
        <v>0</v>
      </c>
      <c r="X719">
        <f>VLOOKUP(Table9[[#This Row],[Shortname]], Comp[], 21, FALSE)</f>
        <v>0</v>
      </c>
      <c r="Y719">
        <f>VLOOKUP(Table9[[#This Row],[Shortname]], Comp[], 22, FALSE)</f>
        <v>0</v>
      </c>
      <c r="Z719">
        <f>VLOOKUP(Table9[[#This Row],[Shortname]], Comp[], 23, FALSE)</f>
        <v>0</v>
      </c>
      <c r="AA719">
        <f>VLOOKUP(Table9[[#This Row],[Shortname]], Comp[], 24, FALSE)</f>
        <v>0</v>
      </c>
      <c r="AB719">
        <f>VLOOKUP(Table9[[#This Row],[Shortname]], Comp[], 25, FALSE)</f>
        <v>0</v>
      </c>
      <c r="AC719">
        <f>VLOOKUP(Table9[[#This Row],[Shortname]], Comp[], 26, FALSE)</f>
        <v>0</v>
      </c>
      <c r="AD719">
        <f>VLOOKUP(Table9[[#This Row],[Shortname]], Comp[], 27, FALSE)</f>
        <v>0</v>
      </c>
      <c r="AE719">
        <f>VLOOKUP(Table9[[#This Row],[Shortname]], Comp[], 28, FALSE)</f>
        <v>0</v>
      </c>
      <c r="AF719">
        <f>VLOOKUP(Table9[[#This Row],[Shortname]], Comp[], 29, FALSE)</f>
        <v>0</v>
      </c>
      <c r="AG719">
        <f>VLOOKUP(Table9[[#This Row],[Shortname]], Comp[], 30, FALSE)</f>
        <v>0</v>
      </c>
      <c r="AH719">
        <f>VLOOKUP(Table9[[#This Row],[Shortname]], Comp[], 31, FALSE)</f>
        <v>0</v>
      </c>
    </row>
    <row r="720" spans="1:34" x14ac:dyDescent="0.3">
      <c r="A720" t="s">
        <v>3229</v>
      </c>
      <c r="B720" t="s">
        <v>3231</v>
      </c>
      <c r="C720" t="s">
        <v>3232</v>
      </c>
      <c r="D720">
        <v>653</v>
      </c>
      <c r="E720">
        <v>25</v>
      </c>
      <c r="F720">
        <v>1E-4</v>
      </c>
      <c r="G720">
        <v>-1</v>
      </c>
      <c r="H720" t="s">
        <v>6855</v>
      </c>
      <c r="I720">
        <f>VLOOKUP(Table9[[#This Row],[Shortname]], Comp[], 6, FALSE)</f>
        <v>454</v>
      </c>
      <c r="J720" s="14">
        <f>VLOOKUP(Table9[[#This Row],[Shortname]], Comp[], 7, FALSE)</f>
        <v>66</v>
      </c>
      <c r="K720">
        <f>VLOOKUP(Table9[[#This Row],[Shortname]], Comp[], 8, FALSE)</f>
        <v>17</v>
      </c>
      <c r="L720">
        <f>VLOOKUP(Table9[[#This Row],[Shortname]], Comp[], 9, FALSE)</f>
        <v>9</v>
      </c>
      <c r="M720">
        <f>VLOOKUP(Table9[[#This Row],[Shortname]], Comp[], 10, FALSE)</f>
        <v>0</v>
      </c>
      <c r="N720">
        <f>VLOOKUP(Table9[[#This Row],[Shortname]], Comp[], 11, FALSE)</f>
        <v>5</v>
      </c>
      <c r="O720">
        <f>VLOOKUP(Table9[[#This Row],[Shortname]], Comp[],12, FALSE)</f>
        <v>3</v>
      </c>
      <c r="P720">
        <f>VLOOKUP(Table9[[#This Row],[Shortname]], Comp[], 13, FALSE)</f>
        <v>0</v>
      </c>
      <c r="Q720">
        <f>VLOOKUP(Table9[[#This Row],[Shortname]], Comp[], 14, FALSE)</f>
        <v>0</v>
      </c>
      <c r="R720">
        <f>VLOOKUP(Table9[[#This Row],[Shortname]], Comp[], 15, FALSE)</f>
        <v>0</v>
      </c>
      <c r="S720">
        <f>VLOOKUP(Table9[[#This Row],[Shortname]], Comp[], 16, FALSE)</f>
        <v>0</v>
      </c>
      <c r="T720">
        <f>VLOOKUP(Table9[[#This Row],[Shortname]], Comp[], 17, FALSE)</f>
        <v>0</v>
      </c>
      <c r="U720">
        <f>VLOOKUP(Table9[[#This Row],[Shortname]], Comp[], 18, FALSE)</f>
        <v>0</v>
      </c>
      <c r="V720">
        <f>VLOOKUP(Table9[[#This Row],[Shortname]], Comp[], 19, FALSE)</f>
        <v>0</v>
      </c>
      <c r="W720">
        <f>VLOOKUP(Table9[[#This Row],[Shortname]], Comp[], 20, FALSE)</f>
        <v>0</v>
      </c>
      <c r="X720">
        <f>VLOOKUP(Table9[[#This Row],[Shortname]], Comp[], 21, FALSE)</f>
        <v>0</v>
      </c>
      <c r="Y720">
        <f>VLOOKUP(Table9[[#This Row],[Shortname]], Comp[], 22, FALSE)</f>
        <v>0</v>
      </c>
      <c r="Z720">
        <f>VLOOKUP(Table9[[#This Row],[Shortname]], Comp[], 23, FALSE)</f>
        <v>0</v>
      </c>
      <c r="AA720">
        <f>VLOOKUP(Table9[[#This Row],[Shortname]], Comp[], 24, FALSE)</f>
        <v>0</v>
      </c>
      <c r="AB720">
        <f>VLOOKUP(Table9[[#This Row],[Shortname]], Comp[], 25, FALSE)</f>
        <v>0</v>
      </c>
      <c r="AC720">
        <f>VLOOKUP(Table9[[#This Row],[Shortname]], Comp[], 26, FALSE)</f>
        <v>0</v>
      </c>
      <c r="AD720">
        <f>VLOOKUP(Table9[[#This Row],[Shortname]], Comp[], 27, FALSE)</f>
        <v>0</v>
      </c>
      <c r="AE720">
        <f>VLOOKUP(Table9[[#This Row],[Shortname]], Comp[], 28, FALSE)</f>
        <v>0</v>
      </c>
      <c r="AF720">
        <f>VLOOKUP(Table9[[#This Row],[Shortname]], Comp[], 29, FALSE)</f>
        <v>0</v>
      </c>
      <c r="AG720">
        <f>VLOOKUP(Table9[[#This Row],[Shortname]], Comp[], 30, FALSE)</f>
        <v>0</v>
      </c>
      <c r="AH720">
        <f>VLOOKUP(Table9[[#This Row],[Shortname]], Comp[], 31, FALSE)</f>
        <v>0</v>
      </c>
    </row>
    <row r="721" spans="1:34" x14ac:dyDescent="0.3">
      <c r="A721" t="s">
        <v>3229</v>
      </c>
      <c r="B721" t="s">
        <v>3231</v>
      </c>
      <c r="C721" t="s">
        <v>3232</v>
      </c>
      <c r="D721">
        <v>599</v>
      </c>
      <c r="E721">
        <v>800</v>
      </c>
      <c r="F721">
        <v>1E-4</v>
      </c>
      <c r="G721">
        <v>-1</v>
      </c>
      <c r="H721" t="s">
        <v>6855</v>
      </c>
      <c r="I721">
        <f>VLOOKUP(Table9[[#This Row],[Shortname]], Comp[], 6, FALSE)</f>
        <v>454</v>
      </c>
      <c r="J721" s="14">
        <f>VLOOKUP(Table9[[#This Row],[Shortname]], Comp[], 7, FALSE)</f>
        <v>66</v>
      </c>
      <c r="K721">
        <f>VLOOKUP(Table9[[#This Row],[Shortname]], Comp[], 8, FALSE)</f>
        <v>17</v>
      </c>
      <c r="L721">
        <f>VLOOKUP(Table9[[#This Row],[Shortname]], Comp[], 9, FALSE)</f>
        <v>9</v>
      </c>
      <c r="M721">
        <f>VLOOKUP(Table9[[#This Row],[Shortname]], Comp[], 10, FALSE)</f>
        <v>0</v>
      </c>
      <c r="N721">
        <f>VLOOKUP(Table9[[#This Row],[Shortname]], Comp[], 11, FALSE)</f>
        <v>5</v>
      </c>
      <c r="O721">
        <f>VLOOKUP(Table9[[#This Row],[Shortname]], Comp[],12, FALSE)</f>
        <v>3</v>
      </c>
      <c r="P721">
        <f>VLOOKUP(Table9[[#This Row],[Shortname]], Comp[], 13, FALSE)</f>
        <v>0</v>
      </c>
      <c r="Q721">
        <f>VLOOKUP(Table9[[#This Row],[Shortname]], Comp[], 14, FALSE)</f>
        <v>0</v>
      </c>
      <c r="R721">
        <f>VLOOKUP(Table9[[#This Row],[Shortname]], Comp[], 15, FALSE)</f>
        <v>0</v>
      </c>
      <c r="S721">
        <f>VLOOKUP(Table9[[#This Row],[Shortname]], Comp[], 16, FALSE)</f>
        <v>0</v>
      </c>
      <c r="T721">
        <f>VLOOKUP(Table9[[#This Row],[Shortname]], Comp[], 17, FALSE)</f>
        <v>0</v>
      </c>
      <c r="U721">
        <f>VLOOKUP(Table9[[#This Row],[Shortname]], Comp[], 18, FALSE)</f>
        <v>0</v>
      </c>
      <c r="V721">
        <f>VLOOKUP(Table9[[#This Row],[Shortname]], Comp[], 19, FALSE)</f>
        <v>0</v>
      </c>
      <c r="W721">
        <f>VLOOKUP(Table9[[#This Row],[Shortname]], Comp[], 20, FALSE)</f>
        <v>0</v>
      </c>
      <c r="X721">
        <f>VLOOKUP(Table9[[#This Row],[Shortname]], Comp[], 21, FALSE)</f>
        <v>0</v>
      </c>
      <c r="Y721">
        <f>VLOOKUP(Table9[[#This Row],[Shortname]], Comp[], 22, FALSE)</f>
        <v>0</v>
      </c>
      <c r="Z721">
        <f>VLOOKUP(Table9[[#This Row],[Shortname]], Comp[], 23, FALSE)</f>
        <v>0</v>
      </c>
      <c r="AA721">
        <f>VLOOKUP(Table9[[#This Row],[Shortname]], Comp[], 24, FALSE)</f>
        <v>0</v>
      </c>
      <c r="AB721">
        <f>VLOOKUP(Table9[[#This Row],[Shortname]], Comp[], 25, FALSE)</f>
        <v>0</v>
      </c>
      <c r="AC721">
        <f>VLOOKUP(Table9[[#This Row],[Shortname]], Comp[], 26, FALSE)</f>
        <v>0</v>
      </c>
      <c r="AD721">
        <f>VLOOKUP(Table9[[#This Row],[Shortname]], Comp[], 27, FALSE)</f>
        <v>0</v>
      </c>
      <c r="AE721">
        <f>VLOOKUP(Table9[[#This Row],[Shortname]], Comp[], 28, FALSE)</f>
        <v>0</v>
      </c>
      <c r="AF721">
        <f>VLOOKUP(Table9[[#This Row],[Shortname]], Comp[], 29, FALSE)</f>
        <v>0</v>
      </c>
      <c r="AG721">
        <f>VLOOKUP(Table9[[#This Row],[Shortname]], Comp[], 30, FALSE)</f>
        <v>0</v>
      </c>
      <c r="AH721">
        <f>VLOOKUP(Table9[[#This Row],[Shortname]], Comp[], 31, FALSE)</f>
        <v>0</v>
      </c>
    </row>
    <row r="722" spans="1:34" x14ac:dyDescent="0.3">
      <c r="A722" t="s">
        <v>3229</v>
      </c>
      <c r="B722" t="s">
        <v>3231</v>
      </c>
      <c r="C722" t="s">
        <v>3232</v>
      </c>
      <c r="D722">
        <v>569</v>
      </c>
      <c r="E722">
        <v>700</v>
      </c>
      <c r="F722">
        <v>1E-4</v>
      </c>
      <c r="G722">
        <v>-1</v>
      </c>
      <c r="H722" t="s">
        <v>6855</v>
      </c>
      <c r="I722">
        <f>VLOOKUP(Table9[[#This Row],[Shortname]], Comp[], 6, FALSE)</f>
        <v>454</v>
      </c>
      <c r="J722" s="14">
        <f>VLOOKUP(Table9[[#This Row],[Shortname]], Comp[], 7, FALSE)</f>
        <v>66</v>
      </c>
      <c r="K722">
        <f>VLOOKUP(Table9[[#This Row],[Shortname]], Comp[], 8, FALSE)</f>
        <v>17</v>
      </c>
      <c r="L722">
        <f>VLOOKUP(Table9[[#This Row],[Shortname]], Comp[], 9, FALSE)</f>
        <v>9</v>
      </c>
      <c r="M722">
        <f>VLOOKUP(Table9[[#This Row],[Shortname]], Comp[], 10, FALSE)</f>
        <v>0</v>
      </c>
      <c r="N722">
        <f>VLOOKUP(Table9[[#This Row],[Shortname]], Comp[], 11, FALSE)</f>
        <v>5</v>
      </c>
      <c r="O722">
        <f>VLOOKUP(Table9[[#This Row],[Shortname]], Comp[],12, FALSE)</f>
        <v>3</v>
      </c>
      <c r="P722">
        <f>VLOOKUP(Table9[[#This Row],[Shortname]], Comp[], 13, FALSE)</f>
        <v>0</v>
      </c>
      <c r="Q722">
        <f>VLOOKUP(Table9[[#This Row],[Shortname]], Comp[], 14, FALSE)</f>
        <v>0</v>
      </c>
      <c r="R722">
        <f>VLOOKUP(Table9[[#This Row],[Shortname]], Comp[], 15, FALSE)</f>
        <v>0</v>
      </c>
      <c r="S722">
        <f>VLOOKUP(Table9[[#This Row],[Shortname]], Comp[], 16, FALSE)</f>
        <v>0</v>
      </c>
      <c r="T722">
        <f>VLOOKUP(Table9[[#This Row],[Shortname]], Comp[], 17, FALSE)</f>
        <v>0</v>
      </c>
      <c r="U722">
        <f>VLOOKUP(Table9[[#This Row],[Shortname]], Comp[], 18, FALSE)</f>
        <v>0</v>
      </c>
      <c r="V722">
        <f>VLOOKUP(Table9[[#This Row],[Shortname]], Comp[], 19, FALSE)</f>
        <v>0</v>
      </c>
      <c r="W722">
        <f>VLOOKUP(Table9[[#This Row],[Shortname]], Comp[], 20, FALSE)</f>
        <v>0</v>
      </c>
      <c r="X722">
        <f>VLOOKUP(Table9[[#This Row],[Shortname]], Comp[], 21, FALSE)</f>
        <v>0</v>
      </c>
      <c r="Y722">
        <f>VLOOKUP(Table9[[#This Row],[Shortname]], Comp[], 22, FALSE)</f>
        <v>0</v>
      </c>
      <c r="Z722">
        <f>VLOOKUP(Table9[[#This Row],[Shortname]], Comp[], 23, FALSE)</f>
        <v>0</v>
      </c>
      <c r="AA722">
        <f>VLOOKUP(Table9[[#This Row],[Shortname]], Comp[], 24, FALSE)</f>
        <v>0</v>
      </c>
      <c r="AB722">
        <f>VLOOKUP(Table9[[#This Row],[Shortname]], Comp[], 25, FALSE)</f>
        <v>0</v>
      </c>
      <c r="AC722">
        <f>VLOOKUP(Table9[[#This Row],[Shortname]], Comp[], 26, FALSE)</f>
        <v>0</v>
      </c>
      <c r="AD722">
        <f>VLOOKUP(Table9[[#This Row],[Shortname]], Comp[], 27, FALSE)</f>
        <v>0</v>
      </c>
      <c r="AE722">
        <f>VLOOKUP(Table9[[#This Row],[Shortname]], Comp[], 28, FALSE)</f>
        <v>0</v>
      </c>
      <c r="AF722">
        <f>VLOOKUP(Table9[[#This Row],[Shortname]], Comp[], 29, FALSE)</f>
        <v>0</v>
      </c>
      <c r="AG722">
        <f>VLOOKUP(Table9[[#This Row],[Shortname]], Comp[], 30, FALSE)</f>
        <v>0</v>
      </c>
      <c r="AH722">
        <f>VLOOKUP(Table9[[#This Row],[Shortname]], Comp[], 31, FALSE)</f>
        <v>0</v>
      </c>
    </row>
    <row r="723" spans="1:34" x14ac:dyDescent="0.3">
      <c r="A723" t="s">
        <v>3229</v>
      </c>
      <c r="B723" t="s">
        <v>3231</v>
      </c>
      <c r="C723" t="s">
        <v>3232</v>
      </c>
      <c r="D723">
        <v>550</v>
      </c>
      <c r="E723">
        <v>600</v>
      </c>
      <c r="F723">
        <v>1E-4</v>
      </c>
      <c r="G723">
        <v>-1</v>
      </c>
      <c r="H723" t="s">
        <v>6855</v>
      </c>
      <c r="I723">
        <f>VLOOKUP(Table9[[#This Row],[Shortname]], Comp[], 6, FALSE)</f>
        <v>454</v>
      </c>
      <c r="J723" s="14">
        <f>VLOOKUP(Table9[[#This Row],[Shortname]], Comp[], 7, FALSE)</f>
        <v>66</v>
      </c>
      <c r="K723">
        <f>VLOOKUP(Table9[[#This Row],[Shortname]], Comp[], 8, FALSE)</f>
        <v>17</v>
      </c>
      <c r="L723">
        <f>VLOOKUP(Table9[[#This Row],[Shortname]], Comp[], 9, FALSE)</f>
        <v>9</v>
      </c>
      <c r="M723">
        <f>VLOOKUP(Table9[[#This Row],[Shortname]], Comp[], 10, FALSE)</f>
        <v>0</v>
      </c>
      <c r="N723">
        <f>VLOOKUP(Table9[[#This Row],[Shortname]], Comp[], 11, FALSE)</f>
        <v>5</v>
      </c>
      <c r="O723">
        <f>VLOOKUP(Table9[[#This Row],[Shortname]], Comp[],12, FALSE)</f>
        <v>3</v>
      </c>
      <c r="P723">
        <f>VLOOKUP(Table9[[#This Row],[Shortname]], Comp[], 13, FALSE)</f>
        <v>0</v>
      </c>
      <c r="Q723">
        <f>VLOOKUP(Table9[[#This Row],[Shortname]], Comp[], 14, FALSE)</f>
        <v>0</v>
      </c>
      <c r="R723">
        <f>VLOOKUP(Table9[[#This Row],[Shortname]], Comp[], 15, FALSE)</f>
        <v>0</v>
      </c>
      <c r="S723">
        <f>VLOOKUP(Table9[[#This Row],[Shortname]], Comp[], 16, FALSE)</f>
        <v>0</v>
      </c>
      <c r="T723">
        <f>VLOOKUP(Table9[[#This Row],[Shortname]], Comp[], 17, FALSE)</f>
        <v>0</v>
      </c>
      <c r="U723">
        <f>VLOOKUP(Table9[[#This Row],[Shortname]], Comp[], 18, FALSE)</f>
        <v>0</v>
      </c>
      <c r="V723">
        <f>VLOOKUP(Table9[[#This Row],[Shortname]], Comp[], 19, FALSE)</f>
        <v>0</v>
      </c>
      <c r="W723">
        <f>VLOOKUP(Table9[[#This Row],[Shortname]], Comp[], 20, FALSE)</f>
        <v>0</v>
      </c>
      <c r="X723">
        <f>VLOOKUP(Table9[[#This Row],[Shortname]], Comp[], 21, FALSE)</f>
        <v>0</v>
      </c>
      <c r="Y723">
        <f>VLOOKUP(Table9[[#This Row],[Shortname]], Comp[], 22, FALSE)</f>
        <v>0</v>
      </c>
      <c r="Z723">
        <f>VLOOKUP(Table9[[#This Row],[Shortname]], Comp[], 23, FALSE)</f>
        <v>0</v>
      </c>
      <c r="AA723">
        <f>VLOOKUP(Table9[[#This Row],[Shortname]], Comp[], 24, FALSE)</f>
        <v>0</v>
      </c>
      <c r="AB723">
        <f>VLOOKUP(Table9[[#This Row],[Shortname]], Comp[], 25, FALSE)</f>
        <v>0</v>
      </c>
      <c r="AC723">
        <f>VLOOKUP(Table9[[#This Row],[Shortname]], Comp[], 26, FALSE)</f>
        <v>0</v>
      </c>
      <c r="AD723">
        <f>VLOOKUP(Table9[[#This Row],[Shortname]], Comp[], 27, FALSE)</f>
        <v>0</v>
      </c>
      <c r="AE723">
        <f>VLOOKUP(Table9[[#This Row],[Shortname]], Comp[], 28, FALSE)</f>
        <v>0</v>
      </c>
      <c r="AF723">
        <f>VLOOKUP(Table9[[#This Row],[Shortname]], Comp[], 29, FALSE)</f>
        <v>0</v>
      </c>
      <c r="AG723">
        <f>VLOOKUP(Table9[[#This Row],[Shortname]], Comp[], 30, FALSE)</f>
        <v>0</v>
      </c>
      <c r="AH723">
        <f>VLOOKUP(Table9[[#This Row],[Shortname]], Comp[], 31, FALSE)</f>
        <v>0</v>
      </c>
    </row>
    <row r="724" spans="1:34" x14ac:dyDescent="0.3">
      <c r="A724" t="s">
        <v>3229</v>
      </c>
      <c r="B724" t="s">
        <v>3231</v>
      </c>
      <c r="C724" t="s">
        <v>3232</v>
      </c>
      <c r="D724">
        <v>490</v>
      </c>
      <c r="E724">
        <v>900</v>
      </c>
      <c r="F724">
        <v>1E-4</v>
      </c>
      <c r="G724">
        <v>-1</v>
      </c>
      <c r="H724" t="s">
        <v>6855</v>
      </c>
      <c r="I724">
        <f>VLOOKUP(Table9[[#This Row],[Shortname]], Comp[], 6, FALSE)</f>
        <v>454</v>
      </c>
      <c r="J724" s="14">
        <f>VLOOKUP(Table9[[#This Row],[Shortname]], Comp[], 7, FALSE)</f>
        <v>66</v>
      </c>
      <c r="K724">
        <f>VLOOKUP(Table9[[#This Row],[Shortname]], Comp[], 8, FALSE)</f>
        <v>17</v>
      </c>
      <c r="L724">
        <f>VLOOKUP(Table9[[#This Row],[Shortname]], Comp[], 9, FALSE)</f>
        <v>9</v>
      </c>
      <c r="M724">
        <f>VLOOKUP(Table9[[#This Row],[Shortname]], Comp[], 10, FALSE)</f>
        <v>0</v>
      </c>
      <c r="N724">
        <f>VLOOKUP(Table9[[#This Row],[Shortname]], Comp[], 11, FALSE)</f>
        <v>5</v>
      </c>
      <c r="O724">
        <f>VLOOKUP(Table9[[#This Row],[Shortname]], Comp[],12, FALSE)</f>
        <v>3</v>
      </c>
      <c r="P724">
        <f>VLOOKUP(Table9[[#This Row],[Shortname]], Comp[], 13, FALSE)</f>
        <v>0</v>
      </c>
      <c r="Q724">
        <f>VLOOKUP(Table9[[#This Row],[Shortname]], Comp[], 14, FALSE)</f>
        <v>0</v>
      </c>
      <c r="R724">
        <f>VLOOKUP(Table9[[#This Row],[Shortname]], Comp[], 15, FALSE)</f>
        <v>0</v>
      </c>
      <c r="S724">
        <f>VLOOKUP(Table9[[#This Row],[Shortname]], Comp[], 16, FALSE)</f>
        <v>0</v>
      </c>
      <c r="T724">
        <f>VLOOKUP(Table9[[#This Row],[Shortname]], Comp[], 17, FALSE)</f>
        <v>0</v>
      </c>
      <c r="U724">
        <f>VLOOKUP(Table9[[#This Row],[Shortname]], Comp[], 18, FALSE)</f>
        <v>0</v>
      </c>
      <c r="V724">
        <f>VLOOKUP(Table9[[#This Row],[Shortname]], Comp[], 19, FALSE)</f>
        <v>0</v>
      </c>
      <c r="W724">
        <f>VLOOKUP(Table9[[#This Row],[Shortname]], Comp[], 20, FALSE)</f>
        <v>0</v>
      </c>
      <c r="X724">
        <f>VLOOKUP(Table9[[#This Row],[Shortname]], Comp[], 21, FALSE)</f>
        <v>0</v>
      </c>
      <c r="Y724">
        <f>VLOOKUP(Table9[[#This Row],[Shortname]], Comp[], 22, FALSE)</f>
        <v>0</v>
      </c>
      <c r="Z724">
        <f>VLOOKUP(Table9[[#This Row],[Shortname]], Comp[], 23, FALSE)</f>
        <v>0</v>
      </c>
      <c r="AA724">
        <f>VLOOKUP(Table9[[#This Row],[Shortname]], Comp[], 24, FALSE)</f>
        <v>0</v>
      </c>
      <c r="AB724">
        <f>VLOOKUP(Table9[[#This Row],[Shortname]], Comp[], 25, FALSE)</f>
        <v>0</v>
      </c>
      <c r="AC724">
        <f>VLOOKUP(Table9[[#This Row],[Shortname]], Comp[], 26, FALSE)</f>
        <v>0</v>
      </c>
      <c r="AD724">
        <f>VLOOKUP(Table9[[#This Row],[Shortname]], Comp[], 27, FALSE)</f>
        <v>0</v>
      </c>
      <c r="AE724">
        <f>VLOOKUP(Table9[[#This Row],[Shortname]], Comp[], 28, FALSE)</f>
        <v>0</v>
      </c>
      <c r="AF724">
        <f>VLOOKUP(Table9[[#This Row],[Shortname]], Comp[], 29, FALSE)</f>
        <v>0</v>
      </c>
      <c r="AG724">
        <f>VLOOKUP(Table9[[#This Row],[Shortname]], Comp[], 30, FALSE)</f>
        <v>0</v>
      </c>
      <c r="AH724">
        <f>VLOOKUP(Table9[[#This Row],[Shortname]], Comp[], 31, FALSE)</f>
        <v>0</v>
      </c>
    </row>
    <row r="725" spans="1:34" x14ac:dyDescent="0.3">
      <c r="A725" t="s">
        <v>3229</v>
      </c>
      <c r="B725" t="s">
        <v>3231</v>
      </c>
      <c r="C725" t="s">
        <v>3232</v>
      </c>
      <c r="D725">
        <v>236</v>
      </c>
      <c r="E725">
        <v>1000</v>
      </c>
      <c r="F725">
        <v>1E-4</v>
      </c>
      <c r="G725">
        <v>-1</v>
      </c>
      <c r="H725" t="s">
        <v>6855</v>
      </c>
      <c r="I725">
        <f>VLOOKUP(Table9[[#This Row],[Shortname]], Comp[], 6, FALSE)</f>
        <v>454</v>
      </c>
      <c r="J725" s="14">
        <f>VLOOKUP(Table9[[#This Row],[Shortname]], Comp[], 7, FALSE)</f>
        <v>66</v>
      </c>
      <c r="K725">
        <f>VLOOKUP(Table9[[#This Row],[Shortname]], Comp[], 8, FALSE)</f>
        <v>17</v>
      </c>
      <c r="L725">
        <f>VLOOKUP(Table9[[#This Row],[Shortname]], Comp[], 9, FALSE)</f>
        <v>9</v>
      </c>
      <c r="M725">
        <f>VLOOKUP(Table9[[#This Row],[Shortname]], Comp[], 10, FALSE)</f>
        <v>0</v>
      </c>
      <c r="N725">
        <f>VLOOKUP(Table9[[#This Row],[Shortname]], Comp[], 11, FALSE)</f>
        <v>5</v>
      </c>
      <c r="O725">
        <f>VLOOKUP(Table9[[#This Row],[Shortname]], Comp[],12, FALSE)</f>
        <v>3</v>
      </c>
      <c r="P725">
        <f>VLOOKUP(Table9[[#This Row],[Shortname]], Comp[], 13, FALSE)</f>
        <v>0</v>
      </c>
      <c r="Q725">
        <f>VLOOKUP(Table9[[#This Row],[Shortname]], Comp[], 14, FALSE)</f>
        <v>0</v>
      </c>
      <c r="R725">
        <f>VLOOKUP(Table9[[#This Row],[Shortname]], Comp[], 15, FALSE)</f>
        <v>0</v>
      </c>
      <c r="S725">
        <f>VLOOKUP(Table9[[#This Row],[Shortname]], Comp[], 16, FALSE)</f>
        <v>0</v>
      </c>
      <c r="T725">
        <f>VLOOKUP(Table9[[#This Row],[Shortname]], Comp[], 17, FALSE)</f>
        <v>0</v>
      </c>
      <c r="U725">
        <f>VLOOKUP(Table9[[#This Row],[Shortname]], Comp[], 18, FALSE)</f>
        <v>0</v>
      </c>
      <c r="V725">
        <f>VLOOKUP(Table9[[#This Row],[Shortname]], Comp[], 19, FALSE)</f>
        <v>0</v>
      </c>
      <c r="W725">
        <f>VLOOKUP(Table9[[#This Row],[Shortname]], Comp[], 20, FALSE)</f>
        <v>0</v>
      </c>
      <c r="X725">
        <f>VLOOKUP(Table9[[#This Row],[Shortname]], Comp[], 21, FALSE)</f>
        <v>0</v>
      </c>
      <c r="Y725">
        <f>VLOOKUP(Table9[[#This Row],[Shortname]], Comp[], 22, FALSE)</f>
        <v>0</v>
      </c>
      <c r="Z725">
        <f>VLOOKUP(Table9[[#This Row],[Shortname]], Comp[], 23, FALSE)</f>
        <v>0</v>
      </c>
      <c r="AA725">
        <f>VLOOKUP(Table9[[#This Row],[Shortname]], Comp[], 24, FALSE)</f>
        <v>0</v>
      </c>
      <c r="AB725">
        <f>VLOOKUP(Table9[[#This Row],[Shortname]], Comp[], 25, FALSE)</f>
        <v>0</v>
      </c>
      <c r="AC725">
        <f>VLOOKUP(Table9[[#This Row],[Shortname]], Comp[], 26, FALSE)</f>
        <v>0</v>
      </c>
      <c r="AD725">
        <f>VLOOKUP(Table9[[#This Row],[Shortname]], Comp[], 27, FALSE)</f>
        <v>0</v>
      </c>
      <c r="AE725">
        <f>VLOOKUP(Table9[[#This Row],[Shortname]], Comp[], 28, FALSE)</f>
        <v>0</v>
      </c>
      <c r="AF725">
        <f>VLOOKUP(Table9[[#This Row],[Shortname]], Comp[], 29, FALSE)</f>
        <v>0</v>
      </c>
      <c r="AG725">
        <f>VLOOKUP(Table9[[#This Row],[Shortname]], Comp[], 30, FALSE)</f>
        <v>0</v>
      </c>
      <c r="AH725">
        <f>VLOOKUP(Table9[[#This Row],[Shortname]], Comp[], 31, FALSE)</f>
        <v>0</v>
      </c>
    </row>
    <row r="726" spans="1:34" x14ac:dyDescent="0.3">
      <c r="A726" t="s">
        <v>3236</v>
      </c>
      <c r="B726" t="s">
        <v>1567</v>
      </c>
      <c r="C726" t="s">
        <v>6877</v>
      </c>
      <c r="D726">
        <v>613</v>
      </c>
      <c r="E726">
        <v>25</v>
      </c>
      <c r="F726">
        <v>1E-4</v>
      </c>
      <c r="G726">
        <v>-1</v>
      </c>
      <c r="H726" t="s">
        <v>6855</v>
      </c>
      <c r="I726">
        <f>VLOOKUP(Table9[[#This Row],[Shortname]], Comp[], 6, FALSE)</f>
        <v>455</v>
      </c>
      <c r="J726" s="14">
        <f>VLOOKUP(Table9[[#This Row],[Shortname]], Comp[], 7, FALSE)</f>
        <v>59.3</v>
      </c>
      <c r="K726">
        <f>VLOOKUP(Table9[[#This Row],[Shortname]], Comp[], 8, FALSE)</f>
        <v>17</v>
      </c>
      <c r="L726">
        <f>VLOOKUP(Table9[[#This Row],[Shortname]], Comp[], 9, FALSE)</f>
        <v>10</v>
      </c>
      <c r="M726">
        <f>VLOOKUP(Table9[[#This Row],[Shortname]], Comp[], 10, FALSE)</f>
        <v>6</v>
      </c>
      <c r="N726">
        <f>VLOOKUP(Table9[[#This Row],[Shortname]], Comp[], 11, FALSE)</f>
        <v>5</v>
      </c>
      <c r="O726">
        <f>VLOOKUP(Table9[[#This Row],[Shortname]], Comp[],12, FALSE)</f>
        <v>0</v>
      </c>
      <c r="P726">
        <f>VLOOKUP(Table9[[#This Row],[Shortname]], Comp[], 13, FALSE)</f>
        <v>2.7</v>
      </c>
      <c r="Q726">
        <f>VLOOKUP(Table9[[#This Row],[Shortname]], Comp[], 14, FALSE)</f>
        <v>0</v>
      </c>
      <c r="R726">
        <f>VLOOKUP(Table9[[#This Row],[Shortname]], Comp[], 15, FALSE)</f>
        <v>0</v>
      </c>
      <c r="S726">
        <f>VLOOKUP(Table9[[#This Row],[Shortname]], Comp[], 16, FALSE)</f>
        <v>0</v>
      </c>
      <c r="T726">
        <f>VLOOKUP(Table9[[#This Row],[Shortname]], Comp[], 17, FALSE)</f>
        <v>0</v>
      </c>
      <c r="U726">
        <f>VLOOKUP(Table9[[#This Row],[Shortname]], Comp[], 18, FALSE)</f>
        <v>0</v>
      </c>
      <c r="V726">
        <f>VLOOKUP(Table9[[#This Row],[Shortname]], Comp[], 19, FALSE)</f>
        <v>0</v>
      </c>
      <c r="W726">
        <f>VLOOKUP(Table9[[#This Row],[Shortname]], Comp[], 20, FALSE)</f>
        <v>0</v>
      </c>
      <c r="X726">
        <f>VLOOKUP(Table9[[#This Row],[Shortname]], Comp[], 21, FALSE)</f>
        <v>0</v>
      </c>
      <c r="Y726">
        <f>VLOOKUP(Table9[[#This Row],[Shortname]], Comp[], 22, FALSE)</f>
        <v>0</v>
      </c>
      <c r="Z726">
        <f>VLOOKUP(Table9[[#This Row],[Shortname]], Comp[], 23, FALSE)</f>
        <v>0</v>
      </c>
      <c r="AA726">
        <f>VLOOKUP(Table9[[#This Row],[Shortname]], Comp[], 24, FALSE)</f>
        <v>0</v>
      </c>
      <c r="AB726">
        <f>VLOOKUP(Table9[[#This Row],[Shortname]], Comp[], 25, FALSE)</f>
        <v>0</v>
      </c>
      <c r="AC726">
        <f>VLOOKUP(Table9[[#This Row],[Shortname]], Comp[], 26, FALSE)</f>
        <v>0</v>
      </c>
      <c r="AD726">
        <f>VLOOKUP(Table9[[#This Row],[Shortname]], Comp[], 27, FALSE)</f>
        <v>0</v>
      </c>
      <c r="AE726">
        <f>VLOOKUP(Table9[[#This Row],[Shortname]], Comp[], 28, FALSE)</f>
        <v>0</v>
      </c>
      <c r="AF726">
        <f>VLOOKUP(Table9[[#This Row],[Shortname]], Comp[], 29, FALSE)</f>
        <v>0</v>
      </c>
      <c r="AG726">
        <f>VLOOKUP(Table9[[#This Row],[Shortname]], Comp[], 30, FALSE)</f>
        <v>0</v>
      </c>
      <c r="AH726">
        <f>VLOOKUP(Table9[[#This Row],[Shortname]], Comp[], 31, FALSE)</f>
        <v>0</v>
      </c>
    </row>
    <row r="727" spans="1:34" x14ac:dyDescent="0.3">
      <c r="A727" t="s">
        <v>3236</v>
      </c>
      <c r="B727" t="s">
        <v>1567</v>
      </c>
      <c r="C727" t="s">
        <v>6877</v>
      </c>
      <c r="D727">
        <v>546</v>
      </c>
      <c r="E727">
        <v>800</v>
      </c>
      <c r="F727">
        <v>1E-4</v>
      </c>
      <c r="G727">
        <v>-1</v>
      </c>
      <c r="H727" t="s">
        <v>6855</v>
      </c>
      <c r="I727">
        <f>VLOOKUP(Table9[[#This Row],[Shortname]], Comp[], 6, FALSE)</f>
        <v>455</v>
      </c>
      <c r="J727" s="14">
        <f>VLOOKUP(Table9[[#This Row],[Shortname]], Comp[], 7, FALSE)</f>
        <v>59.3</v>
      </c>
      <c r="K727">
        <f>VLOOKUP(Table9[[#This Row],[Shortname]], Comp[], 8, FALSE)</f>
        <v>17</v>
      </c>
      <c r="L727">
        <f>VLOOKUP(Table9[[#This Row],[Shortname]], Comp[], 9, FALSE)</f>
        <v>10</v>
      </c>
      <c r="M727">
        <f>VLOOKUP(Table9[[#This Row],[Shortname]], Comp[], 10, FALSE)</f>
        <v>6</v>
      </c>
      <c r="N727">
        <f>VLOOKUP(Table9[[#This Row],[Shortname]], Comp[], 11, FALSE)</f>
        <v>5</v>
      </c>
      <c r="O727">
        <f>VLOOKUP(Table9[[#This Row],[Shortname]], Comp[],12, FALSE)</f>
        <v>0</v>
      </c>
      <c r="P727">
        <f>VLOOKUP(Table9[[#This Row],[Shortname]], Comp[], 13, FALSE)</f>
        <v>2.7</v>
      </c>
      <c r="Q727">
        <f>VLOOKUP(Table9[[#This Row],[Shortname]], Comp[], 14, FALSE)</f>
        <v>0</v>
      </c>
      <c r="R727">
        <f>VLOOKUP(Table9[[#This Row],[Shortname]], Comp[], 15, FALSE)</f>
        <v>0</v>
      </c>
      <c r="S727">
        <f>VLOOKUP(Table9[[#This Row],[Shortname]], Comp[], 16, FALSE)</f>
        <v>0</v>
      </c>
      <c r="T727">
        <f>VLOOKUP(Table9[[#This Row],[Shortname]], Comp[], 17, FALSE)</f>
        <v>0</v>
      </c>
      <c r="U727">
        <f>VLOOKUP(Table9[[#This Row],[Shortname]], Comp[], 18, FALSE)</f>
        <v>0</v>
      </c>
      <c r="V727">
        <f>VLOOKUP(Table9[[#This Row],[Shortname]], Comp[], 19, FALSE)</f>
        <v>0</v>
      </c>
      <c r="W727">
        <f>VLOOKUP(Table9[[#This Row],[Shortname]], Comp[], 20, FALSE)</f>
        <v>0</v>
      </c>
      <c r="X727">
        <f>VLOOKUP(Table9[[#This Row],[Shortname]], Comp[], 21, FALSE)</f>
        <v>0</v>
      </c>
      <c r="Y727">
        <f>VLOOKUP(Table9[[#This Row],[Shortname]], Comp[], 22, FALSE)</f>
        <v>0</v>
      </c>
      <c r="Z727">
        <f>VLOOKUP(Table9[[#This Row],[Shortname]], Comp[], 23, FALSE)</f>
        <v>0</v>
      </c>
      <c r="AA727">
        <f>VLOOKUP(Table9[[#This Row],[Shortname]], Comp[], 24, FALSE)</f>
        <v>0</v>
      </c>
      <c r="AB727">
        <f>VLOOKUP(Table9[[#This Row],[Shortname]], Comp[], 25, FALSE)</f>
        <v>0</v>
      </c>
      <c r="AC727">
        <f>VLOOKUP(Table9[[#This Row],[Shortname]], Comp[], 26, FALSE)</f>
        <v>0</v>
      </c>
      <c r="AD727">
        <f>VLOOKUP(Table9[[#This Row],[Shortname]], Comp[], 27, FALSE)</f>
        <v>0</v>
      </c>
      <c r="AE727">
        <f>VLOOKUP(Table9[[#This Row],[Shortname]], Comp[], 28, FALSE)</f>
        <v>0</v>
      </c>
      <c r="AF727">
        <f>VLOOKUP(Table9[[#This Row],[Shortname]], Comp[], 29, FALSE)</f>
        <v>0</v>
      </c>
      <c r="AG727">
        <f>VLOOKUP(Table9[[#This Row],[Shortname]], Comp[], 30, FALSE)</f>
        <v>0</v>
      </c>
      <c r="AH727">
        <f>VLOOKUP(Table9[[#This Row],[Shortname]], Comp[], 31, FALSE)</f>
        <v>0</v>
      </c>
    </row>
    <row r="728" spans="1:34" x14ac:dyDescent="0.3">
      <c r="A728" t="s">
        <v>3236</v>
      </c>
      <c r="B728" t="s">
        <v>1567</v>
      </c>
      <c r="C728" t="s">
        <v>6877</v>
      </c>
      <c r="D728">
        <v>527</v>
      </c>
      <c r="E728">
        <v>700</v>
      </c>
      <c r="F728">
        <v>1E-4</v>
      </c>
      <c r="G728">
        <v>-1</v>
      </c>
      <c r="H728" t="s">
        <v>6855</v>
      </c>
      <c r="I728">
        <f>VLOOKUP(Table9[[#This Row],[Shortname]], Comp[], 6, FALSE)</f>
        <v>455</v>
      </c>
      <c r="J728" s="14">
        <f>VLOOKUP(Table9[[#This Row],[Shortname]], Comp[], 7, FALSE)</f>
        <v>59.3</v>
      </c>
      <c r="K728">
        <f>VLOOKUP(Table9[[#This Row],[Shortname]], Comp[], 8, FALSE)</f>
        <v>17</v>
      </c>
      <c r="L728">
        <f>VLOOKUP(Table9[[#This Row],[Shortname]], Comp[], 9, FALSE)</f>
        <v>10</v>
      </c>
      <c r="M728">
        <f>VLOOKUP(Table9[[#This Row],[Shortname]], Comp[], 10, FALSE)</f>
        <v>6</v>
      </c>
      <c r="N728">
        <f>VLOOKUP(Table9[[#This Row],[Shortname]], Comp[], 11, FALSE)</f>
        <v>5</v>
      </c>
      <c r="O728">
        <f>VLOOKUP(Table9[[#This Row],[Shortname]], Comp[],12, FALSE)</f>
        <v>0</v>
      </c>
      <c r="P728">
        <f>VLOOKUP(Table9[[#This Row],[Shortname]], Comp[], 13, FALSE)</f>
        <v>2.7</v>
      </c>
      <c r="Q728">
        <f>VLOOKUP(Table9[[#This Row],[Shortname]], Comp[], 14, FALSE)</f>
        <v>0</v>
      </c>
      <c r="R728">
        <f>VLOOKUP(Table9[[#This Row],[Shortname]], Comp[], 15, FALSE)</f>
        <v>0</v>
      </c>
      <c r="S728">
        <f>VLOOKUP(Table9[[#This Row],[Shortname]], Comp[], 16, FALSE)</f>
        <v>0</v>
      </c>
      <c r="T728">
        <f>VLOOKUP(Table9[[#This Row],[Shortname]], Comp[], 17, FALSE)</f>
        <v>0</v>
      </c>
      <c r="U728">
        <f>VLOOKUP(Table9[[#This Row],[Shortname]], Comp[], 18, FALSE)</f>
        <v>0</v>
      </c>
      <c r="V728">
        <f>VLOOKUP(Table9[[#This Row],[Shortname]], Comp[], 19, FALSE)</f>
        <v>0</v>
      </c>
      <c r="W728">
        <f>VLOOKUP(Table9[[#This Row],[Shortname]], Comp[], 20, FALSE)</f>
        <v>0</v>
      </c>
      <c r="X728">
        <f>VLOOKUP(Table9[[#This Row],[Shortname]], Comp[], 21, FALSE)</f>
        <v>0</v>
      </c>
      <c r="Y728">
        <f>VLOOKUP(Table9[[#This Row],[Shortname]], Comp[], 22, FALSE)</f>
        <v>0</v>
      </c>
      <c r="Z728">
        <f>VLOOKUP(Table9[[#This Row],[Shortname]], Comp[], 23, FALSE)</f>
        <v>0</v>
      </c>
      <c r="AA728">
        <f>VLOOKUP(Table9[[#This Row],[Shortname]], Comp[], 24, FALSE)</f>
        <v>0</v>
      </c>
      <c r="AB728">
        <f>VLOOKUP(Table9[[#This Row],[Shortname]], Comp[], 25, FALSE)</f>
        <v>0</v>
      </c>
      <c r="AC728">
        <f>VLOOKUP(Table9[[#This Row],[Shortname]], Comp[], 26, FALSE)</f>
        <v>0</v>
      </c>
      <c r="AD728">
        <f>VLOOKUP(Table9[[#This Row],[Shortname]], Comp[], 27, FALSE)</f>
        <v>0</v>
      </c>
      <c r="AE728">
        <f>VLOOKUP(Table9[[#This Row],[Shortname]], Comp[], 28, FALSE)</f>
        <v>0</v>
      </c>
      <c r="AF728">
        <f>VLOOKUP(Table9[[#This Row],[Shortname]], Comp[], 29, FALSE)</f>
        <v>0</v>
      </c>
      <c r="AG728">
        <f>VLOOKUP(Table9[[#This Row],[Shortname]], Comp[], 30, FALSE)</f>
        <v>0</v>
      </c>
      <c r="AH728">
        <f>VLOOKUP(Table9[[#This Row],[Shortname]], Comp[], 31, FALSE)</f>
        <v>0</v>
      </c>
    </row>
    <row r="729" spans="1:34" x14ac:dyDescent="0.3">
      <c r="A729" t="s">
        <v>3236</v>
      </c>
      <c r="B729" t="s">
        <v>1567</v>
      </c>
      <c r="C729" t="s">
        <v>6877</v>
      </c>
      <c r="D729">
        <v>508</v>
      </c>
      <c r="E729">
        <v>600</v>
      </c>
      <c r="F729">
        <v>1E-4</v>
      </c>
      <c r="G729">
        <v>-1</v>
      </c>
      <c r="H729" t="s">
        <v>6855</v>
      </c>
      <c r="I729">
        <f>VLOOKUP(Table9[[#This Row],[Shortname]], Comp[], 6, FALSE)</f>
        <v>455</v>
      </c>
      <c r="J729" s="14">
        <f>VLOOKUP(Table9[[#This Row],[Shortname]], Comp[], 7, FALSE)</f>
        <v>59.3</v>
      </c>
      <c r="K729">
        <f>VLOOKUP(Table9[[#This Row],[Shortname]], Comp[], 8, FALSE)</f>
        <v>17</v>
      </c>
      <c r="L729">
        <f>VLOOKUP(Table9[[#This Row],[Shortname]], Comp[], 9, FALSE)</f>
        <v>10</v>
      </c>
      <c r="M729">
        <f>VLOOKUP(Table9[[#This Row],[Shortname]], Comp[], 10, FALSE)</f>
        <v>6</v>
      </c>
      <c r="N729">
        <f>VLOOKUP(Table9[[#This Row],[Shortname]], Comp[], 11, FALSE)</f>
        <v>5</v>
      </c>
      <c r="O729">
        <f>VLOOKUP(Table9[[#This Row],[Shortname]], Comp[],12, FALSE)</f>
        <v>0</v>
      </c>
      <c r="P729">
        <f>VLOOKUP(Table9[[#This Row],[Shortname]], Comp[], 13, FALSE)</f>
        <v>2.7</v>
      </c>
      <c r="Q729">
        <f>VLOOKUP(Table9[[#This Row],[Shortname]], Comp[], 14, FALSE)</f>
        <v>0</v>
      </c>
      <c r="R729">
        <f>VLOOKUP(Table9[[#This Row],[Shortname]], Comp[], 15, FALSE)</f>
        <v>0</v>
      </c>
      <c r="S729">
        <f>VLOOKUP(Table9[[#This Row],[Shortname]], Comp[], 16, FALSE)</f>
        <v>0</v>
      </c>
      <c r="T729">
        <f>VLOOKUP(Table9[[#This Row],[Shortname]], Comp[], 17, FALSE)</f>
        <v>0</v>
      </c>
      <c r="U729">
        <f>VLOOKUP(Table9[[#This Row],[Shortname]], Comp[], 18, FALSE)</f>
        <v>0</v>
      </c>
      <c r="V729">
        <f>VLOOKUP(Table9[[#This Row],[Shortname]], Comp[], 19, FALSE)</f>
        <v>0</v>
      </c>
      <c r="W729">
        <f>VLOOKUP(Table9[[#This Row],[Shortname]], Comp[], 20, FALSE)</f>
        <v>0</v>
      </c>
      <c r="X729">
        <f>VLOOKUP(Table9[[#This Row],[Shortname]], Comp[], 21, FALSE)</f>
        <v>0</v>
      </c>
      <c r="Y729">
        <f>VLOOKUP(Table9[[#This Row],[Shortname]], Comp[], 22, FALSE)</f>
        <v>0</v>
      </c>
      <c r="Z729">
        <f>VLOOKUP(Table9[[#This Row],[Shortname]], Comp[], 23, FALSE)</f>
        <v>0</v>
      </c>
      <c r="AA729">
        <f>VLOOKUP(Table9[[#This Row],[Shortname]], Comp[], 24, FALSE)</f>
        <v>0</v>
      </c>
      <c r="AB729">
        <f>VLOOKUP(Table9[[#This Row],[Shortname]], Comp[], 25, FALSE)</f>
        <v>0</v>
      </c>
      <c r="AC729">
        <f>VLOOKUP(Table9[[#This Row],[Shortname]], Comp[], 26, FALSE)</f>
        <v>0</v>
      </c>
      <c r="AD729">
        <f>VLOOKUP(Table9[[#This Row],[Shortname]], Comp[], 27, FALSE)</f>
        <v>0</v>
      </c>
      <c r="AE729">
        <f>VLOOKUP(Table9[[#This Row],[Shortname]], Comp[], 28, FALSE)</f>
        <v>0</v>
      </c>
      <c r="AF729">
        <f>VLOOKUP(Table9[[#This Row],[Shortname]], Comp[], 29, FALSE)</f>
        <v>0</v>
      </c>
      <c r="AG729">
        <f>VLOOKUP(Table9[[#This Row],[Shortname]], Comp[], 30, FALSE)</f>
        <v>0</v>
      </c>
      <c r="AH729">
        <f>VLOOKUP(Table9[[#This Row],[Shortname]], Comp[], 31, FALSE)</f>
        <v>0</v>
      </c>
    </row>
    <row r="730" spans="1:34" x14ac:dyDescent="0.3">
      <c r="A730" t="s">
        <v>3236</v>
      </c>
      <c r="B730" t="s">
        <v>1567</v>
      </c>
      <c r="C730" t="s">
        <v>6877</v>
      </c>
      <c r="D730">
        <v>501</v>
      </c>
      <c r="E730">
        <v>900</v>
      </c>
      <c r="F730">
        <v>1E-4</v>
      </c>
      <c r="G730">
        <v>-1</v>
      </c>
      <c r="H730" t="s">
        <v>6855</v>
      </c>
      <c r="I730">
        <f>VLOOKUP(Table9[[#This Row],[Shortname]], Comp[], 6, FALSE)</f>
        <v>455</v>
      </c>
      <c r="J730" s="14">
        <f>VLOOKUP(Table9[[#This Row],[Shortname]], Comp[], 7, FALSE)</f>
        <v>59.3</v>
      </c>
      <c r="K730">
        <f>VLOOKUP(Table9[[#This Row],[Shortname]], Comp[], 8, FALSE)</f>
        <v>17</v>
      </c>
      <c r="L730">
        <f>VLOOKUP(Table9[[#This Row],[Shortname]], Comp[], 9, FALSE)</f>
        <v>10</v>
      </c>
      <c r="M730">
        <f>VLOOKUP(Table9[[#This Row],[Shortname]], Comp[], 10, FALSE)</f>
        <v>6</v>
      </c>
      <c r="N730">
        <f>VLOOKUP(Table9[[#This Row],[Shortname]], Comp[], 11, FALSE)</f>
        <v>5</v>
      </c>
      <c r="O730">
        <f>VLOOKUP(Table9[[#This Row],[Shortname]], Comp[],12, FALSE)</f>
        <v>0</v>
      </c>
      <c r="P730">
        <f>VLOOKUP(Table9[[#This Row],[Shortname]], Comp[], 13, FALSE)</f>
        <v>2.7</v>
      </c>
      <c r="Q730">
        <f>VLOOKUP(Table9[[#This Row],[Shortname]], Comp[], 14, FALSE)</f>
        <v>0</v>
      </c>
      <c r="R730">
        <f>VLOOKUP(Table9[[#This Row],[Shortname]], Comp[], 15, FALSE)</f>
        <v>0</v>
      </c>
      <c r="S730">
        <f>VLOOKUP(Table9[[#This Row],[Shortname]], Comp[], 16, FALSE)</f>
        <v>0</v>
      </c>
      <c r="T730">
        <f>VLOOKUP(Table9[[#This Row],[Shortname]], Comp[], 17, FALSE)</f>
        <v>0</v>
      </c>
      <c r="U730">
        <f>VLOOKUP(Table9[[#This Row],[Shortname]], Comp[], 18, FALSE)</f>
        <v>0</v>
      </c>
      <c r="V730">
        <f>VLOOKUP(Table9[[#This Row],[Shortname]], Comp[], 19, FALSE)</f>
        <v>0</v>
      </c>
      <c r="W730">
        <f>VLOOKUP(Table9[[#This Row],[Shortname]], Comp[], 20, FALSE)</f>
        <v>0</v>
      </c>
      <c r="X730">
        <f>VLOOKUP(Table9[[#This Row],[Shortname]], Comp[], 21, FALSE)</f>
        <v>0</v>
      </c>
      <c r="Y730">
        <f>VLOOKUP(Table9[[#This Row],[Shortname]], Comp[], 22, FALSE)</f>
        <v>0</v>
      </c>
      <c r="Z730">
        <f>VLOOKUP(Table9[[#This Row],[Shortname]], Comp[], 23, FALSE)</f>
        <v>0</v>
      </c>
      <c r="AA730">
        <f>VLOOKUP(Table9[[#This Row],[Shortname]], Comp[], 24, FALSE)</f>
        <v>0</v>
      </c>
      <c r="AB730">
        <f>VLOOKUP(Table9[[#This Row],[Shortname]], Comp[], 25, FALSE)</f>
        <v>0</v>
      </c>
      <c r="AC730">
        <f>VLOOKUP(Table9[[#This Row],[Shortname]], Comp[], 26, FALSE)</f>
        <v>0</v>
      </c>
      <c r="AD730">
        <f>VLOOKUP(Table9[[#This Row],[Shortname]], Comp[], 27, FALSE)</f>
        <v>0</v>
      </c>
      <c r="AE730">
        <f>VLOOKUP(Table9[[#This Row],[Shortname]], Comp[], 28, FALSE)</f>
        <v>0</v>
      </c>
      <c r="AF730">
        <f>VLOOKUP(Table9[[#This Row],[Shortname]], Comp[], 29, FALSE)</f>
        <v>0</v>
      </c>
      <c r="AG730">
        <f>VLOOKUP(Table9[[#This Row],[Shortname]], Comp[], 30, FALSE)</f>
        <v>0</v>
      </c>
      <c r="AH730">
        <f>VLOOKUP(Table9[[#This Row],[Shortname]], Comp[], 31, FALSE)</f>
        <v>0</v>
      </c>
    </row>
    <row r="731" spans="1:34" x14ac:dyDescent="0.3">
      <c r="A731" t="s">
        <v>3236</v>
      </c>
      <c r="B731" t="s">
        <v>1567</v>
      </c>
      <c r="C731" t="s">
        <v>6877</v>
      </c>
      <c r="D731">
        <v>325</v>
      </c>
      <c r="E731">
        <v>1000</v>
      </c>
      <c r="F731">
        <v>1E-4</v>
      </c>
      <c r="G731">
        <v>-1</v>
      </c>
      <c r="H731" t="s">
        <v>6855</v>
      </c>
      <c r="I731">
        <f>VLOOKUP(Table9[[#This Row],[Shortname]], Comp[], 6, FALSE)</f>
        <v>455</v>
      </c>
      <c r="J731" s="14">
        <f>VLOOKUP(Table9[[#This Row],[Shortname]], Comp[], 7, FALSE)</f>
        <v>59.3</v>
      </c>
      <c r="K731">
        <f>VLOOKUP(Table9[[#This Row],[Shortname]], Comp[], 8, FALSE)</f>
        <v>17</v>
      </c>
      <c r="L731">
        <f>VLOOKUP(Table9[[#This Row],[Shortname]], Comp[], 9, FALSE)</f>
        <v>10</v>
      </c>
      <c r="M731">
        <f>VLOOKUP(Table9[[#This Row],[Shortname]], Comp[], 10, FALSE)</f>
        <v>6</v>
      </c>
      <c r="N731">
        <f>VLOOKUP(Table9[[#This Row],[Shortname]], Comp[], 11, FALSE)</f>
        <v>5</v>
      </c>
      <c r="O731">
        <f>VLOOKUP(Table9[[#This Row],[Shortname]], Comp[],12, FALSE)</f>
        <v>0</v>
      </c>
      <c r="P731">
        <f>VLOOKUP(Table9[[#This Row],[Shortname]], Comp[], 13, FALSE)</f>
        <v>2.7</v>
      </c>
      <c r="Q731">
        <f>VLOOKUP(Table9[[#This Row],[Shortname]], Comp[], 14, FALSE)</f>
        <v>0</v>
      </c>
      <c r="R731">
        <f>VLOOKUP(Table9[[#This Row],[Shortname]], Comp[], 15, FALSE)</f>
        <v>0</v>
      </c>
      <c r="S731">
        <f>VLOOKUP(Table9[[#This Row],[Shortname]], Comp[], 16, FALSE)</f>
        <v>0</v>
      </c>
      <c r="T731">
        <f>VLOOKUP(Table9[[#This Row],[Shortname]], Comp[], 17, FALSE)</f>
        <v>0</v>
      </c>
      <c r="U731">
        <f>VLOOKUP(Table9[[#This Row],[Shortname]], Comp[], 18, FALSE)</f>
        <v>0</v>
      </c>
      <c r="V731">
        <f>VLOOKUP(Table9[[#This Row],[Shortname]], Comp[], 19, FALSE)</f>
        <v>0</v>
      </c>
      <c r="W731">
        <f>VLOOKUP(Table9[[#This Row],[Shortname]], Comp[], 20, FALSE)</f>
        <v>0</v>
      </c>
      <c r="X731">
        <f>VLOOKUP(Table9[[#This Row],[Shortname]], Comp[], 21, FALSE)</f>
        <v>0</v>
      </c>
      <c r="Y731">
        <f>VLOOKUP(Table9[[#This Row],[Shortname]], Comp[], 22, FALSE)</f>
        <v>0</v>
      </c>
      <c r="Z731">
        <f>VLOOKUP(Table9[[#This Row],[Shortname]], Comp[], 23, FALSE)</f>
        <v>0</v>
      </c>
      <c r="AA731">
        <f>VLOOKUP(Table9[[#This Row],[Shortname]], Comp[], 24, FALSE)</f>
        <v>0</v>
      </c>
      <c r="AB731">
        <f>VLOOKUP(Table9[[#This Row],[Shortname]], Comp[], 25, FALSE)</f>
        <v>0</v>
      </c>
      <c r="AC731">
        <f>VLOOKUP(Table9[[#This Row],[Shortname]], Comp[], 26, FALSE)</f>
        <v>0</v>
      </c>
      <c r="AD731">
        <f>VLOOKUP(Table9[[#This Row],[Shortname]], Comp[], 27, FALSE)</f>
        <v>0</v>
      </c>
      <c r="AE731">
        <f>VLOOKUP(Table9[[#This Row],[Shortname]], Comp[], 28, FALSE)</f>
        <v>0</v>
      </c>
      <c r="AF731">
        <f>VLOOKUP(Table9[[#This Row],[Shortname]], Comp[], 29, FALSE)</f>
        <v>0</v>
      </c>
      <c r="AG731">
        <f>VLOOKUP(Table9[[#This Row],[Shortname]], Comp[], 30, FALSE)</f>
        <v>0</v>
      </c>
      <c r="AH731">
        <f>VLOOKUP(Table9[[#This Row],[Shortname]], Comp[], 31, FALSE)</f>
        <v>0</v>
      </c>
    </row>
    <row r="732" spans="1:34" x14ac:dyDescent="0.3">
      <c r="A732" t="s">
        <v>3509</v>
      </c>
      <c r="B732" t="s">
        <v>3511</v>
      </c>
      <c r="C732" t="s">
        <v>3505</v>
      </c>
      <c r="D732">
        <v>338</v>
      </c>
      <c r="E732">
        <v>800</v>
      </c>
      <c r="F732">
        <v>1E-4</v>
      </c>
      <c r="G732">
        <v>-1</v>
      </c>
      <c r="H732" t="s">
        <v>6855</v>
      </c>
      <c r="I732">
        <f>VLOOKUP(Table9[[#This Row],[Shortname]], Comp[], 6, FALSE)</f>
        <v>506</v>
      </c>
      <c r="J732" s="14">
        <f>VLOOKUP(Table9[[#This Row],[Shortname]], Comp[], 7, FALSE)</f>
        <v>80</v>
      </c>
      <c r="K732">
        <f>VLOOKUP(Table9[[#This Row],[Shortname]], Comp[], 8, FALSE)</f>
        <v>0</v>
      </c>
      <c r="L732">
        <f>VLOOKUP(Table9[[#This Row],[Shortname]], Comp[], 9, FALSE)</f>
        <v>0</v>
      </c>
      <c r="M732">
        <f>VLOOKUP(Table9[[#This Row],[Shortname]], Comp[], 10, FALSE)</f>
        <v>0</v>
      </c>
      <c r="N732">
        <f>VLOOKUP(Table9[[#This Row],[Shortname]], Comp[], 11, FALSE)</f>
        <v>0</v>
      </c>
      <c r="O732">
        <f>VLOOKUP(Table9[[#This Row],[Shortname]], Comp[],12, FALSE)</f>
        <v>20</v>
      </c>
      <c r="P732">
        <f>VLOOKUP(Table9[[#This Row],[Shortname]], Comp[], 13, FALSE)</f>
        <v>0</v>
      </c>
      <c r="Q732">
        <f>VLOOKUP(Table9[[#This Row],[Shortname]], Comp[], 14, FALSE)</f>
        <v>0</v>
      </c>
      <c r="R732">
        <f>VLOOKUP(Table9[[#This Row],[Shortname]], Comp[], 15, FALSE)</f>
        <v>0</v>
      </c>
      <c r="S732">
        <f>VLOOKUP(Table9[[#This Row],[Shortname]], Comp[], 16, FALSE)</f>
        <v>0</v>
      </c>
      <c r="T732">
        <f>VLOOKUP(Table9[[#This Row],[Shortname]], Comp[], 17, FALSE)</f>
        <v>0</v>
      </c>
      <c r="U732">
        <f>VLOOKUP(Table9[[#This Row],[Shortname]], Comp[], 18, FALSE)</f>
        <v>0</v>
      </c>
      <c r="V732">
        <f>VLOOKUP(Table9[[#This Row],[Shortname]], Comp[], 19, FALSE)</f>
        <v>0</v>
      </c>
      <c r="W732">
        <f>VLOOKUP(Table9[[#This Row],[Shortname]], Comp[], 20, FALSE)</f>
        <v>0</v>
      </c>
      <c r="X732">
        <f>VLOOKUP(Table9[[#This Row],[Shortname]], Comp[], 21, FALSE)</f>
        <v>0</v>
      </c>
      <c r="Y732">
        <f>VLOOKUP(Table9[[#This Row],[Shortname]], Comp[], 22, FALSE)</f>
        <v>0</v>
      </c>
      <c r="Z732">
        <f>VLOOKUP(Table9[[#This Row],[Shortname]], Comp[], 23, FALSE)</f>
        <v>0</v>
      </c>
      <c r="AA732">
        <f>VLOOKUP(Table9[[#This Row],[Shortname]], Comp[], 24, FALSE)</f>
        <v>0</v>
      </c>
      <c r="AB732">
        <f>VLOOKUP(Table9[[#This Row],[Shortname]], Comp[], 25, FALSE)</f>
        <v>0</v>
      </c>
      <c r="AC732">
        <f>VLOOKUP(Table9[[#This Row],[Shortname]], Comp[], 26, FALSE)</f>
        <v>0</v>
      </c>
      <c r="AD732">
        <f>VLOOKUP(Table9[[#This Row],[Shortname]], Comp[], 27, FALSE)</f>
        <v>0</v>
      </c>
      <c r="AE732">
        <f>VLOOKUP(Table9[[#This Row],[Shortname]], Comp[], 28, FALSE)</f>
        <v>0</v>
      </c>
      <c r="AF732">
        <f>VLOOKUP(Table9[[#This Row],[Shortname]], Comp[], 29, FALSE)</f>
        <v>0</v>
      </c>
      <c r="AG732">
        <f>VLOOKUP(Table9[[#This Row],[Shortname]], Comp[], 30, FALSE)</f>
        <v>0</v>
      </c>
      <c r="AH732">
        <f>VLOOKUP(Table9[[#This Row],[Shortname]], Comp[], 31, FALSE)</f>
        <v>0</v>
      </c>
    </row>
    <row r="733" spans="1:34" x14ac:dyDescent="0.3">
      <c r="A733" t="s">
        <v>3509</v>
      </c>
      <c r="B733" t="s">
        <v>3511</v>
      </c>
      <c r="C733" t="s">
        <v>3505</v>
      </c>
      <c r="D733">
        <v>326</v>
      </c>
      <c r="E733">
        <v>950</v>
      </c>
      <c r="F733">
        <v>1E-4</v>
      </c>
      <c r="G733">
        <v>-1</v>
      </c>
      <c r="H733" t="s">
        <v>6855</v>
      </c>
      <c r="I733">
        <f>VLOOKUP(Table9[[#This Row],[Shortname]], Comp[], 6, FALSE)</f>
        <v>506</v>
      </c>
      <c r="J733" s="14">
        <f>VLOOKUP(Table9[[#This Row],[Shortname]], Comp[], 7, FALSE)</f>
        <v>80</v>
      </c>
      <c r="K733">
        <f>VLOOKUP(Table9[[#This Row],[Shortname]], Comp[], 8, FALSE)</f>
        <v>0</v>
      </c>
      <c r="L733">
        <f>VLOOKUP(Table9[[#This Row],[Shortname]], Comp[], 9, FALSE)</f>
        <v>0</v>
      </c>
      <c r="M733">
        <f>VLOOKUP(Table9[[#This Row],[Shortname]], Comp[], 10, FALSE)</f>
        <v>0</v>
      </c>
      <c r="N733">
        <f>VLOOKUP(Table9[[#This Row],[Shortname]], Comp[], 11, FALSE)</f>
        <v>0</v>
      </c>
      <c r="O733">
        <f>VLOOKUP(Table9[[#This Row],[Shortname]], Comp[],12, FALSE)</f>
        <v>20</v>
      </c>
      <c r="P733">
        <f>VLOOKUP(Table9[[#This Row],[Shortname]], Comp[], 13, FALSE)</f>
        <v>0</v>
      </c>
      <c r="Q733">
        <f>VLOOKUP(Table9[[#This Row],[Shortname]], Comp[], 14, FALSE)</f>
        <v>0</v>
      </c>
      <c r="R733">
        <f>VLOOKUP(Table9[[#This Row],[Shortname]], Comp[], 15, FALSE)</f>
        <v>0</v>
      </c>
      <c r="S733">
        <f>VLOOKUP(Table9[[#This Row],[Shortname]], Comp[], 16, FALSE)</f>
        <v>0</v>
      </c>
      <c r="T733">
        <f>VLOOKUP(Table9[[#This Row],[Shortname]], Comp[], 17, FALSE)</f>
        <v>0</v>
      </c>
      <c r="U733">
        <f>VLOOKUP(Table9[[#This Row],[Shortname]], Comp[], 18, FALSE)</f>
        <v>0</v>
      </c>
      <c r="V733">
        <f>VLOOKUP(Table9[[#This Row],[Shortname]], Comp[], 19, FALSE)</f>
        <v>0</v>
      </c>
      <c r="W733">
        <f>VLOOKUP(Table9[[#This Row],[Shortname]], Comp[], 20, FALSE)</f>
        <v>0</v>
      </c>
      <c r="X733">
        <f>VLOOKUP(Table9[[#This Row],[Shortname]], Comp[], 21, FALSE)</f>
        <v>0</v>
      </c>
      <c r="Y733">
        <f>VLOOKUP(Table9[[#This Row],[Shortname]], Comp[], 22, FALSE)</f>
        <v>0</v>
      </c>
      <c r="Z733">
        <f>VLOOKUP(Table9[[#This Row],[Shortname]], Comp[], 23, FALSE)</f>
        <v>0</v>
      </c>
      <c r="AA733">
        <f>VLOOKUP(Table9[[#This Row],[Shortname]], Comp[], 24, FALSE)</f>
        <v>0</v>
      </c>
      <c r="AB733">
        <f>VLOOKUP(Table9[[#This Row],[Shortname]], Comp[], 25, FALSE)</f>
        <v>0</v>
      </c>
      <c r="AC733">
        <f>VLOOKUP(Table9[[#This Row],[Shortname]], Comp[], 26, FALSE)</f>
        <v>0</v>
      </c>
      <c r="AD733">
        <f>VLOOKUP(Table9[[#This Row],[Shortname]], Comp[], 27, FALSE)</f>
        <v>0</v>
      </c>
      <c r="AE733">
        <f>VLOOKUP(Table9[[#This Row],[Shortname]], Comp[], 28, FALSE)</f>
        <v>0</v>
      </c>
      <c r="AF733">
        <f>VLOOKUP(Table9[[#This Row],[Shortname]], Comp[], 29, FALSE)</f>
        <v>0</v>
      </c>
      <c r="AG733">
        <f>VLOOKUP(Table9[[#This Row],[Shortname]], Comp[], 30, FALSE)</f>
        <v>0</v>
      </c>
      <c r="AH733">
        <f>VLOOKUP(Table9[[#This Row],[Shortname]], Comp[], 31, FALSE)</f>
        <v>0</v>
      </c>
    </row>
    <row r="734" spans="1:34" x14ac:dyDescent="0.3">
      <c r="A734" t="s">
        <v>3509</v>
      </c>
      <c r="B734" t="s">
        <v>3511</v>
      </c>
      <c r="C734" t="s">
        <v>3505</v>
      </c>
      <c r="D734">
        <v>246</v>
      </c>
      <c r="E734">
        <v>600</v>
      </c>
      <c r="F734">
        <v>1E-4</v>
      </c>
      <c r="G734">
        <v>-1</v>
      </c>
      <c r="H734" t="s">
        <v>6855</v>
      </c>
      <c r="I734">
        <f>VLOOKUP(Table9[[#This Row],[Shortname]], Comp[], 6, FALSE)</f>
        <v>506</v>
      </c>
      <c r="J734" s="14">
        <f>VLOOKUP(Table9[[#This Row],[Shortname]], Comp[], 7, FALSE)</f>
        <v>80</v>
      </c>
      <c r="K734">
        <f>VLOOKUP(Table9[[#This Row],[Shortname]], Comp[], 8, FALSE)</f>
        <v>0</v>
      </c>
      <c r="L734">
        <f>VLOOKUP(Table9[[#This Row],[Shortname]], Comp[], 9, FALSE)</f>
        <v>0</v>
      </c>
      <c r="M734">
        <f>VLOOKUP(Table9[[#This Row],[Shortname]], Comp[], 10, FALSE)</f>
        <v>0</v>
      </c>
      <c r="N734">
        <f>VLOOKUP(Table9[[#This Row],[Shortname]], Comp[], 11, FALSE)</f>
        <v>0</v>
      </c>
      <c r="O734">
        <f>VLOOKUP(Table9[[#This Row],[Shortname]], Comp[],12, FALSE)</f>
        <v>20</v>
      </c>
      <c r="P734">
        <f>VLOOKUP(Table9[[#This Row],[Shortname]], Comp[], 13, FALSE)</f>
        <v>0</v>
      </c>
      <c r="Q734">
        <f>VLOOKUP(Table9[[#This Row],[Shortname]], Comp[], 14, FALSE)</f>
        <v>0</v>
      </c>
      <c r="R734">
        <f>VLOOKUP(Table9[[#This Row],[Shortname]], Comp[], 15, FALSE)</f>
        <v>0</v>
      </c>
      <c r="S734">
        <f>VLOOKUP(Table9[[#This Row],[Shortname]], Comp[], 16, FALSE)</f>
        <v>0</v>
      </c>
      <c r="T734">
        <f>VLOOKUP(Table9[[#This Row],[Shortname]], Comp[], 17, FALSE)</f>
        <v>0</v>
      </c>
      <c r="U734">
        <f>VLOOKUP(Table9[[#This Row],[Shortname]], Comp[], 18, FALSE)</f>
        <v>0</v>
      </c>
      <c r="V734">
        <f>VLOOKUP(Table9[[#This Row],[Shortname]], Comp[], 19, FALSE)</f>
        <v>0</v>
      </c>
      <c r="W734">
        <f>VLOOKUP(Table9[[#This Row],[Shortname]], Comp[], 20, FALSE)</f>
        <v>0</v>
      </c>
      <c r="X734">
        <f>VLOOKUP(Table9[[#This Row],[Shortname]], Comp[], 21, FALSE)</f>
        <v>0</v>
      </c>
      <c r="Y734">
        <f>VLOOKUP(Table9[[#This Row],[Shortname]], Comp[], 22, FALSE)</f>
        <v>0</v>
      </c>
      <c r="Z734">
        <f>VLOOKUP(Table9[[#This Row],[Shortname]], Comp[], 23, FALSE)</f>
        <v>0</v>
      </c>
      <c r="AA734">
        <f>VLOOKUP(Table9[[#This Row],[Shortname]], Comp[], 24, FALSE)</f>
        <v>0</v>
      </c>
      <c r="AB734">
        <f>VLOOKUP(Table9[[#This Row],[Shortname]], Comp[], 25, FALSE)</f>
        <v>0</v>
      </c>
      <c r="AC734">
        <f>VLOOKUP(Table9[[#This Row],[Shortname]], Comp[], 26, FALSE)</f>
        <v>0</v>
      </c>
      <c r="AD734">
        <f>VLOOKUP(Table9[[#This Row],[Shortname]], Comp[], 27, FALSE)</f>
        <v>0</v>
      </c>
      <c r="AE734">
        <f>VLOOKUP(Table9[[#This Row],[Shortname]], Comp[], 28, FALSE)</f>
        <v>0</v>
      </c>
      <c r="AF734">
        <f>VLOOKUP(Table9[[#This Row],[Shortname]], Comp[], 29, FALSE)</f>
        <v>0</v>
      </c>
      <c r="AG734">
        <f>VLOOKUP(Table9[[#This Row],[Shortname]], Comp[], 30, FALSE)</f>
        <v>0</v>
      </c>
      <c r="AH734">
        <f>VLOOKUP(Table9[[#This Row],[Shortname]], Comp[], 31, FALSE)</f>
        <v>0</v>
      </c>
    </row>
    <row r="735" spans="1:34" x14ac:dyDescent="0.3">
      <c r="A735" t="s">
        <v>3509</v>
      </c>
      <c r="B735" t="s">
        <v>3511</v>
      </c>
      <c r="C735" t="s">
        <v>3505</v>
      </c>
      <c r="D735">
        <v>227</v>
      </c>
      <c r="E735">
        <v>25</v>
      </c>
      <c r="F735">
        <v>1E-4</v>
      </c>
      <c r="G735">
        <v>-1</v>
      </c>
      <c r="H735" t="s">
        <v>6855</v>
      </c>
      <c r="I735">
        <f>VLOOKUP(Table9[[#This Row],[Shortname]], Comp[], 6, FALSE)</f>
        <v>506</v>
      </c>
      <c r="J735" s="14">
        <f>VLOOKUP(Table9[[#This Row],[Shortname]], Comp[], 7, FALSE)</f>
        <v>80</v>
      </c>
      <c r="K735">
        <f>VLOOKUP(Table9[[#This Row],[Shortname]], Comp[], 8, FALSE)</f>
        <v>0</v>
      </c>
      <c r="L735">
        <f>VLOOKUP(Table9[[#This Row],[Shortname]], Comp[], 9, FALSE)</f>
        <v>0</v>
      </c>
      <c r="M735">
        <f>VLOOKUP(Table9[[#This Row],[Shortname]], Comp[], 10, FALSE)</f>
        <v>0</v>
      </c>
      <c r="N735">
        <f>VLOOKUP(Table9[[#This Row],[Shortname]], Comp[], 11, FALSE)</f>
        <v>0</v>
      </c>
      <c r="O735">
        <f>VLOOKUP(Table9[[#This Row],[Shortname]], Comp[],12, FALSE)</f>
        <v>20</v>
      </c>
      <c r="P735">
        <f>VLOOKUP(Table9[[#This Row],[Shortname]], Comp[], 13, FALSE)</f>
        <v>0</v>
      </c>
      <c r="Q735">
        <f>VLOOKUP(Table9[[#This Row],[Shortname]], Comp[], 14, FALSE)</f>
        <v>0</v>
      </c>
      <c r="R735">
        <f>VLOOKUP(Table9[[#This Row],[Shortname]], Comp[], 15, FALSE)</f>
        <v>0</v>
      </c>
      <c r="S735">
        <f>VLOOKUP(Table9[[#This Row],[Shortname]], Comp[], 16, FALSE)</f>
        <v>0</v>
      </c>
      <c r="T735">
        <f>VLOOKUP(Table9[[#This Row],[Shortname]], Comp[], 17, FALSE)</f>
        <v>0</v>
      </c>
      <c r="U735">
        <f>VLOOKUP(Table9[[#This Row],[Shortname]], Comp[], 18, FALSE)</f>
        <v>0</v>
      </c>
      <c r="V735">
        <f>VLOOKUP(Table9[[#This Row],[Shortname]], Comp[], 19, FALSE)</f>
        <v>0</v>
      </c>
      <c r="W735">
        <f>VLOOKUP(Table9[[#This Row],[Shortname]], Comp[], 20, FALSE)</f>
        <v>0</v>
      </c>
      <c r="X735">
        <f>VLOOKUP(Table9[[#This Row],[Shortname]], Comp[], 21, FALSE)</f>
        <v>0</v>
      </c>
      <c r="Y735">
        <f>VLOOKUP(Table9[[#This Row],[Shortname]], Comp[], 22, FALSE)</f>
        <v>0</v>
      </c>
      <c r="Z735">
        <f>VLOOKUP(Table9[[#This Row],[Shortname]], Comp[], 23, FALSE)</f>
        <v>0</v>
      </c>
      <c r="AA735">
        <f>VLOOKUP(Table9[[#This Row],[Shortname]], Comp[], 24, FALSE)</f>
        <v>0</v>
      </c>
      <c r="AB735">
        <f>VLOOKUP(Table9[[#This Row],[Shortname]], Comp[], 25, FALSE)</f>
        <v>0</v>
      </c>
      <c r="AC735">
        <f>VLOOKUP(Table9[[#This Row],[Shortname]], Comp[], 26, FALSE)</f>
        <v>0</v>
      </c>
      <c r="AD735">
        <f>VLOOKUP(Table9[[#This Row],[Shortname]], Comp[], 27, FALSE)</f>
        <v>0</v>
      </c>
      <c r="AE735">
        <f>VLOOKUP(Table9[[#This Row],[Shortname]], Comp[], 28, FALSE)</f>
        <v>0</v>
      </c>
      <c r="AF735">
        <f>VLOOKUP(Table9[[#This Row],[Shortname]], Comp[], 29, FALSE)</f>
        <v>0</v>
      </c>
      <c r="AG735">
        <f>VLOOKUP(Table9[[#This Row],[Shortname]], Comp[], 30, FALSE)</f>
        <v>0</v>
      </c>
      <c r="AH735">
        <f>VLOOKUP(Table9[[#This Row],[Shortname]], Comp[], 31, FALSE)</f>
        <v>0</v>
      </c>
    </row>
    <row r="736" spans="1:34" x14ac:dyDescent="0.3">
      <c r="A736" t="s">
        <v>3509</v>
      </c>
      <c r="B736" t="s">
        <v>3511</v>
      </c>
      <c r="C736" t="s">
        <v>3505</v>
      </c>
      <c r="D736">
        <v>208</v>
      </c>
      <c r="E736">
        <v>400</v>
      </c>
      <c r="F736">
        <v>1E-4</v>
      </c>
      <c r="G736">
        <v>-1</v>
      </c>
      <c r="H736" t="s">
        <v>6855</v>
      </c>
      <c r="I736">
        <f>VLOOKUP(Table9[[#This Row],[Shortname]], Comp[], 6, FALSE)</f>
        <v>506</v>
      </c>
      <c r="J736" s="14">
        <f>VLOOKUP(Table9[[#This Row],[Shortname]], Comp[], 7, FALSE)</f>
        <v>80</v>
      </c>
      <c r="K736">
        <f>VLOOKUP(Table9[[#This Row],[Shortname]], Comp[], 8, FALSE)</f>
        <v>0</v>
      </c>
      <c r="L736">
        <f>VLOOKUP(Table9[[#This Row],[Shortname]], Comp[], 9, FALSE)</f>
        <v>0</v>
      </c>
      <c r="M736">
        <f>VLOOKUP(Table9[[#This Row],[Shortname]], Comp[], 10, FALSE)</f>
        <v>0</v>
      </c>
      <c r="N736">
        <f>VLOOKUP(Table9[[#This Row],[Shortname]], Comp[], 11, FALSE)</f>
        <v>0</v>
      </c>
      <c r="O736">
        <f>VLOOKUP(Table9[[#This Row],[Shortname]], Comp[],12, FALSE)</f>
        <v>20</v>
      </c>
      <c r="P736">
        <f>VLOOKUP(Table9[[#This Row],[Shortname]], Comp[], 13, FALSE)</f>
        <v>0</v>
      </c>
      <c r="Q736">
        <f>VLOOKUP(Table9[[#This Row],[Shortname]], Comp[], 14, FALSE)</f>
        <v>0</v>
      </c>
      <c r="R736">
        <f>VLOOKUP(Table9[[#This Row],[Shortname]], Comp[], 15, FALSE)</f>
        <v>0</v>
      </c>
      <c r="S736">
        <f>VLOOKUP(Table9[[#This Row],[Shortname]], Comp[], 16, FALSE)</f>
        <v>0</v>
      </c>
      <c r="T736">
        <f>VLOOKUP(Table9[[#This Row],[Shortname]], Comp[], 17, FALSE)</f>
        <v>0</v>
      </c>
      <c r="U736">
        <f>VLOOKUP(Table9[[#This Row],[Shortname]], Comp[], 18, FALSE)</f>
        <v>0</v>
      </c>
      <c r="V736">
        <f>VLOOKUP(Table9[[#This Row],[Shortname]], Comp[], 19, FALSE)</f>
        <v>0</v>
      </c>
      <c r="W736">
        <f>VLOOKUP(Table9[[#This Row],[Shortname]], Comp[], 20, FALSE)</f>
        <v>0</v>
      </c>
      <c r="X736">
        <f>VLOOKUP(Table9[[#This Row],[Shortname]], Comp[], 21, FALSE)</f>
        <v>0</v>
      </c>
      <c r="Y736">
        <f>VLOOKUP(Table9[[#This Row],[Shortname]], Comp[], 22, FALSE)</f>
        <v>0</v>
      </c>
      <c r="Z736">
        <f>VLOOKUP(Table9[[#This Row],[Shortname]], Comp[], 23, FALSE)</f>
        <v>0</v>
      </c>
      <c r="AA736">
        <f>VLOOKUP(Table9[[#This Row],[Shortname]], Comp[], 24, FALSE)</f>
        <v>0</v>
      </c>
      <c r="AB736">
        <f>VLOOKUP(Table9[[#This Row],[Shortname]], Comp[], 25, FALSE)</f>
        <v>0</v>
      </c>
      <c r="AC736">
        <f>VLOOKUP(Table9[[#This Row],[Shortname]], Comp[], 26, FALSE)</f>
        <v>0</v>
      </c>
      <c r="AD736">
        <f>VLOOKUP(Table9[[#This Row],[Shortname]], Comp[], 27, FALSE)</f>
        <v>0</v>
      </c>
      <c r="AE736">
        <f>VLOOKUP(Table9[[#This Row],[Shortname]], Comp[], 28, FALSE)</f>
        <v>0</v>
      </c>
      <c r="AF736">
        <f>VLOOKUP(Table9[[#This Row],[Shortname]], Comp[], 29, FALSE)</f>
        <v>0</v>
      </c>
      <c r="AG736">
        <f>VLOOKUP(Table9[[#This Row],[Shortname]], Comp[], 30, FALSE)</f>
        <v>0</v>
      </c>
      <c r="AH736">
        <f>VLOOKUP(Table9[[#This Row],[Shortname]], Comp[], 31, FALSE)</f>
        <v>0</v>
      </c>
    </row>
    <row r="737" spans="1:34" x14ac:dyDescent="0.3">
      <c r="A737" t="s">
        <v>3509</v>
      </c>
      <c r="B737" t="s">
        <v>3511</v>
      </c>
      <c r="C737" t="s">
        <v>3505</v>
      </c>
      <c r="D737">
        <v>201</v>
      </c>
      <c r="E737">
        <v>1050</v>
      </c>
      <c r="F737">
        <v>1E-4</v>
      </c>
      <c r="G737">
        <v>-1</v>
      </c>
      <c r="H737" t="s">
        <v>6855</v>
      </c>
      <c r="I737">
        <f>VLOOKUP(Table9[[#This Row],[Shortname]], Comp[], 6, FALSE)</f>
        <v>506</v>
      </c>
      <c r="J737" s="14">
        <f>VLOOKUP(Table9[[#This Row],[Shortname]], Comp[], 7, FALSE)</f>
        <v>80</v>
      </c>
      <c r="K737">
        <f>VLOOKUP(Table9[[#This Row],[Shortname]], Comp[], 8, FALSE)</f>
        <v>0</v>
      </c>
      <c r="L737">
        <f>VLOOKUP(Table9[[#This Row],[Shortname]], Comp[], 9, FALSE)</f>
        <v>0</v>
      </c>
      <c r="M737">
        <f>VLOOKUP(Table9[[#This Row],[Shortname]], Comp[], 10, FALSE)</f>
        <v>0</v>
      </c>
      <c r="N737">
        <f>VLOOKUP(Table9[[#This Row],[Shortname]], Comp[], 11, FALSE)</f>
        <v>0</v>
      </c>
      <c r="O737">
        <f>VLOOKUP(Table9[[#This Row],[Shortname]], Comp[],12, FALSE)</f>
        <v>20</v>
      </c>
      <c r="P737">
        <f>VLOOKUP(Table9[[#This Row],[Shortname]], Comp[], 13, FALSE)</f>
        <v>0</v>
      </c>
      <c r="Q737">
        <f>VLOOKUP(Table9[[#This Row],[Shortname]], Comp[], 14, FALSE)</f>
        <v>0</v>
      </c>
      <c r="R737">
        <f>VLOOKUP(Table9[[#This Row],[Shortname]], Comp[], 15, FALSE)</f>
        <v>0</v>
      </c>
      <c r="S737">
        <f>VLOOKUP(Table9[[#This Row],[Shortname]], Comp[], 16, FALSE)</f>
        <v>0</v>
      </c>
      <c r="T737">
        <f>VLOOKUP(Table9[[#This Row],[Shortname]], Comp[], 17, FALSE)</f>
        <v>0</v>
      </c>
      <c r="U737">
        <f>VLOOKUP(Table9[[#This Row],[Shortname]], Comp[], 18, FALSE)</f>
        <v>0</v>
      </c>
      <c r="V737">
        <f>VLOOKUP(Table9[[#This Row],[Shortname]], Comp[], 19, FALSE)</f>
        <v>0</v>
      </c>
      <c r="W737">
        <f>VLOOKUP(Table9[[#This Row],[Shortname]], Comp[], 20, FALSE)</f>
        <v>0</v>
      </c>
      <c r="X737">
        <f>VLOOKUP(Table9[[#This Row],[Shortname]], Comp[], 21, FALSE)</f>
        <v>0</v>
      </c>
      <c r="Y737">
        <f>VLOOKUP(Table9[[#This Row],[Shortname]], Comp[], 22, FALSE)</f>
        <v>0</v>
      </c>
      <c r="Z737">
        <f>VLOOKUP(Table9[[#This Row],[Shortname]], Comp[], 23, FALSE)</f>
        <v>0</v>
      </c>
      <c r="AA737">
        <f>VLOOKUP(Table9[[#This Row],[Shortname]], Comp[], 24, FALSE)</f>
        <v>0</v>
      </c>
      <c r="AB737">
        <f>VLOOKUP(Table9[[#This Row],[Shortname]], Comp[], 25, FALSE)</f>
        <v>0</v>
      </c>
      <c r="AC737">
        <f>VLOOKUP(Table9[[#This Row],[Shortname]], Comp[], 26, FALSE)</f>
        <v>0</v>
      </c>
      <c r="AD737">
        <f>VLOOKUP(Table9[[#This Row],[Shortname]], Comp[], 27, FALSE)</f>
        <v>0</v>
      </c>
      <c r="AE737">
        <f>VLOOKUP(Table9[[#This Row],[Shortname]], Comp[], 28, FALSE)</f>
        <v>0</v>
      </c>
      <c r="AF737">
        <f>VLOOKUP(Table9[[#This Row],[Shortname]], Comp[], 29, FALSE)</f>
        <v>0</v>
      </c>
      <c r="AG737">
        <f>VLOOKUP(Table9[[#This Row],[Shortname]], Comp[], 30, FALSE)</f>
        <v>0</v>
      </c>
      <c r="AH737">
        <f>VLOOKUP(Table9[[#This Row],[Shortname]], Comp[], 31, FALSE)</f>
        <v>0</v>
      </c>
    </row>
    <row r="738" spans="1:34" x14ac:dyDescent="0.3">
      <c r="A738" t="s">
        <v>3502</v>
      </c>
      <c r="B738" t="s">
        <v>3504</v>
      </c>
      <c r="C738" t="s">
        <v>3505</v>
      </c>
      <c r="D738">
        <v>263</v>
      </c>
      <c r="E738">
        <v>600</v>
      </c>
      <c r="F738">
        <v>1E-4</v>
      </c>
      <c r="G738">
        <v>-1</v>
      </c>
      <c r="H738" t="s">
        <v>6855</v>
      </c>
      <c r="I738">
        <f>VLOOKUP(Table9[[#This Row],[Shortname]], Comp[], 6, FALSE)</f>
        <v>505</v>
      </c>
      <c r="J738" s="14">
        <f>VLOOKUP(Table9[[#This Row],[Shortname]], Comp[], 7, FALSE)</f>
        <v>79</v>
      </c>
      <c r="K738">
        <f>VLOOKUP(Table9[[#This Row],[Shortname]], Comp[], 8, FALSE)</f>
        <v>0</v>
      </c>
      <c r="L738">
        <f>VLOOKUP(Table9[[#This Row],[Shortname]], Comp[], 9, FALSE)</f>
        <v>0</v>
      </c>
      <c r="M738">
        <f>VLOOKUP(Table9[[#This Row],[Shortname]], Comp[], 10, FALSE)</f>
        <v>0</v>
      </c>
      <c r="N738">
        <f>VLOOKUP(Table9[[#This Row],[Shortname]], Comp[], 11, FALSE)</f>
        <v>0</v>
      </c>
      <c r="O738">
        <f>VLOOKUP(Table9[[#This Row],[Shortname]], Comp[],12, FALSE)</f>
        <v>21</v>
      </c>
      <c r="P738">
        <f>VLOOKUP(Table9[[#This Row],[Shortname]], Comp[], 13, FALSE)</f>
        <v>0</v>
      </c>
      <c r="Q738">
        <f>VLOOKUP(Table9[[#This Row],[Shortname]], Comp[], 14, FALSE)</f>
        <v>0</v>
      </c>
      <c r="R738">
        <f>VLOOKUP(Table9[[#This Row],[Shortname]], Comp[], 15, FALSE)</f>
        <v>0</v>
      </c>
      <c r="S738">
        <f>VLOOKUP(Table9[[#This Row],[Shortname]], Comp[], 16, FALSE)</f>
        <v>0</v>
      </c>
      <c r="T738">
        <f>VLOOKUP(Table9[[#This Row],[Shortname]], Comp[], 17, FALSE)</f>
        <v>0</v>
      </c>
      <c r="U738">
        <f>VLOOKUP(Table9[[#This Row],[Shortname]], Comp[], 18, FALSE)</f>
        <v>0</v>
      </c>
      <c r="V738">
        <f>VLOOKUP(Table9[[#This Row],[Shortname]], Comp[], 19, FALSE)</f>
        <v>0</v>
      </c>
      <c r="W738">
        <f>VLOOKUP(Table9[[#This Row],[Shortname]], Comp[], 20, FALSE)</f>
        <v>0</v>
      </c>
      <c r="X738">
        <f>VLOOKUP(Table9[[#This Row],[Shortname]], Comp[], 21, FALSE)</f>
        <v>0</v>
      </c>
      <c r="Y738">
        <f>VLOOKUP(Table9[[#This Row],[Shortname]], Comp[], 22, FALSE)</f>
        <v>0</v>
      </c>
      <c r="Z738">
        <f>VLOOKUP(Table9[[#This Row],[Shortname]], Comp[], 23, FALSE)</f>
        <v>0</v>
      </c>
      <c r="AA738">
        <f>VLOOKUP(Table9[[#This Row],[Shortname]], Comp[], 24, FALSE)</f>
        <v>0</v>
      </c>
      <c r="AB738">
        <f>VLOOKUP(Table9[[#This Row],[Shortname]], Comp[], 25, FALSE)</f>
        <v>0</v>
      </c>
      <c r="AC738">
        <f>VLOOKUP(Table9[[#This Row],[Shortname]], Comp[], 26, FALSE)</f>
        <v>0</v>
      </c>
      <c r="AD738">
        <f>VLOOKUP(Table9[[#This Row],[Shortname]], Comp[], 27, FALSE)</f>
        <v>0</v>
      </c>
      <c r="AE738">
        <f>VLOOKUP(Table9[[#This Row],[Shortname]], Comp[], 28, FALSE)</f>
        <v>0</v>
      </c>
      <c r="AF738">
        <f>VLOOKUP(Table9[[#This Row],[Shortname]], Comp[], 29, FALSE)</f>
        <v>0</v>
      </c>
      <c r="AG738">
        <f>VLOOKUP(Table9[[#This Row],[Shortname]], Comp[], 30, FALSE)</f>
        <v>0</v>
      </c>
      <c r="AH738">
        <f>VLOOKUP(Table9[[#This Row],[Shortname]], Comp[], 31, FALSE)</f>
        <v>0</v>
      </c>
    </row>
    <row r="739" spans="1:34" x14ac:dyDescent="0.3">
      <c r="A739" t="s">
        <v>3502</v>
      </c>
      <c r="B739" t="s">
        <v>3504</v>
      </c>
      <c r="C739" t="s">
        <v>3505</v>
      </c>
      <c r="D739">
        <v>185</v>
      </c>
      <c r="E739">
        <v>25</v>
      </c>
      <c r="F739">
        <v>1E-4</v>
      </c>
      <c r="G739">
        <v>-1</v>
      </c>
      <c r="H739" t="s">
        <v>6855</v>
      </c>
      <c r="I739">
        <f>VLOOKUP(Table9[[#This Row],[Shortname]], Comp[], 6, FALSE)</f>
        <v>505</v>
      </c>
      <c r="J739" s="14">
        <f>VLOOKUP(Table9[[#This Row],[Shortname]], Comp[], 7, FALSE)</f>
        <v>79</v>
      </c>
      <c r="K739">
        <f>VLOOKUP(Table9[[#This Row],[Shortname]], Comp[], 8, FALSE)</f>
        <v>0</v>
      </c>
      <c r="L739">
        <f>VLOOKUP(Table9[[#This Row],[Shortname]], Comp[], 9, FALSE)</f>
        <v>0</v>
      </c>
      <c r="M739">
        <f>VLOOKUP(Table9[[#This Row],[Shortname]], Comp[], 10, FALSE)</f>
        <v>0</v>
      </c>
      <c r="N739">
        <f>VLOOKUP(Table9[[#This Row],[Shortname]], Comp[], 11, FALSE)</f>
        <v>0</v>
      </c>
      <c r="O739">
        <f>VLOOKUP(Table9[[#This Row],[Shortname]], Comp[],12, FALSE)</f>
        <v>21</v>
      </c>
      <c r="P739">
        <f>VLOOKUP(Table9[[#This Row],[Shortname]], Comp[], 13, FALSE)</f>
        <v>0</v>
      </c>
      <c r="Q739">
        <f>VLOOKUP(Table9[[#This Row],[Shortname]], Comp[], 14, FALSE)</f>
        <v>0</v>
      </c>
      <c r="R739">
        <f>VLOOKUP(Table9[[#This Row],[Shortname]], Comp[], 15, FALSE)</f>
        <v>0</v>
      </c>
      <c r="S739">
        <f>VLOOKUP(Table9[[#This Row],[Shortname]], Comp[], 16, FALSE)</f>
        <v>0</v>
      </c>
      <c r="T739">
        <f>VLOOKUP(Table9[[#This Row],[Shortname]], Comp[], 17, FALSE)</f>
        <v>0</v>
      </c>
      <c r="U739">
        <f>VLOOKUP(Table9[[#This Row],[Shortname]], Comp[], 18, FALSE)</f>
        <v>0</v>
      </c>
      <c r="V739">
        <f>VLOOKUP(Table9[[#This Row],[Shortname]], Comp[], 19, FALSE)</f>
        <v>0</v>
      </c>
      <c r="W739">
        <f>VLOOKUP(Table9[[#This Row],[Shortname]], Comp[], 20, FALSE)</f>
        <v>0</v>
      </c>
      <c r="X739">
        <f>VLOOKUP(Table9[[#This Row],[Shortname]], Comp[], 21, FALSE)</f>
        <v>0</v>
      </c>
      <c r="Y739">
        <f>VLOOKUP(Table9[[#This Row],[Shortname]], Comp[], 22, FALSE)</f>
        <v>0</v>
      </c>
      <c r="Z739">
        <f>VLOOKUP(Table9[[#This Row],[Shortname]], Comp[], 23, FALSE)</f>
        <v>0</v>
      </c>
      <c r="AA739">
        <f>VLOOKUP(Table9[[#This Row],[Shortname]], Comp[], 24, FALSE)</f>
        <v>0</v>
      </c>
      <c r="AB739">
        <f>VLOOKUP(Table9[[#This Row],[Shortname]], Comp[], 25, FALSE)</f>
        <v>0</v>
      </c>
      <c r="AC739">
        <f>VLOOKUP(Table9[[#This Row],[Shortname]], Comp[], 26, FALSE)</f>
        <v>0</v>
      </c>
      <c r="AD739">
        <f>VLOOKUP(Table9[[#This Row],[Shortname]], Comp[], 27, FALSE)</f>
        <v>0</v>
      </c>
      <c r="AE739">
        <f>VLOOKUP(Table9[[#This Row],[Shortname]], Comp[], 28, FALSE)</f>
        <v>0</v>
      </c>
      <c r="AF739">
        <f>VLOOKUP(Table9[[#This Row],[Shortname]], Comp[], 29, FALSE)</f>
        <v>0</v>
      </c>
      <c r="AG739">
        <f>VLOOKUP(Table9[[#This Row],[Shortname]], Comp[], 30, FALSE)</f>
        <v>0</v>
      </c>
      <c r="AH739">
        <f>VLOOKUP(Table9[[#This Row],[Shortname]], Comp[], 31, FALSE)</f>
        <v>0</v>
      </c>
    </row>
    <row r="740" spans="1:34" x14ac:dyDescent="0.3">
      <c r="A740" t="s">
        <v>2232</v>
      </c>
      <c r="B740" t="s">
        <v>5260</v>
      </c>
      <c r="C740" t="s">
        <v>3505</v>
      </c>
      <c r="D740">
        <v>376</v>
      </c>
      <c r="E740">
        <v>800</v>
      </c>
      <c r="F740">
        <v>1E-4</v>
      </c>
      <c r="G740">
        <v>-1</v>
      </c>
      <c r="H740" t="s">
        <v>6855</v>
      </c>
      <c r="I740">
        <f>VLOOKUP(Table9[[#This Row],[Shortname]], Comp[], 6, FALSE)</f>
        <v>294</v>
      </c>
      <c r="J740" s="14">
        <f>VLOOKUP(Table9[[#This Row],[Shortname]], Comp[], 7, FALSE)</f>
        <v>77</v>
      </c>
      <c r="K740">
        <f>VLOOKUP(Table9[[#This Row],[Shortname]], Comp[], 8, FALSE)</f>
        <v>0</v>
      </c>
      <c r="L740">
        <f>VLOOKUP(Table9[[#This Row],[Shortname]], Comp[], 9, FALSE)</f>
        <v>0</v>
      </c>
      <c r="M740">
        <f>VLOOKUP(Table9[[#This Row],[Shortname]], Comp[], 10, FALSE)</f>
        <v>0</v>
      </c>
      <c r="N740">
        <f>VLOOKUP(Table9[[#This Row],[Shortname]], Comp[], 11, FALSE)</f>
        <v>0</v>
      </c>
      <c r="O740">
        <f>VLOOKUP(Table9[[#This Row],[Shortname]], Comp[],12, FALSE)</f>
        <v>23</v>
      </c>
      <c r="P740">
        <f>VLOOKUP(Table9[[#This Row],[Shortname]], Comp[], 13, FALSE)</f>
        <v>0</v>
      </c>
      <c r="Q740">
        <f>VLOOKUP(Table9[[#This Row],[Shortname]], Comp[], 14, FALSE)</f>
        <v>0</v>
      </c>
      <c r="R740">
        <f>VLOOKUP(Table9[[#This Row],[Shortname]], Comp[], 15, FALSE)</f>
        <v>0</v>
      </c>
      <c r="S740">
        <f>VLOOKUP(Table9[[#This Row],[Shortname]], Comp[], 16, FALSE)</f>
        <v>0</v>
      </c>
      <c r="T740">
        <f>VLOOKUP(Table9[[#This Row],[Shortname]], Comp[], 17, FALSE)</f>
        <v>0</v>
      </c>
      <c r="U740">
        <f>VLOOKUP(Table9[[#This Row],[Shortname]], Comp[], 18, FALSE)</f>
        <v>0</v>
      </c>
      <c r="V740">
        <f>VLOOKUP(Table9[[#This Row],[Shortname]], Comp[], 19, FALSE)</f>
        <v>0</v>
      </c>
      <c r="W740">
        <f>VLOOKUP(Table9[[#This Row],[Shortname]], Comp[], 20, FALSE)</f>
        <v>0</v>
      </c>
      <c r="X740">
        <f>VLOOKUP(Table9[[#This Row],[Shortname]], Comp[], 21, FALSE)</f>
        <v>0</v>
      </c>
      <c r="Y740">
        <f>VLOOKUP(Table9[[#This Row],[Shortname]], Comp[], 22, FALSE)</f>
        <v>0</v>
      </c>
      <c r="Z740">
        <f>VLOOKUP(Table9[[#This Row],[Shortname]], Comp[], 23, FALSE)</f>
        <v>0</v>
      </c>
      <c r="AA740">
        <f>VLOOKUP(Table9[[#This Row],[Shortname]], Comp[], 24, FALSE)</f>
        <v>0</v>
      </c>
      <c r="AB740">
        <f>VLOOKUP(Table9[[#This Row],[Shortname]], Comp[], 25, FALSE)</f>
        <v>0</v>
      </c>
      <c r="AC740">
        <f>VLOOKUP(Table9[[#This Row],[Shortname]], Comp[], 26, FALSE)</f>
        <v>0</v>
      </c>
      <c r="AD740">
        <f>VLOOKUP(Table9[[#This Row],[Shortname]], Comp[], 27, FALSE)</f>
        <v>0</v>
      </c>
      <c r="AE740">
        <f>VLOOKUP(Table9[[#This Row],[Shortname]], Comp[], 28, FALSE)</f>
        <v>0</v>
      </c>
      <c r="AF740">
        <f>VLOOKUP(Table9[[#This Row],[Shortname]], Comp[], 29, FALSE)</f>
        <v>0</v>
      </c>
      <c r="AG740">
        <f>VLOOKUP(Table9[[#This Row],[Shortname]], Comp[], 30, FALSE)</f>
        <v>0</v>
      </c>
      <c r="AH740">
        <f>VLOOKUP(Table9[[#This Row],[Shortname]], Comp[], 31, FALSE)</f>
        <v>0</v>
      </c>
    </row>
    <row r="741" spans="1:34" x14ac:dyDescent="0.3">
      <c r="A741" t="s">
        <v>2232</v>
      </c>
      <c r="B741" t="s">
        <v>5260</v>
      </c>
      <c r="C741" t="s">
        <v>3505</v>
      </c>
      <c r="D741">
        <v>324</v>
      </c>
      <c r="E741">
        <v>600</v>
      </c>
      <c r="F741">
        <v>1E-4</v>
      </c>
      <c r="G741">
        <v>-1</v>
      </c>
      <c r="H741" t="s">
        <v>6855</v>
      </c>
      <c r="I741">
        <f>VLOOKUP(Table9[[#This Row],[Shortname]], Comp[], 6, FALSE)</f>
        <v>294</v>
      </c>
      <c r="J741" s="14">
        <f>VLOOKUP(Table9[[#This Row],[Shortname]], Comp[], 7, FALSE)</f>
        <v>77</v>
      </c>
      <c r="K741">
        <f>VLOOKUP(Table9[[#This Row],[Shortname]], Comp[], 8, FALSE)</f>
        <v>0</v>
      </c>
      <c r="L741">
        <f>VLOOKUP(Table9[[#This Row],[Shortname]], Comp[], 9, FALSE)</f>
        <v>0</v>
      </c>
      <c r="M741">
        <f>VLOOKUP(Table9[[#This Row],[Shortname]], Comp[], 10, FALSE)</f>
        <v>0</v>
      </c>
      <c r="N741">
        <f>VLOOKUP(Table9[[#This Row],[Shortname]], Comp[], 11, FALSE)</f>
        <v>0</v>
      </c>
      <c r="O741">
        <f>VLOOKUP(Table9[[#This Row],[Shortname]], Comp[],12, FALSE)</f>
        <v>23</v>
      </c>
      <c r="P741">
        <f>VLOOKUP(Table9[[#This Row],[Shortname]], Comp[], 13, FALSE)</f>
        <v>0</v>
      </c>
      <c r="Q741">
        <f>VLOOKUP(Table9[[#This Row],[Shortname]], Comp[], 14, FALSE)</f>
        <v>0</v>
      </c>
      <c r="R741">
        <f>VLOOKUP(Table9[[#This Row],[Shortname]], Comp[], 15, FALSE)</f>
        <v>0</v>
      </c>
      <c r="S741">
        <f>VLOOKUP(Table9[[#This Row],[Shortname]], Comp[], 16, FALSE)</f>
        <v>0</v>
      </c>
      <c r="T741">
        <f>VLOOKUP(Table9[[#This Row],[Shortname]], Comp[], 17, FALSE)</f>
        <v>0</v>
      </c>
      <c r="U741">
        <f>VLOOKUP(Table9[[#This Row],[Shortname]], Comp[], 18, FALSE)</f>
        <v>0</v>
      </c>
      <c r="V741">
        <f>VLOOKUP(Table9[[#This Row],[Shortname]], Comp[], 19, FALSE)</f>
        <v>0</v>
      </c>
      <c r="W741">
        <f>VLOOKUP(Table9[[#This Row],[Shortname]], Comp[], 20, FALSE)</f>
        <v>0</v>
      </c>
      <c r="X741">
        <f>VLOOKUP(Table9[[#This Row],[Shortname]], Comp[], 21, FALSE)</f>
        <v>0</v>
      </c>
      <c r="Y741">
        <f>VLOOKUP(Table9[[#This Row],[Shortname]], Comp[], 22, FALSE)</f>
        <v>0</v>
      </c>
      <c r="Z741">
        <f>VLOOKUP(Table9[[#This Row],[Shortname]], Comp[], 23, FALSE)</f>
        <v>0</v>
      </c>
      <c r="AA741">
        <f>VLOOKUP(Table9[[#This Row],[Shortname]], Comp[], 24, FALSE)</f>
        <v>0</v>
      </c>
      <c r="AB741">
        <f>VLOOKUP(Table9[[#This Row],[Shortname]], Comp[], 25, FALSE)</f>
        <v>0</v>
      </c>
      <c r="AC741">
        <f>VLOOKUP(Table9[[#This Row],[Shortname]], Comp[], 26, FALSE)</f>
        <v>0</v>
      </c>
      <c r="AD741">
        <f>VLOOKUP(Table9[[#This Row],[Shortname]], Comp[], 27, FALSE)</f>
        <v>0</v>
      </c>
      <c r="AE741">
        <f>VLOOKUP(Table9[[#This Row],[Shortname]], Comp[], 28, FALSE)</f>
        <v>0</v>
      </c>
      <c r="AF741">
        <f>VLOOKUP(Table9[[#This Row],[Shortname]], Comp[], 29, FALSE)</f>
        <v>0</v>
      </c>
      <c r="AG741">
        <f>VLOOKUP(Table9[[#This Row],[Shortname]], Comp[], 30, FALSE)</f>
        <v>0</v>
      </c>
      <c r="AH741">
        <f>VLOOKUP(Table9[[#This Row],[Shortname]], Comp[], 31, FALSE)</f>
        <v>0</v>
      </c>
    </row>
    <row r="742" spans="1:34" x14ac:dyDescent="0.3">
      <c r="A742" t="s">
        <v>2232</v>
      </c>
      <c r="B742" t="s">
        <v>5260</v>
      </c>
      <c r="C742" t="s">
        <v>3505</v>
      </c>
      <c r="D742">
        <v>247</v>
      </c>
      <c r="E742">
        <v>950</v>
      </c>
      <c r="F742">
        <v>1E-4</v>
      </c>
      <c r="G742">
        <v>-1</v>
      </c>
      <c r="H742" t="s">
        <v>6855</v>
      </c>
      <c r="I742">
        <f>VLOOKUP(Table9[[#This Row],[Shortname]], Comp[], 6, FALSE)</f>
        <v>294</v>
      </c>
      <c r="J742" s="14">
        <f>VLOOKUP(Table9[[#This Row],[Shortname]], Comp[], 7, FALSE)</f>
        <v>77</v>
      </c>
      <c r="K742">
        <f>VLOOKUP(Table9[[#This Row],[Shortname]], Comp[], 8, FALSE)</f>
        <v>0</v>
      </c>
      <c r="L742">
        <f>VLOOKUP(Table9[[#This Row],[Shortname]], Comp[], 9, FALSE)</f>
        <v>0</v>
      </c>
      <c r="M742">
        <f>VLOOKUP(Table9[[#This Row],[Shortname]], Comp[], 10, FALSE)</f>
        <v>0</v>
      </c>
      <c r="N742">
        <f>VLOOKUP(Table9[[#This Row],[Shortname]], Comp[], 11, FALSE)</f>
        <v>0</v>
      </c>
      <c r="O742">
        <f>VLOOKUP(Table9[[#This Row],[Shortname]], Comp[],12, FALSE)</f>
        <v>23</v>
      </c>
      <c r="P742">
        <f>VLOOKUP(Table9[[#This Row],[Shortname]], Comp[], 13, FALSE)</f>
        <v>0</v>
      </c>
      <c r="Q742">
        <f>VLOOKUP(Table9[[#This Row],[Shortname]], Comp[], 14, FALSE)</f>
        <v>0</v>
      </c>
      <c r="R742">
        <f>VLOOKUP(Table9[[#This Row],[Shortname]], Comp[], 15, FALSE)</f>
        <v>0</v>
      </c>
      <c r="S742">
        <f>VLOOKUP(Table9[[#This Row],[Shortname]], Comp[], 16, FALSE)</f>
        <v>0</v>
      </c>
      <c r="T742">
        <f>VLOOKUP(Table9[[#This Row],[Shortname]], Comp[], 17, FALSE)</f>
        <v>0</v>
      </c>
      <c r="U742">
        <f>VLOOKUP(Table9[[#This Row],[Shortname]], Comp[], 18, FALSE)</f>
        <v>0</v>
      </c>
      <c r="V742">
        <f>VLOOKUP(Table9[[#This Row],[Shortname]], Comp[], 19, FALSE)</f>
        <v>0</v>
      </c>
      <c r="W742">
        <f>VLOOKUP(Table9[[#This Row],[Shortname]], Comp[], 20, FALSE)</f>
        <v>0</v>
      </c>
      <c r="X742">
        <f>VLOOKUP(Table9[[#This Row],[Shortname]], Comp[], 21, FALSE)</f>
        <v>0</v>
      </c>
      <c r="Y742">
        <f>VLOOKUP(Table9[[#This Row],[Shortname]], Comp[], 22, FALSE)</f>
        <v>0</v>
      </c>
      <c r="Z742">
        <f>VLOOKUP(Table9[[#This Row],[Shortname]], Comp[], 23, FALSE)</f>
        <v>0</v>
      </c>
      <c r="AA742">
        <f>VLOOKUP(Table9[[#This Row],[Shortname]], Comp[], 24, FALSE)</f>
        <v>0</v>
      </c>
      <c r="AB742">
        <f>VLOOKUP(Table9[[#This Row],[Shortname]], Comp[], 25, FALSE)</f>
        <v>0</v>
      </c>
      <c r="AC742">
        <f>VLOOKUP(Table9[[#This Row],[Shortname]], Comp[], 26, FALSE)</f>
        <v>0</v>
      </c>
      <c r="AD742">
        <f>VLOOKUP(Table9[[#This Row],[Shortname]], Comp[], 27, FALSE)</f>
        <v>0</v>
      </c>
      <c r="AE742">
        <f>VLOOKUP(Table9[[#This Row],[Shortname]], Comp[], 28, FALSE)</f>
        <v>0</v>
      </c>
      <c r="AF742">
        <f>VLOOKUP(Table9[[#This Row],[Shortname]], Comp[], 29, FALSE)</f>
        <v>0</v>
      </c>
      <c r="AG742">
        <f>VLOOKUP(Table9[[#This Row],[Shortname]], Comp[], 30, FALSE)</f>
        <v>0</v>
      </c>
      <c r="AH742">
        <f>VLOOKUP(Table9[[#This Row],[Shortname]], Comp[], 31, FALSE)</f>
        <v>0</v>
      </c>
    </row>
    <row r="743" spans="1:34" x14ac:dyDescent="0.3">
      <c r="A743" t="s">
        <v>2232</v>
      </c>
      <c r="B743" t="s">
        <v>5260</v>
      </c>
      <c r="C743" t="s">
        <v>3505</v>
      </c>
      <c r="D743">
        <v>175</v>
      </c>
      <c r="E743">
        <v>25</v>
      </c>
      <c r="F743">
        <v>1E-4</v>
      </c>
      <c r="G743">
        <v>-1</v>
      </c>
      <c r="H743" t="s">
        <v>6855</v>
      </c>
      <c r="I743">
        <f>VLOOKUP(Table9[[#This Row],[Shortname]], Comp[], 6, FALSE)</f>
        <v>294</v>
      </c>
      <c r="J743" s="14">
        <f>VLOOKUP(Table9[[#This Row],[Shortname]], Comp[], 7, FALSE)</f>
        <v>77</v>
      </c>
      <c r="K743">
        <f>VLOOKUP(Table9[[#This Row],[Shortname]], Comp[], 8, FALSE)</f>
        <v>0</v>
      </c>
      <c r="L743">
        <f>VLOOKUP(Table9[[#This Row],[Shortname]], Comp[], 9, FALSE)</f>
        <v>0</v>
      </c>
      <c r="M743">
        <f>VLOOKUP(Table9[[#This Row],[Shortname]], Comp[], 10, FALSE)</f>
        <v>0</v>
      </c>
      <c r="N743">
        <f>VLOOKUP(Table9[[#This Row],[Shortname]], Comp[], 11, FALSE)</f>
        <v>0</v>
      </c>
      <c r="O743">
        <f>VLOOKUP(Table9[[#This Row],[Shortname]], Comp[],12, FALSE)</f>
        <v>23</v>
      </c>
      <c r="P743">
        <f>VLOOKUP(Table9[[#This Row],[Shortname]], Comp[], 13, FALSE)</f>
        <v>0</v>
      </c>
      <c r="Q743">
        <f>VLOOKUP(Table9[[#This Row],[Shortname]], Comp[], 14, FALSE)</f>
        <v>0</v>
      </c>
      <c r="R743">
        <f>VLOOKUP(Table9[[#This Row],[Shortname]], Comp[], 15, FALSE)</f>
        <v>0</v>
      </c>
      <c r="S743">
        <f>VLOOKUP(Table9[[#This Row],[Shortname]], Comp[], 16, FALSE)</f>
        <v>0</v>
      </c>
      <c r="T743">
        <f>VLOOKUP(Table9[[#This Row],[Shortname]], Comp[], 17, FALSE)</f>
        <v>0</v>
      </c>
      <c r="U743">
        <f>VLOOKUP(Table9[[#This Row],[Shortname]], Comp[], 18, FALSE)</f>
        <v>0</v>
      </c>
      <c r="V743">
        <f>VLOOKUP(Table9[[#This Row],[Shortname]], Comp[], 19, FALSE)</f>
        <v>0</v>
      </c>
      <c r="W743">
        <f>VLOOKUP(Table9[[#This Row],[Shortname]], Comp[], 20, FALSE)</f>
        <v>0</v>
      </c>
      <c r="X743">
        <f>VLOOKUP(Table9[[#This Row],[Shortname]], Comp[], 21, FALSE)</f>
        <v>0</v>
      </c>
      <c r="Y743">
        <f>VLOOKUP(Table9[[#This Row],[Shortname]], Comp[], 22, FALSE)</f>
        <v>0</v>
      </c>
      <c r="Z743">
        <f>VLOOKUP(Table9[[#This Row],[Shortname]], Comp[], 23, FALSE)</f>
        <v>0</v>
      </c>
      <c r="AA743">
        <f>VLOOKUP(Table9[[#This Row],[Shortname]], Comp[], 24, FALSE)</f>
        <v>0</v>
      </c>
      <c r="AB743">
        <f>VLOOKUP(Table9[[#This Row],[Shortname]], Comp[], 25, FALSE)</f>
        <v>0</v>
      </c>
      <c r="AC743">
        <f>VLOOKUP(Table9[[#This Row],[Shortname]], Comp[], 26, FALSE)</f>
        <v>0</v>
      </c>
      <c r="AD743">
        <f>VLOOKUP(Table9[[#This Row],[Shortname]], Comp[], 27, FALSE)</f>
        <v>0</v>
      </c>
      <c r="AE743">
        <f>VLOOKUP(Table9[[#This Row],[Shortname]], Comp[], 28, FALSE)</f>
        <v>0</v>
      </c>
      <c r="AF743">
        <f>VLOOKUP(Table9[[#This Row],[Shortname]], Comp[], 29, FALSE)</f>
        <v>0</v>
      </c>
      <c r="AG743">
        <f>VLOOKUP(Table9[[#This Row],[Shortname]], Comp[], 30, FALSE)</f>
        <v>0</v>
      </c>
      <c r="AH743">
        <f>VLOOKUP(Table9[[#This Row],[Shortname]], Comp[], 31, FALSE)</f>
        <v>0</v>
      </c>
    </row>
    <row r="744" spans="1:34" x14ac:dyDescent="0.3">
      <c r="A744" t="s">
        <v>3857</v>
      </c>
      <c r="B744" t="s">
        <v>3859</v>
      </c>
      <c r="C744" t="s">
        <v>3839</v>
      </c>
      <c r="D744">
        <v>768</v>
      </c>
      <c r="E744">
        <v>25</v>
      </c>
      <c r="F744">
        <v>1E-4</v>
      </c>
      <c r="G744">
        <v>1</v>
      </c>
      <c r="H744" t="s">
        <v>6878</v>
      </c>
      <c r="I744">
        <f>VLOOKUP(Table9[[#This Row],[Shortname]], Comp[], 6, FALSE)</f>
        <v>579</v>
      </c>
      <c r="J744" s="14">
        <f>VLOOKUP(Table9[[#This Row],[Shortname]], Comp[], 7, FALSE)</f>
        <v>80</v>
      </c>
      <c r="K744">
        <f>VLOOKUP(Table9[[#This Row],[Shortname]], Comp[], 8, FALSE)</f>
        <v>0</v>
      </c>
      <c r="L744">
        <f>VLOOKUP(Table9[[#This Row],[Shortname]], Comp[], 9, FALSE)</f>
        <v>9</v>
      </c>
      <c r="M744">
        <f>VLOOKUP(Table9[[#This Row],[Shortname]], Comp[], 10, FALSE)</f>
        <v>0</v>
      </c>
      <c r="N744">
        <f>VLOOKUP(Table9[[#This Row],[Shortname]], Comp[], 11, FALSE)</f>
        <v>0</v>
      </c>
      <c r="O744">
        <f>VLOOKUP(Table9[[#This Row],[Shortname]], Comp[],12, FALSE)</f>
        <v>0</v>
      </c>
      <c r="P744">
        <f>VLOOKUP(Table9[[#This Row],[Shortname]], Comp[], 13, FALSE)</f>
        <v>2</v>
      </c>
      <c r="Q744">
        <f>VLOOKUP(Table9[[#This Row],[Shortname]], Comp[], 14, FALSE)</f>
        <v>0</v>
      </c>
      <c r="R744">
        <f>VLOOKUP(Table9[[#This Row],[Shortname]], Comp[], 15, FALSE)</f>
        <v>0</v>
      </c>
      <c r="S744">
        <f>VLOOKUP(Table9[[#This Row],[Shortname]], Comp[], 16, FALSE)</f>
        <v>0</v>
      </c>
      <c r="T744">
        <f>VLOOKUP(Table9[[#This Row],[Shortname]], Comp[], 17, FALSE)</f>
        <v>0</v>
      </c>
      <c r="U744">
        <f>VLOOKUP(Table9[[#This Row],[Shortname]], Comp[], 18, FALSE)</f>
        <v>0</v>
      </c>
      <c r="V744">
        <f>VLOOKUP(Table9[[#This Row],[Shortname]], Comp[], 19, FALSE)</f>
        <v>0</v>
      </c>
      <c r="W744">
        <f>VLOOKUP(Table9[[#This Row],[Shortname]], Comp[], 20, FALSE)</f>
        <v>0</v>
      </c>
      <c r="X744">
        <f>VLOOKUP(Table9[[#This Row],[Shortname]], Comp[], 21, FALSE)</f>
        <v>0</v>
      </c>
      <c r="Y744">
        <f>VLOOKUP(Table9[[#This Row],[Shortname]], Comp[], 22, FALSE)</f>
        <v>0</v>
      </c>
      <c r="Z744">
        <f>VLOOKUP(Table9[[#This Row],[Shortname]], Comp[], 23, FALSE)</f>
        <v>0</v>
      </c>
      <c r="AA744">
        <f>VLOOKUP(Table9[[#This Row],[Shortname]], Comp[], 24, FALSE)</f>
        <v>0</v>
      </c>
      <c r="AB744">
        <f>VLOOKUP(Table9[[#This Row],[Shortname]], Comp[], 25, FALSE)</f>
        <v>9</v>
      </c>
      <c r="AC744">
        <f>VLOOKUP(Table9[[#This Row],[Shortname]], Comp[], 26, FALSE)</f>
        <v>0</v>
      </c>
      <c r="AD744">
        <f>VLOOKUP(Table9[[#This Row],[Shortname]], Comp[], 27, FALSE)</f>
        <v>0</v>
      </c>
      <c r="AE744">
        <f>VLOOKUP(Table9[[#This Row],[Shortname]], Comp[], 28, FALSE)</f>
        <v>0</v>
      </c>
      <c r="AF744">
        <f>VLOOKUP(Table9[[#This Row],[Shortname]], Comp[], 29, FALSE)</f>
        <v>0</v>
      </c>
      <c r="AG744">
        <f>VLOOKUP(Table9[[#This Row],[Shortname]], Comp[], 30, FALSE)</f>
        <v>0</v>
      </c>
      <c r="AH744">
        <f>VLOOKUP(Table9[[#This Row],[Shortname]], Comp[], 31, FALSE)</f>
        <v>0</v>
      </c>
    </row>
    <row r="745" spans="1:34" x14ac:dyDescent="0.3">
      <c r="A745" t="s">
        <v>3857</v>
      </c>
      <c r="B745" t="s">
        <v>3859</v>
      </c>
      <c r="C745" t="s">
        <v>3839</v>
      </c>
      <c r="D745">
        <v>757</v>
      </c>
      <c r="E745">
        <v>600</v>
      </c>
      <c r="F745">
        <v>1E-4</v>
      </c>
      <c r="G745">
        <v>1</v>
      </c>
      <c r="H745" t="s">
        <v>6878</v>
      </c>
      <c r="I745">
        <f>VLOOKUP(Table9[[#This Row],[Shortname]], Comp[], 6, FALSE)</f>
        <v>579</v>
      </c>
      <c r="J745" s="14">
        <f>VLOOKUP(Table9[[#This Row],[Shortname]], Comp[], 7, FALSE)</f>
        <v>80</v>
      </c>
      <c r="K745">
        <f>VLOOKUP(Table9[[#This Row],[Shortname]], Comp[], 8, FALSE)</f>
        <v>0</v>
      </c>
      <c r="L745">
        <f>VLOOKUP(Table9[[#This Row],[Shortname]], Comp[], 9, FALSE)</f>
        <v>9</v>
      </c>
      <c r="M745">
        <f>VLOOKUP(Table9[[#This Row],[Shortname]], Comp[], 10, FALSE)</f>
        <v>0</v>
      </c>
      <c r="N745">
        <f>VLOOKUP(Table9[[#This Row],[Shortname]], Comp[], 11, FALSE)</f>
        <v>0</v>
      </c>
      <c r="O745">
        <f>VLOOKUP(Table9[[#This Row],[Shortname]], Comp[],12, FALSE)</f>
        <v>0</v>
      </c>
      <c r="P745">
        <f>VLOOKUP(Table9[[#This Row],[Shortname]], Comp[], 13, FALSE)</f>
        <v>2</v>
      </c>
      <c r="Q745">
        <f>VLOOKUP(Table9[[#This Row],[Shortname]], Comp[], 14, FALSE)</f>
        <v>0</v>
      </c>
      <c r="R745">
        <f>VLOOKUP(Table9[[#This Row],[Shortname]], Comp[], 15, FALSE)</f>
        <v>0</v>
      </c>
      <c r="S745">
        <f>VLOOKUP(Table9[[#This Row],[Shortname]], Comp[], 16, FALSE)</f>
        <v>0</v>
      </c>
      <c r="T745">
        <f>VLOOKUP(Table9[[#This Row],[Shortname]], Comp[], 17, FALSE)</f>
        <v>0</v>
      </c>
      <c r="U745">
        <f>VLOOKUP(Table9[[#This Row],[Shortname]], Comp[], 18, FALSE)</f>
        <v>0</v>
      </c>
      <c r="V745">
        <f>VLOOKUP(Table9[[#This Row],[Shortname]], Comp[], 19, FALSE)</f>
        <v>0</v>
      </c>
      <c r="W745">
        <f>VLOOKUP(Table9[[#This Row],[Shortname]], Comp[], 20, FALSE)</f>
        <v>0</v>
      </c>
      <c r="X745">
        <f>VLOOKUP(Table9[[#This Row],[Shortname]], Comp[], 21, FALSE)</f>
        <v>0</v>
      </c>
      <c r="Y745">
        <f>VLOOKUP(Table9[[#This Row],[Shortname]], Comp[], 22, FALSE)</f>
        <v>0</v>
      </c>
      <c r="Z745">
        <f>VLOOKUP(Table9[[#This Row],[Shortname]], Comp[], 23, FALSE)</f>
        <v>0</v>
      </c>
      <c r="AA745">
        <f>VLOOKUP(Table9[[#This Row],[Shortname]], Comp[], 24, FALSE)</f>
        <v>0</v>
      </c>
      <c r="AB745">
        <f>VLOOKUP(Table9[[#This Row],[Shortname]], Comp[], 25, FALSE)</f>
        <v>9</v>
      </c>
      <c r="AC745">
        <f>VLOOKUP(Table9[[#This Row],[Shortname]], Comp[], 26, FALSE)</f>
        <v>0</v>
      </c>
      <c r="AD745">
        <f>VLOOKUP(Table9[[#This Row],[Shortname]], Comp[], 27, FALSE)</f>
        <v>0</v>
      </c>
      <c r="AE745">
        <f>VLOOKUP(Table9[[#This Row],[Shortname]], Comp[], 28, FALSE)</f>
        <v>0</v>
      </c>
      <c r="AF745">
        <f>VLOOKUP(Table9[[#This Row],[Shortname]], Comp[], 29, FALSE)</f>
        <v>0</v>
      </c>
      <c r="AG745">
        <f>VLOOKUP(Table9[[#This Row],[Shortname]], Comp[], 30, FALSE)</f>
        <v>0</v>
      </c>
      <c r="AH745">
        <f>VLOOKUP(Table9[[#This Row],[Shortname]], Comp[], 31, FALSE)</f>
        <v>0</v>
      </c>
    </row>
    <row r="746" spans="1:34" x14ac:dyDescent="0.3">
      <c r="A746" t="s">
        <v>3857</v>
      </c>
      <c r="B746" t="s">
        <v>3859</v>
      </c>
      <c r="C746" t="s">
        <v>3839</v>
      </c>
      <c r="D746">
        <v>533</v>
      </c>
      <c r="E746">
        <v>700</v>
      </c>
      <c r="F746">
        <v>1E-4</v>
      </c>
      <c r="G746">
        <v>1</v>
      </c>
      <c r="H746" t="s">
        <v>6878</v>
      </c>
      <c r="I746">
        <f>VLOOKUP(Table9[[#This Row],[Shortname]], Comp[], 6, FALSE)</f>
        <v>579</v>
      </c>
      <c r="J746" s="14">
        <f>VLOOKUP(Table9[[#This Row],[Shortname]], Comp[], 7, FALSE)</f>
        <v>80</v>
      </c>
      <c r="K746">
        <f>VLOOKUP(Table9[[#This Row],[Shortname]], Comp[], 8, FALSE)</f>
        <v>0</v>
      </c>
      <c r="L746">
        <f>VLOOKUP(Table9[[#This Row],[Shortname]], Comp[], 9, FALSE)</f>
        <v>9</v>
      </c>
      <c r="M746">
        <f>VLOOKUP(Table9[[#This Row],[Shortname]], Comp[], 10, FALSE)</f>
        <v>0</v>
      </c>
      <c r="N746">
        <f>VLOOKUP(Table9[[#This Row],[Shortname]], Comp[], 11, FALSE)</f>
        <v>0</v>
      </c>
      <c r="O746">
        <f>VLOOKUP(Table9[[#This Row],[Shortname]], Comp[],12, FALSE)</f>
        <v>0</v>
      </c>
      <c r="P746">
        <f>VLOOKUP(Table9[[#This Row],[Shortname]], Comp[], 13, FALSE)</f>
        <v>2</v>
      </c>
      <c r="Q746">
        <f>VLOOKUP(Table9[[#This Row],[Shortname]], Comp[], 14, FALSE)</f>
        <v>0</v>
      </c>
      <c r="R746">
        <f>VLOOKUP(Table9[[#This Row],[Shortname]], Comp[], 15, FALSE)</f>
        <v>0</v>
      </c>
      <c r="S746">
        <f>VLOOKUP(Table9[[#This Row],[Shortname]], Comp[], 16, FALSE)</f>
        <v>0</v>
      </c>
      <c r="T746">
        <f>VLOOKUP(Table9[[#This Row],[Shortname]], Comp[], 17, FALSE)</f>
        <v>0</v>
      </c>
      <c r="U746">
        <f>VLOOKUP(Table9[[#This Row],[Shortname]], Comp[], 18, FALSE)</f>
        <v>0</v>
      </c>
      <c r="V746">
        <f>VLOOKUP(Table9[[#This Row],[Shortname]], Comp[], 19, FALSE)</f>
        <v>0</v>
      </c>
      <c r="W746">
        <f>VLOOKUP(Table9[[#This Row],[Shortname]], Comp[], 20, FALSE)</f>
        <v>0</v>
      </c>
      <c r="X746">
        <f>VLOOKUP(Table9[[#This Row],[Shortname]], Comp[], 21, FALSE)</f>
        <v>0</v>
      </c>
      <c r="Y746">
        <f>VLOOKUP(Table9[[#This Row],[Shortname]], Comp[], 22, FALSE)</f>
        <v>0</v>
      </c>
      <c r="Z746">
        <f>VLOOKUP(Table9[[#This Row],[Shortname]], Comp[], 23, FALSE)</f>
        <v>0</v>
      </c>
      <c r="AA746">
        <f>VLOOKUP(Table9[[#This Row],[Shortname]], Comp[], 24, FALSE)</f>
        <v>0</v>
      </c>
      <c r="AB746">
        <f>VLOOKUP(Table9[[#This Row],[Shortname]], Comp[], 25, FALSE)</f>
        <v>9</v>
      </c>
      <c r="AC746">
        <f>VLOOKUP(Table9[[#This Row],[Shortname]], Comp[], 26, FALSE)</f>
        <v>0</v>
      </c>
      <c r="AD746">
        <f>VLOOKUP(Table9[[#This Row],[Shortname]], Comp[], 27, FALSE)</f>
        <v>0</v>
      </c>
      <c r="AE746">
        <f>VLOOKUP(Table9[[#This Row],[Shortname]], Comp[], 28, FALSE)</f>
        <v>0</v>
      </c>
      <c r="AF746">
        <f>VLOOKUP(Table9[[#This Row],[Shortname]], Comp[], 29, FALSE)</f>
        <v>0</v>
      </c>
      <c r="AG746">
        <f>VLOOKUP(Table9[[#This Row],[Shortname]], Comp[], 30, FALSE)</f>
        <v>0</v>
      </c>
      <c r="AH746">
        <f>VLOOKUP(Table9[[#This Row],[Shortname]], Comp[], 31, FALSE)</f>
        <v>0</v>
      </c>
    </row>
    <row r="747" spans="1:34" x14ac:dyDescent="0.3">
      <c r="A747" t="s">
        <v>3857</v>
      </c>
      <c r="B747" t="s">
        <v>3859</v>
      </c>
      <c r="C747" t="s">
        <v>3839</v>
      </c>
      <c r="D747">
        <v>319</v>
      </c>
      <c r="E747">
        <v>800</v>
      </c>
      <c r="F747">
        <v>1E-4</v>
      </c>
      <c r="G747">
        <v>1</v>
      </c>
      <c r="H747" t="s">
        <v>6878</v>
      </c>
      <c r="I747">
        <f>VLOOKUP(Table9[[#This Row],[Shortname]], Comp[], 6, FALSE)</f>
        <v>579</v>
      </c>
      <c r="J747" s="14">
        <f>VLOOKUP(Table9[[#This Row],[Shortname]], Comp[], 7, FALSE)</f>
        <v>80</v>
      </c>
      <c r="K747">
        <f>VLOOKUP(Table9[[#This Row],[Shortname]], Comp[], 8, FALSE)</f>
        <v>0</v>
      </c>
      <c r="L747">
        <f>VLOOKUP(Table9[[#This Row],[Shortname]], Comp[], 9, FALSE)</f>
        <v>9</v>
      </c>
      <c r="M747">
        <f>VLOOKUP(Table9[[#This Row],[Shortname]], Comp[], 10, FALSE)</f>
        <v>0</v>
      </c>
      <c r="N747">
        <f>VLOOKUP(Table9[[#This Row],[Shortname]], Comp[], 11, FALSE)</f>
        <v>0</v>
      </c>
      <c r="O747">
        <f>VLOOKUP(Table9[[#This Row],[Shortname]], Comp[],12, FALSE)</f>
        <v>0</v>
      </c>
      <c r="P747">
        <f>VLOOKUP(Table9[[#This Row],[Shortname]], Comp[], 13, FALSE)</f>
        <v>2</v>
      </c>
      <c r="Q747">
        <f>VLOOKUP(Table9[[#This Row],[Shortname]], Comp[], 14, FALSE)</f>
        <v>0</v>
      </c>
      <c r="R747">
        <f>VLOOKUP(Table9[[#This Row],[Shortname]], Comp[], 15, FALSE)</f>
        <v>0</v>
      </c>
      <c r="S747">
        <f>VLOOKUP(Table9[[#This Row],[Shortname]], Comp[], 16, FALSE)</f>
        <v>0</v>
      </c>
      <c r="T747">
        <f>VLOOKUP(Table9[[#This Row],[Shortname]], Comp[], 17, FALSE)</f>
        <v>0</v>
      </c>
      <c r="U747">
        <f>VLOOKUP(Table9[[#This Row],[Shortname]], Comp[], 18, FALSE)</f>
        <v>0</v>
      </c>
      <c r="V747">
        <f>VLOOKUP(Table9[[#This Row],[Shortname]], Comp[], 19, FALSE)</f>
        <v>0</v>
      </c>
      <c r="W747">
        <f>VLOOKUP(Table9[[#This Row],[Shortname]], Comp[], 20, FALSE)</f>
        <v>0</v>
      </c>
      <c r="X747">
        <f>VLOOKUP(Table9[[#This Row],[Shortname]], Comp[], 21, FALSE)</f>
        <v>0</v>
      </c>
      <c r="Y747">
        <f>VLOOKUP(Table9[[#This Row],[Shortname]], Comp[], 22, FALSE)</f>
        <v>0</v>
      </c>
      <c r="Z747">
        <f>VLOOKUP(Table9[[#This Row],[Shortname]], Comp[], 23, FALSE)</f>
        <v>0</v>
      </c>
      <c r="AA747">
        <f>VLOOKUP(Table9[[#This Row],[Shortname]], Comp[], 24, FALSE)</f>
        <v>0</v>
      </c>
      <c r="AB747">
        <f>VLOOKUP(Table9[[#This Row],[Shortname]], Comp[], 25, FALSE)</f>
        <v>9</v>
      </c>
      <c r="AC747">
        <f>VLOOKUP(Table9[[#This Row],[Shortname]], Comp[], 26, FALSE)</f>
        <v>0</v>
      </c>
      <c r="AD747">
        <f>VLOOKUP(Table9[[#This Row],[Shortname]], Comp[], 27, FALSE)</f>
        <v>0</v>
      </c>
      <c r="AE747">
        <f>VLOOKUP(Table9[[#This Row],[Shortname]], Comp[], 28, FALSE)</f>
        <v>0</v>
      </c>
      <c r="AF747">
        <f>VLOOKUP(Table9[[#This Row],[Shortname]], Comp[], 29, FALSE)</f>
        <v>0</v>
      </c>
      <c r="AG747">
        <f>VLOOKUP(Table9[[#This Row],[Shortname]], Comp[], 30, FALSE)</f>
        <v>0</v>
      </c>
      <c r="AH747">
        <f>VLOOKUP(Table9[[#This Row],[Shortname]], Comp[], 31, FALSE)</f>
        <v>0</v>
      </c>
    </row>
    <row r="748" spans="1:34" x14ac:dyDescent="0.3">
      <c r="A748" t="s">
        <v>3843</v>
      </c>
      <c r="B748" t="s">
        <v>6879</v>
      </c>
      <c r="C748" t="s">
        <v>3839</v>
      </c>
      <c r="D748">
        <v>1880</v>
      </c>
      <c r="E748">
        <v>25</v>
      </c>
      <c r="F748">
        <v>1E-4</v>
      </c>
      <c r="G748">
        <v>1</v>
      </c>
      <c r="H748" t="s">
        <v>6878</v>
      </c>
      <c r="I748">
        <f>VLOOKUP(Table9[[#This Row],[Shortname]], Comp[], 6, FALSE)</f>
        <v>577</v>
      </c>
      <c r="J748" s="14">
        <f>VLOOKUP(Table9[[#This Row],[Shortname]], Comp[], 7, FALSE)</f>
        <v>80</v>
      </c>
      <c r="K748">
        <f>VLOOKUP(Table9[[#This Row],[Shortname]], Comp[], 8, FALSE)</f>
        <v>0</v>
      </c>
      <c r="L748">
        <f>VLOOKUP(Table9[[#This Row],[Shortname]], Comp[], 9, FALSE)</f>
        <v>9</v>
      </c>
      <c r="M748">
        <f>VLOOKUP(Table9[[#This Row],[Shortname]], Comp[], 10, FALSE)</f>
        <v>0</v>
      </c>
      <c r="N748">
        <f>VLOOKUP(Table9[[#This Row],[Shortname]], Comp[], 11, FALSE)</f>
        <v>4</v>
      </c>
      <c r="O748">
        <f>VLOOKUP(Table9[[#This Row],[Shortname]], Comp[],12, FALSE)</f>
        <v>0</v>
      </c>
      <c r="P748">
        <f>VLOOKUP(Table9[[#This Row],[Shortname]], Comp[], 13, FALSE)</f>
        <v>2</v>
      </c>
      <c r="Q748">
        <f>VLOOKUP(Table9[[#This Row],[Shortname]], Comp[], 14, FALSE)</f>
        <v>0</v>
      </c>
      <c r="R748">
        <f>VLOOKUP(Table9[[#This Row],[Shortname]], Comp[], 15, FALSE)</f>
        <v>0</v>
      </c>
      <c r="S748">
        <f>VLOOKUP(Table9[[#This Row],[Shortname]], Comp[], 16, FALSE)</f>
        <v>0</v>
      </c>
      <c r="T748">
        <f>VLOOKUP(Table9[[#This Row],[Shortname]], Comp[], 17, FALSE)</f>
        <v>0</v>
      </c>
      <c r="U748">
        <f>VLOOKUP(Table9[[#This Row],[Shortname]], Comp[], 18, FALSE)</f>
        <v>0</v>
      </c>
      <c r="V748">
        <f>VLOOKUP(Table9[[#This Row],[Shortname]], Comp[], 19, FALSE)</f>
        <v>0</v>
      </c>
      <c r="W748">
        <f>VLOOKUP(Table9[[#This Row],[Shortname]], Comp[], 20, FALSE)</f>
        <v>0</v>
      </c>
      <c r="X748">
        <f>VLOOKUP(Table9[[#This Row],[Shortname]], Comp[], 21, FALSE)</f>
        <v>0</v>
      </c>
      <c r="Y748">
        <f>VLOOKUP(Table9[[#This Row],[Shortname]], Comp[], 22, FALSE)</f>
        <v>0</v>
      </c>
      <c r="Z748">
        <f>VLOOKUP(Table9[[#This Row],[Shortname]], Comp[], 23, FALSE)</f>
        <v>0</v>
      </c>
      <c r="AA748">
        <f>VLOOKUP(Table9[[#This Row],[Shortname]], Comp[], 24, FALSE)</f>
        <v>0</v>
      </c>
      <c r="AB748">
        <f>VLOOKUP(Table9[[#This Row],[Shortname]], Comp[], 25, FALSE)</f>
        <v>5</v>
      </c>
      <c r="AC748">
        <f>VLOOKUP(Table9[[#This Row],[Shortname]], Comp[], 26, FALSE)</f>
        <v>0</v>
      </c>
      <c r="AD748">
        <f>VLOOKUP(Table9[[#This Row],[Shortname]], Comp[], 27, FALSE)</f>
        <v>0</v>
      </c>
      <c r="AE748">
        <f>VLOOKUP(Table9[[#This Row],[Shortname]], Comp[], 28, FALSE)</f>
        <v>0</v>
      </c>
      <c r="AF748">
        <f>VLOOKUP(Table9[[#This Row],[Shortname]], Comp[], 29, FALSE)</f>
        <v>0</v>
      </c>
      <c r="AG748">
        <f>VLOOKUP(Table9[[#This Row],[Shortname]], Comp[], 30, FALSE)</f>
        <v>0</v>
      </c>
      <c r="AH748">
        <f>VLOOKUP(Table9[[#This Row],[Shortname]], Comp[], 31, FALSE)</f>
        <v>0</v>
      </c>
    </row>
    <row r="749" spans="1:34" x14ac:dyDescent="0.3">
      <c r="A749" t="s">
        <v>3843</v>
      </c>
      <c r="B749" t="s">
        <v>6879</v>
      </c>
      <c r="C749" t="s">
        <v>3839</v>
      </c>
      <c r="D749">
        <v>911</v>
      </c>
      <c r="E749">
        <v>600</v>
      </c>
      <c r="F749">
        <v>1E-4</v>
      </c>
      <c r="G749">
        <v>1</v>
      </c>
      <c r="H749" t="s">
        <v>6878</v>
      </c>
      <c r="I749">
        <f>VLOOKUP(Table9[[#This Row],[Shortname]], Comp[], 6, FALSE)</f>
        <v>577</v>
      </c>
      <c r="J749" s="14">
        <f>VLOOKUP(Table9[[#This Row],[Shortname]], Comp[], 7, FALSE)</f>
        <v>80</v>
      </c>
      <c r="K749">
        <f>VLOOKUP(Table9[[#This Row],[Shortname]], Comp[], 8, FALSE)</f>
        <v>0</v>
      </c>
      <c r="L749">
        <f>VLOOKUP(Table9[[#This Row],[Shortname]], Comp[], 9, FALSE)</f>
        <v>9</v>
      </c>
      <c r="M749">
        <f>VLOOKUP(Table9[[#This Row],[Shortname]], Comp[], 10, FALSE)</f>
        <v>0</v>
      </c>
      <c r="N749">
        <f>VLOOKUP(Table9[[#This Row],[Shortname]], Comp[], 11, FALSE)</f>
        <v>4</v>
      </c>
      <c r="O749">
        <f>VLOOKUP(Table9[[#This Row],[Shortname]], Comp[],12, FALSE)</f>
        <v>0</v>
      </c>
      <c r="P749">
        <f>VLOOKUP(Table9[[#This Row],[Shortname]], Comp[], 13, FALSE)</f>
        <v>2</v>
      </c>
      <c r="Q749">
        <f>VLOOKUP(Table9[[#This Row],[Shortname]], Comp[], 14, FALSE)</f>
        <v>0</v>
      </c>
      <c r="R749">
        <f>VLOOKUP(Table9[[#This Row],[Shortname]], Comp[], 15, FALSE)</f>
        <v>0</v>
      </c>
      <c r="S749">
        <f>VLOOKUP(Table9[[#This Row],[Shortname]], Comp[], 16, FALSE)</f>
        <v>0</v>
      </c>
      <c r="T749">
        <f>VLOOKUP(Table9[[#This Row],[Shortname]], Comp[], 17, FALSE)</f>
        <v>0</v>
      </c>
      <c r="U749">
        <f>VLOOKUP(Table9[[#This Row],[Shortname]], Comp[], 18, FALSE)</f>
        <v>0</v>
      </c>
      <c r="V749">
        <f>VLOOKUP(Table9[[#This Row],[Shortname]], Comp[], 19, FALSE)</f>
        <v>0</v>
      </c>
      <c r="W749">
        <f>VLOOKUP(Table9[[#This Row],[Shortname]], Comp[], 20, FALSE)</f>
        <v>0</v>
      </c>
      <c r="X749">
        <f>VLOOKUP(Table9[[#This Row],[Shortname]], Comp[], 21, FALSE)</f>
        <v>0</v>
      </c>
      <c r="Y749">
        <f>VLOOKUP(Table9[[#This Row],[Shortname]], Comp[], 22, FALSE)</f>
        <v>0</v>
      </c>
      <c r="Z749">
        <f>VLOOKUP(Table9[[#This Row],[Shortname]], Comp[], 23, FALSE)</f>
        <v>0</v>
      </c>
      <c r="AA749">
        <f>VLOOKUP(Table9[[#This Row],[Shortname]], Comp[], 24, FALSE)</f>
        <v>0</v>
      </c>
      <c r="AB749">
        <f>VLOOKUP(Table9[[#This Row],[Shortname]], Comp[], 25, FALSE)</f>
        <v>5</v>
      </c>
      <c r="AC749">
        <f>VLOOKUP(Table9[[#This Row],[Shortname]], Comp[], 26, FALSE)</f>
        <v>0</v>
      </c>
      <c r="AD749">
        <f>VLOOKUP(Table9[[#This Row],[Shortname]], Comp[], 27, FALSE)</f>
        <v>0</v>
      </c>
      <c r="AE749">
        <f>VLOOKUP(Table9[[#This Row],[Shortname]], Comp[], 28, FALSE)</f>
        <v>0</v>
      </c>
      <c r="AF749">
        <f>VLOOKUP(Table9[[#This Row],[Shortname]], Comp[], 29, FALSE)</f>
        <v>0</v>
      </c>
      <c r="AG749">
        <f>VLOOKUP(Table9[[#This Row],[Shortname]], Comp[], 30, FALSE)</f>
        <v>0</v>
      </c>
      <c r="AH749">
        <f>VLOOKUP(Table9[[#This Row],[Shortname]], Comp[], 31, FALSE)</f>
        <v>0</v>
      </c>
    </row>
    <row r="750" spans="1:34" x14ac:dyDescent="0.3">
      <c r="A750" t="s">
        <v>3843</v>
      </c>
      <c r="B750" t="s">
        <v>6879</v>
      </c>
      <c r="C750" t="s">
        <v>3839</v>
      </c>
      <c r="D750">
        <v>669</v>
      </c>
      <c r="E750">
        <v>700</v>
      </c>
      <c r="F750">
        <v>1E-4</v>
      </c>
      <c r="G750">
        <v>1</v>
      </c>
      <c r="H750" t="s">
        <v>6878</v>
      </c>
      <c r="I750">
        <f>VLOOKUP(Table9[[#This Row],[Shortname]], Comp[], 6, FALSE)</f>
        <v>577</v>
      </c>
      <c r="J750" s="14">
        <f>VLOOKUP(Table9[[#This Row],[Shortname]], Comp[], 7, FALSE)</f>
        <v>80</v>
      </c>
      <c r="K750">
        <f>VLOOKUP(Table9[[#This Row],[Shortname]], Comp[], 8, FALSE)</f>
        <v>0</v>
      </c>
      <c r="L750">
        <f>VLOOKUP(Table9[[#This Row],[Shortname]], Comp[], 9, FALSE)</f>
        <v>9</v>
      </c>
      <c r="M750">
        <f>VLOOKUP(Table9[[#This Row],[Shortname]], Comp[], 10, FALSE)</f>
        <v>0</v>
      </c>
      <c r="N750">
        <f>VLOOKUP(Table9[[#This Row],[Shortname]], Comp[], 11, FALSE)</f>
        <v>4</v>
      </c>
      <c r="O750">
        <f>VLOOKUP(Table9[[#This Row],[Shortname]], Comp[],12, FALSE)</f>
        <v>0</v>
      </c>
      <c r="P750">
        <f>VLOOKUP(Table9[[#This Row],[Shortname]], Comp[], 13, FALSE)</f>
        <v>2</v>
      </c>
      <c r="Q750">
        <f>VLOOKUP(Table9[[#This Row],[Shortname]], Comp[], 14, FALSE)</f>
        <v>0</v>
      </c>
      <c r="R750">
        <f>VLOOKUP(Table9[[#This Row],[Shortname]], Comp[], 15, FALSE)</f>
        <v>0</v>
      </c>
      <c r="S750">
        <f>VLOOKUP(Table9[[#This Row],[Shortname]], Comp[], 16, FALSE)</f>
        <v>0</v>
      </c>
      <c r="T750">
        <f>VLOOKUP(Table9[[#This Row],[Shortname]], Comp[], 17, FALSE)</f>
        <v>0</v>
      </c>
      <c r="U750">
        <f>VLOOKUP(Table9[[#This Row],[Shortname]], Comp[], 18, FALSE)</f>
        <v>0</v>
      </c>
      <c r="V750">
        <f>VLOOKUP(Table9[[#This Row],[Shortname]], Comp[], 19, FALSE)</f>
        <v>0</v>
      </c>
      <c r="W750">
        <f>VLOOKUP(Table9[[#This Row],[Shortname]], Comp[], 20, FALSE)</f>
        <v>0</v>
      </c>
      <c r="X750">
        <f>VLOOKUP(Table9[[#This Row],[Shortname]], Comp[], 21, FALSE)</f>
        <v>0</v>
      </c>
      <c r="Y750">
        <f>VLOOKUP(Table9[[#This Row],[Shortname]], Comp[], 22, FALSE)</f>
        <v>0</v>
      </c>
      <c r="Z750">
        <f>VLOOKUP(Table9[[#This Row],[Shortname]], Comp[], 23, FALSE)</f>
        <v>0</v>
      </c>
      <c r="AA750">
        <f>VLOOKUP(Table9[[#This Row],[Shortname]], Comp[], 24, FALSE)</f>
        <v>0</v>
      </c>
      <c r="AB750">
        <f>VLOOKUP(Table9[[#This Row],[Shortname]], Comp[], 25, FALSE)</f>
        <v>5</v>
      </c>
      <c r="AC750">
        <f>VLOOKUP(Table9[[#This Row],[Shortname]], Comp[], 26, FALSE)</f>
        <v>0</v>
      </c>
      <c r="AD750">
        <f>VLOOKUP(Table9[[#This Row],[Shortname]], Comp[], 27, FALSE)</f>
        <v>0</v>
      </c>
      <c r="AE750">
        <f>VLOOKUP(Table9[[#This Row],[Shortname]], Comp[], 28, FALSE)</f>
        <v>0</v>
      </c>
      <c r="AF750">
        <f>VLOOKUP(Table9[[#This Row],[Shortname]], Comp[], 29, FALSE)</f>
        <v>0</v>
      </c>
      <c r="AG750">
        <f>VLOOKUP(Table9[[#This Row],[Shortname]], Comp[], 30, FALSE)</f>
        <v>0</v>
      </c>
      <c r="AH750">
        <f>VLOOKUP(Table9[[#This Row],[Shortname]], Comp[], 31, FALSE)</f>
        <v>0</v>
      </c>
    </row>
    <row r="751" spans="1:34" x14ac:dyDescent="0.3">
      <c r="A751" t="s">
        <v>3843</v>
      </c>
      <c r="B751" t="s">
        <v>6879</v>
      </c>
      <c r="C751" t="s">
        <v>3839</v>
      </c>
      <c r="D751">
        <v>554</v>
      </c>
      <c r="E751">
        <v>800</v>
      </c>
      <c r="F751">
        <v>1E-4</v>
      </c>
      <c r="G751">
        <v>1</v>
      </c>
      <c r="H751" t="s">
        <v>6878</v>
      </c>
      <c r="I751">
        <f>VLOOKUP(Table9[[#This Row],[Shortname]], Comp[], 6, FALSE)</f>
        <v>577</v>
      </c>
      <c r="J751" s="14">
        <f>VLOOKUP(Table9[[#This Row],[Shortname]], Comp[], 7, FALSE)</f>
        <v>80</v>
      </c>
      <c r="K751">
        <f>VLOOKUP(Table9[[#This Row],[Shortname]], Comp[], 8, FALSE)</f>
        <v>0</v>
      </c>
      <c r="L751">
        <f>VLOOKUP(Table9[[#This Row],[Shortname]], Comp[], 9, FALSE)</f>
        <v>9</v>
      </c>
      <c r="M751">
        <f>VLOOKUP(Table9[[#This Row],[Shortname]], Comp[], 10, FALSE)</f>
        <v>0</v>
      </c>
      <c r="N751">
        <f>VLOOKUP(Table9[[#This Row],[Shortname]], Comp[], 11, FALSE)</f>
        <v>4</v>
      </c>
      <c r="O751">
        <f>VLOOKUP(Table9[[#This Row],[Shortname]], Comp[],12, FALSE)</f>
        <v>0</v>
      </c>
      <c r="P751">
        <f>VLOOKUP(Table9[[#This Row],[Shortname]], Comp[], 13, FALSE)</f>
        <v>2</v>
      </c>
      <c r="Q751">
        <f>VLOOKUP(Table9[[#This Row],[Shortname]], Comp[], 14, FALSE)</f>
        <v>0</v>
      </c>
      <c r="R751">
        <f>VLOOKUP(Table9[[#This Row],[Shortname]], Comp[], 15, FALSE)</f>
        <v>0</v>
      </c>
      <c r="S751">
        <f>VLOOKUP(Table9[[#This Row],[Shortname]], Comp[], 16, FALSE)</f>
        <v>0</v>
      </c>
      <c r="T751">
        <f>VLOOKUP(Table9[[#This Row],[Shortname]], Comp[], 17, FALSE)</f>
        <v>0</v>
      </c>
      <c r="U751">
        <f>VLOOKUP(Table9[[#This Row],[Shortname]], Comp[], 18, FALSE)</f>
        <v>0</v>
      </c>
      <c r="V751">
        <f>VLOOKUP(Table9[[#This Row],[Shortname]], Comp[], 19, FALSE)</f>
        <v>0</v>
      </c>
      <c r="W751">
        <f>VLOOKUP(Table9[[#This Row],[Shortname]], Comp[], 20, FALSE)</f>
        <v>0</v>
      </c>
      <c r="X751">
        <f>VLOOKUP(Table9[[#This Row],[Shortname]], Comp[], 21, FALSE)</f>
        <v>0</v>
      </c>
      <c r="Y751">
        <f>VLOOKUP(Table9[[#This Row],[Shortname]], Comp[], 22, FALSE)</f>
        <v>0</v>
      </c>
      <c r="Z751">
        <f>VLOOKUP(Table9[[#This Row],[Shortname]], Comp[], 23, FALSE)</f>
        <v>0</v>
      </c>
      <c r="AA751">
        <f>VLOOKUP(Table9[[#This Row],[Shortname]], Comp[], 24, FALSE)</f>
        <v>0</v>
      </c>
      <c r="AB751">
        <f>VLOOKUP(Table9[[#This Row],[Shortname]], Comp[], 25, FALSE)</f>
        <v>5</v>
      </c>
      <c r="AC751">
        <f>VLOOKUP(Table9[[#This Row],[Shortname]], Comp[], 26, FALSE)</f>
        <v>0</v>
      </c>
      <c r="AD751">
        <f>VLOOKUP(Table9[[#This Row],[Shortname]], Comp[], 27, FALSE)</f>
        <v>0</v>
      </c>
      <c r="AE751">
        <f>VLOOKUP(Table9[[#This Row],[Shortname]], Comp[], 28, FALSE)</f>
        <v>0</v>
      </c>
      <c r="AF751">
        <f>VLOOKUP(Table9[[#This Row],[Shortname]], Comp[], 29, FALSE)</f>
        <v>0</v>
      </c>
      <c r="AG751">
        <f>VLOOKUP(Table9[[#This Row],[Shortname]], Comp[], 30, FALSE)</f>
        <v>0</v>
      </c>
      <c r="AH751">
        <f>VLOOKUP(Table9[[#This Row],[Shortname]], Comp[], 31, FALSE)</f>
        <v>0</v>
      </c>
    </row>
    <row r="752" spans="1:34" x14ac:dyDescent="0.3">
      <c r="A752" t="s">
        <v>3850</v>
      </c>
      <c r="B752" t="s">
        <v>6880</v>
      </c>
      <c r="C752" t="s">
        <v>3839</v>
      </c>
      <c r="D752">
        <v>1800</v>
      </c>
      <c r="E752">
        <v>25</v>
      </c>
      <c r="F752">
        <v>1E-4</v>
      </c>
      <c r="G752">
        <v>1</v>
      </c>
      <c r="H752" t="s">
        <v>6878</v>
      </c>
      <c r="I752">
        <f>VLOOKUP(Table9[[#This Row],[Shortname]], Comp[], 6, FALSE)</f>
        <v>578</v>
      </c>
      <c r="J752" s="14">
        <f>VLOOKUP(Table9[[#This Row],[Shortname]], Comp[], 7, FALSE)</f>
        <v>80</v>
      </c>
      <c r="K752">
        <f>VLOOKUP(Table9[[#This Row],[Shortname]], Comp[], 8, FALSE)</f>
        <v>0</v>
      </c>
      <c r="L752">
        <f>VLOOKUP(Table9[[#This Row],[Shortname]], Comp[], 9, FALSE)</f>
        <v>9</v>
      </c>
      <c r="M752">
        <f>VLOOKUP(Table9[[#This Row],[Shortname]], Comp[], 10, FALSE)</f>
        <v>0</v>
      </c>
      <c r="N752">
        <f>VLOOKUP(Table9[[#This Row],[Shortname]], Comp[], 11, FALSE)</f>
        <v>3</v>
      </c>
      <c r="O752">
        <f>VLOOKUP(Table9[[#This Row],[Shortname]], Comp[],12, FALSE)</f>
        <v>0</v>
      </c>
      <c r="P752">
        <f>VLOOKUP(Table9[[#This Row],[Shortname]], Comp[], 13, FALSE)</f>
        <v>2</v>
      </c>
      <c r="Q752">
        <f>VLOOKUP(Table9[[#This Row],[Shortname]], Comp[], 14, FALSE)</f>
        <v>0</v>
      </c>
      <c r="R752">
        <f>VLOOKUP(Table9[[#This Row],[Shortname]], Comp[], 15, FALSE)</f>
        <v>0</v>
      </c>
      <c r="S752">
        <f>VLOOKUP(Table9[[#This Row],[Shortname]], Comp[], 16, FALSE)</f>
        <v>0</v>
      </c>
      <c r="T752">
        <f>VLOOKUP(Table9[[#This Row],[Shortname]], Comp[], 17, FALSE)</f>
        <v>0</v>
      </c>
      <c r="U752">
        <f>VLOOKUP(Table9[[#This Row],[Shortname]], Comp[], 18, FALSE)</f>
        <v>0</v>
      </c>
      <c r="V752">
        <f>VLOOKUP(Table9[[#This Row],[Shortname]], Comp[], 19, FALSE)</f>
        <v>0</v>
      </c>
      <c r="W752">
        <f>VLOOKUP(Table9[[#This Row],[Shortname]], Comp[], 20, FALSE)</f>
        <v>0</v>
      </c>
      <c r="X752">
        <f>VLOOKUP(Table9[[#This Row],[Shortname]], Comp[], 21, FALSE)</f>
        <v>0</v>
      </c>
      <c r="Y752">
        <f>VLOOKUP(Table9[[#This Row],[Shortname]], Comp[], 22, FALSE)</f>
        <v>0</v>
      </c>
      <c r="Z752">
        <f>VLOOKUP(Table9[[#This Row],[Shortname]], Comp[], 23, FALSE)</f>
        <v>0</v>
      </c>
      <c r="AA752">
        <f>VLOOKUP(Table9[[#This Row],[Shortname]], Comp[], 24, FALSE)</f>
        <v>0</v>
      </c>
      <c r="AB752">
        <f>VLOOKUP(Table9[[#This Row],[Shortname]], Comp[], 25, FALSE)</f>
        <v>6</v>
      </c>
      <c r="AC752">
        <f>VLOOKUP(Table9[[#This Row],[Shortname]], Comp[], 26, FALSE)</f>
        <v>0</v>
      </c>
      <c r="AD752">
        <f>VLOOKUP(Table9[[#This Row],[Shortname]], Comp[], 27, FALSE)</f>
        <v>0</v>
      </c>
      <c r="AE752">
        <f>VLOOKUP(Table9[[#This Row],[Shortname]], Comp[], 28, FALSE)</f>
        <v>0</v>
      </c>
      <c r="AF752">
        <f>VLOOKUP(Table9[[#This Row],[Shortname]], Comp[], 29, FALSE)</f>
        <v>0</v>
      </c>
      <c r="AG752">
        <f>VLOOKUP(Table9[[#This Row],[Shortname]], Comp[], 30, FALSE)</f>
        <v>0</v>
      </c>
      <c r="AH752">
        <f>VLOOKUP(Table9[[#This Row],[Shortname]], Comp[], 31, FALSE)</f>
        <v>0</v>
      </c>
    </row>
    <row r="753" spans="1:34" x14ac:dyDescent="0.3">
      <c r="A753" t="s">
        <v>3850</v>
      </c>
      <c r="B753" t="s">
        <v>6880</v>
      </c>
      <c r="C753" t="s">
        <v>3839</v>
      </c>
      <c r="D753">
        <v>1067</v>
      </c>
      <c r="E753">
        <v>600</v>
      </c>
      <c r="F753">
        <v>1E-4</v>
      </c>
      <c r="G753">
        <v>1</v>
      </c>
      <c r="H753" t="s">
        <v>6878</v>
      </c>
      <c r="I753">
        <f>VLOOKUP(Table9[[#This Row],[Shortname]], Comp[], 6, FALSE)</f>
        <v>578</v>
      </c>
      <c r="J753" s="14">
        <f>VLOOKUP(Table9[[#This Row],[Shortname]], Comp[], 7, FALSE)</f>
        <v>80</v>
      </c>
      <c r="K753">
        <f>VLOOKUP(Table9[[#This Row],[Shortname]], Comp[], 8, FALSE)</f>
        <v>0</v>
      </c>
      <c r="L753">
        <f>VLOOKUP(Table9[[#This Row],[Shortname]], Comp[], 9, FALSE)</f>
        <v>9</v>
      </c>
      <c r="M753">
        <f>VLOOKUP(Table9[[#This Row],[Shortname]], Comp[], 10, FALSE)</f>
        <v>0</v>
      </c>
      <c r="N753">
        <f>VLOOKUP(Table9[[#This Row],[Shortname]], Comp[], 11, FALSE)</f>
        <v>3</v>
      </c>
      <c r="O753">
        <f>VLOOKUP(Table9[[#This Row],[Shortname]], Comp[],12, FALSE)</f>
        <v>0</v>
      </c>
      <c r="P753">
        <f>VLOOKUP(Table9[[#This Row],[Shortname]], Comp[], 13, FALSE)</f>
        <v>2</v>
      </c>
      <c r="Q753">
        <f>VLOOKUP(Table9[[#This Row],[Shortname]], Comp[], 14, FALSE)</f>
        <v>0</v>
      </c>
      <c r="R753">
        <f>VLOOKUP(Table9[[#This Row],[Shortname]], Comp[], 15, FALSE)</f>
        <v>0</v>
      </c>
      <c r="S753">
        <f>VLOOKUP(Table9[[#This Row],[Shortname]], Comp[], 16, FALSE)</f>
        <v>0</v>
      </c>
      <c r="T753">
        <f>VLOOKUP(Table9[[#This Row],[Shortname]], Comp[], 17, FALSE)</f>
        <v>0</v>
      </c>
      <c r="U753">
        <f>VLOOKUP(Table9[[#This Row],[Shortname]], Comp[], 18, FALSE)</f>
        <v>0</v>
      </c>
      <c r="V753">
        <f>VLOOKUP(Table9[[#This Row],[Shortname]], Comp[], 19, FALSE)</f>
        <v>0</v>
      </c>
      <c r="W753">
        <f>VLOOKUP(Table9[[#This Row],[Shortname]], Comp[], 20, FALSE)</f>
        <v>0</v>
      </c>
      <c r="X753">
        <f>VLOOKUP(Table9[[#This Row],[Shortname]], Comp[], 21, FALSE)</f>
        <v>0</v>
      </c>
      <c r="Y753">
        <f>VLOOKUP(Table9[[#This Row],[Shortname]], Comp[], 22, FALSE)</f>
        <v>0</v>
      </c>
      <c r="Z753">
        <f>VLOOKUP(Table9[[#This Row],[Shortname]], Comp[], 23, FALSE)</f>
        <v>0</v>
      </c>
      <c r="AA753">
        <f>VLOOKUP(Table9[[#This Row],[Shortname]], Comp[], 24, FALSE)</f>
        <v>0</v>
      </c>
      <c r="AB753">
        <f>VLOOKUP(Table9[[#This Row],[Shortname]], Comp[], 25, FALSE)</f>
        <v>6</v>
      </c>
      <c r="AC753">
        <f>VLOOKUP(Table9[[#This Row],[Shortname]], Comp[], 26, FALSE)</f>
        <v>0</v>
      </c>
      <c r="AD753">
        <f>VLOOKUP(Table9[[#This Row],[Shortname]], Comp[], 27, FALSE)</f>
        <v>0</v>
      </c>
      <c r="AE753">
        <f>VLOOKUP(Table9[[#This Row],[Shortname]], Comp[], 28, FALSE)</f>
        <v>0</v>
      </c>
      <c r="AF753">
        <f>VLOOKUP(Table9[[#This Row],[Shortname]], Comp[], 29, FALSE)</f>
        <v>0</v>
      </c>
      <c r="AG753">
        <f>VLOOKUP(Table9[[#This Row],[Shortname]], Comp[], 30, FALSE)</f>
        <v>0</v>
      </c>
      <c r="AH753">
        <f>VLOOKUP(Table9[[#This Row],[Shortname]], Comp[], 31, FALSE)</f>
        <v>0</v>
      </c>
    </row>
    <row r="754" spans="1:34" x14ac:dyDescent="0.3">
      <c r="A754" t="s">
        <v>3850</v>
      </c>
      <c r="B754" t="s">
        <v>6880</v>
      </c>
      <c r="C754" t="s">
        <v>3839</v>
      </c>
      <c r="D754">
        <v>848</v>
      </c>
      <c r="E754">
        <v>750</v>
      </c>
      <c r="F754">
        <v>1E-4</v>
      </c>
      <c r="G754">
        <v>1</v>
      </c>
      <c r="H754" t="s">
        <v>6878</v>
      </c>
      <c r="I754">
        <f>VLOOKUP(Table9[[#This Row],[Shortname]], Comp[], 6, FALSE)</f>
        <v>578</v>
      </c>
      <c r="J754" s="14">
        <f>VLOOKUP(Table9[[#This Row],[Shortname]], Comp[], 7, FALSE)</f>
        <v>80</v>
      </c>
      <c r="K754">
        <f>VLOOKUP(Table9[[#This Row],[Shortname]], Comp[], 8, FALSE)</f>
        <v>0</v>
      </c>
      <c r="L754">
        <f>VLOOKUP(Table9[[#This Row],[Shortname]], Comp[], 9, FALSE)</f>
        <v>9</v>
      </c>
      <c r="M754">
        <f>VLOOKUP(Table9[[#This Row],[Shortname]], Comp[], 10, FALSE)</f>
        <v>0</v>
      </c>
      <c r="N754">
        <f>VLOOKUP(Table9[[#This Row],[Shortname]], Comp[], 11, FALSE)</f>
        <v>3</v>
      </c>
      <c r="O754">
        <f>VLOOKUP(Table9[[#This Row],[Shortname]], Comp[],12, FALSE)</f>
        <v>0</v>
      </c>
      <c r="P754">
        <f>VLOOKUP(Table9[[#This Row],[Shortname]], Comp[], 13, FALSE)</f>
        <v>2</v>
      </c>
      <c r="Q754">
        <f>VLOOKUP(Table9[[#This Row],[Shortname]], Comp[], 14, FALSE)</f>
        <v>0</v>
      </c>
      <c r="R754">
        <f>VLOOKUP(Table9[[#This Row],[Shortname]], Comp[], 15, FALSE)</f>
        <v>0</v>
      </c>
      <c r="S754">
        <f>VLOOKUP(Table9[[#This Row],[Shortname]], Comp[], 16, FALSE)</f>
        <v>0</v>
      </c>
      <c r="T754">
        <f>VLOOKUP(Table9[[#This Row],[Shortname]], Comp[], 17, FALSE)</f>
        <v>0</v>
      </c>
      <c r="U754">
        <f>VLOOKUP(Table9[[#This Row],[Shortname]], Comp[], 18, FALSE)</f>
        <v>0</v>
      </c>
      <c r="V754">
        <f>VLOOKUP(Table9[[#This Row],[Shortname]], Comp[], 19, FALSE)</f>
        <v>0</v>
      </c>
      <c r="W754">
        <f>VLOOKUP(Table9[[#This Row],[Shortname]], Comp[], 20, FALSE)</f>
        <v>0</v>
      </c>
      <c r="X754">
        <f>VLOOKUP(Table9[[#This Row],[Shortname]], Comp[], 21, FALSE)</f>
        <v>0</v>
      </c>
      <c r="Y754">
        <f>VLOOKUP(Table9[[#This Row],[Shortname]], Comp[], 22, FALSE)</f>
        <v>0</v>
      </c>
      <c r="Z754">
        <f>VLOOKUP(Table9[[#This Row],[Shortname]], Comp[], 23, FALSE)</f>
        <v>0</v>
      </c>
      <c r="AA754">
        <f>VLOOKUP(Table9[[#This Row],[Shortname]], Comp[], 24, FALSE)</f>
        <v>0</v>
      </c>
      <c r="AB754">
        <f>VLOOKUP(Table9[[#This Row],[Shortname]], Comp[], 25, FALSE)</f>
        <v>6</v>
      </c>
      <c r="AC754">
        <f>VLOOKUP(Table9[[#This Row],[Shortname]], Comp[], 26, FALSE)</f>
        <v>0</v>
      </c>
      <c r="AD754">
        <f>VLOOKUP(Table9[[#This Row],[Shortname]], Comp[], 27, FALSE)</f>
        <v>0</v>
      </c>
      <c r="AE754">
        <f>VLOOKUP(Table9[[#This Row],[Shortname]], Comp[], 28, FALSE)</f>
        <v>0</v>
      </c>
      <c r="AF754">
        <f>VLOOKUP(Table9[[#This Row],[Shortname]], Comp[], 29, FALSE)</f>
        <v>0</v>
      </c>
      <c r="AG754">
        <f>VLOOKUP(Table9[[#This Row],[Shortname]], Comp[], 30, FALSE)</f>
        <v>0</v>
      </c>
      <c r="AH754">
        <f>VLOOKUP(Table9[[#This Row],[Shortname]], Comp[], 31, FALSE)</f>
        <v>0</v>
      </c>
    </row>
    <row r="755" spans="1:34" x14ac:dyDescent="0.3">
      <c r="A755" t="s">
        <v>3850</v>
      </c>
      <c r="B755" t="s">
        <v>6880</v>
      </c>
      <c r="C755" t="s">
        <v>3839</v>
      </c>
      <c r="D755">
        <v>550</v>
      </c>
      <c r="E755">
        <v>800</v>
      </c>
      <c r="F755">
        <v>1E-4</v>
      </c>
      <c r="G755">
        <v>1</v>
      </c>
      <c r="H755" t="s">
        <v>6878</v>
      </c>
      <c r="I755">
        <f>VLOOKUP(Table9[[#This Row],[Shortname]], Comp[], 6, FALSE)</f>
        <v>578</v>
      </c>
      <c r="J755" s="14">
        <f>VLOOKUP(Table9[[#This Row],[Shortname]], Comp[], 7, FALSE)</f>
        <v>80</v>
      </c>
      <c r="K755">
        <f>VLOOKUP(Table9[[#This Row],[Shortname]], Comp[], 8, FALSE)</f>
        <v>0</v>
      </c>
      <c r="L755">
        <f>VLOOKUP(Table9[[#This Row],[Shortname]], Comp[], 9, FALSE)</f>
        <v>9</v>
      </c>
      <c r="M755">
        <f>VLOOKUP(Table9[[#This Row],[Shortname]], Comp[], 10, FALSE)</f>
        <v>0</v>
      </c>
      <c r="N755">
        <f>VLOOKUP(Table9[[#This Row],[Shortname]], Comp[], 11, FALSE)</f>
        <v>3</v>
      </c>
      <c r="O755">
        <f>VLOOKUP(Table9[[#This Row],[Shortname]], Comp[],12, FALSE)</f>
        <v>0</v>
      </c>
      <c r="P755">
        <f>VLOOKUP(Table9[[#This Row],[Shortname]], Comp[], 13, FALSE)</f>
        <v>2</v>
      </c>
      <c r="Q755">
        <f>VLOOKUP(Table9[[#This Row],[Shortname]], Comp[], 14, FALSE)</f>
        <v>0</v>
      </c>
      <c r="R755">
        <f>VLOOKUP(Table9[[#This Row],[Shortname]], Comp[], 15, FALSE)</f>
        <v>0</v>
      </c>
      <c r="S755">
        <f>VLOOKUP(Table9[[#This Row],[Shortname]], Comp[], 16, FALSE)</f>
        <v>0</v>
      </c>
      <c r="T755">
        <f>VLOOKUP(Table9[[#This Row],[Shortname]], Comp[], 17, FALSE)</f>
        <v>0</v>
      </c>
      <c r="U755">
        <f>VLOOKUP(Table9[[#This Row],[Shortname]], Comp[], 18, FALSE)</f>
        <v>0</v>
      </c>
      <c r="V755">
        <f>VLOOKUP(Table9[[#This Row],[Shortname]], Comp[], 19, FALSE)</f>
        <v>0</v>
      </c>
      <c r="W755">
        <f>VLOOKUP(Table9[[#This Row],[Shortname]], Comp[], 20, FALSE)</f>
        <v>0</v>
      </c>
      <c r="X755">
        <f>VLOOKUP(Table9[[#This Row],[Shortname]], Comp[], 21, FALSE)</f>
        <v>0</v>
      </c>
      <c r="Y755">
        <f>VLOOKUP(Table9[[#This Row],[Shortname]], Comp[], 22, FALSE)</f>
        <v>0</v>
      </c>
      <c r="Z755">
        <f>VLOOKUP(Table9[[#This Row],[Shortname]], Comp[], 23, FALSE)</f>
        <v>0</v>
      </c>
      <c r="AA755">
        <f>VLOOKUP(Table9[[#This Row],[Shortname]], Comp[], 24, FALSE)</f>
        <v>0</v>
      </c>
      <c r="AB755">
        <f>VLOOKUP(Table9[[#This Row],[Shortname]], Comp[], 25, FALSE)</f>
        <v>6</v>
      </c>
      <c r="AC755">
        <f>VLOOKUP(Table9[[#This Row],[Shortname]], Comp[], 26, FALSE)</f>
        <v>0</v>
      </c>
      <c r="AD755">
        <f>VLOOKUP(Table9[[#This Row],[Shortname]], Comp[], 27, FALSE)</f>
        <v>0</v>
      </c>
      <c r="AE755">
        <f>VLOOKUP(Table9[[#This Row],[Shortname]], Comp[], 28, FALSE)</f>
        <v>0</v>
      </c>
      <c r="AF755">
        <f>VLOOKUP(Table9[[#This Row],[Shortname]], Comp[], 29, FALSE)</f>
        <v>0</v>
      </c>
      <c r="AG755">
        <f>VLOOKUP(Table9[[#This Row],[Shortname]], Comp[], 30, FALSE)</f>
        <v>0</v>
      </c>
      <c r="AH755">
        <f>VLOOKUP(Table9[[#This Row],[Shortname]], Comp[], 31, FALSE)</f>
        <v>0</v>
      </c>
    </row>
    <row r="756" spans="1:34" x14ac:dyDescent="0.3">
      <c r="A756" t="s">
        <v>3836</v>
      </c>
      <c r="B756" t="s">
        <v>3838</v>
      </c>
      <c r="C756" t="s">
        <v>3839</v>
      </c>
      <c r="D756">
        <v>1688</v>
      </c>
      <c r="E756">
        <v>25</v>
      </c>
      <c r="F756">
        <v>1E-4</v>
      </c>
      <c r="G756">
        <v>1</v>
      </c>
      <c r="H756" t="s">
        <v>6878</v>
      </c>
      <c r="I756">
        <f>VLOOKUP(Table9[[#This Row],[Shortname]], Comp[], 6, FALSE)</f>
        <v>576</v>
      </c>
      <c r="J756" s="14">
        <f>VLOOKUP(Table9[[#This Row],[Shortname]], Comp[], 7, FALSE)</f>
        <v>80</v>
      </c>
      <c r="K756">
        <f>VLOOKUP(Table9[[#This Row],[Shortname]], Comp[], 8, FALSE)</f>
        <v>0</v>
      </c>
      <c r="L756">
        <f>VLOOKUP(Table9[[#This Row],[Shortname]], Comp[], 9, FALSE)</f>
        <v>9</v>
      </c>
      <c r="M756">
        <f>VLOOKUP(Table9[[#This Row],[Shortname]], Comp[], 10, FALSE)</f>
        <v>0</v>
      </c>
      <c r="N756">
        <f>VLOOKUP(Table9[[#This Row],[Shortname]], Comp[], 11, FALSE)</f>
        <v>7</v>
      </c>
      <c r="O756">
        <f>VLOOKUP(Table9[[#This Row],[Shortname]], Comp[],12, FALSE)</f>
        <v>0</v>
      </c>
      <c r="P756">
        <f>VLOOKUP(Table9[[#This Row],[Shortname]], Comp[], 13, FALSE)</f>
        <v>2</v>
      </c>
      <c r="Q756">
        <f>VLOOKUP(Table9[[#This Row],[Shortname]], Comp[], 14, FALSE)</f>
        <v>0</v>
      </c>
      <c r="R756">
        <f>VLOOKUP(Table9[[#This Row],[Shortname]], Comp[], 15, FALSE)</f>
        <v>0</v>
      </c>
      <c r="S756">
        <f>VLOOKUP(Table9[[#This Row],[Shortname]], Comp[], 16, FALSE)</f>
        <v>0</v>
      </c>
      <c r="T756">
        <f>VLOOKUP(Table9[[#This Row],[Shortname]], Comp[], 17, FALSE)</f>
        <v>0</v>
      </c>
      <c r="U756">
        <f>VLOOKUP(Table9[[#This Row],[Shortname]], Comp[], 18, FALSE)</f>
        <v>0</v>
      </c>
      <c r="V756">
        <f>VLOOKUP(Table9[[#This Row],[Shortname]], Comp[], 19, FALSE)</f>
        <v>0</v>
      </c>
      <c r="W756">
        <f>VLOOKUP(Table9[[#This Row],[Shortname]], Comp[], 20, FALSE)</f>
        <v>0</v>
      </c>
      <c r="X756">
        <f>VLOOKUP(Table9[[#This Row],[Shortname]], Comp[], 21, FALSE)</f>
        <v>0</v>
      </c>
      <c r="Y756">
        <f>VLOOKUP(Table9[[#This Row],[Shortname]], Comp[], 22, FALSE)</f>
        <v>0</v>
      </c>
      <c r="Z756">
        <f>VLOOKUP(Table9[[#This Row],[Shortname]], Comp[], 23, FALSE)</f>
        <v>0</v>
      </c>
      <c r="AA756">
        <f>VLOOKUP(Table9[[#This Row],[Shortname]], Comp[], 24, FALSE)</f>
        <v>0</v>
      </c>
      <c r="AB756">
        <f>VLOOKUP(Table9[[#This Row],[Shortname]], Comp[], 25, FALSE)</f>
        <v>2</v>
      </c>
      <c r="AC756">
        <f>VLOOKUP(Table9[[#This Row],[Shortname]], Comp[], 26, FALSE)</f>
        <v>0</v>
      </c>
      <c r="AD756">
        <f>VLOOKUP(Table9[[#This Row],[Shortname]], Comp[], 27, FALSE)</f>
        <v>0</v>
      </c>
      <c r="AE756">
        <f>VLOOKUP(Table9[[#This Row],[Shortname]], Comp[], 28, FALSE)</f>
        <v>0</v>
      </c>
      <c r="AF756">
        <f>VLOOKUP(Table9[[#This Row],[Shortname]], Comp[], 29, FALSE)</f>
        <v>0</v>
      </c>
      <c r="AG756">
        <f>VLOOKUP(Table9[[#This Row],[Shortname]], Comp[], 30, FALSE)</f>
        <v>0</v>
      </c>
      <c r="AH756">
        <f>VLOOKUP(Table9[[#This Row],[Shortname]], Comp[], 31, FALSE)</f>
        <v>0</v>
      </c>
    </row>
    <row r="757" spans="1:34" x14ac:dyDescent="0.3">
      <c r="A757" t="s">
        <v>3836</v>
      </c>
      <c r="B757" t="s">
        <v>3838</v>
      </c>
      <c r="C757" t="s">
        <v>3839</v>
      </c>
      <c r="D757">
        <v>788</v>
      </c>
      <c r="E757">
        <v>600</v>
      </c>
      <c r="F757">
        <v>1E-4</v>
      </c>
      <c r="G757">
        <v>1</v>
      </c>
      <c r="H757" t="s">
        <v>6878</v>
      </c>
      <c r="I757">
        <f>VLOOKUP(Table9[[#This Row],[Shortname]], Comp[], 6, FALSE)</f>
        <v>576</v>
      </c>
      <c r="J757" s="14">
        <f>VLOOKUP(Table9[[#This Row],[Shortname]], Comp[], 7, FALSE)</f>
        <v>80</v>
      </c>
      <c r="K757">
        <f>VLOOKUP(Table9[[#This Row],[Shortname]], Comp[], 8, FALSE)</f>
        <v>0</v>
      </c>
      <c r="L757">
        <f>VLOOKUP(Table9[[#This Row],[Shortname]], Comp[], 9, FALSE)</f>
        <v>9</v>
      </c>
      <c r="M757">
        <f>VLOOKUP(Table9[[#This Row],[Shortname]], Comp[], 10, FALSE)</f>
        <v>0</v>
      </c>
      <c r="N757">
        <f>VLOOKUP(Table9[[#This Row],[Shortname]], Comp[], 11, FALSE)</f>
        <v>7</v>
      </c>
      <c r="O757">
        <f>VLOOKUP(Table9[[#This Row],[Shortname]], Comp[],12, FALSE)</f>
        <v>0</v>
      </c>
      <c r="P757">
        <f>VLOOKUP(Table9[[#This Row],[Shortname]], Comp[], 13, FALSE)</f>
        <v>2</v>
      </c>
      <c r="Q757">
        <f>VLOOKUP(Table9[[#This Row],[Shortname]], Comp[], 14, FALSE)</f>
        <v>0</v>
      </c>
      <c r="R757">
        <f>VLOOKUP(Table9[[#This Row],[Shortname]], Comp[], 15, FALSE)</f>
        <v>0</v>
      </c>
      <c r="S757">
        <f>VLOOKUP(Table9[[#This Row],[Shortname]], Comp[], 16, FALSE)</f>
        <v>0</v>
      </c>
      <c r="T757">
        <f>VLOOKUP(Table9[[#This Row],[Shortname]], Comp[], 17, FALSE)</f>
        <v>0</v>
      </c>
      <c r="U757">
        <f>VLOOKUP(Table9[[#This Row],[Shortname]], Comp[], 18, FALSE)</f>
        <v>0</v>
      </c>
      <c r="V757">
        <f>VLOOKUP(Table9[[#This Row],[Shortname]], Comp[], 19, FALSE)</f>
        <v>0</v>
      </c>
      <c r="W757">
        <f>VLOOKUP(Table9[[#This Row],[Shortname]], Comp[], 20, FALSE)</f>
        <v>0</v>
      </c>
      <c r="X757">
        <f>VLOOKUP(Table9[[#This Row],[Shortname]], Comp[], 21, FALSE)</f>
        <v>0</v>
      </c>
      <c r="Y757">
        <f>VLOOKUP(Table9[[#This Row],[Shortname]], Comp[], 22, FALSE)</f>
        <v>0</v>
      </c>
      <c r="Z757">
        <f>VLOOKUP(Table9[[#This Row],[Shortname]], Comp[], 23, FALSE)</f>
        <v>0</v>
      </c>
      <c r="AA757">
        <f>VLOOKUP(Table9[[#This Row],[Shortname]], Comp[], 24, FALSE)</f>
        <v>0</v>
      </c>
      <c r="AB757">
        <f>VLOOKUP(Table9[[#This Row],[Shortname]], Comp[], 25, FALSE)</f>
        <v>2</v>
      </c>
      <c r="AC757">
        <f>VLOOKUP(Table9[[#This Row],[Shortname]], Comp[], 26, FALSE)</f>
        <v>0</v>
      </c>
      <c r="AD757">
        <f>VLOOKUP(Table9[[#This Row],[Shortname]], Comp[], 27, FALSE)</f>
        <v>0</v>
      </c>
      <c r="AE757">
        <f>VLOOKUP(Table9[[#This Row],[Shortname]], Comp[], 28, FALSE)</f>
        <v>0</v>
      </c>
      <c r="AF757">
        <f>VLOOKUP(Table9[[#This Row],[Shortname]], Comp[], 29, FALSE)</f>
        <v>0</v>
      </c>
      <c r="AG757">
        <f>VLOOKUP(Table9[[#This Row],[Shortname]], Comp[], 30, FALSE)</f>
        <v>0</v>
      </c>
      <c r="AH757">
        <f>VLOOKUP(Table9[[#This Row],[Shortname]], Comp[], 31, FALSE)</f>
        <v>0</v>
      </c>
    </row>
    <row r="758" spans="1:34" x14ac:dyDescent="0.3">
      <c r="A758" t="s">
        <v>3836</v>
      </c>
      <c r="B758" t="s">
        <v>3838</v>
      </c>
      <c r="C758" t="s">
        <v>3839</v>
      </c>
      <c r="D758">
        <v>832</v>
      </c>
      <c r="E758">
        <v>700</v>
      </c>
      <c r="F758">
        <v>1.0001</v>
      </c>
      <c r="G758">
        <v>1</v>
      </c>
      <c r="H758" t="s">
        <v>6878</v>
      </c>
      <c r="I758">
        <f>VLOOKUP(Table9[[#This Row],[Shortname]], Comp[], 6, FALSE)</f>
        <v>576</v>
      </c>
      <c r="J758" s="14">
        <f>VLOOKUP(Table9[[#This Row],[Shortname]], Comp[], 7, FALSE)</f>
        <v>80</v>
      </c>
      <c r="K758">
        <f>VLOOKUP(Table9[[#This Row],[Shortname]], Comp[], 8, FALSE)</f>
        <v>0</v>
      </c>
      <c r="L758">
        <f>VLOOKUP(Table9[[#This Row],[Shortname]], Comp[], 9, FALSE)</f>
        <v>9</v>
      </c>
      <c r="M758">
        <f>VLOOKUP(Table9[[#This Row],[Shortname]], Comp[], 10, FALSE)</f>
        <v>0</v>
      </c>
      <c r="N758">
        <f>VLOOKUP(Table9[[#This Row],[Shortname]], Comp[], 11, FALSE)</f>
        <v>7</v>
      </c>
      <c r="O758">
        <f>VLOOKUP(Table9[[#This Row],[Shortname]], Comp[],12, FALSE)</f>
        <v>0</v>
      </c>
      <c r="P758">
        <f>VLOOKUP(Table9[[#This Row],[Shortname]], Comp[], 13, FALSE)</f>
        <v>2</v>
      </c>
      <c r="Q758">
        <f>VLOOKUP(Table9[[#This Row],[Shortname]], Comp[], 14, FALSE)</f>
        <v>0</v>
      </c>
      <c r="R758">
        <f>VLOOKUP(Table9[[#This Row],[Shortname]], Comp[], 15, FALSE)</f>
        <v>0</v>
      </c>
      <c r="S758">
        <f>VLOOKUP(Table9[[#This Row],[Shortname]], Comp[], 16, FALSE)</f>
        <v>0</v>
      </c>
      <c r="T758">
        <f>VLOOKUP(Table9[[#This Row],[Shortname]], Comp[], 17, FALSE)</f>
        <v>0</v>
      </c>
      <c r="U758">
        <f>VLOOKUP(Table9[[#This Row],[Shortname]], Comp[], 18, FALSE)</f>
        <v>0</v>
      </c>
      <c r="V758">
        <f>VLOOKUP(Table9[[#This Row],[Shortname]], Comp[], 19, FALSE)</f>
        <v>0</v>
      </c>
      <c r="W758">
        <f>VLOOKUP(Table9[[#This Row],[Shortname]], Comp[], 20, FALSE)</f>
        <v>0</v>
      </c>
      <c r="X758">
        <f>VLOOKUP(Table9[[#This Row],[Shortname]], Comp[], 21, FALSE)</f>
        <v>0</v>
      </c>
      <c r="Y758">
        <f>VLOOKUP(Table9[[#This Row],[Shortname]], Comp[], 22, FALSE)</f>
        <v>0</v>
      </c>
      <c r="Z758">
        <f>VLOOKUP(Table9[[#This Row],[Shortname]], Comp[], 23, FALSE)</f>
        <v>0</v>
      </c>
      <c r="AA758">
        <f>VLOOKUP(Table9[[#This Row],[Shortname]], Comp[], 24, FALSE)</f>
        <v>0</v>
      </c>
      <c r="AB758">
        <f>VLOOKUP(Table9[[#This Row],[Shortname]], Comp[], 25, FALSE)</f>
        <v>2</v>
      </c>
      <c r="AC758">
        <f>VLOOKUP(Table9[[#This Row],[Shortname]], Comp[], 26, FALSE)</f>
        <v>0</v>
      </c>
      <c r="AD758">
        <f>VLOOKUP(Table9[[#This Row],[Shortname]], Comp[], 27, FALSE)</f>
        <v>0</v>
      </c>
      <c r="AE758">
        <f>VLOOKUP(Table9[[#This Row],[Shortname]], Comp[], 28, FALSE)</f>
        <v>0</v>
      </c>
      <c r="AF758">
        <f>VLOOKUP(Table9[[#This Row],[Shortname]], Comp[], 29, FALSE)</f>
        <v>0</v>
      </c>
      <c r="AG758">
        <f>VLOOKUP(Table9[[#This Row],[Shortname]], Comp[], 30, FALSE)</f>
        <v>0</v>
      </c>
      <c r="AH758">
        <f>VLOOKUP(Table9[[#This Row],[Shortname]], Comp[], 31, FALSE)</f>
        <v>0</v>
      </c>
    </row>
    <row r="759" spans="1:34" x14ac:dyDescent="0.3">
      <c r="A759" t="s">
        <v>3836</v>
      </c>
      <c r="B759" t="s">
        <v>3838</v>
      </c>
      <c r="C759" t="s">
        <v>3839</v>
      </c>
      <c r="D759">
        <v>769</v>
      </c>
      <c r="E759">
        <v>800</v>
      </c>
      <c r="F759">
        <v>1E-4</v>
      </c>
      <c r="G759">
        <v>1</v>
      </c>
      <c r="H759" t="s">
        <v>6878</v>
      </c>
      <c r="I759">
        <f>VLOOKUP(Table9[[#This Row],[Shortname]], Comp[], 6, FALSE)</f>
        <v>576</v>
      </c>
      <c r="J759" s="14">
        <f>VLOOKUP(Table9[[#This Row],[Shortname]], Comp[], 7, FALSE)</f>
        <v>80</v>
      </c>
      <c r="K759">
        <f>VLOOKUP(Table9[[#This Row],[Shortname]], Comp[], 8, FALSE)</f>
        <v>0</v>
      </c>
      <c r="L759">
        <f>VLOOKUP(Table9[[#This Row],[Shortname]], Comp[], 9, FALSE)</f>
        <v>9</v>
      </c>
      <c r="M759">
        <f>VLOOKUP(Table9[[#This Row],[Shortname]], Comp[], 10, FALSE)</f>
        <v>0</v>
      </c>
      <c r="N759">
        <f>VLOOKUP(Table9[[#This Row],[Shortname]], Comp[], 11, FALSE)</f>
        <v>7</v>
      </c>
      <c r="O759">
        <f>VLOOKUP(Table9[[#This Row],[Shortname]], Comp[],12, FALSE)</f>
        <v>0</v>
      </c>
      <c r="P759">
        <f>VLOOKUP(Table9[[#This Row],[Shortname]], Comp[], 13, FALSE)</f>
        <v>2</v>
      </c>
      <c r="Q759">
        <f>VLOOKUP(Table9[[#This Row],[Shortname]], Comp[], 14, FALSE)</f>
        <v>0</v>
      </c>
      <c r="R759">
        <f>VLOOKUP(Table9[[#This Row],[Shortname]], Comp[], 15, FALSE)</f>
        <v>0</v>
      </c>
      <c r="S759">
        <f>VLOOKUP(Table9[[#This Row],[Shortname]], Comp[], 16, FALSE)</f>
        <v>0</v>
      </c>
      <c r="T759">
        <f>VLOOKUP(Table9[[#This Row],[Shortname]], Comp[], 17, FALSE)</f>
        <v>0</v>
      </c>
      <c r="U759">
        <f>VLOOKUP(Table9[[#This Row],[Shortname]], Comp[], 18, FALSE)</f>
        <v>0</v>
      </c>
      <c r="V759">
        <f>VLOOKUP(Table9[[#This Row],[Shortname]], Comp[], 19, FALSE)</f>
        <v>0</v>
      </c>
      <c r="W759">
        <f>VLOOKUP(Table9[[#This Row],[Shortname]], Comp[], 20, FALSE)</f>
        <v>0</v>
      </c>
      <c r="X759">
        <f>VLOOKUP(Table9[[#This Row],[Shortname]], Comp[], 21, FALSE)</f>
        <v>0</v>
      </c>
      <c r="Y759">
        <f>VLOOKUP(Table9[[#This Row],[Shortname]], Comp[], 22, FALSE)</f>
        <v>0</v>
      </c>
      <c r="Z759">
        <f>VLOOKUP(Table9[[#This Row],[Shortname]], Comp[], 23, FALSE)</f>
        <v>0</v>
      </c>
      <c r="AA759">
        <f>VLOOKUP(Table9[[#This Row],[Shortname]], Comp[], 24, FALSE)</f>
        <v>0</v>
      </c>
      <c r="AB759">
        <f>VLOOKUP(Table9[[#This Row],[Shortname]], Comp[], 25, FALSE)</f>
        <v>2</v>
      </c>
      <c r="AC759">
        <f>VLOOKUP(Table9[[#This Row],[Shortname]], Comp[], 26, FALSE)</f>
        <v>0</v>
      </c>
      <c r="AD759">
        <f>VLOOKUP(Table9[[#This Row],[Shortname]], Comp[], 27, FALSE)</f>
        <v>0</v>
      </c>
      <c r="AE759">
        <f>VLOOKUP(Table9[[#This Row],[Shortname]], Comp[], 28, FALSE)</f>
        <v>0</v>
      </c>
      <c r="AF759">
        <f>VLOOKUP(Table9[[#This Row],[Shortname]], Comp[], 29, FALSE)</f>
        <v>0</v>
      </c>
      <c r="AG759">
        <f>VLOOKUP(Table9[[#This Row],[Shortname]], Comp[], 30, FALSE)</f>
        <v>0</v>
      </c>
      <c r="AH759">
        <f>VLOOKUP(Table9[[#This Row],[Shortname]], Comp[], 31, FALSE)</f>
        <v>0</v>
      </c>
    </row>
    <row r="760" spans="1:34" x14ac:dyDescent="0.3">
      <c r="A760" t="s">
        <v>5029</v>
      </c>
      <c r="B760" t="s">
        <v>5031</v>
      </c>
      <c r="C760" t="s">
        <v>5027</v>
      </c>
      <c r="D760">
        <v>629.91</v>
      </c>
      <c r="E760">
        <v>25</v>
      </c>
      <c r="F760">
        <v>1E-4</v>
      </c>
      <c r="G760">
        <v>1</v>
      </c>
      <c r="I760">
        <f>VLOOKUP(Table9[[#This Row],[Shortname]], Comp[], 6, FALSE)</f>
        <v>774</v>
      </c>
      <c r="J760" s="14">
        <f>VLOOKUP(Table9[[#This Row],[Shortname]], Comp[], 7, FALSE)</f>
        <v>73</v>
      </c>
      <c r="K760">
        <f>VLOOKUP(Table9[[#This Row],[Shortname]], Comp[], 8, FALSE)</f>
        <v>0</v>
      </c>
      <c r="L760">
        <f>VLOOKUP(Table9[[#This Row],[Shortname]], Comp[], 9, FALSE)</f>
        <v>1</v>
      </c>
      <c r="M760">
        <f>VLOOKUP(Table9[[#This Row],[Shortname]], Comp[], 10, FALSE)</f>
        <v>15</v>
      </c>
      <c r="N760">
        <f>VLOOKUP(Table9[[#This Row],[Shortname]], Comp[], 11, FALSE)</f>
        <v>0</v>
      </c>
      <c r="O760">
        <f>VLOOKUP(Table9[[#This Row],[Shortname]], Comp[],12, FALSE)</f>
        <v>11</v>
      </c>
      <c r="P760">
        <f>VLOOKUP(Table9[[#This Row],[Shortname]], Comp[], 13, FALSE)</f>
        <v>0</v>
      </c>
      <c r="Q760">
        <f>VLOOKUP(Table9[[#This Row],[Shortname]], Comp[], 14, FALSE)</f>
        <v>0</v>
      </c>
      <c r="R760">
        <f>VLOOKUP(Table9[[#This Row],[Shortname]], Comp[], 15, FALSE)</f>
        <v>0</v>
      </c>
      <c r="S760">
        <f>VLOOKUP(Table9[[#This Row],[Shortname]], Comp[], 16, FALSE)</f>
        <v>0</v>
      </c>
      <c r="T760">
        <f>VLOOKUP(Table9[[#This Row],[Shortname]], Comp[], 17, FALSE)</f>
        <v>0</v>
      </c>
      <c r="U760">
        <f>VLOOKUP(Table9[[#This Row],[Shortname]], Comp[], 18, FALSE)</f>
        <v>0</v>
      </c>
      <c r="V760">
        <f>VLOOKUP(Table9[[#This Row],[Shortname]], Comp[], 19, FALSE)</f>
        <v>0</v>
      </c>
      <c r="W760">
        <f>VLOOKUP(Table9[[#This Row],[Shortname]], Comp[], 20, FALSE)</f>
        <v>0</v>
      </c>
      <c r="X760">
        <f>VLOOKUP(Table9[[#This Row],[Shortname]], Comp[], 21, FALSE)</f>
        <v>0</v>
      </c>
      <c r="Y760">
        <f>VLOOKUP(Table9[[#This Row],[Shortname]], Comp[], 22, FALSE)</f>
        <v>0</v>
      </c>
      <c r="Z760">
        <f>VLOOKUP(Table9[[#This Row],[Shortname]], Comp[], 23, FALSE)</f>
        <v>0</v>
      </c>
      <c r="AA760">
        <f>VLOOKUP(Table9[[#This Row],[Shortname]], Comp[], 24, FALSE)</f>
        <v>0</v>
      </c>
      <c r="AB760">
        <f>VLOOKUP(Table9[[#This Row],[Shortname]], Comp[], 25, FALSE)</f>
        <v>0</v>
      </c>
      <c r="AC760">
        <f>VLOOKUP(Table9[[#This Row],[Shortname]], Comp[], 26, FALSE)</f>
        <v>0</v>
      </c>
      <c r="AD760">
        <f>VLOOKUP(Table9[[#This Row],[Shortname]], Comp[], 27, FALSE)</f>
        <v>0</v>
      </c>
      <c r="AE760">
        <f>VLOOKUP(Table9[[#This Row],[Shortname]], Comp[], 28, FALSE)</f>
        <v>0</v>
      </c>
      <c r="AF760">
        <f>VLOOKUP(Table9[[#This Row],[Shortname]], Comp[], 29, FALSE)</f>
        <v>0</v>
      </c>
      <c r="AG760">
        <f>VLOOKUP(Table9[[#This Row],[Shortname]], Comp[], 30, FALSE)</f>
        <v>0</v>
      </c>
      <c r="AH760">
        <f>VLOOKUP(Table9[[#This Row],[Shortname]], Comp[], 31, FALSE)</f>
        <v>0</v>
      </c>
    </row>
    <row r="761" spans="1:34" x14ac:dyDescent="0.3">
      <c r="A761" t="s">
        <v>5029</v>
      </c>
      <c r="B761" t="s">
        <v>5031</v>
      </c>
      <c r="C761" t="s">
        <v>5027</v>
      </c>
      <c r="D761">
        <v>509.87</v>
      </c>
      <c r="E761">
        <v>749.56</v>
      </c>
      <c r="F761">
        <v>1E-4</v>
      </c>
      <c r="G761">
        <v>1</v>
      </c>
      <c r="I761">
        <f>VLOOKUP(Table9[[#This Row],[Shortname]], Comp[], 6, FALSE)</f>
        <v>774</v>
      </c>
      <c r="J761" s="14">
        <f>VLOOKUP(Table9[[#This Row],[Shortname]], Comp[], 7, FALSE)</f>
        <v>73</v>
      </c>
      <c r="K761">
        <f>VLOOKUP(Table9[[#This Row],[Shortname]], Comp[], 8, FALSE)</f>
        <v>0</v>
      </c>
      <c r="L761">
        <f>VLOOKUP(Table9[[#This Row],[Shortname]], Comp[], 9, FALSE)</f>
        <v>1</v>
      </c>
      <c r="M761">
        <f>VLOOKUP(Table9[[#This Row],[Shortname]], Comp[], 10, FALSE)</f>
        <v>15</v>
      </c>
      <c r="N761">
        <f>VLOOKUP(Table9[[#This Row],[Shortname]], Comp[], 11, FALSE)</f>
        <v>0</v>
      </c>
      <c r="O761">
        <f>VLOOKUP(Table9[[#This Row],[Shortname]], Comp[],12, FALSE)</f>
        <v>11</v>
      </c>
      <c r="P761">
        <f>VLOOKUP(Table9[[#This Row],[Shortname]], Comp[], 13, FALSE)</f>
        <v>0</v>
      </c>
      <c r="Q761">
        <f>VLOOKUP(Table9[[#This Row],[Shortname]], Comp[], 14, FALSE)</f>
        <v>0</v>
      </c>
      <c r="R761">
        <f>VLOOKUP(Table9[[#This Row],[Shortname]], Comp[], 15, FALSE)</f>
        <v>0</v>
      </c>
      <c r="S761">
        <f>VLOOKUP(Table9[[#This Row],[Shortname]], Comp[], 16, FALSE)</f>
        <v>0</v>
      </c>
      <c r="T761">
        <f>VLOOKUP(Table9[[#This Row],[Shortname]], Comp[], 17, FALSE)</f>
        <v>0</v>
      </c>
      <c r="U761">
        <f>VLOOKUP(Table9[[#This Row],[Shortname]], Comp[], 18, FALSE)</f>
        <v>0</v>
      </c>
      <c r="V761">
        <f>VLOOKUP(Table9[[#This Row],[Shortname]], Comp[], 19, FALSE)</f>
        <v>0</v>
      </c>
      <c r="W761">
        <f>VLOOKUP(Table9[[#This Row],[Shortname]], Comp[], 20, FALSE)</f>
        <v>0</v>
      </c>
      <c r="X761">
        <f>VLOOKUP(Table9[[#This Row],[Shortname]], Comp[], 21, FALSE)</f>
        <v>0</v>
      </c>
      <c r="Y761">
        <f>VLOOKUP(Table9[[#This Row],[Shortname]], Comp[], 22, FALSE)</f>
        <v>0</v>
      </c>
      <c r="Z761">
        <f>VLOOKUP(Table9[[#This Row],[Shortname]], Comp[], 23, FALSE)</f>
        <v>0</v>
      </c>
      <c r="AA761">
        <f>VLOOKUP(Table9[[#This Row],[Shortname]], Comp[], 24, FALSE)</f>
        <v>0</v>
      </c>
      <c r="AB761">
        <f>VLOOKUP(Table9[[#This Row],[Shortname]], Comp[], 25, FALSE)</f>
        <v>0</v>
      </c>
      <c r="AC761">
        <f>VLOOKUP(Table9[[#This Row],[Shortname]], Comp[], 26, FALSE)</f>
        <v>0</v>
      </c>
      <c r="AD761">
        <f>VLOOKUP(Table9[[#This Row],[Shortname]], Comp[], 27, FALSE)</f>
        <v>0</v>
      </c>
      <c r="AE761">
        <f>VLOOKUP(Table9[[#This Row],[Shortname]], Comp[], 28, FALSE)</f>
        <v>0</v>
      </c>
      <c r="AF761">
        <f>VLOOKUP(Table9[[#This Row],[Shortname]], Comp[], 29, FALSE)</f>
        <v>0</v>
      </c>
      <c r="AG761">
        <f>VLOOKUP(Table9[[#This Row],[Shortname]], Comp[], 30, FALSE)</f>
        <v>0</v>
      </c>
      <c r="AH761">
        <f>VLOOKUP(Table9[[#This Row],[Shortname]], Comp[], 31, FALSE)</f>
        <v>0</v>
      </c>
    </row>
    <row r="762" spans="1:34" x14ac:dyDescent="0.3">
      <c r="A762" t="s">
        <v>5029</v>
      </c>
      <c r="B762" t="s">
        <v>5031</v>
      </c>
      <c r="C762" t="s">
        <v>5027</v>
      </c>
      <c r="D762">
        <v>468.82</v>
      </c>
      <c r="E762">
        <v>598.58000000000004</v>
      </c>
      <c r="F762">
        <v>1E-4</v>
      </c>
      <c r="G762">
        <v>1</v>
      </c>
      <c r="I762">
        <f>VLOOKUP(Table9[[#This Row],[Shortname]], Comp[], 6, FALSE)</f>
        <v>774</v>
      </c>
      <c r="J762" s="14">
        <f>VLOOKUP(Table9[[#This Row],[Shortname]], Comp[], 7, FALSE)</f>
        <v>73</v>
      </c>
      <c r="K762">
        <f>VLOOKUP(Table9[[#This Row],[Shortname]], Comp[], 8, FALSE)</f>
        <v>0</v>
      </c>
      <c r="L762">
        <f>VLOOKUP(Table9[[#This Row],[Shortname]], Comp[], 9, FALSE)</f>
        <v>1</v>
      </c>
      <c r="M762">
        <f>VLOOKUP(Table9[[#This Row],[Shortname]], Comp[], 10, FALSE)</f>
        <v>15</v>
      </c>
      <c r="N762">
        <f>VLOOKUP(Table9[[#This Row],[Shortname]], Comp[], 11, FALSE)</f>
        <v>0</v>
      </c>
      <c r="O762">
        <f>VLOOKUP(Table9[[#This Row],[Shortname]], Comp[],12, FALSE)</f>
        <v>11</v>
      </c>
      <c r="P762">
        <f>VLOOKUP(Table9[[#This Row],[Shortname]], Comp[], 13, FALSE)</f>
        <v>0</v>
      </c>
      <c r="Q762">
        <f>VLOOKUP(Table9[[#This Row],[Shortname]], Comp[], 14, FALSE)</f>
        <v>0</v>
      </c>
      <c r="R762">
        <f>VLOOKUP(Table9[[#This Row],[Shortname]], Comp[], 15, FALSE)</f>
        <v>0</v>
      </c>
      <c r="S762">
        <f>VLOOKUP(Table9[[#This Row],[Shortname]], Comp[], 16, FALSE)</f>
        <v>0</v>
      </c>
      <c r="T762">
        <f>VLOOKUP(Table9[[#This Row],[Shortname]], Comp[], 17, FALSE)</f>
        <v>0</v>
      </c>
      <c r="U762">
        <f>VLOOKUP(Table9[[#This Row],[Shortname]], Comp[], 18, FALSE)</f>
        <v>0</v>
      </c>
      <c r="V762">
        <f>VLOOKUP(Table9[[#This Row],[Shortname]], Comp[], 19, FALSE)</f>
        <v>0</v>
      </c>
      <c r="W762">
        <f>VLOOKUP(Table9[[#This Row],[Shortname]], Comp[], 20, FALSE)</f>
        <v>0</v>
      </c>
      <c r="X762">
        <f>VLOOKUP(Table9[[#This Row],[Shortname]], Comp[], 21, FALSE)</f>
        <v>0</v>
      </c>
      <c r="Y762">
        <f>VLOOKUP(Table9[[#This Row],[Shortname]], Comp[], 22, FALSE)</f>
        <v>0</v>
      </c>
      <c r="Z762">
        <f>VLOOKUP(Table9[[#This Row],[Shortname]], Comp[], 23, FALSE)</f>
        <v>0</v>
      </c>
      <c r="AA762">
        <f>VLOOKUP(Table9[[#This Row],[Shortname]], Comp[], 24, FALSE)</f>
        <v>0</v>
      </c>
      <c r="AB762">
        <f>VLOOKUP(Table9[[#This Row],[Shortname]], Comp[], 25, FALSE)</f>
        <v>0</v>
      </c>
      <c r="AC762">
        <f>VLOOKUP(Table9[[#This Row],[Shortname]], Comp[], 26, FALSE)</f>
        <v>0</v>
      </c>
      <c r="AD762">
        <f>VLOOKUP(Table9[[#This Row],[Shortname]], Comp[], 27, FALSE)</f>
        <v>0</v>
      </c>
      <c r="AE762">
        <f>VLOOKUP(Table9[[#This Row],[Shortname]], Comp[], 28, FALSE)</f>
        <v>0</v>
      </c>
      <c r="AF762">
        <f>VLOOKUP(Table9[[#This Row],[Shortname]], Comp[], 29, FALSE)</f>
        <v>0</v>
      </c>
      <c r="AG762">
        <f>VLOOKUP(Table9[[#This Row],[Shortname]], Comp[], 30, FALSE)</f>
        <v>0</v>
      </c>
      <c r="AH762">
        <f>VLOOKUP(Table9[[#This Row],[Shortname]], Comp[], 31, FALSE)</f>
        <v>0</v>
      </c>
    </row>
    <row r="763" spans="1:34" x14ac:dyDescent="0.3">
      <c r="A763" t="s">
        <v>5029</v>
      </c>
      <c r="B763" t="s">
        <v>5031</v>
      </c>
      <c r="C763" t="s">
        <v>5027</v>
      </c>
      <c r="D763">
        <v>430.04</v>
      </c>
      <c r="E763">
        <v>849.02</v>
      </c>
      <c r="F763">
        <v>1E-4</v>
      </c>
      <c r="G763">
        <v>1</v>
      </c>
      <c r="I763">
        <f>VLOOKUP(Table9[[#This Row],[Shortname]], Comp[], 6, FALSE)</f>
        <v>774</v>
      </c>
      <c r="J763" s="14">
        <f>VLOOKUP(Table9[[#This Row],[Shortname]], Comp[], 7, FALSE)</f>
        <v>73</v>
      </c>
      <c r="K763">
        <f>VLOOKUP(Table9[[#This Row],[Shortname]], Comp[], 8, FALSE)</f>
        <v>0</v>
      </c>
      <c r="L763">
        <f>VLOOKUP(Table9[[#This Row],[Shortname]], Comp[], 9, FALSE)</f>
        <v>1</v>
      </c>
      <c r="M763">
        <f>VLOOKUP(Table9[[#This Row],[Shortname]], Comp[], 10, FALSE)</f>
        <v>15</v>
      </c>
      <c r="N763">
        <f>VLOOKUP(Table9[[#This Row],[Shortname]], Comp[], 11, FALSE)</f>
        <v>0</v>
      </c>
      <c r="O763">
        <f>VLOOKUP(Table9[[#This Row],[Shortname]], Comp[],12, FALSE)</f>
        <v>11</v>
      </c>
      <c r="P763">
        <f>VLOOKUP(Table9[[#This Row],[Shortname]], Comp[], 13, FALSE)</f>
        <v>0</v>
      </c>
      <c r="Q763">
        <f>VLOOKUP(Table9[[#This Row],[Shortname]], Comp[], 14, FALSE)</f>
        <v>0</v>
      </c>
      <c r="R763">
        <f>VLOOKUP(Table9[[#This Row],[Shortname]], Comp[], 15, FALSE)</f>
        <v>0</v>
      </c>
      <c r="S763">
        <f>VLOOKUP(Table9[[#This Row],[Shortname]], Comp[], 16, FALSE)</f>
        <v>0</v>
      </c>
      <c r="T763">
        <f>VLOOKUP(Table9[[#This Row],[Shortname]], Comp[], 17, FALSE)</f>
        <v>0</v>
      </c>
      <c r="U763">
        <f>VLOOKUP(Table9[[#This Row],[Shortname]], Comp[], 18, FALSE)</f>
        <v>0</v>
      </c>
      <c r="V763">
        <f>VLOOKUP(Table9[[#This Row],[Shortname]], Comp[], 19, FALSE)</f>
        <v>0</v>
      </c>
      <c r="W763">
        <f>VLOOKUP(Table9[[#This Row],[Shortname]], Comp[], 20, FALSE)</f>
        <v>0</v>
      </c>
      <c r="X763">
        <f>VLOOKUP(Table9[[#This Row],[Shortname]], Comp[], 21, FALSE)</f>
        <v>0</v>
      </c>
      <c r="Y763">
        <f>VLOOKUP(Table9[[#This Row],[Shortname]], Comp[], 22, FALSE)</f>
        <v>0</v>
      </c>
      <c r="Z763">
        <f>VLOOKUP(Table9[[#This Row],[Shortname]], Comp[], 23, FALSE)</f>
        <v>0</v>
      </c>
      <c r="AA763">
        <f>VLOOKUP(Table9[[#This Row],[Shortname]], Comp[], 24, FALSE)</f>
        <v>0</v>
      </c>
      <c r="AB763">
        <f>VLOOKUP(Table9[[#This Row],[Shortname]], Comp[], 25, FALSE)</f>
        <v>0</v>
      </c>
      <c r="AC763">
        <f>VLOOKUP(Table9[[#This Row],[Shortname]], Comp[], 26, FALSE)</f>
        <v>0</v>
      </c>
      <c r="AD763">
        <f>VLOOKUP(Table9[[#This Row],[Shortname]], Comp[], 27, FALSE)</f>
        <v>0</v>
      </c>
      <c r="AE763">
        <f>VLOOKUP(Table9[[#This Row],[Shortname]], Comp[], 28, FALSE)</f>
        <v>0</v>
      </c>
      <c r="AF763">
        <f>VLOOKUP(Table9[[#This Row],[Shortname]], Comp[], 29, FALSE)</f>
        <v>0</v>
      </c>
      <c r="AG763">
        <f>VLOOKUP(Table9[[#This Row],[Shortname]], Comp[], 30, FALSE)</f>
        <v>0</v>
      </c>
      <c r="AH763">
        <f>VLOOKUP(Table9[[#This Row],[Shortname]], Comp[], 31, FALSE)</f>
        <v>0</v>
      </c>
    </row>
    <row r="764" spans="1:34" x14ac:dyDescent="0.3">
      <c r="A764" t="s">
        <v>5029</v>
      </c>
      <c r="B764" t="s">
        <v>5031</v>
      </c>
      <c r="C764" t="s">
        <v>5027</v>
      </c>
      <c r="D764">
        <v>335.25</v>
      </c>
      <c r="E764">
        <v>898.76</v>
      </c>
      <c r="F764">
        <v>1E-4</v>
      </c>
      <c r="G764">
        <v>1</v>
      </c>
      <c r="I764">
        <f>VLOOKUP(Table9[[#This Row],[Shortname]], Comp[], 6, FALSE)</f>
        <v>774</v>
      </c>
      <c r="J764" s="14">
        <f>VLOOKUP(Table9[[#This Row],[Shortname]], Comp[], 7, FALSE)</f>
        <v>73</v>
      </c>
      <c r="K764">
        <f>VLOOKUP(Table9[[#This Row],[Shortname]], Comp[], 8, FALSE)</f>
        <v>0</v>
      </c>
      <c r="L764">
        <f>VLOOKUP(Table9[[#This Row],[Shortname]], Comp[], 9, FALSE)</f>
        <v>1</v>
      </c>
      <c r="M764">
        <f>VLOOKUP(Table9[[#This Row],[Shortname]], Comp[], 10, FALSE)</f>
        <v>15</v>
      </c>
      <c r="N764">
        <f>VLOOKUP(Table9[[#This Row],[Shortname]], Comp[], 11, FALSE)</f>
        <v>0</v>
      </c>
      <c r="O764">
        <f>VLOOKUP(Table9[[#This Row],[Shortname]], Comp[],12, FALSE)</f>
        <v>11</v>
      </c>
      <c r="P764">
        <f>VLOOKUP(Table9[[#This Row],[Shortname]], Comp[], 13, FALSE)</f>
        <v>0</v>
      </c>
      <c r="Q764">
        <f>VLOOKUP(Table9[[#This Row],[Shortname]], Comp[], 14, FALSE)</f>
        <v>0</v>
      </c>
      <c r="R764">
        <f>VLOOKUP(Table9[[#This Row],[Shortname]], Comp[], 15, FALSE)</f>
        <v>0</v>
      </c>
      <c r="S764">
        <f>VLOOKUP(Table9[[#This Row],[Shortname]], Comp[], 16, FALSE)</f>
        <v>0</v>
      </c>
      <c r="T764">
        <f>VLOOKUP(Table9[[#This Row],[Shortname]], Comp[], 17, FALSE)</f>
        <v>0</v>
      </c>
      <c r="U764">
        <f>VLOOKUP(Table9[[#This Row],[Shortname]], Comp[], 18, FALSE)</f>
        <v>0</v>
      </c>
      <c r="V764">
        <f>VLOOKUP(Table9[[#This Row],[Shortname]], Comp[], 19, FALSE)</f>
        <v>0</v>
      </c>
      <c r="W764">
        <f>VLOOKUP(Table9[[#This Row],[Shortname]], Comp[], 20, FALSE)</f>
        <v>0</v>
      </c>
      <c r="X764">
        <f>VLOOKUP(Table9[[#This Row],[Shortname]], Comp[], 21, FALSE)</f>
        <v>0</v>
      </c>
      <c r="Y764">
        <f>VLOOKUP(Table9[[#This Row],[Shortname]], Comp[], 22, FALSE)</f>
        <v>0</v>
      </c>
      <c r="Z764">
        <f>VLOOKUP(Table9[[#This Row],[Shortname]], Comp[], 23, FALSE)</f>
        <v>0</v>
      </c>
      <c r="AA764">
        <f>VLOOKUP(Table9[[#This Row],[Shortname]], Comp[], 24, FALSE)</f>
        <v>0</v>
      </c>
      <c r="AB764">
        <f>VLOOKUP(Table9[[#This Row],[Shortname]], Comp[], 25, FALSE)</f>
        <v>0</v>
      </c>
      <c r="AC764">
        <f>VLOOKUP(Table9[[#This Row],[Shortname]], Comp[], 26, FALSE)</f>
        <v>0</v>
      </c>
      <c r="AD764">
        <f>VLOOKUP(Table9[[#This Row],[Shortname]], Comp[], 27, FALSE)</f>
        <v>0</v>
      </c>
      <c r="AE764">
        <f>VLOOKUP(Table9[[#This Row],[Shortname]], Comp[], 28, FALSE)</f>
        <v>0</v>
      </c>
      <c r="AF764">
        <f>VLOOKUP(Table9[[#This Row],[Shortname]], Comp[], 29, FALSE)</f>
        <v>0</v>
      </c>
      <c r="AG764">
        <f>VLOOKUP(Table9[[#This Row],[Shortname]], Comp[], 30, FALSE)</f>
        <v>0</v>
      </c>
      <c r="AH764">
        <f>VLOOKUP(Table9[[#This Row],[Shortname]], Comp[], 31, FALSE)</f>
        <v>0</v>
      </c>
    </row>
    <row r="765" spans="1:34" x14ac:dyDescent="0.3">
      <c r="A765" t="s">
        <v>5029</v>
      </c>
      <c r="B765" t="s">
        <v>5031</v>
      </c>
      <c r="C765" t="s">
        <v>5027</v>
      </c>
      <c r="D765">
        <v>174.05</v>
      </c>
      <c r="E765">
        <v>1003.6</v>
      </c>
      <c r="F765">
        <v>1E-4</v>
      </c>
      <c r="G765">
        <v>1</v>
      </c>
      <c r="I765">
        <f>VLOOKUP(Table9[[#This Row],[Shortname]], Comp[], 6, FALSE)</f>
        <v>774</v>
      </c>
      <c r="J765" s="14">
        <f>VLOOKUP(Table9[[#This Row],[Shortname]], Comp[], 7, FALSE)</f>
        <v>73</v>
      </c>
      <c r="K765">
        <f>VLOOKUP(Table9[[#This Row],[Shortname]], Comp[], 8, FALSE)</f>
        <v>0</v>
      </c>
      <c r="L765">
        <f>VLOOKUP(Table9[[#This Row],[Shortname]], Comp[], 9, FALSE)</f>
        <v>1</v>
      </c>
      <c r="M765">
        <f>VLOOKUP(Table9[[#This Row],[Shortname]], Comp[], 10, FALSE)</f>
        <v>15</v>
      </c>
      <c r="N765">
        <f>VLOOKUP(Table9[[#This Row],[Shortname]], Comp[], 11, FALSE)</f>
        <v>0</v>
      </c>
      <c r="O765">
        <f>VLOOKUP(Table9[[#This Row],[Shortname]], Comp[],12, FALSE)</f>
        <v>11</v>
      </c>
      <c r="P765">
        <f>VLOOKUP(Table9[[#This Row],[Shortname]], Comp[], 13, FALSE)</f>
        <v>0</v>
      </c>
      <c r="Q765">
        <f>VLOOKUP(Table9[[#This Row],[Shortname]], Comp[], 14, FALSE)</f>
        <v>0</v>
      </c>
      <c r="R765">
        <f>VLOOKUP(Table9[[#This Row],[Shortname]], Comp[], 15, FALSE)</f>
        <v>0</v>
      </c>
      <c r="S765">
        <f>VLOOKUP(Table9[[#This Row],[Shortname]], Comp[], 16, FALSE)</f>
        <v>0</v>
      </c>
      <c r="T765">
        <f>VLOOKUP(Table9[[#This Row],[Shortname]], Comp[], 17, FALSE)</f>
        <v>0</v>
      </c>
      <c r="U765">
        <f>VLOOKUP(Table9[[#This Row],[Shortname]], Comp[], 18, FALSE)</f>
        <v>0</v>
      </c>
      <c r="V765">
        <f>VLOOKUP(Table9[[#This Row],[Shortname]], Comp[], 19, FALSE)</f>
        <v>0</v>
      </c>
      <c r="W765">
        <f>VLOOKUP(Table9[[#This Row],[Shortname]], Comp[], 20, FALSE)</f>
        <v>0</v>
      </c>
      <c r="X765">
        <f>VLOOKUP(Table9[[#This Row],[Shortname]], Comp[], 21, FALSE)</f>
        <v>0</v>
      </c>
      <c r="Y765">
        <f>VLOOKUP(Table9[[#This Row],[Shortname]], Comp[], 22, FALSE)</f>
        <v>0</v>
      </c>
      <c r="Z765">
        <f>VLOOKUP(Table9[[#This Row],[Shortname]], Comp[], 23, FALSE)</f>
        <v>0</v>
      </c>
      <c r="AA765">
        <f>VLOOKUP(Table9[[#This Row],[Shortname]], Comp[], 24, FALSE)</f>
        <v>0</v>
      </c>
      <c r="AB765">
        <f>VLOOKUP(Table9[[#This Row],[Shortname]], Comp[], 25, FALSE)</f>
        <v>0</v>
      </c>
      <c r="AC765">
        <f>VLOOKUP(Table9[[#This Row],[Shortname]], Comp[], 26, FALSE)</f>
        <v>0</v>
      </c>
      <c r="AD765">
        <f>VLOOKUP(Table9[[#This Row],[Shortname]], Comp[], 27, FALSE)</f>
        <v>0</v>
      </c>
      <c r="AE765">
        <f>VLOOKUP(Table9[[#This Row],[Shortname]], Comp[], 28, FALSE)</f>
        <v>0</v>
      </c>
      <c r="AF765">
        <f>VLOOKUP(Table9[[#This Row],[Shortname]], Comp[], 29, FALSE)</f>
        <v>0</v>
      </c>
      <c r="AG765">
        <f>VLOOKUP(Table9[[#This Row],[Shortname]], Comp[], 30, FALSE)</f>
        <v>0</v>
      </c>
      <c r="AH765">
        <f>VLOOKUP(Table9[[#This Row],[Shortname]], Comp[], 31, FALSE)</f>
        <v>0</v>
      </c>
    </row>
    <row r="766" spans="1:34" x14ac:dyDescent="0.3">
      <c r="A766" t="s">
        <v>5040</v>
      </c>
      <c r="B766" t="s">
        <v>5042</v>
      </c>
      <c r="C766" t="s">
        <v>5027</v>
      </c>
      <c r="D766">
        <v>682.88</v>
      </c>
      <c r="E766">
        <v>25</v>
      </c>
      <c r="F766">
        <v>1E-4</v>
      </c>
      <c r="G766">
        <v>1</v>
      </c>
      <c r="I766">
        <f>VLOOKUP(Table9[[#This Row],[Shortname]], Comp[], 6, FALSE)</f>
        <v>776</v>
      </c>
      <c r="J766" s="14">
        <f>VLOOKUP(Table9[[#This Row],[Shortname]], Comp[], 7, FALSE)</f>
        <v>73</v>
      </c>
      <c r="K766">
        <f>VLOOKUP(Table9[[#This Row],[Shortname]], Comp[], 8, FALSE)</f>
        <v>0</v>
      </c>
      <c r="L766">
        <f>VLOOKUP(Table9[[#This Row],[Shortname]], Comp[], 9, FALSE)</f>
        <v>0</v>
      </c>
      <c r="M766">
        <f>VLOOKUP(Table9[[#This Row],[Shortname]], Comp[], 10, FALSE)</f>
        <v>15</v>
      </c>
      <c r="N766">
        <f>VLOOKUP(Table9[[#This Row],[Shortname]], Comp[], 11, FALSE)</f>
        <v>1</v>
      </c>
      <c r="O766">
        <f>VLOOKUP(Table9[[#This Row],[Shortname]], Comp[],12, FALSE)</f>
        <v>11</v>
      </c>
      <c r="P766">
        <f>VLOOKUP(Table9[[#This Row],[Shortname]], Comp[], 13, FALSE)</f>
        <v>0</v>
      </c>
      <c r="Q766">
        <f>VLOOKUP(Table9[[#This Row],[Shortname]], Comp[], 14, FALSE)</f>
        <v>0</v>
      </c>
      <c r="R766">
        <f>VLOOKUP(Table9[[#This Row],[Shortname]], Comp[], 15, FALSE)</f>
        <v>0</v>
      </c>
      <c r="S766">
        <f>VLOOKUP(Table9[[#This Row],[Shortname]], Comp[], 16, FALSE)</f>
        <v>0</v>
      </c>
      <c r="T766">
        <f>VLOOKUP(Table9[[#This Row],[Shortname]], Comp[], 17, FALSE)</f>
        <v>0</v>
      </c>
      <c r="U766">
        <f>VLOOKUP(Table9[[#This Row],[Shortname]], Comp[], 18, FALSE)</f>
        <v>0</v>
      </c>
      <c r="V766">
        <f>VLOOKUP(Table9[[#This Row],[Shortname]], Comp[], 19, FALSE)</f>
        <v>0</v>
      </c>
      <c r="W766">
        <f>VLOOKUP(Table9[[#This Row],[Shortname]], Comp[], 20, FALSE)</f>
        <v>0</v>
      </c>
      <c r="X766">
        <f>VLOOKUP(Table9[[#This Row],[Shortname]], Comp[], 21, FALSE)</f>
        <v>0</v>
      </c>
      <c r="Y766">
        <f>VLOOKUP(Table9[[#This Row],[Shortname]], Comp[], 22, FALSE)</f>
        <v>0</v>
      </c>
      <c r="Z766">
        <f>VLOOKUP(Table9[[#This Row],[Shortname]], Comp[], 23, FALSE)</f>
        <v>0</v>
      </c>
      <c r="AA766">
        <f>VLOOKUP(Table9[[#This Row],[Shortname]], Comp[], 24, FALSE)</f>
        <v>0</v>
      </c>
      <c r="AB766">
        <f>VLOOKUP(Table9[[#This Row],[Shortname]], Comp[], 25, FALSE)</f>
        <v>0</v>
      </c>
      <c r="AC766">
        <f>VLOOKUP(Table9[[#This Row],[Shortname]], Comp[], 26, FALSE)</f>
        <v>0</v>
      </c>
      <c r="AD766">
        <f>VLOOKUP(Table9[[#This Row],[Shortname]], Comp[], 27, FALSE)</f>
        <v>0</v>
      </c>
      <c r="AE766">
        <f>VLOOKUP(Table9[[#This Row],[Shortname]], Comp[], 28, FALSE)</f>
        <v>0</v>
      </c>
      <c r="AF766">
        <f>VLOOKUP(Table9[[#This Row],[Shortname]], Comp[], 29, FALSE)</f>
        <v>0</v>
      </c>
      <c r="AG766">
        <f>VLOOKUP(Table9[[#This Row],[Shortname]], Comp[], 30, FALSE)</f>
        <v>0</v>
      </c>
      <c r="AH766">
        <f>VLOOKUP(Table9[[#This Row],[Shortname]], Comp[], 31, FALSE)</f>
        <v>0</v>
      </c>
    </row>
    <row r="767" spans="1:34" x14ac:dyDescent="0.3">
      <c r="A767" t="s">
        <v>5040</v>
      </c>
      <c r="B767" t="s">
        <v>5042</v>
      </c>
      <c r="C767" t="s">
        <v>5027</v>
      </c>
      <c r="D767">
        <v>526.89</v>
      </c>
      <c r="E767">
        <v>751.33</v>
      </c>
      <c r="F767">
        <v>1E-4</v>
      </c>
      <c r="G767">
        <v>1</v>
      </c>
      <c r="I767">
        <f>VLOOKUP(Table9[[#This Row],[Shortname]], Comp[], 6, FALSE)</f>
        <v>776</v>
      </c>
      <c r="J767" s="14">
        <f>VLOOKUP(Table9[[#This Row],[Shortname]], Comp[], 7, FALSE)</f>
        <v>73</v>
      </c>
      <c r="K767">
        <f>VLOOKUP(Table9[[#This Row],[Shortname]], Comp[], 8, FALSE)</f>
        <v>0</v>
      </c>
      <c r="L767">
        <f>VLOOKUP(Table9[[#This Row],[Shortname]], Comp[], 9, FALSE)</f>
        <v>0</v>
      </c>
      <c r="M767">
        <f>VLOOKUP(Table9[[#This Row],[Shortname]], Comp[], 10, FALSE)</f>
        <v>15</v>
      </c>
      <c r="N767">
        <f>VLOOKUP(Table9[[#This Row],[Shortname]], Comp[], 11, FALSE)</f>
        <v>1</v>
      </c>
      <c r="O767">
        <f>VLOOKUP(Table9[[#This Row],[Shortname]], Comp[],12, FALSE)</f>
        <v>11</v>
      </c>
      <c r="P767">
        <f>VLOOKUP(Table9[[#This Row],[Shortname]], Comp[], 13, FALSE)</f>
        <v>0</v>
      </c>
      <c r="Q767">
        <f>VLOOKUP(Table9[[#This Row],[Shortname]], Comp[], 14, FALSE)</f>
        <v>0</v>
      </c>
      <c r="R767">
        <f>VLOOKUP(Table9[[#This Row],[Shortname]], Comp[], 15, FALSE)</f>
        <v>0</v>
      </c>
      <c r="S767">
        <f>VLOOKUP(Table9[[#This Row],[Shortname]], Comp[], 16, FALSE)</f>
        <v>0</v>
      </c>
      <c r="T767">
        <f>VLOOKUP(Table9[[#This Row],[Shortname]], Comp[], 17, FALSE)</f>
        <v>0</v>
      </c>
      <c r="U767">
        <f>VLOOKUP(Table9[[#This Row],[Shortname]], Comp[], 18, FALSE)</f>
        <v>0</v>
      </c>
      <c r="V767">
        <f>VLOOKUP(Table9[[#This Row],[Shortname]], Comp[], 19, FALSE)</f>
        <v>0</v>
      </c>
      <c r="W767">
        <f>VLOOKUP(Table9[[#This Row],[Shortname]], Comp[], 20, FALSE)</f>
        <v>0</v>
      </c>
      <c r="X767">
        <f>VLOOKUP(Table9[[#This Row],[Shortname]], Comp[], 21, FALSE)</f>
        <v>0</v>
      </c>
      <c r="Y767">
        <f>VLOOKUP(Table9[[#This Row],[Shortname]], Comp[], 22, FALSE)</f>
        <v>0</v>
      </c>
      <c r="Z767">
        <f>VLOOKUP(Table9[[#This Row],[Shortname]], Comp[], 23, FALSE)</f>
        <v>0</v>
      </c>
      <c r="AA767">
        <f>VLOOKUP(Table9[[#This Row],[Shortname]], Comp[], 24, FALSE)</f>
        <v>0</v>
      </c>
      <c r="AB767">
        <f>VLOOKUP(Table9[[#This Row],[Shortname]], Comp[], 25, FALSE)</f>
        <v>0</v>
      </c>
      <c r="AC767">
        <f>VLOOKUP(Table9[[#This Row],[Shortname]], Comp[], 26, FALSE)</f>
        <v>0</v>
      </c>
      <c r="AD767">
        <f>VLOOKUP(Table9[[#This Row],[Shortname]], Comp[], 27, FALSE)</f>
        <v>0</v>
      </c>
      <c r="AE767">
        <f>VLOOKUP(Table9[[#This Row],[Shortname]], Comp[], 28, FALSE)</f>
        <v>0</v>
      </c>
      <c r="AF767">
        <f>VLOOKUP(Table9[[#This Row],[Shortname]], Comp[], 29, FALSE)</f>
        <v>0</v>
      </c>
      <c r="AG767">
        <f>VLOOKUP(Table9[[#This Row],[Shortname]], Comp[], 30, FALSE)</f>
        <v>0</v>
      </c>
      <c r="AH767">
        <f>VLOOKUP(Table9[[#This Row],[Shortname]], Comp[], 31, FALSE)</f>
        <v>0</v>
      </c>
    </row>
    <row r="768" spans="1:34" x14ac:dyDescent="0.3">
      <c r="A768" t="s">
        <v>5040</v>
      </c>
      <c r="B768" t="s">
        <v>5042</v>
      </c>
      <c r="C768" t="s">
        <v>5027</v>
      </c>
      <c r="D768">
        <v>525.57000000000005</v>
      </c>
      <c r="E768">
        <v>600.36</v>
      </c>
      <c r="F768">
        <v>1E-4</v>
      </c>
      <c r="G768">
        <v>1</v>
      </c>
      <c r="I768">
        <f>VLOOKUP(Table9[[#This Row],[Shortname]], Comp[], 6, FALSE)</f>
        <v>776</v>
      </c>
      <c r="J768" s="14">
        <f>VLOOKUP(Table9[[#This Row],[Shortname]], Comp[], 7, FALSE)</f>
        <v>73</v>
      </c>
      <c r="K768">
        <f>VLOOKUP(Table9[[#This Row],[Shortname]], Comp[], 8, FALSE)</f>
        <v>0</v>
      </c>
      <c r="L768">
        <f>VLOOKUP(Table9[[#This Row],[Shortname]], Comp[], 9, FALSE)</f>
        <v>0</v>
      </c>
      <c r="M768">
        <f>VLOOKUP(Table9[[#This Row],[Shortname]], Comp[], 10, FALSE)</f>
        <v>15</v>
      </c>
      <c r="N768">
        <f>VLOOKUP(Table9[[#This Row],[Shortname]], Comp[], 11, FALSE)</f>
        <v>1</v>
      </c>
      <c r="O768">
        <f>VLOOKUP(Table9[[#This Row],[Shortname]], Comp[],12, FALSE)</f>
        <v>11</v>
      </c>
      <c r="P768">
        <f>VLOOKUP(Table9[[#This Row],[Shortname]], Comp[], 13, FALSE)</f>
        <v>0</v>
      </c>
      <c r="Q768">
        <f>VLOOKUP(Table9[[#This Row],[Shortname]], Comp[], 14, FALSE)</f>
        <v>0</v>
      </c>
      <c r="R768">
        <f>VLOOKUP(Table9[[#This Row],[Shortname]], Comp[], 15, FALSE)</f>
        <v>0</v>
      </c>
      <c r="S768">
        <f>VLOOKUP(Table9[[#This Row],[Shortname]], Comp[], 16, FALSE)</f>
        <v>0</v>
      </c>
      <c r="T768">
        <f>VLOOKUP(Table9[[#This Row],[Shortname]], Comp[], 17, FALSE)</f>
        <v>0</v>
      </c>
      <c r="U768">
        <f>VLOOKUP(Table9[[#This Row],[Shortname]], Comp[], 18, FALSE)</f>
        <v>0</v>
      </c>
      <c r="V768">
        <f>VLOOKUP(Table9[[#This Row],[Shortname]], Comp[], 19, FALSE)</f>
        <v>0</v>
      </c>
      <c r="W768">
        <f>VLOOKUP(Table9[[#This Row],[Shortname]], Comp[], 20, FALSE)</f>
        <v>0</v>
      </c>
      <c r="X768">
        <f>VLOOKUP(Table9[[#This Row],[Shortname]], Comp[], 21, FALSE)</f>
        <v>0</v>
      </c>
      <c r="Y768">
        <f>VLOOKUP(Table9[[#This Row],[Shortname]], Comp[], 22, FALSE)</f>
        <v>0</v>
      </c>
      <c r="Z768">
        <f>VLOOKUP(Table9[[#This Row],[Shortname]], Comp[], 23, FALSE)</f>
        <v>0</v>
      </c>
      <c r="AA768">
        <f>VLOOKUP(Table9[[#This Row],[Shortname]], Comp[], 24, FALSE)</f>
        <v>0</v>
      </c>
      <c r="AB768">
        <f>VLOOKUP(Table9[[#This Row],[Shortname]], Comp[], 25, FALSE)</f>
        <v>0</v>
      </c>
      <c r="AC768">
        <f>VLOOKUP(Table9[[#This Row],[Shortname]], Comp[], 26, FALSE)</f>
        <v>0</v>
      </c>
      <c r="AD768">
        <f>VLOOKUP(Table9[[#This Row],[Shortname]], Comp[], 27, FALSE)</f>
        <v>0</v>
      </c>
      <c r="AE768">
        <f>VLOOKUP(Table9[[#This Row],[Shortname]], Comp[], 28, FALSE)</f>
        <v>0</v>
      </c>
      <c r="AF768">
        <f>VLOOKUP(Table9[[#This Row],[Shortname]], Comp[], 29, FALSE)</f>
        <v>0</v>
      </c>
      <c r="AG768">
        <f>VLOOKUP(Table9[[#This Row],[Shortname]], Comp[], 30, FALSE)</f>
        <v>0</v>
      </c>
      <c r="AH768">
        <f>VLOOKUP(Table9[[#This Row],[Shortname]], Comp[], 31, FALSE)</f>
        <v>0</v>
      </c>
    </row>
    <row r="769" spans="1:34" x14ac:dyDescent="0.3">
      <c r="A769" t="s">
        <v>5040</v>
      </c>
      <c r="B769" t="s">
        <v>5042</v>
      </c>
      <c r="C769" t="s">
        <v>5027</v>
      </c>
      <c r="D769">
        <v>464.08</v>
      </c>
      <c r="E769">
        <v>852.58</v>
      </c>
      <c r="F769">
        <v>1E-4</v>
      </c>
      <c r="G769">
        <v>1</v>
      </c>
      <c r="I769">
        <f>VLOOKUP(Table9[[#This Row],[Shortname]], Comp[], 6, FALSE)</f>
        <v>776</v>
      </c>
      <c r="J769" s="14">
        <f>VLOOKUP(Table9[[#This Row],[Shortname]], Comp[], 7, FALSE)</f>
        <v>73</v>
      </c>
      <c r="K769">
        <f>VLOOKUP(Table9[[#This Row],[Shortname]], Comp[], 8, FALSE)</f>
        <v>0</v>
      </c>
      <c r="L769">
        <f>VLOOKUP(Table9[[#This Row],[Shortname]], Comp[], 9, FALSE)</f>
        <v>0</v>
      </c>
      <c r="M769">
        <f>VLOOKUP(Table9[[#This Row],[Shortname]], Comp[], 10, FALSE)</f>
        <v>15</v>
      </c>
      <c r="N769">
        <f>VLOOKUP(Table9[[#This Row],[Shortname]], Comp[], 11, FALSE)</f>
        <v>1</v>
      </c>
      <c r="O769">
        <f>VLOOKUP(Table9[[#This Row],[Shortname]], Comp[],12, FALSE)</f>
        <v>11</v>
      </c>
      <c r="P769">
        <f>VLOOKUP(Table9[[#This Row],[Shortname]], Comp[], 13, FALSE)</f>
        <v>0</v>
      </c>
      <c r="Q769">
        <f>VLOOKUP(Table9[[#This Row],[Shortname]], Comp[], 14, FALSE)</f>
        <v>0</v>
      </c>
      <c r="R769">
        <f>VLOOKUP(Table9[[#This Row],[Shortname]], Comp[], 15, FALSE)</f>
        <v>0</v>
      </c>
      <c r="S769">
        <f>VLOOKUP(Table9[[#This Row],[Shortname]], Comp[], 16, FALSE)</f>
        <v>0</v>
      </c>
      <c r="T769">
        <f>VLOOKUP(Table9[[#This Row],[Shortname]], Comp[], 17, FALSE)</f>
        <v>0</v>
      </c>
      <c r="U769">
        <f>VLOOKUP(Table9[[#This Row],[Shortname]], Comp[], 18, FALSE)</f>
        <v>0</v>
      </c>
      <c r="V769">
        <f>VLOOKUP(Table9[[#This Row],[Shortname]], Comp[], 19, FALSE)</f>
        <v>0</v>
      </c>
      <c r="W769">
        <f>VLOOKUP(Table9[[#This Row],[Shortname]], Comp[], 20, FALSE)</f>
        <v>0</v>
      </c>
      <c r="X769">
        <f>VLOOKUP(Table9[[#This Row],[Shortname]], Comp[], 21, FALSE)</f>
        <v>0</v>
      </c>
      <c r="Y769">
        <f>VLOOKUP(Table9[[#This Row],[Shortname]], Comp[], 22, FALSE)</f>
        <v>0</v>
      </c>
      <c r="Z769">
        <f>VLOOKUP(Table9[[#This Row],[Shortname]], Comp[], 23, FALSE)</f>
        <v>0</v>
      </c>
      <c r="AA769">
        <f>VLOOKUP(Table9[[#This Row],[Shortname]], Comp[], 24, FALSE)</f>
        <v>0</v>
      </c>
      <c r="AB769">
        <f>VLOOKUP(Table9[[#This Row],[Shortname]], Comp[], 25, FALSE)</f>
        <v>0</v>
      </c>
      <c r="AC769">
        <f>VLOOKUP(Table9[[#This Row],[Shortname]], Comp[], 26, FALSE)</f>
        <v>0</v>
      </c>
      <c r="AD769">
        <f>VLOOKUP(Table9[[#This Row],[Shortname]], Comp[], 27, FALSE)</f>
        <v>0</v>
      </c>
      <c r="AE769">
        <f>VLOOKUP(Table9[[#This Row],[Shortname]], Comp[], 28, FALSE)</f>
        <v>0</v>
      </c>
      <c r="AF769">
        <f>VLOOKUP(Table9[[#This Row],[Shortname]], Comp[], 29, FALSE)</f>
        <v>0</v>
      </c>
      <c r="AG769">
        <f>VLOOKUP(Table9[[#This Row],[Shortname]], Comp[], 30, FALSE)</f>
        <v>0</v>
      </c>
      <c r="AH769">
        <f>VLOOKUP(Table9[[#This Row],[Shortname]], Comp[], 31, FALSE)</f>
        <v>0</v>
      </c>
    </row>
    <row r="770" spans="1:34" x14ac:dyDescent="0.3">
      <c r="A770" t="s">
        <v>5040</v>
      </c>
      <c r="B770" t="s">
        <v>5042</v>
      </c>
      <c r="C770" t="s">
        <v>5027</v>
      </c>
      <c r="D770">
        <v>386.34</v>
      </c>
      <c r="E770">
        <v>898.76</v>
      </c>
      <c r="F770">
        <v>1E-4</v>
      </c>
      <c r="G770">
        <v>1</v>
      </c>
      <c r="I770">
        <f>VLOOKUP(Table9[[#This Row],[Shortname]], Comp[], 6, FALSE)</f>
        <v>776</v>
      </c>
      <c r="J770" s="14">
        <f>VLOOKUP(Table9[[#This Row],[Shortname]], Comp[], 7, FALSE)</f>
        <v>73</v>
      </c>
      <c r="K770">
        <f>VLOOKUP(Table9[[#This Row],[Shortname]], Comp[], 8, FALSE)</f>
        <v>0</v>
      </c>
      <c r="L770">
        <f>VLOOKUP(Table9[[#This Row],[Shortname]], Comp[], 9, FALSE)</f>
        <v>0</v>
      </c>
      <c r="M770">
        <f>VLOOKUP(Table9[[#This Row],[Shortname]], Comp[], 10, FALSE)</f>
        <v>15</v>
      </c>
      <c r="N770">
        <f>VLOOKUP(Table9[[#This Row],[Shortname]], Comp[], 11, FALSE)</f>
        <v>1</v>
      </c>
      <c r="O770">
        <f>VLOOKUP(Table9[[#This Row],[Shortname]], Comp[],12, FALSE)</f>
        <v>11</v>
      </c>
      <c r="P770">
        <f>VLOOKUP(Table9[[#This Row],[Shortname]], Comp[], 13, FALSE)</f>
        <v>0</v>
      </c>
      <c r="Q770">
        <f>VLOOKUP(Table9[[#This Row],[Shortname]], Comp[], 14, FALSE)</f>
        <v>0</v>
      </c>
      <c r="R770">
        <f>VLOOKUP(Table9[[#This Row],[Shortname]], Comp[], 15, FALSE)</f>
        <v>0</v>
      </c>
      <c r="S770">
        <f>VLOOKUP(Table9[[#This Row],[Shortname]], Comp[], 16, FALSE)</f>
        <v>0</v>
      </c>
      <c r="T770">
        <f>VLOOKUP(Table9[[#This Row],[Shortname]], Comp[], 17, FALSE)</f>
        <v>0</v>
      </c>
      <c r="U770">
        <f>VLOOKUP(Table9[[#This Row],[Shortname]], Comp[], 18, FALSE)</f>
        <v>0</v>
      </c>
      <c r="V770">
        <f>VLOOKUP(Table9[[#This Row],[Shortname]], Comp[], 19, FALSE)</f>
        <v>0</v>
      </c>
      <c r="W770">
        <f>VLOOKUP(Table9[[#This Row],[Shortname]], Comp[], 20, FALSE)</f>
        <v>0</v>
      </c>
      <c r="X770">
        <f>VLOOKUP(Table9[[#This Row],[Shortname]], Comp[], 21, FALSE)</f>
        <v>0</v>
      </c>
      <c r="Y770">
        <f>VLOOKUP(Table9[[#This Row],[Shortname]], Comp[], 22, FALSE)</f>
        <v>0</v>
      </c>
      <c r="Z770">
        <f>VLOOKUP(Table9[[#This Row],[Shortname]], Comp[], 23, FALSE)</f>
        <v>0</v>
      </c>
      <c r="AA770">
        <f>VLOOKUP(Table9[[#This Row],[Shortname]], Comp[], 24, FALSE)</f>
        <v>0</v>
      </c>
      <c r="AB770">
        <f>VLOOKUP(Table9[[#This Row],[Shortname]], Comp[], 25, FALSE)</f>
        <v>0</v>
      </c>
      <c r="AC770">
        <f>VLOOKUP(Table9[[#This Row],[Shortname]], Comp[], 26, FALSE)</f>
        <v>0</v>
      </c>
      <c r="AD770">
        <f>VLOOKUP(Table9[[#This Row],[Shortname]], Comp[], 27, FALSE)</f>
        <v>0</v>
      </c>
      <c r="AE770">
        <f>VLOOKUP(Table9[[#This Row],[Shortname]], Comp[], 28, FALSE)</f>
        <v>0</v>
      </c>
      <c r="AF770">
        <f>VLOOKUP(Table9[[#This Row],[Shortname]], Comp[], 29, FALSE)</f>
        <v>0</v>
      </c>
      <c r="AG770">
        <f>VLOOKUP(Table9[[#This Row],[Shortname]], Comp[], 30, FALSE)</f>
        <v>0</v>
      </c>
      <c r="AH770">
        <f>VLOOKUP(Table9[[#This Row],[Shortname]], Comp[], 31, FALSE)</f>
        <v>0</v>
      </c>
    </row>
    <row r="771" spans="1:34" x14ac:dyDescent="0.3">
      <c r="A771" t="s">
        <v>5040</v>
      </c>
      <c r="B771" t="s">
        <v>5042</v>
      </c>
      <c r="C771" t="s">
        <v>5027</v>
      </c>
      <c r="D771">
        <v>204.33</v>
      </c>
      <c r="E771">
        <v>1000</v>
      </c>
      <c r="F771">
        <v>1E-4</v>
      </c>
      <c r="G771">
        <v>1</v>
      </c>
      <c r="I771">
        <f>VLOOKUP(Table9[[#This Row],[Shortname]], Comp[], 6, FALSE)</f>
        <v>776</v>
      </c>
      <c r="J771" s="14">
        <f>VLOOKUP(Table9[[#This Row],[Shortname]], Comp[], 7, FALSE)</f>
        <v>73</v>
      </c>
      <c r="K771">
        <f>VLOOKUP(Table9[[#This Row],[Shortname]], Comp[], 8, FALSE)</f>
        <v>0</v>
      </c>
      <c r="L771">
        <f>VLOOKUP(Table9[[#This Row],[Shortname]], Comp[], 9, FALSE)</f>
        <v>0</v>
      </c>
      <c r="M771">
        <f>VLOOKUP(Table9[[#This Row],[Shortname]], Comp[], 10, FALSE)</f>
        <v>15</v>
      </c>
      <c r="N771">
        <f>VLOOKUP(Table9[[#This Row],[Shortname]], Comp[], 11, FALSE)</f>
        <v>1</v>
      </c>
      <c r="O771">
        <f>VLOOKUP(Table9[[#This Row],[Shortname]], Comp[],12, FALSE)</f>
        <v>11</v>
      </c>
      <c r="P771">
        <f>VLOOKUP(Table9[[#This Row],[Shortname]], Comp[], 13, FALSE)</f>
        <v>0</v>
      </c>
      <c r="Q771">
        <f>VLOOKUP(Table9[[#This Row],[Shortname]], Comp[], 14, FALSE)</f>
        <v>0</v>
      </c>
      <c r="R771">
        <f>VLOOKUP(Table9[[#This Row],[Shortname]], Comp[], 15, FALSE)</f>
        <v>0</v>
      </c>
      <c r="S771">
        <f>VLOOKUP(Table9[[#This Row],[Shortname]], Comp[], 16, FALSE)</f>
        <v>0</v>
      </c>
      <c r="T771">
        <f>VLOOKUP(Table9[[#This Row],[Shortname]], Comp[], 17, FALSE)</f>
        <v>0</v>
      </c>
      <c r="U771">
        <f>VLOOKUP(Table9[[#This Row],[Shortname]], Comp[], 18, FALSE)</f>
        <v>0</v>
      </c>
      <c r="V771">
        <f>VLOOKUP(Table9[[#This Row],[Shortname]], Comp[], 19, FALSE)</f>
        <v>0</v>
      </c>
      <c r="W771">
        <f>VLOOKUP(Table9[[#This Row],[Shortname]], Comp[], 20, FALSE)</f>
        <v>0</v>
      </c>
      <c r="X771">
        <f>VLOOKUP(Table9[[#This Row],[Shortname]], Comp[], 21, FALSE)</f>
        <v>0</v>
      </c>
      <c r="Y771">
        <f>VLOOKUP(Table9[[#This Row],[Shortname]], Comp[], 22, FALSE)</f>
        <v>0</v>
      </c>
      <c r="Z771">
        <f>VLOOKUP(Table9[[#This Row],[Shortname]], Comp[], 23, FALSE)</f>
        <v>0</v>
      </c>
      <c r="AA771">
        <f>VLOOKUP(Table9[[#This Row],[Shortname]], Comp[], 24, FALSE)</f>
        <v>0</v>
      </c>
      <c r="AB771">
        <f>VLOOKUP(Table9[[#This Row],[Shortname]], Comp[], 25, FALSE)</f>
        <v>0</v>
      </c>
      <c r="AC771">
        <f>VLOOKUP(Table9[[#This Row],[Shortname]], Comp[], 26, FALSE)</f>
        <v>0</v>
      </c>
      <c r="AD771">
        <f>VLOOKUP(Table9[[#This Row],[Shortname]], Comp[], 27, FALSE)</f>
        <v>0</v>
      </c>
      <c r="AE771">
        <f>VLOOKUP(Table9[[#This Row],[Shortname]], Comp[], 28, FALSE)</f>
        <v>0</v>
      </c>
      <c r="AF771">
        <f>VLOOKUP(Table9[[#This Row],[Shortname]], Comp[], 29, FALSE)</f>
        <v>0</v>
      </c>
      <c r="AG771">
        <f>VLOOKUP(Table9[[#This Row],[Shortname]], Comp[], 30, FALSE)</f>
        <v>0</v>
      </c>
      <c r="AH771">
        <f>VLOOKUP(Table9[[#This Row],[Shortname]], Comp[], 31, FALSE)</f>
        <v>0</v>
      </c>
    </row>
    <row r="772" spans="1:34" x14ac:dyDescent="0.3">
      <c r="A772" t="s">
        <v>4232</v>
      </c>
      <c r="B772" t="s">
        <v>4234</v>
      </c>
      <c r="C772" t="s">
        <v>5027</v>
      </c>
      <c r="D772">
        <v>624.24</v>
      </c>
      <c r="E772">
        <v>25</v>
      </c>
      <c r="F772">
        <v>1E-4</v>
      </c>
      <c r="G772">
        <v>1</v>
      </c>
      <c r="I772">
        <f>VLOOKUP(Table9[[#This Row],[Shortname]], Comp[], 6, FALSE)</f>
        <v>644</v>
      </c>
      <c r="J772" s="14">
        <f>VLOOKUP(Table9[[#This Row],[Shortname]], Comp[], 7, FALSE)</f>
        <v>74</v>
      </c>
      <c r="K772">
        <f>VLOOKUP(Table9[[#This Row],[Shortname]], Comp[], 8, FALSE)</f>
        <v>0</v>
      </c>
      <c r="L772">
        <f>VLOOKUP(Table9[[#This Row],[Shortname]], Comp[], 9, FALSE)</f>
        <v>0</v>
      </c>
      <c r="M772">
        <f>VLOOKUP(Table9[[#This Row],[Shortname]], Comp[], 10, FALSE)</f>
        <v>15</v>
      </c>
      <c r="N772">
        <f>VLOOKUP(Table9[[#This Row],[Shortname]], Comp[], 11, FALSE)</f>
        <v>0</v>
      </c>
      <c r="O772">
        <f>VLOOKUP(Table9[[#This Row],[Shortname]], Comp[],12, FALSE)</f>
        <v>11</v>
      </c>
      <c r="P772">
        <f>VLOOKUP(Table9[[#This Row],[Shortname]], Comp[], 13, FALSE)</f>
        <v>0</v>
      </c>
      <c r="Q772">
        <f>VLOOKUP(Table9[[#This Row],[Shortname]], Comp[], 14, FALSE)</f>
        <v>0</v>
      </c>
      <c r="R772">
        <f>VLOOKUP(Table9[[#This Row],[Shortname]], Comp[], 15, FALSE)</f>
        <v>0</v>
      </c>
      <c r="S772">
        <f>VLOOKUP(Table9[[#This Row],[Shortname]], Comp[], 16, FALSE)</f>
        <v>0</v>
      </c>
      <c r="T772">
        <f>VLOOKUP(Table9[[#This Row],[Shortname]], Comp[], 17, FALSE)</f>
        <v>0</v>
      </c>
      <c r="U772">
        <f>VLOOKUP(Table9[[#This Row],[Shortname]], Comp[], 18, FALSE)</f>
        <v>0</v>
      </c>
      <c r="V772">
        <f>VLOOKUP(Table9[[#This Row],[Shortname]], Comp[], 19, FALSE)</f>
        <v>0</v>
      </c>
      <c r="W772">
        <f>VLOOKUP(Table9[[#This Row],[Shortname]], Comp[], 20, FALSE)</f>
        <v>0</v>
      </c>
      <c r="X772">
        <f>VLOOKUP(Table9[[#This Row],[Shortname]], Comp[], 21, FALSE)</f>
        <v>0</v>
      </c>
      <c r="Y772">
        <f>VLOOKUP(Table9[[#This Row],[Shortname]], Comp[], 22, FALSE)</f>
        <v>0</v>
      </c>
      <c r="Z772">
        <f>VLOOKUP(Table9[[#This Row],[Shortname]], Comp[], 23, FALSE)</f>
        <v>0</v>
      </c>
      <c r="AA772">
        <f>VLOOKUP(Table9[[#This Row],[Shortname]], Comp[], 24, FALSE)</f>
        <v>0</v>
      </c>
      <c r="AB772">
        <f>VLOOKUP(Table9[[#This Row],[Shortname]], Comp[], 25, FALSE)</f>
        <v>0</v>
      </c>
      <c r="AC772">
        <f>VLOOKUP(Table9[[#This Row],[Shortname]], Comp[], 26, FALSE)</f>
        <v>0</v>
      </c>
      <c r="AD772">
        <f>VLOOKUP(Table9[[#This Row],[Shortname]], Comp[], 27, FALSE)</f>
        <v>0</v>
      </c>
      <c r="AE772">
        <f>VLOOKUP(Table9[[#This Row],[Shortname]], Comp[], 28, FALSE)</f>
        <v>0</v>
      </c>
      <c r="AF772">
        <f>VLOOKUP(Table9[[#This Row],[Shortname]], Comp[], 29, FALSE)</f>
        <v>0</v>
      </c>
      <c r="AG772">
        <f>VLOOKUP(Table9[[#This Row],[Shortname]], Comp[], 30, FALSE)</f>
        <v>0</v>
      </c>
      <c r="AH772">
        <f>VLOOKUP(Table9[[#This Row],[Shortname]], Comp[], 31, FALSE)</f>
        <v>0</v>
      </c>
    </row>
    <row r="773" spans="1:34" x14ac:dyDescent="0.3">
      <c r="A773" t="s">
        <v>4232</v>
      </c>
      <c r="B773" t="s">
        <v>4234</v>
      </c>
      <c r="C773" t="s">
        <v>5027</v>
      </c>
      <c r="D773">
        <v>581.39</v>
      </c>
      <c r="E773">
        <v>849.02</v>
      </c>
      <c r="F773">
        <v>1E-4</v>
      </c>
      <c r="G773">
        <v>1</v>
      </c>
      <c r="I773">
        <f>VLOOKUP(Table9[[#This Row],[Shortname]], Comp[], 6, FALSE)</f>
        <v>644</v>
      </c>
      <c r="J773" s="14">
        <f>VLOOKUP(Table9[[#This Row],[Shortname]], Comp[], 7, FALSE)</f>
        <v>74</v>
      </c>
      <c r="K773">
        <f>VLOOKUP(Table9[[#This Row],[Shortname]], Comp[], 8, FALSE)</f>
        <v>0</v>
      </c>
      <c r="L773">
        <f>VLOOKUP(Table9[[#This Row],[Shortname]], Comp[], 9, FALSE)</f>
        <v>0</v>
      </c>
      <c r="M773">
        <f>VLOOKUP(Table9[[#This Row],[Shortname]], Comp[], 10, FALSE)</f>
        <v>15</v>
      </c>
      <c r="N773">
        <f>VLOOKUP(Table9[[#This Row],[Shortname]], Comp[], 11, FALSE)</f>
        <v>0</v>
      </c>
      <c r="O773">
        <f>VLOOKUP(Table9[[#This Row],[Shortname]], Comp[],12, FALSE)</f>
        <v>11</v>
      </c>
      <c r="P773">
        <f>VLOOKUP(Table9[[#This Row],[Shortname]], Comp[], 13, FALSE)</f>
        <v>0</v>
      </c>
      <c r="Q773">
        <f>VLOOKUP(Table9[[#This Row],[Shortname]], Comp[], 14, FALSE)</f>
        <v>0</v>
      </c>
      <c r="R773">
        <f>VLOOKUP(Table9[[#This Row],[Shortname]], Comp[], 15, FALSE)</f>
        <v>0</v>
      </c>
      <c r="S773">
        <f>VLOOKUP(Table9[[#This Row],[Shortname]], Comp[], 16, FALSE)</f>
        <v>0</v>
      </c>
      <c r="T773">
        <f>VLOOKUP(Table9[[#This Row],[Shortname]], Comp[], 17, FALSE)</f>
        <v>0</v>
      </c>
      <c r="U773">
        <f>VLOOKUP(Table9[[#This Row],[Shortname]], Comp[], 18, FALSE)</f>
        <v>0</v>
      </c>
      <c r="V773">
        <f>VLOOKUP(Table9[[#This Row],[Shortname]], Comp[], 19, FALSE)</f>
        <v>0</v>
      </c>
      <c r="W773">
        <f>VLOOKUP(Table9[[#This Row],[Shortname]], Comp[], 20, FALSE)</f>
        <v>0</v>
      </c>
      <c r="X773">
        <f>VLOOKUP(Table9[[#This Row],[Shortname]], Comp[], 21, FALSE)</f>
        <v>0</v>
      </c>
      <c r="Y773">
        <f>VLOOKUP(Table9[[#This Row],[Shortname]], Comp[], 22, FALSE)</f>
        <v>0</v>
      </c>
      <c r="Z773">
        <f>VLOOKUP(Table9[[#This Row],[Shortname]], Comp[], 23, FALSE)</f>
        <v>0</v>
      </c>
      <c r="AA773">
        <f>VLOOKUP(Table9[[#This Row],[Shortname]], Comp[], 24, FALSE)</f>
        <v>0</v>
      </c>
      <c r="AB773">
        <f>VLOOKUP(Table9[[#This Row],[Shortname]], Comp[], 25, FALSE)</f>
        <v>0</v>
      </c>
      <c r="AC773">
        <f>VLOOKUP(Table9[[#This Row],[Shortname]], Comp[], 26, FALSE)</f>
        <v>0</v>
      </c>
      <c r="AD773">
        <f>VLOOKUP(Table9[[#This Row],[Shortname]], Comp[], 27, FALSE)</f>
        <v>0</v>
      </c>
      <c r="AE773">
        <f>VLOOKUP(Table9[[#This Row],[Shortname]], Comp[], 28, FALSE)</f>
        <v>0</v>
      </c>
      <c r="AF773">
        <f>VLOOKUP(Table9[[#This Row],[Shortname]], Comp[], 29, FALSE)</f>
        <v>0</v>
      </c>
      <c r="AG773">
        <f>VLOOKUP(Table9[[#This Row],[Shortname]], Comp[], 30, FALSE)</f>
        <v>0</v>
      </c>
      <c r="AH773">
        <f>VLOOKUP(Table9[[#This Row],[Shortname]], Comp[], 31, FALSE)</f>
        <v>0</v>
      </c>
    </row>
    <row r="774" spans="1:34" x14ac:dyDescent="0.3">
      <c r="A774" t="s">
        <v>4232</v>
      </c>
      <c r="B774" t="s">
        <v>4234</v>
      </c>
      <c r="C774" t="s">
        <v>5027</v>
      </c>
      <c r="D774">
        <v>432.88</v>
      </c>
      <c r="E774">
        <v>598.58000000000004</v>
      </c>
      <c r="F774">
        <v>1E-4</v>
      </c>
      <c r="G774">
        <v>1</v>
      </c>
      <c r="I774">
        <f>VLOOKUP(Table9[[#This Row],[Shortname]], Comp[], 6, FALSE)</f>
        <v>644</v>
      </c>
      <c r="J774" s="14">
        <f>VLOOKUP(Table9[[#This Row],[Shortname]], Comp[], 7, FALSE)</f>
        <v>74</v>
      </c>
      <c r="K774">
        <f>VLOOKUP(Table9[[#This Row],[Shortname]], Comp[], 8, FALSE)</f>
        <v>0</v>
      </c>
      <c r="L774">
        <f>VLOOKUP(Table9[[#This Row],[Shortname]], Comp[], 9, FALSE)</f>
        <v>0</v>
      </c>
      <c r="M774">
        <f>VLOOKUP(Table9[[#This Row],[Shortname]], Comp[], 10, FALSE)</f>
        <v>15</v>
      </c>
      <c r="N774">
        <f>VLOOKUP(Table9[[#This Row],[Shortname]], Comp[], 11, FALSE)</f>
        <v>0</v>
      </c>
      <c r="O774">
        <f>VLOOKUP(Table9[[#This Row],[Shortname]], Comp[],12, FALSE)</f>
        <v>11</v>
      </c>
      <c r="P774">
        <f>VLOOKUP(Table9[[#This Row],[Shortname]], Comp[], 13, FALSE)</f>
        <v>0</v>
      </c>
      <c r="Q774">
        <f>VLOOKUP(Table9[[#This Row],[Shortname]], Comp[], 14, FALSE)</f>
        <v>0</v>
      </c>
      <c r="R774">
        <f>VLOOKUP(Table9[[#This Row],[Shortname]], Comp[], 15, FALSE)</f>
        <v>0</v>
      </c>
      <c r="S774">
        <f>VLOOKUP(Table9[[#This Row],[Shortname]], Comp[], 16, FALSE)</f>
        <v>0</v>
      </c>
      <c r="T774">
        <f>VLOOKUP(Table9[[#This Row],[Shortname]], Comp[], 17, FALSE)</f>
        <v>0</v>
      </c>
      <c r="U774">
        <f>VLOOKUP(Table9[[#This Row],[Shortname]], Comp[], 18, FALSE)</f>
        <v>0</v>
      </c>
      <c r="V774">
        <f>VLOOKUP(Table9[[#This Row],[Shortname]], Comp[], 19, FALSE)</f>
        <v>0</v>
      </c>
      <c r="W774">
        <f>VLOOKUP(Table9[[#This Row],[Shortname]], Comp[], 20, FALSE)</f>
        <v>0</v>
      </c>
      <c r="X774">
        <f>VLOOKUP(Table9[[#This Row],[Shortname]], Comp[], 21, FALSE)</f>
        <v>0</v>
      </c>
      <c r="Y774">
        <f>VLOOKUP(Table9[[#This Row],[Shortname]], Comp[], 22, FALSE)</f>
        <v>0</v>
      </c>
      <c r="Z774">
        <f>VLOOKUP(Table9[[#This Row],[Shortname]], Comp[], 23, FALSE)</f>
        <v>0</v>
      </c>
      <c r="AA774">
        <f>VLOOKUP(Table9[[#This Row],[Shortname]], Comp[], 24, FALSE)</f>
        <v>0</v>
      </c>
      <c r="AB774">
        <f>VLOOKUP(Table9[[#This Row],[Shortname]], Comp[], 25, FALSE)</f>
        <v>0</v>
      </c>
      <c r="AC774">
        <f>VLOOKUP(Table9[[#This Row],[Shortname]], Comp[], 26, FALSE)</f>
        <v>0</v>
      </c>
      <c r="AD774">
        <f>VLOOKUP(Table9[[#This Row],[Shortname]], Comp[], 27, FALSE)</f>
        <v>0</v>
      </c>
      <c r="AE774">
        <f>VLOOKUP(Table9[[#This Row],[Shortname]], Comp[], 28, FALSE)</f>
        <v>0</v>
      </c>
      <c r="AF774">
        <f>VLOOKUP(Table9[[#This Row],[Shortname]], Comp[], 29, FALSE)</f>
        <v>0</v>
      </c>
      <c r="AG774">
        <f>VLOOKUP(Table9[[#This Row],[Shortname]], Comp[], 30, FALSE)</f>
        <v>0</v>
      </c>
      <c r="AH774">
        <f>VLOOKUP(Table9[[#This Row],[Shortname]], Comp[], 31, FALSE)</f>
        <v>0</v>
      </c>
    </row>
    <row r="775" spans="1:34" x14ac:dyDescent="0.3">
      <c r="A775" t="s">
        <v>4232</v>
      </c>
      <c r="B775" t="s">
        <v>4234</v>
      </c>
      <c r="C775" t="s">
        <v>5027</v>
      </c>
      <c r="D775">
        <v>419.06</v>
      </c>
      <c r="E775">
        <v>751.33</v>
      </c>
      <c r="F775">
        <v>1E-4</v>
      </c>
      <c r="G775">
        <v>1</v>
      </c>
      <c r="I775">
        <f>VLOOKUP(Table9[[#This Row],[Shortname]], Comp[], 6, FALSE)</f>
        <v>644</v>
      </c>
      <c r="J775" s="14">
        <f>VLOOKUP(Table9[[#This Row],[Shortname]], Comp[], 7, FALSE)</f>
        <v>74</v>
      </c>
      <c r="K775">
        <f>VLOOKUP(Table9[[#This Row],[Shortname]], Comp[], 8, FALSE)</f>
        <v>0</v>
      </c>
      <c r="L775">
        <f>VLOOKUP(Table9[[#This Row],[Shortname]], Comp[], 9, FALSE)</f>
        <v>0</v>
      </c>
      <c r="M775">
        <f>VLOOKUP(Table9[[#This Row],[Shortname]], Comp[], 10, FALSE)</f>
        <v>15</v>
      </c>
      <c r="N775">
        <f>VLOOKUP(Table9[[#This Row],[Shortname]], Comp[], 11, FALSE)</f>
        <v>0</v>
      </c>
      <c r="O775">
        <f>VLOOKUP(Table9[[#This Row],[Shortname]], Comp[],12, FALSE)</f>
        <v>11</v>
      </c>
      <c r="P775">
        <f>VLOOKUP(Table9[[#This Row],[Shortname]], Comp[], 13, FALSE)</f>
        <v>0</v>
      </c>
      <c r="Q775">
        <f>VLOOKUP(Table9[[#This Row],[Shortname]], Comp[], 14, FALSE)</f>
        <v>0</v>
      </c>
      <c r="R775">
        <f>VLOOKUP(Table9[[#This Row],[Shortname]], Comp[], 15, FALSE)</f>
        <v>0</v>
      </c>
      <c r="S775">
        <f>VLOOKUP(Table9[[#This Row],[Shortname]], Comp[], 16, FALSE)</f>
        <v>0</v>
      </c>
      <c r="T775">
        <f>VLOOKUP(Table9[[#This Row],[Shortname]], Comp[], 17, FALSE)</f>
        <v>0</v>
      </c>
      <c r="U775">
        <f>VLOOKUP(Table9[[#This Row],[Shortname]], Comp[], 18, FALSE)</f>
        <v>0</v>
      </c>
      <c r="V775">
        <f>VLOOKUP(Table9[[#This Row],[Shortname]], Comp[], 19, FALSE)</f>
        <v>0</v>
      </c>
      <c r="W775">
        <f>VLOOKUP(Table9[[#This Row],[Shortname]], Comp[], 20, FALSE)</f>
        <v>0</v>
      </c>
      <c r="X775">
        <f>VLOOKUP(Table9[[#This Row],[Shortname]], Comp[], 21, FALSE)</f>
        <v>0</v>
      </c>
      <c r="Y775">
        <f>VLOOKUP(Table9[[#This Row],[Shortname]], Comp[], 22, FALSE)</f>
        <v>0</v>
      </c>
      <c r="Z775">
        <f>VLOOKUP(Table9[[#This Row],[Shortname]], Comp[], 23, FALSE)</f>
        <v>0</v>
      </c>
      <c r="AA775">
        <f>VLOOKUP(Table9[[#This Row],[Shortname]], Comp[], 24, FALSE)</f>
        <v>0</v>
      </c>
      <c r="AB775">
        <f>VLOOKUP(Table9[[#This Row],[Shortname]], Comp[], 25, FALSE)</f>
        <v>0</v>
      </c>
      <c r="AC775">
        <f>VLOOKUP(Table9[[#This Row],[Shortname]], Comp[], 26, FALSE)</f>
        <v>0</v>
      </c>
      <c r="AD775">
        <f>VLOOKUP(Table9[[#This Row],[Shortname]], Comp[], 27, FALSE)</f>
        <v>0</v>
      </c>
      <c r="AE775">
        <f>VLOOKUP(Table9[[#This Row],[Shortname]], Comp[], 28, FALSE)</f>
        <v>0</v>
      </c>
      <c r="AF775">
        <f>VLOOKUP(Table9[[#This Row],[Shortname]], Comp[], 29, FALSE)</f>
        <v>0</v>
      </c>
      <c r="AG775">
        <f>VLOOKUP(Table9[[#This Row],[Shortname]], Comp[], 30, FALSE)</f>
        <v>0</v>
      </c>
      <c r="AH775">
        <f>VLOOKUP(Table9[[#This Row],[Shortname]], Comp[], 31, FALSE)</f>
        <v>0</v>
      </c>
    </row>
    <row r="776" spans="1:34" x14ac:dyDescent="0.3">
      <c r="A776" t="s">
        <v>4232</v>
      </c>
      <c r="B776" t="s">
        <v>4234</v>
      </c>
      <c r="C776" t="s">
        <v>5027</v>
      </c>
      <c r="D776">
        <v>354.17</v>
      </c>
      <c r="E776">
        <v>898.76</v>
      </c>
      <c r="F776">
        <v>1E-4</v>
      </c>
      <c r="G776">
        <v>1</v>
      </c>
      <c r="I776">
        <f>VLOOKUP(Table9[[#This Row],[Shortname]], Comp[], 6, FALSE)</f>
        <v>644</v>
      </c>
      <c r="J776" s="14">
        <f>VLOOKUP(Table9[[#This Row],[Shortname]], Comp[], 7, FALSE)</f>
        <v>74</v>
      </c>
      <c r="K776">
        <f>VLOOKUP(Table9[[#This Row],[Shortname]], Comp[], 8, FALSE)</f>
        <v>0</v>
      </c>
      <c r="L776">
        <f>VLOOKUP(Table9[[#This Row],[Shortname]], Comp[], 9, FALSE)</f>
        <v>0</v>
      </c>
      <c r="M776">
        <f>VLOOKUP(Table9[[#This Row],[Shortname]], Comp[], 10, FALSE)</f>
        <v>15</v>
      </c>
      <c r="N776">
        <f>VLOOKUP(Table9[[#This Row],[Shortname]], Comp[], 11, FALSE)</f>
        <v>0</v>
      </c>
      <c r="O776">
        <f>VLOOKUP(Table9[[#This Row],[Shortname]], Comp[],12, FALSE)</f>
        <v>11</v>
      </c>
      <c r="P776">
        <f>VLOOKUP(Table9[[#This Row],[Shortname]], Comp[], 13, FALSE)</f>
        <v>0</v>
      </c>
      <c r="Q776">
        <f>VLOOKUP(Table9[[#This Row],[Shortname]], Comp[], 14, FALSE)</f>
        <v>0</v>
      </c>
      <c r="R776">
        <f>VLOOKUP(Table9[[#This Row],[Shortname]], Comp[], 15, FALSE)</f>
        <v>0</v>
      </c>
      <c r="S776">
        <f>VLOOKUP(Table9[[#This Row],[Shortname]], Comp[], 16, FALSE)</f>
        <v>0</v>
      </c>
      <c r="T776">
        <f>VLOOKUP(Table9[[#This Row],[Shortname]], Comp[], 17, FALSE)</f>
        <v>0</v>
      </c>
      <c r="U776">
        <f>VLOOKUP(Table9[[#This Row],[Shortname]], Comp[], 18, FALSE)</f>
        <v>0</v>
      </c>
      <c r="V776">
        <f>VLOOKUP(Table9[[#This Row],[Shortname]], Comp[], 19, FALSE)</f>
        <v>0</v>
      </c>
      <c r="W776">
        <f>VLOOKUP(Table9[[#This Row],[Shortname]], Comp[], 20, FALSE)</f>
        <v>0</v>
      </c>
      <c r="X776">
        <f>VLOOKUP(Table9[[#This Row],[Shortname]], Comp[], 21, FALSE)</f>
        <v>0</v>
      </c>
      <c r="Y776">
        <f>VLOOKUP(Table9[[#This Row],[Shortname]], Comp[], 22, FALSE)</f>
        <v>0</v>
      </c>
      <c r="Z776">
        <f>VLOOKUP(Table9[[#This Row],[Shortname]], Comp[], 23, FALSE)</f>
        <v>0</v>
      </c>
      <c r="AA776">
        <f>VLOOKUP(Table9[[#This Row],[Shortname]], Comp[], 24, FALSE)</f>
        <v>0</v>
      </c>
      <c r="AB776">
        <f>VLOOKUP(Table9[[#This Row],[Shortname]], Comp[], 25, FALSE)</f>
        <v>0</v>
      </c>
      <c r="AC776">
        <f>VLOOKUP(Table9[[#This Row],[Shortname]], Comp[], 26, FALSE)</f>
        <v>0</v>
      </c>
      <c r="AD776">
        <f>VLOOKUP(Table9[[#This Row],[Shortname]], Comp[], 27, FALSE)</f>
        <v>0</v>
      </c>
      <c r="AE776">
        <f>VLOOKUP(Table9[[#This Row],[Shortname]], Comp[], 28, FALSE)</f>
        <v>0</v>
      </c>
      <c r="AF776">
        <f>VLOOKUP(Table9[[#This Row],[Shortname]], Comp[], 29, FALSE)</f>
        <v>0</v>
      </c>
      <c r="AG776">
        <f>VLOOKUP(Table9[[#This Row],[Shortname]], Comp[], 30, FALSE)</f>
        <v>0</v>
      </c>
      <c r="AH776">
        <f>VLOOKUP(Table9[[#This Row],[Shortname]], Comp[], 31, FALSE)</f>
        <v>0</v>
      </c>
    </row>
    <row r="777" spans="1:34" x14ac:dyDescent="0.3">
      <c r="A777" t="s">
        <v>4232</v>
      </c>
      <c r="B777" t="s">
        <v>4234</v>
      </c>
      <c r="C777" t="s">
        <v>5027</v>
      </c>
      <c r="D777">
        <v>215.68</v>
      </c>
      <c r="E777">
        <v>1000</v>
      </c>
      <c r="F777">
        <v>1E-4</v>
      </c>
      <c r="G777">
        <v>1</v>
      </c>
      <c r="I777">
        <f>VLOOKUP(Table9[[#This Row],[Shortname]], Comp[], 6, FALSE)</f>
        <v>644</v>
      </c>
      <c r="J777" s="14">
        <f>VLOOKUP(Table9[[#This Row],[Shortname]], Comp[], 7, FALSE)</f>
        <v>74</v>
      </c>
      <c r="K777">
        <f>VLOOKUP(Table9[[#This Row],[Shortname]], Comp[], 8, FALSE)</f>
        <v>0</v>
      </c>
      <c r="L777">
        <f>VLOOKUP(Table9[[#This Row],[Shortname]], Comp[], 9, FALSE)</f>
        <v>0</v>
      </c>
      <c r="M777">
        <f>VLOOKUP(Table9[[#This Row],[Shortname]], Comp[], 10, FALSE)</f>
        <v>15</v>
      </c>
      <c r="N777">
        <f>VLOOKUP(Table9[[#This Row],[Shortname]], Comp[], 11, FALSE)</f>
        <v>0</v>
      </c>
      <c r="O777">
        <f>VLOOKUP(Table9[[#This Row],[Shortname]], Comp[],12, FALSE)</f>
        <v>11</v>
      </c>
      <c r="P777">
        <f>VLOOKUP(Table9[[#This Row],[Shortname]], Comp[], 13, FALSE)</f>
        <v>0</v>
      </c>
      <c r="Q777">
        <f>VLOOKUP(Table9[[#This Row],[Shortname]], Comp[], 14, FALSE)</f>
        <v>0</v>
      </c>
      <c r="R777">
        <f>VLOOKUP(Table9[[#This Row],[Shortname]], Comp[], 15, FALSE)</f>
        <v>0</v>
      </c>
      <c r="S777">
        <f>VLOOKUP(Table9[[#This Row],[Shortname]], Comp[], 16, FALSE)</f>
        <v>0</v>
      </c>
      <c r="T777">
        <f>VLOOKUP(Table9[[#This Row],[Shortname]], Comp[], 17, FALSE)</f>
        <v>0</v>
      </c>
      <c r="U777">
        <f>VLOOKUP(Table9[[#This Row],[Shortname]], Comp[], 18, FALSE)</f>
        <v>0</v>
      </c>
      <c r="V777">
        <f>VLOOKUP(Table9[[#This Row],[Shortname]], Comp[], 19, FALSE)</f>
        <v>0</v>
      </c>
      <c r="W777">
        <f>VLOOKUP(Table9[[#This Row],[Shortname]], Comp[], 20, FALSE)</f>
        <v>0</v>
      </c>
      <c r="X777">
        <f>VLOOKUP(Table9[[#This Row],[Shortname]], Comp[], 21, FALSE)</f>
        <v>0</v>
      </c>
      <c r="Y777">
        <f>VLOOKUP(Table9[[#This Row],[Shortname]], Comp[], 22, FALSE)</f>
        <v>0</v>
      </c>
      <c r="Z777">
        <f>VLOOKUP(Table9[[#This Row],[Shortname]], Comp[], 23, FALSE)</f>
        <v>0</v>
      </c>
      <c r="AA777">
        <f>VLOOKUP(Table9[[#This Row],[Shortname]], Comp[], 24, FALSE)</f>
        <v>0</v>
      </c>
      <c r="AB777">
        <f>VLOOKUP(Table9[[#This Row],[Shortname]], Comp[], 25, FALSE)</f>
        <v>0</v>
      </c>
      <c r="AC777">
        <f>VLOOKUP(Table9[[#This Row],[Shortname]], Comp[], 26, FALSE)</f>
        <v>0</v>
      </c>
      <c r="AD777">
        <f>VLOOKUP(Table9[[#This Row],[Shortname]], Comp[], 27, FALSE)</f>
        <v>0</v>
      </c>
      <c r="AE777">
        <f>VLOOKUP(Table9[[#This Row],[Shortname]], Comp[], 28, FALSE)</f>
        <v>0</v>
      </c>
      <c r="AF777">
        <f>VLOOKUP(Table9[[#This Row],[Shortname]], Comp[], 29, FALSE)</f>
        <v>0</v>
      </c>
      <c r="AG777">
        <f>VLOOKUP(Table9[[#This Row],[Shortname]], Comp[], 30, FALSE)</f>
        <v>0</v>
      </c>
      <c r="AH777">
        <f>VLOOKUP(Table9[[#This Row],[Shortname]], Comp[], 31, FALSE)</f>
        <v>0</v>
      </c>
    </row>
    <row r="778" spans="1:34" x14ac:dyDescent="0.3">
      <c r="A778" t="s">
        <v>5045</v>
      </c>
      <c r="B778" t="s">
        <v>5047</v>
      </c>
      <c r="C778" t="s">
        <v>5027</v>
      </c>
      <c r="D778">
        <v>682.89</v>
      </c>
      <c r="E778">
        <v>25</v>
      </c>
      <c r="F778">
        <v>1E-4</v>
      </c>
      <c r="G778">
        <v>1</v>
      </c>
      <c r="I778">
        <f>VLOOKUP(Table9[[#This Row],[Shortname]], Comp[], 6, FALSE)</f>
        <v>777</v>
      </c>
      <c r="J778" s="14">
        <f>VLOOKUP(Table9[[#This Row],[Shortname]], Comp[], 7, FALSE)</f>
        <v>73</v>
      </c>
      <c r="K778">
        <f>VLOOKUP(Table9[[#This Row],[Shortname]], Comp[], 8, FALSE)</f>
        <v>0</v>
      </c>
      <c r="L778">
        <f>VLOOKUP(Table9[[#This Row],[Shortname]], Comp[], 9, FALSE)</f>
        <v>0</v>
      </c>
      <c r="M778">
        <f>VLOOKUP(Table9[[#This Row],[Shortname]], Comp[], 10, FALSE)</f>
        <v>15</v>
      </c>
      <c r="N778">
        <f>VLOOKUP(Table9[[#This Row],[Shortname]], Comp[], 11, FALSE)</f>
        <v>0</v>
      </c>
      <c r="O778">
        <f>VLOOKUP(Table9[[#This Row],[Shortname]], Comp[],12, FALSE)</f>
        <v>11</v>
      </c>
      <c r="P778">
        <f>VLOOKUP(Table9[[#This Row],[Shortname]], Comp[], 13, FALSE)</f>
        <v>0</v>
      </c>
      <c r="Q778">
        <f>VLOOKUP(Table9[[#This Row],[Shortname]], Comp[], 14, FALSE)</f>
        <v>0</v>
      </c>
      <c r="R778">
        <f>VLOOKUP(Table9[[#This Row],[Shortname]], Comp[], 15, FALSE)</f>
        <v>0</v>
      </c>
      <c r="S778">
        <f>VLOOKUP(Table9[[#This Row],[Shortname]], Comp[], 16, FALSE)</f>
        <v>0</v>
      </c>
      <c r="T778">
        <f>VLOOKUP(Table9[[#This Row],[Shortname]], Comp[], 17, FALSE)</f>
        <v>0</v>
      </c>
      <c r="U778">
        <f>VLOOKUP(Table9[[#This Row],[Shortname]], Comp[], 18, FALSE)</f>
        <v>0</v>
      </c>
      <c r="V778">
        <f>VLOOKUP(Table9[[#This Row],[Shortname]], Comp[], 19, FALSE)</f>
        <v>0</v>
      </c>
      <c r="W778">
        <f>VLOOKUP(Table9[[#This Row],[Shortname]], Comp[], 20, FALSE)</f>
        <v>0</v>
      </c>
      <c r="X778">
        <f>VLOOKUP(Table9[[#This Row],[Shortname]], Comp[], 21, FALSE)</f>
        <v>1</v>
      </c>
      <c r="Y778">
        <f>VLOOKUP(Table9[[#This Row],[Shortname]], Comp[], 22, FALSE)</f>
        <v>0</v>
      </c>
      <c r="Z778">
        <f>VLOOKUP(Table9[[#This Row],[Shortname]], Comp[], 23, FALSE)</f>
        <v>0</v>
      </c>
      <c r="AA778">
        <f>VLOOKUP(Table9[[#This Row],[Shortname]], Comp[], 24, FALSE)</f>
        <v>0</v>
      </c>
      <c r="AB778">
        <f>VLOOKUP(Table9[[#This Row],[Shortname]], Comp[], 25, FALSE)</f>
        <v>0</v>
      </c>
      <c r="AC778">
        <f>VLOOKUP(Table9[[#This Row],[Shortname]], Comp[], 26, FALSE)</f>
        <v>0</v>
      </c>
      <c r="AD778">
        <f>VLOOKUP(Table9[[#This Row],[Shortname]], Comp[], 27, FALSE)</f>
        <v>0</v>
      </c>
      <c r="AE778">
        <f>VLOOKUP(Table9[[#This Row],[Shortname]], Comp[], 28, FALSE)</f>
        <v>0</v>
      </c>
      <c r="AF778">
        <f>VLOOKUP(Table9[[#This Row],[Shortname]], Comp[], 29, FALSE)</f>
        <v>0</v>
      </c>
      <c r="AG778">
        <f>VLOOKUP(Table9[[#This Row],[Shortname]], Comp[], 30, FALSE)</f>
        <v>0</v>
      </c>
      <c r="AH778">
        <f>VLOOKUP(Table9[[#This Row],[Shortname]], Comp[], 31, FALSE)</f>
        <v>0</v>
      </c>
    </row>
    <row r="779" spans="1:34" x14ac:dyDescent="0.3">
      <c r="A779" t="s">
        <v>5045</v>
      </c>
      <c r="B779" t="s">
        <v>5047</v>
      </c>
      <c r="C779" t="s">
        <v>5027</v>
      </c>
      <c r="D779">
        <v>489.63</v>
      </c>
      <c r="E779">
        <v>598.58000000000004</v>
      </c>
      <c r="F779">
        <v>1E-4</v>
      </c>
      <c r="G779">
        <v>1</v>
      </c>
      <c r="I779">
        <f>VLOOKUP(Table9[[#This Row],[Shortname]], Comp[], 6, FALSE)</f>
        <v>777</v>
      </c>
      <c r="J779" s="14">
        <f>VLOOKUP(Table9[[#This Row],[Shortname]], Comp[], 7, FALSE)</f>
        <v>73</v>
      </c>
      <c r="K779">
        <f>VLOOKUP(Table9[[#This Row],[Shortname]], Comp[], 8, FALSE)</f>
        <v>0</v>
      </c>
      <c r="L779">
        <f>VLOOKUP(Table9[[#This Row],[Shortname]], Comp[], 9, FALSE)</f>
        <v>0</v>
      </c>
      <c r="M779">
        <f>VLOOKUP(Table9[[#This Row],[Shortname]], Comp[], 10, FALSE)</f>
        <v>15</v>
      </c>
      <c r="N779">
        <f>VLOOKUP(Table9[[#This Row],[Shortname]], Comp[], 11, FALSE)</f>
        <v>0</v>
      </c>
      <c r="O779">
        <f>VLOOKUP(Table9[[#This Row],[Shortname]], Comp[],12, FALSE)</f>
        <v>11</v>
      </c>
      <c r="P779">
        <f>VLOOKUP(Table9[[#This Row],[Shortname]], Comp[], 13, FALSE)</f>
        <v>0</v>
      </c>
      <c r="Q779">
        <f>VLOOKUP(Table9[[#This Row],[Shortname]], Comp[], 14, FALSE)</f>
        <v>0</v>
      </c>
      <c r="R779">
        <f>VLOOKUP(Table9[[#This Row],[Shortname]], Comp[], 15, FALSE)</f>
        <v>0</v>
      </c>
      <c r="S779">
        <f>VLOOKUP(Table9[[#This Row],[Shortname]], Comp[], 16, FALSE)</f>
        <v>0</v>
      </c>
      <c r="T779">
        <f>VLOOKUP(Table9[[#This Row],[Shortname]], Comp[], 17, FALSE)</f>
        <v>0</v>
      </c>
      <c r="U779">
        <f>VLOOKUP(Table9[[#This Row],[Shortname]], Comp[], 18, FALSE)</f>
        <v>0</v>
      </c>
      <c r="V779">
        <f>VLOOKUP(Table9[[#This Row],[Shortname]], Comp[], 19, FALSE)</f>
        <v>0</v>
      </c>
      <c r="W779">
        <f>VLOOKUP(Table9[[#This Row],[Shortname]], Comp[], 20, FALSE)</f>
        <v>0</v>
      </c>
      <c r="X779">
        <f>VLOOKUP(Table9[[#This Row],[Shortname]], Comp[], 21, FALSE)</f>
        <v>1</v>
      </c>
      <c r="Y779">
        <f>VLOOKUP(Table9[[#This Row],[Shortname]], Comp[], 22, FALSE)</f>
        <v>0</v>
      </c>
      <c r="Z779">
        <f>VLOOKUP(Table9[[#This Row],[Shortname]], Comp[], 23, FALSE)</f>
        <v>0</v>
      </c>
      <c r="AA779">
        <f>VLOOKUP(Table9[[#This Row],[Shortname]], Comp[], 24, FALSE)</f>
        <v>0</v>
      </c>
      <c r="AB779">
        <f>VLOOKUP(Table9[[#This Row],[Shortname]], Comp[], 25, FALSE)</f>
        <v>0</v>
      </c>
      <c r="AC779">
        <f>VLOOKUP(Table9[[#This Row],[Shortname]], Comp[], 26, FALSE)</f>
        <v>0</v>
      </c>
      <c r="AD779">
        <f>VLOOKUP(Table9[[#This Row],[Shortname]], Comp[], 27, FALSE)</f>
        <v>0</v>
      </c>
      <c r="AE779">
        <f>VLOOKUP(Table9[[#This Row],[Shortname]], Comp[], 28, FALSE)</f>
        <v>0</v>
      </c>
      <c r="AF779">
        <f>VLOOKUP(Table9[[#This Row],[Shortname]], Comp[], 29, FALSE)</f>
        <v>0</v>
      </c>
      <c r="AG779">
        <f>VLOOKUP(Table9[[#This Row],[Shortname]], Comp[], 30, FALSE)</f>
        <v>0</v>
      </c>
      <c r="AH779">
        <f>VLOOKUP(Table9[[#This Row],[Shortname]], Comp[], 31, FALSE)</f>
        <v>0</v>
      </c>
    </row>
    <row r="780" spans="1:34" x14ac:dyDescent="0.3">
      <c r="A780" t="s">
        <v>5045</v>
      </c>
      <c r="B780" t="s">
        <v>5047</v>
      </c>
      <c r="C780" t="s">
        <v>5027</v>
      </c>
      <c r="D780">
        <v>447.43</v>
      </c>
      <c r="E780">
        <v>751.33</v>
      </c>
      <c r="F780">
        <v>1E-4</v>
      </c>
      <c r="G780">
        <v>1</v>
      </c>
      <c r="I780">
        <f>VLOOKUP(Table9[[#This Row],[Shortname]], Comp[], 6, FALSE)</f>
        <v>777</v>
      </c>
      <c r="J780" s="14">
        <f>VLOOKUP(Table9[[#This Row],[Shortname]], Comp[], 7, FALSE)</f>
        <v>73</v>
      </c>
      <c r="K780">
        <f>VLOOKUP(Table9[[#This Row],[Shortname]], Comp[], 8, FALSE)</f>
        <v>0</v>
      </c>
      <c r="L780">
        <f>VLOOKUP(Table9[[#This Row],[Shortname]], Comp[], 9, FALSE)</f>
        <v>0</v>
      </c>
      <c r="M780">
        <f>VLOOKUP(Table9[[#This Row],[Shortname]], Comp[], 10, FALSE)</f>
        <v>15</v>
      </c>
      <c r="N780">
        <f>VLOOKUP(Table9[[#This Row],[Shortname]], Comp[], 11, FALSE)</f>
        <v>0</v>
      </c>
      <c r="O780">
        <f>VLOOKUP(Table9[[#This Row],[Shortname]], Comp[],12, FALSE)</f>
        <v>11</v>
      </c>
      <c r="P780">
        <f>VLOOKUP(Table9[[#This Row],[Shortname]], Comp[], 13, FALSE)</f>
        <v>0</v>
      </c>
      <c r="Q780">
        <f>VLOOKUP(Table9[[#This Row],[Shortname]], Comp[], 14, FALSE)</f>
        <v>0</v>
      </c>
      <c r="R780">
        <f>VLOOKUP(Table9[[#This Row],[Shortname]], Comp[], 15, FALSE)</f>
        <v>0</v>
      </c>
      <c r="S780">
        <f>VLOOKUP(Table9[[#This Row],[Shortname]], Comp[], 16, FALSE)</f>
        <v>0</v>
      </c>
      <c r="T780">
        <f>VLOOKUP(Table9[[#This Row],[Shortname]], Comp[], 17, FALSE)</f>
        <v>0</v>
      </c>
      <c r="U780">
        <f>VLOOKUP(Table9[[#This Row],[Shortname]], Comp[], 18, FALSE)</f>
        <v>0</v>
      </c>
      <c r="V780">
        <f>VLOOKUP(Table9[[#This Row],[Shortname]], Comp[], 19, FALSE)</f>
        <v>0</v>
      </c>
      <c r="W780">
        <f>VLOOKUP(Table9[[#This Row],[Shortname]], Comp[], 20, FALSE)</f>
        <v>0</v>
      </c>
      <c r="X780">
        <f>VLOOKUP(Table9[[#This Row],[Shortname]], Comp[], 21, FALSE)</f>
        <v>1</v>
      </c>
      <c r="Y780">
        <f>VLOOKUP(Table9[[#This Row],[Shortname]], Comp[], 22, FALSE)</f>
        <v>0</v>
      </c>
      <c r="Z780">
        <f>VLOOKUP(Table9[[#This Row],[Shortname]], Comp[], 23, FALSE)</f>
        <v>0</v>
      </c>
      <c r="AA780">
        <f>VLOOKUP(Table9[[#This Row],[Shortname]], Comp[], 24, FALSE)</f>
        <v>0</v>
      </c>
      <c r="AB780">
        <f>VLOOKUP(Table9[[#This Row],[Shortname]], Comp[], 25, FALSE)</f>
        <v>0</v>
      </c>
      <c r="AC780">
        <f>VLOOKUP(Table9[[#This Row],[Shortname]], Comp[], 26, FALSE)</f>
        <v>0</v>
      </c>
      <c r="AD780">
        <f>VLOOKUP(Table9[[#This Row],[Shortname]], Comp[], 27, FALSE)</f>
        <v>0</v>
      </c>
      <c r="AE780">
        <f>VLOOKUP(Table9[[#This Row],[Shortname]], Comp[], 28, FALSE)</f>
        <v>0</v>
      </c>
      <c r="AF780">
        <f>VLOOKUP(Table9[[#This Row],[Shortname]], Comp[], 29, FALSE)</f>
        <v>0</v>
      </c>
      <c r="AG780">
        <f>VLOOKUP(Table9[[#This Row],[Shortname]], Comp[], 30, FALSE)</f>
        <v>0</v>
      </c>
      <c r="AH780">
        <f>VLOOKUP(Table9[[#This Row],[Shortname]], Comp[], 31, FALSE)</f>
        <v>0</v>
      </c>
    </row>
    <row r="781" spans="1:34" x14ac:dyDescent="0.3">
      <c r="A781" t="s">
        <v>5045</v>
      </c>
      <c r="B781" t="s">
        <v>5047</v>
      </c>
      <c r="C781" t="s">
        <v>5027</v>
      </c>
      <c r="D781">
        <v>439.48</v>
      </c>
      <c r="E781">
        <v>854.35</v>
      </c>
      <c r="F781">
        <v>1E-4</v>
      </c>
      <c r="G781">
        <v>1</v>
      </c>
      <c r="I781">
        <f>VLOOKUP(Table9[[#This Row],[Shortname]], Comp[], 6, FALSE)</f>
        <v>777</v>
      </c>
      <c r="J781" s="14">
        <f>VLOOKUP(Table9[[#This Row],[Shortname]], Comp[], 7, FALSE)</f>
        <v>73</v>
      </c>
      <c r="K781">
        <f>VLOOKUP(Table9[[#This Row],[Shortname]], Comp[], 8, FALSE)</f>
        <v>0</v>
      </c>
      <c r="L781">
        <f>VLOOKUP(Table9[[#This Row],[Shortname]], Comp[], 9, FALSE)</f>
        <v>0</v>
      </c>
      <c r="M781">
        <f>VLOOKUP(Table9[[#This Row],[Shortname]], Comp[], 10, FALSE)</f>
        <v>15</v>
      </c>
      <c r="N781">
        <f>VLOOKUP(Table9[[#This Row],[Shortname]], Comp[], 11, FALSE)</f>
        <v>0</v>
      </c>
      <c r="O781">
        <f>VLOOKUP(Table9[[#This Row],[Shortname]], Comp[],12, FALSE)</f>
        <v>11</v>
      </c>
      <c r="P781">
        <f>VLOOKUP(Table9[[#This Row],[Shortname]], Comp[], 13, FALSE)</f>
        <v>0</v>
      </c>
      <c r="Q781">
        <f>VLOOKUP(Table9[[#This Row],[Shortname]], Comp[], 14, FALSE)</f>
        <v>0</v>
      </c>
      <c r="R781">
        <f>VLOOKUP(Table9[[#This Row],[Shortname]], Comp[], 15, FALSE)</f>
        <v>0</v>
      </c>
      <c r="S781">
        <f>VLOOKUP(Table9[[#This Row],[Shortname]], Comp[], 16, FALSE)</f>
        <v>0</v>
      </c>
      <c r="T781">
        <f>VLOOKUP(Table9[[#This Row],[Shortname]], Comp[], 17, FALSE)</f>
        <v>0</v>
      </c>
      <c r="U781">
        <f>VLOOKUP(Table9[[#This Row],[Shortname]], Comp[], 18, FALSE)</f>
        <v>0</v>
      </c>
      <c r="V781">
        <f>VLOOKUP(Table9[[#This Row],[Shortname]], Comp[], 19, FALSE)</f>
        <v>0</v>
      </c>
      <c r="W781">
        <f>VLOOKUP(Table9[[#This Row],[Shortname]], Comp[], 20, FALSE)</f>
        <v>0</v>
      </c>
      <c r="X781">
        <f>VLOOKUP(Table9[[#This Row],[Shortname]], Comp[], 21, FALSE)</f>
        <v>1</v>
      </c>
      <c r="Y781">
        <f>VLOOKUP(Table9[[#This Row],[Shortname]], Comp[], 22, FALSE)</f>
        <v>0</v>
      </c>
      <c r="Z781">
        <f>VLOOKUP(Table9[[#This Row],[Shortname]], Comp[], 23, FALSE)</f>
        <v>0</v>
      </c>
      <c r="AA781">
        <f>VLOOKUP(Table9[[#This Row],[Shortname]], Comp[], 24, FALSE)</f>
        <v>0</v>
      </c>
      <c r="AB781">
        <f>VLOOKUP(Table9[[#This Row],[Shortname]], Comp[], 25, FALSE)</f>
        <v>0</v>
      </c>
      <c r="AC781">
        <f>VLOOKUP(Table9[[#This Row],[Shortname]], Comp[], 26, FALSE)</f>
        <v>0</v>
      </c>
      <c r="AD781">
        <f>VLOOKUP(Table9[[#This Row],[Shortname]], Comp[], 27, FALSE)</f>
        <v>0</v>
      </c>
      <c r="AE781">
        <f>VLOOKUP(Table9[[#This Row],[Shortname]], Comp[], 28, FALSE)</f>
        <v>0</v>
      </c>
      <c r="AF781">
        <f>VLOOKUP(Table9[[#This Row],[Shortname]], Comp[], 29, FALSE)</f>
        <v>0</v>
      </c>
      <c r="AG781">
        <f>VLOOKUP(Table9[[#This Row],[Shortname]], Comp[], 30, FALSE)</f>
        <v>0</v>
      </c>
      <c r="AH781">
        <f>VLOOKUP(Table9[[#This Row],[Shortname]], Comp[], 31, FALSE)</f>
        <v>0</v>
      </c>
    </row>
    <row r="782" spans="1:34" x14ac:dyDescent="0.3">
      <c r="A782" t="s">
        <v>5045</v>
      </c>
      <c r="B782" t="s">
        <v>5047</v>
      </c>
      <c r="C782" t="s">
        <v>5027</v>
      </c>
      <c r="D782">
        <v>424.16</v>
      </c>
      <c r="E782">
        <v>902.31</v>
      </c>
      <c r="F782">
        <v>1E-4</v>
      </c>
      <c r="G782">
        <v>1</v>
      </c>
      <c r="I782">
        <f>VLOOKUP(Table9[[#This Row],[Shortname]], Comp[], 6, FALSE)</f>
        <v>777</v>
      </c>
      <c r="J782" s="14">
        <f>VLOOKUP(Table9[[#This Row],[Shortname]], Comp[], 7, FALSE)</f>
        <v>73</v>
      </c>
      <c r="K782">
        <f>VLOOKUP(Table9[[#This Row],[Shortname]], Comp[], 8, FALSE)</f>
        <v>0</v>
      </c>
      <c r="L782">
        <f>VLOOKUP(Table9[[#This Row],[Shortname]], Comp[], 9, FALSE)</f>
        <v>0</v>
      </c>
      <c r="M782">
        <f>VLOOKUP(Table9[[#This Row],[Shortname]], Comp[], 10, FALSE)</f>
        <v>15</v>
      </c>
      <c r="N782">
        <f>VLOOKUP(Table9[[#This Row],[Shortname]], Comp[], 11, FALSE)</f>
        <v>0</v>
      </c>
      <c r="O782">
        <f>VLOOKUP(Table9[[#This Row],[Shortname]], Comp[],12, FALSE)</f>
        <v>11</v>
      </c>
      <c r="P782">
        <f>VLOOKUP(Table9[[#This Row],[Shortname]], Comp[], 13, FALSE)</f>
        <v>0</v>
      </c>
      <c r="Q782">
        <f>VLOOKUP(Table9[[#This Row],[Shortname]], Comp[], 14, FALSE)</f>
        <v>0</v>
      </c>
      <c r="R782">
        <f>VLOOKUP(Table9[[#This Row],[Shortname]], Comp[], 15, FALSE)</f>
        <v>0</v>
      </c>
      <c r="S782">
        <f>VLOOKUP(Table9[[#This Row],[Shortname]], Comp[], 16, FALSE)</f>
        <v>0</v>
      </c>
      <c r="T782">
        <f>VLOOKUP(Table9[[#This Row],[Shortname]], Comp[], 17, FALSE)</f>
        <v>0</v>
      </c>
      <c r="U782">
        <f>VLOOKUP(Table9[[#This Row],[Shortname]], Comp[], 18, FALSE)</f>
        <v>0</v>
      </c>
      <c r="V782">
        <f>VLOOKUP(Table9[[#This Row],[Shortname]], Comp[], 19, FALSE)</f>
        <v>0</v>
      </c>
      <c r="W782">
        <f>VLOOKUP(Table9[[#This Row],[Shortname]], Comp[], 20, FALSE)</f>
        <v>0</v>
      </c>
      <c r="X782">
        <f>VLOOKUP(Table9[[#This Row],[Shortname]], Comp[], 21, FALSE)</f>
        <v>1</v>
      </c>
      <c r="Y782">
        <f>VLOOKUP(Table9[[#This Row],[Shortname]], Comp[], 22, FALSE)</f>
        <v>0</v>
      </c>
      <c r="Z782">
        <f>VLOOKUP(Table9[[#This Row],[Shortname]], Comp[], 23, FALSE)</f>
        <v>0</v>
      </c>
      <c r="AA782">
        <f>VLOOKUP(Table9[[#This Row],[Shortname]], Comp[], 24, FALSE)</f>
        <v>0</v>
      </c>
      <c r="AB782">
        <f>VLOOKUP(Table9[[#This Row],[Shortname]], Comp[], 25, FALSE)</f>
        <v>0</v>
      </c>
      <c r="AC782">
        <f>VLOOKUP(Table9[[#This Row],[Shortname]], Comp[], 26, FALSE)</f>
        <v>0</v>
      </c>
      <c r="AD782">
        <f>VLOOKUP(Table9[[#This Row],[Shortname]], Comp[], 27, FALSE)</f>
        <v>0</v>
      </c>
      <c r="AE782">
        <f>VLOOKUP(Table9[[#This Row],[Shortname]], Comp[], 28, FALSE)</f>
        <v>0</v>
      </c>
      <c r="AF782">
        <f>VLOOKUP(Table9[[#This Row],[Shortname]], Comp[], 29, FALSE)</f>
        <v>0</v>
      </c>
      <c r="AG782">
        <f>VLOOKUP(Table9[[#This Row],[Shortname]], Comp[], 30, FALSE)</f>
        <v>0</v>
      </c>
      <c r="AH782">
        <f>VLOOKUP(Table9[[#This Row],[Shortname]], Comp[], 31, FALSE)</f>
        <v>0</v>
      </c>
    </row>
    <row r="783" spans="1:34" x14ac:dyDescent="0.3">
      <c r="A783" t="s">
        <v>5045</v>
      </c>
      <c r="B783" t="s">
        <v>5047</v>
      </c>
      <c r="C783" t="s">
        <v>5027</v>
      </c>
      <c r="D783">
        <v>181.61</v>
      </c>
      <c r="E783">
        <v>1003.6</v>
      </c>
      <c r="F783">
        <v>1E-4</v>
      </c>
      <c r="G783">
        <v>1</v>
      </c>
      <c r="I783">
        <f>VLOOKUP(Table9[[#This Row],[Shortname]], Comp[], 6, FALSE)</f>
        <v>777</v>
      </c>
      <c r="J783" s="14">
        <f>VLOOKUP(Table9[[#This Row],[Shortname]], Comp[], 7, FALSE)</f>
        <v>73</v>
      </c>
      <c r="K783">
        <f>VLOOKUP(Table9[[#This Row],[Shortname]], Comp[], 8, FALSE)</f>
        <v>0</v>
      </c>
      <c r="L783">
        <f>VLOOKUP(Table9[[#This Row],[Shortname]], Comp[], 9, FALSE)</f>
        <v>0</v>
      </c>
      <c r="M783">
        <f>VLOOKUP(Table9[[#This Row],[Shortname]], Comp[], 10, FALSE)</f>
        <v>15</v>
      </c>
      <c r="N783">
        <f>VLOOKUP(Table9[[#This Row],[Shortname]], Comp[], 11, FALSE)</f>
        <v>0</v>
      </c>
      <c r="O783">
        <f>VLOOKUP(Table9[[#This Row],[Shortname]], Comp[],12, FALSE)</f>
        <v>11</v>
      </c>
      <c r="P783">
        <f>VLOOKUP(Table9[[#This Row],[Shortname]], Comp[], 13, FALSE)</f>
        <v>0</v>
      </c>
      <c r="Q783">
        <f>VLOOKUP(Table9[[#This Row],[Shortname]], Comp[], 14, FALSE)</f>
        <v>0</v>
      </c>
      <c r="R783">
        <f>VLOOKUP(Table9[[#This Row],[Shortname]], Comp[], 15, FALSE)</f>
        <v>0</v>
      </c>
      <c r="S783">
        <f>VLOOKUP(Table9[[#This Row],[Shortname]], Comp[], 16, FALSE)</f>
        <v>0</v>
      </c>
      <c r="T783">
        <f>VLOOKUP(Table9[[#This Row],[Shortname]], Comp[], 17, FALSE)</f>
        <v>0</v>
      </c>
      <c r="U783">
        <f>VLOOKUP(Table9[[#This Row],[Shortname]], Comp[], 18, FALSE)</f>
        <v>0</v>
      </c>
      <c r="V783">
        <f>VLOOKUP(Table9[[#This Row],[Shortname]], Comp[], 19, FALSE)</f>
        <v>0</v>
      </c>
      <c r="W783">
        <f>VLOOKUP(Table9[[#This Row],[Shortname]], Comp[], 20, FALSE)</f>
        <v>0</v>
      </c>
      <c r="X783">
        <f>VLOOKUP(Table9[[#This Row],[Shortname]], Comp[], 21, FALSE)</f>
        <v>1</v>
      </c>
      <c r="Y783">
        <f>VLOOKUP(Table9[[#This Row],[Shortname]], Comp[], 22, FALSE)</f>
        <v>0</v>
      </c>
      <c r="Z783">
        <f>VLOOKUP(Table9[[#This Row],[Shortname]], Comp[], 23, FALSE)</f>
        <v>0</v>
      </c>
      <c r="AA783">
        <f>VLOOKUP(Table9[[#This Row],[Shortname]], Comp[], 24, FALSE)</f>
        <v>0</v>
      </c>
      <c r="AB783">
        <f>VLOOKUP(Table9[[#This Row],[Shortname]], Comp[], 25, FALSE)</f>
        <v>0</v>
      </c>
      <c r="AC783">
        <f>VLOOKUP(Table9[[#This Row],[Shortname]], Comp[], 26, FALSE)</f>
        <v>0</v>
      </c>
      <c r="AD783">
        <f>VLOOKUP(Table9[[#This Row],[Shortname]], Comp[], 27, FALSE)</f>
        <v>0</v>
      </c>
      <c r="AE783">
        <f>VLOOKUP(Table9[[#This Row],[Shortname]], Comp[], 28, FALSE)</f>
        <v>0</v>
      </c>
      <c r="AF783">
        <f>VLOOKUP(Table9[[#This Row],[Shortname]], Comp[], 29, FALSE)</f>
        <v>0</v>
      </c>
      <c r="AG783">
        <f>VLOOKUP(Table9[[#This Row],[Shortname]], Comp[], 30, FALSE)</f>
        <v>0</v>
      </c>
      <c r="AH783">
        <f>VLOOKUP(Table9[[#This Row],[Shortname]], Comp[], 31, FALSE)</f>
        <v>0</v>
      </c>
    </row>
    <row r="784" spans="1:34" x14ac:dyDescent="0.3">
      <c r="A784" t="s">
        <v>5035</v>
      </c>
      <c r="B784" t="s">
        <v>5037</v>
      </c>
      <c r="C784" t="s">
        <v>5027</v>
      </c>
      <c r="D784">
        <v>699.91</v>
      </c>
      <c r="E784">
        <v>25</v>
      </c>
      <c r="F784">
        <v>1E-4</v>
      </c>
      <c r="G784">
        <v>1</v>
      </c>
      <c r="I784">
        <f>VLOOKUP(Table9[[#This Row],[Shortname]], Comp[], 6, FALSE)</f>
        <v>775</v>
      </c>
      <c r="J784" s="14">
        <f>VLOOKUP(Table9[[#This Row],[Shortname]], Comp[], 7, FALSE)</f>
        <v>73</v>
      </c>
      <c r="K784">
        <f>VLOOKUP(Table9[[#This Row],[Shortname]], Comp[], 8, FALSE)</f>
        <v>0</v>
      </c>
      <c r="L784">
        <f>VLOOKUP(Table9[[#This Row],[Shortname]], Comp[], 9, FALSE)</f>
        <v>0</v>
      </c>
      <c r="M784">
        <f>VLOOKUP(Table9[[#This Row],[Shortname]], Comp[], 10, FALSE)</f>
        <v>15</v>
      </c>
      <c r="N784">
        <f>VLOOKUP(Table9[[#This Row],[Shortname]], Comp[], 11, FALSE)</f>
        <v>0</v>
      </c>
      <c r="O784">
        <f>VLOOKUP(Table9[[#This Row],[Shortname]], Comp[],12, FALSE)</f>
        <v>11</v>
      </c>
      <c r="P784">
        <f>VLOOKUP(Table9[[#This Row],[Shortname]], Comp[], 13, FALSE)</f>
        <v>1</v>
      </c>
      <c r="Q784">
        <f>VLOOKUP(Table9[[#This Row],[Shortname]], Comp[], 14, FALSE)</f>
        <v>0</v>
      </c>
      <c r="R784">
        <f>VLOOKUP(Table9[[#This Row],[Shortname]], Comp[], 15, FALSE)</f>
        <v>0</v>
      </c>
      <c r="S784">
        <f>VLOOKUP(Table9[[#This Row],[Shortname]], Comp[], 16, FALSE)</f>
        <v>0</v>
      </c>
      <c r="T784">
        <f>VLOOKUP(Table9[[#This Row],[Shortname]], Comp[], 17, FALSE)</f>
        <v>0</v>
      </c>
      <c r="U784">
        <f>VLOOKUP(Table9[[#This Row],[Shortname]], Comp[], 18, FALSE)</f>
        <v>0</v>
      </c>
      <c r="V784">
        <f>VLOOKUP(Table9[[#This Row],[Shortname]], Comp[], 19, FALSE)</f>
        <v>0</v>
      </c>
      <c r="W784">
        <f>VLOOKUP(Table9[[#This Row],[Shortname]], Comp[], 20, FALSE)</f>
        <v>0</v>
      </c>
      <c r="X784">
        <f>VLOOKUP(Table9[[#This Row],[Shortname]], Comp[], 21, FALSE)</f>
        <v>0</v>
      </c>
      <c r="Y784">
        <f>VLOOKUP(Table9[[#This Row],[Shortname]], Comp[], 22, FALSE)</f>
        <v>0</v>
      </c>
      <c r="Z784">
        <f>VLOOKUP(Table9[[#This Row],[Shortname]], Comp[], 23, FALSE)</f>
        <v>0</v>
      </c>
      <c r="AA784">
        <f>VLOOKUP(Table9[[#This Row],[Shortname]], Comp[], 24, FALSE)</f>
        <v>0</v>
      </c>
      <c r="AB784">
        <f>VLOOKUP(Table9[[#This Row],[Shortname]], Comp[], 25, FALSE)</f>
        <v>0</v>
      </c>
      <c r="AC784">
        <f>VLOOKUP(Table9[[#This Row],[Shortname]], Comp[], 26, FALSE)</f>
        <v>0</v>
      </c>
      <c r="AD784">
        <f>VLOOKUP(Table9[[#This Row],[Shortname]], Comp[], 27, FALSE)</f>
        <v>0</v>
      </c>
      <c r="AE784">
        <f>VLOOKUP(Table9[[#This Row],[Shortname]], Comp[], 28, FALSE)</f>
        <v>0</v>
      </c>
      <c r="AF784">
        <f>VLOOKUP(Table9[[#This Row],[Shortname]], Comp[], 29, FALSE)</f>
        <v>0</v>
      </c>
      <c r="AG784">
        <f>VLOOKUP(Table9[[#This Row],[Shortname]], Comp[], 30, FALSE)</f>
        <v>0</v>
      </c>
      <c r="AH784">
        <f>VLOOKUP(Table9[[#This Row],[Shortname]], Comp[], 31, FALSE)</f>
        <v>0</v>
      </c>
    </row>
    <row r="785" spans="1:34" x14ac:dyDescent="0.3">
      <c r="A785" t="s">
        <v>5035</v>
      </c>
      <c r="B785" t="s">
        <v>5037</v>
      </c>
      <c r="C785" t="s">
        <v>5027</v>
      </c>
      <c r="D785">
        <v>553.95000000000005</v>
      </c>
      <c r="E785">
        <v>600.36</v>
      </c>
      <c r="F785">
        <v>1E-4</v>
      </c>
      <c r="G785">
        <v>1</v>
      </c>
      <c r="I785">
        <f>VLOOKUP(Table9[[#This Row],[Shortname]], Comp[], 6, FALSE)</f>
        <v>775</v>
      </c>
      <c r="J785" s="14">
        <f>VLOOKUP(Table9[[#This Row],[Shortname]], Comp[], 7, FALSE)</f>
        <v>73</v>
      </c>
      <c r="K785">
        <f>VLOOKUP(Table9[[#This Row],[Shortname]], Comp[], 8, FALSE)</f>
        <v>0</v>
      </c>
      <c r="L785">
        <f>VLOOKUP(Table9[[#This Row],[Shortname]], Comp[], 9, FALSE)</f>
        <v>0</v>
      </c>
      <c r="M785">
        <f>VLOOKUP(Table9[[#This Row],[Shortname]], Comp[], 10, FALSE)</f>
        <v>15</v>
      </c>
      <c r="N785">
        <f>VLOOKUP(Table9[[#This Row],[Shortname]], Comp[], 11, FALSE)</f>
        <v>0</v>
      </c>
      <c r="O785">
        <f>VLOOKUP(Table9[[#This Row],[Shortname]], Comp[],12, FALSE)</f>
        <v>11</v>
      </c>
      <c r="P785">
        <f>VLOOKUP(Table9[[#This Row],[Shortname]], Comp[], 13, FALSE)</f>
        <v>1</v>
      </c>
      <c r="Q785">
        <f>VLOOKUP(Table9[[#This Row],[Shortname]], Comp[], 14, FALSE)</f>
        <v>0</v>
      </c>
      <c r="R785">
        <f>VLOOKUP(Table9[[#This Row],[Shortname]], Comp[], 15, FALSE)</f>
        <v>0</v>
      </c>
      <c r="S785">
        <f>VLOOKUP(Table9[[#This Row],[Shortname]], Comp[], 16, FALSE)</f>
        <v>0</v>
      </c>
      <c r="T785">
        <f>VLOOKUP(Table9[[#This Row],[Shortname]], Comp[], 17, FALSE)</f>
        <v>0</v>
      </c>
      <c r="U785">
        <f>VLOOKUP(Table9[[#This Row],[Shortname]], Comp[], 18, FALSE)</f>
        <v>0</v>
      </c>
      <c r="V785">
        <f>VLOOKUP(Table9[[#This Row],[Shortname]], Comp[], 19, FALSE)</f>
        <v>0</v>
      </c>
      <c r="W785">
        <f>VLOOKUP(Table9[[#This Row],[Shortname]], Comp[], 20, FALSE)</f>
        <v>0</v>
      </c>
      <c r="X785">
        <f>VLOOKUP(Table9[[#This Row],[Shortname]], Comp[], 21, FALSE)</f>
        <v>0</v>
      </c>
      <c r="Y785">
        <f>VLOOKUP(Table9[[#This Row],[Shortname]], Comp[], 22, FALSE)</f>
        <v>0</v>
      </c>
      <c r="Z785">
        <f>VLOOKUP(Table9[[#This Row],[Shortname]], Comp[], 23, FALSE)</f>
        <v>0</v>
      </c>
      <c r="AA785">
        <f>VLOOKUP(Table9[[#This Row],[Shortname]], Comp[], 24, FALSE)</f>
        <v>0</v>
      </c>
      <c r="AB785">
        <f>VLOOKUP(Table9[[#This Row],[Shortname]], Comp[], 25, FALSE)</f>
        <v>0</v>
      </c>
      <c r="AC785">
        <f>VLOOKUP(Table9[[#This Row],[Shortname]], Comp[], 26, FALSE)</f>
        <v>0</v>
      </c>
      <c r="AD785">
        <f>VLOOKUP(Table9[[#This Row],[Shortname]], Comp[], 27, FALSE)</f>
        <v>0</v>
      </c>
      <c r="AE785">
        <f>VLOOKUP(Table9[[#This Row],[Shortname]], Comp[], 28, FALSE)</f>
        <v>0</v>
      </c>
      <c r="AF785">
        <f>VLOOKUP(Table9[[#This Row],[Shortname]], Comp[], 29, FALSE)</f>
        <v>0</v>
      </c>
      <c r="AG785">
        <f>VLOOKUP(Table9[[#This Row],[Shortname]], Comp[], 30, FALSE)</f>
        <v>0</v>
      </c>
      <c r="AH785">
        <f>VLOOKUP(Table9[[#This Row],[Shortname]], Comp[], 31, FALSE)</f>
        <v>0</v>
      </c>
    </row>
    <row r="786" spans="1:34" x14ac:dyDescent="0.3">
      <c r="A786" t="s">
        <v>5035</v>
      </c>
      <c r="B786" t="s">
        <v>5037</v>
      </c>
      <c r="C786" t="s">
        <v>5027</v>
      </c>
      <c r="D786">
        <v>553.38</v>
      </c>
      <c r="E786">
        <v>751.33</v>
      </c>
      <c r="F786">
        <v>1E-4</v>
      </c>
      <c r="G786">
        <v>1</v>
      </c>
      <c r="I786">
        <f>VLOOKUP(Table9[[#This Row],[Shortname]], Comp[], 6, FALSE)</f>
        <v>775</v>
      </c>
      <c r="J786" s="14">
        <f>VLOOKUP(Table9[[#This Row],[Shortname]], Comp[], 7, FALSE)</f>
        <v>73</v>
      </c>
      <c r="K786">
        <f>VLOOKUP(Table9[[#This Row],[Shortname]], Comp[], 8, FALSE)</f>
        <v>0</v>
      </c>
      <c r="L786">
        <f>VLOOKUP(Table9[[#This Row],[Shortname]], Comp[], 9, FALSE)</f>
        <v>0</v>
      </c>
      <c r="M786">
        <f>VLOOKUP(Table9[[#This Row],[Shortname]], Comp[], 10, FALSE)</f>
        <v>15</v>
      </c>
      <c r="N786">
        <f>VLOOKUP(Table9[[#This Row],[Shortname]], Comp[], 11, FALSE)</f>
        <v>0</v>
      </c>
      <c r="O786">
        <f>VLOOKUP(Table9[[#This Row],[Shortname]], Comp[],12, FALSE)</f>
        <v>11</v>
      </c>
      <c r="P786">
        <f>VLOOKUP(Table9[[#This Row],[Shortname]], Comp[], 13, FALSE)</f>
        <v>1</v>
      </c>
      <c r="Q786">
        <f>VLOOKUP(Table9[[#This Row],[Shortname]], Comp[], 14, FALSE)</f>
        <v>0</v>
      </c>
      <c r="R786">
        <f>VLOOKUP(Table9[[#This Row],[Shortname]], Comp[], 15, FALSE)</f>
        <v>0</v>
      </c>
      <c r="S786">
        <f>VLOOKUP(Table9[[#This Row],[Shortname]], Comp[], 16, FALSE)</f>
        <v>0</v>
      </c>
      <c r="T786">
        <f>VLOOKUP(Table9[[#This Row],[Shortname]], Comp[], 17, FALSE)</f>
        <v>0</v>
      </c>
      <c r="U786">
        <f>VLOOKUP(Table9[[#This Row],[Shortname]], Comp[], 18, FALSE)</f>
        <v>0</v>
      </c>
      <c r="V786">
        <f>VLOOKUP(Table9[[#This Row],[Shortname]], Comp[], 19, FALSE)</f>
        <v>0</v>
      </c>
      <c r="W786">
        <f>VLOOKUP(Table9[[#This Row],[Shortname]], Comp[], 20, FALSE)</f>
        <v>0</v>
      </c>
      <c r="X786">
        <f>VLOOKUP(Table9[[#This Row],[Shortname]], Comp[], 21, FALSE)</f>
        <v>0</v>
      </c>
      <c r="Y786">
        <f>VLOOKUP(Table9[[#This Row],[Shortname]], Comp[], 22, FALSE)</f>
        <v>0</v>
      </c>
      <c r="Z786">
        <f>VLOOKUP(Table9[[#This Row],[Shortname]], Comp[], 23, FALSE)</f>
        <v>0</v>
      </c>
      <c r="AA786">
        <f>VLOOKUP(Table9[[#This Row],[Shortname]], Comp[], 24, FALSE)</f>
        <v>0</v>
      </c>
      <c r="AB786">
        <f>VLOOKUP(Table9[[#This Row],[Shortname]], Comp[], 25, FALSE)</f>
        <v>0</v>
      </c>
      <c r="AC786">
        <f>VLOOKUP(Table9[[#This Row],[Shortname]], Comp[], 26, FALSE)</f>
        <v>0</v>
      </c>
      <c r="AD786">
        <f>VLOOKUP(Table9[[#This Row],[Shortname]], Comp[], 27, FALSE)</f>
        <v>0</v>
      </c>
      <c r="AE786">
        <f>VLOOKUP(Table9[[#This Row],[Shortname]], Comp[], 28, FALSE)</f>
        <v>0</v>
      </c>
      <c r="AF786">
        <f>VLOOKUP(Table9[[#This Row],[Shortname]], Comp[], 29, FALSE)</f>
        <v>0</v>
      </c>
      <c r="AG786">
        <f>VLOOKUP(Table9[[#This Row],[Shortname]], Comp[], 30, FALSE)</f>
        <v>0</v>
      </c>
      <c r="AH786">
        <f>VLOOKUP(Table9[[#This Row],[Shortname]], Comp[], 31, FALSE)</f>
        <v>0</v>
      </c>
    </row>
    <row r="787" spans="1:34" x14ac:dyDescent="0.3">
      <c r="A787" t="s">
        <v>5035</v>
      </c>
      <c r="B787" t="s">
        <v>5037</v>
      </c>
      <c r="C787" t="s">
        <v>5027</v>
      </c>
      <c r="D787">
        <v>445.17</v>
      </c>
      <c r="E787">
        <v>849.02</v>
      </c>
      <c r="F787">
        <v>1E-4</v>
      </c>
      <c r="G787">
        <v>1</v>
      </c>
      <c r="I787">
        <f>VLOOKUP(Table9[[#This Row],[Shortname]], Comp[], 6, FALSE)</f>
        <v>775</v>
      </c>
      <c r="J787" s="14">
        <f>VLOOKUP(Table9[[#This Row],[Shortname]], Comp[], 7, FALSE)</f>
        <v>73</v>
      </c>
      <c r="K787">
        <f>VLOOKUP(Table9[[#This Row],[Shortname]], Comp[], 8, FALSE)</f>
        <v>0</v>
      </c>
      <c r="L787">
        <f>VLOOKUP(Table9[[#This Row],[Shortname]], Comp[], 9, FALSE)</f>
        <v>0</v>
      </c>
      <c r="M787">
        <f>VLOOKUP(Table9[[#This Row],[Shortname]], Comp[], 10, FALSE)</f>
        <v>15</v>
      </c>
      <c r="N787">
        <f>VLOOKUP(Table9[[#This Row],[Shortname]], Comp[], 11, FALSE)</f>
        <v>0</v>
      </c>
      <c r="O787">
        <f>VLOOKUP(Table9[[#This Row],[Shortname]], Comp[],12, FALSE)</f>
        <v>11</v>
      </c>
      <c r="P787">
        <f>VLOOKUP(Table9[[#This Row],[Shortname]], Comp[], 13, FALSE)</f>
        <v>1</v>
      </c>
      <c r="Q787">
        <f>VLOOKUP(Table9[[#This Row],[Shortname]], Comp[], 14, FALSE)</f>
        <v>0</v>
      </c>
      <c r="R787">
        <f>VLOOKUP(Table9[[#This Row],[Shortname]], Comp[], 15, FALSE)</f>
        <v>0</v>
      </c>
      <c r="S787">
        <f>VLOOKUP(Table9[[#This Row],[Shortname]], Comp[], 16, FALSE)</f>
        <v>0</v>
      </c>
      <c r="T787">
        <f>VLOOKUP(Table9[[#This Row],[Shortname]], Comp[], 17, FALSE)</f>
        <v>0</v>
      </c>
      <c r="U787">
        <f>VLOOKUP(Table9[[#This Row],[Shortname]], Comp[], 18, FALSE)</f>
        <v>0</v>
      </c>
      <c r="V787">
        <f>VLOOKUP(Table9[[#This Row],[Shortname]], Comp[], 19, FALSE)</f>
        <v>0</v>
      </c>
      <c r="W787">
        <f>VLOOKUP(Table9[[#This Row],[Shortname]], Comp[], 20, FALSE)</f>
        <v>0</v>
      </c>
      <c r="X787">
        <f>VLOOKUP(Table9[[#This Row],[Shortname]], Comp[], 21, FALSE)</f>
        <v>0</v>
      </c>
      <c r="Y787">
        <f>VLOOKUP(Table9[[#This Row],[Shortname]], Comp[], 22, FALSE)</f>
        <v>0</v>
      </c>
      <c r="Z787">
        <f>VLOOKUP(Table9[[#This Row],[Shortname]], Comp[], 23, FALSE)</f>
        <v>0</v>
      </c>
      <c r="AA787">
        <f>VLOOKUP(Table9[[#This Row],[Shortname]], Comp[], 24, FALSE)</f>
        <v>0</v>
      </c>
      <c r="AB787">
        <f>VLOOKUP(Table9[[#This Row],[Shortname]], Comp[], 25, FALSE)</f>
        <v>0</v>
      </c>
      <c r="AC787">
        <f>VLOOKUP(Table9[[#This Row],[Shortname]], Comp[], 26, FALSE)</f>
        <v>0</v>
      </c>
      <c r="AD787">
        <f>VLOOKUP(Table9[[#This Row],[Shortname]], Comp[], 27, FALSE)</f>
        <v>0</v>
      </c>
      <c r="AE787">
        <f>VLOOKUP(Table9[[#This Row],[Shortname]], Comp[], 28, FALSE)</f>
        <v>0</v>
      </c>
      <c r="AF787">
        <f>VLOOKUP(Table9[[#This Row],[Shortname]], Comp[], 29, FALSE)</f>
        <v>0</v>
      </c>
      <c r="AG787">
        <f>VLOOKUP(Table9[[#This Row],[Shortname]], Comp[], 30, FALSE)</f>
        <v>0</v>
      </c>
      <c r="AH787">
        <f>VLOOKUP(Table9[[#This Row],[Shortname]], Comp[], 31, FALSE)</f>
        <v>0</v>
      </c>
    </row>
    <row r="788" spans="1:34" x14ac:dyDescent="0.3">
      <c r="A788" t="s">
        <v>5035</v>
      </c>
      <c r="B788" t="s">
        <v>5037</v>
      </c>
      <c r="C788" t="s">
        <v>5027</v>
      </c>
      <c r="D788">
        <v>339.03</v>
      </c>
      <c r="E788">
        <v>900.53</v>
      </c>
      <c r="F788">
        <v>1E-4</v>
      </c>
      <c r="G788">
        <v>1</v>
      </c>
      <c r="I788">
        <f>VLOOKUP(Table9[[#This Row],[Shortname]], Comp[], 6, FALSE)</f>
        <v>775</v>
      </c>
      <c r="J788" s="14">
        <f>VLOOKUP(Table9[[#This Row],[Shortname]], Comp[], 7, FALSE)</f>
        <v>73</v>
      </c>
      <c r="K788">
        <f>VLOOKUP(Table9[[#This Row],[Shortname]], Comp[], 8, FALSE)</f>
        <v>0</v>
      </c>
      <c r="L788">
        <f>VLOOKUP(Table9[[#This Row],[Shortname]], Comp[], 9, FALSE)</f>
        <v>0</v>
      </c>
      <c r="M788">
        <f>VLOOKUP(Table9[[#This Row],[Shortname]], Comp[], 10, FALSE)</f>
        <v>15</v>
      </c>
      <c r="N788">
        <f>VLOOKUP(Table9[[#This Row],[Shortname]], Comp[], 11, FALSE)</f>
        <v>0</v>
      </c>
      <c r="O788">
        <f>VLOOKUP(Table9[[#This Row],[Shortname]], Comp[],12, FALSE)</f>
        <v>11</v>
      </c>
      <c r="P788">
        <f>VLOOKUP(Table9[[#This Row],[Shortname]], Comp[], 13, FALSE)</f>
        <v>1</v>
      </c>
      <c r="Q788">
        <f>VLOOKUP(Table9[[#This Row],[Shortname]], Comp[], 14, FALSE)</f>
        <v>0</v>
      </c>
      <c r="R788">
        <f>VLOOKUP(Table9[[#This Row],[Shortname]], Comp[], 15, FALSE)</f>
        <v>0</v>
      </c>
      <c r="S788">
        <f>VLOOKUP(Table9[[#This Row],[Shortname]], Comp[], 16, FALSE)</f>
        <v>0</v>
      </c>
      <c r="T788">
        <f>VLOOKUP(Table9[[#This Row],[Shortname]], Comp[], 17, FALSE)</f>
        <v>0</v>
      </c>
      <c r="U788">
        <f>VLOOKUP(Table9[[#This Row],[Shortname]], Comp[], 18, FALSE)</f>
        <v>0</v>
      </c>
      <c r="V788">
        <f>VLOOKUP(Table9[[#This Row],[Shortname]], Comp[], 19, FALSE)</f>
        <v>0</v>
      </c>
      <c r="W788">
        <f>VLOOKUP(Table9[[#This Row],[Shortname]], Comp[], 20, FALSE)</f>
        <v>0</v>
      </c>
      <c r="X788">
        <f>VLOOKUP(Table9[[#This Row],[Shortname]], Comp[], 21, FALSE)</f>
        <v>0</v>
      </c>
      <c r="Y788">
        <f>VLOOKUP(Table9[[#This Row],[Shortname]], Comp[], 22, FALSE)</f>
        <v>0</v>
      </c>
      <c r="Z788">
        <f>VLOOKUP(Table9[[#This Row],[Shortname]], Comp[], 23, FALSE)</f>
        <v>0</v>
      </c>
      <c r="AA788">
        <f>VLOOKUP(Table9[[#This Row],[Shortname]], Comp[], 24, FALSE)</f>
        <v>0</v>
      </c>
      <c r="AB788">
        <f>VLOOKUP(Table9[[#This Row],[Shortname]], Comp[], 25, FALSE)</f>
        <v>0</v>
      </c>
      <c r="AC788">
        <f>VLOOKUP(Table9[[#This Row],[Shortname]], Comp[], 26, FALSE)</f>
        <v>0</v>
      </c>
      <c r="AD788">
        <f>VLOOKUP(Table9[[#This Row],[Shortname]], Comp[], 27, FALSE)</f>
        <v>0</v>
      </c>
      <c r="AE788">
        <f>VLOOKUP(Table9[[#This Row],[Shortname]], Comp[], 28, FALSE)</f>
        <v>0</v>
      </c>
      <c r="AF788">
        <f>VLOOKUP(Table9[[#This Row],[Shortname]], Comp[], 29, FALSE)</f>
        <v>0</v>
      </c>
      <c r="AG788">
        <f>VLOOKUP(Table9[[#This Row],[Shortname]], Comp[], 30, FALSE)</f>
        <v>0</v>
      </c>
      <c r="AH788">
        <f>VLOOKUP(Table9[[#This Row],[Shortname]], Comp[], 31, FALSE)</f>
        <v>0</v>
      </c>
    </row>
    <row r="789" spans="1:34" x14ac:dyDescent="0.3">
      <c r="A789" t="s">
        <v>5035</v>
      </c>
      <c r="B789" t="s">
        <v>5037</v>
      </c>
      <c r="C789" t="s">
        <v>5027</v>
      </c>
      <c r="D789">
        <v>160.80000000000001</v>
      </c>
      <c r="E789">
        <v>1003.6</v>
      </c>
      <c r="F789">
        <v>1E-4</v>
      </c>
      <c r="G789">
        <v>1</v>
      </c>
      <c r="I789">
        <f>VLOOKUP(Table9[[#This Row],[Shortname]], Comp[], 6, FALSE)</f>
        <v>775</v>
      </c>
      <c r="J789" s="14">
        <f>VLOOKUP(Table9[[#This Row],[Shortname]], Comp[], 7, FALSE)</f>
        <v>73</v>
      </c>
      <c r="K789">
        <f>VLOOKUP(Table9[[#This Row],[Shortname]], Comp[], 8, FALSE)</f>
        <v>0</v>
      </c>
      <c r="L789">
        <f>VLOOKUP(Table9[[#This Row],[Shortname]], Comp[], 9, FALSE)</f>
        <v>0</v>
      </c>
      <c r="M789">
        <f>VLOOKUP(Table9[[#This Row],[Shortname]], Comp[], 10, FALSE)</f>
        <v>15</v>
      </c>
      <c r="N789">
        <f>VLOOKUP(Table9[[#This Row],[Shortname]], Comp[], 11, FALSE)</f>
        <v>0</v>
      </c>
      <c r="O789">
        <f>VLOOKUP(Table9[[#This Row],[Shortname]], Comp[],12, FALSE)</f>
        <v>11</v>
      </c>
      <c r="P789">
        <f>VLOOKUP(Table9[[#This Row],[Shortname]], Comp[], 13, FALSE)</f>
        <v>1</v>
      </c>
      <c r="Q789">
        <f>VLOOKUP(Table9[[#This Row],[Shortname]], Comp[], 14, FALSE)</f>
        <v>0</v>
      </c>
      <c r="R789">
        <f>VLOOKUP(Table9[[#This Row],[Shortname]], Comp[], 15, FALSE)</f>
        <v>0</v>
      </c>
      <c r="S789">
        <f>VLOOKUP(Table9[[#This Row],[Shortname]], Comp[], 16, FALSE)</f>
        <v>0</v>
      </c>
      <c r="T789">
        <f>VLOOKUP(Table9[[#This Row],[Shortname]], Comp[], 17, FALSE)</f>
        <v>0</v>
      </c>
      <c r="U789">
        <f>VLOOKUP(Table9[[#This Row],[Shortname]], Comp[], 18, FALSE)</f>
        <v>0</v>
      </c>
      <c r="V789">
        <f>VLOOKUP(Table9[[#This Row],[Shortname]], Comp[], 19, FALSE)</f>
        <v>0</v>
      </c>
      <c r="W789">
        <f>VLOOKUP(Table9[[#This Row],[Shortname]], Comp[], 20, FALSE)</f>
        <v>0</v>
      </c>
      <c r="X789">
        <f>VLOOKUP(Table9[[#This Row],[Shortname]], Comp[], 21, FALSE)</f>
        <v>0</v>
      </c>
      <c r="Y789">
        <f>VLOOKUP(Table9[[#This Row],[Shortname]], Comp[], 22, FALSE)</f>
        <v>0</v>
      </c>
      <c r="Z789">
        <f>VLOOKUP(Table9[[#This Row],[Shortname]], Comp[], 23, FALSE)</f>
        <v>0</v>
      </c>
      <c r="AA789">
        <f>VLOOKUP(Table9[[#This Row],[Shortname]], Comp[], 24, FALSE)</f>
        <v>0</v>
      </c>
      <c r="AB789">
        <f>VLOOKUP(Table9[[#This Row],[Shortname]], Comp[], 25, FALSE)</f>
        <v>0</v>
      </c>
      <c r="AC789">
        <f>VLOOKUP(Table9[[#This Row],[Shortname]], Comp[], 26, FALSE)</f>
        <v>0</v>
      </c>
      <c r="AD789">
        <f>VLOOKUP(Table9[[#This Row],[Shortname]], Comp[], 27, FALSE)</f>
        <v>0</v>
      </c>
      <c r="AE789">
        <f>VLOOKUP(Table9[[#This Row],[Shortname]], Comp[], 28, FALSE)</f>
        <v>0</v>
      </c>
      <c r="AF789">
        <f>VLOOKUP(Table9[[#This Row],[Shortname]], Comp[], 29, FALSE)</f>
        <v>0</v>
      </c>
      <c r="AG789">
        <f>VLOOKUP(Table9[[#This Row],[Shortname]], Comp[], 30, FALSE)</f>
        <v>0</v>
      </c>
      <c r="AH789">
        <f>VLOOKUP(Table9[[#This Row],[Shortname]], Comp[], 31, FALSE)</f>
        <v>0</v>
      </c>
    </row>
    <row r="790" spans="1:34" x14ac:dyDescent="0.3">
      <c r="A790" t="s">
        <v>4310</v>
      </c>
      <c r="B790" t="s">
        <v>4312</v>
      </c>
      <c r="C790" t="s">
        <v>4301</v>
      </c>
      <c r="D790">
        <v>514</v>
      </c>
      <c r="E790">
        <v>750</v>
      </c>
      <c r="F790">
        <v>1E-4</v>
      </c>
      <c r="G790">
        <v>1</v>
      </c>
      <c r="H790" t="s">
        <v>6878</v>
      </c>
      <c r="I790">
        <f>VLOOKUP(Table9[[#This Row],[Shortname]], Comp[], 6, FALSE)</f>
        <v>656</v>
      </c>
      <c r="J790" s="14">
        <f>VLOOKUP(Table9[[#This Row],[Shortname]], Comp[], 7, FALSE)</f>
        <v>86.6</v>
      </c>
      <c r="K790">
        <f>VLOOKUP(Table9[[#This Row],[Shortname]], Comp[], 8, FALSE)</f>
        <v>0</v>
      </c>
      <c r="L790">
        <f>VLOOKUP(Table9[[#This Row],[Shortname]], Comp[], 9, FALSE)</f>
        <v>1.2</v>
      </c>
      <c r="M790">
        <f>VLOOKUP(Table9[[#This Row],[Shortname]], Comp[], 10, FALSE)</f>
        <v>0</v>
      </c>
      <c r="N790">
        <f>VLOOKUP(Table9[[#This Row],[Shortname]], Comp[], 11, FALSE)</f>
        <v>1</v>
      </c>
      <c r="O790">
        <f>VLOOKUP(Table9[[#This Row],[Shortname]], Comp[],12, FALSE)</f>
        <v>11.2</v>
      </c>
      <c r="P790">
        <f>VLOOKUP(Table9[[#This Row],[Shortname]], Comp[], 13, FALSE)</f>
        <v>0</v>
      </c>
      <c r="Q790">
        <f>VLOOKUP(Table9[[#This Row],[Shortname]], Comp[], 14, FALSE)</f>
        <v>0</v>
      </c>
      <c r="R790">
        <f>VLOOKUP(Table9[[#This Row],[Shortname]], Comp[], 15, FALSE)</f>
        <v>0</v>
      </c>
      <c r="S790">
        <f>VLOOKUP(Table9[[#This Row],[Shortname]], Comp[], 16, FALSE)</f>
        <v>0</v>
      </c>
      <c r="T790">
        <f>VLOOKUP(Table9[[#This Row],[Shortname]], Comp[], 17, FALSE)</f>
        <v>0</v>
      </c>
      <c r="U790">
        <f>VLOOKUP(Table9[[#This Row],[Shortname]], Comp[], 18, FALSE)</f>
        <v>0</v>
      </c>
      <c r="V790">
        <f>VLOOKUP(Table9[[#This Row],[Shortname]], Comp[], 19, FALSE)</f>
        <v>0</v>
      </c>
      <c r="W790">
        <f>VLOOKUP(Table9[[#This Row],[Shortname]], Comp[], 20, FALSE)</f>
        <v>0</v>
      </c>
      <c r="X790">
        <f>VLOOKUP(Table9[[#This Row],[Shortname]], Comp[], 21, FALSE)</f>
        <v>0</v>
      </c>
      <c r="Y790">
        <f>VLOOKUP(Table9[[#This Row],[Shortname]], Comp[], 22, FALSE)</f>
        <v>0</v>
      </c>
      <c r="Z790">
        <f>VLOOKUP(Table9[[#This Row],[Shortname]], Comp[], 23, FALSE)</f>
        <v>0</v>
      </c>
      <c r="AA790">
        <f>VLOOKUP(Table9[[#This Row],[Shortname]], Comp[], 24, FALSE)</f>
        <v>0</v>
      </c>
      <c r="AB790">
        <f>VLOOKUP(Table9[[#This Row],[Shortname]], Comp[], 25, FALSE)</f>
        <v>0</v>
      </c>
      <c r="AC790">
        <f>VLOOKUP(Table9[[#This Row],[Shortname]], Comp[], 26, FALSE)</f>
        <v>0</v>
      </c>
      <c r="AD790">
        <f>VLOOKUP(Table9[[#This Row],[Shortname]], Comp[], 27, FALSE)</f>
        <v>0</v>
      </c>
      <c r="AE790">
        <f>VLOOKUP(Table9[[#This Row],[Shortname]], Comp[], 28, FALSE)</f>
        <v>0</v>
      </c>
      <c r="AF790">
        <f>VLOOKUP(Table9[[#This Row],[Shortname]], Comp[], 29, FALSE)</f>
        <v>0</v>
      </c>
      <c r="AG790">
        <f>VLOOKUP(Table9[[#This Row],[Shortname]], Comp[], 30, FALSE)</f>
        <v>0</v>
      </c>
      <c r="AH790">
        <f>VLOOKUP(Table9[[#This Row],[Shortname]], Comp[], 31, FALSE)</f>
        <v>0</v>
      </c>
    </row>
    <row r="791" spans="1:34" x14ac:dyDescent="0.3">
      <c r="A791" t="s">
        <v>4310</v>
      </c>
      <c r="B791" t="s">
        <v>4312</v>
      </c>
      <c r="C791" t="s">
        <v>4301</v>
      </c>
      <c r="D791">
        <v>443</v>
      </c>
      <c r="E791">
        <v>25</v>
      </c>
      <c r="F791">
        <v>1E-4</v>
      </c>
      <c r="G791">
        <v>1</v>
      </c>
      <c r="H791" t="s">
        <v>6878</v>
      </c>
      <c r="I791">
        <f>VLOOKUP(Table9[[#This Row],[Shortname]], Comp[], 6, FALSE)</f>
        <v>656</v>
      </c>
      <c r="J791" s="14">
        <f>VLOOKUP(Table9[[#This Row],[Shortname]], Comp[], 7, FALSE)</f>
        <v>86.6</v>
      </c>
      <c r="K791">
        <f>VLOOKUP(Table9[[#This Row],[Shortname]], Comp[], 8, FALSE)</f>
        <v>0</v>
      </c>
      <c r="L791">
        <f>VLOOKUP(Table9[[#This Row],[Shortname]], Comp[], 9, FALSE)</f>
        <v>1.2</v>
      </c>
      <c r="M791">
        <f>VLOOKUP(Table9[[#This Row],[Shortname]], Comp[], 10, FALSE)</f>
        <v>0</v>
      </c>
      <c r="N791">
        <f>VLOOKUP(Table9[[#This Row],[Shortname]], Comp[], 11, FALSE)</f>
        <v>1</v>
      </c>
      <c r="O791">
        <f>VLOOKUP(Table9[[#This Row],[Shortname]], Comp[],12, FALSE)</f>
        <v>11.2</v>
      </c>
      <c r="P791">
        <f>VLOOKUP(Table9[[#This Row],[Shortname]], Comp[], 13, FALSE)</f>
        <v>0</v>
      </c>
      <c r="Q791">
        <f>VLOOKUP(Table9[[#This Row],[Shortname]], Comp[], 14, FALSE)</f>
        <v>0</v>
      </c>
      <c r="R791">
        <f>VLOOKUP(Table9[[#This Row],[Shortname]], Comp[], 15, FALSE)</f>
        <v>0</v>
      </c>
      <c r="S791">
        <f>VLOOKUP(Table9[[#This Row],[Shortname]], Comp[], 16, FALSE)</f>
        <v>0</v>
      </c>
      <c r="T791">
        <f>VLOOKUP(Table9[[#This Row],[Shortname]], Comp[], 17, FALSE)</f>
        <v>0</v>
      </c>
      <c r="U791">
        <f>VLOOKUP(Table9[[#This Row],[Shortname]], Comp[], 18, FALSE)</f>
        <v>0</v>
      </c>
      <c r="V791">
        <f>VLOOKUP(Table9[[#This Row],[Shortname]], Comp[], 19, FALSE)</f>
        <v>0</v>
      </c>
      <c r="W791">
        <f>VLOOKUP(Table9[[#This Row],[Shortname]], Comp[], 20, FALSE)</f>
        <v>0</v>
      </c>
      <c r="X791">
        <f>VLOOKUP(Table9[[#This Row],[Shortname]], Comp[], 21, FALSE)</f>
        <v>0</v>
      </c>
      <c r="Y791">
        <f>VLOOKUP(Table9[[#This Row],[Shortname]], Comp[], 22, FALSE)</f>
        <v>0</v>
      </c>
      <c r="Z791">
        <f>VLOOKUP(Table9[[#This Row],[Shortname]], Comp[], 23, FALSE)</f>
        <v>0</v>
      </c>
      <c r="AA791">
        <f>VLOOKUP(Table9[[#This Row],[Shortname]], Comp[], 24, FALSE)</f>
        <v>0</v>
      </c>
      <c r="AB791">
        <f>VLOOKUP(Table9[[#This Row],[Shortname]], Comp[], 25, FALSE)</f>
        <v>0</v>
      </c>
      <c r="AC791">
        <f>VLOOKUP(Table9[[#This Row],[Shortname]], Comp[], 26, FALSE)</f>
        <v>0</v>
      </c>
      <c r="AD791">
        <f>VLOOKUP(Table9[[#This Row],[Shortname]], Comp[], 27, FALSE)</f>
        <v>0</v>
      </c>
      <c r="AE791">
        <f>VLOOKUP(Table9[[#This Row],[Shortname]], Comp[], 28, FALSE)</f>
        <v>0</v>
      </c>
      <c r="AF791">
        <f>VLOOKUP(Table9[[#This Row],[Shortname]], Comp[], 29, FALSE)</f>
        <v>0</v>
      </c>
      <c r="AG791">
        <f>VLOOKUP(Table9[[#This Row],[Shortname]], Comp[], 30, FALSE)</f>
        <v>0</v>
      </c>
      <c r="AH791">
        <f>VLOOKUP(Table9[[#This Row],[Shortname]], Comp[], 31, FALSE)</f>
        <v>0</v>
      </c>
    </row>
    <row r="792" spans="1:34" x14ac:dyDescent="0.3">
      <c r="A792" t="s">
        <v>4310</v>
      </c>
      <c r="B792" t="s">
        <v>4312</v>
      </c>
      <c r="C792" t="s">
        <v>4301</v>
      </c>
      <c r="D792">
        <v>358</v>
      </c>
      <c r="E792">
        <v>600</v>
      </c>
      <c r="F792">
        <v>1E-4</v>
      </c>
      <c r="G792">
        <v>1</v>
      </c>
      <c r="H792" t="s">
        <v>6878</v>
      </c>
      <c r="I792">
        <f>VLOOKUP(Table9[[#This Row],[Shortname]], Comp[], 6, FALSE)</f>
        <v>656</v>
      </c>
      <c r="J792" s="14">
        <f>VLOOKUP(Table9[[#This Row],[Shortname]], Comp[], 7, FALSE)</f>
        <v>86.6</v>
      </c>
      <c r="K792">
        <f>VLOOKUP(Table9[[#This Row],[Shortname]], Comp[], 8, FALSE)</f>
        <v>0</v>
      </c>
      <c r="L792">
        <f>VLOOKUP(Table9[[#This Row],[Shortname]], Comp[], 9, FALSE)</f>
        <v>1.2</v>
      </c>
      <c r="M792">
        <f>VLOOKUP(Table9[[#This Row],[Shortname]], Comp[], 10, FALSE)</f>
        <v>0</v>
      </c>
      <c r="N792">
        <f>VLOOKUP(Table9[[#This Row],[Shortname]], Comp[], 11, FALSE)</f>
        <v>1</v>
      </c>
      <c r="O792">
        <f>VLOOKUP(Table9[[#This Row],[Shortname]], Comp[],12, FALSE)</f>
        <v>11.2</v>
      </c>
      <c r="P792">
        <f>VLOOKUP(Table9[[#This Row],[Shortname]], Comp[], 13, FALSE)</f>
        <v>0</v>
      </c>
      <c r="Q792">
        <f>VLOOKUP(Table9[[#This Row],[Shortname]], Comp[], 14, FALSE)</f>
        <v>0</v>
      </c>
      <c r="R792">
        <f>VLOOKUP(Table9[[#This Row],[Shortname]], Comp[], 15, FALSE)</f>
        <v>0</v>
      </c>
      <c r="S792">
        <f>VLOOKUP(Table9[[#This Row],[Shortname]], Comp[], 16, FALSE)</f>
        <v>0</v>
      </c>
      <c r="T792">
        <f>VLOOKUP(Table9[[#This Row],[Shortname]], Comp[], 17, FALSE)</f>
        <v>0</v>
      </c>
      <c r="U792">
        <f>VLOOKUP(Table9[[#This Row],[Shortname]], Comp[], 18, FALSE)</f>
        <v>0</v>
      </c>
      <c r="V792">
        <f>VLOOKUP(Table9[[#This Row],[Shortname]], Comp[], 19, FALSE)</f>
        <v>0</v>
      </c>
      <c r="W792">
        <f>VLOOKUP(Table9[[#This Row],[Shortname]], Comp[], 20, FALSE)</f>
        <v>0</v>
      </c>
      <c r="X792">
        <f>VLOOKUP(Table9[[#This Row],[Shortname]], Comp[], 21, FALSE)</f>
        <v>0</v>
      </c>
      <c r="Y792">
        <f>VLOOKUP(Table9[[#This Row],[Shortname]], Comp[], 22, FALSE)</f>
        <v>0</v>
      </c>
      <c r="Z792">
        <f>VLOOKUP(Table9[[#This Row],[Shortname]], Comp[], 23, FALSE)</f>
        <v>0</v>
      </c>
      <c r="AA792">
        <f>VLOOKUP(Table9[[#This Row],[Shortname]], Comp[], 24, FALSE)</f>
        <v>0</v>
      </c>
      <c r="AB792">
        <f>VLOOKUP(Table9[[#This Row],[Shortname]], Comp[], 25, FALSE)</f>
        <v>0</v>
      </c>
      <c r="AC792">
        <f>VLOOKUP(Table9[[#This Row],[Shortname]], Comp[], 26, FALSE)</f>
        <v>0</v>
      </c>
      <c r="AD792">
        <f>VLOOKUP(Table9[[#This Row],[Shortname]], Comp[], 27, FALSE)</f>
        <v>0</v>
      </c>
      <c r="AE792">
        <f>VLOOKUP(Table9[[#This Row],[Shortname]], Comp[], 28, FALSE)</f>
        <v>0</v>
      </c>
      <c r="AF792">
        <f>VLOOKUP(Table9[[#This Row],[Shortname]], Comp[], 29, FALSE)</f>
        <v>0</v>
      </c>
      <c r="AG792">
        <f>VLOOKUP(Table9[[#This Row],[Shortname]], Comp[], 30, FALSE)</f>
        <v>0</v>
      </c>
      <c r="AH792">
        <f>VLOOKUP(Table9[[#This Row],[Shortname]], Comp[], 31, FALSE)</f>
        <v>0</v>
      </c>
    </row>
    <row r="793" spans="1:34" x14ac:dyDescent="0.3">
      <c r="A793" t="s">
        <v>4310</v>
      </c>
      <c r="B793" t="s">
        <v>4312</v>
      </c>
      <c r="C793" t="s">
        <v>4301</v>
      </c>
      <c r="D793">
        <v>266</v>
      </c>
      <c r="E793">
        <v>900</v>
      </c>
      <c r="F793">
        <v>1E-4</v>
      </c>
      <c r="G793">
        <v>1</v>
      </c>
      <c r="H793" t="s">
        <v>6878</v>
      </c>
      <c r="I793">
        <f>VLOOKUP(Table9[[#This Row],[Shortname]], Comp[], 6, FALSE)</f>
        <v>656</v>
      </c>
      <c r="J793" s="14">
        <f>VLOOKUP(Table9[[#This Row],[Shortname]], Comp[], 7, FALSE)</f>
        <v>86.6</v>
      </c>
      <c r="K793">
        <f>VLOOKUP(Table9[[#This Row],[Shortname]], Comp[], 8, FALSE)</f>
        <v>0</v>
      </c>
      <c r="L793">
        <f>VLOOKUP(Table9[[#This Row],[Shortname]], Comp[], 9, FALSE)</f>
        <v>1.2</v>
      </c>
      <c r="M793">
        <f>VLOOKUP(Table9[[#This Row],[Shortname]], Comp[], 10, FALSE)</f>
        <v>0</v>
      </c>
      <c r="N793">
        <f>VLOOKUP(Table9[[#This Row],[Shortname]], Comp[], 11, FALSE)</f>
        <v>1</v>
      </c>
      <c r="O793">
        <f>VLOOKUP(Table9[[#This Row],[Shortname]], Comp[],12, FALSE)</f>
        <v>11.2</v>
      </c>
      <c r="P793">
        <f>VLOOKUP(Table9[[#This Row],[Shortname]], Comp[], 13, FALSE)</f>
        <v>0</v>
      </c>
      <c r="Q793">
        <f>VLOOKUP(Table9[[#This Row],[Shortname]], Comp[], 14, FALSE)</f>
        <v>0</v>
      </c>
      <c r="R793">
        <f>VLOOKUP(Table9[[#This Row],[Shortname]], Comp[], 15, FALSE)</f>
        <v>0</v>
      </c>
      <c r="S793">
        <f>VLOOKUP(Table9[[#This Row],[Shortname]], Comp[], 16, FALSE)</f>
        <v>0</v>
      </c>
      <c r="T793">
        <f>VLOOKUP(Table9[[#This Row],[Shortname]], Comp[], 17, FALSE)</f>
        <v>0</v>
      </c>
      <c r="U793">
        <f>VLOOKUP(Table9[[#This Row],[Shortname]], Comp[], 18, FALSE)</f>
        <v>0</v>
      </c>
      <c r="V793">
        <f>VLOOKUP(Table9[[#This Row],[Shortname]], Comp[], 19, FALSE)</f>
        <v>0</v>
      </c>
      <c r="W793">
        <f>VLOOKUP(Table9[[#This Row],[Shortname]], Comp[], 20, FALSE)</f>
        <v>0</v>
      </c>
      <c r="X793">
        <f>VLOOKUP(Table9[[#This Row],[Shortname]], Comp[], 21, FALSE)</f>
        <v>0</v>
      </c>
      <c r="Y793">
        <f>VLOOKUP(Table9[[#This Row],[Shortname]], Comp[], 22, FALSE)</f>
        <v>0</v>
      </c>
      <c r="Z793">
        <f>VLOOKUP(Table9[[#This Row],[Shortname]], Comp[], 23, FALSE)</f>
        <v>0</v>
      </c>
      <c r="AA793">
        <f>VLOOKUP(Table9[[#This Row],[Shortname]], Comp[], 24, FALSE)</f>
        <v>0</v>
      </c>
      <c r="AB793">
        <f>VLOOKUP(Table9[[#This Row],[Shortname]], Comp[], 25, FALSE)</f>
        <v>0</v>
      </c>
      <c r="AC793">
        <f>VLOOKUP(Table9[[#This Row],[Shortname]], Comp[], 26, FALSE)</f>
        <v>0</v>
      </c>
      <c r="AD793">
        <f>VLOOKUP(Table9[[#This Row],[Shortname]], Comp[], 27, FALSE)</f>
        <v>0</v>
      </c>
      <c r="AE793">
        <f>VLOOKUP(Table9[[#This Row],[Shortname]], Comp[], 28, FALSE)</f>
        <v>0</v>
      </c>
      <c r="AF793">
        <f>VLOOKUP(Table9[[#This Row],[Shortname]], Comp[], 29, FALSE)</f>
        <v>0</v>
      </c>
      <c r="AG793">
        <f>VLOOKUP(Table9[[#This Row],[Shortname]], Comp[], 30, FALSE)</f>
        <v>0</v>
      </c>
      <c r="AH793">
        <f>VLOOKUP(Table9[[#This Row],[Shortname]], Comp[], 31, FALSE)</f>
        <v>0</v>
      </c>
    </row>
    <row r="794" spans="1:34" x14ac:dyDescent="0.3">
      <c r="A794" t="s">
        <v>4298</v>
      </c>
      <c r="B794" t="s">
        <v>4300</v>
      </c>
      <c r="C794" t="s">
        <v>4301</v>
      </c>
      <c r="D794">
        <v>422</v>
      </c>
      <c r="E794">
        <v>25</v>
      </c>
      <c r="F794">
        <v>1E-4</v>
      </c>
      <c r="G794">
        <v>1</v>
      </c>
      <c r="H794" t="s">
        <v>6878</v>
      </c>
      <c r="I794">
        <f>VLOOKUP(Table9[[#This Row],[Shortname]], Comp[], 6, FALSE)</f>
        <v>654</v>
      </c>
      <c r="J794" s="14">
        <f>VLOOKUP(Table9[[#This Row],[Shortname]], Comp[], 7, FALSE)</f>
        <v>87.4</v>
      </c>
      <c r="K794">
        <f>VLOOKUP(Table9[[#This Row],[Shortname]], Comp[], 8, FALSE)</f>
        <v>0</v>
      </c>
      <c r="L794">
        <f>VLOOKUP(Table9[[#This Row],[Shortname]], Comp[], 9, FALSE)</f>
        <v>0</v>
      </c>
      <c r="M794">
        <f>VLOOKUP(Table9[[#This Row],[Shortname]], Comp[], 10, FALSE)</f>
        <v>0</v>
      </c>
      <c r="N794">
        <f>VLOOKUP(Table9[[#This Row],[Shortname]], Comp[], 11, FALSE)</f>
        <v>0</v>
      </c>
      <c r="O794">
        <f>VLOOKUP(Table9[[#This Row],[Shortname]], Comp[],12, FALSE)</f>
        <v>12.6</v>
      </c>
      <c r="P794">
        <f>VLOOKUP(Table9[[#This Row],[Shortname]], Comp[], 13, FALSE)</f>
        <v>0</v>
      </c>
      <c r="Q794">
        <f>VLOOKUP(Table9[[#This Row],[Shortname]], Comp[], 14, FALSE)</f>
        <v>0</v>
      </c>
      <c r="R794">
        <f>VLOOKUP(Table9[[#This Row],[Shortname]], Comp[], 15, FALSE)</f>
        <v>0</v>
      </c>
      <c r="S794">
        <f>VLOOKUP(Table9[[#This Row],[Shortname]], Comp[], 16, FALSE)</f>
        <v>0</v>
      </c>
      <c r="T794">
        <f>VLOOKUP(Table9[[#This Row],[Shortname]], Comp[], 17, FALSE)</f>
        <v>0</v>
      </c>
      <c r="U794">
        <f>VLOOKUP(Table9[[#This Row],[Shortname]], Comp[], 18, FALSE)</f>
        <v>0</v>
      </c>
      <c r="V794">
        <f>VLOOKUP(Table9[[#This Row],[Shortname]], Comp[], 19, FALSE)</f>
        <v>0</v>
      </c>
      <c r="W794">
        <f>VLOOKUP(Table9[[#This Row],[Shortname]], Comp[], 20, FALSE)</f>
        <v>0</v>
      </c>
      <c r="X794">
        <f>VLOOKUP(Table9[[#This Row],[Shortname]], Comp[], 21, FALSE)</f>
        <v>0</v>
      </c>
      <c r="Y794">
        <f>VLOOKUP(Table9[[#This Row],[Shortname]], Comp[], 22, FALSE)</f>
        <v>0</v>
      </c>
      <c r="Z794">
        <f>VLOOKUP(Table9[[#This Row],[Shortname]], Comp[], 23, FALSE)</f>
        <v>0</v>
      </c>
      <c r="AA794">
        <f>VLOOKUP(Table9[[#This Row],[Shortname]], Comp[], 24, FALSE)</f>
        <v>0</v>
      </c>
      <c r="AB794">
        <f>VLOOKUP(Table9[[#This Row],[Shortname]], Comp[], 25, FALSE)</f>
        <v>0</v>
      </c>
      <c r="AC794">
        <f>VLOOKUP(Table9[[#This Row],[Shortname]], Comp[], 26, FALSE)</f>
        <v>0</v>
      </c>
      <c r="AD794">
        <f>VLOOKUP(Table9[[#This Row],[Shortname]], Comp[], 27, FALSE)</f>
        <v>0</v>
      </c>
      <c r="AE794">
        <f>VLOOKUP(Table9[[#This Row],[Shortname]], Comp[], 28, FALSE)</f>
        <v>0</v>
      </c>
      <c r="AF794">
        <f>VLOOKUP(Table9[[#This Row],[Shortname]], Comp[], 29, FALSE)</f>
        <v>0</v>
      </c>
      <c r="AG794">
        <f>VLOOKUP(Table9[[#This Row],[Shortname]], Comp[], 30, FALSE)</f>
        <v>0</v>
      </c>
      <c r="AH794">
        <f>VLOOKUP(Table9[[#This Row],[Shortname]], Comp[], 31, FALSE)</f>
        <v>0</v>
      </c>
    </row>
    <row r="795" spans="1:34" x14ac:dyDescent="0.3">
      <c r="A795" t="s">
        <v>4298</v>
      </c>
      <c r="B795" t="s">
        <v>4300</v>
      </c>
      <c r="C795" t="s">
        <v>4301</v>
      </c>
      <c r="D795">
        <v>353</v>
      </c>
      <c r="E795">
        <v>750</v>
      </c>
      <c r="F795">
        <v>1E-4</v>
      </c>
      <c r="G795">
        <v>1</v>
      </c>
      <c r="H795" t="s">
        <v>6878</v>
      </c>
      <c r="I795">
        <f>VLOOKUP(Table9[[#This Row],[Shortname]], Comp[], 6, FALSE)</f>
        <v>654</v>
      </c>
      <c r="J795" s="14">
        <f>VLOOKUP(Table9[[#This Row],[Shortname]], Comp[], 7, FALSE)</f>
        <v>87.4</v>
      </c>
      <c r="K795">
        <f>VLOOKUP(Table9[[#This Row],[Shortname]], Comp[], 8, FALSE)</f>
        <v>0</v>
      </c>
      <c r="L795">
        <f>VLOOKUP(Table9[[#This Row],[Shortname]], Comp[], 9, FALSE)</f>
        <v>0</v>
      </c>
      <c r="M795">
        <f>VLOOKUP(Table9[[#This Row],[Shortname]], Comp[], 10, FALSE)</f>
        <v>0</v>
      </c>
      <c r="N795">
        <f>VLOOKUP(Table9[[#This Row],[Shortname]], Comp[], 11, FALSE)</f>
        <v>0</v>
      </c>
      <c r="O795">
        <f>VLOOKUP(Table9[[#This Row],[Shortname]], Comp[],12, FALSE)</f>
        <v>12.6</v>
      </c>
      <c r="P795">
        <f>VLOOKUP(Table9[[#This Row],[Shortname]], Comp[], 13, FALSE)</f>
        <v>0</v>
      </c>
      <c r="Q795">
        <f>VLOOKUP(Table9[[#This Row],[Shortname]], Comp[], 14, FALSE)</f>
        <v>0</v>
      </c>
      <c r="R795">
        <f>VLOOKUP(Table9[[#This Row],[Shortname]], Comp[], 15, FALSE)</f>
        <v>0</v>
      </c>
      <c r="S795">
        <f>VLOOKUP(Table9[[#This Row],[Shortname]], Comp[], 16, FALSE)</f>
        <v>0</v>
      </c>
      <c r="T795">
        <f>VLOOKUP(Table9[[#This Row],[Shortname]], Comp[], 17, FALSE)</f>
        <v>0</v>
      </c>
      <c r="U795">
        <f>VLOOKUP(Table9[[#This Row],[Shortname]], Comp[], 18, FALSE)</f>
        <v>0</v>
      </c>
      <c r="V795">
        <f>VLOOKUP(Table9[[#This Row],[Shortname]], Comp[], 19, FALSE)</f>
        <v>0</v>
      </c>
      <c r="W795">
        <f>VLOOKUP(Table9[[#This Row],[Shortname]], Comp[], 20, FALSE)</f>
        <v>0</v>
      </c>
      <c r="X795">
        <f>VLOOKUP(Table9[[#This Row],[Shortname]], Comp[], 21, FALSE)</f>
        <v>0</v>
      </c>
      <c r="Y795">
        <f>VLOOKUP(Table9[[#This Row],[Shortname]], Comp[], 22, FALSE)</f>
        <v>0</v>
      </c>
      <c r="Z795">
        <f>VLOOKUP(Table9[[#This Row],[Shortname]], Comp[], 23, FALSE)</f>
        <v>0</v>
      </c>
      <c r="AA795">
        <f>VLOOKUP(Table9[[#This Row],[Shortname]], Comp[], 24, FALSE)</f>
        <v>0</v>
      </c>
      <c r="AB795">
        <f>VLOOKUP(Table9[[#This Row],[Shortname]], Comp[], 25, FALSE)</f>
        <v>0</v>
      </c>
      <c r="AC795">
        <f>VLOOKUP(Table9[[#This Row],[Shortname]], Comp[], 26, FALSE)</f>
        <v>0</v>
      </c>
      <c r="AD795">
        <f>VLOOKUP(Table9[[#This Row],[Shortname]], Comp[], 27, FALSE)</f>
        <v>0</v>
      </c>
      <c r="AE795">
        <f>VLOOKUP(Table9[[#This Row],[Shortname]], Comp[], 28, FALSE)</f>
        <v>0</v>
      </c>
      <c r="AF795">
        <f>VLOOKUP(Table9[[#This Row],[Shortname]], Comp[], 29, FALSE)</f>
        <v>0</v>
      </c>
      <c r="AG795">
        <f>VLOOKUP(Table9[[#This Row],[Shortname]], Comp[], 30, FALSE)</f>
        <v>0</v>
      </c>
      <c r="AH795">
        <f>VLOOKUP(Table9[[#This Row],[Shortname]], Comp[], 31, FALSE)</f>
        <v>0</v>
      </c>
    </row>
    <row r="796" spans="1:34" x14ac:dyDescent="0.3">
      <c r="A796" t="s">
        <v>4298</v>
      </c>
      <c r="B796" t="s">
        <v>4300</v>
      </c>
      <c r="C796" t="s">
        <v>4301</v>
      </c>
      <c r="D796">
        <v>289</v>
      </c>
      <c r="E796">
        <v>600</v>
      </c>
      <c r="F796">
        <v>1E-4</v>
      </c>
      <c r="G796">
        <v>1</v>
      </c>
      <c r="H796" t="s">
        <v>6878</v>
      </c>
      <c r="I796">
        <f>VLOOKUP(Table9[[#This Row],[Shortname]], Comp[], 6, FALSE)</f>
        <v>654</v>
      </c>
      <c r="J796" s="14">
        <f>VLOOKUP(Table9[[#This Row],[Shortname]], Comp[], 7, FALSE)</f>
        <v>87.4</v>
      </c>
      <c r="K796">
        <f>VLOOKUP(Table9[[#This Row],[Shortname]], Comp[], 8, FALSE)</f>
        <v>0</v>
      </c>
      <c r="L796">
        <f>VLOOKUP(Table9[[#This Row],[Shortname]], Comp[], 9, FALSE)</f>
        <v>0</v>
      </c>
      <c r="M796">
        <f>VLOOKUP(Table9[[#This Row],[Shortname]], Comp[], 10, FALSE)</f>
        <v>0</v>
      </c>
      <c r="N796">
        <f>VLOOKUP(Table9[[#This Row],[Shortname]], Comp[], 11, FALSE)</f>
        <v>0</v>
      </c>
      <c r="O796">
        <f>VLOOKUP(Table9[[#This Row],[Shortname]], Comp[],12, FALSE)</f>
        <v>12.6</v>
      </c>
      <c r="P796">
        <f>VLOOKUP(Table9[[#This Row],[Shortname]], Comp[], 13, FALSE)</f>
        <v>0</v>
      </c>
      <c r="Q796">
        <f>VLOOKUP(Table9[[#This Row],[Shortname]], Comp[], 14, FALSE)</f>
        <v>0</v>
      </c>
      <c r="R796">
        <f>VLOOKUP(Table9[[#This Row],[Shortname]], Comp[], 15, FALSE)</f>
        <v>0</v>
      </c>
      <c r="S796">
        <f>VLOOKUP(Table9[[#This Row],[Shortname]], Comp[], 16, FALSE)</f>
        <v>0</v>
      </c>
      <c r="T796">
        <f>VLOOKUP(Table9[[#This Row],[Shortname]], Comp[], 17, FALSE)</f>
        <v>0</v>
      </c>
      <c r="U796">
        <f>VLOOKUP(Table9[[#This Row],[Shortname]], Comp[], 18, FALSE)</f>
        <v>0</v>
      </c>
      <c r="V796">
        <f>VLOOKUP(Table9[[#This Row],[Shortname]], Comp[], 19, FALSE)</f>
        <v>0</v>
      </c>
      <c r="W796">
        <f>VLOOKUP(Table9[[#This Row],[Shortname]], Comp[], 20, FALSE)</f>
        <v>0</v>
      </c>
      <c r="X796">
        <f>VLOOKUP(Table9[[#This Row],[Shortname]], Comp[], 21, FALSE)</f>
        <v>0</v>
      </c>
      <c r="Y796">
        <f>VLOOKUP(Table9[[#This Row],[Shortname]], Comp[], 22, FALSE)</f>
        <v>0</v>
      </c>
      <c r="Z796">
        <f>VLOOKUP(Table9[[#This Row],[Shortname]], Comp[], 23, FALSE)</f>
        <v>0</v>
      </c>
      <c r="AA796">
        <f>VLOOKUP(Table9[[#This Row],[Shortname]], Comp[], 24, FALSE)</f>
        <v>0</v>
      </c>
      <c r="AB796">
        <f>VLOOKUP(Table9[[#This Row],[Shortname]], Comp[], 25, FALSE)</f>
        <v>0</v>
      </c>
      <c r="AC796">
        <f>VLOOKUP(Table9[[#This Row],[Shortname]], Comp[], 26, FALSE)</f>
        <v>0</v>
      </c>
      <c r="AD796">
        <f>VLOOKUP(Table9[[#This Row],[Shortname]], Comp[], 27, FALSE)</f>
        <v>0</v>
      </c>
      <c r="AE796">
        <f>VLOOKUP(Table9[[#This Row],[Shortname]], Comp[], 28, FALSE)</f>
        <v>0</v>
      </c>
      <c r="AF796">
        <f>VLOOKUP(Table9[[#This Row],[Shortname]], Comp[], 29, FALSE)</f>
        <v>0</v>
      </c>
      <c r="AG796">
        <f>VLOOKUP(Table9[[#This Row],[Shortname]], Comp[], 30, FALSE)</f>
        <v>0</v>
      </c>
      <c r="AH796">
        <f>VLOOKUP(Table9[[#This Row],[Shortname]], Comp[], 31, FALSE)</f>
        <v>0</v>
      </c>
    </row>
    <row r="797" spans="1:34" x14ac:dyDescent="0.3">
      <c r="A797" t="s">
        <v>4298</v>
      </c>
      <c r="B797" t="s">
        <v>4300</v>
      </c>
      <c r="C797" t="s">
        <v>4301</v>
      </c>
      <c r="D797">
        <v>172</v>
      </c>
      <c r="E797">
        <v>900</v>
      </c>
      <c r="F797">
        <v>1E-4</v>
      </c>
      <c r="G797">
        <v>1</v>
      </c>
      <c r="H797" t="s">
        <v>6878</v>
      </c>
      <c r="I797">
        <f>VLOOKUP(Table9[[#This Row],[Shortname]], Comp[], 6, FALSE)</f>
        <v>654</v>
      </c>
      <c r="J797" s="14">
        <f>VLOOKUP(Table9[[#This Row],[Shortname]], Comp[], 7, FALSE)</f>
        <v>87.4</v>
      </c>
      <c r="K797">
        <f>VLOOKUP(Table9[[#This Row],[Shortname]], Comp[], 8, FALSE)</f>
        <v>0</v>
      </c>
      <c r="L797">
        <f>VLOOKUP(Table9[[#This Row],[Shortname]], Comp[], 9, FALSE)</f>
        <v>0</v>
      </c>
      <c r="M797">
        <f>VLOOKUP(Table9[[#This Row],[Shortname]], Comp[], 10, FALSE)</f>
        <v>0</v>
      </c>
      <c r="N797">
        <f>VLOOKUP(Table9[[#This Row],[Shortname]], Comp[], 11, FALSE)</f>
        <v>0</v>
      </c>
      <c r="O797">
        <f>VLOOKUP(Table9[[#This Row],[Shortname]], Comp[],12, FALSE)</f>
        <v>12.6</v>
      </c>
      <c r="P797">
        <f>VLOOKUP(Table9[[#This Row],[Shortname]], Comp[], 13, FALSE)</f>
        <v>0</v>
      </c>
      <c r="Q797">
        <f>VLOOKUP(Table9[[#This Row],[Shortname]], Comp[], 14, FALSE)</f>
        <v>0</v>
      </c>
      <c r="R797">
        <f>VLOOKUP(Table9[[#This Row],[Shortname]], Comp[], 15, FALSE)</f>
        <v>0</v>
      </c>
      <c r="S797">
        <f>VLOOKUP(Table9[[#This Row],[Shortname]], Comp[], 16, FALSE)</f>
        <v>0</v>
      </c>
      <c r="T797">
        <f>VLOOKUP(Table9[[#This Row],[Shortname]], Comp[], 17, FALSE)</f>
        <v>0</v>
      </c>
      <c r="U797">
        <f>VLOOKUP(Table9[[#This Row],[Shortname]], Comp[], 18, FALSE)</f>
        <v>0</v>
      </c>
      <c r="V797">
        <f>VLOOKUP(Table9[[#This Row],[Shortname]], Comp[], 19, FALSE)</f>
        <v>0</v>
      </c>
      <c r="W797">
        <f>VLOOKUP(Table9[[#This Row],[Shortname]], Comp[], 20, FALSE)</f>
        <v>0</v>
      </c>
      <c r="X797">
        <f>VLOOKUP(Table9[[#This Row],[Shortname]], Comp[], 21, FALSE)</f>
        <v>0</v>
      </c>
      <c r="Y797">
        <f>VLOOKUP(Table9[[#This Row],[Shortname]], Comp[], 22, FALSE)</f>
        <v>0</v>
      </c>
      <c r="Z797">
        <f>VLOOKUP(Table9[[#This Row],[Shortname]], Comp[], 23, FALSE)</f>
        <v>0</v>
      </c>
      <c r="AA797">
        <f>VLOOKUP(Table9[[#This Row],[Shortname]], Comp[], 24, FALSE)</f>
        <v>0</v>
      </c>
      <c r="AB797">
        <f>VLOOKUP(Table9[[#This Row],[Shortname]], Comp[], 25, FALSE)</f>
        <v>0</v>
      </c>
      <c r="AC797">
        <f>VLOOKUP(Table9[[#This Row],[Shortname]], Comp[], 26, FALSE)</f>
        <v>0</v>
      </c>
      <c r="AD797">
        <f>VLOOKUP(Table9[[#This Row],[Shortname]], Comp[], 27, FALSE)</f>
        <v>0</v>
      </c>
      <c r="AE797">
        <f>VLOOKUP(Table9[[#This Row],[Shortname]], Comp[], 28, FALSE)</f>
        <v>0</v>
      </c>
      <c r="AF797">
        <f>VLOOKUP(Table9[[#This Row],[Shortname]], Comp[], 29, FALSE)</f>
        <v>0</v>
      </c>
      <c r="AG797">
        <f>VLOOKUP(Table9[[#This Row],[Shortname]], Comp[], 30, FALSE)</f>
        <v>0</v>
      </c>
      <c r="AH797">
        <f>VLOOKUP(Table9[[#This Row],[Shortname]], Comp[], 31, FALSE)</f>
        <v>0</v>
      </c>
    </row>
    <row r="798" spans="1:34" x14ac:dyDescent="0.3">
      <c r="A798" t="s">
        <v>4298</v>
      </c>
      <c r="B798" t="s">
        <v>4300</v>
      </c>
      <c r="C798" t="s">
        <v>4301</v>
      </c>
      <c r="D798">
        <v>23</v>
      </c>
      <c r="E798">
        <v>1050</v>
      </c>
      <c r="F798">
        <v>1E-4</v>
      </c>
      <c r="G798">
        <v>1</v>
      </c>
      <c r="H798" t="s">
        <v>6878</v>
      </c>
      <c r="I798">
        <f>VLOOKUP(Table9[[#This Row],[Shortname]], Comp[], 6, FALSE)</f>
        <v>654</v>
      </c>
      <c r="J798" s="14">
        <f>VLOOKUP(Table9[[#This Row],[Shortname]], Comp[], 7, FALSE)</f>
        <v>87.4</v>
      </c>
      <c r="K798">
        <f>VLOOKUP(Table9[[#This Row],[Shortname]], Comp[], 8, FALSE)</f>
        <v>0</v>
      </c>
      <c r="L798">
        <f>VLOOKUP(Table9[[#This Row],[Shortname]], Comp[], 9, FALSE)</f>
        <v>0</v>
      </c>
      <c r="M798">
        <f>VLOOKUP(Table9[[#This Row],[Shortname]], Comp[], 10, FALSE)</f>
        <v>0</v>
      </c>
      <c r="N798">
        <f>VLOOKUP(Table9[[#This Row],[Shortname]], Comp[], 11, FALSE)</f>
        <v>0</v>
      </c>
      <c r="O798">
        <f>VLOOKUP(Table9[[#This Row],[Shortname]], Comp[],12, FALSE)</f>
        <v>12.6</v>
      </c>
      <c r="P798">
        <f>VLOOKUP(Table9[[#This Row],[Shortname]], Comp[], 13, FALSE)</f>
        <v>0</v>
      </c>
      <c r="Q798">
        <f>VLOOKUP(Table9[[#This Row],[Shortname]], Comp[], 14, FALSE)</f>
        <v>0</v>
      </c>
      <c r="R798">
        <f>VLOOKUP(Table9[[#This Row],[Shortname]], Comp[], 15, FALSE)</f>
        <v>0</v>
      </c>
      <c r="S798">
        <f>VLOOKUP(Table9[[#This Row],[Shortname]], Comp[], 16, FALSE)</f>
        <v>0</v>
      </c>
      <c r="T798">
        <f>VLOOKUP(Table9[[#This Row],[Shortname]], Comp[], 17, FALSE)</f>
        <v>0</v>
      </c>
      <c r="U798">
        <f>VLOOKUP(Table9[[#This Row],[Shortname]], Comp[], 18, FALSE)</f>
        <v>0</v>
      </c>
      <c r="V798">
        <f>VLOOKUP(Table9[[#This Row],[Shortname]], Comp[], 19, FALSE)</f>
        <v>0</v>
      </c>
      <c r="W798">
        <f>VLOOKUP(Table9[[#This Row],[Shortname]], Comp[], 20, FALSE)</f>
        <v>0</v>
      </c>
      <c r="X798">
        <f>VLOOKUP(Table9[[#This Row],[Shortname]], Comp[], 21, FALSE)</f>
        <v>0</v>
      </c>
      <c r="Y798">
        <f>VLOOKUP(Table9[[#This Row],[Shortname]], Comp[], 22, FALSE)</f>
        <v>0</v>
      </c>
      <c r="Z798">
        <f>VLOOKUP(Table9[[#This Row],[Shortname]], Comp[], 23, FALSE)</f>
        <v>0</v>
      </c>
      <c r="AA798">
        <f>VLOOKUP(Table9[[#This Row],[Shortname]], Comp[], 24, FALSE)</f>
        <v>0</v>
      </c>
      <c r="AB798">
        <f>VLOOKUP(Table9[[#This Row],[Shortname]], Comp[], 25, FALSE)</f>
        <v>0</v>
      </c>
      <c r="AC798">
        <f>VLOOKUP(Table9[[#This Row],[Shortname]], Comp[], 26, FALSE)</f>
        <v>0</v>
      </c>
      <c r="AD798">
        <f>VLOOKUP(Table9[[#This Row],[Shortname]], Comp[], 27, FALSE)</f>
        <v>0</v>
      </c>
      <c r="AE798">
        <f>VLOOKUP(Table9[[#This Row],[Shortname]], Comp[], 28, FALSE)</f>
        <v>0</v>
      </c>
      <c r="AF798">
        <f>VLOOKUP(Table9[[#This Row],[Shortname]], Comp[], 29, FALSE)</f>
        <v>0</v>
      </c>
      <c r="AG798">
        <f>VLOOKUP(Table9[[#This Row],[Shortname]], Comp[], 30, FALSE)</f>
        <v>0</v>
      </c>
      <c r="AH798">
        <f>VLOOKUP(Table9[[#This Row],[Shortname]], Comp[], 31, FALSE)</f>
        <v>0</v>
      </c>
    </row>
    <row r="799" spans="1:34" x14ac:dyDescent="0.3">
      <c r="A799" t="s">
        <v>4326</v>
      </c>
      <c r="B799" t="s">
        <v>4328</v>
      </c>
      <c r="C799" t="s">
        <v>4301</v>
      </c>
      <c r="D799">
        <v>527</v>
      </c>
      <c r="E799">
        <v>750</v>
      </c>
      <c r="F799">
        <v>1E-4</v>
      </c>
      <c r="G799">
        <v>1</v>
      </c>
      <c r="H799" t="s">
        <v>6878</v>
      </c>
      <c r="I799">
        <f>VLOOKUP(Table9[[#This Row],[Shortname]], Comp[], 6, FALSE)</f>
        <v>658</v>
      </c>
      <c r="J799" s="14">
        <f>VLOOKUP(Table9[[#This Row],[Shortname]], Comp[], 7, FALSE)</f>
        <v>86</v>
      </c>
      <c r="K799">
        <f>VLOOKUP(Table9[[#This Row],[Shortname]], Comp[], 8, FALSE)</f>
        <v>0</v>
      </c>
      <c r="L799">
        <f>VLOOKUP(Table9[[#This Row],[Shortname]], Comp[], 9, FALSE)</f>
        <v>2.7</v>
      </c>
      <c r="M799">
        <f>VLOOKUP(Table9[[#This Row],[Shortname]], Comp[], 10, FALSE)</f>
        <v>0</v>
      </c>
      <c r="N799">
        <f>VLOOKUP(Table9[[#This Row],[Shortname]], Comp[], 11, FALSE)</f>
        <v>2.5</v>
      </c>
      <c r="O799">
        <f>VLOOKUP(Table9[[#This Row],[Shortname]], Comp[],12, FALSE)</f>
        <v>8.8000000000000007</v>
      </c>
      <c r="P799">
        <f>VLOOKUP(Table9[[#This Row],[Shortname]], Comp[], 13, FALSE)</f>
        <v>0</v>
      </c>
      <c r="Q799">
        <f>VLOOKUP(Table9[[#This Row],[Shortname]], Comp[], 14, FALSE)</f>
        <v>0</v>
      </c>
      <c r="R799">
        <f>VLOOKUP(Table9[[#This Row],[Shortname]], Comp[], 15, FALSE)</f>
        <v>0</v>
      </c>
      <c r="S799">
        <f>VLOOKUP(Table9[[#This Row],[Shortname]], Comp[], 16, FALSE)</f>
        <v>0</v>
      </c>
      <c r="T799">
        <f>VLOOKUP(Table9[[#This Row],[Shortname]], Comp[], 17, FALSE)</f>
        <v>0</v>
      </c>
      <c r="U799">
        <f>VLOOKUP(Table9[[#This Row],[Shortname]], Comp[], 18, FALSE)</f>
        <v>0</v>
      </c>
      <c r="V799">
        <f>VLOOKUP(Table9[[#This Row],[Shortname]], Comp[], 19, FALSE)</f>
        <v>0</v>
      </c>
      <c r="W799">
        <f>VLOOKUP(Table9[[#This Row],[Shortname]], Comp[], 20, FALSE)</f>
        <v>0</v>
      </c>
      <c r="X799">
        <f>VLOOKUP(Table9[[#This Row],[Shortname]], Comp[], 21, FALSE)</f>
        <v>0</v>
      </c>
      <c r="Y799">
        <f>VLOOKUP(Table9[[#This Row],[Shortname]], Comp[], 22, FALSE)</f>
        <v>0</v>
      </c>
      <c r="Z799">
        <f>VLOOKUP(Table9[[#This Row],[Shortname]], Comp[], 23, FALSE)</f>
        <v>0</v>
      </c>
      <c r="AA799">
        <f>VLOOKUP(Table9[[#This Row],[Shortname]], Comp[], 24, FALSE)</f>
        <v>0</v>
      </c>
      <c r="AB799">
        <f>VLOOKUP(Table9[[#This Row],[Shortname]], Comp[], 25, FALSE)</f>
        <v>0</v>
      </c>
      <c r="AC799">
        <f>VLOOKUP(Table9[[#This Row],[Shortname]], Comp[], 26, FALSE)</f>
        <v>0</v>
      </c>
      <c r="AD799">
        <f>VLOOKUP(Table9[[#This Row],[Shortname]], Comp[], 27, FALSE)</f>
        <v>0</v>
      </c>
      <c r="AE799">
        <f>VLOOKUP(Table9[[#This Row],[Shortname]], Comp[], 28, FALSE)</f>
        <v>0</v>
      </c>
      <c r="AF799">
        <f>VLOOKUP(Table9[[#This Row],[Shortname]], Comp[], 29, FALSE)</f>
        <v>0</v>
      </c>
      <c r="AG799">
        <f>VLOOKUP(Table9[[#This Row],[Shortname]], Comp[], 30, FALSE)</f>
        <v>0</v>
      </c>
      <c r="AH799">
        <f>VLOOKUP(Table9[[#This Row],[Shortname]], Comp[], 31, FALSE)</f>
        <v>0</v>
      </c>
    </row>
    <row r="800" spans="1:34" x14ac:dyDescent="0.3">
      <c r="A800" t="s">
        <v>4326</v>
      </c>
      <c r="B800" t="s">
        <v>4328</v>
      </c>
      <c r="C800" t="s">
        <v>4301</v>
      </c>
      <c r="D800">
        <v>454</v>
      </c>
      <c r="E800">
        <v>25</v>
      </c>
      <c r="F800">
        <v>1E-4</v>
      </c>
      <c r="G800">
        <v>1</v>
      </c>
      <c r="H800" t="s">
        <v>6878</v>
      </c>
      <c r="I800">
        <f>VLOOKUP(Table9[[#This Row],[Shortname]], Comp[], 6, FALSE)</f>
        <v>658</v>
      </c>
      <c r="J800" s="14">
        <f>VLOOKUP(Table9[[#This Row],[Shortname]], Comp[], 7, FALSE)</f>
        <v>86</v>
      </c>
      <c r="K800">
        <f>VLOOKUP(Table9[[#This Row],[Shortname]], Comp[], 8, FALSE)</f>
        <v>0</v>
      </c>
      <c r="L800">
        <f>VLOOKUP(Table9[[#This Row],[Shortname]], Comp[], 9, FALSE)</f>
        <v>2.7</v>
      </c>
      <c r="M800">
        <f>VLOOKUP(Table9[[#This Row],[Shortname]], Comp[], 10, FALSE)</f>
        <v>0</v>
      </c>
      <c r="N800">
        <f>VLOOKUP(Table9[[#This Row],[Shortname]], Comp[], 11, FALSE)</f>
        <v>2.5</v>
      </c>
      <c r="O800">
        <f>VLOOKUP(Table9[[#This Row],[Shortname]], Comp[],12, FALSE)</f>
        <v>8.8000000000000007</v>
      </c>
      <c r="P800">
        <f>VLOOKUP(Table9[[#This Row],[Shortname]], Comp[], 13, FALSE)</f>
        <v>0</v>
      </c>
      <c r="Q800">
        <f>VLOOKUP(Table9[[#This Row],[Shortname]], Comp[], 14, FALSE)</f>
        <v>0</v>
      </c>
      <c r="R800">
        <f>VLOOKUP(Table9[[#This Row],[Shortname]], Comp[], 15, FALSE)</f>
        <v>0</v>
      </c>
      <c r="S800">
        <f>VLOOKUP(Table9[[#This Row],[Shortname]], Comp[], 16, FALSE)</f>
        <v>0</v>
      </c>
      <c r="T800">
        <f>VLOOKUP(Table9[[#This Row],[Shortname]], Comp[], 17, FALSE)</f>
        <v>0</v>
      </c>
      <c r="U800">
        <f>VLOOKUP(Table9[[#This Row],[Shortname]], Comp[], 18, FALSE)</f>
        <v>0</v>
      </c>
      <c r="V800">
        <f>VLOOKUP(Table9[[#This Row],[Shortname]], Comp[], 19, FALSE)</f>
        <v>0</v>
      </c>
      <c r="W800">
        <f>VLOOKUP(Table9[[#This Row],[Shortname]], Comp[], 20, FALSE)</f>
        <v>0</v>
      </c>
      <c r="X800">
        <f>VLOOKUP(Table9[[#This Row],[Shortname]], Comp[], 21, FALSE)</f>
        <v>0</v>
      </c>
      <c r="Y800">
        <f>VLOOKUP(Table9[[#This Row],[Shortname]], Comp[], 22, FALSE)</f>
        <v>0</v>
      </c>
      <c r="Z800">
        <f>VLOOKUP(Table9[[#This Row],[Shortname]], Comp[], 23, FALSE)</f>
        <v>0</v>
      </c>
      <c r="AA800">
        <f>VLOOKUP(Table9[[#This Row],[Shortname]], Comp[], 24, FALSE)</f>
        <v>0</v>
      </c>
      <c r="AB800">
        <f>VLOOKUP(Table9[[#This Row],[Shortname]], Comp[], 25, FALSE)</f>
        <v>0</v>
      </c>
      <c r="AC800">
        <f>VLOOKUP(Table9[[#This Row],[Shortname]], Comp[], 26, FALSE)</f>
        <v>0</v>
      </c>
      <c r="AD800">
        <f>VLOOKUP(Table9[[#This Row],[Shortname]], Comp[], 27, FALSE)</f>
        <v>0</v>
      </c>
      <c r="AE800">
        <f>VLOOKUP(Table9[[#This Row],[Shortname]], Comp[], 28, FALSE)</f>
        <v>0</v>
      </c>
      <c r="AF800">
        <f>VLOOKUP(Table9[[#This Row],[Shortname]], Comp[], 29, FALSE)</f>
        <v>0</v>
      </c>
      <c r="AG800">
        <f>VLOOKUP(Table9[[#This Row],[Shortname]], Comp[], 30, FALSE)</f>
        <v>0</v>
      </c>
      <c r="AH800">
        <f>VLOOKUP(Table9[[#This Row],[Shortname]], Comp[], 31, FALSE)</f>
        <v>0</v>
      </c>
    </row>
    <row r="801" spans="1:34" x14ac:dyDescent="0.3">
      <c r="A801" t="s">
        <v>4326</v>
      </c>
      <c r="B801" t="s">
        <v>4328</v>
      </c>
      <c r="C801" t="s">
        <v>4301</v>
      </c>
      <c r="D801">
        <v>436</v>
      </c>
      <c r="E801">
        <v>600</v>
      </c>
      <c r="F801">
        <v>1E-4</v>
      </c>
      <c r="G801">
        <v>1</v>
      </c>
      <c r="H801" t="s">
        <v>6878</v>
      </c>
      <c r="I801">
        <f>VLOOKUP(Table9[[#This Row],[Shortname]], Comp[], 6, FALSE)</f>
        <v>658</v>
      </c>
      <c r="J801" s="14">
        <f>VLOOKUP(Table9[[#This Row],[Shortname]], Comp[], 7, FALSE)</f>
        <v>86</v>
      </c>
      <c r="K801">
        <f>VLOOKUP(Table9[[#This Row],[Shortname]], Comp[], 8, FALSE)</f>
        <v>0</v>
      </c>
      <c r="L801">
        <f>VLOOKUP(Table9[[#This Row],[Shortname]], Comp[], 9, FALSE)</f>
        <v>2.7</v>
      </c>
      <c r="M801">
        <f>VLOOKUP(Table9[[#This Row],[Shortname]], Comp[], 10, FALSE)</f>
        <v>0</v>
      </c>
      <c r="N801">
        <f>VLOOKUP(Table9[[#This Row],[Shortname]], Comp[], 11, FALSE)</f>
        <v>2.5</v>
      </c>
      <c r="O801">
        <f>VLOOKUP(Table9[[#This Row],[Shortname]], Comp[],12, FALSE)</f>
        <v>8.8000000000000007</v>
      </c>
      <c r="P801">
        <f>VLOOKUP(Table9[[#This Row],[Shortname]], Comp[], 13, FALSE)</f>
        <v>0</v>
      </c>
      <c r="Q801">
        <f>VLOOKUP(Table9[[#This Row],[Shortname]], Comp[], 14, FALSE)</f>
        <v>0</v>
      </c>
      <c r="R801">
        <f>VLOOKUP(Table9[[#This Row],[Shortname]], Comp[], 15, FALSE)</f>
        <v>0</v>
      </c>
      <c r="S801">
        <f>VLOOKUP(Table9[[#This Row],[Shortname]], Comp[], 16, FALSE)</f>
        <v>0</v>
      </c>
      <c r="T801">
        <f>VLOOKUP(Table9[[#This Row],[Shortname]], Comp[], 17, FALSE)</f>
        <v>0</v>
      </c>
      <c r="U801">
        <f>VLOOKUP(Table9[[#This Row],[Shortname]], Comp[], 18, FALSE)</f>
        <v>0</v>
      </c>
      <c r="V801">
        <f>VLOOKUP(Table9[[#This Row],[Shortname]], Comp[], 19, FALSE)</f>
        <v>0</v>
      </c>
      <c r="W801">
        <f>VLOOKUP(Table9[[#This Row],[Shortname]], Comp[], 20, FALSE)</f>
        <v>0</v>
      </c>
      <c r="X801">
        <f>VLOOKUP(Table9[[#This Row],[Shortname]], Comp[], 21, FALSE)</f>
        <v>0</v>
      </c>
      <c r="Y801">
        <f>VLOOKUP(Table9[[#This Row],[Shortname]], Comp[], 22, FALSE)</f>
        <v>0</v>
      </c>
      <c r="Z801">
        <f>VLOOKUP(Table9[[#This Row],[Shortname]], Comp[], 23, FALSE)</f>
        <v>0</v>
      </c>
      <c r="AA801">
        <f>VLOOKUP(Table9[[#This Row],[Shortname]], Comp[], 24, FALSE)</f>
        <v>0</v>
      </c>
      <c r="AB801">
        <f>VLOOKUP(Table9[[#This Row],[Shortname]], Comp[], 25, FALSE)</f>
        <v>0</v>
      </c>
      <c r="AC801">
        <f>VLOOKUP(Table9[[#This Row],[Shortname]], Comp[], 26, FALSE)</f>
        <v>0</v>
      </c>
      <c r="AD801">
        <f>VLOOKUP(Table9[[#This Row],[Shortname]], Comp[], 27, FALSE)</f>
        <v>0</v>
      </c>
      <c r="AE801">
        <f>VLOOKUP(Table9[[#This Row],[Shortname]], Comp[], 28, FALSE)</f>
        <v>0</v>
      </c>
      <c r="AF801">
        <f>VLOOKUP(Table9[[#This Row],[Shortname]], Comp[], 29, FALSE)</f>
        <v>0</v>
      </c>
      <c r="AG801">
        <f>VLOOKUP(Table9[[#This Row],[Shortname]], Comp[], 30, FALSE)</f>
        <v>0</v>
      </c>
      <c r="AH801">
        <f>VLOOKUP(Table9[[#This Row],[Shortname]], Comp[], 31, FALSE)</f>
        <v>0</v>
      </c>
    </row>
    <row r="802" spans="1:34" x14ac:dyDescent="0.3">
      <c r="A802" t="s">
        <v>4326</v>
      </c>
      <c r="B802" t="s">
        <v>4328</v>
      </c>
      <c r="C802" t="s">
        <v>4301</v>
      </c>
      <c r="D802">
        <v>278</v>
      </c>
      <c r="E802">
        <v>900</v>
      </c>
      <c r="F802">
        <v>1E-4</v>
      </c>
      <c r="G802">
        <v>1</v>
      </c>
      <c r="H802" t="s">
        <v>6878</v>
      </c>
      <c r="I802">
        <f>VLOOKUP(Table9[[#This Row],[Shortname]], Comp[], 6, FALSE)</f>
        <v>658</v>
      </c>
      <c r="J802" s="14">
        <f>VLOOKUP(Table9[[#This Row],[Shortname]], Comp[], 7, FALSE)</f>
        <v>86</v>
      </c>
      <c r="K802">
        <f>VLOOKUP(Table9[[#This Row],[Shortname]], Comp[], 8, FALSE)</f>
        <v>0</v>
      </c>
      <c r="L802">
        <f>VLOOKUP(Table9[[#This Row],[Shortname]], Comp[], 9, FALSE)</f>
        <v>2.7</v>
      </c>
      <c r="M802">
        <f>VLOOKUP(Table9[[#This Row],[Shortname]], Comp[], 10, FALSE)</f>
        <v>0</v>
      </c>
      <c r="N802">
        <f>VLOOKUP(Table9[[#This Row],[Shortname]], Comp[], 11, FALSE)</f>
        <v>2.5</v>
      </c>
      <c r="O802">
        <f>VLOOKUP(Table9[[#This Row],[Shortname]], Comp[],12, FALSE)</f>
        <v>8.8000000000000007</v>
      </c>
      <c r="P802">
        <f>VLOOKUP(Table9[[#This Row],[Shortname]], Comp[], 13, FALSE)</f>
        <v>0</v>
      </c>
      <c r="Q802">
        <f>VLOOKUP(Table9[[#This Row],[Shortname]], Comp[], 14, FALSE)</f>
        <v>0</v>
      </c>
      <c r="R802">
        <f>VLOOKUP(Table9[[#This Row],[Shortname]], Comp[], 15, FALSE)</f>
        <v>0</v>
      </c>
      <c r="S802">
        <f>VLOOKUP(Table9[[#This Row],[Shortname]], Comp[], 16, FALSE)</f>
        <v>0</v>
      </c>
      <c r="T802">
        <f>VLOOKUP(Table9[[#This Row],[Shortname]], Comp[], 17, FALSE)</f>
        <v>0</v>
      </c>
      <c r="U802">
        <f>VLOOKUP(Table9[[#This Row],[Shortname]], Comp[], 18, FALSE)</f>
        <v>0</v>
      </c>
      <c r="V802">
        <f>VLOOKUP(Table9[[#This Row],[Shortname]], Comp[], 19, FALSE)</f>
        <v>0</v>
      </c>
      <c r="W802">
        <f>VLOOKUP(Table9[[#This Row],[Shortname]], Comp[], 20, FALSE)</f>
        <v>0</v>
      </c>
      <c r="X802">
        <f>VLOOKUP(Table9[[#This Row],[Shortname]], Comp[], 21, FALSE)</f>
        <v>0</v>
      </c>
      <c r="Y802">
        <f>VLOOKUP(Table9[[#This Row],[Shortname]], Comp[], 22, FALSE)</f>
        <v>0</v>
      </c>
      <c r="Z802">
        <f>VLOOKUP(Table9[[#This Row],[Shortname]], Comp[], 23, FALSE)</f>
        <v>0</v>
      </c>
      <c r="AA802">
        <f>VLOOKUP(Table9[[#This Row],[Shortname]], Comp[], 24, FALSE)</f>
        <v>0</v>
      </c>
      <c r="AB802">
        <f>VLOOKUP(Table9[[#This Row],[Shortname]], Comp[], 25, FALSE)</f>
        <v>0</v>
      </c>
      <c r="AC802">
        <f>VLOOKUP(Table9[[#This Row],[Shortname]], Comp[], 26, FALSE)</f>
        <v>0</v>
      </c>
      <c r="AD802">
        <f>VLOOKUP(Table9[[#This Row],[Shortname]], Comp[], 27, FALSE)</f>
        <v>0</v>
      </c>
      <c r="AE802">
        <f>VLOOKUP(Table9[[#This Row],[Shortname]], Comp[], 28, FALSE)</f>
        <v>0</v>
      </c>
      <c r="AF802">
        <f>VLOOKUP(Table9[[#This Row],[Shortname]], Comp[], 29, FALSE)</f>
        <v>0</v>
      </c>
      <c r="AG802">
        <f>VLOOKUP(Table9[[#This Row],[Shortname]], Comp[], 30, FALSE)</f>
        <v>0</v>
      </c>
      <c r="AH802">
        <f>VLOOKUP(Table9[[#This Row],[Shortname]], Comp[], 31, FALSE)</f>
        <v>0</v>
      </c>
    </row>
    <row r="803" spans="1:34" x14ac:dyDescent="0.3">
      <c r="A803" t="s">
        <v>4326</v>
      </c>
      <c r="B803" t="s">
        <v>4328</v>
      </c>
      <c r="C803" t="s">
        <v>4301</v>
      </c>
      <c r="D803">
        <v>39</v>
      </c>
      <c r="E803">
        <v>1050</v>
      </c>
      <c r="F803">
        <v>1E-4</v>
      </c>
      <c r="G803">
        <v>1</v>
      </c>
      <c r="H803" t="s">
        <v>6878</v>
      </c>
      <c r="I803">
        <f>VLOOKUP(Table9[[#This Row],[Shortname]], Comp[], 6, FALSE)</f>
        <v>658</v>
      </c>
      <c r="J803" s="14">
        <f>VLOOKUP(Table9[[#This Row],[Shortname]], Comp[], 7, FALSE)</f>
        <v>86</v>
      </c>
      <c r="K803">
        <f>VLOOKUP(Table9[[#This Row],[Shortname]], Comp[], 8, FALSE)</f>
        <v>0</v>
      </c>
      <c r="L803">
        <f>VLOOKUP(Table9[[#This Row],[Shortname]], Comp[], 9, FALSE)</f>
        <v>2.7</v>
      </c>
      <c r="M803">
        <f>VLOOKUP(Table9[[#This Row],[Shortname]], Comp[], 10, FALSE)</f>
        <v>0</v>
      </c>
      <c r="N803">
        <f>VLOOKUP(Table9[[#This Row],[Shortname]], Comp[], 11, FALSE)</f>
        <v>2.5</v>
      </c>
      <c r="O803">
        <f>VLOOKUP(Table9[[#This Row],[Shortname]], Comp[],12, FALSE)</f>
        <v>8.8000000000000007</v>
      </c>
      <c r="P803">
        <f>VLOOKUP(Table9[[#This Row],[Shortname]], Comp[], 13, FALSE)</f>
        <v>0</v>
      </c>
      <c r="Q803">
        <f>VLOOKUP(Table9[[#This Row],[Shortname]], Comp[], 14, FALSE)</f>
        <v>0</v>
      </c>
      <c r="R803">
        <f>VLOOKUP(Table9[[#This Row],[Shortname]], Comp[], 15, FALSE)</f>
        <v>0</v>
      </c>
      <c r="S803">
        <f>VLOOKUP(Table9[[#This Row],[Shortname]], Comp[], 16, FALSE)</f>
        <v>0</v>
      </c>
      <c r="T803">
        <f>VLOOKUP(Table9[[#This Row],[Shortname]], Comp[], 17, FALSE)</f>
        <v>0</v>
      </c>
      <c r="U803">
        <f>VLOOKUP(Table9[[#This Row],[Shortname]], Comp[], 18, FALSE)</f>
        <v>0</v>
      </c>
      <c r="V803">
        <f>VLOOKUP(Table9[[#This Row],[Shortname]], Comp[], 19, FALSE)</f>
        <v>0</v>
      </c>
      <c r="W803">
        <f>VLOOKUP(Table9[[#This Row],[Shortname]], Comp[], 20, FALSE)</f>
        <v>0</v>
      </c>
      <c r="X803">
        <f>VLOOKUP(Table9[[#This Row],[Shortname]], Comp[], 21, FALSE)</f>
        <v>0</v>
      </c>
      <c r="Y803">
        <f>VLOOKUP(Table9[[#This Row],[Shortname]], Comp[], 22, FALSE)</f>
        <v>0</v>
      </c>
      <c r="Z803">
        <f>VLOOKUP(Table9[[#This Row],[Shortname]], Comp[], 23, FALSE)</f>
        <v>0</v>
      </c>
      <c r="AA803">
        <f>VLOOKUP(Table9[[#This Row],[Shortname]], Comp[], 24, FALSE)</f>
        <v>0</v>
      </c>
      <c r="AB803">
        <f>VLOOKUP(Table9[[#This Row],[Shortname]], Comp[], 25, FALSE)</f>
        <v>0</v>
      </c>
      <c r="AC803">
        <f>VLOOKUP(Table9[[#This Row],[Shortname]], Comp[], 26, FALSE)</f>
        <v>0</v>
      </c>
      <c r="AD803">
        <f>VLOOKUP(Table9[[#This Row],[Shortname]], Comp[], 27, FALSE)</f>
        <v>0</v>
      </c>
      <c r="AE803">
        <f>VLOOKUP(Table9[[#This Row],[Shortname]], Comp[], 28, FALSE)</f>
        <v>0</v>
      </c>
      <c r="AF803">
        <f>VLOOKUP(Table9[[#This Row],[Shortname]], Comp[], 29, FALSE)</f>
        <v>0</v>
      </c>
      <c r="AG803">
        <f>VLOOKUP(Table9[[#This Row],[Shortname]], Comp[], 30, FALSE)</f>
        <v>0</v>
      </c>
      <c r="AH803">
        <f>VLOOKUP(Table9[[#This Row],[Shortname]], Comp[], 31, FALSE)</f>
        <v>0</v>
      </c>
    </row>
    <row r="804" spans="1:34" x14ac:dyDescent="0.3">
      <c r="A804" t="s">
        <v>4339</v>
      </c>
      <c r="B804" t="s">
        <v>4341</v>
      </c>
      <c r="C804" t="s">
        <v>4301</v>
      </c>
      <c r="D804">
        <v>562</v>
      </c>
      <c r="E804">
        <v>750</v>
      </c>
      <c r="F804">
        <v>1E-4</v>
      </c>
      <c r="G804">
        <v>1</v>
      </c>
      <c r="H804" t="s">
        <v>6878</v>
      </c>
      <c r="I804">
        <f>VLOOKUP(Table9[[#This Row],[Shortname]], Comp[], 6, FALSE)</f>
        <v>660</v>
      </c>
      <c r="J804" s="14">
        <f>VLOOKUP(Table9[[#This Row],[Shortname]], Comp[], 7, FALSE)</f>
        <v>85.4</v>
      </c>
      <c r="K804">
        <f>VLOOKUP(Table9[[#This Row],[Shortname]], Comp[], 8, FALSE)</f>
        <v>0</v>
      </c>
      <c r="L804">
        <f>VLOOKUP(Table9[[#This Row],[Shortname]], Comp[], 9, FALSE)</f>
        <v>4.2</v>
      </c>
      <c r="M804">
        <f>VLOOKUP(Table9[[#This Row],[Shortname]], Comp[], 10, FALSE)</f>
        <v>0</v>
      </c>
      <c r="N804">
        <f>VLOOKUP(Table9[[#This Row],[Shortname]], Comp[], 11, FALSE)</f>
        <v>3.7</v>
      </c>
      <c r="O804">
        <f>VLOOKUP(Table9[[#This Row],[Shortname]], Comp[],12, FALSE)</f>
        <v>6.7</v>
      </c>
      <c r="P804">
        <f>VLOOKUP(Table9[[#This Row],[Shortname]], Comp[], 13, FALSE)</f>
        <v>0</v>
      </c>
      <c r="Q804">
        <f>VLOOKUP(Table9[[#This Row],[Shortname]], Comp[], 14, FALSE)</f>
        <v>0</v>
      </c>
      <c r="R804">
        <f>VLOOKUP(Table9[[#This Row],[Shortname]], Comp[], 15, FALSE)</f>
        <v>0</v>
      </c>
      <c r="S804">
        <f>VLOOKUP(Table9[[#This Row],[Shortname]], Comp[], 16, FALSE)</f>
        <v>0</v>
      </c>
      <c r="T804">
        <f>VLOOKUP(Table9[[#This Row],[Shortname]], Comp[], 17, FALSE)</f>
        <v>0</v>
      </c>
      <c r="U804">
        <f>VLOOKUP(Table9[[#This Row],[Shortname]], Comp[], 18, FALSE)</f>
        <v>0</v>
      </c>
      <c r="V804">
        <f>VLOOKUP(Table9[[#This Row],[Shortname]], Comp[], 19, FALSE)</f>
        <v>0</v>
      </c>
      <c r="W804">
        <f>VLOOKUP(Table9[[#This Row],[Shortname]], Comp[], 20, FALSE)</f>
        <v>0</v>
      </c>
      <c r="X804">
        <f>VLOOKUP(Table9[[#This Row],[Shortname]], Comp[], 21, FALSE)</f>
        <v>0</v>
      </c>
      <c r="Y804">
        <f>VLOOKUP(Table9[[#This Row],[Shortname]], Comp[], 22, FALSE)</f>
        <v>0</v>
      </c>
      <c r="Z804">
        <f>VLOOKUP(Table9[[#This Row],[Shortname]], Comp[], 23, FALSE)</f>
        <v>0</v>
      </c>
      <c r="AA804">
        <f>VLOOKUP(Table9[[#This Row],[Shortname]], Comp[], 24, FALSE)</f>
        <v>0</v>
      </c>
      <c r="AB804">
        <f>VLOOKUP(Table9[[#This Row],[Shortname]], Comp[], 25, FALSE)</f>
        <v>0</v>
      </c>
      <c r="AC804">
        <f>VLOOKUP(Table9[[#This Row],[Shortname]], Comp[], 26, FALSE)</f>
        <v>0</v>
      </c>
      <c r="AD804">
        <f>VLOOKUP(Table9[[#This Row],[Shortname]], Comp[], 27, FALSE)</f>
        <v>0</v>
      </c>
      <c r="AE804">
        <f>VLOOKUP(Table9[[#This Row],[Shortname]], Comp[], 28, FALSE)</f>
        <v>0</v>
      </c>
      <c r="AF804">
        <f>VLOOKUP(Table9[[#This Row],[Shortname]], Comp[], 29, FALSE)</f>
        <v>0</v>
      </c>
      <c r="AG804">
        <f>VLOOKUP(Table9[[#This Row],[Shortname]], Comp[], 30, FALSE)</f>
        <v>0</v>
      </c>
      <c r="AH804">
        <f>VLOOKUP(Table9[[#This Row],[Shortname]], Comp[], 31, FALSE)</f>
        <v>0</v>
      </c>
    </row>
    <row r="805" spans="1:34" x14ac:dyDescent="0.3">
      <c r="A805" t="s">
        <v>4339</v>
      </c>
      <c r="B805" t="s">
        <v>4341</v>
      </c>
      <c r="C805" t="s">
        <v>4301</v>
      </c>
      <c r="D805">
        <v>497</v>
      </c>
      <c r="E805">
        <v>25</v>
      </c>
      <c r="F805">
        <v>1E-4</v>
      </c>
      <c r="G805">
        <v>1</v>
      </c>
      <c r="H805" t="s">
        <v>6878</v>
      </c>
      <c r="I805">
        <f>VLOOKUP(Table9[[#This Row],[Shortname]], Comp[], 6, FALSE)</f>
        <v>660</v>
      </c>
      <c r="J805" s="14">
        <f>VLOOKUP(Table9[[#This Row],[Shortname]], Comp[], 7, FALSE)</f>
        <v>85.4</v>
      </c>
      <c r="K805">
        <f>VLOOKUP(Table9[[#This Row],[Shortname]], Comp[], 8, FALSE)</f>
        <v>0</v>
      </c>
      <c r="L805">
        <f>VLOOKUP(Table9[[#This Row],[Shortname]], Comp[], 9, FALSE)</f>
        <v>4.2</v>
      </c>
      <c r="M805">
        <f>VLOOKUP(Table9[[#This Row],[Shortname]], Comp[], 10, FALSE)</f>
        <v>0</v>
      </c>
      <c r="N805">
        <f>VLOOKUP(Table9[[#This Row],[Shortname]], Comp[], 11, FALSE)</f>
        <v>3.7</v>
      </c>
      <c r="O805">
        <f>VLOOKUP(Table9[[#This Row],[Shortname]], Comp[],12, FALSE)</f>
        <v>6.7</v>
      </c>
      <c r="P805">
        <f>VLOOKUP(Table9[[#This Row],[Shortname]], Comp[], 13, FALSE)</f>
        <v>0</v>
      </c>
      <c r="Q805">
        <f>VLOOKUP(Table9[[#This Row],[Shortname]], Comp[], 14, FALSE)</f>
        <v>0</v>
      </c>
      <c r="R805">
        <f>VLOOKUP(Table9[[#This Row],[Shortname]], Comp[], 15, FALSE)</f>
        <v>0</v>
      </c>
      <c r="S805">
        <f>VLOOKUP(Table9[[#This Row],[Shortname]], Comp[], 16, FALSE)</f>
        <v>0</v>
      </c>
      <c r="T805">
        <f>VLOOKUP(Table9[[#This Row],[Shortname]], Comp[], 17, FALSE)</f>
        <v>0</v>
      </c>
      <c r="U805">
        <f>VLOOKUP(Table9[[#This Row],[Shortname]], Comp[], 18, FALSE)</f>
        <v>0</v>
      </c>
      <c r="V805">
        <f>VLOOKUP(Table9[[#This Row],[Shortname]], Comp[], 19, FALSE)</f>
        <v>0</v>
      </c>
      <c r="W805">
        <f>VLOOKUP(Table9[[#This Row],[Shortname]], Comp[], 20, FALSE)</f>
        <v>0</v>
      </c>
      <c r="X805">
        <f>VLOOKUP(Table9[[#This Row],[Shortname]], Comp[], 21, FALSE)</f>
        <v>0</v>
      </c>
      <c r="Y805">
        <f>VLOOKUP(Table9[[#This Row],[Shortname]], Comp[], 22, FALSE)</f>
        <v>0</v>
      </c>
      <c r="Z805">
        <f>VLOOKUP(Table9[[#This Row],[Shortname]], Comp[], 23, FALSE)</f>
        <v>0</v>
      </c>
      <c r="AA805">
        <f>VLOOKUP(Table9[[#This Row],[Shortname]], Comp[], 24, FALSE)</f>
        <v>0</v>
      </c>
      <c r="AB805">
        <f>VLOOKUP(Table9[[#This Row],[Shortname]], Comp[], 25, FALSE)</f>
        <v>0</v>
      </c>
      <c r="AC805">
        <f>VLOOKUP(Table9[[#This Row],[Shortname]], Comp[], 26, FALSE)</f>
        <v>0</v>
      </c>
      <c r="AD805">
        <f>VLOOKUP(Table9[[#This Row],[Shortname]], Comp[], 27, FALSE)</f>
        <v>0</v>
      </c>
      <c r="AE805">
        <f>VLOOKUP(Table9[[#This Row],[Shortname]], Comp[], 28, FALSE)</f>
        <v>0</v>
      </c>
      <c r="AF805">
        <f>VLOOKUP(Table9[[#This Row],[Shortname]], Comp[], 29, FALSE)</f>
        <v>0</v>
      </c>
      <c r="AG805">
        <f>VLOOKUP(Table9[[#This Row],[Shortname]], Comp[], 30, FALSE)</f>
        <v>0</v>
      </c>
      <c r="AH805">
        <f>VLOOKUP(Table9[[#This Row],[Shortname]], Comp[], 31, FALSE)</f>
        <v>0</v>
      </c>
    </row>
    <row r="806" spans="1:34" x14ac:dyDescent="0.3">
      <c r="A806" t="s">
        <v>4339</v>
      </c>
      <c r="B806" t="s">
        <v>4341</v>
      </c>
      <c r="C806" t="s">
        <v>4301</v>
      </c>
      <c r="D806">
        <v>417</v>
      </c>
      <c r="E806">
        <v>600</v>
      </c>
      <c r="F806">
        <v>1E-4</v>
      </c>
      <c r="G806">
        <v>1</v>
      </c>
      <c r="H806" t="s">
        <v>6878</v>
      </c>
      <c r="I806">
        <f>VLOOKUP(Table9[[#This Row],[Shortname]], Comp[], 6, FALSE)</f>
        <v>660</v>
      </c>
      <c r="J806" s="14">
        <f>VLOOKUP(Table9[[#This Row],[Shortname]], Comp[], 7, FALSE)</f>
        <v>85.4</v>
      </c>
      <c r="K806">
        <f>VLOOKUP(Table9[[#This Row],[Shortname]], Comp[], 8, FALSE)</f>
        <v>0</v>
      </c>
      <c r="L806">
        <f>VLOOKUP(Table9[[#This Row],[Shortname]], Comp[], 9, FALSE)</f>
        <v>4.2</v>
      </c>
      <c r="M806">
        <f>VLOOKUP(Table9[[#This Row],[Shortname]], Comp[], 10, FALSE)</f>
        <v>0</v>
      </c>
      <c r="N806">
        <f>VLOOKUP(Table9[[#This Row],[Shortname]], Comp[], 11, FALSE)</f>
        <v>3.7</v>
      </c>
      <c r="O806">
        <f>VLOOKUP(Table9[[#This Row],[Shortname]], Comp[],12, FALSE)</f>
        <v>6.7</v>
      </c>
      <c r="P806">
        <f>VLOOKUP(Table9[[#This Row],[Shortname]], Comp[], 13, FALSE)</f>
        <v>0</v>
      </c>
      <c r="Q806">
        <f>VLOOKUP(Table9[[#This Row],[Shortname]], Comp[], 14, FALSE)</f>
        <v>0</v>
      </c>
      <c r="R806">
        <f>VLOOKUP(Table9[[#This Row],[Shortname]], Comp[], 15, FALSE)</f>
        <v>0</v>
      </c>
      <c r="S806">
        <f>VLOOKUP(Table9[[#This Row],[Shortname]], Comp[], 16, FALSE)</f>
        <v>0</v>
      </c>
      <c r="T806">
        <f>VLOOKUP(Table9[[#This Row],[Shortname]], Comp[], 17, FALSE)</f>
        <v>0</v>
      </c>
      <c r="U806">
        <f>VLOOKUP(Table9[[#This Row],[Shortname]], Comp[], 18, FALSE)</f>
        <v>0</v>
      </c>
      <c r="V806">
        <f>VLOOKUP(Table9[[#This Row],[Shortname]], Comp[], 19, FALSE)</f>
        <v>0</v>
      </c>
      <c r="W806">
        <f>VLOOKUP(Table9[[#This Row],[Shortname]], Comp[], 20, FALSE)</f>
        <v>0</v>
      </c>
      <c r="X806">
        <f>VLOOKUP(Table9[[#This Row],[Shortname]], Comp[], 21, FALSE)</f>
        <v>0</v>
      </c>
      <c r="Y806">
        <f>VLOOKUP(Table9[[#This Row],[Shortname]], Comp[], 22, FALSE)</f>
        <v>0</v>
      </c>
      <c r="Z806">
        <f>VLOOKUP(Table9[[#This Row],[Shortname]], Comp[], 23, FALSE)</f>
        <v>0</v>
      </c>
      <c r="AA806">
        <f>VLOOKUP(Table9[[#This Row],[Shortname]], Comp[], 24, FALSE)</f>
        <v>0</v>
      </c>
      <c r="AB806">
        <f>VLOOKUP(Table9[[#This Row],[Shortname]], Comp[], 25, FALSE)</f>
        <v>0</v>
      </c>
      <c r="AC806">
        <f>VLOOKUP(Table9[[#This Row],[Shortname]], Comp[], 26, FALSE)</f>
        <v>0</v>
      </c>
      <c r="AD806">
        <f>VLOOKUP(Table9[[#This Row],[Shortname]], Comp[], 27, FALSE)</f>
        <v>0</v>
      </c>
      <c r="AE806">
        <f>VLOOKUP(Table9[[#This Row],[Shortname]], Comp[], 28, FALSE)</f>
        <v>0</v>
      </c>
      <c r="AF806">
        <f>VLOOKUP(Table9[[#This Row],[Shortname]], Comp[], 29, FALSE)</f>
        <v>0</v>
      </c>
      <c r="AG806">
        <f>VLOOKUP(Table9[[#This Row],[Shortname]], Comp[], 30, FALSE)</f>
        <v>0</v>
      </c>
      <c r="AH806">
        <f>VLOOKUP(Table9[[#This Row],[Shortname]], Comp[], 31, FALSE)</f>
        <v>0</v>
      </c>
    </row>
    <row r="807" spans="1:34" x14ac:dyDescent="0.3">
      <c r="A807" t="s">
        <v>4339</v>
      </c>
      <c r="B807" t="s">
        <v>4341</v>
      </c>
      <c r="C807" t="s">
        <v>4301</v>
      </c>
      <c r="D807">
        <v>323</v>
      </c>
      <c r="E807">
        <v>900</v>
      </c>
      <c r="F807">
        <v>1E-4</v>
      </c>
      <c r="G807">
        <v>1</v>
      </c>
      <c r="H807" t="s">
        <v>6878</v>
      </c>
      <c r="I807">
        <f>VLOOKUP(Table9[[#This Row],[Shortname]], Comp[], 6, FALSE)</f>
        <v>660</v>
      </c>
      <c r="J807" s="14">
        <f>VLOOKUP(Table9[[#This Row],[Shortname]], Comp[], 7, FALSE)</f>
        <v>85.4</v>
      </c>
      <c r="K807">
        <f>VLOOKUP(Table9[[#This Row],[Shortname]], Comp[], 8, FALSE)</f>
        <v>0</v>
      </c>
      <c r="L807">
        <f>VLOOKUP(Table9[[#This Row],[Shortname]], Comp[], 9, FALSE)</f>
        <v>4.2</v>
      </c>
      <c r="M807">
        <f>VLOOKUP(Table9[[#This Row],[Shortname]], Comp[], 10, FALSE)</f>
        <v>0</v>
      </c>
      <c r="N807">
        <f>VLOOKUP(Table9[[#This Row],[Shortname]], Comp[], 11, FALSE)</f>
        <v>3.7</v>
      </c>
      <c r="O807">
        <f>VLOOKUP(Table9[[#This Row],[Shortname]], Comp[],12, FALSE)</f>
        <v>6.7</v>
      </c>
      <c r="P807">
        <f>VLOOKUP(Table9[[#This Row],[Shortname]], Comp[], 13, FALSE)</f>
        <v>0</v>
      </c>
      <c r="Q807">
        <f>VLOOKUP(Table9[[#This Row],[Shortname]], Comp[], 14, FALSE)</f>
        <v>0</v>
      </c>
      <c r="R807">
        <f>VLOOKUP(Table9[[#This Row],[Shortname]], Comp[], 15, FALSE)</f>
        <v>0</v>
      </c>
      <c r="S807">
        <f>VLOOKUP(Table9[[#This Row],[Shortname]], Comp[], 16, FALSE)</f>
        <v>0</v>
      </c>
      <c r="T807">
        <f>VLOOKUP(Table9[[#This Row],[Shortname]], Comp[], 17, FALSE)</f>
        <v>0</v>
      </c>
      <c r="U807">
        <f>VLOOKUP(Table9[[#This Row],[Shortname]], Comp[], 18, FALSE)</f>
        <v>0</v>
      </c>
      <c r="V807">
        <f>VLOOKUP(Table9[[#This Row],[Shortname]], Comp[], 19, FALSE)</f>
        <v>0</v>
      </c>
      <c r="W807">
        <f>VLOOKUP(Table9[[#This Row],[Shortname]], Comp[], 20, FALSE)</f>
        <v>0</v>
      </c>
      <c r="X807">
        <f>VLOOKUP(Table9[[#This Row],[Shortname]], Comp[], 21, FALSE)</f>
        <v>0</v>
      </c>
      <c r="Y807">
        <f>VLOOKUP(Table9[[#This Row],[Shortname]], Comp[], 22, FALSE)</f>
        <v>0</v>
      </c>
      <c r="Z807">
        <f>VLOOKUP(Table9[[#This Row],[Shortname]], Comp[], 23, FALSE)</f>
        <v>0</v>
      </c>
      <c r="AA807">
        <f>VLOOKUP(Table9[[#This Row],[Shortname]], Comp[], 24, FALSE)</f>
        <v>0</v>
      </c>
      <c r="AB807">
        <f>VLOOKUP(Table9[[#This Row],[Shortname]], Comp[], 25, FALSE)</f>
        <v>0</v>
      </c>
      <c r="AC807">
        <f>VLOOKUP(Table9[[#This Row],[Shortname]], Comp[], 26, FALSE)</f>
        <v>0</v>
      </c>
      <c r="AD807">
        <f>VLOOKUP(Table9[[#This Row],[Shortname]], Comp[], 27, FALSE)</f>
        <v>0</v>
      </c>
      <c r="AE807">
        <f>VLOOKUP(Table9[[#This Row],[Shortname]], Comp[], 28, FALSE)</f>
        <v>0</v>
      </c>
      <c r="AF807">
        <f>VLOOKUP(Table9[[#This Row],[Shortname]], Comp[], 29, FALSE)</f>
        <v>0</v>
      </c>
      <c r="AG807">
        <f>VLOOKUP(Table9[[#This Row],[Shortname]], Comp[], 30, FALSE)</f>
        <v>0</v>
      </c>
      <c r="AH807">
        <f>VLOOKUP(Table9[[#This Row],[Shortname]], Comp[], 31, FALSE)</f>
        <v>0</v>
      </c>
    </row>
    <row r="808" spans="1:34" x14ac:dyDescent="0.3">
      <c r="A808" t="s">
        <v>4339</v>
      </c>
      <c r="B808" t="s">
        <v>4341</v>
      </c>
      <c r="C808" t="s">
        <v>4301</v>
      </c>
      <c r="D808">
        <v>48</v>
      </c>
      <c r="E808">
        <v>1050</v>
      </c>
      <c r="F808">
        <v>1E-4</v>
      </c>
      <c r="G808">
        <v>1</v>
      </c>
      <c r="H808" t="s">
        <v>6878</v>
      </c>
      <c r="I808">
        <f>VLOOKUP(Table9[[#This Row],[Shortname]], Comp[], 6, FALSE)</f>
        <v>660</v>
      </c>
      <c r="J808" s="14">
        <f>VLOOKUP(Table9[[#This Row],[Shortname]], Comp[], 7, FALSE)</f>
        <v>85.4</v>
      </c>
      <c r="K808">
        <f>VLOOKUP(Table9[[#This Row],[Shortname]], Comp[], 8, FALSE)</f>
        <v>0</v>
      </c>
      <c r="L808">
        <f>VLOOKUP(Table9[[#This Row],[Shortname]], Comp[], 9, FALSE)</f>
        <v>4.2</v>
      </c>
      <c r="M808">
        <f>VLOOKUP(Table9[[#This Row],[Shortname]], Comp[], 10, FALSE)</f>
        <v>0</v>
      </c>
      <c r="N808">
        <f>VLOOKUP(Table9[[#This Row],[Shortname]], Comp[], 11, FALSE)</f>
        <v>3.7</v>
      </c>
      <c r="O808">
        <f>VLOOKUP(Table9[[#This Row],[Shortname]], Comp[],12, FALSE)</f>
        <v>6.7</v>
      </c>
      <c r="P808">
        <f>VLOOKUP(Table9[[#This Row],[Shortname]], Comp[], 13, FALSE)</f>
        <v>0</v>
      </c>
      <c r="Q808">
        <f>VLOOKUP(Table9[[#This Row],[Shortname]], Comp[], 14, FALSE)</f>
        <v>0</v>
      </c>
      <c r="R808">
        <f>VLOOKUP(Table9[[#This Row],[Shortname]], Comp[], 15, FALSE)</f>
        <v>0</v>
      </c>
      <c r="S808">
        <f>VLOOKUP(Table9[[#This Row],[Shortname]], Comp[], 16, FALSE)</f>
        <v>0</v>
      </c>
      <c r="T808">
        <f>VLOOKUP(Table9[[#This Row],[Shortname]], Comp[], 17, FALSE)</f>
        <v>0</v>
      </c>
      <c r="U808">
        <f>VLOOKUP(Table9[[#This Row],[Shortname]], Comp[], 18, FALSE)</f>
        <v>0</v>
      </c>
      <c r="V808">
        <f>VLOOKUP(Table9[[#This Row],[Shortname]], Comp[], 19, FALSE)</f>
        <v>0</v>
      </c>
      <c r="W808">
        <f>VLOOKUP(Table9[[#This Row],[Shortname]], Comp[], 20, FALSE)</f>
        <v>0</v>
      </c>
      <c r="X808">
        <f>VLOOKUP(Table9[[#This Row],[Shortname]], Comp[], 21, FALSE)</f>
        <v>0</v>
      </c>
      <c r="Y808">
        <f>VLOOKUP(Table9[[#This Row],[Shortname]], Comp[], 22, FALSE)</f>
        <v>0</v>
      </c>
      <c r="Z808">
        <f>VLOOKUP(Table9[[#This Row],[Shortname]], Comp[], 23, FALSE)</f>
        <v>0</v>
      </c>
      <c r="AA808">
        <f>VLOOKUP(Table9[[#This Row],[Shortname]], Comp[], 24, FALSE)</f>
        <v>0</v>
      </c>
      <c r="AB808">
        <f>VLOOKUP(Table9[[#This Row],[Shortname]], Comp[], 25, FALSE)</f>
        <v>0</v>
      </c>
      <c r="AC808">
        <f>VLOOKUP(Table9[[#This Row],[Shortname]], Comp[], 26, FALSE)</f>
        <v>0</v>
      </c>
      <c r="AD808">
        <f>VLOOKUP(Table9[[#This Row],[Shortname]], Comp[], 27, FALSE)</f>
        <v>0</v>
      </c>
      <c r="AE808">
        <f>VLOOKUP(Table9[[#This Row],[Shortname]], Comp[], 28, FALSE)</f>
        <v>0</v>
      </c>
      <c r="AF808">
        <f>VLOOKUP(Table9[[#This Row],[Shortname]], Comp[], 29, FALSE)</f>
        <v>0</v>
      </c>
      <c r="AG808">
        <f>VLOOKUP(Table9[[#This Row],[Shortname]], Comp[], 30, FALSE)</f>
        <v>0</v>
      </c>
      <c r="AH808">
        <f>VLOOKUP(Table9[[#This Row],[Shortname]], Comp[], 31, FALSE)</f>
        <v>0</v>
      </c>
    </row>
    <row r="809" spans="1:34" x14ac:dyDescent="0.3">
      <c r="A809" t="s">
        <v>4353</v>
      </c>
      <c r="B809" t="s">
        <v>4355</v>
      </c>
      <c r="C809" t="s">
        <v>4301</v>
      </c>
      <c r="D809">
        <v>598</v>
      </c>
      <c r="E809">
        <v>750</v>
      </c>
      <c r="F809">
        <v>1E-4</v>
      </c>
      <c r="G809">
        <v>1</v>
      </c>
      <c r="H809" t="s">
        <v>6878</v>
      </c>
      <c r="I809">
        <f>VLOOKUP(Table9[[#This Row],[Shortname]], Comp[], 6, FALSE)</f>
        <v>662</v>
      </c>
      <c r="J809" s="14">
        <f>VLOOKUP(Table9[[#This Row],[Shortname]], Comp[], 7, FALSE)</f>
        <v>84.2</v>
      </c>
      <c r="K809">
        <f>VLOOKUP(Table9[[#This Row],[Shortname]], Comp[], 8, FALSE)</f>
        <v>0</v>
      </c>
      <c r="L809">
        <f>VLOOKUP(Table9[[#This Row],[Shortname]], Comp[], 9, FALSE)</f>
        <v>6</v>
      </c>
      <c r="M809">
        <f>VLOOKUP(Table9[[#This Row],[Shortname]], Comp[], 10, FALSE)</f>
        <v>0</v>
      </c>
      <c r="N809">
        <f>VLOOKUP(Table9[[#This Row],[Shortname]], Comp[], 11, FALSE)</f>
        <v>5.5</v>
      </c>
      <c r="O809">
        <f>VLOOKUP(Table9[[#This Row],[Shortname]], Comp[],12, FALSE)</f>
        <v>4.3</v>
      </c>
      <c r="P809">
        <f>VLOOKUP(Table9[[#This Row],[Shortname]], Comp[], 13, FALSE)</f>
        <v>0</v>
      </c>
      <c r="Q809">
        <f>VLOOKUP(Table9[[#This Row],[Shortname]], Comp[], 14, FALSE)</f>
        <v>0</v>
      </c>
      <c r="R809">
        <f>VLOOKUP(Table9[[#This Row],[Shortname]], Comp[], 15, FALSE)</f>
        <v>0</v>
      </c>
      <c r="S809">
        <f>VLOOKUP(Table9[[#This Row],[Shortname]], Comp[], 16, FALSE)</f>
        <v>0</v>
      </c>
      <c r="T809">
        <f>VLOOKUP(Table9[[#This Row],[Shortname]], Comp[], 17, FALSE)</f>
        <v>0</v>
      </c>
      <c r="U809">
        <f>VLOOKUP(Table9[[#This Row],[Shortname]], Comp[], 18, FALSE)</f>
        <v>0</v>
      </c>
      <c r="V809">
        <f>VLOOKUP(Table9[[#This Row],[Shortname]], Comp[], 19, FALSE)</f>
        <v>0</v>
      </c>
      <c r="W809">
        <f>VLOOKUP(Table9[[#This Row],[Shortname]], Comp[], 20, FALSE)</f>
        <v>0</v>
      </c>
      <c r="X809">
        <f>VLOOKUP(Table9[[#This Row],[Shortname]], Comp[], 21, FALSE)</f>
        <v>0</v>
      </c>
      <c r="Y809">
        <f>VLOOKUP(Table9[[#This Row],[Shortname]], Comp[], 22, FALSE)</f>
        <v>0</v>
      </c>
      <c r="Z809">
        <f>VLOOKUP(Table9[[#This Row],[Shortname]], Comp[], 23, FALSE)</f>
        <v>0</v>
      </c>
      <c r="AA809">
        <f>VLOOKUP(Table9[[#This Row],[Shortname]], Comp[], 24, FALSE)</f>
        <v>0</v>
      </c>
      <c r="AB809">
        <f>VLOOKUP(Table9[[#This Row],[Shortname]], Comp[], 25, FALSE)</f>
        <v>0</v>
      </c>
      <c r="AC809">
        <f>VLOOKUP(Table9[[#This Row],[Shortname]], Comp[], 26, FALSE)</f>
        <v>0</v>
      </c>
      <c r="AD809">
        <f>VLOOKUP(Table9[[#This Row],[Shortname]], Comp[], 27, FALSE)</f>
        <v>0</v>
      </c>
      <c r="AE809">
        <f>VLOOKUP(Table9[[#This Row],[Shortname]], Comp[], 28, FALSE)</f>
        <v>0</v>
      </c>
      <c r="AF809">
        <f>VLOOKUP(Table9[[#This Row],[Shortname]], Comp[], 29, FALSE)</f>
        <v>0</v>
      </c>
      <c r="AG809">
        <f>VLOOKUP(Table9[[#This Row],[Shortname]], Comp[], 30, FALSE)</f>
        <v>0</v>
      </c>
      <c r="AH809">
        <f>VLOOKUP(Table9[[#This Row],[Shortname]], Comp[], 31, FALSE)</f>
        <v>0</v>
      </c>
    </row>
    <row r="810" spans="1:34" x14ac:dyDescent="0.3">
      <c r="A810" t="s">
        <v>4353</v>
      </c>
      <c r="B810" t="s">
        <v>4355</v>
      </c>
      <c r="C810" t="s">
        <v>4301</v>
      </c>
      <c r="D810">
        <v>548</v>
      </c>
      <c r="E810">
        <v>25</v>
      </c>
      <c r="F810">
        <v>1E-4</v>
      </c>
      <c r="G810">
        <v>1</v>
      </c>
      <c r="H810" t="s">
        <v>6878</v>
      </c>
      <c r="I810">
        <f>VLOOKUP(Table9[[#This Row],[Shortname]], Comp[], 6, FALSE)</f>
        <v>662</v>
      </c>
      <c r="J810" s="14">
        <f>VLOOKUP(Table9[[#This Row],[Shortname]], Comp[], 7, FALSE)</f>
        <v>84.2</v>
      </c>
      <c r="K810">
        <f>VLOOKUP(Table9[[#This Row],[Shortname]], Comp[], 8, FALSE)</f>
        <v>0</v>
      </c>
      <c r="L810">
        <f>VLOOKUP(Table9[[#This Row],[Shortname]], Comp[], 9, FALSE)</f>
        <v>6</v>
      </c>
      <c r="M810">
        <f>VLOOKUP(Table9[[#This Row],[Shortname]], Comp[], 10, FALSE)</f>
        <v>0</v>
      </c>
      <c r="N810">
        <f>VLOOKUP(Table9[[#This Row],[Shortname]], Comp[], 11, FALSE)</f>
        <v>5.5</v>
      </c>
      <c r="O810">
        <f>VLOOKUP(Table9[[#This Row],[Shortname]], Comp[],12, FALSE)</f>
        <v>4.3</v>
      </c>
      <c r="P810">
        <f>VLOOKUP(Table9[[#This Row],[Shortname]], Comp[], 13, FALSE)</f>
        <v>0</v>
      </c>
      <c r="Q810">
        <f>VLOOKUP(Table9[[#This Row],[Shortname]], Comp[], 14, FALSE)</f>
        <v>0</v>
      </c>
      <c r="R810">
        <f>VLOOKUP(Table9[[#This Row],[Shortname]], Comp[], 15, FALSE)</f>
        <v>0</v>
      </c>
      <c r="S810">
        <f>VLOOKUP(Table9[[#This Row],[Shortname]], Comp[], 16, FALSE)</f>
        <v>0</v>
      </c>
      <c r="T810">
        <f>VLOOKUP(Table9[[#This Row],[Shortname]], Comp[], 17, FALSE)</f>
        <v>0</v>
      </c>
      <c r="U810">
        <f>VLOOKUP(Table9[[#This Row],[Shortname]], Comp[], 18, FALSE)</f>
        <v>0</v>
      </c>
      <c r="V810">
        <f>VLOOKUP(Table9[[#This Row],[Shortname]], Comp[], 19, FALSE)</f>
        <v>0</v>
      </c>
      <c r="W810">
        <f>VLOOKUP(Table9[[#This Row],[Shortname]], Comp[], 20, FALSE)</f>
        <v>0</v>
      </c>
      <c r="X810">
        <f>VLOOKUP(Table9[[#This Row],[Shortname]], Comp[], 21, FALSE)</f>
        <v>0</v>
      </c>
      <c r="Y810">
        <f>VLOOKUP(Table9[[#This Row],[Shortname]], Comp[], 22, FALSE)</f>
        <v>0</v>
      </c>
      <c r="Z810">
        <f>VLOOKUP(Table9[[#This Row],[Shortname]], Comp[], 23, FALSE)</f>
        <v>0</v>
      </c>
      <c r="AA810">
        <f>VLOOKUP(Table9[[#This Row],[Shortname]], Comp[], 24, FALSE)</f>
        <v>0</v>
      </c>
      <c r="AB810">
        <f>VLOOKUP(Table9[[#This Row],[Shortname]], Comp[], 25, FALSE)</f>
        <v>0</v>
      </c>
      <c r="AC810">
        <f>VLOOKUP(Table9[[#This Row],[Shortname]], Comp[], 26, FALSE)</f>
        <v>0</v>
      </c>
      <c r="AD810">
        <f>VLOOKUP(Table9[[#This Row],[Shortname]], Comp[], 27, FALSE)</f>
        <v>0</v>
      </c>
      <c r="AE810">
        <f>VLOOKUP(Table9[[#This Row],[Shortname]], Comp[], 28, FALSE)</f>
        <v>0</v>
      </c>
      <c r="AF810">
        <f>VLOOKUP(Table9[[#This Row],[Shortname]], Comp[], 29, FALSE)</f>
        <v>0</v>
      </c>
      <c r="AG810">
        <f>VLOOKUP(Table9[[#This Row],[Shortname]], Comp[], 30, FALSE)</f>
        <v>0</v>
      </c>
      <c r="AH810">
        <f>VLOOKUP(Table9[[#This Row],[Shortname]], Comp[], 31, FALSE)</f>
        <v>0</v>
      </c>
    </row>
    <row r="811" spans="1:34" x14ac:dyDescent="0.3">
      <c r="A811" t="s">
        <v>4353</v>
      </c>
      <c r="B811" t="s">
        <v>4355</v>
      </c>
      <c r="C811" t="s">
        <v>4301</v>
      </c>
      <c r="D811">
        <v>438</v>
      </c>
      <c r="E811">
        <v>600</v>
      </c>
      <c r="F811">
        <v>1E-4</v>
      </c>
      <c r="G811">
        <v>1</v>
      </c>
      <c r="H811" t="s">
        <v>6878</v>
      </c>
      <c r="I811">
        <f>VLOOKUP(Table9[[#This Row],[Shortname]], Comp[], 6, FALSE)</f>
        <v>662</v>
      </c>
      <c r="J811" s="14">
        <f>VLOOKUP(Table9[[#This Row],[Shortname]], Comp[], 7, FALSE)</f>
        <v>84.2</v>
      </c>
      <c r="K811">
        <f>VLOOKUP(Table9[[#This Row],[Shortname]], Comp[], 8, FALSE)</f>
        <v>0</v>
      </c>
      <c r="L811">
        <f>VLOOKUP(Table9[[#This Row],[Shortname]], Comp[], 9, FALSE)</f>
        <v>6</v>
      </c>
      <c r="M811">
        <f>VLOOKUP(Table9[[#This Row],[Shortname]], Comp[], 10, FALSE)</f>
        <v>0</v>
      </c>
      <c r="N811">
        <f>VLOOKUP(Table9[[#This Row],[Shortname]], Comp[], 11, FALSE)</f>
        <v>5.5</v>
      </c>
      <c r="O811">
        <f>VLOOKUP(Table9[[#This Row],[Shortname]], Comp[],12, FALSE)</f>
        <v>4.3</v>
      </c>
      <c r="P811">
        <f>VLOOKUP(Table9[[#This Row],[Shortname]], Comp[], 13, FALSE)</f>
        <v>0</v>
      </c>
      <c r="Q811">
        <f>VLOOKUP(Table9[[#This Row],[Shortname]], Comp[], 14, FALSE)</f>
        <v>0</v>
      </c>
      <c r="R811">
        <f>VLOOKUP(Table9[[#This Row],[Shortname]], Comp[], 15, FALSE)</f>
        <v>0</v>
      </c>
      <c r="S811">
        <f>VLOOKUP(Table9[[#This Row],[Shortname]], Comp[], 16, FALSE)</f>
        <v>0</v>
      </c>
      <c r="T811">
        <f>VLOOKUP(Table9[[#This Row],[Shortname]], Comp[], 17, FALSE)</f>
        <v>0</v>
      </c>
      <c r="U811">
        <f>VLOOKUP(Table9[[#This Row],[Shortname]], Comp[], 18, FALSE)</f>
        <v>0</v>
      </c>
      <c r="V811">
        <f>VLOOKUP(Table9[[#This Row],[Shortname]], Comp[], 19, FALSE)</f>
        <v>0</v>
      </c>
      <c r="W811">
        <f>VLOOKUP(Table9[[#This Row],[Shortname]], Comp[], 20, FALSE)</f>
        <v>0</v>
      </c>
      <c r="X811">
        <f>VLOOKUP(Table9[[#This Row],[Shortname]], Comp[], 21, FALSE)</f>
        <v>0</v>
      </c>
      <c r="Y811">
        <f>VLOOKUP(Table9[[#This Row],[Shortname]], Comp[], 22, FALSE)</f>
        <v>0</v>
      </c>
      <c r="Z811">
        <f>VLOOKUP(Table9[[#This Row],[Shortname]], Comp[], 23, FALSE)</f>
        <v>0</v>
      </c>
      <c r="AA811">
        <f>VLOOKUP(Table9[[#This Row],[Shortname]], Comp[], 24, FALSE)</f>
        <v>0</v>
      </c>
      <c r="AB811">
        <f>VLOOKUP(Table9[[#This Row],[Shortname]], Comp[], 25, FALSE)</f>
        <v>0</v>
      </c>
      <c r="AC811">
        <f>VLOOKUP(Table9[[#This Row],[Shortname]], Comp[], 26, FALSE)</f>
        <v>0</v>
      </c>
      <c r="AD811">
        <f>VLOOKUP(Table9[[#This Row],[Shortname]], Comp[], 27, FALSE)</f>
        <v>0</v>
      </c>
      <c r="AE811">
        <f>VLOOKUP(Table9[[#This Row],[Shortname]], Comp[], 28, FALSE)</f>
        <v>0</v>
      </c>
      <c r="AF811">
        <f>VLOOKUP(Table9[[#This Row],[Shortname]], Comp[], 29, FALSE)</f>
        <v>0</v>
      </c>
      <c r="AG811">
        <f>VLOOKUP(Table9[[#This Row],[Shortname]], Comp[], 30, FALSE)</f>
        <v>0</v>
      </c>
      <c r="AH811">
        <f>VLOOKUP(Table9[[#This Row],[Shortname]], Comp[], 31, FALSE)</f>
        <v>0</v>
      </c>
    </row>
    <row r="812" spans="1:34" x14ac:dyDescent="0.3">
      <c r="A812" t="s">
        <v>4353</v>
      </c>
      <c r="B812" t="s">
        <v>4355</v>
      </c>
      <c r="C812" t="s">
        <v>4301</v>
      </c>
      <c r="D812">
        <v>365</v>
      </c>
      <c r="E812">
        <v>900</v>
      </c>
      <c r="F812">
        <v>1E-4</v>
      </c>
      <c r="G812">
        <v>1</v>
      </c>
      <c r="H812" t="s">
        <v>6878</v>
      </c>
      <c r="I812">
        <f>VLOOKUP(Table9[[#This Row],[Shortname]], Comp[], 6, FALSE)</f>
        <v>662</v>
      </c>
      <c r="J812" s="14">
        <f>VLOOKUP(Table9[[#This Row],[Shortname]], Comp[], 7, FALSE)</f>
        <v>84.2</v>
      </c>
      <c r="K812">
        <f>VLOOKUP(Table9[[#This Row],[Shortname]], Comp[], 8, FALSE)</f>
        <v>0</v>
      </c>
      <c r="L812">
        <f>VLOOKUP(Table9[[#This Row],[Shortname]], Comp[], 9, FALSE)</f>
        <v>6</v>
      </c>
      <c r="M812">
        <f>VLOOKUP(Table9[[#This Row],[Shortname]], Comp[], 10, FALSE)</f>
        <v>0</v>
      </c>
      <c r="N812">
        <f>VLOOKUP(Table9[[#This Row],[Shortname]], Comp[], 11, FALSE)</f>
        <v>5.5</v>
      </c>
      <c r="O812">
        <f>VLOOKUP(Table9[[#This Row],[Shortname]], Comp[],12, FALSE)</f>
        <v>4.3</v>
      </c>
      <c r="P812">
        <f>VLOOKUP(Table9[[#This Row],[Shortname]], Comp[], 13, FALSE)</f>
        <v>0</v>
      </c>
      <c r="Q812">
        <f>VLOOKUP(Table9[[#This Row],[Shortname]], Comp[], 14, FALSE)</f>
        <v>0</v>
      </c>
      <c r="R812">
        <f>VLOOKUP(Table9[[#This Row],[Shortname]], Comp[], 15, FALSE)</f>
        <v>0</v>
      </c>
      <c r="S812">
        <f>VLOOKUP(Table9[[#This Row],[Shortname]], Comp[], 16, FALSE)</f>
        <v>0</v>
      </c>
      <c r="T812">
        <f>VLOOKUP(Table9[[#This Row],[Shortname]], Comp[], 17, FALSE)</f>
        <v>0</v>
      </c>
      <c r="U812">
        <f>VLOOKUP(Table9[[#This Row],[Shortname]], Comp[], 18, FALSE)</f>
        <v>0</v>
      </c>
      <c r="V812">
        <f>VLOOKUP(Table9[[#This Row],[Shortname]], Comp[], 19, FALSE)</f>
        <v>0</v>
      </c>
      <c r="W812">
        <f>VLOOKUP(Table9[[#This Row],[Shortname]], Comp[], 20, FALSE)</f>
        <v>0</v>
      </c>
      <c r="X812">
        <f>VLOOKUP(Table9[[#This Row],[Shortname]], Comp[], 21, FALSE)</f>
        <v>0</v>
      </c>
      <c r="Y812">
        <f>VLOOKUP(Table9[[#This Row],[Shortname]], Comp[], 22, FALSE)</f>
        <v>0</v>
      </c>
      <c r="Z812">
        <f>VLOOKUP(Table9[[#This Row],[Shortname]], Comp[], 23, FALSE)</f>
        <v>0</v>
      </c>
      <c r="AA812">
        <f>VLOOKUP(Table9[[#This Row],[Shortname]], Comp[], 24, FALSE)</f>
        <v>0</v>
      </c>
      <c r="AB812">
        <f>VLOOKUP(Table9[[#This Row],[Shortname]], Comp[], 25, FALSE)</f>
        <v>0</v>
      </c>
      <c r="AC812">
        <f>VLOOKUP(Table9[[#This Row],[Shortname]], Comp[], 26, FALSE)</f>
        <v>0</v>
      </c>
      <c r="AD812">
        <f>VLOOKUP(Table9[[#This Row],[Shortname]], Comp[], 27, FALSE)</f>
        <v>0</v>
      </c>
      <c r="AE812">
        <f>VLOOKUP(Table9[[#This Row],[Shortname]], Comp[], 28, FALSE)</f>
        <v>0</v>
      </c>
      <c r="AF812">
        <f>VLOOKUP(Table9[[#This Row],[Shortname]], Comp[], 29, FALSE)</f>
        <v>0</v>
      </c>
      <c r="AG812">
        <f>VLOOKUP(Table9[[#This Row],[Shortname]], Comp[], 30, FALSE)</f>
        <v>0</v>
      </c>
      <c r="AH812">
        <f>VLOOKUP(Table9[[#This Row],[Shortname]], Comp[], 31, FALSE)</f>
        <v>0</v>
      </c>
    </row>
    <row r="813" spans="1:34" x14ac:dyDescent="0.3">
      <c r="A813" t="s">
        <v>4353</v>
      </c>
      <c r="B813" t="s">
        <v>4355</v>
      </c>
      <c r="C813" t="s">
        <v>4301</v>
      </c>
      <c r="D813">
        <v>51</v>
      </c>
      <c r="E813">
        <v>1050</v>
      </c>
      <c r="F813">
        <v>1E-4</v>
      </c>
      <c r="G813">
        <v>1</v>
      </c>
      <c r="H813" t="s">
        <v>6878</v>
      </c>
      <c r="I813">
        <f>VLOOKUP(Table9[[#This Row],[Shortname]], Comp[], 6, FALSE)</f>
        <v>662</v>
      </c>
      <c r="J813" s="14">
        <f>VLOOKUP(Table9[[#This Row],[Shortname]], Comp[], 7, FALSE)</f>
        <v>84.2</v>
      </c>
      <c r="K813">
        <f>VLOOKUP(Table9[[#This Row],[Shortname]], Comp[], 8, FALSE)</f>
        <v>0</v>
      </c>
      <c r="L813">
        <f>VLOOKUP(Table9[[#This Row],[Shortname]], Comp[], 9, FALSE)</f>
        <v>6</v>
      </c>
      <c r="M813">
        <f>VLOOKUP(Table9[[#This Row],[Shortname]], Comp[], 10, FALSE)</f>
        <v>0</v>
      </c>
      <c r="N813">
        <f>VLOOKUP(Table9[[#This Row],[Shortname]], Comp[], 11, FALSE)</f>
        <v>5.5</v>
      </c>
      <c r="O813">
        <f>VLOOKUP(Table9[[#This Row],[Shortname]], Comp[],12, FALSE)</f>
        <v>4.3</v>
      </c>
      <c r="P813">
        <f>VLOOKUP(Table9[[#This Row],[Shortname]], Comp[], 13, FALSE)</f>
        <v>0</v>
      </c>
      <c r="Q813">
        <f>VLOOKUP(Table9[[#This Row],[Shortname]], Comp[], 14, FALSE)</f>
        <v>0</v>
      </c>
      <c r="R813">
        <f>VLOOKUP(Table9[[#This Row],[Shortname]], Comp[], 15, FALSE)</f>
        <v>0</v>
      </c>
      <c r="S813">
        <f>VLOOKUP(Table9[[#This Row],[Shortname]], Comp[], 16, FALSE)</f>
        <v>0</v>
      </c>
      <c r="T813">
        <f>VLOOKUP(Table9[[#This Row],[Shortname]], Comp[], 17, FALSE)</f>
        <v>0</v>
      </c>
      <c r="U813">
        <f>VLOOKUP(Table9[[#This Row],[Shortname]], Comp[], 18, FALSE)</f>
        <v>0</v>
      </c>
      <c r="V813">
        <f>VLOOKUP(Table9[[#This Row],[Shortname]], Comp[], 19, FALSE)</f>
        <v>0</v>
      </c>
      <c r="W813">
        <f>VLOOKUP(Table9[[#This Row],[Shortname]], Comp[], 20, FALSE)</f>
        <v>0</v>
      </c>
      <c r="X813">
        <f>VLOOKUP(Table9[[#This Row],[Shortname]], Comp[], 21, FALSE)</f>
        <v>0</v>
      </c>
      <c r="Y813">
        <f>VLOOKUP(Table9[[#This Row],[Shortname]], Comp[], 22, FALSE)</f>
        <v>0</v>
      </c>
      <c r="Z813">
        <f>VLOOKUP(Table9[[#This Row],[Shortname]], Comp[], 23, FALSE)</f>
        <v>0</v>
      </c>
      <c r="AA813">
        <f>VLOOKUP(Table9[[#This Row],[Shortname]], Comp[], 24, FALSE)</f>
        <v>0</v>
      </c>
      <c r="AB813">
        <f>VLOOKUP(Table9[[#This Row],[Shortname]], Comp[], 25, FALSE)</f>
        <v>0</v>
      </c>
      <c r="AC813">
        <f>VLOOKUP(Table9[[#This Row],[Shortname]], Comp[], 26, FALSE)</f>
        <v>0</v>
      </c>
      <c r="AD813">
        <f>VLOOKUP(Table9[[#This Row],[Shortname]], Comp[], 27, FALSE)</f>
        <v>0</v>
      </c>
      <c r="AE813">
        <f>VLOOKUP(Table9[[#This Row],[Shortname]], Comp[], 28, FALSE)</f>
        <v>0</v>
      </c>
      <c r="AF813">
        <f>VLOOKUP(Table9[[#This Row],[Shortname]], Comp[], 29, FALSE)</f>
        <v>0</v>
      </c>
      <c r="AG813">
        <f>VLOOKUP(Table9[[#This Row],[Shortname]], Comp[], 30, FALSE)</f>
        <v>0</v>
      </c>
      <c r="AH813">
        <f>VLOOKUP(Table9[[#This Row],[Shortname]], Comp[], 31, FALSE)</f>
        <v>0</v>
      </c>
    </row>
    <row r="814" spans="1:34" x14ac:dyDescent="0.3">
      <c r="A814" t="s">
        <v>4366</v>
      </c>
      <c r="B814" t="s">
        <v>4368</v>
      </c>
      <c r="C814" t="s">
        <v>4301</v>
      </c>
      <c r="D814">
        <v>574</v>
      </c>
      <c r="E814">
        <v>25</v>
      </c>
      <c r="F814">
        <v>1E-4</v>
      </c>
      <c r="G814">
        <v>1</v>
      </c>
      <c r="H814" t="s">
        <v>6878</v>
      </c>
      <c r="I814">
        <f>VLOOKUP(Table9[[#This Row],[Shortname]], Comp[], 6, FALSE)</f>
        <v>664</v>
      </c>
      <c r="J814" s="14">
        <f>VLOOKUP(Table9[[#This Row],[Shortname]], Comp[], 7, FALSE)</f>
        <v>83.4</v>
      </c>
      <c r="K814">
        <f>VLOOKUP(Table9[[#This Row],[Shortname]], Comp[], 8, FALSE)</f>
        <v>0</v>
      </c>
      <c r="L814">
        <f>VLOOKUP(Table9[[#This Row],[Shortname]], Comp[], 9, FALSE)</f>
        <v>7.5</v>
      </c>
      <c r="M814">
        <f>VLOOKUP(Table9[[#This Row],[Shortname]], Comp[], 10, FALSE)</f>
        <v>0</v>
      </c>
      <c r="N814">
        <f>VLOOKUP(Table9[[#This Row],[Shortname]], Comp[], 11, FALSE)</f>
        <v>6.8</v>
      </c>
      <c r="O814">
        <f>VLOOKUP(Table9[[#This Row],[Shortname]], Comp[],12, FALSE)</f>
        <v>2.2999999999999998</v>
      </c>
      <c r="P814">
        <f>VLOOKUP(Table9[[#This Row],[Shortname]], Comp[], 13, FALSE)</f>
        <v>0</v>
      </c>
      <c r="Q814">
        <f>VLOOKUP(Table9[[#This Row],[Shortname]], Comp[], 14, FALSE)</f>
        <v>0</v>
      </c>
      <c r="R814">
        <f>VLOOKUP(Table9[[#This Row],[Shortname]], Comp[], 15, FALSE)</f>
        <v>0</v>
      </c>
      <c r="S814">
        <f>VLOOKUP(Table9[[#This Row],[Shortname]], Comp[], 16, FALSE)</f>
        <v>0</v>
      </c>
      <c r="T814">
        <f>VLOOKUP(Table9[[#This Row],[Shortname]], Comp[], 17, FALSE)</f>
        <v>0</v>
      </c>
      <c r="U814">
        <f>VLOOKUP(Table9[[#This Row],[Shortname]], Comp[], 18, FALSE)</f>
        <v>0</v>
      </c>
      <c r="V814">
        <f>VLOOKUP(Table9[[#This Row],[Shortname]], Comp[], 19, FALSE)</f>
        <v>0</v>
      </c>
      <c r="W814">
        <f>VLOOKUP(Table9[[#This Row],[Shortname]], Comp[], 20, FALSE)</f>
        <v>0</v>
      </c>
      <c r="X814">
        <f>VLOOKUP(Table9[[#This Row],[Shortname]], Comp[], 21, FALSE)</f>
        <v>0</v>
      </c>
      <c r="Y814">
        <f>VLOOKUP(Table9[[#This Row],[Shortname]], Comp[], 22, FALSE)</f>
        <v>0</v>
      </c>
      <c r="Z814">
        <f>VLOOKUP(Table9[[#This Row],[Shortname]], Comp[], 23, FALSE)</f>
        <v>0</v>
      </c>
      <c r="AA814">
        <f>VLOOKUP(Table9[[#This Row],[Shortname]], Comp[], 24, FALSE)</f>
        <v>0</v>
      </c>
      <c r="AB814">
        <f>VLOOKUP(Table9[[#This Row],[Shortname]], Comp[], 25, FALSE)</f>
        <v>0</v>
      </c>
      <c r="AC814">
        <f>VLOOKUP(Table9[[#This Row],[Shortname]], Comp[], 26, FALSE)</f>
        <v>0</v>
      </c>
      <c r="AD814">
        <f>VLOOKUP(Table9[[#This Row],[Shortname]], Comp[], 27, FALSE)</f>
        <v>0</v>
      </c>
      <c r="AE814">
        <f>VLOOKUP(Table9[[#This Row],[Shortname]], Comp[], 28, FALSE)</f>
        <v>0</v>
      </c>
      <c r="AF814">
        <f>VLOOKUP(Table9[[#This Row],[Shortname]], Comp[], 29, FALSE)</f>
        <v>0</v>
      </c>
      <c r="AG814">
        <f>VLOOKUP(Table9[[#This Row],[Shortname]], Comp[], 30, FALSE)</f>
        <v>0</v>
      </c>
      <c r="AH814">
        <f>VLOOKUP(Table9[[#This Row],[Shortname]], Comp[], 31, FALSE)</f>
        <v>0</v>
      </c>
    </row>
    <row r="815" spans="1:34" x14ac:dyDescent="0.3">
      <c r="A815" t="s">
        <v>4366</v>
      </c>
      <c r="B815" t="s">
        <v>4368</v>
      </c>
      <c r="C815" t="s">
        <v>4301</v>
      </c>
      <c r="D815">
        <v>505</v>
      </c>
      <c r="E815">
        <v>750</v>
      </c>
      <c r="F815">
        <v>1E-4</v>
      </c>
      <c r="G815">
        <v>1</v>
      </c>
      <c r="H815" t="s">
        <v>6878</v>
      </c>
      <c r="I815">
        <f>VLOOKUP(Table9[[#This Row],[Shortname]], Comp[], 6, FALSE)</f>
        <v>664</v>
      </c>
      <c r="J815" s="14">
        <f>VLOOKUP(Table9[[#This Row],[Shortname]], Comp[], 7, FALSE)</f>
        <v>83.4</v>
      </c>
      <c r="K815">
        <f>VLOOKUP(Table9[[#This Row],[Shortname]], Comp[], 8, FALSE)</f>
        <v>0</v>
      </c>
      <c r="L815">
        <f>VLOOKUP(Table9[[#This Row],[Shortname]], Comp[], 9, FALSE)</f>
        <v>7.5</v>
      </c>
      <c r="M815">
        <f>VLOOKUP(Table9[[#This Row],[Shortname]], Comp[], 10, FALSE)</f>
        <v>0</v>
      </c>
      <c r="N815">
        <f>VLOOKUP(Table9[[#This Row],[Shortname]], Comp[], 11, FALSE)</f>
        <v>6.8</v>
      </c>
      <c r="O815">
        <f>VLOOKUP(Table9[[#This Row],[Shortname]], Comp[],12, FALSE)</f>
        <v>2.2999999999999998</v>
      </c>
      <c r="P815">
        <f>VLOOKUP(Table9[[#This Row],[Shortname]], Comp[], 13, FALSE)</f>
        <v>0</v>
      </c>
      <c r="Q815">
        <f>VLOOKUP(Table9[[#This Row],[Shortname]], Comp[], 14, FALSE)</f>
        <v>0</v>
      </c>
      <c r="R815">
        <f>VLOOKUP(Table9[[#This Row],[Shortname]], Comp[], 15, FALSE)</f>
        <v>0</v>
      </c>
      <c r="S815">
        <f>VLOOKUP(Table9[[#This Row],[Shortname]], Comp[], 16, FALSE)</f>
        <v>0</v>
      </c>
      <c r="T815">
        <f>VLOOKUP(Table9[[#This Row],[Shortname]], Comp[], 17, FALSE)</f>
        <v>0</v>
      </c>
      <c r="U815">
        <f>VLOOKUP(Table9[[#This Row],[Shortname]], Comp[], 18, FALSE)</f>
        <v>0</v>
      </c>
      <c r="V815">
        <f>VLOOKUP(Table9[[#This Row],[Shortname]], Comp[], 19, FALSE)</f>
        <v>0</v>
      </c>
      <c r="W815">
        <f>VLOOKUP(Table9[[#This Row],[Shortname]], Comp[], 20, FALSE)</f>
        <v>0</v>
      </c>
      <c r="X815">
        <f>VLOOKUP(Table9[[#This Row],[Shortname]], Comp[], 21, FALSE)</f>
        <v>0</v>
      </c>
      <c r="Y815">
        <f>VLOOKUP(Table9[[#This Row],[Shortname]], Comp[], 22, FALSE)</f>
        <v>0</v>
      </c>
      <c r="Z815">
        <f>VLOOKUP(Table9[[#This Row],[Shortname]], Comp[], 23, FALSE)</f>
        <v>0</v>
      </c>
      <c r="AA815">
        <f>VLOOKUP(Table9[[#This Row],[Shortname]], Comp[], 24, FALSE)</f>
        <v>0</v>
      </c>
      <c r="AB815">
        <f>VLOOKUP(Table9[[#This Row],[Shortname]], Comp[], 25, FALSE)</f>
        <v>0</v>
      </c>
      <c r="AC815">
        <f>VLOOKUP(Table9[[#This Row],[Shortname]], Comp[], 26, FALSE)</f>
        <v>0</v>
      </c>
      <c r="AD815">
        <f>VLOOKUP(Table9[[#This Row],[Shortname]], Comp[], 27, FALSE)</f>
        <v>0</v>
      </c>
      <c r="AE815">
        <f>VLOOKUP(Table9[[#This Row],[Shortname]], Comp[], 28, FALSE)</f>
        <v>0</v>
      </c>
      <c r="AF815">
        <f>VLOOKUP(Table9[[#This Row],[Shortname]], Comp[], 29, FALSE)</f>
        <v>0</v>
      </c>
      <c r="AG815">
        <f>VLOOKUP(Table9[[#This Row],[Shortname]], Comp[], 30, FALSE)</f>
        <v>0</v>
      </c>
      <c r="AH815">
        <f>VLOOKUP(Table9[[#This Row],[Shortname]], Comp[], 31, FALSE)</f>
        <v>0</v>
      </c>
    </row>
    <row r="816" spans="1:34" x14ac:dyDescent="0.3">
      <c r="A816" t="s">
        <v>4366</v>
      </c>
      <c r="B816" t="s">
        <v>4368</v>
      </c>
      <c r="C816" t="s">
        <v>4301</v>
      </c>
      <c r="D816">
        <v>431</v>
      </c>
      <c r="E816">
        <v>600</v>
      </c>
      <c r="F816">
        <v>1E-4</v>
      </c>
      <c r="G816">
        <v>1</v>
      </c>
      <c r="H816" t="s">
        <v>6878</v>
      </c>
      <c r="I816">
        <f>VLOOKUP(Table9[[#This Row],[Shortname]], Comp[], 6, FALSE)</f>
        <v>664</v>
      </c>
      <c r="J816" s="14">
        <f>VLOOKUP(Table9[[#This Row],[Shortname]], Comp[], 7, FALSE)</f>
        <v>83.4</v>
      </c>
      <c r="K816">
        <f>VLOOKUP(Table9[[#This Row],[Shortname]], Comp[], 8, FALSE)</f>
        <v>0</v>
      </c>
      <c r="L816">
        <f>VLOOKUP(Table9[[#This Row],[Shortname]], Comp[], 9, FALSE)</f>
        <v>7.5</v>
      </c>
      <c r="M816">
        <f>VLOOKUP(Table9[[#This Row],[Shortname]], Comp[], 10, FALSE)</f>
        <v>0</v>
      </c>
      <c r="N816">
        <f>VLOOKUP(Table9[[#This Row],[Shortname]], Comp[], 11, FALSE)</f>
        <v>6.8</v>
      </c>
      <c r="O816">
        <f>VLOOKUP(Table9[[#This Row],[Shortname]], Comp[],12, FALSE)</f>
        <v>2.2999999999999998</v>
      </c>
      <c r="P816">
        <f>VLOOKUP(Table9[[#This Row],[Shortname]], Comp[], 13, FALSE)</f>
        <v>0</v>
      </c>
      <c r="Q816">
        <f>VLOOKUP(Table9[[#This Row],[Shortname]], Comp[], 14, FALSE)</f>
        <v>0</v>
      </c>
      <c r="R816">
        <f>VLOOKUP(Table9[[#This Row],[Shortname]], Comp[], 15, FALSE)</f>
        <v>0</v>
      </c>
      <c r="S816">
        <f>VLOOKUP(Table9[[#This Row],[Shortname]], Comp[], 16, FALSE)</f>
        <v>0</v>
      </c>
      <c r="T816">
        <f>VLOOKUP(Table9[[#This Row],[Shortname]], Comp[], 17, FALSE)</f>
        <v>0</v>
      </c>
      <c r="U816">
        <f>VLOOKUP(Table9[[#This Row],[Shortname]], Comp[], 18, FALSE)</f>
        <v>0</v>
      </c>
      <c r="V816">
        <f>VLOOKUP(Table9[[#This Row],[Shortname]], Comp[], 19, FALSE)</f>
        <v>0</v>
      </c>
      <c r="W816">
        <f>VLOOKUP(Table9[[#This Row],[Shortname]], Comp[], 20, FALSE)</f>
        <v>0</v>
      </c>
      <c r="X816">
        <f>VLOOKUP(Table9[[#This Row],[Shortname]], Comp[], 21, FALSE)</f>
        <v>0</v>
      </c>
      <c r="Y816">
        <f>VLOOKUP(Table9[[#This Row],[Shortname]], Comp[], 22, FALSE)</f>
        <v>0</v>
      </c>
      <c r="Z816">
        <f>VLOOKUP(Table9[[#This Row],[Shortname]], Comp[], 23, FALSE)</f>
        <v>0</v>
      </c>
      <c r="AA816">
        <f>VLOOKUP(Table9[[#This Row],[Shortname]], Comp[], 24, FALSE)</f>
        <v>0</v>
      </c>
      <c r="AB816">
        <f>VLOOKUP(Table9[[#This Row],[Shortname]], Comp[], 25, FALSE)</f>
        <v>0</v>
      </c>
      <c r="AC816">
        <f>VLOOKUP(Table9[[#This Row],[Shortname]], Comp[], 26, FALSE)</f>
        <v>0</v>
      </c>
      <c r="AD816">
        <f>VLOOKUP(Table9[[#This Row],[Shortname]], Comp[], 27, FALSE)</f>
        <v>0</v>
      </c>
      <c r="AE816">
        <f>VLOOKUP(Table9[[#This Row],[Shortname]], Comp[], 28, FALSE)</f>
        <v>0</v>
      </c>
      <c r="AF816">
        <f>VLOOKUP(Table9[[#This Row],[Shortname]], Comp[], 29, FALSE)</f>
        <v>0</v>
      </c>
      <c r="AG816">
        <f>VLOOKUP(Table9[[#This Row],[Shortname]], Comp[], 30, FALSE)</f>
        <v>0</v>
      </c>
      <c r="AH816">
        <f>VLOOKUP(Table9[[#This Row],[Shortname]], Comp[], 31, FALSE)</f>
        <v>0</v>
      </c>
    </row>
    <row r="817" spans="1:34" x14ac:dyDescent="0.3">
      <c r="A817" t="s">
        <v>4366</v>
      </c>
      <c r="B817" t="s">
        <v>4368</v>
      </c>
      <c r="C817" t="s">
        <v>4301</v>
      </c>
      <c r="D817">
        <v>339</v>
      </c>
      <c r="E817">
        <v>900</v>
      </c>
      <c r="F817">
        <v>1E-4</v>
      </c>
      <c r="G817">
        <v>1</v>
      </c>
      <c r="H817" t="s">
        <v>6878</v>
      </c>
      <c r="I817">
        <f>VLOOKUP(Table9[[#This Row],[Shortname]], Comp[], 6, FALSE)</f>
        <v>664</v>
      </c>
      <c r="J817" s="14">
        <f>VLOOKUP(Table9[[#This Row],[Shortname]], Comp[], 7, FALSE)</f>
        <v>83.4</v>
      </c>
      <c r="K817">
        <f>VLOOKUP(Table9[[#This Row],[Shortname]], Comp[], 8, FALSE)</f>
        <v>0</v>
      </c>
      <c r="L817">
        <f>VLOOKUP(Table9[[#This Row],[Shortname]], Comp[], 9, FALSE)</f>
        <v>7.5</v>
      </c>
      <c r="M817">
        <f>VLOOKUP(Table9[[#This Row],[Shortname]], Comp[], 10, FALSE)</f>
        <v>0</v>
      </c>
      <c r="N817">
        <f>VLOOKUP(Table9[[#This Row],[Shortname]], Comp[], 11, FALSE)</f>
        <v>6.8</v>
      </c>
      <c r="O817">
        <f>VLOOKUP(Table9[[#This Row],[Shortname]], Comp[],12, FALSE)</f>
        <v>2.2999999999999998</v>
      </c>
      <c r="P817">
        <f>VLOOKUP(Table9[[#This Row],[Shortname]], Comp[], 13, FALSE)</f>
        <v>0</v>
      </c>
      <c r="Q817">
        <f>VLOOKUP(Table9[[#This Row],[Shortname]], Comp[], 14, FALSE)</f>
        <v>0</v>
      </c>
      <c r="R817">
        <f>VLOOKUP(Table9[[#This Row],[Shortname]], Comp[], 15, FALSE)</f>
        <v>0</v>
      </c>
      <c r="S817">
        <f>VLOOKUP(Table9[[#This Row],[Shortname]], Comp[], 16, FALSE)</f>
        <v>0</v>
      </c>
      <c r="T817">
        <f>VLOOKUP(Table9[[#This Row],[Shortname]], Comp[], 17, FALSE)</f>
        <v>0</v>
      </c>
      <c r="U817">
        <f>VLOOKUP(Table9[[#This Row],[Shortname]], Comp[], 18, FALSE)</f>
        <v>0</v>
      </c>
      <c r="V817">
        <f>VLOOKUP(Table9[[#This Row],[Shortname]], Comp[], 19, FALSE)</f>
        <v>0</v>
      </c>
      <c r="W817">
        <f>VLOOKUP(Table9[[#This Row],[Shortname]], Comp[], 20, FALSE)</f>
        <v>0</v>
      </c>
      <c r="X817">
        <f>VLOOKUP(Table9[[#This Row],[Shortname]], Comp[], 21, FALSE)</f>
        <v>0</v>
      </c>
      <c r="Y817">
        <f>VLOOKUP(Table9[[#This Row],[Shortname]], Comp[], 22, FALSE)</f>
        <v>0</v>
      </c>
      <c r="Z817">
        <f>VLOOKUP(Table9[[#This Row],[Shortname]], Comp[], 23, FALSE)</f>
        <v>0</v>
      </c>
      <c r="AA817">
        <f>VLOOKUP(Table9[[#This Row],[Shortname]], Comp[], 24, FALSE)</f>
        <v>0</v>
      </c>
      <c r="AB817">
        <f>VLOOKUP(Table9[[#This Row],[Shortname]], Comp[], 25, FALSE)</f>
        <v>0</v>
      </c>
      <c r="AC817">
        <f>VLOOKUP(Table9[[#This Row],[Shortname]], Comp[], 26, FALSE)</f>
        <v>0</v>
      </c>
      <c r="AD817">
        <f>VLOOKUP(Table9[[#This Row],[Shortname]], Comp[], 27, FALSE)</f>
        <v>0</v>
      </c>
      <c r="AE817">
        <f>VLOOKUP(Table9[[#This Row],[Shortname]], Comp[], 28, FALSE)</f>
        <v>0</v>
      </c>
      <c r="AF817">
        <f>VLOOKUP(Table9[[#This Row],[Shortname]], Comp[], 29, FALSE)</f>
        <v>0</v>
      </c>
      <c r="AG817">
        <f>VLOOKUP(Table9[[#This Row],[Shortname]], Comp[], 30, FALSE)</f>
        <v>0</v>
      </c>
      <c r="AH817">
        <f>VLOOKUP(Table9[[#This Row],[Shortname]], Comp[], 31, FALSE)</f>
        <v>0</v>
      </c>
    </row>
    <row r="818" spans="1:34" x14ac:dyDescent="0.3">
      <c r="A818" t="s">
        <v>4384</v>
      </c>
      <c r="B818" t="s">
        <v>4385</v>
      </c>
      <c r="C818" t="s">
        <v>4301</v>
      </c>
      <c r="D818">
        <v>573</v>
      </c>
      <c r="E818">
        <v>25</v>
      </c>
      <c r="F818">
        <v>1E-4</v>
      </c>
      <c r="G818">
        <v>1</v>
      </c>
      <c r="H818" t="s">
        <v>6878</v>
      </c>
      <c r="I818">
        <f>VLOOKUP(Table9[[#This Row],[Shortname]], Comp[], 6, FALSE)</f>
        <v>667</v>
      </c>
      <c r="J818" s="14">
        <f>VLOOKUP(Table9[[#This Row],[Shortname]], Comp[], 7, FALSE)</f>
        <v>82.9</v>
      </c>
      <c r="K818">
        <f>VLOOKUP(Table9[[#This Row],[Shortname]], Comp[], 8, FALSE)</f>
        <v>0</v>
      </c>
      <c r="L818">
        <f>VLOOKUP(Table9[[#This Row],[Shortname]], Comp[], 9, FALSE)</f>
        <v>8.9</v>
      </c>
      <c r="M818">
        <f>VLOOKUP(Table9[[#This Row],[Shortname]], Comp[], 10, FALSE)</f>
        <v>0</v>
      </c>
      <c r="N818">
        <f>VLOOKUP(Table9[[#This Row],[Shortname]], Comp[], 11, FALSE)</f>
        <v>8.1999999999999993</v>
      </c>
      <c r="O818">
        <f>VLOOKUP(Table9[[#This Row],[Shortname]], Comp[],12, FALSE)</f>
        <v>0</v>
      </c>
      <c r="P818">
        <f>VLOOKUP(Table9[[#This Row],[Shortname]], Comp[], 13, FALSE)</f>
        <v>0</v>
      </c>
      <c r="Q818">
        <f>VLOOKUP(Table9[[#This Row],[Shortname]], Comp[], 14, FALSE)</f>
        <v>0</v>
      </c>
      <c r="R818">
        <f>VLOOKUP(Table9[[#This Row],[Shortname]], Comp[], 15, FALSE)</f>
        <v>0</v>
      </c>
      <c r="S818">
        <f>VLOOKUP(Table9[[#This Row],[Shortname]], Comp[], 16, FALSE)</f>
        <v>0</v>
      </c>
      <c r="T818">
        <f>VLOOKUP(Table9[[#This Row],[Shortname]], Comp[], 17, FALSE)</f>
        <v>0</v>
      </c>
      <c r="U818">
        <f>VLOOKUP(Table9[[#This Row],[Shortname]], Comp[], 18, FALSE)</f>
        <v>0</v>
      </c>
      <c r="V818">
        <f>VLOOKUP(Table9[[#This Row],[Shortname]], Comp[], 19, FALSE)</f>
        <v>0</v>
      </c>
      <c r="W818">
        <f>VLOOKUP(Table9[[#This Row],[Shortname]], Comp[], 20, FALSE)</f>
        <v>0</v>
      </c>
      <c r="X818">
        <f>VLOOKUP(Table9[[#This Row],[Shortname]], Comp[], 21, FALSE)</f>
        <v>0</v>
      </c>
      <c r="Y818">
        <f>VLOOKUP(Table9[[#This Row],[Shortname]], Comp[], 22, FALSE)</f>
        <v>0</v>
      </c>
      <c r="Z818">
        <f>VLOOKUP(Table9[[#This Row],[Shortname]], Comp[], 23, FALSE)</f>
        <v>0</v>
      </c>
      <c r="AA818">
        <f>VLOOKUP(Table9[[#This Row],[Shortname]], Comp[], 24, FALSE)</f>
        <v>0</v>
      </c>
      <c r="AB818">
        <f>VLOOKUP(Table9[[#This Row],[Shortname]], Comp[], 25, FALSE)</f>
        <v>0</v>
      </c>
      <c r="AC818">
        <f>VLOOKUP(Table9[[#This Row],[Shortname]], Comp[], 26, FALSE)</f>
        <v>0</v>
      </c>
      <c r="AD818">
        <f>VLOOKUP(Table9[[#This Row],[Shortname]], Comp[], 27, FALSE)</f>
        <v>0</v>
      </c>
      <c r="AE818">
        <f>VLOOKUP(Table9[[#This Row],[Shortname]], Comp[], 28, FALSE)</f>
        <v>0</v>
      </c>
      <c r="AF818">
        <f>VLOOKUP(Table9[[#This Row],[Shortname]], Comp[], 29, FALSE)</f>
        <v>0</v>
      </c>
      <c r="AG818">
        <f>VLOOKUP(Table9[[#This Row],[Shortname]], Comp[], 30, FALSE)</f>
        <v>0</v>
      </c>
      <c r="AH818">
        <f>VLOOKUP(Table9[[#This Row],[Shortname]], Comp[], 31, FALSE)</f>
        <v>0</v>
      </c>
    </row>
    <row r="819" spans="1:34" x14ac:dyDescent="0.3">
      <c r="A819" t="s">
        <v>4384</v>
      </c>
      <c r="B819" t="s">
        <v>4385</v>
      </c>
      <c r="C819" t="s">
        <v>4301</v>
      </c>
      <c r="D819">
        <v>477</v>
      </c>
      <c r="E819">
        <v>750</v>
      </c>
      <c r="F819">
        <v>1E-4</v>
      </c>
      <c r="G819">
        <v>1</v>
      </c>
      <c r="H819" t="s">
        <v>6878</v>
      </c>
      <c r="I819">
        <f>VLOOKUP(Table9[[#This Row],[Shortname]], Comp[], 6, FALSE)</f>
        <v>667</v>
      </c>
      <c r="J819" s="14">
        <f>VLOOKUP(Table9[[#This Row],[Shortname]], Comp[], 7, FALSE)</f>
        <v>82.9</v>
      </c>
      <c r="K819">
        <f>VLOOKUP(Table9[[#This Row],[Shortname]], Comp[], 8, FALSE)</f>
        <v>0</v>
      </c>
      <c r="L819">
        <f>VLOOKUP(Table9[[#This Row],[Shortname]], Comp[], 9, FALSE)</f>
        <v>8.9</v>
      </c>
      <c r="M819">
        <f>VLOOKUP(Table9[[#This Row],[Shortname]], Comp[], 10, FALSE)</f>
        <v>0</v>
      </c>
      <c r="N819">
        <f>VLOOKUP(Table9[[#This Row],[Shortname]], Comp[], 11, FALSE)</f>
        <v>8.1999999999999993</v>
      </c>
      <c r="O819">
        <f>VLOOKUP(Table9[[#This Row],[Shortname]], Comp[],12, FALSE)</f>
        <v>0</v>
      </c>
      <c r="P819">
        <f>VLOOKUP(Table9[[#This Row],[Shortname]], Comp[], 13, FALSE)</f>
        <v>0</v>
      </c>
      <c r="Q819">
        <f>VLOOKUP(Table9[[#This Row],[Shortname]], Comp[], 14, FALSE)</f>
        <v>0</v>
      </c>
      <c r="R819">
        <f>VLOOKUP(Table9[[#This Row],[Shortname]], Comp[], 15, FALSE)</f>
        <v>0</v>
      </c>
      <c r="S819">
        <f>VLOOKUP(Table9[[#This Row],[Shortname]], Comp[], 16, FALSE)</f>
        <v>0</v>
      </c>
      <c r="T819">
        <f>VLOOKUP(Table9[[#This Row],[Shortname]], Comp[], 17, FALSE)</f>
        <v>0</v>
      </c>
      <c r="U819">
        <f>VLOOKUP(Table9[[#This Row],[Shortname]], Comp[], 18, FALSE)</f>
        <v>0</v>
      </c>
      <c r="V819">
        <f>VLOOKUP(Table9[[#This Row],[Shortname]], Comp[], 19, FALSE)</f>
        <v>0</v>
      </c>
      <c r="W819">
        <f>VLOOKUP(Table9[[#This Row],[Shortname]], Comp[], 20, FALSE)</f>
        <v>0</v>
      </c>
      <c r="X819">
        <f>VLOOKUP(Table9[[#This Row],[Shortname]], Comp[], 21, FALSE)</f>
        <v>0</v>
      </c>
      <c r="Y819">
        <f>VLOOKUP(Table9[[#This Row],[Shortname]], Comp[], 22, FALSE)</f>
        <v>0</v>
      </c>
      <c r="Z819">
        <f>VLOOKUP(Table9[[#This Row],[Shortname]], Comp[], 23, FALSE)</f>
        <v>0</v>
      </c>
      <c r="AA819">
        <f>VLOOKUP(Table9[[#This Row],[Shortname]], Comp[], 24, FALSE)</f>
        <v>0</v>
      </c>
      <c r="AB819">
        <f>VLOOKUP(Table9[[#This Row],[Shortname]], Comp[], 25, FALSE)</f>
        <v>0</v>
      </c>
      <c r="AC819">
        <f>VLOOKUP(Table9[[#This Row],[Shortname]], Comp[], 26, FALSE)</f>
        <v>0</v>
      </c>
      <c r="AD819">
        <f>VLOOKUP(Table9[[#This Row],[Shortname]], Comp[], 27, FALSE)</f>
        <v>0</v>
      </c>
      <c r="AE819">
        <f>VLOOKUP(Table9[[#This Row],[Shortname]], Comp[], 28, FALSE)</f>
        <v>0</v>
      </c>
      <c r="AF819">
        <f>VLOOKUP(Table9[[#This Row],[Shortname]], Comp[], 29, FALSE)</f>
        <v>0</v>
      </c>
      <c r="AG819">
        <f>VLOOKUP(Table9[[#This Row],[Shortname]], Comp[], 30, FALSE)</f>
        <v>0</v>
      </c>
      <c r="AH819">
        <f>VLOOKUP(Table9[[#This Row],[Shortname]], Comp[], 31, FALSE)</f>
        <v>0</v>
      </c>
    </row>
    <row r="820" spans="1:34" x14ac:dyDescent="0.3">
      <c r="A820" t="s">
        <v>4384</v>
      </c>
      <c r="B820" t="s">
        <v>4385</v>
      </c>
      <c r="C820" t="s">
        <v>4301</v>
      </c>
      <c r="D820">
        <v>396</v>
      </c>
      <c r="E820">
        <v>600</v>
      </c>
      <c r="F820">
        <v>1E-4</v>
      </c>
      <c r="G820">
        <v>1</v>
      </c>
      <c r="H820" t="s">
        <v>6878</v>
      </c>
      <c r="I820">
        <f>VLOOKUP(Table9[[#This Row],[Shortname]], Comp[], 6, FALSE)</f>
        <v>667</v>
      </c>
      <c r="J820" s="14">
        <f>VLOOKUP(Table9[[#This Row],[Shortname]], Comp[], 7, FALSE)</f>
        <v>82.9</v>
      </c>
      <c r="K820">
        <f>VLOOKUP(Table9[[#This Row],[Shortname]], Comp[], 8, FALSE)</f>
        <v>0</v>
      </c>
      <c r="L820">
        <f>VLOOKUP(Table9[[#This Row],[Shortname]], Comp[], 9, FALSE)</f>
        <v>8.9</v>
      </c>
      <c r="M820">
        <f>VLOOKUP(Table9[[#This Row],[Shortname]], Comp[], 10, FALSE)</f>
        <v>0</v>
      </c>
      <c r="N820">
        <f>VLOOKUP(Table9[[#This Row],[Shortname]], Comp[], 11, FALSE)</f>
        <v>8.1999999999999993</v>
      </c>
      <c r="O820">
        <f>VLOOKUP(Table9[[#This Row],[Shortname]], Comp[],12, FALSE)</f>
        <v>0</v>
      </c>
      <c r="P820">
        <f>VLOOKUP(Table9[[#This Row],[Shortname]], Comp[], 13, FALSE)</f>
        <v>0</v>
      </c>
      <c r="Q820">
        <f>VLOOKUP(Table9[[#This Row],[Shortname]], Comp[], 14, FALSE)</f>
        <v>0</v>
      </c>
      <c r="R820">
        <f>VLOOKUP(Table9[[#This Row],[Shortname]], Comp[], 15, FALSE)</f>
        <v>0</v>
      </c>
      <c r="S820">
        <f>VLOOKUP(Table9[[#This Row],[Shortname]], Comp[], 16, FALSE)</f>
        <v>0</v>
      </c>
      <c r="T820">
        <f>VLOOKUP(Table9[[#This Row],[Shortname]], Comp[], 17, FALSE)</f>
        <v>0</v>
      </c>
      <c r="U820">
        <f>VLOOKUP(Table9[[#This Row],[Shortname]], Comp[], 18, FALSE)</f>
        <v>0</v>
      </c>
      <c r="V820">
        <f>VLOOKUP(Table9[[#This Row],[Shortname]], Comp[], 19, FALSE)</f>
        <v>0</v>
      </c>
      <c r="W820">
        <f>VLOOKUP(Table9[[#This Row],[Shortname]], Comp[], 20, FALSE)</f>
        <v>0</v>
      </c>
      <c r="X820">
        <f>VLOOKUP(Table9[[#This Row],[Shortname]], Comp[], 21, FALSE)</f>
        <v>0</v>
      </c>
      <c r="Y820">
        <f>VLOOKUP(Table9[[#This Row],[Shortname]], Comp[], 22, FALSE)</f>
        <v>0</v>
      </c>
      <c r="Z820">
        <f>VLOOKUP(Table9[[#This Row],[Shortname]], Comp[], 23, FALSE)</f>
        <v>0</v>
      </c>
      <c r="AA820">
        <f>VLOOKUP(Table9[[#This Row],[Shortname]], Comp[], 24, FALSE)</f>
        <v>0</v>
      </c>
      <c r="AB820">
        <f>VLOOKUP(Table9[[#This Row],[Shortname]], Comp[], 25, FALSE)</f>
        <v>0</v>
      </c>
      <c r="AC820">
        <f>VLOOKUP(Table9[[#This Row],[Shortname]], Comp[], 26, FALSE)</f>
        <v>0</v>
      </c>
      <c r="AD820">
        <f>VLOOKUP(Table9[[#This Row],[Shortname]], Comp[], 27, FALSE)</f>
        <v>0</v>
      </c>
      <c r="AE820">
        <f>VLOOKUP(Table9[[#This Row],[Shortname]], Comp[], 28, FALSE)</f>
        <v>0</v>
      </c>
      <c r="AF820">
        <f>VLOOKUP(Table9[[#This Row],[Shortname]], Comp[], 29, FALSE)</f>
        <v>0</v>
      </c>
      <c r="AG820">
        <f>VLOOKUP(Table9[[#This Row],[Shortname]], Comp[], 30, FALSE)</f>
        <v>0</v>
      </c>
      <c r="AH820">
        <f>VLOOKUP(Table9[[#This Row],[Shortname]], Comp[], 31, FALSE)</f>
        <v>0</v>
      </c>
    </row>
    <row r="821" spans="1:34" x14ac:dyDescent="0.3">
      <c r="A821" t="s">
        <v>4384</v>
      </c>
      <c r="B821" t="s">
        <v>4385</v>
      </c>
      <c r="C821" t="s">
        <v>4301</v>
      </c>
      <c r="D821">
        <v>321</v>
      </c>
      <c r="E821">
        <v>900</v>
      </c>
      <c r="F821">
        <v>1E-4</v>
      </c>
      <c r="G821">
        <v>1</v>
      </c>
      <c r="H821" t="s">
        <v>6878</v>
      </c>
      <c r="I821">
        <f>VLOOKUP(Table9[[#This Row],[Shortname]], Comp[], 6, FALSE)</f>
        <v>667</v>
      </c>
      <c r="J821" s="14">
        <f>VLOOKUP(Table9[[#This Row],[Shortname]], Comp[], 7, FALSE)</f>
        <v>82.9</v>
      </c>
      <c r="K821">
        <f>VLOOKUP(Table9[[#This Row],[Shortname]], Comp[], 8, FALSE)</f>
        <v>0</v>
      </c>
      <c r="L821">
        <f>VLOOKUP(Table9[[#This Row],[Shortname]], Comp[], 9, FALSE)</f>
        <v>8.9</v>
      </c>
      <c r="M821">
        <f>VLOOKUP(Table9[[#This Row],[Shortname]], Comp[], 10, FALSE)</f>
        <v>0</v>
      </c>
      <c r="N821">
        <f>VLOOKUP(Table9[[#This Row],[Shortname]], Comp[], 11, FALSE)</f>
        <v>8.1999999999999993</v>
      </c>
      <c r="O821">
        <f>VLOOKUP(Table9[[#This Row],[Shortname]], Comp[],12, FALSE)</f>
        <v>0</v>
      </c>
      <c r="P821">
        <f>VLOOKUP(Table9[[#This Row],[Shortname]], Comp[], 13, FALSE)</f>
        <v>0</v>
      </c>
      <c r="Q821">
        <f>VLOOKUP(Table9[[#This Row],[Shortname]], Comp[], 14, FALSE)</f>
        <v>0</v>
      </c>
      <c r="R821">
        <f>VLOOKUP(Table9[[#This Row],[Shortname]], Comp[], 15, FALSE)</f>
        <v>0</v>
      </c>
      <c r="S821">
        <f>VLOOKUP(Table9[[#This Row],[Shortname]], Comp[], 16, FALSE)</f>
        <v>0</v>
      </c>
      <c r="T821">
        <f>VLOOKUP(Table9[[#This Row],[Shortname]], Comp[], 17, FALSE)</f>
        <v>0</v>
      </c>
      <c r="U821">
        <f>VLOOKUP(Table9[[#This Row],[Shortname]], Comp[], 18, FALSE)</f>
        <v>0</v>
      </c>
      <c r="V821">
        <f>VLOOKUP(Table9[[#This Row],[Shortname]], Comp[], 19, FALSE)</f>
        <v>0</v>
      </c>
      <c r="W821">
        <f>VLOOKUP(Table9[[#This Row],[Shortname]], Comp[], 20, FALSE)</f>
        <v>0</v>
      </c>
      <c r="X821">
        <f>VLOOKUP(Table9[[#This Row],[Shortname]], Comp[], 21, FALSE)</f>
        <v>0</v>
      </c>
      <c r="Y821">
        <f>VLOOKUP(Table9[[#This Row],[Shortname]], Comp[], 22, FALSE)</f>
        <v>0</v>
      </c>
      <c r="Z821">
        <f>VLOOKUP(Table9[[#This Row],[Shortname]], Comp[], 23, FALSE)</f>
        <v>0</v>
      </c>
      <c r="AA821">
        <f>VLOOKUP(Table9[[#This Row],[Shortname]], Comp[], 24, FALSE)</f>
        <v>0</v>
      </c>
      <c r="AB821">
        <f>VLOOKUP(Table9[[#This Row],[Shortname]], Comp[], 25, FALSE)</f>
        <v>0</v>
      </c>
      <c r="AC821">
        <f>VLOOKUP(Table9[[#This Row],[Shortname]], Comp[], 26, FALSE)</f>
        <v>0</v>
      </c>
      <c r="AD821">
        <f>VLOOKUP(Table9[[#This Row],[Shortname]], Comp[], 27, FALSE)</f>
        <v>0</v>
      </c>
      <c r="AE821">
        <f>VLOOKUP(Table9[[#This Row],[Shortname]], Comp[], 28, FALSE)</f>
        <v>0</v>
      </c>
      <c r="AF821">
        <f>VLOOKUP(Table9[[#This Row],[Shortname]], Comp[], 29, FALSE)</f>
        <v>0</v>
      </c>
      <c r="AG821">
        <f>VLOOKUP(Table9[[#This Row],[Shortname]], Comp[], 30, FALSE)</f>
        <v>0</v>
      </c>
      <c r="AH821">
        <f>VLOOKUP(Table9[[#This Row],[Shortname]], Comp[], 31, FALSE)</f>
        <v>0</v>
      </c>
    </row>
    <row r="822" spans="1:34" x14ac:dyDescent="0.3">
      <c r="A822" t="s">
        <v>4384</v>
      </c>
      <c r="B822" t="s">
        <v>4385</v>
      </c>
      <c r="C822" t="s">
        <v>4301</v>
      </c>
      <c r="D822">
        <v>66</v>
      </c>
      <c r="E822">
        <v>1050</v>
      </c>
      <c r="F822">
        <v>1E-4</v>
      </c>
      <c r="G822">
        <v>1</v>
      </c>
      <c r="H822" t="s">
        <v>6878</v>
      </c>
      <c r="I822">
        <f>VLOOKUP(Table9[[#This Row],[Shortname]], Comp[], 6, FALSE)</f>
        <v>667</v>
      </c>
      <c r="J822" s="14">
        <f>VLOOKUP(Table9[[#This Row],[Shortname]], Comp[], 7, FALSE)</f>
        <v>82.9</v>
      </c>
      <c r="K822">
        <f>VLOOKUP(Table9[[#This Row],[Shortname]], Comp[], 8, FALSE)</f>
        <v>0</v>
      </c>
      <c r="L822">
        <f>VLOOKUP(Table9[[#This Row],[Shortname]], Comp[], 9, FALSE)</f>
        <v>8.9</v>
      </c>
      <c r="M822">
        <f>VLOOKUP(Table9[[#This Row],[Shortname]], Comp[], 10, FALSE)</f>
        <v>0</v>
      </c>
      <c r="N822">
        <f>VLOOKUP(Table9[[#This Row],[Shortname]], Comp[], 11, FALSE)</f>
        <v>8.1999999999999993</v>
      </c>
      <c r="O822">
        <f>VLOOKUP(Table9[[#This Row],[Shortname]], Comp[],12, FALSE)</f>
        <v>0</v>
      </c>
      <c r="P822">
        <f>VLOOKUP(Table9[[#This Row],[Shortname]], Comp[], 13, FALSE)</f>
        <v>0</v>
      </c>
      <c r="Q822">
        <f>VLOOKUP(Table9[[#This Row],[Shortname]], Comp[], 14, FALSE)</f>
        <v>0</v>
      </c>
      <c r="R822">
        <f>VLOOKUP(Table9[[#This Row],[Shortname]], Comp[], 15, FALSE)</f>
        <v>0</v>
      </c>
      <c r="S822">
        <f>VLOOKUP(Table9[[#This Row],[Shortname]], Comp[], 16, FALSE)</f>
        <v>0</v>
      </c>
      <c r="T822">
        <f>VLOOKUP(Table9[[#This Row],[Shortname]], Comp[], 17, FALSE)</f>
        <v>0</v>
      </c>
      <c r="U822">
        <f>VLOOKUP(Table9[[#This Row],[Shortname]], Comp[], 18, FALSE)</f>
        <v>0</v>
      </c>
      <c r="V822">
        <f>VLOOKUP(Table9[[#This Row],[Shortname]], Comp[], 19, FALSE)</f>
        <v>0</v>
      </c>
      <c r="W822">
        <f>VLOOKUP(Table9[[#This Row],[Shortname]], Comp[], 20, FALSE)</f>
        <v>0</v>
      </c>
      <c r="X822">
        <f>VLOOKUP(Table9[[#This Row],[Shortname]], Comp[], 21, FALSE)</f>
        <v>0</v>
      </c>
      <c r="Y822">
        <f>VLOOKUP(Table9[[#This Row],[Shortname]], Comp[], 22, FALSE)</f>
        <v>0</v>
      </c>
      <c r="Z822">
        <f>VLOOKUP(Table9[[#This Row],[Shortname]], Comp[], 23, FALSE)</f>
        <v>0</v>
      </c>
      <c r="AA822">
        <f>VLOOKUP(Table9[[#This Row],[Shortname]], Comp[], 24, FALSE)</f>
        <v>0</v>
      </c>
      <c r="AB822">
        <f>VLOOKUP(Table9[[#This Row],[Shortname]], Comp[], 25, FALSE)</f>
        <v>0</v>
      </c>
      <c r="AC822">
        <f>VLOOKUP(Table9[[#This Row],[Shortname]], Comp[], 26, FALSE)</f>
        <v>0</v>
      </c>
      <c r="AD822">
        <f>VLOOKUP(Table9[[#This Row],[Shortname]], Comp[], 27, FALSE)</f>
        <v>0</v>
      </c>
      <c r="AE822">
        <f>VLOOKUP(Table9[[#This Row],[Shortname]], Comp[], 28, FALSE)</f>
        <v>0</v>
      </c>
      <c r="AF822">
        <f>VLOOKUP(Table9[[#This Row],[Shortname]], Comp[], 29, FALSE)</f>
        <v>0</v>
      </c>
      <c r="AG822">
        <f>VLOOKUP(Table9[[#This Row],[Shortname]], Comp[], 30, FALSE)</f>
        <v>0</v>
      </c>
      <c r="AH822">
        <f>VLOOKUP(Table9[[#This Row],[Shortname]], Comp[], 31, FALSE)</f>
        <v>0</v>
      </c>
    </row>
    <row r="823" spans="1:34" x14ac:dyDescent="0.3">
      <c r="A823" t="s">
        <v>1488</v>
      </c>
      <c r="B823" t="s">
        <v>4474</v>
      </c>
      <c r="C823" t="s">
        <v>4468</v>
      </c>
      <c r="D823">
        <v>580</v>
      </c>
      <c r="E823">
        <v>600</v>
      </c>
      <c r="F823">
        <v>2.9999999999999997E-4</v>
      </c>
      <c r="G823">
        <v>-1</v>
      </c>
      <c r="H823" t="s">
        <v>6855</v>
      </c>
      <c r="I823">
        <f>VLOOKUP(Table9[[#This Row],[Shortname]], Comp[], 6, FALSE)</f>
        <v>190</v>
      </c>
      <c r="J823" s="14">
        <f>VLOOKUP(Table9[[#This Row],[Shortname]], Comp[], 7, FALSE)</f>
        <v>79.98</v>
      </c>
      <c r="K823">
        <f>VLOOKUP(Table9[[#This Row],[Shortname]], Comp[], 8, FALSE)</f>
        <v>0</v>
      </c>
      <c r="L823">
        <f>VLOOKUP(Table9[[#This Row],[Shortname]], Comp[], 9, FALSE)</f>
        <v>9</v>
      </c>
      <c r="M823">
        <f>VLOOKUP(Table9[[#This Row],[Shortname]], Comp[], 10, FALSE)</f>
        <v>0</v>
      </c>
      <c r="N823">
        <f>VLOOKUP(Table9[[#This Row],[Shortname]], Comp[], 11, FALSE)</f>
        <v>5</v>
      </c>
      <c r="O823">
        <f>VLOOKUP(Table9[[#This Row],[Shortname]], Comp[],12, FALSE)</f>
        <v>0</v>
      </c>
      <c r="P823">
        <f>VLOOKUP(Table9[[#This Row],[Shortname]], Comp[], 13, FALSE)</f>
        <v>2</v>
      </c>
      <c r="Q823">
        <f>VLOOKUP(Table9[[#This Row],[Shortname]], Comp[], 14, FALSE)</f>
        <v>0</v>
      </c>
      <c r="R823">
        <f>VLOOKUP(Table9[[#This Row],[Shortname]], Comp[], 15, FALSE)</f>
        <v>0</v>
      </c>
      <c r="S823">
        <f>VLOOKUP(Table9[[#This Row],[Shortname]], Comp[], 16, FALSE)</f>
        <v>4</v>
      </c>
      <c r="T823">
        <f>VLOOKUP(Table9[[#This Row],[Shortname]], Comp[], 17, FALSE)</f>
        <v>0</v>
      </c>
      <c r="U823">
        <f>VLOOKUP(Table9[[#This Row],[Shortname]], Comp[], 18, FALSE)</f>
        <v>0</v>
      </c>
      <c r="V823">
        <f>VLOOKUP(Table9[[#This Row],[Shortname]], Comp[], 19, FALSE)</f>
        <v>0.02</v>
      </c>
      <c r="W823">
        <f>VLOOKUP(Table9[[#This Row],[Shortname]], Comp[], 20, FALSE)</f>
        <v>0</v>
      </c>
      <c r="X823">
        <f>VLOOKUP(Table9[[#This Row],[Shortname]], Comp[], 21, FALSE)</f>
        <v>0</v>
      </c>
      <c r="Y823">
        <f>VLOOKUP(Table9[[#This Row],[Shortname]], Comp[], 22, FALSE)</f>
        <v>0</v>
      </c>
      <c r="Z823">
        <f>VLOOKUP(Table9[[#This Row],[Shortname]], Comp[], 23, FALSE)</f>
        <v>0</v>
      </c>
      <c r="AA823">
        <f>VLOOKUP(Table9[[#This Row],[Shortname]], Comp[], 24, FALSE)</f>
        <v>0</v>
      </c>
      <c r="AB823">
        <f>VLOOKUP(Table9[[#This Row],[Shortname]], Comp[], 25, FALSE)</f>
        <v>0</v>
      </c>
      <c r="AC823">
        <f>VLOOKUP(Table9[[#This Row],[Shortname]], Comp[], 26, FALSE)</f>
        <v>0</v>
      </c>
      <c r="AD823">
        <f>VLOOKUP(Table9[[#This Row],[Shortname]], Comp[], 27, FALSE)</f>
        <v>0</v>
      </c>
      <c r="AE823">
        <f>VLOOKUP(Table9[[#This Row],[Shortname]], Comp[], 28, FALSE)</f>
        <v>0</v>
      </c>
      <c r="AF823">
        <f>VLOOKUP(Table9[[#This Row],[Shortname]], Comp[], 29, FALSE)</f>
        <v>0</v>
      </c>
      <c r="AG823">
        <f>VLOOKUP(Table9[[#This Row],[Shortname]], Comp[], 30, FALSE)</f>
        <v>0</v>
      </c>
      <c r="AH823">
        <f>VLOOKUP(Table9[[#This Row],[Shortname]], Comp[], 31, FALSE)</f>
        <v>0</v>
      </c>
    </row>
    <row r="824" spans="1:34" x14ac:dyDescent="0.3">
      <c r="A824" t="s">
        <v>1488</v>
      </c>
      <c r="B824" t="s">
        <v>4474</v>
      </c>
      <c r="C824" t="s">
        <v>4468</v>
      </c>
      <c r="D824">
        <v>515</v>
      </c>
      <c r="E824">
        <v>800</v>
      </c>
      <c r="F824">
        <v>2.9999999999999997E-4</v>
      </c>
      <c r="G824">
        <v>-1</v>
      </c>
      <c r="H824" t="s">
        <v>6855</v>
      </c>
      <c r="I824">
        <f>VLOOKUP(Table9[[#This Row],[Shortname]], Comp[], 6, FALSE)</f>
        <v>190</v>
      </c>
      <c r="J824" s="14">
        <f>VLOOKUP(Table9[[#This Row],[Shortname]], Comp[], 7, FALSE)</f>
        <v>79.98</v>
      </c>
      <c r="K824">
        <f>VLOOKUP(Table9[[#This Row],[Shortname]], Comp[], 8, FALSE)</f>
        <v>0</v>
      </c>
      <c r="L824">
        <f>VLOOKUP(Table9[[#This Row],[Shortname]], Comp[], 9, FALSE)</f>
        <v>9</v>
      </c>
      <c r="M824">
        <f>VLOOKUP(Table9[[#This Row],[Shortname]], Comp[], 10, FALSE)</f>
        <v>0</v>
      </c>
      <c r="N824">
        <f>VLOOKUP(Table9[[#This Row],[Shortname]], Comp[], 11, FALSE)</f>
        <v>5</v>
      </c>
      <c r="O824">
        <f>VLOOKUP(Table9[[#This Row],[Shortname]], Comp[],12, FALSE)</f>
        <v>0</v>
      </c>
      <c r="P824">
        <f>VLOOKUP(Table9[[#This Row],[Shortname]], Comp[], 13, FALSE)</f>
        <v>2</v>
      </c>
      <c r="Q824">
        <f>VLOOKUP(Table9[[#This Row],[Shortname]], Comp[], 14, FALSE)</f>
        <v>0</v>
      </c>
      <c r="R824">
        <f>VLOOKUP(Table9[[#This Row],[Shortname]], Comp[], 15, FALSE)</f>
        <v>0</v>
      </c>
      <c r="S824">
        <f>VLOOKUP(Table9[[#This Row],[Shortname]], Comp[], 16, FALSE)</f>
        <v>4</v>
      </c>
      <c r="T824">
        <f>VLOOKUP(Table9[[#This Row],[Shortname]], Comp[], 17, FALSE)</f>
        <v>0</v>
      </c>
      <c r="U824">
        <f>VLOOKUP(Table9[[#This Row],[Shortname]], Comp[], 18, FALSE)</f>
        <v>0</v>
      </c>
      <c r="V824">
        <f>VLOOKUP(Table9[[#This Row],[Shortname]], Comp[], 19, FALSE)</f>
        <v>0.02</v>
      </c>
      <c r="W824">
        <f>VLOOKUP(Table9[[#This Row],[Shortname]], Comp[], 20, FALSE)</f>
        <v>0</v>
      </c>
      <c r="X824">
        <f>VLOOKUP(Table9[[#This Row],[Shortname]], Comp[], 21, FALSE)</f>
        <v>0</v>
      </c>
      <c r="Y824">
        <f>VLOOKUP(Table9[[#This Row],[Shortname]], Comp[], 22, FALSE)</f>
        <v>0</v>
      </c>
      <c r="Z824">
        <f>VLOOKUP(Table9[[#This Row],[Shortname]], Comp[], 23, FALSE)</f>
        <v>0</v>
      </c>
      <c r="AA824">
        <f>VLOOKUP(Table9[[#This Row],[Shortname]], Comp[], 24, FALSE)</f>
        <v>0</v>
      </c>
      <c r="AB824">
        <f>VLOOKUP(Table9[[#This Row],[Shortname]], Comp[], 25, FALSE)</f>
        <v>0</v>
      </c>
      <c r="AC824">
        <f>VLOOKUP(Table9[[#This Row],[Shortname]], Comp[], 26, FALSE)</f>
        <v>0</v>
      </c>
      <c r="AD824">
        <f>VLOOKUP(Table9[[#This Row],[Shortname]], Comp[], 27, FALSE)</f>
        <v>0</v>
      </c>
      <c r="AE824">
        <f>VLOOKUP(Table9[[#This Row],[Shortname]], Comp[], 28, FALSE)</f>
        <v>0</v>
      </c>
      <c r="AF824">
        <f>VLOOKUP(Table9[[#This Row],[Shortname]], Comp[], 29, FALSE)</f>
        <v>0</v>
      </c>
      <c r="AG824">
        <f>VLOOKUP(Table9[[#This Row],[Shortname]], Comp[], 30, FALSE)</f>
        <v>0</v>
      </c>
      <c r="AH824">
        <f>VLOOKUP(Table9[[#This Row],[Shortname]], Comp[], 31, FALSE)</f>
        <v>0</v>
      </c>
    </row>
    <row r="825" spans="1:34" x14ac:dyDescent="0.3">
      <c r="A825" t="s">
        <v>1488</v>
      </c>
      <c r="B825" t="s">
        <v>4474</v>
      </c>
      <c r="C825" t="s">
        <v>4468</v>
      </c>
      <c r="D825">
        <v>439</v>
      </c>
      <c r="E825">
        <v>700</v>
      </c>
      <c r="F825">
        <v>2.9999999999999997E-4</v>
      </c>
      <c r="G825">
        <v>-1</v>
      </c>
      <c r="H825" t="s">
        <v>6855</v>
      </c>
      <c r="I825">
        <f>VLOOKUP(Table9[[#This Row],[Shortname]], Comp[], 6, FALSE)</f>
        <v>190</v>
      </c>
      <c r="J825" s="14">
        <f>VLOOKUP(Table9[[#This Row],[Shortname]], Comp[], 7, FALSE)</f>
        <v>79.98</v>
      </c>
      <c r="K825">
        <f>VLOOKUP(Table9[[#This Row],[Shortname]], Comp[], 8, FALSE)</f>
        <v>0</v>
      </c>
      <c r="L825">
        <f>VLOOKUP(Table9[[#This Row],[Shortname]], Comp[], 9, FALSE)</f>
        <v>9</v>
      </c>
      <c r="M825">
        <f>VLOOKUP(Table9[[#This Row],[Shortname]], Comp[], 10, FALSE)</f>
        <v>0</v>
      </c>
      <c r="N825">
        <f>VLOOKUP(Table9[[#This Row],[Shortname]], Comp[], 11, FALSE)</f>
        <v>5</v>
      </c>
      <c r="O825">
        <f>VLOOKUP(Table9[[#This Row],[Shortname]], Comp[],12, FALSE)</f>
        <v>0</v>
      </c>
      <c r="P825">
        <f>VLOOKUP(Table9[[#This Row],[Shortname]], Comp[], 13, FALSE)</f>
        <v>2</v>
      </c>
      <c r="Q825">
        <f>VLOOKUP(Table9[[#This Row],[Shortname]], Comp[], 14, FALSE)</f>
        <v>0</v>
      </c>
      <c r="R825">
        <f>VLOOKUP(Table9[[#This Row],[Shortname]], Comp[], 15, FALSE)</f>
        <v>0</v>
      </c>
      <c r="S825">
        <f>VLOOKUP(Table9[[#This Row],[Shortname]], Comp[], 16, FALSE)</f>
        <v>4</v>
      </c>
      <c r="T825">
        <f>VLOOKUP(Table9[[#This Row],[Shortname]], Comp[], 17, FALSE)</f>
        <v>0</v>
      </c>
      <c r="U825">
        <f>VLOOKUP(Table9[[#This Row],[Shortname]], Comp[], 18, FALSE)</f>
        <v>0</v>
      </c>
      <c r="V825">
        <f>VLOOKUP(Table9[[#This Row],[Shortname]], Comp[], 19, FALSE)</f>
        <v>0.02</v>
      </c>
      <c r="W825">
        <f>VLOOKUP(Table9[[#This Row],[Shortname]], Comp[], 20, FALSE)</f>
        <v>0</v>
      </c>
      <c r="X825">
        <f>VLOOKUP(Table9[[#This Row],[Shortname]], Comp[], 21, FALSE)</f>
        <v>0</v>
      </c>
      <c r="Y825">
        <f>VLOOKUP(Table9[[#This Row],[Shortname]], Comp[], 22, FALSE)</f>
        <v>0</v>
      </c>
      <c r="Z825">
        <f>VLOOKUP(Table9[[#This Row],[Shortname]], Comp[], 23, FALSE)</f>
        <v>0</v>
      </c>
      <c r="AA825">
        <f>VLOOKUP(Table9[[#This Row],[Shortname]], Comp[], 24, FALSE)</f>
        <v>0</v>
      </c>
      <c r="AB825">
        <f>VLOOKUP(Table9[[#This Row],[Shortname]], Comp[], 25, FALSE)</f>
        <v>0</v>
      </c>
      <c r="AC825">
        <f>VLOOKUP(Table9[[#This Row],[Shortname]], Comp[], 26, FALSE)</f>
        <v>0</v>
      </c>
      <c r="AD825">
        <f>VLOOKUP(Table9[[#This Row],[Shortname]], Comp[], 27, FALSE)</f>
        <v>0</v>
      </c>
      <c r="AE825">
        <f>VLOOKUP(Table9[[#This Row],[Shortname]], Comp[], 28, FALSE)</f>
        <v>0</v>
      </c>
      <c r="AF825">
        <f>VLOOKUP(Table9[[#This Row],[Shortname]], Comp[], 29, FALSE)</f>
        <v>0</v>
      </c>
      <c r="AG825">
        <f>VLOOKUP(Table9[[#This Row],[Shortname]], Comp[], 30, FALSE)</f>
        <v>0</v>
      </c>
      <c r="AH825">
        <f>VLOOKUP(Table9[[#This Row],[Shortname]], Comp[], 31, FALSE)</f>
        <v>0</v>
      </c>
    </row>
    <row r="826" spans="1:34" x14ac:dyDescent="0.3">
      <c r="A826" t="s">
        <v>1482</v>
      </c>
      <c r="B826" t="s">
        <v>4472</v>
      </c>
      <c r="C826" t="s">
        <v>4468</v>
      </c>
      <c r="D826">
        <v>628</v>
      </c>
      <c r="E826">
        <v>600</v>
      </c>
      <c r="F826">
        <v>2.9999999999999997E-4</v>
      </c>
      <c r="G826">
        <v>-1</v>
      </c>
      <c r="H826" t="s">
        <v>6855</v>
      </c>
      <c r="I826">
        <f>VLOOKUP(Table9[[#This Row],[Shortname]], Comp[], 6, FALSE)</f>
        <v>189</v>
      </c>
      <c r="J826" s="14">
        <f>VLOOKUP(Table9[[#This Row],[Shortname]], Comp[], 7, FALSE)</f>
        <v>79.98</v>
      </c>
      <c r="K826">
        <f>VLOOKUP(Table9[[#This Row],[Shortname]], Comp[], 8, FALSE)</f>
        <v>0</v>
      </c>
      <c r="L826">
        <f>VLOOKUP(Table9[[#This Row],[Shortname]], Comp[], 9, FALSE)</f>
        <v>9</v>
      </c>
      <c r="M826">
        <f>VLOOKUP(Table9[[#This Row],[Shortname]], Comp[], 10, FALSE)</f>
        <v>0</v>
      </c>
      <c r="N826">
        <f>VLOOKUP(Table9[[#This Row],[Shortname]], Comp[], 11, FALSE)</f>
        <v>7</v>
      </c>
      <c r="O826">
        <f>VLOOKUP(Table9[[#This Row],[Shortname]], Comp[],12, FALSE)</f>
        <v>0</v>
      </c>
      <c r="P826">
        <f>VLOOKUP(Table9[[#This Row],[Shortname]], Comp[], 13, FALSE)</f>
        <v>2</v>
      </c>
      <c r="Q826">
        <f>VLOOKUP(Table9[[#This Row],[Shortname]], Comp[], 14, FALSE)</f>
        <v>0</v>
      </c>
      <c r="R826">
        <f>VLOOKUP(Table9[[#This Row],[Shortname]], Comp[], 15, FALSE)</f>
        <v>0</v>
      </c>
      <c r="S826">
        <f>VLOOKUP(Table9[[#This Row],[Shortname]], Comp[], 16, FALSE)</f>
        <v>2</v>
      </c>
      <c r="T826">
        <f>VLOOKUP(Table9[[#This Row],[Shortname]], Comp[], 17, FALSE)</f>
        <v>0</v>
      </c>
      <c r="U826">
        <f>VLOOKUP(Table9[[#This Row],[Shortname]], Comp[], 18, FALSE)</f>
        <v>0</v>
      </c>
      <c r="V826">
        <f>VLOOKUP(Table9[[#This Row],[Shortname]], Comp[], 19, FALSE)</f>
        <v>0.02</v>
      </c>
      <c r="W826">
        <f>VLOOKUP(Table9[[#This Row],[Shortname]], Comp[], 20, FALSE)</f>
        <v>0</v>
      </c>
      <c r="X826">
        <f>VLOOKUP(Table9[[#This Row],[Shortname]], Comp[], 21, FALSE)</f>
        <v>0</v>
      </c>
      <c r="Y826">
        <f>VLOOKUP(Table9[[#This Row],[Shortname]], Comp[], 22, FALSE)</f>
        <v>0</v>
      </c>
      <c r="Z826">
        <f>VLOOKUP(Table9[[#This Row],[Shortname]], Comp[], 23, FALSE)</f>
        <v>0</v>
      </c>
      <c r="AA826">
        <f>VLOOKUP(Table9[[#This Row],[Shortname]], Comp[], 24, FALSE)</f>
        <v>0</v>
      </c>
      <c r="AB826">
        <f>VLOOKUP(Table9[[#This Row],[Shortname]], Comp[], 25, FALSE)</f>
        <v>0</v>
      </c>
      <c r="AC826">
        <f>VLOOKUP(Table9[[#This Row],[Shortname]], Comp[], 26, FALSE)</f>
        <v>0</v>
      </c>
      <c r="AD826">
        <f>VLOOKUP(Table9[[#This Row],[Shortname]], Comp[], 27, FALSE)</f>
        <v>0</v>
      </c>
      <c r="AE826">
        <f>VLOOKUP(Table9[[#This Row],[Shortname]], Comp[], 28, FALSE)</f>
        <v>0</v>
      </c>
      <c r="AF826">
        <f>VLOOKUP(Table9[[#This Row],[Shortname]], Comp[], 29, FALSE)</f>
        <v>0</v>
      </c>
      <c r="AG826">
        <f>VLOOKUP(Table9[[#This Row],[Shortname]], Comp[], 30, FALSE)</f>
        <v>0</v>
      </c>
      <c r="AH826">
        <f>VLOOKUP(Table9[[#This Row],[Shortname]], Comp[], 31, FALSE)</f>
        <v>0</v>
      </c>
    </row>
    <row r="827" spans="1:34" x14ac:dyDescent="0.3">
      <c r="A827" t="s">
        <v>1482</v>
      </c>
      <c r="B827" t="s">
        <v>4472</v>
      </c>
      <c r="C827" t="s">
        <v>4468</v>
      </c>
      <c r="D827">
        <v>540</v>
      </c>
      <c r="E827">
        <v>800</v>
      </c>
      <c r="F827">
        <v>2.9999999999999997E-4</v>
      </c>
      <c r="G827">
        <v>-1</v>
      </c>
      <c r="H827" t="s">
        <v>6855</v>
      </c>
      <c r="I827">
        <f>VLOOKUP(Table9[[#This Row],[Shortname]], Comp[], 6, FALSE)</f>
        <v>189</v>
      </c>
      <c r="J827" s="14">
        <f>VLOOKUP(Table9[[#This Row],[Shortname]], Comp[], 7, FALSE)</f>
        <v>79.98</v>
      </c>
      <c r="K827">
        <f>VLOOKUP(Table9[[#This Row],[Shortname]], Comp[], 8, FALSE)</f>
        <v>0</v>
      </c>
      <c r="L827">
        <f>VLOOKUP(Table9[[#This Row],[Shortname]], Comp[], 9, FALSE)</f>
        <v>9</v>
      </c>
      <c r="M827">
        <f>VLOOKUP(Table9[[#This Row],[Shortname]], Comp[], 10, FALSE)</f>
        <v>0</v>
      </c>
      <c r="N827">
        <f>VLOOKUP(Table9[[#This Row],[Shortname]], Comp[], 11, FALSE)</f>
        <v>7</v>
      </c>
      <c r="O827">
        <f>VLOOKUP(Table9[[#This Row],[Shortname]], Comp[],12, FALSE)</f>
        <v>0</v>
      </c>
      <c r="P827">
        <f>VLOOKUP(Table9[[#This Row],[Shortname]], Comp[], 13, FALSE)</f>
        <v>2</v>
      </c>
      <c r="Q827">
        <f>VLOOKUP(Table9[[#This Row],[Shortname]], Comp[], 14, FALSE)</f>
        <v>0</v>
      </c>
      <c r="R827">
        <f>VLOOKUP(Table9[[#This Row],[Shortname]], Comp[], 15, FALSE)</f>
        <v>0</v>
      </c>
      <c r="S827">
        <f>VLOOKUP(Table9[[#This Row],[Shortname]], Comp[], 16, FALSE)</f>
        <v>2</v>
      </c>
      <c r="T827">
        <f>VLOOKUP(Table9[[#This Row],[Shortname]], Comp[], 17, FALSE)</f>
        <v>0</v>
      </c>
      <c r="U827">
        <f>VLOOKUP(Table9[[#This Row],[Shortname]], Comp[], 18, FALSE)</f>
        <v>0</v>
      </c>
      <c r="V827">
        <f>VLOOKUP(Table9[[#This Row],[Shortname]], Comp[], 19, FALSE)</f>
        <v>0.02</v>
      </c>
      <c r="W827">
        <f>VLOOKUP(Table9[[#This Row],[Shortname]], Comp[], 20, FALSE)</f>
        <v>0</v>
      </c>
      <c r="X827">
        <f>VLOOKUP(Table9[[#This Row],[Shortname]], Comp[], 21, FALSE)</f>
        <v>0</v>
      </c>
      <c r="Y827">
        <f>VLOOKUP(Table9[[#This Row],[Shortname]], Comp[], 22, FALSE)</f>
        <v>0</v>
      </c>
      <c r="Z827">
        <f>VLOOKUP(Table9[[#This Row],[Shortname]], Comp[], 23, FALSE)</f>
        <v>0</v>
      </c>
      <c r="AA827">
        <f>VLOOKUP(Table9[[#This Row],[Shortname]], Comp[], 24, FALSE)</f>
        <v>0</v>
      </c>
      <c r="AB827">
        <f>VLOOKUP(Table9[[#This Row],[Shortname]], Comp[], 25, FALSE)</f>
        <v>0</v>
      </c>
      <c r="AC827">
        <f>VLOOKUP(Table9[[#This Row],[Shortname]], Comp[], 26, FALSE)</f>
        <v>0</v>
      </c>
      <c r="AD827">
        <f>VLOOKUP(Table9[[#This Row],[Shortname]], Comp[], 27, FALSE)</f>
        <v>0</v>
      </c>
      <c r="AE827">
        <f>VLOOKUP(Table9[[#This Row],[Shortname]], Comp[], 28, FALSE)</f>
        <v>0</v>
      </c>
      <c r="AF827">
        <f>VLOOKUP(Table9[[#This Row],[Shortname]], Comp[], 29, FALSE)</f>
        <v>0</v>
      </c>
      <c r="AG827">
        <f>VLOOKUP(Table9[[#This Row],[Shortname]], Comp[], 30, FALSE)</f>
        <v>0</v>
      </c>
      <c r="AH827">
        <f>VLOOKUP(Table9[[#This Row],[Shortname]], Comp[], 31, FALSE)</f>
        <v>0</v>
      </c>
    </row>
    <row r="828" spans="1:34" x14ac:dyDescent="0.3">
      <c r="A828" t="s">
        <v>1482</v>
      </c>
      <c r="B828" t="s">
        <v>4472</v>
      </c>
      <c r="C828" t="s">
        <v>4468</v>
      </c>
      <c r="D828">
        <v>453</v>
      </c>
      <c r="E828">
        <v>700</v>
      </c>
      <c r="F828">
        <v>2.9999999999999997E-4</v>
      </c>
      <c r="G828">
        <v>-1</v>
      </c>
      <c r="H828" t="s">
        <v>6855</v>
      </c>
      <c r="I828">
        <f>VLOOKUP(Table9[[#This Row],[Shortname]], Comp[], 6, FALSE)</f>
        <v>189</v>
      </c>
      <c r="J828" s="14">
        <f>VLOOKUP(Table9[[#This Row],[Shortname]], Comp[], 7, FALSE)</f>
        <v>79.98</v>
      </c>
      <c r="K828">
        <f>VLOOKUP(Table9[[#This Row],[Shortname]], Comp[], 8, FALSE)</f>
        <v>0</v>
      </c>
      <c r="L828">
        <f>VLOOKUP(Table9[[#This Row],[Shortname]], Comp[], 9, FALSE)</f>
        <v>9</v>
      </c>
      <c r="M828">
        <f>VLOOKUP(Table9[[#This Row],[Shortname]], Comp[], 10, FALSE)</f>
        <v>0</v>
      </c>
      <c r="N828">
        <f>VLOOKUP(Table9[[#This Row],[Shortname]], Comp[], 11, FALSE)</f>
        <v>7</v>
      </c>
      <c r="O828">
        <f>VLOOKUP(Table9[[#This Row],[Shortname]], Comp[],12, FALSE)</f>
        <v>0</v>
      </c>
      <c r="P828">
        <f>VLOOKUP(Table9[[#This Row],[Shortname]], Comp[], 13, FALSE)</f>
        <v>2</v>
      </c>
      <c r="Q828">
        <f>VLOOKUP(Table9[[#This Row],[Shortname]], Comp[], 14, FALSE)</f>
        <v>0</v>
      </c>
      <c r="R828">
        <f>VLOOKUP(Table9[[#This Row],[Shortname]], Comp[], 15, FALSE)</f>
        <v>0</v>
      </c>
      <c r="S828">
        <f>VLOOKUP(Table9[[#This Row],[Shortname]], Comp[], 16, FALSE)</f>
        <v>2</v>
      </c>
      <c r="T828">
        <f>VLOOKUP(Table9[[#This Row],[Shortname]], Comp[], 17, FALSE)</f>
        <v>0</v>
      </c>
      <c r="U828">
        <f>VLOOKUP(Table9[[#This Row],[Shortname]], Comp[], 18, FALSE)</f>
        <v>0</v>
      </c>
      <c r="V828">
        <f>VLOOKUP(Table9[[#This Row],[Shortname]], Comp[], 19, FALSE)</f>
        <v>0.02</v>
      </c>
      <c r="W828">
        <f>VLOOKUP(Table9[[#This Row],[Shortname]], Comp[], 20, FALSE)</f>
        <v>0</v>
      </c>
      <c r="X828">
        <f>VLOOKUP(Table9[[#This Row],[Shortname]], Comp[], 21, FALSE)</f>
        <v>0</v>
      </c>
      <c r="Y828">
        <f>VLOOKUP(Table9[[#This Row],[Shortname]], Comp[], 22, FALSE)</f>
        <v>0</v>
      </c>
      <c r="Z828">
        <f>VLOOKUP(Table9[[#This Row],[Shortname]], Comp[], 23, FALSE)</f>
        <v>0</v>
      </c>
      <c r="AA828">
        <f>VLOOKUP(Table9[[#This Row],[Shortname]], Comp[], 24, FALSE)</f>
        <v>0</v>
      </c>
      <c r="AB828">
        <f>VLOOKUP(Table9[[#This Row],[Shortname]], Comp[], 25, FALSE)</f>
        <v>0</v>
      </c>
      <c r="AC828">
        <f>VLOOKUP(Table9[[#This Row],[Shortname]], Comp[], 26, FALSE)</f>
        <v>0</v>
      </c>
      <c r="AD828">
        <f>VLOOKUP(Table9[[#This Row],[Shortname]], Comp[], 27, FALSE)</f>
        <v>0</v>
      </c>
      <c r="AE828">
        <f>VLOOKUP(Table9[[#This Row],[Shortname]], Comp[], 28, FALSE)</f>
        <v>0</v>
      </c>
      <c r="AF828">
        <f>VLOOKUP(Table9[[#This Row],[Shortname]], Comp[], 29, FALSE)</f>
        <v>0</v>
      </c>
      <c r="AG828">
        <f>VLOOKUP(Table9[[#This Row],[Shortname]], Comp[], 30, FALSE)</f>
        <v>0</v>
      </c>
      <c r="AH828">
        <f>VLOOKUP(Table9[[#This Row],[Shortname]], Comp[], 31, FALSE)</f>
        <v>0</v>
      </c>
    </row>
    <row r="829" spans="1:34" x14ac:dyDescent="0.3">
      <c r="A829" t="s">
        <v>4466</v>
      </c>
      <c r="B829" t="s">
        <v>4467</v>
      </c>
      <c r="C829" t="s">
        <v>4468</v>
      </c>
      <c r="D829">
        <v>651</v>
      </c>
      <c r="E829">
        <v>600</v>
      </c>
      <c r="F829">
        <v>2.9999999999999997E-4</v>
      </c>
      <c r="G829">
        <v>-1</v>
      </c>
      <c r="H829" t="s">
        <v>6855</v>
      </c>
      <c r="I829">
        <f>VLOOKUP(Table9[[#This Row],[Shortname]], Comp[], 6, FALSE)</f>
        <v>680</v>
      </c>
      <c r="J829" s="14">
        <f>VLOOKUP(Table9[[#This Row],[Shortname]], Comp[], 7, FALSE)</f>
        <v>79.98</v>
      </c>
      <c r="K829">
        <f>VLOOKUP(Table9[[#This Row],[Shortname]], Comp[], 8, FALSE)</f>
        <v>0</v>
      </c>
      <c r="L829">
        <f>VLOOKUP(Table9[[#This Row],[Shortname]], Comp[], 9, FALSE)</f>
        <v>9</v>
      </c>
      <c r="M829">
        <f>VLOOKUP(Table9[[#This Row],[Shortname]], Comp[], 10, FALSE)</f>
        <v>0</v>
      </c>
      <c r="N829">
        <f>VLOOKUP(Table9[[#This Row],[Shortname]], Comp[], 11, FALSE)</f>
        <v>9</v>
      </c>
      <c r="O829">
        <f>VLOOKUP(Table9[[#This Row],[Shortname]], Comp[],12, FALSE)</f>
        <v>0</v>
      </c>
      <c r="P829">
        <f>VLOOKUP(Table9[[#This Row],[Shortname]], Comp[], 13, FALSE)</f>
        <v>2</v>
      </c>
      <c r="Q829">
        <f>VLOOKUP(Table9[[#This Row],[Shortname]], Comp[], 14, FALSE)</f>
        <v>0</v>
      </c>
      <c r="R829">
        <f>VLOOKUP(Table9[[#This Row],[Shortname]], Comp[], 15, FALSE)</f>
        <v>0</v>
      </c>
      <c r="S829">
        <f>VLOOKUP(Table9[[#This Row],[Shortname]], Comp[], 16, FALSE)</f>
        <v>0</v>
      </c>
      <c r="T829">
        <f>VLOOKUP(Table9[[#This Row],[Shortname]], Comp[], 17, FALSE)</f>
        <v>0</v>
      </c>
      <c r="U829">
        <f>VLOOKUP(Table9[[#This Row],[Shortname]], Comp[], 18, FALSE)</f>
        <v>0</v>
      </c>
      <c r="V829">
        <f>VLOOKUP(Table9[[#This Row],[Shortname]], Comp[], 19, FALSE)</f>
        <v>0.02</v>
      </c>
      <c r="W829">
        <f>VLOOKUP(Table9[[#This Row],[Shortname]], Comp[], 20, FALSE)</f>
        <v>0</v>
      </c>
      <c r="X829">
        <f>VLOOKUP(Table9[[#This Row],[Shortname]], Comp[], 21, FALSE)</f>
        <v>0</v>
      </c>
      <c r="Y829">
        <f>VLOOKUP(Table9[[#This Row],[Shortname]], Comp[], 22, FALSE)</f>
        <v>0</v>
      </c>
      <c r="Z829">
        <f>VLOOKUP(Table9[[#This Row],[Shortname]], Comp[], 23, FALSE)</f>
        <v>0</v>
      </c>
      <c r="AA829">
        <f>VLOOKUP(Table9[[#This Row],[Shortname]], Comp[], 24, FALSE)</f>
        <v>0</v>
      </c>
      <c r="AB829">
        <f>VLOOKUP(Table9[[#This Row],[Shortname]], Comp[], 25, FALSE)</f>
        <v>0</v>
      </c>
      <c r="AC829">
        <f>VLOOKUP(Table9[[#This Row],[Shortname]], Comp[], 26, FALSE)</f>
        <v>0</v>
      </c>
      <c r="AD829">
        <f>VLOOKUP(Table9[[#This Row],[Shortname]], Comp[], 27, FALSE)</f>
        <v>0</v>
      </c>
      <c r="AE829">
        <f>VLOOKUP(Table9[[#This Row],[Shortname]], Comp[], 28, FALSE)</f>
        <v>0</v>
      </c>
      <c r="AF829">
        <f>VLOOKUP(Table9[[#This Row],[Shortname]], Comp[], 29, FALSE)</f>
        <v>0</v>
      </c>
      <c r="AG829">
        <f>VLOOKUP(Table9[[#This Row],[Shortname]], Comp[], 30, FALSE)</f>
        <v>0</v>
      </c>
      <c r="AH829">
        <f>VLOOKUP(Table9[[#This Row],[Shortname]], Comp[], 31, FALSE)</f>
        <v>0</v>
      </c>
    </row>
    <row r="830" spans="1:34" x14ac:dyDescent="0.3">
      <c r="A830" t="s">
        <v>4466</v>
      </c>
      <c r="B830" t="s">
        <v>4467</v>
      </c>
      <c r="C830" t="s">
        <v>4468</v>
      </c>
      <c r="D830">
        <v>548</v>
      </c>
      <c r="E830">
        <v>800</v>
      </c>
      <c r="F830">
        <v>2.9999999999999997E-4</v>
      </c>
      <c r="G830">
        <v>-1</v>
      </c>
      <c r="H830" t="s">
        <v>6855</v>
      </c>
      <c r="I830">
        <f>VLOOKUP(Table9[[#This Row],[Shortname]], Comp[], 6, FALSE)</f>
        <v>680</v>
      </c>
      <c r="J830" s="14">
        <f>VLOOKUP(Table9[[#This Row],[Shortname]], Comp[], 7, FALSE)</f>
        <v>79.98</v>
      </c>
      <c r="K830">
        <f>VLOOKUP(Table9[[#This Row],[Shortname]], Comp[], 8, FALSE)</f>
        <v>0</v>
      </c>
      <c r="L830">
        <f>VLOOKUP(Table9[[#This Row],[Shortname]], Comp[], 9, FALSE)</f>
        <v>9</v>
      </c>
      <c r="M830">
        <f>VLOOKUP(Table9[[#This Row],[Shortname]], Comp[], 10, FALSE)</f>
        <v>0</v>
      </c>
      <c r="N830">
        <f>VLOOKUP(Table9[[#This Row],[Shortname]], Comp[], 11, FALSE)</f>
        <v>9</v>
      </c>
      <c r="O830">
        <f>VLOOKUP(Table9[[#This Row],[Shortname]], Comp[],12, FALSE)</f>
        <v>0</v>
      </c>
      <c r="P830">
        <f>VLOOKUP(Table9[[#This Row],[Shortname]], Comp[], 13, FALSE)</f>
        <v>2</v>
      </c>
      <c r="Q830">
        <f>VLOOKUP(Table9[[#This Row],[Shortname]], Comp[], 14, FALSE)</f>
        <v>0</v>
      </c>
      <c r="R830">
        <f>VLOOKUP(Table9[[#This Row],[Shortname]], Comp[], 15, FALSE)</f>
        <v>0</v>
      </c>
      <c r="S830">
        <f>VLOOKUP(Table9[[#This Row],[Shortname]], Comp[], 16, FALSE)</f>
        <v>0</v>
      </c>
      <c r="T830">
        <f>VLOOKUP(Table9[[#This Row],[Shortname]], Comp[], 17, FALSE)</f>
        <v>0</v>
      </c>
      <c r="U830">
        <f>VLOOKUP(Table9[[#This Row],[Shortname]], Comp[], 18, FALSE)</f>
        <v>0</v>
      </c>
      <c r="V830">
        <f>VLOOKUP(Table9[[#This Row],[Shortname]], Comp[], 19, FALSE)</f>
        <v>0.02</v>
      </c>
      <c r="W830">
        <f>VLOOKUP(Table9[[#This Row],[Shortname]], Comp[], 20, FALSE)</f>
        <v>0</v>
      </c>
      <c r="X830">
        <f>VLOOKUP(Table9[[#This Row],[Shortname]], Comp[], 21, FALSE)</f>
        <v>0</v>
      </c>
      <c r="Y830">
        <f>VLOOKUP(Table9[[#This Row],[Shortname]], Comp[], 22, FALSE)</f>
        <v>0</v>
      </c>
      <c r="Z830">
        <f>VLOOKUP(Table9[[#This Row],[Shortname]], Comp[], 23, FALSE)</f>
        <v>0</v>
      </c>
      <c r="AA830">
        <f>VLOOKUP(Table9[[#This Row],[Shortname]], Comp[], 24, FALSE)</f>
        <v>0</v>
      </c>
      <c r="AB830">
        <f>VLOOKUP(Table9[[#This Row],[Shortname]], Comp[], 25, FALSE)</f>
        <v>0</v>
      </c>
      <c r="AC830">
        <f>VLOOKUP(Table9[[#This Row],[Shortname]], Comp[], 26, FALSE)</f>
        <v>0</v>
      </c>
      <c r="AD830">
        <f>VLOOKUP(Table9[[#This Row],[Shortname]], Comp[], 27, FALSE)</f>
        <v>0</v>
      </c>
      <c r="AE830">
        <f>VLOOKUP(Table9[[#This Row],[Shortname]], Comp[], 28, FALSE)</f>
        <v>0</v>
      </c>
      <c r="AF830">
        <f>VLOOKUP(Table9[[#This Row],[Shortname]], Comp[], 29, FALSE)</f>
        <v>0</v>
      </c>
      <c r="AG830">
        <f>VLOOKUP(Table9[[#This Row],[Shortname]], Comp[], 30, FALSE)</f>
        <v>0</v>
      </c>
      <c r="AH830">
        <f>VLOOKUP(Table9[[#This Row],[Shortname]], Comp[], 31, FALSE)</f>
        <v>0</v>
      </c>
    </row>
    <row r="831" spans="1:34" x14ac:dyDescent="0.3">
      <c r="A831" t="s">
        <v>4466</v>
      </c>
      <c r="B831" t="s">
        <v>4467</v>
      </c>
      <c r="C831" t="s">
        <v>4468</v>
      </c>
      <c r="D831">
        <v>462</v>
      </c>
      <c r="E831">
        <v>700</v>
      </c>
      <c r="F831">
        <v>2.9999999999999997E-4</v>
      </c>
      <c r="G831">
        <v>-1</v>
      </c>
      <c r="H831" t="s">
        <v>6855</v>
      </c>
      <c r="I831">
        <f>VLOOKUP(Table9[[#This Row],[Shortname]], Comp[], 6, FALSE)</f>
        <v>680</v>
      </c>
      <c r="J831" s="14">
        <f>VLOOKUP(Table9[[#This Row],[Shortname]], Comp[], 7, FALSE)</f>
        <v>79.98</v>
      </c>
      <c r="K831">
        <f>VLOOKUP(Table9[[#This Row],[Shortname]], Comp[], 8, FALSE)</f>
        <v>0</v>
      </c>
      <c r="L831">
        <f>VLOOKUP(Table9[[#This Row],[Shortname]], Comp[], 9, FALSE)</f>
        <v>9</v>
      </c>
      <c r="M831">
        <f>VLOOKUP(Table9[[#This Row],[Shortname]], Comp[], 10, FALSE)</f>
        <v>0</v>
      </c>
      <c r="N831">
        <f>VLOOKUP(Table9[[#This Row],[Shortname]], Comp[], 11, FALSE)</f>
        <v>9</v>
      </c>
      <c r="O831">
        <f>VLOOKUP(Table9[[#This Row],[Shortname]], Comp[],12, FALSE)</f>
        <v>0</v>
      </c>
      <c r="P831">
        <f>VLOOKUP(Table9[[#This Row],[Shortname]], Comp[], 13, FALSE)</f>
        <v>2</v>
      </c>
      <c r="Q831">
        <f>VLOOKUP(Table9[[#This Row],[Shortname]], Comp[], 14, FALSE)</f>
        <v>0</v>
      </c>
      <c r="R831">
        <f>VLOOKUP(Table9[[#This Row],[Shortname]], Comp[], 15, FALSE)</f>
        <v>0</v>
      </c>
      <c r="S831">
        <f>VLOOKUP(Table9[[#This Row],[Shortname]], Comp[], 16, FALSE)</f>
        <v>0</v>
      </c>
      <c r="T831">
        <f>VLOOKUP(Table9[[#This Row],[Shortname]], Comp[], 17, FALSE)</f>
        <v>0</v>
      </c>
      <c r="U831">
        <f>VLOOKUP(Table9[[#This Row],[Shortname]], Comp[], 18, FALSE)</f>
        <v>0</v>
      </c>
      <c r="V831">
        <f>VLOOKUP(Table9[[#This Row],[Shortname]], Comp[], 19, FALSE)</f>
        <v>0.02</v>
      </c>
      <c r="W831">
        <f>VLOOKUP(Table9[[#This Row],[Shortname]], Comp[], 20, FALSE)</f>
        <v>0</v>
      </c>
      <c r="X831">
        <f>VLOOKUP(Table9[[#This Row],[Shortname]], Comp[], 21, FALSE)</f>
        <v>0</v>
      </c>
      <c r="Y831">
        <f>VLOOKUP(Table9[[#This Row],[Shortname]], Comp[], 22, FALSE)</f>
        <v>0</v>
      </c>
      <c r="Z831">
        <f>VLOOKUP(Table9[[#This Row],[Shortname]], Comp[], 23, FALSE)</f>
        <v>0</v>
      </c>
      <c r="AA831">
        <f>VLOOKUP(Table9[[#This Row],[Shortname]], Comp[], 24, FALSE)</f>
        <v>0</v>
      </c>
      <c r="AB831">
        <f>VLOOKUP(Table9[[#This Row],[Shortname]], Comp[], 25, FALSE)</f>
        <v>0</v>
      </c>
      <c r="AC831">
        <f>VLOOKUP(Table9[[#This Row],[Shortname]], Comp[], 26, FALSE)</f>
        <v>0</v>
      </c>
      <c r="AD831">
        <f>VLOOKUP(Table9[[#This Row],[Shortname]], Comp[], 27, FALSE)</f>
        <v>0</v>
      </c>
      <c r="AE831">
        <f>VLOOKUP(Table9[[#This Row],[Shortname]], Comp[], 28, FALSE)</f>
        <v>0</v>
      </c>
      <c r="AF831">
        <f>VLOOKUP(Table9[[#This Row],[Shortname]], Comp[], 29, FALSE)</f>
        <v>0</v>
      </c>
      <c r="AG831">
        <f>VLOOKUP(Table9[[#This Row],[Shortname]], Comp[], 30, FALSE)</f>
        <v>0</v>
      </c>
      <c r="AH831">
        <f>VLOOKUP(Table9[[#This Row],[Shortname]], Comp[], 31, FALSE)</f>
        <v>0</v>
      </c>
    </row>
    <row r="832" spans="1:34" x14ac:dyDescent="0.3">
      <c r="A832" t="s">
        <v>4881</v>
      </c>
      <c r="B832" t="s">
        <v>4883</v>
      </c>
      <c r="C832" t="s">
        <v>4884</v>
      </c>
      <c r="D832">
        <v>884</v>
      </c>
      <c r="E832">
        <v>25</v>
      </c>
      <c r="F832">
        <v>1E-4</v>
      </c>
      <c r="G832">
        <v>1</v>
      </c>
      <c r="H832" t="s">
        <v>6803</v>
      </c>
      <c r="I832">
        <f>VLOOKUP(Table9[[#This Row],[Shortname]], Comp[], 6, FALSE)</f>
        <v>745</v>
      </c>
      <c r="J832" s="14">
        <f>VLOOKUP(Table9[[#This Row],[Shortname]], Comp[], 7, FALSE)</f>
        <v>76</v>
      </c>
      <c r="K832">
        <f>VLOOKUP(Table9[[#This Row],[Shortname]], Comp[], 8, FALSE)</f>
        <v>0</v>
      </c>
      <c r="L832">
        <f>VLOOKUP(Table9[[#This Row],[Shortname]], Comp[], 9, FALSE)</f>
        <v>8</v>
      </c>
      <c r="M832">
        <f>VLOOKUP(Table9[[#This Row],[Shortname]], Comp[], 10, FALSE)</f>
        <v>14</v>
      </c>
      <c r="N832">
        <f>VLOOKUP(Table9[[#This Row],[Shortname]], Comp[], 11, FALSE)</f>
        <v>2</v>
      </c>
      <c r="O832">
        <f>VLOOKUP(Table9[[#This Row],[Shortname]], Comp[],12, FALSE)</f>
        <v>0</v>
      </c>
      <c r="P832">
        <f>VLOOKUP(Table9[[#This Row],[Shortname]], Comp[], 13, FALSE)</f>
        <v>0</v>
      </c>
      <c r="Q832">
        <f>VLOOKUP(Table9[[#This Row],[Shortname]], Comp[], 14, FALSE)</f>
        <v>0</v>
      </c>
      <c r="R832">
        <f>VLOOKUP(Table9[[#This Row],[Shortname]], Comp[], 15, FALSE)</f>
        <v>0</v>
      </c>
      <c r="S832">
        <f>VLOOKUP(Table9[[#This Row],[Shortname]], Comp[], 16, FALSE)</f>
        <v>0</v>
      </c>
      <c r="T832">
        <f>VLOOKUP(Table9[[#This Row],[Shortname]], Comp[], 17, FALSE)</f>
        <v>0</v>
      </c>
      <c r="U832">
        <f>VLOOKUP(Table9[[#This Row],[Shortname]], Comp[], 18, FALSE)</f>
        <v>0</v>
      </c>
      <c r="V832">
        <f>VLOOKUP(Table9[[#This Row],[Shortname]], Comp[], 19, FALSE)</f>
        <v>0</v>
      </c>
      <c r="W832">
        <f>VLOOKUP(Table9[[#This Row],[Shortname]], Comp[], 20, FALSE)</f>
        <v>0</v>
      </c>
      <c r="X832">
        <f>VLOOKUP(Table9[[#This Row],[Shortname]], Comp[], 21, FALSE)</f>
        <v>0</v>
      </c>
      <c r="Y832">
        <f>VLOOKUP(Table9[[#This Row],[Shortname]], Comp[], 22, FALSE)</f>
        <v>0</v>
      </c>
      <c r="Z832">
        <f>VLOOKUP(Table9[[#This Row],[Shortname]], Comp[], 23, FALSE)</f>
        <v>0</v>
      </c>
      <c r="AA832">
        <f>VLOOKUP(Table9[[#This Row],[Shortname]], Comp[], 24, FALSE)</f>
        <v>0</v>
      </c>
      <c r="AB832">
        <f>VLOOKUP(Table9[[#This Row],[Shortname]], Comp[], 25, FALSE)</f>
        <v>0</v>
      </c>
      <c r="AC832">
        <f>VLOOKUP(Table9[[#This Row],[Shortname]], Comp[], 26, FALSE)</f>
        <v>0</v>
      </c>
      <c r="AD832">
        <f>VLOOKUP(Table9[[#This Row],[Shortname]], Comp[], 27, FALSE)</f>
        <v>0</v>
      </c>
      <c r="AE832">
        <f>VLOOKUP(Table9[[#This Row],[Shortname]], Comp[], 28, FALSE)</f>
        <v>0</v>
      </c>
      <c r="AF832">
        <f>VLOOKUP(Table9[[#This Row],[Shortname]], Comp[], 29, FALSE)</f>
        <v>0</v>
      </c>
      <c r="AG832">
        <f>VLOOKUP(Table9[[#This Row],[Shortname]], Comp[], 30, FALSE)</f>
        <v>0</v>
      </c>
      <c r="AH832">
        <f>VLOOKUP(Table9[[#This Row],[Shortname]], Comp[], 31, FALSE)</f>
        <v>0</v>
      </c>
    </row>
    <row r="833" spans="1:34" x14ac:dyDescent="0.3">
      <c r="A833" t="s">
        <v>4881</v>
      </c>
      <c r="B833" t="s">
        <v>4883</v>
      </c>
      <c r="C833" t="s">
        <v>4884</v>
      </c>
      <c r="D833">
        <v>717</v>
      </c>
      <c r="E833">
        <v>600</v>
      </c>
      <c r="F833">
        <v>1E-4</v>
      </c>
      <c r="G833">
        <v>1</v>
      </c>
      <c r="H833" t="s">
        <v>6803</v>
      </c>
      <c r="I833">
        <f>VLOOKUP(Table9[[#This Row],[Shortname]], Comp[], 6, FALSE)</f>
        <v>745</v>
      </c>
      <c r="J833" s="14">
        <f>VLOOKUP(Table9[[#This Row],[Shortname]], Comp[], 7, FALSE)</f>
        <v>76</v>
      </c>
      <c r="K833">
        <f>VLOOKUP(Table9[[#This Row],[Shortname]], Comp[], 8, FALSE)</f>
        <v>0</v>
      </c>
      <c r="L833">
        <f>VLOOKUP(Table9[[#This Row],[Shortname]], Comp[], 9, FALSE)</f>
        <v>8</v>
      </c>
      <c r="M833">
        <f>VLOOKUP(Table9[[#This Row],[Shortname]], Comp[], 10, FALSE)</f>
        <v>14</v>
      </c>
      <c r="N833">
        <f>VLOOKUP(Table9[[#This Row],[Shortname]], Comp[], 11, FALSE)</f>
        <v>2</v>
      </c>
      <c r="O833">
        <f>VLOOKUP(Table9[[#This Row],[Shortname]], Comp[],12, FALSE)</f>
        <v>0</v>
      </c>
      <c r="P833">
        <f>VLOOKUP(Table9[[#This Row],[Shortname]], Comp[], 13, FALSE)</f>
        <v>0</v>
      </c>
      <c r="Q833">
        <f>VLOOKUP(Table9[[#This Row],[Shortname]], Comp[], 14, FALSE)</f>
        <v>0</v>
      </c>
      <c r="R833">
        <f>VLOOKUP(Table9[[#This Row],[Shortname]], Comp[], 15, FALSE)</f>
        <v>0</v>
      </c>
      <c r="S833">
        <f>VLOOKUP(Table9[[#This Row],[Shortname]], Comp[], 16, FALSE)</f>
        <v>0</v>
      </c>
      <c r="T833">
        <f>VLOOKUP(Table9[[#This Row],[Shortname]], Comp[], 17, FALSE)</f>
        <v>0</v>
      </c>
      <c r="U833">
        <f>VLOOKUP(Table9[[#This Row],[Shortname]], Comp[], 18, FALSE)</f>
        <v>0</v>
      </c>
      <c r="V833">
        <f>VLOOKUP(Table9[[#This Row],[Shortname]], Comp[], 19, FALSE)</f>
        <v>0</v>
      </c>
      <c r="W833">
        <f>VLOOKUP(Table9[[#This Row],[Shortname]], Comp[], 20, FALSE)</f>
        <v>0</v>
      </c>
      <c r="X833">
        <f>VLOOKUP(Table9[[#This Row],[Shortname]], Comp[], 21, FALSE)</f>
        <v>0</v>
      </c>
      <c r="Y833">
        <f>VLOOKUP(Table9[[#This Row],[Shortname]], Comp[], 22, FALSE)</f>
        <v>0</v>
      </c>
      <c r="Z833">
        <f>VLOOKUP(Table9[[#This Row],[Shortname]], Comp[], 23, FALSE)</f>
        <v>0</v>
      </c>
      <c r="AA833">
        <f>VLOOKUP(Table9[[#This Row],[Shortname]], Comp[], 24, FALSE)</f>
        <v>0</v>
      </c>
      <c r="AB833">
        <f>VLOOKUP(Table9[[#This Row],[Shortname]], Comp[], 25, FALSE)</f>
        <v>0</v>
      </c>
      <c r="AC833">
        <f>VLOOKUP(Table9[[#This Row],[Shortname]], Comp[], 26, FALSE)</f>
        <v>0</v>
      </c>
      <c r="AD833">
        <f>VLOOKUP(Table9[[#This Row],[Shortname]], Comp[], 27, FALSE)</f>
        <v>0</v>
      </c>
      <c r="AE833">
        <f>VLOOKUP(Table9[[#This Row],[Shortname]], Comp[], 28, FALSE)</f>
        <v>0</v>
      </c>
      <c r="AF833">
        <f>VLOOKUP(Table9[[#This Row],[Shortname]], Comp[], 29, FALSE)</f>
        <v>0</v>
      </c>
      <c r="AG833">
        <f>VLOOKUP(Table9[[#This Row],[Shortname]], Comp[], 30, FALSE)</f>
        <v>0</v>
      </c>
      <c r="AH833">
        <f>VLOOKUP(Table9[[#This Row],[Shortname]], Comp[], 31, FALSE)</f>
        <v>0</v>
      </c>
    </row>
    <row r="834" spans="1:34" x14ac:dyDescent="0.3">
      <c r="A834" t="s">
        <v>4881</v>
      </c>
      <c r="B834" t="s">
        <v>4883</v>
      </c>
      <c r="C834" t="s">
        <v>4884</v>
      </c>
      <c r="D834">
        <v>676</v>
      </c>
      <c r="E834">
        <v>750</v>
      </c>
      <c r="F834">
        <v>1E-4</v>
      </c>
      <c r="G834">
        <v>1</v>
      </c>
      <c r="H834" t="s">
        <v>6803</v>
      </c>
      <c r="I834">
        <f>VLOOKUP(Table9[[#This Row],[Shortname]], Comp[], 6, FALSE)</f>
        <v>745</v>
      </c>
      <c r="J834" s="14">
        <f>VLOOKUP(Table9[[#This Row],[Shortname]], Comp[], 7, FALSE)</f>
        <v>76</v>
      </c>
      <c r="K834">
        <f>VLOOKUP(Table9[[#This Row],[Shortname]], Comp[], 8, FALSE)</f>
        <v>0</v>
      </c>
      <c r="L834">
        <f>VLOOKUP(Table9[[#This Row],[Shortname]], Comp[], 9, FALSE)</f>
        <v>8</v>
      </c>
      <c r="M834">
        <f>VLOOKUP(Table9[[#This Row],[Shortname]], Comp[], 10, FALSE)</f>
        <v>14</v>
      </c>
      <c r="N834">
        <f>VLOOKUP(Table9[[#This Row],[Shortname]], Comp[], 11, FALSE)</f>
        <v>2</v>
      </c>
      <c r="O834">
        <f>VLOOKUP(Table9[[#This Row],[Shortname]], Comp[],12, FALSE)</f>
        <v>0</v>
      </c>
      <c r="P834">
        <f>VLOOKUP(Table9[[#This Row],[Shortname]], Comp[], 13, FALSE)</f>
        <v>0</v>
      </c>
      <c r="Q834">
        <f>VLOOKUP(Table9[[#This Row],[Shortname]], Comp[], 14, FALSE)</f>
        <v>0</v>
      </c>
      <c r="R834">
        <f>VLOOKUP(Table9[[#This Row],[Shortname]], Comp[], 15, FALSE)</f>
        <v>0</v>
      </c>
      <c r="S834">
        <f>VLOOKUP(Table9[[#This Row],[Shortname]], Comp[], 16, FALSE)</f>
        <v>0</v>
      </c>
      <c r="T834">
        <f>VLOOKUP(Table9[[#This Row],[Shortname]], Comp[], 17, FALSE)</f>
        <v>0</v>
      </c>
      <c r="U834">
        <f>VLOOKUP(Table9[[#This Row],[Shortname]], Comp[], 18, FALSE)</f>
        <v>0</v>
      </c>
      <c r="V834">
        <f>VLOOKUP(Table9[[#This Row],[Shortname]], Comp[], 19, FALSE)</f>
        <v>0</v>
      </c>
      <c r="W834">
        <f>VLOOKUP(Table9[[#This Row],[Shortname]], Comp[], 20, FALSE)</f>
        <v>0</v>
      </c>
      <c r="X834">
        <f>VLOOKUP(Table9[[#This Row],[Shortname]], Comp[], 21, FALSE)</f>
        <v>0</v>
      </c>
      <c r="Y834">
        <f>VLOOKUP(Table9[[#This Row],[Shortname]], Comp[], 22, FALSE)</f>
        <v>0</v>
      </c>
      <c r="Z834">
        <f>VLOOKUP(Table9[[#This Row],[Shortname]], Comp[], 23, FALSE)</f>
        <v>0</v>
      </c>
      <c r="AA834">
        <f>VLOOKUP(Table9[[#This Row],[Shortname]], Comp[], 24, FALSE)</f>
        <v>0</v>
      </c>
      <c r="AB834">
        <f>VLOOKUP(Table9[[#This Row],[Shortname]], Comp[], 25, FALSE)</f>
        <v>0</v>
      </c>
      <c r="AC834">
        <f>VLOOKUP(Table9[[#This Row],[Shortname]], Comp[], 26, FALSE)</f>
        <v>0</v>
      </c>
      <c r="AD834">
        <f>VLOOKUP(Table9[[#This Row],[Shortname]], Comp[], 27, FALSE)</f>
        <v>0</v>
      </c>
      <c r="AE834">
        <f>VLOOKUP(Table9[[#This Row],[Shortname]], Comp[], 28, FALSE)</f>
        <v>0</v>
      </c>
      <c r="AF834">
        <f>VLOOKUP(Table9[[#This Row],[Shortname]], Comp[], 29, FALSE)</f>
        <v>0</v>
      </c>
      <c r="AG834">
        <f>VLOOKUP(Table9[[#This Row],[Shortname]], Comp[], 30, FALSE)</f>
        <v>0</v>
      </c>
      <c r="AH834">
        <f>VLOOKUP(Table9[[#This Row],[Shortname]], Comp[], 31, FALSE)</f>
        <v>0</v>
      </c>
    </row>
    <row r="835" spans="1:34" x14ac:dyDescent="0.3">
      <c r="A835" t="s">
        <v>4881</v>
      </c>
      <c r="B835" t="s">
        <v>4883</v>
      </c>
      <c r="C835" t="s">
        <v>4884</v>
      </c>
      <c r="D835">
        <v>620</v>
      </c>
      <c r="E835">
        <v>800</v>
      </c>
      <c r="F835">
        <v>1E-4</v>
      </c>
      <c r="G835">
        <v>1</v>
      </c>
      <c r="H835" t="s">
        <v>6803</v>
      </c>
      <c r="I835">
        <f>VLOOKUP(Table9[[#This Row],[Shortname]], Comp[], 6, FALSE)</f>
        <v>745</v>
      </c>
      <c r="J835" s="14">
        <f>VLOOKUP(Table9[[#This Row],[Shortname]], Comp[], 7, FALSE)</f>
        <v>76</v>
      </c>
      <c r="K835">
        <f>VLOOKUP(Table9[[#This Row],[Shortname]], Comp[], 8, FALSE)</f>
        <v>0</v>
      </c>
      <c r="L835">
        <f>VLOOKUP(Table9[[#This Row],[Shortname]], Comp[], 9, FALSE)</f>
        <v>8</v>
      </c>
      <c r="M835">
        <f>VLOOKUP(Table9[[#This Row],[Shortname]], Comp[], 10, FALSE)</f>
        <v>14</v>
      </c>
      <c r="N835">
        <f>VLOOKUP(Table9[[#This Row],[Shortname]], Comp[], 11, FALSE)</f>
        <v>2</v>
      </c>
      <c r="O835">
        <f>VLOOKUP(Table9[[#This Row],[Shortname]], Comp[],12, FALSE)</f>
        <v>0</v>
      </c>
      <c r="P835">
        <f>VLOOKUP(Table9[[#This Row],[Shortname]], Comp[], 13, FALSE)</f>
        <v>0</v>
      </c>
      <c r="Q835">
        <f>VLOOKUP(Table9[[#This Row],[Shortname]], Comp[], 14, FALSE)</f>
        <v>0</v>
      </c>
      <c r="R835">
        <f>VLOOKUP(Table9[[#This Row],[Shortname]], Comp[], 15, FALSE)</f>
        <v>0</v>
      </c>
      <c r="S835">
        <f>VLOOKUP(Table9[[#This Row],[Shortname]], Comp[], 16, FALSE)</f>
        <v>0</v>
      </c>
      <c r="T835">
        <f>VLOOKUP(Table9[[#This Row],[Shortname]], Comp[], 17, FALSE)</f>
        <v>0</v>
      </c>
      <c r="U835">
        <f>VLOOKUP(Table9[[#This Row],[Shortname]], Comp[], 18, FALSE)</f>
        <v>0</v>
      </c>
      <c r="V835">
        <f>VLOOKUP(Table9[[#This Row],[Shortname]], Comp[], 19, FALSE)</f>
        <v>0</v>
      </c>
      <c r="W835">
        <f>VLOOKUP(Table9[[#This Row],[Shortname]], Comp[], 20, FALSE)</f>
        <v>0</v>
      </c>
      <c r="X835">
        <f>VLOOKUP(Table9[[#This Row],[Shortname]], Comp[], 21, FALSE)</f>
        <v>0</v>
      </c>
      <c r="Y835">
        <f>VLOOKUP(Table9[[#This Row],[Shortname]], Comp[], 22, FALSE)</f>
        <v>0</v>
      </c>
      <c r="Z835">
        <f>VLOOKUP(Table9[[#This Row],[Shortname]], Comp[], 23, FALSE)</f>
        <v>0</v>
      </c>
      <c r="AA835">
        <f>VLOOKUP(Table9[[#This Row],[Shortname]], Comp[], 24, FALSE)</f>
        <v>0</v>
      </c>
      <c r="AB835">
        <f>VLOOKUP(Table9[[#This Row],[Shortname]], Comp[], 25, FALSE)</f>
        <v>0</v>
      </c>
      <c r="AC835">
        <f>VLOOKUP(Table9[[#This Row],[Shortname]], Comp[], 26, FALSE)</f>
        <v>0</v>
      </c>
      <c r="AD835">
        <f>VLOOKUP(Table9[[#This Row],[Shortname]], Comp[], 27, FALSE)</f>
        <v>0</v>
      </c>
      <c r="AE835">
        <f>VLOOKUP(Table9[[#This Row],[Shortname]], Comp[], 28, FALSE)</f>
        <v>0</v>
      </c>
      <c r="AF835">
        <f>VLOOKUP(Table9[[#This Row],[Shortname]], Comp[], 29, FALSE)</f>
        <v>0</v>
      </c>
      <c r="AG835">
        <f>VLOOKUP(Table9[[#This Row],[Shortname]], Comp[], 30, FALSE)</f>
        <v>0</v>
      </c>
      <c r="AH835">
        <f>VLOOKUP(Table9[[#This Row],[Shortname]], Comp[], 31, FALSE)</f>
        <v>0</v>
      </c>
    </row>
    <row r="836" spans="1:34" x14ac:dyDescent="0.3">
      <c r="A836" t="s">
        <v>4881</v>
      </c>
      <c r="B836" t="s">
        <v>4883</v>
      </c>
      <c r="C836" t="s">
        <v>4884</v>
      </c>
      <c r="D836">
        <v>594</v>
      </c>
      <c r="E836">
        <v>850</v>
      </c>
      <c r="F836">
        <v>1E-4</v>
      </c>
      <c r="G836">
        <v>1</v>
      </c>
      <c r="H836" t="s">
        <v>6803</v>
      </c>
      <c r="I836">
        <f>VLOOKUP(Table9[[#This Row],[Shortname]], Comp[], 6, FALSE)</f>
        <v>745</v>
      </c>
      <c r="J836" s="14">
        <f>VLOOKUP(Table9[[#This Row],[Shortname]], Comp[], 7, FALSE)</f>
        <v>76</v>
      </c>
      <c r="K836">
        <f>VLOOKUP(Table9[[#This Row],[Shortname]], Comp[], 8, FALSE)</f>
        <v>0</v>
      </c>
      <c r="L836">
        <f>VLOOKUP(Table9[[#This Row],[Shortname]], Comp[], 9, FALSE)</f>
        <v>8</v>
      </c>
      <c r="M836">
        <f>VLOOKUP(Table9[[#This Row],[Shortname]], Comp[], 10, FALSE)</f>
        <v>14</v>
      </c>
      <c r="N836">
        <f>VLOOKUP(Table9[[#This Row],[Shortname]], Comp[], 11, FALSE)</f>
        <v>2</v>
      </c>
      <c r="O836">
        <f>VLOOKUP(Table9[[#This Row],[Shortname]], Comp[],12, FALSE)</f>
        <v>0</v>
      </c>
      <c r="P836">
        <f>VLOOKUP(Table9[[#This Row],[Shortname]], Comp[], 13, FALSE)</f>
        <v>0</v>
      </c>
      <c r="Q836">
        <f>VLOOKUP(Table9[[#This Row],[Shortname]], Comp[], 14, FALSE)</f>
        <v>0</v>
      </c>
      <c r="R836">
        <f>VLOOKUP(Table9[[#This Row],[Shortname]], Comp[], 15, FALSE)</f>
        <v>0</v>
      </c>
      <c r="S836">
        <f>VLOOKUP(Table9[[#This Row],[Shortname]], Comp[], 16, FALSE)</f>
        <v>0</v>
      </c>
      <c r="T836">
        <f>VLOOKUP(Table9[[#This Row],[Shortname]], Comp[], 17, FALSE)</f>
        <v>0</v>
      </c>
      <c r="U836">
        <f>VLOOKUP(Table9[[#This Row],[Shortname]], Comp[], 18, FALSE)</f>
        <v>0</v>
      </c>
      <c r="V836">
        <f>VLOOKUP(Table9[[#This Row],[Shortname]], Comp[], 19, FALSE)</f>
        <v>0</v>
      </c>
      <c r="W836">
        <f>VLOOKUP(Table9[[#This Row],[Shortname]], Comp[], 20, FALSE)</f>
        <v>0</v>
      </c>
      <c r="X836">
        <f>VLOOKUP(Table9[[#This Row],[Shortname]], Comp[], 21, FALSE)</f>
        <v>0</v>
      </c>
      <c r="Y836">
        <f>VLOOKUP(Table9[[#This Row],[Shortname]], Comp[], 22, FALSE)</f>
        <v>0</v>
      </c>
      <c r="Z836">
        <f>VLOOKUP(Table9[[#This Row],[Shortname]], Comp[], 23, FALSE)</f>
        <v>0</v>
      </c>
      <c r="AA836">
        <f>VLOOKUP(Table9[[#This Row],[Shortname]], Comp[], 24, FALSE)</f>
        <v>0</v>
      </c>
      <c r="AB836">
        <f>VLOOKUP(Table9[[#This Row],[Shortname]], Comp[], 25, FALSE)</f>
        <v>0</v>
      </c>
      <c r="AC836">
        <f>VLOOKUP(Table9[[#This Row],[Shortname]], Comp[], 26, FALSE)</f>
        <v>0</v>
      </c>
      <c r="AD836">
        <f>VLOOKUP(Table9[[#This Row],[Shortname]], Comp[], 27, FALSE)</f>
        <v>0</v>
      </c>
      <c r="AE836">
        <f>VLOOKUP(Table9[[#This Row],[Shortname]], Comp[], 28, FALSE)</f>
        <v>0</v>
      </c>
      <c r="AF836">
        <f>VLOOKUP(Table9[[#This Row],[Shortname]], Comp[], 29, FALSE)</f>
        <v>0</v>
      </c>
      <c r="AG836">
        <f>VLOOKUP(Table9[[#This Row],[Shortname]], Comp[], 30, FALSE)</f>
        <v>0</v>
      </c>
      <c r="AH836">
        <f>VLOOKUP(Table9[[#This Row],[Shortname]], Comp[], 31, FALSE)</f>
        <v>0</v>
      </c>
    </row>
    <row r="837" spans="1:34" x14ac:dyDescent="0.3">
      <c r="A837" t="s">
        <v>1438</v>
      </c>
      <c r="B837" t="s">
        <v>1440</v>
      </c>
      <c r="C837" t="s">
        <v>1351</v>
      </c>
      <c r="D837">
        <v>818</v>
      </c>
      <c r="E837">
        <v>25</v>
      </c>
      <c r="F837">
        <v>4.0000000000000002E-4</v>
      </c>
      <c r="G837">
        <v>-1</v>
      </c>
      <c r="H837" t="s">
        <v>6881</v>
      </c>
      <c r="I837">
        <f>VLOOKUP(Table9[[#This Row],[Shortname]], Comp[], 6, FALSE)</f>
        <v>184</v>
      </c>
      <c r="J837" s="14">
        <f>VLOOKUP(Table9[[#This Row],[Shortname]], Comp[], 7, FALSE)</f>
        <v>80.5</v>
      </c>
      <c r="K837">
        <f>VLOOKUP(Table9[[#This Row],[Shortname]], Comp[], 8, FALSE)</f>
        <v>0</v>
      </c>
      <c r="L837">
        <f>VLOOKUP(Table9[[#This Row],[Shortname]], Comp[], 9, FALSE)</f>
        <v>11</v>
      </c>
      <c r="M837">
        <f>VLOOKUP(Table9[[#This Row],[Shortname]], Comp[], 10, FALSE)</f>
        <v>0</v>
      </c>
      <c r="N837">
        <f>VLOOKUP(Table9[[#This Row],[Shortname]], Comp[], 11, FALSE)</f>
        <v>5.9</v>
      </c>
      <c r="O837">
        <f>VLOOKUP(Table9[[#This Row],[Shortname]], Comp[],12, FALSE)</f>
        <v>0</v>
      </c>
      <c r="P837">
        <f>VLOOKUP(Table9[[#This Row],[Shortname]], Comp[], 13, FALSE)</f>
        <v>2.6</v>
      </c>
      <c r="Q837">
        <f>VLOOKUP(Table9[[#This Row],[Shortname]], Comp[], 14, FALSE)</f>
        <v>0</v>
      </c>
      <c r="R837">
        <f>VLOOKUP(Table9[[#This Row],[Shortname]], Comp[], 15, FALSE)</f>
        <v>0</v>
      </c>
      <c r="S837">
        <f>VLOOKUP(Table9[[#This Row],[Shortname]], Comp[], 16, FALSE)</f>
        <v>0</v>
      </c>
      <c r="T837">
        <f>VLOOKUP(Table9[[#This Row],[Shortname]], Comp[], 17, FALSE)</f>
        <v>0</v>
      </c>
      <c r="U837">
        <f>VLOOKUP(Table9[[#This Row],[Shortname]], Comp[], 18, FALSE)</f>
        <v>0</v>
      </c>
      <c r="V837">
        <f>VLOOKUP(Table9[[#This Row],[Shortname]], Comp[], 19, FALSE)</f>
        <v>0</v>
      </c>
      <c r="W837">
        <f>VLOOKUP(Table9[[#This Row],[Shortname]], Comp[], 20, FALSE)</f>
        <v>0</v>
      </c>
      <c r="X837">
        <f>VLOOKUP(Table9[[#This Row],[Shortname]], Comp[], 21, FALSE)</f>
        <v>0</v>
      </c>
      <c r="Y837">
        <f>VLOOKUP(Table9[[#This Row],[Shortname]], Comp[], 22, FALSE)</f>
        <v>0</v>
      </c>
      <c r="Z837">
        <f>VLOOKUP(Table9[[#This Row],[Shortname]], Comp[], 23, FALSE)</f>
        <v>0</v>
      </c>
      <c r="AA837">
        <f>VLOOKUP(Table9[[#This Row],[Shortname]], Comp[], 24, FALSE)</f>
        <v>0</v>
      </c>
      <c r="AB837">
        <f>VLOOKUP(Table9[[#This Row],[Shortname]], Comp[], 25, FALSE)</f>
        <v>0</v>
      </c>
      <c r="AC837">
        <f>VLOOKUP(Table9[[#This Row],[Shortname]], Comp[], 26, FALSE)</f>
        <v>0</v>
      </c>
      <c r="AD837">
        <f>VLOOKUP(Table9[[#This Row],[Shortname]], Comp[], 27, FALSE)</f>
        <v>0</v>
      </c>
      <c r="AE837">
        <f>VLOOKUP(Table9[[#This Row],[Shortname]], Comp[], 28, FALSE)</f>
        <v>0</v>
      </c>
      <c r="AF837">
        <f>VLOOKUP(Table9[[#This Row],[Shortname]], Comp[], 29, FALSE)</f>
        <v>0</v>
      </c>
      <c r="AG837">
        <f>VLOOKUP(Table9[[#This Row],[Shortname]], Comp[], 30, FALSE)</f>
        <v>0</v>
      </c>
      <c r="AH837">
        <f>VLOOKUP(Table9[[#This Row],[Shortname]], Comp[], 31, FALSE)</f>
        <v>0</v>
      </c>
    </row>
    <row r="838" spans="1:34" x14ac:dyDescent="0.3">
      <c r="A838" t="s">
        <v>1438</v>
      </c>
      <c r="B838" t="s">
        <v>1440</v>
      </c>
      <c r="C838" t="s">
        <v>1351</v>
      </c>
      <c r="D838">
        <v>733</v>
      </c>
      <c r="E838">
        <v>500</v>
      </c>
      <c r="F838">
        <v>4.0000000000000002E-4</v>
      </c>
      <c r="G838">
        <v>-1</v>
      </c>
      <c r="H838" t="s">
        <v>6881</v>
      </c>
      <c r="I838">
        <f>VLOOKUP(Table9[[#This Row],[Shortname]], Comp[], 6, FALSE)</f>
        <v>184</v>
      </c>
      <c r="J838" s="14">
        <f>VLOOKUP(Table9[[#This Row],[Shortname]], Comp[], 7, FALSE)</f>
        <v>80.5</v>
      </c>
      <c r="K838">
        <f>VLOOKUP(Table9[[#This Row],[Shortname]], Comp[], 8, FALSE)</f>
        <v>0</v>
      </c>
      <c r="L838">
        <f>VLOOKUP(Table9[[#This Row],[Shortname]], Comp[], 9, FALSE)</f>
        <v>11</v>
      </c>
      <c r="M838">
        <f>VLOOKUP(Table9[[#This Row],[Shortname]], Comp[], 10, FALSE)</f>
        <v>0</v>
      </c>
      <c r="N838">
        <f>VLOOKUP(Table9[[#This Row],[Shortname]], Comp[], 11, FALSE)</f>
        <v>5.9</v>
      </c>
      <c r="O838">
        <f>VLOOKUP(Table9[[#This Row],[Shortname]], Comp[],12, FALSE)</f>
        <v>0</v>
      </c>
      <c r="P838">
        <f>VLOOKUP(Table9[[#This Row],[Shortname]], Comp[], 13, FALSE)</f>
        <v>2.6</v>
      </c>
      <c r="Q838">
        <f>VLOOKUP(Table9[[#This Row],[Shortname]], Comp[], 14, FALSE)</f>
        <v>0</v>
      </c>
      <c r="R838">
        <f>VLOOKUP(Table9[[#This Row],[Shortname]], Comp[], 15, FALSE)</f>
        <v>0</v>
      </c>
      <c r="S838">
        <f>VLOOKUP(Table9[[#This Row],[Shortname]], Comp[], 16, FALSE)</f>
        <v>0</v>
      </c>
      <c r="T838">
        <f>VLOOKUP(Table9[[#This Row],[Shortname]], Comp[], 17, FALSE)</f>
        <v>0</v>
      </c>
      <c r="U838">
        <f>VLOOKUP(Table9[[#This Row],[Shortname]], Comp[], 18, FALSE)</f>
        <v>0</v>
      </c>
      <c r="V838">
        <f>VLOOKUP(Table9[[#This Row],[Shortname]], Comp[], 19, FALSE)</f>
        <v>0</v>
      </c>
      <c r="W838">
        <f>VLOOKUP(Table9[[#This Row],[Shortname]], Comp[], 20, FALSE)</f>
        <v>0</v>
      </c>
      <c r="X838">
        <f>VLOOKUP(Table9[[#This Row],[Shortname]], Comp[], 21, FALSE)</f>
        <v>0</v>
      </c>
      <c r="Y838">
        <f>VLOOKUP(Table9[[#This Row],[Shortname]], Comp[], 22, FALSE)</f>
        <v>0</v>
      </c>
      <c r="Z838">
        <f>VLOOKUP(Table9[[#This Row],[Shortname]], Comp[], 23, FALSE)</f>
        <v>0</v>
      </c>
      <c r="AA838">
        <f>VLOOKUP(Table9[[#This Row],[Shortname]], Comp[], 24, FALSE)</f>
        <v>0</v>
      </c>
      <c r="AB838">
        <f>VLOOKUP(Table9[[#This Row],[Shortname]], Comp[], 25, FALSE)</f>
        <v>0</v>
      </c>
      <c r="AC838">
        <f>VLOOKUP(Table9[[#This Row],[Shortname]], Comp[], 26, FALSE)</f>
        <v>0</v>
      </c>
      <c r="AD838">
        <f>VLOOKUP(Table9[[#This Row],[Shortname]], Comp[], 27, FALSE)</f>
        <v>0</v>
      </c>
      <c r="AE838">
        <f>VLOOKUP(Table9[[#This Row],[Shortname]], Comp[], 28, FALSE)</f>
        <v>0</v>
      </c>
      <c r="AF838">
        <f>VLOOKUP(Table9[[#This Row],[Shortname]], Comp[], 29, FALSE)</f>
        <v>0</v>
      </c>
      <c r="AG838">
        <f>VLOOKUP(Table9[[#This Row],[Shortname]], Comp[], 30, FALSE)</f>
        <v>0</v>
      </c>
      <c r="AH838">
        <f>VLOOKUP(Table9[[#This Row],[Shortname]], Comp[], 31, FALSE)</f>
        <v>0</v>
      </c>
    </row>
    <row r="839" spans="1:34" x14ac:dyDescent="0.3">
      <c r="A839" t="s">
        <v>1438</v>
      </c>
      <c r="B839" t="s">
        <v>1440</v>
      </c>
      <c r="C839" t="s">
        <v>1351</v>
      </c>
      <c r="D839">
        <v>709</v>
      </c>
      <c r="E839">
        <v>600</v>
      </c>
      <c r="F839">
        <v>4.0000000000000002E-4</v>
      </c>
      <c r="G839">
        <v>-1</v>
      </c>
      <c r="H839" t="s">
        <v>6881</v>
      </c>
      <c r="I839">
        <f>VLOOKUP(Table9[[#This Row],[Shortname]], Comp[], 6, FALSE)</f>
        <v>184</v>
      </c>
      <c r="J839" s="14">
        <f>VLOOKUP(Table9[[#This Row],[Shortname]], Comp[], 7, FALSE)</f>
        <v>80.5</v>
      </c>
      <c r="K839">
        <f>VLOOKUP(Table9[[#This Row],[Shortname]], Comp[], 8, FALSE)</f>
        <v>0</v>
      </c>
      <c r="L839">
        <f>VLOOKUP(Table9[[#This Row],[Shortname]], Comp[], 9, FALSE)</f>
        <v>11</v>
      </c>
      <c r="M839">
        <f>VLOOKUP(Table9[[#This Row],[Shortname]], Comp[], 10, FALSE)</f>
        <v>0</v>
      </c>
      <c r="N839">
        <f>VLOOKUP(Table9[[#This Row],[Shortname]], Comp[], 11, FALSE)</f>
        <v>5.9</v>
      </c>
      <c r="O839">
        <f>VLOOKUP(Table9[[#This Row],[Shortname]], Comp[],12, FALSE)</f>
        <v>0</v>
      </c>
      <c r="P839">
        <f>VLOOKUP(Table9[[#This Row],[Shortname]], Comp[], 13, FALSE)</f>
        <v>2.6</v>
      </c>
      <c r="Q839">
        <f>VLOOKUP(Table9[[#This Row],[Shortname]], Comp[], 14, FALSE)</f>
        <v>0</v>
      </c>
      <c r="R839">
        <f>VLOOKUP(Table9[[#This Row],[Shortname]], Comp[], 15, FALSE)</f>
        <v>0</v>
      </c>
      <c r="S839">
        <f>VLOOKUP(Table9[[#This Row],[Shortname]], Comp[], 16, FALSE)</f>
        <v>0</v>
      </c>
      <c r="T839">
        <f>VLOOKUP(Table9[[#This Row],[Shortname]], Comp[], 17, FALSE)</f>
        <v>0</v>
      </c>
      <c r="U839">
        <f>VLOOKUP(Table9[[#This Row],[Shortname]], Comp[], 18, FALSE)</f>
        <v>0</v>
      </c>
      <c r="V839">
        <f>VLOOKUP(Table9[[#This Row],[Shortname]], Comp[], 19, FALSE)</f>
        <v>0</v>
      </c>
      <c r="W839">
        <f>VLOOKUP(Table9[[#This Row],[Shortname]], Comp[], 20, FALSE)</f>
        <v>0</v>
      </c>
      <c r="X839">
        <f>VLOOKUP(Table9[[#This Row],[Shortname]], Comp[], 21, FALSE)</f>
        <v>0</v>
      </c>
      <c r="Y839">
        <f>VLOOKUP(Table9[[#This Row],[Shortname]], Comp[], 22, FALSE)</f>
        <v>0</v>
      </c>
      <c r="Z839">
        <f>VLOOKUP(Table9[[#This Row],[Shortname]], Comp[], 23, FALSE)</f>
        <v>0</v>
      </c>
      <c r="AA839">
        <f>VLOOKUP(Table9[[#This Row],[Shortname]], Comp[], 24, FALSE)</f>
        <v>0</v>
      </c>
      <c r="AB839">
        <f>VLOOKUP(Table9[[#This Row],[Shortname]], Comp[], 25, FALSE)</f>
        <v>0</v>
      </c>
      <c r="AC839">
        <f>VLOOKUP(Table9[[#This Row],[Shortname]], Comp[], 26, FALSE)</f>
        <v>0</v>
      </c>
      <c r="AD839">
        <f>VLOOKUP(Table9[[#This Row],[Shortname]], Comp[], 27, FALSE)</f>
        <v>0</v>
      </c>
      <c r="AE839">
        <f>VLOOKUP(Table9[[#This Row],[Shortname]], Comp[], 28, FALSE)</f>
        <v>0</v>
      </c>
      <c r="AF839">
        <f>VLOOKUP(Table9[[#This Row],[Shortname]], Comp[], 29, FALSE)</f>
        <v>0</v>
      </c>
      <c r="AG839">
        <f>VLOOKUP(Table9[[#This Row],[Shortname]], Comp[], 30, FALSE)</f>
        <v>0</v>
      </c>
      <c r="AH839">
        <f>VLOOKUP(Table9[[#This Row],[Shortname]], Comp[], 31, FALSE)</f>
        <v>0</v>
      </c>
    </row>
    <row r="840" spans="1:34" x14ac:dyDescent="0.3">
      <c r="A840" t="s">
        <v>1438</v>
      </c>
      <c r="B840" t="s">
        <v>1440</v>
      </c>
      <c r="C840" t="s">
        <v>1351</v>
      </c>
      <c r="D840">
        <v>703</v>
      </c>
      <c r="E840">
        <v>700</v>
      </c>
      <c r="F840">
        <v>4.0000000000000002E-4</v>
      </c>
      <c r="G840">
        <v>-1</v>
      </c>
      <c r="H840" t="s">
        <v>6881</v>
      </c>
      <c r="I840">
        <f>VLOOKUP(Table9[[#This Row],[Shortname]], Comp[], 6, FALSE)</f>
        <v>184</v>
      </c>
      <c r="J840" s="14">
        <f>VLOOKUP(Table9[[#This Row],[Shortname]], Comp[], 7, FALSE)</f>
        <v>80.5</v>
      </c>
      <c r="K840">
        <f>VLOOKUP(Table9[[#This Row],[Shortname]], Comp[], 8, FALSE)</f>
        <v>0</v>
      </c>
      <c r="L840">
        <f>VLOOKUP(Table9[[#This Row],[Shortname]], Comp[], 9, FALSE)</f>
        <v>11</v>
      </c>
      <c r="M840">
        <f>VLOOKUP(Table9[[#This Row],[Shortname]], Comp[], 10, FALSE)</f>
        <v>0</v>
      </c>
      <c r="N840">
        <f>VLOOKUP(Table9[[#This Row],[Shortname]], Comp[], 11, FALSE)</f>
        <v>5.9</v>
      </c>
      <c r="O840">
        <f>VLOOKUP(Table9[[#This Row],[Shortname]], Comp[],12, FALSE)</f>
        <v>0</v>
      </c>
      <c r="P840">
        <f>VLOOKUP(Table9[[#This Row],[Shortname]], Comp[], 13, FALSE)</f>
        <v>2.6</v>
      </c>
      <c r="Q840">
        <f>VLOOKUP(Table9[[#This Row],[Shortname]], Comp[], 14, FALSE)</f>
        <v>0</v>
      </c>
      <c r="R840">
        <f>VLOOKUP(Table9[[#This Row],[Shortname]], Comp[], 15, FALSE)</f>
        <v>0</v>
      </c>
      <c r="S840">
        <f>VLOOKUP(Table9[[#This Row],[Shortname]], Comp[], 16, FALSE)</f>
        <v>0</v>
      </c>
      <c r="T840">
        <f>VLOOKUP(Table9[[#This Row],[Shortname]], Comp[], 17, FALSE)</f>
        <v>0</v>
      </c>
      <c r="U840">
        <f>VLOOKUP(Table9[[#This Row],[Shortname]], Comp[], 18, FALSE)</f>
        <v>0</v>
      </c>
      <c r="V840">
        <f>VLOOKUP(Table9[[#This Row],[Shortname]], Comp[], 19, FALSE)</f>
        <v>0</v>
      </c>
      <c r="W840">
        <f>VLOOKUP(Table9[[#This Row],[Shortname]], Comp[], 20, FALSE)</f>
        <v>0</v>
      </c>
      <c r="X840">
        <f>VLOOKUP(Table9[[#This Row],[Shortname]], Comp[], 21, FALSE)</f>
        <v>0</v>
      </c>
      <c r="Y840">
        <f>VLOOKUP(Table9[[#This Row],[Shortname]], Comp[], 22, FALSE)</f>
        <v>0</v>
      </c>
      <c r="Z840">
        <f>VLOOKUP(Table9[[#This Row],[Shortname]], Comp[], 23, FALSE)</f>
        <v>0</v>
      </c>
      <c r="AA840">
        <f>VLOOKUP(Table9[[#This Row],[Shortname]], Comp[], 24, FALSE)</f>
        <v>0</v>
      </c>
      <c r="AB840">
        <f>VLOOKUP(Table9[[#This Row],[Shortname]], Comp[], 25, FALSE)</f>
        <v>0</v>
      </c>
      <c r="AC840">
        <f>VLOOKUP(Table9[[#This Row],[Shortname]], Comp[], 26, FALSE)</f>
        <v>0</v>
      </c>
      <c r="AD840">
        <f>VLOOKUP(Table9[[#This Row],[Shortname]], Comp[], 27, FALSE)</f>
        <v>0</v>
      </c>
      <c r="AE840">
        <f>VLOOKUP(Table9[[#This Row],[Shortname]], Comp[], 28, FALSE)</f>
        <v>0</v>
      </c>
      <c r="AF840">
        <f>VLOOKUP(Table9[[#This Row],[Shortname]], Comp[], 29, FALSE)</f>
        <v>0</v>
      </c>
      <c r="AG840">
        <f>VLOOKUP(Table9[[#This Row],[Shortname]], Comp[], 30, FALSE)</f>
        <v>0</v>
      </c>
      <c r="AH840">
        <f>VLOOKUP(Table9[[#This Row],[Shortname]], Comp[], 31, FALSE)</f>
        <v>0</v>
      </c>
    </row>
    <row r="841" spans="1:34" x14ac:dyDescent="0.3">
      <c r="A841" t="s">
        <v>1438</v>
      </c>
      <c r="B841" t="s">
        <v>1440</v>
      </c>
      <c r="C841" t="s">
        <v>1351</v>
      </c>
      <c r="D841">
        <v>660</v>
      </c>
      <c r="E841">
        <v>800</v>
      </c>
      <c r="F841">
        <v>4.0000000000000002E-4</v>
      </c>
      <c r="G841">
        <v>-1</v>
      </c>
      <c r="H841" t="s">
        <v>6881</v>
      </c>
      <c r="I841">
        <f>VLOOKUP(Table9[[#This Row],[Shortname]], Comp[], 6, FALSE)</f>
        <v>184</v>
      </c>
      <c r="J841" s="14">
        <f>VLOOKUP(Table9[[#This Row],[Shortname]], Comp[], 7, FALSE)</f>
        <v>80.5</v>
      </c>
      <c r="K841">
        <f>VLOOKUP(Table9[[#This Row],[Shortname]], Comp[], 8, FALSE)</f>
        <v>0</v>
      </c>
      <c r="L841">
        <f>VLOOKUP(Table9[[#This Row],[Shortname]], Comp[], 9, FALSE)</f>
        <v>11</v>
      </c>
      <c r="M841">
        <f>VLOOKUP(Table9[[#This Row],[Shortname]], Comp[], 10, FALSE)</f>
        <v>0</v>
      </c>
      <c r="N841">
        <f>VLOOKUP(Table9[[#This Row],[Shortname]], Comp[], 11, FALSE)</f>
        <v>5.9</v>
      </c>
      <c r="O841">
        <f>VLOOKUP(Table9[[#This Row],[Shortname]], Comp[],12, FALSE)</f>
        <v>0</v>
      </c>
      <c r="P841">
        <f>VLOOKUP(Table9[[#This Row],[Shortname]], Comp[], 13, FALSE)</f>
        <v>2.6</v>
      </c>
      <c r="Q841">
        <f>VLOOKUP(Table9[[#This Row],[Shortname]], Comp[], 14, FALSE)</f>
        <v>0</v>
      </c>
      <c r="R841">
        <f>VLOOKUP(Table9[[#This Row],[Shortname]], Comp[], 15, FALSE)</f>
        <v>0</v>
      </c>
      <c r="S841">
        <f>VLOOKUP(Table9[[#This Row],[Shortname]], Comp[], 16, FALSE)</f>
        <v>0</v>
      </c>
      <c r="T841">
        <f>VLOOKUP(Table9[[#This Row],[Shortname]], Comp[], 17, FALSE)</f>
        <v>0</v>
      </c>
      <c r="U841">
        <f>VLOOKUP(Table9[[#This Row],[Shortname]], Comp[], 18, FALSE)</f>
        <v>0</v>
      </c>
      <c r="V841">
        <f>VLOOKUP(Table9[[#This Row],[Shortname]], Comp[], 19, FALSE)</f>
        <v>0</v>
      </c>
      <c r="W841">
        <f>VLOOKUP(Table9[[#This Row],[Shortname]], Comp[], 20, FALSE)</f>
        <v>0</v>
      </c>
      <c r="X841">
        <f>VLOOKUP(Table9[[#This Row],[Shortname]], Comp[], 21, FALSE)</f>
        <v>0</v>
      </c>
      <c r="Y841">
        <f>VLOOKUP(Table9[[#This Row],[Shortname]], Comp[], 22, FALSE)</f>
        <v>0</v>
      </c>
      <c r="Z841">
        <f>VLOOKUP(Table9[[#This Row],[Shortname]], Comp[], 23, FALSE)</f>
        <v>0</v>
      </c>
      <c r="AA841">
        <f>VLOOKUP(Table9[[#This Row],[Shortname]], Comp[], 24, FALSE)</f>
        <v>0</v>
      </c>
      <c r="AB841">
        <f>VLOOKUP(Table9[[#This Row],[Shortname]], Comp[], 25, FALSE)</f>
        <v>0</v>
      </c>
      <c r="AC841">
        <f>VLOOKUP(Table9[[#This Row],[Shortname]], Comp[], 26, FALSE)</f>
        <v>0</v>
      </c>
      <c r="AD841">
        <f>VLOOKUP(Table9[[#This Row],[Shortname]], Comp[], 27, FALSE)</f>
        <v>0</v>
      </c>
      <c r="AE841">
        <f>VLOOKUP(Table9[[#This Row],[Shortname]], Comp[], 28, FALSE)</f>
        <v>0</v>
      </c>
      <c r="AF841">
        <f>VLOOKUP(Table9[[#This Row],[Shortname]], Comp[], 29, FALSE)</f>
        <v>0</v>
      </c>
      <c r="AG841">
        <f>VLOOKUP(Table9[[#This Row],[Shortname]], Comp[], 30, FALSE)</f>
        <v>0</v>
      </c>
      <c r="AH841">
        <f>VLOOKUP(Table9[[#This Row],[Shortname]], Comp[], 31, FALSE)</f>
        <v>0</v>
      </c>
    </row>
    <row r="842" spans="1:34" x14ac:dyDescent="0.3">
      <c r="A842" t="s">
        <v>1438</v>
      </c>
      <c r="B842" t="s">
        <v>1440</v>
      </c>
      <c r="C842" t="s">
        <v>1351</v>
      </c>
      <c r="D842">
        <v>606</v>
      </c>
      <c r="E842">
        <v>900</v>
      </c>
      <c r="F842">
        <v>4.0000000000000002E-4</v>
      </c>
      <c r="G842">
        <v>-1</v>
      </c>
      <c r="H842" t="s">
        <v>6881</v>
      </c>
      <c r="I842">
        <f>VLOOKUP(Table9[[#This Row],[Shortname]], Comp[], 6, FALSE)</f>
        <v>184</v>
      </c>
      <c r="J842" s="14">
        <f>VLOOKUP(Table9[[#This Row],[Shortname]], Comp[], 7, FALSE)</f>
        <v>80.5</v>
      </c>
      <c r="K842">
        <f>VLOOKUP(Table9[[#This Row],[Shortname]], Comp[], 8, FALSE)</f>
        <v>0</v>
      </c>
      <c r="L842">
        <f>VLOOKUP(Table9[[#This Row],[Shortname]], Comp[], 9, FALSE)</f>
        <v>11</v>
      </c>
      <c r="M842">
        <f>VLOOKUP(Table9[[#This Row],[Shortname]], Comp[], 10, FALSE)</f>
        <v>0</v>
      </c>
      <c r="N842">
        <f>VLOOKUP(Table9[[#This Row],[Shortname]], Comp[], 11, FALSE)</f>
        <v>5.9</v>
      </c>
      <c r="O842">
        <f>VLOOKUP(Table9[[#This Row],[Shortname]], Comp[],12, FALSE)</f>
        <v>0</v>
      </c>
      <c r="P842">
        <f>VLOOKUP(Table9[[#This Row],[Shortname]], Comp[], 13, FALSE)</f>
        <v>2.6</v>
      </c>
      <c r="Q842">
        <f>VLOOKUP(Table9[[#This Row],[Shortname]], Comp[], 14, FALSE)</f>
        <v>0</v>
      </c>
      <c r="R842">
        <f>VLOOKUP(Table9[[#This Row],[Shortname]], Comp[], 15, FALSE)</f>
        <v>0</v>
      </c>
      <c r="S842">
        <f>VLOOKUP(Table9[[#This Row],[Shortname]], Comp[], 16, FALSE)</f>
        <v>0</v>
      </c>
      <c r="T842">
        <f>VLOOKUP(Table9[[#This Row],[Shortname]], Comp[], 17, FALSE)</f>
        <v>0</v>
      </c>
      <c r="U842">
        <f>VLOOKUP(Table9[[#This Row],[Shortname]], Comp[], 18, FALSE)</f>
        <v>0</v>
      </c>
      <c r="V842">
        <f>VLOOKUP(Table9[[#This Row],[Shortname]], Comp[], 19, FALSE)</f>
        <v>0</v>
      </c>
      <c r="W842">
        <f>VLOOKUP(Table9[[#This Row],[Shortname]], Comp[], 20, FALSE)</f>
        <v>0</v>
      </c>
      <c r="X842">
        <f>VLOOKUP(Table9[[#This Row],[Shortname]], Comp[], 21, FALSE)</f>
        <v>0</v>
      </c>
      <c r="Y842">
        <f>VLOOKUP(Table9[[#This Row],[Shortname]], Comp[], 22, FALSE)</f>
        <v>0</v>
      </c>
      <c r="Z842">
        <f>VLOOKUP(Table9[[#This Row],[Shortname]], Comp[], 23, FALSE)</f>
        <v>0</v>
      </c>
      <c r="AA842">
        <f>VLOOKUP(Table9[[#This Row],[Shortname]], Comp[], 24, FALSE)</f>
        <v>0</v>
      </c>
      <c r="AB842">
        <f>VLOOKUP(Table9[[#This Row],[Shortname]], Comp[], 25, FALSE)</f>
        <v>0</v>
      </c>
      <c r="AC842">
        <f>VLOOKUP(Table9[[#This Row],[Shortname]], Comp[], 26, FALSE)</f>
        <v>0</v>
      </c>
      <c r="AD842">
        <f>VLOOKUP(Table9[[#This Row],[Shortname]], Comp[], 27, FALSE)</f>
        <v>0</v>
      </c>
      <c r="AE842">
        <f>VLOOKUP(Table9[[#This Row],[Shortname]], Comp[], 28, FALSE)</f>
        <v>0</v>
      </c>
      <c r="AF842">
        <f>VLOOKUP(Table9[[#This Row],[Shortname]], Comp[], 29, FALSE)</f>
        <v>0</v>
      </c>
      <c r="AG842">
        <f>VLOOKUP(Table9[[#This Row],[Shortname]], Comp[], 30, FALSE)</f>
        <v>0</v>
      </c>
      <c r="AH842">
        <f>VLOOKUP(Table9[[#This Row],[Shortname]], Comp[], 31, FALSE)</f>
        <v>0</v>
      </c>
    </row>
    <row r="843" spans="1:34" x14ac:dyDescent="0.3">
      <c r="A843" t="s">
        <v>1438</v>
      </c>
      <c r="B843" t="s">
        <v>1440</v>
      </c>
      <c r="C843" t="s">
        <v>1351</v>
      </c>
      <c r="D843">
        <v>436</v>
      </c>
      <c r="E843">
        <v>1000</v>
      </c>
      <c r="F843">
        <v>4.0000000000000002E-4</v>
      </c>
      <c r="G843">
        <v>-1</v>
      </c>
      <c r="H843" t="s">
        <v>6881</v>
      </c>
      <c r="I843">
        <f>VLOOKUP(Table9[[#This Row],[Shortname]], Comp[], 6, FALSE)</f>
        <v>184</v>
      </c>
      <c r="J843" s="14">
        <f>VLOOKUP(Table9[[#This Row],[Shortname]], Comp[], 7, FALSE)</f>
        <v>80.5</v>
      </c>
      <c r="K843">
        <f>VLOOKUP(Table9[[#This Row],[Shortname]], Comp[], 8, FALSE)</f>
        <v>0</v>
      </c>
      <c r="L843">
        <f>VLOOKUP(Table9[[#This Row],[Shortname]], Comp[], 9, FALSE)</f>
        <v>11</v>
      </c>
      <c r="M843">
        <f>VLOOKUP(Table9[[#This Row],[Shortname]], Comp[], 10, FALSE)</f>
        <v>0</v>
      </c>
      <c r="N843">
        <f>VLOOKUP(Table9[[#This Row],[Shortname]], Comp[], 11, FALSE)</f>
        <v>5.9</v>
      </c>
      <c r="O843">
        <f>VLOOKUP(Table9[[#This Row],[Shortname]], Comp[],12, FALSE)</f>
        <v>0</v>
      </c>
      <c r="P843">
        <f>VLOOKUP(Table9[[#This Row],[Shortname]], Comp[], 13, FALSE)</f>
        <v>2.6</v>
      </c>
      <c r="Q843">
        <f>VLOOKUP(Table9[[#This Row],[Shortname]], Comp[], 14, FALSE)</f>
        <v>0</v>
      </c>
      <c r="R843">
        <f>VLOOKUP(Table9[[#This Row],[Shortname]], Comp[], 15, FALSE)</f>
        <v>0</v>
      </c>
      <c r="S843">
        <f>VLOOKUP(Table9[[#This Row],[Shortname]], Comp[], 16, FALSE)</f>
        <v>0</v>
      </c>
      <c r="T843">
        <f>VLOOKUP(Table9[[#This Row],[Shortname]], Comp[], 17, FALSE)</f>
        <v>0</v>
      </c>
      <c r="U843">
        <f>VLOOKUP(Table9[[#This Row],[Shortname]], Comp[], 18, FALSE)</f>
        <v>0</v>
      </c>
      <c r="V843">
        <f>VLOOKUP(Table9[[#This Row],[Shortname]], Comp[], 19, FALSE)</f>
        <v>0</v>
      </c>
      <c r="W843">
        <f>VLOOKUP(Table9[[#This Row],[Shortname]], Comp[], 20, FALSE)</f>
        <v>0</v>
      </c>
      <c r="X843">
        <f>VLOOKUP(Table9[[#This Row],[Shortname]], Comp[], 21, FALSE)</f>
        <v>0</v>
      </c>
      <c r="Y843">
        <f>VLOOKUP(Table9[[#This Row],[Shortname]], Comp[], 22, FALSE)</f>
        <v>0</v>
      </c>
      <c r="Z843">
        <f>VLOOKUP(Table9[[#This Row],[Shortname]], Comp[], 23, FALSE)</f>
        <v>0</v>
      </c>
      <c r="AA843">
        <f>VLOOKUP(Table9[[#This Row],[Shortname]], Comp[], 24, FALSE)</f>
        <v>0</v>
      </c>
      <c r="AB843">
        <f>VLOOKUP(Table9[[#This Row],[Shortname]], Comp[], 25, FALSE)</f>
        <v>0</v>
      </c>
      <c r="AC843">
        <f>VLOOKUP(Table9[[#This Row],[Shortname]], Comp[], 26, FALSE)</f>
        <v>0</v>
      </c>
      <c r="AD843">
        <f>VLOOKUP(Table9[[#This Row],[Shortname]], Comp[], 27, FALSE)</f>
        <v>0</v>
      </c>
      <c r="AE843">
        <f>VLOOKUP(Table9[[#This Row],[Shortname]], Comp[], 28, FALSE)</f>
        <v>0</v>
      </c>
      <c r="AF843">
        <f>VLOOKUP(Table9[[#This Row],[Shortname]], Comp[], 29, FALSE)</f>
        <v>0</v>
      </c>
      <c r="AG843">
        <f>VLOOKUP(Table9[[#This Row],[Shortname]], Comp[], 30, FALSE)</f>
        <v>0</v>
      </c>
      <c r="AH843">
        <f>VLOOKUP(Table9[[#This Row],[Shortname]], Comp[], 31, FALSE)</f>
        <v>0</v>
      </c>
    </row>
    <row r="844" spans="1:34" x14ac:dyDescent="0.3">
      <c r="A844" t="s">
        <v>1438</v>
      </c>
      <c r="B844" t="s">
        <v>1440</v>
      </c>
      <c r="C844" t="s">
        <v>1351</v>
      </c>
      <c r="D844">
        <v>49</v>
      </c>
      <c r="E844">
        <v>1100</v>
      </c>
      <c r="F844">
        <v>4.0000000000000002E-4</v>
      </c>
      <c r="G844">
        <v>-1</v>
      </c>
      <c r="H844" t="s">
        <v>6881</v>
      </c>
      <c r="I844">
        <f>VLOOKUP(Table9[[#This Row],[Shortname]], Comp[], 6, FALSE)</f>
        <v>184</v>
      </c>
      <c r="J844" s="14">
        <f>VLOOKUP(Table9[[#This Row],[Shortname]], Comp[], 7, FALSE)</f>
        <v>80.5</v>
      </c>
      <c r="K844">
        <f>VLOOKUP(Table9[[#This Row],[Shortname]], Comp[], 8, FALSE)</f>
        <v>0</v>
      </c>
      <c r="L844">
        <f>VLOOKUP(Table9[[#This Row],[Shortname]], Comp[], 9, FALSE)</f>
        <v>11</v>
      </c>
      <c r="M844">
        <f>VLOOKUP(Table9[[#This Row],[Shortname]], Comp[], 10, FALSE)</f>
        <v>0</v>
      </c>
      <c r="N844">
        <f>VLOOKUP(Table9[[#This Row],[Shortname]], Comp[], 11, FALSE)</f>
        <v>5.9</v>
      </c>
      <c r="O844">
        <f>VLOOKUP(Table9[[#This Row],[Shortname]], Comp[],12, FALSE)</f>
        <v>0</v>
      </c>
      <c r="P844">
        <f>VLOOKUP(Table9[[#This Row],[Shortname]], Comp[], 13, FALSE)</f>
        <v>2.6</v>
      </c>
      <c r="Q844">
        <f>VLOOKUP(Table9[[#This Row],[Shortname]], Comp[], 14, FALSE)</f>
        <v>0</v>
      </c>
      <c r="R844">
        <f>VLOOKUP(Table9[[#This Row],[Shortname]], Comp[], 15, FALSE)</f>
        <v>0</v>
      </c>
      <c r="S844">
        <f>VLOOKUP(Table9[[#This Row],[Shortname]], Comp[], 16, FALSE)</f>
        <v>0</v>
      </c>
      <c r="T844">
        <f>VLOOKUP(Table9[[#This Row],[Shortname]], Comp[], 17, FALSE)</f>
        <v>0</v>
      </c>
      <c r="U844">
        <f>VLOOKUP(Table9[[#This Row],[Shortname]], Comp[], 18, FALSE)</f>
        <v>0</v>
      </c>
      <c r="V844">
        <f>VLOOKUP(Table9[[#This Row],[Shortname]], Comp[], 19, FALSE)</f>
        <v>0</v>
      </c>
      <c r="W844">
        <f>VLOOKUP(Table9[[#This Row],[Shortname]], Comp[], 20, FALSE)</f>
        <v>0</v>
      </c>
      <c r="X844">
        <f>VLOOKUP(Table9[[#This Row],[Shortname]], Comp[], 21, FALSE)</f>
        <v>0</v>
      </c>
      <c r="Y844">
        <f>VLOOKUP(Table9[[#This Row],[Shortname]], Comp[], 22, FALSE)</f>
        <v>0</v>
      </c>
      <c r="Z844">
        <f>VLOOKUP(Table9[[#This Row],[Shortname]], Comp[], 23, FALSE)</f>
        <v>0</v>
      </c>
      <c r="AA844">
        <f>VLOOKUP(Table9[[#This Row],[Shortname]], Comp[], 24, FALSE)</f>
        <v>0</v>
      </c>
      <c r="AB844">
        <f>VLOOKUP(Table9[[#This Row],[Shortname]], Comp[], 25, FALSE)</f>
        <v>0</v>
      </c>
      <c r="AC844">
        <f>VLOOKUP(Table9[[#This Row],[Shortname]], Comp[], 26, FALSE)</f>
        <v>0</v>
      </c>
      <c r="AD844">
        <f>VLOOKUP(Table9[[#This Row],[Shortname]], Comp[], 27, FALSE)</f>
        <v>0</v>
      </c>
      <c r="AE844">
        <f>VLOOKUP(Table9[[#This Row],[Shortname]], Comp[], 28, FALSE)</f>
        <v>0</v>
      </c>
      <c r="AF844">
        <f>VLOOKUP(Table9[[#This Row],[Shortname]], Comp[], 29, FALSE)</f>
        <v>0</v>
      </c>
      <c r="AG844">
        <f>VLOOKUP(Table9[[#This Row],[Shortname]], Comp[], 30, FALSE)</f>
        <v>0</v>
      </c>
      <c r="AH844">
        <f>VLOOKUP(Table9[[#This Row],[Shortname]], Comp[], 31, FALSE)</f>
        <v>0</v>
      </c>
    </row>
    <row r="845" spans="1:34" x14ac:dyDescent="0.3">
      <c r="A845" t="s">
        <v>1438</v>
      </c>
      <c r="B845" t="s">
        <v>1440</v>
      </c>
      <c r="C845" t="s">
        <v>1351</v>
      </c>
      <c r="D845">
        <v>36</v>
      </c>
      <c r="E845">
        <v>1200</v>
      </c>
      <c r="F845">
        <v>4.0000000000000002E-4</v>
      </c>
      <c r="G845">
        <v>-1</v>
      </c>
      <c r="H845" t="s">
        <v>6881</v>
      </c>
      <c r="I845">
        <f>VLOOKUP(Table9[[#This Row],[Shortname]], Comp[], 6, FALSE)</f>
        <v>184</v>
      </c>
      <c r="J845" s="14">
        <f>VLOOKUP(Table9[[#This Row],[Shortname]], Comp[], 7, FALSE)</f>
        <v>80.5</v>
      </c>
      <c r="K845">
        <f>VLOOKUP(Table9[[#This Row],[Shortname]], Comp[], 8, FALSE)</f>
        <v>0</v>
      </c>
      <c r="L845">
        <f>VLOOKUP(Table9[[#This Row],[Shortname]], Comp[], 9, FALSE)</f>
        <v>11</v>
      </c>
      <c r="M845">
        <f>VLOOKUP(Table9[[#This Row],[Shortname]], Comp[], 10, FALSE)</f>
        <v>0</v>
      </c>
      <c r="N845">
        <f>VLOOKUP(Table9[[#This Row],[Shortname]], Comp[], 11, FALSE)</f>
        <v>5.9</v>
      </c>
      <c r="O845">
        <f>VLOOKUP(Table9[[#This Row],[Shortname]], Comp[],12, FALSE)</f>
        <v>0</v>
      </c>
      <c r="P845">
        <f>VLOOKUP(Table9[[#This Row],[Shortname]], Comp[], 13, FALSE)</f>
        <v>2.6</v>
      </c>
      <c r="Q845">
        <f>VLOOKUP(Table9[[#This Row],[Shortname]], Comp[], 14, FALSE)</f>
        <v>0</v>
      </c>
      <c r="R845">
        <f>VLOOKUP(Table9[[#This Row],[Shortname]], Comp[], 15, FALSE)</f>
        <v>0</v>
      </c>
      <c r="S845">
        <f>VLOOKUP(Table9[[#This Row],[Shortname]], Comp[], 16, FALSE)</f>
        <v>0</v>
      </c>
      <c r="T845">
        <f>VLOOKUP(Table9[[#This Row],[Shortname]], Comp[], 17, FALSE)</f>
        <v>0</v>
      </c>
      <c r="U845">
        <f>VLOOKUP(Table9[[#This Row],[Shortname]], Comp[], 18, FALSE)</f>
        <v>0</v>
      </c>
      <c r="V845">
        <f>VLOOKUP(Table9[[#This Row],[Shortname]], Comp[], 19, FALSE)</f>
        <v>0</v>
      </c>
      <c r="W845">
        <f>VLOOKUP(Table9[[#This Row],[Shortname]], Comp[], 20, FALSE)</f>
        <v>0</v>
      </c>
      <c r="X845">
        <f>VLOOKUP(Table9[[#This Row],[Shortname]], Comp[], 21, FALSE)</f>
        <v>0</v>
      </c>
      <c r="Y845">
        <f>VLOOKUP(Table9[[#This Row],[Shortname]], Comp[], 22, FALSE)</f>
        <v>0</v>
      </c>
      <c r="Z845">
        <f>VLOOKUP(Table9[[#This Row],[Shortname]], Comp[], 23, FALSE)</f>
        <v>0</v>
      </c>
      <c r="AA845">
        <f>VLOOKUP(Table9[[#This Row],[Shortname]], Comp[], 24, FALSE)</f>
        <v>0</v>
      </c>
      <c r="AB845">
        <f>VLOOKUP(Table9[[#This Row],[Shortname]], Comp[], 25, FALSE)</f>
        <v>0</v>
      </c>
      <c r="AC845">
        <f>VLOOKUP(Table9[[#This Row],[Shortname]], Comp[], 26, FALSE)</f>
        <v>0</v>
      </c>
      <c r="AD845">
        <f>VLOOKUP(Table9[[#This Row],[Shortname]], Comp[], 27, FALSE)</f>
        <v>0</v>
      </c>
      <c r="AE845">
        <f>VLOOKUP(Table9[[#This Row],[Shortname]], Comp[], 28, FALSE)</f>
        <v>0</v>
      </c>
      <c r="AF845">
        <f>VLOOKUP(Table9[[#This Row],[Shortname]], Comp[], 29, FALSE)</f>
        <v>0</v>
      </c>
      <c r="AG845">
        <f>VLOOKUP(Table9[[#This Row],[Shortname]], Comp[], 30, FALSE)</f>
        <v>0</v>
      </c>
      <c r="AH845">
        <f>VLOOKUP(Table9[[#This Row],[Shortname]], Comp[], 31, FALSE)</f>
        <v>0</v>
      </c>
    </row>
    <row r="846" spans="1:34" x14ac:dyDescent="0.3">
      <c r="A846" t="s">
        <v>1430</v>
      </c>
      <c r="B846" t="s">
        <v>1432</v>
      </c>
      <c r="C846" t="s">
        <v>1351</v>
      </c>
      <c r="D846">
        <v>890</v>
      </c>
      <c r="E846">
        <v>25</v>
      </c>
      <c r="F846">
        <v>4.0000000000000002E-4</v>
      </c>
      <c r="G846">
        <v>-1</v>
      </c>
      <c r="H846" t="s">
        <v>6881</v>
      </c>
      <c r="I846">
        <f>VLOOKUP(Table9[[#This Row],[Shortname]], Comp[], 6, FALSE)</f>
        <v>183</v>
      </c>
      <c r="J846" s="14">
        <f>VLOOKUP(Table9[[#This Row],[Shortname]], Comp[], 7, FALSE)</f>
        <v>79.599999999999994</v>
      </c>
      <c r="K846">
        <f>VLOOKUP(Table9[[#This Row],[Shortname]], Comp[], 8, FALSE)</f>
        <v>0</v>
      </c>
      <c r="L846">
        <f>VLOOKUP(Table9[[#This Row],[Shortname]], Comp[], 9, FALSE)</f>
        <v>13.3</v>
      </c>
      <c r="M846">
        <f>VLOOKUP(Table9[[#This Row],[Shortname]], Comp[], 10, FALSE)</f>
        <v>0</v>
      </c>
      <c r="N846">
        <f>VLOOKUP(Table9[[#This Row],[Shortname]], Comp[], 11, FALSE)</f>
        <v>3.9</v>
      </c>
      <c r="O846">
        <f>VLOOKUP(Table9[[#This Row],[Shortname]], Comp[],12, FALSE)</f>
        <v>0</v>
      </c>
      <c r="P846">
        <f>VLOOKUP(Table9[[#This Row],[Shortname]], Comp[], 13, FALSE)</f>
        <v>3.2</v>
      </c>
      <c r="Q846">
        <f>VLOOKUP(Table9[[#This Row],[Shortname]], Comp[], 14, FALSE)</f>
        <v>0</v>
      </c>
      <c r="R846">
        <f>VLOOKUP(Table9[[#This Row],[Shortname]], Comp[], 15, FALSE)</f>
        <v>0</v>
      </c>
      <c r="S846">
        <f>VLOOKUP(Table9[[#This Row],[Shortname]], Comp[], 16, FALSE)</f>
        <v>0</v>
      </c>
      <c r="T846">
        <f>VLOOKUP(Table9[[#This Row],[Shortname]], Comp[], 17, FALSE)</f>
        <v>0</v>
      </c>
      <c r="U846">
        <f>VLOOKUP(Table9[[#This Row],[Shortname]], Comp[], 18, FALSE)</f>
        <v>0</v>
      </c>
      <c r="V846">
        <f>VLOOKUP(Table9[[#This Row],[Shortname]], Comp[], 19, FALSE)</f>
        <v>0</v>
      </c>
      <c r="W846">
        <f>VLOOKUP(Table9[[#This Row],[Shortname]], Comp[], 20, FALSE)</f>
        <v>0</v>
      </c>
      <c r="X846">
        <f>VLOOKUP(Table9[[#This Row],[Shortname]], Comp[], 21, FALSE)</f>
        <v>0</v>
      </c>
      <c r="Y846">
        <f>VLOOKUP(Table9[[#This Row],[Shortname]], Comp[], 22, FALSE)</f>
        <v>0</v>
      </c>
      <c r="Z846">
        <f>VLOOKUP(Table9[[#This Row],[Shortname]], Comp[], 23, FALSE)</f>
        <v>0</v>
      </c>
      <c r="AA846">
        <f>VLOOKUP(Table9[[#This Row],[Shortname]], Comp[], 24, FALSE)</f>
        <v>0</v>
      </c>
      <c r="AB846">
        <f>VLOOKUP(Table9[[#This Row],[Shortname]], Comp[], 25, FALSE)</f>
        <v>0</v>
      </c>
      <c r="AC846">
        <f>VLOOKUP(Table9[[#This Row],[Shortname]], Comp[], 26, FALSE)</f>
        <v>0</v>
      </c>
      <c r="AD846">
        <f>VLOOKUP(Table9[[#This Row],[Shortname]], Comp[], 27, FALSE)</f>
        <v>0</v>
      </c>
      <c r="AE846">
        <f>VLOOKUP(Table9[[#This Row],[Shortname]], Comp[], 28, FALSE)</f>
        <v>0</v>
      </c>
      <c r="AF846">
        <f>VLOOKUP(Table9[[#This Row],[Shortname]], Comp[], 29, FALSE)</f>
        <v>0</v>
      </c>
      <c r="AG846">
        <f>VLOOKUP(Table9[[#This Row],[Shortname]], Comp[], 30, FALSE)</f>
        <v>0</v>
      </c>
      <c r="AH846">
        <f>VLOOKUP(Table9[[#This Row],[Shortname]], Comp[], 31, FALSE)</f>
        <v>0</v>
      </c>
    </row>
    <row r="847" spans="1:34" x14ac:dyDescent="0.3">
      <c r="A847" t="s">
        <v>1430</v>
      </c>
      <c r="B847" t="s">
        <v>1432</v>
      </c>
      <c r="C847" t="s">
        <v>1351</v>
      </c>
      <c r="D847">
        <v>770</v>
      </c>
      <c r="E847">
        <v>600</v>
      </c>
      <c r="F847">
        <v>4.0000000000000002E-4</v>
      </c>
      <c r="G847">
        <v>-1</v>
      </c>
      <c r="H847" t="s">
        <v>6881</v>
      </c>
      <c r="I847">
        <f>VLOOKUP(Table9[[#This Row],[Shortname]], Comp[], 6, FALSE)</f>
        <v>183</v>
      </c>
      <c r="J847" s="14">
        <f>VLOOKUP(Table9[[#This Row],[Shortname]], Comp[], 7, FALSE)</f>
        <v>79.599999999999994</v>
      </c>
      <c r="K847">
        <f>VLOOKUP(Table9[[#This Row],[Shortname]], Comp[], 8, FALSE)</f>
        <v>0</v>
      </c>
      <c r="L847">
        <f>VLOOKUP(Table9[[#This Row],[Shortname]], Comp[], 9, FALSE)</f>
        <v>13.3</v>
      </c>
      <c r="M847">
        <f>VLOOKUP(Table9[[#This Row],[Shortname]], Comp[], 10, FALSE)</f>
        <v>0</v>
      </c>
      <c r="N847">
        <f>VLOOKUP(Table9[[#This Row],[Shortname]], Comp[], 11, FALSE)</f>
        <v>3.9</v>
      </c>
      <c r="O847">
        <f>VLOOKUP(Table9[[#This Row],[Shortname]], Comp[],12, FALSE)</f>
        <v>0</v>
      </c>
      <c r="P847">
        <f>VLOOKUP(Table9[[#This Row],[Shortname]], Comp[], 13, FALSE)</f>
        <v>3.2</v>
      </c>
      <c r="Q847">
        <f>VLOOKUP(Table9[[#This Row],[Shortname]], Comp[], 14, FALSE)</f>
        <v>0</v>
      </c>
      <c r="R847">
        <f>VLOOKUP(Table9[[#This Row],[Shortname]], Comp[], 15, FALSE)</f>
        <v>0</v>
      </c>
      <c r="S847">
        <f>VLOOKUP(Table9[[#This Row],[Shortname]], Comp[], 16, FALSE)</f>
        <v>0</v>
      </c>
      <c r="T847">
        <f>VLOOKUP(Table9[[#This Row],[Shortname]], Comp[], 17, FALSE)</f>
        <v>0</v>
      </c>
      <c r="U847">
        <f>VLOOKUP(Table9[[#This Row],[Shortname]], Comp[], 18, FALSE)</f>
        <v>0</v>
      </c>
      <c r="V847">
        <f>VLOOKUP(Table9[[#This Row],[Shortname]], Comp[], 19, FALSE)</f>
        <v>0</v>
      </c>
      <c r="W847">
        <f>VLOOKUP(Table9[[#This Row],[Shortname]], Comp[], 20, FALSE)</f>
        <v>0</v>
      </c>
      <c r="X847">
        <f>VLOOKUP(Table9[[#This Row],[Shortname]], Comp[], 21, FALSE)</f>
        <v>0</v>
      </c>
      <c r="Y847">
        <f>VLOOKUP(Table9[[#This Row],[Shortname]], Comp[], 22, FALSE)</f>
        <v>0</v>
      </c>
      <c r="Z847">
        <f>VLOOKUP(Table9[[#This Row],[Shortname]], Comp[], 23, FALSE)</f>
        <v>0</v>
      </c>
      <c r="AA847">
        <f>VLOOKUP(Table9[[#This Row],[Shortname]], Comp[], 24, FALSE)</f>
        <v>0</v>
      </c>
      <c r="AB847">
        <f>VLOOKUP(Table9[[#This Row],[Shortname]], Comp[], 25, FALSE)</f>
        <v>0</v>
      </c>
      <c r="AC847">
        <f>VLOOKUP(Table9[[#This Row],[Shortname]], Comp[], 26, FALSE)</f>
        <v>0</v>
      </c>
      <c r="AD847">
        <f>VLOOKUP(Table9[[#This Row],[Shortname]], Comp[], 27, FALSE)</f>
        <v>0</v>
      </c>
      <c r="AE847">
        <f>VLOOKUP(Table9[[#This Row],[Shortname]], Comp[], 28, FALSE)</f>
        <v>0</v>
      </c>
      <c r="AF847">
        <f>VLOOKUP(Table9[[#This Row],[Shortname]], Comp[], 29, FALSE)</f>
        <v>0</v>
      </c>
      <c r="AG847">
        <f>VLOOKUP(Table9[[#This Row],[Shortname]], Comp[], 30, FALSE)</f>
        <v>0</v>
      </c>
      <c r="AH847">
        <f>VLOOKUP(Table9[[#This Row],[Shortname]], Comp[], 31, FALSE)</f>
        <v>0</v>
      </c>
    </row>
    <row r="848" spans="1:34" x14ac:dyDescent="0.3">
      <c r="A848" t="s">
        <v>1430</v>
      </c>
      <c r="B848" t="s">
        <v>1432</v>
      </c>
      <c r="C848" t="s">
        <v>1351</v>
      </c>
      <c r="D848">
        <v>830</v>
      </c>
      <c r="E848">
        <v>700</v>
      </c>
      <c r="F848">
        <v>4.0000000000000002E-4</v>
      </c>
      <c r="G848">
        <v>-1</v>
      </c>
      <c r="H848" t="s">
        <v>6881</v>
      </c>
      <c r="I848">
        <f>VLOOKUP(Table9[[#This Row],[Shortname]], Comp[], 6, FALSE)</f>
        <v>183</v>
      </c>
      <c r="J848" s="14">
        <f>VLOOKUP(Table9[[#This Row],[Shortname]], Comp[], 7, FALSE)</f>
        <v>79.599999999999994</v>
      </c>
      <c r="K848">
        <f>VLOOKUP(Table9[[#This Row],[Shortname]], Comp[], 8, FALSE)</f>
        <v>0</v>
      </c>
      <c r="L848">
        <f>VLOOKUP(Table9[[#This Row],[Shortname]], Comp[], 9, FALSE)</f>
        <v>13.3</v>
      </c>
      <c r="M848">
        <f>VLOOKUP(Table9[[#This Row],[Shortname]], Comp[], 10, FALSE)</f>
        <v>0</v>
      </c>
      <c r="N848">
        <f>VLOOKUP(Table9[[#This Row],[Shortname]], Comp[], 11, FALSE)</f>
        <v>3.9</v>
      </c>
      <c r="O848">
        <f>VLOOKUP(Table9[[#This Row],[Shortname]], Comp[],12, FALSE)</f>
        <v>0</v>
      </c>
      <c r="P848">
        <f>VLOOKUP(Table9[[#This Row],[Shortname]], Comp[], 13, FALSE)</f>
        <v>3.2</v>
      </c>
      <c r="Q848">
        <f>VLOOKUP(Table9[[#This Row],[Shortname]], Comp[], 14, FALSE)</f>
        <v>0</v>
      </c>
      <c r="R848">
        <f>VLOOKUP(Table9[[#This Row],[Shortname]], Comp[], 15, FALSE)</f>
        <v>0</v>
      </c>
      <c r="S848">
        <f>VLOOKUP(Table9[[#This Row],[Shortname]], Comp[], 16, FALSE)</f>
        <v>0</v>
      </c>
      <c r="T848">
        <f>VLOOKUP(Table9[[#This Row],[Shortname]], Comp[], 17, FALSE)</f>
        <v>0</v>
      </c>
      <c r="U848">
        <f>VLOOKUP(Table9[[#This Row],[Shortname]], Comp[], 18, FALSE)</f>
        <v>0</v>
      </c>
      <c r="V848">
        <f>VLOOKUP(Table9[[#This Row],[Shortname]], Comp[], 19, FALSE)</f>
        <v>0</v>
      </c>
      <c r="W848">
        <f>VLOOKUP(Table9[[#This Row],[Shortname]], Comp[], 20, FALSE)</f>
        <v>0</v>
      </c>
      <c r="X848">
        <f>VLOOKUP(Table9[[#This Row],[Shortname]], Comp[], 21, FALSE)</f>
        <v>0</v>
      </c>
      <c r="Y848">
        <f>VLOOKUP(Table9[[#This Row],[Shortname]], Comp[], 22, FALSE)</f>
        <v>0</v>
      </c>
      <c r="Z848">
        <f>VLOOKUP(Table9[[#This Row],[Shortname]], Comp[], 23, FALSE)</f>
        <v>0</v>
      </c>
      <c r="AA848">
        <f>VLOOKUP(Table9[[#This Row],[Shortname]], Comp[], 24, FALSE)</f>
        <v>0</v>
      </c>
      <c r="AB848">
        <f>VLOOKUP(Table9[[#This Row],[Shortname]], Comp[], 25, FALSE)</f>
        <v>0</v>
      </c>
      <c r="AC848">
        <f>VLOOKUP(Table9[[#This Row],[Shortname]], Comp[], 26, FALSE)</f>
        <v>0</v>
      </c>
      <c r="AD848">
        <f>VLOOKUP(Table9[[#This Row],[Shortname]], Comp[], 27, FALSE)</f>
        <v>0</v>
      </c>
      <c r="AE848">
        <f>VLOOKUP(Table9[[#This Row],[Shortname]], Comp[], 28, FALSE)</f>
        <v>0</v>
      </c>
      <c r="AF848">
        <f>VLOOKUP(Table9[[#This Row],[Shortname]], Comp[], 29, FALSE)</f>
        <v>0</v>
      </c>
      <c r="AG848">
        <f>VLOOKUP(Table9[[#This Row],[Shortname]], Comp[], 30, FALSE)</f>
        <v>0</v>
      </c>
      <c r="AH848">
        <f>VLOOKUP(Table9[[#This Row],[Shortname]], Comp[], 31, FALSE)</f>
        <v>0</v>
      </c>
    </row>
    <row r="849" spans="1:34" x14ac:dyDescent="0.3">
      <c r="A849" t="s">
        <v>1430</v>
      </c>
      <c r="B849" t="s">
        <v>1432</v>
      </c>
      <c r="C849" t="s">
        <v>1351</v>
      </c>
      <c r="D849">
        <v>794</v>
      </c>
      <c r="E849">
        <v>800</v>
      </c>
      <c r="F849">
        <v>4.0000000000000002E-4</v>
      </c>
      <c r="G849">
        <v>-1</v>
      </c>
      <c r="H849" t="s">
        <v>6881</v>
      </c>
      <c r="I849">
        <f>VLOOKUP(Table9[[#This Row],[Shortname]], Comp[], 6, FALSE)</f>
        <v>183</v>
      </c>
      <c r="J849" s="14">
        <f>VLOOKUP(Table9[[#This Row],[Shortname]], Comp[], 7, FALSE)</f>
        <v>79.599999999999994</v>
      </c>
      <c r="K849">
        <f>VLOOKUP(Table9[[#This Row],[Shortname]], Comp[], 8, FALSE)</f>
        <v>0</v>
      </c>
      <c r="L849">
        <f>VLOOKUP(Table9[[#This Row],[Shortname]], Comp[], 9, FALSE)</f>
        <v>13.3</v>
      </c>
      <c r="M849">
        <f>VLOOKUP(Table9[[#This Row],[Shortname]], Comp[], 10, FALSE)</f>
        <v>0</v>
      </c>
      <c r="N849">
        <f>VLOOKUP(Table9[[#This Row],[Shortname]], Comp[], 11, FALSE)</f>
        <v>3.9</v>
      </c>
      <c r="O849">
        <f>VLOOKUP(Table9[[#This Row],[Shortname]], Comp[],12, FALSE)</f>
        <v>0</v>
      </c>
      <c r="P849">
        <f>VLOOKUP(Table9[[#This Row],[Shortname]], Comp[], 13, FALSE)</f>
        <v>3.2</v>
      </c>
      <c r="Q849">
        <f>VLOOKUP(Table9[[#This Row],[Shortname]], Comp[], 14, FALSE)</f>
        <v>0</v>
      </c>
      <c r="R849">
        <f>VLOOKUP(Table9[[#This Row],[Shortname]], Comp[], 15, FALSE)</f>
        <v>0</v>
      </c>
      <c r="S849">
        <f>VLOOKUP(Table9[[#This Row],[Shortname]], Comp[], 16, FALSE)</f>
        <v>0</v>
      </c>
      <c r="T849">
        <f>VLOOKUP(Table9[[#This Row],[Shortname]], Comp[], 17, FALSE)</f>
        <v>0</v>
      </c>
      <c r="U849">
        <f>VLOOKUP(Table9[[#This Row],[Shortname]], Comp[], 18, FALSE)</f>
        <v>0</v>
      </c>
      <c r="V849">
        <f>VLOOKUP(Table9[[#This Row],[Shortname]], Comp[], 19, FALSE)</f>
        <v>0</v>
      </c>
      <c r="W849">
        <f>VLOOKUP(Table9[[#This Row],[Shortname]], Comp[], 20, FALSE)</f>
        <v>0</v>
      </c>
      <c r="X849">
        <f>VLOOKUP(Table9[[#This Row],[Shortname]], Comp[], 21, FALSE)</f>
        <v>0</v>
      </c>
      <c r="Y849">
        <f>VLOOKUP(Table9[[#This Row],[Shortname]], Comp[], 22, FALSE)</f>
        <v>0</v>
      </c>
      <c r="Z849">
        <f>VLOOKUP(Table9[[#This Row],[Shortname]], Comp[], 23, FALSE)</f>
        <v>0</v>
      </c>
      <c r="AA849">
        <f>VLOOKUP(Table9[[#This Row],[Shortname]], Comp[], 24, FALSE)</f>
        <v>0</v>
      </c>
      <c r="AB849">
        <f>VLOOKUP(Table9[[#This Row],[Shortname]], Comp[], 25, FALSE)</f>
        <v>0</v>
      </c>
      <c r="AC849">
        <f>VLOOKUP(Table9[[#This Row],[Shortname]], Comp[], 26, FALSE)</f>
        <v>0</v>
      </c>
      <c r="AD849">
        <f>VLOOKUP(Table9[[#This Row],[Shortname]], Comp[], 27, FALSE)</f>
        <v>0</v>
      </c>
      <c r="AE849">
        <f>VLOOKUP(Table9[[#This Row],[Shortname]], Comp[], 28, FALSE)</f>
        <v>0</v>
      </c>
      <c r="AF849">
        <f>VLOOKUP(Table9[[#This Row],[Shortname]], Comp[], 29, FALSE)</f>
        <v>0</v>
      </c>
      <c r="AG849">
        <f>VLOOKUP(Table9[[#This Row],[Shortname]], Comp[], 30, FALSE)</f>
        <v>0</v>
      </c>
      <c r="AH849">
        <f>VLOOKUP(Table9[[#This Row],[Shortname]], Comp[], 31, FALSE)</f>
        <v>0</v>
      </c>
    </row>
    <row r="850" spans="1:34" x14ac:dyDescent="0.3">
      <c r="A850" t="s">
        <v>1430</v>
      </c>
      <c r="B850" t="s">
        <v>1432</v>
      </c>
      <c r="C850" t="s">
        <v>1351</v>
      </c>
      <c r="D850">
        <v>648</v>
      </c>
      <c r="E850">
        <v>900</v>
      </c>
      <c r="F850">
        <v>4.0000000000000002E-4</v>
      </c>
      <c r="G850">
        <v>-1</v>
      </c>
      <c r="H850" t="s">
        <v>6881</v>
      </c>
      <c r="I850">
        <f>VLOOKUP(Table9[[#This Row],[Shortname]], Comp[], 6, FALSE)</f>
        <v>183</v>
      </c>
      <c r="J850" s="14">
        <f>VLOOKUP(Table9[[#This Row],[Shortname]], Comp[], 7, FALSE)</f>
        <v>79.599999999999994</v>
      </c>
      <c r="K850">
        <f>VLOOKUP(Table9[[#This Row],[Shortname]], Comp[], 8, FALSE)</f>
        <v>0</v>
      </c>
      <c r="L850">
        <f>VLOOKUP(Table9[[#This Row],[Shortname]], Comp[], 9, FALSE)</f>
        <v>13.3</v>
      </c>
      <c r="M850">
        <f>VLOOKUP(Table9[[#This Row],[Shortname]], Comp[], 10, FALSE)</f>
        <v>0</v>
      </c>
      <c r="N850">
        <f>VLOOKUP(Table9[[#This Row],[Shortname]], Comp[], 11, FALSE)</f>
        <v>3.9</v>
      </c>
      <c r="O850">
        <f>VLOOKUP(Table9[[#This Row],[Shortname]], Comp[],12, FALSE)</f>
        <v>0</v>
      </c>
      <c r="P850">
        <f>VLOOKUP(Table9[[#This Row],[Shortname]], Comp[], 13, FALSE)</f>
        <v>3.2</v>
      </c>
      <c r="Q850">
        <f>VLOOKUP(Table9[[#This Row],[Shortname]], Comp[], 14, FALSE)</f>
        <v>0</v>
      </c>
      <c r="R850">
        <f>VLOOKUP(Table9[[#This Row],[Shortname]], Comp[], 15, FALSE)</f>
        <v>0</v>
      </c>
      <c r="S850">
        <f>VLOOKUP(Table9[[#This Row],[Shortname]], Comp[], 16, FALSE)</f>
        <v>0</v>
      </c>
      <c r="T850">
        <f>VLOOKUP(Table9[[#This Row],[Shortname]], Comp[], 17, FALSE)</f>
        <v>0</v>
      </c>
      <c r="U850">
        <f>VLOOKUP(Table9[[#This Row],[Shortname]], Comp[], 18, FALSE)</f>
        <v>0</v>
      </c>
      <c r="V850">
        <f>VLOOKUP(Table9[[#This Row],[Shortname]], Comp[], 19, FALSE)</f>
        <v>0</v>
      </c>
      <c r="W850">
        <f>VLOOKUP(Table9[[#This Row],[Shortname]], Comp[], 20, FALSE)</f>
        <v>0</v>
      </c>
      <c r="X850">
        <f>VLOOKUP(Table9[[#This Row],[Shortname]], Comp[], 21, FALSE)</f>
        <v>0</v>
      </c>
      <c r="Y850">
        <f>VLOOKUP(Table9[[#This Row],[Shortname]], Comp[], 22, FALSE)</f>
        <v>0</v>
      </c>
      <c r="Z850">
        <f>VLOOKUP(Table9[[#This Row],[Shortname]], Comp[], 23, FALSE)</f>
        <v>0</v>
      </c>
      <c r="AA850">
        <f>VLOOKUP(Table9[[#This Row],[Shortname]], Comp[], 24, FALSE)</f>
        <v>0</v>
      </c>
      <c r="AB850">
        <f>VLOOKUP(Table9[[#This Row],[Shortname]], Comp[], 25, FALSE)</f>
        <v>0</v>
      </c>
      <c r="AC850">
        <f>VLOOKUP(Table9[[#This Row],[Shortname]], Comp[], 26, FALSE)</f>
        <v>0</v>
      </c>
      <c r="AD850">
        <f>VLOOKUP(Table9[[#This Row],[Shortname]], Comp[], 27, FALSE)</f>
        <v>0</v>
      </c>
      <c r="AE850">
        <f>VLOOKUP(Table9[[#This Row],[Shortname]], Comp[], 28, FALSE)</f>
        <v>0</v>
      </c>
      <c r="AF850">
        <f>VLOOKUP(Table9[[#This Row],[Shortname]], Comp[], 29, FALSE)</f>
        <v>0</v>
      </c>
      <c r="AG850">
        <f>VLOOKUP(Table9[[#This Row],[Shortname]], Comp[], 30, FALSE)</f>
        <v>0</v>
      </c>
      <c r="AH850">
        <f>VLOOKUP(Table9[[#This Row],[Shortname]], Comp[], 31, FALSE)</f>
        <v>0</v>
      </c>
    </row>
    <row r="851" spans="1:34" x14ac:dyDescent="0.3">
      <c r="A851" t="s">
        <v>5357</v>
      </c>
      <c r="B851" t="s">
        <v>5358</v>
      </c>
      <c r="C851" t="s">
        <v>5359</v>
      </c>
      <c r="D851">
        <v>673</v>
      </c>
      <c r="E851">
        <v>25</v>
      </c>
      <c r="F851">
        <v>0.01</v>
      </c>
      <c r="G851">
        <v>-1</v>
      </c>
      <c r="H851" t="s">
        <v>6882</v>
      </c>
      <c r="I851">
        <f>VLOOKUP(Table9[[#This Row],[Shortname]], Comp[], 6, FALSE)</f>
        <v>815</v>
      </c>
      <c r="J851" s="14">
        <f>VLOOKUP(Table9[[#This Row],[Shortname]], Comp[], 7, FALSE)</f>
        <v>43.099999999999994</v>
      </c>
      <c r="K851">
        <f>VLOOKUP(Table9[[#This Row],[Shortname]], Comp[], 8, FALSE)</f>
        <v>28.8</v>
      </c>
      <c r="L851">
        <f>VLOOKUP(Table9[[#This Row],[Shortname]], Comp[], 9, FALSE)</f>
        <v>10</v>
      </c>
      <c r="M851">
        <f>VLOOKUP(Table9[[#This Row],[Shortname]], Comp[], 10, FALSE)</f>
        <v>10.199999999999999</v>
      </c>
      <c r="N851">
        <f>VLOOKUP(Table9[[#This Row],[Shortname]], Comp[], 11, FALSE)</f>
        <v>0</v>
      </c>
      <c r="O851">
        <f>VLOOKUP(Table9[[#This Row],[Shortname]], Comp[],12, FALSE)</f>
        <v>2.1</v>
      </c>
      <c r="P851">
        <f>VLOOKUP(Table9[[#This Row],[Shortname]], Comp[], 13, FALSE)</f>
        <v>2.1</v>
      </c>
      <c r="Q851">
        <f>VLOOKUP(Table9[[#This Row],[Shortname]], Comp[], 14, FALSE)</f>
        <v>1.5</v>
      </c>
      <c r="R851">
        <f>VLOOKUP(Table9[[#This Row],[Shortname]], Comp[], 15, FALSE)</f>
        <v>0</v>
      </c>
      <c r="S851">
        <f>VLOOKUP(Table9[[#This Row],[Shortname]], Comp[], 16, FALSE)</f>
        <v>2.2000000000000002</v>
      </c>
      <c r="T851">
        <f>VLOOKUP(Table9[[#This Row],[Shortname]], Comp[], 17, FALSE)</f>
        <v>0</v>
      </c>
      <c r="U851">
        <f>VLOOKUP(Table9[[#This Row],[Shortname]], Comp[], 18, FALSE)</f>
        <v>0</v>
      </c>
      <c r="V851">
        <f>VLOOKUP(Table9[[#This Row],[Shortname]], Comp[], 19, FALSE)</f>
        <v>0</v>
      </c>
      <c r="W851">
        <f>VLOOKUP(Table9[[#This Row],[Shortname]], Comp[], 20, FALSE)</f>
        <v>0</v>
      </c>
      <c r="X851">
        <f>VLOOKUP(Table9[[#This Row],[Shortname]], Comp[], 21, FALSE)</f>
        <v>0</v>
      </c>
      <c r="Y851">
        <f>VLOOKUP(Table9[[#This Row],[Shortname]], Comp[], 22, FALSE)</f>
        <v>0</v>
      </c>
      <c r="Z851">
        <f>VLOOKUP(Table9[[#This Row],[Shortname]], Comp[], 23, FALSE)</f>
        <v>0</v>
      </c>
      <c r="AA851">
        <f>VLOOKUP(Table9[[#This Row],[Shortname]], Comp[], 24, FALSE)</f>
        <v>0</v>
      </c>
      <c r="AB851">
        <f>VLOOKUP(Table9[[#This Row],[Shortname]], Comp[], 25, FALSE)</f>
        <v>0</v>
      </c>
      <c r="AC851">
        <f>VLOOKUP(Table9[[#This Row],[Shortname]], Comp[], 26, FALSE)</f>
        <v>0</v>
      </c>
      <c r="AD851">
        <f>VLOOKUP(Table9[[#This Row],[Shortname]], Comp[], 27, FALSE)</f>
        <v>0</v>
      </c>
      <c r="AE851">
        <f>VLOOKUP(Table9[[#This Row],[Shortname]], Comp[], 28, FALSE)</f>
        <v>0</v>
      </c>
      <c r="AF851">
        <f>VLOOKUP(Table9[[#This Row],[Shortname]], Comp[], 29, FALSE)</f>
        <v>0</v>
      </c>
      <c r="AG851">
        <f>VLOOKUP(Table9[[#This Row],[Shortname]], Comp[], 30, FALSE)</f>
        <v>0</v>
      </c>
      <c r="AH851">
        <f>VLOOKUP(Table9[[#This Row],[Shortname]], Comp[], 31, FALSE)</f>
        <v>0</v>
      </c>
    </row>
    <row r="852" spans="1:34" x14ac:dyDescent="0.3">
      <c r="A852" t="s">
        <v>5357</v>
      </c>
      <c r="B852" t="s">
        <v>5358</v>
      </c>
      <c r="C852" t="s">
        <v>6883</v>
      </c>
      <c r="D852">
        <v>642</v>
      </c>
      <c r="E852">
        <v>600</v>
      </c>
      <c r="F852">
        <v>0.01</v>
      </c>
      <c r="G852">
        <v>-1</v>
      </c>
      <c r="H852" t="s">
        <v>6882</v>
      </c>
      <c r="I852">
        <f>VLOOKUP(Table9[[#This Row],[Shortname]], Comp[], 6, FALSE)</f>
        <v>815</v>
      </c>
      <c r="J852" s="14">
        <f>VLOOKUP(Table9[[#This Row],[Shortname]], Comp[], 7, FALSE)</f>
        <v>43.099999999999994</v>
      </c>
      <c r="K852">
        <f>VLOOKUP(Table9[[#This Row],[Shortname]], Comp[], 8, FALSE)</f>
        <v>28.8</v>
      </c>
      <c r="L852">
        <f>VLOOKUP(Table9[[#This Row],[Shortname]], Comp[], 9, FALSE)</f>
        <v>10</v>
      </c>
      <c r="M852">
        <f>VLOOKUP(Table9[[#This Row],[Shortname]], Comp[], 10, FALSE)</f>
        <v>10.199999999999999</v>
      </c>
      <c r="N852">
        <f>VLOOKUP(Table9[[#This Row],[Shortname]], Comp[], 11, FALSE)</f>
        <v>0</v>
      </c>
      <c r="O852">
        <f>VLOOKUP(Table9[[#This Row],[Shortname]], Comp[],12, FALSE)</f>
        <v>2.1</v>
      </c>
      <c r="P852">
        <f>VLOOKUP(Table9[[#This Row],[Shortname]], Comp[], 13, FALSE)</f>
        <v>2.1</v>
      </c>
      <c r="Q852">
        <f>VLOOKUP(Table9[[#This Row],[Shortname]], Comp[], 14, FALSE)</f>
        <v>1.5</v>
      </c>
      <c r="R852">
        <f>VLOOKUP(Table9[[#This Row],[Shortname]], Comp[], 15, FALSE)</f>
        <v>0</v>
      </c>
      <c r="S852">
        <f>VLOOKUP(Table9[[#This Row],[Shortname]], Comp[], 16, FALSE)</f>
        <v>2.2000000000000002</v>
      </c>
      <c r="T852">
        <f>VLOOKUP(Table9[[#This Row],[Shortname]], Comp[], 17, FALSE)</f>
        <v>0</v>
      </c>
      <c r="U852">
        <f>VLOOKUP(Table9[[#This Row],[Shortname]], Comp[], 18, FALSE)</f>
        <v>0</v>
      </c>
      <c r="V852">
        <f>VLOOKUP(Table9[[#This Row],[Shortname]], Comp[], 19, FALSE)</f>
        <v>0</v>
      </c>
      <c r="W852">
        <f>VLOOKUP(Table9[[#This Row],[Shortname]], Comp[], 20, FALSE)</f>
        <v>0</v>
      </c>
      <c r="X852">
        <f>VLOOKUP(Table9[[#This Row],[Shortname]], Comp[], 21, FALSE)</f>
        <v>0</v>
      </c>
      <c r="Y852">
        <f>VLOOKUP(Table9[[#This Row],[Shortname]], Comp[], 22, FALSE)</f>
        <v>0</v>
      </c>
      <c r="Z852">
        <f>VLOOKUP(Table9[[#This Row],[Shortname]], Comp[], 23, FALSE)</f>
        <v>0</v>
      </c>
      <c r="AA852">
        <f>VLOOKUP(Table9[[#This Row],[Shortname]], Comp[], 24, FALSE)</f>
        <v>0</v>
      </c>
      <c r="AB852">
        <f>VLOOKUP(Table9[[#This Row],[Shortname]], Comp[], 25, FALSE)</f>
        <v>0</v>
      </c>
      <c r="AC852">
        <f>VLOOKUP(Table9[[#This Row],[Shortname]], Comp[], 26, FALSE)</f>
        <v>0</v>
      </c>
      <c r="AD852">
        <f>VLOOKUP(Table9[[#This Row],[Shortname]], Comp[], 27, FALSE)</f>
        <v>0</v>
      </c>
      <c r="AE852">
        <f>VLOOKUP(Table9[[#This Row],[Shortname]], Comp[], 28, FALSE)</f>
        <v>0</v>
      </c>
      <c r="AF852">
        <f>VLOOKUP(Table9[[#This Row],[Shortname]], Comp[], 29, FALSE)</f>
        <v>0</v>
      </c>
      <c r="AG852">
        <f>VLOOKUP(Table9[[#This Row],[Shortname]], Comp[], 30, FALSE)</f>
        <v>0</v>
      </c>
      <c r="AH852">
        <f>VLOOKUP(Table9[[#This Row],[Shortname]], Comp[], 31, FALSE)</f>
        <v>0</v>
      </c>
    </row>
    <row r="853" spans="1:34" x14ac:dyDescent="0.3">
      <c r="A853" t="s">
        <v>5357</v>
      </c>
      <c r="B853" t="s">
        <v>5358</v>
      </c>
      <c r="C853" t="s">
        <v>6884</v>
      </c>
      <c r="D853">
        <v>756</v>
      </c>
      <c r="E853">
        <v>800</v>
      </c>
      <c r="F853">
        <v>0.01</v>
      </c>
      <c r="G853">
        <v>-1</v>
      </c>
      <c r="H853" t="s">
        <v>6882</v>
      </c>
      <c r="I853">
        <f>VLOOKUP(Table9[[#This Row],[Shortname]], Comp[], 6, FALSE)</f>
        <v>815</v>
      </c>
      <c r="J853" s="14">
        <f>VLOOKUP(Table9[[#This Row],[Shortname]], Comp[], 7, FALSE)</f>
        <v>43.099999999999994</v>
      </c>
      <c r="K853">
        <f>VLOOKUP(Table9[[#This Row],[Shortname]], Comp[], 8, FALSE)</f>
        <v>28.8</v>
      </c>
      <c r="L853">
        <f>VLOOKUP(Table9[[#This Row],[Shortname]], Comp[], 9, FALSE)</f>
        <v>10</v>
      </c>
      <c r="M853">
        <f>VLOOKUP(Table9[[#This Row],[Shortname]], Comp[], 10, FALSE)</f>
        <v>10.199999999999999</v>
      </c>
      <c r="N853">
        <f>VLOOKUP(Table9[[#This Row],[Shortname]], Comp[], 11, FALSE)</f>
        <v>0</v>
      </c>
      <c r="O853">
        <f>VLOOKUP(Table9[[#This Row],[Shortname]], Comp[],12, FALSE)</f>
        <v>2.1</v>
      </c>
      <c r="P853">
        <f>VLOOKUP(Table9[[#This Row],[Shortname]], Comp[], 13, FALSE)</f>
        <v>2.1</v>
      </c>
      <c r="Q853">
        <f>VLOOKUP(Table9[[#This Row],[Shortname]], Comp[], 14, FALSE)</f>
        <v>1.5</v>
      </c>
      <c r="R853">
        <f>VLOOKUP(Table9[[#This Row],[Shortname]], Comp[], 15, FALSE)</f>
        <v>0</v>
      </c>
      <c r="S853">
        <f>VLOOKUP(Table9[[#This Row],[Shortname]], Comp[], 16, FALSE)</f>
        <v>2.2000000000000002</v>
      </c>
      <c r="T853">
        <f>VLOOKUP(Table9[[#This Row],[Shortname]], Comp[], 17, FALSE)</f>
        <v>0</v>
      </c>
      <c r="U853">
        <f>VLOOKUP(Table9[[#This Row],[Shortname]], Comp[], 18, FALSE)</f>
        <v>0</v>
      </c>
      <c r="V853">
        <f>VLOOKUP(Table9[[#This Row],[Shortname]], Comp[], 19, FALSE)</f>
        <v>0</v>
      </c>
      <c r="W853">
        <f>VLOOKUP(Table9[[#This Row],[Shortname]], Comp[], 20, FALSE)</f>
        <v>0</v>
      </c>
      <c r="X853">
        <f>VLOOKUP(Table9[[#This Row],[Shortname]], Comp[], 21, FALSE)</f>
        <v>0</v>
      </c>
      <c r="Y853">
        <f>VLOOKUP(Table9[[#This Row],[Shortname]], Comp[], 22, FALSE)</f>
        <v>0</v>
      </c>
      <c r="Z853">
        <f>VLOOKUP(Table9[[#This Row],[Shortname]], Comp[], 23, FALSE)</f>
        <v>0</v>
      </c>
      <c r="AA853">
        <f>VLOOKUP(Table9[[#This Row],[Shortname]], Comp[], 24, FALSE)</f>
        <v>0</v>
      </c>
      <c r="AB853">
        <f>VLOOKUP(Table9[[#This Row],[Shortname]], Comp[], 25, FALSE)</f>
        <v>0</v>
      </c>
      <c r="AC853">
        <f>VLOOKUP(Table9[[#This Row],[Shortname]], Comp[], 26, FALSE)</f>
        <v>0</v>
      </c>
      <c r="AD853">
        <f>VLOOKUP(Table9[[#This Row],[Shortname]], Comp[], 27, FALSE)</f>
        <v>0</v>
      </c>
      <c r="AE853">
        <f>VLOOKUP(Table9[[#This Row],[Shortname]], Comp[], 28, FALSE)</f>
        <v>0</v>
      </c>
      <c r="AF853">
        <f>VLOOKUP(Table9[[#This Row],[Shortname]], Comp[], 29, FALSE)</f>
        <v>0</v>
      </c>
      <c r="AG853">
        <f>VLOOKUP(Table9[[#This Row],[Shortname]], Comp[], 30, FALSE)</f>
        <v>0</v>
      </c>
      <c r="AH853">
        <f>VLOOKUP(Table9[[#This Row],[Shortname]], Comp[], 31, FALSE)</f>
        <v>0</v>
      </c>
    </row>
    <row r="854" spans="1:34" x14ac:dyDescent="0.3">
      <c r="A854" t="s">
        <v>5357</v>
      </c>
      <c r="B854" t="s">
        <v>5358</v>
      </c>
      <c r="C854" t="s">
        <v>6885</v>
      </c>
      <c r="D854">
        <v>661</v>
      </c>
      <c r="E854">
        <v>900</v>
      </c>
      <c r="F854">
        <v>0.01</v>
      </c>
      <c r="G854">
        <v>-1</v>
      </c>
      <c r="H854" t="s">
        <v>6882</v>
      </c>
      <c r="I854">
        <f>VLOOKUP(Table9[[#This Row],[Shortname]], Comp[], 6, FALSE)</f>
        <v>815</v>
      </c>
      <c r="J854" s="14">
        <f>VLOOKUP(Table9[[#This Row],[Shortname]], Comp[], 7, FALSE)</f>
        <v>43.099999999999994</v>
      </c>
      <c r="K854">
        <f>VLOOKUP(Table9[[#This Row],[Shortname]], Comp[], 8, FALSE)</f>
        <v>28.8</v>
      </c>
      <c r="L854">
        <f>VLOOKUP(Table9[[#This Row],[Shortname]], Comp[], 9, FALSE)</f>
        <v>10</v>
      </c>
      <c r="M854">
        <f>VLOOKUP(Table9[[#This Row],[Shortname]], Comp[], 10, FALSE)</f>
        <v>10.199999999999999</v>
      </c>
      <c r="N854">
        <f>VLOOKUP(Table9[[#This Row],[Shortname]], Comp[], 11, FALSE)</f>
        <v>0</v>
      </c>
      <c r="O854">
        <f>VLOOKUP(Table9[[#This Row],[Shortname]], Comp[],12, FALSE)</f>
        <v>2.1</v>
      </c>
      <c r="P854">
        <f>VLOOKUP(Table9[[#This Row],[Shortname]], Comp[], 13, FALSE)</f>
        <v>2.1</v>
      </c>
      <c r="Q854">
        <f>VLOOKUP(Table9[[#This Row],[Shortname]], Comp[], 14, FALSE)</f>
        <v>1.5</v>
      </c>
      <c r="R854">
        <f>VLOOKUP(Table9[[#This Row],[Shortname]], Comp[], 15, FALSE)</f>
        <v>0</v>
      </c>
      <c r="S854">
        <f>VLOOKUP(Table9[[#This Row],[Shortname]], Comp[], 16, FALSE)</f>
        <v>2.2000000000000002</v>
      </c>
      <c r="T854">
        <f>VLOOKUP(Table9[[#This Row],[Shortname]], Comp[], 17, FALSE)</f>
        <v>0</v>
      </c>
      <c r="U854">
        <f>VLOOKUP(Table9[[#This Row],[Shortname]], Comp[], 18, FALSE)</f>
        <v>0</v>
      </c>
      <c r="V854">
        <f>VLOOKUP(Table9[[#This Row],[Shortname]], Comp[], 19, FALSE)</f>
        <v>0</v>
      </c>
      <c r="W854">
        <f>VLOOKUP(Table9[[#This Row],[Shortname]], Comp[], 20, FALSE)</f>
        <v>0</v>
      </c>
      <c r="X854">
        <f>VLOOKUP(Table9[[#This Row],[Shortname]], Comp[], 21, FALSE)</f>
        <v>0</v>
      </c>
      <c r="Y854">
        <f>VLOOKUP(Table9[[#This Row],[Shortname]], Comp[], 22, FALSE)</f>
        <v>0</v>
      </c>
      <c r="Z854">
        <f>VLOOKUP(Table9[[#This Row],[Shortname]], Comp[], 23, FALSE)</f>
        <v>0</v>
      </c>
      <c r="AA854">
        <f>VLOOKUP(Table9[[#This Row],[Shortname]], Comp[], 24, FALSE)</f>
        <v>0</v>
      </c>
      <c r="AB854">
        <f>VLOOKUP(Table9[[#This Row],[Shortname]], Comp[], 25, FALSE)</f>
        <v>0</v>
      </c>
      <c r="AC854">
        <f>VLOOKUP(Table9[[#This Row],[Shortname]], Comp[], 26, FALSE)</f>
        <v>0</v>
      </c>
      <c r="AD854">
        <f>VLOOKUP(Table9[[#This Row],[Shortname]], Comp[], 27, FALSE)</f>
        <v>0</v>
      </c>
      <c r="AE854">
        <f>VLOOKUP(Table9[[#This Row],[Shortname]], Comp[], 28, FALSE)</f>
        <v>0</v>
      </c>
      <c r="AF854">
        <f>VLOOKUP(Table9[[#This Row],[Shortname]], Comp[], 29, FALSE)</f>
        <v>0</v>
      </c>
      <c r="AG854">
        <f>VLOOKUP(Table9[[#This Row],[Shortname]], Comp[], 30, FALSE)</f>
        <v>0</v>
      </c>
      <c r="AH854">
        <f>VLOOKUP(Table9[[#This Row],[Shortname]], Comp[], 31, FALSE)</f>
        <v>0</v>
      </c>
    </row>
    <row r="855" spans="1:34" x14ac:dyDescent="0.3">
      <c r="A855" t="s">
        <v>5416</v>
      </c>
      <c r="B855" t="s">
        <v>5417</v>
      </c>
      <c r="C855" t="s">
        <v>5418</v>
      </c>
      <c r="D855">
        <v>1011</v>
      </c>
      <c r="E855">
        <v>25</v>
      </c>
      <c r="F855">
        <v>1E-4</v>
      </c>
      <c r="G855">
        <v>1</v>
      </c>
      <c r="H855" t="s">
        <v>6803</v>
      </c>
      <c r="I855">
        <f>VLOOKUP(Table9[[#This Row],[Shortname]], Comp[], 6, FALSE)</f>
        <v>829</v>
      </c>
      <c r="J855" s="14">
        <f>VLOOKUP(Table9[[#This Row],[Shortname]], Comp[], 7, FALSE)</f>
        <v>84</v>
      </c>
      <c r="K855">
        <f>VLOOKUP(Table9[[#This Row],[Shortname]], Comp[], 8, FALSE)</f>
        <v>0</v>
      </c>
      <c r="L855">
        <f>VLOOKUP(Table9[[#This Row],[Shortname]], Comp[], 9, FALSE)</f>
        <v>0</v>
      </c>
      <c r="M855">
        <f>VLOOKUP(Table9[[#This Row],[Shortname]], Comp[], 10, FALSE)</f>
        <v>0</v>
      </c>
      <c r="N855">
        <f>VLOOKUP(Table9[[#This Row],[Shortname]], Comp[], 11, FALSE)</f>
        <v>0</v>
      </c>
      <c r="O855">
        <f>VLOOKUP(Table9[[#This Row],[Shortname]], Comp[],12, FALSE)</f>
        <v>12</v>
      </c>
      <c r="P855">
        <f>VLOOKUP(Table9[[#This Row],[Shortname]], Comp[], 13, FALSE)</f>
        <v>0</v>
      </c>
      <c r="Q855">
        <f>VLOOKUP(Table9[[#This Row],[Shortname]], Comp[], 14, FALSE)</f>
        <v>0</v>
      </c>
      <c r="R855">
        <f>VLOOKUP(Table9[[#This Row],[Shortname]], Comp[], 15, FALSE)</f>
        <v>0</v>
      </c>
      <c r="S855">
        <f>VLOOKUP(Table9[[#This Row],[Shortname]], Comp[], 16, FALSE)</f>
        <v>4</v>
      </c>
      <c r="T855">
        <f>VLOOKUP(Table9[[#This Row],[Shortname]], Comp[], 17, FALSE)</f>
        <v>0</v>
      </c>
      <c r="U855">
        <f>VLOOKUP(Table9[[#This Row],[Shortname]], Comp[], 18, FALSE)</f>
        <v>0</v>
      </c>
      <c r="V855">
        <f>VLOOKUP(Table9[[#This Row],[Shortname]], Comp[], 19, FALSE)</f>
        <v>0</v>
      </c>
      <c r="W855">
        <f>VLOOKUP(Table9[[#This Row],[Shortname]], Comp[], 20, FALSE)</f>
        <v>0</v>
      </c>
      <c r="X855">
        <f>VLOOKUP(Table9[[#This Row],[Shortname]], Comp[], 21, FALSE)</f>
        <v>0</v>
      </c>
      <c r="Y855">
        <f>VLOOKUP(Table9[[#This Row],[Shortname]], Comp[], 22, FALSE)</f>
        <v>0</v>
      </c>
      <c r="Z855">
        <f>VLOOKUP(Table9[[#This Row],[Shortname]], Comp[], 23, FALSE)</f>
        <v>0</v>
      </c>
      <c r="AA855">
        <f>VLOOKUP(Table9[[#This Row],[Shortname]], Comp[], 24, FALSE)</f>
        <v>0</v>
      </c>
      <c r="AB855">
        <f>VLOOKUP(Table9[[#This Row],[Shortname]], Comp[], 25, FALSE)</f>
        <v>0</v>
      </c>
      <c r="AC855">
        <f>VLOOKUP(Table9[[#This Row],[Shortname]], Comp[], 26, FALSE)</f>
        <v>0</v>
      </c>
      <c r="AD855">
        <f>VLOOKUP(Table9[[#This Row],[Shortname]], Comp[], 27, FALSE)</f>
        <v>0</v>
      </c>
      <c r="AE855">
        <f>VLOOKUP(Table9[[#This Row],[Shortname]], Comp[], 28, FALSE)</f>
        <v>0</v>
      </c>
      <c r="AF855">
        <f>VLOOKUP(Table9[[#This Row],[Shortname]], Comp[], 29, FALSE)</f>
        <v>0</v>
      </c>
      <c r="AG855">
        <f>VLOOKUP(Table9[[#This Row],[Shortname]], Comp[], 30, FALSE)</f>
        <v>0</v>
      </c>
      <c r="AH855">
        <f>VLOOKUP(Table9[[#This Row],[Shortname]], Comp[], 31, FALSE)</f>
        <v>0</v>
      </c>
    </row>
    <row r="856" spans="1:34" x14ac:dyDescent="0.3">
      <c r="A856" t="s">
        <v>5416</v>
      </c>
      <c r="B856" t="s">
        <v>5417</v>
      </c>
      <c r="C856" t="s">
        <v>5423</v>
      </c>
      <c r="D856">
        <v>698</v>
      </c>
      <c r="E856">
        <v>600</v>
      </c>
      <c r="F856">
        <v>1E-4</v>
      </c>
      <c r="G856">
        <v>1</v>
      </c>
      <c r="H856" t="s">
        <v>6803</v>
      </c>
      <c r="I856">
        <f>VLOOKUP(Table9[[#This Row],[Shortname]], Comp[], 6, FALSE)</f>
        <v>829</v>
      </c>
      <c r="J856" s="14">
        <f>VLOOKUP(Table9[[#This Row],[Shortname]], Comp[], 7, FALSE)</f>
        <v>84</v>
      </c>
      <c r="K856">
        <f>VLOOKUP(Table9[[#This Row],[Shortname]], Comp[], 8, FALSE)</f>
        <v>0</v>
      </c>
      <c r="L856">
        <f>VLOOKUP(Table9[[#This Row],[Shortname]], Comp[], 9, FALSE)</f>
        <v>0</v>
      </c>
      <c r="M856">
        <f>VLOOKUP(Table9[[#This Row],[Shortname]], Comp[], 10, FALSE)</f>
        <v>0</v>
      </c>
      <c r="N856">
        <f>VLOOKUP(Table9[[#This Row],[Shortname]], Comp[], 11, FALSE)</f>
        <v>0</v>
      </c>
      <c r="O856">
        <f>VLOOKUP(Table9[[#This Row],[Shortname]], Comp[],12, FALSE)</f>
        <v>12</v>
      </c>
      <c r="P856">
        <f>VLOOKUP(Table9[[#This Row],[Shortname]], Comp[], 13, FALSE)</f>
        <v>0</v>
      </c>
      <c r="Q856">
        <f>VLOOKUP(Table9[[#This Row],[Shortname]], Comp[], 14, FALSE)</f>
        <v>0</v>
      </c>
      <c r="R856">
        <f>VLOOKUP(Table9[[#This Row],[Shortname]], Comp[], 15, FALSE)</f>
        <v>0</v>
      </c>
      <c r="S856">
        <f>VLOOKUP(Table9[[#This Row],[Shortname]], Comp[], 16, FALSE)</f>
        <v>4</v>
      </c>
      <c r="T856">
        <f>VLOOKUP(Table9[[#This Row],[Shortname]], Comp[], 17, FALSE)</f>
        <v>0</v>
      </c>
      <c r="U856">
        <f>VLOOKUP(Table9[[#This Row],[Shortname]], Comp[], 18, FALSE)</f>
        <v>0</v>
      </c>
      <c r="V856">
        <f>VLOOKUP(Table9[[#This Row],[Shortname]], Comp[], 19, FALSE)</f>
        <v>0</v>
      </c>
      <c r="W856">
        <f>VLOOKUP(Table9[[#This Row],[Shortname]], Comp[], 20, FALSE)</f>
        <v>0</v>
      </c>
      <c r="X856">
        <f>VLOOKUP(Table9[[#This Row],[Shortname]], Comp[], 21, FALSE)</f>
        <v>0</v>
      </c>
      <c r="Y856">
        <f>VLOOKUP(Table9[[#This Row],[Shortname]], Comp[], 22, FALSE)</f>
        <v>0</v>
      </c>
      <c r="Z856">
        <f>VLOOKUP(Table9[[#This Row],[Shortname]], Comp[], 23, FALSE)</f>
        <v>0</v>
      </c>
      <c r="AA856">
        <f>VLOOKUP(Table9[[#This Row],[Shortname]], Comp[], 24, FALSE)</f>
        <v>0</v>
      </c>
      <c r="AB856">
        <f>VLOOKUP(Table9[[#This Row],[Shortname]], Comp[], 25, FALSE)</f>
        <v>0</v>
      </c>
      <c r="AC856">
        <f>VLOOKUP(Table9[[#This Row],[Shortname]], Comp[], 26, FALSE)</f>
        <v>0</v>
      </c>
      <c r="AD856">
        <f>VLOOKUP(Table9[[#This Row],[Shortname]], Comp[], 27, FALSE)</f>
        <v>0</v>
      </c>
      <c r="AE856">
        <f>VLOOKUP(Table9[[#This Row],[Shortname]], Comp[], 28, FALSE)</f>
        <v>0</v>
      </c>
      <c r="AF856">
        <f>VLOOKUP(Table9[[#This Row],[Shortname]], Comp[], 29, FALSE)</f>
        <v>0</v>
      </c>
      <c r="AG856">
        <f>VLOOKUP(Table9[[#This Row],[Shortname]], Comp[], 30, FALSE)</f>
        <v>0</v>
      </c>
      <c r="AH856">
        <f>VLOOKUP(Table9[[#This Row],[Shortname]], Comp[], 31, FALSE)</f>
        <v>0</v>
      </c>
    </row>
    <row r="857" spans="1:34" x14ac:dyDescent="0.3">
      <c r="A857" t="s">
        <v>5416</v>
      </c>
      <c r="B857" t="s">
        <v>5417</v>
      </c>
      <c r="C857" t="s">
        <v>5427</v>
      </c>
      <c r="D857">
        <v>856</v>
      </c>
      <c r="E857">
        <v>700</v>
      </c>
      <c r="F857">
        <v>1E-4</v>
      </c>
      <c r="G857">
        <v>1</v>
      </c>
      <c r="H857" t="s">
        <v>6803</v>
      </c>
      <c r="I857">
        <f>VLOOKUP(Table9[[#This Row],[Shortname]], Comp[], 6, FALSE)</f>
        <v>829</v>
      </c>
      <c r="J857" s="14">
        <f>VLOOKUP(Table9[[#This Row],[Shortname]], Comp[], 7, FALSE)</f>
        <v>84</v>
      </c>
      <c r="K857">
        <f>VLOOKUP(Table9[[#This Row],[Shortname]], Comp[], 8, FALSE)</f>
        <v>0</v>
      </c>
      <c r="L857">
        <f>VLOOKUP(Table9[[#This Row],[Shortname]], Comp[], 9, FALSE)</f>
        <v>0</v>
      </c>
      <c r="M857">
        <f>VLOOKUP(Table9[[#This Row],[Shortname]], Comp[], 10, FALSE)</f>
        <v>0</v>
      </c>
      <c r="N857">
        <f>VLOOKUP(Table9[[#This Row],[Shortname]], Comp[], 11, FALSE)</f>
        <v>0</v>
      </c>
      <c r="O857">
        <f>VLOOKUP(Table9[[#This Row],[Shortname]], Comp[],12, FALSE)</f>
        <v>12</v>
      </c>
      <c r="P857">
        <f>VLOOKUP(Table9[[#This Row],[Shortname]], Comp[], 13, FALSE)</f>
        <v>0</v>
      </c>
      <c r="Q857">
        <f>VLOOKUP(Table9[[#This Row],[Shortname]], Comp[], 14, FALSE)</f>
        <v>0</v>
      </c>
      <c r="R857">
        <f>VLOOKUP(Table9[[#This Row],[Shortname]], Comp[], 15, FALSE)</f>
        <v>0</v>
      </c>
      <c r="S857">
        <f>VLOOKUP(Table9[[#This Row],[Shortname]], Comp[], 16, FALSE)</f>
        <v>4</v>
      </c>
      <c r="T857">
        <f>VLOOKUP(Table9[[#This Row],[Shortname]], Comp[], 17, FALSE)</f>
        <v>0</v>
      </c>
      <c r="U857">
        <f>VLOOKUP(Table9[[#This Row],[Shortname]], Comp[], 18, FALSE)</f>
        <v>0</v>
      </c>
      <c r="V857">
        <f>VLOOKUP(Table9[[#This Row],[Shortname]], Comp[], 19, FALSE)</f>
        <v>0</v>
      </c>
      <c r="W857">
        <f>VLOOKUP(Table9[[#This Row],[Shortname]], Comp[], 20, FALSE)</f>
        <v>0</v>
      </c>
      <c r="X857">
        <f>VLOOKUP(Table9[[#This Row],[Shortname]], Comp[], 21, FALSE)</f>
        <v>0</v>
      </c>
      <c r="Y857">
        <f>VLOOKUP(Table9[[#This Row],[Shortname]], Comp[], 22, FALSE)</f>
        <v>0</v>
      </c>
      <c r="Z857">
        <f>VLOOKUP(Table9[[#This Row],[Shortname]], Comp[], 23, FALSE)</f>
        <v>0</v>
      </c>
      <c r="AA857">
        <f>VLOOKUP(Table9[[#This Row],[Shortname]], Comp[], 24, FALSE)</f>
        <v>0</v>
      </c>
      <c r="AB857">
        <f>VLOOKUP(Table9[[#This Row],[Shortname]], Comp[], 25, FALSE)</f>
        <v>0</v>
      </c>
      <c r="AC857">
        <f>VLOOKUP(Table9[[#This Row],[Shortname]], Comp[], 26, FALSE)</f>
        <v>0</v>
      </c>
      <c r="AD857">
        <f>VLOOKUP(Table9[[#This Row],[Shortname]], Comp[], 27, FALSE)</f>
        <v>0</v>
      </c>
      <c r="AE857">
        <f>VLOOKUP(Table9[[#This Row],[Shortname]], Comp[], 28, FALSE)</f>
        <v>0</v>
      </c>
      <c r="AF857">
        <f>VLOOKUP(Table9[[#This Row],[Shortname]], Comp[], 29, FALSE)</f>
        <v>0</v>
      </c>
      <c r="AG857">
        <f>VLOOKUP(Table9[[#This Row],[Shortname]], Comp[], 30, FALSE)</f>
        <v>0</v>
      </c>
      <c r="AH857">
        <f>VLOOKUP(Table9[[#This Row],[Shortname]], Comp[], 31, FALSE)</f>
        <v>0</v>
      </c>
    </row>
    <row r="858" spans="1:34" x14ac:dyDescent="0.3">
      <c r="A858" t="s">
        <v>5416</v>
      </c>
      <c r="B858" t="s">
        <v>5417</v>
      </c>
      <c r="C858" t="s">
        <v>5431</v>
      </c>
      <c r="D858">
        <v>782</v>
      </c>
      <c r="E858">
        <v>800</v>
      </c>
      <c r="F858">
        <v>1E-4</v>
      </c>
      <c r="G858">
        <v>1</v>
      </c>
      <c r="H858" t="s">
        <v>6803</v>
      </c>
      <c r="I858">
        <f>VLOOKUP(Table9[[#This Row],[Shortname]], Comp[], 6, FALSE)</f>
        <v>829</v>
      </c>
      <c r="J858" s="14">
        <f>VLOOKUP(Table9[[#This Row],[Shortname]], Comp[], 7, FALSE)</f>
        <v>84</v>
      </c>
      <c r="K858">
        <f>VLOOKUP(Table9[[#This Row],[Shortname]], Comp[], 8, FALSE)</f>
        <v>0</v>
      </c>
      <c r="L858">
        <f>VLOOKUP(Table9[[#This Row],[Shortname]], Comp[], 9, FALSE)</f>
        <v>0</v>
      </c>
      <c r="M858">
        <f>VLOOKUP(Table9[[#This Row],[Shortname]], Comp[], 10, FALSE)</f>
        <v>0</v>
      </c>
      <c r="N858">
        <f>VLOOKUP(Table9[[#This Row],[Shortname]], Comp[], 11, FALSE)</f>
        <v>0</v>
      </c>
      <c r="O858">
        <f>VLOOKUP(Table9[[#This Row],[Shortname]], Comp[],12, FALSE)</f>
        <v>12</v>
      </c>
      <c r="P858">
        <f>VLOOKUP(Table9[[#This Row],[Shortname]], Comp[], 13, FALSE)</f>
        <v>0</v>
      </c>
      <c r="Q858">
        <f>VLOOKUP(Table9[[#This Row],[Shortname]], Comp[], 14, FALSE)</f>
        <v>0</v>
      </c>
      <c r="R858">
        <f>VLOOKUP(Table9[[#This Row],[Shortname]], Comp[], 15, FALSE)</f>
        <v>0</v>
      </c>
      <c r="S858">
        <f>VLOOKUP(Table9[[#This Row],[Shortname]], Comp[], 16, FALSE)</f>
        <v>4</v>
      </c>
      <c r="T858">
        <f>VLOOKUP(Table9[[#This Row],[Shortname]], Comp[], 17, FALSE)</f>
        <v>0</v>
      </c>
      <c r="U858">
        <f>VLOOKUP(Table9[[#This Row],[Shortname]], Comp[], 18, FALSE)</f>
        <v>0</v>
      </c>
      <c r="V858">
        <f>VLOOKUP(Table9[[#This Row],[Shortname]], Comp[], 19, FALSE)</f>
        <v>0</v>
      </c>
      <c r="W858">
        <f>VLOOKUP(Table9[[#This Row],[Shortname]], Comp[], 20, FALSE)</f>
        <v>0</v>
      </c>
      <c r="X858">
        <f>VLOOKUP(Table9[[#This Row],[Shortname]], Comp[], 21, FALSE)</f>
        <v>0</v>
      </c>
      <c r="Y858">
        <f>VLOOKUP(Table9[[#This Row],[Shortname]], Comp[], 22, FALSE)</f>
        <v>0</v>
      </c>
      <c r="Z858">
        <f>VLOOKUP(Table9[[#This Row],[Shortname]], Comp[], 23, FALSE)</f>
        <v>0</v>
      </c>
      <c r="AA858">
        <f>VLOOKUP(Table9[[#This Row],[Shortname]], Comp[], 24, FALSE)</f>
        <v>0</v>
      </c>
      <c r="AB858">
        <f>VLOOKUP(Table9[[#This Row],[Shortname]], Comp[], 25, FALSE)</f>
        <v>0</v>
      </c>
      <c r="AC858">
        <f>VLOOKUP(Table9[[#This Row],[Shortname]], Comp[], 26, FALSE)</f>
        <v>0</v>
      </c>
      <c r="AD858">
        <f>VLOOKUP(Table9[[#This Row],[Shortname]], Comp[], 27, FALSE)</f>
        <v>0</v>
      </c>
      <c r="AE858">
        <f>VLOOKUP(Table9[[#This Row],[Shortname]], Comp[], 28, FALSE)</f>
        <v>0</v>
      </c>
      <c r="AF858">
        <f>VLOOKUP(Table9[[#This Row],[Shortname]], Comp[], 29, FALSE)</f>
        <v>0</v>
      </c>
      <c r="AG858">
        <f>VLOOKUP(Table9[[#This Row],[Shortname]], Comp[], 30, FALSE)</f>
        <v>0</v>
      </c>
      <c r="AH858">
        <f>VLOOKUP(Table9[[#This Row],[Shortname]], Comp[], 31, FALSE)</f>
        <v>0</v>
      </c>
    </row>
    <row r="859" spans="1:34" x14ac:dyDescent="0.3">
      <c r="A859" t="s">
        <v>5416</v>
      </c>
      <c r="B859" t="s">
        <v>5417</v>
      </c>
      <c r="C859" t="s">
        <v>5436</v>
      </c>
      <c r="D859">
        <v>511</v>
      </c>
      <c r="E859">
        <v>900</v>
      </c>
      <c r="F859">
        <v>1E-4</v>
      </c>
      <c r="G859">
        <v>1</v>
      </c>
      <c r="H859" t="s">
        <v>6803</v>
      </c>
      <c r="I859">
        <f>VLOOKUP(Table9[[#This Row],[Shortname]], Comp[], 6, FALSE)</f>
        <v>829</v>
      </c>
      <c r="J859" s="14">
        <f>VLOOKUP(Table9[[#This Row],[Shortname]], Comp[], 7, FALSE)</f>
        <v>84</v>
      </c>
      <c r="K859">
        <f>VLOOKUP(Table9[[#This Row],[Shortname]], Comp[], 8, FALSE)</f>
        <v>0</v>
      </c>
      <c r="L859">
        <f>VLOOKUP(Table9[[#This Row],[Shortname]], Comp[], 9, FALSE)</f>
        <v>0</v>
      </c>
      <c r="M859">
        <f>VLOOKUP(Table9[[#This Row],[Shortname]], Comp[], 10, FALSE)</f>
        <v>0</v>
      </c>
      <c r="N859">
        <f>VLOOKUP(Table9[[#This Row],[Shortname]], Comp[], 11, FALSE)</f>
        <v>0</v>
      </c>
      <c r="O859">
        <f>VLOOKUP(Table9[[#This Row],[Shortname]], Comp[],12, FALSE)</f>
        <v>12</v>
      </c>
      <c r="P859">
        <f>VLOOKUP(Table9[[#This Row],[Shortname]], Comp[], 13, FALSE)</f>
        <v>0</v>
      </c>
      <c r="Q859">
        <f>VLOOKUP(Table9[[#This Row],[Shortname]], Comp[], 14, FALSE)</f>
        <v>0</v>
      </c>
      <c r="R859">
        <f>VLOOKUP(Table9[[#This Row],[Shortname]], Comp[], 15, FALSE)</f>
        <v>0</v>
      </c>
      <c r="S859">
        <f>VLOOKUP(Table9[[#This Row],[Shortname]], Comp[], 16, FALSE)</f>
        <v>4</v>
      </c>
      <c r="T859">
        <f>VLOOKUP(Table9[[#This Row],[Shortname]], Comp[], 17, FALSE)</f>
        <v>0</v>
      </c>
      <c r="U859">
        <f>VLOOKUP(Table9[[#This Row],[Shortname]], Comp[], 18, FALSE)</f>
        <v>0</v>
      </c>
      <c r="V859">
        <f>VLOOKUP(Table9[[#This Row],[Shortname]], Comp[], 19, FALSE)</f>
        <v>0</v>
      </c>
      <c r="W859">
        <f>VLOOKUP(Table9[[#This Row],[Shortname]], Comp[], 20, FALSE)</f>
        <v>0</v>
      </c>
      <c r="X859">
        <f>VLOOKUP(Table9[[#This Row],[Shortname]], Comp[], 21, FALSE)</f>
        <v>0</v>
      </c>
      <c r="Y859">
        <f>VLOOKUP(Table9[[#This Row],[Shortname]], Comp[], 22, FALSE)</f>
        <v>0</v>
      </c>
      <c r="Z859">
        <f>VLOOKUP(Table9[[#This Row],[Shortname]], Comp[], 23, FALSE)</f>
        <v>0</v>
      </c>
      <c r="AA859">
        <f>VLOOKUP(Table9[[#This Row],[Shortname]], Comp[], 24, FALSE)</f>
        <v>0</v>
      </c>
      <c r="AB859">
        <f>VLOOKUP(Table9[[#This Row],[Shortname]], Comp[], 25, FALSE)</f>
        <v>0</v>
      </c>
      <c r="AC859">
        <f>VLOOKUP(Table9[[#This Row],[Shortname]], Comp[], 26, FALSE)</f>
        <v>0</v>
      </c>
      <c r="AD859">
        <f>VLOOKUP(Table9[[#This Row],[Shortname]], Comp[], 27, FALSE)</f>
        <v>0</v>
      </c>
      <c r="AE859">
        <f>VLOOKUP(Table9[[#This Row],[Shortname]], Comp[], 28, FALSE)</f>
        <v>0</v>
      </c>
      <c r="AF859">
        <f>VLOOKUP(Table9[[#This Row],[Shortname]], Comp[], 29, FALSE)</f>
        <v>0</v>
      </c>
      <c r="AG859">
        <f>VLOOKUP(Table9[[#This Row],[Shortname]], Comp[], 30, FALSE)</f>
        <v>0</v>
      </c>
      <c r="AH859">
        <f>VLOOKUP(Table9[[#This Row],[Shortname]], Comp[], 31, FALSE)</f>
        <v>0</v>
      </c>
    </row>
    <row r="860" spans="1:34" x14ac:dyDescent="0.3">
      <c r="A860" t="s">
        <v>5421</v>
      </c>
      <c r="B860" t="s">
        <v>5422</v>
      </c>
      <c r="C860" t="s">
        <v>5423</v>
      </c>
      <c r="D860">
        <v>726</v>
      </c>
      <c r="E860">
        <v>25</v>
      </c>
      <c r="F860">
        <v>1E-4</v>
      </c>
      <c r="G860">
        <v>1</v>
      </c>
      <c r="H860" t="s">
        <v>6803</v>
      </c>
      <c r="I860">
        <f>VLOOKUP(Table9[[#This Row],[Shortname]], Comp[], 6, FALSE)</f>
        <v>830</v>
      </c>
      <c r="J860" s="14">
        <f>VLOOKUP(Table9[[#This Row],[Shortname]], Comp[], 7, FALSE)</f>
        <v>82</v>
      </c>
      <c r="K860">
        <f>VLOOKUP(Table9[[#This Row],[Shortname]], Comp[], 8, FALSE)</f>
        <v>0</v>
      </c>
      <c r="L860">
        <f>VLOOKUP(Table9[[#This Row],[Shortname]], Comp[], 9, FALSE)</f>
        <v>2</v>
      </c>
      <c r="M860">
        <f>VLOOKUP(Table9[[#This Row],[Shortname]], Comp[], 10, FALSE)</f>
        <v>0</v>
      </c>
      <c r="N860">
        <f>VLOOKUP(Table9[[#This Row],[Shortname]], Comp[], 11, FALSE)</f>
        <v>0</v>
      </c>
      <c r="O860">
        <f>VLOOKUP(Table9[[#This Row],[Shortname]], Comp[],12, FALSE)</f>
        <v>12</v>
      </c>
      <c r="P860">
        <f>VLOOKUP(Table9[[#This Row],[Shortname]], Comp[], 13, FALSE)</f>
        <v>0</v>
      </c>
      <c r="Q860">
        <f>VLOOKUP(Table9[[#This Row],[Shortname]], Comp[], 14, FALSE)</f>
        <v>0</v>
      </c>
      <c r="R860">
        <f>VLOOKUP(Table9[[#This Row],[Shortname]], Comp[], 15, FALSE)</f>
        <v>0</v>
      </c>
      <c r="S860">
        <f>VLOOKUP(Table9[[#This Row],[Shortname]], Comp[], 16, FALSE)</f>
        <v>4</v>
      </c>
      <c r="T860">
        <f>VLOOKUP(Table9[[#This Row],[Shortname]], Comp[], 17, FALSE)</f>
        <v>0</v>
      </c>
      <c r="U860">
        <f>VLOOKUP(Table9[[#This Row],[Shortname]], Comp[], 18, FALSE)</f>
        <v>0</v>
      </c>
      <c r="V860">
        <f>VLOOKUP(Table9[[#This Row],[Shortname]], Comp[], 19, FALSE)</f>
        <v>0</v>
      </c>
      <c r="W860">
        <f>VLOOKUP(Table9[[#This Row],[Shortname]], Comp[], 20, FALSE)</f>
        <v>0</v>
      </c>
      <c r="X860">
        <f>VLOOKUP(Table9[[#This Row],[Shortname]], Comp[], 21, FALSE)</f>
        <v>0</v>
      </c>
      <c r="Y860">
        <f>VLOOKUP(Table9[[#This Row],[Shortname]], Comp[], 22, FALSE)</f>
        <v>0</v>
      </c>
      <c r="Z860">
        <f>VLOOKUP(Table9[[#This Row],[Shortname]], Comp[], 23, FALSE)</f>
        <v>0</v>
      </c>
      <c r="AA860">
        <f>VLOOKUP(Table9[[#This Row],[Shortname]], Comp[], 24, FALSE)</f>
        <v>0</v>
      </c>
      <c r="AB860">
        <f>VLOOKUP(Table9[[#This Row],[Shortname]], Comp[], 25, FALSE)</f>
        <v>0</v>
      </c>
      <c r="AC860">
        <f>VLOOKUP(Table9[[#This Row],[Shortname]], Comp[], 26, FALSE)</f>
        <v>0</v>
      </c>
      <c r="AD860">
        <f>VLOOKUP(Table9[[#This Row],[Shortname]], Comp[], 27, FALSE)</f>
        <v>0</v>
      </c>
      <c r="AE860">
        <f>VLOOKUP(Table9[[#This Row],[Shortname]], Comp[], 28, FALSE)</f>
        <v>0</v>
      </c>
      <c r="AF860">
        <f>VLOOKUP(Table9[[#This Row],[Shortname]], Comp[], 29, FALSE)</f>
        <v>0</v>
      </c>
      <c r="AG860">
        <f>VLOOKUP(Table9[[#This Row],[Shortname]], Comp[], 30, FALSE)</f>
        <v>0</v>
      </c>
      <c r="AH860">
        <f>VLOOKUP(Table9[[#This Row],[Shortname]], Comp[], 31, FALSE)</f>
        <v>0</v>
      </c>
    </row>
    <row r="861" spans="1:34" x14ac:dyDescent="0.3">
      <c r="A861" t="s">
        <v>5421</v>
      </c>
      <c r="B861" t="s">
        <v>5422</v>
      </c>
      <c r="C861" t="s">
        <v>5427</v>
      </c>
      <c r="D861">
        <v>524</v>
      </c>
      <c r="E861">
        <v>600</v>
      </c>
      <c r="F861">
        <v>1E-4</v>
      </c>
      <c r="G861">
        <v>1</v>
      </c>
      <c r="H861" t="s">
        <v>6803</v>
      </c>
      <c r="I861">
        <f>VLOOKUP(Table9[[#This Row],[Shortname]], Comp[], 6, FALSE)</f>
        <v>830</v>
      </c>
      <c r="J861" s="14">
        <f>VLOOKUP(Table9[[#This Row],[Shortname]], Comp[], 7, FALSE)</f>
        <v>82</v>
      </c>
      <c r="K861">
        <f>VLOOKUP(Table9[[#This Row],[Shortname]], Comp[], 8, FALSE)</f>
        <v>0</v>
      </c>
      <c r="L861">
        <f>VLOOKUP(Table9[[#This Row],[Shortname]], Comp[], 9, FALSE)</f>
        <v>2</v>
      </c>
      <c r="M861">
        <f>VLOOKUP(Table9[[#This Row],[Shortname]], Comp[], 10, FALSE)</f>
        <v>0</v>
      </c>
      <c r="N861">
        <f>VLOOKUP(Table9[[#This Row],[Shortname]], Comp[], 11, FALSE)</f>
        <v>0</v>
      </c>
      <c r="O861">
        <f>VLOOKUP(Table9[[#This Row],[Shortname]], Comp[],12, FALSE)</f>
        <v>12</v>
      </c>
      <c r="P861">
        <f>VLOOKUP(Table9[[#This Row],[Shortname]], Comp[], 13, FALSE)</f>
        <v>0</v>
      </c>
      <c r="Q861">
        <f>VLOOKUP(Table9[[#This Row],[Shortname]], Comp[], 14, FALSE)</f>
        <v>0</v>
      </c>
      <c r="R861">
        <f>VLOOKUP(Table9[[#This Row],[Shortname]], Comp[], 15, FALSE)</f>
        <v>0</v>
      </c>
      <c r="S861">
        <f>VLOOKUP(Table9[[#This Row],[Shortname]], Comp[], 16, FALSE)</f>
        <v>4</v>
      </c>
      <c r="T861">
        <f>VLOOKUP(Table9[[#This Row],[Shortname]], Comp[], 17, FALSE)</f>
        <v>0</v>
      </c>
      <c r="U861">
        <f>VLOOKUP(Table9[[#This Row],[Shortname]], Comp[], 18, FALSE)</f>
        <v>0</v>
      </c>
      <c r="V861">
        <f>VLOOKUP(Table9[[#This Row],[Shortname]], Comp[], 19, FALSE)</f>
        <v>0</v>
      </c>
      <c r="W861">
        <f>VLOOKUP(Table9[[#This Row],[Shortname]], Comp[], 20, FALSE)</f>
        <v>0</v>
      </c>
      <c r="X861">
        <f>VLOOKUP(Table9[[#This Row],[Shortname]], Comp[], 21, FALSE)</f>
        <v>0</v>
      </c>
      <c r="Y861">
        <f>VLOOKUP(Table9[[#This Row],[Shortname]], Comp[], 22, FALSE)</f>
        <v>0</v>
      </c>
      <c r="Z861">
        <f>VLOOKUP(Table9[[#This Row],[Shortname]], Comp[], 23, FALSE)</f>
        <v>0</v>
      </c>
      <c r="AA861">
        <f>VLOOKUP(Table9[[#This Row],[Shortname]], Comp[], 24, FALSE)</f>
        <v>0</v>
      </c>
      <c r="AB861">
        <f>VLOOKUP(Table9[[#This Row],[Shortname]], Comp[], 25, FALSE)</f>
        <v>0</v>
      </c>
      <c r="AC861">
        <f>VLOOKUP(Table9[[#This Row],[Shortname]], Comp[], 26, FALSE)</f>
        <v>0</v>
      </c>
      <c r="AD861">
        <f>VLOOKUP(Table9[[#This Row],[Shortname]], Comp[], 27, FALSE)</f>
        <v>0</v>
      </c>
      <c r="AE861">
        <f>VLOOKUP(Table9[[#This Row],[Shortname]], Comp[], 28, FALSE)</f>
        <v>0</v>
      </c>
      <c r="AF861">
        <f>VLOOKUP(Table9[[#This Row],[Shortname]], Comp[], 29, FALSE)</f>
        <v>0</v>
      </c>
      <c r="AG861">
        <f>VLOOKUP(Table9[[#This Row],[Shortname]], Comp[], 30, FALSE)</f>
        <v>0</v>
      </c>
      <c r="AH861">
        <f>VLOOKUP(Table9[[#This Row],[Shortname]], Comp[], 31, FALSE)</f>
        <v>0</v>
      </c>
    </row>
    <row r="862" spans="1:34" x14ac:dyDescent="0.3">
      <c r="A862" t="s">
        <v>5421</v>
      </c>
      <c r="B862" t="s">
        <v>5422</v>
      </c>
      <c r="C862" t="s">
        <v>5431</v>
      </c>
      <c r="D862">
        <v>630</v>
      </c>
      <c r="E862">
        <v>700</v>
      </c>
      <c r="F862">
        <v>1E-4</v>
      </c>
      <c r="G862">
        <v>1</v>
      </c>
      <c r="H862" t="s">
        <v>6803</v>
      </c>
      <c r="I862">
        <f>VLOOKUP(Table9[[#This Row],[Shortname]], Comp[], 6, FALSE)</f>
        <v>830</v>
      </c>
      <c r="J862" s="14">
        <f>VLOOKUP(Table9[[#This Row],[Shortname]], Comp[], 7, FALSE)</f>
        <v>82</v>
      </c>
      <c r="K862">
        <f>VLOOKUP(Table9[[#This Row],[Shortname]], Comp[], 8, FALSE)</f>
        <v>0</v>
      </c>
      <c r="L862">
        <f>VLOOKUP(Table9[[#This Row],[Shortname]], Comp[], 9, FALSE)</f>
        <v>2</v>
      </c>
      <c r="M862">
        <f>VLOOKUP(Table9[[#This Row],[Shortname]], Comp[], 10, FALSE)</f>
        <v>0</v>
      </c>
      <c r="N862">
        <f>VLOOKUP(Table9[[#This Row],[Shortname]], Comp[], 11, FALSE)</f>
        <v>0</v>
      </c>
      <c r="O862">
        <f>VLOOKUP(Table9[[#This Row],[Shortname]], Comp[],12, FALSE)</f>
        <v>12</v>
      </c>
      <c r="P862">
        <f>VLOOKUP(Table9[[#This Row],[Shortname]], Comp[], 13, FALSE)</f>
        <v>0</v>
      </c>
      <c r="Q862">
        <f>VLOOKUP(Table9[[#This Row],[Shortname]], Comp[], 14, FALSE)</f>
        <v>0</v>
      </c>
      <c r="R862">
        <f>VLOOKUP(Table9[[#This Row],[Shortname]], Comp[], 15, FALSE)</f>
        <v>0</v>
      </c>
      <c r="S862">
        <f>VLOOKUP(Table9[[#This Row],[Shortname]], Comp[], 16, FALSE)</f>
        <v>4</v>
      </c>
      <c r="T862">
        <f>VLOOKUP(Table9[[#This Row],[Shortname]], Comp[], 17, FALSE)</f>
        <v>0</v>
      </c>
      <c r="U862">
        <f>VLOOKUP(Table9[[#This Row],[Shortname]], Comp[], 18, FALSE)</f>
        <v>0</v>
      </c>
      <c r="V862">
        <f>VLOOKUP(Table9[[#This Row],[Shortname]], Comp[], 19, FALSE)</f>
        <v>0</v>
      </c>
      <c r="W862">
        <f>VLOOKUP(Table9[[#This Row],[Shortname]], Comp[], 20, FALSE)</f>
        <v>0</v>
      </c>
      <c r="X862">
        <f>VLOOKUP(Table9[[#This Row],[Shortname]], Comp[], 21, FALSE)</f>
        <v>0</v>
      </c>
      <c r="Y862">
        <f>VLOOKUP(Table9[[#This Row],[Shortname]], Comp[], 22, FALSE)</f>
        <v>0</v>
      </c>
      <c r="Z862">
        <f>VLOOKUP(Table9[[#This Row],[Shortname]], Comp[], 23, FALSE)</f>
        <v>0</v>
      </c>
      <c r="AA862">
        <f>VLOOKUP(Table9[[#This Row],[Shortname]], Comp[], 24, FALSE)</f>
        <v>0</v>
      </c>
      <c r="AB862">
        <f>VLOOKUP(Table9[[#This Row],[Shortname]], Comp[], 25, FALSE)</f>
        <v>0</v>
      </c>
      <c r="AC862">
        <f>VLOOKUP(Table9[[#This Row],[Shortname]], Comp[], 26, FALSE)</f>
        <v>0</v>
      </c>
      <c r="AD862">
        <f>VLOOKUP(Table9[[#This Row],[Shortname]], Comp[], 27, FALSE)</f>
        <v>0</v>
      </c>
      <c r="AE862">
        <f>VLOOKUP(Table9[[#This Row],[Shortname]], Comp[], 28, FALSE)</f>
        <v>0</v>
      </c>
      <c r="AF862">
        <f>VLOOKUP(Table9[[#This Row],[Shortname]], Comp[], 29, FALSE)</f>
        <v>0</v>
      </c>
      <c r="AG862">
        <f>VLOOKUP(Table9[[#This Row],[Shortname]], Comp[], 30, FALSE)</f>
        <v>0</v>
      </c>
      <c r="AH862">
        <f>VLOOKUP(Table9[[#This Row],[Shortname]], Comp[], 31, FALSE)</f>
        <v>0</v>
      </c>
    </row>
    <row r="863" spans="1:34" x14ac:dyDescent="0.3">
      <c r="A863" t="s">
        <v>5421</v>
      </c>
      <c r="B863" t="s">
        <v>5422</v>
      </c>
      <c r="C863" t="s">
        <v>5436</v>
      </c>
      <c r="D863">
        <v>659</v>
      </c>
      <c r="E863">
        <v>800</v>
      </c>
      <c r="F863">
        <v>1E-4</v>
      </c>
      <c r="G863">
        <v>1</v>
      </c>
      <c r="H863" t="s">
        <v>6803</v>
      </c>
      <c r="I863">
        <f>VLOOKUP(Table9[[#This Row],[Shortname]], Comp[], 6, FALSE)</f>
        <v>830</v>
      </c>
      <c r="J863" s="14">
        <f>VLOOKUP(Table9[[#This Row],[Shortname]], Comp[], 7, FALSE)</f>
        <v>82</v>
      </c>
      <c r="K863">
        <f>VLOOKUP(Table9[[#This Row],[Shortname]], Comp[], 8, FALSE)</f>
        <v>0</v>
      </c>
      <c r="L863">
        <f>VLOOKUP(Table9[[#This Row],[Shortname]], Comp[], 9, FALSE)</f>
        <v>2</v>
      </c>
      <c r="M863">
        <f>VLOOKUP(Table9[[#This Row],[Shortname]], Comp[], 10, FALSE)</f>
        <v>0</v>
      </c>
      <c r="N863">
        <f>VLOOKUP(Table9[[#This Row],[Shortname]], Comp[], 11, FALSE)</f>
        <v>0</v>
      </c>
      <c r="O863">
        <f>VLOOKUP(Table9[[#This Row],[Shortname]], Comp[],12, FALSE)</f>
        <v>12</v>
      </c>
      <c r="P863">
        <f>VLOOKUP(Table9[[#This Row],[Shortname]], Comp[], 13, FALSE)</f>
        <v>0</v>
      </c>
      <c r="Q863">
        <f>VLOOKUP(Table9[[#This Row],[Shortname]], Comp[], 14, FALSE)</f>
        <v>0</v>
      </c>
      <c r="R863">
        <f>VLOOKUP(Table9[[#This Row],[Shortname]], Comp[], 15, FALSE)</f>
        <v>0</v>
      </c>
      <c r="S863">
        <f>VLOOKUP(Table9[[#This Row],[Shortname]], Comp[], 16, FALSE)</f>
        <v>4</v>
      </c>
      <c r="T863">
        <f>VLOOKUP(Table9[[#This Row],[Shortname]], Comp[], 17, FALSE)</f>
        <v>0</v>
      </c>
      <c r="U863">
        <f>VLOOKUP(Table9[[#This Row],[Shortname]], Comp[], 18, FALSE)</f>
        <v>0</v>
      </c>
      <c r="V863">
        <f>VLOOKUP(Table9[[#This Row],[Shortname]], Comp[], 19, FALSE)</f>
        <v>0</v>
      </c>
      <c r="W863">
        <f>VLOOKUP(Table9[[#This Row],[Shortname]], Comp[], 20, FALSE)</f>
        <v>0</v>
      </c>
      <c r="X863">
        <f>VLOOKUP(Table9[[#This Row],[Shortname]], Comp[], 21, FALSE)</f>
        <v>0</v>
      </c>
      <c r="Y863">
        <f>VLOOKUP(Table9[[#This Row],[Shortname]], Comp[], 22, FALSE)</f>
        <v>0</v>
      </c>
      <c r="Z863">
        <f>VLOOKUP(Table9[[#This Row],[Shortname]], Comp[], 23, FALSE)</f>
        <v>0</v>
      </c>
      <c r="AA863">
        <f>VLOOKUP(Table9[[#This Row],[Shortname]], Comp[], 24, FALSE)</f>
        <v>0</v>
      </c>
      <c r="AB863">
        <f>VLOOKUP(Table9[[#This Row],[Shortname]], Comp[], 25, FALSE)</f>
        <v>0</v>
      </c>
      <c r="AC863">
        <f>VLOOKUP(Table9[[#This Row],[Shortname]], Comp[], 26, FALSE)</f>
        <v>0</v>
      </c>
      <c r="AD863">
        <f>VLOOKUP(Table9[[#This Row],[Shortname]], Comp[], 27, FALSE)</f>
        <v>0</v>
      </c>
      <c r="AE863">
        <f>VLOOKUP(Table9[[#This Row],[Shortname]], Comp[], 28, FALSE)</f>
        <v>0</v>
      </c>
      <c r="AF863">
        <f>VLOOKUP(Table9[[#This Row],[Shortname]], Comp[], 29, FALSE)</f>
        <v>0</v>
      </c>
      <c r="AG863">
        <f>VLOOKUP(Table9[[#This Row],[Shortname]], Comp[], 30, FALSE)</f>
        <v>0</v>
      </c>
      <c r="AH863">
        <f>VLOOKUP(Table9[[#This Row],[Shortname]], Comp[], 31, FALSE)</f>
        <v>0</v>
      </c>
    </row>
    <row r="864" spans="1:34" x14ac:dyDescent="0.3">
      <c r="A864" t="s">
        <v>5421</v>
      </c>
      <c r="B864" t="s">
        <v>5422</v>
      </c>
      <c r="C864" t="s">
        <v>6886</v>
      </c>
      <c r="D864">
        <v>495</v>
      </c>
      <c r="E864">
        <v>900</v>
      </c>
      <c r="F864">
        <v>1E-4</v>
      </c>
      <c r="G864">
        <v>1</v>
      </c>
      <c r="H864" t="s">
        <v>6803</v>
      </c>
      <c r="I864">
        <f>VLOOKUP(Table9[[#This Row],[Shortname]], Comp[], 6, FALSE)</f>
        <v>830</v>
      </c>
      <c r="J864" s="14">
        <f>VLOOKUP(Table9[[#This Row],[Shortname]], Comp[], 7, FALSE)</f>
        <v>82</v>
      </c>
      <c r="K864">
        <f>VLOOKUP(Table9[[#This Row],[Shortname]], Comp[], 8, FALSE)</f>
        <v>0</v>
      </c>
      <c r="L864">
        <f>VLOOKUP(Table9[[#This Row],[Shortname]], Comp[], 9, FALSE)</f>
        <v>2</v>
      </c>
      <c r="M864">
        <f>VLOOKUP(Table9[[#This Row],[Shortname]], Comp[], 10, FALSE)</f>
        <v>0</v>
      </c>
      <c r="N864">
        <f>VLOOKUP(Table9[[#This Row],[Shortname]], Comp[], 11, FALSE)</f>
        <v>0</v>
      </c>
      <c r="O864">
        <f>VLOOKUP(Table9[[#This Row],[Shortname]], Comp[],12, FALSE)</f>
        <v>12</v>
      </c>
      <c r="P864">
        <f>VLOOKUP(Table9[[#This Row],[Shortname]], Comp[], 13, FALSE)</f>
        <v>0</v>
      </c>
      <c r="Q864">
        <f>VLOOKUP(Table9[[#This Row],[Shortname]], Comp[], 14, FALSE)</f>
        <v>0</v>
      </c>
      <c r="R864">
        <f>VLOOKUP(Table9[[#This Row],[Shortname]], Comp[], 15, FALSE)</f>
        <v>0</v>
      </c>
      <c r="S864">
        <f>VLOOKUP(Table9[[#This Row],[Shortname]], Comp[], 16, FALSE)</f>
        <v>4</v>
      </c>
      <c r="T864">
        <f>VLOOKUP(Table9[[#This Row],[Shortname]], Comp[], 17, FALSE)</f>
        <v>0</v>
      </c>
      <c r="U864">
        <f>VLOOKUP(Table9[[#This Row],[Shortname]], Comp[], 18, FALSE)</f>
        <v>0</v>
      </c>
      <c r="V864">
        <f>VLOOKUP(Table9[[#This Row],[Shortname]], Comp[], 19, FALSE)</f>
        <v>0</v>
      </c>
      <c r="W864">
        <f>VLOOKUP(Table9[[#This Row],[Shortname]], Comp[], 20, FALSE)</f>
        <v>0</v>
      </c>
      <c r="X864">
        <f>VLOOKUP(Table9[[#This Row],[Shortname]], Comp[], 21, FALSE)</f>
        <v>0</v>
      </c>
      <c r="Y864">
        <f>VLOOKUP(Table9[[#This Row],[Shortname]], Comp[], 22, FALSE)</f>
        <v>0</v>
      </c>
      <c r="Z864">
        <f>VLOOKUP(Table9[[#This Row],[Shortname]], Comp[], 23, FALSE)</f>
        <v>0</v>
      </c>
      <c r="AA864">
        <f>VLOOKUP(Table9[[#This Row],[Shortname]], Comp[], 24, FALSE)</f>
        <v>0</v>
      </c>
      <c r="AB864">
        <f>VLOOKUP(Table9[[#This Row],[Shortname]], Comp[], 25, FALSE)</f>
        <v>0</v>
      </c>
      <c r="AC864">
        <f>VLOOKUP(Table9[[#This Row],[Shortname]], Comp[], 26, FALSE)</f>
        <v>0</v>
      </c>
      <c r="AD864">
        <f>VLOOKUP(Table9[[#This Row],[Shortname]], Comp[], 27, FALSE)</f>
        <v>0</v>
      </c>
      <c r="AE864">
        <f>VLOOKUP(Table9[[#This Row],[Shortname]], Comp[], 28, FALSE)</f>
        <v>0</v>
      </c>
      <c r="AF864">
        <f>VLOOKUP(Table9[[#This Row],[Shortname]], Comp[], 29, FALSE)</f>
        <v>0</v>
      </c>
      <c r="AG864">
        <f>VLOOKUP(Table9[[#This Row],[Shortname]], Comp[], 30, FALSE)</f>
        <v>0</v>
      </c>
      <c r="AH864">
        <f>VLOOKUP(Table9[[#This Row],[Shortname]], Comp[], 31, FALSE)</f>
        <v>0</v>
      </c>
    </row>
    <row r="865" spans="1:34" x14ac:dyDescent="0.3">
      <c r="A865" t="s">
        <v>5425</v>
      </c>
      <c r="B865" t="s">
        <v>5426</v>
      </c>
      <c r="C865" t="s">
        <v>6887</v>
      </c>
      <c r="D865">
        <v>433</v>
      </c>
      <c r="E865">
        <v>25</v>
      </c>
      <c r="F865">
        <v>1E-4</v>
      </c>
      <c r="G865">
        <v>1</v>
      </c>
      <c r="H865" t="s">
        <v>6803</v>
      </c>
      <c r="I865">
        <f>VLOOKUP(Table9[[#This Row],[Shortname]], Comp[], 6, FALSE)</f>
        <v>831</v>
      </c>
      <c r="J865" s="14">
        <f>VLOOKUP(Table9[[#This Row],[Shortname]], Comp[], 7, FALSE)</f>
        <v>80</v>
      </c>
      <c r="K865">
        <f>VLOOKUP(Table9[[#This Row],[Shortname]], Comp[], 8, FALSE)</f>
        <v>0</v>
      </c>
      <c r="L865">
        <f>VLOOKUP(Table9[[#This Row],[Shortname]], Comp[], 9, FALSE)</f>
        <v>4</v>
      </c>
      <c r="M865">
        <f>VLOOKUP(Table9[[#This Row],[Shortname]], Comp[], 10, FALSE)</f>
        <v>0</v>
      </c>
      <c r="N865">
        <f>VLOOKUP(Table9[[#This Row],[Shortname]], Comp[], 11, FALSE)</f>
        <v>0</v>
      </c>
      <c r="O865">
        <f>VLOOKUP(Table9[[#This Row],[Shortname]], Comp[],12, FALSE)</f>
        <v>12</v>
      </c>
      <c r="P865">
        <f>VLOOKUP(Table9[[#This Row],[Shortname]], Comp[], 13, FALSE)</f>
        <v>0</v>
      </c>
      <c r="Q865">
        <f>VLOOKUP(Table9[[#This Row],[Shortname]], Comp[], 14, FALSE)</f>
        <v>0</v>
      </c>
      <c r="R865">
        <f>VLOOKUP(Table9[[#This Row],[Shortname]], Comp[], 15, FALSE)</f>
        <v>0</v>
      </c>
      <c r="S865">
        <f>VLOOKUP(Table9[[#This Row],[Shortname]], Comp[], 16, FALSE)</f>
        <v>4</v>
      </c>
      <c r="T865">
        <f>VLOOKUP(Table9[[#This Row],[Shortname]], Comp[], 17, FALSE)</f>
        <v>0</v>
      </c>
      <c r="U865">
        <f>VLOOKUP(Table9[[#This Row],[Shortname]], Comp[], 18, FALSE)</f>
        <v>0</v>
      </c>
      <c r="V865">
        <f>VLOOKUP(Table9[[#This Row],[Shortname]], Comp[], 19, FALSE)</f>
        <v>0</v>
      </c>
      <c r="W865">
        <f>VLOOKUP(Table9[[#This Row],[Shortname]], Comp[], 20, FALSE)</f>
        <v>0</v>
      </c>
      <c r="X865">
        <f>VLOOKUP(Table9[[#This Row],[Shortname]], Comp[], 21, FALSE)</f>
        <v>0</v>
      </c>
      <c r="Y865">
        <f>VLOOKUP(Table9[[#This Row],[Shortname]], Comp[], 22, FALSE)</f>
        <v>0</v>
      </c>
      <c r="Z865">
        <f>VLOOKUP(Table9[[#This Row],[Shortname]], Comp[], 23, FALSE)</f>
        <v>0</v>
      </c>
      <c r="AA865">
        <f>VLOOKUP(Table9[[#This Row],[Shortname]], Comp[], 24, FALSE)</f>
        <v>0</v>
      </c>
      <c r="AB865">
        <f>VLOOKUP(Table9[[#This Row],[Shortname]], Comp[], 25, FALSE)</f>
        <v>0</v>
      </c>
      <c r="AC865">
        <f>VLOOKUP(Table9[[#This Row],[Shortname]], Comp[], 26, FALSE)</f>
        <v>0</v>
      </c>
      <c r="AD865">
        <f>VLOOKUP(Table9[[#This Row],[Shortname]], Comp[], 27, FALSE)</f>
        <v>0</v>
      </c>
      <c r="AE865">
        <f>VLOOKUP(Table9[[#This Row],[Shortname]], Comp[], 28, FALSE)</f>
        <v>0</v>
      </c>
      <c r="AF865">
        <f>VLOOKUP(Table9[[#This Row],[Shortname]], Comp[], 29, FALSE)</f>
        <v>0</v>
      </c>
      <c r="AG865">
        <f>VLOOKUP(Table9[[#This Row],[Shortname]], Comp[], 30, FALSE)</f>
        <v>0</v>
      </c>
      <c r="AH865">
        <f>VLOOKUP(Table9[[#This Row],[Shortname]], Comp[], 31, FALSE)</f>
        <v>0</v>
      </c>
    </row>
    <row r="866" spans="1:34" x14ac:dyDescent="0.3">
      <c r="A866" t="s">
        <v>5425</v>
      </c>
      <c r="B866" t="s">
        <v>5426</v>
      </c>
      <c r="C866" t="s">
        <v>5413</v>
      </c>
      <c r="D866">
        <v>432</v>
      </c>
      <c r="E866">
        <v>600</v>
      </c>
      <c r="F866">
        <v>1E-4</v>
      </c>
      <c r="G866">
        <v>1</v>
      </c>
      <c r="H866" t="s">
        <v>6803</v>
      </c>
      <c r="I866">
        <f>VLOOKUP(Table9[[#This Row],[Shortname]], Comp[], 6, FALSE)</f>
        <v>831</v>
      </c>
      <c r="J866" s="14">
        <f>VLOOKUP(Table9[[#This Row],[Shortname]], Comp[], 7, FALSE)</f>
        <v>80</v>
      </c>
      <c r="K866">
        <f>VLOOKUP(Table9[[#This Row],[Shortname]], Comp[], 8, FALSE)</f>
        <v>0</v>
      </c>
      <c r="L866">
        <f>VLOOKUP(Table9[[#This Row],[Shortname]], Comp[], 9, FALSE)</f>
        <v>4</v>
      </c>
      <c r="M866">
        <f>VLOOKUP(Table9[[#This Row],[Shortname]], Comp[], 10, FALSE)</f>
        <v>0</v>
      </c>
      <c r="N866">
        <f>VLOOKUP(Table9[[#This Row],[Shortname]], Comp[], 11, FALSE)</f>
        <v>0</v>
      </c>
      <c r="O866">
        <f>VLOOKUP(Table9[[#This Row],[Shortname]], Comp[],12, FALSE)</f>
        <v>12</v>
      </c>
      <c r="P866">
        <f>VLOOKUP(Table9[[#This Row],[Shortname]], Comp[], 13, FALSE)</f>
        <v>0</v>
      </c>
      <c r="Q866">
        <f>VLOOKUP(Table9[[#This Row],[Shortname]], Comp[], 14, FALSE)</f>
        <v>0</v>
      </c>
      <c r="R866">
        <f>VLOOKUP(Table9[[#This Row],[Shortname]], Comp[], 15, FALSE)</f>
        <v>0</v>
      </c>
      <c r="S866">
        <f>VLOOKUP(Table9[[#This Row],[Shortname]], Comp[], 16, FALSE)</f>
        <v>4</v>
      </c>
      <c r="T866">
        <f>VLOOKUP(Table9[[#This Row],[Shortname]], Comp[], 17, FALSE)</f>
        <v>0</v>
      </c>
      <c r="U866">
        <f>VLOOKUP(Table9[[#This Row],[Shortname]], Comp[], 18, FALSE)</f>
        <v>0</v>
      </c>
      <c r="V866">
        <f>VLOOKUP(Table9[[#This Row],[Shortname]], Comp[], 19, FALSE)</f>
        <v>0</v>
      </c>
      <c r="W866">
        <f>VLOOKUP(Table9[[#This Row],[Shortname]], Comp[], 20, FALSE)</f>
        <v>0</v>
      </c>
      <c r="X866">
        <f>VLOOKUP(Table9[[#This Row],[Shortname]], Comp[], 21, FALSE)</f>
        <v>0</v>
      </c>
      <c r="Y866">
        <f>VLOOKUP(Table9[[#This Row],[Shortname]], Comp[], 22, FALSE)</f>
        <v>0</v>
      </c>
      <c r="Z866">
        <f>VLOOKUP(Table9[[#This Row],[Shortname]], Comp[], 23, FALSE)</f>
        <v>0</v>
      </c>
      <c r="AA866">
        <f>VLOOKUP(Table9[[#This Row],[Shortname]], Comp[], 24, FALSE)</f>
        <v>0</v>
      </c>
      <c r="AB866">
        <f>VLOOKUP(Table9[[#This Row],[Shortname]], Comp[], 25, FALSE)</f>
        <v>0</v>
      </c>
      <c r="AC866">
        <f>VLOOKUP(Table9[[#This Row],[Shortname]], Comp[], 26, FALSE)</f>
        <v>0</v>
      </c>
      <c r="AD866">
        <f>VLOOKUP(Table9[[#This Row],[Shortname]], Comp[], 27, FALSE)</f>
        <v>0</v>
      </c>
      <c r="AE866">
        <f>VLOOKUP(Table9[[#This Row],[Shortname]], Comp[], 28, FALSE)</f>
        <v>0</v>
      </c>
      <c r="AF866">
        <f>VLOOKUP(Table9[[#This Row],[Shortname]], Comp[], 29, FALSE)</f>
        <v>0</v>
      </c>
      <c r="AG866">
        <f>VLOOKUP(Table9[[#This Row],[Shortname]], Comp[], 30, FALSE)</f>
        <v>0</v>
      </c>
      <c r="AH866">
        <f>VLOOKUP(Table9[[#This Row],[Shortname]], Comp[], 31, FALSE)</f>
        <v>0</v>
      </c>
    </row>
    <row r="867" spans="1:34" x14ac:dyDescent="0.3">
      <c r="A867" t="s">
        <v>5425</v>
      </c>
      <c r="B867" t="s">
        <v>5426</v>
      </c>
      <c r="C867" t="s">
        <v>5418</v>
      </c>
      <c r="D867">
        <v>612</v>
      </c>
      <c r="E867">
        <v>700</v>
      </c>
      <c r="F867">
        <v>1E-4</v>
      </c>
      <c r="G867">
        <v>1</v>
      </c>
      <c r="H867" t="s">
        <v>6803</v>
      </c>
      <c r="I867">
        <f>VLOOKUP(Table9[[#This Row],[Shortname]], Comp[], 6, FALSE)</f>
        <v>831</v>
      </c>
      <c r="J867" s="14">
        <f>VLOOKUP(Table9[[#This Row],[Shortname]], Comp[], 7, FALSE)</f>
        <v>80</v>
      </c>
      <c r="K867">
        <f>VLOOKUP(Table9[[#This Row],[Shortname]], Comp[], 8, FALSE)</f>
        <v>0</v>
      </c>
      <c r="L867">
        <f>VLOOKUP(Table9[[#This Row],[Shortname]], Comp[], 9, FALSE)</f>
        <v>4</v>
      </c>
      <c r="M867">
        <f>VLOOKUP(Table9[[#This Row],[Shortname]], Comp[], 10, FALSE)</f>
        <v>0</v>
      </c>
      <c r="N867">
        <f>VLOOKUP(Table9[[#This Row],[Shortname]], Comp[], 11, FALSE)</f>
        <v>0</v>
      </c>
      <c r="O867">
        <f>VLOOKUP(Table9[[#This Row],[Shortname]], Comp[],12, FALSE)</f>
        <v>12</v>
      </c>
      <c r="P867">
        <f>VLOOKUP(Table9[[#This Row],[Shortname]], Comp[], 13, FALSE)</f>
        <v>0</v>
      </c>
      <c r="Q867">
        <f>VLOOKUP(Table9[[#This Row],[Shortname]], Comp[], 14, FALSE)</f>
        <v>0</v>
      </c>
      <c r="R867">
        <f>VLOOKUP(Table9[[#This Row],[Shortname]], Comp[], 15, FALSE)</f>
        <v>0</v>
      </c>
      <c r="S867">
        <f>VLOOKUP(Table9[[#This Row],[Shortname]], Comp[], 16, FALSE)</f>
        <v>4</v>
      </c>
      <c r="T867">
        <f>VLOOKUP(Table9[[#This Row],[Shortname]], Comp[], 17, FALSE)</f>
        <v>0</v>
      </c>
      <c r="U867">
        <f>VLOOKUP(Table9[[#This Row],[Shortname]], Comp[], 18, FALSE)</f>
        <v>0</v>
      </c>
      <c r="V867">
        <f>VLOOKUP(Table9[[#This Row],[Shortname]], Comp[], 19, FALSE)</f>
        <v>0</v>
      </c>
      <c r="W867">
        <f>VLOOKUP(Table9[[#This Row],[Shortname]], Comp[], 20, FALSE)</f>
        <v>0</v>
      </c>
      <c r="X867">
        <f>VLOOKUP(Table9[[#This Row],[Shortname]], Comp[], 21, FALSE)</f>
        <v>0</v>
      </c>
      <c r="Y867">
        <f>VLOOKUP(Table9[[#This Row],[Shortname]], Comp[], 22, FALSE)</f>
        <v>0</v>
      </c>
      <c r="Z867">
        <f>VLOOKUP(Table9[[#This Row],[Shortname]], Comp[], 23, FALSE)</f>
        <v>0</v>
      </c>
      <c r="AA867">
        <f>VLOOKUP(Table9[[#This Row],[Shortname]], Comp[], 24, FALSE)</f>
        <v>0</v>
      </c>
      <c r="AB867">
        <f>VLOOKUP(Table9[[#This Row],[Shortname]], Comp[], 25, FALSE)</f>
        <v>0</v>
      </c>
      <c r="AC867">
        <f>VLOOKUP(Table9[[#This Row],[Shortname]], Comp[], 26, FALSE)</f>
        <v>0</v>
      </c>
      <c r="AD867">
        <f>VLOOKUP(Table9[[#This Row],[Shortname]], Comp[], 27, FALSE)</f>
        <v>0</v>
      </c>
      <c r="AE867">
        <f>VLOOKUP(Table9[[#This Row],[Shortname]], Comp[], 28, FALSE)</f>
        <v>0</v>
      </c>
      <c r="AF867">
        <f>VLOOKUP(Table9[[#This Row],[Shortname]], Comp[], 29, FALSE)</f>
        <v>0</v>
      </c>
      <c r="AG867">
        <f>VLOOKUP(Table9[[#This Row],[Shortname]], Comp[], 30, FALSE)</f>
        <v>0</v>
      </c>
      <c r="AH867">
        <f>VLOOKUP(Table9[[#This Row],[Shortname]], Comp[], 31, FALSE)</f>
        <v>0</v>
      </c>
    </row>
    <row r="868" spans="1:34" x14ac:dyDescent="0.3">
      <c r="A868" t="s">
        <v>5425</v>
      </c>
      <c r="B868" t="s">
        <v>5426</v>
      </c>
      <c r="C868" t="s">
        <v>5423</v>
      </c>
      <c r="D868">
        <v>532</v>
      </c>
      <c r="E868">
        <v>800</v>
      </c>
      <c r="F868">
        <v>1E-4</v>
      </c>
      <c r="G868">
        <v>1</v>
      </c>
      <c r="H868" t="s">
        <v>6803</v>
      </c>
      <c r="I868">
        <f>VLOOKUP(Table9[[#This Row],[Shortname]], Comp[], 6, FALSE)</f>
        <v>831</v>
      </c>
      <c r="J868" s="14">
        <f>VLOOKUP(Table9[[#This Row],[Shortname]], Comp[], 7, FALSE)</f>
        <v>80</v>
      </c>
      <c r="K868">
        <f>VLOOKUP(Table9[[#This Row],[Shortname]], Comp[], 8, FALSE)</f>
        <v>0</v>
      </c>
      <c r="L868">
        <f>VLOOKUP(Table9[[#This Row],[Shortname]], Comp[], 9, FALSE)</f>
        <v>4</v>
      </c>
      <c r="M868">
        <f>VLOOKUP(Table9[[#This Row],[Shortname]], Comp[], 10, FALSE)</f>
        <v>0</v>
      </c>
      <c r="N868">
        <f>VLOOKUP(Table9[[#This Row],[Shortname]], Comp[], 11, FALSE)</f>
        <v>0</v>
      </c>
      <c r="O868">
        <f>VLOOKUP(Table9[[#This Row],[Shortname]], Comp[],12, FALSE)</f>
        <v>12</v>
      </c>
      <c r="P868">
        <f>VLOOKUP(Table9[[#This Row],[Shortname]], Comp[], 13, FALSE)</f>
        <v>0</v>
      </c>
      <c r="Q868">
        <f>VLOOKUP(Table9[[#This Row],[Shortname]], Comp[], 14, FALSE)</f>
        <v>0</v>
      </c>
      <c r="R868">
        <f>VLOOKUP(Table9[[#This Row],[Shortname]], Comp[], 15, FALSE)</f>
        <v>0</v>
      </c>
      <c r="S868">
        <f>VLOOKUP(Table9[[#This Row],[Shortname]], Comp[], 16, FALSE)</f>
        <v>4</v>
      </c>
      <c r="T868">
        <f>VLOOKUP(Table9[[#This Row],[Shortname]], Comp[], 17, FALSE)</f>
        <v>0</v>
      </c>
      <c r="U868">
        <f>VLOOKUP(Table9[[#This Row],[Shortname]], Comp[], 18, FALSE)</f>
        <v>0</v>
      </c>
      <c r="V868">
        <f>VLOOKUP(Table9[[#This Row],[Shortname]], Comp[], 19, FALSE)</f>
        <v>0</v>
      </c>
      <c r="W868">
        <f>VLOOKUP(Table9[[#This Row],[Shortname]], Comp[], 20, FALSE)</f>
        <v>0</v>
      </c>
      <c r="X868">
        <f>VLOOKUP(Table9[[#This Row],[Shortname]], Comp[], 21, FALSE)</f>
        <v>0</v>
      </c>
      <c r="Y868">
        <f>VLOOKUP(Table9[[#This Row],[Shortname]], Comp[], 22, FALSE)</f>
        <v>0</v>
      </c>
      <c r="Z868">
        <f>VLOOKUP(Table9[[#This Row],[Shortname]], Comp[], 23, FALSE)</f>
        <v>0</v>
      </c>
      <c r="AA868">
        <f>VLOOKUP(Table9[[#This Row],[Shortname]], Comp[], 24, FALSE)</f>
        <v>0</v>
      </c>
      <c r="AB868">
        <f>VLOOKUP(Table9[[#This Row],[Shortname]], Comp[], 25, FALSE)</f>
        <v>0</v>
      </c>
      <c r="AC868">
        <f>VLOOKUP(Table9[[#This Row],[Shortname]], Comp[], 26, FALSE)</f>
        <v>0</v>
      </c>
      <c r="AD868">
        <f>VLOOKUP(Table9[[#This Row],[Shortname]], Comp[], 27, FALSE)</f>
        <v>0</v>
      </c>
      <c r="AE868">
        <f>VLOOKUP(Table9[[#This Row],[Shortname]], Comp[], 28, FALSE)</f>
        <v>0</v>
      </c>
      <c r="AF868">
        <f>VLOOKUP(Table9[[#This Row],[Shortname]], Comp[], 29, FALSE)</f>
        <v>0</v>
      </c>
      <c r="AG868">
        <f>VLOOKUP(Table9[[#This Row],[Shortname]], Comp[], 30, FALSE)</f>
        <v>0</v>
      </c>
      <c r="AH868">
        <f>VLOOKUP(Table9[[#This Row],[Shortname]], Comp[], 31, FALSE)</f>
        <v>0</v>
      </c>
    </row>
    <row r="869" spans="1:34" x14ac:dyDescent="0.3">
      <c r="A869" t="s">
        <v>5425</v>
      </c>
      <c r="B869" t="s">
        <v>5426</v>
      </c>
      <c r="C869" t="s">
        <v>5427</v>
      </c>
      <c r="D869">
        <v>402</v>
      </c>
      <c r="E869">
        <v>900</v>
      </c>
      <c r="F869">
        <v>1E-4</v>
      </c>
      <c r="G869">
        <v>1</v>
      </c>
      <c r="H869" t="s">
        <v>6803</v>
      </c>
      <c r="I869">
        <f>VLOOKUP(Table9[[#This Row],[Shortname]], Comp[], 6, FALSE)</f>
        <v>831</v>
      </c>
      <c r="J869" s="14">
        <f>VLOOKUP(Table9[[#This Row],[Shortname]], Comp[], 7, FALSE)</f>
        <v>80</v>
      </c>
      <c r="K869">
        <f>VLOOKUP(Table9[[#This Row],[Shortname]], Comp[], 8, FALSE)</f>
        <v>0</v>
      </c>
      <c r="L869">
        <f>VLOOKUP(Table9[[#This Row],[Shortname]], Comp[], 9, FALSE)</f>
        <v>4</v>
      </c>
      <c r="M869">
        <f>VLOOKUP(Table9[[#This Row],[Shortname]], Comp[], 10, FALSE)</f>
        <v>0</v>
      </c>
      <c r="N869">
        <f>VLOOKUP(Table9[[#This Row],[Shortname]], Comp[], 11, FALSE)</f>
        <v>0</v>
      </c>
      <c r="O869">
        <f>VLOOKUP(Table9[[#This Row],[Shortname]], Comp[],12, FALSE)</f>
        <v>12</v>
      </c>
      <c r="P869">
        <f>VLOOKUP(Table9[[#This Row],[Shortname]], Comp[], 13, FALSE)</f>
        <v>0</v>
      </c>
      <c r="Q869">
        <f>VLOOKUP(Table9[[#This Row],[Shortname]], Comp[], 14, FALSE)</f>
        <v>0</v>
      </c>
      <c r="R869">
        <f>VLOOKUP(Table9[[#This Row],[Shortname]], Comp[], 15, FALSE)</f>
        <v>0</v>
      </c>
      <c r="S869">
        <f>VLOOKUP(Table9[[#This Row],[Shortname]], Comp[], 16, FALSE)</f>
        <v>4</v>
      </c>
      <c r="T869">
        <f>VLOOKUP(Table9[[#This Row],[Shortname]], Comp[], 17, FALSE)</f>
        <v>0</v>
      </c>
      <c r="U869">
        <f>VLOOKUP(Table9[[#This Row],[Shortname]], Comp[], 18, FALSE)</f>
        <v>0</v>
      </c>
      <c r="V869">
        <f>VLOOKUP(Table9[[#This Row],[Shortname]], Comp[], 19, FALSE)</f>
        <v>0</v>
      </c>
      <c r="W869">
        <f>VLOOKUP(Table9[[#This Row],[Shortname]], Comp[], 20, FALSE)</f>
        <v>0</v>
      </c>
      <c r="X869">
        <f>VLOOKUP(Table9[[#This Row],[Shortname]], Comp[], 21, FALSE)</f>
        <v>0</v>
      </c>
      <c r="Y869">
        <f>VLOOKUP(Table9[[#This Row],[Shortname]], Comp[], 22, FALSE)</f>
        <v>0</v>
      </c>
      <c r="Z869">
        <f>VLOOKUP(Table9[[#This Row],[Shortname]], Comp[], 23, FALSE)</f>
        <v>0</v>
      </c>
      <c r="AA869">
        <f>VLOOKUP(Table9[[#This Row],[Shortname]], Comp[], 24, FALSE)</f>
        <v>0</v>
      </c>
      <c r="AB869">
        <f>VLOOKUP(Table9[[#This Row],[Shortname]], Comp[], 25, FALSE)</f>
        <v>0</v>
      </c>
      <c r="AC869">
        <f>VLOOKUP(Table9[[#This Row],[Shortname]], Comp[], 26, FALSE)</f>
        <v>0</v>
      </c>
      <c r="AD869">
        <f>VLOOKUP(Table9[[#This Row],[Shortname]], Comp[], 27, FALSE)</f>
        <v>0</v>
      </c>
      <c r="AE869">
        <f>VLOOKUP(Table9[[#This Row],[Shortname]], Comp[], 28, FALSE)</f>
        <v>0</v>
      </c>
      <c r="AF869">
        <f>VLOOKUP(Table9[[#This Row],[Shortname]], Comp[], 29, FALSE)</f>
        <v>0</v>
      </c>
      <c r="AG869">
        <f>VLOOKUP(Table9[[#This Row],[Shortname]], Comp[], 30, FALSE)</f>
        <v>0</v>
      </c>
      <c r="AH869">
        <f>VLOOKUP(Table9[[#This Row],[Shortname]], Comp[], 31, FALSE)</f>
        <v>0</v>
      </c>
    </row>
    <row r="870" spans="1:34" x14ac:dyDescent="0.3">
      <c r="A870" t="s">
        <v>5475</v>
      </c>
      <c r="B870" t="s">
        <v>5477</v>
      </c>
      <c r="C870" t="s">
        <v>5478</v>
      </c>
      <c r="D870">
        <v>966</v>
      </c>
      <c r="E870">
        <v>25</v>
      </c>
      <c r="F870">
        <v>1E-3</v>
      </c>
      <c r="G870">
        <v>-1</v>
      </c>
      <c r="H870" t="s">
        <v>6888</v>
      </c>
      <c r="I870">
        <f>VLOOKUP(Table9[[#This Row],[Shortname]], Comp[], 6, FALSE)</f>
        <v>843</v>
      </c>
      <c r="J870" s="14">
        <f>VLOOKUP(Table9[[#This Row],[Shortname]], Comp[], 7, FALSE)</f>
        <v>31.5</v>
      </c>
      <c r="K870">
        <f>VLOOKUP(Table9[[#This Row],[Shortname]], Comp[], 8, FALSE)</f>
        <v>34.6</v>
      </c>
      <c r="L870">
        <f>VLOOKUP(Table9[[#This Row],[Shortname]], Comp[], 9, FALSE)</f>
        <v>4.3</v>
      </c>
      <c r="M870">
        <f>VLOOKUP(Table9[[#This Row],[Shortname]], Comp[], 10, FALSE)</f>
        <v>19.5</v>
      </c>
      <c r="N870">
        <f>VLOOKUP(Table9[[#This Row],[Shortname]], Comp[], 11, FALSE)</f>
        <v>0</v>
      </c>
      <c r="O870">
        <f>VLOOKUP(Table9[[#This Row],[Shortname]], Comp[],12, FALSE)</f>
        <v>1</v>
      </c>
      <c r="P870">
        <f>VLOOKUP(Table9[[#This Row],[Shortname]], Comp[], 13, FALSE)</f>
        <v>0</v>
      </c>
      <c r="Q870">
        <f>VLOOKUP(Table9[[#This Row],[Shortname]], Comp[], 14, FALSE)</f>
        <v>1.9</v>
      </c>
      <c r="R870">
        <f>VLOOKUP(Table9[[#This Row],[Shortname]], Comp[], 15, FALSE)</f>
        <v>0</v>
      </c>
      <c r="S870">
        <f>VLOOKUP(Table9[[#This Row],[Shortname]], Comp[], 16, FALSE)</f>
        <v>4.8</v>
      </c>
      <c r="T870">
        <f>VLOOKUP(Table9[[#This Row],[Shortname]], Comp[], 17, FALSE)</f>
        <v>0.7</v>
      </c>
      <c r="U870">
        <f>VLOOKUP(Table9[[#This Row],[Shortname]], Comp[], 18, FALSE)</f>
        <v>0</v>
      </c>
      <c r="V870">
        <f>VLOOKUP(Table9[[#This Row],[Shortname]], Comp[], 19, FALSE)</f>
        <v>0</v>
      </c>
      <c r="W870">
        <f>VLOOKUP(Table9[[#This Row],[Shortname]], Comp[], 20, FALSE)</f>
        <v>0</v>
      </c>
      <c r="X870">
        <f>VLOOKUP(Table9[[#This Row],[Shortname]], Comp[], 21, FALSE)</f>
        <v>0</v>
      </c>
      <c r="Y870">
        <f>VLOOKUP(Table9[[#This Row],[Shortname]], Comp[], 22, FALSE)</f>
        <v>0</v>
      </c>
      <c r="Z870">
        <f>VLOOKUP(Table9[[#This Row],[Shortname]], Comp[], 23, FALSE)</f>
        <v>1.7</v>
      </c>
      <c r="AA870">
        <f>VLOOKUP(Table9[[#This Row],[Shortname]], Comp[], 24, FALSE)</f>
        <v>0</v>
      </c>
      <c r="AB870">
        <f>VLOOKUP(Table9[[#This Row],[Shortname]], Comp[], 25, FALSE)</f>
        <v>0</v>
      </c>
      <c r="AC870">
        <f>VLOOKUP(Table9[[#This Row],[Shortname]], Comp[], 26, FALSE)</f>
        <v>0</v>
      </c>
      <c r="AD870">
        <f>VLOOKUP(Table9[[#This Row],[Shortname]], Comp[], 27, FALSE)</f>
        <v>0</v>
      </c>
      <c r="AE870">
        <f>VLOOKUP(Table9[[#This Row],[Shortname]], Comp[], 28, FALSE)</f>
        <v>0</v>
      </c>
      <c r="AF870">
        <f>VLOOKUP(Table9[[#This Row],[Shortname]], Comp[], 29, FALSE)</f>
        <v>0</v>
      </c>
      <c r="AG870">
        <f>VLOOKUP(Table9[[#This Row],[Shortname]], Comp[], 30, FALSE)</f>
        <v>0</v>
      </c>
      <c r="AH870">
        <f>VLOOKUP(Table9[[#This Row],[Shortname]], Comp[], 31, FALSE)</f>
        <v>0</v>
      </c>
    </row>
    <row r="871" spans="1:34" x14ac:dyDescent="0.3">
      <c r="A871" t="s">
        <v>5475</v>
      </c>
      <c r="B871" t="s">
        <v>5477</v>
      </c>
      <c r="C871" t="s">
        <v>6889</v>
      </c>
      <c r="D871">
        <v>800</v>
      </c>
      <c r="E871">
        <v>300</v>
      </c>
      <c r="F871">
        <v>1E-3</v>
      </c>
      <c r="G871">
        <v>-1</v>
      </c>
      <c r="H871" t="s">
        <v>6888</v>
      </c>
      <c r="I871">
        <f>VLOOKUP(Table9[[#This Row],[Shortname]], Comp[], 6, FALSE)</f>
        <v>843</v>
      </c>
      <c r="J871" s="14">
        <f>VLOOKUP(Table9[[#This Row],[Shortname]], Comp[], 7, FALSE)</f>
        <v>31.5</v>
      </c>
      <c r="K871">
        <f>VLOOKUP(Table9[[#This Row],[Shortname]], Comp[], 8, FALSE)</f>
        <v>34.6</v>
      </c>
      <c r="L871">
        <f>VLOOKUP(Table9[[#This Row],[Shortname]], Comp[], 9, FALSE)</f>
        <v>4.3</v>
      </c>
      <c r="M871">
        <f>VLOOKUP(Table9[[#This Row],[Shortname]], Comp[], 10, FALSE)</f>
        <v>19.5</v>
      </c>
      <c r="N871">
        <f>VLOOKUP(Table9[[#This Row],[Shortname]], Comp[], 11, FALSE)</f>
        <v>0</v>
      </c>
      <c r="O871">
        <f>VLOOKUP(Table9[[#This Row],[Shortname]], Comp[],12, FALSE)</f>
        <v>1</v>
      </c>
      <c r="P871">
        <f>VLOOKUP(Table9[[#This Row],[Shortname]], Comp[], 13, FALSE)</f>
        <v>0</v>
      </c>
      <c r="Q871">
        <f>VLOOKUP(Table9[[#This Row],[Shortname]], Comp[], 14, FALSE)</f>
        <v>1.9</v>
      </c>
      <c r="R871">
        <f>VLOOKUP(Table9[[#This Row],[Shortname]], Comp[], 15, FALSE)</f>
        <v>0</v>
      </c>
      <c r="S871">
        <f>VLOOKUP(Table9[[#This Row],[Shortname]], Comp[], 16, FALSE)</f>
        <v>4.8</v>
      </c>
      <c r="T871">
        <f>VLOOKUP(Table9[[#This Row],[Shortname]], Comp[], 17, FALSE)</f>
        <v>0.7</v>
      </c>
      <c r="U871">
        <f>VLOOKUP(Table9[[#This Row],[Shortname]], Comp[], 18, FALSE)</f>
        <v>0</v>
      </c>
      <c r="V871">
        <f>VLOOKUP(Table9[[#This Row],[Shortname]], Comp[], 19, FALSE)</f>
        <v>0</v>
      </c>
      <c r="W871">
        <f>VLOOKUP(Table9[[#This Row],[Shortname]], Comp[], 20, FALSE)</f>
        <v>0</v>
      </c>
      <c r="X871">
        <f>VLOOKUP(Table9[[#This Row],[Shortname]], Comp[], 21, FALSE)</f>
        <v>0</v>
      </c>
      <c r="Y871">
        <f>VLOOKUP(Table9[[#This Row],[Shortname]], Comp[], 22, FALSE)</f>
        <v>0</v>
      </c>
      <c r="Z871">
        <f>VLOOKUP(Table9[[#This Row],[Shortname]], Comp[], 23, FALSE)</f>
        <v>1.7</v>
      </c>
      <c r="AA871">
        <f>VLOOKUP(Table9[[#This Row],[Shortname]], Comp[], 24, FALSE)</f>
        <v>0</v>
      </c>
      <c r="AB871">
        <f>VLOOKUP(Table9[[#This Row],[Shortname]], Comp[], 25, FALSE)</f>
        <v>0</v>
      </c>
      <c r="AC871">
        <f>VLOOKUP(Table9[[#This Row],[Shortname]], Comp[], 26, FALSE)</f>
        <v>0</v>
      </c>
      <c r="AD871">
        <f>VLOOKUP(Table9[[#This Row],[Shortname]], Comp[], 27, FALSE)</f>
        <v>0</v>
      </c>
      <c r="AE871">
        <f>VLOOKUP(Table9[[#This Row],[Shortname]], Comp[], 28, FALSE)</f>
        <v>0</v>
      </c>
      <c r="AF871">
        <f>VLOOKUP(Table9[[#This Row],[Shortname]], Comp[], 29, FALSE)</f>
        <v>0</v>
      </c>
      <c r="AG871">
        <f>VLOOKUP(Table9[[#This Row],[Shortname]], Comp[], 30, FALSE)</f>
        <v>0</v>
      </c>
      <c r="AH871">
        <f>VLOOKUP(Table9[[#This Row],[Shortname]], Comp[], 31, FALSE)</f>
        <v>0</v>
      </c>
    </row>
    <row r="872" spans="1:34" x14ac:dyDescent="0.3">
      <c r="A872" t="s">
        <v>5475</v>
      </c>
      <c r="B872" t="s">
        <v>5477</v>
      </c>
      <c r="C872" t="s">
        <v>6890</v>
      </c>
      <c r="D872">
        <v>805</v>
      </c>
      <c r="E872">
        <v>500</v>
      </c>
      <c r="F872">
        <v>1E-3</v>
      </c>
      <c r="G872">
        <v>-1</v>
      </c>
      <c r="H872" t="s">
        <v>6888</v>
      </c>
      <c r="I872">
        <f>VLOOKUP(Table9[[#This Row],[Shortname]], Comp[], 6, FALSE)</f>
        <v>843</v>
      </c>
      <c r="J872" s="14">
        <f>VLOOKUP(Table9[[#This Row],[Shortname]], Comp[], 7, FALSE)</f>
        <v>31.5</v>
      </c>
      <c r="K872">
        <f>VLOOKUP(Table9[[#This Row],[Shortname]], Comp[], 8, FALSE)</f>
        <v>34.6</v>
      </c>
      <c r="L872">
        <f>VLOOKUP(Table9[[#This Row],[Shortname]], Comp[], 9, FALSE)</f>
        <v>4.3</v>
      </c>
      <c r="M872">
        <f>VLOOKUP(Table9[[#This Row],[Shortname]], Comp[], 10, FALSE)</f>
        <v>19.5</v>
      </c>
      <c r="N872">
        <f>VLOOKUP(Table9[[#This Row],[Shortname]], Comp[], 11, FALSE)</f>
        <v>0</v>
      </c>
      <c r="O872">
        <f>VLOOKUP(Table9[[#This Row],[Shortname]], Comp[],12, FALSE)</f>
        <v>1</v>
      </c>
      <c r="P872">
        <f>VLOOKUP(Table9[[#This Row],[Shortname]], Comp[], 13, FALSE)</f>
        <v>0</v>
      </c>
      <c r="Q872">
        <f>VLOOKUP(Table9[[#This Row],[Shortname]], Comp[], 14, FALSE)</f>
        <v>1.9</v>
      </c>
      <c r="R872">
        <f>VLOOKUP(Table9[[#This Row],[Shortname]], Comp[], 15, FALSE)</f>
        <v>0</v>
      </c>
      <c r="S872">
        <f>VLOOKUP(Table9[[#This Row],[Shortname]], Comp[], 16, FALSE)</f>
        <v>4.8</v>
      </c>
      <c r="T872">
        <f>VLOOKUP(Table9[[#This Row],[Shortname]], Comp[], 17, FALSE)</f>
        <v>0.7</v>
      </c>
      <c r="U872">
        <f>VLOOKUP(Table9[[#This Row],[Shortname]], Comp[], 18, FALSE)</f>
        <v>0</v>
      </c>
      <c r="V872">
        <f>VLOOKUP(Table9[[#This Row],[Shortname]], Comp[], 19, FALSE)</f>
        <v>0</v>
      </c>
      <c r="W872">
        <f>VLOOKUP(Table9[[#This Row],[Shortname]], Comp[], 20, FALSE)</f>
        <v>0</v>
      </c>
      <c r="X872">
        <f>VLOOKUP(Table9[[#This Row],[Shortname]], Comp[], 21, FALSE)</f>
        <v>0</v>
      </c>
      <c r="Y872">
        <f>VLOOKUP(Table9[[#This Row],[Shortname]], Comp[], 22, FALSE)</f>
        <v>0</v>
      </c>
      <c r="Z872">
        <f>VLOOKUP(Table9[[#This Row],[Shortname]], Comp[], 23, FALSE)</f>
        <v>1.7</v>
      </c>
      <c r="AA872">
        <f>VLOOKUP(Table9[[#This Row],[Shortname]], Comp[], 24, FALSE)</f>
        <v>0</v>
      </c>
      <c r="AB872">
        <f>VLOOKUP(Table9[[#This Row],[Shortname]], Comp[], 25, FALSE)</f>
        <v>0</v>
      </c>
      <c r="AC872">
        <f>VLOOKUP(Table9[[#This Row],[Shortname]], Comp[], 26, FALSE)</f>
        <v>0</v>
      </c>
      <c r="AD872">
        <f>VLOOKUP(Table9[[#This Row],[Shortname]], Comp[], 27, FALSE)</f>
        <v>0</v>
      </c>
      <c r="AE872">
        <f>VLOOKUP(Table9[[#This Row],[Shortname]], Comp[], 28, FALSE)</f>
        <v>0</v>
      </c>
      <c r="AF872">
        <f>VLOOKUP(Table9[[#This Row],[Shortname]], Comp[], 29, FALSE)</f>
        <v>0</v>
      </c>
      <c r="AG872">
        <f>VLOOKUP(Table9[[#This Row],[Shortname]], Comp[], 30, FALSE)</f>
        <v>0</v>
      </c>
      <c r="AH872">
        <f>VLOOKUP(Table9[[#This Row],[Shortname]], Comp[], 31, FALSE)</f>
        <v>0</v>
      </c>
    </row>
    <row r="873" spans="1:34" x14ac:dyDescent="0.3">
      <c r="A873" t="s">
        <v>5475</v>
      </c>
      <c r="B873" t="s">
        <v>5477</v>
      </c>
      <c r="C873" t="s">
        <v>6891</v>
      </c>
      <c r="D873">
        <v>834</v>
      </c>
      <c r="E873">
        <v>700</v>
      </c>
      <c r="F873">
        <v>1E-3</v>
      </c>
      <c r="G873">
        <v>-1</v>
      </c>
      <c r="H873" t="s">
        <v>6888</v>
      </c>
      <c r="I873">
        <f>VLOOKUP(Table9[[#This Row],[Shortname]], Comp[], 6, FALSE)</f>
        <v>843</v>
      </c>
      <c r="J873" s="14">
        <f>VLOOKUP(Table9[[#This Row],[Shortname]], Comp[], 7, FALSE)</f>
        <v>31.5</v>
      </c>
      <c r="K873">
        <f>VLOOKUP(Table9[[#This Row],[Shortname]], Comp[], 8, FALSE)</f>
        <v>34.6</v>
      </c>
      <c r="L873">
        <f>VLOOKUP(Table9[[#This Row],[Shortname]], Comp[], 9, FALSE)</f>
        <v>4.3</v>
      </c>
      <c r="M873">
        <f>VLOOKUP(Table9[[#This Row],[Shortname]], Comp[], 10, FALSE)</f>
        <v>19.5</v>
      </c>
      <c r="N873">
        <f>VLOOKUP(Table9[[#This Row],[Shortname]], Comp[], 11, FALSE)</f>
        <v>0</v>
      </c>
      <c r="O873">
        <f>VLOOKUP(Table9[[#This Row],[Shortname]], Comp[],12, FALSE)</f>
        <v>1</v>
      </c>
      <c r="P873">
        <f>VLOOKUP(Table9[[#This Row],[Shortname]], Comp[], 13, FALSE)</f>
        <v>0</v>
      </c>
      <c r="Q873">
        <f>VLOOKUP(Table9[[#This Row],[Shortname]], Comp[], 14, FALSE)</f>
        <v>1.9</v>
      </c>
      <c r="R873">
        <f>VLOOKUP(Table9[[#This Row],[Shortname]], Comp[], 15, FALSE)</f>
        <v>0</v>
      </c>
      <c r="S873">
        <f>VLOOKUP(Table9[[#This Row],[Shortname]], Comp[], 16, FALSE)</f>
        <v>4.8</v>
      </c>
      <c r="T873">
        <f>VLOOKUP(Table9[[#This Row],[Shortname]], Comp[], 17, FALSE)</f>
        <v>0.7</v>
      </c>
      <c r="U873">
        <f>VLOOKUP(Table9[[#This Row],[Shortname]], Comp[], 18, FALSE)</f>
        <v>0</v>
      </c>
      <c r="V873">
        <f>VLOOKUP(Table9[[#This Row],[Shortname]], Comp[], 19, FALSE)</f>
        <v>0</v>
      </c>
      <c r="W873">
        <f>VLOOKUP(Table9[[#This Row],[Shortname]], Comp[], 20, FALSE)</f>
        <v>0</v>
      </c>
      <c r="X873">
        <f>VLOOKUP(Table9[[#This Row],[Shortname]], Comp[], 21, FALSE)</f>
        <v>0</v>
      </c>
      <c r="Y873">
        <f>VLOOKUP(Table9[[#This Row],[Shortname]], Comp[], 22, FALSE)</f>
        <v>0</v>
      </c>
      <c r="Z873">
        <f>VLOOKUP(Table9[[#This Row],[Shortname]], Comp[], 23, FALSE)</f>
        <v>1.7</v>
      </c>
      <c r="AA873">
        <f>VLOOKUP(Table9[[#This Row],[Shortname]], Comp[], 24, FALSE)</f>
        <v>0</v>
      </c>
      <c r="AB873">
        <f>VLOOKUP(Table9[[#This Row],[Shortname]], Comp[], 25, FALSE)</f>
        <v>0</v>
      </c>
      <c r="AC873">
        <f>VLOOKUP(Table9[[#This Row],[Shortname]], Comp[], 26, FALSE)</f>
        <v>0</v>
      </c>
      <c r="AD873">
        <f>VLOOKUP(Table9[[#This Row],[Shortname]], Comp[], 27, FALSE)</f>
        <v>0</v>
      </c>
      <c r="AE873">
        <f>VLOOKUP(Table9[[#This Row],[Shortname]], Comp[], 28, FALSE)</f>
        <v>0</v>
      </c>
      <c r="AF873">
        <f>VLOOKUP(Table9[[#This Row],[Shortname]], Comp[], 29, FALSE)</f>
        <v>0</v>
      </c>
      <c r="AG873">
        <f>VLOOKUP(Table9[[#This Row],[Shortname]], Comp[], 30, FALSE)</f>
        <v>0</v>
      </c>
      <c r="AH873">
        <f>VLOOKUP(Table9[[#This Row],[Shortname]], Comp[], 31, FALSE)</f>
        <v>0</v>
      </c>
    </row>
    <row r="874" spans="1:34" x14ac:dyDescent="0.3">
      <c r="A874" t="s">
        <v>5475</v>
      </c>
      <c r="B874" t="s">
        <v>5477</v>
      </c>
      <c r="C874" t="s">
        <v>6892</v>
      </c>
      <c r="D874">
        <v>710</v>
      </c>
      <c r="E874">
        <v>800</v>
      </c>
      <c r="F874">
        <v>1E-3</v>
      </c>
      <c r="G874">
        <v>-1</v>
      </c>
      <c r="H874" t="s">
        <v>6888</v>
      </c>
      <c r="I874">
        <f>VLOOKUP(Table9[[#This Row],[Shortname]], Comp[], 6, FALSE)</f>
        <v>843</v>
      </c>
      <c r="J874" s="14">
        <f>VLOOKUP(Table9[[#This Row],[Shortname]], Comp[], 7, FALSE)</f>
        <v>31.5</v>
      </c>
      <c r="K874">
        <f>VLOOKUP(Table9[[#This Row],[Shortname]], Comp[], 8, FALSE)</f>
        <v>34.6</v>
      </c>
      <c r="L874">
        <f>VLOOKUP(Table9[[#This Row],[Shortname]], Comp[], 9, FALSE)</f>
        <v>4.3</v>
      </c>
      <c r="M874">
        <f>VLOOKUP(Table9[[#This Row],[Shortname]], Comp[], 10, FALSE)</f>
        <v>19.5</v>
      </c>
      <c r="N874">
        <f>VLOOKUP(Table9[[#This Row],[Shortname]], Comp[], 11, FALSE)</f>
        <v>0</v>
      </c>
      <c r="O874">
        <f>VLOOKUP(Table9[[#This Row],[Shortname]], Comp[],12, FALSE)</f>
        <v>1</v>
      </c>
      <c r="P874">
        <f>VLOOKUP(Table9[[#This Row],[Shortname]], Comp[], 13, FALSE)</f>
        <v>0</v>
      </c>
      <c r="Q874">
        <f>VLOOKUP(Table9[[#This Row],[Shortname]], Comp[], 14, FALSE)</f>
        <v>1.9</v>
      </c>
      <c r="R874">
        <f>VLOOKUP(Table9[[#This Row],[Shortname]], Comp[], 15, FALSE)</f>
        <v>0</v>
      </c>
      <c r="S874">
        <f>VLOOKUP(Table9[[#This Row],[Shortname]], Comp[], 16, FALSE)</f>
        <v>4.8</v>
      </c>
      <c r="T874">
        <f>VLOOKUP(Table9[[#This Row],[Shortname]], Comp[], 17, FALSE)</f>
        <v>0.7</v>
      </c>
      <c r="U874">
        <f>VLOOKUP(Table9[[#This Row],[Shortname]], Comp[], 18, FALSE)</f>
        <v>0</v>
      </c>
      <c r="V874">
        <f>VLOOKUP(Table9[[#This Row],[Shortname]], Comp[], 19, FALSE)</f>
        <v>0</v>
      </c>
      <c r="W874">
        <f>VLOOKUP(Table9[[#This Row],[Shortname]], Comp[], 20, FALSE)</f>
        <v>0</v>
      </c>
      <c r="X874">
        <f>VLOOKUP(Table9[[#This Row],[Shortname]], Comp[], 21, FALSE)</f>
        <v>0</v>
      </c>
      <c r="Y874">
        <f>VLOOKUP(Table9[[#This Row],[Shortname]], Comp[], 22, FALSE)</f>
        <v>0</v>
      </c>
      <c r="Z874">
        <f>VLOOKUP(Table9[[#This Row],[Shortname]], Comp[], 23, FALSE)</f>
        <v>1.7</v>
      </c>
      <c r="AA874">
        <f>VLOOKUP(Table9[[#This Row],[Shortname]], Comp[], 24, FALSE)</f>
        <v>0</v>
      </c>
      <c r="AB874">
        <f>VLOOKUP(Table9[[#This Row],[Shortname]], Comp[], 25, FALSE)</f>
        <v>0</v>
      </c>
      <c r="AC874">
        <f>VLOOKUP(Table9[[#This Row],[Shortname]], Comp[], 26, FALSE)</f>
        <v>0</v>
      </c>
      <c r="AD874">
        <f>VLOOKUP(Table9[[#This Row],[Shortname]], Comp[], 27, FALSE)</f>
        <v>0</v>
      </c>
      <c r="AE874">
        <f>VLOOKUP(Table9[[#This Row],[Shortname]], Comp[], 28, FALSE)</f>
        <v>0</v>
      </c>
      <c r="AF874">
        <f>VLOOKUP(Table9[[#This Row],[Shortname]], Comp[], 29, FALSE)</f>
        <v>0</v>
      </c>
      <c r="AG874">
        <f>VLOOKUP(Table9[[#This Row],[Shortname]], Comp[], 30, FALSE)</f>
        <v>0</v>
      </c>
      <c r="AH874">
        <f>VLOOKUP(Table9[[#This Row],[Shortname]], Comp[], 31, FALSE)</f>
        <v>0</v>
      </c>
    </row>
    <row r="875" spans="1:34" x14ac:dyDescent="0.3">
      <c r="A875" t="s">
        <v>5487</v>
      </c>
      <c r="B875" t="s">
        <v>3667</v>
      </c>
      <c r="C875" t="s">
        <v>5488</v>
      </c>
      <c r="D875">
        <v>800</v>
      </c>
      <c r="E875">
        <v>25</v>
      </c>
      <c r="F875">
        <v>1E-3</v>
      </c>
      <c r="G875">
        <v>1</v>
      </c>
      <c r="H875" t="s">
        <v>6893</v>
      </c>
      <c r="I875">
        <f>VLOOKUP(Table9[[#This Row],[Shortname]], Comp[], 6, FALSE)</f>
        <v>845</v>
      </c>
      <c r="J875" s="14">
        <f>VLOOKUP(Table9[[#This Row],[Shortname]], Comp[], 7, FALSE)</f>
        <v>51.699999999999996</v>
      </c>
      <c r="K875">
        <f>VLOOKUP(Table9[[#This Row],[Shortname]], Comp[], 8, FALSE)</f>
        <v>31</v>
      </c>
      <c r="L875">
        <f>VLOOKUP(Table9[[#This Row],[Shortname]], Comp[], 9, FALSE)</f>
        <v>10.1</v>
      </c>
      <c r="M875">
        <f>VLOOKUP(Table9[[#This Row],[Shortname]], Comp[], 10, FALSE)</f>
        <v>0</v>
      </c>
      <c r="N875">
        <f>VLOOKUP(Table9[[#This Row],[Shortname]], Comp[], 11, FALSE)</f>
        <v>0</v>
      </c>
      <c r="O875">
        <f>VLOOKUP(Table9[[#This Row],[Shortname]], Comp[],12, FALSE)</f>
        <v>0</v>
      </c>
      <c r="P875">
        <f>VLOOKUP(Table9[[#This Row],[Shortname]], Comp[], 13, FALSE)</f>
        <v>2.1</v>
      </c>
      <c r="Q875">
        <f>VLOOKUP(Table9[[#This Row],[Shortname]], Comp[], 14, FALSE)</f>
        <v>0</v>
      </c>
      <c r="R875">
        <f>VLOOKUP(Table9[[#This Row],[Shortname]], Comp[], 15, FALSE)</f>
        <v>0</v>
      </c>
      <c r="S875">
        <f>VLOOKUP(Table9[[#This Row],[Shortname]], Comp[], 16, FALSE)</f>
        <v>5.0999999999999996</v>
      </c>
      <c r="T875">
        <f>VLOOKUP(Table9[[#This Row],[Shortname]], Comp[], 17, FALSE)</f>
        <v>0</v>
      </c>
      <c r="U875">
        <f>VLOOKUP(Table9[[#This Row],[Shortname]], Comp[], 18, FALSE)</f>
        <v>0</v>
      </c>
      <c r="V875">
        <f>VLOOKUP(Table9[[#This Row],[Shortname]], Comp[], 19, FALSE)</f>
        <v>0</v>
      </c>
      <c r="W875">
        <f>VLOOKUP(Table9[[#This Row],[Shortname]], Comp[], 20, FALSE)</f>
        <v>0</v>
      </c>
      <c r="X875">
        <f>VLOOKUP(Table9[[#This Row],[Shortname]], Comp[], 21, FALSE)</f>
        <v>0</v>
      </c>
      <c r="Y875">
        <f>VLOOKUP(Table9[[#This Row],[Shortname]], Comp[], 22, FALSE)</f>
        <v>0</v>
      </c>
      <c r="Z875">
        <f>VLOOKUP(Table9[[#This Row],[Shortname]], Comp[], 23, FALSE)</f>
        <v>0</v>
      </c>
      <c r="AA875">
        <f>VLOOKUP(Table9[[#This Row],[Shortname]], Comp[], 24, FALSE)</f>
        <v>0</v>
      </c>
      <c r="AB875">
        <f>VLOOKUP(Table9[[#This Row],[Shortname]], Comp[], 25, FALSE)</f>
        <v>0</v>
      </c>
      <c r="AC875">
        <f>VLOOKUP(Table9[[#This Row],[Shortname]], Comp[], 26, FALSE)</f>
        <v>0</v>
      </c>
      <c r="AD875">
        <f>VLOOKUP(Table9[[#This Row],[Shortname]], Comp[], 27, FALSE)</f>
        <v>0</v>
      </c>
      <c r="AE875">
        <f>VLOOKUP(Table9[[#This Row],[Shortname]], Comp[], 28, FALSE)</f>
        <v>0</v>
      </c>
      <c r="AF875">
        <f>VLOOKUP(Table9[[#This Row],[Shortname]], Comp[], 29, FALSE)</f>
        <v>0</v>
      </c>
      <c r="AG875">
        <f>VLOOKUP(Table9[[#This Row],[Shortname]], Comp[], 30, FALSE)</f>
        <v>0</v>
      </c>
      <c r="AH875">
        <f>VLOOKUP(Table9[[#This Row],[Shortname]], Comp[], 31, FALSE)</f>
        <v>0</v>
      </c>
    </row>
    <row r="876" spans="1:34" x14ac:dyDescent="0.3">
      <c r="A876" t="s">
        <v>5487</v>
      </c>
      <c r="B876" t="s">
        <v>3667</v>
      </c>
      <c r="C876" t="s">
        <v>5491</v>
      </c>
      <c r="D876">
        <v>725</v>
      </c>
      <c r="E876">
        <v>768</v>
      </c>
      <c r="F876">
        <v>1E-3</v>
      </c>
      <c r="G876">
        <v>1</v>
      </c>
      <c r="H876" t="s">
        <v>6893</v>
      </c>
      <c r="I876">
        <f>VLOOKUP(Table9[[#This Row],[Shortname]], Comp[], 6, FALSE)</f>
        <v>845</v>
      </c>
      <c r="J876" s="14">
        <f>VLOOKUP(Table9[[#This Row],[Shortname]], Comp[], 7, FALSE)</f>
        <v>51.699999999999996</v>
      </c>
      <c r="K876">
        <f>VLOOKUP(Table9[[#This Row],[Shortname]], Comp[], 8, FALSE)</f>
        <v>31</v>
      </c>
      <c r="L876">
        <f>VLOOKUP(Table9[[#This Row],[Shortname]], Comp[], 9, FALSE)</f>
        <v>10.1</v>
      </c>
      <c r="M876">
        <f>VLOOKUP(Table9[[#This Row],[Shortname]], Comp[], 10, FALSE)</f>
        <v>0</v>
      </c>
      <c r="N876">
        <f>VLOOKUP(Table9[[#This Row],[Shortname]], Comp[], 11, FALSE)</f>
        <v>0</v>
      </c>
      <c r="O876">
        <f>VLOOKUP(Table9[[#This Row],[Shortname]], Comp[],12, FALSE)</f>
        <v>0</v>
      </c>
      <c r="P876">
        <f>VLOOKUP(Table9[[#This Row],[Shortname]], Comp[], 13, FALSE)</f>
        <v>2.1</v>
      </c>
      <c r="Q876">
        <f>VLOOKUP(Table9[[#This Row],[Shortname]], Comp[], 14, FALSE)</f>
        <v>0</v>
      </c>
      <c r="R876">
        <f>VLOOKUP(Table9[[#This Row],[Shortname]], Comp[], 15, FALSE)</f>
        <v>0</v>
      </c>
      <c r="S876">
        <f>VLOOKUP(Table9[[#This Row],[Shortname]], Comp[], 16, FALSE)</f>
        <v>5.0999999999999996</v>
      </c>
      <c r="T876">
        <f>VLOOKUP(Table9[[#This Row],[Shortname]], Comp[], 17, FALSE)</f>
        <v>0</v>
      </c>
      <c r="U876">
        <f>VLOOKUP(Table9[[#This Row],[Shortname]], Comp[], 18, FALSE)</f>
        <v>0</v>
      </c>
      <c r="V876">
        <f>VLOOKUP(Table9[[#This Row],[Shortname]], Comp[], 19, FALSE)</f>
        <v>0</v>
      </c>
      <c r="W876">
        <f>VLOOKUP(Table9[[#This Row],[Shortname]], Comp[], 20, FALSE)</f>
        <v>0</v>
      </c>
      <c r="X876">
        <f>VLOOKUP(Table9[[#This Row],[Shortname]], Comp[], 21, FALSE)</f>
        <v>0</v>
      </c>
      <c r="Y876">
        <f>VLOOKUP(Table9[[#This Row],[Shortname]], Comp[], 22, FALSE)</f>
        <v>0</v>
      </c>
      <c r="Z876">
        <f>VLOOKUP(Table9[[#This Row],[Shortname]], Comp[], 23, FALSE)</f>
        <v>0</v>
      </c>
      <c r="AA876">
        <f>VLOOKUP(Table9[[#This Row],[Shortname]], Comp[], 24, FALSE)</f>
        <v>0</v>
      </c>
      <c r="AB876">
        <f>VLOOKUP(Table9[[#This Row],[Shortname]], Comp[], 25, FALSE)</f>
        <v>0</v>
      </c>
      <c r="AC876">
        <f>VLOOKUP(Table9[[#This Row],[Shortname]], Comp[], 26, FALSE)</f>
        <v>0</v>
      </c>
      <c r="AD876">
        <f>VLOOKUP(Table9[[#This Row],[Shortname]], Comp[], 27, FALSE)</f>
        <v>0</v>
      </c>
      <c r="AE876">
        <f>VLOOKUP(Table9[[#This Row],[Shortname]], Comp[], 28, FALSE)</f>
        <v>0</v>
      </c>
      <c r="AF876">
        <f>VLOOKUP(Table9[[#This Row],[Shortname]], Comp[], 29, FALSE)</f>
        <v>0</v>
      </c>
      <c r="AG876">
        <f>VLOOKUP(Table9[[#This Row],[Shortname]], Comp[], 30, FALSE)</f>
        <v>0</v>
      </c>
      <c r="AH876">
        <f>VLOOKUP(Table9[[#This Row],[Shortname]], Comp[], 31, FALSE)</f>
        <v>0</v>
      </c>
    </row>
    <row r="877" spans="1:34" x14ac:dyDescent="0.3">
      <c r="A877" t="s">
        <v>5487</v>
      </c>
      <c r="B877" t="s">
        <v>3667</v>
      </c>
      <c r="C877" t="s">
        <v>5494</v>
      </c>
      <c r="D877">
        <v>567</v>
      </c>
      <c r="E877">
        <v>868</v>
      </c>
      <c r="F877">
        <v>1E-3</v>
      </c>
      <c r="G877">
        <v>1</v>
      </c>
      <c r="H877" t="s">
        <v>6893</v>
      </c>
      <c r="I877">
        <f>VLOOKUP(Table9[[#This Row],[Shortname]], Comp[], 6, FALSE)</f>
        <v>845</v>
      </c>
      <c r="J877" s="14">
        <f>VLOOKUP(Table9[[#This Row],[Shortname]], Comp[], 7, FALSE)</f>
        <v>51.699999999999996</v>
      </c>
      <c r="K877">
        <f>VLOOKUP(Table9[[#This Row],[Shortname]], Comp[], 8, FALSE)</f>
        <v>31</v>
      </c>
      <c r="L877">
        <f>VLOOKUP(Table9[[#This Row],[Shortname]], Comp[], 9, FALSE)</f>
        <v>10.1</v>
      </c>
      <c r="M877">
        <f>VLOOKUP(Table9[[#This Row],[Shortname]], Comp[], 10, FALSE)</f>
        <v>0</v>
      </c>
      <c r="N877">
        <f>VLOOKUP(Table9[[#This Row],[Shortname]], Comp[], 11, FALSE)</f>
        <v>0</v>
      </c>
      <c r="O877">
        <f>VLOOKUP(Table9[[#This Row],[Shortname]], Comp[],12, FALSE)</f>
        <v>0</v>
      </c>
      <c r="P877">
        <f>VLOOKUP(Table9[[#This Row],[Shortname]], Comp[], 13, FALSE)</f>
        <v>2.1</v>
      </c>
      <c r="Q877">
        <f>VLOOKUP(Table9[[#This Row],[Shortname]], Comp[], 14, FALSE)</f>
        <v>0</v>
      </c>
      <c r="R877">
        <f>VLOOKUP(Table9[[#This Row],[Shortname]], Comp[], 15, FALSE)</f>
        <v>0</v>
      </c>
      <c r="S877">
        <f>VLOOKUP(Table9[[#This Row],[Shortname]], Comp[], 16, FALSE)</f>
        <v>5.0999999999999996</v>
      </c>
      <c r="T877">
        <f>VLOOKUP(Table9[[#This Row],[Shortname]], Comp[], 17, FALSE)</f>
        <v>0</v>
      </c>
      <c r="U877">
        <f>VLOOKUP(Table9[[#This Row],[Shortname]], Comp[], 18, FALSE)</f>
        <v>0</v>
      </c>
      <c r="V877">
        <f>VLOOKUP(Table9[[#This Row],[Shortname]], Comp[], 19, FALSE)</f>
        <v>0</v>
      </c>
      <c r="W877">
        <f>VLOOKUP(Table9[[#This Row],[Shortname]], Comp[], 20, FALSE)</f>
        <v>0</v>
      </c>
      <c r="X877">
        <f>VLOOKUP(Table9[[#This Row],[Shortname]], Comp[], 21, FALSE)</f>
        <v>0</v>
      </c>
      <c r="Y877">
        <f>VLOOKUP(Table9[[#This Row],[Shortname]], Comp[], 22, FALSE)</f>
        <v>0</v>
      </c>
      <c r="Z877">
        <f>VLOOKUP(Table9[[#This Row],[Shortname]], Comp[], 23, FALSE)</f>
        <v>0</v>
      </c>
      <c r="AA877">
        <f>VLOOKUP(Table9[[#This Row],[Shortname]], Comp[], 24, FALSE)</f>
        <v>0</v>
      </c>
      <c r="AB877">
        <f>VLOOKUP(Table9[[#This Row],[Shortname]], Comp[], 25, FALSE)</f>
        <v>0</v>
      </c>
      <c r="AC877">
        <f>VLOOKUP(Table9[[#This Row],[Shortname]], Comp[], 26, FALSE)</f>
        <v>0</v>
      </c>
      <c r="AD877">
        <f>VLOOKUP(Table9[[#This Row],[Shortname]], Comp[], 27, FALSE)</f>
        <v>0</v>
      </c>
      <c r="AE877">
        <f>VLOOKUP(Table9[[#This Row],[Shortname]], Comp[], 28, FALSE)</f>
        <v>0</v>
      </c>
      <c r="AF877">
        <f>VLOOKUP(Table9[[#This Row],[Shortname]], Comp[], 29, FALSE)</f>
        <v>0</v>
      </c>
      <c r="AG877">
        <f>VLOOKUP(Table9[[#This Row],[Shortname]], Comp[], 30, FALSE)</f>
        <v>0</v>
      </c>
      <c r="AH877">
        <f>VLOOKUP(Table9[[#This Row],[Shortname]], Comp[], 31, FALSE)</f>
        <v>0</v>
      </c>
    </row>
    <row r="878" spans="1:34" x14ac:dyDescent="0.3">
      <c r="A878" t="s">
        <v>5487</v>
      </c>
      <c r="B878" t="s">
        <v>3667</v>
      </c>
      <c r="C878" t="s">
        <v>5499</v>
      </c>
      <c r="D878">
        <v>285</v>
      </c>
      <c r="E878">
        <v>970</v>
      </c>
      <c r="F878">
        <v>1E-3</v>
      </c>
      <c r="G878">
        <v>1</v>
      </c>
      <c r="H878" t="s">
        <v>6893</v>
      </c>
      <c r="I878">
        <f>VLOOKUP(Table9[[#This Row],[Shortname]], Comp[], 6, FALSE)</f>
        <v>845</v>
      </c>
      <c r="J878" s="14">
        <f>VLOOKUP(Table9[[#This Row],[Shortname]], Comp[], 7, FALSE)</f>
        <v>51.699999999999996</v>
      </c>
      <c r="K878">
        <f>VLOOKUP(Table9[[#This Row],[Shortname]], Comp[], 8, FALSE)</f>
        <v>31</v>
      </c>
      <c r="L878">
        <f>VLOOKUP(Table9[[#This Row],[Shortname]], Comp[], 9, FALSE)</f>
        <v>10.1</v>
      </c>
      <c r="M878">
        <f>VLOOKUP(Table9[[#This Row],[Shortname]], Comp[], 10, FALSE)</f>
        <v>0</v>
      </c>
      <c r="N878">
        <f>VLOOKUP(Table9[[#This Row],[Shortname]], Comp[], 11, FALSE)</f>
        <v>0</v>
      </c>
      <c r="O878">
        <f>VLOOKUP(Table9[[#This Row],[Shortname]], Comp[],12, FALSE)</f>
        <v>0</v>
      </c>
      <c r="P878">
        <f>VLOOKUP(Table9[[#This Row],[Shortname]], Comp[], 13, FALSE)</f>
        <v>2.1</v>
      </c>
      <c r="Q878">
        <f>VLOOKUP(Table9[[#This Row],[Shortname]], Comp[], 14, FALSE)</f>
        <v>0</v>
      </c>
      <c r="R878">
        <f>VLOOKUP(Table9[[#This Row],[Shortname]], Comp[], 15, FALSE)</f>
        <v>0</v>
      </c>
      <c r="S878">
        <f>VLOOKUP(Table9[[#This Row],[Shortname]], Comp[], 16, FALSE)</f>
        <v>5.0999999999999996</v>
      </c>
      <c r="T878">
        <f>VLOOKUP(Table9[[#This Row],[Shortname]], Comp[], 17, FALSE)</f>
        <v>0</v>
      </c>
      <c r="U878">
        <f>VLOOKUP(Table9[[#This Row],[Shortname]], Comp[], 18, FALSE)</f>
        <v>0</v>
      </c>
      <c r="V878">
        <f>VLOOKUP(Table9[[#This Row],[Shortname]], Comp[], 19, FALSE)</f>
        <v>0</v>
      </c>
      <c r="W878">
        <f>VLOOKUP(Table9[[#This Row],[Shortname]], Comp[], 20, FALSE)</f>
        <v>0</v>
      </c>
      <c r="X878">
        <f>VLOOKUP(Table9[[#This Row],[Shortname]], Comp[], 21, FALSE)</f>
        <v>0</v>
      </c>
      <c r="Y878">
        <f>VLOOKUP(Table9[[#This Row],[Shortname]], Comp[], 22, FALSE)</f>
        <v>0</v>
      </c>
      <c r="Z878">
        <f>VLOOKUP(Table9[[#This Row],[Shortname]], Comp[], 23, FALSE)</f>
        <v>0</v>
      </c>
      <c r="AA878">
        <f>VLOOKUP(Table9[[#This Row],[Shortname]], Comp[], 24, FALSE)</f>
        <v>0</v>
      </c>
      <c r="AB878">
        <f>VLOOKUP(Table9[[#This Row],[Shortname]], Comp[], 25, FALSE)</f>
        <v>0</v>
      </c>
      <c r="AC878">
        <f>VLOOKUP(Table9[[#This Row],[Shortname]], Comp[], 26, FALSE)</f>
        <v>0</v>
      </c>
      <c r="AD878">
        <f>VLOOKUP(Table9[[#This Row],[Shortname]], Comp[], 27, FALSE)</f>
        <v>0</v>
      </c>
      <c r="AE878">
        <f>VLOOKUP(Table9[[#This Row],[Shortname]], Comp[], 28, FALSE)</f>
        <v>0</v>
      </c>
      <c r="AF878">
        <f>VLOOKUP(Table9[[#This Row],[Shortname]], Comp[], 29, FALSE)</f>
        <v>0</v>
      </c>
      <c r="AG878">
        <f>VLOOKUP(Table9[[#This Row],[Shortname]], Comp[], 30, FALSE)</f>
        <v>0</v>
      </c>
      <c r="AH878">
        <f>VLOOKUP(Table9[[#This Row],[Shortname]], Comp[], 31, FALSE)</f>
        <v>0</v>
      </c>
    </row>
    <row r="879" spans="1:34" x14ac:dyDescent="0.3">
      <c r="A879" t="s">
        <v>5490</v>
      </c>
      <c r="B879" t="s">
        <v>3899</v>
      </c>
      <c r="C879" t="s">
        <v>5491</v>
      </c>
      <c r="D879">
        <v>740</v>
      </c>
      <c r="E879">
        <v>25</v>
      </c>
      <c r="F879">
        <v>1E-3</v>
      </c>
      <c r="G879">
        <v>1</v>
      </c>
      <c r="H879" t="s">
        <v>6893</v>
      </c>
      <c r="I879">
        <f>VLOOKUP(Table9[[#This Row],[Shortname]], Comp[], 6, FALSE)</f>
        <v>846</v>
      </c>
      <c r="J879" s="14">
        <f>VLOOKUP(Table9[[#This Row],[Shortname]], Comp[], 7, FALSE)</f>
        <v>50.4</v>
      </c>
      <c r="K879">
        <f>VLOOKUP(Table9[[#This Row],[Shortname]], Comp[], 8, FALSE)</f>
        <v>32</v>
      </c>
      <c r="L879">
        <f>VLOOKUP(Table9[[#This Row],[Shortname]], Comp[], 9, FALSE)</f>
        <v>9.9</v>
      </c>
      <c r="M879">
        <f>VLOOKUP(Table9[[#This Row],[Shortname]], Comp[], 10, FALSE)</f>
        <v>0</v>
      </c>
      <c r="N879">
        <f>VLOOKUP(Table9[[#This Row],[Shortname]], Comp[], 11, FALSE)</f>
        <v>0</v>
      </c>
      <c r="O879">
        <f>VLOOKUP(Table9[[#This Row],[Shortname]], Comp[],12, FALSE)</f>
        <v>1.4</v>
      </c>
      <c r="P879">
        <f>VLOOKUP(Table9[[#This Row],[Shortname]], Comp[], 13, FALSE)</f>
        <v>1.7</v>
      </c>
      <c r="Q879">
        <f>VLOOKUP(Table9[[#This Row],[Shortname]], Comp[], 14, FALSE)</f>
        <v>0</v>
      </c>
      <c r="R879">
        <f>VLOOKUP(Table9[[#This Row],[Shortname]], Comp[], 15, FALSE)</f>
        <v>0</v>
      </c>
      <c r="S879">
        <f>VLOOKUP(Table9[[#This Row],[Shortname]], Comp[], 16, FALSE)</f>
        <v>4.5999999999999996</v>
      </c>
      <c r="T879">
        <f>VLOOKUP(Table9[[#This Row],[Shortname]], Comp[], 17, FALSE)</f>
        <v>0</v>
      </c>
      <c r="U879">
        <f>VLOOKUP(Table9[[#This Row],[Shortname]], Comp[], 18, FALSE)</f>
        <v>0</v>
      </c>
      <c r="V879">
        <f>VLOOKUP(Table9[[#This Row],[Shortname]], Comp[], 19, FALSE)</f>
        <v>0</v>
      </c>
      <c r="W879">
        <f>VLOOKUP(Table9[[#This Row],[Shortname]], Comp[], 20, FALSE)</f>
        <v>0</v>
      </c>
      <c r="X879">
        <f>VLOOKUP(Table9[[#This Row],[Shortname]], Comp[], 21, FALSE)</f>
        <v>0</v>
      </c>
      <c r="Y879">
        <f>VLOOKUP(Table9[[#This Row],[Shortname]], Comp[], 22, FALSE)</f>
        <v>0</v>
      </c>
      <c r="Z879">
        <f>VLOOKUP(Table9[[#This Row],[Shortname]], Comp[], 23, FALSE)</f>
        <v>0</v>
      </c>
      <c r="AA879">
        <f>VLOOKUP(Table9[[#This Row],[Shortname]], Comp[], 24, FALSE)</f>
        <v>0</v>
      </c>
      <c r="AB879">
        <f>VLOOKUP(Table9[[#This Row],[Shortname]], Comp[], 25, FALSE)</f>
        <v>0</v>
      </c>
      <c r="AC879">
        <f>VLOOKUP(Table9[[#This Row],[Shortname]], Comp[], 26, FALSE)</f>
        <v>0</v>
      </c>
      <c r="AD879">
        <f>VLOOKUP(Table9[[#This Row],[Shortname]], Comp[], 27, FALSE)</f>
        <v>0</v>
      </c>
      <c r="AE879">
        <f>VLOOKUP(Table9[[#This Row],[Shortname]], Comp[], 28, FALSE)</f>
        <v>0</v>
      </c>
      <c r="AF879">
        <f>VLOOKUP(Table9[[#This Row],[Shortname]], Comp[], 29, FALSE)</f>
        <v>0</v>
      </c>
      <c r="AG879">
        <f>VLOOKUP(Table9[[#This Row],[Shortname]], Comp[], 30, FALSE)</f>
        <v>0</v>
      </c>
      <c r="AH879">
        <f>VLOOKUP(Table9[[#This Row],[Shortname]], Comp[], 31, FALSE)</f>
        <v>0</v>
      </c>
    </row>
    <row r="880" spans="1:34" x14ac:dyDescent="0.3">
      <c r="A880" t="s">
        <v>5490</v>
      </c>
      <c r="B880" t="s">
        <v>3899</v>
      </c>
      <c r="C880" t="s">
        <v>5494</v>
      </c>
      <c r="D880">
        <v>725</v>
      </c>
      <c r="E880">
        <v>768</v>
      </c>
      <c r="F880">
        <v>1E-3</v>
      </c>
      <c r="G880">
        <v>1</v>
      </c>
      <c r="H880" t="s">
        <v>6893</v>
      </c>
      <c r="I880">
        <f>VLOOKUP(Table9[[#This Row],[Shortname]], Comp[], 6, FALSE)</f>
        <v>846</v>
      </c>
      <c r="J880" s="14">
        <f>VLOOKUP(Table9[[#This Row],[Shortname]], Comp[], 7, FALSE)</f>
        <v>50.4</v>
      </c>
      <c r="K880">
        <f>VLOOKUP(Table9[[#This Row],[Shortname]], Comp[], 8, FALSE)</f>
        <v>32</v>
      </c>
      <c r="L880">
        <f>VLOOKUP(Table9[[#This Row],[Shortname]], Comp[], 9, FALSE)</f>
        <v>9.9</v>
      </c>
      <c r="M880">
        <f>VLOOKUP(Table9[[#This Row],[Shortname]], Comp[], 10, FALSE)</f>
        <v>0</v>
      </c>
      <c r="N880">
        <f>VLOOKUP(Table9[[#This Row],[Shortname]], Comp[], 11, FALSE)</f>
        <v>0</v>
      </c>
      <c r="O880">
        <f>VLOOKUP(Table9[[#This Row],[Shortname]], Comp[],12, FALSE)</f>
        <v>1.4</v>
      </c>
      <c r="P880">
        <f>VLOOKUP(Table9[[#This Row],[Shortname]], Comp[], 13, FALSE)</f>
        <v>1.7</v>
      </c>
      <c r="Q880">
        <f>VLOOKUP(Table9[[#This Row],[Shortname]], Comp[], 14, FALSE)</f>
        <v>0</v>
      </c>
      <c r="R880">
        <f>VLOOKUP(Table9[[#This Row],[Shortname]], Comp[], 15, FALSE)</f>
        <v>0</v>
      </c>
      <c r="S880">
        <f>VLOOKUP(Table9[[#This Row],[Shortname]], Comp[], 16, FALSE)</f>
        <v>4.5999999999999996</v>
      </c>
      <c r="T880">
        <f>VLOOKUP(Table9[[#This Row],[Shortname]], Comp[], 17, FALSE)</f>
        <v>0</v>
      </c>
      <c r="U880">
        <f>VLOOKUP(Table9[[#This Row],[Shortname]], Comp[], 18, FALSE)</f>
        <v>0</v>
      </c>
      <c r="V880">
        <f>VLOOKUP(Table9[[#This Row],[Shortname]], Comp[], 19, FALSE)</f>
        <v>0</v>
      </c>
      <c r="W880">
        <f>VLOOKUP(Table9[[#This Row],[Shortname]], Comp[], 20, FALSE)</f>
        <v>0</v>
      </c>
      <c r="X880">
        <f>VLOOKUP(Table9[[#This Row],[Shortname]], Comp[], 21, FALSE)</f>
        <v>0</v>
      </c>
      <c r="Y880">
        <f>VLOOKUP(Table9[[#This Row],[Shortname]], Comp[], 22, FALSE)</f>
        <v>0</v>
      </c>
      <c r="Z880">
        <f>VLOOKUP(Table9[[#This Row],[Shortname]], Comp[], 23, FALSE)</f>
        <v>0</v>
      </c>
      <c r="AA880">
        <f>VLOOKUP(Table9[[#This Row],[Shortname]], Comp[], 24, FALSE)</f>
        <v>0</v>
      </c>
      <c r="AB880">
        <f>VLOOKUP(Table9[[#This Row],[Shortname]], Comp[], 25, FALSE)</f>
        <v>0</v>
      </c>
      <c r="AC880">
        <f>VLOOKUP(Table9[[#This Row],[Shortname]], Comp[], 26, FALSE)</f>
        <v>0</v>
      </c>
      <c r="AD880">
        <f>VLOOKUP(Table9[[#This Row],[Shortname]], Comp[], 27, FALSE)</f>
        <v>0</v>
      </c>
      <c r="AE880">
        <f>VLOOKUP(Table9[[#This Row],[Shortname]], Comp[], 28, FALSE)</f>
        <v>0</v>
      </c>
      <c r="AF880">
        <f>VLOOKUP(Table9[[#This Row],[Shortname]], Comp[], 29, FALSE)</f>
        <v>0</v>
      </c>
      <c r="AG880">
        <f>VLOOKUP(Table9[[#This Row],[Shortname]], Comp[], 30, FALSE)</f>
        <v>0</v>
      </c>
      <c r="AH880">
        <f>VLOOKUP(Table9[[#This Row],[Shortname]], Comp[], 31, FALSE)</f>
        <v>0</v>
      </c>
    </row>
    <row r="881" spans="1:34" x14ac:dyDescent="0.3">
      <c r="A881" t="s">
        <v>5490</v>
      </c>
      <c r="B881" t="s">
        <v>3899</v>
      </c>
      <c r="C881" t="s">
        <v>5499</v>
      </c>
      <c r="D881">
        <v>634</v>
      </c>
      <c r="E881">
        <v>868</v>
      </c>
      <c r="F881">
        <v>1E-3</v>
      </c>
      <c r="G881">
        <v>1</v>
      </c>
      <c r="H881" t="s">
        <v>6893</v>
      </c>
      <c r="I881">
        <f>VLOOKUP(Table9[[#This Row],[Shortname]], Comp[], 6, FALSE)</f>
        <v>846</v>
      </c>
      <c r="J881" s="14">
        <f>VLOOKUP(Table9[[#This Row],[Shortname]], Comp[], 7, FALSE)</f>
        <v>50.4</v>
      </c>
      <c r="K881">
        <f>VLOOKUP(Table9[[#This Row],[Shortname]], Comp[], 8, FALSE)</f>
        <v>32</v>
      </c>
      <c r="L881">
        <f>VLOOKUP(Table9[[#This Row],[Shortname]], Comp[], 9, FALSE)</f>
        <v>9.9</v>
      </c>
      <c r="M881">
        <f>VLOOKUP(Table9[[#This Row],[Shortname]], Comp[], 10, FALSE)</f>
        <v>0</v>
      </c>
      <c r="N881">
        <f>VLOOKUP(Table9[[#This Row],[Shortname]], Comp[], 11, FALSE)</f>
        <v>0</v>
      </c>
      <c r="O881">
        <f>VLOOKUP(Table9[[#This Row],[Shortname]], Comp[],12, FALSE)</f>
        <v>1.4</v>
      </c>
      <c r="P881">
        <f>VLOOKUP(Table9[[#This Row],[Shortname]], Comp[], 13, FALSE)</f>
        <v>1.7</v>
      </c>
      <c r="Q881">
        <f>VLOOKUP(Table9[[#This Row],[Shortname]], Comp[], 14, FALSE)</f>
        <v>0</v>
      </c>
      <c r="R881">
        <f>VLOOKUP(Table9[[#This Row],[Shortname]], Comp[], 15, FALSE)</f>
        <v>0</v>
      </c>
      <c r="S881">
        <f>VLOOKUP(Table9[[#This Row],[Shortname]], Comp[], 16, FALSE)</f>
        <v>4.5999999999999996</v>
      </c>
      <c r="T881">
        <f>VLOOKUP(Table9[[#This Row],[Shortname]], Comp[], 17, FALSE)</f>
        <v>0</v>
      </c>
      <c r="U881">
        <f>VLOOKUP(Table9[[#This Row],[Shortname]], Comp[], 18, FALSE)</f>
        <v>0</v>
      </c>
      <c r="V881">
        <f>VLOOKUP(Table9[[#This Row],[Shortname]], Comp[], 19, FALSE)</f>
        <v>0</v>
      </c>
      <c r="W881">
        <f>VLOOKUP(Table9[[#This Row],[Shortname]], Comp[], 20, FALSE)</f>
        <v>0</v>
      </c>
      <c r="X881">
        <f>VLOOKUP(Table9[[#This Row],[Shortname]], Comp[], 21, FALSE)</f>
        <v>0</v>
      </c>
      <c r="Y881">
        <f>VLOOKUP(Table9[[#This Row],[Shortname]], Comp[], 22, FALSE)</f>
        <v>0</v>
      </c>
      <c r="Z881">
        <f>VLOOKUP(Table9[[#This Row],[Shortname]], Comp[], 23, FALSE)</f>
        <v>0</v>
      </c>
      <c r="AA881">
        <f>VLOOKUP(Table9[[#This Row],[Shortname]], Comp[], 24, FALSE)</f>
        <v>0</v>
      </c>
      <c r="AB881">
        <f>VLOOKUP(Table9[[#This Row],[Shortname]], Comp[], 25, FALSE)</f>
        <v>0</v>
      </c>
      <c r="AC881">
        <f>VLOOKUP(Table9[[#This Row],[Shortname]], Comp[], 26, FALSE)</f>
        <v>0</v>
      </c>
      <c r="AD881">
        <f>VLOOKUP(Table9[[#This Row],[Shortname]], Comp[], 27, FALSE)</f>
        <v>0</v>
      </c>
      <c r="AE881">
        <f>VLOOKUP(Table9[[#This Row],[Shortname]], Comp[], 28, FALSE)</f>
        <v>0</v>
      </c>
      <c r="AF881">
        <f>VLOOKUP(Table9[[#This Row],[Shortname]], Comp[], 29, FALSE)</f>
        <v>0</v>
      </c>
      <c r="AG881">
        <f>VLOOKUP(Table9[[#This Row],[Shortname]], Comp[], 30, FALSE)</f>
        <v>0</v>
      </c>
      <c r="AH881">
        <f>VLOOKUP(Table9[[#This Row],[Shortname]], Comp[], 31, FALSE)</f>
        <v>0</v>
      </c>
    </row>
    <row r="882" spans="1:34" x14ac:dyDescent="0.3">
      <c r="A882" t="s">
        <v>5490</v>
      </c>
      <c r="B882" t="s">
        <v>3899</v>
      </c>
      <c r="C882" t="s">
        <v>6894</v>
      </c>
      <c r="D882">
        <v>365</v>
      </c>
      <c r="E882">
        <v>970</v>
      </c>
      <c r="F882">
        <v>1E-3</v>
      </c>
      <c r="G882">
        <v>1</v>
      </c>
      <c r="H882" t="s">
        <v>6893</v>
      </c>
      <c r="I882">
        <f>VLOOKUP(Table9[[#This Row],[Shortname]], Comp[], 6, FALSE)</f>
        <v>846</v>
      </c>
      <c r="J882" s="14">
        <f>VLOOKUP(Table9[[#This Row],[Shortname]], Comp[], 7, FALSE)</f>
        <v>50.4</v>
      </c>
      <c r="K882">
        <f>VLOOKUP(Table9[[#This Row],[Shortname]], Comp[], 8, FALSE)</f>
        <v>32</v>
      </c>
      <c r="L882">
        <f>VLOOKUP(Table9[[#This Row],[Shortname]], Comp[], 9, FALSE)</f>
        <v>9.9</v>
      </c>
      <c r="M882">
        <f>VLOOKUP(Table9[[#This Row],[Shortname]], Comp[], 10, FALSE)</f>
        <v>0</v>
      </c>
      <c r="N882">
        <f>VLOOKUP(Table9[[#This Row],[Shortname]], Comp[], 11, FALSE)</f>
        <v>0</v>
      </c>
      <c r="O882">
        <f>VLOOKUP(Table9[[#This Row],[Shortname]], Comp[],12, FALSE)</f>
        <v>1.4</v>
      </c>
      <c r="P882">
        <f>VLOOKUP(Table9[[#This Row],[Shortname]], Comp[], 13, FALSE)</f>
        <v>1.7</v>
      </c>
      <c r="Q882">
        <f>VLOOKUP(Table9[[#This Row],[Shortname]], Comp[], 14, FALSE)</f>
        <v>0</v>
      </c>
      <c r="R882">
        <f>VLOOKUP(Table9[[#This Row],[Shortname]], Comp[], 15, FALSE)</f>
        <v>0</v>
      </c>
      <c r="S882">
        <f>VLOOKUP(Table9[[#This Row],[Shortname]], Comp[], 16, FALSE)</f>
        <v>4.5999999999999996</v>
      </c>
      <c r="T882">
        <f>VLOOKUP(Table9[[#This Row],[Shortname]], Comp[], 17, FALSE)</f>
        <v>0</v>
      </c>
      <c r="U882">
        <f>VLOOKUP(Table9[[#This Row],[Shortname]], Comp[], 18, FALSE)</f>
        <v>0</v>
      </c>
      <c r="V882">
        <f>VLOOKUP(Table9[[#This Row],[Shortname]], Comp[], 19, FALSE)</f>
        <v>0</v>
      </c>
      <c r="W882">
        <f>VLOOKUP(Table9[[#This Row],[Shortname]], Comp[], 20, FALSE)</f>
        <v>0</v>
      </c>
      <c r="X882">
        <f>VLOOKUP(Table9[[#This Row],[Shortname]], Comp[], 21, FALSE)</f>
        <v>0</v>
      </c>
      <c r="Y882">
        <f>VLOOKUP(Table9[[#This Row],[Shortname]], Comp[], 22, FALSE)</f>
        <v>0</v>
      </c>
      <c r="Z882">
        <f>VLOOKUP(Table9[[#This Row],[Shortname]], Comp[], 23, FALSE)</f>
        <v>0</v>
      </c>
      <c r="AA882">
        <f>VLOOKUP(Table9[[#This Row],[Shortname]], Comp[], 24, FALSE)</f>
        <v>0</v>
      </c>
      <c r="AB882">
        <f>VLOOKUP(Table9[[#This Row],[Shortname]], Comp[], 25, FALSE)</f>
        <v>0</v>
      </c>
      <c r="AC882">
        <f>VLOOKUP(Table9[[#This Row],[Shortname]], Comp[], 26, FALSE)</f>
        <v>0</v>
      </c>
      <c r="AD882">
        <f>VLOOKUP(Table9[[#This Row],[Shortname]], Comp[], 27, FALSE)</f>
        <v>0</v>
      </c>
      <c r="AE882">
        <f>VLOOKUP(Table9[[#This Row],[Shortname]], Comp[], 28, FALSE)</f>
        <v>0</v>
      </c>
      <c r="AF882">
        <f>VLOOKUP(Table9[[#This Row],[Shortname]], Comp[], 29, FALSE)</f>
        <v>0</v>
      </c>
      <c r="AG882">
        <f>VLOOKUP(Table9[[#This Row],[Shortname]], Comp[], 30, FALSE)</f>
        <v>0</v>
      </c>
      <c r="AH882">
        <f>VLOOKUP(Table9[[#This Row],[Shortname]], Comp[], 31, FALSE)</f>
        <v>0</v>
      </c>
    </row>
    <row r="883" spans="1:34" x14ac:dyDescent="0.3">
      <c r="A883" t="s">
        <v>5493</v>
      </c>
      <c r="B883" t="s">
        <v>3231</v>
      </c>
      <c r="C883" t="s">
        <v>6895</v>
      </c>
      <c r="D883">
        <v>511</v>
      </c>
      <c r="E883">
        <v>25</v>
      </c>
      <c r="F883">
        <v>1E-3</v>
      </c>
      <c r="G883">
        <v>1</v>
      </c>
      <c r="H883" t="s">
        <v>6893</v>
      </c>
      <c r="I883">
        <f>VLOOKUP(Table9[[#This Row],[Shortname]], Comp[], 6, FALSE)</f>
        <v>847</v>
      </c>
      <c r="J883" s="14">
        <f>VLOOKUP(Table9[[#This Row],[Shortname]], Comp[], 7, FALSE)</f>
        <v>49.8</v>
      </c>
      <c r="K883">
        <f>VLOOKUP(Table9[[#This Row],[Shortname]], Comp[], 8, FALSE)</f>
        <v>30.6</v>
      </c>
      <c r="L883">
        <f>VLOOKUP(Table9[[#This Row],[Shortname]], Comp[], 9, FALSE)</f>
        <v>9.1999999999999993</v>
      </c>
      <c r="M883">
        <f>VLOOKUP(Table9[[#This Row],[Shortname]], Comp[], 10, FALSE)</f>
        <v>0</v>
      </c>
      <c r="N883">
        <f>VLOOKUP(Table9[[#This Row],[Shortname]], Comp[], 11, FALSE)</f>
        <v>0</v>
      </c>
      <c r="O883">
        <f>VLOOKUP(Table9[[#This Row],[Shortname]], Comp[],12, FALSE)</f>
        <v>3.2</v>
      </c>
      <c r="P883">
        <f>VLOOKUP(Table9[[#This Row],[Shortname]], Comp[], 13, FALSE)</f>
        <v>2.1</v>
      </c>
      <c r="Q883">
        <f>VLOOKUP(Table9[[#This Row],[Shortname]], Comp[], 14, FALSE)</f>
        <v>0</v>
      </c>
      <c r="R883">
        <f>VLOOKUP(Table9[[#This Row],[Shortname]], Comp[], 15, FALSE)</f>
        <v>0</v>
      </c>
      <c r="S883">
        <f>VLOOKUP(Table9[[#This Row],[Shortname]], Comp[], 16, FALSE)</f>
        <v>5.0999999999999996</v>
      </c>
      <c r="T883">
        <f>VLOOKUP(Table9[[#This Row],[Shortname]], Comp[], 17, FALSE)</f>
        <v>0</v>
      </c>
      <c r="U883">
        <f>VLOOKUP(Table9[[#This Row],[Shortname]], Comp[], 18, FALSE)</f>
        <v>0</v>
      </c>
      <c r="V883">
        <f>VLOOKUP(Table9[[#This Row],[Shortname]], Comp[], 19, FALSE)</f>
        <v>0</v>
      </c>
      <c r="W883">
        <f>VLOOKUP(Table9[[#This Row],[Shortname]], Comp[], 20, FALSE)</f>
        <v>0</v>
      </c>
      <c r="X883">
        <f>VLOOKUP(Table9[[#This Row],[Shortname]], Comp[], 21, FALSE)</f>
        <v>0</v>
      </c>
      <c r="Y883">
        <f>VLOOKUP(Table9[[#This Row],[Shortname]], Comp[], 22, FALSE)</f>
        <v>0</v>
      </c>
      <c r="Z883">
        <f>VLOOKUP(Table9[[#This Row],[Shortname]], Comp[], 23, FALSE)</f>
        <v>0</v>
      </c>
      <c r="AA883">
        <f>VLOOKUP(Table9[[#This Row],[Shortname]], Comp[], 24, FALSE)</f>
        <v>0</v>
      </c>
      <c r="AB883">
        <f>VLOOKUP(Table9[[#This Row],[Shortname]], Comp[], 25, FALSE)</f>
        <v>0</v>
      </c>
      <c r="AC883">
        <f>VLOOKUP(Table9[[#This Row],[Shortname]], Comp[], 26, FALSE)</f>
        <v>0</v>
      </c>
      <c r="AD883">
        <f>VLOOKUP(Table9[[#This Row],[Shortname]], Comp[], 27, FALSE)</f>
        <v>0</v>
      </c>
      <c r="AE883">
        <f>VLOOKUP(Table9[[#This Row],[Shortname]], Comp[], 28, FALSE)</f>
        <v>0</v>
      </c>
      <c r="AF883">
        <f>VLOOKUP(Table9[[#This Row],[Shortname]], Comp[], 29, FALSE)</f>
        <v>0</v>
      </c>
      <c r="AG883">
        <f>VLOOKUP(Table9[[#This Row],[Shortname]], Comp[], 30, FALSE)</f>
        <v>0</v>
      </c>
      <c r="AH883">
        <f>VLOOKUP(Table9[[#This Row],[Shortname]], Comp[], 31, FALSE)</f>
        <v>0</v>
      </c>
    </row>
    <row r="884" spans="1:34" x14ac:dyDescent="0.3">
      <c r="A884" t="s">
        <v>5493</v>
      </c>
      <c r="B884" t="s">
        <v>3231</v>
      </c>
      <c r="C884" t="s">
        <v>6896</v>
      </c>
      <c r="D884">
        <v>512</v>
      </c>
      <c r="E884">
        <v>768</v>
      </c>
      <c r="F884">
        <v>1E-3</v>
      </c>
      <c r="G884">
        <v>1</v>
      </c>
      <c r="H884" t="s">
        <v>6893</v>
      </c>
      <c r="I884">
        <f>VLOOKUP(Table9[[#This Row],[Shortname]], Comp[], 6, FALSE)</f>
        <v>847</v>
      </c>
      <c r="J884" s="14">
        <f>VLOOKUP(Table9[[#This Row],[Shortname]], Comp[], 7, FALSE)</f>
        <v>49.8</v>
      </c>
      <c r="K884">
        <f>VLOOKUP(Table9[[#This Row],[Shortname]], Comp[], 8, FALSE)</f>
        <v>30.6</v>
      </c>
      <c r="L884">
        <f>VLOOKUP(Table9[[#This Row],[Shortname]], Comp[], 9, FALSE)</f>
        <v>9.1999999999999993</v>
      </c>
      <c r="M884">
        <f>VLOOKUP(Table9[[#This Row],[Shortname]], Comp[], 10, FALSE)</f>
        <v>0</v>
      </c>
      <c r="N884">
        <f>VLOOKUP(Table9[[#This Row],[Shortname]], Comp[], 11, FALSE)</f>
        <v>0</v>
      </c>
      <c r="O884">
        <f>VLOOKUP(Table9[[#This Row],[Shortname]], Comp[],12, FALSE)</f>
        <v>3.2</v>
      </c>
      <c r="P884">
        <f>VLOOKUP(Table9[[#This Row],[Shortname]], Comp[], 13, FALSE)</f>
        <v>2.1</v>
      </c>
      <c r="Q884">
        <f>VLOOKUP(Table9[[#This Row],[Shortname]], Comp[], 14, FALSE)</f>
        <v>0</v>
      </c>
      <c r="R884">
        <f>VLOOKUP(Table9[[#This Row],[Shortname]], Comp[], 15, FALSE)</f>
        <v>0</v>
      </c>
      <c r="S884">
        <f>VLOOKUP(Table9[[#This Row],[Shortname]], Comp[], 16, FALSE)</f>
        <v>5.0999999999999996</v>
      </c>
      <c r="T884">
        <f>VLOOKUP(Table9[[#This Row],[Shortname]], Comp[], 17, FALSE)</f>
        <v>0</v>
      </c>
      <c r="U884">
        <f>VLOOKUP(Table9[[#This Row],[Shortname]], Comp[], 18, FALSE)</f>
        <v>0</v>
      </c>
      <c r="V884">
        <f>VLOOKUP(Table9[[#This Row],[Shortname]], Comp[], 19, FALSE)</f>
        <v>0</v>
      </c>
      <c r="W884">
        <f>VLOOKUP(Table9[[#This Row],[Shortname]], Comp[], 20, FALSE)</f>
        <v>0</v>
      </c>
      <c r="X884">
        <f>VLOOKUP(Table9[[#This Row],[Shortname]], Comp[], 21, FALSE)</f>
        <v>0</v>
      </c>
      <c r="Y884">
        <f>VLOOKUP(Table9[[#This Row],[Shortname]], Comp[], 22, FALSE)</f>
        <v>0</v>
      </c>
      <c r="Z884">
        <f>VLOOKUP(Table9[[#This Row],[Shortname]], Comp[], 23, FALSE)</f>
        <v>0</v>
      </c>
      <c r="AA884">
        <f>VLOOKUP(Table9[[#This Row],[Shortname]], Comp[], 24, FALSE)</f>
        <v>0</v>
      </c>
      <c r="AB884">
        <f>VLOOKUP(Table9[[#This Row],[Shortname]], Comp[], 25, FALSE)</f>
        <v>0</v>
      </c>
      <c r="AC884">
        <f>VLOOKUP(Table9[[#This Row],[Shortname]], Comp[], 26, FALSE)</f>
        <v>0</v>
      </c>
      <c r="AD884">
        <f>VLOOKUP(Table9[[#This Row],[Shortname]], Comp[], 27, FALSE)</f>
        <v>0</v>
      </c>
      <c r="AE884">
        <f>VLOOKUP(Table9[[#This Row],[Shortname]], Comp[], 28, FALSE)</f>
        <v>0</v>
      </c>
      <c r="AF884">
        <f>VLOOKUP(Table9[[#This Row],[Shortname]], Comp[], 29, FALSE)</f>
        <v>0</v>
      </c>
      <c r="AG884">
        <f>VLOOKUP(Table9[[#This Row],[Shortname]], Comp[], 30, FALSE)</f>
        <v>0</v>
      </c>
      <c r="AH884">
        <f>VLOOKUP(Table9[[#This Row],[Shortname]], Comp[], 31, FALSE)</f>
        <v>0</v>
      </c>
    </row>
    <row r="885" spans="1:34" x14ac:dyDescent="0.3">
      <c r="A885" t="s">
        <v>5493</v>
      </c>
      <c r="B885" t="s">
        <v>3231</v>
      </c>
      <c r="C885" t="s">
        <v>6897</v>
      </c>
      <c r="D885">
        <v>568</v>
      </c>
      <c r="E885">
        <v>868</v>
      </c>
      <c r="F885">
        <v>1E-3</v>
      </c>
      <c r="G885">
        <v>1</v>
      </c>
      <c r="H885" t="s">
        <v>6893</v>
      </c>
      <c r="I885">
        <f>VLOOKUP(Table9[[#This Row],[Shortname]], Comp[], 6, FALSE)</f>
        <v>847</v>
      </c>
      <c r="J885" s="14">
        <f>VLOOKUP(Table9[[#This Row],[Shortname]], Comp[], 7, FALSE)</f>
        <v>49.8</v>
      </c>
      <c r="K885">
        <f>VLOOKUP(Table9[[#This Row],[Shortname]], Comp[], 8, FALSE)</f>
        <v>30.6</v>
      </c>
      <c r="L885">
        <f>VLOOKUP(Table9[[#This Row],[Shortname]], Comp[], 9, FALSE)</f>
        <v>9.1999999999999993</v>
      </c>
      <c r="M885">
        <f>VLOOKUP(Table9[[#This Row],[Shortname]], Comp[], 10, FALSE)</f>
        <v>0</v>
      </c>
      <c r="N885">
        <f>VLOOKUP(Table9[[#This Row],[Shortname]], Comp[], 11, FALSE)</f>
        <v>0</v>
      </c>
      <c r="O885">
        <f>VLOOKUP(Table9[[#This Row],[Shortname]], Comp[],12, FALSE)</f>
        <v>3.2</v>
      </c>
      <c r="P885">
        <f>VLOOKUP(Table9[[#This Row],[Shortname]], Comp[], 13, FALSE)</f>
        <v>2.1</v>
      </c>
      <c r="Q885">
        <f>VLOOKUP(Table9[[#This Row],[Shortname]], Comp[], 14, FALSE)</f>
        <v>0</v>
      </c>
      <c r="R885">
        <f>VLOOKUP(Table9[[#This Row],[Shortname]], Comp[], 15, FALSE)</f>
        <v>0</v>
      </c>
      <c r="S885">
        <f>VLOOKUP(Table9[[#This Row],[Shortname]], Comp[], 16, FALSE)</f>
        <v>5.0999999999999996</v>
      </c>
      <c r="T885">
        <f>VLOOKUP(Table9[[#This Row],[Shortname]], Comp[], 17, FALSE)</f>
        <v>0</v>
      </c>
      <c r="U885">
        <f>VLOOKUP(Table9[[#This Row],[Shortname]], Comp[], 18, FALSE)</f>
        <v>0</v>
      </c>
      <c r="V885">
        <f>VLOOKUP(Table9[[#This Row],[Shortname]], Comp[], 19, FALSE)</f>
        <v>0</v>
      </c>
      <c r="W885">
        <f>VLOOKUP(Table9[[#This Row],[Shortname]], Comp[], 20, FALSE)</f>
        <v>0</v>
      </c>
      <c r="X885">
        <f>VLOOKUP(Table9[[#This Row],[Shortname]], Comp[], 21, FALSE)</f>
        <v>0</v>
      </c>
      <c r="Y885">
        <f>VLOOKUP(Table9[[#This Row],[Shortname]], Comp[], 22, FALSE)</f>
        <v>0</v>
      </c>
      <c r="Z885">
        <f>VLOOKUP(Table9[[#This Row],[Shortname]], Comp[], 23, FALSE)</f>
        <v>0</v>
      </c>
      <c r="AA885">
        <f>VLOOKUP(Table9[[#This Row],[Shortname]], Comp[], 24, FALSE)</f>
        <v>0</v>
      </c>
      <c r="AB885">
        <f>VLOOKUP(Table9[[#This Row],[Shortname]], Comp[], 25, FALSE)</f>
        <v>0</v>
      </c>
      <c r="AC885">
        <f>VLOOKUP(Table9[[#This Row],[Shortname]], Comp[], 26, FALSE)</f>
        <v>0</v>
      </c>
      <c r="AD885">
        <f>VLOOKUP(Table9[[#This Row],[Shortname]], Comp[], 27, FALSE)</f>
        <v>0</v>
      </c>
      <c r="AE885">
        <f>VLOOKUP(Table9[[#This Row],[Shortname]], Comp[], 28, FALSE)</f>
        <v>0</v>
      </c>
      <c r="AF885">
        <f>VLOOKUP(Table9[[#This Row],[Shortname]], Comp[], 29, FALSE)</f>
        <v>0</v>
      </c>
      <c r="AG885">
        <f>VLOOKUP(Table9[[#This Row],[Shortname]], Comp[], 30, FALSE)</f>
        <v>0</v>
      </c>
      <c r="AH885">
        <f>VLOOKUP(Table9[[#This Row],[Shortname]], Comp[], 31, FALSE)</f>
        <v>0</v>
      </c>
    </row>
    <row r="886" spans="1:34" x14ac:dyDescent="0.3">
      <c r="A886" t="s">
        <v>5493</v>
      </c>
      <c r="B886" t="s">
        <v>3231</v>
      </c>
      <c r="C886" t="s">
        <v>6898</v>
      </c>
      <c r="D886">
        <v>361</v>
      </c>
      <c r="E886">
        <v>1000</v>
      </c>
      <c r="F886">
        <v>1E-3</v>
      </c>
      <c r="G886">
        <v>1</v>
      </c>
      <c r="H886" t="s">
        <v>6893</v>
      </c>
      <c r="I886">
        <f>VLOOKUP(Table9[[#This Row],[Shortname]], Comp[], 6, FALSE)</f>
        <v>847</v>
      </c>
      <c r="J886" s="14">
        <f>VLOOKUP(Table9[[#This Row],[Shortname]], Comp[], 7, FALSE)</f>
        <v>49.8</v>
      </c>
      <c r="K886">
        <f>VLOOKUP(Table9[[#This Row],[Shortname]], Comp[], 8, FALSE)</f>
        <v>30.6</v>
      </c>
      <c r="L886">
        <f>VLOOKUP(Table9[[#This Row],[Shortname]], Comp[], 9, FALSE)</f>
        <v>9.1999999999999993</v>
      </c>
      <c r="M886">
        <f>VLOOKUP(Table9[[#This Row],[Shortname]], Comp[], 10, FALSE)</f>
        <v>0</v>
      </c>
      <c r="N886">
        <f>VLOOKUP(Table9[[#This Row],[Shortname]], Comp[], 11, FALSE)</f>
        <v>0</v>
      </c>
      <c r="O886">
        <f>VLOOKUP(Table9[[#This Row],[Shortname]], Comp[],12, FALSE)</f>
        <v>3.2</v>
      </c>
      <c r="P886">
        <f>VLOOKUP(Table9[[#This Row],[Shortname]], Comp[], 13, FALSE)</f>
        <v>2.1</v>
      </c>
      <c r="Q886">
        <f>VLOOKUP(Table9[[#This Row],[Shortname]], Comp[], 14, FALSE)</f>
        <v>0</v>
      </c>
      <c r="R886">
        <f>VLOOKUP(Table9[[#This Row],[Shortname]], Comp[], 15, FALSE)</f>
        <v>0</v>
      </c>
      <c r="S886">
        <f>VLOOKUP(Table9[[#This Row],[Shortname]], Comp[], 16, FALSE)</f>
        <v>5.0999999999999996</v>
      </c>
      <c r="T886">
        <f>VLOOKUP(Table9[[#This Row],[Shortname]], Comp[], 17, FALSE)</f>
        <v>0</v>
      </c>
      <c r="U886">
        <f>VLOOKUP(Table9[[#This Row],[Shortname]], Comp[], 18, FALSE)</f>
        <v>0</v>
      </c>
      <c r="V886">
        <f>VLOOKUP(Table9[[#This Row],[Shortname]], Comp[], 19, FALSE)</f>
        <v>0</v>
      </c>
      <c r="W886">
        <f>VLOOKUP(Table9[[#This Row],[Shortname]], Comp[], 20, FALSE)</f>
        <v>0</v>
      </c>
      <c r="X886">
        <f>VLOOKUP(Table9[[#This Row],[Shortname]], Comp[], 21, FALSE)</f>
        <v>0</v>
      </c>
      <c r="Y886">
        <f>VLOOKUP(Table9[[#This Row],[Shortname]], Comp[], 22, FALSE)</f>
        <v>0</v>
      </c>
      <c r="Z886">
        <f>VLOOKUP(Table9[[#This Row],[Shortname]], Comp[], 23, FALSE)</f>
        <v>0</v>
      </c>
      <c r="AA886">
        <f>VLOOKUP(Table9[[#This Row],[Shortname]], Comp[], 24, FALSE)</f>
        <v>0</v>
      </c>
      <c r="AB886">
        <f>VLOOKUP(Table9[[#This Row],[Shortname]], Comp[], 25, FALSE)</f>
        <v>0</v>
      </c>
      <c r="AC886">
        <f>VLOOKUP(Table9[[#This Row],[Shortname]], Comp[], 26, FALSE)</f>
        <v>0</v>
      </c>
      <c r="AD886">
        <f>VLOOKUP(Table9[[#This Row],[Shortname]], Comp[], 27, FALSE)</f>
        <v>0</v>
      </c>
      <c r="AE886">
        <f>VLOOKUP(Table9[[#This Row],[Shortname]], Comp[], 28, FALSE)</f>
        <v>0</v>
      </c>
      <c r="AF886">
        <f>VLOOKUP(Table9[[#This Row],[Shortname]], Comp[], 29, FALSE)</f>
        <v>0</v>
      </c>
      <c r="AG886">
        <f>VLOOKUP(Table9[[#This Row],[Shortname]], Comp[], 30, FALSE)</f>
        <v>0</v>
      </c>
      <c r="AH886">
        <f>VLOOKUP(Table9[[#This Row],[Shortname]], Comp[], 31, FALSE)</f>
        <v>0</v>
      </c>
    </row>
    <row r="887" spans="1:34" x14ac:dyDescent="0.3">
      <c r="A887" t="s">
        <v>5498</v>
      </c>
      <c r="B887" t="s">
        <v>3893</v>
      </c>
      <c r="C887" t="s">
        <v>6899</v>
      </c>
      <c r="D887">
        <v>480</v>
      </c>
      <c r="E887">
        <v>25</v>
      </c>
      <c r="F887">
        <v>1E-3</v>
      </c>
      <c r="G887">
        <v>1</v>
      </c>
      <c r="H887" t="s">
        <v>6893</v>
      </c>
      <c r="I887">
        <f>VLOOKUP(Table9[[#This Row],[Shortname]], Comp[], 6, FALSE)</f>
        <v>848</v>
      </c>
      <c r="J887" s="14">
        <f>VLOOKUP(Table9[[#This Row],[Shortname]], Comp[], 7, FALSE)</f>
        <v>49.1</v>
      </c>
      <c r="K887">
        <f>VLOOKUP(Table9[[#This Row],[Shortname]], Comp[], 8, FALSE)</f>
        <v>30.5</v>
      </c>
      <c r="L887">
        <f>VLOOKUP(Table9[[#This Row],[Shortname]], Comp[], 9, FALSE)</f>
        <v>9.3000000000000007</v>
      </c>
      <c r="M887">
        <f>VLOOKUP(Table9[[#This Row],[Shortname]], Comp[], 10, FALSE)</f>
        <v>0</v>
      </c>
      <c r="N887">
        <f>VLOOKUP(Table9[[#This Row],[Shortname]], Comp[], 11, FALSE)</f>
        <v>0</v>
      </c>
      <c r="O887">
        <f>VLOOKUP(Table9[[#This Row],[Shortname]], Comp[],12, FALSE)</f>
        <v>3.9</v>
      </c>
      <c r="P887">
        <f>VLOOKUP(Table9[[#This Row],[Shortname]], Comp[], 13, FALSE)</f>
        <v>2.2000000000000002</v>
      </c>
      <c r="Q887">
        <f>VLOOKUP(Table9[[#This Row],[Shortname]], Comp[], 14, FALSE)</f>
        <v>0</v>
      </c>
      <c r="R887">
        <f>VLOOKUP(Table9[[#This Row],[Shortname]], Comp[], 15, FALSE)</f>
        <v>0</v>
      </c>
      <c r="S887">
        <f>VLOOKUP(Table9[[#This Row],[Shortname]], Comp[], 16, FALSE)</f>
        <v>5</v>
      </c>
      <c r="T887">
        <f>VLOOKUP(Table9[[#This Row],[Shortname]], Comp[], 17, FALSE)</f>
        <v>0</v>
      </c>
      <c r="U887">
        <f>VLOOKUP(Table9[[#This Row],[Shortname]], Comp[], 18, FALSE)</f>
        <v>0</v>
      </c>
      <c r="V887">
        <f>VLOOKUP(Table9[[#This Row],[Shortname]], Comp[], 19, FALSE)</f>
        <v>0</v>
      </c>
      <c r="W887">
        <f>VLOOKUP(Table9[[#This Row],[Shortname]], Comp[], 20, FALSE)</f>
        <v>0</v>
      </c>
      <c r="X887">
        <f>VLOOKUP(Table9[[#This Row],[Shortname]], Comp[], 21, FALSE)</f>
        <v>0</v>
      </c>
      <c r="Y887">
        <f>VLOOKUP(Table9[[#This Row],[Shortname]], Comp[], 22, FALSE)</f>
        <v>0</v>
      </c>
      <c r="Z887">
        <f>VLOOKUP(Table9[[#This Row],[Shortname]], Comp[], 23, FALSE)</f>
        <v>0</v>
      </c>
      <c r="AA887">
        <f>VLOOKUP(Table9[[#This Row],[Shortname]], Comp[], 24, FALSE)</f>
        <v>0</v>
      </c>
      <c r="AB887">
        <f>VLOOKUP(Table9[[#This Row],[Shortname]], Comp[], 25, FALSE)</f>
        <v>0</v>
      </c>
      <c r="AC887">
        <f>VLOOKUP(Table9[[#This Row],[Shortname]], Comp[], 26, FALSE)</f>
        <v>0</v>
      </c>
      <c r="AD887">
        <f>VLOOKUP(Table9[[#This Row],[Shortname]], Comp[], 27, FALSE)</f>
        <v>0</v>
      </c>
      <c r="AE887">
        <f>VLOOKUP(Table9[[#This Row],[Shortname]], Comp[], 28, FALSE)</f>
        <v>0</v>
      </c>
      <c r="AF887">
        <f>VLOOKUP(Table9[[#This Row],[Shortname]], Comp[], 29, FALSE)</f>
        <v>0</v>
      </c>
      <c r="AG887">
        <f>VLOOKUP(Table9[[#This Row],[Shortname]], Comp[], 30, FALSE)</f>
        <v>0</v>
      </c>
      <c r="AH887">
        <f>VLOOKUP(Table9[[#This Row],[Shortname]], Comp[], 31, FALSE)</f>
        <v>0</v>
      </c>
    </row>
    <row r="888" spans="1:34" x14ac:dyDescent="0.3">
      <c r="A888" t="s">
        <v>5498</v>
      </c>
      <c r="B888" t="s">
        <v>3893</v>
      </c>
      <c r="C888" t="s">
        <v>6900</v>
      </c>
      <c r="D888">
        <v>520</v>
      </c>
      <c r="E888">
        <v>768</v>
      </c>
      <c r="F888">
        <v>1E-3</v>
      </c>
      <c r="G888">
        <v>1</v>
      </c>
      <c r="H888" t="s">
        <v>6893</v>
      </c>
      <c r="I888">
        <f>VLOOKUP(Table9[[#This Row],[Shortname]], Comp[], 6, FALSE)</f>
        <v>848</v>
      </c>
      <c r="J888" s="14">
        <f>VLOOKUP(Table9[[#This Row],[Shortname]], Comp[], 7, FALSE)</f>
        <v>49.1</v>
      </c>
      <c r="K888">
        <f>VLOOKUP(Table9[[#This Row],[Shortname]], Comp[], 8, FALSE)</f>
        <v>30.5</v>
      </c>
      <c r="L888">
        <f>VLOOKUP(Table9[[#This Row],[Shortname]], Comp[], 9, FALSE)</f>
        <v>9.3000000000000007</v>
      </c>
      <c r="M888">
        <f>VLOOKUP(Table9[[#This Row],[Shortname]], Comp[], 10, FALSE)</f>
        <v>0</v>
      </c>
      <c r="N888">
        <f>VLOOKUP(Table9[[#This Row],[Shortname]], Comp[], 11, FALSE)</f>
        <v>0</v>
      </c>
      <c r="O888">
        <f>VLOOKUP(Table9[[#This Row],[Shortname]], Comp[],12, FALSE)</f>
        <v>3.9</v>
      </c>
      <c r="P888">
        <f>VLOOKUP(Table9[[#This Row],[Shortname]], Comp[], 13, FALSE)</f>
        <v>2.2000000000000002</v>
      </c>
      <c r="Q888">
        <f>VLOOKUP(Table9[[#This Row],[Shortname]], Comp[], 14, FALSE)</f>
        <v>0</v>
      </c>
      <c r="R888">
        <f>VLOOKUP(Table9[[#This Row],[Shortname]], Comp[], 15, FALSE)</f>
        <v>0</v>
      </c>
      <c r="S888">
        <f>VLOOKUP(Table9[[#This Row],[Shortname]], Comp[], 16, FALSE)</f>
        <v>5</v>
      </c>
      <c r="T888">
        <f>VLOOKUP(Table9[[#This Row],[Shortname]], Comp[], 17, FALSE)</f>
        <v>0</v>
      </c>
      <c r="U888">
        <f>VLOOKUP(Table9[[#This Row],[Shortname]], Comp[], 18, FALSE)</f>
        <v>0</v>
      </c>
      <c r="V888">
        <f>VLOOKUP(Table9[[#This Row],[Shortname]], Comp[], 19, FALSE)</f>
        <v>0</v>
      </c>
      <c r="W888">
        <f>VLOOKUP(Table9[[#This Row],[Shortname]], Comp[], 20, FALSE)</f>
        <v>0</v>
      </c>
      <c r="X888">
        <f>VLOOKUP(Table9[[#This Row],[Shortname]], Comp[], 21, FALSE)</f>
        <v>0</v>
      </c>
      <c r="Y888">
        <f>VLOOKUP(Table9[[#This Row],[Shortname]], Comp[], 22, FALSE)</f>
        <v>0</v>
      </c>
      <c r="Z888">
        <f>VLOOKUP(Table9[[#This Row],[Shortname]], Comp[], 23, FALSE)</f>
        <v>0</v>
      </c>
      <c r="AA888">
        <f>VLOOKUP(Table9[[#This Row],[Shortname]], Comp[], 24, FALSE)</f>
        <v>0</v>
      </c>
      <c r="AB888">
        <f>VLOOKUP(Table9[[#This Row],[Shortname]], Comp[], 25, FALSE)</f>
        <v>0</v>
      </c>
      <c r="AC888">
        <f>VLOOKUP(Table9[[#This Row],[Shortname]], Comp[], 26, FALSE)</f>
        <v>0</v>
      </c>
      <c r="AD888">
        <f>VLOOKUP(Table9[[#This Row],[Shortname]], Comp[], 27, FALSE)</f>
        <v>0</v>
      </c>
      <c r="AE888">
        <f>VLOOKUP(Table9[[#This Row],[Shortname]], Comp[], 28, FALSE)</f>
        <v>0</v>
      </c>
      <c r="AF888">
        <f>VLOOKUP(Table9[[#This Row],[Shortname]], Comp[], 29, FALSE)</f>
        <v>0</v>
      </c>
      <c r="AG888">
        <f>VLOOKUP(Table9[[#This Row],[Shortname]], Comp[], 30, FALSE)</f>
        <v>0</v>
      </c>
      <c r="AH888">
        <f>VLOOKUP(Table9[[#This Row],[Shortname]], Comp[], 31, FALSE)</f>
        <v>0</v>
      </c>
    </row>
    <row r="889" spans="1:34" x14ac:dyDescent="0.3">
      <c r="A889" t="s">
        <v>5498</v>
      </c>
      <c r="B889" t="s">
        <v>3893</v>
      </c>
      <c r="C889" t="s">
        <v>6901</v>
      </c>
      <c r="D889">
        <v>549</v>
      </c>
      <c r="E889">
        <v>868</v>
      </c>
      <c r="F889">
        <v>1E-3</v>
      </c>
      <c r="G889">
        <v>1</v>
      </c>
      <c r="H889" t="s">
        <v>6893</v>
      </c>
      <c r="I889">
        <f>VLOOKUP(Table9[[#This Row],[Shortname]], Comp[], 6, FALSE)</f>
        <v>848</v>
      </c>
      <c r="J889" s="14">
        <f>VLOOKUP(Table9[[#This Row],[Shortname]], Comp[], 7, FALSE)</f>
        <v>49.1</v>
      </c>
      <c r="K889">
        <f>VLOOKUP(Table9[[#This Row],[Shortname]], Comp[], 8, FALSE)</f>
        <v>30.5</v>
      </c>
      <c r="L889">
        <f>VLOOKUP(Table9[[#This Row],[Shortname]], Comp[], 9, FALSE)</f>
        <v>9.3000000000000007</v>
      </c>
      <c r="M889">
        <f>VLOOKUP(Table9[[#This Row],[Shortname]], Comp[], 10, FALSE)</f>
        <v>0</v>
      </c>
      <c r="N889">
        <f>VLOOKUP(Table9[[#This Row],[Shortname]], Comp[], 11, FALSE)</f>
        <v>0</v>
      </c>
      <c r="O889">
        <f>VLOOKUP(Table9[[#This Row],[Shortname]], Comp[],12, FALSE)</f>
        <v>3.9</v>
      </c>
      <c r="P889">
        <f>VLOOKUP(Table9[[#This Row],[Shortname]], Comp[], 13, FALSE)</f>
        <v>2.2000000000000002</v>
      </c>
      <c r="Q889">
        <f>VLOOKUP(Table9[[#This Row],[Shortname]], Comp[], 14, FALSE)</f>
        <v>0</v>
      </c>
      <c r="R889">
        <f>VLOOKUP(Table9[[#This Row],[Shortname]], Comp[], 15, FALSE)</f>
        <v>0</v>
      </c>
      <c r="S889">
        <f>VLOOKUP(Table9[[#This Row],[Shortname]], Comp[], 16, FALSE)</f>
        <v>5</v>
      </c>
      <c r="T889">
        <f>VLOOKUP(Table9[[#This Row],[Shortname]], Comp[], 17, FALSE)</f>
        <v>0</v>
      </c>
      <c r="U889">
        <f>VLOOKUP(Table9[[#This Row],[Shortname]], Comp[], 18, FALSE)</f>
        <v>0</v>
      </c>
      <c r="V889">
        <f>VLOOKUP(Table9[[#This Row],[Shortname]], Comp[], 19, FALSE)</f>
        <v>0</v>
      </c>
      <c r="W889">
        <f>VLOOKUP(Table9[[#This Row],[Shortname]], Comp[], 20, FALSE)</f>
        <v>0</v>
      </c>
      <c r="X889">
        <f>VLOOKUP(Table9[[#This Row],[Shortname]], Comp[], 21, FALSE)</f>
        <v>0</v>
      </c>
      <c r="Y889">
        <f>VLOOKUP(Table9[[#This Row],[Shortname]], Comp[], 22, FALSE)</f>
        <v>0</v>
      </c>
      <c r="Z889">
        <f>VLOOKUP(Table9[[#This Row],[Shortname]], Comp[], 23, FALSE)</f>
        <v>0</v>
      </c>
      <c r="AA889">
        <f>VLOOKUP(Table9[[#This Row],[Shortname]], Comp[], 24, FALSE)</f>
        <v>0</v>
      </c>
      <c r="AB889">
        <f>VLOOKUP(Table9[[#This Row],[Shortname]], Comp[], 25, FALSE)</f>
        <v>0</v>
      </c>
      <c r="AC889">
        <f>VLOOKUP(Table9[[#This Row],[Shortname]], Comp[], 26, FALSE)</f>
        <v>0</v>
      </c>
      <c r="AD889">
        <f>VLOOKUP(Table9[[#This Row],[Shortname]], Comp[], 27, FALSE)</f>
        <v>0</v>
      </c>
      <c r="AE889">
        <f>VLOOKUP(Table9[[#This Row],[Shortname]], Comp[], 28, FALSE)</f>
        <v>0</v>
      </c>
      <c r="AF889">
        <f>VLOOKUP(Table9[[#This Row],[Shortname]], Comp[], 29, FALSE)</f>
        <v>0</v>
      </c>
      <c r="AG889">
        <f>VLOOKUP(Table9[[#This Row],[Shortname]], Comp[], 30, FALSE)</f>
        <v>0</v>
      </c>
      <c r="AH889">
        <f>VLOOKUP(Table9[[#This Row],[Shortname]], Comp[], 31, FALSE)</f>
        <v>0</v>
      </c>
    </row>
    <row r="890" spans="1:34" x14ac:dyDescent="0.3">
      <c r="A890" t="s">
        <v>5498</v>
      </c>
      <c r="B890" t="s">
        <v>3893</v>
      </c>
      <c r="C890" t="s">
        <v>6902</v>
      </c>
      <c r="D890">
        <v>401</v>
      </c>
      <c r="E890">
        <v>1000</v>
      </c>
      <c r="F890">
        <v>1E-3</v>
      </c>
      <c r="G890">
        <v>1</v>
      </c>
      <c r="H890" t="s">
        <v>6893</v>
      </c>
      <c r="I890">
        <f>VLOOKUP(Table9[[#This Row],[Shortname]], Comp[], 6, FALSE)</f>
        <v>848</v>
      </c>
      <c r="J890" s="14">
        <f>VLOOKUP(Table9[[#This Row],[Shortname]], Comp[], 7, FALSE)</f>
        <v>49.1</v>
      </c>
      <c r="K890">
        <f>VLOOKUP(Table9[[#This Row],[Shortname]], Comp[], 8, FALSE)</f>
        <v>30.5</v>
      </c>
      <c r="L890">
        <f>VLOOKUP(Table9[[#This Row],[Shortname]], Comp[], 9, FALSE)</f>
        <v>9.3000000000000007</v>
      </c>
      <c r="M890">
        <f>VLOOKUP(Table9[[#This Row],[Shortname]], Comp[], 10, FALSE)</f>
        <v>0</v>
      </c>
      <c r="N890">
        <f>VLOOKUP(Table9[[#This Row],[Shortname]], Comp[], 11, FALSE)</f>
        <v>0</v>
      </c>
      <c r="O890">
        <f>VLOOKUP(Table9[[#This Row],[Shortname]], Comp[],12, FALSE)</f>
        <v>3.9</v>
      </c>
      <c r="P890">
        <f>VLOOKUP(Table9[[#This Row],[Shortname]], Comp[], 13, FALSE)</f>
        <v>2.2000000000000002</v>
      </c>
      <c r="Q890">
        <f>VLOOKUP(Table9[[#This Row],[Shortname]], Comp[], 14, FALSE)</f>
        <v>0</v>
      </c>
      <c r="R890">
        <f>VLOOKUP(Table9[[#This Row],[Shortname]], Comp[], 15, FALSE)</f>
        <v>0</v>
      </c>
      <c r="S890">
        <f>VLOOKUP(Table9[[#This Row],[Shortname]], Comp[], 16, FALSE)</f>
        <v>5</v>
      </c>
      <c r="T890">
        <f>VLOOKUP(Table9[[#This Row],[Shortname]], Comp[], 17, FALSE)</f>
        <v>0</v>
      </c>
      <c r="U890">
        <f>VLOOKUP(Table9[[#This Row],[Shortname]], Comp[], 18, FALSE)</f>
        <v>0</v>
      </c>
      <c r="V890">
        <f>VLOOKUP(Table9[[#This Row],[Shortname]], Comp[], 19, FALSE)</f>
        <v>0</v>
      </c>
      <c r="W890">
        <f>VLOOKUP(Table9[[#This Row],[Shortname]], Comp[], 20, FALSE)</f>
        <v>0</v>
      </c>
      <c r="X890">
        <f>VLOOKUP(Table9[[#This Row],[Shortname]], Comp[], 21, FALSE)</f>
        <v>0</v>
      </c>
      <c r="Y890">
        <f>VLOOKUP(Table9[[#This Row],[Shortname]], Comp[], 22, FALSE)</f>
        <v>0</v>
      </c>
      <c r="Z890">
        <f>VLOOKUP(Table9[[#This Row],[Shortname]], Comp[], 23, FALSE)</f>
        <v>0</v>
      </c>
      <c r="AA890">
        <f>VLOOKUP(Table9[[#This Row],[Shortname]], Comp[], 24, FALSE)</f>
        <v>0</v>
      </c>
      <c r="AB890">
        <f>VLOOKUP(Table9[[#This Row],[Shortname]], Comp[], 25, FALSE)</f>
        <v>0</v>
      </c>
      <c r="AC890">
        <f>VLOOKUP(Table9[[#This Row],[Shortname]], Comp[], 26, FALSE)</f>
        <v>0</v>
      </c>
      <c r="AD890">
        <f>VLOOKUP(Table9[[#This Row],[Shortname]], Comp[], 27, FALSE)</f>
        <v>0</v>
      </c>
      <c r="AE890">
        <f>VLOOKUP(Table9[[#This Row],[Shortname]], Comp[], 28, FALSE)</f>
        <v>0</v>
      </c>
      <c r="AF890">
        <f>VLOOKUP(Table9[[#This Row],[Shortname]], Comp[], 29, FALSE)</f>
        <v>0</v>
      </c>
      <c r="AG890">
        <f>VLOOKUP(Table9[[#This Row],[Shortname]], Comp[], 30, FALSE)</f>
        <v>0</v>
      </c>
      <c r="AH890">
        <f>VLOOKUP(Table9[[#This Row],[Shortname]], Comp[], 31, FALSE)</f>
        <v>0</v>
      </c>
    </row>
    <row r="891" spans="1:34" x14ac:dyDescent="0.3">
      <c r="A891" t="s">
        <v>5507</v>
      </c>
      <c r="B891" t="s">
        <v>5508</v>
      </c>
      <c r="C891" t="s">
        <v>5509</v>
      </c>
      <c r="D891">
        <v>188</v>
      </c>
      <c r="E891">
        <v>25</v>
      </c>
      <c r="F891">
        <v>1E-4</v>
      </c>
      <c r="G891">
        <v>1</v>
      </c>
      <c r="H891" t="s">
        <v>6803</v>
      </c>
      <c r="I891">
        <f>VLOOKUP(Table9[[#This Row],[Shortname]], Comp[], 6, FALSE)</f>
        <v>850</v>
      </c>
      <c r="J891" s="14">
        <f>VLOOKUP(Table9[[#This Row],[Shortname]], Comp[], 7, FALSE)</f>
        <v>77.289999999999992</v>
      </c>
      <c r="K891">
        <f>VLOOKUP(Table9[[#This Row],[Shortname]], Comp[], 8, FALSE)</f>
        <v>0</v>
      </c>
      <c r="L891">
        <f>VLOOKUP(Table9[[#This Row],[Shortname]], Comp[], 9, FALSE)</f>
        <v>1.77</v>
      </c>
      <c r="M891">
        <f>VLOOKUP(Table9[[#This Row],[Shortname]], Comp[], 10, FALSE)</f>
        <v>0</v>
      </c>
      <c r="N891">
        <f>VLOOKUP(Table9[[#This Row],[Shortname]], Comp[], 11, FALSE)</f>
        <v>3.1</v>
      </c>
      <c r="O891">
        <f>VLOOKUP(Table9[[#This Row],[Shortname]], Comp[],12, FALSE)</f>
        <v>17.84</v>
      </c>
      <c r="P891">
        <f>VLOOKUP(Table9[[#This Row],[Shortname]], Comp[], 13, FALSE)</f>
        <v>0</v>
      </c>
      <c r="Q891">
        <f>VLOOKUP(Table9[[#This Row],[Shortname]], Comp[], 14, FALSE)</f>
        <v>0</v>
      </c>
      <c r="R891">
        <f>VLOOKUP(Table9[[#This Row],[Shortname]], Comp[], 15, FALSE)</f>
        <v>0</v>
      </c>
      <c r="S891">
        <f>VLOOKUP(Table9[[#This Row],[Shortname]], Comp[], 16, FALSE)</f>
        <v>0</v>
      </c>
      <c r="T891">
        <f>VLOOKUP(Table9[[#This Row],[Shortname]], Comp[], 17, FALSE)</f>
        <v>0</v>
      </c>
      <c r="U891">
        <f>VLOOKUP(Table9[[#This Row],[Shortname]], Comp[], 18, FALSE)</f>
        <v>0</v>
      </c>
      <c r="V891">
        <f>VLOOKUP(Table9[[#This Row],[Shortname]], Comp[], 19, FALSE)</f>
        <v>0</v>
      </c>
      <c r="W891">
        <f>VLOOKUP(Table9[[#This Row],[Shortname]], Comp[], 20, FALSE)</f>
        <v>0</v>
      </c>
      <c r="X891">
        <f>VLOOKUP(Table9[[#This Row],[Shortname]], Comp[], 21, FALSE)</f>
        <v>0</v>
      </c>
      <c r="Y891">
        <f>VLOOKUP(Table9[[#This Row],[Shortname]], Comp[], 22, FALSE)</f>
        <v>0</v>
      </c>
      <c r="Z891">
        <f>VLOOKUP(Table9[[#This Row],[Shortname]], Comp[], 23, FALSE)</f>
        <v>0</v>
      </c>
      <c r="AA891">
        <f>VLOOKUP(Table9[[#This Row],[Shortname]], Comp[], 24, FALSE)</f>
        <v>0</v>
      </c>
      <c r="AB891">
        <f>VLOOKUP(Table9[[#This Row],[Shortname]], Comp[], 25, FALSE)</f>
        <v>0</v>
      </c>
      <c r="AC891">
        <f>VLOOKUP(Table9[[#This Row],[Shortname]], Comp[], 26, FALSE)</f>
        <v>0</v>
      </c>
      <c r="AD891">
        <f>VLOOKUP(Table9[[#This Row],[Shortname]], Comp[], 27, FALSE)</f>
        <v>0</v>
      </c>
      <c r="AE891">
        <f>VLOOKUP(Table9[[#This Row],[Shortname]], Comp[], 28, FALSE)</f>
        <v>0</v>
      </c>
      <c r="AF891">
        <f>VLOOKUP(Table9[[#This Row],[Shortname]], Comp[], 29, FALSE)</f>
        <v>0</v>
      </c>
      <c r="AG891">
        <f>VLOOKUP(Table9[[#This Row],[Shortname]], Comp[], 30, FALSE)</f>
        <v>0</v>
      </c>
      <c r="AH891">
        <f>VLOOKUP(Table9[[#This Row],[Shortname]], Comp[], 31, FALSE)</f>
        <v>0</v>
      </c>
    </row>
    <row r="892" spans="1:34" x14ac:dyDescent="0.3">
      <c r="A892" t="s">
        <v>5507</v>
      </c>
      <c r="B892" t="s">
        <v>5508</v>
      </c>
      <c r="C892" t="s">
        <v>5515</v>
      </c>
      <c r="D892">
        <v>185</v>
      </c>
      <c r="E892">
        <v>200</v>
      </c>
      <c r="F892">
        <v>1E-4</v>
      </c>
      <c r="G892">
        <v>1</v>
      </c>
      <c r="H892" t="s">
        <v>6803</v>
      </c>
      <c r="I892">
        <f>VLOOKUP(Table9[[#This Row],[Shortname]], Comp[], 6, FALSE)</f>
        <v>850</v>
      </c>
      <c r="J892" s="14">
        <f>VLOOKUP(Table9[[#This Row],[Shortname]], Comp[], 7, FALSE)</f>
        <v>77.289999999999992</v>
      </c>
      <c r="K892">
        <f>VLOOKUP(Table9[[#This Row],[Shortname]], Comp[], 8, FALSE)</f>
        <v>0</v>
      </c>
      <c r="L892">
        <f>VLOOKUP(Table9[[#This Row],[Shortname]], Comp[], 9, FALSE)</f>
        <v>1.77</v>
      </c>
      <c r="M892">
        <f>VLOOKUP(Table9[[#This Row],[Shortname]], Comp[], 10, FALSE)</f>
        <v>0</v>
      </c>
      <c r="N892">
        <f>VLOOKUP(Table9[[#This Row],[Shortname]], Comp[], 11, FALSE)</f>
        <v>3.1</v>
      </c>
      <c r="O892">
        <f>VLOOKUP(Table9[[#This Row],[Shortname]], Comp[],12, FALSE)</f>
        <v>17.84</v>
      </c>
      <c r="P892">
        <f>VLOOKUP(Table9[[#This Row],[Shortname]], Comp[], 13, FALSE)</f>
        <v>0</v>
      </c>
      <c r="Q892">
        <f>VLOOKUP(Table9[[#This Row],[Shortname]], Comp[], 14, FALSE)</f>
        <v>0</v>
      </c>
      <c r="R892">
        <f>VLOOKUP(Table9[[#This Row],[Shortname]], Comp[], 15, FALSE)</f>
        <v>0</v>
      </c>
      <c r="S892">
        <f>VLOOKUP(Table9[[#This Row],[Shortname]], Comp[], 16, FALSE)</f>
        <v>0</v>
      </c>
      <c r="T892">
        <f>VLOOKUP(Table9[[#This Row],[Shortname]], Comp[], 17, FALSE)</f>
        <v>0</v>
      </c>
      <c r="U892">
        <f>VLOOKUP(Table9[[#This Row],[Shortname]], Comp[], 18, FALSE)</f>
        <v>0</v>
      </c>
      <c r="V892">
        <f>VLOOKUP(Table9[[#This Row],[Shortname]], Comp[], 19, FALSE)</f>
        <v>0</v>
      </c>
      <c r="W892">
        <f>VLOOKUP(Table9[[#This Row],[Shortname]], Comp[], 20, FALSE)</f>
        <v>0</v>
      </c>
      <c r="X892">
        <f>VLOOKUP(Table9[[#This Row],[Shortname]], Comp[], 21, FALSE)</f>
        <v>0</v>
      </c>
      <c r="Y892">
        <f>VLOOKUP(Table9[[#This Row],[Shortname]], Comp[], 22, FALSE)</f>
        <v>0</v>
      </c>
      <c r="Z892">
        <f>VLOOKUP(Table9[[#This Row],[Shortname]], Comp[], 23, FALSE)</f>
        <v>0</v>
      </c>
      <c r="AA892">
        <f>VLOOKUP(Table9[[#This Row],[Shortname]], Comp[], 24, FALSE)</f>
        <v>0</v>
      </c>
      <c r="AB892">
        <f>VLOOKUP(Table9[[#This Row],[Shortname]], Comp[], 25, FALSE)</f>
        <v>0</v>
      </c>
      <c r="AC892">
        <f>VLOOKUP(Table9[[#This Row],[Shortname]], Comp[], 26, FALSE)</f>
        <v>0</v>
      </c>
      <c r="AD892">
        <f>VLOOKUP(Table9[[#This Row],[Shortname]], Comp[], 27, FALSE)</f>
        <v>0</v>
      </c>
      <c r="AE892">
        <f>VLOOKUP(Table9[[#This Row],[Shortname]], Comp[], 28, FALSE)</f>
        <v>0</v>
      </c>
      <c r="AF892">
        <f>VLOOKUP(Table9[[#This Row],[Shortname]], Comp[], 29, FALSE)</f>
        <v>0</v>
      </c>
      <c r="AG892">
        <f>VLOOKUP(Table9[[#This Row],[Shortname]], Comp[], 30, FALSE)</f>
        <v>0</v>
      </c>
      <c r="AH892">
        <f>VLOOKUP(Table9[[#This Row],[Shortname]], Comp[], 31, FALSE)</f>
        <v>0</v>
      </c>
    </row>
    <row r="893" spans="1:34" x14ac:dyDescent="0.3">
      <c r="A893" t="s">
        <v>5507</v>
      </c>
      <c r="B893" t="s">
        <v>5508</v>
      </c>
      <c r="C893" t="s">
        <v>6903</v>
      </c>
      <c r="D893">
        <v>184</v>
      </c>
      <c r="E893">
        <v>400</v>
      </c>
      <c r="F893">
        <v>1E-4</v>
      </c>
      <c r="G893">
        <v>1</v>
      </c>
      <c r="H893" t="s">
        <v>6803</v>
      </c>
      <c r="I893">
        <f>VLOOKUP(Table9[[#This Row],[Shortname]], Comp[], 6, FALSE)</f>
        <v>850</v>
      </c>
      <c r="J893" s="14">
        <f>VLOOKUP(Table9[[#This Row],[Shortname]], Comp[], 7, FALSE)</f>
        <v>77.289999999999992</v>
      </c>
      <c r="K893">
        <f>VLOOKUP(Table9[[#This Row],[Shortname]], Comp[], 8, FALSE)</f>
        <v>0</v>
      </c>
      <c r="L893">
        <f>VLOOKUP(Table9[[#This Row],[Shortname]], Comp[], 9, FALSE)</f>
        <v>1.77</v>
      </c>
      <c r="M893">
        <f>VLOOKUP(Table9[[#This Row],[Shortname]], Comp[], 10, FALSE)</f>
        <v>0</v>
      </c>
      <c r="N893">
        <f>VLOOKUP(Table9[[#This Row],[Shortname]], Comp[], 11, FALSE)</f>
        <v>3.1</v>
      </c>
      <c r="O893">
        <f>VLOOKUP(Table9[[#This Row],[Shortname]], Comp[],12, FALSE)</f>
        <v>17.84</v>
      </c>
      <c r="P893">
        <f>VLOOKUP(Table9[[#This Row],[Shortname]], Comp[], 13, FALSE)</f>
        <v>0</v>
      </c>
      <c r="Q893">
        <f>VLOOKUP(Table9[[#This Row],[Shortname]], Comp[], 14, FALSE)</f>
        <v>0</v>
      </c>
      <c r="R893">
        <f>VLOOKUP(Table9[[#This Row],[Shortname]], Comp[], 15, FALSE)</f>
        <v>0</v>
      </c>
      <c r="S893">
        <f>VLOOKUP(Table9[[#This Row],[Shortname]], Comp[], 16, FALSE)</f>
        <v>0</v>
      </c>
      <c r="T893">
        <f>VLOOKUP(Table9[[#This Row],[Shortname]], Comp[], 17, FALSE)</f>
        <v>0</v>
      </c>
      <c r="U893">
        <f>VLOOKUP(Table9[[#This Row],[Shortname]], Comp[], 18, FALSE)</f>
        <v>0</v>
      </c>
      <c r="V893">
        <f>VLOOKUP(Table9[[#This Row],[Shortname]], Comp[], 19, FALSE)</f>
        <v>0</v>
      </c>
      <c r="W893">
        <f>VLOOKUP(Table9[[#This Row],[Shortname]], Comp[], 20, FALSE)</f>
        <v>0</v>
      </c>
      <c r="X893">
        <f>VLOOKUP(Table9[[#This Row],[Shortname]], Comp[], 21, FALSE)</f>
        <v>0</v>
      </c>
      <c r="Y893">
        <f>VLOOKUP(Table9[[#This Row],[Shortname]], Comp[], 22, FALSE)</f>
        <v>0</v>
      </c>
      <c r="Z893">
        <f>VLOOKUP(Table9[[#This Row],[Shortname]], Comp[], 23, FALSE)</f>
        <v>0</v>
      </c>
      <c r="AA893">
        <f>VLOOKUP(Table9[[#This Row],[Shortname]], Comp[], 24, FALSE)</f>
        <v>0</v>
      </c>
      <c r="AB893">
        <f>VLOOKUP(Table9[[#This Row],[Shortname]], Comp[], 25, FALSE)</f>
        <v>0</v>
      </c>
      <c r="AC893">
        <f>VLOOKUP(Table9[[#This Row],[Shortname]], Comp[], 26, FALSE)</f>
        <v>0</v>
      </c>
      <c r="AD893">
        <f>VLOOKUP(Table9[[#This Row],[Shortname]], Comp[], 27, FALSE)</f>
        <v>0</v>
      </c>
      <c r="AE893">
        <f>VLOOKUP(Table9[[#This Row],[Shortname]], Comp[], 28, FALSE)</f>
        <v>0</v>
      </c>
      <c r="AF893">
        <f>VLOOKUP(Table9[[#This Row],[Shortname]], Comp[], 29, FALSE)</f>
        <v>0</v>
      </c>
      <c r="AG893">
        <f>VLOOKUP(Table9[[#This Row],[Shortname]], Comp[], 30, FALSE)</f>
        <v>0</v>
      </c>
      <c r="AH893">
        <f>VLOOKUP(Table9[[#This Row],[Shortname]], Comp[], 31, FALSE)</f>
        <v>0</v>
      </c>
    </row>
    <row r="894" spans="1:34" x14ac:dyDescent="0.3">
      <c r="A894" t="s">
        <v>5507</v>
      </c>
      <c r="B894" t="s">
        <v>5508</v>
      </c>
      <c r="C894" t="s">
        <v>6904</v>
      </c>
      <c r="D894">
        <v>221</v>
      </c>
      <c r="E894">
        <v>500</v>
      </c>
      <c r="F894">
        <v>1E-4</v>
      </c>
      <c r="G894">
        <v>1</v>
      </c>
      <c r="H894" t="s">
        <v>6803</v>
      </c>
      <c r="I894">
        <f>VLOOKUP(Table9[[#This Row],[Shortname]], Comp[], 6, FALSE)</f>
        <v>850</v>
      </c>
      <c r="J894" s="14">
        <f>VLOOKUP(Table9[[#This Row],[Shortname]], Comp[], 7, FALSE)</f>
        <v>77.289999999999992</v>
      </c>
      <c r="K894">
        <f>VLOOKUP(Table9[[#This Row],[Shortname]], Comp[], 8, FALSE)</f>
        <v>0</v>
      </c>
      <c r="L894">
        <f>VLOOKUP(Table9[[#This Row],[Shortname]], Comp[], 9, FALSE)</f>
        <v>1.77</v>
      </c>
      <c r="M894">
        <f>VLOOKUP(Table9[[#This Row],[Shortname]], Comp[], 10, FALSE)</f>
        <v>0</v>
      </c>
      <c r="N894">
        <f>VLOOKUP(Table9[[#This Row],[Shortname]], Comp[], 11, FALSE)</f>
        <v>3.1</v>
      </c>
      <c r="O894">
        <f>VLOOKUP(Table9[[#This Row],[Shortname]], Comp[],12, FALSE)</f>
        <v>17.84</v>
      </c>
      <c r="P894">
        <f>VLOOKUP(Table9[[#This Row],[Shortname]], Comp[], 13, FALSE)</f>
        <v>0</v>
      </c>
      <c r="Q894">
        <f>VLOOKUP(Table9[[#This Row],[Shortname]], Comp[], 14, FALSE)</f>
        <v>0</v>
      </c>
      <c r="R894">
        <f>VLOOKUP(Table9[[#This Row],[Shortname]], Comp[], 15, FALSE)</f>
        <v>0</v>
      </c>
      <c r="S894">
        <f>VLOOKUP(Table9[[#This Row],[Shortname]], Comp[], 16, FALSE)</f>
        <v>0</v>
      </c>
      <c r="T894">
        <f>VLOOKUP(Table9[[#This Row],[Shortname]], Comp[], 17, FALSE)</f>
        <v>0</v>
      </c>
      <c r="U894">
        <f>VLOOKUP(Table9[[#This Row],[Shortname]], Comp[], 18, FALSE)</f>
        <v>0</v>
      </c>
      <c r="V894">
        <f>VLOOKUP(Table9[[#This Row],[Shortname]], Comp[], 19, FALSE)</f>
        <v>0</v>
      </c>
      <c r="W894">
        <f>VLOOKUP(Table9[[#This Row],[Shortname]], Comp[], 20, FALSE)</f>
        <v>0</v>
      </c>
      <c r="X894">
        <f>VLOOKUP(Table9[[#This Row],[Shortname]], Comp[], 21, FALSE)</f>
        <v>0</v>
      </c>
      <c r="Y894">
        <f>VLOOKUP(Table9[[#This Row],[Shortname]], Comp[], 22, FALSE)</f>
        <v>0</v>
      </c>
      <c r="Z894">
        <f>VLOOKUP(Table9[[#This Row],[Shortname]], Comp[], 23, FALSE)</f>
        <v>0</v>
      </c>
      <c r="AA894">
        <f>VLOOKUP(Table9[[#This Row],[Shortname]], Comp[], 24, FALSE)</f>
        <v>0</v>
      </c>
      <c r="AB894">
        <f>VLOOKUP(Table9[[#This Row],[Shortname]], Comp[], 25, FALSE)</f>
        <v>0</v>
      </c>
      <c r="AC894">
        <f>VLOOKUP(Table9[[#This Row],[Shortname]], Comp[], 26, FALSE)</f>
        <v>0</v>
      </c>
      <c r="AD894">
        <f>VLOOKUP(Table9[[#This Row],[Shortname]], Comp[], 27, FALSE)</f>
        <v>0</v>
      </c>
      <c r="AE894">
        <f>VLOOKUP(Table9[[#This Row],[Shortname]], Comp[], 28, FALSE)</f>
        <v>0</v>
      </c>
      <c r="AF894">
        <f>VLOOKUP(Table9[[#This Row],[Shortname]], Comp[], 29, FALSE)</f>
        <v>0</v>
      </c>
      <c r="AG894">
        <f>VLOOKUP(Table9[[#This Row],[Shortname]], Comp[], 30, FALSE)</f>
        <v>0</v>
      </c>
      <c r="AH894">
        <f>VLOOKUP(Table9[[#This Row],[Shortname]], Comp[], 31, FALSE)</f>
        <v>0</v>
      </c>
    </row>
    <row r="895" spans="1:34" x14ac:dyDescent="0.3">
      <c r="A895" t="s">
        <v>5507</v>
      </c>
      <c r="B895" t="s">
        <v>5508</v>
      </c>
      <c r="C895" t="s">
        <v>6905</v>
      </c>
      <c r="D895">
        <v>285</v>
      </c>
      <c r="E895">
        <v>600</v>
      </c>
      <c r="F895">
        <v>1E-4</v>
      </c>
      <c r="G895">
        <v>1</v>
      </c>
      <c r="H895" t="s">
        <v>6803</v>
      </c>
      <c r="I895">
        <f>VLOOKUP(Table9[[#This Row],[Shortname]], Comp[], 6, FALSE)</f>
        <v>850</v>
      </c>
      <c r="J895" s="14">
        <f>VLOOKUP(Table9[[#This Row],[Shortname]], Comp[], 7, FALSE)</f>
        <v>77.289999999999992</v>
      </c>
      <c r="K895">
        <f>VLOOKUP(Table9[[#This Row],[Shortname]], Comp[], 8, FALSE)</f>
        <v>0</v>
      </c>
      <c r="L895">
        <f>VLOOKUP(Table9[[#This Row],[Shortname]], Comp[], 9, FALSE)</f>
        <v>1.77</v>
      </c>
      <c r="M895">
        <f>VLOOKUP(Table9[[#This Row],[Shortname]], Comp[], 10, FALSE)</f>
        <v>0</v>
      </c>
      <c r="N895">
        <f>VLOOKUP(Table9[[#This Row],[Shortname]], Comp[], 11, FALSE)</f>
        <v>3.1</v>
      </c>
      <c r="O895">
        <f>VLOOKUP(Table9[[#This Row],[Shortname]], Comp[],12, FALSE)</f>
        <v>17.84</v>
      </c>
      <c r="P895">
        <f>VLOOKUP(Table9[[#This Row],[Shortname]], Comp[], 13, FALSE)</f>
        <v>0</v>
      </c>
      <c r="Q895">
        <f>VLOOKUP(Table9[[#This Row],[Shortname]], Comp[], 14, FALSE)</f>
        <v>0</v>
      </c>
      <c r="R895">
        <f>VLOOKUP(Table9[[#This Row],[Shortname]], Comp[], 15, FALSE)</f>
        <v>0</v>
      </c>
      <c r="S895">
        <f>VLOOKUP(Table9[[#This Row],[Shortname]], Comp[], 16, FALSE)</f>
        <v>0</v>
      </c>
      <c r="T895">
        <f>VLOOKUP(Table9[[#This Row],[Shortname]], Comp[], 17, FALSE)</f>
        <v>0</v>
      </c>
      <c r="U895">
        <f>VLOOKUP(Table9[[#This Row],[Shortname]], Comp[], 18, FALSE)</f>
        <v>0</v>
      </c>
      <c r="V895">
        <f>VLOOKUP(Table9[[#This Row],[Shortname]], Comp[], 19, FALSE)</f>
        <v>0</v>
      </c>
      <c r="W895">
        <f>VLOOKUP(Table9[[#This Row],[Shortname]], Comp[], 20, FALSE)</f>
        <v>0</v>
      </c>
      <c r="X895">
        <f>VLOOKUP(Table9[[#This Row],[Shortname]], Comp[], 21, FALSE)</f>
        <v>0</v>
      </c>
      <c r="Y895">
        <f>VLOOKUP(Table9[[#This Row],[Shortname]], Comp[], 22, FALSE)</f>
        <v>0</v>
      </c>
      <c r="Z895">
        <f>VLOOKUP(Table9[[#This Row],[Shortname]], Comp[], 23, FALSE)</f>
        <v>0</v>
      </c>
      <c r="AA895">
        <f>VLOOKUP(Table9[[#This Row],[Shortname]], Comp[], 24, FALSE)</f>
        <v>0</v>
      </c>
      <c r="AB895">
        <f>VLOOKUP(Table9[[#This Row],[Shortname]], Comp[], 25, FALSE)</f>
        <v>0</v>
      </c>
      <c r="AC895">
        <f>VLOOKUP(Table9[[#This Row],[Shortname]], Comp[], 26, FALSE)</f>
        <v>0</v>
      </c>
      <c r="AD895">
        <f>VLOOKUP(Table9[[#This Row],[Shortname]], Comp[], 27, FALSE)</f>
        <v>0</v>
      </c>
      <c r="AE895">
        <f>VLOOKUP(Table9[[#This Row],[Shortname]], Comp[], 28, FALSE)</f>
        <v>0</v>
      </c>
      <c r="AF895">
        <f>VLOOKUP(Table9[[#This Row],[Shortname]], Comp[], 29, FALSE)</f>
        <v>0</v>
      </c>
      <c r="AG895">
        <f>VLOOKUP(Table9[[#This Row],[Shortname]], Comp[], 30, FALSE)</f>
        <v>0</v>
      </c>
      <c r="AH895">
        <f>VLOOKUP(Table9[[#This Row],[Shortname]], Comp[], 31, FALSE)</f>
        <v>0</v>
      </c>
    </row>
    <row r="896" spans="1:34" x14ac:dyDescent="0.3">
      <c r="A896" t="s">
        <v>5507</v>
      </c>
      <c r="B896" t="s">
        <v>5508</v>
      </c>
      <c r="C896" t="s">
        <v>6906</v>
      </c>
      <c r="D896">
        <v>341</v>
      </c>
      <c r="E896">
        <v>700</v>
      </c>
      <c r="F896">
        <v>1E-4</v>
      </c>
      <c r="G896">
        <v>1</v>
      </c>
      <c r="H896" t="s">
        <v>6803</v>
      </c>
      <c r="I896">
        <f>VLOOKUP(Table9[[#This Row],[Shortname]], Comp[], 6, FALSE)</f>
        <v>850</v>
      </c>
      <c r="J896" s="14">
        <f>VLOOKUP(Table9[[#This Row],[Shortname]], Comp[], 7, FALSE)</f>
        <v>77.289999999999992</v>
      </c>
      <c r="K896">
        <f>VLOOKUP(Table9[[#This Row],[Shortname]], Comp[], 8, FALSE)</f>
        <v>0</v>
      </c>
      <c r="L896">
        <f>VLOOKUP(Table9[[#This Row],[Shortname]], Comp[], 9, FALSE)</f>
        <v>1.77</v>
      </c>
      <c r="M896">
        <f>VLOOKUP(Table9[[#This Row],[Shortname]], Comp[], 10, FALSE)</f>
        <v>0</v>
      </c>
      <c r="N896">
        <f>VLOOKUP(Table9[[#This Row],[Shortname]], Comp[], 11, FALSE)</f>
        <v>3.1</v>
      </c>
      <c r="O896">
        <f>VLOOKUP(Table9[[#This Row],[Shortname]], Comp[],12, FALSE)</f>
        <v>17.84</v>
      </c>
      <c r="P896">
        <f>VLOOKUP(Table9[[#This Row],[Shortname]], Comp[], 13, FALSE)</f>
        <v>0</v>
      </c>
      <c r="Q896">
        <f>VLOOKUP(Table9[[#This Row],[Shortname]], Comp[], 14, FALSE)</f>
        <v>0</v>
      </c>
      <c r="R896">
        <f>VLOOKUP(Table9[[#This Row],[Shortname]], Comp[], 15, FALSE)</f>
        <v>0</v>
      </c>
      <c r="S896">
        <f>VLOOKUP(Table9[[#This Row],[Shortname]], Comp[], 16, FALSE)</f>
        <v>0</v>
      </c>
      <c r="T896">
        <f>VLOOKUP(Table9[[#This Row],[Shortname]], Comp[], 17, FALSE)</f>
        <v>0</v>
      </c>
      <c r="U896">
        <f>VLOOKUP(Table9[[#This Row],[Shortname]], Comp[], 18, FALSE)</f>
        <v>0</v>
      </c>
      <c r="V896">
        <f>VLOOKUP(Table9[[#This Row],[Shortname]], Comp[], 19, FALSE)</f>
        <v>0</v>
      </c>
      <c r="W896">
        <f>VLOOKUP(Table9[[#This Row],[Shortname]], Comp[], 20, FALSE)</f>
        <v>0</v>
      </c>
      <c r="X896">
        <f>VLOOKUP(Table9[[#This Row],[Shortname]], Comp[], 21, FALSE)</f>
        <v>0</v>
      </c>
      <c r="Y896">
        <f>VLOOKUP(Table9[[#This Row],[Shortname]], Comp[], 22, FALSE)</f>
        <v>0</v>
      </c>
      <c r="Z896">
        <f>VLOOKUP(Table9[[#This Row],[Shortname]], Comp[], 23, FALSE)</f>
        <v>0</v>
      </c>
      <c r="AA896">
        <f>VLOOKUP(Table9[[#This Row],[Shortname]], Comp[], 24, FALSE)</f>
        <v>0</v>
      </c>
      <c r="AB896">
        <f>VLOOKUP(Table9[[#This Row],[Shortname]], Comp[], 25, FALSE)</f>
        <v>0</v>
      </c>
      <c r="AC896">
        <f>VLOOKUP(Table9[[#This Row],[Shortname]], Comp[], 26, FALSE)</f>
        <v>0</v>
      </c>
      <c r="AD896">
        <f>VLOOKUP(Table9[[#This Row],[Shortname]], Comp[], 27, FALSE)</f>
        <v>0</v>
      </c>
      <c r="AE896">
        <f>VLOOKUP(Table9[[#This Row],[Shortname]], Comp[], 28, FALSE)</f>
        <v>0</v>
      </c>
      <c r="AF896">
        <f>VLOOKUP(Table9[[#This Row],[Shortname]], Comp[], 29, FALSE)</f>
        <v>0</v>
      </c>
      <c r="AG896">
        <f>VLOOKUP(Table9[[#This Row],[Shortname]], Comp[], 30, FALSE)</f>
        <v>0</v>
      </c>
      <c r="AH896">
        <f>VLOOKUP(Table9[[#This Row],[Shortname]], Comp[], 31, FALSE)</f>
        <v>0</v>
      </c>
    </row>
    <row r="897" spans="1:34" x14ac:dyDescent="0.3">
      <c r="A897" t="s">
        <v>5507</v>
      </c>
      <c r="B897" t="s">
        <v>5508</v>
      </c>
      <c r="C897" t="s">
        <v>6907</v>
      </c>
      <c r="D897">
        <v>379</v>
      </c>
      <c r="E897">
        <v>800</v>
      </c>
      <c r="F897">
        <v>1E-4</v>
      </c>
      <c r="G897">
        <v>1</v>
      </c>
      <c r="H897" t="s">
        <v>6803</v>
      </c>
      <c r="I897">
        <f>VLOOKUP(Table9[[#This Row],[Shortname]], Comp[], 6, FALSE)</f>
        <v>850</v>
      </c>
      <c r="J897" s="14">
        <f>VLOOKUP(Table9[[#This Row],[Shortname]], Comp[], 7, FALSE)</f>
        <v>77.289999999999992</v>
      </c>
      <c r="K897">
        <f>VLOOKUP(Table9[[#This Row],[Shortname]], Comp[], 8, FALSE)</f>
        <v>0</v>
      </c>
      <c r="L897">
        <f>VLOOKUP(Table9[[#This Row],[Shortname]], Comp[], 9, FALSE)</f>
        <v>1.77</v>
      </c>
      <c r="M897">
        <f>VLOOKUP(Table9[[#This Row],[Shortname]], Comp[], 10, FALSE)</f>
        <v>0</v>
      </c>
      <c r="N897">
        <f>VLOOKUP(Table9[[#This Row],[Shortname]], Comp[], 11, FALSE)</f>
        <v>3.1</v>
      </c>
      <c r="O897">
        <f>VLOOKUP(Table9[[#This Row],[Shortname]], Comp[],12, FALSE)</f>
        <v>17.84</v>
      </c>
      <c r="P897">
        <f>VLOOKUP(Table9[[#This Row],[Shortname]], Comp[], 13, FALSE)</f>
        <v>0</v>
      </c>
      <c r="Q897">
        <f>VLOOKUP(Table9[[#This Row],[Shortname]], Comp[], 14, FALSE)</f>
        <v>0</v>
      </c>
      <c r="R897">
        <f>VLOOKUP(Table9[[#This Row],[Shortname]], Comp[], 15, FALSE)</f>
        <v>0</v>
      </c>
      <c r="S897">
        <f>VLOOKUP(Table9[[#This Row],[Shortname]], Comp[], 16, FALSE)</f>
        <v>0</v>
      </c>
      <c r="T897">
        <f>VLOOKUP(Table9[[#This Row],[Shortname]], Comp[], 17, FALSE)</f>
        <v>0</v>
      </c>
      <c r="U897">
        <f>VLOOKUP(Table9[[#This Row],[Shortname]], Comp[], 18, FALSE)</f>
        <v>0</v>
      </c>
      <c r="V897">
        <f>VLOOKUP(Table9[[#This Row],[Shortname]], Comp[], 19, FALSE)</f>
        <v>0</v>
      </c>
      <c r="W897">
        <f>VLOOKUP(Table9[[#This Row],[Shortname]], Comp[], 20, FALSE)</f>
        <v>0</v>
      </c>
      <c r="X897">
        <f>VLOOKUP(Table9[[#This Row],[Shortname]], Comp[], 21, FALSE)</f>
        <v>0</v>
      </c>
      <c r="Y897">
        <f>VLOOKUP(Table9[[#This Row],[Shortname]], Comp[], 22, FALSE)</f>
        <v>0</v>
      </c>
      <c r="Z897">
        <f>VLOOKUP(Table9[[#This Row],[Shortname]], Comp[], 23, FALSE)</f>
        <v>0</v>
      </c>
      <c r="AA897">
        <f>VLOOKUP(Table9[[#This Row],[Shortname]], Comp[], 24, FALSE)</f>
        <v>0</v>
      </c>
      <c r="AB897">
        <f>VLOOKUP(Table9[[#This Row],[Shortname]], Comp[], 25, FALSE)</f>
        <v>0</v>
      </c>
      <c r="AC897">
        <f>VLOOKUP(Table9[[#This Row],[Shortname]], Comp[], 26, FALSE)</f>
        <v>0</v>
      </c>
      <c r="AD897">
        <f>VLOOKUP(Table9[[#This Row],[Shortname]], Comp[], 27, FALSE)</f>
        <v>0</v>
      </c>
      <c r="AE897">
        <f>VLOOKUP(Table9[[#This Row],[Shortname]], Comp[], 28, FALSE)</f>
        <v>0</v>
      </c>
      <c r="AF897">
        <f>VLOOKUP(Table9[[#This Row],[Shortname]], Comp[], 29, FALSE)</f>
        <v>0</v>
      </c>
      <c r="AG897">
        <f>VLOOKUP(Table9[[#This Row],[Shortname]], Comp[], 30, FALSE)</f>
        <v>0</v>
      </c>
      <c r="AH897">
        <f>VLOOKUP(Table9[[#This Row],[Shortname]], Comp[], 31, FALSE)</f>
        <v>0</v>
      </c>
    </row>
    <row r="898" spans="1:34" x14ac:dyDescent="0.3">
      <c r="A898" t="s">
        <v>5507</v>
      </c>
      <c r="B898" t="s">
        <v>5508</v>
      </c>
      <c r="C898" t="s">
        <v>6908</v>
      </c>
      <c r="D898">
        <v>291</v>
      </c>
      <c r="E898">
        <v>900</v>
      </c>
      <c r="F898">
        <v>1E-4</v>
      </c>
      <c r="G898">
        <v>1</v>
      </c>
      <c r="H898" t="s">
        <v>6803</v>
      </c>
      <c r="I898">
        <f>VLOOKUP(Table9[[#This Row],[Shortname]], Comp[], 6, FALSE)</f>
        <v>850</v>
      </c>
      <c r="J898" s="14">
        <f>VLOOKUP(Table9[[#This Row],[Shortname]], Comp[], 7, FALSE)</f>
        <v>77.289999999999992</v>
      </c>
      <c r="K898">
        <f>VLOOKUP(Table9[[#This Row],[Shortname]], Comp[], 8, FALSE)</f>
        <v>0</v>
      </c>
      <c r="L898">
        <f>VLOOKUP(Table9[[#This Row],[Shortname]], Comp[], 9, FALSE)</f>
        <v>1.77</v>
      </c>
      <c r="M898">
        <f>VLOOKUP(Table9[[#This Row],[Shortname]], Comp[], 10, FALSE)</f>
        <v>0</v>
      </c>
      <c r="N898">
        <f>VLOOKUP(Table9[[#This Row],[Shortname]], Comp[], 11, FALSE)</f>
        <v>3.1</v>
      </c>
      <c r="O898">
        <f>VLOOKUP(Table9[[#This Row],[Shortname]], Comp[],12, FALSE)</f>
        <v>17.84</v>
      </c>
      <c r="P898">
        <f>VLOOKUP(Table9[[#This Row],[Shortname]], Comp[], 13, FALSE)</f>
        <v>0</v>
      </c>
      <c r="Q898">
        <f>VLOOKUP(Table9[[#This Row],[Shortname]], Comp[], 14, FALSE)</f>
        <v>0</v>
      </c>
      <c r="R898">
        <f>VLOOKUP(Table9[[#This Row],[Shortname]], Comp[], 15, FALSE)</f>
        <v>0</v>
      </c>
      <c r="S898">
        <f>VLOOKUP(Table9[[#This Row],[Shortname]], Comp[], 16, FALSE)</f>
        <v>0</v>
      </c>
      <c r="T898">
        <f>VLOOKUP(Table9[[#This Row],[Shortname]], Comp[], 17, FALSE)</f>
        <v>0</v>
      </c>
      <c r="U898">
        <f>VLOOKUP(Table9[[#This Row],[Shortname]], Comp[], 18, FALSE)</f>
        <v>0</v>
      </c>
      <c r="V898">
        <f>VLOOKUP(Table9[[#This Row],[Shortname]], Comp[], 19, FALSE)</f>
        <v>0</v>
      </c>
      <c r="W898">
        <f>VLOOKUP(Table9[[#This Row],[Shortname]], Comp[], 20, FALSE)</f>
        <v>0</v>
      </c>
      <c r="X898">
        <f>VLOOKUP(Table9[[#This Row],[Shortname]], Comp[], 21, FALSE)</f>
        <v>0</v>
      </c>
      <c r="Y898">
        <f>VLOOKUP(Table9[[#This Row],[Shortname]], Comp[], 22, FALSE)</f>
        <v>0</v>
      </c>
      <c r="Z898">
        <f>VLOOKUP(Table9[[#This Row],[Shortname]], Comp[], 23, FALSE)</f>
        <v>0</v>
      </c>
      <c r="AA898">
        <f>VLOOKUP(Table9[[#This Row],[Shortname]], Comp[], 24, FALSE)</f>
        <v>0</v>
      </c>
      <c r="AB898">
        <f>VLOOKUP(Table9[[#This Row],[Shortname]], Comp[], 25, FALSE)</f>
        <v>0</v>
      </c>
      <c r="AC898">
        <f>VLOOKUP(Table9[[#This Row],[Shortname]], Comp[], 26, FALSE)</f>
        <v>0</v>
      </c>
      <c r="AD898">
        <f>VLOOKUP(Table9[[#This Row],[Shortname]], Comp[], 27, FALSE)</f>
        <v>0</v>
      </c>
      <c r="AE898">
        <f>VLOOKUP(Table9[[#This Row],[Shortname]], Comp[], 28, FALSE)</f>
        <v>0</v>
      </c>
      <c r="AF898">
        <f>VLOOKUP(Table9[[#This Row],[Shortname]], Comp[], 29, FALSE)</f>
        <v>0</v>
      </c>
      <c r="AG898">
        <f>VLOOKUP(Table9[[#This Row],[Shortname]], Comp[], 30, FALSE)</f>
        <v>0</v>
      </c>
      <c r="AH898">
        <f>VLOOKUP(Table9[[#This Row],[Shortname]], Comp[], 31, FALSE)</f>
        <v>0</v>
      </c>
    </row>
    <row r="899" spans="1:34" x14ac:dyDescent="0.3">
      <c r="A899" t="s">
        <v>5507</v>
      </c>
      <c r="B899" t="s">
        <v>5508</v>
      </c>
      <c r="C899" t="s">
        <v>6909</v>
      </c>
      <c r="D899">
        <v>182</v>
      </c>
      <c r="E899">
        <v>1000</v>
      </c>
      <c r="F899">
        <v>1E-4</v>
      </c>
      <c r="G899">
        <v>1</v>
      </c>
      <c r="H899" t="s">
        <v>6803</v>
      </c>
      <c r="I899">
        <f>VLOOKUP(Table9[[#This Row],[Shortname]], Comp[], 6, FALSE)</f>
        <v>850</v>
      </c>
      <c r="J899" s="14">
        <f>VLOOKUP(Table9[[#This Row],[Shortname]], Comp[], 7, FALSE)</f>
        <v>77.289999999999992</v>
      </c>
      <c r="K899">
        <f>VLOOKUP(Table9[[#This Row],[Shortname]], Comp[], 8, FALSE)</f>
        <v>0</v>
      </c>
      <c r="L899">
        <f>VLOOKUP(Table9[[#This Row],[Shortname]], Comp[], 9, FALSE)</f>
        <v>1.77</v>
      </c>
      <c r="M899">
        <f>VLOOKUP(Table9[[#This Row],[Shortname]], Comp[], 10, FALSE)</f>
        <v>0</v>
      </c>
      <c r="N899">
        <f>VLOOKUP(Table9[[#This Row],[Shortname]], Comp[], 11, FALSE)</f>
        <v>3.1</v>
      </c>
      <c r="O899">
        <f>VLOOKUP(Table9[[#This Row],[Shortname]], Comp[],12, FALSE)</f>
        <v>17.84</v>
      </c>
      <c r="P899">
        <f>VLOOKUP(Table9[[#This Row],[Shortname]], Comp[], 13, FALSE)</f>
        <v>0</v>
      </c>
      <c r="Q899">
        <f>VLOOKUP(Table9[[#This Row],[Shortname]], Comp[], 14, FALSE)</f>
        <v>0</v>
      </c>
      <c r="R899">
        <f>VLOOKUP(Table9[[#This Row],[Shortname]], Comp[], 15, FALSE)</f>
        <v>0</v>
      </c>
      <c r="S899">
        <f>VLOOKUP(Table9[[#This Row],[Shortname]], Comp[], 16, FALSE)</f>
        <v>0</v>
      </c>
      <c r="T899">
        <f>VLOOKUP(Table9[[#This Row],[Shortname]], Comp[], 17, FALSE)</f>
        <v>0</v>
      </c>
      <c r="U899">
        <f>VLOOKUP(Table9[[#This Row],[Shortname]], Comp[], 18, FALSE)</f>
        <v>0</v>
      </c>
      <c r="V899">
        <f>VLOOKUP(Table9[[#This Row],[Shortname]], Comp[], 19, FALSE)</f>
        <v>0</v>
      </c>
      <c r="W899">
        <f>VLOOKUP(Table9[[#This Row],[Shortname]], Comp[], 20, FALSE)</f>
        <v>0</v>
      </c>
      <c r="X899">
        <f>VLOOKUP(Table9[[#This Row],[Shortname]], Comp[], 21, FALSE)</f>
        <v>0</v>
      </c>
      <c r="Y899">
        <f>VLOOKUP(Table9[[#This Row],[Shortname]], Comp[], 22, FALSE)</f>
        <v>0</v>
      </c>
      <c r="Z899">
        <f>VLOOKUP(Table9[[#This Row],[Shortname]], Comp[], 23, FALSE)</f>
        <v>0</v>
      </c>
      <c r="AA899">
        <f>VLOOKUP(Table9[[#This Row],[Shortname]], Comp[], 24, FALSE)</f>
        <v>0</v>
      </c>
      <c r="AB899">
        <f>VLOOKUP(Table9[[#This Row],[Shortname]], Comp[], 25, FALSE)</f>
        <v>0</v>
      </c>
      <c r="AC899">
        <f>VLOOKUP(Table9[[#This Row],[Shortname]], Comp[], 26, FALSE)</f>
        <v>0</v>
      </c>
      <c r="AD899">
        <f>VLOOKUP(Table9[[#This Row],[Shortname]], Comp[], 27, FALSE)</f>
        <v>0</v>
      </c>
      <c r="AE899">
        <f>VLOOKUP(Table9[[#This Row],[Shortname]], Comp[], 28, FALSE)</f>
        <v>0</v>
      </c>
      <c r="AF899">
        <f>VLOOKUP(Table9[[#This Row],[Shortname]], Comp[], 29, FALSE)</f>
        <v>0</v>
      </c>
      <c r="AG899">
        <f>VLOOKUP(Table9[[#This Row],[Shortname]], Comp[], 30, FALSE)</f>
        <v>0</v>
      </c>
      <c r="AH899">
        <f>VLOOKUP(Table9[[#This Row],[Shortname]], Comp[], 31, FALSE)</f>
        <v>0</v>
      </c>
    </row>
    <row r="900" spans="1:34" x14ac:dyDescent="0.3">
      <c r="A900" t="s">
        <v>5513</v>
      </c>
      <c r="B900" t="s">
        <v>5514</v>
      </c>
      <c r="C900" t="s">
        <v>5515</v>
      </c>
      <c r="D900">
        <v>167</v>
      </c>
      <c r="E900">
        <v>25</v>
      </c>
      <c r="F900">
        <v>1E-4</v>
      </c>
      <c r="G900">
        <v>1</v>
      </c>
      <c r="H900" t="s">
        <v>6803</v>
      </c>
      <c r="I900">
        <f>VLOOKUP(Table9[[#This Row],[Shortname]], Comp[], 6, FALSE)</f>
        <v>851</v>
      </c>
      <c r="J900" s="14">
        <f>VLOOKUP(Table9[[#This Row],[Shortname]], Comp[], 7, FALSE)</f>
        <v>77.17</v>
      </c>
      <c r="K900">
        <f>VLOOKUP(Table9[[#This Row],[Shortname]], Comp[], 8, FALSE)</f>
        <v>0</v>
      </c>
      <c r="L900">
        <f>VLOOKUP(Table9[[#This Row],[Shortname]], Comp[], 9, FALSE)</f>
        <v>0.92</v>
      </c>
      <c r="M900">
        <f>VLOOKUP(Table9[[#This Row],[Shortname]], Comp[], 10, FALSE)</f>
        <v>0</v>
      </c>
      <c r="N900">
        <f>VLOOKUP(Table9[[#This Row],[Shortname]], Comp[], 11, FALSE)</f>
        <v>1.18</v>
      </c>
      <c r="O900">
        <f>VLOOKUP(Table9[[#This Row],[Shortname]], Comp[],12, FALSE)</f>
        <v>20.73</v>
      </c>
      <c r="P900">
        <f>VLOOKUP(Table9[[#This Row],[Shortname]], Comp[], 13, FALSE)</f>
        <v>0</v>
      </c>
      <c r="Q900">
        <f>VLOOKUP(Table9[[#This Row],[Shortname]], Comp[], 14, FALSE)</f>
        <v>0</v>
      </c>
      <c r="R900">
        <f>VLOOKUP(Table9[[#This Row],[Shortname]], Comp[], 15, FALSE)</f>
        <v>0</v>
      </c>
      <c r="S900">
        <f>VLOOKUP(Table9[[#This Row],[Shortname]], Comp[], 16, FALSE)</f>
        <v>0</v>
      </c>
      <c r="T900">
        <f>VLOOKUP(Table9[[#This Row],[Shortname]], Comp[], 17, FALSE)</f>
        <v>0</v>
      </c>
      <c r="U900">
        <f>VLOOKUP(Table9[[#This Row],[Shortname]], Comp[], 18, FALSE)</f>
        <v>0</v>
      </c>
      <c r="V900">
        <f>VLOOKUP(Table9[[#This Row],[Shortname]], Comp[], 19, FALSE)</f>
        <v>0</v>
      </c>
      <c r="W900">
        <f>VLOOKUP(Table9[[#This Row],[Shortname]], Comp[], 20, FALSE)</f>
        <v>0</v>
      </c>
      <c r="X900">
        <f>VLOOKUP(Table9[[#This Row],[Shortname]], Comp[], 21, FALSE)</f>
        <v>0</v>
      </c>
      <c r="Y900">
        <f>VLOOKUP(Table9[[#This Row],[Shortname]], Comp[], 22, FALSE)</f>
        <v>0</v>
      </c>
      <c r="Z900">
        <f>VLOOKUP(Table9[[#This Row],[Shortname]], Comp[], 23, FALSE)</f>
        <v>0</v>
      </c>
      <c r="AA900">
        <f>VLOOKUP(Table9[[#This Row],[Shortname]], Comp[], 24, FALSE)</f>
        <v>0</v>
      </c>
      <c r="AB900">
        <f>VLOOKUP(Table9[[#This Row],[Shortname]], Comp[], 25, FALSE)</f>
        <v>0</v>
      </c>
      <c r="AC900">
        <f>VLOOKUP(Table9[[#This Row],[Shortname]], Comp[], 26, FALSE)</f>
        <v>0</v>
      </c>
      <c r="AD900">
        <f>VLOOKUP(Table9[[#This Row],[Shortname]], Comp[], 27, FALSE)</f>
        <v>0</v>
      </c>
      <c r="AE900">
        <f>VLOOKUP(Table9[[#This Row],[Shortname]], Comp[], 28, FALSE)</f>
        <v>0</v>
      </c>
      <c r="AF900">
        <f>VLOOKUP(Table9[[#This Row],[Shortname]], Comp[], 29, FALSE)</f>
        <v>0</v>
      </c>
      <c r="AG900">
        <f>VLOOKUP(Table9[[#This Row],[Shortname]], Comp[], 30, FALSE)</f>
        <v>0</v>
      </c>
      <c r="AH900">
        <f>VLOOKUP(Table9[[#This Row],[Shortname]], Comp[], 31, FALSE)</f>
        <v>0</v>
      </c>
    </row>
    <row r="901" spans="1:34" x14ac:dyDescent="0.3">
      <c r="A901" t="s">
        <v>5513</v>
      </c>
      <c r="B901" t="s">
        <v>5514</v>
      </c>
      <c r="C901" t="s">
        <v>6903</v>
      </c>
      <c r="D901">
        <v>166</v>
      </c>
      <c r="E901">
        <v>200</v>
      </c>
      <c r="F901">
        <v>1E-4</v>
      </c>
      <c r="G901">
        <v>1</v>
      </c>
      <c r="H901" t="s">
        <v>6803</v>
      </c>
      <c r="I901">
        <f>VLOOKUP(Table9[[#This Row],[Shortname]], Comp[], 6, FALSE)</f>
        <v>851</v>
      </c>
      <c r="J901" s="14">
        <f>VLOOKUP(Table9[[#This Row],[Shortname]], Comp[], 7, FALSE)</f>
        <v>77.17</v>
      </c>
      <c r="K901">
        <f>VLOOKUP(Table9[[#This Row],[Shortname]], Comp[], 8, FALSE)</f>
        <v>0</v>
      </c>
      <c r="L901">
        <f>VLOOKUP(Table9[[#This Row],[Shortname]], Comp[], 9, FALSE)</f>
        <v>0.92</v>
      </c>
      <c r="M901">
        <f>VLOOKUP(Table9[[#This Row],[Shortname]], Comp[], 10, FALSE)</f>
        <v>0</v>
      </c>
      <c r="N901">
        <f>VLOOKUP(Table9[[#This Row],[Shortname]], Comp[], 11, FALSE)</f>
        <v>1.18</v>
      </c>
      <c r="O901">
        <f>VLOOKUP(Table9[[#This Row],[Shortname]], Comp[],12, FALSE)</f>
        <v>20.73</v>
      </c>
      <c r="P901">
        <f>VLOOKUP(Table9[[#This Row],[Shortname]], Comp[], 13, FALSE)</f>
        <v>0</v>
      </c>
      <c r="Q901">
        <f>VLOOKUP(Table9[[#This Row],[Shortname]], Comp[], 14, FALSE)</f>
        <v>0</v>
      </c>
      <c r="R901">
        <f>VLOOKUP(Table9[[#This Row],[Shortname]], Comp[], 15, FALSE)</f>
        <v>0</v>
      </c>
      <c r="S901">
        <f>VLOOKUP(Table9[[#This Row],[Shortname]], Comp[], 16, FALSE)</f>
        <v>0</v>
      </c>
      <c r="T901">
        <f>VLOOKUP(Table9[[#This Row],[Shortname]], Comp[], 17, FALSE)</f>
        <v>0</v>
      </c>
      <c r="U901">
        <f>VLOOKUP(Table9[[#This Row],[Shortname]], Comp[], 18, FALSE)</f>
        <v>0</v>
      </c>
      <c r="V901">
        <f>VLOOKUP(Table9[[#This Row],[Shortname]], Comp[], 19, FALSE)</f>
        <v>0</v>
      </c>
      <c r="W901">
        <f>VLOOKUP(Table9[[#This Row],[Shortname]], Comp[], 20, FALSE)</f>
        <v>0</v>
      </c>
      <c r="X901">
        <f>VLOOKUP(Table9[[#This Row],[Shortname]], Comp[], 21, FALSE)</f>
        <v>0</v>
      </c>
      <c r="Y901">
        <f>VLOOKUP(Table9[[#This Row],[Shortname]], Comp[], 22, FALSE)</f>
        <v>0</v>
      </c>
      <c r="Z901">
        <f>VLOOKUP(Table9[[#This Row],[Shortname]], Comp[], 23, FALSE)</f>
        <v>0</v>
      </c>
      <c r="AA901">
        <f>VLOOKUP(Table9[[#This Row],[Shortname]], Comp[], 24, FALSE)</f>
        <v>0</v>
      </c>
      <c r="AB901">
        <f>VLOOKUP(Table9[[#This Row],[Shortname]], Comp[], 25, FALSE)</f>
        <v>0</v>
      </c>
      <c r="AC901">
        <f>VLOOKUP(Table9[[#This Row],[Shortname]], Comp[], 26, FALSE)</f>
        <v>0</v>
      </c>
      <c r="AD901">
        <f>VLOOKUP(Table9[[#This Row],[Shortname]], Comp[], 27, FALSE)</f>
        <v>0</v>
      </c>
      <c r="AE901">
        <f>VLOOKUP(Table9[[#This Row],[Shortname]], Comp[], 28, FALSE)</f>
        <v>0</v>
      </c>
      <c r="AF901">
        <f>VLOOKUP(Table9[[#This Row],[Shortname]], Comp[], 29, FALSE)</f>
        <v>0</v>
      </c>
      <c r="AG901">
        <f>VLOOKUP(Table9[[#This Row],[Shortname]], Comp[], 30, FALSE)</f>
        <v>0</v>
      </c>
      <c r="AH901">
        <f>VLOOKUP(Table9[[#This Row],[Shortname]], Comp[], 31, FALSE)</f>
        <v>0</v>
      </c>
    </row>
    <row r="902" spans="1:34" x14ac:dyDescent="0.3">
      <c r="A902" t="s">
        <v>5513</v>
      </c>
      <c r="B902" t="s">
        <v>5514</v>
      </c>
      <c r="C902" t="s">
        <v>6904</v>
      </c>
      <c r="D902">
        <v>187</v>
      </c>
      <c r="E902">
        <v>400</v>
      </c>
      <c r="F902">
        <v>1E-4</v>
      </c>
      <c r="G902">
        <v>1</v>
      </c>
      <c r="H902" t="s">
        <v>6803</v>
      </c>
      <c r="I902">
        <f>VLOOKUP(Table9[[#This Row],[Shortname]], Comp[], 6, FALSE)</f>
        <v>851</v>
      </c>
      <c r="J902" s="14">
        <f>VLOOKUP(Table9[[#This Row],[Shortname]], Comp[], 7, FALSE)</f>
        <v>77.17</v>
      </c>
      <c r="K902">
        <f>VLOOKUP(Table9[[#This Row],[Shortname]], Comp[], 8, FALSE)</f>
        <v>0</v>
      </c>
      <c r="L902">
        <f>VLOOKUP(Table9[[#This Row],[Shortname]], Comp[], 9, FALSE)</f>
        <v>0.92</v>
      </c>
      <c r="M902">
        <f>VLOOKUP(Table9[[#This Row],[Shortname]], Comp[], 10, FALSE)</f>
        <v>0</v>
      </c>
      <c r="N902">
        <f>VLOOKUP(Table9[[#This Row],[Shortname]], Comp[], 11, FALSE)</f>
        <v>1.18</v>
      </c>
      <c r="O902">
        <f>VLOOKUP(Table9[[#This Row],[Shortname]], Comp[],12, FALSE)</f>
        <v>20.73</v>
      </c>
      <c r="P902">
        <f>VLOOKUP(Table9[[#This Row],[Shortname]], Comp[], 13, FALSE)</f>
        <v>0</v>
      </c>
      <c r="Q902">
        <f>VLOOKUP(Table9[[#This Row],[Shortname]], Comp[], 14, FALSE)</f>
        <v>0</v>
      </c>
      <c r="R902">
        <f>VLOOKUP(Table9[[#This Row],[Shortname]], Comp[], 15, FALSE)</f>
        <v>0</v>
      </c>
      <c r="S902">
        <f>VLOOKUP(Table9[[#This Row],[Shortname]], Comp[], 16, FALSE)</f>
        <v>0</v>
      </c>
      <c r="T902">
        <f>VLOOKUP(Table9[[#This Row],[Shortname]], Comp[], 17, FALSE)</f>
        <v>0</v>
      </c>
      <c r="U902">
        <f>VLOOKUP(Table9[[#This Row],[Shortname]], Comp[], 18, FALSE)</f>
        <v>0</v>
      </c>
      <c r="V902">
        <f>VLOOKUP(Table9[[#This Row],[Shortname]], Comp[], 19, FALSE)</f>
        <v>0</v>
      </c>
      <c r="W902">
        <f>VLOOKUP(Table9[[#This Row],[Shortname]], Comp[], 20, FALSE)</f>
        <v>0</v>
      </c>
      <c r="X902">
        <f>VLOOKUP(Table9[[#This Row],[Shortname]], Comp[], 21, FALSE)</f>
        <v>0</v>
      </c>
      <c r="Y902">
        <f>VLOOKUP(Table9[[#This Row],[Shortname]], Comp[], 22, FALSE)</f>
        <v>0</v>
      </c>
      <c r="Z902">
        <f>VLOOKUP(Table9[[#This Row],[Shortname]], Comp[], 23, FALSE)</f>
        <v>0</v>
      </c>
      <c r="AA902">
        <f>VLOOKUP(Table9[[#This Row],[Shortname]], Comp[], 24, FALSE)</f>
        <v>0</v>
      </c>
      <c r="AB902">
        <f>VLOOKUP(Table9[[#This Row],[Shortname]], Comp[], 25, FALSE)</f>
        <v>0</v>
      </c>
      <c r="AC902">
        <f>VLOOKUP(Table9[[#This Row],[Shortname]], Comp[], 26, FALSE)</f>
        <v>0</v>
      </c>
      <c r="AD902">
        <f>VLOOKUP(Table9[[#This Row],[Shortname]], Comp[], 27, FALSE)</f>
        <v>0</v>
      </c>
      <c r="AE902">
        <f>VLOOKUP(Table9[[#This Row],[Shortname]], Comp[], 28, FALSE)</f>
        <v>0</v>
      </c>
      <c r="AF902">
        <f>VLOOKUP(Table9[[#This Row],[Shortname]], Comp[], 29, FALSE)</f>
        <v>0</v>
      </c>
      <c r="AG902">
        <f>VLOOKUP(Table9[[#This Row],[Shortname]], Comp[], 30, FALSE)</f>
        <v>0</v>
      </c>
      <c r="AH902">
        <f>VLOOKUP(Table9[[#This Row],[Shortname]], Comp[], 31, FALSE)</f>
        <v>0</v>
      </c>
    </row>
    <row r="903" spans="1:34" x14ac:dyDescent="0.3">
      <c r="A903" t="s">
        <v>5513</v>
      </c>
      <c r="B903" t="s">
        <v>5514</v>
      </c>
      <c r="C903" t="s">
        <v>6905</v>
      </c>
      <c r="D903">
        <v>217</v>
      </c>
      <c r="E903">
        <v>500</v>
      </c>
      <c r="F903">
        <v>1E-4</v>
      </c>
      <c r="G903">
        <v>1</v>
      </c>
      <c r="H903" t="s">
        <v>6803</v>
      </c>
      <c r="I903">
        <f>VLOOKUP(Table9[[#This Row],[Shortname]], Comp[], 6, FALSE)</f>
        <v>851</v>
      </c>
      <c r="J903" s="14">
        <f>VLOOKUP(Table9[[#This Row],[Shortname]], Comp[], 7, FALSE)</f>
        <v>77.17</v>
      </c>
      <c r="K903">
        <f>VLOOKUP(Table9[[#This Row],[Shortname]], Comp[], 8, FALSE)</f>
        <v>0</v>
      </c>
      <c r="L903">
        <f>VLOOKUP(Table9[[#This Row],[Shortname]], Comp[], 9, FALSE)</f>
        <v>0.92</v>
      </c>
      <c r="M903">
        <f>VLOOKUP(Table9[[#This Row],[Shortname]], Comp[], 10, FALSE)</f>
        <v>0</v>
      </c>
      <c r="N903">
        <f>VLOOKUP(Table9[[#This Row],[Shortname]], Comp[], 11, FALSE)</f>
        <v>1.18</v>
      </c>
      <c r="O903">
        <f>VLOOKUP(Table9[[#This Row],[Shortname]], Comp[],12, FALSE)</f>
        <v>20.73</v>
      </c>
      <c r="P903">
        <f>VLOOKUP(Table9[[#This Row],[Shortname]], Comp[], 13, FALSE)</f>
        <v>0</v>
      </c>
      <c r="Q903">
        <f>VLOOKUP(Table9[[#This Row],[Shortname]], Comp[], 14, FALSE)</f>
        <v>0</v>
      </c>
      <c r="R903">
        <f>VLOOKUP(Table9[[#This Row],[Shortname]], Comp[], 15, FALSE)</f>
        <v>0</v>
      </c>
      <c r="S903">
        <f>VLOOKUP(Table9[[#This Row],[Shortname]], Comp[], 16, FALSE)</f>
        <v>0</v>
      </c>
      <c r="T903">
        <f>VLOOKUP(Table9[[#This Row],[Shortname]], Comp[], 17, FALSE)</f>
        <v>0</v>
      </c>
      <c r="U903">
        <f>VLOOKUP(Table9[[#This Row],[Shortname]], Comp[], 18, FALSE)</f>
        <v>0</v>
      </c>
      <c r="V903">
        <f>VLOOKUP(Table9[[#This Row],[Shortname]], Comp[], 19, FALSE)</f>
        <v>0</v>
      </c>
      <c r="W903">
        <f>VLOOKUP(Table9[[#This Row],[Shortname]], Comp[], 20, FALSE)</f>
        <v>0</v>
      </c>
      <c r="X903">
        <f>VLOOKUP(Table9[[#This Row],[Shortname]], Comp[], 21, FALSE)</f>
        <v>0</v>
      </c>
      <c r="Y903">
        <f>VLOOKUP(Table9[[#This Row],[Shortname]], Comp[], 22, FALSE)</f>
        <v>0</v>
      </c>
      <c r="Z903">
        <f>VLOOKUP(Table9[[#This Row],[Shortname]], Comp[], 23, FALSE)</f>
        <v>0</v>
      </c>
      <c r="AA903">
        <f>VLOOKUP(Table9[[#This Row],[Shortname]], Comp[], 24, FALSE)</f>
        <v>0</v>
      </c>
      <c r="AB903">
        <f>VLOOKUP(Table9[[#This Row],[Shortname]], Comp[], 25, FALSE)</f>
        <v>0</v>
      </c>
      <c r="AC903">
        <f>VLOOKUP(Table9[[#This Row],[Shortname]], Comp[], 26, FALSE)</f>
        <v>0</v>
      </c>
      <c r="AD903">
        <f>VLOOKUP(Table9[[#This Row],[Shortname]], Comp[], 27, FALSE)</f>
        <v>0</v>
      </c>
      <c r="AE903">
        <f>VLOOKUP(Table9[[#This Row],[Shortname]], Comp[], 28, FALSE)</f>
        <v>0</v>
      </c>
      <c r="AF903">
        <f>VLOOKUP(Table9[[#This Row],[Shortname]], Comp[], 29, FALSE)</f>
        <v>0</v>
      </c>
      <c r="AG903">
        <f>VLOOKUP(Table9[[#This Row],[Shortname]], Comp[], 30, FALSE)</f>
        <v>0</v>
      </c>
      <c r="AH903">
        <f>VLOOKUP(Table9[[#This Row],[Shortname]], Comp[], 31, FALSE)</f>
        <v>0</v>
      </c>
    </row>
    <row r="904" spans="1:34" x14ac:dyDescent="0.3">
      <c r="A904" t="s">
        <v>5513</v>
      </c>
      <c r="B904" t="s">
        <v>5514</v>
      </c>
      <c r="C904" t="s">
        <v>6906</v>
      </c>
      <c r="D904">
        <v>297</v>
      </c>
      <c r="E904">
        <v>600</v>
      </c>
      <c r="F904">
        <v>1E-4</v>
      </c>
      <c r="G904">
        <v>1</v>
      </c>
      <c r="H904" t="s">
        <v>6803</v>
      </c>
      <c r="I904">
        <f>VLOOKUP(Table9[[#This Row],[Shortname]], Comp[], 6, FALSE)</f>
        <v>851</v>
      </c>
      <c r="J904" s="14">
        <f>VLOOKUP(Table9[[#This Row],[Shortname]], Comp[], 7, FALSE)</f>
        <v>77.17</v>
      </c>
      <c r="K904">
        <f>VLOOKUP(Table9[[#This Row],[Shortname]], Comp[], 8, FALSE)</f>
        <v>0</v>
      </c>
      <c r="L904">
        <f>VLOOKUP(Table9[[#This Row],[Shortname]], Comp[], 9, FALSE)</f>
        <v>0.92</v>
      </c>
      <c r="M904">
        <f>VLOOKUP(Table9[[#This Row],[Shortname]], Comp[], 10, FALSE)</f>
        <v>0</v>
      </c>
      <c r="N904">
        <f>VLOOKUP(Table9[[#This Row],[Shortname]], Comp[], 11, FALSE)</f>
        <v>1.18</v>
      </c>
      <c r="O904">
        <f>VLOOKUP(Table9[[#This Row],[Shortname]], Comp[],12, FALSE)</f>
        <v>20.73</v>
      </c>
      <c r="P904">
        <f>VLOOKUP(Table9[[#This Row],[Shortname]], Comp[], 13, FALSE)</f>
        <v>0</v>
      </c>
      <c r="Q904">
        <f>VLOOKUP(Table9[[#This Row],[Shortname]], Comp[], 14, FALSE)</f>
        <v>0</v>
      </c>
      <c r="R904">
        <f>VLOOKUP(Table9[[#This Row],[Shortname]], Comp[], 15, FALSE)</f>
        <v>0</v>
      </c>
      <c r="S904">
        <f>VLOOKUP(Table9[[#This Row],[Shortname]], Comp[], 16, FALSE)</f>
        <v>0</v>
      </c>
      <c r="T904">
        <f>VLOOKUP(Table9[[#This Row],[Shortname]], Comp[], 17, FALSE)</f>
        <v>0</v>
      </c>
      <c r="U904">
        <f>VLOOKUP(Table9[[#This Row],[Shortname]], Comp[], 18, FALSE)</f>
        <v>0</v>
      </c>
      <c r="V904">
        <f>VLOOKUP(Table9[[#This Row],[Shortname]], Comp[], 19, FALSE)</f>
        <v>0</v>
      </c>
      <c r="W904">
        <f>VLOOKUP(Table9[[#This Row],[Shortname]], Comp[], 20, FALSE)</f>
        <v>0</v>
      </c>
      <c r="X904">
        <f>VLOOKUP(Table9[[#This Row],[Shortname]], Comp[], 21, FALSE)</f>
        <v>0</v>
      </c>
      <c r="Y904">
        <f>VLOOKUP(Table9[[#This Row],[Shortname]], Comp[], 22, FALSE)</f>
        <v>0</v>
      </c>
      <c r="Z904">
        <f>VLOOKUP(Table9[[#This Row],[Shortname]], Comp[], 23, FALSE)</f>
        <v>0</v>
      </c>
      <c r="AA904">
        <f>VLOOKUP(Table9[[#This Row],[Shortname]], Comp[], 24, FALSE)</f>
        <v>0</v>
      </c>
      <c r="AB904">
        <f>VLOOKUP(Table9[[#This Row],[Shortname]], Comp[], 25, FALSE)</f>
        <v>0</v>
      </c>
      <c r="AC904">
        <f>VLOOKUP(Table9[[#This Row],[Shortname]], Comp[], 26, FALSE)</f>
        <v>0</v>
      </c>
      <c r="AD904">
        <f>VLOOKUP(Table9[[#This Row],[Shortname]], Comp[], 27, FALSE)</f>
        <v>0</v>
      </c>
      <c r="AE904">
        <f>VLOOKUP(Table9[[#This Row],[Shortname]], Comp[], 28, FALSE)</f>
        <v>0</v>
      </c>
      <c r="AF904">
        <f>VLOOKUP(Table9[[#This Row],[Shortname]], Comp[], 29, FALSE)</f>
        <v>0</v>
      </c>
      <c r="AG904">
        <f>VLOOKUP(Table9[[#This Row],[Shortname]], Comp[], 30, FALSE)</f>
        <v>0</v>
      </c>
      <c r="AH904">
        <f>VLOOKUP(Table9[[#This Row],[Shortname]], Comp[], 31, FALSE)</f>
        <v>0</v>
      </c>
    </row>
    <row r="905" spans="1:34" x14ac:dyDescent="0.3">
      <c r="A905" t="s">
        <v>5513</v>
      </c>
      <c r="B905" t="s">
        <v>5514</v>
      </c>
      <c r="C905" t="s">
        <v>6907</v>
      </c>
      <c r="D905">
        <v>376</v>
      </c>
      <c r="E905">
        <v>700</v>
      </c>
      <c r="F905">
        <v>1E-4</v>
      </c>
      <c r="G905">
        <v>1</v>
      </c>
      <c r="H905" t="s">
        <v>6803</v>
      </c>
      <c r="I905">
        <f>VLOOKUP(Table9[[#This Row],[Shortname]], Comp[], 6, FALSE)</f>
        <v>851</v>
      </c>
      <c r="J905" s="14">
        <f>VLOOKUP(Table9[[#This Row],[Shortname]], Comp[], 7, FALSE)</f>
        <v>77.17</v>
      </c>
      <c r="K905">
        <f>VLOOKUP(Table9[[#This Row],[Shortname]], Comp[], 8, FALSE)</f>
        <v>0</v>
      </c>
      <c r="L905">
        <f>VLOOKUP(Table9[[#This Row],[Shortname]], Comp[], 9, FALSE)</f>
        <v>0.92</v>
      </c>
      <c r="M905">
        <f>VLOOKUP(Table9[[#This Row],[Shortname]], Comp[], 10, FALSE)</f>
        <v>0</v>
      </c>
      <c r="N905">
        <f>VLOOKUP(Table9[[#This Row],[Shortname]], Comp[], 11, FALSE)</f>
        <v>1.18</v>
      </c>
      <c r="O905">
        <f>VLOOKUP(Table9[[#This Row],[Shortname]], Comp[],12, FALSE)</f>
        <v>20.73</v>
      </c>
      <c r="P905">
        <f>VLOOKUP(Table9[[#This Row],[Shortname]], Comp[], 13, FALSE)</f>
        <v>0</v>
      </c>
      <c r="Q905">
        <f>VLOOKUP(Table9[[#This Row],[Shortname]], Comp[], 14, FALSE)</f>
        <v>0</v>
      </c>
      <c r="R905">
        <f>VLOOKUP(Table9[[#This Row],[Shortname]], Comp[], 15, FALSE)</f>
        <v>0</v>
      </c>
      <c r="S905">
        <f>VLOOKUP(Table9[[#This Row],[Shortname]], Comp[], 16, FALSE)</f>
        <v>0</v>
      </c>
      <c r="T905">
        <f>VLOOKUP(Table9[[#This Row],[Shortname]], Comp[], 17, FALSE)</f>
        <v>0</v>
      </c>
      <c r="U905">
        <f>VLOOKUP(Table9[[#This Row],[Shortname]], Comp[], 18, FALSE)</f>
        <v>0</v>
      </c>
      <c r="V905">
        <f>VLOOKUP(Table9[[#This Row],[Shortname]], Comp[], 19, FALSE)</f>
        <v>0</v>
      </c>
      <c r="W905">
        <f>VLOOKUP(Table9[[#This Row],[Shortname]], Comp[], 20, FALSE)</f>
        <v>0</v>
      </c>
      <c r="X905">
        <f>VLOOKUP(Table9[[#This Row],[Shortname]], Comp[], 21, FALSE)</f>
        <v>0</v>
      </c>
      <c r="Y905">
        <f>VLOOKUP(Table9[[#This Row],[Shortname]], Comp[], 22, FALSE)</f>
        <v>0</v>
      </c>
      <c r="Z905">
        <f>VLOOKUP(Table9[[#This Row],[Shortname]], Comp[], 23, FALSE)</f>
        <v>0</v>
      </c>
      <c r="AA905">
        <f>VLOOKUP(Table9[[#This Row],[Shortname]], Comp[], 24, FALSE)</f>
        <v>0</v>
      </c>
      <c r="AB905">
        <f>VLOOKUP(Table9[[#This Row],[Shortname]], Comp[], 25, FALSE)</f>
        <v>0</v>
      </c>
      <c r="AC905">
        <f>VLOOKUP(Table9[[#This Row],[Shortname]], Comp[], 26, FALSE)</f>
        <v>0</v>
      </c>
      <c r="AD905">
        <f>VLOOKUP(Table9[[#This Row],[Shortname]], Comp[], 27, FALSE)</f>
        <v>0</v>
      </c>
      <c r="AE905">
        <f>VLOOKUP(Table9[[#This Row],[Shortname]], Comp[], 28, FALSE)</f>
        <v>0</v>
      </c>
      <c r="AF905">
        <f>VLOOKUP(Table9[[#This Row],[Shortname]], Comp[], 29, FALSE)</f>
        <v>0</v>
      </c>
      <c r="AG905">
        <f>VLOOKUP(Table9[[#This Row],[Shortname]], Comp[], 30, FALSE)</f>
        <v>0</v>
      </c>
      <c r="AH905">
        <f>VLOOKUP(Table9[[#This Row],[Shortname]], Comp[], 31, FALSE)</f>
        <v>0</v>
      </c>
    </row>
    <row r="906" spans="1:34" x14ac:dyDescent="0.3">
      <c r="A906" t="s">
        <v>5513</v>
      </c>
      <c r="B906" t="s">
        <v>5514</v>
      </c>
      <c r="C906" t="s">
        <v>6908</v>
      </c>
      <c r="D906">
        <v>403</v>
      </c>
      <c r="E906">
        <v>800</v>
      </c>
      <c r="F906">
        <v>1E-4</v>
      </c>
      <c r="G906">
        <v>1</v>
      </c>
      <c r="H906" t="s">
        <v>6803</v>
      </c>
      <c r="I906">
        <f>VLOOKUP(Table9[[#This Row],[Shortname]], Comp[], 6, FALSE)</f>
        <v>851</v>
      </c>
      <c r="J906" s="14">
        <f>VLOOKUP(Table9[[#This Row],[Shortname]], Comp[], 7, FALSE)</f>
        <v>77.17</v>
      </c>
      <c r="K906">
        <f>VLOOKUP(Table9[[#This Row],[Shortname]], Comp[], 8, FALSE)</f>
        <v>0</v>
      </c>
      <c r="L906">
        <f>VLOOKUP(Table9[[#This Row],[Shortname]], Comp[], 9, FALSE)</f>
        <v>0.92</v>
      </c>
      <c r="M906">
        <f>VLOOKUP(Table9[[#This Row],[Shortname]], Comp[], 10, FALSE)</f>
        <v>0</v>
      </c>
      <c r="N906">
        <f>VLOOKUP(Table9[[#This Row],[Shortname]], Comp[], 11, FALSE)</f>
        <v>1.18</v>
      </c>
      <c r="O906">
        <f>VLOOKUP(Table9[[#This Row],[Shortname]], Comp[],12, FALSE)</f>
        <v>20.73</v>
      </c>
      <c r="P906">
        <f>VLOOKUP(Table9[[#This Row],[Shortname]], Comp[], 13, FALSE)</f>
        <v>0</v>
      </c>
      <c r="Q906">
        <f>VLOOKUP(Table9[[#This Row],[Shortname]], Comp[], 14, FALSE)</f>
        <v>0</v>
      </c>
      <c r="R906">
        <f>VLOOKUP(Table9[[#This Row],[Shortname]], Comp[], 15, FALSE)</f>
        <v>0</v>
      </c>
      <c r="S906">
        <f>VLOOKUP(Table9[[#This Row],[Shortname]], Comp[], 16, FALSE)</f>
        <v>0</v>
      </c>
      <c r="T906">
        <f>VLOOKUP(Table9[[#This Row],[Shortname]], Comp[], 17, FALSE)</f>
        <v>0</v>
      </c>
      <c r="U906">
        <f>VLOOKUP(Table9[[#This Row],[Shortname]], Comp[], 18, FALSE)</f>
        <v>0</v>
      </c>
      <c r="V906">
        <f>VLOOKUP(Table9[[#This Row],[Shortname]], Comp[], 19, FALSE)</f>
        <v>0</v>
      </c>
      <c r="W906">
        <f>VLOOKUP(Table9[[#This Row],[Shortname]], Comp[], 20, FALSE)</f>
        <v>0</v>
      </c>
      <c r="X906">
        <f>VLOOKUP(Table9[[#This Row],[Shortname]], Comp[], 21, FALSE)</f>
        <v>0</v>
      </c>
      <c r="Y906">
        <f>VLOOKUP(Table9[[#This Row],[Shortname]], Comp[], 22, FALSE)</f>
        <v>0</v>
      </c>
      <c r="Z906">
        <f>VLOOKUP(Table9[[#This Row],[Shortname]], Comp[], 23, FALSE)</f>
        <v>0</v>
      </c>
      <c r="AA906">
        <f>VLOOKUP(Table9[[#This Row],[Shortname]], Comp[], 24, FALSE)</f>
        <v>0</v>
      </c>
      <c r="AB906">
        <f>VLOOKUP(Table9[[#This Row],[Shortname]], Comp[], 25, FALSE)</f>
        <v>0</v>
      </c>
      <c r="AC906">
        <f>VLOOKUP(Table9[[#This Row],[Shortname]], Comp[], 26, FALSE)</f>
        <v>0</v>
      </c>
      <c r="AD906">
        <f>VLOOKUP(Table9[[#This Row],[Shortname]], Comp[], 27, FALSE)</f>
        <v>0</v>
      </c>
      <c r="AE906">
        <f>VLOOKUP(Table9[[#This Row],[Shortname]], Comp[], 28, FALSE)</f>
        <v>0</v>
      </c>
      <c r="AF906">
        <f>VLOOKUP(Table9[[#This Row],[Shortname]], Comp[], 29, FALSE)</f>
        <v>0</v>
      </c>
      <c r="AG906">
        <f>VLOOKUP(Table9[[#This Row],[Shortname]], Comp[], 30, FALSE)</f>
        <v>0</v>
      </c>
      <c r="AH906">
        <f>VLOOKUP(Table9[[#This Row],[Shortname]], Comp[], 31, FALSE)</f>
        <v>0</v>
      </c>
    </row>
    <row r="907" spans="1:34" x14ac:dyDescent="0.3">
      <c r="A907" t="s">
        <v>5513</v>
      </c>
      <c r="B907" t="s">
        <v>5514</v>
      </c>
      <c r="C907" t="s">
        <v>6909</v>
      </c>
      <c r="D907">
        <v>300</v>
      </c>
      <c r="E907">
        <v>900</v>
      </c>
      <c r="F907">
        <v>1E-4</v>
      </c>
      <c r="G907">
        <v>1</v>
      </c>
      <c r="H907" t="s">
        <v>6803</v>
      </c>
      <c r="I907">
        <f>VLOOKUP(Table9[[#This Row],[Shortname]], Comp[], 6, FALSE)</f>
        <v>851</v>
      </c>
      <c r="J907" s="14">
        <f>VLOOKUP(Table9[[#This Row],[Shortname]], Comp[], 7, FALSE)</f>
        <v>77.17</v>
      </c>
      <c r="K907">
        <f>VLOOKUP(Table9[[#This Row],[Shortname]], Comp[], 8, FALSE)</f>
        <v>0</v>
      </c>
      <c r="L907">
        <f>VLOOKUP(Table9[[#This Row],[Shortname]], Comp[], 9, FALSE)</f>
        <v>0.92</v>
      </c>
      <c r="M907">
        <f>VLOOKUP(Table9[[#This Row],[Shortname]], Comp[], 10, FALSE)</f>
        <v>0</v>
      </c>
      <c r="N907">
        <f>VLOOKUP(Table9[[#This Row],[Shortname]], Comp[], 11, FALSE)</f>
        <v>1.18</v>
      </c>
      <c r="O907">
        <f>VLOOKUP(Table9[[#This Row],[Shortname]], Comp[],12, FALSE)</f>
        <v>20.73</v>
      </c>
      <c r="P907">
        <f>VLOOKUP(Table9[[#This Row],[Shortname]], Comp[], 13, FALSE)</f>
        <v>0</v>
      </c>
      <c r="Q907">
        <f>VLOOKUP(Table9[[#This Row],[Shortname]], Comp[], 14, FALSE)</f>
        <v>0</v>
      </c>
      <c r="R907">
        <f>VLOOKUP(Table9[[#This Row],[Shortname]], Comp[], 15, FALSE)</f>
        <v>0</v>
      </c>
      <c r="S907">
        <f>VLOOKUP(Table9[[#This Row],[Shortname]], Comp[], 16, FALSE)</f>
        <v>0</v>
      </c>
      <c r="T907">
        <f>VLOOKUP(Table9[[#This Row],[Shortname]], Comp[], 17, FALSE)</f>
        <v>0</v>
      </c>
      <c r="U907">
        <f>VLOOKUP(Table9[[#This Row],[Shortname]], Comp[], 18, FALSE)</f>
        <v>0</v>
      </c>
      <c r="V907">
        <f>VLOOKUP(Table9[[#This Row],[Shortname]], Comp[], 19, FALSE)</f>
        <v>0</v>
      </c>
      <c r="W907">
        <f>VLOOKUP(Table9[[#This Row],[Shortname]], Comp[], 20, FALSE)</f>
        <v>0</v>
      </c>
      <c r="X907">
        <f>VLOOKUP(Table9[[#This Row],[Shortname]], Comp[], 21, FALSE)</f>
        <v>0</v>
      </c>
      <c r="Y907">
        <f>VLOOKUP(Table9[[#This Row],[Shortname]], Comp[], 22, FALSE)</f>
        <v>0</v>
      </c>
      <c r="Z907">
        <f>VLOOKUP(Table9[[#This Row],[Shortname]], Comp[], 23, FALSE)</f>
        <v>0</v>
      </c>
      <c r="AA907">
        <f>VLOOKUP(Table9[[#This Row],[Shortname]], Comp[], 24, FALSE)</f>
        <v>0</v>
      </c>
      <c r="AB907">
        <f>VLOOKUP(Table9[[#This Row],[Shortname]], Comp[], 25, FALSE)</f>
        <v>0</v>
      </c>
      <c r="AC907">
        <f>VLOOKUP(Table9[[#This Row],[Shortname]], Comp[], 26, FALSE)</f>
        <v>0</v>
      </c>
      <c r="AD907">
        <f>VLOOKUP(Table9[[#This Row],[Shortname]], Comp[], 27, FALSE)</f>
        <v>0</v>
      </c>
      <c r="AE907">
        <f>VLOOKUP(Table9[[#This Row],[Shortname]], Comp[], 28, FALSE)</f>
        <v>0</v>
      </c>
      <c r="AF907">
        <f>VLOOKUP(Table9[[#This Row],[Shortname]], Comp[], 29, FALSE)</f>
        <v>0</v>
      </c>
      <c r="AG907">
        <f>VLOOKUP(Table9[[#This Row],[Shortname]], Comp[], 30, FALSE)</f>
        <v>0</v>
      </c>
      <c r="AH907">
        <f>VLOOKUP(Table9[[#This Row],[Shortname]], Comp[], 31, FALSE)</f>
        <v>0</v>
      </c>
    </row>
    <row r="908" spans="1:34" x14ac:dyDescent="0.3">
      <c r="A908" t="s">
        <v>5513</v>
      </c>
      <c r="B908" t="s">
        <v>5514</v>
      </c>
      <c r="C908" t="s">
        <v>6910</v>
      </c>
      <c r="D908">
        <v>271</v>
      </c>
      <c r="E908">
        <v>1000</v>
      </c>
      <c r="F908">
        <v>1E-4</v>
      </c>
      <c r="G908">
        <v>1</v>
      </c>
      <c r="H908" t="s">
        <v>6803</v>
      </c>
      <c r="I908">
        <f>VLOOKUP(Table9[[#This Row],[Shortname]], Comp[], 6, FALSE)</f>
        <v>851</v>
      </c>
      <c r="J908" s="14">
        <f>VLOOKUP(Table9[[#This Row],[Shortname]], Comp[], 7, FALSE)</f>
        <v>77.17</v>
      </c>
      <c r="K908">
        <f>VLOOKUP(Table9[[#This Row],[Shortname]], Comp[], 8, FALSE)</f>
        <v>0</v>
      </c>
      <c r="L908">
        <f>VLOOKUP(Table9[[#This Row],[Shortname]], Comp[], 9, FALSE)</f>
        <v>0.92</v>
      </c>
      <c r="M908">
        <f>VLOOKUP(Table9[[#This Row],[Shortname]], Comp[], 10, FALSE)</f>
        <v>0</v>
      </c>
      <c r="N908">
        <f>VLOOKUP(Table9[[#This Row],[Shortname]], Comp[], 11, FALSE)</f>
        <v>1.18</v>
      </c>
      <c r="O908">
        <f>VLOOKUP(Table9[[#This Row],[Shortname]], Comp[],12, FALSE)</f>
        <v>20.73</v>
      </c>
      <c r="P908">
        <f>VLOOKUP(Table9[[#This Row],[Shortname]], Comp[], 13, FALSE)</f>
        <v>0</v>
      </c>
      <c r="Q908">
        <f>VLOOKUP(Table9[[#This Row],[Shortname]], Comp[], 14, FALSE)</f>
        <v>0</v>
      </c>
      <c r="R908">
        <f>VLOOKUP(Table9[[#This Row],[Shortname]], Comp[], 15, FALSE)</f>
        <v>0</v>
      </c>
      <c r="S908">
        <f>VLOOKUP(Table9[[#This Row],[Shortname]], Comp[], 16, FALSE)</f>
        <v>0</v>
      </c>
      <c r="T908">
        <f>VLOOKUP(Table9[[#This Row],[Shortname]], Comp[], 17, FALSE)</f>
        <v>0</v>
      </c>
      <c r="U908">
        <f>VLOOKUP(Table9[[#This Row],[Shortname]], Comp[], 18, FALSE)</f>
        <v>0</v>
      </c>
      <c r="V908">
        <f>VLOOKUP(Table9[[#This Row],[Shortname]], Comp[], 19, FALSE)</f>
        <v>0</v>
      </c>
      <c r="W908">
        <f>VLOOKUP(Table9[[#This Row],[Shortname]], Comp[], 20, FALSE)</f>
        <v>0</v>
      </c>
      <c r="X908">
        <f>VLOOKUP(Table9[[#This Row],[Shortname]], Comp[], 21, FALSE)</f>
        <v>0</v>
      </c>
      <c r="Y908">
        <f>VLOOKUP(Table9[[#This Row],[Shortname]], Comp[], 22, FALSE)</f>
        <v>0</v>
      </c>
      <c r="Z908">
        <f>VLOOKUP(Table9[[#This Row],[Shortname]], Comp[], 23, FALSE)</f>
        <v>0</v>
      </c>
      <c r="AA908">
        <f>VLOOKUP(Table9[[#This Row],[Shortname]], Comp[], 24, FALSE)</f>
        <v>0</v>
      </c>
      <c r="AB908">
        <f>VLOOKUP(Table9[[#This Row],[Shortname]], Comp[], 25, FALSE)</f>
        <v>0</v>
      </c>
      <c r="AC908">
        <f>VLOOKUP(Table9[[#This Row],[Shortname]], Comp[], 26, FALSE)</f>
        <v>0</v>
      </c>
      <c r="AD908">
        <f>VLOOKUP(Table9[[#This Row],[Shortname]], Comp[], 27, FALSE)</f>
        <v>0</v>
      </c>
      <c r="AE908">
        <f>VLOOKUP(Table9[[#This Row],[Shortname]], Comp[], 28, FALSE)</f>
        <v>0</v>
      </c>
      <c r="AF908">
        <f>VLOOKUP(Table9[[#This Row],[Shortname]], Comp[], 29, FALSE)</f>
        <v>0</v>
      </c>
      <c r="AG908">
        <f>VLOOKUP(Table9[[#This Row],[Shortname]], Comp[], 30, FALSE)</f>
        <v>0</v>
      </c>
      <c r="AH908">
        <f>VLOOKUP(Table9[[#This Row],[Shortname]], Comp[], 31, FALSE)</f>
        <v>0</v>
      </c>
    </row>
    <row r="909" spans="1:34" x14ac:dyDescent="0.3">
      <c r="A909" t="s">
        <v>5520</v>
      </c>
      <c r="B909" t="s">
        <v>5521</v>
      </c>
      <c r="C909" t="s">
        <v>5522</v>
      </c>
      <c r="D909">
        <v>800</v>
      </c>
      <c r="E909">
        <v>25</v>
      </c>
      <c r="F909">
        <v>1E-3</v>
      </c>
      <c r="G909">
        <v>1</v>
      </c>
      <c r="H909" t="s">
        <v>6803</v>
      </c>
      <c r="I909">
        <f>VLOOKUP(Table9[[#This Row],[Shortname]], Comp[], 6, FALSE)</f>
        <v>852</v>
      </c>
      <c r="J909" s="14">
        <f>VLOOKUP(Table9[[#This Row],[Shortname]], Comp[], 7, FALSE)</f>
        <v>51.8</v>
      </c>
      <c r="K909">
        <f>VLOOKUP(Table9[[#This Row],[Shortname]], Comp[], 8, FALSE)</f>
        <v>31</v>
      </c>
      <c r="L909">
        <f>VLOOKUP(Table9[[#This Row],[Shortname]], Comp[], 9, FALSE)</f>
        <v>9.6999999999999993</v>
      </c>
      <c r="M909">
        <f>VLOOKUP(Table9[[#This Row],[Shortname]], Comp[], 10, FALSE)</f>
        <v>0</v>
      </c>
      <c r="N909">
        <f>VLOOKUP(Table9[[#This Row],[Shortname]], Comp[], 11, FALSE)</f>
        <v>0</v>
      </c>
      <c r="O909">
        <f>VLOOKUP(Table9[[#This Row],[Shortname]], Comp[],12, FALSE)</f>
        <v>0</v>
      </c>
      <c r="P909">
        <f>VLOOKUP(Table9[[#This Row],[Shortname]], Comp[], 13, FALSE)</f>
        <v>0</v>
      </c>
      <c r="Q909">
        <f>VLOOKUP(Table9[[#This Row],[Shortname]], Comp[], 14, FALSE)</f>
        <v>2.2999999999999998</v>
      </c>
      <c r="R909">
        <f>VLOOKUP(Table9[[#This Row],[Shortname]], Comp[], 15, FALSE)</f>
        <v>0</v>
      </c>
      <c r="S909">
        <f>VLOOKUP(Table9[[#This Row],[Shortname]], Comp[], 16, FALSE)</f>
        <v>5.2</v>
      </c>
      <c r="T909">
        <f>VLOOKUP(Table9[[#This Row],[Shortname]], Comp[], 17, FALSE)</f>
        <v>0</v>
      </c>
      <c r="U909">
        <f>VLOOKUP(Table9[[#This Row],[Shortname]], Comp[], 18, FALSE)</f>
        <v>0</v>
      </c>
      <c r="V909">
        <f>VLOOKUP(Table9[[#This Row],[Shortname]], Comp[], 19, FALSE)</f>
        <v>0</v>
      </c>
      <c r="W909">
        <f>VLOOKUP(Table9[[#This Row],[Shortname]], Comp[], 20, FALSE)</f>
        <v>0</v>
      </c>
      <c r="X909">
        <f>VLOOKUP(Table9[[#This Row],[Shortname]], Comp[], 21, FALSE)</f>
        <v>0</v>
      </c>
      <c r="Y909">
        <f>VLOOKUP(Table9[[#This Row],[Shortname]], Comp[], 22, FALSE)</f>
        <v>0</v>
      </c>
      <c r="Z909">
        <f>VLOOKUP(Table9[[#This Row],[Shortname]], Comp[], 23, FALSE)</f>
        <v>0</v>
      </c>
      <c r="AA909">
        <f>VLOOKUP(Table9[[#This Row],[Shortname]], Comp[], 24, FALSE)</f>
        <v>0</v>
      </c>
      <c r="AB909">
        <f>VLOOKUP(Table9[[#This Row],[Shortname]], Comp[], 25, FALSE)</f>
        <v>0</v>
      </c>
      <c r="AC909">
        <f>VLOOKUP(Table9[[#This Row],[Shortname]], Comp[], 26, FALSE)</f>
        <v>0</v>
      </c>
      <c r="AD909">
        <f>VLOOKUP(Table9[[#This Row],[Shortname]], Comp[], 27, FALSE)</f>
        <v>0</v>
      </c>
      <c r="AE909">
        <f>VLOOKUP(Table9[[#This Row],[Shortname]], Comp[], 28, FALSE)</f>
        <v>0</v>
      </c>
      <c r="AF909">
        <f>VLOOKUP(Table9[[#This Row],[Shortname]], Comp[], 29, FALSE)</f>
        <v>0</v>
      </c>
      <c r="AG909">
        <f>VLOOKUP(Table9[[#This Row],[Shortname]], Comp[], 30, FALSE)</f>
        <v>0</v>
      </c>
      <c r="AH909">
        <f>VLOOKUP(Table9[[#This Row],[Shortname]], Comp[], 31, FALSE)</f>
        <v>0</v>
      </c>
    </row>
    <row r="910" spans="1:34" x14ac:dyDescent="0.3">
      <c r="A910" t="s">
        <v>5520</v>
      </c>
      <c r="B910" t="s">
        <v>5521</v>
      </c>
      <c r="C910" t="s">
        <v>5527</v>
      </c>
      <c r="D910">
        <v>682</v>
      </c>
      <c r="E910">
        <v>570</v>
      </c>
      <c r="F910">
        <v>1E-3</v>
      </c>
      <c r="G910">
        <v>1</v>
      </c>
      <c r="H910" t="s">
        <v>6803</v>
      </c>
      <c r="I910">
        <f>VLOOKUP(Table9[[#This Row],[Shortname]], Comp[], 6, FALSE)</f>
        <v>852</v>
      </c>
      <c r="J910" s="14">
        <f>VLOOKUP(Table9[[#This Row],[Shortname]], Comp[], 7, FALSE)</f>
        <v>51.8</v>
      </c>
      <c r="K910">
        <f>VLOOKUP(Table9[[#This Row],[Shortname]], Comp[], 8, FALSE)</f>
        <v>31</v>
      </c>
      <c r="L910">
        <f>VLOOKUP(Table9[[#This Row],[Shortname]], Comp[], 9, FALSE)</f>
        <v>9.6999999999999993</v>
      </c>
      <c r="M910">
        <f>VLOOKUP(Table9[[#This Row],[Shortname]], Comp[], 10, FALSE)</f>
        <v>0</v>
      </c>
      <c r="N910">
        <f>VLOOKUP(Table9[[#This Row],[Shortname]], Comp[], 11, FALSE)</f>
        <v>0</v>
      </c>
      <c r="O910">
        <f>VLOOKUP(Table9[[#This Row],[Shortname]], Comp[],12, FALSE)</f>
        <v>0</v>
      </c>
      <c r="P910">
        <f>VLOOKUP(Table9[[#This Row],[Shortname]], Comp[], 13, FALSE)</f>
        <v>0</v>
      </c>
      <c r="Q910">
        <f>VLOOKUP(Table9[[#This Row],[Shortname]], Comp[], 14, FALSE)</f>
        <v>2.2999999999999998</v>
      </c>
      <c r="R910">
        <f>VLOOKUP(Table9[[#This Row],[Shortname]], Comp[], 15, FALSE)</f>
        <v>0</v>
      </c>
      <c r="S910">
        <f>VLOOKUP(Table9[[#This Row],[Shortname]], Comp[], 16, FALSE)</f>
        <v>5.2</v>
      </c>
      <c r="T910">
        <f>VLOOKUP(Table9[[#This Row],[Shortname]], Comp[], 17, FALSE)</f>
        <v>0</v>
      </c>
      <c r="U910">
        <f>VLOOKUP(Table9[[#This Row],[Shortname]], Comp[], 18, FALSE)</f>
        <v>0</v>
      </c>
      <c r="V910">
        <f>VLOOKUP(Table9[[#This Row],[Shortname]], Comp[], 19, FALSE)</f>
        <v>0</v>
      </c>
      <c r="W910">
        <f>VLOOKUP(Table9[[#This Row],[Shortname]], Comp[], 20, FALSE)</f>
        <v>0</v>
      </c>
      <c r="X910">
        <f>VLOOKUP(Table9[[#This Row],[Shortname]], Comp[], 21, FALSE)</f>
        <v>0</v>
      </c>
      <c r="Y910">
        <f>VLOOKUP(Table9[[#This Row],[Shortname]], Comp[], 22, FALSE)</f>
        <v>0</v>
      </c>
      <c r="Z910">
        <f>VLOOKUP(Table9[[#This Row],[Shortname]], Comp[], 23, FALSE)</f>
        <v>0</v>
      </c>
      <c r="AA910">
        <f>VLOOKUP(Table9[[#This Row],[Shortname]], Comp[], 24, FALSE)</f>
        <v>0</v>
      </c>
      <c r="AB910">
        <f>VLOOKUP(Table9[[#This Row],[Shortname]], Comp[], 25, FALSE)</f>
        <v>0</v>
      </c>
      <c r="AC910">
        <f>VLOOKUP(Table9[[#This Row],[Shortname]], Comp[], 26, FALSE)</f>
        <v>0</v>
      </c>
      <c r="AD910">
        <f>VLOOKUP(Table9[[#This Row],[Shortname]], Comp[], 27, FALSE)</f>
        <v>0</v>
      </c>
      <c r="AE910">
        <f>VLOOKUP(Table9[[#This Row],[Shortname]], Comp[], 28, FALSE)</f>
        <v>0</v>
      </c>
      <c r="AF910">
        <f>VLOOKUP(Table9[[#This Row],[Shortname]], Comp[], 29, FALSE)</f>
        <v>0</v>
      </c>
      <c r="AG910">
        <f>VLOOKUP(Table9[[#This Row],[Shortname]], Comp[], 30, FALSE)</f>
        <v>0</v>
      </c>
      <c r="AH910">
        <f>VLOOKUP(Table9[[#This Row],[Shortname]], Comp[], 31, FALSE)</f>
        <v>0</v>
      </c>
    </row>
    <row r="911" spans="1:34" x14ac:dyDescent="0.3">
      <c r="A911" t="s">
        <v>5520</v>
      </c>
      <c r="B911" t="s">
        <v>5521</v>
      </c>
      <c r="C911" t="s">
        <v>5532</v>
      </c>
      <c r="D911">
        <v>671</v>
      </c>
      <c r="E911">
        <v>670</v>
      </c>
      <c r="F911">
        <v>1E-3</v>
      </c>
      <c r="G911">
        <v>1</v>
      </c>
      <c r="H911" t="s">
        <v>6803</v>
      </c>
      <c r="I911">
        <f>VLOOKUP(Table9[[#This Row],[Shortname]], Comp[], 6, FALSE)</f>
        <v>852</v>
      </c>
      <c r="J911" s="14">
        <f>VLOOKUP(Table9[[#This Row],[Shortname]], Comp[], 7, FALSE)</f>
        <v>51.8</v>
      </c>
      <c r="K911">
        <f>VLOOKUP(Table9[[#This Row],[Shortname]], Comp[], 8, FALSE)</f>
        <v>31</v>
      </c>
      <c r="L911">
        <f>VLOOKUP(Table9[[#This Row],[Shortname]], Comp[], 9, FALSE)</f>
        <v>9.6999999999999993</v>
      </c>
      <c r="M911">
        <f>VLOOKUP(Table9[[#This Row],[Shortname]], Comp[], 10, FALSE)</f>
        <v>0</v>
      </c>
      <c r="N911">
        <f>VLOOKUP(Table9[[#This Row],[Shortname]], Comp[], 11, FALSE)</f>
        <v>0</v>
      </c>
      <c r="O911">
        <f>VLOOKUP(Table9[[#This Row],[Shortname]], Comp[],12, FALSE)</f>
        <v>0</v>
      </c>
      <c r="P911">
        <f>VLOOKUP(Table9[[#This Row],[Shortname]], Comp[], 13, FALSE)</f>
        <v>0</v>
      </c>
      <c r="Q911">
        <f>VLOOKUP(Table9[[#This Row],[Shortname]], Comp[], 14, FALSE)</f>
        <v>2.2999999999999998</v>
      </c>
      <c r="R911">
        <f>VLOOKUP(Table9[[#This Row],[Shortname]], Comp[], 15, FALSE)</f>
        <v>0</v>
      </c>
      <c r="S911">
        <f>VLOOKUP(Table9[[#This Row],[Shortname]], Comp[], 16, FALSE)</f>
        <v>5.2</v>
      </c>
      <c r="T911">
        <f>VLOOKUP(Table9[[#This Row],[Shortname]], Comp[], 17, FALSE)</f>
        <v>0</v>
      </c>
      <c r="U911">
        <f>VLOOKUP(Table9[[#This Row],[Shortname]], Comp[], 18, FALSE)</f>
        <v>0</v>
      </c>
      <c r="V911">
        <f>VLOOKUP(Table9[[#This Row],[Shortname]], Comp[], 19, FALSE)</f>
        <v>0</v>
      </c>
      <c r="W911">
        <f>VLOOKUP(Table9[[#This Row],[Shortname]], Comp[], 20, FALSE)</f>
        <v>0</v>
      </c>
      <c r="X911">
        <f>VLOOKUP(Table9[[#This Row],[Shortname]], Comp[], 21, FALSE)</f>
        <v>0</v>
      </c>
      <c r="Y911">
        <f>VLOOKUP(Table9[[#This Row],[Shortname]], Comp[], 22, FALSE)</f>
        <v>0</v>
      </c>
      <c r="Z911">
        <f>VLOOKUP(Table9[[#This Row],[Shortname]], Comp[], 23, FALSE)</f>
        <v>0</v>
      </c>
      <c r="AA911">
        <f>VLOOKUP(Table9[[#This Row],[Shortname]], Comp[], 24, FALSE)</f>
        <v>0</v>
      </c>
      <c r="AB911">
        <f>VLOOKUP(Table9[[#This Row],[Shortname]], Comp[], 25, FALSE)</f>
        <v>0</v>
      </c>
      <c r="AC911">
        <f>VLOOKUP(Table9[[#This Row],[Shortname]], Comp[], 26, FALSE)</f>
        <v>0</v>
      </c>
      <c r="AD911">
        <f>VLOOKUP(Table9[[#This Row],[Shortname]], Comp[], 27, FALSE)</f>
        <v>0</v>
      </c>
      <c r="AE911">
        <f>VLOOKUP(Table9[[#This Row],[Shortname]], Comp[], 28, FALSE)</f>
        <v>0</v>
      </c>
      <c r="AF911">
        <f>VLOOKUP(Table9[[#This Row],[Shortname]], Comp[], 29, FALSE)</f>
        <v>0</v>
      </c>
      <c r="AG911">
        <f>VLOOKUP(Table9[[#This Row],[Shortname]], Comp[], 30, FALSE)</f>
        <v>0</v>
      </c>
      <c r="AH911">
        <f>VLOOKUP(Table9[[#This Row],[Shortname]], Comp[], 31, FALSE)</f>
        <v>0</v>
      </c>
    </row>
    <row r="912" spans="1:34" x14ac:dyDescent="0.3">
      <c r="A912" t="s">
        <v>5520</v>
      </c>
      <c r="B912" t="s">
        <v>5521</v>
      </c>
      <c r="C912" t="s">
        <v>5536</v>
      </c>
      <c r="D912">
        <v>607</v>
      </c>
      <c r="E912">
        <v>770</v>
      </c>
      <c r="F912">
        <v>1E-3</v>
      </c>
      <c r="G912">
        <v>1</v>
      </c>
      <c r="H912" t="s">
        <v>6803</v>
      </c>
      <c r="I912">
        <f>VLOOKUP(Table9[[#This Row],[Shortname]], Comp[], 6, FALSE)</f>
        <v>852</v>
      </c>
      <c r="J912" s="14">
        <f>VLOOKUP(Table9[[#This Row],[Shortname]], Comp[], 7, FALSE)</f>
        <v>51.8</v>
      </c>
      <c r="K912">
        <f>VLOOKUP(Table9[[#This Row],[Shortname]], Comp[], 8, FALSE)</f>
        <v>31</v>
      </c>
      <c r="L912">
        <f>VLOOKUP(Table9[[#This Row],[Shortname]], Comp[], 9, FALSE)</f>
        <v>9.6999999999999993</v>
      </c>
      <c r="M912">
        <f>VLOOKUP(Table9[[#This Row],[Shortname]], Comp[], 10, FALSE)</f>
        <v>0</v>
      </c>
      <c r="N912">
        <f>VLOOKUP(Table9[[#This Row],[Shortname]], Comp[], 11, FALSE)</f>
        <v>0</v>
      </c>
      <c r="O912">
        <f>VLOOKUP(Table9[[#This Row],[Shortname]], Comp[],12, FALSE)</f>
        <v>0</v>
      </c>
      <c r="P912">
        <f>VLOOKUP(Table9[[#This Row],[Shortname]], Comp[], 13, FALSE)</f>
        <v>0</v>
      </c>
      <c r="Q912">
        <f>VLOOKUP(Table9[[#This Row],[Shortname]], Comp[], 14, FALSE)</f>
        <v>2.2999999999999998</v>
      </c>
      <c r="R912">
        <f>VLOOKUP(Table9[[#This Row],[Shortname]], Comp[], 15, FALSE)</f>
        <v>0</v>
      </c>
      <c r="S912">
        <f>VLOOKUP(Table9[[#This Row],[Shortname]], Comp[], 16, FALSE)</f>
        <v>5.2</v>
      </c>
      <c r="T912">
        <f>VLOOKUP(Table9[[#This Row],[Shortname]], Comp[], 17, FALSE)</f>
        <v>0</v>
      </c>
      <c r="U912">
        <f>VLOOKUP(Table9[[#This Row],[Shortname]], Comp[], 18, FALSE)</f>
        <v>0</v>
      </c>
      <c r="V912">
        <f>VLOOKUP(Table9[[#This Row],[Shortname]], Comp[], 19, FALSE)</f>
        <v>0</v>
      </c>
      <c r="W912">
        <f>VLOOKUP(Table9[[#This Row],[Shortname]], Comp[], 20, FALSE)</f>
        <v>0</v>
      </c>
      <c r="X912">
        <f>VLOOKUP(Table9[[#This Row],[Shortname]], Comp[], 21, FALSE)</f>
        <v>0</v>
      </c>
      <c r="Y912">
        <f>VLOOKUP(Table9[[#This Row],[Shortname]], Comp[], 22, FALSE)</f>
        <v>0</v>
      </c>
      <c r="Z912">
        <f>VLOOKUP(Table9[[#This Row],[Shortname]], Comp[], 23, FALSE)</f>
        <v>0</v>
      </c>
      <c r="AA912">
        <f>VLOOKUP(Table9[[#This Row],[Shortname]], Comp[], 24, FALSE)</f>
        <v>0</v>
      </c>
      <c r="AB912">
        <f>VLOOKUP(Table9[[#This Row],[Shortname]], Comp[], 25, FALSE)</f>
        <v>0</v>
      </c>
      <c r="AC912">
        <f>VLOOKUP(Table9[[#This Row],[Shortname]], Comp[], 26, FALSE)</f>
        <v>0</v>
      </c>
      <c r="AD912">
        <f>VLOOKUP(Table9[[#This Row],[Shortname]], Comp[], 27, FALSE)</f>
        <v>0</v>
      </c>
      <c r="AE912">
        <f>VLOOKUP(Table9[[#This Row],[Shortname]], Comp[], 28, FALSE)</f>
        <v>0</v>
      </c>
      <c r="AF912">
        <f>VLOOKUP(Table9[[#This Row],[Shortname]], Comp[], 29, FALSE)</f>
        <v>0</v>
      </c>
      <c r="AG912">
        <f>VLOOKUP(Table9[[#This Row],[Shortname]], Comp[], 30, FALSE)</f>
        <v>0</v>
      </c>
      <c r="AH912">
        <f>VLOOKUP(Table9[[#This Row],[Shortname]], Comp[], 31, FALSE)</f>
        <v>0</v>
      </c>
    </row>
    <row r="913" spans="1:34" x14ac:dyDescent="0.3">
      <c r="A913" t="s">
        <v>5520</v>
      </c>
      <c r="B913" t="s">
        <v>5521</v>
      </c>
      <c r="C913" t="s">
        <v>5541</v>
      </c>
      <c r="D913">
        <v>535</v>
      </c>
      <c r="E913">
        <v>870</v>
      </c>
      <c r="F913">
        <v>1E-3</v>
      </c>
      <c r="G913">
        <v>1</v>
      </c>
      <c r="H913" t="s">
        <v>6803</v>
      </c>
      <c r="I913">
        <f>VLOOKUP(Table9[[#This Row],[Shortname]], Comp[], 6, FALSE)</f>
        <v>852</v>
      </c>
      <c r="J913" s="14">
        <f>VLOOKUP(Table9[[#This Row],[Shortname]], Comp[], 7, FALSE)</f>
        <v>51.8</v>
      </c>
      <c r="K913">
        <f>VLOOKUP(Table9[[#This Row],[Shortname]], Comp[], 8, FALSE)</f>
        <v>31</v>
      </c>
      <c r="L913">
        <f>VLOOKUP(Table9[[#This Row],[Shortname]], Comp[], 9, FALSE)</f>
        <v>9.6999999999999993</v>
      </c>
      <c r="M913">
        <f>VLOOKUP(Table9[[#This Row],[Shortname]], Comp[], 10, FALSE)</f>
        <v>0</v>
      </c>
      <c r="N913">
        <f>VLOOKUP(Table9[[#This Row],[Shortname]], Comp[], 11, FALSE)</f>
        <v>0</v>
      </c>
      <c r="O913">
        <f>VLOOKUP(Table9[[#This Row],[Shortname]], Comp[],12, FALSE)</f>
        <v>0</v>
      </c>
      <c r="P913">
        <f>VLOOKUP(Table9[[#This Row],[Shortname]], Comp[], 13, FALSE)</f>
        <v>0</v>
      </c>
      <c r="Q913">
        <f>VLOOKUP(Table9[[#This Row],[Shortname]], Comp[], 14, FALSE)</f>
        <v>2.2999999999999998</v>
      </c>
      <c r="R913">
        <f>VLOOKUP(Table9[[#This Row],[Shortname]], Comp[], 15, FALSE)</f>
        <v>0</v>
      </c>
      <c r="S913">
        <f>VLOOKUP(Table9[[#This Row],[Shortname]], Comp[], 16, FALSE)</f>
        <v>5.2</v>
      </c>
      <c r="T913">
        <f>VLOOKUP(Table9[[#This Row],[Shortname]], Comp[], 17, FALSE)</f>
        <v>0</v>
      </c>
      <c r="U913">
        <f>VLOOKUP(Table9[[#This Row],[Shortname]], Comp[], 18, FALSE)</f>
        <v>0</v>
      </c>
      <c r="V913">
        <f>VLOOKUP(Table9[[#This Row],[Shortname]], Comp[], 19, FALSE)</f>
        <v>0</v>
      </c>
      <c r="W913">
        <f>VLOOKUP(Table9[[#This Row],[Shortname]], Comp[], 20, FALSE)</f>
        <v>0</v>
      </c>
      <c r="X913">
        <f>VLOOKUP(Table9[[#This Row],[Shortname]], Comp[], 21, FALSE)</f>
        <v>0</v>
      </c>
      <c r="Y913">
        <f>VLOOKUP(Table9[[#This Row],[Shortname]], Comp[], 22, FALSE)</f>
        <v>0</v>
      </c>
      <c r="Z913">
        <f>VLOOKUP(Table9[[#This Row],[Shortname]], Comp[], 23, FALSE)</f>
        <v>0</v>
      </c>
      <c r="AA913">
        <f>VLOOKUP(Table9[[#This Row],[Shortname]], Comp[], 24, FALSE)</f>
        <v>0</v>
      </c>
      <c r="AB913">
        <f>VLOOKUP(Table9[[#This Row],[Shortname]], Comp[], 25, FALSE)</f>
        <v>0</v>
      </c>
      <c r="AC913">
        <f>VLOOKUP(Table9[[#This Row],[Shortname]], Comp[], 26, FALSE)</f>
        <v>0</v>
      </c>
      <c r="AD913">
        <f>VLOOKUP(Table9[[#This Row],[Shortname]], Comp[], 27, FALSE)</f>
        <v>0</v>
      </c>
      <c r="AE913">
        <f>VLOOKUP(Table9[[#This Row],[Shortname]], Comp[], 28, FALSE)</f>
        <v>0</v>
      </c>
      <c r="AF913">
        <f>VLOOKUP(Table9[[#This Row],[Shortname]], Comp[], 29, FALSE)</f>
        <v>0</v>
      </c>
      <c r="AG913">
        <f>VLOOKUP(Table9[[#This Row],[Shortname]], Comp[], 30, FALSE)</f>
        <v>0</v>
      </c>
      <c r="AH913">
        <f>VLOOKUP(Table9[[#This Row],[Shortname]], Comp[], 31, FALSE)</f>
        <v>0</v>
      </c>
    </row>
    <row r="914" spans="1:34" x14ac:dyDescent="0.3">
      <c r="A914" t="s">
        <v>5524</v>
      </c>
      <c r="B914" t="s">
        <v>5526</v>
      </c>
      <c r="C914" t="s">
        <v>5541</v>
      </c>
      <c r="D914">
        <v>714</v>
      </c>
      <c r="E914">
        <v>25</v>
      </c>
      <c r="F914">
        <v>1E-3</v>
      </c>
      <c r="G914">
        <v>1</v>
      </c>
      <c r="H914" t="s">
        <v>6803</v>
      </c>
      <c r="I914">
        <f>VLOOKUP(Table9[[#This Row],[Shortname]], Comp[], 6, FALSE)</f>
        <v>853</v>
      </c>
      <c r="J914" s="14">
        <f>VLOOKUP(Table9[[#This Row],[Shortname]], Comp[], 7, FALSE)</f>
        <v>52.1</v>
      </c>
      <c r="K914">
        <f>VLOOKUP(Table9[[#This Row],[Shortname]], Comp[], 8, FALSE)</f>
        <v>30.5</v>
      </c>
      <c r="L914">
        <f>VLOOKUP(Table9[[#This Row],[Shortname]], Comp[], 9, FALSE)</f>
        <v>9.5</v>
      </c>
      <c r="M914">
        <f>VLOOKUP(Table9[[#This Row],[Shortname]], Comp[], 10, FALSE)</f>
        <v>0</v>
      </c>
      <c r="N914">
        <f>VLOOKUP(Table9[[#This Row],[Shortname]], Comp[], 11, FALSE)</f>
        <v>0</v>
      </c>
      <c r="O914">
        <f>VLOOKUP(Table9[[#This Row],[Shortname]], Comp[],12, FALSE)</f>
        <v>1</v>
      </c>
      <c r="P914">
        <f>VLOOKUP(Table9[[#This Row],[Shortname]], Comp[], 13, FALSE)</f>
        <v>0</v>
      </c>
      <c r="Q914">
        <f>VLOOKUP(Table9[[#This Row],[Shortname]], Comp[], 14, FALSE)</f>
        <v>2</v>
      </c>
      <c r="R914">
        <f>VLOOKUP(Table9[[#This Row],[Shortname]], Comp[], 15, FALSE)</f>
        <v>0</v>
      </c>
      <c r="S914">
        <f>VLOOKUP(Table9[[#This Row],[Shortname]], Comp[], 16, FALSE)</f>
        <v>4.9000000000000004</v>
      </c>
      <c r="T914">
        <f>VLOOKUP(Table9[[#This Row],[Shortname]], Comp[], 17, FALSE)</f>
        <v>0</v>
      </c>
      <c r="U914">
        <f>VLOOKUP(Table9[[#This Row],[Shortname]], Comp[], 18, FALSE)</f>
        <v>0</v>
      </c>
      <c r="V914">
        <f>VLOOKUP(Table9[[#This Row],[Shortname]], Comp[], 19, FALSE)</f>
        <v>0</v>
      </c>
      <c r="W914">
        <f>VLOOKUP(Table9[[#This Row],[Shortname]], Comp[], 20, FALSE)</f>
        <v>0</v>
      </c>
      <c r="X914">
        <f>VLOOKUP(Table9[[#This Row],[Shortname]], Comp[], 21, FALSE)</f>
        <v>0</v>
      </c>
      <c r="Y914">
        <f>VLOOKUP(Table9[[#This Row],[Shortname]], Comp[], 22, FALSE)</f>
        <v>0</v>
      </c>
      <c r="Z914">
        <f>VLOOKUP(Table9[[#This Row],[Shortname]], Comp[], 23, FALSE)</f>
        <v>0</v>
      </c>
      <c r="AA914">
        <f>VLOOKUP(Table9[[#This Row],[Shortname]], Comp[], 24, FALSE)</f>
        <v>0</v>
      </c>
      <c r="AB914">
        <f>VLOOKUP(Table9[[#This Row],[Shortname]], Comp[], 25, FALSE)</f>
        <v>0</v>
      </c>
      <c r="AC914">
        <f>VLOOKUP(Table9[[#This Row],[Shortname]], Comp[], 26, FALSE)</f>
        <v>0</v>
      </c>
      <c r="AD914">
        <f>VLOOKUP(Table9[[#This Row],[Shortname]], Comp[], 27, FALSE)</f>
        <v>0</v>
      </c>
      <c r="AE914">
        <f>VLOOKUP(Table9[[#This Row],[Shortname]], Comp[], 28, FALSE)</f>
        <v>0</v>
      </c>
      <c r="AF914">
        <f>VLOOKUP(Table9[[#This Row],[Shortname]], Comp[], 29, FALSE)</f>
        <v>0</v>
      </c>
      <c r="AG914">
        <f>VLOOKUP(Table9[[#This Row],[Shortname]], Comp[], 30, FALSE)</f>
        <v>0</v>
      </c>
      <c r="AH914">
        <f>VLOOKUP(Table9[[#This Row],[Shortname]], Comp[], 31, FALSE)</f>
        <v>0</v>
      </c>
    </row>
    <row r="915" spans="1:34" x14ac:dyDescent="0.3">
      <c r="A915" t="s">
        <v>5524</v>
      </c>
      <c r="B915" t="s">
        <v>5526</v>
      </c>
      <c r="C915" t="s">
        <v>6911</v>
      </c>
      <c r="D915">
        <v>599</v>
      </c>
      <c r="E915">
        <v>570</v>
      </c>
      <c r="F915">
        <v>1E-3</v>
      </c>
      <c r="G915">
        <v>1</v>
      </c>
      <c r="H915" t="s">
        <v>6803</v>
      </c>
      <c r="I915">
        <f>VLOOKUP(Table9[[#This Row],[Shortname]], Comp[], 6, FALSE)</f>
        <v>853</v>
      </c>
      <c r="J915" s="14">
        <f>VLOOKUP(Table9[[#This Row],[Shortname]], Comp[], 7, FALSE)</f>
        <v>52.1</v>
      </c>
      <c r="K915">
        <f>VLOOKUP(Table9[[#This Row],[Shortname]], Comp[], 8, FALSE)</f>
        <v>30.5</v>
      </c>
      <c r="L915">
        <f>VLOOKUP(Table9[[#This Row],[Shortname]], Comp[], 9, FALSE)</f>
        <v>9.5</v>
      </c>
      <c r="M915">
        <f>VLOOKUP(Table9[[#This Row],[Shortname]], Comp[], 10, FALSE)</f>
        <v>0</v>
      </c>
      <c r="N915">
        <f>VLOOKUP(Table9[[#This Row],[Shortname]], Comp[], 11, FALSE)</f>
        <v>0</v>
      </c>
      <c r="O915">
        <f>VLOOKUP(Table9[[#This Row],[Shortname]], Comp[],12, FALSE)</f>
        <v>1</v>
      </c>
      <c r="P915">
        <f>VLOOKUP(Table9[[#This Row],[Shortname]], Comp[], 13, FALSE)</f>
        <v>0</v>
      </c>
      <c r="Q915">
        <f>VLOOKUP(Table9[[#This Row],[Shortname]], Comp[], 14, FALSE)</f>
        <v>2</v>
      </c>
      <c r="R915">
        <f>VLOOKUP(Table9[[#This Row],[Shortname]], Comp[], 15, FALSE)</f>
        <v>0</v>
      </c>
      <c r="S915">
        <f>VLOOKUP(Table9[[#This Row],[Shortname]], Comp[], 16, FALSE)</f>
        <v>4.9000000000000004</v>
      </c>
      <c r="T915">
        <f>VLOOKUP(Table9[[#This Row],[Shortname]], Comp[], 17, FALSE)</f>
        <v>0</v>
      </c>
      <c r="U915">
        <f>VLOOKUP(Table9[[#This Row],[Shortname]], Comp[], 18, FALSE)</f>
        <v>0</v>
      </c>
      <c r="V915">
        <f>VLOOKUP(Table9[[#This Row],[Shortname]], Comp[], 19, FALSE)</f>
        <v>0</v>
      </c>
      <c r="W915">
        <f>VLOOKUP(Table9[[#This Row],[Shortname]], Comp[], 20, FALSE)</f>
        <v>0</v>
      </c>
      <c r="X915">
        <f>VLOOKUP(Table9[[#This Row],[Shortname]], Comp[], 21, FALSE)</f>
        <v>0</v>
      </c>
      <c r="Y915">
        <f>VLOOKUP(Table9[[#This Row],[Shortname]], Comp[], 22, FALSE)</f>
        <v>0</v>
      </c>
      <c r="Z915">
        <f>VLOOKUP(Table9[[#This Row],[Shortname]], Comp[], 23, FALSE)</f>
        <v>0</v>
      </c>
      <c r="AA915">
        <f>VLOOKUP(Table9[[#This Row],[Shortname]], Comp[], 24, FALSE)</f>
        <v>0</v>
      </c>
      <c r="AB915">
        <f>VLOOKUP(Table9[[#This Row],[Shortname]], Comp[], 25, FALSE)</f>
        <v>0</v>
      </c>
      <c r="AC915">
        <f>VLOOKUP(Table9[[#This Row],[Shortname]], Comp[], 26, FALSE)</f>
        <v>0</v>
      </c>
      <c r="AD915">
        <f>VLOOKUP(Table9[[#This Row],[Shortname]], Comp[], 27, FALSE)</f>
        <v>0</v>
      </c>
      <c r="AE915">
        <f>VLOOKUP(Table9[[#This Row],[Shortname]], Comp[], 28, FALSE)</f>
        <v>0</v>
      </c>
      <c r="AF915">
        <f>VLOOKUP(Table9[[#This Row],[Shortname]], Comp[], 29, FALSE)</f>
        <v>0</v>
      </c>
      <c r="AG915">
        <f>VLOOKUP(Table9[[#This Row],[Shortname]], Comp[], 30, FALSE)</f>
        <v>0</v>
      </c>
      <c r="AH915">
        <f>VLOOKUP(Table9[[#This Row],[Shortname]], Comp[], 31, FALSE)</f>
        <v>0</v>
      </c>
    </row>
    <row r="916" spans="1:34" x14ac:dyDescent="0.3">
      <c r="A916" t="s">
        <v>5524</v>
      </c>
      <c r="B916" t="s">
        <v>5526</v>
      </c>
      <c r="C916" t="s">
        <v>6912</v>
      </c>
      <c r="D916">
        <v>594</v>
      </c>
      <c r="E916">
        <v>670</v>
      </c>
      <c r="F916">
        <v>1E-3</v>
      </c>
      <c r="G916">
        <v>1</v>
      </c>
      <c r="H916" t="s">
        <v>6803</v>
      </c>
      <c r="I916">
        <f>VLOOKUP(Table9[[#This Row],[Shortname]], Comp[], 6, FALSE)</f>
        <v>853</v>
      </c>
      <c r="J916" s="14">
        <f>VLOOKUP(Table9[[#This Row],[Shortname]], Comp[], 7, FALSE)</f>
        <v>52.1</v>
      </c>
      <c r="K916">
        <f>VLOOKUP(Table9[[#This Row],[Shortname]], Comp[], 8, FALSE)</f>
        <v>30.5</v>
      </c>
      <c r="L916">
        <f>VLOOKUP(Table9[[#This Row],[Shortname]], Comp[], 9, FALSE)</f>
        <v>9.5</v>
      </c>
      <c r="M916">
        <f>VLOOKUP(Table9[[#This Row],[Shortname]], Comp[], 10, FALSE)</f>
        <v>0</v>
      </c>
      <c r="N916">
        <f>VLOOKUP(Table9[[#This Row],[Shortname]], Comp[], 11, FALSE)</f>
        <v>0</v>
      </c>
      <c r="O916">
        <f>VLOOKUP(Table9[[#This Row],[Shortname]], Comp[],12, FALSE)</f>
        <v>1</v>
      </c>
      <c r="P916">
        <f>VLOOKUP(Table9[[#This Row],[Shortname]], Comp[], 13, FALSE)</f>
        <v>0</v>
      </c>
      <c r="Q916">
        <f>VLOOKUP(Table9[[#This Row],[Shortname]], Comp[], 14, FALSE)</f>
        <v>2</v>
      </c>
      <c r="R916">
        <f>VLOOKUP(Table9[[#This Row],[Shortname]], Comp[], 15, FALSE)</f>
        <v>0</v>
      </c>
      <c r="S916">
        <f>VLOOKUP(Table9[[#This Row],[Shortname]], Comp[], 16, FALSE)</f>
        <v>4.9000000000000004</v>
      </c>
      <c r="T916">
        <f>VLOOKUP(Table9[[#This Row],[Shortname]], Comp[], 17, FALSE)</f>
        <v>0</v>
      </c>
      <c r="U916">
        <f>VLOOKUP(Table9[[#This Row],[Shortname]], Comp[], 18, FALSE)</f>
        <v>0</v>
      </c>
      <c r="V916">
        <f>VLOOKUP(Table9[[#This Row],[Shortname]], Comp[], 19, FALSE)</f>
        <v>0</v>
      </c>
      <c r="W916">
        <f>VLOOKUP(Table9[[#This Row],[Shortname]], Comp[], 20, FALSE)</f>
        <v>0</v>
      </c>
      <c r="X916">
        <f>VLOOKUP(Table9[[#This Row],[Shortname]], Comp[], 21, FALSE)</f>
        <v>0</v>
      </c>
      <c r="Y916">
        <f>VLOOKUP(Table9[[#This Row],[Shortname]], Comp[], 22, FALSE)</f>
        <v>0</v>
      </c>
      <c r="Z916">
        <f>VLOOKUP(Table9[[#This Row],[Shortname]], Comp[], 23, FALSE)</f>
        <v>0</v>
      </c>
      <c r="AA916">
        <f>VLOOKUP(Table9[[#This Row],[Shortname]], Comp[], 24, FALSE)</f>
        <v>0</v>
      </c>
      <c r="AB916">
        <f>VLOOKUP(Table9[[#This Row],[Shortname]], Comp[], 25, FALSE)</f>
        <v>0</v>
      </c>
      <c r="AC916">
        <f>VLOOKUP(Table9[[#This Row],[Shortname]], Comp[], 26, FALSE)</f>
        <v>0</v>
      </c>
      <c r="AD916">
        <f>VLOOKUP(Table9[[#This Row],[Shortname]], Comp[], 27, FALSE)</f>
        <v>0</v>
      </c>
      <c r="AE916">
        <f>VLOOKUP(Table9[[#This Row],[Shortname]], Comp[], 28, FALSE)</f>
        <v>0</v>
      </c>
      <c r="AF916">
        <f>VLOOKUP(Table9[[#This Row],[Shortname]], Comp[], 29, FALSE)</f>
        <v>0</v>
      </c>
      <c r="AG916">
        <f>VLOOKUP(Table9[[#This Row],[Shortname]], Comp[], 30, FALSE)</f>
        <v>0</v>
      </c>
      <c r="AH916">
        <f>VLOOKUP(Table9[[#This Row],[Shortname]], Comp[], 31, FALSE)</f>
        <v>0</v>
      </c>
    </row>
    <row r="917" spans="1:34" x14ac:dyDescent="0.3">
      <c r="A917" t="s">
        <v>5524</v>
      </c>
      <c r="B917" t="s">
        <v>5526</v>
      </c>
      <c r="C917" t="s">
        <v>6913</v>
      </c>
      <c r="D917">
        <v>663</v>
      </c>
      <c r="E917">
        <v>770</v>
      </c>
      <c r="F917">
        <v>1E-3</v>
      </c>
      <c r="G917">
        <v>1</v>
      </c>
      <c r="H917" t="s">
        <v>6803</v>
      </c>
      <c r="I917">
        <f>VLOOKUP(Table9[[#This Row],[Shortname]], Comp[], 6, FALSE)</f>
        <v>853</v>
      </c>
      <c r="J917" s="14">
        <f>VLOOKUP(Table9[[#This Row],[Shortname]], Comp[], 7, FALSE)</f>
        <v>52.1</v>
      </c>
      <c r="K917">
        <f>VLOOKUP(Table9[[#This Row],[Shortname]], Comp[], 8, FALSE)</f>
        <v>30.5</v>
      </c>
      <c r="L917">
        <f>VLOOKUP(Table9[[#This Row],[Shortname]], Comp[], 9, FALSE)</f>
        <v>9.5</v>
      </c>
      <c r="M917">
        <f>VLOOKUP(Table9[[#This Row],[Shortname]], Comp[], 10, FALSE)</f>
        <v>0</v>
      </c>
      <c r="N917">
        <f>VLOOKUP(Table9[[#This Row],[Shortname]], Comp[], 11, FALSE)</f>
        <v>0</v>
      </c>
      <c r="O917">
        <f>VLOOKUP(Table9[[#This Row],[Shortname]], Comp[],12, FALSE)</f>
        <v>1</v>
      </c>
      <c r="P917">
        <f>VLOOKUP(Table9[[#This Row],[Shortname]], Comp[], 13, FALSE)</f>
        <v>0</v>
      </c>
      <c r="Q917">
        <f>VLOOKUP(Table9[[#This Row],[Shortname]], Comp[], 14, FALSE)</f>
        <v>2</v>
      </c>
      <c r="R917">
        <f>VLOOKUP(Table9[[#This Row],[Shortname]], Comp[], 15, FALSE)</f>
        <v>0</v>
      </c>
      <c r="S917">
        <f>VLOOKUP(Table9[[#This Row],[Shortname]], Comp[], 16, FALSE)</f>
        <v>4.9000000000000004</v>
      </c>
      <c r="T917">
        <f>VLOOKUP(Table9[[#This Row],[Shortname]], Comp[], 17, FALSE)</f>
        <v>0</v>
      </c>
      <c r="U917">
        <f>VLOOKUP(Table9[[#This Row],[Shortname]], Comp[], 18, FALSE)</f>
        <v>0</v>
      </c>
      <c r="V917">
        <f>VLOOKUP(Table9[[#This Row],[Shortname]], Comp[], 19, FALSE)</f>
        <v>0</v>
      </c>
      <c r="W917">
        <f>VLOOKUP(Table9[[#This Row],[Shortname]], Comp[], 20, FALSE)</f>
        <v>0</v>
      </c>
      <c r="X917">
        <f>VLOOKUP(Table9[[#This Row],[Shortname]], Comp[], 21, FALSE)</f>
        <v>0</v>
      </c>
      <c r="Y917">
        <f>VLOOKUP(Table9[[#This Row],[Shortname]], Comp[], 22, FALSE)</f>
        <v>0</v>
      </c>
      <c r="Z917">
        <f>VLOOKUP(Table9[[#This Row],[Shortname]], Comp[], 23, FALSE)</f>
        <v>0</v>
      </c>
      <c r="AA917">
        <f>VLOOKUP(Table9[[#This Row],[Shortname]], Comp[], 24, FALSE)</f>
        <v>0</v>
      </c>
      <c r="AB917">
        <f>VLOOKUP(Table9[[#This Row],[Shortname]], Comp[], 25, FALSE)</f>
        <v>0</v>
      </c>
      <c r="AC917">
        <f>VLOOKUP(Table9[[#This Row],[Shortname]], Comp[], 26, FALSE)</f>
        <v>0</v>
      </c>
      <c r="AD917">
        <f>VLOOKUP(Table9[[#This Row],[Shortname]], Comp[], 27, FALSE)</f>
        <v>0</v>
      </c>
      <c r="AE917">
        <f>VLOOKUP(Table9[[#This Row],[Shortname]], Comp[], 28, FALSE)</f>
        <v>0</v>
      </c>
      <c r="AF917">
        <f>VLOOKUP(Table9[[#This Row],[Shortname]], Comp[], 29, FALSE)</f>
        <v>0</v>
      </c>
      <c r="AG917">
        <f>VLOOKUP(Table9[[#This Row],[Shortname]], Comp[], 30, FALSE)</f>
        <v>0</v>
      </c>
      <c r="AH917">
        <f>VLOOKUP(Table9[[#This Row],[Shortname]], Comp[], 31, FALSE)</f>
        <v>0</v>
      </c>
    </row>
    <row r="918" spans="1:34" x14ac:dyDescent="0.3">
      <c r="A918" t="s">
        <v>5524</v>
      </c>
      <c r="B918" t="s">
        <v>5526</v>
      </c>
      <c r="C918" t="s">
        <v>6914</v>
      </c>
      <c r="D918">
        <v>503</v>
      </c>
      <c r="E918">
        <v>870</v>
      </c>
      <c r="F918">
        <v>1E-3</v>
      </c>
      <c r="G918">
        <v>1</v>
      </c>
      <c r="H918" t="s">
        <v>6803</v>
      </c>
      <c r="I918">
        <f>VLOOKUP(Table9[[#This Row],[Shortname]], Comp[], 6, FALSE)</f>
        <v>853</v>
      </c>
      <c r="J918" s="14">
        <f>VLOOKUP(Table9[[#This Row],[Shortname]], Comp[], 7, FALSE)</f>
        <v>52.1</v>
      </c>
      <c r="K918">
        <f>VLOOKUP(Table9[[#This Row],[Shortname]], Comp[], 8, FALSE)</f>
        <v>30.5</v>
      </c>
      <c r="L918">
        <f>VLOOKUP(Table9[[#This Row],[Shortname]], Comp[], 9, FALSE)</f>
        <v>9.5</v>
      </c>
      <c r="M918">
        <f>VLOOKUP(Table9[[#This Row],[Shortname]], Comp[], 10, FALSE)</f>
        <v>0</v>
      </c>
      <c r="N918">
        <f>VLOOKUP(Table9[[#This Row],[Shortname]], Comp[], 11, FALSE)</f>
        <v>0</v>
      </c>
      <c r="O918">
        <f>VLOOKUP(Table9[[#This Row],[Shortname]], Comp[],12, FALSE)</f>
        <v>1</v>
      </c>
      <c r="P918">
        <f>VLOOKUP(Table9[[#This Row],[Shortname]], Comp[], 13, FALSE)</f>
        <v>0</v>
      </c>
      <c r="Q918">
        <f>VLOOKUP(Table9[[#This Row],[Shortname]], Comp[], 14, FALSE)</f>
        <v>2</v>
      </c>
      <c r="R918">
        <f>VLOOKUP(Table9[[#This Row],[Shortname]], Comp[], 15, FALSE)</f>
        <v>0</v>
      </c>
      <c r="S918">
        <f>VLOOKUP(Table9[[#This Row],[Shortname]], Comp[], 16, FALSE)</f>
        <v>4.9000000000000004</v>
      </c>
      <c r="T918">
        <f>VLOOKUP(Table9[[#This Row],[Shortname]], Comp[], 17, FALSE)</f>
        <v>0</v>
      </c>
      <c r="U918">
        <f>VLOOKUP(Table9[[#This Row],[Shortname]], Comp[], 18, FALSE)</f>
        <v>0</v>
      </c>
      <c r="V918">
        <f>VLOOKUP(Table9[[#This Row],[Shortname]], Comp[], 19, FALSE)</f>
        <v>0</v>
      </c>
      <c r="W918">
        <f>VLOOKUP(Table9[[#This Row],[Shortname]], Comp[], 20, FALSE)</f>
        <v>0</v>
      </c>
      <c r="X918">
        <f>VLOOKUP(Table9[[#This Row],[Shortname]], Comp[], 21, FALSE)</f>
        <v>0</v>
      </c>
      <c r="Y918">
        <f>VLOOKUP(Table9[[#This Row],[Shortname]], Comp[], 22, FALSE)</f>
        <v>0</v>
      </c>
      <c r="Z918">
        <f>VLOOKUP(Table9[[#This Row],[Shortname]], Comp[], 23, FALSE)</f>
        <v>0</v>
      </c>
      <c r="AA918">
        <f>VLOOKUP(Table9[[#This Row],[Shortname]], Comp[], 24, FALSE)</f>
        <v>0</v>
      </c>
      <c r="AB918">
        <f>VLOOKUP(Table9[[#This Row],[Shortname]], Comp[], 25, FALSE)</f>
        <v>0</v>
      </c>
      <c r="AC918">
        <f>VLOOKUP(Table9[[#This Row],[Shortname]], Comp[], 26, FALSE)</f>
        <v>0</v>
      </c>
      <c r="AD918">
        <f>VLOOKUP(Table9[[#This Row],[Shortname]], Comp[], 27, FALSE)</f>
        <v>0</v>
      </c>
      <c r="AE918">
        <f>VLOOKUP(Table9[[#This Row],[Shortname]], Comp[], 28, FALSE)</f>
        <v>0</v>
      </c>
      <c r="AF918">
        <f>VLOOKUP(Table9[[#This Row],[Shortname]], Comp[], 29, FALSE)</f>
        <v>0</v>
      </c>
      <c r="AG918">
        <f>VLOOKUP(Table9[[#This Row],[Shortname]], Comp[], 30, FALSE)</f>
        <v>0</v>
      </c>
      <c r="AH918">
        <f>VLOOKUP(Table9[[#This Row],[Shortname]], Comp[], 31, FALSE)</f>
        <v>0</v>
      </c>
    </row>
    <row r="919" spans="1:34" x14ac:dyDescent="0.3">
      <c r="A919" t="s">
        <v>5530</v>
      </c>
      <c r="B919" t="s">
        <v>5531</v>
      </c>
      <c r="C919" t="s">
        <v>6914</v>
      </c>
      <c r="D919">
        <v>720</v>
      </c>
      <c r="E919">
        <v>25</v>
      </c>
      <c r="F919">
        <v>1E-3</v>
      </c>
      <c r="G919">
        <v>1</v>
      </c>
      <c r="H919" t="s">
        <v>6803</v>
      </c>
      <c r="I919">
        <f>VLOOKUP(Table9[[#This Row],[Shortname]], Comp[], 6, FALSE)</f>
        <v>854</v>
      </c>
      <c r="J919" s="14">
        <f>VLOOKUP(Table9[[#This Row],[Shortname]], Comp[], 7, FALSE)</f>
        <v>50.899999999999991</v>
      </c>
      <c r="K919">
        <f>VLOOKUP(Table9[[#This Row],[Shortname]], Comp[], 8, FALSE)</f>
        <v>30.6</v>
      </c>
      <c r="L919">
        <f>VLOOKUP(Table9[[#This Row],[Shortname]], Comp[], 9, FALSE)</f>
        <v>9.3000000000000007</v>
      </c>
      <c r="M919">
        <f>VLOOKUP(Table9[[#This Row],[Shortname]], Comp[], 10, FALSE)</f>
        <v>0</v>
      </c>
      <c r="N919">
        <f>VLOOKUP(Table9[[#This Row],[Shortname]], Comp[], 11, FALSE)</f>
        <v>0</v>
      </c>
      <c r="O919">
        <f>VLOOKUP(Table9[[#This Row],[Shortname]], Comp[],12, FALSE)</f>
        <v>1.9</v>
      </c>
      <c r="P919">
        <f>VLOOKUP(Table9[[#This Row],[Shortname]], Comp[], 13, FALSE)</f>
        <v>0</v>
      </c>
      <c r="Q919">
        <f>VLOOKUP(Table9[[#This Row],[Shortname]], Comp[], 14, FALSE)</f>
        <v>2.1</v>
      </c>
      <c r="R919">
        <f>VLOOKUP(Table9[[#This Row],[Shortname]], Comp[], 15, FALSE)</f>
        <v>0</v>
      </c>
      <c r="S919">
        <f>VLOOKUP(Table9[[#This Row],[Shortname]], Comp[], 16, FALSE)</f>
        <v>5.2</v>
      </c>
      <c r="T919">
        <f>VLOOKUP(Table9[[#This Row],[Shortname]], Comp[], 17, FALSE)</f>
        <v>0</v>
      </c>
      <c r="U919">
        <f>VLOOKUP(Table9[[#This Row],[Shortname]], Comp[], 18, FALSE)</f>
        <v>0</v>
      </c>
      <c r="V919">
        <f>VLOOKUP(Table9[[#This Row],[Shortname]], Comp[], 19, FALSE)</f>
        <v>0</v>
      </c>
      <c r="W919">
        <f>VLOOKUP(Table9[[#This Row],[Shortname]], Comp[], 20, FALSE)</f>
        <v>0</v>
      </c>
      <c r="X919">
        <f>VLOOKUP(Table9[[#This Row],[Shortname]], Comp[], 21, FALSE)</f>
        <v>0</v>
      </c>
      <c r="Y919">
        <f>VLOOKUP(Table9[[#This Row],[Shortname]], Comp[], 22, FALSE)</f>
        <v>0</v>
      </c>
      <c r="Z919">
        <f>VLOOKUP(Table9[[#This Row],[Shortname]], Comp[], 23, FALSE)</f>
        <v>0</v>
      </c>
      <c r="AA919">
        <f>VLOOKUP(Table9[[#This Row],[Shortname]], Comp[], 24, FALSE)</f>
        <v>0</v>
      </c>
      <c r="AB919">
        <f>VLOOKUP(Table9[[#This Row],[Shortname]], Comp[], 25, FALSE)</f>
        <v>0</v>
      </c>
      <c r="AC919">
        <f>VLOOKUP(Table9[[#This Row],[Shortname]], Comp[], 26, FALSE)</f>
        <v>0</v>
      </c>
      <c r="AD919">
        <f>VLOOKUP(Table9[[#This Row],[Shortname]], Comp[], 27, FALSE)</f>
        <v>0</v>
      </c>
      <c r="AE919">
        <f>VLOOKUP(Table9[[#This Row],[Shortname]], Comp[], 28, FALSE)</f>
        <v>0</v>
      </c>
      <c r="AF919">
        <f>VLOOKUP(Table9[[#This Row],[Shortname]], Comp[], 29, FALSE)</f>
        <v>0</v>
      </c>
      <c r="AG919">
        <f>VLOOKUP(Table9[[#This Row],[Shortname]], Comp[], 30, FALSE)</f>
        <v>0</v>
      </c>
      <c r="AH919">
        <f>VLOOKUP(Table9[[#This Row],[Shortname]], Comp[], 31, FALSE)</f>
        <v>0</v>
      </c>
    </row>
    <row r="920" spans="1:34" x14ac:dyDescent="0.3">
      <c r="A920" t="s">
        <v>5530</v>
      </c>
      <c r="B920" t="s">
        <v>5531</v>
      </c>
      <c r="C920" t="s">
        <v>6915</v>
      </c>
      <c r="D920">
        <v>634</v>
      </c>
      <c r="E920">
        <v>570</v>
      </c>
      <c r="F920">
        <v>1E-3</v>
      </c>
      <c r="G920">
        <v>1</v>
      </c>
      <c r="H920" t="s">
        <v>6803</v>
      </c>
      <c r="I920">
        <f>VLOOKUP(Table9[[#This Row],[Shortname]], Comp[], 6, FALSE)</f>
        <v>854</v>
      </c>
      <c r="J920" s="14">
        <f>VLOOKUP(Table9[[#This Row],[Shortname]], Comp[], 7, FALSE)</f>
        <v>50.899999999999991</v>
      </c>
      <c r="K920">
        <f>VLOOKUP(Table9[[#This Row],[Shortname]], Comp[], 8, FALSE)</f>
        <v>30.6</v>
      </c>
      <c r="L920">
        <f>VLOOKUP(Table9[[#This Row],[Shortname]], Comp[], 9, FALSE)</f>
        <v>9.3000000000000007</v>
      </c>
      <c r="M920">
        <f>VLOOKUP(Table9[[#This Row],[Shortname]], Comp[], 10, FALSE)</f>
        <v>0</v>
      </c>
      <c r="N920">
        <f>VLOOKUP(Table9[[#This Row],[Shortname]], Comp[], 11, FALSE)</f>
        <v>0</v>
      </c>
      <c r="O920">
        <f>VLOOKUP(Table9[[#This Row],[Shortname]], Comp[],12, FALSE)</f>
        <v>1.9</v>
      </c>
      <c r="P920">
        <f>VLOOKUP(Table9[[#This Row],[Shortname]], Comp[], 13, FALSE)</f>
        <v>0</v>
      </c>
      <c r="Q920">
        <f>VLOOKUP(Table9[[#This Row],[Shortname]], Comp[], 14, FALSE)</f>
        <v>2.1</v>
      </c>
      <c r="R920">
        <f>VLOOKUP(Table9[[#This Row],[Shortname]], Comp[], 15, FALSE)</f>
        <v>0</v>
      </c>
      <c r="S920">
        <f>VLOOKUP(Table9[[#This Row],[Shortname]], Comp[], 16, FALSE)</f>
        <v>5.2</v>
      </c>
      <c r="T920">
        <f>VLOOKUP(Table9[[#This Row],[Shortname]], Comp[], 17, FALSE)</f>
        <v>0</v>
      </c>
      <c r="U920">
        <f>VLOOKUP(Table9[[#This Row],[Shortname]], Comp[], 18, FALSE)</f>
        <v>0</v>
      </c>
      <c r="V920">
        <f>VLOOKUP(Table9[[#This Row],[Shortname]], Comp[], 19, FALSE)</f>
        <v>0</v>
      </c>
      <c r="W920">
        <f>VLOOKUP(Table9[[#This Row],[Shortname]], Comp[], 20, FALSE)</f>
        <v>0</v>
      </c>
      <c r="X920">
        <f>VLOOKUP(Table9[[#This Row],[Shortname]], Comp[], 21, FALSE)</f>
        <v>0</v>
      </c>
      <c r="Y920">
        <f>VLOOKUP(Table9[[#This Row],[Shortname]], Comp[], 22, FALSE)</f>
        <v>0</v>
      </c>
      <c r="Z920">
        <f>VLOOKUP(Table9[[#This Row],[Shortname]], Comp[], 23, FALSE)</f>
        <v>0</v>
      </c>
      <c r="AA920">
        <f>VLOOKUP(Table9[[#This Row],[Shortname]], Comp[], 24, FALSE)</f>
        <v>0</v>
      </c>
      <c r="AB920">
        <f>VLOOKUP(Table9[[#This Row],[Shortname]], Comp[], 25, FALSE)</f>
        <v>0</v>
      </c>
      <c r="AC920">
        <f>VLOOKUP(Table9[[#This Row],[Shortname]], Comp[], 26, FALSE)</f>
        <v>0</v>
      </c>
      <c r="AD920">
        <f>VLOOKUP(Table9[[#This Row],[Shortname]], Comp[], 27, FALSE)</f>
        <v>0</v>
      </c>
      <c r="AE920">
        <f>VLOOKUP(Table9[[#This Row],[Shortname]], Comp[], 28, FALSE)</f>
        <v>0</v>
      </c>
      <c r="AF920">
        <f>VLOOKUP(Table9[[#This Row],[Shortname]], Comp[], 29, FALSE)</f>
        <v>0</v>
      </c>
      <c r="AG920">
        <f>VLOOKUP(Table9[[#This Row],[Shortname]], Comp[], 30, FALSE)</f>
        <v>0</v>
      </c>
      <c r="AH920">
        <f>VLOOKUP(Table9[[#This Row],[Shortname]], Comp[], 31, FALSE)</f>
        <v>0</v>
      </c>
    </row>
    <row r="921" spans="1:34" x14ac:dyDescent="0.3">
      <c r="A921" t="s">
        <v>5530</v>
      </c>
      <c r="B921" t="s">
        <v>5531</v>
      </c>
      <c r="C921" t="s">
        <v>6916</v>
      </c>
      <c r="D921">
        <v>602</v>
      </c>
      <c r="E921">
        <v>670</v>
      </c>
      <c r="F921">
        <v>1E-3</v>
      </c>
      <c r="G921">
        <v>1</v>
      </c>
      <c r="H921" t="s">
        <v>6803</v>
      </c>
      <c r="I921">
        <f>VLOOKUP(Table9[[#This Row],[Shortname]], Comp[], 6, FALSE)</f>
        <v>854</v>
      </c>
      <c r="J921" s="14">
        <f>VLOOKUP(Table9[[#This Row],[Shortname]], Comp[], 7, FALSE)</f>
        <v>50.899999999999991</v>
      </c>
      <c r="K921">
        <f>VLOOKUP(Table9[[#This Row],[Shortname]], Comp[], 8, FALSE)</f>
        <v>30.6</v>
      </c>
      <c r="L921">
        <f>VLOOKUP(Table9[[#This Row],[Shortname]], Comp[], 9, FALSE)</f>
        <v>9.3000000000000007</v>
      </c>
      <c r="M921">
        <f>VLOOKUP(Table9[[#This Row],[Shortname]], Comp[], 10, FALSE)</f>
        <v>0</v>
      </c>
      <c r="N921">
        <f>VLOOKUP(Table9[[#This Row],[Shortname]], Comp[], 11, FALSE)</f>
        <v>0</v>
      </c>
      <c r="O921">
        <f>VLOOKUP(Table9[[#This Row],[Shortname]], Comp[],12, FALSE)</f>
        <v>1.9</v>
      </c>
      <c r="P921">
        <f>VLOOKUP(Table9[[#This Row],[Shortname]], Comp[], 13, FALSE)</f>
        <v>0</v>
      </c>
      <c r="Q921">
        <f>VLOOKUP(Table9[[#This Row],[Shortname]], Comp[], 14, FALSE)</f>
        <v>2.1</v>
      </c>
      <c r="R921">
        <f>VLOOKUP(Table9[[#This Row],[Shortname]], Comp[], 15, FALSE)</f>
        <v>0</v>
      </c>
      <c r="S921">
        <f>VLOOKUP(Table9[[#This Row],[Shortname]], Comp[], 16, FALSE)</f>
        <v>5.2</v>
      </c>
      <c r="T921">
        <f>VLOOKUP(Table9[[#This Row],[Shortname]], Comp[], 17, FALSE)</f>
        <v>0</v>
      </c>
      <c r="U921">
        <f>VLOOKUP(Table9[[#This Row],[Shortname]], Comp[], 18, FALSE)</f>
        <v>0</v>
      </c>
      <c r="V921">
        <f>VLOOKUP(Table9[[#This Row],[Shortname]], Comp[], 19, FALSE)</f>
        <v>0</v>
      </c>
      <c r="W921">
        <f>VLOOKUP(Table9[[#This Row],[Shortname]], Comp[], 20, FALSE)</f>
        <v>0</v>
      </c>
      <c r="X921">
        <f>VLOOKUP(Table9[[#This Row],[Shortname]], Comp[], 21, FALSE)</f>
        <v>0</v>
      </c>
      <c r="Y921">
        <f>VLOOKUP(Table9[[#This Row],[Shortname]], Comp[], 22, FALSE)</f>
        <v>0</v>
      </c>
      <c r="Z921">
        <f>VLOOKUP(Table9[[#This Row],[Shortname]], Comp[], 23, FALSE)</f>
        <v>0</v>
      </c>
      <c r="AA921">
        <f>VLOOKUP(Table9[[#This Row],[Shortname]], Comp[], 24, FALSE)</f>
        <v>0</v>
      </c>
      <c r="AB921">
        <f>VLOOKUP(Table9[[#This Row],[Shortname]], Comp[], 25, FALSE)</f>
        <v>0</v>
      </c>
      <c r="AC921">
        <f>VLOOKUP(Table9[[#This Row],[Shortname]], Comp[], 26, FALSE)</f>
        <v>0</v>
      </c>
      <c r="AD921">
        <f>VLOOKUP(Table9[[#This Row],[Shortname]], Comp[], 27, FALSE)</f>
        <v>0</v>
      </c>
      <c r="AE921">
        <f>VLOOKUP(Table9[[#This Row],[Shortname]], Comp[], 28, FALSE)</f>
        <v>0</v>
      </c>
      <c r="AF921">
        <f>VLOOKUP(Table9[[#This Row],[Shortname]], Comp[], 29, FALSE)</f>
        <v>0</v>
      </c>
      <c r="AG921">
        <f>VLOOKUP(Table9[[#This Row],[Shortname]], Comp[], 30, FALSE)</f>
        <v>0</v>
      </c>
      <c r="AH921">
        <f>VLOOKUP(Table9[[#This Row],[Shortname]], Comp[], 31, FALSE)</f>
        <v>0</v>
      </c>
    </row>
    <row r="922" spans="1:34" x14ac:dyDescent="0.3">
      <c r="A922" t="s">
        <v>5530</v>
      </c>
      <c r="B922" t="s">
        <v>5531</v>
      </c>
      <c r="C922" t="s">
        <v>6917</v>
      </c>
      <c r="D922">
        <v>631</v>
      </c>
      <c r="E922">
        <v>770</v>
      </c>
      <c r="F922">
        <v>1E-3</v>
      </c>
      <c r="G922">
        <v>1</v>
      </c>
      <c r="H922" t="s">
        <v>6803</v>
      </c>
      <c r="I922">
        <f>VLOOKUP(Table9[[#This Row],[Shortname]], Comp[], 6, FALSE)</f>
        <v>854</v>
      </c>
      <c r="J922" s="14">
        <f>VLOOKUP(Table9[[#This Row],[Shortname]], Comp[], 7, FALSE)</f>
        <v>50.899999999999991</v>
      </c>
      <c r="K922">
        <f>VLOOKUP(Table9[[#This Row],[Shortname]], Comp[], 8, FALSE)</f>
        <v>30.6</v>
      </c>
      <c r="L922">
        <f>VLOOKUP(Table9[[#This Row],[Shortname]], Comp[], 9, FALSE)</f>
        <v>9.3000000000000007</v>
      </c>
      <c r="M922">
        <f>VLOOKUP(Table9[[#This Row],[Shortname]], Comp[], 10, FALSE)</f>
        <v>0</v>
      </c>
      <c r="N922">
        <f>VLOOKUP(Table9[[#This Row],[Shortname]], Comp[], 11, FALSE)</f>
        <v>0</v>
      </c>
      <c r="O922">
        <f>VLOOKUP(Table9[[#This Row],[Shortname]], Comp[],12, FALSE)</f>
        <v>1.9</v>
      </c>
      <c r="P922">
        <f>VLOOKUP(Table9[[#This Row],[Shortname]], Comp[], 13, FALSE)</f>
        <v>0</v>
      </c>
      <c r="Q922">
        <f>VLOOKUP(Table9[[#This Row],[Shortname]], Comp[], 14, FALSE)</f>
        <v>2.1</v>
      </c>
      <c r="R922">
        <f>VLOOKUP(Table9[[#This Row],[Shortname]], Comp[], 15, FALSE)</f>
        <v>0</v>
      </c>
      <c r="S922">
        <f>VLOOKUP(Table9[[#This Row],[Shortname]], Comp[], 16, FALSE)</f>
        <v>5.2</v>
      </c>
      <c r="T922">
        <f>VLOOKUP(Table9[[#This Row],[Shortname]], Comp[], 17, FALSE)</f>
        <v>0</v>
      </c>
      <c r="U922">
        <f>VLOOKUP(Table9[[#This Row],[Shortname]], Comp[], 18, FALSE)</f>
        <v>0</v>
      </c>
      <c r="V922">
        <f>VLOOKUP(Table9[[#This Row],[Shortname]], Comp[], 19, FALSE)</f>
        <v>0</v>
      </c>
      <c r="W922">
        <f>VLOOKUP(Table9[[#This Row],[Shortname]], Comp[], 20, FALSE)</f>
        <v>0</v>
      </c>
      <c r="X922">
        <f>VLOOKUP(Table9[[#This Row],[Shortname]], Comp[], 21, FALSE)</f>
        <v>0</v>
      </c>
      <c r="Y922">
        <f>VLOOKUP(Table9[[#This Row],[Shortname]], Comp[], 22, FALSE)</f>
        <v>0</v>
      </c>
      <c r="Z922">
        <f>VLOOKUP(Table9[[#This Row],[Shortname]], Comp[], 23, FALSE)</f>
        <v>0</v>
      </c>
      <c r="AA922">
        <f>VLOOKUP(Table9[[#This Row],[Shortname]], Comp[], 24, FALSE)</f>
        <v>0</v>
      </c>
      <c r="AB922">
        <f>VLOOKUP(Table9[[#This Row],[Shortname]], Comp[], 25, FALSE)</f>
        <v>0</v>
      </c>
      <c r="AC922">
        <f>VLOOKUP(Table9[[#This Row],[Shortname]], Comp[], 26, FALSE)</f>
        <v>0</v>
      </c>
      <c r="AD922">
        <f>VLOOKUP(Table9[[#This Row],[Shortname]], Comp[], 27, FALSE)</f>
        <v>0</v>
      </c>
      <c r="AE922">
        <f>VLOOKUP(Table9[[#This Row],[Shortname]], Comp[], 28, FALSE)</f>
        <v>0</v>
      </c>
      <c r="AF922">
        <f>VLOOKUP(Table9[[#This Row],[Shortname]], Comp[], 29, FALSE)</f>
        <v>0</v>
      </c>
      <c r="AG922">
        <f>VLOOKUP(Table9[[#This Row],[Shortname]], Comp[], 30, FALSE)</f>
        <v>0</v>
      </c>
      <c r="AH922">
        <f>VLOOKUP(Table9[[#This Row],[Shortname]], Comp[], 31, FALSE)</f>
        <v>0</v>
      </c>
    </row>
    <row r="923" spans="1:34" x14ac:dyDescent="0.3">
      <c r="A923" t="s">
        <v>5530</v>
      </c>
      <c r="B923" t="s">
        <v>5531</v>
      </c>
      <c r="C923" t="s">
        <v>6918</v>
      </c>
      <c r="D923">
        <v>602</v>
      </c>
      <c r="E923">
        <v>870</v>
      </c>
      <c r="F923">
        <v>1E-3</v>
      </c>
      <c r="G923">
        <v>1</v>
      </c>
      <c r="H923" t="s">
        <v>6803</v>
      </c>
      <c r="I923">
        <f>VLOOKUP(Table9[[#This Row],[Shortname]], Comp[], 6, FALSE)</f>
        <v>854</v>
      </c>
      <c r="J923" s="14">
        <f>VLOOKUP(Table9[[#This Row],[Shortname]], Comp[], 7, FALSE)</f>
        <v>50.899999999999991</v>
      </c>
      <c r="K923">
        <f>VLOOKUP(Table9[[#This Row],[Shortname]], Comp[], 8, FALSE)</f>
        <v>30.6</v>
      </c>
      <c r="L923">
        <f>VLOOKUP(Table9[[#This Row],[Shortname]], Comp[], 9, FALSE)</f>
        <v>9.3000000000000007</v>
      </c>
      <c r="M923">
        <f>VLOOKUP(Table9[[#This Row],[Shortname]], Comp[], 10, FALSE)</f>
        <v>0</v>
      </c>
      <c r="N923">
        <f>VLOOKUP(Table9[[#This Row],[Shortname]], Comp[], 11, FALSE)</f>
        <v>0</v>
      </c>
      <c r="O923">
        <f>VLOOKUP(Table9[[#This Row],[Shortname]], Comp[],12, FALSE)</f>
        <v>1.9</v>
      </c>
      <c r="P923">
        <f>VLOOKUP(Table9[[#This Row],[Shortname]], Comp[], 13, FALSE)</f>
        <v>0</v>
      </c>
      <c r="Q923">
        <f>VLOOKUP(Table9[[#This Row],[Shortname]], Comp[], 14, FALSE)</f>
        <v>2.1</v>
      </c>
      <c r="R923">
        <f>VLOOKUP(Table9[[#This Row],[Shortname]], Comp[], 15, FALSE)</f>
        <v>0</v>
      </c>
      <c r="S923">
        <f>VLOOKUP(Table9[[#This Row],[Shortname]], Comp[], 16, FALSE)</f>
        <v>5.2</v>
      </c>
      <c r="T923">
        <f>VLOOKUP(Table9[[#This Row],[Shortname]], Comp[], 17, FALSE)</f>
        <v>0</v>
      </c>
      <c r="U923">
        <f>VLOOKUP(Table9[[#This Row],[Shortname]], Comp[], 18, FALSE)</f>
        <v>0</v>
      </c>
      <c r="V923">
        <f>VLOOKUP(Table9[[#This Row],[Shortname]], Comp[], 19, FALSE)</f>
        <v>0</v>
      </c>
      <c r="W923">
        <f>VLOOKUP(Table9[[#This Row],[Shortname]], Comp[], 20, FALSE)</f>
        <v>0</v>
      </c>
      <c r="X923">
        <f>VLOOKUP(Table9[[#This Row],[Shortname]], Comp[], 21, FALSE)</f>
        <v>0</v>
      </c>
      <c r="Y923">
        <f>VLOOKUP(Table9[[#This Row],[Shortname]], Comp[], 22, FALSE)</f>
        <v>0</v>
      </c>
      <c r="Z923">
        <f>VLOOKUP(Table9[[#This Row],[Shortname]], Comp[], 23, FALSE)</f>
        <v>0</v>
      </c>
      <c r="AA923">
        <f>VLOOKUP(Table9[[#This Row],[Shortname]], Comp[], 24, FALSE)</f>
        <v>0</v>
      </c>
      <c r="AB923">
        <f>VLOOKUP(Table9[[#This Row],[Shortname]], Comp[], 25, FALSE)</f>
        <v>0</v>
      </c>
      <c r="AC923">
        <f>VLOOKUP(Table9[[#This Row],[Shortname]], Comp[], 26, FALSE)</f>
        <v>0</v>
      </c>
      <c r="AD923">
        <f>VLOOKUP(Table9[[#This Row],[Shortname]], Comp[], 27, FALSE)</f>
        <v>0</v>
      </c>
      <c r="AE923">
        <f>VLOOKUP(Table9[[#This Row],[Shortname]], Comp[], 28, FALSE)</f>
        <v>0</v>
      </c>
      <c r="AF923">
        <f>VLOOKUP(Table9[[#This Row],[Shortname]], Comp[], 29, FALSE)</f>
        <v>0</v>
      </c>
      <c r="AG923">
        <f>VLOOKUP(Table9[[#This Row],[Shortname]], Comp[], 30, FALSE)</f>
        <v>0</v>
      </c>
      <c r="AH923">
        <f>VLOOKUP(Table9[[#This Row],[Shortname]], Comp[], 31, FALSE)</f>
        <v>0</v>
      </c>
    </row>
    <row r="924" spans="1:34" x14ac:dyDescent="0.3">
      <c r="A924" t="s">
        <v>5534</v>
      </c>
      <c r="B924" t="s">
        <v>5535</v>
      </c>
      <c r="C924" t="s">
        <v>6918</v>
      </c>
      <c r="D924">
        <v>680</v>
      </c>
      <c r="E924">
        <v>25</v>
      </c>
      <c r="F924">
        <v>1E-3</v>
      </c>
      <c r="G924">
        <v>1</v>
      </c>
      <c r="H924" t="s">
        <v>6803</v>
      </c>
      <c r="I924">
        <f>VLOOKUP(Table9[[#This Row],[Shortname]], Comp[], 6, FALSE)</f>
        <v>855</v>
      </c>
      <c r="J924" s="14">
        <f>VLOOKUP(Table9[[#This Row],[Shortname]], Comp[], 7, FALSE)</f>
        <v>50</v>
      </c>
      <c r="K924">
        <f>VLOOKUP(Table9[[#This Row],[Shortname]], Comp[], 8, FALSE)</f>
        <v>30.7</v>
      </c>
      <c r="L924">
        <f>VLOOKUP(Table9[[#This Row],[Shortname]], Comp[], 9, FALSE)</f>
        <v>9.5</v>
      </c>
      <c r="M924">
        <f>VLOOKUP(Table9[[#This Row],[Shortname]], Comp[], 10, FALSE)</f>
        <v>0</v>
      </c>
      <c r="N924">
        <f>VLOOKUP(Table9[[#This Row],[Shortname]], Comp[], 11, FALSE)</f>
        <v>0</v>
      </c>
      <c r="O924">
        <f>VLOOKUP(Table9[[#This Row],[Shortname]], Comp[],12, FALSE)</f>
        <v>3</v>
      </c>
      <c r="P924">
        <f>VLOOKUP(Table9[[#This Row],[Shortname]], Comp[], 13, FALSE)</f>
        <v>0</v>
      </c>
      <c r="Q924">
        <f>VLOOKUP(Table9[[#This Row],[Shortname]], Comp[], 14, FALSE)</f>
        <v>1.9</v>
      </c>
      <c r="R924">
        <f>VLOOKUP(Table9[[#This Row],[Shortname]], Comp[], 15, FALSE)</f>
        <v>0</v>
      </c>
      <c r="S924">
        <f>VLOOKUP(Table9[[#This Row],[Shortname]], Comp[], 16, FALSE)</f>
        <v>4.9000000000000004</v>
      </c>
      <c r="T924">
        <f>VLOOKUP(Table9[[#This Row],[Shortname]], Comp[], 17, FALSE)</f>
        <v>0</v>
      </c>
      <c r="U924">
        <f>VLOOKUP(Table9[[#This Row],[Shortname]], Comp[], 18, FALSE)</f>
        <v>0</v>
      </c>
      <c r="V924">
        <f>VLOOKUP(Table9[[#This Row],[Shortname]], Comp[], 19, FALSE)</f>
        <v>0</v>
      </c>
      <c r="W924">
        <f>VLOOKUP(Table9[[#This Row],[Shortname]], Comp[], 20, FALSE)</f>
        <v>0</v>
      </c>
      <c r="X924">
        <f>VLOOKUP(Table9[[#This Row],[Shortname]], Comp[], 21, FALSE)</f>
        <v>0</v>
      </c>
      <c r="Y924">
        <f>VLOOKUP(Table9[[#This Row],[Shortname]], Comp[], 22, FALSE)</f>
        <v>0</v>
      </c>
      <c r="Z924">
        <f>VLOOKUP(Table9[[#This Row],[Shortname]], Comp[], 23, FALSE)</f>
        <v>0</v>
      </c>
      <c r="AA924">
        <f>VLOOKUP(Table9[[#This Row],[Shortname]], Comp[], 24, FALSE)</f>
        <v>0</v>
      </c>
      <c r="AB924">
        <f>VLOOKUP(Table9[[#This Row],[Shortname]], Comp[], 25, FALSE)</f>
        <v>0</v>
      </c>
      <c r="AC924">
        <f>VLOOKUP(Table9[[#This Row],[Shortname]], Comp[], 26, FALSE)</f>
        <v>0</v>
      </c>
      <c r="AD924">
        <f>VLOOKUP(Table9[[#This Row],[Shortname]], Comp[], 27, FALSE)</f>
        <v>0</v>
      </c>
      <c r="AE924">
        <f>VLOOKUP(Table9[[#This Row],[Shortname]], Comp[], 28, FALSE)</f>
        <v>0</v>
      </c>
      <c r="AF924">
        <f>VLOOKUP(Table9[[#This Row],[Shortname]], Comp[], 29, FALSE)</f>
        <v>0</v>
      </c>
      <c r="AG924">
        <f>VLOOKUP(Table9[[#This Row],[Shortname]], Comp[], 30, FALSE)</f>
        <v>0</v>
      </c>
      <c r="AH924">
        <f>VLOOKUP(Table9[[#This Row],[Shortname]], Comp[], 31, FALSE)</f>
        <v>0</v>
      </c>
    </row>
    <row r="925" spans="1:34" x14ac:dyDescent="0.3">
      <c r="A925" t="s">
        <v>5534</v>
      </c>
      <c r="B925" t="s">
        <v>5535</v>
      </c>
      <c r="C925" t="s">
        <v>6919</v>
      </c>
      <c r="D925">
        <v>663</v>
      </c>
      <c r="E925">
        <v>570</v>
      </c>
      <c r="F925">
        <v>1E-3</v>
      </c>
      <c r="G925">
        <v>1</v>
      </c>
      <c r="H925" t="s">
        <v>6803</v>
      </c>
      <c r="I925">
        <f>VLOOKUP(Table9[[#This Row],[Shortname]], Comp[], 6, FALSE)</f>
        <v>855</v>
      </c>
      <c r="J925" s="14">
        <f>VLOOKUP(Table9[[#This Row],[Shortname]], Comp[], 7, FALSE)</f>
        <v>50</v>
      </c>
      <c r="K925">
        <f>VLOOKUP(Table9[[#This Row],[Shortname]], Comp[], 8, FALSE)</f>
        <v>30.7</v>
      </c>
      <c r="L925">
        <f>VLOOKUP(Table9[[#This Row],[Shortname]], Comp[], 9, FALSE)</f>
        <v>9.5</v>
      </c>
      <c r="M925">
        <f>VLOOKUP(Table9[[#This Row],[Shortname]], Comp[], 10, FALSE)</f>
        <v>0</v>
      </c>
      <c r="N925">
        <f>VLOOKUP(Table9[[#This Row],[Shortname]], Comp[], 11, FALSE)</f>
        <v>0</v>
      </c>
      <c r="O925">
        <f>VLOOKUP(Table9[[#This Row],[Shortname]], Comp[],12, FALSE)</f>
        <v>3</v>
      </c>
      <c r="P925">
        <f>VLOOKUP(Table9[[#This Row],[Shortname]], Comp[], 13, FALSE)</f>
        <v>0</v>
      </c>
      <c r="Q925">
        <f>VLOOKUP(Table9[[#This Row],[Shortname]], Comp[], 14, FALSE)</f>
        <v>1.9</v>
      </c>
      <c r="R925">
        <f>VLOOKUP(Table9[[#This Row],[Shortname]], Comp[], 15, FALSE)</f>
        <v>0</v>
      </c>
      <c r="S925">
        <f>VLOOKUP(Table9[[#This Row],[Shortname]], Comp[], 16, FALSE)</f>
        <v>4.9000000000000004</v>
      </c>
      <c r="T925">
        <f>VLOOKUP(Table9[[#This Row],[Shortname]], Comp[], 17, FALSE)</f>
        <v>0</v>
      </c>
      <c r="U925">
        <f>VLOOKUP(Table9[[#This Row],[Shortname]], Comp[], 18, FALSE)</f>
        <v>0</v>
      </c>
      <c r="V925">
        <f>VLOOKUP(Table9[[#This Row],[Shortname]], Comp[], 19, FALSE)</f>
        <v>0</v>
      </c>
      <c r="W925">
        <f>VLOOKUP(Table9[[#This Row],[Shortname]], Comp[], 20, FALSE)</f>
        <v>0</v>
      </c>
      <c r="X925">
        <f>VLOOKUP(Table9[[#This Row],[Shortname]], Comp[], 21, FALSE)</f>
        <v>0</v>
      </c>
      <c r="Y925">
        <f>VLOOKUP(Table9[[#This Row],[Shortname]], Comp[], 22, FALSE)</f>
        <v>0</v>
      </c>
      <c r="Z925">
        <f>VLOOKUP(Table9[[#This Row],[Shortname]], Comp[], 23, FALSE)</f>
        <v>0</v>
      </c>
      <c r="AA925">
        <f>VLOOKUP(Table9[[#This Row],[Shortname]], Comp[], 24, FALSE)</f>
        <v>0</v>
      </c>
      <c r="AB925">
        <f>VLOOKUP(Table9[[#This Row],[Shortname]], Comp[], 25, FALSE)</f>
        <v>0</v>
      </c>
      <c r="AC925">
        <f>VLOOKUP(Table9[[#This Row],[Shortname]], Comp[], 26, FALSE)</f>
        <v>0</v>
      </c>
      <c r="AD925">
        <f>VLOOKUP(Table9[[#This Row],[Shortname]], Comp[], 27, FALSE)</f>
        <v>0</v>
      </c>
      <c r="AE925">
        <f>VLOOKUP(Table9[[#This Row],[Shortname]], Comp[], 28, FALSE)</f>
        <v>0</v>
      </c>
      <c r="AF925">
        <f>VLOOKUP(Table9[[#This Row],[Shortname]], Comp[], 29, FALSE)</f>
        <v>0</v>
      </c>
      <c r="AG925">
        <f>VLOOKUP(Table9[[#This Row],[Shortname]], Comp[], 30, FALSE)</f>
        <v>0</v>
      </c>
      <c r="AH925">
        <f>VLOOKUP(Table9[[#This Row],[Shortname]], Comp[], 31, FALSE)</f>
        <v>0</v>
      </c>
    </row>
    <row r="926" spans="1:34" x14ac:dyDescent="0.3">
      <c r="A926" t="s">
        <v>5534</v>
      </c>
      <c r="B926" t="s">
        <v>5535</v>
      </c>
      <c r="C926" t="s">
        <v>6920</v>
      </c>
      <c r="D926">
        <v>618</v>
      </c>
      <c r="E926">
        <v>670</v>
      </c>
      <c r="F926">
        <v>1E-3</v>
      </c>
      <c r="G926">
        <v>1</v>
      </c>
      <c r="H926" t="s">
        <v>6803</v>
      </c>
      <c r="I926">
        <f>VLOOKUP(Table9[[#This Row],[Shortname]], Comp[], 6, FALSE)</f>
        <v>855</v>
      </c>
      <c r="J926" s="14">
        <f>VLOOKUP(Table9[[#This Row],[Shortname]], Comp[], 7, FALSE)</f>
        <v>50</v>
      </c>
      <c r="K926">
        <f>VLOOKUP(Table9[[#This Row],[Shortname]], Comp[], 8, FALSE)</f>
        <v>30.7</v>
      </c>
      <c r="L926">
        <f>VLOOKUP(Table9[[#This Row],[Shortname]], Comp[], 9, FALSE)</f>
        <v>9.5</v>
      </c>
      <c r="M926">
        <f>VLOOKUP(Table9[[#This Row],[Shortname]], Comp[], 10, FALSE)</f>
        <v>0</v>
      </c>
      <c r="N926">
        <f>VLOOKUP(Table9[[#This Row],[Shortname]], Comp[], 11, FALSE)</f>
        <v>0</v>
      </c>
      <c r="O926">
        <f>VLOOKUP(Table9[[#This Row],[Shortname]], Comp[],12, FALSE)</f>
        <v>3</v>
      </c>
      <c r="P926">
        <f>VLOOKUP(Table9[[#This Row],[Shortname]], Comp[], 13, FALSE)</f>
        <v>0</v>
      </c>
      <c r="Q926">
        <f>VLOOKUP(Table9[[#This Row],[Shortname]], Comp[], 14, FALSE)</f>
        <v>1.9</v>
      </c>
      <c r="R926">
        <f>VLOOKUP(Table9[[#This Row],[Shortname]], Comp[], 15, FALSE)</f>
        <v>0</v>
      </c>
      <c r="S926">
        <f>VLOOKUP(Table9[[#This Row],[Shortname]], Comp[], 16, FALSE)</f>
        <v>4.9000000000000004</v>
      </c>
      <c r="T926">
        <f>VLOOKUP(Table9[[#This Row],[Shortname]], Comp[], 17, FALSE)</f>
        <v>0</v>
      </c>
      <c r="U926">
        <f>VLOOKUP(Table9[[#This Row],[Shortname]], Comp[], 18, FALSE)</f>
        <v>0</v>
      </c>
      <c r="V926">
        <f>VLOOKUP(Table9[[#This Row],[Shortname]], Comp[], 19, FALSE)</f>
        <v>0</v>
      </c>
      <c r="W926">
        <f>VLOOKUP(Table9[[#This Row],[Shortname]], Comp[], 20, FALSE)</f>
        <v>0</v>
      </c>
      <c r="X926">
        <f>VLOOKUP(Table9[[#This Row],[Shortname]], Comp[], 21, FALSE)</f>
        <v>0</v>
      </c>
      <c r="Y926">
        <f>VLOOKUP(Table9[[#This Row],[Shortname]], Comp[], 22, FALSE)</f>
        <v>0</v>
      </c>
      <c r="Z926">
        <f>VLOOKUP(Table9[[#This Row],[Shortname]], Comp[], 23, FALSE)</f>
        <v>0</v>
      </c>
      <c r="AA926">
        <f>VLOOKUP(Table9[[#This Row],[Shortname]], Comp[], 24, FALSE)</f>
        <v>0</v>
      </c>
      <c r="AB926">
        <f>VLOOKUP(Table9[[#This Row],[Shortname]], Comp[], 25, FALSE)</f>
        <v>0</v>
      </c>
      <c r="AC926">
        <f>VLOOKUP(Table9[[#This Row],[Shortname]], Comp[], 26, FALSE)</f>
        <v>0</v>
      </c>
      <c r="AD926">
        <f>VLOOKUP(Table9[[#This Row],[Shortname]], Comp[], 27, FALSE)</f>
        <v>0</v>
      </c>
      <c r="AE926">
        <f>VLOOKUP(Table9[[#This Row],[Shortname]], Comp[], 28, FALSE)</f>
        <v>0</v>
      </c>
      <c r="AF926">
        <f>VLOOKUP(Table9[[#This Row],[Shortname]], Comp[], 29, FALSE)</f>
        <v>0</v>
      </c>
      <c r="AG926">
        <f>VLOOKUP(Table9[[#This Row],[Shortname]], Comp[], 30, FALSE)</f>
        <v>0</v>
      </c>
      <c r="AH926">
        <f>VLOOKUP(Table9[[#This Row],[Shortname]], Comp[], 31, FALSE)</f>
        <v>0</v>
      </c>
    </row>
    <row r="927" spans="1:34" x14ac:dyDescent="0.3">
      <c r="A927" t="s">
        <v>5534</v>
      </c>
      <c r="B927" t="s">
        <v>5535</v>
      </c>
      <c r="C927" t="s">
        <v>6921</v>
      </c>
      <c r="D927">
        <v>669</v>
      </c>
      <c r="E927">
        <v>770</v>
      </c>
      <c r="F927">
        <v>1E-3</v>
      </c>
      <c r="G927">
        <v>1</v>
      </c>
      <c r="H927" t="s">
        <v>6803</v>
      </c>
      <c r="I927">
        <f>VLOOKUP(Table9[[#This Row],[Shortname]], Comp[], 6, FALSE)</f>
        <v>855</v>
      </c>
      <c r="J927" s="14">
        <f>VLOOKUP(Table9[[#This Row],[Shortname]], Comp[], 7, FALSE)</f>
        <v>50</v>
      </c>
      <c r="K927">
        <f>VLOOKUP(Table9[[#This Row],[Shortname]], Comp[], 8, FALSE)</f>
        <v>30.7</v>
      </c>
      <c r="L927">
        <f>VLOOKUP(Table9[[#This Row],[Shortname]], Comp[], 9, FALSE)</f>
        <v>9.5</v>
      </c>
      <c r="M927">
        <f>VLOOKUP(Table9[[#This Row],[Shortname]], Comp[], 10, FALSE)</f>
        <v>0</v>
      </c>
      <c r="N927">
        <f>VLOOKUP(Table9[[#This Row],[Shortname]], Comp[], 11, FALSE)</f>
        <v>0</v>
      </c>
      <c r="O927">
        <f>VLOOKUP(Table9[[#This Row],[Shortname]], Comp[],12, FALSE)</f>
        <v>3</v>
      </c>
      <c r="P927">
        <f>VLOOKUP(Table9[[#This Row],[Shortname]], Comp[], 13, FALSE)</f>
        <v>0</v>
      </c>
      <c r="Q927">
        <f>VLOOKUP(Table9[[#This Row],[Shortname]], Comp[], 14, FALSE)</f>
        <v>1.9</v>
      </c>
      <c r="R927">
        <f>VLOOKUP(Table9[[#This Row],[Shortname]], Comp[], 15, FALSE)</f>
        <v>0</v>
      </c>
      <c r="S927">
        <f>VLOOKUP(Table9[[#This Row],[Shortname]], Comp[], 16, FALSE)</f>
        <v>4.9000000000000004</v>
      </c>
      <c r="T927">
        <f>VLOOKUP(Table9[[#This Row],[Shortname]], Comp[], 17, FALSE)</f>
        <v>0</v>
      </c>
      <c r="U927">
        <f>VLOOKUP(Table9[[#This Row],[Shortname]], Comp[], 18, FALSE)</f>
        <v>0</v>
      </c>
      <c r="V927">
        <f>VLOOKUP(Table9[[#This Row],[Shortname]], Comp[], 19, FALSE)</f>
        <v>0</v>
      </c>
      <c r="W927">
        <f>VLOOKUP(Table9[[#This Row],[Shortname]], Comp[], 20, FALSE)</f>
        <v>0</v>
      </c>
      <c r="X927">
        <f>VLOOKUP(Table9[[#This Row],[Shortname]], Comp[], 21, FALSE)</f>
        <v>0</v>
      </c>
      <c r="Y927">
        <f>VLOOKUP(Table9[[#This Row],[Shortname]], Comp[], 22, FALSE)</f>
        <v>0</v>
      </c>
      <c r="Z927">
        <f>VLOOKUP(Table9[[#This Row],[Shortname]], Comp[], 23, FALSE)</f>
        <v>0</v>
      </c>
      <c r="AA927">
        <f>VLOOKUP(Table9[[#This Row],[Shortname]], Comp[], 24, FALSE)</f>
        <v>0</v>
      </c>
      <c r="AB927">
        <f>VLOOKUP(Table9[[#This Row],[Shortname]], Comp[], 25, FALSE)</f>
        <v>0</v>
      </c>
      <c r="AC927">
        <f>VLOOKUP(Table9[[#This Row],[Shortname]], Comp[], 26, FALSE)</f>
        <v>0</v>
      </c>
      <c r="AD927">
        <f>VLOOKUP(Table9[[#This Row],[Shortname]], Comp[], 27, FALSE)</f>
        <v>0</v>
      </c>
      <c r="AE927">
        <f>VLOOKUP(Table9[[#This Row],[Shortname]], Comp[], 28, FALSE)</f>
        <v>0</v>
      </c>
      <c r="AF927">
        <f>VLOOKUP(Table9[[#This Row],[Shortname]], Comp[], 29, FALSE)</f>
        <v>0</v>
      </c>
      <c r="AG927">
        <f>VLOOKUP(Table9[[#This Row],[Shortname]], Comp[], 30, FALSE)</f>
        <v>0</v>
      </c>
      <c r="AH927">
        <f>VLOOKUP(Table9[[#This Row],[Shortname]], Comp[], 31, FALSE)</f>
        <v>0</v>
      </c>
    </row>
    <row r="928" spans="1:34" x14ac:dyDescent="0.3">
      <c r="A928" t="s">
        <v>5534</v>
      </c>
      <c r="B928" t="s">
        <v>5535</v>
      </c>
      <c r="C928" t="s">
        <v>6922</v>
      </c>
      <c r="D928">
        <v>548</v>
      </c>
      <c r="E928">
        <v>870</v>
      </c>
      <c r="F928">
        <v>1E-3</v>
      </c>
      <c r="G928">
        <v>1</v>
      </c>
      <c r="H928" t="s">
        <v>6803</v>
      </c>
      <c r="I928">
        <f>VLOOKUP(Table9[[#This Row],[Shortname]], Comp[], 6, FALSE)</f>
        <v>855</v>
      </c>
      <c r="J928" s="14">
        <f>VLOOKUP(Table9[[#This Row],[Shortname]], Comp[], 7, FALSE)</f>
        <v>50</v>
      </c>
      <c r="K928">
        <f>VLOOKUP(Table9[[#This Row],[Shortname]], Comp[], 8, FALSE)</f>
        <v>30.7</v>
      </c>
      <c r="L928">
        <f>VLOOKUP(Table9[[#This Row],[Shortname]], Comp[], 9, FALSE)</f>
        <v>9.5</v>
      </c>
      <c r="M928">
        <f>VLOOKUP(Table9[[#This Row],[Shortname]], Comp[], 10, FALSE)</f>
        <v>0</v>
      </c>
      <c r="N928">
        <f>VLOOKUP(Table9[[#This Row],[Shortname]], Comp[], 11, FALSE)</f>
        <v>0</v>
      </c>
      <c r="O928">
        <f>VLOOKUP(Table9[[#This Row],[Shortname]], Comp[],12, FALSE)</f>
        <v>3</v>
      </c>
      <c r="P928">
        <f>VLOOKUP(Table9[[#This Row],[Shortname]], Comp[], 13, FALSE)</f>
        <v>0</v>
      </c>
      <c r="Q928">
        <f>VLOOKUP(Table9[[#This Row],[Shortname]], Comp[], 14, FALSE)</f>
        <v>1.9</v>
      </c>
      <c r="R928">
        <f>VLOOKUP(Table9[[#This Row],[Shortname]], Comp[], 15, FALSE)</f>
        <v>0</v>
      </c>
      <c r="S928">
        <f>VLOOKUP(Table9[[#This Row],[Shortname]], Comp[], 16, FALSE)</f>
        <v>4.9000000000000004</v>
      </c>
      <c r="T928">
        <f>VLOOKUP(Table9[[#This Row],[Shortname]], Comp[], 17, FALSE)</f>
        <v>0</v>
      </c>
      <c r="U928">
        <f>VLOOKUP(Table9[[#This Row],[Shortname]], Comp[], 18, FALSE)</f>
        <v>0</v>
      </c>
      <c r="V928">
        <f>VLOOKUP(Table9[[#This Row],[Shortname]], Comp[], 19, FALSE)</f>
        <v>0</v>
      </c>
      <c r="W928">
        <f>VLOOKUP(Table9[[#This Row],[Shortname]], Comp[], 20, FALSE)</f>
        <v>0</v>
      </c>
      <c r="X928">
        <f>VLOOKUP(Table9[[#This Row],[Shortname]], Comp[], 21, FALSE)</f>
        <v>0</v>
      </c>
      <c r="Y928">
        <f>VLOOKUP(Table9[[#This Row],[Shortname]], Comp[], 22, FALSE)</f>
        <v>0</v>
      </c>
      <c r="Z928">
        <f>VLOOKUP(Table9[[#This Row],[Shortname]], Comp[], 23, FALSE)</f>
        <v>0</v>
      </c>
      <c r="AA928">
        <f>VLOOKUP(Table9[[#This Row],[Shortname]], Comp[], 24, FALSE)</f>
        <v>0</v>
      </c>
      <c r="AB928">
        <f>VLOOKUP(Table9[[#This Row],[Shortname]], Comp[], 25, FALSE)</f>
        <v>0</v>
      </c>
      <c r="AC928">
        <f>VLOOKUP(Table9[[#This Row],[Shortname]], Comp[], 26, FALSE)</f>
        <v>0</v>
      </c>
      <c r="AD928">
        <f>VLOOKUP(Table9[[#This Row],[Shortname]], Comp[], 27, FALSE)</f>
        <v>0</v>
      </c>
      <c r="AE928">
        <f>VLOOKUP(Table9[[#This Row],[Shortname]], Comp[], 28, FALSE)</f>
        <v>0</v>
      </c>
      <c r="AF928">
        <f>VLOOKUP(Table9[[#This Row],[Shortname]], Comp[], 29, FALSE)</f>
        <v>0</v>
      </c>
      <c r="AG928">
        <f>VLOOKUP(Table9[[#This Row],[Shortname]], Comp[], 30, FALSE)</f>
        <v>0</v>
      </c>
      <c r="AH928">
        <f>VLOOKUP(Table9[[#This Row],[Shortname]], Comp[], 31, FALSE)</f>
        <v>0</v>
      </c>
    </row>
    <row r="929" spans="1:34" x14ac:dyDescent="0.3">
      <c r="A929" t="s">
        <v>5539</v>
      </c>
      <c r="B929" t="s">
        <v>5540</v>
      </c>
      <c r="C929" t="s">
        <v>6922</v>
      </c>
      <c r="D929">
        <v>607</v>
      </c>
      <c r="E929">
        <v>25</v>
      </c>
      <c r="F929">
        <v>1E-3</v>
      </c>
      <c r="G929">
        <v>1</v>
      </c>
      <c r="H929" t="s">
        <v>6803</v>
      </c>
      <c r="I929">
        <f>VLOOKUP(Table9[[#This Row],[Shortname]], Comp[], 6, FALSE)</f>
        <v>856</v>
      </c>
      <c r="J929" s="14">
        <f>VLOOKUP(Table9[[#This Row],[Shortname]], Comp[], 7, FALSE)</f>
        <v>49.9</v>
      </c>
      <c r="K929">
        <f>VLOOKUP(Table9[[#This Row],[Shortname]], Comp[], 8, FALSE)</f>
        <v>30.3</v>
      </c>
      <c r="L929">
        <f>VLOOKUP(Table9[[#This Row],[Shortname]], Comp[], 9, FALSE)</f>
        <v>9.4</v>
      </c>
      <c r="M929">
        <f>VLOOKUP(Table9[[#This Row],[Shortname]], Comp[], 10, FALSE)</f>
        <v>0</v>
      </c>
      <c r="N929">
        <f>VLOOKUP(Table9[[#This Row],[Shortname]], Comp[], 11, FALSE)</f>
        <v>0</v>
      </c>
      <c r="O929">
        <f>VLOOKUP(Table9[[#This Row],[Shortname]], Comp[],12, FALSE)</f>
        <v>3.9</v>
      </c>
      <c r="P929">
        <f>VLOOKUP(Table9[[#This Row],[Shortname]], Comp[], 13, FALSE)</f>
        <v>0</v>
      </c>
      <c r="Q929">
        <f>VLOOKUP(Table9[[#This Row],[Shortname]], Comp[], 14, FALSE)</f>
        <v>1.8</v>
      </c>
      <c r="R929">
        <f>VLOOKUP(Table9[[#This Row],[Shortname]], Comp[], 15, FALSE)</f>
        <v>0</v>
      </c>
      <c r="S929">
        <f>VLOOKUP(Table9[[#This Row],[Shortname]], Comp[], 16, FALSE)</f>
        <v>4.7</v>
      </c>
      <c r="T929">
        <f>VLOOKUP(Table9[[#This Row],[Shortname]], Comp[], 17, FALSE)</f>
        <v>0</v>
      </c>
      <c r="U929">
        <f>VLOOKUP(Table9[[#This Row],[Shortname]], Comp[], 18, FALSE)</f>
        <v>0</v>
      </c>
      <c r="V929">
        <f>VLOOKUP(Table9[[#This Row],[Shortname]], Comp[], 19, FALSE)</f>
        <v>0</v>
      </c>
      <c r="W929">
        <f>VLOOKUP(Table9[[#This Row],[Shortname]], Comp[], 20, FALSE)</f>
        <v>0</v>
      </c>
      <c r="X929">
        <f>VLOOKUP(Table9[[#This Row],[Shortname]], Comp[], 21, FALSE)</f>
        <v>0</v>
      </c>
      <c r="Y929">
        <f>VLOOKUP(Table9[[#This Row],[Shortname]], Comp[], 22, FALSE)</f>
        <v>0</v>
      </c>
      <c r="Z929">
        <f>VLOOKUP(Table9[[#This Row],[Shortname]], Comp[], 23, FALSE)</f>
        <v>0</v>
      </c>
      <c r="AA929">
        <f>VLOOKUP(Table9[[#This Row],[Shortname]], Comp[], 24, FALSE)</f>
        <v>0</v>
      </c>
      <c r="AB929">
        <f>VLOOKUP(Table9[[#This Row],[Shortname]], Comp[], 25, FALSE)</f>
        <v>0</v>
      </c>
      <c r="AC929">
        <f>VLOOKUP(Table9[[#This Row],[Shortname]], Comp[], 26, FALSE)</f>
        <v>0</v>
      </c>
      <c r="AD929">
        <f>VLOOKUP(Table9[[#This Row],[Shortname]], Comp[], 27, FALSE)</f>
        <v>0</v>
      </c>
      <c r="AE929">
        <f>VLOOKUP(Table9[[#This Row],[Shortname]], Comp[], 28, FALSE)</f>
        <v>0</v>
      </c>
      <c r="AF929">
        <f>VLOOKUP(Table9[[#This Row],[Shortname]], Comp[], 29, FALSE)</f>
        <v>0</v>
      </c>
      <c r="AG929">
        <f>VLOOKUP(Table9[[#This Row],[Shortname]], Comp[], 30, FALSE)</f>
        <v>0</v>
      </c>
      <c r="AH929">
        <f>VLOOKUP(Table9[[#This Row],[Shortname]], Comp[], 31, FALSE)</f>
        <v>0</v>
      </c>
    </row>
    <row r="930" spans="1:34" x14ac:dyDescent="0.3">
      <c r="A930" t="s">
        <v>5539</v>
      </c>
      <c r="B930" t="s">
        <v>5540</v>
      </c>
      <c r="C930" t="s">
        <v>6923</v>
      </c>
      <c r="D930">
        <v>551</v>
      </c>
      <c r="E930">
        <v>570</v>
      </c>
      <c r="F930">
        <v>1E-3</v>
      </c>
      <c r="G930">
        <v>1</v>
      </c>
      <c r="H930" t="s">
        <v>6803</v>
      </c>
      <c r="I930">
        <f>VLOOKUP(Table9[[#This Row],[Shortname]], Comp[], 6, FALSE)</f>
        <v>856</v>
      </c>
      <c r="J930" s="14">
        <f>VLOOKUP(Table9[[#This Row],[Shortname]], Comp[], 7, FALSE)</f>
        <v>49.9</v>
      </c>
      <c r="K930">
        <f>VLOOKUP(Table9[[#This Row],[Shortname]], Comp[], 8, FALSE)</f>
        <v>30.3</v>
      </c>
      <c r="L930">
        <f>VLOOKUP(Table9[[#This Row],[Shortname]], Comp[], 9, FALSE)</f>
        <v>9.4</v>
      </c>
      <c r="M930">
        <f>VLOOKUP(Table9[[#This Row],[Shortname]], Comp[], 10, FALSE)</f>
        <v>0</v>
      </c>
      <c r="N930">
        <f>VLOOKUP(Table9[[#This Row],[Shortname]], Comp[], 11, FALSE)</f>
        <v>0</v>
      </c>
      <c r="O930">
        <f>VLOOKUP(Table9[[#This Row],[Shortname]], Comp[],12, FALSE)</f>
        <v>3.9</v>
      </c>
      <c r="P930">
        <f>VLOOKUP(Table9[[#This Row],[Shortname]], Comp[], 13, FALSE)</f>
        <v>0</v>
      </c>
      <c r="Q930">
        <f>VLOOKUP(Table9[[#This Row],[Shortname]], Comp[], 14, FALSE)</f>
        <v>1.8</v>
      </c>
      <c r="R930">
        <f>VLOOKUP(Table9[[#This Row],[Shortname]], Comp[], 15, FALSE)</f>
        <v>0</v>
      </c>
      <c r="S930">
        <f>VLOOKUP(Table9[[#This Row],[Shortname]], Comp[], 16, FALSE)</f>
        <v>4.7</v>
      </c>
      <c r="T930">
        <f>VLOOKUP(Table9[[#This Row],[Shortname]], Comp[], 17, FALSE)</f>
        <v>0</v>
      </c>
      <c r="U930">
        <f>VLOOKUP(Table9[[#This Row],[Shortname]], Comp[], 18, FALSE)</f>
        <v>0</v>
      </c>
      <c r="V930">
        <f>VLOOKUP(Table9[[#This Row],[Shortname]], Comp[], 19, FALSE)</f>
        <v>0</v>
      </c>
      <c r="W930">
        <f>VLOOKUP(Table9[[#This Row],[Shortname]], Comp[], 20, FALSE)</f>
        <v>0</v>
      </c>
      <c r="X930">
        <f>VLOOKUP(Table9[[#This Row],[Shortname]], Comp[], 21, FALSE)</f>
        <v>0</v>
      </c>
      <c r="Y930">
        <f>VLOOKUP(Table9[[#This Row],[Shortname]], Comp[], 22, FALSE)</f>
        <v>0</v>
      </c>
      <c r="Z930">
        <f>VLOOKUP(Table9[[#This Row],[Shortname]], Comp[], 23, FALSE)</f>
        <v>0</v>
      </c>
      <c r="AA930">
        <f>VLOOKUP(Table9[[#This Row],[Shortname]], Comp[], 24, FALSE)</f>
        <v>0</v>
      </c>
      <c r="AB930">
        <f>VLOOKUP(Table9[[#This Row],[Shortname]], Comp[], 25, FALSE)</f>
        <v>0</v>
      </c>
      <c r="AC930">
        <f>VLOOKUP(Table9[[#This Row],[Shortname]], Comp[], 26, FALSE)</f>
        <v>0</v>
      </c>
      <c r="AD930">
        <f>VLOOKUP(Table9[[#This Row],[Shortname]], Comp[], 27, FALSE)</f>
        <v>0</v>
      </c>
      <c r="AE930">
        <f>VLOOKUP(Table9[[#This Row],[Shortname]], Comp[], 28, FALSE)</f>
        <v>0</v>
      </c>
      <c r="AF930">
        <f>VLOOKUP(Table9[[#This Row],[Shortname]], Comp[], 29, FALSE)</f>
        <v>0</v>
      </c>
      <c r="AG930">
        <f>VLOOKUP(Table9[[#This Row],[Shortname]], Comp[], 30, FALSE)</f>
        <v>0</v>
      </c>
      <c r="AH930">
        <f>VLOOKUP(Table9[[#This Row],[Shortname]], Comp[], 31, FALSE)</f>
        <v>0</v>
      </c>
    </row>
    <row r="931" spans="1:34" x14ac:dyDescent="0.3">
      <c r="A931" t="s">
        <v>5539</v>
      </c>
      <c r="B931" t="s">
        <v>5540</v>
      </c>
      <c r="C931" t="s">
        <v>6924</v>
      </c>
      <c r="D931">
        <v>613</v>
      </c>
      <c r="E931">
        <v>670</v>
      </c>
      <c r="F931">
        <v>1E-3</v>
      </c>
      <c r="G931">
        <v>1</v>
      </c>
      <c r="H931" t="s">
        <v>6803</v>
      </c>
      <c r="I931">
        <f>VLOOKUP(Table9[[#This Row],[Shortname]], Comp[], 6, FALSE)</f>
        <v>856</v>
      </c>
      <c r="J931" s="14">
        <f>VLOOKUP(Table9[[#This Row],[Shortname]], Comp[], 7, FALSE)</f>
        <v>49.9</v>
      </c>
      <c r="K931">
        <f>VLOOKUP(Table9[[#This Row],[Shortname]], Comp[], 8, FALSE)</f>
        <v>30.3</v>
      </c>
      <c r="L931">
        <f>VLOOKUP(Table9[[#This Row],[Shortname]], Comp[], 9, FALSE)</f>
        <v>9.4</v>
      </c>
      <c r="M931">
        <f>VLOOKUP(Table9[[#This Row],[Shortname]], Comp[], 10, FALSE)</f>
        <v>0</v>
      </c>
      <c r="N931">
        <f>VLOOKUP(Table9[[#This Row],[Shortname]], Comp[], 11, FALSE)</f>
        <v>0</v>
      </c>
      <c r="O931">
        <f>VLOOKUP(Table9[[#This Row],[Shortname]], Comp[],12, FALSE)</f>
        <v>3.9</v>
      </c>
      <c r="P931">
        <f>VLOOKUP(Table9[[#This Row],[Shortname]], Comp[], 13, FALSE)</f>
        <v>0</v>
      </c>
      <c r="Q931">
        <f>VLOOKUP(Table9[[#This Row],[Shortname]], Comp[], 14, FALSE)</f>
        <v>1.8</v>
      </c>
      <c r="R931">
        <f>VLOOKUP(Table9[[#This Row],[Shortname]], Comp[], 15, FALSE)</f>
        <v>0</v>
      </c>
      <c r="S931">
        <f>VLOOKUP(Table9[[#This Row],[Shortname]], Comp[], 16, FALSE)</f>
        <v>4.7</v>
      </c>
      <c r="T931">
        <f>VLOOKUP(Table9[[#This Row],[Shortname]], Comp[], 17, FALSE)</f>
        <v>0</v>
      </c>
      <c r="U931">
        <f>VLOOKUP(Table9[[#This Row],[Shortname]], Comp[], 18, FALSE)</f>
        <v>0</v>
      </c>
      <c r="V931">
        <f>VLOOKUP(Table9[[#This Row],[Shortname]], Comp[], 19, FALSE)</f>
        <v>0</v>
      </c>
      <c r="W931">
        <f>VLOOKUP(Table9[[#This Row],[Shortname]], Comp[], 20, FALSE)</f>
        <v>0</v>
      </c>
      <c r="X931">
        <f>VLOOKUP(Table9[[#This Row],[Shortname]], Comp[], 21, FALSE)</f>
        <v>0</v>
      </c>
      <c r="Y931">
        <f>VLOOKUP(Table9[[#This Row],[Shortname]], Comp[], 22, FALSE)</f>
        <v>0</v>
      </c>
      <c r="Z931">
        <f>VLOOKUP(Table9[[#This Row],[Shortname]], Comp[], 23, FALSE)</f>
        <v>0</v>
      </c>
      <c r="AA931">
        <f>VLOOKUP(Table9[[#This Row],[Shortname]], Comp[], 24, FALSE)</f>
        <v>0</v>
      </c>
      <c r="AB931">
        <f>VLOOKUP(Table9[[#This Row],[Shortname]], Comp[], 25, FALSE)</f>
        <v>0</v>
      </c>
      <c r="AC931">
        <f>VLOOKUP(Table9[[#This Row],[Shortname]], Comp[], 26, FALSE)</f>
        <v>0</v>
      </c>
      <c r="AD931">
        <f>VLOOKUP(Table9[[#This Row],[Shortname]], Comp[], 27, FALSE)</f>
        <v>0</v>
      </c>
      <c r="AE931">
        <f>VLOOKUP(Table9[[#This Row],[Shortname]], Comp[], 28, FALSE)</f>
        <v>0</v>
      </c>
      <c r="AF931">
        <f>VLOOKUP(Table9[[#This Row],[Shortname]], Comp[], 29, FALSE)</f>
        <v>0</v>
      </c>
      <c r="AG931">
        <f>VLOOKUP(Table9[[#This Row],[Shortname]], Comp[], 30, FALSE)</f>
        <v>0</v>
      </c>
      <c r="AH931">
        <f>VLOOKUP(Table9[[#This Row],[Shortname]], Comp[], 31, FALSE)</f>
        <v>0</v>
      </c>
    </row>
    <row r="932" spans="1:34" x14ac:dyDescent="0.3">
      <c r="A932" t="s">
        <v>5539</v>
      </c>
      <c r="B932" t="s">
        <v>5540</v>
      </c>
      <c r="C932" t="s">
        <v>6925</v>
      </c>
      <c r="D932">
        <v>618</v>
      </c>
      <c r="E932">
        <v>770</v>
      </c>
      <c r="F932">
        <v>1E-3</v>
      </c>
      <c r="G932">
        <v>1</v>
      </c>
      <c r="H932" t="s">
        <v>6803</v>
      </c>
      <c r="I932">
        <f>VLOOKUP(Table9[[#This Row],[Shortname]], Comp[], 6, FALSE)</f>
        <v>856</v>
      </c>
      <c r="J932" s="14">
        <f>VLOOKUP(Table9[[#This Row],[Shortname]], Comp[], 7, FALSE)</f>
        <v>49.9</v>
      </c>
      <c r="K932">
        <f>VLOOKUP(Table9[[#This Row],[Shortname]], Comp[], 8, FALSE)</f>
        <v>30.3</v>
      </c>
      <c r="L932">
        <f>VLOOKUP(Table9[[#This Row],[Shortname]], Comp[], 9, FALSE)</f>
        <v>9.4</v>
      </c>
      <c r="M932">
        <f>VLOOKUP(Table9[[#This Row],[Shortname]], Comp[], 10, FALSE)</f>
        <v>0</v>
      </c>
      <c r="N932">
        <f>VLOOKUP(Table9[[#This Row],[Shortname]], Comp[], 11, FALSE)</f>
        <v>0</v>
      </c>
      <c r="O932">
        <f>VLOOKUP(Table9[[#This Row],[Shortname]], Comp[],12, FALSE)</f>
        <v>3.9</v>
      </c>
      <c r="P932">
        <f>VLOOKUP(Table9[[#This Row],[Shortname]], Comp[], 13, FALSE)</f>
        <v>0</v>
      </c>
      <c r="Q932">
        <f>VLOOKUP(Table9[[#This Row],[Shortname]], Comp[], 14, FALSE)</f>
        <v>1.8</v>
      </c>
      <c r="R932">
        <f>VLOOKUP(Table9[[#This Row],[Shortname]], Comp[], 15, FALSE)</f>
        <v>0</v>
      </c>
      <c r="S932">
        <f>VLOOKUP(Table9[[#This Row],[Shortname]], Comp[], 16, FALSE)</f>
        <v>4.7</v>
      </c>
      <c r="T932">
        <f>VLOOKUP(Table9[[#This Row],[Shortname]], Comp[], 17, FALSE)</f>
        <v>0</v>
      </c>
      <c r="U932">
        <f>VLOOKUP(Table9[[#This Row],[Shortname]], Comp[], 18, FALSE)</f>
        <v>0</v>
      </c>
      <c r="V932">
        <f>VLOOKUP(Table9[[#This Row],[Shortname]], Comp[], 19, FALSE)</f>
        <v>0</v>
      </c>
      <c r="W932">
        <f>VLOOKUP(Table9[[#This Row],[Shortname]], Comp[], 20, FALSE)</f>
        <v>0</v>
      </c>
      <c r="X932">
        <f>VLOOKUP(Table9[[#This Row],[Shortname]], Comp[], 21, FALSE)</f>
        <v>0</v>
      </c>
      <c r="Y932">
        <f>VLOOKUP(Table9[[#This Row],[Shortname]], Comp[], 22, FALSE)</f>
        <v>0</v>
      </c>
      <c r="Z932">
        <f>VLOOKUP(Table9[[#This Row],[Shortname]], Comp[], 23, FALSE)</f>
        <v>0</v>
      </c>
      <c r="AA932">
        <f>VLOOKUP(Table9[[#This Row],[Shortname]], Comp[], 24, FALSE)</f>
        <v>0</v>
      </c>
      <c r="AB932">
        <f>VLOOKUP(Table9[[#This Row],[Shortname]], Comp[], 25, FALSE)</f>
        <v>0</v>
      </c>
      <c r="AC932">
        <f>VLOOKUP(Table9[[#This Row],[Shortname]], Comp[], 26, FALSE)</f>
        <v>0</v>
      </c>
      <c r="AD932">
        <f>VLOOKUP(Table9[[#This Row],[Shortname]], Comp[], 27, FALSE)</f>
        <v>0</v>
      </c>
      <c r="AE932">
        <f>VLOOKUP(Table9[[#This Row],[Shortname]], Comp[], 28, FALSE)</f>
        <v>0</v>
      </c>
      <c r="AF932">
        <f>VLOOKUP(Table9[[#This Row],[Shortname]], Comp[], 29, FALSE)</f>
        <v>0</v>
      </c>
      <c r="AG932">
        <f>VLOOKUP(Table9[[#This Row],[Shortname]], Comp[], 30, FALSE)</f>
        <v>0</v>
      </c>
      <c r="AH932">
        <f>VLOOKUP(Table9[[#This Row],[Shortname]], Comp[], 31, FALSE)</f>
        <v>0</v>
      </c>
    </row>
    <row r="933" spans="1:34" x14ac:dyDescent="0.3">
      <c r="A933" t="s">
        <v>5539</v>
      </c>
      <c r="B933" t="s">
        <v>5540</v>
      </c>
      <c r="C933" t="s">
        <v>6926</v>
      </c>
      <c r="D933">
        <v>575</v>
      </c>
      <c r="E933">
        <v>870</v>
      </c>
      <c r="F933">
        <v>1E-3</v>
      </c>
      <c r="G933">
        <v>1</v>
      </c>
      <c r="H933" t="s">
        <v>6803</v>
      </c>
      <c r="I933">
        <f>VLOOKUP(Table9[[#This Row],[Shortname]], Comp[], 6, FALSE)</f>
        <v>856</v>
      </c>
      <c r="J933" s="14">
        <f>VLOOKUP(Table9[[#This Row],[Shortname]], Comp[], 7, FALSE)</f>
        <v>49.9</v>
      </c>
      <c r="K933">
        <f>VLOOKUP(Table9[[#This Row],[Shortname]], Comp[], 8, FALSE)</f>
        <v>30.3</v>
      </c>
      <c r="L933">
        <f>VLOOKUP(Table9[[#This Row],[Shortname]], Comp[], 9, FALSE)</f>
        <v>9.4</v>
      </c>
      <c r="M933">
        <f>VLOOKUP(Table9[[#This Row],[Shortname]], Comp[], 10, FALSE)</f>
        <v>0</v>
      </c>
      <c r="N933">
        <f>VLOOKUP(Table9[[#This Row],[Shortname]], Comp[], 11, FALSE)</f>
        <v>0</v>
      </c>
      <c r="O933">
        <f>VLOOKUP(Table9[[#This Row],[Shortname]], Comp[],12, FALSE)</f>
        <v>3.9</v>
      </c>
      <c r="P933">
        <f>VLOOKUP(Table9[[#This Row],[Shortname]], Comp[], 13, FALSE)</f>
        <v>0</v>
      </c>
      <c r="Q933">
        <f>VLOOKUP(Table9[[#This Row],[Shortname]], Comp[], 14, FALSE)</f>
        <v>1.8</v>
      </c>
      <c r="R933">
        <f>VLOOKUP(Table9[[#This Row],[Shortname]], Comp[], 15, FALSE)</f>
        <v>0</v>
      </c>
      <c r="S933">
        <f>VLOOKUP(Table9[[#This Row],[Shortname]], Comp[], 16, FALSE)</f>
        <v>4.7</v>
      </c>
      <c r="T933">
        <f>VLOOKUP(Table9[[#This Row],[Shortname]], Comp[], 17, FALSE)</f>
        <v>0</v>
      </c>
      <c r="U933">
        <f>VLOOKUP(Table9[[#This Row],[Shortname]], Comp[], 18, FALSE)</f>
        <v>0</v>
      </c>
      <c r="V933">
        <f>VLOOKUP(Table9[[#This Row],[Shortname]], Comp[], 19, FALSE)</f>
        <v>0</v>
      </c>
      <c r="W933">
        <f>VLOOKUP(Table9[[#This Row],[Shortname]], Comp[], 20, FALSE)</f>
        <v>0</v>
      </c>
      <c r="X933">
        <f>VLOOKUP(Table9[[#This Row],[Shortname]], Comp[], 21, FALSE)</f>
        <v>0</v>
      </c>
      <c r="Y933">
        <f>VLOOKUP(Table9[[#This Row],[Shortname]], Comp[], 22, FALSE)</f>
        <v>0</v>
      </c>
      <c r="Z933">
        <f>VLOOKUP(Table9[[#This Row],[Shortname]], Comp[], 23, FALSE)</f>
        <v>0</v>
      </c>
      <c r="AA933">
        <f>VLOOKUP(Table9[[#This Row],[Shortname]], Comp[], 24, FALSE)</f>
        <v>0</v>
      </c>
      <c r="AB933">
        <f>VLOOKUP(Table9[[#This Row],[Shortname]], Comp[], 25, FALSE)</f>
        <v>0</v>
      </c>
      <c r="AC933">
        <f>VLOOKUP(Table9[[#This Row],[Shortname]], Comp[], 26, FALSE)</f>
        <v>0</v>
      </c>
      <c r="AD933">
        <f>VLOOKUP(Table9[[#This Row],[Shortname]], Comp[], 27, FALSE)</f>
        <v>0</v>
      </c>
      <c r="AE933">
        <f>VLOOKUP(Table9[[#This Row],[Shortname]], Comp[], 28, FALSE)</f>
        <v>0</v>
      </c>
      <c r="AF933">
        <f>VLOOKUP(Table9[[#This Row],[Shortname]], Comp[], 29, FALSE)</f>
        <v>0</v>
      </c>
      <c r="AG933">
        <f>VLOOKUP(Table9[[#This Row],[Shortname]], Comp[], 30, FALSE)</f>
        <v>0</v>
      </c>
      <c r="AH933">
        <f>VLOOKUP(Table9[[#This Row],[Shortname]], Comp[], 31, FALSE)</f>
        <v>0</v>
      </c>
    </row>
    <row r="934" spans="1:34" x14ac:dyDescent="0.3">
      <c r="A934" t="s">
        <v>5550</v>
      </c>
      <c r="B934" t="s">
        <v>5551</v>
      </c>
      <c r="C934" t="s">
        <v>5578</v>
      </c>
      <c r="D934">
        <v>808</v>
      </c>
      <c r="E934">
        <v>25</v>
      </c>
      <c r="F934">
        <v>1E-3</v>
      </c>
      <c r="G934">
        <v>1</v>
      </c>
      <c r="H934" t="s">
        <v>6803</v>
      </c>
      <c r="I934">
        <f>VLOOKUP(Table9[[#This Row],[Shortname]], Comp[], 6, FALSE)</f>
        <v>858</v>
      </c>
      <c r="J934" s="14">
        <f>VLOOKUP(Table9[[#This Row],[Shortname]], Comp[], 7, FALSE)</f>
        <v>51.2</v>
      </c>
      <c r="K934">
        <f>VLOOKUP(Table9[[#This Row],[Shortname]], Comp[], 8, FALSE)</f>
        <v>29.8</v>
      </c>
      <c r="L934">
        <f>VLOOKUP(Table9[[#This Row],[Shortname]], Comp[], 9, FALSE)</f>
        <v>9.5</v>
      </c>
      <c r="M934">
        <f>VLOOKUP(Table9[[#This Row],[Shortname]], Comp[], 10, FALSE)</f>
        <v>5.5</v>
      </c>
      <c r="N934">
        <f>VLOOKUP(Table9[[#This Row],[Shortname]], Comp[], 11, FALSE)</f>
        <v>0</v>
      </c>
      <c r="O934">
        <f>VLOOKUP(Table9[[#This Row],[Shortname]], Comp[],12, FALSE)</f>
        <v>2.1</v>
      </c>
      <c r="P934">
        <f>VLOOKUP(Table9[[#This Row],[Shortname]], Comp[], 13, FALSE)</f>
        <v>0</v>
      </c>
      <c r="Q934">
        <f>VLOOKUP(Table9[[#This Row],[Shortname]], Comp[], 14, FALSE)</f>
        <v>1.9</v>
      </c>
      <c r="R934">
        <f>VLOOKUP(Table9[[#This Row],[Shortname]], Comp[], 15, FALSE)</f>
        <v>0</v>
      </c>
      <c r="S934">
        <f>VLOOKUP(Table9[[#This Row],[Shortname]], Comp[], 16, FALSE)</f>
        <v>0</v>
      </c>
      <c r="T934">
        <f>VLOOKUP(Table9[[#This Row],[Shortname]], Comp[], 17, FALSE)</f>
        <v>0</v>
      </c>
      <c r="U934">
        <f>VLOOKUP(Table9[[#This Row],[Shortname]], Comp[], 18, FALSE)</f>
        <v>0</v>
      </c>
      <c r="V934">
        <f>VLOOKUP(Table9[[#This Row],[Shortname]], Comp[], 19, FALSE)</f>
        <v>0</v>
      </c>
      <c r="W934">
        <f>VLOOKUP(Table9[[#This Row],[Shortname]], Comp[], 20, FALSE)</f>
        <v>0</v>
      </c>
      <c r="X934">
        <f>VLOOKUP(Table9[[#This Row],[Shortname]], Comp[], 21, FALSE)</f>
        <v>0</v>
      </c>
      <c r="Y934">
        <f>VLOOKUP(Table9[[#This Row],[Shortname]], Comp[], 22, FALSE)</f>
        <v>0</v>
      </c>
      <c r="Z934">
        <f>VLOOKUP(Table9[[#This Row],[Shortname]], Comp[], 23, FALSE)</f>
        <v>0</v>
      </c>
      <c r="AA934">
        <f>VLOOKUP(Table9[[#This Row],[Shortname]], Comp[], 24, FALSE)</f>
        <v>0</v>
      </c>
      <c r="AB934">
        <f>VLOOKUP(Table9[[#This Row],[Shortname]], Comp[], 25, FALSE)</f>
        <v>0</v>
      </c>
      <c r="AC934">
        <f>VLOOKUP(Table9[[#This Row],[Shortname]], Comp[], 26, FALSE)</f>
        <v>0</v>
      </c>
      <c r="AD934">
        <f>VLOOKUP(Table9[[#This Row],[Shortname]], Comp[], 27, FALSE)</f>
        <v>0</v>
      </c>
      <c r="AE934">
        <f>VLOOKUP(Table9[[#This Row],[Shortname]], Comp[], 28, FALSE)</f>
        <v>0</v>
      </c>
      <c r="AF934">
        <f>VLOOKUP(Table9[[#This Row],[Shortname]], Comp[], 29, FALSE)</f>
        <v>0</v>
      </c>
      <c r="AG934">
        <f>VLOOKUP(Table9[[#This Row],[Shortname]], Comp[], 30, FALSE)</f>
        <v>0</v>
      </c>
      <c r="AH934">
        <f>VLOOKUP(Table9[[#This Row],[Shortname]], Comp[], 31, FALSE)</f>
        <v>0</v>
      </c>
    </row>
    <row r="935" spans="1:34" x14ac:dyDescent="0.3">
      <c r="A935" t="s">
        <v>5550</v>
      </c>
      <c r="B935" t="s">
        <v>5551</v>
      </c>
      <c r="C935" t="s">
        <v>6789</v>
      </c>
      <c r="D935">
        <v>696</v>
      </c>
      <c r="E935">
        <v>568</v>
      </c>
      <c r="F935">
        <v>1E-3</v>
      </c>
      <c r="G935">
        <v>1</v>
      </c>
      <c r="H935" t="s">
        <v>6803</v>
      </c>
      <c r="I935">
        <f>VLOOKUP(Table9[[#This Row],[Shortname]], Comp[], 6, FALSE)</f>
        <v>858</v>
      </c>
      <c r="J935" s="14">
        <f>VLOOKUP(Table9[[#This Row],[Shortname]], Comp[], 7, FALSE)</f>
        <v>51.2</v>
      </c>
      <c r="K935">
        <f>VLOOKUP(Table9[[#This Row],[Shortname]], Comp[], 8, FALSE)</f>
        <v>29.8</v>
      </c>
      <c r="L935">
        <f>VLOOKUP(Table9[[#This Row],[Shortname]], Comp[], 9, FALSE)</f>
        <v>9.5</v>
      </c>
      <c r="M935">
        <f>VLOOKUP(Table9[[#This Row],[Shortname]], Comp[], 10, FALSE)</f>
        <v>5.5</v>
      </c>
      <c r="N935">
        <f>VLOOKUP(Table9[[#This Row],[Shortname]], Comp[], 11, FALSE)</f>
        <v>0</v>
      </c>
      <c r="O935">
        <f>VLOOKUP(Table9[[#This Row],[Shortname]], Comp[],12, FALSE)</f>
        <v>2.1</v>
      </c>
      <c r="P935">
        <f>VLOOKUP(Table9[[#This Row],[Shortname]], Comp[], 13, FALSE)</f>
        <v>0</v>
      </c>
      <c r="Q935">
        <f>VLOOKUP(Table9[[#This Row],[Shortname]], Comp[], 14, FALSE)</f>
        <v>1.9</v>
      </c>
      <c r="R935">
        <f>VLOOKUP(Table9[[#This Row],[Shortname]], Comp[], 15, FALSE)</f>
        <v>0</v>
      </c>
      <c r="S935">
        <f>VLOOKUP(Table9[[#This Row],[Shortname]], Comp[], 16, FALSE)</f>
        <v>0</v>
      </c>
      <c r="T935">
        <f>VLOOKUP(Table9[[#This Row],[Shortname]], Comp[], 17, FALSE)</f>
        <v>0</v>
      </c>
      <c r="U935">
        <f>VLOOKUP(Table9[[#This Row],[Shortname]], Comp[], 18, FALSE)</f>
        <v>0</v>
      </c>
      <c r="V935">
        <f>VLOOKUP(Table9[[#This Row],[Shortname]], Comp[], 19, FALSE)</f>
        <v>0</v>
      </c>
      <c r="W935">
        <f>VLOOKUP(Table9[[#This Row],[Shortname]], Comp[], 20, FALSE)</f>
        <v>0</v>
      </c>
      <c r="X935">
        <f>VLOOKUP(Table9[[#This Row],[Shortname]], Comp[], 21, FALSE)</f>
        <v>0</v>
      </c>
      <c r="Y935">
        <f>VLOOKUP(Table9[[#This Row],[Shortname]], Comp[], 22, FALSE)</f>
        <v>0</v>
      </c>
      <c r="Z935">
        <f>VLOOKUP(Table9[[#This Row],[Shortname]], Comp[], 23, FALSE)</f>
        <v>0</v>
      </c>
      <c r="AA935">
        <f>VLOOKUP(Table9[[#This Row],[Shortname]], Comp[], 24, FALSE)</f>
        <v>0</v>
      </c>
      <c r="AB935">
        <f>VLOOKUP(Table9[[#This Row],[Shortname]], Comp[], 25, FALSE)</f>
        <v>0</v>
      </c>
      <c r="AC935">
        <f>VLOOKUP(Table9[[#This Row],[Shortname]], Comp[], 26, FALSE)</f>
        <v>0</v>
      </c>
      <c r="AD935">
        <f>VLOOKUP(Table9[[#This Row],[Shortname]], Comp[], 27, FALSE)</f>
        <v>0</v>
      </c>
      <c r="AE935">
        <f>VLOOKUP(Table9[[#This Row],[Shortname]], Comp[], 28, FALSE)</f>
        <v>0</v>
      </c>
      <c r="AF935">
        <f>VLOOKUP(Table9[[#This Row],[Shortname]], Comp[], 29, FALSE)</f>
        <v>0</v>
      </c>
      <c r="AG935">
        <f>VLOOKUP(Table9[[#This Row],[Shortname]], Comp[], 30, FALSE)</f>
        <v>0</v>
      </c>
      <c r="AH935">
        <f>VLOOKUP(Table9[[#This Row],[Shortname]], Comp[], 31, FALSE)</f>
        <v>0</v>
      </c>
    </row>
    <row r="936" spans="1:34" x14ac:dyDescent="0.3">
      <c r="A936" t="s">
        <v>5550</v>
      </c>
      <c r="B936" t="s">
        <v>5551</v>
      </c>
      <c r="C936" t="s">
        <v>6790</v>
      </c>
      <c r="D936">
        <v>725</v>
      </c>
      <c r="E936">
        <v>670</v>
      </c>
      <c r="F936">
        <v>1E-3</v>
      </c>
      <c r="G936">
        <v>1</v>
      </c>
      <c r="H936" t="s">
        <v>6803</v>
      </c>
      <c r="I936">
        <f>VLOOKUP(Table9[[#This Row],[Shortname]], Comp[], 6, FALSE)</f>
        <v>858</v>
      </c>
      <c r="J936" s="14">
        <f>VLOOKUP(Table9[[#This Row],[Shortname]], Comp[], 7, FALSE)</f>
        <v>51.2</v>
      </c>
      <c r="K936">
        <f>VLOOKUP(Table9[[#This Row],[Shortname]], Comp[], 8, FALSE)</f>
        <v>29.8</v>
      </c>
      <c r="L936">
        <f>VLOOKUP(Table9[[#This Row],[Shortname]], Comp[], 9, FALSE)</f>
        <v>9.5</v>
      </c>
      <c r="M936">
        <f>VLOOKUP(Table9[[#This Row],[Shortname]], Comp[], 10, FALSE)</f>
        <v>5.5</v>
      </c>
      <c r="N936">
        <f>VLOOKUP(Table9[[#This Row],[Shortname]], Comp[], 11, FALSE)</f>
        <v>0</v>
      </c>
      <c r="O936">
        <f>VLOOKUP(Table9[[#This Row],[Shortname]], Comp[],12, FALSE)</f>
        <v>2.1</v>
      </c>
      <c r="P936">
        <f>VLOOKUP(Table9[[#This Row],[Shortname]], Comp[], 13, FALSE)</f>
        <v>0</v>
      </c>
      <c r="Q936">
        <f>VLOOKUP(Table9[[#This Row],[Shortname]], Comp[], 14, FALSE)</f>
        <v>1.9</v>
      </c>
      <c r="R936">
        <f>VLOOKUP(Table9[[#This Row],[Shortname]], Comp[], 15, FALSE)</f>
        <v>0</v>
      </c>
      <c r="S936">
        <f>VLOOKUP(Table9[[#This Row],[Shortname]], Comp[], 16, FALSE)</f>
        <v>0</v>
      </c>
      <c r="T936">
        <f>VLOOKUP(Table9[[#This Row],[Shortname]], Comp[], 17, FALSE)</f>
        <v>0</v>
      </c>
      <c r="U936">
        <f>VLOOKUP(Table9[[#This Row],[Shortname]], Comp[], 18, FALSE)</f>
        <v>0</v>
      </c>
      <c r="V936">
        <f>VLOOKUP(Table9[[#This Row],[Shortname]], Comp[], 19, FALSE)</f>
        <v>0</v>
      </c>
      <c r="W936">
        <f>VLOOKUP(Table9[[#This Row],[Shortname]], Comp[], 20, FALSE)</f>
        <v>0</v>
      </c>
      <c r="X936">
        <f>VLOOKUP(Table9[[#This Row],[Shortname]], Comp[], 21, FALSE)</f>
        <v>0</v>
      </c>
      <c r="Y936">
        <f>VLOOKUP(Table9[[#This Row],[Shortname]], Comp[], 22, FALSE)</f>
        <v>0</v>
      </c>
      <c r="Z936">
        <f>VLOOKUP(Table9[[#This Row],[Shortname]], Comp[], 23, FALSE)</f>
        <v>0</v>
      </c>
      <c r="AA936">
        <f>VLOOKUP(Table9[[#This Row],[Shortname]], Comp[], 24, FALSE)</f>
        <v>0</v>
      </c>
      <c r="AB936">
        <f>VLOOKUP(Table9[[#This Row],[Shortname]], Comp[], 25, FALSE)</f>
        <v>0</v>
      </c>
      <c r="AC936">
        <f>VLOOKUP(Table9[[#This Row],[Shortname]], Comp[], 26, FALSE)</f>
        <v>0</v>
      </c>
      <c r="AD936">
        <f>VLOOKUP(Table9[[#This Row],[Shortname]], Comp[], 27, FALSE)</f>
        <v>0</v>
      </c>
      <c r="AE936">
        <f>VLOOKUP(Table9[[#This Row],[Shortname]], Comp[], 28, FALSE)</f>
        <v>0</v>
      </c>
      <c r="AF936">
        <f>VLOOKUP(Table9[[#This Row],[Shortname]], Comp[], 29, FALSE)</f>
        <v>0</v>
      </c>
      <c r="AG936">
        <f>VLOOKUP(Table9[[#This Row],[Shortname]], Comp[], 30, FALSE)</f>
        <v>0</v>
      </c>
      <c r="AH936">
        <f>VLOOKUP(Table9[[#This Row],[Shortname]], Comp[], 31, FALSE)</f>
        <v>0</v>
      </c>
    </row>
    <row r="937" spans="1:34" x14ac:dyDescent="0.3">
      <c r="A937" t="s">
        <v>5550</v>
      </c>
      <c r="B937" t="s">
        <v>5551</v>
      </c>
      <c r="C937" t="s">
        <v>6791</v>
      </c>
      <c r="D937">
        <v>731</v>
      </c>
      <c r="E937">
        <v>769</v>
      </c>
      <c r="F937">
        <v>1E-3</v>
      </c>
      <c r="G937">
        <v>1</v>
      </c>
      <c r="H937" t="s">
        <v>6803</v>
      </c>
      <c r="I937">
        <f>VLOOKUP(Table9[[#This Row],[Shortname]], Comp[], 6, FALSE)</f>
        <v>858</v>
      </c>
      <c r="J937" s="14">
        <f>VLOOKUP(Table9[[#This Row],[Shortname]], Comp[], 7, FALSE)</f>
        <v>51.2</v>
      </c>
      <c r="K937">
        <f>VLOOKUP(Table9[[#This Row],[Shortname]], Comp[], 8, FALSE)</f>
        <v>29.8</v>
      </c>
      <c r="L937">
        <f>VLOOKUP(Table9[[#This Row],[Shortname]], Comp[], 9, FALSE)</f>
        <v>9.5</v>
      </c>
      <c r="M937">
        <f>VLOOKUP(Table9[[#This Row],[Shortname]], Comp[], 10, FALSE)</f>
        <v>5.5</v>
      </c>
      <c r="N937">
        <f>VLOOKUP(Table9[[#This Row],[Shortname]], Comp[], 11, FALSE)</f>
        <v>0</v>
      </c>
      <c r="O937">
        <f>VLOOKUP(Table9[[#This Row],[Shortname]], Comp[],12, FALSE)</f>
        <v>2.1</v>
      </c>
      <c r="P937">
        <f>VLOOKUP(Table9[[#This Row],[Shortname]], Comp[], 13, FALSE)</f>
        <v>0</v>
      </c>
      <c r="Q937">
        <f>VLOOKUP(Table9[[#This Row],[Shortname]], Comp[], 14, FALSE)</f>
        <v>1.9</v>
      </c>
      <c r="R937">
        <f>VLOOKUP(Table9[[#This Row],[Shortname]], Comp[], 15, FALSE)</f>
        <v>0</v>
      </c>
      <c r="S937">
        <f>VLOOKUP(Table9[[#This Row],[Shortname]], Comp[], 16, FALSE)</f>
        <v>0</v>
      </c>
      <c r="T937">
        <f>VLOOKUP(Table9[[#This Row],[Shortname]], Comp[], 17, FALSE)</f>
        <v>0</v>
      </c>
      <c r="U937">
        <f>VLOOKUP(Table9[[#This Row],[Shortname]], Comp[], 18, FALSE)</f>
        <v>0</v>
      </c>
      <c r="V937">
        <f>VLOOKUP(Table9[[#This Row],[Shortname]], Comp[], 19, FALSE)</f>
        <v>0</v>
      </c>
      <c r="W937">
        <f>VLOOKUP(Table9[[#This Row],[Shortname]], Comp[], 20, FALSE)</f>
        <v>0</v>
      </c>
      <c r="X937">
        <f>VLOOKUP(Table9[[#This Row],[Shortname]], Comp[], 21, FALSE)</f>
        <v>0</v>
      </c>
      <c r="Y937">
        <f>VLOOKUP(Table9[[#This Row],[Shortname]], Comp[], 22, FALSE)</f>
        <v>0</v>
      </c>
      <c r="Z937">
        <f>VLOOKUP(Table9[[#This Row],[Shortname]], Comp[], 23, FALSE)</f>
        <v>0</v>
      </c>
      <c r="AA937">
        <f>VLOOKUP(Table9[[#This Row],[Shortname]], Comp[], 24, FALSE)</f>
        <v>0</v>
      </c>
      <c r="AB937">
        <f>VLOOKUP(Table9[[#This Row],[Shortname]], Comp[], 25, FALSE)</f>
        <v>0</v>
      </c>
      <c r="AC937">
        <f>VLOOKUP(Table9[[#This Row],[Shortname]], Comp[], 26, FALSE)</f>
        <v>0</v>
      </c>
      <c r="AD937">
        <f>VLOOKUP(Table9[[#This Row],[Shortname]], Comp[], 27, FALSE)</f>
        <v>0</v>
      </c>
      <c r="AE937">
        <f>VLOOKUP(Table9[[#This Row],[Shortname]], Comp[], 28, FALSE)</f>
        <v>0</v>
      </c>
      <c r="AF937">
        <f>VLOOKUP(Table9[[#This Row],[Shortname]], Comp[], 29, FALSE)</f>
        <v>0</v>
      </c>
      <c r="AG937">
        <f>VLOOKUP(Table9[[#This Row],[Shortname]], Comp[], 30, FALSE)</f>
        <v>0</v>
      </c>
      <c r="AH937">
        <f>VLOOKUP(Table9[[#This Row],[Shortname]], Comp[], 31, FALSE)</f>
        <v>0</v>
      </c>
    </row>
    <row r="938" spans="1:34" x14ac:dyDescent="0.3">
      <c r="A938" t="s">
        <v>5550</v>
      </c>
      <c r="B938" t="s">
        <v>5551</v>
      </c>
      <c r="C938" t="s">
        <v>6927</v>
      </c>
      <c r="D938">
        <v>547</v>
      </c>
      <c r="E938">
        <v>867</v>
      </c>
      <c r="F938">
        <v>1E-3</v>
      </c>
      <c r="G938">
        <v>1</v>
      </c>
      <c r="H938" t="s">
        <v>6803</v>
      </c>
      <c r="I938">
        <f>VLOOKUP(Table9[[#This Row],[Shortname]], Comp[], 6, FALSE)</f>
        <v>858</v>
      </c>
      <c r="J938" s="14">
        <f>VLOOKUP(Table9[[#This Row],[Shortname]], Comp[], 7, FALSE)</f>
        <v>51.2</v>
      </c>
      <c r="K938">
        <f>VLOOKUP(Table9[[#This Row],[Shortname]], Comp[], 8, FALSE)</f>
        <v>29.8</v>
      </c>
      <c r="L938">
        <f>VLOOKUP(Table9[[#This Row],[Shortname]], Comp[], 9, FALSE)</f>
        <v>9.5</v>
      </c>
      <c r="M938">
        <f>VLOOKUP(Table9[[#This Row],[Shortname]], Comp[], 10, FALSE)</f>
        <v>5.5</v>
      </c>
      <c r="N938">
        <f>VLOOKUP(Table9[[#This Row],[Shortname]], Comp[], 11, FALSE)</f>
        <v>0</v>
      </c>
      <c r="O938">
        <f>VLOOKUP(Table9[[#This Row],[Shortname]], Comp[],12, FALSE)</f>
        <v>2.1</v>
      </c>
      <c r="P938">
        <f>VLOOKUP(Table9[[#This Row],[Shortname]], Comp[], 13, FALSE)</f>
        <v>0</v>
      </c>
      <c r="Q938">
        <f>VLOOKUP(Table9[[#This Row],[Shortname]], Comp[], 14, FALSE)</f>
        <v>1.9</v>
      </c>
      <c r="R938">
        <f>VLOOKUP(Table9[[#This Row],[Shortname]], Comp[], 15, FALSE)</f>
        <v>0</v>
      </c>
      <c r="S938">
        <f>VLOOKUP(Table9[[#This Row],[Shortname]], Comp[], 16, FALSE)</f>
        <v>0</v>
      </c>
      <c r="T938">
        <f>VLOOKUP(Table9[[#This Row],[Shortname]], Comp[], 17, FALSE)</f>
        <v>0</v>
      </c>
      <c r="U938">
        <f>VLOOKUP(Table9[[#This Row],[Shortname]], Comp[], 18, FALSE)</f>
        <v>0</v>
      </c>
      <c r="V938">
        <f>VLOOKUP(Table9[[#This Row],[Shortname]], Comp[], 19, FALSE)</f>
        <v>0</v>
      </c>
      <c r="W938">
        <f>VLOOKUP(Table9[[#This Row],[Shortname]], Comp[], 20, FALSE)</f>
        <v>0</v>
      </c>
      <c r="X938">
        <f>VLOOKUP(Table9[[#This Row],[Shortname]], Comp[], 21, FALSE)</f>
        <v>0</v>
      </c>
      <c r="Y938">
        <f>VLOOKUP(Table9[[#This Row],[Shortname]], Comp[], 22, FALSE)</f>
        <v>0</v>
      </c>
      <c r="Z938">
        <f>VLOOKUP(Table9[[#This Row],[Shortname]], Comp[], 23, FALSE)</f>
        <v>0</v>
      </c>
      <c r="AA938">
        <f>VLOOKUP(Table9[[#This Row],[Shortname]], Comp[], 24, FALSE)</f>
        <v>0</v>
      </c>
      <c r="AB938">
        <f>VLOOKUP(Table9[[#This Row],[Shortname]], Comp[], 25, FALSE)</f>
        <v>0</v>
      </c>
      <c r="AC938">
        <f>VLOOKUP(Table9[[#This Row],[Shortname]], Comp[], 26, FALSE)</f>
        <v>0</v>
      </c>
      <c r="AD938">
        <f>VLOOKUP(Table9[[#This Row],[Shortname]], Comp[], 27, FALSE)</f>
        <v>0</v>
      </c>
      <c r="AE938">
        <f>VLOOKUP(Table9[[#This Row],[Shortname]], Comp[], 28, FALSE)</f>
        <v>0</v>
      </c>
      <c r="AF938">
        <f>VLOOKUP(Table9[[#This Row],[Shortname]], Comp[], 29, FALSE)</f>
        <v>0</v>
      </c>
      <c r="AG938">
        <f>VLOOKUP(Table9[[#This Row],[Shortname]], Comp[], 30, FALSE)</f>
        <v>0</v>
      </c>
      <c r="AH938">
        <f>VLOOKUP(Table9[[#This Row],[Shortname]], Comp[], 31, FALSE)</f>
        <v>0</v>
      </c>
    </row>
    <row r="939" spans="1:34" x14ac:dyDescent="0.3">
      <c r="A939" t="s">
        <v>5555</v>
      </c>
      <c r="B939" t="s">
        <v>5556</v>
      </c>
      <c r="C939" t="s">
        <v>6928</v>
      </c>
      <c r="D939">
        <v>715</v>
      </c>
      <c r="E939">
        <v>25</v>
      </c>
      <c r="F939">
        <v>1E-3</v>
      </c>
      <c r="G939">
        <v>1</v>
      </c>
      <c r="H939" t="s">
        <v>6803</v>
      </c>
      <c r="I939">
        <f>VLOOKUP(Table9[[#This Row],[Shortname]], Comp[], 6, FALSE)</f>
        <v>859</v>
      </c>
      <c r="J939" s="14">
        <f>VLOOKUP(Table9[[#This Row],[Shortname]], Comp[], 7, FALSE)</f>
        <v>47.7</v>
      </c>
      <c r="K939">
        <f>VLOOKUP(Table9[[#This Row],[Shortname]], Comp[], 8, FALSE)</f>
        <v>30.3</v>
      </c>
      <c r="L939">
        <f>VLOOKUP(Table9[[#This Row],[Shortname]], Comp[], 9, FALSE)</f>
        <v>9.5</v>
      </c>
      <c r="M939">
        <f>VLOOKUP(Table9[[#This Row],[Shortname]], Comp[], 10, FALSE)</f>
        <v>8.5</v>
      </c>
      <c r="N939">
        <f>VLOOKUP(Table9[[#This Row],[Shortname]], Comp[], 11, FALSE)</f>
        <v>0</v>
      </c>
      <c r="O939">
        <f>VLOOKUP(Table9[[#This Row],[Shortname]], Comp[],12, FALSE)</f>
        <v>2</v>
      </c>
      <c r="P939">
        <f>VLOOKUP(Table9[[#This Row],[Shortname]], Comp[], 13, FALSE)</f>
        <v>0</v>
      </c>
      <c r="Q939">
        <f>VLOOKUP(Table9[[#This Row],[Shortname]], Comp[], 14, FALSE)</f>
        <v>2</v>
      </c>
      <c r="R939">
        <f>VLOOKUP(Table9[[#This Row],[Shortname]], Comp[], 15, FALSE)</f>
        <v>0</v>
      </c>
      <c r="S939">
        <f>VLOOKUP(Table9[[#This Row],[Shortname]], Comp[], 16, FALSE)</f>
        <v>0</v>
      </c>
      <c r="T939">
        <f>VLOOKUP(Table9[[#This Row],[Shortname]], Comp[], 17, FALSE)</f>
        <v>0</v>
      </c>
      <c r="U939">
        <f>VLOOKUP(Table9[[#This Row],[Shortname]], Comp[], 18, FALSE)</f>
        <v>0</v>
      </c>
      <c r="V939">
        <f>VLOOKUP(Table9[[#This Row],[Shortname]], Comp[], 19, FALSE)</f>
        <v>0</v>
      </c>
      <c r="W939">
        <f>VLOOKUP(Table9[[#This Row],[Shortname]], Comp[], 20, FALSE)</f>
        <v>0</v>
      </c>
      <c r="X939">
        <f>VLOOKUP(Table9[[#This Row],[Shortname]], Comp[], 21, FALSE)</f>
        <v>0</v>
      </c>
      <c r="Y939">
        <f>VLOOKUP(Table9[[#This Row],[Shortname]], Comp[], 22, FALSE)</f>
        <v>0</v>
      </c>
      <c r="Z939">
        <f>VLOOKUP(Table9[[#This Row],[Shortname]], Comp[], 23, FALSE)</f>
        <v>0</v>
      </c>
      <c r="AA939">
        <f>VLOOKUP(Table9[[#This Row],[Shortname]], Comp[], 24, FALSE)</f>
        <v>0</v>
      </c>
      <c r="AB939">
        <f>VLOOKUP(Table9[[#This Row],[Shortname]], Comp[], 25, FALSE)</f>
        <v>0</v>
      </c>
      <c r="AC939">
        <f>VLOOKUP(Table9[[#This Row],[Shortname]], Comp[], 26, FALSE)</f>
        <v>0</v>
      </c>
      <c r="AD939">
        <f>VLOOKUP(Table9[[#This Row],[Shortname]], Comp[], 27, FALSE)</f>
        <v>0</v>
      </c>
      <c r="AE939">
        <f>VLOOKUP(Table9[[#This Row],[Shortname]], Comp[], 28, FALSE)</f>
        <v>0</v>
      </c>
      <c r="AF939">
        <f>VLOOKUP(Table9[[#This Row],[Shortname]], Comp[], 29, FALSE)</f>
        <v>0</v>
      </c>
      <c r="AG939">
        <f>VLOOKUP(Table9[[#This Row],[Shortname]], Comp[], 30, FALSE)</f>
        <v>0</v>
      </c>
      <c r="AH939">
        <f>VLOOKUP(Table9[[#This Row],[Shortname]], Comp[], 31, FALSE)</f>
        <v>0</v>
      </c>
    </row>
    <row r="940" spans="1:34" x14ac:dyDescent="0.3">
      <c r="A940" t="s">
        <v>5555</v>
      </c>
      <c r="B940" t="s">
        <v>5556</v>
      </c>
      <c r="C940" t="s">
        <v>6929</v>
      </c>
      <c r="D940">
        <v>534</v>
      </c>
      <c r="E940">
        <v>568</v>
      </c>
      <c r="F940">
        <v>1E-3</v>
      </c>
      <c r="G940">
        <v>1</v>
      </c>
      <c r="H940" t="s">
        <v>6803</v>
      </c>
      <c r="I940">
        <f>VLOOKUP(Table9[[#This Row],[Shortname]], Comp[], 6, FALSE)</f>
        <v>859</v>
      </c>
      <c r="J940" s="14">
        <f>VLOOKUP(Table9[[#This Row],[Shortname]], Comp[], 7, FALSE)</f>
        <v>47.7</v>
      </c>
      <c r="K940">
        <f>VLOOKUP(Table9[[#This Row],[Shortname]], Comp[], 8, FALSE)</f>
        <v>30.3</v>
      </c>
      <c r="L940">
        <f>VLOOKUP(Table9[[#This Row],[Shortname]], Comp[], 9, FALSE)</f>
        <v>9.5</v>
      </c>
      <c r="M940">
        <f>VLOOKUP(Table9[[#This Row],[Shortname]], Comp[], 10, FALSE)</f>
        <v>8.5</v>
      </c>
      <c r="N940">
        <f>VLOOKUP(Table9[[#This Row],[Shortname]], Comp[], 11, FALSE)</f>
        <v>0</v>
      </c>
      <c r="O940">
        <f>VLOOKUP(Table9[[#This Row],[Shortname]], Comp[],12, FALSE)</f>
        <v>2</v>
      </c>
      <c r="P940">
        <f>VLOOKUP(Table9[[#This Row],[Shortname]], Comp[], 13, FALSE)</f>
        <v>0</v>
      </c>
      <c r="Q940">
        <f>VLOOKUP(Table9[[#This Row],[Shortname]], Comp[], 14, FALSE)</f>
        <v>2</v>
      </c>
      <c r="R940">
        <f>VLOOKUP(Table9[[#This Row],[Shortname]], Comp[], 15, FALSE)</f>
        <v>0</v>
      </c>
      <c r="S940">
        <f>VLOOKUP(Table9[[#This Row],[Shortname]], Comp[], 16, FALSE)</f>
        <v>0</v>
      </c>
      <c r="T940">
        <f>VLOOKUP(Table9[[#This Row],[Shortname]], Comp[], 17, FALSE)</f>
        <v>0</v>
      </c>
      <c r="U940">
        <f>VLOOKUP(Table9[[#This Row],[Shortname]], Comp[], 18, FALSE)</f>
        <v>0</v>
      </c>
      <c r="V940">
        <f>VLOOKUP(Table9[[#This Row],[Shortname]], Comp[], 19, FALSE)</f>
        <v>0</v>
      </c>
      <c r="W940">
        <f>VLOOKUP(Table9[[#This Row],[Shortname]], Comp[], 20, FALSE)</f>
        <v>0</v>
      </c>
      <c r="X940">
        <f>VLOOKUP(Table9[[#This Row],[Shortname]], Comp[], 21, FALSE)</f>
        <v>0</v>
      </c>
      <c r="Y940">
        <f>VLOOKUP(Table9[[#This Row],[Shortname]], Comp[], 22, FALSE)</f>
        <v>0</v>
      </c>
      <c r="Z940">
        <f>VLOOKUP(Table9[[#This Row],[Shortname]], Comp[], 23, FALSE)</f>
        <v>0</v>
      </c>
      <c r="AA940">
        <f>VLOOKUP(Table9[[#This Row],[Shortname]], Comp[], 24, FALSE)</f>
        <v>0</v>
      </c>
      <c r="AB940">
        <f>VLOOKUP(Table9[[#This Row],[Shortname]], Comp[], 25, FALSE)</f>
        <v>0</v>
      </c>
      <c r="AC940">
        <f>VLOOKUP(Table9[[#This Row],[Shortname]], Comp[], 26, FALSE)</f>
        <v>0</v>
      </c>
      <c r="AD940">
        <f>VLOOKUP(Table9[[#This Row],[Shortname]], Comp[], 27, FALSE)</f>
        <v>0</v>
      </c>
      <c r="AE940">
        <f>VLOOKUP(Table9[[#This Row],[Shortname]], Comp[], 28, FALSE)</f>
        <v>0</v>
      </c>
      <c r="AF940">
        <f>VLOOKUP(Table9[[#This Row],[Shortname]], Comp[], 29, FALSE)</f>
        <v>0</v>
      </c>
      <c r="AG940">
        <f>VLOOKUP(Table9[[#This Row],[Shortname]], Comp[], 30, FALSE)</f>
        <v>0</v>
      </c>
      <c r="AH940">
        <f>VLOOKUP(Table9[[#This Row],[Shortname]], Comp[], 31, FALSE)</f>
        <v>0</v>
      </c>
    </row>
    <row r="941" spans="1:34" x14ac:dyDescent="0.3">
      <c r="A941" t="s">
        <v>5555</v>
      </c>
      <c r="B941" t="s">
        <v>5556</v>
      </c>
      <c r="C941" t="s">
        <v>6930</v>
      </c>
      <c r="D941">
        <v>607</v>
      </c>
      <c r="E941">
        <v>670</v>
      </c>
      <c r="F941">
        <v>1E-3</v>
      </c>
      <c r="G941">
        <v>1</v>
      </c>
      <c r="H941" t="s">
        <v>6803</v>
      </c>
      <c r="I941">
        <f>VLOOKUP(Table9[[#This Row],[Shortname]], Comp[], 6, FALSE)</f>
        <v>859</v>
      </c>
      <c r="J941" s="14">
        <f>VLOOKUP(Table9[[#This Row],[Shortname]], Comp[], 7, FALSE)</f>
        <v>47.7</v>
      </c>
      <c r="K941">
        <f>VLOOKUP(Table9[[#This Row],[Shortname]], Comp[], 8, FALSE)</f>
        <v>30.3</v>
      </c>
      <c r="L941">
        <f>VLOOKUP(Table9[[#This Row],[Shortname]], Comp[], 9, FALSE)</f>
        <v>9.5</v>
      </c>
      <c r="M941">
        <f>VLOOKUP(Table9[[#This Row],[Shortname]], Comp[], 10, FALSE)</f>
        <v>8.5</v>
      </c>
      <c r="N941">
        <f>VLOOKUP(Table9[[#This Row],[Shortname]], Comp[], 11, FALSE)</f>
        <v>0</v>
      </c>
      <c r="O941">
        <f>VLOOKUP(Table9[[#This Row],[Shortname]], Comp[],12, FALSE)</f>
        <v>2</v>
      </c>
      <c r="P941">
        <f>VLOOKUP(Table9[[#This Row],[Shortname]], Comp[], 13, FALSE)</f>
        <v>0</v>
      </c>
      <c r="Q941">
        <f>VLOOKUP(Table9[[#This Row],[Shortname]], Comp[], 14, FALSE)</f>
        <v>2</v>
      </c>
      <c r="R941">
        <f>VLOOKUP(Table9[[#This Row],[Shortname]], Comp[], 15, FALSE)</f>
        <v>0</v>
      </c>
      <c r="S941">
        <f>VLOOKUP(Table9[[#This Row],[Shortname]], Comp[], 16, FALSE)</f>
        <v>0</v>
      </c>
      <c r="T941">
        <f>VLOOKUP(Table9[[#This Row],[Shortname]], Comp[], 17, FALSE)</f>
        <v>0</v>
      </c>
      <c r="U941">
        <f>VLOOKUP(Table9[[#This Row],[Shortname]], Comp[], 18, FALSE)</f>
        <v>0</v>
      </c>
      <c r="V941">
        <f>VLOOKUP(Table9[[#This Row],[Shortname]], Comp[], 19, FALSE)</f>
        <v>0</v>
      </c>
      <c r="W941">
        <f>VLOOKUP(Table9[[#This Row],[Shortname]], Comp[], 20, FALSE)</f>
        <v>0</v>
      </c>
      <c r="X941">
        <f>VLOOKUP(Table9[[#This Row],[Shortname]], Comp[], 21, FALSE)</f>
        <v>0</v>
      </c>
      <c r="Y941">
        <f>VLOOKUP(Table9[[#This Row],[Shortname]], Comp[], 22, FALSE)</f>
        <v>0</v>
      </c>
      <c r="Z941">
        <f>VLOOKUP(Table9[[#This Row],[Shortname]], Comp[], 23, FALSE)</f>
        <v>0</v>
      </c>
      <c r="AA941">
        <f>VLOOKUP(Table9[[#This Row],[Shortname]], Comp[], 24, FALSE)</f>
        <v>0</v>
      </c>
      <c r="AB941">
        <f>VLOOKUP(Table9[[#This Row],[Shortname]], Comp[], 25, FALSE)</f>
        <v>0</v>
      </c>
      <c r="AC941">
        <f>VLOOKUP(Table9[[#This Row],[Shortname]], Comp[], 26, FALSE)</f>
        <v>0</v>
      </c>
      <c r="AD941">
        <f>VLOOKUP(Table9[[#This Row],[Shortname]], Comp[], 27, FALSE)</f>
        <v>0</v>
      </c>
      <c r="AE941">
        <f>VLOOKUP(Table9[[#This Row],[Shortname]], Comp[], 28, FALSE)</f>
        <v>0</v>
      </c>
      <c r="AF941">
        <f>VLOOKUP(Table9[[#This Row],[Shortname]], Comp[], 29, FALSE)</f>
        <v>0</v>
      </c>
      <c r="AG941">
        <f>VLOOKUP(Table9[[#This Row],[Shortname]], Comp[], 30, FALSE)</f>
        <v>0</v>
      </c>
      <c r="AH941">
        <f>VLOOKUP(Table9[[#This Row],[Shortname]], Comp[], 31, FALSE)</f>
        <v>0</v>
      </c>
    </row>
    <row r="942" spans="1:34" x14ac:dyDescent="0.3">
      <c r="A942" t="s">
        <v>5555</v>
      </c>
      <c r="B942" t="s">
        <v>5556</v>
      </c>
      <c r="C942" t="s">
        <v>6931</v>
      </c>
      <c r="D942">
        <v>716</v>
      </c>
      <c r="E942">
        <v>769</v>
      </c>
      <c r="F942">
        <v>1E-3</v>
      </c>
      <c r="G942">
        <v>1</v>
      </c>
      <c r="H942" t="s">
        <v>6803</v>
      </c>
      <c r="I942">
        <f>VLOOKUP(Table9[[#This Row],[Shortname]], Comp[], 6, FALSE)</f>
        <v>859</v>
      </c>
      <c r="J942" s="14">
        <f>VLOOKUP(Table9[[#This Row],[Shortname]], Comp[], 7, FALSE)</f>
        <v>47.7</v>
      </c>
      <c r="K942">
        <f>VLOOKUP(Table9[[#This Row],[Shortname]], Comp[], 8, FALSE)</f>
        <v>30.3</v>
      </c>
      <c r="L942">
        <f>VLOOKUP(Table9[[#This Row],[Shortname]], Comp[], 9, FALSE)</f>
        <v>9.5</v>
      </c>
      <c r="M942">
        <f>VLOOKUP(Table9[[#This Row],[Shortname]], Comp[], 10, FALSE)</f>
        <v>8.5</v>
      </c>
      <c r="N942">
        <f>VLOOKUP(Table9[[#This Row],[Shortname]], Comp[], 11, FALSE)</f>
        <v>0</v>
      </c>
      <c r="O942">
        <f>VLOOKUP(Table9[[#This Row],[Shortname]], Comp[],12, FALSE)</f>
        <v>2</v>
      </c>
      <c r="P942">
        <f>VLOOKUP(Table9[[#This Row],[Shortname]], Comp[], 13, FALSE)</f>
        <v>0</v>
      </c>
      <c r="Q942">
        <f>VLOOKUP(Table9[[#This Row],[Shortname]], Comp[], 14, FALSE)</f>
        <v>2</v>
      </c>
      <c r="R942">
        <f>VLOOKUP(Table9[[#This Row],[Shortname]], Comp[], 15, FALSE)</f>
        <v>0</v>
      </c>
      <c r="S942">
        <f>VLOOKUP(Table9[[#This Row],[Shortname]], Comp[], 16, FALSE)</f>
        <v>0</v>
      </c>
      <c r="T942">
        <f>VLOOKUP(Table9[[#This Row],[Shortname]], Comp[], 17, FALSE)</f>
        <v>0</v>
      </c>
      <c r="U942">
        <f>VLOOKUP(Table9[[#This Row],[Shortname]], Comp[], 18, FALSE)</f>
        <v>0</v>
      </c>
      <c r="V942">
        <f>VLOOKUP(Table9[[#This Row],[Shortname]], Comp[], 19, FALSE)</f>
        <v>0</v>
      </c>
      <c r="W942">
        <f>VLOOKUP(Table9[[#This Row],[Shortname]], Comp[], 20, FALSE)</f>
        <v>0</v>
      </c>
      <c r="X942">
        <f>VLOOKUP(Table9[[#This Row],[Shortname]], Comp[], 21, FALSE)</f>
        <v>0</v>
      </c>
      <c r="Y942">
        <f>VLOOKUP(Table9[[#This Row],[Shortname]], Comp[], 22, FALSE)</f>
        <v>0</v>
      </c>
      <c r="Z942">
        <f>VLOOKUP(Table9[[#This Row],[Shortname]], Comp[], 23, FALSE)</f>
        <v>0</v>
      </c>
      <c r="AA942">
        <f>VLOOKUP(Table9[[#This Row],[Shortname]], Comp[], 24, FALSE)</f>
        <v>0</v>
      </c>
      <c r="AB942">
        <f>VLOOKUP(Table9[[#This Row],[Shortname]], Comp[], 25, FALSE)</f>
        <v>0</v>
      </c>
      <c r="AC942">
        <f>VLOOKUP(Table9[[#This Row],[Shortname]], Comp[], 26, FALSE)</f>
        <v>0</v>
      </c>
      <c r="AD942">
        <f>VLOOKUP(Table9[[#This Row],[Shortname]], Comp[], 27, FALSE)</f>
        <v>0</v>
      </c>
      <c r="AE942">
        <f>VLOOKUP(Table9[[#This Row],[Shortname]], Comp[], 28, FALSE)</f>
        <v>0</v>
      </c>
      <c r="AF942">
        <f>VLOOKUP(Table9[[#This Row],[Shortname]], Comp[], 29, FALSE)</f>
        <v>0</v>
      </c>
      <c r="AG942">
        <f>VLOOKUP(Table9[[#This Row],[Shortname]], Comp[], 30, FALSE)</f>
        <v>0</v>
      </c>
      <c r="AH942">
        <f>VLOOKUP(Table9[[#This Row],[Shortname]], Comp[], 31, FALSE)</f>
        <v>0</v>
      </c>
    </row>
    <row r="943" spans="1:34" x14ac:dyDescent="0.3">
      <c r="A943" t="s">
        <v>5555</v>
      </c>
      <c r="B943" t="s">
        <v>5556</v>
      </c>
      <c r="C943" t="s">
        <v>6932</v>
      </c>
      <c r="D943">
        <v>598</v>
      </c>
      <c r="E943">
        <v>867</v>
      </c>
      <c r="F943">
        <v>1E-3</v>
      </c>
      <c r="G943">
        <v>1</v>
      </c>
      <c r="H943" t="s">
        <v>6803</v>
      </c>
      <c r="I943">
        <f>VLOOKUP(Table9[[#This Row],[Shortname]], Comp[], 6, FALSE)</f>
        <v>859</v>
      </c>
      <c r="J943" s="14">
        <f>VLOOKUP(Table9[[#This Row],[Shortname]], Comp[], 7, FALSE)</f>
        <v>47.7</v>
      </c>
      <c r="K943">
        <f>VLOOKUP(Table9[[#This Row],[Shortname]], Comp[], 8, FALSE)</f>
        <v>30.3</v>
      </c>
      <c r="L943">
        <f>VLOOKUP(Table9[[#This Row],[Shortname]], Comp[], 9, FALSE)</f>
        <v>9.5</v>
      </c>
      <c r="M943">
        <f>VLOOKUP(Table9[[#This Row],[Shortname]], Comp[], 10, FALSE)</f>
        <v>8.5</v>
      </c>
      <c r="N943">
        <f>VLOOKUP(Table9[[#This Row],[Shortname]], Comp[], 11, FALSE)</f>
        <v>0</v>
      </c>
      <c r="O943">
        <f>VLOOKUP(Table9[[#This Row],[Shortname]], Comp[],12, FALSE)</f>
        <v>2</v>
      </c>
      <c r="P943">
        <f>VLOOKUP(Table9[[#This Row],[Shortname]], Comp[], 13, FALSE)</f>
        <v>0</v>
      </c>
      <c r="Q943">
        <f>VLOOKUP(Table9[[#This Row],[Shortname]], Comp[], 14, FALSE)</f>
        <v>2</v>
      </c>
      <c r="R943">
        <f>VLOOKUP(Table9[[#This Row],[Shortname]], Comp[], 15, FALSE)</f>
        <v>0</v>
      </c>
      <c r="S943">
        <f>VLOOKUP(Table9[[#This Row],[Shortname]], Comp[], 16, FALSE)</f>
        <v>0</v>
      </c>
      <c r="T943">
        <f>VLOOKUP(Table9[[#This Row],[Shortname]], Comp[], 17, FALSE)</f>
        <v>0</v>
      </c>
      <c r="U943">
        <f>VLOOKUP(Table9[[#This Row],[Shortname]], Comp[], 18, FALSE)</f>
        <v>0</v>
      </c>
      <c r="V943">
        <f>VLOOKUP(Table9[[#This Row],[Shortname]], Comp[], 19, FALSE)</f>
        <v>0</v>
      </c>
      <c r="W943">
        <f>VLOOKUP(Table9[[#This Row],[Shortname]], Comp[], 20, FALSE)</f>
        <v>0</v>
      </c>
      <c r="X943">
        <f>VLOOKUP(Table9[[#This Row],[Shortname]], Comp[], 21, FALSE)</f>
        <v>0</v>
      </c>
      <c r="Y943">
        <f>VLOOKUP(Table9[[#This Row],[Shortname]], Comp[], 22, FALSE)</f>
        <v>0</v>
      </c>
      <c r="Z943">
        <f>VLOOKUP(Table9[[#This Row],[Shortname]], Comp[], 23, FALSE)</f>
        <v>0</v>
      </c>
      <c r="AA943">
        <f>VLOOKUP(Table9[[#This Row],[Shortname]], Comp[], 24, FALSE)</f>
        <v>0</v>
      </c>
      <c r="AB943">
        <f>VLOOKUP(Table9[[#This Row],[Shortname]], Comp[], 25, FALSE)</f>
        <v>0</v>
      </c>
      <c r="AC943">
        <f>VLOOKUP(Table9[[#This Row],[Shortname]], Comp[], 26, FALSE)</f>
        <v>0</v>
      </c>
      <c r="AD943">
        <f>VLOOKUP(Table9[[#This Row],[Shortname]], Comp[], 27, FALSE)</f>
        <v>0</v>
      </c>
      <c r="AE943">
        <f>VLOOKUP(Table9[[#This Row],[Shortname]], Comp[], 28, FALSE)</f>
        <v>0</v>
      </c>
      <c r="AF943">
        <f>VLOOKUP(Table9[[#This Row],[Shortname]], Comp[], 29, FALSE)</f>
        <v>0</v>
      </c>
      <c r="AG943">
        <f>VLOOKUP(Table9[[#This Row],[Shortname]], Comp[], 30, FALSE)</f>
        <v>0</v>
      </c>
      <c r="AH943">
        <f>VLOOKUP(Table9[[#This Row],[Shortname]], Comp[], 31, FALSE)</f>
        <v>0</v>
      </c>
    </row>
    <row r="944" spans="1:34" x14ac:dyDescent="0.3">
      <c r="A944" t="s">
        <v>5561</v>
      </c>
      <c r="B944" t="s">
        <v>5562</v>
      </c>
      <c r="C944" t="s">
        <v>6933</v>
      </c>
      <c r="D944">
        <v>754</v>
      </c>
      <c r="E944">
        <v>25</v>
      </c>
      <c r="F944">
        <v>1E-3</v>
      </c>
      <c r="G944">
        <v>1</v>
      </c>
      <c r="H944" t="s">
        <v>6803</v>
      </c>
      <c r="I944">
        <f>VLOOKUP(Table9[[#This Row],[Shortname]], Comp[], 6, FALSE)</f>
        <v>860</v>
      </c>
      <c r="J944" s="14">
        <f>VLOOKUP(Table9[[#This Row],[Shortname]], Comp[], 7, FALSE)</f>
        <v>44.1</v>
      </c>
      <c r="K944">
        <f>VLOOKUP(Table9[[#This Row],[Shortname]], Comp[], 8, FALSE)</f>
        <v>29.9</v>
      </c>
      <c r="L944">
        <f>VLOOKUP(Table9[[#This Row],[Shortname]], Comp[], 9, FALSE)</f>
        <v>10</v>
      </c>
      <c r="M944">
        <f>VLOOKUP(Table9[[#This Row],[Shortname]], Comp[], 10, FALSE)</f>
        <v>11.9</v>
      </c>
      <c r="N944">
        <f>VLOOKUP(Table9[[#This Row],[Shortname]], Comp[], 11, FALSE)</f>
        <v>0</v>
      </c>
      <c r="O944">
        <f>VLOOKUP(Table9[[#This Row],[Shortname]], Comp[],12, FALSE)</f>
        <v>2.2000000000000002</v>
      </c>
      <c r="P944">
        <f>VLOOKUP(Table9[[#This Row],[Shortname]], Comp[], 13, FALSE)</f>
        <v>0</v>
      </c>
      <c r="Q944">
        <f>VLOOKUP(Table9[[#This Row],[Shortname]], Comp[], 14, FALSE)</f>
        <v>1.9</v>
      </c>
      <c r="R944">
        <f>VLOOKUP(Table9[[#This Row],[Shortname]], Comp[], 15, FALSE)</f>
        <v>0</v>
      </c>
      <c r="S944">
        <f>VLOOKUP(Table9[[#This Row],[Shortname]], Comp[], 16, FALSE)</f>
        <v>0</v>
      </c>
      <c r="T944">
        <f>VLOOKUP(Table9[[#This Row],[Shortname]], Comp[], 17, FALSE)</f>
        <v>0</v>
      </c>
      <c r="U944">
        <f>VLOOKUP(Table9[[#This Row],[Shortname]], Comp[], 18, FALSE)</f>
        <v>0</v>
      </c>
      <c r="V944">
        <f>VLOOKUP(Table9[[#This Row],[Shortname]], Comp[], 19, FALSE)</f>
        <v>0</v>
      </c>
      <c r="W944">
        <f>VLOOKUP(Table9[[#This Row],[Shortname]], Comp[], 20, FALSE)</f>
        <v>0</v>
      </c>
      <c r="X944">
        <f>VLOOKUP(Table9[[#This Row],[Shortname]], Comp[], 21, FALSE)</f>
        <v>0</v>
      </c>
      <c r="Y944">
        <f>VLOOKUP(Table9[[#This Row],[Shortname]], Comp[], 22, FALSE)</f>
        <v>0</v>
      </c>
      <c r="Z944">
        <f>VLOOKUP(Table9[[#This Row],[Shortname]], Comp[], 23, FALSE)</f>
        <v>0</v>
      </c>
      <c r="AA944">
        <f>VLOOKUP(Table9[[#This Row],[Shortname]], Comp[], 24, FALSE)</f>
        <v>0</v>
      </c>
      <c r="AB944">
        <f>VLOOKUP(Table9[[#This Row],[Shortname]], Comp[], 25, FALSE)</f>
        <v>0</v>
      </c>
      <c r="AC944">
        <f>VLOOKUP(Table9[[#This Row],[Shortname]], Comp[], 26, FALSE)</f>
        <v>0</v>
      </c>
      <c r="AD944">
        <f>VLOOKUP(Table9[[#This Row],[Shortname]], Comp[], 27, FALSE)</f>
        <v>0</v>
      </c>
      <c r="AE944">
        <f>VLOOKUP(Table9[[#This Row],[Shortname]], Comp[], 28, FALSE)</f>
        <v>0</v>
      </c>
      <c r="AF944">
        <f>VLOOKUP(Table9[[#This Row],[Shortname]], Comp[], 29, FALSE)</f>
        <v>0</v>
      </c>
      <c r="AG944">
        <f>VLOOKUP(Table9[[#This Row],[Shortname]], Comp[], 30, FALSE)</f>
        <v>0</v>
      </c>
      <c r="AH944">
        <f>VLOOKUP(Table9[[#This Row],[Shortname]], Comp[], 31, FALSE)</f>
        <v>0</v>
      </c>
    </row>
    <row r="945" spans="1:34" x14ac:dyDescent="0.3">
      <c r="A945" t="s">
        <v>5561</v>
      </c>
      <c r="B945" t="s">
        <v>5562</v>
      </c>
      <c r="C945" t="s">
        <v>6934</v>
      </c>
      <c r="D945">
        <v>622</v>
      </c>
      <c r="E945">
        <v>568</v>
      </c>
      <c r="F945">
        <v>1E-3</v>
      </c>
      <c r="G945">
        <v>1</v>
      </c>
      <c r="H945" t="s">
        <v>6803</v>
      </c>
      <c r="I945">
        <f>VLOOKUP(Table9[[#This Row],[Shortname]], Comp[], 6, FALSE)</f>
        <v>860</v>
      </c>
      <c r="J945" s="14">
        <f>VLOOKUP(Table9[[#This Row],[Shortname]], Comp[], 7, FALSE)</f>
        <v>44.1</v>
      </c>
      <c r="K945">
        <f>VLOOKUP(Table9[[#This Row],[Shortname]], Comp[], 8, FALSE)</f>
        <v>29.9</v>
      </c>
      <c r="L945">
        <f>VLOOKUP(Table9[[#This Row],[Shortname]], Comp[], 9, FALSE)</f>
        <v>10</v>
      </c>
      <c r="M945">
        <f>VLOOKUP(Table9[[#This Row],[Shortname]], Comp[], 10, FALSE)</f>
        <v>11.9</v>
      </c>
      <c r="N945">
        <f>VLOOKUP(Table9[[#This Row],[Shortname]], Comp[], 11, FALSE)</f>
        <v>0</v>
      </c>
      <c r="O945">
        <f>VLOOKUP(Table9[[#This Row],[Shortname]], Comp[],12, FALSE)</f>
        <v>2.2000000000000002</v>
      </c>
      <c r="P945">
        <f>VLOOKUP(Table9[[#This Row],[Shortname]], Comp[], 13, FALSE)</f>
        <v>0</v>
      </c>
      <c r="Q945">
        <f>VLOOKUP(Table9[[#This Row],[Shortname]], Comp[], 14, FALSE)</f>
        <v>1.9</v>
      </c>
      <c r="R945">
        <f>VLOOKUP(Table9[[#This Row],[Shortname]], Comp[], 15, FALSE)</f>
        <v>0</v>
      </c>
      <c r="S945">
        <f>VLOOKUP(Table9[[#This Row],[Shortname]], Comp[], 16, FALSE)</f>
        <v>0</v>
      </c>
      <c r="T945">
        <f>VLOOKUP(Table9[[#This Row],[Shortname]], Comp[], 17, FALSE)</f>
        <v>0</v>
      </c>
      <c r="U945">
        <f>VLOOKUP(Table9[[#This Row],[Shortname]], Comp[], 18, FALSE)</f>
        <v>0</v>
      </c>
      <c r="V945">
        <f>VLOOKUP(Table9[[#This Row],[Shortname]], Comp[], 19, FALSE)</f>
        <v>0</v>
      </c>
      <c r="W945">
        <f>VLOOKUP(Table9[[#This Row],[Shortname]], Comp[], 20, FALSE)</f>
        <v>0</v>
      </c>
      <c r="X945">
        <f>VLOOKUP(Table9[[#This Row],[Shortname]], Comp[], 21, FALSE)</f>
        <v>0</v>
      </c>
      <c r="Y945">
        <f>VLOOKUP(Table9[[#This Row],[Shortname]], Comp[], 22, FALSE)</f>
        <v>0</v>
      </c>
      <c r="Z945">
        <f>VLOOKUP(Table9[[#This Row],[Shortname]], Comp[], 23, FALSE)</f>
        <v>0</v>
      </c>
      <c r="AA945">
        <f>VLOOKUP(Table9[[#This Row],[Shortname]], Comp[], 24, FALSE)</f>
        <v>0</v>
      </c>
      <c r="AB945">
        <f>VLOOKUP(Table9[[#This Row],[Shortname]], Comp[], 25, FALSE)</f>
        <v>0</v>
      </c>
      <c r="AC945">
        <f>VLOOKUP(Table9[[#This Row],[Shortname]], Comp[], 26, FALSE)</f>
        <v>0</v>
      </c>
      <c r="AD945">
        <f>VLOOKUP(Table9[[#This Row],[Shortname]], Comp[], 27, FALSE)</f>
        <v>0</v>
      </c>
      <c r="AE945">
        <f>VLOOKUP(Table9[[#This Row],[Shortname]], Comp[], 28, FALSE)</f>
        <v>0</v>
      </c>
      <c r="AF945">
        <f>VLOOKUP(Table9[[#This Row],[Shortname]], Comp[], 29, FALSE)</f>
        <v>0</v>
      </c>
      <c r="AG945">
        <f>VLOOKUP(Table9[[#This Row],[Shortname]], Comp[], 30, FALSE)</f>
        <v>0</v>
      </c>
      <c r="AH945">
        <f>VLOOKUP(Table9[[#This Row],[Shortname]], Comp[], 31, FALSE)</f>
        <v>0</v>
      </c>
    </row>
    <row r="946" spans="1:34" x14ac:dyDescent="0.3">
      <c r="A946" t="s">
        <v>5561</v>
      </c>
      <c r="B946" t="s">
        <v>5562</v>
      </c>
      <c r="C946" t="s">
        <v>6935</v>
      </c>
      <c r="D946">
        <v>607</v>
      </c>
      <c r="E946">
        <v>670</v>
      </c>
      <c r="F946">
        <v>1E-3</v>
      </c>
      <c r="G946">
        <v>1</v>
      </c>
      <c r="H946" t="s">
        <v>6803</v>
      </c>
      <c r="I946">
        <f>VLOOKUP(Table9[[#This Row],[Shortname]], Comp[], 6, FALSE)</f>
        <v>860</v>
      </c>
      <c r="J946" s="14">
        <f>VLOOKUP(Table9[[#This Row],[Shortname]], Comp[], 7, FALSE)</f>
        <v>44.1</v>
      </c>
      <c r="K946">
        <f>VLOOKUP(Table9[[#This Row],[Shortname]], Comp[], 8, FALSE)</f>
        <v>29.9</v>
      </c>
      <c r="L946">
        <f>VLOOKUP(Table9[[#This Row],[Shortname]], Comp[], 9, FALSE)</f>
        <v>10</v>
      </c>
      <c r="M946">
        <f>VLOOKUP(Table9[[#This Row],[Shortname]], Comp[], 10, FALSE)</f>
        <v>11.9</v>
      </c>
      <c r="N946">
        <f>VLOOKUP(Table9[[#This Row],[Shortname]], Comp[], 11, FALSE)</f>
        <v>0</v>
      </c>
      <c r="O946">
        <f>VLOOKUP(Table9[[#This Row],[Shortname]], Comp[],12, FALSE)</f>
        <v>2.2000000000000002</v>
      </c>
      <c r="P946">
        <f>VLOOKUP(Table9[[#This Row],[Shortname]], Comp[], 13, FALSE)</f>
        <v>0</v>
      </c>
      <c r="Q946">
        <f>VLOOKUP(Table9[[#This Row],[Shortname]], Comp[], 14, FALSE)</f>
        <v>1.9</v>
      </c>
      <c r="R946">
        <f>VLOOKUP(Table9[[#This Row],[Shortname]], Comp[], 15, FALSE)</f>
        <v>0</v>
      </c>
      <c r="S946">
        <f>VLOOKUP(Table9[[#This Row],[Shortname]], Comp[], 16, FALSE)</f>
        <v>0</v>
      </c>
      <c r="T946">
        <f>VLOOKUP(Table9[[#This Row],[Shortname]], Comp[], 17, FALSE)</f>
        <v>0</v>
      </c>
      <c r="U946">
        <f>VLOOKUP(Table9[[#This Row],[Shortname]], Comp[], 18, FALSE)</f>
        <v>0</v>
      </c>
      <c r="V946">
        <f>VLOOKUP(Table9[[#This Row],[Shortname]], Comp[], 19, FALSE)</f>
        <v>0</v>
      </c>
      <c r="W946">
        <f>VLOOKUP(Table9[[#This Row],[Shortname]], Comp[], 20, FALSE)</f>
        <v>0</v>
      </c>
      <c r="X946">
        <f>VLOOKUP(Table9[[#This Row],[Shortname]], Comp[], 21, FALSE)</f>
        <v>0</v>
      </c>
      <c r="Y946">
        <f>VLOOKUP(Table9[[#This Row],[Shortname]], Comp[], 22, FALSE)</f>
        <v>0</v>
      </c>
      <c r="Z946">
        <f>VLOOKUP(Table9[[#This Row],[Shortname]], Comp[], 23, FALSE)</f>
        <v>0</v>
      </c>
      <c r="AA946">
        <f>VLOOKUP(Table9[[#This Row],[Shortname]], Comp[], 24, FALSE)</f>
        <v>0</v>
      </c>
      <c r="AB946">
        <f>VLOOKUP(Table9[[#This Row],[Shortname]], Comp[], 25, FALSE)</f>
        <v>0</v>
      </c>
      <c r="AC946">
        <f>VLOOKUP(Table9[[#This Row],[Shortname]], Comp[], 26, FALSE)</f>
        <v>0</v>
      </c>
      <c r="AD946">
        <f>VLOOKUP(Table9[[#This Row],[Shortname]], Comp[], 27, FALSE)</f>
        <v>0</v>
      </c>
      <c r="AE946">
        <f>VLOOKUP(Table9[[#This Row],[Shortname]], Comp[], 28, FALSE)</f>
        <v>0</v>
      </c>
      <c r="AF946">
        <f>VLOOKUP(Table9[[#This Row],[Shortname]], Comp[], 29, FALSE)</f>
        <v>0</v>
      </c>
      <c r="AG946">
        <f>VLOOKUP(Table9[[#This Row],[Shortname]], Comp[], 30, FALSE)</f>
        <v>0</v>
      </c>
      <c r="AH946">
        <f>VLOOKUP(Table9[[#This Row],[Shortname]], Comp[], 31, FALSE)</f>
        <v>0</v>
      </c>
    </row>
    <row r="947" spans="1:34" x14ac:dyDescent="0.3">
      <c r="A947" t="s">
        <v>5561</v>
      </c>
      <c r="B947" t="s">
        <v>5562</v>
      </c>
      <c r="C947" t="s">
        <v>6936</v>
      </c>
      <c r="D947">
        <v>665</v>
      </c>
      <c r="E947">
        <v>769</v>
      </c>
      <c r="F947">
        <v>1E-3</v>
      </c>
      <c r="G947">
        <v>1</v>
      </c>
      <c r="H947" t="s">
        <v>6803</v>
      </c>
      <c r="I947">
        <f>VLOOKUP(Table9[[#This Row],[Shortname]], Comp[], 6, FALSE)</f>
        <v>860</v>
      </c>
      <c r="J947" s="14">
        <f>VLOOKUP(Table9[[#This Row],[Shortname]], Comp[], 7, FALSE)</f>
        <v>44.1</v>
      </c>
      <c r="K947">
        <f>VLOOKUP(Table9[[#This Row],[Shortname]], Comp[], 8, FALSE)</f>
        <v>29.9</v>
      </c>
      <c r="L947">
        <f>VLOOKUP(Table9[[#This Row],[Shortname]], Comp[], 9, FALSE)</f>
        <v>10</v>
      </c>
      <c r="M947">
        <f>VLOOKUP(Table9[[#This Row],[Shortname]], Comp[], 10, FALSE)</f>
        <v>11.9</v>
      </c>
      <c r="N947">
        <f>VLOOKUP(Table9[[#This Row],[Shortname]], Comp[], 11, FALSE)</f>
        <v>0</v>
      </c>
      <c r="O947">
        <f>VLOOKUP(Table9[[#This Row],[Shortname]], Comp[],12, FALSE)</f>
        <v>2.2000000000000002</v>
      </c>
      <c r="P947">
        <f>VLOOKUP(Table9[[#This Row],[Shortname]], Comp[], 13, FALSE)</f>
        <v>0</v>
      </c>
      <c r="Q947">
        <f>VLOOKUP(Table9[[#This Row],[Shortname]], Comp[], 14, FALSE)</f>
        <v>1.9</v>
      </c>
      <c r="R947">
        <f>VLOOKUP(Table9[[#This Row],[Shortname]], Comp[], 15, FALSE)</f>
        <v>0</v>
      </c>
      <c r="S947">
        <f>VLOOKUP(Table9[[#This Row],[Shortname]], Comp[], 16, FALSE)</f>
        <v>0</v>
      </c>
      <c r="T947">
        <f>VLOOKUP(Table9[[#This Row],[Shortname]], Comp[], 17, FALSE)</f>
        <v>0</v>
      </c>
      <c r="U947">
        <f>VLOOKUP(Table9[[#This Row],[Shortname]], Comp[], 18, FALSE)</f>
        <v>0</v>
      </c>
      <c r="V947">
        <f>VLOOKUP(Table9[[#This Row],[Shortname]], Comp[], 19, FALSE)</f>
        <v>0</v>
      </c>
      <c r="W947">
        <f>VLOOKUP(Table9[[#This Row],[Shortname]], Comp[], 20, FALSE)</f>
        <v>0</v>
      </c>
      <c r="X947">
        <f>VLOOKUP(Table9[[#This Row],[Shortname]], Comp[], 21, FALSE)</f>
        <v>0</v>
      </c>
      <c r="Y947">
        <f>VLOOKUP(Table9[[#This Row],[Shortname]], Comp[], 22, FALSE)</f>
        <v>0</v>
      </c>
      <c r="Z947">
        <f>VLOOKUP(Table9[[#This Row],[Shortname]], Comp[], 23, FALSE)</f>
        <v>0</v>
      </c>
      <c r="AA947">
        <f>VLOOKUP(Table9[[#This Row],[Shortname]], Comp[], 24, FALSE)</f>
        <v>0</v>
      </c>
      <c r="AB947">
        <f>VLOOKUP(Table9[[#This Row],[Shortname]], Comp[], 25, FALSE)</f>
        <v>0</v>
      </c>
      <c r="AC947">
        <f>VLOOKUP(Table9[[#This Row],[Shortname]], Comp[], 26, FALSE)</f>
        <v>0</v>
      </c>
      <c r="AD947">
        <f>VLOOKUP(Table9[[#This Row],[Shortname]], Comp[], 27, FALSE)</f>
        <v>0</v>
      </c>
      <c r="AE947">
        <f>VLOOKUP(Table9[[#This Row],[Shortname]], Comp[], 28, FALSE)</f>
        <v>0</v>
      </c>
      <c r="AF947">
        <f>VLOOKUP(Table9[[#This Row],[Shortname]], Comp[], 29, FALSE)</f>
        <v>0</v>
      </c>
      <c r="AG947">
        <f>VLOOKUP(Table9[[#This Row],[Shortname]], Comp[], 30, FALSE)</f>
        <v>0</v>
      </c>
      <c r="AH947">
        <f>VLOOKUP(Table9[[#This Row],[Shortname]], Comp[], 31, FALSE)</f>
        <v>0</v>
      </c>
    </row>
    <row r="948" spans="1:34" x14ac:dyDescent="0.3">
      <c r="A948" t="s">
        <v>5561</v>
      </c>
      <c r="B948" t="s">
        <v>5562</v>
      </c>
      <c r="C948" t="s">
        <v>6937</v>
      </c>
      <c r="D948">
        <v>508</v>
      </c>
      <c r="E948">
        <v>867</v>
      </c>
      <c r="F948">
        <v>1E-3</v>
      </c>
      <c r="G948">
        <v>1</v>
      </c>
      <c r="H948" t="s">
        <v>6803</v>
      </c>
      <c r="I948">
        <f>VLOOKUP(Table9[[#This Row],[Shortname]], Comp[], 6, FALSE)</f>
        <v>860</v>
      </c>
      <c r="J948" s="14">
        <f>VLOOKUP(Table9[[#This Row],[Shortname]], Comp[], 7, FALSE)</f>
        <v>44.1</v>
      </c>
      <c r="K948">
        <f>VLOOKUP(Table9[[#This Row],[Shortname]], Comp[], 8, FALSE)</f>
        <v>29.9</v>
      </c>
      <c r="L948">
        <f>VLOOKUP(Table9[[#This Row],[Shortname]], Comp[], 9, FALSE)</f>
        <v>10</v>
      </c>
      <c r="M948">
        <f>VLOOKUP(Table9[[#This Row],[Shortname]], Comp[], 10, FALSE)</f>
        <v>11.9</v>
      </c>
      <c r="N948">
        <f>VLOOKUP(Table9[[#This Row],[Shortname]], Comp[], 11, FALSE)</f>
        <v>0</v>
      </c>
      <c r="O948">
        <f>VLOOKUP(Table9[[#This Row],[Shortname]], Comp[],12, FALSE)</f>
        <v>2.2000000000000002</v>
      </c>
      <c r="P948">
        <f>VLOOKUP(Table9[[#This Row],[Shortname]], Comp[], 13, FALSE)</f>
        <v>0</v>
      </c>
      <c r="Q948">
        <f>VLOOKUP(Table9[[#This Row],[Shortname]], Comp[], 14, FALSE)</f>
        <v>1.9</v>
      </c>
      <c r="R948">
        <f>VLOOKUP(Table9[[#This Row],[Shortname]], Comp[], 15, FALSE)</f>
        <v>0</v>
      </c>
      <c r="S948">
        <f>VLOOKUP(Table9[[#This Row],[Shortname]], Comp[], 16, FALSE)</f>
        <v>0</v>
      </c>
      <c r="T948">
        <f>VLOOKUP(Table9[[#This Row],[Shortname]], Comp[], 17, FALSE)</f>
        <v>0</v>
      </c>
      <c r="U948">
        <f>VLOOKUP(Table9[[#This Row],[Shortname]], Comp[], 18, FALSE)</f>
        <v>0</v>
      </c>
      <c r="V948">
        <f>VLOOKUP(Table9[[#This Row],[Shortname]], Comp[], 19, FALSE)</f>
        <v>0</v>
      </c>
      <c r="W948">
        <f>VLOOKUP(Table9[[#This Row],[Shortname]], Comp[], 20, FALSE)</f>
        <v>0</v>
      </c>
      <c r="X948">
        <f>VLOOKUP(Table9[[#This Row],[Shortname]], Comp[], 21, FALSE)</f>
        <v>0</v>
      </c>
      <c r="Y948">
        <f>VLOOKUP(Table9[[#This Row],[Shortname]], Comp[], 22, FALSE)</f>
        <v>0</v>
      </c>
      <c r="Z948">
        <f>VLOOKUP(Table9[[#This Row],[Shortname]], Comp[], 23, FALSE)</f>
        <v>0</v>
      </c>
      <c r="AA948">
        <f>VLOOKUP(Table9[[#This Row],[Shortname]], Comp[], 24, FALSE)</f>
        <v>0</v>
      </c>
      <c r="AB948">
        <f>VLOOKUP(Table9[[#This Row],[Shortname]], Comp[], 25, FALSE)</f>
        <v>0</v>
      </c>
      <c r="AC948">
        <f>VLOOKUP(Table9[[#This Row],[Shortname]], Comp[], 26, FALSE)</f>
        <v>0</v>
      </c>
      <c r="AD948">
        <f>VLOOKUP(Table9[[#This Row],[Shortname]], Comp[], 27, FALSE)</f>
        <v>0</v>
      </c>
      <c r="AE948">
        <f>VLOOKUP(Table9[[#This Row],[Shortname]], Comp[], 28, FALSE)</f>
        <v>0</v>
      </c>
      <c r="AF948">
        <f>VLOOKUP(Table9[[#This Row],[Shortname]], Comp[], 29, FALSE)</f>
        <v>0</v>
      </c>
      <c r="AG948">
        <f>VLOOKUP(Table9[[#This Row],[Shortname]], Comp[], 30, FALSE)</f>
        <v>0</v>
      </c>
      <c r="AH948">
        <f>VLOOKUP(Table9[[#This Row],[Shortname]], Comp[], 31, FALSE)</f>
        <v>0</v>
      </c>
    </row>
    <row r="949" spans="1:34" x14ac:dyDescent="0.3">
      <c r="A949" t="s">
        <v>5565</v>
      </c>
      <c r="B949" t="s">
        <v>5566</v>
      </c>
      <c r="C949" t="s">
        <v>6938</v>
      </c>
      <c r="D949">
        <v>776</v>
      </c>
      <c r="E949">
        <v>25</v>
      </c>
      <c r="F949">
        <v>1E-3</v>
      </c>
      <c r="G949">
        <v>1</v>
      </c>
      <c r="H949" t="s">
        <v>6803</v>
      </c>
      <c r="I949">
        <f>VLOOKUP(Table9[[#This Row],[Shortname]], Comp[], 6, FALSE)</f>
        <v>861</v>
      </c>
      <c r="J949" s="14">
        <f>VLOOKUP(Table9[[#This Row],[Shortname]], Comp[], 7, FALSE)</f>
        <v>49.4</v>
      </c>
      <c r="K949">
        <f>VLOOKUP(Table9[[#This Row],[Shortname]], Comp[], 8, FALSE)</f>
        <v>30</v>
      </c>
      <c r="L949">
        <f>VLOOKUP(Table9[[#This Row],[Shortname]], Comp[], 9, FALSE)</f>
        <v>9.1</v>
      </c>
      <c r="M949">
        <f>VLOOKUP(Table9[[#This Row],[Shortname]], Comp[], 10, FALSE)</f>
        <v>5.3</v>
      </c>
      <c r="N949">
        <f>VLOOKUP(Table9[[#This Row],[Shortname]], Comp[], 11, FALSE)</f>
        <v>0</v>
      </c>
      <c r="O949">
        <f>VLOOKUP(Table9[[#This Row],[Shortname]], Comp[],12, FALSE)</f>
        <v>4.2</v>
      </c>
      <c r="P949">
        <f>VLOOKUP(Table9[[#This Row],[Shortname]], Comp[], 13, FALSE)</f>
        <v>0</v>
      </c>
      <c r="Q949">
        <f>VLOOKUP(Table9[[#This Row],[Shortname]], Comp[], 14, FALSE)</f>
        <v>2</v>
      </c>
      <c r="R949">
        <f>VLOOKUP(Table9[[#This Row],[Shortname]], Comp[], 15, FALSE)</f>
        <v>0</v>
      </c>
      <c r="S949">
        <f>VLOOKUP(Table9[[#This Row],[Shortname]], Comp[], 16, FALSE)</f>
        <v>0</v>
      </c>
      <c r="T949">
        <f>VLOOKUP(Table9[[#This Row],[Shortname]], Comp[], 17, FALSE)</f>
        <v>0</v>
      </c>
      <c r="U949">
        <f>VLOOKUP(Table9[[#This Row],[Shortname]], Comp[], 18, FALSE)</f>
        <v>0</v>
      </c>
      <c r="V949">
        <f>VLOOKUP(Table9[[#This Row],[Shortname]], Comp[], 19, FALSE)</f>
        <v>0</v>
      </c>
      <c r="W949">
        <f>VLOOKUP(Table9[[#This Row],[Shortname]], Comp[], 20, FALSE)</f>
        <v>0</v>
      </c>
      <c r="X949">
        <f>VLOOKUP(Table9[[#This Row],[Shortname]], Comp[], 21, FALSE)</f>
        <v>0</v>
      </c>
      <c r="Y949">
        <f>VLOOKUP(Table9[[#This Row],[Shortname]], Comp[], 22, FALSE)</f>
        <v>0</v>
      </c>
      <c r="Z949">
        <f>VLOOKUP(Table9[[#This Row],[Shortname]], Comp[], 23, FALSE)</f>
        <v>0</v>
      </c>
      <c r="AA949">
        <f>VLOOKUP(Table9[[#This Row],[Shortname]], Comp[], 24, FALSE)</f>
        <v>0</v>
      </c>
      <c r="AB949">
        <f>VLOOKUP(Table9[[#This Row],[Shortname]], Comp[], 25, FALSE)</f>
        <v>0</v>
      </c>
      <c r="AC949">
        <f>VLOOKUP(Table9[[#This Row],[Shortname]], Comp[], 26, FALSE)</f>
        <v>0</v>
      </c>
      <c r="AD949">
        <f>VLOOKUP(Table9[[#This Row],[Shortname]], Comp[], 27, FALSE)</f>
        <v>0</v>
      </c>
      <c r="AE949">
        <f>VLOOKUP(Table9[[#This Row],[Shortname]], Comp[], 28, FALSE)</f>
        <v>0</v>
      </c>
      <c r="AF949">
        <f>VLOOKUP(Table9[[#This Row],[Shortname]], Comp[], 29, FALSE)</f>
        <v>0</v>
      </c>
      <c r="AG949">
        <f>VLOOKUP(Table9[[#This Row],[Shortname]], Comp[], 30, FALSE)</f>
        <v>0</v>
      </c>
      <c r="AH949">
        <f>VLOOKUP(Table9[[#This Row],[Shortname]], Comp[], 31, FALSE)</f>
        <v>0</v>
      </c>
    </row>
    <row r="950" spans="1:34" x14ac:dyDescent="0.3">
      <c r="A950" t="s">
        <v>5565</v>
      </c>
      <c r="B950" t="s">
        <v>5566</v>
      </c>
      <c r="C950" t="s">
        <v>6939</v>
      </c>
      <c r="D950">
        <v>641</v>
      </c>
      <c r="E950">
        <v>568</v>
      </c>
      <c r="F950">
        <v>1E-3</v>
      </c>
      <c r="G950">
        <v>1</v>
      </c>
      <c r="H950" t="s">
        <v>6803</v>
      </c>
      <c r="I950">
        <f>VLOOKUP(Table9[[#This Row],[Shortname]], Comp[], 6, FALSE)</f>
        <v>861</v>
      </c>
      <c r="J950" s="14">
        <f>VLOOKUP(Table9[[#This Row],[Shortname]], Comp[], 7, FALSE)</f>
        <v>49.4</v>
      </c>
      <c r="K950">
        <f>VLOOKUP(Table9[[#This Row],[Shortname]], Comp[], 8, FALSE)</f>
        <v>30</v>
      </c>
      <c r="L950">
        <f>VLOOKUP(Table9[[#This Row],[Shortname]], Comp[], 9, FALSE)</f>
        <v>9.1</v>
      </c>
      <c r="M950">
        <f>VLOOKUP(Table9[[#This Row],[Shortname]], Comp[], 10, FALSE)</f>
        <v>5.3</v>
      </c>
      <c r="N950">
        <f>VLOOKUP(Table9[[#This Row],[Shortname]], Comp[], 11, FALSE)</f>
        <v>0</v>
      </c>
      <c r="O950">
        <f>VLOOKUP(Table9[[#This Row],[Shortname]], Comp[],12, FALSE)</f>
        <v>4.2</v>
      </c>
      <c r="P950">
        <f>VLOOKUP(Table9[[#This Row],[Shortname]], Comp[], 13, FALSE)</f>
        <v>0</v>
      </c>
      <c r="Q950">
        <f>VLOOKUP(Table9[[#This Row],[Shortname]], Comp[], 14, FALSE)</f>
        <v>2</v>
      </c>
      <c r="R950">
        <f>VLOOKUP(Table9[[#This Row],[Shortname]], Comp[], 15, FALSE)</f>
        <v>0</v>
      </c>
      <c r="S950">
        <f>VLOOKUP(Table9[[#This Row],[Shortname]], Comp[], 16, FALSE)</f>
        <v>0</v>
      </c>
      <c r="T950">
        <f>VLOOKUP(Table9[[#This Row],[Shortname]], Comp[], 17, FALSE)</f>
        <v>0</v>
      </c>
      <c r="U950">
        <f>VLOOKUP(Table9[[#This Row],[Shortname]], Comp[], 18, FALSE)</f>
        <v>0</v>
      </c>
      <c r="V950">
        <f>VLOOKUP(Table9[[#This Row],[Shortname]], Comp[], 19, FALSE)</f>
        <v>0</v>
      </c>
      <c r="W950">
        <f>VLOOKUP(Table9[[#This Row],[Shortname]], Comp[], 20, FALSE)</f>
        <v>0</v>
      </c>
      <c r="X950">
        <f>VLOOKUP(Table9[[#This Row],[Shortname]], Comp[], 21, FALSE)</f>
        <v>0</v>
      </c>
      <c r="Y950">
        <f>VLOOKUP(Table9[[#This Row],[Shortname]], Comp[], 22, FALSE)</f>
        <v>0</v>
      </c>
      <c r="Z950">
        <f>VLOOKUP(Table9[[#This Row],[Shortname]], Comp[], 23, FALSE)</f>
        <v>0</v>
      </c>
      <c r="AA950">
        <f>VLOOKUP(Table9[[#This Row],[Shortname]], Comp[], 24, FALSE)</f>
        <v>0</v>
      </c>
      <c r="AB950">
        <f>VLOOKUP(Table9[[#This Row],[Shortname]], Comp[], 25, FALSE)</f>
        <v>0</v>
      </c>
      <c r="AC950">
        <f>VLOOKUP(Table9[[#This Row],[Shortname]], Comp[], 26, FALSE)</f>
        <v>0</v>
      </c>
      <c r="AD950">
        <f>VLOOKUP(Table9[[#This Row],[Shortname]], Comp[], 27, FALSE)</f>
        <v>0</v>
      </c>
      <c r="AE950">
        <f>VLOOKUP(Table9[[#This Row],[Shortname]], Comp[], 28, FALSE)</f>
        <v>0</v>
      </c>
      <c r="AF950">
        <f>VLOOKUP(Table9[[#This Row],[Shortname]], Comp[], 29, FALSE)</f>
        <v>0</v>
      </c>
      <c r="AG950">
        <f>VLOOKUP(Table9[[#This Row],[Shortname]], Comp[], 30, FALSE)</f>
        <v>0</v>
      </c>
      <c r="AH950">
        <f>VLOOKUP(Table9[[#This Row],[Shortname]], Comp[], 31, FALSE)</f>
        <v>0</v>
      </c>
    </row>
    <row r="951" spans="1:34" x14ac:dyDescent="0.3">
      <c r="A951" t="s">
        <v>5565</v>
      </c>
      <c r="B951" t="s">
        <v>5566</v>
      </c>
      <c r="C951" t="s">
        <v>6940</v>
      </c>
      <c r="D951">
        <v>641</v>
      </c>
      <c r="E951">
        <v>670</v>
      </c>
      <c r="F951">
        <v>1E-3</v>
      </c>
      <c r="G951">
        <v>1</v>
      </c>
      <c r="H951" t="s">
        <v>6803</v>
      </c>
      <c r="I951">
        <f>VLOOKUP(Table9[[#This Row],[Shortname]], Comp[], 6, FALSE)</f>
        <v>861</v>
      </c>
      <c r="J951" s="14">
        <f>VLOOKUP(Table9[[#This Row],[Shortname]], Comp[], 7, FALSE)</f>
        <v>49.4</v>
      </c>
      <c r="K951">
        <f>VLOOKUP(Table9[[#This Row],[Shortname]], Comp[], 8, FALSE)</f>
        <v>30</v>
      </c>
      <c r="L951">
        <f>VLOOKUP(Table9[[#This Row],[Shortname]], Comp[], 9, FALSE)</f>
        <v>9.1</v>
      </c>
      <c r="M951">
        <f>VLOOKUP(Table9[[#This Row],[Shortname]], Comp[], 10, FALSE)</f>
        <v>5.3</v>
      </c>
      <c r="N951">
        <f>VLOOKUP(Table9[[#This Row],[Shortname]], Comp[], 11, FALSE)</f>
        <v>0</v>
      </c>
      <c r="O951">
        <f>VLOOKUP(Table9[[#This Row],[Shortname]], Comp[],12, FALSE)</f>
        <v>4.2</v>
      </c>
      <c r="P951">
        <f>VLOOKUP(Table9[[#This Row],[Shortname]], Comp[], 13, FALSE)</f>
        <v>0</v>
      </c>
      <c r="Q951">
        <f>VLOOKUP(Table9[[#This Row],[Shortname]], Comp[], 14, FALSE)</f>
        <v>2</v>
      </c>
      <c r="R951">
        <f>VLOOKUP(Table9[[#This Row],[Shortname]], Comp[], 15, FALSE)</f>
        <v>0</v>
      </c>
      <c r="S951">
        <f>VLOOKUP(Table9[[#This Row],[Shortname]], Comp[], 16, FALSE)</f>
        <v>0</v>
      </c>
      <c r="T951">
        <f>VLOOKUP(Table9[[#This Row],[Shortname]], Comp[], 17, FALSE)</f>
        <v>0</v>
      </c>
      <c r="U951">
        <f>VLOOKUP(Table9[[#This Row],[Shortname]], Comp[], 18, FALSE)</f>
        <v>0</v>
      </c>
      <c r="V951">
        <f>VLOOKUP(Table9[[#This Row],[Shortname]], Comp[], 19, FALSE)</f>
        <v>0</v>
      </c>
      <c r="W951">
        <f>VLOOKUP(Table9[[#This Row],[Shortname]], Comp[], 20, FALSE)</f>
        <v>0</v>
      </c>
      <c r="X951">
        <f>VLOOKUP(Table9[[#This Row],[Shortname]], Comp[], 21, FALSE)</f>
        <v>0</v>
      </c>
      <c r="Y951">
        <f>VLOOKUP(Table9[[#This Row],[Shortname]], Comp[], 22, FALSE)</f>
        <v>0</v>
      </c>
      <c r="Z951">
        <f>VLOOKUP(Table9[[#This Row],[Shortname]], Comp[], 23, FALSE)</f>
        <v>0</v>
      </c>
      <c r="AA951">
        <f>VLOOKUP(Table9[[#This Row],[Shortname]], Comp[], 24, FALSE)</f>
        <v>0</v>
      </c>
      <c r="AB951">
        <f>VLOOKUP(Table9[[#This Row],[Shortname]], Comp[], 25, FALSE)</f>
        <v>0</v>
      </c>
      <c r="AC951">
        <f>VLOOKUP(Table9[[#This Row],[Shortname]], Comp[], 26, FALSE)</f>
        <v>0</v>
      </c>
      <c r="AD951">
        <f>VLOOKUP(Table9[[#This Row],[Shortname]], Comp[], 27, FALSE)</f>
        <v>0</v>
      </c>
      <c r="AE951">
        <f>VLOOKUP(Table9[[#This Row],[Shortname]], Comp[], 28, FALSE)</f>
        <v>0</v>
      </c>
      <c r="AF951">
        <f>VLOOKUP(Table9[[#This Row],[Shortname]], Comp[], 29, FALSE)</f>
        <v>0</v>
      </c>
      <c r="AG951">
        <f>VLOOKUP(Table9[[#This Row],[Shortname]], Comp[], 30, FALSE)</f>
        <v>0</v>
      </c>
      <c r="AH951">
        <f>VLOOKUP(Table9[[#This Row],[Shortname]], Comp[], 31, FALSE)</f>
        <v>0</v>
      </c>
    </row>
    <row r="952" spans="1:34" x14ac:dyDescent="0.3">
      <c r="A952" t="s">
        <v>5565</v>
      </c>
      <c r="B952" t="s">
        <v>5566</v>
      </c>
      <c r="C952" t="s">
        <v>6941</v>
      </c>
      <c r="D952">
        <v>673</v>
      </c>
      <c r="E952">
        <v>769</v>
      </c>
      <c r="F952">
        <v>1E-3</v>
      </c>
      <c r="G952">
        <v>1</v>
      </c>
      <c r="H952" t="s">
        <v>6803</v>
      </c>
      <c r="I952">
        <f>VLOOKUP(Table9[[#This Row],[Shortname]], Comp[], 6, FALSE)</f>
        <v>861</v>
      </c>
      <c r="J952" s="14">
        <f>VLOOKUP(Table9[[#This Row],[Shortname]], Comp[], 7, FALSE)</f>
        <v>49.4</v>
      </c>
      <c r="K952">
        <f>VLOOKUP(Table9[[#This Row],[Shortname]], Comp[], 8, FALSE)</f>
        <v>30</v>
      </c>
      <c r="L952">
        <f>VLOOKUP(Table9[[#This Row],[Shortname]], Comp[], 9, FALSE)</f>
        <v>9.1</v>
      </c>
      <c r="M952">
        <f>VLOOKUP(Table9[[#This Row],[Shortname]], Comp[], 10, FALSE)</f>
        <v>5.3</v>
      </c>
      <c r="N952">
        <f>VLOOKUP(Table9[[#This Row],[Shortname]], Comp[], 11, FALSE)</f>
        <v>0</v>
      </c>
      <c r="O952">
        <f>VLOOKUP(Table9[[#This Row],[Shortname]], Comp[],12, FALSE)</f>
        <v>4.2</v>
      </c>
      <c r="P952">
        <f>VLOOKUP(Table9[[#This Row],[Shortname]], Comp[], 13, FALSE)</f>
        <v>0</v>
      </c>
      <c r="Q952">
        <f>VLOOKUP(Table9[[#This Row],[Shortname]], Comp[], 14, FALSE)</f>
        <v>2</v>
      </c>
      <c r="R952">
        <f>VLOOKUP(Table9[[#This Row],[Shortname]], Comp[], 15, FALSE)</f>
        <v>0</v>
      </c>
      <c r="S952">
        <f>VLOOKUP(Table9[[#This Row],[Shortname]], Comp[], 16, FALSE)</f>
        <v>0</v>
      </c>
      <c r="T952">
        <f>VLOOKUP(Table9[[#This Row],[Shortname]], Comp[], 17, FALSE)</f>
        <v>0</v>
      </c>
      <c r="U952">
        <f>VLOOKUP(Table9[[#This Row],[Shortname]], Comp[], 18, FALSE)</f>
        <v>0</v>
      </c>
      <c r="V952">
        <f>VLOOKUP(Table9[[#This Row],[Shortname]], Comp[], 19, FALSE)</f>
        <v>0</v>
      </c>
      <c r="W952">
        <f>VLOOKUP(Table9[[#This Row],[Shortname]], Comp[], 20, FALSE)</f>
        <v>0</v>
      </c>
      <c r="X952">
        <f>VLOOKUP(Table9[[#This Row],[Shortname]], Comp[], 21, FALSE)</f>
        <v>0</v>
      </c>
      <c r="Y952">
        <f>VLOOKUP(Table9[[#This Row],[Shortname]], Comp[], 22, FALSE)</f>
        <v>0</v>
      </c>
      <c r="Z952">
        <f>VLOOKUP(Table9[[#This Row],[Shortname]], Comp[], 23, FALSE)</f>
        <v>0</v>
      </c>
      <c r="AA952">
        <f>VLOOKUP(Table9[[#This Row],[Shortname]], Comp[], 24, FALSE)</f>
        <v>0</v>
      </c>
      <c r="AB952">
        <f>VLOOKUP(Table9[[#This Row],[Shortname]], Comp[], 25, FALSE)</f>
        <v>0</v>
      </c>
      <c r="AC952">
        <f>VLOOKUP(Table9[[#This Row],[Shortname]], Comp[], 26, FALSE)</f>
        <v>0</v>
      </c>
      <c r="AD952">
        <f>VLOOKUP(Table9[[#This Row],[Shortname]], Comp[], 27, FALSE)</f>
        <v>0</v>
      </c>
      <c r="AE952">
        <f>VLOOKUP(Table9[[#This Row],[Shortname]], Comp[], 28, FALSE)</f>
        <v>0</v>
      </c>
      <c r="AF952">
        <f>VLOOKUP(Table9[[#This Row],[Shortname]], Comp[], 29, FALSE)</f>
        <v>0</v>
      </c>
      <c r="AG952">
        <f>VLOOKUP(Table9[[#This Row],[Shortname]], Comp[], 30, FALSE)</f>
        <v>0</v>
      </c>
      <c r="AH952">
        <f>VLOOKUP(Table9[[#This Row],[Shortname]], Comp[], 31, FALSE)</f>
        <v>0</v>
      </c>
    </row>
    <row r="953" spans="1:34" x14ac:dyDescent="0.3">
      <c r="A953" t="s">
        <v>5565</v>
      </c>
      <c r="B953" t="s">
        <v>5566</v>
      </c>
      <c r="C953" t="s">
        <v>6942</v>
      </c>
      <c r="D953">
        <v>554</v>
      </c>
      <c r="E953">
        <v>867</v>
      </c>
      <c r="F953">
        <v>1E-3</v>
      </c>
      <c r="G953">
        <v>1</v>
      </c>
      <c r="H953" t="s">
        <v>6803</v>
      </c>
      <c r="I953">
        <f>VLOOKUP(Table9[[#This Row],[Shortname]], Comp[], 6, FALSE)</f>
        <v>861</v>
      </c>
      <c r="J953" s="14">
        <f>VLOOKUP(Table9[[#This Row],[Shortname]], Comp[], 7, FALSE)</f>
        <v>49.4</v>
      </c>
      <c r="K953">
        <f>VLOOKUP(Table9[[#This Row],[Shortname]], Comp[], 8, FALSE)</f>
        <v>30</v>
      </c>
      <c r="L953">
        <f>VLOOKUP(Table9[[#This Row],[Shortname]], Comp[], 9, FALSE)</f>
        <v>9.1</v>
      </c>
      <c r="M953">
        <f>VLOOKUP(Table9[[#This Row],[Shortname]], Comp[], 10, FALSE)</f>
        <v>5.3</v>
      </c>
      <c r="N953">
        <f>VLOOKUP(Table9[[#This Row],[Shortname]], Comp[], 11, FALSE)</f>
        <v>0</v>
      </c>
      <c r="O953">
        <f>VLOOKUP(Table9[[#This Row],[Shortname]], Comp[],12, FALSE)</f>
        <v>4.2</v>
      </c>
      <c r="P953">
        <f>VLOOKUP(Table9[[#This Row],[Shortname]], Comp[], 13, FALSE)</f>
        <v>0</v>
      </c>
      <c r="Q953">
        <f>VLOOKUP(Table9[[#This Row],[Shortname]], Comp[], 14, FALSE)</f>
        <v>2</v>
      </c>
      <c r="R953">
        <f>VLOOKUP(Table9[[#This Row],[Shortname]], Comp[], 15, FALSE)</f>
        <v>0</v>
      </c>
      <c r="S953">
        <f>VLOOKUP(Table9[[#This Row],[Shortname]], Comp[], 16, FALSE)</f>
        <v>0</v>
      </c>
      <c r="T953">
        <f>VLOOKUP(Table9[[#This Row],[Shortname]], Comp[], 17, FALSE)</f>
        <v>0</v>
      </c>
      <c r="U953">
        <f>VLOOKUP(Table9[[#This Row],[Shortname]], Comp[], 18, FALSE)</f>
        <v>0</v>
      </c>
      <c r="V953">
        <f>VLOOKUP(Table9[[#This Row],[Shortname]], Comp[], 19, FALSE)</f>
        <v>0</v>
      </c>
      <c r="W953">
        <f>VLOOKUP(Table9[[#This Row],[Shortname]], Comp[], 20, FALSE)</f>
        <v>0</v>
      </c>
      <c r="X953">
        <f>VLOOKUP(Table9[[#This Row],[Shortname]], Comp[], 21, FALSE)</f>
        <v>0</v>
      </c>
      <c r="Y953">
        <f>VLOOKUP(Table9[[#This Row],[Shortname]], Comp[], 22, FALSE)</f>
        <v>0</v>
      </c>
      <c r="Z953">
        <f>VLOOKUP(Table9[[#This Row],[Shortname]], Comp[], 23, FALSE)</f>
        <v>0</v>
      </c>
      <c r="AA953">
        <f>VLOOKUP(Table9[[#This Row],[Shortname]], Comp[], 24, FALSE)</f>
        <v>0</v>
      </c>
      <c r="AB953">
        <f>VLOOKUP(Table9[[#This Row],[Shortname]], Comp[], 25, FALSE)</f>
        <v>0</v>
      </c>
      <c r="AC953">
        <f>VLOOKUP(Table9[[#This Row],[Shortname]], Comp[], 26, FALSE)</f>
        <v>0</v>
      </c>
      <c r="AD953">
        <f>VLOOKUP(Table9[[#This Row],[Shortname]], Comp[], 27, FALSE)</f>
        <v>0</v>
      </c>
      <c r="AE953">
        <f>VLOOKUP(Table9[[#This Row],[Shortname]], Comp[], 28, FALSE)</f>
        <v>0</v>
      </c>
      <c r="AF953">
        <f>VLOOKUP(Table9[[#This Row],[Shortname]], Comp[], 29, FALSE)</f>
        <v>0</v>
      </c>
      <c r="AG953">
        <f>VLOOKUP(Table9[[#This Row],[Shortname]], Comp[], 30, FALSE)</f>
        <v>0</v>
      </c>
      <c r="AH953">
        <f>VLOOKUP(Table9[[#This Row],[Shortname]], Comp[], 31, FALSE)</f>
        <v>0</v>
      </c>
    </row>
    <row r="954" spans="1:34" x14ac:dyDescent="0.3">
      <c r="A954" t="s">
        <v>5570</v>
      </c>
      <c r="B954" t="s">
        <v>5571</v>
      </c>
      <c r="C954" t="s">
        <v>6943</v>
      </c>
      <c r="D954">
        <v>705</v>
      </c>
      <c r="E954">
        <v>25</v>
      </c>
      <c r="F954">
        <v>1E-3</v>
      </c>
      <c r="G954">
        <v>1</v>
      </c>
      <c r="H954" t="s">
        <v>6803</v>
      </c>
      <c r="I954">
        <f>VLOOKUP(Table9[[#This Row],[Shortname]], Comp[], 6, FALSE)</f>
        <v>862</v>
      </c>
      <c r="J954" s="14">
        <f>VLOOKUP(Table9[[#This Row],[Shortname]], Comp[], 7, FALSE)</f>
        <v>45.199999999999996</v>
      </c>
      <c r="K954">
        <f>VLOOKUP(Table9[[#This Row],[Shortname]], Comp[], 8, FALSE)</f>
        <v>30.2</v>
      </c>
      <c r="L954">
        <f>VLOOKUP(Table9[[#This Row],[Shortname]], Comp[], 9, FALSE)</f>
        <v>9.4</v>
      </c>
      <c r="M954">
        <f>VLOOKUP(Table9[[#This Row],[Shortname]], Comp[], 10, FALSE)</f>
        <v>8.8000000000000007</v>
      </c>
      <c r="N954">
        <f>VLOOKUP(Table9[[#This Row],[Shortname]], Comp[], 11, FALSE)</f>
        <v>0</v>
      </c>
      <c r="O954">
        <f>VLOOKUP(Table9[[#This Row],[Shortname]], Comp[],12, FALSE)</f>
        <v>4.4000000000000004</v>
      </c>
      <c r="P954">
        <f>VLOOKUP(Table9[[#This Row],[Shortname]], Comp[], 13, FALSE)</f>
        <v>0</v>
      </c>
      <c r="Q954">
        <f>VLOOKUP(Table9[[#This Row],[Shortname]], Comp[], 14, FALSE)</f>
        <v>2</v>
      </c>
      <c r="R954">
        <f>VLOOKUP(Table9[[#This Row],[Shortname]], Comp[], 15, FALSE)</f>
        <v>0</v>
      </c>
      <c r="S954">
        <f>VLOOKUP(Table9[[#This Row],[Shortname]], Comp[], 16, FALSE)</f>
        <v>0</v>
      </c>
      <c r="T954">
        <f>VLOOKUP(Table9[[#This Row],[Shortname]], Comp[], 17, FALSE)</f>
        <v>0</v>
      </c>
      <c r="U954">
        <f>VLOOKUP(Table9[[#This Row],[Shortname]], Comp[], 18, FALSE)</f>
        <v>0</v>
      </c>
      <c r="V954">
        <f>VLOOKUP(Table9[[#This Row],[Shortname]], Comp[], 19, FALSE)</f>
        <v>0</v>
      </c>
      <c r="W954">
        <f>VLOOKUP(Table9[[#This Row],[Shortname]], Comp[], 20, FALSE)</f>
        <v>0</v>
      </c>
      <c r="X954">
        <f>VLOOKUP(Table9[[#This Row],[Shortname]], Comp[], 21, FALSE)</f>
        <v>0</v>
      </c>
      <c r="Y954">
        <f>VLOOKUP(Table9[[#This Row],[Shortname]], Comp[], 22, FALSE)</f>
        <v>0</v>
      </c>
      <c r="Z954">
        <f>VLOOKUP(Table9[[#This Row],[Shortname]], Comp[], 23, FALSE)</f>
        <v>0</v>
      </c>
      <c r="AA954">
        <f>VLOOKUP(Table9[[#This Row],[Shortname]], Comp[], 24, FALSE)</f>
        <v>0</v>
      </c>
      <c r="AB954">
        <f>VLOOKUP(Table9[[#This Row],[Shortname]], Comp[], 25, FALSE)</f>
        <v>0</v>
      </c>
      <c r="AC954">
        <f>VLOOKUP(Table9[[#This Row],[Shortname]], Comp[], 26, FALSE)</f>
        <v>0</v>
      </c>
      <c r="AD954">
        <f>VLOOKUP(Table9[[#This Row],[Shortname]], Comp[], 27, FALSE)</f>
        <v>0</v>
      </c>
      <c r="AE954">
        <f>VLOOKUP(Table9[[#This Row],[Shortname]], Comp[], 28, FALSE)</f>
        <v>0</v>
      </c>
      <c r="AF954">
        <f>VLOOKUP(Table9[[#This Row],[Shortname]], Comp[], 29, FALSE)</f>
        <v>0</v>
      </c>
      <c r="AG954">
        <f>VLOOKUP(Table9[[#This Row],[Shortname]], Comp[], 30, FALSE)</f>
        <v>0</v>
      </c>
      <c r="AH954">
        <f>VLOOKUP(Table9[[#This Row],[Shortname]], Comp[], 31, FALSE)</f>
        <v>0</v>
      </c>
    </row>
    <row r="955" spans="1:34" x14ac:dyDescent="0.3">
      <c r="A955" t="s">
        <v>5570</v>
      </c>
      <c r="B955" t="s">
        <v>5571</v>
      </c>
      <c r="C955" t="s">
        <v>6944</v>
      </c>
      <c r="D955">
        <v>671</v>
      </c>
      <c r="E955">
        <v>568</v>
      </c>
      <c r="F955">
        <v>1E-3</v>
      </c>
      <c r="G955">
        <v>1</v>
      </c>
      <c r="H955" t="s">
        <v>6803</v>
      </c>
      <c r="I955">
        <f>VLOOKUP(Table9[[#This Row],[Shortname]], Comp[], 6, FALSE)</f>
        <v>862</v>
      </c>
      <c r="J955" s="14">
        <f>VLOOKUP(Table9[[#This Row],[Shortname]], Comp[], 7, FALSE)</f>
        <v>45.199999999999996</v>
      </c>
      <c r="K955">
        <f>VLOOKUP(Table9[[#This Row],[Shortname]], Comp[], 8, FALSE)</f>
        <v>30.2</v>
      </c>
      <c r="L955">
        <f>VLOOKUP(Table9[[#This Row],[Shortname]], Comp[], 9, FALSE)</f>
        <v>9.4</v>
      </c>
      <c r="M955">
        <f>VLOOKUP(Table9[[#This Row],[Shortname]], Comp[], 10, FALSE)</f>
        <v>8.8000000000000007</v>
      </c>
      <c r="N955">
        <f>VLOOKUP(Table9[[#This Row],[Shortname]], Comp[], 11, FALSE)</f>
        <v>0</v>
      </c>
      <c r="O955">
        <f>VLOOKUP(Table9[[#This Row],[Shortname]], Comp[],12, FALSE)</f>
        <v>4.4000000000000004</v>
      </c>
      <c r="P955">
        <f>VLOOKUP(Table9[[#This Row],[Shortname]], Comp[], 13, FALSE)</f>
        <v>0</v>
      </c>
      <c r="Q955">
        <f>VLOOKUP(Table9[[#This Row],[Shortname]], Comp[], 14, FALSE)</f>
        <v>2</v>
      </c>
      <c r="R955">
        <f>VLOOKUP(Table9[[#This Row],[Shortname]], Comp[], 15, FALSE)</f>
        <v>0</v>
      </c>
      <c r="S955">
        <f>VLOOKUP(Table9[[#This Row],[Shortname]], Comp[], 16, FALSE)</f>
        <v>0</v>
      </c>
      <c r="T955">
        <f>VLOOKUP(Table9[[#This Row],[Shortname]], Comp[], 17, FALSE)</f>
        <v>0</v>
      </c>
      <c r="U955">
        <f>VLOOKUP(Table9[[#This Row],[Shortname]], Comp[], 18, FALSE)</f>
        <v>0</v>
      </c>
      <c r="V955">
        <f>VLOOKUP(Table9[[#This Row],[Shortname]], Comp[], 19, FALSE)</f>
        <v>0</v>
      </c>
      <c r="W955">
        <f>VLOOKUP(Table9[[#This Row],[Shortname]], Comp[], 20, FALSE)</f>
        <v>0</v>
      </c>
      <c r="X955">
        <f>VLOOKUP(Table9[[#This Row],[Shortname]], Comp[], 21, FALSE)</f>
        <v>0</v>
      </c>
      <c r="Y955">
        <f>VLOOKUP(Table9[[#This Row],[Shortname]], Comp[], 22, FALSE)</f>
        <v>0</v>
      </c>
      <c r="Z955">
        <f>VLOOKUP(Table9[[#This Row],[Shortname]], Comp[], 23, FALSE)</f>
        <v>0</v>
      </c>
      <c r="AA955">
        <f>VLOOKUP(Table9[[#This Row],[Shortname]], Comp[], 24, FALSE)</f>
        <v>0</v>
      </c>
      <c r="AB955">
        <f>VLOOKUP(Table9[[#This Row],[Shortname]], Comp[], 25, FALSE)</f>
        <v>0</v>
      </c>
      <c r="AC955">
        <f>VLOOKUP(Table9[[#This Row],[Shortname]], Comp[], 26, FALSE)</f>
        <v>0</v>
      </c>
      <c r="AD955">
        <f>VLOOKUP(Table9[[#This Row],[Shortname]], Comp[], 27, FALSE)</f>
        <v>0</v>
      </c>
      <c r="AE955">
        <f>VLOOKUP(Table9[[#This Row],[Shortname]], Comp[], 28, FALSE)</f>
        <v>0</v>
      </c>
      <c r="AF955">
        <f>VLOOKUP(Table9[[#This Row],[Shortname]], Comp[], 29, FALSE)</f>
        <v>0</v>
      </c>
      <c r="AG955">
        <f>VLOOKUP(Table9[[#This Row],[Shortname]], Comp[], 30, FALSE)</f>
        <v>0</v>
      </c>
      <c r="AH955">
        <f>VLOOKUP(Table9[[#This Row],[Shortname]], Comp[], 31, FALSE)</f>
        <v>0</v>
      </c>
    </row>
    <row r="956" spans="1:34" x14ac:dyDescent="0.3">
      <c r="A956" t="s">
        <v>5570</v>
      </c>
      <c r="B956" t="s">
        <v>5571</v>
      </c>
      <c r="C956" t="s">
        <v>6945</v>
      </c>
      <c r="D956">
        <v>623</v>
      </c>
      <c r="E956">
        <v>670</v>
      </c>
      <c r="F956">
        <v>1E-3</v>
      </c>
      <c r="G956">
        <v>1</v>
      </c>
      <c r="H956" t="s">
        <v>6803</v>
      </c>
      <c r="I956">
        <f>VLOOKUP(Table9[[#This Row],[Shortname]], Comp[], 6, FALSE)</f>
        <v>862</v>
      </c>
      <c r="J956" s="14">
        <f>VLOOKUP(Table9[[#This Row],[Shortname]], Comp[], 7, FALSE)</f>
        <v>45.199999999999996</v>
      </c>
      <c r="K956">
        <f>VLOOKUP(Table9[[#This Row],[Shortname]], Comp[], 8, FALSE)</f>
        <v>30.2</v>
      </c>
      <c r="L956">
        <f>VLOOKUP(Table9[[#This Row],[Shortname]], Comp[], 9, FALSE)</f>
        <v>9.4</v>
      </c>
      <c r="M956">
        <f>VLOOKUP(Table9[[#This Row],[Shortname]], Comp[], 10, FALSE)</f>
        <v>8.8000000000000007</v>
      </c>
      <c r="N956">
        <f>VLOOKUP(Table9[[#This Row],[Shortname]], Comp[], 11, FALSE)</f>
        <v>0</v>
      </c>
      <c r="O956">
        <f>VLOOKUP(Table9[[#This Row],[Shortname]], Comp[],12, FALSE)</f>
        <v>4.4000000000000004</v>
      </c>
      <c r="P956">
        <f>VLOOKUP(Table9[[#This Row],[Shortname]], Comp[], 13, FALSE)</f>
        <v>0</v>
      </c>
      <c r="Q956">
        <f>VLOOKUP(Table9[[#This Row],[Shortname]], Comp[], 14, FALSE)</f>
        <v>2</v>
      </c>
      <c r="R956">
        <f>VLOOKUP(Table9[[#This Row],[Shortname]], Comp[], 15, FALSE)</f>
        <v>0</v>
      </c>
      <c r="S956">
        <f>VLOOKUP(Table9[[#This Row],[Shortname]], Comp[], 16, FALSE)</f>
        <v>0</v>
      </c>
      <c r="T956">
        <f>VLOOKUP(Table9[[#This Row],[Shortname]], Comp[], 17, FALSE)</f>
        <v>0</v>
      </c>
      <c r="U956">
        <f>VLOOKUP(Table9[[#This Row],[Shortname]], Comp[], 18, FALSE)</f>
        <v>0</v>
      </c>
      <c r="V956">
        <f>VLOOKUP(Table9[[#This Row],[Shortname]], Comp[], 19, FALSE)</f>
        <v>0</v>
      </c>
      <c r="W956">
        <f>VLOOKUP(Table9[[#This Row],[Shortname]], Comp[], 20, FALSE)</f>
        <v>0</v>
      </c>
      <c r="X956">
        <f>VLOOKUP(Table9[[#This Row],[Shortname]], Comp[], 21, FALSE)</f>
        <v>0</v>
      </c>
      <c r="Y956">
        <f>VLOOKUP(Table9[[#This Row],[Shortname]], Comp[], 22, FALSE)</f>
        <v>0</v>
      </c>
      <c r="Z956">
        <f>VLOOKUP(Table9[[#This Row],[Shortname]], Comp[], 23, FALSE)</f>
        <v>0</v>
      </c>
      <c r="AA956">
        <f>VLOOKUP(Table9[[#This Row],[Shortname]], Comp[], 24, FALSE)</f>
        <v>0</v>
      </c>
      <c r="AB956">
        <f>VLOOKUP(Table9[[#This Row],[Shortname]], Comp[], 25, FALSE)</f>
        <v>0</v>
      </c>
      <c r="AC956">
        <f>VLOOKUP(Table9[[#This Row],[Shortname]], Comp[], 26, FALSE)</f>
        <v>0</v>
      </c>
      <c r="AD956">
        <f>VLOOKUP(Table9[[#This Row],[Shortname]], Comp[], 27, FALSE)</f>
        <v>0</v>
      </c>
      <c r="AE956">
        <f>VLOOKUP(Table9[[#This Row],[Shortname]], Comp[], 28, FALSE)</f>
        <v>0</v>
      </c>
      <c r="AF956">
        <f>VLOOKUP(Table9[[#This Row],[Shortname]], Comp[], 29, FALSE)</f>
        <v>0</v>
      </c>
      <c r="AG956">
        <f>VLOOKUP(Table9[[#This Row],[Shortname]], Comp[], 30, FALSE)</f>
        <v>0</v>
      </c>
      <c r="AH956">
        <f>VLOOKUP(Table9[[#This Row],[Shortname]], Comp[], 31, FALSE)</f>
        <v>0</v>
      </c>
    </row>
    <row r="957" spans="1:34" x14ac:dyDescent="0.3">
      <c r="A957" t="s">
        <v>5570</v>
      </c>
      <c r="B957" t="s">
        <v>5571</v>
      </c>
      <c r="C957" t="s">
        <v>6945</v>
      </c>
      <c r="D957">
        <v>730</v>
      </c>
      <c r="E957">
        <v>769</v>
      </c>
      <c r="F957">
        <v>1E-3</v>
      </c>
      <c r="G957">
        <v>1</v>
      </c>
      <c r="H957" t="s">
        <v>6803</v>
      </c>
      <c r="I957">
        <f>VLOOKUP(Table9[[#This Row],[Shortname]], Comp[], 6, FALSE)</f>
        <v>862</v>
      </c>
      <c r="J957" s="14">
        <f>VLOOKUP(Table9[[#This Row],[Shortname]], Comp[], 7, FALSE)</f>
        <v>45.199999999999996</v>
      </c>
      <c r="K957">
        <f>VLOOKUP(Table9[[#This Row],[Shortname]], Comp[], 8, FALSE)</f>
        <v>30.2</v>
      </c>
      <c r="L957">
        <f>VLOOKUP(Table9[[#This Row],[Shortname]], Comp[], 9, FALSE)</f>
        <v>9.4</v>
      </c>
      <c r="M957">
        <f>VLOOKUP(Table9[[#This Row],[Shortname]], Comp[], 10, FALSE)</f>
        <v>8.8000000000000007</v>
      </c>
      <c r="N957">
        <f>VLOOKUP(Table9[[#This Row],[Shortname]], Comp[], 11, FALSE)</f>
        <v>0</v>
      </c>
      <c r="O957">
        <f>VLOOKUP(Table9[[#This Row],[Shortname]], Comp[],12, FALSE)</f>
        <v>4.4000000000000004</v>
      </c>
      <c r="P957">
        <f>VLOOKUP(Table9[[#This Row],[Shortname]], Comp[], 13, FALSE)</f>
        <v>0</v>
      </c>
      <c r="Q957">
        <f>VLOOKUP(Table9[[#This Row],[Shortname]], Comp[], 14, FALSE)</f>
        <v>2</v>
      </c>
      <c r="R957">
        <f>VLOOKUP(Table9[[#This Row],[Shortname]], Comp[], 15, FALSE)</f>
        <v>0</v>
      </c>
      <c r="S957">
        <f>VLOOKUP(Table9[[#This Row],[Shortname]], Comp[], 16, FALSE)</f>
        <v>0</v>
      </c>
      <c r="T957">
        <f>VLOOKUP(Table9[[#This Row],[Shortname]], Comp[], 17, FALSE)</f>
        <v>0</v>
      </c>
      <c r="U957">
        <f>VLOOKUP(Table9[[#This Row],[Shortname]], Comp[], 18, FALSE)</f>
        <v>0</v>
      </c>
      <c r="V957">
        <f>VLOOKUP(Table9[[#This Row],[Shortname]], Comp[], 19, FALSE)</f>
        <v>0</v>
      </c>
      <c r="W957">
        <f>VLOOKUP(Table9[[#This Row],[Shortname]], Comp[], 20, FALSE)</f>
        <v>0</v>
      </c>
      <c r="X957">
        <f>VLOOKUP(Table9[[#This Row],[Shortname]], Comp[], 21, FALSE)</f>
        <v>0</v>
      </c>
      <c r="Y957">
        <f>VLOOKUP(Table9[[#This Row],[Shortname]], Comp[], 22, FALSE)</f>
        <v>0</v>
      </c>
      <c r="Z957">
        <f>VLOOKUP(Table9[[#This Row],[Shortname]], Comp[], 23, FALSE)</f>
        <v>0</v>
      </c>
      <c r="AA957">
        <f>VLOOKUP(Table9[[#This Row],[Shortname]], Comp[], 24, FALSE)</f>
        <v>0</v>
      </c>
      <c r="AB957">
        <f>VLOOKUP(Table9[[#This Row],[Shortname]], Comp[], 25, FALSE)</f>
        <v>0</v>
      </c>
      <c r="AC957">
        <f>VLOOKUP(Table9[[#This Row],[Shortname]], Comp[], 26, FALSE)</f>
        <v>0</v>
      </c>
      <c r="AD957">
        <f>VLOOKUP(Table9[[#This Row],[Shortname]], Comp[], 27, FALSE)</f>
        <v>0</v>
      </c>
      <c r="AE957">
        <f>VLOOKUP(Table9[[#This Row],[Shortname]], Comp[], 28, FALSE)</f>
        <v>0</v>
      </c>
      <c r="AF957">
        <f>VLOOKUP(Table9[[#This Row],[Shortname]], Comp[], 29, FALSE)</f>
        <v>0</v>
      </c>
      <c r="AG957">
        <f>VLOOKUP(Table9[[#This Row],[Shortname]], Comp[], 30, FALSE)</f>
        <v>0</v>
      </c>
      <c r="AH957">
        <f>VLOOKUP(Table9[[#This Row],[Shortname]], Comp[], 31, FALSE)</f>
        <v>0</v>
      </c>
    </row>
    <row r="958" spans="1:34" x14ac:dyDescent="0.3">
      <c r="A958" t="s">
        <v>5570</v>
      </c>
      <c r="B958" t="s">
        <v>5571</v>
      </c>
      <c r="C958" t="s">
        <v>6946</v>
      </c>
      <c r="D958">
        <v>610</v>
      </c>
      <c r="E958">
        <v>867</v>
      </c>
      <c r="F958">
        <v>1E-3</v>
      </c>
      <c r="G958">
        <v>1</v>
      </c>
      <c r="H958" t="s">
        <v>6803</v>
      </c>
      <c r="I958">
        <f>VLOOKUP(Table9[[#This Row],[Shortname]], Comp[], 6, FALSE)</f>
        <v>862</v>
      </c>
      <c r="J958" s="14">
        <f>VLOOKUP(Table9[[#This Row],[Shortname]], Comp[], 7, FALSE)</f>
        <v>45.199999999999996</v>
      </c>
      <c r="K958">
        <f>VLOOKUP(Table9[[#This Row],[Shortname]], Comp[], 8, FALSE)</f>
        <v>30.2</v>
      </c>
      <c r="L958">
        <f>VLOOKUP(Table9[[#This Row],[Shortname]], Comp[], 9, FALSE)</f>
        <v>9.4</v>
      </c>
      <c r="M958">
        <f>VLOOKUP(Table9[[#This Row],[Shortname]], Comp[], 10, FALSE)</f>
        <v>8.8000000000000007</v>
      </c>
      <c r="N958">
        <f>VLOOKUP(Table9[[#This Row],[Shortname]], Comp[], 11, FALSE)</f>
        <v>0</v>
      </c>
      <c r="O958">
        <f>VLOOKUP(Table9[[#This Row],[Shortname]], Comp[],12, FALSE)</f>
        <v>4.4000000000000004</v>
      </c>
      <c r="P958">
        <f>VLOOKUP(Table9[[#This Row],[Shortname]], Comp[], 13, FALSE)</f>
        <v>0</v>
      </c>
      <c r="Q958">
        <f>VLOOKUP(Table9[[#This Row],[Shortname]], Comp[], 14, FALSE)</f>
        <v>2</v>
      </c>
      <c r="R958">
        <f>VLOOKUP(Table9[[#This Row],[Shortname]], Comp[], 15, FALSE)</f>
        <v>0</v>
      </c>
      <c r="S958">
        <f>VLOOKUP(Table9[[#This Row],[Shortname]], Comp[], 16, FALSE)</f>
        <v>0</v>
      </c>
      <c r="T958">
        <f>VLOOKUP(Table9[[#This Row],[Shortname]], Comp[], 17, FALSE)</f>
        <v>0</v>
      </c>
      <c r="U958">
        <f>VLOOKUP(Table9[[#This Row],[Shortname]], Comp[], 18, FALSE)</f>
        <v>0</v>
      </c>
      <c r="V958">
        <f>VLOOKUP(Table9[[#This Row],[Shortname]], Comp[], 19, FALSE)</f>
        <v>0</v>
      </c>
      <c r="W958">
        <f>VLOOKUP(Table9[[#This Row],[Shortname]], Comp[], 20, FALSE)</f>
        <v>0</v>
      </c>
      <c r="X958">
        <f>VLOOKUP(Table9[[#This Row],[Shortname]], Comp[], 21, FALSE)</f>
        <v>0</v>
      </c>
      <c r="Y958">
        <f>VLOOKUP(Table9[[#This Row],[Shortname]], Comp[], 22, FALSE)</f>
        <v>0</v>
      </c>
      <c r="Z958">
        <f>VLOOKUP(Table9[[#This Row],[Shortname]], Comp[], 23, FALSE)</f>
        <v>0</v>
      </c>
      <c r="AA958">
        <f>VLOOKUP(Table9[[#This Row],[Shortname]], Comp[], 24, FALSE)</f>
        <v>0</v>
      </c>
      <c r="AB958">
        <f>VLOOKUP(Table9[[#This Row],[Shortname]], Comp[], 25, FALSE)</f>
        <v>0</v>
      </c>
      <c r="AC958">
        <f>VLOOKUP(Table9[[#This Row],[Shortname]], Comp[], 26, FALSE)</f>
        <v>0</v>
      </c>
      <c r="AD958">
        <f>VLOOKUP(Table9[[#This Row],[Shortname]], Comp[], 27, FALSE)</f>
        <v>0</v>
      </c>
      <c r="AE958">
        <f>VLOOKUP(Table9[[#This Row],[Shortname]], Comp[], 28, FALSE)</f>
        <v>0</v>
      </c>
      <c r="AF958">
        <f>VLOOKUP(Table9[[#This Row],[Shortname]], Comp[], 29, FALSE)</f>
        <v>0</v>
      </c>
      <c r="AG958">
        <f>VLOOKUP(Table9[[#This Row],[Shortname]], Comp[], 30, FALSE)</f>
        <v>0</v>
      </c>
      <c r="AH958">
        <f>VLOOKUP(Table9[[#This Row],[Shortname]], Comp[], 31, FALSE)</f>
        <v>0</v>
      </c>
    </row>
    <row r="959" spans="1:34" x14ac:dyDescent="0.3">
      <c r="A959" t="s">
        <v>5576</v>
      </c>
      <c r="B959" t="s">
        <v>5577</v>
      </c>
      <c r="C959" t="s">
        <v>5578</v>
      </c>
      <c r="D959">
        <v>741</v>
      </c>
      <c r="E959">
        <v>25</v>
      </c>
      <c r="F959">
        <v>1E-3</v>
      </c>
      <c r="G959">
        <v>1</v>
      </c>
      <c r="H959" t="s">
        <v>6803</v>
      </c>
      <c r="I959">
        <f>VLOOKUP(Table9[[#This Row],[Shortname]], Comp[], 6, FALSE)</f>
        <v>863</v>
      </c>
      <c r="J959" s="14">
        <f>VLOOKUP(Table9[[#This Row],[Shortname]], Comp[], 7, FALSE)</f>
        <v>42.3</v>
      </c>
      <c r="K959">
        <f>VLOOKUP(Table9[[#This Row],[Shortname]], Comp[], 8, FALSE)</f>
        <v>29.8</v>
      </c>
      <c r="L959">
        <f>VLOOKUP(Table9[[#This Row],[Shortname]], Comp[], 9, FALSE)</f>
        <v>9.4</v>
      </c>
      <c r="M959">
        <f>VLOOKUP(Table9[[#This Row],[Shortname]], Comp[], 10, FALSE)</f>
        <v>12.8</v>
      </c>
      <c r="N959">
        <f>VLOOKUP(Table9[[#This Row],[Shortname]], Comp[], 11, FALSE)</f>
        <v>0</v>
      </c>
      <c r="O959">
        <f>VLOOKUP(Table9[[#This Row],[Shortname]], Comp[],12, FALSE)</f>
        <v>3.7</v>
      </c>
      <c r="P959">
        <f>VLOOKUP(Table9[[#This Row],[Shortname]], Comp[], 13, FALSE)</f>
        <v>0</v>
      </c>
      <c r="Q959">
        <f>VLOOKUP(Table9[[#This Row],[Shortname]], Comp[], 14, FALSE)</f>
        <v>2</v>
      </c>
      <c r="R959">
        <f>VLOOKUP(Table9[[#This Row],[Shortname]], Comp[], 15, FALSE)</f>
        <v>0</v>
      </c>
      <c r="S959">
        <f>VLOOKUP(Table9[[#This Row],[Shortname]], Comp[], 16, FALSE)</f>
        <v>0</v>
      </c>
      <c r="T959">
        <f>VLOOKUP(Table9[[#This Row],[Shortname]], Comp[], 17, FALSE)</f>
        <v>0</v>
      </c>
      <c r="U959">
        <f>VLOOKUP(Table9[[#This Row],[Shortname]], Comp[], 18, FALSE)</f>
        <v>0</v>
      </c>
      <c r="V959">
        <f>VLOOKUP(Table9[[#This Row],[Shortname]], Comp[], 19, FALSE)</f>
        <v>0</v>
      </c>
      <c r="W959">
        <f>VLOOKUP(Table9[[#This Row],[Shortname]], Comp[], 20, FALSE)</f>
        <v>0</v>
      </c>
      <c r="X959">
        <f>VLOOKUP(Table9[[#This Row],[Shortname]], Comp[], 21, FALSE)</f>
        <v>0</v>
      </c>
      <c r="Y959">
        <f>VLOOKUP(Table9[[#This Row],[Shortname]], Comp[], 22, FALSE)</f>
        <v>0</v>
      </c>
      <c r="Z959">
        <f>VLOOKUP(Table9[[#This Row],[Shortname]], Comp[], 23, FALSE)</f>
        <v>0</v>
      </c>
      <c r="AA959">
        <f>VLOOKUP(Table9[[#This Row],[Shortname]], Comp[], 24, FALSE)</f>
        <v>0</v>
      </c>
      <c r="AB959">
        <f>VLOOKUP(Table9[[#This Row],[Shortname]], Comp[], 25, FALSE)</f>
        <v>0</v>
      </c>
      <c r="AC959">
        <f>VLOOKUP(Table9[[#This Row],[Shortname]], Comp[], 26, FALSE)</f>
        <v>0</v>
      </c>
      <c r="AD959">
        <f>VLOOKUP(Table9[[#This Row],[Shortname]], Comp[], 27, FALSE)</f>
        <v>0</v>
      </c>
      <c r="AE959">
        <f>VLOOKUP(Table9[[#This Row],[Shortname]], Comp[], 28, FALSE)</f>
        <v>0</v>
      </c>
      <c r="AF959">
        <f>VLOOKUP(Table9[[#This Row],[Shortname]], Comp[], 29, FALSE)</f>
        <v>0</v>
      </c>
      <c r="AG959">
        <f>VLOOKUP(Table9[[#This Row],[Shortname]], Comp[], 30, FALSE)</f>
        <v>0</v>
      </c>
      <c r="AH959">
        <f>VLOOKUP(Table9[[#This Row],[Shortname]], Comp[], 31, FALSE)</f>
        <v>0</v>
      </c>
    </row>
    <row r="960" spans="1:34" x14ac:dyDescent="0.3">
      <c r="A960" t="s">
        <v>5576</v>
      </c>
      <c r="B960" t="s">
        <v>5577</v>
      </c>
      <c r="C960" t="s">
        <v>6789</v>
      </c>
      <c r="D960">
        <v>641</v>
      </c>
      <c r="E960">
        <v>568</v>
      </c>
      <c r="F960">
        <v>1E-3</v>
      </c>
      <c r="G960">
        <v>1</v>
      </c>
      <c r="H960" t="s">
        <v>6803</v>
      </c>
      <c r="I960">
        <f>VLOOKUP(Table9[[#This Row],[Shortname]], Comp[], 6, FALSE)</f>
        <v>863</v>
      </c>
      <c r="J960" s="14">
        <f>VLOOKUP(Table9[[#This Row],[Shortname]], Comp[], 7, FALSE)</f>
        <v>42.3</v>
      </c>
      <c r="K960">
        <f>VLOOKUP(Table9[[#This Row],[Shortname]], Comp[], 8, FALSE)</f>
        <v>29.8</v>
      </c>
      <c r="L960">
        <f>VLOOKUP(Table9[[#This Row],[Shortname]], Comp[], 9, FALSE)</f>
        <v>9.4</v>
      </c>
      <c r="M960">
        <f>VLOOKUP(Table9[[#This Row],[Shortname]], Comp[], 10, FALSE)</f>
        <v>12.8</v>
      </c>
      <c r="N960">
        <f>VLOOKUP(Table9[[#This Row],[Shortname]], Comp[], 11, FALSE)</f>
        <v>0</v>
      </c>
      <c r="O960">
        <f>VLOOKUP(Table9[[#This Row],[Shortname]], Comp[],12, FALSE)</f>
        <v>3.7</v>
      </c>
      <c r="P960">
        <f>VLOOKUP(Table9[[#This Row],[Shortname]], Comp[], 13, FALSE)</f>
        <v>0</v>
      </c>
      <c r="Q960">
        <f>VLOOKUP(Table9[[#This Row],[Shortname]], Comp[], 14, FALSE)</f>
        <v>2</v>
      </c>
      <c r="R960">
        <f>VLOOKUP(Table9[[#This Row],[Shortname]], Comp[], 15, FALSE)</f>
        <v>0</v>
      </c>
      <c r="S960">
        <f>VLOOKUP(Table9[[#This Row],[Shortname]], Comp[], 16, FALSE)</f>
        <v>0</v>
      </c>
      <c r="T960">
        <f>VLOOKUP(Table9[[#This Row],[Shortname]], Comp[], 17, FALSE)</f>
        <v>0</v>
      </c>
      <c r="U960">
        <f>VLOOKUP(Table9[[#This Row],[Shortname]], Comp[], 18, FALSE)</f>
        <v>0</v>
      </c>
      <c r="V960">
        <f>VLOOKUP(Table9[[#This Row],[Shortname]], Comp[], 19, FALSE)</f>
        <v>0</v>
      </c>
      <c r="W960">
        <f>VLOOKUP(Table9[[#This Row],[Shortname]], Comp[], 20, FALSE)</f>
        <v>0</v>
      </c>
      <c r="X960">
        <f>VLOOKUP(Table9[[#This Row],[Shortname]], Comp[], 21, FALSE)</f>
        <v>0</v>
      </c>
      <c r="Y960">
        <f>VLOOKUP(Table9[[#This Row],[Shortname]], Comp[], 22, FALSE)</f>
        <v>0</v>
      </c>
      <c r="Z960">
        <f>VLOOKUP(Table9[[#This Row],[Shortname]], Comp[], 23, FALSE)</f>
        <v>0</v>
      </c>
      <c r="AA960">
        <f>VLOOKUP(Table9[[#This Row],[Shortname]], Comp[], 24, FALSE)</f>
        <v>0</v>
      </c>
      <c r="AB960">
        <f>VLOOKUP(Table9[[#This Row],[Shortname]], Comp[], 25, FALSE)</f>
        <v>0</v>
      </c>
      <c r="AC960">
        <f>VLOOKUP(Table9[[#This Row],[Shortname]], Comp[], 26, FALSE)</f>
        <v>0</v>
      </c>
      <c r="AD960">
        <f>VLOOKUP(Table9[[#This Row],[Shortname]], Comp[], 27, FALSE)</f>
        <v>0</v>
      </c>
      <c r="AE960">
        <f>VLOOKUP(Table9[[#This Row],[Shortname]], Comp[], 28, FALSE)</f>
        <v>0</v>
      </c>
      <c r="AF960">
        <f>VLOOKUP(Table9[[#This Row],[Shortname]], Comp[], 29, FALSE)</f>
        <v>0</v>
      </c>
      <c r="AG960">
        <f>VLOOKUP(Table9[[#This Row],[Shortname]], Comp[], 30, FALSE)</f>
        <v>0</v>
      </c>
      <c r="AH960">
        <f>VLOOKUP(Table9[[#This Row],[Shortname]], Comp[], 31, FALSE)</f>
        <v>0</v>
      </c>
    </row>
    <row r="961" spans="1:34" x14ac:dyDescent="0.3">
      <c r="A961" t="s">
        <v>5576</v>
      </c>
      <c r="B961" t="s">
        <v>5577</v>
      </c>
      <c r="C961" t="s">
        <v>6790</v>
      </c>
      <c r="D961">
        <v>619</v>
      </c>
      <c r="E961">
        <v>670</v>
      </c>
      <c r="F961">
        <v>1E-3</v>
      </c>
      <c r="G961">
        <v>1</v>
      </c>
      <c r="H961" t="s">
        <v>6803</v>
      </c>
      <c r="I961">
        <f>VLOOKUP(Table9[[#This Row],[Shortname]], Comp[], 6, FALSE)</f>
        <v>863</v>
      </c>
      <c r="J961" s="14">
        <f>VLOOKUP(Table9[[#This Row],[Shortname]], Comp[], 7, FALSE)</f>
        <v>42.3</v>
      </c>
      <c r="K961">
        <f>VLOOKUP(Table9[[#This Row],[Shortname]], Comp[], 8, FALSE)</f>
        <v>29.8</v>
      </c>
      <c r="L961">
        <f>VLOOKUP(Table9[[#This Row],[Shortname]], Comp[], 9, FALSE)</f>
        <v>9.4</v>
      </c>
      <c r="M961">
        <f>VLOOKUP(Table9[[#This Row],[Shortname]], Comp[], 10, FALSE)</f>
        <v>12.8</v>
      </c>
      <c r="N961">
        <f>VLOOKUP(Table9[[#This Row],[Shortname]], Comp[], 11, FALSE)</f>
        <v>0</v>
      </c>
      <c r="O961">
        <f>VLOOKUP(Table9[[#This Row],[Shortname]], Comp[],12, FALSE)</f>
        <v>3.7</v>
      </c>
      <c r="P961">
        <f>VLOOKUP(Table9[[#This Row],[Shortname]], Comp[], 13, FALSE)</f>
        <v>0</v>
      </c>
      <c r="Q961">
        <f>VLOOKUP(Table9[[#This Row],[Shortname]], Comp[], 14, FALSE)</f>
        <v>2</v>
      </c>
      <c r="R961">
        <f>VLOOKUP(Table9[[#This Row],[Shortname]], Comp[], 15, FALSE)</f>
        <v>0</v>
      </c>
      <c r="S961">
        <f>VLOOKUP(Table9[[#This Row],[Shortname]], Comp[], 16, FALSE)</f>
        <v>0</v>
      </c>
      <c r="T961">
        <f>VLOOKUP(Table9[[#This Row],[Shortname]], Comp[], 17, FALSE)</f>
        <v>0</v>
      </c>
      <c r="U961">
        <f>VLOOKUP(Table9[[#This Row],[Shortname]], Comp[], 18, FALSE)</f>
        <v>0</v>
      </c>
      <c r="V961">
        <f>VLOOKUP(Table9[[#This Row],[Shortname]], Comp[], 19, FALSE)</f>
        <v>0</v>
      </c>
      <c r="W961">
        <f>VLOOKUP(Table9[[#This Row],[Shortname]], Comp[], 20, FALSE)</f>
        <v>0</v>
      </c>
      <c r="X961">
        <f>VLOOKUP(Table9[[#This Row],[Shortname]], Comp[], 21, FALSE)</f>
        <v>0</v>
      </c>
      <c r="Y961">
        <f>VLOOKUP(Table9[[#This Row],[Shortname]], Comp[], 22, FALSE)</f>
        <v>0</v>
      </c>
      <c r="Z961">
        <f>VLOOKUP(Table9[[#This Row],[Shortname]], Comp[], 23, FALSE)</f>
        <v>0</v>
      </c>
      <c r="AA961">
        <f>VLOOKUP(Table9[[#This Row],[Shortname]], Comp[], 24, FALSE)</f>
        <v>0</v>
      </c>
      <c r="AB961">
        <f>VLOOKUP(Table9[[#This Row],[Shortname]], Comp[], 25, FALSE)</f>
        <v>0</v>
      </c>
      <c r="AC961">
        <f>VLOOKUP(Table9[[#This Row],[Shortname]], Comp[], 26, FALSE)</f>
        <v>0</v>
      </c>
      <c r="AD961">
        <f>VLOOKUP(Table9[[#This Row],[Shortname]], Comp[], 27, FALSE)</f>
        <v>0</v>
      </c>
      <c r="AE961">
        <f>VLOOKUP(Table9[[#This Row],[Shortname]], Comp[], 28, FALSE)</f>
        <v>0</v>
      </c>
      <c r="AF961">
        <f>VLOOKUP(Table9[[#This Row],[Shortname]], Comp[], 29, FALSE)</f>
        <v>0</v>
      </c>
      <c r="AG961">
        <f>VLOOKUP(Table9[[#This Row],[Shortname]], Comp[], 30, FALSE)</f>
        <v>0</v>
      </c>
      <c r="AH961">
        <f>VLOOKUP(Table9[[#This Row],[Shortname]], Comp[], 31, FALSE)</f>
        <v>0</v>
      </c>
    </row>
    <row r="962" spans="1:34" x14ac:dyDescent="0.3">
      <c r="A962" t="s">
        <v>5576</v>
      </c>
      <c r="B962" t="s">
        <v>5577</v>
      </c>
      <c r="C962" t="s">
        <v>6791</v>
      </c>
      <c r="D962">
        <v>709</v>
      </c>
      <c r="E962">
        <v>769</v>
      </c>
      <c r="F962">
        <v>1E-3</v>
      </c>
      <c r="G962">
        <v>1</v>
      </c>
      <c r="H962" t="s">
        <v>6803</v>
      </c>
      <c r="I962">
        <f>VLOOKUP(Table9[[#This Row],[Shortname]], Comp[], 6, FALSE)</f>
        <v>863</v>
      </c>
      <c r="J962" s="14">
        <f>VLOOKUP(Table9[[#This Row],[Shortname]], Comp[], 7, FALSE)</f>
        <v>42.3</v>
      </c>
      <c r="K962">
        <f>VLOOKUP(Table9[[#This Row],[Shortname]], Comp[], 8, FALSE)</f>
        <v>29.8</v>
      </c>
      <c r="L962">
        <f>VLOOKUP(Table9[[#This Row],[Shortname]], Comp[], 9, FALSE)</f>
        <v>9.4</v>
      </c>
      <c r="M962">
        <f>VLOOKUP(Table9[[#This Row],[Shortname]], Comp[], 10, FALSE)</f>
        <v>12.8</v>
      </c>
      <c r="N962">
        <f>VLOOKUP(Table9[[#This Row],[Shortname]], Comp[], 11, FALSE)</f>
        <v>0</v>
      </c>
      <c r="O962">
        <f>VLOOKUP(Table9[[#This Row],[Shortname]], Comp[],12, FALSE)</f>
        <v>3.7</v>
      </c>
      <c r="P962">
        <f>VLOOKUP(Table9[[#This Row],[Shortname]], Comp[], 13, FALSE)</f>
        <v>0</v>
      </c>
      <c r="Q962">
        <f>VLOOKUP(Table9[[#This Row],[Shortname]], Comp[], 14, FALSE)</f>
        <v>2</v>
      </c>
      <c r="R962">
        <f>VLOOKUP(Table9[[#This Row],[Shortname]], Comp[], 15, FALSE)</f>
        <v>0</v>
      </c>
      <c r="S962">
        <f>VLOOKUP(Table9[[#This Row],[Shortname]], Comp[], 16, FALSE)</f>
        <v>0</v>
      </c>
      <c r="T962">
        <f>VLOOKUP(Table9[[#This Row],[Shortname]], Comp[], 17, FALSE)</f>
        <v>0</v>
      </c>
      <c r="U962">
        <f>VLOOKUP(Table9[[#This Row],[Shortname]], Comp[], 18, FALSE)</f>
        <v>0</v>
      </c>
      <c r="V962">
        <f>VLOOKUP(Table9[[#This Row],[Shortname]], Comp[], 19, FALSE)</f>
        <v>0</v>
      </c>
      <c r="W962">
        <f>VLOOKUP(Table9[[#This Row],[Shortname]], Comp[], 20, FALSE)</f>
        <v>0</v>
      </c>
      <c r="X962">
        <f>VLOOKUP(Table9[[#This Row],[Shortname]], Comp[], 21, FALSE)</f>
        <v>0</v>
      </c>
      <c r="Y962">
        <f>VLOOKUP(Table9[[#This Row],[Shortname]], Comp[], 22, FALSE)</f>
        <v>0</v>
      </c>
      <c r="Z962">
        <f>VLOOKUP(Table9[[#This Row],[Shortname]], Comp[], 23, FALSE)</f>
        <v>0</v>
      </c>
      <c r="AA962">
        <f>VLOOKUP(Table9[[#This Row],[Shortname]], Comp[], 24, FALSE)</f>
        <v>0</v>
      </c>
      <c r="AB962">
        <f>VLOOKUP(Table9[[#This Row],[Shortname]], Comp[], 25, FALSE)</f>
        <v>0</v>
      </c>
      <c r="AC962">
        <f>VLOOKUP(Table9[[#This Row],[Shortname]], Comp[], 26, FALSE)</f>
        <v>0</v>
      </c>
      <c r="AD962">
        <f>VLOOKUP(Table9[[#This Row],[Shortname]], Comp[], 27, FALSE)</f>
        <v>0</v>
      </c>
      <c r="AE962">
        <f>VLOOKUP(Table9[[#This Row],[Shortname]], Comp[], 28, FALSE)</f>
        <v>0</v>
      </c>
      <c r="AF962">
        <f>VLOOKUP(Table9[[#This Row],[Shortname]], Comp[], 29, FALSE)</f>
        <v>0</v>
      </c>
      <c r="AG962">
        <f>VLOOKUP(Table9[[#This Row],[Shortname]], Comp[], 30, FALSE)</f>
        <v>0</v>
      </c>
      <c r="AH962">
        <f>VLOOKUP(Table9[[#This Row],[Shortname]], Comp[], 31, FALSE)</f>
        <v>0</v>
      </c>
    </row>
    <row r="963" spans="1:34" x14ac:dyDescent="0.3">
      <c r="A963" t="s">
        <v>5576</v>
      </c>
      <c r="B963" t="s">
        <v>5577</v>
      </c>
      <c r="C963" t="s">
        <v>6927</v>
      </c>
      <c r="D963">
        <v>626</v>
      </c>
      <c r="E963">
        <v>867</v>
      </c>
      <c r="F963">
        <v>1E-3</v>
      </c>
      <c r="G963">
        <v>1</v>
      </c>
      <c r="H963" t="s">
        <v>6803</v>
      </c>
      <c r="I963">
        <f>VLOOKUP(Table9[[#This Row],[Shortname]], Comp[], 6, FALSE)</f>
        <v>863</v>
      </c>
      <c r="J963" s="14">
        <f>VLOOKUP(Table9[[#This Row],[Shortname]], Comp[], 7, FALSE)</f>
        <v>42.3</v>
      </c>
      <c r="K963">
        <f>VLOOKUP(Table9[[#This Row],[Shortname]], Comp[], 8, FALSE)</f>
        <v>29.8</v>
      </c>
      <c r="L963">
        <f>VLOOKUP(Table9[[#This Row],[Shortname]], Comp[], 9, FALSE)</f>
        <v>9.4</v>
      </c>
      <c r="M963">
        <f>VLOOKUP(Table9[[#This Row],[Shortname]], Comp[], 10, FALSE)</f>
        <v>12.8</v>
      </c>
      <c r="N963">
        <f>VLOOKUP(Table9[[#This Row],[Shortname]], Comp[], 11, FALSE)</f>
        <v>0</v>
      </c>
      <c r="O963">
        <f>VLOOKUP(Table9[[#This Row],[Shortname]], Comp[],12, FALSE)</f>
        <v>3.7</v>
      </c>
      <c r="P963">
        <f>VLOOKUP(Table9[[#This Row],[Shortname]], Comp[], 13, FALSE)</f>
        <v>0</v>
      </c>
      <c r="Q963">
        <f>VLOOKUP(Table9[[#This Row],[Shortname]], Comp[], 14, FALSE)</f>
        <v>2</v>
      </c>
      <c r="R963">
        <f>VLOOKUP(Table9[[#This Row],[Shortname]], Comp[], 15, FALSE)</f>
        <v>0</v>
      </c>
      <c r="S963">
        <f>VLOOKUP(Table9[[#This Row],[Shortname]], Comp[], 16, FALSE)</f>
        <v>0</v>
      </c>
      <c r="T963">
        <f>VLOOKUP(Table9[[#This Row],[Shortname]], Comp[], 17, FALSE)</f>
        <v>0</v>
      </c>
      <c r="U963">
        <f>VLOOKUP(Table9[[#This Row],[Shortname]], Comp[], 18, FALSE)</f>
        <v>0</v>
      </c>
      <c r="V963">
        <f>VLOOKUP(Table9[[#This Row],[Shortname]], Comp[], 19, FALSE)</f>
        <v>0</v>
      </c>
      <c r="W963">
        <f>VLOOKUP(Table9[[#This Row],[Shortname]], Comp[], 20, FALSE)</f>
        <v>0</v>
      </c>
      <c r="X963">
        <f>VLOOKUP(Table9[[#This Row],[Shortname]], Comp[], 21, FALSE)</f>
        <v>0</v>
      </c>
      <c r="Y963">
        <f>VLOOKUP(Table9[[#This Row],[Shortname]], Comp[], 22, FALSE)</f>
        <v>0</v>
      </c>
      <c r="Z963">
        <f>VLOOKUP(Table9[[#This Row],[Shortname]], Comp[], 23, FALSE)</f>
        <v>0</v>
      </c>
      <c r="AA963">
        <f>VLOOKUP(Table9[[#This Row],[Shortname]], Comp[], 24, FALSE)</f>
        <v>0</v>
      </c>
      <c r="AB963">
        <f>VLOOKUP(Table9[[#This Row],[Shortname]], Comp[], 25, FALSE)</f>
        <v>0</v>
      </c>
      <c r="AC963">
        <f>VLOOKUP(Table9[[#This Row],[Shortname]], Comp[], 26, FALSE)</f>
        <v>0</v>
      </c>
      <c r="AD963">
        <f>VLOOKUP(Table9[[#This Row],[Shortname]], Comp[], 27, FALSE)</f>
        <v>0</v>
      </c>
      <c r="AE963">
        <f>VLOOKUP(Table9[[#This Row],[Shortname]], Comp[], 28, FALSE)</f>
        <v>0</v>
      </c>
      <c r="AF963">
        <f>VLOOKUP(Table9[[#This Row],[Shortname]], Comp[], 29, FALSE)</f>
        <v>0</v>
      </c>
      <c r="AG963">
        <f>VLOOKUP(Table9[[#This Row],[Shortname]], Comp[], 30, FALSE)</f>
        <v>0</v>
      </c>
      <c r="AH963">
        <f>VLOOKUP(Table9[[#This Row],[Shortname]], Comp[], 31, FALSE)</f>
        <v>0</v>
      </c>
    </row>
    <row r="964" spans="1:34" x14ac:dyDescent="0.3">
      <c r="A964" t="s">
        <v>5591</v>
      </c>
      <c r="B964" t="s">
        <v>5592</v>
      </c>
      <c r="C964" t="s">
        <v>5593</v>
      </c>
      <c r="D964">
        <v>613</v>
      </c>
      <c r="E964">
        <v>25</v>
      </c>
      <c r="F964">
        <v>1E-4</v>
      </c>
      <c r="G964">
        <v>1</v>
      </c>
      <c r="H964" t="s">
        <v>6803</v>
      </c>
      <c r="I964">
        <f>VLOOKUP(Table9[[#This Row],[Shortname]], Comp[], 6, FALSE)</f>
        <v>866</v>
      </c>
      <c r="J964" s="14">
        <f>VLOOKUP(Table9[[#This Row],[Shortname]], Comp[], 7, FALSE)</f>
        <v>50.120000000000005</v>
      </c>
      <c r="K964">
        <f>VLOOKUP(Table9[[#This Row],[Shortname]], Comp[], 8, FALSE)</f>
        <v>30.2</v>
      </c>
      <c r="L964">
        <f>VLOOKUP(Table9[[#This Row],[Shortname]], Comp[], 9, FALSE)</f>
        <v>9.83</v>
      </c>
      <c r="M964">
        <f>VLOOKUP(Table9[[#This Row],[Shortname]], Comp[], 10, FALSE)</f>
        <v>0</v>
      </c>
      <c r="N964">
        <f>VLOOKUP(Table9[[#This Row],[Shortname]], Comp[], 11, FALSE)</f>
        <v>4.0199999999999996</v>
      </c>
      <c r="O964">
        <f>VLOOKUP(Table9[[#This Row],[Shortname]], Comp[],12, FALSE)</f>
        <v>3.93</v>
      </c>
      <c r="P964">
        <f>VLOOKUP(Table9[[#This Row],[Shortname]], Comp[], 13, FALSE)</f>
        <v>1.9</v>
      </c>
      <c r="Q964">
        <f>VLOOKUP(Table9[[#This Row],[Shortname]], Comp[], 14, FALSE)</f>
        <v>0</v>
      </c>
      <c r="R964">
        <f>VLOOKUP(Table9[[#This Row],[Shortname]], Comp[], 15, FALSE)</f>
        <v>0</v>
      </c>
      <c r="S964">
        <f>VLOOKUP(Table9[[#This Row],[Shortname]], Comp[], 16, FALSE)</f>
        <v>0</v>
      </c>
      <c r="T964">
        <f>VLOOKUP(Table9[[#This Row],[Shortname]], Comp[], 17, FALSE)</f>
        <v>0</v>
      </c>
      <c r="U964">
        <f>VLOOKUP(Table9[[#This Row],[Shortname]], Comp[], 18, FALSE)</f>
        <v>0</v>
      </c>
      <c r="V964">
        <f>VLOOKUP(Table9[[#This Row],[Shortname]], Comp[], 19, FALSE)</f>
        <v>0</v>
      </c>
      <c r="W964">
        <f>VLOOKUP(Table9[[#This Row],[Shortname]], Comp[], 20, FALSE)</f>
        <v>0</v>
      </c>
      <c r="X964">
        <f>VLOOKUP(Table9[[#This Row],[Shortname]], Comp[], 21, FALSE)</f>
        <v>0</v>
      </c>
      <c r="Y964">
        <f>VLOOKUP(Table9[[#This Row],[Shortname]], Comp[], 22, FALSE)</f>
        <v>0</v>
      </c>
      <c r="Z964">
        <f>VLOOKUP(Table9[[#This Row],[Shortname]], Comp[], 23, FALSE)</f>
        <v>0</v>
      </c>
      <c r="AA964">
        <f>VLOOKUP(Table9[[#This Row],[Shortname]], Comp[], 24, FALSE)</f>
        <v>0</v>
      </c>
      <c r="AB964">
        <f>VLOOKUP(Table9[[#This Row],[Shortname]], Comp[], 25, FALSE)</f>
        <v>0</v>
      </c>
      <c r="AC964">
        <f>VLOOKUP(Table9[[#This Row],[Shortname]], Comp[], 26, FALSE)</f>
        <v>0</v>
      </c>
      <c r="AD964">
        <f>VLOOKUP(Table9[[#This Row],[Shortname]], Comp[], 27, FALSE)</f>
        <v>0</v>
      </c>
      <c r="AE964">
        <f>VLOOKUP(Table9[[#This Row],[Shortname]], Comp[], 28, FALSE)</f>
        <v>0</v>
      </c>
      <c r="AF964">
        <f>VLOOKUP(Table9[[#This Row],[Shortname]], Comp[], 29, FALSE)</f>
        <v>0</v>
      </c>
      <c r="AG964">
        <f>VLOOKUP(Table9[[#This Row],[Shortname]], Comp[], 30, FALSE)</f>
        <v>0</v>
      </c>
      <c r="AH964">
        <f>VLOOKUP(Table9[[#This Row],[Shortname]], Comp[], 31, FALSE)</f>
        <v>0</v>
      </c>
    </row>
    <row r="965" spans="1:34" x14ac:dyDescent="0.3">
      <c r="A965" t="s">
        <v>5591</v>
      </c>
      <c r="B965" t="s">
        <v>5592</v>
      </c>
      <c r="C965" t="s">
        <v>6947</v>
      </c>
      <c r="D965">
        <v>576</v>
      </c>
      <c r="E965">
        <v>600</v>
      </c>
      <c r="F965">
        <v>1E-4</v>
      </c>
      <c r="G965">
        <v>1</v>
      </c>
      <c r="H965" t="s">
        <v>6803</v>
      </c>
      <c r="I965">
        <f>VLOOKUP(Table9[[#This Row],[Shortname]], Comp[], 6, FALSE)</f>
        <v>866</v>
      </c>
      <c r="J965" s="14">
        <f>VLOOKUP(Table9[[#This Row],[Shortname]], Comp[], 7, FALSE)</f>
        <v>50.120000000000005</v>
      </c>
      <c r="K965">
        <f>VLOOKUP(Table9[[#This Row],[Shortname]], Comp[], 8, FALSE)</f>
        <v>30.2</v>
      </c>
      <c r="L965">
        <f>VLOOKUP(Table9[[#This Row],[Shortname]], Comp[], 9, FALSE)</f>
        <v>9.83</v>
      </c>
      <c r="M965">
        <f>VLOOKUP(Table9[[#This Row],[Shortname]], Comp[], 10, FALSE)</f>
        <v>0</v>
      </c>
      <c r="N965">
        <f>VLOOKUP(Table9[[#This Row],[Shortname]], Comp[], 11, FALSE)</f>
        <v>4.0199999999999996</v>
      </c>
      <c r="O965">
        <f>VLOOKUP(Table9[[#This Row],[Shortname]], Comp[],12, FALSE)</f>
        <v>3.93</v>
      </c>
      <c r="P965">
        <f>VLOOKUP(Table9[[#This Row],[Shortname]], Comp[], 13, FALSE)</f>
        <v>1.9</v>
      </c>
      <c r="Q965">
        <f>VLOOKUP(Table9[[#This Row],[Shortname]], Comp[], 14, FALSE)</f>
        <v>0</v>
      </c>
      <c r="R965">
        <f>VLOOKUP(Table9[[#This Row],[Shortname]], Comp[], 15, FALSE)</f>
        <v>0</v>
      </c>
      <c r="S965">
        <f>VLOOKUP(Table9[[#This Row],[Shortname]], Comp[], 16, FALSE)</f>
        <v>0</v>
      </c>
      <c r="T965">
        <f>VLOOKUP(Table9[[#This Row],[Shortname]], Comp[], 17, FALSE)</f>
        <v>0</v>
      </c>
      <c r="U965">
        <f>VLOOKUP(Table9[[#This Row],[Shortname]], Comp[], 18, FALSE)</f>
        <v>0</v>
      </c>
      <c r="V965">
        <f>VLOOKUP(Table9[[#This Row],[Shortname]], Comp[], 19, FALSE)</f>
        <v>0</v>
      </c>
      <c r="W965">
        <f>VLOOKUP(Table9[[#This Row],[Shortname]], Comp[], 20, FALSE)</f>
        <v>0</v>
      </c>
      <c r="X965">
        <f>VLOOKUP(Table9[[#This Row],[Shortname]], Comp[], 21, FALSE)</f>
        <v>0</v>
      </c>
      <c r="Y965">
        <f>VLOOKUP(Table9[[#This Row],[Shortname]], Comp[], 22, FALSE)</f>
        <v>0</v>
      </c>
      <c r="Z965">
        <f>VLOOKUP(Table9[[#This Row],[Shortname]], Comp[], 23, FALSE)</f>
        <v>0</v>
      </c>
      <c r="AA965">
        <f>VLOOKUP(Table9[[#This Row],[Shortname]], Comp[], 24, FALSE)</f>
        <v>0</v>
      </c>
      <c r="AB965">
        <f>VLOOKUP(Table9[[#This Row],[Shortname]], Comp[], 25, FALSE)</f>
        <v>0</v>
      </c>
      <c r="AC965">
        <f>VLOOKUP(Table9[[#This Row],[Shortname]], Comp[], 26, FALSE)</f>
        <v>0</v>
      </c>
      <c r="AD965">
        <f>VLOOKUP(Table9[[#This Row],[Shortname]], Comp[], 27, FALSE)</f>
        <v>0</v>
      </c>
      <c r="AE965">
        <f>VLOOKUP(Table9[[#This Row],[Shortname]], Comp[], 28, FALSE)</f>
        <v>0</v>
      </c>
      <c r="AF965">
        <f>VLOOKUP(Table9[[#This Row],[Shortname]], Comp[], 29, FALSE)</f>
        <v>0</v>
      </c>
      <c r="AG965">
        <f>VLOOKUP(Table9[[#This Row],[Shortname]], Comp[], 30, FALSE)</f>
        <v>0</v>
      </c>
      <c r="AH965">
        <f>VLOOKUP(Table9[[#This Row],[Shortname]], Comp[], 31, FALSE)</f>
        <v>0</v>
      </c>
    </row>
    <row r="966" spans="1:34" x14ac:dyDescent="0.3">
      <c r="A966" t="s">
        <v>5591</v>
      </c>
      <c r="B966" t="s">
        <v>5592</v>
      </c>
      <c r="C966" t="s">
        <v>6948</v>
      </c>
      <c r="D966">
        <v>591</v>
      </c>
      <c r="E966">
        <v>700</v>
      </c>
      <c r="F966">
        <v>1E-4</v>
      </c>
      <c r="G966">
        <v>1</v>
      </c>
      <c r="H966" t="s">
        <v>6803</v>
      </c>
      <c r="I966">
        <f>VLOOKUP(Table9[[#This Row],[Shortname]], Comp[], 6, FALSE)</f>
        <v>866</v>
      </c>
      <c r="J966" s="14">
        <f>VLOOKUP(Table9[[#This Row],[Shortname]], Comp[], 7, FALSE)</f>
        <v>50.120000000000005</v>
      </c>
      <c r="K966">
        <f>VLOOKUP(Table9[[#This Row],[Shortname]], Comp[], 8, FALSE)</f>
        <v>30.2</v>
      </c>
      <c r="L966">
        <f>VLOOKUP(Table9[[#This Row],[Shortname]], Comp[], 9, FALSE)</f>
        <v>9.83</v>
      </c>
      <c r="M966">
        <f>VLOOKUP(Table9[[#This Row],[Shortname]], Comp[], 10, FALSE)</f>
        <v>0</v>
      </c>
      <c r="N966">
        <f>VLOOKUP(Table9[[#This Row],[Shortname]], Comp[], 11, FALSE)</f>
        <v>4.0199999999999996</v>
      </c>
      <c r="O966">
        <f>VLOOKUP(Table9[[#This Row],[Shortname]], Comp[],12, FALSE)</f>
        <v>3.93</v>
      </c>
      <c r="P966">
        <f>VLOOKUP(Table9[[#This Row],[Shortname]], Comp[], 13, FALSE)</f>
        <v>1.9</v>
      </c>
      <c r="Q966">
        <f>VLOOKUP(Table9[[#This Row],[Shortname]], Comp[], 14, FALSE)</f>
        <v>0</v>
      </c>
      <c r="R966">
        <f>VLOOKUP(Table9[[#This Row],[Shortname]], Comp[], 15, FALSE)</f>
        <v>0</v>
      </c>
      <c r="S966">
        <f>VLOOKUP(Table9[[#This Row],[Shortname]], Comp[], 16, FALSE)</f>
        <v>0</v>
      </c>
      <c r="T966">
        <f>VLOOKUP(Table9[[#This Row],[Shortname]], Comp[], 17, FALSE)</f>
        <v>0</v>
      </c>
      <c r="U966">
        <f>VLOOKUP(Table9[[#This Row],[Shortname]], Comp[], 18, FALSE)</f>
        <v>0</v>
      </c>
      <c r="V966">
        <f>VLOOKUP(Table9[[#This Row],[Shortname]], Comp[], 19, FALSE)</f>
        <v>0</v>
      </c>
      <c r="W966">
        <f>VLOOKUP(Table9[[#This Row],[Shortname]], Comp[], 20, FALSE)</f>
        <v>0</v>
      </c>
      <c r="X966">
        <f>VLOOKUP(Table9[[#This Row],[Shortname]], Comp[], 21, FALSE)</f>
        <v>0</v>
      </c>
      <c r="Y966">
        <f>VLOOKUP(Table9[[#This Row],[Shortname]], Comp[], 22, FALSE)</f>
        <v>0</v>
      </c>
      <c r="Z966">
        <f>VLOOKUP(Table9[[#This Row],[Shortname]], Comp[], 23, FALSE)</f>
        <v>0</v>
      </c>
      <c r="AA966">
        <f>VLOOKUP(Table9[[#This Row],[Shortname]], Comp[], 24, FALSE)</f>
        <v>0</v>
      </c>
      <c r="AB966">
        <f>VLOOKUP(Table9[[#This Row],[Shortname]], Comp[], 25, FALSE)</f>
        <v>0</v>
      </c>
      <c r="AC966">
        <f>VLOOKUP(Table9[[#This Row],[Shortname]], Comp[], 26, FALSE)</f>
        <v>0</v>
      </c>
      <c r="AD966">
        <f>VLOOKUP(Table9[[#This Row],[Shortname]], Comp[], 27, FALSE)</f>
        <v>0</v>
      </c>
      <c r="AE966">
        <f>VLOOKUP(Table9[[#This Row],[Shortname]], Comp[], 28, FALSE)</f>
        <v>0</v>
      </c>
      <c r="AF966">
        <f>VLOOKUP(Table9[[#This Row],[Shortname]], Comp[], 29, FALSE)</f>
        <v>0</v>
      </c>
      <c r="AG966">
        <f>VLOOKUP(Table9[[#This Row],[Shortname]], Comp[], 30, FALSE)</f>
        <v>0</v>
      </c>
      <c r="AH966">
        <f>VLOOKUP(Table9[[#This Row],[Shortname]], Comp[], 31, FALSE)</f>
        <v>0</v>
      </c>
    </row>
    <row r="967" spans="1:34" x14ac:dyDescent="0.3">
      <c r="A967" t="s">
        <v>5591</v>
      </c>
      <c r="B967" t="s">
        <v>5592</v>
      </c>
      <c r="C967" t="s">
        <v>6949</v>
      </c>
      <c r="D967">
        <v>654</v>
      </c>
      <c r="E967">
        <v>800</v>
      </c>
      <c r="F967">
        <v>1E-4</v>
      </c>
      <c r="G967">
        <v>1</v>
      </c>
      <c r="H967" t="s">
        <v>6803</v>
      </c>
      <c r="I967">
        <f>VLOOKUP(Table9[[#This Row],[Shortname]], Comp[], 6, FALSE)</f>
        <v>866</v>
      </c>
      <c r="J967" s="14">
        <f>VLOOKUP(Table9[[#This Row],[Shortname]], Comp[], 7, FALSE)</f>
        <v>50.120000000000005</v>
      </c>
      <c r="K967">
        <f>VLOOKUP(Table9[[#This Row],[Shortname]], Comp[], 8, FALSE)</f>
        <v>30.2</v>
      </c>
      <c r="L967">
        <f>VLOOKUP(Table9[[#This Row],[Shortname]], Comp[], 9, FALSE)</f>
        <v>9.83</v>
      </c>
      <c r="M967">
        <f>VLOOKUP(Table9[[#This Row],[Shortname]], Comp[], 10, FALSE)</f>
        <v>0</v>
      </c>
      <c r="N967">
        <f>VLOOKUP(Table9[[#This Row],[Shortname]], Comp[], 11, FALSE)</f>
        <v>4.0199999999999996</v>
      </c>
      <c r="O967">
        <f>VLOOKUP(Table9[[#This Row],[Shortname]], Comp[],12, FALSE)</f>
        <v>3.93</v>
      </c>
      <c r="P967">
        <f>VLOOKUP(Table9[[#This Row],[Shortname]], Comp[], 13, FALSE)</f>
        <v>1.9</v>
      </c>
      <c r="Q967">
        <f>VLOOKUP(Table9[[#This Row],[Shortname]], Comp[], 14, FALSE)</f>
        <v>0</v>
      </c>
      <c r="R967">
        <f>VLOOKUP(Table9[[#This Row],[Shortname]], Comp[], 15, FALSE)</f>
        <v>0</v>
      </c>
      <c r="S967">
        <f>VLOOKUP(Table9[[#This Row],[Shortname]], Comp[], 16, FALSE)</f>
        <v>0</v>
      </c>
      <c r="T967">
        <f>VLOOKUP(Table9[[#This Row],[Shortname]], Comp[], 17, FALSE)</f>
        <v>0</v>
      </c>
      <c r="U967">
        <f>VLOOKUP(Table9[[#This Row],[Shortname]], Comp[], 18, FALSE)</f>
        <v>0</v>
      </c>
      <c r="V967">
        <f>VLOOKUP(Table9[[#This Row],[Shortname]], Comp[], 19, FALSE)</f>
        <v>0</v>
      </c>
      <c r="W967">
        <f>VLOOKUP(Table9[[#This Row],[Shortname]], Comp[], 20, FALSE)</f>
        <v>0</v>
      </c>
      <c r="X967">
        <f>VLOOKUP(Table9[[#This Row],[Shortname]], Comp[], 21, FALSE)</f>
        <v>0</v>
      </c>
      <c r="Y967">
        <f>VLOOKUP(Table9[[#This Row],[Shortname]], Comp[], 22, FALSE)</f>
        <v>0</v>
      </c>
      <c r="Z967">
        <f>VLOOKUP(Table9[[#This Row],[Shortname]], Comp[], 23, FALSE)</f>
        <v>0</v>
      </c>
      <c r="AA967">
        <f>VLOOKUP(Table9[[#This Row],[Shortname]], Comp[], 24, FALSE)</f>
        <v>0</v>
      </c>
      <c r="AB967">
        <f>VLOOKUP(Table9[[#This Row],[Shortname]], Comp[], 25, FALSE)</f>
        <v>0</v>
      </c>
      <c r="AC967">
        <f>VLOOKUP(Table9[[#This Row],[Shortname]], Comp[], 26, FALSE)</f>
        <v>0</v>
      </c>
      <c r="AD967">
        <f>VLOOKUP(Table9[[#This Row],[Shortname]], Comp[], 27, FALSE)</f>
        <v>0</v>
      </c>
      <c r="AE967">
        <f>VLOOKUP(Table9[[#This Row],[Shortname]], Comp[], 28, FALSE)</f>
        <v>0</v>
      </c>
      <c r="AF967">
        <f>VLOOKUP(Table9[[#This Row],[Shortname]], Comp[], 29, FALSE)</f>
        <v>0</v>
      </c>
      <c r="AG967">
        <f>VLOOKUP(Table9[[#This Row],[Shortname]], Comp[], 30, FALSE)</f>
        <v>0</v>
      </c>
      <c r="AH967">
        <f>VLOOKUP(Table9[[#This Row],[Shortname]], Comp[], 31, FALSE)</f>
        <v>0</v>
      </c>
    </row>
    <row r="968" spans="1:34" x14ac:dyDescent="0.3">
      <c r="A968" t="s">
        <v>5591</v>
      </c>
      <c r="B968" t="s">
        <v>5592</v>
      </c>
      <c r="C968" t="s">
        <v>6950</v>
      </c>
      <c r="D968">
        <v>648</v>
      </c>
      <c r="E968">
        <v>850</v>
      </c>
      <c r="F968">
        <v>1E-4</v>
      </c>
      <c r="G968">
        <v>1</v>
      </c>
      <c r="H968" t="s">
        <v>6803</v>
      </c>
      <c r="I968">
        <f>VLOOKUP(Table9[[#This Row],[Shortname]], Comp[], 6, FALSE)</f>
        <v>866</v>
      </c>
      <c r="J968" s="14">
        <f>VLOOKUP(Table9[[#This Row],[Shortname]], Comp[], 7, FALSE)</f>
        <v>50.120000000000005</v>
      </c>
      <c r="K968">
        <f>VLOOKUP(Table9[[#This Row],[Shortname]], Comp[], 8, FALSE)</f>
        <v>30.2</v>
      </c>
      <c r="L968">
        <f>VLOOKUP(Table9[[#This Row],[Shortname]], Comp[], 9, FALSE)</f>
        <v>9.83</v>
      </c>
      <c r="M968">
        <f>VLOOKUP(Table9[[#This Row],[Shortname]], Comp[], 10, FALSE)</f>
        <v>0</v>
      </c>
      <c r="N968">
        <f>VLOOKUP(Table9[[#This Row],[Shortname]], Comp[], 11, FALSE)</f>
        <v>4.0199999999999996</v>
      </c>
      <c r="O968">
        <f>VLOOKUP(Table9[[#This Row],[Shortname]], Comp[],12, FALSE)</f>
        <v>3.93</v>
      </c>
      <c r="P968">
        <f>VLOOKUP(Table9[[#This Row],[Shortname]], Comp[], 13, FALSE)</f>
        <v>1.9</v>
      </c>
      <c r="Q968">
        <f>VLOOKUP(Table9[[#This Row],[Shortname]], Comp[], 14, FALSE)</f>
        <v>0</v>
      </c>
      <c r="R968">
        <f>VLOOKUP(Table9[[#This Row],[Shortname]], Comp[], 15, FALSE)</f>
        <v>0</v>
      </c>
      <c r="S968">
        <f>VLOOKUP(Table9[[#This Row],[Shortname]], Comp[], 16, FALSE)</f>
        <v>0</v>
      </c>
      <c r="T968">
        <f>VLOOKUP(Table9[[#This Row],[Shortname]], Comp[], 17, FALSE)</f>
        <v>0</v>
      </c>
      <c r="U968">
        <f>VLOOKUP(Table9[[#This Row],[Shortname]], Comp[], 18, FALSE)</f>
        <v>0</v>
      </c>
      <c r="V968">
        <f>VLOOKUP(Table9[[#This Row],[Shortname]], Comp[], 19, FALSE)</f>
        <v>0</v>
      </c>
      <c r="W968">
        <f>VLOOKUP(Table9[[#This Row],[Shortname]], Comp[], 20, FALSE)</f>
        <v>0</v>
      </c>
      <c r="X968">
        <f>VLOOKUP(Table9[[#This Row],[Shortname]], Comp[], 21, FALSE)</f>
        <v>0</v>
      </c>
      <c r="Y968">
        <f>VLOOKUP(Table9[[#This Row],[Shortname]], Comp[], 22, FALSE)</f>
        <v>0</v>
      </c>
      <c r="Z968">
        <f>VLOOKUP(Table9[[#This Row],[Shortname]], Comp[], 23, FALSE)</f>
        <v>0</v>
      </c>
      <c r="AA968">
        <f>VLOOKUP(Table9[[#This Row],[Shortname]], Comp[], 24, FALSE)</f>
        <v>0</v>
      </c>
      <c r="AB968">
        <f>VLOOKUP(Table9[[#This Row],[Shortname]], Comp[], 25, FALSE)</f>
        <v>0</v>
      </c>
      <c r="AC968">
        <f>VLOOKUP(Table9[[#This Row],[Shortname]], Comp[], 26, FALSE)</f>
        <v>0</v>
      </c>
      <c r="AD968">
        <f>VLOOKUP(Table9[[#This Row],[Shortname]], Comp[], 27, FALSE)</f>
        <v>0</v>
      </c>
      <c r="AE968">
        <f>VLOOKUP(Table9[[#This Row],[Shortname]], Comp[], 28, FALSE)</f>
        <v>0</v>
      </c>
      <c r="AF968">
        <f>VLOOKUP(Table9[[#This Row],[Shortname]], Comp[], 29, FALSE)</f>
        <v>0</v>
      </c>
      <c r="AG968">
        <f>VLOOKUP(Table9[[#This Row],[Shortname]], Comp[], 30, FALSE)</f>
        <v>0</v>
      </c>
      <c r="AH968">
        <f>VLOOKUP(Table9[[#This Row],[Shortname]], Comp[], 31, FALSE)</f>
        <v>0</v>
      </c>
    </row>
    <row r="969" spans="1:34" x14ac:dyDescent="0.3">
      <c r="A969" t="s">
        <v>5591</v>
      </c>
      <c r="B969" t="s">
        <v>5592</v>
      </c>
      <c r="C969" t="s">
        <v>6951</v>
      </c>
      <c r="D969">
        <v>586</v>
      </c>
      <c r="E969">
        <v>900</v>
      </c>
      <c r="F969">
        <v>1E-4</v>
      </c>
      <c r="G969">
        <v>1</v>
      </c>
      <c r="H969" t="s">
        <v>6803</v>
      </c>
      <c r="I969">
        <f>VLOOKUP(Table9[[#This Row],[Shortname]], Comp[], 6, FALSE)</f>
        <v>866</v>
      </c>
      <c r="J969" s="14">
        <f>VLOOKUP(Table9[[#This Row],[Shortname]], Comp[], 7, FALSE)</f>
        <v>50.120000000000005</v>
      </c>
      <c r="K969">
        <f>VLOOKUP(Table9[[#This Row],[Shortname]], Comp[], 8, FALSE)</f>
        <v>30.2</v>
      </c>
      <c r="L969">
        <f>VLOOKUP(Table9[[#This Row],[Shortname]], Comp[], 9, FALSE)</f>
        <v>9.83</v>
      </c>
      <c r="M969">
        <f>VLOOKUP(Table9[[#This Row],[Shortname]], Comp[], 10, FALSE)</f>
        <v>0</v>
      </c>
      <c r="N969">
        <f>VLOOKUP(Table9[[#This Row],[Shortname]], Comp[], 11, FALSE)</f>
        <v>4.0199999999999996</v>
      </c>
      <c r="O969">
        <f>VLOOKUP(Table9[[#This Row],[Shortname]], Comp[],12, FALSE)</f>
        <v>3.93</v>
      </c>
      <c r="P969">
        <f>VLOOKUP(Table9[[#This Row],[Shortname]], Comp[], 13, FALSE)</f>
        <v>1.9</v>
      </c>
      <c r="Q969">
        <f>VLOOKUP(Table9[[#This Row],[Shortname]], Comp[], 14, FALSE)</f>
        <v>0</v>
      </c>
      <c r="R969">
        <f>VLOOKUP(Table9[[#This Row],[Shortname]], Comp[], 15, FALSE)</f>
        <v>0</v>
      </c>
      <c r="S969">
        <f>VLOOKUP(Table9[[#This Row],[Shortname]], Comp[], 16, FALSE)</f>
        <v>0</v>
      </c>
      <c r="T969">
        <f>VLOOKUP(Table9[[#This Row],[Shortname]], Comp[], 17, FALSE)</f>
        <v>0</v>
      </c>
      <c r="U969">
        <f>VLOOKUP(Table9[[#This Row],[Shortname]], Comp[], 18, FALSE)</f>
        <v>0</v>
      </c>
      <c r="V969">
        <f>VLOOKUP(Table9[[#This Row],[Shortname]], Comp[], 19, FALSE)</f>
        <v>0</v>
      </c>
      <c r="W969">
        <f>VLOOKUP(Table9[[#This Row],[Shortname]], Comp[], 20, FALSE)</f>
        <v>0</v>
      </c>
      <c r="X969">
        <f>VLOOKUP(Table9[[#This Row],[Shortname]], Comp[], 21, FALSE)</f>
        <v>0</v>
      </c>
      <c r="Y969">
        <f>VLOOKUP(Table9[[#This Row],[Shortname]], Comp[], 22, FALSE)</f>
        <v>0</v>
      </c>
      <c r="Z969">
        <f>VLOOKUP(Table9[[#This Row],[Shortname]], Comp[], 23, FALSE)</f>
        <v>0</v>
      </c>
      <c r="AA969">
        <f>VLOOKUP(Table9[[#This Row],[Shortname]], Comp[], 24, FALSE)</f>
        <v>0</v>
      </c>
      <c r="AB969">
        <f>VLOOKUP(Table9[[#This Row],[Shortname]], Comp[], 25, FALSE)</f>
        <v>0</v>
      </c>
      <c r="AC969">
        <f>VLOOKUP(Table9[[#This Row],[Shortname]], Comp[], 26, FALSE)</f>
        <v>0</v>
      </c>
      <c r="AD969">
        <f>VLOOKUP(Table9[[#This Row],[Shortname]], Comp[], 27, FALSE)</f>
        <v>0</v>
      </c>
      <c r="AE969">
        <f>VLOOKUP(Table9[[#This Row],[Shortname]], Comp[], 28, FALSE)</f>
        <v>0</v>
      </c>
      <c r="AF969">
        <f>VLOOKUP(Table9[[#This Row],[Shortname]], Comp[], 29, FALSE)</f>
        <v>0</v>
      </c>
      <c r="AG969">
        <f>VLOOKUP(Table9[[#This Row],[Shortname]], Comp[], 30, FALSE)</f>
        <v>0</v>
      </c>
      <c r="AH969">
        <f>VLOOKUP(Table9[[#This Row],[Shortname]], Comp[], 31, FALSE)</f>
        <v>0</v>
      </c>
    </row>
    <row r="970" spans="1:34" x14ac:dyDescent="0.3">
      <c r="A970" t="s">
        <v>5591</v>
      </c>
      <c r="B970" t="s">
        <v>5592</v>
      </c>
      <c r="C970" t="s">
        <v>6952</v>
      </c>
      <c r="D970">
        <v>446</v>
      </c>
      <c r="E970">
        <v>1000</v>
      </c>
      <c r="F970">
        <v>1E-4</v>
      </c>
      <c r="G970">
        <v>1</v>
      </c>
      <c r="H970" t="s">
        <v>6803</v>
      </c>
      <c r="I970">
        <f>VLOOKUP(Table9[[#This Row],[Shortname]], Comp[], 6, FALSE)</f>
        <v>866</v>
      </c>
      <c r="J970" s="14">
        <f>VLOOKUP(Table9[[#This Row],[Shortname]], Comp[], 7, FALSE)</f>
        <v>50.120000000000005</v>
      </c>
      <c r="K970">
        <f>VLOOKUP(Table9[[#This Row],[Shortname]], Comp[], 8, FALSE)</f>
        <v>30.2</v>
      </c>
      <c r="L970">
        <f>VLOOKUP(Table9[[#This Row],[Shortname]], Comp[], 9, FALSE)</f>
        <v>9.83</v>
      </c>
      <c r="M970">
        <f>VLOOKUP(Table9[[#This Row],[Shortname]], Comp[], 10, FALSE)</f>
        <v>0</v>
      </c>
      <c r="N970">
        <f>VLOOKUP(Table9[[#This Row],[Shortname]], Comp[], 11, FALSE)</f>
        <v>4.0199999999999996</v>
      </c>
      <c r="O970">
        <f>VLOOKUP(Table9[[#This Row],[Shortname]], Comp[],12, FALSE)</f>
        <v>3.93</v>
      </c>
      <c r="P970">
        <f>VLOOKUP(Table9[[#This Row],[Shortname]], Comp[], 13, FALSE)</f>
        <v>1.9</v>
      </c>
      <c r="Q970">
        <f>VLOOKUP(Table9[[#This Row],[Shortname]], Comp[], 14, FALSE)</f>
        <v>0</v>
      </c>
      <c r="R970">
        <f>VLOOKUP(Table9[[#This Row],[Shortname]], Comp[], 15, FALSE)</f>
        <v>0</v>
      </c>
      <c r="S970">
        <f>VLOOKUP(Table9[[#This Row],[Shortname]], Comp[], 16, FALSE)</f>
        <v>0</v>
      </c>
      <c r="T970">
        <f>VLOOKUP(Table9[[#This Row],[Shortname]], Comp[], 17, FALSE)</f>
        <v>0</v>
      </c>
      <c r="U970">
        <f>VLOOKUP(Table9[[#This Row],[Shortname]], Comp[], 18, FALSE)</f>
        <v>0</v>
      </c>
      <c r="V970">
        <f>VLOOKUP(Table9[[#This Row],[Shortname]], Comp[], 19, FALSE)</f>
        <v>0</v>
      </c>
      <c r="W970">
        <f>VLOOKUP(Table9[[#This Row],[Shortname]], Comp[], 20, FALSE)</f>
        <v>0</v>
      </c>
      <c r="X970">
        <f>VLOOKUP(Table9[[#This Row],[Shortname]], Comp[], 21, FALSE)</f>
        <v>0</v>
      </c>
      <c r="Y970">
        <f>VLOOKUP(Table9[[#This Row],[Shortname]], Comp[], 22, FALSE)</f>
        <v>0</v>
      </c>
      <c r="Z970">
        <f>VLOOKUP(Table9[[#This Row],[Shortname]], Comp[], 23, FALSE)</f>
        <v>0</v>
      </c>
      <c r="AA970">
        <f>VLOOKUP(Table9[[#This Row],[Shortname]], Comp[], 24, FALSE)</f>
        <v>0</v>
      </c>
      <c r="AB970">
        <f>VLOOKUP(Table9[[#This Row],[Shortname]], Comp[], 25, FALSE)</f>
        <v>0</v>
      </c>
      <c r="AC970">
        <f>VLOOKUP(Table9[[#This Row],[Shortname]], Comp[], 26, FALSE)</f>
        <v>0</v>
      </c>
      <c r="AD970">
        <f>VLOOKUP(Table9[[#This Row],[Shortname]], Comp[], 27, FALSE)</f>
        <v>0</v>
      </c>
      <c r="AE970">
        <f>VLOOKUP(Table9[[#This Row],[Shortname]], Comp[], 28, FALSE)</f>
        <v>0</v>
      </c>
      <c r="AF970">
        <f>VLOOKUP(Table9[[#This Row],[Shortname]], Comp[], 29, FALSE)</f>
        <v>0</v>
      </c>
      <c r="AG970">
        <f>VLOOKUP(Table9[[#This Row],[Shortname]], Comp[], 30, FALSE)</f>
        <v>0</v>
      </c>
      <c r="AH970">
        <f>VLOOKUP(Table9[[#This Row],[Shortname]], Comp[], 31, FALSE)</f>
        <v>0</v>
      </c>
    </row>
    <row r="971" spans="1:34" x14ac:dyDescent="0.3">
      <c r="A971" t="s">
        <v>5679</v>
      </c>
      <c r="B971" t="s">
        <v>5680</v>
      </c>
      <c r="C971" t="s">
        <v>5681</v>
      </c>
      <c r="D971">
        <v>800</v>
      </c>
      <c r="E971">
        <v>25</v>
      </c>
      <c r="F971">
        <v>2.9999999999999997E-4</v>
      </c>
      <c r="G971">
        <v>-1</v>
      </c>
      <c r="H971" t="s">
        <v>6855</v>
      </c>
      <c r="I971">
        <f>VLOOKUP(Table9[[#This Row],[Shortname]], Comp[], 6, FALSE)</f>
        <v>888</v>
      </c>
      <c r="J971" s="14">
        <f>VLOOKUP(Table9[[#This Row],[Shortname]], Comp[], 7, FALSE)</f>
        <v>79.960000000000008</v>
      </c>
      <c r="K971">
        <f>VLOOKUP(Table9[[#This Row],[Shortname]], Comp[], 8, FALSE)</f>
        <v>0</v>
      </c>
      <c r="L971">
        <f>VLOOKUP(Table9[[#This Row],[Shortname]], Comp[], 9, FALSE)</f>
        <v>9</v>
      </c>
      <c r="M971">
        <f>VLOOKUP(Table9[[#This Row],[Shortname]], Comp[], 10, FALSE)</f>
        <v>0</v>
      </c>
      <c r="N971">
        <f>VLOOKUP(Table9[[#This Row],[Shortname]], Comp[], 11, FALSE)</f>
        <v>9</v>
      </c>
      <c r="O971">
        <f>VLOOKUP(Table9[[#This Row],[Shortname]], Comp[],12, FALSE)</f>
        <v>0</v>
      </c>
      <c r="P971">
        <f>VLOOKUP(Table9[[#This Row],[Shortname]], Comp[], 13, FALSE)</f>
        <v>2</v>
      </c>
      <c r="Q971">
        <f>VLOOKUP(Table9[[#This Row],[Shortname]], Comp[], 14, FALSE)</f>
        <v>0</v>
      </c>
      <c r="R971">
        <f>VLOOKUP(Table9[[#This Row],[Shortname]], Comp[], 15, FALSE)</f>
        <v>0</v>
      </c>
      <c r="S971">
        <f>VLOOKUP(Table9[[#This Row],[Shortname]], Comp[], 16, FALSE)</f>
        <v>0</v>
      </c>
      <c r="T971">
        <f>VLOOKUP(Table9[[#This Row],[Shortname]], Comp[], 17, FALSE)</f>
        <v>0</v>
      </c>
      <c r="U971">
        <f>VLOOKUP(Table9[[#This Row],[Shortname]], Comp[], 18, FALSE)</f>
        <v>0</v>
      </c>
      <c r="V971">
        <f>VLOOKUP(Table9[[#This Row],[Shortname]], Comp[], 19, FALSE)</f>
        <v>0.02</v>
      </c>
      <c r="W971">
        <f>VLOOKUP(Table9[[#This Row],[Shortname]], Comp[], 20, FALSE)</f>
        <v>0</v>
      </c>
      <c r="X971">
        <f>VLOOKUP(Table9[[#This Row],[Shortname]], Comp[], 21, FALSE)</f>
        <v>0</v>
      </c>
      <c r="Y971">
        <f>VLOOKUP(Table9[[#This Row],[Shortname]], Comp[], 22, FALSE)</f>
        <v>0</v>
      </c>
      <c r="Z971">
        <f>VLOOKUP(Table9[[#This Row],[Shortname]], Comp[], 23, FALSE)</f>
        <v>0</v>
      </c>
      <c r="AA971">
        <f>VLOOKUP(Table9[[#This Row],[Shortname]], Comp[], 24, FALSE)</f>
        <v>0</v>
      </c>
      <c r="AB971">
        <f>VLOOKUP(Table9[[#This Row],[Shortname]], Comp[], 25, FALSE)</f>
        <v>0</v>
      </c>
      <c r="AC971">
        <f>VLOOKUP(Table9[[#This Row],[Shortname]], Comp[], 26, FALSE)</f>
        <v>0</v>
      </c>
      <c r="AD971">
        <f>VLOOKUP(Table9[[#This Row],[Shortname]], Comp[], 27, FALSE)</f>
        <v>0</v>
      </c>
      <c r="AE971">
        <f>VLOOKUP(Table9[[#This Row],[Shortname]], Comp[], 28, FALSE)</f>
        <v>0</v>
      </c>
      <c r="AF971">
        <f>VLOOKUP(Table9[[#This Row],[Shortname]], Comp[], 29, FALSE)</f>
        <v>0</v>
      </c>
      <c r="AG971">
        <f>VLOOKUP(Table9[[#This Row],[Shortname]], Comp[], 30, FALSE)</f>
        <v>0.02</v>
      </c>
      <c r="AH971">
        <f>VLOOKUP(Table9[[#This Row],[Shortname]], Comp[], 31, FALSE)</f>
        <v>0</v>
      </c>
    </row>
    <row r="972" spans="1:34" x14ac:dyDescent="0.3">
      <c r="A972" t="s">
        <v>5679</v>
      </c>
      <c r="B972" t="s">
        <v>5680</v>
      </c>
      <c r="C972" t="s">
        <v>5685</v>
      </c>
      <c r="D972">
        <v>633</v>
      </c>
      <c r="E972">
        <v>600</v>
      </c>
      <c r="F972">
        <v>2.9999999999999997E-4</v>
      </c>
      <c r="G972">
        <v>-1</v>
      </c>
      <c r="H972" t="s">
        <v>6855</v>
      </c>
      <c r="I972">
        <f>VLOOKUP(Table9[[#This Row],[Shortname]], Comp[], 6, FALSE)</f>
        <v>888</v>
      </c>
      <c r="J972" s="14">
        <f>VLOOKUP(Table9[[#This Row],[Shortname]], Comp[], 7, FALSE)</f>
        <v>79.960000000000008</v>
      </c>
      <c r="K972">
        <f>VLOOKUP(Table9[[#This Row],[Shortname]], Comp[], 8, FALSE)</f>
        <v>0</v>
      </c>
      <c r="L972">
        <f>VLOOKUP(Table9[[#This Row],[Shortname]], Comp[], 9, FALSE)</f>
        <v>9</v>
      </c>
      <c r="M972">
        <f>VLOOKUP(Table9[[#This Row],[Shortname]], Comp[], 10, FALSE)</f>
        <v>0</v>
      </c>
      <c r="N972">
        <f>VLOOKUP(Table9[[#This Row],[Shortname]], Comp[], 11, FALSE)</f>
        <v>9</v>
      </c>
      <c r="O972">
        <f>VLOOKUP(Table9[[#This Row],[Shortname]], Comp[],12, FALSE)</f>
        <v>0</v>
      </c>
      <c r="P972">
        <f>VLOOKUP(Table9[[#This Row],[Shortname]], Comp[], 13, FALSE)</f>
        <v>2</v>
      </c>
      <c r="Q972">
        <f>VLOOKUP(Table9[[#This Row],[Shortname]], Comp[], 14, FALSE)</f>
        <v>0</v>
      </c>
      <c r="R972">
        <f>VLOOKUP(Table9[[#This Row],[Shortname]], Comp[], 15, FALSE)</f>
        <v>0</v>
      </c>
      <c r="S972">
        <f>VLOOKUP(Table9[[#This Row],[Shortname]], Comp[], 16, FALSE)</f>
        <v>0</v>
      </c>
      <c r="T972">
        <f>VLOOKUP(Table9[[#This Row],[Shortname]], Comp[], 17, FALSE)</f>
        <v>0</v>
      </c>
      <c r="U972">
        <f>VLOOKUP(Table9[[#This Row],[Shortname]], Comp[], 18, FALSE)</f>
        <v>0</v>
      </c>
      <c r="V972">
        <f>VLOOKUP(Table9[[#This Row],[Shortname]], Comp[], 19, FALSE)</f>
        <v>0.02</v>
      </c>
      <c r="W972">
        <f>VLOOKUP(Table9[[#This Row],[Shortname]], Comp[], 20, FALSE)</f>
        <v>0</v>
      </c>
      <c r="X972">
        <f>VLOOKUP(Table9[[#This Row],[Shortname]], Comp[], 21, FALSE)</f>
        <v>0</v>
      </c>
      <c r="Y972">
        <f>VLOOKUP(Table9[[#This Row],[Shortname]], Comp[], 22, FALSE)</f>
        <v>0</v>
      </c>
      <c r="Z972">
        <f>VLOOKUP(Table9[[#This Row],[Shortname]], Comp[], 23, FALSE)</f>
        <v>0</v>
      </c>
      <c r="AA972">
        <f>VLOOKUP(Table9[[#This Row],[Shortname]], Comp[], 24, FALSE)</f>
        <v>0</v>
      </c>
      <c r="AB972">
        <f>VLOOKUP(Table9[[#This Row],[Shortname]], Comp[], 25, FALSE)</f>
        <v>0</v>
      </c>
      <c r="AC972">
        <f>VLOOKUP(Table9[[#This Row],[Shortname]], Comp[], 26, FALSE)</f>
        <v>0</v>
      </c>
      <c r="AD972">
        <f>VLOOKUP(Table9[[#This Row],[Shortname]], Comp[], 27, FALSE)</f>
        <v>0</v>
      </c>
      <c r="AE972">
        <f>VLOOKUP(Table9[[#This Row],[Shortname]], Comp[], 28, FALSE)</f>
        <v>0</v>
      </c>
      <c r="AF972">
        <f>VLOOKUP(Table9[[#This Row],[Shortname]], Comp[], 29, FALSE)</f>
        <v>0</v>
      </c>
      <c r="AG972">
        <f>VLOOKUP(Table9[[#This Row],[Shortname]], Comp[], 30, FALSE)</f>
        <v>0.02</v>
      </c>
      <c r="AH972">
        <f>VLOOKUP(Table9[[#This Row],[Shortname]], Comp[], 31, FALSE)</f>
        <v>0</v>
      </c>
    </row>
    <row r="973" spans="1:34" x14ac:dyDescent="0.3">
      <c r="A973" t="s">
        <v>5679</v>
      </c>
      <c r="B973" t="s">
        <v>5680</v>
      </c>
      <c r="C973" t="s">
        <v>6953</v>
      </c>
      <c r="D973">
        <v>608</v>
      </c>
      <c r="E973">
        <v>700</v>
      </c>
      <c r="F973">
        <v>2.9999999999999997E-4</v>
      </c>
      <c r="G973">
        <v>-1</v>
      </c>
      <c r="H973" t="s">
        <v>6855</v>
      </c>
      <c r="I973">
        <f>VLOOKUP(Table9[[#This Row],[Shortname]], Comp[], 6, FALSE)</f>
        <v>888</v>
      </c>
      <c r="J973" s="14">
        <f>VLOOKUP(Table9[[#This Row],[Shortname]], Comp[], 7, FALSE)</f>
        <v>79.960000000000008</v>
      </c>
      <c r="K973">
        <f>VLOOKUP(Table9[[#This Row],[Shortname]], Comp[], 8, FALSE)</f>
        <v>0</v>
      </c>
      <c r="L973">
        <f>VLOOKUP(Table9[[#This Row],[Shortname]], Comp[], 9, FALSE)</f>
        <v>9</v>
      </c>
      <c r="M973">
        <f>VLOOKUP(Table9[[#This Row],[Shortname]], Comp[], 10, FALSE)</f>
        <v>0</v>
      </c>
      <c r="N973">
        <f>VLOOKUP(Table9[[#This Row],[Shortname]], Comp[], 11, FALSE)</f>
        <v>9</v>
      </c>
      <c r="O973">
        <f>VLOOKUP(Table9[[#This Row],[Shortname]], Comp[],12, FALSE)</f>
        <v>0</v>
      </c>
      <c r="P973">
        <f>VLOOKUP(Table9[[#This Row],[Shortname]], Comp[], 13, FALSE)</f>
        <v>2</v>
      </c>
      <c r="Q973">
        <f>VLOOKUP(Table9[[#This Row],[Shortname]], Comp[], 14, FALSE)</f>
        <v>0</v>
      </c>
      <c r="R973">
        <f>VLOOKUP(Table9[[#This Row],[Shortname]], Comp[], 15, FALSE)</f>
        <v>0</v>
      </c>
      <c r="S973">
        <f>VLOOKUP(Table9[[#This Row],[Shortname]], Comp[], 16, FALSE)</f>
        <v>0</v>
      </c>
      <c r="T973">
        <f>VLOOKUP(Table9[[#This Row],[Shortname]], Comp[], 17, FALSE)</f>
        <v>0</v>
      </c>
      <c r="U973">
        <f>VLOOKUP(Table9[[#This Row],[Shortname]], Comp[], 18, FALSE)</f>
        <v>0</v>
      </c>
      <c r="V973">
        <f>VLOOKUP(Table9[[#This Row],[Shortname]], Comp[], 19, FALSE)</f>
        <v>0.02</v>
      </c>
      <c r="W973">
        <f>VLOOKUP(Table9[[#This Row],[Shortname]], Comp[], 20, FALSE)</f>
        <v>0</v>
      </c>
      <c r="X973">
        <f>VLOOKUP(Table9[[#This Row],[Shortname]], Comp[], 21, FALSE)</f>
        <v>0</v>
      </c>
      <c r="Y973">
        <f>VLOOKUP(Table9[[#This Row],[Shortname]], Comp[], 22, FALSE)</f>
        <v>0</v>
      </c>
      <c r="Z973">
        <f>VLOOKUP(Table9[[#This Row],[Shortname]], Comp[], 23, FALSE)</f>
        <v>0</v>
      </c>
      <c r="AA973">
        <f>VLOOKUP(Table9[[#This Row],[Shortname]], Comp[], 24, FALSE)</f>
        <v>0</v>
      </c>
      <c r="AB973">
        <f>VLOOKUP(Table9[[#This Row],[Shortname]], Comp[], 25, FALSE)</f>
        <v>0</v>
      </c>
      <c r="AC973">
        <f>VLOOKUP(Table9[[#This Row],[Shortname]], Comp[], 26, FALSE)</f>
        <v>0</v>
      </c>
      <c r="AD973">
        <f>VLOOKUP(Table9[[#This Row],[Shortname]], Comp[], 27, FALSE)</f>
        <v>0</v>
      </c>
      <c r="AE973">
        <f>VLOOKUP(Table9[[#This Row],[Shortname]], Comp[], 28, FALSE)</f>
        <v>0</v>
      </c>
      <c r="AF973">
        <f>VLOOKUP(Table9[[#This Row],[Shortname]], Comp[], 29, FALSE)</f>
        <v>0</v>
      </c>
      <c r="AG973">
        <f>VLOOKUP(Table9[[#This Row],[Shortname]], Comp[], 30, FALSE)</f>
        <v>0.02</v>
      </c>
      <c r="AH973">
        <f>VLOOKUP(Table9[[#This Row],[Shortname]], Comp[], 31, FALSE)</f>
        <v>0</v>
      </c>
    </row>
    <row r="974" spans="1:34" x14ac:dyDescent="0.3">
      <c r="A974" t="s">
        <v>5679</v>
      </c>
      <c r="B974" t="s">
        <v>5680</v>
      </c>
      <c r="C974" t="s">
        <v>6954</v>
      </c>
      <c r="D974">
        <v>622</v>
      </c>
      <c r="E974">
        <v>800</v>
      </c>
      <c r="F974">
        <v>2.9999999999999997E-4</v>
      </c>
      <c r="G974">
        <v>-1</v>
      </c>
      <c r="H974" t="s">
        <v>6855</v>
      </c>
      <c r="I974">
        <f>VLOOKUP(Table9[[#This Row],[Shortname]], Comp[], 6, FALSE)</f>
        <v>888</v>
      </c>
      <c r="J974" s="14">
        <f>VLOOKUP(Table9[[#This Row],[Shortname]], Comp[], 7, FALSE)</f>
        <v>79.960000000000008</v>
      </c>
      <c r="K974">
        <f>VLOOKUP(Table9[[#This Row],[Shortname]], Comp[], 8, FALSE)</f>
        <v>0</v>
      </c>
      <c r="L974">
        <f>VLOOKUP(Table9[[#This Row],[Shortname]], Comp[], 9, FALSE)</f>
        <v>9</v>
      </c>
      <c r="M974">
        <f>VLOOKUP(Table9[[#This Row],[Shortname]], Comp[], 10, FALSE)</f>
        <v>0</v>
      </c>
      <c r="N974">
        <f>VLOOKUP(Table9[[#This Row],[Shortname]], Comp[], 11, FALSE)</f>
        <v>9</v>
      </c>
      <c r="O974">
        <f>VLOOKUP(Table9[[#This Row],[Shortname]], Comp[],12, FALSE)</f>
        <v>0</v>
      </c>
      <c r="P974">
        <f>VLOOKUP(Table9[[#This Row],[Shortname]], Comp[], 13, FALSE)</f>
        <v>2</v>
      </c>
      <c r="Q974">
        <f>VLOOKUP(Table9[[#This Row],[Shortname]], Comp[], 14, FALSE)</f>
        <v>0</v>
      </c>
      <c r="R974">
        <f>VLOOKUP(Table9[[#This Row],[Shortname]], Comp[], 15, FALSE)</f>
        <v>0</v>
      </c>
      <c r="S974">
        <f>VLOOKUP(Table9[[#This Row],[Shortname]], Comp[], 16, FALSE)</f>
        <v>0</v>
      </c>
      <c r="T974">
        <f>VLOOKUP(Table9[[#This Row],[Shortname]], Comp[], 17, FALSE)</f>
        <v>0</v>
      </c>
      <c r="U974">
        <f>VLOOKUP(Table9[[#This Row],[Shortname]], Comp[], 18, FALSE)</f>
        <v>0</v>
      </c>
      <c r="V974">
        <f>VLOOKUP(Table9[[#This Row],[Shortname]], Comp[], 19, FALSE)</f>
        <v>0.02</v>
      </c>
      <c r="W974">
        <f>VLOOKUP(Table9[[#This Row],[Shortname]], Comp[], 20, FALSE)</f>
        <v>0</v>
      </c>
      <c r="X974">
        <f>VLOOKUP(Table9[[#This Row],[Shortname]], Comp[], 21, FALSE)</f>
        <v>0</v>
      </c>
      <c r="Y974">
        <f>VLOOKUP(Table9[[#This Row],[Shortname]], Comp[], 22, FALSE)</f>
        <v>0</v>
      </c>
      <c r="Z974">
        <f>VLOOKUP(Table9[[#This Row],[Shortname]], Comp[], 23, FALSE)</f>
        <v>0</v>
      </c>
      <c r="AA974">
        <f>VLOOKUP(Table9[[#This Row],[Shortname]], Comp[], 24, FALSE)</f>
        <v>0</v>
      </c>
      <c r="AB974">
        <f>VLOOKUP(Table9[[#This Row],[Shortname]], Comp[], 25, FALSE)</f>
        <v>0</v>
      </c>
      <c r="AC974">
        <f>VLOOKUP(Table9[[#This Row],[Shortname]], Comp[], 26, FALSE)</f>
        <v>0</v>
      </c>
      <c r="AD974">
        <f>VLOOKUP(Table9[[#This Row],[Shortname]], Comp[], 27, FALSE)</f>
        <v>0</v>
      </c>
      <c r="AE974">
        <f>VLOOKUP(Table9[[#This Row],[Shortname]], Comp[], 28, FALSE)</f>
        <v>0</v>
      </c>
      <c r="AF974">
        <f>VLOOKUP(Table9[[#This Row],[Shortname]], Comp[], 29, FALSE)</f>
        <v>0</v>
      </c>
      <c r="AG974">
        <f>VLOOKUP(Table9[[#This Row],[Shortname]], Comp[], 30, FALSE)</f>
        <v>0.02</v>
      </c>
      <c r="AH974">
        <f>VLOOKUP(Table9[[#This Row],[Shortname]], Comp[], 31, FALSE)</f>
        <v>0</v>
      </c>
    </row>
    <row r="975" spans="1:34" x14ac:dyDescent="0.3">
      <c r="A975" t="s">
        <v>5679</v>
      </c>
      <c r="B975" t="s">
        <v>5680</v>
      </c>
      <c r="C975" t="s">
        <v>6955</v>
      </c>
      <c r="D975">
        <v>602</v>
      </c>
      <c r="E975">
        <v>900</v>
      </c>
      <c r="F975">
        <v>2.9999999999999997E-4</v>
      </c>
      <c r="G975">
        <v>-1</v>
      </c>
      <c r="H975" t="s">
        <v>6855</v>
      </c>
      <c r="I975">
        <f>VLOOKUP(Table9[[#This Row],[Shortname]], Comp[], 6, FALSE)</f>
        <v>888</v>
      </c>
      <c r="J975" s="14">
        <f>VLOOKUP(Table9[[#This Row],[Shortname]], Comp[], 7, FALSE)</f>
        <v>79.960000000000008</v>
      </c>
      <c r="K975">
        <f>VLOOKUP(Table9[[#This Row],[Shortname]], Comp[], 8, FALSE)</f>
        <v>0</v>
      </c>
      <c r="L975">
        <f>VLOOKUP(Table9[[#This Row],[Shortname]], Comp[], 9, FALSE)</f>
        <v>9</v>
      </c>
      <c r="M975">
        <f>VLOOKUP(Table9[[#This Row],[Shortname]], Comp[], 10, FALSE)</f>
        <v>0</v>
      </c>
      <c r="N975">
        <f>VLOOKUP(Table9[[#This Row],[Shortname]], Comp[], 11, FALSE)</f>
        <v>9</v>
      </c>
      <c r="O975">
        <f>VLOOKUP(Table9[[#This Row],[Shortname]], Comp[],12, FALSE)</f>
        <v>0</v>
      </c>
      <c r="P975">
        <f>VLOOKUP(Table9[[#This Row],[Shortname]], Comp[], 13, FALSE)</f>
        <v>2</v>
      </c>
      <c r="Q975">
        <f>VLOOKUP(Table9[[#This Row],[Shortname]], Comp[], 14, FALSE)</f>
        <v>0</v>
      </c>
      <c r="R975">
        <f>VLOOKUP(Table9[[#This Row],[Shortname]], Comp[], 15, FALSE)</f>
        <v>0</v>
      </c>
      <c r="S975">
        <f>VLOOKUP(Table9[[#This Row],[Shortname]], Comp[], 16, FALSE)</f>
        <v>0</v>
      </c>
      <c r="T975">
        <f>VLOOKUP(Table9[[#This Row],[Shortname]], Comp[], 17, FALSE)</f>
        <v>0</v>
      </c>
      <c r="U975">
        <f>VLOOKUP(Table9[[#This Row],[Shortname]], Comp[], 18, FALSE)</f>
        <v>0</v>
      </c>
      <c r="V975">
        <f>VLOOKUP(Table9[[#This Row],[Shortname]], Comp[], 19, FALSE)</f>
        <v>0.02</v>
      </c>
      <c r="W975">
        <f>VLOOKUP(Table9[[#This Row],[Shortname]], Comp[], 20, FALSE)</f>
        <v>0</v>
      </c>
      <c r="X975">
        <f>VLOOKUP(Table9[[#This Row],[Shortname]], Comp[], 21, FALSE)</f>
        <v>0</v>
      </c>
      <c r="Y975">
        <f>VLOOKUP(Table9[[#This Row],[Shortname]], Comp[], 22, FALSE)</f>
        <v>0</v>
      </c>
      <c r="Z975">
        <f>VLOOKUP(Table9[[#This Row],[Shortname]], Comp[], 23, FALSE)</f>
        <v>0</v>
      </c>
      <c r="AA975">
        <f>VLOOKUP(Table9[[#This Row],[Shortname]], Comp[], 24, FALSE)</f>
        <v>0</v>
      </c>
      <c r="AB975">
        <f>VLOOKUP(Table9[[#This Row],[Shortname]], Comp[], 25, FALSE)</f>
        <v>0</v>
      </c>
      <c r="AC975">
        <f>VLOOKUP(Table9[[#This Row],[Shortname]], Comp[], 26, FALSE)</f>
        <v>0</v>
      </c>
      <c r="AD975">
        <f>VLOOKUP(Table9[[#This Row],[Shortname]], Comp[], 27, FALSE)</f>
        <v>0</v>
      </c>
      <c r="AE975">
        <f>VLOOKUP(Table9[[#This Row],[Shortname]], Comp[], 28, FALSE)</f>
        <v>0</v>
      </c>
      <c r="AF975">
        <f>VLOOKUP(Table9[[#This Row],[Shortname]], Comp[], 29, FALSE)</f>
        <v>0</v>
      </c>
      <c r="AG975">
        <f>VLOOKUP(Table9[[#This Row],[Shortname]], Comp[], 30, FALSE)</f>
        <v>0.02</v>
      </c>
      <c r="AH975">
        <f>VLOOKUP(Table9[[#This Row],[Shortname]], Comp[], 31, FALSE)</f>
        <v>0</v>
      </c>
    </row>
    <row r="976" spans="1:34" x14ac:dyDescent="0.3">
      <c r="A976" t="s">
        <v>5679</v>
      </c>
      <c r="B976" t="s">
        <v>5684</v>
      </c>
      <c r="C976" t="s">
        <v>6956</v>
      </c>
      <c r="D976">
        <v>746</v>
      </c>
      <c r="E976">
        <v>25</v>
      </c>
      <c r="F976">
        <v>2.9999999999999997E-4</v>
      </c>
      <c r="G976">
        <v>-1</v>
      </c>
      <c r="H976" t="s">
        <v>6855</v>
      </c>
      <c r="I976">
        <f>VLOOKUP(Table9[[#This Row],[Shortname]], Comp[], 6, FALSE)</f>
        <v>888</v>
      </c>
      <c r="J976" s="14">
        <f>VLOOKUP(Table9[[#This Row],[Shortname]], Comp[], 7, FALSE)</f>
        <v>79.960000000000008</v>
      </c>
      <c r="K976">
        <f>VLOOKUP(Table9[[#This Row],[Shortname]], Comp[], 8, FALSE)</f>
        <v>0</v>
      </c>
      <c r="L976">
        <f>VLOOKUP(Table9[[#This Row],[Shortname]], Comp[], 9, FALSE)</f>
        <v>9</v>
      </c>
      <c r="M976">
        <f>VLOOKUP(Table9[[#This Row],[Shortname]], Comp[], 10, FALSE)</f>
        <v>0</v>
      </c>
      <c r="N976">
        <f>VLOOKUP(Table9[[#This Row],[Shortname]], Comp[], 11, FALSE)</f>
        <v>9</v>
      </c>
      <c r="O976">
        <f>VLOOKUP(Table9[[#This Row],[Shortname]], Comp[],12, FALSE)</f>
        <v>0</v>
      </c>
      <c r="P976">
        <f>VLOOKUP(Table9[[#This Row],[Shortname]], Comp[], 13, FALSE)</f>
        <v>2</v>
      </c>
      <c r="Q976">
        <f>VLOOKUP(Table9[[#This Row],[Shortname]], Comp[], 14, FALSE)</f>
        <v>0</v>
      </c>
      <c r="R976">
        <f>VLOOKUP(Table9[[#This Row],[Shortname]], Comp[], 15, FALSE)</f>
        <v>0</v>
      </c>
      <c r="S976">
        <f>VLOOKUP(Table9[[#This Row],[Shortname]], Comp[], 16, FALSE)</f>
        <v>0</v>
      </c>
      <c r="T976">
        <f>VLOOKUP(Table9[[#This Row],[Shortname]], Comp[], 17, FALSE)</f>
        <v>0</v>
      </c>
      <c r="U976">
        <f>VLOOKUP(Table9[[#This Row],[Shortname]], Comp[], 18, FALSE)</f>
        <v>0</v>
      </c>
      <c r="V976">
        <f>VLOOKUP(Table9[[#This Row],[Shortname]], Comp[], 19, FALSE)</f>
        <v>0.02</v>
      </c>
      <c r="W976">
        <f>VLOOKUP(Table9[[#This Row],[Shortname]], Comp[], 20, FALSE)</f>
        <v>0</v>
      </c>
      <c r="X976">
        <f>VLOOKUP(Table9[[#This Row],[Shortname]], Comp[], 21, FALSE)</f>
        <v>0</v>
      </c>
      <c r="Y976">
        <f>VLOOKUP(Table9[[#This Row],[Shortname]], Comp[], 22, FALSE)</f>
        <v>0</v>
      </c>
      <c r="Z976">
        <f>VLOOKUP(Table9[[#This Row],[Shortname]], Comp[], 23, FALSE)</f>
        <v>0</v>
      </c>
      <c r="AA976">
        <f>VLOOKUP(Table9[[#This Row],[Shortname]], Comp[], 24, FALSE)</f>
        <v>0</v>
      </c>
      <c r="AB976">
        <f>VLOOKUP(Table9[[#This Row],[Shortname]], Comp[], 25, FALSE)</f>
        <v>0</v>
      </c>
      <c r="AC976">
        <f>VLOOKUP(Table9[[#This Row],[Shortname]], Comp[], 26, FALSE)</f>
        <v>0</v>
      </c>
      <c r="AD976">
        <f>VLOOKUP(Table9[[#This Row],[Shortname]], Comp[], 27, FALSE)</f>
        <v>0</v>
      </c>
      <c r="AE976">
        <f>VLOOKUP(Table9[[#This Row],[Shortname]], Comp[], 28, FALSE)</f>
        <v>0</v>
      </c>
      <c r="AF976">
        <f>VLOOKUP(Table9[[#This Row],[Shortname]], Comp[], 29, FALSE)</f>
        <v>0</v>
      </c>
      <c r="AG976">
        <f>VLOOKUP(Table9[[#This Row],[Shortname]], Comp[], 30, FALSE)</f>
        <v>0.02</v>
      </c>
      <c r="AH976">
        <f>VLOOKUP(Table9[[#This Row],[Shortname]], Comp[], 31, FALSE)</f>
        <v>0</v>
      </c>
    </row>
    <row r="977" spans="1:34" x14ac:dyDescent="0.3">
      <c r="A977" t="s">
        <v>5679</v>
      </c>
      <c r="B977" t="s">
        <v>5684</v>
      </c>
      <c r="C977" t="s">
        <v>6957</v>
      </c>
      <c r="D977">
        <v>602</v>
      </c>
      <c r="E977">
        <v>600</v>
      </c>
      <c r="F977">
        <v>2.9999999999999997E-4</v>
      </c>
      <c r="G977">
        <v>-1</v>
      </c>
      <c r="H977" t="s">
        <v>6855</v>
      </c>
      <c r="I977">
        <f>VLOOKUP(Table9[[#This Row],[Shortname]], Comp[], 6, FALSE)</f>
        <v>888</v>
      </c>
      <c r="J977" s="14">
        <f>VLOOKUP(Table9[[#This Row],[Shortname]], Comp[], 7, FALSE)</f>
        <v>79.960000000000008</v>
      </c>
      <c r="K977">
        <f>VLOOKUP(Table9[[#This Row],[Shortname]], Comp[], 8, FALSE)</f>
        <v>0</v>
      </c>
      <c r="L977">
        <f>VLOOKUP(Table9[[#This Row],[Shortname]], Comp[], 9, FALSE)</f>
        <v>9</v>
      </c>
      <c r="M977">
        <f>VLOOKUP(Table9[[#This Row],[Shortname]], Comp[], 10, FALSE)</f>
        <v>0</v>
      </c>
      <c r="N977">
        <f>VLOOKUP(Table9[[#This Row],[Shortname]], Comp[], 11, FALSE)</f>
        <v>9</v>
      </c>
      <c r="O977">
        <f>VLOOKUP(Table9[[#This Row],[Shortname]], Comp[],12, FALSE)</f>
        <v>0</v>
      </c>
      <c r="P977">
        <f>VLOOKUP(Table9[[#This Row],[Shortname]], Comp[], 13, FALSE)</f>
        <v>2</v>
      </c>
      <c r="Q977">
        <f>VLOOKUP(Table9[[#This Row],[Shortname]], Comp[], 14, FALSE)</f>
        <v>0</v>
      </c>
      <c r="R977">
        <f>VLOOKUP(Table9[[#This Row],[Shortname]], Comp[], 15, FALSE)</f>
        <v>0</v>
      </c>
      <c r="S977">
        <f>VLOOKUP(Table9[[#This Row],[Shortname]], Comp[], 16, FALSE)</f>
        <v>0</v>
      </c>
      <c r="T977">
        <f>VLOOKUP(Table9[[#This Row],[Shortname]], Comp[], 17, FALSE)</f>
        <v>0</v>
      </c>
      <c r="U977">
        <f>VLOOKUP(Table9[[#This Row],[Shortname]], Comp[], 18, FALSE)</f>
        <v>0</v>
      </c>
      <c r="V977">
        <f>VLOOKUP(Table9[[#This Row],[Shortname]], Comp[], 19, FALSE)</f>
        <v>0.02</v>
      </c>
      <c r="W977">
        <f>VLOOKUP(Table9[[#This Row],[Shortname]], Comp[], 20, FALSE)</f>
        <v>0</v>
      </c>
      <c r="X977">
        <f>VLOOKUP(Table9[[#This Row],[Shortname]], Comp[], 21, FALSE)</f>
        <v>0</v>
      </c>
      <c r="Y977">
        <f>VLOOKUP(Table9[[#This Row],[Shortname]], Comp[], 22, FALSE)</f>
        <v>0</v>
      </c>
      <c r="Z977">
        <f>VLOOKUP(Table9[[#This Row],[Shortname]], Comp[], 23, FALSE)</f>
        <v>0</v>
      </c>
      <c r="AA977">
        <f>VLOOKUP(Table9[[#This Row],[Shortname]], Comp[], 24, FALSE)</f>
        <v>0</v>
      </c>
      <c r="AB977">
        <f>VLOOKUP(Table9[[#This Row],[Shortname]], Comp[], 25, FALSE)</f>
        <v>0</v>
      </c>
      <c r="AC977">
        <f>VLOOKUP(Table9[[#This Row],[Shortname]], Comp[], 26, FALSE)</f>
        <v>0</v>
      </c>
      <c r="AD977">
        <f>VLOOKUP(Table9[[#This Row],[Shortname]], Comp[], 27, FALSE)</f>
        <v>0</v>
      </c>
      <c r="AE977">
        <f>VLOOKUP(Table9[[#This Row],[Shortname]], Comp[], 28, FALSE)</f>
        <v>0</v>
      </c>
      <c r="AF977">
        <f>VLOOKUP(Table9[[#This Row],[Shortname]], Comp[], 29, FALSE)</f>
        <v>0</v>
      </c>
      <c r="AG977">
        <f>VLOOKUP(Table9[[#This Row],[Shortname]], Comp[], 30, FALSE)</f>
        <v>0.02</v>
      </c>
      <c r="AH977">
        <f>VLOOKUP(Table9[[#This Row],[Shortname]], Comp[], 31, FALSE)</f>
        <v>0</v>
      </c>
    </row>
    <row r="978" spans="1:34" x14ac:dyDescent="0.3">
      <c r="A978" t="s">
        <v>5679</v>
      </c>
      <c r="B978" t="s">
        <v>5684</v>
      </c>
      <c r="C978" t="s">
        <v>6958</v>
      </c>
      <c r="D978">
        <v>610</v>
      </c>
      <c r="E978">
        <v>700</v>
      </c>
      <c r="F978">
        <v>2.9999999999999997E-4</v>
      </c>
      <c r="G978">
        <v>-1</v>
      </c>
      <c r="H978" t="s">
        <v>6855</v>
      </c>
      <c r="I978">
        <f>VLOOKUP(Table9[[#This Row],[Shortname]], Comp[], 6, FALSE)</f>
        <v>888</v>
      </c>
      <c r="J978" s="14">
        <f>VLOOKUP(Table9[[#This Row],[Shortname]], Comp[], 7, FALSE)</f>
        <v>79.960000000000008</v>
      </c>
      <c r="K978">
        <f>VLOOKUP(Table9[[#This Row],[Shortname]], Comp[], 8, FALSE)</f>
        <v>0</v>
      </c>
      <c r="L978">
        <f>VLOOKUP(Table9[[#This Row],[Shortname]], Comp[], 9, FALSE)</f>
        <v>9</v>
      </c>
      <c r="M978">
        <f>VLOOKUP(Table9[[#This Row],[Shortname]], Comp[], 10, FALSE)</f>
        <v>0</v>
      </c>
      <c r="N978">
        <f>VLOOKUP(Table9[[#This Row],[Shortname]], Comp[], 11, FALSE)</f>
        <v>9</v>
      </c>
      <c r="O978">
        <f>VLOOKUP(Table9[[#This Row],[Shortname]], Comp[],12, FALSE)</f>
        <v>0</v>
      </c>
      <c r="P978">
        <f>VLOOKUP(Table9[[#This Row],[Shortname]], Comp[], 13, FALSE)</f>
        <v>2</v>
      </c>
      <c r="Q978">
        <f>VLOOKUP(Table9[[#This Row],[Shortname]], Comp[], 14, FALSE)</f>
        <v>0</v>
      </c>
      <c r="R978">
        <f>VLOOKUP(Table9[[#This Row],[Shortname]], Comp[], 15, FALSE)</f>
        <v>0</v>
      </c>
      <c r="S978">
        <f>VLOOKUP(Table9[[#This Row],[Shortname]], Comp[], 16, FALSE)</f>
        <v>0</v>
      </c>
      <c r="T978">
        <f>VLOOKUP(Table9[[#This Row],[Shortname]], Comp[], 17, FALSE)</f>
        <v>0</v>
      </c>
      <c r="U978">
        <f>VLOOKUP(Table9[[#This Row],[Shortname]], Comp[], 18, FALSE)</f>
        <v>0</v>
      </c>
      <c r="V978">
        <f>VLOOKUP(Table9[[#This Row],[Shortname]], Comp[], 19, FALSE)</f>
        <v>0.02</v>
      </c>
      <c r="W978">
        <f>VLOOKUP(Table9[[#This Row],[Shortname]], Comp[], 20, FALSE)</f>
        <v>0</v>
      </c>
      <c r="X978">
        <f>VLOOKUP(Table9[[#This Row],[Shortname]], Comp[], 21, FALSE)</f>
        <v>0</v>
      </c>
      <c r="Y978">
        <f>VLOOKUP(Table9[[#This Row],[Shortname]], Comp[], 22, FALSE)</f>
        <v>0</v>
      </c>
      <c r="Z978">
        <f>VLOOKUP(Table9[[#This Row],[Shortname]], Comp[], 23, FALSE)</f>
        <v>0</v>
      </c>
      <c r="AA978">
        <f>VLOOKUP(Table9[[#This Row],[Shortname]], Comp[], 24, FALSE)</f>
        <v>0</v>
      </c>
      <c r="AB978">
        <f>VLOOKUP(Table9[[#This Row],[Shortname]], Comp[], 25, FALSE)</f>
        <v>0</v>
      </c>
      <c r="AC978">
        <f>VLOOKUP(Table9[[#This Row],[Shortname]], Comp[], 26, FALSE)</f>
        <v>0</v>
      </c>
      <c r="AD978">
        <f>VLOOKUP(Table9[[#This Row],[Shortname]], Comp[], 27, FALSE)</f>
        <v>0</v>
      </c>
      <c r="AE978">
        <f>VLOOKUP(Table9[[#This Row],[Shortname]], Comp[], 28, FALSE)</f>
        <v>0</v>
      </c>
      <c r="AF978">
        <f>VLOOKUP(Table9[[#This Row],[Shortname]], Comp[], 29, FALSE)</f>
        <v>0</v>
      </c>
      <c r="AG978">
        <f>VLOOKUP(Table9[[#This Row],[Shortname]], Comp[], 30, FALSE)</f>
        <v>0.02</v>
      </c>
      <c r="AH978">
        <f>VLOOKUP(Table9[[#This Row],[Shortname]], Comp[], 31, FALSE)</f>
        <v>0</v>
      </c>
    </row>
    <row r="979" spans="1:34" x14ac:dyDescent="0.3">
      <c r="A979" t="s">
        <v>5679</v>
      </c>
      <c r="B979" t="s">
        <v>5684</v>
      </c>
      <c r="C979" t="s">
        <v>6959</v>
      </c>
      <c r="D979">
        <v>541</v>
      </c>
      <c r="E979">
        <v>800</v>
      </c>
      <c r="F979">
        <v>2.9999999999999997E-4</v>
      </c>
      <c r="G979">
        <v>-1</v>
      </c>
      <c r="H979" t="s">
        <v>6855</v>
      </c>
      <c r="I979">
        <f>VLOOKUP(Table9[[#This Row],[Shortname]], Comp[], 6, FALSE)</f>
        <v>888</v>
      </c>
      <c r="J979" s="14">
        <f>VLOOKUP(Table9[[#This Row],[Shortname]], Comp[], 7, FALSE)</f>
        <v>79.960000000000008</v>
      </c>
      <c r="K979">
        <f>VLOOKUP(Table9[[#This Row],[Shortname]], Comp[], 8, FALSE)</f>
        <v>0</v>
      </c>
      <c r="L979">
        <f>VLOOKUP(Table9[[#This Row],[Shortname]], Comp[], 9, FALSE)</f>
        <v>9</v>
      </c>
      <c r="M979">
        <f>VLOOKUP(Table9[[#This Row],[Shortname]], Comp[], 10, FALSE)</f>
        <v>0</v>
      </c>
      <c r="N979">
        <f>VLOOKUP(Table9[[#This Row],[Shortname]], Comp[], 11, FALSE)</f>
        <v>9</v>
      </c>
      <c r="O979">
        <f>VLOOKUP(Table9[[#This Row],[Shortname]], Comp[],12, FALSE)</f>
        <v>0</v>
      </c>
      <c r="P979">
        <f>VLOOKUP(Table9[[#This Row],[Shortname]], Comp[], 13, FALSE)</f>
        <v>2</v>
      </c>
      <c r="Q979">
        <f>VLOOKUP(Table9[[#This Row],[Shortname]], Comp[], 14, FALSE)</f>
        <v>0</v>
      </c>
      <c r="R979">
        <f>VLOOKUP(Table9[[#This Row],[Shortname]], Comp[], 15, FALSE)</f>
        <v>0</v>
      </c>
      <c r="S979">
        <f>VLOOKUP(Table9[[#This Row],[Shortname]], Comp[], 16, FALSE)</f>
        <v>0</v>
      </c>
      <c r="T979">
        <f>VLOOKUP(Table9[[#This Row],[Shortname]], Comp[], 17, FALSE)</f>
        <v>0</v>
      </c>
      <c r="U979">
        <f>VLOOKUP(Table9[[#This Row],[Shortname]], Comp[], 18, FALSE)</f>
        <v>0</v>
      </c>
      <c r="V979">
        <f>VLOOKUP(Table9[[#This Row],[Shortname]], Comp[], 19, FALSE)</f>
        <v>0.02</v>
      </c>
      <c r="W979">
        <f>VLOOKUP(Table9[[#This Row],[Shortname]], Comp[], 20, FALSE)</f>
        <v>0</v>
      </c>
      <c r="X979">
        <f>VLOOKUP(Table9[[#This Row],[Shortname]], Comp[], 21, FALSE)</f>
        <v>0</v>
      </c>
      <c r="Y979">
        <f>VLOOKUP(Table9[[#This Row],[Shortname]], Comp[], 22, FALSE)</f>
        <v>0</v>
      </c>
      <c r="Z979">
        <f>VLOOKUP(Table9[[#This Row],[Shortname]], Comp[], 23, FALSE)</f>
        <v>0</v>
      </c>
      <c r="AA979">
        <f>VLOOKUP(Table9[[#This Row],[Shortname]], Comp[], 24, FALSE)</f>
        <v>0</v>
      </c>
      <c r="AB979">
        <f>VLOOKUP(Table9[[#This Row],[Shortname]], Comp[], 25, FALSE)</f>
        <v>0</v>
      </c>
      <c r="AC979">
        <f>VLOOKUP(Table9[[#This Row],[Shortname]], Comp[], 26, FALSE)</f>
        <v>0</v>
      </c>
      <c r="AD979">
        <f>VLOOKUP(Table9[[#This Row],[Shortname]], Comp[], 27, FALSE)</f>
        <v>0</v>
      </c>
      <c r="AE979">
        <f>VLOOKUP(Table9[[#This Row],[Shortname]], Comp[], 28, FALSE)</f>
        <v>0</v>
      </c>
      <c r="AF979">
        <f>VLOOKUP(Table9[[#This Row],[Shortname]], Comp[], 29, FALSE)</f>
        <v>0</v>
      </c>
      <c r="AG979">
        <f>VLOOKUP(Table9[[#This Row],[Shortname]], Comp[], 30, FALSE)</f>
        <v>0.02</v>
      </c>
      <c r="AH979">
        <f>VLOOKUP(Table9[[#This Row],[Shortname]], Comp[], 31, FALSE)</f>
        <v>0</v>
      </c>
    </row>
    <row r="980" spans="1:34" x14ac:dyDescent="0.3">
      <c r="A980" t="s">
        <v>5679</v>
      </c>
      <c r="B980" t="s">
        <v>5684</v>
      </c>
      <c r="C980" t="s">
        <v>6960</v>
      </c>
      <c r="D980">
        <v>500</v>
      </c>
      <c r="E980">
        <v>900</v>
      </c>
      <c r="F980">
        <v>2.9999999999999997E-4</v>
      </c>
      <c r="G980">
        <v>-1</v>
      </c>
      <c r="H980" t="s">
        <v>6855</v>
      </c>
      <c r="I980">
        <f>VLOOKUP(Table9[[#This Row],[Shortname]], Comp[], 6, FALSE)</f>
        <v>888</v>
      </c>
      <c r="J980" s="14">
        <f>VLOOKUP(Table9[[#This Row],[Shortname]], Comp[], 7, FALSE)</f>
        <v>79.960000000000008</v>
      </c>
      <c r="K980">
        <f>VLOOKUP(Table9[[#This Row],[Shortname]], Comp[], 8, FALSE)</f>
        <v>0</v>
      </c>
      <c r="L980">
        <f>VLOOKUP(Table9[[#This Row],[Shortname]], Comp[], 9, FALSE)</f>
        <v>9</v>
      </c>
      <c r="M980">
        <f>VLOOKUP(Table9[[#This Row],[Shortname]], Comp[], 10, FALSE)</f>
        <v>0</v>
      </c>
      <c r="N980">
        <f>VLOOKUP(Table9[[#This Row],[Shortname]], Comp[], 11, FALSE)</f>
        <v>9</v>
      </c>
      <c r="O980">
        <f>VLOOKUP(Table9[[#This Row],[Shortname]], Comp[],12, FALSE)</f>
        <v>0</v>
      </c>
      <c r="P980">
        <f>VLOOKUP(Table9[[#This Row],[Shortname]], Comp[], 13, FALSE)</f>
        <v>2</v>
      </c>
      <c r="Q980">
        <f>VLOOKUP(Table9[[#This Row],[Shortname]], Comp[], 14, FALSE)</f>
        <v>0</v>
      </c>
      <c r="R980">
        <f>VLOOKUP(Table9[[#This Row],[Shortname]], Comp[], 15, FALSE)</f>
        <v>0</v>
      </c>
      <c r="S980">
        <f>VLOOKUP(Table9[[#This Row],[Shortname]], Comp[], 16, FALSE)</f>
        <v>0</v>
      </c>
      <c r="T980">
        <f>VLOOKUP(Table9[[#This Row],[Shortname]], Comp[], 17, FALSE)</f>
        <v>0</v>
      </c>
      <c r="U980">
        <f>VLOOKUP(Table9[[#This Row],[Shortname]], Comp[], 18, FALSE)</f>
        <v>0</v>
      </c>
      <c r="V980">
        <f>VLOOKUP(Table9[[#This Row],[Shortname]], Comp[], 19, FALSE)</f>
        <v>0.02</v>
      </c>
      <c r="W980">
        <f>VLOOKUP(Table9[[#This Row],[Shortname]], Comp[], 20, FALSE)</f>
        <v>0</v>
      </c>
      <c r="X980">
        <f>VLOOKUP(Table9[[#This Row],[Shortname]], Comp[], 21, FALSE)</f>
        <v>0</v>
      </c>
      <c r="Y980">
        <f>VLOOKUP(Table9[[#This Row],[Shortname]], Comp[], 22, FALSE)</f>
        <v>0</v>
      </c>
      <c r="Z980">
        <f>VLOOKUP(Table9[[#This Row],[Shortname]], Comp[], 23, FALSE)</f>
        <v>0</v>
      </c>
      <c r="AA980">
        <f>VLOOKUP(Table9[[#This Row],[Shortname]], Comp[], 24, FALSE)</f>
        <v>0</v>
      </c>
      <c r="AB980">
        <f>VLOOKUP(Table9[[#This Row],[Shortname]], Comp[], 25, FALSE)</f>
        <v>0</v>
      </c>
      <c r="AC980">
        <f>VLOOKUP(Table9[[#This Row],[Shortname]], Comp[], 26, FALSE)</f>
        <v>0</v>
      </c>
      <c r="AD980">
        <f>VLOOKUP(Table9[[#This Row],[Shortname]], Comp[], 27, FALSE)</f>
        <v>0</v>
      </c>
      <c r="AE980">
        <f>VLOOKUP(Table9[[#This Row],[Shortname]], Comp[], 28, FALSE)</f>
        <v>0</v>
      </c>
      <c r="AF980">
        <f>VLOOKUP(Table9[[#This Row],[Shortname]], Comp[], 29, FALSE)</f>
        <v>0</v>
      </c>
      <c r="AG980">
        <f>VLOOKUP(Table9[[#This Row],[Shortname]], Comp[], 30, FALSE)</f>
        <v>0.02</v>
      </c>
      <c r="AH980">
        <f>VLOOKUP(Table9[[#This Row],[Shortname]], Comp[], 31, FALSE)</f>
        <v>0</v>
      </c>
    </row>
    <row r="981" spans="1:34" x14ac:dyDescent="0.3">
      <c r="A981" t="s">
        <v>5687</v>
      </c>
      <c r="B981" t="s">
        <v>5688</v>
      </c>
      <c r="C981" t="s">
        <v>5689</v>
      </c>
      <c r="D981">
        <v>176</v>
      </c>
      <c r="E981">
        <v>1000</v>
      </c>
      <c r="F981">
        <v>2.9999999999999997E-4</v>
      </c>
      <c r="G981">
        <v>1</v>
      </c>
      <c r="H981" t="s">
        <v>6803</v>
      </c>
      <c r="I981">
        <f>VLOOKUP(Table9[[#This Row],[Shortname]], Comp[], 6, FALSE)</f>
        <v>890</v>
      </c>
      <c r="J981" s="14">
        <f>VLOOKUP(Table9[[#This Row],[Shortname]], Comp[], 7, FALSE)</f>
        <v>81</v>
      </c>
      <c r="K981">
        <f>VLOOKUP(Table9[[#This Row],[Shortname]], Comp[], 8, FALSE)</f>
        <v>0</v>
      </c>
      <c r="L981">
        <f>VLOOKUP(Table9[[#This Row],[Shortname]], Comp[], 9, FALSE)</f>
        <v>0</v>
      </c>
      <c r="M981">
        <f>VLOOKUP(Table9[[#This Row],[Shortname]], Comp[], 10, FALSE)</f>
        <v>0</v>
      </c>
      <c r="N981">
        <f>VLOOKUP(Table9[[#This Row],[Shortname]], Comp[], 11, FALSE)</f>
        <v>0</v>
      </c>
      <c r="O981">
        <f>VLOOKUP(Table9[[#This Row],[Shortname]], Comp[],12, FALSE)</f>
        <v>8</v>
      </c>
      <c r="P981">
        <f>VLOOKUP(Table9[[#This Row],[Shortname]], Comp[], 13, FALSE)</f>
        <v>0</v>
      </c>
      <c r="Q981">
        <f>VLOOKUP(Table9[[#This Row],[Shortname]], Comp[], 14, FALSE)</f>
        <v>0</v>
      </c>
      <c r="R981">
        <f>VLOOKUP(Table9[[#This Row],[Shortname]], Comp[], 15, FALSE)</f>
        <v>11</v>
      </c>
      <c r="S981">
        <f>VLOOKUP(Table9[[#This Row],[Shortname]], Comp[], 16, FALSE)</f>
        <v>0</v>
      </c>
      <c r="T981">
        <f>VLOOKUP(Table9[[#This Row],[Shortname]], Comp[], 17, FALSE)</f>
        <v>0</v>
      </c>
      <c r="U981">
        <f>VLOOKUP(Table9[[#This Row],[Shortname]], Comp[], 18, FALSE)</f>
        <v>0</v>
      </c>
      <c r="V981">
        <f>VLOOKUP(Table9[[#This Row],[Shortname]], Comp[], 19, FALSE)</f>
        <v>0</v>
      </c>
      <c r="W981">
        <f>VLOOKUP(Table9[[#This Row],[Shortname]], Comp[], 20, FALSE)</f>
        <v>0</v>
      </c>
      <c r="X981">
        <f>VLOOKUP(Table9[[#This Row],[Shortname]], Comp[], 21, FALSE)</f>
        <v>0</v>
      </c>
      <c r="Y981">
        <f>VLOOKUP(Table9[[#This Row],[Shortname]], Comp[], 22, FALSE)</f>
        <v>0</v>
      </c>
      <c r="Z981">
        <f>VLOOKUP(Table9[[#This Row],[Shortname]], Comp[], 23, FALSE)</f>
        <v>0</v>
      </c>
      <c r="AA981">
        <f>VLOOKUP(Table9[[#This Row],[Shortname]], Comp[], 24, FALSE)</f>
        <v>0</v>
      </c>
      <c r="AB981">
        <f>VLOOKUP(Table9[[#This Row],[Shortname]], Comp[], 25, FALSE)</f>
        <v>0</v>
      </c>
      <c r="AC981">
        <f>VLOOKUP(Table9[[#This Row],[Shortname]], Comp[], 26, FALSE)</f>
        <v>0</v>
      </c>
      <c r="AD981">
        <f>VLOOKUP(Table9[[#This Row],[Shortname]], Comp[], 27, FALSE)</f>
        <v>0</v>
      </c>
      <c r="AE981">
        <f>VLOOKUP(Table9[[#This Row],[Shortname]], Comp[], 28, FALSE)</f>
        <v>0</v>
      </c>
      <c r="AF981">
        <f>VLOOKUP(Table9[[#This Row],[Shortname]], Comp[], 29, FALSE)</f>
        <v>0</v>
      </c>
      <c r="AG981">
        <f>VLOOKUP(Table9[[#This Row],[Shortname]], Comp[], 30, FALSE)</f>
        <v>0</v>
      </c>
      <c r="AH981">
        <f>VLOOKUP(Table9[[#This Row],[Shortname]], Comp[], 31, FALSE)</f>
        <v>0</v>
      </c>
    </row>
    <row r="982" spans="1:34" x14ac:dyDescent="0.3">
      <c r="A982" t="s">
        <v>5692</v>
      </c>
      <c r="B982" t="s">
        <v>5693</v>
      </c>
      <c r="C982" t="s">
        <v>5694</v>
      </c>
      <c r="D982">
        <v>105</v>
      </c>
      <c r="E982">
        <v>1000</v>
      </c>
      <c r="F982">
        <v>2.9999999999999997E-4</v>
      </c>
      <c r="G982">
        <v>1</v>
      </c>
      <c r="H982" t="s">
        <v>6803</v>
      </c>
      <c r="I982">
        <f>VLOOKUP(Table9[[#This Row],[Shortname]], Comp[], 6, FALSE)</f>
        <v>891</v>
      </c>
      <c r="J982" s="14">
        <f>VLOOKUP(Table9[[#This Row],[Shortname]], Comp[], 7, FALSE)</f>
        <v>76</v>
      </c>
      <c r="K982">
        <f>VLOOKUP(Table9[[#This Row],[Shortname]], Comp[], 8, FALSE)</f>
        <v>5</v>
      </c>
      <c r="L982">
        <f>VLOOKUP(Table9[[#This Row],[Shortname]], Comp[], 9, FALSE)</f>
        <v>0</v>
      </c>
      <c r="M982">
        <f>VLOOKUP(Table9[[#This Row],[Shortname]], Comp[], 10, FALSE)</f>
        <v>0</v>
      </c>
      <c r="N982">
        <f>VLOOKUP(Table9[[#This Row],[Shortname]], Comp[], 11, FALSE)</f>
        <v>0</v>
      </c>
      <c r="O982">
        <f>VLOOKUP(Table9[[#This Row],[Shortname]], Comp[],12, FALSE)</f>
        <v>8</v>
      </c>
      <c r="P982">
        <f>VLOOKUP(Table9[[#This Row],[Shortname]], Comp[], 13, FALSE)</f>
        <v>0</v>
      </c>
      <c r="Q982">
        <f>VLOOKUP(Table9[[#This Row],[Shortname]], Comp[], 14, FALSE)</f>
        <v>0</v>
      </c>
      <c r="R982">
        <f>VLOOKUP(Table9[[#This Row],[Shortname]], Comp[], 15, FALSE)</f>
        <v>11</v>
      </c>
      <c r="S982">
        <f>VLOOKUP(Table9[[#This Row],[Shortname]], Comp[], 16, FALSE)</f>
        <v>0</v>
      </c>
      <c r="T982">
        <f>VLOOKUP(Table9[[#This Row],[Shortname]], Comp[], 17, FALSE)</f>
        <v>0</v>
      </c>
      <c r="U982">
        <f>VLOOKUP(Table9[[#This Row],[Shortname]], Comp[], 18, FALSE)</f>
        <v>0</v>
      </c>
      <c r="V982">
        <f>VLOOKUP(Table9[[#This Row],[Shortname]], Comp[], 19, FALSE)</f>
        <v>0</v>
      </c>
      <c r="W982">
        <f>VLOOKUP(Table9[[#This Row],[Shortname]], Comp[], 20, FALSE)</f>
        <v>0</v>
      </c>
      <c r="X982">
        <f>VLOOKUP(Table9[[#This Row],[Shortname]], Comp[], 21, FALSE)</f>
        <v>0</v>
      </c>
      <c r="Y982">
        <f>VLOOKUP(Table9[[#This Row],[Shortname]], Comp[], 22, FALSE)</f>
        <v>0</v>
      </c>
      <c r="Z982">
        <f>VLOOKUP(Table9[[#This Row],[Shortname]], Comp[], 23, FALSE)</f>
        <v>0</v>
      </c>
      <c r="AA982">
        <f>VLOOKUP(Table9[[#This Row],[Shortname]], Comp[], 24, FALSE)</f>
        <v>0</v>
      </c>
      <c r="AB982">
        <f>VLOOKUP(Table9[[#This Row],[Shortname]], Comp[], 25, FALSE)</f>
        <v>0</v>
      </c>
      <c r="AC982">
        <f>VLOOKUP(Table9[[#This Row],[Shortname]], Comp[], 26, FALSE)</f>
        <v>0</v>
      </c>
      <c r="AD982">
        <f>VLOOKUP(Table9[[#This Row],[Shortname]], Comp[], 27, FALSE)</f>
        <v>0</v>
      </c>
      <c r="AE982">
        <f>VLOOKUP(Table9[[#This Row],[Shortname]], Comp[], 28, FALSE)</f>
        <v>0</v>
      </c>
      <c r="AF982">
        <f>VLOOKUP(Table9[[#This Row],[Shortname]], Comp[], 29, FALSE)</f>
        <v>0</v>
      </c>
      <c r="AG982">
        <f>VLOOKUP(Table9[[#This Row],[Shortname]], Comp[], 30, FALSE)</f>
        <v>0</v>
      </c>
      <c r="AH982">
        <f>VLOOKUP(Table9[[#This Row],[Shortname]], Comp[], 31, FALSE)</f>
        <v>0</v>
      </c>
    </row>
    <row r="983" spans="1:34" x14ac:dyDescent="0.3">
      <c r="A983" t="s">
        <v>5697</v>
      </c>
      <c r="B983" t="s">
        <v>5698</v>
      </c>
      <c r="C983" t="s">
        <v>5699</v>
      </c>
      <c r="D983">
        <v>219</v>
      </c>
      <c r="E983">
        <v>1000</v>
      </c>
      <c r="F983">
        <v>2.9999999999999997E-4</v>
      </c>
      <c r="G983">
        <v>1</v>
      </c>
      <c r="H983" t="s">
        <v>6803</v>
      </c>
      <c r="I983">
        <f>VLOOKUP(Table9[[#This Row],[Shortname]], Comp[], 6, FALSE)</f>
        <v>892</v>
      </c>
      <c r="J983" s="14">
        <f>VLOOKUP(Table9[[#This Row],[Shortname]], Comp[], 7, FALSE)</f>
        <v>71</v>
      </c>
      <c r="K983">
        <f>VLOOKUP(Table9[[#This Row],[Shortname]], Comp[], 8, FALSE)</f>
        <v>10</v>
      </c>
      <c r="L983">
        <f>VLOOKUP(Table9[[#This Row],[Shortname]], Comp[], 9, FALSE)</f>
        <v>0</v>
      </c>
      <c r="M983">
        <f>VLOOKUP(Table9[[#This Row],[Shortname]], Comp[], 10, FALSE)</f>
        <v>0</v>
      </c>
      <c r="N983">
        <f>VLOOKUP(Table9[[#This Row],[Shortname]], Comp[], 11, FALSE)</f>
        <v>0</v>
      </c>
      <c r="O983">
        <f>VLOOKUP(Table9[[#This Row],[Shortname]], Comp[],12, FALSE)</f>
        <v>8</v>
      </c>
      <c r="P983">
        <f>VLOOKUP(Table9[[#This Row],[Shortname]], Comp[], 13, FALSE)</f>
        <v>0</v>
      </c>
      <c r="Q983">
        <f>VLOOKUP(Table9[[#This Row],[Shortname]], Comp[], 14, FALSE)</f>
        <v>0</v>
      </c>
      <c r="R983">
        <f>VLOOKUP(Table9[[#This Row],[Shortname]], Comp[], 15, FALSE)</f>
        <v>11</v>
      </c>
      <c r="S983">
        <f>VLOOKUP(Table9[[#This Row],[Shortname]], Comp[], 16, FALSE)</f>
        <v>0</v>
      </c>
      <c r="T983">
        <f>VLOOKUP(Table9[[#This Row],[Shortname]], Comp[], 17, FALSE)</f>
        <v>0</v>
      </c>
      <c r="U983">
        <f>VLOOKUP(Table9[[#This Row],[Shortname]], Comp[], 18, FALSE)</f>
        <v>0</v>
      </c>
      <c r="V983">
        <f>VLOOKUP(Table9[[#This Row],[Shortname]], Comp[], 19, FALSE)</f>
        <v>0</v>
      </c>
      <c r="W983">
        <f>VLOOKUP(Table9[[#This Row],[Shortname]], Comp[], 20, FALSE)</f>
        <v>0</v>
      </c>
      <c r="X983">
        <f>VLOOKUP(Table9[[#This Row],[Shortname]], Comp[], 21, FALSE)</f>
        <v>0</v>
      </c>
      <c r="Y983">
        <f>VLOOKUP(Table9[[#This Row],[Shortname]], Comp[], 22, FALSE)</f>
        <v>0</v>
      </c>
      <c r="Z983">
        <f>VLOOKUP(Table9[[#This Row],[Shortname]], Comp[], 23, FALSE)</f>
        <v>0</v>
      </c>
      <c r="AA983">
        <f>VLOOKUP(Table9[[#This Row],[Shortname]], Comp[], 24, FALSE)</f>
        <v>0</v>
      </c>
      <c r="AB983">
        <f>VLOOKUP(Table9[[#This Row],[Shortname]], Comp[], 25, FALSE)</f>
        <v>0</v>
      </c>
      <c r="AC983">
        <f>VLOOKUP(Table9[[#This Row],[Shortname]], Comp[], 26, FALSE)</f>
        <v>0</v>
      </c>
      <c r="AD983">
        <f>VLOOKUP(Table9[[#This Row],[Shortname]], Comp[], 27, FALSE)</f>
        <v>0</v>
      </c>
      <c r="AE983">
        <f>VLOOKUP(Table9[[#This Row],[Shortname]], Comp[], 28, FALSE)</f>
        <v>0</v>
      </c>
      <c r="AF983">
        <f>VLOOKUP(Table9[[#This Row],[Shortname]], Comp[], 29, FALSE)</f>
        <v>0</v>
      </c>
      <c r="AG983">
        <f>VLOOKUP(Table9[[#This Row],[Shortname]], Comp[], 30, FALSE)</f>
        <v>0</v>
      </c>
      <c r="AH983">
        <f>VLOOKUP(Table9[[#This Row],[Shortname]], Comp[], 31, FALSE)</f>
        <v>0</v>
      </c>
    </row>
    <row r="984" spans="1:34" x14ac:dyDescent="0.3">
      <c r="A984" t="s">
        <v>4232</v>
      </c>
      <c r="B984" t="s">
        <v>4234</v>
      </c>
      <c r="C984" t="s">
        <v>6961</v>
      </c>
      <c r="D984">
        <v>537</v>
      </c>
      <c r="E984">
        <v>25</v>
      </c>
      <c r="F984">
        <v>1E-4</v>
      </c>
      <c r="G984">
        <v>1</v>
      </c>
      <c r="H984" t="s">
        <v>6803</v>
      </c>
      <c r="I984">
        <f>VLOOKUP(Table9[[#This Row],[Shortname]], Comp[], 6, FALSE)</f>
        <v>644</v>
      </c>
      <c r="J984" s="14">
        <f>VLOOKUP(Table9[[#This Row],[Shortname]], Comp[], 7, FALSE)</f>
        <v>74</v>
      </c>
      <c r="K984">
        <f>VLOOKUP(Table9[[#This Row],[Shortname]], Comp[], 8, FALSE)</f>
        <v>0</v>
      </c>
      <c r="L984">
        <f>VLOOKUP(Table9[[#This Row],[Shortname]], Comp[], 9, FALSE)</f>
        <v>0</v>
      </c>
      <c r="M984">
        <f>VLOOKUP(Table9[[#This Row],[Shortname]], Comp[], 10, FALSE)</f>
        <v>15</v>
      </c>
      <c r="N984">
        <f>VLOOKUP(Table9[[#This Row],[Shortname]], Comp[], 11, FALSE)</f>
        <v>0</v>
      </c>
      <c r="O984">
        <f>VLOOKUP(Table9[[#This Row],[Shortname]], Comp[],12, FALSE)</f>
        <v>11</v>
      </c>
      <c r="P984">
        <f>VLOOKUP(Table9[[#This Row],[Shortname]], Comp[], 13, FALSE)</f>
        <v>0</v>
      </c>
      <c r="Q984">
        <f>VLOOKUP(Table9[[#This Row],[Shortname]], Comp[], 14, FALSE)</f>
        <v>0</v>
      </c>
      <c r="R984">
        <f>VLOOKUP(Table9[[#This Row],[Shortname]], Comp[], 15, FALSE)</f>
        <v>0</v>
      </c>
      <c r="S984">
        <f>VLOOKUP(Table9[[#This Row],[Shortname]], Comp[], 16, FALSE)</f>
        <v>0</v>
      </c>
      <c r="T984">
        <f>VLOOKUP(Table9[[#This Row],[Shortname]], Comp[], 17, FALSE)</f>
        <v>0</v>
      </c>
      <c r="U984">
        <f>VLOOKUP(Table9[[#This Row],[Shortname]], Comp[], 18, FALSE)</f>
        <v>0</v>
      </c>
      <c r="V984">
        <f>VLOOKUP(Table9[[#This Row],[Shortname]], Comp[], 19, FALSE)</f>
        <v>0</v>
      </c>
      <c r="W984">
        <f>VLOOKUP(Table9[[#This Row],[Shortname]], Comp[], 20, FALSE)</f>
        <v>0</v>
      </c>
      <c r="X984">
        <f>VLOOKUP(Table9[[#This Row],[Shortname]], Comp[], 21, FALSE)</f>
        <v>0</v>
      </c>
      <c r="Y984">
        <f>VLOOKUP(Table9[[#This Row],[Shortname]], Comp[], 22, FALSE)</f>
        <v>0</v>
      </c>
      <c r="Z984">
        <f>VLOOKUP(Table9[[#This Row],[Shortname]], Comp[], 23, FALSE)</f>
        <v>0</v>
      </c>
      <c r="AA984">
        <f>VLOOKUP(Table9[[#This Row],[Shortname]], Comp[], 24, FALSE)</f>
        <v>0</v>
      </c>
      <c r="AB984">
        <f>VLOOKUP(Table9[[#This Row],[Shortname]], Comp[], 25, FALSE)</f>
        <v>0</v>
      </c>
      <c r="AC984">
        <f>VLOOKUP(Table9[[#This Row],[Shortname]], Comp[], 26, FALSE)</f>
        <v>0</v>
      </c>
      <c r="AD984">
        <f>VLOOKUP(Table9[[#This Row],[Shortname]], Comp[], 27, FALSE)</f>
        <v>0</v>
      </c>
      <c r="AE984">
        <f>VLOOKUP(Table9[[#This Row],[Shortname]], Comp[], 28, FALSE)</f>
        <v>0</v>
      </c>
      <c r="AF984">
        <f>VLOOKUP(Table9[[#This Row],[Shortname]], Comp[], 29, FALSE)</f>
        <v>0</v>
      </c>
      <c r="AG984">
        <f>VLOOKUP(Table9[[#This Row],[Shortname]], Comp[], 30, FALSE)</f>
        <v>0</v>
      </c>
      <c r="AH984">
        <f>VLOOKUP(Table9[[#This Row],[Shortname]], Comp[], 31, FALSE)</f>
        <v>0</v>
      </c>
    </row>
    <row r="985" spans="1:34" x14ac:dyDescent="0.3">
      <c r="A985" t="s">
        <v>4232</v>
      </c>
      <c r="B985" t="s">
        <v>4234</v>
      </c>
      <c r="C985" t="s">
        <v>6962</v>
      </c>
      <c r="D985">
        <v>418</v>
      </c>
      <c r="E985">
        <v>750</v>
      </c>
      <c r="F985">
        <v>1E-4</v>
      </c>
      <c r="G985">
        <v>1</v>
      </c>
      <c r="H985" t="s">
        <v>6803</v>
      </c>
      <c r="I985">
        <f>VLOOKUP(Table9[[#This Row],[Shortname]], Comp[], 6, FALSE)</f>
        <v>644</v>
      </c>
      <c r="J985" s="14">
        <f>VLOOKUP(Table9[[#This Row],[Shortname]], Comp[], 7, FALSE)</f>
        <v>74</v>
      </c>
      <c r="K985">
        <f>VLOOKUP(Table9[[#This Row],[Shortname]], Comp[], 8, FALSE)</f>
        <v>0</v>
      </c>
      <c r="L985">
        <f>VLOOKUP(Table9[[#This Row],[Shortname]], Comp[], 9, FALSE)</f>
        <v>0</v>
      </c>
      <c r="M985">
        <f>VLOOKUP(Table9[[#This Row],[Shortname]], Comp[], 10, FALSE)</f>
        <v>15</v>
      </c>
      <c r="N985">
        <f>VLOOKUP(Table9[[#This Row],[Shortname]], Comp[], 11, FALSE)</f>
        <v>0</v>
      </c>
      <c r="O985">
        <f>VLOOKUP(Table9[[#This Row],[Shortname]], Comp[],12, FALSE)</f>
        <v>11</v>
      </c>
      <c r="P985">
        <f>VLOOKUP(Table9[[#This Row],[Shortname]], Comp[], 13, FALSE)</f>
        <v>0</v>
      </c>
      <c r="Q985">
        <f>VLOOKUP(Table9[[#This Row],[Shortname]], Comp[], 14, FALSE)</f>
        <v>0</v>
      </c>
      <c r="R985">
        <f>VLOOKUP(Table9[[#This Row],[Shortname]], Comp[], 15, FALSE)</f>
        <v>0</v>
      </c>
      <c r="S985">
        <f>VLOOKUP(Table9[[#This Row],[Shortname]], Comp[], 16, FALSE)</f>
        <v>0</v>
      </c>
      <c r="T985">
        <f>VLOOKUP(Table9[[#This Row],[Shortname]], Comp[], 17, FALSE)</f>
        <v>0</v>
      </c>
      <c r="U985">
        <f>VLOOKUP(Table9[[#This Row],[Shortname]], Comp[], 18, FALSE)</f>
        <v>0</v>
      </c>
      <c r="V985">
        <f>VLOOKUP(Table9[[#This Row],[Shortname]], Comp[], 19, FALSE)</f>
        <v>0</v>
      </c>
      <c r="W985">
        <f>VLOOKUP(Table9[[#This Row],[Shortname]], Comp[], 20, FALSE)</f>
        <v>0</v>
      </c>
      <c r="X985">
        <f>VLOOKUP(Table9[[#This Row],[Shortname]], Comp[], 21, FALSE)</f>
        <v>0</v>
      </c>
      <c r="Y985">
        <f>VLOOKUP(Table9[[#This Row],[Shortname]], Comp[], 22, FALSE)</f>
        <v>0</v>
      </c>
      <c r="Z985">
        <f>VLOOKUP(Table9[[#This Row],[Shortname]], Comp[], 23, FALSE)</f>
        <v>0</v>
      </c>
      <c r="AA985">
        <f>VLOOKUP(Table9[[#This Row],[Shortname]], Comp[], 24, FALSE)</f>
        <v>0</v>
      </c>
      <c r="AB985">
        <f>VLOOKUP(Table9[[#This Row],[Shortname]], Comp[], 25, FALSE)</f>
        <v>0</v>
      </c>
      <c r="AC985">
        <f>VLOOKUP(Table9[[#This Row],[Shortname]], Comp[], 26, FALSE)</f>
        <v>0</v>
      </c>
      <c r="AD985">
        <f>VLOOKUP(Table9[[#This Row],[Shortname]], Comp[], 27, FALSE)</f>
        <v>0</v>
      </c>
      <c r="AE985">
        <f>VLOOKUP(Table9[[#This Row],[Shortname]], Comp[], 28, FALSE)</f>
        <v>0</v>
      </c>
      <c r="AF985">
        <f>VLOOKUP(Table9[[#This Row],[Shortname]], Comp[], 29, FALSE)</f>
        <v>0</v>
      </c>
      <c r="AG985">
        <f>VLOOKUP(Table9[[#This Row],[Shortname]], Comp[], 30, FALSE)</f>
        <v>0</v>
      </c>
      <c r="AH985">
        <f>VLOOKUP(Table9[[#This Row],[Shortname]], Comp[], 31, FALSE)</f>
        <v>0</v>
      </c>
    </row>
    <row r="986" spans="1:34" x14ac:dyDescent="0.3">
      <c r="A986" t="s">
        <v>4232</v>
      </c>
      <c r="B986" t="s">
        <v>4234</v>
      </c>
      <c r="C986" t="s">
        <v>6963</v>
      </c>
      <c r="D986">
        <v>388</v>
      </c>
      <c r="E986">
        <v>800</v>
      </c>
      <c r="F986">
        <v>1E-4</v>
      </c>
      <c r="G986">
        <v>1</v>
      </c>
      <c r="H986" t="s">
        <v>6803</v>
      </c>
      <c r="I986">
        <f>VLOOKUP(Table9[[#This Row],[Shortname]], Comp[], 6, FALSE)</f>
        <v>644</v>
      </c>
      <c r="J986" s="14">
        <f>VLOOKUP(Table9[[#This Row],[Shortname]], Comp[], 7, FALSE)</f>
        <v>74</v>
      </c>
      <c r="K986">
        <f>VLOOKUP(Table9[[#This Row],[Shortname]], Comp[], 8, FALSE)</f>
        <v>0</v>
      </c>
      <c r="L986">
        <f>VLOOKUP(Table9[[#This Row],[Shortname]], Comp[], 9, FALSE)</f>
        <v>0</v>
      </c>
      <c r="M986">
        <f>VLOOKUP(Table9[[#This Row],[Shortname]], Comp[], 10, FALSE)</f>
        <v>15</v>
      </c>
      <c r="N986">
        <f>VLOOKUP(Table9[[#This Row],[Shortname]], Comp[], 11, FALSE)</f>
        <v>0</v>
      </c>
      <c r="O986">
        <f>VLOOKUP(Table9[[#This Row],[Shortname]], Comp[],12, FALSE)</f>
        <v>11</v>
      </c>
      <c r="P986">
        <f>VLOOKUP(Table9[[#This Row],[Shortname]], Comp[], 13, FALSE)</f>
        <v>0</v>
      </c>
      <c r="Q986">
        <f>VLOOKUP(Table9[[#This Row],[Shortname]], Comp[], 14, FALSE)</f>
        <v>0</v>
      </c>
      <c r="R986">
        <f>VLOOKUP(Table9[[#This Row],[Shortname]], Comp[], 15, FALSE)</f>
        <v>0</v>
      </c>
      <c r="S986">
        <f>VLOOKUP(Table9[[#This Row],[Shortname]], Comp[], 16, FALSE)</f>
        <v>0</v>
      </c>
      <c r="T986">
        <f>VLOOKUP(Table9[[#This Row],[Shortname]], Comp[], 17, FALSE)</f>
        <v>0</v>
      </c>
      <c r="U986">
        <f>VLOOKUP(Table9[[#This Row],[Shortname]], Comp[], 18, FALSE)</f>
        <v>0</v>
      </c>
      <c r="V986">
        <f>VLOOKUP(Table9[[#This Row],[Shortname]], Comp[], 19, FALSE)</f>
        <v>0</v>
      </c>
      <c r="W986">
        <f>VLOOKUP(Table9[[#This Row],[Shortname]], Comp[], 20, FALSE)</f>
        <v>0</v>
      </c>
      <c r="X986">
        <f>VLOOKUP(Table9[[#This Row],[Shortname]], Comp[], 21, FALSE)</f>
        <v>0</v>
      </c>
      <c r="Y986">
        <f>VLOOKUP(Table9[[#This Row],[Shortname]], Comp[], 22, FALSE)</f>
        <v>0</v>
      </c>
      <c r="Z986">
        <f>VLOOKUP(Table9[[#This Row],[Shortname]], Comp[], 23, FALSE)</f>
        <v>0</v>
      </c>
      <c r="AA986">
        <f>VLOOKUP(Table9[[#This Row],[Shortname]], Comp[], 24, FALSE)</f>
        <v>0</v>
      </c>
      <c r="AB986">
        <f>VLOOKUP(Table9[[#This Row],[Shortname]], Comp[], 25, FALSE)</f>
        <v>0</v>
      </c>
      <c r="AC986">
        <f>VLOOKUP(Table9[[#This Row],[Shortname]], Comp[], 26, FALSE)</f>
        <v>0</v>
      </c>
      <c r="AD986">
        <f>VLOOKUP(Table9[[#This Row],[Shortname]], Comp[], 27, FALSE)</f>
        <v>0</v>
      </c>
      <c r="AE986">
        <f>VLOOKUP(Table9[[#This Row],[Shortname]], Comp[], 28, FALSE)</f>
        <v>0</v>
      </c>
      <c r="AF986">
        <f>VLOOKUP(Table9[[#This Row],[Shortname]], Comp[], 29, FALSE)</f>
        <v>0</v>
      </c>
      <c r="AG986">
        <f>VLOOKUP(Table9[[#This Row],[Shortname]], Comp[], 30, FALSE)</f>
        <v>0</v>
      </c>
      <c r="AH986">
        <f>VLOOKUP(Table9[[#This Row],[Shortname]], Comp[], 31, FALSE)</f>
        <v>0</v>
      </c>
    </row>
    <row r="987" spans="1:34" x14ac:dyDescent="0.3">
      <c r="A987" t="s">
        <v>4232</v>
      </c>
      <c r="B987" t="s">
        <v>4234</v>
      </c>
      <c r="C987" t="s">
        <v>6964</v>
      </c>
      <c r="D987">
        <v>443</v>
      </c>
      <c r="E987">
        <v>850</v>
      </c>
      <c r="F987">
        <v>1E-4</v>
      </c>
      <c r="G987">
        <v>1</v>
      </c>
      <c r="H987" t="s">
        <v>6803</v>
      </c>
      <c r="I987">
        <f>VLOOKUP(Table9[[#This Row],[Shortname]], Comp[], 6, FALSE)</f>
        <v>644</v>
      </c>
      <c r="J987" s="14">
        <f>VLOOKUP(Table9[[#This Row],[Shortname]], Comp[], 7, FALSE)</f>
        <v>74</v>
      </c>
      <c r="K987">
        <f>VLOOKUP(Table9[[#This Row],[Shortname]], Comp[], 8, FALSE)</f>
        <v>0</v>
      </c>
      <c r="L987">
        <f>VLOOKUP(Table9[[#This Row],[Shortname]], Comp[], 9, FALSE)</f>
        <v>0</v>
      </c>
      <c r="M987">
        <f>VLOOKUP(Table9[[#This Row],[Shortname]], Comp[], 10, FALSE)</f>
        <v>15</v>
      </c>
      <c r="N987">
        <f>VLOOKUP(Table9[[#This Row],[Shortname]], Comp[], 11, FALSE)</f>
        <v>0</v>
      </c>
      <c r="O987">
        <f>VLOOKUP(Table9[[#This Row],[Shortname]], Comp[],12, FALSE)</f>
        <v>11</v>
      </c>
      <c r="P987">
        <f>VLOOKUP(Table9[[#This Row],[Shortname]], Comp[], 13, FALSE)</f>
        <v>0</v>
      </c>
      <c r="Q987">
        <f>VLOOKUP(Table9[[#This Row],[Shortname]], Comp[], 14, FALSE)</f>
        <v>0</v>
      </c>
      <c r="R987">
        <f>VLOOKUP(Table9[[#This Row],[Shortname]], Comp[], 15, FALSE)</f>
        <v>0</v>
      </c>
      <c r="S987">
        <f>VLOOKUP(Table9[[#This Row],[Shortname]], Comp[], 16, FALSE)</f>
        <v>0</v>
      </c>
      <c r="T987">
        <f>VLOOKUP(Table9[[#This Row],[Shortname]], Comp[], 17, FALSE)</f>
        <v>0</v>
      </c>
      <c r="U987">
        <f>VLOOKUP(Table9[[#This Row],[Shortname]], Comp[], 18, FALSE)</f>
        <v>0</v>
      </c>
      <c r="V987">
        <f>VLOOKUP(Table9[[#This Row],[Shortname]], Comp[], 19, FALSE)</f>
        <v>0</v>
      </c>
      <c r="W987">
        <f>VLOOKUP(Table9[[#This Row],[Shortname]], Comp[], 20, FALSE)</f>
        <v>0</v>
      </c>
      <c r="X987">
        <f>VLOOKUP(Table9[[#This Row],[Shortname]], Comp[], 21, FALSE)</f>
        <v>0</v>
      </c>
      <c r="Y987">
        <f>VLOOKUP(Table9[[#This Row],[Shortname]], Comp[], 22, FALSE)</f>
        <v>0</v>
      </c>
      <c r="Z987">
        <f>VLOOKUP(Table9[[#This Row],[Shortname]], Comp[], 23, FALSE)</f>
        <v>0</v>
      </c>
      <c r="AA987">
        <f>VLOOKUP(Table9[[#This Row],[Shortname]], Comp[], 24, FALSE)</f>
        <v>0</v>
      </c>
      <c r="AB987">
        <f>VLOOKUP(Table9[[#This Row],[Shortname]], Comp[], 25, FALSE)</f>
        <v>0</v>
      </c>
      <c r="AC987">
        <f>VLOOKUP(Table9[[#This Row],[Shortname]], Comp[], 26, FALSE)</f>
        <v>0</v>
      </c>
      <c r="AD987">
        <f>VLOOKUP(Table9[[#This Row],[Shortname]], Comp[], 27, FALSE)</f>
        <v>0</v>
      </c>
      <c r="AE987">
        <f>VLOOKUP(Table9[[#This Row],[Shortname]], Comp[], 28, FALSE)</f>
        <v>0</v>
      </c>
      <c r="AF987">
        <f>VLOOKUP(Table9[[#This Row],[Shortname]], Comp[], 29, FALSE)</f>
        <v>0</v>
      </c>
      <c r="AG987">
        <f>VLOOKUP(Table9[[#This Row],[Shortname]], Comp[], 30, FALSE)</f>
        <v>0</v>
      </c>
      <c r="AH987">
        <f>VLOOKUP(Table9[[#This Row],[Shortname]], Comp[], 31, FALSE)</f>
        <v>0</v>
      </c>
    </row>
    <row r="988" spans="1:34" x14ac:dyDescent="0.3">
      <c r="A988" t="s">
        <v>4232</v>
      </c>
      <c r="B988" t="s">
        <v>4234</v>
      </c>
      <c r="C988" t="s">
        <v>6965</v>
      </c>
      <c r="D988">
        <v>374</v>
      </c>
      <c r="E988">
        <v>900</v>
      </c>
      <c r="F988">
        <v>1E-4</v>
      </c>
      <c r="G988">
        <v>1</v>
      </c>
      <c r="H988" t="s">
        <v>6803</v>
      </c>
      <c r="I988">
        <f>VLOOKUP(Table9[[#This Row],[Shortname]], Comp[], 6, FALSE)</f>
        <v>644</v>
      </c>
      <c r="J988" s="14">
        <f>VLOOKUP(Table9[[#This Row],[Shortname]], Comp[], 7, FALSE)</f>
        <v>74</v>
      </c>
      <c r="K988">
        <f>VLOOKUP(Table9[[#This Row],[Shortname]], Comp[], 8, FALSE)</f>
        <v>0</v>
      </c>
      <c r="L988">
        <f>VLOOKUP(Table9[[#This Row],[Shortname]], Comp[], 9, FALSE)</f>
        <v>0</v>
      </c>
      <c r="M988">
        <f>VLOOKUP(Table9[[#This Row],[Shortname]], Comp[], 10, FALSE)</f>
        <v>15</v>
      </c>
      <c r="N988">
        <f>VLOOKUP(Table9[[#This Row],[Shortname]], Comp[], 11, FALSE)</f>
        <v>0</v>
      </c>
      <c r="O988">
        <f>VLOOKUP(Table9[[#This Row],[Shortname]], Comp[],12, FALSE)</f>
        <v>11</v>
      </c>
      <c r="P988">
        <f>VLOOKUP(Table9[[#This Row],[Shortname]], Comp[], 13, FALSE)</f>
        <v>0</v>
      </c>
      <c r="Q988">
        <f>VLOOKUP(Table9[[#This Row],[Shortname]], Comp[], 14, FALSE)</f>
        <v>0</v>
      </c>
      <c r="R988">
        <f>VLOOKUP(Table9[[#This Row],[Shortname]], Comp[], 15, FALSE)</f>
        <v>0</v>
      </c>
      <c r="S988">
        <f>VLOOKUP(Table9[[#This Row],[Shortname]], Comp[], 16, FALSE)</f>
        <v>0</v>
      </c>
      <c r="T988">
        <f>VLOOKUP(Table9[[#This Row],[Shortname]], Comp[], 17, FALSE)</f>
        <v>0</v>
      </c>
      <c r="U988">
        <f>VLOOKUP(Table9[[#This Row],[Shortname]], Comp[], 18, FALSE)</f>
        <v>0</v>
      </c>
      <c r="V988">
        <f>VLOOKUP(Table9[[#This Row],[Shortname]], Comp[], 19, FALSE)</f>
        <v>0</v>
      </c>
      <c r="W988">
        <f>VLOOKUP(Table9[[#This Row],[Shortname]], Comp[], 20, FALSE)</f>
        <v>0</v>
      </c>
      <c r="X988">
        <f>VLOOKUP(Table9[[#This Row],[Shortname]], Comp[], 21, FALSE)</f>
        <v>0</v>
      </c>
      <c r="Y988">
        <f>VLOOKUP(Table9[[#This Row],[Shortname]], Comp[], 22, FALSE)</f>
        <v>0</v>
      </c>
      <c r="Z988">
        <f>VLOOKUP(Table9[[#This Row],[Shortname]], Comp[], 23, FALSE)</f>
        <v>0</v>
      </c>
      <c r="AA988">
        <f>VLOOKUP(Table9[[#This Row],[Shortname]], Comp[], 24, FALSE)</f>
        <v>0</v>
      </c>
      <c r="AB988">
        <f>VLOOKUP(Table9[[#This Row],[Shortname]], Comp[], 25, FALSE)</f>
        <v>0</v>
      </c>
      <c r="AC988">
        <f>VLOOKUP(Table9[[#This Row],[Shortname]], Comp[], 26, FALSE)</f>
        <v>0</v>
      </c>
      <c r="AD988">
        <f>VLOOKUP(Table9[[#This Row],[Shortname]], Comp[], 27, FALSE)</f>
        <v>0</v>
      </c>
      <c r="AE988">
        <f>VLOOKUP(Table9[[#This Row],[Shortname]], Comp[], 28, FALSE)</f>
        <v>0</v>
      </c>
      <c r="AF988">
        <f>VLOOKUP(Table9[[#This Row],[Shortname]], Comp[], 29, FALSE)</f>
        <v>0</v>
      </c>
      <c r="AG988">
        <f>VLOOKUP(Table9[[#This Row],[Shortname]], Comp[], 30, FALSE)</f>
        <v>0</v>
      </c>
      <c r="AH988">
        <f>VLOOKUP(Table9[[#This Row],[Shortname]], Comp[], 31, FALSE)</f>
        <v>0</v>
      </c>
    </row>
    <row r="989" spans="1:34" x14ac:dyDescent="0.3">
      <c r="A989" t="s">
        <v>4232</v>
      </c>
      <c r="B989" t="s">
        <v>4234</v>
      </c>
      <c r="C989" t="s">
        <v>6966</v>
      </c>
      <c r="D989">
        <v>282</v>
      </c>
      <c r="E989">
        <v>950</v>
      </c>
      <c r="F989">
        <v>1E-4</v>
      </c>
      <c r="G989">
        <v>1</v>
      </c>
      <c r="H989" t="s">
        <v>6803</v>
      </c>
      <c r="I989">
        <f>VLOOKUP(Table9[[#This Row],[Shortname]], Comp[], 6, FALSE)</f>
        <v>644</v>
      </c>
      <c r="J989" s="14">
        <f>VLOOKUP(Table9[[#This Row],[Shortname]], Comp[], 7, FALSE)</f>
        <v>74</v>
      </c>
      <c r="K989">
        <f>VLOOKUP(Table9[[#This Row],[Shortname]], Comp[], 8, FALSE)</f>
        <v>0</v>
      </c>
      <c r="L989">
        <f>VLOOKUP(Table9[[#This Row],[Shortname]], Comp[], 9, FALSE)</f>
        <v>0</v>
      </c>
      <c r="M989">
        <f>VLOOKUP(Table9[[#This Row],[Shortname]], Comp[], 10, FALSE)</f>
        <v>15</v>
      </c>
      <c r="N989">
        <f>VLOOKUP(Table9[[#This Row],[Shortname]], Comp[], 11, FALSE)</f>
        <v>0</v>
      </c>
      <c r="O989">
        <f>VLOOKUP(Table9[[#This Row],[Shortname]], Comp[],12, FALSE)</f>
        <v>11</v>
      </c>
      <c r="P989">
        <f>VLOOKUP(Table9[[#This Row],[Shortname]], Comp[], 13, FALSE)</f>
        <v>0</v>
      </c>
      <c r="Q989">
        <f>VLOOKUP(Table9[[#This Row],[Shortname]], Comp[], 14, FALSE)</f>
        <v>0</v>
      </c>
      <c r="R989">
        <f>VLOOKUP(Table9[[#This Row],[Shortname]], Comp[], 15, FALSE)</f>
        <v>0</v>
      </c>
      <c r="S989">
        <f>VLOOKUP(Table9[[#This Row],[Shortname]], Comp[], 16, FALSE)</f>
        <v>0</v>
      </c>
      <c r="T989">
        <f>VLOOKUP(Table9[[#This Row],[Shortname]], Comp[], 17, FALSE)</f>
        <v>0</v>
      </c>
      <c r="U989">
        <f>VLOOKUP(Table9[[#This Row],[Shortname]], Comp[], 18, FALSE)</f>
        <v>0</v>
      </c>
      <c r="V989">
        <f>VLOOKUP(Table9[[#This Row],[Shortname]], Comp[], 19, FALSE)</f>
        <v>0</v>
      </c>
      <c r="W989">
        <f>VLOOKUP(Table9[[#This Row],[Shortname]], Comp[], 20, FALSE)</f>
        <v>0</v>
      </c>
      <c r="X989">
        <f>VLOOKUP(Table9[[#This Row],[Shortname]], Comp[], 21, FALSE)</f>
        <v>0</v>
      </c>
      <c r="Y989">
        <f>VLOOKUP(Table9[[#This Row],[Shortname]], Comp[], 22, FALSE)</f>
        <v>0</v>
      </c>
      <c r="Z989">
        <f>VLOOKUP(Table9[[#This Row],[Shortname]], Comp[], 23, FALSE)</f>
        <v>0</v>
      </c>
      <c r="AA989">
        <f>VLOOKUP(Table9[[#This Row],[Shortname]], Comp[], 24, FALSE)</f>
        <v>0</v>
      </c>
      <c r="AB989">
        <f>VLOOKUP(Table9[[#This Row],[Shortname]], Comp[], 25, FALSE)</f>
        <v>0</v>
      </c>
      <c r="AC989">
        <f>VLOOKUP(Table9[[#This Row],[Shortname]], Comp[], 26, FALSE)</f>
        <v>0</v>
      </c>
      <c r="AD989">
        <f>VLOOKUP(Table9[[#This Row],[Shortname]], Comp[], 27, FALSE)</f>
        <v>0</v>
      </c>
      <c r="AE989">
        <f>VLOOKUP(Table9[[#This Row],[Shortname]], Comp[], 28, FALSE)</f>
        <v>0</v>
      </c>
      <c r="AF989">
        <f>VLOOKUP(Table9[[#This Row],[Shortname]], Comp[], 29, FALSE)</f>
        <v>0</v>
      </c>
      <c r="AG989">
        <f>VLOOKUP(Table9[[#This Row],[Shortname]], Comp[], 30, FALSE)</f>
        <v>0</v>
      </c>
      <c r="AH989">
        <f>VLOOKUP(Table9[[#This Row],[Shortname]], Comp[], 31, FALSE)</f>
        <v>0</v>
      </c>
    </row>
    <row r="990" spans="1:34" x14ac:dyDescent="0.3">
      <c r="A990" t="s">
        <v>5727</v>
      </c>
      <c r="B990" t="s">
        <v>5728</v>
      </c>
      <c r="C990" t="s">
        <v>6967</v>
      </c>
      <c r="D990">
        <v>569</v>
      </c>
      <c r="E990">
        <v>25</v>
      </c>
      <c r="F990">
        <v>1E-4</v>
      </c>
      <c r="G990">
        <v>1</v>
      </c>
      <c r="H990" t="s">
        <v>6803</v>
      </c>
      <c r="I990">
        <f>VLOOKUP(Table9[[#This Row],[Shortname]], Comp[], 6, FALSE)</f>
        <v>899</v>
      </c>
      <c r="J990" s="14">
        <f>VLOOKUP(Table9[[#This Row],[Shortname]], Comp[], 7, FALSE)</f>
        <v>43.2</v>
      </c>
      <c r="K990">
        <f>VLOOKUP(Table9[[#This Row],[Shortname]], Comp[], 8, FALSE)</f>
        <v>32</v>
      </c>
      <c r="L990">
        <f>VLOOKUP(Table9[[#This Row],[Shortname]], Comp[], 9, FALSE)</f>
        <v>8</v>
      </c>
      <c r="M990">
        <f>VLOOKUP(Table9[[#This Row],[Shortname]], Comp[], 10, FALSE)</f>
        <v>6</v>
      </c>
      <c r="N990">
        <f>VLOOKUP(Table9[[#This Row],[Shortname]], Comp[], 11, FALSE)</f>
        <v>5.7</v>
      </c>
      <c r="O990">
        <f>VLOOKUP(Table9[[#This Row],[Shortname]], Comp[],12, FALSE)</f>
        <v>2.8</v>
      </c>
      <c r="P990">
        <f>VLOOKUP(Table9[[#This Row],[Shortname]], Comp[], 13, FALSE)</f>
        <v>1.8</v>
      </c>
      <c r="Q990">
        <f>VLOOKUP(Table9[[#This Row],[Shortname]], Comp[], 14, FALSE)</f>
        <v>0</v>
      </c>
      <c r="R990">
        <f>VLOOKUP(Table9[[#This Row],[Shortname]], Comp[], 15, FALSE)</f>
        <v>0</v>
      </c>
      <c r="S990">
        <f>VLOOKUP(Table9[[#This Row],[Shortname]], Comp[], 16, FALSE)</f>
        <v>0</v>
      </c>
      <c r="T990">
        <f>VLOOKUP(Table9[[#This Row],[Shortname]], Comp[], 17, FALSE)</f>
        <v>0</v>
      </c>
      <c r="U990">
        <f>VLOOKUP(Table9[[#This Row],[Shortname]], Comp[], 18, FALSE)</f>
        <v>0</v>
      </c>
      <c r="V990">
        <f>VLOOKUP(Table9[[#This Row],[Shortname]], Comp[], 19, FALSE)</f>
        <v>0</v>
      </c>
      <c r="W990">
        <f>VLOOKUP(Table9[[#This Row],[Shortname]], Comp[], 20, FALSE)</f>
        <v>0</v>
      </c>
      <c r="X990">
        <f>VLOOKUP(Table9[[#This Row],[Shortname]], Comp[], 21, FALSE)</f>
        <v>0</v>
      </c>
      <c r="Y990">
        <f>VLOOKUP(Table9[[#This Row],[Shortname]], Comp[], 22, FALSE)</f>
        <v>0.4</v>
      </c>
      <c r="Z990">
        <f>VLOOKUP(Table9[[#This Row],[Shortname]], Comp[], 23, FALSE)</f>
        <v>0</v>
      </c>
      <c r="AA990">
        <f>VLOOKUP(Table9[[#This Row],[Shortname]], Comp[], 24, FALSE)</f>
        <v>0</v>
      </c>
      <c r="AB990">
        <f>VLOOKUP(Table9[[#This Row],[Shortname]], Comp[], 25, FALSE)</f>
        <v>0.1</v>
      </c>
      <c r="AC990">
        <f>VLOOKUP(Table9[[#This Row],[Shortname]], Comp[], 26, FALSE)</f>
        <v>0</v>
      </c>
      <c r="AD990">
        <f>VLOOKUP(Table9[[#This Row],[Shortname]], Comp[], 27, FALSE)</f>
        <v>0</v>
      </c>
      <c r="AE990">
        <f>VLOOKUP(Table9[[#This Row],[Shortname]], Comp[], 28, FALSE)</f>
        <v>0</v>
      </c>
      <c r="AF990">
        <f>VLOOKUP(Table9[[#This Row],[Shortname]], Comp[], 29, FALSE)</f>
        <v>0</v>
      </c>
      <c r="AG990">
        <f>VLOOKUP(Table9[[#This Row],[Shortname]], Comp[], 30, FALSE)</f>
        <v>0</v>
      </c>
      <c r="AH990">
        <f>VLOOKUP(Table9[[#This Row],[Shortname]], Comp[], 31, FALSE)</f>
        <v>0</v>
      </c>
    </row>
    <row r="991" spans="1:34" x14ac:dyDescent="0.3">
      <c r="A991" t="s">
        <v>5727</v>
      </c>
      <c r="B991" t="s">
        <v>5728</v>
      </c>
      <c r="C991" t="s">
        <v>6968</v>
      </c>
      <c r="D991">
        <v>581</v>
      </c>
      <c r="E991">
        <v>750</v>
      </c>
      <c r="F991">
        <v>1E-4</v>
      </c>
      <c r="G991">
        <v>1</v>
      </c>
      <c r="H991" t="s">
        <v>6803</v>
      </c>
      <c r="I991">
        <f>VLOOKUP(Table9[[#This Row],[Shortname]], Comp[], 6, FALSE)</f>
        <v>899</v>
      </c>
      <c r="J991" s="14">
        <f>VLOOKUP(Table9[[#This Row],[Shortname]], Comp[], 7, FALSE)</f>
        <v>43.2</v>
      </c>
      <c r="K991">
        <f>VLOOKUP(Table9[[#This Row],[Shortname]], Comp[], 8, FALSE)</f>
        <v>32</v>
      </c>
      <c r="L991">
        <f>VLOOKUP(Table9[[#This Row],[Shortname]], Comp[], 9, FALSE)</f>
        <v>8</v>
      </c>
      <c r="M991">
        <f>VLOOKUP(Table9[[#This Row],[Shortname]], Comp[], 10, FALSE)</f>
        <v>6</v>
      </c>
      <c r="N991">
        <f>VLOOKUP(Table9[[#This Row],[Shortname]], Comp[], 11, FALSE)</f>
        <v>5.7</v>
      </c>
      <c r="O991">
        <f>VLOOKUP(Table9[[#This Row],[Shortname]], Comp[],12, FALSE)</f>
        <v>2.8</v>
      </c>
      <c r="P991">
        <f>VLOOKUP(Table9[[#This Row],[Shortname]], Comp[], 13, FALSE)</f>
        <v>1.8</v>
      </c>
      <c r="Q991">
        <f>VLOOKUP(Table9[[#This Row],[Shortname]], Comp[], 14, FALSE)</f>
        <v>0</v>
      </c>
      <c r="R991">
        <f>VLOOKUP(Table9[[#This Row],[Shortname]], Comp[], 15, FALSE)</f>
        <v>0</v>
      </c>
      <c r="S991">
        <f>VLOOKUP(Table9[[#This Row],[Shortname]], Comp[], 16, FALSE)</f>
        <v>0</v>
      </c>
      <c r="T991">
        <f>VLOOKUP(Table9[[#This Row],[Shortname]], Comp[], 17, FALSE)</f>
        <v>0</v>
      </c>
      <c r="U991">
        <f>VLOOKUP(Table9[[#This Row],[Shortname]], Comp[], 18, FALSE)</f>
        <v>0</v>
      </c>
      <c r="V991">
        <f>VLOOKUP(Table9[[#This Row],[Shortname]], Comp[], 19, FALSE)</f>
        <v>0</v>
      </c>
      <c r="W991">
        <f>VLOOKUP(Table9[[#This Row],[Shortname]], Comp[], 20, FALSE)</f>
        <v>0</v>
      </c>
      <c r="X991">
        <f>VLOOKUP(Table9[[#This Row],[Shortname]], Comp[], 21, FALSE)</f>
        <v>0</v>
      </c>
      <c r="Y991">
        <f>VLOOKUP(Table9[[#This Row],[Shortname]], Comp[], 22, FALSE)</f>
        <v>0.4</v>
      </c>
      <c r="Z991">
        <f>VLOOKUP(Table9[[#This Row],[Shortname]], Comp[], 23, FALSE)</f>
        <v>0</v>
      </c>
      <c r="AA991">
        <f>VLOOKUP(Table9[[#This Row],[Shortname]], Comp[], 24, FALSE)</f>
        <v>0</v>
      </c>
      <c r="AB991">
        <f>VLOOKUP(Table9[[#This Row],[Shortname]], Comp[], 25, FALSE)</f>
        <v>0.1</v>
      </c>
      <c r="AC991">
        <f>VLOOKUP(Table9[[#This Row],[Shortname]], Comp[], 26, FALSE)</f>
        <v>0</v>
      </c>
      <c r="AD991">
        <f>VLOOKUP(Table9[[#This Row],[Shortname]], Comp[], 27, FALSE)</f>
        <v>0</v>
      </c>
      <c r="AE991">
        <f>VLOOKUP(Table9[[#This Row],[Shortname]], Comp[], 28, FALSE)</f>
        <v>0</v>
      </c>
      <c r="AF991">
        <f>VLOOKUP(Table9[[#This Row],[Shortname]], Comp[], 29, FALSE)</f>
        <v>0</v>
      </c>
      <c r="AG991">
        <f>VLOOKUP(Table9[[#This Row],[Shortname]], Comp[], 30, FALSE)</f>
        <v>0</v>
      </c>
      <c r="AH991">
        <f>VLOOKUP(Table9[[#This Row],[Shortname]], Comp[], 31, FALSE)</f>
        <v>0</v>
      </c>
    </row>
    <row r="992" spans="1:34" x14ac:dyDescent="0.3">
      <c r="A992" t="s">
        <v>5727</v>
      </c>
      <c r="B992" t="s">
        <v>5728</v>
      </c>
      <c r="C992" t="s">
        <v>6969</v>
      </c>
      <c r="D992">
        <v>583</v>
      </c>
      <c r="E992">
        <v>850</v>
      </c>
      <c r="F992">
        <v>1E-4</v>
      </c>
      <c r="G992">
        <v>1</v>
      </c>
      <c r="H992" t="s">
        <v>6803</v>
      </c>
      <c r="I992">
        <f>VLOOKUP(Table9[[#This Row],[Shortname]], Comp[], 6, FALSE)</f>
        <v>899</v>
      </c>
      <c r="J992" s="14">
        <f>VLOOKUP(Table9[[#This Row],[Shortname]], Comp[], 7, FALSE)</f>
        <v>43.2</v>
      </c>
      <c r="K992">
        <f>VLOOKUP(Table9[[#This Row],[Shortname]], Comp[], 8, FALSE)</f>
        <v>32</v>
      </c>
      <c r="L992">
        <f>VLOOKUP(Table9[[#This Row],[Shortname]], Comp[], 9, FALSE)</f>
        <v>8</v>
      </c>
      <c r="M992">
        <f>VLOOKUP(Table9[[#This Row],[Shortname]], Comp[], 10, FALSE)</f>
        <v>6</v>
      </c>
      <c r="N992">
        <f>VLOOKUP(Table9[[#This Row],[Shortname]], Comp[], 11, FALSE)</f>
        <v>5.7</v>
      </c>
      <c r="O992">
        <f>VLOOKUP(Table9[[#This Row],[Shortname]], Comp[],12, FALSE)</f>
        <v>2.8</v>
      </c>
      <c r="P992">
        <f>VLOOKUP(Table9[[#This Row],[Shortname]], Comp[], 13, FALSE)</f>
        <v>1.8</v>
      </c>
      <c r="Q992">
        <f>VLOOKUP(Table9[[#This Row],[Shortname]], Comp[], 14, FALSE)</f>
        <v>0</v>
      </c>
      <c r="R992">
        <f>VLOOKUP(Table9[[#This Row],[Shortname]], Comp[], 15, FALSE)</f>
        <v>0</v>
      </c>
      <c r="S992">
        <f>VLOOKUP(Table9[[#This Row],[Shortname]], Comp[], 16, FALSE)</f>
        <v>0</v>
      </c>
      <c r="T992">
        <f>VLOOKUP(Table9[[#This Row],[Shortname]], Comp[], 17, FALSE)</f>
        <v>0</v>
      </c>
      <c r="U992">
        <f>VLOOKUP(Table9[[#This Row],[Shortname]], Comp[], 18, FALSE)</f>
        <v>0</v>
      </c>
      <c r="V992">
        <f>VLOOKUP(Table9[[#This Row],[Shortname]], Comp[], 19, FALSE)</f>
        <v>0</v>
      </c>
      <c r="W992">
        <f>VLOOKUP(Table9[[#This Row],[Shortname]], Comp[], 20, FALSE)</f>
        <v>0</v>
      </c>
      <c r="X992">
        <f>VLOOKUP(Table9[[#This Row],[Shortname]], Comp[], 21, FALSE)</f>
        <v>0</v>
      </c>
      <c r="Y992">
        <f>VLOOKUP(Table9[[#This Row],[Shortname]], Comp[], 22, FALSE)</f>
        <v>0.4</v>
      </c>
      <c r="Z992">
        <f>VLOOKUP(Table9[[#This Row],[Shortname]], Comp[], 23, FALSE)</f>
        <v>0</v>
      </c>
      <c r="AA992">
        <f>VLOOKUP(Table9[[#This Row],[Shortname]], Comp[], 24, FALSE)</f>
        <v>0</v>
      </c>
      <c r="AB992">
        <f>VLOOKUP(Table9[[#This Row],[Shortname]], Comp[], 25, FALSE)</f>
        <v>0.1</v>
      </c>
      <c r="AC992">
        <f>VLOOKUP(Table9[[#This Row],[Shortname]], Comp[], 26, FALSE)</f>
        <v>0</v>
      </c>
      <c r="AD992">
        <f>VLOOKUP(Table9[[#This Row],[Shortname]], Comp[], 27, FALSE)</f>
        <v>0</v>
      </c>
      <c r="AE992">
        <f>VLOOKUP(Table9[[#This Row],[Shortname]], Comp[], 28, FALSE)</f>
        <v>0</v>
      </c>
      <c r="AF992">
        <f>VLOOKUP(Table9[[#This Row],[Shortname]], Comp[], 29, FALSE)</f>
        <v>0</v>
      </c>
      <c r="AG992">
        <f>VLOOKUP(Table9[[#This Row],[Shortname]], Comp[], 30, FALSE)</f>
        <v>0</v>
      </c>
      <c r="AH992">
        <f>VLOOKUP(Table9[[#This Row],[Shortname]], Comp[], 31, FALSE)</f>
        <v>0</v>
      </c>
    </row>
    <row r="993" spans="1:34" x14ac:dyDescent="0.3">
      <c r="A993" t="s">
        <v>5727</v>
      </c>
      <c r="B993" t="s">
        <v>5728</v>
      </c>
      <c r="C993" t="s">
        <v>6970</v>
      </c>
      <c r="D993">
        <v>581</v>
      </c>
      <c r="E993">
        <v>900</v>
      </c>
      <c r="F993">
        <v>1E-4</v>
      </c>
      <c r="G993">
        <v>1</v>
      </c>
      <c r="H993" t="s">
        <v>6803</v>
      </c>
      <c r="I993">
        <f>VLOOKUP(Table9[[#This Row],[Shortname]], Comp[], 6, FALSE)</f>
        <v>899</v>
      </c>
      <c r="J993" s="14">
        <f>VLOOKUP(Table9[[#This Row],[Shortname]], Comp[], 7, FALSE)</f>
        <v>43.2</v>
      </c>
      <c r="K993">
        <f>VLOOKUP(Table9[[#This Row],[Shortname]], Comp[], 8, FALSE)</f>
        <v>32</v>
      </c>
      <c r="L993">
        <f>VLOOKUP(Table9[[#This Row],[Shortname]], Comp[], 9, FALSE)</f>
        <v>8</v>
      </c>
      <c r="M993">
        <f>VLOOKUP(Table9[[#This Row],[Shortname]], Comp[], 10, FALSE)</f>
        <v>6</v>
      </c>
      <c r="N993">
        <f>VLOOKUP(Table9[[#This Row],[Shortname]], Comp[], 11, FALSE)</f>
        <v>5.7</v>
      </c>
      <c r="O993">
        <f>VLOOKUP(Table9[[#This Row],[Shortname]], Comp[],12, FALSE)</f>
        <v>2.8</v>
      </c>
      <c r="P993">
        <f>VLOOKUP(Table9[[#This Row],[Shortname]], Comp[], 13, FALSE)</f>
        <v>1.8</v>
      </c>
      <c r="Q993">
        <f>VLOOKUP(Table9[[#This Row],[Shortname]], Comp[], 14, FALSE)</f>
        <v>0</v>
      </c>
      <c r="R993">
        <f>VLOOKUP(Table9[[#This Row],[Shortname]], Comp[], 15, FALSE)</f>
        <v>0</v>
      </c>
      <c r="S993">
        <f>VLOOKUP(Table9[[#This Row],[Shortname]], Comp[], 16, FALSE)</f>
        <v>0</v>
      </c>
      <c r="T993">
        <f>VLOOKUP(Table9[[#This Row],[Shortname]], Comp[], 17, FALSE)</f>
        <v>0</v>
      </c>
      <c r="U993">
        <f>VLOOKUP(Table9[[#This Row],[Shortname]], Comp[], 18, FALSE)</f>
        <v>0</v>
      </c>
      <c r="V993">
        <f>VLOOKUP(Table9[[#This Row],[Shortname]], Comp[], 19, FALSE)</f>
        <v>0</v>
      </c>
      <c r="W993">
        <f>VLOOKUP(Table9[[#This Row],[Shortname]], Comp[], 20, FALSE)</f>
        <v>0</v>
      </c>
      <c r="X993">
        <f>VLOOKUP(Table9[[#This Row],[Shortname]], Comp[], 21, FALSE)</f>
        <v>0</v>
      </c>
      <c r="Y993">
        <f>VLOOKUP(Table9[[#This Row],[Shortname]], Comp[], 22, FALSE)</f>
        <v>0.4</v>
      </c>
      <c r="Z993">
        <f>VLOOKUP(Table9[[#This Row],[Shortname]], Comp[], 23, FALSE)</f>
        <v>0</v>
      </c>
      <c r="AA993">
        <f>VLOOKUP(Table9[[#This Row],[Shortname]], Comp[], 24, FALSE)</f>
        <v>0</v>
      </c>
      <c r="AB993">
        <f>VLOOKUP(Table9[[#This Row],[Shortname]], Comp[], 25, FALSE)</f>
        <v>0.1</v>
      </c>
      <c r="AC993">
        <f>VLOOKUP(Table9[[#This Row],[Shortname]], Comp[], 26, FALSE)</f>
        <v>0</v>
      </c>
      <c r="AD993">
        <f>VLOOKUP(Table9[[#This Row],[Shortname]], Comp[], 27, FALSE)</f>
        <v>0</v>
      </c>
      <c r="AE993">
        <f>VLOOKUP(Table9[[#This Row],[Shortname]], Comp[], 28, FALSE)</f>
        <v>0</v>
      </c>
      <c r="AF993">
        <f>VLOOKUP(Table9[[#This Row],[Shortname]], Comp[], 29, FALSE)</f>
        <v>0</v>
      </c>
      <c r="AG993">
        <f>VLOOKUP(Table9[[#This Row],[Shortname]], Comp[], 30, FALSE)</f>
        <v>0</v>
      </c>
      <c r="AH993">
        <f>VLOOKUP(Table9[[#This Row],[Shortname]], Comp[], 31, FALSE)</f>
        <v>0</v>
      </c>
    </row>
    <row r="994" spans="1:34" x14ac:dyDescent="0.3">
      <c r="A994" t="s">
        <v>5727</v>
      </c>
      <c r="B994" t="s">
        <v>5728</v>
      </c>
      <c r="C994" t="s">
        <v>6971</v>
      </c>
      <c r="D994">
        <v>539</v>
      </c>
      <c r="E994">
        <v>950</v>
      </c>
      <c r="F994">
        <v>1E-4</v>
      </c>
      <c r="G994">
        <v>1</v>
      </c>
      <c r="H994" t="s">
        <v>6803</v>
      </c>
      <c r="I994">
        <f>VLOOKUP(Table9[[#This Row],[Shortname]], Comp[], 6, FALSE)</f>
        <v>899</v>
      </c>
      <c r="J994" s="14">
        <f>VLOOKUP(Table9[[#This Row],[Shortname]], Comp[], 7, FALSE)</f>
        <v>43.2</v>
      </c>
      <c r="K994">
        <f>VLOOKUP(Table9[[#This Row],[Shortname]], Comp[], 8, FALSE)</f>
        <v>32</v>
      </c>
      <c r="L994">
        <f>VLOOKUP(Table9[[#This Row],[Shortname]], Comp[], 9, FALSE)</f>
        <v>8</v>
      </c>
      <c r="M994">
        <f>VLOOKUP(Table9[[#This Row],[Shortname]], Comp[], 10, FALSE)</f>
        <v>6</v>
      </c>
      <c r="N994">
        <f>VLOOKUP(Table9[[#This Row],[Shortname]], Comp[], 11, FALSE)</f>
        <v>5.7</v>
      </c>
      <c r="O994">
        <f>VLOOKUP(Table9[[#This Row],[Shortname]], Comp[],12, FALSE)</f>
        <v>2.8</v>
      </c>
      <c r="P994">
        <f>VLOOKUP(Table9[[#This Row],[Shortname]], Comp[], 13, FALSE)</f>
        <v>1.8</v>
      </c>
      <c r="Q994">
        <f>VLOOKUP(Table9[[#This Row],[Shortname]], Comp[], 14, FALSE)</f>
        <v>0</v>
      </c>
      <c r="R994">
        <f>VLOOKUP(Table9[[#This Row],[Shortname]], Comp[], 15, FALSE)</f>
        <v>0</v>
      </c>
      <c r="S994">
        <f>VLOOKUP(Table9[[#This Row],[Shortname]], Comp[], 16, FALSE)</f>
        <v>0</v>
      </c>
      <c r="T994">
        <f>VLOOKUP(Table9[[#This Row],[Shortname]], Comp[], 17, FALSE)</f>
        <v>0</v>
      </c>
      <c r="U994">
        <f>VLOOKUP(Table9[[#This Row],[Shortname]], Comp[], 18, FALSE)</f>
        <v>0</v>
      </c>
      <c r="V994">
        <f>VLOOKUP(Table9[[#This Row],[Shortname]], Comp[], 19, FALSE)</f>
        <v>0</v>
      </c>
      <c r="W994">
        <f>VLOOKUP(Table9[[#This Row],[Shortname]], Comp[], 20, FALSE)</f>
        <v>0</v>
      </c>
      <c r="X994">
        <f>VLOOKUP(Table9[[#This Row],[Shortname]], Comp[], 21, FALSE)</f>
        <v>0</v>
      </c>
      <c r="Y994">
        <f>VLOOKUP(Table9[[#This Row],[Shortname]], Comp[], 22, FALSE)</f>
        <v>0.4</v>
      </c>
      <c r="Z994">
        <f>VLOOKUP(Table9[[#This Row],[Shortname]], Comp[], 23, FALSE)</f>
        <v>0</v>
      </c>
      <c r="AA994">
        <f>VLOOKUP(Table9[[#This Row],[Shortname]], Comp[], 24, FALSE)</f>
        <v>0</v>
      </c>
      <c r="AB994">
        <f>VLOOKUP(Table9[[#This Row],[Shortname]], Comp[], 25, FALSE)</f>
        <v>0.1</v>
      </c>
      <c r="AC994">
        <f>VLOOKUP(Table9[[#This Row],[Shortname]], Comp[], 26, FALSE)</f>
        <v>0</v>
      </c>
      <c r="AD994">
        <f>VLOOKUP(Table9[[#This Row],[Shortname]], Comp[], 27, FALSE)</f>
        <v>0</v>
      </c>
      <c r="AE994">
        <f>VLOOKUP(Table9[[#This Row],[Shortname]], Comp[], 28, FALSE)</f>
        <v>0</v>
      </c>
      <c r="AF994">
        <f>VLOOKUP(Table9[[#This Row],[Shortname]], Comp[], 29, FALSE)</f>
        <v>0</v>
      </c>
      <c r="AG994">
        <f>VLOOKUP(Table9[[#This Row],[Shortname]], Comp[], 30, FALSE)</f>
        <v>0</v>
      </c>
      <c r="AH994">
        <f>VLOOKUP(Table9[[#This Row],[Shortname]], Comp[], 31, FALSE)</f>
        <v>0</v>
      </c>
    </row>
    <row r="995" spans="1:34" x14ac:dyDescent="0.3">
      <c r="A995" t="s">
        <v>5727</v>
      </c>
      <c r="B995" t="s">
        <v>5728</v>
      </c>
      <c r="C995" t="s">
        <v>6972</v>
      </c>
      <c r="D995">
        <v>377</v>
      </c>
      <c r="E995">
        <v>1000</v>
      </c>
      <c r="F995">
        <v>1E-4</v>
      </c>
      <c r="G995">
        <v>1</v>
      </c>
      <c r="H995" t="s">
        <v>6803</v>
      </c>
      <c r="I995">
        <f>VLOOKUP(Table9[[#This Row],[Shortname]], Comp[], 6, FALSE)</f>
        <v>899</v>
      </c>
      <c r="J995" s="14">
        <f>VLOOKUP(Table9[[#This Row],[Shortname]], Comp[], 7, FALSE)</f>
        <v>43.2</v>
      </c>
      <c r="K995">
        <f>VLOOKUP(Table9[[#This Row],[Shortname]], Comp[], 8, FALSE)</f>
        <v>32</v>
      </c>
      <c r="L995">
        <f>VLOOKUP(Table9[[#This Row],[Shortname]], Comp[], 9, FALSE)</f>
        <v>8</v>
      </c>
      <c r="M995">
        <f>VLOOKUP(Table9[[#This Row],[Shortname]], Comp[], 10, FALSE)</f>
        <v>6</v>
      </c>
      <c r="N995">
        <f>VLOOKUP(Table9[[#This Row],[Shortname]], Comp[], 11, FALSE)</f>
        <v>5.7</v>
      </c>
      <c r="O995">
        <f>VLOOKUP(Table9[[#This Row],[Shortname]], Comp[],12, FALSE)</f>
        <v>2.8</v>
      </c>
      <c r="P995">
        <f>VLOOKUP(Table9[[#This Row],[Shortname]], Comp[], 13, FALSE)</f>
        <v>1.8</v>
      </c>
      <c r="Q995">
        <f>VLOOKUP(Table9[[#This Row],[Shortname]], Comp[], 14, FALSE)</f>
        <v>0</v>
      </c>
      <c r="R995">
        <f>VLOOKUP(Table9[[#This Row],[Shortname]], Comp[], 15, FALSE)</f>
        <v>0</v>
      </c>
      <c r="S995">
        <f>VLOOKUP(Table9[[#This Row],[Shortname]], Comp[], 16, FALSE)</f>
        <v>0</v>
      </c>
      <c r="T995">
        <f>VLOOKUP(Table9[[#This Row],[Shortname]], Comp[], 17, FALSE)</f>
        <v>0</v>
      </c>
      <c r="U995">
        <f>VLOOKUP(Table9[[#This Row],[Shortname]], Comp[], 18, FALSE)</f>
        <v>0</v>
      </c>
      <c r="V995">
        <f>VLOOKUP(Table9[[#This Row],[Shortname]], Comp[], 19, FALSE)</f>
        <v>0</v>
      </c>
      <c r="W995">
        <f>VLOOKUP(Table9[[#This Row],[Shortname]], Comp[], 20, FALSE)</f>
        <v>0</v>
      </c>
      <c r="X995">
        <f>VLOOKUP(Table9[[#This Row],[Shortname]], Comp[], 21, FALSE)</f>
        <v>0</v>
      </c>
      <c r="Y995">
        <f>VLOOKUP(Table9[[#This Row],[Shortname]], Comp[], 22, FALSE)</f>
        <v>0.4</v>
      </c>
      <c r="Z995">
        <f>VLOOKUP(Table9[[#This Row],[Shortname]], Comp[], 23, FALSE)</f>
        <v>0</v>
      </c>
      <c r="AA995">
        <f>VLOOKUP(Table9[[#This Row],[Shortname]], Comp[], 24, FALSE)</f>
        <v>0</v>
      </c>
      <c r="AB995">
        <f>VLOOKUP(Table9[[#This Row],[Shortname]], Comp[], 25, FALSE)</f>
        <v>0.1</v>
      </c>
      <c r="AC995">
        <f>VLOOKUP(Table9[[#This Row],[Shortname]], Comp[], 26, FALSE)</f>
        <v>0</v>
      </c>
      <c r="AD995">
        <f>VLOOKUP(Table9[[#This Row],[Shortname]], Comp[], 27, FALSE)</f>
        <v>0</v>
      </c>
      <c r="AE995">
        <f>VLOOKUP(Table9[[#This Row],[Shortname]], Comp[], 28, FALSE)</f>
        <v>0</v>
      </c>
      <c r="AF995">
        <f>VLOOKUP(Table9[[#This Row],[Shortname]], Comp[], 29, FALSE)</f>
        <v>0</v>
      </c>
      <c r="AG995">
        <f>VLOOKUP(Table9[[#This Row],[Shortname]], Comp[], 30, FALSE)</f>
        <v>0</v>
      </c>
      <c r="AH995">
        <f>VLOOKUP(Table9[[#This Row],[Shortname]], Comp[], 31, FALSE)</f>
        <v>0</v>
      </c>
    </row>
    <row r="996" spans="1:34" x14ac:dyDescent="0.3">
      <c r="A996" t="s">
        <v>5743</v>
      </c>
      <c r="B996" t="s">
        <v>5744</v>
      </c>
      <c r="C996" t="s">
        <v>5745</v>
      </c>
      <c r="D996">
        <v>851</v>
      </c>
      <c r="E996">
        <v>25</v>
      </c>
      <c r="F996">
        <v>1E-3</v>
      </c>
      <c r="G996">
        <v>-1</v>
      </c>
      <c r="H996" t="s">
        <v>6855</v>
      </c>
      <c r="I996">
        <f>VLOOKUP(Table9[[#This Row],[Shortname]], Comp[], 6, FALSE)</f>
        <v>904</v>
      </c>
      <c r="J996" s="14">
        <f>VLOOKUP(Table9[[#This Row],[Shortname]], Comp[], 7, FALSE)</f>
        <v>31.799999999999997</v>
      </c>
      <c r="K996">
        <f>VLOOKUP(Table9[[#This Row],[Shortname]], Comp[], 8, FALSE)</f>
        <v>34.82</v>
      </c>
      <c r="L996">
        <f>VLOOKUP(Table9[[#This Row],[Shortname]], Comp[], 9, FALSE)</f>
        <v>4.33</v>
      </c>
      <c r="M996">
        <f>VLOOKUP(Table9[[#This Row],[Shortname]], Comp[], 10, FALSE)</f>
        <v>19.649999999999999</v>
      </c>
      <c r="N996">
        <f>VLOOKUP(Table9[[#This Row],[Shortname]], Comp[], 11, FALSE)</f>
        <v>0</v>
      </c>
      <c r="O996">
        <f>VLOOKUP(Table9[[#This Row],[Shortname]], Comp[],12, FALSE)</f>
        <v>0.97</v>
      </c>
      <c r="P996">
        <f>VLOOKUP(Table9[[#This Row],[Shortname]], Comp[], 13, FALSE)</f>
        <v>0</v>
      </c>
      <c r="Q996">
        <f>VLOOKUP(Table9[[#This Row],[Shortname]], Comp[], 14, FALSE)</f>
        <v>1.89</v>
      </c>
      <c r="R996">
        <f>VLOOKUP(Table9[[#This Row],[Shortname]], Comp[], 15, FALSE)</f>
        <v>0</v>
      </c>
      <c r="S996">
        <f>VLOOKUP(Table9[[#This Row],[Shortname]], Comp[], 16, FALSE)</f>
        <v>4.87</v>
      </c>
      <c r="T996">
        <f>VLOOKUP(Table9[[#This Row],[Shortname]], Comp[], 17, FALSE)</f>
        <v>0</v>
      </c>
      <c r="U996">
        <f>VLOOKUP(Table9[[#This Row],[Shortname]], Comp[], 18, FALSE)</f>
        <v>0</v>
      </c>
      <c r="V996">
        <f>VLOOKUP(Table9[[#This Row],[Shortname]], Comp[], 19, FALSE)</f>
        <v>0</v>
      </c>
      <c r="W996">
        <f>VLOOKUP(Table9[[#This Row],[Shortname]], Comp[], 20, FALSE)</f>
        <v>0</v>
      </c>
      <c r="X996">
        <f>VLOOKUP(Table9[[#This Row],[Shortname]], Comp[], 21, FALSE)</f>
        <v>0</v>
      </c>
      <c r="Y996">
        <f>VLOOKUP(Table9[[#This Row],[Shortname]], Comp[], 22, FALSE)</f>
        <v>0</v>
      </c>
      <c r="Z996">
        <f>VLOOKUP(Table9[[#This Row],[Shortname]], Comp[], 23, FALSE)</f>
        <v>1.67</v>
      </c>
      <c r="AA996">
        <f>VLOOKUP(Table9[[#This Row],[Shortname]], Comp[], 24, FALSE)</f>
        <v>0</v>
      </c>
      <c r="AB996">
        <f>VLOOKUP(Table9[[#This Row],[Shortname]], Comp[], 25, FALSE)</f>
        <v>0</v>
      </c>
      <c r="AC996">
        <f>VLOOKUP(Table9[[#This Row],[Shortname]], Comp[], 26, FALSE)</f>
        <v>0</v>
      </c>
      <c r="AD996">
        <f>VLOOKUP(Table9[[#This Row],[Shortname]], Comp[], 27, FALSE)</f>
        <v>0</v>
      </c>
      <c r="AE996">
        <f>VLOOKUP(Table9[[#This Row],[Shortname]], Comp[], 28, FALSE)</f>
        <v>0</v>
      </c>
      <c r="AF996">
        <f>VLOOKUP(Table9[[#This Row],[Shortname]], Comp[], 29, FALSE)</f>
        <v>0</v>
      </c>
      <c r="AG996">
        <f>VLOOKUP(Table9[[#This Row],[Shortname]], Comp[], 30, FALSE)</f>
        <v>0</v>
      </c>
      <c r="AH996">
        <f>VLOOKUP(Table9[[#This Row],[Shortname]], Comp[], 31, FALSE)</f>
        <v>0</v>
      </c>
    </row>
    <row r="997" spans="1:34" x14ac:dyDescent="0.3">
      <c r="A997" t="s">
        <v>5743</v>
      </c>
      <c r="B997" t="s">
        <v>5744</v>
      </c>
      <c r="C997" t="s">
        <v>6973</v>
      </c>
      <c r="D997">
        <v>780</v>
      </c>
      <c r="E997">
        <v>300</v>
      </c>
      <c r="F997">
        <v>1E-3</v>
      </c>
      <c r="G997">
        <v>-1</v>
      </c>
      <c r="H997" t="s">
        <v>6855</v>
      </c>
      <c r="I997">
        <f>VLOOKUP(Table9[[#This Row],[Shortname]], Comp[], 6, FALSE)</f>
        <v>904</v>
      </c>
      <c r="J997" s="14">
        <f>VLOOKUP(Table9[[#This Row],[Shortname]], Comp[], 7, FALSE)</f>
        <v>31.799999999999997</v>
      </c>
      <c r="K997">
        <f>VLOOKUP(Table9[[#This Row],[Shortname]], Comp[], 8, FALSE)</f>
        <v>34.82</v>
      </c>
      <c r="L997">
        <f>VLOOKUP(Table9[[#This Row],[Shortname]], Comp[], 9, FALSE)</f>
        <v>4.33</v>
      </c>
      <c r="M997">
        <f>VLOOKUP(Table9[[#This Row],[Shortname]], Comp[], 10, FALSE)</f>
        <v>19.649999999999999</v>
      </c>
      <c r="N997">
        <f>VLOOKUP(Table9[[#This Row],[Shortname]], Comp[], 11, FALSE)</f>
        <v>0</v>
      </c>
      <c r="O997">
        <f>VLOOKUP(Table9[[#This Row],[Shortname]], Comp[],12, FALSE)</f>
        <v>0.97</v>
      </c>
      <c r="P997">
        <f>VLOOKUP(Table9[[#This Row],[Shortname]], Comp[], 13, FALSE)</f>
        <v>0</v>
      </c>
      <c r="Q997">
        <f>VLOOKUP(Table9[[#This Row],[Shortname]], Comp[], 14, FALSE)</f>
        <v>1.89</v>
      </c>
      <c r="R997">
        <f>VLOOKUP(Table9[[#This Row],[Shortname]], Comp[], 15, FALSE)</f>
        <v>0</v>
      </c>
      <c r="S997">
        <f>VLOOKUP(Table9[[#This Row],[Shortname]], Comp[], 16, FALSE)</f>
        <v>4.87</v>
      </c>
      <c r="T997">
        <f>VLOOKUP(Table9[[#This Row],[Shortname]], Comp[], 17, FALSE)</f>
        <v>0</v>
      </c>
      <c r="U997">
        <f>VLOOKUP(Table9[[#This Row],[Shortname]], Comp[], 18, FALSE)</f>
        <v>0</v>
      </c>
      <c r="V997">
        <f>VLOOKUP(Table9[[#This Row],[Shortname]], Comp[], 19, FALSE)</f>
        <v>0</v>
      </c>
      <c r="W997">
        <f>VLOOKUP(Table9[[#This Row],[Shortname]], Comp[], 20, FALSE)</f>
        <v>0</v>
      </c>
      <c r="X997">
        <f>VLOOKUP(Table9[[#This Row],[Shortname]], Comp[], 21, FALSE)</f>
        <v>0</v>
      </c>
      <c r="Y997">
        <f>VLOOKUP(Table9[[#This Row],[Shortname]], Comp[], 22, FALSE)</f>
        <v>0</v>
      </c>
      <c r="Z997">
        <f>VLOOKUP(Table9[[#This Row],[Shortname]], Comp[], 23, FALSE)</f>
        <v>1.67</v>
      </c>
      <c r="AA997">
        <f>VLOOKUP(Table9[[#This Row],[Shortname]], Comp[], 24, FALSE)</f>
        <v>0</v>
      </c>
      <c r="AB997">
        <f>VLOOKUP(Table9[[#This Row],[Shortname]], Comp[], 25, FALSE)</f>
        <v>0</v>
      </c>
      <c r="AC997">
        <f>VLOOKUP(Table9[[#This Row],[Shortname]], Comp[], 26, FALSE)</f>
        <v>0</v>
      </c>
      <c r="AD997">
        <f>VLOOKUP(Table9[[#This Row],[Shortname]], Comp[], 27, FALSE)</f>
        <v>0</v>
      </c>
      <c r="AE997">
        <f>VLOOKUP(Table9[[#This Row],[Shortname]], Comp[], 28, FALSE)</f>
        <v>0</v>
      </c>
      <c r="AF997">
        <f>VLOOKUP(Table9[[#This Row],[Shortname]], Comp[], 29, FALSE)</f>
        <v>0</v>
      </c>
      <c r="AG997">
        <f>VLOOKUP(Table9[[#This Row],[Shortname]], Comp[], 30, FALSE)</f>
        <v>0</v>
      </c>
      <c r="AH997">
        <f>VLOOKUP(Table9[[#This Row],[Shortname]], Comp[], 31, FALSE)</f>
        <v>0</v>
      </c>
    </row>
    <row r="998" spans="1:34" x14ac:dyDescent="0.3">
      <c r="A998" t="s">
        <v>5743</v>
      </c>
      <c r="B998" t="s">
        <v>5744</v>
      </c>
      <c r="C998" t="s">
        <v>6974</v>
      </c>
      <c r="D998">
        <v>762</v>
      </c>
      <c r="E998">
        <v>500</v>
      </c>
      <c r="F998">
        <v>1E-3</v>
      </c>
      <c r="G998">
        <v>-1</v>
      </c>
      <c r="H998" t="s">
        <v>6855</v>
      </c>
      <c r="I998">
        <f>VLOOKUP(Table9[[#This Row],[Shortname]], Comp[], 6, FALSE)</f>
        <v>904</v>
      </c>
      <c r="J998" s="14">
        <f>VLOOKUP(Table9[[#This Row],[Shortname]], Comp[], 7, FALSE)</f>
        <v>31.799999999999997</v>
      </c>
      <c r="K998">
        <f>VLOOKUP(Table9[[#This Row],[Shortname]], Comp[], 8, FALSE)</f>
        <v>34.82</v>
      </c>
      <c r="L998">
        <f>VLOOKUP(Table9[[#This Row],[Shortname]], Comp[], 9, FALSE)</f>
        <v>4.33</v>
      </c>
      <c r="M998">
        <f>VLOOKUP(Table9[[#This Row],[Shortname]], Comp[], 10, FALSE)</f>
        <v>19.649999999999999</v>
      </c>
      <c r="N998">
        <f>VLOOKUP(Table9[[#This Row],[Shortname]], Comp[], 11, FALSE)</f>
        <v>0</v>
      </c>
      <c r="O998">
        <f>VLOOKUP(Table9[[#This Row],[Shortname]], Comp[],12, FALSE)</f>
        <v>0.97</v>
      </c>
      <c r="P998">
        <f>VLOOKUP(Table9[[#This Row],[Shortname]], Comp[], 13, FALSE)</f>
        <v>0</v>
      </c>
      <c r="Q998">
        <f>VLOOKUP(Table9[[#This Row],[Shortname]], Comp[], 14, FALSE)</f>
        <v>1.89</v>
      </c>
      <c r="R998">
        <f>VLOOKUP(Table9[[#This Row],[Shortname]], Comp[], 15, FALSE)</f>
        <v>0</v>
      </c>
      <c r="S998">
        <f>VLOOKUP(Table9[[#This Row],[Shortname]], Comp[], 16, FALSE)</f>
        <v>4.87</v>
      </c>
      <c r="T998">
        <f>VLOOKUP(Table9[[#This Row],[Shortname]], Comp[], 17, FALSE)</f>
        <v>0</v>
      </c>
      <c r="U998">
        <f>VLOOKUP(Table9[[#This Row],[Shortname]], Comp[], 18, FALSE)</f>
        <v>0</v>
      </c>
      <c r="V998">
        <f>VLOOKUP(Table9[[#This Row],[Shortname]], Comp[], 19, FALSE)</f>
        <v>0</v>
      </c>
      <c r="W998">
        <f>VLOOKUP(Table9[[#This Row],[Shortname]], Comp[], 20, FALSE)</f>
        <v>0</v>
      </c>
      <c r="X998">
        <f>VLOOKUP(Table9[[#This Row],[Shortname]], Comp[], 21, FALSE)</f>
        <v>0</v>
      </c>
      <c r="Y998">
        <f>VLOOKUP(Table9[[#This Row],[Shortname]], Comp[], 22, FALSE)</f>
        <v>0</v>
      </c>
      <c r="Z998">
        <f>VLOOKUP(Table9[[#This Row],[Shortname]], Comp[], 23, FALSE)</f>
        <v>1.67</v>
      </c>
      <c r="AA998">
        <f>VLOOKUP(Table9[[#This Row],[Shortname]], Comp[], 24, FALSE)</f>
        <v>0</v>
      </c>
      <c r="AB998">
        <f>VLOOKUP(Table9[[#This Row],[Shortname]], Comp[], 25, FALSE)</f>
        <v>0</v>
      </c>
      <c r="AC998">
        <f>VLOOKUP(Table9[[#This Row],[Shortname]], Comp[], 26, FALSE)</f>
        <v>0</v>
      </c>
      <c r="AD998">
        <f>VLOOKUP(Table9[[#This Row],[Shortname]], Comp[], 27, FALSE)</f>
        <v>0</v>
      </c>
      <c r="AE998">
        <f>VLOOKUP(Table9[[#This Row],[Shortname]], Comp[], 28, FALSE)</f>
        <v>0</v>
      </c>
      <c r="AF998">
        <f>VLOOKUP(Table9[[#This Row],[Shortname]], Comp[], 29, FALSE)</f>
        <v>0</v>
      </c>
      <c r="AG998">
        <f>VLOOKUP(Table9[[#This Row],[Shortname]], Comp[], 30, FALSE)</f>
        <v>0</v>
      </c>
      <c r="AH998">
        <f>VLOOKUP(Table9[[#This Row],[Shortname]], Comp[], 31, FALSE)</f>
        <v>0</v>
      </c>
    </row>
    <row r="999" spans="1:34" x14ac:dyDescent="0.3">
      <c r="A999" t="s">
        <v>5743</v>
      </c>
      <c r="B999" t="s">
        <v>5744</v>
      </c>
      <c r="C999" t="s">
        <v>6975</v>
      </c>
      <c r="D999">
        <v>702</v>
      </c>
      <c r="E999">
        <v>700</v>
      </c>
      <c r="F999">
        <v>1E-3</v>
      </c>
      <c r="G999">
        <v>-1</v>
      </c>
      <c r="H999" t="s">
        <v>6855</v>
      </c>
      <c r="I999">
        <f>VLOOKUP(Table9[[#This Row],[Shortname]], Comp[], 6, FALSE)</f>
        <v>904</v>
      </c>
      <c r="J999" s="14">
        <f>VLOOKUP(Table9[[#This Row],[Shortname]], Comp[], 7, FALSE)</f>
        <v>31.799999999999997</v>
      </c>
      <c r="K999">
        <f>VLOOKUP(Table9[[#This Row],[Shortname]], Comp[], 8, FALSE)</f>
        <v>34.82</v>
      </c>
      <c r="L999">
        <f>VLOOKUP(Table9[[#This Row],[Shortname]], Comp[], 9, FALSE)</f>
        <v>4.33</v>
      </c>
      <c r="M999">
        <f>VLOOKUP(Table9[[#This Row],[Shortname]], Comp[], 10, FALSE)</f>
        <v>19.649999999999999</v>
      </c>
      <c r="N999">
        <f>VLOOKUP(Table9[[#This Row],[Shortname]], Comp[], 11, FALSE)</f>
        <v>0</v>
      </c>
      <c r="O999">
        <f>VLOOKUP(Table9[[#This Row],[Shortname]], Comp[],12, FALSE)</f>
        <v>0.97</v>
      </c>
      <c r="P999">
        <f>VLOOKUP(Table9[[#This Row],[Shortname]], Comp[], 13, FALSE)</f>
        <v>0</v>
      </c>
      <c r="Q999">
        <f>VLOOKUP(Table9[[#This Row],[Shortname]], Comp[], 14, FALSE)</f>
        <v>1.89</v>
      </c>
      <c r="R999">
        <f>VLOOKUP(Table9[[#This Row],[Shortname]], Comp[], 15, FALSE)</f>
        <v>0</v>
      </c>
      <c r="S999">
        <f>VLOOKUP(Table9[[#This Row],[Shortname]], Comp[], 16, FALSE)</f>
        <v>4.87</v>
      </c>
      <c r="T999">
        <f>VLOOKUP(Table9[[#This Row],[Shortname]], Comp[], 17, FALSE)</f>
        <v>0</v>
      </c>
      <c r="U999">
        <f>VLOOKUP(Table9[[#This Row],[Shortname]], Comp[], 18, FALSE)</f>
        <v>0</v>
      </c>
      <c r="V999">
        <f>VLOOKUP(Table9[[#This Row],[Shortname]], Comp[], 19, FALSE)</f>
        <v>0</v>
      </c>
      <c r="W999">
        <f>VLOOKUP(Table9[[#This Row],[Shortname]], Comp[], 20, FALSE)</f>
        <v>0</v>
      </c>
      <c r="X999">
        <f>VLOOKUP(Table9[[#This Row],[Shortname]], Comp[], 21, FALSE)</f>
        <v>0</v>
      </c>
      <c r="Y999">
        <f>VLOOKUP(Table9[[#This Row],[Shortname]], Comp[], 22, FALSE)</f>
        <v>0</v>
      </c>
      <c r="Z999">
        <f>VLOOKUP(Table9[[#This Row],[Shortname]], Comp[], 23, FALSE)</f>
        <v>1.67</v>
      </c>
      <c r="AA999">
        <f>VLOOKUP(Table9[[#This Row],[Shortname]], Comp[], 24, FALSE)</f>
        <v>0</v>
      </c>
      <c r="AB999">
        <f>VLOOKUP(Table9[[#This Row],[Shortname]], Comp[], 25, FALSE)</f>
        <v>0</v>
      </c>
      <c r="AC999">
        <f>VLOOKUP(Table9[[#This Row],[Shortname]], Comp[], 26, FALSE)</f>
        <v>0</v>
      </c>
      <c r="AD999">
        <f>VLOOKUP(Table9[[#This Row],[Shortname]], Comp[], 27, FALSE)</f>
        <v>0</v>
      </c>
      <c r="AE999">
        <f>VLOOKUP(Table9[[#This Row],[Shortname]], Comp[], 28, FALSE)</f>
        <v>0</v>
      </c>
      <c r="AF999">
        <f>VLOOKUP(Table9[[#This Row],[Shortname]], Comp[], 29, FALSE)</f>
        <v>0</v>
      </c>
      <c r="AG999">
        <f>VLOOKUP(Table9[[#This Row],[Shortname]], Comp[], 30, FALSE)</f>
        <v>0</v>
      </c>
      <c r="AH999">
        <f>VLOOKUP(Table9[[#This Row],[Shortname]], Comp[], 31, FALSE)</f>
        <v>0</v>
      </c>
    </row>
    <row r="1000" spans="1:34" x14ac:dyDescent="0.3">
      <c r="A1000" t="s">
        <v>5743</v>
      </c>
      <c r="B1000" t="s">
        <v>5744</v>
      </c>
      <c r="C1000" t="s">
        <v>6976</v>
      </c>
      <c r="D1000">
        <v>662</v>
      </c>
      <c r="E1000">
        <v>800</v>
      </c>
      <c r="F1000">
        <v>1E-3</v>
      </c>
      <c r="G1000">
        <v>-1</v>
      </c>
      <c r="H1000" t="s">
        <v>6855</v>
      </c>
      <c r="I1000">
        <f>VLOOKUP(Table9[[#This Row],[Shortname]], Comp[], 6, FALSE)</f>
        <v>904</v>
      </c>
      <c r="J1000" s="14">
        <f>VLOOKUP(Table9[[#This Row],[Shortname]], Comp[], 7, FALSE)</f>
        <v>31.799999999999997</v>
      </c>
      <c r="K1000">
        <f>VLOOKUP(Table9[[#This Row],[Shortname]], Comp[], 8, FALSE)</f>
        <v>34.82</v>
      </c>
      <c r="L1000">
        <f>VLOOKUP(Table9[[#This Row],[Shortname]], Comp[], 9, FALSE)</f>
        <v>4.33</v>
      </c>
      <c r="M1000">
        <f>VLOOKUP(Table9[[#This Row],[Shortname]], Comp[], 10, FALSE)</f>
        <v>19.649999999999999</v>
      </c>
      <c r="N1000">
        <f>VLOOKUP(Table9[[#This Row],[Shortname]], Comp[], 11, FALSE)</f>
        <v>0</v>
      </c>
      <c r="O1000">
        <f>VLOOKUP(Table9[[#This Row],[Shortname]], Comp[],12, FALSE)</f>
        <v>0.97</v>
      </c>
      <c r="P1000">
        <f>VLOOKUP(Table9[[#This Row],[Shortname]], Comp[], 13, FALSE)</f>
        <v>0</v>
      </c>
      <c r="Q1000">
        <f>VLOOKUP(Table9[[#This Row],[Shortname]], Comp[], 14, FALSE)</f>
        <v>1.89</v>
      </c>
      <c r="R1000">
        <f>VLOOKUP(Table9[[#This Row],[Shortname]], Comp[], 15, FALSE)</f>
        <v>0</v>
      </c>
      <c r="S1000">
        <f>VLOOKUP(Table9[[#This Row],[Shortname]], Comp[], 16, FALSE)</f>
        <v>4.87</v>
      </c>
      <c r="T1000">
        <f>VLOOKUP(Table9[[#This Row],[Shortname]], Comp[], 17, FALSE)</f>
        <v>0</v>
      </c>
      <c r="U1000">
        <f>VLOOKUP(Table9[[#This Row],[Shortname]], Comp[], 18, FALSE)</f>
        <v>0</v>
      </c>
      <c r="V1000">
        <f>VLOOKUP(Table9[[#This Row],[Shortname]], Comp[], 19, FALSE)</f>
        <v>0</v>
      </c>
      <c r="W1000">
        <f>VLOOKUP(Table9[[#This Row],[Shortname]], Comp[], 20, FALSE)</f>
        <v>0</v>
      </c>
      <c r="X1000">
        <f>VLOOKUP(Table9[[#This Row],[Shortname]], Comp[], 21, FALSE)</f>
        <v>0</v>
      </c>
      <c r="Y1000">
        <f>VLOOKUP(Table9[[#This Row],[Shortname]], Comp[], 22, FALSE)</f>
        <v>0</v>
      </c>
      <c r="Z1000">
        <f>VLOOKUP(Table9[[#This Row],[Shortname]], Comp[], 23, FALSE)</f>
        <v>1.67</v>
      </c>
      <c r="AA1000">
        <f>VLOOKUP(Table9[[#This Row],[Shortname]], Comp[], 24, FALSE)</f>
        <v>0</v>
      </c>
      <c r="AB1000">
        <f>VLOOKUP(Table9[[#This Row],[Shortname]], Comp[], 25, FALSE)</f>
        <v>0</v>
      </c>
      <c r="AC1000">
        <f>VLOOKUP(Table9[[#This Row],[Shortname]], Comp[], 26, FALSE)</f>
        <v>0</v>
      </c>
      <c r="AD1000">
        <f>VLOOKUP(Table9[[#This Row],[Shortname]], Comp[], 27, FALSE)</f>
        <v>0</v>
      </c>
      <c r="AE1000">
        <f>VLOOKUP(Table9[[#This Row],[Shortname]], Comp[], 28, FALSE)</f>
        <v>0</v>
      </c>
      <c r="AF1000">
        <f>VLOOKUP(Table9[[#This Row],[Shortname]], Comp[], 29, FALSE)</f>
        <v>0</v>
      </c>
      <c r="AG1000">
        <f>VLOOKUP(Table9[[#This Row],[Shortname]], Comp[], 30, FALSE)</f>
        <v>0</v>
      </c>
      <c r="AH1000">
        <f>VLOOKUP(Table9[[#This Row],[Shortname]], Comp[], 31, FALSE)</f>
        <v>0</v>
      </c>
    </row>
    <row r="1001" spans="1:34" x14ac:dyDescent="0.3">
      <c r="A1001" t="s">
        <v>5761</v>
      </c>
      <c r="B1001" t="s">
        <v>5762</v>
      </c>
      <c r="C1001" t="s">
        <v>5763</v>
      </c>
      <c r="D1001">
        <v>25.225225225225198</v>
      </c>
      <c r="E1001">
        <v>1024.9056603773499</v>
      </c>
      <c r="F1001">
        <v>1E-3</v>
      </c>
      <c r="G1001">
        <v>1</v>
      </c>
      <c r="H1001" t="s">
        <v>6803</v>
      </c>
      <c r="I1001">
        <f>VLOOKUP(Table9[[#This Row],[Shortname]], Comp[], 6, FALSE)</f>
        <v>908</v>
      </c>
      <c r="J1001" s="14">
        <f>VLOOKUP(Table9[[#This Row],[Shortname]], Comp[], 7, FALSE)</f>
        <v>53.599999999999994</v>
      </c>
      <c r="K1001">
        <f>VLOOKUP(Table9[[#This Row],[Shortname]], Comp[], 8, FALSE)</f>
        <v>29.2</v>
      </c>
      <c r="L1001">
        <f>VLOOKUP(Table9[[#This Row],[Shortname]], Comp[], 9, FALSE)</f>
        <v>9.8000000000000007</v>
      </c>
      <c r="M1001">
        <f>VLOOKUP(Table9[[#This Row],[Shortname]], Comp[], 10, FALSE)</f>
        <v>0</v>
      </c>
      <c r="N1001">
        <f>VLOOKUP(Table9[[#This Row],[Shortname]], Comp[], 11, FALSE)</f>
        <v>0</v>
      </c>
      <c r="O1001">
        <f>VLOOKUP(Table9[[#This Row],[Shortname]], Comp[],12, FALSE)</f>
        <v>2.2000000000000002</v>
      </c>
      <c r="P1001">
        <f>VLOOKUP(Table9[[#This Row],[Shortname]], Comp[], 13, FALSE)</f>
        <v>2</v>
      </c>
      <c r="Q1001">
        <f>VLOOKUP(Table9[[#This Row],[Shortname]], Comp[], 14, FALSE)</f>
        <v>3.2</v>
      </c>
      <c r="R1001">
        <f>VLOOKUP(Table9[[#This Row],[Shortname]], Comp[], 15, FALSE)</f>
        <v>0</v>
      </c>
      <c r="S1001">
        <f>VLOOKUP(Table9[[#This Row],[Shortname]], Comp[], 16, FALSE)</f>
        <v>0</v>
      </c>
      <c r="T1001">
        <f>VLOOKUP(Table9[[#This Row],[Shortname]], Comp[], 17, FALSE)</f>
        <v>0</v>
      </c>
      <c r="U1001">
        <f>VLOOKUP(Table9[[#This Row],[Shortname]], Comp[], 18, FALSE)</f>
        <v>0</v>
      </c>
      <c r="V1001">
        <f>VLOOKUP(Table9[[#This Row],[Shortname]], Comp[], 19, FALSE)</f>
        <v>0</v>
      </c>
      <c r="W1001">
        <f>VLOOKUP(Table9[[#This Row],[Shortname]], Comp[], 20, FALSE)</f>
        <v>0</v>
      </c>
      <c r="X1001">
        <f>VLOOKUP(Table9[[#This Row],[Shortname]], Comp[], 21, FALSE)</f>
        <v>0</v>
      </c>
      <c r="Y1001">
        <f>VLOOKUP(Table9[[#This Row],[Shortname]], Comp[], 22, FALSE)</f>
        <v>0</v>
      </c>
      <c r="Z1001">
        <f>VLOOKUP(Table9[[#This Row],[Shortname]], Comp[], 23, FALSE)</f>
        <v>0</v>
      </c>
      <c r="AA1001">
        <f>VLOOKUP(Table9[[#This Row],[Shortname]], Comp[], 24, FALSE)</f>
        <v>0</v>
      </c>
      <c r="AB1001">
        <f>VLOOKUP(Table9[[#This Row],[Shortname]], Comp[], 25, FALSE)</f>
        <v>0</v>
      </c>
      <c r="AC1001">
        <f>VLOOKUP(Table9[[#This Row],[Shortname]], Comp[], 26, FALSE)</f>
        <v>0</v>
      </c>
      <c r="AD1001">
        <f>VLOOKUP(Table9[[#This Row],[Shortname]], Comp[], 27, FALSE)</f>
        <v>0</v>
      </c>
      <c r="AE1001">
        <f>VLOOKUP(Table9[[#This Row],[Shortname]], Comp[], 28, FALSE)</f>
        <v>0</v>
      </c>
      <c r="AF1001">
        <f>VLOOKUP(Table9[[#This Row],[Shortname]], Comp[], 29, FALSE)</f>
        <v>0</v>
      </c>
      <c r="AG1001">
        <f>VLOOKUP(Table9[[#This Row],[Shortname]], Comp[], 30, FALSE)</f>
        <v>0</v>
      </c>
      <c r="AH1001">
        <f>VLOOKUP(Table9[[#This Row],[Shortname]], Comp[], 31, FALSE)</f>
        <v>0</v>
      </c>
    </row>
    <row r="1002" spans="1:34" x14ac:dyDescent="0.3">
      <c r="A1002" t="s">
        <v>5761</v>
      </c>
      <c r="B1002" t="s">
        <v>5762</v>
      </c>
      <c r="C1002" t="s">
        <v>5767</v>
      </c>
      <c r="D1002">
        <v>598.19819819819804</v>
      </c>
      <c r="E1002">
        <v>836.98113207547101</v>
      </c>
      <c r="F1002">
        <v>1E-3</v>
      </c>
      <c r="G1002">
        <v>1</v>
      </c>
      <c r="H1002" t="s">
        <v>6803</v>
      </c>
      <c r="I1002">
        <f>VLOOKUP(Table9[[#This Row],[Shortname]], Comp[], 6, FALSE)</f>
        <v>908</v>
      </c>
      <c r="J1002" s="14">
        <f>VLOOKUP(Table9[[#This Row],[Shortname]], Comp[], 7, FALSE)</f>
        <v>53.599999999999994</v>
      </c>
      <c r="K1002">
        <f>VLOOKUP(Table9[[#This Row],[Shortname]], Comp[], 8, FALSE)</f>
        <v>29.2</v>
      </c>
      <c r="L1002">
        <f>VLOOKUP(Table9[[#This Row],[Shortname]], Comp[], 9, FALSE)</f>
        <v>9.8000000000000007</v>
      </c>
      <c r="M1002">
        <f>VLOOKUP(Table9[[#This Row],[Shortname]], Comp[], 10, FALSE)</f>
        <v>0</v>
      </c>
      <c r="N1002">
        <f>VLOOKUP(Table9[[#This Row],[Shortname]], Comp[], 11, FALSE)</f>
        <v>0</v>
      </c>
      <c r="O1002">
        <f>VLOOKUP(Table9[[#This Row],[Shortname]], Comp[],12, FALSE)</f>
        <v>2.2000000000000002</v>
      </c>
      <c r="P1002">
        <f>VLOOKUP(Table9[[#This Row],[Shortname]], Comp[], 13, FALSE)</f>
        <v>2</v>
      </c>
      <c r="Q1002">
        <f>VLOOKUP(Table9[[#This Row],[Shortname]], Comp[], 14, FALSE)</f>
        <v>3.2</v>
      </c>
      <c r="R1002">
        <f>VLOOKUP(Table9[[#This Row],[Shortname]], Comp[], 15, FALSE)</f>
        <v>0</v>
      </c>
      <c r="S1002">
        <f>VLOOKUP(Table9[[#This Row],[Shortname]], Comp[], 16, FALSE)</f>
        <v>0</v>
      </c>
      <c r="T1002">
        <f>VLOOKUP(Table9[[#This Row],[Shortname]], Comp[], 17, FALSE)</f>
        <v>0</v>
      </c>
      <c r="U1002">
        <f>VLOOKUP(Table9[[#This Row],[Shortname]], Comp[], 18, FALSE)</f>
        <v>0</v>
      </c>
      <c r="V1002">
        <f>VLOOKUP(Table9[[#This Row],[Shortname]], Comp[], 19, FALSE)</f>
        <v>0</v>
      </c>
      <c r="W1002">
        <f>VLOOKUP(Table9[[#This Row],[Shortname]], Comp[], 20, FALSE)</f>
        <v>0</v>
      </c>
      <c r="X1002">
        <f>VLOOKUP(Table9[[#This Row],[Shortname]], Comp[], 21, FALSE)</f>
        <v>0</v>
      </c>
      <c r="Y1002">
        <f>VLOOKUP(Table9[[#This Row],[Shortname]], Comp[], 22, FALSE)</f>
        <v>0</v>
      </c>
      <c r="Z1002">
        <f>VLOOKUP(Table9[[#This Row],[Shortname]], Comp[], 23, FALSE)</f>
        <v>0</v>
      </c>
      <c r="AA1002">
        <f>VLOOKUP(Table9[[#This Row],[Shortname]], Comp[], 24, FALSE)</f>
        <v>0</v>
      </c>
      <c r="AB1002">
        <f>VLOOKUP(Table9[[#This Row],[Shortname]], Comp[], 25, FALSE)</f>
        <v>0</v>
      </c>
      <c r="AC1002">
        <f>VLOOKUP(Table9[[#This Row],[Shortname]], Comp[], 26, FALSE)</f>
        <v>0</v>
      </c>
      <c r="AD1002">
        <f>VLOOKUP(Table9[[#This Row],[Shortname]], Comp[], 27, FALSE)</f>
        <v>0</v>
      </c>
      <c r="AE1002">
        <f>VLOOKUP(Table9[[#This Row],[Shortname]], Comp[], 28, FALSE)</f>
        <v>0</v>
      </c>
      <c r="AF1002">
        <f>VLOOKUP(Table9[[#This Row],[Shortname]], Comp[], 29, FALSE)</f>
        <v>0</v>
      </c>
      <c r="AG1002">
        <f>VLOOKUP(Table9[[#This Row],[Shortname]], Comp[], 30, FALSE)</f>
        <v>0</v>
      </c>
      <c r="AH1002">
        <f>VLOOKUP(Table9[[#This Row],[Shortname]], Comp[], 31, FALSE)</f>
        <v>0</v>
      </c>
    </row>
    <row r="1003" spans="1:34" x14ac:dyDescent="0.3">
      <c r="A1003" t="s">
        <v>5761</v>
      </c>
      <c r="B1003" t="s">
        <v>5762</v>
      </c>
      <c r="C1003" t="s">
        <v>6977</v>
      </c>
      <c r="D1003">
        <v>648.64864864864796</v>
      </c>
      <c r="E1003">
        <v>864.15094339622601</v>
      </c>
      <c r="F1003">
        <v>1E-3</v>
      </c>
      <c r="G1003">
        <v>1</v>
      </c>
      <c r="H1003" t="s">
        <v>6803</v>
      </c>
      <c r="I1003">
        <f>VLOOKUP(Table9[[#This Row],[Shortname]], Comp[], 6, FALSE)</f>
        <v>908</v>
      </c>
      <c r="J1003" s="14">
        <f>VLOOKUP(Table9[[#This Row],[Shortname]], Comp[], 7, FALSE)</f>
        <v>53.599999999999994</v>
      </c>
      <c r="K1003">
        <f>VLOOKUP(Table9[[#This Row],[Shortname]], Comp[], 8, FALSE)</f>
        <v>29.2</v>
      </c>
      <c r="L1003">
        <f>VLOOKUP(Table9[[#This Row],[Shortname]], Comp[], 9, FALSE)</f>
        <v>9.8000000000000007</v>
      </c>
      <c r="M1003">
        <f>VLOOKUP(Table9[[#This Row],[Shortname]], Comp[], 10, FALSE)</f>
        <v>0</v>
      </c>
      <c r="N1003">
        <f>VLOOKUP(Table9[[#This Row],[Shortname]], Comp[], 11, FALSE)</f>
        <v>0</v>
      </c>
      <c r="O1003">
        <f>VLOOKUP(Table9[[#This Row],[Shortname]], Comp[],12, FALSE)</f>
        <v>2.2000000000000002</v>
      </c>
      <c r="P1003">
        <f>VLOOKUP(Table9[[#This Row],[Shortname]], Comp[], 13, FALSE)</f>
        <v>2</v>
      </c>
      <c r="Q1003">
        <f>VLOOKUP(Table9[[#This Row],[Shortname]], Comp[], 14, FALSE)</f>
        <v>3.2</v>
      </c>
      <c r="R1003">
        <f>VLOOKUP(Table9[[#This Row],[Shortname]], Comp[], 15, FALSE)</f>
        <v>0</v>
      </c>
      <c r="S1003">
        <f>VLOOKUP(Table9[[#This Row],[Shortname]], Comp[], 16, FALSE)</f>
        <v>0</v>
      </c>
      <c r="T1003">
        <f>VLOOKUP(Table9[[#This Row],[Shortname]], Comp[], 17, FALSE)</f>
        <v>0</v>
      </c>
      <c r="U1003">
        <f>VLOOKUP(Table9[[#This Row],[Shortname]], Comp[], 18, FALSE)</f>
        <v>0</v>
      </c>
      <c r="V1003">
        <f>VLOOKUP(Table9[[#This Row],[Shortname]], Comp[], 19, FALSE)</f>
        <v>0</v>
      </c>
      <c r="W1003">
        <f>VLOOKUP(Table9[[#This Row],[Shortname]], Comp[], 20, FALSE)</f>
        <v>0</v>
      </c>
      <c r="X1003">
        <f>VLOOKUP(Table9[[#This Row],[Shortname]], Comp[], 21, FALSE)</f>
        <v>0</v>
      </c>
      <c r="Y1003">
        <f>VLOOKUP(Table9[[#This Row],[Shortname]], Comp[], 22, FALSE)</f>
        <v>0</v>
      </c>
      <c r="Z1003">
        <f>VLOOKUP(Table9[[#This Row],[Shortname]], Comp[], 23, FALSE)</f>
        <v>0</v>
      </c>
      <c r="AA1003">
        <f>VLOOKUP(Table9[[#This Row],[Shortname]], Comp[], 24, FALSE)</f>
        <v>0</v>
      </c>
      <c r="AB1003">
        <f>VLOOKUP(Table9[[#This Row],[Shortname]], Comp[], 25, FALSE)</f>
        <v>0</v>
      </c>
      <c r="AC1003">
        <f>VLOOKUP(Table9[[#This Row],[Shortname]], Comp[], 26, FALSE)</f>
        <v>0</v>
      </c>
      <c r="AD1003">
        <f>VLOOKUP(Table9[[#This Row],[Shortname]], Comp[], 27, FALSE)</f>
        <v>0</v>
      </c>
      <c r="AE1003">
        <f>VLOOKUP(Table9[[#This Row],[Shortname]], Comp[], 28, FALSE)</f>
        <v>0</v>
      </c>
      <c r="AF1003">
        <f>VLOOKUP(Table9[[#This Row],[Shortname]], Comp[], 29, FALSE)</f>
        <v>0</v>
      </c>
      <c r="AG1003">
        <f>VLOOKUP(Table9[[#This Row],[Shortname]], Comp[], 30, FALSE)</f>
        <v>0</v>
      </c>
      <c r="AH1003">
        <f>VLOOKUP(Table9[[#This Row],[Shortname]], Comp[], 31, FALSE)</f>
        <v>0</v>
      </c>
    </row>
    <row r="1004" spans="1:34" x14ac:dyDescent="0.3">
      <c r="A1004" t="s">
        <v>5761</v>
      </c>
      <c r="B1004" t="s">
        <v>5762</v>
      </c>
      <c r="C1004" t="s">
        <v>6978</v>
      </c>
      <c r="D1004">
        <v>699.09909909909902</v>
      </c>
      <c r="E1004">
        <v>900.37735849056503</v>
      </c>
      <c r="F1004">
        <v>1E-3</v>
      </c>
      <c r="G1004">
        <v>1</v>
      </c>
      <c r="H1004" t="s">
        <v>6803</v>
      </c>
      <c r="I1004">
        <f>VLOOKUP(Table9[[#This Row],[Shortname]], Comp[], 6, FALSE)</f>
        <v>908</v>
      </c>
      <c r="J1004" s="14">
        <f>VLOOKUP(Table9[[#This Row],[Shortname]], Comp[], 7, FALSE)</f>
        <v>53.599999999999994</v>
      </c>
      <c r="K1004">
        <f>VLOOKUP(Table9[[#This Row],[Shortname]], Comp[], 8, FALSE)</f>
        <v>29.2</v>
      </c>
      <c r="L1004">
        <f>VLOOKUP(Table9[[#This Row],[Shortname]], Comp[], 9, FALSE)</f>
        <v>9.8000000000000007</v>
      </c>
      <c r="M1004">
        <f>VLOOKUP(Table9[[#This Row],[Shortname]], Comp[], 10, FALSE)</f>
        <v>0</v>
      </c>
      <c r="N1004">
        <f>VLOOKUP(Table9[[#This Row],[Shortname]], Comp[], 11, FALSE)</f>
        <v>0</v>
      </c>
      <c r="O1004">
        <f>VLOOKUP(Table9[[#This Row],[Shortname]], Comp[],12, FALSE)</f>
        <v>2.2000000000000002</v>
      </c>
      <c r="P1004">
        <f>VLOOKUP(Table9[[#This Row],[Shortname]], Comp[], 13, FALSE)</f>
        <v>2</v>
      </c>
      <c r="Q1004">
        <f>VLOOKUP(Table9[[#This Row],[Shortname]], Comp[], 14, FALSE)</f>
        <v>3.2</v>
      </c>
      <c r="R1004">
        <f>VLOOKUP(Table9[[#This Row],[Shortname]], Comp[], 15, FALSE)</f>
        <v>0</v>
      </c>
      <c r="S1004">
        <f>VLOOKUP(Table9[[#This Row],[Shortname]], Comp[], 16, FALSE)</f>
        <v>0</v>
      </c>
      <c r="T1004">
        <f>VLOOKUP(Table9[[#This Row],[Shortname]], Comp[], 17, FALSE)</f>
        <v>0</v>
      </c>
      <c r="U1004">
        <f>VLOOKUP(Table9[[#This Row],[Shortname]], Comp[], 18, FALSE)</f>
        <v>0</v>
      </c>
      <c r="V1004">
        <f>VLOOKUP(Table9[[#This Row],[Shortname]], Comp[], 19, FALSE)</f>
        <v>0</v>
      </c>
      <c r="W1004">
        <f>VLOOKUP(Table9[[#This Row],[Shortname]], Comp[], 20, FALSE)</f>
        <v>0</v>
      </c>
      <c r="X1004">
        <f>VLOOKUP(Table9[[#This Row],[Shortname]], Comp[], 21, FALSE)</f>
        <v>0</v>
      </c>
      <c r="Y1004">
        <f>VLOOKUP(Table9[[#This Row],[Shortname]], Comp[], 22, FALSE)</f>
        <v>0</v>
      </c>
      <c r="Z1004">
        <f>VLOOKUP(Table9[[#This Row],[Shortname]], Comp[], 23, FALSE)</f>
        <v>0</v>
      </c>
      <c r="AA1004">
        <f>VLOOKUP(Table9[[#This Row],[Shortname]], Comp[], 24, FALSE)</f>
        <v>0</v>
      </c>
      <c r="AB1004">
        <f>VLOOKUP(Table9[[#This Row],[Shortname]], Comp[], 25, FALSE)</f>
        <v>0</v>
      </c>
      <c r="AC1004">
        <f>VLOOKUP(Table9[[#This Row],[Shortname]], Comp[], 26, FALSE)</f>
        <v>0</v>
      </c>
      <c r="AD1004">
        <f>VLOOKUP(Table9[[#This Row],[Shortname]], Comp[], 27, FALSE)</f>
        <v>0</v>
      </c>
      <c r="AE1004">
        <f>VLOOKUP(Table9[[#This Row],[Shortname]], Comp[], 28, FALSE)</f>
        <v>0</v>
      </c>
      <c r="AF1004">
        <f>VLOOKUP(Table9[[#This Row],[Shortname]], Comp[], 29, FALSE)</f>
        <v>0</v>
      </c>
      <c r="AG1004">
        <f>VLOOKUP(Table9[[#This Row],[Shortname]], Comp[], 30, FALSE)</f>
        <v>0</v>
      </c>
      <c r="AH1004">
        <f>VLOOKUP(Table9[[#This Row],[Shortname]], Comp[], 31, FALSE)</f>
        <v>0</v>
      </c>
    </row>
    <row r="1005" spans="1:34" x14ac:dyDescent="0.3">
      <c r="A1005" t="s">
        <v>5761</v>
      </c>
      <c r="B1005" t="s">
        <v>5762</v>
      </c>
      <c r="C1005" t="s">
        <v>6979</v>
      </c>
      <c r="D1005">
        <v>749.54954954954906</v>
      </c>
      <c r="E1005">
        <v>809.81132075471601</v>
      </c>
      <c r="F1005">
        <v>1E-3</v>
      </c>
      <c r="G1005">
        <v>1</v>
      </c>
      <c r="H1005" t="s">
        <v>6803</v>
      </c>
      <c r="I1005">
        <f>VLOOKUP(Table9[[#This Row],[Shortname]], Comp[], 6, FALSE)</f>
        <v>908</v>
      </c>
      <c r="J1005" s="14">
        <f>VLOOKUP(Table9[[#This Row],[Shortname]], Comp[], 7, FALSE)</f>
        <v>53.599999999999994</v>
      </c>
      <c r="K1005">
        <f>VLOOKUP(Table9[[#This Row],[Shortname]], Comp[], 8, FALSE)</f>
        <v>29.2</v>
      </c>
      <c r="L1005">
        <f>VLOOKUP(Table9[[#This Row],[Shortname]], Comp[], 9, FALSE)</f>
        <v>9.8000000000000007</v>
      </c>
      <c r="M1005">
        <f>VLOOKUP(Table9[[#This Row],[Shortname]], Comp[], 10, FALSE)</f>
        <v>0</v>
      </c>
      <c r="N1005">
        <f>VLOOKUP(Table9[[#This Row],[Shortname]], Comp[], 11, FALSE)</f>
        <v>0</v>
      </c>
      <c r="O1005">
        <f>VLOOKUP(Table9[[#This Row],[Shortname]], Comp[],12, FALSE)</f>
        <v>2.2000000000000002</v>
      </c>
      <c r="P1005">
        <f>VLOOKUP(Table9[[#This Row],[Shortname]], Comp[], 13, FALSE)</f>
        <v>2</v>
      </c>
      <c r="Q1005">
        <f>VLOOKUP(Table9[[#This Row],[Shortname]], Comp[], 14, FALSE)</f>
        <v>3.2</v>
      </c>
      <c r="R1005">
        <f>VLOOKUP(Table9[[#This Row],[Shortname]], Comp[], 15, FALSE)</f>
        <v>0</v>
      </c>
      <c r="S1005">
        <f>VLOOKUP(Table9[[#This Row],[Shortname]], Comp[], 16, FALSE)</f>
        <v>0</v>
      </c>
      <c r="T1005">
        <f>VLOOKUP(Table9[[#This Row],[Shortname]], Comp[], 17, FALSE)</f>
        <v>0</v>
      </c>
      <c r="U1005">
        <f>VLOOKUP(Table9[[#This Row],[Shortname]], Comp[], 18, FALSE)</f>
        <v>0</v>
      </c>
      <c r="V1005">
        <f>VLOOKUP(Table9[[#This Row],[Shortname]], Comp[], 19, FALSE)</f>
        <v>0</v>
      </c>
      <c r="W1005">
        <f>VLOOKUP(Table9[[#This Row],[Shortname]], Comp[], 20, FALSE)</f>
        <v>0</v>
      </c>
      <c r="X1005">
        <f>VLOOKUP(Table9[[#This Row],[Shortname]], Comp[], 21, FALSE)</f>
        <v>0</v>
      </c>
      <c r="Y1005">
        <f>VLOOKUP(Table9[[#This Row],[Shortname]], Comp[], 22, FALSE)</f>
        <v>0</v>
      </c>
      <c r="Z1005">
        <f>VLOOKUP(Table9[[#This Row],[Shortname]], Comp[], 23, FALSE)</f>
        <v>0</v>
      </c>
      <c r="AA1005">
        <f>VLOOKUP(Table9[[#This Row],[Shortname]], Comp[], 24, FALSE)</f>
        <v>0</v>
      </c>
      <c r="AB1005">
        <f>VLOOKUP(Table9[[#This Row],[Shortname]], Comp[], 25, FALSE)</f>
        <v>0</v>
      </c>
      <c r="AC1005">
        <f>VLOOKUP(Table9[[#This Row],[Shortname]], Comp[], 26, FALSE)</f>
        <v>0</v>
      </c>
      <c r="AD1005">
        <f>VLOOKUP(Table9[[#This Row],[Shortname]], Comp[], 27, FALSE)</f>
        <v>0</v>
      </c>
      <c r="AE1005">
        <f>VLOOKUP(Table9[[#This Row],[Shortname]], Comp[], 28, FALSE)</f>
        <v>0</v>
      </c>
      <c r="AF1005">
        <f>VLOOKUP(Table9[[#This Row],[Shortname]], Comp[], 29, FALSE)</f>
        <v>0</v>
      </c>
      <c r="AG1005">
        <f>VLOOKUP(Table9[[#This Row],[Shortname]], Comp[], 30, FALSE)</f>
        <v>0</v>
      </c>
      <c r="AH1005">
        <f>VLOOKUP(Table9[[#This Row],[Shortname]], Comp[], 31, FALSE)</f>
        <v>0</v>
      </c>
    </row>
    <row r="1006" spans="1:34" x14ac:dyDescent="0.3">
      <c r="A1006" t="s">
        <v>5761</v>
      </c>
      <c r="B1006" t="s">
        <v>5762</v>
      </c>
      <c r="C1006" t="s">
        <v>6980</v>
      </c>
      <c r="D1006">
        <v>800</v>
      </c>
      <c r="E1006">
        <v>739.62264150943304</v>
      </c>
      <c r="F1006">
        <v>1E-3</v>
      </c>
      <c r="G1006">
        <v>1</v>
      </c>
      <c r="H1006" t="s">
        <v>6803</v>
      </c>
      <c r="I1006">
        <f>VLOOKUP(Table9[[#This Row],[Shortname]], Comp[], 6, FALSE)</f>
        <v>908</v>
      </c>
      <c r="J1006" s="14">
        <f>VLOOKUP(Table9[[#This Row],[Shortname]], Comp[], 7, FALSE)</f>
        <v>53.599999999999994</v>
      </c>
      <c r="K1006">
        <f>VLOOKUP(Table9[[#This Row],[Shortname]], Comp[], 8, FALSE)</f>
        <v>29.2</v>
      </c>
      <c r="L1006">
        <f>VLOOKUP(Table9[[#This Row],[Shortname]], Comp[], 9, FALSE)</f>
        <v>9.8000000000000007</v>
      </c>
      <c r="M1006">
        <f>VLOOKUP(Table9[[#This Row],[Shortname]], Comp[], 10, FALSE)</f>
        <v>0</v>
      </c>
      <c r="N1006">
        <f>VLOOKUP(Table9[[#This Row],[Shortname]], Comp[], 11, FALSE)</f>
        <v>0</v>
      </c>
      <c r="O1006">
        <f>VLOOKUP(Table9[[#This Row],[Shortname]], Comp[],12, FALSE)</f>
        <v>2.2000000000000002</v>
      </c>
      <c r="P1006">
        <f>VLOOKUP(Table9[[#This Row],[Shortname]], Comp[], 13, FALSE)</f>
        <v>2</v>
      </c>
      <c r="Q1006">
        <f>VLOOKUP(Table9[[#This Row],[Shortname]], Comp[], 14, FALSE)</f>
        <v>3.2</v>
      </c>
      <c r="R1006">
        <f>VLOOKUP(Table9[[#This Row],[Shortname]], Comp[], 15, FALSE)</f>
        <v>0</v>
      </c>
      <c r="S1006">
        <f>VLOOKUP(Table9[[#This Row],[Shortname]], Comp[], 16, FALSE)</f>
        <v>0</v>
      </c>
      <c r="T1006">
        <f>VLOOKUP(Table9[[#This Row],[Shortname]], Comp[], 17, FALSE)</f>
        <v>0</v>
      </c>
      <c r="U1006">
        <f>VLOOKUP(Table9[[#This Row],[Shortname]], Comp[], 18, FALSE)</f>
        <v>0</v>
      </c>
      <c r="V1006">
        <f>VLOOKUP(Table9[[#This Row],[Shortname]], Comp[], 19, FALSE)</f>
        <v>0</v>
      </c>
      <c r="W1006">
        <f>VLOOKUP(Table9[[#This Row],[Shortname]], Comp[], 20, FALSE)</f>
        <v>0</v>
      </c>
      <c r="X1006">
        <f>VLOOKUP(Table9[[#This Row],[Shortname]], Comp[], 21, FALSE)</f>
        <v>0</v>
      </c>
      <c r="Y1006">
        <f>VLOOKUP(Table9[[#This Row],[Shortname]], Comp[], 22, FALSE)</f>
        <v>0</v>
      </c>
      <c r="Z1006">
        <f>VLOOKUP(Table9[[#This Row],[Shortname]], Comp[], 23, FALSE)</f>
        <v>0</v>
      </c>
      <c r="AA1006">
        <f>VLOOKUP(Table9[[#This Row],[Shortname]], Comp[], 24, FALSE)</f>
        <v>0</v>
      </c>
      <c r="AB1006">
        <f>VLOOKUP(Table9[[#This Row],[Shortname]], Comp[], 25, FALSE)</f>
        <v>0</v>
      </c>
      <c r="AC1006">
        <f>VLOOKUP(Table9[[#This Row],[Shortname]], Comp[], 26, FALSE)</f>
        <v>0</v>
      </c>
      <c r="AD1006">
        <f>VLOOKUP(Table9[[#This Row],[Shortname]], Comp[], 27, FALSE)</f>
        <v>0</v>
      </c>
      <c r="AE1006">
        <f>VLOOKUP(Table9[[#This Row],[Shortname]], Comp[], 28, FALSE)</f>
        <v>0</v>
      </c>
      <c r="AF1006">
        <f>VLOOKUP(Table9[[#This Row],[Shortname]], Comp[], 29, FALSE)</f>
        <v>0</v>
      </c>
      <c r="AG1006">
        <f>VLOOKUP(Table9[[#This Row],[Shortname]], Comp[], 30, FALSE)</f>
        <v>0</v>
      </c>
      <c r="AH1006">
        <f>VLOOKUP(Table9[[#This Row],[Shortname]], Comp[], 31, FALSE)</f>
        <v>0</v>
      </c>
    </row>
    <row r="1007" spans="1:34" x14ac:dyDescent="0.3">
      <c r="A1007" t="s">
        <v>5761</v>
      </c>
      <c r="B1007" t="s">
        <v>5762</v>
      </c>
      <c r="C1007" t="s">
        <v>6981</v>
      </c>
      <c r="D1007">
        <v>899.09909909909902</v>
      </c>
      <c r="E1007">
        <v>461.13207547169799</v>
      </c>
      <c r="F1007">
        <v>1E-3</v>
      </c>
      <c r="G1007">
        <v>1</v>
      </c>
      <c r="H1007" t="s">
        <v>6803</v>
      </c>
      <c r="I1007">
        <f>VLOOKUP(Table9[[#This Row],[Shortname]], Comp[], 6, FALSE)</f>
        <v>908</v>
      </c>
      <c r="J1007" s="14">
        <f>VLOOKUP(Table9[[#This Row],[Shortname]], Comp[], 7, FALSE)</f>
        <v>53.599999999999994</v>
      </c>
      <c r="K1007">
        <f>VLOOKUP(Table9[[#This Row],[Shortname]], Comp[], 8, FALSE)</f>
        <v>29.2</v>
      </c>
      <c r="L1007">
        <f>VLOOKUP(Table9[[#This Row],[Shortname]], Comp[], 9, FALSE)</f>
        <v>9.8000000000000007</v>
      </c>
      <c r="M1007">
        <f>VLOOKUP(Table9[[#This Row],[Shortname]], Comp[], 10, FALSE)</f>
        <v>0</v>
      </c>
      <c r="N1007">
        <f>VLOOKUP(Table9[[#This Row],[Shortname]], Comp[], 11, FALSE)</f>
        <v>0</v>
      </c>
      <c r="O1007">
        <f>VLOOKUP(Table9[[#This Row],[Shortname]], Comp[],12, FALSE)</f>
        <v>2.2000000000000002</v>
      </c>
      <c r="P1007">
        <f>VLOOKUP(Table9[[#This Row],[Shortname]], Comp[], 13, FALSE)</f>
        <v>2</v>
      </c>
      <c r="Q1007">
        <f>VLOOKUP(Table9[[#This Row],[Shortname]], Comp[], 14, FALSE)</f>
        <v>3.2</v>
      </c>
      <c r="R1007">
        <f>VLOOKUP(Table9[[#This Row],[Shortname]], Comp[], 15, FALSE)</f>
        <v>0</v>
      </c>
      <c r="S1007">
        <f>VLOOKUP(Table9[[#This Row],[Shortname]], Comp[], 16, FALSE)</f>
        <v>0</v>
      </c>
      <c r="T1007">
        <f>VLOOKUP(Table9[[#This Row],[Shortname]], Comp[], 17, FALSE)</f>
        <v>0</v>
      </c>
      <c r="U1007">
        <f>VLOOKUP(Table9[[#This Row],[Shortname]], Comp[], 18, FALSE)</f>
        <v>0</v>
      </c>
      <c r="V1007">
        <f>VLOOKUP(Table9[[#This Row],[Shortname]], Comp[], 19, FALSE)</f>
        <v>0</v>
      </c>
      <c r="W1007">
        <f>VLOOKUP(Table9[[#This Row],[Shortname]], Comp[], 20, FALSE)</f>
        <v>0</v>
      </c>
      <c r="X1007">
        <f>VLOOKUP(Table9[[#This Row],[Shortname]], Comp[], 21, FALSE)</f>
        <v>0</v>
      </c>
      <c r="Y1007">
        <f>VLOOKUP(Table9[[#This Row],[Shortname]], Comp[], 22, FALSE)</f>
        <v>0</v>
      </c>
      <c r="Z1007">
        <f>VLOOKUP(Table9[[#This Row],[Shortname]], Comp[], 23, FALSE)</f>
        <v>0</v>
      </c>
      <c r="AA1007">
        <f>VLOOKUP(Table9[[#This Row],[Shortname]], Comp[], 24, FALSE)</f>
        <v>0</v>
      </c>
      <c r="AB1007">
        <f>VLOOKUP(Table9[[#This Row],[Shortname]], Comp[], 25, FALSE)</f>
        <v>0</v>
      </c>
      <c r="AC1007">
        <f>VLOOKUP(Table9[[#This Row],[Shortname]], Comp[], 26, FALSE)</f>
        <v>0</v>
      </c>
      <c r="AD1007">
        <f>VLOOKUP(Table9[[#This Row],[Shortname]], Comp[], 27, FALSE)</f>
        <v>0</v>
      </c>
      <c r="AE1007">
        <f>VLOOKUP(Table9[[#This Row],[Shortname]], Comp[], 28, FALSE)</f>
        <v>0</v>
      </c>
      <c r="AF1007">
        <f>VLOOKUP(Table9[[#This Row],[Shortname]], Comp[], 29, FALSE)</f>
        <v>0</v>
      </c>
      <c r="AG1007">
        <f>VLOOKUP(Table9[[#This Row],[Shortname]], Comp[], 30, FALSE)</f>
        <v>0</v>
      </c>
      <c r="AH1007">
        <f>VLOOKUP(Table9[[#This Row],[Shortname]], Comp[], 31, FALSE)</f>
        <v>0</v>
      </c>
    </row>
    <row r="1008" spans="1:34" x14ac:dyDescent="0.3">
      <c r="A1008" t="s">
        <v>5783</v>
      </c>
      <c r="B1008" t="s">
        <v>5784</v>
      </c>
      <c r="C1008" t="s">
        <v>5785</v>
      </c>
      <c r="D1008">
        <v>342.69900000000001</v>
      </c>
      <c r="E1008">
        <v>25</v>
      </c>
      <c r="F1008">
        <v>1E-4</v>
      </c>
      <c r="G1008">
        <v>1</v>
      </c>
      <c r="H1008" t="s">
        <v>6803</v>
      </c>
      <c r="I1008">
        <f>VLOOKUP(Table9[[#This Row],[Shortname]], Comp[], 6, FALSE)</f>
        <v>914</v>
      </c>
      <c r="J1008" s="14">
        <f>VLOOKUP(Table9[[#This Row],[Shortname]], Comp[], 7, FALSE)</f>
        <v>61.6</v>
      </c>
      <c r="K1008">
        <f>VLOOKUP(Table9[[#This Row],[Shortname]], Comp[], 8, FALSE)</f>
        <v>15.4</v>
      </c>
      <c r="L1008">
        <f>VLOOKUP(Table9[[#This Row],[Shortname]], Comp[], 9, FALSE)</f>
        <v>12</v>
      </c>
      <c r="M1008">
        <f>VLOOKUP(Table9[[#This Row],[Shortname]], Comp[], 10, FALSE)</f>
        <v>0</v>
      </c>
      <c r="N1008">
        <f>VLOOKUP(Table9[[#This Row],[Shortname]], Comp[], 11, FALSE)</f>
        <v>9</v>
      </c>
      <c r="O1008">
        <f>VLOOKUP(Table9[[#This Row],[Shortname]], Comp[],12, FALSE)</f>
        <v>0</v>
      </c>
      <c r="P1008">
        <f>VLOOKUP(Table9[[#This Row],[Shortname]], Comp[], 13, FALSE)</f>
        <v>2</v>
      </c>
      <c r="Q1008">
        <f>VLOOKUP(Table9[[#This Row],[Shortname]], Comp[], 14, FALSE)</f>
        <v>0</v>
      </c>
      <c r="R1008">
        <f>VLOOKUP(Table9[[#This Row],[Shortname]], Comp[], 15, FALSE)</f>
        <v>0</v>
      </c>
      <c r="S1008">
        <f>VLOOKUP(Table9[[#This Row],[Shortname]], Comp[], 16, FALSE)</f>
        <v>0</v>
      </c>
      <c r="T1008">
        <f>VLOOKUP(Table9[[#This Row],[Shortname]], Comp[], 17, FALSE)</f>
        <v>0</v>
      </c>
      <c r="U1008">
        <f>VLOOKUP(Table9[[#This Row],[Shortname]], Comp[], 18, FALSE)</f>
        <v>0</v>
      </c>
      <c r="V1008">
        <f>VLOOKUP(Table9[[#This Row],[Shortname]], Comp[], 19, FALSE)</f>
        <v>0</v>
      </c>
      <c r="W1008">
        <f>VLOOKUP(Table9[[#This Row],[Shortname]], Comp[], 20, FALSE)</f>
        <v>0</v>
      </c>
      <c r="X1008">
        <f>VLOOKUP(Table9[[#This Row],[Shortname]], Comp[], 21, FALSE)</f>
        <v>0</v>
      </c>
      <c r="Y1008">
        <f>VLOOKUP(Table9[[#This Row],[Shortname]], Comp[], 22, FALSE)</f>
        <v>0</v>
      </c>
      <c r="Z1008">
        <f>VLOOKUP(Table9[[#This Row],[Shortname]], Comp[], 23, FALSE)</f>
        <v>0</v>
      </c>
      <c r="AA1008">
        <f>VLOOKUP(Table9[[#This Row],[Shortname]], Comp[], 24, FALSE)</f>
        <v>0</v>
      </c>
      <c r="AB1008">
        <f>VLOOKUP(Table9[[#This Row],[Shortname]], Comp[], 25, FALSE)</f>
        <v>0</v>
      </c>
      <c r="AC1008">
        <f>VLOOKUP(Table9[[#This Row],[Shortname]], Comp[], 26, FALSE)</f>
        <v>0</v>
      </c>
      <c r="AD1008">
        <f>VLOOKUP(Table9[[#This Row],[Shortname]], Comp[], 27, FALSE)</f>
        <v>0</v>
      </c>
      <c r="AE1008">
        <f>VLOOKUP(Table9[[#This Row],[Shortname]], Comp[], 28, FALSE)</f>
        <v>0</v>
      </c>
      <c r="AF1008">
        <f>VLOOKUP(Table9[[#This Row],[Shortname]], Comp[], 29, FALSE)</f>
        <v>0</v>
      </c>
      <c r="AG1008">
        <f>VLOOKUP(Table9[[#This Row],[Shortname]], Comp[], 30, FALSE)</f>
        <v>0</v>
      </c>
      <c r="AH1008">
        <f>VLOOKUP(Table9[[#This Row],[Shortname]], Comp[], 31, FALSE)</f>
        <v>0</v>
      </c>
    </row>
    <row r="1009" spans="1:34" x14ac:dyDescent="0.3">
      <c r="A1009" t="s">
        <v>5783</v>
      </c>
      <c r="B1009" t="s">
        <v>5784</v>
      </c>
      <c r="C1009" t="s">
        <v>5785</v>
      </c>
      <c r="D1009">
        <v>313.863</v>
      </c>
      <c r="E1009">
        <v>350.44600000000003</v>
      </c>
      <c r="F1009">
        <v>1E-4</v>
      </c>
      <c r="G1009">
        <v>1</v>
      </c>
      <c r="H1009" t="s">
        <v>6803</v>
      </c>
      <c r="I1009">
        <f>VLOOKUP(Table9[[#This Row],[Shortname]], Comp[], 6, FALSE)</f>
        <v>914</v>
      </c>
      <c r="J1009" s="14">
        <f>VLOOKUP(Table9[[#This Row],[Shortname]], Comp[], 7, FALSE)</f>
        <v>61.6</v>
      </c>
      <c r="K1009">
        <f>VLOOKUP(Table9[[#This Row],[Shortname]], Comp[], 8, FALSE)</f>
        <v>15.4</v>
      </c>
      <c r="L1009">
        <f>VLOOKUP(Table9[[#This Row],[Shortname]], Comp[], 9, FALSE)</f>
        <v>12</v>
      </c>
      <c r="M1009">
        <f>VLOOKUP(Table9[[#This Row],[Shortname]], Comp[], 10, FALSE)</f>
        <v>0</v>
      </c>
      <c r="N1009">
        <f>VLOOKUP(Table9[[#This Row],[Shortname]], Comp[], 11, FALSE)</f>
        <v>9</v>
      </c>
      <c r="O1009">
        <f>VLOOKUP(Table9[[#This Row],[Shortname]], Comp[],12, FALSE)</f>
        <v>0</v>
      </c>
      <c r="P1009">
        <f>VLOOKUP(Table9[[#This Row],[Shortname]], Comp[], 13, FALSE)</f>
        <v>2</v>
      </c>
      <c r="Q1009">
        <f>VLOOKUP(Table9[[#This Row],[Shortname]], Comp[], 14, FALSE)</f>
        <v>0</v>
      </c>
      <c r="R1009">
        <f>VLOOKUP(Table9[[#This Row],[Shortname]], Comp[], 15, FALSE)</f>
        <v>0</v>
      </c>
      <c r="S1009">
        <f>VLOOKUP(Table9[[#This Row],[Shortname]], Comp[], 16, FALSE)</f>
        <v>0</v>
      </c>
      <c r="T1009">
        <f>VLOOKUP(Table9[[#This Row],[Shortname]], Comp[], 17, FALSE)</f>
        <v>0</v>
      </c>
      <c r="U1009">
        <f>VLOOKUP(Table9[[#This Row],[Shortname]], Comp[], 18, FALSE)</f>
        <v>0</v>
      </c>
      <c r="V1009">
        <f>VLOOKUP(Table9[[#This Row],[Shortname]], Comp[], 19, FALSE)</f>
        <v>0</v>
      </c>
      <c r="W1009">
        <f>VLOOKUP(Table9[[#This Row],[Shortname]], Comp[], 20, FALSE)</f>
        <v>0</v>
      </c>
      <c r="X1009">
        <f>VLOOKUP(Table9[[#This Row],[Shortname]], Comp[], 21, FALSE)</f>
        <v>0</v>
      </c>
      <c r="Y1009">
        <f>VLOOKUP(Table9[[#This Row],[Shortname]], Comp[], 22, FALSE)</f>
        <v>0</v>
      </c>
      <c r="Z1009">
        <f>VLOOKUP(Table9[[#This Row],[Shortname]], Comp[], 23, FALSE)</f>
        <v>0</v>
      </c>
      <c r="AA1009">
        <f>VLOOKUP(Table9[[#This Row],[Shortname]], Comp[], 24, FALSE)</f>
        <v>0</v>
      </c>
      <c r="AB1009">
        <f>VLOOKUP(Table9[[#This Row],[Shortname]], Comp[], 25, FALSE)</f>
        <v>0</v>
      </c>
      <c r="AC1009">
        <f>VLOOKUP(Table9[[#This Row],[Shortname]], Comp[], 26, FALSE)</f>
        <v>0</v>
      </c>
      <c r="AD1009">
        <f>VLOOKUP(Table9[[#This Row],[Shortname]], Comp[], 27, FALSE)</f>
        <v>0</v>
      </c>
      <c r="AE1009">
        <f>VLOOKUP(Table9[[#This Row],[Shortname]], Comp[], 28, FALSE)</f>
        <v>0</v>
      </c>
      <c r="AF1009">
        <f>VLOOKUP(Table9[[#This Row],[Shortname]], Comp[], 29, FALSE)</f>
        <v>0</v>
      </c>
      <c r="AG1009">
        <f>VLOOKUP(Table9[[#This Row],[Shortname]], Comp[], 30, FALSE)</f>
        <v>0</v>
      </c>
      <c r="AH1009">
        <f>VLOOKUP(Table9[[#This Row],[Shortname]], Comp[], 31, FALSE)</f>
        <v>0</v>
      </c>
    </row>
    <row r="1010" spans="1:34" x14ac:dyDescent="0.3">
      <c r="A1010" t="s">
        <v>5783</v>
      </c>
      <c r="B1010" t="s">
        <v>5784</v>
      </c>
      <c r="C1010" t="s">
        <v>5785</v>
      </c>
      <c r="D1010">
        <v>316.08100000000002</v>
      </c>
      <c r="E1010">
        <v>397.91699999999997</v>
      </c>
      <c r="F1010">
        <v>1E-4</v>
      </c>
      <c r="G1010">
        <v>1</v>
      </c>
      <c r="H1010" t="s">
        <v>6803</v>
      </c>
      <c r="I1010">
        <f>VLOOKUP(Table9[[#This Row],[Shortname]], Comp[], 6, FALSE)</f>
        <v>914</v>
      </c>
      <c r="J1010" s="14">
        <f>VLOOKUP(Table9[[#This Row],[Shortname]], Comp[], 7, FALSE)</f>
        <v>61.6</v>
      </c>
      <c r="K1010">
        <f>VLOOKUP(Table9[[#This Row],[Shortname]], Comp[], 8, FALSE)</f>
        <v>15.4</v>
      </c>
      <c r="L1010">
        <f>VLOOKUP(Table9[[#This Row],[Shortname]], Comp[], 9, FALSE)</f>
        <v>12</v>
      </c>
      <c r="M1010">
        <f>VLOOKUP(Table9[[#This Row],[Shortname]], Comp[], 10, FALSE)</f>
        <v>0</v>
      </c>
      <c r="N1010">
        <f>VLOOKUP(Table9[[#This Row],[Shortname]], Comp[], 11, FALSE)</f>
        <v>9</v>
      </c>
      <c r="O1010">
        <f>VLOOKUP(Table9[[#This Row],[Shortname]], Comp[],12, FALSE)</f>
        <v>0</v>
      </c>
      <c r="P1010">
        <f>VLOOKUP(Table9[[#This Row],[Shortname]], Comp[], 13, FALSE)</f>
        <v>2</v>
      </c>
      <c r="Q1010">
        <f>VLOOKUP(Table9[[#This Row],[Shortname]], Comp[], 14, FALSE)</f>
        <v>0</v>
      </c>
      <c r="R1010">
        <f>VLOOKUP(Table9[[#This Row],[Shortname]], Comp[], 15, FALSE)</f>
        <v>0</v>
      </c>
      <c r="S1010">
        <f>VLOOKUP(Table9[[#This Row],[Shortname]], Comp[], 16, FALSE)</f>
        <v>0</v>
      </c>
      <c r="T1010">
        <f>VLOOKUP(Table9[[#This Row],[Shortname]], Comp[], 17, FALSE)</f>
        <v>0</v>
      </c>
      <c r="U1010">
        <f>VLOOKUP(Table9[[#This Row],[Shortname]], Comp[], 18, FALSE)</f>
        <v>0</v>
      </c>
      <c r="V1010">
        <f>VLOOKUP(Table9[[#This Row],[Shortname]], Comp[], 19, FALSE)</f>
        <v>0</v>
      </c>
      <c r="W1010">
        <f>VLOOKUP(Table9[[#This Row],[Shortname]], Comp[], 20, FALSE)</f>
        <v>0</v>
      </c>
      <c r="X1010">
        <f>VLOOKUP(Table9[[#This Row],[Shortname]], Comp[], 21, FALSE)</f>
        <v>0</v>
      </c>
      <c r="Y1010">
        <f>VLOOKUP(Table9[[#This Row],[Shortname]], Comp[], 22, FALSE)</f>
        <v>0</v>
      </c>
      <c r="Z1010">
        <f>VLOOKUP(Table9[[#This Row],[Shortname]], Comp[], 23, FALSE)</f>
        <v>0</v>
      </c>
      <c r="AA1010">
        <f>VLOOKUP(Table9[[#This Row],[Shortname]], Comp[], 24, FALSE)</f>
        <v>0</v>
      </c>
      <c r="AB1010">
        <f>VLOOKUP(Table9[[#This Row],[Shortname]], Comp[], 25, FALSE)</f>
        <v>0</v>
      </c>
      <c r="AC1010">
        <f>VLOOKUP(Table9[[#This Row],[Shortname]], Comp[], 26, FALSE)</f>
        <v>0</v>
      </c>
      <c r="AD1010">
        <f>VLOOKUP(Table9[[#This Row],[Shortname]], Comp[], 27, FALSE)</f>
        <v>0</v>
      </c>
      <c r="AE1010">
        <f>VLOOKUP(Table9[[#This Row],[Shortname]], Comp[], 28, FALSE)</f>
        <v>0</v>
      </c>
      <c r="AF1010">
        <f>VLOOKUP(Table9[[#This Row],[Shortname]], Comp[], 29, FALSE)</f>
        <v>0</v>
      </c>
      <c r="AG1010">
        <f>VLOOKUP(Table9[[#This Row],[Shortname]], Comp[], 30, FALSE)</f>
        <v>0</v>
      </c>
      <c r="AH1010">
        <f>VLOOKUP(Table9[[#This Row],[Shortname]], Comp[], 31, FALSE)</f>
        <v>0</v>
      </c>
    </row>
    <row r="1011" spans="1:34" x14ac:dyDescent="0.3">
      <c r="A1011" t="s">
        <v>5783</v>
      </c>
      <c r="B1011" t="s">
        <v>5784</v>
      </c>
      <c r="C1011" t="s">
        <v>5785</v>
      </c>
      <c r="D1011">
        <v>301.66399999999999</v>
      </c>
      <c r="E1011">
        <v>451.935</v>
      </c>
      <c r="F1011">
        <v>1E-4</v>
      </c>
      <c r="G1011">
        <v>1</v>
      </c>
      <c r="H1011" t="s">
        <v>6803</v>
      </c>
      <c r="I1011">
        <f>VLOOKUP(Table9[[#This Row],[Shortname]], Comp[], 6, FALSE)</f>
        <v>914</v>
      </c>
      <c r="J1011" s="14">
        <f>VLOOKUP(Table9[[#This Row],[Shortname]], Comp[], 7, FALSE)</f>
        <v>61.6</v>
      </c>
      <c r="K1011">
        <f>VLOOKUP(Table9[[#This Row],[Shortname]], Comp[], 8, FALSE)</f>
        <v>15.4</v>
      </c>
      <c r="L1011">
        <f>VLOOKUP(Table9[[#This Row],[Shortname]], Comp[], 9, FALSE)</f>
        <v>12</v>
      </c>
      <c r="M1011">
        <f>VLOOKUP(Table9[[#This Row],[Shortname]], Comp[], 10, FALSE)</f>
        <v>0</v>
      </c>
      <c r="N1011">
        <f>VLOOKUP(Table9[[#This Row],[Shortname]], Comp[], 11, FALSE)</f>
        <v>9</v>
      </c>
      <c r="O1011">
        <f>VLOOKUP(Table9[[#This Row],[Shortname]], Comp[],12, FALSE)</f>
        <v>0</v>
      </c>
      <c r="P1011">
        <f>VLOOKUP(Table9[[#This Row],[Shortname]], Comp[], 13, FALSE)</f>
        <v>2</v>
      </c>
      <c r="Q1011">
        <f>VLOOKUP(Table9[[#This Row],[Shortname]], Comp[], 14, FALSE)</f>
        <v>0</v>
      </c>
      <c r="R1011">
        <f>VLOOKUP(Table9[[#This Row],[Shortname]], Comp[], 15, FALSE)</f>
        <v>0</v>
      </c>
      <c r="S1011">
        <f>VLOOKUP(Table9[[#This Row],[Shortname]], Comp[], 16, FALSE)</f>
        <v>0</v>
      </c>
      <c r="T1011">
        <f>VLOOKUP(Table9[[#This Row],[Shortname]], Comp[], 17, FALSE)</f>
        <v>0</v>
      </c>
      <c r="U1011">
        <f>VLOOKUP(Table9[[#This Row],[Shortname]], Comp[], 18, FALSE)</f>
        <v>0</v>
      </c>
      <c r="V1011">
        <f>VLOOKUP(Table9[[#This Row],[Shortname]], Comp[], 19, FALSE)</f>
        <v>0</v>
      </c>
      <c r="W1011">
        <f>VLOOKUP(Table9[[#This Row],[Shortname]], Comp[], 20, FALSE)</f>
        <v>0</v>
      </c>
      <c r="X1011">
        <f>VLOOKUP(Table9[[#This Row],[Shortname]], Comp[], 21, FALSE)</f>
        <v>0</v>
      </c>
      <c r="Y1011">
        <f>VLOOKUP(Table9[[#This Row],[Shortname]], Comp[], 22, FALSE)</f>
        <v>0</v>
      </c>
      <c r="Z1011">
        <f>VLOOKUP(Table9[[#This Row],[Shortname]], Comp[], 23, FALSE)</f>
        <v>0</v>
      </c>
      <c r="AA1011">
        <f>VLOOKUP(Table9[[#This Row],[Shortname]], Comp[], 24, FALSE)</f>
        <v>0</v>
      </c>
      <c r="AB1011">
        <f>VLOOKUP(Table9[[#This Row],[Shortname]], Comp[], 25, FALSE)</f>
        <v>0</v>
      </c>
      <c r="AC1011">
        <f>VLOOKUP(Table9[[#This Row],[Shortname]], Comp[], 26, FALSE)</f>
        <v>0</v>
      </c>
      <c r="AD1011">
        <f>VLOOKUP(Table9[[#This Row],[Shortname]], Comp[], 27, FALSE)</f>
        <v>0</v>
      </c>
      <c r="AE1011">
        <f>VLOOKUP(Table9[[#This Row],[Shortname]], Comp[], 28, FALSE)</f>
        <v>0</v>
      </c>
      <c r="AF1011">
        <f>VLOOKUP(Table9[[#This Row],[Shortname]], Comp[], 29, FALSE)</f>
        <v>0</v>
      </c>
      <c r="AG1011">
        <f>VLOOKUP(Table9[[#This Row],[Shortname]], Comp[], 30, FALSE)</f>
        <v>0</v>
      </c>
      <c r="AH1011">
        <f>VLOOKUP(Table9[[#This Row],[Shortname]], Comp[], 31, FALSE)</f>
        <v>0</v>
      </c>
    </row>
    <row r="1012" spans="1:34" x14ac:dyDescent="0.3">
      <c r="A1012" t="s">
        <v>5783</v>
      </c>
      <c r="B1012" t="s">
        <v>5784</v>
      </c>
      <c r="C1012" t="s">
        <v>5785</v>
      </c>
      <c r="D1012">
        <v>344.91699999999997</v>
      </c>
      <c r="E1012">
        <v>502.67899999999997</v>
      </c>
      <c r="F1012">
        <v>1E-4</v>
      </c>
      <c r="G1012">
        <v>1</v>
      </c>
      <c r="H1012" t="s">
        <v>6803</v>
      </c>
      <c r="I1012">
        <f>VLOOKUP(Table9[[#This Row],[Shortname]], Comp[], 6, FALSE)</f>
        <v>914</v>
      </c>
      <c r="J1012" s="14">
        <f>VLOOKUP(Table9[[#This Row],[Shortname]], Comp[], 7, FALSE)</f>
        <v>61.6</v>
      </c>
      <c r="K1012">
        <f>VLOOKUP(Table9[[#This Row],[Shortname]], Comp[], 8, FALSE)</f>
        <v>15.4</v>
      </c>
      <c r="L1012">
        <f>VLOOKUP(Table9[[#This Row],[Shortname]], Comp[], 9, FALSE)</f>
        <v>12</v>
      </c>
      <c r="M1012">
        <f>VLOOKUP(Table9[[#This Row],[Shortname]], Comp[], 10, FALSE)</f>
        <v>0</v>
      </c>
      <c r="N1012">
        <f>VLOOKUP(Table9[[#This Row],[Shortname]], Comp[], 11, FALSE)</f>
        <v>9</v>
      </c>
      <c r="O1012">
        <f>VLOOKUP(Table9[[#This Row],[Shortname]], Comp[],12, FALSE)</f>
        <v>0</v>
      </c>
      <c r="P1012">
        <f>VLOOKUP(Table9[[#This Row],[Shortname]], Comp[], 13, FALSE)</f>
        <v>2</v>
      </c>
      <c r="Q1012">
        <f>VLOOKUP(Table9[[#This Row],[Shortname]], Comp[], 14, FALSE)</f>
        <v>0</v>
      </c>
      <c r="R1012">
        <f>VLOOKUP(Table9[[#This Row],[Shortname]], Comp[], 15, FALSE)</f>
        <v>0</v>
      </c>
      <c r="S1012">
        <f>VLOOKUP(Table9[[#This Row],[Shortname]], Comp[], 16, FALSE)</f>
        <v>0</v>
      </c>
      <c r="T1012">
        <f>VLOOKUP(Table9[[#This Row],[Shortname]], Comp[], 17, FALSE)</f>
        <v>0</v>
      </c>
      <c r="U1012">
        <f>VLOOKUP(Table9[[#This Row],[Shortname]], Comp[], 18, FALSE)</f>
        <v>0</v>
      </c>
      <c r="V1012">
        <f>VLOOKUP(Table9[[#This Row],[Shortname]], Comp[], 19, FALSE)</f>
        <v>0</v>
      </c>
      <c r="W1012">
        <f>VLOOKUP(Table9[[#This Row],[Shortname]], Comp[], 20, FALSE)</f>
        <v>0</v>
      </c>
      <c r="X1012">
        <f>VLOOKUP(Table9[[#This Row],[Shortname]], Comp[], 21, FALSE)</f>
        <v>0</v>
      </c>
      <c r="Y1012">
        <f>VLOOKUP(Table9[[#This Row],[Shortname]], Comp[], 22, FALSE)</f>
        <v>0</v>
      </c>
      <c r="Z1012">
        <f>VLOOKUP(Table9[[#This Row],[Shortname]], Comp[], 23, FALSE)</f>
        <v>0</v>
      </c>
      <c r="AA1012">
        <f>VLOOKUP(Table9[[#This Row],[Shortname]], Comp[], 24, FALSE)</f>
        <v>0</v>
      </c>
      <c r="AB1012">
        <f>VLOOKUP(Table9[[#This Row],[Shortname]], Comp[], 25, FALSE)</f>
        <v>0</v>
      </c>
      <c r="AC1012">
        <f>VLOOKUP(Table9[[#This Row],[Shortname]], Comp[], 26, FALSE)</f>
        <v>0</v>
      </c>
      <c r="AD1012">
        <f>VLOOKUP(Table9[[#This Row],[Shortname]], Comp[], 27, FALSE)</f>
        <v>0</v>
      </c>
      <c r="AE1012">
        <f>VLOOKUP(Table9[[#This Row],[Shortname]], Comp[], 28, FALSE)</f>
        <v>0</v>
      </c>
      <c r="AF1012">
        <f>VLOOKUP(Table9[[#This Row],[Shortname]], Comp[], 29, FALSE)</f>
        <v>0</v>
      </c>
      <c r="AG1012">
        <f>VLOOKUP(Table9[[#This Row],[Shortname]], Comp[], 30, FALSE)</f>
        <v>0</v>
      </c>
      <c r="AH1012">
        <f>VLOOKUP(Table9[[#This Row],[Shortname]], Comp[], 31, FALSE)</f>
        <v>0</v>
      </c>
    </row>
    <row r="1013" spans="1:34" x14ac:dyDescent="0.3">
      <c r="A1013" t="s">
        <v>5783</v>
      </c>
      <c r="B1013" t="s">
        <v>5784</v>
      </c>
      <c r="C1013" t="s">
        <v>5785</v>
      </c>
      <c r="D1013">
        <v>371.53399999999999</v>
      </c>
      <c r="E1013">
        <v>523.95799999999997</v>
      </c>
      <c r="F1013">
        <v>1E-4</v>
      </c>
      <c r="G1013">
        <v>1</v>
      </c>
      <c r="H1013" t="s">
        <v>6803</v>
      </c>
      <c r="I1013">
        <f>VLOOKUP(Table9[[#This Row],[Shortname]], Comp[], 6, FALSE)</f>
        <v>914</v>
      </c>
      <c r="J1013" s="14">
        <f>VLOOKUP(Table9[[#This Row],[Shortname]], Comp[], 7, FALSE)</f>
        <v>61.6</v>
      </c>
      <c r="K1013">
        <f>VLOOKUP(Table9[[#This Row],[Shortname]], Comp[], 8, FALSE)</f>
        <v>15.4</v>
      </c>
      <c r="L1013">
        <f>VLOOKUP(Table9[[#This Row],[Shortname]], Comp[], 9, FALSE)</f>
        <v>12</v>
      </c>
      <c r="M1013">
        <f>VLOOKUP(Table9[[#This Row],[Shortname]], Comp[], 10, FALSE)</f>
        <v>0</v>
      </c>
      <c r="N1013">
        <f>VLOOKUP(Table9[[#This Row],[Shortname]], Comp[], 11, FALSE)</f>
        <v>9</v>
      </c>
      <c r="O1013">
        <f>VLOOKUP(Table9[[#This Row],[Shortname]], Comp[],12, FALSE)</f>
        <v>0</v>
      </c>
      <c r="P1013">
        <f>VLOOKUP(Table9[[#This Row],[Shortname]], Comp[], 13, FALSE)</f>
        <v>2</v>
      </c>
      <c r="Q1013">
        <f>VLOOKUP(Table9[[#This Row],[Shortname]], Comp[], 14, FALSE)</f>
        <v>0</v>
      </c>
      <c r="R1013">
        <f>VLOOKUP(Table9[[#This Row],[Shortname]], Comp[], 15, FALSE)</f>
        <v>0</v>
      </c>
      <c r="S1013">
        <f>VLOOKUP(Table9[[#This Row],[Shortname]], Comp[], 16, FALSE)</f>
        <v>0</v>
      </c>
      <c r="T1013">
        <f>VLOOKUP(Table9[[#This Row],[Shortname]], Comp[], 17, FALSE)</f>
        <v>0</v>
      </c>
      <c r="U1013">
        <f>VLOOKUP(Table9[[#This Row],[Shortname]], Comp[], 18, FALSE)</f>
        <v>0</v>
      </c>
      <c r="V1013">
        <f>VLOOKUP(Table9[[#This Row],[Shortname]], Comp[], 19, FALSE)</f>
        <v>0</v>
      </c>
      <c r="W1013">
        <f>VLOOKUP(Table9[[#This Row],[Shortname]], Comp[], 20, FALSE)</f>
        <v>0</v>
      </c>
      <c r="X1013">
        <f>VLOOKUP(Table9[[#This Row],[Shortname]], Comp[], 21, FALSE)</f>
        <v>0</v>
      </c>
      <c r="Y1013">
        <f>VLOOKUP(Table9[[#This Row],[Shortname]], Comp[], 22, FALSE)</f>
        <v>0</v>
      </c>
      <c r="Z1013">
        <f>VLOOKUP(Table9[[#This Row],[Shortname]], Comp[], 23, FALSE)</f>
        <v>0</v>
      </c>
      <c r="AA1013">
        <f>VLOOKUP(Table9[[#This Row],[Shortname]], Comp[], 24, FALSE)</f>
        <v>0</v>
      </c>
      <c r="AB1013">
        <f>VLOOKUP(Table9[[#This Row],[Shortname]], Comp[], 25, FALSE)</f>
        <v>0</v>
      </c>
      <c r="AC1013">
        <f>VLOOKUP(Table9[[#This Row],[Shortname]], Comp[], 26, FALSE)</f>
        <v>0</v>
      </c>
      <c r="AD1013">
        <f>VLOOKUP(Table9[[#This Row],[Shortname]], Comp[], 27, FALSE)</f>
        <v>0</v>
      </c>
      <c r="AE1013">
        <f>VLOOKUP(Table9[[#This Row],[Shortname]], Comp[], 28, FALSE)</f>
        <v>0</v>
      </c>
      <c r="AF1013">
        <f>VLOOKUP(Table9[[#This Row],[Shortname]], Comp[], 29, FALSE)</f>
        <v>0</v>
      </c>
      <c r="AG1013">
        <f>VLOOKUP(Table9[[#This Row],[Shortname]], Comp[], 30, FALSE)</f>
        <v>0</v>
      </c>
      <c r="AH1013">
        <f>VLOOKUP(Table9[[#This Row],[Shortname]], Comp[], 31, FALSE)</f>
        <v>0</v>
      </c>
    </row>
    <row r="1014" spans="1:34" x14ac:dyDescent="0.3">
      <c r="A1014" t="s">
        <v>5783</v>
      </c>
      <c r="B1014" t="s">
        <v>5784</v>
      </c>
      <c r="C1014" t="s">
        <v>5785</v>
      </c>
      <c r="D1014">
        <v>377.07900000000001</v>
      </c>
      <c r="E1014">
        <v>551.78599999999994</v>
      </c>
      <c r="F1014">
        <v>1E-4</v>
      </c>
      <c r="G1014">
        <v>1</v>
      </c>
      <c r="H1014" t="s">
        <v>6803</v>
      </c>
      <c r="I1014">
        <f>VLOOKUP(Table9[[#This Row],[Shortname]], Comp[], 6, FALSE)</f>
        <v>914</v>
      </c>
      <c r="J1014" s="14">
        <f>VLOOKUP(Table9[[#This Row],[Shortname]], Comp[], 7, FALSE)</f>
        <v>61.6</v>
      </c>
      <c r="K1014">
        <f>VLOOKUP(Table9[[#This Row],[Shortname]], Comp[], 8, FALSE)</f>
        <v>15.4</v>
      </c>
      <c r="L1014">
        <f>VLOOKUP(Table9[[#This Row],[Shortname]], Comp[], 9, FALSE)</f>
        <v>12</v>
      </c>
      <c r="M1014">
        <f>VLOOKUP(Table9[[#This Row],[Shortname]], Comp[], 10, FALSE)</f>
        <v>0</v>
      </c>
      <c r="N1014">
        <f>VLOOKUP(Table9[[#This Row],[Shortname]], Comp[], 11, FALSE)</f>
        <v>9</v>
      </c>
      <c r="O1014">
        <f>VLOOKUP(Table9[[#This Row],[Shortname]], Comp[],12, FALSE)</f>
        <v>0</v>
      </c>
      <c r="P1014">
        <f>VLOOKUP(Table9[[#This Row],[Shortname]], Comp[], 13, FALSE)</f>
        <v>2</v>
      </c>
      <c r="Q1014">
        <f>VLOOKUP(Table9[[#This Row],[Shortname]], Comp[], 14, FALSE)</f>
        <v>0</v>
      </c>
      <c r="R1014">
        <f>VLOOKUP(Table9[[#This Row],[Shortname]], Comp[], 15, FALSE)</f>
        <v>0</v>
      </c>
      <c r="S1014">
        <f>VLOOKUP(Table9[[#This Row],[Shortname]], Comp[], 16, FALSE)</f>
        <v>0</v>
      </c>
      <c r="T1014">
        <f>VLOOKUP(Table9[[#This Row],[Shortname]], Comp[], 17, FALSE)</f>
        <v>0</v>
      </c>
      <c r="U1014">
        <f>VLOOKUP(Table9[[#This Row],[Shortname]], Comp[], 18, FALSE)</f>
        <v>0</v>
      </c>
      <c r="V1014">
        <f>VLOOKUP(Table9[[#This Row],[Shortname]], Comp[], 19, FALSE)</f>
        <v>0</v>
      </c>
      <c r="W1014">
        <f>VLOOKUP(Table9[[#This Row],[Shortname]], Comp[], 20, FALSE)</f>
        <v>0</v>
      </c>
      <c r="X1014">
        <f>VLOOKUP(Table9[[#This Row],[Shortname]], Comp[], 21, FALSE)</f>
        <v>0</v>
      </c>
      <c r="Y1014">
        <f>VLOOKUP(Table9[[#This Row],[Shortname]], Comp[], 22, FALSE)</f>
        <v>0</v>
      </c>
      <c r="Z1014">
        <f>VLOOKUP(Table9[[#This Row],[Shortname]], Comp[], 23, FALSE)</f>
        <v>0</v>
      </c>
      <c r="AA1014">
        <f>VLOOKUP(Table9[[#This Row],[Shortname]], Comp[], 24, FALSE)</f>
        <v>0</v>
      </c>
      <c r="AB1014">
        <f>VLOOKUP(Table9[[#This Row],[Shortname]], Comp[], 25, FALSE)</f>
        <v>0</v>
      </c>
      <c r="AC1014">
        <f>VLOOKUP(Table9[[#This Row],[Shortname]], Comp[], 26, FALSE)</f>
        <v>0</v>
      </c>
      <c r="AD1014">
        <f>VLOOKUP(Table9[[#This Row],[Shortname]], Comp[], 27, FALSE)</f>
        <v>0</v>
      </c>
      <c r="AE1014">
        <f>VLOOKUP(Table9[[#This Row],[Shortname]], Comp[], 28, FALSE)</f>
        <v>0</v>
      </c>
      <c r="AF1014">
        <f>VLOOKUP(Table9[[#This Row],[Shortname]], Comp[], 29, FALSE)</f>
        <v>0</v>
      </c>
      <c r="AG1014">
        <f>VLOOKUP(Table9[[#This Row],[Shortname]], Comp[], 30, FALSE)</f>
        <v>0</v>
      </c>
      <c r="AH1014">
        <f>VLOOKUP(Table9[[#This Row],[Shortname]], Comp[], 31, FALSE)</f>
        <v>0</v>
      </c>
    </row>
    <row r="1015" spans="1:34" x14ac:dyDescent="0.3">
      <c r="A1015" t="s">
        <v>5783</v>
      </c>
      <c r="B1015" t="s">
        <v>5784</v>
      </c>
      <c r="C1015" t="s">
        <v>5785</v>
      </c>
      <c r="D1015">
        <v>353.78899999999999</v>
      </c>
      <c r="E1015">
        <v>548.51199999999994</v>
      </c>
      <c r="F1015">
        <v>1E-4</v>
      </c>
      <c r="G1015">
        <v>1</v>
      </c>
      <c r="H1015" t="s">
        <v>6803</v>
      </c>
      <c r="I1015">
        <f>VLOOKUP(Table9[[#This Row],[Shortname]], Comp[], 6, FALSE)</f>
        <v>914</v>
      </c>
      <c r="J1015" s="14">
        <f>VLOOKUP(Table9[[#This Row],[Shortname]], Comp[], 7, FALSE)</f>
        <v>61.6</v>
      </c>
      <c r="K1015">
        <f>VLOOKUP(Table9[[#This Row],[Shortname]], Comp[], 8, FALSE)</f>
        <v>15.4</v>
      </c>
      <c r="L1015">
        <f>VLOOKUP(Table9[[#This Row],[Shortname]], Comp[], 9, FALSE)</f>
        <v>12</v>
      </c>
      <c r="M1015">
        <f>VLOOKUP(Table9[[#This Row],[Shortname]], Comp[], 10, FALSE)</f>
        <v>0</v>
      </c>
      <c r="N1015">
        <f>VLOOKUP(Table9[[#This Row],[Shortname]], Comp[], 11, FALSE)</f>
        <v>9</v>
      </c>
      <c r="O1015">
        <f>VLOOKUP(Table9[[#This Row],[Shortname]], Comp[],12, FALSE)</f>
        <v>0</v>
      </c>
      <c r="P1015">
        <f>VLOOKUP(Table9[[#This Row],[Shortname]], Comp[], 13, FALSE)</f>
        <v>2</v>
      </c>
      <c r="Q1015">
        <f>VLOOKUP(Table9[[#This Row],[Shortname]], Comp[], 14, FALSE)</f>
        <v>0</v>
      </c>
      <c r="R1015">
        <f>VLOOKUP(Table9[[#This Row],[Shortname]], Comp[], 15, FALSE)</f>
        <v>0</v>
      </c>
      <c r="S1015">
        <f>VLOOKUP(Table9[[#This Row],[Shortname]], Comp[], 16, FALSE)</f>
        <v>0</v>
      </c>
      <c r="T1015">
        <f>VLOOKUP(Table9[[#This Row],[Shortname]], Comp[], 17, FALSE)</f>
        <v>0</v>
      </c>
      <c r="U1015">
        <f>VLOOKUP(Table9[[#This Row],[Shortname]], Comp[], 18, FALSE)</f>
        <v>0</v>
      </c>
      <c r="V1015">
        <f>VLOOKUP(Table9[[#This Row],[Shortname]], Comp[], 19, FALSE)</f>
        <v>0</v>
      </c>
      <c r="W1015">
        <f>VLOOKUP(Table9[[#This Row],[Shortname]], Comp[], 20, FALSE)</f>
        <v>0</v>
      </c>
      <c r="X1015">
        <f>VLOOKUP(Table9[[#This Row],[Shortname]], Comp[], 21, FALSE)</f>
        <v>0</v>
      </c>
      <c r="Y1015">
        <f>VLOOKUP(Table9[[#This Row],[Shortname]], Comp[], 22, FALSE)</f>
        <v>0</v>
      </c>
      <c r="Z1015">
        <f>VLOOKUP(Table9[[#This Row],[Shortname]], Comp[], 23, FALSE)</f>
        <v>0</v>
      </c>
      <c r="AA1015">
        <f>VLOOKUP(Table9[[#This Row],[Shortname]], Comp[], 24, FALSE)</f>
        <v>0</v>
      </c>
      <c r="AB1015">
        <f>VLOOKUP(Table9[[#This Row],[Shortname]], Comp[], 25, FALSE)</f>
        <v>0</v>
      </c>
      <c r="AC1015">
        <f>VLOOKUP(Table9[[#This Row],[Shortname]], Comp[], 26, FALSE)</f>
        <v>0</v>
      </c>
      <c r="AD1015">
        <f>VLOOKUP(Table9[[#This Row],[Shortname]], Comp[], 27, FALSE)</f>
        <v>0</v>
      </c>
      <c r="AE1015">
        <f>VLOOKUP(Table9[[#This Row],[Shortname]], Comp[], 28, FALSE)</f>
        <v>0</v>
      </c>
      <c r="AF1015">
        <f>VLOOKUP(Table9[[#This Row],[Shortname]], Comp[], 29, FALSE)</f>
        <v>0</v>
      </c>
      <c r="AG1015">
        <f>VLOOKUP(Table9[[#This Row],[Shortname]], Comp[], 30, FALSE)</f>
        <v>0</v>
      </c>
      <c r="AH1015">
        <f>VLOOKUP(Table9[[#This Row],[Shortname]], Comp[], 31, FALSE)</f>
        <v>0</v>
      </c>
    </row>
    <row r="1016" spans="1:34" x14ac:dyDescent="0.3">
      <c r="A1016" t="s">
        <v>5783</v>
      </c>
      <c r="B1016" t="s">
        <v>5784</v>
      </c>
      <c r="C1016" t="s">
        <v>5785</v>
      </c>
      <c r="D1016">
        <v>374.86099999999999</v>
      </c>
      <c r="E1016">
        <v>600.89300000000003</v>
      </c>
      <c r="F1016">
        <v>1E-4</v>
      </c>
      <c r="G1016">
        <v>1</v>
      </c>
      <c r="H1016" t="s">
        <v>6803</v>
      </c>
      <c r="I1016">
        <f>VLOOKUP(Table9[[#This Row],[Shortname]], Comp[], 6, FALSE)</f>
        <v>914</v>
      </c>
      <c r="J1016" s="14">
        <f>VLOOKUP(Table9[[#This Row],[Shortname]], Comp[], 7, FALSE)</f>
        <v>61.6</v>
      </c>
      <c r="K1016">
        <f>VLOOKUP(Table9[[#This Row],[Shortname]], Comp[], 8, FALSE)</f>
        <v>15.4</v>
      </c>
      <c r="L1016">
        <f>VLOOKUP(Table9[[#This Row],[Shortname]], Comp[], 9, FALSE)</f>
        <v>12</v>
      </c>
      <c r="M1016">
        <f>VLOOKUP(Table9[[#This Row],[Shortname]], Comp[], 10, FALSE)</f>
        <v>0</v>
      </c>
      <c r="N1016">
        <f>VLOOKUP(Table9[[#This Row],[Shortname]], Comp[], 11, FALSE)</f>
        <v>9</v>
      </c>
      <c r="O1016">
        <f>VLOOKUP(Table9[[#This Row],[Shortname]], Comp[],12, FALSE)</f>
        <v>0</v>
      </c>
      <c r="P1016">
        <f>VLOOKUP(Table9[[#This Row],[Shortname]], Comp[], 13, FALSE)</f>
        <v>2</v>
      </c>
      <c r="Q1016">
        <f>VLOOKUP(Table9[[#This Row],[Shortname]], Comp[], 14, FALSE)</f>
        <v>0</v>
      </c>
      <c r="R1016">
        <f>VLOOKUP(Table9[[#This Row],[Shortname]], Comp[], 15, FALSE)</f>
        <v>0</v>
      </c>
      <c r="S1016">
        <f>VLOOKUP(Table9[[#This Row],[Shortname]], Comp[], 16, FALSE)</f>
        <v>0</v>
      </c>
      <c r="T1016">
        <f>VLOOKUP(Table9[[#This Row],[Shortname]], Comp[], 17, FALSE)</f>
        <v>0</v>
      </c>
      <c r="U1016">
        <f>VLOOKUP(Table9[[#This Row],[Shortname]], Comp[], 18, FALSE)</f>
        <v>0</v>
      </c>
      <c r="V1016">
        <f>VLOOKUP(Table9[[#This Row],[Shortname]], Comp[], 19, FALSE)</f>
        <v>0</v>
      </c>
      <c r="W1016">
        <f>VLOOKUP(Table9[[#This Row],[Shortname]], Comp[], 20, FALSE)</f>
        <v>0</v>
      </c>
      <c r="X1016">
        <f>VLOOKUP(Table9[[#This Row],[Shortname]], Comp[], 21, FALSE)</f>
        <v>0</v>
      </c>
      <c r="Y1016">
        <f>VLOOKUP(Table9[[#This Row],[Shortname]], Comp[], 22, FALSE)</f>
        <v>0</v>
      </c>
      <c r="Z1016">
        <f>VLOOKUP(Table9[[#This Row],[Shortname]], Comp[], 23, FALSE)</f>
        <v>0</v>
      </c>
      <c r="AA1016">
        <f>VLOOKUP(Table9[[#This Row],[Shortname]], Comp[], 24, FALSE)</f>
        <v>0</v>
      </c>
      <c r="AB1016">
        <f>VLOOKUP(Table9[[#This Row],[Shortname]], Comp[], 25, FALSE)</f>
        <v>0</v>
      </c>
      <c r="AC1016">
        <f>VLOOKUP(Table9[[#This Row],[Shortname]], Comp[], 26, FALSE)</f>
        <v>0</v>
      </c>
      <c r="AD1016">
        <f>VLOOKUP(Table9[[#This Row],[Shortname]], Comp[], 27, FALSE)</f>
        <v>0</v>
      </c>
      <c r="AE1016">
        <f>VLOOKUP(Table9[[#This Row],[Shortname]], Comp[], 28, FALSE)</f>
        <v>0</v>
      </c>
      <c r="AF1016">
        <f>VLOOKUP(Table9[[#This Row],[Shortname]], Comp[], 29, FALSE)</f>
        <v>0</v>
      </c>
      <c r="AG1016">
        <f>VLOOKUP(Table9[[#This Row],[Shortname]], Comp[], 30, FALSE)</f>
        <v>0</v>
      </c>
      <c r="AH1016">
        <f>VLOOKUP(Table9[[#This Row],[Shortname]], Comp[], 31, FALSE)</f>
        <v>0</v>
      </c>
    </row>
    <row r="1017" spans="1:34" x14ac:dyDescent="0.3">
      <c r="A1017" t="s">
        <v>5783</v>
      </c>
      <c r="B1017" t="s">
        <v>5784</v>
      </c>
      <c r="C1017" t="s">
        <v>5785</v>
      </c>
      <c r="D1017">
        <v>431.423</v>
      </c>
      <c r="E1017">
        <v>700.74400000000003</v>
      </c>
      <c r="F1017">
        <v>1E-4</v>
      </c>
      <c r="G1017">
        <v>1</v>
      </c>
      <c r="H1017" t="s">
        <v>6803</v>
      </c>
      <c r="I1017">
        <f>VLOOKUP(Table9[[#This Row],[Shortname]], Comp[], 6, FALSE)</f>
        <v>914</v>
      </c>
      <c r="J1017" s="14">
        <f>VLOOKUP(Table9[[#This Row],[Shortname]], Comp[], 7, FALSE)</f>
        <v>61.6</v>
      </c>
      <c r="K1017">
        <f>VLOOKUP(Table9[[#This Row],[Shortname]], Comp[], 8, FALSE)</f>
        <v>15.4</v>
      </c>
      <c r="L1017">
        <f>VLOOKUP(Table9[[#This Row],[Shortname]], Comp[], 9, FALSE)</f>
        <v>12</v>
      </c>
      <c r="M1017">
        <f>VLOOKUP(Table9[[#This Row],[Shortname]], Comp[], 10, FALSE)</f>
        <v>0</v>
      </c>
      <c r="N1017">
        <f>VLOOKUP(Table9[[#This Row],[Shortname]], Comp[], 11, FALSE)</f>
        <v>9</v>
      </c>
      <c r="O1017">
        <f>VLOOKUP(Table9[[#This Row],[Shortname]], Comp[],12, FALSE)</f>
        <v>0</v>
      </c>
      <c r="P1017">
        <f>VLOOKUP(Table9[[#This Row],[Shortname]], Comp[], 13, FALSE)</f>
        <v>2</v>
      </c>
      <c r="Q1017">
        <f>VLOOKUP(Table9[[#This Row],[Shortname]], Comp[], 14, FALSE)</f>
        <v>0</v>
      </c>
      <c r="R1017">
        <f>VLOOKUP(Table9[[#This Row],[Shortname]], Comp[], 15, FALSE)</f>
        <v>0</v>
      </c>
      <c r="S1017">
        <f>VLOOKUP(Table9[[#This Row],[Shortname]], Comp[], 16, FALSE)</f>
        <v>0</v>
      </c>
      <c r="T1017">
        <f>VLOOKUP(Table9[[#This Row],[Shortname]], Comp[], 17, FALSE)</f>
        <v>0</v>
      </c>
      <c r="U1017">
        <f>VLOOKUP(Table9[[#This Row],[Shortname]], Comp[], 18, FALSE)</f>
        <v>0</v>
      </c>
      <c r="V1017">
        <f>VLOOKUP(Table9[[#This Row],[Shortname]], Comp[], 19, FALSE)</f>
        <v>0</v>
      </c>
      <c r="W1017">
        <f>VLOOKUP(Table9[[#This Row],[Shortname]], Comp[], 20, FALSE)</f>
        <v>0</v>
      </c>
      <c r="X1017">
        <f>VLOOKUP(Table9[[#This Row],[Shortname]], Comp[], 21, FALSE)</f>
        <v>0</v>
      </c>
      <c r="Y1017">
        <f>VLOOKUP(Table9[[#This Row],[Shortname]], Comp[], 22, FALSE)</f>
        <v>0</v>
      </c>
      <c r="Z1017">
        <f>VLOOKUP(Table9[[#This Row],[Shortname]], Comp[], 23, FALSE)</f>
        <v>0</v>
      </c>
      <c r="AA1017">
        <f>VLOOKUP(Table9[[#This Row],[Shortname]], Comp[], 24, FALSE)</f>
        <v>0</v>
      </c>
      <c r="AB1017">
        <f>VLOOKUP(Table9[[#This Row],[Shortname]], Comp[], 25, FALSE)</f>
        <v>0</v>
      </c>
      <c r="AC1017">
        <f>VLOOKUP(Table9[[#This Row],[Shortname]], Comp[], 26, FALSE)</f>
        <v>0</v>
      </c>
      <c r="AD1017">
        <f>VLOOKUP(Table9[[#This Row],[Shortname]], Comp[], 27, FALSE)</f>
        <v>0</v>
      </c>
      <c r="AE1017">
        <f>VLOOKUP(Table9[[#This Row],[Shortname]], Comp[], 28, FALSE)</f>
        <v>0</v>
      </c>
      <c r="AF1017">
        <f>VLOOKUP(Table9[[#This Row],[Shortname]], Comp[], 29, FALSE)</f>
        <v>0</v>
      </c>
      <c r="AG1017">
        <f>VLOOKUP(Table9[[#This Row],[Shortname]], Comp[], 30, FALSE)</f>
        <v>0</v>
      </c>
      <c r="AH1017">
        <f>VLOOKUP(Table9[[#This Row],[Shortname]], Comp[], 31, FALSE)</f>
        <v>0</v>
      </c>
    </row>
    <row r="1018" spans="1:34" x14ac:dyDescent="0.3">
      <c r="A1018" t="s">
        <v>5783</v>
      </c>
      <c r="B1018" t="s">
        <v>5784</v>
      </c>
      <c r="C1018" t="s">
        <v>5785</v>
      </c>
      <c r="D1018">
        <v>444.73200000000003</v>
      </c>
      <c r="E1018">
        <v>800.59500000000003</v>
      </c>
      <c r="F1018">
        <v>1E-4</v>
      </c>
      <c r="G1018">
        <v>1</v>
      </c>
      <c r="H1018" t="s">
        <v>6803</v>
      </c>
      <c r="I1018">
        <f>VLOOKUP(Table9[[#This Row],[Shortname]], Comp[], 6, FALSE)</f>
        <v>914</v>
      </c>
      <c r="J1018" s="14">
        <f>VLOOKUP(Table9[[#This Row],[Shortname]], Comp[], 7, FALSE)</f>
        <v>61.6</v>
      </c>
      <c r="K1018">
        <f>VLOOKUP(Table9[[#This Row],[Shortname]], Comp[], 8, FALSE)</f>
        <v>15.4</v>
      </c>
      <c r="L1018">
        <f>VLOOKUP(Table9[[#This Row],[Shortname]], Comp[], 9, FALSE)</f>
        <v>12</v>
      </c>
      <c r="M1018">
        <f>VLOOKUP(Table9[[#This Row],[Shortname]], Comp[], 10, FALSE)</f>
        <v>0</v>
      </c>
      <c r="N1018">
        <f>VLOOKUP(Table9[[#This Row],[Shortname]], Comp[], 11, FALSE)</f>
        <v>9</v>
      </c>
      <c r="O1018">
        <f>VLOOKUP(Table9[[#This Row],[Shortname]], Comp[],12, FALSE)</f>
        <v>0</v>
      </c>
      <c r="P1018">
        <f>VLOOKUP(Table9[[#This Row],[Shortname]], Comp[], 13, FALSE)</f>
        <v>2</v>
      </c>
      <c r="Q1018">
        <f>VLOOKUP(Table9[[#This Row],[Shortname]], Comp[], 14, FALSE)</f>
        <v>0</v>
      </c>
      <c r="R1018">
        <f>VLOOKUP(Table9[[#This Row],[Shortname]], Comp[], 15, FALSE)</f>
        <v>0</v>
      </c>
      <c r="S1018">
        <f>VLOOKUP(Table9[[#This Row],[Shortname]], Comp[], 16, FALSE)</f>
        <v>0</v>
      </c>
      <c r="T1018">
        <f>VLOOKUP(Table9[[#This Row],[Shortname]], Comp[], 17, FALSE)</f>
        <v>0</v>
      </c>
      <c r="U1018">
        <f>VLOOKUP(Table9[[#This Row],[Shortname]], Comp[], 18, FALSE)</f>
        <v>0</v>
      </c>
      <c r="V1018">
        <f>VLOOKUP(Table9[[#This Row],[Shortname]], Comp[], 19, FALSE)</f>
        <v>0</v>
      </c>
      <c r="W1018">
        <f>VLOOKUP(Table9[[#This Row],[Shortname]], Comp[], 20, FALSE)</f>
        <v>0</v>
      </c>
      <c r="X1018">
        <f>VLOOKUP(Table9[[#This Row],[Shortname]], Comp[], 21, FALSE)</f>
        <v>0</v>
      </c>
      <c r="Y1018">
        <f>VLOOKUP(Table9[[#This Row],[Shortname]], Comp[], 22, FALSE)</f>
        <v>0</v>
      </c>
      <c r="Z1018">
        <f>VLOOKUP(Table9[[#This Row],[Shortname]], Comp[], 23, FALSE)</f>
        <v>0</v>
      </c>
      <c r="AA1018">
        <f>VLOOKUP(Table9[[#This Row],[Shortname]], Comp[], 24, FALSE)</f>
        <v>0</v>
      </c>
      <c r="AB1018">
        <f>VLOOKUP(Table9[[#This Row],[Shortname]], Comp[], 25, FALSE)</f>
        <v>0</v>
      </c>
      <c r="AC1018">
        <f>VLOOKUP(Table9[[#This Row],[Shortname]], Comp[], 26, FALSE)</f>
        <v>0</v>
      </c>
      <c r="AD1018">
        <f>VLOOKUP(Table9[[#This Row],[Shortname]], Comp[], 27, FALSE)</f>
        <v>0</v>
      </c>
      <c r="AE1018">
        <f>VLOOKUP(Table9[[#This Row],[Shortname]], Comp[], 28, FALSE)</f>
        <v>0</v>
      </c>
      <c r="AF1018">
        <f>VLOOKUP(Table9[[#This Row],[Shortname]], Comp[], 29, FALSE)</f>
        <v>0</v>
      </c>
      <c r="AG1018">
        <f>VLOOKUP(Table9[[#This Row],[Shortname]], Comp[], 30, FALSE)</f>
        <v>0</v>
      </c>
      <c r="AH1018">
        <f>VLOOKUP(Table9[[#This Row],[Shortname]], Comp[], 31, FALSE)</f>
        <v>0</v>
      </c>
    </row>
    <row r="1019" spans="1:34" x14ac:dyDescent="0.3">
      <c r="A1019" t="s">
        <v>5783</v>
      </c>
      <c r="B1019" t="s">
        <v>5784</v>
      </c>
      <c r="C1019" t="s">
        <v>5785</v>
      </c>
      <c r="D1019">
        <v>495.74900000000002</v>
      </c>
      <c r="E1019">
        <v>898.81</v>
      </c>
      <c r="F1019">
        <v>1E-4</v>
      </c>
      <c r="G1019">
        <v>1</v>
      </c>
      <c r="H1019" t="s">
        <v>6803</v>
      </c>
      <c r="I1019">
        <f>VLOOKUP(Table9[[#This Row],[Shortname]], Comp[], 6, FALSE)</f>
        <v>914</v>
      </c>
      <c r="J1019" s="14">
        <f>VLOOKUP(Table9[[#This Row],[Shortname]], Comp[], 7, FALSE)</f>
        <v>61.6</v>
      </c>
      <c r="K1019">
        <f>VLOOKUP(Table9[[#This Row],[Shortname]], Comp[], 8, FALSE)</f>
        <v>15.4</v>
      </c>
      <c r="L1019">
        <f>VLOOKUP(Table9[[#This Row],[Shortname]], Comp[], 9, FALSE)</f>
        <v>12</v>
      </c>
      <c r="M1019">
        <f>VLOOKUP(Table9[[#This Row],[Shortname]], Comp[], 10, FALSE)</f>
        <v>0</v>
      </c>
      <c r="N1019">
        <f>VLOOKUP(Table9[[#This Row],[Shortname]], Comp[], 11, FALSE)</f>
        <v>9</v>
      </c>
      <c r="O1019">
        <f>VLOOKUP(Table9[[#This Row],[Shortname]], Comp[],12, FALSE)</f>
        <v>0</v>
      </c>
      <c r="P1019">
        <f>VLOOKUP(Table9[[#This Row],[Shortname]], Comp[], 13, FALSE)</f>
        <v>2</v>
      </c>
      <c r="Q1019">
        <f>VLOOKUP(Table9[[#This Row],[Shortname]], Comp[], 14, FALSE)</f>
        <v>0</v>
      </c>
      <c r="R1019">
        <f>VLOOKUP(Table9[[#This Row],[Shortname]], Comp[], 15, FALSE)</f>
        <v>0</v>
      </c>
      <c r="S1019">
        <f>VLOOKUP(Table9[[#This Row],[Shortname]], Comp[], 16, FALSE)</f>
        <v>0</v>
      </c>
      <c r="T1019">
        <f>VLOOKUP(Table9[[#This Row],[Shortname]], Comp[], 17, FALSE)</f>
        <v>0</v>
      </c>
      <c r="U1019">
        <f>VLOOKUP(Table9[[#This Row],[Shortname]], Comp[], 18, FALSE)</f>
        <v>0</v>
      </c>
      <c r="V1019">
        <f>VLOOKUP(Table9[[#This Row],[Shortname]], Comp[], 19, FALSE)</f>
        <v>0</v>
      </c>
      <c r="W1019">
        <f>VLOOKUP(Table9[[#This Row],[Shortname]], Comp[], 20, FALSE)</f>
        <v>0</v>
      </c>
      <c r="X1019">
        <f>VLOOKUP(Table9[[#This Row],[Shortname]], Comp[], 21, FALSE)</f>
        <v>0</v>
      </c>
      <c r="Y1019">
        <f>VLOOKUP(Table9[[#This Row],[Shortname]], Comp[], 22, FALSE)</f>
        <v>0</v>
      </c>
      <c r="Z1019">
        <f>VLOOKUP(Table9[[#This Row],[Shortname]], Comp[], 23, FALSE)</f>
        <v>0</v>
      </c>
      <c r="AA1019">
        <f>VLOOKUP(Table9[[#This Row],[Shortname]], Comp[], 24, FALSE)</f>
        <v>0</v>
      </c>
      <c r="AB1019">
        <f>VLOOKUP(Table9[[#This Row],[Shortname]], Comp[], 25, FALSE)</f>
        <v>0</v>
      </c>
      <c r="AC1019">
        <f>VLOOKUP(Table9[[#This Row],[Shortname]], Comp[], 26, FALSE)</f>
        <v>0</v>
      </c>
      <c r="AD1019">
        <f>VLOOKUP(Table9[[#This Row],[Shortname]], Comp[], 27, FALSE)</f>
        <v>0</v>
      </c>
      <c r="AE1019">
        <f>VLOOKUP(Table9[[#This Row],[Shortname]], Comp[], 28, FALSE)</f>
        <v>0</v>
      </c>
      <c r="AF1019">
        <f>VLOOKUP(Table9[[#This Row],[Shortname]], Comp[], 29, FALSE)</f>
        <v>0</v>
      </c>
      <c r="AG1019">
        <f>VLOOKUP(Table9[[#This Row],[Shortname]], Comp[], 30, FALSE)</f>
        <v>0</v>
      </c>
      <c r="AH1019">
        <f>VLOOKUP(Table9[[#This Row],[Shortname]], Comp[], 31, FALSE)</f>
        <v>0</v>
      </c>
    </row>
    <row r="1020" spans="1:34" x14ac:dyDescent="0.3">
      <c r="A1020" t="s">
        <v>5783</v>
      </c>
      <c r="B1020" t="s">
        <v>5784</v>
      </c>
      <c r="C1020" t="s">
        <v>5785</v>
      </c>
      <c r="D1020">
        <v>482.44</v>
      </c>
      <c r="E1020">
        <v>949.55399999999997</v>
      </c>
      <c r="F1020">
        <v>1E-4</v>
      </c>
      <c r="G1020">
        <v>1</v>
      </c>
      <c r="H1020" t="s">
        <v>6803</v>
      </c>
      <c r="I1020">
        <f>VLOOKUP(Table9[[#This Row],[Shortname]], Comp[], 6, FALSE)</f>
        <v>914</v>
      </c>
      <c r="J1020" s="14">
        <f>VLOOKUP(Table9[[#This Row],[Shortname]], Comp[], 7, FALSE)</f>
        <v>61.6</v>
      </c>
      <c r="K1020">
        <f>VLOOKUP(Table9[[#This Row],[Shortname]], Comp[], 8, FALSE)</f>
        <v>15.4</v>
      </c>
      <c r="L1020">
        <f>VLOOKUP(Table9[[#This Row],[Shortname]], Comp[], 9, FALSE)</f>
        <v>12</v>
      </c>
      <c r="M1020">
        <f>VLOOKUP(Table9[[#This Row],[Shortname]], Comp[], 10, FALSE)</f>
        <v>0</v>
      </c>
      <c r="N1020">
        <f>VLOOKUP(Table9[[#This Row],[Shortname]], Comp[], 11, FALSE)</f>
        <v>9</v>
      </c>
      <c r="O1020">
        <f>VLOOKUP(Table9[[#This Row],[Shortname]], Comp[],12, FALSE)</f>
        <v>0</v>
      </c>
      <c r="P1020">
        <f>VLOOKUP(Table9[[#This Row],[Shortname]], Comp[], 13, FALSE)</f>
        <v>2</v>
      </c>
      <c r="Q1020">
        <f>VLOOKUP(Table9[[#This Row],[Shortname]], Comp[], 14, FALSE)</f>
        <v>0</v>
      </c>
      <c r="R1020">
        <f>VLOOKUP(Table9[[#This Row],[Shortname]], Comp[], 15, FALSE)</f>
        <v>0</v>
      </c>
      <c r="S1020">
        <f>VLOOKUP(Table9[[#This Row],[Shortname]], Comp[], 16, FALSE)</f>
        <v>0</v>
      </c>
      <c r="T1020">
        <f>VLOOKUP(Table9[[#This Row],[Shortname]], Comp[], 17, FALSE)</f>
        <v>0</v>
      </c>
      <c r="U1020">
        <f>VLOOKUP(Table9[[#This Row],[Shortname]], Comp[], 18, FALSE)</f>
        <v>0</v>
      </c>
      <c r="V1020">
        <f>VLOOKUP(Table9[[#This Row],[Shortname]], Comp[], 19, FALSE)</f>
        <v>0</v>
      </c>
      <c r="W1020">
        <f>VLOOKUP(Table9[[#This Row],[Shortname]], Comp[], 20, FALSE)</f>
        <v>0</v>
      </c>
      <c r="X1020">
        <f>VLOOKUP(Table9[[#This Row],[Shortname]], Comp[], 21, FALSE)</f>
        <v>0</v>
      </c>
      <c r="Y1020">
        <f>VLOOKUP(Table9[[#This Row],[Shortname]], Comp[], 22, FALSE)</f>
        <v>0</v>
      </c>
      <c r="Z1020">
        <f>VLOOKUP(Table9[[#This Row],[Shortname]], Comp[], 23, FALSE)</f>
        <v>0</v>
      </c>
      <c r="AA1020">
        <f>VLOOKUP(Table9[[#This Row],[Shortname]], Comp[], 24, FALSE)</f>
        <v>0</v>
      </c>
      <c r="AB1020">
        <f>VLOOKUP(Table9[[#This Row],[Shortname]], Comp[], 25, FALSE)</f>
        <v>0</v>
      </c>
      <c r="AC1020">
        <f>VLOOKUP(Table9[[#This Row],[Shortname]], Comp[], 26, FALSE)</f>
        <v>0</v>
      </c>
      <c r="AD1020">
        <f>VLOOKUP(Table9[[#This Row],[Shortname]], Comp[], 27, FALSE)</f>
        <v>0</v>
      </c>
      <c r="AE1020">
        <f>VLOOKUP(Table9[[#This Row],[Shortname]], Comp[], 28, FALSE)</f>
        <v>0</v>
      </c>
      <c r="AF1020">
        <f>VLOOKUP(Table9[[#This Row],[Shortname]], Comp[], 29, FALSE)</f>
        <v>0</v>
      </c>
      <c r="AG1020">
        <f>VLOOKUP(Table9[[#This Row],[Shortname]], Comp[], 30, FALSE)</f>
        <v>0</v>
      </c>
      <c r="AH1020">
        <f>VLOOKUP(Table9[[#This Row],[Shortname]], Comp[], 31, FALSE)</f>
        <v>0</v>
      </c>
    </row>
    <row r="1021" spans="1:34" x14ac:dyDescent="0.3">
      <c r="A1021" t="s">
        <v>5783</v>
      </c>
      <c r="B1021" t="s">
        <v>5784</v>
      </c>
      <c r="C1021" t="s">
        <v>5785</v>
      </c>
      <c r="D1021">
        <v>456.93200000000002</v>
      </c>
      <c r="E1021">
        <v>1000.3</v>
      </c>
      <c r="F1021">
        <v>1E-4</v>
      </c>
      <c r="G1021">
        <v>1</v>
      </c>
      <c r="H1021" t="s">
        <v>6803</v>
      </c>
      <c r="I1021">
        <f>VLOOKUP(Table9[[#This Row],[Shortname]], Comp[], 6, FALSE)</f>
        <v>914</v>
      </c>
      <c r="J1021" s="14">
        <f>VLOOKUP(Table9[[#This Row],[Shortname]], Comp[], 7, FALSE)</f>
        <v>61.6</v>
      </c>
      <c r="K1021">
        <f>VLOOKUP(Table9[[#This Row],[Shortname]], Comp[], 8, FALSE)</f>
        <v>15.4</v>
      </c>
      <c r="L1021">
        <f>VLOOKUP(Table9[[#This Row],[Shortname]], Comp[], 9, FALSE)</f>
        <v>12</v>
      </c>
      <c r="M1021">
        <f>VLOOKUP(Table9[[#This Row],[Shortname]], Comp[], 10, FALSE)</f>
        <v>0</v>
      </c>
      <c r="N1021">
        <f>VLOOKUP(Table9[[#This Row],[Shortname]], Comp[], 11, FALSE)</f>
        <v>9</v>
      </c>
      <c r="O1021">
        <f>VLOOKUP(Table9[[#This Row],[Shortname]], Comp[],12, FALSE)</f>
        <v>0</v>
      </c>
      <c r="P1021">
        <f>VLOOKUP(Table9[[#This Row],[Shortname]], Comp[], 13, FALSE)</f>
        <v>2</v>
      </c>
      <c r="Q1021">
        <f>VLOOKUP(Table9[[#This Row],[Shortname]], Comp[], 14, FALSE)</f>
        <v>0</v>
      </c>
      <c r="R1021">
        <f>VLOOKUP(Table9[[#This Row],[Shortname]], Comp[], 15, FALSE)</f>
        <v>0</v>
      </c>
      <c r="S1021">
        <f>VLOOKUP(Table9[[#This Row],[Shortname]], Comp[], 16, FALSE)</f>
        <v>0</v>
      </c>
      <c r="T1021">
        <f>VLOOKUP(Table9[[#This Row],[Shortname]], Comp[], 17, FALSE)</f>
        <v>0</v>
      </c>
      <c r="U1021">
        <f>VLOOKUP(Table9[[#This Row],[Shortname]], Comp[], 18, FALSE)</f>
        <v>0</v>
      </c>
      <c r="V1021">
        <f>VLOOKUP(Table9[[#This Row],[Shortname]], Comp[], 19, FALSE)</f>
        <v>0</v>
      </c>
      <c r="W1021">
        <f>VLOOKUP(Table9[[#This Row],[Shortname]], Comp[], 20, FALSE)</f>
        <v>0</v>
      </c>
      <c r="X1021">
        <f>VLOOKUP(Table9[[#This Row],[Shortname]], Comp[], 21, FALSE)</f>
        <v>0</v>
      </c>
      <c r="Y1021">
        <f>VLOOKUP(Table9[[#This Row],[Shortname]], Comp[], 22, FALSE)</f>
        <v>0</v>
      </c>
      <c r="Z1021">
        <f>VLOOKUP(Table9[[#This Row],[Shortname]], Comp[], 23, FALSE)</f>
        <v>0</v>
      </c>
      <c r="AA1021">
        <f>VLOOKUP(Table9[[#This Row],[Shortname]], Comp[], 24, FALSE)</f>
        <v>0</v>
      </c>
      <c r="AB1021">
        <f>VLOOKUP(Table9[[#This Row],[Shortname]], Comp[], 25, FALSE)</f>
        <v>0</v>
      </c>
      <c r="AC1021">
        <f>VLOOKUP(Table9[[#This Row],[Shortname]], Comp[], 26, FALSE)</f>
        <v>0</v>
      </c>
      <c r="AD1021">
        <f>VLOOKUP(Table9[[#This Row],[Shortname]], Comp[], 27, FALSE)</f>
        <v>0</v>
      </c>
      <c r="AE1021">
        <f>VLOOKUP(Table9[[#This Row],[Shortname]], Comp[], 28, FALSE)</f>
        <v>0</v>
      </c>
      <c r="AF1021">
        <f>VLOOKUP(Table9[[#This Row],[Shortname]], Comp[], 29, FALSE)</f>
        <v>0</v>
      </c>
      <c r="AG1021">
        <f>VLOOKUP(Table9[[#This Row],[Shortname]], Comp[], 30, FALSE)</f>
        <v>0</v>
      </c>
      <c r="AH1021">
        <f>VLOOKUP(Table9[[#This Row],[Shortname]], Comp[], 31, FALSE)</f>
        <v>0</v>
      </c>
    </row>
    <row r="1022" spans="1:34" x14ac:dyDescent="0.3">
      <c r="A1022" t="s">
        <v>5783</v>
      </c>
      <c r="B1022" t="s">
        <v>5784</v>
      </c>
      <c r="C1022" t="s">
        <v>5785</v>
      </c>
      <c r="D1022">
        <v>369.31599999999997</v>
      </c>
      <c r="E1022">
        <v>1026.49</v>
      </c>
      <c r="F1022">
        <v>1E-4</v>
      </c>
      <c r="G1022">
        <v>1</v>
      </c>
      <c r="H1022" t="s">
        <v>6803</v>
      </c>
      <c r="I1022">
        <f>VLOOKUP(Table9[[#This Row],[Shortname]], Comp[], 6, FALSE)</f>
        <v>914</v>
      </c>
      <c r="J1022" s="14">
        <f>VLOOKUP(Table9[[#This Row],[Shortname]], Comp[], 7, FALSE)</f>
        <v>61.6</v>
      </c>
      <c r="K1022">
        <f>VLOOKUP(Table9[[#This Row],[Shortname]], Comp[], 8, FALSE)</f>
        <v>15.4</v>
      </c>
      <c r="L1022">
        <f>VLOOKUP(Table9[[#This Row],[Shortname]], Comp[], 9, FALSE)</f>
        <v>12</v>
      </c>
      <c r="M1022">
        <f>VLOOKUP(Table9[[#This Row],[Shortname]], Comp[], 10, FALSE)</f>
        <v>0</v>
      </c>
      <c r="N1022">
        <f>VLOOKUP(Table9[[#This Row],[Shortname]], Comp[], 11, FALSE)</f>
        <v>9</v>
      </c>
      <c r="O1022">
        <f>VLOOKUP(Table9[[#This Row],[Shortname]], Comp[],12, FALSE)</f>
        <v>0</v>
      </c>
      <c r="P1022">
        <f>VLOOKUP(Table9[[#This Row],[Shortname]], Comp[], 13, FALSE)</f>
        <v>2</v>
      </c>
      <c r="Q1022">
        <f>VLOOKUP(Table9[[#This Row],[Shortname]], Comp[], 14, FALSE)</f>
        <v>0</v>
      </c>
      <c r="R1022">
        <f>VLOOKUP(Table9[[#This Row],[Shortname]], Comp[], 15, FALSE)</f>
        <v>0</v>
      </c>
      <c r="S1022">
        <f>VLOOKUP(Table9[[#This Row],[Shortname]], Comp[], 16, FALSE)</f>
        <v>0</v>
      </c>
      <c r="T1022">
        <f>VLOOKUP(Table9[[#This Row],[Shortname]], Comp[], 17, FALSE)</f>
        <v>0</v>
      </c>
      <c r="U1022">
        <f>VLOOKUP(Table9[[#This Row],[Shortname]], Comp[], 18, FALSE)</f>
        <v>0</v>
      </c>
      <c r="V1022">
        <f>VLOOKUP(Table9[[#This Row],[Shortname]], Comp[], 19, FALSE)</f>
        <v>0</v>
      </c>
      <c r="W1022">
        <f>VLOOKUP(Table9[[#This Row],[Shortname]], Comp[], 20, FALSE)</f>
        <v>0</v>
      </c>
      <c r="X1022">
        <f>VLOOKUP(Table9[[#This Row],[Shortname]], Comp[], 21, FALSE)</f>
        <v>0</v>
      </c>
      <c r="Y1022">
        <f>VLOOKUP(Table9[[#This Row],[Shortname]], Comp[], 22, FALSE)</f>
        <v>0</v>
      </c>
      <c r="Z1022">
        <f>VLOOKUP(Table9[[#This Row],[Shortname]], Comp[], 23, FALSE)</f>
        <v>0</v>
      </c>
      <c r="AA1022">
        <f>VLOOKUP(Table9[[#This Row],[Shortname]], Comp[], 24, FALSE)</f>
        <v>0</v>
      </c>
      <c r="AB1022">
        <f>VLOOKUP(Table9[[#This Row],[Shortname]], Comp[], 25, FALSE)</f>
        <v>0</v>
      </c>
      <c r="AC1022">
        <f>VLOOKUP(Table9[[#This Row],[Shortname]], Comp[], 26, FALSE)</f>
        <v>0</v>
      </c>
      <c r="AD1022">
        <f>VLOOKUP(Table9[[#This Row],[Shortname]], Comp[], 27, FALSE)</f>
        <v>0</v>
      </c>
      <c r="AE1022">
        <f>VLOOKUP(Table9[[#This Row],[Shortname]], Comp[], 28, FALSE)</f>
        <v>0</v>
      </c>
      <c r="AF1022">
        <f>VLOOKUP(Table9[[#This Row],[Shortname]], Comp[], 29, FALSE)</f>
        <v>0</v>
      </c>
      <c r="AG1022">
        <f>VLOOKUP(Table9[[#This Row],[Shortname]], Comp[], 30, FALSE)</f>
        <v>0</v>
      </c>
      <c r="AH1022">
        <f>VLOOKUP(Table9[[#This Row],[Shortname]], Comp[], 31, FALSE)</f>
        <v>0</v>
      </c>
    </row>
    <row r="1023" spans="1:34" x14ac:dyDescent="0.3">
      <c r="A1023" t="s">
        <v>5783</v>
      </c>
      <c r="B1023" t="s">
        <v>5784</v>
      </c>
      <c r="C1023" t="s">
        <v>5785</v>
      </c>
      <c r="D1023">
        <v>180.77600000000001</v>
      </c>
      <c r="E1023">
        <v>1051.04</v>
      </c>
      <c r="F1023">
        <v>1E-4</v>
      </c>
      <c r="G1023">
        <v>1</v>
      </c>
      <c r="H1023" t="s">
        <v>6803</v>
      </c>
      <c r="I1023">
        <f>VLOOKUP(Table9[[#This Row],[Shortname]], Comp[], 6, FALSE)</f>
        <v>914</v>
      </c>
      <c r="J1023" s="14">
        <f>VLOOKUP(Table9[[#This Row],[Shortname]], Comp[], 7, FALSE)</f>
        <v>61.6</v>
      </c>
      <c r="K1023">
        <f>VLOOKUP(Table9[[#This Row],[Shortname]], Comp[], 8, FALSE)</f>
        <v>15.4</v>
      </c>
      <c r="L1023">
        <f>VLOOKUP(Table9[[#This Row],[Shortname]], Comp[], 9, FALSE)</f>
        <v>12</v>
      </c>
      <c r="M1023">
        <f>VLOOKUP(Table9[[#This Row],[Shortname]], Comp[], 10, FALSE)</f>
        <v>0</v>
      </c>
      <c r="N1023">
        <f>VLOOKUP(Table9[[#This Row],[Shortname]], Comp[], 11, FALSE)</f>
        <v>9</v>
      </c>
      <c r="O1023">
        <f>VLOOKUP(Table9[[#This Row],[Shortname]], Comp[],12, FALSE)</f>
        <v>0</v>
      </c>
      <c r="P1023">
        <f>VLOOKUP(Table9[[#This Row],[Shortname]], Comp[], 13, FALSE)</f>
        <v>2</v>
      </c>
      <c r="Q1023">
        <f>VLOOKUP(Table9[[#This Row],[Shortname]], Comp[], 14, FALSE)</f>
        <v>0</v>
      </c>
      <c r="R1023">
        <f>VLOOKUP(Table9[[#This Row],[Shortname]], Comp[], 15, FALSE)</f>
        <v>0</v>
      </c>
      <c r="S1023">
        <f>VLOOKUP(Table9[[#This Row],[Shortname]], Comp[], 16, FALSE)</f>
        <v>0</v>
      </c>
      <c r="T1023">
        <f>VLOOKUP(Table9[[#This Row],[Shortname]], Comp[], 17, FALSE)</f>
        <v>0</v>
      </c>
      <c r="U1023">
        <f>VLOOKUP(Table9[[#This Row],[Shortname]], Comp[], 18, FALSE)</f>
        <v>0</v>
      </c>
      <c r="V1023">
        <f>VLOOKUP(Table9[[#This Row],[Shortname]], Comp[], 19, FALSE)</f>
        <v>0</v>
      </c>
      <c r="W1023">
        <f>VLOOKUP(Table9[[#This Row],[Shortname]], Comp[], 20, FALSE)</f>
        <v>0</v>
      </c>
      <c r="X1023">
        <f>VLOOKUP(Table9[[#This Row],[Shortname]], Comp[], 21, FALSE)</f>
        <v>0</v>
      </c>
      <c r="Y1023">
        <f>VLOOKUP(Table9[[#This Row],[Shortname]], Comp[], 22, FALSE)</f>
        <v>0</v>
      </c>
      <c r="Z1023">
        <f>VLOOKUP(Table9[[#This Row],[Shortname]], Comp[], 23, FALSE)</f>
        <v>0</v>
      </c>
      <c r="AA1023">
        <f>VLOOKUP(Table9[[#This Row],[Shortname]], Comp[], 24, FALSE)</f>
        <v>0</v>
      </c>
      <c r="AB1023">
        <f>VLOOKUP(Table9[[#This Row],[Shortname]], Comp[], 25, FALSE)</f>
        <v>0</v>
      </c>
      <c r="AC1023">
        <f>VLOOKUP(Table9[[#This Row],[Shortname]], Comp[], 26, FALSE)</f>
        <v>0</v>
      </c>
      <c r="AD1023">
        <f>VLOOKUP(Table9[[#This Row],[Shortname]], Comp[], 27, FALSE)</f>
        <v>0</v>
      </c>
      <c r="AE1023">
        <f>VLOOKUP(Table9[[#This Row],[Shortname]], Comp[], 28, FALSE)</f>
        <v>0</v>
      </c>
      <c r="AF1023">
        <f>VLOOKUP(Table9[[#This Row],[Shortname]], Comp[], 29, FALSE)</f>
        <v>0</v>
      </c>
      <c r="AG1023">
        <f>VLOOKUP(Table9[[#This Row],[Shortname]], Comp[], 30, FALSE)</f>
        <v>0</v>
      </c>
      <c r="AH1023">
        <f>VLOOKUP(Table9[[#This Row],[Shortname]], Comp[], 31, FALSE)</f>
        <v>0</v>
      </c>
    </row>
    <row r="1024" spans="1:34" x14ac:dyDescent="0.3">
      <c r="A1024" t="s">
        <v>5779</v>
      </c>
      <c r="B1024" t="s">
        <v>4849</v>
      </c>
      <c r="C1024" t="s">
        <v>5785</v>
      </c>
      <c r="D1024">
        <v>270.61</v>
      </c>
      <c r="E1024">
        <v>25</v>
      </c>
      <c r="F1024">
        <v>1E-4</v>
      </c>
      <c r="G1024">
        <v>1</v>
      </c>
      <c r="H1024" t="s">
        <v>6803</v>
      </c>
      <c r="I1024">
        <f>VLOOKUP(Table9[[#This Row],[Shortname]], Comp[], 6, FALSE)</f>
        <v>913</v>
      </c>
      <c r="J1024" s="14">
        <f>VLOOKUP(Table9[[#This Row],[Shortname]], Comp[], 7, FALSE)</f>
        <v>61.6</v>
      </c>
      <c r="K1024">
        <f>VLOOKUP(Table9[[#This Row],[Shortname]], Comp[], 8, FALSE)</f>
        <v>15.4</v>
      </c>
      <c r="L1024">
        <f>VLOOKUP(Table9[[#This Row],[Shortname]], Comp[], 9, FALSE)</f>
        <v>12</v>
      </c>
      <c r="M1024">
        <f>VLOOKUP(Table9[[#This Row],[Shortname]], Comp[], 10, FALSE)</f>
        <v>0</v>
      </c>
      <c r="N1024">
        <f>VLOOKUP(Table9[[#This Row],[Shortname]], Comp[], 11, FALSE)</f>
        <v>11</v>
      </c>
      <c r="O1024">
        <f>VLOOKUP(Table9[[#This Row],[Shortname]], Comp[],12, FALSE)</f>
        <v>0</v>
      </c>
      <c r="P1024">
        <f>VLOOKUP(Table9[[#This Row],[Shortname]], Comp[], 13, FALSE)</f>
        <v>0</v>
      </c>
      <c r="Q1024">
        <f>VLOOKUP(Table9[[#This Row],[Shortname]], Comp[], 14, FALSE)</f>
        <v>0</v>
      </c>
      <c r="R1024">
        <f>VLOOKUP(Table9[[#This Row],[Shortname]], Comp[], 15, FALSE)</f>
        <v>0</v>
      </c>
      <c r="S1024">
        <f>VLOOKUP(Table9[[#This Row],[Shortname]], Comp[], 16, FALSE)</f>
        <v>0</v>
      </c>
      <c r="T1024">
        <f>VLOOKUP(Table9[[#This Row],[Shortname]], Comp[], 17, FALSE)</f>
        <v>0</v>
      </c>
      <c r="U1024">
        <f>VLOOKUP(Table9[[#This Row],[Shortname]], Comp[], 18, FALSE)</f>
        <v>0</v>
      </c>
      <c r="V1024">
        <f>VLOOKUP(Table9[[#This Row],[Shortname]], Comp[], 19, FALSE)</f>
        <v>0</v>
      </c>
      <c r="W1024">
        <f>VLOOKUP(Table9[[#This Row],[Shortname]], Comp[], 20, FALSE)</f>
        <v>0</v>
      </c>
      <c r="X1024">
        <f>VLOOKUP(Table9[[#This Row],[Shortname]], Comp[], 21, FALSE)</f>
        <v>0</v>
      </c>
      <c r="Y1024">
        <f>VLOOKUP(Table9[[#This Row],[Shortname]], Comp[], 22, FALSE)</f>
        <v>0</v>
      </c>
      <c r="Z1024">
        <f>VLOOKUP(Table9[[#This Row],[Shortname]], Comp[], 23, FALSE)</f>
        <v>0</v>
      </c>
      <c r="AA1024">
        <f>VLOOKUP(Table9[[#This Row],[Shortname]], Comp[], 24, FALSE)</f>
        <v>0</v>
      </c>
      <c r="AB1024">
        <f>VLOOKUP(Table9[[#This Row],[Shortname]], Comp[], 25, FALSE)</f>
        <v>0</v>
      </c>
      <c r="AC1024">
        <f>VLOOKUP(Table9[[#This Row],[Shortname]], Comp[], 26, FALSE)</f>
        <v>0</v>
      </c>
      <c r="AD1024">
        <f>VLOOKUP(Table9[[#This Row],[Shortname]], Comp[], 27, FALSE)</f>
        <v>0</v>
      </c>
      <c r="AE1024">
        <f>VLOOKUP(Table9[[#This Row],[Shortname]], Comp[], 28, FALSE)</f>
        <v>0</v>
      </c>
      <c r="AF1024">
        <f>VLOOKUP(Table9[[#This Row],[Shortname]], Comp[], 29, FALSE)</f>
        <v>0</v>
      </c>
      <c r="AG1024">
        <f>VLOOKUP(Table9[[#This Row],[Shortname]], Comp[], 30, FALSE)</f>
        <v>0</v>
      </c>
      <c r="AH1024">
        <f>VLOOKUP(Table9[[#This Row],[Shortname]], Comp[], 31, FALSE)</f>
        <v>0</v>
      </c>
    </row>
    <row r="1025" spans="1:34" x14ac:dyDescent="0.3">
      <c r="A1025" t="s">
        <v>5779</v>
      </c>
      <c r="B1025" t="s">
        <v>4849</v>
      </c>
      <c r="C1025" t="s">
        <v>5785</v>
      </c>
      <c r="D1025">
        <v>238.447</v>
      </c>
      <c r="E1025">
        <v>299.702</v>
      </c>
      <c r="F1025">
        <v>1E-4</v>
      </c>
      <c r="G1025">
        <v>1</v>
      </c>
      <c r="H1025" t="s">
        <v>6803</v>
      </c>
      <c r="I1025">
        <f>VLOOKUP(Table9[[#This Row],[Shortname]], Comp[], 6, FALSE)</f>
        <v>913</v>
      </c>
      <c r="J1025" s="14">
        <f>VLOOKUP(Table9[[#This Row],[Shortname]], Comp[], 7, FALSE)</f>
        <v>61.6</v>
      </c>
      <c r="K1025">
        <f>VLOOKUP(Table9[[#This Row],[Shortname]], Comp[], 8, FALSE)</f>
        <v>15.4</v>
      </c>
      <c r="L1025">
        <f>VLOOKUP(Table9[[#This Row],[Shortname]], Comp[], 9, FALSE)</f>
        <v>12</v>
      </c>
      <c r="M1025">
        <f>VLOOKUP(Table9[[#This Row],[Shortname]], Comp[], 10, FALSE)</f>
        <v>0</v>
      </c>
      <c r="N1025">
        <f>VLOOKUP(Table9[[#This Row],[Shortname]], Comp[], 11, FALSE)</f>
        <v>11</v>
      </c>
      <c r="O1025">
        <f>VLOOKUP(Table9[[#This Row],[Shortname]], Comp[],12, FALSE)</f>
        <v>0</v>
      </c>
      <c r="P1025">
        <f>VLOOKUP(Table9[[#This Row],[Shortname]], Comp[], 13, FALSE)</f>
        <v>0</v>
      </c>
      <c r="Q1025">
        <f>VLOOKUP(Table9[[#This Row],[Shortname]], Comp[], 14, FALSE)</f>
        <v>0</v>
      </c>
      <c r="R1025">
        <f>VLOOKUP(Table9[[#This Row],[Shortname]], Comp[], 15, FALSE)</f>
        <v>0</v>
      </c>
      <c r="S1025">
        <f>VLOOKUP(Table9[[#This Row],[Shortname]], Comp[], 16, FALSE)</f>
        <v>0</v>
      </c>
      <c r="T1025">
        <f>VLOOKUP(Table9[[#This Row],[Shortname]], Comp[], 17, FALSE)</f>
        <v>0</v>
      </c>
      <c r="U1025">
        <f>VLOOKUP(Table9[[#This Row],[Shortname]], Comp[], 18, FALSE)</f>
        <v>0</v>
      </c>
      <c r="V1025">
        <f>VLOOKUP(Table9[[#This Row],[Shortname]], Comp[], 19, FALSE)</f>
        <v>0</v>
      </c>
      <c r="W1025">
        <f>VLOOKUP(Table9[[#This Row],[Shortname]], Comp[], 20, FALSE)</f>
        <v>0</v>
      </c>
      <c r="X1025">
        <f>VLOOKUP(Table9[[#This Row],[Shortname]], Comp[], 21, FALSE)</f>
        <v>0</v>
      </c>
      <c r="Y1025">
        <f>VLOOKUP(Table9[[#This Row],[Shortname]], Comp[], 22, FALSE)</f>
        <v>0</v>
      </c>
      <c r="Z1025">
        <f>VLOOKUP(Table9[[#This Row],[Shortname]], Comp[], 23, FALSE)</f>
        <v>0</v>
      </c>
      <c r="AA1025">
        <f>VLOOKUP(Table9[[#This Row],[Shortname]], Comp[], 24, FALSE)</f>
        <v>0</v>
      </c>
      <c r="AB1025">
        <f>VLOOKUP(Table9[[#This Row],[Shortname]], Comp[], 25, FALSE)</f>
        <v>0</v>
      </c>
      <c r="AC1025">
        <f>VLOOKUP(Table9[[#This Row],[Shortname]], Comp[], 26, FALSE)</f>
        <v>0</v>
      </c>
      <c r="AD1025">
        <f>VLOOKUP(Table9[[#This Row],[Shortname]], Comp[], 27, FALSE)</f>
        <v>0</v>
      </c>
      <c r="AE1025">
        <f>VLOOKUP(Table9[[#This Row],[Shortname]], Comp[], 28, FALSE)</f>
        <v>0</v>
      </c>
      <c r="AF1025">
        <f>VLOOKUP(Table9[[#This Row],[Shortname]], Comp[], 29, FALSE)</f>
        <v>0</v>
      </c>
      <c r="AG1025">
        <f>VLOOKUP(Table9[[#This Row],[Shortname]], Comp[], 30, FALSE)</f>
        <v>0</v>
      </c>
      <c r="AH1025">
        <f>VLOOKUP(Table9[[#This Row],[Shortname]], Comp[], 31, FALSE)</f>
        <v>0</v>
      </c>
    </row>
    <row r="1026" spans="1:34" x14ac:dyDescent="0.3">
      <c r="A1026" t="s">
        <v>5779</v>
      </c>
      <c r="B1026" t="s">
        <v>4849</v>
      </c>
      <c r="C1026" t="s">
        <v>5785</v>
      </c>
      <c r="D1026">
        <v>231.79300000000001</v>
      </c>
      <c r="E1026">
        <v>350.44600000000003</v>
      </c>
      <c r="F1026">
        <v>1E-4</v>
      </c>
      <c r="G1026">
        <v>1</v>
      </c>
      <c r="H1026" t="s">
        <v>6803</v>
      </c>
      <c r="I1026">
        <f>VLOOKUP(Table9[[#This Row],[Shortname]], Comp[], 6, FALSE)</f>
        <v>913</v>
      </c>
      <c r="J1026" s="14">
        <f>VLOOKUP(Table9[[#This Row],[Shortname]], Comp[], 7, FALSE)</f>
        <v>61.6</v>
      </c>
      <c r="K1026">
        <f>VLOOKUP(Table9[[#This Row],[Shortname]], Comp[], 8, FALSE)</f>
        <v>15.4</v>
      </c>
      <c r="L1026">
        <f>VLOOKUP(Table9[[#This Row],[Shortname]], Comp[], 9, FALSE)</f>
        <v>12</v>
      </c>
      <c r="M1026">
        <f>VLOOKUP(Table9[[#This Row],[Shortname]], Comp[], 10, FALSE)</f>
        <v>0</v>
      </c>
      <c r="N1026">
        <f>VLOOKUP(Table9[[#This Row],[Shortname]], Comp[], 11, FALSE)</f>
        <v>11</v>
      </c>
      <c r="O1026">
        <f>VLOOKUP(Table9[[#This Row],[Shortname]], Comp[],12, FALSE)</f>
        <v>0</v>
      </c>
      <c r="P1026">
        <f>VLOOKUP(Table9[[#This Row],[Shortname]], Comp[], 13, FALSE)</f>
        <v>0</v>
      </c>
      <c r="Q1026">
        <f>VLOOKUP(Table9[[#This Row],[Shortname]], Comp[], 14, FALSE)</f>
        <v>0</v>
      </c>
      <c r="R1026">
        <f>VLOOKUP(Table9[[#This Row],[Shortname]], Comp[], 15, FALSE)</f>
        <v>0</v>
      </c>
      <c r="S1026">
        <f>VLOOKUP(Table9[[#This Row],[Shortname]], Comp[], 16, FALSE)</f>
        <v>0</v>
      </c>
      <c r="T1026">
        <f>VLOOKUP(Table9[[#This Row],[Shortname]], Comp[], 17, FALSE)</f>
        <v>0</v>
      </c>
      <c r="U1026">
        <f>VLOOKUP(Table9[[#This Row],[Shortname]], Comp[], 18, FALSE)</f>
        <v>0</v>
      </c>
      <c r="V1026">
        <f>VLOOKUP(Table9[[#This Row],[Shortname]], Comp[], 19, FALSE)</f>
        <v>0</v>
      </c>
      <c r="W1026">
        <f>VLOOKUP(Table9[[#This Row],[Shortname]], Comp[], 20, FALSE)</f>
        <v>0</v>
      </c>
      <c r="X1026">
        <f>VLOOKUP(Table9[[#This Row],[Shortname]], Comp[], 21, FALSE)</f>
        <v>0</v>
      </c>
      <c r="Y1026">
        <f>VLOOKUP(Table9[[#This Row],[Shortname]], Comp[], 22, FALSE)</f>
        <v>0</v>
      </c>
      <c r="Z1026">
        <f>VLOOKUP(Table9[[#This Row],[Shortname]], Comp[], 23, FALSE)</f>
        <v>0</v>
      </c>
      <c r="AA1026">
        <f>VLOOKUP(Table9[[#This Row],[Shortname]], Comp[], 24, FALSE)</f>
        <v>0</v>
      </c>
      <c r="AB1026">
        <f>VLOOKUP(Table9[[#This Row],[Shortname]], Comp[], 25, FALSE)</f>
        <v>0</v>
      </c>
      <c r="AC1026">
        <f>VLOOKUP(Table9[[#This Row],[Shortname]], Comp[], 26, FALSE)</f>
        <v>0</v>
      </c>
      <c r="AD1026">
        <f>VLOOKUP(Table9[[#This Row],[Shortname]], Comp[], 27, FALSE)</f>
        <v>0</v>
      </c>
      <c r="AE1026">
        <f>VLOOKUP(Table9[[#This Row],[Shortname]], Comp[], 28, FALSE)</f>
        <v>0</v>
      </c>
      <c r="AF1026">
        <f>VLOOKUP(Table9[[#This Row],[Shortname]], Comp[], 29, FALSE)</f>
        <v>0</v>
      </c>
      <c r="AG1026">
        <f>VLOOKUP(Table9[[#This Row],[Shortname]], Comp[], 30, FALSE)</f>
        <v>0</v>
      </c>
      <c r="AH1026">
        <f>VLOOKUP(Table9[[#This Row],[Shortname]], Comp[], 31, FALSE)</f>
        <v>0</v>
      </c>
    </row>
    <row r="1027" spans="1:34" x14ac:dyDescent="0.3">
      <c r="A1027" t="s">
        <v>5779</v>
      </c>
      <c r="B1027" t="s">
        <v>4849</v>
      </c>
      <c r="C1027" t="s">
        <v>5785</v>
      </c>
      <c r="D1027">
        <v>251.756</v>
      </c>
      <c r="E1027">
        <v>450.298</v>
      </c>
      <c r="F1027">
        <v>1E-4</v>
      </c>
      <c r="G1027">
        <v>1</v>
      </c>
      <c r="H1027" t="s">
        <v>6803</v>
      </c>
      <c r="I1027">
        <f>VLOOKUP(Table9[[#This Row],[Shortname]], Comp[], 6, FALSE)</f>
        <v>913</v>
      </c>
      <c r="J1027" s="14">
        <f>VLOOKUP(Table9[[#This Row],[Shortname]], Comp[], 7, FALSE)</f>
        <v>61.6</v>
      </c>
      <c r="K1027">
        <f>VLOOKUP(Table9[[#This Row],[Shortname]], Comp[], 8, FALSE)</f>
        <v>15.4</v>
      </c>
      <c r="L1027">
        <f>VLOOKUP(Table9[[#This Row],[Shortname]], Comp[], 9, FALSE)</f>
        <v>12</v>
      </c>
      <c r="M1027">
        <f>VLOOKUP(Table9[[#This Row],[Shortname]], Comp[], 10, FALSE)</f>
        <v>0</v>
      </c>
      <c r="N1027">
        <f>VLOOKUP(Table9[[#This Row],[Shortname]], Comp[], 11, FALSE)</f>
        <v>11</v>
      </c>
      <c r="O1027">
        <f>VLOOKUP(Table9[[#This Row],[Shortname]], Comp[],12, FALSE)</f>
        <v>0</v>
      </c>
      <c r="P1027">
        <f>VLOOKUP(Table9[[#This Row],[Shortname]], Comp[], 13, FALSE)</f>
        <v>0</v>
      </c>
      <c r="Q1027">
        <f>VLOOKUP(Table9[[#This Row],[Shortname]], Comp[], 14, FALSE)</f>
        <v>0</v>
      </c>
      <c r="R1027">
        <f>VLOOKUP(Table9[[#This Row],[Shortname]], Comp[], 15, FALSE)</f>
        <v>0</v>
      </c>
      <c r="S1027">
        <f>VLOOKUP(Table9[[#This Row],[Shortname]], Comp[], 16, FALSE)</f>
        <v>0</v>
      </c>
      <c r="T1027">
        <f>VLOOKUP(Table9[[#This Row],[Shortname]], Comp[], 17, FALSE)</f>
        <v>0</v>
      </c>
      <c r="U1027">
        <f>VLOOKUP(Table9[[#This Row],[Shortname]], Comp[], 18, FALSE)</f>
        <v>0</v>
      </c>
      <c r="V1027">
        <f>VLOOKUP(Table9[[#This Row],[Shortname]], Comp[], 19, FALSE)</f>
        <v>0</v>
      </c>
      <c r="W1027">
        <f>VLOOKUP(Table9[[#This Row],[Shortname]], Comp[], 20, FALSE)</f>
        <v>0</v>
      </c>
      <c r="X1027">
        <f>VLOOKUP(Table9[[#This Row],[Shortname]], Comp[], 21, FALSE)</f>
        <v>0</v>
      </c>
      <c r="Y1027">
        <f>VLOOKUP(Table9[[#This Row],[Shortname]], Comp[], 22, FALSE)</f>
        <v>0</v>
      </c>
      <c r="Z1027">
        <f>VLOOKUP(Table9[[#This Row],[Shortname]], Comp[], 23, FALSE)</f>
        <v>0</v>
      </c>
      <c r="AA1027">
        <f>VLOOKUP(Table9[[#This Row],[Shortname]], Comp[], 24, FALSE)</f>
        <v>0</v>
      </c>
      <c r="AB1027">
        <f>VLOOKUP(Table9[[#This Row],[Shortname]], Comp[], 25, FALSE)</f>
        <v>0</v>
      </c>
      <c r="AC1027">
        <f>VLOOKUP(Table9[[#This Row],[Shortname]], Comp[], 26, FALSE)</f>
        <v>0</v>
      </c>
      <c r="AD1027">
        <f>VLOOKUP(Table9[[#This Row],[Shortname]], Comp[], 27, FALSE)</f>
        <v>0</v>
      </c>
      <c r="AE1027">
        <f>VLOOKUP(Table9[[#This Row],[Shortname]], Comp[], 28, FALSE)</f>
        <v>0</v>
      </c>
      <c r="AF1027">
        <f>VLOOKUP(Table9[[#This Row],[Shortname]], Comp[], 29, FALSE)</f>
        <v>0</v>
      </c>
      <c r="AG1027">
        <f>VLOOKUP(Table9[[#This Row],[Shortname]], Comp[], 30, FALSE)</f>
        <v>0</v>
      </c>
      <c r="AH1027">
        <f>VLOOKUP(Table9[[#This Row],[Shortname]], Comp[], 31, FALSE)</f>
        <v>0</v>
      </c>
    </row>
    <row r="1028" spans="1:34" x14ac:dyDescent="0.3">
      <c r="A1028" t="s">
        <v>5779</v>
      </c>
      <c r="B1028" t="s">
        <v>4849</v>
      </c>
      <c r="C1028" t="s">
        <v>5785</v>
      </c>
      <c r="D1028">
        <v>249.53800000000001</v>
      </c>
      <c r="E1028">
        <v>496.13099999999997</v>
      </c>
      <c r="F1028">
        <v>1E-4</v>
      </c>
      <c r="G1028">
        <v>1</v>
      </c>
      <c r="H1028" t="s">
        <v>6803</v>
      </c>
      <c r="I1028">
        <f>VLOOKUP(Table9[[#This Row],[Shortname]], Comp[], 6, FALSE)</f>
        <v>913</v>
      </c>
      <c r="J1028" s="14">
        <f>VLOOKUP(Table9[[#This Row],[Shortname]], Comp[], 7, FALSE)</f>
        <v>61.6</v>
      </c>
      <c r="K1028">
        <f>VLOOKUP(Table9[[#This Row],[Shortname]], Comp[], 8, FALSE)</f>
        <v>15.4</v>
      </c>
      <c r="L1028">
        <f>VLOOKUP(Table9[[#This Row],[Shortname]], Comp[], 9, FALSE)</f>
        <v>12</v>
      </c>
      <c r="M1028">
        <f>VLOOKUP(Table9[[#This Row],[Shortname]], Comp[], 10, FALSE)</f>
        <v>0</v>
      </c>
      <c r="N1028">
        <f>VLOOKUP(Table9[[#This Row],[Shortname]], Comp[], 11, FALSE)</f>
        <v>11</v>
      </c>
      <c r="O1028">
        <f>VLOOKUP(Table9[[#This Row],[Shortname]], Comp[],12, FALSE)</f>
        <v>0</v>
      </c>
      <c r="P1028">
        <f>VLOOKUP(Table9[[#This Row],[Shortname]], Comp[], 13, FALSE)</f>
        <v>0</v>
      </c>
      <c r="Q1028">
        <f>VLOOKUP(Table9[[#This Row],[Shortname]], Comp[], 14, FALSE)</f>
        <v>0</v>
      </c>
      <c r="R1028">
        <f>VLOOKUP(Table9[[#This Row],[Shortname]], Comp[], 15, FALSE)</f>
        <v>0</v>
      </c>
      <c r="S1028">
        <f>VLOOKUP(Table9[[#This Row],[Shortname]], Comp[], 16, FALSE)</f>
        <v>0</v>
      </c>
      <c r="T1028">
        <f>VLOOKUP(Table9[[#This Row],[Shortname]], Comp[], 17, FALSE)</f>
        <v>0</v>
      </c>
      <c r="U1028">
        <f>VLOOKUP(Table9[[#This Row],[Shortname]], Comp[], 18, FALSE)</f>
        <v>0</v>
      </c>
      <c r="V1028">
        <f>VLOOKUP(Table9[[#This Row],[Shortname]], Comp[], 19, FALSE)</f>
        <v>0</v>
      </c>
      <c r="W1028">
        <f>VLOOKUP(Table9[[#This Row],[Shortname]], Comp[], 20, FALSE)</f>
        <v>0</v>
      </c>
      <c r="X1028">
        <f>VLOOKUP(Table9[[#This Row],[Shortname]], Comp[], 21, FALSE)</f>
        <v>0</v>
      </c>
      <c r="Y1028">
        <f>VLOOKUP(Table9[[#This Row],[Shortname]], Comp[], 22, FALSE)</f>
        <v>0</v>
      </c>
      <c r="Z1028">
        <f>VLOOKUP(Table9[[#This Row],[Shortname]], Comp[], 23, FALSE)</f>
        <v>0</v>
      </c>
      <c r="AA1028">
        <f>VLOOKUP(Table9[[#This Row],[Shortname]], Comp[], 24, FALSE)</f>
        <v>0</v>
      </c>
      <c r="AB1028">
        <f>VLOOKUP(Table9[[#This Row],[Shortname]], Comp[], 25, FALSE)</f>
        <v>0</v>
      </c>
      <c r="AC1028">
        <f>VLOOKUP(Table9[[#This Row],[Shortname]], Comp[], 26, FALSE)</f>
        <v>0</v>
      </c>
      <c r="AD1028">
        <f>VLOOKUP(Table9[[#This Row],[Shortname]], Comp[], 27, FALSE)</f>
        <v>0</v>
      </c>
      <c r="AE1028">
        <f>VLOOKUP(Table9[[#This Row],[Shortname]], Comp[], 28, FALSE)</f>
        <v>0</v>
      </c>
      <c r="AF1028">
        <f>VLOOKUP(Table9[[#This Row],[Shortname]], Comp[], 29, FALSE)</f>
        <v>0</v>
      </c>
      <c r="AG1028">
        <f>VLOOKUP(Table9[[#This Row],[Shortname]], Comp[], 30, FALSE)</f>
        <v>0</v>
      </c>
      <c r="AH1028">
        <f>VLOOKUP(Table9[[#This Row],[Shortname]], Comp[], 31, FALSE)</f>
        <v>0</v>
      </c>
    </row>
    <row r="1029" spans="1:34" x14ac:dyDescent="0.3">
      <c r="A1029" t="s">
        <v>5779</v>
      </c>
      <c r="B1029" t="s">
        <v>4849</v>
      </c>
      <c r="C1029" t="s">
        <v>5785</v>
      </c>
      <c r="D1029">
        <v>291.68200000000002</v>
      </c>
      <c r="E1029">
        <v>699.10699999999997</v>
      </c>
      <c r="F1029">
        <v>1E-4</v>
      </c>
      <c r="G1029">
        <v>1</v>
      </c>
      <c r="H1029" t="s">
        <v>6803</v>
      </c>
      <c r="I1029">
        <f>VLOOKUP(Table9[[#This Row],[Shortname]], Comp[], 6, FALSE)</f>
        <v>913</v>
      </c>
      <c r="J1029" s="14">
        <f>VLOOKUP(Table9[[#This Row],[Shortname]], Comp[], 7, FALSE)</f>
        <v>61.6</v>
      </c>
      <c r="K1029">
        <f>VLOOKUP(Table9[[#This Row],[Shortname]], Comp[], 8, FALSE)</f>
        <v>15.4</v>
      </c>
      <c r="L1029">
        <f>VLOOKUP(Table9[[#This Row],[Shortname]], Comp[], 9, FALSE)</f>
        <v>12</v>
      </c>
      <c r="M1029">
        <f>VLOOKUP(Table9[[#This Row],[Shortname]], Comp[], 10, FALSE)</f>
        <v>0</v>
      </c>
      <c r="N1029">
        <f>VLOOKUP(Table9[[#This Row],[Shortname]], Comp[], 11, FALSE)</f>
        <v>11</v>
      </c>
      <c r="O1029">
        <f>VLOOKUP(Table9[[#This Row],[Shortname]], Comp[],12, FALSE)</f>
        <v>0</v>
      </c>
      <c r="P1029">
        <f>VLOOKUP(Table9[[#This Row],[Shortname]], Comp[], 13, FALSE)</f>
        <v>0</v>
      </c>
      <c r="Q1029">
        <f>VLOOKUP(Table9[[#This Row],[Shortname]], Comp[], 14, FALSE)</f>
        <v>0</v>
      </c>
      <c r="R1029">
        <f>VLOOKUP(Table9[[#This Row],[Shortname]], Comp[], 15, FALSE)</f>
        <v>0</v>
      </c>
      <c r="S1029">
        <f>VLOOKUP(Table9[[#This Row],[Shortname]], Comp[], 16, FALSE)</f>
        <v>0</v>
      </c>
      <c r="T1029">
        <f>VLOOKUP(Table9[[#This Row],[Shortname]], Comp[], 17, FALSE)</f>
        <v>0</v>
      </c>
      <c r="U1029">
        <f>VLOOKUP(Table9[[#This Row],[Shortname]], Comp[], 18, FALSE)</f>
        <v>0</v>
      </c>
      <c r="V1029">
        <f>VLOOKUP(Table9[[#This Row],[Shortname]], Comp[], 19, FALSE)</f>
        <v>0</v>
      </c>
      <c r="W1029">
        <f>VLOOKUP(Table9[[#This Row],[Shortname]], Comp[], 20, FALSE)</f>
        <v>0</v>
      </c>
      <c r="X1029">
        <f>VLOOKUP(Table9[[#This Row],[Shortname]], Comp[], 21, FALSE)</f>
        <v>0</v>
      </c>
      <c r="Y1029">
        <f>VLOOKUP(Table9[[#This Row],[Shortname]], Comp[], 22, FALSE)</f>
        <v>0</v>
      </c>
      <c r="Z1029">
        <f>VLOOKUP(Table9[[#This Row],[Shortname]], Comp[], 23, FALSE)</f>
        <v>0</v>
      </c>
      <c r="AA1029">
        <f>VLOOKUP(Table9[[#This Row],[Shortname]], Comp[], 24, FALSE)</f>
        <v>0</v>
      </c>
      <c r="AB1029">
        <f>VLOOKUP(Table9[[#This Row],[Shortname]], Comp[], 25, FALSE)</f>
        <v>0</v>
      </c>
      <c r="AC1029">
        <f>VLOOKUP(Table9[[#This Row],[Shortname]], Comp[], 26, FALSE)</f>
        <v>0</v>
      </c>
      <c r="AD1029">
        <f>VLOOKUP(Table9[[#This Row],[Shortname]], Comp[], 27, FALSE)</f>
        <v>0</v>
      </c>
      <c r="AE1029">
        <f>VLOOKUP(Table9[[#This Row],[Shortname]], Comp[], 28, FALSE)</f>
        <v>0</v>
      </c>
      <c r="AF1029">
        <f>VLOOKUP(Table9[[#This Row],[Shortname]], Comp[], 29, FALSE)</f>
        <v>0</v>
      </c>
      <c r="AG1029">
        <f>VLOOKUP(Table9[[#This Row],[Shortname]], Comp[], 30, FALSE)</f>
        <v>0</v>
      </c>
      <c r="AH1029">
        <f>VLOOKUP(Table9[[#This Row],[Shortname]], Comp[], 31, FALSE)</f>
        <v>0</v>
      </c>
    </row>
    <row r="1030" spans="1:34" x14ac:dyDescent="0.3">
      <c r="A1030" t="s">
        <v>5779</v>
      </c>
      <c r="B1030" t="s">
        <v>4849</v>
      </c>
      <c r="C1030" t="s">
        <v>5785</v>
      </c>
      <c r="D1030">
        <v>352.68</v>
      </c>
      <c r="E1030">
        <v>802.23199999999997</v>
      </c>
      <c r="F1030">
        <v>1E-4</v>
      </c>
      <c r="G1030">
        <v>1</v>
      </c>
      <c r="H1030" t="s">
        <v>6803</v>
      </c>
      <c r="I1030">
        <f>VLOOKUP(Table9[[#This Row],[Shortname]], Comp[], 6, FALSE)</f>
        <v>913</v>
      </c>
      <c r="J1030" s="14">
        <f>VLOOKUP(Table9[[#This Row],[Shortname]], Comp[], 7, FALSE)</f>
        <v>61.6</v>
      </c>
      <c r="K1030">
        <f>VLOOKUP(Table9[[#This Row],[Shortname]], Comp[], 8, FALSE)</f>
        <v>15.4</v>
      </c>
      <c r="L1030">
        <f>VLOOKUP(Table9[[#This Row],[Shortname]], Comp[], 9, FALSE)</f>
        <v>12</v>
      </c>
      <c r="M1030">
        <f>VLOOKUP(Table9[[#This Row],[Shortname]], Comp[], 10, FALSE)</f>
        <v>0</v>
      </c>
      <c r="N1030">
        <f>VLOOKUP(Table9[[#This Row],[Shortname]], Comp[], 11, FALSE)</f>
        <v>11</v>
      </c>
      <c r="O1030">
        <f>VLOOKUP(Table9[[#This Row],[Shortname]], Comp[],12, FALSE)</f>
        <v>0</v>
      </c>
      <c r="P1030">
        <f>VLOOKUP(Table9[[#This Row],[Shortname]], Comp[], 13, FALSE)</f>
        <v>0</v>
      </c>
      <c r="Q1030">
        <f>VLOOKUP(Table9[[#This Row],[Shortname]], Comp[], 14, FALSE)</f>
        <v>0</v>
      </c>
      <c r="R1030">
        <f>VLOOKUP(Table9[[#This Row],[Shortname]], Comp[], 15, FALSE)</f>
        <v>0</v>
      </c>
      <c r="S1030">
        <f>VLOOKUP(Table9[[#This Row],[Shortname]], Comp[], 16, FALSE)</f>
        <v>0</v>
      </c>
      <c r="T1030">
        <f>VLOOKUP(Table9[[#This Row],[Shortname]], Comp[], 17, FALSE)</f>
        <v>0</v>
      </c>
      <c r="U1030">
        <f>VLOOKUP(Table9[[#This Row],[Shortname]], Comp[], 18, FALSE)</f>
        <v>0</v>
      </c>
      <c r="V1030">
        <f>VLOOKUP(Table9[[#This Row],[Shortname]], Comp[], 19, FALSE)</f>
        <v>0</v>
      </c>
      <c r="W1030">
        <f>VLOOKUP(Table9[[#This Row],[Shortname]], Comp[], 20, FALSE)</f>
        <v>0</v>
      </c>
      <c r="X1030">
        <f>VLOOKUP(Table9[[#This Row],[Shortname]], Comp[], 21, FALSE)</f>
        <v>0</v>
      </c>
      <c r="Y1030">
        <f>VLOOKUP(Table9[[#This Row],[Shortname]], Comp[], 22, FALSE)</f>
        <v>0</v>
      </c>
      <c r="Z1030">
        <f>VLOOKUP(Table9[[#This Row],[Shortname]], Comp[], 23, FALSE)</f>
        <v>0</v>
      </c>
      <c r="AA1030">
        <f>VLOOKUP(Table9[[#This Row],[Shortname]], Comp[], 24, FALSE)</f>
        <v>0</v>
      </c>
      <c r="AB1030">
        <f>VLOOKUP(Table9[[#This Row],[Shortname]], Comp[], 25, FALSE)</f>
        <v>0</v>
      </c>
      <c r="AC1030">
        <f>VLOOKUP(Table9[[#This Row],[Shortname]], Comp[], 26, FALSE)</f>
        <v>0</v>
      </c>
      <c r="AD1030">
        <f>VLOOKUP(Table9[[#This Row],[Shortname]], Comp[], 27, FALSE)</f>
        <v>0</v>
      </c>
      <c r="AE1030">
        <f>VLOOKUP(Table9[[#This Row],[Shortname]], Comp[], 28, FALSE)</f>
        <v>0</v>
      </c>
      <c r="AF1030">
        <f>VLOOKUP(Table9[[#This Row],[Shortname]], Comp[], 29, FALSE)</f>
        <v>0</v>
      </c>
      <c r="AG1030">
        <f>VLOOKUP(Table9[[#This Row],[Shortname]], Comp[], 30, FALSE)</f>
        <v>0</v>
      </c>
      <c r="AH1030">
        <f>VLOOKUP(Table9[[#This Row],[Shortname]], Comp[], 31, FALSE)</f>
        <v>0</v>
      </c>
    </row>
    <row r="1031" spans="1:34" x14ac:dyDescent="0.3">
      <c r="A1031" t="s">
        <v>5779</v>
      </c>
      <c r="B1031" t="s">
        <v>4849</v>
      </c>
      <c r="C1031" t="s">
        <v>5785</v>
      </c>
      <c r="D1031">
        <v>381.51600000000002</v>
      </c>
      <c r="E1031">
        <v>851.33900000000006</v>
      </c>
      <c r="F1031">
        <v>1E-4</v>
      </c>
      <c r="G1031">
        <v>1</v>
      </c>
      <c r="H1031" t="s">
        <v>6803</v>
      </c>
      <c r="I1031">
        <f>VLOOKUP(Table9[[#This Row],[Shortname]], Comp[], 6, FALSE)</f>
        <v>913</v>
      </c>
      <c r="J1031" s="14">
        <f>VLOOKUP(Table9[[#This Row],[Shortname]], Comp[], 7, FALSE)</f>
        <v>61.6</v>
      </c>
      <c r="K1031">
        <f>VLOOKUP(Table9[[#This Row],[Shortname]], Comp[], 8, FALSE)</f>
        <v>15.4</v>
      </c>
      <c r="L1031">
        <f>VLOOKUP(Table9[[#This Row],[Shortname]], Comp[], 9, FALSE)</f>
        <v>12</v>
      </c>
      <c r="M1031">
        <f>VLOOKUP(Table9[[#This Row],[Shortname]], Comp[], 10, FALSE)</f>
        <v>0</v>
      </c>
      <c r="N1031">
        <f>VLOOKUP(Table9[[#This Row],[Shortname]], Comp[], 11, FALSE)</f>
        <v>11</v>
      </c>
      <c r="O1031">
        <f>VLOOKUP(Table9[[#This Row],[Shortname]], Comp[],12, FALSE)</f>
        <v>0</v>
      </c>
      <c r="P1031">
        <f>VLOOKUP(Table9[[#This Row],[Shortname]], Comp[], 13, FALSE)</f>
        <v>0</v>
      </c>
      <c r="Q1031">
        <f>VLOOKUP(Table9[[#This Row],[Shortname]], Comp[], 14, FALSE)</f>
        <v>0</v>
      </c>
      <c r="R1031">
        <f>VLOOKUP(Table9[[#This Row],[Shortname]], Comp[], 15, FALSE)</f>
        <v>0</v>
      </c>
      <c r="S1031">
        <f>VLOOKUP(Table9[[#This Row],[Shortname]], Comp[], 16, FALSE)</f>
        <v>0</v>
      </c>
      <c r="T1031">
        <f>VLOOKUP(Table9[[#This Row],[Shortname]], Comp[], 17, FALSE)</f>
        <v>0</v>
      </c>
      <c r="U1031">
        <f>VLOOKUP(Table9[[#This Row],[Shortname]], Comp[], 18, FALSE)</f>
        <v>0</v>
      </c>
      <c r="V1031">
        <f>VLOOKUP(Table9[[#This Row],[Shortname]], Comp[], 19, FALSE)</f>
        <v>0</v>
      </c>
      <c r="W1031">
        <f>VLOOKUP(Table9[[#This Row],[Shortname]], Comp[], 20, FALSE)</f>
        <v>0</v>
      </c>
      <c r="X1031">
        <f>VLOOKUP(Table9[[#This Row],[Shortname]], Comp[], 21, FALSE)</f>
        <v>0</v>
      </c>
      <c r="Y1031">
        <f>VLOOKUP(Table9[[#This Row],[Shortname]], Comp[], 22, FALSE)</f>
        <v>0</v>
      </c>
      <c r="Z1031">
        <f>VLOOKUP(Table9[[#This Row],[Shortname]], Comp[], 23, FALSE)</f>
        <v>0</v>
      </c>
      <c r="AA1031">
        <f>VLOOKUP(Table9[[#This Row],[Shortname]], Comp[], 24, FALSE)</f>
        <v>0</v>
      </c>
      <c r="AB1031">
        <f>VLOOKUP(Table9[[#This Row],[Shortname]], Comp[], 25, FALSE)</f>
        <v>0</v>
      </c>
      <c r="AC1031">
        <f>VLOOKUP(Table9[[#This Row],[Shortname]], Comp[], 26, FALSE)</f>
        <v>0</v>
      </c>
      <c r="AD1031">
        <f>VLOOKUP(Table9[[#This Row],[Shortname]], Comp[], 27, FALSE)</f>
        <v>0</v>
      </c>
      <c r="AE1031">
        <f>VLOOKUP(Table9[[#This Row],[Shortname]], Comp[], 28, FALSE)</f>
        <v>0</v>
      </c>
      <c r="AF1031">
        <f>VLOOKUP(Table9[[#This Row],[Shortname]], Comp[], 29, FALSE)</f>
        <v>0</v>
      </c>
      <c r="AG1031">
        <f>VLOOKUP(Table9[[#This Row],[Shortname]], Comp[], 30, FALSE)</f>
        <v>0</v>
      </c>
      <c r="AH1031">
        <f>VLOOKUP(Table9[[#This Row],[Shortname]], Comp[], 31, FALSE)</f>
        <v>0</v>
      </c>
    </row>
    <row r="1032" spans="1:34" x14ac:dyDescent="0.3">
      <c r="A1032" t="s">
        <v>5779</v>
      </c>
      <c r="B1032" t="s">
        <v>4849</v>
      </c>
      <c r="C1032" t="s">
        <v>5785</v>
      </c>
      <c r="D1032">
        <v>418.11500000000001</v>
      </c>
      <c r="E1032">
        <v>902.08299999999997</v>
      </c>
      <c r="F1032">
        <v>1E-4</v>
      </c>
      <c r="G1032">
        <v>1</v>
      </c>
      <c r="H1032" t="s">
        <v>6803</v>
      </c>
      <c r="I1032">
        <f>VLOOKUP(Table9[[#This Row],[Shortname]], Comp[], 6, FALSE)</f>
        <v>913</v>
      </c>
      <c r="J1032" s="14">
        <f>VLOOKUP(Table9[[#This Row],[Shortname]], Comp[], 7, FALSE)</f>
        <v>61.6</v>
      </c>
      <c r="K1032">
        <f>VLOOKUP(Table9[[#This Row],[Shortname]], Comp[], 8, FALSE)</f>
        <v>15.4</v>
      </c>
      <c r="L1032">
        <f>VLOOKUP(Table9[[#This Row],[Shortname]], Comp[], 9, FALSE)</f>
        <v>12</v>
      </c>
      <c r="M1032">
        <f>VLOOKUP(Table9[[#This Row],[Shortname]], Comp[], 10, FALSE)</f>
        <v>0</v>
      </c>
      <c r="N1032">
        <f>VLOOKUP(Table9[[#This Row],[Shortname]], Comp[], 11, FALSE)</f>
        <v>11</v>
      </c>
      <c r="O1032">
        <f>VLOOKUP(Table9[[#This Row],[Shortname]], Comp[],12, FALSE)</f>
        <v>0</v>
      </c>
      <c r="P1032">
        <f>VLOOKUP(Table9[[#This Row],[Shortname]], Comp[], 13, FALSE)</f>
        <v>0</v>
      </c>
      <c r="Q1032">
        <f>VLOOKUP(Table9[[#This Row],[Shortname]], Comp[], 14, FALSE)</f>
        <v>0</v>
      </c>
      <c r="R1032">
        <f>VLOOKUP(Table9[[#This Row],[Shortname]], Comp[], 15, FALSE)</f>
        <v>0</v>
      </c>
      <c r="S1032">
        <f>VLOOKUP(Table9[[#This Row],[Shortname]], Comp[], 16, FALSE)</f>
        <v>0</v>
      </c>
      <c r="T1032">
        <f>VLOOKUP(Table9[[#This Row],[Shortname]], Comp[], 17, FALSE)</f>
        <v>0</v>
      </c>
      <c r="U1032">
        <f>VLOOKUP(Table9[[#This Row],[Shortname]], Comp[], 18, FALSE)</f>
        <v>0</v>
      </c>
      <c r="V1032">
        <f>VLOOKUP(Table9[[#This Row],[Shortname]], Comp[], 19, FALSE)</f>
        <v>0</v>
      </c>
      <c r="W1032">
        <f>VLOOKUP(Table9[[#This Row],[Shortname]], Comp[], 20, FALSE)</f>
        <v>0</v>
      </c>
      <c r="X1032">
        <f>VLOOKUP(Table9[[#This Row],[Shortname]], Comp[], 21, FALSE)</f>
        <v>0</v>
      </c>
      <c r="Y1032">
        <f>VLOOKUP(Table9[[#This Row],[Shortname]], Comp[], 22, FALSE)</f>
        <v>0</v>
      </c>
      <c r="Z1032">
        <f>VLOOKUP(Table9[[#This Row],[Shortname]], Comp[], 23, FALSE)</f>
        <v>0</v>
      </c>
      <c r="AA1032">
        <f>VLOOKUP(Table9[[#This Row],[Shortname]], Comp[], 24, FALSE)</f>
        <v>0</v>
      </c>
      <c r="AB1032">
        <f>VLOOKUP(Table9[[#This Row],[Shortname]], Comp[], 25, FALSE)</f>
        <v>0</v>
      </c>
      <c r="AC1032">
        <f>VLOOKUP(Table9[[#This Row],[Shortname]], Comp[], 26, FALSE)</f>
        <v>0</v>
      </c>
      <c r="AD1032">
        <f>VLOOKUP(Table9[[#This Row],[Shortname]], Comp[], 27, FALSE)</f>
        <v>0</v>
      </c>
      <c r="AE1032">
        <f>VLOOKUP(Table9[[#This Row],[Shortname]], Comp[], 28, FALSE)</f>
        <v>0</v>
      </c>
      <c r="AF1032">
        <f>VLOOKUP(Table9[[#This Row],[Shortname]], Comp[], 29, FALSE)</f>
        <v>0</v>
      </c>
      <c r="AG1032">
        <f>VLOOKUP(Table9[[#This Row],[Shortname]], Comp[], 30, FALSE)</f>
        <v>0</v>
      </c>
      <c r="AH1032">
        <f>VLOOKUP(Table9[[#This Row],[Shortname]], Comp[], 31, FALSE)</f>
        <v>0</v>
      </c>
    </row>
    <row r="1033" spans="1:34" x14ac:dyDescent="0.3">
      <c r="A1033" t="s">
        <v>5779</v>
      </c>
      <c r="B1033" t="s">
        <v>4849</v>
      </c>
      <c r="C1033" t="s">
        <v>5785</v>
      </c>
      <c r="D1033">
        <v>385.952</v>
      </c>
      <c r="E1033">
        <v>949.55399999999997</v>
      </c>
      <c r="F1033">
        <v>1E-4</v>
      </c>
      <c r="G1033">
        <v>1</v>
      </c>
      <c r="H1033" t="s">
        <v>6803</v>
      </c>
      <c r="I1033">
        <f>VLOOKUP(Table9[[#This Row],[Shortname]], Comp[], 6, FALSE)</f>
        <v>913</v>
      </c>
      <c r="J1033" s="14">
        <f>VLOOKUP(Table9[[#This Row],[Shortname]], Comp[], 7, FALSE)</f>
        <v>61.6</v>
      </c>
      <c r="K1033">
        <f>VLOOKUP(Table9[[#This Row],[Shortname]], Comp[], 8, FALSE)</f>
        <v>15.4</v>
      </c>
      <c r="L1033">
        <f>VLOOKUP(Table9[[#This Row],[Shortname]], Comp[], 9, FALSE)</f>
        <v>12</v>
      </c>
      <c r="M1033">
        <f>VLOOKUP(Table9[[#This Row],[Shortname]], Comp[], 10, FALSE)</f>
        <v>0</v>
      </c>
      <c r="N1033">
        <f>VLOOKUP(Table9[[#This Row],[Shortname]], Comp[], 11, FALSE)</f>
        <v>11</v>
      </c>
      <c r="O1033">
        <f>VLOOKUP(Table9[[#This Row],[Shortname]], Comp[],12, FALSE)</f>
        <v>0</v>
      </c>
      <c r="P1033">
        <f>VLOOKUP(Table9[[#This Row],[Shortname]], Comp[], 13, FALSE)</f>
        <v>0</v>
      </c>
      <c r="Q1033">
        <f>VLOOKUP(Table9[[#This Row],[Shortname]], Comp[], 14, FALSE)</f>
        <v>0</v>
      </c>
      <c r="R1033">
        <f>VLOOKUP(Table9[[#This Row],[Shortname]], Comp[], 15, FALSE)</f>
        <v>0</v>
      </c>
      <c r="S1033">
        <f>VLOOKUP(Table9[[#This Row],[Shortname]], Comp[], 16, FALSE)</f>
        <v>0</v>
      </c>
      <c r="T1033">
        <f>VLOOKUP(Table9[[#This Row],[Shortname]], Comp[], 17, FALSE)</f>
        <v>0</v>
      </c>
      <c r="U1033">
        <f>VLOOKUP(Table9[[#This Row],[Shortname]], Comp[], 18, FALSE)</f>
        <v>0</v>
      </c>
      <c r="V1033">
        <f>VLOOKUP(Table9[[#This Row],[Shortname]], Comp[], 19, FALSE)</f>
        <v>0</v>
      </c>
      <c r="W1033">
        <f>VLOOKUP(Table9[[#This Row],[Shortname]], Comp[], 20, FALSE)</f>
        <v>0</v>
      </c>
      <c r="X1033">
        <f>VLOOKUP(Table9[[#This Row],[Shortname]], Comp[], 21, FALSE)</f>
        <v>0</v>
      </c>
      <c r="Y1033">
        <f>VLOOKUP(Table9[[#This Row],[Shortname]], Comp[], 22, FALSE)</f>
        <v>0</v>
      </c>
      <c r="Z1033">
        <f>VLOOKUP(Table9[[#This Row],[Shortname]], Comp[], 23, FALSE)</f>
        <v>0</v>
      </c>
      <c r="AA1033">
        <f>VLOOKUP(Table9[[#This Row],[Shortname]], Comp[], 24, FALSE)</f>
        <v>0</v>
      </c>
      <c r="AB1033">
        <f>VLOOKUP(Table9[[#This Row],[Shortname]], Comp[], 25, FALSE)</f>
        <v>0</v>
      </c>
      <c r="AC1033">
        <f>VLOOKUP(Table9[[#This Row],[Shortname]], Comp[], 26, FALSE)</f>
        <v>0</v>
      </c>
      <c r="AD1033">
        <f>VLOOKUP(Table9[[#This Row],[Shortname]], Comp[], 27, FALSE)</f>
        <v>0</v>
      </c>
      <c r="AE1033">
        <f>VLOOKUP(Table9[[#This Row],[Shortname]], Comp[], 28, FALSE)</f>
        <v>0</v>
      </c>
      <c r="AF1033">
        <f>VLOOKUP(Table9[[#This Row],[Shortname]], Comp[], 29, FALSE)</f>
        <v>0</v>
      </c>
      <c r="AG1033">
        <f>VLOOKUP(Table9[[#This Row],[Shortname]], Comp[], 30, FALSE)</f>
        <v>0</v>
      </c>
      <c r="AH1033">
        <f>VLOOKUP(Table9[[#This Row],[Shortname]], Comp[], 31, FALSE)</f>
        <v>0</v>
      </c>
    </row>
    <row r="1034" spans="1:34" x14ac:dyDescent="0.3">
      <c r="A1034" t="s">
        <v>5779</v>
      </c>
      <c r="B1034" t="s">
        <v>4849</v>
      </c>
      <c r="C1034" t="s">
        <v>5785</v>
      </c>
      <c r="D1034">
        <v>347.13499999999999</v>
      </c>
      <c r="E1034">
        <v>998.66099999999994</v>
      </c>
      <c r="F1034">
        <v>1E-4</v>
      </c>
      <c r="G1034">
        <v>1</v>
      </c>
      <c r="H1034" t="s">
        <v>6803</v>
      </c>
      <c r="I1034">
        <f>VLOOKUP(Table9[[#This Row],[Shortname]], Comp[], 6, FALSE)</f>
        <v>913</v>
      </c>
      <c r="J1034" s="14">
        <f>VLOOKUP(Table9[[#This Row],[Shortname]], Comp[], 7, FALSE)</f>
        <v>61.6</v>
      </c>
      <c r="K1034">
        <f>VLOOKUP(Table9[[#This Row],[Shortname]], Comp[], 8, FALSE)</f>
        <v>15.4</v>
      </c>
      <c r="L1034">
        <f>VLOOKUP(Table9[[#This Row],[Shortname]], Comp[], 9, FALSE)</f>
        <v>12</v>
      </c>
      <c r="M1034">
        <f>VLOOKUP(Table9[[#This Row],[Shortname]], Comp[], 10, FALSE)</f>
        <v>0</v>
      </c>
      <c r="N1034">
        <f>VLOOKUP(Table9[[#This Row],[Shortname]], Comp[], 11, FALSE)</f>
        <v>11</v>
      </c>
      <c r="O1034">
        <f>VLOOKUP(Table9[[#This Row],[Shortname]], Comp[],12, FALSE)</f>
        <v>0</v>
      </c>
      <c r="P1034">
        <f>VLOOKUP(Table9[[#This Row],[Shortname]], Comp[], 13, FALSE)</f>
        <v>0</v>
      </c>
      <c r="Q1034">
        <f>VLOOKUP(Table9[[#This Row],[Shortname]], Comp[], 14, FALSE)</f>
        <v>0</v>
      </c>
      <c r="R1034">
        <f>VLOOKUP(Table9[[#This Row],[Shortname]], Comp[], 15, FALSE)</f>
        <v>0</v>
      </c>
      <c r="S1034">
        <f>VLOOKUP(Table9[[#This Row],[Shortname]], Comp[], 16, FALSE)</f>
        <v>0</v>
      </c>
      <c r="T1034">
        <f>VLOOKUP(Table9[[#This Row],[Shortname]], Comp[], 17, FALSE)</f>
        <v>0</v>
      </c>
      <c r="U1034">
        <f>VLOOKUP(Table9[[#This Row],[Shortname]], Comp[], 18, FALSE)</f>
        <v>0</v>
      </c>
      <c r="V1034">
        <f>VLOOKUP(Table9[[#This Row],[Shortname]], Comp[], 19, FALSE)</f>
        <v>0</v>
      </c>
      <c r="W1034">
        <f>VLOOKUP(Table9[[#This Row],[Shortname]], Comp[], 20, FALSE)</f>
        <v>0</v>
      </c>
      <c r="X1034">
        <f>VLOOKUP(Table9[[#This Row],[Shortname]], Comp[], 21, FALSE)</f>
        <v>0</v>
      </c>
      <c r="Y1034">
        <f>VLOOKUP(Table9[[#This Row],[Shortname]], Comp[], 22, FALSE)</f>
        <v>0</v>
      </c>
      <c r="Z1034">
        <f>VLOOKUP(Table9[[#This Row],[Shortname]], Comp[], 23, FALSE)</f>
        <v>0</v>
      </c>
      <c r="AA1034">
        <f>VLOOKUP(Table9[[#This Row],[Shortname]], Comp[], 24, FALSE)</f>
        <v>0</v>
      </c>
      <c r="AB1034">
        <f>VLOOKUP(Table9[[#This Row],[Shortname]], Comp[], 25, FALSE)</f>
        <v>0</v>
      </c>
      <c r="AC1034">
        <f>VLOOKUP(Table9[[#This Row],[Shortname]], Comp[], 26, FALSE)</f>
        <v>0</v>
      </c>
      <c r="AD1034">
        <f>VLOOKUP(Table9[[#This Row],[Shortname]], Comp[], 27, FALSE)</f>
        <v>0</v>
      </c>
      <c r="AE1034">
        <f>VLOOKUP(Table9[[#This Row],[Shortname]], Comp[], 28, FALSE)</f>
        <v>0</v>
      </c>
      <c r="AF1034">
        <f>VLOOKUP(Table9[[#This Row],[Shortname]], Comp[], 29, FALSE)</f>
        <v>0</v>
      </c>
      <c r="AG1034">
        <f>VLOOKUP(Table9[[#This Row],[Shortname]], Comp[], 30, FALSE)</f>
        <v>0</v>
      </c>
      <c r="AH1034">
        <f>VLOOKUP(Table9[[#This Row],[Shortname]], Comp[], 31, FALSE)</f>
        <v>0</v>
      </c>
    </row>
    <row r="1035" spans="1:34" x14ac:dyDescent="0.3">
      <c r="A1035" t="s">
        <v>5779</v>
      </c>
      <c r="B1035" t="s">
        <v>4849</v>
      </c>
      <c r="C1035" t="s">
        <v>5785</v>
      </c>
      <c r="D1035">
        <v>260.62799999999999</v>
      </c>
      <c r="E1035">
        <v>1052.68</v>
      </c>
      <c r="F1035">
        <v>1E-4</v>
      </c>
      <c r="G1035">
        <v>1</v>
      </c>
      <c r="H1035" t="s">
        <v>6803</v>
      </c>
      <c r="I1035">
        <f>VLOOKUP(Table9[[#This Row],[Shortname]], Comp[], 6, FALSE)</f>
        <v>913</v>
      </c>
      <c r="J1035" s="14">
        <f>VLOOKUP(Table9[[#This Row],[Shortname]], Comp[], 7, FALSE)</f>
        <v>61.6</v>
      </c>
      <c r="K1035">
        <f>VLOOKUP(Table9[[#This Row],[Shortname]], Comp[], 8, FALSE)</f>
        <v>15.4</v>
      </c>
      <c r="L1035">
        <f>VLOOKUP(Table9[[#This Row],[Shortname]], Comp[], 9, FALSE)</f>
        <v>12</v>
      </c>
      <c r="M1035">
        <f>VLOOKUP(Table9[[#This Row],[Shortname]], Comp[], 10, FALSE)</f>
        <v>0</v>
      </c>
      <c r="N1035">
        <f>VLOOKUP(Table9[[#This Row],[Shortname]], Comp[], 11, FALSE)</f>
        <v>11</v>
      </c>
      <c r="O1035">
        <f>VLOOKUP(Table9[[#This Row],[Shortname]], Comp[],12, FALSE)</f>
        <v>0</v>
      </c>
      <c r="P1035">
        <f>VLOOKUP(Table9[[#This Row],[Shortname]], Comp[], 13, FALSE)</f>
        <v>0</v>
      </c>
      <c r="Q1035">
        <f>VLOOKUP(Table9[[#This Row],[Shortname]], Comp[], 14, FALSE)</f>
        <v>0</v>
      </c>
      <c r="R1035">
        <f>VLOOKUP(Table9[[#This Row],[Shortname]], Comp[], 15, FALSE)</f>
        <v>0</v>
      </c>
      <c r="S1035">
        <f>VLOOKUP(Table9[[#This Row],[Shortname]], Comp[], 16, FALSE)</f>
        <v>0</v>
      </c>
      <c r="T1035">
        <f>VLOOKUP(Table9[[#This Row],[Shortname]], Comp[], 17, FALSE)</f>
        <v>0</v>
      </c>
      <c r="U1035">
        <f>VLOOKUP(Table9[[#This Row],[Shortname]], Comp[], 18, FALSE)</f>
        <v>0</v>
      </c>
      <c r="V1035">
        <f>VLOOKUP(Table9[[#This Row],[Shortname]], Comp[], 19, FALSE)</f>
        <v>0</v>
      </c>
      <c r="W1035">
        <f>VLOOKUP(Table9[[#This Row],[Shortname]], Comp[], 20, FALSE)</f>
        <v>0</v>
      </c>
      <c r="X1035">
        <f>VLOOKUP(Table9[[#This Row],[Shortname]], Comp[], 21, FALSE)</f>
        <v>0</v>
      </c>
      <c r="Y1035">
        <f>VLOOKUP(Table9[[#This Row],[Shortname]], Comp[], 22, FALSE)</f>
        <v>0</v>
      </c>
      <c r="Z1035">
        <f>VLOOKUP(Table9[[#This Row],[Shortname]], Comp[], 23, FALSE)</f>
        <v>0</v>
      </c>
      <c r="AA1035">
        <f>VLOOKUP(Table9[[#This Row],[Shortname]], Comp[], 24, FALSE)</f>
        <v>0</v>
      </c>
      <c r="AB1035">
        <f>VLOOKUP(Table9[[#This Row],[Shortname]], Comp[], 25, FALSE)</f>
        <v>0</v>
      </c>
      <c r="AC1035">
        <f>VLOOKUP(Table9[[#This Row],[Shortname]], Comp[], 26, FALSE)</f>
        <v>0</v>
      </c>
      <c r="AD1035">
        <f>VLOOKUP(Table9[[#This Row],[Shortname]], Comp[], 27, FALSE)</f>
        <v>0</v>
      </c>
      <c r="AE1035">
        <f>VLOOKUP(Table9[[#This Row],[Shortname]], Comp[], 28, FALSE)</f>
        <v>0</v>
      </c>
      <c r="AF1035">
        <f>VLOOKUP(Table9[[#This Row],[Shortname]], Comp[], 29, FALSE)</f>
        <v>0</v>
      </c>
      <c r="AG1035">
        <f>VLOOKUP(Table9[[#This Row],[Shortname]], Comp[], 30, FALSE)</f>
        <v>0</v>
      </c>
      <c r="AH1035">
        <f>VLOOKUP(Table9[[#This Row],[Shortname]], Comp[], 31, FALSE)</f>
        <v>0</v>
      </c>
    </row>
    <row r="1036" spans="1:34" x14ac:dyDescent="0.3">
      <c r="A1036" t="s">
        <v>5779</v>
      </c>
      <c r="B1036" t="s">
        <v>4849</v>
      </c>
      <c r="C1036" t="s">
        <v>5785</v>
      </c>
      <c r="D1036">
        <v>51.016599999999997</v>
      </c>
      <c r="E1036">
        <v>1100.1500000000001</v>
      </c>
      <c r="F1036">
        <v>1E-4</v>
      </c>
      <c r="G1036">
        <v>1</v>
      </c>
      <c r="H1036" t="s">
        <v>6803</v>
      </c>
      <c r="I1036">
        <f>VLOOKUP(Table9[[#This Row],[Shortname]], Comp[], 6, FALSE)</f>
        <v>913</v>
      </c>
      <c r="J1036" s="14">
        <f>VLOOKUP(Table9[[#This Row],[Shortname]], Comp[], 7, FALSE)</f>
        <v>61.6</v>
      </c>
      <c r="K1036">
        <f>VLOOKUP(Table9[[#This Row],[Shortname]], Comp[], 8, FALSE)</f>
        <v>15.4</v>
      </c>
      <c r="L1036">
        <f>VLOOKUP(Table9[[#This Row],[Shortname]], Comp[], 9, FALSE)</f>
        <v>12</v>
      </c>
      <c r="M1036">
        <f>VLOOKUP(Table9[[#This Row],[Shortname]], Comp[], 10, FALSE)</f>
        <v>0</v>
      </c>
      <c r="N1036">
        <f>VLOOKUP(Table9[[#This Row],[Shortname]], Comp[], 11, FALSE)</f>
        <v>11</v>
      </c>
      <c r="O1036">
        <f>VLOOKUP(Table9[[#This Row],[Shortname]], Comp[],12, FALSE)</f>
        <v>0</v>
      </c>
      <c r="P1036">
        <f>VLOOKUP(Table9[[#This Row],[Shortname]], Comp[], 13, FALSE)</f>
        <v>0</v>
      </c>
      <c r="Q1036">
        <f>VLOOKUP(Table9[[#This Row],[Shortname]], Comp[], 14, FALSE)</f>
        <v>0</v>
      </c>
      <c r="R1036">
        <f>VLOOKUP(Table9[[#This Row],[Shortname]], Comp[], 15, FALSE)</f>
        <v>0</v>
      </c>
      <c r="S1036">
        <f>VLOOKUP(Table9[[#This Row],[Shortname]], Comp[], 16, FALSE)</f>
        <v>0</v>
      </c>
      <c r="T1036">
        <f>VLOOKUP(Table9[[#This Row],[Shortname]], Comp[], 17, FALSE)</f>
        <v>0</v>
      </c>
      <c r="U1036">
        <f>VLOOKUP(Table9[[#This Row],[Shortname]], Comp[], 18, FALSE)</f>
        <v>0</v>
      </c>
      <c r="V1036">
        <f>VLOOKUP(Table9[[#This Row],[Shortname]], Comp[], 19, FALSE)</f>
        <v>0</v>
      </c>
      <c r="W1036">
        <f>VLOOKUP(Table9[[#This Row],[Shortname]], Comp[], 20, FALSE)</f>
        <v>0</v>
      </c>
      <c r="X1036">
        <f>VLOOKUP(Table9[[#This Row],[Shortname]], Comp[], 21, FALSE)</f>
        <v>0</v>
      </c>
      <c r="Y1036">
        <f>VLOOKUP(Table9[[#This Row],[Shortname]], Comp[], 22, FALSE)</f>
        <v>0</v>
      </c>
      <c r="Z1036">
        <f>VLOOKUP(Table9[[#This Row],[Shortname]], Comp[], 23, FALSE)</f>
        <v>0</v>
      </c>
      <c r="AA1036">
        <f>VLOOKUP(Table9[[#This Row],[Shortname]], Comp[], 24, FALSE)</f>
        <v>0</v>
      </c>
      <c r="AB1036">
        <f>VLOOKUP(Table9[[#This Row],[Shortname]], Comp[], 25, FALSE)</f>
        <v>0</v>
      </c>
      <c r="AC1036">
        <f>VLOOKUP(Table9[[#This Row],[Shortname]], Comp[], 26, FALSE)</f>
        <v>0</v>
      </c>
      <c r="AD1036">
        <f>VLOOKUP(Table9[[#This Row],[Shortname]], Comp[], 27, FALSE)</f>
        <v>0</v>
      </c>
      <c r="AE1036">
        <f>VLOOKUP(Table9[[#This Row],[Shortname]], Comp[], 28, FALSE)</f>
        <v>0</v>
      </c>
      <c r="AF1036">
        <f>VLOOKUP(Table9[[#This Row],[Shortname]], Comp[], 29, FALSE)</f>
        <v>0</v>
      </c>
      <c r="AG1036">
        <f>VLOOKUP(Table9[[#This Row],[Shortname]], Comp[], 30, FALSE)</f>
        <v>0</v>
      </c>
      <c r="AH1036">
        <f>VLOOKUP(Table9[[#This Row],[Shortname]], Comp[], 31, FALSE)</f>
        <v>0</v>
      </c>
    </row>
    <row r="1037" spans="1:34" x14ac:dyDescent="0.3">
      <c r="A1037" t="s">
        <v>5775</v>
      </c>
      <c r="B1037" t="s">
        <v>4948</v>
      </c>
      <c r="C1037" t="s">
        <v>5785</v>
      </c>
      <c r="D1037">
        <v>297.22699999999998</v>
      </c>
      <c r="E1037">
        <v>25</v>
      </c>
      <c r="F1037">
        <v>1E-4</v>
      </c>
      <c r="G1037">
        <v>1</v>
      </c>
      <c r="H1037" t="s">
        <v>6803</v>
      </c>
      <c r="I1037">
        <f>VLOOKUP(Table9[[#This Row],[Shortname]], Comp[], 6, FALSE)</f>
        <v>912</v>
      </c>
      <c r="J1037" s="14">
        <f>VLOOKUP(Table9[[#This Row],[Shortname]], Comp[], 7, FALSE)</f>
        <v>69.3</v>
      </c>
      <c r="K1037">
        <f>VLOOKUP(Table9[[#This Row],[Shortname]], Comp[], 8, FALSE)</f>
        <v>7.7</v>
      </c>
      <c r="L1037">
        <f>VLOOKUP(Table9[[#This Row],[Shortname]], Comp[], 9, FALSE)</f>
        <v>12</v>
      </c>
      <c r="M1037">
        <f>VLOOKUP(Table9[[#This Row],[Shortname]], Comp[], 10, FALSE)</f>
        <v>0</v>
      </c>
      <c r="N1037">
        <f>VLOOKUP(Table9[[#This Row],[Shortname]], Comp[], 11, FALSE)</f>
        <v>11</v>
      </c>
      <c r="O1037">
        <f>VLOOKUP(Table9[[#This Row],[Shortname]], Comp[],12, FALSE)</f>
        <v>0</v>
      </c>
      <c r="P1037">
        <f>VLOOKUP(Table9[[#This Row],[Shortname]], Comp[], 13, FALSE)</f>
        <v>0</v>
      </c>
      <c r="Q1037">
        <f>VLOOKUP(Table9[[#This Row],[Shortname]], Comp[], 14, FALSE)</f>
        <v>0</v>
      </c>
      <c r="R1037">
        <f>VLOOKUP(Table9[[#This Row],[Shortname]], Comp[], 15, FALSE)</f>
        <v>0</v>
      </c>
      <c r="S1037">
        <f>VLOOKUP(Table9[[#This Row],[Shortname]], Comp[], 16, FALSE)</f>
        <v>0</v>
      </c>
      <c r="T1037">
        <f>VLOOKUP(Table9[[#This Row],[Shortname]], Comp[], 17, FALSE)</f>
        <v>0</v>
      </c>
      <c r="U1037">
        <f>VLOOKUP(Table9[[#This Row],[Shortname]], Comp[], 18, FALSE)</f>
        <v>0</v>
      </c>
      <c r="V1037">
        <f>VLOOKUP(Table9[[#This Row],[Shortname]], Comp[], 19, FALSE)</f>
        <v>0</v>
      </c>
      <c r="W1037">
        <f>VLOOKUP(Table9[[#This Row],[Shortname]], Comp[], 20, FALSE)</f>
        <v>0</v>
      </c>
      <c r="X1037">
        <f>VLOOKUP(Table9[[#This Row],[Shortname]], Comp[], 21, FALSE)</f>
        <v>0</v>
      </c>
      <c r="Y1037">
        <f>VLOOKUP(Table9[[#This Row],[Shortname]], Comp[], 22, FALSE)</f>
        <v>0</v>
      </c>
      <c r="Z1037">
        <f>VLOOKUP(Table9[[#This Row],[Shortname]], Comp[], 23, FALSE)</f>
        <v>0</v>
      </c>
      <c r="AA1037">
        <f>VLOOKUP(Table9[[#This Row],[Shortname]], Comp[], 24, FALSE)</f>
        <v>0</v>
      </c>
      <c r="AB1037">
        <f>VLOOKUP(Table9[[#This Row],[Shortname]], Comp[], 25, FALSE)</f>
        <v>0</v>
      </c>
      <c r="AC1037">
        <f>VLOOKUP(Table9[[#This Row],[Shortname]], Comp[], 26, FALSE)</f>
        <v>0</v>
      </c>
      <c r="AD1037">
        <f>VLOOKUP(Table9[[#This Row],[Shortname]], Comp[], 27, FALSE)</f>
        <v>0</v>
      </c>
      <c r="AE1037">
        <f>VLOOKUP(Table9[[#This Row],[Shortname]], Comp[], 28, FALSE)</f>
        <v>0</v>
      </c>
      <c r="AF1037">
        <f>VLOOKUP(Table9[[#This Row],[Shortname]], Comp[], 29, FALSE)</f>
        <v>0</v>
      </c>
      <c r="AG1037">
        <f>VLOOKUP(Table9[[#This Row],[Shortname]], Comp[], 30, FALSE)</f>
        <v>0</v>
      </c>
      <c r="AH1037">
        <f>VLOOKUP(Table9[[#This Row],[Shortname]], Comp[], 31, FALSE)</f>
        <v>0</v>
      </c>
    </row>
    <row r="1038" spans="1:34" x14ac:dyDescent="0.3">
      <c r="A1038" t="s">
        <v>5775</v>
      </c>
      <c r="B1038" t="s">
        <v>4948</v>
      </c>
      <c r="C1038" t="s">
        <v>5785</v>
      </c>
      <c r="D1038">
        <v>293.89999999999998</v>
      </c>
      <c r="E1038">
        <v>299.702</v>
      </c>
      <c r="F1038">
        <v>1E-4</v>
      </c>
      <c r="G1038">
        <v>1</v>
      </c>
      <c r="H1038" t="s">
        <v>6803</v>
      </c>
      <c r="I1038">
        <f>VLOOKUP(Table9[[#This Row],[Shortname]], Comp[], 6, FALSE)</f>
        <v>912</v>
      </c>
      <c r="J1038" s="14">
        <f>VLOOKUP(Table9[[#This Row],[Shortname]], Comp[], 7, FALSE)</f>
        <v>69.3</v>
      </c>
      <c r="K1038">
        <f>VLOOKUP(Table9[[#This Row],[Shortname]], Comp[], 8, FALSE)</f>
        <v>7.7</v>
      </c>
      <c r="L1038">
        <f>VLOOKUP(Table9[[#This Row],[Shortname]], Comp[], 9, FALSE)</f>
        <v>12</v>
      </c>
      <c r="M1038">
        <f>VLOOKUP(Table9[[#This Row],[Shortname]], Comp[], 10, FALSE)</f>
        <v>0</v>
      </c>
      <c r="N1038">
        <f>VLOOKUP(Table9[[#This Row],[Shortname]], Comp[], 11, FALSE)</f>
        <v>11</v>
      </c>
      <c r="O1038">
        <f>VLOOKUP(Table9[[#This Row],[Shortname]], Comp[],12, FALSE)</f>
        <v>0</v>
      </c>
      <c r="P1038">
        <f>VLOOKUP(Table9[[#This Row],[Shortname]], Comp[], 13, FALSE)</f>
        <v>0</v>
      </c>
      <c r="Q1038">
        <f>VLOOKUP(Table9[[#This Row],[Shortname]], Comp[], 14, FALSE)</f>
        <v>0</v>
      </c>
      <c r="R1038">
        <f>VLOOKUP(Table9[[#This Row],[Shortname]], Comp[], 15, FALSE)</f>
        <v>0</v>
      </c>
      <c r="S1038">
        <f>VLOOKUP(Table9[[#This Row],[Shortname]], Comp[], 16, FALSE)</f>
        <v>0</v>
      </c>
      <c r="T1038">
        <f>VLOOKUP(Table9[[#This Row],[Shortname]], Comp[], 17, FALSE)</f>
        <v>0</v>
      </c>
      <c r="U1038">
        <f>VLOOKUP(Table9[[#This Row],[Shortname]], Comp[], 18, FALSE)</f>
        <v>0</v>
      </c>
      <c r="V1038">
        <f>VLOOKUP(Table9[[#This Row],[Shortname]], Comp[], 19, FALSE)</f>
        <v>0</v>
      </c>
      <c r="W1038">
        <f>VLOOKUP(Table9[[#This Row],[Shortname]], Comp[], 20, FALSE)</f>
        <v>0</v>
      </c>
      <c r="X1038">
        <f>VLOOKUP(Table9[[#This Row],[Shortname]], Comp[], 21, FALSE)</f>
        <v>0</v>
      </c>
      <c r="Y1038">
        <f>VLOOKUP(Table9[[#This Row],[Shortname]], Comp[], 22, FALSE)</f>
        <v>0</v>
      </c>
      <c r="Z1038">
        <f>VLOOKUP(Table9[[#This Row],[Shortname]], Comp[], 23, FALSE)</f>
        <v>0</v>
      </c>
      <c r="AA1038">
        <f>VLOOKUP(Table9[[#This Row],[Shortname]], Comp[], 24, FALSE)</f>
        <v>0</v>
      </c>
      <c r="AB1038">
        <f>VLOOKUP(Table9[[#This Row],[Shortname]], Comp[], 25, FALSE)</f>
        <v>0</v>
      </c>
      <c r="AC1038">
        <f>VLOOKUP(Table9[[#This Row],[Shortname]], Comp[], 26, FALSE)</f>
        <v>0</v>
      </c>
      <c r="AD1038">
        <f>VLOOKUP(Table9[[#This Row],[Shortname]], Comp[], 27, FALSE)</f>
        <v>0</v>
      </c>
      <c r="AE1038">
        <f>VLOOKUP(Table9[[#This Row],[Shortname]], Comp[], 28, FALSE)</f>
        <v>0</v>
      </c>
      <c r="AF1038">
        <f>VLOOKUP(Table9[[#This Row],[Shortname]], Comp[], 29, FALSE)</f>
        <v>0</v>
      </c>
      <c r="AG1038">
        <f>VLOOKUP(Table9[[#This Row],[Shortname]], Comp[], 30, FALSE)</f>
        <v>0</v>
      </c>
      <c r="AH1038">
        <f>VLOOKUP(Table9[[#This Row],[Shortname]], Comp[], 31, FALSE)</f>
        <v>0</v>
      </c>
    </row>
    <row r="1039" spans="1:34" x14ac:dyDescent="0.3">
      <c r="A1039" t="s">
        <v>5775</v>
      </c>
      <c r="B1039" t="s">
        <v>4948</v>
      </c>
      <c r="C1039" t="s">
        <v>5785</v>
      </c>
      <c r="D1039">
        <v>276.15499999999997</v>
      </c>
      <c r="E1039">
        <v>448.661</v>
      </c>
      <c r="F1039">
        <v>1E-4</v>
      </c>
      <c r="G1039">
        <v>1</v>
      </c>
      <c r="H1039" t="s">
        <v>6803</v>
      </c>
      <c r="I1039">
        <f>VLOOKUP(Table9[[#This Row],[Shortname]], Comp[], 6, FALSE)</f>
        <v>912</v>
      </c>
      <c r="J1039" s="14">
        <f>VLOOKUP(Table9[[#This Row],[Shortname]], Comp[], 7, FALSE)</f>
        <v>69.3</v>
      </c>
      <c r="K1039">
        <f>VLOOKUP(Table9[[#This Row],[Shortname]], Comp[], 8, FALSE)</f>
        <v>7.7</v>
      </c>
      <c r="L1039">
        <f>VLOOKUP(Table9[[#This Row],[Shortname]], Comp[], 9, FALSE)</f>
        <v>12</v>
      </c>
      <c r="M1039">
        <f>VLOOKUP(Table9[[#This Row],[Shortname]], Comp[], 10, FALSE)</f>
        <v>0</v>
      </c>
      <c r="N1039">
        <f>VLOOKUP(Table9[[#This Row],[Shortname]], Comp[], 11, FALSE)</f>
        <v>11</v>
      </c>
      <c r="O1039">
        <f>VLOOKUP(Table9[[#This Row],[Shortname]], Comp[],12, FALSE)</f>
        <v>0</v>
      </c>
      <c r="P1039">
        <f>VLOOKUP(Table9[[#This Row],[Shortname]], Comp[], 13, FALSE)</f>
        <v>0</v>
      </c>
      <c r="Q1039">
        <f>VLOOKUP(Table9[[#This Row],[Shortname]], Comp[], 14, FALSE)</f>
        <v>0</v>
      </c>
      <c r="R1039">
        <f>VLOOKUP(Table9[[#This Row],[Shortname]], Comp[], 15, FALSE)</f>
        <v>0</v>
      </c>
      <c r="S1039">
        <f>VLOOKUP(Table9[[#This Row],[Shortname]], Comp[], 16, FALSE)</f>
        <v>0</v>
      </c>
      <c r="T1039">
        <f>VLOOKUP(Table9[[#This Row],[Shortname]], Comp[], 17, FALSE)</f>
        <v>0</v>
      </c>
      <c r="U1039">
        <f>VLOOKUP(Table9[[#This Row],[Shortname]], Comp[], 18, FALSE)</f>
        <v>0</v>
      </c>
      <c r="V1039">
        <f>VLOOKUP(Table9[[#This Row],[Shortname]], Comp[], 19, FALSE)</f>
        <v>0</v>
      </c>
      <c r="W1039">
        <f>VLOOKUP(Table9[[#This Row],[Shortname]], Comp[], 20, FALSE)</f>
        <v>0</v>
      </c>
      <c r="X1039">
        <f>VLOOKUP(Table9[[#This Row],[Shortname]], Comp[], 21, FALSE)</f>
        <v>0</v>
      </c>
      <c r="Y1039">
        <f>VLOOKUP(Table9[[#This Row],[Shortname]], Comp[], 22, FALSE)</f>
        <v>0</v>
      </c>
      <c r="Z1039">
        <f>VLOOKUP(Table9[[#This Row],[Shortname]], Comp[], 23, FALSE)</f>
        <v>0</v>
      </c>
      <c r="AA1039">
        <f>VLOOKUP(Table9[[#This Row],[Shortname]], Comp[], 24, FALSE)</f>
        <v>0</v>
      </c>
      <c r="AB1039">
        <f>VLOOKUP(Table9[[#This Row],[Shortname]], Comp[], 25, FALSE)</f>
        <v>0</v>
      </c>
      <c r="AC1039">
        <f>VLOOKUP(Table9[[#This Row],[Shortname]], Comp[], 26, FALSE)</f>
        <v>0</v>
      </c>
      <c r="AD1039">
        <f>VLOOKUP(Table9[[#This Row],[Shortname]], Comp[], 27, FALSE)</f>
        <v>0</v>
      </c>
      <c r="AE1039">
        <f>VLOOKUP(Table9[[#This Row],[Shortname]], Comp[], 28, FALSE)</f>
        <v>0</v>
      </c>
      <c r="AF1039">
        <f>VLOOKUP(Table9[[#This Row],[Shortname]], Comp[], 29, FALSE)</f>
        <v>0</v>
      </c>
      <c r="AG1039">
        <f>VLOOKUP(Table9[[#This Row],[Shortname]], Comp[], 30, FALSE)</f>
        <v>0</v>
      </c>
      <c r="AH1039">
        <f>VLOOKUP(Table9[[#This Row],[Shortname]], Comp[], 31, FALSE)</f>
        <v>0</v>
      </c>
    </row>
    <row r="1040" spans="1:34" x14ac:dyDescent="0.3">
      <c r="A1040" t="s">
        <v>5775</v>
      </c>
      <c r="B1040" t="s">
        <v>4948</v>
      </c>
      <c r="C1040" t="s">
        <v>5785</v>
      </c>
      <c r="D1040">
        <v>276.15499999999997</v>
      </c>
      <c r="E1040">
        <v>600.89300000000003</v>
      </c>
      <c r="F1040">
        <v>1E-4</v>
      </c>
      <c r="G1040">
        <v>1</v>
      </c>
      <c r="H1040" t="s">
        <v>6803</v>
      </c>
      <c r="I1040">
        <f>VLOOKUP(Table9[[#This Row],[Shortname]], Comp[], 6, FALSE)</f>
        <v>912</v>
      </c>
      <c r="J1040" s="14">
        <f>VLOOKUP(Table9[[#This Row],[Shortname]], Comp[], 7, FALSE)</f>
        <v>69.3</v>
      </c>
      <c r="K1040">
        <f>VLOOKUP(Table9[[#This Row],[Shortname]], Comp[], 8, FALSE)</f>
        <v>7.7</v>
      </c>
      <c r="L1040">
        <f>VLOOKUP(Table9[[#This Row],[Shortname]], Comp[], 9, FALSE)</f>
        <v>12</v>
      </c>
      <c r="M1040">
        <f>VLOOKUP(Table9[[#This Row],[Shortname]], Comp[], 10, FALSE)</f>
        <v>0</v>
      </c>
      <c r="N1040">
        <f>VLOOKUP(Table9[[#This Row],[Shortname]], Comp[], 11, FALSE)</f>
        <v>11</v>
      </c>
      <c r="O1040">
        <f>VLOOKUP(Table9[[#This Row],[Shortname]], Comp[],12, FALSE)</f>
        <v>0</v>
      </c>
      <c r="P1040">
        <f>VLOOKUP(Table9[[#This Row],[Shortname]], Comp[], 13, FALSE)</f>
        <v>0</v>
      </c>
      <c r="Q1040">
        <f>VLOOKUP(Table9[[#This Row],[Shortname]], Comp[], 14, FALSE)</f>
        <v>0</v>
      </c>
      <c r="R1040">
        <f>VLOOKUP(Table9[[#This Row],[Shortname]], Comp[], 15, FALSE)</f>
        <v>0</v>
      </c>
      <c r="S1040">
        <f>VLOOKUP(Table9[[#This Row],[Shortname]], Comp[], 16, FALSE)</f>
        <v>0</v>
      </c>
      <c r="T1040">
        <f>VLOOKUP(Table9[[#This Row],[Shortname]], Comp[], 17, FALSE)</f>
        <v>0</v>
      </c>
      <c r="U1040">
        <f>VLOOKUP(Table9[[#This Row],[Shortname]], Comp[], 18, FALSE)</f>
        <v>0</v>
      </c>
      <c r="V1040">
        <f>VLOOKUP(Table9[[#This Row],[Shortname]], Comp[], 19, FALSE)</f>
        <v>0</v>
      </c>
      <c r="W1040">
        <f>VLOOKUP(Table9[[#This Row],[Shortname]], Comp[], 20, FALSE)</f>
        <v>0</v>
      </c>
      <c r="X1040">
        <f>VLOOKUP(Table9[[#This Row],[Shortname]], Comp[], 21, FALSE)</f>
        <v>0</v>
      </c>
      <c r="Y1040">
        <f>VLOOKUP(Table9[[#This Row],[Shortname]], Comp[], 22, FALSE)</f>
        <v>0</v>
      </c>
      <c r="Z1040">
        <f>VLOOKUP(Table9[[#This Row],[Shortname]], Comp[], 23, FALSE)</f>
        <v>0</v>
      </c>
      <c r="AA1040">
        <f>VLOOKUP(Table9[[#This Row],[Shortname]], Comp[], 24, FALSE)</f>
        <v>0</v>
      </c>
      <c r="AB1040">
        <f>VLOOKUP(Table9[[#This Row],[Shortname]], Comp[], 25, FALSE)</f>
        <v>0</v>
      </c>
      <c r="AC1040">
        <f>VLOOKUP(Table9[[#This Row],[Shortname]], Comp[], 26, FALSE)</f>
        <v>0</v>
      </c>
      <c r="AD1040">
        <f>VLOOKUP(Table9[[#This Row],[Shortname]], Comp[], 27, FALSE)</f>
        <v>0</v>
      </c>
      <c r="AE1040">
        <f>VLOOKUP(Table9[[#This Row],[Shortname]], Comp[], 28, FALSE)</f>
        <v>0</v>
      </c>
      <c r="AF1040">
        <f>VLOOKUP(Table9[[#This Row],[Shortname]], Comp[], 29, FALSE)</f>
        <v>0</v>
      </c>
      <c r="AG1040">
        <f>VLOOKUP(Table9[[#This Row],[Shortname]], Comp[], 30, FALSE)</f>
        <v>0</v>
      </c>
      <c r="AH1040">
        <f>VLOOKUP(Table9[[#This Row],[Shortname]], Comp[], 31, FALSE)</f>
        <v>0</v>
      </c>
    </row>
    <row r="1041" spans="1:34" x14ac:dyDescent="0.3">
      <c r="A1041" t="s">
        <v>5775</v>
      </c>
      <c r="B1041" t="s">
        <v>4948</v>
      </c>
      <c r="C1041" t="s">
        <v>5785</v>
      </c>
      <c r="D1041">
        <v>256.19200000000001</v>
      </c>
      <c r="E1041">
        <v>650</v>
      </c>
      <c r="F1041">
        <v>1E-4</v>
      </c>
      <c r="G1041">
        <v>1</v>
      </c>
      <c r="H1041" t="s">
        <v>6803</v>
      </c>
      <c r="I1041">
        <f>VLOOKUP(Table9[[#This Row],[Shortname]], Comp[], 6, FALSE)</f>
        <v>912</v>
      </c>
      <c r="J1041" s="14">
        <f>VLOOKUP(Table9[[#This Row],[Shortname]], Comp[], 7, FALSE)</f>
        <v>69.3</v>
      </c>
      <c r="K1041">
        <f>VLOOKUP(Table9[[#This Row],[Shortname]], Comp[], 8, FALSE)</f>
        <v>7.7</v>
      </c>
      <c r="L1041">
        <f>VLOOKUP(Table9[[#This Row],[Shortname]], Comp[], 9, FALSE)</f>
        <v>12</v>
      </c>
      <c r="M1041">
        <f>VLOOKUP(Table9[[#This Row],[Shortname]], Comp[], 10, FALSE)</f>
        <v>0</v>
      </c>
      <c r="N1041">
        <f>VLOOKUP(Table9[[#This Row],[Shortname]], Comp[], 11, FALSE)</f>
        <v>11</v>
      </c>
      <c r="O1041">
        <f>VLOOKUP(Table9[[#This Row],[Shortname]], Comp[],12, FALSE)</f>
        <v>0</v>
      </c>
      <c r="P1041">
        <f>VLOOKUP(Table9[[#This Row],[Shortname]], Comp[], 13, FALSE)</f>
        <v>0</v>
      </c>
      <c r="Q1041">
        <f>VLOOKUP(Table9[[#This Row],[Shortname]], Comp[], 14, FALSE)</f>
        <v>0</v>
      </c>
      <c r="R1041">
        <f>VLOOKUP(Table9[[#This Row],[Shortname]], Comp[], 15, FALSE)</f>
        <v>0</v>
      </c>
      <c r="S1041">
        <f>VLOOKUP(Table9[[#This Row],[Shortname]], Comp[], 16, FALSE)</f>
        <v>0</v>
      </c>
      <c r="T1041">
        <f>VLOOKUP(Table9[[#This Row],[Shortname]], Comp[], 17, FALSE)</f>
        <v>0</v>
      </c>
      <c r="U1041">
        <f>VLOOKUP(Table9[[#This Row],[Shortname]], Comp[], 18, FALSE)</f>
        <v>0</v>
      </c>
      <c r="V1041">
        <f>VLOOKUP(Table9[[#This Row],[Shortname]], Comp[], 19, FALSE)</f>
        <v>0</v>
      </c>
      <c r="W1041">
        <f>VLOOKUP(Table9[[#This Row],[Shortname]], Comp[], 20, FALSE)</f>
        <v>0</v>
      </c>
      <c r="X1041">
        <f>VLOOKUP(Table9[[#This Row],[Shortname]], Comp[], 21, FALSE)</f>
        <v>0</v>
      </c>
      <c r="Y1041">
        <f>VLOOKUP(Table9[[#This Row],[Shortname]], Comp[], 22, FALSE)</f>
        <v>0</v>
      </c>
      <c r="Z1041">
        <f>VLOOKUP(Table9[[#This Row],[Shortname]], Comp[], 23, FALSE)</f>
        <v>0</v>
      </c>
      <c r="AA1041">
        <f>VLOOKUP(Table9[[#This Row],[Shortname]], Comp[], 24, FALSE)</f>
        <v>0</v>
      </c>
      <c r="AB1041">
        <f>VLOOKUP(Table9[[#This Row],[Shortname]], Comp[], 25, FALSE)</f>
        <v>0</v>
      </c>
      <c r="AC1041">
        <f>VLOOKUP(Table9[[#This Row],[Shortname]], Comp[], 26, FALSE)</f>
        <v>0</v>
      </c>
      <c r="AD1041">
        <f>VLOOKUP(Table9[[#This Row],[Shortname]], Comp[], 27, FALSE)</f>
        <v>0</v>
      </c>
      <c r="AE1041">
        <f>VLOOKUP(Table9[[#This Row],[Shortname]], Comp[], 28, FALSE)</f>
        <v>0</v>
      </c>
      <c r="AF1041">
        <f>VLOOKUP(Table9[[#This Row],[Shortname]], Comp[], 29, FALSE)</f>
        <v>0</v>
      </c>
      <c r="AG1041">
        <f>VLOOKUP(Table9[[#This Row],[Shortname]], Comp[], 30, FALSE)</f>
        <v>0</v>
      </c>
      <c r="AH1041">
        <f>VLOOKUP(Table9[[#This Row],[Shortname]], Comp[], 31, FALSE)</f>
        <v>0</v>
      </c>
    </row>
    <row r="1042" spans="1:34" x14ac:dyDescent="0.3">
      <c r="A1042" t="s">
        <v>5775</v>
      </c>
      <c r="B1042" t="s">
        <v>4948</v>
      </c>
      <c r="C1042" t="s">
        <v>5785</v>
      </c>
      <c r="D1042">
        <v>279.48200000000003</v>
      </c>
      <c r="E1042">
        <v>702.38099999999997</v>
      </c>
      <c r="F1042">
        <v>1E-4</v>
      </c>
      <c r="G1042">
        <v>1</v>
      </c>
      <c r="H1042" t="s">
        <v>6803</v>
      </c>
      <c r="I1042">
        <f>VLOOKUP(Table9[[#This Row],[Shortname]], Comp[], 6, FALSE)</f>
        <v>912</v>
      </c>
      <c r="J1042" s="14">
        <f>VLOOKUP(Table9[[#This Row],[Shortname]], Comp[], 7, FALSE)</f>
        <v>69.3</v>
      </c>
      <c r="K1042">
        <f>VLOOKUP(Table9[[#This Row],[Shortname]], Comp[], 8, FALSE)</f>
        <v>7.7</v>
      </c>
      <c r="L1042">
        <f>VLOOKUP(Table9[[#This Row],[Shortname]], Comp[], 9, FALSE)</f>
        <v>12</v>
      </c>
      <c r="M1042">
        <f>VLOOKUP(Table9[[#This Row],[Shortname]], Comp[], 10, FALSE)</f>
        <v>0</v>
      </c>
      <c r="N1042">
        <f>VLOOKUP(Table9[[#This Row],[Shortname]], Comp[], 11, FALSE)</f>
        <v>11</v>
      </c>
      <c r="O1042">
        <f>VLOOKUP(Table9[[#This Row],[Shortname]], Comp[],12, FALSE)</f>
        <v>0</v>
      </c>
      <c r="P1042">
        <f>VLOOKUP(Table9[[#This Row],[Shortname]], Comp[], 13, FALSE)</f>
        <v>0</v>
      </c>
      <c r="Q1042">
        <f>VLOOKUP(Table9[[#This Row],[Shortname]], Comp[], 14, FALSE)</f>
        <v>0</v>
      </c>
      <c r="R1042">
        <f>VLOOKUP(Table9[[#This Row],[Shortname]], Comp[], 15, FALSE)</f>
        <v>0</v>
      </c>
      <c r="S1042">
        <f>VLOOKUP(Table9[[#This Row],[Shortname]], Comp[], 16, FALSE)</f>
        <v>0</v>
      </c>
      <c r="T1042">
        <f>VLOOKUP(Table9[[#This Row],[Shortname]], Comp[], 17, FALSE)</f>
        <v>0</v>
      </c>
      <c r="U1042">
        <f>VLOOKUP(Table9[[#This Row],[Shortname]], Comp[], 18, FALSE)</f>
        <v>0</v>
      </c>
      <c r="V1042">
        <f>VLOOKUP(Table9[[#This Row],[Shortname]], Comp[], 19, FALSE)</f>
        <v>0</v>
      </c>
      <c r="W1042">
        <f>VLOOKUP(Table9[[#This Row],[Shortname]], Comp[], 20, FALSE)</f>
        <v>0</v>
      </c>
      <c r="X1042">
        <f>VLOOKUP(Table9[[#This Row],[Shortname]], Comp[], 21, FALSE)</f>
        <v>0</v>
      </c>
      <c r="Y1042">
        <f>VLOOKUP(Table9[[#This Row],[Shortname]], Comp[], 22, FALSE)</f>
        <v>0</v>
      </c>
      <c r="Z1042">
        <f>VLOOKUP(Table9[[#This Row],[Shortname]], Comp[], 23, FALSE)</f>
        <v>0</v>
      </c>
      <c r="AA1042">
        <f>VLOOKUP(Table9[[#This Row],[Shortname]], Comp[], 24, FALSE)</f>
        <v>0</v>
      </c>
      <c r="AB1042">
        <f>VLOOKUP(Table9[[#This Row],[Shortname]], Comp[], 25, FALSE)</f>
        <v>0</v>
      </c>
      <c r="AC1042">
        <f>VLOOKUP(Table9[[#This Row],[Shortname]], Comp[], 26, FALSE)</f>
        <v>0</v>
      </c>
      <c r="AD1042">
        <f>VLOOKUP(Table9[[#This Row],[Shortname]], Comp[], 27, FALSE)</f>
        <v>0</v>
      </c>
      <c r="AE1042">
        <f>VLOOKUP(Table9[[#This Row],[Shortname]], Comp[], 28, FALSE)</f>
        <v>0</v>
      </c>
      <c r="AF1042">
        <f>VLOOKUP(Table9[[#This Row],[Shortname]], Comp[], 29, FALSE)</f>
        <v>0</v>
      </c>
      <c r="AG1042">
        <f>VLOOKUP(Table9[[#This Row],[Shortname]], Comp[], 30, FALSE)</f>
        <v>0</v>
      </c>
      <c r="AH1042">
        <f>VLOOKUP(Table9[[#This Row],[Shortname]], Comp[], 31, FALSE)</f>
        <v>0</v>
      </c>
    </row>
    <row r="1043" spans="1:34" x14ac:dyDescent="0.3">
      <c r="A1043" t="s">
        <v>5775</v>
      </c>
      <c r="B1043" t="s">
        <v>4948</v>
      </c>
      <c r="C1043" t="s">
        <v>5785</v>
      </c>
      <c r="D1043">
        <v>324.95400000000001</v>
      </c>
      <c r="E1043">
        <v>798.95799999999997</v>
      </c>
      <c r="F1043">
        <v>1E-4</v>
      </c>
      <c r="G1043">
        <v>1</v>
      </c>
      <c r="H1043" t="s">
        <v>6803</v>
      </c>
      <c r="I1043">
        <f>VLOOKUP(Table9[[#This Row],[Shortname]], Comp[], 6, FALSE)</f>
        <v>912</v>
      </c>
      <c r="J1043" s="14">
        <f>VLOOKUP(Table9[[#This Row],[Shortname]], Comp[], 7, FALSE)</f>
        <v>69.3</v>
      </c>
      <c r="K1043">
        <f>VLOOKUP(Table9[[#This Row],[Shortname]], Comp[], 8, FALSE)</f>
        <v>7.7</v>
      </c>
      <c r="L1043">
        <f>VLOOKUP(Table9[[#This Row],[Shortname]], Comp[], 9, FALSE)</f>
        <v>12</v>
      </c>
      <c r="M1043">
        <f>VLOOKUP(Table9[[#This Row],[Shortname]], Comp[], 10, FALSE)</f>
        <v>0</v>
      </c>
      <c r="N1043">
        <f>VLOOKUP(Table9[[#This Row],[Shortname]], Comp[], 11, FALSE)</f>
        <v>11</v>
      </c>
      <c r="O1043">
        <f>VLOOKUP(Table9[[#This Row],[Shortname]], Comp[],12, FALSE)</f>
        <v>0</v>
      </c>
      <c r="P1043">
        <f>VLOOKUP(Table9[[#This Row],[Shortname]], Comp[], 13, FALSE)</f>
        <v>0</v>
      </c>
      <c r="Q1043">
        <f>VLOOKUP(Table9[[#This Row],[Shortname]], Comp[], 14, FALSE)</f>
        <v>0</v>
      </c>
      <c r="R1043">
        <f>VLOOKUP(Table9[[#This Row],[Shortname]], Comp[], 15, FALSE)</f>
        <v>0</v>
      </c>
      <c r="S1043">
        <f>VLOOKUP(Table9[[#This Row],[Shortname]], Comp[], 16, FALSE)</f>
        <v>0</v>
      </c>
      <c r="T1043">
        <f>VLOOKUP(Table9[[#This Row],[Shortname]], Comp[], 17, FALSE)</f>
        <v>0</v>
      </c>
      <c r="U1043">
        <f>VLOOKUP(Table9[[#This Row],[Shortname]], Comp[], 18, FALSE)</f>
        <v>0</v>
      </c>
      <c r="V1043">
        <f>VLOOKUP(Table9[[#This Row],[Shortname]], Comp[], 19, FALSE)</f>
        <v>0</v>
      </c>
      <c r="W1043">
        <f>VLOOKUP(Table9[[#This Row],[Shortname]], Comp[], 20, FALSE)</f>
        <v>0</v>
      </c>
      <c r="X1043">
        <f>VLOOKUP(Table9[[#This Row],[Shortname]], Comp[], 21, FALSE)</f>
        <v>0</v>
      </c>
      <c r="Y1043">
        <f>VLOOKUP(Table9[[#This Row],[Shortname]], Comp[], 22, FALSE)</f>
        <v>0</v>
      </c>
      <c r="Z1043">
        <f>VLOOKUP(Table9[[#This Row],[Shortname]], Comp[], 23, FALSE)</f>
        <v>0</v>
      </c>
      <c r="AA1043">
        <f>VLOOKUP(Table9[[#This Row],[Shortname]], Comp[], 24, FALSE)</f>
        <v>0</v>
      </c>
      <c r="AB1043">
        <f>VLOOKUP(Table9[[#This Row],[Shortname]], Comp[], 25, FALSE)</f>
        <v>0</v>
      </c>
      <c r="AC1043">
        <f>VLOOKUP(Table9[[#This Row],[Shortname]], Comp[], 26, FALSE)</f>
        <v>0</v>
      </c>
      <c r="AD1043">
        <f>VLOOKUP(Table9[[#This Row],[Shortname]], Comp[], 27, FALSE)</f>
        <v>0</v>
      </c>
      <c r="AE1043">
        <f>VLOOKUP(Table9[[#This Row],[Shortname]], Comp[], 28, FALSE)</f>
        <v>0</v>
      </c>
      <c r="AF1043">
        <f>VLOOKUP(Table9[[#This Row],[Shortname]], Comp[], 29, FALSE)</f>
        <v>0</v>
      </c>
      <c r="AG1043">
        <f>VLOOKUP(Table9[[#This Row],[Shortname]], Comp[], 30, FALSE)</f>
        <v>0</v>
      </c>
      <c r="AH1043">
        <f>VLOOKUP(Table9[[#This Row],[Shortname]], Comp[], 31, FALSE)</f>
        <v>0</v>
      </c>
    </row>
    <row r="1044" spans="1:34" x14ac:dyDescent="0.3">
      <c r="A1044" t="s">
        <v>5775</v>
      </c>
      <c r="B1044" t="s">
        <v>4948</v>
      </c>
      <c r="C1044" t="s">
        <v>5785</v>
      </c>
      <c r="D1044">
        <v>356.00700000000001</v>
      </c>
      <c r="E1044">
        <v>900.44600000000003</v>
      </c>
      <c r="F1044">
        <v>1E-4</v>
      </c>
      <c r="G1044">
        <v>1</v>
      </c>
      <c r="H1044" t="s">
        <v>6803</v>
      </c>
      <c r="I1044">
        <f>VLOOKUP(Table9[[#This Row],[Shortname]], Comp[], 6, FALSE)</f>
        <v>912</v>
      </c>
      <c r="J1044" s="14">
        <f>VLOOKUP(Table9[[#This Row],[Shortname]], Comp[], 7, FALSE)</f>
        <v>69.3</v>
      </c>
      <c r="K1044">
        <f>VLOOKUP(Table9[[#This Row],[Shortname]], Comp[], 8, FALSE)</f>
        <v>7.7</v>
      </c>
      <c r="L1044">
        <f>VLOOKUP(Table9[[#This Row],[Shortname]], Comp[], 9, FALSE)</f>
        <v>12</v>
      </c>
      <c r="M1044">
        <f>VLOOKUP(Table9[[#This Row],[Shortname]], Comp[], 10, FALSE)</f>
        <v>0</v>
      </c>
      <c r="N1044">
        <f>VLOOKUP(Table9[[#This Row],[Shortname]], Comp[], 11, FALSE)</f>
        <v>11</v>
      </c>
      <c r="O1044">
        <f>VLOOKUP(Table9[[#This Row],[Shortname]], Comp[],12, FALSE)</f>
        <v>0</v>
      </c>
      <c r="P1044">
        <f>VLOOKUP(Table9[[#This Row],[Shortname]], Comp[], 13, FALSE)</f>
        <v>0</v>
      </c>
      <c r="Q1044">
        <f>VLOOKUP(Table9[[#This Row],[Shortname]], Comp[], 14, FALSE)</f>
        <v>0</v>
      </c>
      <c r="R1044">
        <f>VLOOKUP(Table9[[#This Row],[Shortname]], Comp[], 15, FALSE)</f>
        <v>0</v>
      </c>
      <c r="S1044">
        <f>VLOOKUP(Table9[[#This Row],[Shortname]], Comp[], 16, FALSE)</f>
        <v>0</v>
      </c>
      <c r="T1044">
        <f>VLOOKUP(Table9[[#This Row],[Shortname]], Comp[], 17, FALSE)</f>
        <v>0</v>
      </c>
      <c r="U1044">
        <f>VLOOKUP(Table9[[#This Row],[Shortname]], Comp[], 18, FALSE)</f>
        <v>0</v>
      </c>
      <c r="V1044">
        <f>VLOOKUP(Table9[[#This Row],[Shortname]], Comp[], 19, FALSE)</f>
        <v>0</v>
      </c>
      <c r="W1044">
        <f>VLOOKUP(Table9[[#This Row],[Shortname]], Comp[], 20, FALSE)</f>
        <v>0</v>
      </c>
      <c r="X1044">
        <f>VLOOKUP(Table9[[#This Row],[Shortname]], Comp[], 21, FALSE)</f>
        <v>0</v>
      </c>
      <c r="Y1044">
        <f>VLOOKUP(Table9[[#This Row],[Shortname]], Comp[], 22, FALSE)</f>
        <v>0</v>
      </c>
      <c r="Z1044">
        <f>VLOOKUP(Table9[[#This Row],[Shortname]], Comp[], 23, FALSE)</f>
        <v>0</v>
      </c>
      <c r="AA1044">
        <f>VLOOKUP(Table9[[#This Row],[Shortname]], Comp[], 24, FALSE)</f>
        <v>0</v>
      </c>
      <c r="AB1044">
        <f>VLOOKUP(Table9[[#This Row],[Shortname]], Comp[], 25, FALSE)</f>
        <v>0</v>
      </c>
      <c r="AC1044">
        <f>VLOOKUP(Table9[[#This Row],[Shortname]], Comp[], 26, FALSE)</f>
        <v>0</v>
      </c>
      <c r="AD1044">
        <f>VLOOKUP(Table9[[#This Row],[Shortname]], Comp[], 27, FALSE)</f>
        <v>0</v>
      </c>
      <c r="AE1044">
        <f>VLOOKUP(Table9[[#This Row],[Shortname]], Comp[], 28, FALSE)</f>
        <v>0</v>
      </c>
      <c r="AF1044">
        <f>VLOOKUP(Table9[[#This Row],[Shortname]], Comp[], 29, FALSE)</f>
        <v>0</v>
      </c>
      <c r="AG1044">
        <f>VLOOKUP(Table9[[#This Row],[Shortname]], Comp[], 30, FALSE)</f>
        <v>0</v>
      </c>
      <c r="AH1044">
        <f>VLOOKUP(Table9[[#This Row],[Shortname]], Comp[], 31, FALSE)</f>
        <v>0</v>
      </c>
    </row>
    <row r="1045" spans="1:34" x14ac:dyDescent="0.3">
      <c r="A1045" t="s">
        <v>5775</v>
      </c>
      <c r="B1045" t="s">
        <v>4948</v>
      </c>
      <c r="C1045" t="s">
        <v>5785</v>
      </c>
      <c r="D1045">
        <v>399.26100000000002</v>
      </c>
      <c r="E1045">
        <v>952.827</v>
      </c>
      <c r="F1045">
        <v>1E-4</v>
      </c>
      <c r="G1045">
        <v>1</v>
      </c>
      <c r="H1045" t="s">
        <v>6803</v>
      </c>
      <c r="I1045">
        <f>VLOOKUP(Table9[[#This Row],[Shortname]], Comp[], 6, FALSE)</f>
        <v>912</v>
      </c>
      <c r="J1045" s="14">
        <f>VLOOKUP(Table9[[#This Row],[Shortname]], Comp[], 7, FALSE)</f>
        <v>69.3</v>
      </c>
      <c r="K1045">
        <f>VLOOKUP(Table9[[#This Row],[Shortname]], Comp[], 8, FALSE)</f>
        <v>7.7</v>
      </c>
      <c r="L1045">
        <f>VLOOKUP(Table9[[#This Row],[Shortname]], Comp[], 9, FALSE)</f>
        <v>12</v>
      </c>
      <c r="M1045">
        <f>VLOOKUP(Table9[[#This Row],[Shortname]], Comp[], 10, FALSE)</f>
        <v>0</v>
      </c>
      <c r="N1045">
        <f>VLOOKUP(Table9[[#This Row],[Shortname]], Comp[], 11, FALSE)</f>
        <v>11</v>
      </c>
      <c r="O1045">
        <f>VLOOKUP(Table9[[#This Row],[Shortname]], Comp[],12, FALSE)</f>
        <v>0</v>
      </c>
      <c r="P1045">
        <f>VLOOKUP(Table9[[#This Row],[Shortname]], Comp[], 13, FALSE)</f>
        <v>0</v>
      </c>
      <c r="Q1045">
        <f>VLOOKUP(Table9[[#This Row],[Shortname]], Comp[], 14, FALSE)</f>
        <v>0</v>
      </c>
      <c r="R1045">
        <f>VLOOKUP(Table9[[#This Row],[Shortname]], Comp[], 15, FALSE)</f>
        <v>0</v>
      </c>
      <c r="S1045">
        <f>VLOOKUP(Table9[[#This Row],[Shortname]], Comp[], 16, FALSE)</f>
        <v>0</v>
      </c>
      <c r="T1045">
        <f>VLOOKUP(Table9[[#This Row],[Shortname]], Comp[], 17, FALSE)</f>
        <v>0</v>
      </c>
      <c r="U1045">
        <f>VLOOKUP(Table9[[#This Row],[Shortname]], Comp[], 18, FALSE)</f>
        <v>0</v>
      </c>
      <c r="V1045">
        <f>VLOOKUP(Table9[[#This Row],[Shortname]], Comp[], 19, FALSE)</f>
        <v>0</v>
      </c>
      <c r="W1045">
        <f>VLOOKUP(Table9[[#This Row],[Shortname]], Comp[], 20, FALSE)</f>
        <v>0</v>
      </c>
      <c r="X1045">
        <f>VLOOKUP(Table9[[#This Row],[Shortname]], Comp[], 21, FALSE)</f>
        <v>0</v>
      </c>
      <c r="Y1045">
        <f>VLOOKUP(Table9[[#This Row],[Shortname]], Comp[], 22, FALSE)</f>
        <v>0</v>
      </c>
      <c r="Z1045">
        <f>VLOOKUP(Table9[[#This Row],[Shortname]], Comp[], 23, FALSE)</f>
        <v>0</v>
      </c>
      <c r="AA1045">
        <f>VLOOKUP(Table9[[#This Row],[Shortname]], Comp[], 24, FALSE)</f>
        <v>0</v>
      </c>
      <c r="AB1045">
        <f>VLOOKUP(Table9[[#This Row],[Shortname]], Comp[], 25, FALSE)</f>
        <v>0</v>
      </c>
      <c r="AC1045">
        <f>VLOOKUP(Table9[[#This Row],[Shortname]], Comp[], 26, FALSE)</f>
        <v>0</v>
      </c>
      <c r="AD1045">
        <f>VLOOKUP(Table9[[#This Row],[Shortname]], Comp[], 27, FALSE)</f>
        <v>0</v>
      </c>
      <c r="AE1045">
        <f>VLOOKUP(Table9[[#This Row],[Shortname]], Comp[], 28, FALSE)</f>
        <v>0</v>
      </c>
      <c r="AF1045">
        <f>VLOOKUP(Table9[[#This Row],[Shortname]], Comp[], 29, FALSE)</f>
        <v>0</v>
      </c>
      <c r="AG1045">
        <f>VLOOKUP(Table9[[#This Row],[Shortname]], Comp[], 30, FALSE)</f>
        <v>0</v>
      </c>
      <c r="AH1045">
        <f>VLOOKUP(Table9[[#This Row],[Shortname]], Comp[], 31, FALSE)</f>
        <v>0</v>
      </c>
    </row>
    <row r="1046" spans="1:34" x14ac:dyDescent="0.3">
      <c r="A1046" t="s">
        <v>5775</v>
      </c>
      <c r="B1046" t="s">
        <v>4948</v>
      </c>
      <c r="C1046" t="s">
        <v>5785</v>
      </c>
      <c r="D1046">
        <v>369.31599999999997</v>
      </c>
      <c r="E1046">
        <v>997.024</v>
      </c>
      <c r="F1046">
        <v>1E-4</v>
      </c>
      <c r="G1046">
        <v>1</v>
      </c>
      <c r="H1046" t="s">
        <v>6803</v>
      </c>
      <c r="I1046">
        <f>VLOOKUP(Table9[[#This Row],[Shortname]], Comp[], 6, FALSE)</f>
        <v>912</v>
      </c>
      <c r="J1046" s="14">
        <f>VLOOKUP(Table9[[#This Row],[Shortname]], Comp[], 7, FALSE)</f>
        <v>69.3</v>
      </c>
      <c r="K1046">
        <f>VLOOKUP(Table9[[#This Row],[Shortname]], Comp[], 8, FALSE)</f>
        <v>7.7</v>
      </c>
      <c r="L1046">
        <f>VLOOKUP(Table9[[#This Row],[Shortname]], Comp[], 9, FALSE)</f>
        <v>12</v>
      </c>
      <c r="M1046">
        <f>VLOOKUP(Table9[[#This Row],[Shortname]], Comp[], 10, FALSE)</f>
        <v>0</v>
      </c>
      <c r="N1046">
        <f>VLOOKUP(Table9[[#This Row],[Shortname]], Comp[], 11, FALSE)</f>
        <v>11</v>
      </c>
      <c r="O1046">
        <f>VLOOKUP(Table9[[#This Row],[Shortname]], Comp[],12, FALSE)</f>
        <v>0</v>
      </c>
      <c r="P1046">
        <f>VLOOKUP(Table9[[#This Row],[Shortname]], Comp[], 13, FALSE)</f>
        <v>0</v>
      </c>
      <c r="Q1046">
        <f>VLOOKUP(Table9[[#This Row],[Shortname]], Comp[], 14, FALSE)</f>
        <v>0</v>
      </c>
      <c r="R1046">
        <f>VLOOKUP(Table9[[#This Row],[Shortname]], Comp[], 15, FALSE)</f>
        <v>0</v>
      </c>
      <c r="S1046">
        <f>VLOOKUP(Table9[[#This Row],[Shortname]], Comp[], 16, FALSE)</f>
        <v>0</v>
      </c>
      <c r="T1046">
        <f>VLOOKUP(Table9[[#This Row],[Shortname]], Comp[], 17, FALSE)</f>
        <v>0</v>
      </c>
      <c r="U1046">
        <f>VLOOKUP(Table9[[#This Row],[Shortname]], Comp[], 18, FALSE)</f>
        <v>0</v>
      </c>
      <c r="V1046">
        <f>VLOOKUP(Table9[[#This Row],[Shortname]], Comp[], 19, FALSE)</f>
        <v>0</v>
      </c>
      <c r="W1046">
        <f>VLOOKUP(Table9[[#This Row],[Shortname]], Comp[], 20, FALSE)</f>
        <v>0</v>
      </c>
      <c r="X1046">
        <f>VLOOKUP(Table9[[#This Row],[Shortname]], Comp[], 21, FALSE)</f>
        <v>0</v>
      </c>
      <c r="Y1046">
        <f>VLOOKUP(Table9[[#This Row],[Shortname]], Comp[], 22, FALSE)</f>
        <v>0</v>
      </c>
      <c r="Z1046">
        <f>VLOOKUP(Table9[[#This Row],[Shortname]], Comp[], 23, FALSE)</f>
        <v>0</v>
      </c>
      <c r="AA1046">
        <f>VLOOKUP(Table9[[#This Row],[Shortname]], Comp[], 24, FALSE)</f>
        <v>0</v>
      </c>
      <c r="AB1046">
        <f>VLOOKUP(Table9[[#This Row],[Shortname]], Comp[], 25, FALSE)</f>
        <v>0</v>
      </c>
      <c r="AC1046">
        <f>VLOOKUP(Table9[[#This Row],[Shortname]], Comp[], 26, FALSE)</f>
        <v>0</v>
      </c>
      <c r="AD1046">
        <f>VLOOKUP(Table9[[#This Row],[Shortname]], Comp[], 27, FALSE)</f>
        <v>0</v>
      </c>
      <c r="AE1046">
        <f>VLOOKUP(Table9[[#This Row],[Shortname]], Comp[], 28, FALSE)</f>
        <v>0</v>
      </c>
      <c r="AF1046">
        <f>VLOOKUP(Table9[[#This Row],[Shortname]], Comp[], 29, FALSE)</f>
        <v>0</v>
      </c>
      <c r="AG1046">
        <f>VLOOKUP(Table9[[#This Row],[Shortname]], Comp[], 30, FALSE)</f>
        <v>0</v>
      </c>
      <c r="AH1046">
        <f>VLOOKUP(Table9[[#This Row],[Shortname]], Comp[], 31, FALSE)</f>
        <v>0</v>
      </c>
    </row>
    <row r="1047" spans="1:34" x14ac:dyDescent="0.3">
      <c r="A1047" t="s">
        <v>5775</v>
      </c>
      <c r="B1047" t="s">
        <v>4948</v>
      </c>
      <c r="C1047" t="s">
        <v>5785</v>
      </c>
      <c r="D1047">
        <v>222.92099999999999</v>
      </c>
      <c r="E1047">
        <v>1023.21</v>
      </c>
      <c r="F1047">
        <v>1E-4</v>
      </c>
      <c r="G1047">
        <v>1</v>
      </c>
      <c r="H1047" t="s">
        <v>6803</v>
      </c>
      <c r="I1047">
        <f>VLOOKUP(Table9[[#This Row],[Shortname]], Comp[], 6, FALSE)</f>
        <v>912</v>
      </c>
      <c r="J1047" s="14">
        <f>VLOOKUP(Table9[[#This Row],[Shortname]], Comp[], 7, FALSE)</f>
        <v>69.3</v>
      </c>
      <c r="K1047">
        <f>VLOOKUP(Table9[[#This Row],[Shortname]], Comp[], 8, FALSE)</f>
        <v>7.7</v>
      </c>
      <c r="L1047">
        <f>VLOOKUP(Table9[[#This Row],[Shortname]], Comp[], 9, FALSE)</f>
        <v>12</v>
      </c>
      <c r="M1047">
        <f>VLOOKUP(Table9[[#This Row],[Shortname]], Comp[], 10, FALSE)</f>
        <v>0</v>
      </c>
      <c r="N1047">
        <f>VLOOKUP(Table9[[#This Row],[Shortname]], Comp[], 11, FALSE)</f>
        <v>11</v>
      </c>
      <c r="O1047">
        <f>VLOOKUP(Table9[[#This Row],[Shortname]], Comp[],12, FALSE)</f>
        <v>0</v>
      </c>
      <c r="P1047">
        <f>VLOOKUP(Table9[[#This Row],[Shortname]], Comp[], 13, FALSE)</f>
        <v>0</v>
      </c>
      <c r="Q1047">
        <f>VLOOKUP(Table9[[#This Row],[Shortname]], Comp[], 14, FALSE)</f>
        <v>0</v>
      </c>
      <c r="R1047">
        <f>VLOOKUP(Table9[[#This Row],[Shortname]], Comp[], 15, FALSE)</f>
        <v>0</v>
      </c>
      <c r="S1047">
        <f>VLOOKUP(Table9[[#This Row],[Shortname]], Comp[], 16, FALSE)</f>
        <v>0</v>
      </c>
      <c r="T1047">
        <f>VLOOKUP(Table9[[#This Row],[Shortname]], Comp[], 17, FALSE)</f>
        <v>0</v>
      </c>
      <c r="U1047">
        <f>VLOOKUP(Table9[[#This Row],[Shortname]], Comp[], 18, FALSE)</f>
        <v>0</v>
      </c>
      <c r="V1047">
        <f>VLOOKUP(Table9[[#This Row],[Shortname]], Comp[], 19, FALSE)</f>
        <v>0</v>
      </c>
      <c r="W1047">
        <f>VLOOKUP(Table9[[#This Row],[Shortname]], Comp[], 20, FALSE)</f>
        <v>0</v>
      </c>
      <c r="X1047">
        <f>VLOOKUP(Table9[[#This Row],[Shortname]], Comp[], 21, FALSE)</f>
        <v>0</v>
      </c>
      <c r="Y1047">
        <f>VLOOKUP(Table9[[#This Row],[Shortname]], Comp[], 22, FALSE)</f>
        <v>0</v>
      </c>
      <c r="Z1047">
        <f>VLOOKUP(Table9[[#This Row],[Shortname]], Comp[], 23, FALSE)</f>
        <v>0</v>
      </c>
      <c r="AA1047">
        <f>VLOOKUP(Table9[[#This Row],[Shortname]], Comp[], 24, FALSE)</f>
        <v>0</v>
      </c>
      <c r="AB1047">
        <f>VLOOKUP(Table9[[#This Row],[Shortname]], Comp[], 25, FALSE)</f>
        <v>0</v>
      </c>
      <c r="AC1047">
        <f>VLOOKUP(Table9[[#This Row],[Shortname]], Comp[], 26, FALSE)</f>
        <v>0</v>
      </c>
      <c r="AD1047">
        <f>VLOOKUP(Table9[[#This Row],[Shortname]], Comp[], 27, FALSE)</f>
        <v>0</v>
      </c>
      <c r="AE1047">
        <f>VLOOKUP(Table9[[#This Row],[Shortname]], Comp[], 28, FALSE)</f>
        <v>0</v>
      </c>
      <c r="AF1047">
        <f>VLOOKUP(Table9[[#This Row],[Shortname]], Comp[], 29, FALSE)</f>
        <v>0</v>
      </c>
      <c r="AG1047">
        <f>VLOOKUP(Table9[[#This Row],[Shortname]], Comp[], 30, FALSE)</f>
        <v>0</v>
      </c>
      <c r="AH1047">
        <f>VLOOKUP(Table9[[#This Row],[Shortname]], Comp[], 31, FALSE)</f>
        <v>0</v>
      </c>
    </row>
    <row r="1048" spans="1:34" x14ac:dyDescent="0.3">
      <c r="A1048" t="s">
        <v>5775</v>
      </c>
      <c r="B1048" t="s">
        <v>4948</v>
      </c>
      <c r="C1048" t="s">
        <v>5785</v>
      </c>
      <c r="D1048">
        <v>190.75800000000001</v>
      </c>
      <c r="E1048">
        <v>1051.04</v>
      </c>
      <c r="F1048">
        <v>1E-4</v>
      </c>
      <c r="G1048">
        <v>1</v>
      </c>
      <c r="H1048" t="s">
        <v>6803</v>
      </c>
      <c r="I1048">
        <f>VLOOKUP(Table9[[#This Row],[Shortname]], Comp[], 6, FALSE)</f>
        <v>912</v>
      </c>
      <c r="J1048" s="14">
        <f>VLOOKUP(Table9[[#This Row],[Shortname]], Comp[], 7, FALSE)</f>
        <v>69.3</v>
      </c>
      <c r="K1048">
        <f>VLOOKUP(Table9[[#This Row],[Shortname]], Comp[], 8, FALSE)</f>
        <v>7.7</v>
      </c>
      <c r="L1048">
        <f>VLOOKUP(Table9[[#This Row],[Shortname]], Comp[], 9, FALSE)</f>
        <v>12</v>
      </c>
      <c r="M1048">
        <f>VLOOKUP(Table9[[#This Row],[Shortname]], Comp[], 10, FALSE)</f>
        <v>0</v>
      </c>
      <c r="N1048">
        <f>VLOOKUP(Table9[[#This Row],[Shortname]], Comp[], 11, FALSE)</f>
        <v>11</v>
      </c>
      <c r="O1048">
        <f>VLOOKUP(Table9[[#This Row],[Shortname]], Comp[],12, FALSE)</f>
        <v>0</v>
      </c>
      <c r="P1048">
        <f>VLOOKUP(Table9[[#This Row],[Shortname]], Comp[], 13, FALSE)</f>
        <v>0</v>
      </c>
      <c r="Q1048">
        <f>VLOOKUP(Table9[[#This Row],[Shortname]], Comp[], 14, FALSE)</f>
        <v>0</v>
      </c>
      <c r="R1048">
        <f>VLOOKUP(Table9[[#This Row],[Shortname]], Comp[], 15, FALSE)</f>
        <v>0</v>
      </c>
      <c r="S1048">
        <f>VLOOKUP(Table9[[#This Row],[Shortname]], Comp[], 16, FALSE)</f>
        <v>0</v>
      </c>
      <c r="T1048">
        <f>VLOOKUP(Table9[[#This Row],[Shortname]], Comp[], 17, FALSE)</f>
        <v>0</v>
      </c>
      <c r="U1048">
        <f>VLOOKUP(Table9[[#This Row],[Shortname]], Comp[], 18, FALSE)</f>
        <v>0</v>
      </c>
      <c r="V1048">
        <f>VLOOKUP(Table9[[#This Row],[Shortname]], Comp[], 19, FALSE)</f>
        <v>0</v>
      </c>
      <c r="W1048">
        <f>VLOOKUP(Table9[[#This Row],[Shortname]], Comp[], 20, FALSE)</f>
        <v>0</v>
      </c>
      <c r="X1048">
        <f>VLOOKUP(Table9[[#This Row],[Shortname]], Comp[], 21, FALSE)</f>
        <v>0</v>
      </c>
      <c r="Y1048">
        <f>VLOOKUP(Table9[[#This Row],[Shortname]], Comp[], 22, FALSE)</f>
        <v>0</v>
      </c>
      <c r="Z1048">
        <f>VLOOKUP(Table9[[#This Row],[Shortname]], Comp[], 23, FALSE)</f>
        <v>0</v>
      </c>
      <c r="AA1048">
        <f>VLOOKUP(Table9[[#This Row],[Shortname]], Comp[], 24, FALSE)</f>
        <v>0</v>
      </c>
      <c r="AB1048">
        <f>VLOOKUP(Table9[[#This Row],[Shortname]], Comp[], 25, FALSE)</f>
        <v>0</v>
      </c>
      <c r="AC1048">
        <f>VLOOKUP(Table9[[#This Row],[Shortname]], Comp[], 26, FALSE)</f>
        <v>0</v>
      </c>
      <c r="AD1048">
        <f>VLOOKUP(Table9[[#This Row],[Shortname]], Comp[], 27, FALSE)</f>
        <v>0</v>
      </c>
      <c r="AE1048">
        <f>VLOOKUP(Table9[[#This Row],[Shortname]], Comp[], 28, FALSE)</f>
        <v>0</v>
      </c>
      <c r="AF1048">
        <f>VLOOKUP(Table9[[#This Row],[Shortname]], Comp[], 29, FALSE)</f>
        <v>0</v>
      </c>
      <c r="AG1048">
        <f>VLOOKUP(Table9[[#This Row],[Shortname]], Comp[], 30, FALSE)</f>
        <v>0</v>
      </c>
      <c r="AH1048">
        <f>VLOOKUP(Table9[[#This Row],[Shortname]], Comp[], 31, FALSE)</f>
        <v>0</v>
      </c>
    </row>
    <row r="1049" spans="1:34" x14ac:dyDescent="0.3">
      <c r="A1049" t="s">
        <v>5820</v>
      </c>
      <c r="B1049" t="s">
        <v>5821</v>
      </c>
      <c r="C1049" t="s">
        <v>833</v>
      </c>
      <c r="D1049">
        <v>684.11</v>
      </c>
      <c r="E1049">
        <v>25</v>
      </c>
      <c r="F1049">
        <v>1E-4</v>
      </c>
      <c r="G1049">
        <v>1</v>
      </c>
      <c r="H1049" t="s">
        <v>6803</v>
      </c>
      <c r="I1049">
        <f>VLOOKUP(Table9[[#This Row],[Shortname]], Comp[], 6, FALSE)</f>
        <v>928</v>
      </c>
      <c r="J1049" s="14">
        <f>VLOOKUP(Table9[[#This Row],[Shortname]], Comp[], 7, FALSE)</f>
        <v>49</v>
      </c>
      <c r="K1049">
        <f>VLOOKUP(Table9[[#This Row],[Shortname]], Comp[], 8, FALSE)</f>
        <v>30</v>
      </c>
      <c r="L1049">
        <f>VLOOKUP(Table9[[#This Row],[Shortname]], Comp[], 9, FALSE)</f>
        <v>10</v>
      </c>
      <c r="M1049">
        <f>VLOOKUP(Table9[[#This Row],[Shortname]], Comp[], 10, FALSE)</f>
        <v>0</v>
      </c>
      <c r="N1049">
        <f>VLOOKUP(Table9[[#This Row],[Shortname]], Comp[], 11, FALSE)</f>
        <v>0</v>
      </c>
      <c r="O1049">
        <f>VLOOKUP(Table9[[#This Row],[Shortname]], Comp[],12, FALSE)</f>
        <v>2</v>
      </c>
      <c r="P1049">
        <f>VLOOKUP(Table9[[#This Row],[Shortname]], Comp[], 13, FALSE)</f>
        <v>4</v>
      </c>
      <c r="Q1049">
        <f>VLOOKUP(Table9[[#This Row],[Shortname]], Comp[], 14, FALSE)</f>
        <v>0</v>
      </c>
      <c r="R1049">
        <f>VLOOKUP(Table9[[#This Row],[Shortname]], Comp[], 15, FALSE)</f>
        <v>5</v>
      </c>
      <c r="S1049">
        <f>VLOOKUP(Table9[[#This Row],[Shortname]], Comp[], 16, FALSE)</f>
        <v>0</v>
      </c>
      <c r="T1049">
        <f>VLOOKUP(Table9[[#This Row],[Shortname]], Comp[], 17, FALSE)</f>
        <v>0</v>
      </c>
      <c r="U1049">
        <f>VLOOKUP(Table9[[#This Row],[Shortname]], Comp[], 18, FALSE)</f>
        <v>0</v>
      </c>
      <c r="V1049">
        <f>VLOOKUP(Table9[[#This Row],[Shortname]], Comp[], 19, FALSE)</f>
        <v>0</v>
      </c>
      <c r="W1049">
        <f>VLOOKUP(Table9[[#This Row],[Shortname]], Comp[], 20, FALSE)</f>
        <v>0</v>
      </c>
      <c r="X1049">
        <f>VLOOKUP(Table9[[#This Row],[Shortname]], Comp[], 21, FALSE)</f>
        <v>0</v>
      </c>
      <c r="Y1049">
        <f>VLOOKUP(Table9[[#This Row],[Shortname]], Comp[], 22, FALSE)</f>
        <v>0</v>
      </c>
      <c r="Z1049">
        <f>VLOOKUP(Table9[[#This Row],[Shortname]], Comp[], 23, FALSE)</f>
        <v>0</v>
      </c>
      <c r="AA1049">
        <f>VLOOKUP(Table9[[#This Row],[Shortname]], Comp[], 24, FALSE)</f>
        <v>0</v>
      </c>
      <c r="AB1049">
        <f>VLOOKUP(Table9[[#This Row],[Shortname]], Comp[], 25, FALSE)</f>
        <v>0</v>
      </c>
      <c r="AC1049">
        <f>VLOOKUP(Table9[[#This Row],[Shortname]], Comp[], 26, FALSE)</f>
        <v>0</v>
      </c>
      <c r="AD1049">
        <f>VLOOKUP(Table9[[#This Row],[Shortname]], Comp[], 27, FALSE)</f>
        <v>0</v>
      </c>
      <c r="AE1049">
        <f>VLOOKUP(Table9[[#This Row],[Shortname]], Comp[], 28, FALSE)</f>
        <v>0</v>
      </c>
      <c r="AF1049">
        <f>VLOOKUP(Table9[[#This Row],[Shortname]], Comp[], 29, FALSE)</f>
        <v>0</v>
      </c>
      <c r="AG1049">
        <f>VLOOKUP(Table9[[#This Row],[Shortname]], Comp[], 30, FALSE)</f>
        <v>0</v>
      </c>
      <c r="AH1049">
        <f>VLOOKUP(Table9[[#This Row],[Shortname]], Comp[], 31, FALSE)</f>
        <v>0</v>
      </c>
    </row>
    <row r="1050" spans="1:34" x14ac:dyDescent="0.3">
      <c r="A1050" t="s">
        <v>5820</v>
      </c>
      <c r="B1050" t="s">
        <v>5821</v>
      </c>
      <c r="C1050" t="s">
        <v>833</v>
      </c>
      <c r="D1050">
        <v>746.12</v>
      </c>
      <c r="E1050">
        <v>500</v>
      </c>
      <c r="F1050">
        <v>1E-4</v>
      </c>
      <c r="G1050">
        <v>1</v>
      </c>
      <c r="H1050" t="s">
        <v>6803</v>
      </c>
      <c r="I1050">
        <f>VLOOKUP(Table9[[#This Row],[Shortname]], Comp[], 6, FALSE)</f>
        <v>928</v>
      </c>
      <c r="J1050" s="14">
        <f>VLOOKUP(Table9[[#This Row],[Shortname]], Comp[], 7, FALSE)</f>
        <v>49</v>
      </c>
      <c r="K1050">
        <f>VLOOKUP(Table9[[#This Row],[Shortname]], Comp[], 8, FALSE)</f>
        <v>30</v>
      </c>
      <c r="L1050">
        <f>VLOOKUP(Table9[[#This Row],[Shortname]], Comp[], 9, FALSE)</f>
        <v>10</v>
      </c>
      <c r="M1050">
        <f>VLOOKUP(Table9[[#This Row],[Shortname]], Comp[], 10, FALSE)</f>
        <v>0</v>
      </c>
      <c r="N1050">
        <f>VLOOKUP(Table9[[#This Row],[Shortname]], Comp[], 11, FALSE)</f>
        <v>0</v>
      </c>
      <c r="O1050">
        <f>VLOOKUP(Table9[[#This Row],[Shortname]], Comp[],12, FALSE)</f>
        <v>2</v>
      </c>
      <c r="P1050">
        <f>VLOOKUP(Table9[[#This Row],[Shortname]], Comp[], 13, FALSE)</f>
        <v>4</v>
      </c>
      <c r="Q1050">
        <f>VLOOKUP(Table9[[#This Row],[Shortname]], Comp[], 14, FALSE)</f>
        <v>0</v>
      </c>
      <c r="R1050">
        <f>VLOOKUP(Table9[[#This Row],[Shortname]], Comp[], 15, FALSE)</f>
        <v>5</v>
      </c>
      <c r="S1050">
        <f>VLOOKUP(Table9[[#This Row],[Shortname]], Comp[], 16, FALSE)</f>
        <v>0</v>
      </c>
      <c r="T1050">
        <f>VLOOKUP(Table9[[#This Row],[Shortname]], Comp[], 17, FALSE)</f>
        <v>0</v>
      </c>
      <c r="U1050">
        <f>VLOOKUP(Table9[[#This Row],[Shortname]], Comp[], 18, FALSE)</f>
        <v>0</v>
      </c>
      <c r="V1050">
        <f>VLOOKUP(Table9[[#This Row],[Shortname]], Comp[], 19, FALSE)</f>
        <v>0</v>
      </c>
      <c r="W1050">
        <f>VLOOKUP(Table9[[#This Row],[Shortname]], Comp[], 20, FALSE)</f>
        <v>0</v>
      </c>
      <c r="X1050">
        <f>VLOOKUP(Table9[[#This Row],[Shortname]], Comp[], 21, FALSE)</f>
        <v>0</v>
      </c>
      <c r="Y1050">
        <f>VLOOKUP(Table9[[#This Row],[Shortname]], Comp[], 22, FALSE)</f>
        <v>0</v>
      </c>
      <c r="Z1050">
        <f>VLOOKUP(Table9[[#This Row],[Shortname]], Comp[], 23, FALSE)</f>
        <v>0</v>
      </c>
      <c r="AA1050">
        <f>VLOOKUP(Table9[[#This Row],[Shortname]], Comp[], 24, FALSE)</f>
        <v>0</v>
      </c>
      <c r="AB1050">
        <f>VLOOKUP(Table9[[#This Row],[Shortname]], Comp[], 25, FALSE)</f>
        <v>0</v>
      </c>
      <c r="AC1050">
        <f>VLOOKUP(Table9[[#This Row],[Shortname]], Comp[], 26, FALSE)</f>
        <v>0</v>
      </c>
      <c r="AD1050">
        <f>VLOOKUP(Table9[[#This Row],[Shortname]], Comp[], 27, FALSE)</f>
        <v>0</v>
      </c>
      <c r="AE1050">
        <f>VLOOKUP(Table9[[#This Row],[Shortname]], Comp[], 28, FALSE)</f>
        <v>0</v>
      </c>
      <c r="AF1050">
        <f>VLOOKUP(Table9[[#This Row],[Shortname]], Comp[], 29, FALSE)</f>
        <v>0</v>
      </c>
      <c r="AG1050">
        <f>VLOOKUP(Table9[[#This Row],[Shortname]], Comp[], 30, FALSE)</f>
        <v>0</v>
      </c>
      <c r="AH1050">
        <f>VLOOKUP(Table9[[#This Row],[Shortname]], Comp[], 31, FALSE)</f>
        <v>0</v>
      </c>
    </row>
    <row r="1051" spans="1:34" x14ac:dyDescent="0.3">
      <c r="A1051" t="s">
        <v>5820</v>
      </c>
      <c r="B1051" t="s">
        <v>5821</v>
      </c>
      <c r="C1051" t="s">
        <v>833</v>
      </c>
      <c r="D1051">
        <v>804.26</v>
      </c>
      <c r="E1051">
        <v>600</v>
      </c>
      <c r="F1051">
        <v>1E-4</v>
      </c>
      <c r="G1051">
        <v>1</v>
      </c>
      <c r="H1051" t="s">
        <v>6803</v>
      </c>
      <c r="I1051">
        <f>VLOOKUP(Table9[[#This Row],[Shortname]], Comp[], 6, FALSE)</f>
        <v>928</v>
      </c>
      <c r="J1051" s="14">
        <f>VLOOKUP(Table9[[#This Row],[Shortname]], Comp[], 7, FALSE)</f>
        <v>49</v>
      </c>
      <c r="K1051">
        <f>VLOOKUP(Table9[[#This Row],[Shortname]], Comp[], 8, FALSE)</f>
        <v>30</v>
      </c>
      <c r="L1051">
        <f>VLOOKUP(Table9[[#This Row],[Shortname]], Comp[], 9, FALSE)</f>
        <v>10</v>
      </c>
      <c r="M1051">
        <f>VLOOKUP(Table9[[#This Row],[Shortname]], Comp[], 10, FALSE)</f>
        <v>0</v>
      </c>
      <c r="N1051">
        <f>VLOOKUP(Table9[[#This Row],[Shortname]], Comp[], 11, FALSE)</f>
        <v>0</v>
      </c>
      <c r="O1051">
        <f>VLOOKUP(Table9[[#This Row],[Shortname]], Comp[],12, FALSE)</f>
        <v>2</v>
      </c>
      <c r="P1051">
        <f>VLOOKUP(Table9[[#This Row],[Shortname]], Comp[], 13, FALSE)</f>
        <v>4</v>
      </c>
      <c r="Q1051">
        <f>VLOOKUP(Table9[[#This Row],[Shortname]], Comp[], 14, FALSE)</f>
        <v>0</v>
      </c>
      <c r="R1051">
        <f>VLOOKUP(Table9[[#This Row],[Shortname]], Comp[], 15, FALSE)</f>
        <v>5</v>
      </c>
      <c r="S1051">
        <f>VLOOKUP(Table9[[#This Row],[Shortname]], Comp[], 16, FALSE)</f>
        <v>0</v>
      </c>
      <c r="T1051">
        <f>VLOOKUP(Table9[[#This Row],[Shortname]], Comp[], 17, FALSE)</f>
        <v>0</v>
      </c>
      <c r="U1051">
        <f>VLOOKUP(Table9[[#This Row],[Shortname]], Comp[], 18, FALSE)</f>
        <v>0</v>
      </c>
      <c r="V1051">
        <f>VLOOKUP(Table9[[#This Row],[Shortname]], Comp[], 19, FALSE)</f>
        <v>0</v>
      </c>
      <c r="W1051">
        <f>VLOOKUP(Table9[[#This Row],[Shortname]], Comp[], 20, FALSE)</f>
        <v>0</v>
      </c>
      <c r="X1051">
        <f>VLOOKUP(Table9[[#This Row],[Shortname]], Comp[], 21, FALSE)</f>
        <v>0</v>
      </c>
      <c r="Y1051">
        <f>VLOOKUP(Table9[[#This Row],[Shortname]], Comp[], 22, FALSE)</f>
        <v>0</v>
      </c>
      <c r="Z1051">
        <f>VLOOKUP(Table9[[#This Row],[Shortname]], Comp[], 23, FALSE)</f>
        <v>0</v>
      </c>
      <c r="AA1051">
        <f>VLOOKUP(Table9[[#This Row],[Shortname]], Comp[], 24, FALSE)</f>
        <v>0</v>
      </c>
      <c r="AB1051">
        <f>VLOOKUP(Table9[[#This Row],[Shortname]], Comp[], 25, FALSE)</f>
        <v>0</v>
      </c>
      <c r="AC1051">
        <f>VLOOKUP(Table9[[#This Row],[Shortname]], Comp[], 26, FALSE)</f>
        <v>0</v>
      </c>
      <c r="AD1051">
        <f>VLOOKUP(Table9[[#This Row],[Shortname]], Comp[], 27, FALSE)</f>
        <v>0</v>
      </c>
      <c r="AE1051">
        <f>VLOOKUP(Table9[[#This Row],[Shortname]], Comp[], 28, FALSE)</f>
        <v>0</v>
      </c>
      <c r="AF1051">
        <f>VLOOKUP(Table9[[#This Row],[Shortname]], Comp[], 29, FALSE)</f>
        <v>0</v>
      </c>
      <c r="AG1051">
        <f>VLOOKUP(Table9[[#This Row],[Shortname]], Comp[], 30, FALSE)</f>
        <v>0</v>
      </c>
      <c r="AH1051">
        <f>VLOOKUP(Table9[[#This Row],[Shortname]], Comp[], 31, FALSE)</f>
        <v>0</v>
      </c>
    </row>
    <row r="1052" spans="1:34" x14ac:dyDescent="0.3">
      <c r="A1052" t="s">
        <v>5820</v>
      </c>
      <c r="B1052" t="s">
        <v>5821</v>
      </c>
      <c r="C1052" t="s">
        <v>833</v>
      </c>
      <c r="D1052">
        <v>831.4</v>
      </c>
      <c r="E1052">
        <v>700</v>
      </c>
      <c r="F1052">
        <v>1E-4</v>
      </c>
      <c r="G1052">
        <v>1</v>
      </c>
      <c r="H1052" t="s">
        <v>6803</v>
      </c>
      <c r="I1052">
        <f>VLOOKUP(Table9[[#This Row],[Shortname]], Comp[], 6, FALSE)</f>
        <v>928</v>
      </c>
      <c r="J1052" s="14">
        <f>VLOOKUP(Table9[[#This Row],[Shortname]], Comp[], 7, FALSE)</f>
        <v>49</v>
      </c>
      <c r="K1052">
        <f>VLOOKUP(Table9[[#This Row],[Shortname]], Comp[], 8, FALSE)</f>
        <v>30</v>
      </c>
      <c r="L1052">
        <f>VLOOKUP(Table9[[#This Row],[Shortname]], Comp[], 9, FALSE)</f>
        <v>10</v>
      </c>
      <c r="M1052">
        <f>VLOOKUP(Table9[[#This Row],[Shortname]], Comp[], 10, FALSE)</f>
        <v>0</v>
      </c>
      <c r="N1052">
        <f>VLOOKUP(Table9[[#This Row],[Shortname]], Comp[], 11, FALSE)</f>
        <v>0</v>
      </c>
      <c r="O1052">
        <f>VLOOKUP(Table9[[#This Row],[Shortname]], Comp[],12, FALSE)</f>
        <v>2</v>
      </c>
      <c r="P1052">
        <f>VLOOKUP(Table9[[#This Row],[Shortname]], Comp[], 13, FALSE)</f>
        <v>4</v>
      </c>
      <c r="Q1052">
        <f>VLOOKUP(Table9[[#This Row],[Shortname]], Comp[], 14, FALSE)</f>
        <v>0</v>
      </c>
      <c r="R1052">
        <f>VLOOKUP(Table9[[#This Row],[Shortname]], Comp[], 15, FALSE)</f>
        <v>5</v>
      </c>
      <c r="S1052">
        <f>VLOOKUP(Table9[[#This Row],[Shortname]], Comp[], 16, FALSE)</f>
        <v>0</v>
      </c>
      <c r="T1052">
        <f>VLOOKUP(Table9[[#This Row],[Shortname]], Comp[], 17, FALSE)</f>
        <v>0</v>
      </c>
      <c r="U1052">
        <f>VLOOKUP(Table9[[#This Row],[Shortname]], Comp[], 18, FALSE)</f>
        <v>0</v>
      </c>
      <c r="V1052">
        <f>VLOOKUP(Table9[[#This Row],[Shortname]], Comp[], 19, FALSE)</f>
        <v>0</v>
      </c>
      <c r="W1052">
        <f>VLOOKUP(Table9[[#This Row],[Shortname]], Comp[], 20, FALSE)</f>
        <v>0</v>
      </c>
      <c r="X1052">
        <f>VLOOKUP(Table9[[#This Row],[Shortname]], Comp[], 21, FALSE)</f>
        <v>0</v>
      </c>
      <c r="Y1052">
        <f>VLOOKUP(Table9[[#This Row],[Shortname]], Comp[], 22, FALSE)</f>
        <v>0</v>
      </c>
      <c r="Z1052">
        <f>VLOOKUP(Table9[[#This Row],[Shortname]], Comp[], 23, FALSE)</f>
        <v>0</v>
      </c>
      <c r="AA1052">
        <f>VLOOKUP(Table9[[#This Row],[Shortname]], Comp[], 24, FALSE)</f>
        <v>0</v>
      </c>
      <c r="AB1052">
        <f>VLOOKUP(Table9[[#This Row],[Shortname]], Comp[], 25, FALSE)</f>
        <v>0</v>
      </c>
      <c r="AC1052">
        <f>VLOOKUP(Table9[[#This Row],[Shortname]], Comp[], 26, FALSE)</f>
        <v>0</v>
      </c>
      <c r="AD1052">
        <f>VLOOKUP(Table9[[#This Row],[Shortname]], Comp[], 27, FALSE)</f>
        <v>0</v>
      </c>
      <c r="AE1052">
        <f>VLOOKUP(Table9[[#This Row],[Shortname]], Comp[], 28, FALSE)</f>
        <v>0</v>
      </c>
      <c r="AF1052">
        <f>VLOOKUP(Table9[[#This Row],[Shortname]], Comp[], 29, FALSE)</f>
        <v>0</v>
      </c>
      <c r="AG1052">
        <f>VLOOKUP(Table9[[#This Row],[Shortname]], Comp[], 30, FALSE)</f>
        <v>0</v>
      </c>
      <c r="AH1052">
        <f>VLOOKUP(Table9[[#This Row],[Shortname]], Comp[], 31, FALSE)</f>
        <v>0</v>
      </c>
    </row>
    <row r="1053" spans="1:34" x14ac:dyDescent="0.3">
      <c r="A1053" t="s">
        <v>5820</v>
      </c>
      <c r="B1053" t="s">
        <v>5821</v>
      </c>
      <c r="C1053" t="s">
        <v>833</v>
      </c>
      <c r="D1053">
        <v>815.89</v>
      </c>
      <c r="E1053">
        <v>750</v>
      </c>
      <c r="F1053">
        <v>1E-4</v>
      </c>
      <c r="G1053">
        <v>1</v>
      </c>
      <c r="H1053" t="s">
        <v>6803</v>
      </c>
      <c r="I1053">
        <f>VLOOKUP(Table9[[#This Row],[Shortname]], Comp[], 6, FALSE)</f>
        <v>928</v>
      </c>
      <c r="J1053" s="14">
        <f>VLOOKUP(Table9[[#This Row],[Shortname]], Comp[], 7, FALSE)</f>
        <v>49</v>
      </c>
      <c r="K1053">
        <f>VLOOKUP(Table9[[#This Row],[Shortname]], Comp[], 8, FALSE)</f>
        <v>30</v>
      </c>
      <c r="L1053">
        <f>VLOOKUP(Table9[[#This Row],[Shortname]], Comp[], 9, FALSE)</f>
        <v>10</v>
      </c>
      <c r="M1053">
        <f>VLOOKUP(Table9[[#This Row],[Shortname]], Comp[], 10, FALSE)</f>
        <v>0</v>
      </c>
      <c r="N1053">
        <f>VLOOKUP(Table9[[#This Row],[Shortname]], Comp[], 11, FALSE)</f>
        <v>0</v>
      </c>
      <c r="O1053">
        <f>VLOOKUP(Table9[[#This Row],[Shortname]], Comp[],12, FALSE)</f>
        <v>2</v>
      </c>
      <c r="P1053">
        <f>VLOOKUP(Table9[[#This Row],[Shortname]], Comp[], 13, FALSE)</f>
        <v>4</v>
      </c>
      <c r="Q1053">
        <f>VLOOKUP(Table9[[#This Row],[Shortname]], Comp[], 14, FALSE)</f>
        <v>0</v>
      </c>
      <c r="R1053">
        <f>VLOOKUP(Table9[[#This Row],[Shortname]], Comp[], 15, FALSE)</f>
        <v>5</v>
      </c>
      <c r="S1053">
        <f>VLOOKUP(Table9[[#This Row],[Shortname]], Comp[], 16, FALSE)</f>
        <v>0</v>
      </c>
      <c r="T1053">
        <f>VLOOKUP(Table9[[#This Row],[Shortname]], Comp[], 17, FALSE)</f>
        <v>0</v>
      </c>
      <c r="U1053">
        <f>VLOOKUP(Table9[[#This Row],[Shortname]], Comp[], 18, FALSE)</f>
        <v>0</v>
      </c>
      <c r="V1053">
        <f>VLOOKUP(Table9[[#This Row],[Shortname]], Comp[], 19, FALSE)</f>
        <v>0</v>
      </c>
      <c r="W1053">
        <f>VLOOKUP(Table9[[#This Row],[Shortname]], Comp[], 20, FALSE)</f>
        <v>0</v>
      </c>
      <c r="X1053">
        <f>VLOOKUP(Table9[[#This Row],[Shortname]], Comp[], 21, FALSE)</f>
        <v>0</v>
      </c>
      <c r="Y1053">
        <f>VLOOKUP(Table9[[#This Row],[Shortname]], Comp[], 22, FALSE)</f>
        <v>0</v>
      </c>
      <c r="Z1053">
        <f>VLOOKUP(Table9[[#This Row],[Shortname]], Comp[], 23, FALSE)</f>
        <v>0</v>
      </c>
      <c r="AA1053">
        <f>VLOOKUP(Table9[[#This Row],[Shortname]], Comp[], 24, FALSE)</f>
        <v>0</v>
      </c>
      <c r="AB1053">
        <f>VLOOKUP(Table9[[#This Row],[Shortname]], Comp[], 25, FALSE)</f>
        <v>0</v>
      </c>
      <c r="AC1053">
        <f>VLOOKUP(Table9[[#This Row],[Shortname]], Comp[], 26, FALSE)</f>
        <v>0</v>
      </c>
      <c r="AD1053">
        <f>VLOOKUP(Table9[[#This Row],[Shortname]], Comp[], 27, FALSE)</f>
        <v>0</v>
      </c>
      <c r="AE1053">
        <f>VLOOKUP(Table9[[#This Row],[Shortname]], Comp[], 28, FALSE)</f>
        <v>0</v>
      </c>
      <c r="AF1053">
        <f>VLOOKUP(Table9[[#This Row],[Shortname]], Comp[], 29, FALSE)</f>
        <v>0</v>
      </c>
      <c r="AG1053">
        <f>VLOOKUP(Table9[[#This Row],[Shortname]], Comp[], 30, FALSE)</f>
        <v>0</v>
      </c>
      <c r="AH1053">
        <f>VLOOKUP(Table9[[#This Row],[Shortname]], Comp[], 31, FALSE)</f>
        <v>0</v>
      </c>
    </row>
    <row r="1054" spans="1:34" x14ac:dyDescent="0.3">
      <c r="A1054" t="s">
        <v>5820</v>
      </c>
      <c r="B1054" t="s">
        <v>5821</v>
      </c>
      <c r="C1054" t="s">
        <v>833</v>
      </c>
      <c r="D1054">
        <v>686.05</v>
      </c>
      <c r="E1054">
        <v>800</v>
      </c>
      <c r="F1054">
        <v>1E-4</v>
      </c>
      <c r="G1054">
        <v>1</v>
      </c>
      <c r="H1054" t="s">
        <v>6803</v>
      </c>
      <c r="I1054">
        <f>VLOOKUP(Table9[[#This Row],[Shortname]], Comp[], 6, FALSE)</f>
        <v>928</v>
      </c>
      <c r="J1054" s="14">
        <f>VLOOKUP(Table9[[#This Row],[Shortname]], Comp[], 7, FALSE)</f>
        <v>49</v>
      </c>
      <c r="K1054">
        <f>VLOOKUP(Table9[[#This Row],[Shortname]], Comp[], 8, FALSE)</f>
        <v>30</v>
      </c>
      <c r="L1054">
        <f>VLOOKUP(Table9[[#This Row],[Shortname]], Comp[], 9, FALSE)</f>
        <v>10</v>
      </c>
      <c r="M1054">
        <f>VLOOKUP(Table9[[#This Row],[Shortname]], Comp[], 10, FALSE)</f>
        <v>0</v>
      </c>
      <c r="N1054">
        <f>VLOOKUP(Table9[[#This Row],[Shortname]], Comp[], 11, FALSE)</f>
        <v>0</v>
      </c>
      <c r="O1054">
        <f>VLOOKUP(Table9[[#This Row],[Shortname]], Comp[],12, FALSE)</f>
        <v>2</v>
      </c>
      <c r="P1054">
        <f>VLOOKUP(Table9[[#This Row],[Shortname]], Comp[], 13, FALSE)</f>
        <v>4</v>
      </c>
      <c r="Q1054">
        <f>VLOOKUP(Table9[[#This Row],[Shortname]], Comp[], 14, FALSE)</f>
        <v>0</v>
      </c>
      <c r="R1054">
        <f>VLOOKUP(Table9[[#This Row],[Shortname]], Comp[], 15, FALSE)</f>
        <v>5</v>
      </c>
      <c r="S1054">
        <f>VLOOKUP(Table9[[#This Row],[Shortname]], Comp[], 16, FALSE)</f>
        <v>0</v>
      </c>
      <c r="T1054">
        <f>VLOOKUP(Table9[[#This Row],[Shortname]], Comp[], 17, FALSE)</f>
        <v>0</v>
      </c>
      <c r="U1054">
        <f>VLOOKUP(Table9[[#This Row],[Shortname]], Comp[], 18, FALSE)</f>
        <v>0</v>
      </c>
      <c r="V1054">
        <f>VLOOKUP(Table9[[#This Row],[Shortname]], Comp[], 19, FALSE)</f>
        <v>0</v>
      </c>
      <c r="W1054">
        <f>VLOOKUP(Table9[[#This Row],[Shortname]], Comp[], 20, FALSE)</f>
        <v>0</v>
      </c>
      <c r="X1054">
        <f>VLOOKUP(Table9[[#This Row],[Shortname]], Comp[], 21, FALSE)</f>
        <v>0</v>
      </c>
      <c r="Y1054">
        <f>VLOOKUP(Table9[[#This Row],[Shortname]], Comp[], 22, FALSE)</f>
        <v>0</v>
      </c>
      <c r="Z1054">
        <f>VLOOKUP(Table9[[#This Row],[Shortname]], Comp[], 23, FALSE)</f>
        <v>0</v>
      </c>
      <c r="AA1054">
        <f>VLOOKUP(Table9[[#This Row],[Shortname]], Comp[], 24, FALSE)</f>
        <v>0</v>
      </c>
      <c r="AB1054">
        <f>VLOOKUP(Table9[[#This Row],[Shortname]], Comp[], 25, FALSE)</f>
        <v>0</v>
      </c>
      <c r="AC1054">
        <f>VLOOKUP(Table9[[#This Row],[Shortname]], Comp[], 26, FALSE)</f>
        <v>0</v>
      </c>
      <c r="AD1054">
        <f>VLOOKUP(Table9[[#This Row],[Shortname]], Comp[], 27, FALSE)</f>
        <v>0</v>
      </c>
      <c r="AE1054">
        <f>VLOOKUP(Table9[[#This Row],[Shortname]], Comp[], 28, FALSE)</f>
        <v>0</v>
      </c>
      <c r="AF1054">
        <f>VLOOKUP(Table9[[#This Row],[Shortname]], Comp[], 29, FALSE)</f>
        <v>0</v>
      </c>
      <c r="AG1054">
        <f>VLOOKUP(Table9[[#This Row],[Shortname]], Comp[], 30, FALSE)</f>
        <v>0</v>
      </c>
      <c r="AH1054">
        <f>VLOOKUP(Table9[[#This Row],[Shortname]], Comp[], 31, FALSE)</f>
        <v>0</v>
      </c>
    </row>
    <row r="1055" spans="1:34" x14ac:dyDescent="0.3">
      <c r="A1055" t="s">
        <v>5820</v>
      </c>
      <c r="B1055" t="s">
        <v>5821</v>
      </c>
      <c r="C1055" t="s">
        <v>833</v>
      </c>
      <c r="D1055">
        <v>593.02</v>
      </c>
      <c r="E1055">
        <v>900</v>
      </c>
      <c r="F1055">
        <v>1E-4</v>
      </c>
      <c r="G1055">
        <v>1</v>
      </c>
      <c r="H1055" t="s">
        <v>6803</v>
      </c>
      <c r="I1055">
        <f>VLOOKUP(Table9[[#This Row],[Shortname]], Comp[], 6, FALSE)</f>
        <v>928</v>
      </c>
      <c r="J1055" s="14">
        <f>VLOOKUP(Table9[[#This Row],[Shortname]], Comp[], 7, FALSE)</f>
        <v>49</v>
      </c>
      <c r="K1055">
        <f>VLOOKUP(Table9[[#This Row],[Shortname]], Comp[], 8, FALSE)</f>
        <v>30</v>
      </c>
      <c r="L1055">
        <f>VLOOKUP(Table9[[#This Row],[Shortname]], Comp[], 9, FALSE)</f>
        <v>10</v>
      </c>
      <c r="M1055">
        <f>VLOOKUP(Table9[[#This Row],[Shortname]], Comp[], 10, FALSE)</f>
        <v>0</v>
      </c>
      <c r="N1055">
        <f>VLOOKUP(Table9[[#This Row],[Shortname]], Comp[], 11, FALSE)</f>
        <v>0</v>
      </c>
      <c r="O1055">
        <f>VLOOKUP(Table9[[#This Row],[Shortname]], Comp[],12, FALSE)</f>
        <v>2</v>
      </c>
      <c r="P1055">
        <f>VLOOKUP(Table9[[#This Row],[Shortname]], Comp[], 13, FALSE)</f>
        <v>4</v>
      </c>
      <c r="Q1055">
        <f>VLOOKUP(Table9[[#This Row],[Shortname]], Comp[], 14, FALSE)</f>
        <v>0</v>
      </c>
      <c r="R1055">
        <f>VLOOKUP(Table9[[#This Row],[Shortname]], Comp[], 15, FALSE)</f>
        <v>5</v>
      </c>
      <c r="S1055">
        <f>VLOOKUP(Table9[[#This Row],[Shortname]], Comp[], 16, FALSE)</f>
        <v>0</v>
      </c>
      <c r="T1055">
        <f>VLOOKUP(Table9[[#This Row],[Shortname]], Comp[], 17, FALSE)</f>
        <v>0</v>
      </c>
      <c r="U1055">
        <f>VLOOKUP(Table9[[#This Row],[Shortname]], Comp[], 18, FALSE)</f>
        <v>0</v>
      </c>
      <c r="V1055">
        <f>VLOOKUP(Table9[[#This Row],[Shortname]], Comp[], 19, FALSE)</f>
        <v>0</v>
      </c>
      <c r="W1055">
        <f>VLOOKUP(Table9[[#This Row],[Shortname]], Comp[], 20, FALSE)</f>
        <v>0</v>
      </c>
      <c r="X1055">
        <f>VLOOKUP(Table9[[#This Row],[Shortname]], Comp[], 21, FALSE)</f>
        <v>0</v>
      </c>
      <c r="Y1055">
        <f>VLOOKUP(Table9[[#This Row],[Shortname]], Comp[], 22, FALSE)</f>
        <v>0</v>
      </c>
      <c r="Z1055">
        <f>VLOOKUP(Table9[[#This Row],[Shortname]], Comp[], 23, FALSE)</f>
        <v>0</v>
      </c>
      <c r="AA1055">
        <f>VLOOKUP(Table9[[#This Row],[Shortname]], Comp[], 24, FALSE)</f>
        <v>0</v>
      </c>
      <c r="AB1055">
        <f>VLOOKUP(Table9[[#This Row],[Shortname]], Comp[], 25, FALSE)</f>
        <v>0</v>
      </c>
      <c r="AC1055">
        <f>VLOOKUP(Table9[[#This Row],[Shortname]], Comp[], 26, FALSE)</f>
        <v>0</v>
      </c>
      <c r="AD1055">
        <f>VLOOKUP(Table9[[#This Row],[Shortname]], Comp[], 27, FALSE)</f>
        <v>0</v>
      </c>
      <c r="AE1055">
        <f>VLOOKUP(Table9[[#This Row],[Shortname]], Comp[], 28, FALSE)</f>
        <v>0</v>
      </c>
      <c r="AF1055">
        <f>VLOOKUP(Table9[[#This Row],[Shortname]], Comp[], 29, FALSE)</f>
        <v>0</v>
      </c>
      <c r="AG1055">
        <f>VLOOKUP(Table9[[#This Row],[Shortname]], Comp[], 30, FALSE)</f>
        <v>0</v>
      </c>
      <c r="AH1055">
        <f>VLOOKUP(Table9[[#This Row],[Shortname]], Comp[], 31, FALSE)</f>
        <v>0</v>
      </c>
    </row>
    <row r="1056" spans="1:34" x14ac:dyDescent="0.3">
      <c r="A1056" t="s">
        <v>5882</v>
      </c>
      <c r="B1056" t="s">
        <v>6982</v>
      </c>
      <c r="C1056" t="s">
        <v>5884</v>
      </c>
      <c r="D1056">
        <v>25.276461295418599</v>
      </c>
      <c r="E1056">
        <v>538.22270912222996</v>
      </c>
      <c r="F1056">
        <v>1E-4</v>
      </c>
      <c r="G1056">
        <v>1</v>
      </c>
      <c r="H1056" t="s">
        <v>6803</v>
      </c>
      <c r="I1056">
        <f>VLOOKUP(Table9[[#This Row],[Shortname]], Comp[], 6, FALSE)</f>
        <v>943</v>
      </c>
      <c r="J1056" s="14">
        <f>VLOOKUP(Table9[[#This Row],[Shortname]], Comp[], 7, FALSE)</f>
        <v>48.07</v>
      </c>
      <c r="K1056">
        <f>VLOOKUP(Table9[[#This Row],[Shortname]], Comp[], 8, FALSE)</f>
        <v>29.1</v>
      </c>
      <c r="L1056">
        <f>VLOOKUP(Table9[[#This Row],[Shortname]], Comp[], 9, FALSE)</f>
        <v>8.66</v>
      </c>
      <c r="M1056">
        <f>VLOOKUP(Table9[[#This Row],[Shortname]], Comp[], 10, FALSE)</f>
        <v>6.4</v>
      </c>
      <c r="N1056">
        <f>VLOOKUP(Table9[[#This Row],[Shortname]], Comp[], 11, FALSE)</f>
        <v>5.8</v>
      </c>
      <c r="O1056">
        <f>VLOOKUP(Table9[[#This Row],[Shortname]], Comp[],12, FALSE)</f>
        <v>1.86</v>
      </c>
      <c r="P1056">
        <f>VLOOKUP(Table9[[#This Row],[Shortname]], Comp[], 13, FALSE)</f>
        <v>0</v>
      </c>
      <c r="Q1056">
        <f>VLOOKUP(Table9[[#This Row],[Shortname]], Comp[], 14, FALSE)</f>
        <v>0</v>
      </c>
      <c r="R1056">
        <f>VLOOKUP(Table9[[#This Row],[Shortname]], Comp[], 15, FALSE)</f>
        <v>0</v>
      </c>
      <c r="S1056">
        <f>VLOOKUP(Table9[[#This Row],[Shortname]], Comp[], 16, FALSE)</f>
        <v>0</v>
      </c>
      <c r="T1056">
        <f>VLOOKUP(Table9[[#This Row],[Shortname]], Comp[], 17, FALSE)</f>
        <v>0.11</v>
      </c>
      <c r="U1056">
        <f>VLOOKUP(Table9[[#This Row],[Shortname]], Comp[], 18, FALSE)</f>
        <v>0</v>
      </c>
      <c r="V1056">
        <f>VLOOKUP(Table9[[#This Row],[Shortname]], Comp[], 19, FALSE)</f>
        <v>0</v>
      </c>
      <c r="W1056">
        <f>VLOOKUP(Table9[[#This Row],[Shortname]], Comp[], 20, FALSE)</f>
        <v>0</v>
      </c>
      <c r="X1056">
        <f>VLOOKUP(Table9[[#This Row],[Shortname]], Comp[], 21, FALSE)</f>
        <v>0</v>
      </c>
      <c r="Y1056">
        <f>VLOOKUP(Table9[[#This Row],[Shortname]], Comp[], 22, FALSE)</f>
        <v>0</v>
      </c>
      <c r="Z1056">
        <f>VLOOKUP(Table9[[#This Row],[Shortname]], Comp[], 23, FALSE)</f>
        <v>0</v>
      </c>
      <c r="AA1056">
        <f>VLOOKUP(Table9[[#This Row],[Shortname]], Comp[], 24, FALSE)</f>
        <v>0</v>
      </c>
      <c r="AB1056">
        <f>VLOOKUP(Table9[[#This Row],[Shortname]], Comp[], 25, FALSE)</f>
        <v>0</v>
      </c>
      <c r="AC1056">
        <f>VLOOKUP(Table9[[#This Row],[Shortname]], Comp[], 26, FALSE)</f>
        <v>0</v>
      </c>
      <c r="AD1056">
        <f>VLOOKUP(Table9[[#This Row],[Shortname]], Comp[], 27, FALSE)</f>
        <v>0</v>
      </c>
      <c r="AE1056">
        <f>VLOOKUP(Table9[[#This Row],[Shortname]], Comp[], 28, FALSE)</f>
        <v>0</v>
      </c>
      <c r="AF1056">
        <f>VLOOKUP(Table9[[#This Row],[Shortname]], Comp[], 29, FALSE)</f>
        <v>0</v>
      </c>
      <c r="AG1056">
        <f>VLOOKUP(Table9[[#This Row],[Shortname]], Comp[], 30, FALSE)</f>
        <v>0</v>
      </c>
      <c r="AH1056">
        <f>VLOOKUP(Table9[[#This Row],[Shortname]], Comp[], 31, FALSE)</f>
        <v>0</v>
      </c>
    </row>
    <row r="1057" spans="1:34" x14ac:dyDescent="0.3">
      <c r="A1057" t="s">
        <v>5882</v>
      </c>
      <c r="B1057" t="s">
        <v>6982</v>
      </c>
      <c r="C1057" t="s">
        <v>5884</v>
      </c>
      <c r="D1057">
        <v>599.05213270142099</v>
      </c>
      <c r="E1057">
        <v>467.58674891042801</v>
      </c>
      <c r="F1057">
        <v>1E-4</v>
      </c>
      <c r="G1057">
        <v>1</v>
      </c>
      <c r="H1057" t="s">
        <v>6803</v>
      </c>
      <c r="I1057">
        <f>VLOOKUP(Table9[[#This Row],[Shortname]], Comp[], 6, FALSE)</f>
        <v>943</v>
      </c>
      <c r="J1057" s="14">
        <f>VLOOKUP(Table9[[#This Row],[Shortname]], Comp[], 7, FALSE)</f>
        <v>48.07</v>
      </c>
      <c r="K1057">
        <f>VLOOKUP(Table9[[#This Row],[Shortname]], Comp[], 8, FALSE)</f>
        <v>29.1</v>
      </c>
      <c r="L1057">
        <f>VLOOKUP(Table9[[#This Row],[Shortname]], Comp[], 9, FALSE)</f>
        <v>8.66</v>
      </c>
      <c r="M1057">
        <f>VLOOKUP(Table9[[#This Row],[Shortname]], Comp[], 10, FALSE)</f>
        <v>6.4</v>
      </c>
      <c r="N1057">
        <f>VLOOKUP(Table9[[#This Row],[Shortname]], Comp[], 11, FALSE)</f>
        <v>5.8</v>
      </c>
      <c r="O1057">
        <f>VLOOKUP(Table9[[#This Row],[Shortname]], Comp[],12, FALSE)</f>
        <v>1.86</v>
      </c>
      <c r="P1057">
        <f>VLOOKUP(Table9[[#This Row],[Shortname]], Comp[], 13, FALSE)</f>
        <v>0</v>
      </c>
      <c r="Q1057">
        <f>VLOOKUP(Table9[[#This Row],[Shortname]], Comp[], 14, FALSE)</f>
        <v>0</v>
      </c>
      <c r="R1057">
        <f>VLOOKUP(Table9[[#This Row],[Shortname]], Comp[], 15, FALSE)</f>
        <v>0</v>
      </c>
      <c r="S1057">
        <f>VLOOKUP(Table9[[#This Row],[Shortname]], Comp[], 16, FALSE)</f>
        <v>0</v>
      </c>
      <c r="T1057">
        <f>VLOOKUP(Table9[[#This Row],[Shortname]], Comp[], 17, FALSE)</f>
        <v>0.11</v>
      </c>
      <c r="U1057">
        <f>VLOOKUP(Table9[[#This Row],[Shortname]], Comp[], 18, FALSE)</f>
        <v>0</v>
      </c>
      <c r="V1057">
        <f>VLOOKUP(Table9[[#This Row],[Shortname]], Comp[], 19, FALSE)</f>
        <v>0</v>
      </c>
      <c r="W1057">
        <f>VLOOKUP(Table9[[#This Row],[Shortname]], Comp[], 20, FALSE)</f>
        <v>0</v>
      </c>
      <c r="X1057">
        <f>VLOOKUP(Table9[[#This Row],[Shortname]], Comp[], 21, FALSE)</f>
        <v>0</v>
      </c>
      <c r="Y1057">
        <f>VLOOKUP(Table9[[#This Row],[Shortname]], Comp[], 22, FALSE)</f>
        <v>0</v>
      </c>
      <c r="Z1057">
        <f>VLOOKUP(Table9[[#This Row],[Shortname]], Comp[], 23, FALSE)</f>
        <v>0</v>
      </c>
      <c r="AA1057">
        <f>VLOOKUP(Table9[[#This Row],[Shortname]], Comp[], 24, FALSE)</f>
        <v>0</v>
      </c>
      <c r="AB1057">
        <f>VLOOKUP(Table9[[#This Row],[Shortname]], Comp[], 25, FALSE)</f>
        <v>0</v>
      </c>
      <c r="AC1057">
        <f>VLOOKUP(Table9[[#This Row],[Shortname]], Comp[], 26, FALSE)</f>
        <v>0</v>
      </c>
      <c r="AD1057">
        <f>VLOOKUP(Table9[[#This Row],[Shortname]], Comp[], 27, FALSE)</f>
        <v>0</v>
      </c>
      <c r="AE1057">
        <f>VLOOKUP(Table9[[#This Row],[Shortname]], Comp[], 28, FALSE)</f>
        <v>0</v>
      </c>
      <c r="AF1057">
        <f>VLOOKUP(Table9[[#This Row],[Shortname]], Comp[], 29, FALSE)</f>
        <v>0</v>
      </c>
      <c r="AG1057">
        <f>VLOOKUP(Table9[[#This Row],[Shortname]], Comp[], 30, FALSE)</f>
        <v>0</v>
      </c>
      <c r="AH1057">
        <f>VLOOKUP(Table9[[#This Row],[Shortname]], Comp[], 31, FALSE)</f>
        <v>0</v>
      </c>
    </row>
    <row r="1058" spans="1:34" x14ac:dyDescent="0.3">
      <c r="A1058" t="s">
        <v>5882</v>
      </c>
      <c r="B1058" t="s">
        <v>6982</v>
      </c>
      <c r="C1058" t="s">
        <v>5884</v>
      </c>
      <c r="D1058">
        <v>698.89415481832498</v>
      </c>
      <c r="E1058">
        <v>496.85790722967101</v>
      </c>
      <c r="F1058">
        <v>1E-4</v>
      </c>
      <c r="G1058">
        <v>1</v>
      </c>
      <c r="H1058" t="s">
        <v>6803</v>
      </c>
      <c r="I1058">
        <f>VLOOKUP(Table9[[#This Row],[Shortname]], Comp[], 6, FALSE)</f>
        <v>943</v>
      </c>
      <c r="J1058" s="14">
        <f>VLOOKUP(Table9[[#This Row],[Shortname]], Comp[], 7, FALSE)</f>
        <v>48.07</v>
      </c>
      <c r="K1058">
        <f>VLOOKUP(Table9[[#This Row],[Shortname]], Comp[], 8, FALSE)</f>
        <v>29.1</v>
      </c>
      <c r="L1058">
        <f>VLOOKUP(Table9[[#This Row],[Shortname]], Comp[], 9, FALSE)</f>
        <v>8.66</v>
      </c>
      <c r="M1058">
        <f>VLOOKUP(Table9[[#This Row],[Shortname]], Comp[], 10, FALSE)</f>
        <v>6.4</v>
      </c>
      <c r="N1058">
        <f>VLOOKUP(Table9[[#This Row],[Shortname]], Comp[], 11, FALSE)</f>
        <v>5.8</v>
      </c>
      <c r="O1058">
        <f>VLOOKUP(Table9[[#This Row],[Shortname]], Comp[],12, FALSE)</f>
        <v>1.86</v>
      </c>
      <c r="P1058">
        <f>VLOOKUP(Table9[[#This Row],[Shortname]], Comp[], 13, FALSE)</f>
        <v>0</v>
      </c>
      <c r="Q1058">
        <f>VLOOKUP(Table9[[#This Row],[Shortname]], Comp[], 14, FALSE)</f>
        <v>0</v>
      </c>
      <c r="R1058">
        <f>VLOOKUP(Table9[[#This Row],[Shortname]], Comp[], 15, FALSE)</f>
        <v>0</v>
      </c>
      <c r="S1058">
        <f>VLOOKUP(Table9[[#This Row],[Shortname]], Comp[], 16, FALSE)</f>
        <v>0</v>
      </c>
      <c r="T1058">
        <f>VLOOKUP(Table9[[#This Row],[Shortname]], Comp[], 17, FALSE)</f>
        <v>0.11</v>
      </c>
      <c r="U1058">
        <f>VLOOKUP(Table9[[#This Row],[Shortname]], Comp[], 18, FALSE)</f>
        <v>0</v>
      </c>
      <c r="V1058">
        <f>VLOOKUP(Table9[[#This Row],[Shortname]], Comp[], 19, FALSE)</f>
        <v>0</v>
      </c>
      <c r="W1058">
        <f>VLOOKUP(Table9[[#This Row],[Shortname]], Comp[], 20, FALSE)</f>
        <v>0</v>
      </c>
      <c r="X1058">
        <f>VLOOKUP(Table9[[#This Row],[Shortname]], Comp[], 21, FALSE)</f>
        <v>0</v>
      </c>
      <c r="Y1058">
        <f>VLOOKUP(Table9[[#This Row],[Shortname]], Comp[], 22, FALSE)</f>
        <v>0</v>
      </c>
      <c r="Z1058">
        <f>VLOOKUP(Table9[[#This Row],[Shortname]], Comp[], 23, FALSE)</f>
        <v>0</v>
      </c>
      <c r="AA1058">
        <f>VLOOKUP(Table9[[#This Row],[Shortname]], Comp[], 24, FALSE)</f>
        <v>0</v>
      </c>
      <c r="AB1058">
        <f>VLOOKUP(Table9[[#This Row],[Shortname]], Comp[], 25, FALSE)</f>
        <v>0</v>
      </c>
      <c r="AC1058">
        <f>VLOOKUP(Table9[[#This Row],[Shortname]], Comp[], 26, FALSE)</f>
        <v>0</v>
      </c>
      <c r="AD1058">
        <f>VLOOKUP(Table9[[#This Row],[Shortname]], Comp[], 27, FALSE)</f>
        <v>0</v>
      </c>
      <c r="AE1058">
        <f>VLOOKUP(Table9[[#This Row],[Shortname]], Comp[], 28, FALSE)</f>
        <v>0</v>
      </c>
      <c r="AF1058">
        <f>VLOOKUP(Table9[[#This Row],[Shortname]], Comp[], 29, FALSE)</f>
        <v>0</v>
      </c>
      <c r="AG1058">
        <f>VLOOKUP(Table9[[#This Row],[Shortname]], Comp[], 30, FALSE)</f>
        <v>0</v>
      </c>
      <c r="AH1058">
        <f>VLOOKUP(Table9[[#This Row],[Shortname]], Comp[], 31, FALSE)</f>
        <v>0</v>
      </c>
    </row>
    <row r="1059" spans="1:34" x14ac:dyDescent="0.3">
      <c r="A1059" t="s">
        <v>5882</v>
      </c>
      <c r="B1059" t="s">
        <v>6982</v>
      </c>
      <c r="C1059" t="s">
        <v>5884</v>
      </c>
      <c r="D1059">
        <v>798.73617693522897</v>
      </c>
      <c r="E1059">
        <v>475.877809267506</v>
      </c>
      <c r="F1059">
        <v>1E-4</v>
      </c>
      <c r="G1059">
        <v>1</v>
      </c>
      <c r="H1059" t="s">
        <v>6803</v>
      </c>
      <c r="I1059">
        <f>VLOOKUP(Table9[[#This Row],[Shortname]], Comp[], 6, FALSE)</f>
        <v>943</v>
      </c>
      <c r="J1059" s="14">
        <f>VLOOKUP(Table9[[#This Row],[Shortname]], Comp[], 7, FALSE)</f>
        <v>48.07</v>
      </c>
      <c r="K1059">
        <f>VLOOKUP(Table9[[#This Row],[Shortname]], Comp[], 8, FALSE)</f>
        <v>29.1</v>
      </c>
      <c r="L1059">
        <f>VLOOKUP(Table9[[#This Row],[Shortname]], Comp[], 9, FALSE)</f>
        <v>8.66</v>
      </c>
      <c r="M1059">
        <f>VLOOKUP(Table9[[#This Row],[Shortname]], Comp[], 10, FALSE)</f>
        <v>6.4</v>
      </c>
      <c r="N1059">
        <f>VLOOKUP(Table9[[#This Row],[Shortname]], Comp[], 11, FALSE)</f>
        <v>5.8</v>
      </c>
      <c r="O1059">
        <f>VLOOKUP(Table9[[#This Row],[Shortname]], Comp[],12, FALSE)</f>
        <v>1.86</v>
      </c>
      <c r="P1059">
        <f>VLOOKUP(Table9[[#This Row],[Shortname]], Comp[], 13, FALSE)</f>
        <v>0</v>
      </c>
      <c r="Q1059">
        <f>VLOOKUP(Table9[[#This Row],[Shortname]], Comp[], 14, FALSE)</f>
        <v>0</v>
      </c>
      <c r="R1059">
        <f>VLOOKUP(Table9[[#This Row],[Shortname]], Comp[], 15, FALSE)</f>
        <v>0</v>
      </c>
      <c r="S1059">
        <f>VLOOKUP(Table9[[#This Row],[Shortname]], Comp[], 16, FALSE)</f>
        <v>0</v>
      </c>
      <c r="T1059">
        <f>VLOOKUP(Table9[[#This Row],[Shortname]], Comp[], 17, FALSE)</f>
        <v>0.11</v>
      </c>
      <c r="U1059">
        <f>VLOOKUP(Table9[[#This Row],[Shortname]], Comp[], 18, FALSE)</f>
        <v>0</v>
      </c>
      <c r="V1059">
        <f>VLOOKUP(Table9[[#This Row],[Shortname]], Comp[], 19, FALSE)</f>
        <v>0</v>
      </c>
      <c r="W1059">
        <f>VLOOKUP(Table9[[#This Row],[Shortname]], Comp[], 20, FALSE)</f>
        <v>0</v>
      </c>
      <c r="X1059">
        <f>VLOOKUP(Table9[[#This Row],[Shortname]], Comp[], 21, FALSE)</f>
        <v>0</v>
      </c>
      <c r="Y1059">
        <f>VLOOKUP(Table9[[#This Row],[Shortname]], Comp[], 22, FALSE)</f>
        <v>0</v>
      </c>
      <c r="Z1059">
        <f>VLOOKUP(Table9[[#This Row],[Shortname]], Comp[], 23, FALSE)</f>
        <v>0</v>
      </c>
      <c r="AA1059">
        <f>VLOOKUP(Table9[[#This Row],[Shortname]], Comp[], 24, FALSE)</f>
        <v>0</v>
      </c>
      <c r="AB1059">
        <f>VLOOKUP(Table9[[#This Row],[Shortname]], Comp[], 25, FALSE)</f>
        <v>0</v>
      </c>
      <c r="AC1059">
        <f>VLOOKUP(Table9[[#This Row],[Shortname]], Comp[], 26, FALSE)</f>
        <v>0</v>
      </c>
      <c r="AD1059">
        <f>VLOOKUP(Table9[[#This Row],[Shortname]], Comp[], 27, FALSE)</f>
        <v>0</v>
      </c>
      <c r="AE1059">
        <f>VLOOKUP(Table9[[#This Row],[Shortname]], Comp[], 28, FALSE)</f>
        <v>0</v>
      </c>
      <c r="AF1059">
        <f>VLOOKUP(Table9[[#This Row],[Shortname]], Comp[], 29, FALSE)</f>
        <v>0</v>
      </c>
      <c r="AG1059">
        <f>VLOOKUP(Table9[[#This Row],[Shortname]], Comp[], 30, FALSE)</f>
        <v>0</v>
      </c>
      <c r="AH1059">
        <f>VLOOKUP(Table9[[#This Row],[Shortname]], Comp[], 31, FALSE)</f>
        <v>0</v>
      </c>
    </row>
    <row r="1060" spans="1:34" x14ac:dyDescent="0.3">
      <c r="A1060" t="s">
        <v>5882</v>
      </c>
      <c r="B1060" t="s">
        <v>6982</v>
      </c>
      <c r="C1060" t="s">
        <v>5884</v>
      </c>
      <c r="D1060">
        <v>898.57819905213205</v>
      </c>
      <c r="E1060">
        <v>432.78715854152199</v>
      </c>
      <c r="F1060">
        <v>1E-4</v>
      </c>
      <c r="G1060">
        <v>1</v>
      </c>
      <c r="H1060" t="s">
        <v>6803</v>
      </c>
      <c r="I1060">
        <f>VLOOKUP(Table9[[#This Row],[Shortname]], Comp[], 6, FALSE)</f>
        <v>943</v>
      </c>
      <c r="J1060" s="14">
        <f>VLOOKUP(Table9[[#This Row],[Shortname]], Comp[], 7, FALSE)</f>
        <v>48.07</v>
      </c>
      <c r="K1060">
        <f>VLOOKUP(Table9[[#This Row],[Shortname]], Comp[], 8, FALSE)</f>
        <v>29.1</v>
      </c>
      <c r="L1060">
        <f>VLOOKUP(Table9[[#This Row],[Shortname]], Comp[], 9, FALSE)</f>
        <v>8.66</v>
      </c>
      <c r="M1060">
        <f>VLOOKUP(Table9[[#This Row],[Shortname]], Comp[], 10, FALSE)</f>
        <v>6.4</v>
      </c>
      <c r="N1060">
        <f>VLOOKUP(Table9[[#This Row],[Shortname]], Comp[], 11, FALSE)</f>
        <v>5.8</v>
      </c>
      <c r="O1060">
        <f>VLOOKUP(Table9[[#This Row],[Shortname]], Comp[],12, FALSE)</f>
        <v>1.86</v>
      </c>
      <c r="P1060">
        <f>VLOOKUP(Table9[[#This Row],[Shortname]], Comp[], 13, FALSE)</f>
        <v>0</v>
      </c>
      <c r="Q1060">
        <f>VLOOKUP(Table9[[#This Row],[Shortname]], Comp[], 14, FALSE)</f>
        <v>0</v>
      </c>
      <c r="R1060">
        <f>VLOOKUP(Table9[[#This Row],[Shortname]], Comp[], 15, FALSE)</f>
        <v>0</v>
      </c>
      <c r="S1060">
        <f>VLOOKUP(Table9[[#This Row],[Shortname]], Comp[], 16, FALSE)</f>
        <v>0</v>
      </c>
      <c r="T1060">
        <f>VLOOKUP(Table9[[#This Row],[Shortname]], Comp[], 17, FALSE)</f>
        <v>0.11</v>
      </c>
      <c r="U1060">
        <f>VLOOKUP(Table9[[#This Row],[Shortname]], Comp[], 18, FALSE)</f>
        <v>0</v>
      </c>
      <c r="V1060">
        <f>VLOOKUP(Table9[[#This Row],[Shortname]], Comp[], 19, FALSE)</f>
        <v>0</v>
      </c>
      <c r="W1060">
        <f>VLOOKUP(Table9[[#This Row],[Shortname]], Comp[], 20, FALSE)</f>
        <v>0</v>
      </c>
      <c r="X1060">
        <f>VLOOKUP(Table9[[#This Row],[Shortname]], Comp[], 21, FALSE)</f>
        <v>0</v>
      </c>
      <c r="Y1060">
        <f>VLOOKUP(Table9[[#This Row],[Shortname]], Comp[], 22, FALSE)</f>
        <v>0</v>
      </c>
      <c r="Z1060">
        <f>VLOOKUP(Table9[[#This Row],[Shortname]], Comp[], 23, FALSE)</f>
        <v>0</v>
      </c>
      <c r="AA1060">
        <f>VLOOKUP(Table9[[#This Row],[Shortname]], Comp[], 24, FALSE)</f>
        <v>0</v>
      </c>
      <c r="AB1060">
        <f>VLOOKUP(Table9[[#This Row],[Shortname]], Comp[], 25, FALSE)</f>
        <v>0</v>
      </c>
      <c r="AC1060">
        <f>VLOOKUP(Table9[[#This Row],[Shortname]], Comp[], 26, FALSE)</f>
        <v>0</v>
      </c>
      <c r="AD1060">
        <f>VLOOKUP(Table9[[#This Row],[Shortname]], Comp[], 27, FALSE)</f>
        <v>0</v>
      </c>
      <c r="AE1060">
        <f>VLOOKUP(Table9[[#This Row],[Shortname]], Comp[], 28, FALSE)</f>
        <v>0</v>
      </c>
      <c r="AF1060">
        <f>VLOOKUP(Table9[[#This Row],[Shortname]], Comp[], 29, FALSE)</f>
        <v>0</v>
      </c>
      <c r="AG1060">
        <f>VLOOKUP(Table9[[#This Row],[Shortname]], Comp[], 30, FALSE)</f>
        <v>0</v>
      </c>
      <c r="AH1060">
        <f>VLOOKUP(Table9[[#This Row],[Shortname]], Comp[], 31, FALSE)</f>
        <v>0</v>
      </c>
    </row>
    <row r="1061" spans="1:34" x14ac:dyDescent="0.3">
      <c r="A1061" t="s">
        <v>5928</v>
      </c>
      <c r="B1061" t="s">
        <v>5929</v>
      </c>
      <c r="C1061" t="s">
        <v>5930</v>
      </c>
      <c r="D1061">
        <v>343.5</v>
      </c>
      <c r="E1061">
        <v>25</v>
      </c>
      <c r="F1061">
        <v>2E-3</v>
      </c>
      <c r="G1061">
        <v>-1</v>
      </c>
      <c r="H1061" t="s">
        <v>6983</v>
      </c>
      <c r="I1061">
        <f>VLOOKUP(Table9[[#This Row],[Shortname]], Comp[], 6, FALSE)</f>
        <v>954</v>
      </c>
      <c r="J1061" s="14">
        <f>VLOOKUP(Table9[[#This Row],[Shortname]], Comp[], 7, FALSE)</f>
        <v>44.9</v>
      </c>
      <c r="K1061">
        <f>VLOOKUP(Table9[[#This Row],[Shortname]], Comp[], 8, FALSE)</f>
        <v>30.1</v>
      </c>
      <c r="L1061">
        <f>VLOOKUP(Table9[[#This Row],[Shortname]], Comp[], 9, FALSE)</f>
        <v>11</v>
      </c>
      <c r="M1061">
        <f>VLOOKUP(Table9[[#This Row],[Shortname]], Comp[], 10, FALSE)</f>
        <v>5</v>
      </c>
      <c r="N1061">
        <f>VLOOKUP(Table9[[#This Row],[Shortname]], Comp[], 11, FALSE)</f>
        <v>4.0999999999999996</v>
      </c>
      <c r="O1061">
        <f>VLOOKUP(Table9[[#This Row],[Shortname]], Comp[],12, FALSE)</f>
        <v>3.9</v>
      </c>
      <c r="P1061">
        <f>VLOOKUP(Table9[[#This Row],[Shortname]], Comp[], 13, FALSE)</f>
        <v>1</v>
      </c>
      <c r="Q1061">
        <f>VLOOKUP(Table9[[#This Row],[Shortname]], Comp[], 14, FALSE)</f>
        <v>0</v>
      </c>
      <c r="R1061">
        <f>VLOOKUP(Table9[[#This Row],[Shortname]], Comp[], 15, FALSE)</f>
        <v>0</v>
      </c>
      <c r="S1061">
        <f>VLOOKUP(Table9[[#This Row],[Shortname]], Comp[], 16, FALSE)</f>
        <v>0</v>
      </c>
      <c r="T1061">
        <f>VLOOKUP(Table9[[#This Row],[Shortname]], Comp[], 17, FALSE)</f>
        <v>0</v>
      </c>
      <c r="U1061">
        <f>VLOOKUP(Table9[[#This Row],[Shortname]], Comp[], 18, FALSE)</f>
        <v>0</v>
      </c>
      <c r="V1061">
        <f>VLOOKUP(Table9[[#This Row],[Shortname]], Comp[], 19, FALSE)</f>
        <v>0</v>
      </c>
      <c r="W1061">
        <f>VLOOKUP(Table9[[#This Row],[Shortname]], Comp[], 20, FALSE)</f>
        <v>0</v>
      </c>
      <c r="X1061">
        <f>VLOOKUP(Table9[[#This Row],[Shortname]], Comp[], 21, FALSE)</f>
        <v>0</v>
      </c>
      <c r="Y1061">
        <f>VLOOKUP(Table9[[#This Row],[Shortname]], Comp[], 22, FALSE)</f>
        <v>0</v>
      </c>
      <c r="Z1061">
        <f>VLOOKUP(Table9[[#This Row],[Shortname]], Comp[], 23, FALSE)</f>
        <v>0</v>
      </c>
      <c r="AA1061">
        <f>VLOOKUP(Table9[[#This Row],[Shortname]], Comp[], 24, FALSE)</f>
        <v>0</v>
      </c>
      <c r="AB1061">
        <f>VLOOKUP(Table9[[#This Row],[Shortname]], Comp[], 25, FALSE)</f>
        <v>0</v>
      </c>
      <c r="AC1061">
        <f>VLOOKUP(Table9[[#This Row],[Shortname]], Comp[], 26, FALSE)</f>
        <v>0</v>
      </c>
      <c r="AD1061">
        <f>VLOOKUP(Table9[[#This Row],[Shortname]], Comp[], 27, FALSE)</f>
        <v>0</v>
      </c>
      <c r="AE1061">
        <f>VLOOKUP(Table9[[#This Row],[Shortname]], Comp[], 28, FALSE)</f>
        <v>0</v>
      </c>
      <c r="AF1061">
        <f>VLOOKUP(Table9[[#This Row],[Shortname]], Comp[], 29, FALSE)</f>
        <v>0</v>
      </c>
      <c r="AG1061">
        <f>VLOOKUP(Table9[[#This Row],[Shortname]], Comp[], 30, FALSE)</f>
        <v>0</v>
      </c>
      <c r="AH1061">
        <f>VLOOKUP(Table9[[#This Row],[Shortname]], Comp[], 31, FALSE)</f>
        <v>0</v>
      </c>
    </row>
    <row r="1062" spans="1:34" x14ac:dyDescent="0.3">
      <c r="A1062" t="s">
        <v>5928</v>
      </c>
      <c r="B1062" t="s">
        <v>5929</v>
      </c>
      <c r="C1062" t="s">
        <v>5930</v>
      </c>
      <c r="D1062">
        <v>554.1</v>
      </c>
      <c r="E1062">
        <v>850</v>
      </c>
      <c r="F1062">
        <v>2E-3</v>
      </c>
      <c r="G1062">
        <v>-1</v>
      </c>
      <c r="H1062" t="s">
        <v>6983</v>
      </c>
      <c r="I1062">
        <f>VLOOKUP(Table9[[#This Row],[Shortname]], Comp[], 6, FALSE)</f>
        <v>954</v>
      </c>
      <c r="J1062" s="14">
        <f>VLOOKUP(Table9[[#This Row],[Shortname]], Comp[], 7, FALSE)</f>
        <v>44.9</v>
      </c>
      <c r="K1062">
        <f>VLOOKUP(Table9[[#This Row],[Shortname]], Comp[], 8, FALSE)</f>
        <v>30.1</v>
      </c>
      <c r="L1062">
        <f>VLOOKUP(Table9[[#This Row],[Shortname]], Comp[], 9, FALSE)</f>
        <v>11</v>
      </c>
      <c r="M1062">
        <f>VLOOKUP(Table9[[#This Row],[Shortname]], Comp[], 10, FALSE)</f>
        <v>5</v>
      </c>
      <c r="N1062">
        <f>VLOOKUP(Table9[[#This Row],[Shortname]], Comp[], 11, FALSE)</f>
        <v>4.0999999999999996</v>
      </c>
      <c r="O1062">
        <f>VLOOKUP(Table9[[#This Row],[Shortname]], Comp[],12, FALSE)</f>
        <v>3.9</v>
      </c>
      <c r="P1062">
        <f>VLOOKUP(Table9[[#This Row],[Shortname]], Comp[], 13, FALSE)</f>
        <v>1</v>
      </c>
      <c r="Q1062">
        <f>VLOOKUP(Table9[[#This Row],[Shortname]], Comp[], 14, FALSE)</f>
        <v>0</v>
      </c>
      <c r="R1062">
        <f>VLOOKUP(Table9[[#This Row],[Shortname]], Comp[], 15, FALSE)</f>
        <v>0</v>
      </c>
      <c r="S1062">
        <f>VLOOKUP(Table9[[#This Row],[Shortname]], Comp[], 16, FALSE)</f>
        <v>0</v>
      </c>
      <c r="T1062">
        <f>VLOOKUP(Table9[[#This Row],[Shortname]], Comp[], 17, FALSE)</f>
        <v>0</v>
      </c>
      <c r="U1062">
        <f>VLOOKUP(Table9[[#This Row],[Shortname]], Comp[], 18, FALSE)</f>
        <v>0</v>
      </c>
      <c r="V1062">
        <f>VLOOKUP(Table9[[#This Row],[Shortname]], Comp[], 19, FALSE)</f>
        <v>0</v>
      </c>
      <c r="W1062">
        <f>VLOOKUP(Table9[[#This Row],[Shortname]], Comp[], 20, FALSE)</f>
        <v>0</v>
      </c>
      <c r="X1062">
        <f>VLOOKUP(Table9[[#This Row],[Shortname]], Comp[], 21, FALSE)</f>
        <v>0</v>
      </c>
      <c r="Y1062">
        <f>VLOOKUP(Table9[[#This Row],[Shortname]], Comp[], 22, FALSE)</f>
        <v>0</v>
      </c>
      <c r="Z1062">
        <f>VLOOKUP(Table9[[#This Row],[Shortname]], Comp[], 23, FALSE)</f>
        <v>0</v>
      </c>
      <c r="AA1062">
        <f>VLOOKUP(Table9[[#This Row],[Shortname]], Comp[], 24, FALSE)</f>
        <v>0</v>
      </c>
      <c r="AB1062">
        <f>VLOOKUP(Table9[[#This Row],[Shortname]], Comp[], 25, FALSE)</f>
        <v>0</v>
      </c>
      <c r="AC1062">
        <f>VLOOKUP(Table9[[#This Row],[Shortname]], Comp[], 26, FALSE)</f>
        <v>0</v>
      </c>
      <c r="AD1062">
        <f>VLOOKUP(Table9[[#This Row],[Shortname]], Comp[], 27, FALSE)</f>
        <v>0</v>
      </c>
      <c r="AE1062">
        <f>VLOOKUP(Table9[[#This Row],[Shortname]], Comp[], 28, FALSE)</f>
        <v>0</v>
      </c>
      <c r="AF1062">
        <f>VLOOKUP(Table9[[#This Row],[Shortname]], Comp[], 29, FALSE)</f>
        <v>0</v>
      </c>
      <c r="AG1062">
        <f>VLOOKUP(Table9[[#This Row],[Shortname]], Comp[], 30, FALSE)</f>
        <v>0</v>
      </c>
      <c r="AH1062">
        <f>VLOOKUP(Table9[[#This Row],[Shortname]], Comp[], 31, FALSE)</f>
        <v>0</v>
      </c>
    </row>
    <row r="1063" spans="1:34" x14ac:dyDescent="0.3">
      <c r="A1063" t="s">
        <v>5933</v>
      </c>
      <c r="B1063" t="s">
        <v>5934</v>
      </c>
      <c r="C1063" t="s">
        <v>5935</v>
      </c>
      <c r="D1063">
        <v>370</v>
      </c>
      <c r="E1063">
        <v>25</v>
      </c>
      <c r="F1063">
        <v>2E-3</v>
      </c>
      <c r="G1063">
        <v>-1</v>
      </c>
      <c r="H1063" t="s">
        <v>6984</v>
      </c>
      <c r="I1063">
        <f>VLOOKUP(Table9[[#This Row],[Shortname]], Comp[], 6, FALSE)</f>
        <v>955</v>
      </c>
      <c r="J1063" s="14">
        <f>VLOOKUP(Table9[[#This Row],[Shortname]], Comp[], 7, FALSE)</f>
        <v>44.980000000000004</v>
      </c>
      <c r="K1063">
        <f>VLOOKUP(Table9[[#This Row],[Shortname]], Comp[], 8, FALSE)</f>
        <v>30.4</v>
      </c>
      <c r="L1063">
        <f>VLOOKUP(Table9[[#This Row],[Shortname]], Comp[], 9, FALSE)</f>
        <v>10.5</v>
      </c>
      <c r="M1063">
        <f>VLOOKUP(Table9[[#This Row],[Shortname]], Comp[], 10, FALSE)</f>
        <v>5.03</v>
      </c>
      <c r="N1063">
        <f>VLOOKUP(Table9[[#This Row],[Shortname]], Comp[], 11, FALSE)</f>
        <v>4.05</v>
      </c>
      <c r="O1063">
        <f>VLOOKUP(Table9[[#This Row],[Shortname]], Comp[],12, FALSE)</f>
        <v>3.9</v>
      </c>
      <c r="P1063">
        <f>VLOOKUP(Table9[[#This Row],[Shortname]], Comp[], 13, FALSE)</f>
        <v>1</v>
      </c>
      <c r="Q1063">
        <f>VLOOKUP(Table9[[#This Row],[Shortname]], Comp[], 14, FALSE)</f>
        <v>0</v>
      </c>
      <c r="R1063">
        <f>VLOOKUP(Table9[[#This Row],[Shortname]], Comp[], 15, FALSE)</f>
        <v>0</v>
      </c>
      <c r="S1063">
        <f>VLOOKUP(Table9[[#This Row],[Shortname]], Comp[], 16, FALSE)</f>
        <v>0</v>
      </c>
      <c r="T1063">
        <f>VLOOKUP(Table9[[#This Row],[Shortname]], Comp[], 17, FALSE)</f>
        <v>0.09</v>
      </c>
      <c r="U1063">
        <f>VLOOKUP(Table9[[#This Row],[Shortname]], Comp[], 18, FALSE)</f>
        <v>0</v>
      </c>
      <c r="V1063">
        <f>VLOOKUP(Table9[[#This Row],[Shortname]], Comp[], 19, FALSE)</f>
        <v>0.05</v>
      </c>
      <c r="W1063">
        <f>VLOOKUP(Table9[[#This Row],[Shortname]], Comp[], 20, FALSE)</f>
        <v>0</v>
      </c>
      <c r="X1063">
        <f>VLOOKUP(Table9[[#This Row],[Shortname]], Comp[], 21, FALSE)</f>
        <v>0</v>
      </c>
      <c r="Y1063">
        <f>VLOOKUP(Table9[[#This Row],[Shortname]], Comp[], 22, FALSE)</f>
        <v>0</v>
      </c>
      <c r="Z1063">
        <f>VLOOKUP(Table9[[#This Row],[Shortname]], Comp[], 23, FALSE)</f>
        <v>0</v>
      </c>
      <c r="AA1063">
        <f>VLOOKUP(Table9[[#This Row],[Shortname]], Comp[], 24, FALSE)</f>
        <v>0</v>
      </c>
      <c r="AB1063">
        <f>VLOOKUP(Table9[[#This Row],[Shortname]], Comp[], 25, FALSE)</f>
        <v>0</v>
      </c>
      <c r="AC1063">
        <f>VLOOKUP(Table9[[#This Row],[Shortname]], Comp[], 26, FALSE)</f>
        <v>0</v>
      </c>
      <c r="AD1063">
        <f>VLOOKUP(Table9[[#This Row],[Shortname]], Comp[], 27, FALSE)</f>
        <v>0</v>
      </c>
      <c r="AE1063">
        <f>VLOOKUP(Table9[[#This Row],[Shortname]], Comp[], 28, FALSE)</f>
        <v>0</v>
      </c>
      <c r="AF1063">
        <f>VLOOKUP(Table9[[#This Row],[Shortname]], Comp[], 29, FALSE)</f>
        <v>0</v>
      </c>
      <c r="AG1063">
        <f>VLOOKUP(Table9[[#This Row],[Shortname]], Comp[], 30, FALSE)</f>
        <v>0</v>
      </c>
      <c r="AH1063">
        <f>VLOOKUP(Table9[[#This Row],[Shortname]], Comp[], 31, FALSE)</f>
        <v>0</v>
      </c>
    </row>
    <row r="1064" spans="1:34" x14ac:dyDescent="0.3">
      <c r="A1064" t="s">
        <v>5933</v>
      </c>
      <c r="B1064" t="s">
        <v>5934</v>
      </c>
      <c r="C1064" t="s">
        <v>5935</v>
      </c>
      <c r="D1064">
        <v>480</v>
      </c>
      <c r="E1064">
        <v>600</v>
      </c>
      <c r="F1064">
        <v>2E-3</v>
      </c>
      <c r="G1064">
        <v>-1</v>
      </c>
      <c r="H1064" t="s">
        <v>6984</v>
      </c>
      <c r="I1064">
        <f>VLOOKUP(Table9[[#This Row],[Shortname]], Comp[], 6, FALSE)</f>
        <v>955</v>
      </c>
      <c r="J1064" s="14">
        <f>VLOOKUP(Table9[[#This Row],[Shortname]], Comp[], 7, FALSE)</f>
        <v>44.980000000000004</v>
      </c>
      <c r="K1064">
        <f>VLOOKUP(Table9[[#This Row],[Shortname]], Comp[], 8, FALSE)</f>
        <v>30.4</v>
      </c>
      <c r="L1064">
        <f>VLOOKUP(Table9[[#This Row],[Shortname]], Comp[], 9, FALSE)</f>
        <v>10.5</v>
      </c>
      <c r="M1064">
        <f>VLOOKUP(Table9[[#This Row],[Shortname]], Comp[], 10, FALSE)</f>
        <v>5.03</v>
      </c>
      <c r="N1064">
        <f>VLOOKUP(Table9[[#This Row],[Shortname]], Comp[], 11, FALSE)</f>
        <v>4.05</v>
      </c>
      <c r="O1064">
        <f>VLOOKUP(Table9[[#This Row],[Shortname]], Comp[],12, FALSE)</f>
        <v>3.9</v>
      </c>
      <c r="P1064">
        <f>VLOOKUP(Table9[[#This Row],[Shortname]], Comp[], 13, FALSE)</f>
        <v>1</v>
      </c>
      <c r="Q1064">
        <f>VLOOKUP(Table9[[#This Row],[Shortname]], Comp[], 14, FALSE)</f>
        <v>0</v>
      </c>
      <c r="R1064">
        <f>VLOOKUP(Table9[[#This Row],[Shortname]], Comp[], 15, FALSE)</f>
        <v>0</v>
      </c>
      <c r="S1064">
        <f>VLOOKUP(Table9[[#This Row],[Shortname]], Comp[], 16, FALSE)</f>
        <v>0</v>
      </c>
      <c r="T1064">
        <f>VLOOKUP(Table9[[#This Row],[Shortname]], Comp[], 17, FALSE)</f>
        <v>0.09</v>
      </c>
      <c r="U1064">
        <f>VLOOKUP(Table9[[#This Row],[Shortname]], Comp[], 18, FALSE)</f>
        <v>0</v>
      </c>
      <c r="V1064">
        <f>VLOOKUP(Table9[[#This Row],[Shortname]], Comp[], 19, FALSE)</f>
        <v>0.05</v>
      </c>
      <c r="W1064">
        <f>VLOOKUP(Table9[[#This Row],[Shortname]], Comp[], 20, FALSE)</f>
        <v>0</v>
      </c>
      <c r="X1064">
        <f>VLOOKUP(Table9[[#This Row],[Shortname]], Comp[], 21, FALSE)</f>
        <v>0</v>
      </c>
      <c r="Y1064">
        <f>VLOOKUP(Table9[[#This Row],[Shortname]], Comp[], 22, FALSE)</f>
        <v>0</v>
      </c>
      <c r="Z1064">
        <f>VLOOKUP(Table9[[#This Row],[Shortname]], Comp[], 23, FALSE)</f>
        <v>0</v>
      </c>
      <c r="AA1064">
        <f>VLOOKUP(Table9[[#This Row],[Shortname]], Comp[], 24, FALSE)</f>
        <v>0</v>
      </c>
      <c r="AB1064">
        <f>VLOOKUP(Table9[[#This Row],[Shortname]], Comp[], 25, FALSE)</f>
        <v>0</v>
      </c>
      <c r="AC1064">
        <f>VLOOKUP(Table9[[#This Row],[Shortname]], Comp[], 26, FALSE)</f>
        <v>0</v>
      </c>
      <c r="AD1064">
        <f>VLOOKUP(Table9[[#This Row],[Shortname]], Comp[], 27, FALSE)</f>
        <v>0</v>
      </c>
      <c r="AE1064">
        <f>VLOOKUP(Table9[[#This Row],[Shortname]], Comp[], 28, FALSE)</f>
        <v>0</v>
      </c>
      <c r="AF1064">
        <f>VLOOKUP(Table9[[#This Row],[Shortname]], Comp[], 29, FALSE)</f>
        <v>0</v>
      </c>
      <c r="AG1064">
        <f>VLOOKUP(Table9[[#This Row],[Shortname]], Comp[], 30, FALSE)</f>
        <v>0</v>
      </c>
      <c r="AH1064">
        <f>VLOOKUP(Table9[[#This Row],[Shortname]], Comp[], 31, FALSE)</f>
        <v>0</v>
      </c>
    </row>
    <row r="1065" spans="1:34" x14ac:dyDescent="0.3">
      <c r="A1065" t="s">
        <v>5933</v>
      </c>
      <c r="B1065" t="s">
        <v>5934</v>
      </c>
      <c r="C1065" t="s">
        <v>5935</v>
      </c>
      <c r="D1065">
        <v>560</v>
      </c>
      <c r="E1065">
        <v>750</v>
      </c>
      <c r="F1065">
        <v>2E-3</v>
      </c>
      <c r="G1065">
        <v>-1</v>
      </c>
      <c r="H1065" t="s">
        <v>6984</v>
      </c>
      <c r="I1065">
        <f>VLOOKUP(Table9[[#This Row],[Shortname]], Comp[], 6, FALSE)</f>
        <v>955</v>
      </c>
      <c r="J1065" s="14">
        <f>VLOOKUP(Table9[[#This Row],[Shortname]], Comp[], 7, FALSE)</f>
        <v>44.980000000000004</v>
      </c>
      <c r="K1065">
        <f>VLOOKUP(Table9[[#This Row],[Shortname]], Comp[], 8, FALSE)</f>
        <v>30.4</v>
      </c>
      <c r="L1065">
        <f>VLOOKUP(Table9[[#This Row],[Shortname]], Comp[], 9, FALSE)</f>
        <v>10.5</v>
      </c>
      <c r="M1065">
        <f>VLOOKUP(Table9[[#This Row],[Shortname]], Comp[], 10, FALSE)</f>
        <v>5.03</v>
      </c>
      <c r="N1065">
        <f>VLOOKUP(Table9[[#This Row],[Shortname]], Comp[], 11, FALSE)</f>
        <v>4.05</v>
      </c>
      <c r="O1065">
        <f>VLOOKUP(Table9[[#This Row],[Shortname]], Comp[],12, FALSE)</f>
        <v>3.9</v>
      </c>
      <c r="P1065">
        <f>VLOOKUP(Table9[[#This Row],[Shortname]], Comp[], 13, FALSE)</f>
        <v>1</v>
      </c>
      <c r="Q1065">
        <f>VLOOKUP(Table9[[#This Row],[Shortname]], Comp[], 14, FALSE)</f>
        <v>0</v>
      </c>
      <c r="R1065">
        <f>VLOOKUP(Table9[[#This Row],[Shortname]], Comp[], 15, FALSE)</f>
        <v>0</v>
      </c>
      <c r="S1065">
        <f>VLOOKUP(Table9[[#This Row],[Shortname]], Comp[], 16, FALSE)</f>
        <v>0</v>
      </c>
      <c r="T1065">
        <f>VLOOKUP(Table9[[#This Row],[Shortname]], Comp[], 17, FALSE)</f>
        <v>0.09</v>
      </c>
      <c r="U1065">
        <f>VLOOKUP(Table9[[#This Row],[Shortname]], Comp[], 18, FALSE)</f>
        <v>0</v>
      </c>
      <c r="V1065">
        <f>VLOOKUP(Table9[[#This Row],[Shortname]], Comp[], 19, FALSE)</f>
        <v>0.05</v>
      </c>
      <c r="W1065">
        <f>VLOOKUP(Table9[[#This Row],[Shortname]], Comp[], 20, FALSE)</f>
        <v>0</v>
      </c>
      <c r="X1065">
        <f>VLOOKUP(Table9[[#This Row],[Shortname]], Comp[], 21, FALSE)</f>
        <v>0</v>
      </c>
      <c r="Y1065">
        <f>VLOOKUP(Table9[[#This Row],[Shortname]], Comp[], 22, FALSE)</f>
        <v>0</v>
      </c>
      <c r="Z1065">
        <f>VLOOKUP(Table9[[#This Row],[Shortname]], Comp[], 23, FALSE)</f>
        <v>0</v>
      </c>
      <c r="AA1065">
        <f>VLOOKUP(Table9[[#This Row],[Shortname]], Comp[], 24, FALSE)</f>
        <v>0</v>
      </c>
      <c r="AB1065">
        <f>VLOOKUP(Table9[[#This Row],[Shortname]], Comp[], 25, FALSE)</f>
        <v>0</v>
      </c>
      <c r="AC1065">
        <f>VLOOKUP(Table9[[#This Row],[Shortname]], Comp[], 26, FALSE)</f>
        <v>0</v>
      </c>
      <c r="AD1065">
        <f>VLOOKUP(Table9[[#This Row],[Shortname]], Comp[], 27, FALSE)</f>
        <v>0</v>
      </c>
      <c r="AE1065">
        <f>VLOOKUP(Table9[[#This Row],[Shortname]], Comp[], 28, FALSE)</f>
        <v>0</v>
      </c>
      <c r="AF1065">
        <f>VLOOKUP(Table9[[#This Row],[Shortname]], Comp[], 29, FALSE)</f>
        <v>0</v>
      </c>
      <c r="AG1065">
        <f>VLOOKUP(Table9[[#This Row],[Shortname]], Comp[], 30, FALSE)</f>
        <v>0</v>
      </c>
      <c r="AH1065">
        <f>VLOOKUP(Table9[[#This Row],[Shortname]], Comp[], 31, FALSE)</f>
        <v>0</v>
      </c>
    </row>
    <row r="1066" spans="1:34" x14ac:dyDescent="0.3">
      <c r="A1066" t="s">
        <v>5933</v>
      </c>
      <c r="B1066" t="s">
        <v>5934</v>
      </c>
      <c r="C1066" t="s">
        <v>5935</v>
      </c>
      <c r="D1066">
        <v>640</v>
      </c>
      <c r="E1066">
        <v>850</v>
      </c>
      <c r="F1066">
        <v>2E-3</v>
      </c>
      <c r="G1066">
        <v>-1</v>
      </c>
      <c r="H1066" t="s">
        <v>6984</v>
      </c>
      <c r="I1066">
        <f>VLOOKUP(Table9[[#This Row],[Shortname]], Comp[], 6, FALSE)</f>
        <v>955</v>
      </c>
      <c r="J1066" s="14">
        <f>VLOOKUP(Table9[[#This Row],[Shortname]], Comp[], 7, FALSE)</f>
        <v>44.980000000000004</v>
      </c>
      <c r="K1066">
        <f>VLOOKUP(Table9[[#This Row],[Shortname]], Comp[], 8, FALSE)</f>
        <v>30.4</v>
      </c>
      <c r="L1066">
        <f>VLOOKUP(Table9[[#This Row],[Shortname]], Comp[], 9, FALSE)</f>
        <v>10.5</v>
      </c>
      <c r="M1066">
        <f>VLOOKUP(Table9[[#This Row],[Shortname]], Comp[], 10, FALSE)</f>
        <v>5.03</v>
      </c>
      <c r="N1066">
        <f>VLOOKUP(Table9[[#This Row],[Shortname]], Comp[], 11, FALSE)</f>
        <v>4.05</v>
      </c>
      <c r="O1066">
        <f>VLOOKUP(Table9[[#This Row],[Shortname]], Comp[],12, FALSE)</f>
        <v>3.9</v>
      </c>
      <c r="P1066">
        <f>VLOOKUP(Table9[[#This Row],[Shortname]], Comp[], 13, FALSE)</f>
        <v>1</v>
      </c>
      <c r="Q1066">
        <f>VLOOKUP(Table9[[#This Row],[Shortname]], Comp[], 14, FALSE)</f>
        <v>0</v>
      </c>
      <c r="R1066">
        <f>VLOOKUP(Table9[[#This Row],[Shortname]], Comp[], 15, FALSE)</f>
        <v>0</v>
      </c>
      <c r="S1066">
        <f>VLOOKUP(Table9[[#This Row],[Shortname]], Comp[], 16, FALSE)</f>
        <v>0</v>
      </c>
      <c r="T1066">
        <f>VLOOKUP(Table9[[#This Row],[Shortname]], Comp[], 17, FALSE)</f>
        <v>0.09</v>
      </c>
      <c r="U1066">
        <f>VLOOKUP(Table9[[#This Row],[Shortname]], Comp[], 18, FALSE)</f>
        <v>0</v>
      </c>
      <c r="V1066">
        <f>VLOOKUP(Table9[[#This Row],[Shortname]], Comp[], 19, FALSE)</f>
        <v>0.05</v>
      </c>
      <c r="W1066">
        <f>VLOOKUP(Table9[[#This Row],[Shortname]], Comp[], 20, FALSE)</f>
        <v>0</v>
      </c>
      <c r="X1066">
        <f>VLOOKUP(Table9[[#This Row],[Shortname]], Comp[], 21, FALSE)</f>
        <v>0</v>
      </c>
      <c r="Y1066">
        <f>VLOOKUP(Table9[[#This Row],[Shortname]], Comp[], 22, FALSE)</f>
        <v>0</v>
      </c>
      <c r="Z1066">
        <f>VLOOKUP(Table9[[#This Row],[Shortname]], Comp[], 23, FALSE)</f>
        <v>0</v>
      </c>
      <c r="AA1066">
        <f>VLOOKUP(Table9[[#This Row],[Shortname]], Comp[], 24, FALSE)</f>
        <v>0</v>
      </c>
      <c r="AB1066">
        <f>VLOOKUP(Table9[[#This Row],[Shortname]], Comp[], 25, FALSE)</f>
        <v>0</v>
      </c>
      <c r="AC1066">
        <f>VLOOKUP(Table9[[#This Row],[Shortname]], Comp[], 26, FALSE)</f>
        <v>0</v>
      </c>
      <c r="AD1066">
        <f>VLOOKUP(Table9[[#This Row],[Shortname]], Comp[], 27, FALSE)</f>
        <v>0</v>
      </c>
      <c r="AE1066">
        <f>VLOOKUP(Table9[[#This Row],[Shortname]], Comp[], 28, FALSE)</f>
        <v>0</v>
      </c>
      <c r="AF1066">
        <f>VLOOKUP(Table9[[#This Row],[Shortname]], Comp[], 29, FALSE)</f>
        <v>0</v>
      </c>
      <c r="AG1066">
        <f>VLOOKUP(Table9[[#This Row],[Shortname]], Comp[], 30, FALSE)</f>
        <v>0</v>
      </c>
      <c r="AH1066">
        <f>VLOOKUP(Table9[[#This Row],[Shortname]], Comp[], 31, FALSE)</f>
        <v>0</v>
      </c>
    </row>
    <row r="1067" spans="1:34" x14ac:dyDescent="0.3">
      <c r="A1067" t="s">
        <v>5933</v>
      </c>
      <c r="B1067" t="s">
        <v>5934</v>
      </c>
      <c r="C1067" t="s">
        <v>5935</v>
      </c>
      <c r="D1067">
        <v>620</v>
      </c>
      <c r="E1067">
        <v>900</v>
      </c>
      <c r="F1067">
        <v>2E-3</v>
      </c>
      <c r="G1067">
        <v>-1</v>
      </c>
      <c r="H1067" t="s">
        <v>6984</v>
      </c>
      <c r="I1067">
        <f>VLOOKUP(Table9[[#This Row],[Shortname]], Comp[], 6, FALSE)</f>
        <v>955</v>
      </c>
      <c r="J1067" s="14">
        <f>VLOOKUP(Table9[[#This Row],[Shortname]], Comp[], 7, FALSE)</f>
        <v>44.980000000000004</v>
      </c>
      <c r="K1067">
        <f>VLOOKUP(Table9[[#This Row],[Shortname]], Comp[], 8, FALSE)</f>
        <v>30.4</v>
      </c>
      <c r="L1067">
        <f>VLOOKUP(Table9[[#This Row],[Shortname]], Comp[], 9, FALSE)</f>
        <v>10.5</v>
      </c>
      <c r="M1067">
        <f>VLOOKUP(Table9[[#This Row],[Shortname]], Comp[], 10, FALSE)</f>
        <v>5.03</v>
      </c>
      <c r="N1067">
        <f>VLOOKUP(Table9[[#This Row],[Shortname]], Comp[], 11, FALSE)</f>
        <v>4.05</v>
      </c>
      <c r="O1067">
        <f>VLOOKUP(Table9[[#This Row],[Shortname]], Comp[],12, FALSE)</f>
        <v>3.9</v>
      </c>
      <c r="P1067">
        <f>VLOOKUP(Table9[[#This Row],[Shortname]], Comp[], 13, FALSE)</f>
        <v>1</v>
      </c>
      <c r="Q1067">
        <f>VLOOKUP(Table9[[#This Row],[Shortname]], Comp[], 14, FALSE)</f>
        <v>0</v>
      </c>
      <c r="R1067">
        <f>VLOOKUP(Table9[[#This Row],[Shortname]], Comp[], 15, FALSE)</f>
        <v>0</v>
      </c>
      <c r="S1067">
        <f>VLOOKUP(Table9[[#This Row],[Shortname]], Comp[], 16, FALSE)</f>
        <v>0</v>
      </c>
      <c r="T1067">
        <f>VLOOKUP(Table9[[#This Row],[Shortname]], Comp[], 17, FALSE)</f>
        <v>0.09</v>
      </c>
      <c r="U1067">
        <f>VLOOKUP(Table9[[#This Row],[Shortname]], Comp[], 18, FALSE)</f>
        <v>0</v>
      </c>
      <c r="V1067">
        <f>VLOOKUP(Table9[[#This Row],[Shortname]], Comp[], 19, FALSE)</f>
        <v>0.05</v>
      </c>
      <c r="W1067">
        <f>VLOOKUP(Table9[[#This Row],[Shortname]], Comp[], 20, FALSE)</f>
        <v>0</v>
      </c>
      <c r="X1067">
        <f>VLOOKUP(Table9[[#This Row],[Shortname]], Comp[], 21, FALSE)</f>
        <v>0</v>
      </c>
      <c r="Y1067">
        <f>VLOOKUP(Table9[[#This Row],[Shortname]], Comp[], 22, FALSE)</f>
        <v>0</v>
      </c>
      <c r="Z1067">
        <f>VLOOKUP(Table9[[#This Row],[Shortname]], Comp[], 23, FALSE)</f>
        <v>0</v>
      </c>
      <c r="AA1067">
        <f>VLOOKUP(Table9[[#This Row],[Shortname]], Comp[], 24, FALSE)</f>
        <v>0</v>
      </c>
      <c r="AB1067">
        <f>VLOOKUP(Table9[[#This Row],[Shortname]], Comp[], 25, FALSE)</f>
        <v>0</v>
      </c>
      <c r="AC1067">
        <f>VLOOKUP(Table9[[#This Row],[Shortname]], Comp[], 26, FALSE)</f>
        <v>0</v>
      </c>
      <c r="AD1067">
        <f>VLOOKUP(Table9[[#This Row],[Shortname]], Comp[], 27, FALSE)</f>
        <v>0</v>
      </c>
      <c r="AE1067">
        <f>VLOOKUP(Table9[[#This Row],[Shortname]], Comp[], 28, FALSE)</f>
        <v>0</v>
      </c>
      <c r="AF1067">
        <f>VLOOKUP(Table9[[#This Row],[Shortname]], Comp[], 29, FALSE)</f>
        <v>0</v>
      </c>
      <c r="AG1067">
        <f>VLOOKUP(Table9[[#This Row],[Shortname]], Comp[], 30, FALSE)</f>
        <v>0</v>
      </c>
      <c r="AH1067">
        <f>VLOOKUP(Table9[[#This Row],[Shortname]], Comp[], 31, FALSE)</f>
        <v>0</v>
      </c>
    </row>
    <row r="1068" spans="1:34" x14ac:dyDescent="0.3">
      <c r="A1068" t="s">
        <v>5933</v>
      </c>
      <c r="B1068" t="s">
        <v>5934</v>
      </c>
      <c r="C1068" t="s">
        <v>5935</v>
      </c>
      <c r="D1068">
        <v>450</v>
      </c>
      <c r="E1068">
        <v>1000</v>
      </c>
      <c r="F1068">
        <v>2E-3</v>
      </c>
      <c r="G1068">
        <v>-1</v>
      </c>
      <c r="H1068" t="s">
        <v>6984</v>
      </c>
      <c r="I1068">
        <f>VLOOKUP(Table9[[#This Row],[Shortname]], Comp[], 6, FALSE)</f>
        <v>955</v>
      </c>
      <c r="J1068" s="14">
        <f>VLOOKUP(Table9[[#This Row],[Shortname]], Comp[], 7, FALSE)</f>
        <v>44.980000000000004</v>
      </c>
      <c r="K1068">
        <f>VLOOKUP(Table9[[#This Row],[Shortname]], Comp[], 8, FALSE)</f>
        <v>30.4</v>
      </c>
      <c r="L1068">
        <f>VLOOKUP(Table9[[#This Row],[Shortname]], Comp[], 9, FALSE)</f>
        <v>10.5</v>
      </c>
      <c r="M1068">
        <f>VLOOKUP(Table9[[#This Row],[Shortname]], Comp[], 10, FALSE)</f>
        <v>5.03</v>
      </c>
      <c r="N1068">
        <f>VLOOKUP(Table9[[#This Row],[Shortname]], Comp[], 11, FALSE)</f>
        <v>4.05</v>
      </c>
      <c r="O1068">
        <f>VLOOKUP(Table9[[#This Row],[Shortname]], Comp[],12, FALSE)</f>
        <v>3.9</v>
      </c>
      <c r="P1068">
        <f>VLOOKUP(Table9[[#This Row],[Shortname]], Comp[], 13, FALSE)</f>
        <v>1</v>
      </c>
      <c r="Q1068">
        <f>VLOOKUP(Table9[[#This Row],[Shortname]], Comp[], 14, FALSE)</f>
        <v>0</v>
      </c>
      <c r="R1068">
        <f>VLOOKUP(Table9[[#This Row],[Shortname]], Comp[], 15, FALSE)</f>
        <v>0</v>
      </c>
      <c r="S1068">
        <f>VLOOKUP(Table9[[#This Row],[Shortname]], Comp[], 16, FALSE)</f>
        <v>0</v>
      </c>
      <c r="T1068">
        <f>VLOOKUP(Table9[[#This Row],[Shortname]], Comp[], 17, FALSE)</f>
        <v>0.09</v>
      </c>
      <c r="U1068">
        <f>VLOOKUP(Table9[[#This Row],[Shortname]], Comp[], 18, FALSE)</f>
        <v>0</v>
      </c>
      <c r="V1068">
        <f>VLOOKUP(Table9[[#This Row],[Shortname]], Comp[], 19, FALSE)</f>
        <v>0.05</v>
      </c>
      <c r="W1068">
        <f>VLOOKUP(Table9[[#This Row],[Shortname]], Comp[], 20, FALSE)</f>
        <v>0</v>
      </c>
      <c r="X1068">
        <f>VLOOKUP(Table9[[#This Row],[Shortname]], Comp[], 21, FALSE)</f>
        <v>0</v>
      </c>
      <c r="Y1068">
        <f>VLOOKUP(Table9[[#This Row],[Shortname]], Comp[], 22, FALSE)</f>
        <v>0</v>
      </c>
      <c r="Z1068">
        <f>VLOOKUP(Table9[[#This Row],[Shortname]], Comp[], 23, FALSE)</f>
        <v>0</v>
      </c>
      <c r="AA1068">
        <f>VLOOKUP(Table9[[#This Row],[Shortname]], Comp[], 24, FALSE)</f>
        <v>0</v>
      </c>
      <c r="AB1068">
        <f>VLOOKUP(Table9[[#This Row],[Shortname]], Comp[], 25, FALSE)</f>
        <v>0</v>
      </c>
      <c r="AC1068">
        <f>VLOOKUP(Table9[[#This Row],[Shortname]], Comp[], 26, FALSE)</f>
        <v>0</v>
      </c>
      <c r="AD1068">
        <f>VLOOKUP(Table9[[#This Row],[Shortname]], Comp[], 27, FALSE)</f>
        <v>0</v>
      </c>
      <c r="AE1068">
        <f>VLOOKUP(Table9[[#This Row],[Shortname]], Comp[], 28, FALSE)</f>
        <v>0</v>
      </c>
      <c r="AF1068">
        <f>VLOOKUP(Table9[[#This Row],[Shortname]], Comp[], 29, FALSE)</f>
        <v>0</v>
      </c>
      <c r="AG1068">
        <f>VLOOKUP(Table9[[#This Row],[Shortname]], Comp[], 30, FALSE)</f>
        <v>0</v>
      </c>
      <c r="AH1068">
        <f>VLOOKUP(Table9[[#This Row],[Shortname]], Comp[], 31, FALSE)</f>
        <v>0</v>
      </c>
    </row>
    <row r="1069" spans="1:34" x14ac:dyDescent="0.3">
      <c r="A1069" t="s">
        <v>5951</v>
      </c>
      <c r="B1069" t="s">
        <v>5952</v>
      </c>
      <c r="C1069" t="s">
        <v>5939</v>
      </c>
      <c r="D1069">
        <v>776</v>
      </c>
      <c r="E1069">
        <v>25</v>
      </c>
      <c r="F1069">
        <v>1E-4</v>
      </c>
      <c r="G1069">
        <v>1</v>
      </c>
      <c r="H1069" t="s">
        <v>6803</v>
      </c>
      <c r="I1069">
        <f>VLOOKUP(Table9[[#This Row],[Shortname]], Comp[], 6, FALSE)</f>
        <v>959</v>
      </c>
      <c r="J1069" s="14">
        <f>VLOOKUP(Table9[[#This Row],[Shortname]], Comp[], 7, FALSE)</f>
        <v>45.2</v>
      </c>
      <c r="K1069">
        <f>VLOOKUP(Table9[[#This Row],[Shortname]], Comp[], 8, FALSE)</f>
        <v>29.3</v>
      </c>
      <c r="L1069">
        <f>VLOOKUP(Table9[[#This Row],[Shortname]], Comp[], 9, FALSE)</f>
        <v>4.7</v>
      </c>
      <c r="M1069">
        <f>VLOOKUP(Table9[[#This Row],[Shortname]], Comp[], 10, FALSE)</f>
        <v>15.5</v>
      </c>
      <c r="N1069">
        <f>VLOOKUP(Table9[[#This Row],[Shortname]], Comp[], 11, FALSE)</f>
        <v>0</v>
      </c>
      <c r="O1069">
        <f>VLOOKUP(Table9[[#This Row],[Shortname]], Comp[],12, FALSE)</f>
        <v>5.3</v>
      </c>
      <c r="P1069">
        <f>VLOOKUP(Table9[[#This Row],[Shortname]], Comp[], 13, FALSE)</f>
        <v>0</v>
      </c>
      <c r="Q1069">
        <f>VLOOKUP(Table9[[#This Row],[Shortname]], Comp[], 14, FALSE)</f>
        <v>0</v>
      </c>
      <c r="R1069">
        <f>VLOOKUP(Table9[[#This Row],[Shortname]], Comp[], 15, FALSE)</f>
        <v>0</v>
      </c>
      <c r="S1069">
        <f>VLOOKUP(Table9[[#This Row],[Shortname]], Comp[], 16, FALSE)</f>
        <v>0</v>
      </c>
      <c r="T1069">
        <f>VLOOKUP(Table9[[#This Row],[Shortname]], Comp[], 17, FALSE)</f>
        <v>0</v>
      </c>
      <c r="U1069">
        <f>VLOOKUP(Table9[[#This Row],[Shortname]], Comp[], 18, FALSE)</f>
        <v>0</v>
      </c>
      <c r="V1069">
        <f>VLOOKUP(Table9[[#This Row],[Shortname]], Comp[], 19, FALSE)</f>
        <v>0</v>
      </c>
      <c r="W1069">
        <f>VLOOKUP(Table9[[#This Row],[Shortname]], Comp[], 20, FALSE)</f>
        <v>0</v>
      </c>
      <c r="X1069">
        <f>VLOOKUP(Table9[[#This Row],[Shortname]], Comp[], 21, FALSE)</f>
        <v>0</v>
      </c>
      <c r="Y1069">
        <f>VLOOKUP(Table9[[#This Row],[Shortname]], Comp[], 22, FALSE)</f>
        <v>0</v>
      </c>
      <c r="Z1069">
        <f>VLOOKUP(Table9[[#This Row],[Shortname]], Comp[], 23, FALSE)</f>
        <v>0</v>
      </c>
      <c r="AA1069">
        <f>VLOOKUP(Table9[[#This Row],[Shortname]], Comp[], 24, FALSE)</f>
        <v>0</v>
      </c>
      <c r="AB1069">
        <f>VLOOKUP(Table9[[#This Row],[Shortname]], Comp[], 25, FALSE)</f>
        <v>0</v>
      </c>
      <c r="AC1069">
        <f>VLOOKUP(Table9[[#This Row],[Shortname]], Comp[], 26, FALSE)</f>
        <v>0</v>
      </c>
      <c r="AD1069">
        <f>VLOOKUP(Table9[[#This Row],[Shortname]], Comp[], 27, FALSE)</f>
        <v>0</v>
      </c>
      <c r="AE1069">
        <f>VLOOKUP(Table9[[#This Row],[Shortname]], Comp[], 28, FALSE)</f>
        <v>0</v>
      </c>
      <c r="AF1069">
        <f>VLOOKUP(Table9[[#This Row],[Shortname]], Comp[], 29, FALSE)</f>
        <v>0</v>
      </c>
      <c r="AG1069">
        <f>VLOOKUP(Table9[[#This Row],[Shortname]], Comp[], 30, FALSE)</f>
        <v>0</v>
      </c>
      <c r="AH1069">
        <f>VLOOKUP(Table9[[#This Row],[Shortname]], Comp[], 31, FALSE)</f>
        <v>0</v>
      </c>
    </row>
    <row r="1070" spans="1:34" x14ac:dyDescent="0.3">
      <c r="A1070" t="s">
        <v>5951</v>
      </c>
      <c r="B1070" t="s">
        <v>5952</v>
      </c>
      <c r="C1070" t="s">
        <v>5939</v>
      </c>
      <c r="D1070">
        <v>677</v>
      </c>
      <c r="E1070">
        <v>600</v>
      </c>
      <c r="F1070">
        <v>1E-4</v>
      </c>
      <c r="G1070">
        <v>1</v>
      </c>
      <c r="H1070" t="s">
        <v>6803</v>
      </c>
      <c r="I1070">
        <f>VLOOKUP(Table9[[#This Row],[Shortname]], Comp[], 6, FALSE)</f>
        <v>959</v>
      </c>
      <c r="J1070" s="14">
        <f>VLOOKUP(Table9[[#This Row],[Shortname]], Comp[], 7, FALSE)</f>
        <v>45.2</v>
      </c>
      <c r="K1070">
        <f>VLOOKUP(Table9[[#This Row],[Shortname]], Comp[], 8, FALSE)</f>
        <v>29.3</v>
      </c>
      <c r="L1070">
        <f>VLOOKUP(Table9[[#This Row],[Shortname]], Comp[], 9, FALSE)</f>
        <v>4.7</v>
      </c>
      <c r="M1070">
        <f>VLOOKUP(Table9[[#This Row],[Shortname]], Comp[], 10, FALSE)</f>
        <v>15.5</v>
      </c>
      <c r="N1070">
        <f>VLOOKUP(Table9[[#This Row],[Shortname]], Comp[], 11, FALSE)</f>
        <v>0</v>
      </c>
      <c r="O1070">
        <f>VLOOKUP(Table9[[#This Row],[Shortname]], Comp[],12, FALSE)</f>
        <v>5.3</v>
      </c>
      <c r="P1070">
        <f>VLOOKUP(Table9[[#This Row],[Shortname]], Comp[], 13, FALSE)</f>
        <v>0</v>
      </c>
      <c r="Q1070">
        <f>VLOOKUP(Table9[[#This Row],[Shortname]], Comp[], 14, FALSE)</f>
        <v>0</v>
      </c>
      <c r="R1070">
        <f>VLOOKUP(Table9[[#This Row],[Shortname]], Comp[], 15, FALSE)</f>
        <v>0</v>
      </c>
      <c r="S1070">
        <f>VLOOKUP(Table9[[#This Row],[Shortname]], Comp[], 16, FALSE)</f>
        <v>0</v>
      </c>
      <c r="T1070">
        <f>VLOOKUP(Table9[[#This Row],[Shortname]], Comp[], 17, FALSE)</f>
        <v>0</v>
      </c>
      <c r="U1070">
        <f>VLOOKUP(Table9[[#This Row],[Shortname]], Comp[], 18, FALSE)</f>
        <v>0</v>
      </c>
      <c r="V1070">
        <f>VLOOKUP(Table9[[#This Row],[Shortname]], Comp[], 19, FALSE)</f>
        <v>0</v>
      </c>
      <c r="W1070">
        <f>VLOOKUP(Table9[[#This Row],[Shortname]], Comp[], 20, FALSE)</f>
        <v>0</v>
      </c>
      <c r="X1070">
        <f>VLOOKUP(Table9[[#This Row],[Shortname]], Comp[], 21, FALSE)</f>
        <v>0</v>
      </c>
      <c r="Y1070">
        <f>VLOOKUP(Table9[[#This Row],[Shortname]], Comp[], 22, FALSE)</f>
        <v>0</v>
      </c>
      <c r="Z1070">
        <f>VLOOKUP(Table9[[#This Row],[Shortname]], Comp[], 23, FALSE)</f>
        <v>0</v>
      </c>
      <c r="AA1070">
        <f>VLOOKUP(Table9[[#This Row],[Shortname]], Comp[], 24, FALSE)</f>
        <v>0</v>
      </c>
      <c r="AB1070">
        <f>VLOOKUP(Table9[[#This Row],[Shortname]], Comp[], 25, FALSE)</f>
        <v>0</v>
      </c>
      <c r="AC1070">
        <f>VLOOKUP(Table9[[#This Row],[Shortname]], Comp[], 26, FALSE)</f>
        <v>0</v>
      </c>
      <c r="AD1070">
        <f>VLOOKUP(Table9[[#This Row],[Shortname]], Comp[], 27, FALSE)</f>
        <v>0</v>
      </c>
      <c r="AE1070">
        <f>VLOOKUP(Table9[[#This Row],[Shortname]], Comp[], 28, FALSE)</f>
        <v>0</v>
      </c>
      <c r="AF1070">
        <f>VLOOKUP(Table9[[#This Row],[Shortname]], Comp[], 29, FALSE)</f>
        <v>0</v>
      </c>
      <c r="AG1070">
        <f>VLOOKUP(Table9[[#This Row],[Shortname]], Comp[], 30, FALSE)</f>
        <v>0</v>
      </c>
      <c r="AH1070">
        <f>VLOOKUP(Table9[[#This Row],[Shortname]], Comp[], 31, FALSE)</f>
        <v>0</v>
      </c>
    </row>
    <row r="1071" spans="1:34" x14ac:dyDescent="0.3">
      <c r="A1071" t="s">
        <v>5951</v>
      </c>
      <c r="B1071" t="s">
        <v>5952</v>
      </c>
      <c r="C1071" t="s">
        <v>5939</v>
      </c>
      <c r="D1071">
        <v>652</v>
      </c>
      <c r="E1071">
        <v>700</v>
      </c>
      <c r="F1071">
        <v>1E-4</v>
      </c>
      <c r="G1071">
        <v>1</v>
      </c>
      <c r="H1071" t="s">
        <v>6803</v>
      </c>
      <c r="I1071">
        <f>VLOOKUP(Table9[[#This Row],[Shortname]], Comp[], 6, FALSE)</f>
        <v>959</v>
      </c>
      <c r="J1071" s="14">
        <f>VLOOKUP(Table9[[#This Row],[Shortname]], Comp[], 7, FALSE)</f>
        <v>45.2</v>
      </c>
      <c r="K1071">
        <f>VLOOKUP(Table9[[#This Row],[Shortname]], Comp[], 8, FALSE)</f>
        <v>29.3</v>
      </c>
      <c r="L1071">
        <f>VLOOKUP(Table9[[#This Row],[Shortname]], Comp[], 9, FALSE)</f>
        <v>4.7</v>
      </c>
      <c r="M1071">
        <f>VLOOKUP(Table9[[#This Row],[Shortname]], Comp[], 10, FALSE)</f>
        <v>15.5</v>
      </c>
      <c r="N1071">
        <f>VLOOKUP(Table9[[#This Row],[Shortname]], Comp[], 11, FALSE)</f>
        <v>0</v>
      </c>
      <c r="O1071">
        <f>VLOOKUP(Table9[[#This Row],[Shortname]], Comp[],12, FALSE)</f>
        <v>5.3</v>
      </c>
      <c r="P1071">
        <f>VLOOKUP(Table9[[#This Row],[Shortname]], Comp[], 13, FALSE)</f>
        <v>0</v>
      </c>
      <c r="Q1071">
        <f>VLOOKUP(Table9[[#This Row],[Shortname]], Comp[], 14, FALSE)</f>
        <v>0</v>
      </c>
      <c r="R1071">
        <f>VLOOKUP(Table9[[#This Row],[Shortname]], Comp[], 15, FALSE)</f>
        <v>0</v>
      </c>
      <c r="S1071">
        <f>VLOOKUP(Table9[[#This Row],[Shortname]], Comp[], 16, FALSE)</f>
        <v>0</v>
      </c>
      <c r="T1071">
        <f>VLOOKUP(Table9[[#This Row],[Shortname]], Comp[], 17, FALSE)</f>
        <v>0</v>
      </c>
      <c r="U1071">
        <f>VLOOKUP(Table9[[#This Row],[Shortname]], Comp[], 18, FALSE)</f>
        <v>0</v>
      </c>
      <c r="V1071">
        <f>VLOOKUP(Table9[[#This Row],[Shortname]], Comp[], 19, FALSE)</f>
        <v>0</v>
      </c>
      <c r="W1071">
        <f>VLOOKUP(Table9[[#This Row],[Shortname]], Comp[], 20, FALSE)</f>
        <v>0</v>
      </c>
      <c r="X1071">
        <f>VLOOKUP(Table9[[#This Row],[Shortname]], Comp[], 21, FALSE)</f>
        <v>0</v>
      </c>
      <c r="Y1071">
        <f>VLOOKUP(Table9[[#This Row],[Shortname]], Comp[], 22, FALSE)</f>
        <v>0</v>
      </c>
      <c r="Z1071">
        <f>VLOOKUP(Table9[[#This Row],[Shortname]], Comp[], 23, FALSE)</f>
        <v>0</v>
      </c>
      <c r="AA1071">
        <f>VLOOKUP(Table9[[#This Row],[Shortname]], Comp[], 24, FALSE)</f>
        <v>0</v>
      </c>
      <c r="AB1071">
        <f>VLOOKUP(Table9[[#This Row],[Shortname]], Comp[], 25, FALSE)</f>
        <v>0</v>
      </c>
      <c r="AC1071">
        <f>VLOOKUP(Table9[[#This Row],[Shortname]], Comp[], 26, FALSE)</f>
        <v>0</v>
      </c>
      <c r="AD1071">
        <f>VLOOKUP(Table9[[#This Row],[Shortname]], Comp[], 27, FALSE)</f>
        <v>0</v>
      </c>
      <c r="AE1071">
        <f>VLOOKUP(Table9[[#This Row],[Shortname]], Comp[], 28, FALSE)</f>
        <v>0</v>
      </c>
      <c r="AF1071">
        <f>VLOOKUP(Table9[[#This Row],[Shortname]], Comp[], 29, FALSE)</f>
        <v>0</v>
      </c>
      <c r="AG1071">
        <f>VLOOKUP(Table9[[#This Row],[Shortname]], Comp[], 30, FALSE)</f>
        <v>0</v>
      </c>
      <c r="AH1071">
        <f>VLOOKUP(Table9[[#This Row],[Shortname]], Comp[], 31, FALSE)</f>
        <v>0</v>
      </c>
    </row>
    <row r="1072" spans="1:34" x14ac:dyDescent="0.3">
      <c r="A1072" t="s">
        <v>5951</v>
      </c>
      <c r="B1072" t="s">
        <v>5952</v>
      </c>
      <c r="C1072" t="s">
        <v>5939</v>
      </c>
      <c r="D1072">
        <v>625</v>
      </c>
      <c r="E1072">
        <v>750</v>
      </c>
      <c r="F1072">
        <v>1E-4</v>
      </c>
      <c r="G1072">
        <v>1</v>
      </c>
      <c r="H1072" t="s">
        <v>6803</v>
      </c>
      <c r="I1072">
        <f>VLOOKUP(Table9[[#This Row],[Shortname]], Comp[], 6, FALSE)</f>
        <v>959</v>
      </c>
      <c r="J1072" s="14">
        <f>VLOOKUP(Table9[[#This Row],[Shortname]], Comp[], 7, FALSE)</f>
        <v>45.2</v>
      </c>
      <c r="K1072">
        <f>VLOOKUP(Table9[[#This Row],[Shortname]], Comp[], 8, FALSE)</f>
        <v>29.3</v>
      </c>
      <c r="L1072">
        <f>VLOOKUP(Table9[[#This Row],[Shortname]], Comp[], 9, FALSE)</f>
        <v>4.7</v>
      </c>
      <c r="M1072">
        <f>VLOOKUP(Table9[[#This Row],[Shortname]], Comp[], 10, FALSE)</f>
        <v>15.5</v>
      </c>
      <c r="N1072">
        <f>VLOOKUP(Table9[[#This Row],[Shortname]], Comp[], 11, FALSE)</f>
        <v>0</v>
      </c>
      <c r="O1072">
        <f>VLOOKUP(Table9[[#This Row],[Shortname]], Comp[],12, FALSE)</f>
        <v>5.3</v>
      </c>
      <c r="P1072">
        <f>VLOOKUP(Table9[[#This Row],[Shortname]], Comp[], 13, FALSE)</f>
        <v>0</v>
      </c>
      <c r="Q1072">
        <f>VLOOKUP(Table9[[#This Row],[Shortname]], Comp[], 14, FALSE)</f>
        <v>0</v>
      </c>
      <c r="R1072">
        <f>VLOOKUP(Table9[[#This Row],[Shortname]], Comp[], 15, FALSE)</f>
        <v>0</v>
      </c>
      <c r="S1072">
        <f>VLOOKUP(Table9[[#This Row],[Shortname]], Comp[], 16, FALSE)</f>
        <v>0</v>
      </c>
      <c r="T1072">
        <f>VLOOKUP(Table9[[#This Row],[Shortname]], Comp[], 17, FALSE)</f>
        <v>0</v>
      </c>
      <c r="U1072">
        <f>VLOOKUP(Table9[[#This Row],[Shortname]], Comp[], 18, FALSE)</f>
        <v>0</v>
      </c>
      <c r="V1072">
        <f>VLOOKUP(Table9[[#This Row],[Shortname]], Comp[], 19, FALSE)</f>
        <v>0</v>
      </c>
      <c r="W1072">
        <f>VLOOKUP(Table9[[#This Row],[Shortname]], Comp[], 20, FALSE)</f>
        <v>0</v>
      </c>
      <c r="X1072">
        <f>VLOOKUP(Table9[[#This Row],[Shortname]], Comp[], 21, FALSE)</f>
        <v>0</v>
      </c>
      <c r="Y1072">
        <f>VLOOKUP(Table9[[#This Row],[Shortname]], Comp[], 22, FALSE)</f>
        <v>0</v>
      </c>
      <c r="Z1072">
        <f>VLOOKUP(Table9[[#This Row],[Shortname]], Comp[], 23, FALSE)</f>
        <v>0</v>
      </c>
      <c r="AA1072">
        <f>VLOOKUP(Table9[[#This Row],[Shortname]], Comp[], 24, FALSE)</f>
        <v>0</v>
      </c>
      <c r="AB1072">
        <f>VLOOKUP(Table9[[#This Row],[Shortname]], Comp[], 25, FALSE)</f>
        <v>0</v>
      </c>
      <c r="AC1072">
        <f>VLOOKUP(Table9[[#This Row],[Shortname]], Comp[], 26, FALSE)</f>
        <v>0</v>
      </c>
      <c r="AD1072">
        <f>VLOOKUP(Table9[[#This Row],[Shortname]], Comp[], 27, FALSE)</f>
        <v>0</v>
      </c>
      <c r="AE1072">
        <f>VLOOKUP(Table9[[#This Row],[Shortname]], Comp[], 28, FALSE)</f>
        <v>0</v>
      </c>
      <c r="AF1072">
        <f>VLOOKUP(Table9[[#This Row],[Shortname]], Comp[], 29, FALSE)</f>
        <v>0</v>
      </c>
      <c r="AG1072">
        <f>VLOOKUP(Table9[[#This Row],[Shortname]], Comp[], 30, FALSE)</f>
        <v>0</v>
      </c>
      <c r="AH1072">
        <f>VLOOKUP(Table9[[#This Row],[Shortname]], Comp[], 31, FALSE)</f>
        <v>0</v>
      </c>
    </row>
    <row r="1073" spans="1:34" x14ac:dyDescent="0.3">
      <c r="A1073" t="s">
        <v>5951</v>
      </c>
      <c r="B1073" t="s">
        <v>5952</v>
      </c>
      <c r="C1073" t="s">
        <v>5939</v>
      </c>
      <c r="D1073">
        <v>652</v>
      </c>
      <c r="E1073">
        <v>800</v>
      </c>
      <c r="F1073">
        <v>1E-4</v>
      </c>
      <c r="G1073">
        <v>1</v>
      </c>
      <c r="H1073" t="s">
        <v>6803</v>
      </c>
      <c r="I1073">
        <f>VLOOKUP(Table9[[#This Row],[Shortname]], Comp[], 6, FALSE)</f>
        <v>959</v>
      </c>
      <c r="J1073" s="14">
        <f>VLOOKUP(Table9[[#This Row],[Shortname]], Comp[], 7, FALSE)</f>
        <v>45.2</v>
      </c>
      <c r="K1073">
        <f>VLOOKUP(Table9[[#This Row],[Shortname]], Comp[], 8, FALSE)</f>
        <v>29.3</v>
      </c>
      <c r="L1073">
        <f>VLOOKUP(Table9[[#This Row],[Shortname]], Comp[], 9, FALSE)</f>
        <v>4.7</v>
      </c>
      <c r="M1073">
        <f>VLOOKUP(Table9[[#This Row],[Shortname]], Comp[], 10, FALSE)</f>
        <v>15.5</v>
      </c>
      <c r="N1073">
        <f>VLOOKUP(Table9[[#This Row],[Shortname]], Comp[], 11, FALSE)</f>
        <v>0</v>
      </c>
      <c r="O1073">
        <f>VLOOKUP(Table9[[#This Row],[Shortname]], Comp[],12, FALSE)</f>
        <v>5.3</v>
      </c>
      <c r="P1073">
        <f>VLOOKUP(Table9[[#This Row],[Shortname]], Comp[], 13, FALSE)</f>
        <v>0</v>
      </c>
      <c r="Q1073">
        <f>VLOOKUP(Table9[[#This Row],[Shortname]], Comp[], 14, FALSE)</f>
        <v>0</v>
      </c>
      <c r="R1073">
        <f>VLOOKUP(Table9[[#This Row],[Shortname]], Comp[], 15, FALSE)</f>
        <v>0</v>
      </c>
      <c r="S1073">
        <f>VLOOKUP(Table9[[#This Row],[Shortname]], Comp[], 16, FALSE)</f>
        <v>0</v>
      </c>
      <c r="T1073">
        <f>VLOOKUP(Table9[[#This Row],[Shortname]], Comp[], 17, FALSE)</f>
        <v>0</v>
      </c>
      <c r="U1073">
        <f>VLOOKUP(Table9[[#This Row],[Shortname]], Comp[], 18, FALSE)</f>
        <v>0</v>
      </c>
      <c r="V1073">
        <f>VLOOKUP(Table9[[#This Row],[Shortname]], Comp[], 19, FALSE)</f>
        <v>0</v>
      </c>
      <c r="W1073">
        <f>VLOOKUP(Table9[[#This Row],[Shortname]], Comp[], 20, FALSE)</f>
        <v>0</v>
      </c>
      <c r="X1073">
        <f>VLOOKUP(Table9[[#This Row],[Shortname]], Comp[], 21, FALSE)</f>
        <v>0</v>
      </c>
      <c r="Y1073">
        <f>VLOOKUP(Table9[[#This Row],[Shortname]], Comp[], 22, FALSE)</f>
        <v>0</v>
      </c>
      <c r="Z1073">
        <f>VLOOKUP(Table9[[#This Row],[Shortname]], Comp[], 23, FALSE)</f>
        <v>0</v>
      </c>
      <c r="AA1073">
        <f>VLOOKUP(Table9[[#This Row],[Shortname]], Comp[], 24, FALSE)</f>
        <v>0</v>
      </c>
      <c r="AB1073">
        <f>VLOOKUP(Table9[[#This Row],[Shortname]], Comp[], 25, FALSE)</f>
        <v>0</v>
      </c>
      <c r="AC1073">
        <f>VLOOKUP(Table9[[#This Row],[Shortname]], Comp[], 26, FALSE)</f>
        <v>0</v>
      </c>
      <c r="AD1073">
        <f>VLOOKUP(Table9[[#This Row],[Shortname]], Comp[], 27, FALSE)</f>
        <v>0</v>
      </c>
      <c r="AE1073">
        <f>VLOOKUP(Table9[[#This Row],[Shortname]], Comp[], 28, FALSE)</f>
        <v>0</v>
      </c>
      <c r="AF1073">
        <f>VLOOKUP(Table9[[#This Row],[Shortname]], Comp[], 29, FALSE)</f>
        <v>0</v>
      </c>
      <c r="AG1073">
        <f>VLOOKUP(Table9[[#This Row],[Shortname]], Comp[], 30, FALSE)</f>
        <v>0</v>
      </c>
      <c r="AH1073">
        <f>VLOOKUP(Table9[[#This Row],[Shortname]], Comp[], 31, FALSE)</f>
        <v>0</v>
      </c>
    </row>
    <row r="1074" spans="1:34" x14ac:dyDescent="0.3">
      <c r="A1074" t="s">
        <v>5951</v>
      </c>
      <c r="B1074" t="s">
        <v>5952</v>
      </c>
      <c r="C1074" t="s">
        <v>5939</v>
      </c>
      <c r="D1074">
        <v>459</v>
      </c>
      <c r="E1074">
        <v>850</v>
      </c>
      <c r="F1074">
        <v>1E-4</v>
      </c>
      <c r="G1074">
        <v>1</v>
      </c>
      <c r="H1074" t="s">
        <v>6803</v>
      </c>
      <c r="I1074">
        <f>VLOOKUP(Table9[[#This Row],[Shortname]], Comp[], 6, FALSE)</f>
        <v>959</v>
      </c>
      <c r="J1074" s="14">
        <f>VLOOKUP(Table9[[#This Row],[Shortname]], Comp[], 7, FALSE)</f>
        <v>45.2</v>
      </c>
      <c r="K1074">
        <f>VLOOKUP(Table9[[#This Row],[Shortname]], Comp[], 8, FALSE)</f>
        <v>29.3</v>
      </c>
      <c r="L1074">
        <f>VLOOKUP(Table9[[#This Row],[Shortname]], Comp[], 9, FALSE)</f>
        <v>4.7</v>
      </c>
      <c r="M1074">
        <f>VLOOKUP(Table9[[#This Row],[Shortname]], Comp[], 10, FALSE)</f>
        <v>15.5</v>
      </c>
      <c r="N1074">
        <f>VLOOKUP(Table9[[#This Row],[Shortname]], Comp[], 11, FALSE)</f>
        <v>0</v>
      </c>
      <c r="O1074">
        <f>VLOOKUP(Table9[[#This Row],[Shortname]], Comp[],12, FALSE)</f>
        <v>5.3</v>
      </c>
      <c r="P1074">
        <f>VLOOKUP(Table9[[#This Row],[Shortname]], Comp[], 13, FALSE)</f>
        <v>0</v>
      </c>
      <c r="Q1074">
        <f>VLOOKUP(Table9[[#This Row],[Shortname]], Comp[], 14, FALSE)</f>
        <v>0</v>
      </c>
      <c r="R1074">
        <f>VLOOKUP(Table9[[#This Row],[Shortname]], Comp[], 15, FALSE)</f>
        <v>0</v>
      </c>
      <c r="S1074">
        <f>VLOOKUP(Table9[[#This Row],[Shortname]], Comp[], 16, FALSE)</f>
        <v>0</v>
      </c>
      <c r="T1074">
        <f>VLOOKUP(Table9[[#This Row],[Shortname]], Comp[], 17, FALSE)</f>
        <v>0</v>
      </c>
      <c r="U1074">
        <f>VLOOKUP(Table9[[#This Row],[Shortname]], Comp[], 18, FALSE)</f>
        <v>0</v>
      </c>
      <c r="V1074">
        <f>VLOOKUP(Table9[[#This Row],[Shortname]], Comp[], 19, FALSE)</f>
        <v>0</v>
      </c>
      <c r="W1074">
        <f>VLOOKUP(Table9[[#This Row],[Shortname]], Comp[], 20, FALSE)</f>
        <v>0</v>
      </c>
      <c r="X1074">
        <f>VLOOKUP(Table9[[#This Row],[Shortname]], Comp[], 21, FALSE)</f>
        <v>0</v>
      </c>
      <c r="Y1074">
        <f>VLOOKUP(Table9[[#This Row],[Shortname]], Comp[], 22, FALSE)</f>
        <v>0</v>
      </c>
      <c r="Z1074">
        <f>VLOOKUP(Table9[[#This Row],[Shortname]], Comp[], 23, FALSE)</f>
        <v>0</v>
      </c>
      <c r="AA1074">
        <f>VLOOKUP(Table9[[#This Row],[Shortname]], Comp[], 24, FALSE)</f>
        <v>0</v>
      </c>
      <c r="AB1074">
        <f>VLOOKUP(Table9[[#This Row],[Shortname]], Comp[], 25, FALSE)</f>
        <v>0</v>
      </c>
      <c r="AC1074">
        <f>VLOOKUP(Table9[[#This Row],[Shortname]], Comp[], 26, FALSE)</f>
        <v>0</v>
      </c>
      <c r="AD1074">
        <f>VLOOKUP(Table9[[#This Row],[Shortname]], Comp[], 27, FALSE)</f>
        <v>0</v>
      </c>
      <c r="AE1074">
        <f>VLOOKUP(Table9[[#This Row],[Shortname]], Comp[], 28, FALSE)</f>
        <v>0</v>
      </c>
      <c r="AF1074">
        <f>VLOOKUP(Table9[[#This Row],[Shortname]], Comp[], 29, FALSE)</f>
        <v>0</v>
      </c>
      <c r="AG1074">
        <f>VLOOKUP(Table9[[#This Row],[Shortname]], Comp[], 30, FALSE)</f>
        <v>0</v>
      </c>
      <c r="AH1074">
        <f>VLOOKUP(Table9[[#This Row],[Shortname]], Comp[], 31, FALSE)</f>
        <v>0</v>
      </c>
    </row>
    <row r="1075" spans="1:34" x14ac:dyDescent="0.3">
      <c r="A1075" t="s">
        <v>5951</v>
      </c>
      <c r="B1075" t="s">
        <v>5952</v>
      </c>
      <c r="C1075" t="s">
        <v>5939</v>
      </c>
      <c r="D1075">
        <v>373</v>
      </c>
      <c r="E1075">
        <v>900</v>
      </c>
      <c r="F1075">
        <v>1E-4</v>
      </c>
      <c r="G1075">
        <v>1</v>
      </c>
      <c r="H1075" t="s">
        <v>6803</v>
      </c>
      <c r="I1075">
        <f>VLOOKUP(Table9[[#This Row],[Shortname]], Comp[], 6, FALSE)</f>
        <v>959</v>
      </c>
      <c r="J1075" s="14">
        <f>VLOOKUP(Table9[[#This Row],[Shortname]], Comp[], 7, FALSE)</f>
        <v>45.2</v>
      </c>
      <c r="K1075">
        <f>VLOOKUP(Table9[[#This Row],[Shortname]], Comp[], 8, FALSE)</f>
        <v>29.3</v>
      </c>
      <c r="L1075">
        <f>VLOOKUP(Table9[[#This Row],[Shortname]], Comp[], 9, FALSE)</f>
        <v>4.7</v>
      </c>
      <c r="M1075">
        <f>VLOOKUP(Table9[[#This Row],[Shortname]], Comp[], 10, FALSE)</f>
        <v>15.5</v>
      </c>
      <c r="N1075">
        <f>VLOOKUP(Table9[[#This Row],[Shortname]], Comp[], 11, FALSE)</f>
        <v>0</v>
      </c>
      <c r="O1075">
        <f>VLOOKUP(Table9[[#This Row],[Shortname]], Comp[],12, FALSE)</f>
        <v>5.3</v>
      </c>
      <c r="P1075">
        <f>VLOOKUP(Table9[[#This Row],[Shortname]], Comp[], 13, FALSE)</f>
        <v>0</v>
      </c>
      <c r="Q1075">
        <f>VLOOKUP(Table9[[#This Row],[Shortname]], Comp[], 14, FALSE)</f>
        <v>0</v>
      </c>
      <c r="R1075">
        <f>VLOOKUP(Table9[[#This Row],[Shortname]], Comp[], 15, FALSE)</f>
        <v>0</v>
      </c>
      <c r="S1075">
        <f>VLOOKUP(Table9[[#This Row],[Shortname]], Comp[], 16, FALSE)</f>
        <v>0</v>
      </c>
      <c r="T1075">
        <f>VLOOKUP(Table9[[#This Row],[Shortname]], Comp[], 17, FALSE)</f>
        <v>0</v>
      </c>
      <c r="U1075">
        <f>VLOOKUP(Table9[[#This Row],[Shortname]], Comp[], 18, FALSE)</f>
        <v>0</v>
      </c>
      <c r="V1075">
        <f>VLOOKUP(Table9[[#This Row],[Shortname]], Comp[], 19, FALSE)</f>
        <v>0</v>
      </c>
      <c r="W1075">
        <f>VLOOKUP(Table9[[#This Row],[Shortname]], Comp[], 20, FALSE)</f>
        <v>0</v>
      </c>
      <c r="X1075">
        <f>VLOOKUP(Table9[[#This Row],[Shortname]], Comp[], 21, FALSE)</f>
        <v>0</v>
      </c>
      <c r="Y1075">
        <f>VLOOKUP(Table9[[#This Row],[Shortname]], Comp[], 22, FALSE)</f>
        <v>0</v>
      </c>
      <c r="Z1075">
        <f>VLOOKUP(Table9[[#This Row],[Shortname]], Comp[], 23, FALSE)</f>
        <v>0</v>
      </c>
      <c r="AA1075">
        <f>VLOOKUP(Table9[[#This Row],[Shortname]], Comp[], 24, FALSE)</f>
        <v>0</v>
      </c>
      <c r="AB1075">
        <f>VLOOKUP(Table9[[#This Row],[Shortname]], Comp[], 25, FALSE)</f>
        <v>0</v>
      </c>
      <c r="AC1075">
        <f>VLOOKUP(Table9[[#This Row],[Shortname]], Comp[], 26, FALSE)</f>
        <v>0</v>
      </c>
      <c r="AD1075">
        <f>VLOOKUP(Table9[[#This Row],[Shortname]], Comp[], 27, FALSE)</f>
        <v>0</v>
      </c>
      <c r="AE1075">
        <f>VLOOKUP(Table9[[#This Row],[Shortname]], Comp[], 28, FALSE)</f>
        <v>0</v>
      </c>
      <c r="AF1075">
        <f>VLOOKUP(Table9[[#This Row],[Shortname]], Comp[], 29, FALSE)</f>
        <v>0</v>
      </c>
      <c r="AG1075">
        <f>VLOOKUP(Table9[[#This Row],[Shortname]], Comp[], 30, FALSE)</f>
        <v>0</v>
      </c>
      <c r="AH1075">
        <f>VLOOKUP(Table9[[#This Row],[Shortname]], Comp[], 31, FALSE)</f>
        <v>0</v>
      </c>
    </row>
    <row r="1076" spans="1:34" x14ac:dyDescent="0.3">
      <c r="A1076" t="s">
        <v>5956</v>
      </c>
      <c r="B1076" t="s">
        <v>5957</v>
      </c>
      <c r="C1076" t="s">
        <v>5939</v>
      </c>
      <c r="D1076">
        <v>1010</v>
      </c>
      <c r="E1076">
        <v>25</v>
      </c>
      <c r="F1076">
        <v>1E-4</v>
      </c>
      <c r="G1076">
        <v>1</v>
      </c>
      <c r="H1076" t="s">
        <v>6803</v>
      </c>
      <c r="I1076">
        <f>VLOOKUP(Table9[[#This Row],[Shortname]], Comp[], 6, FALSE)</f>
        <v>960</v>
      </c>
      <c r="J1076" s="14">
        <f>VLOOKUP(Table9[[#This Row],[Shortname]], Comp[], 7, FALSE)</f>
        <v>41.899999999999991</v>
      </c>
      <c r="K1076">
        <f>VLOOKUP(Table9[[#This Row],[Shortname]], Comp[], 8, FALSE)</f>
        <v>29.3</v>
      </c>
      <c r="L1076">
        <f>VLOOKUP(Table9[[#This Row],[Shortname]], Comp[], 9, FALSE)</f>
        <v>6.4</v>
      </c>
      <c r="M1076">
        <f>VLOOKUP(Table9[[#This Row],[Shortname]], Comp[], 10, FALSE)</f>
        <v>15.2</v>
      </c>
      <c r="N1076">
        <f>VLOOKUP(Table9[[#This Row],[Shortname]], Comp[], 11, FALSE)</f>
        <v>0</v>
      </c>
      <c r="O1076">
        <f>VLOOKUP(Table9[[#This Row],[Shortname]], Comp[],12, FALSE)</f>
        <v>5.0999999999999996</v>
      </c>
      <c r="P1076">
        <f>VLOOKUP(Table9[[#This Row],[Shortname]], Comp[], 13, FALSE)</f>
        <v>2.1</v>
      </c>
      <c r="Q1076">
        <f>VLOOKUP(Table9[[#This Row],[Shortname]], Comp[], 14, FALSE)</f>
        <v>0</v>
      </c>
      <c r="R1076">
        <f>VLOOKUP(Table9[[#This Row],[Shortname]], Comp[], 15, FALSE)</f>
        <v>0</v>
      </c>
      <c r="S1076">
        <f>VLOOKUP(Table9[[#This Row],[Shortname]], Comp[], 16, FALSE)</f>
        <v>0</v>
      </c>
      <c r="T1076">
        <f>VLOOKUP(Table9[[#This Row],[Shortname]], Comp[], 17, FALSE)</f>
        <v>0</v>
      </c>
      <c r="U1076">
        <f>VLOOKUP(Table9[[#This Row],[Shortname]], Comp[], 18, FALSE)</f>
        <v>0</v>
      </c>
      <c r="V1076">
        <f>VLOOKUP(Table9[[#This Row],[Shortname]], Comp[], 19, FALSE)</f>
        <v>0</v>
      </c>
      <c r="W1076">
        <f>VLOOKUP(Table9[[#This Row],[Shortname]], Comp[], 20, FALSE)</f>
        <v>0</v>
      </c>
      <c r="X1076">
        <f>VLOOKUP(Table9[[#This Row],[Shortname]], Comp[], 21, FALSE)</f>
        <v>0</v>
      </c>
      <c r="Y1076">
        <f>VLOOKUP(Table9[[#This Row],[Shortname]], Comp[], 22, FALSE)</f>
        <v>0</v>
      </c>
      <c r="Z1076">
        <f>VLOOKUP(Table9[[#This Row],[Shortname]], Comp[], 23, FALSE)</f>
        <v>0</v>
      </c>
      <c r="AA1076">
        <f>VLOOKUP(Table9[[#This Row],[Shortname]], Comp[], 24, FALSE)</f>
        <v>0</v>
      </c>
      <c r="AB1076">
        <f>VLOOKUP(Table9[[#This Row],[Shortname]], Comp[], 25, FALSE)</f>
        <v>0</v>
      </c>
      <c r="AC1076">
        <f>VLOOKUP(Table9[[#This Row],[Shortname]], Comp[], 26, FALSE)</f>
        <v>0</v>
      </c>
      <c r="AD1076">
        <f>VLOOKUP(Table9[[#This Row],[Shortname]], Comp[], 27, FALSE)</f>
        <v>0</v>
      </c>
      <c r="AE1076">
        <f>VLOOKUP(Table9[[#This Row],[Shortname]], Comp[], 28, FALSE)</f>
        <v>0</v>
      </c>
      <c r="AF1076">
        <f>VLOOKUP(Table9[[#This Row],[Shortname]], Comp[], 29, FALSE)</f>
        <v>0</v>
      </c>
      <c r="AG1076">
        <f>VLOOKUP(Table9[[#This Row],[Shortname]], Comp[], 30, FALSE)</f>
        <v>0</v>
      </c>
      <c r="AH1076">
        <f>VLOOKUP(Table9[[#This Row],[Shortname]], Comp[], 31, FALSE)</f>
        <v>0</v>
      </c>
    </row>
    <row r="1077" spans="1:34" x14ac:dyDescent="0.3">
      <c r="A1077" t="s">
        <v>5956</v>
      </c>
      <c r="B1077" t="s">
        <v>5957</v>
      </c>
      <c r="C1077" t="s">
        <v>5939</v>
      </c>
      <c r="D1077">
        <v>843</v>
      </c>
      <c r="E1077">
        <v>600</v>
      </c>
      <c r="F1077">
        <v>1E-4</v>
      </c>
      <c r="G1077">
        <v>1</v>
      </c>
      <c r="H1077" t="s">
        <v>6803</v>
      </c>
      <c r="I1077">
        <f>VLOOKUP(Table9[[#This Row],[Shortname]], Comp[], 6, FALSE)</f>
        <v>960</v>
      </c>
      <c r="J1077" s="14">
        <f>VLOOKUP(Table9[[#This Row],[Shortname]], Comp[], 7, FALSE)</f>
        <v>41.899999999999991</v>
      </c>
      <c r="K1077">
        <f>VLOOKUP(Table9[[#This Row],[Shortname]], Comp[], 8, FALSE)</f>
        <v>29.3</v>
      </c>
      <c r="L1077">
        <f>VLOOKUP(Table9[[#This Row],[Shortname]], Comp[], 9, FALSE)</f>
        <v>6.4</v>
      </c>
      <c r="M1077">
        <f>VLOOKUP(Table9[[#This Row],[Shortname]], Comp[], 10, FALSE)</f>
        <v>15.2</v>
      </c>
      <c r="N1077">
        <f>VLOOKUP(Table9[[#This Row],[Shortname]], Comp[], 11, FALSE)</f>
        <v>0</v>
      </c>
      <c r="O1077">
        <f>VLOOKUP(Table9[[#This Row],[Shortname]], Comp[],12, FALSE)</f>
        <v>5.0999999999999996</v>
      </c>
      <c r="P1077">
        <f>VLOOKUP(Table9[[#This Row],[Shortname]], Comp[], 13, FALSE)</f>
        <v>2.1</v>
      </c>
      <c r="Q1077">
        <f>VLOOKUP(Table9[[#This Row],[Shortname]], Comp[], 14, FALSE)</f>
        <v>0</v>
      </c>
      <c r="R1077">
        <f>VLOOKUP(Table9[[#This Row],[Shortname]], Comp[], 15, FALSE)</f>
        <v>0</v>
      </c>
      <c r="S1077">
        <f>VLOOKUP(Table9[[#This Row],[Shortname]], Comp[], 16, FALSE)</f>
        <v>0</v>
      </c>
      <c r="T1077">
        <f>VLOOKUP(Table9[[#This Row],[Shortname]], Comp[], 17, FALSE)</f>
        <v>0</v>
      </c>
      <c r="U1077">
        <f>VLOOKUP(Table9[[#This Row],[Shortname]], Comp[], 18, FALSE)</f>
        <v>0</v>
      </c>
      <c r="V1077">
        <f>VLOOKUP(Table9[[#This Row],[Shortname]], Comp[], 19, FALSE)</f>
        <v>0</v>
      </c>
      <c r="W1077">
        <f>VLOOKUP(Table9[[#This Row],[Shortname]], Comp[], 20, FALSE)</f>
        <v>0</v>
      </c>
      <c r="X1077">
        <f>VLOOKUP(Table9[[#This Row],[Shortname]], Comp[], 21, FALSE)</f>
        <v>0</v>
      </c>
      <c r="Y1077">
        <f>VLOOKUP(Table9[[#This Row],[Shortname]], Comp[], 22, FALSE)</f>
        <v>0</v>
      </c>
      <c r="Z1077">
        <f>VLOOKUP(Table9[[#This Row],[Shortname]], Comp[], 23, FALSE)</f>
        <v>0</v>
      </c>
      <c r="AA1077">
        <f>VLOOKUP(Table9[[#This Row],[Shortname]], Comp[], 24, FALSE)</f>
        <v>0</v>
      </c>
      <c r="AB1077">
        <f>VLOOKUP(Table9[[#This Row],[Shortname]], Comp[], 25, FALSE)</f>
        <v>0</v>
      </c>
      <c r="AC1077">
        <f>VLOOKUP(Table9[[#This Row],[Shortname]], Comp[], 26, FALSE)</f>
        <v>0</v>
      </c>
      <c r="AD1077">
        <f>VLOOKUP(Table9[[#This Row],[Shortname]], Comp[], 27, FALSE)</f>
        <v>0</v>
      </c>
      <c r="AE1077">
        <f>VLOOKUP(Table9[[#This Row],[Shortname]], Comp[], 28, FALSE)</f>
        <v>0</v>
      </c>
      <c r="AF1077">
        <f>VLOOKUP(Table9[[#This Row],[Shortname]], Comp[], 29, FALSE)</f>
        <v>0</v>
      </c>
      <c r="AG1077">
        <f>VLOOKUP(Table9[[#This Row],[Shortname]], Comp[], 30, FALSE)</f>
        <v>0</v>
      </c>
      <c r="AH1077">
        <f>VLOOKUP(Table9[[#This Row],[Shortname]], Comp[], 31, FALSE)</f>
        <v>0</v>
      </c>
    </row>
    <row r="1078" spans="1:34" x14ac:dyDescent="0.3">
      <c r="A1078" t="s">
        <v>5956</v>
      </c>
      <c r="B1078" t="s">
        <v>5957</v>
      </c>
      <c r="C1078" t="s">
        <v>5939</v>
      </c>
      <c r="D1078">
        <v>750</v>
      </c>
      <c r="E1078">
        <v>700</v>
      </c>
      <c r="F1078">
        <v>1E-4</v>
      </c>
      <c r="G1078">
        <v>1</v>
      </c>
      <c r="H1078" t="s">
        <v>6803</v>
      </c>
      <c r="I1078">
        <f>VLOOKUP(Table9[[#This Row],[Shortname]], Comp[], 6, FALSE)</f>
        <v>960</v>
      </c>
      <c r="J1078" s="14">
        <f>VLOOKUP(Table9[[#This Row],[Shortname]], Comp[], 7, FALSE)</f>
        <v>41.899999999999991</v>
      </c>
      <c r="K1078">
        <f>VLOOKUP(Table9[[#This Row],[Shortname]], Comp[], 8, FALSE)</f>
        <v>29.3</v>
      </c>
      <c r="L1078">
        <f>VLOOKUP(Table9[[#This Row],[Shortname]], Comp[], 9, FALSE)</f>
        <v>6.4</v>
      </c>
      <c r="M1078">
        <f>VLOOKUP(Table9[[#This Row],[Shortname]], Comp[], 10, FALSE)</f>
        <v>15.2</v>
      </c>
      <c r="N1078">
        <f>VLOOKUP(Table9[[#This Row],[Shortname]], Comp[], 11, FALSE)</f>
        <v>0</v>
      </c>
      <c r="O1078">
        <f>VLOOKUP(Table9[[#This Row],[Shortname]], Comp[],12, FALSE)</f>
        <v>5.0999999999999996</v>
      </c>
      <c r="P1078">
        <f>VLOOKUP(Table9[[#This Row],[Shortname]], Comp[], 13, FALSE)</f>
        <v>2.1</v>
      </c>
      <c r="Q1078">
        <f>VLOOKUP(Table9[[#This Row],[Shortname]], Comp[], 14, FALSE)</f>
        <v>0</v>
      </c>
      <c r="R1078">
        <f>VLOOKUP(Table9[[#This Row],[Shortname]], Comp[], 15, FALSE)</f>
        <v>0</v>
      </c>
      <c r="S1078">
        <f>VLOOKUP(Table9[[#This Row],[Shortname]], Comp[], 16, FALSE)</f>
        <v>0</v>
      </c>
      <c r="T1078">
        <f>VLOOKUP(Table9[[#This Row],[Shortname]], Comp[], 17, FALSE)</f>
        <v>0</v>
      </c>
      <c r="U1078">
        <f>VLOOKUP(Table9[[#This Row],[Shortname]], Comp[], 18, FALSE)</f>
        <v>0</v>
      </c>
      <c r="V1078">
        <f>VLOOKUP(Table9[[#This Row],[Shortname]], Comp[], 19, FALSE)</f>
        <v>0</v>
      </c>
      <c r="W1078">
        <f>VLOOKUP(Table9[[#This Row],[Shortname]], Comp[], 20, FALSE)</f>
        <v>0</v>
      </c>
      <c r="X1078">
        <f>VLOOKUP(Table9[[#This Row],[Shortname]], Comp[], 21, FALSE)</f>
        <v>0</v>
      </c>
      <c r="Y1078">
        <f>VLOOKUP(Table9[[#This Row],[Shortname]], Comp[], 22, FALSE)</f>
        <v>0</v>
      </c>
      <c r="Z1078">
        <f>VLOOKUP(Table9[[#This Row],[Shortname]], Comp[], 23, FALSE)</f>
        <v>0</v>
      </c>
      <c r="AA1078">
        <f>VLOOKUP(Table9[[#This Row],[Shortname]], Comp[], 24, FALSE)</f>
        <v>0</v>
      </c>
      <c r="AB1078">
        <f>VLOOKUP(Table9[[#This Row],[Shortname]], Comp[], 25, FALSE)</f>
        <v>0</v>
      </c>
      <c r="AC1078">
        <f>VLOOKUP(Table9[[#This Row],[Shortname]], Comp[], 26, FALSE)</f>
        <v>0</v>
      </c>
      <c r="AD1078">
        <f>VLOOKUP(Table9[[#This Row],[Shortname]], Comp[], 27, FALSE)</f>
        <v>0</v>
      </c>
      <c r="AE1078">
        <f>VLOOKUP(Table9[[#This Row],[Shortname]], Comp[], 28, FALSE)</f>
        <v>0</v>
      </c>
      <c r="AF1078">
        <f>VLOOKUP(Table9[[#This Row],[Shortname]], Comp[], 29, FALSE)</f>
        <v>0</v>
      </c>
      <c r="AG1078">
        <f>VLOOKUP(Table9[[#This Row],[Shortname]], Comp[], 30, FALSE)</f>
        <v>0</v>
      </c>
      <c r="AH1078">
        <f>VLOOKUP(Table9[[#This Row],[Shortname]], Comp[], 31, FALSE)</f>
        <v>0</v>
      </c>
    </row>
    <row r="1079" spans="1:34" x14ac:dyDescent="0.3">
      <c r="A1079" t="s">
        <v>5956</v>
      </c>
      <c r="B1079" t="s">
        <v>5957</v>
      </c>
      <c r="C1079" t="s">
        <v>5939</v>
      </c>
      <c r="D1079">
        <v>755</v>
      </c>
      <c r="E1079">
        <v>750</v>
      </c>
      <c r="F1079">
        <v>1E-4</v>
      </c>
      <c r="G1079">
        <v>1</v>
      </c>
      <c r="H1079" t="s">
        <v>6803</v>
      </c>
      <c r="I1079">
        <f>VLOOKUP(Table9[[#This Row],[Shortname]], Comp[], 6, FALSE)</f>
        <v>960</v>
      </c>
      <c r="J1079" s="14">
        <f>VLOOKUP(Table9[[#This Row],[Shortname]], Comp[], 7, FALSE)</f>
        <v>41.899999999999991</v>
      </c>
      <c r="K1079">
        <f>VLOOKUP(Table9[[#This Row],[Shortname]], Comp[], 8, FALSE)</f>
        <v>29.3</v>
      </c>
      <c r="L1079">
        <f>VLOOKUP(Table9[[#This Row],[Shortname]], Comp[], 9, FALSE)</f>
        <v>6.4</v>
      </c>
      <c r="M1079">
        <f>VLOOKUP(Table9[[#This Row],[Shortname]], Comp[], 10, FALSE)</f>
        <v>15.2</v>
      </c>
      <c r="N1079">
        <f>VLOOKUP(Table9[[#This Row],[Shortname]], Comp[], 11, FALSE)</f>
        <v>0</v>
      </c>
      <c r="O1079">
        <f>VLOOKUP(Table9[[#This Row],[Shortname]], Comp[],12, FALSE)</f>
        <v>5.0999999999999996</v>
      </c>
      <c r="P1079">
        <f>VLOOKUP(Table9[[#This Row],[Shortname]], Comp[], 13, FALSE)</f>
        <v>2.1</v>
      </c>
      <c r="Q1079">
        <f>VLOOKUP(Table9[[#This Row],[Shortname]], Comp[], 14, FALSE)</f>
        <v>0</v>
      </c>
      <c r="R1079">
        <f>VLOOKUP(Table9[[#This Row],[Shortname]], Comp[], 15, FALSE)</f>
        <v>0</v>
      </c>
      <c r="S1079">
        <f>VLOOKUP(Table9[[#This Row],[Shortname]], Comp[], 16, FALSE)</f>
        <v>0</v>
      </c>
      <c r="T1079">
        <f>VLOOKUP(Table9[[#This Row],[Shortname]], Comp[], 17, FALSE)</f>
        <v>0</v>
      </c>
      <c r="U1079">
        <f>VLOOKUP(Table9[[#This Row],[Shortname]], Comp[], 18, FALSE)</f>
        <v>0</v>
      </c>
      <c r="V1079">
        <f>VLOOKUP(Table9[[#This Row],[Shortname]], Comp[], 19, FALSE)</f>
        <v>0</v>
      </c>
      <c r="W1079">
        <f>VLOOKUP(Table9[[#This Row],[Shortname]], Comp[], 20, FALSE)</f>
        <v>0</v>
      </c>
      <c r="X1079">
        <f>VLOOKUP(Table9[[#This Row],[Shortname]], Comp[], 21, FALSE)</f>
        <v>0</v>
      </c>
      <c r="Y1079">
        <f>VLOOKUP(Table9[[#This Row],[Shortname]], Comp[], 22, FALSE)</f>
        <v>0</v>
      </c>
      <c r="Z1079">
        <f>VLOOKUP(Table9[[#This Row],[Shortname]], Comp[], 23, FALSE)</f>
        <v>0</v>
      </c>
      <c r="AA1079">
        <f>VLOOKUP(Table9[[#This Row],[Shortname]], Comp[], 24, FALSE)</f>
        <v>0</v>
      </c>
      <c r="AB1079">
        <f>VLOOKUP(Table9[[#This Row],[Shortname]], Comp[], 25, FALSE)</f>
        <v>0</v>
      </c>
      <c r="AC1079">
        <f>VLOOKUP(Table9[[#This Row],[Shortname]], Comp[], 26, FALSE)</f>
        <v>0</v>
      </c>
      <c r="AD1079">
        <f>VLOOKUP(Table9[[#This Row],[Shortname]], Comp[], 27, FALSE)</f>
        <v>0</v>
      </c>
      <c r="AE1079">
        <f>VLOOKUP(Table9[[#This Row],[Shortname]], Comp[], 28, FALSE)</f>
        <v>0</v>
      </c>
      <c r="AF1079">
        <f>VLOOKUP(Table9[[#This Row],[Shortname]], Comp[], 29, FALSE)</f>
        <v>0</v>
      </c>
      <c r="AG1079">
        <f>VLOOKUP(Table9[[#This Row],[Shortname]], Comp[], 30, FALSE)</f>
        <v>0</v>
      </c>
      <c r="AH1079">
        <f>VLOOKUP(Table9[[#This Row],[Shortname]], Comp[], 31, FALSE)</f>
        <v>0</v>
      </c>
    </row>
    <row r="1080" spans="1:34" x14ac:dyDescent="0.3">
      <c r="A1080" t="s">
        <v>5956</v>
      </c>
      <c r="B1080" t="s">
        <v>5957</v>
      </c>
      <c r="C1080" t="s">
        <v>5939</v>
      </c>
      <c r="D1080">
        <v>595</v>
      </c>
      <c r="E1080">
        <v>800</v>
      </c>
      <c r="F1080">
        <v>1E-4</v>
      </c>
      <c r="G1080">
        <v>1</v>
      </c>
      <c r="H1080" t="s">
        <v>6803</v>
      </c>
      <c r="I1080">
        <f>VLOOKUP(Table9[[#This Row],[Shortname]], Comp[], 6, FALSE)</f>
        <v>960</v>
      </c>
      <c r="J1080" s="14">
        <f>VLOOKUP(Table9[[#This Row],[Shortname]], Comp[], 7, FALSE)</f>
        <v>41.899999999999991</v>
      </c>
      <c r="K1080">
        <f>VLOOKUP(Table9[[#This Row],[Shortname]], Comp[], 8, FALSE)</f>
        <v>29.3</v>
      </c>
      <c r="L1080">
        <f>VLOOKUP(Table9[[#This Row],[Shortname]], Comp[], 9, FALSE)</f>
        <v>6.4</v>
      </c>
      <c r="M1080">
        <f>VLOOKUP(Table9[[#This Row],[Shortname]], Comp[], 10, FALSE)</f>
        <v>15.2</v>
      </c>
      <c r="N1080">
        <f>VLOOKUP(Table9[[#This Row],[Shortname]], Comp[], 11, FALSE)</f>
        <v>0</v>
      </c>
      <c r="O1080">
        <f>VLOOKUP(Table9[[#This Row],[Shortname]], Comp[],12, FALSE)</f>
        <v>5.0999999999999996</v>
      </c>
      <c r="P1080">
        <f>VLOOKUP(Table9[[#This Row],[Shortname]], Comp[], 13, FALSE)</f>
        <v>2.1</v>
      </c>
      <c r="Q1080">
        <f>VLOOKUP(Table9[[#This Row],[Shortname]], Comp[], 14, FALSE)</f>
        <v>0</v>
      </c>
      <c r="R1080">
        <f>VLOOKUP(Table9[[#This Row],[Shortname]], Comp[], 15, FALSE)</f>
        <v>0</v>
      </c>
      <c r="S1080">
        <f>VLOOKUP(Table9[[#This Row],[Shortname]], Comp[], 16, FALSE)</f>
        <v>0</v>
      </c>
      <c r="T1080">
        <f>VLOOKUP(Table9[[#This Row],[Shortname]], Comp[], 17, FALSE)</f>
        <v>0</v>
      </c>
      <c r="U1080">
        <f>VLOOKUP(Table9[[#This Row],[Shortname]], Comp[], 18, FALSE)</f>
        <v>0</v>
      </c>
      <c r="V1080">
        <f>VLOOKUP(Table9[[#This Row],[Shortname]], Comp[], 19, FALSE)</f>
        <v>0</v>
      </c>
      <c r="W1080">
        <f>VLOOKUP(Table9[[#This Row],[Shortname]], Comp[], 20, FALSE)</f>
        <v>0</v>
      </c>
      <c r="X1080">
        <f>VLOOKUP(Table9[[#This Row],[Shortname]], Comp[], 21, FALSE)</f>
        <v>0</v>
      </c>
      <c r="Y1080">
        <f>VLOOKUP(Table9[[#This Row],[Shortname]], Comp[], 22, FALSE)</f>
        <v>0</v>
      </c>
      <c r="Z1080">
        <f>VLOOKUP(Table9[[#This Row],[Shortname]], Comp[], 23, FALSE)</f>
        <v>0</v>
      </c>
      <c r="AA1080">
        <f>VLOOKUP(Table9[[#This Row],[Shortname]], Comp[], 24, FALSE)</f>
        <v>0</v>
      </c>
      <c r="AB1080">
        <f>VLOOKUP(Table9[[#This Row],[Shortname]], Comp[], 25, FALSE)</f>
        <v>0</v>
      </c>
      <c r="AC1080">
        <f>VLOOKUP(Table9[[#This Row],[Shortname]], Comp[], 26, FALSE)</f>
        <v>0</v>
      </c>
      <c r="AD1080">
        <f>VLOOKUP(Table9[[#This Row],[Shortname]], Comp[], 27, FALSE)</f>
        <v>0</v>
      </c>
      <c r="AE1080">
        <f>VLOOKUP(Table9[[#This Row],[Shortname]], Comp[], 28, FALSE)</f>
        <v>0</v>
      </c>
      <c r="AF1080">
        <f>VLOOKUP(Table9[[#This Row],[Shortname]], Comp[], 29, FALSE)</f>
        <v>0</v>
      </c>
      <c r="AG1080">
        <f>VLOOKUP(Table9[[#This Row],[Shortname]], Comp[], 30, FALSE)</f>
        <v>0</v>
      </c>
      <c r="AH1080">
        <f>VLOOKUP(Table9[[#This Row],[Shortname]], Comp[], 31, FALSE)</f>
        <v>0</v>
      </c>
    </row>
    <row r="1081" spans="1:34" x14ac:dyDescent="0.3">
      <c r="A1081" t="s">
        <v>5956</v>
      </c>
      <c r="B1081" t="s">
        <v>5957</v>
      </c>
      <c r="C1081" t="s">
        <v>5939</v>
      </c>
      <c r="D1081">
        <v>493</v>
      </c>
      <c r="E1081">
        <v>850</v>
      </c>
      <c r="F1081">
        <v>1E-4</v>
      </c>
      <c r="G1081">
        <v>1</v>
      </c>
      <c r="H1081" t="s">
        <v>6803</v>
      </c>
      <c r="I1081">
        <f>VLOOKUP(Table9[[#This Row],[Shortname]], Comp[], 6, FALSE)</f>
        <v>960</v>
      </c>
      <c r="J1081" s="14">
        <f>VLOOKUP(Table9[[#This Row],[Shortname]], Comp[], 7, FALSE)</f>
        <v>41.899999999999991</v>
      </c>
      <c r="K1081">
        <f>VLOOKUP(Table9[[#This Row],[Shortname]], Comp[], 8, FALSE)</f>
        <v>29.3</v>
      </c>
      <c r="L1081">
        <f>VLOOKUP(Table9[[#This Row],[Shortname]], Comp[], 9, FALSE)</f>
        <v>6.4</v>
      </c>
      <c r="M1081">
        <f>VLOOKUP(Table9[[#This Row],[Shortname]], Comp[], 10, FALSE)</f>
        <v>15.2</v>
      </c>
      <c r="N1081">
        <f>VLOOKUP(Table9[[#This Row],[Shortname]], Comp[], 11, FALSE)</f>
        <v>0</v>
      </c>
      <c r="O1081">
        <f>VLOOKUP(Table9[[#This Row],[Shortname]], Comp[],12, FALSE)</f>
        <v>5.0999999999999996</v>
      </c>
      <c r="P1081">
        <f>VLOOKUP(Table9[[#This Row],[Shortname]], Comp[], 13, FALSE)</f>
        <v>2.1</v>
      </c>
      <c r="Q1081">
        <f>VLOOKUP(Table9[[#This Row],[Shortname]], Comp[], 14, FALSE)</f>
        <v>0</v>
      </c>
      <c r="R1081">
        <f>VLOOKUP(Table9[[#This Row],[Shortname]], Comp[], 15, FALSE)</f>
        <v>0</v>
      </c>
      <c r="S1081">
        <f>VLOOKUP(Table9[[#This Row],[Shortname]], Comp[], 16, FALSE)</f>
        <v>0</v>
      </c>
      <c r="T1081">
        <f>VLOOKUP(Table9[[#This Row],[Shortname]], Comp[], 17, FALSE)</f>
        <v>0</v>
      </c>
      <c r="U1081">
        <f>VLOOKUP(Table9[[#This Row],[Shortname]], Comp[], 18, FALSE)</f>
        <v>0</v>
      </c>
      <c r="V1081">
        <f>VLOOKUP(Table9[[#This Row],[Shortname]], Comp[], 19, FALSE)</f>
        <v>0</v>
      </c>
      <c r="W1081">
        <f>VLOOKUP(Table9[[#This Row],[Shortname]], Comp[], 20, FALSE)</f>
        <v>0</v>
      </c>
      <c r="X1081">
        <f>VLOOKUP(Table9[[#This Row],[Shortname]], Comp[], 21, FALSE)</f>
        <v>0</v>
      </c>
      <c r="Y1081">
        <f>VLOOKUP(Table9[[#This Row],[Shortname]], Comp[], 22, FALSE)</f>
        <v>0</v>
      </c>
      <c r="Z1081">
        <f>VLOOKUP(Table9[[#This Row],[Shortname]], Comp[], 23, FALSE)</f>
        <v>0</v>
      </c>
      <c r="AA1081">
        <f>VLOOKUP(Table9[[#This Row],[Shortname]], Comp[], 24, FALSE)</f>
        <v>0</v>
      </c>
      <c r="AB1081">
        <f>VLOOKUP(Table9[[#This Row],[Shortname]], Comp[], 25, FALSE)</f>
        <v>0</v>
      </c>
      <c r="AC1081">
        <f>VLOOKUP(Table9[[#This Row],[Shortname]], Comp[], 26, FALSE)</f>
        <v>0</v>
      </c>
      <c r="AD1081">
        <f>VLOOKUP(Table9[[#This Row],[Shortname]], Comp[], 27, FALSE)</f>
        <v>0</v>
      </c>
      <c r="AE1081">
        <f>VLOOKUP(Table9[[#This Row],[Shortname]], Comp[], 28, FALSE)</f>
        <v>0</v>
      </c>
      <c r="AF1081">
        <f>VLOOKUP(Table9[[#This Row],[Shortname]], Comp[], 29, FALSE)</f>
        <v>0</v>
      </c>
      <c r="AG1081">
        <f>VLOOKUP(Table9[[#This Row],[Shortname]], Comp[], 30, FALSE)</f>
        <v>0</v>
      </c>
      <c r="AH1081">
        <f>VLOOKUP(Table9[[#This Row],[Shortname]], Comp[], 31, FALSE)</f>
        <v>0</v>
      </c>
    </row>
    <row r="1082" spans="1:34" x14ac:dyDescent="0.3">
      <c r="A1082" t="s">
        <v>5956</v>
      </c>
      <c r="B1082" t="s">
        <v>5957</v>
      </c>
      <c r="C1082" t="s">
        <v>5939</v>
      </c>
      <c r="D1082">
        <v>595</v>
      </c>
      <c r="E1082">
        <v>900</v>
      </c>
      <c r="F1082">
        <v>1E-4</v>
      </c>
      <c r="G1082">
        <v>1</v>
      </c>
      <c r="H1082" t="s">
        <v>6803</v>
      </c>
      <c r="I1082">
        <f>VLOOKUP(Table9[[#This Row],[Shortname]], Comp[], 6, FALSE)</f>
        <v>960</v>
      </c>
      <c r="J1082" s="14">
        <f>VLOOKUP(Table9[[#This Row],[Shortname]], Comp[], 7, FALSE)</f>
        <v>41.899999999999991</v>
      </c>
      <c r="K1082">
        <f>VLOOKUP(Table9[[#This Row],[Shortname]], Comp[], 8, FALSE)</f>
        <v>29.3</v>
      </c>
      <c r="L1082">
        <f>VLOOKUP(Table9[[#This Row],[Shortname]], Comp[], 9, FALSE)</f>
        <v>6.4</v>
      </c>
      <c r="M1082">
        <f>VLOOKUP(Table9[[#This Row],[Shortname]], Comp[], 10, FALSE)</f>
        <v>15.2</v>
      </c>
      <c r="N1082">
        <f>VLOOKUP(Table9[[#This Row],[Shortname]], Comp[], 11, FALSE)</f>
        <v>0</v>
      </c>
      <c r="O1082">
        <f>VLOOKUP(Table9[[#This Row],[Shortname]], Comp[],12, FALSE)</f>
        <v>5.0999999999999996</v>
      </c>
      <c r="P1082">
        <f>VLOOKUP(Table9[[#This Row],[Shortname]], Comp[], 13, FALSE)</f>
        <v>2.1</v>
      </c>
      <c r="Q1082">
        <f>VLOOKUP(Table9[[#This Row],[Shortname]], Comp[], 14, FALSE)</f>
        <v>0</v>
      </c>
      <c r="R1082">
        <f>VLOOKUP(Table9[[#This Row],[Shortname]], Comp[], 15, FALSE)</f>
        <v>0</v>
      </c>
      <c r="S1082">
        <f>VLOOKUP(Table9[[#This Row],[Shortname]], Comp[], 16, FALSE)</f>
        <v>0</v>
      </c>
      <c r="T1082">
        <f>VLOOKUP(Table9[[#This Row],[Shortname]], Comp[], 17, FALSE)</f>
        <v>0</v>
      </c>
      <c r="U1082">
        <f>VLOOKUP(Table9[[#This Row],[Shortname]], Comp[], 18, FALSE)</f>
        <v>0</v>
      </c>
      <c r="V1082">
        <f>VLOOKUP(Table9[[#This Row],[Shortname]], Comp[], 19, FALSE)</f>
        <v>0</v>
      </c>
      <c r="W1082">
        <f>VLOOKUP(Table9[[#This Row],[Shortname]], Comp[], 20, FALSE)</f>
        <v>0</v>
      </c>
      <c r="X1082">
        <f>VLOOKUP(Table9[[#This Row],[Shortname]], Comp[], 21, FALSE)</f>
        <v>0</v>
      </c>
      <c r="Y1082">
        <f>VLOOKUP(Table9[[#This Row],[Shortname]], Comp[], 22, FALSE)</f>
        <v>0</v>
      </c>
      <c r="Z1082">
        <f>VLOOKUP(Table9[[#This Row],[Shortname]], Comp[], 23, FALSE)</f>
        <v>0</v>
      </c>
      <c r="AA1082">
        <f>VLOOKUP(Table9[[#This Row],[Shortname]], Comp[], 24, FALSE)</f>
        <v>0</v>
      </c>
      <c r="AB1082">
        <f>VLOOKUP(Table9[[#This Row],[Shortname]], Comp[], 25, FALSE)</f>
        <v>0</v>
      </c>
      <c r="AC1082">
        <f>VLOOKUP(Table9[[#This Row],[Shortname]], Comp[], 26, FALSE)</f>
        <v>0</v>
      </c>
      <c r="AD1082">
        <f>VLOOKUP(Table9[[#This Row],[Shortname]], Comp[], 27, FALSE)</f>
        <v>0</v>
      </c>
      <c r="AE1082">
        <f>VLOOKUP(Table9[[#This Row],[Shortname]], Comp[], 28, FALSE)</f>
        <v>0</v>
      </c>
      <c r="AF1082">
        <f>VLOOKUP(Table9[[#This Row],[Shortname]], Comp[], 29, FALSE)</f>
        <v>0</v>
      </c>
      <c r="AG1082">
        <f>VLOOKUP(Table9[[#This Row],[Shortname]], Comp[], 30, FALSE)</f>
        <v>0</v>
      </c>
      <c r="AH1082">
        <f>VLOOKUP(Table9[[#This Row],[Shortname]], Comp[], 31, FALSE)</f>
        <v>0</v>
      </c>
    </row>
    <row r="1083" spans="1:34" x14ac:dyDescent="0.3">
      <c r="A1083" t="s">
        <v>5959</v>
      </c>
      <c r="B1083" t="s">
        <v>5960</v>
      </c>
      <c r="C1083" t="s">
        <v>5961</v>
      </c>
      <c r="D1083">
        <v>612</v>
      </c>
      <c r="E1083">
        <v>25</v>
      </c>
      <c r="F1083">
        <v>1E-4</v>
      </c>
      <c r="G1083">
        <v>1</v>
      </c>
      <c r="H1083" t="s">
        <v>6803</v>
      </c>
      <c r="I1083">
        <f>VLOOKUP(Table9[[#This Row],[Shortname]], Comp[], 6, FALSE)</f>
        <v>961</v>
      </c>
      <c r="J1083" s="14">
        <f>VLOOKUP(Table9[[#This Row],[Shortname]], Comp[], 7, FALSE)</f>
        <v>40.4</v>
      </c>
      <c r="K1083">
        <f>VLOOKUP(Table9[[#This Row],[Shortname]], Comp[], 8, FALSE)</f>
        <v>34</v>
      </c>
      <c r="L1083">
        <f>VLOOKUP(Table9[[#This Row],[Shortname]], Comp[], 9, FALSE)</f>
        <v>4.5</v>
      </c>
      <c r="M1083">
        <f>VLOOKUP(Table9[[#This Row],[Shortname]], Comp[], 10, FALSE)</f>
        <v>15.6</v>
      </c>
      <c r="N1083">
        <f>VLOOKUP(Table9[[#This Row],[Shortname]], Comp[], 11, FALSE)</f>
        <v>0</v>
      </c>
      <c r="O1083">
        <f>VLOOKUP(Table9[[#This Row],[Shortname]], Comp[],12, FALSE)</f>
        <v>5.5</v>
      </c>
      <c r="P1083">
        <f>VLOOKUP(Table9[[#This Row],[Shortname]], Comp[], 13, FALSE)</f>
        <v>0</v>
      </c>
      <c r="Q1083">
        <f>VLOOKUP(Table9[[#This Row],[Shortname]], Comp[], 14, FALSE)</f>
        <v>0</v>
      </c>
      <c r="R1083">
        <f>VLOOKUP(Table9[[#This Row],[Shortname]], Comp[], 15, FALSE)</f>
        <v>0</v>
      </c>
      <c r="S1083">
        <f>VLOOKUP(Table9[[#This Row],[Shortname]], Comp[], 16, FALSE)</f>
        <v>0</v>
      </c>
      <c r="T1083">
        <f>VLOOKUP(Table9[[#This Row],[Shortname]], Comp[], 17, FALSE)</f>
        <v>0</v>
      </c>
      <c r="U1083">
        <f>VLOOKUP(Table9[[#This Row],[Shortname]], Comp[], 18, FALSE)</f>
        <v>0</v>
      </c>
      <c r="V1083">
        <f>VLOOKUP(Table9[[#This Row],[Shortname]], Comp[], 19, FALSE)</f>
        <v>0</v>
      </c>
      <c r="W1083">
        <f>VLOOKUP(Table9[[#This Row],[Shortname]], Comp[], 20, FALSE)</f>
        <v>0</v>
      </c>
      <c r="X1083">
        <f>VLOOKUP(Table9[[#This Row],[Shortname]], Comp[], 21, FALSE)</f>
        <v>0</v>
      </c>
      <c r="Y1083">
        <f>VLOOKUP(Table9[[#This Row],[Shortname]], Comp[], 22, FALSE)</f>
        <v>0</v>
      </c>
      <c r="Z1083">
        <f>VLOOKUP(Table9[[#This Row],[Shortname]], Comp[], 23, FALSE)</f>
        <v>0</v>
      </c>
      <c r="AA1083">
        <f>VLOOKUP(Table9[[#This Row],[Shortname]], Comp[], 24, FALSE)</f>
        <v>0</v>
      </c>
      <c r="AB1083">
        <f>VLOOKUP(Table9[[#This Row],[Shortname]], Comp[], 25, FALSE)</f>
        <v>0</v>
      </c>
      <c r="AC1083">
        <f>VLOOKUP(Table9[[#This Row],[Shortname]], Comp[], 26, FALSE)</f>
        <v>0</v>
      </c>
      <c r="AD1083">
        <f>VLOOKUP(Table9[[#This Row],[Shortname]], Comp[], 27, FALSE)</f>
        <v>0</v>
      </c>
      <c r="AE1083">
        <f>VLOOKUP(Table9[[#This Row],[Shortname]], Comp[], 28, FALSE)</f>
        <v>0</v>
      </c>
      <c r="AF1083">
        <f>VLOOKUP(Table9[[#This Row],[Shortname]], Comp[], 29, FALSE)</f>
        <v>0</v>
      </c>
      <c r="AG1083">
        <f>VLOOKUP(Table9[[#This Row],[Shortname]], Comp[], 30, FALSE)</f>
        <v>0</v>
      </c>
      <c r="AH1083">
        <f>VLOOKUP(Table9[[#This Row],[Shortname]], Comp[], 31, FALSE)</f>
        <v>0</v>
      </c>
    </row>
    <row r="1084" spans="1:34" x14ac:dyDescent="0.3">
      <c r="A1084" t="s">
        <v>5959</v>
      </c>
      <c r="B1084" t="s">
        <v>5960</v>
      </c>
      <c r="C1084" t="s">
        <v>5961</v>
      </c>
      <c r="D1084">
        <v>489</v>
      </c>
      <c r="E1084">
        <v>600</v>
      </c>
      <c r="F1084">
        <v>1E-4</v>
      </c>
      <c r="G1084">
        <v>1</v>
      </c>
      <c r="H1084" t="s">
        <v>6803</v>
      </c>
      <c r="I1084">
        <f>VLOOKUP(Table9[[#This Row],[Shortname]], Comp[], 6, FALSE)</f>
        <v>961</v>
      </c>
      <c r="J1084" s="14">
        <f>VLOOKUP(Table9[[#This Row],[Shortname]], Comp[], 7, FALSE)</f>
        <v>40.4</v>
      </c>
      <c r="K1084">
        <f>VLOOKUP(Table9[[#This Row],[Shortname]], Comp[], 8, FALSE)</f>
        <v>34</v>
      </c>
      <c r="L1084">
        <f>VLOOKUP(Table9[[#This Row],[Shortname]], Comp[], 9, FALSE)</f>
        <v>4.5</v>
      </c>
      <c r="M1084">
        <f>VLOOKUP(Table9[[#This Row],[Shortname]], Comp[], 10, FALSE)</f>
        <v>15.6</v>
      </c>
      <c r="N1084">
        <f>VLOOKUP(Table9[[#This Row],[Shortname]], Comp[], 11, FALSE)</f>
        <v>0</v>
      </c>
      <c r="O1084">
        <f>VLOOKUP(Table9[[#This Row],[Shortname]], Comp[],12, FALSE)</f>
        <v>5.5</v>
      </c>
      <c r="P1084">
        <f>VLOOKUP(Table9[[#This Row],[Shortname]], Comp[], 13, FALSE)</f>
        <v>0</v>
      </c>
      <c r="Q1084">
        <f>VLOOKUP(Table9[[#This Row],[Shortname]], Comp[], 14, FALSE)</f>
        <v>0</v>
      </c>
      <c r="R1084">
        <f>VLOOKUP(Table9[[#This Row],[Shortname]], Comp[], 15, FALSE)</f>
        <v>0</v>
      </c>
      <c r="S1084">
        <f>VLOOKUP(Table9[[#This Row],[Shortname]], Comp[], 16, FALSE)</f>
        <v>0</v>
      </c>
      <c r="T1084">
        <f>VLOOKUP(Table9[[#This Row],[Shortname]], Comp[], 17, FALSE)</f>
        <v>0</v>
      </c>
      <c r="U1084">
        <f>VLOOKUP(Table9[[#This Row],[Shortname]], Comp[], 18, FALSE)</f>
        <v>0</v>
      </c>
      <c r="V1084">
        <f>VLOOKUP(Table9[[#This Row],[Shortname]], Comp[], 19, FALSE)</f>
        <v>0</v>
      </c>
      <c r="W1084">
        <f>VLOOKUP(Table9[[#This Row],[Shortname]], Comp[], 20, FALSE)</f>
        <v>0</v>
      </c>
      <c r="X1084">
        <f>VLOOKUP(Table9[[#This Row],[Shortname]], Comp[], 21, FALSE)</f>
        <v>0</v>
      </c>
      <c r="Y1084">
        <f>VLOOKUP(Table9[[#This Row],[Shortname]], Comp[], 22, FALSE)</f>
        <v>0</v>
      </c>
      <c r="Z1084">
        <f>VLOOKUP(Table9[[#This Row],[Shortname]], Comp[], 23, FALSE)</f>
        <v>0</v>
      </c>
      <c r="AA1084">
        <f>VLOOKUP(Table9[[#This Row],[Shortname]], Comp[], 24, FALSE)</f>
        <v>0</v>
      </c>
      <c r="AB1084">
        <f>VLOOKUP(Table9[[#This Row],[Shortname]], Comp[], 25, FALSE)</f>
        <v>0</v>
      </c>
      <c r="AC1084">
        <f>VLOOKUP(Table9[[#This Row],[Shortname]], Comp[], 26, FALSE)</f>
        <v>0</v>
      </c>
      <c r="AD1084">
        <f>VLOOKUP(Table9[[#This Row],[Shortname]], Comp[], 27, FALSE)</f>
        <v>0</v>
      </c>
      <c r="AE1084">
        <f>VLOOKUP(Table9[[#This Row],[Shortname]], Comp[], 28, FALSE)</f>
        <v>0</v>
      </c>
      <c r="AF1084">
        <f>VLOOKUP(Table9[[#This Row],[Shortname]], Comp[], 29, FALSE)</f>
        <v>0</v>
      </c>
      <c r="AG1084">
        <f>VLOOKUP(Table9[[#This Row],[Shortname]], Comp[], 30, FALSE)</f>
        <v>0</v>
      </c>
      <c r="AH1084">
        <f>VLOOKUP(Table9[[#This Row],[Shortname]], Comp[], 31, FALSE)</f>
        <v>0</v>
      </c>
    </row>
    <row r="1085" spans="1:34" x14ac:dyDescent="0.3">
      <c r="A1085" t="s">
        <v>5959</v>
      </c>
      <c r="B1085" t="s">
        <v>5960</v>
      </c>
      <c r="C1085" t="s">
        <v>5961</v>
      </c>
      <c r="D1085">
        <v>518</v>
      </c>
      <c r="E1085">
        <v>750</v>
      </c>
      <c r="F1085">
        <v>1E-4</v>
      </c>
      <c r="G1085">
        <v>1</v>
      </c>
      <c r="H1085" t="s">
        <v>6803</v>
      </c>
      <c r="I1085">
        <f>VLOOKUP(Table9[[#This Row],[Shortname]], Comp[], 6, FALSE)</f>
        <v>961</v>
      </c>
      <c r="J1085" s="14">
        <f>VLOOKUP(Table9[[#This Row],[Shortname]], Comp[], 7, FALSE)</f>
        <v>40.4</v>
      </c>
      <c r="K1085">
        <f>VLOOKUP(Table9[[#This Row],[Shortname]], Comp[], 8, FALSE)</f>
        <v>34</v>
      </c>
      <c r="L1085">
        <f>VLOOKUP(Table9[[#This Row],[Shortname]], Comp[], 9, FALSE)</f>
        <v>4.5</v>
      </c>
      <c r="M1085">
        <f>VLOOKUP(Table9[[#This Row],[Shortname]], Comp[], 10, FALSE)</f>
        <v>15.6</v>
      </c>
      <c r="N1085">
        <f>VLOOKUP(Table9[[#This Row],[Shortname]], Comp[], 11, FALSE)</f>
        <v>0</v>
      </c>
      <c r="O1085">
        <f>VLOOKUP(Table9[[#This Row],[Shortname]], Comp[],12, FALSE)</f>
        <v>5.5</v>
      </c>
      <c r="P1085">
        <f>VLOOKUP(Table9[[#This Row],[Shortname]], Comp[], 13, FALSE)</f>
        <v>0</v>
      </c>
      <c r="Q1085">
        <f>VLOOKUP(Table9[[#This Row],[Shortname]], Comp[], 14, FALSE)</f>
        <v>0</v>
      </c>
      <c r="R1085">
        <f>VLOOKUP(Table9[[#This Row],[Shortname]], Comp[], 15, FALSE)</f>
        <v>0</v>
      </c>
      <c r="S1085">
        <f>VLOOKUP(Table9[[#This Row],[Shortname]], Comp[], 16, FALSE)</f>
        <v>0</v>
      </c>
      <c r="T1085">
        <f>VLOOKUP(Table9[[#This Row],[Shortname]], Comp[], 17, FALSE)</f>
        <v>0</v>
      </c>
      <c r="U1085">
        <f>VLOOKUP(Table9[[#This Row],[Shortname]], Comp[], 18, FALSE)</f>
        <v>0</v>
      </c>
      <c r="V1085">
        <f>VLOOKUP(Table9[[#This Row],[Shortname]], Comp[], 19, FALSE)</f>
        <v>0</v>
      </c>
      <c r="W1085">
        <f>VLOOKUP(Table9[[#This Row],[Shortname]], Comp[], 20, FALSE)</f>
        <v>0</v>
      </c>
      <c r="X1085">
        <f>VLOOKUP(Table9[[#This Row],[Shortname]], Comp[], 21, FALSE)</f>
        <v>0</v>
      </c>
      <c r="Y1085">
        <f>VLOOKUP(Table9[[#This Row],[Shortname]], Comp[], 22, FALSE)</f>
        <v>0</v>
      </c>
      <c r="Z1085">
        <f>VLOOKUP(Table9[[#This Row],[Shortname]], Comp[], 23, FALSE)</f>
        <v>0</v>
      </c>
      <c r="AA1085">
        <f>VLOOKUP(Table9[[#This Row],[Shortname]], Comp[], 24, FALSE)</f>
        <v>0</v>
      </c>
      <c r="AB1085">
        <f>VLOOKUP(Table9[[#This Row],[Shortname]], Comp[], 25, FALSE)</f>
        <v>0</v>
      </c>
      <c r="AC1085">
        <f>VLOOKUP(Table9[[#This Row],[Shortname]], Comp[], 26, FALSE)</f>
        <v>0</v>
      </c>
      <c r="AD1085">
        <f>VLOOKUP(Table9[[#This Row],[Shortname]], Comp[], 27, FALSE)</f>
        <v>0</v>
      </c>
      <c r="AE1085">
        <f>VLOOKUP(Table9[[#This Row],[Shortname]], Comp[], 28, FALSE)</f>
        <v>0</v>
      </c>
      <c r="AF1085">
        <f>VLOOKUP(Table9[[#This Row],[Shortname]], Comp[], 29, FALSE)</f>
        <v>0</v>
      </c>
      <c r="AG1085">
        <f>VLOOKUP(Table9[[#This Row],[Shortname]], Comp[], 30, FALSE)</f>
        <v>0</v>
      </c>
      <c r="AH1085">
        <f>VLOOKUP(Table9[[#This Row],[Shortname]], Comp[], 31, FALSE)</f>
        <v>0</v>
      </c>
    </row>
    <row r="1086" spans="1:34" x14ac:dyDescent="0.3">
      <c r="A1086" t="s">
        <v>5959</v>
      </c>
      <c r="B1086" t="s">
        <v>5960</v>
      </c>
      <c r="C1086" t="s">
        <v>5961</v>
      </c>
      <c r="D1086">
        <v>446</v>
      </c>
      <c r="E1086">
        <v>850</v>
      </c>
      <c r="F1086">
        <v>1E-4</v>
      </c>
      <c r="G1086">
        <v>1</v>
      </c>
      <c r="H1086" t="s">
        <v>6803</v>
      </c>
      <c r="I1086">
        <f>VLOOKUP(Table9[[#This Row],[Shortname]], Comp[], 6, FALSE)</f>
        <v>961</v>
      </c>
      <c r="J1086" s="14">
        <f>VLOOKUP(Table9[[#This Row],[Shortname]], Comp[], 7, FALSE)</f>
        <v>40.4</v>
      </c>
      <c r="K1086">
        <f>VLOOKUP(Table9[[#This Row],[Shortname]], Comp[], 8, FALSE)</f>
        <v>34</v>
      </c>
      <c r="L1086">
        <f>VLOOKUP(Table9[[#This Row],[Shortname]], Comp[], 9, FALSE)</f>
        <v>4.5</v>
      </c>
      <c r="M1086">
        <f>VLOOKUP(Table9[[#This Row],[Shortname]], Comp[], 10, FALSE)</f>
        <v>15.6</v>
      </c>
      <c r="N1086">
        <f>VLOOKUP(Table9[[#This Row],[Shortname]], Comp[], 11, FALSE)</f>
        <v>0</v>
      </c>
      <c r="O1086">
        <f>VLOOKUP(Table9[[#This Row],[Shortname]], Comp[],12, FALSE)</f>
        <v>5.5</v>
      </c>
      <c r="P1086">
        <f>VLOOKUP(Table9[[#This Row],[Shortname]], Comp[], 13, FALSE)</f>
        <v>0</v>
      </c>
      <c r="Q1086">
        <f>VLOOKUP(Table9[[#This Row],[Shortname]], Comp[], 14, FALSE)</f>
        <v>0</v>
      </c>
      <c r="R1086">
        <f>VLOOKUP(Table9[[#This Row],[Shortname]], Comp[], 15, FALSE)</f>
        <v>0</v>
      </c>
      <c r="S1086">
        <f>VLOOKUP(Table9[[#This Row],[Shortname]], Comp[], 16, FALSE)</f>
        <v>0</v>
      </c>
      <c r="T1086">
        <f>VLOOKUP(Table9[[#This Row],[Shortname]], Comp[], 17, FALSE)</f>
        <v>0</v>
      </c>
      <c r="U1086">
        <f>VLOOKUP(Table9[[#This Row],[Shortname]], Comp[], 18, FALSE)</f>
        <v>0</v>
      </c>
      <c r="V1086">
        <f>VLOOKUP(Table9[[#This Row],[Shortname]], Comp[], 19, FALSE)</f>
        <v>0</v>
      </c>
      <c r="W1086">
        <f>VLOOKUP(Table9[[#This Row],[Shortname]], Comp[], 20, FALSE)</f>
        <v>0</v>
      </c>
      <c r="X1086">
        <f>VLOOKUP(Table9[[#This Row],[Shortname]], Comp[], 21, FALSE)</f>
        <v>0</v>
      </c>
      <c r="Y1086">
        <f>VLOOKUP(Table9[[#This Row],[Shortname]], Comp[], 22, FALSE)</f>
        <v>0</v>
      </c>
      <c r="Z1086">
        <f>VLOOKUP(Table9[[#This Row],[Shortname]], Comp[], 23, FALSE)</f>
        <v>0</v>
      </c>
      <c r="AA1086">
        <f>VLOOKUP(Table9[[#This Row],[Shortname]], Comp[], 24, FALSE)</f>
        <v>0</v>
      </c>
      <c r="AB1086">
        <f>VLOOKUP(Table9[[#This Row],[Shortname]], Comp[], 25, FALSE)</f>
        <v>0</v>
      </c>
      <c r="AC1086">
        <f>VLOOKUP(Table9[[#This Row],[Shortname]], Comp[], 26, FALSE)</f>
        <v>0</v>
      </c>
      <c r="AD1086">
        <f>VLOOKUP(Table9[[#This Row],[Shortname]], Comp[], 27, FALSE)</f>
        <v>0</v>
      </c>
      <c r="AE1086">
        <f>VLOOKUP(Table9[[#This Row],[Shortname]], Comp[], 28, FALSE)</f>
        <v>0</v>
      </c>
      <c r="AF1086">
        <f>VLOOKUP(Table9[[#This Row],[Shortname]], Comp[], 29, FALSE)</f>
        <v>0</v>
      </c>
      <c r="AG1086">
        <f>VLOOKUP(Table9[[#This Row],[Shortname]], Comp[], 30, FALSE)</f>
        <v>0</v>
      </c>
      <c r="AH1086">
        <f>VLOOKUP(Table9[[#This Row],[Shortname]], Comp[], 31, FALSE)</f>
        <v>0</v>
      </c>
    </row>
    <row r="1087" spans="1:34" x14ac:dyDescent="0.3">
      <c r="A1087" t="s">
        <v>5965</v>
      </c>
      <c r="B1087" t="s">
        <v>5966</v>
      </c>
      <c r="C1087" t="s">
        <v>5961</v>
      </c>
      <c r="D1087">
        <v>736</v>
      </c>
      <c r="E1087">
        <v>25</v>
      </c>
      <c r="F1087">
        <v>1E-4</v>
      </c>
      <c r="G1087">
        <v>1</v>
      </c>
      <c r="H1087" t="s">
        <v>6803</v>
      </c>
      <c r="I1087">
        <f>VLOOKUP(Table9[[#This Row],[Shortname]], Comp[], 6, FALSE)</f>
        <v>962</v>
      </c>
      <c r="J1087" s="14">
        <f>VLOOKUP(Table9[[#This Row],[Shortname]], Comp[], 7, FALSE)</f>
        <v>38.4</v>
      </c>
      <c r="K1087">
        <f>VLOOKUP(Table9[[#This Row],[Shortname]], Comp[], 8, FALSE)</f>
        <v>34.299999999999997</v>
      </c>
      <c r="L1087">
        <f>VLOOKUP(Table9[[#This Row],[Shortname]], Comp[], 9, FALSE)</f>
        <v>4.7</v>
      </c>
      <c r="M1087">
        <f>VLOOKUP(Table9[[#This Row],[Shortname]], Comp[], 10, FALSE)</f>
        <v>15.6</v>
      </c>
      <c r="N1087">
        <f>VLOOKUP(Table9[[#This Row],[Shortname]], Comp[], 11, FALSE)</f>
        <v>0</v>
      </c>
      <c r="O1087">
        <f>VLOOKUP(Table9[[#This Row],[Shortname]], Comp[],12, FALSE)</f>
        <v>5.0999999999999996</v>
      </c>
      <c r="P1087">
        <f>VLOOKUP(Table9[[#This Row],[Shortname]], Comp[], 13, FALSE)</f>
        <v>1.9</v>
      </c>
      <c r="Q1087">
        <f>VLOOKUP(Table9[[#This Row],[Shortname]], Comp[], 14, FALSE)</f>
        <v>0</v>
      </c>
      <c r="R1087">
        <f>VLOOKUP(Table9[[#This Row],[Shortname]], Comp[], 15, FALSE)</f>
        <v>0</v>
      </c>
      <c r="S1087">
        <f>VLOOKUP(Table9[[#This Row],[Shortname]], Comp[], 16, FALSE)</f>
        <v>0</v>
      </c>
      <c r="T1087">
        <f>VLOOKUP(Table9[[#This Row],[Shortname]], Comp[], 17, FALSE)</f>
        <v>0</v>
      </c>
      <c r="U1087">
        <f>VLOOKUP(Table9[[#This Row],[Shortname]], Comp[], 18, FALSE)</f>
        <v>0</v>
      </c>
      <c r="V1087">
        <f>VLOOKUP(Table9[[#This Row],[Shortname]], Comp[], 19, FALSE)</f>
        <v>0</v>
      </c>
      <c r="W1087">
        <f>VLOOKUP(Table9[[#This Row],[Shortname]], Comp[], 20, FALSE)</f>
        <v>0</v>
      </c>
      <c r="X1087">
        <f>VLOOKUP(Table9[[#This Row],[Shortname]], Comp[], 21, FALSE)</f>
        <v>0</v>
      </c>
      <c r="Y1087">
        <f>VLOOKUP(Table9[[#This Row],[Shortname]], Comp[], 22, FALSE)</f>
        <v>0</v>
      </c>
      <c r="Z1087">
        <f>VLOOKUP(Table9[[#This Row],[Shortname]], Comp[], 23, FALSE)</f>
        <v>0</v>
      </c>
      <c r="AA1087">
        <f>VLOOKUP(Table9[[#This Row],[Shortname]], Comp[], 24, FALSE)</f>
        <v>0</v>
      </c>
      <c r="AB1087">
        <f>VLOOKUP(Table9[[#This Row],[Shortname]], Comp[], 25, FALSE)</f>
        <v>0</v>
      </c>
      <c r="AC1087">
        <f>VLOOKUP(Table9[[#This Row],[Shortname]], Comp[], 26, FALSE)</f>
        <v>0</v>
      </c>
      <c r="AD1087">
        <f>VLOOKUP(Table9[[#This Row],[Shortname]], Comp[], 27, FALSE)</f>
        <v>0</v>
      </c>
      <c r="AE1087">
        <f>VLOOKUP(Table9[[#This Row],[Shortname]], Comp[], 28, FALSE)</f>
        <v>0</v>
      </c>
      <c r="AF1087">
        <f>VLOOKUP(Table9[[#This Row],[Shortname]], Comp[], 29, FALSE)</f>
        <v>0</v>
      </c>
      <c r="AG1087">
        <f>VLOOKUP(Table9[[#This Row],[Shortname]], Comp[], 30, FALSE)</f>
        <v>0</v>
      </c>
      <c r="AH1087">
        <f>VLOOKUP(Table9[[#This Row],[Shortname]], Comp[], 31, FALSE)</f>
        <v>0</v>
      </c>
    </row>
    <row r="1088" spans="1:34" x14ac:dyDescent="0.3">
      <c r="A1088" t="s">
        <v>5965</v>
      </c>
      <c r="B1088" t="s">
        <v>5966</v>
      </c>
      <c r="C1088" t="s">
        <v>5961</v>
      </c>
      <c r="D1088">
        <v>665</v>
      </c>
      <c r="E1088">
        <v>600</v>
      </c>
      <c r="F1088">
        <v>1E-4</v>
      </c>
      <c r="G1088">
        <v>1</v>
      </c>
      <c r="H1088" t="s">
        <v>6803</v>
      </c>
      <c r="I1088">
        <f>VLOOKUP(Table9[[#This Row],[Shortname]], Comp[], 6, FALSE)</f>
        <v>962</v>
      </c>
      <c r="J1088" s="14">
        <f>VLOOKUP(Table9[[#This Row],[Shortname]], Comp[], 7, FALSE)</f>
        <v>38.4</v>
      </c>
      <c r="K1088">
        <f>VLOOKUP(Table9[[#This Row],[Shortname]], Comp[], 8, FALSE)</f>
        <v>34.299999999999997</v>
      </c>
      <c r="L1088">
        <f>VLOOKUP(Table9[[#This Row],[Shortname]], Comp[], 9, FALSE)</f>
        <v>4.7</v>
      </c>
      <c r="M1088">
        <f>VLOOKUP(Table9[[#This Row],[Shortname]], Comp[], 10, FALSE)</f>
        <v>15.6</v>
      </c>
      <c r="N1088">
        <f>VLOOKUP(Table9[[#This Row],[Shortname]], Comp[], 11, FALSE)</f>
        <v>0</v>
      </c>
      <c r="O1088">
        <f>VLOOKUP(Table9[[#This Row],[Shortname]], Comp[],12, FALSE)</f>
        <v>5.0999999999999996</v>
      </c>
      <c r="P1088">
        <f>VLOOKUP(Table9[[#This Row],[Shortname]], Comp[], 13, FALSE)</f>
        <v>1.9</v>
      </c>
      <c r="Q1088">
        <f>VLOOKUP(Table9[[#This Row],[Shortname]], Comp[], 14, FALSE)</f>
        <v>0</v>
      </c>
      <c r="R1088">
        <f>VLOOKUP(Table9[[#This Row],[Shortname]], Comp[], 15, FALSE)</f>
        <v>0</v>
      </c>
      <c r="S1088">
        <f>VLOOKUP(Table9[[#This Row],[Shortname]], Comp[], 16, FALSE)</f>
        <v>0</v>
      </c>
      <c r="T1088">
        <f>VLOOKUP(Table9[[#This Row],[Shortname]], Comp[], 17, FALSE)</f>
        <v>0</v>
      </c>
      <c r="U1088">
        <f>VLOOKUP(Table9[[#This Row],[Shortname]], Comp[], 18, FALSE)</f>
        <v>0</v>
      </c>
      <c r="V1088">
        <f>VLOOKUP(Table9[[#This Row],[Shortname]], Comp[], 19, FALSE)</f>
        <v>0</v>
      </c>
      <c r="W1088">
        <f>VLOOKUP(Table9[[#This Row],[Shortname]], Comp[], 20, FALSE)</f>
        <v>0</v>
      </c>
      <c r="X1088">
        <f>VLOOKUP(Table9[[#This Row],[Shortname]], Comp[], 21, FALSE)</f>
        <v>0</v>
      </c>
      <c r="Y1088">
        <f>VLOOKUP(Table9[[#This Row],[Shortname]], Comp[], 22, FALSE)</f>
        <v>0</v>
      </c>
      <c r="Z1088">
        <f>VLOOKUP(Table9[[#This Row],[Shortname]], Comp[], 23, FALSE)</f>
        <v>0</v>
      </c>
      <c r="AA1088">
        <f>VLOOKUP(Table9[[#This Row],[Shortname]], Comp[], 24, FALSE)</f>
        <v>0</v>
      </c>
      <c r="AB1088">
        <f>VLOOKUP(Table9[[#This Row],[Shortname]], Comp[], 25, FALSE)</f>
        <v>0</v>
      </c>
      <c r="AC1088">
        <f>VLOOKUP(Table9[[#This Row],[Shortname]], Comp[], 26, FALSE)</f>
        <v>0</v>
      </c>
      <c r="AD1088">
        <f>VLOOKUP(Table9[[#This Row],[Shortname]], Comp[], 27, FALSE)</f>
        <v>0</v>
      </c>
      <c r="AE1088">
        <f>VLOOKUP(Table9[[#This Row],[Shortname]], Comp[], 28, FALSE)</f>
        <v>0</v>
      </c>
      <c r="AF1088">
        <f>VLOOKUP(Table9[[#This Row],[Shortname]], Comp[], 29, FALSE)</f>
        <v>0</v>
      </c>
      <c r="AG1088">
        <f>VLOOKUP(Table9[[#This Row],[Shortname]], Comp[], 30, FALSE)</f>
        <v>0</v>
      </c>
      <c r="AH1088">
        <f>VLOOKUP(Table9[[#This Row],[Shortname]], Comp[], 31, FALSE)</f>
        <v>0</v>
      </c>
    </row>
    <row r="1089" spans="1:34" x14ac:dyDescent="0.3">
      <c r="A1089" t="s">
        <v>5965</v>
      </c>
      <c r="B1089" t="s">
        <v>5966</v>
      </c>
      <c r="C1089" t="s">
        <v>5961</v>
      </c>
      <c r="D1089">
        <v>816</v>
      </c>
      <c r="E1089">
        <v>750</v>
      </c>
      <c r="F1089">
        <v>1E-4</v>
      </c>
      <c r="G1089">
        <v>1</v>
      </c>
      <c r="H1089" t="s">
        <v>6803</v>
      </c>
      <c r="I1089">
        <f>VLOOKUP(Table9[[#This Row],[Shortname]], Comp[], 6, FALSE)</f>
        <v>962</v>
      </c>
      <c r="J1089" s="14">
        <f>VLOOKUP(Table9[[#This Row],[Shortname]], Comp[], 7, FALSE)</f>
        <v>38.4</v>
      </c>
      <c r="K1089">
        <f>VLOOKUP(Table9[[#This Row],[Shortname]], Comp[], 8, FALSE)</f>
        <v>34.299999999999997</v>
      </c>
      <c r="L1089">
        <f>VLOOKUP(Table9[[#This Row],[Shortname]], Comp[], 9, FALSE)</f>
        <v>4.7</v>
      </c>
      <c r="M1089">
        <f>VLOOKUP(Table9[[#This Row],[Shortname]], Comp[], 10, FALSE)</f>
        <v>15.6</v>
      </c>
      <c r="N1089">
        <f>VLOOKUP(Table9[[#This Row],[Shortname]], Comp[], 11, FALSE)</f>
        <v>0</v>
      </c>
      <c r="O1089">
        <f>VLOOKUP(Table9[[#This Row],[Shortname]], Comp[],12, FALSE)</f>
        <v>5.0999999999999996</v>
      </c>
      <c r="P1089">
        <f>VLOOKUP(Table9[[#This Row],[Shortname]], Comp[], 13, FALSE)</f>
        <v>1.9</v>
      </c>
      <c r="Q1089">
        <f>VLOOKUP(Table9[[#This Row],[Shortname]], Comp[], 14, FALSE)</f>
        <v>0</v>
      </c>
      <c r="R1089">
        <f>VLOOKUP(Table9[[#This Row],[Shortname]], Comp[], 15, FALSE)</f>
        <v>0</v>
      </c>
      <c r="S1089">
        <f>VLOOKUP(Table9[[#This Row],[Shortname]], Comp[], 16, FALSE)</f>
        <v>0</v>
      </c>
      <c r="T1089">
        <f>VLOOKUP(Table9[[#This Row],[Shortname]], Comp[], 17, FALSE)</f>
        <v>0</v>
      </c>
      <c r="U1089">
        <f>VLOOKUP(Table9[[#This Row],[Shortname]], Comp[], 18, FALSE)</f>
        <v>0</v>
      </c>
      <c r="V1089">
        <f>VLOOKUP(Table9[[#This Row],[Shortname]], Comp[], 19, FALSE)</f>
        <v>0</v>
      </c>
      <c r="W1089">
        <f>VLOOKUP(Table9[[#This Row],[Shortname]], Comp[], 20, FALSE)</f>
        <v>0</v>
      </c>
      <c r="X1089">
        <f>VLOOKUP(Table9[[#This Row],[Shortname]], Comp[], 21, FALSE)</f>
        <v>0</v>
      </c>
      <c r="Y1089">
        <f>VLOOKUP(Table9[[#This Row],[Shortname]], Comp[], 22, FALSE)</f>
        <v>0</v>
      </c>
      <c r="Z1089">
        <f>VLOOKUP(Table9[[#This Row],[Shortname]], Comp[], 23, FALSE)</f>
        <v>0</v>
      </c>
      <c r="AA1089">
        <f>VLOOKUP(Table9[[#This Row],[Shortname]], Comp[], 24, FALSE)</f>
        <v>0</v>
      </c>
      <c r="AB1089">
        <f>VLOOKUP(Table9[[#This Row],[Shortname]], Comp[], 25, FALSE)</f>
        <v>0</v>
      </c>
      <c r="AC1089">
        <f>VLOOKUP(Table9[[#This Row],[Shortname]], Comp[], 26, FALSE)</f>
        <v>0</v>
      </c>
      <c r="AD1089">
        <f>VLOOKUP(Table9[[#This Row],[Shortname]], Comp[], 27, FALSE)</f>
        <v>0</v>
      </c>
      <c r="AE1089">
        <f>VLOOKUP(Table9[[#This Row],[Shortname]], Comp[], 28, FALSE)</f>
        <v>0</v>
      </c>
      <c r="AF1089">
        <f>VLOOKUP(Table9[[#This Row],[Shortname]], Comp[], 29, FALSE)</f>
        <v>0</v>
      </c>
      <c r="AG1089">
        <f>VLOOKUP(Table9[[#This Row],[Shortname]], Comp[], 30, FALSE)</f>
        <v>0</v>
      </c>
      <c r="AH1089">
        <f>VLOOKUP(Table9[[#This Row],[Shortname]], Comp[], 31, FALSE)</f>
        <v>0</v>
      </c>
    </row>
    <row r="1090" spans="1:34" x14ac:dyDescent="0.3">
      <c r="A1090" t="s">
        <v>5965</v>
      </c>
      <c r="B1090" t="s">
        <v>5966</v>
      </c>
      <c r="C1090" t="s">
        <v>5961</v>
      </c>
      <c r="D1090">
        <v>650</v>
      </c>
      <c r="E1090">
        <v>850</v>
      </c>
      <c r="F1090">
        <v>1E-4</v>
      </c>
      <c r="G1090">
        <v>1</v>
      </c>
      <c r="H1090" t="s">
        <v>6803</v>
      </c>
      <c r="I1090">
        <f>VLOOKUP(Table9[[#This Row],[Shortname]], Comp[], 6, FALSE)</f>
        <v>962</v>
      </c>
      <c r="J1090" s="14">
        <f>VLOOKUP(Table9[[#This Row],[Shortname]], Comp[], 7, FALSE)</f>
        <v>38.4</v>
      </c>
      <c r="K1090">
        <f>VLOOKUP(Table9[[#This Row],[Shortname]], Comp[], 8, FALSE)</f>
        <v>34.299999999999997</v>
      </c>
      <c r="L1090">
        <f>VLOOKUP(Table9[[#This Row],[Shortname]], Comp[], 9, FALSE)</f>
        <v>4.7</v>
      </c>
      <c r="M1090">
        <f>VLOOKUP(Table9[[#This Row],[Shortname]], Comp[], 10, FALSE)</f>
        <v>15.6</v>
      </c>
      <c r="N1090">
        <f>VLOOKUP(Table9[[#This Row],[Shortname]], Comp[], 11, FALSE)</f>
        <v>0</v>
      </c>
      <c r="O1090">
        <f>VLOOKUP(Table9[[#This Row],[Shortname]], Comp[],12, FALSE)</f>
        <v>5.0999999999999996</v>
      </c>
      <c r="P1090">
        <f>VLOOKUP(Table9[[#This Row],[Shortname]], Comp[], 13, FALSE)</f>
        <v>1.9</v>
      </c>
      <c r="Q1090">
        <f>VLOOKUP(Table9[[#This Row],[Shortname]], Comp[], 14, FALSE)</f>
        <v>0</v>
      </c>
      <c r="R1090">
        <f>VLOOKUP(Table9[[#This Row],[Shortname]], Comp[], 15, FALSE)</f>
        <v>0</v>
      </c>
      <c r="S1090">
        <f>VLOOKUP(Table9[[#This Row],[Shortname]], Comp[], 16, FALSE)</f>
        <v>0</v>
      </c>
      <c r="T1090">
        <f>VLOOKUP(Table9[[#This Row],[Shortname]], Comp[], 17, FALSE)</f>
        <v>0</v>
      </c>
      <c r="U1090">
        <f>VLOOKUP(Table9[[#This Row],[Shortname]], Comp[], 18, FALSE)</f>
        <v>0</v>
      </c>
      <c r="V1090">
        <f>VLOOKUP(Table9[[#This Row],[Shortname]], Comp[], 19, FALSE)</f>
        <v>0</v>
      </c>
      <c r="W1090">
        <f>VLOOKUP(Table9[[#This Row],[Shortname]], Comp[], 20, FALSE)</f>
        <v>0</v>
      </c>
      <c r="X1090">
        <f>VLOOKUP(Table9[[#This Row],[Shortname]], Comp[], 21, FALSE)</f>
        <v>0</v>
      </c>
      <c r="Y1090">
        <f>VLOOKUP(Table9[[#This Row],[Shortname]], Comp[], 22, FALSE)</f>
        <v>0</v>
      </c>
      <c r="Z1090">
        <f>VLOOKUP(Table9[[#This Row],[Shortname]], Comp[], 23, FALSE)</f>
        <v>0</v>
      </c>
      <c r="AA1090">
        <f>VLOOKUP(Table9[[#This Row],[Shortname]], Comp[], 24, FALSE)</f>
        <v>0</v>
      </c>
      <c r="AB1090">
        <f>VLOOKUP(Table9[[#This Row],[Shortname]], Comp[], 25, FALSE)</f>
        <v>0</v>
      </c>
      <c r="AC1090">
        <f>VLOOKUP(Table9[[#This Row],[Shortname]], Comp[], 26, FALSE)</f>
        <v>0</v>
      </c>
      <c r="AD1090">
        <f>VLOOKUP(Table9[[#This Row],[Shortname]], Comp[], 27, FALSE)</f>
        <v>0</v>
      </c>
      <c r="AE1090">
        <f>VLOOKUP(Table9[[#This Row],[Shortname]], Comp[], 28, FALSE)</f>
        <v>0</v>
      </c>
      <c r="AF1090">
        <f>VLOOKUP(Table9[[#This Row],[Shortname]], Comp[], 29, FALSE)</f>
        <v>0</v>
      </c>
      <c r="AG1090">
        <f>VLOOKUP(Table9[[#This Row],[Shortname]], Comp[], 30, FALSE)</f>
        <v>0</v>
      </c>
      <c r="AH1090">
        <f>VLOOKUP(Table9[[#This Row],[Shortname]], Comp[], 31, FALSE)</f>
        <v>0</v>
      </c>
    </row>
    <row r="1091" spans="1:34" x14ac:dyDescent="0.3">
      <c r="A1091" t="s">
        <v>5969</v>
      </c>
      <c r="B1091" t="s">
        <v>5970</v>
      </c>
      <c r="C1091" t="s">
        <v>5961</v>
      </c>
      <c r="D1091">
        <v>726</v>
      </c>
      <c r="E1091">
        <v>25</v>
      </c>
      <c r="F1091">
        <v>1E-4</v>
      </c>
      <c r="G1091">
        <v>1</v>
      </c>
      <c r="H1091" t="s">
        <v>6803</v>
      </c>
      <c r="I1091">
        <f>VLOOKUP(Table9[[#This Row],[Shortname]], Comp[], 6, FALSE)</f>
        <v>963</v>
      </c>
      <c r="J1091" s="14">
        <f>VLOOKUP(Table9[[#This Row],[Shortname]], Comp[], 7, FALSE)</f>
        <v>38.6</v>
      </c>
      <c r="K1091">
        <f>VLOOKUP(Table9[[#This Row],[Shortname]], Comp[], 8, FALSE)</f>
        <v>34.700000000000003</v>
      </c>
      <c r="L1091">
        <f>VLOOKUP(Table9[[#This Row],[Shortname]], Comp[], 9, FALSE)</f>
        <v>4.5</v>
      </c>
      <c r="M1091">
        <f>VLOOKUP(Table9[[#This Row],[Shortname]], Comp[], 10, FALSE)</f>
        <v>15.5</v>
      </c>
      <c r="N1091">
        <f>VLOOKUP(Table9[[#This Row],[Shortname]], Comp[], 11, FALSE)</f>
        <v>0</v>
      </c>
      <c r="O1091">
        <f>VLOOKUP(Table9[[#This Row],[Shortname]], Comp[],12, FALSE)</f>
        <v>4.9000000000000004</v>
      </c>
      <c r="P1091">
        <f>VLOOKUP(Table9[[#This Row],[Shortname]], Comp[], 13, FALSE)</f>
        <v>0</v>
      </c>
      <c r="Q1091">
        <f>VLOOKUP(Table9[[#This Row],[Shortname]], Comp[], 14, FALSE)</f>
        <v>1.8</v>
      </c>
      <c r="R1091">
        <f>VLOOKUP(Table9[[#This Row],[Shortname]], Comp[], 15, FALSE)</f>
        <v>0</v>
      </c>
      <c r="S1091">
        <f>VLOOKUP(Table9[[#This Row],[Shortname]], Comp[], 16, FALSE)</f>
        <v>0</v>
      </c>
      <c r="T1091">
        <f>VLOOKUP(Table9[[#This Row],[Shortname]], Comp[], 17, FALSE)</f>
        <v>0</v>
      </c>
      <c r="U1091">
        <f>VLOOKUP(Table9[[#This Row],[Shortname]], Comp[], 18, FALSE)</f>
        <v>0</v>
      </c>
      <c r="V1091">
        <f>VLOOKUP(Table9[[#This Row],[Shortname]], Comp[], 19, FALSE)</f>
        <v>0</v>
      </c>
      <c r="W1091">
        <f>VLOOKUP(Table9[[#This Row],[Shortname]], Comp[], 20, FALSE)</f>
        <v>0</v>
      </c>
      <c r="X1091">
        <f>VLOOKUP(Table9[[#This Row],[Shortname]], Comp[], 21, FALSE)</f>
        <v>0</v>
      </c>
      <c r="Y1091">
        <f>VLOOKUP(Table9[[#This Row],[Shortname]], Comp[], 22, FALSE)</f>
        <v>0</v>
      </c>
      <c r="Z1091">
        <f>VLOOKUP(Table9[[#This Row],[Shortname]], Comp[], 23, FALSE)</f>
        <v>0</v>
      </c>
      <c r="AA1091">
        <f>VLOOKUP(Table9[[#This Row],[Shortname]], Comp[], 24, FALSE)</f>
        <v>0</v>
      </c>
      <c r="AB1091">
        <f>VLOOKUP(Table9[[#This Row],[Shortname]], Comp[], 25, FALSE)</f>
        <v>0</v>
      </c>
      <c r="AC1091">
        <f>VLOOKUP(Table9[[#This Row],[Shortname]], Comp[], 26, FALSE)</f>
        <v>0</v>
      </c>
      <c r="AD1091">
        <f>VLOOKUP(Table9[[#This Row],[Shortname]], Comp[], 27, FALSE)</f>
        <v>0</v>
      </c>
      <c r="AE1091">
        <f>VLOOKUP(Table9[[#This Row],[Shortname]], Comp[], 28, FALSE)</f>
        <v>0</v>
      </c>
      <c r="AF1091">
        <f>VLOOKUP(Table9[[#This Row],[Shortname]], Comp[], 29, FALSE)</f>
        <v>0</v>
      </c>
      <c r="AG1091">
        <f>VLOOKUP(Table9[[#This Row],[Shortname]], Comp[], 30, FALSE)</f>
        <v>0</v>
      </c>
      <c r="AH1091">
        <f>VLOOKUP(Table9[[#This Row],[Shortname]], Comp[], 31, FALSE)</f>
        <v>0</v>
      </c>
    </row>
    <row r="1092" spans="1:34" x14ac:dyDescent="0.3">
      <c r="A1092" t="s">
        <v>5969</v>
      </c>
      <c r="B1092" t="s">
        <v>5970</v>
      </c>
      <c r="C1092" t="s">
        <v>5961</v>
      </c>
      <c r="D1092">
        <v>624</v>
      </c>
      <c r="E1092">
        <v>600</v>
      </c>
      <c r="F1092">
        <v>1E-4</v>
      </c>
      <c r="G1092">
        <v>1</v>
      </c>
      <c r="H1092" t="s">
        <v>6803</v>
      </c>
      <c r="I1092">
        <f>VLOOKUP(Table9[[#This Row],[Shortname]], Comp[], 6, FALSE)</f>
        <v>963</v>
      </c>
      <c r="J1092" s="14">
        <f>VLOOKUP(Table9[[#This Row],[Shortname]], Comp[], 7, FALSE)</f>
        <v>38.6</v>
      </c>
      <c r="K1092">
        <f>VLOOKUP(Table9[[#This Row],[Shortname]], Comp[], 8, FALSE)</f>
        <v>34.700000000000003</v>
      </c>
      <c r="L1092">
        <f>VLOOKUP(Table9[[#This Row],[Shortname]], Comp[], 9, FALSE)</f>
        <v>4.5</v>
      </c>
      <c r="M1092">
        <f>VLOOKUP(Table9[[#This Row],[Shortname]], Comp[], 10, FALSE)</f>
        <v>15.5</v>
      </c>
      <c r="N1092">
        <f>VLOOKUP(Table9[[#This Row],[Shortname]], Comp[], 11, FALSE)</f>
        <v>0</v>
      </c>
      <c r="O1092">
        <f>VLOOKUP(Table9[[#This Row],[Shortname]], Comp[],12, FALSE)</f>
        <v>4.9000000000000004</v>
      </c>
      <c r="P1092">
        <f>VLOOKUP(Table9[[#This Row],[Shortname]], Comp[], 13, FALSE)</f>
        <v>0</v>
      </c>
      <c r="Q1092">
        <f>VLOOKUP(Table9[[#This Row],[Shortname]], Comp[], 14, FALSE)</f>
        <v>1.8</v>
      </c>
      <c r="R1092">
        <f>VLOOKUP(Table9[[#This Row],[Shortname]], Comp[], 15, FALSE)</f>
        <v>0</v>
      </c>
      <c r="S1092">
        <f>VLOOKUP(Table9[[#This Row],[Shortname]], Comp[], 16, FALSE)</f>
        <v>0</v>
      </c>
      <c r="T1092">
        <f>VLOOKUP(Table9[[#This Row],[Shortname]], Comp[], 17, FALSE)</f>
        <v>0</v>
      </c>
      <c r="U1092">
        <f>VLOOKUP(Table9[[#This Row],[Shortname]], Comp[], 18, FALSE)</f>
        <v>0</v>
      </c>
      <c r="V1092">
        <f>VLOOKUP(Table9[[#This Row],[Shortname]], Comp[], 19, FALSE)</f>
        <v>0</v>
      </c>
      <c r="W1092">
        <f>VLOOKUP(Table9[[#This Row],[Shortname]], Comp[], 20, FALSE)</f>
        <v>0</v>
      </c>
      <c r="X1092">
        <f>VLOOKUP(Table9[[#This Row],[Shortname]], Comp[], 21, FALSE)</f>
        <v>0</v>
      </c>
      <c r="Y1092">
        <f>VLOOKUP(Table9[[#This Row],[Shortname]], Comp[], 22, FALSE)</f>
        <v>0</v>
      </c>
      <c r="Z1092">
        <f>VLOOKUP(Table9[[#This Row],[Shortname]], Comp[], 23, FALSE)</f>
        <v>0</v>
      </c>
      <c r="AA1092">
        <f>VLOOKUP(Table9[[#This Row],[Shortname]], Comp[], 24, FALSE)</f>
        <v>0</v>
      </c>
      <c r="AB1092">
        <f>VLOOKUP(Table9[[#This Row],[Shortname]], Comp[], 25, FALSE)</f>
        <v>0</v>
      </c>
      <c r="AC1092">
        <f>VLOOKUP(Table9[[#This Row],[Shortname]], Comp[], 26, FALSE)</f>
        <v>0</v>
      </c>
      <c r="AD1092">
        <f>VLOOKUP(Table9[[#This Row],[Shortname]], Comp[], 27, FALSE)</f>
        <v>0</v>
      </c>
      <c r="AE1092">
        <f>VLOOKUP(Table9[[#This Row],[Shortname]], Comp[], 28, FALSE)</f>
        <v>0</v>
      </c>
      <c r="AF1092">
        <f>VLOOKUP(Table9[[#This Row],[Shortname]], Comp[], 29, FALSE)</f>
        <v>0</v>
      </c>
      <c r="AG1092">
        <f>VLOOKUP(Table9[[#This Row],[Shortname]], Comp[], 30, FALSE)</f>
        <v>0</v>
      </c>
      <c r="AH1092">
        <f>VLOOKUP(Table9[[#This Row],[Shortname]], Comp[], 31, FALSE)</f>
        <v>0</v>
      </c>
    </row>
    <row r="1093" spans="1:34" x14ac:dyDescent="0.3">
      <c r="A1093" t="s">
        <v>5969</v>
      </c>
      <c r="B1093" t="s">
        <v>5970</v>
      </c>
      <c r="C1093" t="s">
        <v>5961</v>
      </c>
      <c r="D1093">
        <v>711</v>
      </c>
      <c r="E1093">
        <v>750</v>
      </c>
      <c r="F1093">
        <v>1E-4</v>
      </c>
      <c r="G1093">
        <v>1</v>
      </c>
      <c r="H1093" t="s">
        <v>6803</v>
      </c>
      <c r="I1093">
        <f>VLOOKUP(Table9[[#This Row],[Shortname]], Comp[], 6, FALSE)</f>
        <v>963</v>
      </c>
      <c r="J1093" s="14">
        <f>VLOOKUP(Table9[[#This Row],[Shortname]], Comp[], 7, FALSE)</f>
        <v>38.6</v>
      </c>
      <c r="K1093">
        <f>VLOOKUP(Table9[[#This Row],[Shortname]], Comp[], 8, FALSE)</f>
        <v>34.700000000000003</v>
      </c>
      <c r="L1093">
        <f>VLOOKUP(Table9[[#This Row],[Shortname]], Comp[], 9, FALSE)</f>
        <v>4.5</v>
      </c>
      <c r="M1093">
        <f>VLOOKUP(Table9[[#This Row],[Shortname]], Comp[], 10, FALSE)</f>
        <v>15.5</v>
      </c>
      <c r="N1093">
        <f>VLOOKUP(Table9[[#This Row],[Shortname]], Comp[], 11, FALSE)</f>
        <v>0</v>
      </c>
      <c r="O1093">
        <f>VLOOKUP(Table9[[#This Row],[Shortname]], Comp[],12, FALSE)</f>
        <v>4.9000000000000004</v>
      </c>
      <c r="P1093">
        <f>VLOOKUP(Table9[[#This Row],[Shortname]], Comp[], 13, FALSE)</f>
        <v>0</v>
      </c>
      <c r="Q1093">
        <f>VLOOKUP(Table9[[#This Row],[Shortname]], Comp[], 14, FALSE)</f>
        <v>1.8</v>
      </c>
      <c r="R1093">
        <f>VLOOKUP(Table9[[#This Row],[Shortname]], Comp[], 15, FALSE)</f>
        <v>0</v>
      </c>
      <c r="S1093">
        <f>VLOOKUP(Table9[[#This Row],[Shortname]], Comp[], 16, FALSE)</f>
        <v>0</v>
      </c>
      <c r="T1093">
        <f>VLOOKUP(Table9[[#This Row],[Shortname]], Comp[], 17, FALSE)</f>
        <v>0</v>
      </c>
      <c r="U1093">
        <f>VLOOKUP(Table9[[#This Row],[Shortname]], Comp[], 18, FALSE)</f>
        <v>0</v>
      </c>
      <c r="V1093">
        <f>VLOOKUP(Table9[[#This Row],[Shortname]], Comp[], 19, FALSE)</f>
        <v>0</v>
      </c>
      <c r="W1093">
        <f>VLOOKUP(Table9[[#This Row],[Shortname]], Comp[], 20, FALSE)</f>
        <v>0</v>
      </c>
      <c r="X1093">
        <f>VLOOKUP(Table9[[#This Row],[Shortname]], Comp[], 21, FALSE)</f>
        <v>0</v>
      </c>
      <c r="Y1093">
        <f>VLOOKUP(Table9[[#This Row],[Shortname]], Comp[], 22, FALSE)</f>
        <v>0</v>
      </c>
      <c r="Z1093">
        <f>VLOOKUP(Table9[[#This Row],[Shortname]], Comp[], 23, FALSE)</f>
        <v>0</v>
      </c>
      <c r="AA1093">
        <f>VLOOKUP(Table9[[#This Row],[Shortname]], Comp[], 24, FALSE)</f>
        <v>0</v>
      </c>
      <c r="AB1093">
        <f>VLOOKUP(Table9[[#This Row],[Shortname]], Comp[], 25, FALSE)</f>
        <v>0</v>
      </c>
      <c r="AC1093">
        <f>VLOOKUP(Table9[[#This Row],[Shortname]], Comp[], 26, FALSE)</f>
        <v>0</v>
      </c>
      <c r="AD1093">
        <f>VLOOKUP(Table9[[#This Row],[Shortname]], Comp[], 27, FALSE)</f>
        <v>0</v>
      </c>
      <c r="AE1093">
        <f>VLOOKUP(Table9[[#This Row],[Shortname]], Comp[], 28, FALSE)</f>
        <v>0</v>
      </c>
      <c r="AF1093">
        <f>VLOOKUP(Table9[[#This Row],[Shortname]], Comp[], 29, FALSE)</f>
        <v>0</v>
      </c>
      <c r="AG1093">
        <f>VLOOKUP(Table9[[#This Row],[Shortname]], Comp[], 30, FALSE)</f>
        <v>0</v>
      </c>
      <c r="AH1093">
        <f>VLOOKUP(Table9[[#This Row],[Shortname]], Comp[], 31, FALSE)</f>
        <v>0</v>
      </c>
    </row>
    <row r="1094" spans="1:34" x14ac:dyDescent="0.3">
      <c r="A1094" t="s">
        <v>5969</v>
      </c>
      <c r="B1094" t="s">
        <v>5970</v>
      </c>
      <c r="C1094" t="s">
        <v>5961</v>
      </c>
      <c r="D1094">
        <v>550</v>
      </c>
      <c r="E1094">
        <v>850</v>
      </c>
      <c r="F1094">
        <v>1E-4</v>
      </c>
      <c r="G1094">
        <v>1</v>
      </c>
      <c r="H1094" t="s">
        <v>6803</v>
      </c>
      <c r="I1094">
        <f>VLOOKUP(Table9[[#This Row],[Shortname]], Comp[], 6, FALSE)</f>
        <v>963</v>
      </c>
      <c r="J1094" s="14">
        <f>VLOOKUP(Table9[[#This Row],[Shortname]], Comp[], 7, FALSE)</f>
        <v>38.6</v>
      </c>
      <c r="K1094">
        <f>VLOOKUP(Table9[[#This Row],[Shortname]], Comp[], 8, FALSE)</f>
        <v>34.700000000000003</v>
      </c>
      <c r="L1094">
        <f>VLOOKUP(Table9[[#This Row],[Shortname]], Comp[], 9, FALSE)</f>
        <v>4.5</v>
      </c>
      <c r="M1094">
        <f>VLOOKUP(Table9[[#This Row],[Shortname]], Comp[], 10, FALSE)</f>
        <v>15.5</v>
      </c>
      <c r="N1094">
        <f>VLOOKUP(Table9[[#This Row],[Shortname]], Comp[], 11, FALSE)</f>
        <v>0</v>
      </c>
      <c r="O1094">
        <f>VLOOKUP(Table9[[#This Row],[Shortname]], Comp[],12, FALSE)</f>
        <v>4.9000000000000004</v>
      </c>
      <c r="P1094">
        <f>VLOOKUP(Table9[[#This Row],[Shortname]], Comp[], 13, FALSE)</f>
        <v>0</v>
      </c>
      <c r="Q1094">
        <f>VLOOKUP(Table9[[#This Row],[Shortname]], Comp[], 14, FALSE)</f>
        <v>1.8</v>
      </c>
      <c r="R1094">
        <f>VLOOKUP(Table9[[#This Row],[Shortname]], Comp[], 15, FALSE)</f>
        <v>0</v>
      </c>
      <c r="S1094">
        <f>VLOOKUP(Table9[[#This Row],[Shortname]], Comp[], 16, FALSE)</f>
        <v>0</v>
      </c>
      <c r="T1094">
        <f>VLOOKUP(Table9[[#This Row],[Shortname]], Comp[], 17, FALSE)</f>
        <v>0</v>
      </c>
      <c r="U1094">
        <f>VLOOKUP(Table9[[#This Row],[Shortname]], Comp[], 18, FALSE)</f>
        <v>0</v>
      </c>
      <c r="V1094">
        <f>VLOOKUP(Table9[[#This Row],[Shortname]], Comp[], 19, FALSE)</f>
        <v>0</v>
      </c>
      <c r="W1094">
        <f>VLOOKUP(Table9[[#This Row],[Shortname]], Comp[], 20, FALSE)</f>
        <v>0</v>
      </c>
      <c r="X1094">
        <f>VLOOKUP(Table9[[#This Row],[Shortname]], Comp[], 21, FALSE)</f>
        <v>0</v>
      </c>
      <c r="Y1094">
        <f>VLOOKUP(Table9[[#This Row],[Shortname]], Comp[], 22, FALSE)</f>
        <v>0</v>
      </c>
      <c r="Z1094">
        <f>VLOOKUP(Table9[[#This Row],[Shortname]], Comp[], 23, FALSE)</f>
        <v>0</v>
      </c>
      <c r="AA1094">
        <f>VLOOKUP(Table9[[#This Row],[Shortname]], Comp[], 24, FALSE)</f>
        <v>0</v>
      </c>
      <c r="AB1094">
        <f>VLOOKUP(Table9[[#This Row],[Shortname]], Comp[], 25, FALSE)</f>
        <v>0</v>
      </c>
      <c r="AC1094">
        <f>VLOOKUP(Table9[[#This Row],[Shortname]], Comp[], 26, FALSE)</f>
        <v>0</v>
      </c>
      <c r="AD1094">
        <f>VLOOKUP(Table9[[#This Row],[Shortname]], Comp[], 27, FALSE)</f>
        <v>0</v>
      </c>
      <c r="AE1094">
        <f>VLOOKUP(Table9[[#This Row],[Shortname]], Comp[], 28, FALSE)</f>
        <v>0</v>
      </c>
      <c r="AF1094">
        <f>VLOOKUP(Table9[[#This Row],[Shortname]], Comp[], 29, FALSE)</f>
        <v>0</v>
      </c>
      <c r="AG1094">
        <f>VLOOKUP(Table9[[#This Row],[Shortname]], Comp[], 30, FALSE)</f>
        <v>0</v>
      </c>
      <c r="AH1094">
        <f>VLOOKUP(Table9[[#This Row],[Shortname]], Comp[], 31, FALSE)</f>
        <v>0</v>
      </c>
    </row>
    <row r="1095" spans="1:34" x14ac:dyDescent="0.3">
      <c r="A1095" t="s">
        <v>5973</v>
      </c>
      <c r="B1095" t="s">
        <v>5974</v>
      </c>
      <c r="C1095" t="s">
        <v>5961</v>
      </c>
      <c r="D1095">
        <v>713</v>
      </c>
      <c r="E1095">
        <v>25</v>
      </c>
      <c r="F1095">
        <v>1E-4</v>
      </c>
      <c r="G1095">
        <v>1</v>
      </c>
      <c r="H1095" t="s">
        <v>6803</v>
      </c>
      <c r="I1095">
        <f>VLOOKUP(Table9[[#This Row],[Shortname]], Comp[], 6, FALSE)</f>
        <v>964</v>
      </c>
      <c r="J1095" s="14">
        <f>VLOOKUP(Table9[[#This Row],[Shortname]], Comp[], 7, FALSE)</f>
        <v>37.5</v>
      </c>
      <c r="K1095">
        <f>VLOOKUP(Table9[[#This Row],[Shortname]], Comp[], 8, FALSE)</f>
        <v>34.6</v>
      </c>
      <c r="L1095">
        <f>VLOOKUP(Table9[[#This Row],[Shortname]], Comp[], 9, FALSE)</f>
        <v>4.4000000000000004</v>
      </c>
      <c r="M1095">
        <f>VLOOKUP(Table9[[#This Row],[Shortname]], Comp[], 10, FALSE)</f>
        <v>15.4</v>
      </c>
      <c r="N1095">
        <f>VLOOKUP(Table9[[#This Row],[Shortname]], Comp[], 11, FALSE)</f>
        <v>0.9</v>
      </c>
      <c r="O1095">
        <f>VLOOKUP(Table9[[#This Row],[Shortname]], Comp[],12, FALSE)</f>
        <v>5.2</v>
      </c>
      <c r="P1095">
        <f>VLOOKUP(Table9[[#This Row],[Shortname]], Comp[], 13, FALSE)</f>
        <v>0</v>
      </c>
      <c r="Q1095">
        <f>VLOOKUP(Table9[[#This Row],[Shortname]], Comp[], 14, FALSE)</f>
        <v>0</v>
      </c>
      <c r="R1095">
        <f>VLOOKUP(Table9[[#This Row],[Shortname]], Comp[], 15, FALSE)</f>
        <v>0</v>
      </c>
      <c r="S1095">
        <f>VLOOKUP(Table9[[#This Row],[Shortname]], Comp[], 16, FALSE)</f>
        <v>2</v>
      </c>
      <c r="T1095">
        <f>VLOOKUP(Table9[[#This Row],[Shortname]], Comp[], 17, FALSE)</f>
        <v>0</v>
      </c>
      <c r="U1095">
        <f>VLOOKUP(Table9[[#This Row],[Shortname]], Comp[], 18, FALSE)</f>
        <v>0</v>
      </c>
      <c r="V1095">
        <f>VLOOKUP(Table9[[#This Row],[Shortname]], Comp[], 19, FALSE)</f>
        <v>0</v>
      </c>
      <c r="W1095">
        <f>VLOOKUP(Table9[[#This Row],[Shortname]], Comp[], 20, FALSE)</f>
        <v>0</v>
      </c>
      <c r="X1095">
        <f>VLOOKUP(Table9[[#This Row],[Shortname]], Comp[], 21, FALSE)</f>
        <v>0</v>
      </c>
      <c r="Y1095">
        <f>VLOOKUP(Table9[[#This Row],[Shortname]], Comp[], 22, FALSE)</f>
        <v>0</v>
      </c>
      <c r="Z1095">
        <f>VLOOKUP(Table9[[#This Row],[Shortname]], Comp[], 23, FALSE)</f>
        <v>0</v>
      </c>
      <c r="AA1095">
        <f>VLOOKUP(Table9[[#This Row],[Shortname]], Comp[], 24, FALSE)</f>
        <v>0</v>
      </c>
      <c r="AB1095">
        <f>VLOOKUP(Table9[[#This Row],[Shortname]], Comp[], 25, FALSE)</f>
        <v>0</v>
      </c>
      <c r="AC1095">
        <f>VLOOKUP(Table9[[#This Row],[Shortname]], Comp[], 26, FALSE)</f>
        <v>0</v>
      </c>
      <c r="AD1095">
        <f>VLOOKUP(Table9[[#This Row],[Shortname]], Comp[], 27, FALSE)</f>
        <v>0</v>
      </c>
      <c r="AE1095">
        <f>VLOOKUP(Table9[[#This Row],[Shortname]], Comp[], 28, FALSE)</f>
        <v>0</v>
      </c>
      <c r="AF1095">
        <f>VLOOKUP(Table9[[#This Row],[Shortname]], Comp[], 29, FALSE)</f>
        <v>0</v>
      </c>
      <c r="AG1095">
        <f>VLOOKUP(Table9[[#This Row],[Shortname]], Comp[], 30, FALSE)</f>
        <v>0</v>
      </c>
      <c r="AH1095">
        <f>VLOOKUP(Table9[[#This Row],[Shortname]], Comp[], 31, FALSE)</f>
        <v>0</v>
      </c>
    </row>
    <row r="1096" spans="1:34" x14ac:dyDescent="0.3">
      <c r="A1096" t="s">
        <v>5973</v>
      </c>
      <c r="B1096" t="s">
        <v>5974</v>
      </c>
      <c r="C1096" t="s">
        <v>5961</v>
      </c>
      <c r="D1096">
        <v>556</v>
      </c>
      <c r="E1096">
        <v>600</v>
      </c>
      <c r="F1096">
        <v>1E-4</v>
      </c>
      <c r="G1096">
        <v>1</v>
      </c>
      <c r="H1096" t="s">
        <v>6803</v>
      </c>
      <c r="I1096">
        <f>VLOOKUP(Table9[[#This Row],[Shortname]], Comp[], 6, FALSE)</f>
        <v>964</v>
      </c>
      <c r="J1096" s="14">
        <f>VLOOKUP(Table9[[#This Row],[Shortname]], Comp[], 7, FALSE)</f>
        <v>37.5</v>
      </c>
      <c r="K1096">
        <f>VLOOKUP(Table9[[#This Row],[Shortname]], Comp[], 8, FALSE)</f>
        <v>34.6</v>
      </c>
      <c r="L1096">
        <f>VLOOKUP(Table9[[#This Row],[Shortname]], Comp[], 9, FALSE)</f>
        <v>4.4000000000000004</v>
      </c>
      <c r="M1096">
        <f>VLOOKUP(Table9[[#This Row],[Shortname]], Comp[], 10, FALSE)</f>
        <v>15.4</v>
      </c>
      <c r="N1096">
        <f>VLOOKUP(Table9[[#This Row],[Shortname]], Comp[], 11, FALSE)</f>
        <v>0.9</v>
      </c>
      <c r="O1096">
        <f>VLOOKUP(Table9[[#This Row],[Shortname]], Comp[],12, FALSE)</f>
        <v>5.2</v>
      </c>
      <c r="P1096">
        <f>VLOOKUP(Table9[[#This Row],[Shortname]], Comp[], 13, FALSE)</f>
        <v>0</v>
      </c>
      <c r="Q1096">
        <f>VLOOKUP(Table9[[#This Row],[Shortname]], Comp[], 14, FALSE)</f>
        <v>0</v>
      </c>
      <c r="R1096">
        <f>VLOOKUP(Table9[[#This Row],[Shortname]], Comp[], 15, FALSE)</f>
        <v>0</v>
      </c>
      <c r="S1096">
        <f>VLOOKUP(Table9[[#This Row],[Shortname]], Comp[], 16, FALSE)</f>
        <v>2</v>
      </c>
      <c r="T1096">
        <f>VLOOKUP(Table9[[#This Row],[Shortname]], Comp[], 17, FALSE)</f>
        <v>0</v>
      </c>
      <c r="U1096">
        <f>VLOOKUP(Table9[[#This Row],[Shortname]], Comp[], 18, FALSE)</f>
        <v>0</v>
      </c>
      <c r="V1096">
        <f>VLOOKUP(Table9[[#This Row],[Shortname]], Comp[], 19, FALSE)</f>
        <v>0</v>
      </c>
      <c r="W1096">
        <f>VLOOKUP(Table9[[#This Row],[Shortname]], Comp[], 20, FALSE)</f>
        <v>0</v>
      </c>
      <c r="X1096">
        <f>VLOOKUP(Table9[[#This Row],[Shortname]], Comp[], 21, FALSE)</f>
        <v>0</v>
      </c>
      <c r="Y1096">
        <f>VLOOKUP(Table9[[#This Row],[Shortname]], Comp[], 22, FALSE)</f>
        <v>0</v>
      </c>
      <c r="Z1096">
        <f>VLOOKUP(Table9[[#This Row],[Shortname]], Comp[], 23, FALSE)</f>
        <v>0</v>
      </c>
      <c r="AA1096">
        <f>VLOOKUP(Table9[[#This Row],[Shortname]], Comp[], 24, FALSE)</f>
        <v>0</v>
      </c>
      <c r="AB1096">
        <f>VLOOKUP(Table9[[#This Row],[Shortname]], Comp[], 25, FALSE)</f>
        <v>0</v>
      </c>
      <c r="AC1096">
        <f>VLOOKUP(Table9[[#This Row],[Shortname]], Comp[], 26, FALSE)</f>
        <v>0</v>
      </c>
      <c r="AD1096">
        <f>VLOOKUP(Table9[[#This Row],[Shortname]], Comp[], 27, FALSE)</f>
        <v>0</v>
      </c>
      <c r="AE1096">
        <f>VLOOKUP(Table9[[#This Row],[Shortname]], Comp[], 28, FALSE)</f>
        <v>0</v>
      </c>
      <c r="AF1096">
        <f>VLOOKUP(Table9[[#This Row],[Shortname]], Comp[], 29, FALSE)</f>
        <v>0</v>
      </c>
      <c r="AG1096">
        <f>VLOOKUP(Table9[[#This Row],[Shortname]], Comp[], 30, FALSE)</f>
        <v>0</v>
      </c>
      <c r="AH1096">
        <f>VLOOKUP(Table9[[#This Row],[Shortname]], Comp[], 31, FALSE)</f>
        <v>0</v>
      </c>
    </row>
    <row r="1097" spans="1:34" x14ac:dyDescent="0.3">
      <c r="A1097" t="s">
        <v>5973</v>
      </c>
      <c r="B1097" t="s">
        <v>5974</v>
      </c>
      <c r="C1097" t="s">
        <v>5961</v>
      </c>
      <c r="D1097">
        <v>555</v>
      </c>
      <c r="E1097">
        <v>750</v>
      </c>
      <c r="F1097">
        <v>1E-4</v>
      </c>
      <c r="G1097">
        <v>1</v>
      </c>
      <c r="H1097" t="s">
        <v>6803</v>
      </c>
      <c r="I1097">
        <f>VLOOKUP(Table9[[#This Row],[Shortname]], Comp[], 6, FALSE)</f>
        <v>964</v>
      </c>
      <c r="J1097" s="14">
        <f>VLOOKUP(Table9[[#This Row],[Shortname]], Comp[], 7, FALSE)</f>
        <v>37.5</v>
      </c>
      <c r="K1097">
        <f>VLOOKUP(Table9[[#This Row],[Shortname]], Comp[], 8, FALSE)</f>
        <v>34.6</v>
      </c>
      <c r="L1097">
        <f>VLOOKUP(Table9[[#This Row],[Shortname]], Comp[], 9, FALSE)</f>
        <v>4.4000000000000004</v>
      </c>
      <c r="M1097">
        <f>VLOOKUP(Table9[[#This Row],[Shortname]], Comp[], 10, FALSE)</f>
        <v>15.4</v>
      </c>
      <c r="N1097">
        <f>VLOOKUP(Table9[[#This Row],[Shortname]], Comp[], 11, FALSE)</f>
        <v>0.9</v>
      </c>
      <c r="O1097">
        <f>VLOOKUP(Table9[[#This Row],[Shortname]], Comp[],12, FALSE)</f>
        <v>5.2</v>
      </c>
      <c r="P1097">
        <f>VLOOKUP(Table9[[#This Row],[Shortname]], Comp[], 13, FALSE)</f>
        <v>0</v>
      </c>
      <c r="Q1097">
        <f>VLOOKUP(Table9[[#This Row],[Shortname]], Comp[], 14, FALSE)</f>
        <v>0</v>
      </c>
      <c r="R1097">
        <f>VLOOKUP(Table9[[#This Row],[Shortname]], Comp[], 15, FALSE)</f>
        <v>0</v>
      </c>
      <c r="S1097">
        <f>VLOOKUP(Table9[[#This Row],[Shortname]], Comp[], 16, FALSE)</f>
        <v>2</v>
      </c>
      <c r="T1097">
        <f>VLOOKUP(Table9[[#This Row],[Shortname]], Comp[], 17, FALSE)</f>
        <v>0</v>
      </c>
      <c r="U1097">
        <f>VLOOKUP(Table9[[#This Row],[Shortname]], Comp[], 18, FALSE)</f>
        <v>0</v>
      </c>
      <c r="V1097">
        <f>VLOOKUP(Table9[[#This Row],[Shortname]], Comp[], 19, FALSE)</f>
        <v>0</v>
      </c>
      <c r="W1097">
        <f>VLOOKUP(Table9[[#This Row],[Shortname]], Comp[], 20, FALSE)</f>
        <v>0</v>
      </c>
      <c r="X1097">
        <f>VLOOKUP(Table9[[#This Row],[Shortname]], Comp[], 21, FALSE)</f>
        <v>0</v>
      </c>
      <c r="Y1097">
        <f>VLOOKUP(Table9[[#This Row],[Shortname]], Comp[], 22, FALSE)</f>
        <v>0</v>
      </c>
      <c r="Z1097">
        <f>VLOOKUP(Table9[[#This Row],[Shortname]], Comp[], 23, FALSE)</f>
        <v>0</v>
      </c>
      <c r="AA1097">
        <f>VLOOKUP(Table9[[#This Row],[Shortname]], Comp[], 24, FALSE)</f>
        <v>0</v>
      </c>
      <c r="AB1097">
        <f>VLOOKUP(Table9[[#This Row],[Shortname]], Comp[], 25, FALSE)</f>
        <v>0</v>
      </c>
      <c r="AC1097">
        <f>VLOOKUP(Table9[[#This Row],[Shortname]], Comp[], 26, FALSE)</f>
        <v>0</v>
      </c>
      <c r="AD1097">
        <f>VLOOKUP(Table9[[#This Row],[Shortname]], Comp[], 27, FALSE)</f>
        <v>0</v>
      </c>
      <c r="AE1097">
        <f>VLOOKUP(Table9[[#This Row],[Shortname]], Comp[], 28, FALSE)</f>
        <v>0</v>
      </c>
      <c r="AF1097">
        <f>VLOOKUP(Table9[[#This Row],[Shortname]], Comp[], 29, FALSE)</f>
        <v>0</v>
      </c>
      <c r="AG1097">
        <f>VLOOKUP(Table9[[#This Row],[Shortname]], Comp[], 30, FALSE)</f>
        <v>0</v>
      </c>
      <c r="AH1097">
        <f>VLOOKUP(Table9[[#This Row],[Shortname]], Comp[], 31, FALSE)</f>
        <v>0</v>
      </c>
    </row>
    <row r="1098" spans="1:34" x14ac:dyDescent="0.3">
      <c r="A1098" t="s">
        <v>5973</v>
      </c>
      <c r="B1098" t="s">
        <v>5974</v>
      </c>
      <c r="C1098" t="s">
        <v>5961</v>
      </c>
      <c r="D1098">
        <v>517</v>
      </c>
      <c r="E1098">
        <v>850</v>
      </c>
      <c r="F1098">
        <v>1E-4</v>
      </c>
      <c r="G1098">
        <v>1</v>
      </c>
      <c r="H1098" t="s">
        <v>6803</v>
      </c>
      <c r="I1098">
        <f>VLOOKUP(Table9[[#This Row],[Shortname]], Comp[], 6, FALSE)</f>
        <v>964</v>
      </c>
      <c r="J1098" s="14">
        <f>VLOOKUP(Table9[[#This Row],[Shortname]], Comp[], 7, FALSE)</f>
        <v>37.5</v>
      </c>
      <c r="K1098">
        <f>VLOOKUP(Table9[[#This Row],[Shortname]], Comp[], 8, FALSE)</f>
        <v>34.6</v>
      </c>
      <c r="L1098">
        <f>VLOOKUP(Table9[[#This Row],[Shortname]], Comp[], 9, FALSE)</f>
        <v>4.4000000000000004</v>
      </c>
      <c r="M1098">
        <f>VLOOKUP(Table9[[#This Row],[Shortname]], Comp[], 10, FALSE)</f>
        <v>15.4</v>
      </c>
      <c r="N1098">
        <f>VLOOKUP(Table9[[#This Row],[Shortname]], Comp[], 11, FALSE)</f>
        <v>0.9</v>
      </c>
      <c r="O1098">
        <f>VLOOKUP(Table9[[#This Row],[Shortname]], Comp[],12, FALSE)</f>
        <v>5.2</v>
      </c>
      <c r="P1098">
        <f>VLOOKUP(Table9[[#This Row],[Shortname]], Comp[], 13, FALSE)</f>
        <v>0</v>
      </c>
      <c r="Q1098">
        <f>VLOOKUP(Table9[[#This Row],[Shortname]], Comp[], 14, FALSE)</f>
        <v>0</v>
      </c>
      <c r="R1098">
        <f>VLOOKUP(Table9[[#This Row],[Shortname]], Comp[], 15, FALSE)</f>
        <v>0</v>
      </c>
      <c r="S1098">
        <f>VLOOKUP(Table9[[#This Row],[Shortname]], Comp[], 16, FALSE)</f>
        <v>2</v>
      </c>
      <c r="T1098">
        <f>VLOOKUP(Table9[[#This Row],[Shortname]], Comp[], 17, FALSE)</f>
        <v>0</v>
      </c>
      <c r="U1098">
        <f>VLOOKUP(Table9[[#This Row],[Shortname]], Comp[], 18, FALSE)</f>
        <v>0</v>
      </c>
      <c r="V1098">
        <f>VLOOKUP(Table9[[#This Row],[Shortname]], Comp[], 19, FALSE)</f>
        <v>0</v>
      </c>
      <c r="W1098">
        <f>VLOOKUP(Table9[[#This Row],[Shortname]], Comp[], 20, FALSE)</f>
        <v>0</v>
      </c>
      <c r="X1098">
        <f>VLOOKUP(Table9[[#This Row],[Shortname]], Comp[], 21, FALSE)</f>
        <v>0</v>
      </c>
      <c r="Y1098">
        <f>VLOOKUP(Table9[[#This Row],[Shortname]], Comp[], 22, FALSE)</f>
        <v>0</v>
      </c>
      <c r="Z1098">
        <f>VLOOKUP(Table9[[#This Row],[Shortname]], Comp[], 23, FALSE)</f>
        <v>0</v>
      </c>
      <c r="AA1098">
        <f>VLOOKUP(Table9[[#This Row],[Shortname]], Comp[], 24, FALSE)</f>
        <v>0</v>
      </c>
      <c r="AB1098">
        <f>VLOOKUP(Table9[[#This Row],[Shortname]], Comp[], 25, FALSE)</f>
        <v>0</v>
      </c>
      <c r="AC1098">
        <f>VLOOKUP(Table9[[#This Row],[Shortname]], Comp[], 26, FALSE)</f>
        <v>0</v>
      </c>
      <c r="AD1098">
        <f>VLOOKUP(Table9[[#This Row],[Shortname]], Comp[], 27, FALSE)</f>
        <v>0</v>
      </c>
      <c r="AE1098">
        <f>VLOOKUP(Table9[[#This Row],[Shortname]], Comp[], 28, FALSE)</f>
        <v>0</v>
      </c>
      <c r="AF1098">
        <f>VLOOKUP(Table9[[#This Row],[Shortname]], Comp[], 29, FALSE)</f>
        <v>0</v>
      </c>
      <c r="AG1098">
        <f>VLOOKUP(Table9[[#This Row],[Shortname]], Comp[], 30, FALSE)</f>
        <v>0</v>
      </c>
      <c r="AH1098">
        <f>VLOOKUP(Table9[[#This Row],[Shortname]], Comp[], 31, FALSE)</f>
        <v>0</v>
      </c>
    </row>
    <row r="1099" spans="1:34" x14ac:dyDescent="0.3">
      <c r="A1099" t="s">
        <v>5979</v>
      </c>
      <c r="B1099" t="s">
        <v>5980</v>
      </c>
      <c r="C1099" t="s">
        <v>5961</v>
      </c>
      <c r="D1099">
        <v>619</v>
      </c>
      <c r="E1099">
        <v>25</v>
      </c>
      <c r="F1099">
        <v>1E-4</v>
      </c>
      <c r="G1099">
        <v>1</v>
      </c>
      <c r="H1099" t="s">
        <v>6803</v>
      </c>
      <c r="I1099">
        <f>VLOOKUP(Table9[[#This Row],[Shortname]], Comp[], 6, FALSE)</f>
        <v>965</v>
      </c>
      <c r="J1099" s="14">
        <f>VLOOKUP(Table9[[#This Row],[Shortname]], Comp[], 7, FALSE)</f>
        <v>37</v>
      </c>
      <c r="K1099">
        <f>VLOOKUP(Table9[[#This Row],[Shortname]], Comp[], 8, FALSE)</f>
        <v>34.799999999999997</v>
      </c>
      <c r="L1099">
        <f>VLOOKUP(Table9[[#This Row],[Shortname]], Comp[], 9, FALSE)</f>
        <v>4.7</v>
      </c>
      <c r="M1099">
        <f>VLOOKUP(Table9[[#This Row],[Shortname]], Comp[], 10, FALSE)</f>
        <v>15.3</v>
      </c>
      <c r="N1099">
        <f>VLOOKUP(Table9[[#This Row],[Shortname]], Comp[], 11, FALSE)</f>
        <v>3.1</v>
      </c>
      <c r="O1099">
        <f>VLOOKUP(Table9[[#This Row],[Shortname]], Comp[],12, FALSE)</f>
        <v>5.0999999999999996</v>
      </c>
      <c r="P1099">
        <f>VLOOKUP(Table9[[#This Row],[Shortname]], Comp[], 13, FALSE)</f>
        <v>0</v>
      </c>
      <c r="Q1099">
        <f>VLOOKUP(Table9[[#This Row],[Shortname]], Comp[], 14, FALSE)</f>
        <v>0</v>
      </c>
      <c r="R1099">
        <f>VLOOKUP(Table9[[#This Row],[Shortname]], Comp[], 15, FALSE)</f>
        <v>0</v>
      </c>
      <c r="S1099">
        <f>VLOOKUP(Table9[[#This Row],[Shortname]], Comp[], 16, FALSE)</f>
        <v>0</v>
      </c>
      <c r="T1099">
        <f>VLOOKUP(Table9[[#This Row],[Shortname]], Comp[], 17, FALSE)</f>
        <v>0</v>
      </c>
      <c r="U1099">
        <f>VLOOKUP(Table9[[#This Row],[Shortname]], Comp[], 18, FALSE)</f>
        <v>0</v>
      </c>
      <c r="V1099">
        <f>VLOOKUP(Table9[[#This Row],[Shortname]], Comp[], 19, FALSE)</f>
        <v>0</v>
      </c>
      <c r="W1099">
        <f>VLOOKUP(Table9[[#This Row],[Shortname]], Comp[], 20, FALSE)</f>
        <v>0</v>
      </c>
      <c r="X1099">
        <f>VLOOKUP(Table9[[#This Row],[Shortname]], Comp[], 21, FALSE)</f>
        <v>0</v>
      </c>
      <c r="Y1099">
        <f>VLOOKUP(Table9[[#This Row],[Shortname]], Comp[], 22, FALSE)</f>
        <v>0</v>
      </c>
      <c r="Z1099">
        <f>VLOOKUP(Table9[[#This Row],[Shortname]], Comp[], 23, FALSE)</f>
        <v>0</v>
      </c>
      <c r="AA1099">
        <f>VLOOKUP(Table9[[#This Row],[Shortname]], Comp[], 24, FALSE)</f>
        <v>0</v>
      </c>
      <c r="AB1099">
        <f>VLOOKUP(Table9[[#This Row],[Shortname]], Comp[], 25, FALSE)</f>
        <v>0</v>
      </c>
      <c r="AC1099">
        <f>VLOOKUP(Table9[[#This Row],[Shortname]], Comp[], 26, FALSE)</f>
        <v>0</v>
      </c>
      <c r="AD1099">
        <f>VLOOKUP(Table9[[#This Row],[Shortname]], Comp[], 27, FALSE)</f>
        <v>0</v>
      </c>
      <c r="AE1099">
        <f>VLOOKUP(Table9[[#This Row],[Shortname]], Comp[], 28, FALSE)</f>
        <v>0</v>
      </c>
      <c r="AF1099">
        <f>VLOOKUP(Table9[[#This Row],[Shortname]], Comp[], 29, FALSE)</f>
        <v>0</v>
      </c>
      <c r="AG1099">
        <f>VLOOKUP(Table9[[#This Row],[Shortname]], Comp[], 30, FALSE)</f>
        <v>0</v>
      </c>
      <c r="AH1099">
        <f>VLOOKUP(Table9[[#This Row],[Shortname]], Comp[], 31, FALSE)</f>
        <v>0</v>
      </c>
    </row>
    <row r="1100" spans="1:34" x14ac:dyDescent="0.3">
      <c r="A1100" t="s">
        <v>5979</v>
      </c>
      <c r="B1100" t="s">
        <v>5980</v>
      </c>
      <c r="C1100" t="s">
        <v>5961</v>
      </c>
      <c r="D1100">
        <v>514</v>
      </c>
      <c r="E1100">
        <v>600</v>
      </c>
      <c r="F1100">
        <v>1E-4</v>
      </c>
      <c r="G1100">
        <v>1</v>
      </c>
      <c r="H1100" t="s">
        <v>6803</v>
      </c>
      <c r="I1100">
        <f>VLOOKUP(Table9[[#This Row],[Shortname]], Comp[], 6, FALSE)</f>
        <v>965</v>
      </c>
      <c r="J1100" s="14">
        <f>VLOOKUP(Table9[[#This Row],[Shortname]], Comp[], 7, FALSE)</f>
        <v>37</v>
      </c>
      <c r="K1100">
        <f>VLOOKUP(Table9[[#This Row],[Shortname]], Comp[], 8, FALSE)</f>
        <v>34.799999999999997</v>
      </c>
      <c r="L1100">
        <f>VLOOKUP(Table9[[#This Row],[Shortname]], Comp[], 9, FALSE)</f>
        <v>4.7</v>
      </c>
      <c r="M1100">
        <f>VLOOKUP(Table9[[#This Row],[Shortname]], Comp[], 10, FALSE)</f>
        <v>15.3</v>
      </c>
      <c r="N1100">
        <f>VLOOKUP(Table9[[#This Row],[Shortname]], Comp[], 11, FALSE)</f>
        <v>3.1</v>
      </c>
      <c r="O1100">
        <f>VLOOKUP(Table9[[#This Row],[Shortname]], Comp[],12, FALSE)</f>
        <v>5.0999999999999996</v>
      </c>
      <c r="P1100">
        <f>VLOOKUP(Table9[[#This Row],[Shortname]], Comp[], 13, FALSE)</f>
        <v>0</v>
      </c>
      <c r="Q1100">
        <f>VLOOKUP(Table9[[#This Row],[Shortname]], Comp[], 14, FALSE)</f>
        <v>0</v>
      </c>
      <c r="R1100">
        <f>VLOOKUP(Table9[[#This Row],[Shortname]], Comp[], 15, FALSE)</f>
        <v>0</v>
      </c>
      <c r="S1100">
        <f>VLOOKUP(Table9[[#This Row],[Shortname]], Comp[], 16, FALSE)</f>
        <v>0</v>
      </c>
      <c r="T1100">
        <f>VLOOKUP(Table9[[#This Row],[Shortname]], Comp[], 17, FALSE)</f>
        <v>0</v>
      </c>
      <c r="U1100">
        <f>VLOOKUP(Table9[[#This Row],[Shortname]], Comp[], 18, FALSE)</f>
        <v>0</v>
      </c>
      <c r="V1100">
        <f>VLOOKUP(Table9[[#This Row],[Shortname]], Comp[], 19, FALSE)</f>
        <v>0</v>
      </c>
      <c r="W1100">
        <f>VLOOKUP(Table9[[#This Row],[Shortname]], Comp[], 20, FALSE)</f>
        <v>0</v>
      </c>
      <c r="X1100">
        <f>VLOOKUP(Table9[[#This Row],[Shortname]], Comp[], 21, FALSE)</f>
        <v>0</v>
      </c>
      <c r="Y1100">
        <f>VLOOKUP(Table9[[#This Row],[Shortname]], Comp[], 22, FALSE)</f>
        <v>0</v>
      </c>
      <c r="Z1100">
        <f>VLOOKUP(Table9[[#This Row],[Shortname]], Comp[], 23, FALSE)</f>
        <v>0</v>
      </c>
      <c r="AA1100">
        <f>VLOOKUP(Table9[[#This Row],[Shortname]], Comp[], 24, FALSE)</f>
        <v>0</v>
      </c>
      <c r="AB1100">
        <f>VLOOKUP(Table9[[#This Row],[Shortname]], Comp[], 25, FALSE)</f>
        <v>0</v>
      </c>
      <c r="AC1100">
        <f>VLOOKUP(Table9[[#This Row],[Shortname]], Comp[], 26, FALSE)</f>
        <v>0</v>
      </c>
      <c r="AD1100">
        <f>VLOOKUP(Table9[[#This Row],[Shortname]], Comp[], 27, FALSE)</f>
        <v>0</v>
      </c>
      <c r="AE1100">
        <f>VLOOKUP(Table9[[#This Row],[Shortname]], Comp[], 28, FALSE)</f>
        <v>0</v>
      </c>
      <c r="AF1100">
        <f>VLOOKUP(Table9[[#This Row],[Shortname]], Comp[], 29, FALSE)</f>
        <v>0</v>
      </c>
      <c r="AG1100">
        <f>VLOOKUP(Table9[[#This Row],[Shortname]], Comp[], 30, FALSE)</f>
        <v>0</v>
      </c>
      <c r="AH1100">
        <f>VLOOKUP(Table9[[#This Row],[Shortname]], Comp[], 31, FALSE)</f>
        <v>0</v>
      </c>
    </row>
    <row r="1101" spans="1:34" x14ac:dyDescent="0.3">
      <c r="A1101" t="s">
        <v>5979</v>
      </c>
      <c r="B1101" t="s">
        <v>5980</v>
      </c>
      <c r="C1101" t="s">
        <v>5961</v>
      </c>
      <c r="D1101">
        <v>482</v>
      </c>
      <c r="E1101">
        <v>750</v>
      </c>
      <c r="F1101">
        <v>1E-4</v>
      </c>
      <c r="G1101">
        <v>1</v>
      </c>
      <c r="H1101" t="s">
        <v>6803</v>
      </c>
      <c r="I1101">
        <f>VLOOKUP(Table9[[#This Row],[Shortname]], Comp[], 6, FALSE)</f>
        <v>965</v>
      </c>
      <c r="J1101" s="14">
        <f>VLOOKUP(Table9[[#This Row],[Shortname]], Comp[], 7, FALSE)</f>
        <v>37</v>
      </c>
      <c r="K1101">
        <f>VLOOKUP(Table9[[#This Row],[Shortname]], Comp[], 8, FALSE)</f>
        <v>34.799999999999997</v>
      </c>
      <c r="L1101">
        <f>VLOOKUP(Table9[[#This Row],[Shortname]], Comp[], 9, FALSE)</f>
        <v>4.7</v>
      </c>
      <c r="M1101">
        <f>VLOOKUP(Table9[[#This Row],[Shortname]], Comp[], 10, FALSE)</f>
        <v>15.3</v>
      </c>
      <c r="N1101">
        <f>VLOOKUP(Table9[[#This Row],[Shortname]], Comp[], 11, FALSE)</f>
        <v>3.1</v>
      </c>
      <c r="O1101">
        <f>VLOOKUP(Table9[[#This Row],[Shortname]], Comp[],12, FALSE)</f>
        <v>5.0999999999999996</v>
      </c>
      <c r="P1101">
        <f>VLOOKUP(Table9[[#This Row],[Shortname]], Comp[], 13, FALSE)</f>
        <v>0</v>
      </c>
      <c r="Q1101">
        <f>VLOOKUP(Table9[[#This Row],[Shortname]], Comp[], 14, FALSE)</f>
        <v>0</v>
      </c>
      <c r="R1101">
        <f>VLOOKUP(Table9[[#This Row],[Shortname]], Comp[], 15, FALSE)</f>
        <v>0</v>
      </c>
      <c r="S1101">
        <f>VLOOKUP(Table9[[#This Row],[Shortname]], Comp[], 16, FALSE)</f>
        <v>0</v>
      </c>
      <c r="T1101">
        <f>VLOOKUP(Table9[[#This Row],[Shortname]], Comp[], 17, FALSE)</f>
        <v>0</v>
      </c>
      <c r="U1101">
        <f>VLOOKUP(Table9[[#This Row],[Shortname]], Comp[], 18, FALSE)</f>
        <v>0</v>
      </c>
      <c r="V1101">
        <f>VLOOKUP(Table9[[#This Row],[Shortname]], Comp[], 19, FALSE)</f>
        <v>0</v>
      </c>
      <c r="W1101">
        <f>VLOOKUP(Table9[[#This Row],[Shortname]], Comp[], 20, FALSE)</f>
        <v>0</v>
      </c>
      <c r="X1101">
        <f>VLOOKUP(Table9[[#This Row],[Shortname]], Comp[], 21, FALSE)</f>
        <v>0</v>
      </c>
      <c r="Y1101">
        <f>VLOOKUP(Table9[[#This Row],[Shortname]], Comp[], 22, FALSE)</f>
        <v>0</v>
      </c>
      <c r="Z1101">
        <f>VLOOKUP(Table9[[#This Row],[Shortname]], Comp[], 23, FALSE)</f>
        <v>0</v>
      </c>
      <c r="AA1101">
        <f>VLOOKUP(Table9[[#This Row],[Shortname]], Comp[], 24, FALSE)</f>
        <v>0</v>
      </c>
      <c r="AB1101">
        <f>VLOOKUP(Table9[[#This Row],[Shortname]], Comp[], 25, FALSE)</f>
        <v>0</v>
      </c>
      <c r="AC1101">
        <f>VLOOKUP(Table9[[#This Row],[Shortname]], Comp[], 26, FALSE)</f>
        <v>0</v>
      </c>
      <c r="AD1101">
        <f>VLOOKUP(Table9[[#This Row],[Shortname]], Comp[], 27, FALSE)</f>
        <v>0</v>
      </c>
      <c r="AE1101">
        <f>VLOOKUP(Table9[[#This Row],[Shortname]], Comp[], 28, FALSE)</f>
        <v>0</v>
      </c>
      <c r="AF1101">
        <f>VLOOKUP(Table9[[#This Row],[Shortname]], Comp[], 29, FALSE)</f>
        <v>0</v>
      </c>
      <c r="AG1101">
        <f>VLOOKUP(Table9[[#This Row],[Shortname]], Comp[], 30, FALSE)</f>
        <v>0</v>
      </c>
      <c r="AH1101">
        <f>VLOOKUP(Table9[[#This Row],[Shortname]], Comp[], 31, FALSE)</f>
        <v>0</v>
      </c>
    </row>
    <row r="1102" spans="1:34" x14ac:dyDescent="0.3">
      <c r="A1102" t="s">
        <v>5979</v>
      </c>
      <c r="B1102" t="s">
        <v>5980</v>
      </c>
      <c r="C1102" t="s">
        <v>5961</v>
      </c>
      <c r="D1102">
        <v>461</v>
      </c>
      <c r="E1102">
        <v>850</v>
      </c>
      <c r="F1102">
        <v>1E-4</v>
      </c>
      <c r="G1102">
        <v>1</v>
      </c>
      <c r="H1102" t="s">
        <v>6803</v>
      </c>
      <c r="I1102">
        <f>VLOOKUP(Table9[[#This Row],[Shortname]], Comp[], 6, FALSE)</f>
        <v>965</v>
      </c>
      <c r="J1102" s="14">
        <f>VLOOKUP(Table9[[#This Row],[Shortname]], Comp[], 7, FALSE)</f>
        <v>37</v>
      </c>
      <c r="K1102">
        <f>VLOOKUP(Table9[[#This Row],[Shortname]], Comp[], 8, FALSE)</f>
        <v>34.799999999999997</v>
      </c>
      <c r="L1102">
        <f>VLOOKUP(Table9[[#This Row],[Shortname]], Comp[], 9, FALSE)</f>
        <v>4.7</v>
      </c>
      <c r="M1102">
        <f>VLOOKUP(Table9[[#This Row],[Shortname]], Comp[], 10, FALSE)</f>
        <v>15.3</v>
      </c>
      <c r="N1102">
        <f>VLOOKUP(Table9[[#This Row],[Shortname]], Comp[], 11, FALSE)</f>
        <v>3.1</v>
      </c>
      <c r="O1102">
        <f>VLOOKUP(Table9[[#This Row],[Shortname]], Comp[],12, FALSE)</f>
        <v>5.0999999999999996</v>
      </c>
      <c r="P1102">
        <f>VLOOKUP(Table9[[#This Row],[Shortname]], Comp[], 13, FALSE)</f>
        <v>0</v>
      </c>
      <c r="Q1102">
        <f>VLOOKUP(Table9[[#This Row],[Shortname]], Comp[], 14, FALSE)</f>
        <v>0</v>
      </c>
      <c r="R1102">
        <f>VLOOKUP(Table9[[#This Row],[Shortname]], Comp[], 15, FALSE)</f>
        <v>0</v>
      </c>
      <c r="S1102">
        <f>VLOOKUP(Table9[[#This Row],[Shortname]], Comp[], 16, FALSE)</f>
        <v>0</v>
      </c>
      <c r="T1102">
        <f>VLOOKUP(Table9[[#This Row],[Shortname]], Comp[], 17, FALSE)</f>
        <v>0</v>
      </c>
      <c r="U1102">
        <f>VLOOKUP(Table9[[#This Row],[Shortname]], Comp[], 18, FALSE)</f>
        <v>0</v>
      </c>
      <c r="V1102">
        <f>VLOOKUP(Table9[[#This Row],[Shortname]], Comp[], 19, FALSE)</f>
        <v>0</v>
      </c>
      <c r="W1102">
        <f>VLOOKUP(Table9[[#This Row],[Shortname]], Comp[], 20, FALSE)</f>
        <v>0</v>
      </c>
      <c r="X1102">
        <f>VLOOKUP(Table9[[#This Row],[Shortname]], Comp[], 21, FALSE)</f>
        <v>0</v>
      </c>
      <c r="Y1102">
        <f>VLOOKUP(Table9[[#This Row],[Shortname]], Comp[], 22, FALSE)</f>
        <v>0</v>
      </c>
      <c r="Z1102">
        <f>VLOOKUP(Table9[[#This Row],[Shortname]], Comp[], 23, FALSE)</f>
        <v>0</v>
      </c>
      <c r="AA1102">
        <f>VLOOKUP(Table9[[#This Row],[Shortname]], Comp[], 24, FALSE)</f>
        <v>0</v>
      </c>
      <c r="AB1102">
        <f>VLOOKUP(Table9[[#This Row],[Shortname]], Comp[], 25, FALSE)</f>
        <v>0</v>
      </c>
      <c r="AC1102">
        <f>VLOOKUP(Table9[[#This Row],[Shortname]], Comp[], 26, FALSE)</f>
        <v>0</v>
      </c>
      <c r="AD1102">
        <f>VLOOKUP(Table9[[#This Row],[Shortname]], Comp[], 27, FALSE)</f>
        <v>0</v>
      </c>
      <c r="AE1102">
        <f>VLOOKUP(Table9[[#This Row],[Shortname]], Comp[], 28, FALSE)</f>
        <v>0</v>
      </c>
      <c r="AF1102">
        <f>VLOOKUP(Table9[[#This Row],[Shortname]], Comp[], 29, FALSE)</f>
        <v>0</v>
      </c>
      <c r="AG1102">
        <f>VLOOKUP(Table9[[#This Row],[Shortname]], Comp[], 30, FALSE)</f>
        <v>0</v>
      </c>
      <c r="AH1102">
        <f>VLOOKUP(Table9[[#This Row],[Shortname]], Comp[], 31, FALSE)</f>
        <v>0</v>
      </c>
    </row>
    <row r="1103" spans="1:34" x14ac:dyDescent="0.3">
      <c r="A1103" t="s">
        <v>5983</v>
      </c>
      <c r="B1103" t="s">
        <v>5984</v>
      </c>
      <c r="C1103" t="s">
        <v>5961</v>
      </c>
      <c r="D1103">
        <v>637</v>
      </c>
      <c r="E1103">
        <v>25</v>
      </c>
      <c r="F1103">
        <v>1E-4</v>
      </c>
      <c r="G1103">
        <v>1</v>
      </c>
      <c r="H1103" t="s">
        <v>6803</v>
      </c>
      <c r="I1103">
        <f>VLOOKUP(Table9[[#This Row],[Shortname]], Comp[], 6, FALSE)</f>
        <v>966</v>
      </c>
      <c r="J1103" s="14">
        <f>VLOOKUP(Table9[[#This Row],[Shortname]], Comp[], 7, FALSE)</f>
        <v>34.200000000000003</v>
      </c>
      <c r="K1103">
        <f>VLOOKUP(Table9[[#This Row],[Shortname]], Comp[], 8, FALSE)</f>
        <v>36.4</v>
      </c>
      <c r="L1103">
        <f>VLOOKUP(Table9[[#This Row],[Shortname]], Comp[], 9, FALSE)</f>
        <v>4.7</v>
      </c>
      <c r="M1103">
        <f>VLOOKUP(Table9[[#This Row],[Shortname]], Comp[], 10, FALSE)</f>
        <v>15.2</v>
      </c>
      <c r="N1103">
        <f>VLOOKUP(Table9[[#This Row],[Shortname]], Comp[], 11, FALSE)</f>
        <v>1.2</v>
      </c>
      <c r="O1103">
        <f>VLOOKUP(Table9[[#This Row],[Shortname]], Comp[],12, FALSE)</f>
        <v>5.2</v>
      </c>
      <c r="P1103">
        <f>VLOOKUP(Table9[[#This Row],[Shortname]], Comp[], 13, FALSE)</f>
        <v>1</v>
      </c>
      <c r="Q1103">
        <f>VLOOKUP(Table9[[#This Row],[Shortname]], Comp[], 14, FALSE)</f>
        <v>0</v>
      </c>
      <c r="R1103">
        <f>VLOOKUP(Table9[[#This Row],[Shortname]], Comp[], 15, FALSE)</f>
        <v>0</v>
      </c>
      <c r="S1103">
        <f>VLOOKUP(Table9[[#This Row],[Shortname]], Comp[], 16, FALSE)</f>
        <v>2.1</v>
      </c>
      <c r="T1103">
        <f>VLOOKUP(Table9[[#This Row],[Shortname]], Comp[], 17, FALSE)</f>
        <v>0</v>
      </c>
      <c r="U1103">
        <f>VLOOKUP(Table9[[#This Row],[Shortname]], Comp[], 18, FALSE)</f>
        <v>0</v>
      </c>
      <c r="V1103">
        <f>VLOOKUP(Table9[[#This Row],[Shortname]], Comp[], 19, FALSE)</f>
        <v>0</v>
      </c>
      <c r="W1103">
        <f>VLOOKUP(Table9[[#This Row],[Shortname]], Comp[], 20, FALSE)</f>
        <v>0</v>
      </c>
      <c r="X1103">
        <f>VLOOKUP(Table9[[#This Row],[Shortname]], Comp[], 21, FALSE)</f>
        <v>0</v>
      </c>
      <c r="Y1103">
        <f>VLOOKUP(Table9[[#This Row],[Shortname]], Comp[], 22, FALSE)</f>
        <v>0</v>
      </c>
      <c r="Z1103">
        <f>VLOOKUP(Table9[[#This Row],[Shortname]], Comp[], 23, FALSE)</f>
        <v>0</v>
      </c>
      <c r="AA1103">
        <f>VLOOKUP(Table9[[#This Row],[Shortname]], Comp[], 24, FALSE)</f>
        <v>0</v>
      </c>
      <c r="AB1103">
        <f>VLOOKUP(Table9[[#This Row],[Shortname]], Comp[], 25, FALSE)</f>
        <v>0</v>
      </c>
      <c r="AC1103">
        <f>VLOOKUP(Table9[[#This Row],[Shortname]], Comp[], 26, FALSE)</f>
        <v>0</v>
      </c>
      <c r="AD1103">
        <f>VLOOKUP(Table9[[#This Row],[Shortname]], Comp[], 27, FALSE)</f>
        <v>0</v>
      </c>
      <c r="AE1103">
        <f>VLOOKUP(Table9[[#This Row],[Shortname]], Comp[], 28, FALSE)</f>
        <v>0</v>
      </c>
      <c r="AF1103">
        <f>VLOOKUP(Table9[[#This Row],[Shortname]], Comp[], 29, FALSE)</f>
        <v>0</v>
      </c>
      <c r="AG1103">
        <f>VLOOKUP(Table9[[#This Row],[Shortname]], Comp[], 30, FALSE)</f>
        <v>0</v>
      </c>
      <c r="AH1103">
        <f>VLOOKUP(Table9[[#This Row],[Shortname]], Comp[], 31, FALSE)</f>
        <v>0</v>
      </c>
    </row>
    <row r="1104" spans="1:34" x14ac:dyDescent="0.3">
      <c r="A1104" t="s">
        <v>5983</v>
      </c>
      <c r="B1104" t="s">
        <v>5984</v>
      </c>
      <c r="C1104" t="s">
        <v>5961</v>
      </c>
      <c r="D1104">
        <v>495</v>
      </c>
      <c r="E1104">
        <v>600</v>
      </c>
      <c r="F1104">
        <v>1E-4</v>
      </c>
      <c r="G1104">
        <v>1</v>
      </c>
      <c r="H1104" t="s">
        <v>6803</v>
      </c>
      <c r="I1104">
        <f>VLOOKUP(Table9[[#This Row],[Shortname]], Comp[], 6, FALSE)</f>
        <v>966</v>
      </c>
      <c r="J1104" s="14">
        <f>VLOOKUP(Table9[[#This Row],[Shortname]], Comp[], 7, FALSE)</f>
        <v>34.200000000000003</v>
      </c>
      <c r="K1104">
        <f>VLOOKUP(Table9[[#This Row],[Shortname]], Comp[], 8, FALSE)</f>
        <v>36.4</v>
      </c>
      <c r="L1104">
        <f>VLOOKUP(Table9[[#This Row],[Shortname]], Comp[], 9, FALSE)</f>
        <v>4.7</v>
      </c>
      <c r="M1104">
        <f>VLOOKUP(Table9[[#This Row],[Shortname]], Comp[], 10, FALSE)</f>
        <v>15.2</v>
      </c>
      <c r="N1104">
        <f>VLOOKUP(Table9[[#This Row],[Shortname]], Comp[], 11, FALSE)</f>
        <v>1.2</v>
      </c>
      <c r="O1104">
        <f>VLOOKUP(Table9[[#This Row],[Shortname]], Comp[],12, FALSE)</f>
        <v>5.2</v>
      </c>
      <c r="P1104">
        <f>VLOOKUP(Table9[[#This Row],[Shortname]], Comp[], 13, FALSE)</f>
        <v>1</v>
      </c>
      <c r="Q1104">
        <f>VLOOKUP(Table9[[#This Row],[Shortname]], Comp[], 14, FALSE)</f>
        <v>0</v>
      </c>
      <c r="R1104">
        <f>VLOOKUP(Table9[[#This Row],[Shortname]], Comp[], 15, FALSE)</f>
        <v>0</v>
      </c>
      <c r="S1104">
        <f>VLOOKUP(Table9[[#This Row],[Shortname]], Comp[], 16, FALSE)</f>
        <v>2.1</v>
      </c>
      <c r="T1104">
        <f>VLOOKUP(Table9[[#This Row],[Shortname]], Comp[], 17, FALSE)</f>
        <v>0</v>
      </c>
      <c r="U1104">
        <f>VLOOKUP(Table9[[#This Row],[Shortname]], Comp[], 18, FALSE)</f>
        <v>0</v>
      </c>
      <c r="V1104">
        <f>VLOOKUP(Table9[[#This Row],[Shortname]], Comp[], 19, FALSE)</f>
        <v>0</v>
      </c>
      <c r="W1104">
        <f>VLOOKUP(Table9[[#This Row],[Shortname]], Comp[], 20, FALSE)</f>
        <v>0</v>
      </c>
      <c r="X1104">
        <f>VLOOKUP(Table9[[#This Row],[Shortname]], Comp[], 21, FALSE)</f>
        <v>0</v>
      </c>
      <c r="Y1104">
        <f>VLOOKUP(Table9[[#This Row],[Shortname]], Comp[], 22, FALSE)</f>
        <v>0</v>
      </c>
      <c r="Z1104">
        <f>VLOOKUP(Table9[[#This Row],[Shortname]], Comp[], 23, FALSE)</f>
        <v>0</v>
      </c>
      <c r="AA1104">
        <f>VLOOKUP(Table9[[#This Row],[Shortname]], Comp[], 24, FALSE)</f>
        <v>0</v>
      </c>
      <c r="AB1104">
        <f>VLOOKUP(Table9[[#This Row],[Shortname]], Comp[], 25, FALSE)</f>
        <v>0</v>
      </c>
      <c r="AC1104">
        <f>VLOOKUP(Table9[[#This Row],[Shortname]], Comp[], 26, FALSE)</f>
        <v>0</v>
      </c>
      <c r="AD1104">
        <f>VLOOKUP(Table9[[#This Row],[Shortname]], Comp[], 27, FALSE)</f>
        <v>0</v>
      </c>
      <c r="AE1104">
        <f>VLOOKUP(Table9[[#This Row],[Shortname]], Comp[], 28, FALSE)</f>
        <v>0</v>
      </c>
      <c r="AF1104">
        <f>VLOOKUP(Table9[[#This Row],[Shortname]], Comp[], 29, FALSE)</f>
        <v>0</v>
      </c>
      <c r="AG1104">
        <f>VLOOKUP(Table9[[#This Row],[Shortname]], Comp[], 30, FALSE)</f>
        <v>0</v>
      </c>
      <c r="AH1104">
        <f>VLOOKUP(Table9[[#This Row],[Shortname]], Comp[], 31, FALSE)</f>
        <v>0</v>
      </c>
    </row>
    <row r="1105" spans="1:34" x14ac:dyDescent="0.3">
      <c r="A1105" t="s">
        <v>5983</v>
      </c>
      <c r="B1105" t="s">
        <v>5984</v>
      </c>
      <c r="C1105" t="s">
        <v>5961</v>
      </c>
      <c r="D1105">
        <v>473</v>
      </c>
      <c r="E1105">
        <v>750</v>
      </c>
      <c r="F1105">
        <v>1E-4</v>
      </c>
      <c r="G1105">
        <v>1</v>
      </c>
      <c r="H1105" t="s">
        <v>6803</v>
      </c>
      <c r="I1105">
        <f>VLOOKUP(Table9[[#This Row],[Shortname]], Comp[], 6, FALSE)</f>
        <v>966</v>
      </c>
      <c r="J1105" s="14">
        <f>VLOOKUP(Table9[[#This Row],[Shortname]], Comp[], 7, FALSE)</f>
        <v>34.200000000000003</v>
      </c>
      <c r="K1105">
        <f>VLOOKUP(Table9[[#This Row],[Shortname]], Comp[], 8, FALSE)</f>
        <v>36.4</v>
      </c>
      <c r="L1105">
        <f>VLOOKUP(Table9[[#This Row],[Shortname]], Comp[], 9, FALSE)</f>
        <v>4.7</v>
      </c>
      <c r="M1105">
        <f>VLOOKUP(Table9[[#This Row],[Shortname]], Comp[], 10, FALSE)</f>
        <v>15.2</v>
      </c>
      <c r="N1105">
        <f>VLOOKUP(Table9[[#This Row],[Shortname]], Comp[], 11, FALSE)</f>
        <v>1.2</v>
      </c>
      <c r="O1105">
        <f>VLOOKUP(Table9[[#This Row],[Shortname]], Comp[],12, FALSE)</f>
        <v>5.2</v>
      </c>
      <c r="P1105">
        <f>VLOOKUP(Table9[[#This Row],[Shortname]], Comp[], 13, FALSE)</f>
        <v>1</v>
      </c>
      <c r="Q1105">
        <f>VLOOKUP(Table9[[#This Row],[Shortname]], Comp[], 14, FALSE)</f>
        <v>0</v>
      </c>
      <c r="R1105">
        <f>VLOOKUP(Table9[[#This Row],[Shortname]], Comp[], 15, FALSE)</f>
        <v>0</v>
      </c>
      <c r="S1105">
        <f>VLOOKUP(Table9[[#This Row],[Shortname]], Comp[], 16, FALSE)</f>
        <v>2.1</v>
      </c>
      <c r="T1105">
        <f>VLOOKUP(Table9[[#This Row],[Shortname]], Comp[], 17, FALSE)</f>
        <v>0</v>
      </c>
      <c r="U1105">
        <f>VLOOKUP(Table9[[#This Row],[Shortname]], Comp[], 18, FALSE)</f>
        <v>0</v>
      </c>
      <c r="V1105">
        <f>VLOOKUP(Table9[[#This Row],[Shortname]], Comp[], 19, FALSE)</f>
        <v>0</v>
      </c>
      <c r="W1105">
        <f>VLOOKUP(Table9[[#This Row],[Shortname]], Comp[], 20, FALSE)</f>
        <v>0</v>
      </c>
      <c r="X1105">
        <f>VLOOKUP(Table9[[#This Row],[Shortname]], Comp[], 21, FALSE)</f>
        <v>0</v>
      </c>
      <c r="Y1105">
        <f>VLOOKUP(Table9[[#This Row],[Shortname]], Comp[], 22, FALSE)</f>
        <v>0</v>
      </c>
      <c r="Z1105">
        <f>VLOOKUP(Table9[[#This Row],[Shortname]], Comp[], 23, FALSE)</f>
        <v>0</v>
      </c>
      <c r="AA1105">
        <f>VLOOKUP(Table9[[#This Row],[Shortname]], Comp[], 24, FALSE)</f>
        <v>0</v>
      </c>
      <c r="AB1105">
        <f>VLOOKUP(Table9[[#This Row],[Shortname]], Comp[], 25, FALSE)</f>
        <v>0</v>
      </c>
      <c r="AC1105">
        <f>VLOOKUP(Table9[[#This Row],[Shortname]], Comp[], 26, FALSE)</f>
        <v>0</v>
      </c>
      <c r="AD1105">
        <f>VLOOKUP(Table9[[#This Row],[Shortname]], Comp[], 27, FALSE)</f>
        <v>0</v>
      </c>
      <c r="AE1105">
        <f>VLOOKUP(Table9[[#This Row],[Shortname]], Comp[], 28, FALSE)</f>
        <v>0</v>
      </c>
      <c r="AF1105">
        <f>VLOOKUP(Table9[[#This Row],[Shortname]], Comp[], 29, FALSE)</f>
        <v>0</v>
      </c>
      <c r="AG1105">
        <f>VLOOKUP(Table9[[#This Row],[Shortname]], Comp[], 30, FALSE)</f>
        <v>0</v>
      </c>
      <c r="AH1105">
        <f>VLOOKUP(Table9[[#This Row],[Shortname]], Comp[], 31, FALSE)</f>
        <v>0</v>
      </c>
    </row>
    <row r="1106" spans="1:34" x14ac:dyDescent="0.3">
      <c r="A1106" t="s">
        <v>5983</v>
      </c>
      <c r="B1106" t="s">
        <v>5984</v>
      </c>
      <c r="C1106" t="s">
        <v>5961</v>
      </c>
      <c r="D1106">
        <v>520</v>
      </c>
      <c r="E1106">
        <v>850</v>
      </c>
      <c r="F1106">
        <v>1E-4</v>
      </c>
      <c r="G1106">
        <v>1</v>
      </c>
      <c r="H1106" t="s">
        <v>6803</v>
      </c>
      <c r="I1106">
        <f>VLOOKUP(Table9[[#This Row],[Shortname]], Comp[], 6, FALSE)</f>
        <v>966</v>
      </c>
      <c r="J1106" s="14">
        <f>VLOOKUP(Table9[[#This Row],[Shortname]], Comp[], 7, FALSE)</f>
        <v>34.200000000000003</v>
      </c>
      <c r="K1106">
        <f>VLOOKUP(Table9[[#This Row],[Shortname]], Comp[], 8, FALSE)</f>
        <v>36.4</v>
      </c>
      <c r="L1106">
        <f>VLOOKUP(Table9[[#This Row],[Shortname]], Comp[], 9, FALSE)</f>
        <v>4.7</v>
      </c>
      <c r="M1106">
        <f>VLOOKUP(Table9[[#This Row],[Shortname]], Comp[], 10, FALSE)</f>
        <v>15.2</v>
      </c>
      <c r="N1106">
        <f>VLOOKUP(Table9[[#This Row],[Shortname]], Comp[], 11, FALSE)</f>
        <v>1.2</v>
      </c>
      <c r="O1106">
        <f>VLOOKUP(Table9[[#This Row],[Shortname]], Comp[],12, FALSE)</f>
        <v>5.2</v>
      </c>
      <c r="P1106">
        <f>VLOOKUP(Table9[[#This Row],[Shortname]], Comp[], 13, FALSE)</f>
        <v>1</v>
      </c>
      <c r="Q1106">
        <f>VLOOKUP(Table9[[#This Row],[Shortname]], Comp[], 14, FALSE)</f>
        <v>0</v>
      </c>
      <c r="R1106">
        <f>VLOOKUP(Table9[[#This Row],[Shortname]], Comp[], 15, FALSE)</f>
        <v>0</v>
      </c>
      <c r="S1106">
        <f>VLOOKUP(Table9[[#This Row],[Shortname]], Comp[], 16, FALSE)</f>
        <v>2.1</v>
      </c>
      <c r="T1106">
        <f>VLOOKUP(Table9[[#This Row],[Shortname]], Comp[], 17, FALSE)</f>
        <v>0</v>
      </c>
      <c r="U1106">
        <f>VLOOKUP(Table9[[#This Row],[Shortname]], Comp[], 18, FALSE)</f>
        <v>0</v>
      </c>
      <c r="V1106">
        <f>VLOOKUP(Table9[[#This Row],[Shortname]], Comp[], 19, FALSE)</f>
        <v>0</v>
      </c>
      <c r="W1106">
        <f>VLOOKUP(Table9[[#This Row],[Shortname]], Comp[], 20, FALSE)</f>
        <v>0</v>
      </c>
      <c r="X1106">
        <f>VLOOKUP(Table9[[#This Row],[Shortname]], Comp[], 21, FALSE)</f>
        <v>0</v>
      </c>
      <c r="Y1106">
        <f>VLOOKUP(Table9[[#This Row],[Shortname]], Comp[], 22, FALSE)</f>
        <v>0</v>
      </c>
      <c r="Z1106">
        <f>VLOOKUP(Table9[[#This Row],[Shortname]], Comp[], 23, FALSE)</f>
        <v>0</v>
      </c>
      <c r="AA1106">
        <f>VLOOKUP(Table9[[#This Row],[Shortname]], Comp[], 24, FALSE)</f>
        <v>0</v>
      </c>
      <c r="AB1106">
        <f>VLOOKUP(Table9[[#This Row],[Shortname]], Comp[], 25, FALSE)</f>
        <v>0</v>
      </c>
      <c r="AC1106">
        <f>VLOOKUP(Table9[[#This Row],[Shortname]], Comp[], 26, FALSE)</f>
        <v>0</v>
      </c>
      <c r="AD1106">
        <f>VLOOKUP(Table9[[#This Row],[Shortname]], Comp[], 27, FALSE)</f>
        <v>0</v>
      </c>
      <c r="AE1106">
        <f>VLOOKUP(Table9[[#This Row],[Shortname]], Comp[], 28, FALSE)</f>
        <v>0</v>
      </c>
      <c r="AF1106">
        <f>VLOOKUP(Table9[[#This Row],[Shortname]], Comp[], 29, FALSE)</f>
        <v>0</v>
      </c>
      <c r="AG1106">
        <f>VLOOKUP(Table9[[#This Row],[Shortname]], Comp[], 30, FALSE)</f>
        <v>0</v>
      </c>
      <c r="AH1106">
        <f>VLOOKUP(Table9[[#This Row],[Shortname]], Comp[], 31, FALSE)</f>
        <v>0</v>
      </c>
    </row>
    <row r="1107" spans="1:34" x14ac:dyDescent="0.3">
      <c r="A1107" t="s">
        <v>5988</v>
      </c>
      <c r="B1107" t="s">
        <v>5989</v>
      </c>
      <c r="C1107" t="s">
        <v>5961</v>
      </c>
      <c r="D1107">
        <v>744</v>
      </c>
      <c r="E1107">
        <v>25</v>
      </c>
      <c r="F1107">
        <v>1E-4</v>
      </c>
      <c r="G1107">
        <v>1</v>
      </c>
      <c r="H1107" t="s">
        <v>6803</v>
      </c>
      <c r="I1107">
        <f>VLOOKUP(Table9[[#This Row],[Shortname]], Comp[], 6, FALSE)</f>
        <v>967</v>
      </c>
      <c r="J1107" s="14">
        <f>VLOOKUP(Table9[[#This Row],[Shortname]], Comp[], 7, FALSE)</f>
        <v>35.100000000000009</v>
      </c>
      <c r="K1107">
        <f>VLOOKUP(Table9[[#This Row],[Shortname]], Comp[], 8, FALSE)</f>
        <v>34.4</v>
      </c>
      <c r="L1107">
        <f>VLOOKUP(Table9[[#This Row],[Shortname]], Comp[], 9, FALSE)</f>
        <v>4.5</v>
      </c>
      <c r="M1107">
        <f>VLOOKUP(Table9[[#This Row],[Shortname]], Comp[], 10, FALSE)</f>
        <v>15.7</v>
      </c>
      <c r="N1107">
        <f>VLOOKUP(Table9[[#This Row],[Shortname]], Comp[], 11, FALSE)</f>
        <v>1.1000000000000001</v>
      </c>
      <c r="O1107">
        <f>VLOOKUP(Table9[[#This Row],[Shortname]], Comp[],12, FALSE)</f>
        <v>7.4</v>
      </c>
      <c r="P1107">
        <f>VLOOKUP(Table9[[#This Row],[Shortname]], Comp[], 13, FALSE)</f>
        <v>0</v>
      </c>
      <c r="Q1107">
        <f>VLOOKUP(Table9[[#This Row],[Shortname]], Comp[], 14, FALSE)</f>
        <v>0</v>
      </c>
      <c r="R1107">
        <f>VLOOKUP(Table9[[#This Row],[Shortname]], Comp[], 15, FALSE)</f>
        <v>0</v>
      </c>
      <c r="S1107">
        <f>VLOOKUP(Table9[[#This Row],[Shortname]], Comp[], 16, FALSE)</f>
        <v>1.8</v>
      </c>
      <c r="T1107">
        <f>VLOOKUP(Table9[[#This Row],[Shortname]], Comp[], 17, FALSE)</f>
        <v>0</v>
      </c>
      <c r="U1107">
        <f>VLOOKUP(Table9[[#This Row],[Shortname]], Comp[], 18, FALSE)</f>
        <v>0</v>
      </c>
      <c r="V1107">
        <f>VLOOKUP(Table9[[#This Row],[Shortname]], Comp[], 19, FALSE)</f>
        <v>0</v>
      </c>
      <c r="W1107">
        <f>VLOOKUP(Table9[[#This Row],[Shortname]], Comp[], 20, FALSE)</f>
        <v>0</v>
      </c>
      <c r="X1107">
        <f>VLOOKUP(Table9[[#This Row],[Shortname]], Comp[], 21, FALSE)</f>
        <v>0</v>
      </c>
      <c r="Y1107">
        <f>VLOOKUP(Table9[[#This Row],[Shortname]], Comp[], 22, FALSE)</f>
        <v>0</v>
      </c>
      <c r="Z1107">
        <f>VLOOKUP(Table9[[#This Row],[Shortname]], Comp[], 23, FALSE)</f>
        <v>0</v>
      </c>
      <c r="AA1107">
        <f>VLOOKUP(Table9[[#This Row],[Shortname]], Comp[], 24, FALSE)</f>
        <v>0</v>
      </c>
      <c r="AB1107">
        <f>VLOOKUP(Table9[[#This Row],[Shortname]], Comp[], 25, FALSE)</f>
        <v>0</v>
      </c>
      <c r="AC1107">
        <f>VLOOKUP(Table9[[#This Row],[Shortname]], Comp[], 26, FALSE)</f>
        <v>0</v>
      </c>
      <c r="AD1107">
        <f>VLOOKUP(Table9[[#This Row],[Shortname]], Comp[], 27, FALSE)</f>
        <v>0</v>
      </c>
      <c r="AE1107">
        <f>VLOOKUP(Table9[[#This Row],[Shortname]], Comp[], 28, FALSE)</f>
        <v>0</v>
      </c>
      <c r="AF1107">
        <f>VLOOKUP(Table9[[#This Row],[Shortname]], Comp[], 29, FALSE)</f>
        <v>0</v>
      </c>
      <c r="AG1107">
        <f>VLOOKUP(Table9[[#This Row],[Shortname]], Comp[], 30, FALSE)</f>
        <v>0</v>
      </c>
      <c r="AH1107">
        <f>VLOOKUP(Table9[[#This Row],[Shortname]], Comp[], 31, FALSE)</f>
        <v>0</v>
      </c>
    </row>
    <row r="1108" spans="1:34" x14ac:dyDescent="0.3">
      <c r="A1108" t="s">
        <v>5988</v>
      </c>
      <c r="B1108" t="s">
        <v>5989</v>
      </c>
      <c r="C1108" t="s">
        <v>5961</v>
      </c>
      <c r="D1108">
        <v>633</v>
      </c>
      <c r="E1108">
        <v>600</v>
      </c>
      <c r="F1108">
        <v>1E-4</v>
      </c>
      <c r="G1108">
        <v>1</v>
      </c>
      <c r="H1108" t="s">
        <v>6803</v>
      </c>
      <c r="I1108">
        <f>VLOOKUP(Table9[[#This Row],[Shortname]], Comp[], 6, FALSE)</f>
        <v>967</v>
      </c>
      <c r="J1108" s="14">
        <f>VLOOKUP(Table9[[#This Row],[Shortname]], Comp[], 7, FALSE)</f>
        <v>35.100000000000009</v>
      </c>
      <c r="K1108">
        <f>VLOOKUP(Table9[[#This Row],[Shortname]], Comp[], 8, FALSE)</f>
        <v>34.4</v>
      </c>
      <c r="L1108">
        <f>VLOOKUP(Table9[[#This Row],[Shortname]], Comp[], 9, FALSE)</f>
        <v>4.5</v>
      </c>
      <c r="M1108">
        <f>VLOOKUP(Table9[[#This Row],[Shortname]], Comp[], 10, FALSE)</f>
        <v>15.7</v>
      </c>
      <c r="N1108">
        <f>VLOOKUP(Table9[[#This Row],[Shortname]], Comp[], 11, FALSE)</f>
        <v>1.1000000000000001</v>
      </c>
      <c r="O1108">
        <f>VLOOKUP(Table9[[#This Row],[Shortname]], Comp[],12, FALSE)</f>
        <v>7.4</v>
      </c>
      <c r="P1108">
        <f>VLOOKUP(Table9[[#This Row],[Shortname]], Comp[], 13, FALSE)</f>
        <v>0</v>
      </c>
      <c r="Q1108">
        <f>VLOOKUP(Table9[[#This Row],[Shortname]], Comp[], 14, FALSE)</f>
        <v>0</v>
      </c>
      <c r="R1108">
        <f>VLOOKUP(Table9[[#This Row],[Shortname]], Comp[], 15, FALSE)</f>
        <v>0</v>
      </c>
      <c r="S1108">
        <f>VLOOKUP(Table9[[#This Row],[Shortname]], Comp[], 16, FALSE)</f>
        <v>1.8</v>
      </c>
      <c r="T1108">
        <f>VLOOKUP(Table9[[#This Row],[Shortname]], Comp[], 17, FALSE)</f>
        <v>0</v>
      </c>
      <c r="U1108">
        <f>VLOOKUP(Table9[[#This Row],[Shortname]], Comp[], 18, FALSE)</f>
        <v>0</v>
      </c>
      <c r="V1108">
        <f>VLOOKUP(Table9[[#This Row],[Shortname]], Comp[], 19, FALSE)</f>
        <v>0</v>
      </c>
      <c r="W1108">
        <f>VLOOKUP(Table9[[#This Row],[Shortname]], Comp[], 20, FALSE)</f>
        <v>0</v>
      </c>
      <c r="X1108">
        <f>VLOOKUP(Table9[[#This Row],[Shortname]], Comp[], 21, FALSE)</f>
        <v>0</v>
      </c>
      <c r="Y1108">
        <f>VLOOKUP(Table9[[#This Row],[Shortname]], Comp[], 22, FALSE)</f>
        <v>0</v>
      </c>
      <c r="Z1108">
        <f>VLOOKUP(Table9[[#This Row],[Shortname]], Comp[], 23, FALSE)</f>
        <v>0</v>
      </c>
      <c r="AA1108">
        <f>VLOOKUP(Table9[[#This Row],[Shortname]], Comp[], 24, FALSE)</f>
        <v>0</v>
      </c>
      <c r="AB1108">
        <f>VLOOKUP(Table9[[#This Row],[Shortname]], Comp[], 25, FALSE)</f>
        <v>0</v>
      </c>
      <c r="AC1108">
        <f>VLOOKUP(Table9[[#This Row],[Shortname]], Comp[], 26, FALSE)</f>
        <v>0</v>
      </c>
      <c r="AD1108">
        <f>VLOOKUP(Table9[[#This Row],[Shortname]], Comp[], 27, FALSE)</f>
        <v>0</v>
      </c>
      <c r="AE1108">
        <f>VLOOKUP(Table9[[#This Row],[Shortname]], Comp[], 28, FALSE)</f>
        <v>0</v>
      </c>
      <c r="AF1108">
        <f>VLOOKUP(Table9[[#This Row],[Shortname]], Comp[], 29, FALSE)</f>
        <v>0</v>
      </c>
      <c r="AG1108">
        <f>VLOOKUP(Table9[[#This Row],[Shortname]], Comp[], 30, FALSE)</f>
        <v>0</v>
      </c>
      <c r="AH1108">
        <f>VLOOKUP(Table9[[#This Row],[Shortname]], Comp[], 31, FALSE)</f>
        <v>0</v>
      </c>
    </row>
    <row r="1109" spans="1:34" x14ac:dyDescent="0.3">
      <c r="A1109" t="s">
        <v>5988</v>
      </c>
      <c r="B1109" t="s">
        <v>5989</v>
      </c>
      <c r="C1109" t="s">
        <v>5961</v>
      </c>
      <c r="D1109">
        <v>562</v>
      </c>
      <c r="E1109">
        <v>750</v>
      </c>
      <c r="F1109">
        <v>1E-4</v>
      </c>
      <c r="G1109">
        <v>1</v>
      </c>
      <c r="H1109" t="s">
        <v>6803</v>
      </c>
      <c r="I1109">
        <f>VLOOKUP(Table9[[#This Row],[Shortname]], Comp[], 6, FALSE)</f>
        <v>967</v>
      </c>
      <c r="J1109" s="14">
        <f>VLOOKUP(Table9[[#This Row],[Shortname]], Comp[], 7, FALSE)</f>
        <v>35.100000000000009</v>
      </c>
      <c r="K1109">
        <f>VLOOKUP(Table9[[#This Row],[Shortname]], Comp[], 8, FALSE)</f>
        <v>34.4</v>
      </c>
      <c r="L1109">
        <f>VLOOKUP(Table9[[#This Row],[Shortname]], Comp[], 9, FALSE)</f>
        <v>4.5</v>
      </c>
      <c r="M1109">
        <f>VLOOKUP(Table9[[#This Row],[Shortname]], Comp[], 10, FALSE)</f>
        <v>15.7</v>
      </c>
      <c r="N1109">
        <f>VLOOKUP(Table9[[#This Row],[Shortname]], Comp[], 11, FALSE)</f>
        <v>1.1000000000000001</v>
      </c>
      <c r="O1109">
        <f>VLOOKUP(Table9[[#This Row],[Shortname]], Comp[],12, FALSE)</f>
        <v>7.4</v>
      </c>
      <c r="P1109">
        <f>VLOOKUP(Table9[[#This Row],[Shortname]], Comp[], 13, FALSE)</f>
        <v>0</v>
      </c>
      <c r="Q1109">
        <f>VLOOKUP(Table9[[#This Row],[Shortname]], Comp[], 14, FALSE)</f>
        <v>0</v>
      </c>
      <c r="R1109">
        <f>VLOOKUP(Table9[[#This Row],[Shortname]], Comp[], 15, FALSE)</f>
        <v>0</v>
      </c>
      <c r="S1109">
        <f>VLOOKUP(Table9[[#This Row],[Shortname]], Comp[], 16, FALSE)</f>
        <v>1.8</v>
      </c>
      <c r="T1109">
        <f>VLOOKUP(Table9[[#This Row],[Shortname]], Comp[], 17, FALSE)</f>
        <v>0</v>
      </c>
      <c r="U1109">
        <f>VLOOKUP(Table9[[#This Row],[Shortname]], Comp[], 18, FALSE)</f>
        <v>0</v>
      </c>
      <c r="V1109">
        <f>VLOOKUP(Table9[[#This Row],[Shortname]], Comp[], 19, FALSE)</f>
        <v>0</v>
      </c>
      <c r="W1109">
        <f>VLOOKUP(Table9[[#This Row],[Shortname]], Comp[], 20, FALSE)</f>
        <v>0</v>
      </c>
      <c r="X1109">
        <f>VLOOKUP(Table9[[#This Row],[Shortname]], Comp[], 21, FALSE)</f>
        <v>0</v>
      </c>
      <c r="Y1109">
        <f>VLOOKUP(Table9[[#This Row],[Shortname]], Comp[], 22, FALSE)</f>
        <v>0</v>
      </c>
      <c r="Z1109">
        <f>VLOOKUP(Table9[[#This Row],[Shortname]], Comp[], 23, FALSE)</f>
        <v>0</v>
      </c>
      <c r="AA1109">
        <f>VLOOKUP(Table9[[#This Row],[Shortname]], Comp[], 24, FALSE)</f>
        <v>0</v>
      </c>
      <c r="AB1109">
        <f>VLOOKUP(Table9[[#This Row],[Shortname]], Comp[], 25, FALSE)</f>
        <v>0</v>
      </c>
      <c r="AC1109">
        <f>VLOOKUP(Table9[[#This Row],[Shortname]], Comp[], 26, FALSE)</f>
        <v>0</v>
      </c>
      <c r="AD1109">
        <f>VLOOKUP(Table9[[#This Row],[Shortname]], Comp[], 27, FALSE)</f>
        <v>0</v>
      </c>
      <c r="AE1109">
        <f>VLOOKUP(Table9[[#This Row],[Shortname]], Comp[], 28, FALSE)</f>
        <v>0</v>
      </c>
      <c r="AF1109">
        <f>VLOOKUP(Table9[[#This Row],[Shortname]], Comp[], 29, FALSE)</f>
        <v>0</v>
      </c>
      <c r="AG1109">
        <f>VLOOKUP(Table9[[#This Row],[Shortname]], Comp[], 30, FALSE)</f>
        <v>0</v>
      </c>
      <c r="AH1109">
        <f>VLOOKUP(Table9[[#This Row],[Shortname]], Comp[], 31, FALSE)</f>
        <v>0</v>
      </c>
    </row>
    <row r="1110" spans="1:34" x14ac:dyDescent="0.3">
      <c r="A1110" t="s">
        <v>5988</v>
      </c>
      <c r="B1110" t="s">
        <v>5989</v>
      </c>
      <c r="C1110" t="s">
        <v>5961</v>
      </c>
      <c r="D1110">
        <v>561</v>
      </c>
      <c r="E1110">
        <v>850</v>
      </c>
      <c r="F1110">
        <v>1E-4</v>
      </c>
      <c r="G1110">
        <v>1</v>
      </c>
      <c r="H1110" t="s">
        <v>6803</v>
      </c>
      <c r="I1110">
        <f>VLOOKUP(Table9[[#This Row],[Shortname]], Comp[], 6, FALSE)</f>
        <v>967</v>
      </c>
      <c r="J1110" s="14">
        <f>VLOOKUP(Table9[[#This Row],[Shortname]], Comp[], 7, FALSE)</f>
        <v>35.100000000000009</v>
      </c>
      <c r="K1110">
        <f>VLOOKUP(Table9[[#This Row],[Shortname]], Comp[], 8, FALSE)</f>
        <v>34.4</v>
      </c>
      <c r="L1110">
        <f>VLOOKUP(Table9[[#This Row],[Shortname]], Comp[], 9, FALSE)</f>
        <v>4.5</v>
      </c>
      <c r="M1110">
        <f>VLOOKUP(Table9[[#This Row],[Shortname]], Comp[], 10, FALSE)</f>
        <v>15.7</v>
      </c>
      <c r="N1110">
        <f>VLOOKUP(Table9[[#This Row],[Shortname]], Comp[], 11, FALSE)</f>
        <v>1.1000000000000001</v>
      </c>
      <c r="O1110">
        <f>VLOOKUP(Table9[[#This Row],[Shortname]], Comp[],12, FALSE)</f>
        <v>7.4</v>
      </c>
      <c r="P1110">
        <f>VLOOKUP(Table9[[#This Row],[Shortname]], Comp[], 13, FALSE)</f>
        <v>0</v>
      </c>
      <c r="Q1110">
        <f>VLOOKUP(Table9[[#This Row],[Shortname]], Comp[], 14, FALSE)</f>
        <v>0</v>
      </c>
      <c r="R1110">
        <f>VLOOKUP(Table9[[#This Row],[Shortname]], Comp[], 15, FALSE)</f>
        <v>0</v>
      </c>
      <c r="S1110">
        <f>VLOOKUP(Table9[[#This Row],[Shortname]], Comp[], 16, FALSE)</f>
        <v>1.8</v>
      </c>
      <c r="T1110">
        <f>VLOOKUP(Table9[[#This Row],[Shortname]], Comp[], 17, FALSE)</f>
        <v>0</v>
      </c>
      <c r="U1110">
        <f>VLOOKUP(Table9[[#This Row],[Shortname]], Comp[], 18, FALSE)</f>
        <v>0</v>
      </c>
      <c r="V1110">
        <f>VLOOKUP(Table9[[#This Row],[Shortname]], Comp[], 19, FALSE)</f>
        <v>0</v>
      </c>
      <c r="W1110">
        <f>VLOOKUP(Table9[[#This Row],[Shortname]], Comp[], 20, FALSE)</f>
        <v>0</v>
      </c>
      <c r="X1110">
        <f>VLOOKUP(Table9[[#This Row],[Shortname]], Comp[], 21, FALSE)</f>
        <v>0</v>
      </c>
      <c r="Y1110">
        <f>VLOOKUP(Table9[[#This Row],[Shortname]], Comp[], 22, FALSE)</f>
        <v>0</v>
      </c>
      <c r="Z1110">
        <f>VLOOKUP(Table9[[#This Row],[Shortname]], Comp[], 23, FALSE)</f>
        <v>0</v>
      </c>
      <c r="AA1110">
        <f>VLOOKUP(Table9[[#This Row],[Shortname]], Comp[], 24, FALSE)</f>
        <v>0</v>
      </c>
      <c r="AB1110">
        <f>VLOOKUP(Table9[[#This Row],[Shortname]], Comp[], 25, FALSE)</f>
        <v>0</v>
      </c>
      <c r="AC1110">
        <f>VLOOKUP(Table9[[#This Row],[Shortname]], Comp[], 26, FALSE)</f>
        <v>0</v>
      </c>
      <c r="AD1110">
        <f>VLOOKUP(Table9[[#This Row],[Shortname]], Comp[], 27, FALSE)</f>
        <v>0</v>
      </c>
      <c r="AE1110">
        <f>VLOOKUP(Table9[[#This Row],[Shortname]], Comp[], 28, FALSE)</f>
        <v>0</v>
      </c>
      <c r="AF1110">
        <f>VLOOKUP(Table9[[#This Row],[Shortname]], Comp[], 29, FALSE)</f>
        <v>0</v>
      </c>
      <c r="AG1110">
        <f>VLOOKUP(Table9[[#This Row],[Shortname]], Comp[], 30, FALSE)</f>
        <v>0</v>
      </c>
      <c r="AH1110">
        <f>VLOOKUP(Table9[[#This Row],[Shortname]], Comp[], 31, FALSE)</f>
        <v>0</v>
      </c>
    </row>
    <row r="1111" spans="1:34" x14ac:dyDescent="0.3">
      <c r="A1111" t="s">
        <v>6033</v>
      </c>
      <c r="B1111" t="s">
        <v>6034</v>
      </c>
      <c r="C1111" t="s">
        <v>6035</v>
      </c>
      <c r="D1111">
        <v>1020</v>
      </c>
      <c r="E1111">
        <v>25</v>
      </c>
      <c r="F1111">
        <v>1E-4</v>
      </c>
      <c r="G1111">
        <v>1</v>
      </c>
      <c r="H1111" t="s">
        <v>6803</v>
      </c>
      <c r="I1111">
        <f>VLOOKUP(Table9[[#This Row],[Shortname]], Comp[], 6, FALSE)</f>
        <v>978</v>
      </c>
      <c r="J1111" s="14">
        <f>VLOOKUP(Table9[[#This Row],[Shortname]], Comp[], 7, FALSE)</f>
        <v>82</v>
      </c>
      <c r="K1111">
        <f>VLOOKUP(Table9[[#This Row],[Shortname]], Comp[], 8, FALSE)</f>
        <v>0</v>
      </c>
      <c r="L1111">
        <f>VLOOKUP(Table9[[#This Row],[Shortname]], Comp[], 9, FALSE)</f>
        <v>0</v>
      </c>
      <c r="M1111">
        <f>VLOOKUP(Table9[[#This Row],[Shortname]], Comp[], 10, FALSE)</f>
        <v>0</v>
      </c>
      <c r="N1111">
        <f>VLOOKUP(Table9[[#This Row],[Shortname]], Comp[], 11, FALSE)</f>
        <v>2</v>
      </c>
      <c r="O1111">
        <f>VLOOKUP(Table9[[#This Row],[Shortname]], Comp[],12, FALSE)</f>
        <v>4</v>
      </c>
      <c r="P1111">
        <f>VLOOKUP(Table9[[#This Row],[Shortname]], Comp[], 13, FALSE)</f>
        <v>2</v>
      </c>
      <c r="Q1111">
        <f>VLOOKUP(Table9[[#This Row],[Shortname]], Comp[], 14, FALSE)</f>
        <v>0</v>
      </c>
      <c r="R1111">
        <f>VLOOKUP(Table9[[#This Row],[Shortname]], Comp[], 15, FALSE)</f>
        <v>10</v>
      </c>
      <c r="S1111">
        <f>VLOOKUP(Table9[[#This Row],[Shortname]], Comp[], 16, FALSE)</f>
        <v>0</v>
      </c>
      <c r="T1111">
        <f>VLOOKUP(Table9[[#This Row],[Shortname]], Comp[], 17, FALSE)</f>
        <v>0</v>
      </c>
      <c r="U1111">
        <f>VLOOKUP(Table9[[#This Row],[Shortname]], Comp[], 18, FALSE)</f>
        <v>0</v>
      </c>
      <c r="V1111">
        <f>VLOOKUP(Table9[[#This Row],[Shortname]], Comp[], 19, FALSE)</f>
        <v>0</v>
      </c>
      <c r="W1111">
        <f>VLOOKUP(Table9[[#This Row],[Shortname]], Comp[], 20, FALSE)</f>
        <v>0</v>
      </c>
      <c r="X1111">
        <f>VLOOKUP(Table9[[#This Row],[Shortname]], Comp[], 21, FALSE)</f>
        <v>0</v>
      </c>
      <c r="Y1111">
        <f>VLOOKUP(Table9[[#This Row],[Shortname]], Comp[], 22, FALSE)</f>
        <v>0</v>
      </c>
      <c r="Z1111">
        <f>VLOOKUP(Table9[[#This Row],[Shortname]], Comp[], 23, FALSE)</f>
        <v>0</v>
      </c>
      <c r="AA1111">
        <f>VLOOKUP(Table9[[#This Row],[Shortname]], Comp[], 24, FALSE)</f>
        <v>0</v>
      </c>
      <c r="AB1111">
        <f>VLOOKUP(Table9[[#This Row],[Shortname]], Comp[], 25, FALSE)</f>
        <v>0</v>
      </c>
      <c r="AC1111">
        <f>VLOOKUP(Table9[[#This Row],[Shortname]], Comp[], 26, FALSE)</f>
        <v>0</v>
      </c>
      <c r="AD1111">
        <f>VLOOKUP(Table9[[#This Row],[Shortname]], Comp[], 27, FALSE)</f>
        <v>0</v>
      </c>
      <c r="AE1111">
        <f>VLOOKUP(Table9[[#This Row],[Shortname]], Comp[], 28, FALSE)</f>
        <v>0</v>
      </c>
      <c r="AF1111">
        <f>VLOOKUP(Table9[[#This Row],[Shortname]], Comp[], 29, FALSE)</f>
        <v>0</v>
      </c>
      <c r="AG1111">
        <f>VLOOKUP(Table9[[#This Row],[Shortname]], Comp[], 30, FALSE)</f>
        <v>0</v>
      </c>
      <c r="AH1111">
        <f>VLOOKUP(Table9[[#This Row],[Shortname]], Comp[], 31, FALSE)</f>
        <v>0</v>
      </c>
    </row>
    <row r="1112" spans="1:34" x14ac:dyDescent="0.3">
      <c r="A1112" t="s">
        <v>6033</v>
      </c>
      <c r="B1112" t="s">
        <v>6034</v>
      </c>
      <c r="C1112" t="s">
        <v>6035</v>
      </c>
      <c r="D1112">
        <v>737</v>
      </c>
      <c r="E1112">
        <v>600</v>
      </c>
      <c r="F1112">
        <v>1E-4</v>
      </c>
      <c r="G1112">
        <v>1</v>
      </c>
      <c r="H1112" t="s">
        <v>6803</v>
      </c>
      <c r="I1112">
        <f>VLOOKUP(Table9[[#This Row],[Shortname]], Comp[], 6, FALSE)</f>
        <v>978</v>
      </c>
      <c r="J1112" s="14">
        <f>VLOOKUP(Table9[[#This Row],[Shortname]], Comp[], 7, FALSE)</f>
        <v>82</v>
      </c>
      <c r="K1112">
        <f>VLOOKUP(Table9[[#This Row],[Shortname]], Comp[], 8, FALSE)</f>
        <v>0</v>
      </c>
      <c r="L1112">
        <f>VLOOKUP(Table9[[#This Row],[Shortname]], Comp[], 9, FALSE)</f>
        <v>0</v>
      </c>
      <c r="M1112">
        <f>VLOOKUP(Table9[[#This Row],[Shortname]], Comp[], 10, FALSE)</f>
        <v>0</v>
      </c>
      <c r="N1112">
        <f>VLOOKUP(Table9[[#This Row],[Shortname]], Comp[], 11, FALSE)</f>
        <v>2</v>
      </c>
      <c r="O1112">
        <f>VLOOKUP(Table9[[#This Row],[Shortname]], Comp[],12, FALSE)</f>
        <v>4</v>
      </c>
      <c r="P1112">
        <f>VLOOKUP(Table9[[#This Row],[Shortname]], Comp[], 13, FALSE)</f>
        <v>2</v>
      </c>
      <c r="Q1112">
        <f>VLOOKUP(Table9[[#This Row],[Shortname]], Comp[], 14, FALSE)</f>
        <v>0</v>
      </c>
      <c r="R1112">
        <f>VLOOKUP(Table9[[#This Row],[Shortname]], Comp[], 15, FALSE)</f>
        <v>10</v>
      </c>
      <c r="S1112">
        <f>VLOOKUP(Table9[[#This Row],[Shortname]], Comp[], 16, FALSE)</f>
        <v>0</v>
      </c>
      <c r="T1112">
        <f>VLOOKUP(Table9[[#This Row],[Shortname]], Comp[], 17, FALSE)</f>
        <v>0</v>
      </c>
      <c r="U1112">
        <f>VLOOKUP(Table9[[#This Row],[Shortname]], Comp[], 18, FALSE)</f>
        <v>0</v>
      </c>
      <c r="V1112">
        <f>VLOOKUP(Table9[[#This Row],[Shortname]], Comp[], 19, FALSE)</f>
        <v>0</v>
      </c>
      <c r="W1112">
        <f>VLOOKUP(Table9[[#This Row],[Shortname]], Comp[], 20, FALSE)</f>
        <v>0</v>
      </c>
      <c r="X1112">
        <f>VLOOKUP(Table9[[#This Row],[Shortname]], Comp[], 21, FALSE)</f>
        <v>0</v>
      </c>
      <c r="Y1112">
        <f>VLOOKUP(Table9[[#This Row],[Shortname]], Comp[], 22, FALSE)</f>
        <v>0</v>
      </c>
      <c r="Z1112">
        <f>VLOOKUP(Table9[[#This Row],[Shortname]], Comp[], 23, FALSE)</f>
        <v>0</v>
      </c>
      <c r="AA1112">
        <f>VLOOKUP(Table9[[#This Row],[Shortname]], Comp[], 24, FALSE)</f>
        <v>0</v>
      </c>
      <c r="AB1112">
        <f>VLOOKUP(Table9[[#This Row],[Shortname]], Comp[], 25, FALSE)</f>
        <v>0</v>
      </c>
      <c r="AC1112">
        <f>VLOOKUP(Table9[[#This Row],[Shortname]], Comp[], 26, FALSE)</f>
        <v>0</v>
      </c>
      <c r="AD1112">
        <f>VLOOKUP(Table9[[#This Row],[Shortname]], Comp[], 27, FALSE)</f>
        <v>0</v>
      </c>
      <c r="AE1112">
        <f>VLOOKUP(Table9[[#This Row],[Shortname]], Comp[], 28, FALSE)</f>
        <v>0</v>
      </c>
      <c r="AF1112">
        <f>VLOOKUP(Table9[[#This Row],[Shortname]], Comp[], 29, FALSE)</f>
        <v>0</v>
      </c>
      <c r="AG1112">
        <f>VLOOKUP(Table9[[#This Row],[Shortname]], Comp[], 30, FALSE)</f>
        <v>0</v>
      </c>
      <c r="AH1112">
        <f>VLOOKUP(Table9[[#This Row],[Shortname]], Comp[], 31, FALSE)</f>
        <v>0</v>
      </c>
    </row>
    <row r="1113" spans="1:34" x14ac:dyDescent="0.3">
      <c r="A1113" t="s">
        <v>6033</v>
      </c>
      <c r="B1113" t="s">
        <v>6034</v>
      </c>
      <c r="C1113" t="s">
        <v>6035</v>
      </c>
      <c r="D1113">
        <v>751</v>
      </c>
      <c r="E1113">
        <v>700</v>
      </c>
      <c r="F1113">
        <v>1E-4</v>
      </c>
      <c r="G1113">
        <v>1</v>
      </c>
      <c r="H1113" t="s">
        <v>6803</v>
      </c>
      <c r="I1113">
        <f>VLOOKUP(Table9[[#This Row],[Shortname]], Comp[], 6, FALSE)</f>
        <v>978</v>
      </c>
      <c r="J1113" s="14">
        <f>VLOOKUP(Table9[[#This Row],[Shortname]], Comp[], 7, FALSE)</f>
        <v>82</v>
      </c>
      <c r="K1113">
        <f>VLOOKUP(Table9[[#This Row],[Shortname]], Comp[], 8, FALSE)</f>
        <v>0</v>
      </c>
      <c r="L1113">
        <f>VLOOKUP(Table9[[#This Row],[Shortname]], Comp[], 9, FALSE)</f>
        <v>0</v>
      </c>
      <c r="M1113">
        <f>VLOOKUP(Table9[[#This Row],[Shortname]], Comp[], 10, FALSE)</f>
        <v>0</v>
      </c>
      <c r="N1113">
        <f>VLOOKUP(Table9[[#This Row],[Shortname]], Comp[], 11, FALSE)</f>
        <v>2</v>
      </c>
      <c r="O1113">
        <f>VLOOKUP(Table9[[#This Row],[Shortname]], Comp[],12, FALSE)</f>
        <v>4</v>
      </c>
      <c r="P1113">
        <f>VLOOKUP(Table9[[#This Row],[Shortname]], Comp[], 13, FALSE)</f>
        <v>2</v>
      </c>
      <c r="Q1113">
        <f>VLOOKUP(Table9[[#This Row],[Shortname]], Comp[], 14, FALSE)</f>
        <v>0</v>
      </c>
      <c r="R1113">
        <f>VLOOKUP(Table9[[#This Row],[Shortname]], Comp[], 15, FALSE)</f>
        <v>10</v>
      </c>
      <c r="S1113">
        <f>VLOOKUP(Table9[[#This Row],[Shortname]], Comp[], 16, FALSE)</f>
        <v>0</v>
      </c>
      <c r="T1113">
        <f>VLOOKUP(Table9[[#This Row],[Shortname]], Comp[], 17, FALSE)</f>
        <v>0</v>
      </c>
      <c r="U1113">
        <f>VLOOKUP(Table9[[#This Row],[Shortname]], Comp[], 18, FALSE)</f>
        <v>0</v>
      </c>
      <c r="V1113">
        <f>VLOOKUP(Table9[[#This Row],[Shortname]], Comp[], 19, FALSE)</f>
        <v>0</v>
      </c>
      <c r="W1113">
        <f>VLOOKUP(Table9[[#This Row],[Shortname]], Comp[], 20, FALSE)</f>
        <v>0</v>
      </c>
      <c r="X1113">
        <f>VLOOKUP(Table9[[#This Row],[Shortname]], Comp[], 21, FALSE)</f>
        <v>0</v>
      </c>
      <c r="Y1113">
        <f>VLOOKUP(Table9[[#This Row],[Shortname]], Comp[], 22, FALSE)</f>
        <v>0</v>
      </c>
      <c r="Z1113">
        <f>VLOOKUP(Table9[[#This Row],[Shortname]], Comp[], 23, FALSE)</f>
        <v>0</v>
      </c>
      <c r="AA1113">
        <f>VLOOKUP(Table9[[#This Row],[Shortname]], Comp[], 24, FALSE)</f>
        <v>0</v>
      </c>
      <c r="AB1113">
        <f>VLOOKUP(Table9[[#This Row],[Shortname]], Comp[], 25, FALSE)</f>
        <v>0</v>
      </c>
      <c r="AC1113">
        <f>VLOOKUP(Table9[[#This Row],[Shortname]], Comp[], 26, FALSE)</f>
        <v>0</v>
      </c>
      <c r="AD1113">
        <f>VLOOKUP(Table9[[#This Row],[Shortname]], Comp[], 27, FALSE)</f>
        <v>0</v>
      </c>
      <c r="AE1113">
        <f>VLOOKUP(Table9[[#This Row],[Shortname]], Comp[], 28, FALSE)</f>
        <v>0</v>
      </c>
      <c r="AF1113">
        <f>VLOOKUP(Table9[[#This Row],[Shortname]], Comp[], 29, FALSE)</f>
        <v>0</v>
      </c>
      <c r="AG1113">
        <f>VLOOKUP(Table9[[#This Row],[Shortname]], Comp[], 30, FALSE)</f>
        <v>0</v>
      </c>
      <c r="AH1113">
        <f>VLOOKUP(Table9[[#This Row],[Shortname]], Comp[], 31, FALSE)</f>
        <v>0</v>
      </c>
    </row>
    <row r="1114" spans="1:34" x14ac:dyDescent="0.3">
      <c r="A1114" t="s">
        <v>6033</v>
      </c>
      <c r="B1114" t="s">
        <v>6034</v>
      </c>
      <c r="C1114" t="s">
        <v>6035</v>
      </c>
      <c r="D1114">
        <v>863</v>
      </c>
      <c r="E1114">
        <v>750</v>
      </c>
      <c r="F1114">
        <v>1E-4</v>
      </c>
      <c r="G1114">
        <v>1</v>
      </c>
      <c r="H1114" t="s">
        <v>6803</v>
      </c>
      <c r="I1114">
        <f>VLOOKUP(Table9[[#This Row],[Shortname]], Comp[], 6, FALSE)</f>
        <v>978</v>
      </c>
      <c r="J1114" s="14">
        <f>VLOOKUP(Table9[[#This Row],[Shortname]], Comp[], 7, FALSE)</f>
        <v>82</v>
      </c>
      <c r="K1114">
        <f>VLOOKUP(Table9[[#This Row],[Shortname]], Comp[], 8, FALSE)</f>
        <v>0</v>
      </c>
      <c r="L1114">
        <f>VLOOKUP(Table9[[#This Row],[Shortname]], Comp[], 9, FALSE)</f>
        <v>0</v>
      </c>
      <c r="M1114">
        <f>VLOOKUP(Table9[[#This Row],[Shortname]], Comp[], 10, FALSE)</f>
        <v>0</v>
      </c>
      <c r="N1114">
        <f>VLOOKUP(Table9[[#This Row],[Shortname]], Comp[], 11, FALSE)</f>
        <v>2</v>
      </c>
      <c r="O1114">
        <f>VLOOKUP(Table9[[#This Row],[Shortname]], Comp[],12, FALSE)</f>
        <v>4</v>
      </c>
      <c r="P1114">
        <f>VLOOKUP(Table9[[#This Row],[Shortname]], Comp[], 13, FALSE)</f>
        <v>2</v>
      </c>
      <c r="Q1114">
        <f>VLOOKUP(Table9[[#This Row],[Shortname]], Comp[], 14, FALSE)</f>
        <v>0</v>
      </c>
      <c r="R1114">
        <f>VLOOKUP(Table9[[#This Row],[Shortname]], Comp[], 15, FALSE)</f>
        <v>10</v>
      </c>
      <c r="S1114">
        <f>VLOOKUP(Table9[[#This Row],[Shortname]], Comp[], 16, FALSE)</f>
        <v>0</v>
      </c>
      <c r="T1114">
        <f>VLOOKUP(Table9[[#This Row],[Shortname]], Comp[], 17, FALSE)</f>
        <v>0</v>
      </c>
      <c r="U1114">
        <f>VLOOKUP(Table9[[#This Row],[Shortname]], Comp[], 18, FALSE)</f>
        <v>0</v>
      </c>
      <c r="V1114">
        <f>VLOOKUP(Table9[[#This Row],[Shortname]], Comp[], 19, FALSE)</f>
        <v>0</v>
      </c>
      <c r="W1114">
        <f>VLOOKUP(Table9[[#This Row],[Shortname]], Comp[], 20, FALSE)</f>
        <v>0</v>
      </c>
      <c r="X1114">
        <f>VLOOKUP(Table9[[#This Row],[Shortname]], Comp[], 21, FALSE)</f>
        <v>0</v>
      </c>
      <c r="Y1114">
        <f>VLOOKUP(Table9[[#This Row],[Shortname]], Comp[], 22, FALSE)</f>
        <v>0</v>
      </c>
      <c r="Z1114">
        <f>VLOOKUP(Table9[[#This Row],[Shortname]], Comp[], 23, FALSE)</f>
        <v>0</v>
      </c>
      <c r="AA1114">
        <f>VLOOKUP(Table9[[#This Row],[Shortname]], Comp[], 24, FALSE)</f>
        <v>0</v>
      </c>
      <c r="AB1114">
        <f>VLOOKUP(Table9[[#This Row],[Shortname]], Comp[], 25, FALSE)</f>
        <v>0</v>
      </c>
      <c r="AC1114">
        <f>VLOOKUP(Table9[[#This Row],[Shortname]], Comp[], 26, FALSE)</f>
        <v>0</v>
      </c>
      <c r="AD1114">
        <f>VLOOKUP(Table9[[#This Row],[Shortname]], Comp[], 27, FALSE)</f>
        <v>0</v>
      </c>
      <c r="AE1114">
        <f>VLOOKUP(Table9[[#This Row],[Shortname]], Comp[], 28, FALSE)</f>
        <v>0</v>
      </c>
      <c r="AF1114">
        <f>VLOOKUP(Table9[[#This Row],[Shortname]], Comp[], 29, FALSE)</f>
        <v>0</v>
      </c>
      <c r="AG1114">
        <f>VLOOKUP(Table9[[#This Row],[Shortname]], Comp[], 30, FALSE)</f>
        <v>0</v>
      </c>
      <c r="AH1114">
        <f>VLOOKUP(Table9[[#This Row],[Shortname]], Comp[], 31, FALSE)</f>
        <v>0</v>
      </c>
    </row>
    <row r="1115" spans="1:34" x14ac:dyDescent="0.3">
      <c r="A1115" t="s">
        <v>6033</v>
      </c>
      <c r="B1115" t="s">
        <v>6034</v>
      </c>
      <c r="C1115" t="s">
        <v>6035</v>
      </c>
      <c r="D1115">
        <v>752</v>
      </c>
      <c r="E1115">
        <v>800</v>
      </c>
      <c r="F1115">
        <v>1E-4</v>
      </c>
      <c r="G1115">
        <v>1</v>
      </c>
      <c r="H1115" t="s">
        <v>6803</v>
      </c>
      <c r="I1115">
        <f>VLOOKUP(Table9[[#This Row],[Shortname]], Comp[], 6, FALSE)</f>
        <v>978</v>
      </c>
      <c r="J1115" s="14">
        <f>VLOOKUP(Table9[[#This Row],[Shortname]], Comp[], 7, FALSE)</f>
        <v>82</v>
      </c>
      <c r="K1115">
        <f>VLOOKUP(Table9[[#This Row],[Shortname]], Comp[], 8, FALSE)</f>
        <v>0</v>
      </c>
      <c r="L1115">
        <f>VLOOKUP(Table9[[#This Row],[Shortname]], Comp[], 9, FALSE)</f>
        <v>0</v>
      </c>
      <c r="M1115">
        <f>VLOOKUP(Table9[[#This Row],[Shortname]], Comp[], 10, FALSE)</f>
        <v>0</v>
      </c>
      <c r="N1115">
        <f>VLOOKUP(Table9[[#This Row],[Shortname]], Comp[], 11, FALSE)</f>
        <v>2</v>
      </c>
      <c r="O1115">
        <f>VLOOKUP(Table9[[#This Row],[Shortname]], Comp[],12, FALSE)</f>
        <v>4</v>
      </c>
      <c r="P1115">
        <f>VLOOKUP(Table9[[#This Row],[Shortname]], Comp[], 13, FALSE)</f>
        <v>2</v>
      </c>
      <c r="Q1115">
        <f>VLOOKUP(Table9[[#This Row],[Shortname]], Comp[], 14, FALSE)</f>
        <v>0</v>
      </c>
      <c r="R1115">
        <f>VLOOKUP(Table9[[#This Row],[Shortname]], Comp[], 15, FALSE)</f>
        <v>10</v>
      </c>
      <c r="S1115">
        <f>VLOOKUP(Table9[[#This Row],[Shortname]], Comp[], 16, FALSE)</f>
        <v>0</v>
      </c>
      <c r="T1115">
        <f>VLOOKUP(Table9[[#This Row],[Shortname]], Comp[], 17, FALSE)</f>
        <v>0</v>
      </c>
      <c r="U1115">
        <f>VLOOKUP(Table9[[#This Row],[Shortname]], Comp[], 18, FALSE)</f>
        <v>0</v>
      </c>
      <c r="V1115">
        <f>VLOOKUP(Table9[[#This Row],[Shortname]], Comp[], 19, FALSE)</f>
        <v>0</v>
      </c>
      <c r="W1115">
        <f>VLOOKUP(Table9[[#This Row],[Shortname]], Comp[], 20, FALSE)</f>
        <v>0</v>
      </c>
      <c r="X1115">
        <f>VLOOKUP(Table9[[#This Row],[Shortname]], Comp[], 21, FALSE)</f>
        <v>0</v>
      </c>
      <c r="Y1115">
        <f>VLOOKUP(Table9[[#This Row],[Shortname]], Comp[], 22, FALSE)</f>
        <v>0</v>
      </c>
      <c r="Z1115">
        <f>VLOOKUP(Table9[[#This Row],[Shortname]], Comp[], 23, FALSE)</f>
        <v>0</v>
      </c>
      <c r="AA1115">
        <f>VLOOKUP(Table9[[#This Row],[Shortname]], Comp[], 24, FALSE)</f>
        <v>0</v>
      </c>
      <c r="AB1115">
        <f>VLOOKUP(Table9[[#This Row],[Shortname]], Comp[], 25, FALSE)</f>
        <v>0</v>
      </c>
      <c r="AC1115">
        <f>VLOOKUP(Table9[[#This Row],[Shortname]], Comp[], 26, FALSE)</f>
        <v>0</v>
      </c>
      <c r="AD1115">
        <f>VLOOKUP(Table9[[#This Row],[Shortname]], Comp[], 27, FALSE)</f>
        <v>0</v>
      </c>
      <c r="AE1115">
        <f>VLOOKUP(Table9[[#This Row],[Shortname]], Comp[], 28, FALSE)</f>
        <v>0</v>
      </c>
      <c r="AF1115">
        <f>VLOOKUP(Table9[[#This Row],[Shortname]], Comp[], 29, FALSE)</f>
        <v>0</v>
      </c>
      <c r="AG1115">
        <f>VLOOKUP(Table9[[#This Row],[Shortname]], Comp[], 30, FALSE)</f>
        <v>0</v>
      </c>
      <c r="AH1115">
        <f>VLOOKUP(Table9[[#This Row],[Shortname]], Comp[], 31, FALSE)</f>
        <v>0</v>
      </c>
    </row>
    <row r="1116" spans="1:34" x14ac:dyDescent="0.3">
      <c r="A1116" t="s">
        <v>6033</v>
      </c>
      <c r="B1116" t="s">
        <v>6034</v>
      </c>
      <c r="C1116" t="s">
        <v>6035</v>
      </c>
      <c r="D1116">
        <v>548</v>
      </c>
      <c r="E1116">
        <v>900</v>
      </c>
      <c r="F1116">
        <v>1E-4</v>
      </c>
      <c r="G1116">
        <v>1</v>
      </c>
      <c r="H1116" t="s">
        <v>6803</v>
      </c>
      <c r="I1116">
        <f>VLOOKUP(Table9[[#This Row],[Shortname]], Comp[], 6, FALSE)</f>
        <v>978</v>
      </c>
      <c r="J1116" s="14">
        <f>VLOOKUP(Table9[[#This Row],[Shortname]], Comp[], 7, FALSE)</f>
        <v>82</v>
      </c>
      <c r="K1116">
        <f>VLOOKUP(Table9[[#This Row],[Shortname]], Comp[], 8, FALSE)</f>
        <v>0</v>
      </c>
      <c r="L1116">
        <f>VLOOKUP(Table9[[#This Row],[Shortname]], Comp[], 9, FALSE)</f>
        <v>0</v>
      </c>
      <c r="M1116">
        <f>VLOOKUP(Table9[[#This Row],[Shortname]], Comp[], 10, FALSE)</f>
        <v>0</v>
      </c>
      <c r="N1116">
        <f>VLOOKUP(Table9[[#This Row],[Shortname]], Comp[], 11, FALSE)</f>
        <v>2</v>
      </c>
      <c r="O1116">
        <f>VLOOKUP(Table9[[#This Row],[Shortname]], Comp[],12, FALSE)</f>
        <v>4</v>
      </c>
      <c r="P1116">
        <f>VLOOKUP(Table9[[#This Row],[Shortname]], Comp[], 13, FALSE)</f>
        <v>2</v>
      </c>
      <c r="Q1116">
        <f>VLOOKUP(Table9[[#This Row],[Shortname]], Comp[], 14, FALSE)</f>
        <v>0</v>
      </c>
      <c r="R1116">
        <f>VLOOKUP(Table9[[#This Row],[Shortname]], Comp[], 15, FALSE)</f>
        <v>10</v>
      </c>
      <c r="S1116">
        <f>VLOOKUP(Table9[[#This Row],[Shortname]], Comp[], 16, FALSE)</f>
        <v>0</v>
      </c>
      <c r="T1116">
        <f>VLOOKUP(Table9[[#This Row],[Shortname]], Comp[], 17, FALSE)</f>
        <v>0</v>
      </c>
      <c r="U1116">
        <f>VLOOKUP(Table9[[#This Row],[Shortname]], Comp[], 18, FALSE)</f>
        <v>0</v>
      </c>
      <c r="V1116">
        <f>VLOOKUP(Table9[[#This Row],[Shortname]], Comp[], 19, FALSE)</f>
        <v>0</v>
      </c>
      <c r="W1116">
        <f>VLOOKUP(Table9[[#This Row],[Shortname]], Comp[], 20, FALSE)</f>
        <v>0</v>
      </c>
      <c r="X1116">
        <f>VLOOKUP(Table9[[#This Row],[Shortname]], Comp[], 21, FALSE)</f>
        <v>0</v>
      </c>
      <c r="Y1116">
        <f>VLOOKUP(Table9[[#This Row],[Shortname]], Comp[], 22, FALSE)</f>
        <v>0</v>
      </c>
      <c r="Z1116">
        <f>VLOOKUP(Table9[[#This Row],[Shortname]], Comp[], 23, FALSE)</f>
        <v>0</v>
      </c>
      <c r="AA1116">
        <f>VLOOKUP(Table9[[#This Row],[Shortname]], Comp[], 24, FALSE)</f>
        <v>0</v>
      </c>
      <c r="AB1116">
        <f>VLOOKUP(Table9[[#This Row],[Shortname]], Comp[], 25, FALSE)</f>
        <v>0</v>
      </c>
      <c r="AC1116">
        <f>VLOOKUP(Table9[[#This Row],[Shortname]], Comp[], 26, FALSE)</f>
        <v>0</v>
      </c>
      <c r="AD1116">
        <f>VLOOKUP(Table9[[#This Row],[Shortname]], Comp[], 27, FALSE)</f>
        <v>0</v>
      </c>
      <c r="AE1116">
        <f>VLOOKUP(Table9[[#This Row],[Shortname]], Comp[], 28, FALSE)</f>
        <v>0</v>
      </c>
      <c r="AF1116">
        <f>VLOOKUP(Table9[[#This Row],[Shortname]], Comp[], 29, FALSE)</f>
        <v>0</v>
      </c>
      <c r="AG1116">
        <f>VLOOKUP(Table9[[#This Row],[Shortname]], Comp[], 30, FALSE)</f>
        <v>0</v>
      </c>
      <c r="AH1116">
        <f>VLOOKUP(Table9[[#This Row],[Shortname]], Comp[], 31, FALSE)</f>
        <v>0</v>
      </c>
    </row>
    <row r="1117" spans="1:34" x14ac:dyDescent="0.3">
      <c r="A1117" t="s">
        <v>6033</v>
      </c>
      <c r="B1117" t="s">
        <v>6034</v>
      </c>
      <c r="C1117" t="s">
        <v>6035</v>
      </c>
      <c r="D1117">
        <v>363</v>
      </c>
      <c r="E1117">
        <v>995</v>
      </c>
      <c r="F1117">
        <v>1E-4</v>
      </c>
      <c r="G1117">
        <v>1</v>
      </c>
      <c r="H1117" t="s">
        <v>6803</v>
      </c>
      <c r="I1117">
        <f>VLOOKUP(Table9[[#This Row],[Shortname]], Comp[], 6, FALSE)</f>
        <v>978</v>
      </c>
      <c r="J1117" s="14">
        <f>VLOOKUP(Table9[[#This Row],[Shortname]], Comp[], 7, FALSE)</f>
        <v>82</v>
      </c>
      <c r="K1117">
        <f>VLOOKUP(Table9[[#This Row],[Shortname]], Comp[], 8, FALSE)</f>
        <v>0</v>
      </c>
      <c r="L1117">
        <f>VLOOKUP(Table9[[#This Row],[Shortname]], Comp[], 9, FALSE)</f>
        <v>0</v>
      </c>
      <c r="M1117">
        <f>VLOOKUP(Table9[[#This Row],[Shortname]], Comp[], 10, FALSE)</f>
        <v>0</v>
      </c>
      <c r="N1117">
        <f>VLOOKUP(Table9[[#This Row],[Shortname]], Comp[], 11, FALSE)</f>
        <v>2</v>
      </c>
      <c r="O1117">
        <f>VLOOKUP(Table9[[#This Row],[Shortname]], Comp[],12, FALSE)</f>
        <v>4</v>
      </c>
      <c r="P1117">
        <f>VLOOKUP(Table9[[#This Row],[Shortname]], Comp[], 13, FALSE)</f>
        <v>2</v>
      </c>
      <c r="Q1117">
        <f>VLOOKUP(Table9[[#This Row],[Shortname]], Comp[], 14, FALSE)</f>
        <v>0</v>
      </c>
      <c r="R1117">
        <f>VLOOKUP(Table9[[#This Row],[Shortname]], Comp[], 15, FALSE)</f>
        <v>10</v>
      </c>
      <c r="S1117">
        <f>VLOOKUP(Table9[[#This Row],[Shortname]], Comp[], 16, FALSE)</f>
        <v>0</v>
      </c>
      <c r="T1117">
        <f>VLOOKUP(Table9[[#This Row],[Shortname]], Comp[], 17, FALSE)</f>
        <v>0</v>
      </c>
      <c r="U1117">
        <f>VLOOKUP(Table9[[#This Row],[Shortname]], Comp[], 18, FALSE)</f>
        <v>0</v>
      </c>
      <c r="V1117">
        <f>VLOOKUP(Table9[[#This Row],[Shortname]], Comp[], 19, FALSE)</f>
        <v>0</v>
      </c>
      <c r="W1117">
        <f>VLOOKUP(Table9[[#This Row],[Shortname]], Comp[], 20, FALSE)</f>
        <v>0</v>
      </c>
      <c r="X1117">
        <f>VLOOKUP(Table9[[#This Row],[Shortname]], Comp[], 21, FALSE)</f>
        <v>0</v>
      </c>
      <c r="Y1117">
        <f>VLOOKUP(Table9[[#This Row],[Shortname]], Comp[], 22, FALSE)</f>
        <v>0</v>
      </c>
      <c r="Z1117">
        <f>VLOOKUP(Table9[[#This Row],[Shortname]], Comp[], 23, FALSE)</f>
        <v>0</v>
      </c>
      <c r="AA1117">
        <f>VLOOKUP(Table9[[#This Row],[Shortname]], Comp[], 24, FALSE)</f>
        <v>0</v>
      </c>
      <c r="AB1117">
        <f>VLOOKUP(Table9[[#This Row],[Shortname]], Comp[], 25, FALSE)</f>
        <v>0</v>
      </c>
      <c r="AC1117">
        <f>VLOOKUP(Table9[[#This Row],[Shortname]], Comp[], 26, FALSE)</f>
        <v>0</v>
      </c>
      <c r="AD1117">
        <f>VLOOKUP(Table9[[#This Row],[Shortname]], Comp[], 27, FALSE)</f>
        <v>0</v>
      </c>
      <c r="AE1117">
        <f>VLOOKUP(Table9[[#This Row],[Shortname]], Comp[], 28, FALSE)</f>
        <v>0</v>
      </c>
      <c r="AF1117">
        <f>VLOOKUP(Table9[[#This Row],[Shortname]], Comp[], 29, FALSE)</f>
        <v>0</v>
      </c>
      <c r="AG1117">
        <f>VLOOKUP(Table9[[#This Row],[Shortname]], Comp[], 30, FALSE)</f>
        <v>0</v>
      </c>
      <c r="AH1117">
        <f>VLOOKUP(Table9[[#This Row],[Shortname]], Comp[], 31, FALSE)</f>
        <v>0</v>
      </c>
    </row>
    <row r="1118" spans="1:34" x14ac:dyDescent="0.3">
      <c r="A1118" t="s">
        <v>6086</v>
      </c>
      <c r="B1118" t="s">
        <v>2120</v>
      </c>
      <c r="C1118" t="s">
        <v>6087</v>
      </c>
      <c r="D1118">
        <v>533</v>
      </c>
      <c r="E1118">
        <v>25</v>
      </c>
      <c r="F1118">
        <v>1E-4</v>
      </c>
      <c r="G1118">
        <v>1</v>
      </c>
      <c r="H1118" t="s">
        <v>6803</v>
      </c>
      <c r="I1118">
        <f>VLOOKUP(Table9[[#This Row],[Shortname]], Comp[], 6, FALSE)</f>
        <v>989</v>
      </c>
      <c r="J1118" s="14">
        <f>VLOOKUP(Table9[[#This Row],[Shortname]], Comp[], 7, FALSE)</f>
        <v>53</v>
      </c>
      <c r="K1118">
        <f>VLOOKUP(Table9[[#This Row],[Shortname]], Comp[], 8, FALSE)</f>
        <v>30</v>
      </c>
      <c r="L1118">
        <f>VLOOKUP(Table9[[#This Row],[Shortname]], Comp[], 9, FALSE)</f>
        <v>10</v>
      </c>
      <c r="M1118">
        <f>VLOOKUP(Table9[[#This Row],[Shortname]], Comp[], 10, FALSE)</f>
        <v>0</v>
      </c>
      <c r="N1118">
        <f>VLOOKUP(Table9[[#This Row],[Shortname]], Comp[], 11, FALSE)</f>
        <v>0</v>
      </c>
      <c r="O1118">
        <f>VLOOKUP(Table9[[#This Row],[Shortname]], Comp[],12, FALSE)</f>
        <v>0</v>
      </c>
      <c r="P1118">
        <f>VLOOKUP(Table9[[#This Row],[Shortname]], Comp[], 13, FALSE)</f>
        <v>2</v>
      </c>
      <c r="Q1118">
        <f>VLOOKUP(Table9[[#This Row],[Shortname]], Comp[], 14, FALSE)</f>
        <v>0</v>
      </c>
      <c r="R1118">
        <f>VLOOKUP(Table9[[#This Row],[Shortname]], Comp[], 15, FALSE)</f>
        <v>5</v>
      </c>
      <c r="S1118">
        <f>VLOOKUP(Table9[[#This Row],[Shortname]], Comp[], 16, FALSE)</f>
        <v>0</v>
      </c>
      <c r="T1118">
        <f>VLOOKUP(Table9[[#This Row],[Shortname]], Comp[], 17, FALSE)</f>
        <v>0</v>
      </c>
      <c r="U1118">
        <f>VLOOKUP(Table9[[#This Row],[Shortname]], Comp[], 18, FALSE)</f>
        <v>0</v>
      </c>
      <c r="V1118">
        <f>VLOOKUP(Table9[[#This Row],[Shortname]], Comp[], 19, FALSE)</f>
        <v>0</v>
      </c>
      <c r="W1118">
        <f>VLOOKUP(Table9[[#This Row],[Shortname]], Comp[], 20, FALSE)</f>
        <v>0</v>
      </c>
      <c r="X1118">
        <f>VLOOKUP(Table9[[#This Row],[Shortname]], Comp[], 21, FALSE)</f>
        <v>0</v>
      </c>
      <c r="Y1118">
        <f>VLOOKUP(Table9[[#This Row],[Shortname]], Comp[], 22, FALSE)</f>
        <v>0</v>
      </c>
      <c r="Z1118">
        <f>VLOOKUP(Table9[[#This Row],[Shortname]], Comp[], 23, FALSE)</f>
        <v>0</v>
      </c>
      <c r="AA1118">
        <f>VLOOKUP(Table9[[#This Row],[Shortname]], Comp[], 24, FALSE)</f>
        <v>0</v>
      </c>
      <c r="AB1118">
        <f>VLOOKUP(Table9[[#This Row],[Shortname]], Comp[], 25, FALSE)</f>
        <v>0</v>
      </c>
      <c r="AC1118">
        <f>VLOOKUP(Table9[[#This Row],[Shortname]], Comp[], 26, FALSE)</f>
        <v>0</v>
      </c>
      <c r="AD1118">
        <f>VLOOKUP(Table9[[#This Row],[Shortname]], Comp[], 27, FALSE)</f>
        <v>0</v>
      </c>
      <c r="AE1118">
        <f>VLOOKUP(Table9[[#This Row],[Shortname]], Comp[], 28, FALSE)</f>
        <v>0</v>
      </c>
      <c r="AF1118">
        <f>VLOOKUP(Table9[[#This Row],[Shortname]], Comp[], 29, FALSE)</f>
        <v>0</v>
      </c>
      <c r="AG1118">
        <f>VLOOKUP(Table9[[#This Row],[Shortname]], Comp[], 30, FALSE)</f>
        <v>0</v>
      </c>
      <c r="AH1118">
        <f>VLOOKUP(Table9[[#This Row],[Shortname]], Comp[], 31, FALSE)</f>
        <v>0</v>
      </c>
    </row>
    <row r="1119" spans="1:34" x14ac:dyDescent="0.3">
      <c r="A1119" t="s">
        <v>6086</v>
      </c>
      <c r="B1119" t="s">
        <v>2120</v>
      </c>
      <c r="C1119" t="s">
        <v>6087</v>
      </c>
      <c r="D1119">
        <v>606</v>
      </c>
      <c r="E1119">
        <v>600</v>
      </c>
      <c r="F1119">
        <v>1E-4</v>
      </c>
      <c r="G1119">
        <v>1</v>
      </c>
      <c r="H1119" t="s">
        <v>6803</v>
      </c>
      <c r="I1119">
        <f>VLOOKUP(Table9[[#This Row],[Shortname]], Comp[], 6, FALSE)</f>
        <v>989</v>
      </c>
      <c r="J1119" s="14">
        <f>VLOOKUP(Table9[[#This Row],[Shortname]], Comp[], 7, FALSE)</f>
        <v>53</v>
      </c>
      <c r="K1119">
        <f>VLOOKUP(Table9[[#This Row],[Shortname]], Comp[], 8, FALSE)</f>
        <v>30</v>
      </c>
      <c r="L1119">
        <f>VLOOKUP(Table9[[#This Row],[Shortname]], Comp[], 9, FALSE)</f>
        <v>10</v>
      </c>
      <c r="M1119">
        <f>VLOOKUP(Table9[[#This Row],[Shortname]], Comp[], 10, FALSE)</f>
        <v>0</v>
      </c>
      <c r="N1119">
        <f>VLOOKUP(Table9[[#This Row],[Shortname]], Comp[], 11, FALSE)</f>
        <v>0</v>
      </c>
      <c r="O1119">
        <f>VLOOKUP(Table9[[#This Row],[Shortname]], Comp[],12, FALSE)</f>
        <v>0</v>
      </c>
      <c r="P1119">
        <f>VLOOKUP(Table9[[#This Row],[Shortname]], Comp[], 13, FALSE)</f>
        <v>2</v>
      </c>
      <c r="Q1119">
        <f>VLOOKUP(Table9[[#This Row],[Shortname]], Comp[], 14, FALSE)</f>
        <v>0</v>
      </c>
      <c r="R1119">
        <f>VLOOKUP(Table9[[#This Row],[Shortname]], Comp[], 15, FALSE)</f>
        <v>5</v>
      </c>
      <c r="S1119">
        <f>VLOOKUP(Table9[[#This Row],[Shortname]], Comp[], 16, FALSE)</f>
        <v>0</v>
      </c>
      <c r="T1119">
        <f>VLOOKUP(Table9[[#This Row],[Shortname]], Comp[], 17, FALSE)</f>
        <v>0</v>
      </c>
      <c r="U1119">
        <f>VLOOKUP(Table9[[#This Row],[Shortname]], Comp[], 18, FALSE)</f>
        <v>0</v>
      </c>
      <c r="V1119">
        <f>VLOOKUP(Table9[[#This Row],[Shortname]], Comp[], 19, FALSE)</f>
        <v>0</v>
      </c>
      <c r="W1119">
        <f>VLOOKUP(Table9[[#This Row],[Shortname]], Comp[], 20, FALSE)</f>
        <v>0</v>
      </c>
      <c r="X1119">
        <f>VLOOKUP(Table9[[#This Row],[Shortname]], Comp[], 21, FALSE)</f>
        <v>0</v>
      </c>
      <c r="Y1119">
        <f>VLOOKUP(Table9[[#This Row],[Shortname]], Comp[], 22, FALSE)</f>
        <v>0</v>
      </c>
      <c r="Z1119">
        <f>VLOOKUP(Table9[[#This Row],[Shortname]], Comp[], 23, FALSE)</f>
        <v>0</v>
      </c>
      <c r="AA1119">
        <f>VLOOKUP(Table9[[#This Row],[Shortname]], Comp[], 24, FALSE)</f>
        <v>0</v>
      </c>
      <c r="AB1119">
        <f>VLOOKUP(Table9[[#This Row],[Shortname]], Comp[], 25, FALSE)</f>
        <v>0</v>
      </c>
      <c r="AC1119">
        <f>VLOOKUP(Table9[[#This Row],[Shortname]], Comp[], 26, FALSE)</f>
        <v>0</v>
      </c>
      <c r="AD1119">
        <f>VLOOKUP(Table9[[#This Row],[Shortname]], Comp[], 27, FALSE)</f>
        <v>0</v>
      </c>
      <c r="AE1119">
        <f>VLOOKUP(Table9[[#This Row],[Shortname]], Comp[], 28, FALSE)</f>
        <v>0</v>
      </c>
      <c r="AF1119">
        <f>VLOOKUP(Table9[[#This Row],[Shortname]], Comp[], 29, FALSE)</f>
        <v>0</v>
      </c>
      <c r="AG1119">
        <f>VLOOKUP(Table9[[#This Row],[Shortname]], Comp[], 30, FALSE)</f>
        <v>0</v>
      </c>
      <c r="AH1119">
        <f>VLOOKUP(Table9[[#This Row],[Shortname]], Comp[], 31, FALSE)</f>
        <v>0</v>
      </c>
    </row>
    <row r="1120" spans="1:34" x14ac:dyDescent="0.3">
      <c r="A1120" t="s">
        <v>6086</v>
      </c>
      <c r="B1120" t="s">
        <v>2120</v>
      </c>
      <c r="C1120" t="s">
        <v>6087</v>
      </c>
      <c r="D1120">
        <v>502</v>
      </c>
      <c r="E1120">
        <v>700</v>
      </c>
      <c r="F1120">
        <v>1E-4</v>
      </c>
      <c r="G1120">
        <v>1</v>
      </c>
      <c r="H1120" t="s">
        <v>6803</v>
      </c>
      <c r="I1120">
        <f>VLOOKUP(Table9[[#This Row],[Shortname]], Comp[], 6, FALSE)</f>
        <v>989</v>
      </c>
      <c r="J1120" s="14">
        <f>VLOOKUP(Table9[[#This Row],[Shortname]], Comp[], 7, FALSE)</f>
        <v>53</v>
      </c>
      <c r="K1120">
        <f>VLOOKUP(Table9[[#This Row],[Shortname]], Comp[], 8, FALSE)</f>
        <v>30</v>
      </c>
      <c r="L1120">
        <f>VLOOKUP(Table9[[#This Row],[Shortname]], Comp[], 9, FALSE)</f>
        <v>10</v>
      </c>
      <c r="M1120">
        <f>VLOOKUP(Table9[[#This Row],[Shortname]], Comp[], 10, FALSE)</f>
        <v>0</v>
      </c>
      <c r="N1120">
        <f>VLOOKUP(Table9[[#This Row],[Shortname]], Comp[], 11, FALSE)</f>
        <v>0</v>
      </c>
      <c r="O1120">
        <f>VLOOKUP(Table9[[#This Row],[Shortname]], Comp[],12, FALSE)</f>
        <v>0</v>
      </c>
      <c r="P1120">
        <f>VLOOKUP(Table9[[#This Row],[Shortname]], Comp[], 13, FALSE)</f>
        <v>2</v>
      </c>
      <c r="Q1120">
        <f>VLOOKUP(Table9[[#This Row],[Shortname]], Comp[], 14, FALSE)</f>
        <v>0</v>
      </c>
      <c r="R1120">
        <f>VLOOKUP(Table9[[#This Row],[Shortname]], Comp[], 15, FALSE)</f>
        <v>5</v>
      </c>
      <c r="S1120">
        <f>VLOOKUP(Table9[[#This Row],[Shortname]], Comp[], 16, FALSE)</f>
        <v>0</v>
      </c>
      <c r="T1120">
        <f>VLOOKUP(Table9[[#This Row],[Shortname]], Comp[], 17, FALSE)</f>
        <v>0</v>
      </c>
      <c r="U1120">
        <f>VLOOKUP(Table9[[#This Row],[Shortname]], Comp[], 18, FALSE)</f>
        <v>0</v>
      </c>
      <c r="V1120">
        <f>VLOOKUP(Table9[[#This Row],[Shortname]], Comp[], 19, FALSE)</f>
        <v>0</v>
      </c>
      <c r="W1120">
        <f>VLOOKUP(Table9[[#This Row],[Shortname]], Comp[], 20, FALSE)</f>
        <v>0</v>
      </c>
      <c r="X1120">
        <f>VLOOKUP(Table9[[#This Row],[Shortname]], Comp[], 21, FALSE)</f>
        <v>0</v>
      </c>
      <c r="Y1120">
        <f>VLOOKUP(Table9[[#This Row],[Shortname]], Comp[], 22, FALSE)</f>
        <v>0</v>
      </c>
      <c r="Z1120">
        <f>VLOOKUP(Table9[[#This Row],[Shortname]], Comp[], 23, FALSE)</f>
        <v>0</v>
      </c>
      <c r="AA1120">
        <f>VLOOKUP(Table9[[#This Row],[Shortname]], Comp[], 24, FALSE)</f>
        <v>0</v>
      </c>
      <c r="AB1120">
        <f>VLOOKUP(Table9[[#This Row],[Shortname]], Comp[], 25, FALSE)</f>
        <v>0</v>
      </c>
      <c r="AC1120">
        <f>VLOOKUP(Table9[[#This Row],[Shortname]], Comp[], 26, FALSE)</f>
        <v>0</v>
      </c>
      <c r="AD1120">
        <f>VLOOKUP(Table9[[#This Row],[Shortname]], Comp[], 27, FALSE)</f>
        <v>0</v>
      </c>
      <c r="AE1120">
        <f>VLOOKUP(Table9[[#This Row],[Shortname]], Comp[], 28, FALSE)</f>
        <v>0</v>
      </c>
      <c r="AF1120">
        <f>VLOOKUP(Table9[[#This Row],[Shortname]], Comp[], 29, FALSE)</f>
        <v>0</v>
      </c>
      <c r="AG1120">
        <f>VLOOKUP(Table9[[#This Row],[Shortname]], Comp[], 30, FALSE)</f>
        <v>0</v>
      </c>
      <c r="AH1120">
        <f>VLOOKUP(Table9[[#This Row],[Shortname]], Comp[], 31, FALSE)</f>
        <v>0</v>
      </c>
    </row>
    <row r="1121" spans="1:34" x14ac:dyDescent="0.3">
      <c r="A1121" t="s">
        <v>6086</v>
      </c>
      <c r="B1121" t="s">
        <v>2120</v>
      </c>
      <c r="C1121" t="s">
        <v>6087</v>
      </c>
      <c r="D1121">
        <v>445</v>
      </c>
      <c r="E1121">
        <v>800</v>
      </c>
      <c r="F1121">
        <v>1E-4</v>
      </c>
      <c r="G1121">
        <v>1</v>
      </c>
      <c r="H1121" t="s">
        <v>6803</v>
      </c>
      <c r="I1121">
        <f>VLOOKUP(Table9[[#This Row],[Shortname]], Comp[], 6, FALSE)</f>
        <v>989</v>
      </c>
      <c r="J1121" s="14">
        <f>VLOOKUP(Table9[[#This Row],[Shortname]], Comp[], 7, FALSE)</f>
        <v>53</v>
      </c>
      <c r="K1121">
        <f>VLOOKUP(Table9[[#This Row],[Shortname]], Comp[], 8, FALSE)</f>
        <v>30</v>
      </c>
      <c r="L1121">
        <f>VLOOKUP(Table9[[#This Row],[Shortname]], Comp[], 9, FALSE)</f>
        <v>10</v>
      </c>
      <c r="M1121">
        <f>VLOOKUP(Table9[[#This Row],[Shortname]], Comp[], 10, FALSE)</f>
        <v>0</v>
      </c>
      <c r="N1121">
        <f>VLOOKUP(Table9[[#This Row],[Shortname]], Comp[], 11, FALSE)</f>
        <v>0</v>
      </c>
      <c r="O1121">
        <f>VLOOKUP(Table9[[#This Row],[Shortname]], Comp[],12, FALSE)</f>
        <v>0</v>
      </c>
      <c r="P1121">
        <f>VLOOKUP(Table9[[#This Row],[Shortname]], Comp[], 13, FALSE)</f>
        <v>2</v>
      </c>
      <c r="Q1121">
        <f>VLOOKUP(Table9[[#This Row],[Shortname]], Comp[], 14, FALSE)</f>
        <v>0</v>
      </c>
      <c r="R1121">
        <f>VLOOKUP(Table9[[#This Row],[Shortname]], Comp[], 15, FALSE)</f>
        <v>5</v>
      </c>
      <c r="S1121">
        <f>VLOOKUP(Table9[[#This Row],[Shortname]], Comp[], 16, FALSE)</f>
        <v>0</v>
      </c>
      <c r="T1121">
        <f>VLOOKUP(Table9[[#This Row],[Shortname]], Comp[], 17, FALSE)</f>
        <v>0</v>
      </c>
      <c r="U1121">
        <f>VLOOKUP(Table9[[#This Row],[Shortname]], Comp[], 18, FALSE)</f>
        <v>0</v>
      </c>
      <c r="V1121">
        <f>VLOOKUP(Table9[[#This Row],[Shortname]], Comp[], 19, FALSE)</f>
        <v>0</v>
      </c>
      <c r="W1121">
        <f>VLOOKUP(Table9[[#This Row],[Shortname]], Comp[], 20, FALSE)</f>
        <v>0</v>
      </c>
      <c r="X1121">
        <f>VLOOKUP(Table9[[#This Row],[Shortname]], Comp[], 21, FALSE)</f>
        <v>0</v>
      </c>
      <c r="Y1121">
        <f>VLOOKUP(Table9[[#This Row],[Shortname]], Comp[], 22, FALSE)</f>
        <v>0</v>
      </c>
      <c r="Z1121">
        <f>VLOOKUP(Table9[[#This Row],[Shortname]], Comp[], 23, FALSE)</f>
        <v>0</v>
      </c>
      <c r="AA1121">
        <f>VLOOKUP(Table9[[#This Row],[Shortname]], Comp[], 24, FALSE)</f>
        <v>0</v>
      </c>
      <c r="AB1121">
        <f>VLOOKUP(Table9[[#This Row],[Shortname]], Comp[], 25, FALSE)</f>
        <v>0</v>
      </c>
      <c r="AC1121">
        <f>VLOOKUP(Table9[[#This Row],[Shortname]], Comp[], 26, FALSE)</f>
        <v>0</v>
      </c>
      <c r="AD1121">
        <f>VLOOKUP(Table9[[#This Row],[Shortname]], Comp[], 27, FALSE)</f>
        <v>0</v>
      </c>
      <c r="AE1121">
        <f>VLOOKUP(Table9[[#This Row],[Shortname]], Comp[], 28, FALSE)</f>
        <v>0</v>
      </c>
      <c r="AF1121">
        <f>VLOOKUP(Table9[[#This Row],[Shortname]], Comp[], 29, FALSE)</f>
        <v>0</v>
      </c>
      <c r="AG1121">
        <f>VLOOKUP(Table9[[#This Row],[Shortname]], Comp[], 30, FALSE)</f>
        <v>0</v>
      </c>
      <c r="AH1121">
        <f>VLOOKUP(Table9[[#This Row],[Shortname]], Comp[], 31, FALSE)</f>
        <v>0</v>
      </c>
    </row>
    <row r="1122" spans="1:34" x14ac:dyDescent="0.3">
      <c r="A1122" t="s">
        <v>6086</v>
      </c>
      <c r="B1122" t="s">
        <v>2120</v>
      </c>
      <c r="C1122" t="s">
        <v>6087</v>
      </c>
      <c r="D1122">
        <v>269</v>
      </c>
      <c r="E1122">
        <v>900</v>
      </c>
      <c r="F1122">
        <v>1E-4</v>
      </c>
      <c r="G1122">
        <v>1</v>
      </c>
      <c r="H1122" t="s">
        <v>6803</v>
      </c>
      <c r="I1122">
        <f>VLOOKUP(Table9[[#This Row],[Shortname]], Comp[], 6, FALSE)</f>
        <v>989</v>
      </c>
      <c r="J1122" s="14">
        <f>VLOOKUP(Table9[[#This Row],[Shortname]], Comp[], 7, FALSE)</f>
        <v>53</v>
      </c>
      <c r="K1122">
        <f>VLOOKUP(Table9[[#This Row],[Shortname]], Comp[], 8, FALSE)</f>
        <v>30</v>
      </c>
      <c r="L1122">
        <f>VLOOKUP(Table9[[#This Row],[Shortname]], Comp[], 9, FALSE)</f>
        <v>10</v>
      </c>
      <c r="M1122">
        <f>VLOOKUP(Table9[[#This Row],[Shortname]], Comp[], 10, FALSE)</f>
        <v>0</v>
      </c>
      <c r="N1122">
        <f>VLOOKUP(Table9[[#This Row],[Shortname]], Comp[], 11, FALSE)</f>
        <v>0</v>
      </c>
      <c r="O1122">
        <f>VLOOKUP(Table9[[#This Row],[Shortname]], Comp[],12, FALSE)</f>
        <v>0</v>
      </c>
      <c r="P1122">
        <f>VLOOKUP(Table9[[#This Row],[Shortname]], Comp[], 13, FALSE)</f>
        <v>2</v>
      </c>
      <c r="Q1122">
        <f>VLOOKUP(Table9[[#This Row],[Shortname]], Comp[], 14, FALSE)</f>
        <v>0</v>
      </c>
      <c r="R1122">
        <f>VLOOKUP(Table9[[#This Row],[Shortname]], Comp[], 15, FALSE)</f>
        <v>5</v>
      </c>
      <c r="S1122">
        <f>VLOOKUP(Table9[[#This Row],[Shortname]], Comp[], 16, FALSE)</f>
        <v>0</v>
      </c>
      <c r="T1122">
        <f>VLOOKUP(Table9[[#This Row],[Shortname]], Comp[], 17, FALSE)</f>
        <v>0</v>
      </c>
      <c r="U1122">
        <f>VLOOKUP(Table9[[#This Row],[Shortname]], Comp[], 18, FALSE)</f>
        <v>0</v>
      </c>
      <c r="V1122">
        <f>VLOOKUP(Table9[[#This Row],[Shortname]], Comp[], 19, FALSE)</f>
        <v>0</v>
      </c>
      <c r="W1122">
        <f>VLOOKUP(Table9[[#This Row],[Shortname]], Comp[], 20, FALSE)</f>
        <v>0</v>
      </c>
      <c r="X1122">
        <f>VLOOKUP(Table9[[#This Row],[Shortname]], Comp[], 21, FALSE)</f>
        <v>0</v>
      </c>
      <c r="Y1122">
        <f>VLOOKUP(Table9[[#This Row],[Shortname]], Comp[], 22, FALSE)</f>
        <v>0</v>
      </c>
      <c r="Z1122">
        <f>VLOOKUP(Table9[[#This Row],[Shortname]], Comp[], 23, FALSE)</f>
        <v>0</v>
      </c>
      <c r="AA1122">
        <f>VLOOKUP(Table9[[#This Row],[Shortname]], Comp[], 24, FALSE)</f>
        <v>0</v>
      </c>
      <c r="AB1122">
        <f>VLOOKUP(Table9[[#This Row],[Shortname]], Comp[], 25, FALSE)</f>
        <v>0</v>
      </c>
      <c r="AC1122">
        <f>VLOOKUP(Table9[[#This Row],[Shortname]], Comp[], 26, FALSE)</f>
        <v>0</v>
      </c>
      <c r="AD1122">
        <f>VLOOKUP(Table9[[#This Row],[Shortname]], Comp[], 27, FALSE)</f>
        <v>0</v>
      </c>
      <c r="AE1122">
        <f>VLOOKUP(Table9[[#This Row],[Shortname]], Comp[], 28, FALSE)</f>
        <v>0</v>
      </c>
      <c r="AF1122">
        <f>VLOOKUP(Table9[[#This Row],[Shortname]], Comp[], 29, FALSE)</f>
        <v>0</v>
      </c>
      <c r="AG1122">
        <f>VLOOKUP(Table9[[#This Row],[Shortname]], Comp[], 30, FALSE)</f>
        <v>0</v>
      </c>
      <c r="AH1122">
        <f>VLOOKUP(Table9[[#This Row],[Shortname]], Comp[], 31, FALSE)</f>
        <v>0</v>
      </c>
    </row>
    <row r="1123" spans="1:34" x14ac:dyDescent="0.3">
      <c r="A1123" t="s">
        <v>6089</v>
      </c>
      <c r="B1123" t="s">
        <v>3899</v>
      </c>
      <c r="C1123" t="s">
        <v>6087</v>
      </c>
      <c r="D1123">
        <v>583</v>
      </c>
      <c r="E1123">
        <v>25</v>
      </c>
      <c r="F1123">
        <v>1E-4</v>
      </c>
      <c r="G1123">
        <v>1</v>
      </c>
      <c r="H1123" t="s">
        <v>6803</v>
      </c>
      <c r="I1123">
        <f>VLOOKUP(Table9[[#This Row],[Shortname]], Comp[], 6, FALSE)</f>
        <v>990</v>
      </c>
      <c r="J1123" s="14">
        <f>VLOOKUP(Table9[[#This Row],[Shortname]], Comp[], 7, FALSE)</f>
        <v>51</v>
      </c>
      <c r="K1123">
        <f>VLOOKUP(Table9[[#This Row],[Shortname]], Comp[], 8, FALSE)</f>
        <v>30</v>
      </c>
      <c r="L1123">
        <f>VLOOKUP(Table9[[#This Row],[Shortname]], Comp[], 9, FALSE)</f>
        <v>10</v>
      </c>
      <c r="M1123">
        <f>VLOOKUP(Table9[[#This Row],[Shortname]], Comp[], 10, FALSE)</f>
        <v>0</v>
      </c>
      <c r="N1123">
        <f>VLOOKUP(Table9[[#This Row],[Shortname]], Comp[], 11, FALSE)</f>
        <v>0</v>
      </c>
      <c r="O1123">
        <f>VLOOKUP(Table9[[#This Row],[Shortname]], Comp[],12, FALSE)</f>
        <v>2</v>
      </c>
      <c r="P1123">
        <f>VLOOKUP(Table9[[#This Row],[Shortname]], Comp[], 13, FALSE)</f>
        <v>2</v>
      </c>
      <c r="Q1123">
        <f>VLOOKUP(Table9[[#This Row],[Shortname]], Comp[], 14, FALSE)</f>
        <v>0</v>
      </c>
      <c r="R1123">
        <f>VLOOKUP(Table9[[#This Row],[Shortname]], Comp[], 15, FALSE)</f>
        <v>5</v>
      </c>
      <c r="S1123">
        <f>VLOOKUP(Table9[[#This Row],[Shortname]], Comp[], 16, FALSE)</f>
        <v>0</v>
      </c>
      <c r="T1123">
        <f>VLOOKUP(Table9[[#This Row],[Shortname]], Comp[], 17, FALSE)</f>
        <v>0</v>
      </c>
      <c r="U1123">
        <f>VLOOKUP(Table9[[#This Row],[Shortname]], Comp[], 18, FALSE)</f>
        <v>0</v>
      </c>
      <c r="V1123">
        <f>VLOOKUP(Table9[[#This Row],[Shortname]], Comp[], 19, FALSE)</f>
        <v>0</v>
      </c>
      <c r="W1123">
        <f>VLOOKUP(Table9[[#This Row],[Shortname]], Comp[], 20, FALSE)</f>
        <v>0</v>
      </c>
      <c r="X1123">
        <f>VLOOKUP(Table9[[#This Row],[Shortname]], Comp[], 21, FALSE)</f>
        <v>0</v>
      </c>
      <c r="Y1123">
        <f>VLOOKUP(Table9[[#This Row],[Shortname]], Comp[], 22, FALSE)</f>
        <v>0</v>
      </c>
      <c r="Z1123">
        <f>VLOOKUP(Table9[[#This Row],[Shortname]], Comp[], 23, FALSE)</f>
        <v>0</v>
      </c>
      <c r="AA1123">
        <f>VLOOKUP(Table9[[#This Row],[Shortname]], Comp[], 24, FALSE)</f>
        <v>0</v>
      </c>
      <c r="AB1123">
        <f>VLOOKUP(Table9[[#This Row],[Shortname]], Comp[], 25, FALSE)</f>
        <v>0</v>
      </c>
      <c r="AC1123">
        <f>VLOOKUP(Table9[[#This Row],[Shortname]], Comp[], 26, FALSE)</f>
        <v>0</v>
      </c>
      <c r="AD1123">
        <f>VLOOKUP(Table9[[#This Row],[Shortname]], Comp[], 27, FALSE)</f>
        <v>0</v>
      </c>
      <c r="AE1123">
        <f>VLOOKUP(Table9[[#This Row],[Shortname]], Comp[], 28, FALSE)</f>
        <v>0</v>
      </c>
      <c r="AF1123">
        <f>VLOOKUP(Table9[[#This Row],[Shortname]], Comp[], 29, FALSE)</f>
        <v>0</v>
      </c>
      <c r="AG1123">
        <f>VLOOKUP(Table9[[#This Row],[Shortname]], Comp[], 30, FALSE)</f>
        <v>0</v>
      </c>
      <c r="AH1123">
        <f>VLOOKUP(Table9[[#This Row],[Shortname]], Comp[], 31, FALSE)</f>
        <v>0</v>
      </c>
    </row>
    <row r="1124" spans="1:34" x14ac:dyDescent="0.3">
      <c r="A1124" t="s">
        <v>6089</v>
      </c>
      <c r="B1124" t="s">
        <v>3899</v>
      </c>
      <c r="C1124" t="s">
        <v>6087</v>
      </c>
      <c r="D1124">
        <v>560</v>
      </c>
      <c r="E1124">
        <v>600</v>
      </c>
      <c r="F1124">
        <v>1E-4</v>
      </c>
      <c r="G1124">
        <v>1</v>
      </c>
      <c r="H1124" t="s">
        <v>6803</v>
      </c>
      <c r="I1124">
        <f>VLOOKUP(Table9[[#This Row],[Shortname]], Comp[], 6, FALSE)</f>
        <v>990</v>
      </c>
      <c r="J1124" s="14">
        <f>VLOOKUP(Table9[[#This Row],[Shortname]], Comp[], 7, FALSE)</f>
        <v>51</v>
      </c>
      <c r="K1124">
        <f>VLOOKUP(Table9[[#This Row],[Shortname]], Comp[], 8, FALSE)</f>
        <v>30</v>
      </c>
      <c r="L1124">
        <f>VLOOKUP(Table9[[#This Row],[Shortname]], Comp[], 9, FALSE)</f>
        <v>10</v>
      </c>
      <c r="M1124">
        <f>VLOOKUP(Table9[[#This Row],[Shortname]], Comp[], 10, FALSE)</f>
        <v>0</v>
      </c>
      <c r="N1124">
        <f>VLOOKUP(Table9[[#This Row],[Shortname]], Comp[], 11, FALSE)</f>
        <v>0</v>
      </c>
      <c r="O1124">
        <f>VLOOKUP(Table9[[#This Row],[Shortname]], Comp[],12, FALSE)</f>
        <v>2</v>
      </c>
      <c r="P1124">
        <f>VLOOKUP(Table9[[#This Row],[Shortname]], Comp[], 13, FALSE)</f>
        <v>2</v>
      </c>
      <c r="Q1124">
        <f>VLOOKUP(Table9[[#This Row],[Shortname]], Comp[], 14, FALSE)</f>
        <v>0</v>
      </c>
      <c r="R1124">
        <f>VLOOKUP(Table9[[#This Row],[Shortname]], Comp[], 15, FALSE)</f>
        <v>5</v>
      </c>
      <c r="S1124">
        <f>VLOOKUP(Table9[[#This Row],[Shortname]], Comp[], 16, FALSE)</f>
        <v>0</v>
      </c>
      <c r="T1124">
        <f>VLOOKUP(Table9[[#This Row],[Shortname]], Comp[], 17, FALSE)</f>
        <v>0</v>
      </c>
      <c r="U1124">
        <f>VLOOKUP(Table9[[#This Row],[Shortname]], Comp[], 18, FALSE)</f>
        <v>0</v>
      </c>
      <c r="V1124">
        <f>VLOOKUP(Table9[[#This Row],[Shortname]], Comp[], 19, FALSE)</f>
        <v>0</v>
      </c>
      <c r="W1124">
        <f>VLOOKUP(Table9[[#This Row],[Shortname]], Comp[], 20, FALSE)</f>
        <v>0</v>
      </c>
      <c r="X1124">
        <f>VLOOKUP(Table9[[#This Row],[Shortname]], Comp[], 21, FALSE)</f>
        <v>0</v>
      </c>
      <c r="Y1124">
        <f>VLOOKUP(Table9[[#This Row],[Shortname]], Comp[], 22, FALSE)</f>
        <v>0</v>
      </c>
      <c r="Z1124">
        <f>VLOOKUP(Table9[[#This Row],[Shortname]], Comp[], 23, FALSE)</f>
        <v>0</v>
      </c>
      <c r="AA1124">
        <f>VLOOKUP(Table9[[#This Row],[Shortname]], Comp[], 24, FALSE)</f>
        <v>0</v>
      </c>
      <c r="AB1124">
        <f>VLOOKUP(Table9[[#This Row],[Shortname]], Comp[], 25, FALSE)</f>
        <v>0</v>
      </c>
      <c r="AC1124">
        <f>VLOOKUP(Table9[[#This Row],[Shortname]], Comp[], 26, FALSE)</f>
        <v>0</v>
      </c>
      <c r="AD1124">
        <f>VLOOKUP(Table9[[#This Row],[Shortname]], Comp[], 27, FALSE)</f>
        <v>0</v>
      </c>
      <c r="AE1124">
        <f>VLOOKUP(Table9[[#This Row],[Shortname]], Comp[], 28, FALSE)</f>
        <v>0</v>
      </c>
      <c r="AF1124">
        <f>VLOOKUP(Table9[[#This Row],[Shortname]], Comp[], 29, FALSE)</f>
        <v>0</v>
      </c>
      <c r="AG1124">
        <f>VLOOKUP(Table9[[#This Row],[Shortname]], Comp[], 30, FALSE)</f>
        <v>0</v>
      </c>
      <c r="AH1124">
        <f>VLOOKUP(Table9[[#This Row],[Shortname]], Comp[], 31, FALSE)</f>
        <v>0</v>
      </c>
    </row>
    <row r="1125" spans="1:34" x14ac:dyDescent="0.3">
      <c r="A1125" t="s">
        <v>6089</v>
      </c>
      <c r="B1125" t="s">
        <v>3899</v>
      </c>
      <c r="C1125" t="s">
        <v>6087</v>
      </c>
      <c r="D1125">
        <v>582</v>
      </c>
      <c r="E1125">
        <v>700</v>
      </c>
      <c r="F1125">
        <v>1E-4</v>
      </c>
      <c r="G1125">
        <v>1</v>
      </c>
      <c r="H1125" t="s">
        <v>6803</v>
      </c>
      <c r="I1125">
        <f>VLOOKUP(Table9[[#This Row],[Shortname]], Comp[], 6, FALSE)</f>
        <v>990</v>
      </c>
      <c r="J1125" s="14">
        <f>VLOOKUP(Table9[[#This Row],[Shortname]], Comp[], 7, FALSE)</f>
        <v>51</v>
      </c>
      <c r="K1125">
        <f>VLOOKUP(Table9[[#This Row],[Shortname]], Comp[], 8, FALSE)</f>
        <v>30</v>
      </c>
      <c r="L1125">
        <f>VLOOKUP(Table9[[#This Row],[Shortname]], Comp[], 9, FALSE)</f>
        <v>10</v>
      </c>
      <c r="M1125">
        <f>VLOOKUP(Table9[[#This Row],[Shortname]], Comp[], 10, FALSE)</f>
        <v>0</v>
      </c>
      <c r="N1125">
        <f>VLOOKUP(Table9[[#This Row],[Shortname]], Comp[], 11, FALSE)</f>
        <v>0</v>
      </c>
      <c r="O1125">
        <f>VLOOKUP(Table9[[#This Row],[Shortname]], Comp[],12, FALSE)</f>
        <v>2</v>
      </c>
      <c r="P1125">
        <f>VLOOKUP(Table9[[#This Row],[Shortname]], Comp[], 13, FALSE)</f>
        <v>2</v>
      </c>
      <c r="Q1125">
        <f>VLOOKUP(Table9[[#This Row],[Shortname]], Comp[], 14, FALSE)</f>
        <v>0</v>
      </c>
      <c r="R1125">
        <f>VLOOKUP(Table9[[#This Row],[Shortname]], Comp[], 15, FALSE)</f>
        <v>5</v>
      </c>
      <c r="S1125">
        <f>VLOOKUP(Table9[[#This Row],[Shortname]], Comp[], 16, FALSE)</f>
        <v>0</v>
      </c>
      <c r="T1125">
        <f>VLOOKUP(Table9[[#This Row],[Shortname]], Comp[], 17, FALSE)</f>
        <v>0</v>
      </c>
      <c r="U1125">
        <f>VLOOKUP(Table9[[#This Row],[Shortname]], Comp[], 18, FALSE)</f>
        <v>0</v>
      </c>
      <c r="V1125">
        <f>VLOOKUP(Table9[[#This Row],[Shortname]], Comp[], 19, FALSE)</f>
        <v>0</v>
      </c>
      <c r="W1125">
        <f>VLOOKUP(Table9[[#This Row],[Shortname]], Comp[], 20, FALSE)</f>
        <v>0</v>
      </c>
      <c r="X1125">
        <f>VLOOKUP(Table9[[#This Row],[Shortname]], Comp[], 21, FALSE)</f>
        <v>0</v>
      </c>
      <c r="Y1125">
        <f>VLOOKUP(Table9[[#This Row],[Shortname]], Comp[], 22, FALSE)</f>
        <v>0</v>
      </c>
      <c r="Z1125">
        <f>VLOOKUP(Table9[[#This Row],[Shortname]], Comp[], 23, FALSE)</f>
        <v>0</v>
      </c>
      <c r="AA1125">
        <f>VLOOKUP(Table9[[#This Row],[Shortname]], Comp[], 24, FALSE)</f>
        <v>0</v>
      </c>
      <c r="AB1125">
        <f>VLOOKUP(Table9[[#This Row],[Shortname]], Comp[], 25, FALSE)</f>
        <v>0</v>
      </c>
      <c r="AC1125">
        <f>VLOOKUP(Table9[[#This Row],[Shortname]], Comp[], 26, FALSE)</f>
        <v>0</v>
      </c>
      <c r="AD1125">
        <f>VLOOKUP(Table9[[#This Row],[Shortname]], Comp[], 27, FALSE)</f>
        <v>0</v>
      </c>
      <c r="AE1125">
        <f>VLOOKUP(Table9[[#This Row],[Shortname]], Comp[], 28, FALSE)</f>
        <v>0</v>
      </c>
      <c r="AF1125">
        <f>VLOOKUP(Table9[[#This Row],[Shortname]], Comp[], 29, FALSE)</f>
        <v>0</v>
      </c>
      <c r="AG1125">
        <f>VLOOKUP(Table9[[#This Row],[Shortname]], Comp[], 30, FALSE)</f>
        <v>0</v>
      </c>
      <c r="AH1125">
        <f>VLOOKUP(Table9[[#This Row],[Shortname]], Comp[], 31, FALSE)</f>
        <v>0</v>
      </c>
    </row>
    <row r="1126" spans="1:34" x14ac:dyDescent="0.3">
      <c r="A1126" t="s">
        <v>6089</v>
      </c>
      <c r="B1126" t="s">
        <v>3899</v>
      </c>
      <c r="C1126" t="s">
        <v>6087</v>
      </c>
      <c r="D1126">
        <v>461</v>
      </c>
      <c r="E1126">
        <v>800</v>
      </c>
      <c r="F1126">
        <v>1E-4</v>
      </c>
      <c r="G1126">
        <v>1</v>
      </c>
      <c r="H1126" t="s">
        <v>6803</v>
      </c>
      <c r="I1126">
        <f>VLOOKUP(Table9[[#This Row],[Shortname]], Comp[], 6, FALSE)</f>
        <v>990</v>
      </c>
      <c r="J1126" s="14">
        <f>VLOOKUP(Table9[[#This Row],[Shortname]], Comp[], 7, FALSE)</f>
        <v>51</v>
      </c>
      <c r="K1126">
        <f>VLOOKUP(Table9[[#This Row],[Shortname]], Comp[], 8, FALSE)</f>
        <v>30</v>
      </c>
      <c r="L1126">
        <f>VLOOKUP(Table9[[#This Row],[Shortname]], Comp[], 9, FALSE)</f>
        <v>10</v>
      </c>
      <c r="M1126">
        <f>VLOOKUP(Table9[[#This Row],[Shortname]], Comp[], 10, FALSE)</f>
        <v>0</v>
      </c>
      <c r="N1126">
        <f>VLOOKUP(Table9[[#This Row],[Shortname]], Comp[], 11, FALSE)</f>
        <v>0</v>
      </c>
      <c r="O1126">
        <f>VLOOKUP(Table9[[#This Row],[Shortname]], Comp[],12, FALSE)</f>
        <v>2</v>
      </c>
      <c r="P1126">
        <f>VLOOKUP(Table9[[#This Row],[Shortname]], Comp[], 13, FALSE)</f>
        <v>2</v>
      </c>
      <c r="Q1126">
        <f>VLOOKUP(Table9[[#This Row],[Shortname]], Comp[], 14, FALSE)</f>
        <v>0</v>
      </c>
      <c r="R1126">
        <f>VLOOKUP(Table9[[#This Row],[Shortname]], Comp[], 15, FALSE)</f>
        <v>5</v>
      </c>
      <c r="S1126">
        <f>VLOOKUP(Table9[[#This Row],[Shortname]], Comp[], 16, FALSE)</f>
        <v>0</v>
      </c>
      <c r="T1126">
        <f>VLOOKUP(Table9[[#This Row],[Shortname]], Comp[], 17, FALSE)</f>
        <v>0</v>
      </c>
      <c r="U1126">
        <f>VLOOKUP(Table9[[#This Row],[Shortname]], Comp[], 18, FALSE)</f>
        <v>0</v>
      </c>
      <c r="V1126">
        <f>VLOOKUP(Table9[[#This Row],[Shortname]], Comp[], 19, FALSE)</f>
        <v>0</v>
      </c>
      <c r="W1126">
        <f>VLOOKUP(Table9[[#This Row],[Shortname]], Comp[], 20, FALSE)</f>
        <v>0</v>
      </c>
      <c r="X1126">
        <f>VLOOKUP(Table9[[#This Row],[Shortname]], Comp[], 21, FALSE)</f>
        <v>0</v>
      </c>
      <c r="Y1126">
        <f>VLOOKUP(Table9[[#This Row],[Shortname]], Comp[], 22, FALSE)</f>
        <v>0</v>
      </c>
      <c r="Z1126">
        <f>VLOOKUP(Table9[[#This Row],[Shortname]], Comp[], 23, FALSE)</f>
        <v>0</v>
      </c>
      <c r="AA1126">
        <f>VLOOKUP(Table9[[#This Row],[Shortname]], Comp[], 24, FALSE)</f>
        <v>0</v>
      </c>
      <c r="AB1126">
        <f>VLOOKUP(Table9[[#This Row],[Shortname]], Comp[], 25, FALSE)</f>
        <v>0</v>
      </c>
      <c r="AC1126">
        <f>VLOOKUP(Table9[[#This Row],[Shortname]], Comp[], 26, FALSE)</f>
        <v>0</v>
      </c>
      <c r="AD1126">
        <f>VLOOKUP(Table9[[#This Row],[Shortname]], Comp[], 27, FALSE)</f>
        <v>0</v>
      </c>
      <c r="AE1126">
        <f>VLOOKUP(Table9[[#This Row],[Shortname]], Comp[], 28, FALSE)</f>
        <v>0</v>
      </c>
      <c r="AF1126">
        <f>VLOOKUP(Table9[[#This Row],[Shortname]], Comp[], 29, FALSE)</f>
        <v>0</v>
      </c>
      <c r="AG1126">
        <f>VLOOKUP(Table9[[#This Row],[Shortname]], Comp[], 30, FALSE)</f>
        <v>0</v>
      </c>
      <c r="AH1126">
        <f>VLOOKUP(Table9[[#This Row],[Shortname]], Comp[], 31, FALSE)</f>
        <v>0</v>
      </c>
    </row>
    <row r="1127" spans="1:34" x14ac:dyDescent="0.3">
      <c r="A1127" t="s">
        <v>6089</v>
      </c>
      <c r="B1127" t="s">
        <v>3899</v>
      </c>
      <c r="C1127" t="s">
        <v>6087</v>
      </c>
      <c r="D1127">
        <v>323</v>
      </c>
      <c r="E1127">
        <v>900</v>
      </c>
      <c r="F1127">
        <v>1E-4</v>
      </c>
      <c r="G1127">
        <v>1</v>
      </c>
      <c r="H1127" t="s">
        <v>6803</v>
      </c>
      <c r="I1127">
        <f>VLOOKUP(Table9[[#This Row],[Shortname]], Comp[], 6, FALSE)</f>
        <v>990</v>
      </c>
      <c r="J1127" s="14">
        <f>VLOOKUP(Table9[[#This Row],[Shortname]], Comp[], 7, FALSE)</f>
        <v>51</v>
      </c>
      <c r="K1127">
        <f>VLOOKUP(Table9[[#This Row],[Shortname]], Comp[], 8, FALSE)</f>
        <v>30</v>
      </c>
      <c r="L1127">
        <f>VLOOKUP(Table9[[#This Row],[Shortname]], Comp[], 9, FALSE)</f>
        <v>10</v>
      </c>
      <c r="M1127">
        <f>VLOOKUP(Table9[[#This Row],[Shortname]], Comp[], 10, FALSE)</f>
        <v>0</v>
      </c>
      <c r="N1127">
        <f>VLOOKUP(Table9[[#This Row],[Shortname]], Comp[], 11, FALSE)</f>
        <v>0</v>
      </c>
      <c r="O1127">
        <f>VLOOKUP(Table9[[#This Row],[Shortname]], Comp[],12, FALSE)</f>
        <v>2</v>
      </c>
      <c r="P1127">
        <f>VLOOKUP(Table9[[#This Row],[Shortname]], Comp[], 13, FALSE)</f>
        <v>2</v>
      </c>
      <c r="Q1127">
        <f>VLOOKUP(Table9[[#This Row],[Shortname]], Comp[], 14, FALSE)</f>
        <v>0</v>
      </c>
      <c r="R1127">
        <f>VLOOKUP(Table9[[#This Row],[Shortname]], Comp[], 15, FALSE)</f>
        <v>5</v>
      </c>
      <c r="S1127">
        <f>VLOOKUP(Table9[[#This Row],[Shortname]], Comp[], 16, FALSE)</f>
        <v>0</v>
      </c>
      <c r="T1127">
        <f>VLOOKUP(Table9[[#This Row],[Shortname]], Comp[], 17, FALSE)</f>
        <v>0</v>
      </c>
      <c r="U1127">
        <f>VLOOKUP(Table9[[#This Row],[Shortname]], Comp[], 18, FALSE)</f>
        <v>0</v>
      </c>
      <c r="V1127">
        <f>VLOOKUP(Table9[[#This Row],[Shortname]], Comp[], 19, FALSE)</f>
        <v>0</v>
      </c>
      <c r="W1127">
        <f>VLOOKUP(Table9[[#This Row],[Shortname]], Comp[], 20, FALSE)</f>
        <v>0</v>
      </c>
      <c r="X1127">
        <f>VLOOKUP(Table9[[#This Row],[Shortname]], Comp[], 21, FALSE)</f>
        <v>0</v>
      </c>
      <c r="Y1127">
        <f>VLOOKUP(Table9[[#This Row],[Shortname]], Comp[], 22, FALSE)</f>
        <v>0</v>
      </c>
      <c r="Z1127">
        <f>VLOOKUP(Table9[[#This Row],[Shortname]], Comp[], 23, FALSE)</f>
        <v>0</v>
      </c>
      <c r="AA1127">
        <f>VLOOKUP(Table9[[#This Row],[Shortname]], Comp[], 24, FALSE)</f>
        <v>0</v>
      </c>
      <c r="AB1127">
        <f>VLOOKUP(Table9[[#This Row],[Shortname]], Comp[], 25, FALSE)</f>
        <v>0</v>
      </c>
      <c r="AC1127">
        <f>VLOOKUP(Table9[[#This Row],[Shortname]], Comp[], 26, FALSE)</f>
        <v>0</v>
      </c>
      <c r="AD1127">
        <f>VLOOKUP(Table9[[#This Row],[Shortname]], Comp[], 27, FALSE)</f>
        <v>0</v>
      </c>
      <c r="AE1127">
        <f>VLOOKUP(Table9[[#This Row],[Shortname]], Comp[], 28, FALSE)</f>
        <v>0</v>
      </c>
      <c r="AF1127">
        <f>VLOOKUP(Table9[[#This Row],[Shortname]], Comp[], 29, FALSE)</f>
        <v>0</v>
      </c>
      <c r="AG1127">
        <f>VLOOKUP(Table9[[#This Row],[Shortname]], Comp[], 30, FALSE)</f>
        <v>0</v>
      </c>
      <c r="AH1127">
        <f>VLOOKUP(Table9[[#This Row],[Shortname]], Comp[], 31, FALSE)</f>
        <v>0</v>
      </c>
    </row>
    <row r="1128" spans="1:34" x14ac:dyDescent="0.3">
      <c r="A1128" t="s">
        <v>6091</v>
      </c>
      <c r="B1128" t="s">
        <v>3927</v>
      </c>
      <c r="C1128" t="s">
        <v>6087</v>
      </c>
      <c r="D1128">
        <v>542</v>
      </c>
      <c r="E1128">
        <v>25</v>
      </c>
      <c r="F1128">
        <v>1E-4</v>
      </c>
      <c r="G1128">
        <v>1</v>
      </c>
      <c r="H1128" t="s">
        <v>6803</v>
      </c>
      <c r="I1128">
        <f>VLOOKUP(Table9[[#This Row],[Shortname]], Comp[], 6, FALSE)</f>
        <v>991</v>
      </c>
      <c r="J1128" s="14">
        <f>VLOOKUP(Table9[[#This Row],[Shortname]], Comp[], 7, FALSE)</f>
        <v>51</v>
      </c>
      <c r="K1128">
        <f>VLOOKUP(Table9[[#This Row],[Shortname]], Comp[], 8, FALSE)</f>
        <v>30</v>
      </c>
      <c r="L1128">
        <f>VLOOKUP(Table9[[#This Row],[Shortname]], Comp[], 9, FALSE)</f>
        <v>10</v>
      </c>
      <c r="M1128">
        <f>VLOOKUP(Table9[[#This Row],[Shortname]], Comp[], 10, FALSE)</f>
        <v>0</v>
      </c>
      <c r="N1128">
        <f>VLOOKUP(Table9[[#This Row],[Shortname]], Comp[], 11, FALSE)</f>
        <v>0</v>
      </c>
      <c r="O1128">
        <f>VLOOKUP(Table9[[#This Row],[Shortname]], Comp[],12, FALSE)</f>
        <v>0</v>
      </c>
      <c r="P1128">
        <f>VLOOKUP(Table9[[#This Row],[Shortname]], Comp[], 13, FALSE)</f>
        <v>2</v>
      </c>
      <c r="Q1128">
        <f>VLOOKUP(Table9[[#This Row],[Shortname]], Comp[], 14, FALSE)</f>
        <v>2</v>
      </c>
      <c r="R1128">
        <f>VLOOKUP(Table9[[#This Row],[Shortname]], Comp[], 15, FALSE)</f>
        <v>5</v>
      </c>
      <c r="S1128">
        <f>VLOOKUP(Table9[[#This Row],[Shortname]], Comp[], 16, FALSE)</f>
        <v>0</v>
      </c>
      <c r="T1128">
        <f>VLOOKUP(Table9[[#This Row],[Shortname]], Comp[], 17, FALSE)</f>
        <v>0</v>
      </c>
      <c r="U1128">
        <f>VLOOKUP(Table9[[#This Row],[Shortname]], Comp[], 18, FALSE)</f>
        <v>0</v>
      </c>
      <c r="V1128">
        <f>VLOOKUP(Table9[[#This Row],[Shortname]], Comp[], 19, FALSE)</f>
        <v>0</v>
      </c>
      <c r="W1128">
        <f>VLOOKUP(Table9[[#This Row],[Shortname]], Comp[], 20, FALSE)</f>
        <v>0</v>
      </c>
      <c r="X1128">
        <f>VLOOKUP(Table9[[#This Row],[Shortname]], Comp[], 21, FALSE)</f>
        <v>0</v>
      </c>
      <c r="Y1128">
        <f>VLOOKUP(Table9[[#This Row],[Shortname]], Comp[], 22, FALSE)</f>
        <v>0</v>
      </c>
      <c r="Z1128">
        <f>VLOOKUP(Table9[[#This Row],[Shortname]], Comp[], 23, FALSE)</f>
        <v>0</v>
      </c>
      <c r="AA1128">
        <f>VLOOKUP(Table9[[#This Row],[Shortname]], Comp[], 24, FALSE)</f>
        <v>0</v>
      </c>
      <c r="AB1128">
        <f>VLOOKUP(Table9[[#This Row],[Shortname]], Comp[], 25, FALSE)</f>
        <v>0</v>
      </c>
      <c r="AC1128">
        <f>VLOOKUP(Table9[[#This Row],[Shortname]], Comp[], 26, FALSE)</f>
        <v>0</v>
      </c>
      <c r="AD1128">
        <f>VLOOKUP(Table9[[#This Row],[Shortname]], Comp[], 27, FALSE)</f>
        <v>0</v>
      </c>
      <c r="AE1128">
        <f>VLOOKUP(Table9[[#This Row],[Shortname]], Comp[], 28, FALSE)</f>
        <v>0</v>
      </c>
      <c r="AF1128">
        <f>VLOOKUP(Table9[[#This Row],[Shortname]], Comp[], 29, FALSE)</f>
        <v>0</v>
      </c>
      <c r="AG1128">
        <f>VLOOKUP(Table9[[#This Row],[Shortname]], Comp[], 30, FALSE)</f>
        <v>0</v>
      </c>
      <c r="AH1128">
        <f>VLOOKUP(Table9[[#This Row],[Shortname]], Comp[], 31, FALSE)</f>
        <v>0</v>
      </c>
    </row>
    <row r="1129" spans="1:34" x14ac:dyDescent="0.3">
      <c r="A1129" t="s">
        <v>6091</v>
      </c>
      <c r="B1129" t="s">
        <v>3927</v>
      </c>
      <c r="C1129" t="s">
        <v>6087</v>
      </c>
      <c r="D1129">
        <v>511</v>
      </c>
      <c r="E1129">
        <v>600</v>
      </c>
      <c r="F1129">
        <v>1E-4</v>
      </c>
      <c r="G1129">
        <v>1</v>
      </c>
      <c r="H1129" t="s">
        <v>6803</v>
      </c>
      <c r="I1129">
        <f>VLOOKUP(Table9[[#This Row],[Shortname]], Comp[], 6, FALSE)</f>
        <v>991</v>
      </c>
      <c r="J1129" s="14">
        <f>VLOOKUP(Table9[[#This Row],[Shortname]], Comp[], 7, FALSE)</f>
        <v>51</v>
      </c>
      <c r="K1129">
        <f>VLOOKUP(Table9[[#This Row],[Shortname]], Comp[], 8, FALSE)</f>
        <v>30</v>
      </c>
      <c r="L1129">
        <f>VLOOKUP(Table9[[#This Row],[Shortname]], Comp[], 9, FALSE)</f>
        <v>10</v>
      </c>
      <c r="M1129">
        <f>VLOOKUP(Table9[[#This Row],[Shortname]], Comp[], 10, FALSE)</f>
        <v>0</v>
      </c>
      <c r="N1129">
        <f>VLOOKUP(Table9[[#This Row],[Shortname]], Comp[], 11, FALSE)</f>
        <v>0</v>
      </c>
      <c r="O1129">
        <f>VLOOKUP(Table9[[#This Row],[Shortname]], Comp[],12, FALSE)</f>
        <v>0</v>
      </c>
      <c r="P1129">
        <f>VLOOKUP(Table9[[#This Row],[Shortname]], Comp[], 13, FALSE)</f>
        <v>2</v>
      </c>
      <c r="Q1129">
        <f>VLOOKUP(Table9[[#This Row],[Shortname]], Comp[], 14, FALSE)</f>
        <v>2</v>
      </c>
      <c r="R1129">
        <f>VLOOKUP(Table9[[#This Row],[Shortname]], Comp[], 15, FALSE)</f>
        <v>5</v>
      </c>
      <c r="S1129">
        <f>VLOOKUP(Table9[[#This Row],[Shortname]], Comp[], 16, FALSE)</f>
        <v>0</v>
      </c>
      <c r="T1129">
        <f>VLOOKUP(Table9[[#This Row],[Shortname]], Comp[], 17, FALSE)</f>
        <v>0</v>
      </c>
      <c r="U1129">
        <f>VLOOKUP(Table9[[#This Row],[Shortname]], Comp[], 18, FALSE)</f>
        <v>0</v>
      </c>
      <c r="V1129">
        <f>VLOOKUP(Table9[[#This Row],[Shortname]], Comp[], 19, FALSE)</f>
        <v>0</v>
      </c>
      <c r="W1129">
        <f>VLOOKUP(Table9[[#This Row],[Shortname]], Comp[], 20, FALSE)</f>
        <v>0</v>
      </c>
      <c r="X1129">
        <f>VLOOKUP(Table9[[#This Row],[Shortname]], Comp[], 21, FALSE)</f>
        <v>0</v>
      </c>
      <c r="Y1129">
        <f>VLOOKUP(Table9[[#This Row],[Shortname]], Comp[], 22, FALSE)</f>
        <v>0</v>
      </c>
      <c r="Z1129">
        <f>VLOOKUP(Table9[[#This Row],[Shortname]], Comp[], 23, FALSE)</f>
        <v>0</v>
      </c>
      <c r="AA1129">
        <f>VLOOKUP(Table9[[#This Row],[Shortname]], Comp[], 24, FALSE)</f>
        <v>0</v>
      </c>
      <c r="AB1129">
        <f>VLOOKUP(Table9[[#This Row],[Shortname]], Comp[], 25, FALSE)</f>
        <v>0</v>
      </c>
      <c r="AC1129">
        <f>VLOOKUP(Table9[[#This Row],[Shortname]], Comp[], 26, FALSE)</f>
        <v>0</v>
      </c>
      <c r="AD1129">
        <f>VLOOKUP(Table9[[#This Row],[Shortname]], Comp[], 27, FALSE)</f>
        <v>0</v>
      </c>
      <c r="AE1129">
        <f>VLOOKUP(Table9[[#This Row],[Shortname]], Comp[], 28, FALSE)</f>
        <v>0</v>
      </c>
      <c r="AF1129">
        <f>VLOOKUP(Table9[[#This Row],[Shortname]], Comp[], 29, FALSE)</f>
        <v>0</v>
      </c>
      <c r="AG1129">
        <f>VLOOKUP(Table9[[#This Row],[Shortname]], Comp[], 30, FALSE)</f>
        <v>0</v>
      </c>
      <c r="AH1129">
        <f>VLOOKUP(Table9[[#This Row],[Shortname]], Comp[], 31, FALSE)</f>
        <v>0</v>
      </c>
    </row>
    <row r="1130" spans="1:34" x14ac:dyDescent="0.3">
      <c r="A1130" t="s">
        <v>6091</v>
      </c>
      <c r="B1130" t="s">
        <v>3927</v>
      </c>
      <c r="C1130" t="s">
        <v>6087</v>
      </c>
      <c r="D1130">
        <v>618</v>
      </c>
      <c r="E1130">
        <v>700</v>
      </c>
      <c r="F1130">
        <v>1E-4</v>
      </c>
      <c r="G1130">
        <v>1</v>
      </c>
      <c r="H1130" t="s">
        <v>6803</v>
      </c>
      <c r="I1130">
        <f>VLOOKUP(Table9[[#This Row],[Shortname]], Comp[], 6, FALSE)</f>
        <v>991</v>
      </c>
      <c r="J1130" s="14">
        <f>VLOOKUP(Table9[[#This Row],[Shortname]], Comp[], 7, FALSE)</f>
        <v>51</v>
      </c>
      <c r="K1130">
        <f>VLOOKUP(Table9[[#This Row],[Shortname]], Comp[], 8, FALSE)</f>
        <v>30</v>
      </c>
      <c r="L1130">
        <f>VLOOKUP(Table9[[#This Row],[Shortname]], Comp[], 9, FALSE)</f>
        <v>10</v>
      </c>
      <c r="M1130">
        <f>VLOOKUP(Table9[[#This Row],[Shortname]], Comp[], 10, FALSE)</f>
        <v>0</v>
      </c>
      <c r="N1130">
        <f>VLOOKUP(Table9[[#This Row],[Shortname]], Comp[], 11, FALSE)</f>
        <v>0</v>
      </c>
      <c r="O1130">
        <f>VLOOKUP(Table9[[#This Row],[Shortname]], Comp[],12, FALSE)</f>
        <v>0</v>
      </c>
      <c r="P1130">
        <f>VLOOKUP(Table9[[#This Row],[Shortname]], Comp[], 13, FALSE)</f>
        <v>2</v>
      </c>
      <c r="Q1130">
        <f>VLOOKUP(Table9[[#This Row],[Shortname]], Comp[], 14, FALSE)</f>
        <v>2</v>
      </c>
      <c r="R1130">
        <f>VLOOKUP(Table9[[#This Row],[Shortname]], Comp[], 15, FALSE)</f>
        <v>5</v>
      </c>
      <c r="S1130">
        <f>VLOOKUP(Table9[[#This Row],[Shortname]], Comp[], 16, FALSE)</f>
        <v>0</v>
      </c>
      <c r="T1130">
        <f>VLOOKUP(Table9[[#This Row],[Shortname]], Comp[], 17, FALSE)</f>
        <v>0</v>
      </c>
      <c r="U1130">
        <f>VLOOKUP(Table9[[#This Row],[Shortname]], Comp[], 18, FALSE)</f>
        <v>0</v>
      </c>
      <c r="V1130">
        <f>VLOOKUP(Table9[[#This Row],[Shortname]], Comp[], 19, FALSE)</f>
        <v>0</v>
      </c>
      <c r="W1130">
        <f>VLOOKUP(Table9[[#This Row],[Shortname]], Comp[], 20, FALSE)</f>
        <v>0</v>
      </c>
      <c r="X1130">
        <f>VLOOKUP(Table9[[#This Row],[Shortname]], Comp[], 21, FALSE)</f>
        <v>0</v>
      </c>
      <c r="Y1130">
        <f>VLOOKUP(Table9[[#This Row],[Shortname]], Comp[], 22, FALSE)</f>
        <v>0</v>
      </c>
      <c r="Z1130">
        <f>VLOOKUP(Table9[[#This Row],[Shortname]], Comp[], 23, FALSE)</f>
        <v>0</v>
      </c>
      <c r="AA1130">
        <f>VLOOKUP(Table9[[#This Row],[Shortname]], Comp[], 24, FALSE)</f>
        <v>0</v>
      </c>
      <c r="AB1130">
        <f>VLOOKUP(Table9[[#This Row],[Shortname]], Comp[], 25, FALSE)</f>
        <v>0</v>
      </c>
      <c r="AC1130">
        <f>VLOOKUP(Table9[[#This Row],[Shortname]], Comp[], 26, FALSE)</f>
        <v>0</v>
      </c>
      <c r="AD1130">
        <f>VLOOKUP(Table9[[#This Row],[Shortname]], Comp[], 27, FALSE)</f>
        <v>0</v>
      </c>
      <c r="AE1130">
        <f>VLOOKUP(Table9[[#This Row],[Shortname]], Comp[], 28, FALSE)</f>
        <v>0</v>
      </c>
      <c r="AF1130">
        <f>VLOOKUP(Table9[[#This Row],[Shortname]], Comp[], 29, FALSE)</f>
        <v>0</v>
      </c>
      <c r="AG1130">
        <f>VLOOKUP(Table9[[#This Row],[Shortname]], Comp[], 30, FALSE)</f>
        <v>0</v>
      </c>
      <c r="AH1130">
        <f>VLOOKUP(Table9[[#This Row],[Shortname]], Comp[], 31, FALSE)</f>
        <v>0</v>
      </c>
    </row>
    <row r="1131" spans="1:34" x14ac:dyDescent="0.3">
      <c r="A1131" t="s">
        <v>6091</v>
      </c>
      <c r="B1131" t="s">
        <v>3927</v>
      </c>
      <c r="C1131" t="s">
        <v>6087</v>
      </c>
      <c r="D1131">
        <v>524</v>
      </c>
      <c r="E1131">
        <v>800</v>
      </c>
      <c r="F1131">
        <v>1E-4</v>
      </c>
      <c r="G1131">
        <v>1</v>
      </c>
      <c r="H1131" t="s">
        <v>6803</v>
      </c>
      <c r="I1131">
        <f>VLOOKUP(Table9[[#This Row],[Shortname]], Comp[], 6, FALSE)</f>
        <v>991</v>
      </c>
      <c r="J1131" s="14">
        <f>VLOOKUP(Table9[[#This Row],[Shortname]], Comp[], 7, FALSE)</f>
        <v>51</v>
      </c>
      <c r="K1131">
        <f>VLOOKUP(Table9[[#This Row],[Shortname]], Comp[], 8, FALSE)</f>
        <v>30</v>
      </c>
      <c r="L1131">
        <f>VLOOKUP(Table9[[#This Row],[Shortname]], Comp[], 9, FALSE)</f>
        <v>10</v>
      </c>
      <c r="M1131">
        <f>VLOOKUP(Table9[[#This Row],[Shortname]], Comp[], 10, FALSE)</f>
        <v>0</v>
      </c>
      <c r="N1131">
        <f>VLOOKUP(Table9[[#This Row],[Shortname]], Comp[], 11, FALSE)</f>
        <v>0</v>
      </c>
      <c r="O1131">
        <f>VLOOKUP(Table9[[#This Row],[Shortname]], Comp[],12, FALSE)</f>
        <v>0</v>
      </c>
      <c r="P1131">
        <f>VLOOKUP(Table9[[#This Row],[Shortname]], Comp[], 13, FALSE)</f>
        <v>2</v>
      </c>
      <c r="Q1131">
        <f>VLOOKUP(Table9[[#This Row],[Shortname]], Comp[], 14, FALSE)</f>
        <v>2</v>
      </c>
      <c r="R1131">
        <f>VLOOKUP(Table9[[#This Row],[Shortname]], Comp[], 15, FALSE)</f>
        <v>5</v>
      </c>
      <c r="S1131">
        <f>VLOOKUP(Table9[[#This Row],[Shortname]], Comp[], 16, FALSE)</f>
        <v>0</v>
      </c>
      <c r="T1131">
        <f>VLOOKUP(Table9[[#This Row],[Shortname]], Comp[], 17, FALSE)</f>
        <v>0</v>
      </c>
      <c r="U1131">
        <f>VLOOKUP(Table9[[#This Row],[Shortname]], Comp[], 18, FALSE)</f>
        <v>0</v>
      </c>
      <c r="V1131">
        <f>VLOOKUP(Table9[[#This Row],[Shortname]], Comp[], 19, FALSE)</f>
        <v>0</v>
      </c>
      <c r="W1131">
        <f>VLOOKUP(Table9[[#This Row],[Shortname]], Comp[], 20, FALSE)</f>
        <v>0</v>
      </c>
      <c r="X1131">
        <f>VLOOKUP(Table9[[#This Row],[Shortname]], Comp[], 21, FALSE)</f>
        <v>0</v>
      </c>
      <c r="Y1131">
        <f>VLOOKUP(Table9[[#This Row],[Shortname]], Comp[], 22, FALSE)</f>
        <v>0</v>
      </c>
      <c r="Z1131">
        <f>VLOOKUP(Table9[[#This Row],[Shortname]], Comp[], 23, FALSE)</f>
        <v>0</v>
      </c>
      <c r="AA1131">
        <f>VLOOKUP(Table9[[#This Row],[Shortname]], Comp[], 24, FALSE)</f>
        <v>0</v>
      </c>
      <c r="AB1131">
        <f>VLOOKUP(Table9[[#This Row],[Shortname]], Comp[], 25, FALSE)</f>
        <v>0</v>
      </c>
      <c r="AC1131">
        <f>VLOOKUP(Table9[[#This Row],[Shortname]], Comp[], 26, FALSE)</f>
        <v>0</v>
      </c>
      <c r="AD1131">
        <f>VLOOKUP(Table9[[#This Row],[Shortname]], Comp[], 27, FALSE)</f>
        <v>0</v>
      </c>
      <c r="AE1131">
        <f>VLOOKUP(Table9[[#This Row],[Shortname]], Comp[], 28, FALSE)</f>
        <v>0</v>
      </c>
      <c r="AF1131">
        <f>VLOOKUP(Table9[[#This Row],[Shortname]], Comp[], 29, FALSE)</f>
        <v>0</v>
      </c>
      <c r="AG1131">
        <f>VLOOKUP(Table9[[#This Row],[Shortname]], Comp[], 30, FALSE)</f>
        <v>0</v>
      </c>
      <c r="AH1131">
        <f>VLOOKUP(Table9[[#This Row],[Shortname]], Comp[], 31, FALSE)</f>
        <v>0</v>
      </c>
    </row>
    <row r="1132" spans="1:34" x14ac:dyDescent="0.3">
      <c r="A1132" t="s">
        <v>6091</v>
      </c>
      <c r="B1132" t="s">
        <v>3927</v>
      </c>
      <c r="C1132" t="s">
        <v>6087</v>
      </c>
      <c r="D1132">
        <v>352</v>
      </c>
      <c r="E1132">
        <v>900</v>
      </c>
      <c r="F1132">
        <v>1E-4</v>
      </c>
      <c r="G1132">
        <v>1</v>
      </c>
      <c r="H1132" t="s">
        <v>6803</v>
      </c>
      <c r="I1132">
        <f>VLOOKUP(Table9[[#This Row],[Shortname]], Comp[], 6, FALSE)</f>
        <v>991</v>
      </c>
      <c r="J1132" s="14">
        <f>VLOOKUP(Table9[[#This Row],[Shortname]], Comp[], 7, FALSE)</f>
        <v>51</v>
      </c>
      <c r="K1132">
        <f>VLOOKUP(Table9[[#This Row],[Shortname]], Comp[], 8, FALSE)</f>
        <v>30</v>
      </c>
      <c r="L1132">
        <f>VLOOKUP(Table9[[#This Row],[Shortname]], Comp[], 9, FALSE)</f>
        <v>10</v>
      </c>
      <c r="M1132">
        <f>VLOOKUP(Table9[[#This Row],[Shortname]], Comp[], 10, FALSE)</f>
        <v>0</v>
      </c>
      <c r="N1132">
        <f>VLOOKUP(Table9[[#This Row],[Shortname]], Comp[], 11, FALSE)</f>
        <v>0</v>
      </c>
      <c r="O1132">
        <f>VLOOKUP(Table9[[#This Row],[Shortname]], Comp[],12, FALSE)</f>
        <v>0</v>
      </c>
      <c r="P1132">
        <f>VLOOKUP(Table9[[#This Row],[Shortname]], Comp[], 13, FALSE)</f>
        <v>2</v>
      </c>
      <c r="Q1132">
        <f>VLOOKUP(Table9[[#This Row],[Shortname]], Comp[], 14, FALSE)</f>
        <v>2</v>
      </c>
      <c r="R1132">
        <f>VLOOKUP(Table9[[#This Row],[Shortname]], Comp[], 15, FALSE)</f>
        <v>5</v>
      </c>
      <c r="S1132">
        <f>VLOOKUP(Table9[[#This Row],[Shortname]], Comp[], 16, FALSE)</f>
        <v>0</v>
      </c>
      <c r="T1132">
        <f>VLOOKUP(Table9[[#This Row],[Shortname]], Comp[], 17, FALSE)</f>
        <v>0</v>
      </c>
      <c r="U1132">
        <f>VLOOKUP(Table9[[#This Row],[Shortname]], Comp[], 18, FALSE)</f>
        <v>0</v>
      </c>
      <c r="V1132">
        <f>VLOOKUP(Table9[[#This Row],[Shortname]], Comp[], 19, FALSE)</f>
        <v>0</v>
      </c>
      <c r="W1132">
        <f>VLOOKUP(Table9[[#This Row],[Shortname]], Comp[], 20, FALSE)</f>
        <v>0</v>
      </c>
      <c r="X1132">
        <f>VLOOKUP(Table9[[#This Row],[Shortname]], Comp[], 21, FALSE)</f>
        <v>0</v>
      </c>
      <c r="Y1132">
        <f>VLOOKUP(Table9[[#This Row],[Shortname]], Comp[], 22, FALSE)</f>
        <v>0</v>
      </c>
      <c r="Z1132">
        <f>VLOOKUP(Table9[[#This Row],[Shortname]], Comp[], 23, FALSE)</f>
        <v>0</v>
      </c>
      <c r="AA1132">
        <f>VLOOKUP(Table9[[#This Row],[Shortname]], Comp[], 24, FALSE)</f>
        <v>0</v>
      </c>
      <c r="AB1132">
        <f>VLOOKUP(Table9[[#This Row],[Shortname]], Comp[], 25, FALSE)</f>
        <v>0</v>
      </c>
      <c r="AC1132">
        <f>VLOOKUP(Table9[[#This Row],[Shortname]], Comp[], 26, FALSE)</f>
        <v>0</v>
      </c>
      <c r="AD1132">
        <f>VLOOKUP(Table9[[#This Row],[Shortname]], Comp[], 27, FALSE)</f>
        <v>0</v>
      </c>
      <c r="AE1132">
        <f>VLOOKUP(Table9[[#This Row],[Shortname]], Comp[], 28, FALSE)</f>
        <v>0</v>
      </c>
      <c r="AF1132">
        <f>VLOOKUP(Table9[[#This Row],[Shortname]], Comp[], 29, FALSE)</f>
        <v>0</v>
      </c>
      <c r="AG1132">
        <f>VLOOKUP(Table9[[#This Row],[Shortname]], Comp[], 30, FALSE)</f>
        <v>0</v>
      </c>
      <c r="AH1132">
        <f>VLOOKUP(Table9[[#This Row],[Shortname]], Comp[], 31, FALSE)</f>
        <v>0</v>
      </c>
    </row>
    <row r="1133" spans="1:34" x14ac:dyDescent="0.3">
      <c r="A1133" t="s">
        <v>6093</v>
      </c>
      <c r="B1133" t="s">
        <v>1484</v>
      </c>
      <c r="C1133" t="s">
        <v>6087</v>
      </c>
      <c r="D1133">
        <v>498</v>
      </c>
      <c r="E1133">
        <v>25</v>
      </c>
      <c r="F1133">
        <v>1E-4</v>
      </c>
      <c r="G1133">
        <v>1</v>
      </c>
      <c r="H1133" t="s">
        <v>6803</v>
      </c>
      <c r="I1133">
        <f>VLOOKUP(Table9[[#This Row],[Shortname]], Comp[], 6, FALSE)</f>
        <v>992</v>
      </c>
      <c r="J1133" s="14">
        <f>VLOOKUP(Table9[[#This Row],[Shortname]], Comp[], 7, FALSE)</f>
        <v>51</v>
      </c>
      <c r="K1133">
        <f>VLOOKUP(Table9[[#This Row],[Shortname]], Comp[], 8, FALSE)</f>
        <v>30</v>
      </c>
      <c r="L1133">
        <f>VLOOKUP(Table9[[#This Row],[Shortname]], Comp[], 9, FALSE)</f>
        <v>10</v>
      </c>
      <c r="M1133">
        <f>VLOOKUP(Table9[[#This Row],[Shortname]], Comp[], 10, FALSE)</f>
        <v>0</v>
      </c>
      <c r="N1133">
        <f>VLOOKUP(Table9[[#This Row],[Shortname]], Comp[], 11, FALSE)</f>
        <v>0</v>
      </c>
      <c r="O1133">
        <f>VLOOKUP(Table9[[#This Row],[Shortname]], Comp[],12, FALSE)</f>
        <v>0</v>
      </c>
      <c r="P1133">
        <f>VLOOKUP(Table9[[#This Row],[Shortname]], Comp[], 13, FALSE)</f>
        <v>2</v>
      </c>
      <c r="Q1133">
        <f>VLOOKUP(Table9[[#This Row],[Shortname]], Comp[], 14, FALSE)</f>
        <v>0</v>
      </c>
      <c r="R1133">
        <f>VLOOKUP(Table9[[#This Row],[Shortname]], Comp[], 15, FALSE)</f>
        <v>5</v>
      </c>
      <c r="S1133">
        <f>VLOOKUP(Table9[[#This Row],[Shortname]], Comp[], 16, FALSE)</f>
        <v>2</v>
      </c>
      <c r="T1133">
        <f>VLOOKUP(Table9[[#This Row],[Shortname]], Comp[], 17, FALSE)</f>
        <v>0</v>
      </c>
      <c r="U1133">
        <f>VLOOKUP(Table9[[#This Row],[Shortname]], Comp[], 18, FALSE)</f>
        <v>0</v>
      </c>
      <c r="V1133">
        <f>VLOOKUP(Table9[[#This Row],[Shortname]], Comp[], 19, FALSE)</f>
        <v>0</v>
      </c>
      <c r="W1133">
        <f>VLOOKUP(Table9[[#This Row],[Shortname]], Comp[], 20, FALSE)</f>
        <v>0</v>
      </c>
      <c r="X1133">
        <f>VLOOKUP(Table9[[#This Row],[Shortname]], Comp[], 21, FALSE)</f>
        <v>0</v>
      </c>
      <c r="Y1133">
        <f>VLOOKUP(Table9[[#This Row],[Shortname]], Comp[], 22, FALSE)</f>
        <v>0</v>
      </c>
      <c r="Z1133">
        <f>VLOOKUP(Table9[[#This Row],[Shortname]], Comp[], 23, FALSE)</f>
        <v>0</v>
      </c>
      <c r="AA1133">
        <f>VLOOKUP(Table9[[#This Row],[Shortname]], Comp[], 24, FALSE)</f>
        <v>0</v>
      </c>
      <c r="AB1133">
        <f>VLOOKUP(Table9[[#This Row],[Shortname]], Comp[], 25, FALSE)</f>
        <v>0</v>
      </c>
      <c r="AC1133">
        <f>VLOOKUP(Table9[[#This Row],[Shortname]], Comp[], 26, FALSE)</f>
        <v>0</v>
      </c>
      <c r="AD1133">
        <f>VLOOKUP(Table9[[#This Row],[Shortname]], Comp[], 27, FALSE)</f>
        <v>0</v>
      </c>
      <c r="AE1133">
        <f>VLOOKUP(Table9[[#This Row],[Shortname]], Comp[], 28, FALSE)</f>
        <v>0</v>
      </c>
      <c r="AF1133">
        <f>VLOOKUP(Table9[[#This Row],[Shortname]], Comp[], 29, FALSE)</f>
        <v>0</v>
      </c>
      <c r="AG1133">
        <f>VLOOKUP(Table9[[#This Row],[Shortname]], Comp[], 30, FALSE)</f>
        <v>0</v>
      </c>
      <c r="AH1133">
        <f>VLOOKUP(Table9[[#This Row],[Shortname]], Comp[], 31, FALSE)</f>
        <v>0</v>
      </c>
    </row>
    <row r="1134" spans="1:34" x14ac:dyDescent="0.3">
      <c r="A1134" t="s">
        <v>6093</v>
      </c>
      <c r="B1134" t="s">
        <v>1484</v>
      </c>
      <c r="C1134" t="s">
        <v>6087</v>
      </c>
      <c r="D1134">
        <v>463</v>
      </c>
      <c r="E1134">
        <v>600</v>
      </c>
      <c r="F1134">
        <v>1E-4</v>
      </c>
      <c r="G1134">
        <v>1</v>
      </c>
      <c r="H1134" t="s">
        <v>6803</v>
      </c>
      <c r="I1134">
        <f>VLOOKUP(Table9[[#This Row],[Shortname]], Comp[], 6, FALSE)</f>
        <v>992</v>
      </c>
      <c r="J1134" s="14">
        <f>VLOOKUP(Table9[[#This Row],[Shortname]], Comp[], 7, FALSE)</f>
        <v>51</v>
      </c>
      <c r="K1134">
        <f>VLOOKUP(Table9[[#This Row],[Shortname]], Comp[], 8, FALSE)</f>
        <v>30</v>
      </c>
      <c r="L1134">
        <f>VLOOKUP(Table9[[#This Row],[Shortname]], Comp[], 9, FALSE)</f>
        <v>10</v>
      </c>
      <c r="M1134">
        <f>VLOOKUP(Table9[[#This Row],[Shortname]], Comp[], 10, FALSE)</f>
        <v>0</v>
      </c>
      <c r="N1134">
        <f>VLOOKUP(Table9[[#This Row],[Shortname]], Comp[], 11, FALSE)</f>
        <v>0</v>
      </c>
      <c r="O1134">
        <f>VLOOKUP(Table9[[#This Row],[Shortname]], Comp[],12, FALSE)</f>
        <v>0</v>
      </c>
      <c r="P1134">
        <f>VLOOKUP(Table9[[#This Row],[Shortname]], Comp[], 13, FALSE)</f>
        <v>2</v>
      </c>
      <c r="Q1134">
        <f>VLOOKUP(Table9[[#This Row],[Shortname]], Comp[], 14, FALSE)</f>
        <v>0</v>
      </c>
      <c r="R1134">
        <f>VLOOKUP(Table9[[#This Row],[Shortname]], Comp[], 15, FALSE)</f>
        <v>5</v>
      </c>
      <c r="S1134">
        <f>VLOOKUP(Table9[[#This Row],[Shortname]], Comp[], 16, FALSE)</f>
        <v>2</v>
      </c>
      <c r="T1134">
        <f>VLOOKUP(Table9[[#This Row],[Shortname]], Comp[], 17, FALSE)</f>
        <v>0</v>
      </c>
      <c r="U1134">
        <f>VLOOKUP(Table9[[#This Row],[Shortname]], Comp[], 18, FALSE)</f>
        <v>0</v>
      </c>
      <c r="V1134">
        <f>VLOOKUP(Table9[[#This Row],[Shortname]], Comp[], 19, FALSE)</f>
        <v>0</v>
      </c>
      <c r="W1134">
        <f>VLOOKUP(Table9[[#This Row],[Shortname]], Comp[], 20, FALSE)</f>
        <v>0</v>
      </c>
      <c r="X1134">
        <f>VLOOKUP(Table9[[#This Row],[Shortname]], Comp[], 21, FALSE)</f>
        <v>0</v>
      </c>
      <c r="Y1134">
        <f>VLOOKUP(Table9[[#This Row],[Shortname]], Comp[], 22, FALSE)</f>
        <v>0</v>
      </c>
      <c r="Z1134">
        <f>VLOOKUP(Table9[[#This Row],[Shortname]], Comp[], 23, FALSE)</f>
        <v>0</v>
      </c>
      <c r="AA1134">
        <f>VLOOKUP(Table9[[#This Row],[Shortname]], Comp[], 24, FALSE)</f>
        <v>0</v>
      </c>
      <c r="AB1134">
        <f>VLOOKUP(Table9[[#This Row],[Shortname]], Comp[], 25, FALSE)</f>
        <v>0</v>
      </c>
      <c r="AC1134">
        <f>VLOOKUP(Table9[[#This Row],[Shortname]], Comp[], 26, FALSE)</f>
        <v>0</v>
      </c>
      <c r="AD1134">
        <f>VLOOKUP(Table9[[#This Row],[Shortname]], Comp[], 27, FALSE)</f>
        <v>0</v>
      </c>
      <c r="AE1134">
        <f>VLOOKUP(Table9[[#This Row],[Shortname]], Comp[], 28, FALSE)</f>
        <v>0</v>
      </c>
      <c r="AF1134">
        <f>VLOOKUP(Table9[[#This Row],[Shortname]], Comp[], 29, FALSE)</f>
        <v>0</v>
      </c>
      <c r="AG1134">
        <f>VLOOKUP(Table9[[#This Row],[Shortname]], Comp[], 30, FALSE)</f>
        <v>0</v>
      </c>
      <c r="AH1134">
        <f>VLOOKUP(Table9[[#This Row],[Shortname]], Comp[], 31, FALSE)</f>
        <v>0</v>
      </c>
    </row>
    <row r="1135" spans="1:34" x14ac:dyDescent="0.3">
      <c r="A1135" t="s">
        <v>6093</v>
      </c>
      <c r="B1135" t="s">
        <v>1484</v>
      </c>
      <c r="C1135" t="s">
        <v>6087</v>
      </c>
      <c r="D1135">
        <v>539</v>
      </c>
      <c r="E1135">
        <v>700</v>
      </c>
      <c r="F1135">
        <v>1E-4</v>
      </c>
      <c r="G1135">
        <v>1</v>
      </c>
      <c r="H1135" t="s">
        <v>6803</v>
      </c>
      <c r="I1135">
        <f>VLOOKUP(Table9[[#This Row],[Shortname]], Comp[], 6, FALSE)</f>
        <v>992</v>
      </c>
      <c r="J1135" s="14">
        <f>VLOOKUP(Table9[[#This Row],[Shortname]], Comp[], 7, FALSE)</f>
        <v>51</v>
      </c>
      <c r="K1135">
        <f>VLOOKUP(Table9[[#This Row],[Shortname]], Comp[], 8, FALSE)</f>
        <v>30</v>
      </c>
      <c r="L1135">
        <f>VLOOKUP(Table9[[#This Row],[Shortname]], Comp[], 9, FALSE)</f>
        <v>10</v>
      </c>
      <c r="M1135">
        <f>VLOOKUP(Table9[[#This Row],[Shortname]], Comp[], 10, FALSE)</f>
        <v>0</v>
      </c>
      <c r="N1135">
        <f>VLOOKUP(Table9[[#This Row],[Shortname]], Comp[], 11, FALSE)</f>
        <v>0</v>
      </c>
      <c r="O1135">
        <f>VLOOKUP(Table9[[#This Row],[Shortname]], Comp[],12, FALSE)</f>
        <v>0</v>
      </c>
      <c r="P1135">
        <f>VLOOKUP(Table9[[#This Row],[Shortname]], Comp[], 13, FALSE)</f>
        <v>2</v>
      </c>
      <c r="Q1135">
        <f>VLOOKUP(Table9[[#This Row],[Shortname]], Comp[], 14, FALSE)</f>
        <v>0</v>
      </c>
      <c r="R1135">
        <f>VLOOKUP(Table9[[#This Row],[Shortname]], Comp[], 15, FALSE)</f>
        <v>5</v>
      </c>
      <c r="S1135">
        <f>VLOOKUP(Table9[[#This Row],[Shortname]], Comp[], 16, FALSE)</f>
        <v>2</v>
      </c>
      <c r="T1135">
        <f>VLOOKUP(Table9[[#This Row],[Shortname]], Comp[], 17, FALSE)</f>
        <v>0</v>
      </c>
      <c r="U1135">
        <f>VLOOKUP(Table9[[#This Row],[Shortname]], Comp[], 18, FALSE)</f>
        <v>0</v>
      </c>
      <c r="V1135">
        <f>VLOOKUP(Table9[[#This Row],[Shortname]], Comp[], 19, FALSE)</f>
        <v>0</v>
      </c>
      <c r="W1135">
        <f>VLOOKUP(Table9[[#This Row],[Shortname]], Comp[], 20, FALSE)</f>
        <v>0</v>
      </c>
      <c r="X1135">
        <f>VLOOKUP(Table9[[#This Row],[Shortname]], Comp[], 21, FALSE)</f>
        <v>0</v>
      </c>
      <c r="Y1135">
        <f>VLOOKUP(Table9[[#This Row],[Shortname]], Comp[], 22, FALSE)</f>
        <v>0</v>
      </c>
      <c r="Z1135">
        <f>VLOOKUP(Table9[[#This Row],[Shortname]], Comp[], 23, FALSE)</f>
        <v>0</v>
      </c>
      <c r="AA1135">
        <f>VLOOKUP(Table9[[#This Row],[Shortname]], Comp[], 24, FALSE)</f>
        <v>0</v>
      </c>
      <c r="AB1135">
        <f>VLOOKUP(Table9[[#This Row],[Shortname]], Comp[], 25, FALSE)</f>
        <v>0</v>
      </c>
      <c r="AC1135">
        <f>VLOOKUP(Table9[[#This Row],[Shortname]], Comp[], 26, FALSE)</f>
        <v>0</v>
      </c>
      <c r="AD1135">
        <f>VLOOKUP(Table9[[#This Row],[Shortname]], Comp[], 27, FALSE)</f>
        <v>0</v>
      </c>
      <c r="AE1135">
        <f>VLOOKUP(Table9[[#This Row],[Shortname]], Comp[], 28, FALSE)</f>
        <v>0</v>
      </c>
      <c r="AF1135">
        <f>VLOOKUP(Table9[[#This Row],[Shortname]], Comp[], 29, FALSE)</f>
        <v>0</v>
      </c>
      <c r="AG1135">
        <f>VLOOKUP(Table9[[#This Row],[Shortname]], Comp[], 30, FALSE)</f>
        <v>0</v>
      </c>
      <c r="AH1135">
        <f>VLOOKUP(Table9[[#This Row],[Shortname]], Comp[], 31, FALSE)</f>
        <v>0</v>
      </c>
    </row>
    <row r="1136" spans="1:34" x14ac:dyDescent="0.3">
      <c r="A1136" t="s">
        <v>6093</v>
      </c>
      <c r="B1136" t="s">
        <v>1484</v>
      </c>
      <c r="C1136" t="s">
        <v>6087</v>
      </c>
      <c r="D1136">
        <v>460</v>
      </c>
      <c r="E1136">
        <v>800</v>
      </c>
      <c r="F1136">
        <v>1E-4</v>
      </c>
      <c r="G1136">
        <v>1</v>
      </c>
      <c r="H1136" t="s">
        <v>6803</v>
      </c>
      <c r="I1136">
        <f>VLOOKUP(Table9[[#This Row],[Shortname]], Comp[], 6, FALSE)</f>
        <v>992</v>
      </c>
      <c r="J1136" s="14">
        <f>VLOOKUP(Table9[[#This Row],[Shortname]], Comp[], 7, FALSE)</f>
        <v>51</v>
      </c>
      <c r="K1136">
        <f>VLOOKUP(Table9[[#This Row],[Shortname]], Comp[], 8, FALSE)</f>
        <v>30</v>
      </c>
      <c r="L1136">
        <f>VLOOKUP(Table9[[#This Row],[Shortname]], Comp[], 9, FALSE)</f>
        <v>10</v>
      </c>
      <c r="M1136">
        <f>VLOOKUP(Table9[[#This Row],[Shortname]], Comp[], 10, FALSE)</f>
        <v>0</v>
      </c>
      <c r="N1136">
        <f>VLOOKUP(Table9[[#This Row],[Shortname]], Comp[], 11, FALSE)</f>
        <v>0</v>
      </c>
      <c r="O1136">
        <f>VLOOKUP(Table9[[#This Row],[Shortname]], Comp[],12, FALSE)</f>
        <v>0</v>
      </c>
      <c r="P1136">
        <f>VLOOKUP(Table9[[#This Row],[Shortname]], Comp[], 13, FALSE)</f>
        <v>2</v>
      </c>
      <c r="Q1136">
        <f>VLOOKUP(Table9[[#This Row],[Shortname]], Comp[], 14, FALSE)</f>
        <v>0</v>
      </c>
      <c r="R1136">
        <f>VLOOKUP(Table9[[#This Row],[Shortname]], Comp[], 15, FALSE)</f>
        <v>5</v>
      </c>
      <c r="S1136">
        <f>VLOOKUP(Table9[[#This Row],[Shortname]], Comp[], 16, FALSE)</f>
        <v>2</v>
      </c>
      <c r="T1136">
        <f>VLOOKUP(Table9[[#This Row],[Shortname]], Comp[], 17, FALSE)</f>
        <v>0</v>
      </c>
      <c r="U1136">
        <f>VLOOKUP(Table9[[#This Row],[Shortname]], Comp[], 18, FALSE)</f>
        <v>0</v>
      </c>
      <c r="V1136">
        <f>VLOOKUP(Table9[[#This Row],[Shortname]], Comp[], 19, FALSE)</f>
        <v>0</v>
      </c>
      <c r="W1136">
        <f>VLOOKUP(Table9[[#This Row],[Shortname]], Comp[], 20, FALSE)</f>
        <v>0</v>
      </c>
      <c r="X1136">
        <f>VLOOKUP(Table9[[#This Row],[Shortname]], Comp[], 21, FALSE)</f>
        <v>0</v>
      </c>
      <c r="Y1136">
        <f>VLOOKUP(Table9[[#This Row],[Shortname]], Comp[], 22, FALSE)</f>
        <v>0</v>
      </c>
      <c r="Z1136">
        <f>VLOOKUP(Table9[[#This Row],[Shortname]], Comp[], 23, FALSE)</f>
        <v>0</v>
      </c>
      <c r="AA1136">
        <f>VLOOKUP(Table9[[#This Row],[Shortname]], Comp[], 24, FALSE)</f>
        <v>0</v>
      </c>
      <c r="AB1136">
        <f>VLOOKUP(Table9[[#This Row],[Shortname]], Comp[], 25, FALSE)</f>
        <v>0</v>
      </c>
      <c r="AC1136">
        <f>VLOOKUP(Table9[[#This Row],[Shortname]], Comp[], 26, FALSE)</f>
        <v>0</v>
      </c>
      <c r="AD1136">
        <f>VLOOKUP(Table9[[#This Row],[Shortname]], Comp[], 27, FALSE)</f>
        <v>0</v>
      </c>
      <c r="AE1136">
        <f>VLOOKUP(Table9[[#This Row],[Shortname]], Comp[], 28, FALSE)</f>
        <v>0</v>
      </c>
      <c r="AF1136">
        <f>VLOOKUP(Table9[[#This Row],[Shortname]], Comp[], 29, FALSE)</f>
        <v>0</v>
      </c>
      <c r="AG1136">
        <f>VLOOKUP(Table9[[#This Row],[Shortname]], Comp[], 30, FALSE)</f>
        <v>0</v>
      </c>
      <c r="AH1136">
        <f>VLOOKUP(Table9[[#This Row],[Shortname]], Comp[], 31, FALSE)</f>
        <v>0</v>
      </c>
    </row>
    <row r="1137" spans="1:34" x14ac:dyDescent="0.3">
      <c r="A1137" t="s">
        <v>6093</v>
      </c>
      <c r="B1137" t="s">
        <v>1484</v>
      </c>
      <c r="C1137" t="s">
        <v>6087</v>
      </c>
      <c r="D1137">
        <v>210</v>
      </c>
      <c r="E1137">
        <v>900</v>
      </c>
      <c r="F1137">
        <v>1E-4</v>
      </c>
      <c r="G1137">
        <v>1</v>
      </c>
      <c r="H1137" t="s">
        <v>6803</v>
      </c>
      <c r="I1137">
        <f>VLOOKUP(Table9[[#This Row],[Shortname]], Comp[], 6, FALSE)</f>
        <v>992</v>
      </c>
      <c r="J1137" s="14">
        <f>VLOOKUP(Table9[[#This Row],[Shortname]], Comp[], 7, FALSE)</f>
        <v>51</v>
      </c>
      <c r="K1137">
        <f>VLOOKUP(Table9[[#This Row],[Shortname]], Comp[], 8, FALSE)</f>
        <v>30</v>
      </c>
      <c r="L1137">
        <f>VLOOKUP(Table9[[#This Row],[Shortname]], Comp[], 9, FALSE)</f>
        <v>10</v>
      </c>
      <c r="M1137">
        <f>VLOOKUP(Table9[[#This Row],[Shortname]], Comp[], 10, FALSE)</f>
        <v>0</v>
      </c>
      <c r="N1137">
        <f>VLOOKUP(Table9[[#This Row],[Shortname]], Comp[], 11, FALSE)</f>
        <v>0</v>
      </c>
      <c r="O1137">
        <f>VLOOKUP(Table9[[#This Row],[Shortname]], Comp[],12, FALSE)</f>
        <v>0</v>
      </c>
      <c r="P1137">
        <f>VLOOKUP(Table9[[#This Row],[Shortname]], Comp[], 13, FALSE)</f>
        <v>2</v>
      </c>
      <c r="Q1137">
        <f>VLOOKUP(Table9[[#This Row],[Shortname]], Comp[], 14, FALSE)</f>
        <v>0</v>
      </c>
      <c r="R1137">
        <f>VLOOKUP(Table9[[#This Row],[Shortname]], Comp[], 15, FALSE)</f>
        <v>5</v>
      </c>
      <c r="S1137">
        <f>VLOOKUP(Table9[[#This Row],[Shortname]], Comp[], 16, FALSE)</f>
        <v>2</v>
      </c>
      <c r="T1137">
        <f>VLOOKUP(Table9[[#This Row],[Shortname]], Comp[], 17, FALSE)</f>
        <v>0</v>
      </c>
      <c r="U1137">
        <f>VLOOKUP(Table9[[#This Row],[Shortname]], Comp[], 18, FALSE)</f>
        <v>0</v>
      </c>
      <c r="V1137">
        <f>VLOOKUP(Table9[[#This Row],[Shortname]], Comp[], 19, FALSE)</f>
        <v>0</v>
      </c>
      <c r="W1137">
        <f>VLOOKUP(Table9[[#This Row],[Shortname]], Comp[], 20, FALSE)</f>
        <v>0</v>
      </c>
      <c r="X1137">
        <f>VLOOKUP(Table9[[#This Row],[Shortname]], Comp[], 21, FALSE)</f>
        <v>0</v>
      </c>
      <c r="Y1137">
        <f>VLOOKUP(Table9[[#This Row],[Shortname]], Comp[], 22, FALSE)</f>
        <v>0</v>
      </c>
      <c r="Z1137">
        <f>VLOOKUP(Table9[[#This Row],[Shortname]], Comp[], 23, FALSE)</f>
        <v>0</v>
      </c>
      <c r="AA1137">
        <f>VLOOKUP(Table9[[#This Row],[Shortname]], Comp[], 24, FALSE)</f>
        <v>0</v>
      </c>
      <c r="AB1137">
        <f>VLOOKUP(Table9[[#This Row],[Shortname]], Comp[], 25, FALSE)</f>
        <v>0</v>
      </c>
      <c r="AC1137">
        <f>VLOOKUP(Table9[[#This Row],[Shortname]], Comp[], 26, FALSE)</f>
        <v>0</v>
      </c>
      <c r="AD1137">
        <f>VLOOKUP(Table9[[#This Row],[Shortname]], Comp[], 27, FALSE)</f>
        <v>0</v>
      </c>
      <c r="AE1137">
        <f>VLOOKUP(Table9[[#This Row],[Shortname]], Comp[], 28, FALSE)</f>
        <v>0</v>
      </c>
      <c r="AF1137">
        <f>VLOOKUP(Table9[[#This Row],[Shortname]], Comp[], 29, FALSE)</f>
        <v>0</v>
      </c>
      <c r="AG1137">
        <f>VLOOKUP(Table9[[#This Row],[Shortname]], Comp[], 30, FALSE)</f>
        <v>0</v>
      </c>
      <c r="AH1137">
        <f>VLOOKUP(Table9[[#This Row],[Shortname]], Comp[], 31, FALSE)</f>
        <v>0</v>
      </c>
    </row>
    <row r="1138" spans="1:34" x14ac:dyDescent="0.3">
      <c r="A1138" t="s">
        <v>6095</v>
      </c>
      <c r="B1138" t="s">
        <v>5803</v>
      </c>
      <c r="C1138" t="s">
        <v>6087</v>
      </c>
      <c r="D1138">
        <v>467</v>
      </c>
      <c r="E1138">
        <v>25</v>
      </c>
      <c r="F1138">
        <v>1E-4</v>
      </c>
      <c r="G1138">
        <v>1</v>
      </c>
      <c r="H1138" t="s">
        <v>6803</v>
      </c>
      <c r="I1138">
        <f>VLOOKUP(Table9[[#This Row],[Shortname]], Comp[], 6, FALSE)</f>
        <v>993</v>
      </c>
      <c r="J1138" s="14">
        <f>VLOOKUP(Table9[[#This Row],[Shortname]], Comp[], 7, FALSE)</f>
        <v>51</v>
      </c>
      <c r="K1138">
        <f>VLOOKUP(Table9[[#This Row],[Shortname]], Comp[], 8, FALSE)</f>
        <v>30</v>
      </c>
      <c r="L1138">
        <f>VLOOKUP(Table9[[#This Row],[Shortname]], Comp[], 9, FALSE)</f>
        <v>10</v>
      </c>
      <c r="M1138">
        <f>VLOOKUP(Table9[[#This Row],[Shortname]], Comp[], 10, FALSE)</f>
        <v>0</v>
      </c>
      <c r="N1138">
        <f>VLOOKUP(Table9[[#This Row],[Shortname]], Comp[], 11, FALSE)</f>
        <v>2</v>
      </c>
      <c r="O1138">
        <f>VLOOKUP(Table9[[#This Row],[Shortname]], Comp[],12, FALSE)</f>
        <v>0</v>
      </c>
      <c r="P1138">
        <f>VLOOKUP(Table9[[#This Row],[Shortname]], Comp[], 13, FALSE)</f>
        <v>2</v>
      </c>
      <c r="Q1138">
        <f>VLOOKUP(Table9[[#This Row],[Shortname]], Comp[], 14, FALSE)</f>
        <v>0</v>
      </c>
      <c r="R1138">
        <f>VLOOKUP(Table9[[#This Row],[Shortname]], Comp[], 15, FALSE)</f>
        <v>5</v>
      </c>
      <c r="S1138">
        <f>VLOOKUP(Table9[[#This Row],[Shortname]], Comp[], 16, FALSE)</f>
        <v>0</v>
      </c>
      <c r="T1138">
        <f>VLOOKUP(Table9[[#This Row],[Shortname]], Comp[], 17, FALSE)</f>
        <v>0</v>
      </c>
      <c r="U1138">
        <f>VLOOKUP(Table9[[#This Row],[Shortname]], Comp[], 18, FALSE)</f>
        <v>0</v>
      </c>
      <c r="V1138">
        <f>VLOOKUP(Table9[[#This Row],[Shortname]], Comp[], 19, FALSE)</f>
        <v>0</v>
      </c>
      <c r="W1138">
        <f>VLOOKUP(Table9[[#This Row],[Shortname]], Comp[], 20, FALSE)</f>
        <v>0</v>
      </c>
      <c r="X1138">
        <f>VLOOKUP(Table9[[#This Row],[Shortname]], Comp[], 21, FALSE)</f>
        <v>0</v>
      </c>
      <c r="Y1138">
        <f>VLOOKUP(Table9[[#This Row],[Shortname]], Comp[], 22, FALSE)</f>
        <v>0</v>
      </c>
      <c r="Z1138">
        <f>VLOOKUP(Table9[[#This Row],[Shortname]], Comp[], 23, FALSE)</f>
        <v>0</v>
      </c>
      <c r="AA1138">
        <f>VLOOKUP(Table9[[#This Row],[Shortname]], Comp[], 24, FALSE)</f>
        <v>0</v>
      </c>
      <c r="AB1138">
        <f>VLOOKUP(Table9[[#This Row],[Shortname]], Comp[], 25, FALSE)</f>
        <v>0</v>
      </c>
      <c r="AC1138">
        <f>VLOOKUP(Table9[[#This Row],[Shortname]], Comp[], 26, FALSE)</f>
        <v>0</v>
      </c>
      <c r="AD1138">
        <f>VLOOKUP(Table9[[#This Row],[Shortname]], Comp[], 27, FALSE)</f>
        <v>0</v>
      </c>
      <c r="AE1138">
        <f>VLOOKUP(Table9[[#This Row],[Shortname]], Comp[], 28, FALSE)</f>
        <v>0</v>
      </c>
      <c r="AF1138">
        <f>VLOOKUP(Table9[[#This Row],[Shortname]], Comp[], 29, FALSE)</f>
        <v>0</v>
      </c>
      <c r="AG1138">
        <f>VLOOKUP(Table9[[#This Row],[Shortname]], Comp[], 30, FALSE)</f>
        <v>0</v>
      </c>
      <c r="AH1138">
        <f>VLOOKUP(Table9[[#This Row],[Shortname]], Comp[], 31, FALSE)</f>
        <v>0</v>
      </c>
    </row>
    <row r="1139" spans="1:34" x14ac:dyDescent="0.3">
      <c r="A1139" t="s">
        <v>6095</v>
      </c>
      <c r="B1139" t="s">
        <v>5803</v>
      </c>
      <c r="C1139" t="s">
        <v>6087</v>
      </c>
      <c r="D1139">
        <v>473</v>
      </c>
      <c r="E1139">
        <v>600</v>
      </c>
      <c r="F1139">
        <v>1E-4</v>
      </c>
      <c r="G1139">
        <v>1</v>
      </c>
      <c r="H1139" t="s">
        <v>6803</v>
      </c>
      <c r="I1139">
        <f>VLOOKUP(Table9[[#This Row],[Shortname]], Comp[], 6, FALSE)</f>
        <v>993</v>
      </c>
      <c r="J1139" s="14">
        <f>VLOOKUP(Table9[[#This Row],[Shortname]], Comp[], 7, FALSE)</f>
        <v>51</v>
      </c>
      <c r="K1139">
        <f>VLOOKUP(Table9[[#This Row],[Shortname]], Comp[], 8, FALSE)</f>
        <v>30</v>
      </c>
      <c r="L1139">
        <f>VLOOKUP(Table9[[#This Row],[Shortname]], Comp[], 9, FALSE)</f>
        <v>10</v>
      </c>
      <c r="M1139">
        <f>VLOOKUP(Table9[[#This Row],[Shortname]], Comp[], 10, FALSE)</f>
        <v>0</v>
      </c>
      <c r="N1139">
        <f>VLOOKUP(Table9[[#This Row],[Shortname]], Comp[], 11, FALSE)</f>
        <v>2</v>
      </c>
      <c r="O1139">
        <f>VLOOKUP(Table9[[#This Row],[Shortname]], Comp[],12, FALSE)</f>
        <v>0</v>
      </c>
      <c r="P1139">
        <f>VLOOKUP(Table9[[#This Row],[Shortname]], Comp[], 13, FALSE)</f>
        <v>2</v>
      </c>
      <c r="Q1139">
        <f>VLOOKUP(Table9[[#This Row],[Shortname]], Comp[], 14, FALSE)</f>
        <v>0</v>
      </c>
      <c r="R1139">
        <f>VLOOKUP(Table9[[#This Row],[Shortname]], Comp[], 15, FALSE)</f>
        <v>5</v>
      </c>
      <c r="S1139">
        <f>VLOOKUP(Table9[[#This Row],[Shortname]], Comp[], 16, FALSE)</f>
        <v>0</v>
      </c>
      <c r="T1139">
        <f>VLOOKUP(Table9[[#This Row],[Shortname]], Comp[], 17, FALSE)</f>
        <v>0</v>
      </c>
      <c r="U1139">
        <f>VLOOKUP(Table9[[#This Row],[Shortname]], Comp[], 18, FALSE)</f>
        <v>0</v>
      </c>
      <c r="V1139">
        <f>VLOOKUP(Table9[[#This Row],[Shortname]], Comp[], 19, FALSE)</f>
        <v>0</v>
      </c>
      <c r="W1139">
        <f>VLOOKUP(Table9[[#This Row],[Shortname]], Comp[], 20, FALSE)</f>
        <v>0</v>
      </c>
      <c r="X1139">
        <f>VLOOKUP(Table9[[#This Row],[Shortname]], Comp[], 21, FALSE)</f>
        <v>0</v>
      </c>
      <c r="Y1139">
        <f>VLOOKUP(Table9[[#This Row],[Shortname]], Comp[], 22, FALSE)</f>
        <v>0</v>
      </c>
      <c r="Z1139">
        <f>VLOOKUP(Table9[[#This Row],[Shortname]], Comp[], 23, FALSE)</f>
        <v>0</v>
      </c>
      <c r="AA1139">
        <f>VLOOKUP(Table9[[#This Row],[Shortname]], Comp[], 24, FALSE)</f>
        <v>0</v>
      </c>
      <c r="AB1139">
        <f>VLOOKUP(Table9[[#This Row],[Shortname]], Comp[], 25, FALSE)</f>
        <v>0</v>
      </c>
      <c r="AC1139">
        <f>VLOOKUP(Table9[[#This Row],[Shortname]], Comp[], 26, FALSE)</f>
        <v>0</v>
      </c>
      <c r="AD1139">
        <f>VLOOKUP(Table9[[#This Row],[Shortname]], Comp[], 27, FALSE)</f>
        <v>0</v>
      </c>
      <c r="AE1139">
        <f>VLOOKUP(Table9[[#This Row],[Shortname]], Comp[], 28, FALSE)</f>
        <v>0</v>
      </c>
      <c r="AF1139">
        <f>VLOOKUP(Table9[[#This Row],[Shortname]], Comp[], 29, FALSE)</f>
        <v>0</v>
      </c>
      <c r="AG1139">
        <f>VLOOKUP(Table9[[#This Row],[Shortname]], Comp[], 30, FALSE)</f>
        <v>0</v>
      </c>
      <c r="AH1139">
        <f>VLOOKUP(Table9[[#This Row],[Shortname]], Comp[], 31, FALSE)</f>
        <v>0</v>
      </c>
    </row>
    <row r="1140" spans="1:34" x14ac:dyDescent="0.3">
      <c r="A1140" t="s">
        <v>6095</v>
      </c>
      <c r="B1140" t="s">
        <v>5803</v>
      </c>
      <c r="C1140" t="s">
        <v>6087</v>
      </c>
      <c r="D1140">
        <v>573</v>
      </c>
      <c r="E1140">
        <v>700</v>
      </c>
      <c r="F1140">
        <v>1E-4</v>
      </c>
      <c r="G1140">
        <v>1</v>
      </c>
      <c r="H1140" t="s">
        <v>6803</v>
      </c>
      <c r="I1140">
        <f>VLOOKUP(Table9[[#This Row],[Shortname]], Comp[], 6, FALSE)</f>
        <v>993</v>
      </c>
      <c r="J1140" s="14">
        <f>VLOOKUP(Table9[[#This Row],[Shortname]], Comp[], 7, FALSE)</f>
        <v>51</v>
      </c>
      <c r="K1140">
        <f>VLOOKUP(Table9[[#This Row],[Shortname]], Comp[], 8, FALSE)</f>
        <v>30</v>
      </c>
      <c r="L1140">
        <f>VLOOKUP(Table9[[#This Row],[Shortname]], Comp[], 9, FALSE)</f>
        <v>10</v>
      </c>
      <c r="M1140">
        <f>VLOOKUP(Table9[[#This Row],[Shortname]], Comp[], 10, FALSE)</f>
        <v>0</v>
      </c>
      <c r="N1140">
        <f>VLOOKUP(Table9[[#This Row],[Shortname]], Comp[], 11, FALSE)</f>
        <v>2</v>
      </c>
      <c r="O1140">
        <f>VLOOKUP(Table9[[#This Row],[Shortname]], Comp[],12, FALSE)</f>
        <v>0</v>
      </c>
      <c r="P1140">
        <f>VLOOKUP(Table9[[#This Row],[Shortname]], Comp[], 13, FALSE)</f>
        <v>2</v>
      </c>
      <c r="Q1140">
        <f>VLOOKUP(Table9[[#This Row],[Shortname]], Comp[], 14, FALSE)</f>
        <v>0</v>
      </c>
      <c r="R1140">
        <f>VLOOKUP(Table9[[#This Row],[Shortname]], Comp[], 15, FALSE)</f>
        <v>5</v>
      </c>
      <c r="S1140">
        <f>VLOOKUP(Table9[[#This Row],[Shortname]], Comp[], 16, FALSE)</f>
        <v>0</v>
      </c>
      <c r="T1140">
        <f>VLOOKUP(Table9[[#This Row],[Shortname]], Comp[], 17, FALSE)</f>
        <v>0</v>
      </c>
      <c r="U1140">
        <f>VLOOKUP(Table9[[#This Row],[Shortname]], Comp[], 18, FALSE)</f>
        <v>0</v>
      </c>
      <c r="V1140">
        <f>VLOOKUP(Table9[[#This Row],[Shortname]], Comp[], 19, FALSE)</f>
        <v>0</v>
      </c>
      <c r="W1140">
        <f>VLOOKUP(Table9[[#This Row],[Shortname]], Comp[], 20, FALSE)</f>
        <v>0</v>
      </c>
      <c r="X1140">
        <f>VLOOKUP(Table9[[#This Row],[Shortname]], Comp[], 21, FALSE)</f>
        <v>0</v>
      </c>
      <c r="Y1140">
        <f>VLOOKUP(Table9[[#This Row],[Shortname]], Comp[], 22, FALSE)</f>
        <v>0</v>
      </c>
      <c r="Z1140">
        <f>VLOOKUP(Table9[[#This Row],[Shortname]], Comp[], 23, FALSE)</f>
        <v>0</v>
      </c>
      <c r="AA1140">
        <f>VLOOKUP(Table9[[#This Row],[Shortname]], Comp[], 24, FALSE)</f>
        <v>0</v>
      </c>
      <c r="AB1140">
        <f>VLOOKUP(Table9[[#This Row],[Shortname]], Comp[], 25, FALSE)</f>
        <v>0</v>
      </c>
      <c r="AC1140">
        <f>VLOOKUP(Table9[[#This Row],[Shortname]], Comp[], 26, FALSE)</f>
        <v>0</v>
      </c>
      <c r="AD1140">
        <f>VLOOKUP(Table9[[#This Row],[Shortname]], Comp[], 27, FALSE)</f>
        <v>0</v>
      </c>
      <c r="AE1140">
        <f>VLOOKUP(Table9[[#This Row],[Shortname]], Comp[], 28, FALSE)</f>
        <v>0</v>
      </c>
      <c r="AF1140">
        <f>VLOOKUP(Table9[[#This Row],[Shortname]], Comp[], 29, FALSE)</f>
        <v>0</v>
      </c>
      <c r="AG1140">
        <f>VLOOKUP(Table9[[#This Row],[Shortname]], Comp[], 30, FALSE)</f>
        <v>0</v>
      </c>
      <c r="AH1140">
        <f>VLOOKUP(Table9[[#This Row],[Shortname]], Comp[], 31, FALSE)</f>
        <v>0</v>
      </c>
    </row>
    <row r="1141" spans="1:34" x14ac:dyDescent="0.3">
      <c r="A1141" t="s">
        <v>6095</v>
      </c>
      <c r="B1141" t="s">
        <v>5803</v>
      </c>
      <c r="C1141" t="s">
        <v>6087</v>
      </c>
      <c r="D1141">
        <v>404</v>
      </c>
      <c r="E1141">
        <v>800</v>
      </c>
      <c r="F1141">
        <v>1E-4</v>
      </c>
      <c r="G1141">
        <v>1</v>
      </c>
      <c r="H1141" t="s">
        <v>6803</v>
      </c>
      <c r="I1141">
        <f>VLOOKUP(Table9[[#This Row],[Shortname]], Comp[], 6, FALSE)</f>
        <v>993</v>
      </c>
      <c r="J1141" s="14">
        <f>VLOOKUP(Table9[[#This Row],[Shortname]], Comp[], 7, FALSE)</f>
        <v>51</v>
      </c>
      <c r="K1141">
        <f>VLOOKUP(Table9[[#This Row],[Shortname]], Comp[], 8, FALSE)</f>
        <v>30</v>
      </c>
      <c r="L1141">
        <f>VLOOKUP(Table9[[#This Row],[Shortname]], Comp[], 9, FALSE)</f>
        <v>10</v>
      </c>
      <c r="M1141">
        <f>VLOOKUP(Table9[[#This Row],[Shortname]], Comp[], 10, FALSE)</f>
        <v>0</v>
      </c>
      <c r="N1141">
        <f>VLOOKUP(Table9[[#This Row],[Shortname]], Comp[], 11, FALSE)</f>
        <v>2</v>
      </c>
      <c r="O1141">
        <f>VLOOKUP(Table9[[#This Row],[Shortname]], Comp[],12, FALSE)</f>
        <v>0</v>
      </c>
      <c r="P1141">
        <f>VLOOKUP(Table9[[#This Row],[Shortname]], Comp[], 13, FALSE)</f>
        <v>2</v>
      </c>
      <c r="Q1141">
        <f>VLOOKUP(Table9[[#This Row],[Shortname]], Comp[], 14, FALSE)</f>
        <v>0</v>
      </c>
      <c r="R1141">
        <f>VLOOKUP(Table9[[#This Row],[Shortname]], Comp[], 15, FALSE)</f>
        <v>5</v>
      </c>
      <c r="S1141">
        <f>VLOOKUP(Table9[[#This Row],[Shortname]], Comp[], 16, FALSE)</f>
        <v>0</v>
      </c>
      <c r="T1141">
        <f>VLOOKUP(Table9[[#This Row],[Shortname]], Comp[], 17, FALSE)</f>
        <v>0</v>
      </c>
      <c r="U1141">
        <f>VLOOKUP(Table9[[#This Row],[Shortname]], Comp[], 18, FALSE)</f>
        <v>0</v>
      </c>
      <c r="V1141">
        <f>VLOOKUP(Table9[[#This Row],[Shortname]], Comp[], 19, FALSE)</f>
        <v>0</v>
      </c>
      <c r="W1141">
        <f>VLOOKUP(Table9[[#This Row],[Shortname]], Comp[], 20, FALSE)</f>
        <v>0</v>
      </c>
      <c r="X1141">
        <f>VLOOKUP(Table9[[#This Row],[Shortname]], Comp[], 21, FALSE)</f>
        <v>0</v>
      </c>
      <c r="Y1141">
        <f>VLOOKUP(Table9[[#This Row],[Shortname]], Comp[], 22, FALSE)</f>
        <v>0</v>
      </c>
      <c r="Z1141">
        <f>VLOOKUP(Table9[[#This Row],[Shortname]], Comp[], 23, FALSE)</f>
        <v>0</v>
      </c>
      <c r="AA1141">
        <f>VLOOKUP(Table9[[#This Row],[Shortname]], Comp[], 24, FALSE)</f>
        <v>0</v>
      </c>
      <c r="AB1141">
        <f>VLOOKUP(Table9[[#This Row],[Shortname]], Comp[], 25, FALSE)</f>
        <v>0</v>
      </c>
      <c r="AC1141">
        <f>VLOOKUP(Table9[[#This Row],[Shortname]], Comp[], 26, FALSE)</f>
        <v>0</v>
      </c>
      <c r="AD1141">
        <f>VLOOKUP(Table9[[#This Row],[Shortname]], Comp[], 27, FALSE)</f>
        <v>0</v>
      </c>
      <c r="AE1141">
        <f>VLOOKUP(Table9[[#This Row],[Shortname]], Comp[], 28, FALSE)</f>
        <v>0</v>
      </c>
      <c r="AF1141">
        <f>VLOOKUP(Table9[[#This Row],[Shortname]], Comp[], 29, FALSE)</f>
        <v>0</v>
      </c>
      <c r="AG1141">
        <f>VLOOKUP(Table9[[#This Row],[Shortname]], Comp[], 30, FALSE)</f>
        <v>0</v>
      </c>
      <c r="AH1141">
        <f>VLOOKUP(Table9[[#This Row],[Shortname]], Comp[], 31, FALSE)</f>
        <v>0</v>
      </c>
    </row>
    <row r="1142" spans="1:34" x14ac:dyDescent="0.3">
      <c r="A1142" t="s">
        <v>6095</v>
      </c>
      <c r="B1142" t="s">
        <v>5803</v>
      </c>
      <c r="C1142" t="s">
        <v>6087</v>
      </c>
      <c r="D1142">
        <v>260</v>
      </c>
      <c r="E1142">
        <v>900</v>
      </c>
      <c r="F1142">
        <v>1E-4</v>
      </c>
      <c r="G1142">
        <v>1</v>
      </c>
      <c r="H1142" t="s">
        <v>6803</v>
      </c>
      <c r="I1142">
        <f>VLOOKUP(Table9[[#This Row],[Shortname]], Comp[], 6, FALSE)</f>
        <v>993</v>
      </c>
      <c r="J1142" s="14">
        <f>VLOOKUP(Table9[[#This Row],[Shortname]], Comp[], 7, FALSE)</f>
        <v>51</v>
      </c>
      <c r="K1142">
        <f>VLOOKUP(Table9[[#This Row],[Shortname]], Comp[], 8, FALSE)</f>
        <v>30</v>
      </c>
      <c r="L1142">
        <f>VLOOKUP(Table9[[#This Row],[Shortname]], Comp[], 9, FALSE)</f>
        <v>10</v>
      </c>
      <c r="M1142">
        <f>VLOOKUP(Table9[[#This Row],[Shortname]], Comp[], 10, FALSE)</f>
        <v>0</v>
      </c>
      <c r="N1142">
        <f>VLOOKUP(Table9[[#This Row],[Shortname]], Comp[], 11, FALSE)</f>
        <v>2</v>
      </c>
      <c r="O1142">
        <f>VLOOKUP(Table9[[#This Row],[Shortname]], Comp[],12, FALSE)</f>
        <v>0</v>
      </c>
      <c r="P1142">
        <f>VLOOKUP(Table9[[#This Row],[Shortname]], Comp[], 13, FALSE)</f>
        <v>2</v>
      </c>
      <c r="Q1142">
        <f>VLOOKUP(Table9[[#This Row],[Shortname]], Comp[], 14, FALSE)</f>
        <v>0</v>
      </c>
      <c r="R1142">
        <f>VLOOKUP(Table9[[#This Row],[Shortname]], Comp[], 15, FALSE)</f>
        <v>5</v>
      </c>
      <c r="S1142">
        <f>VLOOKUP(Table9[[#This Row],[Shortname]], Comp[], 16, FALSE)</f>
        <v>0</v>
      </c>
      <c r="T1142">
        <f>VLOOKUP(Table9[[#This Row],[Shortname]], Comp[], 17, FALSE)</f>
        <v>0</v>
      </c>
      <c r="U1142">
        <f>VLOOKUP(Table9[[#This Row],[Shortname]], Comp[], 18, FALSE)</f>
        <v>0</v>
      </c>
      <c r="V1142">
        <f>VLOOKUP(Table9[[#This Row],[Shortname]], Comp[], 19, FALSE)</f>
        <v>0</v>
      </c>
      <c r="W1142">
        <f>VLOOKUP(Table9[[#This Row],[Shortname]], Comp[], 20, FALSE)</f>
        <v>0</v>
      </c>
      <c r="X1142">
        <f>VLOOKUP(Table9[[#This Row],[Shortname]], Comp[], 21, FALSE)</f>
        <v>0</v>
      </c>
      <c r="Y1142">
        <f>VLOOKUP(Table9[[#This Row],[Shortname]], Comp[], 22, FALSE)</f>
        <v>0</v>
      </c>
      <c r="Z1142">
        <f>VLOOKUP(Table9[[#This Row],[Shortname]], Comp[], 23, FALSE)</f>
        <v>0</v>
      </c>
      <c r="AA1142">
        <f>VLOOKUP(Table9[[#This Row],[Shortname]], Comp[], 24, FALSE)</f>
        <v>0</v>
      </c>
      <c r="AB1142">
        <f>VLOOKUP(Table9[[#This Row],[Shortname]], Comp[], 25, FALSE)</f>
        <v>0</v>
      </c>
      <c r="AC1142">
        <f>VLOOKUP(Table9[[#This Row],[Shortname]], Comp[], 26, FALSE)</f>
        <v>0</v>
      </c>
      <c r="AD1142">
        <f>VLOOKUP(Table9[[#This Row],[Shortname]], Comp[], 27, FALSE)</f>
        <v>0</v>
      </c>
      <c r="AE1142">
        <f>VLOOKUP(Table9[[#This Row],[Shortname]], Comp[], 28, FALSE)</f>
        <v>0</v>
      </c>
      <c r="AF1142">
        <f>VLOOKUP(Table9[[#This Row],[Shortname]], Comp[], 29, FALSE)</f>
        <v>0</v>
      </c>
      <c r="AG1142">
        <f>VLOOKUP(Table9[[#This Row],[Shortname]], Comp[], 30, FALSE)</f>
        <v>0</v>
      </c>
      <c r="AH1142">
        <f>VLOOKUP(Table9[[#This Row],[Shortname]], Comp[], 31, FALSE)</f>
        <v>0</v>
      </c>
    </row>
    <row r="1143" spans="1:34" x14ac:dyDescent="0.3">
      <c r="A1143" t="s">
        <v>6125</v>
      </c>
      <c r="B1143" t="s">
        <v>6126</v>
      </c>
      <c r="C1143" t="s">
        <v>6127</v>
      </c>
      <c r="D1143">
        <v>540</v>
      </c>
      <c r="E1143">
        <v>650</v>
      </c>
      <c r="F1143">
        <v>1E-4</v>
      </c>
      <c r="G1143">
        <v>1</v>
      </c>
      <c r="H1143" t="s">
        <v>6803</v>
      </c>
      <c r="I1143">
        <f>VLOOKUP(Table9[[#This Row],[Shortname]], Comp[], 6, FALSE)</f>
        <v>1001</v>
      </c>
      <c r="J1143" s="14">
        <f>VLOOKUP(Table9[[#This Row],[Shortname]], Comp[], 7, FALSE)</f>
        <v>46.150000000000006</v>
      </c>
      <c r="K1143">
        <f>VLOOKUP(Table9[[#This Row],[Shortname]], Comp[], 8, FALSE)</f>
        <v>29.99</v>
      </c>
      <c r="L1143">
        <f>VLOOKUP(Table9[[#This Row],[Shortname]], Comp[], 9, FALSE)</f>
        <v>11.74</v>
      </c>
      <c r="M1143">
        <f>VLOOKUP(Table9[[#This Row],[Shortname]], Comp[], 10, FALSE)</f>
        <v>0</v>
      </c>
      <c r="N1143">
        <f>VLOOKUP(Table9[[#This Row],[Shortname]], Comp[], 11, FALSE)</f>
        <v>5.48</v>
      </c>
      <c r="O1143">
        <f>VLOOKUP(Table9[[#This Row],[Shortname]], Comp[],12, FALSE)</f>
        <v>4.0599999999999996</v>
      </c>
      <c r="P1143">
        <f>VLOOKUP(Table9[[#This Row],[Shortname]], Comp[], 13, FALSE)</f>
        <v>2.5</v>
      </c>
      <c r="Q1143">
        <f>VLOOKUP(Table9[[#This Row],[Shortname]], Comp[], 14, FALSE)</f>
        <v>0</v>
      </c>
      <c r="R1143">
        <f>VLOOKUP(Table9[[#This Row],[Shortname]], Comp[], 15, FALSE)</f>
        <v>0</v>
      </c>
      <c r="S1143">
        <f>VLOOKUP(Table9[[#This Row],[Shortname]], Comp[], 16, FALSE)</f>
        <v>0</v>
      </c>
      <c r="T1143">
        <f>VLOOKUP(Table9[[#This Row],[Shortname]], Comp[], 17, FALSE)</f>
        <v>0</v>
      </c>
      <c r="U1143">
        <f>VLOOKUP(Table9[[#This Row],[Shortname]], Comp[], 18, FALSE)</f>
        <v>0</v>
      </c>
      <c r="V1143">
        <f>VLOOKUP(Table9[[#This Row],[Shortname]], Comp[], 19, FALSE)</f>
        <v>0.08</v>
      </c>
      <c r="W1143">
        <f>VLOOKUP(Table9[[#This Row],[Shortname]], Comp[], 20, FALSE)</f>
        <v>0</v>
      </c>
      <c r="X1143">
        <f>VLOOKUP(Table9[[#This Row],[Shortname]], Comp[], 21, FALSE)</f>
        <v>0</v>
      </c>
      <c r="Y1143">
        <f>VLOOKUP(Table9[[#This Row],[Shortname]], Comp[], 22, FALSE)</f>
        <v>0</v>
      </c>
      <c r="Z1143">
        <f>VLOOKUP(Table9[[#This Row],[Shortname]], Comp[], 23, FALSE)</f>
        <v>0</v>
      </c>
      <c r="AA1143">
        <f>VLOOKUP(Table9[[#This Row],[Shortname]], Comp[], 24, FALSE)</f>
        <v>0</v>
      </c>
      <c r="AB1143">
        <f>VLOOKUP(Table9[[#This Row],[Shortname]], Comp[], 25, FALSE)</f>
        <v>0</v>
      </c>
      <c r="AC1143">
        <f>VLOOKUP(Table9[[#This Row],[Shortname]], Comp[], 26, FALSE)</f>
        <v>0</v>
      </c>
      <c r="AD1143">
        <f>VLOOKUP(Table9[[#This Row],[Shortname]], Comp[], 27, FALSE)</f>
        <v>0</v>
      </c>
      <c r="AE1143">
        <f>VLOOKUP(Table9[[#This Row],[Shortname]], Comp[], 28, FALSE)</f>
        <v>0</v>
      </c>
      <c r="AF1143">
        <f>VLOOKUP(Table9[[#This Row],[Shortname]], Comp[], 29, FALSE)</f>
        <v>0</v>
      </c>
      <c r="AG1143">
        <f>VLOOKUP(Table9[[#This Row],[Shortname]], Comp[], 30, FALSE)</f>
        <v>0</v>
      </c>
      <c r="AH1143">
        <f>VLOOKUP(Table9[[#This Row],[Shortname]], Comp[], 31, FALSE)</f>
        <v>0</v>
      </c>
    </row>
    <row r="1144" spans="1:34" x14ac:dyDescent="0.3">
      <c r="A1144" t="s">
        <v>6125</v>
      </c>
      <c r="B1144" t="s">
        <v>6126</v>
      </c>
      <c r="C1144" t="s">
        <v>6127</v>
      </c>
      <c r="D1144">
        <v>632</v>
      </c>
      <c r="E1144">
        <v>750</v>
      </c>
      <c r="F1144">
        <v>1E-4</v>
      </c>
      <c r="G1144">
        <v>1</v>
      </c>
      <c r="H1144" t="s">
        <v>6803</v>
      </c>
      <c r="I1144">
        <f>VLOOKUP(Table9[[#This Row],[Shortname]], Comp[], 6, FALSE)</f>
        <v>1001</v>
      </c>
      <c r="J1144" s="14">
        <f>VLOOKUP(Table9[[#This Row],[Shortname]], Comp[], 7, FALSE)</f>
        <v>46.150000000000006</v>
      </c>
      <c r="K1144">
        <f>VLOOKUP(Table9[[#This Row],[Shortname]], Comp[], 8, FALSE)</f>
        <v>29.99</v>
      </c>
      <c r="L1144">
        <f>VLOOKUP(Table9[[#This Row],[Shortname]], Comp[], 9, FALSE)</f>
        <v>11.74</v>
      </c>
      <c r="M1144">
        <f>VLOOKUP(Table9[[#This Row],[Shortname]], Comp[], 10, FALSE)</f>
        <v>0</v>
      </c>
      <c r="N1144">
        <f>VLOOKUP(Table9[[#This Row],[Shortname]], Comp[], 11, FALSE)</f>
        <v>5.48</v>
      </c>
      <c r="O1144">
        <f>VLOOKUP(Table9[[#This Row],[Shortname]], Comp[],12, FALSE)</f>
        <v>4.0599999999999996</v>
      </c>
      <c r="P1144">
        <f>VLOOKUP(Table9[[#This Row],[Shortname]], Comp[], 13, FALSE)</f>
        <v>2.5</v>
      </c>
      <c r="Q1144">
        <f>VLOOKUP(Table9[[#This Row],[Shortname]], Comp[], 14, FALSE)</f>
        <v>0</v>
      </c>
      <c r="R1144">
        <f>VLOOKUP(Table9[[#This Row],[Shortname]], Comp[], 15, FALSE)</f>
        <v>0</v>
      </c>
      <c r="S1144">
        <f>VLOOKUP(Table9[[#This Row],[Shortname]], Comp[], 16, FALSE)</f>
        <v>0</v>
      </c>
      <c r="T1144">
        <f>VLOOKUP(Table9[[#This Row],[Shortname]], Comp[], 17, FALSE)</f>
        <v>0</v>
      </c>
      <c r="U1144">
        <f>VLOOKUP(Table9[[#This Row],[Shortname]], Comp[], 18, FALSE)</f>
        <v>0</v>
      </c>
      <c r="V1144">
        <f>VLOOKUP(Table9[[#This Row],[Shortname]], Comp[], 19, FALSE)</f>
        <v>0.08</v>
      </c>
      <c r="W1144">
        <f>VLOOKUP(Table9[[#This Row],[Shortname]], Comp[], 20, FALSE)</f>
        <v>0</v>
      </c>
      <c r="X1144">
        <f>VLOOKUP(Table9[[#This Row],[Shortname]], Comp[], 21, FALSE)</f>
        <v>0</v>
      </c>
      <c r="Y1144">
        <f>VLOOKUP(Table9[[#This Row],[Shortname]], Comp[], 22, FALSE)</f>
        <v>0</v>
      </c>
      <c r="Z1144">
        <f>VLOOKUP(Table9[[#This Row],[Shortname]], Comp[], 23, FALSE)</f>
        <v>0</v>
      </c>
      <c r="AA1144">
        <f>VLOOKUP(Table9[[#This Row],[Shortname]], Comp[], 24, FALSE)</f>
        <v>0</v>
      </c>
      <c r="AB1144">
        <f>VLOOKUP(Table9[[#This Row],[Shortname]], Comp[], 25, FALSE)</f>
        <v>0</v>
      </c>
      <c r="AC1144">
        <f>VLOOKUP(Table9[[#This Row],[Shortname]], Comp[], 26, FALSE)</f>
        <v>0</v>
      </c>
      <c r="AD1144">
        <f>VLOOKUP(Table9[[#This Row],[Shortname]], Comp[], 27, FALSE)</f>
        <v>0</v>
      </c>
      <c r="AE1144">
        <f>VLOOKUP(Table9[[#This Row],[Shortname]], Comp[], 28, FALSE)</f>
        <v>0</v>
      </c>
      <c r="AF1144">
        <f>VLOOKUP(Table9[[#This Row],[Shortname]], Comp[], 29, FALSE)</f>
        <v>0</v>
      </c>
      <c r="AG1144">
        <f>VLOOKUP(Table9[[#This Row],[Shortname]], Comp[], 30, FALSE)</f>
        <v>0</v>
      </c>
      <c r="AH1144">
        <f>VLOOKUP(Table9[[#This Row],[Shortname]], Comp[], 31, FALSE)</f>
        <v>0</v>
      </c>
    </row>
    <row r="1145" spans="1:34" x14ac:dyDescent="0.3">
      <c r="A1145" t="s">
        <v>6125</v>
      </c>
      <c r="B1145" t="s">
        <v>6126</v>
      </c>
      <c r="C1145" t="s">
        <v>6127</v>
      </c>
      <c r="D1145">
        <v>674</v>
      </c>
      <c r="E1145">
        <v>850</v>
      </c>
      <c r="F1145">
        <v>1E-4</v>
      </c>
      <c r="G1145">
        <v>1</v>
      </c>
      <c r="H1145" t="s">
        <v>6803</v>
      </c>
      <c r="I1145">
        <f>VLOOKUP(Table9[[#This Row],[Shortname]], Comp[], 6, FALSE)</f>
        <v>1001</v>
      </c>
      <c r="J1145" s="14">
        <f>VLOOKUP(Table9[[#This Row],[Shortname]], Comp[], 7, FALSE)</f>
        <v>46.150000000000006</v>
      </c>
      <c r="K1145">
        <f>VLOOKUP(Table9[[#This Row],[Shortname]], Comp[], 8, FALSE)</f>
        <v>29.99</v>
      </c>
      <c r="L1145">
        <f>VLOOKUP(Table9[[#This Row],[Shortname]], Comp[], 9, FALSE)</f>
        <v>11.74</v>
      </c>
      <c r="M1145">
        <f>VLOOKUP(Table9[[#This Row],[Shortname]], Comp[], 10, FALSE)</f>
        <v>0</v>
      </c>
      <c r="N1145">
        <f>VLOOKUP(Table9[[#This Row],[Shortname]], Comp[], 11, FALSE)</f>
        <v>5.48</v>
      </c>
      <c r="O1145">
        <f>VLOOKUP(Table9[[#This Row],[Shortname]], Comp[],12, FALSE)</f>
        <v>4.0599999999999996</v>
      </c>
      <c r="P1145">
        <f>VLOOKUP(Table9[[#This Row],[Shortname]], Comp[], 13, FALSE)</f>
        <v>2.5</v>
      </c>
      <c r="Q1145">
        <f>VLOOKUP(Table9[[#This Row],[Shortname]], Comp[], 14, FALSE)</f>
        <v>0</v>
      </c>
      <c r="R1145">
        <f>VLOOKUP(Table9[[#This Row],[Shortname]], Comp[], 15, FALSE)</f>
        <v>0</v>
      </c>
      <c r="S1145">
        <f>VLOOKUP(Table9[[#This Row],[Shortname]], Comp[], 16, FALSE)</f>
        <v>0</v>
      </c>
      <c r="T1145">
        <f>VLOOKUP(Table9[[#This Row],[Shortname]], Comp[], 17, FALSE)</f>
        <v>0</v>
      </c>
      <c r="U1145">
        <f>VLOOKUP(Table9[[#This Row],[Shortname]], Comp[], 18, FALSE)</f>
        <v>0</v>
      </c>
      <c r="V1145">
        <f>VLOOKUP(Table9[[#This Row],[Shortname]], Comp[], 19, FALSE)</f>
        <v>0.08</v>
      </c>
      <c r="W1145">
        <f>VLOOKUP(Table9[[#This Row],[Shortname]], Comp[], 20, FALSE)</f>
        <v>0</v>
      </c>
      <c r="X1145">
        <f>VLOOKUP(Table9[[#This Row],[Shortname]], Comp[], 21, FALSE)</f>
        <v>0</v>
      </c>
      <c r="Y1145">
        <f>VLOOKUP(Table9[[#This Row],[Shortname]], Comp[], 22, FALSE)</f>
        <v>0</v>
      </c>
      <c r="Z1145">
        <f>VLOOKUP(Table9[[#This Row],[Shortname]], Comp[], 23, FALSE)</f>
        <v>0</v>
      </c>
      <c r="AA1145">
        <f>VLOOKUP(Table9[[#This Row],[Shortname]], Comp[], 24, FALSE)</f>
        <v>0</v>
      </c>
      <c r="AB1145">
        <f>VLOOKUP(Table9[[#This Row],[Shortname]], Comp[], 25, FALSE)</f>
        <v>0</v>
      </c>
      <c r="AC1145">
        <f>VLOOKUP(Table9[[#This Row],[Shortname]], Comp[], 26, FALSE)</f>
        <v>0</v>
      </c>
      <c r="AD1145">
        <f>VLOOKUP(Table9[[#This Row],[Shortname]], Comp[], 27, FALSE)</f>
        <v>0</v>
      </c>
      <c r="AE1145">
        <f>VLOOKUP(Table9[[#This Row],[Shortname]], Comp[], 28, FALSE)</f>
        <v>0</v>
      </c>
      <c r="AF1145">
        <f>VLOOKUP(Table9[[#This Row],[Shortname]], Comp[], 29, FALSE)</f>
        <v>0</v>
      </c>
      <c r="AG1145">
        <f>VLOOKUP(Table9[[#This Row],[Shortname]], Comp[], 30, FALSE)</f>
        <v>0</v>
      </c>
      <c r="AH1145">
        <f>VLOOKUP(Table9[[#This Row],[Shortname]], Comp[], 31, FALSE)</f>
        <v>0</v>
      </c>
    </row>
    <row r="1146" spans="1:34" x14ac:dyDescent="0.3">
      <c r="A1146" t="s">
        <v>6125</v>
      </c>
      <c r="B1146" t="s">
        <v>6126</v>
      </c>
      <c r="C1146" t="s">
        <v>6127</v>
      </c>
      <c r="D1146">
        <v>524</v>
      </c>
      <c r="E1146">
        <v>950</v>
      </c>
      <c r="F1146">
        <v>1E-4</v>
      </c>
      <c r="G1146">
        <v>1</v>
      </c>
      <c r="H1146" t="s">
        <v>6803</v>
      </c>
      <c r="I1146">
        <f>VLOOKUP(Table9[[#This Row],[Shortname]], Comp[], 6, FALSE)</f>
        <v>1001</v>
      </c>
      <c r="J1146" s="14">
        <f>VLOOKUP(Table9[[#This Row],[Shortname]], Comp[], 7, FALSE)</f>
        <v>46.150000000000006</v>
      </c>
      <c r="K1146">
        <f>VLOOKUP(Table9[[#This Row],[Shortname]], Comp[], 8, FALSE)</f>
        <v>29.99</v>
      </c>
      <c r="L1146">
        <f>VLOOKUP(Table9[[#This Row],[Shortname]], Comp[], 9, FALSE)</f>
        <v>11.74</v>
      </c>
      <c r="M1146">
        <f>VLOOKUP(Table9[[#This Row],[Shortname]], Comp[], 10, FALSE)</f>
        <v>0</v>
      </c>
      <c r="N1146">
        <f>VLOOKUP(Table9[[#This Row],[Shortname]], Comp[], 11, FALSE)</f>
        <v>5.48</v>
      </c>
      <c r="O1146">
        <f>VLOOKUP(Table9[[#This Row],[Shortname]], Comp[],12, FALSE)</f>
        <v>4.0599999999999996</v>
      </c>
      <c r="P1146">
        <f>VLOOKUP(Table9[[#This Row],[Shortname]], Comp[], 13, FALSE)</f>
        <v>2.5</v>
      </c>
      <c r="Q1146">
        <f>VLOOKUP(Table9[[#This Row],[Shortname]], Comp[], 14, FALSE)</f>
        <v>0</v>
      </c>
      <c r="R1146">
        <f>VLOOKUP(Table9[[#This Row],[Shortname]], Comp[], 15, FALSE)</f>
        <v>0</v>
      </c>
      <c r="S1146">
        <f>VLOOKUP(Table9[[#This Row],[Shortname]], Comp[], 16, FALSE)</f>
        <v>0</v>
      </c>
      <c r="T1146">
        <f>VLOOKUP(Table9[[#This Row],[Shortname]], Comp[], 17, FALSE)</f>
        <v>0</v>
      </c>
      <c r="U1146">
        <f>VLOOKUP(Table9[[#This Row],[Shortname]], Comp[], 18, FALSE)</f>
        <v>0</v>
      </c>
      <c r="V1146">
        <f>VLOOKUP(Table9[[#This Row],[Shortname]], Comp[], 19, FALSE)</f>
        <v>0.08</v>
      </c>
      <c r="W1146">
        <f>VLOOKUP(Table9[[#This Row],[Shortname]], Comp[], 20, FALSE)</f>
        <v>0</v>
      </c>
      <c r="X1146">
        <f>VLOOKUP(Table9[[#This Row],[Shortname]], Comp[], 21, FALSE)</f>
        <v>0</v>
      </c>
      <c r="Y1146">
        <f>VLOOKUP(Table9[[#This Row],[Shortname]], Comp[], 22, FALSE)</f>
        <v>0</v>
      </c>
      <c r="Z1146">
        <f>VLOOKUP(Table9[[#This Row],[Shortname]], Comp[], 23, FALSE)</f>
        <v>0</v>
      </c>
      <c r="AA1146">
        <f>VLOOKUP(Table9[[#This Row],[Shortname]], Comp[], 24, FALSE)</f>
        <v>0</v>
      </c>
      <c r="AB1146">
        <f>VLOOKUP(Table9[[#This Row],[Shortname]], Comp[], 25, FALSE)</f>
        <v>0</v>
      </c>
      <c r="AC1146">
        <f>VLOOKUP(Table9[[#This Row],[Shortname]], Comp[], 26, FALSE)</f>
        <v>0</v>
      </c>
      <c r="AD1146">
        <f>VLOOKUP(Table9[[#This Row],[Shortname]], Comp[], 27, FALSE)</f>
        <v>0</v>
      </c>
      <c r="AE1146">
        <f>VLOOKUP(Table9[[#This Row],[Shortname]], Comp[], 28, FALSE)</f>
        <v>0</v>
      </c>
      <c r="AF1146">
        <f>VLOOKUP(Table9[[#This Row],[Shortname]], Comp[], 29, FALSE)</f>
        <v>0</v>
      </c>
      <c r="AG1146">
        <f>VLOOKUP(Table9[[#This Row],[Shortname]], Comp[], 30, FALSE)</f>
        <v>0</v>
      </c>
      <c r="AH1146">
        <f>VLOOKUP(Table9[[#This Row],[Shortname]], Comp[], 31, FALSE)</f>
        <v>0</v>
      </c>
    </row>
    <row r="1147" spans="1:34" x14ac:dyDescent="0.3">
      <c r="A1147" t="s">
        <v>6125</v>
      </c>
      <c r="B1147" t="s">
        <v>6126</v>
      </c>
      <c r="C1147" t="s">
        <v>6127</v>
      </c>
      <c r="D1147">
        <v>282</v>
      </c>
      <c r="E1147">
        <v>25</v>
      </c>
      <c r="F1147">
        <v>1E-4</v>
      </c>
      <c r="G1147">
        <v>1</v>
      </c>
      <c r="H1147" t="s">
        <v>6803</v>
      </c>
      <c r="I1147">
        <f>VLOOKUP(Table9[[#This Row],[Shortname]], Comp[], 6, FALSE)</f>
        <v>1001</v>
      </c>
      <c r="J1147" s="14">
        <f>VLOOKUP(Table9[[#This Row],[Shortname]], Comp[], 7, FALSE)</f>
        <v>46.150000000000006</v>
      </c>
      <c r="K1147">
        <f>VLOOKUP(Table9[[#This Row],[Shortname]], Comp[], 8, FALSE)</f>
        <v>29.99</v>
      </c>
      <c r="L1147">
        <f>VLOOKUP(Table9[[#This Row],[Shortname]], Comp[], 9, FALSE)</f>
        <v>11.74</v>
      </c>
      <c r="M1147">
        <f>VLOOKUP(Table9[[#This Row],[Shortname]], Comp[], 10, FALSE)</f>
        <v>0</v>
      </c>
      <c r="N1147">
        <f>VLOOKUP(Table9[[#This Row],[Shortname]], Comp[], 11, FALSE)</f>
        <v>5.48</v>
      </c>
      <c r="O1147">
        <f>VLOOKUP(Table9[[#This Row],[Shortname]], Comp[],12, FALSE)</f>
        <v>4.0599999999999996</v>
      </c>
      <c r="P1147">
        <f>VLOOKUP(Table9[[#This Row],[Shortname]], Comp[], 13, FALSE)</f>
        <v>2.5</v>
      </c>
      <c r="Q1147">
        <f>VLOOKUP(Table9[[#This Row],[Shortname]], Comp[], 14, FALSE)</f>
        <v>0</v>
      </c>
      <c r="R1147">
        <f>VLOOKUP(Table9[[#This Row],[Shortname]], Comp[], 15, FALSE)</f>
        <v>0</v>
      </c>
      <c r="S1147">
        <f>VLOOKUP(Table9[[#This Row],[Shortname]], Comp[], 16, FALSE)</f>
        <v>0</v>
      </c>
      <c r="T1147">
        <f>VLOOKUP(Table9[[#This Row],[Shortname]], Comp[], 17, FALSE)</f>
        <v>0</v>
      </c>
      <c r="U1147">
        <f>VLOOKUP(Table9[[#This Row],[Shortname]], Comp[], 18, FALSE)</f>
        <v>0</v>
      </c>
      <c r="V1147">
        <f>VLOOKUP(Table9[[#This Row],[Shortname]], Comp[], 19, FALSE)</f>
        <v>0.08</v>
      </c>
      <c r="W1147">
        <f>VLOOKUP(Table9[[#This Row],[Shortname]], Comp[], 20, FALSE)</f>
        <v>0</v>
      </c>
      <c r="X1147">
        <f>VLOOKUP(Table9[[#This Row],[Shortname]], Comp[], 21, FALSE)</f>
        <v>0</v>
      </c>
      <c r="Y1147">
        <f>VLOOKUP(Table9[[#This Row],[Shortname]], Comp[], 22, FALSE)</f>
        <v>0</v>
      </c>
      <c r="Z1147">
        <f>VLOOKUP(Table9[[#This Row],[Shortname]], Comp[], 23, FALSE)</f>
        <v>0</v>
      </c>
      <c r="AA1147">
        <f>VLOOKUP(Table9[[#This Row],[Shortname]], Comp[], 24, FALSE)</f>
        <v>0</v>
      </c>
      <c r="AB1147">
        <f>VLOOKUP(Table9[[#This Row],[Shortname]], Comp[], 25, FALSE)</f>
        <v>0</v>
      </c>
      <c r="AC1147">
        <f>VLOOKUP(Table9[[#This Row],[Shortname]], Comp[], 26, FALSE)</f>
        <v>0</v>
      </c>
      <c r="AD1147">
        <f>VLOOKUP(Table9[[#This Row],[Shortname]], Comp[], 27, FALSE)</f>
        <v>0</v>
      </c>
      <c r="AE1147">
        <f>VLOOKUP(Table9[[#This Row],[Shortname]], Comp[], 28, FALSE)</f>
        <v>0</v>
      </c>
      <c r="AF1147">
        <f>VLOOKUP(Table9[[#This Row],[Shortname]], Comp[], 29, FALSE)</f>
        <v>0</v>
      </c>
      <c r="AG1147">
        <f>VLOOKUP(Table9[[#This Row],[Shortname]], Comp[], 30, FALSE)</f>
        <v>0</v>
      </c>
      <c r="AH1147">
        <f>VLOOKUP(Table9[[#This Row],[Shortname]], Comp[], 31, FALSE)</f>
        <v>0</v>
      </c>
    </row>
    <row r="1148" spans="1:34" x14ac:dyDescent="0.3">
      <c r="A1148" t="s">
        <v>6125</v>
      </c>
      <c r="B1148" t="s">
        <v>6126</v>
      </c>
      <c r="C1148" t="s">
        <v>6127</v>
      </c>
      <c r="D1148">
        <v>533</v>
      </c>
      <c r="E1148">
        <v>650</v>
      </c>
      <c r="F1148">
        <v>1E-4</v>
      </c>
      <c r="G1148">
        <v>1</v>
      </c>
      <c r="H1148" t="s">
        <v>6803</v>
      </c>
      <c r="I1148">
        <f>VLOOKUP(Table9[[#This Row],[Shortname]], Comp[], 6, FALSE)</f>
        <v>1001</v>
      </c>
      <c r="J1148" s="14">
        <f>VLOOKUP(Table9[[#This Row],[Shortname]], Comp[], 7, FALSE)</f>
        <v>46.150000000000006</v>
      </c>
      <c r="K1148">
        <f>VLOOKUP(Table9[[#This Row],[Shortname]], Comp[], 8, FALSE)</f>
        <v>29.99</v>
      </c>
      <c r="L1148">
        <f>VLOOKUP(Table9[[#This Row],[Shortname]], Comp[], 9, FALSE)</f>
        <v>11.74</v>
      </c>
      <c r="M1148">
        <f>VLOOKUP(Table9[[#This Row],[Shortname]], Comp[], 10, FALSE)</f>
        <v>0</v>
      </c>
      <c r="N1148">
        <f>VLOOKUP(Table9[[#This Row],[Shortname]], Comp[], 11, FALSE)</f>
        <v>5.48</v>
      </c>
      <c r="O1148">
        <f>VLOOKUP(Table9[[#This Row],[Shortname]], Comp[],12, FALSE)</f>
        <v>4.0599999999999996</v>
      </c>
      <c r="P1148">
        <f>VLOOKUP(Table9[[#This Row],[Shortname]], Comp[], 13, FALSE)</f>
        <v>2.5</v>
      </c>
      <c r="Q1148">
        <f>VLOOKUP(Table9[[#This Row],[Shortname]], Comp[], 14, FALSE)</f>
        <v>0</v>
      </c>
      <c r="R1148">
        <f>VLOOKUP(Table9[[#This Row],[Shortname]], Comp[], 15, FALSE)</f>
        <v>0</v>
      </c>
      <c r="S1148">
        <f>VLOOKUP(Table9[[#This Row],[Shortname]], Comp[], 16, FALSE)</f>
        <v>0</v>
      </c>
      <c r="T1148">
        <f>VLOOKUP(Table9[[#This Row],[Shortname]], Comp[], 17, FALSE)</f>
        <v>0</v>
      </c>
      <c r="U1148">
        <f>VLOOKUP(Table9[[#This Row],[Shortname]], Comp[], 18, FALSE)</f>
        <v>0</v>
      </c>
      <c r="V1148">
        <f>VLOOKUP(Table9[[#This Row],[Shortname]], Comp[], 19, FALSE)</f>
        <v>0.08</v>
      </c>
      <c r="W1148">
        <f>VLOOKUP(Table9[[#This Row],[Shortname]], Comp[], 20, FALSE)</f>
        <v>0</v>
      </c>
      <c r="X1148">
        <f>VLOOKUP(Table9[[#This Row],[Shortname]], Comp[], 21, FALSE)</f>
        <v>0</v>
      </c>
      <c r="Y1148">
        <f>VLOOKUP(Table9[[#This Row],[Shortname]], Comp[], 22, FALSE)</f>
        <v>0</v>
      </c>
      <c r="Z1148">
        <f>VLOOKUP(Table9[[#This Row],[Shortname]], Comp[], 23, FALSE)</f>
        <v>0</v>
      </c>
      <c r="AA1148">
        <f>VLOOKUP(Table9[[#This Row],[Shortname]], Comp[], 24, FALSE)</f>
        <v>0</v>
      </c>
      <c r="AB1148">
        <f>VLOOKUP(Table9[[#This Row],[Shortname]], Comp[], 25, FALSE)</f>
        <v>0</v>
      </c>
      <c r="AC1148">
        <f>VLOOKUP(Table9[[#This Row],[Shortname]], Comp[], 26, FALSE)</f>
        <v>0</v>
      </c>
      <c r="AD1148">
        <f>VLOOKUP(Table9[[#This Row],[Shortname]], Comp[], 27, FALSE)</f>
        <v>0</v>
      </c>
      <c r="AE1148">
        <f>VLOOKUP(Table9[[#This Row],[Shortname]], Comp[], 28, FALSE)</f>
        <v>0</v>
      </c>
      <c r="AF1148">
        <f>VLOOKUP(Table9[[#This Row],[Shortname]], Comp[], 29, FALSE)</f>
        <v>0</v>
      </c>
      <c r="AG1148">
        <f>VLOOKUP(Table9[[#This Row],[Shortname]], Comp[], 30, FALSE)</f>
        <v>0</v>
      </c>
      <c r="AH1148">
        <f>VLOOKUP(Table9[[#This Row],[Shortname]], Comp[], 31, FALSE)</f>
        <v>0</v>
      </c>
    </row>
    <row r="1149" spans="1:34" x14ac:dyDescent="0.3">
      <c r="A1149" t="s">
        <v>6125</v>
      </c>
      <c r="B1149" t="s">
        <v>6126</v>
      </c>
      <c r="C1149" t="s">
        <v>6127</v>
      </c>
      <c r="D1149">
        <v>624</v>
      </c>
      <c r="E1149">
        <v>750</v>
      </c>
      <c r="F1149">
        <v>1E-4</v>
      </c>
      <c r="G1149">
        <v>1</v>
      </c>
      <c r="H1149" t="s">
        <v>6803</v>
      </c>
      <c r="I1149">
        <f>VLOOKUP(Table9[[#This Row],[Shortname]], Comp[], 6, FALSE)</f>
        <v>1001</v>
      </c>
      <c r="J1149" s="14">
        <f>VLOOKUP(Table9[[#This Row],[Shortname]], Comp[], 7, FALSE)</f>
        <v>46.150000000000006</v>
      </c>
      <c r="K1149">
        <f>VLOOKUP(Table9[[#This Row],[Shortname]], Comp[], 8, FALSE)</f>
        <v>29.99</v>
      </c>
      <c r="L1149">
        <f>VLOOKUP(Table9[[#This Row],[Shortname]], Comp[], 9, FALSE)</f>
        <v>11.74</v>
      </c>
      <c r="M1149">
        <f>VLOOKUP(Table9[[#This Row],[Shortname]], Comp[], 10, FALSE)</f>
        <v>0</v>
      </c>
      <c r="N1149">
        <f>VLOOKUP(Table9[[#This Row],[Shortname]], Comp[], 11, FALSE)</f>
        <v>5.48</v>
      </c>
      <c r="O1149">
        <f>VLOOKUP(Table9[[#This Row],[Shortname]], Comp[],12, FALSE)</f>
        <v>4.0599999999999996</v>
      </c>
      <c r="P1149">
        <f>VLOOKUP(Table9[[#This Row],[Shortname]], Comp[], 13, FALSE)</f>
        <v>2.5</v>
      </c>
      <c r="Q1149">
        <f>VLOOKUP(Table9[[#This Row],[Shortname]], Comp[], 14, FALSE)</f>
        <v>0</v>
      </c>
      <c r="R1149">
        <f>VLOOKUP(Table9[[#This Row],[Shortname]], Comp[], 15, FALSE)</f>
        <v>0</v>
      </c>
      <c r="S1149">
        <f>VLOOKUP(Table9[[#This Row],[Shortname]], Comp[], 16, FALSE)</f>
        <v>0</v>
      </c>
      <c r="T1149">
        <f>VLOOKUP(Table9[[#This Row],[Shortname]], Comp[], 17, FALSE)</f>
        <v>0</v>
      </c>
      <c r="U1149">
        <f>VLOOKUP(Table9[[#This Row],[Shortname]], Comp[], 18, FALSE)</f>
        <v>0</v>
      </c>
      <c r="V1149">
        <f>VLOOKUP(Table9[[#This Row],[Shortname]], Comp[], 19, FALSE)</f>
        <v>0.08</v>
      </c>
      <c r="W1149">
        <f>VLOOKUP(Table9[[#This Row],[Shortname]], Comp[], 20, FALSE)</f>
        <v>0</v>
      </c>
      <c r="X1149">
        <f>VLOOKUP(Table9[[#This Row],[Shortname]], Comp[], 21, FALSE)</f>
        <v>0</v>
      </c>
      <c r="Y1149">
        <f>VLOOKUP(Table9[[#This Row],[Shortname]], Comp[], 22, FALSE)</f>
        <v>0</v>
      </c>
      <c r="Z1149">
        <f>VLOOKUP(Table9[[#This Row],[Shortname]], Comp[], 23, FALSE)</f>
        <v>0</v>
      </c>
      <c r="AA1149">
        <f>VLOOKUP(Table9[[#This Row],[Shortname]], Comp[], 24, FALSE)</f>
        <v>0</v>
      </c>
      <c r="AB1149">
        <f>VLOOKUP(Table9[[#This Row],[Shortname]], Comp[], 25, FALSE)</f>
        <v>0</v>
      </c>
      <c r="AC1149">
        <f>VLOOKUP(Table9[[#This Row],[Shortname]], Comp[], 26, FALSE)</f>
        <v>0</v>
      </c>
      <c r="AD1149">
        <f>VLOOKUP(Table9[[#This Row],[Shortname]], Comp[], 27, FALSE)</f>
        <v>0</v>
      </c>
      <c r="AE1149">
        <f>VLOOKUP(Table9[[#This Row],[Shortname]], Comp[], 28, FALSE)</f>
        <v>0</v>
      </c>
      <c r="AF1149">
        <f>VLOOKUP(Table9[[#This Row],[Shortname]], Comp[], 29, FALSE)</f>
        <v>0</v>
      </c>
      <c r="AG1149">
        <f>VLOOKUP(Table9[[#This Row],[Shortname]], Comp[], 30, FALSE)</f>
        <v>0</v>
      </c>
      <c r="AH1149">
        <f>VLOOKUP(Table9[[#This Row],[Shortname]], Comp[], 31, FALSE)</f>
        <v>0</v>
      </c>
    </row>
    <row r="1150" spans="1:34" x14ac:dyDescent="0.3">
      <c r="A1150" t="s">
        <v>6125</v>
      </c>
      <c r="B1150" t="s">
        <v>6126</v>
      </c>
      <c r="C1150" t="s">
        <v>6127</v>
      </c>
      <c r="D1150">
        <v>677</v>
      </c>
      <c r="E1150">
        <v>850</v>
      </c>
      <c r="F1150">
        <v>1E-4</v>
      </c>
      <c r="G1150">
        <v>1</v>
      </c>
      <c r="H1150" t="s">
        <v>6803</v>
      </c>
      <c r="I1150">
        <f>VLOOKUP(Table9[[#This Row],[Shortname]], Comp[], 6, FALSE)</f>
        <v>1001</v>
      </c>
      <c r="J1150" s="14">
        <f>VLOOKUP(Table9[[#This Row],[Shortname]], Comp[], 7, FALSE)</f>
        <v>46.150000000000006</v>
      </c>
      <c r="K1150">
        <f>VLOOKUP(Table9[[#This Row],[Shortname]], Comp[], 8, FALSE)</f>
        <v>29.99</v>
      </c>
      <c r="L1150">
        <f>VLOOKUP(Table9[[#This Row],[Shortname]], Comp[], 9, FALSE)</f>
        <v>11.74</v>
      </c>
      <c r="M1150">
        <f>VLOOKUP(Table9[[#This Row],[Shortname]], Comp[], 10, FALSE)</f>
        <v>0</v>
      </c>
      <c r="N1150">
        <f>VLOOKUP(Table9[[#This Row],[Shortname]], Comp[], 11, FALSE)</f>
        <v>5.48</v>
      </c>
      <c r="O1150">
        <f>VLOOKUP(Table9[[#This Row],[Shortname]], Comp[],12, FALSE)</f>
        <v>4.0599999999999996</v>
      </c>
      <c r="P1150">
        <f>VLOOKUP(Table9[[#This Row],[Shortname]], Comp[], 13, FALSE)</f>
        <v>2.5</v>
      </c>
      <c r="Q1150">
        <f>VLOOKUP(Table9[[#This Row],[Shortname]], Comp[], 14, FALSE)</f>
        <v>0</v>
      </c>
      <c r="R1150">
        <f>VLOOKUP(Table9[[#This Row],[Shortname]], Comp[], 15, FALSE)</f>
        <v>0</v>
      </c>
      <c r="S1150">
        <f>VLOOKUP(Table9[[#This Row],[Shortname]], Comp[], 16, FALSE)</f>
        <v>0</v>
      </c>
      <c r="T1150">
        <f>VLOOKUP(Table9[[#This Row],[Shortname]], Comp[], 17, FALSE)</f>
        <v>0</v>
      </c>
      <c r="U1150">
        <f>VLOOKUP(Table9[[#This Row],[Shortname]], Comp[], 18, FALSE)</f>
        <v>0</v>
      </c>
      <c r="V1150">
        <f>VLOOKUP(Table9[[#This Row],[Shortname]], Comp[], 19, FALSE)</f>
        <v>0.08</v>
      </c>
      <c r="W1150">
        <f>VLOOKUP(Table9[[#This Row],[Shortname]], Comp[], 20, FALSE)</f>
        <v>0</v>
      </c>
      <c r="X1150">
        <f>VLOOKUP(Table9[[#This Row],[Shortname]], Comp[], 21, FALSE)</f>
        <v>0</v>
      </c>
      <c r="Y1150">
        <f>VLOOKUP(Table9[[#This Row],[Shortname]], Comp[], 22, FALSE)</f>
        <v>0</v>
      </c>
      <c r="Z1150">
        <f>VLOOKUP(Table9[[#This Row],[Shortname]], Comp[], 23, FALSE)</f>
        <v>0</v>
      </c>
      <c r="AA1150">
        <f>VLOOKUP(Table9[[#This Row],[Shortname]], Comp[], 24, FALSE)</f>
        <v>0</v>
      </c>
      <c r="AB1150">
        <f>VLOOKUP(Table9[[#This Row],[Shortname]], Comp[], 25, FALSE)</f>
        <v>0</v>
      </c>
      <c r="AC1150">
        <f>VLOOKUP(Table9[[#This Row],[Shortname]], Comp[], 26, FALSE)</f>
        <v>0</v>
      </c>
      <c r="AD1150">
        <f>VLOOKUP(Table9[[#This Row],[Shortname]], Comp[], 27, FALSE)</f>
        <v>0</v>
      </c>
      <c r="AE1150">
        <f>VLOOKUP(Table9[[#This Row],[Shortname]], Comp[], 28, FALSE)</f>
        <v>0</v>
      </c>
      <c r="AF1150">
        <f>VLOOKUP(Table9[[#This Row],[Shortname]], Comp[], 29, FALSE)</f>
        <v>0</v>
      </c>
      <c r="AG1150">
        <f>VLOOKUP(Table9[[#This Row],[Shortname]], Comp[], 30, FALSE)</f>
        <v>0</v>
      </c>
      <c r="AH1150">
        <f>VLOOKUP(Table9[[#This Row],[Shortname]], Comp[], 31, FALSE)</f>
        <v>0</v>
      </c>
    </row>
    <row r="1151" spans="1:34" x14ac:dyDescent="0.3">
      <c r="A1151" t="s">
        <v>6125</v>
      </c>
      <c r="B1151" t="s">
        <v>6126</v>
      </c>
      <c r="C1151" t="s">
        <v>6127</v>
      </c>
      <c r="D1151">
        <v>597</v>
      </c>
      <c r="E1151">
        <v>950</v>
      </c>
      <c r="F1151">
        <v>1E-4</v>
      </c>
      <c r="G1151">
        <v>1</v>
      </c>
      <c r="H1151" t="s">
        <v>6803</v>
      </c>
      <c r="I1151">
        <f>VLOOKUP(Table9[[#This Row],[Shortname]], Comp[], 6, FALSE)</f>
        <v>1001</v>
      </c>
      <c r="J1151" s="14">
        <f>VLOOKUP(Table9[[#This Row],[Shortname]], Comp[], 7, FALSE)</f>
        <v>46.150000000000006</v>
      </c>
      <c r="K1151">
        <f>VLOOKUP(Table9[[#This Row],[Shortname]], Comp[], 8, FALSE)</f>
        <v>29.99</v>
      </c>
      <c r="L1151">
        <f>VLOOKUP(Table9[[#This Row],[Shortname]], Comp[], 9, FALSE)</f>
        <v>11.74</v>
      </c>
      <c r="M1151">
        <f>VLOOKUP(Table9[[#This Row],[Shortname]], Comp[], 10, FALSE)</f>
        <v>0</v>
      </c>
      <c r="N1151">
        <f>VLOOKUP(Table9[[#This Row],[Shortname]], Comp[], 11, FALSE)</f>
        <v>5.48</v>
      </c>
      <c r="O1151">
        <f>VLOOKUP(Table9[[#This Row],[Shortname]], Comp[],12, FALSE)</f>
        <v>4.0599999999999996</v>
      </c>
      <c r="P1151">
        <f>VLOOKUP(Table9[[#This Row],[Shortname]], Comp[], 13, FALSE)</f>
        <v>2.5</v>
      </c>
      <c r="Q1151">
        <f>VLOOKUP(Table9[[#This Row],[Shortname]], Comp[], 14, FALSE)</f>
        <v>0</v>
      </c>
      <c r="R1151">
        <f>VLOOKUP(Table9[[#This Row],[Shortname]], Comp[], 15, FALSE)</f>
        <v>0</v>
      </c>
      <c r="S1151">
        <f>VLOOKUP(Table9[[#This Row],[Shortname]], Comp[], 16, FALSE)</f>
        <v>0</v>
      </c>
      <c r="T1151">
        <f>VLOOKUP(Table9[[#This Row],[Shortname]], Comp[], 17, FALSE)</f>
        <v>0</v>
      </c>
      <c r="U1151">
        <f>VLOOKUP(Table9[[#This Row],[Shortname]], Comp[], 18, FALSE)</f>
        <v>0</v>
      </c>
      <c r="V1151">
        <f>VLOOKUP(Table9[[#This Row],[Shortname]], Comp[], 19, FALSE)</f>
        <v>0.08</v>
      </c>
      <c r="W1151">
        <f>VLOOKUP(Table9[[#This Row],[Shortname]], Comp[], 20, FALSE)</f>
        <v>0</v>
      </c>
      <c r="X1151">
        <f>VLOOKUP(Table9[[#This Row],[Shortname]], Comp[], 21, FALSE)</f>
        <v>0</v>
      </c>
      <c r="Y1151">
        <f>VLOOKUP(Table9[[#This Row],[Shortname]], Comp[], 22, FALSE)</f>
        <v>0</v>
      </c>
      <c r="Z1151">
        <f>VLOOKUP(Table9[[#This Row],[Shortname]], Comp[], 23, FALSE)</f>
        <v>0</v>
      </c>
      <c r="AA1151">
        <f>VLOOKUP(Table9[[#This Row],[Shortname]], Comp[], 24, FALSE)</f>
        <v>0</v>
      </c>
      <c r="AB1151">
        <f>VLOOKUP(Table9[[#This Row],[Shortname]], Comp[], 25, FALSE)</f>
        <v>0</v>
      </c>
      <c r="AC1151">
        <f>VLOOKUP(Table9[[#This Row],[Shortname]], Comp[], 26, FALSE)</f>
        <v>0</v>
      </c>
      <c r="AD1151">
        <f>VLOOKUP(Table9[[#This Row],[Shortname]], Comp[], 27, FALSE)</f>
        <v>0</v>
      </c>
      <c r="AE1151">
        <f>VLOOKUP(Table9[[#This Row],[Shortname]], Comp[], 28, FALSE)</f>
        <v>0</v>
      </c>
      <c r="AF1151">
        <f>VLOOKUP(Table9[[#This Row],[Shortname]], Comp[], 29, FALSE)</f>
        <v>0</v>
      </c>
      <c r="AG1151">
        <f>VLOOKUP(Table9[[#This Row],[Shortname]], Comp[], 30, FALSE)</f>
        <v>0</v>
      </c>
      <c r="AH1151">
        <f>VLOOKUP(Table9[[#This Row],[Shortname]], Comp[], 31, FALSE)</f>
        <v>0</v>
      </c>
    </row>
    <row r="1152" spans="1:34" x14ac:dyDescent="0.3">
      <c r="A1152" t="s">
        <v>6125</v>
      </c>
      <c r="B1152" t="s">
        <v>6126</v>
      </c>
      <c r="C1152" t="s">
        <v>6127</v>
      </c>
      <c r="D1152">
        <v>478</v>
      </c>
      <c r="E1152">
        <v>450</v>
      </c>
      <c r="F1152">
        <v>1E-4</v>
      </c>
      <c r="G1152">
        <v>1</v>
      </c>
      <c r="H1152" t="s">
        <v>6803</v>
      </c>
      <c r="I1152">
        <f>VLOOKUP(Table9[[#This Row],[Shortname]], Comp[], 6, FALSE)</f>
        <v>1001</v>
      </c>
      <c r="J1152" s="14">
        <f>VLOOKUP(Table9[[#This Row],[Shortname]], Comp[], 7, FALSE)</f>
        <v>46.150000000000006</v>
      </c>
      <c r="K1152">
        <f>VLOOKUP(Table9[[#This Row],[Shortname]], Comp[], 8, FALSE)</f>
        <v>29.99</v>
      </c>
      <c r="L1152">
        <f>VLOOKUP(Table9[[#This Row],[Shortname]], Comp[], 9, FALSE)</f>
        <v>11.74</v>
      </c>
      <c r="M1152">
        <f>VLOOKUP(Table9[[#This Row],[Shortname]], Comp[], 10, FALSE)</f>
        <v>0</v>
      </c>
      <c r="N1152">
        <f>VLOOKUP(Table9[[#This Row],[Shortname]], Comp[], 11, FALSE)</f>
        <v>5.48</v>
      </c>
      <c r="O1152">
        <f>VLOOKUP(Table9[[#This Row],[Shortname]], Comp[],12, FALSE)</f>
        <v>4.0599999999999996</v>
      </c>
      <c r="P1152">
        <f>VLOOKUP(Table9[[#This Row],[Shortname]], Comp[], 13, FALSE)</f>
        <v>2.5</v>
      </c>
      <c r="Q1152">
        <f>VLOOKUP(Table9[[#This Row],[Shortname]], Comp[], 14, FALSE)</f>
        <v>0</v>
      </c>
      <c r="R1152">
        <f>VLOOKUP(Table9[[#This Row],[Shortname]], Comp[], 15, FALSE)</f>
        <v>0</v>
      </c>
      <c r="S1152">
        <f>VLOOKUP(Table9[[#This Row],[Shortname]], Comp[], 16, FALSE)</f>
        <v>0</v>
      </c>
      <c r="T1152">
        <f>VLOOKUP(Table9[[#This Row],[Shortname]], Comp[], 17, FALSE)</f>
        <v>0</v>
      </c>
      <c r="U1152">
        <f>VLOOKUP(Table9[[#This Row],[Shortname]], Comp[], 18, FALSE)</f>
        <v>0</v>
      </c>
      <c r="V1152">
        <f>VLOOKUP(Table9[[#This Row],[Shortname]], Comp[], 19, FALSE)</f>
        <v>0.08</v>
      </c>
      <c r="W1152">
        <f>VLOOKUP(Table9[[#This Row],[Shortname]], Comp[], 20, FALSE)</f>
        <v>0</v>
      </c>
      <c r="X1152">
        <f>VLOOKUP(Table9[[#This Row],[Shortname]], Comp[], 21, FALSE)</f>
        <v>0</v>
      </c>
      <c r="Y1152">
        <f>VLOOKUP(Table9[[#This Row],[Shortname]], Comp[], 22, FALSE)</f>
        <v>0</v>
      </c>
      <c r="Z1152">
        <f>VLOOKUP(Table9[[#This Row],[Shortname]], Comp[], 23, FALSE)</f>
        <v>0</v>
      </c>
      <c r="AA1152">
        <f>VLOOKUP(Table9[[#This Row],[Shortname]], Comp[], 24, FALSE)</f>
        <v>0</v>
      </c>
      <c r="AB1152">
        <f>VLOOKUP(Table9[[#This Row],[Shortname]], Comp[], 25, FALSE)</f>
        <v>0</v>
      </c>
      <c r="AC1152">
        <f>VLOOKUP(Table9[[#This Row],[Shortname]], Comp[], 26, FALSE)</f>
        <v>0</v>
      </c>
      <c r="AD1152">
        <f>VLOOKUP(Table9[[#This Row],[Shortname]], Comp[], 27, FALSE)</f>
        <v>0</v>
      </c>
      <c r="AE1152">
        <f>VLOOKUP(Table9[[#This Row],[Shortname]], Comp[], 28, FALSE)</f>
        <v>0</v>
      </c>
      <c r="AF1152">
        <f>VLOOKUP(Table9[[#This Row],[Shortname]], Comp[], 29, FALSE)</f>
        <v>0</v>
      </c>
      <c r="AG1152">
        <f>VLOOKUP(Table9[[#This Row],[Shortname]], Comp[], 30, FALSE)</f>
        <v>0</v>
      </c>
      <c r="AH1152">
        <f>VLOOKUP(Table9[[#This Row],[Shortname]], Comp[], 31, FALSE)</f>
        <v>0</v>
      </c>
    </row>
    <row r="1153" spans="1:34" x14ac:dyDescent="0.3">
      <c r="A1153" t="s">
        <v>6125</v>
      </c>
      <c r="B1153" t="s">
        <v>6126</v>
      </c>
      <c r="C1153" t="s">
        <v>6127</v>
      </c>
      <c r="D1153">
        <v>574</v>
      </c>
      <c r="E1153">
        <v>550</v>
      </c>
      <c r="F1153">
        <v>1E-4</v>
      </c>
      <c r="G1153">
        <v>1</v>
      </c>
      <c r="H1153" t="s">
        <v>6803</v>
      </c>
      <c r="I1153">
        <f>VLOOKUP(Table9[[#This Row],[Shortname]], Comp[], 6, FALSE)</f>
        <v>1001</v>
      </c>
      <c r="J1153" s="14">
        <f>VLOOKUP(Table9[[#This Row],[Shortname]], Comp[], 7, FALSE)</f>
        <v>46.150000000000006</v>
      </c>
      <c r="K1153">
        <f>VLOOKUP(Table9[[#This Row],[Shortname]], Comp[], 8, FALSE)</f>
        <v>29.99</v>
      </c>
      <c r="L1153">
        <f>VLOOKUP(Table9[[#This Row],[Shortname]], Comp[], 9, FALSE)</f>
        <v>11.74</v>
      </c>
      <c r="M1153">
        <f>VLOOKUP(Table9[[#This Row],[Shortname]], Comp[], 10, FALSE)</f>
        <v>0</v>
      </c>
      <c r="N1153">
        <f>VLOOKUP(Table9[[#This Row],[Shortname]], Comp[], 11, FALSE)</f>
        <v>5.48</v>
      </c>
      <c r="O1153">
        <f>VLOOKUP(Table9[[#This Row],[Shortname]], Comp[],12, FALSE)</f>
        <v>4.0599999999999996</v>
      </c>
      <c r="P1153">
        <f>VLOOKUP(Table9[[#This Row],[Shortname]], Comp[], 13, FALSE)</f>
        <v>2.5</v>
      </c>
      <c r="Q1153">
        <f>VLOOKUP(Table9[[#This Row],[Shortname]], Comp[], 14, FALSE)</f>
        <v>0</v>
      </c>
      <c r="R1153">
        <f>VLOOKUP(Table9[[#This Row],[Shortname]], Comp[], 15, FALSE)</f>
        <v>0</v>
      </c>
      <c r="S1153">
        <f>VLOOKUP(Table9[[#This Row],[Shortname]], Comp[], 16, FALSE)</f>
        <v>0</v>
      </c>
      <c r="T1153">
        <f>VLOOKUP(Table9[[#This Row],[Shortname]], Comp[], 17, FALSE)</f>
        <v>0</v>
      </c>
      <c r="U1153">
        <f>VLOOKUP(Table9[[#This Row],[Shortname]], Comp[], 18, FALSE)</f>
        <v>0</v>
      </c>
      <c r="V1153">
        <f>VLOOKUP(Table9[[#This Row],[Shortname]], Comp[], 19, FALSE)</f>
        <v>0.08</v>
      </c>
      <c r="W1153">
        <f>VLOOKUP(Table9[[#This Row],[Shortname]], Comp[], 20, FALSE)</f>
        <v>0</v>
      </c>
      <c r="X1153">
        <f>VLOOKUP(Table9[[#This Row],[Shortname]], Comp[], 21, FALSE)</f>
        <v>0</v>
      </c>
      <c r="Y1153">
        <f>VLOOKUP(Table9[[#This Row],[Shortname]], Comp[], 22, FALSE)</f>
        <v>0</v>
      </c>
      <c r="Z1153">
        <f>VLOOKUP(Table9[[#This Row],[Shortname]], Comp[], 23, FALSE)</f>
        <v>0</v>
      </c>
      <c r="AA1153">
        <f>VLOOKUP(Table9[[#This Row],[Shortname]], Comp[], 24, FALSE)</f>
        <v>0</v>
      </c>
      <c r="AB1153">
        <f>VLOOKUP(Table9[[#This Row],[Shortname]], Comp[], 25, FALSE)</f>
        <v>0</v>
      </c>
      <c r="AC1153">
        <f>VLOOKUP(Table9[[#This Row],[Shortname]], Comp[], 26, FALSE)</f>
        <v>0</v>
      </c>
      <c r="AD1153">
        <f>VLOOKUP(Table9[[#This Row],[Shortname]], Comp[], 27, FALSE)</f>
        <v>0</v>
      </c>
      <c r="AE1153">
        <f>VLOOKUP(Table9[[#This Row],[Shortname]], Comp[], 28, FALSE)</f>
        <v>0</v>
      </c>
      <c r="AF1153">
        <f>VLOOKUP(Table9[[#This Row],[Shortname]], Comp[], 29, FALSE)</f>
        <v>0</v>
      </c>
      <c r="AG1153">
        <f>VLOOKUP(Table9[[#This Row],[Shortname]], Comp[], 30, FALSE)</f>
        <v>0</v>
      </c>
      <c r="AH1153">
        <f>VLOOKUP(Table9[[#This Row],[Shortname]], Comp[], 31, FALSE)</f>
        <v>0</v>
      </c>
    </row>
    <row r="1154" spans="1:34" x14ac:dyDescent="0.3">
      <c r="A1154" t="s">
        <v>6125</v>
      </c>
      <c r="B1154" t="s">
        <v>6126</v>
      </c>
      <c r="C1154" t="s">
        <v>6127</v>
      </c>
      <c r="D1154">
        <v>738</v>
      </c>
      <c r="E1154">
        <v>650</v>
      </c>
      <c r="F1154">
        <v>1E-4</v>
      </c>
      <c r="G1154">
        <v>1</v>
      </c>
      <c r="H1154" t="s">
        <v>6803</v>
      </c>
      <c r="I1154">
        <f>VLOOKUP(Table9[[#This Row],[Shortname]], Comp[], 6, FALSE)</f>
        <v>1001</v>
      </c>
      <c r="J1154" s="14">
        <f>VLOOKUP(Table9[[#This Row],[Shortname]], Comp[], 7, FALSE)</f>
        <v>46.150000000000006</v>
      </c>
      <c r="K1154">
        <f>VLOOKUP(Table9[[#This Row],[Shortname]], Comp[], 8, FALSE)</f>
        <v>29.99</v>
      </c>
      <c r="L1154">
        <f>VLOOKUP(Table9[[#This Row],[Shortname]], Comp[], 9, FALSE)</f>
        <v>11.74</v>
      </c>
      <c r="M1154">
        <f>VLOOKUP(Table9[[#This Row],[Shortname]], Comp[], 10, FALSE)</f>
        <v>0</v>
      </c>
      <c r="N1154">
        <f>VLOOKUP(Table9[[#This Row],[Shortname]], Comp[], 11, FALSE)</f>
        <v>5.48</v>
      </c>
      <c r="O1154">
        <f>VLOOKUP(Table9[[#This Row],[Shortname]], Comp[],12, FALSE)</f>
        <v>4.0599999999999996</v>
      </c>
      <c r="P1154">
        <f>VLOOKUP(Table9[[#This Row],[Shortname]], Comp[], 13, FALSE)</f>
        <v>2.5</v>
      </c>
      <c r="Q1154">
        <f>VLOOKUP(Table9[[#This Row],[Shortname]], Comp[], 14, FALSE)</f>
        <v>0</v>
      </c>
      <c r="R1154">
        <f>VLOOKUP(Table9[[#This Row],[Shortname]], Comp[], 15, FALSE)</f>
        <v>0</v>
      </c>
      <c r="S1154">
        <f>VLOOKUP(Table9[[#This Row],[Shortname]], Comp[], 16, FALSE)</f>
        <v>0</v>
      </c>
      <c r="T1154">
        <f>VLOOKUP(Table9[[#This Row],[Shortname]], Comp[], 17, FALSE)</f>
        <v>0</v>
      </c>
      <c r="U1154">
        <f>VLOOKUP(Table9[[#This Row],[Shortname]], Comp[], 18, FALSE)</f>
        <v>0</v>
      </c>
      <c r="V1154">
        <f>VLOOKUP(Table9[[#This Row],[Shortname]], Comp[], 19, FALSE)</f>
        <v>0.08</v>
      </c>
      <c r="W1154">
        <f>VLOOKUP(Table9[[#This Row],[Shortname]], Comp[], 20, FALSE)</f>
        <v>0</v>
      </c>
      <c r="X1154">
        <f>VLOOKUP(Table9[[#This Row],[Shortname]], Comp[], 21, FALSE)</f>
        <v>0</v>
      </c>
      <c r="Y1154">
        <f>VLOOKUP(Table9[[#This Row],[Shortname]], Comp[], 22, FALSE)</f>
        <v>0</v>
      </c>
      <c r="Z1154">
        <f>VLOOKUP(Table9[[#This Row],[Shortname]], Comp[], 23, FALSE)</f>
        <v>0</v>
      </c>
      <c r="AA1154">
        <f>VLOOKUP(Table9[[#This Row],[Shortname]], Comp[], 24, FALSE)</f>
        <v>0</v>
      </c>
      <c r="AB1154">
        <f>VLOOKUP(Table9[[#This Row],[Shortname]], Comp[], 25, FALSE)</f>
        <v>0</v>
      </c>
      <c r="AC1154">
        <f>VLOOKUP(Table9[[#This Row],[Shortname]], Comp[], 26, FALSE)</f>
        <v>0</v>
      </c>
      <c r="AD1154">
        <f>VLOOKUP(Table9[[#This Row],[Shortname]], Comp[], 27, FALSE)</f>
        <v>0</v>
      </c>
      <c r="AE1154">
        <f>VLOOKUP(Table9[[#This Row],[Shortname]], Comp[], 28, FALSE)</f>
        <v>0</v>
      </c>
      <c r="AF1154">
        <f>VLOOKUP(Table9[[#This Row],[Shortname]], Comp[], 29, FALSE)</f>
        <v>0</v>
      </c>
      <c r="AG1154">
        <f>VLOOKUP(Table9[[#This Row],[Shortname]], Comp[], 30, FALSE)</f>
        <v>0</v>
      </c>
      <c r="AH1154">
        <f>VLOOKUP(Table9[[#This Row],[Shortname]], Comp[], 31, FALSE)</f>
        <v>0</v>
      </c>
    </row>
    <row r="1155" spans="1:34" x14ac:dyDescent="0.3">
      <c r="A1155" t="s">
        <v>6125</v>
      </c>
      <c r="B1155" t="s">
        <v>6126</v>
      </c>
      <c r="C1155" t="s">
        <v>6127</v>
      </c>
      <c r="D1155">
        <v>709</v>
      </c>
      <c r="E1155">
        <v>750</v>
      </c>
      <c r="F1155">
        <v>1E-4</v>
      </c>
      <c r="G1155">
        <v>1</v>
      </c>
      <c r="H1155" t="s">
        <v>6803</v>
      </c>
      <c r="I1155">
        <f>VLOOKUP(Table9[[#This Row],[Shortname]], Comp[], 6, FALSE)</f>
        <v>1001</v>
      </c>
      <c r="J1155" s="14">
        <f>VLOOKUP(Table9[[#This Row],[Shortname]], Comp[], 7, FALSE)</f>
        <v>46.150000000000006</v>
      </c>
      <c r="K1155">
        <f>VLOOKUP(Table9[[#This Row],[Shortname]], Comp[], 8, FALSE)</f>
        <v>29.99</v>
      </c>
      <c r="L1155">
        <f>VLOOKUP(Table9[[#This Row],[Shortname]], Comp[], 9, FALSE)</f>
        <v>11.74</v>
      </c>
      <c r="M1155">
        <f>VLOOKUP(Table9[[#This Row],[Shortname]], Comp[], 10, FALSE)</f>
        <v>0</v>
      </c>
      <c r="N1155">
        <f>VLOOKUP(Table9[[#This Row],[Shortname]], Comp[], 11, FALSE)</f>
        <v>5.48</v>
      </c>
      <c r="O1155">
        <f>VLOOKUP(Table9[[#This Row],[Shortname]], Comp[],12, FALSE)</f>
        <v>4.0599999999999996</v>
      </c>
      <c r="P1155">
        <f>VLOOKUP(Table9[[#This Row],[Shortname]], Comp[], 13, FALSE)</f>
        <v>2.5</v>
      </c>
      <c r="Q1155">
        <f>VLOOKUP(Table9[[#This Row],[Shortname]], Comp[], 14, FALSE)</f>
        <v>0</v>
      </c>
      <c r="R1155">
        <f>VLOOKUP(Table9[[#This Row],[Shortname]], Comp[], 15, FALSE)</f>
        <v>0</v>
      </c>
      <c r="S1155">
        <f>VLOOKUP(Table9[[#This Row],[Shortname]], Comp[], 16, FALSE)</f>
        <v>0</v>
      </c>
      <c r="T1155">
        <f>VLOOKUP(Table9[[#This Row],[Shortname]], Comp[], 17, FALSE)</f>
        <v>0</v>
      </c>
      <c r="U1155">
        <f>VLOOKUP(Table9[[#This Row],[Shortname]], Comp[], 18, FALSE)</f>
        <v>0</v>
      </c>
      <c r="V1155">
        <f>VLOOKUP(Table9[[#This Row],[Shortname]], Comp[], 19, FALSE)</f>
        <v>0.08</v>
      </c>
      <c r="W1155">
        <f>VLOOKUP(Table9[[#This Row],[Shortname]], Comp[], 20, FALSE)</f>
        <v>0</v>
      </c>
      <c r="X1155">
        <f>VLOOKUP(Table9[[#This Row],[Shortname]], Comp[], 21, FALSE)</f>
        <v>0</v>
      </c>
      <c r="Y1155">
        <f>VLOOKUP(Table9[[#This Row],[Shortname]], Comp[], 22, FALSE)</f>
        <v>0</v>
      </c>
      <c r="Z1155">
        <f>VLOOKUP(Table9[[#This Row],[Shortname]], Comp[], 23, FALSE)</f>
        <v>0</v>
      </c>
      <c r="AA1155">
        <f>VLOOKUP(Table9[[#This Row],[Shortname]], Comp[], 24, FALSE)</f>
        <v>0</v>
      </c>
      <c r="AB1155">
        <f>VLOOKUP(Table9[[#This Row],[Shortname]], Comp[], 25, FALSE)</f>
        <v>0</v>
      </c>
      <c r="AC1155">
        <f>VLOOKUP(Table9[[#This Row],[Shortname]], Comp[], 26, FALSE)</f>
        <v>0</v>
      </c>
      <c r="AD1155">
        <f>VLOOKUP(Table9[[#This Row],[Shortname]], Comp[], 27, FALSE)</f>
        <v>0</v>
      </c>
      <c r="AE1155">
        <f>VLOOKUP(Table9[[#This Row],[Shortname]], Comp[], 28, FALSE)</f>
        <v>0</v>
      </c>
      <c r="AF1155">
        <f>VLOOKUP(Table9[[#This Row],[Shortname]], Comp[], 29, FALSE)</f>
        <v>0</v>
      </c>
      <c r="AG1155">
        <f>VLOOKUP(Table9[[#This Row],[Shortname]], Comp[], 30, FALSE)</f>
        <v>0</v>
      </c>
      <c r="AH1155">
        <f>VLOOKUP(Table9[[#This Row],[Shortname]], Comp[], 31, FALSE)</f>
        <v>0</v>
      </c>
    </row>
    <row r="1156" spans="1:34" x14ac:dyDescent="0.3">
      <c r="A1156" t="s">
        <v>6125</v>
      </c>
      <c r="B1156" t="s">
        <v>6126</v>
      </c>
      <c r="C1156" t="s">
        <v>6127</v>
      </c>
      <c r="D1156">
        <v>576</v>
      </c>
      <c r="E1156">
        <v>900</v>
      </c>
      <c r="F1156">
        <v>1E-4</v>
      </c>
      <c r="G1156">
        <v>1</v>
      </c>
      <c r="H1156" t="s">
        <v>6803</v>
      </c>
      <c r="I1156">
        <f>VLOOKUP(Table9[[#This Row],[Shortname]], Comp[], 6, FALSE)</f>
        <v>1001</v>
      </c>
      <c r="J1156" s="14">
        <f>VLOOKUP(Table9[[#This Row],[Shortname]], Comp[], 7, FALSE)</f>
        <v>46.150000000000006</v>
      </c>
      <c r="K1156">
        <f>VLOOKUP(Table9[[#This Row],[Shortname]], Comp[], 8, FALSE)</f>
        <v>29.99</v>
      </c>
      <c r="L1156">
        <f>VLOOKUP(Table9[[#This Row],[Shortname]], Comp[], 9, FALSE)</f>
        <v>11.74</v>
      </c>
      <c r="M1156">
        <f>VLOOKUP(Table9[[#This Row],[Shortname]], Comp[], 10, FALSE)</f>
        <v>0</v>
      </c>
      <c r="N1156">
        <f>VLOOKUP(Table9[[#This Row],[Shortname]], Comp[], 11, FALSE)</f>
        <v>5.48</v>
      </c>
      <c r="O1156">
        <f>VLOOKUP(Table9[[#This Row],[Shortname]], Comp[],12, FALSE)</f>
        <v>4.0599999999999996</v>
      </c>
      <c r="P1156">
        <f>VLOOKUP(Table9[[#This Row],[Shortname]], Comp[], 13, FALSE)</f>
        <v>2.5</v>
      </c>
      <c r="Q1156">
        <f>VLOOKUP(Table9[[#This Row],[Shortname]], Comp[], 14, FALSE)</f>
        <v>0</v>
      </c>
      <c r="R1156">
        <f>VLOOKUP(Table9[[#This Row],[Shortname]], Comp[], 15, FALSE)</f>
        <v>0</v>
      </c>
      <c r="S1156">
        <f>VLOOKUP(Table9[[#This Row],[Shortname]], Comp[], 16, FALSE)</f>
        <v>0</v>
      </c>
      <c r="T1156">
        <f>VLOOKUP(Table9[[#This Row],[Shortname]], Comp[], 17, FALSE)</f>
        <v>0</v>
      </c>
      <c r="U1156">
        <f>VLOOKUP(Table9[[#This Row],[Shortname]], Comp[], 18, FALSE)</f>
        <v>0</v>
      </c>
      <c r="V1156">
        <f>VLOOKUP(Table9[[#This Row],[Shortname]], Comp[], 19, FALSE)</f>
        <v>0.08</v>
      </c>
      <c r="W1156">
        <f>VLOOKUP(Table9[[#This Row],[Shortname]], Comp[], 20, FALSE)</f>
        <v>0</v>
      </c>
      <c r="X1156">
        <f>VLOOKUP(Table9[[#This Row],[Shortname]], Comp[], 21, FALSE)</f>
        <v>0</v>
      </c>
      <c r="Y1156">
        <f>VLOOKUP(Table9[[#This Row],[Shortname]], Comp[], 22, FALSE)</f>
        <v>0</v>
      </c>
      <c r="Z1156">
        <f>VLOOKUP(Table9[[#This Row],[Shortname]], Comp[], 23, FALSE)</f>
        <v>0</v>
      </c>
      <c r="AA1156">
        <f>VLOOKUP(Table9[[#This Row],[Shortname]], Comp[], 24, FALSE)</f>
        <v>0</v>
      </c>
      <c r="AB1156">
        <f>VLOOKUP(Table9[[#This Row],[Shortname]], Comp[], 25, FALSE)</f>
        <v>0</v>
      </c>
      <c r="AC1156">
        <f>VLOOKUP(Table9[[#This Row],[Shortname]], Comp[], 26, FALSE)</f>
        <v>0</v>
      </c>
      <c r="AD1156">
        <f>VLOOKUP(Table9[[#This Row],[Shortname]], Comp[], 27, FALSE)</f>
        <v>0</v>
      </c>
      <c r="AE1156">
        <f>VLOOKUP(Table9[[#This Row],[Shortname]], Comp[], 28, FALSE)</f>
        <v>0</v>
      </c>
      <c r="AF1156">
        <f>VLOOKUP(Table9[[#This Row],[Shortname]], Comp[], 29, FALSE)</f>
        <v>0</v>
      </c>
      <c r="AG1156">
        <f>VLOOKUP(Table9[[#This Row],[Shortname]], Comp[], 30, FALSE)</f>
        <v>0</v>
      </c>
      <c r="AH1156">
        <f>VLOOKUP(Table9[[#This Row],[Shortname]], Comp[], 31, FALSE)</f>
        <v>0</v>
      </c>
    </row>
    <row r="1157" spans="1:34" x14ac:dyDescent="0.3">
      <c r="A1157" t="s">
        <v>6125</v>
      </c>
      <c r="B1157" t="s">
        <v>6126</v>
      </c>
      <c r="C1157" t="s">
        <v>6127</v>
      </c>
      <c r="D1157">
        <v>381</v>
      </c>
      <c r="E1157">
        <v>1000</v>
      </c>
      <c r="F1157">
        <v>1E-4</v>
      </c>
      <c r="G1157">
        <v>1</v>
      </c>
      <c r="H1157" t="s">
        <v>6803</v>
      </c>
      <c r="I1157">
        <f>VLOOKUP(Table9[[#This Row],[Shortname]], Comp[], 6, FALSE)</f>
        <v>1001</v>
      </c>
      <c r="J1157" s="14">
        <f>VLOOKUP(Table9[[#This Row],[Shortname]], Comp[], 7, FALSE)</f>
        <v>46.150000000000006</v>
      </c>
      <c r="K1157">
        <f>VLOOKUP(Table9[[#This Row],[Shortname]], Comp[], 8, FALSE)</f>
        <v>29.99</v>
      </c>
      <c r="L1157">
        <f>VLOOKUP(Table9[[#This Row],[Shortname]], Comp[], 9, FALSE)</f>
        <v>11.74</v>
      </c>
      <c r="M1157">
        <f>VLOOKUP(Table9[[#This Row],[Shortname]], Comp[], 10, FALSE)</f>
        <v>0</v>
      </c>
      <c r="N1157">
        <f>VLOOKUP(Table9[[#This Row],[Shortname]], Comp[], 11, FALSE)</f>
        <v>5.48</v>
      </c>
      <c r="O1157">
        <f>VLOOKUP(Table9[[#This Row],[Shortname]], Comp[],12, FALSE)</f>
        <v>4.0599999999999996</v>
      </c>
      <c r="P1157">
        <f>VLOOKUP(Table9[[#This Row],[Shortname]], Comp[], 13, FALSE)</f>
        <v>2.5</v>
      </c>
      <c r="Q1157">
        <f>VLOOKUP(Table9[[#This Row],[Shortname]], Comp[], 14, FALSE)</f>
        <v>0</v>
      </c>
      <c r="R1157">
        <f>VLOOKUP(Table9[[#This Row],[Shortname]], Comp[], 15, FALSE)</f>
        <v>0</v>
      </c>
      <c r="S1157">
        <f>VLOOKUP(Table9[[#This Row],[Shortname]], Comp[], 16, FALSE)</f>
        <v>0</v>
      </c>
      <c r="T1157">
        <f>VLOOKUP(Table9[[#This Row],[Shortname]], Comp[], 17, FALSE)</f>
        <v>0</v>
      </c>
      <c r="U1157">
        <f>VLOOKUP(Table9[[#This Row],[Shortname]], Comp[], 18, FALSE)</f>
        <v>0</v>
      </c>
      <c r="V1157">
        <f>VLOOKUP(Table9[[#This Row],[Shortname]], Comp[], 19, FALSE)</f>
        <v>0.08</v>
      </c>
      <c r="W1157">
        <f>VLOOKUP(Table9[[#This Row],[Shortname]], Comp[], 20, FALSE)</f>
        <v>0</v>
      </c>
      <c r="X1157">
        <f>VLOOKUP(Table9[[#This Row],[Shortname]], Comp[], 21, FALSE)</f>
        <v>0</v>
      </c>
      <c r="Y1157">
        <f>VLOOKUP(Table9[[#This Row],[Shortname]], Comp[], 22, FALSE)</f>
        <v>0</v>
      </c>
      <c r="Z1157">
        <f>VLOOKUP(Table9[[#This Row],[Shortname]], Comp[], 23, FALSE)</f>
        <v>0</v>
      </c>
      <c r="AA1157">
        <f>VLOOKUP(Table9[[#This Row],[Shortname]], Comp[], 24, FALSE)</f>
        <v>0</v>
      </c>
      <c r="AB1157">
        <f>VLOOKUP(Table9[[#This Row],[Shortname]], Comp[], 25, FALSE)</f>
        <v>0</v>
      </c>
      <c r="AC1157">
        <f>VLOOKUP(Table9[[#This Row],[Shortname]], Comp[], 26, FALSE)</f>
        <v>0</v>
      </c>
      <c r="AD1157">
        <f>VLOOKUP(Table9[[#This Row],[Shortname]], Comp[], 27, FALSE)</f>
        <v>0</v>
      </c>
      <c r="AE1157">
        <f>VLOOKUP(Table9[[#This Row],[Shortname]], Comp[], 28, FALSE)</f>
        <v>0</v>
      </c>
      <c r="AF1157">
        <f>VLOOKUP(Table9[[#This Row],[Shortname]], Comp[], 29, FALSE)</f>
        <v>0</v>
      </c>
      <c r="AG1157">
        <f>VLOOKUP(Table9[[#This Row],[Shortname]], Comp[], 30, FALSE)</f>
        <v>0</v>
      </c>
      <c r="AH1157">
        <f>VLOOKUP(Table9[[#This Row],[Shortname]], Comp[], 31, FALSE)</f>
        <v>0</v>
      </c>
    </row>
    <row r="1158" spans="1:34" x14ac:dyDescent="0.3">
      <c r="A1158" t="s">
        <v>6135</v>
      </c>
      <c r="B1158" t="s">
        <v>3899</v>
      </c>
      <c r="C1158" t="s">
        <v>6136</v>
      </c>
      <c r="D1158">
        <v>1064</v>
      </c>
      <c r="E1158">
        <v>25</v>
      </c>
      <c r="F1158">
        <v>1E-3</v>
      </c>
      <c r="G1158">
        <v>1</v>
      </c>
      <c r="H1158" t="s">
        <v>6985</v>
      </c>
      <c r="I1158">
        <f>VLOOKUP(Table9[[#This Row],[Shortname]], Comp[], 6, FALSE)</f>
        <v>1004</v>
      </c>
      <c r="J1158" s="14">
        <f>VLOOKUP(Table9[[#This Row],[Shortname]], Comp[], 7, FALSE)</f>
        <v>59</v>
      </c>
      <c r="K1158">
        <f>VLOOKUP(Table9[[#This Row],[Shortname]], Comp[], 8, FALSE)</f>
        <v>30</v>
      </c>
      <c r="L1158">
        <f>VLOOKUP(Table9[[#This Row],[Shortname]], Comp[], 9, FALSE)</f>
        <v>7</v>
      </c>
      <c r="M1158">
        <f>VLOOKUP(Table9[[#This Row],[Shortname]], Comp[], 10, FALSE)</f>
        <v>0</v>
      </c>
      <c r="N1158">
        <f>VLOOKUP(Table9[[#This Row],[Shortname]], Comp[], 11, FALSE)</f>
        <v>0</v>
      </c>
      <c r="O1158">
        <f>VLOOKUP(Table9[[#This Row],[Shortname]], Comp[],12, FALSE)</f>
        <v>2</v>
      </c>
      <c r="P1158">
        <f>VLOOKUP(Table9[[#This Row],[Shortname]], Comp[], 13, FALSE)</f>
        <v>0</v>
      </c>
      <c r="Q1158">
        <f>VLOOKUP(Table9[[#This Row],[Shortname]], Comp[], 14, FALSE)</f>
        <v>2</v>
      </c>
      <c r="R1158">
        <f>VLOOKUP(Table9[[#This Row],[Shortname]], Comp[], 15, FALSE)</f>
        <v>0</v>
      </c>
      <c r="S1158">
        <f>VLOOKUP(Table9[[#This Row],[Shortname]], Comp[], 16, FALSE)</f>
        <v>0</v>
      </c>
      <c r="T1158">
        <f>VLOOKUP(Table9[[#This Row],[Shortname]], Comp[], 17, FALSE)</f>
        <v>0</v>
      </c>
      <c r="U1158">
        <f>VLOOKUP(Table9[[#This Row],[Shortname]], Comp[], 18, FALSE)</f>
        <v>0</v>
      </c>
      <c r="V1158">
        <f>VLOOKUP(Table9[[#This Row],[Shortname]], Comp[], 19, FALSE)</f>
        <v>0</v>
      </c>
      <c r="W1158">
        <f>VLOOKUP(Table9[[#This Row],[Shortname]], Comp[], 20, FALSE)</f>
        <v>0</v>
      </c>
      <c r="X1158">
        <f>VLOOKUP(Table9[[#This Row],[Shortname]], Comp[], 21, FALSE)</f>
        <v>0</v>
      </c>
      <c r="Y1158">
        <f>VLOOKUP(Table9[[#This Row],[Shortname]], Comp[], 22, FALSE)</f>
        <v>0</v>
      </c>
      <c r="Z1158">
        <f>VLOOKUP(Table9[[#This Row],[Shortname]], Comp[], 23, FALSE)</f>
        <v>0</v>
      </c>
      <c r="AA1158">
        <f>VLOOKUP(Table9[[#This Row],[Shortname]], Comp[], 24, FALSE)</f>
        <v>0</v>
      </c>
      <c r="AB1158">
        <f>VLOOKUP(Table9[[#This Row],[Shortname]], Comp[], 25, FALSE)</f>
        <v>0</v>
      </c>
      <c r="AC1158">
        <f>VLOOKUP(Table9[[#This Row],[Shortname]], Comp[], 26, FALSE)</f>
        <v>0</v>
      </c>
      <c r="AD1158">
        <f>VLOOKUP(Table9[[#This Row],[Shortname]], Comp[], 27, FALSE)</f>
        <v>0</v>
      </c>
      <c r="AE1158">
        <f>VLOOKUP(Table9[[#This Row],[Shortname]], Comp[], 28, FALSE)</f>
        <v>0</v>
      </c>
      <c r="AF1158">
        <f>VLOOKUP(Table9[[#This Row],[Shortname]], Comp[], 29, FALSE)</f>
        <v>0</v>
      </c>
      <c r="AG1158">
        <f>VLOOKUP(Table9[[#This Row],[Shortname]], Comp[], 30, FALSE)</f>
        <v>0</v>
      </c>
      <c r="AH1158">
        <f>VLOOKUP(Table9[[#This Row],[Shortname]], Comp[], 31, FALSE)</f>
        <v>0</v>
      </c>
    </row>
    <row r="1159" spans="1:34" x14ac:dyDescent="0.3">
      <c r="A1159" t="s">
        <v>6135</v>
      </c>
      <c r="B1159" t="s">
        <v>3899</v>
      </c>
      <c r="C1159" t="s">
        <v>6139</v>
      </c>
      <c r="D1159">
        <v>1047</v>
      </c>
      <c r="E1159">
        <v>570</v>
      </c>
      <c r="F1159">
        <v>1E-3</v>
      </c>
      <c r="G1159">
        <v>1</v>
      </c>
      <c r="H1159" t="s">
        <v>6985</v>
      </c>
      <c r="I1159">
        <f>VLOOKUP(Table9[[#This Row],[Shortname]], Comp[], 6, FALSE)</f>
        <v>1004</v>
      </c>
      <c r="J1159" s="14">
        <f>VLOOKUP(Table9[[#This Row],[Shortname]], Comp[], 7, FALSE)</f>
        <v>59</v>
      </c>
      <c r="K1159">
        <f>VLOOKUP(Table9[[#This Row],[Shortname]], Comp[], 8, FALSE)</f>
        <v>30</v>
      </c>
      <c r="L1159">
        <f>VLOOKUP(Table9[[#This Row],[Shortname]], Comp[], 9, FALSE)</f>
        <v>7</v>
      </c>
      <c r="M1159">
        <f>VLOOKUP(Table9[[#This Row],[Shortname]], Comp[], 10, FALSE)</f>
        <v>0</v>
      </c>
      <c r="N1159">
        <f>VLOOKUP(Table9[[#This Row],[Shortname]], Comp[], 11, FALSE)</f>
        <v>0</v>
      </c>
      <c r="O1159">
        <f>VLOOKUP(Table9[[#This Row],[Shortname]], Comp[],12, FALSE)</f>
        <v>2</v>
      </c>
      <c r="P1159">
        <f>VLOOKUP(Table9[[#This Row],[Shortname]], Comp[], 13, FALSE)</f>
        <v>0</v>
      </c>
      <c r="Q1159">
        <f>VLOOKUP(Table9[[#This Row],[Shortname]], Comp[], 14, FALSE)</f>
        <v>2</v>
      </c>
      <c r="R1159">
        <f>VLOOKUP(Table9[[#This Row],[Shortname]], Comp[], 15, FALSE)</f>
        <v>0</v>
      </c>
      <c r="S1159">
        <f>VLOOKUP(Table9[[#This Row],[Shortname]], Comp[], 16, FALSE)</f>
        <v>0</v>
      </c>
      <c r="T1159">
        <f>VLOOKUP(Table9[[#This Row],[Shortname]], Comp[], 17, FALSE)</f>
        <v>0</v>
      </c>
      <c r="U1159">
        <f>VLOOKUP(Table9[[#This Row],[Shortname]], Comp[], 18, FALSE)</f>
        <v>0</v>
      </c>
      <c r="V1159">
        <f>VLOOKUP(Table9[[#This Row],[Shortname]], Comp[], 19, FALSE)</f>
        <v>0</v>
      </c>
      <c r="W1159">
        <f>VLOOKUP(Table9[[#This Row],[Shortname]], Comp[], 20, FALSE)</f>
        <v>0</v>
      </c>
      <c r="X1159">
        <f>VLOOKUP(Table9[[#This Row],[Shortname]], Comp[], 21, FALSE)</f>
        <v>0</v>
      </c>
      <c r="Y1159">
        <f>VLOOKUP(Table9[[#This Row],[Shortname]], Comp[], 22, FALSE)</f>
        <v>0</v>
      </c>
      <c r="Z1159">
        <f>VLOOKUP(Table9[[#This Row],[Shortname]], Comp[], 23, FALSE)</f>
        <v>0</v>
      </c>
      <c r="AA1159">
        <f>VLOOKUP(Table9[[#This Row],[Shortname]], Comp[], 24, FALSE)</f>
        <v>0</v>
      </c>
      <c r="AB1159">
        <f>VLOOKUP(Table9[[#This Row],[Shortname]], Comp[], 25, FALSE)</f>
        <v>0</v>
      </c>
      <c r="AC1159">
        <f>VLOOKUP(Table9[[#This Row],[Shortname]], Comp[], 26, FALSE)</f>
        <v>0</v>
      </c>
      <c r="AD1159">
        <f>VLOOKUP(Table9[[#This Row],[Shortname]], Comp[], 27, FALSE)</f>
        <v>0</v>
      </c>
      <c r="AE1159">
        <f>VLOOKUP(Table9[[#This Row],[Shortname]], Comp[], 28, FALSE)</f>
        <v>0</v>
      </c>
      <c r="AF1159">
        <f>VLOOKUP(Table9[[#This Row],[Shortname]], Comp[], 29, FALSE)</f>
        <v>0</v>
      </c>
      <c r="AG1159">
        <f>VLOOKUP(Table9[[#This Row],[Shortname]], Comp[], 30, FALSE)</f>
        <v>0</v>
      </c>
      <c r="AH1159">
        <f>VLOOKUP(Table9[[#This Row],[Shortname]], Comp[], 31, FALSE)</f>
        <v>0</v>
      </c>
    </row>
    <row r="1160" spans="1:34" x14ac:dyDescent="0.3">
      <c r="A1160" t="s">
        <v>6135</v>
      </c>
      <c r="B1160" t="s">
        <v>3899</v>
      </c>
      <c r="C1160" t="s">
        <v>6142</v>
      </c>
      <c r="D1160">
        <v>951</v>
      </c>
      <c r="E1160">
        <v>670</v>
      </c>
      <c r="F1160">
        <v>1E-3</v>
      </c>
      <c r="G1160">
        <v>1</v>
      </c>
      <c r="H1160" t="s">
        <v>6985</v>
      </c>
      <c r="I1160">
        <f>VLOOKUP(Table9[[#This Row],[Shortname]], Comp[], 6, FALSE)</f>
        <v>1004</v>
      </c>
      <c r="J1160" s="14">
        <f>VLOOKUP(Table9[[#This Row],[Shortname]], Comp[], 7, FALSE)</f>
        <v>59</v>
      </c>
      <c r="K1160">
        <f>VLOOKUP(Table9[[#This Row],[Shortname]], Comp[], 8, FALSE)</f>
        <v>30</v>
      </c>
      <c r="L1160">
        <f>VLOOKUP(Table9[[#This Row],[Shortname]], Comp[], 9, FALSE)</f>
        <v>7</v>
      </c>
      <c r="M1160">
        <f>VLOOKUP(Table9[[#This Row],[Shortname]], Comp[], 10, FALSE)</f>
        <v>0</v>
      </c>
      <c r="N1160">
        <f>VLOOKUP(Table9[[#This Row],[Shortname]], Comp[], 11, FALSE)</f>
        <v>0</v>
      </c>
      <c r="O1160">
        <f>VLOOKUP(Table9[[#This Row],[Shortname]], Comp[],12, FALSE)</f>
        <v>2</v>
      </c>
      <c r="P1160">
        <f>VLOOKUP(Table9[[#This Row],[Shortname]], Comp[], 13, FALSE)</f>
        <v>0</v>
      </c>
      <c r="Q1160">
        <f>VLOOKUP(Table9[[#This Row],[Shortname]], Comp[], 14, FALSE)</f>
        <v>2</v>
      </c>
      <c r="R1160">
        <f>VLOOKUP(Table9[[#This Row],[Shortname]], Comp[], 15, FALSE)</f>
        <v>0</v>
      </c>
      <c r="S1160">
        <f>VLOOKUP(Table9[[#This Row],[Shortname]], Comp[], 16, FALSE)</f>
        <v>0</v>
      </c>
      <c r="T1160">
        <f>VLOOKUP(Table9[[#This Row],[Shortname]], Comp[], 17, FALSE)</f>
        <v>0</v>
      </c>
      <c r="U1160">
        <f>VLOOKUP(Table9[[#This Row],[Shortname]], Comp[], 18, FALSE)</f>
        <v>0</v>
      </c>
      <c r="V1160">
        <f>VLOOKUP(Table9[[#This Row],[Shortname]], Comp[], 19, FALSE)</f>
        <v>0</v>
      </c>
      <c r="W1160">
        <f>VLOOKUP(Table9[[#This Row],[Shortname]], Comp[], 20, FALSE)</f>
        <v>0</v>
      </c>
      <c r="X1160">
        <f>VLOOKUP(Table9[[#This Row],[Shortname]], Comp[], 21, FALSE)</f>
        <v>0</v>
      </c>
      <c r="Y1160">
        <f>VLOOKUP(Table9[[#This Row],[Shortname]], Comp[], 22, FALSE)</f>
        <v>0</v>
      </c>
      <c r="Z1160">
        <f>VLOOKUP(Table9[[#This Row],[Shortname]], Comp[], 23, FALSE)</f>
        <v>0</v>
      </c>
      <c r="AA1160">
        <f>VLOOKUP(Table9[[#This Row],[Shortname]], Comp[], 24, FALSE)</f>
        <v>0</v>
      </c>
      <c r="AB1160">
        <f>VLOOKUP(Table9[[#This Row],[Shortname]], Comp[], 25, FALSE)</f>
        <v>0</v>
      </c>
      <c r="AC1160">
        <f>VLOOKUP(Table9[[#This Row],[Shortname]], Comp[], 26, FALSE)</f>
        <v>0</v>
      </c>
      <c r="AD1160">
        <f>VLOOKUP(Table9[[#This Row],[Shortname]], Comp[], 27, FALSE)</f>
        <v>0</v>
      </c>
      <c r="AE1160">
        <f>VLOOKUP(Table9[[#This Row],[Shortname]], Comp[], 28, FALSE)</f>
        <v>0</v>
      </c>
      <c r="AF1160">
        <f>VLOOKUP(Table9[[#This Row],[Shortname]], Comp[], 29, FALSE)</f>
        <v>0</v>
      </c>
      <c r="AG1160">
        <f>VLOOKUP(Table9[[#This Row],[Shortname]], Comp[], 30, FALSE)</f>
        <v>0</v>
      </c>
      <c r="AH1160">
        <f>VLOOKUP(Table9[[#This Row],[Shortname]], Comp[], 31, FALSE)</f>
        <v>0</v>
      </c>
    </row>
    <row r="1161" spans="1:34" x14ac:dyDescent="0.3">
      <c r="A1161" t="s">
        <v>6135</v>
      </c>
      <c r="B1161" t="s">
        <v>3899</v>
      </c>
      <c r="C1161" t="s">
        <v>6986</v>
      </c>
      <c r="D1161">
        <v>751</v>
      </c>
      <c r="E1161">
        <v>770</v>
      </c>
      <c r="F1161">
        <v>1E-3</v>
      </c>
      <c r="G1161">
        <v>1</v>
      </c>
      <c r="H1161" t="s">
        <v>6985</v>
      </c>
      <c r="I1161">
        <f>VLOOKUP(Table9[[#This Row],[Shortname]], Comp[], 6, FALSE)</f>
        <v>1004</v>
      </c>
      <c r="J1161" s="14">
        <f>VLOOKUP(Table9[[#This Row],[Shortname]], Comp[], 7, FALSE)</f>
        <v>59</v>
      </c>
      <c r="K1161">
        <f>VLOOKUP(Table9[[#This Row],[Shortname]], Comp[], 8, FALSE)</f>
        <v>30</v>
      </c>
      <c r="L1161">
        <f>VLOOKUP(Table9[[#This Row],[Shortname]], Comp[], 9, FALSE)</f>
        <v>7</v>
      </c>
      <c r="M1161">
        <f>VLOOKUP(Table9[[#This Row],[Shortname]], Comp[], 10, FALSE)</f>
        <v>0</v>
      </c>
      <c r="N1161">
        <f>VLOOKUP(Table9[[#This Row],[Shortname]], Comp[], 11, FALSE)</f>
        <v>0</v>
      </c>
      <c r="O1161">
        <f>VLOOKUP(Table9[[#This Row],[Shortname]], Comp[],12, FALSE)</f>
        <v>2</v>
      </c>
      <c r="P1161">
        <f>VLOOKUP(Table9[[#This Row],[Shortname]], Comp[], 13, FALSE)</f>
        <v>0</v>
      </c>
      <c r="Q1161">
        <f>VLOOKUP(Table9[[#This Row],[Shortname]], Comp[], 14, FALSE)</f>
        <v>2</v>
      </c>
      <c r="R1161">
        <f>VLOOKUP(Table9[[#This Row],[Shortname]], Comp[], 15, FALSE)</f>
        <v>0</v>
      </c>
      <c r="S1161">
        <f>VLOOKUP(Table9[[#This Row],[Shortname]], Comp[], 16, FALSE)</f>
        <v>0</v>
      </c>
      <c r="T1161">
        <f>VLOOKUP(Table9[[#This Row],[Shortname]], Comp[], 17, FALSE)</f>
        <v>0</v>
      </c>
      <c r="U1161">
        <f>VLOOKUP(Table9[[#This Row],[Shortname]], Comp[], 18, FALSE)</f>
        <v>0</v>
      </c>
      <c r="V1161">
        <f>VLOOKUP(Table9[[#This Row],[Shortname]], Comp[], 19, FALSE)</f>
        <v>0</v>
      </c>
      <c r="W1161">
        <f>VLOOKUP(Table9[[#This Row],[Shortname]], Comp[], 20, FALSE)</f>
        <v>0</v>
      </c>
      <c r="X1161">
        <f>VLOOKUP(Table9[[#This Row],[Shortname]], Comp[], 21, FALSE)</f>
        <v>0</v>
      </c>
      <c r="Y1161">
        <f>VLOOKUP(Table9[[#This Row],[Shortname]], Comp[], 22, FALSE)</f>
        <v>0</v>
      </c>
      <c r="Z1161">
        <f>VLOOKUP(Table9[[#This Row],[Shortname]], Comp[], 23, FALSE)</f>
        <v>0</v>
      </c>
      <c r="AA1161">
        <f>VLOOKUP(Table9[[#This Row],[Shortname]], Comp[], 24, FALSE)</f>
        <v>0</v>
      </c>
      <c r="AB1161">
        <f>VLOOKUP(Table9[[#This Row],[Shortname]], Comp[], 25, FALSE)</f>
        <v>0</v>
      </c>
      <c r="AC1161">
        <f>VLOOKUP(Table9[[#This Row],[Shortname]], Comp[], 26, FALSE)</f>
        <v>0</v>
      </c>
      <c r="AD1161">
        <f>VLOOKUP(Table9[[#This Row],[Shortname]], Comp[], 27, FALSE)</f>
        <v>0</v>
      </c>
      <c r="AE1161">
        <f>VLOOKUP(Table9[[#This Row],[Shortname]], Comp[], 28, FALSE)</f>
        <v>0</v>
      </c>
      <c r="AF1161">
        <f>VLOOKUP(Table9[[#This Row],[Shortname]], Comp[], 29, FALSE)</f>
        <v>0</v>
      </c>
      <c r="AG1161">
        <f>VLOOKUP(Table9[[#This Row],[Shortname]], Comp[], 30, FALSE)</f>
        <v>0</v>
      </c>
      <c r="AH1161">
        <f>VLOOKUP(Table9[[#This Row],[Shortname]], Comp[], 31, FALSE)</f>
        <v>0</v>
      </c>
    </row>
    <row r="1162" spans="1:34" x14ac:dyDescent="0.3">
      <c r="A1162" t="s">
        <v>6135</v>
      </c>
      <c r="B1162" t="s">
        <v>3899</v>
      </c>
      <c r="C1162" t="s">
        <v>6987</v>
      </c>
      <c r="D1162">
        <v>449</v>
      </c>
      <c r="E1162">
        <v>870</v>
      </c>
      <c r="F1162">
        <v>1E-3</v>
      </c>
      <c r="G1162">
        <v>1</v>
      </c>
      <c r="H1162" t="s">
        <v>6985</v>
      </c>
      <c r="I1162">
        <f>VLOOKUP(Table9[[#This Row],[Shortname]], Comp[], 6, FALSE)</f>
        <v>1004</v>
      </c>
      <c r="J1162" s="14">
        <f>VLOOKUP(Table9[[#This Row],[Shortname]], Comp[], 7, FALSE)</f>
        <v>59</v>
      </c>
      <c r="K1162">
        <f>VLOOKUP(Table9[[#This Row],[Shortname]], Comp[], 8, FALSE)</f>
        <v>30</v>
      </c>
      <c r="L1162">
        <f>VLOOKUP(Table9[[#This Row],[Shortname]], Comp[], 9, FALSE)</f>
        <v>7</v>
      </c>
      <c r="M1162">
        <f>VLOOKUP(Table9[[#This Row],[Shortname]], Comp[], 10, FALSE)</f>
        <v>0</v>
      </c>
      <c r="N1162">
        <f>VLOOKUP(Table9[[#This Row],[Shortname]], Comp[], 11, FALSE)</f>
        <v>0</v>
      </c>
      <c r="O1162">
        <f>VLOOKUP(Table9[[#This Row],[Shortname]], Comp[],12, FALSE)</f>
        <v>2</v>
      </c>
      <c r="P1162">
        <f>VLOOKUP(Table9[[#This Row],[Shortname]], Comp[], 13, FALSE)</f>
        <v>0</v>
      </c>
      <c r="Q1162">
        <f>VLOOKUP(Table9[[#This Row],[Shortname]], Comp[], 14, FALSE)</f>
        <v>2</v>
      </c>
      <c r="R1162">
        <f>VLOOKUP(Table9[[#This Row],[Shortname]], Comp[], 15, FALSE)</f>
        <v>0</v>
      </c>
      <c r="S1162">
        <f>VLOOKUP(Table9[[#This Row],[Shortname]], Comp[], 16, FALSE)</f>
        <v>0</v>
      </c>
      <c r="T1162">
        <f>VLOOKUP(Table9[[#This Row],[Shortname]], Comp[], 17, FALSE)</f>
        <v>0</v>
      </c>
      <c r="U1162">
        <f>VLOOKUP(Table9[[#This Row],[Shortname]], Comp[], 18, FALSE)</f>
        <v>0</v>
      </c>
      <c r="V1162">
        <f>VLOOKUP(Table9[[#This Row],[Shortname]], Comp[], 19, FALSE)</f>
        <v>0</v>
      </c>
      <c r="W1162">
        <f>VLOOKUP(Table9[[#This Row],[Shortname]], Comp[], 20, FALSE)</f>
        <v>0</v>
      </c>
      <c r="X1162">
        <f>VLOOKUP(Table9[[#This Row],[Shortname]], Comp[], 21, FALSE)</f>
        <v>0</v>
      </c>
      <c r="Y1162">
        <f>VLOOKUP(Table9[[#This Row],[Shortname]], Comp[], 22, FALSE)</f>
        <v>0</v>
      </c>
      <c r="Z1162">
        <f>VLOOKUP(Table9[[#This Row],[Shortname]], Comp[], 23, FALSE)</f>
        <v>0</v>
      </c>
      <c r="AA1162">
        <f>VLOOKUP(Table9[[#This Row],[Shortname]], Comp[], 24, FALSE)</f>
        <v>0</v>
      </c>
      <c r="AB1162">
        <f>VLOOKUP(Table9[[#This Row],[Shortname]], Comp[], 25, FALSE)</f>
        <v>0</v>
      </c>
      <c r="AC1162">
        <f>VLOOKUP(Table9[[#This Row],[Shortname]], Comp[], 26, FALSE)</f>
        <v>0</v>
      </c>
      <c r="AD1162">
        <f>VLOOKUP(Table9[[#This Row],[Shortname]], Comp[], 27, FALSE)</f>
        <v>0</v>
      </c>
      <c r="AE1162">
        <f>VLOOKUP(Table9[[#This Row],[Shortname]], Comp[], 28, FALSE)</f>
        <v>0</v>
      </c>
      <c r="AF1162">
        <f>VLOOKUP(Table9[[#This Row],[Shortname]], Comp[], 29, FALSE)</f>
        <v>0</v>
      </c>
      <c r="AG1162">
        <f>VLOOKUP(Table9[[#This Row],[Shortname]], Comp[], 30, FALSE)</f>
        <v>0</v>
      </c>
      <c r="AH1162">
        <f>VLOOKUP(Table9[[#This Row],[Shortname]], Comp[], 31, FALSE)</f>
        <v>0</v>
      </c>
    </row>
    <row r="1163" spans="1:34" x14ac:dyDescent="0.3">
      <c r="A1163" t="s">
        <v>6138</v>
      </c>
      <c r="B1163" t="s">
        <v>3893</v>
      </c>
      <c r="C1163" t="s">
        <v>6139</v>
      </c>
      <c r="D1163">
        <v>1042</v>
      </c>
      <c r="E1163">
        <v>25</v>
      </c>
      <c r="F1163">
        <v>1E-3</v>
      </c>
      <c r="G1163">
        <v>1</v>
      </c>
      <c r="H1163" t="s">
        <v>6985</v>
      </c>
      <c r="I1163">
        <f>VLOOKUP(Table9[[#This Row],[Shortname]], Comp[], 6, FALSE)</f>
        <v>1005</v>
      </c>
      <c r="J1163" s="14">
        <f>VLOOKUP(Table9[[#This Row],[Shortname]], Comp[], 7, FALSE)</f>
        <v>57</v>
      </c>
      <c r="K1163">
        <f>VLOOKUP(Table9[[#This Row],[Shortname]], Comp[], 8, FALSE)</f>
        <v>30</v>
      </c>
      <c r="L1163">
        <f>VLOOKUP(Table9[[#This Row],[Shortname]], Comp[], 9, FALSE)</f>
        <v>7</v>
      </c>
      <c r="M1163">
        <f>VLOOKUP(Table9[[#This Row],[Shortname]], Comp[], 10, FALSE)</f>
        <v>0</v>
      </c>
      <c r="N1163">
        <f>VLOOKUP(Table9[[#This Row],[Shortname]], Comp[], 11, FALSE)</f>
        <v>0</v>
      </c>
      <c r="O1163">
        <f>VLOOKUP(Table9[[#This Row],[Shortname]], Comp[],12, FALSE)</f>
        <v>4</v>
      </c>
      <c r="P1163">
        <f>VLOOKUP(Table9[[#This Row],[Shortname]], Comp[], 13, FALSE)</f>
        <v>0</v>
      </c>
      <c r="Q1163">
        <f>VLOOKUP(Table9[[#This Row],[Shortname]], Comp[], 14, FALSE)</f>
        <v>2</v>
      </c>
      <c r="R1163">
        <f>VLOOKUP(Table9[[#This Row],[Shortname]], Comp[], 15, FALSE)</f>
        <v>0</v>
      </c>
      <c r="S1163">
        <f>VLOOKUP(Table9[[#This Row],[Shortname]], Comp[], 16, FALSE)</f>
        <v>0</v>
      </c>
      <c r="T1163">
        <f>VLOOKUP(Table9[[#This Row],[Shortname]], Comp[], 17, FALSE)</f>
        <v>0</v>
      </c>
      <c r="U1163">
        <f>VLOOKUP(Table9[[#This Row],[Shortname]], Comp[], 18, FALSE)</f>
        <v>0</v>
      </c>
      <c r="V1163">
        <f>VLOOKUP(Table9[[#This Row],[Shortname]], Comp[], 19, FALSE)</f>
        <v>0</v>
      </c>
      <c r="W1163">
        <f>VLOOKUP(Table9[[#This Row],[Shortname]], Comp[], 20, FALSE)</f>
        <v>0</v>
      </c>
      <c r="X1163">
        <f>VLOOKUP(Table9[[#This Row],[Shortname]], Comp[], 21, FALSE)</f>
        <v>0</v>
      </c>
      <c r="Y1163">
        <f>VLOOKUP(Table9[[#This Row],[Shortname]], Comp[], 22, FALSE)</f>
        <v>0</v>
      </c>
      <c r="Z1163">
        <f>VLOOKUP(Table9[[#This Row],[Shortname]], Comp[], 23, FALSE)</f>
        <v>0</v>
      </c>
      <c r="AA1163">
        <f>VLOOKUP(Table9[[#This Row],[Shortname]], Comp[], 24, FALSE)</f>
        <v>0</v>
      </c>
      <c r="AB1163">
        <f>VLOOKUP(Table9[[#This Row],[Shortname]], Comp[], 25, FALSE)</f>
        <v>0</v>
      </c>
      <c r="AC1163">
        <f>VLOOKUP(Table9[[#This Row],[Shortname]], Comp[], 26, FALSE)</f>
        <v>0</v>
      </c>
      <c r="AD1163">
        <f>VLOOKUP(Table9[[#This Row],[Shortname]], Comp[], 27, FALSE)</f>
        <v>0</v>
      </c>
      <c r="AE1163">
        <f>VLOOKUP(Table9[[#This Row],[Shortname]], Comp[], 28, FALSE)</f>
        <v>0</v>
      </c>
      <c r="AF1163">
        <f>VLOOKUP(Table9[[#This Row],[Shortname]], Comp[], 29, FALSE)</f>
        <v>0</v>
      </c>
      <c r="AG1163">
        <f>VLOOKUP(Table9[[#This Row],[Shortname]], Comp[], 30, FALSE)</f>
        <v>0</v>
      </c>
      <c r="AH1163">
        <f>VLOOKUP(Table9[[#This Row],[Shortname]], Comp[], 31, FALSE)</f>
        <v>0</v>
      </c>
    </row>
    <row r="1164" spans="1:34" x14ac:dyDescent="0.3">
      <c r="A1164" t="s">
        <v>6138</v>
      </c>
      <c r="B1164" t="s">
        <v>3893</v>
      </c>
      <c r="C1164" t="s">
        <v>6142</v>
      </c>
      <c r="D1164">
        <v>1085</v>
      </c>
      <c r="E1164">
        <v>570</v>
      </c>
      <c r="F1164">
        <v>1E-3</v>
      </c>
      <c r="G1164">
        <v>1</v>
      </c>
      <c r="H1164" t="s">
        <v>6985</v>
      </c>
      <c r="I1164">
        <f>VLOOKUP(Table9[[#This Row],[Shortname]], Comp[], 6, FALSE)</f>
        <v>1005</v>
      </c>
      <c r="J1164" s="14">
        <f>VLOOKUP(Table9[[#This Row],[Shortname]], Comp[], 7, FALSE)</f>
        <v>57</v>
      </c>
      <c r="K1164">
        <f>VLOOKUP(Table9[[#This Row],[Shortname]], Comp[], 8, FALSE)</f>
        <v>30</v>
      </c>
      <c r="L1164">
        <f>VLOOKUP(Table9[[#This Row],[Shortname]], Comp[], 9, FALSE)</f>
        <v>7</v>
      </c>
      <c r="M1164">
        <f>VLOOKUP(Table9[[#This Row],[Shortname]], Comp[], 10, FALSE)</f>
        <v>0</v>
      </c>
      <c r="N1164">
        <f>VLOOKUP(Table9[[#This Row],[Shortname]], Comp[], 11, FALSE)</f>
        <v>0</v>
      </c>
      <c r="O1164">
        <f>VLOOKUP(Table9[[#This Row],[Shortname]], Comp[],12, FALSE)</f>
        <v>4</v>
      </c>
      <c r="P1164">
        <f>VLOOKUP(Table9[[#This Row],[Shortname]], Comp[], 13, FALSE)</f>
        <v>0</v>
      </c>
      <c r="Q1164">
        <f>VLOOKUP(Table9[[#This Row],[Shortname]], Comp[], 14, FALSE)</f>
        <v>2</v>
      </c>
      <c r="R1164">
        <f>VLOOKUP(Table9[[#This Row],[Shortname]], Comp[], 15, FALSE)</f>
        <v>0</v>
      </c>
      <c r="S1164">
        <f>VLOOKUP(Table9[[#This Row],[Shortname]], Comp[], 16, FALSE)</f>
        <v>0</v>
      </c>
      <c r="T1164">
        <f>VLOOKUP(Table9[[#This Row],[Shortname]], Comp[], 17, FALSE)</f>
        <v>0</v>
      </c>
      <c r="U1164">
        <f>VLOOKUP(Table9[[#This Row],[Shortname]], Comp[], 18, FALSE)</f>
        <v>0</v>
      </c>
      <c r="V1164">
        <f>VLOOKUP(Table9[[#This Row],[Shortname]], Comp[], 19, FALSE)</f>
        <v>0</v>
      </c>
      <c r="W1164">
        <f>VLOOKUP(Table9[[#This Row],[Shortname]], Comp[], 20, FALSE)</f>
        <v>0</v>
      </c>
      <c r="X1164">
        <f>VLOOKUP(Table9[[#This Row],[Shortname]], Comp[], 21, FALSE)</f>
        <v>0</v>
      </c>
      <c r="Y1164">
        <f>VLOOKUP(Table9[[#This Row],[Shortname]], Comp[], 22, FALSE)</f>
        <v>0</v>
      </c>
      <c r="Z1164">
        <f>VLOOKUP(Table9[[#This Row],[Shortname]], Comp[], 23, FALSE)</f>
        <v>0</v>
      </c>
      <c r="AA1164">
        <f>VLOOKUP(Table9[[#This Row],[Shortname]], Comp[], 24, FALSE)</f>
        <v>0</v>
      </c>
      <c r="AB1164">
        <f>VLOOKUP(Table9[[#This Row],[Shortname]], Comp[], 25, FALSE)</f>
        <v>0</v>
      </c>
      <c r="AC1164">
        <f>VLOOKUP(Table9[[#This Row],[Shortname]], Comp[], 26, FALSE)</f>
        <v>0</v>
      </c>
      <c r="AD1164">
        <f>VLOOKUP(Table9[[#This Row],[Shortname]], Comp[], 27, FALSE)</f>
        <v>0</v>
      </c>
      <c r="AE1164">
        <f>VLOOKUP(Table9[[#This Row],[Shortname]], Comp[], 28, FALSE)</f>
        <v>0</v>
      </c>
      <c r="AF1164">
        <f>VLOOKUP(Table9[[#This Row],[Shortname]], Comp[], 29, FALSE)</f>
        <v>0</v>
      </c>
      <c r="AG1164">
        <f>VLOOKUP(Table9[[#This Row],[Shortname]], Comp[], 30, FALSE)</f>
        <v>0</v>
      </c>
      <c r="AH1164">
        <f>VLOOKUP(Table9[[#This Row],[Shortname]], Comp[], 31, FALSE)</f>
        <v>0</v>
      </c>
    </row>
    <row r="1165" spans="1:34" x14ac:dyDescent="0.3">
      <c r="A1165" t="s">
        <v>6138</v>
      </c>
      <c r="B1165" t="s">
        <v>3893</v>
      </c>
      <c r="C1165" t="s">
        <v>6986</v>
      </c>
      <c r="D1165">
        <v>974</v>
      </c>
      <c r="E1165">
        <v>670</v>
      </c>
      <c r="F1165">
        <v>1E-3</v>
      </c>
      <c r="G1165">
        <v>1</v>
      </c>
      <c r="H1165" t="s">
        <v>6985</v>
      </c>
      <c r="I1165">
        <f>VLOOKUP(Table9[[#This Row],[Shortname]], Comp[], 6, FALSE)</f>
        <v>1005</v>
      </c>
      <c r="J1165" s="14">
        <f>VLOOKUP(Table9[[#This Row],[Shortname]], Comp[], 7, FALSE)</f>
        <v>57</v>
      </c>
      <c r="K1165">
        <f>VLOOKUP(Table9[[#This Row],[Shortname]], Comp[], 8, FALSE)</f>
        <v>30</v>
      </c>
      <c r="L1165">
        <f>VLOOKUP(Table9[[#This Row],[Shortname]], Comp[], 9, FALSE)</f>
        <v>7</v>
      </c>
      <c r="M1165">
        <f>VLOOKUP(Table9[[#This Row],[Shortname]], Comp[], 10, FALSE)</f>
        <v>0</v>
      </c>
      <c r="N1165">
        <f>VLOOKUP(Table9[[#This Row],[Shortname]], Comp[], 11, FALSE)</f>
        <v>0</v>
      </c>
      <c r="O1165">
        <f>VLOOKUP(Table9[[#This Row],[Shortname]], Comp[],12, FALSE)</f>
        <v>4</v>
      </c>
      <c r="P1165">
        <f>VLOOKUP(Table9[[#This Row],[Shortname]], Comp[], 13, FALSE)</f>
        <v>0</v>
      </c>
      <c r="Q1165">
        <f>VLOOKUP(Table9[[#This Row],[Shortname]], Comp[], 14, FALSE)</f>
        <v>2</v>
      </c>
      <c r="R1165">
        <f>VLOOKUP(Table9[[#This Row],[Shortname]], Comp[], 15, FALSE)</f>
        <v>0</v>
      </c>
      <c r="S1165">
        <f>VLOOKUP(Table9[[#This Row],[Shortname]], Comp[], 16, FALSE)</f>
        <v>0</v>
      </c>
      <c r="T1165">
        <f>VLOOKUP(Table9[[#This Row],[Shortname]], Comp[], 17, FALSE)</f>
        <v>0</v>
      </c>
      <c r="U1165">
        <f>VLOOKUP(Table9[[#This Row],[Shortname]], Comp[], 18, FALSE)</f>
        <v>0</v>
      </c>
      <c r="V1165">
        <f>VLOOKUP(Table9[[#This Row],[Shortname]], Comp[], 19, FALSE)</f>
        <v>0</v>
      </c>
      <c r="W1165">
        <f>VLOOKUP(Table9[[#This Row],[Shortname]], Comp[], 20, FALSE)</f>
        <v>0</v>
      </c>
      <c r="X1165">
        <f>VLOOKUP(Table9[[#This Row],[Shortname]], Comp[], 21, FALSE)</f>
        <v>0</v>
      </c>
      <c r="Y1165">
        <f>VLOOKUP(Table9[[#This Row],[Shortname]], Comp[], 22, FALSE)</f>
        <v>0</v>
      </c>
      <c r="Z1165">
        <f>VLOOKUP(Table9[[#This Row],[Shortname]], Comp[], 23, FALSE)</f>
        <v>0</v>
      </c>
      <c r="AA1165">
        <f>VLOOKUP(Table9[[#This Row],[Shortname]], Comp[], 24, FALSE)</f>
        <v>0</v>
      </c>
      <c r="AB1165">
        <f>VLOOKUP(Table9[[#This Row],[Shortname]], Comp[], 25, FALSE)</f>
        <v>0</v>
      </c>
      <c r="AC1165">
        <f>VLOOKUP(Table9[[#This Row],[Shortname]], Comp[], 26, FALSE)</f>
        <v>0</v>
      </c>
      <c r="AD1165">
        <f>VLOOKUP(Table9[[#This Row],[Shortname]], Comp[], 27, FALSE)</f>
        <v>0</v>
      </c>
      <c r="AE1165">
        <f>VLOOKUP(Table9[[#This Row],[Shortname]], Comp[], 28, FALSE)</f>
        <v>0</v>
      </c>
      <c r="AF1165">
        <f>VLOOKUP(Table9[[#This Row],[Shortname]], Comp[], 29, FALSE)</f>
        <v>0</v>
      </c>
      <c r="AG1165">
        <f>VLOOKUP(Table9[[#This Row],[Shortname]], Comp[], 30, FALSE)</f>
        <v>0</v>
      </c>
      <c r="AH1165">
        <f>VLOOKUP(Table9[[#This Row],[Shortname]], Comp[], 31, FALSE)</f>
        <v>0</v>
      </c>
    </row>
    <row r="1166" spans="1:34" x14ac:dyDescent="0.3">
      <c r="A1166" t="s">
        <v>6138</v>
      </c>
      <c r="B1166" t="s">
        <v>3893</v>
      </c>
      <c r="C1166" t="s">
        <v>6987</v>
      </c>
      <c r="D1166">
        <v>861</v>
      </c>
      <c r="E1166">
        <v>770</v>
      </c>
      <c r="F1166">
        <v>1E-3</v>
      </c>
      <c r="G1166">
        <v>1</v>
      </c>
      <c r="H1166" t="s">
        <v>6985</v>
      </c>
      <c r="I1166">
        <f>VLOOKUP(Table9[[#This Row],[Shortname]], Comp[], 6, FALSE)</f>
        <v>1005</v>
      </c>
      <c r="J1166" s="14">
        <f>VLOOKUP(Table9[[#This Row],[Shortname]], Comp[], 7, FALSE)</f>
        <v>57</v>
      </c>
      <c r="K1166">
        <f>VLOOKUP(Table9[[#This Row],[Shortname]], Comp[], 8, FALSE)</f>
        <v>30</v>
      </c>
      <c r="L1166">
        <f>VLOOKUP(Table9[[#This Row],[Shortname]], Comp[], 9, FALSE)</f>
        <v>7</v>
      </c>
      <c r="M1166">
        <f>VLOOKUP(Table9[[#This Row],[Shortname]], Comp[], 10, FALSE)</f>
        <v>0</v>
      </c>
      <c r="N1166">
        <f>VLOOKUP(Table9[[#This Row],[Shortname]], Comp[], 11, FALSE)</f>
        <v>0</v>
      </c>
      <c r="O1166">
        <f>VLOOKUP(Table9[[#This Row],[Shortname]], Comp[],12, FALSE)</f>
        <v>4</v>
      </c>
      <c r="P1166">
        <f>VLOOKUP(Table9[[#This Row],[Shortname]], Comp[], 13, FALSE)</f>
        <v>0</v>
      </c>
      <c r="Q1166">
        <f>VLOOKUP(Table9[[#This Row],[Shortname]], Comp[], 14, FALSE)</f>
        <v>2</v>
      </c>
      <c r="R1166">
        <f>VLOOKUP(Table9[[#This Row],[Shortname]], Comp[], 15, FALSE)</f>
        <v>0</v>
      </c>
      <c r="S1166">
        <f>VLOOKUP(Table9[[#This Row],[Shortname]], Comp[], 16, FALSE)</f>
        <v>0</v>
      </c>
      <c r="T1166">
        <f>VLOOKUP(Table9[[#This Row],[Shortname]], Comp[], 17, FALSE)</f>
        <v>0</v>
      </c>
      <c r="U1166">
        <f>VLOOKUP(Table9[[#This Row],[Shortname]], Comp[], 18, FALSE)</f>
        <v>0</v>
      </c>
      <c r="V1166">
        <f>VLOOKUP(Table9[[#This Row],[Shortname]], Comp[], 19, FALSE)</f>
        <v>0</v>
      </c>
      <c r="W1166">
        <f>VLOOKUP(Table9[[#This Row],[Shortname]], Comp[], 20, FALSE)</f>
        <v>0</v>
      </c>
      <c r="X1166">
        <f>VLOOKUP(Table9[[#This Row],[Shortname]], Comp[], 21, FALSE)</f>
        <v>0</v>
      </c>
      <c r="Y1166">
        <f>VLOOKUP(Table9[[#This Row],[Shortname]], Comp[], 22, FALSE)</f>
        <v>0</v>
      </c>
      <c r="Z1166">
        <f>VLOOKUP(Table9[[#This Row],[Shortname]], Comp[], 23, FALSE)</f>
        <v>0</v>
      </c>
      <c r="AA1166">
        <f>VLOOKUP(Table9[[#This Row],[Shortname]], Comp[], 24, FALSE)</f>
        <v>0</v>
      </c>
      <c r="AB1166">
        <f>VLOOKUP(Table9[[#This Row],[Shortname]], Comp[], 25, FALSE)</f>
        <v>0</v>
      </c>
      <c r="AC1166">
        <f>VLOOKUP(Table9[[#This Row],[Shortname]], Comp[], 26, FALSE)</f>
        <v>0</v>
      </c>
      <c r="AD1166">
        <f>VLOOKUP(Table9[[#This Row],[Shortname]], Comp[], 27, FALSE)</f>
        <v>0</v>
      </c>
      <c r="AE1166">
        <f>VLOOKUP(Table9[[#This Row],[Shortname]], Comp[], 28, FALSE)</f>
        <v>0</v>
      </c>
      <c r="AF1166">
        <f>VLOOKUP(Table9[[#This Row],[Shortname]], Comp[], 29, FALSE)</f>
        <v>0</v>
      </c>
      <c r="AG1166">
        <f>VLOOKUP(Table9[[#This Row],[Shortname]], Comp[], 30, FALSE)</f>
        <v>0</v>
      </c>
      <c r="AH1166">
        <f>VLOOKUP(Table9[[#This Row],[Shortname]], Comp[], 31, FALSE)</f>
        <v>0</v>
      </c>
    </row>
    <row r="1167" spans="1:34" x14ac:dyDescent="0.3">
      <c r="A1167" t="s">
        <v>6138</v>
      </c>
      <c r="B1167" t="s">
        <v>3893</v>
      </c>
      <c r="C1167" t="s">
        <v>6988</v>
      </c>
      <c r="D1167">
        <v>640</v>
      </c>
      <c r="E1167">
        <v>870</v>
      </c>
      <c r="F1167">
        <v>1E-3</v>
      </c>
      <c r="G1167">
        <v>1</v>
      </c>
      <c r="H1167" t="s">
        <v>6985</v>
      </c>
      <c r="I1167">
        <f>VLOOKUP(Table9[[#This Row],[Shortname]], Comp[], 6, FALSE)</f>
        <v>1005</v>
      </c>
      <c r="J1167" s="14">
        <f>VLOOKUP(Table9[[#This Row],[Shortname]], Comp[], 7, FALSE)</f>
        <v>57</v>
      </c>
      <c r="K1167">
        <f>VLOOKUP(Table9[[#This Row],[Shortname]], Comp[], 8, FALSE)</f>
        <v>30</v>
      </c>
      <c r="L1167">
        <f>VLOOKUP(Table9[[#This Row],[Shortname]], Comp[], 9, FALSE)</f>
        <v>7</v>
      </c>
      <c r="M1167">
        <f>VLOOKUP(Table9[[#This Row],[Shortname]], Comp[], 10, FALSE)</f>
        <v>0</v>
      </c>
      <c r="N1167">
        <f>VLOOKUP(Table9[[#This Row],[Shortname]], Comp[], 11, FALSE)</f>
        <v>0</v>
      </c>
      <c r="O1167">
        <f>VLOOKUP(Table9[[#This Row],[Shortname]], Comp[],12, FALSE)</f>
        <v>4</v>
      </c>
      <c r="P1167">
        <f>VLOOKUP(Table9[[#This Row],[Shortname]], Comp[], 13, FALSE)</f>
        <v>0</v>
      </c>
      <c r="Q1167">
        <f>VLOOKUP(Table9[[#This Row],[Shortname]], Comp[], 14, FALSE)</f>
        <v>2</v>
      </c>
      <c r="R1167">
        <f>VLOOKUP(Table9[[#This Row],[Shortname]], Comp[], 15, FALSE)</f>
        <v>0</v>
      </c>
      <c r="S1167">
        <f>VLOOKUP(Table9[[#This Row],[Shortname]], Comp[], 16, FALSE)</f>
        <v>0</v>
      </c>
      <c r="T1167">
        <f>VLOOKUP(Table9[[#This Row],[Shortname]], Comp[], 17, FALSE)</f>
        <v>0</v>
      </c>
      <c r="U1167">
        <f>VLOOKUP(Table9[[#This Row],[Shortname]], Comp[], 18, FALSE)</f>
        <v>0</v>
      </c>
      <c r="V1167">
        <f>VLOOKUP(Table9[[#This Row],[Shortname]], Comp[], 19, FALSE)</f>
        <v>0</v>
      </c>
      <c r="W1167">
        <f>VLOOKUP(Table9[[#This Row],[Shortname]], Comp[], 20, FALSE)</f>
        <v>0</v>
      </c>
      <c r="X1167">
        <f>VLOOKUP(Table9[[#This Row],[Shortname]], Comp[], 21, FALSE)</f>
        <v>0</v>
      </c>
      <c r="Y1167">
        <f>VLOOKUP(Table9[[#This Row],[Shortname]], Comp[], 22, FALSE)</f>
        <v>0</v>
      </c>
      <c r="Z1167">
        <f>VLOOKUP(Table9[[#This Row],[Shortname]], Comp[], 23, FALSE)</f>
        <v>0</v>
      </c>
      <c r="AA1167">
        <f>VLOOKUP(Table9[[#This Row],[Shortname]], Comp[], 24, FALSE)</f>
        <v>0</v>
      </c>
      <c r="AB1167">
        <f>VLOOKUP(Table9[[#This Row],[Shortname]], Comp[], 25, FALSE)</f>
        <v>0</v>
      </c>
      <c r="AC1167">
        <f>VLOOKUP(Table9[[#This Row],[Shortname]], Comp[], 26, FALSE)</f>
        <v>0</v>
      </c>
      <c r="AD1167">
        <f>VLOOKUP(Table9[[#This Row],[Shortname]], Comp[], 27, FALSE)</f>
        <v>0</v>
      </c>
      <c r="AE1167">
        <f>VLOOKUP(Table9[[#This Row],[Shortname]], Comp[], 28, FALSE)</f>
        <v>0</v>
      </c>
      <c r="AF1167">
        <f>VLOOKUP(Table9[[#This Row],[Shortname]], Comp[], 29, FALSE)</f>
        <v>0</v>
      </c>
      <c r="AG1167">
        <f>VLOOKUP(Table9[[#This Row],[Shortname]], Comp[], 30, FALSE)</f>
        <v>0</v>
      </c>
      <c r="AH1167">
        <f>VLOOKUP(Table9[[#This Row],[Shortname]], Comp[], 31, FALSE)</f>
        <v>0</v>
      </c>
    </row>
    <row r="1168" spans="1:34" x14ac:dyDescent="0.3">
      <c r="A1168" t="s">
        <v>6141</v>
      </c>
      <c r="B1168" t="s">
        <v>5263</v>
      </c>
      <c r="C1168" t="s">
        <v>6142</v>
      </c>
      <c r="D1168">
        <v>851</v>
      </c>
      <c r="E1168">
        <v>25</v>
      </c>
      <c r="F1168">
        <v>1E-3</v>
      </c>
      <c r="G1168">
        <v>1</v>
      </c>
      <c r="H1168" t="s">
        <v>6985</v>
      </c>
      <c r="I1168">
        <f>VLOOKUP(Table9[[#This Row],[Shortname]], Comp[], 6, FALSE)</f>
        <v>1006</v>
      </c>
      <c r="J1168" s="14">
        <f>VLOOKUP(Table9[[#This Row],[Shortname]], Comp[], 7, FALSE)</f>
        <v>55</v>
      </c>
      <c r="K1168">
        <f>VLOOKUP(Table9[[#This Row],[Shortname]], Comp[], 8, FALSE)</f>
        <v>30</v>
      </c>
      <c r="L1168">
        <f>VLOOKUP(Table9[[#This Row],[Shortname]], Comp[], 9, FALSE)</f>
        <v>7</v>
      </c>
      <c r="M1168">
        <f>VLOOKUP(Table9[[#This Row],[Shortname]], Comp[], 10, FALSE)</f>
        <v>0</v>
      </c>
      <c r="N1168">
        <f>VLOOKUP(Table9[[#This Row],[Shortname]], Comp[], 11, FALSE)</f>
        <v>0</v>
      </c>
      <c r="O1168">
        <f>VLOOKUP(Table9[[#This Row],[Shortname]], Comp[],12, FALSE)</f>
        <v>6</v>
      </c>
      <c r="P1168">
        <f>VLOOKUP(Table9[[#This Row],[Shortname]], Comp[], 13, FALSE)</f>
        <v>0</v>
      </c>
      <c r="Q1168">
        <f>VLOOKUP(Table9[[#This Row],[Shortname]], Comp[], 14, FALSE)</f>
        <v>2</v>
      </c>
      <c r="R1168">
        <f>VLOOKUP(Table9[[#This Row],[Shortname]], Comp[], 15, FALSE)</f>
        <v>0</v>
      </c>
      <c r="S1168">
        <f>VLOOKUP(Table9[[#This Row],[Shortname]], Comp[], 16, FALSE)</f>
        <v>0</v>
      </c>
      <c r="T1168">
        <f>VLOOKUP(Table9[[#This Row],[Shortname]], Comp[], 17, FALSE)</f>
        <v>0</v>
      </c>
      <c r="U1168">
        <f>VLOOKUP(Table9[[#This Row],[Shortname]], Comp[], 18, FALSE)</f>
        <v>0</v>
      </c>
      <c r="V1168">
        <f>VLOOKUP(Table9[[#This Row],[Shortname]], Comp[], 19, FALSE)</f>
        <v>0</v>
      </c>
      <c r="W1168">
        <f>VLOOKUP(Table9[[#This Row],[Shortname]], Comp[], 20, FALSE)</f>
        <v>0</v>
      </c>
      <c r="X1168">
        <f>VLOOKUP(Table9[[#This Row],[Shortname]], Comp[], 21, FALSE)</f>
        <v>0</v>
      </c>
      <c r="Y1168">
        <f>VLOOKUP(Table9[[#This Row],[Shortname]], Comp[], 22, FALSE)</f>
        <v>0</v>
      </c>
      <c r="Z1168">
        <f>VLOOKUP(Table9[[#This Row],[Shortname]], Comp[], 23, FALSE)</f>
        <v>0</v>
      </c>
      <c r="AA1168">
        <f>VLOOKUP(Table9[[#This Row],[Shortname]], Comp[], 24, FALSE)</f>
        <v>0</v>
      </c>
      <c r="AB1168">
        <f>VLOOKUP(Table9[[#This Row],[Shortname]], Comp[], 25, FALSE)</f>
        <v>0</v>
      </c>
      <c r="AC1168">
        <f>VLOOKUP(Table9[[#This Row],[Shortname]], Comp[], 26, FALSE)</f>
        <v>0</v>
      </c>
      <c r="AD1168">
        <f>VLOOKUP(Table9[[#This Row],[Shortname]], Comp[], 27, FALSE)</f>
        <v>0</v>
      </c>
      <c r="AE1168">
        <f>VLOOKUP(Table9[[#This Row],[Shortname]], Comp[], 28, FALSE)</f>
        <v>0</v>
      </c>
      <c r="AF1168">
        <f>VLOOKUP(Table9[[#This Row],[Shortname]], Comp[], 29, FALSE)</f>
        <v>0</v>
      </c>
      <c r="AG1168">
        <f>VLOOKUP(Table9[[#This Row],[Shortname]], Comp[], 30, FALSE)</f>
        <v>0</v>
      </c>
      <c r="AH1168">
        <f>VLOOKUP(Table9[[#This Row],[Shortname]], Comp[], 31, FALSE)</f>
        <v>0</v>
      </c>
    </row>
    <row r="1169" spans="1:34" x14ac:dyDescent="0.3">
      <c r="A1169" t="s">
        <v>6141</v>
      </c>
      <c r="B1169" t="s">
        <v>5263</v>
      </c>
      <c r="C1169" t="s">
        <v>6986</v>
      </c>
      <c r="D1169">
        <v>1017</v>
      </c>
      <c r="E1169">
        <v>570</v>
      </c>
      <c r="F1169">
        <v>1E-3</v>
      </c>
      <c r="G1169">
        <v>1</v>
      </c>
      <c r="H1169" t="s">
        <v>6985</v>
      </c>
      <c r="I1169">
        <f>VLOOKUP(Table9[[#This Row],[Shortname]], Comp[], 6, FALSE)</f>
        <v>1006</v>
      </c>
      <c r="J1169" s="14">
        <f>VLOOKUP(Table9[[#This Row],[Shortname]], Comp[], 7, FALSE)</f>
        <v>55</v>
      </c>
      <c r="K1169">
        <f>VLOOKUP(Table9[[#This Row],[Shortname]], Comp[], 8, FALSE)</f>
        <v>30</v>
      </c>
      <c r="L1169">
        <f>VLOOKUP(Table9[[#This Row],[Shortname]], Comp[], 9, FALSE)</f>
        <v>7</v>
      </c>
      <c r="M1169">
        <f>VLOOKUP(Table9[[#This Row],[Shortname]], Comp[], 10, FALSE)</f>
        <v>0</v>
      </c>
      <c r="N1169">
        <f>VLOOKUP(Table9[[#This Row],[Shortname]], Comp[], 11, FALSE)</f>
        <v>0</v>
      </c>
      <c r="O1169">
        <f>VLOOKUP(Table9[[#This Row],[Shortname]], Comp[],12, FALSE)</f>
        <v>6</v>
      </c>
      <c r="P1169">
        <f>VLOOKUP(Table9[[#This Row],[Shortname]], Comp[], 13, FALSE)</f>
        <v>0</v>
      </c>
      <c r="Q1169">
        <f>VLOOKUP(Table9[[#This Row],[Shortname]], Comp[], 14, FALSE)</f>
        <v>2</v>
      </c>
      <c r="R1169">
        <f>VLOOKUP(Table9[[#This Row],[Shortname]], Comp[], 15, FALSE)</f>
        <v>0</v>
      </c>
      <c r="S1169">
        <f>VLOOKUP(Table9[[#This Row],[Shortname]], Comp[], 16, FALSE)</f>
        <v>0</v>
      </c>
      <c r="T1169">
        <f>VLOOKUP(Table9[[#This Row],[Shortname]], Comp[], 17, FALSE)</f>
        <v>0</v>
      </c>
      <c r="U1169">
        <f>VLOOKUP(Table9[[#This Row],[Shortname]], Comp[], 18, FALSE)</f>
        <v>0</v>
      </c>
      <c r="V1169">
        <f>VLOOKUP(Table9[[#This Row],[Shortname]], Comp[], 19, FALSE)</f>
        <v>0</v>
      </c>
      <c r="W1169">
        <f>VLOOKUP(Table9[[#This Row],[Shortname]], Comp[], 20, FALSE)</f>
        <v>0</v>
      </c>
      <c r="X1169">
        <f>VLOOKUP(Table9[[#This Row],[Shortname]], Comp[], 21, FALSE)</f>
        <v>0</v>
      </c>
      <c r="Y1169">
        <f>VLOOKUP(Table9[[#This Row],[Shortname]], Comp[], 22, FALSE)</f>
        <v>0</v>
      </c>
      <c r="Z1169">
        <f>VLOOKUP(Table9[[#This Row],[Shortname]], Comp[], 23, FALSE)</f>
        <v>0</v>
      </c>
      <c r="AA1169">
        <f>VLOOKUP(Table9[[#This Row],[Shortname]], Comp[], 24, FALSE)</f>
        <v>0</v>
      </c>
      <c r="AB1169">
        <f>VLOOKUP(Table9[[#This Row],[Shortname]], Comp[], 25, FALSE)</f>
        <v>0</v>
      </c>
      <c r="AC1169">
        <f>VLOOKUP(Table9[[#This Row],[Shortname]], Comp[], 26, FALSE)</f>
        <v>0</v>
      </c>
      <c r="AD1169">
        <f>VLOOKUP(Table9[[#This Row],[Shortname]], Comp[], 27, FALSE)</f>
        <v>0</v>
      </c>
      <c r="AE1169">
        <f>VLOOKUP(Table9[[#This Row],[Shortname]], Comp[], 28, FALSE)</f>
        <v>0</v>
      </c>
      <c r="AF1169">
        <f>VLOOKUP(Table9[[#This Row],[Shortname]], Comp[], 29, FALSE)</f>
        <v>0</v>
      </c>
      <c r="AG1169">
        <f>VLOOKUP(Table9[[#This Row],[Shortname]], Comp[], 30, FALSE)</f>
        <v>0</v>
      </c>
      <c r="AH1169">
        <f>VLOOKUP(Table9[[#This Row],[Shortname]], Comp[], 31, FALSE)</f>
        <v>0</v>
      </c>
    </row>
    <row r="1170" spans="1:34" x14ac:dyDescent="0.3">
      <c r="A1170" t="s">
        <v>6141</v>
      </c>
      <c r="B1170" t="s">
        <v>5263</v>
      </c>
      <c r="C1170" t="s">
        <v>6987</v>
      </c>
      <c r="D1170">
        <v>1170</v>
      </c>
      <c r="E1170">
        <v>670</v>
      </c>
      <c r="F1170">
        <v>1E-3</v>
      </c>
      <c r="G1170">
        <v>1</v>
      </c>
      <c r="H1170" t="s">
        <v>6985</v>
      </c>
      <c r="I1170">
        <f>VLOOKUP(Table9[[#This Row],[Shortname]], Comp[], 6, FALSE)</f>
        <v>1006</v>
      </c>
      <c r="J1170" s="14">
        <f>VLOOKUP(Table9[[#This Row],[Shortname]], Comp[], 7, FALSE)</f>
        <v>55</v>
      </c>
      <c r="K1170">
        <f>VLOOKUP(Table9[[#This Row],[Shortname]], Comp[], 8, FALSE)</f>
        <v>30</v>
      </c>
      <c r="L1170">
        <f>VLOOKUP(Table9[[#This Row],[Shortname]], Comp[], 9, FALSE)</f>
        <v>7</v>
      </c>
      <c r="M1170">
        <f>VLOOKUP(Table9[[#This Row],[Shortname]], Comp[], 10, FALSE)</f>
        <v>0</v>
      </c>
      <c r="N1170">
        <f>VLOOKUP(Table9[[#This Row],[Shortname]], Comp[], 11, FALSE)</f>
        <v>0</v>
      </c>
      <c r="O1170">
        <f>VLOOKUP(Table9[[#This Row],[Shortname]], Comp[],12, FALSE)</f>
        <v>6</v>
      </c>
      <c r="P1170">
        <f>VLOOKUP(Table9[[#This Row],[Shortname]], Comp[], 13, FALSE)</f>
        <v>0</v>
      </c>
      <c r="Q1170">
        <f>VLOOKUP(Table9[[#This Row],[Shortname]], Comp[], 14, FALSE)</f>
        <v>2</v>
      </c>
      <c r="R1170">
        <f>VLOOKUP(Table9[[#This Row],[Shortname]], Comp[], 15, FALSE)</f>
        <v>0</v>
      </c>
      <c r="S1170">
        <f>VLOOKUP(Table9[[#This Row],[Shortname]], Comp[], 16, FALSE)</f>
        <v>0</v>
      </c>
      <c r="T1170">
        <f>VLOOKUP(Table9[[#This Row],[Shortname]], Comp[], 17, FALSE)</f>
        <v>0</v>
      </c>
      <c r="U1170">
        <f>VLOOKUP(Table9[[#This Row],[Shortname]], Comp[], 18, FALSE)</f>
        <v>0</v>
      </c>
      <c r="V1170">
        <f>VLOOKUP(Table9[[#This Row],[Shortname]], Comp[], 19, FALSE)</f>
        <v>0</v>
      </c>
      <c r="W1170">
        <f>VLOOKUP(Table9[[#This Row],[Shortname]], Comp[], 20, FALSE)</f>
        <v>0</v>
      </c>
      <c r="X1170">
        <f>VLOOKUP(Table9[[#This Row],[Shortname]], Comp[], 21, FALSE)</f>
        <v>0</v>
      </c>
      <c r="Y1170">
        <f>VLOOKUP(Table9[[#This Row],[Shortname]], Comp[], 22, FALSE)</f>
        <v>0</v>
      </c>
      <c r="Z1170">
        <f>VLOOKUP(Table9[[#This Row],[Shortname]], Comp[], 23, FALSE)</f>
        <v>0</v>
      </c>
      <c r="AA1170">
        <f>VLOOKUP(Table9[[#This Row],[Shortname]], Comp[], 24, FALSE)</f>
        <v>0</v>
      </c>
      <c r="AB1170">
        <f>VLOOKUP(Table9[[#This Row],[Shortname]], Comp[], 25, FALSE)</f>
        <v>0</v>
      </c>
      <c r="AC1170">
        <f>VLOOKUP(Table9[[#This Row],[Shortname]], Comp[], 26, FALSE)</f>
        <v>0</v>
      </c>
      <c r="AD1170">
        <f>VLOOKUP(Table9[[#This Row],[Shortname]], Comp[], 27, FALSE)</f>
        <v>0</v>
      </c>
      <c r="AE1170">
        <f>VLOOKUP(Table9[[#This Row],[Shortname]], Comp[], 28, FALSE)</f>
        <v>0</v>
      </c>
      <c r="AF1170">
        <f>VLOOKUP(Table9[[#This Row],[Shortname]], Comp[], 29, FALSE)</f>
        <v>0</v>
      </c>
      <c r="AG1170">
        <f>VLOOKUP(Table9[[#This Row],[Shortname]], Comp[], 30, FALSE)</f>
        <v>0</v>
      </c>
      <c r="AH1170">
        <f>VLOOKUP(Table9[[#This Row],[Shortname]], Comp[], 31, FALSE)</f>
        <v>0</v>
      </c>
    </row>
    <row r="1171" spans="1:34" x14ac:dyDescent="0.3">
      <c r="A1171" t="s">
        <v>6141</v>
      </c>
      <c r="B1171" t="s">
        <v>5263</v>
      </c>
      <c r="C1171" t="s">
        <v>6988</v>
      </c>
      <c r="D1171">
        <v>1095</v>
      </c>
      <c r="E1171">
        <v>770</v>
      </c>
      <c r="F1171">
        <v>1E-3</v>
      </c>
      <c r="G1171">
        <v>1</v>
      </c>
      <c r="H1171" t="s">
        <v>6985</v>
      </c>
      <c r="I1171">
        <f>VLOOKUP(Table9[[#This Row],[Shortname]], Comp[], 6, FALSE)</f>
        <v>1006</v>
      </c>
      <c r="J1171" s="14">
        <f>VLOOKUP(Table9[[#This Row],[Shortname]], Comp[], 7, FALSE)</f>
        <v>55</v>
      </c>
      <c r="K1171">
        <f>VLOOKUP(Table9[[#This Row],[Shortname]], Comp[], 8, FALSE)</f>
        <v>30</v>
      </c>
      <c r="L1171">
        <f>VLOOKUP(Table9[[#This Row],[Shortname]], Comp[], 9, FALSE)</f>
        <v>7</v>
      </c>
      <c r="M1171">
        <f>VLOOKUP(Table9[[#This Row],[Shortname]], Comp[], 10, FALSE)</f>
        <v>0</v>
      </c>
      <c r="N1171">
        <f>VLOOKUP(Table9[[#This Row],[Shortname]], Comp[], 11, FALSE)</f>
        <v>0</v>
      </c>
      <c r="O1171">
        <f>VLOOKUP(Table9[[#This Row],[Shortname]], Comp[],12, FALSE)</f>
        <v>6</v>
      </c>
      <c r="P1171">
        <f>VLOOKUP(Table9[[#This Row],[Shortname]], Comp[], 13, FALSE)</f>
        <v>0</v>
      </c>
      <c r="Q1171">
        <f>VLOOKUP(Table9[[#This Row],[Shortname]], Comp[], 14, FALSE)</f>
        <v>2</v>
      </c>
      <c r="R1171">
        <f>VLOOKUP(Table9[[#This Row],[Shortname]], Comp[], 15, FALSE)</f>
        <v>0</v>
      </c>
      <c r="S1171">
        <f>VLOOKUP(Table9[[#This Row],[Shortname]], Comp[], 16, FALSE)</f>
        <v>0</v>
      </c>
      <c r="T1171">
        <f>VLOOKUP(Table9[[#This Row],[Shortname]], Comp[], 17, FALSE)</f>
        <v>0</v>
      </c>
      <c r="U1171">
        <f>VLOOKUP(Table9[[#This Row],[Shortname]], Comp[], 18, FALSE)</f>
        <v>0</v>
      </c>
      <c r="V1171">
        <f>VLOOKUP(Table9[[#This Row],[Shortname]], Comp[], 19, FALSE)</f>
        <v>0</v>
      </c>
      <c r="W1171">
        <f>VLOOKUP(Table9[[#This Row],[Shortname]], Comp[], 20, FALSE)</f>
        <v>0</v>
      </c>
      <c r="X1171">
        <f>VLOOKUP(Table9[[#This Row],[Shortname]], Comp[], 21, FALSE)</f>
        <v>0</v>
      </c>
      <c r="Y1171">
        <f>VLOOKUP(Table9[[#This Row],[Shortname]], Comp[], 22, FALSE)</f>
        <v>0</v>
      </c>
      <c r="Z1171">
        <f>VLOOKUP(Table9[[#This Row],[Shortname]], Comp[], 23, FALSE)</f>
        <v>0</v>
      </c>
      <c r="AA1171">
        <f>VLOOKUP(Table9[[#This Row],[Shortname]], Comp[], 24, FALSE)</f>
        <v>0</v>
      </c>
      <c r="AB1171">
        <f>VLOOKUP(Table9[[#This Row],[Shortname]], Comp[], 25, FALSE)</f>
        <v>0</v>
      </c>
      <c r="AC1171">
        <f>VLOOKUP(Table9[[#This Row],[Shortname]], Comp[], 26, FALSE)</f>
        <v>0</v>
      </c>
      <c r="AD1171">
        <f>VLOOKUP(Table9[[#This Row],[Shortname]], Comp[], 27, FALSE)</f>
        <v>0</v>
      </c>
      <c r="AE1171">
        <f>VLOOKUP(Table9[[#This Row],[Shortname]], Comp[], 28, FALSE)</f>
        <v>0</v>
      </c>
      <c r="AF1171">
        <f>VLOOKUP(Table9[[#This Row],[Shortname]], Comp[], 29, FALSE)</f>
        <v>0</v>
      </c>
      <c r="AG1171">
        <f>VLOOKUP(Table9[[#This Row],[Shortname]], Comp[], 30, FALSE)</f>
        <v>0</v>
      </c>
      <c r="AH1171">
        <f>VLOOKUP(Table9[[#This Row],[Shortname]], Comp[], 31, FALSE)</f>
        <v>0</v>
      </c>
    </row>
    <row r="1172" spans="1:34" x14ac:dyDescent="0.3">
      <c r="A1172" t="s">
        <v>6141</v>
      </c>
      <c r="B1172" t="s">
        <v>5263</v>
      </c>
      <c r="C1172" t="s">
        <v>6989</v>
      </c>
      <c r="D1172">
        <v>504</v>
      </c>
      <c r="E1172">
        <v>870</v>
      </c>
      <c r="F1172">
        <v>1E-3</v>
      </c>
      <c r="G1172">
        <v>1</v>
      </c>
      <c r="H1172" t="s">
        <v>6985</v>
      </c>
      <c r="I1172">
        <f>VLOOKUP(Table9[[#This Row],[Shortname]], Comp[], 6, FALSE)</f>
        <v>1006</v>
      </c>
      <c r="J1172" s="14">
        <f>VLOOKUP(Table9[[#This Row],[Shortname]], Comp[], 7, FALSE)</f>
        <v>55</v>
      </c>
      <c r="K1172">
        <f>VLOOKUP(Table9[[#This Row],[Shortname]], Comp[], 8, FALSE)</f>
        <v>30</v>
      </c>
      <c r="L1172">
        <f>VLOOKUP(Table9[[#This Row],[Shortname]], Comp[], 9, FALSE)</f>
        <v>7</v>
      </c>
      <c r="M1172">
        <f>VLOOKUP(Table9[[#This Row],[Shortname]], Comp[], 10, FALSE)</f>
        <v>0</v>
      </c>
      <c r="N1172">
        <f>VLOOKUP(Table9[[#This Row],[Shortname]], Comp[], 11, FALSE)</f>
        <v>0</v>
      </c>
      <c r="O1172">
        <f>VLOOKUP(Table9[[#This Row],[Shortname]], Comp[],12, FALSE)</f>
        <v>6</v>
      </c>
      <c r="P1172">
        <f>VLOOKUP(Table9[[#This Row],[Shortname]], Comp[], 13, FALSE)</f>
        <v>0</v>
      </c>
      <c r="Q1172">
        <f>VLOOKUP(Table9[[#This Row],[Shortname]], Comp[], 14, FALSE)</f>
        <v>2</v>
      </c>
      <c r="R1172">
        <f>VLOOKUP(Table9[[#This Row],[Shortname]], Comp[], 15, FALSE)</f>
        <v>0</v>
      </c>
      <c r="S1172">
        <f>VLOOKUP(Table9[[#This Row],[Shortname]], Comp[], 16, FALSE)</f>
        <v>0</v>
      </c>
      <c r="T1172">
        <f>VLOOKUP(Table9[[#This Row],[Shortname]], Comp[], 17, FALSE)</f>
        <v>0</v>
      </c>
      <c r="U1172">
        <f>VLOOKUP(Table9[[#This Row],[Shortname]], Comp[], 18, FALSE)</f>
        <v>0</v>
      </c>
      <c r="V1172">
        <f>VLOOKUP(Table9[[#This Row],[Shortname]], Comp[], 19, FALSE)</f>
        <v>0</v>
      </c>
      <c r="W1172">
        <f>VLOOKUP(Table9[[#This Row],[Shortname]], Comp[], 20, FALSE)</f>
        <v>0</v>
      </c>
      <c r="X1172">
        <f>VLOOKUP(Table9[[#This Row],[Shortname]], Comp[], 21, FALSE)</f>
        <v>0</v>
      </c>
      <c r="Y1172">
        <f>VLOOKUP(Table9[[#This Row],[Shortname]], Comp[], 22, FALSE)</f>
        <v>0</v>
      </c>
      <c r="Z1172">
        <f>VLOOKUP(Table9[[#This Row],[Shortname]], Comp[], 23, FALSE)</f>
        <v>0</v>
      </c>
      <c r="AA1172">
        <f>VLOOKUP(Table9[[#This Row],[Shortname]], Comp[], 24, FALSE)</f>
        <v>0</v>
      </c>
      <c r="AB1172">
        <f>VLOOKUP(Table9[[#This Row],[Shortname]], Comp[], 25, FALSE)</f>
        <v>0</v>
      </c>
      <c r="AC1172">
        <f>VLOOKUP(Table9[[#This Row],[Shortname]], Comp[], 26, FALSE)</f>
        <v>0</v>
      </c>
      <c r="AD1172">
        <f>VLOOKUP(Table9[[#This Row],[Shortname]], Comp[], 27, FALSE)</f>
        <v>0</v>
      </c>
      <c r="AE1172">
        <f>VLOOKUP(Table9[[#This Row],[Shortname]], Comp[], 28, FALSE)</f>
        <v>0</v>
      </c>
      <c r="AF1172">
        <f>VLOOKUP(Table9[[#This Row],[Shortname]], Comp[], 29, FALSE)</f>
        <v>0</v>
      </c>
      <c r="AG1172">
        <f>VLOOKUP(Table9[[#This Row],[Shortname]], Comp[], 30, FALSE)</f>
        <v>0</v>
      </c>
      <c r="AH1172">
        <f>VLOOKUP(Table9[[#This Row],[Shortname]], Comp[], 31, FALSE)</f>
        <v>0</v>
      </c>
    </row>
    <row r="1173" spans="1:34" x14ac:dyDescent="0.3">
      <c r="A1173" t="s">
        <v>6145</v>
      </c>
      <c r="B1173" t="s">
        <v>6146</v>
      </c>
      <c r="C1173" t="s">
        <v>6147</v>
      </c>
      <c r="D1173">
        <v>726</v>
      </c>
      <c r="E1173">
        <v>25</v>
      </c>
      <c r="F1173">
        <v>1E-3</v>
      </c>
      <c r="G1173">
        <v>1</v>
      </c>
      <c r="H1173" t="s">
        <v>6803</v>
      </c>
      <c r="I1173">
        <f>VLOOKUP(Table9[[#This Row],[Shortname]], Comp[], 6, FALSE)</f>
        <v>1007</v>
      </c>
      <c r="J1173" s="14">
        <f>VLOOKUP(Table9[[#This Row],[Shortname]], Comp[], 7, FALSE)</f>
        <v>50.800000000000004</v>
      </c>
      <c r="K1173">
        <f>VLOOKUP(Table9[[#This Row],[Shortname]], Comp[], 8, FALSE)</f>
        <v>30.2</v>
      </c>
      <c r="L1173">
        <f>VLOOKUP(Table9[[#This Row],[Shortname]], Comp[], 9, FALSE)</f>
        <v>9.1</v>
      </c>
      <c r="M1173">
        <f>VLOOKUP(Table9[[#This Row],[Shortname]], Comp[], 10, FALSE)</f>
        <v>0</v>
      </c>
      <c r="N1173">
        <f>VLOOKUP(Table9[[#This Row],[Shortname]], Comp[], 11, FALSE)</f>
        <v>0</v>
      </c>
      <c r="O1173">
        <f>VLOOKUP(Table9[[#This Row],[Shortname]], Comp[],12, FALSE)</f>
        <v>0</v>
      </c>
      <c r="P1173">
        <f>VLOOKUP(Table9[[#This Row],[Shortname]], Comp[], 13, FALSE)</f>
        <v>0</v>
      </c>
      <c r="Q1173">
        <f>VLOOKUP(Table9[[#This Row],[Shortname]], Comp[], 14, FALSE)</f>
        <v>2.2999999999999998</v>
      </c>
      <c r="R1173">
        <f>VLOOKUP(Table9[[#This Row],[Shortname]], Comp[], 15, FALSE)</f>
        <v>0</v>
      </c>
      <c r="S1173">
        <f>VLOOKUP(Table9[[#This Row],[Shortname]], Comp[], 16, FALSE)</f>
        <v>5.5</v>
      </c>
      <c r="T1173">
        <f>VLOOKUP(Table9[[#This Row],[Shortname]], Comp[], 17, FALSE)</f>
        <v>0</v>
      </c>
      <c r="U1173">
        <f>VLOOKUP(Table9[[#This Row],[Shortname]], Comp[], 18, FALSE)</f>
        <v>0</v>
      </c>
      <c r="V1173">
        <f>VLOOKUP(Table9[[#This Row],[Shortname]], Comp[], 19, FALSE)</f>
        <v>0</v>
      </c>
      <c r="W1173">
        <f>VLOOKUP(Table9[[#This Row],[Shortname]], Comp[], 20, FALSE)</f>
        <v>0</v>
      </c>
      <c r="X1173">
        <f>VLOOKUP(Table9[[#This Row],[Shortname]], Comp[], 21, FALSE)</f>
        <v>0</v>
      </c>
      <c r="Y1173">
        <f>VLOOKUP(Table9[[#This Row],[Shortname]], Comp[], 22, FALSE)</f>
        <v>0</v>
      </c>
      <c r="Z1173">
        <f>VLOOKUP(Table9[[#This Row],[Shortname]], Comp[], 23, FALSE)</f>
        <v>0</v>
      </c>
      <c r="AA1173">
        <f>VLOOKUP(Table9[[#This Row],[Shortname]], Comp[], 24, FALSE)</f>
        <v>0</v>
      </c>
      <c r="AB1173">
        <f>VLOOKUP(Table9[[#This Row],[Shortname]], Comp[], 25, FALSE)</f>
        <v>0</v>
      </c>
      <c r="AC1173">
        <f>VLOOKUP(Table9[[#This Row],[Shortname]], Comp[], 26, FALSE)</f>
        <v>0</v>
      </c>
      <c r="AD1173">
        <f>VLOOKUP(Table9[[#This Row],[Shortname]], Comp[], 27, FALSE)</f>
        <v>0</v>
      </c>
      <c r="AE1173">
        <f>VLOOKUP(Table9[[#This Row],[Shortname]], Comp[], 28, FALSE)</f>
        <v>0</v>
      </c>
      <c r="AF1173">
        <f>VLOOKUP(Table9[[#This Row],[Shortname]], Comp[], 29, FALSE)</f>
        <v>2.1</v>
      </c>
      <c r="AG1173">
        <f>VLOOKUP(Table9[[#This Row],[Shortname]], Comp[], 30, FALSE)</f>
        <v>0</v>
      </c>
      <c r="AH1173">
        <f>VLOOKUP(Table9[[#This Row],[Shortname]], Comp[], 31, FALSE)</f>
        <v>0</v>
      </c>
    </row>
    <row r="1174" spans="1:34" x14ac:dyDescent="0.3">
      <c r="A1174" t="s">
        <v>6145</v>
      </c>
      <c r="B1174" t="s">
        <v>6146</v>
      </c>
      <c r="C1174" t="s">
        <v>6990</v>
      </c>
      <c r="D1174">
        <v>609</v>
      </c>
      <c r="E1174">
        <v>570</v>
      </c>
      <c r="F1174">
        <v>1E-3</v>
      </c>
      <c r="G1174">
        <v>1</v>
      </c>
      <c r="H1174" t="s">
        <v>6803</v>
      </c>
      <c r="I1174">
        <f>VLOOKUP(Table9[[#This Row],[Shortname]], Comp[], 6, FALSE)</f>
        <v>1007</v>
      </c>
      <c r="J1174" s="14">
        <f>VLOOKUP(Table9[[#This Row],[Shortname]], Comp[], 7, FALSE)</f>
        <v>50.800000000000004</v>
      </c>
      <c r="K1174">
        <f>VLOOKUP(Table9[[#This Row],[Shortname]], Comp[], 8, FALSE)</f>
        <v>30.2</v>
      </c>
      <c r="L1174">
        <f>VLOOKUP(Table9[[#This Row],[Shortname]], Comp[], 9, FALSE)</f>
        <v>9.1</v>
      </c>
      <c r="M1174">
        <f>VLOOKUP(Table9[[#This Row],[Shortname]], Comp[], 10, FALSE)</f>
        <v>0</v>
      </c>
      <c r="N1174">
        <f>VLOOKUP(Table9[[#This Row],[Shortname]], Comp[], 11, FALSE)</f>
        <v>0</v>
      </c>
      <c r="O1174">
        <f>VLOOKUP(Table9[[#This Row],[Shortname]], Comp[],12, FALSE)</f>
        <v>0</v>
      </c>
      <c r="P1174">
        <f>VLOOKUP(Table9[[#This Row],[Shortname]], Comp[], 13, FALSE)</f>
        <v>0</v>
      </c>
      <c r="Q1174">
        <f>VLOOKUP(Table9[[#This Row],[Shortname]], Comp[], 14, FALSE)</f>
        <v>2.2999999999999998</v>
      </c>
      <c r="R1174">
        <f>VLOOKUP(Table9[[#This Row],[Shortname]], Comp[], 15, FALSE)</f>
        <v>0</v>
      </c>
      <c r="S1174">
        <f>VLOOKUP(Table9[[#This Row],[Shortname]], Comp[], 16, FALSE)</f>
        <v>5.5</v>
      </c>
      <c r="T1174">
        <f>VLOOKUP(Table9[[#This Row],[Shortname]], Comp[], 17, FALSE)</f>
        <v>0</v>
      </c>
      <c r="U1174">
        <f>VLOOKUP(Table9[[#This Row],[Shortname]], Comp[], 18, FALSE)</f>
        <v>0</v>
      </c>
      <c r="V1174">
        <f>VLOOKUP(Table9[[#This Row],[Shortname]], Comp[], 19, FALSE)</f>
        <v>0</v>
      </c>
      <c r="W1174">
        <f>VLOOKUP(Table9[[#This Row],[Shortname]], Comp[], 20, FALSE)</f>
        <v>0</v>
      </c>
      <c r="X1174">
        <f>VLOOKUP(Table9[[#This Row],[Shortname]], Comp[], 21, FALSE)</f>
        <v>0</v>
      </c>
      <c r="Y1174">
        <f>VLOOKUP(Table9[[#This Row],[Shortname]], Comp[], 22, FALSE)</f>
        <v>0</v>
      </c>
      <c r="Z1174">
        <f>VLOOKUP(Table9[[#This Row],[Shortname]], Comp[], 23, FALSE)</f>
        <v>0</v>
      </c>
      <c r="AA1174">
        <f>VLOOKUP(Table9[[#This Row],[Shortname]], Comp[], 24, FALSE)</f>
        <v>0</v>
      </c>
      <c r="AB1174">
        <f>VLOOKUP(Table9[[#This Row],[Shortname]], Comp[], 25, FALSE)</f>
        <v>0</v>
      </c>
      <c r="AC1174">
        <f>VLOOKUP(Table9[[#This Row],[Shortname]], Comp[], 26, FALSE)</f>
        <v>0</v>
      </c>
      <c r="AD1174">
        <f>VLOOKUP(Table9[[#This Row],[Shortname]], Comp[], 27, FALSE)</f>
        <v>0</v>
      </c>
      <c r="AE1174">
        <f>VLOOKUP(Table9[[#This Row],[Shortname]], Comp[], 28, FALSE)</f>
        <v>0</v>
      </c>
      <c r="AF1174">
        <f>VLOOKUP(Table9[[#This Row],[Shortname]], Comp[], 29, FALSE)</f>
        <v>2.1</v>
      </c>
      <c r="AG1174">
        <f>VLOOKUP(Table9[[#This Row],[Shortname]], Comp[], 30, FALSE)</f>
        <v>0</v>
      </c>
      <c r="AH1174">
        <f>VLOOKUP(Table9[[#This Row],[Shortname]], Comp[], 31, FALSE)</f>
        <v>0</v>
      </c>
    </row>
    <row r="1175" spans="1:34" x14ac:dyDescent="0.3">
      <c r="A1175" t="s">
        <v>6145</v>
      </c>
      <c r="B1175" t="s">
        <v>6146</v>
      </c>
      <c r="C1175" t="s">
        <v>6991</v>
      </c>
      <c r="D1175">
        <v>623</v>
      </c>
      <c r="E1175">
        <v>670</v>
      </c>
      <c r="F1175">
        <v>1E-3</v>
      </c>
      <c r="G1175">
        <v>1</v>
      </c>
      <c r="H1175" t="s">
        <v>6803</v>
      </c>
      <c r="I1175">
        <f>VLOOKUP(Table9[[#This Row],[Shortname]], Comp[], 6, FALSE)</f>
        <v>1007</v>
      </c>
      <c r="J1175" s="14">
        <f>VLOOKUP(Table9[[#This Row],[Shortname]], Comp[], 7, FALSE)</f>
        <v>50.800000000000004</v>
      </c>
      <c r="K1175">
        <f>VLOOKUP(Table9[[#This Row],[Shortname]], Comp[], 8, FALSE)</f>
        <v>30.2</v>
      </c>
      <c r="L1175">
        <f>VLOOKUP(Table9[[#This Row],[Shortname]], Comp[], 9, FALSE)</f>
        <v>9.1</v>
      </c>
      <c r="M1175">
        <f>VLOOKUP(Table9[[#This Row],[Shortname]], Comp[], 10, FALSE)</f>
        <v>0</v>
      </c>
      <c r="N1175">
        <f>VLOOKUP(Table9[[#This Row],[Shortname]], Comp[], 11, FALSE)</f>
        <v>0</v>
      </c>
      <c r="O1175">
        <f>VLOOKUP(Table9[[#This Row],[Shortname]], Comp[],12, FALSE)</f>
        <v>0</v>
      </c>
      <c r="P1175">
        <f>VLOOKUP(Table9[[#This Row],[Shortname]], Comp[], 13, FALSE)</f>
        <v>0</v>
      </c>
      <c r="Q1175">
        <f>VLOOKUP(Table9[[#This Row],[Shortname]], Comp[], 14, FALSE)</f>
        <v>2.2999999999999998</v>
      </c>
      <c r="R1175">
        <f>VLOOKUP(Table9[[#This Row],[Shortname]], Comp[], 15, FALSE)</f>
        <v>0</v>
      </c>
      <c r="S1175">
        <f>VLOOKUP(Table9[[#This Row],[Shortname]], Comp[], 16, FALSE)</f>
        <v>5.5</v>
      </c>
      <c r="T1175">
        <f>VLOOKUP(Table9[[#This Row],[Shortname]], Comp[], 17, FALSE)</f>
        <v>0</v>
      </c>
      <c r="U1175">
        <f>VLOOKUP(Table9[[#This Row],[Shortname]], Comp[], 18, FALSE)</f>
        <v>0</v>
      </c>
      <c r="V1175">
        <f>VLOOKUP(Table9[[#This Row],[Shortname]], Comp[], 19, FALSE)</f>
        <v>0</v>
      </c>
      <c r="W1175">
        <f>VLOOKUP(Table9[[#This Row],[Shortname]], Comp[], 20, FALSE)</f>
        <v>0</v>
      </c>
      <c r="X1175">
        <f>VLOOKUP(Table9[[#This Row],[Shortname]], Comp[], 21, FALSE)</f>
        <v>0</v>
      </c>
      <c r="Y1175">
        <f>VLOOKUP(Table9[[#This Row],[Shortname]], Comp[], 22, FALSE)</f>
        <v>0</v>
      </c>
      <c r="Z1175">
        <f>VLOOKUP(Table9[[#This Row],[Shortname]], Comp[], 23, FALSE)</f>
        <v>0</v>
      </c>
      <c r="AA1175">
        <f>VLOOKUP(Table9[[#This Row],[Shortname]], Comp[], 24, FALSE)</f>
        <v>0</v>
      </c>
      <c r="AB1175">
        <f>VLOOKUP(Table9[[#This Row],[Shortname]], Comp[], 25, FALSE)</f>
        <v>0</v>
      </c>
      <c r="AC1175">
        <f>VLOOKUP(Table9[[#This Row],[Shortname]], Comp[], 26, FALSE)</f>
        <v>0</v>
      </c>
      <c r="AD1175">
        <f>VLOOKUP(Table9[[#This Row],[Shortname]], Comp[], 27, FALSE)</f>
        <v>0</v>
      </c>
      <c r="AE1175">
        <f>VLOOKUP(Table9[[#This Row],[Shortname]], Comp[], 28, FALSE)</f>
        <v>0</v>
      </c>
      <c r="AF1175">
        <f>VLOOKUP(Table9[[#This Row],[Shortname]], Comp[], 29, FALSE)</f>
        <v>2.1</v>
      </c>
      <c r="AG1175">
        <f>VLOOKUP(Table9[[#This Row],[Shortname]], Comp[], 30, FALSE)</f>
        <v>0</v>
      </c>
      <c r="AH1175">
        <f>VLOOKUP(Table9[[#This Row],[Shortname]], Comp[], 31, FALSE)</f>
        <v>0</v>
      </c>
    </row>
    <row r="1176" spans="1:34" x14ac:dyDescent="0.3">
      <c r="A1176" t="s">
        <v>6145</v>
      </c>
      <c r="B1176" t="s">
        <v>6146</v>
      </c>
      <c r="C1176" t="s">
        <v>6992</v>
      </c>
      <c r="D1176">
        <v>630</v>
      </c>
      <c r="E1176">
        <v>770</v>
      </c>
      <c r="F1176">
        <v>1E-3</v>
      </c>
      <c r="G1176">
        <v>1</v>
      </c>
      <c r="H1176" t="s">
        <v>6803</v>
      </c>
      <c r="I1176">
        <f>VLOOKUP(Table9[[#This Row],[Shortname]], Comp[], 6, FALSE)</f>
        <v>1007</v>
      </c>
      <c r="J1176" s="14">
        <f>VLOOKUP(Table9[[#This Row],[Shortname]], Comp[], 7, FALSE)</f>
        <v>50.800000000000004</v>
      </c>
      <c r="K1176">
        <f>VLOOKUP(Table9[[#This Row],[Shortname]], Comp[], 8, FALSE)</f>
        <v>30.2</v>
      </c>
      <c r="L1176">
        <f>VLOOKUP(Table9[[#This Row],[Shortname]], Comp[], 9, FALSE)</f>
        <v>9.1</v>
      </c>
      <c r="M1176">
        <f>VLOOKUP(Table9[[#This Row],[Shortname]], Comp[], 10, FALSE)</f>
        <v>0</v>
      </c>
      <c r="N1176">
        <f>VLOOKUP(Table9[[#This Row],[Shortname]], Comp[], 11, FALSE)</f>
        <v>0</v>
      </c>
      <c r="O1176">
        <f>VLOOKUP(Table9[[#This Row],[Shortname]], Comp[],12, FALSE)</f>
        <v>0</v>
      </c>
      <c r="P1176">
        <f>VLOOKUP(Table9[[#This Row],[Shortname]], Comp[], 13, FALSE)</f>
        <v>0</v>
      </c>
      <c r="Q1176">
        <f>VLOOKUP(Table9[[#This Row],[Shortname]], Comp[], 14, FALSE)</f>
        <v>2.2999999999999998</v>
      </c>
      <c r="R1176">
        <f>VLOOKUP(Table9[[#This Row],[Shortname]], Comp[], 15, FALSE)</f>
        <v>0</v>
      </c>
      <c r="S1176">
        <f>VLOOKUP(Table9[[#This Row],[Shortname]], Comp[], 16, FALSE)</f>
        <v>5.5</v>
      </c>
      <c r="T1176">
        <f>VLOOKUP(Table9[[#This Row],[Shortname]], Comp[], 17, FALSE)</f>
        <v>0</v>
      </c>
      <c r="U1176">
        <f>VLOOKUP(Table9[[#This Row],[Shortname]], Comp[], 18, FALSE)</f>
        <v>0</v>
      </c>
      <c r="V1176">
        <f>VLOOKUP(Table9[[#This Row],[Shortname]], Comp[], 19, FALSE)</f>
        <v>0</v>
      </c>
      <c r="W1176">
        <f>VLOOKUP(Table9[[#This Row],[Shortname]], Comp[], 20, FALSE)</f>
        <v>0</v>
      </c>
      <c r="X1176">
        <f>VLOOKUP(Table9[[#This Row],[Shortname]], Comp[], 21, FALSE)</f>
        <v>0</v>
      </c>
      <c r="Y1176">
        <f>VLOOKUP(Table9[[#This Row],[Shortname]], Comp[], 22, FALSE)</f>
        <v>0</v>
      </c>
      <c r="Z1176">
        <f>VLOOKUP(Table9[[#This Row],[Shortname]], Comp[], 23, FALSE)</f>
        <v>0</v>
      </c>
      <c r="AA1176">
        <f>VLOOKUP(Table9[[#This Row],[Shortname]], Comp[], 24, FALSE)</f>
        <v>0</v>
      </c>
      <c r="AB1176">
        <f>VLOOKUP(Table9[[#This Row],[Shortname]], Comp[], 25, FALSE)</f>
        <v>0</v>
      </c>
      <c r="AC1176">
        <f>VLOOKUP(Table9[[#This Row],[Shortname]], Comp[], 26, FALSE)</f>
        <v>0</v>
      </c>
      <c r="AD1176">
        <f>VLOOKUP(Table9[[#This Row],[Shortname]], Comp[], 27, FALSE)</f>
        <v>0</v>
      </c>
      <c r="AE1176">
        <f>VLOOKUP(Table9[[#This Row],[Shortname]], Comp[], 28, FALSE)</f>
        <v>0</v>
      </c>
      <c r="AF1176">
        <f>VLOOKUP(Table9[[#This Row],[Shortname]], Comp[], 29, FALSE)</f>
        <v>2.1</v>
      </c>
      <c r="AG1176">
        <f>VLOOKUP(Table9[[#This Row],[Shortname]], Comp[], 30, FALSE)</f>
        <v>0</v>
      </c>
      <c r="AH1176">
        <f>VLOOKUP(Table9[[#This Row],[Shortname]], Comp[], 31, FALSE)</f>
        <v>0</v>
      </c>
    </row>
    <row r="1177" spans="1:34" x14ac:dyDescent="0.3">
      <c r="A1177" t="s">
        <v>6145</v>
      </c>
      <c r="B1177" t="s">
        <v>6146</v>
      </c>
      <c r="C1177" t="s">
        <v>6993</v>
      </c>
      <c r="D1177">
        <v>601</v>
      </c>
      <c r="E1177">
        <v>870</v>
      </c>
      <c r="F1177">
        <v>1E-3</v>
      </c>
      <c r="G1177">
        <v>1</v>
      </c>
      <c r="H1177" t="s">
        <v>6803</v>
      </c>
      <c r="I1177">
        <f>VLOOKUP(Table9[[#This Row],[Shortname]], Comp[], 6, FALSE)</f>
        <v>1007</v>
      </c>
      <c r="J1177" s="14">
        <f>VLOOKUP(Table9[[#This Row],[Shortname]], Comp[], 7, FALSE)</f>
        <v>50.800000000000004</v>
      </c>
      <c r="K1177">
        <f>VLOOKUP(Table9[[#This Row],[Shortname]], Comp[], 8, FALSE)</f>
        <v>30.2</v>
      </c>
      <c r="L1177">
        <f>VLOOKUP(Table9[[#This Row],[Shortname]], Comp[], 9, FALSE)</f>
        <v>9.1</v>
      </c>
      <c r="M1177">
        <f>VLOOKUP(Table9[[#This Row],[Shortname]], Comp[], 10, FALSE)</f>
        <v>0</v>
      </c>
      <c r="N1177">
        <f>VLOOKUP(Table9[[#This Row],[Shortname]], Comp[], 11, FALSE)</f>
        <v>0</v>
      </c>
      <c r="O1177">
        <f>VLOOKUP(Table9[[#This Row],[Shortname]], Comp[],12, FALSE)</f>
        <v>0</v>
      </c>
      <c r="P1177">
        <f>VLOOKUP(Table9[[#This Row],[Shortname]], Comp[], 13, FALSE)</f>
        <v>0</v>
      </c>
      <c r="Q1177">
        <f>VLOOKUP(Table9[[#This Row],[Shortname]], Comp[], 14, FALSE)</f>
        <v>2.2999999999999998</v>
      </c>
      <c r="R1177">
        <f>VLOOKUP(Table9[[#This Row],[Shortname]], Comp[], 15, FALSE)</f>
        <v>0</v>
      </c>
      <c r="S1177">
        <f>VLOOKUP(Table9[[#This Row],[Shortname]], Comp[], 16, FALSE)</f>
        <v>5.5</v>
      </c>
      <c r="T1177">
        <f>VLOOKUP(Table9[[#This Row],[Shortname]], Comp[], 17, FALSE)</f>
        <v>0</v>
      </c>
      <c r="U1177">
        <f>VLOOKUP(Table9[[#This Row],[Shortname]], Comp[], 18, FALSE)</f>
        <v>0</v>
      </c>
      <c r="V1177">
        <f>VLOOKUP(Table9[[#This Row],[Shortname]], Comp[], 19, FALSE)</f>
        <v>0</v>
      </c>
      <c r="W1177">
        <f>VLOOKUP(Table9[[#This Row],[Shortname]], Comp[], 20, FALSE)</f>
        <v>0</v>
      </c>
      <c r="X1177">
        <f>VLOOKUP(Table9[[#This Row],[Shortname]], Comp[], 21, FALSE)</f>
        <v>0</v>
      </c>
      <c r="Y1177">
        <f>VLOOKUP(Table9[[#This Row],[Shortname]], Comp[], 22, FALSE)</f>
        <v>0</v>
      </c>
      <c r="Z1177">
        <f>VLOOKUP(Table9[[#This Row],[Shortname]], Comp[], 23, FALSE)</f>
        <v>0</v>
      </c>
      <c r="AA1177">
        <f>VLOOKUP(Table9[[#This Row],[Shortname]], Comp[], 24, FALSE)</f>
        <v>0</v>
      </c>
      <c r="AB1177">
        <f>VLOOKUP(Table9[[#This Row],[Shortname]], Comp[], 25, FALSE)</f>
        <v>0</v>
      </c>
      <c r="AC1177">
        <f>VLOOKUP(Table9[[#This Row],[Shortname]], Comp[], 26, FALSE)</f>
        <v>0</v>
      </c>
      <c r="AD1177">
        <f>VLOOKUP(Table9[[#This Row],[Shortname]], Comp[], 27, FALSE)</f>
        <v>0</v>
      </c>
      <c r="AE1177">
        <f>VLOOKUP(Table9[[#This Row],[Shortname]], Comp[], 28, FALSE)</f>
        <v>0</v>
      </c>
      <c r="AF1177">
        <f>VLOOKUP(Table9[[#This Row],[Shortname]], Comp[], 29, FALSE)</f>
        <v>2.1</v>
      </c>
      <c r="AG1177">
        <f>VLOOKUP(Table9[[#This Row],[Shortname]], Comp[], 30, FALSE)</f>
        <v>0</v>
      </c>
      <c r="AH1177">
        <f>VLOOKUP(Table9[[#This Row],[Shortname]], Comp[], 31, FALSE)</f>
        <v>0</v>
      </c>
    </row>
    <row r="1178" spans="1:34" x14ac:dyDescent="0.3">
      <c r="A1178" t="s">
        <v>6145</v>
      </c>
      <c r="B1178" t="s">
        <v>6146</v>
      </c>
      <c r="C1178" t="s">
        <v>6994</v>
      </c>
      <c r="D1178">
        <v>288</v>
      </c>
      <c r="E1178">
        <v>970</v>
      </c>
      <c r="F1178">
        <v>1E-3</v>
      </c>
      <c r="G1178">
        <v>1</v>
      </c>
      <c r="H1178" t="s">
        <v>6803</v>
      </c>
      <c r="I1178">
        <f>VLOOKUP(Table9[[#This Row],[Shortname]], Comp[], 6, FALSE)</f>
        <v>1007</v>
      </c>
      <c r="J1178" s="14">
        <f>VLOOKUP(Table9[[#This Row],[Shortname]], Comp[], 7, FALSE)</f>
        <v>50.800000000000004</v>
      </c>
      <c r="K1178">
        <f>VLOOKUP(Table9[[#This Row],[Shortname]], Comp[], 8, FALSE)</f>
        <v>30.2</v>
      </c>
      <c r="L1178">
        <f>VLOOKUP(Table9[[#This Row],[Shortname]], Comp[], 9, FALSE)</f>
        <v>9.1</v>
      </c>
      <c r="M1178">
        <f>VLOOKUP(Table9[[#This Row],[Shortname]], Comp[], 10, FALSE)</f>
        <v>0</v>
      </c>
      <c r="N1178">
        <f>VLOOKUP(Table9[[#This Row],[Shortname]], Comp[], 11, FALSE)</f>
        <v>0</v>
      </c>
      <c r="O1178">
        <f>VLOOKUP(Table9[[#This Row],[Shortname]], Comp[],12, FALSE)</f>
        <v>0</v>
      </c>
      <c r="P1178">
        <f>VLOOKUP(Table9[[#This Row],[Shortname]], Comp[], 13, FALSE)</f>
        <v>0</v>
      </c>
      <c r="Q1178">
        <f>VLOOKUP(Table9[[#This Row],[Shortname]], Comp[], 14, FALSE)</f>
        <v>2.2999999999999998</v>
      </c>
      <c r="R1178">
        <f>VLOOKUP(Table9[[#This Row],[Shortname]], Comp[], 15, FALSE)</f>
        <v>0</v>
      </c>
      <c r="S1178">
        <f>VLOOKUP(Table9[[#This Row],[Shortname]], Comp[], 16, FALSE)</f>
        <v>5.5</v>
      </c>
      <c r="T1178">
        <f>VLOOKUP(Table9[[#This Row],[Shortname]], Comp[], 17, FALSE)</f>
        <v>0</v>
      </c>
      <c r="U1178">
        <f>VLOOKUP(Table9[[#This Row],[Shortname]], Comp[], 18, FALSE)</f>
        <v>0</v>
      </c>
      <c r="V1178">
        <f>VLOOKUP(Table9[[#This Row],[Shortname]], Comp[], 19, FALSE)</f>
        <v>0</v>
      </c>
      <c r="W1178">
        <f>VLOOKUP(Table9[[#This Row],[Shortname]], Comp[], 20, FALSE)</f>
        <v>0</v>
      </c>
      <c r="X1178">
        <f>VLOOKUP(Table9[[#This Row],[Shortname]], Comp[], 21, FALSE)</f>
        <v>0</v>
      </c>
      <c r="Y1178">
        <f>VLOOKUP(Table9[[#This Row],[Shortname]], Comp[], 22, FALSE)</f>
        <v>0</v>
      </c>
      <c r="Z1178">
        <f>VLOOKUP(Table9[[#This Row],[Shortname]], Comp[], 23, FALSE)</f>
        <v>0</v>
      </c>
      <c r="AA1178">
        <f>VLOOKUP(Table9[[#This Row],[Shortname]], Comp[], 24, FALSE)</f>
        <v>0</v>
      </c>
      <c r="AB1178">
        <f>VLOOKUP(Table9[[#This Row],[Shortname]], Comp[], 25, FALSE)</f>
        <v>0</v>
      </c>
      <c r="AC1178">
        <f>VLOOKUP(Table9[[#This Row],[Shortname]], Comp[], 26, FALSE)</f>
        <v>0</v>
      </c>
      <c r="AD1178">
        <f>VLOOKUP(Table9[[#This Row],[Shortname]], Comp[], 27, FALSE)</f>
        <v>0</v>
      </c>
      <c r="AE1178">
        <f>VLOOKUP(Table9[[#This Row],[Shortname]], Comp[], 28, FALSE)</f>
        <v>0</v>
      </c>
      <c r="AF1178">
        <f>VLOOKUP(Table9[[#This Row],[Shortname]], Comp[], 29, FALSE)</f>
        <v>2.1</v>
      </c>
      <c r="AG1178">
        <f>VLOOKUP(Table9[[#This Row],[Shortname]], Comp[], 30, FALSE)</f>
        <v>0</v>
      </c>
      <c r="AH1178">
        <f>VLOOKUP(Table9[[#This Row],[Shortname]], Comp[], 31, FALSE)</f>
        <v>0</v>
      </c>
    </row>
    <row r="1179" spans="1:34" x14ac:dyDescent="0.3">
      <c r="A1179" t="s">
        <v>2989</v>
      </c>
      <c r="B1179" t="s">
        <v>2991</v>
      </c>
      <c r="C1179" t="s">
        <v>6995</v>
      </c>
      <c r="D1179">
        <v>887.89808917197399</v>
      </c>
      <c r="E1179">
        <v>25</v>
      </c>
      <c r="F1179">
        <v>1E-4</v>
      </c>
      <c r="G1179">
        <v>1</v>
      </c>
      <c r="H1179" t="s">
        <v>6803</v>
      </c>
      <c r="I1179">
        <f>VLOOKUP(Table9[[#This Row],[Shortname]], Comp[], 6, FALSE)</f>
        <v>411</v>
      </c>
      <c r="J1179" s="14">
        <f>VLOOKUP(Table9[[#This Row],[Shortname]], Comp[], 7, FALSE)</f>
        <v>84</v>
      </c>
      <c r="K1179">
        <f>VLOOKUP(Table9[[#This Row],[Shortname]], Comp[], 8, FALSE)</f>
        <v>0</v>
      </c>
      <c r="L1179">
        <f>VLOOKUP(Table9[[#This Row],[Shortname]], Comp[], 9, FALSE)</f>
        <v>0</v>
      </c>
      <c r="M1179">
        <f>VLOOKUP(Table9[[#This Row],[Shortname]], Comp[], 10, FALSE)</f>
        <v>0</v>
      </c>
      <c r="N1179">
        <f>VLOOKUP(Table9[[#This Row],[Shortname]], Comp[], 11, FALSE)</f>
        <v>0</v>
      </c>
      <c r="O1179">
        <f>VLOOKUP(Table9[[#This Row],[Shortname]], Comp[],12, FALSE)</f>
        <v>2</v>
      </c>
      <c r="P1179">
        <f>VLOOKUP(Table9[[#This Row],[Shortname]], Comp[], 13, FALSE)</f>
        <v>2</v>
      </c>
      <c r="Q1179">
        <f>VLOOKUP(Table9[[#This Row],[Shortname]], Comp[], 14, FALSE)</f>
        <v>0</v>
      </c>
      <c r="R1179">
        <f>VLOOKUP(Table9[[#This Row],[Shortname]], Comp[], 15, FALSE)</f>
        <v>12</v>
      </c>
      <c r="S1179">
        <f>VLOOKUP(Table9[[#This Row],[Shortname]], Comp[], 16, FALSE)</f>
        <v>0</v>
      </c>
      <c r="T1179">
        <f>VLOOKUP(Table9[[#This Row],[Shortname]], Comp[], 17, FALSE)</f>
        <v>0</v>
      </c>
      <c r="U1179">
        <f>VLOOKUP(Table9[[#This Row],[Shortname]], Comp[], 18, FALSE)</f>
        <v>0</v>
      </c>
      <c r="V1179">
        <f>VLOOKUP(Table9[[#This Row],[Shortname]], Comp[], 19, FALSE)</f>
        <v>0</v>
      </c>
      <c r="W1179">
        <f>VLOOKUP(Table9[[#This Row],[Shortname]], Comp[], 20, FALSE)</f>
        <v>0</v>
      </c>
      <c r="X1179">
        <f>VLOOKUP(Table9[[#This Row],[Shortname]], Comp[], 21, FALSE)</f>
        <v>0</v>
      </c>
      <c r="Y1179">
        <f>VLOOKUP(Table9[[#This Row],[Shortname]], Comp[], 22, FALSE)</f>
        <v>0</v>
      </c>
      <c r="Z1179">
        <f>VLOOKUP(Table9[[#This Row],[Shortname]], Comp[], 23, FALSE)</f>
        <v>0</v>
      </c>
      <c r="AA1179">
        <f>VLOOKUP(Table9[[#This Row],[Shortname]], Comp[], 24, FALSE)</f>
        <v>0</v>
      </c>
      <c r="AB1179">
        <f>VLOOKUP(Table9[[#This Row],[Shortname]], Comp[], 25, FALSE)</f>
        <v>0</v>
      </c>
      <c r="AC1179">
        <f>VLOOKUP(Table9[[#This Row],[Shortname]], Comp[], 26, FALSE)</f>
        <v>0</v>
      </c>
      <c r="AD1179">
        <f>VLOOKUP(Table9[[#This Row],[Shortname]], Comp[], 27, FALSE)</f>
        <v>0</v>
      </c>
      <c r="AE1179">
        <f>VLOOKUP(Table9[[#This Row],[Shortname]], Comp[], 28, FALSE)</f>
        <v>0</v>
      </c>
      <c r="AF1179">
        <f>VLOOKUP(Table9[[#This Row],[Shortname]], Comp[], 29, FALSE)</f>
        <v>0</v>
      </c>
      <c r="AG1179">
        <f>VLOOKUP(Table9[[#This Row],[Shortname]], Comp[], 30, FALSE)</f>
        <v>0</v>
      </c>
      <c r="AH1179">
        <f>VLOOKUP(Table9[[#This Row],[Shortname]], Comp[], 31, FALSE)</f>
        <v>0</v>
      </c>
    </row>
    <row r="1180" spans="1:34" x14ac:dyDescent="0.3">
      <c r="A1180" t="s">
        <v>2989</v>
      </c>
      <c r="B1180" t="s">
        <v>2991</v>
      </c>
      <c r="C1180" t="s">
        <v>6996</v>
      </c>
      <c r="D1180">
        <v>545.85987261146397</v>
      </c>
      <c r="E1180">
        <v>600</v>
      </c>
      <c r="F1180">
        <v>1E-4</v>
      </c>
      <c r="G1180">
        <v>1</v>
      </c>
      <c r="H1180" t="s">
        <v>6803</v>
      </c>
      <c r="I1180">
        <f>VLOOKUP(Table9[[#This Row],[Shortname]], Comp[], 6, FALSE)</f>
        <v>411</v>
      </c>
      <c r="J1180" s="14">
        <f>VLOOKUP(Table9[[#This Row],[Shortname]], Comp[], 7, FALSE)</f>
        <v>84</v>
      </c>
      <c r="K1180">
        <f>VLOOKUP(Table9[[#This Row],[Shortname]], Comp[], 8, FALSE)</f>
        <v>0</v>
      </c>
      <c r="L1180">
        <f>VLOOKUP(Table9[[#This Row],[Shortname]], Comp[], 9, FALSE)</f>
        <v>0</v>
      </c>
      <c r="M1180">
        <f>VLOOKUP(Table9[[#This Row],[Shortname]], Comp[], 10, FALSE)</f>
        <v>0</v>
      </c>
      <c r="N1180">
        <f>VLOOKUP(Table9[[#This Row],[Shortname]], Comp[], 11, FALSE)</f>
        <v>0</v>
      </c>
      <c r="O1180">
        <f>VLOOKUP(Table9[[#This Row],[Shortname]], Comp[],12, FALSE)</f>
        <v>2</v>
      </c>
      <c r="P1180">
        <f>VLOOKUP(Table9[[#This Row],[Shortname]], Comp[], 13, FALSE)</f>
        <v>2</v>
      </c>
      <c r="Q1180">
        <f>VLOOKUP(Table9[[#This Row],[Shortname]], Comp[], 14, FALSE)</f>
        <v>0</v>
      </c>
      <c r="R1180">
        <f>VLOOKUP(Table9[[#This Row],[Shortname]], Comp[], 15, FALSE)</f>
        <v>12</v>
      </c>
      <c r="S1180">
        <f>VLOOKUP(Table9[[#This Row],[Shortname]], Comp[], 16, FALSE)</f>
        <v>0</v>
      </c>
      <c r="T1180">
        <f>VLOOKUP(Table9[[#This Row],[Shortname]], Comp[], 17, FALSE)</f>
        <v>0</v>
      </c>
      <c r="U1180">
        <f>VLOOKUP(Table9[[#This Row],[Shortname]], Comp[], 18, FALSE)</f>
        <v>0</v>
      </c>
      <c r="V1180">
        <f>VLOOKUP(Table9[[#This Row],[Shortname]], Comp[], 19, FALSE)</f>
        <v>0</v>
      </c>
      <c r="W1180">
        <f>VLOOKUP(Table9[[#This Row],[Shortname]], Comp[], 20, FALSE)</f>
        <v>0</v>
      </c>
      <c r="X1180">
        <f>VLOOKUP(Table9[[#This Row],[Shortname]], Comp[], 21, FALSE)</f>
        <v>0</v>
      </c>
      <c r="Y1180">
        <f>VLOOKUP(Table9[[#This Row],[Shortname]], Comp[], 22, FALSE)</f>
        <v>0</v>
      </c>
      <c r="Z1180">
        <f>VLOOKUP(Table9[[#This Row],[Shortname]], Comp[], 23, FALSE)</f>
        <v>0</v>
      </c>
      <c r="AA1180">
        <f>VLOOKUP(Table9[[#This Row],[Shortname]], Comp[], 24, FALSE)</f>
        <v>0</v>
      </c>
      <c r="AB1180">
        <f>VLOOKUP(Table9[[#This Row],[Shortname]], Comp[], 25, FALSE)</f>
        <v>0</v>
      </c>
      <c r="AC1180">
        <f>VLOOKUP(Table9[[#This Row],[Shortname]], Comp[], 26, FALSE)</f>
        <v>0</v>
      </c>
      <c r="AD1180">
        <f>VLOOKUP(Table9[[#This Row],[Shortname]], Comp[], 27, FALSE)</f>
        <v>0</v>
      </c>
      <c r="AE1180">
        <f>VLOOKUP(Table9[[#This Row],[Shortname]], Comp[], 28, FALSE)</f>
        <v>0</v>
      </c>
      <c r="AF1180">
        <f>VLOOKUP(Table9[[#This Row],[Shortname]], Comp[], 29, FALSE)</f>
        <v>0</v>
      </c>
      <c r="AG1180">
        <f>VLOOKUP(Table9[[#This Row],[Shortname]], Comp[], 30, FALSE)</f>
        <v>0</v>
      </c>
      <c r="AH1180">
        <f>VLOOKUP(Table9[[#This Row],[Shortname]], Comp[], 31, FALSE)</f>
        <v>0</v>
      </c>
    </row>
    <row r="1181" spans="1:34" x14ac:dyDescent="0.3">
      <c r="A1181" t="s">
        <v>2989</v>
      </c>
      <c r="B1181" t="s">
        <v>2991</v>
      </c>
      <c r="C1181" t="s">
        <v>6997</v>
      </c>
      <c r="D1181">
        <v>551.59235668789802</v>
      </c>
      <c r="E1181">
        <v>651.72413793103397</v>
      </c>
      <c r="F1181">
        <v>1E-4</v>
      </c>
      <c r="G1181">
        <v>1</v>
      </c>
      <c r="H1181" t="s">
        <v>6803</v>
      </c>
      <c r="I1181">
        <f>VLOOKUP(Table9[[#This Row],[Shortname]], Comp[], 6, FALSE)</f>
        <v>411</v>
      </c>
      <c r="J1181" s="14">
        <f>VLOOKUP(Table9[[#This Row],[Shortname]], Comp[], 7, FALSE)</f>
        <v>84</v>
      </c>
      <c r="K1181">
        <f>VLOOKUP(Table9[[#This Row],[Shortname]], Comp[], 8, FALSE)</f>
        <v>0</v>
      </c>
      <c r="L1181">
        <f>VLOOKUP(Table9[[#This Row],[Shortname]], Comp[], 9, FALSE)</f>
        <v>0</v>
      </c>
      <c r="M1181">
        <f>VLOOKUP(Table9[[#This Row],[Shortname]], Comp[], 10, FALSE)</f>
        <v>0</v>
      </c>
      <c r="N1181">
        <f>VLOOKUP(Table9[[#This Row],[Shortname]], Comp[], 11, FALSE)</f>
        <v>0</v>
      </c>
      <c r="O1181">
        <f>VLOOKUP(Table9[[#This Row],[Shortname]], Comp[],12, FALSE)</f>
        <v>2</v>
      </c>
      <c r="P1181">
        <f>VLOOKUP(Table9[[#This Row],[Shortname]], Comp[], 13, FALSE)</f>
        <v>2</v>
      </c>
      <c r="Q1181">
        <f>VLOOKUP(Table9[[#This Row],[Shortname]], Comp[], 14, FALSE)</f>
        <v>0</v>
      </c>
      <c r="R1181">
        <f>VLOOKUP(Table9[[#This Row],[Shortname]], Comp[], 15, FALSE)</f>
        <v>12</v>
      </c>
      <c r="S1181">
        <f>VLOOKUP(Table9[[#This Row],[Shortname]], Comp[], 16, FALSE)</f>
        <v>0</v>
      </c>
      <c r="T1181">
        <f>VLOOKUP(Table9[[#This Row],[Shortname]], Comp[], 17, FALSE)</f>
        <v>0</v>
      </c>
      <c r="U1181">
        <f>VLOOKUP(Table9[[#This Row],[Shortname]], Comp[], 18, FALSE)</f>
        <v>0</v>
      </c>
      <c r="V1181">
        <f>VLOOKUP(Table9[[#This Row],[Shortname]], Comp[], 19, FALSE)</f>
        <v>0</v>
      </c>
      <c r="W1181">
        <f>VLOOKUP(Table9[[#This Row],[Shortname]], Comp[], 20, FALSE)</f>
        <v>0</v>
      </c>
      <c r="X1181">
        <f>VLOOKUP(Table9[[#This Row],[Shortname]], Comp[], 21, FALSE)</f>
        <v>0</v>
      </c>
      <c r="Y1181">
        <f>VLOOKUP(Table9[[#This Row],[Shortname]], Comp[], 22, FALSE)</f>
        <v>0</v>
      </c>
      <c r="Z1181">
        <f>VLOOKUP(Table9[[#This Row],[Shortname]], Comp[], 23, FALSE)</f>
        <v>0</v>
      </c>
      <c r="AA1181">
        <f>VLOOKUP(Table9[[#This Row],[Shortname]], Comp[], 24, FALSE)</f>
        <v>0</v>
      </c>
      <c r="AB1181">
        <f>VLOOKUP(Table9[[#This Row],[Shortname]], Comp[], 25, FALSE)</f>
        <v>0</v>
      </c>
      <c r="AC1181">
        <f>VLOOKUP(Table9[[#This Row],[Shortname]], Comp[], 26, FALSE)</f>
        <v>0</v>
      </c>
      <c r="AD1181">
        <f>VLOOKUP(Table9[[#This Row],[Shortname]], Comp[], 27, FALSE)</f>
        <v>0</v>
      </c>
      <c r="AE1181">
        <f>VLOOKUP(Table9[[#This Row],[Shortname]], Comp[], 28, FALSE)</f>
        <v>0</v>
      </c>
      <c r="AF1181">
        <f>VLOOKUP(Table9[[#This Row],[Shortname]], Comp[], 29, FALSE)</f>
        <v>0</v>
      </c>
      <c r="AG1181">
        <f>VLOOKUP(Table9[[#This Row],[Shortname]], Comp[], 30, FALSE)</f>
        <v>0</v>
      </c>
      <c r="AH1181">
        <f>VLOOKUP(Table9[[#This Row],[Shortname]], Comp[], 31, FALSE)</f>
        <v>0</v>
      </c>
    </row>
    <row r="1182" spans="1:34" x14ac:dyDescent="0.3">
      <c r="A1182" t="s">
        <v>2989</v>
      </c>
      <c r="B1182" t="s">
        <v>2991</v>
      </c>
      <c r="C1182" t="s">
        <v>6998</v>
      </c>
      <c r="D1182">
        <v>608.91719745222895</v>
      </c>
      <c r="E1182">
        <v>700</v>
      </c>
      <c r="F1182">
        <v>1E-4</v>
      </c>
      <c r="G1182">
        <v>1</v>
      </c>
      <c r="H1182" t="s">
        <v>6803</v>
      </c>
      <c r="I1182">
        <f>VLOOKUP(Table9[[#This Row],[Shortname]], Comp[], 6, FALSE)</f>
        <v>411</v>
      </c>
      <c r="J1182" s="14">
        <f>VLOOKUP(Table9[[#This Row],[Shortname]], Comp[], 7, FALSE)</f>
        <v>84</v>
      </c>
      <c r="K1182">
        <f>VLOOKUP(Table9[[#This Row],[Shortname]], Comp[], 8, FALSE)</f>
        <v>0</v>
      </c>
      <c r="L1182">
        <f>VLOOKUP(Table9[[#This Row],[Shortname]], Comp[], 9, FALSE)</f>
        <v>0</v>
      </c>
      <c r="M1182">
        <f>VLOOKUP(Table9[[#This Row],[Shortname]], Comp[], 10, FALSE)</f>
        <v>0</v>
      </c>
      <c r="N1182">
        <f>VLOOKUP(Table9[[#This Row],[Shortname]], Comp[], 11, FALSE)</f>
        <v>0</v>
      </c>
      <c r="O1182">
        <f>VLOOKUP(Table9[[#This Row],[Shortname]], Comp[],12, FALSE)</f>
        <v>2</v>
      </c>
      <c r="P1182">
        <f>VLOOKUP(Table9[[#This Row],[Shortname]], Comp[], 13, FALSE)</f>
        <v>2</v>
      </c>
      <c r="Q1182">
        <f>VLOOKUP(Table9[[#This Row],[Shortname]], Comp[], 14, FALSE)</f>
        <v>0</v>
      </c>
      <c r="R1182">
        <f>VLOOKUP(Table9[[#This Row],[Shortname]], Comp[], 15, FALSE)</f>
        <v>12</v>
      </c>
      <c r="S1182">
        <f>VLOOKUP(Table9[[#This Row],[Shortname]], Comp[], 16, FALSE)</f>
        <v>0</v>
      </c>
      <c r="T1182">
        <f>VLOOKUP(Table9[[#This Row],[Shortname]], Comp[], 17, FALSE)</f>
        <v>0</v>
      </c>
      <c r="U1182">
        <f>VLOOKUP(Table9[[#This Row],[Shortname]], Comp[], 18, FALSE)</f>
        <v>0</v>
      </c>
      <c r="V1182">
        <f>VLOOKUP(Table9[[#This Row],[Shortname]], Comp[], 19, FALSE)</f>
        <v>0</v>
      </c>
      <c r="W1182">
        <f>VLOOKUP(Table9[[#This Row],[Shortname]], Comp[], 20, FALSE)</f>
        <v>0</v>
      </c>
      <c r="X1182">
        <f>VLOOKUP(Table9[[#This Row],[Shortname]], Comp[], 21, FALSE)</f>
        <v>0</v>
      </c>
      <c r="Y1182">
        <f>VLOOKUP(Table9[[#This Row],[Shortname]], Comp[], 22, FALSE)</f>
        <v>0</v>
      </c>
      <c r="Z1182">
        <f>VLOOKUP(Table9[[#This Row],[Shortname]], Comp[], 23, FALSE)</f>
        <v>0</v>
      </c>
      <c r="AA1182">
        <f>VLOOKUP(Table9[[#This Row],[Shortname]], Comp[], 24, FALSE)</f>
        <v>0</v>
      </c>
      <c r="AB1182">
        <f>VLOOKUP(Table9[[#This Row],[Shortname]], Comp[], 25, FALSE)</f>
        <v>0</v>
      </c>
      <c r="AC1182">
        <f>VLOOKUP(Table9[[#This Row],[Shortname]], Comp[], 26, FALSE)</f>
        <v>0</v>
      </c>
      <c r="AD1182">
        <f>VLOOKUP(Table9[[#This Row],[Shortname]], Comp[], 27, FALSE)</f>
        <v>0</v>
      </c>
      <c r="AE1182">
        <f>VLOOKUP(Table9[[#This Row],[Shortname]], Comp[], 28, FALSE)</f>
        <v>0</v>
      </c>
      <c r="AF1182">
        <f>VLOOKUP(Table9[[#This Row],[Shortname]], Comp[], 29, FALSE)</f>
        <v>0</v>
      </c>
      <c r="AG1182">
        <f>VLOOKUP(Table9[[#This Row],[Shortname]], Comp[], 30, FALSE)</f>
        <v>0</v>
      </c>
      <c r="AH1182">
        <f>VLOOKUP(Table9[[#This Row],[Shortname]], Comp[], 31, FALSE)</f>
        <v>0</v>
      </c>
    </row>
    <row r="1183" spans="1:34" x14ac:dyDescent="0.3">
      <c r="A1183" t="s">
        <v>2989</v>
      </c>
      <c r="B1183" t="s">
        <v>2991</v>
      </c>
      <c r="C1183" t="s">
        <v>6999</v>
      </c>
      <c r="D1183">
        <v>578.34394904458497</v>
      </c>
      <c r="E1183">
        <v>751.72413793103397</v>
      </c>
      <c r="F1183">
        <v>1E-4</v>
      </c>
      <c r="G1183">
        <v>1</v>
      </c>
      <c r="H1183" t="s">
        <v>6803</v>
      </c>
      <c r="I1183">
        <f>VLOOKUP(Table9[[#This Row],[Shortname]], Comp[], 6, FALSE)</f>
        <v>411</v>
      </c>
      <c r="J1183" s="14">
        <f>VLOOKUP(Table9[[#This Row],[Shortname]], Comp[], 7, FALSE)</f>
        <v>84</v>
      </c>
      <c r="K1183">
        <f>VLOOKUP(Table9[[#This Row],[Shortname]], Comp[], 8, FALSE)</f>
        <v>0</v>
      </c>
      <c r="L1183">
        <f>VLOOKUP(Table9[[#This Row],[Shortname]], Comp[], 9, FALSE)</f>
        <v>0</v>
      </c>
      <c r="M1183">
        <f>VLOOKUP(Table9[[#This Row],[Shortname]], Comp[], 10, FALSE)</f>
        <v>0</v>
      </c>
      <c r="N1183">
        <f>VLOOKUP(Table9[[#This Row],[Shortname]], Comp[], 11, FALSE)</f>
        <v>0</v>
      </c>
      <c r="O1183">
        <f>VLOOKUP(Table9[[#This Row],[Shortname]], Comp[],12, FALSE)</f>
        <v>2</v>
      </c>
      <c r="P1183">
        <f>VLOOKUP(Table9[[#This Row],[Shortname]], Comp[], 13, FALSE)</f>
        <v>2</v>
      </c>
      <c r="Q1183">
        <f>VLOOKUP(Table9[[#This Row],[Shortname]], Comp[], 14, FALSE)</f>
        <v>0</v>
      </c>
      <c r="R1183">
        <f>VLOOKUP(Table9[[#This Row],[Shortname]], Comp[], 15, FALSE)</f>
        <v>12</v>
      </c>
      <c r="S1183">
        <f>VLOOKUP(Table9[[#This Row],[Shortname]], Comp[], 16, FALSE)</f>
        <v>0</v>
      </c>
      <c r="T1183">
        <f>VLOOKUP(Table9[[#This Row],[Shortname]], Comp[], 17, FALSE)</f>
        <v>0</v>
      </c>
      <c r="U1183">
        <f>VLOOKUP(Table9[[#This Row],[Shortname]], Comp[], 18, FALSE)</f>
        <v>0</v>
      </c>
      <c r="V1183">
        <f>VLOOKUP(Table9[[#This Row],[Shortname]], Comp[], 19, FALSE)</f>
        <v>0</v>
      </c>
      <c r="W1183">
        <f>VLOOKUP(Table9[[#This Row],[Shortname]], Comp[], 20, FALSE)</f>
        <v>0</v>
      </c>
      <c r="X1183">
        <f>VLOOKUP(Table9[[#This Row],[Shortname]], Comp[], 21, FALSE)</f>
        <v>0</v>
      </c>
      <c r="Y1183">
        <f>VLOOKUP(Table9[[#This Row],[Shortname]], Comp[], 22, FALSE)</f>
        <v>0</v>
      </c>
      <c r="Z1183">
        <f>VLOOKUP(Table9[[#This Row],[Shortname]], Comp[], 23, FALSE)</f>
        <v>0</v>
      </c>
      <c r="AA1183">
        <f>VLOOKUP(Table9[[#This Row],[Shortname]], Comp[], 24, FALSE)</f>
        <v>0</v>
      </c>
      <c r="AB1183">
        <f>VLOOKUP(Table9[[#This Row],[Shortname]], Comp[], 25, FALSE)</f>
        <v>0</v>
      </c>
      <c r="AC1183">
        <f>VLOOKUP(Table9[[#This Row],[Shortname]], Comp[], 26, FALSE)</f>
        <v>0</v>
      </c>
      <c r="AD1183">
        <f>VLOOKUP(Table9[[#This Row],[Shortname]], Comp[], 27, FALSE)</f>
        <v>0</v>
      </c>
      <c r="AE1183">
        <f>VLOOKUP(Table9[[#This Row],[Shortname]], Comp[], 28, FALSE)</f>
        <v>0</v>
      </c>
      <c r="AF1183">
        <f>VLOOKUP(Table9[[#This Row],[Shortname]], Comp[], 29, FALSE)</f>
        <v>0</v>
      </c>
      <c r="AG1183">
        <f>VLOOKUP(Table9[[#This Row],[Shortname]], Comp[], 30, FALSE)</f>
        <v>0</v>
      </c>
      <c r="AH1183">
        <f>VLOOKUP(Table9[[#This Row],[Shortname]], Comp[], 31, FALSE)</f>
        <v>0</v>
      </c>
    </row>
    <row r="1184" spans="1:34" x14ac:dyDescent="0.3">
      <c r="A1184" t="s">
        <v>2989</v>
      </c>
      <c r="B1184" t="s">
        <v>2991</v>
      </c>
      <c r="C1184" t="s">
        <v>7000</v>
      </c>
      <c r="D1184">
        <v>561.14649681528601</v>
      </c>
      <c r="E1184">
        <v>800</v>
      </c>
      <c r="F1184">
        <v>1E-4</v>
      </c>
      <c r="G1184">
        <v>1</v>
      </c>
      <c r="H1184" t="s">
        <v>6803</v>
      </c>
      <c r="I1184">
        <f>VLOOKUP(Table9[[#This Row],[Shortname]], Comp[], 6, FALSE)</f>
        <v>411</v>
      </c>
      <c r="J1184" s="14">
        <f>VLOOKUP(Table9[[#This Row],[Shortname]], Comp[], 7, FALSE)</f>
        <v>84</v>
      </c>
      <c r="K1184">
        <f>VLOOKUP(Table9[[#This Row],[Shortname]], Comp[], 8, FALSE)</f>
        <v>0</v>
      </c>
      <c r="L1184">
        <f>VLOOKUP(Table9[[#This Row],[Shortname]], Comp[], 9, FALSE)</f>
        <v>0</v>
      </c>
      <c r="M1184">
        <f>VLOOKUP(Table9[[#This Row],[Shortname]], Comp[], 10, FALSE)</f>
        <v>0</v>
      </c>
      <c r="N1184">
        <f>VLOOKUP(Table9[[#This Row],[Shortname]], Comp[], 11, FALSE)</f>
        <v>0</v>
      </c>
      <c r="O1184">
        <f>VLOOKUP(Table9[[#This Row],[Shortname]], Comp[],12, FALSE)</f>
        <v>2</v>
      </c>
      <c r="P1184">
        <f>VLOOKUP(Table9[[#This Row],[Shortname]], Comp[], 13, FALSE)</f>
        <v>2</v>
      </c>
      <c r="Q1184">
        <f>VLOOKUP(Table9[[#This Row],[Shortname]], Comp[], 14, FALSE)</f>
        <v>0</v>
      </c>
      <c r="R1184">
        <f>VLOOKUP(Table9[[#This Row],[Shortname]], Comp[], 15, FALSE)</f>
        <v>12</v>
      </c>
      <c r="S1184">
        <f>VLOOKUP(Table9[[#This Row],[Shortname]], Comp[], 16, FALSE)</f>
        <v>0</v>
      </c>
      <c r="T1184">
        <f>VLOOKUP(Table9[[#This Row],[Shortname]], Comp[], 17, FALSE)</f>
        <v>0</v>
      </c>
      <c r="U1184">
        <f>VLOOKUP(Table9[[#This Row],[Shortname]], Comp[], 18, FALSE)</f>
        <v>0</v>
      </c>
      <c r="V1184">
        <f>VLOOKUP(Table9[[#This Row],[Shortname]], Comp[], 19, FALSE)</f>
        <v>0</v>
      </c>
      <c r="W1184">
        <f>VLOOKUP(Table9[[#This Row],[Shortname]], Comp[], 20, FALSE)</f>
        <v>0</v>
      </c>
      <c r="X1184">
        <f>VLOOKUP(Table9[[#This Row],[Shortname]], Comp[], 21, FALSE)</f>
        <v>0</v>
      </c>
      <c r="Y1184">
        <f>VLOOKUP(Table9[[#This Row],[Shortname]], Comp[], 22, FALSE)</f>
        <v>0</v>
      </c>
      <c r="Z1184">
        <f>VLOOKUP(Table9[[#This Row],[Shortname]], Comp[], 23, FALSE)</f>
        <v>0</v>
      </c>
      <c r="AA1184">
        <f>VLOOKUP(Table9[[#This Row],[Shortname]], Comp[], 24, FALSE)</f>
        <v>0</v>
      </c>
      <c r="AB1184">
        <f>VLOOKUP(Table9[[#This Row],[Shortname]], Comp[], 25, FALSE)</f>
        <v>0</v>
      </c>
      <c r="AC1184">
        <f>VLOOKUP(Table9[[#This Row],[Shortname]], Comp[], 26, FALSE)</f>
        <v>0</v>
      </c>
      <c r="AD1184">
        <f>VLOOKUP(Table9[[#This Row],[Shortname]], Comp[], 27, FALSE)</f>
        <v>0</v>
      </c>
      <c r="AE1184">
        <f>VLOOKUP(Table9[[#This Row],[Shortname]], Comp[], 28, FALSE)</f>
        <v>0</v>
      </c>
      <c r="AF1184">
        <f>VLOOKUP(Table9[[#This Row],[Shortname]], Comp[], 29, FALSE)</f>
        <v>0</v>
      </c>
      <c r="AG1184">
        <f>VLOOKUP(Table9[[#This Row],[Shortname]], Comp[], 30, FALSE)</f>
        <v>0</v>
      </c>
      <c r="AH1184">
        <f>VLOOKUP(Table9[[#This Row],[Shortname]], Comp[], 31, FALSE)</f>
        <v>0</v>
      </c>
    </row>
    <row r="1185" spans="1:34" x14ac:dyDescent="0.3">
      <c r="A1185" t="s">
        <v>2989</v>
      </c>
      <c r="B1185" t="s">
        <v>2991</v>
      </c>
      <c r="C1185" t="s">
        <v>7001</v>
      </c>
      <c r="D1185">
        <v>519.10828025477701</v>
      </c>
      <c r="E1185">
        <v>850</v>
      </c>
      <c r="F1185">
        <v>1E-4</v>
      </c>
      <c r="G1185">
        <v>1</v>
      </c>
      <c r="H1185" t="s">
        <v>6803</v>
      </c>
      <c r="I1185">
        <f>VLOOKUP(Table9[[#This Row],[Shortname]], Comp[], 6, FALSE)</f>
        <v>411</v>
      </c>
      <c r="J1185" s="14">
        <f>VLOOKUP(Table9[[#This Row],[Shortname]], Comp[], 7, FALSE)</f>
        <v>84</v>
      </c>
      <c r="K1185">
        <f>VLOOKUP(Table9[[#This Row],[Shortname]], Comp[], 8, FALSE)</f>
        <v>0</v>
      </c>
      <c r="L1185">
        <f>VLOOKUP(Table9[[#This Row],[Shortname]], Comp[], 9, FALSE)</f>
        <v>0</v>
      </c>
      <c r="M1185">
        <f>VLOOKUP(Table9[[#This Row],[Shortname]], Comp[], 10, FALSE)</f>
        <v>0</v>
      </c>
      <c r="N1185">
        <f>VLOOKUP(Table9[[#This Row],[Shortname]], Comp[], 11, FALSE)</f>
        <v>0</v>
      </c>
      <c r="O1185">
        <f>VLOOKUP(Table9[[#This Row],[Shortname]], Comp[],12, FALSE)</f>
        <v>2</v>
      </c>
      <c r="P1185">
        <f>VLOOKUP(Table9[[#This Row],[Shortname]], Comp[], 13, FALSE)</f>
        <v>2</v>
      </c>
      <c r="Q1185">
        <f>VLOOKUP(Table9[[#This Row],[Shortname]], Comp[], 14, FALSE)</f>
        <v>0</v>
      </c>
      <c r="R1185">
        <f>VLOOKUP(Table9[[#This Row],[Shortname]], Comp[], 15, FALSE)</f>
        <v>12</v>
      </c>
      <c r="S1185">
        <f>VLOOKUP(Table9[[#This Row],[Shortname]], Comp[], 16, FALSE)</f>
        <v>0</v>
      </c>
      <c r="T1185">
        <f>VLOOKUP(Table9[[#This Row],[Shortname]], Comp[], 17, FALSE)</f>
        <v>0</v>
      </c>
      <c r="U1185">
        <f>VLOOKUP(Table9[[#This Row],[Shortname]], Comp[], 18, FALSE)</f>
        <v>0</v>
      </c>
      <c r="V1185">
        <f>VLOOKUP(Table9[[#This Row],[Shortname]], Comp[], 19, FALSE)</f>
        <v>0</v>
      </c>
      <c r="W1185">
        <f>VLOOKUP(Table9[[#This Row],[Shortname]], Comp[], 20, FALSE)</f>
        <v>0</v>
      </c>
      <c r="X1185">
        <f>VLOOKUP(Table9[[#This Row],[Shortname]], Comp[], 21, FALSE)</f>
        <v>0</v>
      </c>
      <c r="Y1185">
        <f>VLOOKUP(Table9[[#This Row],[Shortname]], Comp[], 22, FALSE)</f>
        <v>0</v>
      </c>
      <c r="Z1185">
        <f>VLOOKUP(Table9[[#This Row],[Shortname]], Comp[], 23, FALSE)</f>
        <v>0</v>
      </c>
      <c r="AA1185">
        <f>VLOOKUP(Table9[[#This Row],[Shortname]], Comp[], 24, FALSE)</f>
        <v>0</v>
      </c>
      <c r="AB1185">
        <f>VLOOKUP(Table9[[#This Row],[Shortname]], Comp[], 25, FALSE)</f>
        <v>0</v>
      </c>
      <c r="AC1185">
        <f>VLOOKUP(Table9[[#This Row],[Shortname]], Comp[], 26, FALSE)</f>
        <v>0</v>
      </c>
      <c r="AD1185">
        <f>VLOOKUP(Table9[[#This Row],[Shortname]], Comp[], 27, FALSE)</f>
        <v>0</v>
      </c>
      <c r="AE1185">
        <f>VLOOKUP(Table9[[#This Row],[Shortname]], Comp[], 28, FALSE)</f>
        <v>0</v>
      </c>
      <c r="AF1185">
        <f>VLOOKUP(Table9[[#This Row],[Shortname]], Comp[], 29, FALSE)</f>
        <v>0</v>
      </c>
      <c r="AG1185">
        <f>VLOOKUP(Table9[[#This Row],[Shortname]], Comp[], 30, FALSE)</f>
        <v>0</v>
      </c>
      <c r="AH1185">
        <f>VLOOKUP(Table9[[#This Row],[Shortname]], Comp[], 31, FALSE)</f>
        <v>0</v>
      </c>
    </row>
    <row r="1186" spans="1:34" x14ac:dyDescent="0.3">
      <c r="A1186" t="s">
        <v>2989</v>
      </c>
      <c r="B1186" t="s">
        <v>2991</v>
      </c>
      <c r="C1186" t="s">
        <v>7002</v>
      </c>
      <c r="D1186">
        <v>406.36942675159202</v>
      </c>
      <c r="E1186">
        <v>900</v>
      </c>
      <c r="F1186">
        <v>1E-4</v>
      </c>
      <c r="G1186">
        <v>1</v>
      </c>
      <c r="H1186" t="s">
        <v>6803</v>
      </c>
      <c r="I1186">
        <f>VLOOKUP(Table9[[#This Row],[Shortname]], Comp[], 6, FALSE)</f>
        <v>411</v>
      </c>
      <c r="J1186" s="14">
        <f>VLOOKUP(Table9[[#This Row],[Shortname]], Comp[], 7, FALSE)</f>
        <v>84</v>
      </c>
      <c r="K1186">
        <f>VLOOKUP(Table9[[#This Row],[Shortname]], Comp[], 8, FALSE)</f>
        <v>0</v>
      </c>
      <c r="L1186">
        <f>VLOOKUP(Table9[[#This Row],[Shortname]], Comp[], 9, FALSE)</f>
        <v>0</v>
      </c>
      <c r="M1186">
        <f>VLOOKUP(Table9[[#This Row],[Shortname]], Comp[], 10, FALSE)</f>
        <v>0</v>
      </c>
      <c r="N1186">
        <f>VLOOKUP(Table9[[#This Row],[Shortname]], Comp[], 11, FALSE)</f>
        <v>0</v>
      </c>
      <c r="O1186">
        <f>VLOOKUP(Table9[[#This Row],[Shortname]], Comp[],12, FALSE)</f>
        <v>2</v>
      </c>
      <c r="P1186">
        <f>VLOOKUP(Table9[[#This Row],[Shortname]], Comp[], 13, FALSE)</f>
        <v>2</v>
      </c>
      <c r="Q1186">
        <f>VLOOKUP(Table9[[#This Row],[Shortname]], Comp[], 14, FALSE)</f>
        <v>0</v>
      </c>
      <c r="R1186">
        <f>VLOOKUP(Table9[[#This Row],[Shortname]], Comp[], 15, FALSE)</f>
        <v>12</v>
      </c>
      <c r="S1186">
        <f>VLOOKUP(Table9[[#This Row],[Shortname]], Comp[], 16, FALSE)</f>
        <v>0</v>
      </c>
      <c r="T1186">
        <f>VLOOKUP(Table9[[#This Row],[Shortname]], Comp[], 17, FALSE)</f>
        <v>0</v>
      </c>
      <c r="U1186">
        <f>VLOOKUP(Table9[[#This Row],[Shortname]], Comp[], 18, FALSE)</f>
        <v>0</v>
      </c>
      <c r="V1186">
        <f>VLOOKUP(Table9[[#This Row],[Shortname]], Comp[], 19, FALSE)</f>
        <v>0</v>
      </c>
      <c r="W1186">
        <f>VLOOKUP(Table9[[#This Row],[Shortname]], Comp[], 20, FALSE)</f>
        <v>0</v>
      </c>
      <c r="X1186">
        <f>VLOOKUP(Table9[[#This Row],[Shortname]], Comp[], 21, FALSE)</f>
        <v>0</v>
      </c>
      <c r="Y1186">
        <f>VLOOKUP(Table9[[#This Row],[Shortname]], Comp[], 22, FALSE)</f>
        <v>0</v>
      </c>
      <c r="Z1186">
        <f>VLOOKUP(Table9[[#This Row],[Shortname]], Comp[], 23, FALSE)</f>
        <v>0</v>
      </c>
      <c r="AA1186">
        <f>VLOOKUP(Table9[[#This Row],[Shortname]], Comp[], 24, FALSE)</f>
        <v>0</v>
      </c>
      <c r="AB1186">
        <f>VLOOKUP(Table9[[#This Row],[Shortname]], Comp[], 25, FALSE)</f>
        <v>0</v>
      </c>
      <c r="AC1186">
        <f>VLOOKUP(Table9[[#This Row],[Shortname]], Comp[], 26, FALSE)</f>
        <v>0</v>
      </c>
      <c r="AD1186">
        <f>VLOOKUP(Table9[[#This Row],[Shortname]], Comp[], 27, FALSE)</f>
        <v>0</v>
      </c>
      <c r="AE1186">
        <f>VLOOKUP(Table9[[#This Row],[Shortname]], Comp[], 28, FALSE)</f>
        <v>0</v>
      </c>
      <c r="AF1186">
        <f>VLOOKUP(Table9[[#This Row],[Shortname]], Comp[], 29, FALSE)</f>
        <v>0</v>
      </c>
      <c r="AG1186">
        <f>VLOOKUP(Table9[[#This Row],[Shortname]], Comp[], 30, FALSE)</f>
        <v>0</v>
      </c>
      <c r="AH1186">
        <f>VLOOKUP(Table9[[#This Row],[Shortname]], Comp[], 31, FALSE)</f>
        <v>0</v>
      </c>
    </row>
    <row r="1187" spans="1:34" x14ac:dyDescent="0.3">
      <c r="A1187" t="s">
        <v>2989</v>
      </c>
      <c r="B1187" t="s">
        <v>2991</v>
      </c>
      <c r="C1187" t="s">
        <v>7003</v>
      </c>
      <c r="D1187">
        <v>324.20382165605002</v>
      </c>
      <c r="E1187">
        <v>951.72413793103397</v>
      </c>
      <c r="F1187">
        <v>1E-4</v>
      </c>
      <c r="G1187">
        <v>1</v>
      </c>
      <c r="H1187" t="s">
        <v>6803</v>
      </c>
      <c r="I1187">
        <f>VLOOKUP(Table9[[#This Row],[Shortname]], Comp[], 6, FALSE)</f>
        <v>411</v>
      </c>
      <c r="J1187" s="14">
        <f>VLOOKUP(Table9[[#This Row],[Shortname]], Comp[], 7, FALSE)</f>
        <v>84</v>
      </c>
      <c r="K1187">
        <f>VLOOKUP(Table9[[#This Row],[Shortname]], Comp[], 8, FALSE)</f>
        <v>0</v>
      </c>
      <c r="L1187">
        <f>VLOOKUP(Table9[[#This Row],[Shortname]], Comp[], 9, FALSE)</f>
        <v>0</v>
      </c>
      <c r="M1187">
        <f>VLOOKUP(Table9[[#This Row],[Shortname]], Comp[], 10, FALSE)</f>
        <v>0</v>
      </c>
      <c r="N1187">
        <f>VLOOKUP(Table9[[#This Row],[Shortname]], Comp[], 11, FALSE)</f>
        <v>0</v>
      </c>
      <c r="O1187">
        <f>VLOOKUP(Table9[[#This Row],[Shortname]], Comp[],12, FALSE)</f>
        <v>2</v>
      </c>
      <c r="P1187">
        <f>VLOOKUP(Table9[[#This Row],[Shortname]], Comp[], 13, FALSE)</f>
        <v>2</v>
      </c>
      <c r="Q1187">
        <f>VLOOKUP(Table9[[#This Row],[Shortname]], Comp[], 14, FALSE)</f>
        <v>0</v>
      </c>
      <c r="R1187">
        <f>VLOOKUP(Table9[[#This Row],[Shortname]], Comp[], 15, FALSE)</f>
        <v>12</v>
      </c>
      <c r="S1187">
        <f>VLOOKUP(Table9[[#This Row],[Shortname]], Comp[], 16, FALSE)</f>
        <v>0</v>
      </c>
      <c r="T1187">
        <f>VLOOKUP(Table9[[#This Row],[Shortname]], Comp[], 17, FALSE)</f>
        <v>0</v>
      </c>
      <c r="U1187">
        <f>VLOOKUP(Table9[[#This Row],[Shortname]], Comp[], 18, FALSE)</f>
        <v>0</v>
      </c>
      <c r="V1187">
        <f>VLOOKUP(Table9[[#This Row],[Shortname]], Comp[], 19, FALSE)</f>
        <v>0</v>
      </c>
      <c r="W1187">
        <f>VLOOKUP(Table9[[#This Row],[Shortname]], Comp[], 20, FALSE)</f>
        <v>0</v>
      </c>
      <c r="X1187">
        <f>VLOOKUP(Table9[[#This Row],[Shortname]], Comp[], 21, FALSE)</f>
        <v>0</v>
      </c>
      <c r="Y1187">
        <f>VLOOKUP(Table9[[#This Row],[Shortname]], Comp[], 22, FALSE)</f>
        <v>0</v>
      </c>
      <c r="Z1187">
        <f>VLOOKUP(Table9[[#This Row],[Shortname]], Comp[], 23, FALSE)</f>
        <v>0</v>
      </c>
      <c r="AA1187">
        <f>VLOOKUP(Table9[[#This Row],[Shortname]], Comp[], 24, FALSE)</f>
        <v>0</v>
      </c>
      <c r="AB1187">
        <f>VLOOKUP(Table9[[#This Row],[Shortname]], Comp[], 25, FALSE)</f>
        <v>0</v>
      </c>
      <c r="AC1187">
        <f>VLOOKUP(Table9[[#This Row],[Shortname]], Comp[], 26, FALSE)</f>
        <v>0</v>
      </c>
      <c r="AD1187">
        <f>VLOOKUP(Table9[[#This Row],[Shortname]], Comp[], 27, FALSE)</f>
        <v>0</v>
      </c>
      <c r="AE1187">
        <f>VLOOKUP(Table9[[#This Row],[Shortname]], Comp[], 28, FALSE)</f>
        <v>0</v>
      </c>
      <c r="AF1187">
        <f>VLOOKUP(Table9[[#This Row],[Shortname]], Comp[], 29, FALSE)</f>
        <v>0</v>
      </c>
      <c r="AG1187">
        <f>VLOOKUP(Table9[[#This Row],[Shortname]], Comp[], 30, FALSE)</f>
        <v>0</v>
      </c>
      <c r="AH1187">
        <f>VLOOKUP(Table9[[#This Row],[Shortname]], Comp[], 31, FALSE)</f>
        <v>0</v>
      </c>
    </row>
    <row r="1188" spans="1:34" x14ac:dyDescent="0.3">
      <c r="A1188" t="s">
        <v>6149</v>
      </c>
      <c r="B1188" t="s">
        <v>1637</v>
      </c>
      <c r="C1188" t="s">
        <v>6150</v>
      </c>
      <c r="D1188">
        <v>495.9</v>
      </c>
      <c r="E1188">
        <v>500</v>
      </c>
      <c r="F1188">
        <v>4.0000000000000001E-3</v>
      </c>
      <c r="G1188">
        <v>-1</v>
      </c>
      <c r="H1188" t="s">
        <v>6855</v>
      </c>
      <c r="I1188">
        <f>VLOOKUP(Table9[[#This Row],[Shortname]], Comp[], 6, FALSE)</f>
        <v>1008</v>
      </c>
      <c r="J1188" s="14">
        <f>VLOOKUP(Table9[[#This Row],[Shortname]], Comp[], 7, FALSE)</f>
        <v>58.300000000000004</v>
      </c>
      <c r="K1188">
        <f>VLOOKUP(Table9[[#This Row],[Shortname]], Comp[], 8, FALSE)</f>
        <v>29.9</v>
      </c>
      <c r="L1188">
        <f>VLOOKUP(Table9[[#This Row],[Shortname]], Comp[], 9, FALSE)</f>
        <v>7.3</v>
      </c>
      <c r="M1188">
        <f>VLOOKUP(Table9[[#This Row],[Shortname]], Comp[], 10, FALSE)</f>
        <v>2</v>
      </c>
      <c r="N1188">
        <f>VLOOKUP(Table9[[#This Row],[Shortname]], Comp[], 11, FALSE)</f>
        <v>0</v>
      </c>
      <c r="O1188">
        <f>VLOOKUP(Table9[[#This Row],[Shortname]], Comp[],12, FALSE)</f>
        <v>2.5</v>
      </c>
      <c r="P1188">
        <f>VLOOKUP(Table9[[#This Row],[Shortname]], Comp[], 13, FALSE)</f>
        <v>0</v>
      </c>
      <c r="Q1188">
        <f>VLOOKUP(Table9[[#This Row],[Shortname]], Comp[], 14, FALSE)</f>
        <v>0</v>
      </c>
      <c r="R1188">
        <f>VLOOKUP(Table9[[#This Row],[Shortname]], Comp[], 15, FALSE)</f>
        <v>0</v>
      </c>
      <c r="S1188">
        <f>VLOOKUP(Table9[[#This Row],[Shortname]], Comp[], 16, FALSE)</f>
        <v>0</v>
      </c>
      <c r="T1188">
        <f>VLOOKUP(Table9[[#This Row],[Shortname]], Comp[], 17, FALSE)</f>
        <v>0</v>
      </c>
      <c r="U1188">
        <f>VLOOKUP(Table9[[#This Row],[Shortname]], Comp[], 18, FALSE)</f>
        <v>0</v>
      </c>
      <c r="V1188">
        <f>VLOOKUP(Table9[[#This Row],[Shortname]], Comp[], 19, FALSE)</f>
        <v>0</v>
      </c>
      <c r="W1188">
        <f>VLOOKUP(Table9[[#This Row],[Shortname]], Comp[], 20, FALSE)</f>
        <v>0</v>
      </c>
      <c r="X1188">
        <f>VLOOKUP(Table9[[#This Row],[Shortname]], Comp[], 21, FALSE)</f>
        <v>0</v>
      </c>
      <c r="Y1188">
        <f>VLOOKUP(Table9[[#This Row],[Shortname]], Comp[], 22, FALSE)</f>
        <v>0</v>
      </c>
      <c r="Z1188">
        <f>VLOOKUP(Table9[[#This Row],[Shortname]], Comp[], 23, FALSE)</f>
        <v>0</v>
      </c>
      <c r="AA1188">
        <f>VLOOKUP(Table9[[#This Row],[Shortname]], Comp[], 24, FALSE)</f>
        <v>0</v>
      </c>
      <c r="AB1188">
        <f>VLOOKUP(Table9[[#This Row],[Shortname]], Comp[], 25, FALSE)</f>
        <v>0</v>
      </c>
      <c r="AC1188">
        <f>VLOOKUP(Table9[[#This Row],[Shortname]], Comp[], 26, FALSE)</f>
        <v>0</v>
      </c>
      <c r="AD1188">
        <f>VLOOKUP(Table9[[#This Row],[Shortname]], Comp[], 27, FALSE)</f>
        <v>0</v>
      </c>
      <c r="AE1188">
        <f>VLOOKUP(Table9[[#This Row],[Shortname]], Comp[], 28, FALSE)</f>
        <v>0</v>
      </c>
      <c r="AF1188">
        <f>VLOOKUP(Table9[[#This Row],[Shortname]], Comp[], 29, FALSE)</f>
        <v>0</v>
      </c>
      <c r="AG1188">
        <f>VLOOKUP(Table9[[#This Row],[Shortname]], Comp[], 30, FALSE)</f>
        <v>0</v>
      </c>
      <c r="AH1188">
        <f>VLOOKUP(Table9[[#This Row],[Shortname]], Comp[], 31, FALSE)</f>
        <v>0</v>
      </c>
    </row>
    <row r="1189" spans="1:34" x14ac:dyDescent="0.3">
      <c r="A1189" t="s">
        <v>6149</v>
      </c>
      <c r="B1189" t="s">
        <v>1637</v>
      </c>
      <c r="C1189" t="s">
        <v>6153</v>
      </c>
      <c r="D1189">
        <v>515.5</v>
      </c>
      <c r="E1189">
        <v>600</v>
      </c>
      <c r="F1189">
        <v>4.0000000000000001E-3</v>
      </c>
      <c r="G1189">
        <v>-1</v>
      </c>
      <c r="H1189" t="s">
        <v>6855</v>
      </c>
      <c r="I1189">
        <f>VLOOKUP(Table9[[#This Row],[Shortname]], Comp[], 6, FALSE)</f>
        <v>1008</v>
      </c>
      <c r="J1189" s="14">
        <f>VLOOKUP(Table9[[#This Row],[Shortname]], Comp[], 7, FALSE)</f>
        <v>58.300000000000004</v>
      </c>
      <c r="K1189">
        <f>VLOOKUP(Table9[[#This Row],[Shortname]], Comp[], 8, FALSE)</f>
        <v>29.9</v>
      </c>
      <c r="L1189">
        <f>VLOOKUP(Table9[[#This Row],[Shortname]], Comp[], 9, FALSE)</f>
        <v>7.3</v>
      </c>
      <c r="M1189">
        <f>VLOOKUP(Table9[[#This Row],[Shortname]], Comp[], 10, FALSE)</f>
        <v>2</v>
      </c>
      <c r="N1189">
        <f>VLOOKUP(Table9[[#This Row],[Shortname]], Comp[], 11, FALSE)</f>
        <v>0</v>
      </c>
      <c r="O1189">
        <f>VLOOKUP(Table9[[#This Row],[Shortname]], Comp[],12, FALSE)</f>
        <v>2.5</v>
      </c>
      <c r="P1189">
        <f>VLOOKUP(Table9[[#This Row],[Shortname]], Comp[], 13, FALSE)</f>
        <v>0</v>
      </c>
      <c r="Q1189">
        <f>VLOOKUP(Table9[[#This Row],[Shortname]], Comp[], 14, FALSE)</f>
        <v>0</v>
      </c>
      <c r="R1189">
        <f>VLOOKUP(Table9[[#This Row],[Shortname]], Comp[], 15, FALSE)</f>
        <v>0</v>
      </c>
      <c r="S1189">
        <f>VLOOKUP(Table9[[#This Row],[Shortname]], Comp[], 16, FALSE)</f>
        <v>0</v>
      </c>
      <c r="T1189">
        <f>VLOOKUP(Table9[[#This Row],[Shortname]], Comp[], 17, FALSE)</f>
        <v>0</v>
      </c>
      <c r="U1189">
        <f>VLOOKUP(Table9[[#This Row],[Shortname]], Comp[], 18, FALSE)</f>
        <v>0</v>
      </c>
      <c r="V1189">
        <f>VLOOKUP(Table9[[#This Row],[Shortname]], Comp[], 19, FALSE)</f>
        <v>0</v>
      </c>
      <c r="W1189">
        <f>VLOOKUP(Table9[[#This Row],[Shortname]], Comp[], 20, FALSE)</f>
        <v>0</v>
      </c>
      <c r="X1189">
        <f>VLOOKUP(Table9[[#This Row],[Shortname]], Comp[], 21, FALSE)</f>
        <v>0</v>
      </c>
      <c r="Y1189">
        <f>VLOOKUP(Table9[[#This Row],[Shortname]], Comp[], 22, FALSE)</f>
        <v>0</v>
      </c>
      <c r="Z1189">
        <f>VLOOKUP(Table9[[#This Row],[Shortname]], Comp[], 23, FALSE)</f>
        <v>0</v>
      </c>
      <c r="AA1189">
        <f>VLOOKUP(Table9[[#This Row],[Shortname]], Comp[], 24, FALSE)</f>
        <v>0</v>
      </c>
      <c r="AB1189">
        <f>VLOOKUP(Table9[[#This Row],[Shortname]], Comp[], 25, FALSE)</f>
        <v>0</v>
      </c>
      <c r="AC1189">
        <f>VLOOKUP(Table9[[#This Row],[Shortname]], Comp[], 26, FALSE)</f>
        <v>0</v>
      </c>
      <c r="AD1189">
        <f>VLOOKUP(Table9[[#This Row],[Shortname]], Comp[], 27, FALSE)</f>
        <v>0</v>
      </c>
      <c r="AE1189">
        <f>VLOOKUP(Table9[[#This Row],[Shortname]], Comp[], 28, FALSE)</f>
        <v>0</v>
      </c>
      <c r="AF1189">
        <f>VLOOKUP(Table9[[#This Row],[Shortname]], Comp[], 29, FALSE)</f>
        <v>0</v>
      </c>
      <c r="AG1189">
        <f>VLOOKUP(Table9[[#This Row],[Shortname]], Comp[], 30, FALSE)</f>
        <v>0</v>
      </c>
      <c r="AH1189">
        <f>VLOOKUP(Table9[[#This Row],[Shortname]], Comp[], 31, FALSE)</f>
        <v>0</v>
      </c>
    </row>
    <row r="1190" spans="1:34" x14ac:dyDescent="0.3">
      <c r="A1190" t="s">
        <v>6149</v>
      </c>
      <c r="B1190" t="s">
        <v>1637</v>
      </c>
      <c r="C1190" t="s">
        <v>7004</v>
      </c>
      <c r="D1190">
        <v>547</v>
      </c>
      <c r="E1190">
        <v>650</v>
      </c>
      <c r="F1190">
        <v>4.0000000000000001E-3</v>
      </c>
      <c r="G1190">
        <v>-1</v>
      </c>
      <c r="H1190" t="s">
        <v>6855</v>
      </c>
      <c r="I1190">
        <f>VLOOKUP(Table9[[#This Row],[Shortname]], Comp[], 6, FALSE)</f>
        <v>1008</v>
      </c>
      <c r="J1190" s="14">
        <f>VLOOKUP(Table9[[#This Row],[Shortname]], Comp[], 7, FALSE)</f>
        <v>58.300000000000004</v>
      </c>
      <c r="K1190">
        <f>VLOOKUP(Table9[[#This Row],[Shortname]], Comp[], 8, FALSE)</f>
        <v>29.9</v>
      </c>
      <c r="L1190">
        <f>VLOOKUP(Table9[[#This Row],[Shortname]], Comp[], 9, FALSE)</f>
        <v>7.3</v>
      </c>
      <c r="M1190">
        <f>VLOOKUP(Table9[[#This Row],[Shortname]], Comp[], 10, FALSE)</f>
        <v>2</v>
      </c>
      <c r="N1190">
        <f>VLOOKUP(Table9[[#This Row],[Shortname]], Comp[], 11, FALSE)</f>
        <v>0</v>
      </c>
      <c r="O1190">
        <f>VLOOKUP(Table9[[#This Row],[Shortname]], Comp[],12, FALSE)</f>
        <v>2.5</v>
      </c>
      <c r="P1190">
        <f>VLOOKUP(Table9[[#This Row],[Shortname]], Comp[], 13, FALSE)</f>
        <v>0</v>
      </c>
      <c r="Q1190">
        <f>VLOOKUP(Table9[[#This Row],[Shortname]], Comp[], 14, FALSE)</f>
        <v>0</v>
      </c>
      <c r="R1190">
        <f>VLOOKUP(Table9[[#This Row],[Shortname]], Comp[], 15, FALSE)</f>
        <v>0</v>
      </c>
      <c r="S1190">
        <f>VLOOKUP(Table9[[#This Row],[Shortname]], Comp[], 16, FALSE)</f>
        <v>0</v>
      </c>
      <c r="T1190">
        <f>VLOOKUP(Table9[[#This Row],[Shortname]], Comp[], 17, FALSE)</f>
        <v>0</v>
      </c>
      <c r="U1190">
        <f>VLOOKUP(Table9[[#This Row],[Shortname]], Comp[], 18, FALSE)</f>
        <v>0</v>
      </c>
      <c r="V1190">
        <f>VLOOKUP(Table9[[#This Row],[Shortname]], Comp[], 19, FALSE)</f>
        <v>0</v>
      </c>
      <c r="W1190">
        <f>VLOOKUP(Table9[[#This Row],[Shortname]], Comp[], 20, FALSE)</f>
        <v>0</v>
      </c>
      <c r="X1190">
        <f>VLOOKUP(Table9[[#This Row],[Shortname]], Comp[], 21, FALSE)</f>
        <v>0</v>
      </c>
      <c r="Y1190">
        <f>VLOOKUP(Table9[[#This Row],[Shortname]], Comp[], 22, FALSE)</f>
        <v>0</v>
      </c>
      <c r="Z1190">
        <f>VLOOKUP(Table9[[#This Row],[Shortname]], Comp[], 23, FALSE)</f>
        <v>0</v>
      </c>
      <c r="AA1190">
        <f>VLOOKUP(Table9[[#This Row],[Shortname]], Comp[], 24, FALSE)</f>
        <v>0</v>
      </c>
      <c r="AB1190">
        <f>VLOOKUP(Table9[[#This Row],[Shortname]], Comp[], 25, FALSE)</f>
        <v>0</v>
      </c>
      <c r="AC1190">
        <f>VLOOKUP(Table9[[#This Row],[Shortname]], Comp[], 26, FALSE)</f>
        <v>0</v>
      </c>
      <c r="AD1190">
        <f>VLOOKUP(Table9[[#This Row],[Shortname]], Comp[], 27, FALSE)</f>
        <v>0</v>
      </c>
      <c r="AE1190">
        <f>VLOOKUP(Table9[[#This Row],[Shortname]], Comp[], 28, FALSE)</f>
        <v>0</v>
      </c>
      <c r="AF1190">
        <f>VLOOKUP(Table9[[#This Row],[Shortname]], Comp[], 29, FALSE)</f>
        <v>0</v>
      </c>
      <c r="AG1190">
        <f>VLOOKUP(Table9[[#This Row],[Shortname]], Comp[], 30, FALSE)</f>
        <v>0</v>
      </c>
      <c r="AH1190">
        <f>VLOOKUP(Table9[[#This Row],[Shortname]], Comp[], 31, FALSE)</f>
        <v>0</v>
      </c>
    </row>
    <row r="1191" spans="1:34" x14ac:dyDescent="0.3">
      <c r="A1191" t="s">
        <v>6149</v>
      </c>
      <c r="B1191" t="s">
        <v>1637</v>
      </c>
      <c r="C1191" t="s">
        <v>7005</v>
      </c>
      <c r="D1191">
        <v>521.1</v>
      </c>
      <c r="E1191">
        <v>700</v>
      </c>
      <c r="F1191">
        <v>4.0000000000000001E-3</v>
      </c>
      <c r="G1191">
        <v>-1</v>
      </c>
      <c r="H1191" t="s">
        <v>6855</v>
      </c>
      <c r="I1191">
        <f>VLOOKUP(Table9[[#This Row],[Shortname]], Comp[], 6, FALSE)</f>
        <v>1008</v>
      </c>
      <c r="J1191" s="14">
        <f>VLOOKUP(Table9[[#This Row],[Shortname]], Comp[], 7, FALSE)</f>
        <v>58.300000000000004</v>
      </c>
      <c r="K1191">
        <f>VLOOKUP(Table9[[#This Row],[Shortname]], Comp[], 8, FALSE)</f>
        <v>29.9</v>
      </c>
      <c r="L1191">
        <f>VLOOKUP(Table9[[#This Row],[Shortname]], Comp[], 9, FALSE)</f>
        <v>7.3</v>
      </c>
      <c r="M1191">
        <f>VLOOKUP(Table9[[#This Row],[Shortname]], Comp[], 10, FALSE)</f>
        <v>2</v>
      </c>
      <c r="N1191">
        <f>VLOOKUP(Table9[[#This Row],[Shortname]], Comp[], 11, FALSE)</f>
        <v>0</v>
      </c>
      <c r="O1191">
        <f>VLOOKUP(Table9[[#This Row],[Shortname]], Comp[],12, FALSE)</f>
        <v>2.5</v>
      </c>
      <c r="P1191">
        <f>VLOOKUP(Table9[[#This Row],[Shortname]], Comp[], 13, FALSE)</f>
        <v>0</v>
      </c>
      <c r="Q1191">
        <f>VLOOKUP(Table9[[#This Row],[Shortname]], Comp[], 14, FALSE)</f>
        <v>0</v>
      </c>
      <c r="R1191">
        <f>VLOOKUP(Table9[[#This Row],[Shortname]], Comp[], 15, FALSE)</f>
        <v>0</v>
      </c>
      <c r="S1191">
        <f>VLOOKUP(Table9[[#This Row],[Shortname]], Comp[], 16, FALSE)</f>
        <v>0</v>
      </c>
      <c r="T1191">
        <f>VLOOKUP(Table9[[#This Row],[Shortname]], Comp[], 17, FALSE)</f>
        <v>0</v>
      </c>
      <c r="U1191">
        <f>VLOOKUP(Table9[[#This Row],[Shortname]], Comp[], 18, FALSE)</f>
        <v>0</v>
      </c>
      <c r="V1191">
        <f>VLOOKUP(Table9[[#This Row],[Shortname]], Comp[], 19, FALSE)</f>
        <v>0</v>
      </c>
      <c r="W1191">
        <f>VLOOKUP(Table9[[#This Row],[Shortname]], Comp[], 20, FALSE)</f>
        <v>0</v>
      </c>
      <c r="X1191">
        <f>VLOOKUP(Table9[[#This Row],[Shortname]], Comp[], 21, FALSE)</f>
        <v>0</v>
      </c>
      <c r="Y1191">
        <f>VLOOKUP(Table9[[#This Row],[Shortname]], Comp[], 22, FALSE)</f>
        <v>0</v>
      </c>
      <c r="Z1191">
        <f>VLOOKUP(Table9[[#This Row],[Shortname]], Comp[], 23, FALSE)</f>
        <v>0</v>
      </c>
      <c r="AA1191">
        <f>VLOOKUP(Table9[[#This Row],[Shortname]], Comp[], 24, FALSE)</f>
        <v>0</v>
      </c>
      <c r="AB1191">
        <f>VLOOKUP(Table9[[#This Row],[Shortname]], Comp[], 25, FALSE)</f>
        <v>0</v>
      </c>
      <c r="AC1191">
        <f>VLOOKUP(Table9[[#This Row],[Shortname]], Comp[], 26, FALSE)</f>
        <v>0</v>
      </c>
      <c r="AD1191">
        <f>VLOOKUP(Table9[[#This Row],[Shortname]], Comp[], 27, FALSE)</f>
        <v>0</v>
      </c>
      <c r="AE1191">
        <f>VLOOKUP(Table9[[#This Row],[Shortname]], Comp[], 28, FALSE)</f>
        <v>0</v>
      </c>
      <c r="AF1191">
        <f>VLOOKUP(Table9[[#This Row],[Shortname]], Comp[], 29, FALSE)</f>
        <v>0</v>
      </c>
      <c r="AG1191">
        <f>VLOOKUP(Table9[[#This Row],[Shortname]], Comp[], 30, FALSE)</f>
        <v>0</v>
      </c>
      <c r="AH1191">
        <f>VLOOKUP(Table9[[#This Row],[Shortname]], Comp[], 31, FALSE)</f>
        <v>0</v>
      </c>
    </row>
    <row r="1192" spans="1:34" x14ac:dyDescent="0.3">
      <c r="A1192" t="s">
        <v>6149</v>
      </c>
      <c r="B1192" t="s">
        <v>1637</v>
      </c>
      <c r="C1192" t="s">
        <v>7006</v>
      </c>
      <c r="D1192">
        <v>432.9</v>
      </c>
      <c r="E1192">
        <v>750</v>
      </c>
      <c r="F1192">
        <v>4.0000000000000001E-3</v>
      </c>
      <c r="G1192">
        <v>-1</v>
      </c>
      <c r="H1192" t="s">
        <v>6855</v>
      </c>
      <c r="I1192">
        <f>VLOOKUP(Table9[[#This Row],[Shortname]], Comp[], 6, FALSE)</f>
        <v>1008</v>
      </c>
      <c r="J1192" s="14">
        <f>VLOOKUP(Table9[[#This Row],[Shortname]], Comp[], 7, FALSE)</f>
        <v>58.300000000000004</v>
      </c>
      <c r="K1192">
        <f>VLOOKUP(Table9[[#This Row],[Shortname]], Comp[], 8, FALSE)</f>
        <v>29.9</v>
      </c>
      <c r="L1192">
        <f>VLOOKUP(Table9[[#This Row],[Shortname]], Comp[], 9, FALSE)</f>
        <v>7.3</v>
      </c>
      <c r="M1192">
        <f>VLOOKUP(Table9[[#This Row],[Shortname]], Comp[], 10, FALSE)</f>
        <v>2</v>
      </c>
      <c r="N1192">
        <f>VLOOKUP(Table9[[#This Row],[Shortname]], Comp[], 11, FALSE)</f>
        <v>0</v>
      </c>
      <c r="O1192">
        <f>VLOOKUP(Table9[[#This Row],[Shortname]], Comp[],12, FALSE)</f>
        <v>2.5</v>
      </c>
      <c r="P1192">
        <f>VLOOKUP(Table9[[#This Row],[Shortname]], Comp[], 13, FALSE)</f>
        <v>0</v>
      </c>
      <c r="Q1192">
        <f>VLOOKUP(Table9[[#This Row],[Shortname]], Comp[], 14, FALSE)</f>
        <v>0</v>
      </c>
      <c r="R1192">
        <f>VLOOKUP(Table9[[#This Row],[Shortname]], Comp[], 15, FALSE)</f>
        <v>0</v>
      </c>
      <c r="S1192">
        <f>VLOOKUP(Table9[[#This Row],[Shortname]], Comp[], 16, FALSE)</f>
        <v>0</v>
      </c>
      <c r="T1192">
        <f>VLOOKUP(Table9[[#This Row],[Shortname]], Comp[], 17, FALSE)</f>
        <v>0</v>
      </c>
      <c r="U1192">
        <f>VLOOKUP(Table9[[#This Row],[Shortname]], Comp[], 18, FALSE)</f>
        <v>0</v>
      </c>
      <c r="V1192">
        <f>VLOOKUP(Table9[[#This Row],[Shortname]], Comp[], 19, FALSE)</f>
        <v>0</v>
      </c>
      <c r="W1192">
        <f>VLOOKUP(Table9[[#This Row],[Shortname]], Comp[], 20, FALSE)</f>
        <v>0</v>
      </c>
      <c r="X1192">
        <f>VLOOKUP(Table9[[#This Row],[Shortname]], Comp[], 21, FALSE)</f>
        <v>0</v>
      </c>
      <c r="Y1192">
        <f>VLOOKUP(Table9[[#This Row],[Shortname]], Comp[], 22, FALSE)</f>
        <v>0</v>
      </c>
      <c r="Z1192">
        <f>VLOOKUP(Table9[[#This Row],[Shortname]], Comp[], 23, FALSE)</f>
        <v>0</v>
      </c>
      <c r="AA1192">
        <f>VLOOKUP(Table9[[#This Row],[Shortname]], Comp[], 24, FALSE)</f>
        <v>0</v>
      </c>
      <c r="AB1192">
        <f>VLOOKUP(Table9[[#This Row],[Shortname]], Comp[], 25, FALSE)</f>
        <v>0</v>
      </c>
      <c r="AC1192">
        <f>VLOOKUP(Table9[[#This Row],[Shortname]], Comp[], 26, FALSE)</f>
        <v>0</v>
      </c>
      <c r="AD1192">
        <f>VLOOKUP(Table9[[#This Row],[Shortname]], Comp[], 27, FALSE)</f>
        <v>0</v>
      </c>
      <c r="AE1192">
        <f>VLOOKUP(Table9[[#This Row],[Shortname]], Comp[], 28, FALSE)</f>
        <v>0</v>
      </c>
      <c r="AF1192">
        <f>VLOOKUP(Table9[[#This Row],[Shortname]], Comp[], 29, FALSE)</f>
        <v>0</v>
      </c>
      <c r="AG1192">
        <f>VLOOKUP(Table9[[#This Row],[Shortname]], Comp[], 30, FALSE)</f>
        <v>0</v>
      </c>
      <c r="AH1192">
        <f>VLOOKUP(Table9[[#This Row],[Shortname]], Comp[], 31, FALSE)</f>
        <v>0</v>
      </c>
    </row>
    <row r="1193" spans="1:34" x14ac:dyDescent="0.3">
      <c r="A1193" t="s">
        <v>6149</v>
      </c>
      <c r="B1193" t="s">
        <v>1637</v>
      </c>
      <c r="C1193" t="s">
        <v>7007</v>
      </c>
      <c r="D1193">
        <v>364.3</v>
      </c>
      <c r="E1193">
        <v>800</v>
      </c>
      <c r="F1193">
        <v>4.0000000000000001E-3</v>
      </c>
      <c r="G1193">
        <v>-1</v>
      </c>
      <c r="H1193" t="s">
        <v>6855</v>
      </c>
      <c r="I1193">
        <f>VLOOKUP(Table9[[#This Row],[Shortname]], Comp[], 6, FALSE)</f>
        <v>1008</v>
      </c>
      <c r="J1193" s="14">
        <f>VLOOKUP(Table9[[#This Row],[Shortname]], Comp[], 7, FALSE)</f>
        <v>58.300000000000004</v>
      </c>
      <c r="K1193">
        <f>VLOOKUP(Table9[[#This Row],[Shortname]], Comp[], 8, FALSE)</f>
        <v>29.9</v>
      </c>
      <c r="L1193">
        <f>VLOOKUP(Table9[[#This Row],[Shortname]], Comp[], 9, FALSE)</f>
        <v>7.3</v>
      </c>
      <c r="M1193">
        <f>VLOOKUP(Table9[[#This Row],[Shortname]], Comp[], 10, FALSE)</f>
        <v>2</v>
      </c>
      <c r="N1193">
        <f>VLOOKUP(Table9[[#This Row],[Shortname]], Comp[], 11, FALSE)</f>
        <v>0</v>
      </c>
      <c r="O1193">
        <f>VLOOKUP(Table9[[#This Row],[Shortname]], Comp[],12, FALSE)</f>
        <v>2.5</v>
      </c>
      <c r="P1193">
        <f>VLOOKUP(Table9[[#This Row],[Shortname]], Comp[], 13, FALSE)</f>
        <v>0</v>
      </c>
      <c r="Q1193">
        <f>VLOOKUP(Table9[[#This Row],[Shortname]], Comp[], 14, FALSE)</f>
        <v>0</v>
      </c>
      <c r="R1193">
        <f>VLOOKUP(Table9[[#This Row],[Shortname]], Comp[], 15, FALSE)</f>
        <v>0</v>
      </c>
      <c r="S1193">
        <f>VLOOKUP(Table9[[#This Row],[Shortname]], Comp[], 16, FALSE)</f>
        <v>0</v>
      </c>
      <c r="T1193">
        <f>VLOOKUP(Table9[[#This Row],[Shortname]], Comp[], 17, FALSE)</f>
        <v>0</v>
      </c>
      <c r="U1193">
        <f>VLOOKUP(Table9[[#This Row],[Shortname]], Comp[], 18, FALSE)</f>
        <v>0</v>
      </c>
      <c r="V1193">
        <f>VLOOKUP(Table9[[#This Row],[Shortname]], Comp[], 19, FALSE)</f>
        <v>0</v>
      </c>
      <c r="W1193">
        <f>VLOOKUP(Table9[[#This Row],[Shortname]], Comp[], 20, FALSE)</f>
        <v>0</v>
      </c>
      <c r="X1193">
        <f>VLOOKUP(Table9[[#This Row],[Shortname]], Comp[], 21, FALSE)</f>
        <v>0</v>
      </c>
      <c r="Y1193">
        <f>VLOOKUP(Table9[[#This Row],[Shortname]], Comp[], 22, FALSE)</f>
        <v>0</v>
      </c>
      <c r="Z1193">
        <f>VLOOKUP(Table9[[#This Row],[Shortname]], Comp[], 23, FALSE)</f>
        <v>0</v>
      </c>
      <c r="AA1193">
        <f>VLOOKUP(Table9[[#This Row],[Shortname]], Comp[], 24, FALSE)</f>
        <v>0</v>
      </c>
      <c r="AB1193">
        <f>VLOOKUP(Table9[[#This Row],[Shortname]], Comp[], 25, FALSE)</f>
        <v>0</v>
      </c>
      <c r="AC1193">
        <f>VLOOKUP(Table9[[#This Row],[Shortname]], Comp[], 26, FALSE)</f>
        <v>0</v>
      </c>
      <c r="AD1193">
        <f>VLOOKUP(Table9[[#This Row],[Shortname]], Comp[], 27, FALSE)</f>
        <v>0</v>
      </c>
      <c r="AE1193">
        <f>VLOOKUP(Table9[[#This Row],[Shortname]], Comp[], 28, FALSE)</f>
        <v>0</v>
      </c>
      <c r="AF1193">
        <f>VLOOKUP(Table9[[#This Row],[Shortname]], Comp[], 29, FALSE)</f>
        <v>0</v>
      </c>
      <c r="AG1193">
        <f>VLOOKUP(Table9[[#This Row],[Shortname]], Comp[], 30, FALSE)</f>
        <v>0</v>
      </c>
      <c r="AH1193">
        <f>VLOOKUP(Table9[[#This Row],[Shortname]], Comp[], 31, FALSE)</f>
        <v>0</v>
      </c>
    </row>
    <row r="1194" spans="1:34" x14ac:dyDescent="0.3">
      <c r="A1194" t="s">
        <v>6152</v>
      </c>
      <c r="B1194" t="s">
        <v>1484</v>
      </c>
      <c r="C1194" t="s">
        <v>6153</v>
      </c>
      <c r="D1194">
        <v>508.6</v>
      </c>
      <c r="E1194">
        <v>500</v>
      </c>
      <c r="F1194">
        <v>4.0000000000000001E-3</v>
      </c>
      <c r="G1194">
        <v>-1</v>
      </c>
      <c r="H1194" t="s">
        <v>6855</v>
      </c>
      <c r="I1194">
        <f>VLOOKUP(Table9[[#This Row],[Shortname]], Comp[], 6, FALSE)</f>
        <v>1009</v>
      </c>
      <c r="J1194" s="14">
        <f>VLOOKUP(Table9[[#This Row],[Shortname]], Comp[], 7, FALSE)</f>
        <v>58.8</v>
      </c>
      <c r="K1194">
        <f>VLOOKUP(Table9[[#This Row],[Shortname]], Comp[], 8, FALSE)</f>
        <v>29.2</v>
      </c>
      <c r="L1194">
        <f>VLOOKUP(Table9[[#This Row],[Shortname]], Comp[], 9, FALSE)</f>
        <v>7.5</v>
      </c>
      <c r="M1194">
        <f>VLOOKUP(Table9[[#This Row],[Shortname]], Comp[], 10, FALSE)</f>
        <v>0</v>
      </c>
      <c r="N1194">
        <f>VLOOKUP(Table9[[#This Row],[Shortname]], Comp[], 11, FALSE)</f>
        <v>0</v>
      </c>
      <c r="O1194">
        <f>VLOOKUP(Table9[[#This Row],[Shortname]], Comp[],12, FALSE)</f>
        <v>2.5</v>
      </c>
      <c r="P1194">
        <f>VLOOKUP(Table9[[#This Row],[Shortname]], Comp[], 13, FALSE)</f>
        <v>0</v>
      </c>
      <c r="Q1194">
        <f>VLOOKUP(Table9[[#This Row],[Shortname]], Comp[], 14, FALSE)</f>
        <v>0</v>
      </c>
      <c r="R1194">
        <f>VLOOKUP(Table9[[#This Row],[Shortname]], Comp[], 15, FALSE)</f>
        <v>0</v>
      </c>
      <c r="S1194">
        <f>VLOOKUP(Table9[[#This Row],[Shortname]], Comp[], 16, FALSE)</f>
        <v>2</v>
      </c>
      <c r="T1194">
        <f>VLOOKUP(Table9[[#This Row],[Shortname]], Comp[], 17, FALSE)</f>
        <v>0</v>
      </c>
      <c r="U1194">
        <f>VLOOKUP(Table9[[#This Row],[Shortname]], Comp[], 18, FALSE)</f>
        <v>0</v>
      </c>
      <c r="V1194">
        <f>VLOOKUP(Table9[[#This Row],[Shortname]], Comp[], 19, FALSE)</f>
        <v>0</v>
      </c>
      <c r="W1194">
        <f>VLOOKUP(Table9[[#This Row],[Shortname]], Comp[], 20, FALSE)</f>
        <v>0</v>
      </c>
      <c r="X1194">
        <f>VLOOKUP(Table9[[#This Row],[Shortname]], Comp[], 21, FALSE)</f>
        <v>0</v>
      </c>
      <c r="Y1194">
        <f>VLOOKUP(Table9[[#This Row],[Shortname]], Comp[], 22, FALSE)</f>
        <v>0</v>
      </c>
      <c r="Z1194">
        <f>VLOOKUP(Table9[[#This Row],[Shortname]], Comp[], 23, FALSE)</f>
        <v>0</v>
      </c>
      <c r="AA1194">
        <f>VLOOKUP(Table9[[#This Row],[Shortname]], Comp[], 24, FALSE)</f>
        <v>0</v>
      </c>
      <c r="AB1194">
        <f>VLOOKUP(Table9[[#This Row],[Shortname]], Comp[], 25, FALSE)</f>
        <v>0</v>
      </c>
      <c r="AC1194">
        <f>VLOOKUP(Table9[[#This Row],[Shortname]], Comp[], 26, FALSE)</f>
        <v>0</v>
      </c>
      <c r="AD1194">
        <f>VLOOKUP(Table9[[#This Row],[Shortname]], Comp[], 27, FALSE)</f>
        <v>0</v>
      </c>
      <c r="AE1194">
        <f>VLOOKUP(Table9[[#This Row],[Shortname]], Comp[], 28, FALSE)</f>
        <v>0</v>
      </c>
      <c r="AF1194">
        <f>VLOOKUP(Table9[[#This Row],[Shortname]], Comp[], 29, FALSE)</f>
        <v>0</v>
      </c>
      <c r="AG1194">
        <f>VLOOKUP(Table9[[#This Row],[Shortname]], Comp[], 30, FALSE)</f>
        <v>0</v>
      </c>
      <c r="AH1194">
        <f>VLOOKUP(Table9[[#This Row],[Shortname]], Comp[], 31, FALSE)</f>
        <v>0</v>
      </c>
    </row>
    <row r="1195" spans="1:34" x14ac:dyDescent="0.3">
      <c r="A1195" t="s">
        <v>6152</v>
      </c>
      <c r="B1195" t="s">
        <v>1484</v>
      </c>
      <c r="C1195" t="s">
        <v>7004</v>
      </c>
      <c r="D1195">
        <v>583.6</v>
      </c>
      <c r="E1195">
        <v>600</v>
      </c>
      <c r="F1195">
        <v>4.0000000000000001E-3</v>
      </c>
      <c r="G1195">
        <v>-1</v>
      </c>
      <c r="H1195" t="s">
        <v>6855</v>
      </c>
      <c r="I1195">
        <f>VLOOKUP(Table9[[#This Row],[Shortname]], Comp[], 6, FALSE)</f>
        <v>1009</v>
      </c>
      <c r="J1195" s="14">
        <f>VLOOKUP(Table9[[#This Row],[Shortname]], Comp[], 7, FALSE)</f>
        <v>58.8</v>
      </c>
      <c r="K1195">
        <f>VLOOKUP(Table9[[#This Row],[Shortname]], Comp[], 8, FALSE)</f>
        <v>29.2</v>
      </c>
      <c r="L1195">
        <f>VLOOKUP(Table9[[#This Row],[Shortname]], Comp[], 9, FALSE)</f>
        <v>7.5</v>
      </c>
      <c r="M1195">
        <f>VLOOKUP(Table9[[#This Row],[Shortname]], Comp[], 10, FALSE)</f>
        <v>0</v>
      </c>
      <c r="N1195">
        <f>VLOOKUP(Table9[[#This Row],[Shortname]], Comp[], 11, FALSE)</f>
        <v>0</v>
      </c>
      <c r="O1195">
        <f>VLOOKUP(Table9[[#This Row],[Shortname]], Comp[],12, FALSE)</f>
        <v>2.5</v>
      </c>
      <c r="P1195">
        <f>VLOOKUP(Table9[[#This Row],[Shortname]], Comp[], 13, FALSE)</f>
        <v>0</v>
      </c>
      <c r="Q1195">
        <f>VLOOKUP(Table9[[#This Row],[Shortname]], Comp[], 14, FALSE)</f>
        <v>0</v>
      </c>
      <c r="R1195">
        <f>VLOOKUP(Table9[[#This Row],[Shortname]], Comp[], 15, FALSE)</f>
        <v>0</v>
      </c>
      <c r="S1195">
        <f>VLOOKUP(Table9[[#This Row],[Shortname]], Comp[], 16, FALSE)</f>
        <v>2</v>
      </c>
      <c r="T1195">
        <f>VLOOKUP(Table9[[#This Row],[Shortname]], Comp[], 17, FALSE)</f>
        <v>0</v>
      </c>
      <c r="U1195">
        <f>VLOOKUP(Table9[[#This Row],[Shortname]], Comp[], 18, FALSE)</f>
        <v>0</v>
      </c>
      <c r="V1195">
        <f>VLOOKUP(Table9[[#This Row],[Shortname]], Comp[], 19, FALSE)</f>
        <v>0</v>
      </c>
      <c r="W1195">
        <f>VLOOKUP(Table9[[#This Row],[Shortname]], Comp[], 20, FALSE)</f>
        <v>0</v>
      </c>
      <c r="X1195">
        <f>VLOOKUP(Table9[[#This Row],[Shortname]], Comp[], 21, FALSE)</f>
        <v>0</v>
      </c>
      <c r="Y1195">
        <f>VLOOKUP(Table9[[#This Row],[Shortname]], Comp[], 22, FALSE)</f>
        <v>0</v>
      </c>
      <c r="Z1195">
        <f>VLOOKUP(Table9[[#This Row],[Shortname]], Comp[], 23, FALSE)</f>
        <v>0</v>
      </c>
      <c r="AA1195">
        <f>VLOOKUP(Table9[[#This Row],[Shortname]], Comp[], 24, FALSE)</f>
        <v>0</v>
      </c>
      <c r="AB1195">
        <f>VLOOKUP(Table9[[#This Row],[Shortname]], Comp[], 25, FALSE)</f>
        <v>0</v>
      </c>
      <c r="AC1195">
        <f>VLOOKUP(Table9[[#This Row],[Shortname]], Comp[], 26, FALSE)</f>
        <v>0</v>
      </c>
      <c r="AD1195">
        <f>VLOOKUP(Table9[[#This Row],[Shortname]], Comp[], 27, FALSE)</f>
        <v>0</v>
      </c>
      <c r="AE1195">
        <f>VLOOKUP(Table9[[#This Row],[Shortname]], Comp[], 28, FALSE)</f>
        <v>0</v>
      </c>
      <c r="AF1195">
        <f>VLOOKUP(Table9[[#This Row],[Shortname]], Comp[], 29, FALSE)</f>
        <v>0</v>
      </c>
      <c r="AG1195">
        <f>VLOOKUP(Table9[[#This Row],[Shortname]], Comp[], 30, FALSE)</f>
        <v>0</v>
      </c>
      <c r="AH1195">
        <f>VLOOKUP(Table9[[#This Row],[Shortname]], Comp[], 31, FALSE)</f>
        <v>0</v>
      </c>
    </row>
    <row r="1196" spans="1:34" x14ac:dyDescent="0.3">
      <c r="A1196" t="s">
        <v>6152</v>
      </c>
      <c r="B1196" t="s">
        <v>1484</v>
      </c>
      <c r="C1196" t="s">
        <v>7005</v>
      </c>
      <c r="D1196">
        <v>600.6</v>
      </c>
      <c r="E1196">
        <v>650</v>
      </c>
      <c r="F1196">
        <v>4.0000000000000001E-3</v>
      </c>
      <c r="G1196">
        <v>-1</v>
      </c>
      <c r="H1196" t="s">
        <v>6855</v>
      </c>
      <c r="I1196">
        <f>VLOOKUP(Table9[[#This Row],[Shortname]], Comp[], 6, FALSE)</f>
        <v>1009</v>
      </c>
      <c r="J1196" s="14">
        <f>VLOOKUP(Table9[[#This Row],[Shortname]], Comp[], 7, FALSE)</f>
        <v>58.8</v>
      </c>
      <c r="K1196">
        <f>VLOOKUP(Table9[[#This Row],[Shortname]], Comp[], 8, FALSE)</f>
        <v>29.2</v>
      </c>
      <c r="L1196">
        <f>VLOOKUP(Table9[[#This Row],[Shortname]], Comp[], 9, FALSE)</f>
        <v>7.5</v>
      </c>
      <c r="M1196">
        <f>VLOOKUP(Table9[[#This Row],[Shortname]], Comp[], 10, FALSE)</f>
        <v>0</v>
      </c>
      <c r="N1196">
        <f>VLOOKUP(Table9[[#This Row],[Shortname]], Comp[], 11, FALSE)</f>
        <v>0</v>
      </c>
      <c r="O1196">
        <f>VLOOKUP(Table9[[#This Row],[Shortname]], Comp[],12, FALSE)</f>
        <v>2.5</v>
      </c>
      <c r="P1196">
        <f>VLOOKUP(Table9[[#This Row],[Shortname]], Comp[], 13, FALSE)</f>
        <v>0</v>
      </c>
      <c r="Q1196">
        <f>VLOOKUP(Table9[[#This Row],[Shortname]], Comp[], 14, FALSE)</f>
        <v>0</v>
      </c>
      <c r="R1196">
        <f>VLOOKUP(Table9[[#This Row],[Shortname]], Comp[], 15, FALSE)</f>
        <v>0</v>
      </c>
      <c r="S1196">
        <f>VLOOKUP(Table9[[#This Row],[Shortname]], Comp[], 16, FALSE)</f>
        <v>2</v>
      </c>
      <c r="T1196">
        <f>VLOOKUP(Table9[[#This Row],[Shortname]], Comp[], 17, FALSE)</f>
        <v>0</v>
      </c>
      <c r="U1196">
        <f>VLOOKUP(Table9[[#This Row],[Shortname]], Comp[], 18, FALSE)</f>
        <v>0</v>
      </c>
      <c r="V1196">
        <f>VLOOKUP(Table9[[#This Row],[Shortname]], Comp[], 19, FALSE)</f>
        <v>0</v>
      </c>
      <c r="W1196">
        <f>VLOOKUP(Table9[[#This Row],[Shortname]], Comp[], 20, FALSE)</f>
        <v>0</v>
      </c>
      <c r="X1196">
        <f>VLOOKUP(Table9[[#This Row],[Shortname]], Comp[], 21, FALSE)</f>
        <v>0</v>
      </c>
      <c r="Y1196">
        <f>VLOOKUP(Table9[[#This Row],[Shortname]], Comp[], 22, FALSE)</f>
        <v>0</v>
      </c>
      <c r="Z1196">
        <f>VLOOKUP(Table9[[#This Row],[Shortname]], Comp[], 23, FALSE)</f>
        <v>0</v>
      </c>
      <c r="AA1196">
        <f>VLOOKUP(Table9[[#This Row],[Shortname]], Comp[], 24, FALSE)</f>
        <v>0</v>
      </c>
      <c r="AB1196">
        <f>VLOOKUP(Table9[[#This Row],[Shortname]], Comp[], 25, FALSE)</f>
        <v>0</v>
      </c>
      <c r="AC1196">
        <f>VLOOKUP(Table9[[#This Row],[Shortname]], Comp[], 26, FALSE)</f>
        <v>0</v>
      </c>
      <c r="AD1196">
        <f>VLOOKUP(Table9[[#This Row],[Shortname]], Comp[], 27, FALSE)</f>
        <v>0</v>
      </c>
      <c r="AE1196">
        <f>VLOOKUP(Table9[[#This Row],[Shortname]], Comp[], 28, FALSE)</f>
        <v>0</v>
      </c>
      <c r="AF1196">
        <f>VLOOKUP(Table9[[#This Row],[Shortname]], Comp[], 29, FALSE)</f>
        <v>0</v>
      </c>
      <c r="AG1196">
        <f>VLOOKUP(Table9[[#This Row],[Shortname]], Comp[], 30, FALSE)</f>
        <v>0</v>
      </c>
      <c r="AH1196">
        <f>VLOOKUP(Table9[[#This Row],[Shortname]], Comp[], 31, FALSE)</f>
        <v>0</v>
      </c>
    </row>
    <row r="1197" spans="1:34" x14ac:dyDescent="0.3">
      <c r="A1197" t="s">
        <v>6152</v>
      </c>
      <c r="B1197" t="s">
        <v>1484</v>
      </c>
      <c r="C1197" t="s">
        <v>7006</v>
      </c>
      <c r="D1197">
        <v>574.5</v>
      </c>
      <c r="E1197">
        <v>700</v>
      </c>
      <c r="F1197">
        <v>4.0000000000000001E-3</v>
      </c>
      <c r="G1197">
        <v>-1</v>
      </c>
      <c r="H1197" t="s">
        <v>6855</v>
      </c>
      <c r="I1197">
        <f>VLOOKUP(Table9[[#This Row],[Shortname]], Comp[], 6, FALSE)</f>
        <v>1009</v>
      </c>
      <c r="J1197" s="14">
        <f>VLOOKUP(Table9[[#This Row],[Shortname]], Comp[], 7, FALSE)</f>
        <v>58.8</v>
      </c>
      <c r="K1197">
        <f>VLOOKUP(Table9[[#This Row],[Shortname]], Comp[], 8, FALSE)</f>
        <v>29.2</v>
      </c>
      <c r="L1197">
        <f>VLOOKUP(Table9[[#This Row],[Shortname]], Comp[], 9, FALSE)</f>
        <v>7.5</v>
      </c>
      <c r="M1197">
        <f>VLOOKUP(Table9[[#This Row],[Shortname]], Comp[], 10, FALSE)</f>
        <v>0</v>
      </c>
      <c r="N1197">
        <f>VLOOKUP(Table9[[#This Row],[Shortname]], Comp[], 11, FALSE)</f>
        <v>0</v>
      </c>
      <c r="O1197">
        <f>VLOOKUP(Table9[[#This Row],[Shortname]], Comp[],12, FALSE)</f>
        <v>2.5</v>
      </c>
      <c r="P1197">
        <f>VLOOKUP(Table9[[#This Row],[Shortname]], Comp[], 13, FALSE)</f>
        <v>0</v>
      </c>
      <c r="Q1197">
        <f>VLOOKUP(Table9[[#This Row],[Shortname]], Comp[], 14, FALSE)</f>
        <v>0</v>
      </c>
      <c r="R1197">
        <f>VLOOKUP(Table9[[#This Row],[Shortname]], Comp[], 15, FALSE)</f>
        <v>0</v>
      </c>
      <c r="S1197">
        <f>VLOOKUP(Table9[[#This Row],[Shortname]], Comp[], 16, FALSE)</f>
        <v>2</v>
      </c>
      <c r="T1197">
        <f>VLOOKUP(Table9[[#This Row],[Shortname]], Comp[], 17, FALSE)</f>
        <v>0</v>
      </c>
      <c r="U1197">
        <f>VLOOKUP(Table9[[#This Row],[Shortname]], Comp[], 18, FALSE)</f>
        <v>0</v>
      </c>
      <c r="V1197">
        <f>VLOOKUP(Table9[[#This Row],[Shortname]], Comp[], 19, FALSE)</f>
        <v>0</v>
      </c>
      <c r="W1197">
        <f>VLOOKUP(Table9[[#This Row],[Shortname]], Comp[], 20, FALSE)</f>
        <v>0</v>
      </c>
      <c r="X1197">
        <f>VLOOKUP(Table9[[#This Row],[Shortname]], Comp[], 21, FALSE)</f>
        <v>0</v>
      </c>
      <c r="Y1197">
        <f>VLOOKUP(Table9[[#This Row],[Shortname]], Comp[], 22, FALSE)</f>
        <v>0</v>
      </c>
      <c r="Z1197">
        <f>VLOOKUP(Table9[[#This Row],[Shortname]], Comp[], 23, FALSE)</f>
        <v>0</v>
      </c>
      <c r="AA1197">
        <f>VLOOKUP(Table9[[#This Row],[Shortname]], Comp[], 24, FALSE)</f>
        <v>0</v>
      </c>
      <c r="AB1197">
        <f>VLOOKUP(Table9[[#This Row],[Shortname]], Comp[], 25, FALSE)</f>
        <v>0</v>
      </c>
      <c r="AC1197">
        <f>VLOOKUP(Table9[[#This Row],[Shortname]], Comp[], 26, FALSE)</f>
        <v>0</v>
      </c>
      <c r="AD1197">
        <f>VLOOKUP(Table9[[#This Row],[Shortname]], Comp[], 27, FALSE)</f>
        <v>0</v>
      </c>
      <c r="AE1197">
        <f>VLOOKUP(Table9[[#This Row],[Shortname]], Comp[], 28, FALSE)</f>
        <v>0</v>
      </c>
      <c r="AF1197">
        <f>VLOOKUP(Table9[[#This Row],[Shortname]], Comp[], 29, FALSE)</f>
        <v>0</v>
      </c>
      <c r="AG1197">
        <f>VLOOKUP(Table9[[#This Row],[Shortname]], Comp[], 30, FALSE)</f>
        <v>0</v>
      </c>
      <c r="AH1197">
        <f>VLOOKUP(Table9[[#This Row],[Shortname]], Comp[], 31, FALSE)</f>
        <v>0</v>
      </c>
    </row>
    <row r="1198" spans="1:34" x14ac:dyDescent="0.3">
      <c r="A1198" t="s">
        <v>6152</v>
      </c>
      <c r="B1198" t="s">
        <v>1484</v>
      </c>
      <c r="C1198" t="s">
        <v>7007</v>
      </c>
      <c r="D1198">
        <v>481.2</v>
      </c>
      <c r="E1198">
        <v>750</v>
      </c>
      <c r="F1198">
        <v>4.0000000000000001E-3</v>
      </c>
      <c r="G1198">
        <v>-1</v>
      </c>
      <c r="H1198" t="s">
        <v>6855</v>
      </c>
      <c r="I1198">
        <f>VLOOKUP(Table9[[#This Row],[Shortname]], Comp[], 6, FALSE)</f>
        <v>1009</v>
      </c>
      <c r="J1198" s="14">
        <f>VLOOKUP(Table9[[#This Row],[Shortname]], Comp[], 7, FALSE)</f>
        <v>58.8</v>
      </c>
      <c r="K1198">
        <f>VLOOKUP(Table9[[#This Row],[Shortname]], Comp[], 8, FALSE)</f>
        <v>29.2</v>
      </c>
      <c r="L1198">
        <f>VLOOKUP(Table9[[#This Row],[Shortname]], Comp[], 9, FALSE)</f>
        <v>7.5</v>
      </c>
      <c r="M1198">
        <f>VLOOKUP(Table9[[#This Row],[Shortname]], Comp[], 10, FALSE)</f>
        <v>0</v>
      </c>
      <c r="N1198">
        <f>VLOOKUP(Table9[[#This Row],[Shortname]], Comp[], 11, FALSE)</f>
        <v>0</v>
      </c>
      <c r="O1198">
        <f>VLOOKUP(Table9[[#This Row],[Shortname]], Comp[],12, FALSE)</f>
        <v>2.5</v>
      </c>
      <c r="P1198">
        <f>VLOOKUP(Table9[[#This Row],[Shortname]], Comp[], 13, FALSE)</f>
        <v>0</v>
      </c>
      <c r="Q1198">
        <f>VLOOKUP(Table9[[#This Row],[Shortname]], Comp[], 14, FALSE)</f>
        <v>0</v>
      </c>
      <c r="R1198">
        <f>VLOOKUP(Table9[[#This Row],[Shortname]], Comp[], 15, FALSE)</f>
        <v>0</v>
      </c>
      <c r="S1198">
        <f>VLOOKUP(Table9[[#This Row],[Shortname]], Comp[], 16, FALSE)</f>
        <v>2</v>
      </c>
      <c r="T1198">
        <f>VLOOKUP(Table9[[#This Row],[Shortname]], Comp[], 17, FALSE)</f>
        <v>0</v>
      </c>
      <c r="U1198">
        <f>VLOOKUP(Table9[[#This Row],[Shortname]], Comp[], 18, FALSE)</f>
        <v>0</v>
      </c>
      <c r="V1198">
        <f>VLOOKUP(Table9[[#This Row],[Shortname]], Comp[], 19, FALSE)</f>
        <v>0</v>
      </c>
      <c r="W1198">
        <f>VLOOKUP(Table9[[#This Row],[Shortname]], Comp[], 20, FALSE)</f>
        <v>0</v>
      </c>
      <c r="X1198">
        <f>VLOOKUP(Table9[[#This Row],[Shortname]], Comp[], 21, FALSE)</f>
        <v>0</v>
      </c>
      <c r="Y1198">
        <f>VLOOKUP(Table9[[#This Row],[Shortname]], Comp[], 22, FALSE)</f>
        <v>0</v>
      </c>
      <c r="Z1198">
        <f>VLOOKUP(Table9[[#This Row],[Shortname]], Comp[], 23, FALSE)</f>
        <v>0</v>
      </c>
      <c r="AA1198">
        <f>VLOOKUP(Table9[[#This Row],[Shortname]], Comp[], 24, FALSE)</f>
        <v>0</v>
      </c>
      <c r="AB1198">
        <f>VLOOKUP(Table9[[#This Row],[Shortname]], Comp[], 25, FALSE)</f>
        <v>0</v>
      </c>
      <c r="AC1198">
        <f>VLOOKUP(Table9[[#This Row],[Shortname]], Comp[], 26, FALSE)</f>
        <v>0</v>
      </c>
      <c r="AD1198">
        <f>VLOOKUP(Table9[[#This Row],[Shortname]], Comp[], 27, FALSE)</f>
        <v>0</v>
      </c>
      <c r="AE1198">
        <f>VLOOKUP(Table9[[#This Row],[Shortname]], Comp[], 28, FALSE)</f>
        <v>0</v>
      </c>
      <c r="AF1198">
        <f>VLOOKUP(Table9[[#This Row],[Shortname]], Comp[], 29, FALSE)</f>
        <v>0</v>
      </c>
      <c r="AG1198">
        <f>VLOOKUP(Table9[[#This Row],[Shortname]], Comp[], 30, FALSE)</f>
        <v>0</v>
      </c>
      <c r="AH1198">
        <f>VLOOKUP(Table9[[#This Row],[Shortname]], Comp[], 31, FALSE)</f>
        <v>0</v>
      </c>
    </row>
    <row r="1199" spans="1:34" x14ac:dyDescent="0.3">
      <c r="A1199" t="s">
        <v>6152</v>
      </c>
      <c r="B1199" t="s">
        <v>1484</v>
      </c>
      <c r="C1199" t="s">
        <v>7008</v>
      </c>
      <c r="D1199">
        <v>382.1</v>
      </c>
      <c r="E1199">
        <v>800</v>
      </c>
      <c r="F1199">
        <v>4.0000000000000001E-3</v>
      </c>
      <c r="G1199">
        <v>-1</v>
      </c>
      <c r="H1199" t="s">
        <v>6855</v>
      </c>
      <c r="I1199">
        <f>VLOOKUP(Table9[[#This Row],[Shortname]], Comp[], 6, FALSE)</f>
        <v>1009</v>
      </c>
      <c r="J1199" s="14">
        <f>VLOOKUP(Table9[[#This Row],[Shortname]], Comp[], 7, FALSE)</f>
        <v>58.8</v>
      </c>
      <c r="K1199">
        <f>VLOOKUP(Table9[[#This Row],[Shortname]], Comp[], 8, FALSE)</f>
        <v>29.2</v>
      </c>
      <c r="L1199">
        <f>VLOOKUP(Table9[[#This Row],[Shortname]], Comp[], 9, FALSE)</f>
        <v>7.5</v>
      </c>
      <c r="M1199">
        <f>VLOOKUP(Table9[[#This Row],[Shortname]], Comp[], 10, FALSE)</f>
        <v>0</v>
      </c>
      <c r="N1199">
        <f>VLOOKUP(Table9[[#This Row],[Shortname]], Comp[], 11, FALSE)</f>
        <v>0</v>
      </c>
      <c r="O1199">
        <f>VLOOKUP(Table9[[#This Row],[Shortname]], Comp[],12, FALSE)</f>
        <v>2.5</v>
      </c>
      <c r="P1199">
        <f>VLOOKUP(Table9[[#This Row],[Shortname]], Comp[], 13, FALSE)</f>
        <v>0</v>
      </c>
      <c r="Q1199">
        <f>VLOOKUP(Table9[[#This Row],[Shortname]], Comp[], 14, FALSE)</f>
        <v>0</v>
      </c>
      <c r="R1199">
        <f>VLOOKUP(Table9[[#This Row],[Shortname]], Comp[], 15, FALSE)</f>
        <v>0</v>
      </c>
      <c r="S1199">
        <f>VLOOKUP(Table9[[#This Row],[Shortname]], Comp[], 16, FALSE)</f>
        <v>2</v>
      </c>
      <c r="T1199">
        <f>VLOOKUP(Table9[[#This Row],[Shortname]], Comp[], 17, FALSE)</f>
        <v>0</v>
      </c>
      <c r="U1199">
        <f>VLOOKUP(Table9[[#This Row],[Shortname]], Comp[], 18, FALSE)</f>
        <v>0</v>
      </c>
      <c r="V1199">
        <f>VLOOKUP(Table9[[#This Row],[Shortname]], Comp[], 19, FALSE)</f>
        <v>0</v>
      </c>
      <c r="W1199">
        <f>VLOOKUP(Table9[[#This Row],[Shortname]], Comp[], 20, FALSE)</f>
        <v>0</v>
      </c>
      <c r="X1199">
        <f>VLOOKUP(Table9[[#This Row],[Shortname]], Comp[], 21, FALSE)</f>
        <v>0</v>
      </c>
      <c r="Y1199">
        <f>VLOOKUP(Table9[[#This Row],[Shortname]], Comp[], 22, FALSE)</f>
        <v>0</v>
      </c>
      <c r="Z1199">
        <f>VLOOKUP(Table9[[#This Row],[Shortname]], Comp[], 23, FALSE)</f>
        <v>0</v>
      </c>
      <c r="AA1199">
        <f>VLOOKUP(Table9[[#This Row],[Shortname]], Comp[], 24, FALSE)</f>
        <v>0</v>
      </c>
      <c r="AB1199">
        <f>VLOOKUP(Table9[[#This Row],[Shortname]], Comp[], 25, FALSE)</f>
        <v>0</v>
      </c>
      <c r="AC1199">
        <f>VLOOKUP(Table9[[#This Row],[Shortname]], Comp[], 26, FALSE)</f>
        <v>0</v>
      </c>
      <c r="AD1199">
        <f>VLOOKUP(Table9[[#This Row],[Shortname]], Comp[], 27, FALSE)</f>
        <v>0</v>
      </c>
      <c r="AE1199">
        <f>VLOOKUP(Table9[[#This Row],[Shortname]], Comp[], 28, FALSE)</f>
        <v>0</v>
      </c>
      <c r="AF1199">
        <f>VLOOKUP(Table9[[#This Row],[Shortname]], Comp[], 29, FALSE)</f>
        <v>0</v>
      </c>
      <c r="AG1199">
        <f>VLOOKUP(Table9[[#This Row],[Shortname]], Comp[], 30, FALSE)</f>
        <v>0</v>
      </c>
      <c r="AH1199">
        <f>VLOOKUP(Table9[[#This Row],[Shortname]], Comp[], 31, FALSE)</f>
        <v>0</v>
      </c>
    </row>
    <row r="1200" spans="1:34" x14ac:dyDescent="0.3">
      <c r="A1200" t="s">
        <v>6199</v>
      </c>
      <c r="B1200" t="s">
        <v>6200</v>
      </c>
      <c r="C1200" t="s">
        <v>6201</v>
      </c>
      <c r="D1200">
        <v>581</v>
      </c>
      <c r="E1200">
        <v>25</v>
      </c>
      <c r="F1200">
        <v>1E-3</v>
      </c>
      <c r="G1200">
        <v>1</v>
      </c>
      <c r="H1200" t="s">
        <v>6803</v>
      </c>
      <c r="I1200">
        <f>VLOOKUP(Table9[[#This Row],[Shortname]], Comp[], 6, FALSE)</f>
        <v>1020</v>
      </c>
      <c r="J1200" s="14">
        <f>VLOOKUP(Table9[[#This Row],[Shortname]], Comp[], 7, FALSE)</f>
        <v>83.3</v>
      </c>
      <c r="K1200">
        <f>VLOOKUP(Table9[[#This Row],[Shortname]], Comp[], 8, FALSE)</f>
        <v>0</v>
      </c>
      <c r="L1200">
        <f>VLOOKUP(Table9[[#This Row],[Shortname]], Comp[], 9, FALSE)</f>
        <v>9.8000000000000007</v>
      </c>
      <c r="M1200">
        <f>VLOOKUP(Table9[[#This Row],[Shortname]], Comp[], 10, FALSE)</f>
        <v>0</v>
      </c>
      <c r="N1200">
        <f>VLOOKUP(Table9[[#This Row],[Shortname]], Comp[], 11, FALSE)</f>
        <v>0</v>
      </c>
      <c r="O1200">
        <f>VLOOKUP(Table9[[#This Row],[Shortname]], Comp[],12, FALSE)</f>
        <v>0</v>
      </c>
      <c r="P1200">
        <f>VLOOKUP(Table9[[#This Row],[Shortname]], Comp[], 13, FALSE)</f>
        <v>0</v>
      </c>
      <c r="Q1200">
        <f>VLOOKUP(Table9[[#This Row],[Shortname]], Comp[], 14, FALSE)</f>
        <v>2</v>
      </c>
      <c r="R1200">
        <f>VLOOKUP(Table9[[#This Row],[Shortname]], Comp[], 15, FALSE)</f>
        <v>2.9</v>
      </c>
      <c r="S1200">
        <f>VLOOKUP(Table9[[#This Row],[Shortname]], Comp[], 16, FALSE)</f>
        <v>2</v>
      </c>
      <c r="T1200">
        <f>VLOOKUP(Table9[[#This Row],[Shortname]], Comp[], 17, FALSE)</f>
        <v>0</v>
      </c>
      <c r="U1200">
        <f>VLOOKUP(Table9[[#This Row],[Shortname]], Comp[], 18, FALSE)</f>
        <v>0</v>
      </c>
      <c r="V1200">
        <f>VLOOKUP(Table9[[#This Row],[Shortname]], Comp[], 19, FALSE)</f>
        <v>0</v>
      </c>
      <c r="W1200">
        <f>VLOOKUP(Table9[[#This Row],[Shortname]], Comp[], 20, FALSE)</f>
        <v>0</v>
      </c>
      <c r="X1200">
        <f>VLOOKUP(Table9[[#This Row],[Shortname]], Comp[], 21, FALSE)</f>
        <v>0</v>
      </c>
      <c r="Y1200">
        <f>VLOOKUP(Table9[[#This Row],[Shortname]], Comp[], 22, FALSE)</f>
        <v>0</v>
      </c>
      <c r="Z1200">
        <f>VLOOKUP(Table9[[#This Row],[Shortname]], Comp[], 23, FALSE)</f>
        <v>0</v>
      </c>
      <c r="AA1200">
        <f>VLOOKUP(Table9[[#This Row],[Shortname]], Comp[], 24, FALSE)</f>
        <v>0</v>
      </c>
      <c r="AB1200">
        <f>VLOOKUP(Table9[[#This Row],[Shortname]], Comp[], 25, FALSE)</f>
        <v>0</v>
      </c>
      <c r="AC1200">
        <f>VLOOKUP(Table9[[#This Row],[Shortname]], Comp[], 26, FALSE)</f>
        <v>0</v>
      </c>
      <c r="AD1200">
        <f>VLOOKUP(Table9[[#This Row],[Shortname]], Comp[], 27, FALSE)</f>
        <v>0</v>
      </c>
      <c r="AE1200">
        <f>VLOOKUP(Table9[[#This Row],[Shortname]], Comp[], 28, FALSE)</f>
        <v>0</v>
      </c>
      <c r="AF1200">
        <f>VLOOKUP(Table9[[#This Row],[Shortname]], Comp[], 29, FALSE)</f>
        <v>0</v>
      </c>
      <c r="AG1200">
        <f>VLOOKUP(Table9[[#This Row],[Shortname]], Comp[], 30, FALSE)</f>
        <v>0</v>
      </c>
      <c r="AH1200">
        <f>VLOOKUP(Table9[[#This Row],[Shortname]], Comp[], 31, FALSE)</f>
        <v>0</v>
      </c>
    </row>
    <row r="1201" spans="1:34" x14ac:dyDescent="0.3">
      <c r="A1201" t="s">
        <v>6199</v>
      </c>
      <c r="B1201" t="s">
        <v>6200</v>
      </c>
      <c r="C1201" t="s">
        <v>6206</v>
      </c>
      <c r="D1201">
        <v>509</v>
      </c>
      <c r="E1201">
        <v>570</v>
      </c>
      <c r="F1201">
        <v>1E-3</v>
      </c>
      <c r="G1201">
        <v>1</v>
      </c>
      <c r="H1201" t="s">
        <v>6803</v>
      </c>
      <c r="I1201">
        <f>VLOOKUP(Table9[[#This Row],[Shortname]], Comp[], 6, FALSE)</f>
        <v>1020</v>
      </c>
      <c r="J1201" s="14">
        <f>VLOOKUP(Table9[[#This Row],[Shortname]], Comp[], 7, FALSE)</f>
        <v>83.3</v>
      </c>
      <c r="K1201">
        <f>VLOOKUP(Table9[[#This Row],[Shortname]], Comp[], 8, FALSE)</f>
        <v>0</v>
      </c>
      <c r="L1201">
        <f>VLOOKUP(Table9[[#This Row],[Shortname]], Comp[], 9, FALSE)</f>
        <v>9.8000000000000007</v>
      </c>
      <c r="M1201">
        <f>VLOOKUP(Table9[[#This Row],[Shortname]], Comp[], 10, FALSE)</f>
        <v>0</v>
      </c>
      <c r="N1201">
        <f>VLOOKUP(Table9[[#This Row],[Shortname]], Comp[], 11, FALSE)</f>
        <v>0</v>
      </c>
      <c r="O1201">
        <f>VLOOKUP(Table9[[#This Row],[Shortname]], Comp[],12, FALSE)</f>
        <v>0</v>
      </c>
      <c r="P1201">
        <f>VLOOKUP(Table9[[#This Row],[Shortname]], Comp[], 13, FALSE)</f>
        <v>0</v>
      </c>
      <c r="Q1201">
        <f>VLOOKUP(Table9[[#This Row],[Shortname]], Comp[], 14, FALSE)</f>
        <v>2</v>
      </c>
      <c r="R1201">
        <f>VLOOKUP(Table9[[#This Row],[Shortname]], Comp[], 15, FALSE)</f>
        <v>2.9</v>
      </c>
      <c r="S1201">
        <f>VLOOKUP(Table9[[#This Row],[Shortname]], Comp[], 16, FALSE)</f>
        <v>2</v>
      </c>
      <c r="T1201">
        <f>VLOOKUP(Table9[[#This Row],[Shortname]], Comp[], 17, FALSE)</f>
        <v>0</v>
      </c>
      <c r="U1201">
        <f>VLOOKUP(Table9[[#This Row],[Shortname]], Comp[], 18, FALSE)</f>
        <v>0</v>
      </c>
      <c r="V1201">
        <f>VLOOKUP(Table9[[#This Row],[Shortname]], Comp[], 19, FALSE)</f>
        <v>0</v>
      </c>
      <c r="W1201">
        <f>VLOOKUP(Table9[[#This Row],[Shortname]], Comp[], 20, FALSE)</f>
        <v>0</v>
      </c>
      <c r="X1201">
        <f>VLOOKUP(Table9[[#This Row],[Shortname]], Comp[], 21, FALSE)</f>
        <v>0</v>
      </c>
      <c r="Y1201">
        <f>VLOOKUP(Table9[[#This Row],[Shortname]], Comp[], 22, FALSE)</f>
        <v>0</v>
      </c>
      <c r="Z1201">
        <f>VLOOKUP(Table9[[#This Row],[Shortname]], Comp[], 23, FALSE)</f>
        <v>0</v>
      </c>
      <c r="AA1201">
        <f>VLOOKUP(Table9[[#This Row],[Shortname]], Comp[], 24, FALSE)</f>
        <v>0</v>
      </c>
      <c r="AB1201">
        <f>VLOOKUP(Table9[[#This Row],[Shortname]], Comp[], 25, FALSE)</f>
        <v>0</v>
      </c>
      <c r="AC1201">
        <f>VLOOKUP(Table9[[#This Row],[Shortname]], Comp[], 26, FALSE)</f>
        <v>0</v>
      </c>
      <c r="AD1201">
        <f>VLOOKUP(Table9[[#This Row],[Shortname]], Comp[], 27, FALSE)</f>
        <v>0</v>
      </c>
      <c r="AE1201">
        <f>VLOOKUP(Table9[[#This Row],[Shortname]], Comp[], 28, FALSE)</f>
        <v>0</v>
      </c>
      <c r="AF1201">
        <f>VLOOKUP(Table9[[#This Row],[Shortname]], Comp[], 29, FALSE)</f>
        <v>0</v>
      </c>
      <c r="AG1201">
        <f>VLOOKUP(Table9[[#This Row],[Shortname]], Comp[], 30, FALSE)</f>
        <v>0</v>
      </c>
      <c r="AH1201">
        <f>VLOOKUP(Table9[[#This Row],[Shortname]], Comp[], 31, FALSE)</f>
        <v>0</v>
      </c>
    </row>
    <row r="1202" spans="1:34" x14ac:dyDescent="0.3">
      <c r="A1202" t="s">
        <v>6199</v>
      </c>
      <c r="B1202" t="s">
        <v>6200</v>
      </c>
      <c r="C1202" t="s">
        <v>6211</v>
      </c>
      <c r="D1202">
        <v>459</v>
      </c>
      <c r="E1202">
        <v>670</v>
      </c>
      <c r="F1202">
        <v>1E-3</v>
      </c>
      <c r="G1202">
        <v>1</v>
      </c>
      <c r="H1202" t="s">
        <v>6803</v>
      </c>
      <c r="I1202">
        <f>VLOOKUP(Table9[[#This Row],[Shortname]], Comp[], 6, FALSE)</f>
        <v>1020</v>
      </c>
      <c r="J1202" s="14">
        <f>VLOOKUP(Table9[[#This Row],[Shortname]], Comp[], 7, FALSE)</f>
        <v>83.3</v>
      </c>
      <c r="K1202">
        <f>VLOOKUP(Table9[[#This Row],[Shortname]], Comp[], 8, FALSE)</f>
        <v>0</v>
      </c>
      <c r="L1202">
        <f>VLOOKUP(Table9[[#This Row],[Shortname]], Comp[], 9, FALSE)</f>
        <v>9.8000000000000007</v>
      </c>
      <c r="M1202">
        <f>VLOOKUP(Table9[[#This Row],[Shortname]], Comp[], 10, FALSE)</f>
        <v>0</v>
      </c>
      <c r="N1202">
        <f>VLOOKUP(Table9[[#This Row],[Shortname]], Comp[], 11, FALSE)</f>
        <v>0</v>
      </c>
      <c r="O1202">
        <f>VLOOKUP(Table9[[#This Row],[Shortname]], Comp[],12, FALSE)</f>
        <v>0</v>
      </c>
      <c r="P1202">
        <f>VLOOKUP(Table9[[#This Row],[Shortname]], Comp[], 13, FALSE)</f>
        <v>0</v>
      </c>
      <c r="Q1202">
        <f>VLOOKUP(Table9[[#This Row],[Shortname]], Comp[], 14, FALSE)</f>
        <v>2</v>
      </c>
      <c r="R1202">
        <f>VLOOKUP(Table9[[#This Row],[Shortname]], Comp[], 15, FALSE)</f>
        <v>2.9</v>
      </c>
      <c r="S1202">
        <f>VLOOKUP(Table9[[#This Row],[Shortname]], Comp[], 16, FALSE)</f>
        <v>2</v>
      </c>
      <c r="T1202">
        <f>VLOOKUP(Table9[[#This Row],[Shortname]], Comp[], 17, FALSE)</f>
        <v>0</v>
      </c>
      <c r="U1202">
        <f>VLOOKUP(Table9[[#This Row],[Shortname]], Comp[], 18, FALSE)</f>
        <v>0</v>
      </c>
      <c r="V1202">
        <f>VLOOKUP(Table9[[#This Row],[Shortname]], Comp[], 19, FALSE)</f>
        <v>0</v>
      </c>
      <c r="W1202">
        <f>VLOOKUP(Table9[[#This Row],[Shortname]], Comp[], 20, FALSE)</f>
        <v>0</v>
      </c>
      <c r="X1202">
        <f>VLOOKUP(Table9[[#This Row],[Shortname]], Comp[], 21, FALSE)</f>
        <v>0</v>
      </c>
      <c r="Y1202">
        <f>VLOOKUP(Table9[[#This Row],[Shortname]], Comp[], 22, FALSE)</f>
        <v>0</v>
      </c>
      <c r="Z1202">
        <f>VLOOKUP(Table9[[#This Row],[Shortname]], Comp[], 23, FALSE)</f>
        <v>0</v>
      </c>
      <c r="AA1202">
        <f>VLOOKUP(Table9[[#This Row],[Shortname]], Comp[], 24, FALSE)</f>
        <v>0</v>
      </c>
      <c r="AB1202">
        <f>VLOOKUP(Table9[[#This Row],[Shortname]], Comp[], 25, FALSE)</f>
        <v>0</v>
      </c>
      <c r="AC1202">
        <f>VLOOKUP(Table9[[#This Row],[Shortname]], Comp[], 26, FALSE)</f>
        <v>0</v>
      </c>
      <c r="AD1202">
        <f>VLOOKUP(Table9[[#This Row],[Shortname]], Comp[], 27, FALSE)</f>
        <v>0</v>
      </c>
      <c r="AE1202">
        <f>VLOOKUP(Table9[[#This Row],[Shortname]], Comp[], 28, FALSE)</f>
        <v>0</v>
      </c>
      <c r="AF1202">
        <f>VLOOKUP(Table9[[#This Row],[Shortname]], Comp[], 29, FALSE)</f>
        <v>0</v>
      </c>
      <c r="AG1202">
        <f>VLOOKUP(Table9[[#This Row],[Shortname]], Comp[], 30, FALSE)</f>
        <v>0</v>
      </c>
      <c r="AH1202">
        <f>VLOOKUP(Table9[[#This Row],[Shortname]], Comp[], 31, FALSE)</f>
        <v>0</v>
      </c>
    </row>
    <row r="1203" spans="1:34" x14ac:dyDescent="0.3">
      <c r="A1203" t="s">
        <v>6199</v>
      </c>
      <c r="B1203" t="s">
        <v>6200</v>
      </c>
      <c r="C1203" t="s">
        <v>6216</v>
      </c>
      <c r="D1203">
        <v>474</v>
      </c>
      <c r="E1203">
        <v>770</v>
      </c>
      <c r="F1203">
        <v>1E-3</v>
      </c>
      <c r="G1203">
        <v>1</v>
      </c>
      <c r="H1203" t="s">
        <v>6803</v>
      </c>
      <c r="I1203">
        <f>VLOOKUP(Table9[[#This Row],[Shortname]], Comp[], 6, FALSE)</f>
        <v>1020</v>
      </c>
      <c r="J1203" s="14">
        <f>VLOOKUP(Table9[[#This Row],[Shortname]], Comp[], 7, FALSE)</f>
        <v>83.3</v>
      </c>
      <c r="K1203">
        <f>VLOOKUP(Table9[[#This Row],[Shortname]], Comp[], 8, FALSE)</f>
        <v>0</v>
      </c>
      <c r="L1203">
        <f>VLOOKUP(Table9[[#This Row],[Shortname]], Comp[], 9, FALSE)</f>
        <v>9.8000000000000007</v>
      </c>
      <c r="M1203">
        <f>VLOOKUP(Table9[[#This Row],[Shortname]], Comp[], 10, FALSE)</f>
        <v>0</v>
      </c>
      <c r="N1203">
        <f>VLOOKUP(Table9[[#This Row],[Shortname]], Comp[], 11, FALSE)</f>
        <v>0</v>
      </c>
      <c r="O1203">
        <f>VLOOKUP(Table9[[#This Row],[Shortname]], Comp[],12, FALSE)</f>
        <v>0</v>
      </c>
      <c r="P1203">
        <f>VLOOKUP(Table9[[#This Row],[Shortname]], Comp[], 13, FALSE)</f>
        <v>0</v>
      </c>
      <c r="Q1203">
        <f>VLOOKUP(Table9[[#This Row],[Shortname]], Comp[], 14, FALSE)</f>
        <v>2</v>
      </c>
      <c r="R1203">
        <f>VLOOKUP(Table9[[#This Row],[Shortname]], Comp[], 15, FALSE)</f>
        <v>2.9</v>
      </c>
      <c r="S1203">
        <f>VLOOKUP(Table9[[#This Row],[Shortname]], Comp[], 16, FALSE)</f>
        <v>2</v>
      </c>
      <c r="T1203">
        <f>VLOOKUP(Table9[[#This Row],[Shortname]], Comp[], 17, FALSE)</f>
        <v>0</v>
      </c>
      <c r="U1203">
        <f>VLOOKUP(Table9[[#This Row],[Shortname]], Comp[], 18, FALSE)</f>
        <v>0</v>
      </c>
      <c r="V1203">
        <f>VLOOKUP(Table9[[#This Row],[Shortname]], Comp[], 19, FALSE)</f>
        <v>0</v>
      </c>
      <c r="W1203">
        <f>VLOOKUP(Table9[[#This Row],[Shortname]], Comp[], 20, FALSE)</f>
        <v>0</v>
      </c>
      <c r="X1203">
        <f>VLOOKUP(Table9[[#This Row],[Shortname]], Comp[], 21, FALSE)</f>
        <v>0</v>
      </c>
      <c r="Y1203">
        <f>VLOOKUP(Table9[[#This Row],[Shortname]], Comp[], 22, FALSE)</f>
        <v>0</v>
      </c>
      <c r="Z1203">
        <f>VLOOKUP(Table9[[#This Row],[Shortname]], Comp[], 23, FALSE)</f>
        <v>0</v>
      </c>
      <c r="AA1203">
        <f>VLOOKUP(Table9[[#This Row],[Shortname]], Comp[], 24, FALSE)</f>
        <v>0</v>
      </c>
      <c r="AB1203">
        <f>VLOOKUP(Table9[[#This Row],[Shortname]], Comp[], 25, FALSE)</f>
        <v>0</v>
      </c>
      <c r="AC1203">
        <f>VLOOKUP(Table9[[#This Row],[Shortname]], Comp[], 26, FALSE)</f>
        <v>0</v>
      </c>
      <c r="AD1203">
        <f>VLOOKUP(Table9[[#This Row],[Shortname]], Comp[], 27, FALSE)</f>
        <v>0</v>
      </c>
      <c r="AE1203">
        <f>VLOOKUP(Table9[[#This Row],[Shortname]], Comp[], 28, FALSE)</f>
        <v>0</v>
      </c>
      <c r="AF1203">
        <f>VLOOKUP(Table9[[#This Row],[Shortname]], Comp[], 29, FALSE)</f>
        <v>0</v>
      </c>
      <c r="AG1203">
        <f>VLOOKUP(Table9[[#This Row],[Shortname]], Comp[], 30, FALSE)</f>
        <v>0</v>
      </c>
      <c r="AH1203">
        <f>VLOOKUP(Table9[[#This Row],[Shortname]], Comp[], 31, FALSE)</f>
        <v>0</v>
      </c>
    </row>
    <row r="1204" spans="1:34" x14ac:dyDescent="0.3">
      <c r="A1204" t="s">
        <v>6199</v>
      </c>
      <c r="B1204" t="s">
        <v>6200</v>
      </c>
      <c r="C1204" t="s">
        <v>7009</v>
      </c>
      <c r="D1204">
        <v>445</v>
      </c>
      <c r="E1204">
        <v>870</v>
      </c>
      <c r="F1204">
        <v>1E-3</v>
      </c>
      <c r="G1204">
        <v>1</v>
      </c>
      <c r="H1204" t="s">
        <v>6803</v>
      </c>
      <c r="I1204">
        <f>VLOOKUP(Table9[[#This Row],[Shortname]], Comp[], 6, FALSE)</f>
        <v>1020</v>
      </c>
      <c r="J1204" s="14">
        <f>VLOOKUP(Table9[[#This Row],[Shortname]], Comp[], 7, FALSE)</f>
        <v>83.3</v>
      </c>
      <c r="K1204">
        <f>VLOOKUP(Table9[[#This Row],[Shortname]], Comp[], 8, FALSE)</f>
        <v>0</v>
      </c>
      <c r="L1204">
        <f>VLOOKUP(Table9[[#This Row],[Shortname]], Comp[], 9, FALSE)</f>
        <v>9.8000000000000007</v>
      </c>
      <c r="M1204">
        <f>VLOOKUP(Table9[[#This Row],[Shortname]], Comp[], 10, FALSE)</f>
        <v>0</v>
      </c>
      <c r="N1204">
        <f>VLOOKUP(Table9[[#This Row],[Shortname]], Comp[], 11, FALSE)</f>
        <v>0</v>
      </c>
      <c r="O1204">
        <f>VLOOKUP(Table9[[#This Row],[Shortname]], Comp[],12, FALSE)</f>
        <v>0</v>
      </c>
      <c r="P1204">
        <f>VLOOKUP(Table9[[#This Row],[Shortname]], Comp[], 13, FALSE)</f>
        <v>0</v>
      </c>
      <c r="Q1204">
        <f>VLOOKUP(Table9[[#This Row],[Shortname]], Comp[], 14, FALSE)</f>
        <v>2</v>
      </c>
      <c r="R1204">
        <f>VLOOKUP(Table9[[#This Row],[Shortname]], Comp[], 15, FALSE)</f>
        <v>2.9</v>
      </c>
      <c r="S1204">
        <f>VLOOKUP(Table9[[#This Row],[Shortname]], Comp[], 16, FALSE)</f>
        <v>2</v>
      </c>
      <c r="T1204">
        <f>VLOOKUP(Table9[[#This Row],[Shortname]], Comp[], 17, FALSE)</f>
        <v>0</v>
      </c>
      <c r="U1204">
        <f>VLOOKUP(Table9[[#This Row],[Shortname]], Comp[], 18, FALSE)</f>
        <v>0</v>
      </c>
      <c r="V1204">
        <f>VLOOKUP(Table9[[#This Row],[Shortname]], Comp[], 19, FALSE)</f>
        <v>0</v>
      </c>
      <c r="W1204">
        <f>VLOOKUP(Table9[[#This Row],[Shortname]], Comp[], 20, FALSE)</f>
        <v>0</v>
      </c>
      <c r="X1204">
        <f>VLOOKUP(Table9[[#This Row],[Shortname]], Comp[], 21, FALSE)</f>
        <v>0</v>
      </c>
      <c r="Y1204">
        <f>VLOOKUP(Table9[[#This Row],[Shortname]], Comp[], 22, FALSE)</f>
        <v>0</v>
      </c>
      <c r="Z1204">
        <f>VLOOKUP(Table9[[#This Row],[Shortname]], Comp[], 23, FALSE)</f>
        <v>0</v>
      </c>
      <c r="AA1204">
        <f>VLOOKUP(Table9[[#This Row],[Shortname]], Comp[], 24, FALSE)</f>
        <v>0</v>
      </c>
      <c r="AB1204">
        <f>VLOOKUP(Table9[[#This Row],[Shortname]], Comp[], 25, FALSE)</f>
        <v>0</v>
      </c>
      <c r="AC1204">
        <f>VLOOKUP(Table9[[#This Row],[Shortname]], Comp[], 26, FALSE)</f>
        <v>0</v>
      </c>
      <c r="AD1204">
        <f>VLOOKUP(Table9[[#This Row],[Shortname]], Comp[], 27, FALSE)</f>
        <v>0</v>
      </c>
      <c r="AE1204">
        <f>VLOOKUP(Table9[[#This Row],[Shortname]], Comp[], 28, FALSE)</f>
        <v>0</v>
      </c>
      <c r="AF1204">
        <f>VLOOKUP(Table9[[#This Row],[Shortname]], Comp[], 29, FALSE)</f>
        <v>0</v>
      </c>
      <c r="AG1204">
        <f>VLOOKUP(Table9[[#This Row],[Shortname]], Comp[], 30, FALSE)</f>
        <v>0</v>
      </c>
      <c r="AH1204">
        <f>VLOOKUP(Table9[[#This Row],[Shortname]], Comp[], 31, FALSE)</f>
        <v>0</v>
      </c>
    </row>
    <row r="1205" spans="1:34" x14ac:dyDescent="0.3">
      <c r="A1205" t="s">
        <v>6199</v>
      </c>
      <c r="B1205" t="s">
        <v>6200</v>
      </c>
      <c r="C1205" t="s">
        <v>7010</v>
      </c>
      <c r="D1205">
        <v>320</v>
      </c>
      <c r="E1205">
        <v>970</v>
      </c>
      <c r="F1205">
        <v>1E-3</v>
      </c>
      <c r="G1205">
        <v>1</v>
      </c>
      <c r="H1205" t="s">
        <v>6803</v>
      </c>
      <c r="I1205">
        <f>VLOOKUP(Table9[[#This Row],[Shortname]], Comp[], 6, FALSE)</f>
        <v>1020</v>
      </c>
      <c r="J1205" s="14">
        <f>VLOOKUP(Table9[[#This Row],[Shortname]], Comp[], 7, FALSE)</f>
        <v>83.3</v>
      </c>
      <c r="K1205">
        <f>VLOOKUP(Table9[[#This Row],[Shortname]], Comp[], 8, FALSE)</f>
        <v>0</v>
      </c>
      <c r="L1205">
        <f>VLOOKUP(Table9[[#This Row],[Shortname]], Comp[], 9, FALSE)</f>
        <v>9.8000000000000007</v>
      </c>
      <c r="M1205">
        <f>VLOOKUP(Table9[[#This Row],[Shortname]], Comp[], 10, FALSE)</f>
        <v>0</v>
      </c>
      <c r="N1205">
        <f>VLOOKUP(Table9[[#This Row],[Shortname]], Comp[], 11, FALSE)</f>
        <v>0</v>
      </c>
      <c r="O1205">
        <f>VLOOKUP(Table9[[#This Row],[Shortname]], Comp[],12, FALSE)</f>
        <v>0</v>
      </c>
      <c r="P1205">
        <f>VLOOKUP(Table9[[#This Row],[Shortname]], Comp[], 13, FALSE)</f>
        <v>0</v>
      </c>
      <c r="Q1205">
        <f>VLOOKUP(Table9[[#This Row],[Shortname]], Comp[], 14, FALSE)</f>
        <v>2</v>
      </c>
      <c r="R1205">
        <f>VLOOKUP(Table9[[#This Row],[Shortname]], Comp[], 15, FALSE)</f>
        <v>2.9</v>
      </c>
      <c r="S1205">
        <f>VLOOKUP(Table9[[#This Row],[Shortname]], Comp[], 16, FALSE)</f>
        <v>2</v>
      </c>
      <c r="T1205">
        <f>VLOOKUP(Table9[[#This Row],[Shortname]], Comp[], 17, FALSE)</f>
        <v>0</v>
      </c>
      <c r="U1205">
        <f>VLOOKUP(Table9[[#This Row],[Shortname]], Comp[], 18, FALSE)</f>
        <v>0</v>
      </c>
      <c r="V1205">
        <f>VLOOKUP(Table9[[#This Row],[Shortname]], Comp[], 19, FALSE)</f>
        <v>0</v>
      </c>
      <c r="W1205">
        <f>VLOOKUP(Table9[[#This Row],[Shortname]], Comp[], 20, FALSE)</f>
        <v>0</v>
      </c>
      <c r="X1205">
        <f>VLOOKUP(Table9[[#This Row],[Shortname]], Comp[], 21, FALSE)</f>
        <v>0</v>
      </c>
      <c r="Y1205">
        <f>VLOOKUP(Table9[[#This Row],[Shortname]], Comp[], 22, FALSE)</f>
        <v>0</v>
      </c>
      <c r="Z1205">
        <f>VLOOKUP(Table9[[#This Row],[Shortname]], Comp[], 23, FALSE)</f>
        <v>0</v>
      </c>
      <c r="AA1205">
        <f>VLOOKUP(Table9[[#This Row],[Shortname]], Comp[], 24, FALSE)</f>
        <v>0</v>
      </c>
      <c r="AB1205">
        <f>VLOOKUP(Table9[[#This Row],[Shortname]], Comp[], 25, FALSE)</f>
        <v>0</v>
      </c>
      <c r="AC1205">
        <f>VLOOKUP(Table9[[#This Row],[Shortname]], Comp[], 26, FALSE)</f>
        <v>0</v>
      </c>
      <c r="AD1205">
        <f>VLOOKUP(Table9[[#This Row],[Shortname]], Comp[], 27, FALSE)</f>
        <v>0</v>
      </c>
      <c r="AE1205">
        <f>VLOOKUP(Table9[[#This Row],[Shortname]], Comp[], 28, FALSE)</f>
        <v>0</v>
      </c>
      <c r="AF1205">
        <f>VLOOKUP(Table9[[#This Row],[Shortname]], Comp[], 29, FALSE)</f>
        <v>0</v>
      </c>
      <c r="AG1205">
        <f>VLOOKUP(Table9[[#This Row],[Shortname]], Comp[], 30, FALSE)</f>
        <v>0</v>
      </c>
      <c r="AH1205">
        <f>VLOOKUP(Table9[[#This Row],[Shortname]], Comp[], 31, FALSE)</f>
        <v>0</v>
      </c>
    </row>
    <row r="1206" spans="1:34" x14ac:dyDescent="0.3">
      <c r="A1206" t="s">
        <v>6209</v>
      </c>
      <c r="B1206" t="s">
        <v>6210</v>
      </c>
      <c r="C1206" t="s">
        <v>6211</v>
      </c>
      <c r="D1206">
        <v>591</v>
      </c>
      <c r="E1206">
        <v>25</v>
      </c>
      <c r="F1206">
        <v>1E-3</v>
      </c>
      <c r="G1206">
        <v>1</v>
      </c>
      <c r="H1206" t="s">
        <v>6803</v>
      </c>
      <c r="I1206">
        <f>VLOOKUP(Table9[[#This Row],[Shortname]], Comp[], 6, FALSE)</f>
        <v>1022</v>
      </c>
      <c r="J1206" s="14">
        <f>VLOOKUP(Table9[[#This Row],[Shortname]], Comp[], 7, FALSE)</f>
        <v>82.9</v>
      </c>
      <c r="K1206">
        <f>VLOOKUP(Table9[[#This Row],[Shortname]], Comp[], 8, FALSE)</f>
        <v>0</v>
      </c>
      <c r="L1206">
        <f>VLOOKUP(Table9[[#This Row],[Shortname]], Comp[], 9, FALSE)</f>
        <v>9.8000000000000007</v>
      </c>
      <c r="M1206">
        <f>VLOOKUP(Table9[[#This Row],[Shortname]], Comp[], 10, FALSE)</f>
        <v>0</v>
      </c>
      <c r="N1206">
        <f>VLOOKUP(Table9[[#This Row],[Shortname]], Comp[], 11, FALSE)</f>
        <v>0</v>
      </c>
      <c r="O1206">
        <f>VLOOKUP(Table9[[#This Row],[Shortname]], Comp[],12, FALSE)</f>
        <v>0</v>
      </c>
      <c r="P1206">
        <f>VLOOKUP(Table9[[#This Row],[Shortname]], Comp[], 13, FALSE)</f>
        <v>0</v>
      </c>
      <c r="Q1206">
        <f>VLOOKUP(Table9[[#This Row],[Shortname]], Comp[], 14, FALSE)</f>
        <v>2</v>
      </c>
      <c r="R1206">
        <f>VLOOKUP(Table9[[#This Row],[Shortname]], Comp[], 15, FALSE)</f>
        <v>5.3</v>
      </c>
      <c r="S1206">
        <f>VLOOKUP(Table9[[#This Row],[Shortname]], Comp[], 16, FALSE)</f>
        <v>0</v>
      </c>
      <c r="T1206">
        <f>VLOOKUP(Table9[[#This Row],[Shortname]], Comp[], 17, FALSE)</f>
        <v>0</v>
      </c>
      <c r="U1206">
        <f>VLOOKUP(Table9[[#This Row],[Shortname]], Comp[], 18, FALSE)</f>
        <v>0</v>
      </c>
      <c r="V1206">
        <f>VLOOKUP(Table9[[#This Row],[Shortname]], Comp[], 19, FALSE)</f>
        <v>0</v>
      </c>
      <c r="W1206">
        <f>VLOOKUP(Table9[[#This Row],[Shortname]], Comp[], 20, FALSE)</f>
        <v>0</v>
      </c>
      <c r="X1206">
        <f>VLOOKUP(Table9[[#This Row],[Shortname]], Comp[], 21, FALSE)</f>
        <v>0</v>
      </c>
      <c r="Y1206">
        <f>VLOOKUP(Table9[[#This Row],[Shortname]], Comp[], 22, FALSE)</f>
        <v>0</v>
      </c>
      <c r="Z1206">
        <f>VLOOKUP(Table9[[#This Row],[Shortname]], Comp[], 23, FALSE)</f>
        <v>0</v>
      </c>
      <c r="AA1206">
        <f>VLOOKUP(Table9[[#This Row],[Shortname]], Comp[], 24, FALSE)</f>
        <v>0</v>
      </c>
      <c r="AB1206">
        <f>VLOOKUP(Table9[[#This Row],[Shortname]], Comp[], 25, FALSE)</f>
        <v>0</v>
      </c>
      <c r="AC1206">
        <f>VLOOKUP(Table9[[#This Row],[Shortname]], Comp[], 26, FALSE)</f>
        <v>0</v>
      </c>
      <c r="AD1206">
        <f>VLOOKUP(Table9[[#This Row],[Shortname]], Comp[], 27, FALSE)</f>
        <v>0</v>
      </c>
      <c r="AE1206">
        <f>VLOOKUP(Table9[[#This Row],[Shortname]], Comp[], 28, FALSE)</f>
        <v>0</v>
      </c>
      <c r="AF1206">
        <f>VLOOKUP(Table9[[#This Row],[Shortname]], Comp[], 29, FALSE)</f>
        <v>0</v>
      </c>
      <c r="AG1206">
        <f>VLOOKUP(Table9[[#This Row],[Shortname]], Comp[], 30, FALSE)</f>
        <v>0</v>
      </c>
      <c r="AH1206">
        <f>VLOOKUP(Table9[[#This Row],[Shortname]], Comp[], 31, FALSE)</f>
        <v>0</v>
      </c>
    </row>
    <row r="1207" spans="1:34" x14ac:dyDescent="0.3">
      <c r="A1207" t="s">
        <v>6209</v>
      </c>
      <c r="B1207" t="s">
        <v>6210</v>
      </c>
      <c r="C1207" t="s">
        <v>6216</v>
      </c>
      <c r="D1207">
        <v>475</v>
      </c>
      <c r="E1207">
        <v>570</v>
      </c>
      <c r="F1207">
        <v>1E-3</v>
      </c>
      <c r="G1207">
        <v>1</v>
      </c>
      <c r="H1207" t="s">
        <v>6803</v>
      </c>
      <c r="I1207">
        <f>VLOOKUP(Table9[[#This Row],[Shortname]], Comp[], 6, FALSE)</f>
        <v>1022</v>
      </c>
      <c r="J1207" s="14">
        <f>VLOOKUP(Table9[[#This Row],[Shortname]], Comp[], 7, FALSE)</f>
        <v>82.9</v>
      </c>
      <c r="K1207">
        <f>VLOOKUP(Table9[[#This Row],[Shortname]], Comp[], 8, FALSE)</f>
        <v>0</v>
      </c>
      <c r="L1207">
        <f>VLOOKUP(Table9[[#This Row],[Shortname]], Comp[], 9, FALSE)</f>
        <v>9.8000000000000007</v>
      </c>
      <c r="M1207">
        <f>VLOOKUP(Table9[[#This Row],[Shortname]], Comp[], 10, FALSE)</f>
        <v>0</v>
      </c>
      <c r="N1207">
        <f>VLOOKUP(Table9[[#This Row],[Shortname]], Comp[], 11, FALSE)</f>
        <v>0</v>
      </c>
      <c r="O1207">
        <f>VLOOKUP(Table9[[#This Row],[Shortname]], Comp[],12, FALSE)</f>
        <v>0</v>
      </c>
      <c r="P1207">
        <f>VLOOKUP(Table9[[#This Row],[Shortname]], Comp[], 13, FALSE)</f>
        <v>0</v>
      </c>
      <c r="Q1207">
        <f>VLOOKUP(Table9[[#This Row],[Shortname]], Comp[], 14, FALSE)</f>
        <v>2</v>
      </c>
      <c r="R1207">
        <f>VLOOKUP(Table9[[#This Row],[Shortname]], Comp[], 15, FALSE)</f>
        <v>5.3</v>
      </c>
      <c r="S1207">
        <f>VLOOKUP(Table9[[#This Row],[Shortname]], Comp[], 16, FALSE)</f>
        <v>0</v>
      </c>
      <c r="T1207">
        <f>VLOOKUP(Table9[[#This Row],[Shortname]], Comp[], 17, FALSE)</f>
        <v>0</v>
      </c>
      <c r="U1207">
        <f>VLOOKUP(Table9[[#This Row],[Shortname]], Comp[], 18, FALSE)</f>
        <v>0</v>
      </c>
      <c r="V1207">
        <f>VLOOKUP(Table9[[#This Row],[Shortname]], Comp[], 19, FALSE)</f>
        <v>0</v>
      </c>
      <c r="W1207">
        <f>VLOOKUP(Table9[[#This Row],[Shortname]], Comp[], 20, FALSE)</f>
        <v>0</v>
      </c>
      <c r="X1207">
        <f>VLOOKUP(Table9[[#This Row],[Shortname]], Comp[], 21, FALSE)</f>
        <v>0</v>
      </c>
      <c r="Y1207">
        <f>VLOOKUP(Table9[[#This Row],[Shortname]], Comp[], 22, FALSE)</f>
        <v>0</v>
      </c>
      <c r="Z1207">
        <f>VLOOKUP(Table9[[#This Row],[Shortname]], Comp[], 23, FALSE)</f>
        <v>0</v>
      </c>
      <c r="AA1207">
        <f>VLOOKUP(Table9[[#This Row],[Shortname]], Comp[], 24, FALSE)</f>
        <v>0</v>
      </c>
      <c r="AB1207">
        <f>VLOOKUP(Table9[[#This Row],[Shortname]], Comp[], 25, FALSE)</f>
        <v>0</v>
      </c>
      <c r="AC1207">
        <f>VLOOKUP(Table9[[#This Row],[Shortname]], Comp[], 26, FALSE)</f>
        <v>0</v>
      </c>
      <c r="AD1207">
        <f>VLOOKUP(Table9[[#This Row],[Shortname]], Comp[], 27, FALSE)</f>
        <v>0</v>
      </c>
      <c r="AE1207">
        <f>VLOOKUP(Table9[[#This Row],[Shortname]], Comp[], 28, FALSE)</f>
        <v>0</v>
      </c>
      <c r="AF1207">
        <f>VLOOKUP(Table9[[#This Row],[Shortname]], Comp[], 29, FALSE)</f>
        <v>0</v>
      </c>
      <c r="AG1207">
        <f>VLOOKUP(Table9[[#This Row],[Shortname]], Comp[], 30, FALSE)</f>
        <v>0</v>
      </c>
      <c r="AH1207">
        <f>VLOOKUP(Table9[[#This Row],[Shortname]], Comp[], 31, FALSE)</f>
        <v>0</v>
      </c>
    </row>
    <row r="1208" spans="1:34" x14ac:dyDescent="0.3">
      <c r="A1208" t="s">
        <v>6209</v>
      </c>
      <c r="B1208" t="s">
        <v>6210</v>
      </c>
      <c r="C1208" t="s">
        <v>7009</v>
      </c>
      <c r="D1208">
        <v>456</v>
      </c>
      <c r="E1208">
        <v>670</v>
      </c>
      <c r="F1208">
        <v>1E-3</v>
      </c>
      <c r="G1208">
        <v>1</v>
      </c>
      <c r="H1208" t="s">
        <v>6803</v>
      </c>
      <c r="I1208">
        <f>VLOOKUP(Table9[[#This Row],[Shortname]], Comp[], 6, FALSE)</f>
        <v>1022</v>
      </c>
      <c r="J1208" s="14">
        <f>VLOOKUP(Table9[[#This Row],[Shortname]], Comp[], 7, FALSE)</f>
        <v>82.9</v>
      </c>
      <c r="K1208">
        <f>VLOOKUP(Table9[[#This Row],[Shortname]], Comp[], 8, FALSE)</f>
        <v>0</v>
      </c>
      <c r="L1208">
        <f>VLOOKUP(Table9[[#This Row],[Shortname]], Comp[], 9, FALSE)</f>
        <v>9.8000000000000007</v>
      </c>
      <c r="M1208">
        <f>VLOOKUP(Table9[[#This Row],[Shortname]], Comp[], 10, FALSE)</f>
        <v>0</v>
      </c>
      <c r="N1208">
        <f>VLOOKUP(Table9[[#This Row],[Shortname]], Comp[], 11, FALSE)</f>
        <v>0</v>
      </c>
      <c r="O1208">
        <f>VLOOKUP(Table9[[#This Row],[Shortname]], Comp[],12, FALSE)</f>
        <v>0</v>
      </c>
      <c r="P1208">
        <f>VLOOKUP(Table9[[#This Row],[Shortname]], Comp[], 13, FALSE)</f>
        <v>0</v>
      </c>
      <c r="Q1208">
        <f>VLOOKUP(Table9[[#This Row],[Shortname]], Comp[], 14, FALSE)</f>
        <v>2</v>
      </c>
      <c r="R1208">
        <f>VLOOKUP(Table9[[#This Row],[Shortname]], Comp[], 15, FALSE)</f>
        <v>5.3</v>
      </c>
      <c r="S1208">
        <f>VLOOKUP(Table9[[#This Row],[Shortname]], Comp[], 16, FALSE)</f>
        <v>0</v>
      </c>
      <c r="T1208">
        <f>VLOOKUP(Table9[[#This Row],[Shortname]], Comp[], 17, FALSE)</f>
        <v>0</v>
      </c>
      <c r="U1208">
        <f>VLOOKUP(Table9[[#This Row],[Shortname]], Comp[], 18, FALSE)</f>
        <v>0</v>
      </c>
      <c r="V1208">
        <f>VLOOKUP(Table9[[#This Row],[Shortname]], Comp[], 19, FALSE)</f>
        <v>0</v>
      </c>
      <c r="W1208">
        <f>VLOOKUP(Table9[[#This Row],[Shortname]], Comp[], 20, FALSE)</f>
        <v>0</v>
      </c>
      <c r="X1208">
        <f>VLOOKUP(Table9[[#This Row],[Shortname]], Comp[], 21, FALSE)</f>
        <v>0</v>
      </c>
      <c r="Y1208">
        <f>VLOOKUP(Table9[[#This Row],[Shortname]], Comp[], 22, FALSE)</f>
        <v>0</v>
      </c>
      <c r="Z1208">
        <f>VLOOKUP(Table9[[#This Row],[Shortname]], Comp[], 23, FALSE)</f>
        <v>0</v>
      </c>
      <c r="AA1208">
        <f>VLOOKUP(Table9[[#This Row],[Shortname]], Comp[], 24, FALSE)</f>
        <v>0</v>
      </c>
      <c r="AB1208">
        <f>VLOOKUP(Table9[[#This Row],[Shortname]], Comp[], 25, FALSE)</f>
        <v>0</v>
      </c>
      <c r="AC1208">
        <f>VLOOKUP(Table9[[#This Row],[Shortname]], Comp[], 26, FALSE)</f>
        <v>0</v>
      </c>
      <c r="AD1208">
        <f>VLOOKUP(Table9[[#This Row],[Shortname]], Comp[], 27, FALSE)</f>
        <v>0</v>
      </c>
      <c r="AE1208">
        <f>VLOOKUP(Table9[[#This Row],[Shortname]], Comp[], 28, FALSE)</f>
        <v>0</v>
      </c>
      <c r="AF1208">
        <f>VLOOKUP(Table9[[#This Row],[Shortname]], Comp[], 29, FALSE)</f>
        <v>0</v>
      </c>
      <c r="AG1208">
        <f>VLOOKUP(Table9[[#This Row],[Shortname]], Comp[], 30, FALSE)</f>
        <v>0</v>
      </c>
      <c r="AH1208">
        <f>VLOOKUP(Table9[[#This Row],[Shortname]], Comp[], 31, FALSE)</f>
        <v>0</v>
      </c>
    </row>
    <row r="1209" spans="1:34" x14ac:dyDescent="0.3">
      <c r="A1209" t="s">
        <v>6209</v>
      </c>
      <c r="B1209" t="s">
        <v>6210</v>
      </c>
      <c r="C1209" t="s">
        <v>7010</v>
      </c>
      <c r="D1209">
        <v>415</v>
      </c>
      <c r="E1209">
        <v>770</v>
      </c>
      <c r="F1209">
        <v>1E-3</v>
      </c>
      <c r="G1209">
        <v>1</v>
      </c>
      <c r="H1209" t="s">
        <v>6803</v>
      </c>
      <c r="I1209">
        <f>VLOOKUP(Table9[[#This Row],[Shortname]], Comp[], 6, FALSE)</f>
        <v>1022</v>
      </c>
      <c r="J1209" s="14">
        <f>VLOOKUP(Table9[[#This Row],[Shortname]], Comp[], 7, FALSE)</f>
        <v>82.9</v>
      </c>
      <c r="K1209">
        <f>VLOOKUP(Table9[[#This Row],[Shortname]], Comp[], 8, FALSE)</f>
        <v>0</v>
      </c>
      <c r="L1209">
        <f>VLOOKUP(Table9[[#This Row],[Shortname]], Comp[], 9, FALSE)</f>
        <v>9.8000000000000007</v>
      </c>
      <c r="M1209">
        <f>VLOOKUP(Table9[[#This Row],[Shortname]], Comp[], 10, FALSE)</f>
        <v>0</v>
      </c>
      <c r="N1209">
        <f>VLOOKUP(Table9[[#This Row],[Shortname]], Comp[], 11, FALSE)</f>
        <v>0</v>
      </c>
      <c r="O1209">
        <f>VLOOKUP(Table9[[#This Row],[Shortname]], Comp[],12, FALSE)</f>
        <v>0</v>
      </c>
      <c r="P1209">
        <f>VLOOKUP(Table9[[#This Row],[Shortname]], Comp[], 13, FALSE)</f>
        <v>0</v>
      </c>
      <c r="Q1209">
        <f>VLOOKUP(Table9[[#This Row],[Shortname]], Comp[], 14, FALSE)</f>
        <v>2</v>
      </c>
      <c r="R1209">
        <f>VLOOKUP(Table9[[#This Row],[Shortname]], Comp[], 15, FALSE)</f>
        <v>5.3</v>
      </c>
      <c r="S1209">
        <f>VLOOKUP(Table9[[#This Row],[Shortname]], Comp[], 16, FALSE)</f>
        <v>0</v>
      </c>
      <c r="T1209">
        <f>VLOOKUP(Table9[[#This Row],[Shortname]], Comp[], 17, FALSE)</f>
        <v>0</v>
      </c>
      <c r="U1209">
        <f>VLOOKUP(Table9[[#This Row],[Shortname]], Comp[], 18, FALSE)</f>
        <v>0</v>
      </c>
      <c r="V1209">
        <f>VLOOKUP(Table9[[#This Row],[Shortname]], Comp[], 19, FALSE)</f>
        <v>0</v>
      </c>
      <c r="W1209">
        <f>VLOOKUP(Table9[[#This Row],[Shortname]], Comp[], 20, FALSE)</f>
        <v>0</v>
      </c>
      <c r="X1209">
        <f>VLOOKUP(Table9[[#This Row],[Shortname]], Comp[], 21, FALSE)</f>
        <v>0</v>
      </c>
      <c r="Y1209">
        <f>VLOOKUP(Table9[[#This Row],[Shortname]], Comp[], 22, FALSE)</f>
        <v>0</v>
      </c>
      <c r="Z1209">
        <f>VLOOKUP(Table9[[#This Row],[Shortname]], Comp[], 23, FALSE)</f>
        <v>0</v>
      </c>
      <c r="AA1209">
        <f>VLOOKUP(Table9[[#This Row],[Shortname]], Comp[], 24, FALSE)</f>
        <v>0</v>
      </c>
      <c r="AB1209">
        <f>VLOOKUP(Table9[[#This Row],[Shortname]], Comp[], 25, FALSE)</f>
        <v>0</v>
      </c>
      <c r="AC1209">
        <f>VLOOKUP(Table9[[#This Row],[Shortname]], Comp[], 26, FALSE)</f>
        <v>0</v>
      </c>
      <c r="AD1209">
        <f>VLOOKUP(Table9[[#This Row],[Shortname]], Comp[], 27, FALSE)</f>
        <v>0</v>
      </c>
      <c r="AE1209">
        <f>VLOOKUP(Table9[[#This Row],[Shortname]], Comp[], 28, FALSE)</f>
        <v>0</v>
      </c>
      <c r="AF1209">
        <f>VLOOKUP(Table9[[#This Row],[Shortname]], Comp[], 29, FALSE)</f>
        <v>0</v>
      </c>
      <c r="AG1209">
        <f>VLOOKUP(Table9[[#This Row],[Shortname]], Comp[], 30, FALSE)</f>
        <v>0</v>
      </c>
      <c r="AH1209">
        <f>VLOOKUP(Table9[[#This Row],[Shortname]], Comp[], 31, FALSE)</f>
        <v>0</v>
      </c>
    </row>
    <row r="1210" spans="1:34" x14ac:dyDescent="0.3">
      <c r="A1210" t="s">
        <v>6209</v>
      </c>
      <c r="B1210" t="s">
        <v>6210</v>
      </c>
      <c r="C1210" t="s">
        <v>7011</v>
      </c>
      <c r="D1210">
        <v>386</v>
      </c>
      <c r="E1210">
        <v>870</v>
      </c>
      <c r="F1210">
        <v>1E-3</v>
      </c>
      <c r="G1210">
        <v>1</v>
      </c>
      <c r="H1210" t="s">
        <v>6803</v>
      </c>
      <c r="I1210">
        <f>VLOOKUP(Table9[[#This Row],[Shortname]], Comp[], 6, FALSE)</f>
        <v>1022</v>
      </c>
      <c r="J1210" s="14">
        <f>VLOOKUP(Table9[[#This Row],[Shortname]], Comp[], 7, FALSE)</f>
        <v>82.9</v>
      </c>
      <c r="K1210">
        <f>VLOOKUP(Table9[[#This Row],[Shortname]], Comp[], 8, FALSE)</f>
        <v>0</v>
      </c>
      <c r="L1210">
        <f>VLOOKUP(Table9[[#This Row],[Shortname]], Comp[], 9, FALSE)</f>
        <v>9.8000000000000007</v>
      </c>
      <c r="M1210">
        <f>VLOOKUP(Table9[[#This Row],[Shortname]], Comp[], 10, FALSE)</f>
        <v>0</v>
      </c>
      <c r="N1210">
        <f>VLOOKUP(Table9[[#This Row],[Shortname]], Comp[], 11, FALSE)</f>
        <v>0</v>
      </c>
      <c r="O1210">
        <f>VLOOKUP(Table9[[#This Row],[Shortname]], Comp[],12, FALSE)</f>
        <v>0</v>
      </c>
      <c r="P1210">
        <f>VLOOKUP(Table9[[#This Row],[Shortname]], Comp[], 13, FALSE)</f>
        <v>0</v>
      </c>
      <c r="Q1210">
        <f>VLOOKUP(Table9[[#This Row],[Shortname]], Comp[], 14, FALSE)</f>
        <v>2</v>
      </c>
      <c r="R1210">
        <f>VLOOKUP(Table9[[#This Row],[Shortname]], Comp[], 15, FALSE)</f>
        <v>5.3</v>
      </c>
      <c r="S1210">
        <f>VLOOKUP(Table9[[#This Row],[Shortname]], Comp[], 16, FALSE)</f>
        <v>0</v>
      </c>
      <c r="T1210">
        <f>VLOOKUP(Table9[[#This Row],[Shortname]], Comp[], 17, FALSE)</f>
        <v>0</v>
      </c>
      <c r="U1210">
        <f>VLOOKUP(Table9[[#This Row],[Shortname]], Comp[], 18, FALSE)</f>
        <v>0</v>
      </c>
      <c r="V1210">
        <f>VLOOKUP(Table9[[#This Row],[Shortname]], Comp[], 19, FALSE)</f>
        <v>0</v>
      </c>
      <c r="W1210">
        <f>VLOOKUP(Table9[[#This Row],[Shortname]], Comp[], 20, FALSE)</f>
        <v>0</v>
      </c>
      <c r="X1210">
        <f>VLOOKUP(Table9[[#This Row],[Shortname]], Comp[], 21, FALSE)</f>
        <v>0</v>
      </c>
      <c r="Y1210">
        <f>VLOOKUP(Table9[[#This Row],[Shortname]], Comp[], 22, FALSE)</f>
        <v>0</v>
      </c>
      <c r="Z1210">
        <f>VLOOKUP(Table9[[#This Row],[Shortname]], Comp[], 23, FALSE)</f>
        <v>0</v>
      </c>
      <c r="AA1210">
        <f>VLOOKUP(Table9[[#This Row],[Shortname]], Comp[], 24, FALSE)</f>
        <v>0</v>
      </c>
      <c r="AB1210">
        <f>VLOOKUP(Table9[[#This Row],[Shortname]], Comp[], 25, FALSE)</f>
        <v>0</v>
      </c>
      <c r="AC1210">
        <f>VLOOKUP(Table9[[#This Row],[Shortname]], Comp[], 26, FALSE)</f>
        <v>0</v>
      </c>
      <c r="AD1210">
        <f>VLOOKUP(Table9[[#This Row],[Shortname]], Comp[], 27, FALSE)</f>
        <v>0</v>
      </c>
      <c r="AE1210">
        <f>VLOOKUP(Table9[[#This Row],[Shortname]], Comp[], 28, FALSE)</f>
        <v>0</v>
      </c>
      <c r="AF1210">
        <f>VLOOKUP(Table9[[#This Row],[Shortname]], Comp[], 29, FALSE)</f>
        <v>0</v>
      </c>
      <c r="AG1210">
        <f>VLOOKUP(Table9[[#This Row],[Shortname]], Comp[], 30, FALSE)</f>
        <v>0</v>
      </c>
      <c r="AH1210">
        <f>VLOOKUP(Table9[[#This Row],[Shortname]], Comp[], 31, FALSE)</f>
        <v>0</v>
      </c>
    </row>
    <row r="1211" spans="1:34" x14ac:dyDescent="0.3">
      <c r="A1211" t="s">
        <v>6258</v>
      </c>
      <c r="B1211" t="s">
        <v>6259</v>
      </c>
      <c r="C1211" t="s">
        <v>6260</v>
      </c>
      <c r="D1211">
        <v>394</v>
      </c>
      <c r="E1211">
        <v>25</v>
      </c>
      <c r="F1211">
        <v>1E-4</v>
      </c>
      <c r="G1211">
        <v>1</v>
      </c>
      <c r="H1211" t="s">
        <v>6803</v>
      </c>
      <c r="I1211">
        <f>VLOOKUP(Table9[[#This Row],[Shortname]], Comp[], 6, FALSE)</f>
        <v>1034</v>
      </c>
      <c r="J1211" s="14">
        <f>VLOOKUP(Table9[[#This Row],[Shortname]], Comp[], 7, FALSE)</f>
        <v>36.199999999999996</v>
      </c>
      <c r="K1211">
        <f>VLOOKUP(Table9[[#This Row],[Shortname]], Comp[], 8, FALSE)</f>
        <v>36.1</v>
      </c>
      <c r="L1211">
        <f>VLOOKUP(Table9[[#This Row],[Shortname]], Comp[], 9, FALSE)</f>
        <v>13.1</v>
      </c>
      <c r="M1211">
        <f>VLOOKUP(Table9[[#This Row],[Shortname]], Comp[], 10, FALSE)</f>
        <v>7.6</v>
      </c>
      <c r="N1211">
        <f>VLOOKUP(Table9[[#This Row],[Shortname]], Comp[], 11, FALSE)</f>
        <v>3</v>
      </c>
      <c r="O1211">
        <f>VLOOKUP(Table9[[#This Row],[Shortname]], Comp[],12, FALSE)</f>
        <v>3.9</v>
      </c>
      <c r="P1211">
        <f>VLOOKUP(Table9[[#This Row],[Shortname]], Comp[], 13, FALSE)</f>
        <v>0</v>
      </c>
      <c r="Q1211">
        <f>VLOOKUP(Table9[[#This Row],[Shortname]], Comp[], 14, FALSE)</f>
        <v>0</v>
      </c>
      <c r="R1211">
        <f>VLOOKUP(Table9[[#This Row],[Shortname]], Comp[], 15, FALSE)</f>
        <v>0</v>
      </c>
      <c r="S1211">
        <f>VLOOKUP(Table9[[#This Row],[Shortname]], Comp[], 16, FALSE)</f>
        <v>0.1</v>
      </c>
      <c r="T1211">
        <f>VLOOKUP(Table9[[#This Row],[Shortname]], Comp[], 17, FALSE)</f>
        <v>0</v>
      </c>
      <c r="U1211">
        <f>VLOOKUP(Table9[[#This Row],[Shortname]], Comp[], 18, FALSE)</f>
        <v>0</v>
      </c>
      <c r="V1211">
        <f>VLOOKUP(Table9[[#This Row],[Shortname]], Comp[], 19, FALSE)</f>
        <v>0</v>
      </c>
      <c r="W1211">
        <f>VLOOKUP(Table9[[#This Row],[Shortname]], Comp[], 20, FALSE)</f>
        <v>0</v>
      </c>
      <c r="X1211">
        <f>VLOOKUP(Table9[[#This Row],[Shortname]], Comp[], 21, FALSE)</f>
        <v>0</v>
      </c>
      <c r="Y1211">
        <f>VLOOKUP(Table9[[#This Row],[Shortname]], Comp[], 22, FALSE)</f>
        <v>0</v>
      </c>
      <c r="Z1211">
        <f>VLOOKUP(Table9[[#This Row],[Shortname]], Comp[], 23, FALSE)</f>
        <v>0</v>
      </c>
      <c r="AA1211">
        <f>VLOOKUP(Table9[[#This Row],[Shortname]], Comp[], 24, FALSE)</f>
        <v>0</v>
      </c>
      <c r="AB1211">
        <f>VLOOKUP(Table9[[#This Row],[Shortname]], Comp[], 25, FALSE)</f>
        <v>0</v>
      </c>
      <c r="AC1211">
        <f>VLOOKUP(Table9[[#This Row],[Shortname]], Comp[], 26, FALSE)</f>
        <v>0</v>
      </c>
      <c r="AD1211">
        <f>VLOOKUP(Table9[[#This Row],[Shortname]], Comp[], 27, FALSE)</f>
        <v>0</v>
      </c>
      <c r="AE1211">
        <f>VLOOKUP(Table9[[#This Row],[Shortname]], Comp[], 28, FALSE)</f>
        <v>0</v>
      </c>
      <c r="AF1211">
        <f>VLOOKUP(Table9[[#This Row],[Shortname]], Comp[], 29, FALSE)</f>
        <v>0</v>
      </c>
      <c r="AG1211">
        <f>VLOOKUP(Table9[[#This Row],[Shortname]], Comp[], 30, FALSE)</f>
        <v>0</v>
      </c>
      <c r="AH1211">
        <f>VLOOKUP(Table9[[#This Row],[Shortname]], Comp[], 31, FALSE)</f>
        <v>0</v>
      </c>
    </row>
    <row r="1212" spans="1:34" x14ac:dyDescent="0.3">
      <c r="A1212" t="s">
        <v>6258</v>
      </c>
      <c r="B1212" t="s">
        <v>6259</v>
      </c>
      <c r="C1212" t="s">
        <v>6266</v>
      </c>
      <c r="D1212">
        <v>463</v>
      </c>
      <c r="E1212">
        <v>600</v>
      </c>
      <c r="F1212">
        <v>1E-4</v>
      </c>
      <c r="G1212">
        <v>1</v>
      </c>
      <c r="H1212" t="s">
        <v>6803</v>
      </c>
      <c r="I1212">
        <f>VLOOKUP(Table9[[#This Row],[Shortname]], Comp[], 6, FALSE)</f>
        <v>1034</v>
      </c>
      <c r="J1212" s="14">
        <f>VLOOKUP(Table9[[#This Row],[Shortname]], Comp[], 7, FALSE)</f>
        <v>36.199999999999996</v>
      </c>
      <c r="K1212">
        <f>VLOOKUP(Table9[[#This Row],[Shortname]], Comp[], 8, FALSE)</f>
        <v>36.1</v>
      </c>
      <c r="L1212">
        <f>VLOOKUP(Table9[[#This Row],[Shortname]], Comp[], 9, FALSE)</f>
        <v>13.1</v>
      </c>
      <c r="M1212">
        <f>VLOOKUP(Table9[[#This Row],[Shortname]], Comp[], 10, FALSE)</f>
        <v>7.6</v>
      </c>
      <c r="N1212">
        <f>VLOOKUP(Table9[[#This Row],[Shortname]], Comp[], 11, FALSE)</f>
        <v>3</v>
      </c>
      <c r="O1212">
        <f>VLOOKUP(Table9[[#This Row],[Shortname]], Comp[],12, FALSE)</f>
        <v>3.9</v>
      </c>
      <c r="P1212">
        <f>VLOOKUP(Table9[[#This Row],[Shortname]], Comp[], 13, FALSE)</f>
        <v>0</v>
      </c>
      <c r="Q1212">
        <f>VLOOKUP(Table9[[#This Row],[Shortname]], Comp[], 14, FALSE)</f>
        <v>0</v>
      </c>
      <c r="R1212">
        <f>VLOOKUP(Table9[[#This Row],[Shortname]], Comp[], 15, FALSE)</f>
        <v>0</v>
      </c>
      <c r="S1212">
        <f>VLOOKUP(Table9[[#This Row],[Shortname]], Comp[], 16, FALSE)</f>
        <v>0.1</v>
      </c>
      <c r="T1212">
        <f>VLOOKUP(Table9[[#This Row],[Shortname]], Comp[], 17, FALSE)</f>
        <v>0</v>
      </c>
      <c r="U1212">
        <f>VLOOKUP(Table9[[#This Row],[Shortname]], Comp[], 18, FALSE)</f>
        <v>0</v>
      </c>
      <c r="V1212">
        <f>VLOOKUP(Table9[[#This Row],[Shortname]], Comp[], 19, FALSE)</f>
        <v>0</v>
      </c>
      <c r="W1212">
        <f>VLOOKUP(Table9[[#This Row],[Shortname]], Comp[], 20, FALSE)</f>
        <v>0</v>
      </c>
      <c r="X1212">
        <f>VLOOKUP(Table9[[#This Row],[Shortname]], Comp[], 21, FALSE)</f>
        <v>0</v>
      </c>
      <c r="Y1212">
        <f>VLOOKUP(Table9[[#This Row],[Shortname]], Comp[], 22, FALSE)</f>
        <v>0</v>
      </c>
      <c r="Z1212">
        <f>VLOOKUP(Table9[[#This Row],[Shortname]], Comp[], 23, FALSE)</f>
        <v>0</v>
      </c>
      <c r="AA1212">
        <f>VLOOKUP(Table9[[#This Row],[Shortname]], Comp[], 24, FALSE)</f>
        <v>0</v>
      </c>
      <c r="AB1212">
        <f>VLOOKUP(Table9[[#This Row],[Shortname]], Comp[], 25, FALSE)</f>
        <v>0</v>
      </c>
      <c r="AC1212">
        <f>VLOOKUP(Table9[[#This Row],[Shortname]], Comp[], 26, FALSE)</f>
        <v>0</v>
      </c>
      <c r="AD1212">
        <f>VLOOKUP(Table9[[#This Row],[Shortname]], Comp[], 27, FALSE)</f>
        <v>0</v>
      </c>
      <c r="AE1212">
        <f>VLOOKUP(Table9[[#This Row],[Shortname]], Comp[], 28, FALSE)</f>
        <v>0</v>
      </c>
      <c r="AF1212">
        <f>VLOOKUP(Table9[[#This Row],[Shortname]], Comp[], 29, FALSE)</f>
        <v>0</v>
      </c>
      <c r="AG1212">
        <f>VLOOKUP(Table9[[#This Row],[Shortname]], Comp[], 30, FALSE)</f>
        <v>0</v>
      </c>
      <c r="AH1212">
        <f>VLOOKUP(Table9[[#This Row],[Shortname]], Comp[], 31, FALSE)</f>
        <v>0</v>
      </c>
    </row>
    <row r="1213" spans="1:34" x14ac:dyDescent="0.3">
      <c r="A1213" t="s">
        <v>6258</v>
      </c>
      <c r="B1213" t="s">
        <v>6259</v>
      </c>
      <c r="C1213" t="s">
        <v>6272</v>
      </c>
      <c r="D1213">
        <v>505</v>
      </c>
      <c r="E1213">
        <v>700</v>
      </c>
      <c r="F1213">
        <v>1E-4</v>
      </c>
      <c r="G1213">
        <v>1</v>
      </c>
      <c r="H1213" t="s">
        <v>6803</v>
      </c>
      <c r="I1213">
        <f>VLOOKUP(Table9[[#This Row],[Shortname]], Comp[], 6, FALSE)</f>
        <v>1034</v>
      </c>
      <c r="J1213" s="14">
        <f>VLOOKUP(Table9[[#This Row],[Shortname]], Comp[], 7, FALSE)</f>
        <v>36.199999999999996</v>
      </c>
      <c r="K1213">
        <f>VLOOKUP(Table9[[#This Row],[Shortname]], Comp[], 8, FALSE)</f>
        <v>36.1</v>
      </c>
      <c r="L1213">
        <f>VLOOKUP(Table9[[#This Row],[Shortname]], Comp[], 9, FALSE)</f>
        <v>13.1</v>
      </c>
      <c r="M1213">
        <f>VLOOKUP(Table9[[#This Row],[Shortname]], Comp[], 10, FALSE)</f>
        <v>7.6</v>
      </c>
      <c r="N1213">
        <f>VLOOKUP(Table9[[#This Row],[Shortname]], Comp[], 11, FALSE)</f>
        <v>3</v>
      </c>
      <c r="O1213">
        <f>VLOOKUP(Table9[[#This Row],[Shortname]], Comp[],12, FALSE)</f>
        <v>3.9</v>
      </c>
      <c r="P1213">
        <f>VLOOKUP(Table9[[#This Row],[Shortname]], Comp[], 13, FALSE)</f>
        <v>0</v>
      </c>
      <c r="Q1213">
        <f>VLOOKUP(Table9[[#This Row],[Shortname]], Comp[], 14, FALSE)</f>
        <v>0</v>
      </c>
      <c r="R1213">
        <f>VLOOKUP(Table9[[#This Row],[Shortname]], Comp[], 15, FALSE)</f>
        <v>0</v>
      </c>
      <c r="S1213">
        <f>VLOOKUP(Table9[[#This Row],[Shortname]], Comp[], 16, FALSE)</f>
        <v>0.1</v>
      </c>
      <c r="T1213">
        <f>VLOOKUP(Table9[[#This Row],[Shortname]], Comp[], 17, FALSE)</f>
        <v>0</v>
      </c>
      <c r="U1213">
        <f>VLOOKUP(Table9[[#This Row],[Shortname]], Comp[], 18, FALSE)</f>
        <v>0</v>
      </c>
      <c r="V1213">
        <f>VLOOKUP(Table9[[#This Row],[Shortname]], Comp[], 19, FALSE)</f>
        <v>0</v>
      </c>
      <c r="W1213">
        <f>VLOOKUP(Table9[[#This Row],[Shortname]], Comp[], 20, FALSE)</f>
        <v>0</v>
      </c>
      <c r="X1213">
        <f>VLOOKUP(Table9[[#This Row],[Shortname]], Comp[], 21, FALSE)</f>
        <v>0</v>
      </c>
      <c r="Y1213">
        <f>VLOOKUP(Table9[[#This Row],[Shortname]], Comp[], 22, FALSE)</f>
        <v>0</v>
      </c>
      <c r="Z1213">
        <f>VLOOKUP(Table9[[#This Row],[Shortname]], Comp[], 23, FALSE)</f>
        <v>0</v>
      </c>
      <c r="AA1213">
        <f>VLOOKUP(Table9[[#This Row],[Shortname]], Comp[], 24, FALSE)</f>
        <v>0</v>
      </c>
      <c r="AB1213">
        <f>VLOOKUP(Table9[[#This Row],[Shortname]], Comp[], 25, FALSE)</f>
        <v>0</v>
      </c>
      <c r="AC1213">
        <f>VLOOKUP(Table9[[#This Row],[Shortname]], Comp[], 26, FALSE)</f>
        <v>0</v>
      </c>
      <c r="AD1213">
        <f>VLOOKUP(Table9[[#This Row],[Shortname]], Comp[], 27, FALSE)</f>
        <v>0</v>
      </c>
      <c r="AE1213">
        <f>VLOOKUP(Table9[[#This Row],[Shortname]], Comp[], 28, FALSE)</f>
        <v>0</v>
      </c>
      <c r="AF1213">
        <f>VLOOKUP(Table9[[#This Row],[Shortname]], Comp[], 29, FALSE)</f>
        <v>0</v>
      </c>
      <c r="AG1213">
        <f>VLOOKUP(Table9[[#This Row],[Shortname]], Comp[], 30, FALSE)</f>
        <v>0</v>
      </c>
      <c r="AH1213">
        <f>VLOOKUP(Table9[[#This Row],[Shortname]], Comp[], 31, FALSE)</f>
        <v>0</v>
      </c>
    </row>
    <row r="1214" spans="1:34" x14ac:dyDescent="0.3">
      <c r="A1214" t="s">
        <v>6258</v>
      </c>
      <c r="B1214" t="s">
        <v>6259</v>
      </c>
      <c r="C1214" t="s">
        <v>7012</v>
      </c>
      <c r="D1214">
        <v>546</v>
      </c>
      <c r="E1214">
        <v>800</v>
      </c>
      <c r="F1214">
        <v>1E-4</v>
      </c>
      <c r="G1214">
        <v>1</v>
      </c>
      <c r="H1214" t="s">
        <v>6803</v>
      </c>
      <c r="I1214">
        <f>VLOOKUP(Table9[[#This Row],[Shortname]], Comp[], 6, FALSE)</f>
        <v>1034</v>
      </c>
      <c r="J1214" s="14">
        <f>VLOOKUP(Table9[[#This Row],[Shortname]], Comp[], 7, FALSE)</f>
        <v>36.199999999999996</v>
      </c>
      <c r="K1214">
        <f>VLOOKUP(Table9[[#This Row],[Shortname]], Comp[], 8, FALSE)</f>
        <v>36.1</v>
      </c>
      <c r="L1214">
        <f>VLOOKUP(Table9[[#This Row],[Shortname]], Comp[], 9, FALSE)</f>
        <v>13.1</v>
      </c>
      <c r="M1214">
        <f>VLOOKUP(Table9[[#This Row],[Shortname]], Comp[], 10, FALSE)</f>
        <v>7.6</v>
      </c>
      <c r="N1214">
        <f>VLOOKUP(Table9[[#This Row],[Shortname]], Comp[], 11, FALSE)</f>
        <v>3</v>
      </c>
      <c r="O1214">
        <f>VLOOKUP(Table9[[#This Row],[Shortname]], Comp[],12, FALSE)</f>
        <v>3.9</v>
      </c>
      <c r="P1214">
        <f>VLOOKUP(Table9[[#This Row],[Shortname]], Comp[], 13, FALSE)</f>
        <v>0</v>
      </c>
      <c r="Q1214">
        <f>VLOOKUP(Table9[[#This Row],[Shortname]], Comp[], 14, FALSE)</f>
        <v>0</v>
      </c>
      <c r="R1214">
        <f>VLOOKUP(Table9[[#This Row],[Shortname]], Comp[], 15, FALSE)</f>
        <v>0</v>
      </c>
      <c r="S1214">
        <f>VLOOKUP(Table9[[#This Row],[Shortname]], Comp[], 16, FALSE)</f>
        <v>0.1</v>
      </c>
      <c r="T1214">
        <f>VLOOKUP(Table9[[#This Row],[Shortname]], Comp[], 17, FALSE)</f>
        <v>0</v>
      </c>
      <c r="U1214">
        <f>VLOOKUP(Table9[[#This Row],[Shortname]], Comp[], 18, FALSE)</f>
        <v>0</v>
      </c>
      <c r="V1214">
        <f>VLOOKUP(Table9[[#This Row],[Shortname]], Comp[], 19, FALSE)</f>
        <v>0</v>
      </c>
      <c r="W1214">
        <f>VLOOKUP(Table9[[#This Row],[Shortname]], Comp[], 20, FALSE)</f>
        <v>0</v>
      </c>
      <c r="X1214">
        <f>VLOOKUP(Table9[[#This Row],[Shortname]], Comp[], 21, FALSE)</f>
        <v>0</v>
      </c>
      <c r="Y1214">
        <f>VLOOKUP(Table9[[#This Row],[Shortname]], Comp[], 22, FALSE)</f>
        <v>0</v>
      </c>
      <c r="Z1214">
        <f>VLOOKUP(Table9[[#This Row],[Shortname]], Comp[], 23, FALSE)</f>
        <v>0</v>
      </c>
      <c r="AA1214">
        <f>VLOOKUP(Table9[[#This Row],[Shortname]], Comp[], 24, FALSE)</f>
        <v>0</v>
      </c>
      <c r="AB1214">
        <f>VLOOKUP(Table9[[#This Row],[Shortname]], Comp[], 25, FALSE)</f>
        <v>0</v>
      </c>
      <c r="AC1214">
        <f>VLOOKUP(Table9[[#This Row],[Shortname]], Comp[], 26, FALSE)</f>
        <v>0</v>
      </c>
      <c r="AD1214">
        <f>VLOOKUP(Table9[[#This Row],[Shortname]], Comp[], 27, FALSE)</f>
        <v>0</v>
      </c>
      <c r="AE1214">
        <f>VLOOKUP(Table9[[#This Row],[Shortname]], Comp[], 28, FALSE)</f>
        <v>0</v>
      </c>
      <c r="AF1214">
        <f>VLOOKUP(Table9[[#This Row],[Shortname]], Comp[], 29, FALSE)</f>
        <v>0</v>
      </c>
      <c r="AG1214">
        <f>VLOOKUP(Table9[[#This Row],[Shortname]], Comp[], 30, FALSE)</f>
        <v>0</v>
      </c>
      <c r="AH1214">
        <f>VLOOKUP(Table9[[#This Row],[Shortname]], Comp[], 31, FALSE)</f>
        <v>0</v>
      </c>
    </row>
    <row r="1215" spans="1:34" x14ac:dyDescent="0.3">
      <c r="A1215" t="s">
        <v>6258</v>
      </c>
      <c r="B1215" t="s">
        <v>6259</v>
      </c>
      <c r="C1215" t="s">
        <v>7013</v>
      </c>
      <c r="D1215">
        <v>562</v>
      </c>
      <c r="E1215">
        <v>850</v>
      </c>
      <c r="F1215">
        <v>1E-4</v>
      </c>
      <c r="G1215">
        <v>1</v>
      </c>
      <c r="H1215" t="s">
        <v>6803</v>
      </c>
      <c r="I1215">
        <f>VLOOKUP(Table9[[#This Row],[Shortname]], Comp[], 6, FALSE)</f>
        <v>1034</v>
      </c>
      <c r="J1215" s="14">
        <f>VLOOKUP(Table9[[#This Row],[Shortname]], Comp[], 7, FALSE)</f>
        <v>36.199999999999996</v>
      </c>
      <c r="K1215">
        <f>VLOOKUP(Table9[[#This Row],[Shortname]], Comp[], 8, FALSE)</f>
        <v>36.1</v>
      </c>
      <c r="L1215">
        <f>VLOOKUP(Table9[[#This Row],[Shortname]], Comp[], 9, FALSE)</f>
        <v>13.1</v>
      </c>
      <c r="M1215">
        <f>VLOOKUP(Table9[[#This Row],[Shortname]], Comp[], 10, FALSE)</f>
        <v>7.6</v>
      </c>
      <c r="N1215">
        <f>VLOOKUP(Table9[[#This Row],[Shortname]], Comp[], 11, FALSE)</f>
        <v>3</v>
      </c>
      <c r="O1215">
        <f>VLOOKUP(Table9[[#This Row],[Shortname]], Comp[],12, FALSE)</f>
        <v>3.9</v>
      </c>
      <c r="P1215">
        <f>VLOOKUP(Table9[[#This Row],[Shortname]], Comp[], 13, FALSE)</f>
        <v>0</v>
      </c>
      <c r="Q1215">
        <f>VLOOKUP(Table9[[#This Row],[Shortname]], Comp[], 14, FALSE)</f>
        <v>0</v>
      </c>
      <c r="R1215">
        <f>VLOOKUP(Table9[[#This Row],[Shortname]], Comp[], 15, FALSE)</f>
        <v>0</v>
      </c>
      <c r="S1215">
        <f>VLOOKUP(Table9[[#This Row],[Shortname]], Comp[], 16, FALSE)</f>
        <v>0.1</v>
      </c>
      <c r="T1215">
        <f>VLOOKUP(Table9[[#This Row],[Shortname]], Comp[], 17, FALSE)</f>
        <v>0</v>
      </c>
      <c r="U1215">
        <f>VLOOKUP(Table9[[#This Row],[Shortname]], Comp[], 18, FALSE)</f>
        <v>0</v>
      </c>
      <c r="V1215">
        <f>VLOOKUP(Table9[[#This Row],[Shortname]], Comp[], 19, FALSE)</f>
        <v>0</v>
      </c>
      <c r="W1215">
        <f>VLOOKUP(Table9[[#This Row],[Shortname]], Comp[], 20, FALSE)</f>
        <v>0</v>
      </c>
      <c r="X1215">
        <f>VLOOKUP(Table9[[#This Row],[Shortname]], Comp[], 21, FALSE)</f>
        <v>0</v>
      </c>
      <c r="Y1215">
        <f>VLOOKUP(Table9[[#This Row],[Shortname]], Comp[], 22, FALSE)</f>
        <v>0</v>
      </c>
      <c r="Z1215">
        <f>VLOOKUP(Table9[[#This Row],[Shortname]], Comp[], 23, FALSE)</f>
        <v>0</v>
      </c>
      <c r="AA1215">
        <f>VLOOKUP(Table9[[#This Row],[Shortname]], Comp[], 24, FALSE)</f>
        <v>0</v>
      </c>
      <c r="AB1215">
        <f>VLOOKUP(Table9[[#This Row],[Shortname]], Comp[], 25, FALSE)</f>
        <v>0</v>
      </c>
      <c r="AC1215">
        <f>VLOOKUP(Table9[[#This Row],[Shortname]], Comp[], 26, FALSE)</f>
        <v>0</v>
      </c>
      <c r="AD1215">
        <f>VLOOKUP(Table9[[#This Row],[Shortname]], Comp[], 27, FALSE)</f>
        <v>0</v>
      </c>
      <c r="AE1215">
        <f>VLOOKUP(Table9[[#This Row],[Shortname]], Comp[], 28, FALSE)</f>
        <v>0</v>
      </c>
      <c r="AF1215">
        <f>VLOOKUP(Table9[[#This Row],[Shortname]], Comp[], 29, FALSE)</f>
        <v>0</v>
      </c>
      <c r="AG1215">
        <f>VLOOKUP(Table9[[#This Row],[Shortname]], Comp[], 30, FALSE)</f>
        <v>0</v>
      </c>
      <c r="AH1215">
        <f>VLOOKUP(Table9[[#This Row],[Shortname]], Comp[], 31, FALSE)</f>
        <v>0</v>
      </c>
    </row>
    <row r="1216" spans="1:34" x14ac:dyDescent="0.3">
      <c r="A1216" t="s">
        <v>6258</v>
      </c>
      <c r="B1216" t="s">
        <v>6259</v>
      </c>
      <c r="C1216" t="s">
        <v>7014</v>
      </c>
      <c r="D1216">
        <v>504</v>
      </c>
      <c r="E1216">
        <v>900</v>
      </c>
      <c r="F1216">
        <v>1E-4</v>
      </c>
      <c r="G1216">
        <v>1</v>
      </c>
      <c r="H1216" t="s">
        <v>6803</v>
      </c>
      <c r="I1216">
        <f>VLOOKUP(Table9[[#This Row],[Shortname]], Comp[], 6, FALSE)</f>
        <v>1034</v>
      </c>
      <c r="J1216" s="14">
        <f>VLOOKUP(Table9[[#This Row],[Shortname]], Comp[], 7, FALSE)</f>
        <v>36.199999999999996</v>
      </c>
      <c r="K1216">
        <f>VLOOKUP(Table9[[#This Row],[Shortname]], Comp[], 8, FALSE)</f>
        <v>36.1</v>
      </c>
      <c r="L1216">
        <f>VLOOKUP(Table9[[#This Row],[Shortname]], Comp[], 9, FALSE)</f>
        <v>13.1</v>
      </c>
      <c r="M1216">
        <f>VLOOKUP(Table9[[#This Row],[Shortname]], Comp[], 10, FALSE)</f>
        <v>7.6</v>
      </c>
      <c r="N1216">
        <f>VLOOKUP(Table9[[#This Row],[Shortname]], Comp[], 11, FALSE)</f>
        <v>3</v>
      </c>
      <c r="O1216">
        <f>VLOOKUP(Table9[[#This Row],[Shortname]], Comp[],12, FALSE)</f>
        <v>3.9</v>
      </c>
      <c r="P1216">
        <f>VLOOKUP(Table9[[#This Row],[Shortname]], Comp[], 13, FALSE)</f>
        <v>0</v>
      </c>
      <c r="Q1216">
        <f>VLOOKUP(Table9[[#This Row],[Shortname]], Comp[], 14, FALSE)</f>
        <v>0</v>
      </c>
      <c r="R1216">
        <f>VLOOKUP(Table9[[#This Row],[Shortname]], Comp[], 15, FALSE)</f>
        <v>0</v>
      </c>
      <c r="S1216">
        <f>VLOOKUP(Table9[[#This Row],[Shortname]], Comp[], 16, FALSE)</f>
        <v>0.1</v>
      </c>
      <c r="T1216">
        <f>VLOOKUP(Table9[[#This Row],[Shortname]], Comp[], 17, FALSE)</f>
        <v>0</v>
      </c>
      <c r="U1216">
        <f>VLOOKUP(Table9[[#This Row],[Shortname]], Comp[], 18, FALSE)</f>
        <v>0</v>
      </c>
      <c r="V1216">
        <f>VLOOKUP(Table9[[#This Row],[Shortname]], Comp[], 19, FALSE)</f>
        <v>0</v>
      </c>
      <c r="W1216">
        <f>VLOOKUP(Table9[[#This Row],[Shortname]], Comp[], 20, FALSE)</f>
        <v>0</v>
      </c>
      <c r="X1216">
        <f>VLOOKUP(Table9[[#This Row],[Shortname]], Comp[], 21, FALSE)</f>
        <v>0</v>
      </c>
      <c r="Y1216">
        <f>VLOOKUP(Table9[[#This Row],[Shortname]], Comp[], 22, FALSE)</f>
        <v>0</v>
      </c>
      <c r="Z1216">
        <f>VLOOKUP(Table9[[#This Row],[Shortname]], Comp[], 23, FALSE)</f>
        <v>0</v>
      </c>
      <c r="AA1216">
        <f>VLOOKUP(Table9[[#This Row],[Shortname]], Comp[], 24, FALSE)</f>
        <v>0</v>
      </c>
      <c r="AB1216">
        <f>VLOOKUP(Table9[[#This Row],[Shortname]], Comp[], 25, FALSE)</f>
        <v>0</v>
      </c>
      <c r="AC1216">
        <f>VLOOKUP(Table9[[#This Row],[Shortname]], Comp[], 26, FALSE)</f>
        <v>0</v>
      </c>
      <c r="AD1216">
        <f>VLOOKUP(Table9[[#This Row],[Shortname]], Comp[], 27, FALSE)</f>
        <v>0</v>
      </c>
      <c r="AE1216">
        <f>VLOOKUP(Table9[[#This Row],[Shortname]], Comp[], 28, FALSE)</f>
        <v>0</v>
      </c>
      <c r="AF1216">
        <f>VLOOKUP(Table9[[#This Row],[Shortname]], Comp[], 29, FALSE)</f>
        <v>0</v>
      </c>
      <c r="AG1216">
        <f>VLOOKUP(Table9[[#This Row],[Shortname]], Comp[], 30, FALSE)</f>
        <v>0</v>
      </c>
      <c r="AH1216">
        <f>VLOOKUP(Table9[[#This Row],[Shortname]], Comp[], 31, FALSE)</f>
        <v>0</v>
      </c>
    </row>
    <row r="1217" spans="1:34" x14ac:dyDescent="0.3">
      <c r="A1217" t="s">
        <v>6258</v>
      </c>
      <c r="B1217" t="s">
        <v>6259</v>
      </c>
      <c r="C1217" t="s">
        <v>7015</v>
      </c>
      <c r="D1217">
        <v>242</v>
      </c>
      <c r="E1217">
        <v>1000</v>
      </c>
      <c r="F1217">
        <v>1E-4</v>
      </c>
      <c r="G1217">
        <v>1</v>
      </c>
      <c r="H1217" t="s">
        <v>6803</v>
      </c>
      <c r="I1217">
        <f>VLOOKUP(Table9[[#This Row],[Shortname]], Comp[], 6, FALSE)</f>
        <v>1034</v>
      </c>
      <c r="J1217" s="14">
        <f>VLOOKUP(Table9[[#This Row],[Shortname]], Comp[], 7, FALSE)</f>
        <v>36.199999999999996</v>
      </c>
      <c r="K1217">
        <f>VLOOKUP(Table9[[#This Row],[Shortname]], Comp[], 8, FALSE)</f>
        <v>36.1</v>
      </c>
      <c r="L1217">
        <f>VLOOKUP(Table9[[#This Row],[Shortname]], Comp[], 9, FALSE)</f>
        <v>13.1</v>
      </c>
      <c r="M1217">
        <f>VLOOKUP(Table9[[#This Row],[Shortname]], Comp[], 10, FALSE)</f>
        <v>7.6</v>
      </c>
      <c r="N1217">
        <f>VLOOKUP(Table9[[#This Row],[Shortname]], Comp[], 11, FALSE)</f>
        <v>3</v>
      </c>
      <c r="O1217">
        <f>VLOOKUP(Table9[[#This Row],[Shortname]], Comp[],12, FALSE)</f>
        <v>3.9</v>
      </c>
      <c r="P1217">
        <f>VLOOKUP(Table9[[#This Row],[Shortname]], Comp[], 13, FALSE)</f>
        <v>0</v>
      </c>
      <c r="Q1217">
        <f>VLOOKUP(Table9[[#This Row],[Shortname]], Comp[], 14, FALSE)</f>
        <v>0</v>
      </c>
      <c r="R1217">
        <f>VLOOKUP(Table9[[#This Row],[Shortname]], Comp[], 15, FALSE)</f>
        <v>0</v>
      </c>
      <c r="S1217">
        <f>VLOOKUP(Table9[[#This Row],[Shortname]], Comp[], 16, FALSE)</f>
        <v>0.1</v>
      </c>
      <c r="T1217">
        <f>VLOOKUP(Table9[[#This Row],[Shortname]], Comp[], 17, FALSE)</f>
        <v>0</v>
      </c>
      <c r="U1217">
        <f>VLOOKUP(Table9[[#This Row],[Shortname]], Comp[], 18, FALSE)</f>
        <v>0</v>
      </c>
      <c r="V1217">
        <f>VLOOKUP(Table9[[#This Row],[Shortname]], Comp[], 19, FALSE)</f>
        <v>0</v>
      </c>
      <c r="W1217">
        <f>VLOOKUP(Table9[[#This Row],[Shortname]], Comp[], 20, FALSE)</f>
        <v>0</v>
      </c>
      <c r="X1217">
        <f>VLOOKUP(Table9[[#This Row],[Shortname]], Comp[], 21, FALSE)</f>
        <v>0</v>
      </c>
      <c r="Y1217">
        <f>VLOOKUP(Table9[[#This Row],[Shortname]], Comp[], 22, FALSE)</f>
        <v>0</v>
      </c>
      <c r="Z1217">
        <f>VLOOKUP(Table9[[#This Row],[Shortname]], Comp[], 23, FALSE)</f>
        <v>0</v>
      </c>
      <c r="AA1217">
        <f>VLOOKUP(Table9[[#This Row],[Shortname]], Comp[], 24, FALSE)</f>
        <v>0</v>
      </c>
      <c r="AB1217">
        <f>VLOOKUP(Table9[[#This Row],[Shortname]], Comp[], 25, FALSE)</f>
        <v>0</v>
      </c>
      <c r="AC1217">
        <f>VLOOKUP(Table9[[#This Row],[Shortname]], Comp[], 26, FALSE)</f>
        <v>0</v>
      </c>
      <c r="AD1217">
        <f>VLOOKUP(Table9[[#This Row],[Shortname]], Comp[], 27, FALSE)</f>
        <v>0</v>
      </c>
      <c r="AE1217">
        <f>VLOOKUP(Table9[[#This Row],[Shortname]], Comp[], 28, FALSE)</f>
        <v>0</v>
      </c>
      <c r="AF1217">
        <f>VLOOKUP(Table9[[#This Row],[Shortname]], Comp[], 29, FALSE)</f>
        <v>0</v>
      </c>
      <c r="AG1217">
        <f>VLOOKUP(Table9[[#This Row],[Shortname]], Comp[], 30, FALSE)</f>
        <v>0</v>
      </c>
      <c r="AH1217">
        <f>VLOOKUP(Table9[[#This Row],[Shortname]], Comp[], 31, FALSE)</f>
        <v>0</v>
      </c>
    </row>
    <row r="1218" spans="1:34" x14ac:dyDescent="0.3">
      <c r="A1218" t="s">
        <v>6264</v>
      </c>
      <c r="B1218" t="s">
        <v>6265</v>
      </c>
      <c r="C1218" t="s">
        <v>6266</v>
      </c>
      <c r="D1218">
        <v>704</v>
      </c>
      <c r="E1218">
        <v>25</v>
      </c>
      <c r="F1218">
        <v>1E-4</v>
      </c>
      <c r="G1218">
        <v>1</v>
      </c>
      <c r="H1218" t="s">
        <v>6803</v>
      </c>
      <c r="I1218">
        <f>VLOOKUP(Table9[[#This Row],[Shortname]], Comp[], 6, FALSE)</f>
        <v>1035</v>
      </c>
      <c r="J1218" s="14">
        <f>VLOOKUP(Table9[[#This Row],[Shortname]], Comp[], 7, FALSE)</f>
        <v>36.700000000000003</v>
      </c>
      <c r="K1218">
        <f>VLOOKUP(Table9[[#This Row],[Shortname]], Comp[], 8, FALSE)</f>
        <v>37.299999999999997</v>
      </c>
      <c r="L1218">
        <f>VLOOKUP(Table9[[#This Row],[Shortname]], Comp[], 9, FALSE)</f>
        <v>9.6</v>
      </c>
      <c r="M1218">
        <f>VLOOKUP(Table9[[#This Row],[Shortname]], Comp[], 10, FALSE)</f>
        <v>7.6</v>
      </c>
      <c r="N1218">
        <f>VLOOKUP(Table9[[#This Row],[Shortname]], Comp[], 11, FALSE)</f>
        <v>2.1</v>
      </c>
      <c r="O1218">
        <f>VLOOKUP(Table9[[#This Row],[Shortname]], Comp[],12, FALSE)</f>
        <v>0.8</v>
      </c>
      <c r="P1218">
        <f>VLOOKUP(Table9[[#This Row],[Shortname]], Comp[], 13, FALSE)</f>
        <v>0</v>
      </c>
      <c r="Q1218">
        <f>VLOOKUP(Table9[[#This Row],[Shortname]], Comp[], 14, FALSE)</f>
        <v>0</v>
      </c>
      <c r="R1218">
        <f>VLOOKUP(Table9[[#This Row],[Shortname]], Comp[], 15, FALSE)</f>
        <v>0</v>
      </c>
      <c r="S1218">
        <f>VLOOKUP(Table9[[#This Row],[Shortname]], Comp[], 16, FALSE)</f>
        <v>5.9</v>
      </c>
      <c r="T1218">
        <f>VLOOKUP(Table9[[#This Row],[Shortname]], Comp[], 17, FALSE)</f>
        <v>0</v>
      </c>
      <c r="U1218">
        <f>VLOOKUP(Table9[[#This Row],[Shortname]], Comp[], 18, FALSE)</f>
        <v>0</v>
      </c>
      <c r="V1218">
        <f>VLOOKUP(Table9[[#This Row],[Shortname]], Comp[], 19, FALSE)</f>
        <v>0</v>
      </c>
      <c r="W1218">
        <f>VLOOKUP(Table9[[#This Row],[Shortname]], Comp[], 20, FALSE)</f>
        <v>0</v>
      </c>
      <c r="X1218">
        <f>VLOOKUP(Table9[[#This Row],[Shortname]], Comp[], 21, FALSE)</f>
        <v>0</v>
      </c>
      <c r="Y1218">
        <f>VLOOKUP(Table9[[#This Row],[Shortname]], Comp[], 22, FALSE)</f>
        <v>0</v>
      </c>
      <c r="Z1218">
        <f>VLOOKUP(Table9[[#This Row],[Shortname]], Comp[], 23, FALSE)</f>
        <v>0</v>
      </c>
      <c r="AA1218">
        <f>VLOOKUP(Table9[[#This Row],[Shortname]], Comp[], 24, FALSE)</f>
        <v>0</v>
      </c>
      <c r="AB1218">
        <f>VLOOKUP(Table9[[#This Row],[Shortname]], Comp[], 25, FALSE)</f>
        <v>0</v>
      </c>
      <c r="AC1218">
        <f>VLOOKUP(Table9[[#This Row],[Shortname]], Comp[], 26, FALSE)</f>
        <v>0</v>
      </c>
      <c r="AD1218">
        <f>VLOOKUP(Table9[[#This Row],[Shortname]], Comp[], 27, FALSE)</f>
        <v>0</v>
      </c>
      <c r="AE1218">
        <f>VLOOKUP(Table9[[#This Row],[Shortname]], Comp[], 28, FALSE)</f>
        <v>0</v>
      </c>
      <c r="AF1218">
        <f>VLOOKUP(Table9[[#This Row],[Shortname]], Comp[], 29, FALSE)</f>
        <v>0</v>
      </c>
      <c r="AG1218">
        <f>VLOOKUP(Table9[[#This Row],[Shortname]], Comp[], 30, FALSE)</f>
        <v>0</v>
      </c>
      <c r="AH1218">
        <f>VLOOKUP(Table9[[#This Row],[Shortname]], Comp[], 31, FALSE)</f>
        <v>0</v>
      </c>
    </row>
    <row r="1219" spans="1:34" x14ac:dyDescent="0.3">
      <c r="A1219" t="s">
        <v>6264</v>
      </c>
      <c r="B1219" t="s">
        <v>6265</v>
      </c>
      <c r="C1219" t="s">
        <v>6272</v>
      </c>
      <c r="D1219">
        <v>531</v>
      </c>
      <c r="E1219">
        <v>750</v>
      </c>
      <c r="F1219">
        <v>1E-4</v>
      </c>
      <c r="G1219">
        <v>1</v>
      </c>
      <c r="H1219" t="s">
        <v>6803</v>
      </c>
      <c r="I1219">
        <f>VLOOKUP(Table9[[#This Row],[Shortname]], Comp[], 6, FALSE)</f>
        <v>1035</v>
      </c>
      <c r="J1219" s="14">
        <f>VLOOKUP(Table9[[#This Row],[Shortname]], Comp[], 7, FALSE)</f>
        <v>36.700000000000003</v>
      </c>
      <c r="K1219">
        <f>VLOOKUP(Table9[[#This Row],[Shortname]], Comp[], 8, FALSE)</f>
        <v>37.299999999999997</v>
      </c>
      <c r="L1219">
        <f>VLOOKUP(Table9[[#This Row],[Shortname]], Comp[], 9, FALSE)</f>
        <v>9.6</v>
      </c>
      <c r="M1219">
        <f>VLOOKUP(Table9[[#This Row],[Shortname]], Comp[], 10, FALSE)</f>
        <v>7.6</v>
      </c>
      <c r="N1219">
        <f>VLOOKUP(Table9[[#This Row],[Shortname]], Comp[], 11, FALSE)</f>
        <v>2.1</v>
      </c>
      <c r="O1219">
        <f>VLOOKUP(Table9[[#This Row],[Shortname]], Comp[],12, FALSE)</f>
        <v>0.8</v>
      </c>
      <c r="P1219">
        <f>VLOOKUP(Table9[[#This Row],[Shortname]], Comp[], 13, FALSE)</f>
        <v>0</v>
      </c>
      <c r="Q1219">
        <f>VLOOKUP(Table9[[#This Row],[Shortname]], Comp[], 14, FALSE)</f>
        <v>0</v>
      </c>
      <c r="R1219">
        <f>VLOOKUP(Table9[[#This Row],[Shortname]], Comp[], 15, FALSE)</f>
        <v>0</v>
      </c>
      <c r="S1219">
        <f>VLOOKUP(Table9[[#This Row],[Shortname]], Comp[], 16, FALSE)</f>
        <v>5.9</v>
      </c>
      <c r="T1219">
        <f>VLOOKUP(Table9[[#This Row],[Shortname]], Comp[], 17, FALSE)</f>
        <v>0</v>
      </c>
      <c r="U1219">
        <f>VLOOKUP(Table9[[#This Row],[Shortname]], Comp[], 18, FALSE)</f>
        <v>0</v>
      </c>
      <c r="V1219">
        <f>VLOOKUP(Table9[[#This Row],[Shortname]], Comp[], 19, FALSE)</f>
        <v>0</v>
      </c>
      <c r="W1219">
        <f>VLOOKUP(Table9[[#This Row],[Shortname]], Comp[], 20, FALSE)</f>
        <v>0</v>
      </c>
      <c r="X1219">
        <f>VLOOKUP(Table9[[#This Row],[Shortname]], Comp[], 21, FALSE)</f>
        <v>0</v>
      </c>
      <c r="Y1219">
        <f>VLOOKUP(Table9[[#This Row],[Shortname]], Comp[], 22, FALSE)</f>
        <v>0</v>
      </c>
      <c r="Z1219">
        <f>VLOOKUP(Table9[[#This Row],[Shortname]], Comp[], 23, FALSE)</f>
        <v>0</v>
      </c>
      <c r="AA1219">
        <f>VLOOKUP(Table9[[#This Row],[Shortname]], Comp[], 24, FALSE)</f>
        <v>0</v>
      </c>
      <c r="AB1219">
        <f>VLOOKUP(Table9[[#This Row],[Shortname]], Comp[], 25, FALSE)</f>
        <v>0</v>
      </c>
      <c r="AC1219">
        <f>VLOOKUP(Table9[[#This Row],[Shortname]], Comp[], 26, FALSE)</f>
        <v>0</v>
      </c>
      <c r="AD1219">
        <f>VLOOKUP(Table9[[#This Row],[Shortname]], Comp[], 27, FALSE)</f>
        <v>0</v>
      </c>
      <c r="AE1219">
        <f>VLOOKUP(Table9[[#This Row],[Shortname]], Comp[], 28, FALSE)</f>
        <v>0</v>
      </c>
      <c r="AF1219">
        <f>VLOOKUP(Table9[[#This Row],[Shortname]], Comp[], 29, FALSE)</f>
        <v>0</v>
      </c>
      <c r="AG1219">
        <f>VLOOKUP(Table9[[#This Row],[Shortname]], Comp[], 30, FALSE)</f>
        <v>0</v>
      </c>
      <c r="AH1219">
        <f>VLOOKUP(Table9[[#This Row],[Shortname]], Comp[], 31, FALSE)</f>
        <v>0</v>
      </c>
    </row>
    <row r="1220" spans="1:34" x14ac:dyDescent="0.3">
      <c r="A1220" t="s">
        <v>6264</v>
      </c>
      <c r="B1220" t="s">
        <v>6265</v>
      </c>
      <c r="C1220" t="s">
        <v>7012</v>
      </c>
      <c r="D1220">
        <v>496</v>
      </c>
      <c r="E1220">
        <v>850</v>
      </c>
      <c r="F1220">
        <v>1E-4</v>
      </c>
      <c r="G1220">
        <v>1</v>
      </c>
      <c r="H1220" t="s">
        <v>6803</v>
      </c>
      <c r="I1220">
        <f>VLOOKUP(Table9[[#This Row],[Shortname]], Comp[], 6, FALSE)</f>
        <v>1035</v>
      </c>
      <c r="J1220" s="14">
        <f>VLOOKUP(Table9[[#This Row],[Shortname]], Comp[], 7, FALSE)</f>
        <v>36.700000000000003</v>
      </c>
      <c r="K1220">
        <f>VLOOKUP(Table9[[#This Row],[Shortname]], Comp[], 8, FALSE)</f>
        <v>37.299999999999997</v>
      </c>
      <c r="L1220">
        <f>VLOOKUP(Table9[[#This Row],[Shortname]], Comp[], 9, FALSE)</f>
        <v>9.6</v>
      </c>
      <c r="M1220">
        <f>VLOOKUP(Table9[[#This Row],[Shortname]], Comp[], 10, FALSE)</f>
        <v>7.6</v>
      </c>
      <c r="N1220">
        <f>VLOOKUP(Table9[[#This Row],[Shortname]], Comp[], 11, FALSE)</f>
        <v>2.1</v>
      </c>
      <c r="O1220">
        <f>VLOOKUP(Table9[[#This Row],[Shortname]], Comp[],12, FALSE)</f>
        <v>0.8</v>
      </c>
      <c r="P1220">
        <f>VLOOKUP(Table9[[#This Row],[Shortname]], Comp[], 13, FALSE)</f>
        <v>0</v>
      </c>
      <c r="Q1220">
        <f>VLOOKUP(Table9[[#This Row],[Shortname]], Comp[], 14, FALSE)</f>
        <v>0</v>
      </c>
      <c r="R1220">
        <f>VLOOKUP(Table9[[#This Row],[Shortname]], Comp[], 15, FALSE)</f>
        <v>0</v>
      </c>
      <c r="S1220">
        <f>VLOOKUP(Table9[[#This Row],[Shortname]], Comp[], 16, FALSE)</f>
        <v>5.9</v>
      </c>
      <c r="T1220">
        <f>VLOOKUP(Table9[[#This Row],[Shortname]], Comp[], 17, FALSE)</f>
        <v>0</v>
      </c>
      <c r="U1220">
        <f>VLOOKUP(Table9[[#This Row],[Shortname]], Comp[], 18, FALSE)</f>
        <v>0</v>
      </c>
      <c r="V1220">
        <f>VLOOKUP(Table9[[#This Row],[Shortname]], Comp[], 19, FALSE)</f>
        <v>0</v>
      </c>
      <c r="W1220">
        <f>VLOOKUP(Table9[[#This Row],[Shortname]], Comp[], 20, FALSE)</f>
        <v>0</v>
      </c>
      <c r="X1220">
        <f>VLOOKUP(Table9[[#This Row],[Shortname]], Comp[], 21, FALSE)</f>
        <v>0</v>
      </c>
      <c r="Y1220">
        <f>VLOOKUP(Table9[[#This Row],[Shortname]], Comp[], 22, FALSE)</f>
        <v>0</v>
      </c>
      <c r="Z1220">
        <f>VLOOKUP(Table9[[#This Row],[Shortname]], Comp[], 23, FALSE)</f>
        <v>0</v>
      </c>
      <c r="AA1220">
        <f>VLOOKUP(Table9[[#This Row],[Shortname]], Comp[], 24, FALSE)</f>
        <v>0</v>
      </c>
      <c r="AB1220">
        <f>VLOOKUP(Table9[[#This Row],[Shortname]], Comp[], 25, FALSE)</f>
        <v>0</v>
      </c>
      <c r="AC1220">
        <f>VLOOKUP(Table9[[#This Row],[Shortname]], Comp[], 26, FALSE)</f>
        <v>0</v>
      </c>
      <c r="AD1220">
        <f>VLOOKUP(Table9[[#This Row],[Shortname]], Comp[], 27, FALSE)</f>
        <v>0</v>
      </c>
      <c r="AE1220">
        <f>VLOOKUP(Table9[[#This Row],[Shortname]], Comp[], 28, FALSE)</f>
        <v>0</v>
      </c>
      <c r="AF1220">
        <f>VLOOKUP(Table9[[#This Row],[Shortname]], Comp[], 29, FALSE)</f>
        <v>0</v>
      </c>
      <c r="AG1220">
        <f>VLOOKUP(Table9[[#This Row],[Shortname]], Comp[], 30, FALSE)</f>
        <v>0</v>
      </c>
      <c r="AH1220">
        <f>VLOOKUP(Table9[[#This Row],[Shortname]], Comp[], 31, FALSE)</f>
        <v>0</v>
      </c>
    </row>
    <row r="1221" spans="1:34" x14ac:dyDescent="0.3">
      <c r="A1221" t="s">
        <v>6264</v>
      </c>
      <c r="B1221" t="s">
        <v>6265</v>
      </c>
      <c r="C1221" t="s">
        <v>7013</v>
      </c>
      <c r="D1221">
        <v>427</v>
      </c>
      <c r="E1221">
        <v>900</v>
      </c>
      <c r="F1221">
        <v>1E-4</v>
      </c>
      <c r="G1221">
        <v>1</v>
      </c>
      <c r="H1221" t="s">
        <v>6803</v>
      </c>
      <c r="I1221">
        <f>VLOOKUP(Table9[[#This Row],[Shortname]], Comp[], 6, FALSE)</f>
        <v>1035</v>
      </c>
      <c r="J1221" s="14">
        <f>VLOOKUP(Table9[[#This Row],[Shortname]], Comp[], 7, FALSE)</f>
        <v>36.700000000000003</v>
      </c>
      <c r="K1221">
        <f>VLOOKUP(Table9[[#This Row],[Shortname]], Comp[], 8, FALSE)</f>
        <v>37.299999999999997</v>
      </c>
      <c r="L1221">
        <f>VLOOKUP(Table9[[#This Row],[Shortname]], Comp[], 9, FALSE)</f>
        <v>9.6</v>
      </c>
      <c r="M1221">
        <f>VLOOKUP(Table9[[#This Row],[Shortname]], Comp[], 10, FALSE)</f>
        <v>7.6</v>
      </c>
      <c r="N1221">
        <f>VLOOKUP(Table9[[#This Row],[Shortname]], Comp[], 11, FALSE)</f>
        <v>2.1</v>
      </c>
      <c r="O1221">
        <f>VLOOKUP(Table9[[#This Row],[Shortname]], Comp[],12, FALSE)</f>
        <v>0.8</v>
      </c>
      <c r="P1221">
        <f>VLOOKUP(Table9[[#This Row],[Shortname]], Comp[], 13, FALSE)</f>
        <v>0</v>
      </c>
      <c r="Q1221">
        <f>VLOOKUP(Table9[[#This Row],[Shortname]], Comp[], 14, FALSE)</f>
        <v>0</v>
      </c>
      <c r="R1221">
        <f>VLOOKUP(Table9[[#This Row],[Shortname]], Comp[], 15, FALSE)</f>
        <v>0</v>
      </c>
      <c r="S1221">
        <f>VLOOKUP(Table9[[#This Row],[Shortname]], Comp[], 16, FALSE)</f>
        <v>5.9</v>
      </c>
      <c r="T1221">
        <f>VLOOKUP(Table9[[#This Row],[Shortname]], Comp[], 17, FALSE)</f>
        <v>0</v>
      </c>
      <c r="U1221">
        <f>VLOOKUP(Table9[[#This Row],[Shortname]], Comp[], 18, FALSE)</f>
        <v>0</v>
      </c>
      <c r="V1221">
        <f>VLOOKUP(Table9[[#This Row],[Shortname]], Comp[], 19, FALSE)</f>
        <v>0</v>
      </c>
      <c r="W1221">
        <f>VLOOKUP(Table9[[#This Row],[Shortname]], Comp[], 20, FALSE)</f>
        <v>0</v>
      </c>
      <c r="X1221">
        <f>VLOOKUP(Table9[[#This Row],[Shortname]], Comp[], 21, FALSE)</f>
        <v>0</v>
      </c>
      <c r="Y1221">
        <f>VLOOKUP(Table9[[#This Row],[Shortname]], Comp[], 22, FALSE)</f>
        <v>0</v>
      </c>
      <c r="Z1221">
        <f>VLOOKUP(Table9[[#This Row],[Shortname]], Comp[], 23, FALSE)</f>
        <v>0</v>
      </c>
      <c r="AA1221">
        <f>VLOOKUP(Table9[[#This Row],[Shortname]], Comp[], 24, FALSE)</f>
        <v>0</v>
      </c>
      <c r="AB1221">
        <f>VLOOKUP(Table9[[#This Row],[Shortname]], Comp[], 25, FALSE)</f>
        <v>0</v>
      </c>
      <c r="AC1221">
        <f>VLOOKUP(Table9[[#This Row],[Shortname]], Comp[], 26, FALSE)</f>
        <v>0</v>
      </c>
      <c r="AD1221">
        <f>VLOOKUP(Table9[[#This Row],[Shortname]], Comp[], 27, FALSE)</f>
        <v>0</v>
      </c>
      <c r="AE1221">
        <f>VLOOKUP(Table9[[#This Row],[Shortname]], Comp[], 28, FALSE)</f>
        <v>0</v>
      </c>
      <c r="AF1221">
        <f>VLOOKUP(Table9[[#This Row],[Shortname]], Comp[], 29, FALSE)</f>
        <v>0</v>
      </c>
      <c r="AG1221">
        <f>VLOOKUP(Table9[[#This Row],[Shortname]], Comp[], 30, FALSE)</f>
        <v>0</v>
      </c>
      <c r="AH1221">
        <f>VLOOKUP(Table9[[#This Row],[Shortname]], Comp[], 31, FALSE)</f>
        <v>0</v>
      </c>
    </row>
    <row r="1222" spans="1:34" x14ac:dyDescent="0.3">
      <c r="A1222" t="s">
        <v>6264</v>
      </c>
      <c r="B1222" t="s">
        <v>6265</v>
      </c>
      <c r="C1222" t="s">
        <v>7014</v>
      </c>
      <c r="D1222">
        <v>324</v>
      </c>
      <c r="E1222">
        <v>950</v>
      </c>
      <c r="F1222">
        <v>1E-4</v>
      </c>
      <c r="G1222">
        <v>1</v>
      </c>
      <c r="H1222" t="s">
        <v>6803</v>
      </c>
      <c r="I1222">
        <f>VLOOKUP(Table9[[#This Row],[Shortname]], Comp[], 6, FALSE)</f>
        <v>1035</v>
      </c>
      <c r="J1222" s="14">
        <f>VLOOKUP(Table9[[#This Row],[Shortname]], Comp[], 7, FALSE)</f>
        <v>36.700000000000003</v>
      </c>
      <c r="K1222">
        <f>VLOOKUP(Table9[[#This Row],[Shortname]], Comp[], 8, FALSE)</f>
        <v>37.299999999999997</v>
      </c>
      <c r="L1222">
        <f>VLOOKUP(Table9[[#This Row],[Shortname]], Comp[], 9, FALSE)</f>
        <v>9.6</v>
      </c>
      <c r="M1222">
        <f>VLOOKUP(Table9[[#This Row],[Shortname]], Comp[], 10, FALSE)</f>
        <v>7.6</v>
      </c>
      <c r="N1222">
        <f>VLOOKUP(Table9[[#This Row],[Shortname]], Comp[], 11, FALSE)</f>
        <v>2.1</v>
      </c>
      <c r="O1222">
        <f>VLOOKUP(Table9[[#This Row],[Shortname]], Comp[],12, FALSE)</f>
        <v>0.8</v>
      </c>
      <c r="P1222">
        <f>VLOOKUP(Table9[[#This Row],[Shortname]], Comp[], 13, FALSE)</f>
        <v>0</v>
      </c>
      <c r="Q1222">
        <f>VLOOKUP(Table9[[#This Row],[Shortname]], Comp[], 14, FALSE)</f>
        <v>0</v>
      </c>
      <c r="R1222">
        <f>VLOOKUP(Table9[[#This Row],[Shortname]], Comp[], 15, FALSE)</f>
        <v>0</v>
      </c>
      <c r="S1222">
        <f>VLOOKUP(Table9[[#This Row],[Shortname]], Comp[], 16, FALSE)</f>
        <v>5.9</v>
      </c>
      <c r="T1222">
        <f>VLOOKUP(Table9[[#This Row],[Shortname]], Comp[], 17, FALSE)</f>
        <v>0</v>
      </c>
      <c r="U1222">
        <f>VLOOKUP(Table9[[#This Row],[Shortname]], Comp[], 18, FALSE)</f>
        <v>0</v>
      </c>
      <c r="V1222">
        <f>VLOOKUP(Table9[[#This Row],[Shortname]], Comp[], 19, FALSE)</f>
        <v>0</v>
      </c>
      <c r="W1222">
        <f>VLOOKUP(Table9[[#This Row],[Shortname]], Comp[], 20, FALSE)</f>
        <v>0</v>
      </c>
      <c r="X1222">
        <f>VLOOKUP(Table9[[#This Row],[Shortname]], Comp[], 21, FALSE)</f>
        <v>0</v>
      </c>
      <c r="Y1222">
        <f>VLOOKUP(Table9[[#This Row],[Shortname]], Comp[], 22, FALSE)</f>
        <v>0</v>
      </c>
      <c r="Z1222">
        <f>VLOOKUP(Table9[[#This Row],[Shortname]], Comp[], 23, FALSE)</f>
        <v>0</v>
      </c>
      <c r="AA1222">
        <f>VLOOKUP(Table9[[#This Row],[Shortname]], Comp[], 24, FALSE)</f>
        <v>0</v>
      </c>
      <c r="AB1222">
        <f>VLOOKUP(Table9[[#This Row],[Shortname]], Comp[], 25, FALSE)</f>
        <v>0</v>
      </c>
      <c r="AC1222">
        <f>VLOOKUP(Table9[[#This Row],[Shortname]], Comp[], 26, FALSE)</f>
        <v>0</v>
      </c>
      <c r="AD1222">
        <f>VLOOKUP(Table9[[#This Row],[Shortname]], Comp[], 27, FALSE)</f>
        <v>0</v>
      </c>
      <c r="AE1222">
        <f>VLOOKUP(Table9[[#This Row],[Shortname]], Comp[], 28, FALSE)</f>
        <v>0</v>
      </c>
      <c r="AF1222">
        <f>VLOOKUP(Table9[[#This Row],[Shortname]], Comp[], 29, FALSE)</f>
        <v>0</v>
      </c>
      <c r="AG1222">
        <f>VLOOKUP(Table9[[#This Row],[Shortname]], Comp[], 30, FALSE)</f>
        <v>0</v>
      </c>
      <c r="AH1222">
        <f>VLOOKUP(Table9[[#This Row],[Shortname]], Comp[], 31, FALSE)</f>
        <v>0</v>
      </c>
    </row>
    <row r="1223" spans="1:34" x14ac:dyDescent="0.3">
      <c r="A1223" t="s">
        <v>6264</v>
      </c>
      <c r="B1223" t="s">
        <v>6265</v>
      </c>
      <c r="C1223" t="s">
        <v>7015</v>
      </c>
      <c r="D1223">
        <v>199</v>
      </c>
      <c r="E1223">
        <v>1000</v>
      </c>
      <c r="F1223">
        <v>1E-4</v>
      </c>
      <c r="G1223">
        <v>1</v>
      </c>
      <c r="H1223" t="s">
        <v>6803</v>
      </c>
      <c r="I1223">
        <f>VLOOKUP(Table9[[#This Row],[Shortname]], Comp[], 6, FALSE)</f>
        <v>1035</v>
      </c>
      <c r="J1223" s="14">
        <f>VLOOKUP(Table9[[#This Row],[Shortname]], Comp[], 7, FALSE)</f>
        <v>36.700000000000003</v>
      </c>
      <c r="K1223">
        <f>VLOOKUP(Table9[[#This Row],[Shortname]], Comp[], 8, FALSE)</f>
        <v>37.299999999999997</v>
      </c>
      <c r="L1223">
        <f>VLOOKUP(Table9[[#This Row],[Shortname]], Comp[], 9, FALSE)</f>
        <v>9.6</v>
      </c>
      <c r="M1223">
        <f>VLOOKUP(Table9[[#This Row],[Shortname]], Comp[], 10, FALSE)</f>
        <v>7.6</v>
      </c>
      <c r="N1223">
        <f>VLOOKUP(Table9[[#This Row],[Shortname]], Comp[], 11, FALSE)</f>
        <v>2.1</v>
      </c>
      <c r="O1223">
        <f>VLOOKUP(Table9[[#This Row],[Shortname]], Comp[],12, FALSE)</f>
        <v>0.8</v>
      </c>
      <c r="P1223">
        <f>VLOOKUP(Table9[[#This Row],[Shortname]], Comp[], 13, FALSE)</f>
        <v>0</v>
      </c>
      <c r="Q1223">
        <f>VLOOKUP(Table9[[#This Row],[Shortname]], Comp[], 14, FALSE)</f>
        <v>0</v>
      </c>
      <c r="R1223">
        <f>VLOOKUP(Table9[[#This Row],[Shortname]], Comp[], 15, FALSE)</f>
        <v>0</v>
      </c>
      <c r="S1223">
        <f>VLOOKUP(Table9[[#This Row],[Shortname]], Comp[], 16, FALSE)</f>
        <v>5.9</v>
      </c>
      <c r="T1223">
        <f>VLOOKUP(Table9[[#This Row],[Shortname]], Comp[], 17, FALSE)</f>
        <v>0</v>
      </c>
      <c r="U1223">
        <f>VLOOKUP(Table9[[#This Row],[Shortname]], Comp[], 18, FALSE)</f>
        <v>0</v>
      </c>
      <c r="V1223">
        <f>VLOOKUP(Table9[[#This Row],[Shortname]], Comp[], 19, FALSE)</f>
        <v>0</v>
      </c>
      <c r="W1223">
        <f>VLOOKUP(Table9[[#This Row],[Shortname]], Comp[], 20, FALSE)</f>
        <v>0</v>
      </c>
      <c r="X1223">
        <f>VLOOKUP(Table9[[#This Row],[Shortname]], Comp[], 21, FALSE)</f>
        <v>0</v>
      </c>
      <c r="Y1223">
        <f>VLOOKUP(Table9[[#This Row],[Shortname]], Comp[], 22, FALSE)</f>
        <v>0</v>
      </c>
      <c r="Z1223">
        <f>VLOOKUP(Table9[[#This Row],[Shortname]], Comp[], 23, FALSE)</f>
        <v>0</v>
      </c>
      <c r="AA1223">
        <f>VLOOKUP(Table9[[#This Row],[Shortname]], Comp[], 24, FALSE)</f>
        <v>0</v>
      </c>
      <c r="AB1223">
        <f>VLOOKUP(Table9[[#This Row],[Shortname]], Comp[], 25, FALSE)</f>
        <v>0</v>
      </c>
      <c r="AC1223">
        <f>VLOOKUP(Table9[[#This Row],[Shortname]], Comp[], 26, FALSE)</f>
        <v>0</v>
      </c>
      <c r="AD1223">
        <f>VLOOKUP(Table9[[#This Row],[Shortname]], Comp[], 27, FALSE)</f>
        <v>0</v>
      </c>
      <c r="AE1223">
        <f>VLOOKUP(Table9[[#This Row],[Shortname]], Comp[], 28, FALSE)</f>
        <v>0</v>
      </c>
      <c r="AF1223">
        <f>VLOOKUP(Table9[[#This Row],[Shortname]], Comp[], 29, FALSE)</f>
        <v>0</v>
      </c>
      <c r="AG1223">
        <f>VLOOKUP(Table9[[#This Row],[Shortname]], Comp[], 30, FALSE)</f>
        <v>0</v>
      </c>
      <c r="AH1223">
        <f>VLOOKUP(Table9[[#This Row],[Shortname]], Comp[], 31, FALSE)</f>
        <v>0</v>
      </c>
    </row>
    <row r="1224" spans="1:34" x14ac:dyDescent="0.3">
      <c r="A1224" t="s">
        <v>6270</v>
      </c>
      <c r="B1224" t="s">
        <v>6271</v>
      </c>
      <c r="C1224" t="s">
        <v>6272</v>
      </c>
      <c r="D1224">
        <v>680</v>
      </c>
      <c r="E1224">
        <v>25</v>
      </c>
      <c r="F1224">
        <v>1E-4</v>
      </c>
      <c r="G1224">
        <v>1</v>
      </c>
      <c r="H1224" t="s">
        <v>6803</v>
      </c>
      <c r="I1224">
        <f>VLOOKUP(Table9[[#This Row],[Shortname]], Comp[], 6, FALSE)</f>
        <v>1036</v>
      </c>
      <c r="J1224" s="14">
        <f>VLOOKUP(Table9[[#This Row],[Shortname]], Comp[], 7, FALSE)</f>
        <v>36.5</v>
      </c>
      <c r="K1224">
        <f>VLOOKUP(Table9[[#This Row],[Shortname]], Comp[], 8, FALSE)</f>
        <v>38.299999999999997</v>
      </c>
      <c r="L1224">
        <f>VLOOKUP(Table9[[#This Row],[Shortname]], Comp[], 9, FALSE)</f>
        <v>8.1</v>
      </c>
      <c r="M1224">
        <f>VLOOKUP(Table9[[#This Row],[Shortname]], Comp[], 10, FALSE)</f>
        <v>7.6</v>
      </c>
      <c r="N1224">
        <f>VLOOKUP(Table9[[#This Row],[Shortname]], Comp[], 11, FALSE)</f>
        <v>2.6</v>
      </c>
      <c r="O1224">
        <f>VLOOKUP(Table9[[#This Row],[Shortname]], Comp[],12, FALSE)</f>
        <v>0</v>
      </c>
      <c r="P1224">
        <f>VLOOKUP(Table9[[#This Row],[Shortname]], Comp[], 13, FALSE)</f>
        <v>0</v>
      </c>
      <c r="Q1224">
        <f>VLOOKUP(Table9[[#This Row],[Shortname]], Comp[], 14, FALSE)</f>
        <v>0</v>
      </c>
      <c r="R1224">
        <f>VLOOKUP(Table9[[#This Row],[Shortname]], Comp[], 15, FALSE)</f>
        <v>0</v>
      </c>
      <c r="S1224">
        <f>VLOOKUP(Table9[[#This Row],[Shortname]], Comp[], 16, FALSE)</f>
        <v>6.9</v>
      </c>
      <c r="T1224">
        <f>VLOOKUP(Table9[[#This Row],[Shortname]], Comp[], 17, FALSE)</f>
        <v>0</v>
      </c>
      <c r="U1224">
        <f>VLOOKUP(Table9[[#This Row],[Shortname]], Comp[], 18, FALSE)</f>
        <v>0</v>
      </c>
      <c r="V1224">
        <f>VLOOKUP(Table9[[#This Row],[Shortname]], Comp[], 19, FALSE)</f>
        <v>0</v>
      </c>
      <c r="W1224">
        <f>VLOOKUP(Table9[[#This Row],[Shortname]], Comp[], 20, FALSE)</f>
        <v>0</v>
      </c>
      <c r="X1224">
        <f>VLOOKUP(Table9[[#This Row],[Shortname]], Comp[], 21, FALSE)</f>
        <v>0</v>
      </c>
      <c r="Y1224">
        <f>VLOOKUP(Table9[[#This Row],[Shortname]], Comp[], 22, FALSE)</f>
        <v>0</v>
      </c>
      <c r="Z1224">
        <f>VLOOKUP(Table9[[#This Row],[Shortname]], Comp[], 23, FALSE)</f>
        <v>0</v>
      </c>
      <c r="AA1224">
        <f>VLOOKUP(Table9[[#This Row],[Shortname]], Comp[], 24, FALSE)</f>
        <v>0</v>
      </c>
      <c r="AB1224">
        <f>VLOOKUP(Table9[[#This Row],[Shortname]], Comp[], 25, FALSE)</f>
        <v>0</v>
      </c>
      <c r="AC1224">
        <f>VLOOKUP(Table9[[#This Row],[Shortname]], Comp[], 26, FALSE)</f>
        <v>0</v>
      </c>
      <c r="AD1224">
        <f>VLOOKUP(Table9[[#This Row],[Shortname]], Comp[], 27, FALSE)</f>
        <v>0</v>
      </c>
      <c r="AE1224">
        <f>VLOOKUP(Table9[[#This Row],[Shortname]], Comp[], 28, FALSE)</f>
        <v>0</v>
      </c>
      <c r="AF1224">
        <f>VLOOKUP(Table9[[#This Row],[Shortname]], Comp[], 29, FALSE)</f>
        <v>0</v>
      </c>
      <c r="AG1224">
        <f>VLOOKUP(Table9[[#This Row],[Shortname]], Comp[], 30, FALSE)</f>
        <v>0</v>
      </c>
      <c r="AH1224">
        <f>VLOOKUP(Table9[[#This Row],[Shortname]], Comp[], 31, FALSE)</f>
        <v>0</v>
      </c>
    </row>
    <row r="1225" spans="1:34" x14ac:dyDescent="0.3">
      <c r="A1225" t="s">
        <v>6270</v>
      </c>
      <c r="B1225" t="s">
        <v>6271</v>
      </c>
      <c r="C1225" t="s">
        <v>6272</v>
      </c>
      <c r="D1225">
        <v>463</v>
      </c>
      <c r="E1225">
        <v>750</v>
      </c>
      <c r="F1225">
        <v>1E-4</v>
      </c>
      <c r="G1225">
        <v>1</v>
      </c>
      <c r="H1225" t="s">
        <v>6803</v>
      </c>
      <c r="I1225">
        <f>VLOOKUP(Table9[[#This Row],[Shortname]], Comp[], 6, FALSE)</f>
        <v>1036</v>
      </c>
      <c r="J1225" s="14">
        <f>VLOOKUP(Table9[[#This Row],[Shortname]], Comp[], 7, FALSE)</f>
        <v>36.5</v>
      </c>
      <c r="K1225">
        <f>VLOOKUP(Table9[[#This Row],[Shortname]], Comp[], 8, FALSE)</f>
        <v>38.299999999999997</v>
      </c>
      <c r="L1225">
        <f>VLOOKUP(Table9[[#This Row],[Shortname]], Comp[], 9, FALSE)</f>
        <v>8.1</v>
      </c>
      <c r="M1225">
        <f>VLOOKUP(Table9[[#This Row],[Shortname]], Comp[], 10, FALSE)</f>
        <v>7.6</v>
      </c>
      <c r="N1225">
        <f>VLOOKUP(Table9[[#This Row],[Shortname]], Comp[], 11, FALSE)</f>
        <v>2.6</v>
      </c>
      <c r="O1225">
        <f>VLOOKUP(Table9[[#This Row],[Shortname]], Comp[],12, FALSE)</f>
        <v>0</v>
      </c>
      <c r="P1225">
        <f>VLOOKUP(Table9[[#This Row],[Shortname]], Comp[], 13, FALSE)</f>
        <v>0</v>
      </c>
      <c r="Q1225">
        <f>VLOOKUP(Table9[[#This Row],[Shortname]], Comp[], 14, FALSE)</f>
        <v>0</v>
      </c>
      <c r="R1225">
        <f>VLOOKUP(Table9[[#This Row],[Shortname]], Comp[], 15, FALSE)</f>
        <v>0</v>
      </c>
      <c r="S1225">
        <f>VLOOKUP(Table9[[#This Row],[Shortname]], Comp[], 16, FALSE)</f>
        <v>6.9</v>
      </c>
      <c r="T1225">
        <f>VLOOKUP(Table9[[#This Row],[Shortname]], Comp[], 17, FALSE)</f>
        <v>0</v>
      </c>
      <c r="U1225">
        <f>VLOOKUP(Table9[[#This Row],[Shortname]], Comp[], 18, FALSE)</f>
        <v>0</v>
      </c>
      <c r="V1225">
        <f>VLOOKUP(Table9[[#This Row],[Shortname]], Comp[], 19, FALSE)</f>
        <v>0</v>
      </c>
      <c r="W1225">
        <f>VLOOKUP(Table9[[#This Row],[Shortname]], Comp[], 20, FALSE)</f>
        <v>0</v>
      </c>
      <c r="X1225">
        <f>VLOOKUP(Table9[[#This Row],[Shortname]], Comp[], 21, FALSE)</f>
        <v>0</v>
      </c>
      <c r="Y1225">
        <f>VLOOKUP(Table9[[#This Row],[Shortname]], Comp[], 22, FALSE)</f>
        <v>0</v>
      </c>
      <c r="Z1225">
        <f>VLOOKUP(Table9[[#This Row],[Shortname]], Comp[], 23, FALSE)</f>
        <v>0</v>
      </c>
      <c r="AA1225">
        <f>VLOOKUP(Table9[[#This Row],[Shortname]], Comp[], 24, FALSE)</f>
        <v>0</v>
      </c>
      <c r="AB1225">
        <f>VLOOKUP(Table9[[#This Row],[Shortname]], Comp[], 25, FALSE)</f>
        <v>0</v>
      </c>
      <c r="AC1225">
        <f>VLOOKUP(Table9[[#This Row],[Shortname]], Comp[], 26, FALSE)</f>
        <v>0</v>
      </c>
      <c r="AD1225">
        <f>VLOOKUP(Table9[[#This Row],[Shortname]], Comp[], 27, FALSE)</f>
        <v>0</v>
      </c>
      <c r="AE1225">
        <f>VLOOKUP(Table9[[#This Row],[Shortname]], Comp[], 28, FALSE)</f>
        <v>0</v>
      </c>
      <c r="AF1225">
        <f>VLOOKUP(Table9[[#This Row],[Shortname]], Comp[], 29, FALSE)</f>
        <v>0</v>
      </c>
      <c r="AG1225">
        <f>VLOOKUP(Table9[[#This Row],[Shortname]], Comp[], 30, FALSE)</f>
        <v>0</v>
      </c>
      <c r="AH1225">
        <f>VLOOKUP(Table9[[#This Row],[Shortname]], Comp[], 31, FALSE)</f>
        <v>0</v>
      </c>
    </row>
    <row r="1226" spans="1:34" x14ac:dyDescent="0.3">
      <c r="A1226" t="s">
        <v>6270</v>
      </c>
      <c r="B1226" t="s">
        <v>6271</v>
      </c>
      <c r="C1226" t="s">
        <v>6272</v>
      </c>
      <c r="D1226">
        <v>393</v>
      </c>
      <c r="E1226">
        <v>850</v>
      </c>
      <c r="F1226">
        <v>1E-4</v>
      </c>
      <c r="G1226">
        <v>1</v>
      </c>
      <c r="H1226" t="s">
        <v>6803</v>
      </c>
      <c r="I1226">
        <f>VLOOKUP(Table9[[#This Row],[Shortname]], Comp[], 6, FALSE)</f>
        <v>1036</v>
      </c>
      <c r="J1226" s="14">
        <f>VLOOKUP(Table9[[#This Row],[Shortname]], Comp[], 7, FALSE)</f>
        <v>36.5</v>
      </c>
      <c r="K1226">
        <f>VLOOKUP(Table9[[#This Row],[Shortname]], Comp[], 8, FALSE)</f>
        <v>38.299999999999997</v>
      </c>
      <c r="L1226">
        <f>VLOOKUP(Table9[[#This Row],[Shortname]], Comp[], 9, FALSE)</f>
        <v>8.1</v>
      </c>
      <c r="M1226">
        <f>VLOOKUP(Table9[[#This Row],[Shortname]], Comp[], 10, FALSE)</f>
        <v>7.6</v>
      </c>
      <c r="N1226">
        <f>VLOOKUP(Table9[[#This Row],[Shortname]], Comp[], 11, FALSE)</f>
        <v>2.6</v>
      </c>
      <c r="O1226">
        <f>VLOOKUP(Table9[[#This Row],[Shortname]], Comp[],12, FALSE)</f>
        <v>0</v>
      </c>
      <c r="P1226">
        <f>VLOOKUP(Table9[[#This Row],[Shortname]], Comp[], 13, FALSE)</f>
        <v>0</v>
      </c>
      <c r="Q1226">
        <f>VLOOKUP(Table9[[#This Row],[Shortname]], Comp[], 14, FALSE)</f>
        <v>0</v>
      </c>
      <c r="R1226">
        <f>VLOOKUP(Table9[[#This Row],[Shortname]], Comp[], 15, FALSE)</f>
        <v>0</v>
      </c>
      <c r="S1226">
        <f>VLOOKUP(Table9[[#This Row],[Shortname]], Comp[], 16, FALSE)</f>
        <v>6.9</v>
      </c>
      <c r="T1226">
        <f>VLOOKUP(Table9[[#This Row],[Shortname]], Comp[], 17, FALSE)</f>
        <v>0</v>
      </c>
      <c r="U1226">
        <f>VLOOKUP(Table9[[#This Row],[Shortname]], Comp[], 18, FALSE)</f>
        <v>0</v>
      </c>
      <c r="V1226">
        <f>VLOOKUP(Table9[[#This Row],[Shortname]], Comp[], 19, FALSE)</f>
        <v>0</v>
      </c>
      <c r="W1226">
        <f>VLOOKUP(Table9[[#This Row],[Shortname]], Comp[], 20, FALSE)</f>
        <v>0</v>
      </c>
      <c r="X1226">
        <f>VLOOKUP(Table9[[#This Row],[Shortname]], Comp[], 21, FALSE)</f>
        <v>0</v>
      </c>
      <c r="Y1226">
        <f>VLOOKUP(Table9[[#This Row],[Shortname]], Comp[], 22, FALSE)</f>
        <v>0</v>
      </c>
      <c r="Z1226">
        <f>VLOOKUP(Table9[[#This Row],[Shortname]], Comp[], 23, FALSE)</f>
        <v>0</v>
      </c>
      <c r="AA1226">
        <f>VLOOKUP(Table9[[#This Row],[Shortname]], Comp[], 24, FALSE)</f>
        <v>0</v>
      </c>
      <c r="AB1226">
        <f>VLOOKUP(Table9[[#This Row],[Shortname]], Comp[], 25, FALSE)</f>
        <v>0</v>
      </c>
      <c r="AC1226">
        <f>VLOOKUP(Table9[[#This Row],[Shortname]], Comp[], 26, FALSE)</f>
        <v>0</v>
      </c>
      <c r="AD1226">
        <f>VLOOKUP(Table9[[#This Row],[Shortname]], Comp[], 27, FALSE)</f>
        <v>0</v>
      </c>
      <c r="AE1226">
        <f>VLOOKUP(Table9[[#This Row],[Shortname]], Comp[], 28, FALSE)</f>
        <v>0</v>
      </c>
      <c r="AF1226">
        <f>VLOOKUP(Table9[[#This Row],[Shortname]], Comp[], 29, FALSE)</f>
        <v>0</v>
      </c>
      <c r="AG1226">
        <f>VLOOKUP(Table9[[#This Row],[Shortname]], Comp[], 30, FALSE)</f>
        <v>0</v>
      </c>
      <c r="AH1226">
        <f>VLOOKUP(Table9[[#This Row],[Shortname]], Comp[], 31, FALSE)</f>
        <v>0</v>
      </c>
    </row>
    <row r="1227" spans="1:34" x14ac:dyDescent="0.3">
      <c r="A1227" t="s">
        <v>6270</v>
      </c>
      <c r="B1227" t="s">
        <v>6271</v>
      </c>
      <c r="C1227" t="s">
        <v>6272</v>
      </c>
      <c r="D1227">
        <v>330</v>
      </c>
      <c r="E1227">
        <v>900</v>
      </c>
      <c r="F1227">
        <v>1E-4</v>
      </c>
      <c r="G1227">
        <v>1</v>
      </c>
      <c r="H1227" t="s">
        <v>6803</v>
      </c>
      <c r="I1227">
        <f>VLOOKUP(Table9[[#This Row],[Shortname]], Comp[], 6, FALSE)</f>
        <v>1036</v>
      </c>
      <c r="J1227" s="14">
        <f>VLOOKUP(Table9[[#This Row],[Shortname]], Comp[], 7, FALSE)</f>
        <v>36.5</v>
      </c>
      <c r="K1227">
        <f>VLOOKUP(Table9[[#This Row],[Shortname]], Comp[], 8, FALSE)</f>
        <v>38.299999999999997</v>
      </c>
      <c r="L1227">
        <f>VLOOKUP(Table9[[#This Row],[Shortname]], Comp[], 9, FALSE)</f>
        <v>8.1</v>
      </c>
      <c r="M1227">
        <f>VLOOKUP(Table9[[#This Row],[Shortname]], Comp[], 10, FALSE)</f>
        <v>7.6</v>
      </c>
      <c r="N1227">
        <f>VLOOKUP(Table9[[#This Row],[Shortname]], Comp[], 11, FALSE)</f>
        <v>2.6</v>
      </c>
      <c r="O1227">
        <f>VLOOKUP(Table9[[#This Row],[Shortname]], Comp[],12, FALSE)</f>
        <v>0</v>
      </c>
      <c r="P1227">
        <f>VLOOKUP(Table9[[#This Row],[Shortname]], Comp[], 13, FALSE)</f>
        <v>0</v>
      </c>
      <c r="Q1227">
        <f>VLOOKUP(Table9[[#This Row],[Shortname]], Comp[], 14, FALSE)</f>
        <v>0</v>
      </c>
      <c r="R1227">
        <f>VLOOKUP(Table9[[#This Row],[Shortname]], Comp[], 15, FALSE)</f>
        <v>0</v>
      </c>
      <c r="S1227">
        <f>VLOOKUP(Table9[[#This Row],[Shortname]], Comp[], 16, FALSE)</f>
        <v>6.9</v>
      </c>
      <c r="T1227">
        <f>VLOOKUP(Table9[[#This Row],[Shortname]], Comp[], 17, FALSE)</f>
        <v>0</v>
      </c>
      <c r="U1227">
        <f>VLOOKUP(Table9[[#This Row],[Shortname]], Comp[], 18, FALSE)</f>
        <v>0</v>
      </c>
      <c r="V1227">
        <f>VLOOKUP(Table9[[#This Row],[Shortname]], Comp[], 19, FALSE)</f>
        <v>0</v>
      </c>
      <c r="W1227">
        <f>VLOOKUP(Table9[[#This Row],[Shortname]], Comp[], 20, FALSE)</f>
        <v>0</v>
      </c>
      <c r="X1227">
        <f>VLOOKUP(Table9[[#This Row],[Shortname]], Comp[], 21, FALSE)</f>
        <v>0</v>
      </c>
      <c r="Y1227">
        <f>VLOOKUP(Table9[[#This Row],[Shortname]], Comp[], 22, FALSE)</f>
        <v>0</v>
      </c>
      <c r="Z1227">
        <f>VLOOKUP(Table9[[#This Row],[Shortname]], Comp[], 23, FALSE)</f>
        <v>0</v>
      </c>
      <c r="AA1227">
        <f>VLOOKUP(Table9[[#This Row],[Shortname]], Comp[], 24, FALSE)</f>
        <v>0</v>
      </c>
      <c r="AB1227">
        <f>VLOOKUP(Table9[[#This Row],[Shortname]], Comp[], 25, FALSE)</f>
        <v>0</v>
      </c>
      <c r="AC1227">
        <f>VLOOKUP(Table9[[#This Row],[Shortname]], Comp[], 26, FALSE)</f>
        <v>0</v>
      </c>
      <c r="AD1227">
        <f>VLOOKUP(Table9[[#This Row],[Shortname]], Comp[], 27, FALSE)</f>
        <v>0</v>
      </c>
      <c r="AE1227">
        <f>VLOOKUP(Table9[[#This Row],[Shortname]], Comp[], 28, FALSE)</f>
        <v>0</v>
      </c>
      <c r="AF1227">
        <f>VLOOKUP(Table9[[#This Row],[Shortname]], Comp[], 29, FALSE)</f>
        <v>0</v>
      </c>
      <c r="AG1227">
        <f>VLOOKUP(Table9[[#This Row],[Shortname]], Comp[], 30, FALSE)</f>
        <v>0</v>
      </c>
      <c r="AH1227">
        <f>VLOOKUP(Table9[[#This Row],[Shortname]], Comp[], 31, FALSE)</f>
        <v>0</v>
      </c>
    </row>
    <row r="1228" spans="1:34" x14ac:dyDescent="0.3">
      <c r="A1228" t="s">
        <v>6270</v>
      </c>
      <c r="B1228" t="s">
        <v>6271</v>
      </c>
      <c r="C1228" t="s">
        <v>6272</v>
      </c>
      <c r="D1228">
        <v>254</v>
      </c>
      <c r="E1228">
        <v>950</v>
      </c>
      <c r="F1228">
        <v>1E-4</v>
      </c>
      <c r="G1228">
        <v>1</v>
      </c>
      <c r="H1228" t="s">
        <v>6803</v>
      </c>
      <c r="I1228">
        <f>VLOOKUP(Table9[[#This Row],[Shortname]], Comp[], 6, FALSE)</f>
        <v>1036</v>
      </c>
      <c r="J1228" s="14">
        <f>VLOOKUP(Table9[[#This Row],[Shortname]], Comp[], 7, FALSE)</f>
        <v>36.5</v>
      </c>
      <c r="K1228">
        <f>VLOOKUP(Table9[[#This Row],[Shortname]], Comp[], 8, FALSE)</f>
        <v>38.299999999999997</v>
      </c>
      <c r="L1228">
        <f>VLOOKUP(Table9[[#This Row],[Shortname]], Comp[], 9, FALSE)</f>
        <v>8.1</v>
      </c>
      <c r="M1228">
        <f>VLOOKUP(Table9[[#This Row],[Shortname]], Comp[], 10, FALSE)</f>
        <v>7.6</v>
      </c>
      <c r="N1228">
        <f>VLOOKUP(Table9[[#This Row],[Shortname]], Comp[], 11, FALSE)</f>
        <v>2.6</v>
      </c>
      <c r="O1228">
        <f>VLOOKUP(Table9[[#This Row],[Shortname]], Comp[],12, FALSE)</f>
        <v>0</v>
      </c>
      <c r="P1228">
        <f>VLOOKUP(Table9[[#This Row],[Shortname]], Comp[], 13, FALSE)</f>
        <v>0</v>
      </c>
      <c r="Q1228">
        <f>VLOOKUP(Table9[[#This Row],[Shortname]], Comp[], 14, FALSE)</f>
        <v>0</v>
      </c>
      <c r="R1228">
        <f>VLOOKUP(Table9[[#This Row],[Shortname]], Comp[], 15, FALSE)</f>
        <v>0</v>
      </c>
      <c r="S1228">
        <f>VLOOKUP(Table9[[#This Row],[Shortname]], Comp[], 16, FALSE)</f>
        <v>6.9</v>
      </c>
      <c r="T1228">
        <f>VLOOKUP(Table9[[#This Row],[Shortname]], Comp[], 17, FALSE)</f>
        <v>0</v>
      </c>
      <c r="U1228">
        <f>VLOOKUP(Table9[[#This Row],[Shortname]], Comp[], 18, FALSE)</f>
        <v>0</v>
      </c>
      <c r="V1228">
        <f>VLOOKUP(Table9[[#This Row],[Shortname]], Comp[], 19, FALSE)</f>
        <v>0</v>
      </c>
      <c r="W1228">
        <f>VLOOKUP(Table9[[#This Row],[Shortname]], Comp[], 20, FALSE)</f>
        <v>0</v>
      </c>
      <c r="X1228">
        <f>VLOOKUP(Table9[[#This Row],[Shortname]], Comp[], 21, FALSE)</f>
        <v>0</v>
      </c>
      <c r="Y1228">
        <f>VLOOKUP(Table9[[#This Row],[Shortname]], Comp[], 22, FALSE)</f>
        <v>0</v>
      </c>
      <c r="Z1228">
        <f>VLOOKUP(Table9[[#This Row],[Shortname]], Comp[], 23, FALSE)</f>
        <v>0</v>
      </c>
      <c r="AA1228">
        <f>VLOOKUP(Table9[[#This Row],[Shortname]], Comp[], 24, FALSE)</f>
        <v>0</v>
      </c>
      <c r="AB1228">
        <f>VLOOKUP(Table9[[#This Row],[Shortname]], Comp[], 25, FALSE)</f>
        <v>0</v>
      </c>
      <c r="AC1228">
        <f>VLOOKUP(Table9[[#This Row],[Shortname]], Comp[], 26, FALSE)</f>
        <v>0</v>
      </c>
      <c r="AD1228">
        <f>VLOOKUP(Table9[[#This Row],[Shortname]], Comp[], 27, FALSE)</f>
        <v>0</v>
      </c>
      <c r="AE1228">
        <f>VLOOKUP(Table9[[#This Row],[Shortname]], Comp[], 28, FALSE)</f>
        <v>0</v>
      </c>
      <c r="AF1228">
        <f>VLOOKUP(Table9[[#This Row],[Shortname]], Comp[], 29, FALSE)</f>
        <v>0</v>
      </c>
      <c r="AG1228">
        <f>VLOOKUP(Table9[[#This Row],[Shortname]], Comp[], 30, FALSE)</f>
        <v>0</v>
      </c>
      <c r="AH1228">
        <f>VLOOKUP(Table9[[#This Row],[Shortname]], Comp[], 31, FALSE)</f>
        <v>0</v>
      </c>
    </row>
    <row r="1229" spans="1:34" x14ac:dyDescent="0.3">
      <c r="A1229" t="s">
        <v>6270</v>
      </c>
      <c r="B1229" t="s">
        <v>6271</v>
      </c>
      <c r="C1229" t="s">
        <v>6272</v>
      </c>
      <c r="D1229">
        <v>95</v>
      </c>
      <c r="E1229">
        <v>1000</v>
      </c>
      <c r="F1229">
        <v>1E-4</v>
      </c>
      <c r="G1229">
        <v>1</v>
      </c>
      <c r="H1229" t="s">
        <v>6803</v>
      </c>
      <c r="I1229">
        <f>VLOOKUP(Table9[[#This Row],[Shortname]], Comp[], 6, FALSE)</f>
        <v>1036</v>
      </c>
      <c r="J1229" s="14">
        <f>VLOOKUP(Table9[[#This Row],[Shortname]], Comp[], 7, FALSE)</f>
        <v>36.5</v>
      </c>
      <c r="K1229">
        <f>VLOOKUP(Table9[[#This Row],[Shortname]], Comp[], 8, FALSE)</f>
        <v>38.299999999999997</v>
      </c>
      <c r="L1229">
        <f>VLOOKUP(Table9[[#This Row],[Shortname]], Comp[], 9, FALSE)</f>
        <v>8.1</v>
      </c>
      <c r="M1229">
        <f>VLOOKUP(Table9[[#This Row],[Shortname]], Comp[], 10, FALSE)</f>
        <v>7.6</v>
      </c>
      <c r="N1229">
        <f>VLOOKUP(Table9[[#This Row],[Shortname]], Comp[], 11, FALSE)</f>
        <v>2.6</v>
      </c>
      <c r="O1229">
        <f>VLOOKUP(Table9[[#This Row],[Shortname]], Comp[],12, FALSE)</f>
        <v>0</v>
      </c>
      <c r="P1229">
        <f>VLOOKUP(Table9[[#This Row],[Shortname]], Comp[], 13, FALSE)</f>
        <v>0</v>
      </c>
      <c r="Q1229">
        <f>VLOOKUP(Table9[[#This Row],[Shortname]], Comp[], 14, FALSE)</f>
        <v>0</v>
      </c>
      <c r="R1229">
        <f>VLOOKUP(Table9[[#This Row],[Shortname]], Comp[], 15, FALSE)</f>
        <v>0</v>
      </c>
      <c r="S1229">
        <f>VLOOKUP(Table9[[#This Row],[Shortname]], Comp[], 16, FALSE)</f>
        <v>6.9</v>
      </c>
      <c r="T1229">
        <f>VLOOKUP(Table9[[#This Row],[Shortname]], Comp[], 17, FALSE)</f>
        <v>0</v>
      </c>
      <c r="U1229">
        <f>VLOOKUP(Table9[[#This Row],[Shortname]], Comp[], 18, FALSE)</f>
        <v>0</v>
      </c>
      <c r="V1229">
        <f>VLOOKUP(Table9[[#This Row],[Shortname]], Comp[], 19, FALSE)</f>
        <v>0</v>
      </c>
      <c r="W1229">
        <f>VLOOKUP(Table9[[#This Row],[Shortname]], Comp[], 20, FALSE)</f>
        <v>0</v>
      </c>
      <c r="X1229">
        <f>VLOOKUP(Table9[[#This Row],[Shortname]], Comp[], 21, FALSE)</f>
        <v>0</v>
      </c>
      <c r="Y1229">
        <f>VLOOKUP(Table9[[#This Row],[Shortname]], Comp[], 22, FALSE)</f>
        <v>0</v>
      </c>
      <c r="Z1229">
        <f>VLOOKUP(Table9[[#This Row],[Shortname]], Comp[], 23, FALSE)</f>
        <v>0</v>
      </c>
      <c r="AA1229">
        <f>VLOOKUP(Table9[[#This Row],[Shortname]], Comp[], 24, FALSE)</f>
        <v>0</v>
      </c>
      <c r="AB1229">
        <f>VLOOKUP(Table9[[#This Row],[Shortname]], Comp[], 25, FALSE)</f>
        <v>0</v>
      </c>
      <c r="AC1229">
        <f>VLOOKUP(Table9[[#This Row],[Shortname]], Comp[], 26, FALSE)</f>
        <v>0</v>
      </c>
      <c r="AD1229">
        <f>VLOOKUP(Table9[[#This Row],[Shortname]], Comp[], 27, FALSE)</f>
        <v>0</v>
      </c>
      <c r="AE1229">
        <f>VLOOKUP(Table9[[#This Row],[Shortname]], Comp[], 28, FALSE)</f>
        <v>0</v>
      </c>
      <c r="AF1229">
        <f>VLOOKUP(Table9[[#This Row],[Shortname]], Comp[], 29, FALSE)</f>
        <v>0</v>
      </c>
      <c r="AG1229">
        <f>VLOOKUP(Table9[[#This Row],[Shortname]], Comp[], 30, FALSE)</f>
        <v>0</v>
      </c>
      <c r="AH1229">
        <f>VLOOKUP(Table9[[#This Row],[Shortname]], Comp[], 31, FALSE)</f>
        <v>0</v>
      </c>
    </row>
    <row r="1230" spans="1:34" x14ac:dyDescent="0.3">
      <c r="A1230" t="s">
        <v>6276</v>
      </c>
      <c r="B1230" t="s">
        <v>6277</v>
      </c>
      <c r="C1230" t="s">
        <v>6278</v>
      </c>
      <c r="D1230">
        <v>650</v>
      </c>
      <c r="E1230">
        <v>25</v>
      </c>
      <c r="F1230">
        <v>1.1904761904761906E-4</v>
      </c>
      <c r="G1230">
        <v>-1</v>
      </c>
      <c r="H1230" t="s">
        <v>7016</v>
      </c>
      <c r="I1230">
        <f>VLOOKUP(Table9[[#This Row],[Shortname]], Comp[], 6, FALSE)</f>
        <v>1037</v>
      </c>
      <c r="J1230" s="14">
        <f>VLOOKUP(Table9[[#This Row],[Shortname]], Comp[], 7, FALSE)</f>
        <v>59.000000000000007</v>
      </c>
      <c r="K1230">
        <f>VLOOKUP(Table9[[#This Row],[Shortname]], Comp[], 8, FALSE)</f>
        <v>16.8</v>
      </c>
      <c r="L1230">
        <f>VLOOKUP(Table9[[#This Row],[Shortname]], Comp[], 9, FALSE)</f>
        <v>9.6999999999999993</v>
      </c>
      <c r="M1230">
        <f>VLOOKUP(Table9[[#This Row],[Shortname]], Comp[], 10, FALSE)</f>
        <v>6.3</v>
      </c>
      <c r="N1230">
        <f>VLOOKUP(Table9[[#This Row],[Shortname]], Comp[], 11, FALSE)</f>
        <v>5.3</v>
      </c>
      <c r="O1230">
        <f>VLOOKUP(Table9[[#This Row],[Shortname]], Comp[],12, FALSE)</f>
        <v>0</v>
      </c>
      <c r="P1230">
        <f>VLOOKUP(Table9[[#This Row],[Shortname]], Comp[], 13, FALSE)</f>
        <v>2.9</v>
      </c>
      <c r="Q1230">
        <f>VLOOKUP(Table9[[#This Row],[Shortname]], Comp[], 14, FALSE)</f>
        <v>0</v>
      </c>
      <c r="R1230">
        <f>VLOOKUP(Table9[[#This Row],[Shortname]], Comp[], 15, FALSE)</f>
        <v>0</v>
      </c>
      <c r="S1230">
        <f>VLOOKUP(Table9[[#This Row],[Shortname]], Comp[], 16, FALSE)</f>
        <v>0</v>
      </c>
      <c r="T1230">
        <f>VLOOKUP(Table9[[#This Row],[Shortname]], Comp[], 17, FALSE)</f>
        <v>0</v>
      </c>
      <c r="U1230">
        <f>VLOOKUP(Table9[[#This Row],[Shortname]], Comp[], 18, FALSE)</f>
        <v>0</v>
      </c>
      <c r="V1230">
        <f>VLOOKUP(Table9[[#This Row],[Shortname]], Comp[], 19, FALSE)</f>
        <v>0</v>
      </c>
      <c r="W1230">
        <f>VLOOKUP(Table9[[#This Row],[Shortname]], Comp[], 20, FALSE)</f>
        <v>0</v>
      </c>
      <c r="X1230">
        <f>VLOOKUP(Table9[[#This Row],[Shortname]], Comp[], 21, FALSE)</f>
        <v>0</v>
      </c>
      <c r="Y1230">
        <f>VLOOKUP(Table9[[#This Row],[Shortname]], Comp[], 22, FALSE)</f>
        <v>0</v>
      </c>
      <c r="Z1230">
        <f>VLOOKUP(Table9[[#This Row],[Shortname]], Comp[], 23, FALSE)</f>
        <v>0</v>
      </c>
      <c r="AA1230">
        <f>VLOOKUP(Table9[[#This Row],[Shortname]], Comp[], 24, FALSE)</f>
        <v>0</v>
      </c>
      <c r="AB1230">
        <f>VLOOKUP(Table9[[#This Row],[Shortname]], Comp[], 25, FALSE)</f>
        <v>0</v>
      </c>
      <c r="AC1230">
        <f>VLOOKUP(Table9[[#This Row],[Shortname]], Comp[], 26, FALSE)</f>
        <v>0</v>
      </c>
      <c r="AD1230">
        <f>VLOOKUP(Table9[[#This Row],[Shortname]], Comp[], 27, FALSE)</f>
        <v>0</v>
      </c>
      <c r="AE1230">
        <f>VLOOKUP(Table9[[#This Row],[Shortname]], Comp[], 28, FALSE)</f>
        <v>0</v>
      </c>
      <c r="AF1230">
        <f>VLOOKUP(Table9[[#This Row],[Shortname]], Comp[], 29, FALSE)</f>
        <v>0</v>
      </c>
      <c r="AG1230">
        <f>VLOOKUP(Table9[[#This Row],[Shortname]], Comp[], 30, FALSE)</f>
        <v>0</v>
      </c>
      <c r="AH1230">
        <f>VLOOKUP(Table9[[#This Row],[Shortname]], Comp[], 31, FALSE)</f>
        <v>0</v>
      </c>
    </row>
    <row r="1231" spans="1:34" x14ac:dyDescent="0.3">
      <c r="A1231" t="s">
        <v>6276</v>
      </c>
      <c r="B1231" t="s">
        <v>6277</v>
      </c>
      <c r="C1231" t="s">
        <v>6278</v>
      </c>
      <c r="D1231">
        <v>540</v>
      </c>
      <c r="E1231">
        <v>600</v>
      </c>
      <c r="F1231">
        <v>1.1904761904761906E-4</v>
      </c>
      <c r="G1231">
        <v>-1</v>
      </c>
      <c r="H1231" t="s">
        <v>7016</v>
      </c>
      <c r="I1231">
        <f>VLOOKUP(Table9[[#This Row],[Shortname]], Comp[], 6, FALSE)</f>
        <v>1037</v>
      </c>
      <c r="J1231" s="14">
        <f>VLOOKUP(Table9[[#This Row],[Shortname]], Comp[], 7, FALSE)</f>
        <v>59.000000000000007</v>
      </c>
      <c r="K1231">
        <f>VLOOKUP(Table9[[#This Row],[Shortname]], Comp[], 8, FALSE)</f>
        <v>16.8</v>
      </c>
      <c r="L1231">
        <f>VLOOKUP(Table9[[#This Row],[Shortname]], Comp[], 9, FALSE)</f>
        <v>9.6999999999999993</v>
      </c>
      <c r="M1231">
        <f>VLOOKUP(Table9[[#This Row],[Shortname]], Comp[], 10, FALSE)</f>
        <v>6.3</v>
      </c>
      <c r="N1231">
        <f>VLOOKUP(Table9[[#This Row],[Shortname]], Comp[], 11, FALSE)</f>
        <v>5.3</v>
      </c>
      <c r="O1231">
        <f>VLOOKUP(Table9[[#This Row],[Shortname]], Comp[],12, FALSE)</f>
        <v>0</v>
      </c>
      <c r="P1231">
        <f>VLOOKUP(Table9[[#This Row],[Shortname]], Comp[], 13, FALSE)</f>
        <v>2.9</v>
      </c>
      <c r="Q1231">
        <f>VLOOKUP(Table9[[#This Row],[Shortname]], Comp[], 14, FALSE)</f>
        <v>0</v>
      </c>
      <c r="R1231">
        <f>VLOOKUP(Table9[[#This Row],[Shortname]], Comp[], 15, FALSE)</f>
        <v>0</v>
      </c>
      <c r="S1231">
        <f>VLOOKUP(Table9[[#This Row],[Shortname]], Comp[], 16, FALSE)</f>
        <v>0</v>
      </c>
      <c r="T1231">
        <f>VLOOKUP(Table9[[#This Row],[Shortname]], Comp[], 17, FALSE)</f>
        <v>0</v>
      </c>
      <c r="U1231">
        <f>VLOOKUP(Table9[[#This Row],[Shortname]], Comp[], 18, FALSE)</f>
        <v>0</v>
      </c>
      <c r="V1231">
        <f>VLOOKUP(Table9[[#This Row],[Shortname]], Comp[], 19, FALSE)</f>
        <v>0</v>
      </c>
      <c r="W1231">
        <f>VLOOKUP(Table9[[#This Row],[Shortname]], Comp[], 20, FALSE)</f>
        <v>0</v>
      </c>
      <c r="X1231">
        <f>VLOOKUP(Table9[[#This Row],[Shortname]], Comp[], 21, FALSE)</f>
        <v>0</v>
      </c>
      <c r="Y1231">
        <f>VLOOKUP(Table9[[#This Row],[Shortname]], Comp[], 22, FALSE)</f>
        <v>0</v>
      </c>
      <c r="Z1231">
        <f>VLOOKUP(Table9[[#This Row],[Shortname]], Comp[], 23, FALSE)</f>
        <v>0</v>
      </c>
      <c r="AA1231">
        <f>VLOOKUP(Table9[[#This Row],[Shortname]], Comp[], 24, FALSE)</f>
        <v>0</v>
      </c>
      <c r="AB1231">
        <f>VLOOKUP(Table9[[#This Row],[Shortname]], Comp[], 25, FALSE)</f>
        <v>0</v>
      </c>
      <c r="AC1231">
        <f>VLOOKUP(Table9[[#This Row],[Shortname]], Comp[], 26, FALSE)</f>
        <v>0</v>
      </c>
      <c r="AD1231">
        <f>VLOOKUP(Table9[[#This Row],[Shortname]], Comp[], 27, FALSE)</f>
        <v>0</v>
      </c>
      <c r="AE1231">
        <f>VLOOKUP(Table9[[#This Row],[Shortname]], Comp[], 28, FALSE)</f>
        <v>0</v>
      </c>
      <c r="AF1231">
        <f>VLOOKUP(Table9[[#This Row],[Shortname]], Comp[], 29, FALSE)</f>
        <v>0</v>
      </c>
      <c r="AG1231">
        <f>VLOOKUP(Table9[[#This Row],[Shortname]], Comp[], 30, FALSE)</f>
        <v>0</v>
      </c>
      <c r="AH1231">
        <f>VLOOKUP(Table9[[#This Row],[Shortname]], Comp[], 31, FALSE)</f>
        <v>0</v>
      </c>
    </row>
    <row r="1232" spans="1:34" x14ac:dyDescent="0.3">
      <c r="A1232" t="s">
        <v>6276</v>
      </c>
      <c r="B1232" t="s">
        <v>6277</v>
      </c>
      <c r="C1232" t="s">
        <v>6278</v>
      </c>
      <c r="D1232">
        <v>562</v>
      </c>
      <c r="E1232">
        <v>800</v>
      </c>
      <c r="F1232">
        <v>1.1904761904761906E-4</v>
      </c>
      <c r="G1232">
        <v>-1</v>
      </c>
      <c r="H1232" t="s">
        <v>7016</v>
      </c>
      <c r="I1232">
        <f>VLOOKUP(Table9[[#This Row],[Shortname]], Comp[], 6, FALSE)</f>
        <v>1037</v>
      </c>
      <c r="J1232" s="14">
        <f>VLOOKUP(Table9[[#This Row],[Shortname]], Comp[], 7, FALSE)</f>
        <v>59.000000000000007</v>
      </c>
      <c r="K1232">
        <f>VLOOKUP(Table9[[#This Row],[Shortname]], Comp[], 8, FALSE)</f>
        <v>16.8</v>
      </c>
      <c r="L1232">
        <f>VLOOKUP(Table9[[#This Row],[Shortname]], Comp[], 9, FALSE)</f>
        <v>9.6999999999999993</v>
      </c>
      <c r="M1232">
        <f>VLOOKUP(Table9[[#This Row],[Shortname]], Comp[], 10, FALSE)</f>
        <v>6.3</v>
      </c>
      <c r="N1232">
        <f>VLOOKUP(Table9[[#This Row],[Shortname]], Comp[], 11, FALSE)</f>
        <v>5.3</v>
      </c>
      <c r="O1232">
        <f>VLOOKUP(Table9[[#This Row],[Shortname]], Comp[],12, FALSE)</f>
        <v>0</v>
      </c>
      <c r="P1232">
        <f>VLOOKUP(Table9[[#This Row],[Shortname]], Comp[], 13, FALSE)</f>
        <v>2.9</v>
      </c>
      <c r="Q1232">
        <f>VLOOKUP(Table9[[#This Row],[Shortname]], Comp[], 14, FALSE)</f>
        <v>0</v>
      </c>
      <c r="R1232">
        <f>VLOOKUP(Table9[[#This Row],[Shortname]], Comp[], 15, FALSE)</f>
        <v>0</v>
      </c>
      <c r="S1232">
        <f>VLOOKUP(Table9[[#This Row],[Shortname]], Comp[], 16, FALSE)</f>
        <v>0</v>
      </c>
      <c r="T1232">
        <f>VLOOKUP(Table9[[#This Row],[Shortname]], Comp[], 17, FALSE)</f>
        <v>0</v>
      </c>
      <c r="U1232">
        <f>VLOOKUP(Table9[[#This Row],[Shortname]], Comp[], 18, FALSE)</f>
        <v>0</v>
      </c>
      <c r="V1232">
        <f>VLOOKUP(Table9[[#This Row],[Shortname]], Comp[], 19, FALSE)</f>
        <v>0</v>
      </c>
      <c r="W1232">
        <f>VLOOKUP(Table9[[#This Row],[Shortname]], Comp[], 20, FALSE)</f>
        <v>0</v>
      </c>
      <c r="X1232">
        <f>VLOOKUP(Table9[[#This Row],[Shortname]], Comp[], 21, FALSE)</f>
        <v>0</v>
      </c>
      <c r="Y1232">
        <f>VLOOKUP(Table9[[#This Row],[Shortname]], Comp[], 22, FALSE)</f>
        <v>0</v>
      </c>
      <c r="Z1232">
        <f>VLOOKUP(Table9[[#This Row],[Shortname]], Comp[], 23, FALSE)</f>
        <v>0</v>
      </c>
      <c r="AA1232">
        <f>VLOOKUP(Table9[[#This Row],[Shortname]], Comp[], 24, FALSE)</f>
        <v>0</v>
      </c>
      <c r="AB1232">
        <f>VLOOKUP(Table9[[#This Row],[Shortname]], Comp[], 25, FALSE)</f>
        <v>0</v>
      </c>
      <c r="AC1232">
        <f>VLOOKUP(Table9[[#This Row],[Shortname]], Comp[], 26, FALSE)</f>
        <v>0</v>
      </c>
      <c r="AD1232">
        <f>VLOOKUP(Table9[[#This Row],[Shortname]], Comp[], 27, FALSE)</f>
        <v>0</v>
      </c>
      <c r="AE1232">
        <f>VLOOKUP(Table9[[#This Row],[Shortname]], Comp[], 28, FALSE)</f>
        <v>0</v>
      </c>
      <c r="AF1232">
        <f>VLOOKUP(Table9[[#This Row],[Shortname]], Comp[], 29, FALSE)</f>
        <v>0</v>
      </c>
      <c r="AG1232">
        <f>VLOOKUP(Table9[[#This Row],[Shortname]], Comp[], 30, FALSE)</f>
        <v>0</v>
      </c>
      <c r="AH1232">
        <f>VLOOKUP(Table9[[#This Row],[Shortname]], Comp[], 31, FALSE)</f>
        <v>0</v>
      </c>
    </row>
    <row r="1233" spans="1:34" x14ac:dyDescent="0.3">
      <c r="A1233" t="s">
        <v>6276</v>
      </c>
      <c r="B1233" t="s">
        <v>6277</v>
      </c>
      <c r="C1233" t="s">
        <v>6278</v>
      </c>
      <c r="D1233">
        <v>538</v>
      </c>
      <c r="E1233">
        <v>900</v>
      </c>
      <c r="F1233">
        <v>1.1904761904761906E-4</v>
      </c>
      <c r="G1233">
        <v>-1</v>
      </c>
      <c r="H1233" t="s">
        <v>7016</v>
      </c>
      <c r="I1233">
        <f>VLOOKUP(Table9[[#This Row],[Shortname]], Comp[], 6, FALSE)</f>
        <v>1037</v>
      </c>
      <c r="J1233" s="14">
        <f>VLOOKUP(Table9[[#This Row],[Shortname]], Comp[], 7, FALSE)</f>
        <v>59.000000000000007</v>
      </c>
      <c r="K1233">
        <f>VLOOKUP(Table9[[#This Row],[Shortname]], Comp[], 8, FALSE)</f>
        <v>16.8</v>
      </c>
      <c r="L1233">
        <f>VLOOKUP(Table9[[#This Row],[Shortname]], Comp[], 9, FALSE)</f>
        <v>9.6999999999999993</v>
      </c>
      <c r="M1233">
        <f>VLOOKUP(Table9[[#This Row],[Shortname]], Comp[], 10, FALSE)</f>
        <v>6.3</v>
      </c>
      <c r="N1233">
        <f>VLOOKUP(Table9[[#This Row],[Shortname]], Comp[], 11, FALSE)</f>
        <v>5.3</v>
      </c>
      <c r="O1233">
        <f>VLOOKUP(Table9[[#This Row],[Shortname]], Comp[],12, FALSE)</f>
        <v>0</v>
      </c>
      <c r="P1233">
        <f>VLOOKUP(Table9[[#This Row],[Shortname]], Comp[], 13, FALSE)</f>
        <v>2.9</v>
      </c>
      <c r="Q1233">
        <f>VLOOKUP(Table9[[#This Row],[Shortname]], Comp[], 14, FALSE)</f>
        <v>0</v>
      </c>
      <c r="R1233">
        <f>VLOOKUP(Table9[[#This Row],[Shortname]], Comp[], 15, FALSE)</f>
        <v>0</v>
      </c>
      <c r="S1233">
        <f>VLOOKUP(Table9[[#This Row],[Shortname]], Comp[], 16, FALSE)</f>
        <v>0</v>
      </c>
      <c r="T1233">
        <f>VLOOKUP(Table9[[#This Row],[Shortname]], Comp[], 17, FALSE)</f>
        <v>0</v>
      </c>
      <c r="U1233">
        <f>VLOOKUP(Table9[[#This Row],[Shortname]], Comp[], 18, FALSE)</f>
        <v>0</v>
      </c>
      <c r="V1233">
        <f>VLOOKUP(Table9[[#This Row],[Shortname]], Comp[], 19, FALSE)</f>
        <v>0</v>
      </c>
      <c r="W1233">
        <f>VLOOKUP(Table9[[#This Row],[Shortname]], Comp[], 20, FALSE)</f>
        <v>0</v>
      </c>
      <c r="X1233">
        <f>VLOOKUP(Table9[[#This Row],[Shortname]], Comp[], 21, FALSE)</f>
        <v>0</v>
      </c>
      <c r="Y1233">
        <f>VLOOKUP(Table9[[#This Row],[Shortname]], Comp[], 22, FALSE)</f>
        <v>0</v>
      </c>
      <c r="Z1233">
        <f>VLOOKUP(Table9[[#This Row],[Shortname]], Comp[], 23, FALSE)</f>
        <v>0</v>
      </c>
      <c r="AA1233">
        <f>VLOOKUP(Table9[[#This Row],[Shortname]], Comp[], 24, FALSE)</f>
        <v>0</v>
      </c>
      <c r="AB1233">
        <f>VLOOKUP(Table9[[#This Row],[Shortname]], Comp[], 25, FALSE)</f>
        <v>0</v>
      </c>
      <c r="AC1233">
        <f>VLOOKUP(Table9[[#This Row],[Shortname]], Comp[], 26, FALSE)</f>
        <v>0</v>
      </c>
      <c r="AD1233">
        <f>VLOOKUP(Table9[[#This Row],[Shortname]], Comp[], 27, FALSE)</f>
        <v>0</v>
      </c>
      <c r="AE1233">
        <f>VLOOKUP(Table9[[#This Row],[Shortname]], Comp[], 28, FALSE)</f>
        <v>0</v>
      </c>
      <c r="AF1233">
        <f>VLOOKUP(Table9[[#This Row],[Shortname]], Comp[], 29, FALSE)</f>
        <v>0</v>
      </c>
      <c r="AG1233">
        <f>VLOOKUP(Table9[[#This Row],[Shortname]], Comp[], 30, FALSE)</f>
        <v>0</v>
      </c>
      <c r="AH1233">
        <f>VLOOKUP(Table9[[#This Row],[Shortname]], Comp[], 31, FALSE)</f>
        <v>0</v>
      </c>
    </row>
    <row r="1234" spans="1:34" x14ac:dyDescent="0.3">
      <c r="A1234" t="s">
        <v>6276</v>
      </c>
      <c r="B1234" t="s">
        <v>6277</v>
      </c>
      <c r="C1234" t="s">
        <v>6278</v>
      </c>
      <c r="D1234">
        <v>334</v>
      </c>
      <c r="E1234">
        <v>1000</v>
      </c>
      <c r="F1234">
        <v>1.1904761904761906E-4</v>
      </c>
      <c r="G1234">
        <v>-1</v>
      </c>
      <c r="H1234" t="s">
        <v>7016</v>
      </c>
      <c r="I1234">
        <f>VLOOKUP(Table9[[#This Row],[Shortname]], Comp[], 6, FALSE)</f>
        <v>1037</v>
      </c>
      <c r="J1234" s="14">
        <f>VLOOKUP(Table9[[#This Row],[Shortname]], Comp[], 7, FALSE)</f>
        <v>59.000000000000007</v>
      </c>
      <c r="K1234">
        <f>VLOOKUP(Table9[[#This Row],[Shortname]], Comp[], 8, FALSE)</f>
        <v>16.8</v>
      </c>
      <c r="L1234">
        <f>VLOOKUP(Table9[[#This Row],[Shortname]], Comp[], 9, FALSE)</f>
        <v>9.6999999999999993</v>
      </c>
      <c r="M1234">
        <f>VLOOKUP(Table9[[#This Row],[Shortname]], Comp[], 10, FALSE)</f>
        <v>6.3</v>
      </c>
      <c r="N1234">
        <f>VLOOKUP(Table9[[#This Row],[Shortname]], Comp[], 11, FALSE)</f>
        <v>5.3</v>
      </c>
      <c r="O1234">
        <f>VLOOKUP(Table9[[#This Row],[Shortname]], Comp[],12, FALSE)</f>
        <v>0</v>
      </c>
      <c r="P1234">
        <f>VLOOKUP(Table9[[#This Row],[Shortname]], Comp[], 13, FALSE)</f>
        <v>2.9</v>
      </c>
      <c r="Q1234">
        <f>VLOOKUP(Table9[[#This Row],[Shortname]], Comp[], 14, FALSE)</f>
        <v>0</v>
      </c>
      <c r="R1234">
        <f>VLOOKUP(Table9[[#This Row],[Shortname]], Comp[], 15, FALSE)</f>
        <v>0</v>
      </c>
      <c r="S1234">
        <f>VLOOKUP(Table9[[#This Row],[Shortname]], Comp[], 16, FALSE)</f>
        <v>0</v>
      </c>
      <c r="T1234">
        <f>VLOOKUP(Table9[[#This Row],[Shortname]], Comp[], 17, FALSE)</f>
        <v>0</v>
      </c>
      <c r="U1234">
        <f>VLOOKUP(Table9[[#This Row],[Shortname]], Comp[], 18, FALSE)</f>
        <v>0</v>
      </c>
      <c r="V1234">
        <f>VLOOKUP(Table9[[#This Row],[Shortname]], Comp[], 19, FALSE)</f>
        <v>0</v>
      </c>
      <c r="W1234">
        <f>VLOOKUP(Table9[[#This Row],[Shortname]], Comp[], 20, FALSE)</f>
        <v>0</v>
      </c>
      <c r="X1234">
        <f>VLOOKUP(Table9[[#This Row],[Shortname]], Comp[], 21, FALSE)</f>
        <v>0</v>
      </c>
      <c r="Y1234">
        <f>VLOOKUP(Table9[[#This Row],[Shortname]], Comp[], 22, FALSE)</f>
        <v>0</v>
      </c>
      <c r="Z1234">
        <f>VLOOKUP(Table9[[#This Row],[Shortname]], Comp[], 23, FALSE)</f>
        <v>0</v>
      </c>
      <c r="AA1234">
        <f>VLOOKUP(Table9[[#This Row],[Shortname]], Comp[], 24, FALSE)</f>
        <v>0</v>
      </c>
      <c r="AB1234">
        <f>VLOOKUP(Table9[[#This Row],[Shortname]], Comp[], 25, FALSE)</f>
        <v>0</v>
      </c>
      <c r="AC1234">
        <f>VLOOKUP(Table9[[#This Row],[Shortname]], Comp[], 26, FALSE)</f>
        <v>0</v>
      </c>
      <c r="AD1234">
        <f>VLOOKUP(Table9[[#This Row],[Shortname]], Comp[], 27, FALSE)</f>
        <v>0</v>
      </c>
      <c r="AE1234">
        <f>VLOOKUP(Table9[[#This Row],[Shortname]], Comp[], 28, FALSE)</f>
        <v>0</v>
      </c>
      <c r="AF1234">
        <f>VLOOKUP(Table9[[#This Row],[Shortname]], Comp[], 29, FALSE)</f>
        <v>0</v>
      </c>
      <c r="AG1234">
        <f>VLOOKUP(Table9[[#This Row],[Shortname]], Comp[], 30, FALSE)</f>
        <v>0</v>
      </c>
      <c r="AH1234">
        <f>VLOOKUP(Table9[[#This Row],[Shortname]], Comp[], 31, FALSE)</f>
        <v>0</v>
      </c>
    </row>
    <row r="1235" spans="1:34" x14ac:dyDescent="0.3">
      <c r="A1235" t="s">
        <v>6282</v>
      </c>
      <c r="B1235" t="s">
        <v>6283</v>
      </c>
      <c r="C1235" t="s">
        <v>6284</v>
      </c>
      <c r="D1235">
        <v>1212</v>
      </c>
      <c r="E1235">
        <v>25</v>
      </c>
      <c r="F1235">
        <v>1.4999999999999999E-4</v>
      </c>
      <c r="G1235">
        <v>-1</v>
      </c>
      <c r="H1235" t="s">
        <v>6855</v>
      </c>
      <c r="I1235">
        <f>VLOOKUP(Table9[[#This Row],[Shortname]], Comp[], 6, FALSE)</f>
        <v>1038</v>
      </c>
      <c r="J1235" s="14">
        <f>VLOOKUP(Table9[[#This Row],[Shortname]], Comp[], 7, FALSE)</f>
        <v>24.000000000000014</v>
      </c>
      <c r="K1235">
        <f>VLOOKUP(Table9[[#This Row],[Shortname]], Comp[], 8, FALSE)</f>
        <v>51</v>
      </c>
      <c r="L1235">
        <f>VLOOKUP(Table9[[#This Row],[Shortname]], Comp[], 9, FALSE)</f>
        <v>6.3</v>
      </c>
      <c r="M1235">
        <f>VLOOKUP(Table9[[#This Row],[Shortname]], Comp[], 10, FALSE)</f>
        <v>11.1</v>
      </c>
      <c r="N1235">
        <f>VLOOKUP(Table9[[#This Row],[Shortname]], Comp[], 11, FALSE)</f>
        <v>0.6</v>
      </c>
      <c r="O1235">
        <f>VLOOKUP(Table9[[#This Row],[Shortname]], Comp[],12, FALSE)</f>
        <v>5</v>
      </c>
      <c r="P1235">
        <f>VLOOKUP(Table9[[#This Row],[Shortname]], Comp[], 13, FALSE)</f>
        <v>0</v>
      </c>
      <c r="Q1235">
        <f>VLOOKUP(Table9[[#This Row],[Shortname]], Comp[], 14, FALSE)</f>
        <v>0.5</v>
      </c>
      <c r="R1235">
        <f>VLOOKUP(Table9[[#This Row],[Shortname]], Comp[], 15, FALSE)</f>
        <v>0</v>
      </c>
      <c r="S1235">
        <f>VLOOKUP(Table9[[#This Row],[Shortname]], Comp[], 16, FALSE)</f>
        <v>1.5</v>
      </c>
      <c r="T1235">
        <f>VLOOKUP(Table9[[#This Row],[Shortname]], Comp[], 17, FALSE)</f>
        <v>0</v>
      </c>
      <c r="U1235">
        <f>VLOOKUP(Table9[[#This Row],[Shortname]], Comp[], 18, FALSE)</f>
        <v>0</v>
      </c>
      <c r="V1235">
        <f>VLOOKUP(Table9[[#This Row],[Shortname]], Comp[], 19, FALSE)</f>
        <v>0</v>
      </c>
      <c r="W1235">
        <f>VLOOKUP(Table9[[#This Row],[Shortname]], Comp[], 20, FALSE)</f>
        <v>0</v>
      </c>
      <c r="X1235">
        <f>VLOOKUP(Table9[[#This Row],[Shortname]], Comp[], 21, FALSE)</f>
        <v>0</v>
      </c>
      <c r="Y1235">
        <f>VLOOKUP(Table9[[#This Row],[Shortname]], Comp[], 22, FALSE)</f>
        <v>0</v>
      </c>
      <c r="Z1235">
        <f>VLOOKUP(Table9[[#This Row],[Shortname]], Comp[], 23, FALSE)</f>
        <v>0</v>
      </c>
      <c r="AA1235">
        <f>VLOOKUP(Table9[[#This Row],[Shortname]], Comp[], 24, FALSE)</f>
        <v>0</v>
      </c>
      <c r="AB1235">
        <f>VLOOKUP(Table9[[#This Row],[Shortname]], Comp[], 25, FALSE)</f>
        <v>0</v>
      </c>
      <c r="AC1235">
        <f>VLOOKUP(Table9[[#This Row],[Shortname]], Comp[], 26, FALSE)</f>
        <v>0</v>
      </c>
      <c r="AD1235">
        <f>VLOOKUP(Table9[[#This Row],[Shortname]], Comp[], 27, FALSE)</f>
        <v>0</v>
      </c>
      <c r="AE1235">
        <f>VLOOKUP(Table9[[#This Row],[Shortname]], Comp[], 28, FALSE)</f>
        <v>0</v>
      </c>
      <c r="AF1235">
        <f>VLOOKUP(Table9[[#This Row],[Shortname]], Comp[], 29, FALSE)</f>
        <v>0</v>
      </c>
      <c r="AG1235">
        <f>VLOOKUP(Table9[[#This Row],[Shortname]], Comp[], 30, FALSE)</f>
        <v>0</v>
      </c>
      <c r="AH1235">
        <f>VLOOKUP(Table9[[#This Row],[Shortname]], Comp[], 31, FALSE)</f>
        <v>0</v>
      </c>
    </row>
    <row r="1236" spans="1:34" x14ac:dyDescent="0.3">
      <c r="A1236" t="s">
        <v>6282</v>
      </c>
      <c r="B1236" t="s">
        <v>6283</v>
      </c>
      <c r="C1236" t="s">
        <v>6284</v>
      </c>
      <c r="D1236">
        <v>1121</v>
      </c>
      <c r="E1236">
        <v>650</v>
      </c>
      <c r="F1236">
        <v>1.4999999999999999E-4</v>
      </c>
      <c r="G1236">
        <v>-1</v>
      </c>
      <c r="H1236" t="s">
        <v>6855</v>
      </c>
      <c r="I1236">
        <f>VLOOKUP(Table9[[#This Row],[Shortname]], Comp[], 6, FALSE)</f>
        <v>1038</v>
      </c>
      <c r="J1236" s="14">
        <f>VLOOKUP(Table9[[#This Row],[Shortname]], Comp[], 7, FALSE)</f>
        <v>24.000000000000014</v>
      </c>
      <c r="K1236">
        <f>VLOOKUP(Table9[[#This Row],[Shortname]], Comp[], 8, FALSE)</f>
        <v>51</v>
      </c>
      <c r="L1236">
        <f>VLOOKUP(Table9[[#This Row],[Shortname]], Comp[], 9, FALSE)</f>
        <v>6.3</v>
      </c>
      <c r="M1236">
        <f>VLOOKUP(Table9[[#This Row],[Shortname]], Comp[], 10, FALSE)</f>
        <v>11.1</v>
      </c>
      <c r="N1236">
        <f>VLOOKUP(Table9[[#This Row],[Shortname]], Comp[], 11, FALSE)</f>
        <v>0.6</v>
      </c>
      <c r="O1236">
        <f>VLOOKUP(Table9[[#This Row],[Shortname]], Comp[],12, FALSE)</f>
        <v>5</v>
      </c>
      <c r="P1236">
        <f>VLOOKUP(Table9[[#This Row],[Shortname]], Comp[], 13, FALSE)</f>
        <v>0</v>
      </c>
      <c r="Q1236">
        <f>VLOOKUP(Table9[[#This Row],[Shortname]], Comp[], 14, FALSE)</f>
        <v>0.5</v>
      </c>
      <c r="R1236">
        <f>VLOOKUP(Table9[[#This Row],[Shortname]], Comp[], 15, FALSE)</f>
        <v>0</v>
      </c>
      <c r="S1236">
        <f>VLOOKUP(Table9[[#This Row],[Shortname]], Comp[], 16, FALSE)</f>
        <v>1.5</v>
      </c>
      <c r="T1236">
        <f>VLOOKUP(Table9[[#This Row],[Shortname]], Comp[], 17, FALSE)</f>
        <v>0</v>
      </c>
      <c r="U1236">
        <f>VLOOKUP(Table9[[#This Row],[Shortname]], Comp[], 18, FALSE)</f>
        <v>0</v>
      </c>
      <c r="V1236">
        <f>VLOOKUP(Table9[[#This Row],[Shortname]], Comp[], 19, FALSE)</f>
        <v>0</v>
      </c>
      <c r="W1236">
        <f>VLOOKUP(Table9[[#This Row],[Shortname]], Comp[], 20, FALSE)</f>
        <v>0</v>
      </c>
      <c r="X1236">
        <f>VLOOKUP(Table9[[#This Row],[Shortname]], Comp[], 21, FALSE)</f>
        <v>0</v>
      </c>
      <c r="Y1236">
        <f>VLOOKUP(Table9[[#This Row],[Shortname]], Comp[], 22, FALSE)</f>
        <v>0</v>
      </c>
      <c r="Z1236">
        <f>VLOOKUP(Table9[[#This Row],[Shortname]], Comp[], 23, FALSE)</f>
        <v>0</v>
      </c>
      <c r="AA1236">
        <f>VLOOKUP(Table9[[#This Row],[Shortname]], Comp[], 24, FALSE)</f>
        <v>0</v>
      </c>
      <c r="AB1236">
        <f>VLOOKUP(Table9[[#This Row],[Shortname]], Comp[], 25, FALSE)</f>
        <v>0</v>
      </c>
      <c r="AC1236">
        <f>VLOOKUP(Table9[[#This Row],[Shortname]], Comp[], 26, FALSE)</f>
        <v>0</v>
      </c>
      <c r="AD1236">
        <f>VLOOKUP(Table9[[#This Row],[Shortname]], Comp[], 27, FALSE)</f>
        <v>0</v>
      </c>
      <c r="AE1236">
        <f>VLOOKUP(Table9[[#This Row],[Shortname]], Comp[], 28, FALSE)</f>
        <v>0</v>
      </c>
      <c r="AF1236">
        <f>VLOOKUP(Table9[[#This Row],[Shortname]], Comp[], 29, FALSE)</f>
        <v>0</v>
      </c>
      <c r="AG1236">
        <f>VLOOKUP(Table9[[#This Row],[Shortname]], Comp[], 30, FALSE)</f>
        <v>0</v>
      </c>
      <c r="AH1236">
        <f>VLOOKUP(Table9[[#This Row],[Shortname]], Comp[], 31, FALSE)</f>
        <v>0</v>
      </c>
    </row>
    <row r="1237" spans="1:34" x14ac:dyDescent="0.3">
      <c r="A1237" t="s">
        <v>6282</v>
      </c>
      <c r="B1237" t="s">
        <v>6283</v>
      </c>
      <c r="C1237" t="s">
        <v>6284</v>
      </c>
      <c r="D1237">
        <v>1077</v>
      </c>
      <c r="E1237">
        <v>750</v>
      </c>
      <c r="F1237">
        <v>1.4999999999999999E-4</v>
      </c>
      <c r="G1237">
        <v>-1</v>
      </c>
      <c r="H1237" t="s">
        <v>6855</v>
      </c>
      <c r="I1237">
        <f>VLOOKUP(Table9[[#This Row],[Shortname]], Comp[], 6, FALSE)</f>
        <v>1038</v>
      </c>
      <c r="J1237" s="14">
        <f>VLOOKUP(Table9[[#This Row],[Shortname]], Comp[], 7, FALSE)</f>
        <v>24.000000000000014</v>
      </c>
      <c r="K1237">
        <f>VLOOKUP(Table9[[#This Row],[Shortname]], Comp[], 8, FALSE)</f>
        <v>51</v>
      </c>
      <c r="L1237">
        <f>VLOOKUP(Table9[[#This Row],[Shortname]], Comp[], 9, FALSE)</f>
        <v>6.3</v>
      </c>
      <c r="M1237">
        <f>VLOOKUP(Table9[[#This Row],[Shortname]], Comp[], 10, FALSE)</f>
        <v>11.1</v>
      </c>
      <c r="N1237">
        <f>VLOOKUP(Table9[[#This Row],[Shortname]], Comp[], 11, FALSE)</f>
        <v>0.6</v>
      </c>
      <c r="O1237">
        <f>VLOOKUP(Table9[[#This Row],[Shortname]], Comp[],12, FALSE)</f>
        <v>5</v>
      </c>
      <c r="P1237">
        <f>VLOOKUP(Table9[[#This Row],[Shortname]], Comp[], 13, FALSE)</f>
        <v>0</v>
      </c>
      <c r="Q1237">
        <f>VLOOKUP(Table9[[#This Row],[Shortname]], Comp[], 14, FALSE)</f>
        <v>0.5</v>
      </c>
      <c r="R1237">
        <f>VLOOKUP(Table9[[#This Row],[Shortname]], Comp[], 15, FALSE)</f>
        <v>0</v>
      </c>
      <c r="S1237">
        <f>VLOOKUP(Table9[[#This Row],[Shortname]], Comp[], 16, FALSE)</f>
        <v>1.5</v>
      </c>
      <c r="T1237">
        <f>VLOOKUP(Table9[[#This Row],[Shortname]], Comp[], 17, FALSE)</f>
        <v>0</v>
      </c>
      <c r="U1237">
        <f>VLOOKUP(Table9[[#This Row],[Shortname]], Comp[], 18, FALSE)</f>
        <v>0</v>
      </c>
      <c r="V1237">
        <f>VLOOKUP(Table9[[#This Row],[Shortname]], Comp[], 19, FALSE)</f>
        <v>0</v>
      </c>
      <c r="W1237">
        <f>VLOOKUP(Table9[[#This Row],[Shortname]], Comp[], 20, FALSE)</f>
        <v>0</v>
      </c>
      <c r="X1237">
        <f>VLOOKUP(Table9[[#This Row],[Shortname]], Comp[], 21, FALSE)</f>
        <v>0</v>
      </c>
      <c r="Y1237">
        <f>VLOOKUP(Table9[[#This Row],[Shortname]], Comp[], 22, FALSE)</f>
        <v>0</v>
      </c>
      <c r="Z1237">
        <f>VLOOKUP(Table9[[#This Row],[Shortname]], Comp[], 23, FALSE)</f>
        <v>0</v>
      </c>
      <c r="AA1237">
        <f>VLOOKUP(Table9[[#This Row],[Shortname]], Comp[], 24, FALSE)</f>
        <v>0</v>
      </c>
      <c r="AB1237">
        <f>VLOOKUP(Table9[[#This Row],[Shortname]], Comp[], 25, FALSE)</f>
        <v>0</v>
      </c>
      <c r="AC1237">
        <f>VLOOKUP(Table9[[#This Row],[Shortname]], Comp[], 26, FALSE)</f>
        <v>0</v>
      </c>
      <c r="AD1237">
        <f>VLOOKUP(Table9[[#This Row],[Shortname]], Comp[], 27, FALSE)</f>
        <v>0</v>
      </c>
      <c r="AE1237">
        <f>VLOOKUP(Table9[[#This Row],[Shortname]], Comp[], 28, FALSE)</f>
        <v>0</v>
      </c>
      <c r="AF1237">
        <f>VLOOKUP(Table9[[#This Row],[Shortname]], Comp[], 29, FALSE)</f>
        <v>0</v>
      </c>
      <c r="AG1237">
        <f>VLOOKUP(Table9[[#This Row],[Shortname]], Comp[], 30, FALSE)</f>
        <v>0</v>
      </c>
      <c r="AH1237">
        <f>VLOOKUP(Table9[[#This Row],[Shortname]], Comp[], 31, FALSE)</f>
        <v>0</v>
      </c>
    </row>
    <row r="1238" spans="1:34" x14ac:dyDescent="0.3">
      <c r="A1238" t="s">
        <v>6289</v>
      </c>
      <c r="B1238" t="s">
        <v>3489</v>
      </c>
      <c r="C1238" t="s">
        <v>6290</v>
      </c>
      <c r="D1238">
        <v>771</v>
      </c>
      <c r="E1238">
        <v>25</v>
      </c>
      <c r="F1238">
        <v>1E-3</v>
      </c>
      <c r="G1238">
        <v>1</v>
      </c>
      <c r="H1238" t="s">
        <v>6803</v>
      </c>
      <c r="I1238">
        <f>VLOOKUP(Table9[[#This Row],[Shortname]], Comp[], 6, FALSE)</f>
        <v>1039</v>
      </c>
      <c r="J1238" s="14">
        <f>VLOOKUP(Table9[[#This Row],[Shortname]], Comp[], 7, FALSE)</f>
        <v>81.2</v>
      </c>
      <c r="K1238">
        <f>VLOOKUP(Table9[[#This Row],[Shortname]], Comp[], 8, FALSE)</f>
        <v>0</v>
      </c>
      <c r="L1238">
        <f>VLOOKUP(Table9[[#This Row],[Shortname]], Comp[], 9, FALSE)</f>
        <v>8.6999999999999993</v>
      </c>
      <c r="M1238">
        <f>VLOOKUP(Table9[[#This Row],[Shortname]], Comp[], 10, FALSE)</f>
        <v>0</v>
      </c>
      <c r="N1238">
        <f>VLOOKUP(Table9[[#This Row],[Shortname]], Comp[], 11, FALSE)</f>
        <v>10.1</v>
      </c>
      <c r="O1238">
        <f>VLOOKUP(Table9[[#This Row],[Shortname]], Comp[],12, FALSE)</f>
        <v>0</v>
      </c>
      <c r="P1238">
        <f>VLOOKUP(Table9[[#This Row],[Shortname]], Comp[], 13, FALSE)</f>
        <v>0</v>
      </c>
      <c r="Q1238">
        <f>VLOOKUP(Table9[[#This Row],[Shortname]], Comp[], 14, FALSE)</f>
        <v>0</v>
      </c>
      <c r="R1238">
        <f>VLOOKUP(Table9[[#This Row],[Shortname]], Comp[], 15, FALSE)</f>
        <v>0</v>
      </c>
      <c r="S1238">
        <f>VLOOKUP(Table9[[#This Row],[Shortname]], Comp[], 16, FALSE)</f>
        <v>0</v>
      </c>
      <c r="T1238">
        <f>VLOOKUP(Table9[[#This Row],[Shortname]], Comp[], 17, FALSE)</f>
        <v>0</v>
      </c>
      <c r="U1238">
        <f>VLOOKUP(Table9[[#This Row],[Shortname]], Comp[], 18, FALSE)</f>
        <v>0</v>
      </c>
      <c r="V1238">
        <f>VLOOKUP(Table9[[#This Row],[Shortname]], Comp[], 19, FALSE)</f>
        <v>0</v>
      </c>
      <c r="W1238">
        <f>VLOOKUP(Table9[[#This Row],[Shortname]], Comp[], 20, FALSE)</f>
        <v>0</v>
      </c>
      <c r="X1238">
        <f>VLOOKUP(Table9[[#This Row],[Shortname]], Comp[], 21, FALSE)</f>
        <v>0</v>
      </c>
      <c r="Y1238">
        <f>VLOOKUP(Table9[[#This Row],[Shortname]], Comp[], 22, FALSE)</f>
        <v>0</v>
      </c>
      <c r="Z1238">
        <f>VLOOKUP(Table9[[#This Row],[Shortname]], Comp[], 23, FALSE)</f>
        <v>0</v>
      </c>
      <c r="AA1238">
        <f>VLOOKUP(Table9[[#This Row],[Shortname]], Comp[], 24, FALSE)</f>
        <v>0</v>
      </c>
      <c r="AB1238">
        <f>VLOOKUP(Table9[[#This Row],[Shortname]], Comp[], 25, FALSE)</f>
        <v>0</v>
      </c>
      <c r="AC1238">
        <f>VLOOKUP(Table9[[#This Row],[Shortname]], Comp[], 26, FALSE)</f>
        <v>0</v>
      </c>
      <c r="AD1238">
        <f>VLOOKUP(Table9[[#This Row],[Shortname]], Comp[], 27, FALSE)</f>
        <v>0</v>
      </c>
      <c r="AE1238">
        <f>VLOOKUP(Table9[[#This Row],[Shortname]], Comp[], 28, FALSE)</f>
        <v>0</v>
      </c>
      <c r="AF1238">
        <f>VLOOKUP(Table9[[#This Row],[Shortname]], Comp[], 29, FALSE)</f>
        <v>0</v>
      </c>
      <c r="AG1238">
        <f>VLOOKUP(Table9[[#This Row],[Shortname]], Comp[], 30, FALSE)</f>
        <v>0</v>
      </c>
      <c r="AH1238">
        <f>VLOOKUP(Table9[[#This Row],[Shortname]], Comp[], 31, FALSE)</f>
        <v>0</v>
      </c>
    </row>
    <row r="1239" spans="1:34" x14ac:dyDescent="0.3">
      <c r="A1239" t="s">
        <v>6292</v>
      </c>
      <c r="B1239" t="s">
        <v>2354</v>
      </c>
      <c r="C1239" t="s">
        <v>6290</v>
      </c>
      <c r="D1239">
        <v>900</v>
      </c>
      <c r="E1239">
        <v>25</v>
      </c>
      <c r="F1239">
        <v>1E-3</v>
      </c>
      <c r="G1239">
        <v>1</v>
      </c>
      <c r="H1239" t="s">
        <v>6803</v>
      </c>
      <c r="I1239">
        <f>VLOOKUP(Table9[[#This Row],[Shortname]], Comp[], 6, FALSE)</f>
        <v>1040</v>
      </c>
      <c r="J1239" s="14">
        <f>VLOOKUP(Table9[[#This Row],[Shortname]], Comp[], 7, FALSE)</f>
        <v>79.2</v>
      </c>
      <c r="K1239">
        <f>VLOOKUP(Table9[[#This Row],[Shortname]], Comp[], 8, FALSE)</f>
        <v>0</v>
      </c>
      <c r="L1239">
        <f>VLOOKUP(Table9[[#This Row],[Shortname]], Comp[], 9, FALSE)</f>
        <v>8.6</v>
      </c>
      <c r="M1239">
        <f>VLOOKUP(Table9[[#This Row],[Shortname]], Comp[], 10, FALSE)</f>
        <v>0</v>
      </c>
      <c r="N1239">
        <f>VLOOKUP(Table9[[#This Row],[Shortname]], Comp[], 11, FALSE)</f>
        <v>10.1</v>
      </c>
      <c r="O1239">
        <f>VLOOKUP(Table9[[#This Row],[Shortname]], Comp[],12, FALSE)</f>
        <v>0</v>
      </c>
      <c r="P1239">
        <f>VLOOKUP(Table9[[#This Row],[Shortname]], Comp[], 13, FALSE)</f>
        <v>2.1</v>
      </c>
      <c r="Q1239">
        <f>VLOOKUP(Table9[[#This Row],[Shortname]], Comp[], 14, FALSE)</f>
        <v>0</v>
      </c>
      <c r="R1239">
        <f>VLOOKUP(Table9[[#This Row],[Shortname]], Comp[], 15, FALSE)</f>
        <v>0</v>
      </c>
      <c r="S1239">
        <f>VLOOKUP(Table9[[#This Row],[Shortname]], Comp[], 16, FALSE)</f>
        <v>0</v>
      </c>
      <c r="T1239">
        <f>VLOOKUP(Table9[[#This Row],[Shortname]], Comp[], 17, FALSE)</f>
        <v>0</v>
      </c>
      <c r="U1239">
        <f>VLOOKUP(Table9[[#This Row],[Shortname]], Comp[], 18, FALSE)</f>
        <v>0</v>
      </c>
      <c r="V1239">
        <f>VLOOKUP(Table9[[#This Row],[Shortname]], Comp[], 19, FALSE)</f>
        <v>0</v>
      </c>
      <c r="W1239">
        <f>VLOOKUP(Table9[[#This Row],[Shortname]], Comp[], 20, FALSE)</f>
        <v>0</v>
      </c>
      <c r="X1239">
        <f>VLOOKUP(Table9[[#This Row],[Shortname]], Comp[], 21, FALSE)</f>
        <v>0</v>
      </c>
      <c r="Y1239">
        <f>VLOOKUP(Table9[[#This Row],[Shortname]], Comp[], 22, FALSE)</f>
        <v>0</v>
      </c>
      <c r="Z1239">
        <f>VLOOKUP(Table9[[#This Row],[Shortname]], Comp[], 23, FALSE)</f>
        <v>0</v>
      </c>
      <c r="AA1239">
        <f>VLOOKUP(Table9[[#This Row],[Shortname]], Comp[], 24, FALSE)</f>
        <v>0</v>
      </c>
      <c r="AB1239">
        <f>VLOOKUP(Table9[[#This Row],[Shortname]], Comp[], 25, FALSE)</f>
        <v>0</v>
      </c>
      <c r="AC1239">
        <f>VLOOKUP(Table9[[#This Row],[Shortname]], Comp[], 26, FALSE)</f>
        <v>0</v>
      </c>
      <c r="AD1239">
        <f>VLOOKUP(Table9[[#This Row],[Shortname]], Comp[], 27, FALSE)</f>
        <v>0</v>
      </c>
      <c r="AE1239">
        <f>VLOOKUP(Table9[[#This Row],[Shortname]], Comp[], 28, FALSE)</f>
        <v>0</v>
      </c>
      <c r="AF1239">
        <f>VLOOKUP(Table9[[#This Row],[Shortname]], Comp[], 29, FALSE)</f>
        <v>0</v>
      </c>
      <c r="AG1239">
        <f>VLOOKUP(Table9[[#This Row],[Shortname]], Comp[], 30, FALSE)</f>
        <v>0</v>
      </c>
      <c r="AH1239">
        <f>VLOOKUP(Table9[[#This Row],[Shortname]], Comp[], 31, FALSE)</f>
        <v>0</v>
      </c>
    </row>
    <row r="1240" spans="1:34" x14ac:dyDescent="0.3">
      <c r="A1240" t="s">
        <v>6294</v>
      </c>
      <c r="B1240" t="s">
        <v>6295</v>
      </c>
      <c r="C1240" t="s">
        <v>6290</v>
      </c>
      <c r="D1240">
        <v>637</v>
      </c>
      <c r="E1240">
        <v>25</v>
      </c>
      <c r="F1240">
        <v>1E-3</v>
      </c>
      <c r="G1240">
        <v>1</v>
      </c>
      <c r="H1240" t="s">
        <v>6803</v>
      </c>
      <c r="I1240">
        <f>VLOOKUP(Table9[[#This Row],[Shortname]], Comp[], 6, FALSE)</f>
        <v>1041</v>
      </c>
      <c r="J1240" s="14">
        <f>VLOOKUP(Table9[[#This Row],[Shortname]], Comp[], 7, FALSE)</f>
        <v>78.400000000000006</v>
      </c>
      <c r="K1240">
        <f>VLOOKUP(Table9[[#This Row],[Shortname]], Comp[], 8, FALSE)</f>
        <v>2.2999999999999998</v>
      </c>
      <c r="L1240">
        <f>VLOOKUP(Table9[[#This Row],[Shortname]], Comp[], 9, FALSE)</f>
        <v>8.8000000000000007</v>
      </c>
      <c r="M1240">
        <f>VLOOKUP(Table9[[#This Row],[Shortname]], Comp[], 10, FALSE)</f>
        <v>0</v>
      </c>
      <c r="N1240">
        <f>VLOOKUP(Table9[[#This Row],[Shortname]], Comp[], 11, FALSE)</f>
        <v>10.5</v>
      </c>
      <c r="O1240">
        <f>VLOOKUP(Table9[[#This Row],[Shortname]], Comp[],12, FALSE)</f>
        <v>0</v>
      </c>
      <c r="P1240">
        <f>VLOOKUP(Table9[[#This Row],[Shortname]], Comp[], 13, FALSE)</f>
        <v>0</v>
      </c>
      <c r="Q1240">
        <f>VLOOKUP(Table9[[#This Row],[Shortname]], Comp[], 14, FALSE)</f>
        <v>0</v>
      </c>
      <c r="R1240">
        <f>VLOOKUP(Table9[[#This Row],[Shortname]], Comp[], 15, FALSE)</f>
        <v>0</v>
      </c>
      <c r="S1240">
        <f>VLOOKUP(Table9[[#This Row],[Shortname]], Comp[], 16, FALSE)</f>
        <v>0</v>
      </c>
      <c r="T1240">
        <f>VLOOKUP(Table9[[#This Row],[Shortname]], Comp[], 17, FALSE)</f>
        <v>0</v>
      </c>
      <c r="U1240">
        <f>VLOOKUP(Table9[[#This Row],[Shortname]], Comp[], 18, FALSE)</f>
        <v>0</v>
      </c>
      <c r="V1240">
        <f>VLOOKUP(Table9[[#This Row],[Shortname]], Comp[], 19, FALSE)</f>
        <v>0</v>
      </c>
      <c r="W1240">
        <f>VLOOKUP(Table9[[#This Row],[Shortname]], Comp[], 20, FALSE)</f>
        <v>0</v>
      </c>
      <c r="X1240">
        <f>VLOOKUP(Table9[[#This Row],[Shortname]], Comp[], 21, FALSE)</f>
        <v>0</v>
      </c>
      <c r="Y1240">
        <f>VLOOKUP(Table9[[#This Row],[Shortname]], Comp[], 22, FALSE)</f>
        <v>0</v>
      </c>
      <c r="Z1240">
        <f>VLOOKUP(Table9[[#This Row],[Shortname]], Comp[], 23, FALSE)</f>
        <v>0</v>
      </c>
      <c r="AA1240">
        <f>VLOOKUP(Table9[[#This Row],[Shortname]], Comp[], 24, FALSE)</f>
        <v>0</v>
      </c>
      <c r="AB1240">
        <f>VLOOKUP(Table9[[#This Row],[Shortname]], Comp[], 25, FALSE)</f>
        <v>0</v>
      </c>
      <c r="AC1240">
        <f>VLOOKUP(Table9[[#This Row],[Shortname]], Comp[], 26, FALSE)</f>
        <v>0</v>
      </c>
      <c r="AD1240">
        <f>VLOOKUP(Table9[[#This Row],[Shortname]], Comp[], 27, FALSE)</f>
        <v>0</v>
      </c>
      <c r="AE1240">
        <f>VLOOKUP(Table9[[#This Row],[Shortname]], Comp[], 28, FALSE)</f>
        <v>0</v>
      </c>
      <c r="AF1240">
        <f>VLOOKUP(Table9[[#This Row],[Shortname]], Comp[], 29, FALSE)</f>
        <v>0</v>
      </c>
      <c r="AG1240">
        <f>VLOOKUP(Table9[[#This Row],[Shortname]], Comp[], 30, FALSE)</f>
        <v>0</v>
      </c>
      <c r="AH1240">
        <f>VLOOKUP(Table9[[#This Row],[Shortname]], Comp[], 31, FALSE)</f>
        <v>0</v>
      </c>
    </row>
    <row r="1241" spans="1:34" x14ac:dyDescent="0.3">
      <c r="A1241" t="s">
        <v>3489</v>
      </c>
      <c r="B1241" t="s">
        <v>6349</v>
      </c>
      <c r="C1241" t="s">
        <v>6350</v>
      </c>
      <c r="D1241">
        <v>895</v>
      </c>
      <c r="E1241">
        <v>25</v>
      </c>
      <c r="F1241">
        <v>1E-3</v>
      </c>
      <c r="G1241">
        <v>1</v>
      </c>
      <c r="H1241" t="s">
        <v>6803</v>
      </c>
      <c r="I1241">
        <f>VLOOKUP(Table9[[#This Row],[Shortname]], Comp[], 6, FALSE)</f>
        <v>501</v>
      </c>
      <c r="J1241" s="14">
        <f>VLOOKUP(Table9[[#This Row],[Shortname]], Comp[], 7, FALSE)</f>
        <v>81.400000000000006</v>
      </c>
      <c r="K1241">
        <f>VLOOKUP(Table9[[#This Row],[Shortname]], Comp[], 8, FALSE)</f>
        <v>0</v>
      </c>
      <c r="L1241">
        <f>VLOOKUP(Table9[[#This Row],[Shortname]], Comp[], 9, FALSE)</f>
        <v>8.8000000000000007</v>
      </c>
      <c r="M1241">
        <f>VLOOKUP(Table9[[#This Row],[Shortname]], Comp[], 10, FALSE)</f>
        <v>0</v>
      </c>
      <c r="N1241">
        <f>VLOOKUP(Table9[[#This Row],[Shortname]], Comp[], 11, FALSE)</f>
        <v>9.8000000000000007</v>
      </c>
      <c r="O1241">
        <f>VLOOKUP(Table9[[#This Row],[Shortname]], Comp[],12, FALSE)</f>
        <v>0</v>
      </c>
      <c r="P1241">
        <f>VLOOKUP(Table9[[#This Row],[Shortname]], Comp[], 13, FALSE)</f>
        <v>0</v>
      </c>
      <c r="Q1241">
        <f>VLOOKUP(Table9[[#This Row],[Shortname]], Comp[], 14, FALSE)</f>
        <v>0</v>
      </c>
      <c r="R1241">
        <f>VLOOKUP(Table9[[#This Row],[Shortname]], Comp[], 15, FALSE)</f>
        <v>0</v>
      </c>
      <c r="S1241">
        <f>VLOOKUP(Table9[[#This Row],[Shortname]], Comp[], 16, FALSE)</f>
        <v>0</v>
      </c>
      <c r="T1241">
        <f>VLOOKUP(Table9[[#This Row],[Shortname]], Comp[], 17, FALSE)</f>
        <v>0</v>
      </c>
      <c r="U1241">
        <f>VLOOKUP(Table9[[#This Row],[Shortname]], Comp[], 18, FALSE)</f>
        <v>0</v>
      </c>
      <c r="V1241">
        <f>VLOOKUP(Table9[[#This Row],[Shortname]], Comp[], 19, FALSE)</f>
        <v>0</v>
      </c>
      <c r="W1241">
        <f>VLOOKUP(Table9[[#This Row],[Shortname]], Comp[], 20, FALSE)</f>
        <v>0</v>
      </c>
      <c r="X1241">
        <f>VLOOKUP(Table9[[#This Row],[Shortname]], Comp[], 21, FALSE)</f>
        <v>0</v>
      </c>
      <c r="Y1241">
        <f>VLOOKUP(Table9[[#This Row],[Shortname]], Comp[], 22, FALSE)</f>
        <v>0</v>
      </c>
      <c r="Z1241">
        <f>VLOOKUP(Table9[[#This Row],[Shortname]], Comp[], 23, FALSE)</f>
        <v>0</v>
      </c>
      <c r="AA1241">
        <f>VLOOKUP(Table9[[#This Row],[Shortname]], Comp[], 24, FALSE)</f>
        <v>0</v>
      </c>
      <c r="AB1241">
        <f>VLOOKUP(Table9[[#This Row],[Shortname]], Comp[], 25, FALSE)</f>
        <v>0</v>
      </c>
      <c r="AC1241">
        <f>VLOOKUP(Table9[[#This Row],[Shortname]], Comp[], 26, FALSE)</f>
        <v>0</v>
      </c>
      <c r="AD1241">
        <f>VLOOKUP(Table9[[#This Row],[Shortname]], Comp[], 27, FALSE)</f>
        <v>0</v>
      </c>
      <c r="AE1241">
        <f>VLOOKUP(Table9[[#This Row],[Shortname]], Comp[], 28, FALSE)</f>
        <v>0</v>
      </c>
      <c r="AF1241">
        <f>VLOOKUP(Table9[[#This Row],[Shortname]], Comp[], 29, FALSE)</f>
        <v>0</v>
      </c>
      <c r="AG1241">
        <f>VLOOKUP(Table9[[#This Row],[Shortname]], Comp[], 30, FALSE)</f>
        <v>0</v>
      </c>
      <c r="AH1241">
        <f>VLOOKUP(Table9[[#This Row],[Shortname]], Comp[], 31, FALSE)</f>
        <v>0</v>
      </c>
    </row>
    <row r="1242" spans="1:34" x14ac:dyDescent="0.3">
      <c r="A1242" t="s">
        <v>6352</v>
      </c>
      <c r="B1242" t="s">
        <v>6353</v>
      </c>
      <c r="C1242" t="s">
        <v>6350</v>
      </c>
      <c r="D1242">
        <v>759</v>
      </c>
      <c r="E1242">
        <v>25</v>
      </c>
      <c r="F1242">
        <v>1E-3</v>
      </c>
      <c r="G1242">
        <v>1</v>
      </c>
      <c r="H1242" t="s">
        <v>6803</v>
      </c>
      <c r="I1242">
        <f>VLOOKUP(Table9[[#This Row],[Shortname]], Comp[], 6, FALSE)</f>
        <v>1053</v>
      </c>
      <c r="J1242" s="14">
        <f>VLOOKUP(Table9[[#This Row],[Shortname]], Comp[], 7, FALSE)</f>
        <v>81.400000000000006</v>
      </c>
      <c r="K1242">
        <f>VLOOKUP(Table9[[#This Row],[Shortname]], Comp[], 8, FALSE)</f>
        <v>0</v>
      </c>
      <c r="L1242">
        <f>VLOOKUP(Table9[[#This Row],[Shortname]], Comp[], 9, FALSE)</f>
        <v>8.8000000000000007</v>
      </c>
      <c r="M1242">
        <f>VLOOKUP(Table9[[#This Row],[Shortname]], Comp[], 10, FALSE)</f>
        <v>0</v>
      </c>
      <c r="N1242">
        <f>VLOOKUP(Table9[[#This Row],[Shortname]], Comp[], 11, FALSE)</f>
        <v>9.8000000000000007</v>
      </c>
      <c r="O1242">
        <f>VLOOKUP(Table9[[#This Row],[Shortname]], Comp[],12, FALSE)</f>
        <v>0</v>
      </c>
      <c r="P1242">
        <f>VLOOKUP(Table9[[#This Row],[Shortname]], Comp[], 13, FALSE)</f>
        <v>0</v>
      </c>
      <c r="Q1242">
        <f>VLOOKUP(Table9[[#This Row],[Shortname]], Comp[], 14, FALSE)</f>
        <v>0</v>
      </c>
      <c r="R1242">
        <f>VLOOKUP(Table9[[#This Row],[Shortname]], Comp[], 15, FALSE)</f>
        <v>0</v>
      </c>
      <c r="S1242">
        <f>VLOOKUP(Table9[[#This Row],[Shortname]], Comp[], 16, FALSE)</f>
        <v>0</v>
      </c>
      <c r="T1242">
        <f>VLOOKUP(Table9[[#This Row],[Shortname]], Comp[], 17, FALSE)</f>
        <v>0</v>
      </c>
      <c r="U1242">
        <f>VLOOKUP(Table9[[#This Row],[Shortname]], Comp[], 18, FALSE)</f>
        <v>0</v>
      </c>
      <c r="V1242">
        <f>VLOOKUP(Table9[[#This Row],[Shortname]], Comp[], 19, FALSE)</f>
        <v>0</v>
      </c>
      <c r="W1242">
        <f>VLOOKUP(Table9[[#This Row],[Shortname]], Comp[], 20, FALSE)</f>
        <v>0</v>
      </c>
      <c r="X1242">
        <f>VLOOKUP(Table9[[#This Row],[Shortname]], Comp[], 21, FALSE)</f>
        <v>0</v>
      </c>
      <c r="Y1242">
        <f>VLOOKUP(Table9[[#This Row],[Shortname]], Comp[], 22, FALSE)</f>
        <v>0</v>
      </c>
      <c r="Z1242">
        <f>VLOOKUP(Table9[[#This Row],[Shortname]], Comp[], 23, FALSE)</f>
        <v>0</v>
      </c>
      <c r="AA1242">
        <f>VLOOKUP(Table9[[#This Row],[Shortname]], Comp[], 24, FALSE)</f>
        <v>0</v>
      </c>
      <c r="AB1242">
        <f>VLOOKUP(Table9[[#This Row],[Shortname]], Comp[], 25, FALSE)</f>
        <v>0</v>
      </c>
      <c r="AC1242">
        <f>VLOOKUP(Table9[[#This Row],[Shortname]], Comp[], 26, FALSE)</f>
        <v>0</v>
      </c>
      <c r="AD1242">
        <f>VLOOKUP(Table9[[#This Row],[Shortname]], Comp[], 27, FALSE)</f>
        <v>0</v>
      </c>
      <c r="AE1242">
        <f>VLOOKUP(Table9[[#This Row],[Shortname]], Comp[], 28, FALSE)</f>
        <v>0</v>
      </c>
      <c r="AF1242">
        <f>VLOOKUP(Table9[[#This Row],[Shortname]], Comp[], 29, FALSE)</f>
        <v>0</v>
      </c>
      <c r="AG1242">
        <f>VLOOKUP(Table9[[#This Row],[Shortname]], Comp[], 30, FALSE)</f>
        <v>0</v>
      </c>
      <c r="AH1242">
        <f>VLOOKUP(Table9[[#This Row],[Shortname]], Comp[], 31, FALSE)</f>
        <v>0.5</v>
      </c>
    </row>
    <row r="1243" spans="1:34" x14ac:dyDescent="0.3">
      <c r="A1243" t="s">
        <v>6356</v>
      </c>
      <c r="B1243" t="s">
        <v>6357</v>
      </c>
      <c r="C1243" t="s">
        <v>6350</v>
      </c>
      <c r="D1243">
        <v>914</v>
      </c>
      <c r="E1243">
        <v>25</v>
      </c>
      <c r="F1243">
        <v>1E-3</v>
      </c>
      <c r="G1243">
        <v>1</v>
      </c>
      <c r="H1243" t="s">
        <v>6803</v>
      </c>
      <c r="I1243">
        <f>VLOOKUP(Table9[[#This Row],[Shortname]], Comp[], 6, FALSE)</f>
        <v>1054</v>
      </c>
      <c r="J1243" s="14">
        <f>VLOOKUP(Table9[[#This Row],[Shortname]], Comp[], 7, FALSE)</f>
        <v>81.900000000000006</v>
      </c>
      <c r="K1243">
        <f>VLOOKUP(Table9[[#This Row],[Shortname]], Comp[], 8, FALSE)</f>
        <v>0</v>
      </c>
      <c r="L1243">
        <f>VLOOKUP(Table9[[#This Row],[Shortname]], Comp[], 9, FALSE)</f>
        <v>8.6</v>
      </c>
      <c r="M1243">
        <f>VLOOKUP(Table9[[#This Row],[Shortname]], Comp[], 10, FALSE)</f>
        <v>0</v>
      </c>
      <c r="N1243">
        <f>VLOOKUP(Table9[[#This Row],[Shortname]], Comp[], 11, FALSE)</f>
        <v>9.5</v>
      </c>
      <c r="O1243">
        <f>VLOOKUP(Table9[[#This Row],[Shortname]], Comp[],12, FALSE)</f>
        <v>0</v>
      </c>
      <c r="P1243">
        <f>VLOOKUP(Table9[[#This Row],[Shortname]], Comp[], 13, FALSE)</f>
        <v>0</v>
      </c>
      <c r="Q1243">
        <f>VLOOKUP(Table9[[#This Row],[Shortname]], Comp[], 14, FALSE)</f>
        <v>0</v>
      </c>
      <c r="R1243">
        <f>VLOOKUP(Table9[[#This Row],[Shortname]], Comp[], 15, FALSE)</f>
        <v>0</v>
      </c>
      <c r="S1243">
        <f>VLOOKUP(Table9[[#This Row],[Shortname]], Comp[], 16, FALSE)</f>
        <v>0</v>
      </c>
      <c r="T1243">
        <f>VLOOKUP(Table9[[#This Row],[Shortname]], Comp[], 17, FALSE)</f>
        <v>0</v>
      </c>
      <c r="U1243">
        <f>VLOOKUP(Table9[[#This Row],[Shortname]], Comp[], 18, FALSE)</f>
        <v>0</v>
      </c>
      <c r="V1243">
        <f>VLOOKUP(Table9[[#This Row],[Shortname]], Comp[], 19, FALSE)</f>
        <v>0</v>
      </c>
      <c r="W1243">
        <f>VLOOKUP(Table9[[#This Row],[Shortname]], Comp[], 20, FALSE)</f>
        <v>0</v>
      </c>
      <c r="X1243">
        <f>VLOOKUP(Table9[[#This Row],[Shortname]], Comp[], 21, FALSE)</f>
        <v>0</v>
      </c>
      <c r="Y1243">
        <f>VLOOKUP(Table9[[#This Row],[Shortname]], Comp[], 22, FALSE)</f>
        <v>0</v>
      </c>
      <c r="Z1243">
        <f>VLOOKUP(Table9[[#This Row],[Shortname]], Comp[], 23, FALSE)</f>
        <v>0</v>
      </c>
      <c r="AA1243">
        <f>VLOOKUP(Table9[[#This Row],[Shortname]], Comp[], 24, FALSE)</f>
        <v>0</v>
      </c>
      <c r="AB1243">
        <f>VLOOKUP(Table9[[#This Row],[Shortname]], Comp[], 25, FALSE)</f>
        <v>0</v>
      </c>
      <c r="AC1243">
        <f>VLOOKUP(Table9[[#This Row],[Shortname]], Comp[], 26, FALSE)</f>
        <v>0</v>
      </c>
      <c r="AD1243">
        <f>VLOOKUP(Table9[[#This Row],[Shortname]], Comp[], 27, FALSE)</f>
        <v>0</v>
      </c>
      <c r="AE1243">
        <f>VLOOKUP(Table9[[#This Row],[Shortname]], Comp[], 28, FALSE)</f>
        <v>0</v>
      </c>
      <c r="AF1243">
        <f>VLOOKUP(Table9[[#This Row],[Shortname]], Comp[], 29, FALSE)</f>
        <v>0</v>
      </c>
      <c r="AG1243">
        <f>VLOOKUP(Table9[[#This Row],[Shortname]], Comp[], 30, FALSE)</f>
        <v>0</v>
      </c>
      <c r="AH1243">
        <f>VLOOKUP(Table9[[#This Row],[Shortname]], Comp[], 31, FALSE)</f>
        <v>2.9</v>
      </c>
    </row>
    <row r="1244" spans="1:34" x14ac:dyDescent="0.3">
      <c r="A1244" t="s">
        <v>6486</v>
      </c>
      <c r="B1244" t="s">
        <v>6487</v>
      </c>
      <c r="C1244" t="s">
        <v>6431</v>
      </c>
      <c r="D1244">
        <v>607.78650170000003</v>
      </c>
      <c r="E1244">
        <v>25</v>
      </c>
      <c r="F1244">
        <v>1E-4</v>
      </c>
      <c r="G1244">
        <v>1</v>
      </c>
      <c r="I1244">
        <f>VLOOKUP(Table9[[#This Row],[Shortname]], Comp[], 6, FALSE)</f>
        <v>1084</v>
      </c>
      <c r="J1244" s="14">
        <f>VLOOKUP(Table9[[#This Row],[Shortname]], Comp[], 7, FALSE)</f>
        <v>52.580000000000005</v>
      </c>
      <c r="K1244">
        <f>VLOOKUP(Table9[[#This Row],[Shortname]], Comp[], 8, FALSE)</f>
        <v>29.36</v>
      </c>
      <c r="L1244">
        <f>VLOOKUP(Table9[[#This Row],[Shortname]], Comp[], 9, FALSE)</f>
        <v>5.44</v>
      </c>
      <c r="M1244">
        <f>VLOOKUP(Table9[[#This Row],[Shortname]], Comp[], 10, FALSE)</f>
        <v>4.07</v>
      </c>
      <c r="N1244">
        <f>VLOOKUP(Table9[[#This Row],[Shortname]], Comp[], 11, FALSE)</f>
        <v>0</v>
      </c>
      <c r="O1244">
        <f>VLOOKUP(Table9[[#This Row],[Shortname]], Comp[],12, FALSE)</f>
        <v>2.27</v>
      </c>
      <c r="P1244">
        <f>VLOOKUP(Table9[[#This Row],[Shortname]], Comp[], 13, FALSE)</f>
        <v>1.69</v>
      </c>
      <c r="Q1244">
        <f>VLOOKUP(Table9[[#This Row],[Shortname]], Comp[], 14, FALSE)</f>
        <v>1.37</v>
      </c>
      <c r="R1244">
        <f>VLOOKUP(Table9[[#This Row],[Shortname]], Comp[], 15, FALSE)</f>
        <v>3.14</v>
      </c>
      <c r="S1244">
        <f>VLOOKUP(Table9[[#This Row],[Shortname]], Comp[], 16, FALSE)</f>
        <v>0</v>
      </c>
      <c r="T1244">
        <f>VLOOKUP(Table9[[#This Row],[Shortname]], Comp[], 17, FALSE)</f>
        <v>0</v>
      </c>
      <c r="U1244">
        <f>VLOOKUP(Table9[[#This Row],[Shortname]], Comp[], 18, FALSE)</f>
        <v>0</v>
      </c>
      <c r="V1244">
        <f>VLOOKUP(Table9[[#This Row],[Shortname]], Comp[], 19, FALSE)</f>
        <v>0.08</v>
      </c>
      <c r="W1244">
        <f>VLOOKUP(Table9[[#This Row],[Shortname]], Comp[], 20, FALSE)</f>
        <v>0</v>
      </c>
      <c r="X1244">
        <f>VLOOKUP(Table9[[#This Row],[Shortname]], Comp[], 21, FALSE)</f>
        <v>0</v>
      </c>
      <c r="Y1244">
        <f>VLOOKUP(Table9[[#This Row],[Shortname]], Comp[], 22, FALSE)</f>
        <v>0</v>
      </c>
      <c r="Z1244">
        <f>VLOOKUP(Table9[[#This Row],[Shortname]], Comp[], 23, FALSE)</f>
        <v>0</v>
      </c>
      <c r="AA1244">
        <f>VLOOKUP(Table9[[#This Row],[Shortname]], Comp[], 24, FALSE)</f>
        <v>0</v>
      </c>
      <c r="AB1244">
        <f>VLOOKUP(Table9[[#This Row],[Shortname]], Comp[], 25, FALSE)</f>
        <v>0</v>
      </c>
      <c r="AC1244">
        <f>VLOOKUP(Table9[[#This Row],[Shortname]], Comp[], 26, FALSE)</f>
        <v>0</v>
      </c>
      <c r="AD1244">
        <f>VLOOKUP(Table9[[#This Row],[Shortname]], Comp[], 27, FALSE)</f>
        <v>0</v>
      </c>
      <c r="AE1244">
        <f>VLOOKUP(Table9[[#This Row],[Shortname]], Comp[], 28, FALSE)</f>
        <v>0</v>
      </c>
      <c r="AF1244">
        <f>VLOOKUP(Table9[[#This Row],[Shortname]], Comp[], 29, FALSE)</f>
        <v>0</v>
      </c>
      <c r="AG1244">
        <f>VLOOKUP(Table9[[#This Row],[Shortname]], Comp[], 30, FALSE)</f>
        <v>0</v>
      </c>
      <c r="AH1244">
        <f>VLOOKUP(Table9[[#This Row],[Shortname]], Comp[], 31, FALSE)</f>
        <v>0</v>
      </c>
    </row>
    <row r="1245" spans="1:34" x14ac:dyDescent="0.3">
      <c r="A1245" t="s">
        <v>6486</v>
      </c>
      <c r="B1245" t="s">
        <v>6487</v>
      </c>
      <c r="C1245" t="s">
        <v>6431</v>
      </c>
      <c r="D1245">
        <v>630.7449464</v>
      </c>
      <c r="E1245">
        <v>600</v>
      </c>
      <c r="F1245">
        <v>1E-4</v>
      </c>
      <c r="G1245">
        <v>1</v>
      </c>
      <c r="I1245">
        <f>VLOOKUP(Table9[[#This Row],[Shortname]], Comp[], 6, FALSE)</f>
        <v>1084</v>
      </c>
      <c r="J1245" s="14">
        <f>VLOOKUP(Table9[[#This Row],[Shortname]], Comp[], 7, FALSE)</f>
        <v>52.580000000000005</v>
      </c>
      <c r="K1245">
        <f>VLOOKUP(Table9[[#This Row],[Shortname]], Comp[], 8, FALSE)</f>
        <v>29.36</v>
      </c>
      <c r="L1245">
        <f>VLOOKUP(Table9[[#This Row],[Shortname]], Comp[], 9, FALSE)</f>
        <v>5.44</v>
      </c>
      <c r="M1245">
        <f>VLOOKUP(Table9[[#This Row],[Shortname]], Comp[], 10, FALSE)</f>
        <v>4.07</v>
      </c>
      <c r="N1245">
        <f>VLOOKUP(Table9[[#This Row],[Shortname]], Comp[], 11, FALSE)</f>
        <v>0</v>
      </c>
      <c r="O1245">
        <f>VLOOKUP(Table9[[#This Row],[Shortname]], Comp[],12, FALSE)</f>
        <v>2.27</v>
      </c>
      <c r="P1245">
        <f>VLOOKUP(Table9[[#This Row],[Shortname]], Comp[], 13, FALSE)</f>
        <v>1.69</v>
      </c>
      <c r="Q1245">
        <f>VLOOKUP(Table9[[#This Row],[Shortname]], Comp[], 14, FALSE)</f>
        <v>1.37</v>
      </c>
      <c r="R1245">
        <f>VLOOKUP(Table9[[#This Row],[Shortname]], Comp[], 15, FALSE)</f>
        <v>3.14</v>
      </c>
      <c r="S1245">
        <f>VLOOKUP(Table9[[#This Row],[Shortname]], Comp[], 16, FALSE)</f>
        <v>0</v>
      </c>
      <c r="T1245">
        <f>VLOOKUP(Table9[[#This Row],[Shortname]], Comp[], 17, FALSE)</f>
        <v>0</v>
      </c>
      <c r="U1245">
        <f>VLOOKUP(Table9[[#This Row],[Shortname]], Comp[], 18, FALSE)</f>
        <v>0</v>
      </c>
      <c r="V1245">
        <f>VLOOKUP(Table9[[#This Row],[Shortname]], Comp[], 19, FALSE)</f>
        <v>0.08</v>
      </c>
      <c r="W1245">
        <f>VLOOKUP(Table9[[#This Row],[Shortname]], Comp[], 20, FALSE)</f>
        <v>0</v>
      </c>
      <c r="X1245">
        <f>VLOOKUP(Table9[[#This Row],[Shortname]], Comp[], 21, FALSE)</f>
        <v>0</v>
      </c>
      <c r="Y1245">
        <f>VLOOKUP(Table9[[#This Row],[Shortname]], Comp[], 22, FALSE)</f>
        <v>0</v>
      </c>
      <c r="Z1245">
        <f>VLOOKUP(Table9[[#This Row],[Shortname]], Comp[], 23, FALSE)</f>
        <v>0</v>
      </c>
      <c r="AA1245">
        <f>VLOOKUP(Table9[[#This Row],[Shortname]], Comp[], 24, FALSE)</f>
        <v>0</v>
      </c>
      <c r="AB1245">
        <f>VLOOKUP(Table9[[#This Row],[Shortname]], Comp[], 25, FALSE)</f>
        <v>0</v>
      </c>
      <c r="AC1245">
        <f>VLOOKUP(Table9[[#This Row],[Shortname]], Comp[], 26, FALSE)</f>
        <v>0</v>
      </c>
      <c r="AD1245">
        <f>VLOOKUP(Table9[[#This Row],[Shortname]], Comp[], 27, FALSE)</f>
        <v>0</v>
      </c>
      <c r="AE1245">
        <f>VLOOKUP(Table9[[#This Row],[Shortname]], Comp[], 28, FALSE)</f>
        <v>0</v>
      </c>
      <c r="AF1245">
        <f>VLOOKUP(Table9[[#This Row],[Shortname]], Comp[], 29, FALSE)</f>
        <v>0</v>
      </c>
      <c r="AG1245">
        <f>VLOOKUP(Table9[[#This Row],[Shortname]], Comp[], 30, FALSE)</f>
        <v>0</v>
      </c>
      <c r="AH1245">
        <f>VLOOKUP(Table9[[#This Row],[Shortname]], Comp[], 31, FALSE)</f>
        <v>0</v>
      </c>
    </row>
    <row r="1246" spans="1:34" x14ac:dyDescent="0.3">
      <c r="A1246" t="s">
        <v>6486</v>
      </c>
      <c r="B1246" t="s">
        <v>6487</v>
      </c>
      <c r="C1246" t="s">
        <v>6431</v>
      </c>
      <c r="D1246">
        <v>644.35669410000003</v>
      </c>
      <c r="E1246">
        <v>700</v>
      </c>
      <c r="F1246">
        <v>1E-4</v>
      </c>
      <c r="G1246">
        <v>1</v>
      </c>
      <c r="I1246">
        <f>VLOOKUP(Table9[[#This Row],[Shortname]], Comp[], 6, FALSE)</f>
        <v>1084</v>
      </c>
      <c r="J1246" s="14">
        <f>VLOOKUP(Table9[[#This Row],[Shortname]], Comp[], 7, FALSE)</f>
        <v>52.580000000000005</v>
      </c>
      <c r="K1246">
        <f>VLOOKUP(Table9[[#This Row],[Shortname]], Comp[], 8, FALSE)</f>
        <v>29.36</v>
      </c>
      <c r="L1246">
        <f>VLOOKUP(Table9[[#This Row],[Shortname]], Comp[], 9, FALSE)</f>
        <v>5.44</v>
      </c>
      <c r="M1246">
        <f>VLOOKUP(Table9[[#This Row],[Shortname]], Comp[], 10, FALSE)</f>
        <v>4.07</v>
      </c>
      <c r="N1246">
        <f>VLOOKUP(Table9[[#This Row],[Shortname]], Comp[], 11, FALSE)</f>
        <v>0</v>
      </c>
      <c r="O1246">
        <f>VLOOKUP(Table9[[#This Row],[Shortname]], Comp[],12, FALSE)</f>
        <v>2.27</v>
      </c>
      <c r="P1246">
        <f>VLOOKUP(Table9[[#This Row],[Shortname]], Comp[], 13, FALSE)</f>
        <v>1.69</v>
      </c>
      <c r="Q1246">
        <f>VLOOKUP(Table9[[#This Row],[Shortname]], Comp[], 14, FALSE)</f>
        <v>1.37</v>
      </c>
      <c r="R1246">
        <f>VLOOKUP(Table9[[#This Row],[Shortname]], Comp[], 15, FALSE)</f>
        <v>3.14</v>
      </c>
      <c r="S1246">
        <f>VLOOKUP(Table9[[#This Row],[Shortname]], Comp[], 16, FALSE)</f>
        <v>0</v>
      </c>
      <c r="T1246">
        <f>VLOOKUP(Table9[[#This Row],[Shortname]], Comp[], 17, FALSE)</f>
        <v>0</v>
      </c>
      <c r="U1246">
        <f>VLOOKUP(Table9[[#This Row],[Shortname]], Comp[], 18, FALSE)</f>
        <v>0</v>
      </c>
      <c r="V1246">
        <f>VLOOKUP(Table9[[#This Row],[Shortname]], Comp[], 19, FALSE)</f>
        <v>0.08</v>
      </c>
      <c r="W1246">
        <f>VLOOKUP(Table9[[#This Row],[Shortname]], Comp[], 20, FALSE)</f>
        <v>0</v>
      </c>
      <c r="X1246">
        <f>VLOOKUP(Table9[[#This Row],[Shortname]], Comp[], 21, FALSE)</f>
        <v>0</v>
      </c>
      <c r="Y1246">
        <f>VLOOKUP(Table9[[#This Row],[Shortname]], Comp[], 22, FALSE)</f>
        <v>0</v>
      </c>
      <c r="Z1246">
        <f>VLOOKUP(Table9[[#This Row],[Shortname]], Comp[], 23, FALSE)</f>
        <v>0</v>
      </c>
      <c r="AA1246">
        <f>VLOOKUP(Table9[[#This Row],[Shortname]], Comp[], 24, FALSE)</f>
        <v>0</v>
      </c>
      <c r="AB1246">
        <f>VLOOKUP(Table9[[#This Row],[Shortname]], Comp[], 25, FALSE)</f>
        <v>0</v>
      </c>
      <c r="AC1246">
        <f>VLOOKUP(Table9[[#This Row],[Shortname]], Comp[], 26, FALSE)</f>
        <v>0</v>
      </c>
      <c r="AD1246">
        <f>VLOOKUP(Table9[[#This Row],[Shortname]], Comp[], 27, FALSE)</f>
        <v>0</v>
      </c>
      <c r="AE1246">
        <f>VLOOKUP(Table9[[#This Row],[Shortname]], Comp[], 28, FALSE)</f>
        <v>0</v>
      </c>
      <c r="AF1246">
        <f>VLOOKUP(Table9[[#This Row],[Shortname]], Comp[], 29, FALSE)</f>
        <v>0</v>
      </c>
      <c r="AG1246">
        <f>VLOOKUP(Table9[[#This Row],[Shortname]], Comp[], 30, FALSE)</f>
        <v>0</v>
      </c>
      <c r="AH1246">
        <f>VLOOKUP(Table9[[#This Row],[Shortname]], Comp[], 31, FALSE)</f>
        <v>0</v>
      </c>
    </row>
    <row r="1247" spans="1:34" x14ac:dyDescent="0.3">
      <c r="A1247" t="s">
        <v>6486</v>
      </c>
      <c r="B1247" t="s">
        <v>6487</v>
      </c>
      <c r="C1247" t="s">
        <v>6431</v>
      </c>
      <c r="D1247">
        <v>736.06992439999999</v>
      </c>
      <c r="E1247">
        <v>750</v>
      </c>
      <c r="F1247">
        <v>1E-4</v>
      </c>
      <c r="G1247">
        <v>1</v>
      </c>
      <c r="I1247">
        <f>VLOOKUP(Table9[[#This Row],[Shortname]], Comp[], 6, FALSE)</f>
        <v>1084</v>
      </c>
      <c r="J1247" s="14">
        <f>VLOOKUP(Table9[[#This Row],[Shortname]], Comp[], 7, FALSE)</f>
        <v>52.580000000000005</v>
      </c>
      <c r="K1247">
        <f>VLOOKUP(Table9[[#This Row],[Shortname]], Comp[], 8, FALSE)</f>
        <v>29.36</v>
      </c>
      <c r="L1247">
        <f>VLOOKUP(Table9[[#This Row],[Shortname]], Comp[], 9, FALSE)</f>
        <v>5.44</v>
      </c>
      <c r="M1247">
        <f>VLOOKUP(Table9[[#This Row],[Shortname]], Comp[], 10, FALSE)</f>
        <v>4.07</v>
      </c>
      <c r="N1247">
        <f>VLOOKUP(Table9[[#This Row],[Shortname]], Comp[], 11, FALSE)</f>
        <v>0</v>
      </c>
      <c r="O1247">
        <f>VLOOKUP(Table9[[#This Row],[Shortname]], Comp[],12, FALSE)</f>
        <v>2.27</v>
      </c>
      <c r="P1247">
        <f>VLOOKUP(Table9[[#This Row],[Shortname]], Comp[], 13, FALSE)</f>
        <v>1.69</v>
      </c>
      <c r="Q1247">
        <f>VLOOKUP(Table9[[#This Row],[Shortname]], Comp[], 14, FALSE)</f>
        <v>1.37</v>
      </c>
      <c r="R1247">
        <f>VLOOKUP(Table9[[#This Row],[Shortname]], Comp[], 15, FALSE)</f>
        <v>3.14</v>
      </c>
      <c r="S1247">
        <f>VLOOKUP(Table9[[#This Row],[Shortname]], Comp[], 16, FALSE)</f>
        <v>0</v>
      </c>
      <c r="T1247">
        <f>VLOOKUP(Table9[[#This Row],[Shortname]], Comp[], 17, FALSE)</f>
        <v>0</v>
      </c>
      <c r="U1247">
        <f>VLOOKUP(Table9[[#This Row],[Shortname]], Comp[], 18, FALSE)</f>
        <v>0</v>
      </c>
      <c r="V1247">
        <f>VLOOKUP(Table9[[#This Row],[Shortname]], Comp[], 19, FALSE)</f>
        <v>0.08</v>
      </c>
      <c r="W1247">
        <f>VLOOKUP(Table9[[#This Row],[Shortname]], Comp[], 20, FALSE)</f>
        <v>0</v>
      </c>
      <c r="X1247">
        <f>VLOOKUP(Table9[[#This Row],[Shortname]], Comp[], 21, FALSE)</f>
        <v>0</v>
      </c>
      <c r="Y1247">
        <f>VLOOKUP(Table9[[#This Row],[Shortname]], Comp[], 22, FALSE)</f>
        <v>0</v>
      </c>
      <c r="Z1247">
        <f>VLOOKUP(Table9[[#This Row],[Shortname]], Comp[], 23, FALSE)</f>
        <v>0</v>
      </c>
      <c r="AA1247">
        <f>VLOOKUP(Table9[[#This Row],[Shortname]], Comp[], 24, FALSE)</f>
        <v>0</v>
      </c>
      <c r="AB1247">
        <f>VLOOKUP(Table9[[#This Row],[Shortname]], Comp[], 25, FALSE)</f>
        <v>0</v>
      </c>
      <c r="AC1247">
        <f>VLOOKUP(Table9[[#This Row],[Shortname]], Comp[], 26, FALSE)</f>
        <v>0</v>
      </c>
      <c r="AD1247">
        <f>VLOOKUP(Table9[[#This Row],[Shortname]], Comp[], 27, FALSE)</f>
        <v>0</v>
      </c>
      <c r="AE1247">
        <f>VLOOKUP(Table9[[#This Row],[Shortname]], Comp[], 28, FALSE)</f>
        <v>0</v>
      </c>
      <c r="AF1247">
        <f>VLOOKUP(Table9[[#This Row],[Shortname]], Comp[], 29, FALSE)</f>
        <v>0</v>
      </c>
      <c r="AG1247">
        <f>VLOOKUP(Table9[[#This Row],[Shortname]], Comp[], 30, FALSE)</f>
        <v>0</v>
      </c>
      <c r="AH1247">
        <f>VLOOKUP(Table9[[#This Row],[Shortname]], Comp[], 31, FALSE)</f>
        <v>0</v>
      </c>
    </row>
    <row r="1248" spans="1:34" x14ac:dyDescent="0.3">
      <c r="A1248" t="s">
        <v>6486</v>
      </c>
      <c r="B1248" t="s">
        <v>6487</v>
      </c>
      <c r="C1248" t="s">
        <v>6431</v>
      </c>
      <c r="D1248">
        <v>807.47387360000005</v>
      </c>
      <c r="E1248">
        <v>800</v>
      </c>
      <c r="F1248">
        <v>1E-4</v>
      </c>
      <c r="G1248">
        <v>1</v>
      </c>
      <c r="I1248">
        <f>VLOOKUP(Table9[[#This Row],[Shortname]], Comp[], 6, FALSE)</f>
        <v>1084</v>
      </c>
      <c r="J1248" s="14">
        <f>VLOOKUP(Table9[[#This Row],[Shortname]], Comp[], 7, FALSE)</f>
        <v>52.580000000000005</v>
      </c>
      <c r="K1248">
        <f>VLOOKUP(Table9[[#This Row],[Shortname]], Comp[], 8, FALSE)</f>
        <v>29.36</v>
      </c>
      <c r="L1248">
        <f>VLOOKUP(Table9[[#This Row],[Shortname]], Comp[], 9, FALSE)</f>
        <v>5.44</v>
      </c>
      <c r="M1248">
        <f>VLOOKUP(Table9[[#This Row],[Shortname]], Comp[], 10, FALSE)</f>
        <v>4.07</v>
      </c>
      <c r="N1248">
        <f>VLOOKUP(Table9[[#This Row],[Shortname]], Comp[], 11, FALSE)</f>
        <v>0</v>
      </c>
      <c r="O1248">
        <f>VLOOKUP(Table9[[#This Row],[Shortname]], Comp[],12, FALSE)</f>
        <v>2.27</v>
      </c>
      <c r="P1248">
        <f>VLOOKUP(Table9[[#This Row],[Shortname]], Comp[], 13, FALSE)</f>
        <v>1.69</v>
      </c>
      <c r="Q1248">
        <f>VLOOKUP(Table9[[#This Row],[Shortname]], Comp[], 14, FALSE)</f>
        <v>1.37</v>
      </c>
      <c r="R1248">
        <f>VLOOKUP(Table9[[#This Row],[Shortname]], Comp[], 15, FALSE)</f>
        <v>3.14</v>
      </c>
      <c r="S1248">
        <f>VLOOKUP(Table9[[#This Row],[Shortname]], Comp[], 16, FALSE)</f>
        <v>0</v>
      </c>
      <c r="T1248">
        <f>VLOOKUP(Table9[[#This Row],[Shortname]], Comp[], 17, FALSE)</f>
        <v>0</v>
      </c>
      <c r="U1248">
        <f>VLOOKUP(Table9[[#This Row],[Shortname]], Comp[], 18, FALSE)</f>
        <v>0</v>
      </c>
      <c r="V1248">
        <f>VLOOKUP(Table9[[#This Row],[Shortname]], Comp[], 19, FALSE)</f>
        <v>0.08</v>
      </c>
      <c r="W1248">
        <f>VLOOKUP(Table9[[#This Row],[Shortname]], Comp[], 20, FALSE)</f>
        <v>0</v>
      </c>
      <c r="X1248">
        <f>VLOOKUP(Table9[[#This Row],[Shortname]], Comp[], 21, FALSE)</f>
        <v>0</v>
      </c>
      <c r="Y1248">
        <f>VLOOKUP(Table9[[#This Row],[Shortname]], Comp[], 22, FALSE)</f>
        <v>0</v>
      </c>
      <c r="Z1248">
        <f>VLOOKUP(Table9[[#This Row],[Shortname]], Comp[], 23, FALSE)</f>
        <v>0</v>
      </c>
      <c r="AA1248">
        <f>VLOOKUP(Table9[[#This Row],[Shortname]], Comp[], 24, FALSE)</f>
        <v>0</v>
      </c>
      <c r="AB1248">
        <f>VLOOKUP(Table9[[#This Row],[Shortname]], Comp[], 25, FALSE)</f>
        <v>0</v>
      </c>
      <c r="AC1248">
        <f>VLOOKUP(Table9[[#This Row],[Shortname]], Comp[], 26, FALSE)</f>
        <v>0</v>
      </c>
      <c r="AD1248">
        <f>VLOOKUP(Table9[[#This Row],[Shortname]], Comp[], 27, FALSE)</f>
        <v>0</v>
      </c>
      <c r="AE1248">
        <f>VLOOKUP(Table9[[#This Row],[Shortname]], Comp[], 28, FALSE)</f>
        <v>0</v>
      </c>
      <c r="AF1248">
        <f>VLOOKUP(Table9[[#This Row],[Shortname]], Comp[], 29, FALSE)</f>
        <v>0</v>
      </c>
      <c r="AG1248">
        <f>VLOOKUP(Table9[[#This Row],[Shortname]], Comp[], 30, FALSE)</f>
        <v>0</v>
      </c>
      <c r="AH1248">
        <f>VLOOKUP(Table9[[#This Row],[Shortname]], Comp[], 31, FALSE)</f>
        <v>0</v>
      </c>
    </row>
    <row r="1249" spans="1:34" x14ac:dyDescent="0.3">
      <c r="A1249" t="s">
        <v>6486</v>
      </c>
      <c r="B1249" t="s">
        <v>6487</v>
      </c>
      <c r="C1249" t="s">
        <v>6431</v>
      </c>
      <c r="D1249">
        <v>683.27396309999995</v>
      </c>
      <c r="E1249">
        <v>850</v>
      </c>
      <c r="F1249">
        <v>1E-4</v>
      </c>
      <c r="G1249">
        <v>1</v>
      </c>
      <c r="I1249">
        <f>VLOOKUP(Table9[[#This Row],[Shortname]], Comp[], 6, FALSE)</f>
        <v>1084</v>
      </c>
      <c r="J1249" s="14">
        <f>VLOOKUP(Table9[[#This Row],[Shortname]], Comp[], 7, FALSE)</f>
        <v>52.580000000000005</v>
      </c>
      <c r="K1249">
        <f>VLOOKUP(Table9[[#This Row],[Shortname]], Comp[], 8, FALSE)</f>
        <v>29.36</v>
      </c>
      <c r="L1249">
        <f>VLOOKUP(Table9[[#This Row],[Shortname]], Comp[], 9, FALSE)</f>
        <v>5.44</v>
      </c>
      <c r="M1249">
        <f>VLOOKUP(Table9[[#This Row],[Shortname]], Comp[], 10, FALSE)</f>
        <v>4.07</v>
      </c>
      <c r="N1249">
        <f>VLOOKUP(Table9[[#This Row],[Shortname]], Comp[], 11, FALSE)</f>
        <v>0</v>
      </c>
      <c r="O1249">
        <f>VLOOKUP(Table9[[#This Row],[Shortname]], Comp[],12, FALSE)</f>
        <v>2.27</v>
      </c>
      <c r="P1249">
        <f>VLOOKUP(Table9[[#This Row],[Shortname]], Comp[], 13, FALSE)</f>
        <v>1.69</v>
      </c>
      <c r="Q1249">
        <f>VLOOKUP(Table9[[#This Row],[Shortname]], Comp[], 14, FALSE)</f>
        <v>1.37</v>
      </c>
      <c r="R1249">
        <f>VLOOKUP(Table9[[#This Row],[Shortname]], Comp[], 15, FALSE)</f>
        <v>3.14</v>
      </c>
      <c r="S1249">
        <f>VLOOKUP(Table9[[#This Row],[Shortname]], Comp[], 16, FALSE)</f>
        <v>0</v>
      </c>
      <c r="T1249">
        <f>VLOOKUP(Table9[[#This Row],[Shortname]], Comp[], 17, FALSE)</f>
        <v>0</v>
      </c>
      <c r="U1249">
        <f>VLOOKUP(Table9[[#This Row],[Shortname]], Comp[], 18, FALSE)</f>
        <v>0</v>
      </c>
      <c r="V1249">
        <f>VLOOKUP(Table9[[#This Row],[Shortname]], Comp[], 19, FALSE)</f>
        <v>0.08</v>
      </c>
      <c r="W1249">
        <f>VLOOKUP(Table9[[#This Row],[Shortname]], Comp[], 20, FALSE)</f>
        <v>0</v>
      </c>
      <c r="X1249">
        <f>VLOOKUP(Table9[[#This Row],[Shortname]], Comp[], 21, FALSE)</f>
        <v>0</v>
      </c>
      <c r="Y1249">
        <f>VLOOKUP(Table9[[#This Row],[Shortname]], Comp[], 22, FALSE)</f>
        <v>0</v>
      </c>
      <c r="Z1249">
        <f>VLOOKUP(Table9[[#This Row],[Shortname]], Comp[], 23, FALSE)</f>
        <v>0</v>
      </c>
      <c r="AA1249">
        <f>VLOOKUP(Table9[[#This Row],[Shortname]], Comp[], 24, FALSE)</f>
        <v>0</v>
      </c>
      <c r="AB1249">
        <f>VLOOKUP(Table9[[#This Row],[Shortname]], Comp[], 25, FALSE)</f>
        <v>0</v>
      </c>
      <c r="AC1249">
        <f>VLOOKUP(Table9[[#This Row],[Shortname]], Comp[], 26, FALSE)</f>
        <v>0</v>
      </c>
      <c r="AD1249">
        <f>VLOOKUP(Table9[[#This Row],[Shortname]], Comp[], 27, FALSE)</f>
        <v>0</v>
      </c>
      <c r="AE1249">
        <f>VLOOKUP(Table9[[#This Row],[Shortname]], Comp[], 28, FALSE)</f>
        <v>0</v>
      </c>
      <c r="AF1249">
        <f>VLOOKUP(Table9[[#This Row],[Shortname]], Comp[], 29, FALSE)</f>
        <v>0</v>
      </c>
      <c r="AG1249">
        <f>VLOOKUP(Table9[[#This Row],[Shortname]], Comp[], 30, FALSE)</f>
        <v>0</v>
      </c>
      <c r="AH1249">
        <f>VLOOKUP(Table9[[#This Row],[Shortname]], Comp[], 31, FALSE)</f>
        <v>0</v>
      </c>
    </row>
    <row r="1250" spans="1:34" x14ac:dyDescent="0.3">
      <c r="A1250" t="s">
        <v>6486</v>
      </c>
      <c r="B1250" t="s">
        <v>6487</v>
      </c>
      <c r="C1250" t="s">
        <v>6431</v>
      </c>
      <c r="D1250">
        <v>544.2316505</v>
      </c>
      <c r="E1250">
        <v>900</v>
      </c>
      <c r="F1250">
        <v>1E-4</v>
      </c>
      <c r="G1250">
        <v>1</v>
      </c>
      <c r="I1250">
        <f>VLOOKUP(Table9[[#This Row],[Shortname]], Comp[], 6, FALSE)</f>
        <v>1084</v>
      </c>
      <c r="J1250" s="14">
        <f>VLOOKUP(Table9[[#This Row],[Shortname]], Comp[], 7, FALSE)</f>
        <v>52.580000000000005</v>
      </c>
      <c r="K1250">
        <f>VLOOKUP(Table9[[#This Row],[Shortname]], Comp[], 8, FALSE)</f>
        <v>29.36</v>
      </c>
      <c r="L1250">
        <f>VLOOKUP(Table9[[#This Row],[Shortname]], Comp[], 9, FALSE)</f>
        <v>5.44</v>
      </c>
      <c r="M1250">
        <f>VLOOKUP(Table9[[#This Row],[Shortname]], Comp[], 10, FALSE)</f>
        <v>4.07</v>
      </c>
      <c r="N1250">
        <f>VLOOKUP(Table9[[#This Row],[Shortname]], Comp[], 11, FALSE)</f>
        <v>0</v>
      </c>
      <c r="O1250">
        <f>VLOOKUP(Table9[[#This Row],[Shortname]], Comp[],12, FALSE)</f>
        <v>2.27</v>
      </c>
      <c r="P1250">
        <f>VLOOKUP(Table9[[#This Row],[Shortname]], Comp[], 13, FALSE)</f>
        <v>1.69</v>
      </c>
      <c r="Q1250">
        <f>VLOOKUP(Table9[[#This Row],[Shortname]], Comp[], 14, FALSE)</f>
        <v>1.37</v>
      </c>
      <c r="R1250">
        <f>VLOOKUP(Table9[[#This Row],[Shortname]], Comp[], 15, FALSE)</f>
        <v>3.14</v>
      </c>
      <c r="S1250">
        <f>VLOOKUP(Table9[[#This Row],[Shortname]], Comp[], 16, FALSE)</f>
        <v>0</v>
      </c>
      <c r="T1250">
        <f>VLOOKUP(Table9[[#This Row],[Shortname]], Comp[], 17, FALSE)</f>
        <v>0</v>
      </c>
      <c r="U1250">
        <f>VLOOKUP(Table9[[#This Row],[Shortname]], Comp[], 18, FALSE)</f>
        <v>0</v>
      </c>
      <c r="V1250">
        <f>VLOOKUP(Table9[[#This Row],[Shortname]], Comp[], 19, FALSE)</f>
        <v>0.08</v>
      </c>
      <c r="W1250">
        <f>VLOOKUP(Table9[[#This Row],[Shortname]], Comp[], 20, FALSE)</f>
        <v>0</v>
      </c>
      <c r="X1250">
        <f>VLOOKUP(Table9[[#This Row],[Shortname]], Comp[], 21, FALSE)</f>
        <v>0</v>
      </c>
      <c r="Y1250">
        <f>VLOOKUP(Table9[[#This Row],[Shortname]], Comp[], 22, FALSE)</f>
        <v>0</v>
      </c>
      <c r="Z1250">
        <f>VLOOKUP(Table9[[#This Row],[Shortname]], Comp[], 23, FALSE)</f>
        <v>0</v>
      </c>
      <c r="AA1250">
        <f>VLOOKUP(Table9[[#This Row],[Shortname]], Comp[], 24, FALSE)</f>
        <v>0</v>
      </c>
      <c r="AB1250">
        <f>VLOOKUP(Table9[[#This Row],[Shortname]], Comp[], 25, FALSE)</f>
        <v>0</v>
      </c>
      <c r="AC1250">
        <f>VLOOKUP(Table9[[#This Row],[Shortname]], Comp[], 26, FALSE)</f>
        <v>0</v>
      </c>
      <c r="AD1250">
        <f>VLOOKUP(Table9[[#This Row],[Shortname]], Comp[], 27, FALSE)</f>
        <v>0</v>
      </c>
      <c r="AE1250">
        <f>VLOOKUP(Table9[[#This Row],[Shortname]], Comp[], 28, FALSE)</f>
        <v>0</v>
      </c>
      <c r="AF1250">
        <f>VLOOKUP(Table9[[#This Row],[Shortname]], Comp[], 29, FALSE)</f>
        <v>0</v>
      </c>
      <c r="AG1250">
        <f>VLOOKUP(Table9[[#This Row],[Shortname]], Comp[], 30, FALSE)</f>
        <v>0</v>
      </c>
      <c r="AH1250">
        <f>VLOOKUP(Table9[[#This Row],[Shortname]], Comp[], 31, FALSE)</f>
        <v>0</v>
      </c>
    </row>
    <row r="1251" spans="1:34" x14ac:dyDescent="0.3">
      <c r="A1251" t="s">
        <v>6486</v>
      </c>
      <c r="B1251" t="s">
        <v>6487</v>
      </c>
      <c r="C1251" t="s">
        <v>6431</v>
      </c>
      <c r="D1251">
        <v>404.78786129999997</v>
      </c>
      <c r="E1251">
        <v>950</v>
      </c>
      <c r="F1251">
        <v>1E-4</v>
      </c>
      <c r="G1251">
        <v>1</v>
      </c>
      <c r="I1251">
        <f>VLOOKUP(Table9[[#This Row],[Shortname]], Comp[], 6, FALSE)</f>
        <v>1084</v>
      </c>
      <c r="J1251" s="14">
        <f>VLOOKUP(Table9[[#This Row],[Shortname]], Comp[], 7, FALSE)</f>
        <v>52.580000000000005</v>
      </c>
      <c r="K1251">
        <f>VLOOKUP(Table9[[#This Row],[Shortname]], Comp[], 8, FALSE)</f>
        <v>29.36</v>
      </c>
      <c r="L1251">
        <f>VLOOKUP(Table9[[#This Row],[Shortname]], Comp[], 9, FALSE)</f>
        <v>5.44</v>
      </c>
      <c r="M1251">
        <f>VLOOKUP(Table9[[#This Row],[Shortname]], Comp[], 10, FALSE)</f>
        <v>4.07</v>
      </c>
      <c r="N1251">
        <f>VLOOKUP(Table9[[#This Row],[Shortname]], Comp[], 11, FALSE)</f>
        <v>0</v>
      </c>
      <c r="O1251">
        <f>VLOOKUP(Table9[[#This Row],[Shortname]], Comp[],12, FALSE)</f>
        <v>2.27</v>
      </c>
      <c r="P1251">
        <f>VLOOKUP(Table9[[#This Row],[Shortname]], Comp[], 13, FALSE)</f>
        <v>1.69</v>
      </c>
      <c r="Q1251">
        <f>VLOOKUP(Table9[[#This Row],[Shortname]], Comp[], 14, FALSE)</f>
        <v>1.37</v>
      </c>
      <c r="R1251">
        <f>VLOOKUP(Table9[[#This Row],[Shortname]], Comp[], 15, FALSE)</f>
        <v>3.14</v>
      </c>
      <c r="S1251">
        <f>VLOOKUP(Table9[[#This Row],[Shortname]], Comp[], 16, FALSE)</f>
        <v>0</v>
      </c>
      <c r="T1251">
        <f>VLOOKUP(Table9[[#This Row],[Shortname]], Comp[], 17, FALSE)</f>
        <v>0</v>
      </c>
      <c r="U1251">
        <f>VLOOKUP(Table9[[#This Row],[Shortname]], Comp[], 18, FALSE)</f>
        <v>0</v>
      </c>
      <c r="V1251">
        <f>VLOOKUP(Table9[[#This Row],[Shortname]], Comp[], 19, FALSE)</f>
        <v>0.08</v>
      </c>
      <c r="W1251">
        <f>VLOOKUP(Table9[[#This Row],[Shortname]], Comp[], 20, FALSE)</f>
        <v>0</v>
      </c>
      <c r="X1251">
        <f>VLOOKUP(Table9[[#This Row],[Shortname]], Comp[], 21, FALSE)</f>
        <v>0</v>
      </c>
      <c r="Y1251">
        <f>VLOOKUP(Table9[[#This Row],[Shortname]], Comp[], 22, FALSE)</f>
        <v>0</v>
      </c>
      <c r="Z1251">
        <f>VLOOKUP(Table9[[#This Row],[Shortname]], Comp[], 23, FALSE)</f>
        <v>0</v>
      </c>
      <c r="AA1251">
        <f>VLOOKUP(Table9[[#This Row],[Shortname]], Comp[], 24, FALSE)</f>
        <v>0</v>
      </c>
      <c r="AB1251">
        <f>VLOOKUP(Table9[[#This Row],[Shortname]], Comp[], 25, FALSE)</f>
        <v>0</v>
      </c>
      <c r="AC1251">
        <f>VLOOKUP(Table9[[#This Row],[Shortname]], Comp[], 26, FALSE)</f>
        <v>0</v>
      </c>
      <c r="AD1251">
        <f>VLOOKUP(Table9[[#This Row],[Shortname]], Comp[], 27, FALSE)</f>
        <v>0</v>
      </c>
      <c r="AE1251">
        <f>VLOOKUP(Table9[[#This Row],[Shortname]], Comp[], 28, FALSE)</f>
        <v>0</v>
      </c>
      <c r="AF1251">
        <f>VLOOKUP(Table9[[#This Row],[Shortname]], Comp[], 29, FALSE)</f>
        <v>0</v>
      </c>
      <c r="AG1251">
        <f>VLOOKUP(Table9[[#This Row],[Shortname]], Comp[], 30, FALSE)</f>
        <v>0</v>
      </c>
      <c r="AH1251">
        <f>VLOOKUP(Table9[[#This Row],[Shortname]], Comp[], 31, FALSE)</f>
        <v>0</v>
      </c>
    </row>
    <row r="1252" spans="1:34" x14ac:dyDescent="0.3">
      <c r="A1252" t="s">
        <v>6498</v>
      </c>
      <c r="B1252" t="s">
        <v>6499</v>
      </c>
      <c r="C1252" t="s">
        <v>6431</v>
      </c>
      <c r="D1252">
        <v>652.67464050000001</v>
      </c>
      <c r="E1252">
        <v>25</v>
      </c>
      <c r="F1252">
        <v>1E-4</v>
      </c>
      <c r="G1252">
        <v>1</v>
      </c>
      <c r="I1252">
        <f>VLOOKUP(Table9[[#This Row],[Shortname]], Comp[], 6, FALSE)</f>
        <v>1087</v>
      </c>
      <c r="J1252" s="14">
        <f>VLOOKUP(Table9[[#This Row],[Shortname]], Comp[], 7, FALSE)</f>
        <v>48.690000000000005</v>
      </c>
      <c r="K1252">
        <f>VLOOKUP(Table9[[#This Row],[Shortname]], Comp[], 8, FALSE)</f>
        <v>29.66</v>
      </c>
      <c r="L1252">
        <f>VLOOKUP(Table9[[#This Row],[Shortname]], Comp[], 9, FALSE)</f>
        <v>4.9800000000000004</v>
      </c>
      <c r="M1252">
        <f>VLOOKUP(Table9[[#This Row],[Shortname]], Comp[], 10, FALSE)</f>
        <v>8.19</v>
      </c>
      <c r="N1252">
        <f>VLOOKUP(Table9[[#This Row],[Shortname]], Comp[], 11, FALSE)</f>
        <v>0</v>
      </c>
      <c r="O1252">
        <f>VLOOKUP(Table9[[#This Row],[Shortname]], Comp[],12, FALSE)</f>
        <v>2.08</v>
      </c>
      <c r="P1252">
        <f>VLOOKUP(Table9[[#This Row],[Shortname]], Comp[], 13, FALSE)</f>
        <v>1.65</v>
      </c>
      <c r="Q1252">
        <f>VLOOKUP(Table9[[#This Row],[Shortname]], Comp[], 14, FALSE)</f>
        <v>1.6</v>
      </c>
      <c r="R1252">
        <f>VLOOKUP(Table9[[#This Row],[Shortname]], Comp[], 15, FALSE)</f>
        <v>3.07</v>
      </c>
      <c r="S1252">
        <f>VLOOKUP(Table9[[#This Row],[Shortname]], Comp[], 16, FALSE)</f>
        <v>0</v>
      </c>
      <c r="T1252">
        <f>VLOOKUP(Table9[[#This Row],[Shortname]], Comp[], 17, FALSE)</f>
        <v>0</v>
      </c>
      <c r="U1252">
        <f>VLOOKUP(Table9[[#This Row],[Shortname]], Comp[], 18, FALSE)</f>
        <v>0</v>
      </c>
      <c r="V1252">
        <f>VLOOKUP(Table9[[#This Row],[Shortname]], Comp[], 19, FALSE)</f>
        <v>0.08</v>
      </c>
      <c r="W1252">
        <f>VLOOKUP(Table9[[#This Row],[Shortname]], Comp[], 20, FALSE)</f>
        <v>0</v>
      </c>
      <c r="X1252">
        <f>VLOOKUP(Table9[[#This Row],[Shortname]], Comp[], 21, FALSE)</f>
        <v>0</v>
      </c>
      <c r="Y1252">
        <f>VLOOKUP(Table9[[#This Row],[Shortname]], Comp[], 22, FALSE)</f>
        <v>0</v>
      </c>
      <c r="Z1252">
        <f>VLOOKUP(Table9[[#This Row],[Shortname]], Comp[], 23, FALSE)</f>
        <v>0</v>
      </c>
      <c r="AA1252">
        <f>VLOOKUP(Table9[[#This Row],[Shortname]], Comp[], 24, FALSE)</f>
        <v>0</v>
      </c>
      <c r="AB1252">
        <f>VLOOKUP(Table9[[#This Row],[Shortname]], Comp[], 25, FALSE)</f>
        <v>0</v>
      </c>
      <c r="AC1252">
        <f>VLOOKUP(Table9[[#This Row],[Shortname]], Comp[], 26, FALSE)</f>
        <v>0</v>
      </c>
      <c r="AD1252">
        <f>VLOOKUP(Table9[[#This Row],[Shortname]], Comp[], 27, FALSE)</f>
        <v>0</v>
      </c>
      <c r="AE1252">
        <f>VLOOKUP(Table9[[#This Row],[Shortname]], Comp[], 28, FALSE)</f>
        <v>0</v>
      </c>
      <c r="AF1252">
        <f>VLOOKUP(Table9[[#This Row],[Shortname]], Comp[], 29, FALSE)</f>
        <v>0</v>
      </c>
      <c r="AG1252">
        <f>VLOOKUP(Table9[[#This Row],[Shortname]], Comp[], 30, FALSE)</f>
        <v>0</v>
      </c>
      <c r="AH1252">
        <f>VLOOKUP(Table9[[#This Row],[Shortname]], Comp[], 31, FALSE)</f>
        <v>0</v>
      </c>
    </row>
    <row r="1253" spans="1:34" x14ac:dyDescent="0.3">
      <c r="A1253" t="s">
        <v>6498</v>
      </c>
      <c r="B1253" t="s">
        <v>6499</v>
      </c>
      <c r="C1253" t="s">
        <v>6431</v>
      </c>
      <c r="D1253">
        <v>663.55697659999998</v>
      </c>
      <c r="E1253">
        <v>600</v>
      </c>
      <c r="F1253">
        <v>1E-4</v>
      </c>
      <c r="G1253">
        <v>1</v>
      </c>
      <c r="I1253">
        <f>VLOOKUP(Table9[[#This Row],[Shortname]], Comp[], 6, FALSE)</f>
        <v>1087</v>
      </c>
      <c r="J1253" s="14">
        <f>VLOOKUP(Table9[[#This Row],[Shortname]], Comp[], 7, FALSE)</f>
        <v>48.690000000000005</v>
      </c>
      <c r="K1253">
        <f>VLOOKUP(Table9[[#This Row],[Shortname]], Comp[], 8, FALSE)</f>
        <v>29.66</v>
      </c>
      <c r="L1253">
        <f>VLOOKUP(Table9[[#This Row],[Shortname]], Comp[], 9, FALSE)</f>
        <v>4.9800000000000004</v>
      </c>
      <c r="M1253">
        <f>VLOOKUP(Table9[[#This Row],[Shortname]], Comp[], 10, FALSE)</f>
        <v>8.19</v>
      </c>
      <c r="N1253">
        <f>VLOOKUP(Table9[[#This Row],[Shortname]], Comp[], 11, FALSE)</f>
        <v>0</v>
      </c>
      <c r="O1253">
        <f>VLOOKUP(Table9[[#This Row],[Shortname]], Comp[],12, FALSE)</f>
        <v>2.08</v>
      </c>
      <c r="P1253">
        <f>VLOOKUP(Table9[[#This Row],[Shortname]], Comp[], 13, FALSE)</f>
        <v>1.65</v>
      </c>
      <c r="Q1253">
        <f>VLOOKUP(Table9[[#This Row],[Shortname]], Comp[], 14, FALSE)</f>
        <v>1.6</v>
      </c>
      <c r="R1253">
        <f>VLOOKUP(Table9[[#This Row],[Shortname]], Comp[], 15, FALSE)</f>
        <v>3.07</v>
      </c>
      <c r="S1253">
        <f>VLOOKUP(Table9[[#This Row],[Shortname]], Comp[], 16, FALSE)</f>
        <v>0</v>
      </c>
      <c r="T1253">
        <f>VLOOKUP(Table9[[#This Row],[Shortname]], Comp[], 17, FALSE)</f>
        <v>0</v>
      </c>
      <c r="U1253">
        <f>VLOOKUP(Table9[[#This Row],[Shortname]], Comp[], 18, FALSE)</f>
        <v>0</v>
      </c>
      <c r="V1253">
        <f>VLOOKUP(Table9[[#This Row],[Shortname]], Comp[], 19, FALSE)</f>
        <v>0.08</v>
      </c>
      <c r="W1253">
        <f>VLOOKUP(Table9[[#This Row],[Shortname]], Comp[], 20, FALSE)</f>
        <v>0</v>
      </c>
      <c r="X1253">
        <f>VLOOKUP(Table9[[#This Row],[Shortname]], Comp[], 21, FALSE)</f>
        <v>0</v>
      </c>
      <c r="Y1253">
        <f>VLOOKUP(Table9[[#This Row],[Shortname]], Comp[], 22, FALSE)</f>
        <v>0</v>
      </c>
      <c r="Z1253">
        <f>VLOOKUP(Table9[[#This Row],[Shortname]], Comp[], 23, FALSE)</f>
        <v>0</v>
      </c>
      <c r="AA1253">
        <f>VLOOKUP(Table9[[#This Row],[Shortname]], Comp[], 24, FALSE)</f>
        <v>0</v>
      </c>
      <c r="AB1253">
        <f>VLOOKUP(Table9[[#This Row],[Shortname]], Comp[], 25, FALSE)</f>
        <v>0</v>
      </c>
      <c r="AC1253">
        <f>VLOOKUP(Table9[[#This Row],[Shortname]], Comp[], 26, FALSE)</f>
        <v>0</v>
      </c>
      <c r="AD1253">
        <f>VLOOKUP(Table9[[#This Row],[Shortname]], Comp[], 27, FALSE)</f>
        <v>0</v>
      </c>
      <c r="AE1253">
        <f>VLOOKUP(Table9[[#This Row],[Shortname]], Comp[], 28, FALSE)</f>
        <v>0</v>
      </c>
      <c r="AF1253">
        <f>VLOOKUP(Table9[[#This Row],[Shortname]], Comp[], 29, FALSE)</f>
        <v>0</v>
      </c>
      <c r="AG1253">
        <f>VLOOKUP(Table9[[#This Row],[Shortname]], Comp[], 30, FALSE)</f>
        <v>0</v>
      </c>
      <c r="AH1253">
        <f>VLOOKUP(Table9[[#This Row],[Shortname]], Comp[], 31, FALSE)</f>
        <v>0</v>
      </c>
    </row>
    <row r="1254" spans="1:34" x14ac:dyDescent="0.3">
      <c r="A1254" t="s">
        <v>6498</v>
      </c>
      <c r="B1254" t="s">
        <v>6499</v>
      </c>
      <c r="C1254" t="s">
        <v>6431</v>
      </c>
      <c r="D1254">
        <v>741.28831520000006</v>
      </c>
      <c r="E1254">
        <v>700</v>
      </c>
      <c r="F1254">
        <v>1E-4</v>
      </c>
      <c r="G1254">
        <v>1</v>
      </c>
      <c r="I1254">
        <f>VLOOKUP(Table9[[#This Row],[Shortname]], Comp[], 6, FALSE)</f>
        <v>1087</v>
      </c>
      <c r="J1254" s="14">
        <f>VLOOKUP(Table9[[#This Row],[Shortname]], Comp[], 7, FALSE)</f>
        <v>48.690000000000005</v>
      </c>
      <c r="K1254">
        <f>VLOOKUP(Table9[[#This Row],[Shortname]], Comp[], 8, FALSE)</f>
        <v>29.66</v>
      </c>
      <c r="L1254">
        <f>VLOOKUP(Table9[[#This Row],[Shortname]], Comp[], 9, FALSE)</f>
        <v>4.9800000000000004</v>
      </c>
      <c r="M1254">
        <f>VLOOKUP(Table9[[#This Row],[Shortname]], Comp[], 10, FALSE)</f>
        <v>8.19</v>
      </c>
      <c r="N1254">
        <f>VLOOKUP(Table9[[#This Row],[Shortname]], Comp[], 11, FALSE)</f>
        <v>0</v>
      </c>
      <c r="O1254">
        <f>VLOOKUP(Table9[[#This Row],[Shortname]], Comp[],12, FALSE)</f>
        <v>2.08</v>
      </c>
      <c r="P1254">
        <f>VLOOKUP(Table9[[#This Row],[Shortname]], Comp[], 13, FALSE)</f>
        <v>1.65</v>
      </c>
      <c r="Q1254">
        <f>VLOOKUP(Table9[[#This Row],[Shortname]], Comp[], 14, FALSE)</f>
        <v>1.6</v>
      </c>
      <c r="R1254">
        <f>VLOOKUP(Table9[[#This Row],[Shortname]], Comp[], 15, FALSE)</f>
        <v>3.07</v>
      </c>
      <c r="S1254">
        <f>VLOOKUP(Table9[[#This Row],[Shortname]], Comp[], 16, FALSE)</f>
        <v>0</v>
      </c>
      <c r="T1254">
        <f>VLOOKUP(Table9[[#This Row],[Shortname]], Comp[], 17, FALSE)</f>
        <v>0</v>
      </c>
      <c r="U1254">
        <f>VLOOKUP(Table9[[#This Row],[Shortname]], Comp[], 18, FALSE)</f>
        <v>0</v>
      </c>
      <c r="V1254">
        <f>VLOOKUP(Table9[[#This Row],[Shortname]], Comp[], 19, FALSE)</f>
        <v>0.08</v>
      </c>
      <c r="W1254">
        <f>VLOOKUP(Table9[[#This Row],[Shortname]], Comp[], 20, FALSE)</f>
        <v>0</v>
      </c>
      <c r="X1254">
        <f>VLOOKUP(Table9[[#This Row],[Shortname]], Comp[], 21, FALSE)</f>
        <v>0</v>
      </c>
      <c r="Y1254">
        <f>VLOOKUP(Table9[[#This Row],[Shortname]], Comp[], 22, FALSE)</f>
        <v>0</v>
      </c>
      <c r="Z1254">
        <f>VLOOKUP(Table9[[#This Row],[Shortname]], Comp[], 23, FALSE)</f>
        <v>0</v>
      </c>
      <c r="AA1254">
        <f>VLOOKUP(Table9[[#This Row],[Shortname]], Comp[], 24, FALSE)</f>
        <v>0</v>
      </c>
      <c r="AB1254">
        <f>VLOOKUP(Table9[[#This Row],[Shortname]], Comp[], 25, FALSE)</f>
        <v>0</v>
      </c>
      <c r="AC1254">
        <f>VLOOKUP(Table9[[#This Row],[Shortname]], Comp[], 26, FALSE)</f>
        <v>0</v>
      </c>
      <c r="AD1254">
        <f>VLOOKUP(Table9[[#This Row],[Shortname]], Comp[], 27, FALSE)</f>
        <v>0</v>
      </c>
      <c r="AE1254">
        <f>VLOOKUP(Table9[[#This Row],[Shortname]], Comp[], 28, FALSE)</f>
        <v>0</v>
      </c>
      <c r="AF1254">
        <f>VLOOKUP(Table9[[#This Row],[Shortname]], Comp[], 29, FALSE)</f>
        <v>0</v>
      </c>
      <c r="AG1254">
        <f>VLOOKUP(Table9[[#This Row],[Shortname]], Comp[], 30, FALSE)</f>
        <v>0</v>
      </c>
      <c r="AH1254">
        <f>VLOOKUP(Table9[[#This Row],[Shortname]], Comp[], 31, FALSE)</f>
        <v>0</v>
      </c>
    </row>
    <row r="1255" spans="1:34" x14ac:dyDescent="0.3">
      <c r="A1255" t="s">
        <v>6498</v>
      </c>
      <c r="B1255" t="s">
        <v>6499</v>
      </c>
      <c r="C1255" t="s">
        <v>6431</v>
      </c>
      <c r="D1255">
        <v>739.62044539999999</v>
      </c>
      <c r="E1255">
        <v>750</v>
      </c>
      <c r="F1255">
        <v>1E-4</v>
      </c>
      <c r="G1255">
        <v>1</v>
      </c>
      <c r="I1255">
        <f>VLOOKUP(Table9[[#This Row],[Shortname]], Comp[], 6, FALSE)</f>
        <v>1087</v>
      </c>
      <c r="J1255" s="14">
        <f>VLOOKUP(Table9[[#This Row],[Shortname]], Comp[], 7, FALSE)</f>
        <v>48.690000000000005</v>
      </c>
      <c r="K1255">
        <f>VLOOKUP(Table9[[#This Row],[Shortname]], Comp[], 8, FALSE)</f>
        <v>29.66</v>
      </c>
      <c r="L1255">
        <f>VLOOKUP(Table9[[#This Row],[Shortname]], Comp[], 9, FALSE)</f>
        <v>4.9800000000000004</v>
      </c>
      <c r="M1255">
        <f>VLOOKUP(Table9[[#This Row],[Shortname]], Comp[], 10, FALSE)</f>
        <v>8.19</v>
      </c>
      <c r="N1255">
        <f>VLOOKUP(Table9[[#This Row],[Shortname]], Comp[], 11, FALSE)</f>
        <v>0</v>
      </c>
      <c r="O1255">
        <f>VLOOKUP(Table9[[#This Row],[Shortname]], Comp[],12, FALSE)</f>
        <v>2.08</v>
      </c>
      <c r="P1255">
        <f>VLOOKUP(Table9[[#This Row],[Shortname]], Comp[], 13, FALSE)</f>
        <v>1.65</v>
      </c>
      <c r="Q1255">
        <f>VLOOKUP(Table9[[#This Row],[Shortname]], Comp[], 14, FALSE)</f>
        <v>1.6</v>
      </c>
      <c r="R1255">
        <f>VLOOKUP(Table9[[#This Row],[Shortname]], Comp[], 15, FALSE)</f>
        <v>3.07</v>
      </c>
      <c r="S1255">
        <f>VLOOKUP(Table9[[#This Row],[Shortname]], Comp[], 16, FALSE)</f>
        <v>0</v>
      </c>
      <c r="T1255">
        <f>VLOOKUP(Table9[[#This Row],[Shortname]], Comp[], 17, FALSE)</f>
        <v>0</v>
      </c>
      <c r="U1255">
        <f>VLOOKUP(Table9[[#This Row],[Shortname]], Comp[], 18, FALSE)</f>
        <v>0</v>
      </c>
      <c r="V1255">
        <f>VLOOKUP(Table9[[#This Row],[Shortname]], Comp[], 19, FALSE)</f>
        <v>0.08</v>
      </c>
      <c r="W1255">
        <f>VLOOKUP(Table9[[#This Row],[Shortname]], Comp[], 20, FALSE)</f>
        <v>0</v>
      </c>
      <c r="X1255">
        <f>VLOOKUP(Table9[[#This Row],[Shortname]], Comp[], 21, FALSE)</f>
        <v>0</v>
      </c>
      <c r="Y1255">
        <f>VLOOKUP(Table9[[#This Row],[Shortname]], Comp[], 22, FALSE)</f>
        <v>0</v>
      </c>
      <c r="Z1255">
        <f>VLOOKUP(Table9[[#This Row],[Shortname]], Comp[], 23, FALSE)</f>
        <v>0</v>
      </c>
      <c r="AA1255">
        <f>VLOOKUP(Table9[[#This Row],[Shortname]], Comp[], 24, FALSE)</f>
        <v>0</v>
      </c>
      <c r="AB1255">
        <f>VLOOKUP(Table9[[#This Row],[Shortname]], Comp[], 25, FALSE)</f>
        <v>0</v>
      </c>
      <c r="AC1255">
        <f>VLOOKUP(Table9[[#This Row],[Shortname]], Comp[], 26, FALSE)</f>
        <v>0</v>
      </c>
      <c r="AD1255">
        <f>VLOOKUP(Table9[[#This Row],[Shortname]], Comp[], 27, FALSE)</f>
        <v>0</v>
      </c>
      <c r="AE1255">
        <f>VLOOKUP(Table9[[#This Row],[Shortname]], Comp[], 28, FALSE)</f>
        <v>0</v>
      </c>
      <c r="AF1255">
        <f>VLOOKUP(Table9[[#This Row],[Shortname]], Comp[], 29, FALSE)</f>
        <v>0</v>
      </c>
      <c r="AG1255">
        <f>VLOOKUP(Table9[[#This Row],[Shortname]], Comp[], 30, FALSE)</f>
        <v>0</v>
      </c>
      <c r="AH1255">
        <f>VLOOKUP(Table9[[#This Row],[Shortname]], Comp[], 31, FALSE)</f>
        <v>0</v>
      </c>
    </row>
    <row r="1256" spans="1:34" x14ac:dyDescent="0.3">
      <c r="A1256" t="s">
        <v>6498</v>
      </c>
      <c r="B1256" t="s">
        <v>6499</v>
      </c>
      <c r="C1256" t="s">
        <v>6431</v>
      </c>
      <c r="D1256">
        <v>815.60474690000001</v>
      </c>
      <c r="E1256">
        <v>800</v>
      </c>
      <c r="F1256">
        <v>1E-4</v>
      </c>
      <c r="G1256">
        <v>1</v>
      </c>
      <c r="I1256">
        <f>VLOOKUP(Table9[[#This Row],[Shortname]], Comp[], 6, FALSE)</f>
        <v>1087</v>
      </c>
      <c r="J1256" s="14">
        <f>VLOOKUP(Table9[[#This Row],[Shortname]], Comp[], 7, FALSE)</f>
        <v>48.690000000000005</v>
      </c>
      <c r="K1256">
        <f>VLOOKUP(Table9[[#This Row],[Shortname]], Comp[], 8, FALSE)</f>
        <v>29.66</v>
      </c>
      <c r="L1256">
        <f>VLOOKUP(Table9[[#This Row],[Shortname]], Comp[], 9, FALSE)</f>
        <v>4.9800000000000004</v>
      </c>
      <c r="M1256">
        <f>VLOOKUP(Table9[[#This Row],[Shortname]], Comp[], 10, FALSE)</f>
        <v>8.19</v>
      </c>
      <c r="N1256">
        <f>VLOOKUP(Table9[[#This Row],[Shortname]], Comp[], 11, FALSE)</f>
        <v>0</v>
      </c>
      <c r="O1256">
        <f>VLOOKUP(Table9[[#This Row],[Shortname]], Comp[],12, FALSE)</f>
        <v>2.08</v>
      </c>
      <c r="P1256">
        <f>VLOOKUP(Table9[[#This Row],[Shortname]], Comp[], 13, FALSE)</f>
        <v>1.65</v>
      </c>
      <c r="Q1256">
        <f>VLOOKUP(Table9[[#This Row],[Shortname]], Comp[], 14, FALSE)</f>
        <v>1.6</v>
      </c>
      <c r="R1256">
        <f>VLOOKUP(Table9[[#This Row],[Shortname]], Comp[], 15, FALSE)</f>
        <v>3.07</v>
      </c>
      <c r="S1256">
        <f>VLOOKUP(Table9[[#This Row],[Shortname]], Comp[], 16, FALSE)</f>
        <v>0</v>
      </c>
      <c r="T1256">
        <f>VLOOKUP(Table9[[#This Row],[Shortname]], Comp[], 17, FALSE)</f>
        <v>0</v>
      </c>
      <c r="U1256">
        <f>VLOOKUP(Table9[[#This Row],[Shortname]], Comp[], 18, FALSE)</f>
        <v>0</v>
      </c>
      <c r="V1256">
        <f>VLOOKUP(Table9[[#This Row],[Shortname]], Comp[], 19, FALSE)</f>
        <v>0.08</v>
      </c>
      <c r="W1256">
        <f>VLOOKUP(Table9[[#This Row],[Shortname]], Comp[], 20, FALSE)</f>
        <v>0</v>
      </c>
      <c r="X1256">
        <f>VLOOKUP(Table9[[#This Row],[Shortname]], Comp[], 21, FALSE)</f>
        <v>0</v>
      </c>
      <c r="Y1256">
        <f>VLOOKUP(Table9[[#This Row],[Shortname]], Comp[], 22, FALSE)</f>
        <v>0</v>
      </c>
      <c r="Z1256">
        <f>VLOOKUP(Table9[[#This Row],[Shortname]], Comp[], 23, FALSE)</f>
        <v>0</v>
      </c>
      <c r="AA1256">
        <f>VLOOKUP(Table9[[#This Row],[Shortname]], Comp[], 24, FALSE)</f>
        <v>0</v>
      </c>
      <c r="AB1256">
        <f>VLOOKUP(Table9[[#This Row],[Shortname]], Comp[], 25, FALSE)</f>
        <v>0</v>
      </c>
      <c r="AC1256">
        <f>VLOOKUP(Table9[[#This Row],[Shortname]], Comp[], 26, FALSE)</f>
        <v>0</v>
      </c>
      <c r="AD1256">
        <f>VLOOKUP(Table9[[#This Row],[Shortname]], Comp[], 27, FALSE)</f>
        <v>0</v>
      </c>
      <c r="AE1256">
        <f>VLOOKUP(Table9[[#This Row],[Shortname]], Comp[], 28, FALSE)</f>
        <v>0</v>
      </c>
      <c r="AF1256">
        <f>VLOOKUP(Table9[[#This Row],[Shortname]], Comp[], 29, FALSE)</f>
        <v>0</v>
      </c>
      <c r="AG1256">
        <f>VLOOKUP(Table9[[#This Row],[Shortname]], Comp[], 30, FALSE)</f>
        <v>0</v>
      </c>
      <c r="AH1256">
        <f>VLOOKUP(Table9[[#This Row],[Shortname]], Comp[], 31, FALSE)</f>
        <v>0</v>
      </c>
    </row>
    <row r="1257" spans="1:34" x14ac:dyDescent="0.3">
      <c r="A1257" t="s">
        <v>6498</v>
      </c>
      <c r="B1257" t="s">
        <v>6499</v>
      </c>
      <c r="C1257" t="s">
        <v>6431</v>
      </c>
      <c r="D1257">
        <v>793.19223729999999</v>
      </c>
      <c r="E1257">
        <v>850</v>
      </c>
      <c r="F1257">
        <v>1E-4</v>
      </c>
      <c r="G1257">
        <v>1</v>
      </c>
      <c r="I1257">
        <f>VLOOKUP(Table9[[#This Row],[Shortname]], Comp[], 6, FALSE)</f>
        <v>1087</v>
      </c>
      <c r="J1257" s="14">
        <f>VLOOKUP(Table9[[#This Row],[Shortname]], Comp[], 7, FALSE)</f>
        <v>48.690000000000005</v>
      </c>
      <c r="K1257">
        <f>VLOOKUP(Table9[[#This Row],[Shortname]], Comp[], 8, FALSE)</f>
        <v>29.66</v>
      </c>
      <c r="L1257">
        <f>VLOOKUP(Table9[[#This Row],[Shortname]], Comp[], 9, FALSE)</f>
        <v>4.9800000000000004</v>
      </c>
      <c r="M1257">
        <f>VLOOKUP(Table9[[#This Row],[Shortname]], Comp[], 10, FALSE)</f>
        <v>8.19</v>
      </c>
      <c r="N1257">
        <f>VLOOKUP(Table9[[#This Row],[Shortname]], Comp[], 11, FALSE)</f>
        <v>0</v>
      </c>
      <c r="O1257">
        <f>VLOOKUP(Table9[[#This Row],[Shortname]], Comp[],12, FALSE)</f>
        <v>2.08</v>
      </c>
      <c r="P1257">
        <f>VLOOKUP(Table9[[#This Row],[Shortname]], Comp[], 13, FALSE)</f>
        <v>1.65</v>
      </c>
      <c r="Q1257">
        <f>VLOOKUP(Table9[[#This Row],[Shortname]], Comp[], 14, FALSE)</f>
        <v>1.6</v>
      </c>
      <c r="R1257">
        <f>VLOOKUP(Table9[[#This Row],[Shortname]], Comp[], 15, FALSE)</f>
        <v>3.07</v>
      </c>
      <c r="S1257">
        <f>VLOOKUP(Table9[[#This Row],[Shortname]], Comp[], 16, FALSE)</f>
        <v>0</v>
      </c>
      <c r="T1257">
        <f>VLOOKUP(Table9[[#This Row],[Shortname]], Comp[], 17, FALSE)</f>
        <v>0</v>
      </c>
      <c r="U1257">
        <f>VLOOKUP(Table9[[#This Row],[Shortname]], Comp[], 18, FALSE)</f>
        <v>0</v>
      </c>
      <c r="V1257">
        <f>VLOOKUP(Table9[[#This Row],[Shortname]], Comp[], 19, FALSE)</f>
        <v>0.08</v>
      </c>
      <c r="W1257">
        <f>VLOOKUP(Table9[[#This Row],[Shortname]], Comp[], 20, FALSE)</f>
        <v>0</v>
      </c>
      <c r="X1257">
        <f>VLOOKUP(Table9[[#This Row],[Shortname]], Comp[], 21, FALSE)</f>
        <v>0</v>
      </c>
      <c r="Y1257">
        <f>VLOOKUP(Table9[[#This Row],[Shortname]], Comp[], 22, FALSE)</f>
        <v>0</v>
      </c>
      <c r="Z1257">
        <f>VLOOKUP(Table9[[#This Row],[Shortname]], Comp[], 23, FALSE)</f>
        <v>0</v>
      </c>
      <c r="AA1257">
        <f>VLOOKUP(Table9[[#This Row],[Shortname]], Comp[], 24, FALSE)</f>
        <v>0</v>
      </c>
      <c r="AB1257">
        <f>VLOOKUP(Table9[[#This Row],[Shortname]], Comp[], 25, FALSE)</f>
        <v>0</v>
      </c>
      <c r="AC1257">
        <f>VLOOKUP(Table9[[#This Row],[Shortname]], Comp[], 26, FALSE)</f>
        <v>0</v>
      </c>
      <c r="AD1257">
        <f>VLOOKUP(Table9[[#This Row],[Shortname]], Comp[], 27, FALSE)</f>
        <v>0</v>
      </c>
      <c r="AE1257">
        <f>VLOOKUP(Table9[[#This Row],[Shortname]], Comp[], 28, FALSE)</f>
        <v>0</v>
      </c>
      <c r="AF1257">
        <f>VLOOKUP(Table9[[#This Row],[Shortname]], Comp[], 29, FALSE)</f>
        <v>0</v>
      </c>
      <c r="AG1257">
        <f>VLOOKUP(Table9[[#This Row],[Shortname]], Comp[], 30, FALSE)</f>
        <v>0</v>
      </c>
      <c r="AH1257">
        <f>VLOOKUP(Table9[[#This Row],[Shortname]], Comp[], 31, FALSE)</f>
        <v>0</v>
      </c>
    </row>
    <row r="1258" spans="1:34" x14ac:dyDescent="0.3">
      <c r="A1258" t="s">
        <v>6498</v>
      </c>
      <c r="B1258" t="s">
        <v>6499</v>
      </c>
      <c r="C1258" t="s">
        <v>6431</v>
      </c>
      <c r="D1258">
        <v>675.57677909999995</v>
      </c>
      <c r="E1258">
        <v>900</v>
      </c>
      <c r="F1258">
        <v>1E-4</v>
      </c>
      <c r="G1258">
        <v>1</v>
      </c>
      <c r="I1258">
        <f>VLOOKUP(Table9[[#This Row],[Shortname]], Comp[], 6, FALSE)</f>
        <v>1087</v>
      </c>
      <c r="J1258" s="14">
        <f>VLOOKUP(Table9[[#This Row],[Shortname]], Comp[], 7, FALSE)</f>
        <v>48.690000000000005</v>
      </c>
      <c r="K1258">
        <f>VLOOKUP(Table9[[#This Row],[Shortname]], Comp[], 8, FALSE)</f>
        <v>29.66</v>
      </c>
      <c r="L1258">
        <f>VLOOKUP(Table9[[#This Row],[Shortname]], Comp[], 9, FALSE)</f>
        <v>4.9800000000000004</v>
      </c>
      <c r="M1258">
        <f>VLOOKUP(Table9[[#This Row],[Shortname]], Comp[], 10, FALSE)</f>
        <v>8.19</v>
      </c>
      <c r="N1258">
        <f>VLOOKUP(Table9[[#This Row],[Shortname]], Comp[], 11, FALSE)</f>
        <v>0</v>
      </c>
      <c r="O1258">
        <f>VLOOKUP(Table9[[#This Row],[Shortname]], Comp[],12, FALSE)</f>
        <v>2.08</v>
      </c>
      <c r="P1258">
        <f>VLOOKUP(Table9[[#This Row],[Shortname]], Comp[], 13, FALSE)</f>
        <v>1.65</v>
      </c>
      <c r="Q1258">
        <f>VLOOKUP(Table9[[#This Row],[Shortname]], Comp[], 14, FALSE)</f>
        <v>1.6</v>
      </c>
      <c r="R1258">
        <f>VLOOKUP(Table9[[#This Row],[Shortname]], Comp[], 15, FALSE)</f>
        <v>3.07</v>
      </c>
      <c r="S1258">
        <f>VLOOKUP(Table9[[#This Row],[Shortname]], Comp[], 16, FALSE)</f>
        <v>0</v>
      </c>
      <c r="T1258">
        <f>VLOOKUP(Table9[[#This Row],[Shortname]], Comp[], 17, FALSE)</f>
        <v>0</v>
      </c>
      <c r="U1258">
        <f>VLOOKUP(Table9[[#This Row],[Shortname]], Comp[], 18, FALSE)</f>
        <v>0</v>
      </c>
      <c r="V1258">
        <f>VLOOKUP(Table9[[#This Row],[Shortname]], Comp[], 19, FALSE)</f>
        <v>0.08</v>
      </c>
      <c r="W1258">
        <f>VLOOKUP(Table9[[#This Row],[Shortname]], Comp[], 20, FALSE)</f>
        <v>0</v>
      </c>
      <c r="X1258">
        <f>VLOOKUP(Table9[[#This Row],[Shortname]], Comp[], 21, FALSE)</f>
        <v>0</v>
      </c>
      <c r="Y1258">
        <f>VLOOKUP(Table9[[#This Row],[Shortname]], Comp[], 22, FALSE)</f>
        <v>0</v>
      </c>
      <c r="Z1258">
        <f>VLOOKUP(Table9[[#This Row],[Shortname]], Comp[], 23, FALSE)</f>
        <v>0</v>
      </c>
      <c r="AA1258">
        <f>VLOOKUP(Table9[[#This Row],[Shortname]], Comp[], 24, FALSE)</f>
        <v>0</v>
      </c>
      <c r="AB1258">
        <f>VLOOKUP(Table9[[#This Row],[Shortname]], Comp[], 25, FALSE)</f>
        <v>0</v>
      </c>
      <c r="AC1258">
        <f>VLOOKUP(Table9[[#This Row],[Shortname]], Comp[], 26, FALSE)</f>
        <v>0</v>
      </c>
      <c r="AD1258">
        <f>VLOOKUP(Table9[[#This Row],[Shortname]], Comp[], 27, FALSE)</f>
        <v>0</v>
      </c>
      <c r="AE1258">
        <f>VLOOKUP(Table9[[#This Row],[Shortname]], Comp[], 28, FALSE)</f>
        <v>0</v>
      </c>
      <c r="AF1258">
        <f>VLOOKUP(Table9[[#This Row],[Shortname]], Comp[], 29, FALSE)</f>
        <v>0</v>
      </c>
      <c r="AG1258">
        <f>VLOOKUP(Table9[[#This Row],[Shortname]], Comp[], 30, FALSE)</f>
        <v>0</v>
      </c>
      <c r="AH1258">
        <f>VLOOKUP(Table9[[#This Row],[Shortname]], Comp[], 31, FALSE)</f>
        <v>0</v>
      </c>
    </row>
    <row r="1259" spans="1:34" x14ac:dyDescent="0.3">
      <c r="A1259" t="s">
        <v>6498</v>
      </c>
      <c r="B1259" t="s">
        <v>6499</v>
      </c>
      <c r="C1259" t="s">
        <v>6431</v>
      </c>
      <c r="D1259">
        <v>479.21627109999997</v>
      </c>
      <c r="E1259">
        <v>950</v>
      </c>
      <c r="F1259">
        <v>1E-4</v>
      </c>
      <c r="G1259">
        <v>1</v>
      </c>
      <c r="I1259">
        <f>VLOOKUP(Table9[[#This Row],[Shortname]], Comp[], 6, FALSE)</f>
        <v>1087</v>
      </c>
      <c r="J1259" s="14">
        <f>VLOOKUP(Table9[[#This Row],[Shortname]], Comp[], 7, FALSE)</f>
        <v>48.690000000000005</v>
      </c>
      <c r="K1259">
        <f>VLOOKUP(Table9[[#This Row],[Shortname]], Comp[], 8, FALSE)</f>
        <v>29.66</v>
      </c>
      <c r="L1259">
        <f>VLOOKUP(Table9[[#This Row],[Shortname]], Comp[], 9, FALSE)</f>
        <v>4.9800000000000004</v>
      </c>
      <c r="M1259">
        <f>VLOOKUP(Table9[[#This Row],[Shortname]], Comp[], 10, FALSE)</f>
        <v>8.19</v>
      </c>
      <c r="N1259">
        <f>VLOOKUP(Table9[[#This Row],[Shortname]], Comp[], 11, FALSE)</f>
        <v>0</v>
      </c>
      <c r="O1259">
        <f>VLOOKUP(Table9[[#This Row],[Shortname]], Comp[],12, FALSE)</f>
        <v>2.08</v>
      </c>
      <c r="P1259">
        <f>VLOOKUP(Table9[[#This Row],[Shortname]], Comp[], 13, FALSE)</f>
        <v>1.65</v>
      </c>
      <c r="Q1259">
        <f>VLOOKUP(Table9[[#This Row],[Shortname]], Comp[], 14, FALSE)</f>
        <v>1.6</v>
      </c>
      <c r="R1259">
        <f>VLOOKUP(Table9[[#This Row],[Shortname]], Comp[], 15, FALSE)</f>
        <v>3.07</v>
      </c>
      <c r="S1259">
        <f>VLOOKUP(Table9[[#This Row],[Shortname]], Comp[], 16, FALSE)</f>
        <v>0</v>
      </c>
      <c r="T1259">
        <f>VLOOKUP(Table9[[#This Row],[Shortname]], Comp[], 17, FALSE)</f>
        <v>0</v>
      </c>
      <c r="U1259">
        <f>VLOOKUP(Table9[[#This Row],[Shortname]], Comp[], 18, FALSE)</f>
        <v>0</v>
      </c>
      <c r="V1259">
        <f>VLOOKUP(Table9[[#This Row],[Shortname]], Comp[], 19, FALSE)</f>
        <v>0.08</v>
      </c>
      <c r="W1259">
        <f>VLOOKUP(Table9[[#This Row],[Shortname]], Comp[], 20, FALSE)</f>
        <v>0</v>
      </c>
      <c r="X1259">
        <f>VLOOKUP(Table9[[#This Row],[Shortname]], Comp[], 21, FALSE)</f>
        <v>0</v>
      </c>
      <c r="Y1259">
        <f>VLOOKUP(Table9[[#This Row],[Shortname]], Comp[], 22, FALSE)</f>
        <v>0</v>
      </c>
      <c r="Z1259">
        <f>VLOOKUP(Table9[[#This Row],[Shortname]], Comp[], 23, FALSE)</f>
        <v>0</v>
      </c>
      <c r="AA1259">
        <f>VLOOKUP(Table9[[#This Row],[Shortname]], Comp[], 24, FALSE)</f>
        <v>0</v>
      </c>
      <c r="AB1259">
        <f>VLOOKUP(Table9[[#This Row],[Shortname]], Comp[], 25, FALSE)</f>
        <v>0</v>
      </c>
      <c r="AC1259">
        <f>VLOOKUP(Table9[[#This Row],[Shortname]], Comp[], 26, FALSE)</f>
        <v>0</v>
      </c>
      <c r="AD1259">
        <f>VLOOKUP(Table9[[#This Row],[Shortname]], Comp[], 27, FALSE)</f>
        <v>0</v>
      </c>
      <c r="AE1259">
        <f>VLOOKUP(Table9[[#This Row],[Shortname]], Comp[], 28, FALSE)</f>
        <v>0</v>
      </c>
      <c r="AF1259">
        <f>VLOOKUP(Table9[[#This Row],[Shortname]], Comp[], 29, FALSE)</f>
        <v>0</v>
      </c>
      <c r="AG1259">
        <f>VLOOKUP(Table9[[#This Row],[Shortname]], Comp[], 30, FALSE)</f>
        <v>0</v>
      </c>
      <c r="AH1259">
        <f>VLOOKUP(Table9[[#This Row],[Shortname]], Comp[], 31, FALSE)</f>
        <v>0</v>
      </c>
    </row>
    <row r="1260" spans="1:34" x14ac:dyDescent="0.3">
      <c r="A1260" t="s">
        <v>6429</v>
      </c>
      <c r="B1260" t="s">
        <v>6430</v>
      </c>
      <c r="C1260" t="s">
        <v>6431</v>
      </c>
      <c r="D1260">
        <v>604.02211009999996</v>
      </c>
      <c r="E1260">
        <v>25</v>
      </c>
      <c r="F1260">
        <v>1E-4</v>
      </c>
      <c r="G1260">
        <v>1</v>
      </c>
      <c r="I1260">
        <f>VLOOKUP(Table9[[#This Row],[Shortname]], Comp[], 6, FALSE)</f>
        <v>1072</v>
      </c>
      <c r="J1260" s="14">
        <f>VLOOKUP(Table9[[#This Row],[Shortname]], Comp[], 7, FALSE)</f>
        <v>52.410000000000004</v>
      </c>
      <c r="K1260">
        <f>VLOOKUP(Table9[[#This Row],[Shortname]], Comp[], 8, FALSE)</f>
        <v>17.489999999999998</v>
      </c>
      <c r="L1260">
        <f>VLOOKUP(Table9[[#This Row],[Shortname]], Comp[], 9, FALSE)</f>
        <v>5.42</v>
      </c>
      <c r="M1260">
        <f>VLOOKUP(Table9[[#This Row],[Shortname]], Comp[], 10, FALSE)</f>
        <v>4.17</v>
      </c>
      <c r="N1260">
        <f>VLOOKUP(Table9[[#This Row],[Shortname]], Comp[], 11, FALSE)</f>
        <v>0</v>
      </c>
      <c r="O1260">
        <f>VLOOKUP(Table9[[#This Row],[Shortname]], Comp[],12, FALSE)</f>
        <v>2.0299999999999998</v>
      </c>
      <c r="P1260">
        <f>VLOOKUP(Table9[[#This Row],[Shortname]], Comp[], 13, FALSE)</f>
        <v>1.52</v>
      </c>
      <c r="Q1260">
        <f>VLOOKUP(Table9[[#This Row],[Shortname]], Comp[], 14, FALSE)</f>
        <v>1.44</v>
      </c>
      <c r="R1260">
        <f>VLOOKUP(Table9[[#This Row],[Shortname]], Comp[], 15, FALSE)</f>
        <v>3.08</v>
      </c>
      <c r="S1260">
        <f>VLOOKUP(Table9[[#This Row],[Shortname]], Comp[], 16, FALSE)</f>
        <v>0</v>
      </c>
      <c r="T1260">
        <f>VLOOKUP(Table9[[#This Row],[Shortname]], Comp[], 17, FALSE)</f>
        <v>0</v>
      </c>
      <c r="U1260">
        <f>VLOOKUP(Table9[[#This Row],[Shortname]], Comp[], 18, FALSE)</f>
        <v>0</v>
      </c>
      <c r="V1260">
        <f>VLOOKUP(Table9[[#This Row],[Shortname]], Comp[], 19, FALSE)</f>
        <v>0.08</v>
      </c>
      <c r="W1260">
        <f>VLOOKUP(Table9[[#This Row],[Shortname]], Comp[], 20, FALSE)</f>
        <v>0</v>
      </c>
      <c r="X1260">
        <f>VLOOKUP(Table9[[#This Row],[Shortname]], Comp[], 21, FALSE)</f>
        <v>0</v>
      </c>
      <c r="Y1260">
        <f>VLOOKUP(Table9[[#This Row],[Shortname]], Comp[], 22, FALSE)</f>
        <v>0</v>
      </c>
      <c r="Z1260">
        <f>VLOOKUP(Table9[[#This Row],[Shortname]], Comp[], 23, FALSE)</f>
        <v>12.36</v>
      </c>
      <c r="AA1260">
        <f>VLOOKUP(Table9[[#This Row],[Shortname]], Comp[], 24, FALSE)</f>
        <v>0</v>
      </c>
      <c r="AB1260">
        <f>VLOOKUP(Table9[[#This Row],[Shortname]], Comp[], 25, FALSE)</f>
        <v>0</v>
      </c>
      <c r="AC1260">
        <f>VLOOKUP(Table9[[#This Row],[Shortname]], Comp[], 26, FALSE)</f>
        <v>0</v>
      </c>
      <c r="AD1260">
        <f>VLOOKUP(Table9[[#This Row],[Shortname]], Comp[], 27, FALSE)</f>
        <v>0</v>
      </c>
      <c r="AE1260">
        <f>VLOOKUP(Table9[[#This Row],[Shortname]], Comp[], 28, FALSE)</f>
        <v>0</v>
      </c>
      <c r="AF1260">
        <f>VLOOKUP(Table9[[#This Row],[Shortname]], Comp[], 29, FALSE)</f>
        <v>0</v>
      </c>
      <c r="AG1260">
        <f>VLOOKUP(Table9[[#This Row],[Shortname]], Comp[], 30, FALSE)</f>
        <v>0</v>
      </c>
      <c r="AH1260">
        <f>VLOOKUP(Table9[[#This Row],[Shortname]], Comp[], 31, FALSE)</f>
        <v>0</v>
      </c>
    </row>
    <row r="1261" spans="1:34" x14ac:dyDescent="0.3">
      <c r="A1261" t="s">
        <v>6429</v>
      </c>
      <c r="B1261" t="s">
        <v>6430</v>
      </c>
      <c r="C1261" t="s">
        <v>6431</v>
      </c>
      <c r="D1261">
        <v>483.15988329999999</v>
      </c>
      <c r="E1261">
        <v>600</v>
      </c>
      <c r="F1261">
        <v>1E-4</v>
      </c>
      <c r="G1261">
        <v>1</v>
      </c>
      <c r="I1261">
        <f>VLOOKUP(Table9[[#This Row],[Shortname]], Comp[], 6, FALSE)</f>
        <v>1072</v>
      </c>
      <c r="J1261" s="14">
        <f>VLOOKUP(Table9[[#This Row],[Shortname]], Comp[], 7, FALSE)</f>
        <v>52.410000000000004</v>
      </c>
      <c r="K1261">
        <f>VLOOKUP(Table9[[#This Row],[Shortname]], Comp[], 8, FALSE)</f>
        <v>17.489999999999998</v>
      </c>
      <c r="L1261">
        <f>VLOOKUP(Table9[[#This Row],[Shortname]], Comp[], 9, FALSE)</f>
        <v>5.42</v>
      </c>
      <c r="M1261">
        <f>VLOOKUP(Table9[[#This Row],[Shortname]], Comp[], 10, FALSE)</f>
        <v>4.17</v>
      </c>
      <c r="N1261">
        <f>VLOOKUP(Table9[[#This Row],[Shortname]], Comp[], 11, FALSE)</f>
        <v>0</v>
      </c>
      <c r="O1261">
        <f>VLOOKUP(Table9[[#This Row],[Shortname]], Comp[],12, FALSE)</f>
        <v>2.0299999999999998</v>
      </c>
      <c r="P1261">
        <f>VLOOKUP(Table9[[#This Row],[Shortname]], Comp[], 13, FALSE)</f>
        <v>1.52</v>
      </c>
      <c r="Q1261">
        <f>VLOOKUP(Table9[[#This Row],[Shortname]], Comp[], 14, FALSE)</f>
        <v>1.44</v>
      </c>
      <c r="R1261">
        <f>VLOOKUP(Table9[[#This Row],[Shortname]], Comp[], 15, FALSE)</f>
        <v>3.08</v>
      </c>
      <c r="S1261">
        <f>VLOOKUP(Table9[[#This Row],[Shortname]], Comp[], 16, FALSE)</f>
        <v>0</v>
      </c>
      <c r="T1261">
        <f>VLOOKUP(Table9[[#This Row],[Shortname]], Comp[], 17, FALSE)</f>
        <v>0</v>
      </c>
      <c r="U1261">
        <f>VLOOKUP(Table9[[#This Row],[Shortname]], Comp[], 18, FALSE)</f>
        <v>0</v>
      </c>
      <c r="V1261">
        <f>VLOOKUP(Table9[[#This Row],[Shortname]], Comp[], 19, FALSE)</f>
        <v>0.08</v>
      </c>
      <c r="W1261">
        <f>VLOOKUP(Table9[[#This Row],[Shortname]], Comp[], 20, FALSE)</f>
        <v>0</v>
      </c>
      <c r="X1261">
        <f>VLOOKUP(Table9[[#This Row],[Shortname]], Comp[], 21, FALSE)</f>
        <v>0</v>
      </c>
      <c r="Y1261">
        <f>VLOOKUP(Table9[[#This Row],[Shortname]], Comp[], 22, FALSE)</f>
        <v>0</v>
      </c>
      <c r="Z1261">
        <f>VLOOKUP(Table9[[#This Row],[Shortname]], Comp[], 23, FALSE)</f>
        <v>12.36</v>
      </c>
      <c r="AA1261">
        <f>VLOOKUP(Table9[[#This Row],[Shortname]], Comp[], 24, FALSE)</f>
        <v>0</v>
      </c>
      <c r="AB1261">
        <f>VLOOKUP(Table9[[#This Row],[Shortname]], Comp[], 25, FALSE)</f>
        <v>0</v>
      </c>
      <c r="AC1261">
        <f>VLOOKUP(Table9[[#This Row],[Shortname]], Comp[], 26, FALSE)</f>
        <v>0</v>
      </c>
      <c r="AD1261">
        <f>VLOOKUP(Table9[[#This Row],[Shortname]], Comp[], 27, FALSE)</f>
        <v>0</v>
      </c>
      <c r="AE1261">
        <f>VLOOKUP(Table9[[#This Row],[Shortname]], Comp[], 28, FALSE)</f>
        <v>0</v>
      </c>
      <c r="AF1261">
        <f>VLOOKUP(Table9[[#This Row],[Shortname]], Comp[], 29, FALSE)</f>
        <v>0</v>
      </c>
      <c r="AG1261">
        <f>VLOOKUP(Table9[[#This Row],[Shortname]], Comp[], 30, FALSE)</f>
        <v>0</v>
      </c>
      <c r="AH1261">
        <f>VLOOKUP(Table9[[#This Row],[Shortname]], Comp[], 31, FALSE)</f>
        <v>0</v>
      </c>
    </row>
    <row r="1262" spans="1:34" x14ac:dyDescent="0.3">
      <c r="A1262" t="s">
        <v>6429</v>
      </c>
      <c r="B1262" t="s">
        <v>6430</v>
      </c>
      <c r="C1262" t="s">
        <v>6431</v>
      </c>
      <c r="D1262">
        <v>502.0117975</v>
      </c>
      <c r="E1262">
        <v>700</v>
      </c>
      <c r="F1262">
        <v>1E-4</v>
      </c>
      <c r="G1262">
        <v>1</v>
      </c>
      <c r="I1262">
        <f>VLOOKUP(Table9[[#This Row],[Shortname]], Comp[], 6, FALSE)</f>
        <v>1072</v>
      </c>
      <c r="J1262" s="14">
        <f>VLOOKUP(Table9[[#This Row],[Shortname]], Comp[], 7, FALSE)</f>
        <v>52.410000000000004</v>
      </c>
      <c r="K1262">
        <f>VLOOKUP(Table9[[#This Row],[Shortname]], Comp[], 8, FALSE)</f>
        <v>17.489999999999998</v>
      </c>
      <c r="L1262">
        <f>VLOOKUP(Table9[[#This Row],[Shortname]], Comp[], 9, FALSE)</f>
        <v>5.42</v>
      </c>
      <c r="M1262">
        <f>VLOOKUP(Table9[[#This Row],[Shortname]], Comp[], 10, FALSE)</f>
        <v>4.17</v>
      </c>
      <c r="N1262">
        <f>VLOOKUP(Table9[[#This Row],[Shortname]], Comp[], 11, FALSE)</f>
        <v>0</v>
      </c>
      <c r="O1262">
        <f>VLOOKUP(Table9[[#This Row],[Shortname]], Comp[],12, FALSE)</f>
        <v>2.0299999999999998</v>
      </c>
      <c r="P1262">
        <f>VLOOKUP(Table9[[#This Row],[Shortname]], Comp[], 13, FALSE)</f>
        <v>1.52</v>
      </c>
      <c r="Q1262">
        <f>VLOOKUP(Table9[[#This Row],[Shortname]], Comp[], 14, FALSE)</f>
        <v>1.44</v>
      </c>
      <c r="R1262">
        <f>VLOOKUP(Table9[[#This Row],[Shortname]], Comp[], 15, FALSE)</f>
        <v>3.08</v>
      </c>
      <c r="S1262">
        <f>VLOOKUP(Table9[[#This Row],[Shortname]], Comp[], 16, FALSE)</f>
        <v>0</v>
      </c>
      <c r="T1262">
        <f>VLOOKUP(Table9[[#This Row],[Shortname]], Comp[], 17, FALSE)</f>
        <v>0</v>
      </c>
      <c r="U1262">
        <f>VLOOKUP(Table9[[#This Row],[Shortname]], Comp[], 18, FALSE)</f>
        <v>0</v>
      </c>
      <c r="V1262">
        <f>VLOOKUP(Table9[[#This Row],[Shortname]], Comp[], 19, FALSE)</f>
        <v>0.08</v>
      </c>
      <c r="W1262">
        <f>VLOOKUP(Table9[[#This Row],[Shortname]], Comp[], 20, FALSE)</f>
        <v>0</v>
      </c>
      <c r="X1262">
        <f>VLOOKUP(Table9[[#This Row],[Shortname]], Comp[], 21, FALSE)</f>
        <v>0</v>
      </c>
      <c r="Y1262">
        <f>VLOOKUP(Table9[[#This Row],[Shortname]], Comp[], 22, FALSE)</f>
        <v>0</v>
      </c>
      <c r="Z1262">
        <f>VLOOKUP(Table9[[#This Row],[Shortname]], Comp[], 23, FALSE)</f>
        <v>12.36</v>
      </c>
      <c r="AA1262">
        <f>VLOOKUP(Table9[[#This Row],[Shortname]], Comp[], 24, FALSE)</f>
        <v>0</v>
      </c>
      <c r="AB1262">
        <f>VLOOKUP(Table9[[#This Row],[Shortname]], Comp[], 25, FALSE)</f>
        <v>0</v>
      </c>
      <c r="AC1262">
        <f>VLOOKUP(Table9[[#This Row],[Shortname]], Comp[], 26, FALSE)</f>
        <v>0</v>
      </c>
      <c r="AD1262">
        <f>VLOOKUP(Table9[[#This Row],[Shortname]], Comp[], 27, FALSE)</f>
        <v>0</v>
      </c>
      <c r="AE1262">
        <f>VLOOKUP(Table9[[#This Row],[Shortname]], Comp[], 28, FALSE)</f>
        <v>0</v>
      </c>
      <c r="AF1262">
        <f>VLOOKUP(Table9[[#This Row],[Shortname]], Comp[], 29, FALSE)</f>
        <v>0</v>
      </c>
      <c r="AG1262">
        <f>VLOOKUP(Table9[[#This Row],[Shortname]], Comp[], 30, FALSE)</f>
        <v>0</v>
      </c>
      <c r="AH1262">
        <f>VLOOKUP(Table9[[#This Row],[Shortname]], Comp[], 31, FALSE)</f>
        <v>0</v>
      </c>
    </row>
    <row r="1263" spans="1:34" x14ac:dyDescent="0.3">
      <c r="A1263" t="s">
        <v>6429</v>
      </c>
      <c r="B1263" t="s">
        <v>6430</v>
      </c>
      <c r="C1263" t="s">
        <v>6431</v>
      </c>
      <c r="D1263">
        <v>537.80283299999996</v>
      </c>
      <c r="E1263">
        <v>750</v>
      </c>
      <c r="F1263">
        <v>1E-4</v>
      </c>
      <c r="G1263">
        <v>1</v>
      </c>
      <c r="I1263">
        <f>VLOOKUP(Table9[[#This Row],[Shortname]], Comp[], 6, FALSE)</f>
        <v>1072</v>
      </c>
      <c r="J1263" s="14">
        <f>VLOOKUP(Table9[[#This Row],[Shortname]], Comp[], 7, FALSE)</f>
        <v>52.410000000000004</v>
      </c>
      <c r="K1263">
        <f>VLOOKUP(Table9[[#This Row],[Shortname]], Comp[], 8, FALSE)</f>
        <v>17.489999999999998</v>
      </c>
      <c r="L1263">
        <f>VLOOKUP(Table9[[#This Row],[Shortname]], Comp[], 9, FALSE)</f>
        <v>5.42</v>
      </c>
      <c r="M1263">
        <f>VLOOKUP(Table9[[#This Row],[Shortname]], Comp[], 10, FALSE)</f>
        <v>4.17</v>
      </c>
      <c r="N1263">
        <f>VLOOKUP(Table9[[#This Row],[Shortname]], Comp[], 11, FALSE)</f>
        <v>0</v>
      </c>
      <c r="O1263">
        <f>VLOOKUP(Table9[[#This Row],[Shortname]], Comp[],12, FALSE)</f>
        <v>2.0299999999999998</v>
      </c>
      <c r="P1263">
        <f>VLOOKUP(Table9[[#This Row],[Shortname]], Comp[], 13, FALSE)</f>
        <v>1.52</v>
      </c>
      <c r="Q1263">
        <f>VLOOKUP(Table9[[#This Row],[Shortname]], Comp[], 14, FALSE)</f>
        <v>1.44</v>
      </c>
      <c r="R1263">
        <f>VLOOKUP(Table9[[#This Row],[Shortname]], Comp[], 15, FALSE)</f>
        <v>3.08</v>
      </c>
      <c r="S1263">
        <f>VLOOKUP(Table9[[#This Row],[Shortname]], Comp[], 16, FALSE)</f>
        <v>0</v>
      </c>
      <c r="T1263">
        <f>VLOOKUP(Table9[[#This Row],[Shortname]], Comp[], 17, FALSE)</f>
        <v>0</v>
      </c>
      <c r="U1263">
        <f>VLOOKUP(Table9[[#This Row],[Shortname]], Comp[], 18, FALSE)</f>
        <v>0</v>
      </c>
      <c r="V1263">
        <f>VLOOKUP(Table9[[#This Row],[Shortname]], Comp[], 19, FALSE)</f>
        <v>0.08</v>
      </c>
      <c r="W1263">
        <f>VLOOKUP(Table9[[#This Row],[Shortname]], Comp[], 20, FALSE)</f>
        <v>0</v>
      </c>
      <c r="X1263">
        <f>VLOOKUP(Table9[[#This Row],[Shortname]], Comp[], 21, FALSE)</f>
        <v>0</v>
      </c>
      <c r="Y1263">
        <f>VLOOKUP(Table9[[#This Row],[Shortname]], Comp[], 22, FALSE)</f>
        <v>0</v>
      </c>
      <c r="Z1263">
        <f>VLOOKUP(Table9[[#This Row],[Shortname]], Comp[], 23, FALSE)</f>
        <v>12.36</v>
      </c>
      <c r="AA1263">
        <f>VLOOKUP(Table9[[#This Row],[Shortname]], Comp[], 24, FALSE)</f>
        <v>0</v>
      </c>
      <c r="AB1263">
        <f>VLOOKUP(Table9[[#This Row],[Shortname]], Comp[], 25, FALSE)</f>
        <v>0</v>
      </c>
      <c r="AC1263">
        <f>VLOOKUP(Table9[[#This Row],[Shortname]], Comp[], 26, FALSE)</f>
        <v>0</v>
      </c>
      <c r="AD1263">
        <f>VLOOKUP(Table9[[#This Row],[Shortname]], Comp[], 27, FALSE)</f>
        <v>0</v>
      </c>
      <c r="AE1263">
        <f>VLOOKUP(Table9[[#This Row],[Shortname]], Comp[], 28, FALSE)</f>
        <v>0</v>
      </c>
      <c r="AF1263">
        <f>VLOOKUP(Table9[[#This Row],[Shortname]], Comp[], 29, FALSE)</f>
        <v>0</v>
      </c>
      <c r="AG1263">
        <f>VLOOKUP(Table9[[#This Row],[Shortname]], Comp[], 30, FALSE)</f>
        <v>0</v>
      </c>
      <c r="AH1263">
        <f>VLOOKUP(Table9[[#This Row],[Shortname]], Comp[], 31, FALSE)</f>
        <v>0</v>
      </c>
    </row>
    <row r="1264" spans="1:34" x14ac:dyDescent="0.3">
      <c r="A1264" t="s">
        <v>6429</v>
      </c>
      <c r="B1264" t="s">
        <v>6430</v>
      </c>
      <c r="C1264" t="s">
        <v>6431</v>
      </c>
      <c r="D1264">
        <v>550.71173520000002</v>
      </c>
      <c r="E1264">
        <v>800</v>
      </c>
      <c r="F1264">
        <v>1E-4</v>
      </c>
      <c r="G1264">
        <v>1</v>
      </c>
      <c r="I1264">
        <f>VLOOKUP(Table9[[#This Row],[Shortname]], Comp[], 6, FALSE)</f>
        <v>1072</v>
      </c>
      <c r="J1264" s="14">
        <f>VLOOKUP(Table9[[#This Row],[Shortname]], Comp[], 7, FALSE)</f>
        <v>52.410000000000004</v>
      </c>
      <c r="K1264">
        <f>VLOOKUP(Table9[[#This Row],[Shortname]], Comp[], 8, FALSE)</f>
        <v>17.489999999999998</v>
      </c>
      <c r="L1264">
        <f>VLOOKUP(Table9[[#This Row],[Shortname]], Comp[], 9, FALSE)</f>
        <v>5.42</v>
      </c>
      <c r="M1264">
        <f>VLOOKUP(Table9[[#This Row],[Shortname]], Comp[], 10, FALSE)</f>
        <v>4.17</v>
      </c>
      <c r="N1264">
        <f>VLOOKUP(Table9[[#This Row],[Shortname]], Comp[], 11, FALSE)</f>
        <v>0</v>
      </c>
      <c r="O1264">
        <f>VLOOKUP(Table9[[#This Row],[Shortname]], Comp[],12, FALSE)</f>
        <v>2.0299999999999998</v>
      </c>
      <c r="P1264">
        <f>VLOOKUP(Table9[[#This Row],[Shortname]], Comp[], 13, FALSE)</f>
        <v>1.52</v>
      </c>
      <c r="Q1264">
        <f>VLOOKUP(Table9[[#This Row],[Shortname]], Comp[], 14, FALSE)</f>
        <v>1.44</v>
      </c>
      <c r="R1264">
        <f>VLOOKUP(Table9[[#This Row],[Shortname]], Comp[], 15, FALSE)</f>
        <v>3.08</v>
      </c>
      <c r="S1264">
        <f>VLOOKUP(Table9[[#This Row],[Shortname]], Comp[], 16, FALSE)</f>
        <v>0</v>
      </c>
      <c r="T1264">
        <f>VLOOKUP(Table9[[#This Row],[Shortname]], Comp[], 17, FALSE)</f>
        <v>0</v>
      </c>
      <c r="U1264">
        <f>VLOOKUP(Table9[[#This Row],[Shortname]], Comp[], 18, FALSE)</f>
        <v>0</v>
      </c>
      <c r="V1264">
        <f>VLOOKUP(Table9[[#This Row],[Shortname]], Comp[], 19, FALSE)</f>
        <v>0.08</v>
      </c>
      <c r="W1264">
        <f>VLOOKUP(Table9[[#This Row],[Shortname]], Comp[], 20, FALSE)</f>
        <v>0</v>
      </c>
      <c r="X1264">
        <f>VLOOKUP(Table9[[#This Row],[Shortname]], Comp[], 21, FALSE)</f>
        <v>0</v>
      </c>
      <c r="Y1264">
        <f>VLOOKUP(Table9[[#This Row],[Shortname]], Comp[], 22, FALSE)</f>
        <v>0</v>
      </c>
      <c r="Z1264">
        <f>VLOOKUP(Table9[[#This Row],[Shortname]], Comp[], 23, FALSE)</f>
        <v>12.36</v>
      </c>
      <c r="AA1264">
        <f>VLOOKUP(Table9[[#This Row],[Shortname]], Comp[], 24, FALSE)</f>
        <v>0</v>
      </c>
      <c r="AB1264">
        <f>VLOOKUP(Table9[[#This Row],[Shortname]], Comp[], 25, FALSE)</f>
        <v>0</v>
      </c>
      <c r="AC1264">
        <f>VLOOKUP(Table9[[#This Row],[Shortname]], Comp[], 26, FALSE)</f>
        <v>0</v>
      </c>
      <c r="AD1264">
        <f>VLOOKUP(Table9[[#This Row],[Shortname]], Comp[], 27, FALSE)</f>
        <v>0</v>
      </c>
      <c r="AE1264">
        <f>VLOOKUP(Table9[[#This Row],[Shortname]], Comp[], 28, FALSE)</f>
        <v>0</v>
      </c>
      <c r="AF1264">
        <f>VLOOKUP(Table9[[#This Row],[Shortname]], Comp[], 29, FALSE)</f>
        <v>0</v>
      </c>
      <c r="AG1264">
        <f>VLOOKUP(Table9[[#This Row],[Shortname]], Comp[], 30, FALSE)</f>
        <v>0</v>
      </c>
      <c r="AH1264">
        <f>VLOOKUP(Table9[[#This Row],[Shortname]], Comp[], 31, FALSE)</f>
        <v>0</v>
      </c>
    </row>
    <row r="1265" spans="1:34" x14ac:dyDescent="0.3">
      <c r="A1265" t="s">
        <v>6429</v>
      </c>
      <c r="B1265" t="s">
        <v>6430</v>
      </c>
      <c r="C1265" t="s">
        <v>6431</v>
      </c>
      <c r="D1265">
        <v>494.71170319999999</v>
      </c>
      <c r="E1265">
        <v>850</v>
      </c>
      <c r="F1265">
        <v>1E-4</v>
      </c>
      <c r="G1265">
        <v>1</v>
      </c>
      <c r="I1265">
        <f>VLOOKUP(Table9[[#This Row],[Shortname]], Comp[], 6, FALSE)</f>
        <v>1072</v>
      </c>
      <c r="J1265" s="14">
        <f>VLOOKUP(Table9[[#This Row],[Shortname]], Comp[], 7, FALSE)</f>
        <v>52.410000000000004</v>
      </c>
      <c r="K1265">
        <f>VLOOKUP(Table9[[#This Row],[Shortname]], Comp[], 8, FALSE)</f>
        <v>17.489999999999998</v>
      </c>
      <c r="L1265">
        <f>VLOOKUP(Table9[[#This Row],[Shortname]], Comp[], 9, FALSE)</f>
        <v>5.42</v>
      </c>
      <c r="M1265">
        <f>VLOOKUP(Table9[[#This Row],[Shortname]], Comp[], 10, FALSE)</f>
        <v>4.17</v>
      </c>
      <c r="N1265">
        <f>VLOOKUP(Table9[[#This Row],[Shortname]], Comp[], 11, FALSE)</f>
        <v>0</v>
      </c>
      <c r="O1265">
        <f>VLOOKUP(Table9[[#This Row],[Shortname]], Comp[],12, FALSE)</f>
        <v>2.0299999999999998</v>
      </c>
      <c r="P1265">
        <f>VLOOKUP(Table9[[#This Row],[Shortname]], Comp[], 13, FALSE)</f>
        <v>1.52</v>
      </c>
      <c r="Q1265">
        <f>VLOOKUP(Table9[[#This Row],[Shortname]], Comp[], 14, FALSE)</f>
        <v>1.44</v>
      </c>
      <c r="R1265">
        <f>VLOOKUP(Table9[[#This Row],[Shortname]], Comp[], 15, FALSE)</f>
        <v>3.08</v>
      </c>
      <c r="S1265">
        <f>VLOOKUP(Table9[[#This Row],[Shortname]], Comp[], 16, FALSE)</f>
        <v>0</v>
      </c>
      <c r="T1265">
        <f>VLOOKUP(Table9[[#This Row],[Shortname]], Comp[], 17, FALSE)</f>
        <v>0</v>
      </c>
      <c r="U1265">
        <f>VLOOKUP(Table9[[#This Row],[Shortname]], Comp[], 18, FALSE)</f>
        <v>0</v>
      </c>
      <c r="V1265">
        <f>VLOOKUP(Table9[[#This Row],[Shortname]], Comp[], 19, FALSE)</f>
        <v>0.08</v>
      </c>
      <c r="W1265">
        <f>VLOOKUP(Table9[[#This Row],[Shortname]], Comp[], 20, FALSE)</f>
        <v>0</v>
      </c>
      <c r="X1265">
        <f>VLOOKUP(Table9[[#This Row],[Shortname]], Comp[], 21, FALSE)</f>
        <v>0</v>
      </c>
      <c r="Y1265">
        <f>VLOOKUP(Table9[[#This Row],[Shortname]], Comp[], 22, FALSE)</f>
        <v>0</v>
      </c>
      <c r="Z1265">
        <f>VLOOKUP(Table9[[#This Row],[Shortname]], Comp[], 23, FALSE)</f>
        <v>12.36</v>
      </c>
      <c r="AA1265">
        <f>VLOOKUP(Table9[[#This Row],[Shortname]], Comp[], 24, FALSE)</f>
        <v>0</v>
      </c>
      <c r="AB1265">
        <f>VLOOKUP(Table9[[#This Row],[Shortname]], Comp[], 25, FALSE)</f>
        <v>0</v>
      </c>
      <c r="AC1265">
        <f>VLOOKUP(Table9[[#This Row],[Shortname]], Comp[], 26, FALSE)</f>
        <v>0</v>
      </c>
      <c r="AD1265">
        <f>VLOOKUP(Table9[[#This Row],[Shortname]], Comp[], 27, FALSE)</f>
        <v>0</v>
      </c>
      <c r="AE1265">
        <f>VLOOKUP(Table9[[#This Row],[Shortname]], Comp[], 28, FALSE)</f>
        <v>0</v>
      </c>
      <c r="AF1265">
        <f>VLOOKUP(Table9[[#This Row],[Shortname]], Comp[], 29, FALSE)</f>
        <v>0</v>
      </c>
      <c r="AG1265">
        <f>VLOOKUP(Table9[[#This Row],[Shortname]], Comp[], 30, FALSE)</f>
        <v>0</v>
      </c>
      <c r="AH1265">
        <f>VLOOKUP(Table9[[#This Row],[Shortname]], Comp[], 31, FALSE)</f>
        <v>0</v>
      </c>
    </row>
    <row r="1266" spans="1:34" x14ac:dyDescent="0.3">
      <c r="A1266" t="s">
        <v>6429</v>
      </c>
      <c r="B1266" t="s">
        <v>6430</v>
      </c>
      <c r="C1266" t="s">
        <v>6431</v>
      </c>
      <c r="D1266">
        <v>393.43553680000002</v>
      </c>
      <c r="E1266">
        <v>900</v>
      </c>
      <c r="F1266">
        <v>1E-4</v>
      </c>
      <c r="G1266">
        <v>1</v>
      </c>
      <c r="I1266">
        <f>VLOOKUP(Table9[[#This Row],[Shortname]], Comp[], 6, FALSE)</f>
        <v>1072</v>
      </c>
      <c r="J1266" s="14">
        <f>VLOOKUP(Table9[[#This Row],[Shortname]], Comp[], 7, FALSE)</f>
        <v>52.410000000000004</v>
      </c>
      <c r="K1266">
        <f>VLOOKUP(Table9[[#This Row],[Shortname]], Comp[], 8, FALSE)</f>
        <v>17.489999999999998</v>
      </c>
      <c r="L1266">
        <f>VLOOKUP(Table9[[#This Row],[Shortname]], Comp[], 9, FALSE)</f>
        <v>5.42</v>
      </c>
      <c r="M1266">
        <f>VLOOKUP(Table9[[#This Row],[Shortname]], Comp[], 10, FALSE)</f>
        <v>4.17</v>
      </c>
      <c r="N1266">
        <f>VLOOKUP(Table9[[#This Row],[Shortname]], Comp[], 11, FALSE)</f>
        <v>0</v>
      </c>
      <c r="O1266">
        <f>VLOOKUP(Table9[[#This Row],[Shortname]], Comp[],12, FALSE)</f>
        <v>2.0299999999999998</v>
      </c>
      <c r="P1266">
        <f>VLOOKUP(Table9[[#This Row],[Shortname]], Comp[], 13, FALSE)</f>
        <v>1.52</v>
      </c>
      <c r="Q1266">
        <f>VLOOKUP(Table9[[#This Row],[Shortname]], Comp[], 14, FALSE)</f>
        <v>1.44</v>
      </c>
      <c r="R1266">
        <f>VLOOKUP(Table9[[#This Row],[Shortname]], Comp[], 15, FALSE)</f>
        <v>3.08</v>
      </c>
      <c r="S1266">
        <f>VLOOKUP(Table9[[#This Row],[Shortname]], Comp[], 16, FALSE)</f>
        <v>0</v>
      </c>
      <c r="T1266">
        <f>VLOOKUP(Table9[[#This Row],[Shortname]], Comp[], 17, FALSE)</f>
        <v>0</v>
      </c>
      <c r="U1266">
        <f>VLOOKUP(Table9[[#This Row],[Shortname]], Comp[], 18, FALSE)</f>
        <v>0</v>
      </c>
      <c r="V1266">
        <f>VLOOKUP(Table9[[#This Row],[Shortname]], Comp[], 19, FALSE)</f>
        <v>0.08</v>
      </c>
      <c r="W1266">
        <f>VLOOKUP(Table9[[#This Row],[Shortname]], Comp[], 20, FALSE)</f>
        <v>0</v>
      </c>
      <c r="X1266">
        <f>VLOOKUP(Table9[[#This Row],[Shortname]], Comp[], 21, FALSE)</f>
        <v>0</v>
      </c>
      <c r="Y1266">
        <f>VLOOKUP(Table9[[#This Row],[Shortname]], Comp[], 22, FALSE)</f>
        <v>0</v>
      </c>
      <c r="Z1266">
        <f>VLOOKUP(Table9[[#This Row],[Shortname]], Comp[], 23, FALSE)</f>
        <v>12.36</v>
      </c>
      <c r="AA1266">
        <f>VLOOKUP(Table9[[#This Row],[Shortname]], Comp[], 24, FALSE)</f>
        <v>0</v>
      </c>
      <c r="AB1266">
        <f>VLOOKUP(Table9[[#This Row],[Shortname]], Comp[], 25, FALSE)</f>
        <v>0</v>
      </c>
      <c r="AC1266">
        <f>VLOOKUP(Table9[[#This Row],[Shortname]], Comp[], 26, FALSE)</f>
        <v>0</v>
      </c>
      <c r="AD1266">
        <f>VLOOKUP(Table9[[#This Row],[Shortname]], Comp[], 27, FALSE)</f>
        <v>0</v>
      </c>
      <c r="AE1266">
        <f>VLOOKUP(Table9[[#This Row],[Shortname]], Comp[], 28, FALSE)</f>
        <v>0</v>
      </c>
      <c r="AF1266">
        <f>VLOOKUP(Table9[[#This Row],[Shortname]], Comp[], 29, FALSE)</f>
        <v>0</v>
      </c>
      <c r="AG1266">
        <f>VLOOKUP(Table9[[#This Row],[Shortname]], Comp[], 30, FALSE)</f>
        <v>0</v>
      </c>
      <c r="AH1266">
        <f>VLOOKUP(Table9[[#This Row],[Shortname]], Comp[], 31, FALSE)</f>
        <v>0</v>
      </c>
    </row>
    <row r="1267" spans="1:34" x14ac:dyDescent="0.3">
      <c r="A1267" t="s">
        <v>6429</v>
      </c>
      <c r="B1267" t="s">
        <v>6430</v>
      </c>
      <c r="C1267" t="s">
        <v>6431</v>
      </c>
      <c r="D1267">
        <v>261.17474920000001</v>
      </c>
      <c r="E1267">
        <v>950</v>
      </c>
      <c r="F1267">
        <v>1E-4</v>
      </c>
      <c r="G1267">
        <v>1</v>
      </c>
      <c r="I1267">
        <f>VLOOKUP(Table9[[#This Row],[Shortname]], Comp[], 6, FALSE)</f>
        <v>1072</v>
      </c>
      <c r="J1267" s="14">
        <f>VLOOKUP(Table9[[#This Row],[Shortname]], Comp[], 7, FALSE)</f>
        <v>52.410000000000004</v>
      </c>
      <c r="K1267">
        <f>VLOOKUP(Table9[[#This Row],[Shortname]], Comp[], 8, FALSE)</f>
        <v>17.489999999999998</v>
      </c>
      <c r="L1267">
        <f>VLOOKUP(Table9[[#This Row],[Shortname]], Comp[], 9, FALSE)</f>
        <v>5.42</v>
      </c>
      <c r="M1267">
        <f>VLOOKUP(Table9[[#This Row],[Shortname]], Comp[], 10, FALSE)</f>
        <v>4.17</v>
      </c>
      <c r="N1267">
        <f>VLOOKUP(Table9[[#This Row],[Shortname]], Comp[], 11, FALSE)</f>
        <v>0</v>
      </c>
      <c r="O1267">
        <f>VLOOKUP(Table9[[#This Row],[Shortname]], Comp[],12, FALSE)</f>
        <v>2.0299999999999998</v>
      </c>
      <c r="P1267">
        <f>VLOOKUP(Table9[[#This Row],[Shortname]], Comp[], 13, FALSE)</f>
        <v>1.52</v>
      </c>
      <c r="Q1267">
        <f>VLOOKUP(Table9[[#This Row],[Shortname]], Comp[], 14, FALSE)</f>
        <v>1.44</v>
      </c>
      <c r="R1267">
        <f>VLOOKUP(Table9[[#This Row],[Shortname]], Comp[], 15, FALSE)</f>
        <v>3.08</v>
      </c>
      <c r="S1267">
        <f>VLOOKUP(Table9[[#This Row],[Shortname]], Comp[], 16, FALSE)</f>
        <v>0</v>
      </c>
      <c r="T1267">
        <f>VLOOKUP(Table9[[#This Row],[Shortname]], Comp[], 17, FALSE)</f>
        <v>0</v>
      </c>
      <c r="U1267">
        <f>VLOOKUP(Table9[[#This Row],[Shortname]], Comp[], 18, FALSE)</f>
        <v>0</v>
      </c>
      <c r="V1267">
        <f>VLOOKUP(Table9[[#This Row],[Shortname]], Comp[], 19, FALSE)</f>
        <v>0.08</v>
      </c>
      <c r="W1267">
        <f>VLOOKUP(Table9[[#This Row],[Shortname]], Comp[], 20, FALSE)</f>
        <v>0</v>
      </c>
      <c r="X1267">
        <f>VLOOKUP(Table9[[#This Row],[Shortname]], Comp[], 21, FALSE)</f>
        <v>0</v>
      </c>
      <c r="Y1267">
        <f>VLOOKUP(Table9[[#This Row],[Shortname]], Comp[], 22, FALSE)</f>
        <v>0</v>
      </c>
      <c r="Z1267">
        <f>VLOOKUP(Table9[[#This Row],[Shortname]], Comp[], 23, FALSE)</f>
        <v>12.36</v>
      </c>
      <c r="AA1267">
        <f>VLOOKUP(Table9[[#This Row],[Shortname]], Comp[], 24, FALSE)</f>
        <v>0</v>
      </c>
      <c r="AB1267">
        <f>VLOOKUP(Table9[[#This Row],[Shortname]], Comp[], 25, FALSE)</f>
        <v>0</v>
      </c>
      <c r="AC1267">
        <f>VLOOKUP(Table9[[#This Row],[Shortname]], Comp[], 26, FALSE)</f>
        <v>0</v>
      </c>
      <c r="AD1267">
        <f>VLOOKUP(Table9[[#This Row],[Shortname]], Comp[], 27, FALSE)</f>
        <v>0</v>
      </c>
      <c r="AE1267">
        <f>VLOOKUP(Table9[[#This Row],[Shortname]], Comp[], 28, FALSE)</f>
        <v>0</v>
      </c>
      <c r="AF1267">
        <f>VLOOKUP(Table9[[#This Row],[Shortname]], Comp[], 29, FALSE)</f>
        <v>0</v>
      </c>
      <c r="AG1267">
        <f>VLOOKUP(Table9[[#This Row],[Shortname]], Comp[], 30, FALSE)</f>
        <v>0</v>
      </c>
      <c r="AH1267">
        <f>VLOOKUP(Table9[[#This Row],[Shortname]], Comp[], 31, FALSE)</f>
        <v>0</v>
      </c>
    </row>
    <row r="1268" spans="1:34" x14ac:dyDescent="0.3">
      <c r="A1268" t="s">
        <v>6445</v>
      </c>
      <c r="B1268" t="s">
        <v>6446</v>
      </c>
      <c r="C1268" t="s">
        <v>6431</v>
      </c>
      <c r="D1268">
        <v>559.24170000000004</v>
      </c>
      <c r="E1268">
        <v>25</v>
      </c>
      <c r="F1268">
        <v>1E-4</v>
      </c>
      <c r="G1268">
        <v>1</v>
      </c>
      <c r="I1268">
        <f>VLOOKUP(Table9[[#This Row],[Shortname]], Comp[], 6, FALSE)</f>
        <v>1075</v>
      </c>
      <c r="J1268" s="14">
        <f>VLOOKUP(Table9[[#This Row],[Shortname]], Comp[], 7, FALSE)</f>
        <v>48.260000000000005</v>
      </c>
      <c r="K1268">
        <f>VLOOKUP(Table9[[#This Row],[Shortname]], Comp[], 8, FALSE)</f>
        <v>17.440000000000001</v>
      </c>
      <c r="L1268">
        <f>VLOOKUP(Table9[[#This Row],[Shortname]], Comp[], 9, FALSE)</f>
        <v>5.44</v>
      </c>
      <c r="M1268">
        <f>VLOOKUP(Table9[[#This Row],[Shortname]], Comp[], 10, FALSE)</f>
        <v>8.32</v>
      </c>
      <c r="N1268">
        <f>VLOOKUP(Table9[[#This Row],[Shortname]], Comp[], 11, FALSE)</f>
        <v>0</v>
      </c>
      <c r="O1268">
        <f>VLOOKUP(Table9[[#This Row],[Shortname]], Comp[],12, FALSE)</f>
        <v>2.08</v>
      </c>
      <c r="P1268">
        <f>VLOOKUP(Table9[[#This Row],[Shortname]], Comp[], 13, FALSE)</f>
        <v>1.55</v>
      </c>
      <c r="Q1268">
        <f>VLOOKUP(Table9[[#This Row],[Shortname]], Comp[], 14, FALSE)</f>
        <v>1.48</v>
      </c>
      <c r="R1268">
        <f>VLOOKUP(Table9[[#This Row],[Shortname]], Comp[], 15, FALSE)</f>
        <v>3.11</v>
      </c>
      <c r="S1268">
        <f>VLOOKUP(Table9[[#This Row],[Shortname]], Comp[], 16, FALSE)</f>
        <v>0</v>
      </c>
      <c r="T1268">
        <f>VLOOKUP(Table9[[#This Row],[Shortname]], Comp[], 17, FALSE)</f>
        <v>0</v>
      </c>
      <c r="U1268">
        <f>VLOOKUP(Table9[[#This Row],[Shortname]], Comp[], 18, FALSE)</f>
        <v>0</v>
      </c>
      <c r="V1268">
        <f>VLOOKUP(Table9[[#This Row],[Shortname]], Comp[], 19, FALSE)</f>
        <v>0.08</v>
      </c>
      <c r="W1268">
        <f>VLOOKUP(Table9[[#This Row],[Shortname]], Comp[], 20, FALSE)</f>
        <v>0</v>
      </c>
      <c r="X1268">
        <f>VLOOKUP(Table9[[#This Row],[Shortname]], Comp[], 21, FALSE)</f>
        <v>0</v>
      </c>
      <c r="Y1268">
        <f>VLOOKUP(Table9[[#This Row],[Shortname]], Comp[], 22, FALSE)</f>
        <v>0</v>
      </c>
      <c r="Z1268">
        <f>VLOOKUP(Table9[[#This Row],[Shortname]], Comp[], 23, FALSE)</f>
        <v>12.24</v>
      </c>
      <c r="AA1268">
        <f>VLOOKUP(Table9[[#This Row],[Shortname]], Comp[], 24, FALSE)</f>
        <v>0</v>
      </c>
      <c r="AB1268">
        <f>VLOOKUP(Table9[[#This Row],[Shortname]], Comp[], 25, FALSE)</f>
        <v>0</v>
      </c>
      <c r="AC1268">
        <f>VLOOKUP(Table9[[#This Row],[Shortname]], Comp[], 26, FALSE)</f>
        <v>0</v>
      </c>
      <c r="AD1268">
        <f>VLOOKUP(Table9[[#This Row],[Shortname]], Comp[], 27, FALSE)</f>
        <v>0</v>
      </c>
      <c r="AE1268">
        <f>VLOOKUP(Table9[[#This Row],[Shortname]], Comp[], 28, FALSE)</f>
        <v>0</v>
      </c>
      <c r="AF1268">
        <f>VLOOKUP(Table9[[#This Row],[Shortname]], Comp[], 29, FALSE)</f>
        <v>0</v>
      </c>
      <c r="AG1268">
        <f>VLOOKUP(Table9[[#This Row],[Shortname]], Comp[], 30, FALSE)</f>
        <v>0</v>
      </c>
      <c r="AH1268">
        <f>VLOOKUP(Table9[[#This Row],[Shortname]], Comp[], 31, FALSE)</f>
        <v>0</v>
      </c>
    </row>
    <row r="1269" spans="1:34" x14ac:dyDescent="0.3">
      <c r="A1269" t="s">
        <v>6445</v>
      </c>
      <c r="B1269" t="s">
        <v>6446</v>
      </c>
      <c r="C1269" t="s">
        <v>6431</v>
      </c>
      <c r="D1269">
        <v>449.13589999999999</v>
      </c>
      <c r="E1269">
        <v>600</v>
      </c>
      <c r="F1269">
        <v>1E-4</v>
      </c>
      <c r="G1269">
        <v>1</v>
      </c>
      <c r="I1269">
        <f>VLOOKUP(Table9[[#This Row],[Shortname]], Comp[], 6, FALSE)</f>
        <v>1075</v>
      </c>
      <c r="J1269" s="14">
        <f>VLOOKUP(Table9[[#This Row],[Shortname]], Comp[], 7, FALSE)</f>
        <v>48.260000000000005</v>
      </c>
      <c r="K1269">
        <f>VLOOKUP(Table9[[#This Row],[Shortname]], Comp[], 8, FALSE)</f>
        <v>17.440000000000001</v>
      </c>
      <c r="L1269">
        <f>VLOOKUP(Table9[[#This Row],[Shortname]], Comp[], 9, FALSE)</f>
        <v>5.44</v>
      </c>
      <c r="M1269">
        <f>VLOOKUP(Table9[[#This Row],[Shortname]], Comp[], 10, FALSE)</f>
        <v>8.32</v>
      </c>
      <c r="N1269">
        <f>VLOOKUP(Table9[[#This Row],[Shortname]], Comp[], 11, FALSE)</f>
        <v>0</v>
      </c>
      <c r="O1269">
        <f>VLOOKUP(Table9[[#This Row],[Shortname]], Comp[],12, FALSE)</f>
        <v>2.08</v>
      </c>
      <c r="P1269">
        <f>VLOOKUP(Table9[[#This Row],[Shortname]], Comp[], 13, FALSE)</f>
        <v>1.55</v>
      </c>
      <c r="Q1269">
        <f>VLOOKUP(Table9[[#This Row],[Shortname]], Comp[], 14, FALSE)</f>
        <v>1.48</v>
      </c>
      <c r="R1269">
        <f>VLOOKUP(Table9[[#This Row],[Shortname]], Comp[], 15, FALSE)</f>
        <v>3.11</v>
      </c>
      <c r="S1269">
        <f>VLOOKUP(Table9[[#This Row],[Shortname]], Comp[], 16, FALSE)</f>
        <v>0</v>
      </c>
      <c r="T1269">
        <f>VLOOKUP(Table9[[#This Row],[Shortname]], Comp[], 17, FALSE)</f>
        <v>0</v>
      </c>
      <c r="U1269">
        <f>VLOOKUP(Table9[[#This Row],[Shortname]], Comp[], 18, FALSE)</f>
        <v>0</v>
      </c>
      <c r="V1269">
        <f>VLOOKUP(Table9[[#This Row],[Shortname]], Comp[], 19, FALSE)</f>
        <v>0.08</v>
      </c>
      <c r="W1269">
        <f>VLOOKUP(Table9[[#This Row],[Shortname]], Comp[], 20, FALSE)</f>
        <v>0</v>
      </c>
      <c r="X1269">
        <f>VLOOKUP(Table9[[#This Row],[Shortname]], Comp[], 21, FALSE)</f>
        <v>0</v>
      </c>
      <c r="Y1269">
        <f>VLOOKUP(Table9[[#This Row],[Shortname]], Comp[], 22, FALSE)</f>
        <v>0</v>
      </c>
      <c r="Z1269">
        <f>VLOOKUP(Table9[[#This Row],[Shortname]], Comp[], 23, FALSE)</f>
        <v>12.24</v>
      </c>
      <c r="AA1269">
        <f>VLOOKUP(Table9[[#This Row],[Shortname]], Comp[], 24, FALSE)</f>
        <v>0</v>
      </c>
      <c r="AB1269">
        <f>VLOOKUP(Table9[[#This Row],[Shortname]], Comp[], 25, FALSE)</f>
        <v>0</v>
      </c>
      <c r="AC1269">
        <f>VLOOKUP(Table9[[#This Row],[Shortname]], Comp[], 26, FALSE)</f>
        <v>0</v>
      </c>
      <c r="AD1269">
        <f>VLOOKUP(Table9[[#This Row],[Shortname]], Comp[], 27, FALSE)</f>
        <v>0</v>
      </c>
      <c r="AE1269">
        <f>VLOOKUP(Table9[[#This Row],[Shortname]], Comp[], 28, FALSE)</f>
        <v>0</v>
      </c>
      <c r="AF1269">
        <f>VLOOKUP(Table9[[#This Row],[Shortname]], Comp[], 29, FALSE)</f>
        <v>0</v>
      </c>
      <c r="AG1269">
        <f>VLOOKUP(Table9[[#This Row],[Shortname]], Comp[], 30, FALSE)</f>
        <v>0</v>
      </c>
      <c r="AH1269">
        <f>VLOOKUP(Table9[[#This Row],[Shortname]], Comp[], 31, FALSE)</f>
        <v>0</v>
      </c>
    </row>
    <row r="1270" spans="1:34" x14ac:dyDescent="0.3">
      <c r="A1270" t="s">
        <v>6445</v>
      </c>
      <c r="B1270" t="s">
        <v>6446</v>
      </c>
      <c r="C1270" t="s">
        <v>6431</v>
      </c>
      <c r="D1270">
        <v>496.75630000000001</v>
      </c>
      <c r="E1270">
        <v>700</v>
      </c>
      <c r="F1270">
        <v>1E-4</v>
      </c>
      <c r="G1270">
        <v>1</v>
      </c>
      <c r="I1270">
        <f>VLOOKUP(Table9[[#This Row],[Shortname]], Comp[], 6, FALSE)</f>
        <v>1075</v>
      </c>
      <c r="J1270" s="14">
        <f>VLOOKUP(Table9[[#This Row],[Shortname]], Comp[], 7, FALSE)</f>
        <v>48.260000000000005</v>
      </c>
      <c r="K1270">
        <f>VLOOKUP(Table9[[#This Row],[Shortname]], Comp[], 8, FALSE)</f>
        <v>17.440000000000001</v>
      </c>
      <c r="L1270">
        <f>VLOOKUP(Table9[[#This Row],[Shortname]], Comp[], 9, FALSE)</f>
        <v>5.44</v>
      </c>
      <c r="M1270">
        <f>VLOOKUP(Table9[[#This Row],[Shortname]], Comp[], 10, FALSE)</f>
        <v>8.32</v>
      </c>
      <c r="N1270">
        <f>VLOOKUP(Table9[[#This Row],[Shortname]], Comp[], 11, FALSE)</f>
        <v>0</v>
      </c>
      <c r="O1270">
        <f>VLOOKUP(Table9[[#This Row],[Shortname]], Comp[],12, FALSE)</f>
        <v>2.08</v>
      </c>
      <c r="P1270">
        <f>VLOOKUP(Table9[[#This Row],[Shortname]], Comp[], 13, FALSE)</f>
        <v>1.55</v>
      </c>
      <c r="Q1270">
        <f>VLOOKUP(Table9[[#This Row],[Shortname]], Comp[], 14, FALSE)</f>
        <v>1.48</v>
      </c>
      <c r="R1270">
        <f>VLOOKUP(Table9[[#This Row],[Shortname]], Comp[], 15, FALSE)</f>
        <v>3.11</v>
      </c>
      <c r="S1270">
        <f>VLOOKUP(Table9[[#This Row],[Shortname]], Comp[], 16, FALSE)</f>
        <v>0</v>
      </c>
      <c r="T1270">
        <f>VLOOKUP(Table9[[#This Row],[Shortname]], Comp[], 17, FALSE)</f>
        <v>0</v>
      </c>
      <c r="U1270">
        <f>VLOOKUP(Table9[[#This Row],[Shortname]], Comp[], 18, FALSE)</f>
        <v>0</v>
      </c>
      <c r="V1270">
        <f>VLOOKUP(Table9[[#This Row],[Shortname]], Comp[], 19, FALSE)</f>
        <v>0.08</v>
      </c>
      <c r="W1270">
        <f>VLOOKUP(Table9[[#This Row],[Shortname]], Comp[], 20, FALSE)</f>
        <v>0</v>
      </c>
      <c r="X1270">
        <f>VLOOKUP(Table9[[#This Row],[Shortname]], Comp[], 21, FALSE)</f>
        <v>0</v>
      </c>
      <c r="Y1270">
        <f>VLOOKUP(Table9[[#This Row],[Shortname]], Comp[], 22, FALSE)</f>
        <v>0</v>
      </c>
      <c r="Z1270">
        <f>VLOOKUP(Table9[[#This Row],[Shortname]], Comp[], 23, FALSE)</f>
        <v>12.24</v>
      </c>
      <c r="AA1270">
        <f>VLOOKUP(Table9[[#This Row],[Shortname]], Comp[], 24, FALSE)</f>
        <v>0</v>
      </c>
      <c r="AB1270">
        <f>VLOOKUP(Table9[[#This Row],[Shortname]], Comp[], 25, FALSE)</f>
        <v>0</v>
      </c>
      <c r="AC1270">
        <f>VLOOKUP(Table9[[#This Row],[Shortname]], Comp[], 26, FALSE)</f>
        <v>0</v>
      </c>
      <c r="AD1270">
        <f>VLOOKUP(Table9[[#This Row],[Shortname]], Comp[], 27, FALSE)</f>
        <v>0</v>
      </c>
      <c r="AE1270">
        <f>VLOOKUP(Table9[[#This Row],[Shortname]], Comp[], 28, FALSE)</f>
        <v>0</v>
      </c>
      <c r="AF1270">
        <f>VLOOKUP(Table9[[#This Row],[Shortname]], Comp[], 29, FALSE)</f>
        <v>0</v>
      </c>
      <c r="AG1270">
        <f>VLOOKUP(Table9[[#This Row],[Shortname]], Comp[], 30, FALSE)</f>
        <v>0</v>
      </c>
      <c r="AH1270">
        <f>VLOOKUP(Table9[[#This Row],[Shortname]], Comp[], 31, FALSE)</f>
        <v>0</v>
      </c>
    </row>
    <row r="1271" spans="1:34" x14ac:dyDescent="0.3">
      <c r="A1271" t="s">
        <v>6445</v>
      </c>
      <c r="B1271" t="s">
        <v>6446</v>
      </c>
      <c r="C1271" t="s">
        <v>6431</v>
      </c>
      <c r="D1271">
        <v>565.93290000000002</v>
      </c>
      <c r="E1271">
        <v>750</v>
      </c>
      <c r="F1271">
        <v>1E-4</v>
      </c>
      <c r="G1271">
        <v>1</v>
      </c>
      <c r="I1271">
        <f>VLOOKUP(Table9[[#This Row],[Shortname]], Comp[], 6, FALSE)</f>
        <v>1075</v>
      </c>
      <c r="J1271" s="14">
        <f>VLOOKUP(Table9[[#This Row],[Shortname]], Comp[], 7, FALSE)</f>
        <v>48.260000000000005</v>
      </c>
      <c r="K1271">
        <f>VLOOKUP(Table9[[#This Row],[Shortname]], Comp[], 8, FALSE)</f>
        <v>17.440000000000001</v>
      </c>
      <c r="L1271">
        <f>VLOOKUP(Table9[[#This Row],[Shortname]], Comp[], 9, FALSE)</f>
        <v>5.44</v>
      </c>
      <c r="M1271">
        <f>VLOOKUP(Table9[[#This Row],[Shortname]], Comp[], 10, FALSE)</f>
        <v>8.32</v>
      </c>
      <c r="N1271">
        <f>VLOOKUP(Table9[[#This Row],[Shortname]], Comp[], 11, FALSE)</f>
        <v>0</v>
      </c>
      <c r="O1271">
        <f>VLOOKUP(Table9[[#This Row],[Shortname]], Comp[],12, FALSE)</f>
        <v>2.08</v>
      </c>
      <c r="P1271">
        <f>VLOOKUP(Table9[[#This Row],[Shortname]], Comp[], 13, FALSE)</f>
        <v>1.55</v>
      </c>
      <c r="Q1271">
        <f>VLOOKUP(Table9[[#This Row],[Shortname]], Comp[], 14, FALSE)</f>
        <v>1.48</v>
      </c>
      <c r="R1271">
        <f>VLOOKUP(Table9[[#This Row],[Shortname]], Comp[], 15, FALSE)</f>
        <v>3.11</v>
      </c>
      <c r="S1271">
        <f>VLOOKUP(Table9[[#This Row],[Shortname]], Comp[], 16, FALSE)</f>
        <v>0</v>
      </c>
      <c r="T1271">
        <f>VLOOKUP(Table9[[#This Row],[Shortname]], Comp[], 17, FALSE)</f>
        <v>0</v>
      </c>
      <c r="U1271">
        <f>VLOOKUP(Table9[[#This Row],[Shortname]], Comp[], 18, FALSE)</f>
        <v>0</v>
      </c>
      <c r="V1271">
        <f>VLOOKUP(Table9[[#This Row],[Shortname]], Comp[], 19, FALSE)</f>
        <v>0.08</v>
      </c>
      <c r="W1271">
        <f>VLOOKUP(Table9[[#This Row],[Shortname]], Comp[], 20, FALSE)</f>
        <v>0</v>
      </c>
      <c r="X1271">
        <f>VLOOKUP(Table9[[#This Row],[Shortname]], Comp[], 21, FALSE)</f>
        <v>0</v>
      </c>
      <c r="Y1271">
        <f>VLOOKUP(Table9[[#This Row],[Shortname]], Comp[], 22, FALSE)</f>
        <v>0</v>
      </c>
      <c r="Z1271">
        <f>VLOOKUP(Table9[[#This Row],[Shortname]], Comp[], 23, FALSE)</f>
        <v>12.24</v>
      </c>
      <c r="AA1271">
        <f>VLOOKUP(Table9[[#This Row],[Shortname]], Comp[], 24, FALSE)</f>
        <v>0</v>
      </c>
      <c r="AB1271">
        <f>VLOOKUP(Table9[[#This Row],[Shortname]], Comp[], 25, FALSE)</f>
        <v>0</v>
      </c>
      <c r="AC1271">
        <f>VLOOKUP(Table9[[#This Row],[Shortname]], Comp[], 26, FALSE)</f>
        <v>0</v>
      </c>
      <c r="AD1271">
        <f>VLOOKUP(Table9[[#This Row],[Shortname]], Comp[], 27, FALSE)</f>
        <v>0</v>
      </c>
      <c r="AE1271">
        <f>VLOOKUP(Table9[[#This Row],[Shortname]], Comp[], 28, FALSE)</f>
        <v>0</v>
      </c>
      <c r="AF1271">
        <f>VLOOKUP(Table9[[#This Row],[Shortname]], Comp[], 29, FALSE)</f>
        <v>0</v>
      </c>
      <c r="AG1271">
        <f>VLOOKUP(Table9[[#This Row],[Shortname]], Comp[], 30, FALSE)</f>
        <v>0</v>
      </c>
      <c r="AH1271">
        <f>VLOOKUP(Table9[[#This Row],[Shortname]], Comp[], 31, FALSE)</f>
        <v>0</v>
      </c>
    </row>
    <row r="1272" spans="1:34" x14ac:dyDescent="0.3">
      <c r="A1272" t="s">
        <v>6445</v>
      </c>
      <c r="B1272" t="s">
        <v>6446</v>
      </c>
      <c r="C1272" t="s">
        <v>6431</v>
      </c>
      <c r="D1272">
        <v>592.04409999999996</v>
      </c>
      <c r="E1272">
        <v>800</v>
      </c>
      <c r="F1272">
        <v>1E-4</v>
      </c>
      <c r="G1272">
        <v>1</v>
      </c>
      <c r="I1272">
        <f>VLOOKUP(Table9[[#This Row],[Shortname]], Comp[], 6, FALSE)</f>
        <v>1075</v>
      </c>
      <c r="J1272" s="14">
        <f>VLOOKUP(Table9[[#This Row],[Shortname]], Comp[], 7, FALSE)</f>
        <v>48.260000000000005</v>
      </c>
      <c r="K1272">
        <f>VLOOKUP(Table9[[#This Row],[Shortname]], Comp[], 8, FALSE)</f>
        <v>17.440000000000001</v>
      </c>
      <c r="L1272">
        <f>VLOOKUP(Table9[[#This Row],[Shortname]], Comp[], 9, FALSE)</f>
        <v>5.44</v>
      </c>
      <c r="M1272">
        <f>VLOOKUP(Table9[[#This Row],[Shortname]], Comp[], 10, FALSE)</f>
        <v>8.32</v>
      </c>
      <c r="N1272">
        <f>VLOOKUP(Table9[[#This Row],[Shortname]], Comp[], 11, FALSE)</f>
        <v>0</v>
      </c>
      <c r="O1272">
        <f>VLOOKUP(Table9[[#This Row],[Shortname]], Comp[],12, FALSE)</f>
        <v>2.08</v>
      </c>
      <c r="P1272">
        <f>VLOOKUP(Table9[[#This Row],[Shortname]], Comp[], 13, FALSE)</f>
        <v>1.55</v>
      </c>
      <c r="Q1272">
        <f>VLOOKUP(Table9[[#This Row],[Shortname]], Comp[], 14, FALSE)</f>
        <v>1.48</v>
      </c>
      <c r="R1272">
        <f>VLOOKUP(Table9[[#This Row],[Shortname]], Comp[], 15, FALSE)</f>
        <v>3.11</v>
      </c>
      <c r="S1272">
        <f>VLOOKUP(Table9[[#This Row],[Shortname]], Comp[], 16, FALSE)</f>
        <v>0</v>
      </c>
      <c r="T1272">
        <f>VLOOKUP(Table9[[#This Row],[Shortname]], Comp[], 17, FALSE)</f>
        <v>0</v>
      </c>
      <c r="U1272">
        <f>VLOOKUP(Table9[[#This Row],[Shortname]], Comp[], 18, FALSE)</f>
        <v>0</v>
      </c>
      <c r="V1272">
        <f>VLOOKUP(Table9[[#This Row],[Shortname]], Comp[], 19, FALSE)</f>
        <v>0.08</v>
      </c>
      <c r="W1272">
        <f>VLOOKUP(Table9[[#This Row],[Shortname]], Comp[], 20, FALSE)</f>
        <v>0</v>
      </c>
      <c r="X1272">
        <f>VLOOKUP(Table9[[#This Row],[Shortname]], Comp[], 21, FALSE)</f>
        <v>0</v>
      </c>
      <c r="Y1272">
        <f>VLOOKUP(Table9[[#This Row],[Shortname]], Comp[], 22, FALSE)</f>
        <v>0</v>
      </c>
      <c r="Z1272">
        <f>VLOOKUP(Table9[[#This Row],[Shortname]], Comp[], 23, FALSE)</f>
        <v>12.24</v>
      </c>
      <c r="AA1272">
        <f>VLOOKUP(Table9[[#This Row],[Shortname]], Comp[], 24, FALSE)</f>
        <v>0</v>
      </c>
      <c r="AB1272">
        <f>VLOOKUP(Table9[[#This Row],[Shortname]], Comp[], 25, FALSE)</f>
        <v>0</v>
      </c>
      <c r="AC1272">
        <f>VLOOKUP(Table9[[#This Row],[Shortname]], Comp[], 26, FALSE)</f>
        <v>0</v>
      </c>
      <c r="AD1272">
        <f>VLOOKUP(Table9[[#This Row],[Shortname]], Comp[], 27, FALSE)</f>
        <v>0</v>
      </c>
      <c r="AE1272">
        <f>VLOOKUP(Table9[[#This Row],[Shortname]], Comp[], 28, FALSE)</f>
        <v>0</v>
      </c>
      <c r="AF1272">
        <f>VLOOKUP(Table9[[#This Row],[Shortname]], Comp[], 29, FALSE)</f>
        <v>0</v>
      </c>
      <c r="AG1272">
        <f>VLOOKUP(Table9[[#This Row],[Shortname]], Comp[], 30, FALSE)</f>
        <v>0</v>
      </c>
      <c r="AH1272">
        <f>VLOOKUP(Table9[[#This Row],[Shortname]], Comp[], 31, FALSE)</f>
        <v>0</v>
      </c>
    </row>
    <row r="1273" spans="1:34" x14ac:dyDescent="0.3">
      <c r="A1273" t="s">
        <v>6445</v>
      </c>
      <c r="B1273" t="s">
        <v>6446</v>
      </c>
      <c r="C1273" t="s">
        <v>6431</v>
      </c>
      <c r="D1273">
        <v>491.45170000000002</v>
      </c>
      <c r="E1273">
        <v>850</v>
      </c>
      <c r="F1273">
        <v>1E-4</v>
      </c>
      <c r="G1273">
        <v>1</v>
      </c>
      <c r="I1273">
        <f>VLOOKUP(Table9[[#This Row],[Shortname]], Comp[], 6, FALSE)</f>
        <v>1075</v>
      </c>
      <c r="J1273" s="14">
        <f>VLOOKUP(Table9[[#This Row],[Shortname]], Comp[], 7, FALSE)</f>
        <v>48.260000000000005</v>
      </c>
      <c r="K1273">
        <f>VLOOKUP(Table9[[#This Row],[Shortname]], Comp[], 8, FALSE)</f>
        <v>17.440000000000001</v>
      </c>
      <c r="L1273">
        <f>VLOOKUP(Table9[[#This Row],[Shortname]], Comp[], 9, FALSE)</f>
        <v>5.44</v>
      </c>
      <c r="M1273">
        <f>VLOOKUP(Table9[[#This Row],[Shortname]], Comp[], 10, FALSE)</f>
        <v>8.32</v>
      </c>
      <c r="N1273">
        <f>VLOOKUP(Table9[[#This Row],[Shortname]], Comp[], 11, FALSE)</f>
        <v>0</v>
      </c>
      <c r="O1273">
        <f>VLOOKUP(Table9[[#This Row],[Shortname]], Comp[],12, FALSE)</f>
        <v>2.08</v>
      </c>
      <c r="P1273">
        <f>VLOOKUP(Table9[[#This Row],[Shortname]], Comp[], 13, FALSE)</f>
        <v>1.55</v>
      </c>
      <c r="Q1273">
        <f>VLOOKUP(Table9[[#This Row],[Shortname]], Comp[], 14, FALSE)</f>
        <v>1.48</v>
      </c>
      <c r="R1273">
        <f>VLOOKUP(Table9[[#This Row],[Shortname]], Comp[], 15, FALSE)</f>
        <v>3.11</v>
      </c>
      <c r="S1273">
        <f>VLOOKUP(Table9[[#This Row],[Shortname]], Comp[], 16, FALSE)</f>
        <v>0</v>
      </c>
      <c r="T1273">
        <f>VLOOKUP(Table9[[#This Row],[Shortname]], Comp[], 17, FALSE)</f>
        <v>0</v>
      </c>
      <c r="U1273">
        <f>VLOOKUP(Table9[[#This Row],[Shortname]], Comp[], 18, FALSE)</f>
        <v>0</v>
      </c>
      <c r="V1273">
        <f>VLOOKUP(Table9[[#This Row],[Shortname]], Comp[], 19, FALSE)</f>
        <v>0.08</v>
      </c>
      <c r="W1273">
        <f>VLOOKUP(Table9[[#This Row],[Shortname]], Comp[], 20, FALSE)</f>
        <v>0</v>
      </c>
      <c r="X1273">
        <f>VLOOKUP(Table9[[#This Row],[Shortname]], Comp[], 21, FALSE)</f>
        <v>0</v>
      </c>
      <c r="Y1273">
        <f>VLOOKUP(Table9[[#This Row],[Shortname]], Comp[], 22, FALSE)</f>
        <v>0</v>
      </c>
      <c r="Z1273">
        <f>VLOOKUP(Table9[[#This Row],[Shortname]], Comp[], 23, FALSE)</f>
        <v>12.24</v>
      </c>
      <c r="AA1273">
        <f>VLOOKUP(Table9[[#This Row],[Shortname]], Comp[], 24, FALSE)</f>
        <v>0</v>
      </c>
      <c r="AB1273">
        <f>VLOOKUP(Table9[[#This Row],[Shortname]], Comp[], 25, FALSE)</f>
        <v>0</v>
      </c>
      <c r="AC1273">
        <f>VLOOKUP(Table9[[#This Row],[Shortname]], Comp[], 26, FALSE)</f>
        <v>0</v>
      </c>
      <c r="AD1273">
        <f>VLOOKUP(Table9[[#This Row],[Shortname]], Comp[], 27, FALSE)</f>
        <v>0</v>
      </c>
      <c r="AE1273">
        <f>VLOOKUP(Table9[[#This Row],[Shortname]], Comp[], 28, FALSE)</f>
        <v>0</v>
      </c>
      <c r="AF1273">
        <f>VLOOKUP(Table9[[#This Row],[Shortname]], Comp[], 29, FALSE)</f>
        <v>0</v>
      </c>
      <c r="AG1273">
        <f>VLOOKUP(Table9[[#This Row],[Shortname]], Comp[], 30, FALSE)</f>
        <v>0</v>
      </c>
      <c r="AH1273">
        <f>VLOOKUP(Table9[[#This Row],[Shortname]], Comp[], 31, FALSE)</f>
        <v>0</v>
      </c>
    </row>
    <row r="1274" spans="1:34" x14ac:dyDescent="0.3">
      <c r="A1274" t="s">
        <v>6445</v>
      </c>
      <c r="B1274" t="s">
        <v>6446</v>
      </c>
      <c r="C1274" t="s">
        <v>6431</v>
      </c>
      <c r="D1274">
        <v>393.87630000000001</v>
      </c>
      <c r="E1274">
        <v>900</v>
      </c>
      <c r="F1274">
        <v>1E-4</v>
      </c>
      <c r="G1274">
        <v>1</v>
      </c>
      <c r="I1274">
        <f>VLOOKUP(Table9[[#This Row],[Shortname]], Comp[], 6, FALSE)</f>
        <v>1075</v>
      </c>
      <c r="J1274" s="14">
        <f>VLOOKUP(Table9[[#This Row],[Shortname]], Comp[], 7, FALSE)</f>
        <v>48.260000000000005</v>
      </c>
      <c r="K1274">
        <f>VLOOKUP(Table9[[#This Row],[Shortname]], Comp[], 8, FALSE)</f>
        <v>17.440000000000001</v>
      </c>
      <c r="L1274">
        <f>VLOOKUP(Table9[[#This Row],[Shortname]], Comp[], 9, FALSE)</f>
        <v>5.44</v>
      </c>
      <c r="M1274">
        <f>VLOOKUP(Table9[[#This Row],[Shortname]], Comp[], 10, FALSE)</f>
        <v>8.32</v>
      </c>
      <c r="N1274">
        <f>VLOOKUP(Table9[[#This Row],[Shortname]], Comp[], 11, FALSE)</f>
        <v>0</v>
      </c>
      <c r="O1274">
        <f>VLOOKUP(Table9[[#This Row],[Shortname]], Comp[],12, FALSE)</f>
        <v>2.08</v>
      </c>
      <c r="P1274">
        <f>VLOOKUP(Table9[[#This Row],[Shortname]], Comp[], 13, FALSE)</f>
        <v>1.55</v>
      </c>
      <c r="Q1274">
        <f>VLOOKUP(Table9[[#This Row],[Shortname]], Comp[], 14, FALSE)</f>
        <v>1.48</v>
      </c>
      <c r="R1274">
        <f>VLOOKUP(Table9[[#This Row],[Shortname]], Comp[], 15, FALSE)</f>
        <v>3.11</v>
      </c>
      <c r="S1274">
        <f>VLOOKUP(Table9[[#This Row],[Shortname]], Comp[], 16, FALSE)</f>
        <v>0</v>
      </c>
      <c r="T1274">
        <f>VLOOKUP(Table9[[#This Row],[Shortname]], Comp[], 17, FALSE)</f>
        <v>0</v>
      </c>
      <c r="U1274">
        <f>VLOOKUP(Table9[[#This Row],[Shortname]], Comp[], 18, FALSE)</f>
        <v>0</v>
      </c>
      <c r="V1274">
        <f>VLOOKUP(Table9[[#This Row],[Shortname]], Comp[], 19, FALSE)</f>
        <v>0.08</v>
      </c>
      <c r="W1274">
        <f>VLOOKUP(Table9[[#This Row],[Shortname]], Comp[], 20, FALSE)</f>
        <v>0</v>
      </c>
      <c r="X1274">
        <f>VLOOKUP(Table9[[#This Row],[Shortname]], Comp[], 21, FALSE)</f>
        <v>0</v>
      </c>
      <c r="Y1274">
        <f>VLOOKUP(Table9[[#This Row],[Shortname]], Comp[], 22, FALSE)</f>
        <v>0</v>
      </c>
      <c r="Z1274">
        <f>VLOOKUP(Table9[[#This Row],[Shortname]], Comp[], 23, FALSE)</f>
        <v>12.24</v>
      </c>
      <c r="AA1274">
        <f>VLOOKUP(Table9[[#This Row],[Shortname]], Comp[], 24, FALSE)</f>
        <v>0</v>
      </c>
      <c r="AB1274">
        <f>VLOOKUP(Table9[[#This Row],[Shortname]], Comp[], 25, FALSE)</f>
        <v>0</v>
      </c>
      <c r="AC1274">
        <f>VLOOKUP(Table9[[#This Row],[Shortname]], Comp[], 26, FALSE)</f>
        <v>0</v>
      </c>
      <c r="AD1274">
        <f>VLOOKUP(Table9[[#This Row],[Shortname]], Comp[], 27, FALSE)</f>
        <v>0</v>
      </c>
      <c r="AE1274">
        <f>VLOOKUP(Table9[[#This Row],[Shortname]], Comp[], 28, FALSE)</f>
        <v>0</v>
      </c>
      <c r="AF1274">
        <f>VLOOKUP(Table9[[#This Row],[Shortname]], Comp[], 29, FALSE)</f>
        <v>0</v>
      </c>
      <c r="AG1274">
        <f>VLOOKUP(Table9[[#This Row],[Shortname]], Comp[], 30, FALSE)</f>
        <v>0</v>
      </c>
      <c r="AH1274">
        <f>VLOOKUP(Table9[[#This Row],[Shortname]], Comp[], 31, FALSE)</f>
        <v>0</v>
      </c>
    </row>
    <row r="1275" spans="1:34" x14ac:dyDescent="0.3">
      <c r="A1275" t="s">
        <v>6445</v>
      </c>
      <c r="B1275" t="s">
        <v>6446</v>
      </c>
      <c r="C1275" t="s">
        <v>6431</v>
      </c>
      <c r="D1275">
        <v>250.4023</v>
      </c>
      <c r="E1275">
        <v>950</v>
      </c>
      <c r="F1275">
        <v>1E-4</v>
      </c>
      <c r="G1275">
        <v>1</v>
      </c>
      <c r="I1275">
        <f>VLOOKUP(Table9[[#This Row],[Shortname]], Comp[], 6, FALSE)</f>
        <v>1075</v>
      </c>
      <c r="J1275" s="14">
        <f>VLOOKUP(Table9[[#This Row],[Shortname]], Comp[], 7, FALSE)</f>
        <v>48.260000000000005</v>
      </c>
      <c r="K1275">
        <f>VLOOKUP(Table9[[#This Row],[Shortname]], Comp[], 8, FALSE)</f>
        <v>17.440000000000001</v>
      </c>
      <c r="L1275">
        <f>VLOOKUP(Table9[[#This Row],[Shortname]], Comp[], 9, FALSE)</f>
        <v>5.44</v>
      </c>
      <c r="M1275">
        <f>VLOOKUP(Table9[[#This Row],[Shortname]], Comp[], 10, FALSE)</f>
        <v>8.32</v>
      </c>
      <c r="N1275">
        <f>VLOOKUP(Table9[[#This Row],[Shortname]], Comp[], 11, FALSE)</f>
        <v>0</v>
      </c>
      <c r="O1275">
        <f>VLOOKUP(Table9[[#This Row],[Shortname]], Comp[],12, FALSE)</f>
        <v>2.08</v>
      </c>
      <c r="P1275">
        <f>VLOOKUP(Table9[[#This Row],[Shortname]], Comp[], 13, FALSE)</f>
        <v>1.55</v>
      </c>
      <c r="Q1275">
        <f>VLOOKUP(Table9[[#This Row],[Shortname]], Comp[], 14, FALSE)</f>
        <v>1.48</v>
      </c>
      <c r="R1275">
        <f>VLOOKUP(Table9[[#This Row],[Shortname]], Comp[], 15, FALSE)</f>
        <v>3.11</v>
      </c>
      <c r="S1275">
        <f>VLOOKUP(Table9[[#This Row],[Shortname]], Comp[], 16, FALSE)</f>
        <v>0</v>
      </c>
      <c r="T1275">
        <f>VLOOKUP(Table9[[#This Row],[Shortname]], Comp[], 17, FALSE)</f>
        <v>0</v>
      </c>
      <c r="U1275">
        <f>VLOOKUP(Table9[[#This Row],[Shortname]], Comp[], 18, FALSE)</f>
        <v>0</v>
      </c>
      <c r="V1275">
        <f>VLOOKUP(Table9[[#This Row],[Shortname]], Comp[], 19, FALSE)</f>
        <v>0.08</v>
      </c>
      <c r="W1275">
        <f>VLOOKUP(Table9[[#This Row],[Shortname]], Comp[], 20, FALSE)</f>
        <v>0</v>
      </c>
      <c r="X1275">
        <f>VLOOKUP(Table9[[#This Row],[Shortname]], Comp[], 21, FALSE)</f>
        <v>0</v>
      </c>
      <c r="Y1275">
        <f>VLOOKUP(Table9[[#This Row],[Shortname]], Comp[], 22, FALSE)</f>
        <v>0</v>
      </c>
      <c r="Z1275">
        <f>VLOOKUP(Table9[[#This Row],[Shortname]], Comp[], 23, FALSE)</f>
        <v>12.24</v>
      </c>
      <c r="AA1275">
        <f>VLOOKUP(Table9[[#This Row],[Shortname]], Comp[], 24, FALSE)</f>
        <v>0</v>
      </c>
      <c r="AB1275">
        <f>VLOOKUP(Table9[[#This Row],[Shortname]], Comp[], 25, FALSE)</f>
        <v>0</v>
      </c>
      <c r="AC1275">
        <f>VLOOKUP(Table9[[#This Row],[Shortname]], Comp[], 26, FALSE)</f>
        <v>0</v>
      </c>
      <c r="AD1275">
        <f>VLOOKUP(Table9[[#This Row],[Shortname]], Comp[], 27, FALSE)</f>
        <v>0</v>
      </c>
      <c r="AE1275">
        <f>VLOOKUP(Table9[[#This Row],[Shortname]], Comp[], 28, FALSE)</f>
        <v>0</v>
      </c>
      <c r="AF1275">
        <f>VLOOKUP(Table9[[#This Row],[Shortname]], Comp[], 29, FALSE)</f>
        <v>0</v>
      </c>
      <c r="AG1275">
        <f>VLOOKUP(Table9[[#This Row],[Shortname]], Comp[], 30, FALSE)</f>
        <v>0</v>
      </c>
      <c r="AH1275">
        <f>VLOOKUP(Table9[[#This Row],[Shortname]], Comp[], 31, FALSE)</f>
        <v>0</v>
      </c>
    </row>
    <row r="1276" spans="1:34" x14ac:dyDescent="0.3">
      <c r="A1276" t="s">
        <v>6435</v>
      </c>
      <c r="B1276" t="s">
        <v>6436</v>
      </c>
      <c r="C1276" t="s">
        <v>6431</v>
      </c>
      <c r="D1276">
        <v>537.95521110000004</v>
      </c>
      <c r="E1276">
        <v>25</v>
      </c>
      <c r="F1276">
        <v>1E-4</v>
      </c>
      <c r="G1276">
        <v>1</v>
      </c>
      <c r="I1276">
        <f>VLOOKUP(Table9[[#This Row],[Shortname]], Comp[], 6, FALSE)</f>
        <v>1073</v>
      </c>
      <c r="J1276" s="14">
        <f>VLOOKUP(Table9[[#This Row],[Shortname]], Comp[], 7, FALSE)</f>
        <v>52.14</v>
      </c>
      <c r="K1276">
        <f>VLOOKUP(Table9[[#This Row],[Shortname]], Comp[], 8, FALSE)</f>
        <v>15.53</v>
      </c>
      <c r="L1276">
        <f>VLOOKUP(Table9[[#This Row],[Shortname]], Comp[], 9, FALSE)</f>
        <v>5.63</v>
      </c>
      <c r="M1276">
        <f>VLOOKUP(Table9[[#This Row],[Shortname]], Comp[], 10, FALSE)</f>
        <v>4.18</v>
      </c>
      <c r="N1276">
        <f>VLOOKUP(Table9[[#This Row],[Shortname]], Comp[], 11, FALSE)</f>
        <v>0</v>
      </c>
      <c r="O1276">
        <f>VLOOKUP(Table9[[#This Row],[Shortname]], Comp[],12, FALSE)</f>
        <v>2.0699999999999998</v>
      </c>
      <c r="P1276">
        <f>VLOOKUP(Table9[[#This Row],[Shortname]], Comp[], 13, FALSE)</f>
        <v>1.49</v>
      </c>
      <c r="Q1276">
        <f>VLOOKUP(Table9[[#This Row],[Shortname]], Comp[], 14, FALSE)</f>
        <v>1.5</v>
      </c>
      <c r="R1276">
        <f>VLOOKUP(Table9[[#This Row],[Shortname]], Comp[], 15, FALSE)</f>
        <v>3.07</v>
      </c>
      <c r="S1276">
        <f>VLOOKUP(Table9[[#This Row],[Shortname]], Comp[], 16, FALSE)</f>
        <v>0</v>
      </c>
      <c r="T1276">
        <f>VLOOKUP(Table9[[#This Row],[Shortname]], Comp[], 17, FALSE)</f>
        <v>0</v>
      </c>
      <c r="U1276">
        <f>VLOOKUP(Table9[[#This Row],[Shortname]], Comp[], 18, FALSE)</f>
        <v>0</v>
      </c>
      <c r="V1276">
        <f>VLOOKUP(Table9[[#This Row],[Shortname]], Comp[], 19, FALSE)</f>
        <v>0.08</v>
      </c>
      <c r="W1276">
        <f>VLOOKUP(Table9[[#This Row],[Shortname]], Comp[], 20, FALSE)</f>
        <v>0</v>
      </c>
      <c r="X1276">
        <f>VLOOKUP(Table9[[#This Row],[Shortname]], Comp[], 21, FALSE)</f>
        <v>0</v>
      </c>
      <c r="Y1276">
        <f>VLOOKUP(Table9[[#This Row],[Shortname]], Comp[], 22, FALSE)</f>
        <v>0</v>
      </c>
      <c r="Z1276">
        <f>VLOOKUP(Table9[[#This Row],[Shortname]], Comp[], 23, FALSE)</f>
        <v>14.31</v>
      </c>
      <c r="AA1276">
        <f>VLOOKUP(Table9[[#This Row],[Shortname]], Comp[], 24, FALSE)</f>
        <v>0</v>
      </c>
      <c r="AB1276">
        <f>VLOOKUP(Table9[[#This Row],[Shortname]], Comp[], 25, FALSE)</f>
        <v>0</v>
      </c>
      <c r="AC1276">
        <f>VLOOKUP(Table9[[#This Row],[Shortname]], Comp[], 26, FALSE)</f>
        <v>0</v>
      </c>
      <c r="AD1276">
        <f>VLOOKUP(Table9[[#This Row],[Shortname]], Comp[], 27, FALSE)</f>
        <v>0</v>
      </c>
      <c r="AE1276">
        <f>VLOOKUP(Table9[[#This Row],[Shortname]], Comp[], 28, FALSE)</f>
        <v>0</v>
      </c>
      <c r="AF1276">
        <f>VLOOKUP(Table9[[#This Row],[Shortname]], Comp[], 29, FALSE)</f>
        <v>0</v>
      </c>
      <c r="AG1276">
        <f>VLOOKUP(Table9[[#This Row],[Shortname]], Comp[], 30, FALSE)</f>
        <v>0</v>
      </c>
      <c r="AH1276">
        <f>VLOOKUP(Table9[[#This Row],[Shortname]], Comp[], 31, FALSE)</f>
        <v>0</v>
      </c>
    </row>
    <row r="1277" spans="1:34" x14ac:dyDescent="0.3">
      <c r="A1277" t="s">
        <v>6435</v>
      </c>
      <c r="B1277" t="s">
        <v>6436</v>
      </c>
      <c r="C1277" t="s">
        <v>6431</v>
      </c>
      <c r="D1277">
        <v>420.13767039999999</v>
      </c>
      <c r="E1277">
        <v>600</v>
      </c>
      <c r="F1277">
        <v>1E-4</v>
      </c>
      <c r="G1277">
        <v>1</v>
      </c>
      <c r="I1277">
        <f>VLOOKUP(Table9[[#This Row],[Shortname]], Comp[], 6, FALSE)</f>
        <v>1073</v>
      </c>
      <c r="J1277" s="14">
        <f>VLOOKUP(Table9[[#This Row],[Shortname]], Comp[], 7, FALSE)</f>
        <v>52.14</v>
      </c>
      <c r="K1277">
        <f>VLOOKUP(Table9[[#This Row],[Shortname]], Comp[], 8, FALSE)</f>
        <v>15.53</v>
      </c>
      <c r="L1277">
        <f>VLOOKUP(Table9[[#This Row],[Shortname]], Comp[], 9, FALSE)</f>
        <v>5.63</v>
      </c>
      <c r="M1277">
        <f>VLOOKUP(Table9[[#This Row],[Shortname]], Comp[], 10, FALSE)</f>
        <v>4.18</v>
      </c>
      <c r="N1277">
        <f>VLOOKUP(Table9[[#This Row],[Shortname]], Comp[], 11, FALSE)</f>
        <v>0</v>
      </c>
      <c r="O1277">
        <f>VLOOKUP(Table9[[#This Row],[Shortname]], Comp[],12, FALSE)</f>
        <v>2.0699999999999998</v>
      </c>
      <c r="P1277">
        <f>VLOOKUP(Table9[[#This Row],[Shortname]], Comp[], 13, FALSE)</f>
        <v>1.49</v>
      </c>
      <c r="Q1277">
        <f>VLOOKUP(Table9[[#This Row],[Shortname]], Comp[], 14, FALSE)</f>
        <v>1.5</v>
      </c>
      <c r="R1277">
        <f>VLOOKUP(Table9[[#This Row],[Shortname]], Comp[], 15, FALSE)</f>
        <v>3.07</v>
      </c>
      <c r="S1277">
        <f>VLOOKUP(Table9[[#This Row],[Shortname]], Comp[], 16, FALSE)</f>
        <v>0</v>
      </c>
      <c r="T1277">
        <f>VLOOKUP(Table9[[#This Row],[Shortname]], Comp[], 17, FALSE)</f>
        <v>0</v>
      </c>
      <c r="U1277">
        <f>VLOOKUP(Table9[[#This Row],[Shortname]], Comp[], 18, FALSE)</f>
        <v>0</v>
      </c>
      <c r="V1277">
        <f>VLOOKUP(Table9[[#This Row],[Shortname]], Comp[], 19, FALSE)</f>
        <v>0.08</v>
      </c>
      <c r="W1277">
        <f>VLOOKUP(Table9[[#This Row],[Shortname]], Comp[], 20, FALSE)</f>
        <v>0</v>
      </c>
      <c r="X1277">
        <f>VLOOKUP(Table9[[#This Row],[Shortname]], Comp[], 21, FALSE)</f>
        <v>0</v>
      </c>
      <c r="Y1277">
        <f>VLOOKUP(Table9[[#This Row],[Shortname]], Comp[], 22, FALSE)</f>
        <v>0</v>
      </c>
      <c r="Z1277">
        <f>VLOOKUP(Table9[[#This Row],[Shortname]], Comp[], 23, FALSE)</f>
        <v>14.31</v>
      </c>
      <c r="AA1277">
        <f>VLOOKUP(Table9[[#This Row],[Shortname]], Comp[], 24, FALSE)</f>
        <v>0</v>
      </c>
      <c r="AB1277">
        <f>VLOOKUP(Table9[[#This Row],[Shortname]], Comp[], 25, FALSE)</f>
        <v>0</v>
      </c>
      <c r="AC1277">
        <f>VLOOKUP(Table9[[#This Row],[Shortname]], Comp[], 26, FALSE)</f>
        <v>0</v>
      </c>
      <c r="AD1277">
        <f>VLOOKUP(Table9[[#This Row],[Shortname]], Comp[], 27, FALSE)</f>
        <v>0</v>
      </c>
      <c r="AE1277">
        <f>VLOOKUP(Table9[[#This Row],[Shortname]], Comp[], 28, FALSE)</f>
        <v>0</v>
      </c>
      <c r="AF1277">
        <f>VLOOKUP(Table9[[#This Row],[Shortname]], Comp[], 29, FALSE)</f>
        <v>0</v>
      </c>
      <c r="AG1277">
        <f>VLOOKUP(Table9[[#This Row],[Shortname]], Comp[], 30, FALSE)</f>
        <v>0</v>
      </c>
      <c r="AH1277">
        <f>VLOOKUP(Table9[[#This Row],[Shortname]], Comp[], 31, FALSE)</f>
        <v>0</v>
      </c>
    </row>
    <row r="1278" spans="1:34" x14ac:dyDescent="0.3">
      <c r="A1278" t="s">
        <v>6435</v>
      </c>
      <c r="B1278" t="s">
        <v>6436</v>
      </c>
      <c r="C1278" t="s">
        <v>6431</v>
      </c>
      <c r="D1278">
        <v>457.89440969999998</v>
      </c>
      <c r="E1278">
        <v>700</v>
      </c>
      <c r="F1278">
        <v>1E-4</v>
      </c>
      <c r="G1278">
        <v>1</v>
      </c>
      <c r="I1278">
        <f>VLOOKUP(Table9[[#This Row],[Shortname]], Comp[], 6, FALSE)</f>
        <v>1073</v>
      </c>
      <c r="J1278" s="14">
        <f>VLOOKUP(Table9[[#This Row],[Shortname]], Comp[], 7, FALSE)</f>
        <v>52.14</v>
      </c>
      <c r="K1278">
        <f>VLOOKUP(Table9[[#This Row],[Shortname]], Comp[], 8, FALSE)</f>
        <v>15.53</v>
      </c>
      <c r="L1278">
        <f>VLOOKUP(Table9[[#This Row],[Shortname]], Comp[], 9, FALSE)</f>
        <v>5.63</v>
      </c>
      <c r="M1278">
        <f>VLOOKUP(Table9[[#This Row],[Shortname]], Comp[], 10, FALSE)</f>
        <v>4.18</v>
      </c>
      <c r="N1278">
        <f>VLOOKUP(Table9[[#This Row],[Shortname]], Comp[], 11, FALSE)</f>
        <v>0</v>
      </c>
      <c r="O1278">
        <f>VLOOKUP(Table9[[#This Row],[Shortname]], Comp[],12, FALSE)</f>
        <v>2.0699999999999998</v>
      </c>
      <c r="P1278">
        <f>VLOOKUP(Table9[[#This Row],[Shortname]], Comp[], 13, FALSE)</f>
        <v>1.49</v>
      </c>
      <c r="Q1278">
        <f>VLOOKUP(Table9[[#This Row],[Shortname]], Comp[], 14, FALSE)</f>
        <v>1.5</v>
      </c>
      <c r="R1278">
        <f>VLOOKUP(Table9[[#This Row],[Shortname]], Comp[], 15, FALSE)</f>
        <v>3.07</v>
      </c>
      <c r="S1278">
        <f>VLOOKUP(Table9[[#This Row],[Shortname]], Comp[], 16, FALSE)</f>
        <v>0</v>
      </c>
      <c r="T1278">
        <f>VLOOKUP(Table9[[#This Row],[Shortname]], Comp[], 17, FALSE)</f>
        <v>0</v>
      </c>
      <c r="U1278">
        <f>VLOOKUP(Table9[[#This Row],[Shortname]], Comp[], 18, FALSE)</f>
        <v>0</v>
      </c>
      <c r="V1278">
        <f>VLOOKUP(Table9[[#This Row],[Shortname]], Comp[], 19, FALSE)</f>
        <v>0.08</v>
      </c>
      <c r="W1278">
        <f>VLOOKUP(Table9[[#This Row],[Shortname]], Comp[], 20, FALSE)</f>
        <v>0</v>
      </c>
      <c r="X1278">
        <f>VLOOKUP(Table9[[#This Row],[Shortname]], Comp[], 21, FALSE)</f>
        <v>0</v>
      </c>
      <c r="Y1278">
        <f>VLOOKUP(Table9[[#This Row],[Shortname]], Comp[], 22, FALSE)</f>
        <v>0</v>
      </c>
      <c r="Z1278">
        <f>VLOOKUP(Table9[[#This Row],[Shortname]], Comp[], 23, FALSE)</f>
        <v>14.31</v>
      </c>
      <c r="AA1278">
        <f>VLOOKUP(Table9[[#This Row],[Shortname]], Comp[], 24, FALSE)</f>
        <v>0</v>
      </c>
      <c r="AB1278">
        <f>VLOOKUP(Table9[[#This Row],[Shortname]], Comp[], 25, FALSE)</f>
        <v>0</v>
      </c>
      <c r="AC1278">
        <f>VLOOKUP(Table9[[#This Row],[Shortname]], Comp[], 26, FALSE)</f>
        <v>0</v>
      </c>
      <c r="AD1278">
        <f>VLOOKUP(Table9[[#This Row],[Shortname]], Comp[], 27, FALSE)</f>
        <v>0</v>
      </c>
      <c r="AE1278">
        <f>VLOOKUP(Table9[[#This Row],[Shortname]], Comp[], 28, FALSE)</f>
        <v>0</v>
      </c>
      <c r="AF1278">
        <f>VLOOKUP(Table9[[#This Row],[Shortname]], Comp[], 29, FALSE)</f>
        <v>0</v>
      </c>
      <c r="AG1278">
        <f>VLOOKUP(Table9[[#This Row],[Shortname]], Comp[], 30, FALSE)</f>
        <v>0</v>
      </c>
      <c r="AH1278">
        <f>VLOOKUP(Table9[[#This Row],[Shortname]], Comp[], 31, FALSE)</f>
        <v>0</v>
      </c>
    </row>
    <row r="1279" spans="1:34" x14ac:dyDescent="0.3">
      <c r="A1279" t="s">
        <v>6435</v>
      </c>
      <c r="B1279" t="s">
        <v>6436</v>
      </c>
      <c r="C1279" t="s">
        <v>6431</v>
      </c>
      <c r="D1279">
        <v>515.65409390000002</v>
      </c>
      <c r="E1279">
        <v>750</v>
      </c>
      <c r="F1279">
        <v>1E-4</v>
      </c>
      <c r="G1279">
        <v>1</v>
      </c>
      <c r="I1279">
        <f>VLOOKUP(Table9[[#This Row],[Shortname]], Comp[], 6, FALSE)</f>
        <v>1073</v>
      </c>
      <c r="J1279" s="14">
        <f>VLOOKUP(Table9[[#This Row],[Shortname]], Comp[], 7, FALSE)</f>
        <v>52.14</v>
      </c>
      <c r="K1279">
        <f>VLOOKUP(Table9[[#This Row],[Shortname]], Comp[], 8, FALSE)</f>
        <v>15.53</v>
      </c>
      <c r="L1279">
        <f>VLOOKUP(Table9[[#This Row],[Shortname]], Comp[], 9, FALSE)</f>
        <v>5.63</v>
      </c>
      <c r="M1279">
        <f>VLOOKUP(Table9[[#This Row],[Shortname]], Comp[], 10, FALSE)</f>
        <v>4.18</v>
      </c>
      <c r="N1279">
        <f>VLOOKUP(Table9[[#This Row],[Shortname]], Comp[], 11, FALSE)</f>
        <v>0</v>
      </c>
      <c r="O1279">
        <f>VLOOKUP(Table9[[#This Row],[Shortname]], Comp[],12, FALSE)</f>
        <v>2.0699999999999998</v>
      </c>
      <c r="P1279">
        <f>VLOOKUP(Table9[[#This Row],[Shortname]], Comp[], 13, FALSE)</f>
        <v>1.49</v>
      </c>
      <c r="Q1279">
        <f>VLOOKUP(Table9[[#This Row],[Shortname]], Comp[], 14, FALSE)</f>
        <v>1.5</v>
      </c>
      <c r="R1279">
        <f>VLOOKUP(Table9[[#This Row],[Shortname]], Comp[], 15, FALSE)</f>
        <v>3.07</v>
      </c>
      <c r="S1279">
        <f>VLOOKUP(Table9[[#This Row],[Shortname]], Comp[], 16, FALSE)</f>
        <v>0</v>
      </c>
      <c r="T1279">
        <f>VLOOKUP(Table9[[#This Row],[Shortname]], Comp[], 17, FALSE)</f>
        <v>0</v>
      </c>
      <c r="U1279">
        <f>VLOOKUP(Table9[[#This Row],[Shortname]], Comp[], 18, FALSE)</f>
        <v>0</v>
      </c>
      <c r="V1279">
        <f>VLOOKUP(Table9[[#This Row],[Shortname]], Comp[], 19, FALSE)</f>
        <v>0.08</v>
      </c>
      <c r="W1279">
        <f>VLOOKUP(Table9[[#This Row],[Shortname]], Comp[], 20, FALSE)</f>
        <v>0</v>
      </c>
      <c r="X1279">
        <f>VLOOKUP(Table9[[#This Row],[Shortname]], Comp[], 21, FALSE)</f>
        <v>0</v>
      </c>
      <c r="Y1279">
        <f>VLOOKUP(Table9[[#This Row],[Shortname]], Comp[], 22, FALSE)</f>
        <v>0</v>
      </c>
      <c r="Z1279">
        <f>VLOOKUP(Table9[[#This Row],[Shortname]], Comp[], 23, FALSE)</f>
        <v>14.31</v>
      </c>
      <c r="AA1279">
        <f>VLOOKUP(Table9[[#This Row],[Shortname]], Comp[], 24, FALSE)</f>
        <v>0</v>
      </c>
      <c r="AB1279">
        <f>VLOOKUP(Table9[[#This Row],[Shortname]], Comp[], 25, FALSE)</f>
        <v>0</v>
      </c>
      <c r="AC1279">
        <f>VLOOKUP(Table9[[#This Row],[Shortname]], Comp[], 26, FALSE)</f>
        <v>0</v>
      </c>
      <c r="AD1279">
        <f>VLOOKUP(Table9[[#This Row],[Shortname]], Comp[], 27, FALSE)</f>
        <v>0</v>
      </c>
      <c r="AE1279">
        <f>VLOOKUP(Table9[[#This Row],[Shortname]], Comp[], 28, FALSE)</f>
        <v>0</v>
      </c>
      <c r="AF1279">
        <f>VLOOKUP(Table9[[#This Row],[Shortname]], Comp[], 29, FALSE)</f>
        <v>0</v>
      </c>
      <c r="AG1279">
        <f>VLOOKUP(Table9[[#This Row],[Shortname]], Comp[], 30, FALSE)</f>
        <v>0</v>
      </c>
      <c r="AH1279">
        <f>VLOOKUP(Table9[[#This Row],[Shortname]], Comp[], 31, FALSE)</f>
        <v>0</v>
      </c>
    </row>
    <row r="1280" spans="1:34" x14ac:dyDescent="0.3">
      <c r="A1280" t="s">
        <v>6435</v>
      </c>
      <c r="B1280" t="s">
        <v>6436</v>
      </c>
      <c r="C1280" t="s">
        <v>6431</v>
      </c>
      <c r="D1280">
        <v>552.91070590000004</v>
      </c>
      <c r="E1280">
        <v>800</v>
      </c>
      <c r="F1280">
        <v>1E-4</v>
      </c>
      <c r="G1280">
        <v>1</v>
      </c>
      <c r="I1280">
        <f>VLOOKUP(Table9[[#This Row],[Shortname]], Comp[], 6, FALSE)</f>
        <v>1073</v>
      </c>
      <c r="J1280" s="14">
        <f>VLOOKUP(Table9[[#This Row],[Shortname]], Comp[], 7, FALSE)</f>
        <v>52.14</v>
      </c>
      <c r="K1280">
        <f>VLOOKUP(Table9[[#This Row],[Shortname]], Comp[], 8, FALSE)</f>
        <v>15.53</v>
      </c>
      <c r="L1280">
        <f>VLOOKUP(Table9[[#This Row],[Shortname]], Comp[], 9, FALSE)</f>
        <v>5.63</v>
      </c>
      <c r="M1280">
        <f>VLOOKUP(Table9[[#This Row],[Shortname]], Comp[], 10, FALSE)</f>
        <v>4.18</v>
      </c>
      <c r="N1280">
        <f>VLOOKUP(Table9[[#This Row],[Shortname]], Comp[], 11, FALSE)</f>
        <v>0</v>
      </c>
      <c r="O1280">
        <f>VLOOKUP(Table9[[#This Row],[Shortname]], Comp[],12, FALSE)</f>
        <v>2.0699999999999998</v>
      </c>
      <c r="P1280">
        <f>VLOOKUP(Table9[[#This Row],[Shortname]], Comp[], 13, FALSE)</f>
        <v>1.49</v>
      </c>
      <c r="Q1280">
        <f>VLOOKUP(Table9[[#This Row],[Shortname]], Comp[], 14, FALSE)</f>
        <v>1.5</v>
      </c>
      <c r="R1280">
        <f>VLOOKUP(Table9[[#This Row],[Shortname]], Comp[], 15, FALSE)</f>
        <v>3.07</v>
      </c>
      <c r="S1280">
        <f>VLOOKUP(Table9[[#This Row],[Shortname]], Comp[], 16, FALSE)</f>
        <v>0</v>
      </c>
      <c r="T1280">
        <f>VLOOKUP(Table9[[#This Row],[Shortname]], Comp[], 17, FALSE)</f>
        <v>0</v>
      </c>
      <c r="U1280">
        <f>VLOOKUP(Table9[[#This Row],[Shortname]], Comp[], 18, FALSE)</f>
        <v>0</v>
      </c>
      <c r="V1280">
        <f>VLOOKUP(Table9[[#This Row],[Shortname]], Comp[], 19, FALSE)</f>
        <v>0.08</v>
      </c>
      <c r="W1280">
        <f>VLOOKUP(Table9[[#This Row],[Shortname]], Comp[], 20, FALSE)</f>
        <v>0</v>
      </c>
      <c r="X1280">
        <f>VLOOKUP(Table9[[#This Row],[Shortname]], Comp[], 21, FALSE)</f>
        <v>0</v>
      </c>
      <c r="Y1280">
        <f>VLOOKUP(Table9[[#This Row],[Shortname]], Comp[], 22, FALSE)</f>
        <v>0</v>
      </c>
      <c r="Z1280">
        <f>VLOOKUP(Table9[[#This Row],[Shortname]], Comp[], 23, FALSE)</f>
        <v>14.31</v>
      </c>
      <c r="AA1280">
        <f>VLOOKUP(Table9[[#This Row],[Shortname]], Comp[], 24, FALSE)</f>
        <v>0</v>
      </c>
      <c r="AB1280">
        <f>VLOOKUP(Table9[[#This Row],[Shortname]], Comp[], 25, FALSE)</f>
        <v>0</v>
      </c>
      <c r="AC1280">
        <f>VLOOKUP(Table9[[#This Row],[Shortname]], Comp[], 26, FALSE)</f>
        <v>0</v>
      </c>
      <c r="AD1280">
        <f>VLOOKUP(Table9[[#This Row],[Shortname]], Comp[], 27, FALSE)</f>
        <v>0</v>
      </c>
      <c r="AE1280">
        <f>VLOOKUP(Table9[[#This Row],[Shortname]], Comp[], 28, FALSE)</f>
        <v>0</v>
      </c>
      <c r="AF1280">
        <f>VLOOKUP(Table9[[#This Row],[Shortname]], Comp[], 29, FALSE)</f>
        <v>0</v>
      </c>
      <c r="AG1280">
        <f>VLOOKUP(Table9[[#This Row],[Shortname]], Comp[], 30, FALSE)</f>
        <v>0</v>
      </c>
      <c r="AH1280">
        <f>VLOOKUP(Table9[[#This Row],[Shortname]], Comp[], 31, FALSE)</f>
        <v>0</v>
      </c>
    </row>
    <row r="1281" spans="1:34" x14ac:dyDescent="0.3">
      <c r="A1281" t="s">
        <v>6435</v>
      </c>
      <c r="B1281" t="s">
        <v>6436</v>
      </c>
      <c r="C1281" t="s">
        <v>6431</v>
      </c>
      <c r="D1281">
        <v>476.65657629999998</v>
      </c>
      <c r="E1281">
        <v>850</v>
      </c>
      <c r="F1281">
        <v>1E-4</v>
      </c>
      <c r="G1281">
        <v>1</v>
      </c>
      <c r="I1281">
        <f>VLOOKUP(Table9[[#This Row],[Shortname]], Comp[], 6, FALSE)</f>
        <v>1073</v>
      </c>
      <c r="J1281" s="14">
        <f>VLOOKUP(Table9[[#This Row],[Shortname]], Comp[], 7, FALSE)</f>
        <v>52.14</v>
      </c>
      <c r="K1281">
        <f>VLOOKUP(Table9[[#This Row],[Shortname]], Comp[], 8, FALSE)</f>
        <v>15.53</v>
      </c>
      <c r="L1281">
        <f>VLOOKUP(Table9[[#This Row],[Shortname]], Comp[], 9, FALSE)</f>
        <v>5.63</v>
      </c>
      <c r="M1281">
        <f>VLOOKUP(Table9[[#This Row],[Shortname]], Comp[], 10, FALSE)</f>
        <v>4.18</v>
      </c>
      <c r="N1281">
        <f>VLOOKUP(Table9[[#This Row],[Shortname]], Comp[], 11, FALSE)</f>
        <v>0</v>
      </c>
      <c r="O1281">
        <f>VLOOKUP(Table9[[#This Row],[Shortname]], Comp[],12, FALSE)</f>
        <v>2.0699999999999998</v>
      </c>
      <c r="P1281">
        <f>VLOOKUP(Table9[[#This Row],[Shortname]], Comp[], 13, FALSE)</f>
        <v>1.49</v>
      </c>
      <c r="Q1281">
        <f>VLOOKUP(Table9[[#This Row],[Shortname]], Comp[], 14, FALSE)</f>
        <v>1.5</v>
      </c>
      <c r="R1281">
        <f>VLOOKUP(Table9[[#This Row],[Shortname]], Comp[], 15, FALSE)</f>
        <v>3.07</v>
      </c>
      <c r="S1281">
        <f>VLOOKUP(Table9[[#This Row],[Shortname]], Comp[], 16, FALSE)</f>
        <v>0</v>
      </c>
      <c r="T1281">
        <f>VLOOKUP(Table9[[#This Row],[Shortname]], Comp[], 17, FALSE)</f>
        <v>0</v>
      </c>
      <c r="U1281">
        <f>VLOOKUP(Table9[[#This Row],[Shortname]], Comp[], 18, FALSE)</f>
        <v>0</v>
      </c>
      <c r="V1281">
        <f>VLOOKUP(Table9[[#This Row],[Shortname]], Comp[], 19, FALSE)</f>
        <v>0.08</v>
      </c>
      <c r="W1281">
        <f>VLOOKUP(Table9[[#This Row],[Shortname]], Comp[], 20, FALSE)</f>
        <v>0</v>
      </c>
      <c r="X1281">
        <f>VLOOKUP(Table9[[#This Row],[Shortname]], Comp[], 21, FALSE)</f>
        <v>0</v>
      </c>
      <c r="Y1281">
        <f>VLOOKUP(Table9[[#This Row],[Shortname]], Comp[], 22, FALSE)</f>
        <v>0</v>
      </c>
      <c r="Z1281">
        <f>VLOOKUP(Table9[[#This Row],[Shortname]], Comp[], 23, FALSE)</f>
        <v>14.31</v>
      </c>
      <c r="AA1281">
        <f>VLOOKUP(Table9[[#This Row],[Shortname]], Comp[], 24, FALSE)</f>
        <v>0</v>
      </c>
      <c r="AB1281">
        <f>VLOOKUP(Table9[[#This Row],[Shortname]], Comp[], 25, FALSE)</f>
        <v>0</v>
      </c>
      <c r="AC1281">
        <f>VLOOKUP(Table9[[#This Row],[Shortname]], Comp[], 26, FALSE)</f>
        <v>0</v>
      </c>
      <c r="AD1281">
        <f>VLOOKUP(Table9[[#This Row],[Shortname]], Comp[], 27, FALSE)</f>
        <v>0</v>
      </c>
      <c r="AE1281">
        <f>VLOOKUP(Table9[[#This Row],[Shortname]], Comp[], 28, FALSE)</f>
        <v>0</v>
      </c>
      <c r="AF1281">
        <f>VLOOKUP(Table9[[#This Row],[Shortname]], Comp[], 29, FALSE)</f>
        <v>0</v>
      </c>
      <c r="AG1281">
        <f>VLOOKUP(Table9[[#This Row],[Shortname]], Comp[], 30, FALSE)</f>
        <v>0</v>
      </c>
      <c r="AH1281">
        <f>VLOOKUP(Table9[[#This Row],[Shortname]], Comp[], 31, FALSE)</f>
        <v>0</v>
      </c>
    </row>
    <row r="1282" spans="1:34" x14ac:dyDescent="0.3">
      <c r="A1282" t="s">
        <v>6435</v>
      </c>
      <c r="B1282" t="s">
        <v>6436</v>
      </c>
      <c r="C1282" t="s">
        <v>6431</v>
      </c>
      <c r="D1282">
        <v>354.79919080000002</v>
      </c>
      <c r="E1282">
        <v>900</v>
      </c>
      <c r="F1282">
        <v>1E-4</v>
      </c>
      <c r="G1282">
        <v>1</v>
      </c>
      <c r="I1282">
        <f>VLOOKUP(Table9[[#This Row],[Shortname]], Comp[], 6, FALSE)</f>
        <v>1073</v>
      </c>
      <c r="J1282" s="14">
        <f>VLOOKUP(Table9[[#This Row],[Shortname]], Comp[], 7, FALSE)</f>
        <v>52.14</v>
      </c>
      <c r="K1282">
        <f>VLOOKUP(Table9[[#This Row],[Shortname]], Comp[], 8, FALSE)</f>
        <v>15.53</v>
      </c>
      <c r="L1282">
        <f>VLOOKUP(Table9[[#This Row],[Shortname]], Comp[], 9, FALSE)</f>
        <v>5.63</v>
      </c>
      <c r="M1282">
        <f>VLOOKUP(Table9[[#This Row],[Shortname]], Comp[], 10, FALSE)</f>
        <v>4.18</v>
      </c>
      <c r="N1282">
        <f>VLOOKUP(Table9[[#This Row],[Shortname]], Comp[], 11, FALSE)</f>
        <v>0</v>
      </c>
      <c r="O1282">
        <f>VLOOKUP(Table9[[#This Row],[Shortname]], Comp[],12, FALSE)</f>
        <v>2.0699999999999998</v>
      </c>
      <c r="P1282">
        <f>VLOOKUP(Table9[[#This Row],[Shortname]], Comp[], 13, FALSE)</f>
        <v>1.49</v>
      </c>
      <c r="Q1282">
        <f>VLOOKUP(Table9[[#This Row],[Shortname]], Comp[], 14, FALSE)</f>
        <v>1.5</v>
      </c>
      <c r="R1282">
        <f>VLOOKUP(Table9[[#This Row],[Shortname]], Comp[], 15, FALSE)</f>
        <v>3.07</v>
      </c>
      <c r="S1282">
        <f>VLOOKUP(Table9[[#This Row],[Shortname]], Comp[], 16, FALSE)</f>
        <v>0</v>
      </c>
      <c r="T1282">
        <f>VLOOKUP(Table9[[#This Row],[Shortname]], Comp[], 17, FALSE)</f>
        <v>0</v>
      </c>
      <c r="U1282">
        <f>VLOOKUP(Table9[[#This Row],[Shortname]], Comp[], 18, FALSE)</f>
        <v>0</v>
      </c>
      <c r="V1282">
        <f>VLOOKUP(Table9[[#This Row],[Shortname]], Comp[], 19, FALSE)</f>
        <v>0.08</v>
      </c>
      <c r="W1282">
        <f>VLOOKUP(Table9[[#This Row],[Shortname]], Comp[], 20, FALSE)</f>
        <v>0</v>
      </c>
      <c r="X1282">
        <f>VLOOKUP(Table9[[#This Row],[Shortname]], Comp[], 21, FALSE)</f>
        <v>0</v>
      </c>
      <c r="Y1282">
        <f>VLOOKUP(Table9[[#This Row],[Shortname]], Comp[], 22, FALSE)</f>
        <v>0</v>
      </c>
      <c r="Z1282">
        <f>VLOOKUP(Table9[[#This Row],[Shortname]], Comp[], 23, FALSE)</f>
        <v>14.31</v>
      </c>
      <c r="AA1282">
        <f>VLOOKUP(Table9[[#This Row],[Shortname]], Comp[], 24, FALSE)</f>
        <v>0</v>
      </c>
      <c r="AB1282">
        <f>VLOOKUP(Table9[[#This Row],[Shortname]], Comp[], 25, FALSE)</f>
        <v>0</v>
      </c>
      <c r="AC1282">
        <f>VLOOKUP(Table9[[#This Row],[Shortname]], Comp[], 26, FALSE)</f>
        <v>0</v>
      </c>
      <c r="AD1282">
        <f>VLOOKUP(Table9[[#This Row],[Shortname]], Comp[], 27, FALSE)</f>
        <v>0</v>
      </c>
      <c r="AE1282">
        <f>VLOOKUP(Table9[[#This Row],[Shortname]], Comp[], 28, FALSE)</f>
        <v>0</v>
      </c>
      <c r="AF1282">
        <f>VLOOKUP(Table9[[#This Row],[Shortname]], Comp[], 29, FALSE)</f>
        <v>0</v>
      </c>
      <c r="AG1282">
        <f>VLOOKUP(Table9[[#This Row],[Shortname]], Comp[], 30, FALSE)</f>
        <v>0</v>
      </c>
      <c r="AH1282">
        <f>VLOOKUP(Table9[[#This Row],[Shortname]], Comp[], 31, FALSE)</f>
        <v>0</v>
      </c>
    </row>
    <row r="1283" spans="1:34" x14ac:dyDescent="0.3">
      <c r="A1283" t="s">
        <v>6435</v>
      </c>
      <c r="B1283" t="s">
        <v>6436</v>
      </c>
      <c r="C1283" t="s">
        <v>6431</v>
      </c>
      <c r="D1283">
        <v>227.23370259999999</v>
      </c>
      <c r="E1283">
        <v>950</v>
      </c>
      <c r="F1283">
        <v>1E-4</v>
      </c>
      <c r="G1283">
        <v>1</v>
      </c>
      <c r="I1283">
        <f>VLOOKUP(Table9[[#This Row],[Shortname]], Comp[], 6, FALSE)</f>
        <v>1073</v>
      </c>
      <c r="J1283" s="14">
        <f>VLOOKUP(Table9[[#This Row],[Shortname]], Comp[], 7, FALSE)</f>
        <v>52.14</v>
      </c>
      <c r="K1283">
        <f>VLOOKUP(Table9[[#This Row],[Shortname]], Comp[], 8, FALSE)</f>
        <v>15.53</v>
      </c>
      <c r="L1283">
        <f>VLOOKUP(Table9[[#This Row],[Shortname]], Comp[], 9, FALSE)</f>
        <v>5.63</v>
      </c>
      <c r="M1283">
        <f>VLOOKUP(Table9[[#This Row],[Shortname]], Comp[], 10, FALSE)</f>
        <v>4.18</v>
      </c>
      <c r="N1283">
        <f>VLOOKUP(Table9[[#This Row],[Shortname]], Comp[], 11, FALSE)</f>
        <v>0</v>
      </c>
      <c r="O1283">
        <f>VLOOKUP(Table9[[#This Row],[Shortname]], Comp[],12, FALSE)</f>
        <v>2.0699999999999998</v>
      </c>
      <c r="P1283">
        <f>VLOOKUP(Table9[[#This Row],[Shortname]], Comp[], 13, FALSE)</f>
        <v>1.49</v>
      </c>
      <c r="Q1283">
        <f>VLOOKUP(Table9[[#This Row],[Shortname]], Comp[], 14, FALSE)</f>
        <v>1.5</v>
      </c>
      <c r="R1283">
        <f>VLOOKUP(Table9[[#This Row],[Shortname]], Comp[], 15, FALSE)</f>
        <v>3.07</v>
      </c>
      <c r="S1283">
        <f>VLOOKUP(Table9[[#This Row],[Shortname]], Comp[], 16, FALSE)</f>
        <v>0</v>
      </c>
      <c r="T1283">
        <f>VLOOKUP(Table9[[#This Row],[Shortname]], Comp[], 17, FALSE)</f>
        <v>0</v>
      </c>
      <c r="U1283">
        <f>VLOOKUP(Table9[[#This Row],[Shortname]], Comp[], 18, FALSE)</f>
        <v>0</v>
      </c>
      <c r="V1283">
        <f>VLOOKUP(Table9[[#This Row],[Shortname]], Comp[], 19, FALSE)</f>
        <v>0.08</v>
      </c>
      <c r="W1283">
        <f>VLOOKUP(Table9[[#This Row],[Shortname]], Comp[], 20, FALSE)</f>
        <v>0</v>
      </c>
      <c r="X1283">
        <f>VLOOKUP(Table9[[#This Row],[Shortname]], Comp[], 21, FALSE)</f>
        <v>0</v>
      </c>
      <c r="Y1283">
        <f>VLOOKUP(Table9[[#This Row],[Shortname]], Comp[], 22, FALSE)</f>
        <v>0</v>
      </c>
      <c r="Z1283">
        <f>VLOOKUP(Table9[[#This Row],[Shortname]], Comp[], 23, FALSE)</f>
        <v>14.31</v>
      </c>
      <c r="AA1283">
        <f>VLOOKUP(Table9[[#This Row],[Shortname]], Comp[], 24, FALSE)</f>
        <v>0</v>
      </c>
      <c r="AB1283">
        <f>VLOOKUP(Table9[[#This Row],[Shortname]], Comp[], 25, FALSE)</f>
        <v>0</v>
      </c>
      <c r="AC1283">
        <f>VLOOKUP(Table9[[#This Row],[Shortname]], Comp[], 26, FALSE)</f>
        <v>0</v>
      </c>
      <c r="AD1283">
        <f>VLOOKUP(Table9[[#This Row],[Shortname]], Comp[], 27, FALSE)</f>
        <v>0</v>
      </c>
      <c r="AE1283">
        <f>VLOOKUP(Table9[[#This Row],[Shortname]], Comp[], 28, FALSE)</f>
        <v>0</v>
      </c>
      <c r="AF1283">
        <f>VLOOKUP(Table9[[#This Row],[Shortname]], Comp[], 29, FALSE)</f>
        <v>0</v>
      </c>
      <c r="AG1283">
        <f>VLOOKUP(Table9[[#This Row],[Shortname]], Comp[], 30, FALSE)</f>
        <v>0</v>
      </c>
      <c r="AH1283">
        <f>VLOOKUP(Table9[[#This Row],[Shortname]], Comp[], 31, FALSE)</f>
        <v>0</v>
      </c>
    </row>
    <row r="1284" spans="1:34" x14ac:dyDescent="0.3">
      <c r="A1284" t="s">
        <v>6451</v>
      </c>
      <c r="B1284" t="s">
        <v>6452</v>
      </c>
      <c r="C1284" t="s">
        <v>6431</v>
      </c>
      <c r="D1284">
        <v>637.09150980000004</v>
      </c>
      <c r="E1284">
        <v>25</v>
      </c>
      <c r="F1284">
        <v>1E-4</v>
      </c>
      <c r="G1284">
        <v>1</v>
      </c>
      <c r="I1284">
        <f>VLOOKUP(Table9[[#This Row],[Shortname]], Comp[], 6, FALSE)</f>
        <v>1076</v>
      </c>
      <c r="J1284" s="14">
        <f>VLOOKUP(Table9[[#This Row],[Shortname]], Comp[], 7, FALSE)</f>
        <v>48.25</v>
      </c>
      <c r="K1284">
        <f>VLOOKUP(Table9[[#This Row],[Shortname]], Comp[], 8, FALSE)</f>
        <v>15.59</v>
      </c>
      <c r="L1284">
        <f>VLOOKUP(Table9[[#This Row],[Shortname]], Comp[], 9, FALSE)</f>
        <v>5.44</v>
      </c>
      <c r="M1284">
        <f>VLOOKUP(Table9[[#This Row],[Shortname]], Comp[], 10, FALSE)</f>
        <v>8.2899999999999991</v>
      </c>
      <c r="N1284">
        <f>VLOOKUP(Table9[[#This Row],[Shortname]], Comp[], 11, FALSE)</f>
        <v>0</v>
      </c>
      <c r="O1284">
        <f>VLOOKUP(Table9[[#This Row],[Shortname]], Comp[],12, FALSE)</f>
        <v>2.0699999999999998</v>
      </c>
      <c r="P1284">
        <f>VLOOKUP(Table9[[#This Row],[Shortname]], Comp[], 13, FALSE)</f>
        <v>1.51</v>
      </c>
      <c r="Q1284">
        <f>VLOOKUP(Table9[[#This Row],[Shortname]], Comp[], 14, FALSE)</f>
        <v>1.45</v>
      </c>
      <c r="R1284">
        <f>VLOOKUP(Table9[[#This Row],[Shortname]], Comp[], 15, FALSE)</f>
        <v>3.1</v>
      </c>
      <c r="S1284">
        <f>VLOOKUP(Table9[[#This Row],[Shortname]], Comp[], 16, FALSE)</f>
        <v>0</v>
      </c>
      <c r="T1284">
        <f>VLOOKUP(Table9[[#This Row],[Shortname]], Comp[], 17, FALSE)</f>
        <v>0</v>
      </c>
      <c r="U1284">
        <f>VLOOKUP(Table9[[#This Row],[Shortname]], Comp[], 18, FALSE)</f>
        <v>0</v>
      </c>
      <c r="V1284">
        <f>VLOOKUP(Table9[[#This Row],[Shortname]], Comp[], 19, FALSE)</f>
        <v>0.08</v>
      </c>
      <c r="W1284">
        <f>VLOOKUP(Table9[[#This Row],[Shortname]], Comp[], 20, FALSE)</f>
        <v>0</v>
      </c>
      <c r="X1284">
        <f>VLOOKUP(Table9[[#This Row],[Shortname]], Comp[], 21, FALSE)</f>
        <v>0</v>
      </c>
      <c r="Y1284">
        <f>VLOOKUP(Table9[[#This Row],[Shortname]], Comp[], 22, FALSE)</f>
        <v>0</v>
      </c>
      <c r="Z1284">
        <f>VLOOKUP(Table9[[#This Row],[Shortname]], Comp[], 23, FALSE)</f>
        <v>14.22</v>
      </c>
      <c r="AA1284">
        <f>VLOOKUP(Table9[[#This Row],[Shortname]], Comp[], 24, FALSE)</f>
        <v>0</v>
      </c>
      <c r="AB1284">
        <f>VLOOKUP(Table9[[#This Row],[Shortname]], Comp[], 25, FALSE)</f>
        <v>0</v>
      </c>
      <c r="AC1284">
        <f>VLOOKUP(Table9[[#This Row],[Shortname]], Comp[], 26, FALSE)</f>
        <v>0</v>
      </c>
      <c r="AD1284">
        <f>VLOOKUP(Table9[[#This Row],[Shortname]], Comp[], 27, FALSE)</f>
        <v>0</v>
      </c>
      <c r="AE1284">
        <f>VLOOKUP(Table9[[#This Row],[Shortname]], Comp[], 28, FALSE)</f>
        <v>0</v>
      </c>
      <c r="AF1284">
        <f>VLOOKUP(Table9[[#This Row],[Shortname]], Comp[], 29, FALSE)</f>
        <v>0</v>
      </c>
      <c r="AG1284">
        <f>VLOOKUP(Table9[[#This Row],[Shortname]], Comp[], 30, FALSE)</f>
        <v>0</v>
      </c>
      <c r="AH1284">
        <f>VLOOKUP(Table9[[#This Row],[Shortname]], Comp[], 31, FALSE)</f>
        <v>0</v>
      </c>
    </row>
    <row r="1285" spans="1:34" x14ac:dyDescent="0.3">
      <c r="A1285" t="s">
        <v>6451</v>
      </c>
      <c r="B1285" t="s">
        <v>6452</v>
      </c>
      <c r="C1285" t="s">
        <v>6431</v>
      </c>
      <c r="D1285">
        <v>505.54045289999999</v>
      </c>
      <c r="E1285">
        <v>600</v>
      </c>
      <c r="F1285">
        <v>1E-4</v>
      </c>
      <c r="G1285">
        <v>1</v>
      </c>
      <c r="I1285">
        <f>VLOOKUP(Table9[[#This Row],[Shortname]], Comp[], 6, FALSE)</f>
        <v>1076</v>
      </c>
      <c r="J1285" s="14">
        <f>VLOOKUP(Table9[[#This Row],[Shortname]], Comp[], 7, FALSE)</f>
        <v>48.25</v>
      </c>
      <c r="K1285">
        <f>VLOOKUP(Table9[[#This Row],[Shortname]], Comp[], 8, FALSE)</f>
        <v>15.59</v>
      </c>
      <c r="L1285">
        <f>VLOOKUP(Table9[[#This Row],[Shortname]], Comp[], 9, FALSE)</f>
        <v>5.44</v>
      </c>
      <c r="M1285">
        <f>VLOOKUP(Table9[[#This Row],[Shortname]], Comp[], 10, FALSE)</f>
        <v>8.2899999999999991</v>
      </c>
      <c r="N1285">
        <f>VLOOKUP(Table9[[#This Row],[Shortname]], Comp[], 11, FALSE)</f>
        <v>0</v>
      </c>
      <c r="O1285">
        <f>VLOOKUP(Table9[[#This Row],[Shortname]], Comp[],12, FALSE)</f>
        <v>2.0699999999999998</v>
      </c>
      <c r="P1285">
        <f>VLOOKUP(Table9[[#This Row],[Shortname]], Comp[], 13, FALSE)</f>
        <v>1.51</v>
      </c>
      <c r="Q1285">
        <f>VLOOKUP(Table9[[#This Row],[Shortname]], Comp[], 14, FALSE)</f>
        <v>1.45</v>
      </c>
      <c r="R1285">
        <f>VLOOKUP(Table9[[#This Row],[Shortname]], Comp[], 15, FALSE)</f>
        <v>3.1</v>
      </c>
      <c r="S1285">
        <f>VLOOKUP(Table9[[#This Row],[Shortname]], Comp[], 16, FALSE)</f>
        <v>0</v>
      </c>
      <c r="T1285">
        <f>VLOOKUP(Table9[[#This Row],[Shortname]], Comp[], 17, FALSE)</f>
        <v>0</v>
      </c>
      <c r="U1285">
        <f>VLOOKUP(Table9[[#This Row],[Shortname]], Comp[], 18, FALSE)</f>
        <v>0</v>
      </c>
      <c r="V1285">
        <f>VLOOKUP(Table9[[#This Row],[Shortname]], Comp[], 19, FALSE)</f>
        <v>0.08</v>
      </c>
      <c r="W1285">
        <f>VLOOKUP(Table9[[#This Row],[Shortname]], Comp[], 20, FALSE)</f>
        <v>0</v>
      </c>
      <c r="X1285">
        <f>VLOOKUP(Table9[[#This Row],[Shortname]], Comp[], 21, FALSE)</f>
        <v>0</v>
      </c>
      <c r="Y1285">
        <f>VLOOKUP(Table9[[#This Row],[Shortname]], Comp[], 22, FALSE)</f>
        <v>0</v>
      </c>
      <c r="Z1285">
        <f>VLOOKUP(Table9[[#This Row],[Shortname]], Comp[], 23, FALSE)</f>
        <v>14.22</v>
      </c>
      <c r="AA1285">
        <f>VLOOKUP(Table9[[#This Row],[Shortname]], Comp[], 24, FALSE)</f>
        <v>0</v>
      </c>
      <c r="AB1285">
        <f>VLOOKUP(Table9[[#This Row],[Shortname]], Comp[], 25, FALSE)</f>
        <v>0</v>
      </c>
      <c r="AC1285">
        <f>VLOOKUP(Table9[[#This Row],[Shortname]], Comp[], 26, FALSE)</f>
        <v>0</v>
      </c>
      <c r="AD1285">
        <f>VLOOKUP(Table9[[#This Row],[Shortname]], Comp[], 27, FALSE)</f>
        <v>0</v>
      </c>
      <c r="AE1285">
        <f>VLOOKUP(Table9[[#This Row],[Shortname]], Comp[], 28, FALSE)</f>
        <v>0</v>
      </c>
      <c r="AF1285">
        <f>VLOOKUP(Table9[[#This Row],[Shortname]], Comp[], 29, FALSE)</f>
        <v>0</v>
      </c>
      <c r="AG1285">
        <f>VLOOKUP(Table9[[#This Row],[Shortname]], Comp[], 30, FALSE)</f>
        <v>0</v>
      </c>
      <c r="AH1285">
        <f>VLOOKUP(Table9[[#This Row],[Shortname]], Comp[], 31, FALSE)</f>
        <v>0</v>
      </c>
    </row>
    <row r="1286" spans="1:34" x14ac:dyDescent="0.3">
      <c r="A1286" t="s">
        <v>6451</v>
      </c>
      <c r="B1286" t="s">
        <v>6452</v>
      </c>
      <c r="C1286" t="s">
        <v>6431</v>
      </c>
      <c r="D1286">
        <v>514.01179490000004</v>
      </c>
      <c r="E1286">
        <v>700</v>
      </c>
      <c r="F1286">
        <v>1E-4</v>
      </c>
      <c r="G1286">
        <v>1</v>
      </c>
      <c r="I1286">
        <f>VLOOKUP(Table9[[#This Row],[Shortname]], Comp[], 6, FALSE)</f>
        <v>1076</v>
      </c>
      <c r="J1286" s="14">
        <f>VLOOKUP(Table9[[#This Row],[Shortname]], Comp[], 7, FALSE)</f>
        <v>48.25</v>
      </c>
      <c r="K1286">
        <f>VLOOKUP(Table9[[#This Row],[Shortname]], Comp[], 8, FALSE)</f>
        <v>15.59</v>
      </c>
      <c r="L1286">
        <f>VLOOKUP(Table9[[#This Row],[Shortname]], Comp[], 9, FALSE)</f>
        <v>5.44</v>
      </c>
      <c r="M1286">
        <f>VLOOKUP(Table9[[#This Row],[Shortname]], Comp[], 10, FALSE)</f>
        <v>8.2899999999999991</v>
      </c>
      <c r="N1286">
        <f>VLOOKUP(Table9[[#This Row],[Shortname]], Comp[], 11, FALSE)</f>
        <v>0</v>
      </c>
      <c r="O1286">
        <f>VLOOKUP(Table9[[#This Row],[Shortname]], Comp[],12, FALSE)</f>
        <v>2.0699999999999998</v>
      </c>
      <c r="P1286">
        <f>VLOOKUP(Table9[[#This Row],[Shortname]], Comp[], 13, FALSE)</f>
        <v>1.51</v>
      </c>
      <c r="Q1286">
        <f>VLOOKUP(Table9[[#This Row],[Shortname]], Comp[], 14, FALSE)</f>
        <v>1.45</v>
      </c>
      <c r="R1286">
        <f>VLOOKUP(Table9[[#This Row],[Shortname]], Comp[], 15, FALSE)</f>
        <v>3.1</v>
      </c>
      <c r="S1286">
        <f>VLOOKUP(Table9[[#This Row],[Shortname]], Comp[], 16, FALSE)</f>
        <v>0</v>
      </c>
      <c r="T1286">
        <f>VLOOKUP(Table9[[#This Row],[Shortname]], Comp[], 17, FALSE)</f>
        <v>0</v>
      </c>
      <c r="U1286">
        <f>VLOOKUP(Table9[[#This Row],[Shortname]], Comp[], 18, FALSE)</f>
        <v>0</v>
      </c>
      <c r="V1286">
        <f>VLOOKUP(Table9[[#This Row],[Shortname]], Comp[], 19, FALSE)</f>
        <v>0.08</v>
      </c>
      <c r="W1286">
        <f>VLOOKUP(Table9[[#This Row],[Shortname]], Comp[], 20, FALSE)</f>
        <v>0</v>
      </c>
      <c r="X1286">
        <f>VLOOKUP(Table9[[#This Row],[Shortname]], Comp[], 21, FALSE)</f>
        <v>0</v>
      </c>
      <c r="Y1286">
        <f>VLOOKUP(Table9[[#This Row],[Shortname]], Comp[], 22, FALSE)</f>
        <v>0</v>
      </c>
      <c r="Z1286">
        <f>VLOOKUP(Table9[[#This Row],[Shortname]], Comp[], 23, FALSE)</f>
        <v>14.22</v>
      </c>
      <c r="AA1286">
        <f>VLOOKUP(Table9[[#This Row],[Shortname]], Comp[], 24, FALSE)</f>
        <v>0</v>
      </c>
      <c r="AB1286">
        <f>VLOOKUP(Table9[[#This Row],[Shortname]], Comp[], 25, FALSE)</f>
        <v>0</v>
      </c>
      <c r="AC1286">
        <f>VLOOKUP(Table9[[#This Row],[Shortname]], Comp[], 26, FALSE)</f>
        <v>0</v>
      </c>
      <c r="AD1286">
        <f>VLOOKUP(Table9[[#This Row],[Shortname]], Comp[], 27, FALSE)</f>
        <v>0</v>
      </c>
      <c r="AE1286">
        <f>VLOOKUP(Table9[[#This Row],[Shortname]], Comp[], 28, FALSE)</f>
        <v>0</v>
      </c>
      <c r="AF1286">
        <f>VLOOKUP(Table9[[#This Row],[Shortname]], Comp[], 29, FALSE)</f>
        <v>0</v>
      </c>
      <c r="AG1286">
        <f>VLOOKUP(Table9[[#This Row],[Shortname]], Comp[], 30, FALSE)</f>
        <v>0</v>
      </c>
      <c r="AH1286">
        <f>VLOOKUP(Table9[[#This Row],[Shortname]], Comp[], 31, FALSE)</f>
        <v>0</v>
      </c>
    </row>
    <row r="1287" spans="1:34" x14ac:dyDescent="0.3">
      <c r="A1287" t="s">
        <v>6451</v>
      </c>
      <c r="B1287" t="s">
        <v>6452</v>
      </c>
      <c r="C1287" t="s">
        <v>6431</v>
      </c>
      <c r="D1287">
        <v>541.56037200000003</v>
      </c>
      <c r="E1287">
        <v>750</v>
      </c>
      <c r="F1287">
        <v>1E-4</v>
      </c>
      <c r="G1287">
        <v>1</v>
      </c>
      <c r="I1287">
        <f>VLOOKUP(Table9[[#This Row],[Shortname]], Comp[], 6, FALSE)</f>
        <v>1076</v>
      </c>
      <c r="J1287" s="14">
        <f>VLOOKUP(Table9[[#This Row],[Shortname]], Comp[], 7, FALSE)</f>
        <v>48.25</v>
      </c>
      <c r="K1287">
        <f>VLOOKUP(Table9[[#This Row],[Shortname]], Comp[], 8, FALSE)</f>
        <v>15.59</v>
      </c>
      <c r="L1287">
        <f>VLOOKUP(Table9[[#This Row],[Shortname]], Comp[], 9, FALSE)</f>
        <v>5.44</v>
      </c>
      <c r="M1287">
        <f>VLOOKUP(Table9[[#This Row],[Shortname]], Comp[], 10, FALSE)</f>
        <v>8.2899999999999991</v>
      </c>
      <c r="N1287">
        <f>VLOOKUP(Table9[[#This Row],[Shortname]], Comp[], 11, FALSE)</f>
        <v>0</v>
      </c>
      <c r="O1287">
        <f>VLOOKUP(Table9[[#This Row],[Shortname]], Comp[],12, FALSE)</f>
        <v>2.0699999999999998</v>
      </c>
      <c r="P1287">
        <f>VLOOKUP(Table9[[#This Row],[Shortname]], Comp[], 13, FALSE)</f>
        <v>1.51</v>
      </c>
      <c r="Q1287">
        <f>VLOOKUP(Table9[[#This Row],[Shortname]], Comp[], 14, FALSE)</f>
        <v>1.45</v>
      </c>
      <c r="R1287">
        <f>VLOOKUP(Table9[[#This Row],[Shortname]], Comp[], 15, FALSE)</f>
        <v>3.1</v>
      </c>
      <c r="S1287">
        <f>VLOOKUP(Table9[[#This Row],[Shortname]], Comp[], 16, FALSE)</f>
        <v>0</v>
      </c>
      <c r="T1287">
        <f>VLOOKUP(Table9[[#This Row],[Shortname]], Comp[], 17, FALSE)</f>
        <v>0</v>
      </c>
      <c r="U1287">
        <f>VLOOKUP(Table9[[#This Row],[Shortname]], Comp[], 18, FALSE)</f>
        <v>0</v>
      </c>
      <c r="V1287">
        <f>VLOOKUP(Table9[[#This Row],[Shortname]], Comp[], 19, FALSE)</f>
        <v>0.08</v>
      </c>
      <c r="W1287">
        <f>VLOOKUP(Table9[[#This Row],[Shortname]], Comp[], 20, FALSE)</f>
        <v>0</v>
      </c>
      <c r="X1287">
        <f>VLOOKUP(Table9[[#This Row],[Shortname]], Comp[], 21, FALSE)</f>
        <v>0</v>
      </c>
      <c r="Y1287">
        <f>VLOOKUP(Table9[[#This Row],[Shortname]], Comp[], 22, FALSE)</f>
        <v>0</v>
      </c>
      <c r="Z1287">
        <f>VLOOKUP(Table9[[#This Row],[Shortname]], Comp[], 23, FALSE)</f>
        <v>14.22</v>
      </c>
      <c r="AA1287">
        <f>VLOOKUP(Table9[[#This Row],[Shortname]], Comp[], 24, FALSE)</f>
        <v>0</v>
      </c>
      <c r="AB1287">
        <f>VLOOKUP(Table9[[#This Row],[Shortname]], Comp[], 25, FALSE)</f>
        <v>0</v>
      </c>
      <c r="AC1287">
        <f>VLOOKUP(Table9[[#This Row],[Shortname]], Comp[], 26, FALSE)</f>
        <v>0</v>
      </c>
      <c r="AD1287">
        <f>VLOOKUP(Table9[[#This Row],[Shortname]], Comp[], 27, FALSE)</f>
        <v>0</v>
      </c>
      <c r="AE1287">
        <f>VLOOKUP(Table9[[#This Row],[Shortname]], Comp[], 28, FALSE)</f>
        <v>0</v>
      </c>
      <c r="AF1287">
        <f>VLOOKUP(Table9[[#This Row],[Shortname]], Comp[], 29, FALSE)</f>
        <v>0</v>
      </c>
      <c r="AG1287">
        <f>VLOOKUP(Table9[[#This Row],[Shortname]], Comp[], 30, FALSE)</f>
        <v>0</v>
      </c>
      <c r="AH1287">
        <f>VLOOKUP(Table9[[#This Row],[Shortname]], Comp[], 31, FALSE)</f>
        <v>0</v>
      </c>
    </row>
    <row r="1288" spans="1:34" x14ac:dyDescent="0.3">
      <c r="A1288" t="s">
        <v>6451</v>
      </c>
      <c r="B1288" t="s">
        <v>6452</v>
      </c>
      <c r="C1288" t="s">
        <v>6431</v>
      </c>
      <c r="D1288">
        <v>547.26016509999999</v>
      </c>
      <c r="E1288">
        <v>800</v>
      </c>
      <c r="F1288">
        <v>1E-4</v>
      </c>
      <c r="G1288">
        <v>1</v>
      </c>
      <c r="I1288">
        <f>VLOOKUP(Table9[[#This Row],[Shortname]], Comp[], 6, FALSE)</f>
        <v>1076</v>
      </c>
      <c r="J1288" s="14">
        <f>VLOOKUP(Table9[[#This Row],[Shortname]], Comp[], 7, FALSE)</f>
        <v>48.25</v>
      </c>
      <c r="K1288">
        <f>VLOOKUP(Table9[[#This Row],[Shortname]], Comp[], 8, FALSE)</f>
        <v>15.59</v>
      </c>
      <c r="L1288">
        <f>VLOOKUP(Table9[[#This Row],[Shortname]], Comp[], 9, FALSE)</f>
        <v>5.44</v>
      </c>
      <c r="M1288">
        <f>VLOOKUP(Table9[[#This Row],[Shortname]], Comp[], 10, FALSE)</f>
        <v>8.2899999999999991</v>
      </c>
      <c r="N1288">
        <f>VLOOKUP(Table9[[#This Row],[Shortname]], Comp[], 11, FALSE)</f>
        <v>0</v>
      </c>
      <c r="O1288">
        <f>VLOOKUP(Table9[[#This Row],[Shortname]], Comp[],12, FALSE)</f>
        <v>2.0699999999999998</v>
      </c>
      <c r="P1288">
        <f>VLOOKUP(Table9[[#This Row],[Shortname]], Comp[], 13, FALSE)</f>
        <v>1.51</v>
      </c>
      <c r="Q1288">
        <f>VLOOKUP(Table9[[#This Row],[Shortname]], Comp[], 14, FALSE)</f>
        <v>1.45</v>
      </c>
      <c r="R1288">
        <f>VLOOKUP(Table9[[#This Row],[Shortname]], Comp[], 15, FALSE)</f>
        <v>3.1</v>
      </c>
      <c r="S1288">
        <f>VLOOKUP(Table9[[#This Row],[Shortname]], Comp[], 16, FALSE)</f>
        <v>0</v>
      </c>
      <c r="T1288">
        <f>VLOOKUP(Table9[[#This Row],[Shortname]], Comp[], 17, FALSE)</f>
        <v>0</v>
      </c>
      <c r="U1288">
        <f>VLOOKUP(Table9[[#This Row],[Shortname]], Comp[], 18, FALSE)</f>
        <v>0</v>
      </c>
      <c r="V1288">
        <f>VLOOKUP(Table9[[#This Row],[Shortname]], Comp[], 19, FALSE)</f>
        <v>0.08</v>
      </c>
      <c r="W1288">
        <f>VLOOKUP(Table9[[#This Row],[Shortname]], Comp[], 20, FALSE)</f>
        <v>0</v>
      </c>
      <c r="X1288">
        <f>VLOOKUP(Table9[[#This Row],[Shortname]], Comp[], 21, FALSE)</f>
        <v>0</v>
      </c>
      <c r="Y1288">
        <f>VLOOKUP(Table9[[#This Row],[Shortname]], Comp[], 22, FALSE)</f>
        <v>0</v>
      </c>
      <c r="Z1288">
        <f>VLOOKUP(Table9[[#This Row],[Shortname]], Comp[], 23, FALSE)</f>
        <v>14.22</v>
      </c>
      <c r="AA1288">
        <f>VLOOKUP(Table9[[#This Row],[Shortname]], Comp[], 24, FALSE)</f>
        <v>0</v>
      </c>
      <c r="AB1288">
        <f>VLOOKUP(Table9[[#This Row],[Shortname]], Comp[], 25, FALSE)</f>
        <v>0</v>
      </c>
      <c r="AC1288">
        <f>VLOOKUP(Table9[[#This Row],[Shortname]], Comp[], 26, FALSE)</f>
        <v>0</v>
      </c>
      <c r="AD1288">
        <f>VLOOKUP(Table9[[#This Row],[Shortname]], Comp[], 27, FALSE)</f>
        <v>0</v>
      </c>
      <c r="AE1288">
        <f>VLOOKUP(Table9[[#This Row],[Shortname]], Comp[], 28, FALSE)</f>
        <v>0</v>
      </c>
      <c r="AF1288">
        <f>VLOOKUP(Table9[[#This Row],[Shortname]], Comp[], 29, FALSE)</f>
        <v>0</v>
      </c>
      <c r="AG1288">
        <f>VLOOKUP(Table9[[#This Row],[Shortname]], Comp[], 30, FALSE)</f>
        <v>0</v>
      </c>
      <c r="AH1288">
        <f>VLOOKUP(Table9[[#This Row],[Shortname]], Comp[], 31, FALSE)</f>
        <v>0</v>
      </c>
    </row>
    <row r="1289" spans="1:34" x14ac:dyDescent="0.3">
      <c r="A1289" t="s">
        <v>6451</v>
      </c>
      <c r="B1289" t="s">
        <v>6452</v>
      </c>
      <c r="C1289" t="s">
        <v>6431</v>
      </c>
      <c r="D1289">
        <v>504.04746929999999</v>
      </c>
      <c r="E1289">
        <v>850</v>
      </c>
      <c r="F1289">
        <v>1E-4</v>
      </c>
      <c r="G1289">
        <v>1</v>
      </c>
      <c r="I1289">
        <f>VLOOKUP(Table9[[#This Row],[Shortname]], Comp[], 6, FALSE)</f>
        <v>1076</v>
      </c>
      <c r="J1289" s="14">
        <f>VLOOKUP(Table9[[#This Row],[Shortname]], Comp[], 7, FALSE)</f>
        <v>48.25</v>
      </c>
      <c r="K1289">
        <f>VLOOKUP(Table9[[#This Row],[Shortname]], Comp[], 8, FALSE)</f>
        <v>15.59</v>
      </c>
      <c r="L1289">
        <f>VLOOKUP(Table9[[#This Row],[Shortname]], Comp[], 9, FALSE)</f>
        <v>5.44</v>
      </c>
      <c r="M1289">
        <f>VLOOKUP(Table9[[#This Row],[Shortname]], Comp[], 10, FALSE)</f>
        <v>8.2899999999999991</v>
      </c>
      <c r="N1289">
        <f>VLOOKUP(Table9[[#This Row],[Shortname]], Comp[], 11, FALSE)</f>
        <v>0</v>
      </c>
      <c r="O1289">
        <f>VLOOKUP(Table9[[#This Row],[Shortname]], Comp[],12, FALSE)</f>
        <v>2.0699999999999998</v>
      </c>
      <c r="P1289">
        <f>VLOOKUP(Table9[[#This Row],[Shortname]], Comp[], 13, FALSE)</f>
        <v>1.51</v>
      </c>
      <c r="Q1289">
        <f>VLOOKUP(Table9[[#This Row],[Shortname]], Comp[], 14, FALSE)</f>
        <v>1.45</v>
      </c>
      <c r="R1289">
        <f>VLOOKUP(Table9[[#This Row],[Shortname]], Comp[], 15, FALSE)</f>
        <v>3.1</v>
      </c>
      <c r="S1289">
        <f>VLOOKUP(Table9[[#This Row],[Shortname]], Comp[], 16, FALSE)</f>
        <v>0</v>
      </c>
      <c r="T1289">
        <f>VLOOKUP(Table9[[#This Row],[Shortname]], Comp[], 17, FALSE)</f>
        <v>0</v>
      </c>
      <c r="U1289">
        <f>VLOOKUP(Table9[[#This Row],[Shortname]], Comp[], 18, FALSE)</f>
        <v>0</v>
      </c>
      <c r="V1289">
        <f>VLOOKUP(Table9[[#This Row],[Shortname]], Comp[], 19, FALSE)</f>
        <v>0.08</v>
      </c>
      <c r="W1289">
        <f>VLOOKUP(Table9[[#This Row],[Shortname]], Comp[], 20, FALSE)</f>
        <v>0</v>
      </c>
      <c r="X1289">
        <f>VLOOKUP(Table9[[#This Row],[Shortname]], Comp[], 21, FALSE)</f>
        <v>0</v>
      </c>
      <c r="Y1289">
        <f>VLOOKUP(Table9[[#This Row],[Shortname]], Comp[], 22, FALSE)</f>
        <v>0</v>
      </c>
      <c r="Z1289">
        <f>VLOOKUP(Table9[[#This Row],[Shortname]], Comp[], 23, FALSE)</f>
        <v>14.22</v>
      </c>
      <c r="AA1289">
        <f>VLOOKUP(Table9[[#This Row],[Shortname]], Comp[], 24, FALSE)</f>
        <v>0</v>
      </c>
      <c r="AB1289">
        <f>VLOOKUP(Table9[[#This Row],[Shortname]], Comp[], 25, FALSE)</f>
        <v>0</v>
      </c>
      <c r="AC1289">
        <f>VLOOKUP(Table9[[#This Row],[Shortname]], Comp[], 26, FALSE)</f>
        <v>0</v>
      </c>
      <c r="AD1289">
        <f>VLOOKUP(Table9[[#This Row],[Shortname]], Comp[], 27, FALSE)</f>
        <v>0</v>
      </c>
      <c r="AE1289">
        <f>VLOOKUP(Table9[[#This Row],[Shortname]], Comp[], 28, FALSE)</f>
        <v>0</v>
      </c>
      <c r="AF1289">
        <f>VLOOKUP(Table9[[#This Row],[Shortname]], Comp[], 29, FALSE)</f>
        <v>0</v>
      </c>
      <c r="AG1289">
        <f>VLOOKUP(Table9[[#This Row],[Shortname]], Comp[], 30, FALSE)</f>
        <v>0</v>
      </c>
      <c r="AH1289">
        <f>VLOOKUP(Table9[[#This Row],[Shortname]], Comp[], 31, FALSE)</f>
        <v>0</v>
      </c>
    </row>
    <row r="1290" spans="1:34" x14ac:dyDescent="0.3">
      <c r="A1290" t="s">
        <v>6451</v>
      </c>
      <c r="B1290" t="s">
        <v>6452</v>
      </c>
      <c r="C1290" t="s">
        <v>6431</v>
      </c>
      <c r="D1290">
        <v>381.64125180000002</v>
      </c>
      <c r="E1290">
        <v>900</v>
      </c>
      <c r="F1290">
        <v>1E-4</v>
      </c>
      <c r="G1290">
        <v>1</v>
      </c>
      <c r="I1290">
        <f>VLOOKUP(Table9[[#This Row],[Shortname]], Comp[], 6, FALSE)</f>
        <v>1076</v>
      </c>
      <c r="J1290" s="14">
        <f>VLOOKUP(Table9[[#This Row],[Shortname]], Comp[], 7, FALSE)</f>
        <v>48.25</v>
      </c>
      <c r="K1290">
        <f>VLOOKUP(Table9[[#This Row],[Shortname]], Comp[], 8, FALSE)</f>
        <v>15.59</v>
      </c>
      <c r="L1290">
        <f>VLOOKUP(Table9[[#This Row],[Shortname]], Comp[], 9, FALSE)</f>
        <v>5.44</v>
      </c>
      <c r="M1290">
        <f>VLOOKUP(Table9[[#This Row],[Shortname]], Comp[], 10, FALSE)</f>
        <v>8.2899999999999991</v>
      </c>
      <c r="N1290">
        <f>VLOOKUP(Table9[[#This Row],[Shortname]], Comp[], 11, FALSE)</f>
        <v>0</v>
      </c>
      <c r="O1290">
        <f>VLOOKUP(Table9[[#This Row],[Shortname]], Comp[],12, FALSE)</f>
        <v>2.0699999999999998</v>
      </c>
      <c r="P1290">
        <f>VLOOKUP(Table9[[#This Row],[Shortname]], Comp[], 13, FALSE)</f>
        <v>1.51</v>
      </c>
      <c r="Q1290">
        <f>VLOOKUP(Table9[[#This Row],[Shortname]], Comp[], 14, FALSE)</f>
        <v>1.45</v>
      </c>
      <c r="R1290">
        <f>VLOOKUP(Table9[[#This Row],[Shortname]], Comp[], 15, FALSE)</f>
        <v>3.1</v>
      </c>
      <c r="S1290">
        <f>VLOOKUP(Table9[[#This Row],[Shortname]], Comp[], 16, FALSE)</f>
        <v>0</v>
      </c>
      <c r="T1290">
        <f>VLOOKUP(Table9[[#This Row],[Shortname]], Comp[], 17, FALSE)</f>
        <v>0</v>
      </c>
      <c r="U1290">
        <f>VLOOKUP(Table9[[#This Row],[Shortname]], Comp[], 18, FALSE)</f>
        <v>0</v>
      </c>
      <c r="V1290">
        <f>VLOOKUP(Table9[[#This Row],[Shortname]], Comp[], 19, FALSE)</f>
        <v>0.08</v>
      </c>
      <c r="W1290">
        <f>VLOOKUP(Table9[[#This Row],[Shortname]], Comp[], 20, FALSE)</f>
        <v>0</v>
      </c>
      <c r="X1290">
        <f>VLOOKUP(Table9[[#This Row],[Shortname]], Comp[], 21, FALSE)</f>
        <v>0</v>
      </c>
      <c r="Y1290">
        <f>VLOOKUP(Table9[[#This Row],[Shortname]], Comp[], 22, FALSE)</f>
        <v>0</v>
      </c>
      <c r="Z1290">
        <f>VLOOKUP(Table9[[#This Row],[Shortname]], Comp[], 23, FALSE)</f>
        <v>14.22</v>
      </c>
      <c r="AA1290">
        <f>VLOOKUP(Table9[[#This Row],[Shortname]], Comp[], 24, FALSE)</f>
        <v>0</v>
      </c>
      <c r="AB1290">
        <f>VLOOKUP(Table9[[#This Row],[Shortname]], Comp[], 25, FALSE)</f>
        <v>0</v>
      </c>
      <c r="AC1290">
        <f>VLOOKUP(Table9[[#This Row],[Shortname]], Comp[], 26, FALSE)</f>
        <v>0</v>
      </c>
      <c r="AD1290">
        <f>VLOOKUP(Table9[[#This Row],[Shortname]], Comp[], 27, FALSE)</f>
        <v>0</v>
      </c>
      <c r="AE1290">
        <f>VLOOKUP(Table9[[#This Row],[Shortname]], Comp[], 28, FALSE)</f>
        <v>0</v>
      </c>
      <c r="AF1290">
        <f>VLOOKUP(Table9[[#This Row],[Shortname]], Comp[], 29, FALSE)</f>
        <v>0</v>
      </c>
      <c r="AG1290">
        <f>VLOOKUP(Table9[[#This Row],[Shortname]], Comp[], 30, FALSE)</f>
        <v>0</v>
      </c>
      <c r="AH1290">
        <f>VLOOKUP(Table9[[#This Row],[Shortname]], Comp[], 31, FALSE)</f>
        <v>0</v>
      </c>
    </row>
    <row r="1291" spans="1:34" x14ac:dyDescent="0.3">
      <c r="A1291" t="s">
        <v>6451</v>
      </c>
      <c r="B1291" t="s">
        <v>6452</v>
      </c>
      <c r="C1291" t="s">
        <v>6431</v>
      </c>
      <c r="D1291">
        <v>228.36314160000001</v>
      </c>
      <c r="E1291">
        <v>950</v>
      </c>
      <c r="F1291">
        <v>1E-4</v>
      </c>
      <c r="G1291">
        <v>1</v>
      </c>
      <c r="I1291">
        <f>VLOOKUP(Table9[[#This Row],[Shortname]], Comp[], 6, FALSE)</f>
        <v>1076</v>
      </c>
      <c r="J1291" s="14">
        <f>VLOOKUP(Table9[[#This Row],[Shortname]], Comp[], 7, FALSE)</f>
        <v>48.25</v>
      </c>
      <c r="K1291">
        <f>VLOOKUP(Table9[[#This Row],[Shortname]], Comp[], 8, FALSE)</f>
        <v>15.59</v>
      </c>
      <c r="L1291">
        <f>VLOOKUP(Table9[[#This Row],[Shortname]], Comp[], 9, FALSE)</f>
        <v>5.44</v>
      </c>
      <c r="M1291">
        <f>VLOOKUP(Table9[[#This Row],[Shortname]], Comp[], 10, FALSE)</f>
        <v>8.2899999999999991</v>
      </c>
      <c r="N1291">
        <f>VLOOKUP(Table9[[#This Row],[Shortname]], Comp[], 11, FALSE)</f>
        <v>0</v>
      </c>
      <c r="O1291">
        <f>VLOOKUP(Table9[[#This Row],[Shortname]], Comp[],12, FALSE)</f>
        <v>2.0699999999999998</v>
      </c>
      <c r="P1291">
        <f>VLOOKUP(Table9[[#This Row],[Shortname]], Comp[], 13, FALSE)</f>
        <v>1.51</v>
      </c>
      <c r="Q1291">
        <f>VLOOKUP(Table9[[#This Row],[Shortname]], Comp[], 14, FALSE)</f>
        <v>1.45</v>
      </c>
      <c r="R1291">
        <f>VLOOKUP(Table9[[#This Row],[Shortname]], Comp[], 15, FALSE)</f>
        <v>3.1</v>
      </c>
      <c r="S1291">
        <f>VLOOKUP(Table9[[#This Row],[Shortname]], Comp[], 16, FALSE)</f>
        <v>0</v>
      </c>
      <c r="T1291">
        <f>VLOOKUP(Table9[[#This Row],[Shortname]], Comp[], 17, FALSE)</f>
        <v>0</v>
      </c>
      <c r="U1291">
        <f>VLOOKUP(Table9[[#This Row],[Shortname]], Comp[], 18, FALSE)</f>
        <v>0</v>
      </c>
      <c r="V1291">
        <f>VLOOKUP(Table9[[#This Row],[Shortname]], Comp[], 19, FALSE)</f>
        <v>0.08</v>
      </c>
      <c r="W1291">
        <f>VLOOKUP(Table9[[#This Row],[Shortname]], Comp[], 20, FALSE)</f>
        <v>0</v>
      </c>
      <c r="X1291">
        <f>VLOOKUP(Table9[[#This Row],[Shortname]], Comp[], 21, FALSE)</f>
        <v>0</v>
      </c>
      <c r="Y1291">
        <f>VLOOKUP(Table9[[#This Row],[Shortname]], Comp[], 22, FALSE)</f>
        <v>0</v>
      </c>
      <c r="Z1291">
        <f>VLOOKUP(Table9[[#This Row],[Shortname]], Comp[], 23, FALSE)</f>
        <v>14.22</v>
      </c>
      <c r="AA1291">
        <f>VLOOKUP(Table9[[#This Row],[Shortname]], Comp[], 24, FALSE)</f>
        <v>0</v>
      </c>
      <c r="AB1291">
        <f>VLOOKUP(Table9[[#This Row],[Shortname]], Comp[], 25, FALSE)</f>
        <v>0</v>
      </c>
      <c r="AC1291">
        <f>VLOOKUP(Table9[[#This Row],[Shortname]], Comp[], 26, FALSE)</f>
        <v>0</v>
      </c>
      <c r="AD1291">
        <f>VLOOKUP(Table9[[#This Row],[Shortname]], Comp[], 27, FALSE)</f>
        <v>0</v>
      </c>
      <c r="AE1291">
        <f>VLOOKUP(Table9[[#This Row],[Shortname]], Comp[], 28, FALSE)</f>
        <v>0</v>
      </c>
      <c r="AF1291">
        <f>VLOOKUP(Table9[[#This Row],[Shortname]], Comp[], 29, FALSE)</f>
        <v>0</v>
      </c>
      <c r="AG1291">
        <f>VLOOKUP(Table9[[#This Row],[Shortname]], Comp[], 30, FALSE)</f>
        <v>0</v>
      </c>
      <c r="AH1291">
        <f>VLOOKUP(Table9[[#This Row],[Shortname]], Comp[], 31, FALSE)</f>
        <v>0</v>
      </c>
    </row>
    <row r="1292" spans="1:34" x14ac:dyDescent="0.3">
      <c r="A1292" t="s">
        <v>6440</v>
      </c>
      <c r="B1292" t="s">
        <v>6441</v>
      </c>
      <c r="C1292" t="s">
        <v>6431</v>
      </c>
      <c r="D1292">
        <v>540.5127</v>
      </c>
      <c r="E1292">
        <v>25</v>
      </c>
      <c r="F1292">
        <v>1E-4</v>
      </c>
      <c r="G1292">
        <v>1</v>
      </c>
      <c r="I1292">
        <f>VLOOKUP(Table9[[#This Row],[Shortname]], Comp[], 6, FALSE)</f>
        <v>1074</v>
      </c>
      <c r="J1292" s="14">
        <f>VLOOKUP(Table9[[#This Row],[Shortname]], Comp[], 7, FALSE)</f>
        <v>52.13</v>
      </c>
      <c r="K1292">
        <f>VLOOKUP(Table9[[#This Row],[Shortname]], Comp[], 8, FALSE)</f>
        <v>11.78</v>
      </c>
      <c r="L1292">
        <f>VLOOKUP(Table9[[#This Row],[Shortname]], Comp[], 9, FALSE)</f>
        <v>5.45</v>
      </c>
      <c r="M1292">
        <f>VLOOKUP(Table9[[#This Row],[Shortname]], Comp[], 10, FALSE)</f>
        <v>4.1399999999999997</v>
      </c>
      <c r="N1292">
        <f>VLOOKUP(Table9[[#This Row],[Shortname]], Comp[], 11, FALSE)</f>
        <v>0</v>
      </c>
      <c r="O1292">
        <f>VLOOKUP(Table9[[#This Row],[Shortname]], Comp[],12, FALSE)</f>
        <v>2.06</v>
      </c>
      <c r="P1292">
        <f>VLOOKUP(Table9[[#This Row],[Shortname]], Comp[], 13, FALSE)</f>
        <v>1.52</v>
      </c>
      <c r="Q1292">
        <f>VLOOKUP(Table9[[#This Row],[Shortname]], Comp[], 14, FALSE)</f>
        <v>1.51</v>
      </c>
      <c r="R1292">
        <f>VLOOKUP(Table9[[#This Row],[Shortname]], Comp[], 15, FALSE)</f>
        <v>3.06</v>
      </c>
      <c r="S1292">
        <f>VLOOKUP(Table9[[#This Row],[Shortname]], Comp[], 16, FALSE)</f>
        <v>0</v>
      </c>
      <c r="T1292">
        <f>VLOOKUP(Table9[[#This Row],[Shortname]], Comp[], 17, FALSE)</f>
        <v>0</v>
      </c>
      <c r="U1292">
        <f>VLOOKUP(Table9[[#This Row],[Shortname]], Comp[], 18, FALSE)</f>
        <v>0</v>
      </c>
      <c r="V1292">
        <f>VLOOKUP(Table9[[#This Row],[Shortname]], Comp[], 19, FALSE)</f>
        <v>0.08</v>
      </c>
      <c r="W1292">
        <f>VLOOKUP(Table9[[#This Row],[Shortname]], Comp[], 20, FALSE)</f>
        <v>0</v>
      </c>
      <c r="X1292">
        <f>VLOOKUP(Table9[[#This Row],[Shortname]], Comp[], 21, FALSE)</f>
        <v>0</v>
      </c>
      <c r="Y1292">
        <f>VLOOKUP(Table9[[#This Row],[Shortname]], Comp[], 22, FALSE)</f>
        <v>0</v>
      </c>
      <c r="Z1292">
        <f>VLOOKUP(Table9[[#This Row],[Shortname]], Comp[], 23, FALSE)</f>
        <v>18.27</v>
      </c>
      <c r="AA1292">
        <f>VLOOKUP(Table9[[#This Row],[Shortname]], Comp[], 24, FALSE)</f>
        <v>0</v>
      </c>
      <c r="AB1292">
        <f>VLOOKUP(Table9[[#This Row],[Shortname]], Comp[], 25, FALSE)</f>
        <v>0</v>
      </c>
      <c r="AC1292">
        <f>VLOOKUP(Table9[[#This Row],[Shortname]], Comp[], 26, FALSE)</f>
        <v>0</v>
      </c>
      <c r="AD1292">
        <f>VLOOKUP(Table9[[#This Row],[Shortname]], Comp[], 27, FALSE)</f>
        <v>0</v>
      </c>
      <c r="AE1292">
        <f>VLOOKUP(Table9[[#This Row],[Shortname]], Comp[], 28, FALSE)</f>
        <v>0</v>
      </c>
      <c r="AF1292">
        <f>VLOOKUP(Table9[[#This Row],[Shortname]], Comp[], 29, FALSE)</f>
        <v>0</v>
      </c>
      <c r="AG1292">
        <f>VLOOKUP(Table9[[#This Row],[Shortname]], Comp[], 30, FALSE)</f>
        <v>0</v>
      </c>
      <c r="AH1292">
        <f>VLOOKUP(Table9[[#This Row],[Shortname]], Comp[], 31, FALSE)</f>
        <v>0</v>
      </c>
    </row>
    <row r="1293" spans="1:34" x14ac:dyDescent="0.3">
      <c r="A1293" t="s">
        <v>6440</v>
      </c>
      <c r="B1293" t="s">
        <v>6441</v>
      </c>
      <c r="C1293" t="s">
        <v>6431</v>
      </c>
      <c r="D1293">
        <v>445.74770000000001</v>
      </c>
      <c r="E1293">
        <v>600</v>
      </c>
      <c r="F1293">
        <v>1E-4</v>
      </c>
      <c r="G1293">
        <v>1</v>
      </c>
      <c r="I1293">
        <f>VLOOKUP(Table9[[#This Row],[Shortname]], Comp[], 6, FALSE)</f>
        <v>1074</v>
      </c>
      <c r="J1293" s="14">
        <f>VLOOKUP(Table9[[#This Row],[Shortname]], Comp[], 7, FALSE)</f>
        <v>52.13</v>
      </c>
      <c r="K1293">
        <f>VLOOKUP(Table9[[#This Row],[Shortname]], Comp[], 8, FALSE)</f>
        <v>11.78</v>
      </c>
      <c r="L1293">
        <f>VLOOKUP(Table9[[#This Row],[Shortname]], Comp[], 9, FALSE)</f>
        <v>5.45</v>
      </c>
      <c r="M1293">
        <f>VLOOKUP(Table9[[#This Row],[Shortname]], Comp[], 10, FALSE)</f>
        <v>4.1399999999999997</v>
      </c>
      <c r="N1293">
        <f>VLOOKUP(Table9[[#This Row],[Shortname]], Comp[], 11, FALSE)</f>
        <v>0</v>
      </c>
      <c r="O1293">
        <f>VLOOKUP(Table9[[#This Row],[Shortname]], Comp[],12, FALSE)</f>
        <v>2.06</v>
      </c>
      <c r="P1293">
        <f>VLOOKUP(Table9[[#This Row],[Shortname]], Comp[], 13, FALSE)</f>
        <v>1.52</v>
      </c>
      <c r="Q1293">
        <f>VLOOKUP(Table9[[#This Row],[Shortname]], Comp[], 14, FALSE)</f>
        <v>1.51</v>
      </c>
      <c r="R1293">
        <f>VLOOKUP(Table9[[#This Row],[Shortname]], Comp[], 15, FALSE)</f>
        <v>3.06</v>
      </c>
      <c r="S1293">
        <f>VLOOKUP(Table9[[#This Row],[Shortname]], Comp[], 16, FALSE)</f>
        <v>0</v>
      </c>
      <c r="T1293">
        <f>VLOOKUP(Table9[[#This Row],[Shortname]], Comp[], 17, FALSE)</f>
        <v>0</v>
      </c>
      <c r="U1293">
        <f>VLOOKUP(Table9[[#This Row],[Shortname]], Comp[], 18, FALSE)</f>
        <v>0</v>
      </c>
      <c r="V1293">
        <f>VLOOKUP(Table9[[#This Row],[Shortname]], Comp[], 19, FALSE)</f>
        <v>0.08</v>
      </c>
      <c r="W1293">
        <f>VLOOKUP(Table9[[#This Row],[Shortname]], Comp[], 20, FALSE)</f>
        <v>0</v>
      </c>
      <c r="X1293">
        <f>VLOOKUP(Table9[[#This Row],[Shortname]], Comp[], 21, FALSE)</f>
        <v>0</v>
      </c>
      <c r="Y1293">
        <f>VLOOKUP(Table9[[#This Row],[Shortname]], Comp[], 22, FALSE)</f>
        <v>0</v>
      </c>
      <c r="Z1293">
        <f>VLOOKUP(Table9[[#This Row],[Shortname]], Comp[], 23, FALSE)</f>
        <v>18.27</v>
      </c>
      <c r="AA1293">
        <f>VLOOKUP(Table9[[#This Row],[Shortname]], Comp[], 24, FALSE)</f>
        <v>0</v>
      </c>
      <c r="AB1293">
        <f>VLOOKUP(Table9[[#This Row],[Shortname]], Comp[], 25, FALSE)</f>
        <v>0</v>
      </c>
      <c r="AC1293">
        <f>VLOOKUP(Table9[[#This Row],[Shortname]], Comp[], 26, FALSE)</f>
        <v>0</v>
      </c>
      <c r="AD1293">
        <f>VLOOKUP(Table9[[#This Row],[Shortname]], Comp[], 27, FALSE)</f>
        <v>0</v>
      </c>
      <c r="AE1293">
        <f>VLOOKUP(Table9[[#This Row],[Shortname]], Comp[], 28, FALSE)</f>
        <v>0</v>
      </c>
      <c r="AF1293">
        <f>VLOOKUP(Table9[[#This Row],[Shortname]], Comp[], 29, FALSE)</f>
        <v>0</v>
      </c>
      <c r="AG1293">
        <f>VLOOKUP(Table9[[#This Row],[Shortname]], Comp[], 30, FALSE)</f>
        <v>0</v>
      </c>
      <c r="AH1293">
        <f>VLOOKUP(Table9[[#This Row],[Shortname]], Comp[], 31, FALSE)</f>
        <v>0</v>
      </c>
    </row>
    <row r="1294" spans="1:34" x14ac:dyDescent="0.3">
      <c r="A1294" t="s">
        <v>6440</v>
      </c>
      <c r="B1294" t="s">
        <v>6441</v>
      </c>
      <c r="C1294" t="s">
        <v>6431</v>
      </c>
      <c r="D1294">
        <v>494.03440000000001</v>
      </c>
      <c r="E1294">
        <v>700</v>
      </c>
      <c r="F1294">
        <v>1E-4</v>
      </c>
      <c r="G1294">
        <v>1</v>
      </c>
      <c r="I1294">
        <f>VLOOKUP(Table9[[#This Row],[Shortname]], Comp[], 6, FALSE)</f>
        <v>1074</v>
      </c>
      <c r="J1294" s="14">
        <f>VLOOKUP(Table9[[#This Row],[Shortname]], Comp[], 7, FALSE)</f>
        <v>52.13</v>
      </c>
      <c r="K1294">
        <f>VLOOKUP(Table9[[#This Row],[Shortname]], Comp[], 8, FALSE)</f>
        <v>11.78</v>
      </c>
      <c r="L1294">
        <f>VLOOKUP(Table9[[#This Row],[Shortname]], Comp[], 9, FALSE)</f>
        <v>5.45</v>
      </c>
      <c r="M1294">
        <f>VLOOKUP(Table9[[#This Row],[Shortname]], Comp[], 10, FALSE)</f>
        <v>4.1399999999999997</v>
      </c>
      <c r="N1294">
        <f>VLOOKUP(Table9[[#This Row],[Shortname]], Comp[], 11, FALSE)</f>
        <v>0</v>
      </c>
      <c r="O1294">
        <f>VLOOKUP(Table9[[#This Row],[Shortname]], Comp[],12, FALSE)</f>
        <v>2.06</v>
      </c>
      <c r="P1294">
        <f>VLOOKUP(Table9[[#This Row],[Shortname]], Comp[], 13, FALSE)</f>
        <v>1.52</v>
      </c>
      <c r="Q1294">
        <f>VLOOKUP(Table9[[#This Row],[Shortname]], Comp[], 14, FALSE)</f>
        <v>1.51</v>
      </c>
      <c r="R1294">
        <f>VLOOKUP(Table9[[#This Row],[Shortname]], Comp[], 15, FALSE)</f>
        <v>3.06</v>
      </c>
      <c r="S1294">
        <f>VLOOKUP(Table9[[#This Row],[Shortname]], Comp[], 16, FALSE)</f>
        <v>0</v>
      </c>
      <c r="T1294">
        <f>VLOOKUP(Table9[[#This Row],[Shortname]], Comp[], 17, FALSE)</f>
        <v>0</v>
      </c>
      <c r="U1294">
        <f>VLOOKUP(Table9[[#This Row],[Shortname]], Comp[], 18, FALSE)</f>
        <v>0</v>
      </c>
      <c r="V1294">
        <f>VLOOKUP(Table9[[#This Row],[Shortname]], Comp[], 19, FALSE)</f>
        <v>0.08</v>
      </c>
      <c r="W1294">
        <f>VLOOKUP(Table9[[#This Row],[Shortname]], Comp[], 20, FALSE)</f>
        <v>0</v>
      </c>
      <c r="X1294">
        <f>VLOOKUP(Table9[[#This Row],[Shortname]], Comp[], 21, FALSE)</f>
        <v>0</v>
      </c>
      <c r="Y1294">
        <f>VLOOKUP(Table9[[#This Row],[Shortname]], Comp[], 22, FALSE)</f>
        <v>0</v>
      </c>
      <c r="Z1294">
        <f>VLOOKUP(Table9[[#This Row],[Shortname]], Comp[], 23, FALSE)</f>
        <v>18.27</v>
      </c>
      <c r="AA1294">
        <f>VLOOKUP(Table9[[#This Row],[Shortname]], Comp[], 24, FALSE)</f>
        <v>0</v>
      </c>
      <c r="AB1294">
        <f>VLOOKUP(Table9[[#This Row],[Shortname]], Comp[], 25, FALSE)</f>
        <v>0</v>
      </c>
      <c r="AC1294">
        <f>VLOOKUP(Table9[[#This Row],[Shortname]], Comp[], 26, FALSE)</f>
        <v>0</v>
      </c>
      <c r="AD1294">
        <f>VLOOKUP(Table9[[#This Row],[Shortname]], Comp[], 27, FALSE)</f>
        <v>0</v>
      </c>
      <c r="AE1294">
        <f>VLOOKUP(Table9[[#This Row],[Shortname]], Comp[], 28, FALSE)</f>
        <v>0</v>
      </c>
      <c r="AF1294">
        <f>VLOOKUP(Table9[[#This Row],[Shortname]], Comp[], 29, FALSE)</f>
        <v>0</v>
      </c>
      <c r="AG1294">
        <f>VLOOKUP(Table9[[#This Row],[Shortname]], Comp[], 30, FALSE)</f>
        <v>0</v>
      </c>
      <c r="AH1294">
        <f>VLOOKUP(Table9[[#This Row],[Shortname]], Comp[], 31, FALSE)</f>
        <v>0</v>
      </c>
    </row>
    <row r="1295" spans="1:34" x14ac:dyDescent="0.3">
      <c r="A1295" t="s">
        <v>6440</v>
      </c>
      <c r="B1295" t="s">
        <v>6441</v>
      </c>
      <c r="C1295" t="s">
        <v>6431</v>
      </c>
      <c r="D1295">
        <v>543.67370000000005</v>
      </c>
      <c r="E1295">
        <v>750</v>
      </c>
      <c r="F1295">
        <v>1E-4</v>
      </c>
      <c r="G1295">
        <v>1</v>
      </c>
      <c r="I1295">
        <f>VLOOKUP(Table9[[#This Row],[Shortname]], Comp[], 6, FALSE)</f>
        <v>1074</v>
      </c>
      <c r="J1295" s="14">
        <f>VLOOKUP(Table9[[#This Row],[Shortname]], Comp[], 7, FALSE)</f>
        <v>52.13</v>
      </c>
      <c r="K1295">
        <f>VLOOKUP(Table9[[#This Row],[Shortname]], Comp[], 8, FALSE)</f>
        <v>11.78</v>
      </c>
      <c r="L1295">
        <f>VLOOKUP(Table9[[#This Row],[Shortname]], Comp[], 9, FALSE)</f>
        <v>5.45</v>
      </c>
      <c r="M1295">
        <f>VLOOKUP(Table9[[#This Row],[Shortname]], Comp[], 10, FALSE)</f>
        <v>4.1399999999999997</v>
      </c>
      <c r="N1295">
        <f>VLOOKUP(Table9[[#This Row],[Shortname]], Comp[], 11, FALSE)</f>
        <v>0</v>
      </c>
      <c r="O1295">
        <f>VLOOKUP(Table9[[#This Row],[Shortname]], Comp[],12, FALSE)</f>
        <v>2.06</v>
      </c>
      <c r="P1295">
        <f>VLOOKUP(Table9[[#This Row],[Shortname]], Comp[], 13, FALSE)</f>
        <v>1.52</v>
      </c>
      <c r="Q1295">
        <f>VLOOKUP(Table9[[#This Row],[Shortname]], Comp[], 14, FALSE)</f>
        <v>1.51</v>
      </c>
      <c r="R1295">
        <f>VLOOKUP(Table9[[#This Row],[Shortname]], Comp[], 15, FALSE)</f>
        <v>3.06</v>
      </c>
      <c r="S1295">
        <f>VLOOKUP(Table9[[#This Row],[Shortname]], Comp[], 16, FALSE)</f>
        <v>0</v>
      </c>
      <c r="T1295">
        <f>VLOOKUP(Table9[[#This Row],[Shortname]], Comp[], 17, FALSE)</f>
        <v>0</v>
      </c>
      <c r="U1295">
        <f>VLOOKUP(Table9[[#This Row],[Shortname]], Comp[], 18, FALSE)</f>
        <v>0</v>
      </c>
      <c r="V1295">
        <f>VLOOKUP(Table9[[#This Row],[Shortname]], Comp[], 19, FALSE)</f>
        <v>0.08</v>
      </c>
      <c r="W1295">
        <f>VLOOKUP(Table9[[#This Row],[Shortname]], Comp[], 20, FALSE)</f>
        <v>0</v>
      </c>
      <c r="X1295">
        <f>VLOOKUP(Table9[[#This Row],[Shortname]], Comp[], 21, FALSE)</f>
        <v>0</v>
      </c>
      <c r="Y1295">
        <f>VLOOKUP(Table9[[#This Row],[Shortname]], Comp[], 22, FALSE)</f>
        <v>0</v>
      </c>
      <c r="Z1295">
        <f>VLOOKUP(Table9[[#This Row],[Shortname]], Comp[], 23, FALSE)</f>
        <v>18.27</v>
      </c>
      <c r="AA1295">
        <f>VLOOKUP(Table9[[#This Row],[Shortname]], Comp[], 24, FALSE)</f>
        <v>0</v>
      </c>
      <c r="AB1295">
        <f>VLOOKUP(Table9[[#This Row],[Shortname]], Comp[], 25, FALSE)</f>
        <v>0</v>
      </c>
      <c r="AC1295">
        <f>VLOOKUP(Table9[[#This Row],[Shortname]], Comp[], 26, FALSE)</f>
        <v>0</v>
      </c>
      <c r="AD1295">
        <f>VLOOKUP(Table9[[#This Row],[Shortname]], Comp[], 27, FALSE)</f>
        <v>0</v>
      </c>
      <c r="AE1295">
        <f>VLOOKUP(Table9[[#This Row],[Shortname]], Comp[], 28, FALSE)</f>
        <v>0</v>
      </c>
      <c r="AF1295">
        <f>VLOOKUP(Table9[[#This Row],[Shortname]], Comp[], 29, FALSE)</f>
        <v>0</v>
      </c>
      <c r="AG1295">
        <f>VLOOKUP(Table9[[#This Row],[Shortname]], Comp[], 30, FALSE)</f>
        <v>0</v>
      </c>
      <c r="AH1295">
        <f>VLOOKUP(Table9[[#This Row],[Shortname]], Comp[], 31, FALSE)</f>
        <v>0</v>
      </c>
    </row>
    <row r="1296" spans="1:34" x14ac:dyDescent="0.3">
      <c r="A1296" t="s">
        <v>6440</v>
      </c>
      <c r="B1296" t="s">
        <v>6441</v>
      </c>
      <c r="C1296" t="s">
        <v>6431</v>
      </c>
      <c r="D1296">
        <v>575.75819999999999</v>
      </c>
      <c r="E1296">
        <v>800</v>
      </c>
      <c r="F1296">
        <v>1E-4</v>
      </c>
      <c r="G1296">
        <v>1</v>
      </c>
      <c r="I1296">
        <f>VLOOKUP(Table9[[#This Row],[Shortname]], Comp[], 6, FALSE)</f>
        <v>1074</v>
      </c>
      <c r="J1296" s="14">
        <f>VLOOKUP(Table9[[#This Row],[Shortname]], Comp[], 7, FALSE)</f>
        <v>52.13</v>
      </c>
      <c r="K1296">
        <f>VLOOKUP(Table9[[#This Row],[Shortname]], Comp[], 8, FALSE)</f>
        <v>11.78</v>
      </c>
      <c r="L1296">
        <f>VLOOKUP(Table9[[#This Row],[Shortname]], Comp[], 9, FALSE)</f>
        <v>5.45</v>
      </c>
      <c r="M1296">
        <f>VLOOKUP(Table9[[#This Row],[Shortname]], Comp[], 10, FALSE)</f>
        <v>4.1399999999999997</v>
      </c>
      <c r="N1296">
        <f>VLOOKUP(Table9[[#This Row],[Shortname]], Comp[], 11, FALSE)</f>
        <v>0</v>
      </c>
      <c r="O1296">
        <f>VLOOKUP(Table9[[#This Row],[Shortname]], Comp[],12, FALSE)</f>
        <v>2.06</v>
      </c>
      <c r="P1296">
        <f>VLOOKUP(Table9[[#This Row],[Shortname]], Comp[], 13, FALSE)</f>
        <v>1.52</v>
      </c>
      <c r="Q1296">
        <f>VLOOKUP(Table9[[#This Row],[Shortname]], Comp[], 14, FALSE)</f>
        <v>1.51</v>
      </c>
      <c r="R1296">
        <f>VLOOKUP(Table9[[#This Row],[Shortname]], Comp[], 15, FALSE)</f>
        <v>3.06</v>
      </c>
      <c r="S1296">
        <f>VLOOKUP(Table9[[#This Row],[Shortname]], Comp[], 16, FALSE)</f>
        <v>0</v>
      </c>
      <c r="T1296">
        <f>VLOOKUP(Table9[[#This Row],[Shortname]], Comp[], 17, FALSE)</f>
        <v>0</v>
      </c>
      <c r="U1296">
        <f>VLOOKUP(Table9[[#This Row],[Shortname]], Comp[], 18, FALSE)</f>
        <v>0</v>
      </c>
      <c r="V1296">
        <f>VLOOKUP(Table9[[#This Row],[Shortname]], Comp[], 19, FALSE)</f>
        <v>0.08</v>
      </c>
      <c r="W1296">
        <f>VLOOKUP(Table9[[#This Row],[Shortname]], Comp[], 20, FALSE)</f>
        <v>0</v>
      </c>
      <c r="X1296">
        <f>VLOOKUP(Table9[[#This Row],[Shortname]], Comp[], 21, FALSE)</f>
        <v>0</v>
      </c>
      <c r="Y1296">
        <f>VLOOKUP(Table9[[#This Row],[Shortname]], Comp[], 22, FALSE)</f>
        <v>0</v>
      </c>
      <c r="Z1296">
        <f>VLOOKUP(Table9[[#This Row],[Shortname]], Comp[], 23, FALSE)</f>
        <v>18.27</v>
      </c>
      <c r="AA1296">
        <f>VLOOKUP(Table9[[#This Row],[Shortname]], Comp[], 24, FALSE)</f>
        <v>0</v>
      </c>
      <c r="AB1296">
        <f>VLOOKUP(Table9[[#This Row],[Shortname]], Comp[], 25, FALSE)</f>
        <v>0</v>
      </c>
      <c r="AC1296">
        <f>VLOOKUP(Table9[[#This Row],[Shortname]], Comp[], 26, FALSE)</f>
        <v>0</v>
      </c>
      <c r="AD1296">
        <f>VLOOKUP(Table9[[#This Row],[Shortname]], Comp[], 27, FALSE)</f>
        <v>0</v>
      </c>
      <c r="AE1296">
        <f>VLOOKUP(Table9[[#This Row],[Shortname]], Comp[], 28, FALSE)</f>
        <v>0</v>
      </c>
      <c r="AF1296">
        <f>VLOOKUP(Table9[[#This Row],[Shortname]], Comp[], 29, FALSE)</f>
        <v>0</v>
      </c>
      <c r="AG1296">
        <f>VLOOKUP(Table9[[#This Row],[Shortname]], Comp[], 30, FALSE)</f>
        <v>0</v>
      </c>
      <c r="AH1296">
        <f>VLOOKUP(Table9[[#This Row],[Shortname]], Comp[], 31, FALSE)</f>
        <v>0</v>
      </c>
    </row>
    <row r="1297" spans="1:34" x14ac:dyDescent="0.3">
      <c r="A1297" t="s">
        <v>6440</v>
      </c>
      <c r="B1297" t="s">
        <v>6441</v>
      </c>
      <c r="C1297" t="s">
        <v>6431</v>
      </c>
      <c r="D1297">
        <v>454.69450000000001</v>
      </c>
      <c r="E1297">
        <v>850</v>
      </c>
      <c r="F1297">
        <v>1E-4</v>
      </c>
      <c r="G1297">
        <v>1</v>
      </c>
      <c r="I1297">
        <f>VLOOKUP(Table9[[#This Row],[Shortname]], Comp[], 6, FALSE)</f>
        <v>1074</v>
      </c>
      <c r="J1297" s="14">
        <f>VLOOKUP(Table9[[#This Row],[Shortname]], Comp[], 7, FALSE)</f>
        <v>52.13</v>
      </c>
      <c r="K1297">
        <f>VLOOKUP(Table9[[#This Row],[Shortname]], Comp[], 8, FALSE)</f>
        <v>11.78</v>
      </c>
      <c r="L1297">
        <f>VLOOKUP(Table9[[#This Row],[Shortname]], Comp[], 9, FALSE)</f>
        <v>5.45</v>
      </c>
      <c r="M1297">
        <f>VLOOKUP(Table9[[#This Row],[Shortname]], Comp[], 10, FALSE)</f>
        <v>4.1399999999999997</v>
      </c>
      <c r="N1297">
        <f>VLOOKUP(Table9[[#This Row],[Shortname]], Comp[], 11, FALSE)</f>
        <v>0</v>
      </c>
      <c r="O1297">
        <f>VLOOKUP(Table9[[#This Row],[Shortname]], Comp[],12, FALSE)</f>
        <v>2.06</v>
      </c>
      <c r="P1297">
        <f>VLOOKUP(Table9[[#This Row],[Shortname]], Comp[], 13, FALSE)</f>
        <v>1.52</v>
      </c>
      <c r="Q1297">
        <f>VLOOKUP(Table9[[#This Row],[Shortname]], Comp[], 14, FALSE)</f>
        <v>1.51</v>
      </c>
      <c r="R1297">
        <f>VLOOKUP(Table9[[#This Row],[Shortname]], Comp[], 15, FALSE)</f>
        <v>3.06</v>
      </c>
      <c r="S1297">
        <f>VLOOKUP(Table9[[#This Row],[Shortname]], Comp[], 16, FALSE)</f>
        <v>0</v>
      </c>
      <c r="T1297">
        <f>VLOOKUP(Table9[[#This Row],[Shortname]], Comp[], 17, FALSE)</f>
        <v>0</v>
      </c>
      <c r="U1297">
        <f>VLOOKUP(Table9[[#This Row],[Shortname]], Comp[], 18, FALSE)</f>
        <v>0</v>
      </c>
      <c r="V1297">
        <f>VLOOKUP(Table9[[#This Row],[Shortname]], Comp[], 19, FALSE)</f>
        <v>0.08</v>
      </c>
      <c r="W1297">
        <f>VLOOKUP(Table9[[#This Row],[Shortname]], Comp[], 20, FALSE)</f>
        <v>0</v>
      </c>
      <c r="X1297">
        <f>VLOOKUP(Table9[[#This Row],[Shortname]], Comp[], 21, FALSE)</f>
        <v>0</v>
      </c>
      <c r="Y1297">
        <f>VLOOKUP(Table9[[#This Row],[Shortname]], Comp[], 22, FALSE)</f>
        <v>0</v>
      </c>
      <c r="Z1297">
        <f>VLOOKUP(Table9[[#This Row],[Shortname]], Comp[], 23, FALSE)</f>
        <v>18.27</v>
      </c>
      <c r="AA1297">
        <f>VLOOKUP(Table9[[#This Row],[Shortname]], Comp[], 24, FALSE)</f>
        <v>0</v>
      </c>
      <c r="AB1297">
        <f>VLOOKUP(Table9[[#This Row],[Shortname]], Comp[], 25, FALSE)</f>
        <v>0</v>
      </c>
      <c r="AC1297">
        <f>VLOOKUP(Table9[[#This Row],[Shortname]], Comp[], 26, FALSE)</f>
        <v>0</v>
      </c>
      <c r="AD1297">
        <f>VLOOKUP(Table9[[#This Row],[Shortname]], Comp[], 27, FALSE)</f>
        <v>0</v>
      </c>
      <c r="AE1297">
        <f>VLOOKUP(Table9[[#This Row],[Shortname]], Comp[], 28, FALSE)</f>
        <v>0</v>
      </c>
      <c r="AF1297">
        <f>VLOOKUP(Table9[[#This Row],[Shortname]], Comp[], 29, FALSE)</f>
        <v>0</v>
      </c>
      <c r="AG1297">
        <f>VLOOKUP(Table9[[#This Row],[Shortname]], Comp[], 30, FALSE)</f>
        <v>0</v>
      </c>
      <c r="AH1297">
        <f>VLOOKUP(Table9[[#This Row],[Shortname]], Comp[], 31, FALSE)</f>
        <v>0</v>
      </c>
    </row>
    <row r="1298" spans="1:34" x14ac:dyDescent="0.3">
      <c r="A1298" t="s">
        <v>6440</v>
      </c>
      <c r="B1298" t="s">
        <v>6441</v>
      </c>
      <c r="C1298" t="s">
        <v>6431</v>
      </c>
      <c r="D1298">
        <v>336.57319999999999</v>
      </c>
      <c r="E1298">
        <v>900</v>
      </c>
      <c r="F1298">
        <v>1E-4</v>
      </c>
      <c r="G1298">
        <v>1</v>
      </c>
      <c r="I1298">
        <f>VLOOKUP(Table9[[#This Row],[Shortname]], Comp[], 6, FALSE)</f>
        <v>1074</v>
      </c>
      <c r="J1298" s="14">
        <f>VLOOKUP(Table9[[#This Row],[Shortname]], Comp[], 7, FALSE)</f>
        <v>52.13</v>
      </c>
      <c r="K1298">
        <f>VLOOKUP(Table9[[#This Row],[Shortname]], Comp[], 8, FALSE)</f>
        <v>11.78</v>
      </c>
      <c r="L1298">
        <f>VLOOKUP(Table9[[#This Row],[Shortname]], Comp[], 9, FALSE)</f>
        <v>5.45</v>
      </c>
      <c r="M1298">
        <f>VLOOKUP(Table9[[#This Row],[Shortname]], Comp[], 10, FALSE)</f>
        <v>4.1399999999999997</v>
      </c>
      <c r="N1298">
        <f>VLOOKUP(Table9[[#This Row],[Shortname]], Comp[], 11, FALSE)</f>
        <v>0</v>
      </c>
      <c r="O1298">
        <f>VLOOKUP(Table9[[#This Row],[Shortname]], Comp[],12, FALSE)</f>
        <v>2.06</v>
      </c>
      <c r="P1298">
        <f>VLOOKUP(Table9[[#This Row],[Shortname]], Comp[], 13, FALSE)</f>
        <v>1.52</v>
      </c>
      <c r="Q1298">
        <f>VLOOKUP(Table9[[#This Row],[Shortname]], Comp[], 14, FALSE)</f>
        <v>1.51</v>
      </c>
      <c r="R1298">
        <f>VLOOKUP(Table9[[#This Row],[Shortname]], Comp[], 15, FALSE)</f>
        <v>3.06</v>
      </c>
      <c r="S1298">
        <f>VLOOKUP(Table9[[#This Row],[Shortname]], Comp[], 16, FALSE)</f>
        <v>0</v>
      </c>
      <c r="T1298">
        <f>VLOOKUP(Table9[[#This Row],[Shortname]], Comp[], 17, FALSE)</f>
        <v>0</v>
      </c>
      <c r="U1298">
        <f>VLOOKUP(Table9[[#This Row],[Shortname]], Comp[], 18, FALSE)</f>
        <v>0</v>
      </c>
      <c r="V1298">
        <f>VLOOKUP(Table9[[#This Row],[Shortname]], Comp[], 19, FALSE)</f>
        <v>0.08</v>
      </c>
      <c r="W1298">
        <f>VLOOKUP(Table9[[#This Row],[Shortname]], Comp[], 20, FALSE)</f>
        <v>0</v>
      </c>
      <c r="X1298">
        <f>VLOOKUP(Table9[[#This Row],[Shortname]], Comp[], 21, FALSE)</f>
        <v>0</v>
      </c>
      <c r="Y1298">
        <f>VLOOKUP(Table9[[#This Row],[Shortname]], Comp[], 22, FALSE)</f>
        <v>0</v>
      </c>
      <c r="Z1298">
        <f>VLOOKUP(Table9[[#This Row],[Shortname]], Comp[], 23, FALSE)</f>
        <v>18.27</v>
      </c>
      <c r="AA1298">
        <f>VLOOKUP(Table9[[#This Row],[Shortname]], Comp[], 24, FALSE)</f>
        <v>0</v>
      </c>
      <c r="AB1298">
        <f>VLOOKUP(Table9[[#This Row],[Shortname]], Comp[], 25, FALSE)</f>
        <v>0</v>
      </c>
      <c r="AC1298">
        <f>VLOOKUP(Table9[[#This Row],[Shortname]], Comp[], 26, FALSE)</f>
        <v>0</v>
      </c>
      <c r="AD1298">
        <f>VLOOKUP(Table9[[#This Row],[Shortname]], Comp[], 27, FALSE)</f>
        <v>0</v>
      </c>
      <c r="AE1298">
        <f>VLOOKUP(Table9[[#This Row],[Shortname]], Comp[], 28, FALSE)</f>
        <v>0</v>
      </c>
      <c r="AF1298">
        <f>VLOOKUP(Table9[[#This Row],[Shortname]], Comp[], 29, FALSE)</f>
        <v>0</v>
      </c>
      <c r="AG1298">
        <f>VLOOKUP(Table9[[#This Row],[Shortname]], Comp[], 30, FALSE)</f>
        <v>0</v>
      </c>
      <c r="AH1298">
        <f>VLOOKUP(Table9[[#This Row],[Shortname]], Comp[], 31, FALSE)</f>
        <v>0</v>
      </c>
    </row>
    <row r="1299" spans="1:34" x14ac:dyDescent="0.3">
      <c r="A1299" t="s">
        <v>6440</v>
      </c>
      <c r="B1299" t="s">
        <v>6441</v>
      </c>
      <c r="C1299" t="s">
        <v>6431</v>
      </c>
      <c r="D1299">
        <v>205.12029999999999</v>
      </c>
      <c r="E1299">
        <v>950</v>
      </c>
      <c r="F1299">
        <v>1E-4</v>
      </c>
      <c r="G1299">
        <v>1</v>
      </c>
      <c r="I1299">
        <f>VLOOKUP(Table9[[#This Row],[Shortname]], Comp[], 6, FALSE)</f>
        <v>1074</v>
      </c>
      <c r="J1299" s="14">
        <f>VLOOKUP(Table9[[#This Row],[Shortname]], Comp[], 7, FALSE)</f>
        <v>52.13</v>
      </c>
      <c r="K1299">
        <f>VLOOKUP(Table9[[#This Row],[Shortname]], Comp[], 8, FALSE)</f>
        <v>11.78</v>
      </c>
      <c r="L1299">
        <f>VLOOKUP(Table9[[#This Row],[Shortname]], Comp[], 9, FALSE)</f>
        <v>5.45</v>
      </c>
      <c r="M1299">
        <f>VLOOKUP(Table9[[#This Row],[Shortname]], Comp[], 10, FALSE)</f>
        <v>4.1399999999999997</v>
      </c>
      <c r="N1299">
        <f>VLOOKUP(Table9[[#This Row],[Shortname]], Comp[], 11, FALSE)</f>
        <v>0</v>
      </c>
      <c r="O1299">
        <f>VLOOKUP(Table9[[#This Row],[Shortname]], Comp[],12, FALSE)</f>
        <v>2.06</v>
      </c>
      <c r="P1299">
        <f>VLOOKUP(Table9[[#This Row],[Shortname]], Comp[], 13, FALSE)</f>
        <v>1.52</v>
      </c>
      <c r="Q1299">
        <f>VLOOKUP(Table9[[#This Row],[Shortname]], Comp[], 14, FALSE)</f>
        <v>1.51</v>
      </c>
      <c r="R1299">
        <f>VLOOKUP(Table9[[#This Row],[Shortname]], Comp[], 15, FALSE)</f>
        <v>3.06</v>
      </c>
      <c r="S1299">
        <f>VLOOKUP(Table9[[#This Row],[Shortname]], Comp[], 16, FALSE)</f>
        <v>0</v>
      </c>
      <c r="T1299">
        <f>VLOOKUP(Table9[[#This Row],[Shortname]], Comp[], 17, FALSE)</f>
        <v>0</v>
      </c>
      <c r="U1299">
        <f>VLOOKUP(Table9[[#This Row],[Shortname]], Comp[], 18, FALSE)</f>
        <v>0</v>
      </c>
      <c r="V1299">
        <f>VLOOKUP(Table9[[#This Row],[Shortname]], Comp[], 19, FALSE)</f>
        <v>0.08</v>
      </c>
      <c r="W1299">
        <f>VLOOKUP(Table9[[#This Row],[Shortname]], Comp[], 20, FALSE)</f>
        <v>0</v>
      </c>
      <c r="X1299">
        <f>VLOOKUP(Table9[[#This Row],[Shortname]], Comp[], 21, FALSE)</f>
        <v>0</v>
      </c>
      <c r="Y1299">
        <f>VLOOKUP(Table9[[#This Row],[Shortname]], Comp[], 22, FALSE)</f>
        <v>0</v>
      </c>
      <c r="Z1299">
        <f>VLOOKUP(Table9[[#This Row],[Shortname]], Comp[], 23, FALSE)</f>
        <v>18.27</v>
      </c>
      <c r="AA1299">
        <f>VLOOKUP(Table9[[#This Row],[Shortname]], Comp[], 24, FALSE)</f>
        <v>0</v>
      </c>
      <c r="AB1299">
        <f>VLOOKUP(Table9[[#This Row],[Shortname]], Comp[], 25, FALSE)</f>
        <v>0</v>
      </c>
      <c r="AC1299">
        <f>VLOOKUP(Table9[[#This Row],[Shortname]], Comp[], 26, FALSE)</f>
        <v>0</v>
      </c>
      <c r="AD1299">
        <f>VLOOKUP(Table9[[#This Row],[Shortname]], Comp[], 27, FALSE)</f>
        <v>0</v>
      </c>
      <c r="AE1299">
        <f>VLOOKUP(Table9[[#This Row],[Shortname]], Comp[], 28, FALSE)</f>
        <v>0</v>
      </c>
      <c r="AF1299">
        <f>VLOOKUP(Table9[[#This Row],[Shortname]], Comp[], 29, FALSE)</f>
        <v>0</v>
      </c>
      <c r="AG1299">
        <f>VLOOKUP(Table9[[#This Row],[Shortname]], Comp[], 30, FALSE)</f>
        <v>0</v>
      </c>
      <c r="AH1299">
        <f>VLOOKUP(Table9[[#This Row],[Shortname]], Comp[], 31, FALSE)</f>
        <v>0</v>
      </c>
    </row>
    <row r="1300" spans="1:34" x14ac:dyDescent="0.3">
      <c r="A1300" t="s">
        <v>6456</v>
      </c>
      <c r="B1300" t="s">
        <v>6457</v>
      </c>
      <c r="C1300" t="s">
        <v>6431</v>
      </c>
      <c r="D1300">
        <v>531.7077491</v>
      </c>
      <c r="E1300">
        <v>25</v>
      </c>
      <c r="F1300">
        <v>1E-4</v>
      </c>
      <c r="G1300">
        <v>1</v>
      </c>
      <c r="I1300">
        <f>VLOOKUP(Table9[[#This Row],[Shortname]], Comp[], 6, FALSE)</f>
        <v>1077</v>
      </c>
      <c r="J1300" s="14">
        <f>VLOOKUP(Table9[[#This Row],[Shortname]], Comp[], 7, FALSE)</f>
        <v>48.05</v>
      </c>
      <c r="K1300">
        <f>VLOOKUP(Table9[[#This Row],[Shortname]], Comp[], 8, FALSE)</f>
        <v>11.81</v>
      </c>
      <c r="L1300">
        <f>VLOOKUP(Table9[[#This Row],[Shortname]], Comp[], 9, FALSE)</f>
        <v>5.49</v>
      </c>
      <c r="M1300">
        <f>VLOOKUP(Table9[[#This Row],[Shortname]], Comp[], 10, FALSE)</f>
        <v>8.3000000000000007</v>
      </c>
      <c r="N1300">
        <f>VLOOKUP(Table9[[#This Row],[Shortname]], Comp[], 11, FALSE)</f>
        <v>0</v>
      </c>
      <c r="O1300">
        <f>VLOOKUP(Table9[[#This Row],[Shortname]], Comp[],12, FALSE)</f>
        <v>2.04</v>
      </c>
      <c r="P1300">
        <f>VLOOKUP(Table9[[#This Row],[Shortname]], Comp[], 13, FALSE)</f>
        <v>1.44</v>
      </c>
      <c r="Q1300">
        <f>VLOOKUP(Table9[[#This Row],[Shortname]], Comp[], 14, FALSE)</f>
        <v>1.41</v>
      </c>
      <c r="R1300">
        <f>VLOOKUP(Table9[[#This Row],[Shortname]], Comp[], 15, FALSE)</f>
        <v>3.1</v>
      </c>
      <c r="S1300">
        <f>VLOOKUP(Table9[[#This Row],[Shortname]], Comp[], 16, FALSE)</f>
        <v>0</v>
      </c>
      <c r="T1300">
        <f>VLOOKUP(Table9[[#This Row],[Shortname]], Comp[], 17, FALSE)</f>
        <v>0</v>
      </c>
      <c r="U1300">
        <f>VLOOKUP(Table9[[#This Row],[Shortname]], Comp[], 18, FALSE)</f>
        <v>0</v>
      </c>
      <c r="V1300">
        <f>VLOOKUP(Table9[[#This Row],[Shortname]], Comp[], 19, FALSE)</f>
        <v>0.08</v>
      </c>
      <c r="W1300">
        <f>VLOOKUP(Table9[[#This Row],[Shortname]], Comp[], 20, FALSE)</f>
        <v>0</v>
      </c>
      <c r="X1300">
        <f>VLOOKUP(Table9[[#This Row],[Shortname]], Comp[], 21, FALSE)</f>
        <v>0</v>
      </c>
      <c r="Y1300">
        <f>VLOOKUP(Table9[[#This Row],[Shortname]], Comp[], 22, FALSE)</f>
        <v>0</v>
      </c>
      <c r="Z1300">
        <f>VLOOKUP(Table9[[#This Row],[Shortname]], Comp[], 23, FALSE)</f>
        <v>18.28</v>
      </c>
      <c r="AA1300">
        <f>VLOOKUP(Table9[[#This Row],[Shortname]], Comp[], 24, FALSE)</f>
        <v>0</v>
      </c>
      <c r="AB1300">
        <f>VLOOKUP(Table9[[#This Row],[Shortname]], Comp[], 25, FALSE)</f>
        <v>0</v>
      </c>
      <c r="AC1300">
        <f>VLOOKUP(Table9[[#This Row],[Shortname]], Comp[], 26, FALSE)</f>
        <v>0</v>
      </c>
      <c r="AD1300">
        <f>VLOOKUP(Table9[[#This Row],[Shortname]], Comp[], 27, FALSE)</f>
        <v>0</v>
      </c>
      <c r="AE1300">
        <f>VLOOKUP(Table9[[#This Row],[Shortname]], Comp[], 28, FALSE)</f>
        <v>0</v>
      </c>
      <c r="AF1300">
        <f>VLOOKUP(Table9[[#This Row],[Shortname]], Comp[], 29, FALSE)</f>
        <v>0</v>
      </c>
      <c r="AG1300">
        <f>VLOOKUP(Table9[[#This Row],[Shortname]], Comp[], 30, FALSE)</f>
        <v>0</v>
      </c>
      <c r="AH1300">
        <f>VLOOKUP(Table9[[#This Row],[Shortname]], Comp[], 31, FALSE)</f>
        <v>0</v>
      </c>
    </row>
    <row r="1301" spans="1:34" x14ac:dyDescent="0.3">
      <c r="A1301" t="s">
        <v>6456</v>
      </c>
      <c r="B1301" t="s">
        <v>6457</v>
      </c>
      <c r="C1301" t="s">
        <v>6431</v>
      </c>
      <c r="D1301">
        <v>414.38740489999998</v>
      </c>
      <c r="E1301">
        <v>600</v>
      </c>
      <c r="F1301">
        <v>1E-4</v>
      </c>
      <c r="G1301">
        <v>1</v>
      </c>
      <c r="I1301">
        <f>VLOOKUP(Table9[[#This Row],[Shortname]], Comp[], 6, FALSE)</f>
        <v>1077</v>
      </c>
      <c r="J1301" s="14">
        <f>VLOOKUP(Table9[[#This Row],[Shortname]], Comp[], 7, FALSE)</f>
        <v>48.05</v>
      </c>
      <c r="K1301">
        <f>VLOOKUP(Table9[[#This Row],[Shortname]], Comp[], 8, FALSE)</f>
        <v>11.81</v>
      </c>
      <c r="L1301">
        <f>VLOOKUP(Table9[[#This Row],[Shortname]], Comp[], 9, FALSE)</f>
        <v>5.49</v>
      </c>
      <c r="M1301">
        <f>VLOOKUP(Table9[[#This Row],[Shortname]], Comp[], 10, FALSE)</f>
        <v>8.3000000000000007</v>
      </c>
      <c r="N1301">
        <f>VLOOKUP(Table9[[#This Row],[Shortname]], Comp[], 11, FALSE)</f>
        <v>0</v>
      </c>
      <c r="O1301">
        <f>VLOOKUP(Table9[[#This Row],[Shortname]], Comp[],12, FALSE)</f>
        <v>2.04</v>
      </c>
      <c r="P1301">
        <f>VLOOKUP(Table9[[#This Row],[Shortname]], Comp[], 13, FALSE)</f>
        <v>1.44</v>
      </c>
      <c r="Q1301">
        <f>VLOOKUP(Table9[[#This Row],[Shortname]], Comp[], 14, FALSE)</f>
        <v>1.41</v>
      </c>
      <c r="R1301">
        <f>VLOOKUP(Table9[[#This Row],[Shortname]], Comp[], 15, FALSE)</f>
        <v>3.1</v>
      </c>
      <c r="S1301">
        <f>VLOOKUP(Table9[[#This Row],[Shortname]], Comp[], 16, FALSE)</f>
        <v>0</v>
      </c>
      <c r="T1301">
        <f>VLOOKUP(Table9[[#This Row],[Shortname]], Comp[], 17, FALSE)</f>
        <v>0</v>
      </c>
      <c r="U1301">
        <f>VLOOKUP(Table9[[#This Row],[Shortname]], Comp[], 18, FALSE)</f>
        <v>0</v>
      </c>
      <c r="V1301">
        <f>VLOOKUP(Table9[[#This Row],[Shortname]], Comp[], 19, FALSE)</f>
        <v>0.08</v>
      </c>
      <c r="W1301">
        <f>VLOOKUP(Table9[[#This Row],[Shortname]], Comp[], 20, FALSE)</f>
        <v>0</v>
      </c>
      <c r="X1301">
        <f>VLOOKUP(Table9[[#This Row],[Shortname]], Comp[], 21, FALSE)</f>
        <v>0</v>
      </c>
      <c r="Y1301">
        <f>VLOOKUP(Table9[[#This Row],[Shortname]], Comp[], 22, FALSE)</f>
        <v>0</v>
      </c>
      <c r="Z1301">
        <f>VLOOKUP(Table9[[#This Row],[Shortname]], Comp[], 23, FALSE)</f>
        <v>18.28</v>
      </c>
      <c r="AA1301">
        <f>VLOOKUP(Table9[[#This Row],[Shortname]], Comp[], 24, FALSE)</f>
        <v>0</v>
      </c>
      <c r="AB1301">
        <f>VLOOKUP(Table9[[#This Row],[Shortname]], Comp[], 25, FALSE)</f>
        <v>0</v>
      </c>
      <c r="AC1301">
        <f>VLOOKUP(Table9[[#This Row],[Shortname]], Comp[], 26, FALSE)</f>
        <v>0</v>
      </c>
      <c r="AD1301">
        <f>VLOOKUP(Table9[[#This Row],[Shortname]], Comp[], 27, FALSE)</f>
        <v>0</v>
      </c>
      <c r="AE1301">
        <f>VLOOKUP(Table9[[#This Row],[Shortname]], Comp[], 28, FALSE)</f>
        <v>0</v>
      </c>
      <c r="AF1301">
        <f>VLOOKUP(Table9[[#This Row],[Shortname]], Comp[], 29, FALSE)</f>
        <v>0</v>
      </c>
      <c r="AG1301">
        <f>VLOOKUP(Table9[[#This Row],[Shortname]], Comp[], 30, FALSE)</f>
        <v>0</v>
      </c>
      <c r="AH1301">
        <f>VLOOKUP(Table9[[#This Row],[Shortname]], Comp[], 31, FALSE)</f>
        <v>0</v>
      </c>
    </row>
    <row r="1302" spans="1:34" x14ac:dyDescent="0.3">
      <c r="A1302" t="s">
        <v>6456</v>
      </c>
      <c r="B1302" t="s">
        <v>6457</v>
      </c>
      <c r="C1302" t="s">
        <v>6431</v>
      </c>
      <c r="D1302">
        <v>452.73784130000001</v>
      </c>
      <c r="E1302">
        <v>700</v>
      </c>
      <c r="F1302">
        <v>1E-4</v>
      </c>
      <c r="G1302">
        <v>1</v>
      </c>
      <c r="I1302">
        <f>VLOOKUP(Table9[[#This Row],[Shortname]], Comp[], 6, FALSE)</f>
        <v>1077</v>
      </c>
      <c r="J1302" s="14">
        <f>VLOOKUP(Table9[[#This Row],[Shortname]], Comp[], 7, FALSE)</f>
        <v>48.05</v>
      </c>
      <c r="K1302">
        <f>VLOOKUP(Table9[[#This Row],[Shortname]], Comp[], 8, FALSE)</f>
        <v>11.81</v>
      </c>
      <c r="L1302">
        <f>VLOOKUP(Table9[[#This Row],[Shortname]], Comp[], 9, FALSE)</f>
        <v>5.49</v>
      </c>
      <c r="M1302">
        <f>VLOOKUP(Table9[[#This Row],[Shortname]], Comp[], 10, FALSE)</f>
        <v>8.3000000000000007</v>
      </c>
      <c r="N1302">
        <f>VLOOKUP(Table9[[#This Row],[Shortname]], Comp[], 11, FALSE)</f>
        <v>0</v>
      </c>
      <c r="O1302">
        <f>VLOOKUP(Table9[[#This Row],[Shortname]], Comp[],12, FALSE)</f>
        <v>2.04</v>
      </c>
      <c r="P1302">
        <f>VLOOKUP(Table9[[#This Row],[Shortname]], Comp[], 13, FALSE)</f>
        <v>1.44</v>
      </c>
      <c r="Q1302">
        <f>VLOOKUP(Table9[[#This Row],[Shortname]], Comp[], 14, FALSE)</f>
        <v>1.41</v>
      </c>
      <c r="R1302">
        <f>VLOOKUP(Table9[[#This Row],[Shortname]], Comp[], 15, FALSE)</f>
        <v>3.1</v>
      </c>
      <c r="S1302">
        <f>VLOOKUP(Table9[[#This Row],[Shortname]], Comp[], 16, FALSE)</f>
        <v>0</v>
      </c>
      <c r="T1302">
        <f>VLOOKUP(Table9[[#This Row],[Shortname]], Comp[], 17, FALSE)</f>
        <v>0</v>
      </c>
      <c r="U1302">
        <f>VLOOKUP(Table9[[#This Row],[Shortname]], Comp[], 18, FALSE)</f>
        <v>0</v>
      </c>
      <c r="V1302">
        <f>VLOOKUP(Table9[[#This Row],[Shortname]], Comp[], 19, FALSE)</f>
        <v>0.08</v>
      </c>
      <c r="W1302">
        <f>VLOOKUP(Table9[[#This Row],[Shortname]], Comp[], 20, FALSE)</f>
        <v>0</v>
      </c>
      <c r="X1302">
        <f>VLOOKUP(Table9[[#This Row],[Shortname]], Comp[], 21, FALSE)</f>
        <v>0</v>
      </c>
      <c r="Y1302">
        <f>VLOOKUP(Table9[[#This Row],[Shortname]], Comp[], 22, FALSE)</f>
        <v>0</v>
      </c>
      <c r="Z1302">
        <f>VLOOKUP(Table9[[#This Row],[Shortname]], Comp[], 23, FALSE)</f>
        <v>18.28</v>
      </c>
      <c r="AA1302">
        <f>VLOOKUP(Table9[[#This Row],[Shortname]], Comp[], 24, FALSE)</f>
        <v>0</v>
      </c>
      <c r="AB1302">
        <f>VLOOKUP(Table9[[#This Row],[Shortname]], Comp[], 25, FALSE)</f>
        <v>0</v>
      </c>
      <c r="AC1302">
        <f>VLOOKUP(Table9[[#This Row],[Shortname]], Comp[], 26, FALSE)</f>
        <v>0</v>
      </c>
      <c r="AD1302">
        <f>VLOOKUP(Table9[[#This Row],[Shortname]], Comp[], 27, FALSE)</f>
        <v>0</v>
      </c>
      <c r="AE1302">
        <f>VLOOKUP(Table9[[#This Row],[Shortname]], Comp[], 28, FALSE)</f>
        <v>0</v>
      </c>
      <c r="AF1302">
        <f>VLOOKUP(Table9[[#This Row],[Shortname]], Comp[], 29, FALSE)</f>
        <v>0</v>
      </c>
      <c r="AG1302">
        <f>VLOOKUP(Table9[[#This Row],[Shortname]], Comp[], 30, FALSE)</f>
        <v>0</v>
      </c>
      <c r="AH1302">
        <f>VLOOKUP(Table9[[#This Row],[Shortname]], Comp[], 31, FALSE)</f>
        <v>0</v>
      </c>
    </row>
    <row r="1303" spans="1:34" x14ac:dyDescent="0.3">
      <c r="A1303" t="s">
        <v>6456</v>
      </c>
      <c r="B1303" t="s">
        <v>6457</v>
      </c>
      <c r="C1303" t="s">
        <v>6431</v>
      </c>
      <c r="D1303">
        <v>495.57009549999998</v>
      </c>
      <c r="E1303">
        <v>750</v>
      </c>
      <c r="F1303">
        <v>1E-4</v>
      </c>
      <c r="G1303">
        <v>1</v>
      </c>
      <c r="I1303">
        <f>VLOOKUP(Table9[[#This Row],[Shortname]], Comp[], 6, FALSE)</f>
        <v>1077</v>
      </c>
      <c r="J1303" s="14">
        <f>VLOOKUP(Table9[[#This Row],[Shortname]], Comp[], 7, FALSE)</f>
        <v>48.05</v>
      </c>
      <c r="K1303">
        <f>VLOOKUP(Table9[[#This Row],[Shortname]], Comp[], 8, FALSE)</f>
        <v>11.81</v>
      </c>
      <c r="L1303">
        <f>VLOOKUP(Table9[[#This Row],[Shortname]], Comp[], 9, FALSE)</f>
        <v>5.49</v>
      </c>
      <c r="M1303">
        <f>VLOOKUP(Table9[[#This Row],[Shortname]], Comp[], 10, FALSE)</f>
        <v>8.3000000000000007</v>
      </c>
      <c r="N1303">
        <f>VLOOKUP(Table9[[#This Row],[Shortname]], Comp[], 11, FALSE)</f>
        <v>0</v>
      </c>
      <c r="O1303">
        <f>VLOOKUP(Table9[[#This Row],[Shortname]], Comp[],12, FALSE)</f>
        <v>2.04</v>
      </c>
      <c r="P1303">
        <f>VLOOKUP(Table9[[#This Row],[Shortname]], Comp[], 13, FALSE)</f>
        <v>1.44</v>
      </c>
      <c r="Q1303">
        <f>VLOOKUP(Table9[[#This Row],[Shortname]], Comp[], 14, FALSE)</f>
        <v>1.41</v>
      </c>
      <c r="R1303">
        <f>VLOOKUP(Table9[[#This Row],[Shortname]], Comp[], 15, FALSE)</f>
        <v>3.1</v>
      </c>
      <c r="S1303">
        <f>VLOOKUP(Table9[[#This Row],[Shortname]], Comp[], 16, FALSE)</f>
        <v>0</v>
      </c>
      <c r="T1303">
        <f>VLOOKUP(Table9[[#This Row],[Shortname]], Comp[], 17, FALSE)</f>
        <v>0</v>
      </c>
      <c r="U1303">
        <f>VLOOKUP(Table9[[#This Row],[Shortname]], Comp[], 18, FALSE)</f>
        <v>0</v>
      </c>
      <c r="V1303">
        <f>VLOOKUP(Table9[[#This Row],[Shortname]], Comp[], 19, FALSE)</f>
        <v>0.08</v>
      </c>
      <c r="W1303">
        <f>VLOOKUP(Table9[[#This Row],[Shortname]], Comp[], 20, FALSE)</f>
        <v>0</v>
      </c>
      <c r="X1303">
        <f>VLOOKUP(Table9[[#This Row],[Shortname]], Comp[], 21, FALSE)</f>
        <v>0</v>
      </c>
      <c r="Y1303">
        <f>VLOOKUP(Table9[[#This Row],[Shortname]], Comp[], 22, FALSE)</f>
        <v>0</v>
      </c>
      <c r="Z1303">
        <f>VLOOKUP(Table9[[#This Row],[Shortname]], Comp[], 23, FALSE)</f>
        <v>18.28</v>
      </c>
      <c r="AA1303">
        <f>VLOOKUP(Table9[[#This Row],[Shortname]], Comp[], 24, FALSE)</f>
        <v>0</v>
      </c>
      <c r="AB1303">
        <f>VLOOKUP(Table9[[#This Row],[Shortname]], Comp[], 25, FALSE)</f>
        <v>0</v>
      </c>
      <c r="AC1303">
        <f>VLOOKUP(Table9[[#This Row],[Shortname]], Comp[], 26, FALSE)</f>
        <v>0</v>
      </c>
      <c r="AD1303">
        <f>VLOOKUP(Table9[[#This Row],[Shortname]], Comp[], 27, FALSE)</f>
        <v>0</v>
      </c>
      <c r="AE1303">
        <f>VLOOKUP(Table9[[#This Row],[Shortname]], Comp[], 28, FALSE)</f>
        <v>0</v>
      </c>
      <c r="AF1303">
        <f>VLOOKUP(Table9[[#This Row],[Shortname]], Comp[], 29, FALSE)</f>
        <v>0</v>
      </c>
      <c r="AG1303">
        <f>VLOOKUP(Table9[[#This Row],[Shortname]], Comp[], 30, FALSE)</f>
        <v>0</v>
      </c>
      <c r="AH1303">
        <f>VLOOKUP(Table9[[#This Row],[Shortname]], Comp[], 31, FALSE)</f>
        <v>0</v>
      </c>
    </row>
    <row r="1304" spans="1:34" x14ac:dyDescent="0.3">
      <c r="A1304" t="s">
        <v>6456</v>
      </c>
      <c r="B1304" t="s">
        <v>6457</v>
      </c>
      <c r="C1304" t="s">
        <v>6431</v>
      </c>
      <c r="D1304">
        <v>530.6512275</v>
      </c>
      <c r="E1304">
        <v>800</v>
      </c>
      <c r="F1304">
        <v>1E-4</v>
      </c>
      <c r="G1304">
        <v>1</v>
      </c>
      <c r="I1304">
        <f>VLOOKUP(Table9[[#This Row],[Shortname]], Comp[], 6, FALSE)</f>
        <v>1077</v>
      </c>
      <c r="J1304" s="14">
        <f>VLOOKUP(Table9[[#This Row],[Shortname]], Comp[], 7, FALSE)</f>
        <v>48.05</v>
      </c>
      <c r="K1304">
        <f>VLOOKUP(Table9[[#This Row],[Shortname]], Comp[], 8, FALSE)</f>
        <v>11.81</v>
      </c>
      <c r="L1304">
        <f>VLOOKUP(Table9[[#This Row],[Shortname]], Comp[], 9, FALSE)</f>
        <v>5.49</v>
      </c>
      <c r="M1304">
        <f>VLOOKUP(Table9[[#This Row],[Shortname]], Comp[], 10, FALSE)</f>
        <v>8.3000000000000007</v>
      </c>
      <c r="N1304">
        <f>VLOOKUP(Table9[[#This Row],[Shortname]], Comp[], 11, FALSE)</f>
        <v>0</v>
      </c>
      <c r="O1304">
        <f>VLOOKUP(Table9[[#This Row],[Shortname]], Comp[],12, FALSE)</f>
        <v>2.04</v>
      </c>
      <c r="P1304">
        <f>VLOOKUP(Table9[[#This Row],[Shortname]], Comp[], 13, FALSE)</f>
        <v>1.44</v>
      </c>
      <c r="Q1304">
        <f>VLOOKUP(Table9[[#This Row],[Shortname]], Comp[], 14, FALSE)</f>
        <v>1.41</v>
      </c>
      <c r="R1304">
        <f>VLOOKUP(Table9[[#This Row],[Shortname]], Comp[], 15, FALSE)</f>
        <v>3.1</v>
      </c>
      <c r="S1304">
        <f>VLOOKUP(Table9[[#This Row],[Shortname]], Comp[], 16, FALSE)</f>
        <v>0</v>
      </c>
      <c r="T1304">
        <f>VLOOKUP(Table9[[#This Row],[Shortname]], Comp[], 17, FALSE)</f>
        <v>0</v>
      </c>
      <c r="U1304">
        <f>VLOOKUP(Table9[[#This Row],[Shortname]], Comp[], 18, FALSE)</f>
        <v>0</v>
      </c>
      <c r="V1304">
        <f>VLOOKUP(Table9[[#This Row],[Shortname]], Comp[], 19, FALSE)</f>
        <v>0.08</v>
      </c>
      <c r="W1304">
        <f>VLOOKUP(Table9[[#This Row],[Shortname]], Comp[], 20, FALSE)</f>
        <v>0</v>
      </c>
      <c r="X1304">
        <f>VLOOKUP(Table9[[#This Row],[Shortname]], Comp[], 21, FALSE)</f>
        <v>0</v>
      </c>
      <c r="Y1304">
        <f>VLOOKUP(Table9[[#This Row],[Shortname]], Comp[], 22, FALSE)</f>
        <v>0</v>
      </c>
      <c r="Z1304">
        <f>VLOOKUP(Table9[[#This Row],[Shortname]], Comp[], 23, FALSE)</f>
        <v>18.28</v>
      </c>
      <c r="AA1304">
        <f>VLOOKUP(Table9[[#This Row],[Shortname]], Comp[], 24, FALSE)</f>
        <v>0</v>
      </c>
      <c r="AB1304">
        <f>VLOOKUP(Table9[[#This Row],[Shortname]], Comp[], 25, FALSE)</f>
        <v>0</v>
      </c>
      <c r="AC1304">
        <f>VLOOKUP(Table9[[#This Row],[Shortname]], Comp[], 26, FALSE)</f>
        <v>0</v>
      </c>
      <c r="AD1304">
        <f>VLOOKUP(Table9[[#This Row],[Shortname]], Comp[], 27, FALSE)</f>
        <v>0</v>
      </c>
      <c r="AE1304">
        <f>VLOOKUP(Table9[[#This Row],[Shortname]], Comp[], 28, FALSE)</f>
        <v>0</v>
      </c>
      <c r="AF1304">
        <f>VLOOKUP(Table9[[#This Row],[Shortname]], Comp[], 29, FALSE)</f>
        <v>0</v>
      </c>
      <c r="AG1304">
        <f>VLOOKUP(Table9[[#This Row],[Shortname]], Comp[], 30, FALSE)</f>
        <v>0</v>
      </c>
      <c r="AH1304">
        <f>VLOOKUP(Table9[[#This Row],[Shortname]], Comp[], 31, FALSE)</f>
        <v>0</v>
      </c>
    </row>
    <row r="1305" spans="1:34" x14ac:dyDescent="0.3">
      <c r="A1305" t="s">
        <v>6456</v>
      </c>
      <c r="B1305" t="s">
        <v>6457</v>
      </c>
      <c r="C1305" t="s">
        <v>6431</v>
      </c>
      <c r="D1305">
        <v>462.74234100000001</v>
      </c>
      <c r="E1305">
        <v>850</v>
      </c>
      <c r="F1305">
        <v>1E-4</v>
      </c>
      <c r="G1305">
        <v>1</v>
      </c>
      <c r="I1305">
        <f>VLOOKUP(Table9[[#This Row],[Shortname]], Comp[], 6, FALSE)</f>
        <v>1077</v>
      </c>
      <c r="J1305" s="14">
        <f>VLOOKUP(Table9[[#This Row],[Shortname]], Comp[], 7, FALSE)</f>
        <v>48.05</v>
      </c>
      <c r="K1305">
        <f>VLOOKUP(Table9[[#This Row],[Shortname]], Comp[], 8, FALSE)</f>
        <v>11.81</v>
      </c>
      <c r="L1305">
        <f>VLOOKUP(Table9[[#This Row],[Shortname]], Comp[], 9, FALSE)</f>
        <v>5.49</v>
      </c>
      <c r="M1305">
        <f>VLOOKUP(Table9[[#This Row],[Shortname]], Comp[], 10, FALSE)</f>
        <v>8.3000000000000007</v>
      </c>
      <c r="N1305">
        <f>VLOOKUP(Table9[[#This Row],[Shortname]], Comp[], 11, FALSE)</f>
        <v>0</v>
      </c>
      <c r="O1305">
        <f>VLOOKUP(Table9[[#This Row],[Shortname]], Comp[],12, FALSE)</f>
        <v>2.04</v>
      </c>
      <c r="P1305">
        <f>VLOOKUP(Table9[[#This Row],[Shortname]], Comp[], 13, FALSE)</f>
        <v>1.44</v>
      </c>
      <c r="Q1305">
        <f>VLOOKUP(Table9[[#This Row],[Shortname]], Comp[], 14, FALSE)</f>
        <v>1.41</v>
      </c>
      <c r="R1305">
        <f>VLOOKUP(Table9[[#This Row],[Shortname]], Comp[], 15, FALSE)</f>
        <v>3.1</v>
      </c>
      <c r="S1305">
        <f>VLOOKUP(Table9[[#This Row],[Shortname]], Comp[], 16, FALSE)</f>
        <v>0</v>
      </c>
      <c r="T1305">
        <f>VLOOKUP(Table9[[#This Row],[Shortname]], Comp[], 17, FALSE)</f>
        <v>0</v>
      </c>
      <c r="U1305">
        <f>VLOOKUP(Table9[[#This Row],[Shortname]], Comp[], 18, FALSE)</f>
        <v>0</v>
      </c>
      <c r="V1305">
        <f>VLOOKUP(Table9[[#This Row],[Shortname]], Comp[], 19, FALSE)</f>
        <v>0.08</v>
      </c>
      <c r="W1305">
        <f>VLOOKUP(Table9[[#This Row],[Shortname]], Comp[], 20, FALSE)</f>
        <v>0</v>
      </c>
      <c r="X1305">
        <f>VLOOKUP(Table9[[#This Row],[Shortname]], Comp[], 21, FALSE)</f>
        <v>0</v>
      </c>
      <c r="Y1305">
        <f>VLOOKUP(Table9[[#This Row],[Shortname]], Comp[], 22, FALSE)</f>
        <v>0</v>
      </c>
      <c r="Z1305">
        <f>VLOOKUP(Table9[[#This Row],[Shortname]], Comp[], 23, FALSE)</f>
        <v>18.28</v>
      </c>
      <c r="AA1305">
        <f>VLOOKUP(Table9[[#This Row],[Shortname]], Comp[], 24, FALSE)</f>
        <v>0</v>
      </c>
      <c r="AB1305">
        <f>VLOOKUP(Table9[[#This Row],[Shortname]], Comp[], 25, FALSE)</f>
        <v>0</v>
      </c>
      <c r="AC1305">
        <f>VLOOKUP(Table9[[#This Row],[Shortname]], Comp[], 26, FALSE)</f>
        <v>0</v>
      </c>
      <c r="AD1305">
        <f>VLOOKUP(Table9[[#This Row],[Shortname]], Comp[], 27, FALSE)</f>
        <v>0</v>
      </c>
      <c r="AE1305">
        <f>VLOOKUP(Table9[[#This Row],[Shortname]], Comp[], 28, FALSE)</f>
        <v>0</v>
      </c>
      <c r="AF1305">
        <f>VLOOKUP(Table9[[#This Row],[Shortname]], Comp[], 29, FALSE)</f>
        <v>0</v>
      </c>
      <c r="AG1305">
        <f>VLOOKUP(Table9[[#This Row],[Shortname]], Comp[], 30, FALSE)</f>
        <v>0</v>
      </c>
      <c r="AH1305">
        <f>VLOOKUP(Table9[[#This Row],[Shortname]], Comp[], 31, FALSE)</f>
        <v>0</v>
      </c>
    </row>
    <row r="1306" spans="1:34" x14ac:dyDescent="0.3">
      <c r="A1306" t="s">
        <v>6456</v>
      </c>
      <c r="B1306" t="s">
        <v>6457</v>
      </c>
      <c r="C1306" t="s">
        <v>6431</v>
      </c>
      <c r="D1306">
        <v>318.12891139999999</v>
      </c>
      <c r="E1306">
        <v>900</v>
      </c>
      <c r="F1306">
        <v>1E-4</v>
      </c>
      <c r="G1306">
        <v>1</v>
      </c>
      <c r="I1306">
        <f>VLOOKUP(Table9[[#This Row],[Shortname]], Comp[], 6, FALSE)</f>
        <v>1077</v>
      </c>
      <c r="J1306" s="14">
        <f>VLOOKUP(Table9[[#This Row],[Shortname]], Comp[], 7, FALSE)</f>
        <v>48.05</v>
      </c>
      <c r="K1306">
        <f>VLOOKUP(Table9[[#This Row],[Shortname]], Comp[], 8, FALSE)</f>
        <v>11.81</v>
      </c>
      <c r="L1306">
        <f>VLOOKUP(Table9[[#This Row],[Shortname]], Comp[], 9, FALSE)</f>
        <v>5.49</v>
      </c>
      <c r="M1306">
        <f>VLOOKUP(Table9[[#This Row],[Shortname]], Comp[], 10, FALSE)</f>
        <v>8.3000000000000007</v>
      </c>
      <c r="N1306">
        <f>VLOOKUP(Table9[[#This Row],[Shortname]], Comp[], 11, FALSE)</f>
        <v>0</v>
      </c>
      <c r="O1306">
        <f>VLOOKUP(Table9[[#This Row],[Shortname]], Comp[],12, FALSE)</f>
        <v>2.04</v>
      </c>
      <c r="P1306">
        <f>VLOOKUP(Table9[[#This Row],[Shortname]], Comp[], 13, FALSE)</f>
        <v>1.44</v>
      </c>
      <c r="Q1306">
        <f>VLOOKUP(Table9[[#This Row],[Shortname]], Comp[], 14, FALSE)</f>
        <v>1.41</v>
      </c>
      <c r="R1306">
        <f>VLOOKUP(Table9[[#This Row],[Shortname]], Comp[], 15, FALSE)</f>
        <v>3.1</v>
      </c>
      <c r="S1306">
        <f>VLOOKUP(Table9[[#This Row],[Shortname]], Comp[], 16, FALSE)</f>
        <v>0</v>
      </c>
      <c r="T1306">
        <f>VLOOKUP(Table9[[#This Row],[Shortname]], Comp[], 17, FALSE)</f>
        <v>0</v>
      </c>
      <c r="U1306">
        <f>VLOOKUP(Table9[[#This Row],[Shortname]], Comp[], 18, FALSE)</f>
        <v>0</v>
      </c>
      <c r="V1306">
        <f>VLOOKUP(Table9[[#This Row],[Shortname]], Comp[], 19, FALSE)</f>
        <v>0.08</v>
      </c>
      <c r="W1306">
        <f>VLOOKUP(Table9[[#This Row],[Shortname]], Comp[], 20, FALSE)</f>
        <v>0</v>
      </c>
      <c r="X1306">
        <f>VLOOKUP(Table9[[#This Row],[Shortname]], Comp[], 21, FALSE)</f>
        <v>0</v>
      </c>
      <c r="Y1306">
        <f>VLOOKUP(Table9[[#This Row],[Shortname]], Comp[], 22, FALSE)</f>
        <v>0</v>
      </c>
      <c r="Z1306">
        <f>VLOOKUP(Table9[[#This Row],[Shortname]], Comp[], 23, FALSE)</f>
        <v>18.28</v>
      </c>
      <c r="AA1306">
        <f>VLOOKUP(Table9[[#This Row],[Shortname]], Comp[], 24, FALSE)</f>
        <v>0</v>
      </c>
      <c r="AB1306">
        <f>VLOOKUP(Table9[[#This Row],[Shortname]], Comp[], 25, FALSE)</f>
        <v>0</v>
      </c>
      <c r="AC1306">
        <f>VLOOKUP(Table9[[#This Row],[Shortname]], Comp[], 26, FALSE)</f>
        <v>0</v>
      </c>
      <c r="AD1306">
        <f>VLOOKUP(Table9[[#This Row],[Shortname]], Comp[], 27, FALSE)</f>
        <v>0</v>
      </c>
      <c r="AE1306">
        <f>VLOOKUP(Table9[[#This Row],[Shortname]], Comp[], 28, FALSE)</f>
        <v>0</v>
      </c>
      <c r="AF1306">
        <f>VLOOKUP(Table9[[#This Row],[Shortname]], Comp[], 29, FALSE)</f>
        <v>0</v>
      </c>
      <c r="AG1306">
        <f>VLOOKUP(Table9[[#This Row],[Shortname]], Comp[], 30, FALSE)</f>
        <v>0</v>
      </c>
      <c r="AH1306">
        <f>VLOOKUP(Table9[[#This Row],[Shortname]], Comp[], 31, FALSE)</f>
        <v>0</v>
      </c>
    </row>
    <row r="1307" spans="1:34" x14ac:dyDescent="0.3">
      <c r="A1307" t="s">
        <v>6456</v>
      </c>
      <c r="B1307" t="s">
        <v>6457</v>
      </c>
      <c r="C1307" t="s">
        <v>6431</v>
      </c>
      <c r="D1307">
        <v>186.926164</v>
      </c>
      <c r="E1307">
        <v>950</v>
      </c>
      <c r="F1307">
        <v>1E-4</v>
      </c>
      <c r="G1307">
        <v>1</v>
      </c>
      <c r="I1307">
        <f>VLOOKUP(Table9[[#This Row],[Shortname]], Comp[], 6, FALSE)</f>
        <v>1077</v>
      </c>
      <c r="J1307" s="14">
        <f>VLOOKUP(Table9[[#This Row],[Shortname]], Comp[], 7, FALSE)</f>
        <v>48.05</v>
      </c>
      <c r="K1307">
        <f>VLOOKUP(Table9[[#This Row],[Shortname]], Comp[], 8, FALSE)</f>
        <v>11.81</v>
      </c>
      <c r="L1307">
        <f>VLOOKUP(Table9[[#This Row],[Shortname]], Comp[], 9, FALSE)</f>
        <v>5.49</v>
      </c>
      <c r="M1307">
        <f>VLOOKUP(Table9[[#This Row],[Shortname]], Comp[], 10, FALSE)</f>
        <v>8.3000000000000007</v>
      </c>
      <c r="N1307">
        <f>VLOOKUP(Table9[[#This Row],[Shortname]], Comp[], 11, FALSE)</f>
        <v>0</v>
      </c>
      <c r="O1307">
        <f>VLOOKUP(Table9[[#This Row],[Shortname]], Comp[],12, FALSE)</f>
        <v>2.04</v>
      </c>
      <c r="P1307">
        <f>VLOOKUP(Table9[[#This Row],[Shortname]], Comp[], 13, FALSE)</f>
        <v>1.44</v>
      </c>
      <c r="Q1307">
        <f>VLOOKUP(Table9[[#This Row],[Shortname]], Comp[], 14, FALSE)</f>
        <v>1.41</v>
      </c>
      <c r="R1307">
        <f>VLOOKUP(Table9[[#This Row],[Shortname]], Comp[], 15, FALSE)</f>
        <v>3.1</v>
      </c>
      <c r="S1307">
        <f>VLOOKUP(Table9[[#This Row],[Shortname]], Comp[], 16, FALSE)</f>
        <v>0</v>
      </c>
      <c r="T1307">
        <f>VLOOKUP(Table9[[#This Row],[Shortname]], Comp[], 17, FALSE)</f>
        <v>0</v>
      </c>
      <c r="U1307">
        <f>VLOOKUP(Table9[[#This Row],[Shortname]], Comp[], 18, FALSE)</f>
        <v>0</v>
      </c>
      <c r="V1307">
        <f>VLOOKUP(Table9[[#This Row],[Shortname]], Comp[], 19, FALSE)</f>
        <v>0.08</v>
      </c>
      <c r="W1307">
        <f>VLOOKUP(Table9[[#This Row],[Shortname]], Comp[], 20, FALSE)</f>
        <v>0</v>
      </c>
      <c r="X1307">
        <f>VLOOKUP(Table9[[#This Row],[Shortname]], Comp[], 21, FALSE)</f>
        <v>0</v>
      </c>
      <c r="Y1307">
        <f>VLOOKUP(Table9[[#This Row],[Shortname]], Comp[], 22, FALSE)</f>
        <v>0</v>
      </c>
      <c r="Z1307">
        <f>VLOOKUP(Table9[[#This Row],[Shortname]], Comp[], 23, FALSE)</f>
        <v>18.28</v>
      </c>
      <c r="AA1307">
        <f>VLOOKUP(Table9[[#This Row],[Shortname]], Comp[], 24, FALSE)</f>
        <v>0</v>
      </c>
      <c r="AB1307">
        <f>VLOOKUP(Table9[[#This Row],[Shortname]], Comp[], 25, FALSE)</f>
        <v>0</v>
      </c>
      <c r="AC1307">
        <f>VLOOKUP(Table9[[#This Row],[Shortname]], Comp[], 26, FALSE)</f>
        <v>0</v>
      </c>
      <c r="AD1307">
        <f>VLOOKUP(Table9[[#This Row],[Shortname]], Comp[], 27, FALSE)</f>
        <v>0</v>
      </c>
      <c r="AE1307">
        <f>VLOOKUP(Table9[[#This Row],[Shortname]], Comp[], 28, FALSE)</f>
        <v>0</v>
      </c>
      <c r="AF1307">
        <f>VLOOKUP(Table9[[#This Row],[Shortname]], Comp[], 29, FALSE)</f>
        <v>0</v>
      </c>
      <c r="AG1307">
        <f>VLOOKUP(Table9[[#This Row],[Shortname]], Comp[], 30, FALSE)</f>
        <v>0</v>
      </c>
      <c r="AH1307">
        <f>VLOOKUP(Table9[[#This Row],[Shortname]], Comp[], 31, FALSE)</f>
        <v>0</v>
      </c>
    </row>
    <row r="1308" spans="1:34" x14ac:dyDescent="0.3">
      <c r="A1308" t="s">
        <v>6429</v>
      </c>
      <c r="B1308" t="s">
        <v>6430</v>
      </c>
      <c r="C1308" t="s">
        <v>6431</v>
      </c>
      <c r="D1308">
        <v>577.90819999999997</v>
      </c>
      <c r="E1308">
        <v>25</v>
      </c>
      <c r="F1308">
        <v>1E-4</v>
      </c>
      <c r="G1308">
        <v>1</v>
      </c>
      <c r="I1308">
        <f>VLOOKUP(Table9[[#This Row],[Shortname]], Comp[], 6, FALSE)</f>
        <v>1072</v>
      </c>
      <c r="J1308" s="14">
        <f>VLOOKUP(Table9[[#This Row],[Shortname]], Comp[], 7, FALSE)</f>
        <v>52.410000000000004</v>
      </c>
      <c r="K1308">
        <f>VLOOKUP(Table9[[#This Row],[Shortname]], Comp[], 8, FALSE)</f>
        <v>17.489999999999998</v>
      </c>
      <c r="L1308">
        <f>VLOOKUP(Table9[[#This Row],[Shortname]], Comp[], 9, FALSE)</f>
        <v>5.42</v>
      </c>
      <c r="M1308">
        <f>VLOOKUP(Table9[[#This Row],[Shortname]], Comp[], 10, FALSE)</f>
        <v>4.17</v>
      </c>
      <c r="N1308">
        <f>VLOOKUP(Table9[[#This Row],[Shortname]], Comp[], 11, FALSE)</f>
        <v>0</v>
      </c>
      <c r="O1308">
        <f>VLOOKUP(Table9[[#This Row],[Shortname]], Comp[],12, FALSE)</f>
        <v>2.0299999999999998</v>
      </c>
      <c r="P1308">
        <f>VLOOKUP(Table9[[#This Row],[Shortname]], Comp[], 13, FALSE)</f>
        <v>1.52</v>
      </c>
      <c r="Q1308">
        <f>VLOOKUP(Table9[[#This Row],[Shortname]], Comp[], 14, FALSE)</f>
        <v>1.44</v>
      </c>
      <c r="R1308">
        <f>VLOOKUP(Table9[[#This Row],[Shortname]], Comp[], 15, FALSE)</f>
        <v>3.08</v>
      </c>
      <c r="S1308">
        <f>VLOOKUP(Table9[[#This Row],[Shortname]], Comp[], 16, FALSE)</f>
        <v>0</v>
      </c>
      <c r="T1308">
        <f>VLOOKUP(Table9[[#This Row],[Shortname]], Comp[], 17, FALSE)</f>
        <v>0</v>
      </c>
      <c r="U1308">
        <f>VLOOKUP(Table9[[#This Row],[Shortname]], Comp[], 18, FALSE)</f>
        <v>0</v>
      </c>
      <c r="V1308">
        <f>VLOOKUP(Table9[[#This Row],[Shortname]], Comp[], 19, FALSE)</f>
        <v>0.08</v>
      </c>
      <c r="W1308">
        <f>VLOOKUP(Table9[[#This Row],[Shortname]], Comp[], 20, FALSE)</f>
        <v>0</v>
      </c>
      <c r="X1308">
        <f>VLOOKUP(Table9[[#This Row],[Shortname]], Comp[], 21, FALSE)</f>
        <v>0</v>
      </c>
      <c r="Y1308">
        <f>VLOOKUP(Table9[[#This Row],[Shortname]], Comp[], 22, FALSE)</f>
        <v>0</v>
      </c>
      <c r="Z1308">
        <f>VLOOKUP(Table9[[#This Row],[Shortname]], Comp[], 23, FALSE)</f>
        <v>12.36</v>
      </c>
      <c r="AA1308">
        <f>VLOOKUP(Table9[[#This Row],[Shortname]], Comp[], 24, FALSE)</f>
        <v>0</v>
      </c>
      <c r="AB1308">
        <f>VLOOKUP(Table9[[#This Row],[Shortname]], Comp[], 25, FALSE)</f>
        <v>0</v>
      </c>
      <c r="AC1308">
        <f>VLOOKUP(Table9[[#This Row],[Shortname]], Comp[], 26, FALSE)</f>
        <v>0</v>
      </c>
      <c r="AD1308">
        <f>VLOOKUP(Table9[[#This Row],[Shortname]], Comp[], 27, FALSE)</f>
        <v>0</v>
      </c>
      <c r="AE1308">
        <f>VLOOKUP(Table9[[#This Row],[Shortname]], Comp[], 28, FALSE)</f>
        <v>0</v>
      </c>
      <c r="AF1308">
        <f>VLOOKUP(Table9[[#This Row],[Shortname]], Comp[], 29, FALSE)</f>
        <v>0</v>
      </c>
      <c r="AG1308">
        <f>VLOOKUP(Table9[[#This Row],[Shortname]], Comp[], 30, FALSE)</f>
        <v>0</v>
      </c>
      <c r="AH1308">
        <f>VLOOKUP(Table9[[#This Row],[Shortname]], Comp[], 31, FALSE)</f>
        <v>0</v>
      </c>
    </row>
    <row r="1309" spans="1:34" x14ac:dyDescent="0.3">
      <c r="A1309" t="s">
        <v>6429</v>
      </c>
      <c r="B1309" t="s">
        <v>6430</v>
      </c>
      <c r="C1309" t="s">
        <v>6431</v>
      </c>
      <c r="D1309">
        <v>467.62700000000001</v>
      </c>
      <c r="E1309">
        <v>575</v>
      </c>
      <c r="F1309">
        <v>1E-4</v>
      </c>
      <c r="G1309">
        <v>1</v>
      </c>
      <c r="I1309">
        <f>VLOOKUP(Table9[[#This Row],[Shortname]], Comp[], 6, FALSE)</f>
        <v>1072</v>
      </c>
      <c r="J1309" s="14">
        <f>VLOOKUP(Table9[[#This Row],[Shortname]], Comp[], 7, FALSE)</f>
        <v>52.410000000000004</v>
      </c>
      <c r="K1309">
        <f>VLOOKUP(Table9[[#This Row],[Shortname]], Comp[], 8, FALSE)</f>
        <v>17.489999999999998</v>
      </c>
      <c r="L1309">
        <f>VLOOKUP(Table9[[#This Row],[Shortname]], Comp[], 9, FALSE)</f>
        <v>5.42</v>
      </c>
      <c r="M1309">
        <f>VLOOKUP(Table9[[#This Row],[Shortname]], Comp[], 10, FALSE)</f>
        <v>4.17</v>
      </c>
      <c r="N1309">
        <f>VLOOKUP(Table9[[#This Row],[Shortname]], Comp[], 11, FALSE)</f>
        <v>0</v>
      </c>
      <c r="O1309">
        <f>VLOOKUP(Table9[[#This Row],[Shortname]], Comp[],12, FALSE)</f>
        <v>2.0299999999999998</v>
      </c>
      <c r="P1309">
        <f>VLOOKUP(Table9[[#This Row],[Shortname]], Comp[], 13, FALSE)</f>
        <v>1.52</v>
      </c>
      <c r="Q1309">
        <f>VLOOKUP(Table9[[#This Row],[Shortname]], Comp[], 14, FALSE)</f>
        <v>1.44</v>
      </c>
      <c r="R1309">
        <f>VLOOKUP(Table9[[#This Row],[Shortname]], Comp[], 15, FALSE)</f>
        <v>3.08</v>
      </c>
      <c r="S1309">
        <f>VLOOKUP(Table9[[#This Row],[Shortname]], Comp[], 16, FALSE)</f>
        <v>0</v>
      </c>
      <c r="T1309">
        <f>VLOOKUP(Table9[[#This Row],[Shortname]], Comp[], 17, FALSE)</f>
        <v>0</v>
      </c>
      <c r="U1309">
        <f>VLOOKUP(Table9[[#This Row],[Shortname]], Comp[], 18, FALSE)</f>
        <v>0</v>
      </c>
      <c r="V1309">
        <f>VLOOKUP(Table9[[#This Row],[Shortname]], Comp[], 19, FALSE)</f>
        <v>0.08</v>
      </c>
      <c r="W1309">
        <f>VLOOKUP(Table9[[#This Row],[Shortname]], Comp[], 20, FALSE)</f>
        <v>0</v>
      </c>
      <c r="X1309">
        <f>VLOOKUP(Table9[[#This Row],[Shortname]], Comp[], 21, FALSE)</f>
        <v>0</v>
      </c>
      <c r="Y1309">
        <f>VLOOKUP(Table9[[#This Row],[Shortname]], Comp[], 22, FALSE)</f>
        <v>0</v>
      </c>
      <c r="Z1309">
        <f>VLOOKUP(Table9[[#This Row],[Shortname]], Comp[], 23, FALSE)</f>
        <v>12.36</v>
      </c>
      <c r="AA1309">
        <f>VLOOKUP(Table9[[#This Row],[Shortname]], Comp[], 24, FALSE)</f>
        <v>0</v>
      </c>
      <c r="AB1309">
        <f>VLOOKUP(Table9[[#This Row],[Shortname]], Comp[], 25, FALSE)</f>
        <v>0</v>
      </c>
      <c r="AC1309">
        <f>VLOOKUP(Table9[[#This Row],[Shortname]], Comp[], 26, FALSE)</f>
        <v>0</v>
      </c>
      <c r="AD1309">
        <f>VLOOKUP(Table9[[#This Row],[Shortname]], Comp[], 27, FALSE)</f>
        <v>0</v>
      </c>
      <c r="AE1309">
        <f>VLOOKUP(Table9[[#This Row],[Shortname]], Comp[], 28, FALSE)</f>
        <v>0</v>
      </c>
      <c r="AF1309">
        <f>VLOOKUP(Table9[[#This Row],[Shortname]], Comp[], 29, FALSE)</f>
        <v>0</v>
      </c>
      <c r="AG1309">
        <f>VLOOKUP(Table9[[#This Row],[Shortname]], Comp[], 30, FALSE)</f>
        <v>0</v>
      </c>
      <c r="AH1309">
        <f>VLOOKUP(Table9[[#This Row],[Shortname]], Comp[], 31, FALSE)</f>
        <v>0</v>
      </c>
    </row>
    <row r="1310" spans="1:34" x14ac:dyDescent="0.3">
      <c r="A1310" t="s">
        <v>6429</v>
      </c>
      <c r="B1310" t="s">
        <v>6430</v>
      </c>
      <c r="C1310" t="s">
        <v>6431</v>
      </c>
      <c r="D1310">
        <v>474.68029999999999</v>
      </c>
      <c r="E1310">
        <v>650</v>
      </c>
      <c r="F1310">
        <v>1E-4</v>
      </c>
      <c r="G1310">
        <v>1</v>
      </c>
      <c r="I1310">
        <f>VLOOKUP(Table9[[#This Row],[Shortname]], Comp[], 6, FALSE)</f>
        <v>1072</v>
      </c>
      <c r="J1310" s="14">
        <f>VLOOKUP(Table9[[#This Row],[Shortname]], Comp[], 7, FALSE)</f>
        <v>52.410000000000004</v>
      </c>
      <c r="K1310">
        <f>VLOOKUP(Table9[[#This Row],[Shortname]], Comp[], 8, FALSE)</f>
        <v>17.489999999999998</v>
      </c>
      <c r="L1310">
        <f>VLOOKUP(Table9[[#This Row],[Shortname]], Comp[], 9, FALSE)</f>
        <v>5.42</v>
      </c>
      <c r="M1310">
        <f>VLOOKUP(Table9[[#This Row],[Shortname]], Comp[], 10, FALSE)</f>
        <v>4.17</v>
      </c>
      <c r="N1310">
        <f>VLOOKUP(Table9[[#This Row],[Shortname]], Comp[], 11, FALSE)</f>
        <v>0</v>
      </c>
      <c r="O1310">
        <f>VLOOKUP(Table9[[#This Row],[Shortname]], Comp[],12, FALSE)</f>
        <v>2.0299999999999998</v>
      </c>
      <c r="P1310">
        <f>VLOOKUP(Table9[[#This Row],[Shortname]], Comp[], 13, FALSE)</f>
        <v>1.52</v>
      </c>
      <c r="Q1310">
        <f>VLOOKUP(Table9[[#This Row],[Shortname]], Comp[], 14, FALSE)</f>
        <v>1.44</v>
      </c>
      <c r="R1310">
        <f>VLOOKUP(Table9[[#This Row],[Shortname]], Comp[], 15, FALSE)</f>
        <v>3.08</v>
      </c>
      <c r="S1310">
        <f>VLOOKUP(Table9[[#This Row],[Shortname]], Comp[], 16, FALSE)</f>
        <v>0</v>
      </c>
      <c r="T1310">
        <f>VLOOKUP(Table9[[#This Row],[Shortname]], Comp[], 17, FALSE)</f>
        <v>0</v>
      </c>
      <c r="U1310">
        <f>VLOOKUP(Table9[[#This Row],[Shortname]], Comp[], 18, FALSE)</f>
        <v>0</v>
      </c>
      <c r="V1310">
        <f>VLOOKUP(Table9[[#This Row],[Shortname]], Comp[], 19, FALSE)</f>
        <v>0.08</v>
      </c>
      <c r="W1310">
        <f>VLOOKUP(Table9[[#This Row],[Shortname]], Comp[], 20, FALSE)</f>
        <v>0</v>
      </c>
      <c r="X1310">
        <f>VLOOKUP(Table9[[#This Row],[Shortname]], Comp[], 21, FALSE)</f>
        <v>0</v>
      </c>
      <c r="Y1310">
        <f>VLOOKUP(Table9[[#This Row],[Shortname]], Comp[], 22, FALSE)</f>
        <v>0</v>
      </c>
      <c r="Z1310">
        <f>VLOOKUP(Table9[[#This Row],[Shortname]], Comp[], 23, FALSE)</f>
        <v>12.36</v>
      </c>
      <c r="AA1310">
        <f>VLOOKUP(Table9[[#This Row],[Shortname]], Comp[], 24, FALSE)</f>
        <v>0</v>
      </c>
      <c r="AB1310">
        <f>VLOOKUP(Table9[[#This Row],[Shortname]], Comp[], 25, FALSE)</f>
        <v>0</v>
      </c>
      <c r="AC1310">
        <f>VLOOKUP(Table9[[#This Row],[Shortname]], Comp[], 26, FALSE)</f>
        <v>0</v>
      </c>
      <c r="AD1310">
        <f>VLOOKUP(Table9[[#This Row],[Shortname]], Comp[], 27, FALSE)</f>
        <v>0</v>
      </c>
      <c r="AE1310">
        <f>VLOOKUP(Table9[[#This Row],[Shortname]], Comp[], 28, FALSE)</f>
        <v>0</v>
      </c>
      <c r="AF1310">
        <f>VLOOKUP(Table9[[#This Row],[Shortname]], Comp[], 29, FALSE)</f>
        <v>0</v>
      </c>
      <c r="AG1310">
        <f>VLOOKUP(Table9[[#This Row],[Shortname]], Comp[], 30, FALSE)</f>
        <v>0</v>
      </c>
      <c r="AH1310">
        <f>VLOOKUP(Table9[[#This Row],[Shortname]], Comp[], 31, FALSE)</f>
        <v>0</v>
      </c>
    </row>
    <row r="1311" spans="1:34" x14ac:dyDescent="0.3">
      <c r="A1311" t="s">
        <v>6429</v>
      </c>
      <c r="B1311" t="s">
        <v>6430</v>
      </c>
      <c r="C1311" t="s">
        <v>6431</v>
      </c>
      <c r="D1311">
        <v>530.83969999999999</v>
      </c>
      <c r="E1311">
        <v>725</v>
      </c>
      <c r="F1311">
        <v>1E-4</v>
      </c>
      <c r="G1311">
        <v>1</v>
      </c>
      <c r="I1311">
        <f>VLOOKUP(Table9[[#This Row],[Shortname]], Comp[], 6, FALSE)</f>
        <v>1072</v>
      </c>
      <c r="J1311" s="14">
        <f>VLOOKUP(Table9[[#This Row],[Shortname]], Comp[], 7, FALSE)</f>
        <v>52.410000000000004</v>
      </c>
      <c r="K1311">
        <f>VLOOKUP(Table9[[#This Row],[Shortname]], Comp[], 8, FALSE)</f>
        <v>17.489999999999998</v>
      </c>
      <c r="L1311">
        <f>VLOOKUP(Table9[[#This Row],[Shortname]], Comp[], 9, FALSE)</f>
        <v>5.42</v>
      </c>
      <c r="M1311">
        <f>VLOOKUP(Table9[[#This Row],[Shortname]], Comp[], 10, FALSE)</f>
        <v>4.17</v>
      </c>
      <c r="N1311">
        <f>VLOOKUP(Table9[[#This Row],[Shortname]], Comp[], 11, FALSE)</f>
        <v>0</v>
      </c>
      <c r="O1311">
        <f>VLOOKUP(Table9[[#This Row],[Shortname]], Comp[],12, FALSE)</f>
        <v>2.0299999999999998</v>
      </c>
      <c r="P1311">
        <f>VLOOKUP(Table9[[#This Row],[Shortname]], Comp[], 13, FALSE)</f>
        <v>1.52</v>
      </c>
      <c r="Q1311">
        <f>VLOOKUP(Table9[[#This Row],[Shortname]], Comp[], 14, FALSE)</f>
        <v>1.44</v>
      </c>
      <c r="R1311">
        <f>VLOOKUP(Table9[[#This Row],[Shortname]], Comp[], 15, FALSE)</f>
        <v>3.08</v>
      </c>
      <c r="S1311">
        <f>VLOOKUP(Table9[[#This Row],[Shortname]], Comp[], 16, FALSE)</f>
        <v>0</v>
      </c>
      <c r="T1311">
        <f>VLOOKUP(Table9[[#This Row],[Shortname]], Comp[], 17, FALSE)</f>
        <v>0</v>
      </c>
      <c r="U1311">
        <f>VLOOKUP(Table9[[#This Row],[Shortname]], Comp[], 18, FALSE)</f>
        <v>0</v>
      </c>
      <c r="V1311">
        <f>VLOOKUP(Table9[[#This Row],[Shortname]], Comp[], 19, FALSE)</f>
        <v>0.08</v>
      </c>
      <c r="W1311">
        <f>VLOOKUP(Table9[[#This Row],[Shortname]], Comp[], 20, FALSE)</f>
        <v>0</v>
      </c>
      <c r="X1311">
        <f>VLOOKUP(Table9[[#This Row],[Shortname]], Comp[], 21, FALSE)</f>
        <v>0</v>
      </c>
      <c r="Y1311">
        <f>VLOOKUP(Table9[[#This Row],[Shortname]], Comp[], 22, FALSE)</f>
        <v>0</v>
      </c>
      <c r="Z1311">
        <f>VLOOKUP(Table9[[#This Row],[Shortname]], Comp[], 23, FALSE)</f>
        <v>12.36</v>
      </c>
      <c r="AA1311">
        <f>VLOOKUP(Table9[[#This Row],[Shortname]], Comp[], 24, FALSE)</f>
        <v>0</v>
      </c>
      <c r="AB1311">
        <f>VLOOKUP(Table9[[#This Row],[Shortname]], Comp[], 25, FALSE)</f>
        <v>0</v>
      </c>
      <c r="AC1311">
        <f>VLOOKUP(Table9[[#This Row],[Shortname]], Comp[], 26, FALSE)</f>
        <v>0</v>
      </c>
      <c r="AD1311">
        <f>VLOOKUP(Table9[[#This Row],[Shortname]], Comp[], 27, FALSE)</f>
        <v>0</v>
      </c>
      <c r="AE1311">
        <f>VLOOKUP(Table9[[#This Row],[Shortname]], Comp[], 28, FALSE)</f>
        <v>0</v>
      </c>
      <c r="AF1311">
        <f>VLOOKUP(Table9[[#This Row],[Shortname]], Comp[], 29, FALSE)</f>
        <v>0</v>
      </c>
      <c r="AG1311">
        <f>VLOOKUP(Table9[[#This Row],[Shortname]], Comp[], 30, FALSE)</f>
        <v>0</v>
      </c>
      <c r="AH1311">
        <f>VLOOKUP(Table9[[#This Row],[Shortname]], Comp[], 31, FALSE)</f>
        <v>0</v>
      </c>
    </row>
    <row r="1312" spans="1:34" x14ac:dyDescent="0.3">
      <c r="A1312" t="s">
        <v>6429</v>
      </c>
      <c r="B1312" t="s">
        <v>6430</v>
      </c>
      <c r="C1312" t="s">
        <v>6431</v>
      </c>
      <c r="D1312">
        <v>572.75549999999998</v>
      </c>
      <c r="E1312">
        <v>775</v>
      </c>
      <c r="F1312">
        <v>1E-4</v>
      </c>
      <c r="G1312">
        <v>1</v>
      </c>
      <c r="I1312">
        <f>VLOOKUP(Table9[[#This Row],[Shortname]], Comp[], 6, FALSE)</f>
        <v>1072</v>
      </c>
      <c r="J1312" s="14">
        <f>VLOOKUP(Table9[[#This Row],[Shortname]], Comp[], 7, FALSE)</f>
        <v>52.410000000000004</v>
      </c>
      <c r="K1312">
        <f>VLOOKUP(Table9[[#This Row],[Shortname]], Comp[], 8, FALSE)</f>
        <v>17.489999999999998</v>
      </c>
      <c r="L1312">
        <f>VLOOKUP(Table9[[#This Row],[Shortname]], Comp[], 9, FALSE)</f>
        <v>5.42</v>
      </c>
      <c r="M1312">
        <f>VLOOKUP(Table9[[#This Row],[Shortname]], Comp[], 10, FALSE)</f>
        <v>4.17</v>
      </c>
      <c r="N1312">
        <f>VLOOKUP(Table9[[#This Row],[Shortname]], Comp[], 11, FALSE)</f>
        <v>0</v>
      </c>
      <c r="O1312">
        <f>VLOOKUP(Table9[[#This Row],[Shortname]], Comp[],12, FALSE)</f>
        <v>2.0299999999999998</v>
      </c>
      <c r="P1312">
        <f>VLOOKUP(Table9[[#This Row],[Shortname]], Comp[], 13, FALSE)</f>
        <v>1.52</v>
      </c>
      <c r="Q1312">
        <f>VLOOKUP(Table9[[#This Row],[Shortname]], Comp[], 14, FALSE)</f>
        <v>1.44</v>
      </c>
      <c r="R1312">
        <f>VLOOKUP(Table9[[#This Row],[Shortname]], Comp[], 15, FALSE)</f>
        <v>3.08</v>
      </c>
      <c r="S1312">
        <f>VLOOKUP(Table9[[#This Row],[Shortname]], Comp[], 16, FALSE)</f>
        <v>0</v>
      </c>
      <c r="T1312">
        <f>VLOOKUP(Table9[[#This Row],[Shortname]], Comp[], 17, FALSE)</f>
        <v>0</v>
      </c>
      <c r="U1312">
        <f>VLOOKUP(Table9[[#This Row],[Shortname]], Comp[], 18, FALSE)</f>
        <v>0</v>
      </c>
      <c r="V1312">
        <f>VLOOKUP(Table9[[#This Row],[Shortname]], Comp[], 19, FALSE)</f>
        <v>0.08</v>
      </c>
      <c r="W1312">
        <f>VLOOKUP(Table9[[#This Row],[Shortname]], Comp[], 20, FALSE)</f>
        <v>0</v>
      </c>
      <c r="X1312">
        <f>VLOOKUP(Table9[[#This Row],[Shortname]], Comp[], 21, FALSE)</f>
        <v>0</v>
      </c>
      <c r="Y1312">
        <f>VLOOKUP(Table9[[#This Row],[Shortname]], Comp[], 22, FALSE)</f>
        <v>0</v>
      </c>
      <c r="Z1312">
        <f>VLOOKUP(Table9[[#This Row],[Shortname]], Comp[], 23, FALSE)</f>
        <v>12.36</v>
      </c>
      <c r="AA1312">
        <f>VLOOKUP(Table9[[#This Row],[Shortname]], Comp[], 24, FALSE)</f>
        <v>0</v>
      </c>
      <c r="AB1312">
        <f>VLOOKUP(Table9[[#This Row],[Shortname]], Comp[], 25, FALSE)</f>
        <v>0</v>
      </c>
      <c r="AC1312">
        <f>VLOOKUP(Table9[[#This Row],[Shortname]], Comp[], 26, FALSE)</f>
        <v>0</v>
      </c>
      <c r="AD1312">
        <f>VLOOKUP(Table9[[#This Row],[Shortname]], Comp[], 27, FALSE)</f>
        <v>0</v>
      </c>
      <c r="AE1312">
        <f>VLOOKUP(Table9[[#This Row],[Shortname]], Comp[], 28, FALSE)</f>
        <v>0</v>
      </c>
      <c r="AF1312">
        <f>VLOOKUP(Table9[[#This Row],[Shortname]], Comp[], 29, FALSE)</f>
        <v>0</v>
      </c>
      <c r="AG1312">
        <f>VLOOKUP(Table9[[#This Row],[Shortname]], Comp[], 30, FALSE)</f>
        <v>0</v>
      </c>
      <c r="AH1312">
        <f>VLOOKUP(Table9[[#This Row],[Shortname]], Comp[], 31, FALSE)</f>
        <v>0</v>
      </c>
    </row>
    <row r="1313" spans="1:34" x14ac:dyDescent="0.3">
      <c r="A1313" t="s">
        <v>6429</v>
      </c>
      <c r="B1313" t="s">
        <v>6430</v>
      </c>
      <c r="C1313" t="s">
        <v>6431</v>
      </c>
      <c r="D1313">
        <v>587.95659999999998</v>
      </c>
      <c r="E1313">
        <v>825</v>
      </c>
      <c r="F1313">
        <v>1E-4</v>
      </c>
      <c r="G1313">
        <v>1</v>
      </c>
      <c r="I1313">
        <f>VLOOKUP(Table9[[#This Row],[Shortname]], Comp[], 6, FALSE)</f>
        <v>1072</v>
      </c>
      <c r="J1313" s="14">
        <f>VLOOKUP(Table9[[#This Row],[Shortname]], Comp[], 7, FALSE)</f>
        <v>52.410000000000004</v>
      </c>
      <c r="K1313">
        <f>VLOOKUP(Table9[[#This Row],[Shortname]], Comp[], 8, FALSE)</f>
        <v>17.489999999999998</v>
      </c>
      <c r="L1313">
        <f>VLOOKUP(Table9[[#This Row],[Shortname]], Comp[], 9, FALSE)</f>
        <v>5.42</v>
      </c>
      <c r="M1313">
        <f>VLOOKUP(Table9[[#This Row],[Shortname]], Comp[], 10, FALSE)</f>
        <v>4.17</v>
      </c>
      <c r="N1313">
        <f>VLOOKUP(Table9[[#This Row],[Shortname]], Comp[], 11, FALSE)</f>
        <v>0</v>
      </c>
      <c r="O1313">
        <f>VLOOKUP(Table9[[#This Row],[Shortname]], Comp[],12, FALSE)</f>
        <v>2.0299999999999998</v>
      </c>
      <c r="P1313">
        <f>VLOOKUP(Table9[[#This Row],[Shortname]], Comp[], 13, FALSE)</f>
        <v>1.52</v>
      </c>
      <c r="Q1313">
        <f>VLOOKUP(Table9[[#This Row],[Shortname]], Comp[], 14, FALSE)</f>
        <v>1.44</v>
      </c>
      <c r="R1313">
        <f>VLOOKUP(Table9[[#This Row],[Shortname]], Comp[], 15, FALSE)</f>
        <v>3.08</v>
      </c>
      <c r="S1313">
        <f>VLOOKUP(Table9[[#This Row],[Shortname]], Comp[], 16, FALSE)</f>
        <v>0</v>
      </c>
      <c r="T1313">
        <f>VLOOKUP(Table9[[#This Row],[Shortname]], Comp[], 17, FALSE)</f>
        <v>0</v>
      </c>
      <c r="U1313">
        <f>VLOOKUP(Table9[[#This Row],[Shortname]], Comp[], 18, FALSE)</f>
        <v>0</v>
      </c>
      <c r="V1313">
        <f>VLOOKUP(Table9[[#This Row],[Shortname]], Comp[], 19, FALSE)</f>
        <v>0.08</v>
      </c>
      <c r="W1313">
        <f>VLOOKUP(Table9[[#This Row],[Shortname]], Comp[], 20, FALSE)</f>
        <v>0</v>
      </c>
      <c r="X1313">
        <f>VLOOKUP(Table9[[#This Row],[Shortname]], Comp[], 21, FALSE)</f>
        <v>0</v>
      </c>
      <c r="Y1313">
        <f>VLOOKUP(Table9[[#This Row],[Shortname]], Comp[], 22, FALSE)</f>
        <v>0</v>
      </c>
      <c r="Z1313">
        <f>VLOOKUP(Table9[[#This Row],[Shortname]], Comp[], 23, FALSE)</f>
        <v>12.36</v>
      </c>
      <c r="AA1313">
        <f>VLOOKUP(Table9[[#This Row],[Shortname]], Comp[], 24, FALSE)</f>
        <v>0</v>
      </c>
      <c r="AB1313">
        <f>VLOOKUP(Table9[[#This Row],[Shortname]], Comp[], 25, FALSE)</f>
        <v>0</v>
      </c>
      <c r="AC1313">
        <f>VLOOKUP(Table9[[#This Row],[Shortname]], Comp[], 26, FALSE)</f>
        <v>0</v>
      </c>
      <c r="AD1313">
        <f>VLOOKUP(Table9[[#This Row],[Shortname]], Comp[], 27, FALSE)</f>
        <v>0</v>
      </c>
      <c r="AE1313">
        <f>VLOOKUP(Table9[[#This Row],[Shortname]], Comp[], 28, FALSE)</f>
        <v>0</v>
      </c>
      <c r="AF1313">
        <f>VLOOKUP(Table9[[#This Row],[Shortname]], Comp[], 29, FALSE)</f>
        <v>0</v>
      </c>
      <c r="AG1313">
        <f>VLOOKUP(Table9[[#This Row],[Shortname]], Comp[], 30, FALSE)</f>
        <v>0</v>
      </c>
      <c r="AH1313">
        <f>VLOOKUP(Table9[[#This Row],[Shortname]], Comp[], 31, FALSE)</f>
        <v>0</v>
      </c>
    </row>
    <row r="1314" spans="1:34" x14ac:dyDescent="0.3">
      <c r="A1314" t="s">
        <v>6429</v>
      </c>
      <c r="B1314" t="s">
        <v>6430</v>
      </c>
      <c r="C1314" t="s">
        <v>6431</v>
      </c>
      <c r="D1314">
        <v>469.34019999999998</v>
      </c>
      <c r="E1314">
        <v>875</v>
      </c>
      <c r="F1314">
        <v>1E-4</v>
      </c>
      <c r="G1314">
        <v>1</v>
      </c>
      <c r="I1314">
        <f>VLOOKUP(Table9[[#This Row],[Shortname]], Comp[], 6, FALSE)</f>
        <v>1072</v>
      </c>
      <c r="J1314" s="14">
        <f>VLOOKUP(Table9[[#This Row],[Shortname]], Comp[], 7, FALSE)</f>
        <v>52.410000000000004</v>
      </c>
      <c r="K1314">
        <f>VLOOKUP(Table9[[#This Row],[Shortname]], Comp[], 8, FALSE)</f>
        <v>17.489999999999998</v>
      </c>
      <c r="L1314">
        <f>VLOOKUP(Table9[[#This Row],[Shortname]], Comp[], 9, FALSE)</f>
        <v>5.42</v>
      </c>
      <c r="M1314">
        <f>VLOOKUP(Table9[[#This Row],[Shortname]], Comp[], 10, FALSE)</f>
        <v>4.17</v>
      </c>
      <c r="N1314">
        <f>VLOOKUP(Table9[[#This Row],[Shortname]], Comp[], 11, FALSE)</f>
        <v>0</v>
      </c>
      <c r="O1314">
        <f>VLOOKUP(Table9[[#This Row],[Shortname]], Comp[],12, FALSE)</f>
        <v>2.0299999999999998</v>
      </c>
      <c r="P1314">
        <f>VLOOKUP(Table9[[#This Row],[Shortname]], Comp[], 13, FALSE)</f>
        <v>1.52</v>
      </c>
      <c r="Q1314">
        <f>VLOOKUP(Table9[[#This Row],[Shortname]], Comp[], 14, FALSE)</f>
        <v>1.44</v>
      </c>
      <c r="R1314">
        <f>VLOOKUP(Table9[[#This Row],[Shortname]], Comp[], 15, FALSE)</f>
        <v>3.08</v>
      </c>
      <c r="S1314">
        <f>VLOOKUP(Table9[[#This Row],[Shortname]], Comp[], 16, FALSE)</f>
        <v>0</v>
      </c>
      <c r="T1314">
        <f>VLOOKUP(Table9[[#This Row],[Shortname]], Comp[], 17, FALSE)</f>
        <v>0</v>
      </c>
      <c r="U1314">
        <f>VLOOKUP(Table9[[#This Row],[Shortname]], Comp[], 18, FALSE)</f>
        <v>0</v>
      </c>
      <c r="V1314">
        <f>VLOOKUP(Table9[[#This Row],[Shortname]], Comp[], 19, FALSE)</f>
        <v>0.08</v>
      </c>
      <c r="W1314">
        <f>VLOOKUP(Table9[[#This Row],[Shortname]], Comp[], 20, FALSE)</f>
        <v>0</v>
      </c>
      <c r="X1314">
        <f>VLOOKUP(Table9[[#This Row],[Shortname]], Comp[], 21, FALSE)</f>
        <v>0</v>
      </c>
      <c r="Y1314">
        <f>VLOOKUP(Table9[[#This Row],[Shortname]], Comp[], 22, FALSE)</f>
        <v>0</v>
      </c>
      <c r="Z1314">
        <f>VLOOKUP(Table9[[#This Row],[Shortname]], Comp[], 23, FALSE)</f>
        <v>12.36</v>
      </c>
      <c r="AA1314">
        <f>VLOOKUP(Table9[[#This Row],[Shortname]], Comp[], 24, FALSE)</f>
        <v>0</v>
      </c>
      <c r="AB1314">
        <f>VLOOKUP(Table9[[#This Row],[Shortname]], Comp[], 25, FALSE)</f>
        <v>0</v>
      </c>
      <c r="AC1314">
        <f>VLOOKUP(Table9[[#This Row],[Shortname]], Comp[], 26, FALSE)</f>
        <v>0</v>
      </c>
      <c r="AD1314">
        <f>VLOOKUP(Table9[[#This Row],[Shortname]], Comp[], 27, FALSE)</f>
        <v>0</v>
      </c>
      <c r="AE1314">
        <f>VLOOKUP(Table9[[#This Row],[Shortname]], Comp[], 28, FALSE)</f>
        <v>0</v>
      </c>
      <c r="AF1314">
        <f>VLOOKUP(Table9[[#This Row],[Shortname]], Comp[], 29, FALSE)</f>
        <v>0</v>
      </c>
      <c r="AG1314">
        <f>VLOOKUP(Table9[[#This Row],[Shortname]], Comp[], 30, FALSE)</f>
        <v>0</v>
      </c>
      <c r="AH1314">
        <f>VLOOKUP(Table9[[#This Row],[Shortname]], Comp[], 31, FALSE)</f>
        <v>0</v>
      </c>
    </row>
    <row r="1315" spans="1:34" x14ac:dyDescent="0.3">
      <c r="A1315" t="s">
        <v>6429</v>
      </c>
      <c r="B1315" t="s">
        <v>6430</v>
      </c>
      <c r="C1315" t="s">
        <v>6431</v>
      </c>
      <c r="D1315">
        <v>342.98869999999999</v>
      </c>
      <c r="E1315">
        <v>925</v>
      </c>
      <c r="F1315">
        <v>1E-4</v>
      </c>
      <c r="G1315">
        <v>1</v>
      </c>
      <c r="I1315">
        <f>VLOOKUP(Table9[[#This Row],[Shortname]], Comp[], 6, FALSE)</f>
        <v>1072</v>
      </c>
      <c r="J1315" s="14">
        <f>VLOOKUP(Table9[[#This Row],[Shortname]], Comp[], 7, FALSE)</f>
        <v>52.410000000000004</v>
      </c>
      <c r="K1315">
        <f>VLOOKUP(Table9[[#This Row],[Shortname]], Comp[], 8, FALSE)</f>
        <v>17.489999999999998</v>
      </c>
      <c r="L1315">
        <f>VLOOKUP(Table9[[#This Row],[Shortname]], Comp[], 9, FALSE)</f>
        <v>5.42</v>
      </c>
      <c r="M1315">
        <f>VLOOKUP(Table9[[#This Row],[Shortname]], Comp[], 10, FALSE)</f>
        <v>4.17</v>
      </c>
      <c r="N1315">
        <f>VLOOKUP(Table9[[#This Row],[Shortname]], Comp[], 11, FALSE)</f>
        <v>0</v>
      </c>
      <c r="O1315">
        <f>VLOOKUP(Table9[[#This Row],[Shortname]], Comp[],12, FALSE)</f>
        <v>2.0299999999999998</v>
      </c>
      <c r="P1315">
        <f>VLOOKUP(Table9[[#This Row],[Shortname]], Comp[], 13, FALSE)</f>
        <v>1.52</v>
      </c>
      <c r="Q1315">
        <f>VLOOKUP(Table9[[#This Row],[Shortname]], Comp[], 14, FALSE)</f>
        <v>1.44</v>
      </c>
      <c r="R1315">
        <f>VLOOKUP(Table9[[#This Row],[Shortname]], Comp[], 15, FALSE)</f>
        <v>3.08</v>
      </c>
      <c r="S1315">
        <f>VLOOKUP(Table9[[#This Row],[Shortname]], Comp[], 16, FALSE)</f>
        <v>0</v>
      </c>
      <c r="T1315">
        <f>VLOOKUP(Table9[[#This Row],[Shortname]], Comp[], 17, FALSE)</f>
        <v>0</v>
      </c>
      <c r="U1315">
        <f>VLOOKUP(Table9[[#This Row],[Shortname]], Comp[], 18, FALSE)</f>
        <v>0</v>
      </c>
      <c r="V1315">
        <f>VLOOKUP(Table9[[#This Row],[Shortname]], Comp[], 19, FALSE)</f>
        <v>0.08</v>
      </c>
      <c r="W1315">
        <f>VLOOKUP(Table9[[#This Row],[Shortname]], Comp[], 20, FALSE)</f>
        <v>0</v>
      </c>
      <c r="X1315">
        <f>VLOOKUP(Table9[[#This Row],[Shortname]], Comp[], 21, FALSE)</f>
        <v>0</v>
      </c>
      <c r="Y1315">
        <f>VLOOKUP(Table9[[#This Row],[Shortname]], Comp[], 22, FALSE)</f>
        <v>0</v>
      </c>
      <c r="Z1315">
        <f>VLOOKUP(Table9[[#This Row],[Shortname]], Comp[], 23, FALSE)</f>
        <v>12.36</v>
      </c>
      <c r="AA1315">
        <f>VLOOKUP(Table9[[#This Row],[Shortname]], Comp[], 24, FALSE)</f>
        <v>0</v>
      </c>
      <c r="AB1315">
        <f>VLOOKUP(Table9[[#This Row],[Shortname]], Comp[], 25, FALSE)</f>
        <v>0</v>
      </c>
      <c r="AC1315">
        <f>VLOOKUP(Table9[[#This Row],[Shortname]], Comp[], 26, FALSE)</f>
        <v>0</v>
      </c>
      <c r="AD1315">
        <f>VLOOKUP(Table9[[#This Row],[Shortname]], Comp[], 27, FALSE)</f>
        <v>0</v>
      </c>
      <c r="AE1315">
        <f>VLOOKUP(Table9[[#This Row],[Shortname]], Comp[], 28, FALSE)</f>
        <v>0</v>
      </c>
      <c r="AF1315">
        <f>VLOOKUP(Table9[[#This Row],[Shortname]], Comp[], 29, FALSE)</f>
        <v>0</v>
      </c>
      <c r="AG1315">
        <f>VLOOKUP(Table9[[#This Row],[Shortname]], Comp[], 30, FALSE)</f>
        <v>0</v>
      </c>
      <c r="AH1315">
        <f>VLOOKUP(Table9[[#This Row],[Shortname]], Comp[], 31, FALSE)</f>
        <v>0</v>
      </c>
    </row>
    <row r="1316" spans="1:34" x14ac:dyDescent="0.3">
      <c r="A1316" t="s">
        <v>6429</v>
      </c>
      <c r="B1316" t="s">
        <v>6430</v>
      </c>
      <c r="C1316" t="s">
        <v>6431</v>
      </c>
      <c r="D1316">
        <v>206.36160000000001</v>
      </c>
      <c r="E1316">
        <v>975</v>
      </c>
      <c r="F1316">
        <v>1E-4</v>
      </c>
      <c r="G1316">
        <v>1</v>
      </c>
      <c r="I1316">
        <f>VLOOKUP(Table9[[#This Row],[Shortname]], Comp[], 6, FALSE)</f>
        <v>1072</v>
      </c>
      <c r="J1316" s="14">
        <f>VLOOKUP(Table9[[#This Row],[Shortname]], Comp[], 7, FALSE)</f>
        <v>52.410000000000004</v>
      </c>
      <c r="K1316">
        <f>VLOOKUP(Table9[[#This Row],[Shortname]], Comp[], 8, FALSE)</f>
        <v>17.489999999999998</v>
      </c>
      <c r="L1316">
        <f>VLOOKUP(Table9[[#This Row],[Shortname]], Comp[], 9, FALSE)</f>
        <v>5.42</v>
      </c>
      <c r="M1316">
        <f>VLOOKUP(Table9[[#This Row],[Shortname]], Comp[], 10, FALSE)</f>
        <v>4.17</v>
      </c>
      <c r="N1316">
        <f>VLOOKUP(Table9[[#This Row],[Shortname]], Comp[], 11, FALSE)</f>
        <v>0</v>
      </c>
      <c r="O1316">
        <f>VLOOKUP(Table9[[#This Row],[Shortname]], Comp[],12, FALSE)</f>
        <v>2.0299999999999998</v>
      </c>
      <c r="P1316">
        <f>VLOOKUP(Table9[[#This Row],[Shortname]], Comp[], 13, FALSE)</f>
        <v>1.52</v>
      </c>
      <c r="Q1316">
        <f>VLOOKUP(Table9[[#This Row],[Shortname]], Comp[], 14, FALSE)</f>
        <v>1.44</v>
      </c>
      <c r="R1316">
        <f>VLOOKUP(Table9[[#This Row],[Shortname]], Comp[], 15, FALSE)</f>
        <v>3.08</v>
      </c>
      <c r="S1316">
        <f>VLOOKUP(Table9[[#This Row],[Shortname]], Comp[], 16, FALSE)</f>
        <v>0</v>
      </c>
      <c r="T1316">
        <f>VLOOKUP(Table9[[#This Row],[Shortname]], Comp[], 17, FALSE)</f>
        <v>0</v>
      </c>
      <c r="U1316">
        <f>VLOOKUP(Table9[[#This Row],[Shortname]], Comp[], 18, FALSE)</f>
        <v>0</v>
      </c>
      <c r="V1316">
        <f>VLOOKUP(Table9[[#This Row],[Shortname]], Comp[], 19, FALSE)</f>
        <v>0.08</v>
      </c>
      <c r="W1316">
        <f>VLOOKUP(Table9[[#This Row],[Shortname]], Comp[], 20, FALSE)</f>
        <v>0</v>
      </c>
      <c r="X1316">
        <f>VLOOKUP(Table9[[#This Row],[Shortname]], Comp[], 21, FALSE)</f>
        <v>0</v>
      </c>
      <c r="Y1316">
        <f>VLOOKUP(Table9[[#This Row],[Shortname]], Comp[], 22, FALSE)</f>
        <v>0</v>
      </c>
      <c r="Z1316">
        <f>VLOOKUP(Table9[[#This Row],[Shortname]], Comp[], 23, FALSE)</f>
        <v>12.36</v>
      </c>
      <c r="AA1316">
        <f>VLOOKUP(Table9[[#This Row],[Shortname]], Comp[], 24, FALSE)</f>
        <v>0</v>
      </c>
      <c r="AB1316">
        <f>VLOOKUP(Table9[[#This Row],[Shortname]], Comp[], 25, FALSE)</f>
        <v>0</v>
      </c>
      <c r="AC1316">
        <f>VLOOKUP(Table9[[#This Row],[Shortname]], Comp[], 26, FALSE)</f>
        <v>0</v>
      </c>
      <c r="AD1316">
        <f>VLOOKUP(Table9[[#This Row],[Shortname]], Comp[], 27, FALSE)</f>
        <v>0</v>
      </c>
      <c r="AE1316">
        <f>VLOOKUP(Table9[[#This Row],[Shortname]], Comp[], 28, FALSE)</f>
        <v>0</v>
      </c>
      <c r="AF1316">
        <f>VLOOKUP(Table9[[#This Row],[Shortname]], Comp[], 29, FALSE)</f>
        <v>0</v>
      </c>
      <c r="AG1316">
        <f>VLOOKUP(Table9[[#This Row],[Shortname]], Comp[], 30, FALSE)</f>
        <v>0</v>
      </c>
      <c r="AH1316">
        <f>VLOOKUP(Table9[[#This Row],[Shortname]], Comp[], 31, FALSE)</f>
        <v>0</v>
      </c>
    </row>
    <row r="1317" spans="1:34" x14ac:dyDescent="0.3">
      <c r="A1317" t="s">
        <v>6445</v>
      </c>
      <c r="B1317" t="s">
        <v>6446</v>
      </c>
      <c r="C1317" t="s">
        <v>6431</v>
      </c>
      <c r="D1317">
        <v>589.92939999999999</v>
      </c>
      <c r="E1317">
        <v>25</v>
      </c>
      <c r="F1317">
        <v>1E-4</v>
      </c>
      <c r="G1317">
        <v>1</v>
      </c>
      <c r="I1317">
        <f>VLOOKUP(Table9[[#This Row],[Shortname]], Comp[], 6, FALSE)</f>
        <v>1075</v>
      </c>
      <c r="J1317" s="14">
        <f>VLOOKUP(Table9[[#This Row],[Shortname]], Comp[], 7, FALSE)</f>
        <v>48.260000000000005</v>
      </c>
      <c r="K1317">
        <f>VLOOKUP(Table9[[#This Row],[Shortname]], Comp[], 8, FALSE)</f>
        <v>17.440000000000001</v>
      </c>
      <c r="L1317">
        <f>VLOOKUP(Table9[[#This Row],[Shortname]], Comp[], 9, FALSE)</f>
        <v>5.44</v>
      </c>
      <c r="M1317">
        <f>VLOOKUP(Table9[[#This Row],[Shortname]], Comp[], 10, FALSE)</f>
        <v>8.32</v>
      </c>
      <c r="N1317">
        <f>VLOOKUP(Table9[[#This Row],[Shortname]], Comp[], 11, FALSE)</f>
        <v>0</v>
      </c>
      <c r="O1317">
        <f>VLOOKUP(Table9[[#This Row],[Shortname]], Comp[],12, FALSE)</f>
        <v>2.08</v>
      </c>
      <c r="P1317">
        <f>VLOOKUP(Table9[[#This Row],[Shortname]], Comp[], 13, FALSE)</f>
        <v>1.55</v>
      </c>
      <c r="Q1317">
        <f>VLOOKUP(Table9[[#This Row],[Shortname]], Comp[], 14, FALSE)</f>
        <v>1.48</v>
      </c>
      <c r="R1317">
        <f>VLOOKUP(Table9[[#This Row],[Shortname]], Comp[], 15, FALSE)</f>
        <v>3.11</v>
      </c>
      <c r="S1317">
        <f>VLOOKUP(Table9[[#This Row],[Shortname]], Comp[], 16, FALSE)</f>
        <v>0</v>
      </c>
      <c r="T1317">
        <f>VLOOKUP(Table9[[#This Row],[Shortname]], Comp[], 17, FALSE)</f>
        <v>0</v>
      </c>
      <c r="U1317">
        <f>VLOOKUP(Table9[[#This Row],[Shortname]], Comp[], 18, FALSE)</f>
        <v>0</v>
      </c>
      <c r="V1317">
        <f>VLOOKUP(Table9[[#This Row],[Shortname]], Comp[], 19, FALSE)</f>
        <v>0.08</v>
      </c>
      <c r="W1317">
        <f>VLOOKUP(Table9[[#This Row],[Shortname]], Comp[], 20, FALSE)</f>
        <v>0</v>
      </c>
      <c r="X1317">
        <f>VLOOKUP(Table9[[#This Row],[Shortname]], Comp[], 21, FALSE)</f>
        <v>0</v>
      </c>
      <c r="Y1317">
        <f>VLOOKUP(Table9[[#This Row],[Shortname]], Comp[], 22, FALSE)</f>
        <v>0</v>
      </c>
      <c r="Z1317">
        <f>VLOOKUP(Table9[[#This Row],[Shortname]], Comp[], 23, FALSE)</f>
        <v>12.24</v>
      </c>
      <c r="AA1317">
        <f>VLOOKUP(Table9[[#This Row],[Shortname]], Comp[], 24, FALSE)</f>
        <v>0</v>
      </c>
      <c r="AB1317">
        <f>VLOOKUP(Table9[[#This Row],[Shortname]], Comp[], 25, FALSE)</f>
        <v>0</v>
      </c>
      <c r="AC1317">
        <f>VLOOKUP(Table9[[#This Row],[Shortname]], Comp[], 26, FALSE)</f>
        <v>0</v>
      </c>
      <c r="AD1317">
        <f>VLOOKUP(Table9[[#This Row],[Shortname]], Comp[], 27, FALSE)</f>
        <v>0</v>
      </c>
      <c r="AE1317">
        <f>VLOOKUP(Table9[[#This Row],[Shortname]], Comp[], 28, FALSE)</f>
        <v>0</v>
      </c>
      <c r="AF1317">
        <f>VLOOKUP(Table9[[#This Row],[Shortname]], Comp[], 29, FALSE)</f>
        <v>0</v>
      </c>
      <c r="AG1317">
        <f>VLOOKUP(Table9[[#This Row],[Shortname]], Comp[], 30, FALSE)</f>
        <v>0</v>
      </c>
      <c r="AH1317">
        <f>VLOOKUP(Table9[[#This Row],[Shortname]], Comp[], 31, FALSE)</f>
        <v>0</v>
      </c>
    </row>
    <row r="1318" spans="1:34" x14ac:dyDescent="0.3">
      <c r="A1318" t="s">
        <v>6445</v>
      </c>
      <c r="B1318" t="s">
        <v>6446</v>
      </c>
      <c r="C1318" t="s">
        <v>6431</v>
      </c>
      <c r="D1318">
        <v>476.37360000000001</v>
      </c>
      <c r="E1318">
        <v>575</v>
      </c>
      <c r="F1318">
        <v>1E-4</v>
      </c>
      <c r="G1318">
        <v>1</v>
      </c>
      <c r="I1318">
        <f>VLOOKUP(Table9[[#This Row],[Shortname]], Comp[], 6, FALSE)</f>
        <v>1075</v>
      </c>
      <c r="J1318" s="14">
        <f>VLOOKUP(Table9[[#This Row],[Shortname]], Comp[], 7, FALSE)</f>
        <v>48.260000000000005</v>
      </c>
      <c r="K1318">
        <f>VLOOKUP(Table9[[#This Row],[Shortname]], Comp[], 8, FALSE)</f>
        <v>17.440000000000001</v>
      </c>
      <c r="L1318">
        <f>VLOOKUP(Table9[[#This Row],[Shortname]], Comp[], 9, FALSE)</f>
        <v>5.44</v>
      </c>
      <c r="M1318">
        <f>VLOOKUP(Table9[[#This Row],[Shortname]], Comp[], 10, FALSE)</f>
        <v>8.32</v>
      </c>
      <c r="N1318">
        <f>VLOOKUP(Table9[[#This Row],[Shortname]], Comp[], 11, FALSE)</f>
        <v>0</v>
      </c>
      <c r="O1318">
        <f>VLOOKUP(Table9[[#This Row],[Shortname]], Comp[],12, FALSE)</f>
        <v>2.08</v>
      </c>
      <c r="P1318">
        <f>VLOOKUP(Table9[[#This Row],[Shortname]], Comp[], 13, FALSE)</f>
        <v>1.55</v>
      </c>
      <c r="Q1318">
        <f>VLOOKUP(Table9[[#This Row],[Shortname]], Comp[], 14, FALSE)</f>
        <v>1.48</v>
      </c>
      <c r="R1318">
        <f>VLOOKUP(Table9[[#This Row],[Shortname]], Comp[], 15, FALSE)</f>
        <v>3.11</v>
      </c>
      <c r="S1318">
        <f>VLOOKUP(Table9[[#This Row],[Shortname]], Comp[], 16, FALSE)</f>
        <v>0</v>
      </c>
      <c r="T1318">
        <f>VLOOKUP(Table9[[#This Row],[Shortname]], Comp[], 17, FALSE)</f>
        <v>0</v>
      </c>
      <c r="U1318">
        <f>VLOOKUP(Table9[[#This Row],[Shortname]], Comp[], 18, FALSE)</f>
        <v>0</v>
      </c>
      <c r="V1318">
        <f>VLOOKUP(Table9[[#This Row],[Shortname]], Comp[], 19, FALSE)</f>
        <v>0.08</v>
      </c>
      <c r="W1318">
        <f>VLOOKUP(Table9[[#This Row],[Shortname]], Comp[], 20, FALSE)</f>
        <v>0</v>
      </c>
      <c r="X1318">
        <f>VLOOKUP(Table9[[#This Row],[Shortname]], Comp[], 21, FALSE)</f>
        <v>0</v>
      </c>
      <c r="Y1318">
        <f>VLOOKUP(Table9[[#This Row],[Shortname]], Comp[], 22, FALSE)</f>
        <v>0</v>
      </c>
      <c r="Z1318">
        <f>VLOOKUP(Table9[[#This Row],[Shortname]], Comp[], 23, FALSE)</f>
        <v>12.24</v>
      </c>
      <c r="AA1318">
        <f>VLOOKUP(Table9[[#This Row],[Shortname]], Comp[], 24, FALSE)</f>
        <v>0</v>
      </c>
      <c r="AB1318">
        <f>VLOOKUP(Table9[[#This Row],[Shortname]], Comp[], 25, FALSE)</f>
        <v>0</v>
      </c>
      <c r="AC1318">
        <f>VLOOKUP(Table9[[#This Row],[Shortname]], Comp[], 26, FALSE)</f>
        <v>0</v>
      </c>
      <c r="AD1318">
        <f>VLOOKUP(Table9[[#This Row],[Shortname]], Comp[], 27, FALSE)</f>
        <v>0</v>
      </c>
      <c r="AE1318">
        <f>VLOOKUP(Table9[[#This Row],[Shortname]], Comp[], 28, FALSE)</f>
        <v>0</v>
      </c>
      <c r="AF1318">
        <f>VLOOKUP(Table9[[#This Row],[Shortname]], Comp[], 29, FALSE)</f>
        <v>0</v>
      </c>
      <c r="AG1318">
        <f>VLOOKUP(Table9[[#This Row],[Shortname]], Comp[], 30, FALSE)</f>
        <v>0</v>
      </c>
      <c r="AH1318">
        <f>VLOOKUP(Table9[[#This Row],[Shortname]], Comp[], 31, FALSE)</f>
        <v>0</v>
      </c>
    </row>
    <row r="1319" spans="1:34" x14ac:dyDescent="0.3">
      <c r="A1319" t="s">
        <v>6445</v>
      </c>
      <c r="B1319" t="s">
        <v>6446</v>
      </c>
      <c r="C1319" t="s">
        <v>6431</v>
      </c>
      <c r="D1319">
        <v>483.98430000000002</v>
      </c>
      <c r="E1319">
        <v>650</v>
      </c>
      <c r="F1319">
        <v>1E-4</v>
      </c>
      <c r="G1319">
        <v>1</v>
      </c>
      <c r="I1319">
        <f>VLOOKUP(Table9[[#This Row],[Shortname]], Comp[], 6, FALSE)</f>
        <v>1075</v>
      </c>
      <c r="J1319" s="14">
        <f>VLOOKUP(Table9[[#This Row],[Shortname]], Comp[], 7, FALSE)</f>
        <v>48.260000000000005</v>
      </c>
      <c r="K1319">
        <f>VLOOKUP(Table9[[#This Row],[Shortname]], Comp[], 8, FALSE)</f>
        <v>17.440000000000001</v>
      </c>
      <c r="L1319">
        <f>VLOOKUP(Table9[[#This Row],[Shortname]], Comp[], 9, FALSE)</f>
        <v>5.44</v>
      </c>
      <c r="M1319">
        <f>VLOOKUP(Table9[[#This Row],[Shortname]], Comp[], 10, FALSE)</f>
        <v>8.32</v>
      </c>
      <c r="N1319">
        <f>VLOOKUP(Table9[[#This Row],[Shortname]], Comp[], 11, FALSE)</f>
        <v>0</v>
      </c>
      <c r="O1319">
        <f>VLOOKUP(Table9[[#This Row],[Shortname]], Comp[],12, FALSE)</f>
        <v>2.08</v>
      </c>
      <c r="P1319">
        <f>VLOOKUP(Table9[[#This Row],[Shortname]], Comp[], 13, FALSE)</f>
        <v>1.55</v>
      </c>
      <c r="Q1319">
        <f>VLOOKUP(Table9[[#This Row],[Shortname]], Comp[], 14, FALSE)</f>
        <v>1.48</v>
      </c>
      <c r="R1319">
        <f>VLOOKUP(Table9[[#This Row],[Shortname]], Comp[], 15, FALSE)</f>
        <v>3.11</v>
      </c>
      <c r="S1319">
        <f>VLOOKUP(Table9[[#This Row],[Shortname]], Comp[], 16, FALSE)</f>
        <v>0</v>
      </c>
      <c r="T1319">
        <f>VLOOKUP(Table9[[#This Row],[Shortname]], Comp[], 17, FALSE)</f>
        <v>0</v>
      </c>
      <c r="U1319">
        <f>VLOOKUP(Table9[[#This Row],[Shortname]], Comp[], 18, FALSE)</f>
        <v>0</v>
      </c>
      <c r="V1319">
        <f>VLOOKUP(Table9[[#This Row],[Shortname]], Comp[], 19, FALSE)</f>
        <v>0.08</v>
      </c>
      <c r="W1319">
        <f>VLOOKUP(Table9[[#This Row],[Shortname]], Comp[], 20, FALSE)</f>
        <v>0</v>
      </c>
      <c r="X1319">
        <f>VLOOKUP(Table9[[#This Row],[Shortname]], Comp[], 21, FALSE)</f>
        <v>0</v>
      </c>
      <c r="Y1319">
        <f>VLOOKUP(Table9[[#This Row],[Shortname]], Comp[], 22, FALSE)</f>
        <v>0</v>
      </c>
      <c r="Z1319">
        <f>VLOOKUP(Table9[[#This Row],[Shortname]], Comp[], 23, FALSE)</f>
        <v>12.24</v>
      </c>
      <c r="AA1319">
        <f>VLOOKUP(Table9[[#This Row],[Shortname]], Comp[], 24, FALSE)</f>
        <v>0</v>
      </c>
      <c r="AB1319">
        <f>VLOOKUP(Table9[[#This Row],[Shortname]], Comp[], 25, FALSE)</f>
        <v>0</v>
      </c>
      <c r="AC1319">
        <f>VLOOKUP(Table9[[#This Row],[Shortname]], Comp[], 26, FALSE)</f>
        <v>0</v>
      </c>
      <c r="AD1319">
        <f>VLOOKUP(Table9[[#This Row],[Shortname]], Comp[], 27, FALSE)</f>
        <v>0</v>
      </c>
      <c r="AE1319">
        <f>VLOOKUP(Table9[[#This Row],[Shortname]], Comp[], 28, FALSE)</f>
        <v>0</v>
      </c>
      <c r="AF1319">
        <f>VLOOKUP(Table9[[#This Row],[Shortname]], Comp[], 29, FALSE)</f>
        <v>0</v>
      </c>
      <c r="AG1319">
        <f>VLOOKUP(Table9[[#This Row],[Shortname]], Comp[], 30, FALSE)</f>
        <v>0</v>
      </c>
      <c r="AH1319">
        <f>VLOOKUP(Table9[[#This Row],[Shortname]], Comp[], 31, FALSE)</f>
        <v>0</v>
      </c>
    </row>
    <row r="1320" spans="1:34" x14ac:dyDescent="0.3">
      <c r="A1320" t="s">
        <v>6445</v>
      </c>
      <c r="B1320" t="s">
        <v>6446</v>
      </c>
      <c r="C1320" t="s">
        <v>6431</v>
      </c>
      <c r="D1320">
        <v>507.07429999999999</v>
      </c>
      <c r="E1320">
        <v>725</v>
      </c>
      <c r="F1320">
        <v>1E-4</v>
      </c>
      <c r="G1320">
        <v>1</v>
      </c>
      <c r="I1320">
        <f>VLOOKUP(Table9[[#This Row],[Shortname]], Comp[], 6, FALSE)</f>
        <v>1075</v>
      </c>
      <c r="J1320" s="14">
        <f>VLOOKUP(Table9[[#This Row],[Shortname]], Comp[], 7, FALSE)</f>
        <v>48.260000000000005</v>
      </c>
      <c r="K1320">
        <f>VLOOKUP(Table9[[#This Row],[Shortname]], Comp[], 8, FALSE)</f>
        <v>17.440000000000001</v>
      </c>
      <c r="L1320">
        <f>VLOOKUP(Table9[[#This Row],[Shortname]], Comp[], 9, FALSE)</f>
        <v>5.44</v>
      </c>
      <c r="M1320">
        <f>VLOOKUP(Table9[[#This Row],[Shortname]], Comp[], 10, FALSE)</f>
        <v>8.32</v>
      </c>
      <c r="N1320">
        <f>VLOOKUP(Table9[[#This Row],[Shortname]], Comp[], 11, FALSE)</f>
        <v>0</v>
      </c>
      <c r="O1320">
        <f>VLOOKUP(Table9[[#This Row],[Shortname]], Comp[],12, FALSE)</f>
        <v>2.08</v>
      </c>
      <c r="P1320">
        <f>VLOOKUP(Table9[[#This Row],[Shortname]], Comp[], 13, FALSE)</f>
        <v>1.55</v>
      </c>
      <c r="Q1320">
        <f>VLOOKUP(Table9[[#This Row],[Shortname]], Comp[], 14, FALSE)</f>
        <v>1.48</v>
      </c>
      <c r="R1320">
        <f>VLOOKUP(Table9[[#This Row],[Shortname]], Comp[], 15, FALSE)</f>
        <v>3.11</v>
      </c>
      <c r="S1320">
        <f>VLOOKUP(Table9[[#This Row],[Shortname]], Comp[], 16, FALSE)</f>
        <v>0</v>
      </c>
      <c r="T1320">
        <f>VLOOKUP(Table9[[#This Row],[Shortname]], Comp[], 17, FALSE)</f>
        <v>0</v>
      </c>
      <c r="U1320">
        <f>VLOOKUP(Table9[[#This Row],[Shortname]], Comp[], 18, FALSE)</f>
        <v>0</v>
      </c>
      <c r="V1320">
        <f>VLOOKUP(Table9[[#This Row],[Shortname]], Comp[], 19, FALSE)</f>
        <v>0.08</v>
      </c>
      <c r="W1320">
        <f>VLOOKUP(Table9[[#This Row],[Shortname]], Comp[], 20, FALSE)</f>
        <v>0</v>
      </c>
      <c r="X1320">
        <f>VLOOKUP(Table9[[#This Row],[Shortname]], Comp[], 21, FALSE)</f>
        <v>0</v>
      </c>
      <c r="Y1320">
        <f>VLOOKUP(Table9[[#This Row],[Shortname]], Comp[], 22, FALSE)</f>
        <v>0</v>
      </c>
      <c r="Z1320">
        <f>VLOOKUP(Table9[[#This Row],[Shortname]], Comp[], 23, FALSE)</f>
        <v>12.24</v>
      </c>
      <c r="AA1320">
        <f>VLOOKUP(Table9[[#This Row],[Shortname]], Comp[], 24, FALSE)</f>
        <v>0</v>
      </c>
      <c r="AB1320">
        <f>VLOOKUP(Table9[[#This Row],[Shortname]], Comp[], 25, FALSE)</f>
        <v>0</v>
      </c>
      <c r="AC1320">
        <f>VLOOKUP(Table9[[#This Row],[Shortname]], Comp[], 26, FALSE)</f>
        <v>0</v>
      </c>
      <c r="AD1320">
        <f>VLOOKUP(Table9[[#This Row],[Shortname]], Comp[], 27, FALSE)</f>
        <v>0</v>
      </c>
      <c r="AE1320">
        <f>VLOOKUP(Table9[[#This Row],[Shortname]], Comp[], 28, FALSE)</f>
        <v>0</v>
      </c>
      <c r="AF1320">
        <f>VLOOKUP(Table9[[#This Row],[Shortname]], Comp[], 29, FALSE)</f>
        <v>0</v>
      </c>
      <c r="AG1320">
        <f>VLOOKUP(Table9[[#This Row],[Shortname]], Comp[], 30, FALSE)</f>
        <v>0</v>
      </c>
      <c r="AH1320">
        <f>VLOOKUP(Table9[[#This Row],[Shortname]], Comp[], 31, FALSE)</f>
        <v>0</v>
      </c>
    </row>
    <row r="1321" spans="1:34" x14ac:dyDescent="0.3">
      <c r="A1321" t="s">
        <v>6445</v>
      </c>
      <c r="B1321" t="s">
        <v>6446</v>
      </c>
      <c r="C1321" t="s">
        <v>6431</v>
      </c>
      <c r="D1321">
        <v>555.53869999999995</v>
      </c>
      <c r="E1321">
        <v>775</v>
      </c>
      <c r="F1321">
        <v>1E-4</v>
      </c>
      <c r="G1321">
        <v>1</v>
      </c>
      <c r="I1321">
        <f>VLOOKUP(Table9[[#This Row],[Shortname]], Comp[], 6, FALSE)</f>
        <v>1075</v>
      </c>
      <c r="J1321" s="14">
        <f>VLOOKUP(Table9[[#This Row],[Shortname]], Comp[], 7, FALSE)</f>
        <v>48.260000000000005</v>
      </c>
      <c r="K1321">
        <f>VLOOKUP(Table9[[#This Row],[Shortname]], Comp[], 8, FALSE)</f>
        <v>17.440000000000001</v>
      </c>
      <c r="L1321">
        <f>VLOOKUP(Table9[[#This Row],[Shortname]], Comp[], 9, FALSE)</f>
        <v>5.44</v>
      </c>
      <c r="M1321">
        <f>VLOOKUP(Table9[[#This Row],[Shortname]], Comp[], 10, FALSE)</f>
        <v>8.32</v>
      </c>
      <c r="N1321">
        <f>VLOOKUP(Table9[[#This Row],[Shortname]], Comp[], 11, FALSE)</f>
        <v>0</v>
      </c>
      <c r="O1321">
        <f>VLOOKUP(Table9[[#This Row],[Shortname]], Comp[],12, FALSE)</f>
        <v>2.08</v>
      </c>
      <c r="P1321">
        <f>VLOOKUP(Table9[[#This Row],[Shortname]], Comp[], 13, FALSE)</f>
        <v>1.55</v>
      </c>
      <c r="Q1321">
        <f>VLOOKUP(Table9[[#This Row],[Shortname]], Comp[], 14, FALSE)</f>
        <v>1.48</v>
      </c>
      <c r="R1321">
        <f>VLOOKUP(Table9[[#This Row],[Shortname]], Comp[], 15, FALSE)</f>
        <v>3.11</v>
      </c>
      <c r="S1321">
        <f>VLOOKUP(Table9[[#This Row],[Shortname]], Comp[], 16, FALSE)</f>
        <v>0</v>
      </c>
      <c r="T1321">
        <f>VLOOKUP(Table9[[#This Row],[Shortname]], Comp[], 17, FALSE)</f>
        <v>0</v>
      </c>
      <c r="U1321">
        <f>VLOOKUP(Table9[[#This Row],[Shortname]], Comp[], 18, FALSE)</f>
        <v>0</v>
      </c>
      <c r="V1321">
        <f>VLOOKUP(Table9[[#This Row],[Shortname]], Comp[], 19, FALSE)</f>
        <v>0.08</v>
      </c>
      <c r="W1321">
        <f>VLOOKUP(Table9[[#This Row],[Shortname]], Comp[], 20, FALSE)</f>
        <v>0</v>
      </c>
      <c r="X1321">
        <f>VLOOKUP(Table9[[#This Row],[Shortname]], Comp[], 21, FALSE)</f>
        <v>0</v>
      </c>
      <c r="Y1321">
        <f>VLOOKUP(Table9[[#This Row],[Shortname]], Comp[], 22, FALSE)</f>
        <v>0</v>
      </c>
      <c r="Z1321">
        <f>VLOOKUP(Table9[[#This Row],[Shortname]], Comp[], 23, FALSE)</f>
        <v>12.24</v>
      </c>
      <c r="AA1321">
        <f>VLOOKUP(Table9[[#This Row],[Shortname]], Comp[], 24, FALSE)</f>
        <v>0</v>
      </c>
      <c r="AB1321">
        <f>VLOOKUP(Table9[[#This Row],[Shortname]], Comp[], 25, FALSE)</f>
        <v>0</v>
      </c>
      <c r="AC1321">
        <f>VLOOKUP(Table9[[#This Row],[Shortname]], Comp[], 26, FALSE)</f>
        <v>0</v>
      </c>
      <c r="AD1321">
        <f>VLOOKUP(Table9[[#This Row],[Shortname]], Comp[], 27, FALSE)</f>
        <v>0</v>
      </c>
      <c r="AE1321">
        <f>VLOOKUP(Table9[[#This Row],[Shortname]], Comp[], 28, FALSE)</f>
        <v>0</v>
      </c>
      <c r="AF1321">
        <f>VLOOKUP(Table9[[#This Row],[Shortname]], Comp[], 29, FALSE)</f>
        <v>0</v>
      </c>
      <c r="AG1321">
        <f>VLOOKUP(Table9[[#This Row],[Shortname]], Comp[], 30, FALSE)</f>
        <v>0</v>
      </c>
      <c r="AH1321">
        <f>VLOOKUP(Table9[[#This Row],[Shortname]], Comp[], 31, FALSE)</f>
        <v>0</v>
      </c>
    </row>
    <row r="1322" spans="1:34" x14ac:dyDescent="0.3">
      <c r="A1322" t="s">
        <v>6445</v>
      </c>
      <c r="B1322" t="s">
        <v>6446</v>
      </c>
      <c r="C1322" t="s">
        <v>6431</v>
      </c>
      <c r="D1322">
        <v>564.7559</v>
      </c>
      <c r="E1322">
        <v>825</v>
      </c>
      <c r="F1322">
        <v>1E-4</v>
      </c>
      <c r="G1322">
        <v>1</v>
      </c>
      <c r="I1322">
        <f>VLOOKUP(Table9[[#This Row],[Shortname]], Comp[], 6, FALSE)</f>
        <v>1075</v>
      </c>
      <c r="J1322" s="14">
        <f>VLOOKUP(Table9[[#This Row],[Shortname]], Comp[], 7, FALSE)</f>
        <v>48.260000000000005</v>
      </c>
      <c r="K1322">
        <f>VLOOKUP(Table9[[#This Row],[Shortname]], Comp[], 8, FALSE)</f>
        <v>17.440000000000001</v>
      </c>
      <c r="L1322">
        <f>VLOOKUP(Table9[[#This Row],[Shortname]], Comp[], 9, FALSE)</f>
        <v>5.44</v>
      </c>
      <c r="M1322">
        <f>VLOOKUP(Table9[[#This Row],[Shortname]], Comp[], 10, FALSE)</f>
        <v>8.32</v>
      </c>
      <c r="N1322">
        <f>VLOOKUP(Table9[[#This Row],[Shortname]], Comp[], 11, FALSE)</f>
        <v>0</v>
      </c>
      <c r="O1322">
        <f>VLOOKUP(Table9[[#This Row],[Shortname]], Comp[],12, FALSE)</f>
        <v>2.08</v>
      </c>
      <c r="P1322">
        <f>VLOOKUP(Table9[[#This Row],[Shortname]], Comp[], 13, FALSE)</f>
        <v>1.55</v>
      </c>
      <c r="Q1322">
        <f>VLOOKUP(Table9[[#This Row],[Shortname]], Comp[], 14, FALSE)</f>
        <v>1.48</v>
      </c>
      <c r="R1322">
        <f>VLOOKUP(Table9[[#This Row],[Shortname]], Comp[], 15, FALSE)</f>
        <v>3.11</v>
      </c>
      <c r="S1322">
        <f>VLOOKUP(Table9[[#This Row],[Shortname]], Comp[], 16, FALSE)</f>
        <v>0</v>
      </c>
      <c r="T1322">
        <f>VLOOKUP(Table9[[#This Row],[Shortname]], Comp[], 17, FALSE)</f>
        <v>0</v>
      </c>
      <c r="U1322">
        <f>VLOOKUP(Table9[[#This Row],[Shortname]], Comp[], 18, FALSE)</f>
        <v>0</v>
      </c>
      <c r="V1322">
        <f>VLOOKUP(Table9[[#This Row],[Shortname]], Comp[], 19, FALSE)</f>
        <v>0.08</v>
      </c>
      <c r="W1322">
        <f>VLOOKUP(Table9[[#This Row],[Shortname]], Comp[], 20, FALSE)</f>
        <v>0</v>
      </c>
      <c r="X1322">
        <f>VLOOKUP(Table9[[#This Row],[Shortname]], Comp[], 21, FALSE)</f>
        <v>0</v>
      </c>
      <c r="Y1322">
        <f>VLOOKUP(Table9[[#This Row],[Shortname]], Comp[], 22, FALSE)</f>
        <v>0</v>
      </c>
      <c r="Z1322">
        <f>VLOOKUP(Table9[[#This Row],[Shortname]], Comp[], 23, FALSE)</f>
        <v>12.24</v>
      </c>
      <c r="AA1322">
        <f>VLOOKUP(Table9[[#This Row],[Shortname]], Comp[], 24, FALSE)</f>
        <v>0</v>
      </c>
      <c r="AB1322">
        <f>VLOOKUP(Table9[[#This Row],[Shortname]], Comp[], 25, FALSE)</f>
        <v>0</v>
      </c>
      <c r="AC1322">
        <f>VLOOKUP(Table9[[#This Row],[Shortname]], Comp[], 26, FALSE)</f>
        <v>0</v>
      </c>
      <c r="AD1322">
        <f>VLOOKUP(Table9[[#This Row],[Shortname]], Comp[], 27, FALSE)</f>
        <v>0</v>
      </c>
      <c r="AE1322">
        <f>VLOOKUP(Table9[[#This Row],[Shortname]], Comp[], 28, FALSE)</f>
        <v>0</v>
      </c>
      <c r="AF1322">
        <f>VLOOKUP(Table9[[#This Row],[Shortname]], Comp[], 29, FALSE)</f>
        <v>0</v>
      </c>
      <c r="AG1322">
        <f>VLOOKUP(Table9[[#This Row],[Shortname]], Comp[], 30, FALSE)</f>
        <v>0</v>
      </c>
      <c r="AH1322">
        <f>VLOOKUP(Table9[[#This Row],[Shortname]], Comp[], 31, FALSE)</f>
        <v>0</v>
      </c>
    </row>
    <row r="1323" spans="1:34" x14ac:dyDescent="0.3">
      <c r="A1323" t="s">
        <v>6445</v>
      </c>
      <c r="B1323" t="s">
        <v>6446</v>
      </c>
      <c r="C1323" t="s">
        <v>6431</v>
      </c>
      <c r="D1323">
        <v>490.07499999999999</v>
      </c>
      <c r="E1323">
        <v>875</v>
      </c>
      <c r="F1323">
        <v>1E-4</v>
      </c>
      <c r="G1323">
        <v>1</v>
      </c>
      <c r="I1323">
        <f>VLOOKUP(Table9[[#This Row],[Shortname]], Comp[], 6, FALSE)</f>
        <v>1075</v>
      </c>
      <c r="J1323" s="14">
        <f>VLOOKUP(Table9[[#This Row],[Shortname]], Comp[], 7, FALSE)</f>
        <v>48.260000000000005</v>
      </c>
      <c r="K1323">
        <f>VLOOKUP(Table9[[#This Row],[Shortname]], Comp[], 8, FALSE)</f>
        <v>17.440000000000001</v>
      </c>
      <c r="L1323">
        <f>VLOOKUP(Table9[[#This Row],[Shortname]], Comp[], 9, FALSE)</f>
        <v>5.44</v>
      </c>
      <c r="M1323">
        <f>VLOOKUP(Table9[[#This Row],[Shortname]], Comp[], 10, FALSE)</f>
        <v>8.32</v>
      </c>
      <c r="N1323">
        <f>VLOOKUP(Table9[[#This Row],[Shortname]], Comp[], 11, FALSE)</f>
        <v>0</v>
      </c>
      <c r="O1323">
        <f>VLOOKUP(Table9[[#This Row],[Shortname]], Comp[],12, FALSE)</f>
        <v>2.08</v>
      </c>
      <c r="P1323">
        <f>VLOOKUP(Table9[[#This Row],[Shortname]], Comp[], 13, FALSE)</f>
        <v>1.55</v>
      </c>
      <c r="Q1323">
        <f>VLOOKUP(Table9[[#This Row],[Shortname]], Comp[], 14, FALSE)</f>
        <v>1.48</v>
      </c>
      <c r="R1323">
        <f>VLOOKUP(Table9[[#This Row],[Shortname]], Comp[], 15, FALSE)</f>
        <v>3.11</v>
      </c>
      <c r="S1323">
        <f>VLOOKUP(Table9[[#This Row],[Shortname]], Comp[], 16, FALSE)</f>
        <v>0</v>
      </c>
      <c r="T1323">
        <f>VLOOKUP(Table9[[#This Row],[Shortname]], Comp[], 17, FALSE)</f>
        <v>0</v>
      </c>
      <c r="U1323">
        <f>VLOOKUP(Table9[[#This Row],[Shortname]], Comp[], 18, FALSE)</f>
        <v>0</v>
      </c>
      <c r="V1323">
        <f>VLOOKUP(Table9[[#This Row],[Shortname]], Comp[], 19, FALSE)</f>
        <v>0.08</v>
      </c>
      <c r="W1323">
        <f>VLOOKUP(Table9[[#This Row],[Shortname]], Comp[], 20, FALSE)</f>
        <v>0</v>
      </c>
      <c r="X1323">
        <f>VLOOKUP(Table9[[#This Row],[Shortname]], Comp[], 21, FALSE)</f>
        <v>0</v>
      </c>
      <c r="Y1323">
        <f>VLOOKUP(Table9[[#This Row],[Shortname]], Comp[], 22, FALSE)</f>
        <v>0</v>
      </c>
      <c r="Z1323">
        <f>VLOOKUP(Table9[[#This Row],[Shortname]], Comp[], 23, FALSE)</f>
        <v>12.24</v>
      </c>
      <c r="AA1323">
        <f>VLOOKUP(Table9[[#This Row],[Shortname]], Comp[], 24, FALSE)</f>
        <v>0</v>
      </c>
      <c r="AB1323">
        <f>VLOOKUP(Table9[[#This Row],[Shortname]], Comp[], 25, FALSE)</f>
        <v>0</v>
      </c>
      <c r="AC1323">
        <f>VLOOKUP(Table9[[#This Row],[Shortname]], Comp[], 26, FALSE)</f>
        <v>0</v>
      </c>
      <c r="AD1323">
        <f>VLOOKUP(Table9[[#This Row],[Shortname]], Comp[], 27, FALSE)</f>
        <v>0</v>
      </c>
      <c r="AE1323">
        <f>VLOOKUP(Table9[[#This Row],[Shortname]], Comp[], 28, FALSE)</f>
        <v>0</v>
      </c>
      <c r="AF1323">
        <f>VLOOKUP(Table9[[#This Row],[Shortname]], Comp[], 29, FALSE)</f>
        <v>0</v>
      </c>
      <c r="AG1323">
        <f>VLOOKUP(Table9[[#This Row],[Shortname]], Comp[], 30, FALSE)</f>
        <v>0</v>
      </c>
      <c r="AH1323">
        <f>VLOOKUP(Table9[[#This Row],[Shortname]], Comp[], 31, FALSE)</f>
        <v>0</v>
      </c>
    </row>
    <row r="1324" spans="1:34" x14ac:dyDescent="0.3">
      <c r="A1324" t="s">
        <v>6445</v>
      </c>
      <c r="B1324" t="s">
        <v>6446</v>
      </c>
      <c r="C1324" t="s">
        <v>6431</v>
      </c>
      <c r="D1324">
        <v>357.65870000000001</v>
      </c>
      <c r="E1324">
        <v>925</v>
      </c>
      <c r="F1324">
        <v>1E-4</v>
      </c>
      <c r="G1324">
        <v>1</v>
      </c>
      <c r="I1324">
        <f>VLOOKUP(Table9[[#This Row],[Shortname]], Comp[], 6, FALSE)</f>
        <v>1075</v>
      </c>
      <c r="J1324" s="14">
        <f>VLOOKUP(Table9[[#This Row],[Shortname]], Comp[], 7, FALSE)</f>
        <v>48.260000000000005</v>
      </c>
      <c r="K1324">
        <f>VLOOKUP(Table9[[#This Row],[Shortname]], Comp[], 8, FALSE)</f>
        <v>17.440000000000001</v>
      </c>
      <c r="L1324">
        <f>VLOOKUP(Table9[[#This Row],[Shortname]], Comp[], 9, FALSE)</f>
        <v>5.44</v>
      </c>
      <c r="M1324">
        <f>VLOOKUP(Table9[[#This Row],[Shortname]], Comp[], 10, FALSE)</f>
        <v>8.32</v>
      </c>
      <c r="N1324">
        <f>VLOOKUP(Table9[[#This Row],[Shortname]], Comp[], 11, FALSE)</f>
        <v>0</v>
      </c>
      <c r="O1324">
        <f>VLOOKUP(Table9[[#This Row],[Shortname]], Comp[],12, FALSE)</f>
        <v>2.08</v>
      </c>
      <c r="P1324">
        <f>VLOOKUP(Table9[[#This Row],[Shortname]], Comp[], 13, FALSE)</f>
        <v>1.55</v>
      </c>
      <c r="Q1324">
        <f>VLOOKUP(Table9[[#This Row],[Shortname]], Comp[], 14, FALSE)</f>
        <v>1.48</v>
      </c>
      <c r="R1324">
        <f>VLOOKUP(Table9[[#This Row],[Shortname]], Comp[], 15, FALSE)</f>
        <v>3.11</v>
      </c>
      <c r="S1324">
        <f>VLOOKUP(Table9[[#This Row],[Shortname]], Comp[], 16, FALSE)</f>
        <v>0</v>
      </c>
      <c r="T1324">
        <f>VLOOKUP(Table9[[#This Row],[Shortname]], Comp[], 17, FALSE)</f>
        <v>0</v>
      </c>
      <c r="U1324">
        <f>VLOOKUP(Table9[[#This Row],[Shortname]], Comp[], 18, FALSE)</f>
        <v>0</v>
      </c>
      <c r="V1324">
        <f>VLOOKUP(Table9[[#This Row],[Shortname]], Comp[], 19, FALSE)</f>
        <v>0.08</v>
      </c>
      <c r="W1324">
        <f>VLOOKUP(Table9[[#This Row],[Shortname]], Comp[], 20, FALSE)</f>
        <v>0</v>
      </c>
      <c r="X1324">
        <f>VLOOKUP(Table9[[#This Row],[Shortname]], Comp[], 21, FALSE)</f>
        <v>0</v>
      </c>
      <c r="Y1324">
        <f>VLOOKUP(Table9[[#This Row],[Shortname]], Comp[], 22, FALSE)</f>
        <v>0</v>
      </c>
      <c r="Z1324">
        <f>VLOOKUP(Table9[[#This Row],[Shortname]], Comp[], 23, FALSE)</f>
        <v>12.24</v>
      </c>
      <c r="AA1324">
        <f>VLOOKUP(Table9[[#This Row],[Shortname]], Comp[], 24, FALSE)</f>
        <v>0</v>
      </c>
      <c r="AB1324">
        <f>VLOOKUP(Table9[[#This Row],[Shortname]], Comp[], 25, FALSE)</f>
        <v>0</v>
      </c>
      <c r="AC1324">
        <f>VLOOKUP(Table9[[#This Row],[Shortname]], Comp[], 26, FALSE)</f>
        <v>0</v>
      </c>
      <c r="AD1324">
        <f>VLOOKUP(Table9[[#This Row],[Shortname]], Comp[], 27, FALSE)</f>
        <v>0</v>
      </c>
      <c r="AE1324">
        <f>VLOOKUP(Table9[[#This Row],[Shortname]], Comp[], 28, FALSE)</f>
        <v>0</v>
      </c>
      <c r="AF1324">
        <f>VLOOKUP(Table9[[#This Row],[Shortname]], Comp[], 29, FALSE)</f>
        <v>0</v>
      </c>
      <c r="AG1324">
        <f>VLOOKUP(Table9[[#This Row],[Shortname]], Comp[], 30, FALSE)</f>
        <v>0</v>
      </c>
      <c r="AH1324">
        <f>VLOOKUP(Table9[[#This Row],[Shortname]], Comp[], 31, FALSE)</f>
        <v>0</v>
      </c>
    </row>
    <row r="1325" spans="1:34" x14ac:dyDescent="0.3">
      <c r="A1325" t="s">
        <v>6445</v>
      </c>
      <c r="B1325" t="s">
        <v>6446</v>
      </c>
      <c r="C1325" t="s">
        <v>6431</v>
      </c>
      <c r="D1325">
        <v>212.84469999999999</v>
      </c>
      <c r="E1325">
        <v>975</v>
      </c>
      <c r="F1325">
        <v>1E-4</v>
      </c>
      <c r="G1325">
        <v>1</v>
      </c>
      <c r="I1325">
        <f>VLOOKUP(Table9[[#This Row],[Shortname]], Comp[], 6, FALSE)</f>
        <v>1075</v>
      </c>
      <c r="J1325" s="14">
        <f>VLOOKUP(Table9[[#This Row],[Shortname]], Comp[], 7, FALSE)</f>
        <v>48.260000000000005</v>
      </c>
      <c r="K1325">
        <f>VLOOKUP(Table9[[#This Row],[Shortname]], Comp[], 8, FALSE)</f>
        <v>17.440000000000001</v>
      </c>
      <c r="L1325">
        <f>VLOOKUP(Table9[[#This Row],[Shortname]], Comp[], 9, FALSE)</f>
        <v>5.44</v>
      </c>
      <c r="M1325">
        <f>VLOOKUP(Table9[[#This Row],[Shortname]], Comp[], 10, FALSE)</f>
        <v>8.32</v>
      </c>
      <c r="N1325">
        <f>VLOOKUP(Table9[[#This Row],[Shortname]], Comp[], 11, FALSE)</f>
        <v>0</v>
      </c>
      <c r="O1325">
        <f>VLOOKUP(Table9[[#This Row],[Shortname]], Comp[],12, FALSE)</f>
        <v>2.08</v>
      </c>
      <c r="P1325">
        <f>VLOOKUP(Table9[[#This Row],[Shortname]], Comp[], 13, FALSE)</f>
        <v>1.55</v>
      </c>
      <c r="Q1325">
        <f>VLOOKUP(Table9[[#This Row],[Shortname]], Comp[], 14, FALSE)</f>
        <v>1.48</v>
      </c>
      <c r="R1325">
        <f>VLOOKUP(Table9[[#This Row],[Shortname]], Comp[], 15, FALSE)</f>
        <v>3.11</v>
      </c>
      <c r="S1325">
        <f>VLOOKUP(Table9[[#This Row],[Shortname]], Comp[], 16, FALSE)</f>
        <v>0</v>
      </c>
      <c r="T1325">
        <f>VLOOKUP(Table9[[#This Row],[Shortname]], Comp[], 17, FALSE)</f>
        <v>0</v>
      </c>
      <c r="U1325">
        <f>VLOOKUP(Table9[[#This Row],[Shortname]], Comp[], 18, FALSE)</f>
        <v>0</v>
      </c>
      <c r="V1325">
        <f>VLOOKUP(Table9[[#This Row],[Shortname]], Comp[], 19, FALSE)</f>
        <v>0.08</v>
      </c>
      <c r="W1325">
        <f>VLOOKUP(Table9[[#This Row],[Shortname]], Comp[], 20, FALSE)</f>
        <v>0</v>
      </c>
      <c r="X1325">
        <f>VLOOKUP(Table9[[#This Row],[Shortname]], Comp[], 21, FALSE)</f>
        <v>0</v>
      </c>
      <c r="Y1325">
        <f>VLOOKUP(Table9[[#This Row],[Shortname]], Comp[], 22, FALSE)</f>
        <v>0</v>
      </c>
      <c r="Z1325">
        <f>VLOOKUP(Table9[[#This Row],[Shortname]], Comp[], 23, FALSE)</f>
        <v>12.24</v>
      </c>
      <c r="AA1325">
        <f>VLOOKUP(Table9[[#This Row],[Shortname]], Comp[], 24, FALSE)</f>
        <v>0</v>
      </c>
      <c r="AB1325">
        <f>VLOOKUP(Table9[[#This Row],[Shortname]], Comp[], 25, FALSE)</f>
        <v>0</v>
      </c>
      <c r="AC1325">
        <f>VLOOKUP(Table9[[#This Row],[Shortname]], Comp[], 26, FALSE)</f>
        <v>0</v>
      </c>
      <c r="AD1325">
        <f>VLOOKUP(Table9[[#This Row],[Shortname]], Comp[], 27, FALSE)</f>
        <v>0</v>
      </c>
      <c r="AE1325">
        <f>VLOOKUP(Table9[[#This Row],[Shortname]], Comp[], 28, FALSE)</f>
        <v>0</v>
      </c>
      <c r="AF1325">
        <f>VLOOKUP(Table9[[#This Row],[Shortname]], Comp[], 29, FALSE)</f>
        <v>0</v>
      </c>
      <c r="AG1325">
        <f>VLOOKUP(Table9[[#This Row],[Shortname]], Comp[], 30, FALSE)</f>
        <v>0</v>
      </c>
      <c r="AH1325">
        <f>VLOOKUP(Table9[[#This Row],[Shortname]], Comp[], 31, FALSE)</f>
        <v>0</v>
      </c>
    </row>
    <row r="1326" spans="1:34" x14ac:dyDescent="0.3">
      <c r="A1326" t="s">
        <v>6435</v>
      </c>
      <c r="B1326" t="s">
        <v>6436</v>
      </c>
      <c r="C1326" t="s">
        <v>6431</v>
      </c>
      <c r="D1326">
        <v>624.73490000000004</v>
      </c>
      <c r="E1326">
        <v>25</v>
      </c>
      <c r="F1326">
        <v>1E-4</v>
      </c>
      <c r="G1326">
        <v>1</v>
      </c>
      <c r="I1326">
        <f>VLOOKUP(Table9[[#This Row],[Shortname]], Comp[], 6, FALSE)</f>
        <v>1073</v>
      </c>
      <c r="J1326" s="14">
        <f>VLOOKUP(Table9[[#This Row],[Shortname]], Comp[], 7, FALSE)</f>
        <v>52.14</v>
      </c>
      <c r="K1326">
        <f>VLOOKUP(Table9[[#This Row],[Shortname]], Comp[], 8, FALSE)</f>
        <v>15.53</v>
      </c>
      <c r="L1326">
        <f>VLOOKUP(Table9[[#This Row],[Shortname]], Comp[], 9, FALSE)</f>
        <v>5.63</v>
      </c>
      <c r="M1326">
        <f>VLOOKUP(Table9[[#This Row],[Shortname]], Comp[], 10, FALSE)</f>
        <v>4.18</v>
      </c>
      <c r="N1326">
        <f>VLOOKUP(Table9[[#This Row],[Shortname]], Comp[], 11, FALSE)</f>
        <v>0</v>
      </c>
      <c r="O1326">
        <f>VLOOKUP(Table9[[#This Row],[Shortname]], Comp[],12, FALSE)</f>
        <v>2.0699999999999998</v>
      </c>
      <c r="P1326">
        <f>VLOOKUP(Table9[[#This Row],[Shortname]], Comp[], 13, FALSE)</f>
        <v>1.49</v>
      </c>
      <c r="Q1326">
        <f>VLOOKUP(Table9[[#This Row],[Shortname]], Comp[], 14, FALSE)</f>
        <v>1.5</v>
      </c>
      <c r="R1326">
        <f>VLOOKUP(Table9[[#This Row],[Shortname]], Comp[], 15, FALSE)</f>
        <v>3.07</v>
      </c>
      <c r="S1326">
        <f>VLOOKUP(Table9[[#This Row],[Shortname]], Comp[], 16, FALSE)</f>
        <v>0</v>
      </c>
      <c r="T1326">
        <f>VLOOKUP(Table9[[#This Row],[Shortname]], Comp[], 17, FALSE)</f>
        <v>0</v>
      </c>
      <c r="U1326">
        <f>VLOOKUP(Table9[[#This Row],[Shortname]], Comp[], 18, FALSE)</f>
        <v>0</v>
      </c>
      <c r="V1326">
        <f>VLOOKUP(Table9[[#This Row],[Shortname]], Comp[], 19, FALSE)</f>
        <v>0.08</v>
      </c>
      <c r="W1326">
        <f>VLOOKUP(Table9[[#This Row],[Shortname]], Comp[], 20, FALSE)</f>
        <v>0</v>
      </c>
      <c r="X1326">
        <f>VLOOKUP(Table9[[#This Row],[Shortname]], Comp[], 21, FALSE)</f>
        <v>0</v>
      </c>
      <c r="Y1326">
        <f>VLOOKUP(Table9[[#This Row],[Shortname]], Comp[], 22, FALSE)</f>
        <v>0</v>
      </c>
      <c r="Z1326">
        <f>VLOOKUP(Table9[[#This Row],[Shortname]], Comp[], 23, FALSE)</f>
        <v>14.31</v>
      </c>
      <c r="AA1326">
        <f>VLOOKUP(Table9[[#This Row],[Shortname]], Comp[], 24, FALSE)</f>
        <v>0</v>
      </c>
      <c r="AB1326">
        <f>VLOOKUP(Table9[[#This Row],[Shortname]], Comp[], 25, FALSE)</f>
        <v>0</v>
      </c>
      <c r="AC1326">
        <f>VLOOKUP(Table9[[#This Row],[Shortname]], Comp[], 26, FALSE)</f>
        <v>0</v>
      </c>
      <c r="AD1326">
        <f>VLOOKUP(Table9[[#This Row],[Shortname]], Comp[], 27, FALSE)</f>
        <v>0</v>
      </c>
      <c r="AE1326">
        <f>VLOOKUP(Table9[[#This Row],[Shortname]], Comp[], 28, FALSE)</f>
        <v>0</v>
      </c>
      <c r="AF1326">
        <f>VLOOKUP(Table9[[#This Row],[Shortname]], Comp[], 29, FALSE)</f>
        <v>0</v>
      </c>
      <c r="AG1326">
        <f>VLOOKUP(Table9[[#This Row],[Shortname]], Comp[], 30, FALSE)</f>
        <v>0</v>
      </c>
      <c r="AH1326">
        <f>VLOOKUP(Table9[[#This Row],[Shortname]], Comp[], 31, FALSE)</f>
        <v>0</v>
      </c>
    </row>
    <row r="1327" spans="1:34" x14ac:dyDescent="0.3">
      <c r="A1327" t="s">
        <v>6435</v>
      </c>
      <c r="B1327" t="s">
        <v>6436</v>
      </c>
      <c r="C1327" t="s">
        <v>6431</v>
      </c>
      <c r="D1327">
        <v>508.32530000000003</v>
      </c>
      <c r="E1327">
        <v>575</v>
      </c>
      <c r="F1327">
        <v>1E-4</v>
      </c>
      <c r="G1327">
        <v>1</v>
      </c>
      <c r="I1327">
        <f>VLOOKUP(Table9[[#This Row],[Shortname]], Comp[], 6, FALSE)</f>
        <v>1073</v>
      </c>
      <c r="J1327" s="14">
        <f>VLOOKUP(Table9[[#This Row],[Shortname]], Comp[], 7, FALSE)</f>
        <v>52.14</v>
      </c>
      <c r="K1327">
        <f>VLOOKUP(Table9[[#This Row],[Shortname]], Comp[], 8, FALSE)</f>
        <v>15.53</v>
      </c>
      <c r="L1327">
        <f>VLOOKUP(Table9[[#This Row],[Shortname]], Comp[], 9, FALSE)</f>
        <v>5.63</v>
      </c>
      <c r="M1327">
        <f>VLOOKUP(Table9[[#This Row],[Shortname]], Comp[], 10, FALSE)</f>
        <v>4.18</v>
      </c>
      <c r="N1327">
        <f>VLOOKUP(Table9[[#This Row],[Shortname]], Comp[], 11, FALSE)</f>
        <v>0</v>
      </c>
      <c r="O1327">
        <f>VLOOKUP(Table9[[#This Row],[Shortname]], Comp[],12, FALSE)</f>
        <v>2.0699999999999998</v>
      </c>
      <c r="P1327">
        <f>VLOOKUP(Table9[[#This Row],[Shortname]], Comp[], 13, FALSE)</f>
        <v>1.49</v>
      </c>
      <c r="Q1327">
        <f>VLOOKUP(Table9[[#This Row],[Shortname]], Comp[], 14, FALSE)</f>
        <v>1.5</v>
      </c>
      <c r="R1327">
        <f>VLOOKUP(Table9[[#This Row],[Shortname]], Comp[], 15, FALSE)</f>
        <v>3.07</v>
      </c>
      <c r="S1327">
        <f>VLOOKUP(Table9[[#This Row],[Shortname]], Comp[], 16, FALSE)</f>
        <v>0</v>
      </c>
      <c r="T1327">
        <f>VLOOKUP(Table9[[#This Row],[Shortname]], Comp[], 17, FALSE)</f>
        <v>0</v>
      </c>
      <c r="U1327">
        <f>VLOOKUP(Table9[[#This Row],[Shortname]], Comp[], 18, FALSE)</f>
        <v>0</v>
      </c>
      <c r="V1327">
        <f>VLOOKUP(Table9[[#This Row],[Shortname]], Comp[], 19, FALSE)</f>
        <v>0.08</v>
      </c>
      <c r="W1327">
        <f>VLOOKUP(Table9[[#This Row],[Shortname]], Comp[], 20, FALSE)</f>
        <v>0</v>
      </c>
      <c r="X1327">
        <f>VLOOKUP(Table9[[#This Row],[Shortname]], Comp[], 21, FALSE)</f>
        <v>0</v>
      </c>
      <c r="Y1327">
        <f>VLOOKUP(Table9[[#This Row],[Shortname]], Comp[], 22, FALSE)</f>
        <v>0</v>
      </c>
      <c r="Z1327">
        <f>VLOOKUP(Table9[[#This Row],[Shortname]], Comp[], 23, FALSE)</f>
        <v>14.31</v>
      </c>
      <c r="AA1327">
        <f>VLOOKUP(Table9[[#This Row],[Shortname]], Comp[], 24, FALSE)</f>
        <v>0</v>
      </c>
      <c r="AB1327">
        <f>VLOOKUP(Table9[[#This Row],[Shortname]], Comp[], 25, FALSE)</f>
        <v>0</v>
      </c>
      <c r="AC1327">
        <f>VLOOKUP(Table9[[#This Row],[Shortname]], Comp[], 26, FALSE)</f>
        <v>0</v>
      </c>
      <c r="AD1327">
        <f>VLOOKUP(Table9[[#This Row],[Shortname]], Comp[], 27, FALSE)</f>
        <v>0</v>
      </c>
      <c r="AE1327">
        <f>VLOOKUP(Table9[[#This Row],[Shortname]], Comp[], 28, FALSE)</f>
        <v>0</v>
      </c>
      <c r="AF1327">
        <f>VLOOKUP(Table9[[#This Row],[Shortname]], Comp[], 29, FALSE)</f>
        <v>0</v>
      </c>
      <c r="AG1327">
        <f>VLOOKUP(Table9[[#This Row],[Shortname]], Comp[], 30, FALSE)</f>
        <v>0</v>
      </c>
      <c r="AH1327">
        <f>VLOOKUP(Table9[[#This Row],[Shortname]], Comp[], 31, FALSE)</f>
        <v>0</v>
      </c>
    </row>
    <row r="1328" spans="1:34" x14ac:dyDescent="0.3">
      <c r="A1328" t="s">
        <v>6435</v>
      </c>
      <c r="B1328" t="s">
        <v>6436</v>
      </c>
      <c r="C1328" t="s">
        <v>6431</v>
      </c>
      <c r="D1328">
        <v>507.065</v>
      </c>
      <c r="E1328">
        <v>650</v>
      </c>
      <c r="F1328">
        <v>1E-4</v>
      </c>
      <c r="G1328">
        <v>1</v>
      </c>
      <c r="I1328">
        <f>VLOOKUP(Table9[[#This Row],[Shortname]], Comp[], 6, FALSE)</f>
        <v>1073</v>
      </c>
      <c r="J1328" s="14">
        <f>VLOOKUP(Table9[[#This Row],[Shortname]], Comp[], 7, FALSE)</f>
        <v>52.14</v>
      </c>
      <c r="K1328">
        <f>VLOOKUP(Table9[[#This Row],[Shortname]], Comp[], 8, FALSE)</f>
        <v>15.53</v>
      </c>
      <c r="L1328">
        <f>VLOOKUP(Table9[[#This Row],[Shortname]], Comp[], 9, FALSE)</f>
        <v>5.63</v>
      </c>
      <c r="M1328">
        <f>VLOOKUP(Table9[[#This Row],[Shortname]], Comp[], 10, FALSE)</f>
        <v>4.18</v>
      </c>
      <c r="N1328">
        <f>VLOOKUP(Table9[[#This Row],[Shortname]], Comp[], 11, FALSE)</f>
        <v>0</v>
      </c>
      <c r="O1328">
        <f>VLOOKUP(Table9[[#This Row],[Shortname]], Comp[],12, FALSE)</f>
        <v>2.0699999999999998</v>
      </c>
      <c r="P1328">
        <f>VLOOKUP(Table9[[#This Row],[Shortname]], Comp[], 13, FALSE)</f>
        <v>1.49</v>
      </c>
      <c r="Q1328">
        <f>VLOOKUP(Table9[[#This Row],[Shortname]], Comp[], 14, FALSE)</f>
        <v>1.5</v>
      </c>
      <c r="R1328">
        <f>VLOOKUP(Table9[[#This Row],[Shortname]], Comp[], 15, FALSE)</f>
        <v>3.07</v>
      </c>
      <c r="S1328">
        <f>VLOOKUP(Table9[[#This Row],[Shortname]], Comp[], 16, FALSE)</f>
        <v>0</v>
      </c>
      <c r="T1328">
        <f>VLOOKUP(Table9[[#This Row],[Shortname]], Comp[], 17, FALSE)</f>
        <v>0</v>
      </c>
      <c r="U1328">
        <f>VLOOKUP(Table9[[#This Row],[Shortname]], Comp[], 18, FALSE)</f>
        <v>0</v>
      </c>
      <c r="V1328">
        <f>VLOOKUP(Table9[[#This Row],[Shortname]], Comp[], 19, FALSE)</f>
        <v>0.08</v>
      </c>
      <c r="W1328">
        <f>VLOOKUP(Table9[[#This Row],[Shortname]], Comp[], 20, FALSE)</f>
        <v>0</v>
      </c>
      <c r="X1328">
        <f>VLOOKUP(Table9[[#This Row],[Shortname]], Comp[], 21, FALSE)</f>
        <v>0</v>
      </c>
      <c r="Y1328">
        <f>VLOOKUP(Table9[[#This Row],[Shortname]], Comp[], 22, FALSE)</f>
        <v>0</v>
      </c>
      <c r="Z1328">
        <f>VLOOKUP(Table9[[#This Row],[Shortname]], Comp[], 23, FALSE)</f>
        <v>14.31</v>
      </c>
      <c r="AA1328">
        <f>VLOOKUP(Table9[[#This Row],[Shortname]], Comp[], 24, FALSE)</f>
        <v>0</v>
      </c>
      <c r="AB1328">
        <f>VLOOKUP(Table9[[#This Row],[Shortname]], Comp[], 25, FALSE)</f>
        <v>0</v>
      </c>
      <c r="AC1328">
        <f>VLOOKUP(Table9[[#This Row],[Shortname]], Comp[], 26, FALSE)</f>
        <v>0</v>
      </c>
      <c r="AD1328">
        <f>VLOOKUP(Table9[[#This Row],[Shortname]], Comp[], 27, FALSE)</f>
        <v>0</v>
      </c>
      <c r="AE1328">
        <f>VLOOKUP(Table9[[#This Row],[Shortname]], Comp[], 28, FALSE)</f>
        <v>0</v>
      </c>
      <c r="AF1328">
        <f>VLOOKUP(Table9[[#This Row],[Shortname]], Comp[], 29, FALSE)</f>
        <v>0</v>
      </c>
      <c r="AG1328">
        <f>VLOOKUP(Table9[[#This Row],[Shortname]], Comp[], 30, FALSE)</f>
        <v>0</v>
      </c>
      <c r="AH1328">
        <f>VLOOKUP(Table9[[#This Row],[Shortname]], Comp[], 31, FALSE)</f>
        <v>0</v>
      </c>
    </row>
    <row r="1329" spans="1:34" x14ac:dyDescent="0.3">
      <c r="A1329" t="s">
        <v>6435</v>
      </c>
      <c r="B1329" t="s">
        <v>6436</v>
      </c>
      <c r="C1329" t="s">
        <v>6431</v>
      </c>
      <c r="D1329">
        <v>538.78399999999999</v>
      </c>
      <c r="E1329">
        <v>725</v>
      </c>
      <c r="F1329">
        <v>1E-4</v>
      </c>
      <c r="G1329">
        <v>1</v>
      </c>
      <c r="I1329">
        <f>VLOOKUP(Table9[[#This Row],[Shortname]], Comp[], 6, FALSE)</f>
        <v>1073</v>
      </c>
      <c r="J1329" s="14">
        <f>VLOOKUP(Table9[[#This Row],[Shortname]], Comp[], 7, FALSE)</f>
        <v>52.14</v>
      </c>
      <c r="K1329">
        <f>VLOOKUP(Table9[[#This Row],[Shortname]], Comp[], 8, FALSE)</f>
        <v>15.53</v>
      </c>
      <c r="L1329">
        <f>VLOOKUP(Table9[[#This Row],[Shortname]], Comp[], 9, FALSE)</f>
        <v>5.63</v>
      </c>
      <c r="M1329">
        <f>VLOOKUP(Table9[[#This Row],[Shortname]], Comp[], 10, FALSE)</f>
        <v>4.18</v>
      </c>
      <c r="N1329">
        <f>VLOOKUP(Table9[[#This Row],[Shortname]], Comp[], 11, FALSE)</f>
        <v>0</v>
      </c>
      <c r="O1329">
        <f>VLOOKUP(Table9[[#This Row],[Shortname]], Comp[],12, FALSE)</f>
        <v>2.0699999999999998</v>
      </c>
      <c r="P1329">
        <f>VLOOKUP(Table9[[#This Row],[Shortname]], Comp[], 13, FALSE)</f>
        <v>1.49</v>
      </c>
      <c r="Q1329">
        <f>VLOOKUP(Table9[[#This Row],[Shortname]], Comp[], 14, FALSE)</f>
        <v>1.5</v>
      </c>
      <c r="R1329">
        <f>VLOOKUP(Table9[[#This Row],[Shortname]], Comp[], 15, FALSE)</f>
        <v>3.07</v>
      </c>
      <c r="S1329">
        <f>VLOOKUP(Table9[[#This Row],[Shortname]], Comp[], 16, FALSE)</f>
        <v>0</v>
      </c>
      <c r="T1329">
        <f>VLOOKUP(Table9[[#This Row],[Shortname]], Comp[], 17, FALSE)</f>
        <v>0</v>
      </c>
      <c r="U1329">
        <f>VLOOKUP(Table9[[#This Row],[Shortname]], Comp[], 18, FALSE)</f>
        <v>0</v>
      </c>
      <c r="V1329">
        <f>VLOOKUP(Table9[[#This Row],[Shortname]], Comp[], 19, FALSE)</f>
        <v>0.08</v>
      </c>
      <c r="W1329">
        <f>VLOOKUP(Table9[[#This Row],[Shortname]], Comp[], 20, FALSE)</f>
        <v>0</v>
      </c>
      <c r="X1329">
        <f>VLOOKUP(Table9[[#This Row],[Shortname]], Comp[], 21, FALSE)</f>
        <v>0</v>
      </c>
      <c r="Y1329">
        <f>VLOOKUP(Table9[[#This Row],[Shortname]], Comp[], 22, FALSE)</f>
        <v>0</v>
      </c>
      <c r="Z1329">
        <f>VLOOKUP(Table9[[#This Row],[Shortname]], Comp[], 23, FALSE)</f>
        <v>14.31</v>
      </c>
      <c r="AA1329">
        <f>VLOOKUP(Table9[[#This Row],[Shortname]], Comp[], 24, FALSE)</f>
        <v>0</v>
      </c>
      <c r="AB1329">
        <f>VLOOKUP(Table9[[#This Row],[Shortname]], Comp[], 25, FALSE)</f>
        <v>0</v>
      </c>
      <c r="AC1329">
        <f>VLOOKUP(Table9[[#This Row],[Shortname]], Comp[], 26, FALSE)</f>
        <v>0</v>
      </c>
      <c r="AD1329">
        <f>VLOOKUP(Table9[[#This Row],[Shortname]], Comp[], 27, FALSE)</f>
        <v>0</v>
      </c>
      <c r="AE1329">
        <f>VLOOKUP(Table9[[#This Row],[Shortname]], Comp[], 28, FALSE)</f>
        <v>0</v>
      </c>
      <c r="AF1329">
        <f>VLOOKUP(Table9[[#This Row],[Shortname]], Comp[], 29, FALSE)</f>
        <v>0</v>
      </c>
      <c r="AG1329">
        <f>VLOOKUP(Table9[[#This Row],[Shortname]], Comp[], 30, FALSE)</f>
        <v>0</v>
      </c>
      <c r="AH1329">
        <f>VLOOKUP(Table9[[#This Row],[Shortname]], Comp[], 31, FALSE)</f>
        <v>0</v>
      </c>
    </row>
    <row r="1330" spans="1:34" x14ac:dyDescent="0.3">
      <c r="A1330" t="s">
        <v>6435</v>
      </c>
      <c r="B1330" t="s">
        <v>6436</v>
      </c>
      <c r="C1330" t="s">
        <v>6431</v>
      </c>
      <c r="D1330">
        <v>580.94669999999996</v>
      </c>
      <c r="E1330">
        <v>775</v>
      </c>
      <c r="F1330">
        <v>1E-4</v>
      </c>
      <c r="G1330">
        <v>1</v>
      </c>
      <c r="I1330">
        <f>VLOOKUP(Table9[[#This Row],[Shortname]], Comp[], 6, FALSE)</f>
        <v>1073</v>
      </c>
      <c r="J1330" s="14">
        <f>VLOOKUP(Table9[[#This Row],[Shortname]], Comp[], 7, FALSE)</f>
        <v>52.14</v>
      </c>
      <c r="K1330">
        <f>VLOOKUP(Table9[[#This Row],[Shortname]], Comp[], 8, FALSE)</f>
        <v>15.53</v>
      </c>
      <c r="L1330">
        <f>VLOOKUP(Table9[[#This Row],[Shortname]], Comp[], 9, FALSE)</f>
        <v>5.63</v>
      </c>
      <c r="M1330">
        <f>VLOOKUP(Table9[[#This Row],[Shortname]], Comp[], 10, FALSE)</f>
        <v>4.18</v>
      </c>
      <c r="N1330">
        <f>VLOOKUP(Table9[[#This Row],[Shortname]], Comp[], 11, FALSE)</f>
        <v>0</v>
      </c>
      <c r="O1330">
        <f>VLOOKUP(Table9[[#This Row],[Shortname]], Comp[],12, FALSE)</f>
        <v>2.0699999999999998</v>
      </c>
      <c r="P1330">
        <f>VLOOKUP(Table9[[#This Row],[Shortname]], Comp[], 13, FALSE)</f>
        <v>1.49</v>
      </c>
      <c r="Q1330">
        <f>VLOOKUP(Table9[[#This Row],[Shortname]], Comp[], 14, FALSE)</f>
        <v>1.5</v>
      </c>
      <c r="R1330">
        <f>VLOOKUP(Table9[[#This Row],[Shortname]], Comp[], 15, FALSE)</f>
        <v>3.07</v>
      </c>
      <c r="S1330">
        <f>VLOOKUP(Table9[[#This Row],[Shortname]], Comp[], 16, FALSE)</f>
        <v>0</v>
      </c>
      <c r="T1330">
        <f>VLOOKUP(Table9[[#This Row],[Shortname]], Comp[], 17, FALSE)</f>
        <v>0</v>
      </c>
      <c r="U1330">
        <f>VLOOKUP(Table9[[#This Row],[Shortname]], Comp[], 18, FALSE)</f>
        <v>0</v>
      </c>
      <c r="V1330">
        <f>VLOOKUP(Table9[[#This Row],[Shortname]], Comp[], 19, FALSE)</f>
        <v>0.08</v>
      </c>
      <c r="W1330">
        <f>VLOOKUP(Table9[[#This Row],[Shortname]], Comp[], 20, FALSE)</f>
        <v>0</v>
      </c>
      <c r="X1330">
        <f>VLOOKUP(Table9[[#This Row],[Shortname]], Comp[], 21, FALSE)</f>
        <v>0</v>
      </c>
      <c r="Y1330">
        <f>VLOOKUP(Table9[[#This Row],[Shortname]], Comp[], 22, FALSE)</f>
        <v>0</v>
      </c>
      <c r="Z1330">
        <f>VLOOKUP(Table9[[#This Row],[Shortname]], Comp[], 23, FALSE)</f>
        <v>14.31</v>
      </c>
      <c r="AA1330">
        <f>VLOOKUP(Table9[[#This Row],[Shortname]], Comp[], 24, FALSE)</f>
        <v>0</v>
      </c>
      <c r="AB1330">
        <f>VLOOKUP(Table9[[#This Row],[Shortname]], Comp[], 25, FALSE)</f>
        <v>0</v>
      </c>
      <c r="AC1330">
        <f>VLOOKUP(Table9[[#This Row],[Shortname]], Comp[], 26, FALSE)</f>
        <v>0</v>
      </c>
      <c r="AD1330">
        <f>VLOOKUP(Table9[[#This Row],[Shortname]], Comp[], 27, FALSE)</f>
        <v>0</v>
      </c>
      <c r="AE1330">
        <f>VLOOKUP(Table9[[#This Row],[Shortname]], Comp[], 28, FALSE)</f>
        <v>0</v>
      </c>
      <c r="AF1330">
        <f>VLOOKUP(Table9[[#This Row],[Shortname]], Comp[], 29, FALSE)</f>
        <v>0</v>
      </c>
      <c r="AG1330">
        <f>VLOOKUP(Table9[[#This Row],[Shortname]], Comp[], 30, FALSE)</f>
        <v>0</v>
      </c>
      <c r="AH1330">
        <f>VLOOKUP(Table9[[#This Row],[Shortname]], Comp[], 31, FALSE)</f>
        <v>0</v>
      </c>
    </row>
    <row r="1331" spans="1:34" x14ac:dyDescent="0.3">
      <c r="A1331" t="s">
        <v>6435</v>
      </c>
      <c r="B1331" t="s">
        <v>6436</v>
      </c>
      <c r="C1331" t="s">
        <v>6431</v>
      </c>
      <c r="D1331">
        <v>577.26379999999995</v>
      </c>
      <c r="E1331">
        <v>825</v>
      </c>
      <c r="F1331">
        <v>1E-4</v>
      </c>
      <c r="G1331">
        <v>1</v>
      </c>
      <c r="I1331">
        <f>VLOOKUP(Table9[[#This Row],[Shortname]], Comp[], 6, FALSE)</f>
        <v>1073</v>
      </c>
      <c r="J1331" s="14">
        <f>VLOOKUP(Table9[[#This Row],[Shortname]], Comp[], 7, FALSE)</f>
        <v>52.14</v>
      </c>
      <c r="K1331">
        <f>VLOOKUP(Table9[[#This Row],[Shortname]], Comp[], 8, FALSE)</f>
        <v>15.53</v>
      </c>
      <c r="L1331">
        <f>VLOOKUP(Table9[[#This Row],[Shortname]], Comp[], 9, FALSE)</f>
        <v>5.63</v>
      </c>
      <c r="M1331">
        <f>VLOOKUP(Table9[[#This Row],[Shortname]], Comp[], 10, FALSE)</f>
        <v>4.18</v>
      </c>
      <c r="N1331">
        <f>VLOOKUP(Table9[[#This Row],[Shortname]], Comp[], 11, FALSE)</f>
        <v>0</v>
      </c>
      <c r="O1331">
        <f>VLOOKUP(Table9[[#This Row],[Shortname]], Comp[],12, FALSE)</f>
        <v>2.0699999999999998</v>
      </c>
      <c r="P1331">
        <f>VLOOKUP(Table9[[#This Row],[Shortname]], Comp[], 13, FALSE)</f>
        <v>1.49</v>
      </c>
      <c r="Q1331">
        <f>VLOOKUP(Table9[[#This Row],[Shortname]], Comp[], 14, FALSE)</f>
        <v>1.5</v>
      </c>
      <c r="R1331">
        <f>VLOOKUP(Table9[[#This Row],[Shortname]], Comp[], 15, FALSE)</f>
        <v>3.07</v>
      </c>
      <c r="S1331">
        <f>VLOOKUP(Table9[[#This Row],[Shortname]], Comp[], 16, FALSE)</f>
        <v>0</v>
      </c>
      <c r="T1331">
        <f>VLOOKUP(Table9[[#This Row],[Shortname]], Comp[], 17, FALSE)</f>
        <v>0</v>
      </c>
      <c r="U1331">
        <f>VLOOKUP(Table9[[#This Row],[Shortname]], Comp[], 18, FALSE)</f>
        <v>0</v>
      </c>
      <c r="V1331">
        <f>VLOOKUP(Table9[[#This Row],[Shortname]], Comp[], 19, FALSE)</f>
        <v>0.08</v>
      </c>
      <c r="W1331">
        <f>VLOOKUP(Table9[[#This Row],[Shortname]], Comp[], 20, FALSE)</f>
        <v>0</v>
      </c>
      <c r="X1331">
        <f>VLOOKUP(Table9[[#This Row],[Shortname]], Comp[], 21, FALSE)</f>
        <v>0</v>
      </c>
      <c r="Y1331">
        <f>VLOOKUP(Table9[[#This Row],[Shortname]], Comp[], 22, FALSE)</f>
        <v>0</v>
      </c>
      <c r="Z1331">
        <f>VLOOKUP(Table9[[#This Row],[Shortname]], Comp[], 23, FALSE)</f>
        <v>14.31</v>
      </c>
      <c r="AA1331">
        <f>VLOOKUP(Table9[[#This Row],[Shortname]], Comp[], 24, FALSE)</f>
        <v>0</v>
      </c>
      <c r="AB1331">
        <f>VLOOKUP(Table9[[#This Row],[Shortname]], Comp[], 25, FALSE)</f>
        <v>0</v>
      </c>
      <c r="AC1331">
        <f>VLOOKUP(Table9[[#This Row],[Shortname]], Comp[], 26, FALSE)</f>
        <v>0</v>
      </c>
      <c r="AD1331">
        <f>VLOOKUP(Table9[[#This Row],[Shortname]], Comp[], 27, FALSE)</f>
        <v>0</v>
      </c>
      <c r="AE1331">
        <f>VLOOKUP(Table9[[#This Row],[Shortname]], Comp[], 28, FALSE)</f>
        <v>0</v>
      </c>
      <c r="AF1331">
        <f>VLOOKUP(Table9[[#This Row],[Shortname]], Comp[], 29, FALSE)</f>
        <v>0</v>
      </c>
      <c r="AG1331">
        <f>VLOOKUP(Table9[[#This Row],[Shortname]], Comp[], 30, FALSE)</f>
        <v>0</v>
      </c>
      <c r="AH1331">
        <f>VLOOKUP(Table9[[#This Row],[Shortname]], Comp[], 31, FALSE)</f>
        <v>0</v>
      </c>
    </row>
    <row r="1332" spans="1:34" x14ac:dyDescent="0.3">
      <c r="A1332" t="s">
        <v>6435</v>
      </c>
      <c r="B1332" t="s">
        <v>6436</v>
      </c>
      <c r="C1332" t="s">
        <v>6431</v>
      </c>
      <c r="D1332">
        <v>500.61239999999998</v>
      </c>
      <c r="E1332">
        <v>875</v>
      </c>
      <c r="F1332">
        <v>1E-4</v>
      </c>
      <c r="G1332">
        <v>1</v>
      </c>
      <c r="I1332">
        <f>VLOOKUP(Table9[[#This Row],[Shortname]], Comp[], 6, FALSE)</f>
        <v>1073</v>
      </c>
      <c r="J1332" s="14">
        <f>VLOOKUP(Table9[[#This Row],[Shortname]], Comp[], 7, FALSE)</f>
        <v>52.14</v>
      </c>
      <c r="K1332">
        <f>VLOOKUP(Table9[[#This Row],[Shortname]], Comp[], 8, FALSE)</f>
        <v>15.53</v>
      </c>
      <c r="L1332">
        <f>VLOOKUP(Table9[[#This Row],[Shortname]], Comp[], 9, FALSE)</f>
        <v>5.63</v>
      </c>
      <c r="M1332">
        <f>VLOOKUP(Table9[[#This Row],[Shortname]], Comp[], 10, FALSE)</f>
        <v>4.18</v>
      </c>
      <c r="N1332">
        <f>VLOOKUP(Table9[[#This Row],[Shortname]], Comp[], 11, FALSE)</f>
        <v>0</v>
      </c>
      <c r="O1332">
        <f>VLOOKUP(Table9[[#This Row],[Shortname]], Comp[],12, FALSE)</f>
        <v>2.0699999999999998</v>
      </c>
      <c r="P1332">
        <f>VLOOKUP(Table9[[#This Row],[Shortname]], Comp[], 13, FALSE)</f>
        <v>1.49</v>
      </c>
      <c r="Q1332">
        <f>VLOOKUP(Table9[[#This Row],[Shortname]], Comp[], 14, FALSE)</f>
        <v>1.5</v>
      </c>
      <c r="R1332">
        <f>VLOOKUP(Table9[[#This Row],[Shortname]], Comp[], 15, FALSE)</f>
        <v>3.07</v>
      </c>
      <c r="S1332">
        <f>VLOOKUP(Table9[[#This Row],[Shortname]], Comp[], 16, FALSE)</f>
        <v>0</v>
      </c>
      <c r="T1332">
        <f>VLOOKUP(Table9[[#This Row],[Shortname]], Comp[], 17, FALSE)</f>
        <v>0</v>
      </c>
      <c r="U1332">
        <f>VLOOKUP(Table9[[#This Row],[Shortname]], Comp[], 18, FALSE)</f>
        <v>0</v>
      </c>
      <c r="V1332">
        <f>VLOOKUP(Table9[[#This Row],[Shortname]], Comp[], 19, FALSE)</f>
        <v>0.08</v>
      </c>
      <c r="W1332">
        <f>VLOOKUP(Table9[[#This Row],[Shortname]], Comp[], 20, FALSE)</f>
        <v>0</v>
      </c>
      <c r="X1332">
        <f>VLOOKUP(Table9[[#This Row],[Shortname]], Comp[], 21, FALSE)</f>
        <v>0</v>
      </c>
      <c r="Y1332">
        <f>VLOOKUP(Table9[[#This Row],[Shortname]], Comp[], 22, FALSE)</f>
        <v>0</v>
      </c>
      <c r="Z1332">
        <f>VLOOKUP(Table9[[#This Row],[Shortname]], Comp[], 23, FALSE)</f>
        <v>14.31</v>
      </c>
      <c r="AA1332">
        <f>VLOOKUP(Table9[[#This Row],[Shortname]], Comp[], 24, FALSE)</f>
        <v>0</v>
      </c>
      <c r="AB1332">
        <f>VLOOKUP(Table9[[#This Row],[Shortname]], Comp[], 25, FALSE)</f>
        <v>0</v>
      </c>
      <c r="AC1332">
        <f>VLOOKUP(Table9[[#This Row],[Shortname]], Comp[], 26, FALSE)</f>
        <v>0</v>
      </c>
      <c r="AD1332">
        <f>VLOOKUP(Table9[[#This Row],[Shortname]], Comp[], 27, FALSE)</f>
        <v>0</v>
      </c>
      <c r="AE1332">
        <f>VLOOKUP(Table9[[#This Row],[Shortname]], Comp[], 28, FALSE)</f>
        <v>0</v>
      </c>
      <c r="AF1332">
        <f>VLOOKUP(Table9[[#This Row],[Shortname]], Comp[], 29, FALSE)</f>
        <v>0</v>
      </c>
      <c r="AG1332">
        <f>VLOOKUP(Table9[[#This Row],[Shortname]], Comp[], 30, FALSE)</f>
        <v>0</v>
      </c>
      <c r="AH1332">
        <f>VLOOKUP(Table9[[#This Row],[Shortname]], Comp[], 31, FALSE)</f>
        <v>0</v>
      </c>
    </row>
    <row r="1333" spans="1:34" x14ac:dyDescent="0.3">
      <c r="A1333" t="s">
        <v>6435</v>
      </c>
      <c r="B1333" t="s">
        <v>6436</v>
      </c>
      <c r="C1333" t="s">
        <v>6431</v>
      </c>
      <c r="D1333">
        <v>349.50889999999998</v>
      </c>
      <c r="E1333">
        <v>925</v>
      </c>
      <c r="F1333">
        <v>1E-4</v>
      </c>
      <c r="G1333">
        <v>1</v>
      </c>
      <c r="I1333">
        <f>VLOOKUP(Table9[[#This Row],[Shortname]], Comp[], 6, FALSE)</f>
        <v>1073</v>
      </c>
      <c r="J1333" s="14">
        <f>VLOOKUP(Table9[[#This Row],[Shortname]], Comp[], 7, FALSE)</f>
        <v>52.14</v>
      </c>
      <c r="K1333">
        <f>VLOOKUP(Table9[[#This Row],[Shortname]], Comp[], 8, FALSE)</f>
        <v>15.53</v>
      </c>
      <c r="L1333">
        <f>VLOOKUP(Table9[[#This Row],[Shortname]], Comp[], 9, FALSE)</f>
        <v>5.63</v>
      </c>
      <c r="M1333">
        <f>VLOOKUP(Table9[[#This Row],[Shortname]], Comp[], 10, FALSE)</f>
        <v>4.18</v>
      </c>
      <c r="N1333">
        <f>VLOOKUP(Table9[[#This Row],[Shortname]], Comp[], 11, FALSE)</f>
        <v>0</v>
      </c>
      <c r="O1333">
        <f>VLOOKUP(Table9[[#This Row],[Shortname]], Comp[],12, FALSE)</f>
        <v>2.0699999999999998</v>
      </c>
      <c r="P1333">
        <f>VLOOKUP(Table9[[#This Row],[Shortname]], Comp[], 13, FALSE)</f>
        <v>1.49</v>
      </c>
      <c r="Q1333">
        <f>VLOOKUP(Table9[[#This Row],[Shortname]], Comp[], 14, FALSE)</f>
        <v>1.5</v>
      </c>
      <c r="R1333">
        <f>VLOOKUP(Table9[[#This Row],[Shortname]], Comp[], 15, FALSE)</f>
        <v>3.07</v>
      </c>
      <c r="S1333">
        <f>VLOOKUP(Table9[[#This Row],[Shortname]], Comp[], 16, FALSE)</f>
        <v>0</v>
      </c>
      <c r="T1333">
        <f>VLOOKUP(Table9[[#This Row],[Shortname]], Comp[], 17, FALSE)</f>
        <v>0</v>
      </c>
      <c r="U1333">
        <f>VLOOKUP(Table9[[#This Row],[Shortname]], Comp[], 18, FALSE)</f>
        <v>0</v>
      </c>
      <c r="V1333">
        <f>VLOOKUP(Table9[[#This Row],[Shortname]], Comp[], 19, FALSE)</f>
        <v>0.08</v>
      </c>
      <c r="W1333">
        <f>VLOOKUP(Table9[[#This Row],[Shortname]], Comp[], 20, FALSE)</f>
        <v>0</v>
      </c>
      <c r="X1333">
        <f>VLOOKUP(Table9[[#This Row],[Shortname]], Comp[], 21, FALSE)</f>
        <v>0</v>
      </c>
      <c r="Y1333">
        <f>VLOOKUP(Table9[[#This Row],[Shortname]], Comp[], 22, FALSE)</f>
        <v>0</v>
      </c>
      <c r="Z1333">
        <f>VLOOKUP(Table9[[#This Row],[Shortname]], Comp[], 23, FALSE)</f>
        <v>14.31</v>
      </c>
      <c r="AA1333">
        <f>VLOOKUP(Table9[[#This Row],[Shortname]], Comp[], 24, FALSE)</f>
        <v>0</v>
      </c>
      <c r="AB1333">
        <f>VLOOKUP(Table9[[#This Row],[Shortname]], Comp[], 25, FALSE)</f>
        <v>0</v>
      </c>
      <c r="AC1333">
        <f>VLOOKUP(Table9[[#This Row],[Shortname]], Comp[], 26, FALSE)</f>
        <v>0</v>
      </c>
      <c r="AD1333">
        <f>VLOOKUP(Table9[[#This Row],[Shortname]], Comp[], 27, FALSE)</f>
        <v>0</v>
      </c>
      <c r="AE1333">
        <f>VLOOKUP(Table9[[#This Row],[Shortname]], Comp[], 28, FALSE)</f>
        <v>0</v>
      </c>
      <c r="AF1333">
        <f>VLOOKUP(Table9[[#This Row],[Shortname]], Comp[], 29, FALSE)</f>
        <v>0</v>
      </c>
      <c r="AG1333">
        <f>VLOOKUP(Table9[[#This Row],[Shortname]], Comp[], 30, FALSE)</f>
        <v>0</v>
      </c>
      <c r="AH1333">
        <f>VLOOKUP(Table9[[#This Row],[Shortname]], Comp[], 31, FALSE)</f>
        <v>0</v>
      </c>
    </row>
    <row r="1334" spans="1:34" x14ac:dyDescent="0.3">
      <c r="A1334" t="s">
        <v>6435</v>
      </c>
      <c r="B1334" t="s">
        <v>6436</v>
      </c>
      <c r="C1334" t="s">
        <v>6431</v>
      </c>
      <c r="D1334">
        <v>214.1962</v>
      </c>
      <c r="E1334">
        <v>975</v>
      </c>
      <c r="F1334">
        <v>1E-4</v>
      </c>
      <c r="G1334">
        <v>1</v>
      </c>
      <c r="I1334">
        <f>VLOOKUP(Table9[[#This Row],[Shortname]], Comp[], 6, FALSE)</f>
        <v>1073</v>
      </c>
      <c r="J1334" s="14">
        <f>VLOOKUP(Table9[[#This Row],[Shortname]], Comp[], 7, FALSE)</f>
        <v>52.14</v>
      </c>
      <c r="K1334">
        <f>VLOOKUP(Table9[[#This Row],[Shortname]], Comp[], 8, FALSE)</f>
        <v>15.53</v>
      </c>
      <c r="L1334">
        <f>VLOOKUP(Table9[[#This Row],[Shortname]], Comp[], 9, FALSE)</f>
        <v>5.63</v>
      </c>
      <c r="M1334">
        <f>VLOOKUP(Table9[[#This Row],[Shortname]], Comp[], 10, FALSE)</f>
        <v>4.18</v>
      </c>
      <c r="N1334">
        <f>VLOOKUP(Table9[[#This Row],[Shortname]], Comp[], 11, FALSE)</f>
        <v>0</v>
      </c>
      <c r="O1334">
        <f>VLOOKUP(Table9[[#This Row],[Shortname]], Comp[],12, FALSE)</f>
        <v>2.0699999999999998</v>
      </c>
      <c r="P1334">
        <f>VLOOKUP(Table9[[#This Row],[Shortname]], Comp[], 13, FALSE)</f>
        <v>1.49</v>
      </c>
      <c r="Q1334">
        <f>VLOOKUP(Table9[[#This Row],[Shortname]], Comp[], 14, FALSE)</f>
        <v>1.5</v>
      </c>
      <c r="R1334">
        <f>VLOOKUP(Table9[[#This Row],[Shortname]], Comp[], 15, FALSE)</f>
        <v>3.07</v>
      </c>
      <c r="S1334">
        <f>VLOOKUP(Table9[[#This Row],[Shortname]], Comp[], 16, FALSE)</f>
        <v>0</v>
      </c>
      <c r="T1334">
        <f>VLOOKUP(Table9[[#This Row],[Shortname]], Comp[], 17, FALSE)</f>
        <v>0</v>
      </c>
      <c r="U1334">
        <f>VLOOKUP(Table9[[#This Row],[Shortname]], Comp[], 18, FALSE)</f>
        <v>0</v>
      </c>
      <c r="V1334">
        <f>VLOOKUP(Table9[[#This Row],[Shortname]], Comp[], 19, FALSE)</f>
        <v>0.08</v>
      </c>
      <c r="W1334">
        <f>VLOOKUP(Table9[[#This Row],[Shortname]], Comp[], 20, FALSE)</f>
        <v>0</v>
      </c>
      <c r="X1334">
        <f>VLOOKUP(Table9[[#This Row],[Shortname]], Comp[], 21, FALSE)</f>
        <v>0</v>
      </c>
      <c r="Y1334">
        <f>VLOOKUP(Table9[[#This Row],[Shortname]], Comp[], 22, FALSE)</f>
        <v>0</v>
      </c>
      <c r="Z1334">
        <f>VLOOKUP(Table9[[#This Row],[Shortname]], Comp[], 23, FALSE)</f>
        <v>14.31</v>
      </c>
      <c r="AA1334">
        <f>VLOOKUP(Table9[[#This Row],[Shortname]], Comp[], 24, FALSE)</f>
        <v>0</v>
      </c>
      <c r="AB1334">
        <f>VLOOKUP(Table9[[#This Row],[Shortname]], Comp[], 25, FALSE)</f>
        <v>0</v>
      </c>
      <c r="AC1334">
        <f>VLOOKUP(Table9[[#This Row],[Shortname]], Comp[], 26, FALSE)</f>
        <v>0</v>
      </c>
      <c r="AD1334">
        <f>VLOOKUP(Table9[[#This Row],[Shortname]], Comp[], 27, FALSE)</f>
        <v>0</v>
      </c>
      <c r="AE1334">
        <f>VLOOKUP(Table9[[#This Row],[Shortname]], Comp[], 28, FALSE)</f>
        <v>0</v>
      </c>
      <c r="AF1334">
        <f>VLOOKUP(Table9[[#This Row],[Shortname]], Comp[], 29, FALSE)</f>
        <v>0</v>
      </c>
      <c r="AG1334">
        <f>VLOOKUP(Table9[[#This Row],[Shortname]], Comp[], 30, FALSE)</f>
        <v>0</v>
      </c>
      <c r="AH1334">
        <f>VLOOKUP(Table9[[#This Row],[Shortname]], Comp[], 31, FALSE)</f>
        <v>0</v>
      </c>
    </row>
    <row r="1335" spans="1:34" x14ac:dyDescent="0.3">
      <c r="A1335" t="s">
        <v>6451</v>
      </c>
      <c r="B1335" t="s">
        <v>6452</v>
      </c>
      <c r="C1335" t="s">
        <v>6431</v>
      </c>
      <c r="D1335">
        <v>586</v>
      </c>
      <c r="E1335">
        <v>25</v>
      </c>
      <c r="F1335">
        <v>1E-4</v>
      </c>
      <c r="G1335">
        <v>1</v>
      </c>
      <c r="I1335">
        <f>VLOOKUP(Table9[[#This Row],[Shortname]], Comp[], 6, FALSE)</f>
        <v>1076</v>
      </c>
      <c r="J1335" s="14">
        <f>VLOOKUP(Table9[[#This Row],[Shortname]], Comp[], 7, FALSE)</f>
        <v>48.25</v>
      </c>
      <c r="K1335">
        <f>VLOOKUP(Table9[[#This Row],[Shortname]], Comp[], 8, FALSE)</f>
        <v>15.59</v>
      </c>
      <c r="L1335">
        <f>VLOOKUP(Table9[[#This Row],[Shortname]], Comp[], 9, FALSE)</f>
        <v>5.44</v>
      </c>
      <c r="M1335">
        <f>VLOOKUP(Table9[[#This Row],[Shortname]], Comp[], 10, FALSE)</f>
        <v>8.2899999999999991</v>
      </c>
      <c r="N1335">
        <f>VLOOKUP(Table9[[#This Row],[Shortname]], Comp[], 11, FALSE)</f>
        <v>0</v>
      </c>
      <c r="O1335">
        <f>VLOOKUP(Table9[[#This Row],[Shortname]], Comp[],12, FALSE)</f>
        <v>2.0699999999999998</v>
      </c>
      <c r="P1335">
        <f>VLOOKUP(Table9[[#This Row],[Shortname]], Comp[], 13, FALSE)</f>
        <v>1.51</v>
      </c>
      <c r="Q1335">
        <f>VLOOKUP(Table9[[#This Row],[Shortname]], Comp[], 14, FALSE)</f>
        <v>1.45</v>
      </c>
      <c r="R1335">
        <f>VLOOKUP(Table9[[#This Row],[Shortname]], Comp[], 15, FALSE)</f>
        <v>3.1</v>
      </c>
      <c r="S1335">
        <f>VLOOKUP(Table9[[#This Row],[Shortname]], Comp[], 16, FALSE)</f>
        <v>0</v>
      </c>
      <c r="T1335">
        <f>VLOOKUP(Table9[[#This Row],[Shortname]], Comp[], 17, FALSE)</f>
        <v>0</v>
      </c>
      <c r="U1335">
        <f>VLOOKUP(Table9[[#This Row],[Shortname]], Comp[], 18, FALSE)</f>
        <v>0</v>
      </c>
      <c r="V1335">
        <f>VLOOKUP(Table9[[#This Row],[Shortname]], Comp[], 19, FALSE)</f>
        <v>0.08</v>
      </c>
      <c r="W1335">
        <f>VLOOKUP(Table9[[#This Row],[Shortname]], Comp[], 20, FALSE)</f>
        <v>0</v>
      </c>
      <c r="X1335">
        <f>VLOOKUP(Table9[[#This Row],[Shortname]], Comp[], 21, FALSE)</f>
        <v>0</v>
      </c>
      <c r="Y1335">
        <f>VLOOKUP(Table9[[#This Row],[Shortname]], Comp[], 22, FALSE)</f>
        <v>0</v>
      </c>
      <c r="Z1335">
        <f>VLOOKUP(Table9[[#This Row],[Shortname]], Comp[], 23, FALSE)</f>
        <v>14.22</v>
      </c>
      <c r="AA1335">
        <f>VLOOKUP(Table9[[#This Row],[Shortname]], Comp[], 24, FALSE)</f>
        <v>0</v>
      </c>
      <c r="AB1335">
        <f>VLOOKUP(Table9[[#This Row],[Shortname]], Comp[], 25, FALSE)</f>
        <v>0</v>
      </c>
      <c r="AC1335">
        <f>VLOOKUP(Table9[[#This Row],[Shortname]], Comp[], 26, FALSE)</f>
        <v>0</v>
      </c>
      <c r="AD1335">
        <f>VLOOKUP(Table9[[#This Row],[Shortname]], Comp[], 27, FALSE)</f>
        <v>0</v>
      </c>
      <c r="AE1335">
        <f>VLOOKUP(Table9[[#This Row],[Shortname]], Comp[], 28, FALSE)</f>
        <v>0</v>
      </c>
      <c r="AF1335">
        <f>VLOOKUP(Table9[[#This Row],[Shortname]], Comp[], 29, FALSE)</f>
        <v>0</v>
      </c>
      <c r="AG1335">
        <f>VLOOKUP(Table9[[#This Row],[Shortname]], Comp[], 30, FALSE)</f>
        <v>0</v>
      </c>
      <c r="AH1335">
        <f>VLOOKUP(Table9[[#This Row],[Shortname]], Comp[], 31, FALSE)</f>
        <v>0</v>
      </c>
    </row>
    <row r="1336" spans="1:34" x14ac:dyDescent="0.3">
      <c r="A1336" t="s">
        <v>6451</v>
      </c>
      <c r="B1336" t="s">
        <v>6452</v>
      </c>
      <c r="C1336" t="s">
        <v>6431</v>
      </c>
      <c r="D1336">
        <v>460.83319999999998</v>
      </c>
      <c r="E1336">
        <v>575</v>
      </c>
      <c r="F1336">
        <v>1E-4</v>
      </c>
      <c r="G1336">
        <v>1</v>
      </c>
      <c r="I1336">
        <f>VLOOKUP(Table9[[#This Row],[Shortname]], Comp[], 6, FALSE)</f>
        <v>1076</v>
      </c>
      <c r="J1336" s="14">
        <f>VLOOKUP(Table9[[#This Row],[Shortname]], Comp[], 7, FALSE)</f>
        <v>48.25</v>
      </c>
      <c r="K1336">
        <f>VLOOKUP(Table9[[#This Row],[Shortname]], Comp[], 8, FALSE)</f>
        <v>15.59</v>
      </c>
      <c r="L1336">
        <f>VLOOKUP(Table9[[#This Row],[Shortname]], Comp[], 9, FALSE)</f>
        <v>5.44</v>
      </c>
      <c r="M1336">
        <f>VLOOKUP(Table9[[#This Row],[Shortname]], Comp[], 10, FALSE)</f>
        <v>8.2899999999999991</v>
      </c>
      <c r="N1336">
        <f>VLOOKUP(Table9[[#This Row],[Shortname]], Comp[], 11, FALSE)</f>
        <v>0</v>
      </c>
      <c r="O1336">
        <f>VLOOKUP(Table9[[#This Row],[Shortname]], Comp[],12, FALSE)</f>
        <v>2.0699999999999998</v>
      </c>
      <c r="P1336">
        <f>VLOOKUP(Table9[[#This Row],[Shortname]], Comp[], 13, FALSE)</f>
        <v>1.51</v>
      </c>
      <c r="Q1336">
        <f>VLOOKUP(Table9[[#This Row],[Shortname]], Comp[], 14, FALSE)</f>
        <v>1.45</v>
      </c>
      <c r="R1336">
        <f>VLOOKUP(Table9[[#This Row],[Shortname]], Comp[], 15, FALSE)</f>
        <v>3.1</v>
      </c>
      <c r="S1336">
        <f>VLOOKUP(Table9[[#This Row],[Shortname]], Comp[], 16, FALSE)</f>
        <v>0</v>
      </c>
      <c r="T1336">
        <f>VLOOKUP(Table9[[#This Row],[Shortname]], Comp[], 17, FALSE)</f>
        <v>0</v>
      </c>
      <c r="U1336">
        <f>VLOOKUP(Table9[[#This Row],[Shortname]], Comp[], 18, FALSE)</f>
        <v>0</v>
      </c>
      <c r="V1336">
        <f>VLOOKUP(Table9[[#This Row],[Shortname]], Comp[], 19, FALSE)</f>
        <v>0.08</v>
      </c>
      <c r="W1336">
        <f>VLOOKUP(Table9[[#This Row],[Shortname]], Comp[], 20, FALSE)</f>
        <v>0</v>
      </c>
      <c r="X1336">
        <f>VLOOKUP(Table9[[#This Row],[Shortname]], Comp[], 21, FALSE)</f>
        <v>0</v>
      </c>
      <c r="Y1336">
        <f>VLOOKUP(Table9[[#This Row],[Shortname]], Comp[], 22, FALSE)</f>
        <v>0</v>
      </c>
      <c r="Z1336">
        <f>VLOOKUP(Table9[[#This Row],[Shortname]], Comp[], 23, FALSE)</f>
        <v>14.22</v>
      </c>
      <c r="AA1336">
        <f>VLOOKUP(Table9[[#This Row],[Shortname]], Comp[], 24, FALSE)</f>
        <v>0</v>
      </c>
      <c r="AB1336">
        <f>VLOOKUP(Table9[[#This Row],[Shortname]], Comp[], 25, FALSE)</f>
        <v>0</v>
      </c>
      <c r="AC1336">
        <f>VLOOKUP(Table9[[#This Row],[Shortname]], Comp[], 26, FALSE)</f>
        <v>0</v>
      </c>
      <c r="AD1336">
        <f>VLOOKUP(Table9[[#This Row],[Shortname]], Comp[], 27, FALSE)</f>
        <v>0</v>
      </c>
      <c r="AE1336">
        <f>VLOOKUP(Table9[[#This Row],[Shortname]], Comp[], 28, FALSE)</f>
        <v>0</v>
      </c>
      <c r="AF1336">
        <f>VLOOKUP(Table9[[#This Row],[Shortname]], Comp[], 29, FALSE)</f>
        <v>0</v>
      </c>
      <c r="AG1336">
        <f>VLOOKUP(Table9[[#This Row],[Shortname]], Comp[], 30, FALSE)</f>
        <v>0</v>
      </c>
      <c r="AH1336">
        <f>VLOOKUP(Table9[[#This Row],[Shortname]], Comp[], 31, FALSE)</f>
        <v>0</v>
      </c>
    </row>
    <row r="1337" spans="1:34" x14ac:dyDescent="0.3">
      <c r="A1337" t="s">
        <v>6451</v>
      </c>
      <c r="B1337" t="s">
        <v>6452</v>
      </c>
      <c r="C1337" t="s">
        <v>6431</v>
      </c>
      <c r="D1337">
        <v>463.12459999999999</v>
      </c>
      <c r="E1337">
        <v>650</v>
      </c>
      <c r="F1337">
        <v>1E-4</v>
      </c>
      <c r="G1337">
        <v>1</v>
      </c>
      <c r="I1337">
        <f>VLOOKUP(Table9[[#This Row],[Shortname]], Comp[], 6, FALSE)</f>
        <v>1076</v>
      </c>
      <c r="J1337" s="14">
        <f>VLOOKUP(Table9[[#This Row],[Shortname]], Comp[], 7, FALSE)</f>
        <v>48.25</v>
      </c>
      <c r="K1337">
        <f>VLOOKUP(Table9[[#This Row],[Shortname]], Comp[], 8, FALSE)</f>
        <v>15.59</v>
      </c>
      <c r="L1337">
        <f>VLOOKUP(Table9[[#This Row],[Shortname]], Comp[], 9, FALSE)</f>
        <v>5.44</v>
      </c>
      <c r="M1337">
        <f>VLOOKUP(Table9[[#This Row],[Shortname]], Comp[], 10, FALSE)</f>
        <v>8.2899999999999991</v>
      </c>
      <c r="N1337">
        <f>VLOOKUP(Table9[[#This Row],[Shortname]], Comp[], 11, FALSE)</f>
        <v>0</v>
      </c>
      <c r="O1337">
        <f>VLOOKUP(Table9[[#This Row],[Shortname]], Comp[],12, FALSE)</f>
        <v>2.0699999999999998</v>
      </c>
      <c r="P1337">
        <f>VLOOKUP(Table9[[#This Row],[Shortname]], Comp[], 13, FALSE)</f>
        <v>1.51</v>
      </c>
      <c r="Q1337">
        <f>VLOOKUP(Table9[[#This Row],[Shortname]], Comp[], 14, FALSE)</f>
        <v>1.45</v>
      </c>
      <c r="R1337">
        <f>VLOOKUP(Table9[[#This Row],[Shortname]], Comp[], 15, FALSE)</f>
        <v>3.1</v>
      </c>
      <c r="S1337">
        <f>VLOOKUP(Table9[[#This Row],[Shortname]], Comp[], 16, FALSE)</f>
        <v>0</v>
      </c>
      <c r="T1337">
        <f>VLOOKUP(Table9[[#This Row],[Shortname]], Comp[], 17, FALSE)</f>
        <v>0</v>
      </c>
      <c r="U1337">
        <f>VLOOKUP(Table9[[#This Row],[Shortname]], Comp[], 18, FALSE)</f>
        <v>0</v>
      </c>
      <c r="V1337">
        <f>VLOOKUP(Table9[[#This Row],[Shortname]], Comp[], 19, FALSE)</f>
        <v>0.08</v>
      </c>
      <c r="W1337">
        <f>VLOOKUP(Table9[[#This Row],[Shortname]], Comp[], 20, FALSE)</f>
        <v>0</v>
      </c>
      <c r="X1337">
        <f>VLOOKUP(Table9[[#This Row],[Shortname]], Comp[], 21, FALSE)</f>
        <v>0</v>
      </c>
      <c r="Y1337">
        <f>VLOOKUP(Table9[[#This Row],[Shortname]], Comp[], 22, FALSE)</f>
        <v>0</v>
      </c>
      <c r="Z1337">
        <f>VLOOKUP(Table9[[#This Row],[Shortname]], Comp[], 23, FALSE)</f>
        <v>14.22</v>
      </c>
      <c r="AA1337">
        <f>VLOOKUP(Table9[[#This Row],[Shortname]], Comp[], 24, FALSE)</f>
        <v>0</v>
      </c>
      <c r="AB1337">
        <f>VLOOKUP(Table9[[#This Row],[Shortname]], Comp[], 25, FALSE)</f>
        <v>0</v>
      </c>
      <c r="AC1337">
        <f>VLOOKUP(Table9[[#This Row],[Shortname]], Comp[], 26, FALSE)</f>
        <v>0</v>
      </c>
      <c r="AD1337">
        <f>VLOOKUP(Table9[[#This Row],[Shortname]], Comp[], 27, FALSE)</f>
        <v>0</v>
      </c>
      <c r="AE1337">
        <f>VLOOKUP(Table9[[#This Row],[Shortname]], Comp[], 28, FALSE)</f>
        <v>0</v>
      </c>
      <c r="AF1337">
        <f>VLOOKUP(Table9[[#This Row],[Shortname]], Comp[], 29, FALSE)</f>
        <v>0</v>
      </c>
      <c r="AG1337">
        <f>VLOOKUP(Table9[[#This Row],[Shortname]], Comp[], 30, FALSE)</f>
        <v>0</v>
      </c>
      <c r="AH1337">
        <f>VLOOKUP(Table9[[#This Row],[Shortname]], Comp[], 31, FALSE)</f>
        <v>0</v>
      </c>
    </row>
    <row r="1338" spans="1:34" x14ac:dyDescent="0.3">
      <c r="A1338" t="s">
        <v>6451</v>
      </c>
      <c r="B1338" t="s">
        <v>6452</v>
      </c>
      <c r="C1338" t="s">
        <v>6431</v>
      </c>
      <c r="D1338">
        <v>499.28919999999999</v>
      </c>
      <c r="E1338">
        <v>725</v>
      </c>
      <c r="F1338">
        <v>1E-4</v>
      </c>
      <c r="G1338">
        <v>1</v>
      </c>
      <c r="I1338">
        <f>VLOOKUP(Table9[[#This Row],[Shortname]], Comp[], 6, FALSE)</f>
        <v>1076</v>
      </c>
      <c r="J1338" s="14">
        <f>VLOOKUP(Table9[[#This Row],[Shortname]], Comp[], 7, FALSE)</f>
        <v>48.25</v>
      </c>
      <c r="K1338">
        <f>VLOOKUP(Table9[[#This Row],[Shortname]], Comp[], 8, FALSE)</f>
        <v>15.59</v>
      </c>
      <c r="L1338">
        <f>VLOOKUP(Table9[[#This Row],[Shortname]], Comp[], 9, FALSE)</f>
        <v>5.44</v>
      </c>
      <c r="M1338">
        <f>VLOOKUP(Table9[[#This Row],[Shortname]], Comp[], 10, FALSE)</f>
        <v>8.2899999999999991</v>
      </c>
      <c r="N1338">
        <f>VLOOKUP(Table9[[#This Row],[Shortname]], Comp[], 11, FALSE)</f>
        <v>0</v>
      </c>
      <c r="O1338">
        <f>VLOOKUP(Table9[[#This Row],[Shortname]], Comp[],12, FALSE)</f>
        <v>2.0699999999999998</v>
      </c>
      <c r="P1338">
        <f>VLOOKUP(Table9[[#This Row],[Shortname]], Comp[], 13, FALSE)</f>
        <v>1.51</v>
      </c>
      <c r="Q1338">
        <f>VLOOKUP(Table9[[#This Row],[Shortname]], Comp[], 14, FALSE)</f>
        <v>1.45</v>
      </c>
      <c r="R1338">
        <f>VLOOKUP(Table9[[#This Row],[Shortname]], Comp[], 15, FALSE)</f>
        <v>3.1</v>
      </c>
      <c r="S1338">
        <f>VLOOKUP(Table9[[#This Row],[Shortname]], Comp[], 16, FALSE)</f>
        <v>0</v>
      </c>
      <c r="T1338">
        <f>VLOOKUP(Table9[[#This Row],[Shortname]], Comp[], 17, FALSE)</f>
        <v>0</v>
      </c>
      <c r="U1338">
        <f>VLOOKUP(Table9[[#This Row],[Shortname]], Comp[], 18, FALSE)</f>
        <v>0</v>
      </c>
      <c r="V1338">
        <f>VLOOKUP(Table9[[#This Row],[Shortname]], Comp[], 19, FALSE)</f>
        <v>0.08</v>
      </c>
      <c r="W1338">
        <f>VLOOKUP(Table9[[#This Row],[Shortname]], Comp[], 20, FALSE)</f>
        <v>0</v>
      </c>
      <c r="X1338">
        <f>VLOOKUP(Table9[[#This Row],[Shortname]], Comp[], 21, FALSE)</f>
        <v>0</v>
      </c>
      <c r="Y1338">
        <f>VLOOKUP(Table9[[#This Row],[Shortname]], Comp[], 22, FALSE)</f>
        <v>0</v>
      </c>
      <c r="Z1338">
        <f>VLOOKUP(Table9[[#This Row],[Shortname]], Comp[], 23, FALSE)</f>
        <v>14.22</v>
      </c>
      <c r="AA1338">
        <f>VLOOKUP(Table9[[#This Row],[Shortname]], Comp[], 24, FALSE)</f>
        <v>0</v>
      </c>
      <c r="AB1338">
        <f>VLOOKUP(Table9[[#This Row],[Shortname]], Comp[], 25, FALSE)</f>
        <v>0</v>
      </c>
      <c r="AC1338">
        <f>VLOOKUP(Table9[[#This Row],[Shortname]], Comp[], 26, FALSE)</f>
        <v>0</v>
      </c>
      <c r="AD1338">
        <f>VLOOKUP(Table9[[#This Row],[Shortname]], Comp[], 27, FALSE)</f>
        <v>0</v>
      </c>
      <c r="AE1338">
        <f>VLOOKUP(Table9[[#This Row],[Shortname]], Comp[], 28, FALSE)</f>
        <v>0</v>
      </c>
      <c r="AF1338">
        <f>VLOOKUP(Table9[[#This Row],[Shortname]], Comp[], 29, FALSE)</f>
        <v>0</v>
      </c>
      <c r="AG1338">
        <f>VLOOKUP(Table9[[#This Row],[Shortname]], Comp[], 30, FALSE)</f>
        <v>0</v>
      </c>
      <c r="AH1338">
        <f>VLOOKUP(Table9[[#This Row],[Shortname]], Comp[], 31, FALSE)</f>
        <v>0</v>
      </c>
    </row>
    <row r="1339" spans="1:34" x14ac:dyDescent="0.3">
      <c r="A1339" t="s">
        <v>6451</v>
      </c>
      <c r="B1339" t="s">
        <v>6452</v>
      </c>
      <c r="C1339" t="s">
        <v>6431</v>
      </c>
      <c r="D1339">
        <v>540.86350000000004</v>
      </c>
      <c r="E1339">
        <v>775</v>
      </c>
      <c r="F1339">
        <v>1E-4</v>
      </c>
      <c r="G1339">
        <v>1</v>
      </c>
      <c r="I1339">
        <f>VLOOKUP(Table9[[#This Row],[Shortname]], Comp[], 6, FALSE)</f>
        <v>1076</v>
      </c>
      <c r="J1339" s="14">
        <f>VLOOKUP(Table9[[#This Row],[Shortname]], Comp[], 7, FALSE)</f>
        <v>48.25</v>
      </c>
      <c r="K1339">
        <f>VLOOKUP(Table9[[#This Row],[Shortname]], Comp[], 8, FALSE)</f>
        <v>15.59</v>
      </c>
      <c r="L1339">
        <f>VLOOKUP(Table9[[#This Row],[Shortname]], Comp[], 9, FALSE)</f>
        <v>5.44</v>
      </c>
      <c r="M1339">
        <f>VLOOKUP(Table9[[#This Row],[Shortname]], Comp[], 10, FALSE)</f>
        <v>8.2899999999999991</v>
      </c>
      <c r="N1339">
        <f>VLOOKUP(Table9[[#This Row],[Shortname]], Comp[], 11, FALSE)</f>
        <v>0</v>
      </c>
      <c r="O1339">
        <f>VLOOKUP(Table9[[#This Row],[Shortname]], Comp[],12, FALSE)</f>
        <v>2.0699999999999998</v>
      </c>
      <c r="P1339">
        <f>VLOOKUP(Table9[[#This Row],[Shortname]], Comp[], 13, FALSE)</f>
        <v>1.51</v>
      </c>
      <c r="Q1339">
        <f>VLOOKUP(Table9[[#This Row],[Shortname]], Comp[], 14, FALSE)</f>
        <v>1.45</v>
      </c>
      <c r="R1339">
        <f>VLOOKUP(Table9[[#This Row],[Shortname]], Comp[], 15, FALSE)</f>
        <v>3.1</v>
      </c>
      <c r="S1339">
        <f>VLOOKUP(Table9[[#This Row],[Shortname]], Comp[], 16, FALSE)</f>
        <v>0</v>
      </c>
      <c r="T1339">
        <f>VLOOKUP(Table9[[#This Row],[Shortname]], Comp[], 17, FALSE)</f>
        <v>0</v>
      </c>
      <c r="U1339">
        <f>VLOOKUP(Table9[[#This Row],[Shortname]], Comp[], 18, FALSE)</f>
        <v>0</v>
      </c>
      <c r="V1339">
        <f>VLOOKUP(Table9[[#This Row],[Shortname]], Comp[], 19, FALSE)</f>
        <v>0.08</v>
      </c>
      <c r="W1339">
        <f>VLOOKUP(Table9[[#This Row],[Shortname]], Comp[], 20, FALSE)</f>
        <v>0</v>
      </c>
      <c r="X1339">
        <f>VLOOKUP(Table9[[#This Row],[Shortname]], Comp[], 21, FALSE)</f>
        <v>0</v>
      </c>
      <c r="Y1339">
        <f>VLOOKUP(Table9[[#This Row],[Shortname]], Comp[], 22, FALSE)</f>
        <v>0</v>
      </c>
      <c r="Z1339">
        <f>VLOOKUP(Table9[[#This Row],[Shortname]], Comp[], 23, FALSE)</f>
        <v>14.22</v>
      </c>
      <c r="AA1339">
        <f>VLOOKUP(Table9[[#This Row],[Shortname]], Comp[], 24, FALSE)</f>
        <v>0</v>
      </c>
      <c r="AB1339">
        <f>VLOOKUP(Table9[[#This Row],[Shortname]], Comp[], 25, FALSE)</f>
        <v>0</v>
      </c>
      <c r="AC1339">
        <f>VLOOKUP(Table9[[#This Row],[Shortname]], Comp[], 26, FALSE)</f>
        <v>0</v>
      </c>
      <c r="AD1339">
        <f>VLOOKUP(Table9[[#This Row],[Shortname]], Comp[], 27, FALSE)</f>
        <v>0</v>
      </c>
      <c r="AE1339">
        <f>VLOOKUP(Table9[[#This Row],[Shortname]], Comp[], 28, FALSE)</f>
        <v>0</v>
      </c>
      <c r="AF1339">
        <f>VLOOKUP(Table9[[#This Row],[Shortname]], Comp[], 29, FALSE)</f>
        <v>0</v>
      </c>
      <c r="AG1339">
        <f>VLOOKUP(Table9[[#This Row],[Shortname]], Comp[], 30, FALSE)</f>
        <v>0</v>
      </c>
      <c r="AH1339">
        <f>VLOOKUP(Table9[[#This Row],[Shortname]], Comp[], 31, FALSE)</f>
        <v>0</v>
      </c>
    </row>
    <row r="1340" spans="1:34" x14ac:dyDescent="0.3">
      <c r="A1340" t="s">
        <v>6451</v>
      </c>
      <c r="B1340" t="s">
        <v>6452</v>
      </c>
      <c r="C1340" t="s">
        <v>6431</v>
      </c>
      <c r="D1340">
        <v>558.31979999999999</v>
      </c>
      <c r="E1340">
        <v>825</v>
      </c>
      <c r="F1340">
        <v>1E-4</v>
      </c>
      <c r="G1340">
        <v>1</v>
      </c>
      <c r="I1340">
        <f>VLOOKUP(Table9[[#This Row],[Shortname]], Comp[], 6, FALSE)</f>
        <v>1076</v>
      </c>
      <c r="J1340" s="14">
        <f>VLOOKUP(Table9[[#This Row],[Shortname]], Comp[], 7, FALSE)</f>
        <v>48.25</v>
      </c>
      <c r="K1340">
        <f>VLOOKUP(Table9[[#This Row],[Shortname]], Comp[], 8, FALSE)</f>
        <v>15.59</v>
      </c>
      <c r="L1340">
        <f>VLOOKUP(Table9[[#This Row],[Shortname]], Comp[], 9, FALSE)</f>
        <v>5.44</v>
      </c>
      <c r="M1340">
        <f>VLOOKUP(Table9[[#This Row],[Shortname]], Comp[], 10, FALSE)</f>
        <v>8.2899999999999991</v>
      </c>
      <c r="N1340">
        <f>VLOOKUP(Table9[[#This Row],[Shortname]], Comp[], 11, FALSE)</f>
        <v>0</v>
      </c>
      <c r="O1340">
        <f>VLOOKUP(Table9[[#This Row],[Shortname]], Comp[],12, FALSE)</f>
        <v>2.0699999999999998</v>
      </c>
      <c r="P1340">
        <f>VLOOKUP(Table9[[#This Row],[Shortname]], Comp[], 13, FALSE)</f>
        <v>1.51</v>
      </c>
      <c r="Q1340">
        <f>VLOOKUP(Table9[[#This Row],[Shortname]], Comp[], 14, FALSE)</f>
        <v>1.45</v>
      </c>
      <c r="R1340">
        <f>VLOOKUP(Table9[[#This Row],[Shortname]], Comp[], 15, FALSE)</f>
        <v>3.1</v>
      </c>
      <c r="S1340">
        <f>VLOOKUP(Table9[[#This Row],[Shortname]], Comp[], 16, FALSE)</f>
        <v>0</v>
      </c>
      <c r="T1340">
        <f>VLOOKUP(Table9[[#This Row],[Shortname]], Comp[], 17, FALSE)</f>
        <v>0</v>
      </c>
      <c r="U1340">
        <f>VLOOKUP(Table9[[#This Row],[Shortname]], Comp[], 18, FALSE)</f>
        <v>0</v>
      </c>
      <c r="V1340">
        <f>VLOOKUP(Table9[[#This Row],[Shortname]], Comp[], 19, FALSE)</f>
        <v>0.08</v>
      </c>
      <c r="W1340">
        <f>VLOOKUP(Table9[[#This Row],[Shortname]], Comp[], 20, FALSE)</f>
        <v>0</v>
      </c>
      <c r="X1340">
        <f>VLOOKUP(Table9[[#This Row],[Shortname]], Comp[], 21, FALSE)</f>
        <v>0</v>
      </c>
      <c r="Y1340">
        <f>VLOOKUP(Table9[[#This Row],[Shortname]], Comp[], 22, FALSE)</f>
        <v>0</v>
      </c>
      <c r="Z1340">
        <f>VLOOKUP(Table9[[#This Row],[Shortname]], Comp[], 23, FALSE)</f>
        <v>14.22</v>
      </c>
      <c r="AA1340">
        <f>VLOOKUP(Table9[[#This Row],[Shortname]], Comp[], 24, FALSE)</f>
        <v>0</v>
      </c>
      <c r="AB1340">
        <f>VLOOKUP(Table9[[#This Row],[Shortname]], Comp[], 25, FALSE)</f>
        <v>0</v>
      </c>
      <c r="AC1340">
        <f>VLOOKUP(Table9[[#This Row],[Shortname]], Comp[], 26, FALSE)</f>
        <v>0</v>
      </c>
      <c r="AD1340">
        <f>VLOOKUP(Table9[[#This Row],[Shortname]], Comp[], 27, FALSE)</f>
        <v>0</v>
      </c>
      <c r="AE1340">
        <f>VLOOKUP(Table9[[#This Row],[Shortname]], Comp[], 28, FALSE)</f>
        <v>0</v>
      </c>
      <c r="AF1340">
        <f>VLOOKUP(Table9[[#This Row],[Shortname]], Comp[], 29, FALSE)</f>
        <v>0</v>
      </c>
      <c r="AG1340">
        <f>VLOOKUP(Table9[[#This Row],[Shortname]], Comp[], 30, FALSE)</f>
        <v>0</v>
      </c>
      <c r="AH1340">
        <f>VLOOKUP(Table9[[#This Row],[Shortname]], Comp[], 31, FALSE)</f>
        <v>0</v>
      </c>
    </row>
    <row r="1341" spans="1:34" x14ac:dyDescent="0.3">
      <c r="A1341" t="s">
        <v>6451</v>
      </c>
      <c r="B1341" t="s">
        <v>6452</v>
      </c>
      <c r="C1341" t="s">
        <v>6431</v>
      </c>
      <c r="D1341">
        <v>461.31509999999997</v>
      </c>
      <c r="E1341">
        <v>875</v>
      </c>
      <c r="F1341">
        <v>1E-4</v>
      </c>
      <c r="G1341">
        <v>1</v>
      </c>
      <c r="I1341">
        <f>VLOOKUP(Table9[[#This Row],[Shortname]], Comp[], 6, FALSE)</f>
        <v>1076</v>
      </c>
      <c r="J1341" s="14">
        <f>VLOOKUP(Table9[[#This Row],[Shortname]], Comp[], 7, FALSE)</f>
        <v>48.25</v>
      </c>
      <c r="K1341">
        <f>VLOOKUP(Table9[[#This Row],[Shortname]], Comp[], 8, FALSE)</f>
        <v>15.59</v>
      </c>
      <c r="L1341">
        <f>VLOOKUP(Table9[[#This Row],[Shortname]], Comp[], 9, FALSE)</f>
        <v>5.44</v>
      </c>
      <c r="M1341">
        <f>VLOOKUP(Table9[[#This Row],[Shortname]], Comp[], 10, FALSE)</f>
        <v>8.2899999999999991</v>
      </c>
      <c r="N1341">
        <f>VLOOKUP(Table9[[#This Row],[Shortname]], Comp[], 11, FALSE)</f>
        <v>0</v>
      </c>
      <c r="O1341">
        <f>VLOOKUP(Table9[[#This Row],[Shortname]], Comp[],12, FALSE)</f>
        <v>2.0699999999999998</v>
      </c>
      <c r="P1341">
        <f>VLOOKUP(Table9[[#This Row],[Shortname]], Comp[], 13, FALSE)</f>
        <v>1.51</v>
      </c>
      <c r="Q1341">
        <f>VLOOKUP(Table9[[#This Row],[Shortname]], Comp[], 14, FALSE)</f>
        <v>1.45</v>
      </c>
      <c r="R1341">
        <f>VLOOKUP(Table9[[#This Row],[Shortname]], Comp[], 15, FALSE)</f>
        <v>3.1</v>
      </c>
      <c r="S1341">
        <f>VLOOKUP(Table9[[#This Row],[Shortname]], Comp[], 16, FALSE)</f>
        <v>0</v>
      </c>
      <c r="T1341">
        <f>VLOOKUP(Table9[[#This Row],[Shortname]], Comp[], 17, FALSE)</f>
        <v>0</v>
      </c>
      <c r="U1341">
        <f>VLOOKUP(Table9[[#This Row],[Shortname]], Comp[], 18, FALSE)</f>
        <v>0</v>
      </c>
      <c r="V1341">
        <f>VLOOKUP(Table9[[#This Row],[Shortname]], Comp[], 19, FALSE)</f>
        <v>0.08</v>
      </c>
      <c r="W1341">
        <f>VLOOKUP(Table9[[#This Row],[Shortname]], Comp[], 20, FALSE)</f>
        <v>0</v>
      </c>
      <c r="X1341">
        <f>VLOOKUP(Table9[[#This Row],[Shortname]], Comp[], 21, FALSE)</f>
        <v>0</v>
      </c>
      <c r="Y1341">
        <f>VLOOKUP(Table9[[#This Row],[Shortname]], Comp[], 22, FALSE)</f>
        <v>0</v>
      </c>
      <c r="Z1341">
        <f>VLOOKUP(Table9[[#This Row],[Shortname]], Comp[], 23, FALSE)</f>
        <v>14.22</v>
      </c>
      <c r="AA1341">
        <f>VLOOKUP(Table9[[#This Row],[Shortname]], Comp[], 24, FALSE)</f>
        <v>0</v>
      </c>
      <c r="AB1341">
        <f>VLOOKUP(Table9[[#This Row],[Shortname]], Comp[], 25, FALSE)</f>
        <v>0</v>
      </c>
      <c r="AC1341">
        <f>VLOOKUP(Table9[[#This Row],[Shortname]], Comp[], 26, FALSE)</f>
        <v>0</v>
      </c>
      <c r="AD1341">
        <f>VLOOKUP(Table9[[#This Row],[Shortname]], Comp[], 27, FALSE)</f>
        <v>0</v>
      </c>
      <c r="AE1341">
        <f>VLOOKUP(Table9[[#This Row],[Shortname]], Comp[], 28, FALSE)</f>
        <v>0</v>
      </c>
      <c r="AF1341">
        <f>VLOOKUP(Table9[[#This Row],[Shortname]], Comp[], 29, FALSE)</f>
        <v>0</v>
      </c>
      <c r="AG1341">
        <f>VLOOKUP(Table9[[#This Row],[Shortname]], Comp[], 30, FALSE)</f>
        <v>0</v>
      </c>
      <c r="AH1341">
        <f>VLOOKUP(Table9[[#This Row],[Shortname]], Comp[], 31, FALSE)</f>
        <v>0</v>
      </c>
    </row>
    <row r="1342" spans="1:34" x14ac:dyDescent="0.3">
      <c r="A1342" t="s">
        <v>6451</v>
      </c>
      <c r="B1342" t="s">
        <v>6452</v>
      </c>
      <c r="C1342" t="s">
        <v>6431</v>
      </c>
      <c r="D1342">
        <v>323.03879999999998</v>
      </c>
      <c r="E1342">
        <v>925</v>
      </c>
      <c r="F1342">
        <v>1E-4</v>
      </c>
      <c r="G1342">
        <v>1</v>
      </c>
      <c r="I1342">
        <f>VLOOKUP(Table9[[#This Row],[Shortname]], Comp[], 6, FALSE)</f>
        <v>1076</v>
      </c>
      <c r="J1342" s="14">
        <f>VLOOKUP(Table9[[#This Row],[Shortname]], Comp[], 7, FALSE)</f>
        <v>48.25</v>
      </c>
      <c r="K1342">
        <f>VLOOKUP(Table9[[#This Row],[Shortname]], Comp[], 8, FALSE)</f>
        <v>15.59</v>
      </c>
      <c r="L1342">
        <f>VLOOKUP(Table9[[#This Row],[Shortname]], Comp[], 9, FALSE)</f>
        <v>5.44</v>
      </c>
      <c r="M1342">
        <f>VLOOKUP(Table9[[#This Row],[Shortname]], Comp[], 10, FALSE)</f>
        <v>8.2899999999999991</v>
      </c>
      <c r="N1342">
        <f>VLOOKUP(Table9[[#This Row],[Shortname]], Comp[], 11, FALSE)</f>
        <v>0</v>
      </c>
      <c r="O1342">
        <f>VLOOKUP(Table9[[#This Row],[Shortname]], Comp[],12, FALSE)</f>
        <v>2.0699999999999998</v>
      </c>
      <c r="P1342">
        <f>VLOOKUP(Table9[[#This Row],[Shortname]], Comp[], 13, FALSE)</f>
        <v>1.51</v>
      </c>
      <c r="Q1342">
        <f>VLOOKUP(Table9[[#This Row],[Shortname]], Comp[], 14, FALSE)</f>
        <v>1.45</v>
      </c>
      <c r="R1342">
        <f>VLOOKUP(Table9[[#This Row],[Shortname]], Comp[], 15, FALSE)</f>
        <v>3.1</v>
      </c>
      <c r="S1342">
        <f>VLOOKUP(Table9[[#This Row],[Shortname]], Comp[], 16, FALSE)</f>
        <v>0</v>
      </c>
      <c r="T1342">
        <f>VLOOKUP(Table9[[#This Row],[Shortname]], Comp[], 17, FALSE)</f>
        <v>0</v>
      </c>
      <c r="U1342">
        <f>VLOOKUP(Table9[[#This Row],[Shortname]], Comp[], 18, FALSE)</f>
        <v>0</v>
      </c>
      <c r="V1342">
        <f>VLOOKUP(Table9[[#This Row],[Shortname]], Comp[], 19, FALSE)</f>
        <v>0.08</v>
      </c>
      <c r="W1342">
        <f>VLOOKUP(Table9[[#This Row],[Shortname]], Comp[], 20, FALSE)</f>
        <v>0</v>
      </c>
      <c r="X1342">
        <f>VLOOKUP(Table9[[#This Row],[Shortname]], Comp[], 21, FALSE)</f>
        <v>0</v>
      </c>
      <c r="Y1342">
        <f>VLOOKUP(Table9[[#This Row],[Shortname]], Comp[], 22, FALSE)</f>
        <v>0</v>
      </c>
      <c r="Z1342">
        <f>VLOOKUP(Table9[[#This Row],[Shortname]], Comp[], 23, FALSE)</f>
        <v>14.22</v>
      </c>
      <c r="AA1342">
        <f>VLOOKUP(Table9[[#This Row],[Shortname]], Comp[], 24, FALSE)</f>
        <v>0</v>
      </c>
      <c r="AB1342">
        <f>VLOOKUP(Table9[[#This Row],[Shortname]], Comp[], 25, FALSE)</f>
        <v>0</v>
      </c>
      <c r="AC1342">
        <f>VLOOKUP(Table9[[#This Row],[Shortname]], Comp[], 26, FALSE)</f>
        <v>0</v>
      </c>
      <c r="AD1342">
        <f>VLOOKUP(Table9[[#This Row],[Shortname]], Comp[], 27, FALSE)</f>
        <v>0</v>
      </c>
      <c r="AE1342">
        <f>VLOOKUP(Table9[[#This Row],[Shortname]], Comp[], 28, FALSE)</f>
        <v>0</v>
      </c>
      <c r="AF1342">
        <f>VLOOKUP(Table9[[#This Row],[Shortname]], Comp[], 29, FALSE)</f>
        <v>0</v>
      </c>
      <c r="AG1342">
        <f>VLOOKUP(Table9[[#This Row],[Shortname]], Comp[], 30, FALSE)</f>
        <v>0</v>
      </c>
      <c r="AH1342">
        <f>VLOOKUP(Table9[[#This Row],[Shortname]], Comp[], 31, FALSE)</f>
        <v>0</v>
      </c>
    </row>
    <row r="1343" spans="1:34" x14ac:dyDescent="0.3">
      <c r="A1343" t="s">
        <v>6451</v>
      </c>
      <c r="B1343" t="s">
        <v>6452</v>
      </c>
      <c r="C1343" t="s">
        <v>6431</v>
      </c>
      <c r="D1343">
        <v>184.91069999999999</v>
      </c>
      <c r="E1343">
        <v>975</v>
      </c>
      <c r="F1343">
        <v>1E-4</v>
      </c>
      <c r="G1343">
        <v>1</v>
      </c>
      <c r="I1343">
        <f>VLOOKUP(Table9[[#This Row],[Shortname]], Comp[], 6, FALSE)</f>
        <v>1076</v>
      </c>
      <c r="J1343" s="14">
        <f>VLOOKUP(Table9[[#This Row],[Shortname]], Comp[], 7, FALSE)</f>
        <v>48.25</v>
      </c>
      <c r="K1343">
        <f>VLOOKUP(Table9[[#This Row],[Shortname]], Comp[], 8, FALSE)</f>
        <v>15.59</v>
      </c>
      <c r="L1343">
        <f>VLOOKUP(Table9[[#This Row],[Shortname]], Comp[], 9, FALSE)</f>
        <v>5.44</v>
      </c>
      <c r="M1343">
        <f>VLOOKUP(Table9[[#This Row],[Shortname]], Comp[], 10, FALSE)</f>
        <v>8.2899999999999991</v>
      </c>
      <c r="N1343">
        <f>VLOOKUP(Table9[[#This Row],[Shortname]], Comp[], 11, FALSE)</f>
        <v>0</v>
      </c>
      <c r="O1343">
        <f>VLOOKUP(Table9[[#This Row],[Shortname]], Comp[],12, FALSE)</f>
        <v>2.0699999999999998</v>
      </c>
      <c r="P1343">
        <f>VLOOKUP(Table9[[#This Row],[Shortname]], Comp[], 13, FALSE)</f>
        <v>1.51</v>
      </c>
      <c r="Q1343">
        <f>VLOOKUP(Table9[[#This Row],[Shortname]], Comp[], 14, FALSE)</f>
        <v>1.45</v>
      </c>
      <c r="R1343">
        <f>VLOOKUP(Table9[[#This Row],[Shortname]], Comp[], 15, FALSE)</f>
        <v>3.1</v>
      </c>
      <c r="S1343">
        <f>VLOOKUP(Table9[[#This Row],[Shortname]], Comp[], 16, FALSE)</f>
        <v>0</v>
      </c>
      <c r="T1343">
        <f>VLOOKUP(Table9[[#This Row],[Shortname]], Comp[], 17, FALSE)</f>
        <v>0</v>
      </c>
      <c r="U1343">
        <f>VLOOKUP(Table9[[#This Row],[Shortname]], Comp[], 18, FALSE)</f>
        <v>0</v>
      </c>
      <c r="V1343">
        <f>VLOOKUP(Table9[[#This Row],[Shortname]], Comp[], 19, FALSE)</f>
        <v>0.08</v>
      </c>
      <c r="W1343">
        <f>VLOOKUP(Table9[[#This Row],[Shortname]], Comp[], 20, FALSE)</f>
        <v>0</v>
      </c>
      <c r="X1343">
        <f>VLOOKUP(Table9[[#This Row],[Shortname]], Comp[], 21, FALSE)</f>
        <v>0</v>
      </c>
      <c r="Y1343">
        <f>VLOOKUP(Table9[[#This Row],[Shortname]], Comp[], 22, FALSE)</f>
        <v>0</v>
      </c>
      <c r="Z1343">
        <f>VLOOKUP(Table9[[#This Row],[Shortname]], Comp[], 23, FALSE)</f>
        <v>14.22</v>
      </c>
      <c r="AA1343">
        <f>VLOOKUP(Table9[[#This Row],[Shortname]], Comp[], 24, FALSE)</f>
        <v>0</v>
      </c>
      <c r="AB1343">
        <f>VLOOKUP(Table9[[#This Row],[Shortname]], Comp[], 25, FALSE)</f>
        <v>0</v>
      </c>
      <c r="AC1343">
        <f>VLOOKUP(Table9[[#This Row],[Shortname]], Comp[], 26, FALSE)</f>
        <v>0</v>
      </c>
      <c r="AD1343">
        <f>VLOOKUP(Table9[[#This Row],[Shortname]], Comp[], 27, FALSE)</f>
        <v>0</v>
      </c>
      <c r="AE1343">
        <f>VLOOKUP(Table9[[#This Row],[Shortname]], Comp[], 28, FALSE)</f>
        <v>0</v>
      </c>
      <c r="AF1343">
        <f>VLOOKUP(Table9[[#This Row],[Shortname]], Comp[], 29, FALSE)</f>
        <v>0</v>
      </c>
      <c r="AG1343">
        <f>VLOOKUP(Table9[[#This Row],[Shortname]], Comp[], 30, FALSE)</f>
        <v>0</v>
      </c>
      <c r="AH1343">
        <f>VLOOKUP(Table9[[#This Row],[Shortname]], Comp[], 31, FALSE)</f>
        <v>0</v>
      </c>
    </row>
    <row r="1344" spans="1:34" x14ac:dyDescent="0.3">
      <c r="A1344" t="s">
        <v>6440</v>
      </c>
      <c r="B1344" t="s">
        <v>6441</v>
      </c>
      <c r="C1344" t="s">
        <v>6431</v>
      </c>
      <c r="D1344">
        <v>537.93020000000001</v>
      </c>
      <c r="E1344">
        <v>25</v>
      </c>
      <c r="F1344">
        <v>1E-4</v>
      </c>
      <c r="G1344">
        <v>1</v>
      </c>
      <c r="I1344">
        <f>VLOOKUP(Table9[[#This Row],[Shortname]], Comp[], 6, FALSE)</f>
        <v>1074</v>
      </c>
      <c r="J1344" s="14">
        <f>VLOOKUP(Table9[[#This Row],[Shortname]], Comp[], 7, FALSE)</f>
        <v>52.13</v>
      </c>
      <c r="K1344">
        <f>VLOOKUP(Table9[[#This Row],[Shortname]], Comp[], 8, FALSE)</f>
        <v>11.78</v>
      </c>
      <c r="L1344">
        <f>VLOOKUP(Table9[[#This Row],[Shortname]], Comp[], 9, FALSE)</f>
        <v>5.45</v>
      </c>
      <c r="M1344">
        <f>VLOOKUP(Table9[[#This Row],[Shortname]], Comp[], 10, FALSE)</f>
        <v>4.1399999999999997</v>
      </c>
      <c r="N1344">
        <f>VLOOKUP(Table9[[#This Row],[Shortname]], Comp[], 11, FALSE)</f>
        <v>0</v>
      </c>
      <c r="O1344">
        <f>VLOOKUP(Table9[[#This Row],[Shortname]], Comp[],12, FALSE)</f>
        <v>2.06</v>
      </c>
      <c r="P1344">
        <f>VLOOKUP(Table9[[#This Row],[Shortname]], Comp[], 13, FALSE)</f>
        <v>1.52</v>
      </c>
      <c r="Q1344">
        <f>VLOOKUP(Table9[[#This Row],[Shortname]], Comp[], 14, FALSE)</f>
        <v>1.51</v>
      </c>
      <c r="R1344">
        <f>VLOOKUP(Table9[[#This Row],[Shortname]], Comp[], 15, FALSE)</f>
        <v>3.06</v>
      </c>
      <c r="S1344">
        <f>VLOOKUP(Table9[[#This Row],[Shortname]], Comp[], 16, FALSE)</f>
        <v>0</v>
      </c>
      <c r="T1344">
        <f>VLOOKUP(Table9[[#This Row],[Shortname]], Comp[], 17, FALSE)</f>
        <v>0</v>
      </c>
      <c r="U1344">
        <f>VLOOKUP(Table9[[#This Row],[Shortname]], Comp[], 18, FALSE)</f>
        <v>0</v>
      </c>
      <c r="V1344">
        <f>VLOOKUP(Table9[[#This Row],[Shortname]], Comp[], 19, FALSE)</f>
        <v>0.08</v>
      </c>
      <c r="W1344">
        <f>VLOOKUP(Table9[[#This Row],[Shortname]], Comp[], 20, FALSE)</f>
        <v>0</v>
      </c>
      <c r="X1344">
        <f>VLOOKUP(Table9[[#This Row],[Shortname]], Comp[], 21, FALSE)</f>
        <v>0</v>
      </c>
      <c r="Y1344">
        <f>VLOOKUP(Table9[[#This Row],[Shortname]], Comp[], 22, FALSE)</f>
        <v>0</v>
      </c>
      <c r="Z1344">
        <f>VLOOKUP(Table9[[#This Row],[Shortname]], Comp[], 23, FALSE)</f>
        <v>18.27</v>
      </c>
      <c r="AA1344">
        <f>VLOOKUP(Table9[[#This Row],[Shortname]], Comp[], 24, FALSE)</f>
        <v>0</v>
      </c>
      <c r="AB1344">
        <f>VLOOKUP(Table9[[#This Row],[Shortname]], Comp[], 25, FALSE)</f>
        <v>0</v>
      </c>
      <c r="AC1344">
        <f>VLOOKUP(Table9[[#This Row],[Shortname]], Comp[], 26, FALSE)</f>
        <v>0</v>
      </c>
      <c r="AD1344">
        <f>VLOOKUP(Table9[[#This Row],[Shortname]], Comp[], 27, FALSE)</f>
        <v>0</v>
      </c>
      <c r="AE1344">
        <f>VLOOKUP(Table9[[#This Row],[Shortname]], Comp[], 28, FALSE)</f>
        <v>0</v>
      </c>
      <c r="AF1344">
        <f>VLOOKUP(Table9[[#This Row],[Shortname]], Comp[], 29, FALSE)</f>
        <v>0</v>
      </c>
      <c r="AG1344">
        <f>VLOOKUP(Table9[[#This Row],[Shortname]], Comp[], 30, FALSE)</f>
        <v>0</v>
      </c>
      <c r="AH1344">
        <f>VLOOKUP(Table9[[#This Row],[Shortname]], Comp[], 31, FALSE)</f>
        <v>0</v>
      </c>
    </row>
    <row r="1345" spans="1:34" x14ac:dyDescent="0.3">
      <c r="A1345" t="s">
        <v>6440</v>
      </c>
      <c r="B1345" t="s">
        <v>6441</v>
      </c>
      <c r="C1345" t="s">
        <v>6431</v>
      </c>
      <c r="D1345">
        <v>431.15089999999998</v>
      </c>
      <c r="E1345">
        <v>575</v>
      </c>
      <c r="F1345">
        <v>1E-4</v>
      </c>
      <c r="G1345">
        <v>1</v>
      </c>
      <c r="I1345">
        <f>VLOOKUP(Table9[[#This Row],[Shortname]], Comp[], 6, FALSE)</f>
        <v>1074</v>
      </c>
      <c r="J1345" s="14">
        <f>VLOOKUP(Table9[[#This Row],[Shortname]], Comp[], 7, FALSE)</f>
        <v>52.13</v>
      </c>
      <c r="K1345">
        <f>VLOOKUP(Table9[[#This Row],[Shortname]], Comp[], 8, FALSE)</f>
        <v>11.78</v>
      </c>
      <c r="L1345">
        <f>VLOOKUP(Table9[[#This Row],[Shortname]], Comp[], 9, FALSE)</f>
        <v>5.45</v>
      </c>
      <c r="M1345">
        <f>VLOOKUP(Table9[[#This Row],[Shortname]], Comp[], 10, FALSE)</f>
        <v>4.1399999999999997</v>
      </c>
      <c r="N1345">
        <f>VLOOKUP(Table9[[#This Row],[Shortname]], Comp[], 11, FALSE)</f>
        <v>0</v>
      </c>
      <c r="O1345">
        <f>VLOOKUP(Table9[[#This Row],[Shortname]], Comp[],12, FALSE)</f>
        <v>2.06</v>
      </c>
      <c r="P1345">
        <f>VLOOKUP(Table9[[#This Row],[Shortname]], Comp[], 13, FALSE)</f>
        <v>1.52</v>
      </c>
      <c r="Q1345">
        <f>VLOOKUP(Table9[[#This Row],[Shortname]], Comp[], 14, FALSE)</f>
        <v>1.51</v>
      </c>
      <c r="R1345">
        <f>VLOOKUP(Table9[[#This Row],[Shortname]], Comp[], 15, FALSE)</f>
        <v>3.06</v>
      </c>
      <c r="S1345">
        <f>VLOOKUP(Table9[[#This Row],[Shortname]], Comp[], 16, FALSE)</f>
        <v>0</v>
      </c>
      <c r="T1345">
        <f>VLOOKUP(Table9[[#This Row],[Shortname]], Comp[], 17, FALSE)</f>
        <v>0</v>
      </c>
      <c r="U1345">
        <f>VLOOKUP(Table9[[#This Row],[Shortname]], Comp[], 18, FALSE)</f>
        <v>0</v>
      </c>
      <c r="V1345">
        <f>VLOOKUP(Table9[[#This Row],[Shortname]], Comp[], 19, FALSE)</f>
        <v>0.08</v>
      </c>
      <c r="W1345">
        <f>VLOOKUP(Table9[[#This Row],[Shortname]], Comp[], 20, FALSE)</f>
        <v>0</v>
      </c>
      <c r="X1345">
        <f>VLOOKUP(Table9[[#This Row],[Shortname]], Comp[], 21, FALSE)</f>
        <v>0</v>
      </c>
      <c r="Y1345">
        <f>VLOOKUP(Table9[[#This Row],[Shortname]], Comp[], 22, FALSE)</f>
        <v>0</v>
      </c>
      <c r="Z1345">
        <f>VLOOKUP(Table9[[#This Row],[Shortname]], Comp[], 23, FALSE)</f>
        <v>18.27</v>
      </c>
      <c r="AA1345">
        <f>VLOOKUP(Table9[[#This Row],[Shortname]], Comp[], 24, FALSE)</f>
        <v>0</v>
      </c>
      <c r="AB1345">
        <f>VLOOKUP(Table9[[#This Row],[Shortname]], Comp[], 25, FALSE)</f>
        <v>0</v>
      </c>
      <c r="AC1345">
        <f>VLOOKUP(Table9[[#This Row],[Shortname]], Comp[], 26, FALSE)</f>
        <v>0</v>
      </c>
      <c r="AD1345">
        <f>VLOOKUP(Table9[[#This Row],[Shortname]], Comp[], 27, FALSE)</f>
        <v>0</v>
      </c>
      <c r="AE1345">
        <f>VLOOKUP(Table9[[#This Row],[Shortname]], Comp[], 28, FALSE)</f>
        <v>0</v>
      </c>
      <c r="AF1345">
        <f>VLOOKUP(Table9[[#This Row],[Shortname]], Comp[], 29, FALSE)</f>
        <v>0</v>
      </c>
      <c r="AG1345">
        <f>VLOOKUP(Table9[[#This Row],[Shortname]], Comp[], 30, FALSE)</f>
        <v>0</v>
      </c>
      <c r="AH1345">
        <f>VLOOKUP(Table9[[#This Row],[Shortname]], Comp[], 31, FALSE)</f>
        <v>0</v>
      </c>
    </row>
    <row r="1346" spans="1:34" x14ac:dyDescent="0.3">
      <c r="A1346" t="s">
        <v>6440</v>
      </c>
      <c r="B1346" t="s">
        <v>6441</v>
      </c>
      <c r="C1346" t="s">
        <v>6431</v>
      </c>
      <c r="D1346">
        <v>449.93470000000002</v>
      </c>
      <c r="E1346">
        <v>650</v>
      </c>
      <c r="F1346">
        <v>1E-4</v>
      </c>
      <c r="G1346">
        <v>1</v>
      </c>
      <c r="I1346">
        <f>VLOOKUP(Table9[[#This Row],[Shortname]], Comp[], 6, FALSE)</f>
        <v>1074</v>
      </c>
      <c r="J1346" s="14">
        <f>VLOOKUP(Table9[[#This Row],[Shortname]], Comp[], 7, FALSE)</f>
        <v>52.13</v>
      </c>
      <c r="K1346">
        <f>VLOOKUP(Table9[[#This Row],[Shortname]], Comp[], 8, FALSE)</f>
        <v>11.78</v>
      </c>
      <c r="L1346">
        <f>VLOOKUP(Table9[[#This Row],[Shortname]], Comp[], 9, FALSE)</f>
        <v>5.45</v>
      </c>
      <c r="M1346">
        <f>VLOOKUP(Table9[[#This Row],[Shortname]], Comp[], 10, FALSE)</f>
        <v>4.1399999999999997</v>
      </c>
      <c r="N1346">
        <f>VLOOKUP(Table9[[#This Row],[Shortname]], Comp[], 11, FALSE)</f>
        <v>0</v>
      </c>
      <c r="O1346">
        <f>VLOOKUP(Table9[[#This Row],[Shortname]], Comp[],12, FALSE)</f>
        <v>2.06</v>
      </c>
      <c r="P1346">
        <f>VLOOKUP(Table9[[#This Row],[Shortname]], Comp[], 13, FALSE)</f>
        <v>1.52</v>
      </c>
      <c r="Q1346">
        <f>VLOOKUP(Table9[[#This Row],[Shortname]], Comp[], 14, FALSE)</f>
        <v>1.51</v>
      </c>
      <c r="R1346">
        <f>VLOOKUP(Table9[[#This Row],[Shortname]], Comp[], 15, FALSE)</f>
        <v>3.06</v>
      </c>
      <c r="S1346">
        <f>VLOOKUP(Table9[[#This Row],[Shortname]], Comp[], 16, FALSE)</f>
        <v>0</v>
      </c>
      <c r="T1346">
        <f>VLOOKUP(Table9[[#This Row],[Shortname]], Comp[], 17, FALSE)</f>
        <v>0</v>
      </c>
      <c r="U1346">
        <f>VLOOKUP(Table9[[#This Row],[Shortname]], Comp[], 18, FALSE)</f>
        <v>0</v>
      </c>
      <c r="V1346">
        <f>VLOOKUP(Table9[[#This Row],[Shortname]], Comp[], 19, FALSE)</f>
        <v>0.08</v>
      </c>
      <c r="W1346">
        <f>VLOOKUP(Table9[[#This Row],[Shortname]], Comp[], 20, FALSE)</f>
        <v>0</v>
      </c>
      <c r="X1346">
        <f>VLOOKUP(Table9[[#This Row],[Shortname]], Comp[], 21, FALSE)</f>
        <v>0</v>
      </c>
      <c r="Y1346">
        <f>VLOOKUP(Table9[[#This Row],[Shortname]], Comp[], 22, FALSE)</f>
        <v>0</v>
      </c>
      <c r="Z1346">
        <f>VLOOKUP(Table9[[#This Row],[Shortname]], Comp[], 23, FALSE)</f>
        <v>18.27</v>
      </c>
      <c r="AA1346">
        <f>VLOOKUP(Table9[[#This Row],[Shortname]], Comp[], 24, FALSE)</f>
        <v>0</v>
      </c>
      <c r="AB1346">
        <f>VLOOKUP(Table9[[#This Row],[Shortname]], Comp[], 25, FALSE)</f>
        <v>0</v>
      </c>
      <c r="AC1346">
        <f>VLOOKUP(Table9[[#This Row],[Shortname]], Comp[], 26, FALSE)</f>
        <v>0</v>
      </c>
      <c r="AD1346">
        <f>VLOOKUP(Table9[[#This Row],[Shortname]], Comp[], 27, FALSE)</f>
        <v>0</v>
      </c>
      <c r="AE1346">
        <f>VLOOKUP(Table9[[#This Row],[Shortname]], Comp[], 28, FALSE)</f>
        <v>0</v>
      </c>
      <c r="AF1346">
        <f>VLOOKUP(Table9[[#This Row],[Shortname]], Comp[], 29, FALSE)</f>
        <v>0</v>
      </c>
      <c r="AG1346">
        <f>VLOOKUP(Table9[[#This Row],[Shortname]], Comp[], 30, FALSE)</f>
        <v>0</v>
      </c>
      <c r="AH1346">
        <f>VLOOKUP(Table9[[#This Row],[Shortname]], Comp[], 31, FALSE)</f>
        <v>0</v>
      </c>
    </row>
    <row r="1347" spans="1:34" x14ac:dyDescent="0.3">
      <c r="A1347" t="s">
        <v>6440</v>
      </c>
      <c r="B1347" t="s">
        <v>6441</v>
      </c>
      <c r="C1347" t="s">
        <v>6431</v>
      </c>
      <c r="D1347">
        <v>490.31220000000002</v>
      </c>
      <c r="E1347">
        <v>725</v>
      </c>
      <c r="F1347">
        <v>1E-4</v>
      </c>
      <c r="G1347">
        <v>1</v>
      </c>
      <c r="I1347">
        <f>VLOOKUP(Table9[[#This Row],[Shortname]], Comp[], 6, FALSE)</f>
        <v>1074</v>
      </c>
      <c r="J1347" s="14">
        <f>VLOOKUP(Table9[[#This Row],[Shortname]], Comp[], 7, FALSE)</f>
        <v>52.13</v>
      </c>
      <c r="K1347">
        <f>VLOOKUP(Table9[[#This Row],[Shortname]], Comp[], 8, FALSE)</f>
        <v>11.78</v>
      </c>
      <c r="L1347">
        <f>VLOOKUP(Table9[[#This Row],[Shortname]], Comp[], 9, FALSE)</f>
        <v>5.45</v>
      </c>
      <c r="M1347">
        <f>VLOOKUP(Table9[[#This Row],[Shortname]], Comp[], 10, FALSE)</f>
        <v>4.1399999999999997</v>
      </c>
      <c r="N1347">
        <f>VLOOKUP(Table9[[#This Row],[Shortname]], Comp[], 11, FALSE)</f>
        <v>0</v>
      </c>
      <c r="O1347">
        <f>VLOOKUP(Table9[[#This Row],[Shortname]], Comp[],12, FALSE)</f>
        <v>2.06</v>
      </c>
      <c r="P1347">
        <f>VLOOKUP(Table9[[#This Row],[Shortname]], Comp[], 13, FALSE)</f>
        <v>1.52</v>
      </c>
      <c r="Q1347">
        <f>VLOOKUP(Table9[[#This Row],[Shortname]], Comp[], 14, FALSE)</f>
        <v>1.51</v>
      </c>
      <c r="R1347">
        <f>VLOOKUP(Table9[[#This Row],[Shortname]], Comp[], 15, FALSE)</f>
        <v>3.06</v>
      </c>
      <c r="S1347">
        <f>VLOOKUP(Table9[[#This Row],[Shortname]], Comp[], 16, FALSE)</f>
        <v>0</v>
      </c>
      <c r="T1347">
        <f>VLOOKUP(Table9[[#This Row],[Shortname]], Comp[], 17, FALSE)</f>
        <v>0</v>
      </c>
      <c r="U1347">
        <f>VLOOKUP(Table9[[#This Row],[Shortname]], Comp[], 18, FALSE)</f>
        <v>0</v>
      </c>
      <c r="V1347">
        <f>VLOOKUP(Table9[[#This Row],[Shortname]], Comp[], 19, FALSE)</f>
        <v>0.08</v>
      </c>
      <c r="W1347">
        <f>VLOOKUP(Table9[[#This Row],[Shortname]], Comp[], 20, FALSE)</f>
        <v>0</v>
      </c>
      <c r="X1347">
        <f>VLOOKUP(Table9[[#This Row],[Shortname]], Comp[], 21, FALSE)</f>
        <v>0</v>
      </c>
      <c r="Y1347">
        <f>VLOOKUP(Table9[[#This Row],[Shortname]], Comp[], 22, FALSE)</f>
        <v>0</v>
      </c>
      <c r="Z1347">
        <f>VLOOKUP(Table9[[#This Row],[Shortname]], Comp[], 23, FALSE)</f>
        <v>18.27</v>
      </c>
      <c r="AA1347">
        <f>VLOOKUP(Table9[[#This Row],[Shortname]], Comp[], 24, FALSE)</f>
        <v>0</v>
      </c>
      <c r="AB1347">
        <f>VLOOKUP(Table9[[#This Row],[Shortname]], Comp[], 25, FALSE)</f>
        <v>0</v>
      </c>
      <c r="AC1347">
        <f>VLOOKUP(Table9[[#This Row],[Shortname]], Comp[], 26, FALSE)</f>
        <v>0</v>
      </c>
      <c r="AD1347">
        <f>VLOOKUP(Table9[[#This Row],[Shortname]], Comp[], 27, FALSE)</f>
        <v>0</v>
      </c>
      <c r="AE1347">
        <f>VLOOKUP(Table9[[#This Row],[Shortname]], Comp[], 28, FALSE)</f>
        <v>0</v>
      </c>
      <c r="AF1347">
        <f>VLOOKUP(Table9[[#This Row],[Shortname]], Comp[], 29, FALSE)</f>
        <v>0</v>
      </c>
      <c r="AG1347">
        <f>VLOOKUP(Table9[[#This Row],[Shortname]], Comp[], 30, FALSE)</f>
        <v>0</v>
      </c>
      <c r="AH1347">
        <f>VLOOKUP(Table9[[#This Row],[Shortname]], Comp[], 31, FALSE)</f>
        <v>0</v>
      </c>
    </row>
    <row r="1348" spans="1:34" x14ac:dyDescent="0.3">
      <c r="A1348" t="s">
        <v>6440</v>
      </c>
      <c r="B1348" t="s">
        <v>6441</v>
      </c>
      <c r="C1348" t="s">
        <v>6431</v>
      </c>
      <c r="D1348">
        <v>537.82330000000002</v>
      </c>
      <c r="E1348">
        <v>775</v>
      </c>
      <c r="F1348">
        <v>1E-4</v>
      </c>
      <c r="G1348">
        <v>1</v>
      </c>
      <c r="I1348">
        <f>VLOOKUP(Table9[[#This Row],[Shortname]], Comp[], 6, FALSE)</f>
        <v>1074</v>
      </c>
      <c r="J1348" s="14">
        <f>VLOOKUP(Table9[[#This Row],[Shortname]], Comp[], 7, FALSE)</f>
        <v>52.13</v>
      </c>
      <c r="K1348">
        <f>VLOOKUP(Table9[[#This Row],[Shortname]], Comp[], 8, FALSE)</f>
        <v>11.78</v>
      </c>
      <c r="L1348">
        <f>VLOOKUP(Table9[[#This Row],[Shortname]], Comp[], 9, FALSE)</f>
        <v>5.45</v>
      </c>
      <c r="M1348">
        <f>VLOOKUP(Table9[[#This Row],[Shortname]], Comp[], 10, FALSE)</f>
        <v>4.1399999999999997</v>
      </c>
      <c r="N1348">
        <f>VLOOKUP(Table9[[#This Row],[Shortname]], Comp[], 11, FALSE)</f>
        <v>0</v>
      </c>
      <c r="O1348">
        <f>VLOOKUP(Table9[[#This Row],[Shortname]], Comp[],12, FALSE)</f>
        <v>2.06</v>
      </c>
      <c r="P1348">
        <f>VLOOKUP(Table9[[#This Row],[Shortname]], Comp[], 13, FALSE)</f>
        <v>1.52</v>
      </c>
      <c r="Q1348">
        <f>VLOOKUP(Table9[[#This Row],[Shortname]], Comp[], 14, FALSE)</f>
        <v>1.51</v>
      </c>
      <c r="R1348">
        <f>VLOOKUP(Table9[[#This Row],[Shortname]], Comp[], 15, FALSE)</f>
        <v>3.06</v>
      </c>
      <c r="S1348">
        <f>VLOOKUP(Table9[[#This Row],[Shortname]], Comp[], 16, FALSE)</f>
        <v>0</v>
      </c>
      <c r="T1348">
        <f>VLOOKUP(Table9[[#This Row],[Shortname]], Comp[], 17, FALSE)</f>
        <v>0</v>
      </c>
      <c r="U1348">
        <f>VLOOKUP(Table9[[#This Row],[Shortname]], Comp[], 18, FALSE)</f>
        <v>0</v>
      </c>
      <c r="V1348">
        <f>VLOOKUP(Table9[[#This Row],[Shortname]], Comp[], 19, FALSE)</f>
        <v>0.08</v>
      </c>
      <c r="W1348">
        <f>VLOOKUP(Table9[[#This Row],[Shortname]], Comp[], 20, FALSE)</f>
        <v>0</v>
      </c>
      <c r="X1348">
        <f>VLOOKUP(Table9[[#This Row],[Shortname]], Comp[], 21, FALSE)</f>
        <v>0</v>
      </c>
      <c r="Y1348">
        <f>VLOOKUP(Table9[[#This Row],[Shortname]], Comp[], 22, FALSE)</f>
        <v>0</v>
      </c>
      <c r="Z1348">
        <f>VLOOKUP(Table9[[#This Row],[Shortname]], Comp[], 23, FALSE)</f>
        <v>18.27</v>
      </c>
      <c r="AA1348">
        <f>VLOOKUP(Table9[[#This Row],[Shortname]], Comp[], 24, FALSE)</f>
        <v>0</v>
      </c>
      <c r="AB1348">
        <f>VLOOKUP(Table9[[#This Row],[Shortname]], Comp[], 25, FALSE)</f>
        <v>0</v>
      </c>
      <c r="AC1348">
        <f>VLOOKUP(Table9[[#This Row],[Shortname]], Comp[], 26, FALSE)</f>
        <v>0</v>
      </c>
      <c r="AD1348">
        <f>VLOOKUP(Table9[[#This Row],[Shortname]], Comp[], 27, FALSE)</f>
        <v>0</v>
      </c>
      <c r="AE1348">
        <f>VLOOKUP(Table9[[#This Row],[Shortname]], Comp[], 28, FALSE)</f>
        <v>0</v>
      </c>
      <c r="AF1348">
        <f>VLOOKUP(Table9[[#This Row],[Shortname]], Comp[], 29, FALSE)</f>
        <v>0</v>
      </c>
      <c r="AG1348">
        <f>VLOOKUP(Table9[[#This Row],[Shortname]], Comp[], 30, FALSE)</f>
        <v>0</v>
      </c>
      <c r="AH1348">
        <f>VLOOKUP(Table9[[#This Row],[Shortname]], Comp[], 31, FALSE)</f>
        <v>0</v>
      </c>
    </row>
    <row r="1349" spans="1:34" x14ac:dyDescent="0.3">
      <c r="A1349" t="s">
        <v>6440</v>
      </c>
      <c r="B1349" t="s">
        <v>6441</v>
      </c>
      <c r="C1349" t="s">
        <v>6431</v>
      </c>
      <c r="D1349">
        <v>512.25530000000003</v>
      </c>
      <c r="E1349">
        <v>825</v>
      </c>
      <c r="F1349">
        <v>1E-4</v>
      </c>
      <c r="G1349">
        <v>1</v>
      </c>
      <c r="I1349">
        <f>VLOOKUP(Table9[[#This Row],[Shortname]], Comp[], 6, FALSE)</f>
        <v>1074</v>
      </c>
      <c r="J1349" s="14">
        <f>VLOOKUP(Table9[[#This Row],[Shortname]], Comp[], 7, FALSE)</f>
        <v>52.13</v>
      </c>
      <c r="K1349">
        <f>VLOOKUP(Table9[[#This Row],[Shortname]], Comp[], 8, FALSE)</f>
        <v>11.78</v>
      </c>
      <c r="L1349">
        <f>VLOOKUP(Table9[[#This Row],[Shortname]], Comp[], 9, FALSE)</f>
        <v>5.45</v>
      </c>
      <c r="M1349">
        <f>VLOOKUP(Table9[[#This Row],[Shortname]], Comp[], 10, FALSE)</f>
        <v>4.1399999999999997</v>
      </c>
      <c r="N1349">
        <f>VLOOKUP(Table9[[#This Row],[Shortname]], Comp[], 11, FALSE)</f>
        <v>0</v>
      </c>
      <c r="O1349">
        <f>VLOOKUP(Table9[[#This Row],[Shortname]], Comp[],12, FALSE)</f>
        <v>2.06</v>
      </c>
      <c r="P1349">
        <f>VLOOKUP(Table9[[#This Row],[Shortname]], Comp[], 13, FALSE)</f>
        <v>1.52</v>
      </c>
      <c r="Q1349">
        <f>VLOOKUP(Table9[[#This Row],[Shortname]], Comp[], 14, FALSE)</f>
        <v>1.51</v>
      </c>
      <c r="R1349">
        <f>VLOOKUP(Table9[[#This Row],[Shortname]], Comp[], 15, FALSE)</f>
        <v>3.06</v>
      </c>
      <c r="S1349">
        <f>VLOOKUP(Table9[[#This Row],[Shortname]], Comp[], 16, FALSE)</f>
        <v>0</v>
      </c>
      <c r="T1349">
        <f>VLOOKUP(Table9[[#This Row],[Shortname]], Comp[], 17, FALSE)</f>
        <v>0</v>
      </c>
      <c r="U1349">
        <f>VLOOKUP(Table9[[#This Row],[Shortname]], Comp[], 18, FALSE)</f>
        <v>0</v>
      </c>
      <c r="V1349">
        <f>VLOOKUP(Table9[[#This Row],[Shortname]], Comp[], 19, FALSE)</f>
        <v>0.08</v>
      </c>
      <c r="W1349">
        <f>VLOOKUP(Table9[[#This Row],[Shortname]], Comp[], 20, FALSE)</f>
        <v>0</v>
      </c>
      <c r="X1349">
        <f>VLOOKUP(Table9[[#This Row],[Shortname]], Comp[], 21, FALSE)</f>
        <v>0</v>
      </c>
      <c r="Y1349">
        <f>VLOOKUP(Table9[[#This Row],[Shortname]], Comp[], 22, FALSE)</f>
        <v>0</v>
      </c>
      <c r="Z1349">
        <f>VLOOKUP(Table9[[#This Row],[Shortname]], Comp[], 23, FALSE)</f>
        <v>18.27</v>
      </c>
      <c r="AA1349">
        <f>VLOOKUP(Table9[[#This Row],[Shortname]], Comp[], 24, FALSE)</f>
        <v>0</v>
      </c>
      <c r="AB1349">
        <f>VLOOKUP(Table9[[#This Row],[Shortname]], Comp[], 25, FALSE)</f>
        <v>0</v>
      </c>
      <c r="AC1349">
        <f>VLOOKUP(Table9[[#This Row],[Shortname]], Comp[], 26, FALSE)</f>
        <v>0</v>
      </c>
      <c r="AD1349">
        <f>VLOOKUP(Table9[[#This Row],[Shortname]], Comp[], 27, FALSE)</f>
        <v>0</v>
      </c>
      <c r="AE1349">
        <f>VLOOKUP(Table9[[#This Row],[Shortname]], Comp[], 28, FALSE)</f>
        <v>0</v>
      </c>
      <c r="AF1349">
        <f>VLOOKUP(Table9[[#This Row],[Shortname]], Comp[], 29, FALSE)</f>
        <v>0</v>
      </c>
      <c r="AG1349">
        <f>VLOOKUP(Table9[[#This Row],[Shortname]], Comp[], 30, FALSE)</f>
        <v>0</v>
      </c>
      <c r="AH1349">
        <f>VLOOKUP(Table9[[#This Row],[Shortname]], Comp[], 31, FALSE)</f>
        <v>0</v>
      </c>
    </row>
    <row r="1350" spans="1:34" x14ac:dyDescent="0.3">
      <c r="A1350" t="s">
        <v>6440</v>
      </c>
      <c r="B1350" t="s">
        <v>6441</v>
      </c>
      <c r="C1350" t="s">
        <v>6431</v>
      </c>
      <c r="D1350">
        <v>426.58269999999999</v>
      </c>
      <c r="E1350">
        <v>875</v>
      </c>
      <c r="F1350">
        <v>1E-4</v>
      </c>
      <c r="G1350">
        <v>1</v>
      </c>
      <c r="I1350">
        <f>VLOOKUP(Table9[[#This Row],[Shortname]], Comp[], 6, FALSE)</f>
        <v>1074</v>
      </c>
      <c r="J1350" s="14">
        <f>VLOOKUP(Table9[[#This Row],[Shortname]], Comp[], 7, FALSE)</f>
        <v>52.13</v>
      </c>
      <c r="K1350">
        <f>VLOOKUP(Table9[[#This Row],[Shortname]], Comp[], 8, FALSE)</f>
        <v>11.78</v>
      </c>
      <c r="L1350">
        <f>VLOOKUP(Table9[[#This Row],[Shortname]], Comp[], 9, FALSE)</f>
        <v>5.45</v>
      </c>
      <c r="M1350">
        <f>VLOOKUP(Table9[[#This Row],[Shortname]], Comp[], 10, FALSE)</f>
        <v>4.1399999999999997</v>
      </c>
      <c r="N1350">
        <f>VLOOKUP(Table9[[#This Row],[Shortname]], Comp[], 11, FALSE)</f>
        <v>0</v>
      </c>
      <c r="O1350">
        <f>VLOOKUP(Table9[[#This Row],[Shortname]], Comp[],12, FALSE)</f>
        <v>2.06</v>
      </c>
      <c r="P1350">
        <f>VLOOKUP(Table9[[#This Row],[Shortname]], Comp[], 13, FALSE)</f>
        <v>1.52</v>
      </c>
      <c r="Q1350">
        <f>VLOOKUP(Table9[[#This Row],[Shortname]], Comp[], 14, FALSE)</f>
        <v>1.51</v>
      </c>
      <c r="R1350">
        <f>VLOOKUP(Table9[[#This Row],[Shortname]], Comp[], 15, FALSE)</f>
        <v>3.06</v>
      </c>
      <c r="S1350">
        <f>VLOOKUP(Table9[[#This Row],[Shortname]], Comp[], 16, FALSE)</f>
        <v>0</v>
      </c>
      <c r="T1350">
        <f>VLOOKUP(Table9[[#This Row],[Shortname]], Comp[], 17, FALSE)</f>
        <v>0</v>
      </c>
      <c r="U1350">
        <f>VLOOKUP(Table9[[#This Row],[Shortname]], Comp[], 18, FALSE)</f>
        <v>0</v>
      </c>
      <c r="V1350">
        <f>VLOOKUP(Table9[[#This Row],[Shortname]], Comp[], 19, FALSE)</f>
        <v>0.08</v>
      </c>
      <c r="W1350">
        <f>VLOOKUP(Table9[[#This Row],[Shortname]], Comp[], 20, FALSE)</f>
        <v>0</v>
      </c>
      <c r="X1350">
        <f>VLOOKUP(Table9[[#This Row],[Shortname]], Comp[], 21, FALSE)</f>
        <v>0</v>
      </c>
      <c r="Y1350">
        <f>VLOOKUP(Table9[[#This Row],[Shortname]], Comp[], 22, FALSE)</f>
        <v>0</v>
      </c>
      <c r="Z1350">
        <f>VLOOKUP(Table9[[#This Row],[Shortname]], Comp[], 23, FALSE)</f>
        <v>18.27</v>
      </c>
      <c r="AA1350">
        <f>VLOOKUP(Table9[[#This Row],[Shortname]], Comp[], 24, FALSE)</f>
        <v>0</v>
      </c>
      <c r="AB1350">
        <f>VLOOKUP(Table9[[#This Row],[Shortname]], Comp[], 25, FALSE)</f>
        <v>0</v>
      </c>
      <c r="AC1350">
        <f>VLOOKUP(Table9[[#This Row],[Shortname]], Comp[], 26, FALSE)</f>
        <v>0</v>
      </c>
      <c r="AD1350">
        <f>VLOOKUP(Table9[[#This Row],[Shortname]], Comp[], 27, FALSE)</f>
        <v>0</v>
      </c>
      <c r="AE1350">
        <f>VLOOKUP(Table9[[#This Row],[Shortname]], Comp[], 28, FALSE)</f>
        <v>0</v>
      </c>
      <c r="AF1350">
        <f>VLOOKUP(Table9[[#This Row],[Shortname]], Comp[], 29, FALSE)</f>
        <v>0</v>
      </c>
      <c r="AG1350">
        <f>VLOOKUP(Table9[[#This Row],[Shortname]], Comp[], 30, FALSE)</f>
        <v>0</v>
      </c>
      <c r="AH1350">
        <f>VLOOKUP(Table9[[#This Row],[Shortname]], Comp[], 31, FALSE)</f>
        <v>0</v>
      </c>
    </row>
    <row r="1351" spans="1:34" x14ac:dyDescent="0.3">
      <c r="A1351" t="s">
        <v>6440</v>
      </c>
      <c r="B1351" t="s">
        <v>6441</v>
      </c>
      <c r="C1351" t="s">
        <v>6431</v>
      </c>
      <c r="D1351">
        <v>268.38929999999999</v>
      </c>
      <c r="E1351">
        <v>925</v>
      </c>
      <c r="F1351">
        <v>1E-4</v>
      </c>
      <c r="G1351">
        <v>1</v>
      </c>
      <c r="I1351">
        <f>VLOOKUP(Table9[[#This Row],[Shortname]], Comp[], 6, FALSE)</f>
        <v>1074</v>
      </c>
      <c r="J1351" s="14">
        <f>VLOOKUP(Table9[[#This Row],[Shortname]], Comp[], 7, FALSE)</f>
        <v>52.13</v>
      </c>
      <c r="K1351">
        <f>VLOOKUP(Table9[[#This Row],[Shortname]], Comp[], 8, FALSE)</f>
        <v>11.78</v>
      </c>
      <c r="L1351">
        <f>VLOOKUP(Table9[[#This Row],[Shortname]], Comp[], 9, FALSE)</f>
        <v>5.45</v>
      </c>
      <c r="M1351">
        <f>VLOOKUP(Table9[[#This Row],[Shortname]], Comp[], 10, FALSE)</f>
        <v>4.1399999999999997</v>
      </c>
      <c r="N1351">
        <f>VLOOKUP(Table9[[#This Row],[Shortname]], Comp[], 11, FALSE)</f>
        <v>0</v>
      </c>
      <c r="O1351">
        <f>VLOOKUP(Table9[[#This Row],[Shortname]], Comp[],12, FALSE)</f>
        <v>2.06</v>
      </c>
      <c r="P1351">
        <f>VLOOKUP(Table9[[#This Row],[Shortname]], Comp[], 13, FALSE)</f>
        <v>1.52</v>
      </c>
      <c r="Q1351">
        <f>VLOOKUP(Table9[[#This Row],[Shortname]], Comp[], 14, FALSE)</f>
        <v>1.51</v>
      </c>
      <c r="R1351">
        <f>VLOOKUP(Table9[[#This Row],[Shortname]], Comp[], 15, FALSE)</f>
        <v>3.06</v>
      </c>
      <c r="S1351">
        <f>VLOOKUP(Table9[[#This Row],[Shortname]], Comp[], 16, FALSE)</f>
        <v>0</v>
      </c>
      <c r="T1351">
        <f>VLOOKUP(Table9[[#This Row],[Shortname]], Comp[], 17, FALSE)</f>
        <v>0</v>
      </c>
      <c r="U1351">
        <f>VLOOKUP(Table9[[#This Row],[Shortname]], Comp[], 18, FALSE)</f>
        <v>0</v>
      </c>
      <c r="V1351">
        <f>VLOOKUP(Table9[[#This Row],[Shortname]], Comp[], 19, FALSE)</f>
        <v>0.08</v>
      </c>
      <c r="W1351">
        <f>VLOOKUP(Table9[[#This Row],[Shortname]], Comp[], 20, FALSE)</f>
        <v>0</v>
      </c>
      <c r="X1351">
        <f>VLOOKUP(Table9[[#This Row],[Shortname]], Comp[], 21, FALSE)</f>
        <v>0</v>
      </c>
      <c r="Y1351">
        <f>VLOOKUP(Table9[[#This Row],[Shortname]], Comp[], 22, FALSE)</f>
        <v>0</v>
      </c>
      <c r="Z1351">
        <f>VLOOKUP(Table9[[#This Row],[Shortname]], Comp[], 23, FALSE)</f>
        <v>18.27</v>
      </c>
      <c r="AA1351">
        <f>VLOOKUP(Table9[[#This Row],[Shortname]], Comp[], 24, FALSE)</f>
        <v>0</v>
      </c>
      <c r="AB1351">
        <f>VLOOKUP(Table9[[#This Row],[Shortname]], Comp[], 25, FALSE)</f>
        <v>0</v>
      </c>
      <c r="AC1351">
        <f>VLOOKUP(Table9[[#This Row],[Shortname]], Comp[], 26, FALSE)</f>
        <v>0</v>
      </c>
      <c r="AD1351">
        <f>VLOOKUP(Table9[[#This Row],[Shortname]], Comp[], 27, FALSE)</f>
        <v>0</v>
      </c>
      <c r="AE1351">
        <f>VLOOKUP(Table9[[#This Row],[Shortname]], Comp[], 28, FALSE)</f>
        <v>0</v>
      </c>
      <c r="AF1351">
        <f>VLOOKUP(Table9[[#This Row],[Shortname]], Comp[], 29, FALSE)</f>
        <v>0</v>
      </c>
      <c r="AG1351">
        <f>VLOOKUP(Table9[[#This Row],[Shortname]], Comp[], 30, FALSE)</f>
        <v>0</v>
      </c>
      <c r="AH1351">
        <f>VLOOKUP(Table9[[#This Row],[Shortname]], Comp[], 31, FALSE)</f>
        <v>0</v>
      </c>
    </row>
    <row r="1352" spans="1:34" x14ac:dyDescent="0.3">
      <c r="A1352" t="s">
        <v>6440</v>
      </c>
      <c r="B1352" t="s">
        <v>6441</v>
      </c>
      <c r="C1352" t="s">
        <v>6431</v>
      </c>
      <c r="D1352">
        <v>141.5247</v>
      </c>
      <c r="E1352">
        <v>975</v>
      </c>
      <c r="F1352">
        <v>1E-4</v>
      </c>
      <c r="G1352">
        <v>1</v>
      </c>
      <c r="I1352">
        <f>VLOOKUP(Table9[[#This Row],[Shortname]], Comp[], 6, FALSE)</f>
        <v>1074</v>
      </c>
      <c r="J1352" s="14">
        <f>VLOOKUP(Table9[[#This Row],[Shortname]], Comp[], 7, FALSE)</f>
        <v>52.13</v>
      </c>
      <c r="K1352">
        <f>VLOOKUP(Table9[[#This Row],[Shortname]], Comp[], 8, FALSE)</f>
        <v>11.78</v>
      </c>
      <c r="L1352">
        <f>VLOOKUP(Table9[[#This Row],[Shortname]], Comp[], 9, FALSE)</f>
        <v>5.45</v>
      </c>
      <c r="M1352">
        <f>VLOOKUP(Table9[[#This Row],[Shortname]], Comp[], 10, FALSE)</f>
        <v>4.1399999999999997</v>
      </c>
      <c r="N1352">
        <f>VLOOKUP(Table9[[#This Row],[Shortname]], Comp[], 11, FALSE)</f>
        <v>0</v>
      </c>
      <c r="O1352">
        <f>VLOOKUP(Table9[[#This Row],[Shortname]], Comp[],12, FALSE)</f>
        <v>2.06</v>
      </c>
      <c r="P1352">
        <f>VLOOKUP(Table9[[#This Row],[Shortname]], Comp[], 13, FALSE)</f>
        <v>1.52</v>
      </c>
      <c r="Q1352">
        <f>VLOOKUP(Table9[[#This Row],[Shortname]], Comp[], 14, FALSE)</f>
        <v>1.51</v>
      </c>
      <c r="R1352">
        <f>VLOOKUP(Table9[[#This Row],[Shortname]], Comp[], 15, FALSE)</f>
        <v>3.06</v>
      </c>
      <c r="S1352">
        <f>VLOOKUP(Table9[[#This Row],[Shortname]], Comp[], 16, FALSE)</f>
        <v>0</v>
      </c>
      <c r="T1352">
        <f>VLOOKUP(Table9[[#This Row],[Shortname]], Comp[], 17, FALSE)</f>
        <v>0</v>
      </c>
      <c r="U1352">
        <f>VLOOKUP(Table9[[#This Row],[Shortname]], Comp[], 18, FALSE)</f>
        <v>0</v>
      </c>
      <c r="V1352">
        <f>VLOOKUP(Table9[[#This Row],[Shortname]], Comp[], 19, FALSE)</f>
        <v>0.08</v>
      </c>
      <c r="W1352">
        <f>VLOOKUP(Table9[[#This Row],[Shortname]], Comp[], 20, FALSE)</f>
        <v>0</v>
      </c>
      <c r="X1352">
        <f>VLOOKUP(Table9[[#This Row],[Shortname]], Comp[], 21, FALSE)</f>
        <v>0</v>
      </c>
      <c r="Y1352">
        <f>VLOOKUP(Table9[[#This Row],[Shortname]], Comp[], 22, FALSE)</f>
        <v>0</v>
      </c>
      <c r="Z1352">
        <f>VLOOKUP(Table9[[#This Row],[Shortname]], Comp[], 23, FALSE)</f>
        <v>18.27</v>
      </c>
      <c r="AA1352">
        <f>VLOOKUP(Table9[[#This Row],[Shortname]], Comp[], 24, FALSE)</f>
        <v>0</v>
      </c>
      <c r="AB1352">
        <f>VLOOKUP(Table9[[#This Row],[Shortname]], Comp[], 25, FALSE)</f>
        <v>0</v>
      </c>
      <c r="AC1352">
        <f>VLOOKUP(Table9[[#This Row],[Shortname]], Comp[], 26, FALSE)</f>
        <v>0</v>
      </c>
      <c r="AD1352">
        <f>VLOOKUP(Table9[[#This Row],[Shortname]], Comp[], 27, FALSE)</f>
        <v>0</v>
      </c>
      <c r="AE1352">
        <f>VLOOKUP(Table9[[#This Row],[Shortname]], Comp[], 28, FALSE)</f>
        <v>0</v>
      </c>
      <c r="AF1352">
        <f>VLOOKUP(Table9[[#This Row],[Shortname]], Comp[], 29, FALSE)</f>
        <v>0</v>
      </c>
      <c r="AG1352">
        <f>VLOOKUP(Table9[[#This Row],[Shortname]], Comp[], 30, FALSE)</f>
        <v>0</v>
      </c>
      <c r="AH1352">
        <f>VLOOKUP(Table9[[#This Row],[Shortname]], Comp[], 31, FALSE)</f>
        <v>0</v>
      </c>
    </row>
    <row r="1353" spans="1:34" x14ac:dyDescent="0.3">
      <c r="A1353" t="s">
        <v>6456</v>
      </c>
      <c r="B1353" t="s">
        <v>6457</v>
      </c>
      <c r="C1353" t="s">
        <v>6431</v>
      </c>
      <c r="D1353">
        <v>581.34860000000003</v>
      </c>
      <c r="E1353">
        <v>25</v>
      </c>
      <c r="F1353">
        <v>1E-4</v>
      </c>
      <c r="G1353">
        <v>1</v>
      </c>
      <c r="I1353">
        <f>VLOOKUP(Table9[[#This Row],[Shortname]], Comp[], 6, FALSE)</f>
        <v>1077</v>
      </c>
      <c r="J1353" s="14">
        <f>VLOOKUP(Table9[[#This Row],[Shortname]], Comp[], 7, FALSE)</f>
        <v>48.05</v>
      </c>
      <c r="K1353">
        <f>VLOOKUP(Table9[[#This Row],[Shortname]], Comp[], 8, FALSE)</f>
        <v>11.81</v>
      </c>
      <c r="L1353">
        <f>VLOOKUP(Table9[[#This Row],[Shortname]], Comp[], 9, FALSE)</f>
        <v>5.49</v>
      </c>
      <c r="M1353">
        <f>VLOOKUP(Table9[[#This Row],[Shortname]], Comp[], 10, FALSE)</f>
        <v>8.3000000000000007</v>
      </c>
      <c r="N1353">
        <f>VLOOKUP(Table9[[#This Row],[Shortname]], Comp[], 11, FALSE)</f>
        <v>0</v>
      </c>
      <c r="O1353">
        <f>VLOOKUP(Table9[[#This Row],[Shortname]], Comp[],12, FALSE)</f>
        <v>2.04</v>
      </c>
      <c r="P1353">
        <f>VLOOKUP(Table9[[#This Row],[Shortname]], Comp[], 13, FALSE)</f>
        <v>1.44</v>
      </c>
      <c r="Q1353">
        <f>VLOOKUP(Table9[[#This Row],[Shortname]], Comp[], 14, FALSE)</f>
        <v>1.41</v>
      </c>
      <c r="R1353">
        <f>VLOOKUP(Table9[[#This Row],[Shortname]], Comp[], 15, FALSE)</f>
        <v>3.1</v>
      </c>
      <c r="S1353">
        <f>VLOOKUP(Table9[[#This Row],[Shortname]], Comp[], 16, FALSE)</f>
        <v>0</v>
      </c>
      <c r="T1353">
        <f>VLOOKUP(Table9[[#This Row],[Shortname]], Comp[], 17, FALSE)</f>
        <v>0</v>
      </c>
      <c r="U1353">
        <f>VLOOKUP(Table9[[#This Row],[Shortname]], Comp[], 18, FALSE)</f>
        <v>0</v>
      </c>
      <c r="V1353">
        <f>VLOOKUP(Table9[[#This Row],[Shortname]], Comp[], 19, FALSE)</f>
        <v>0.08</v>
      </c>
      <c r="W1353">
        <f>VLOOKUP(Table9[[#This Row],[Shortname]], Comp[], 20, FALSE)</f>
        <v>0</v>
      </c>
      <c r="X1353">
        <f>VLOOKUP(Table9[[#This Row],[Shortname]], Comp[], 21, FALSE)</f>
        <v>0</v>
      </c>
      <c r="Y1353">
        <f>VLOOKUP(Table9[[#This Row],[Shortname]], Comp[], 22, FALSE)</f>
        <v>0</v>
      </c>
      <c r="Z1353">
        <f>VLOOKUP(Table9[[#This Row],[Shortname]], Comp[], 23, FALSE)</f>
        <v>18.28</v>
      </c>
      <c r="AA1353">
        <f>VLOOKUP(Table9[[#This Row],[Shortname]], Comp[], 24, FALSE)</f>
        <v>0</v>
      </c>
      <c r="AB1353">
        <f>VLOOKUP(Table9[[#This Row],[Shortname]], Comp[], 25, FALSE)</f>
        <v>0</v>
      </c>
      <c r="AC1353">
        <f>VLOOKUP(Table9[[#This Row],[Shortname]], Comp[], 26, FALSE)</f>
        <v>0</v>
      </c>
      <c r="AD1353">
        <f>VLOOKUP(Table9[[#This Row],[Shortname]], Comp[], 27, FALSE)</f>
        <v>0</v>
      </c>
      <c r="AE1353">
        <f>VLOOKUP(Table9[[#This Row],[Shortname]], Comp[], 28, FALSE)</f>
        <v>0</v>
      </c>
      <c r="AF1353">
        <f>VLOOKUP(Table9[[#This Row],[Shortname]], Comp[], 29, FALSE)</f>
        <v>0</v>
      </c>
      <c r="AG1353">
        <f>VLOOKUP(Table9[[#This Row],[Shortname]], Comp[], 30, FALSE)</f>
        <v>0</v>
      </c>
      <c r="AH1353">
        <f>VLOOKUP(Table9[[#This Row],[Shortname]], Comp[], 31, FALSE)</f>
        <v>0</v>
      </c>
    </row>
    <row r="1354" spans="1:34" x14ac:dyDescent="0.3">
      <c r="A1354" t="s">
        <v>6456</v>
      </c>
      <c r="B1354" t="s">
        <v>6457</v>
      </c>
      <c r="C1354" t="s">
        <v>6431</v>
      </c>
      <c r="D1354">
        <v>451.0761</v>
      </c>
      <c r="E1354">
        <v>575</v>
      </c>
      <c r="F1354">
        <v>1E-4</v>
      </c>
      <c r="G1354">
        <v>1</v>
      </c>
      <c r="I1354">
        <f>VLOOKUP(Table9[[#This Row],[Shortname]], Comp[], 6, FALSE)</f>
        <v>1077</v>
      </c>
      <c r="J1354" s="14">
        <f>VLOOKUP(Table9[[#This Row],[Shortname]], Comp[], 7, FALSE)</f>
        <v>48.05</v>
      </c>
      <c r="K1354">
        <f>VLOOKUP(Table9[[#This Row],[Shortname]], Comp[], 8, FALSE)</f>
        <v>11.81</v>
      </c>
      <c r="L1354">
        <f>VLOOKUP(Table9[[#This Row],[Shortname]], Comp[], 9, FALSE)</f>
        <v>5.49</v>
      </c>
      <c r="M1354">
        <f>VLOOKUP(Table9[[#This Row],[Shortname]], Comp[], 10, FALSE)</f>
        <v>8.3000000000000007</v>
      </c>
      <c r="N1354">
        <f>VLOOKUP(Table9[[#This Row],[Shortname]], Comp[], 11, FALSE)</f>
        <v>0</v>
      </c>
      <c r="O1354">
        <f>VLOOKUP(Table9[[#This Row],[Shortname]], Comp[],12, FALSE)</f>
        <v>2.04</v>
      </c>
      <c r="P1354">
        <f>VLOOKUP(Table9[[#This Row],[Shortname]], Comp[], 13, FALSE)</f>
        <v>1.44</v>
      </c>
      <c r="Q1354">
        <f>VLOOKUP(Table9[[#This Row],[Shortname]], Comp[], 14, FALSE)</f>
        <v>1.41</v>
      </c>
      <c r="R1354">
        <f>VLOOKUP(Table9[[#This Row],[Shortname]], Comp[], 15, FALSE)</f>
        <v>3.1</v>
      </c>
      <c r="S1354">
        <f>VLOOKUP(Table9[[#This Row],[Shortname]], Comp[], 16, FALSE)</f>
        <v>0</v>
      </c>
      <c r="T1354">
        <f>VLOOKUP(Table9[[#This Row],[Shortname]], Comp[], 17, FALSE)</f>
        <v>0</v>
      </c>
      <c r="U1354">
        <f>VLOOKUP(Table9[[#This Row],[Shortname]], Comp[], 18, FALSE)</f>
        <v>0</v>
      </c>
      <c r="V1354">
        <f>VLOOKUP(Table9[[#This Row],[Shortname]], Comp[], 19, FALSE)</f>
        <v>0.08</v>
      </c>
      <c r="W1354">
        <f>VLOOKUP(Table9[[#This Row],[Shortname]], Comp[], 20, FALSE)</f>
        <v>0</v>
      </c>
      <c r="X1354">
        <f>VLOOKUP(Table9[[#This Row],[Shortname]], Comp[], 21, FALSE)</f>
        <v>0</v>
      </c>
      <c r="Y1354">
        <f>VLOOKUP(Table9[[#This Row],[Shortname]], Comp[], 22, FALSE)</f>
        <v>0</v>
      </c>
      <c r="Z1354">
        <f>VLOOKUP(Table9[[#This Row],[Shortname]], Comp[], 23, FALSE)</f>
        <v>18.28</v>
      </c>
      <c r="AA1354">
        <f>VLOOKUP(Table9[[#This Row],[Shortname]], Comp[], 24, FALSE)</f>
        <v>0</v>
      </c>
      <c r="AB1354">
        <f>VLOOKUP(Table9[[#This Row],[Shortname]], Comp[], 25, FALSE)</f>
        <v>0</v>
      </c>
      <c r="AC1354">
        <f>VLOOKUP(Table9[[#This Row],[Shortname]], Comp[], 26, FALSE)</f>
        <v>0</v>
      </c>
      <c r="AD1354">
        <f>VLOOKUP(Table9[[#This Row],[Shortname]], Comp[], 27, FALSE)</f>
        <v>0</v>
      </c>
      <c r="AE1354">
        <f>VLOOKUP(Table9[[#This Row],[Shortname]], Comp[], 28, FALSE)</f>
        <v>0</v>
      </c>
      <c r="AF1354">
        <f>VLOOKUP(Table9[[#This Row],[Shortname]], Comp[], 29, FALSE)</f>
        <v>0</v>
      </c>
      <c r="AG1354">
        <f>VLOOKUP(Table9[[#This Row],[Shortname]], Comp[], 30, FALSE)</f>
        <v>0</v>
      </c>
      <c r="AH1354">
        <f>VLOOKUP(Table9[[#This Row],[Shortname]], Comp[], 31, FALSE)</f>
        <v>0</v>
      </c>
    </row>
    <row r="1355" spans="1:34" x14ac:dyDescent="0.3">
      <c r="A1355" t="s">
        <v>6456</v>
      </c>
      <c r="B1355" t="s">
        <v>6457</v>
      </c>
      <c r="C1355" t="s">
        <v>6431</v>
      </c>
      <c r="D1355">
        <v>451.72379999999998</v>
      </c>
      <c r="E1355">
        <v>650</v>
      </c>
      <c r="F1355">
        <v>1E-4</v>
      </c>
      <c r="G1355">
        <v>1</v>
      </c>
      <c r="I1355">
        <f>VLOOKUP(Table9[[#This Row],[Shortname]], Comp[], 6, FALSE)</f>
        <v>1077</v>
      </c>
      <c r="J1355" s="14">
        <f>VLOOKUP(Table9[[#This Row],[Shortname]], Comp[], 7, FALSE)</f>
        <v>48.05</v>
      </c>
      <c r="K1355">
        <f>VLOOKUP(Table9[[#This Row],[Shortname]], Comp[], 8, FALSE)</f>
        <v>11.81</v>
      </c>
      <c r="L1355">
        <f>VLOOKUP(Table9[[#This Row],[Shortname]], Comp[], 9, FALSE)</f>
        <v>5.49</v>
      </c>
      <c r="M1355">
        <f>VLOOKUP(Table9[[#This Row],[Shortname]], Comp[], 10, FALSE)</f>
        <v>8.3000000000000007</v>
      </c>
      <c r="N1355">
        <f>VLOOKUP(Table9[[#This Row],[Shortname]], Comp[], 11, FALSE)</f>
        <v>0</v>
      </c>
      <c r="O1355">
        <f>VLOOKUP(Table9[[#This Row],[Shortname]], Comp[],12, FALSE)</f>
        <v>2.04</v>
      </c>
      <c r="P1355">
        <f>VLOOKUP(Table9[[#This Row],[Shortname]], Comp[], 13, FALSE)</f>
        <v>1.44</v>
      </c>
      <c r="Q1355">
        <f>VLOOKUP(Table9[[#This Row],[Shortname]], Comp[], 14, FALSE)</f>
        <v>1.41</v>
      </c>
      <c r="R1355">
        <f>VLOOKUP(Table9[[#This Row],[Shortname]], Comp[], 15, FALSE)</f>
        <v>3.1</v>
      </c>
      <c r="S1355">
        <f>VLOOKUP(Table9[[#This Row],[Shortname]], Comp[], 16, FALSE)</f>
        <v>0</v>
      </c>
      <c r="T1355">
        <f>VLOOKUP(Table9[[#This Row],[Shortname]], Comp[], 17, FALSE)</f>
        <v>0</v>
      </c>
      <c r="U1355">
        <f>VLOOKUP(Table9[[#This Row],[Shortname]], Comp[], 18, FALSE)</f>
        <v>0</v>
      </c>
      <c r="V1355">
        <f>VLOOKUP(Table9[[#This Row],[Shortname]], Comp[], 19, FALSE)</f>
        <v>0.08</v>
      </c>
      <c r="W1355">
        <f>VLOOKUP(Table9[[#This Row],[Shortname]], Comp[], 20, FALSE)</f>
        <v>0</v>
      </c>
      <c r="X1355">
        <f>VLOOKUP(Table9[[#This Row],[Shortname]], Comp[], 21, FALSE)</f>
        <v>0</v>
      </c>
      <c r="Y1355">
        <f>VLOOKUP(Table9[[#This Row],[Shortname]], Comp[], 22, FALSE)</f>
        <v>0</v>
      </c>
      <c r="Z1355">
        <f>VLOOKUP(Table9[[#This Row],[Shortname]], Comp[], 23, FALSE)</f>
        <v>18.28</v>
      </c>
      <c r="AA1355">
        <f>VLOOKUP(Table9[[#This Row],[Shortname]], Comp[], 24, FALSE)</f>
        <v>0</v>
      </c>
      <c r="AB1355">
        <f>VLOOKUP(Table9[[#This Row],[Shortname]], Comp[], 25, FALSE)</f>
        <v>0</v>
      </c>
      <c r="AC1355">
        <f>VLOOKUP(Table9[[#This Row],[Shortname]], Comp[], 26, FALSE)</f>
        <v>0</v>
      </c>
      <c r="AD1355">
        <f>VLOOKUP(Table9[[#This Row],[Shortname]], Comp[], 27, FALSE)</f>
        <v>0</v>
      </c>
      <c r="AE1355">
        <f>VLOOKUP(Table9[[#This Row],[Shortname]], Comp[], 28, FALSE)</f>
        <v>0</v>
      </c>
      <c r="AF1355">
        <f>VLOOKUP(Table9[[#This Row],[Shortname]], Comp[], 29, FALSE)</f>
        <v>0</v>
      </c>
      <c r="AG1355">
        <f>VLOOKUP(Table9[[#This Row],[Shortname]], Comp[], 30, FALSE)</f>
        <v>0</v>
      </c>
      <c r="AH1355">
        <f>VLOOKUP(Table9[[#This Row],[Shortname]], Comp[], 31, FALSE)</f>
        <v>0</v>
      </c>
    </row>
    <row r="1356" spans="1:34" x14ac:dyDescent="0.3">
      <c r="A1356" t="s">
        <v>6456</v>
      </c>
      <c r="B1356" t="s">
        <v>6457</v>
      </c>
      <c r="C1356" t="s">
        <v>6431</v>
      </c>
      <c r="D1356">
        <v>499.02109999999999</v>
      </c>
      <c r="E1356">
        <v>725</v>
      </c>
      <c r="F1356">
        <v>1E-4</v>
      </c>
      <c r="G1356">
        <v>1</v>
      </c>
      <c r="I1356">
        <f>VLOOKUP(Table9[[#This Row],[Shortname]], Comp[], 6, FALSE)</f>
        <v>1077</v>
      </c>
      <c r="J1356" s="14">
        <f>VLOOKUP(Table9[[#This Row],[Shortname]], Comp[], 7, FALSE)</f>
        <v>48.05</v>
      </c>
      <c r="K1356">
        <f>VLOOKUP(Table9[[#This Row],[Shortname]], Comp[], 8, FALSE)</f>
        <v>11.81</v>
      </c>
      <c r="L1356">
        <f>VLOOKUP(Table9[[#This Row],[Shortname]], Comp[], 9, FALSE)</f>
        <v>5.49</v>
      </c>
      <c r="M1356">
        <f>VLOOKUP(Table9[[#This Row],[Shortname]], Comp[], 10, FALSE)</f>
        <v>8.3000000000000007</v>
      </c>
      <c r="N1356">
        <f>VLOOKUP(Table9[[#This Row],[Shortname]], Comp[], 11, FALSE)</f>
        <v>0</v>
      </c>
      <c r="O1356">
        <f>VLOOKUP(Table9[[#This Row],[Shortname]], Comp[],12, FALSE)</f>
        <v>2.04</v>
      </c>
      <c r="P1356">
        <f>VLOOKUP(Table9[[#This Row],[Shortname]], Comp[], 13, FALSE)</f>
        <v>1.44</v>
      </c>
      <c r="Q1356">
        <f>VLOOKUP(Table9[[#This Row],[Shortname]], Comp[], 14, FALSE)</f>
        <v>1.41</v>
      </c>
      <c r="R1356">
        <f>VLOOKUP(Table9[[#This Row],[Shortname]], Comp[], 15, FALSE)</f>
        <v>3.1</v>
      </c>
      <c r="S1356">
        <f>VLOOKUP(Table9[[#This Row],[Shortname]], Comp[], 16, FALSE)</f>
        <v>0</v>
      </c>
      <c r="T1356">
        <f>VLOOKUP(Table9[[#This Row],[Shortname]], Comp[], 17, FALSE)</f>
        <v>0</v>
      </c>
      <c r="U1356">
        <f>VLOOKUP(Table9[[#This Row],[Shortname]], Comp[], 18, FALSE)</f>
        <v>0</v>
      </c>
      <c r="V1356">
        <f>VLOOKUP(Table9[[#This Row],[Shortname]], Comp[], 19, FALSE)</f>
        <v>0.08</v>
      </c>
      <c r="W1356">
        <f>VLOOKUP(Table9[[#This Row],[Shortname]], Comp[], 20, FALSE)</f>
        <v>0</v>
      </c>
      <c r="X1356">
        <f>VLOOKUP(Table9[[#This Row],[Shortname]], Comp[], 21, FALSE)</f>
        <v>0</v>
      </c>
      <c r="Y1356">
        <f>VLOOKUP(Table9[[#This Row],[Shortname]], Comp[], 22, FALSE)</f>
        <v>0</v>
      </c>
      <c r="Z1356">
        <f>VLOOKUP(Table9[[#This Row],[Shortname]], Comp[], 23, FALSE)</f>
        <v>18.28</v>
      </c>
      <c r="AA1356">
        <f>VLOOKUP(Table9[[#This Row],[Shortname]], Comp[], 24, FALSE)</f>
        <v>0</v>
      </c>
      <c r="AB1356">
        <f>VLOOKUP(Table9[[#This Row],[Shortname]], Comp[], 25, FALSE)</f>
        <v>0</v>
      </c>
      <c r="AC1356">
        <f>VLOOKUP(Table9[[#This Row],[Shortname]], Comp[], 26, FALSE)</f>
        <v>0</v>
      </c>
      <c r="AD1356">
        <f>VLOOKUP(Table9[[#This Row],[Shortname]], Comp[], 27, FALSE)</f>
        <v>0</v>
      </c>
      <c r="AE1356">
        <f>VLOOKUP(Table9[[#This Row],[Shortname]], Comp[], 28, FALSE)</f>
        <v>0</v>
      </c>
      <c r="AF1356">
        <f>VLOOKUP(Table9[[#This Row],[Shortname]], Comp[], 29, FALSE)</f>
        <v>0</v>
      </c>
      <c r="AG1356">
        <f>VLOOKUP(Table9[[#This Row],[Shortname]], Comp[], 30, FALSE)</f>
        <v>0</v>
      </c>
      <c r="AH1356">
        <f>VLOOKUP(Table9[[#This Row],[Shortname]], Comp[], 31, FALSE)</f>
        <v>0</v>
      </c>
    </row>
    <row r="1357" spans="1:34" x14ac:dyDescent="0.3">
      <c r="A1357" t="s">
        <v>6456</v>
      </c>
      <c r="B1357" t="s">
        <v>6457</v>
      </c>
      <c r="C1357" t="s">
        <v>6431</v>
      </c>
      <c r="D1357">
        <v>529.19299999999998</v>
      </c>
      <c r="E1357">
        <v>775</v>
      </c>
      <c r="F1357">
        <v>1E-4</v>
      </c>
      <c r="G1357">
        <v>1</v>
      </c>
      <c r="I1357">
        <f>VLOOKUP(Table9[[#This Row],[Shortname]], Comp[], 6, FALSE)</f>
        <v>1077</v>
      </c>
      <c r="J1357" s="14">
        <f>VLOOKUP(Table9[[#This Row],[Shortname]], Comp[], 7, FALSE)</f>
        <v>48.05</v>
      </c>
      <c r="K1357">
        <f>VLOOKUP(Table9[[#This Row],[Shortname]], Comp[], 8, FALSE)</f>
        <v>11.81</v>
      </c>
      <c r="L1357">
        <f>VLOOKUP(Table9[[#This Row],[Shortname]], Comp[], 9, FALSE)</f>
        <v>5.49</v>
      </c>
      <c r="M1357">
        <f>VLOOKUP(Table9[[#This Row],[Shortname]], Comp[], 10, FALSE)</f>
        <v>8.3000000000000007</v>
      </c>
      <c r="N1357">
        <f>VLOOKUP(Table9[[#This Row],[Shortname]], Comp[], 11, FALSE)</f>
        <v>0</v>
      </c>
      <c r="O1357">
        <f>VLOOKUP(Table9[[#This Row],[Shortname]], Comp[],12, FALSE)</f>
        <v>2.04</v>
      </c>
      <c r="P1357">
        <f>VLOOKUP(Table9[[#This Row],[Shortname]], Comp[], 13, FALSE)</f>
        <v>1.44</v>
      </c>
      <c r="Q1357">
        <f>VLOOKUP(Table9[[#This Row],[Shortname]], Comp[], 14, FALSE)</f>
        <v>1.41</v>
      </c>
      <c r="R1357">
        <f>VLOOKUP(Table9[[#This Row],[Shortname]], Comp[], 15, FALSE)</f>
        <v>3.1</v>
      </c>
      <c r="S1357">
        <f>VLOOKUP(Table9[[#This Row],[Shortname]], Comp[], 16, FALSE)</f>
        <v>0</v>
      </c>
      <c r="T1357">
        <f>VLOOKUP(Table9[[#This Row],[Shortname]], Comp[], 17, FALSE)</f>
        <v>0</v>
      </c>
      <c r="U1357">
        <f>VLOOKUP(Table9[[#This Row],[Shortname]], Comp[], 18, FALSE)</f>
        <v>0</v>
      </c>
      <c r="V1357">
        <f>VLOOKUP(Table9[[#This Row],[Shortname]], Comp[], 19, FALSE)</f>
        <v>0.08</v>
      </c>
      <c r="W1357">
        <f>VLOOKUP(Table9[[#This Row],[Shortname]], Comp[], 20, FALSE)</f>
        <v>0</v>
      </c>
      <c r="X1357">
        <f>VLOOKUP(Table9[[#This Row],[Shortname]], Comp[], 21, FALSE)</f>
        <v>0</v>
      </c>
      <c r="Y1357">
        <f>VLOOKUP(Table9[[#This Row],[Shortname]], Comp[], 22, FALSE)</f>
        <v>0</v>
      </c>
      <c r="Z1357">
        <f>VLOOKUP(Table9[[#This Row],[Shortname]], Comp[], 23, FALSE)</f>
        <v>18.28</v>
      </c>
      <c r="AA1357">
        <f>VLOOKUP(Table9[[#This Row],[Shortname]], Comp[], 24, FALSE)</f>
        <v>0</v>
      </c>
      <c r="AB1357">
        <f>VLOOKUP(Table9[[#This Row],[Shortname]], Comp[], 25, FALSE)</f>
        <v>0</v>
      </c>
      <c r="AC1357">
        <f>VLOOKUP(Table9[[#This Row],[Shortname]], Comp[], 26, FALSE)</f>
        <v>0</v>
      </c>
      <c r="AD1357">
        <f>VLOOKUP(Table9[[#This Row],[Shortname]], Comp[], 27, FALSE)</f>
        <v>0</v>
      </c>
      <c r="AE1357">
        <f>VLOOKUP(Table9[[#This Row],[Shortname]], Comp[], 28, FALSE)</f>
        <v>0</v>
      </c>
      <c r="AF1357">
        <f>VLOOKUP(Table9[[#This Row],[Shortname]], Comp[], 29, FALSE)</f>
        <v>0</v>
      </c>
      <c r="AG1357">
        <f>VLOOKUP(Table9[[#This Row],[Shortname]], Comp[], 30, FALSE)</f>
        <v>0</v>
      </c>
      <c r="AH1357">
        <f>VLOOKUP(Table9[[#This Row],[Shortname]], Comp[], 31, FALSE)</f>
        <v>0</v>
      </c>
    </row>
    <row r="1358" spans="1:34" x14ac:dyDescent="0.3">
      <c r="A1358" t="s">
        <v>6456</v>
      </c>
      <c r="B1358" t="s">
        <v>6457</v>
      </c>
      <c r="C1358" t="s">
        <v>6431</v>
      </c>
      <c r="D1358">
        <v>514.20960000000002</v>
      </c>
      <c r="E1358">
        <v>825</v>
      </c>
      <c r="F1358">
        <v>1E-4</v>
      </c>
      <c r="G1358">
        <v>1</v>
      </c>
      <c r="I1358">
        <f>VLOOKUP(Table9[[#This Row],[Shortname]], Comp[], 6, FALSE)</f>
        <v>1077</v>
      </c>
      <c r="J1358" s="14">
        <f>VLOOKUP(Table9[[#This Row],[Shortname]], Comp[], 7, FALSE)</f>
        <v>48.05</v>
      </c>
      <c r="K1358">
        <f>VLOOKUP(Table9[[#This Row],[Shortname]], Comp[], 8, FALSE)</f>
        <v>11.81</v>
      </c>
      <c r="L1358">
        <f>VLOOKUP(Table9[[#This Row],[Shortname]], Comp[], 9, FALSE)</f>
        <v>5.49</v>
      </c>
      <c r="M1358">
        <f>VLOOKUP(Table9[[#This Row],[Shortname]], Comp[], 10, FALSE)</f>
        <v>8.3000000000000007</v>
      </c>
      <c r="N1358">
        <f>VLOOKUP(Table9[[#This Row],[Shortname]], Comp[], 11, FALSE)</f>
        <v>0</v>
      </c>
      <c r="O1358">
        <f>VLOOKUP(Table9[[#This Row],[Shortname]], Comp[],12, FALSE)</f>
        <v>2.04</v>
      </c>
      <c r="P1358">
        <f>VLOOKUP(Table9[[#This Row],[Shortname]], Comp[], 13, FALSE)</f>
        <v>1.44</v>
      </c>
      <c r="Q1358">
        <f>VLOOKUP(Table9[[#This Row],[Shortname]], Comp[], 14, FALSE)</f>
        <v>1.41</v>
      </c>
      <c r="R1358">
        <f>VLOOKUP(Table9[[#This Row],[Shortname]], Comp[], 15, FALSE)</f>
        <v>3.1</v>
      </c>
      <c r="S1358">
        <f>VLOOKUP(Table9[[#This Row],[Shortname]], Comp[], 16, FALSE)</f>
        <v>0</v>
      </c>
      <c r="T1358">
        <f>VLOOKUP(Table9[[#This Row],[Shortname]], Comp[], 17, FALSE)</f>
        <v>0</v>
      </c>
      <c r="U1358">
        <f>VLOOKUP(Table9[[#This Row],[Shortname]], Comp[], 18, FALSE)</f>
        <v>0</v>
      </c>
      <c r="V1358">
        <f>VLOOKUP(Table9[[#This Row],[Shortname]], Comp[], 19, FALSE)</f>
        <v>0.08</v>
      </c>
      <c r="W1358">
        <f>VLOOKUP(Table9[[#This Row],[Shortname]], Comp[], 20, FALSE)</f>
        <v>0</v>
      </c>
      <c r="X1358">
        <f>VLOOKUP(Table9[[#This Row],[Shortname]], Comp[], 21, FALSE)</f>
        <v>0</v>
      </c>
      <c r="Y1358">
        <f>VLOOKUP(Table9[[#This Row],[Shortname]], Comp[], 22, FALSE)</f>
        <v>0</v>
      </c>
      <c r="Z1358">
        <f>VLOOKUP(Table9[[#This Row],[Shortname]], Comp[], 23, FALSE)</f>
        <v>18.28</v>
      </c>
      <c r="AA1358">
        <f>VLOOKUP(Table9[[#This Row],[Shortname]], Comp[], 24, FALSE)</f>
        <v>0</v>
      </c>
      <c r="AB1358">
        <f>VLOOKUP(Table9[[#This Row],[Shortname]], Comp[], 25, FALSE)</f>
        <v>0</v>
      </c>
      <c r="AC1358">
        <f>VLOOKUP(Table9[[#This Row],[Shortname]], Comp[], 26, FALSE)</f>
        <v>0</v>
      </c>
      <c r="AD1358">
        <f>VLOOKUP(Table9[[#This Row],[Shortname]], Comp[], 27, FALSE)</f>
        <v>0</v>
      </c>
      <c r="AE1358">
        <f>VLOOKUP(Table9[[#This Row],[Shortname]], Comp[], 28, FALSE)</f>
        <v>0</v>
      </c>
      <c r="AF1358">
        <f>VLOOKUP(Table9[[#This Row],[Shortname]], Comp[], 29, FALSE)</f>
        <v>0</v>
      </c>
      <c r="AG1358">
        <f>VLOOKUP(Table9[[#This Row],[Shortname]], Comp[], 30, FALSE)</f>
        <v>0</v>
      </c>
      <c r="AH1358">
        <f>VLOOKUP(Table9[[#This Row],[Shortname]], Comp[], 31, FALSE)</f>
        <v>0</v>
      </c>
    </row>
    <row r="1359" spans="1:34" x14ac:dyDescent="0.3">
      <c r="A1359" t="s">
        <v>6456</v>
      </c>
      <c r="B1359" t="s">
        <v>6457</v>
      </c>
      <c r="C1359" t="s">
        <v>6431</v>
      </c>
      <c r="D1359">
        <v>385.82740000000001</v>
      </c>
      <c r="E1359">
        <v>875</v>
      </c>
      <c r="F1359">
        <v>1E-4</v>
      </c>
      <c r="G1359">
        <v>1</v>
      </c>
      <c r="I1359">
        <f>VLOOKUP(Table9[[#This Row],[Shortname]], Comp[], 6, FALSE)</f>
        <v>1077</v>
      </c>
      <c r="J1359" s="14">
        <f>VLOOKUP(Table9[[#This Row],[Shortname]], Comp[], 7, FALSE)</f>
        <v>48.05</v>
      </c>
      <c r="K1359">
        <f>VLOOKUP(Table9[[#This Row],[Shortname]], Comp[], 8, FALSE)</f>
        <v>11.81</v>
      </c>
      <c r="L1359">
        <f>VLOOKUP(Table9[[#This Row],[Shortname]], Comp[], 9, FALSE)</f>
        <v>5.49</v>
      </c>
      <c r="M1359">
        <f>VLOOKUP(Table9[[#This Row],[Shortname]], Comp[], 10, FALSE)</f>
        <v>8.3000000000000007</v>
      </c>
      <c r="N1359">
        <f>VLOOKUP(Table9[[#This Row],[Shortname]], Comp[], 11, FALSE)</f>
        <v>0</v>
      </c>
      <c r="O1359">
        <f>VLOOKUP(Table9[[#This Row],[Shortname]], Comp[],12, FALSE)</f>
        <v>2.04</v>
      </c>
      <c r="P1359">
        <f>VLOOKUP(Table9[[#This Row],[Shortname]], Comp[], 13, FALSE)</f>
        <v>1.44</v>
      </c>
      <c r="Q1359">
        <f>VLOOKUP(Table9[[#This Row],[Shortname]], Comp[], 14, FALSE)</f>
        <v>1.41</v>
      </c>
      <c r="R1359">
        <f>VLOOKUP(Table9[[#This Row],[Shortname]], Comp[], 15, FALSE)</f>
        <v>3.1</v>
      </c>
      <c r="S1359">
        <f>VLOOKUP(Table9[[#This Row],[Shortname]], Comp[], 16, FALSE)</f>
        <v>0</v>
      </c>
      <c r="T1359">
        <f>VLOOKUP(Table9[[#This Row],[Shortname]], Comp[], 17, FALSE)</f>
        <v>0</v>
      </c>
      <c r="U1359">
        <f>VLOOKUP(Table9[[#This Row],[Shortname]], Comp[], 18, FALSE)</f>
        <v>0</v>
      </c>
      <c r="V1359">
        <f>VLOOKUP(Table9[[#This Row],[Shortname]], Comp[], 19, FALSE)</f>
        <v>0.08</v>
      </c>
      <c r="W1359">
        <f>VLOOKUP(Table9[[#This Row],[Shortname]], Comp[], 20, FALSE)</f>
        <v>0</v>
      </c>
      <c r="X1359">
        <f>VLOOKUP(Table9[[#This Row],[Shortname]], Comp[], 21, FALSE)</f>
        <v>0</v>
      </c>
      <c r="Y1359">
        <f>VLOOKUP(Table9[[#This Row],[Shortname]], Comp[], 22, FALSE)</f>
        <v>0</v>
      </c>
      <c r="Z1359">
        <f>VLOOKUP(Table9[[#This Row],[Shortname]], Comp[], 23, FALSE)</f>
        <v>18.28</v>
      </c>
      <c r="AA1359">
        <f>VLOOKUP(Table9[[#This Row],[Shortname]], Comp[], 24, FALSE)</f>
        <v>0</v>
      </c>
      <c r="AB1359">
        <f>VLOOKUP(Table9[[#This Row],[Shortname]], Comp[], 25, FALSE)</f>
        <v>0</v>
      </c>
      <c r="AC1359">
        <f>VLOOKUP(Table9[[#This Row],[Shortname]], Comp[], 26, FALSE)</f>
        <v>0</v>
      </c>
      <c r="AD1359">
        <f>VLOOKUP(Table9[[#This Row],[Shortname]], Comp[], 27, FALSE)</f>
        <v>0</v>
      </c>
      <c r="AE1359">
        <f>VLOOKUP(Table9[[#This Row],[Shortname]], Comp[], 28, FALSE)</f>
        <v>0</v>
      </c>
      <c r="AF1359">
        <f>VLOOKUP(Table9[[#This Row],[Shortname]], Comp[], 29, FALSE)</f>
        <v>0</v>
      </c>
      <c r="AG1359">
        <f>VLOOKUP(Table9[[#This Row],[Shortname]], Comp[], 30, FALSE)</f>
        <v>0</v>
      </c>
      <c r="AH1359">
        <f>VLOOKUP(Table9[[#This Row],[Shortname]], Comp[], 31, FALSE)</f>
        <v>0</v>
      </c>
    </row>
    <row r="1360" spans="1:34" x14ac:dyDescent="0.3">
      <c r="A1360" t="s">
        <v>6456</v>
      </c>
      <c r="B1360" t="s">
        <v>6457</v>
      </c>
      <c r="C1360" t="s">
        <v>6431</v>
      </c>
      <c r="D1360">
        <v>240.94630000000001</v>
      </c>
      <c r="E1360">
        <v>925</v>
      </c>
      <c r="F1360">
        <v>1E-4</v>
      </c>
      <c r="G1360">
        <v>1</v>
      </c>
      <c r="I1360">
        <f>VLOOKUP(Table9[[#This Row],[Shortname]], Comp[], 6, FALSE)</f>
        <v>1077</v>
      </c>
      <c r="J1360" s="14">
        <f>VLOOKUP(Table9[[#This Row],[Shortname]], Comp[], 7, FALSE)</f>
        <v>48.05</v>
      </c>
      <c r="K1360">
        <f>VLOOKUP(Table9[[#This Row],[Shortname]], Comp[], 8, FALSE)</f>
        <v>11.81</v>
      </c>
      <c r="L1360">
        <f>VLOOKUP(Table9[[#This Row],[Shortname]], Comp[], 9, FALSE)</f>
        <v>5.49</v>
      </c>
      <c r="M1360">
        <f>VLOOKUP(Table9[[#This Row],[Shortname]], Comp[], 10, FALSE)</f>
        <v>8.3000000000000007</v>
      </c>
      <c r="N1360">
        <f>VLOOKUP(Table9[[#This Row],[Shortname]], Comp[], 11, FALSE)</f>
        <v>0</v>
      </c>
      <c r="O1360">
        <f>VLOOKUP(Table9[[#This Row],[Shortname]], Comp[],12, FALSE)</f>
        <v>2.04</v>
      </c>
      <c r="P1360">
        <f>VLOOKUP(Table9[[#This Row],[Shortname]], Comp[], 13, FALSE)</f>
        <v>1.44</v>
      </c>
      <c r="Q1360">
        <f>VLOOKUP(Table9[[#This Row],[Shortname]], Comp[], 14, FALSE)</f>
        <v>1.41</v>
      </c>
      <c r="R1360">
        <f>VLOOKUP(Table9[[#This Row],[Shortname]], Comp[], 15, FALSE)</f>
        <v>3.1</v>
      </c>
      <c r="S1360">
        <f>VLOOKUP(Table9[[#This Row],[Shortname]], Comp[], 16, FALSE)</f>
        <v>0</v>
      </c>
      <c r="T1360">
        <f>VLOOKUP(Table9[[#This Row],[Shortname]], Comp[], 17, FALSE)</f>
        <v>0</v>
      </c>
      <c r="U1360">
        <f>VLOOKUP(Table9[[#This Row],[Shortname]], Comp[], 18, FALSE)</f>
        <v>0</v>
      </c>
      <c r="V1360">
        <f>VLOOKUP(Table9[[#This Row],[Shortname]], Comp[], 19, FALSE)</f>
        <v>0.08</v>
      </c>
      <c r="W1360">
        <f>VLOOKUP(Table9[[#This Row],[Shortname]], Comp[], 20, FALSE)</f>
        <v>0</v>
      </c>
      <c r="X1360">
        <f>VLOOKUP(Table9[[#This Row],[Shortname]], Comp[], 21, FALSE)</f>
        <v>0</v>
      </c>
      <c r="Y1360">
        <f>VLOOKUP(Table9[[#This Row],[Shortname]], Comp[], 22, FALSE)</f>
        <v>0</v>
      </c>
      <c r="Z1360">
        <f>VLOOKUP(Table9[[#This Row],[Shortname]], Comp[], 23, FALSE)</f>
        <v>18.28</v>
      </c>
      <c r="AA1360">
        <f>VLOOKUP(Table9[[#This Row],[Shortname]], Comp[], 24, FALSE)</f>
        <v>0</v>
      </c>
      <c r="AB1360">
        <f>VLOOKUP(Table9[[#This Row],[Shortname]], Comp[], 25, FALSE)</f>
        <v>0</v>
      </c>
      <c r="AC1360">
        <f>VLOOKUP(Table9[[#This Row],[Shortname]], Comp[], 26, FALSE)</f>
        <v>0</v>
      </c>
      <c r="AD1360">
        <f>VLOOKUP(Table9[[#This Row],[Shortname]], Comp[], 27, FALSE)</f>
        <v>0</v>
      </c>
      <c r="AE1360">
        <f>VLOOKUP(Table9[[#This Row],[Shortname]], Comp[], 28, FALSE)</f>
        <v>0</v>
      </c>
      <c r="AF1360">
        <f>VLOOKUP(Table9[[#This Row],[Shortname]], Comp[], 29, FALSE)</f>
        <v>0</v>
      </c>
      <c r="AG1360">
        <f>VLOOKUP(Table9[[#This Row],[Shortname]], Comp[], 30, FALSE)</f>
        <v>0</v>
      </c>
      <c r="AH1360">
        <f>VLOOKUP(Table9[[#This Row],[Shortname]], Comp[], 31, FALSE)</f>
        <v>0</v>
      </c>
    </row>
    <row r="1361" spans="1:34" x14ac:dyDescent="0.3">
      <c r="A1361" t="s">
        <v>6456</v>
      </c>
      <c r="B1361" t="s">
        <v>6457</v>
      </c>
      <c r="C1361" t="s">
        <v>6431</v>
      </c>
      <c r="D1361">
        <v>116.98990000000001</v>
      </c>
      <c r="E1361">
        <v>975</v>
      </c>
      <c r="F1361">
        <v>1E-4</v>
      </c>
      <c r="G1361">
        <v>1</v>
      </c>
      <c r="I1361">
        <f>VLOOKUP(Table9[[#This Row],[Shortname]], Comp[], 6, FALSE)</f>
        <v>1077</v>
      </c>
      <c r="J1361" s="14">
        <f>VLOOKUP(Table9[[#This Row],[Shortname]], Comp[], 7, FALSE)</f>
        <v>48.05</v>
      </c>
      <c r="K1361">
        <f>VLOOKUP(Table9[[#This Row],[Shortname]], Comp[], 8, FALSE)</f>
        <v>11.81</v>
      </c>
      <c r="L1361">
        <f>VLOOKUP(Table9[[#This Row],[Shortname]], Comp[], 9, FALSE)</f>
        <v>5.49</v>
      </c>
      <c r="M1361">
        <f>VLOOKUP(Table9[[#This Row],[Shortname]], Comp[], 10, FALSE)</f>
        <v>8.3000000000000007</v>
      </c>
      <c r="N1361">
        <f>VLOOKUP(Table9[[#This Row],[Shortname]], Comp[], 11, FALSE)</f>
        <v>0</v>
      </c>
      <c r="O1361">
        <f>VLOOKUP(Table9[[#This Row],[Shortname]], Comp[],12, FALSE)</f>
        <v>2.04</v>
      </c>
      <c r="P1361">
        <f>VLOOKUP(Table9[[#This Row],[Shortname]], Comp[], 13, FALSE)</f>
        <v>1.44</v>
      </c>
      <c r="Q1361">
        <f>VLOOKUP(Table9[[#This Row],[Shortname]], Comp[], 14, FALSE)</f>
        <v>1.41</v>
      </c>
      <c r="R1361">
        <f>VLOOKUP(Table9[[#This Row],[Shortname]], Comp[], 15, FALSE)</f>
        <v>3.1</v>
      </c>
      <c r="S1361">
        <f>VLOOKUP(Table9[[#This Row],[Shortname]], Comp[], 16, FALSE)</f>
        <v>0</v>
      </c>
      <c r="T1361">
        <f>VLOOKUP(Table9[[#This Row],[Shortname]], Comp[], 17, FALSE)</f>
        <v>0</v>
      </c>
      <c r="U1361">
        <f>VLOOKUP(Table9[[#This Row],[Shortname]], Comp[], 18, FALSE)</f>
        <v>0</v>
      </c>
      <c r="V1361">
        <f>VLOOKUP(Table9[[#This Row],[Shortname]], Comp[], 19, FALSE)</f>
        <v>0.08</v>
      </c>
      <c r="W1361">
        <f>VLOOKUP(Table9[[#This Row],[Shortname]], Comp[], 20, FALSE)</f>
        <v>0</v>
      </c>
      <c r="X1361">
        <f>VLOOKUP(Table9[[#This Row],[Shortname]], Comp[], 21, FALSE)</f>
        <v>0</v>
      </c>
      <c r="Y1361">
        <f>VLOOKUP(Table9[[#This Row],[Shortname]], Comp[], 22, FALSE)</f>
        <v>0</v>
      </c>
      <c r="Z1361">
        <f>VLOOKUP(Table9[[#This Row],[Shortname]], Comp[], 23, FALSE)</f>
        <v>18.28</v>
      </c>
      <c r="AA1361">
        <f>VLOOKUP(Table9[[#This Row],[Shortname]], Comp[], 24, FALSE)</f>
        <v>0</v>
      </c>
      <c r="AB1361">
        <f>VLOOKUP(Table9[[#This Row],[Shortname]], Comp[], 25, FALSE)</f>
        <v>0</v>
      </c>
      <c r="AC1361">
        <f>VLOOKUP(Table9[[#This Row],[Shortname]], Comp[], 26, FALSE)</f>
        <v>0</v>
      </c>
      <c r="AD1361">
        <f>VLOOKUP(Table9[[#This Row],[Shortname]], Comp[], 27, FALSE)</f>
        <v>0</v>
      </c>
      <c r="AE1361">
        <f>VLOOKUP(Table9[[#This Row],[Shortname]], Comp[], 28, FALSE)</f>
        <v>0</v>
      </c>
      <c r="AF1361">
        <f>VLOOKUP(Table9[[#This Row],[Shortname]], Comp[], 29, FALSE)</f>
        <v>0</v>
      </c>
      <c r="AG1361">
        <f>VLOOKUP(Table9[[#This Row],[Shortname]], Comp[], 30, FALSE)</f>
        <v>0</v>
      </c>
      <c r="AH1361">
        <f>VLOOKUP(Table9[[#This Row],[Shortname]], Comp[], 31, FALSE)</f>
        <v>0</v>
      </c>
    </row>
    <row r="1362" spans="1:34" x14ac:dyDescent="0.3">
      <c r="A1362" t="s">
        <v>6502</v>
      </c>
      <c r="B1362" t="s">
        <v>6503</v>
      </c>
      <c r="C1362" t="s">
        <v>6504</v>
      </c>
      <c r="D1362">
        <v>492</v>
      </c>
      <c r="E1362">
        <v>25</v>
      </c>
      <c r="F1362">
        <v>1E-4</v>
      </c>
      <c r="G1362">
        <v>1</v>
      </c>
      <c r="I1362">
        <f>VLOOKUP(Table9[[#This Row],[Shortname]], Comp[], 6, FALSE)</f>
        <v>1088</v>
      </c>
      <c r="J1362" s="14">
        <f>VLOOKUP(Table9[[#This Row],[Shortname]], Comp[], 7, FALSE)</f>
        <v>49.7</v>
      </c>
      <c r="K1362">
        <f>VLOOKUP(Table9[[#This Row],[Shortname]], Comp[], 8, FALSE)</f>
        <v>29.2</v>
      </c>
      <c r="L1362">
        <f>VLOOKUP(Table9[[#This Row],[Shortname]], Comp[], 9, FALSE)</f>
        <v>11.1</v>
      </c>
      <c r="M1362">
        <f>VLOOKUP(Table9[[#This Row],[Shortname]], Comp[], 10, FALSE)</f>
        <v>4.2</v>
      </c>
      <c r="N1362">
        <f>VLOOKUP(Table9[[#This Row],[Shortname]], Comp[], 11, FALSE)</f>
        <v>5.8</v>
      </c>
      <c r="O1362">
        <f>VLOOKUP(Table9[[#This Row],[Shortname]], Comp[],12, FALSE)</f>
        <v>0</v>
      </c>
      <c r="P1362">
        <f>VLOOKUP(Table9[[#This Row],[Shortname]], Comp[], 13, FALSE)</f>
        <v>0</v>
      </c>
      <c r="Q1362">
        <f>VLOOKUP(Table9[[#This Row],[Shortname]], Comp[], 14, FALSE)</f>
        <v>0</v>
      </c>
      <c r="R1362">
        <f>VLOOKUP(Table9[[#This Row],[Shortname]], Comp[], 15, FALSE)</f>
        <v>0</v>
      </c>
      <c r="S1362">
        <f>VLOOKUP(Table9[[#This Row],[Shortname]], Comp[], 16, FALSE)</f>
        <v>0</v>
      </c>
      <c r="T1362">
        <f>VLOOKUP(Table9[[#This Row],[Shortname]], Comp[], 17, FALSE)</f>
        <v>0</v>
      </c>
      <c r="U1362">
        <f>VLOOKUP(Table9[[#This Row],[Shortname]], Comp[], 18, FALSE)</f>
        <v>0</v>
      </c>
      <c r="V1362">
        <f>VLOOKUP(Table9[[#This Row],[Shortname]], Comp[], 19, FALSE)</f>
        <v>0</v>
      </c>
      <c r="W1362">
        <f>VLOOKUP(Table9[[#This Row],[Shortname]], Comp[], 20, FALSE)</f>
        <v>0</v>
      </c>
      <c r="X1362">
        <f>VLOOKUP(Table9[[#This Row],[Shortname]], Comp[], 21, FALSE)</f>
        <v>0</v>
      </c>
      <c r="Y1362">
        <f>VLOOKUP(Table9[[#This Row],[Shortname]], Comp[], 22, FALSE)</f>
        <v>0</v>
      </c>
      <c r="Z1362">
        <f>VLOOKUP(Table9[[#This Row],[Shortname]], Comp[], 23, FALSE)</f>
        <v>0</v>
      </c>
      <c r="AA1362">
        <f>VLOOKUP(Table9[[#This Row],[Shortname]], Comp[], 24, FALSE)</f>
        <v>0</v>
      </c>
      <c r="AB1362">
        <f>VLOOKUP(Table9[[#This Row],[Shortname]], Comp[], 25, FALSE)</f>
        <v>0</v>
      </c>
      <c r="AC1362">
        <f>VLOOKUP(Table9[[#This Row],[Shortname]], Comp[], 26, FALSE)</f>
        <v>0</v>
      </c>
      <c r="AD1362">
        <f>VLOOKUP(Table9[[#This Row],[Shortname]], Comp[], 27, FALSE)</f>
        <v>0</v>
      </c>
      <c r="AE1362">
        <f>VLOOKUP(Table9[[#This Row],[Shortname]], Comp[], 28, FALSE)</f>
        <v>0</v>
      </c>
      <c r="AF1362">
        <f>VLOOKUP(Table9[[#This Row],[Shortname]], Comp[], 29, FALSE)</f>
        <v>0</v>
      </c>
      <c r="AG1362">
        <f>VLOOKUP(Table9[[#This Row],[Shortname]], Comp[], 30, FALSE)</f>
        <v>0</v>
      </c>
      <c r="AH1362">
        <f>VLOOKUP(Table9[[#This Row],[Shortname]], Comp[], 31, FALSE)</f>
        <v>0</v>
      </c>
    </row>
    <row r="1363" spans="1:34" x14ac:dyDescent="0.3">
      <c r="A1363" t="s">
        <v>6502</v>
      </c>
      <c r="B1363" t="s">
        <v>6503</v>
      </c>
      <c r="C1363" t="s">
        <v>6504</v>
      </c>
      <c r="D1363">
        <v>402</v>
      </c>
      <c r="E1363">
        <v>650</v>
      </c>
      <c r="F1363">
        <v>1E-4</v>
      </c>
      <c r="G1363">
        <v>1</v>
      </c>
      <c r="I1363">
        <f>VLOOKUP(Table9[[#This Row],[Shortname]], Comp[], 6, FALSE)</f>
        <v>1088</v>
      </c>
      <c r="J1363" s="14">
        <f>VLOOKUP(Table9[[#This Row],[Shortname]], Comp[], 7, FALSE)</f>
        <v>49.7</v>
      </c>
      <c r="K1363">
        <f>VLOOKUP(Table9[[#This Row],[Shortname]], Comp[], 8, FALSE)</f>
        <v>29.2</v>
      </c>
      <c r="L1363">
        <f>VLOOKUP(Table9[[#This Row],[Shortname]], Comp[], 9, FALSE)</f>
        <v>11.1</v>
      </c>
      <c r="M1363">
        <f>VLOOKUP(Table9[[#This Row],[Shortname]], Comp[], 10, FALSE)</f>
        <v>4.2</v>
      </c>
      <c r="N1363">
        <f>VLOOKUP(Table9[[#This Row],[Shortname]], Comp[], 11, FALSE)</f>
        <v>5.8</v>
      </c>
      <c r="O1363">
        <f>VLOOKUP(Table9[[#This Row],[Shortname]], Comp[],12, FALSE)</f>
        <v>0</v>
      </c>
      <c r="P1363">
        <f>VLOOKUP(Table9[[#This Row],[Shortname]], Comp[], 13, FALSE)</f>
        <v>0</v>
      </c>
      <c r="Q1363">
        <f>VLOOKUP(Table9[[#This Row],[Shortname]], Comp[], 14, FALSE)</f>
        <v>0</v>
      </c>
      <c r="R1363">
        <f>VLOOKUP(Table9[[#This Row],[Shortname]], Comp[], 15, FALSE)</f>
        <v>0</v>
      </c>
      <c r="S1363">
        <f>VLOOKUP(Table9[[#This Row],[Shortname]], Comp[], 16, FALSE)</f>
        <v>0</v>
      </c>
      <c r="T1363">
        <f>VLOOKUP(Table9[[#This Row],[Shortname]], Comp[], 17, FALSE)</f>
        <v>0</v>
      </c>
      <c r="U1363">
        <f>VLOOKUP(Table9[[#This Row],[Shortname]], Comp[], 18, FALSE)</f>
        <v>0</v>
      </c>
      <c r="V1363">
        <f>VLOOKUP(Table9[[#This Row],[Shortname]], Comp[], 19, FALSE)</f>
        <v>0</v>
      </c>
      <c r="W1363">
        <f>VLOOKUP(Table9[[#This Row],[Shortname]], Comp[], 20, FALSE)</f>
        <v>0</v>
      </c>
      <c r="X1363">
        <f>VLOOKUP(Table9[[#This Row],[Shortname]], Comp[], 21, FALSE)</f>
        <v>0</v>
      </c>
      <c r="Y1363">
        <f>VLOOKUP(Table9[[#This Row],[Shortname]], Comp[], 22, FALSE)</f>
        <v>0</v>
      </c>
      <c r="Z1363">
        <f>VLOOKUP(Table9[[#This Row],[Shortname]], Comp[], 23, FALSE)</f>
        <v>0</v>
      </c>
      <c r="AA1363">
        <f>VLOOKUP(Table9[[#This Row],[Shortname]], Comp[], 24, FALSE)</f>
        <v>0</v>
      </c>
      <c r="AB1363">
        <f>VLOOKUP(Table9[[#This Row],[Shortname]], Comp[], 25, FALSE)</f>
        <v>0</v>
      </c>
      <c r="AC1363">
        <f>VLOOKUP(Table9[[#This Row],[Shortname]], Comp[], 26, FALSE)</f>
        <v>0</v>
      </c>
      <c r="AD1363">
        <f>VLOOKUP(Table9[[#This Row],[Shortname]], Comp[], 27, FALSE)</f>
        <v>0</v>
      </c>
      <c r="AE1363">
        <f>VLOOKUP(Table9[[#This Row],[Shortname]], Comp[], 28, FALSE)</f>
        <v>0</v>
      </c>
      <c r="AF1363">
        <f>VLOOKUP(Table9[[#This Row],[Shortname]], Comp[], 29, FALSE)</f>
        <v>0</v>
      </c>
      <c r="AG1363">
        <f>VLOOKUP(Table9[[#This Row],[Shortname]], Comp[], 30, FALSE)</f>
        <v>0</v>
      </c>
      <c r="AH1363">
        <f>VLOOKUP(Table9[[#This Row],[Shortname]], Comp[], 31, FALSE)</f>
        <v>0</v>
      </c>
    </row>
    <row r="1364" spans="1:34" x14ac:dyDescent="0.3">
      <c r="A1364" t="s">
        <v>6502</v>
      </c>
      <c r="B1364" t="s">
        <v>6503</v>
      </c>
      <c r="C1364" t="s">
        <v>6504</v>
      </c>
      <c r="D1364">
        <v>398</v>
      </c>
      <c r="E1364">
        <v>700</v>
      </c>
      <c r="F1364">
        <v>1E-4</v>
      </c>
      <c r="G1364">
        <v>1</v>
      </c>
      <c r="I1364">
        <f>VLOOKUP(Table9[[#This Row],[Shortname]], Comp[], 6, FALSE)</f>
        <v>1088</v>
      </c>
      <c r="J1364" s="14">
        <f>VLOOKUP(Table9[[#This Row],[Shortname]], Comp[], 7, FALSE)</f>
        <v>49.7</v>
      </c>
      <c r="K1364">
        <f>VLOOKUP(Table9[[#This Row],[Shortname]], Comp[], 8, FALSE)</f>
        <v>29.2</v>
      </c>
      <c r="L1364">
        <f>VLOOKUP(Table9[[#This Row],[Shortname]], Comp[], 9, FALSE)</f>
        <v>11.1</v>
      </c>
      <c r="M1364">
        <f>VLOOKUP(Table9[[#This Row],[Shortname]], Comp[], 10, FALSE)</f>
        <v>4.2</v>
      </c>
      <c r="N1364">
        <f>VLOOKUP(Table9[[#This Row],[Shortname]], Comp[], 11, FALSE)</f>
        <v>5.8</v>
      </c>
      <c r="O1364">
        <f>VLOOKUP(Table9[[#This Row],[Shortname]], Comp[],12, FALSE)</f>
        <v>0</v>
      </c>
      <c r="P1364">
        <f>VLOOKUP(Table9[[#This Row],[Shortname]], Comp[], 13, FALSE)</f>
        <v>0</v>
      </c>
      <c r="Q1364">
        <f>VLOOKUP(Table9[[#This Row],[Shortname]], Comp[], 14, FALSE)</f>
        <v>0</v>
      </c>
      <c r="R1364">
        <f>VLOOKUP(Table9[[#This Row],[Shortname]], Comp[], 15, FALSE)</f>
        <v>0</v>
      </c>
      <c r="S1364">
        <f>VLOOKUP(Table9[[#This Row],[Shortname]], Comp[], 16, FALSE)</f>
        <v>0</v>
      </c>
      <c r="T1364">
        <f>VLOOKUP(Table9[[#This Row],[Shortname]], Comp[], 17, FALSE)</f>
        <v>0</v>
      </c>
      <c r="U1364">
        <f>VLOOKUP(Table9[[#This Row],[Shortname]], Comp[], 18, FALSE)</f>
        <v>0</v>
      </c>
      <c r="V1364">
        <f>VLOOKUP(Table9[[#This Row],[Shortname]], Comp[], 19, FALSE)</f>
        <v>0</v>
      </c>
      <c r="W1364">
        <f>VLOOKUP(Table9[[#This Row],[Shortname]], Comp[], 20, FALSE)</f>
        <v>0</v>
      </c>
      <c r="X1364">
        <f>VLOOKUP(Table9[[#This Row],[Shortname]], Comp[], 21, FALSE)</f>
        <v>0</v>
      </c>
      <c r="Y1364">
        <f>VLOOKUP(Table9[[#This Row],[Shortname]], Comp[], 22, FALSE)</f>
        <v>0</v>
      </c>
      <c r="Z1364">
        <f>VLOOKUP(Table9[[#This Row],[Shortname]], Comp[], 23, FALSE)</f>
        <v>0</v>
      </c>
      <c r="AA1364">
        <f>VLOOKUP(Table9[[#This Row],[Shortname]], Comp[], 24, FALSE)</f>
        <v>0</v>
      </c>
      <c r="AB1364">
        <f>VLOOKUP(Table9[[#This Row],[Shortname]], Comp[], 25, FALSE)</f>
        <v>0</v>
      </c>
      <c r="AC1364">
        <f>VLOOKUP(Table9[[#This Row],[Shortname]], Comp[], 26, FALSE)</f>
        <v>0</v>
      </c>
      <c r="AD1364">
        <f>VLOOKUP(Table9[[#This Row],[Shortname]], Comp[], 27, FALSE)</f>
        <v>0</v>
      </c>
      <c r="AE1364">
        <f>VLOOKUP(Table9[[#This Row],[Shortname]], Comp[], 28, FALSE)</f>
        <v>0</v>
      </c>
      <c r="AF1364">
        <f>VLOOKUP(Table9[[#This Row],[Shortname]], Comp[], 29, FALSE)</f>
        <v>0</v>
      </c>
      <c r="AG1364">
        <f>VLOOKUP(Table9[[#This Row],[Shortname]], Comp[], 30, FALSE)</f>
        <v>0</v>
      </c>
      <c r="AH1364">
        <f>VLOOKUP(Table9[[#This Row],[Shortname]], Comp[], 31, FALSE)</f>
        <v>0</v>
      </c>
    </row>
    <row r="1365" spans="1:34" x14ac:dyDescent="0.3">
      <c r="A1365" t="s">
        <v>6502</v>
      </c>
      <c r="B1365" t="s">
        <v>6503</v>
      </c>
      <c r="C1365" t="s">
        <v>6504</v>
      </c>
      <c r="D1365">
        <v>494</v>
      </c>
      <c r="E1365">
        <v>750</v>
      </c>
      <c r="F1365">
        <v>1E-4</v>
      </c>
      <c r="G1365">
        <v>1</v>
      </c>
      <c r="I1365">
        <f>VLOOKUP(Table9[[#This Row],[Shortname]], Comp[], 6, FALSE)</f>
        <v>1088</v>
      </c>
      <c r="J1365" s="14">
        <f>VLOOKUP(Table9[[#This Row],[Shortname]], Comp[], 7, FALSE)</f>
        <v>49.7</v>
      </c>
      <c r="K1365">
        <f>VLOOKUP(Table9[[#This Row],[Shortname]], Comp[], 8, FALSE)</f>
        <v>29.2</v>
      </c>
      <c r="L1365">
        <f>VLOOKUP(Table9[[#This Row],[Shortname]], Comp[], 9, FALSE)</f>
        <v>11.1</v>
      </c>
      <c r="M1365">
        <f>VLOOKUP(Table9[[#This Row],[Shortname]], Comp[], 10, FALSE)</f>
        <v>4.2</v>
      </c>
      <c r="N1365">
        <f>VLOOKUP(Table9[[#This Row],[Shortname]], Comp[], 11, FALSE)</f>
        <v>5.8</v>
      </c>
      <c r="O1365">
        <f>VLOOKUP(Table9[[#This Row],[Shortname]], Comp[],12, FALSE)</f>
        <v>0</v>
      </c>
      <c r="P1365">
        <f>VLOOKUP(Table9[[#This Row],[Shortname]], Comp[], 13, FALSE)</f>
        <v>0</v>
      </c>
      <c r="Q1365">
        <f>VLOOKUP(Table9[[#This Row],[Shortname]], Comp[], 14, FALSE)</f>
        <v>0</v>
      </c>
      <c r="R1365">
        <f>VLOOKUP(Table9[[#This Row],[Shortname]], Comp[], 15, FALSE)</f>
        <v>0</v>
      </c>
      <c r="S1365">
        <f>VLOOKUP(Table9[[#This Row],[Shortname]], Comp[], 16, FALSE)</f>
        <v>0</v>
      </c>
      <c r="T1365">
        <f>VLOOKUP(Table9[[#This Row],[Shortname]], Comp[], 17, FALSE)</f>
        <v>0</v>
      </c>
      <c r="U1365">
        <f>VLOOKUP(Table9[[#This Row],[Shortname]], Comp[], 18, FALSE)</f>
        <v>0</v>
      </c>
      <c r="V1365">
        <f>VLOOKUP(Table9[[#This Row],[Shortname]], Comp[], 19, FALSE)</f>
        <v>0</v>
      </c>
      <c r="W1365">
        <f>VLOOKUP(Table9[[#This Row],[Shortname]], Comp[], 20, FALSE)</f>
        <v>0</v>
      </c>
      <c r="X1365">
        <f>VLOOKUP(Table9[[#This Row],[Shortname]], Comp[], 21, FALSE)</f>
        <v>0</v>
      </c>
      <c r="Y1365">
        <f>VLOOKUP(Table9[[#This Row],[Shortname]], Comp[], 22, FALSE)</f>
        <v>0</v>
      </c>
      <c r="Z1365">
        <f>VLOOKUP(Table9[[#This Row],[Shortname]], Comp[], 23, FALSE)</f>
        <v>0</v>
      </c>
      <c r="AA1365">
        <f>VLOOKUP(Table9[[#This Row],[Shortname]], Comp[], 24, FALSE)</f>
        <v>0</v>
      </c>
      <c r="AB1365">
        <f>VLOOKUP(Table9[[#This Row],[Shortname]], Comp[], 25, FALSE)</f>
        <v>0</v>
      </c>
      <c r="AC1365">
        <f>VLOOKUP(Table9[[#This Row],[Shortname]], Comp[], 26, FALSE)</f>
        <v>0</v>
      </c>
      <c r="AD1365">
        <f>VLOOKUP(Table9[[#This Row],[Shortname]], Comp[], 27, FALSE)</f>
        <v>0</v>
      </c>
      <c r="AE1365">
        <f>VLOOKUP(Table9[[#This Row],[Shortname]], Comp[], 28, FALSE)</f>
        <v>0</v>
      </c>
      <c r="AF1365">
        <f>VLOOKUP(Table9[[#This Row],[Shortname]], Comp[], 29, FALSE)</f>
        <v>0</v>
      </c>
      <c r="AG1365">
        <f>VLOOKUP(Table9[[#This Row],[Shortname]], Comp[], 30, FALSE)</f>
        <v>0</v>
      </c>
      <c r="AH1365">
        <f>VLOOKUP(Table9[[#This Row],[Shortname]], Comp[], 31, FALSE)</f>
        <v>0</v>
      </c>
    </row>
    <row r="1366" spans="1:34" x14ac:dyDescent="0.3">
      <c r="A1366" t="s">
        <v>6502</v>
      </c>
      <c r="B1366" t="s">
        <v>6503</v>
      </c>
      <c r="C1366" t="s">
        <v>6504</v>
      </c>
      <c r="D1366">
        <v>495</v>
      </c>
      <c r="E1366">
        <v>800</v>
      </c>
      <c r="F1366">
        <v>1E-4</v>
      </c>
      <c r="G1366">
        <v>1</v>
      </c>
      <c r="I1366">
        <f>VLOOKUP(Table9[[#This Row],[Shortname]], Comp[], 6, FALSE)</f>
        <v>1088</v>
      </c>
      <c r="J1366" s="14">
        <f>VLOOKUP(Table9[[#This Row],[Shortname]], Comp[], 7, FALSE)</f>
        <v>49.7</v>
      </c>
      <c r="K1366">
        <f>VLOOKUP(Table9[[#This Row],[Shortname]], Comp[], 8, FALSE)</f>
        <v>29.2</v>
      </c>
      <c r="L1366">
        <f>VLOOKUP(Table9[[#This Row],[Shortname]], Comp[], 9, FALSE)</f>
        <v>11.1</v>
      </c>
      <c r="M1366">
        <f>VLOOKUP(Table9[[#This Row],[Shortname]], Comp[], 10, FALSE)</f>
        <v>4.2</v>
      </c>
      <c r="N1366">
        <f>VLOOKUP(Table9[[#This Row],[Shortname]], Comp[], 11, FALSE)</f>
        <v>5.8</v>
      </c>
      <c r="O1366">
        <f>VLOOKUP(Table9[[#This Row],[Shortname]], Comp[],12, FALSE)</f>
        <v>0</v>
      </c>
      <c r="P1366">
        <f>VLOOKUP(Table9[[#This Row],[Shortname]], Comp[], 13, FALSE)</f>
        <v>0</v>
      </c>
      <c r="Q1366">
        <f>VLOOKUP(Table9[[#This Row],[Shortname]], Comp[], 14, FALSE)</f>
        <v>0</v>
      </c>
      <c r="R1366">
        <f>VLOOKUP(Table9[[#This Row],[Shortname]], Comp[], 15, FALSE)</f>
        <v>0</v>
      </c>
      <c r="S1366">
        <f>VLOOKUP(Table9[[#This Row],[Shortname]], Comp[], 16, FALSE)</f>
        <v>0</v>
      </c>
      <c r="T1366">
        <f>VLOOKUP(Table9[[#This Row],[Shortname]], Comp[], 17, FALSE)</f>
        <v>0</v>
      </c>
      <c r="U1366">
        <f>VLOOKUP(Table9[[#This Row],[Shortname]], Comp[], 18, FALSE)</f>
        <v>0</v>
      </c>
      <c r="V1366">
        <f>VLOOKUP(Table9[[#This Row],[Shortname]], Comp[], 19, FALSE)</f>
        <v>0</v>
      </c>
      <c r="W1366">
        <f>VLOOKUP(Table9[[#This Row],[Shortname]], Comp[], 20, FALSE)</f>
        <v>0</v>
      </c>
      <c r="X1366">
        <f>VLOOKUP(Table9[[#This Row],[Shortname]], Comp[], 21, FALSE)</f>
        <v>0</v>
      </c>
      <c r="Y1366">
        <f>VLOOKUP(Table9[[#This Row],[Shortname]], Comp[], 22, FALSE)</f>
        <v>0</v>
      </c>
      <c r="Z1366">
        <f>VLOOKUP(Table9[[#This Row],[Shortname]], Comp[], 23, FALSE)</f>
        <v>0</v>
      </c>
      <c r="AA1366">
        <f>VLOOKUP(Table9[[#This Row],[Shortname]], Comp[], 24, FALSE)</f>
        <v>0</v>
      </c>
      <c r="AB1366">
        <f>VLOOKUP(Table9[[#This Row],[Shortname]], Comp[], 25, FALSE)</f>
        <v>0</v>
      </c>
      <c r="AC1366">
        <f>VLOOKUP(Table9[[#This Row],[Shortname]], Comp[], 26, FALSE)</f>
        <v>0</v>
      </c>
      <c r="AD1366">
        <f>VLOOKUP(Table9[[#This Row],[Shortname]], Comp[], 27, FALSE)</f>
        <v>0</v>
      </c>
      <c r="AE1366">
        <f>VLOOKUP(Table9[[#This Row],[Shortname]], Comp[], 28, FALSE)</f>
        <v>0</v>
      </c>
      <c r="AF1366">
        <f>VLOOKUP(Table9[[#This Row],[Shortname]], Comp[], 29, FALSE)</f>
        <v>0</v>
      </c>
      <c r="AG1366">
        <f>VLOOKUP(Table9[[#This Row],[Shortname]], Comp[], 30, FALSE)</f>
        <v>0</v>
      </c>
      <c r="AH1366">
        <f>VLOOKUP(Table9[[#This Row],[Shortname]], Comp[], 31, FALSE)</f>
        <v>0</v>
      </c>
    </row>
    <row r="1367" spans="1:34" x14ac:dyDescent="0.3">
      <c r="A1367" t="s">
        <v>6502</v>
      </c>
      <c r="B1367" t="s">
        <v>6503</v>
      </c>
      <c r="C1367" t="s">
        <v>6504</v>
      </c>
      <c r="D1367">
        <v>523</v>
      </c>
      <c r="E1367">
        <v>850</v>
      </c>
      <c r="F1367">
        <v>1E-4</v>
      </c>
      <c r="G1367">
        <v>1</v>
      </c>
      <c r="I1367">
        <f>VLOOKUP(Table9[[#This Row],[Shortname]], Comp[], 6, FALSE)</f>
        <v>1088</v>
      </c>
      <c r="J1367" s="14">
        <f>VLOOKUP(Table9[[#This Row],[Shortname]], Comp[], 7, FALSE)</f>
        <v>49.7</v>
      </c>
      <c r="K1367">
        <f>VLOOKUP(Table9[[#This Row],[Shortname]], Comp[], 8, FALSE)</f>
        <v>29.2</v>
      </c>
      <c r="L1367">
        <f>VLOOKUP(Table9[[#This Row],[Shortname]], Comp[], 9, FALSE)</f>
        <v>11.1</v>
      </c>
      <c r="M1367">
        <f>VLOOKUP(Table9[[#This Row],[Shortname]], Comp[], 10, FALSE)</f>
        <v>4.2</v>
      </c>
      <c r="N1367">
        <f>VLOOKUP(Table9[[#This Row],[Shortname]], Comp[], 11, FALSE)</f>
        <v>5.8</v>
      </c>
      <c r="O1367">
        <f>VLOOKUP(Table9[[#This Row],[Shortname]], Comp[],12, FALSE)</f>
        <v>0</v>
      </c>
      <c r="P1367">
        <f>VLOOKUP(Table9[[#This Row],[Shortname]], Comp[], 13, FALSE)</f>
        <v>0</v>
      </c>
      <c r="Q1367">
        <f>VLOOKUP(Table9[[#This Row],[Shortname]], Comp[], 14, FALSE)</f>
        <v>0</v>
      </c>
      <c r="R1367">
        <f>VLOOKUP(Table9[[#This Row],[Shortname]], Comp[], 15, FALSE)</f>
        <v>0</v>
      </c>
      <c r="S1367">
        <f>VLOOKUP(Table9[[#This Row],[Shortname]], Comp[], 16, FALSE)</f>
        <v>0</v>
      </c>
      <c r="T1367">
        <f>VLOOKUP(Table9[[#This Row],[Shortname]], Comp[], 17, FALSE)</f>
        <v>0</v>
      </c>
      <c r="U1367">
        <f>VLOOKUP(Table9[[#This Row],[Shortname]], Comp[], 18, FALSE)</f>
        <v>0</v>
      </c>
      <c r="V1367">
        <f>VLOOKUP(Table9[[#This Row],[Shortname]], Comp[], 19, FALSE)</f>
        <v>0</v>
      </c>
      <c r="W1367">
        <f>VLOOKUP(Table9[[#This Row],[Shortname]], Comp[], 20, FALSE)</f>
        <v>0</v>
      </c>
      <c r="X1367">
        <f>VLOOKUP(Table9[[#This Row],[Shortname]], Comp[], 21, FALSE)</f>
        <v>0</v>
      </c>
      <c r="Y1367">
        <f>VLOOKUP(Table9[[#This Row],[Shortname]], Comp[], 22, FALSE)</f>
        <v>0</v>
      </c>
      <c r="Z1367">
        <f>VLOOKUP(Table9[[#This Row],[Shortname]], Comp[], 23, FALSE)</f>
        <v>0</v>
      </c>
      <c r="AA1367">
        <f>VLOOKUP(Table9[[#This Row],[Shortname]], Comp[], 24, FALSE)</f>
        <v>0</v>
      </c>
      <c r="AB1367">
        <f>VLOOKUP(Table9[[#This Row],[Shortname]], Comp[], 25, FALSE)</f>
        <v>0</v>
      </c>
      <c r="AC1367">
        <f>VLOOKUP(Table9[[#This Row],[Shortname]], Comp[], 26, FALSE)</f>
        <v>0</v>
      </c>
      <c r="AD1367">
        <f>VLOOKUP(Table9[[#This Row],[Shortname]], Comp[], 27, FALSE)</f>
        <v>0</v>
      </c>
      <c r="AE1367">
        <f>VLOOKUP(Table9[[#This Row],[Shortname]], Comp[], 28, FALSE)</f>
        <v>0</v>
      </c>
      <c r="AF1367">
        <f>VLOOKUP(Table9[[#This Row],[Shortname]], Comp[], 29, FALSE)</f>
        <v>0</v>
      </c>
      <c r="AG1367">
        <f>VLOOKUP(Table9[[#This Row],[Shortname]], Comp[], 30, FALSE)</f>
        <v>0</v>
      </c>
      <c r="AH1367">
        <f>VLOOKUP(Table9[[#This Row],[Shortname]], Comp[], 31, FALSE)</f>
        <v>0</v>
      </c>
    </row>
    <row r="1368" spans="1:34" x14ac:dyDescent="0.3">
      <c r="A1368" t="s">
        <v>6502</v>
      </c>
      <c r="B1368" t="s">
        <v>6503</v>
      </c>
      <c r="C1368" t="s">
        <v>6504</v>
      </c>
      <c r="D1368">
        <v>439</v>
      </c>
      <c r="E1368">
        <v>900</v>
      </c>
      <c r="F1368">
        <v>1E-4</v>
      </c>
      <c r="G1368">
        <v>1</v>
      </c>
      <c r="I1368">
        <f>VLOOKUP(Table9[[#This Row],[Shortname]], Comp[], 6, FALSE)</f>
        <v>1088</v>
      </c>
      <c r="J1368" s="14">
        <f>VLOOKUP(Table9[[#This Row],[Shortname]], Comp[], 7, FALSE)</f>
        <v>49.7</v>
      </c>
      <c r="K1368">
        <f>VLOOKUP(Table9[[#This Row],[Shortname]], Comp[], 8, FALSE)</f>
        <v>29.2</v>
      </c>
      <c r="L1368">
        <f>VLOOKUP(Table9[[#This Row],[Shortname]], Comp[], 9, FALSE)</f>
        <v>11.1</v>
      </c>
      <c r="M1368">
        <f>VLOOKUP(Table9[[#This Row],[Shortname]], Comp[], 10, FALSE)</f>
        <v>4.2</v>
      </c>
      <c r="N1368">
        <f>VLOOKUP(Table9[[#This Row],[Shortname]], Comp[], 11, FALSE)</f>
        <v>5.8</v>
      </c>
      <c r="O1368">
        <f>VLOOKUP(Table9[[#This Row],[Shortname]], Comp[],12, FALSE)</f>
        <v>0</v>
      </c>
      <c r="P1368">
        <f>VLOOKUP(Table9[[#This Row],[Shortname]], Comp[], 13, FALSE)</f>
        <v>0</v>
      </c>
      <c r="Q1368">
        <f>VLOOKUP(Table9[[#This Row],[Shortname]], Comp[], 14, FALSE)</f>
        <v>0</v>
      </c>
      <c r="R1368">
        <f>VLOOKUP(Table9[[#This Row],[Shortname]], Comp[], 15, FALSE)</f>
        <v>0</v>
      </c>
      <c r="S1368">
        <f>VLOOKUP(Table9[[#This Row],[Shortname]], Comp[], 16, FALSE)</f>
        <v>0</v>
      </c>
      <c r="T1368">
        <f>VLOOKUP(Table9[[#This Row],[Shortname]], Comp[], 17, FALSE)</f>
        <v>0</v>
      </c>
      <c r="U1368">
        <f>VLOOKUP(Table9[[#This Row],[Shortname]], Comp[], 18, FALSE)</f>
        <v>0</v>
      </c>
      <c r="V1368">
        <f>VLOOKUP(Table9[[#This Row],[Shortname]], Comp[], 19, FALSE)</f>
        <v>0</v>
      </c>
      <c r="W1368">
        <f>VLOOKUP(Table9[[#This Row],[Shortname]], Comp[], 20, FALSE)</f>
        <v>0</v>
      </c>
      <c r="X1368">
        <f>VLOOKUP(Table9[[#This Row],[Shortname]], Comp[], 21, FALSE)</f>
        <v>0</v>
      </c>
      <c r="Y1368">
        <f>VLOOKUP(Table9[[#This Row],[Shortname]], Comp[], 22, FALSE)</f>
        <v>0</v>
      </c>
      <c r="Z1368">
        <f>VLOOKUP(Table9[[#This Row],[Shortname]], Comp[], 23, FALSE)</f>
        <v>0</v>
      </c>
      <c r="AA1368">
        <f>VLOOKUP(Table9[[#This Row],[Shortname]], Comp[], 24, FALSE)</f>
        <v>0</v>
      </c>
      <c r="AB1368">
        <f>VLOOKUP(Table9[[#This Row],[Shortname]], Comp[], 25, FALSE)</f>
        <v>0</v>
      </c>
      <c r="AC1368">
        <f>VLOOKUP(Table9[[#This Row],[Shortname]], Comp[], 26, FALSE)</f>
        <v>0</v>
      </c>
      <c r="AD1368">
        <f>VLOOKUP(Table9[[#This Row],[Shortname]], Comp[], 27, FALSE)</f>
        <v>0</v>
      </c>
      <c r="AE1368">
        <f>VLOOKUP(Table9[[#This Row],[Shortname]], Comp[], 28, FALSE)</f>
        <v>0</v>
      </c>
      <c r="AF1368">
        <f>VLOOKUP(Table9[[#This Row],[Shortname]], Comp[], 29, FALSE)</f>
        <v>0</v>
      </c>
      <c r="AG1368">
        <f>VLOOKUP(Table9[[#This Row],[Shortname]], Comp[], 30, FALSE)</f>
        <v>0</v>
      </c>
      <c r="AH1368">
        <f>VLOOKUP(Table9[[#This Row],[Shortname]], Comp[], 31, FALSE)</f>
        <v>0</v>
      </c>
    </row>
    <row r="1369" spans="1:34" x14ac:dyDescent="0.3">
      <c r="A1369" t="s">
        <v>6502</v>
      </c>
      <c r="B1369" t="s">
        <v>6503</v>
      </c>
      <c r="C1369" t="s">
        <v>6504</v>
      </c>
      <c r="D1369">
        <v>317</v>
      </c>
      <c r="E1369">
        <v>950</v>
      </c>
      <c r="F1369">
        <v>1E-4</v>
      </c>
      <c r="G1369">
        <v>1</v>
      </c>
      <c r="I1369">
        <f>VLOOKUP(Table9[[#This Row],[Shortname]], Comp[], 6, FALSE)</f>
        <v>1088</v>
      </c>
      <c r="J1369" s="14">
        <f>VLOOKUP(Table9[[#This Row],[Shortname]], Comp[], 7, FALSE)</f>
        <v>49.7</v>
      </c>
      <c r="K1369">
        <f>VLOOKUP(Table9[[#This Row],[Shortname]], Comp[], 8, FALSE)</f>
        <v>29.2</v>
      </c>
      <c r="L1369">
        <f>VLOOKUP(Table9[[#This Row],[Shortname]], Comp[], 9, FALSE)</f>
        <v>11.1</v>
      </c>
      <c r="M1369">
        <f>VLOOKUP(Table9[[#This Row],[Shortname]], Comp[], 10, FALSE)</f>
        <v>4.2</v>
      </c>
      <c r="N1369">
        <f>VLOOKUP(Table9[[#This Row],[Shortname]], Comp[], 11, FALSE)</f>
        <v>5.8</v>
      </c>
      <c r="O1369">
        <f>VLOOKUP(Table9[[#This Row],[Shortname]], Comp[],12, FALSE)</f>
        <v>0</v>
      </c>
      <c r="P1369">
        <f>VLOOKUP(Table9[[#This Row],[Shortname]], Comp[], 13, FALSE)</f>
        <v>0</v>
      </c>
      <c r="Q1369">
        <f>VLOOKUP(Table9[[#This Row],[Shortname]], Comp[], 14, FALSE)</f>
        <v>0</v>
      </c>
      <c r="R1369">
        <f>VLOOKUP(Table9[[#This Row],[Shortname]], Comp[], 15, FALSE)</f>
        <v>0</v>
      </c>
      <c r="S1369">
        <f>VLOOKUP(Table9[[#This Row],[Shortname]], Comp[], 16, FALSE)</f>
        <v>0</v>
      </c>
      <c r="T1369">
        <f>VLOOKUP(Table9[[#This Row],[Shortname]], Comp[], 17, FALSE)</f>
        <v>0</v>
      </c>
      <c r="U1369">
        <f>VLOOKUP(Table9[[#This Row],[Shortname]], Comp[], 18, FALSE)</f>
        <v>0</v>
      </c>
      <c r="V1369">
        <f>VLOOKUP(Table9[[#This Row],[Shortname]], Comp[], 19, FALSE)</f>
        <v>0</v>
      </c>
      <c r="W1369">
        <f>VLOOKUP(Table9[[#This Row],[Shortname]], Comp[], 20, FALSE)</f>
        <v>0</v>
      </c>
      <c r="X1369">
        <f>VLOOKUP(Table9[[#This Row],[Shortname]], Comp[], 21, FALSE)</f>
        <v>0</v>
      </c>
      <c r="Y1369">
        <f>VLOOKUP(Table9[[#This Row],[Shortname]], Comp[], 22, FALSE)</f>
        <v>0</v>
      </c>
      <c r="Z1369">
        <f>VLOOKUP(Table9[[#This Row],[Shortname]], Comp[], 23, FALSE)</f>
        <v>0</v>
      </c>
      <c r="AA1369">
        <f>VLOOKUP(Table9[[#This Row],[Shortname]], Comp[], 24, FALSE)</f>
        <v>0</v>
      </c>
      <c r="AB1369">
        <f>VLOOKUP(Table9[[#This Row],[Shortname]], Comp[], 25, FALSE)</f>
        <v>0</v>
      </c>
      <c r="AC1369">
        <f>VLOOKUP(Table9[[#This Row],[Shortname]], Comp[], 26, FALSE)</f>
        <v>0</v>
      </c>
      <c r="AD1369">
        <f>VLOOKUP(Table9[[#This Row],[Shortname]], Comp[], 27, FALSE)</f>
        <v>0</v>
      </c>
      <c r="AE1369">
        <f>VLOOKUP(Table9[[#This Row],[Shortname]], Comp[], 28, FALSE)</f>
        <v>0</v>
      </c>
      <c r="AF1369">
        <f>VLOOKUP(Table9[[#This Row],[Shortname]], Comp[], 29, FALSE)</f>
        <v>0</v>
      </c>
      <c r="AG1369">
        <f>VLOOKUP(Table9[[#This Row],[Shortname]], Comp[], 30, FALSE)</f>
        <v>0</v>
      </c>
      <c r="AH1369">
        <f>VLOOKUP(Table9[[#This Row],[Shortname]], Comp[], 31, FALSE)</f>
        <v>0</v>
      </c>
    </row>
    <row r="1370" spans="1:34" x14ac:dyDescent="0.3">
      <c r="A1370" t="s">
        <v>6506</v>
      </c>
      <c r="B1370" t="s">
        <v>6507</v>
      </c>
      <c r="C1370" t="s">
        <v>6504</v>
      </c>
      <c r="D1370">
        <v>446</v>
      </c>
      <c r="E1370">
        <v>25</v>
      </c>
      <c r="F1370">
        <v>1E-4</v>
      </c>
      <c r="G1370">
        <v>1</v>
      </c>
      <c r="I1370">
        <f>VLOOKUP(Table9[[#This Row],[Shortname]], Comp[], 6, FALSE)</f>
        <v>1089</v>
      </c>
      <c r="J1370" s="14">
        <f>VLOOKUP(Table9[[#This Row],[Shortname]], Comp[], 7, FALSE)</f>
        <v>45.9</v>
      </c>
      <c r="K1370">
        <f>VLOOKUP(Table9[[#This Row],[Shortname]], Comp[], 8, FALSE)</f>
        <v>29.2</v>
      </c>
      <c r="L1370">
        <f>VLOOKUP(Table9[[#This Row],[Shortname]], Comp[], 9, FALSE)</f>
        <v>10.9</v>
      </c>
      <c r="M1370">
        <f>VLOOKUP(Table9[[#This Row],[Shortname]], Comp[], 10, FALSE)</f>
        <v>4.0999999999999996</v>
      </c>
      <c r="N1370">
        <f>VLOOKUP(Table9[[#This Row],[Shortname]], Comp[], 11, FALSE)</f>
        <v>5.8</v>
      </c>
      <c r="O1370">
        <f>VLOOKUP(Table9[[#This Row],[Shortname]], Comp[],12, FALSE)</f>
        <v>0</v>
      </c>
      <c r="P1370">
        <f>VLOOKUP(Table9[[#This Row],[Shortname]], Comp[], 13, FALSE)</f>
        <v>0</v>
      </c>
      <c r="Q1370">
        <f>VLOOKUP(Table9[[#This Row],[Shortname]], Comp[], 14, FALSE)</f>
        <v>0</v>
      </c>
      <c r="R1370">
        <f>VLOOKUP(Table9[[#This Row],[Shortname]], Comp[], 15, FALSE)</f>
        <v>0</v>
      </c>
      <c r="S1370">
        <f>VLOOKUP(Table9[[#This Row],[Shortname]], Comp[], 16, FALSE)</f>
        <v>0</v>
      </c>
      <c r="T1370">
        <f>VLOOKUP(Table9[[#This Row],[Shortname]], Comp[], 17, FALSE)</f>
        <v>0</v>
      </c>
      <c r="U1370">
        <f>VLOOKUP(Table9[[#This Row],[Shortname]], Comp[], 18, FALSE)</f>
        <v>0</v>
      </c>
      <c r="V1370">
        <f>VLOOKUP(Table9[[#This Row],[Shortname]], Comp[], 19, FALSE)</f>
        <v>0</v>
      </c>
      <c r="W1370">
        <f>VLOOKUP(Table9[[#This Row],[Shortname]], Comp[], 20, FALSE)</f>
        <v>0</v>
      </c>
      <c r="X1370">
        <f>VLOOKUP(Table9[[#This Row],[Shortname]], Comp[], 21, FALSE)</f>
        <v>0</v>
      </c>
      <c r="Y1370">
        <f>VLOOKUP(Table9[[#This Row],[Shortname]], Comp[], 22, FALSE)</f>
        <v>0</v>
      </c>
      <c r="Z1370">
        <f>VLOOKUP(Table9[[#This Row],[Shortname]], Comp[], 23, FALSE)</f>
        <v>4.0999999999999996</v>
      </c>
      <c r="AA1370">
        <f>VLOOKUP(Table9[[#This Row],[Shortname]], Comp[], 24, FALSE)</f>
        <v>0</v>
      </c>
      <c r="AB1370">
        <f>VLOOKUP(Table9[[#This Row],[Shortname]], Comp[], 25, FALSE)</f>
        <v>0</v>
      </c>
      <c r="AC1370">
        <f>VLOOKUP(Table9[[#This Row],[Shortname]], Comp[], 26, FALSE)</f>
        <v>0</v>
      </c>
      <c r="AD1370">
        <f>VLOOKUP(Table9[[#This Row],[Shortname]], Comp[], 27, FALSE)</f>
        <v>0</v>
      </c>
      <c r="AE1370">
        <f>VLOOKUP(Table9[[#This Row],[Shortname]], Comp[], 28, FALSE)</f>
        <v>0</v>
      </c>
      <c r="AF1370">
        <f>VLOOKUP(Table9[[#This Row],[Shortname]], Comp[], 29, FALSE)</f>
        <v>0</v>
      </c>
      <c r="AG1370">
        <f>VLOOKUP(Table9[[#This Row],[Shortname]], Comp[], 30, FALSE)</f>
        <v>0</v>
      </c>
      <c r="AH1370">
        <f>VLOOKUP(Table9[[#This Row],[Shortname]], Comp[], 31, FALSE)</f>
        <v>0</v>
      </c>
    </row>
    <row r="1371" spans="1:34" x14ac:dyDescent="0.3">
      <c r="A1371" t="s">
        <v>6506</v>
      </c>
      <c r="B1371" t="s">
        <v>6507</v>
      </c>
      <c r="C1371" t="s">
        <v>6504</v>
      </c>
      <c r="D1371">
        <v>397</v>
      </c>
      <c r="E1371">
        <v>650</v>
      </c>
      <c r="F1371">
        <v>1E-4</v>
      </c>
      <c r="G1371">
        <v>1</v>
      </c>
      <c r="I1371">
        <f>VLOOKUP(Table9[[#This Row],[Shortname]], Comp[], 6, FALSE)</f>
        <v>1089</v>
      </c>
      <c r="J1371" s="14">
        <f>VLOOKUP(Table9[[#This Row],[Shortname]], Comp[], 7, FALSE)</f>
        <v>45.9</v>
      </c>
      <c r="K1371">
        <f>VLOOKUP(Table9[[#This Row],[Shortname]], Comp[], 8, FALSE)</f>
        <v>29.2</v>
      </c>
      <c r="L1371">
        <f>VLOOKUP(Table9[[#This Row],[Shortname]], Comp[], 9, FALSE)</f>
        <v>10.9</v>
      </c>
      <c r="M1371">
        <f>VLOOKUP(Table9[[#This Row],[Shortname]], Comp[], 10, FALSE)</f>
        <v>4.0999999999999996</v>
      </c>
      <c r="N1371">
        <f>VLOOKUP(Table9[[#This Row],[Shortname]], Comp[], 11, FALSE)</f>
        <v>5.8</v>
      </c>
      <c r="O1371">
        <f>VLOOKUP(Table9[[#This Row],[Shortname]], Comp[],12, FALSE)</f>
        <v>0</v>
      </c>
      <c r="P1371">
        <f>VLOOKUP(Table9[[#This Row],[Shortname]], Comp[], 13, FALSE)</f>
        <v>0</v>
      </c>
      <c r="Q1371">
        <f>VLOOKUP(Table9[[#This Row],[Shortname]], Comp[], 14, FALSE)</f>
        <v>0</v>
      </c>
      <c r="R1371">
        <f>VLOOKUP(Table9[[#This Row],[Shortname]], Comp[], 15, FALSE)</f>
        <v>0</v>
      </c>
      <c r="S1371">
        <f>VLOOKUP(Table9[[#This Row],[Shortname]], Comp[], 16, FALSE)</f>
        <v>0</v>
      </c>
      <c r="T1371">
        <f>VLOOKUP(Table9[[#This Row],[Shortname]], Comp[], 17, FALSE)</f>
        <v>0</v>
      </c>
      <c r="U1371">
        <f>VLOOKUP(Table9[[#This Row],[Shortname]], Comp[], 18, FALSE)</f>
        <v>0</v>
      </c>
      <c r="V1371">
        <f>VLOOKUP(Table9[[#This Row],[Shortname]], Comp[], 19, FALSE)</f>
        <v>0</v>
      </c>
      <c r="W1371">
        <f>VLOOKUP(Table9[[#This Row],[Shortname]], Comp[], 20, FALSE)</f>
        <v>0</v>
      </c>
      <c r="X1371">
        <f>VLOOKUP(Table9[[#This Row],[Shortname]], Comp[], 21, FALSE)</f>
        <v>0</v>
      </c>
      <c r="Y1371">
        <f>VLOOKUP(Table9[[#This Row],[Shortname]], Comp[], 22, FALSE)</f>
        <v>0</v>
      </c>
      <c r="Z1371">
        <f>VLOOKUP(Table9[[#This Row],[Shortname]], Comp[], 23, FALSE)</f>
        <v>4.0999999999999996</v>
      </c>
      <c r="AA1371">
        <f>VLOOKUP(Table9[[#This Row],[Shortname]], Comp[], 24, FALSE)</f>
        <v>0</v>
      </c>
      <c r="AB1371">
        <f>VLOOKUP(Table9[[#This Row],[Shortname]], Comp[], 25, FALSE)</f>
        <v>0</v>
      </c>
      <c r="AC1371">
        <f>VLOOKUP(Table9[[#This Row],[Shortname]], Comp[], 26, FALSE)</f>
        <v>0</v>
      </c>
      <c r="AD1371">
        <f>VLOOKUP(Table9[[#This Row],[Shortname]], Comp[], 27, FALSE)</f>
        <v>0</v>
      </c>
      <c r="AE1371">
        <f>VLOOKUP(Table9[[#This Row],[Shortname]], Comp[], 28, FALSE)</f>
        <v>0</v>
      </c>
      <c r="AF1371">
        <f>VLOOKUP(Table9[[#This Row],[Shortname]], Comp[], 29, FALSE)</f>
        <v>0</v>
      </c>
      <c r="AG1371">
        <f>VLOOKUP(Table9[[#This Row],[Shortname]], Comp[], 30, FALSE)</f>
        <v>0</v>
      </c>
      <c r="AH1371">
        <f>VLOOKUP(Table9[[#This Row],[Shortname]], Comp[], 31, FALSE)</f>
        <v>0</v>
      </c>
    </row>
    <row r="1372" spans="1:34" x14ac:dyDescent="0.3">
      <c r="A1372" t="s">
        <v>6506</v>
      </c>
      <c r="B1372" t="s">
        <v>6507</v>
      </c>
      <c r="C1372" t="s">
        <v>6504</v>
      </c>
      <c r="D1372">
        <v>470</v>
      </c>
      <c r="E1372">
        <v>750</v>
      </c>
      <c r="F1372">
        <v>1E-4</v>
      </c>
      <c r="G1372">
        <v>1</v>
      </c>
      <c r="I1372">
        <f>VLOOKUP(Table9[[#This Row],[Shortname]], Comp[], 6, FALSE)</f>
        <v>1089</v>
      </c>
      <c r="J1372" s="14">
        <f>VLOOKUP(Table9[[#This Row],[Shortname]], Comp[], 7, FALSE)</f>
        <v>45.9</v>
      </c>
      <c r="K1372">
        <f>VLOOKUP(Table9[[#This Row],[Shortname]], Comp[], 8, FALSE)</f>
        <v>29.2</v>
      </c>
      <c r="L1372">
        <f>VLOOKUP(Table9[[#This Row],[Shortname]], Comp[], 9, FALSE)</f>
        <v>10.9</v>
      </c>
      <c r="M1372">
        <f>VLOOKUP(Table9[[#This Row],[Shortname]], Comp[], 10, FALSE)</f>
        <v>4.0999999999999996</v>
      </c>
      <c r="N1372">
        <f>VLOOKUP(Table9[[#This Row],[Shortname]], Comp[], 11, FALSE)</f>
        <v>5.8</v>
      </c>
      <c r="O1372">
        <f>VLOOKUP(Table9[[#This Row],[Shortname]], Comp[],12, FALSE)</f>
        <v>0</v>
      </c>
      <c r="P1372">
        <f>VLOOKUP(Table9[[#This Row],[Shortname]], Comp[], 13, FALSE)</f>
        <v>0</v>
      </c>
      <c r="Q1372">
        <f>VLOOKUP(Table9[[#This Row],[Shortname]], Comp[], 14, FALSE)</f>
        <v>0</v>
      </c>
      <c r="R1372">
        <f>VLOOKUP(Table9[[#This Row],[Shortname]], Comp[], 15, FALSE)</f>
        <v>0</v>
      </c>
      <c r="S1372">
        <f>VLOOKUP(Table9[[#This Row],[Shortname]], Comp[], 16, FALSE)</f>
        <v>0</v>
      </c>
      <c r="T1372">
        <f>VLOOKUP(Table9[[#This Row],[Shortname]], Comp[], 17, FALSE)</f>
        <v>0</v>
      </c>
      <c r="U1372">
        <f>VLOOKUP(Table9[[#This Row],[Shortname]], Comp[], 18, FALSE)</f>
        <v>0</v>
      </c>
      <c r="V1372">
        <f>VLOOKUP(Table9[[#This Row],[Shortname]], Comp[], 19, FALSE)</f>
        <v>0</v>
      </c>
      <c r="W1372">
        <f>VLOOKUP(Table9[[#This Row],[Shortname]], Comp[], 20, FALSE)</f>
        <v>0</v>
      </c>
      <c r="X1372">
        <f>VLOOKUP(Table9[[#This Row],[Shortname]], Comp[], 21, FALSE)</f>
        <v>0</v>
      </c>
      <c r="Y1372">
        <f>VLOOKUP(Table9[[#This Row],[Shortname]], Comp[], 22, FALSE)</f>
        <v>0</v>
      </c>
      <c r="Z1372">
        <f>VLOOKUP(Table9[[#This Row],[Shortname]], Comp[], 23, FALSE)</f>
        <v>4.0999999999999996</v>
      </c>
      <c r="AA1372">
        <f>VLOOKUP(Table9[[#This Row],[Shortname]], Comp[], 24, FALSE)</f>
        <v>0</v>
      </c>
      <c r="AB1372">
        <f>VLOOKUP(Table9[[#This Row],[Shortname]], Comp[], 25, FALSE)</f>
        <v>0</v>
      </c>
      <c r="AC1372">
        <f>VLOOKUP(Table9[[#This Row],[Shortname]], Comp[], 26, FALSE)</f>
        <v>0</v>
      </c>
      <c r="AD1372">
        <f>VLOOKUP(Table9[[#This Row],[Shortname]], Comp[], 27, FALSE)</f>
        <v>0</v>
      </c>
      <c r="AE1372">
        <f>VLOOKUP(Table9[[#This Row],[Shortname]], Comp[], 28, FALSE)</f>
        <v>0</v>
      </c>
      <c r="AF1372">
        <f>VLOOKUP(Table9[[#This Row],[Shortname]], Comp[], 29, FALSE)</f>
        <v>0</v>
      </c>
      <c r="AG1372">
        <f>VLOOKUP(Table9[[#This Row],[Shortname]], Comp[], 30, FALSE)</f>
        <v>0</v>
      </c>
      <c r="AH1372">
        <f>VLOOKUP(Table9[[#This Row],[Shortname]], Comp[], 31, FALSE)</f>
        <v>0</v>
      </c>
    </row>
    <row r="1373" spans="1:34" x14ac:dyDescent="0.3">
      <c r="A1373" t="s">
        <v>6506</v>
      </c>
      <c r="B1373" t="s">
        <v>6507</v>
      </c>
      <c r="C1373" t="s">
        <v>6504</v>
      </c>
      <c r="D1373">
        <v>533</v>
      </c>
      <c r="E1373">
        <v>850</v>
      </c>
      <c r="F1373">
        <v>1E-4</v>
      </c>
      <c r="G1373">
        <v>1</v>
      </c>
      <c r="I1373">
        <f>VLOOKUP(Table9[[#This Row],[Shortname]], Comp[], 6, FALSE)</f>
        <v>1089</v>
      </c>
      <c r="J1373" s="14">
        <f>VLOOKUP(Table9[[#This Row],[Shortname]], Comp[], 7, FALSE)</f>
        <v>45.9</v>
      </c>
      <c r="K1373">
        <f>VLOOKUP(Table9[[#This Row],[Shortname]], Comp[], 8, FALSE)</f>
        <v>29.2</v>
      </c>
      <c r="L1373">
        <f>VLOOKUP(Table9[[#This Row],[Shortname]], Comp[], 9, FALSE)</f>
        <v>10.9</v>
      </c>
      <c r="M1373">
        <f>VLOOKUP(Table9[[#This Row],[Shortname]], Comp[], 10, FALSE)</f>
        <v>4.0999999999999996</v>
      </c>
      <c r="N1373">
        <f>VLOOKUP(Table9[[#This Row],[Shortname]], Comp[], 11, FALSE)</f>
        <v>5.8</v>
      </c>
      <c r="O1373">
        <f>VLOOKUP(Table9[[#This Row],[Shortname]], Comp[],12, FALSE)</f>
        <v>0</v>
      </c>
      <c r="P1373">
        <f>VLOOKUP(Table9[[#This Row],[Shortname]], Comp[], 13, FALSE)</f>
        <v>0</v>
      </c>
      <c r="Q1373">
        <f>VLOOKUP(Table9[[#This Row],[Shortname]], Comp[], 14, FALSE)</f>
        <v>0</v>
      </c>
      <c r="R1373">
        <f>VLOOKUP(Table9[[#This Row],[Shortname]], Comp[], 15, FALSE)</f>
        <v>0</v>
      </c>
      <c r="S1373">
        <f>VLOOKUP(Table9[[#This Row],[Shortname]], Comp[], 16, FALSE)</f>
        <v>0</v>
      </c>
      <c r="T1373">
        <f>VLOOKUP(Table9[[#This Row],[Shortname]], Comp[], 17, FALSE)</f>
        <v>0</v>
      </c>
      <c r="U1373">
        <f>VLOOKUP(Table9[[#This Row],[Shortname]], Comp[], 18, FALSE)</f>
        <v>0</v>
      </c>
      <c r="V1373">
        <f>VLOOKUP(Table9[[#This Row],[Shortname]], Comp[], 19, FALSE)</f>
        <v>0</v>
      </c>
      <c r="W1373">
        <f>VLOOKUP(Table9[[#This Row],[Shortname]], Comp[], 20, FALSE)</f>
        <v>0</v>
      </c>
      <c r="X1373">
        <f>VLOOKUP(Table9[[#This Row],[Shortname]], Comp[], 21, FALSE)</f>
        <v>0</v>
      </c>
      <c r="Y1373">
        <f>VLOOKUP(Table9[[#This Row],[Shortname]], Comp[], 22, FALSE)</f>
        <v>0</v>
      </c>
      <c r="Z1373">
        <f>VLOOKUP(Table9[[#This Row],[Shortname]], Comp[], 23, FALSE)</f>
        <v>4.0999999999999996</v>
      </c>
      <c r="AA1373">
        <f>VLOOKUP(Table9[[#This Row],[Shortname]], Comp[], 24, FALSE)</f>
        <v>0</v>
      </c>
      <c r="AB1373">
        <f>VLOOKUP(Table9[[#This Row],[Shortname]], Comp[], 25, FALSE)</f>
        <v>0</v>
      </c>
      <c r="AC1373">
        <f>VLOOKUP(Table9[[#This Row],[Shortname]], Comp[], 26, FALSE)</f>
        <v>0</v>
      </c>
      <c r="AD1373">
        <f>VLOOKUP(Table9[[#This Row],[Shortname]], Comp[], 27, FALSE)</f>
        <v>0</v>
      </c>
      <c r="AE1373">
        <f>VLOOKUP(Table9[[#This Row],[Shortname]], Comp[], 28, FALSE)</f>
        <v>0</v>
      </c>
      <c r="AF1373">
        <f>VLOOKUP(Table9[[#This Row],[Shortname]], Comp[], 29, FALSE)</f>
        <v>0</v>
      </c>
      <c r="AG1373">
        <f>VLOOKUP(Table9[[#This Row],[Shortname]], Comp[], 30, FALSE)</f>
        <v>0</v>
      </c>
      <c r="AH1373">
        <f>VLOOKUP(Table9[[#This Row],[Shortname]], Comp[], 31, FALSE)</f>
        <v>0</v>
      </c>
    </row>
    <row r="1374" spans="1:34" x14ac:dyDescent="0.3">
      <c r="A1374" t="s">
        <v>6506</v>
      </c>
      <c r="B1374" t="s">
        <v>6507</v>
      </c>
      <c r="C1374" t="s">
        <v>6504</v>
      </c>
      <c r="D1374">
        <v>301</v>
      </c>
      <c r="E1374">
        <v>950</v>
      </c>
      <c r="F1374">
        <v>1E-4</v>
      </c>
      <c r="G1374">
        <v>1</v>
      </c>
      <c r="I1374">
        <f>VLOOKUP(Table9[[#This Row],[Shortname]], Comp[], 6, FALSE)</f>
        <v>1089</v>
      </c>
      <c r="J1374" s="14">
        <f>VLOOKUP(Table9[[#This Row],[Shortname]], Comp[], 7, FALSE)</f>
        <v>45.9</v>
      </c>
      <c r="K1374">
        <f>VLOOKUP(Table9[[#This Row],[Shortname]], Comp[], 8, FALSE)</f>
        <v>29.2</v>
      </c>
      <c r="L1374">
        <f>VLOOKUP(Table9[[#This Row],[Shortname]], Comp[], 9, FALSE)</f>
        <v>10.9</v>
      </c>
      <c r="M1374">
        <f>VLOOKUP(Table9[[#This Row],[Shortname]], Comp[], 10, FALSE)</f>
        <v>4.0999999999999996</v>
      </c>
      <c r="N1374">
        <f>VLOOKUP(Table9[[#This Row],[Shortname]], Comp[], 11, FALSE)</f>
        <v>5.8</v>
      </c>
      <c r="O1374">
        <f>VLOOKUP(Table9[[#This Row],[Shortname]], Comp[],12, FALSE)</f>
        <v>0</v>
      </c>
      <c r="P1374">
        <f>VLOOKUP(Table9[[#This Row],[Shortname]], Comp[], 13, FALSE)</f>
        <v>0</v>
      </c>
      <c r="Q1374">
        <f>VLOOKUP(Table9[[#This Row],[Shortname]], Comp[], 14, FALSE)</f>
        <v>0</v>
      </c>
      <c r="R1374">
        <f>VLOOKUP(Table9[[#This Row],[Shortname]], Comp[], 15, FALSE)</f>
        <v>0</v>
      </c>
      <c r="S1374">
        <f>VLOOKUP(Table9[[#This Row],[Shortname]], Comp[], 16, FALSE)</f>
        <v>0</v>
      </c>
      <c r="T1374">
        <f>VLOOKUP(Table9[[#This Row],[Shortname]], Comp[], 17, FALSE)</f>
        <v>0</v>
      </c>
      <c r="U1374">
        <f>VLOOKUP(Table9[[#This Row],[Shortname]], Comp[], 18, FALSE)</f>
        <v>0</v>
      </c>
      <c r="V1374">
        <f>VLOOKUP(Table9[[#This Row],[Shortname]], Comp[], 19, FALSE)</f>
        <v>0</v>
      </c>
      <c r="W1374">
        <f>VLOOKUP(Table9[[#This Row],[Shortname]], Comp[], 20, FALSE)</f>
        <v>0</v>
      </c>
      <c r="X1374">
        <f>VLOOKUP(Table9[[#This Row],[Shortname]], Comp[], 21, FALSE)</f>
        <v>0</v>
      </c>
      <c r="Y1374">
        <f>VLOOKUP(Table9[[#This Row],[Shortname]], Comp[], 22, FALSE)</f>
        <v>0</v>
      </c>
      <c r="Z1374">
        <f>VLOOKUP(Table9[[#This Row],[Shortname]], Comp[], 23, FALSE)</f>
        <v>4.0999999999999996</v>
      </c>
      <c r="AA1374">
        <f>VLOOKUP(Table9[[#This Row],[Shortname]], Comp[], 24, FALSE)</f>
        <v>0</v>
      </c>
      <c r="AB1374">
        <f>VLOOKUP(Table9[[#This Row],[Shortname]], Comp[], 25, FALSE)</f>
        <v>0</v>
      </c>
      <c r="AC1374">
        <f>VLOOKUP(Table9[[#This Row],[Shortname]], Comp[], 26, FALSE)</f>
        <v>0</v>
      </c>
      <c r="AD1374">
        <f>VLOOKUP(Table9[[#This Row],[Shortname]], Comp[], 27, FALSE)</f>
        <v>0</v>
      </c>
      <c r="AE1374">
        <f>VLOOKUP(Table9[[#This Row],[Shortname]], Comp[], 28, FALSE)</f>
        <v>0</v>
      </c>
      <c r="AF1374">
        <f>VLOOKUP(Table9[[#This Row],[Shortname]], Comp[], 29, FALSE)</f>
        <v>0</v>
      </c>
      <c r="AG1374">
        <f>VLOOKUP(Table9[[#This Row],[Shortname]], Comp[], 30, FALSE)</f>
        <v>0</v>
      </c>
      <c r="AH1374">
        <f>VLOOKUP(Table9[[#This Row],[Shortname]], Comp[], 31, FALSE)</f>
        <v>0</v>
      </c>
    </row>
    <row r="1375" spans="1:34" x14ac:dyDescent="0.3">
      <c r="A1375" t="s">
        <v>6510</v>
      </c>
      <c r="B1375" t="s">
        <v>6511</v>
      </c>
      <c r="C1375" t="s">
        <v>6504</v>
      </c>
      <c r="D1375">
        <v>581</v>
      </c>
      <c r="E1375">
        <v>25</v>
      </c>
      <c r="F1375">
        <v>1E-4</v>
      </c>
      <c r="G1375">
        <v>1</v>
      </c>
      <c r="I1375">
        <f>VLOOKUP(Table9[[#This Row],[Shortname]], Comp[], 6, FALSE)</f>
        <v>1090</v>
      </c>
      <c r="J1375" s="14">
        <f>VLOOKUP(Table9[[#This Row],[Shortname]], Comp[], 7, FALSE)</f>
        <v>41.899999999999991</v>
      </c>
      <c r="K1375">
        <f>VLOOKUP(Table9[[#This Row],[Shortname]], Comp[], 8, FALSE)</f>
        <v>29.3</v>
      </c>
      <c r="L1375">
        <f>VLOOKUP(Table9[[#This Row],[Shortname]], Comp[], 9, FALSE)</f>
        <v>10.8</v>
      </c>
      <c r="M1375">
        <f>VLOOKUP(Table9[[#This Row],[Shortname]], Comp[], 10, FALSE)</f>
        <v>4.0999999999999996</v>
      </c>
      <c r="N1375">
        <f>VLOOKUP(Table9[[#This Row],[Shortname]], Comp[], 11, FALSE)</f>
        <v>5.7</v>
      </c>
      <c r="O1375">
        <f>VLOOKUP(Table9[[#This Row],[Shortname]], Comp[],12, FALSE)</f>
        <v>0</v>
      </c>
      <c r="P1375">
        <f>VLOOKUP(Table9[[#This Row],[Shortname]], Comp[], 13, FALSE)</f>
        <v>0</v>
      </c>
      <c r="Q1375">
        <f>VLOOKUP(Table9[[#This Row],[Shortname]], Comp[], 14, FALSE)</f>
        <v>0</v>
      </c>
      <c r="R1375">
        <f>VLOOKUP(Table9[[#This Row],[Shortname]], Comp[], 15, FALSE)</f>
        <v>0</v>
      </c>
      <c r="S1375">
        <f>VLOOKUP(Table9[[#This Row],[Shortname]], Comp[], 16, FALSE)</f>
        <v>0</v>
      </c>
      <c r="T1375">
        <f>VLOOKUP(Table9[[#This Row],[Shortname]], Comp[], 17, FALSE)</f>
        <v>0</v>
      </c>
      <c r="U1375">
        <f>VLOOKUP(Table9[[#This Row],[Shortname]], Comp[], 18, FALSE)</f>
        <v>0</v>
      </c>
      <c r="V1375">
        <f>VLOOKUP(Table9[[#This Row],[Shortname]], Comp[], 19, FALSE)</f>
        <v>0</v>
      </c>
      <c r="W1375">
        <f>VLOOKUP(Table9[[#This Row],[Shortname]], Comp[], 20, FALSE)</f>
        <v>0</v>
      </c>
      <c r="X1375">
        <f>VLOOKUP(Table9[[#This Row],[Shortname]], Comp[], 21, FALSE)</f>
        <v>0</v>
      </c>
      <c r="Y1375">
        <f>VLOOKUP(Table9[[#This Row],[Shortname]], Comp[], 22, FALSE)</f>
        <v>0</v>
      </c>
      <c r="Z1375">
        <f>VLOOKUP(Table9[[#This Row],[Shortname]], Comp[], 23, FALSE)</f>
        <v>8.1999999999999993</v>
      </c>
      <c r="AA1375">
        <f>VLOOKUP(Table9[[#This Row],[Shortname]], Comp[], 24, FALSE)</f>
        <v>0</v>
      </c>
      <c r="AB1375">
        <f>VLOOKUP(Table9[[#This Row],[Shortname]], Comp[], 25, FALSE)</f>
        <v>0</v>
      </c>
      <c r="AC1375">
        <f>VLOOKUP(Table9[[#This Row],[Shortname]], Comp[], 26, FALSE)</f>
        <v>0</v>
      </c>
      <c r="AD1375">
        <f>VLOOKUP(Table9[[#This Row],[Shortname]], Comp[], 27, FALSE)</f>
        <v>0</v>
      </c>
      <c r="AE1375">
        <f>VLOOKUP(Table9[[#This Row],[Shortname]], Comp[], 28, FALSE)</f>
        <v>0</v>
      </c>
      <c r="AF1375">
        <f>VLOOKUP(Table9[[#This Row],[Shortname]], Comp[], 29, FALSE)</f>
        <v>0</v>
      </c>
      <c r="AG1375">
        <f>VLOOKUP(Table9[[#This Row],[Shortname]], Comp[], 30, FALSE)</f>
        <v>0</v>
      </c>
      <c r="AH1375">
        <f>VLOOKUP(Table9[[#This Row],[Shortname]], Comp[], 31, FALSE)</f>
        <v>0</v>
      </c>
    </row>
    <row r="1376" spans="1:34" x14ac:dyDescent="0.3">
      <c r="A1376" t="s">
        <v>6510</v>
      </c>
      <c r="B1376" t="s">
        <v>6511</v>
      </c>
      <c r="C1376" t="s">
        <v>6504</v>
      </c>
      <c r="D1376">
        <v>506</v>
      </c>
      <c r="E1376">
        <v>650</v>
      </c>
      <c r="F1376">
        <v>1E-4</v>
      </c>
      <c r="G1376">
        <v>1</v>
      </c>
      <c r="I1376">
        <f>VLOOKUP(Table9[[#This Row],[Shortname]], Comp[], 6, FALSE)</f>
        <v>1090</v>
      </c>
      <c r="J1376" s="14">
        <f>VLOOKUP(Table9[[#This Row],[Shortname]], Comp[], 7, FALSE)</f>
        <v>41.899999999999991</v>
      </c>
      <c r="K1376">
        <f>VLOOKUP(Table9[[#This Row],[Shortname]], Comp[], 8, FALSE)</f>
        <v>29.3</v>
      </c>
      <c r="L1376">
        <f>VLOOKUP(Table9[[#This Row],[Shortname]], Comp[], 9, FALSE)</f>
        <v>10.8</v>
      </c>
      <c r="M1376">
        <f>VLOOKUP(Table9[[#This Row],[Shortname]], Comp[], 10, FALSE)</f>
        <v>4.0999999999999996</v>
      </c>
      <c r="N1376">
        <f>VLOOKUP(Table9[[#This Row],[Shortname]], Comp[], 11, FALSE)</f>
        <v>5.7</v>
      </c>
      <c r="O1376">
        <f>VLOOKUP(Table9[[#This Row],[Shortname]], Comp[],12, FALSE)</f>
        <v>0</v>
      </c>
      <c r="P1376">
        <f>VLOOKUP(Table9[[#This Row],[Shortname]], Comp[], 13, FALSE)</f>
        <v>0</v>
      </c>
      <c r="Q1376">
        <f>VLOOKUP(Table9[[#This Row],[Shortname]], Comp[], 14, FALSE)</f>
        <v>0</v>
      </c>
      <c r="R1376">
        <f>VLOOKUP(Table9[[#This Row],[Shortname]], Comp[], 15, FALSE)</f>
        <v>0</v>
      </c>
      <c r="S1376">
        <f>VLOOKUP(Table9[[#This Row],[Shortname]], Comp[], 16, FALSE)</f>
        <v>0</v>
      </c>
      <c r="T1376">
        <f>VLOOKUP(Table9[[#This Row],[Shortname]], Comp[], 17, FALSE)</f>
        <v>0</v>
      </c>
      <c r="U1376">
        <f>VLOOKUP(Table9[[#This Row],[Shortname]], Comp[], 18, FALSE)</f>
        <v>0</v>
      </c>
      <c r="V1376">
        <f>VLOOKUP(Table9[[#This Row],[Shortname]], Comp[], 19, FALSE)</f>
        <v>0</v>
      </c>
      <c r="W1376">
        <f>VLOOKUP(Table9[[#This Row],[Shortname]], Comp[], 20, FALSE)</f>
        <v>0</v>
      </c>
      <c r="X1376">
        <f>VLOOKUP(Table9[[#This Row],[Shortname]], Comp[], 21, FALSE)</f>
        <v>0</v>
      </c>
      <c r="Y1376">
        <f>VLOOKUP(Table9[[#This Row],[Shortname]], Comp[], 22, FALSE)</f>
        <v>0</v>
      </c>
      <c r="Z1376">
        <f>VLOOKUP(Table9[[#This Row],[Shortname]], Comp[], 23, FALSE)</f>
        <v>8.1999999999999993</v>
      </c>
      <c r="AA1376">
        <f>VLOOKUP(Table9[[#This Row],[Shortname]], Comp[], 24, FALSE)</f>
        <v>0</v>
      </c>
      <c r="AB1376">
        <f>VLOOKUP(Table9[[#This Row],[Shortname]], Comp[], 25, FALSE)</f>
        <v>0</v>
      </c>
      <c r="AC1376">
        <f>VLOOKUP(Table9[[#This Row],[Shortname]], Comp[], 26, FALSE)</f>
        <v>0</v>
      </c>
      <c r="AD1376">
        <f>VLOOKUP(Table9[[#This Row],[Shortname]], Comp[], 27, FALSE)</f>
        <v>0</v>
      </c>
      <c r="AE1376">
        <f>VLOOKUP(Table9[[#This Row],[Shortname]], Comp[], 28, FALSE)</f>
        <v>0</v>
      </c>
      <c r="AF1376">
        <f>VLOOKUP(Table9[[#This Row],[Shortname]], Comp[], 29, FALSE)</f>
        <v>0</v>
      </c>
      <c r="AG1376">
        <f>VLOOKUP(Table9[[#This Row],[Shortname]], Comp[], 30, FALSE)</f>
        <v>0</v>
      </c>
      <c r="AH1376">
        <f>VLOOKUP(Table9[[#This Row],[Shortname]], Comp[], 31, FALSE)</f>
        <v>0</v>
      </c>
    </row>
    <row r="1377" spans="1:34" x14ac:dyDescent="0.3">
      <c r="A1377" t="s">
        <v>6510</v>
      </c>
      <c r="B1377" t="s">
        <v>6511</v>
      </c>
      <c r="C1377" t="s">
        <v>6504</v>
      </c>
      <c r="D1377">
        <v>544</v>
      </c>
      <c r="E1377">
        <v>750</v>
      </c>
      <c r="F1377">
        <v>1E-4</v>
      </c>
      <c r="G1377">
        <v>1</v>
      </c>
      <c r="I1377">
        <f>VLOOKUP(Table9[[#This Row],[Shortname]], Comp[], 6, FALSE)</f>
        <v>1090</v>
      </c>
      <c r="J1377" s="14">
        <f>VLOOKUP(Table9[[#This Row],[Shortname]], Comp[], 7, FALSE)</f>
        <v>41.899999999999991</v>
      </c>
      <c r="K1377">
        <f>VLOOKUP(Table9[[#This Row],[Shortname]], Comp[], 8, FALSE)</f>
        <v>29.3</v>
      </c>
      <c r="L1377">
        <f>VLOOKUP(Table9[[#This Row],[Shortname]], Comp[], 9, FALSE)</f>
        <v>10.8</v>
      </c>
      <c r="M1377">
        <f>VLOOKUP(Table9[[#This Row],[Shortname]], Comp[], 10, FALSE)</f>
        <v>4.0999999999999996</v>
      </c>
      <c r="N1377">
        <f>VLOOKUP(Table9[[#This Row],[Shortname]], Comp[], 11, FALSE)</f>
        <v>5.7</v>
      </c>
      <c r="O1377">
        <f>VLOOKUP(Table9[[#This Row],[Shortname]], Comp[],12, FALSE)</f>
        <v>0</v>
      </c>
      <c r="P1377">
        <f>VLOOKUP(Table9[[#This Row],[Shortname]], Comp[], 13, FALSE)</f>
        <v>0</v>
      </c>
      <c r="Q1377">
        <f>VLOOKUP(Table9[[#This Row],[Shortname]], Comp[], 14, FALSE)</f>
        <v>0</v>
      </c>
      <c r="R1377">
        <f>VLOOKUP(Table9[[#This Row],[Shortname]], Comp[], 15, FALSE)</f>
        <v>0</v>
      </c>
      <c r="S1377">
        <f>VLOOKUP(Table9[[#This Row],[Shortname]], Comp[], 16, FALSE)</f>
        <v>0</v>
      </c>
      <c r="T1377">
        <f>VLOOKUP(Table9[[#This Row],[Shortname]], Comp[], 17, FALSE)</f>
        <v>0</v>
      </c>
      <c r="U1377">
        <f>VLOOKUP(Table9[[#This Row],[Shortname]], Comp[], 18, FALSE)</f>
        <v>0</v>
      </c>
      <c r="V1377">
        <f>VLOOKUP(Table9[[#This Row],[Shortname]], Comp[], 19, FALSE)</f>
        <v>0</v>
      </c>
      <c r="W1377">
        <f>VLOOKUP(Table9[[#This Row],[Shortname]], Comp[], 20, FALSE)</f>
        <v>0</v>
      </c>
      <c r="X1377">
        <f>VLOOKUP(Table9[[#This Row],[Shortname]], Comp[], 21, FALSE)</f>
        <v>0</v>
      </c>
      <c r="Y1377">
        <f>VLOOKUP(Table9[[#This Row],[Shortname]], Comp[], 22, FALSE)</f>
        <v>0</v>
      </c>
      <c r="Z1377">
        <f>VLOOKUP(Table9[[#This Row],[Shortname]], Comp[], 23, FALSE)</f>
        <v>8.1999999999999993</v>
      </c>
      <c r="AA1377">
        <f>VLOOKUP(Table9[[#This Row],[Shortname]], Comp[], 24, FALSE)</f>
        <v>0</v>
      </c>
      <c r="AB1377">
        <f>VLOOKUP(Table9[[#This Row],[Shortname]], Comp[], 25, FALSE)</f>
        <v>0</v>
      </c>
      <c r="AC1377">
        <f>VLOOKUP(Table9[[#This Row],[Shortname]], Comp[], 26, FALSE)</f>
        <v>0</v>
      </c>
      <c r="AD1377">
        <f>VLOOKUP(Table9[[#This Row],[Shortname]], Comp[], 27, FALSE)</f>
        <v>0</v>
      </c>
      <c r="AE1377">
        <f>VLOOKUP(Table9[[#This Row],[Shortname]], Comp[], 28, FALSE)</f>
        <v>0</v>
      </c>
      <c r="AF1377">
        <f>VLOOKUP(Table9[[#This Row],[Shortname]], Comp[], 29, FALSE)</f>
        <v>0</v>
      </c>
      <c r="AG1377">
        <f>VLOOKUP(Table9[[#This Row],[Shortname]], Comp[], 30, FALSE)</f>
        <v>0</v>
      </c>
      <c r="AH1377">
        <f>VLOOKUP(Table9[[#This Row],[Shortname]], Comp[], 31, FALSE)</f>
        <v>0</v>
      </c>
    </row>
    <row r="1378" spans="1:34" x14ac:dyDescent="0.3">
      <c r="A1378" t="s">
        <v>6510</v>
      </c>
      <c r="B1378" t="s">
        <v>6511</v>
      </c>
      <c r="C1378" t="s">
        <v>6504</v>
      </c>
      <c r="D1378">
        <v>496</v>
      </c>
      <c r="E1378">
        <v>850</v>
      </c>
      <c r="F1378">
        <v>1E-4</v>
      </c>
      <c r="G1378">
        <v>1</v>
      </c>
      <c r="I1378">
        <f>VLOOKUP(Table9[[#This Row],[Shortname]], Comp[], 6, FALSE)</f>
        <v>1090</v>
      </c>
      <c r="J1378" s="14">
        <f>VLOOKUP(Table9[[#This Row],[Shortname]], Comp[], 7, FALSE)</f>
        <v>41.899999999999991</v>
      </c>
      <c r="K1378">
        <f>VLOOKUP(Table9[[#This Row],[Shortname]], Comp[], 8, FALSE)</f>
        <v>29.3</v>
      </c>
      <c r="L1378">
        <f>VLOOKUP(Table9[[#This Row],[Shortname]], Comp[], 9, FALSE)</f>
        <v>10.8</v>
      </c>
      <c r="M1378">
        <f>VLOOKUP(Table9[[#This Row],[Shortname]], Comp[], 10, FALSE)</f>
        <v>4.0999999999999996</v>
      </c>
      <c r="N1378">
        <f>VLOOKUP(Table9[[#This Row],[Shortname]], Comp[], 11, FALSE)</f>
        <v>5.7</v>
      </c>
      <c r="O1378">
        <f>VLOOKUP(Table9[[#This Row],[Shortname]], Comp[],12, FALSE)</f>
        <v>0</v>
      </c>
      <c r="P1378">
        <f>VLOOKUP(Table9[[#This Row],[Shortname]], Comp[], 13, FALSE)</f>
        <v>0</v>
      </c>
      <c r="Q1378">
        <f>VLOOKUP(Table9[[#This Row],[Shortname]], Comp[], 14, FALSE)</f>
        <v>0</v>
      </c>
      <c r="R1378">
        <f>VLOOKUP(Table9[[#This Row],[Shortname]], Comp[], 15, FALSE)</f>
        <v>0</v>
      </c>
      <c r="S1378">
        <f>VLOOKUP(Table9[[#This Row],[Shortname]], Comp[], 16, FALSE)</f>
        <v>0</v>
      </c>
      <c r="T1378">
        <f>VLOOKUP(Table9[[#This Row],[Shortname]], Comp[], 17, FALSE)</f>
        <v>0</v>
      </c>
      <c r="U1378">
        <f>VLOOKUP(Table9[[#This Row],[Shortname]], Comp[], 18, FALSE)</f>
        <v>0</v>
      </c>
      <c r="V1378">
        <f>VLOOKUP(Table9[[#This Row],[Shortname]], Comp[], 19, FALSE)</f>
        <v>0</v>
      </c>
      <c r="W1378">
        <f>VLOOKUP(Table9[[#This Row],[Shortname]], Comp[], 20, FALSE)</f>
        <v>0</v>
      </c>
      <c r="X1378">
        <f>VLOOKUP(Table9[[#This Row],[Shortname]], Comp[], 21, FALSE)</f>
        <v>0</v>
      </c>
      <c r="Y1378">
        <f>VLOOKUP(Table9[[#This Row],[Shortname]], Comp[], 22, FALSE)</f>
        <v>0</v>
      </c>
      <c r="Z1378">
        <f>VLOOKUP(Table9[[#This Row],[Shortname]], Comp[], 23, FALSE)</f>
        <v>8.1999999999999993</v>
      </c>
      <c r="AA1378">
        <f>VLOOKUP(Table9[[#This Row],[Shortname]], Comp[], 24, FALSE)</f>
        <v>0</v>
      </c>
      <c r="AB1378">
        <f>VLOOKUP(Table9[[#This Row],[Shortname]], Comp[], 25, FALSE)</f>
        <v>0</v>
      </c>
      <c r="AC1378">
        <f>VLOOKUP(Table9[[#This Row],[Shortname]], Comp[], 26, FALSE)</f>
        <v>0</v>
      </c>
      <c r="AD1378">
        <f>VLOOKUP(Table9[[#This Row],[Shortname]], Comp[], 27, FALSE)</f>
        <v>0</v>
      </c>
      <c r="AE1378">
        <f>VLOOKUP(Table9[[#This Row],[Shortname]], Comp[], 28, FALSE)</f>
        <v>0</v>
      </c>
      <c r="AF1378">
        <f>VLOOKUP(Table9[[#This Row],[Shortname]], Comp[], 29, FALSE)</f>
        <v>0</v>
      </c>
      <c r="AG1378">
        <f>VLOOKUP(Table9[[#This Row],[Shortname]], Comp[], 30, FALSE)</f>
        <v>0</v>
      </c>
      <c r="AH1378">
        <f>VLOOKUP(Table9[[#This Row],[Shortname]], Comp[], 31, FALSE)</f>
        <v>0</v>
      </c>
    </row>
    <row r="1379" spans="1:34" x14ac:dyDescent="0.3">
      <c r="A1379" t="s">
        <v>6510</v>
      </c>
      <c r="B1379" t="s">
        <v>6511</v>
      </c>
      <c r="C1379" t="s">
        <v>6504</v>
      </c>
      <c r="D1379">
        <v>206</v>
      </c>
      <c r="E1379">
        <v>950</v>
      </c>
      <c r="F1379">
        <v>1E-4</v>
      </c>
      <c r="G1379">
        <v>1</v>
      </c>
      <c r="I1379">
        <f>VLOOKUP(Table9[[#This Row],[Shortname]], Comp[], 6, FALSE)</f>
        <v>1090</v>
      </c>
      <c r="J1379" s="14">
        <f>VLOOKUP(Table9[[#This Row],[Shortname]], Comp[], 7, FALSE)</f>
        <v>41.899999999999991</v>
      </c>
      <c r="K1379">
        <f>VLOOKUP(Table9[[#This Row],[Shortname]], Comp[], 8, FALSE)</f>
        <v>29.3</v>
      </c>
      <c r="L1379">
        <f>VLOOKUP(Table9[[#This Row],[Shortname]], Comp[], 9, FALSE)</f>
        <v>10.8</v>
      </c>
      <c r="M1379">
        <f>VLOOKUP(Table9[[#This Row],[Shortname]], Comp[], 10, FALSE)</f>
        <v>4.0999999999999996</v>
      </c>
      <c r="N1379">
        <f>VLOOKUP(Table9[[#This Row],[Shortname]], Comp[], 11, FALSE)</f>
        <v>5.7</v>
      </c>
      <c r="O1379">
        <f>VLOOKUP(Table9[[#This Row],[Shortname]], Comp[],12, FALSE)</f>
        <v>0</v>
      </c>
      <c r="P1379">
        <f>VLOOKUP(Table9[[#This Row],[Shortname]], Comp[], 13, FALSE)</f>
        <v>0</v>
      </c>
      <c r="Q1379">
        <f>VLOOKUP(Table9[[#This Row],[Shortname]], Comp[], 14, FALSE)</f>
        <v>0</v>
      </c>
      <c r="R1379">
        <f>VLOOKUP(Table9[[#This Row],[Shortname]], Comp[], 15, FALSE)</f>
        <v>0</v>
      </c>
      <c r="S1379">
        <f>VLOOKUP(Table9[[#This Row],[Shortname]], Comp[], 16, FALSE)</f>
        <v>0</v>
      </c>
      <c r="T1379">
        <f>VLOOKUP(Table9[[#This Row],[Shortname]], Comp[], 17, FALSE)</f>
        <v>0</v>
      </c>
      <c r="U1379">
        <f>VLOOKUP(Table9[[#This Row],[Shortname]], Comp[], 18, FALSE)</f>
        <v>0</v>
      </c>
      <c r="V1379">
        <f>VLOOKUP(Table9[[#This Row],[Shortname]], Comp[], 19, FALSE)</f>
        <v>0</v>
      </c>
      <c r="W1379">
        <f>VLOOKUP(Table9[[#This Row],[Shortname]], Comp[], 20, FALSE)</f>
        <v>0</v>
      </c>
      <c r="X1379">
        <f>VLOOKUP(Table9[[#This Row],[Shortname]], Comp[], 21, FALSE)</f>
        <v>0</v>
      </c>
      <c r="Y1379">
        <f>VLOOKUP(Table9[[#This Row],[Shortname]], Comp[], 22, FALSE)</f>
        <v>0</v>
      </c>
      <c r="Z1379">
        <f>VLOOKUP(Table9[[#This Row],[Shortname]], Comp[], 23, FALSE)</f>
        <v>8.1999999999999993</v>
      </c>
      <c r="AA1379">
        <f>VLOOKUP(Table9[[#This Row],[Shortname]], Comp[], 24, FALSE)</f>
        <v>0</v>
      </c>
      <c r="AB1379">
        <f>VLOOKUP(Table9[[#This Row],[Shortname]], Comp[], 25, FALSE)</f>
        <v>0</v>
      </c>
      <c r="AC1379">
        <f>VLOOKUP(Table9[[#This Row],[Shortname]], Comp[], 26, FALSE)</f>
        <v>0</v>
      </c>
      <c r="AD1379">
        <f>VLOOKUP(Table9[[#This Row],[Shortname]], Comp[], 27, FALSE)</f>
        <v>0</v>
      </c>
      <c r="AE1379">
        <f>VLOOKUP(Table9[[#This Row],[Shortname]], Comp[], 28, FALSE)</f>
        <v>0</v>
      </c>
      <c r="AF1379">
        <f>VLOOKUP(Table9[[#This Row],[Shortname]], Comp[], 29, FALSE)</f>
        <v>0</v>
      </c>
      <c r="AG1379">
        <f>VLOOKUP(Table9[[#This Row],[Shortname]], Comp[], 30, FALSE)</f>
        <v>0</v>
      </c>
      <c r="AH1379">
        <f>VLOOKUP(Table9[[#This Row],[Shortname]], Comp[], 31, FALSE)</f>
        <v>0</v>
      </c>
    </row>
    <row r="1380" spans="1:34" x14ac:dyDescent="0.3">
      <c r="A1380" t="s">
        <v>6514</v>
      </c>
      <c r="B1380" t="s">
        <v>6515</v>
      </c>
      <c r="C1380" t="s">
        <v>6504</v>
      </c>
      <c r="D1380">
        <v>394</v>
      </c>
      <c r="E1380">
        <v>25</v>
      </c>
      <c r="F1380">
        <v>1E-4</v>
      </c>
      <c r="G1380">
        <v>1</v>
      </c>
      <c r="I1380">
        <f>VLOOKUP(Table9[[#This Row],[Shortname]], Comp[], 6, FALSE)</f>
        <v>1091</v>
      </c>
      <c r="J1380" s="14">
        <f>VLOOKUP(Table9[[#This Row],[Shortname]], Comp[], 7, FALSE)</f>
        <v>38.199999999999989</v>
      </c>
      <c r="K1380">
        <f>VLOOKUP(Table9[[#This Row],[Shortname]], Comp[], 8, FALSE)</f>
        <v>29.3</v>
      </c>
      <c r="L1380">
        <f>VLOOKUP(Table9[[#This Row],[Shortname]], Comp[], 9, FALSE)</f>
        <v>10.4</v>
      </c>
      <c r="M1380">
        <f>VLOOKUP(Table9[[#This Row],[Shortname]], Comp[], 10, FALSE)</f>
        <v>4.0999999999999996</v>
      </c>
      <c r="N1380">
        <f>VLOOKUP(Table9[[#This Row],[Shortname]], Comp[], 11, FALSE)</f>
        <v>5.7</v>
      </c>
      <c r="O1380">
        <f>VLOOKUP(Table9[[#This Row],[Shortname]], Comp[],12, FALSE)</f>
        <v>0</v>
      </c>
      <c r="P1380">
        <f>VLOOKUP(Table9[[#This Row],[Shortname]], Comp[], 13, FALSE)</f>
        <v>0</v>
      </c>
      <c r="Q1380">
        <f>VLOOKUP(Table9[[#This Row],[Shortname]], Comp[], 14, FALSE)</f>
        <v>0</v>
      </c>
      <c r="R1380">
        <f>VLOOKUP(Table9[[#This Row],[Shortname]], Comp[], 15, FALSE)</f>
        <v>0</v>
      </c>
      <c r="S1380">
        <f>VLOOKUP(Table9[[#This Row],[Shortname]], Comp[], 16, FALSE)</f>
        <v>0</v>
      </c>
      <c r="T1380">
        <f>VLOOKUP(Table9[[#This Row],[Shortname]], Comp[], 17, FALSE)</f>
        <v>0</v>
      </c>
      <c r="U1380">
        <f>VLOOKUP(Table9[[#This Row],[Shortname]], Comp[], 18, FALSE)</f>
        <v>0</v>
      </c>
      <c r="V1380">
        <f>VLOOKUP(Table9[[#This Row],[Shortname]], Comp[], 19, FALSE)</f>
        <v>0</v>
      </c>
      <c r="W1380">
        <f>VLOOKUP(Table9[[#This Row],[Shortname]], Comp[], 20, FALSE)</f>
        <v>0</v>
      </c>
      <c r="X1380">
        <f>VLOOKUP(Table9[[#This Row],[Shortname]], Comp[], 21, FALSE)</f>
        <v>0</v>
      </c>
      <c r="Y1380">
        <f>VLOOKUP(Table9[[#This Row],[Shortname]], Comp[], 22, FALSE)</f>
        <v>0</v>
      </c>
      <c r="Z1380">
        <f>VLOOKUP(Table9[[#This Row],[Shortname]], Comp[], 23, FALSE)</f>
        <v>12.3</v>
      </c>
      <c r="AA1380">
        <f>VLOOKUP(Table9[[#This Row],[Shortname]], Comp[], 24, FALSE)</f>
        <v>0</v>
      </c>
      <c r="AB1380">
        <f>VLOOKUP(Table9[[#This Row],[Shortname]], Comp[], 25, FALSE)</f>
        <v>0</v>
      </c>
      <c r="AC1380">
        <f>VLOOKUP(Table9[[#This Row],[Shortname]], Comp[], 26, FALSE)</f>
        <v>0</v>
      </c>
      <c r="AD1380">
        <f>VLOOKUP(Table9[[#This Row],[Shortname]], Comp[], 27, FALSE)</f>
        <v>0</v>
      </c>
      <c r="AE1380">
        <f>VLOOKUP(Table9[[#This Row],[Shortname]], Comp[], 28, FALSE)</f>
        <v>0</v>
      </c>
      <c r="AF1380">
        <f>VLOOKUP(Table9[[#This Row],[Shortname]], Comp[], 29, FALSE)</f>
        <v>0</v>
      </c>
      <c r="AG1380">
        <f>VLOOKUP(Table9[[#This Row],[Shortname]], Comp[], 30, FALSE)</f>
        <v>0</v>
      </c>
      <c r="AH1380">
        <f>VLOOKUP(Table9[[#This Row],[Shortname]], Comp[], 31, FALSE)</f>
        <v>0</v>
      </c>
    </row>
    <row r="1381" spans="1:34" x14ac:dyDescent="0.3">
      <c r="A1381" t="s">
        <v>6514</v>
      </c>
      <c r="B1381" t="s">
        <v>6515</v>
      </c>
      <c r="C1381" t="s">
        <v>6504</v>
      </c>
      <c r="D1381">
        <v>339</v>
      </c>
      <c r="E1381">
        <v>650</v>
      </c>
      <c r="F1381">
        <v>1E-4</v>
      </c>
      <c r="G1381">
        <v>1</v>
      </c>
      <c r="I1381">
        <f>VLOOKUP(Table9[[#This Row],[Shortname]], Comp[], 6, FALSE)</f>
        <v>1091</v>
      </c>
      <c r="J1381" s="14">
        <f>VLOOKUP(Table9[[#This Row],[Shortname]], Comp[], 7, FALSE)</f>
        <v>38.199999999999989</v>
      </c>
      <c r="K1381">
        <f>VLOOKUP(Table9[[#This Row],[Shortname]], Comp[], 8, FALSE)</f>
        <v>29.3</v>
      </c>
      <c r="L1381">
        <f>VLOOKUP(Table9[[#This Row],[Shortname]], Comp[], 9, FALSE)</f>
        <v>10.4</v>
      </c>
      <c r="M1381">
        <f>VLOOKUP(Table9[[#This Row],[Shortname]], Comp[], 10, FALSE)</f>
        <v>4.0999999999999996</v>
      </c>
      <c r="N1381">
        <f>VLOOKUP(Table9[[#This Row],[Shortname]], Comp[], 11, FALSE)</f>
        <v>5.7</v>
      </c>
      <c r="O1381">
        <f>VLOOKUP(Table9[[#This Row],[Shortname]], Comp[],12, FALSE)</f>
        <v>0</v>
      </c>
      <c r="P1381">
        <f>VLOOKUP(Table9[[#This Row],[Shortname]], Comp[], 13, FALSE)</f>
        <v>0</v>
      </c>
      <c r="Q1381">
        <f>VLOOKUP(Table9[[#This Row],[Shortname]], Comp[], 14, FALSE)</f>
        <v>0</v>
      </c>
      <c r="R1381">
        <f>VLOOKUP(Table9[[#This Row],[Shortname]], Comp[], 15, FALSE)</f>
        <v>0</v>
      </c>
      <c r="S1381">
        <f>VLOOKUP(Table9[[#This Row],[Shortname]], Comp[], 16, FALSE)</f>
        <v>0</v>
      </c>
      <c r="T1381">
        <f>VLOOKUP(Table9[[#This Row],[Shortname]], Comp[], 17, FALSE)</f>
        <v>0</v>
      </c>
      <c r="U1381">
        <f>VLOOKUP(Table9[[#This Row],[Shortname]], Comp[], 18, FALSE)</f>
        <v>0</v>
      </c>
      <c r="V1381">
        <f>VLOOKUP(Table9[[#This Row],[Shortname]], Comp[], 19, FALSE)</f>
        <v>0</v>
      </c>
      <c r="W1381">
        <f>VLOOKUP(Table9[[#This Row],[Shortname]], Comp[], 20, FALSE)</f>
        <v>0</v>
      </c>
      <c r="X1381">
        <f>VLOOKUP(Table9[[#This Row],[Shortname]], Comp[], 21, FALSE)</f>
        <v>0</v>
      </c>
      <c r="Y1381">
        <f>VLOOKUP(Table9[[#This Row],[Shortname]], Comp[], 22, FALSE)</f>
        <v>0</v>
      </c>
      <c r="Z1381">
        <f>VLOOKUP(Table9[[#This Row],[Shortname]], Comp[], 23, FALSE)</f>
        <v>12.3</v>
      </c>
      <c r="AA1381">
        <f>VLOOKUP(Table9[[#This Row],[Shortname]], Comp[], 24, FALSE)</f>
        <v>0</v>
      </c>
      <c r="AB1381">
        <f>VLOOKUP(Table9[[#This Row],[Shortname]], Comp[], 25, FALSE)</f>
        <v>0</v>
      </c>
      <c r="AC1381">
        <f>VLOOKUP(Table9[[#This Row],[Shortname]], Comp[], 26, FALSE)</f>
        <v>0</v>
      </c>
      <c r="AD1381">
        <f>VLOOKUP(Table9[[#This Row],[Shortname]], Comp[], 27, FALSE)</f>
        <v>0</v>
      </c>
      <c r="AE1381">
        <f>VLOOKUP(Table9[[#This Row],[Shortname]], Comp[], 28, FALSE)</f>
        <v>0</v>
      </c>
      <c r="AF1381">
        <f>VLOOKUP(Table9[[#This Row],[Shortname]], Comp[], 29, FALSE)</f>
        <v>0</v>
      </c>
      <c r="AG1381">
        <f>VLOOKUP(Table9[[#This Row],[Shortname]], Comp[], 30, FALSE)</f>
        <v>0</v>
      </c>
      <c r="AH1381">
        <f>VLOOKUP(Table9[[#This Row],[Shortname]], Comp[], 31, FALSE)</f>
        <v>0</v>
      </c>
    </row>
    <row r="1382" spans="1:34" x14ac:dyDescent="0.3">
      <c r="A1382" t="s">
        <v>6514</v>
      </c>
      <c r="B1382" t="s">
        <v>6515</v>
      </c>
      <c r="C1382" t="s">
        <v>6504</v>
      </c>
      <c r="D1382">
        <v>374</v>
      </c>
      <c r="E1382">
        <v>700</v>
      </c>
      <c r="F1382">
        <v>1E-4</v>
      </c>
      <c r="G1382">
        <v>1</v>
      </c>
      <c r="I1382">
        <f>VLOOKUP(Table9[[#This Row],[Shortname]], Comp[], 6, FALSE)</f>
        <v>1091</v>
      </c>
      <c r="J1382" s="14">
        <f>VLOOKUP(Table9[[#This Row],[Shortname]], Comp[], 7, FALSE)</f>
        <v>38.199999999999989</v>
      </c>
      <c r="K1382">
        <f>VLOOKUP(Table9[[#This Row],[Shortname]], Comp[], 8, FALSE)</f>
        <v>29.3</v>
      </c>
      <c r="L1382">
        <f>VLOOKUP(Table9[[#This Row],[Shortname]], Comp[], 9, FALSE)</f>
        <v>10.4</v>
      </c>
      <c r="M1382">
        <f>VLOOKUP(Table9[[#This Row],[Shortname]], Comp[], 10, FALSE)</f>
        <v>4.0999999999999996</v>
      </c>
      <c r="N1382">
        <f>VLOOKUP(Table9[[#This Row],[Shortname]], Comp[], 11, FALSE)</f>
        <v>5.7</v>
      </c>
      <c r="O1382">
        <f>VLOOKUP(Table9[[#This Row],[Shortname]], Comp[],12, FALSE)</f>
        <v>0</v>
      </c>
      <c r="P1382">
        <f>VLOOKUP(Table9[[#This Row],[Shortname]], Comp[], 13, FALSE)</f>
        <v>0</v>
      </c>
      <c r="Q1382">
        <f>VLOOKUP(Table9[[#This Row],[Shortname]], Comp[], 14, FALSE)</f>
        <v>0</v>
      </c>
      <c r="R1382">
        <f>VLOOKUP(Table9[[#This Row],[Shortname]], Comp[], 15, FALSE)</f>
        <v>0</v>
      </c>
      <c r="S1382">
        <f>VLOOKUP(Table9[[#This Row],[Shortname]], Comp[], 16, FALSE)</f>
        <v>0</v>
      </c>
      <c r="T1382">
        <f>VLOOKUP(Table9[[#This Row],[Shortname]], Comp[], 17, FALSE)</f>
        <v>0</v>
      </c>
      <c r="U1382">
        <f>VLOOKUP(Table9[[#This Row],[Shortname]], Comp[], 18, FALSE)</f>
        <v>0</v>
      </c>
      <c r="V1382">
        <f>VLOOKUP(Table9[[#This Row],[Shortname]], Comp[], 19, FALSE)</f>
        <v>0</v>
      </c>
      <c r="W1382">
        <f>VLOOKUP(Table9[[#This Row],[Shortname]], Comp[], 20, FALSE)</f>
        <v>0</v>
      </c>
      <c r="X1382">
        <f>VLOOKUP(Table9[[#This Row],[Shortname]], Comp[], 21, FALSE)</f>
        <v>0</v>
      </c>
      <c r="Y1382">
        <f>VLOOKUP(Table9[[#This Row],[Shortname]], Comp[], 22, FALSE)</f>
        <v>0</v>
      </c>
      <c r="Z1382">
        <f>VLOOKUP(Table9[[#This Row],[Shortname]], Comp[], 23, FALSE)</f>
        <v>12.3</v>
      </c>
      <c r="AA1382">
        <f>VLOOKUP(Table9[[#This Row],[Shortname]], Comp[], 24, FALSE)</f>
        <v>0</v>
      </c>
      <c r="AB1382">
        <f>VLOOKUP(Table9[[#This Row],[Shortname]], Comp[], 25, FALSE)</f>
        <v>0</v>
      </c>
      <c r="AC1382">
        <f>VLOOKUP(Table9[[#This Row],[Shortname]], Comp[], 26, FALSE)</f>
        <v>0</v>
      </c>
      <c r="AD1382">
        <f>VLOOKUP(Table9[[#This Row],[Shortname]], Comp[], 27, FALSE)</f>
        <v>0</v>
      </c>
      <c r="AE1382">
        <f>VLOOKUP(Table9[[#This Row],[Shortname]], Comp[], 28, FALSE)</f>
        <v>0</v>
      </c>
      <c r="AF1382">
        <f>VLOOKUP(Table9[[#This Row],[Shortname]], Comp[], 29, FALSE)</f>
        <v>0</v>
      </c>
      <c r="AG1382">
        <f>VLOOKUP(Table9[[#This Row],[Shortname]], Comp[], 30, FALSE)</f>
        <v>0</v>
      </c>
      <c r="AH1382">
        <f>VLOOKUP(Table9[[#This Row],[Shortname]], Comp[], 31, FALSE)</f>
        <v>0</v>
      </c>
    </row>
    <row r="1383" spans="1:34" x14ac:dyDescent="0.3">
      <c r="A1383" t="s">
        <v>6514</v>
      </c>
      <c r="B1383" t="s">
        <v>6515</v>
      </c>
      <c r="C1383" t="s">
        <v>6504</v>
      </c>
      <c r="D1383">
        <v>421</v>
      </c>
      <c r="E1383">
        <v>750</v>
      </c>
      <c r="F1383">
        <v>1E-4</v>
      </c>
      <c r="G1383">
        <v>1</v>
      </c>
      <c r="I1383">
        <f>VLOOKUP(Table9[[#This Row],[Shortname]], Comp[], 6, FALSE)</f>
        <v>1091</v>
      </c>
      <c r="J1383" s="14">
        <f>VLOOKUP(Table9[[#This Row],[Shortname]], Comp[], 7, FALSE)</f>
        <v>38.199999999999989</v>
      </c>
      <c r="K1383">
        <f>VLOOKUP(Table9[[#This Row],[Shortname]], Comp[], 8, FALSE)</f>
        <v>29.3</v>
      </c>
      <c r="L1383">
        <f>VLOOKUP(Table9[[#This Row],[Shortname]], Comp[], 9, FALSE)</f>
        <v>10.4</v>
      </c>
      <c r="M1383">
        <f>VLOOKUP(Table9[[#This Row],[Shortname]], Comp[], 10, FALSE)</f>
        <v>4.0999999999999996</v>
      </c>
      <c r="N1383">
        <f>VLOOKUP(Table9[[#This Row],[Shortname]], Comp[], 11, FALSE)</f>
        <v>5.7</v>
      </c>
      <c r="O1383">
        <f>VLOOKUP(Table9[[#This Row],[Shortname]], Comp[],12, FALSE)</f>
        <v>0</v>
      </c>
      <c r="P1383">
        <f>VLOOKUP(Table9[[#This Row],[Shortname]], Comp[], 13, FALSE)</f>
        <v>0</v>
      </c>
      <c r="Q1383">
        <f>VLOOKUP(Table9[[#This Row],[Shortname]], Comp[], 14, FALSE)</f>
        <v>0</v>
      </c>
      <c r="R1383">
        <f>VLOOKUP(Table9[[#This Row],[Shortname]], Comp[], 15, FALSE)</f>
        <v>0</v>
      </c>
      <c r="S1383">
        <f>VLOOKUP(Table9[[#This Row],[Shortname]], Comp[], 16, FALSE)</f>
        <v>0</v>
      </c>
      <c r="T1383">
        <f>VLOOKUP(Table9[[#This Row],[Shortname]], Comp[], 17, FALSE)</f>
        <v>0</v>
      </c>
      <c r="U1383">
        <f>VLOOKUP(Table9[[#This Row],[Shortname]], Comp[], 18, FALSE)</f>
        <v>0</v>
      </c>
      <c r="V1383">
        <f>VLOOKUP(Table9[[#This Row],[Shortname]], Comp[], 19, FALSE)</f>
        <v>0</v>
      </c>
      <c r="W1383">
        <f>VLOOKUP(Table9[[#This Row],[Shortname]], Comp[], 20, FALSE)</f>
        <v>0</v>
      </c>
      <c r="X1383">
        <f>VLOOKUP(Table9[[#This Row],[Shortname]], Comp[], 21, FALSE)</f>
        <v>0</v>
      </c>
      <c r="Y1383">
        <f>VLOOKUP(Table9[[#This Row],[Shortname]], Comp[], 22, FALSE)</f>
        <v>0</v>
      </c>
      <c r="Z1383">
        <f>VLOOKUP(Table9[[#This Row],[Shortname]], Comp[], 23, FALSE)</f>
        <v>12.3</v>
      </c>
      <c r="AA1383">
        <f>VLOOKUP(Table9[[#This Row],[Shortname]], Comp[], 24, FALSE)</f>
        <v>0</v>
      </c>
      <c r="AB1383">
        <f>VLOOKUP(Table9[[#This Row],[Shortname]], Comp[], 25, FALSE)</f>
        <v>0</v>
      </c>
      <c r="AC1383">
        <f>VLOOKUP(Table9[[#This Row],[Shortname]], Comp[], 26, FALSE)</f>
        <v>0</v>
      </c>
      <c r="AD1383">
        <f>VLOOKUP(Table9[[#This Row],[Shortname]], Comp[], 27, FALSE)</f>
        <v>0</v>
      </c>
      <c r="AE1383">
        <f>VLOOKUP(Table9[[#This Row],[Shortname]], Comp[], 28, FALSE)</f>
        <v>0</v>
      </c>
      <c r="AF1383">
        <f>VLOOKUP(Table9[[#This Row],[Shortname]], Comp[], 29, FALSE)</f>
        <v>0</v>
      </c>
      <c r="AG1383">
        <f>VLOOKUP(Table9[[#This Row],[Shortname]], Comp[], 30, FALSE)</f>
        <v>0</v>
      </c>
      <c r="AH1383">
        <f>VLOOKUP(Table9[[#This Row],[Shortname]], Comp[], 31, FALSE)</f>
        <v>0</v>
      </c>
    </row>
    <row r="1384" spans="1:34" x14ac:dyDescent="0.3">
      <c r="A1384" t="s">
        <v>6514</v>
      </c>
      <c r="B1384" t="s">
        <v>6515</v>
      </c>
      <c r="C1384" t="s">
        <v>6504</v>
      </c>
      <c r="D1384">
        <v>434</v>
      </c>
      <c r="E1384">
        <v>750</v>
      </c>
      <c r="F1384">
        <v>1E-4</v>
      </c>
      <c r="G1384">
        <v>1</v>
      </c>
      <c r="I1384">
        <f>VLOOKUP(Table9[[#This Row],[Shortname]], Comp[], 6, FALSE)</f>
        <v>1091</v>
      </c>
      <c r="J1384" s="14">
        <f>VLOOKUP(Table9[[#This Row],[Shortname]], Comp[], 7, FALSE)</f>
        <v>38.199999999999989</v>
      </c>
      <c r="K1384">
        <f>VLOOKUP(Table9[[#This Row],[Shortname]], Comp[], 8, FALSE)</f>
        <v>29.3</v>
      </c>
      <c r="L1384">
        <f>VLOOKUP(Table9[[#This Row],[Shortname]], Comp[], 9, FALSE)</f>
        <v>10.4</v>
      </c>
      <c r="M1384">
        <f>VLOOKUP(Table9[[#This Row],[Shortname]], Comp[], 10, FALSE)</f>
        <v>4.0999999999999996</v>
      </c>
      <c r="N1384">
        <f>VLOOKUP(Table9[[#This Row],[Shortname]], Comp[], 11, FALSE)</f>
        <v>5.7</v>
      </c>
      <c r="O1384">
        <f>VLOOKUP(Table9[[#This Row],[Shortname]], Comp[],12, FALSE)</f>
        <v>0</v>
      </c>
      <c r="P1384">
        <f>VLOOKUP(Table9[[#This Row],[Shortname]], Comp[], 13, FALSE)</f>
        <v>0</v>
      </c>
      <c r="Q1384">
        <f>VLOOKUP(Table9[[#This Row],[Shortname]], Comp[], 14, FALSE)</f>
        <v>0</v>
      </c>
      <c r="R1384">
        <f>VLOOKUP(Table9[[#This Row],[Shortname]], Comp[], 15, FALSE)</f>
        <v>0</v>
      </c>
      <c r="S1384">
        <f>VLOOKUP(Table9[[#This Row],[Shortname]], Comp[], 16, FALSE)</f>
        <v>0</v>
      </c>
      <c r="T1384">
        <f>VLOOKUP(Table9[[#This Row],[Shortname]], Comp[], 17, FALSE)</f>
        <v>0</v>
      </c>
      <c r="U1384">
        <f>VLOOKUP(Table9[[#This Row],[Shortname]], Comp[], 18, FALSE)</f>
        <v>0</v>
      </c>
      <c r="V1384">
        <f>VLOOKUP(Table9[[#This Row],[Shortname]], Comp[], 19, FALSE)</f>
        <v>0</v>
      </c>
      <c r="W1384">
        <f>VLOOKUP(Table9[[#This Row],[Shortname]], Comp[], 20, FALSE)</f>
        <v>0</v>
      </c>
      <c r="X1384">
        <f>VLOOKUP(Table9[[#This Row],[Shortname]], Comp[], 21, FALSE)</f>
        <v>0</v>
      </c>
      <c r="Y1384">
        <f>VLOOKUP(Table9[[#This Row],[Shortname]], Comp[], 22, FALSE)</f>
        <v>0</v>
      </c>
      <c r="Z1384">
        <f>VLOOKUP(Table9[[#This Row],[Shortname]], Comp[], 23, FALSE)</f>
        <v>12.3</v>
      </c>
      <c r="AA1384">
        <f>VLOOKUP(Table9[[#This Row],[Shortname]], Comp[], 24, FALSE)</f>
        <v>0</v>
      </c>
      <c r="AB1384">
        <f>VLOOKUP(Table9[[#This Row],[Shortname]], Comp[], 25, FALSE)</f>
        <v>0</v>
      </c>
      <c r="AC1384">
        <f>VLOOKUP(Table9[[#This Row],[Shortname]], Comp[], 26, FALSE)</f>
        <v>0</v>
      </c>
      <c r="AD1384">
        <f>VLOOKUP(Table9[[#This Row],[Shortname]], Comp[], 27, FALSE)</f>
        <v>0</v>
      </c>
      <c r="AE1384">
        <f>VLOOKUP(Table9[[#This Row],[Shortname]], Comp[], 28, FALSE)</f>
        <v>0</v>
      </c>
      <c r="AF1384">
        <f>VLOOKUP(Table9[[#This Row],[Shortname]], Comp[], 29, FALSE)</f>
        <v>0</v>
      </c>
      <c r="AG1384">
        <f>VLOOKUP(Table9[[#This Row],[Shortname]], Comp[], 30, FALSE)</f>
        <v>0</v>
      </c>
      <c r="AH1384">
        <f>VLOOKUP(Table9[[#This Row],[Shortname]], Comp[], 31, FALSE)</f>
        <v>0</v>
      </c>
    </row>
    <row r="1385" spans="1:34" x14ac:dyDescent="0.3">
      <c r="A1385" t="s">
        <v>6514</v>
      </c>
      <c r="B1385" t="s">
        <v>6515</v>
      </c>
      <c r="C1385" t="s">
        <v>6504</v>
      </c>
      <c r="D1385">
        <v>407</v>
      </c>
      <c r="E1385">
        <v>800</v>
      </c>
      <c r="F1385">
        <v>1E-4</v>
      </c>
      <c r="G1385">
        <v>1</v>
      </c>
      <c r="I1385">
        <f>VLOOKUP(Table9[[#This Row],[Shortname]], Comp[], 6, FALSE)</f>
        <v>1091</v>
      </c>
      <c r="J1385" s="14">
        <f>VLOOKUP(Table9[[#This Row],[Shortname]], Comp[], 7, FALSE)</f>
        <v>38.199999999999989</v>
      </c>
      <c r="K1385">
        <f>VLOOKUP(Table9[[#This Row],[Shortname]], Comp[], 8, FALSE)</f>
        <v>29.3</v>
      </c>
      <c r="L1385">
        <f>VLOOKUP(Table9[[#This Row],[Shortname]], Comp[], 9, FALSE)</f>
        <v>10.4</v>
      </c>
      <c r="M1385">
        <f>VLOOKUP(Table9[[#This Row],[Shortname]], Comp[], 10, FALSE)</f>
        <v>4.0999999999999996</v>
      </c>
      <c r="N1385">
        <f>VLOOKUP(Table9[[#This Row],[Shortname]], Comp[], 11, FALSE)</f>
        <v>5.7</v>
      </c>
      <c r="O1385">
        <f>VLOOKUP(Table9[[#This Row],[Shortname]], Comp[],12, FALSE)</f>
        <v>0</v>
      </c>
      <c r="P1385">
        <f>VLOOKUP(Table9[[#This Row],[Shortname]], Comp[], 13, FALSE)</f>
        <v>0</v>
      </c>
      <c r="Q1385">
        <f>VLOOKUP(Table9[[#This Row],[Shortname]], Comp[], 14, FALSE)</f>
        <v>0</v>
      </c>
      <c r="R1385">
        <f>VLOOKUP(Table9[[#This Row],[Shortname]], Comp[], 15, FALSE)</f>
        <v>0</v>
      </c>
      <c r="S1385">
        <f>VLOOKUP(Table9[[#This Row],[Shortname]], Comp[], 16, FALSE)</f>
        <v>0</v>
      </c>
      <c r="T1385">
        <f>VLOOKUP(Table9[[#This Row],[Shortname]], Comp[], 17, FALSE)</f>
        <v>0</v>
      </c>
      <c r="U1385">
        <f>VLOOKUP(Table9[[#This Row],[Shortname]], Comp[], 18, FALSE)</f>
        <v>0</v>
      </c>
      <c r="V1385">
        <f>VLOOKUP(Table9[[#This Row],[Shortname]], Comp[], 19, FALSE)</f>
        <v>0</v>
      </c>
      <c r="W1385">
        <f>VLOOKUP(Table9[[#This Row],[Shortname]], Comp[], 20, FALSE)</f>
        <v>0</v>
      </c>
      <c r="X1385">
        <f>VLOOKUP(Table9[[#This Row],[Shortname]], Comp[], 21, FALSE)</f>
        <v>0</v>
      </c>
      <c r="Y1385">
        <f>VLOOKUP(Table9[[#This Row],[Shortname]], Comp[], 22, FALSE)</f>
        <v>0</v>
      </c>
      <c r="Z1385">
        <f>VLOOKUP(Table9[[#This Row],[Shortname]], Comp[], 23, FALSE)</f>
        <v>12.3</v>
      </c>
      <c r="AA1385">
        <f>VLOOKUP(Table9[[#This Row],[Shortname]], Comp[], 24, FALSE)</f>
        <v>0</v>
      </c>
      <c r="AB1385">
        <f>VLOOKUP(Table9[[#This Row],[Shortname]], Comp[], 25, FALSE)</f>
        <v>0</v>
      </c>
      <c r="AC1385">
        <f>VLOOKUP(Table9[[#This Row],[Shortname]], Comp[], 26, FALSE)</f>
        <v>0</v>
      </c>
      <c r="AD1385">
        <f>VLOOKUP(Table9[[#This Row],[Shortname]], Comp[], 27, FALSE)</f>
        <v>0</v>
      </c>
      <c r="AE1385">
        <f>VLOOKUP(Table9[[#This Row],[Shortname]], Comp[], 28, FALSE)</f>
        <v>0</v>
      </c>
      <c r="AF1385">
        <f>VLOOKUP(Table9[[#This Row],[Shortname]], Comp[], 29, FALSE)</f>
        <v>0</v>
      </c>
      <c r="AG1385">
        <f>VLOOKUP(Table9[[#This Row],[Shortname]], Comp[], 30, FALSE)</f>
        <v>0</v>
      </c>
      <c r="AH1385">
        <f>VLOOKUP(Table9[[#This Row],[Shortname]], Comp[], 31, FALSE)</f>
        <v>0</v>
      </c>
    </row>
    <row r="1386" spans="1:34" x14ac:dyDescent="0.3">
      <c r="A1386" t="s">
        <v>6514</v>
      </c>
      <c r="B1386" t="s">
        <v>6515</v>
      </c>
      <c r="C1386" t="s">
        <v>6504</v>
      </c>
      <c r="D1386">
        <v>395</v>
      </c>
      <c r="E1386">
        <v>850</v>
      </c>
      <c r="F1386">
        <v>1E-4</v>
      </c>
      <c r="G1386">
        <v>1</v>
      </c>
      <c r="I1386">
        <f>VLOOKUP(Table9[[#This Row],[Shortname]], Comp[], 6, FALSE)</f>
        <v>1091</v>
      </c>
      <c r="J1386" s="14">
        <f>VLOOKUP(Table9[[#This Row],[Shortname]], Comp[], 7, FALSE)</f>
        <v>38.199999999999989</v>
      </c>
      <c r="K1386">
        <f>VLOOKUP(Table9[[#This Row],[Shortname]], Comp[], 8, FALSE)</f>
        <v>29.3</v>
      </c>
      <c r="L1386">
        <f>VLOOKUP(Table9[[#This Row],[Shortname]], Comp[], 9, FALSE)</f>
        <v>10.4</v>
      </c>
      <c r="M1386">
        <f>VLOOKUP(Table9[[#This Row],[Shortname]], Comp[], 10, FALSE)</f>
        <v>4.0999999999999996</v>
      </c>
      <c r="N1386">
        <f>VLOOKUP(Table9[[#This Row],[Shortname]], Comp[], 11, FALSE)</f>
        <v>5.7</v>
      </c>
      <c r="O1386">
        <f>VLOOKUP(Table9[[#This Row],[Shortname]], Comp[],12, FALSE)</f>
        <v>0</v>
      </c>
      <c r="P1386">
        <f>VLOOKUP(Table9[[#This Row],[Shortname]], Comp[], 13, FALSE)</f>
        <v>0</v>
      </c>
      <c r="Q1386">
        <f>VLOOKUP(Table9[[#This Row],[Shortname]], Comp[], 14, FALSE)</f>
        <v>0</v>
      </c>
      <c r="R1386">
        <f>VLOOKUP(Table9[[#This Row],[Shortname]], Comp[], 15, FALSE)</f>
        <v>0</v>
      </c>
      <c r="S1386">
        <f>VLOOKUP(Table9[[#This Row],[Shortname]], Comp[], 16, FALSE)</f>
        <v>0</v>
      </c>
      <c r="T1386">
        <f>VLOOKUP(Table9[[#This Row],[Shortname]], Comp[], 17, FALSE)</f>
        <v>0</v>
      </c>
      <c r="U1386">
        <f>VLOOKUP(Table9[[#This Row],[Shortname]], Comp[], 18, FALSE)</f>
        <v>0</v>
      </c>
      <c r="V1386">
        <f>VLOOKUP(Table9[[#This Row],[Shortname]], Comp[], 19, FALSE)</f>
        <v>0</v>
      </c>
      <c r="W1386">
        <f>VLOOKUP(Table9[[#This Row],[Shortname]], Comp[], 20, FALSE)</f>
        <v>0</v>
      </c>
      <c r="X1386">
        <f>VLOOKUP(Table9[[#This Row],[Shortname]], Comp[], 21, FALSE)</f>
        <v>0</v>
      </c>
      <c r="Y1386">
        <f>VLOOKUP(Table9[[#This Row],[Shortname]], Comp[], 22, FALSE)</f>
        <v>0</v>
      </c>
      <c r="Z1386">
        <f>VLOOKUP(Table9[[#This Row],[Shortname]], Comp[], 23, FALSE)</f>
        <v>12.3</v>
      </c>
      <c r="AA1386">
        <f>VLOOKUP(Table9[[#This Row],[Shortname]], Comp[], 24, FALSE)</f>
        <v>0</v>
      </c>
      <c r="AB1386">
        <f>VLOOKUP(Table9[[#This Row],[Shortname]], Comp[], 25, FALSE)</f>
        <v>0</v>
      </c>
      <c r="AC1386">
        <f>VLOOKUP(Table9[[#This Row],[Shortname]], Comp[], 26, FALSE)</f>
        <v>0</v>
      </c>
      <c r="AD1386">
        <f>VLOOKUP(Table9[[#This Row],[Shortname]], Comp[], 27, FALSE)</f>
        <v>0</v>
      </c>
      <c r="AE1386">
        <f>VLOOKUP(Table9[[#This Row],[Shortname]], Comp[], 28, FALSE)</f>
        <v>0</v>
      </c>
      <c r="AF1386">
        <f>VLOOKUP(Table9[[#This Row],[Shortname]], Comp[], 29, FALSE)</f>
        <v>0</v>
      </c>
      <c r="AG1386">
        <f>VLOOKUP(Table9[[#This Row],[Shortname]], Comp[], 30, FALSE)</f>
        <v>0</v>
      </c>
      <c r="AH1386">
        <f>VLOOKUP(Table9[[#This Row],[Shortname]], Comp[], 31, FALSE)</f>
        <v>0</v>
      </c>
    </row>
    <row r="1387" spans="1:34" x14ac:dyDescent="0.3">
      <c r="A1387" t="s">
        <v>6514</v>
      </c>
      <c r="B1387" t="s">
        <v>6515</v>
      </c>
      <c r="C1387" t="s">
        <v>6504</v>
      </c>
      <c r="D1387">
        <v>390</v>
      </c>
      <c r="E1387">
        <v>850</v>
      </c>
      <c r="F1387">
        <v>1E-4</v>
      </c>
      <c r="G1387">
        <v>1</v>
      </c>
      <c r="I1387">
        <f>VLOOKUP(Table9[[#This Row],[Shortname]], Comp[], 6, FALSE)</f>
        <v>1091</v>
      </c>
      <c r="J1387" s="14">
        <f>VLOOKUP(Table9[[#This Row],[Shortname]], Comp[], 7, FALSE)</f>
        <v>38.199999999999989</v>
      </c>
      <c r="K1387">
        <f>VLOOKUP(Table9[[#This Row],[Shortname]], Comp[], 8, FALSE)</f>
        <v>29.3</v>
      </c>
      <c r="L1387">
        <f>VLOOKUP(Table9[[#This Row],[Shortname]], Comp[], 9, FALSE)</f>
        <v>10.4</v>
      </c>
      <c r="M1387">
        <f>VLOOKUP(Table9[[#This Row],[Shortname]], Comp[], 10, FALSE)</f>
        <v>4.0999999999999996</v>
      </c>
      <c r="N1387">
        <f>VLOOKUP(Table9[[#This Row],[Shortname]], Comp[], 11, FALSE)</f>
        <v>5.7</v>
      </c>
      <c r="O1387">
        <f>VLOOKUP(Table9[[#This Row],[Shortname]], Comp[],12, FALSE)</f>
        <v>0</v>
      </c>
      <c r="P1387">
        <f>VLOOKUP(Table9[[#This Row],[Shortname]], Comp[], 13, FALSE)</f>
        <v>0</v>
      </c>
      <c r="Q1387">
        <f>VLOOKUP(Table9[[#This Row],[Shortname]], Comp[], 14, FALSE)</f>
        <v>0</v>
      </c>
      <c r="R1387">
        <f>VLOOKUP(Table9[[#This Row],[Shortname]], Comp[], 15, FALSE)</f>
        <v>0</v>
      </c>
      <c r="S1387">
        <f>VLOOKUP(Table9[[#This Row],[Shortname]], Comp[], 16, FALSE)</f>
        <v>0</v>
      </c>
      <c r="T1387">
        <f>VLOOKUP(Table9[[#This Row],[Shortname]], Comp[], 17, FALSE)</f>
        <v>0</v>
      </c>
      <c r="U1387">
        <f>VLOOKUP(Table9[[#This Row],[Shortname]], Comp[], 18, FALSE)</f>
        <v>0</v>
      </c>
      <c r="V1387">
        <f>VLOOKUP(Table9[[#This Row],[Shortname]], Comp[], 19, FALSE)</f>
        <v>0</v>
      </c>
      <c r="W1387">
        <f>VLOOKUP(Table9[[#This Row],[Shortname]], Comp[], 20, FALSE)</f>
        <v>0</v>
      </c>
      <c r="X1387">
        <f>VLOOKUP(Table9[[#This Row],[Shortname]], Comp[], 21, FALSE)</f>
        <v>0</v>
      </c>
      <c r="Y1387">
        <f>VLOOKUP(Table9[[#This Row],[Shortname]], Comp[], 22, FALSE)</f>
        <v>0</v>
      </c>
      <c r="Z1387">
        <f>VLOOKUP(Table9[[#This Row],[Shortname]], Comp[], 23, FALSE)</f>
        <v>12.3</v>
      </c>
      <c r="AA1387">
        <f>VLOOKUP(Table9[[#This Row],[Shortname]], Comp[], 24, FALSE)</f>
        <v>0</v>
      </c>
      <c r="AB1387">
        <f>VLOOKUP(Table9[[#This Row],[Shortname]], Comp[], 25, FALSE)</f>
        <v>0</v>
      </c>
      <c r="AC1387">
        <f>VLOOKUP(Table9[[#This Row],[Shortname]], Comp[], 26, FALSE)</f>
        <v>0</v>
      </c>
      <c r="AD1387">
        <f>VLOOKUP(Table9[[#This Row],[Shortname]], Comp[], 27, FALSE)</f>
        <v>0</v>
      </c>
      <c r="AE1387">
        <f>VLOOKUP(Table9[[#This Row],[Shortname]], Comp[], 28, FALSE)</f>
        <v>0</v>
      </c>
      <c r="AF1387">
        <f>VLOOKUP(Table9[[#This Row],[Shortname]], Comp[], 29, FALSE)</f>
        <v>0</v>
      </c>
      <c r="AG1387">
        <f>VLOOKUP(Table9[[#This Row],[Shortname]], Comp[], 30, FALSE)</f>
        <v>0</v>
      </c>
      <c r="AH1387">
        <f>VLOOKUP(Table9[[#This Row],[Shortname]], Comp[], 31, FALSE)</f>
        <v>0</v>
      </c>
    </row>
    <row r="1388" spans="1:34" x14ac:dyDescent="0.3">
      <c r="A1388" t="s">
        <v>6514</v>
      </c>
      <c r="B1388" t="s">
        <v>6515</v>
      </c>
      <c r="C1388" t="s">
        <v>6504</v>
      </c>
      <c r="D1388">
        <v>313</v>
      </c>
      <c r="E1388">
        <v>900</v>
      </c>
      <c r="F1388">
        <v>1E-4</v>
      </c>
      <c r="G1388">
        <v>1</v>
      </c>
      <c r="I1388">
        <f>VLOOKUP(Table9[[#This Row],[Shortname]], Comp[], 6, FALSE)</f>
        <v>1091</v>
      </c>
      <c r="J1388" s="14">
        <f>VLOOKUP(Table9[[#This Row],[Shortname]], Comp[], 7, FALSE)</f>
        <v>38.199999999999989</v>
      </c>
      <c r="K1388">
        <f>VLOOKUP(Table9[[#This Row],[Shortname]], Comp[], 8, FALSE)</f>
        <v>29.3</v>
      </c>
      <c r="L1388">
        <f>VLOOKUP(Table9[[#This Row],[Shortname]], Comp[], 9, FALSE)</f>
        <v>10.4</v>
      </c>
      <c r="M1388">
        <f>VLOOKUP(Table9[[#This Row],[Shortname]], Comp[], 10, FALSE)</f>
        <v>4.0999999999999996</v>
      </c>
      <c r="N1388">
        <f>VLOOKUP(Table9[[#This Row],[Shortname]], Comp[], 11, FALSE)</f>
        <v>5.7</v>
      </c>
      <c r="O1388">
        <f>VLOOKUP(Table9[[#This Row],[Shortname]], Comp[],12, FALSE)</f>
        <v>0</v>
      </c>
      <c r="P1388">
        <f>VLOOKUP(Table9[[#This Row],[Shortname]], Comp[], 13, FALSE)</f>
        <v>0</v>
      </c>
      <c r="Q1388">
        <f>VLOOKUP(Table9[[#This Row],[Shortname]], Comp[], 14, FALSE)</f>
        <v>0</v>
      </c>
      <c r="R1388">
        <f>VLOOKUP(Table9[[#This Row],[Shortname]], Comp[], 15, FALSE)</f>
        <v>0</v>
      </c>
      <c r="S1388">
        <f>VLOOKUP(Table9[[#This Row],[Shortname]], Comp[], 16, FALSE)</f>
        <v>0</v>
      </c>
      <c r="T1388">
        <f>VLOOKUP(Table9[[#This Row],[Shortname]], Comp[], 17, FALSE)</f>
        <v>0</v>
      </c>
      <c r="U1388">
        <f>VLOOKUP(Table9[[#This Row],[Shortname]], Comp[], 18, FALSE)</f>
        <v>0</v>
      </c>
      <c r="V1388">
        <f>VLOOKUP(Table9[[#This Row],[Shortname]], Comp[], 19, FALSE)</f>
        <v>0</v>
      </c>
      <c r="W1388">
        <f>VLOOKUP(Table9[[#This Row],[Shortname]], Comp[], 20, FALSE)</f>
        <v>0</v>
      </c>
      <c r="X1388">
        <f>VLOOKUP(Table9[[#This Row],[Shortname]], Comp[], 21, FALSE)</f>
        <v>0</v>
      </c>
      <c r="Y1388">
        <f>VLOOKUP(Table9[[#This Row],[Shortname]], Comp[], 22, FALSE)</f>
        <v>0</v>
      </c>
      <c r="Z1388">
        <f>VLOOKUP(Table9[[#This Row],[Shortname]], Comp[], 23, FALSE)</f>
        <v>12.3</v>
      </c>
      <c r="AA1388">
        <f>VLOOKUP(Table9[[#This Row],[Shortname]], Comp[], 24, FALSE)</f>
        <v>0</v>
      </c>
      <c r="AB1388">
        <f>VLOOKUP(Table9[[#This Row],[Shortname]], Comp[], 25, FALSE)</f>
        <v>0</v>
      </c>
      <c r="AC1388">
        <f>VLOOKUP(Table9[[#This Row],[Shortname]], Comp[], 26, FALSE)</f>
        <v>0</v>
      </c>
      <c r="AD1388">
        <f>VLOOKUP(Table9[[#This Row],[Shortname]], Comp[], 27, FALSE)</f>
        <v>0</v>
      </c>
      <c r="AE1388">
        <f>VLOOKUP(Table9[[#This Row],[Shortname]], Comp[], 28, FALSE)</f>
        <v>0</v>
      </c>
      <c r="AF1388">
        <f>VLOOKUP(Table9[[#This Row],[Shortname]], Comp[], 29, FALSE)</f>
        <v>0</v>
      </c>
      <c r="AG1388">
        <f>VLOOKUP(Table9[[#This Row],[Shortname]], Comp[], 30, FALSE)</f>
        <v>0</v>
      </c>
      <c r="AH1388">
        <f>VLOOKUP(Table9[[#This Row],[Shortname]], Comp[], 31, FALSE)</f>
        <v>0</v>
      </c>
    </row>
    <row r="1389" spans="1:34" x14ac:dyDescent="0.3">
      <c r="A1389" t="s">
        <v>6514</v>
      </c>
      <c r="B1389" t="s">
        <v>6515</v>
      </c>
      <c r="C1389" t="s">
        <v>6504</v>
      </c>
      <c r="D1389">
        <v>120</v>
      </c>
      <c r="E1389">
        <v>950</v>
      </c>
      <c r="F1389">
        <v>1E-4</v>
      </c>
      <c r="G1389">
        <v>1</v>
      </c>
      <c r="I1389">
        <f>VLOOKUP(Table9[[#This Row],[Shortname]], Comp[], 6, FALSE)</f>
        <v>1091</v>
      </c>
      <c r="J1389" s="14">
        <f>VLOOKUP(Table9[[#This Row],[Shortname]], Comp[], 7, FALSE)</f>
        <v>38.199999999999989</v>
      </c>
      <c r="K1389">
        <f>VLOOKUP(Table9[[#This Row],[Shortname]], Comp[], 8, FALSE)</f>
        <v>29.3</v>
      </c>
      <c r="L1389">
        <f>VLOOKUP(Table9[[#This Row],[Shortname]], Comp[], 9, FALSE)</f>
        <v>10.4</v>
      </c>
      <c r="M1389">
        <f>VLOOKUP(Table9[[#This Row],[Shortname]], Comp[], 10, FALSE)</f>
        <v>4.0999999999999996</v>
      </c>
      <c r="N1389">
        <f>VLOOKUP(Table9[[#This Row],[Shortname]], Comp[], 11, FALSE)</f>
        <v>5.7</v>
      </c>
      <c r="O1389">
        <f>VLOOKUP(Table9[[#This Row],[Shortname]], Comp[],12, FALSE)</f>
        <v>0</v>
      </c>
      <c r="P1389">
        <f>VLOOKUP(Table9[[#This Row],[Shortname]], Comp[], 13, FALSE)</f>
        <v>0</v>
      </c>
      <c r="Q1389">
        <f>VLOOKUP(Table9[[#This Row],[Shortname]], Comp[], 14, FALSE)</f>
        <v>0</v>
      </c>
      <c r="R1389">
        <f>VLOOKUP(Table9[[#This Row],[Shortname]], Comp[], 15, FALSE)</f>
        <v>0</v>
      </c>
      <c r="S1389">
        <f>VLOOKUP(Table9[[#This Row],[Shortname]], Comp[], 16, FALSE)</f>
        <v>0</v>
      </c>
      <c r="T1389">
        <f>VLOOKUP(Table9[[#This Row],[Shortname]], Comp[], 17, FALSE)</f>
        <v>0</v>
      </c>
      <c r="U1389">
        <f>VLOOKUP(Table9[[#This Row],[Shortname]], Comp[], 18, FALSE)</f>
        <v>0</v>
      </c>
      <c r="V1389">
        <f>VLOOKUP(Table9[[#This Row],[Shortname]], Comp[], 19, FALSE)</f>
        <v>0</v>
      </c>
      <c r="W1389">
        <f>VLOOKUP(Table9[[#This Row],[Shortname]], Comp[], 20, FALSE)</f>
        <v>0</v>
      </c>
      <c r="X1389">
        <f>VLOOKUP(Table9[[#This Row],[Shortname]], Comp[], 21, FALSE)</f>
        <v>0</v>
      </c>
      <c r="Y1389">
        <f>VLOOKUP(Table9[[#This Row],[Shortname]], Comp[], 22, FALSE)</f>
        <v>0</v>
      </c>
      <c r="Z1389">
        <f>VLOOKUP(Table9[[#This Row],[Shortname]], Comp[], 23, FALSE)</f>
        <v>12.3</v>
      </c>
      <c r="AA1389">
        <f>VLOOKUP(Table9[[#This Row],[Shortname]], Comp[], 24, FALSE)</f>
        <v>0</v>
      </c>
      <c r="AB1389">
        <f>VLOOKUP(Table9[[#This Row],[Shortname]], Comp[], 25, FALSE)</f>
        <v>0</v>
      </c>
      <c r="AC1389">
        <f>VLOOKUP(Table9[[#This Row],[Shortname]], Comp[], 26, FALSE)</f>
        <v>0</v>
      </c>
      <c r="AD1389">
        <f>VLOOKUP(Table9[[#This Row],[Shortname]], Comp[], 27, FALSE)</f>
        <v>0</v>
      </c>
      <c r="AE1389">
        <f>VLOOKUP(Table9[[#This Row],[Shortname]], Comp[], 28, FALSE)</f>
        <v>0</v>
      </c>
      <c r="AF1389">
        <f>VLOOKUP(Table9[[#This Row],[Shortname]], Comp[], 29, FALSE)</f>
        <v>0</v>
      </c>
      <c r="AG1389">
        <f>VLOOKUP(Table9[[#This Row],[Shortname]], Comp[], 30, FALSE)</f>
        <v>0</v>
      </c>
      <c r="AH1389">
        <f>VLOOKUP(Table9[[#This Row],[Shortname]], Comp[], 31, FALSE)</f>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195BD-4157-4BC2-A3F0-42F2A06DD883}">
  <dimension ref="A1:AZ660"/>
  <sheetViews>
    <sheetView tabSelected="1" topLeftCell="R644" workbookViewId="0">
      <selection activeCell="AA662" sqref="AA662"/>
    </sheetView>
  </sheetViews>
  <sheetFormatPr defaultRowHeight="14.4" x14ac:dyDescent="0.3"/>
  <cols>
    <col min="1" max="1" width="11.77734375" customWidth="1"/>
    <col min="2" max="2" width="11.88671875" customWidth="1"/>
    <col min="5" max="5" width="10.21875" customWidth="1"/>
    <col min="8" max="8" width="12.88671875" customWidth="1"/>
    <col min="9" max="11" width="18.33203125" customWidth="1"/>
    <col min="12" max="12" width="14.6640625" customWidth="1"/>
    <col min="14" max="14" width="11.21875" customWidth="1"/>
    <col min="15" max="15" width="14.109375" customWidth="1"/>
    <col min="16" max="16" width="9.77734375" customWidth="1"/>
    <col min="17" max="17" width="14.44140625" customWidth="1"/>
    <col min="18" max="18" width="12.88671875" customWidth="1"/>
    <col min="19" max="19" width="15.44140625" customWidth="1"/>
    <col min="20" max="20" width="13.88671875" customWidth="1"/>
    <col min="21" max="21" width="15.44140625" customWidth="1"/>
    <col min="22" max="22" width="14.5546875" customWidth="1"/>
    <col min="24" max="24" width="12.21875" customWidth="1"/>
    <col min="25" max="25" width="17.33203125" customWidth="1"/>
  </cols>
  <sheetData>
    <row r="1" spans="1:52" x14ac:dyDescent="0.3">
      <c r="A1" t="s">
        <v>6527</v>
      </c>
      <c r="B1" t="s">
        <v>7174</v>
      </c>
      <c r="C1" t="s">
        <v>6532</v>
      </c>
      <c r="D1" t="s">
        <v>7175</v>
      </c>
      <c r="E1" t="s">
        <v>6528</v>
      </c>
      <c r="F1" t="s">
        <v>7017</v>
      </c>
      <c r="G1" t="s">
        <v>6531</v>
      </c>
      <c r="H1" t="s">
        <v>7018</v>
      </c>
      <c r="I1" t="s">
        <v>7176</v>
      </c>
      <c r="J1" t="s">
        <v>7167</v>
      </c>
      <c r="K1" t="s">
        <v>7168</v>
      </c>
      <c r="L1" t="s">
        <v>6583</v>
      </c>
      <c r="M1" t="s">
        <v>7177</v>
      </c>
      <c r="N1" t="s">
        <v>7178</v>
      </c>
      <c r="O1" t="s">
        <v>7179</v>
      </c>
      <c r="P1" t="s">
        <v>7019</v>
      </c>
      <c r="Q1" t="s">
        <v>7020</v>
      </c>
      <c r="R1" t="s">
        <v>7021</v>
      </c>
      <c r="S1" t="s">
        <v>7022</v>
      </c>
      <c r="T1" t="s">
        <v>7023</v>
      </c>
      <c r="U1" t="s">
        <v>7024</v>
      </c>
      <c r="V1" t="s">
        <v>7025</v>
      </c>
      <c r="W1" t="s">
        <v>7026</v>
      </c>
      <c r="X1" t="s">
        <v>7027</v>
      </c>
      <c r="Y1" t="s">
        <v>7169</v>
      </c>
      <c r="Z1" t="s">
        <v>6558</v>
      </c>
      <c r="AA1" t="s">
        <v>7170</v>
      </c>
      <c r="AB1" t="s">
        <v>0</v>
      </c>
      <c r="AC1" t="s">
        <v>6533</v>
      </c>
      <c r="AD1" t="s">
        <v>6534</v>
      </c>
      <c r="AE1" t="s">
        <v>6535</v>
      </c>
      <c r="AF1" t="s">
        <v>6536</v>
      </c>
      <c r="AG1" t="s">
        <v>6537</v>
      </c>
      <c r="AH1" t="s">
        <v>6538</v>
      </c>
      <c r="AI1" t="s">
        <v>6539</v>
      </c>
      <c r="AJ1" t="s">
        <v>6540</v>
      </c>
      <c r="AK1" t="s">
        <v>6541</v>
      </c>
      <c r="AL1" t="s">
        <v>6542</v>
      </c>
      <c r="AM1" t="s">
        <v>6543</v>
      </c>
      <c r="AN1" t="s">
        <v>5865</v>
      </c>
      <c r="AO1" t="s">
        <v>6544</v>
      </c>
      <c r="AP1" t="s">
        <v>6545</v>
      </c>
      <c r="AQ1" t="s">
        <v>6546</v>
      </c>
      <c r="AR1" t="s">
        <v>6547</v>
      </c>
      <c r="AS1" t="s">
        <v>6548</v>
      </c>
      <c r="AT1" t="s">
        <v>6549</v>
      </c>
      <c r="AU1" t="s">
        <v>6550</v>
      </c>
      <c r="AV1" t="s">
        <v>6551</v>
      </c>
      <c r="AW1" t="s">
        <v>6552</v>
      </c>
      <c r="AX1" t="s">
        <v>6553</v>
      </c>
      <c r="AY1" t="s">
        <v>6554</v>
      </c>
      <c r="AZ1" t="s">
        <v>6555</v>
      </c>
    </row>
    <row r="2" spans="1:52" x14ac:dyDescent="0.3">
      <c r="A2" t="s">
        <v>94</v>
      </c>
      <c r="B2">
        <v>48</v>
      </c>
      <c r="C2">
        <v>9</v>
      </c>
      <c r="D2" t="s">
        <v>96</v>
      </c>
      <c r="E2" t="s">
        <v>95</v>
      </c>
      <c r="F2" t="s">
        <v>97</v>
      </c>
      <c r="G2" t="s">
        <v>2930</v>
      </c>
      <c r="H2">
        <v>250</v>
      </c>
      <c r="I2">
        <v>5.1900000000000003E-7</v>
      </c>
      <c r="J2">
        <f>0.01/Table29[[#This Row],[Strain Rate (min) /s]]</f>
        <v>19267.822736030826</v>
      </c>
      <c r="K2">
        <f>LOG(Table29[[#This Row],[Time to 1% strain (s)]])</f>
        <v>4.2848326421515424</v>
      </c>
      <c r="L2">
        <v>850</v>
      </c>
      <c r="M2">
        <v>9.6</v>
      </c>
      <c r="P2" t="s">
        <v>7028</v>
      </c>
      <c r="Q2">
        <v>1300</v>
      </c>
      <c r="R2">
        <v>12</v>
      </c>
      <c r="S2">
        <v>900</v>
      </c>
      <c r="T2">
        <v>200</v>
      </c>
      <c r="W2">
        <v>1</v>
      </c>
      <c r="X2">
        <v>10</v>
      </c>
      <c r="Y2">
        <v>58</v>
      </c>
      <c r="AA2">
        <f>VLOOKUP(Table29[[#This Row],[Shortname]], Comp[], 6, FALSE)</f>
        <v>9</v>
      </c>
      <c r="AB2" s="14">
        <f>VLOOKUP(Table29[[#This Row],[Shortname]], Comp[], 7, FALSE)</f>
        <v>83.5</v>
      </c>
      <c r="AC2">
        <f>VLOOKUP(Table29[[#This Row],[Shortname]], Comp[], 8, FALSE)</f>
        <v>0</v>
      </c>
      <c r="AD2">
        <f>VLOOKUP(Table29[[#This Row],[Shortname]], Comp[], 9, FALSE)</f>
        <v>8.1</v>
      </c>
      <c r="AE2">
        <f>VLOOKUP(Table29[[#This Row],[Shortname]], Comp[], 10, FALSE)</f>
        <v>0</v>
      </c>
      <c r="AF2">
        <f>VLOOKUP(Table29[[#This Row],[Shortname]], Comp[], 11, FALSE)</f>
        <v>8.4</v>
      </c>
      <c r="AG2">
        <f>VLOOKUP(Table29[[#This Row],[Shortname]], Comp[],12, FALSE)</f>
        <v>0</v>
      </c>
      <c r="AH2">
        <f>VLOOKUP(Table29[[#This Row],[Shortname]], Comp[], 13, FALSE)</f>
        <v>0</v>
      </c>
      <c r="AI2">
        <f>VLOOKUP(Table29[[#This Row],[Shortname]], Comp[], 14, FALSE)</f>
        <v>0</v>
      </c>
      <c r="AJ2">
        <f>VLOOKUP(Table29[[#This Row],[Shortname]], Comp[], 15, FALSE)</f>
        <v>0</v>
      </c>
      <c r="AK2">
        <f>VLOOKUP(Table29[[#This Row],[Shortname]], Comp[], 16, FALSE)</f>
        <v>0</v>
      </c>
      <c r="AL2">
        <f>VLOOKUP(Table29[[#This Row],[Shortname]], Comp[], 17, FALSE)</f>
        <v>0</v>
      </c>
      <c r="AM2">
        <f>VLOOKUP(Table29[[#This Row],[Shortname]], Comp[], 18, FALSE)</f>
        <v>0</v>
      </c>
      <c r="AN2">
        <f>VLOOKUP(Table29[[#This Row],[Shortname]], Comp[], 19, FALSE)</f>
        <v>0</v>
      </c>
      <c r="AO2">
        <f>VLOOKUP(Table29[[#This Row],[Shortname]], Comp[], 20, FALSE)</f>
        <v>0</v>
      </c>
      <c r="AP2">
        <f>VLOOKUP(Table29[[#This Row],[Shortname]], Comp[], 21, FALSE)</f>
        <v>0</v>
      </c>
      <c r="AQ2">
        <f>VLOOKUP(Table29[[#This Row],[Shortname]], Comp[], 22, FALSE)</f>
        <v>0</v>
      </c>
      <c r="AR2">
        <f>VLOOKUP(Table29[[#This Row],[Shortname]], Comp[], 23, FALSE)</f>
        <v>0</v>
      </c>
      <c r="AS2">
        <f>VLOOKUP(Table29[[#This Row],[Shortname]], Comp[], 24, FALSE)</f>
        <v>0</v>
      </c>
      <c r="AT2">
        <f>VLOOKUP(Table29[[#This Row],[Shortname]], Comp[], 25, FALSE)</f>
        <v>0</v>
      </c>
      <c r="AU2">
        <f>VLOOKUP(Table29[[#This Row],[Shortname]], Comp[], 26, FALSE)</f>
        <v>0</v>
      </c>
      <c r="AV2">
        <f>VLOOKUP(Table29[[#This Row],[Shortname]], Comp[], 27, FALSE)</f>
        <v>0</v>
      </c>
      <c r="AW2">
        <f>VLOOKUP(Table29[[#This Row],[Shortname]], Comp[], 28, FALSE)</f>
        <v>0</v>
      </c>
      <c r="AX2">
        <f>VLOOKUP(Table29[[#This Row],[Shortname]], Comp[], 29, FALSE)</f>
        <v>0</v>
      </c>
      <c r="AY2">
        <f>VLOOKUP(Table29[[#This Row],[Shortname]], Comp[], 30, FALSE)</f>
        <v>0</v>
      </c>
      <c r="AZ2">
        <f>VLOOKUP(Table29[[#This Row],[Shortname]], Comp[], 31, FALSE)</f>
        <v>0</v>
      </c>
    </row>
    <row r="3" spans="1:52" x14ac:dyDescent="0.3">
      <c r="A3" t="s">
        <v>94</v>
      </c>
      <c r="B3">
        <v>216</v>
      </c>
      <c r="C3">
        <v>9</v>
      </c>
      <c r="D3" t="s">
        <v>11</v>
      </c>
      <c r="E3" t="s">
        <v>95</v>
      </c>
      <c r="F3" t="s">
        <v>97</v>
      </c>
      <c r="G3" t="s">
        <v>2932</v>
      </c>
      <c r="H3">
        <v>350</v>
      </c>
      <c r="I3">
        <v>3.5100000000000003E-8</v>
      </c>
      <c r="J3">
        <f>0.01/Table29[[#This Row],[Strain Rate (min) /s]]</f>
        <v>284900.2849002849</v>
      </c>
      <c r="K3">
        <f>LOG(Table29[[#This Row],[Time to 1% strain (s)]])</f>
        <v>5.4546928835341761</v>
      </c>
      <c r="L3">
        <v>850</v>
      </c>
      <c r="M3">
        <v>9.6</v>
      </c>
      <c r="P3" t="s">
        <v>7028</v>
      </c>
      <c r="Q3">
        <v>1300</v>
      </c>
      <c r="R3">
        <v>12</v>
      </c>
      <c r="S3">
        <v>900</v>
      </c>
      <c r="T3">
        <v>200</v>
      </c>
      <c r="W3">
        <v>1</v>
      </c>
      <c r="X3">
        <v>10</v>
      </c>
      <c r="Y3">
        <v>58</v>
      </c>
      <c r="Z3" t="s">
        <v>7029</v>
      </c>
      <c r="AA3">
        <f>VLOOKUP(Table29[[#This Row],[Shortname]], Comp[], 6, FALSE)</f>
        <v>9</v>
      </c>
      <c r="AB3" s="14">
        <f>VLOOKUP(Table29[[#This Row],[Shortname]], Comp[], 7, FALSE)</f>
        <v>83.5</v>
      </c>
      <c r="AC3">
        <f>VLOOKUP(Table29[[#This Row],[Shortname]], Comp[], 8, FALSE)</f>
        <v>0</v>
      </c>
      <c r="AD3">
        <f>VLOOKUP(Table29[[#This Row],[Shortname]], Comp[], 9, FALSE)</f>
        <v>8.1</v>
      </c>
      <c r="AE3">
        <f>VLOOKUP(Table29[[#This Row],[Shortname]], Comp[], 10, FALSE)</f>
        <v>0</v>
      </c>
      <c r="AF3">
        <f>VLOOKUP(Table29[[#This Row],[Shortname]], Comp[], 11, FALSE)</f>
        <v>8.4</v>
      </c>
      <c r="AG3">
        <f>VLOOKUP(Table29[[#This Row],[Shortname]], Comp[],12, FALSE)</f>
        <v>0</v>
      </c>
      <c r="AH3">
        <f>VLOOKUP(Table29[[#This Row],[Shortname]], Comp[], 13, FALSE)</f>
        <v>0</v>
      </c>
      <c r="AI3">
        <f>VLOOKUP(Table29[[#This Row],[Shortname]], Comp[], 14, FALSE)</f>
        <v>0</v>
      </c>
      <c r="AJ3">
        <f>VLOOKUP(Table29[[#This Row],[Shortname]], Comp[], 15, FALSE)</f>
        <v>0</v>
      </c>
      <c r="AK3">
        <f>VLOOKUP(Table29[[#This Row],[Shortname]], Comp[], 16, FALSE)</f>
        <v>0</v>
      </c>
      <c r="AL3">
        <f>VLOOKUP(Table29[[#This Row],[Shortname]], Comp[], 17, FALSE)</f>
        <v>0</v>
      </c>
      <c r="AM3">
        <f>VLOOKUP(Table29[[#This Row],[Shortname]], Comp[], 18, FALSE)</f>
        <v>0</v>
      </c>
      <c r="AN3">
        <f>VLOOKUP(Table29[[#This Row],[Shortname]], Comp[], 19, FALSE)</f>
        <v>0</v>
      </c>
      <c r="AO3">
        <f>VLOOKUP(Table29[[#This Row],[Shortname]], Comp[], 20, FALSE)</f>
        <v>0</v>
      </c>
      <c r="AP3">
        <f>VLOOKUP(Table29[[#This Row],[Shortname]], Comp[], 21, FALSE)</f>
        <v>0</v>
      </c>
      <c r="AQ3">
        <f>VLOOKUP(Table29[[#This Row],[Shortname]], Comp[], 22, FALSE)</f>
        <v>0</v>
      </c>
      <c r="AR3">
        <f>VLOOKUP(Table29[[#This Row],[Shortname]], Comp[], 23, FALSE)</f>
        <v>0</v>
      </c>
      <c r="AS3">
        <f>VLOOKUP(Table29[[#This Row],[Shortname]], Comp[], 24, FALSE)</f>
        <v>0</v>
      </c>
      <c r="AT3">
        <f>VLOOKUP(Table29[[#This Row],[Shortname]], Comp[], 25, FALSE)</f>
        <v>0</v>
      </c>
      <c r="AU3">
        <f>VLOOKUP(Table29[[#This Row],[Shortname]], Comp[], 26, FALSE)</f>
        <v>0</v>
      </c>
      <c r="AV3">
        <f>VLOOKUP(Table29[[#This Row],[Shortname]], Comp[], 27, FALSE)</f>
        <v>0</v>
      </c>
      <c r="AW3">
        <f>VLOOKUP(Table29[[#This Row],[Shortname]], Comp[], 28, FALSE)</f>
        <v>0</v>
      </c>
      <c r="AX3">
        <f>VLOOKUP(Table29[[#This Row],[Shortname]], Comp[], 29, FALSE)</f>
        <v>0</v>
      </c>
      <c r="AY3">
        <f>VLOOKUP(Table29[[#This Row],[Shortname]], Comp[], 30, FALSE)</f>
        <v>0</v>
      </c>
      <c r="AZ3">
        <f>VLOOKUP(Table29[[#This Row],[Shortname]], Comp[], 31, FALSE)</f>
        <v>0</v>
      </c>
    </row>
    <row r="4" spans="1:52" x14ac:dyDescent="0.3">
      <c r="A4" t="s">
        <v>94</v>
      </c>
      <c r="B4">
        <v>217</v>
      </c>
      <c r="C4">
        <v>9</v>
      </c>
      <c r="D4" t="s">
        <v>11</v>
      </c>
      <c r="E4" t="s">
        <v>95</v>
      </c>
      <c r="F4" t="s">
        <v>97</v>
      </c>
      <c r="G4" t="s">
        <v>2932</v>
      </c>
      <c r="H4">
        <v>400</v>
      </c>
      <c r="I4">
        <v>1.14E-7</v>
      </c>
      <c r="J4">
        <f>0.01/Table29[[#This Row],[Strain Rate (min) /s]]</f>
        <v>87719.298245614031</v>
      </c>
      <c r="K4">
        <f>LOG(Table29[[#This Row],[Time to 1% strain (s)]])</f>
        <v>4.9430951486635273</v>
      </c>
      <c r="L4">
        <v>850</v>
      </c>
      <c r="M4">
        <v>9.6</v>
      </c>
      <c r="P4" t="s">
        <v>7028</v>
      </c>
      <c r="Q4">
        <v>1300</v>
      </c>
      <c r="R4">
        <v>12</v>
      </c>
      <c r="S4">
        <v>900</v>
      </c>
      <c r="T4">
        <v>200</v>
      </c>
      <c r="W4">
        <v>1</v>
      </c>
      <c r="X4">
        <v>10</v>
      </c>
      <c r="Y4">
        <v>58</v>
      </c>
      <c r="Z4" t="s">
        <v>7029</v>
      </c>
      <c r="AA4">
        <f>VLOOKUP(Table29[[#This Row],[Shortname]], Comp[], 6, FALSE)</f>
        <v>9</v>
      </c>
      <c r="AB4" s="14">
        <f>VLOOKUP(Table29[[#This Row],[Shortname]], Comp[], 7, FALSE)</f>
        <v>83.5</v>
      </c>
      <c r="AC4">
        <f>VLOOKUP(Table29[[#This Row],[Shortname]], Comp[], 8, FALSE)</f>
        <v>0</v>
      </c>
      <c r="AD4">
        <f>VLOOKUP(Table29[[#This Row],[Shortname]], Comp[], 9, FALSE)</f>
        <v>8.1</v>
      </c>
      <c r="AE4">
        <f>VLOOKUP(Table29[[#This Row],[Shortname]], Comp[], 10, FALSE)</f>
        <v>0</v>
      </c>
      <c r="AF4">
        <f>VLOOKUP(Table29[[#This Row],[Shortname]], Comp[], 11, FALSE)</f>
        <v>8.4</v>
      </c>
      <c r="AG4">
        <f>VLOOKUP(Table29[[#This Row],[Shortname]], Comp[],12, FALSE)</f>
        <v>0</v>
      </c>
      <c r="AH4">
        <f>VLOOKUP(Table29[[#This Row],[Shortname]], Comp[], 13, FALSE)</f>
        <v>0</v>
      </c>
      <c r="AI4">
        <f>VLOOKUP(Table29[[#This Row],[Shortname]], Comp[], 14, FALSE)</f>
        <v>0</v>
      </c>
      <c r="AJ4">
        <f>VLOOKUP(Table29[[#This Row],[Shortname]], Comp[], 15, FALSE)</f>
        <v>0</v>
      </c>
      <c r="AK4">
        <f>VLOOKUP(Table29[[#This Row],[Shortname]], Comp[], 16, FALSE)</f>
        <v>0</v>
      </c>
      <c r="AL4">
        <f>VLOOKUP(Table29[[#This Row],[Shortname]], Comp[], 17, FALSE)</f>
        <v>0</v>
      </c>
      <c r="AM4">
        <f>VLOOKUP(Table29[[#This Row],[Shortname]], Comp[], 18, FALSE)</f>
        <v>0</v>
      </c>
      <c r="AN4">
        <f>VLOOKUP(Table29[[#This Row],[Shortname]], Comp[], 19, FALSE)</f>
        <v>0</v>
      </c>
      <c r="AO4">
        <f>VLOOKUP(Table29[[#This Row],[Shortname]], Comp[], 20, FALSE)</f>
        <v>0</v>
      </c>
      <c r="AP4">
        <f>VLOOKUP(Table29[[#This Row],[Shortname]], Comp[], 21, FALSE)</f>
        <v>0</v>
      </c>
      <c r="AQ4">
        <f>VLOOKUP(Table29[[#This Row],[Shortname]], Comp[], 22, FALSE)</f>
        <v>0</v>
      </c>
      <c r="AR4">
        <f>VLOOKUP(Table29[[#This Row],[Shortname]], Comp[], 23, FALSE)</f>
        <v>0</v>
      </c>
      <c r="AS4">
        <f>VLOOKUP(Table29[[#This Row],[Shortname]], Comp[], 24, FALSE)</f>
        <v>0</v>
      </c>
      <c r="AT4">
        <f>VLOOKUP(Table29[[#This Row],[Shortname]], Comp[], 25, FALSE)</f>
        <v>0</v>
      </c>
      <c r="AU4">
        <f>VLOOKUP(Table29[[#This Row],[Shortname]], Comp[], 26, FALSE)</f>
        <v>0</v>
      </c>
      <c r="AV4">
        <f>VLOOKUP(Table29[[#This Row],[Shortname]], Comp[], 27, FALSE)</f>
        <v>0</v>
      </c>
      <c r="AW4">
        <f>VLOOKUP(Table29[[#This Row],[Shortname]], Comp[], 28, FALSE)</f>
        <v>0</v>
      </c>
      <c r="AX4">
        <f>VLOOKUP(Table29[[#This Row],[Shortname]], Comp[], 29, FALSE)</f>
        <v>0</v>
      </c>
      <c r="AY4">
        <f>VLOOKUP(Table29[[#This Row],[Shortname]], Comp[], 30, FALSE)</f>
        <v>0</v>
      </c>
      <c r="AZ4">
        <f>VLOOKUP(Table29[[#This Row],[Shortname]], Comp[], 31, FALSE)</f>
        <v>0</v>
      </c>
    </row>
    <row r="5" spans="1:52" x14ac:dyDescent="0.3">
      <c r="A5" t="s">
        <v>94</v>
      </c>
      <c r="B5">
        <v>218</v>
      </c>
      <c r="C5">
        <v>9</v>
      </c>
      <c r="D5" t="s">
        <v>11</v>
      </c>
      <c r="E5" t="s">
        <v>95</v>
      </c>
      <c r="F5" t="s">
        <v>97</v>
      </c>
      <c r="G5" t="s">
        <v>2932</v>
      </c>
      <c r="H5">
        <v>450</v>
      </c>
      <c r="I5">
        <v>7.8000000000000005E-7</v>
      </c>
      <c r="J5">
        <f>0.01/Table29[[#This Row],[Strain Rate (min) /s]]</f>
        <v>12820.51282051282</v>
      </c>
      <c r="K5">
        <f>LOG(Table29[[#This Row],[Time to 1% strain (s)]])</f>
        <v>4.1079053973095192</v>
      </c>
      <c r="L5">
        <v>850</v>
      </c>
      <c r="M5">
        <v>9.6</v>
      </c>
      <c r="P5" t="s">
        <v>7028</v>
      </c>
      <c r="Q5">
        <v>1300</v>
      </c>
      <c r="R5">
        <v>12</v>
      </c>
      <c r="S5">
        <v>900</v>
      </c>
      <c r="T5">
        <v>200</v>
      </c>
      <c r="W5">
        <v>1</v>
      </c>
      <c r="X5">
        <v>10</v>
      </c>
      <c r="Y5">
        <v>58</v>
      </c>
      <c r="Z5" t="s">
        <v>7029</v>
      </c>
      <c r="AA5">
        <f>VLOOKUP(Table29[[#This Row],[Shortname]], Comp[], 6, FALSE)</f>
        <v>9</v>
      </c>
      <c r="AB5" s="14">
        <f>VLOOKUP(Table29[[#This Row],[Shortname]], Comp[], 7, FALSE)</f>
        <v>83.5</v>
      </c>
      <c r="AC5">
        <f>VLOOKUP(Table29[[#This Row],[Shortname]], Comp[], 8, FALSE)</f>
        <v>0</v>
      </c>
      <c r="AD5">
        <f>VLOOKUP(Table29[[#This Row],[Shortname]], Comp[], 9, FALSE)</f>
        <v>8.1</v>
      </c>
      <c r="AE5">
        <f>VLOOKUP(Table29[[#This Row],[Shortname]], Comp[], 10, FALSE)</f>
        <v>0</v>
      </c>
      <c r="AF5">
        <f>VLOOKUP(Table29[[#This Row],[Shortname]], Comp[], 11, FALSE)</f>
        <v>8.4</v>
      </c>
      <c r="AG5">
        <f>VLOOKUP(Table29[[#This Row],[Shortname]], Comp[],12, FALSE)</f>
        <v>0</v>
      </c>
      <c r="AH5">
        <f>VLOOKUP(Table29[[#This Row],[Shortname]], Comp[], 13, FALSE)</f>
        <v>0</v>
      </c>
      <c r="AI5">
        <f>VLOOKUP(Table29[[#This Row],[Shortname]], Comp[], 14, FALSE)</f>
        <v>0</v>
      </c>
      <c r="AJ5">
        <f>VLOOKUP(Table29[[#This Row],[Shortname]], Comp[], 15, FALSE)</f>
        <v>0</v>
      </c>
      <c r="AK5">
        <f>VLOOKUP(Table29[[#This Row],[Shortname]], Comp[], 16, FALSE)</f>
        <v>0</v>
      </c>
      <c r="AL5">
        <f>VLOOKUP(Table29[[#This Row],[Shortname]], Comp[], 17, FALSE)</f>
        <v>0</v>
      </c>
      <c r="AM5">
        <f>VLOOKUP(Table29[[#This Row],[Shortname]], Comp[], 18, FALSE)</f>
        <v>0</v>
      </c>
      <c r="AN5">
        <f>VLOOKUP(Table29[[#This Row],[Shortname]], Comp[], 19, FALSE)</f>
        <v>0</v>
      </c>
      <c r="AO5">
        <f>VLOOKUP(Table29[[#This Row],[Shortname]], Comp[], 20, FALSE)</f>
        <v>0</v>
      </c>
      <c r="AP5">
        <f>VLOOKUP(Table29[[#This Row],[Shortname]], Comp[], 21, FALSE)</f>
        <v>0</v>
      </c>
      <c r="AQ5">
        <f>VLOOKUP(Table29[[#This Row],[Shortname]], Comp[], 22, FALSE)</f>
        <v>0</v>
      </c>
      <c r="AR5">
        <f>VLOOKUP(Table29[[#This Row],[Shortname]], Comp[], 23, FALSE)</f>
        <v>0</v>
      </c>
      <c r="AS5">
        <f>VLOOKUP(Table29[[#This Row],[Shortname]], Comp[], 24, FALSE)</f>
        <v>0</v>
      </c>
      <c r="AT5">
        <f>VLOOKUP(Table29[[#This Row],[Shortname]], Comp[], 25, FALSE)</f>
        <v>0</v>
      </c>
      <c r="AU5">
        <f>VLOOKUP(Table29[[#This Row],[Shortname]], Comp[], 26, FALSE)</f>
        <v>0</v>
      </c>
      <c r="AV5">
        <f>VLOOKUP(Table29[[#This Row],[Shortname]], Comp[], 27, FALSE)</f>
        <v>0</v>
      </c>
      <c r="AW5">
        <f>VLOOKUP(Table29[[#This Row],[Shortname]], Comp[], 28, FALSE)</f>
        <v>0</v>
      </c>
      <c r="AX5">
        <f>VLOOKUP(Table29[[#This Row],[Shortname]], Comp[], 29, FALSE)</f>
        <v>0</v>
      </c>
      <c r="AY5">
        <f>VLOOKUP(Table29[[#This Row],[Shortname]], Comp[], 30, FALSE)</f>
        <v>0</v>
      </c>
      <c r="AZ5">
        <f>VLOOKUP(Table29[[#This Row],[Shortname]], Comp[], 31, FALSE)</f>
        <v>0</v>
      </c>
    </row>
    <row r="6" spans="1:52" x14ac:dyDescent="0.3">
      <c r="A6" t="s">
        <v>94</v>
      </c>
      <c r="B6">
        <v>219</v>
      </c>
      <c r="C6">
        <v>9</v>
      </c>
      <c r="D6" t="s">
        <v>11</v>
      </c>
      <c r="E6" t="s">
        <v>95</v>
      </c>
      <c r="F6" t="s">
        <v>97</v>
      </c>
      <c r="G6" t="s">
        <v>2932</v>
      </c>
      <c r="H6">
        <v>500</v>
      </c>
      <c r="I6">
        <v>2.8499999999999998E-6</v>
      </c>
      <c r="J6">
        <f>0.01/Table29[[#This Row],[Strain Rate (min) /s]]</f>
        <v>3508.7719298245615</v>
      </c>
      <c r="K6">
        <f>LOG(Table29[[#This Row],[Time to 1% strain (s)]])</f>
        <v>3.5451551399914898</v>
      </c>
      <c r="L6">
        <v>850</v>
      </c>
      <c r="M6">
        <v>9.6</v>
      </c>
      <c r="P6" t="s">
        <v>7028</v>
      </c>
      <c r="Q6">
        <v>1300</v>
      </c>
      <c r="R6">
        <v>12</v>
      </c>
      <c r="S6">
        <v>900</v>
      </c>
      <c r="T6">
        <v>200</v>
      </c>
      <c r="W6">
        <v>1</v>
      </c>
      <c r="X6">
        <v>10</v>
      </c>
      <c r="Y6">
        <v>58</v>
      </c>
      <c r="Z6" t="s">
        <v>7029</v>
      </c>
      <c r="AA6">
        <f>VLOOKUP(Table29[[#This Row],[Shortname]], Comp[], 6, FALSE)</f>
        <v>9</v>
      </c>
      <c r="AB6" s="14">
        <f>VLOOKUP(Table29[[#This Row],[Shortname]], Comp[], 7, FALSE)</f>
        <v>83.5</v>
      </c>
      <c r="AC6">
        <f>VLOOKUP(Table29[[#This Row],[Shortname]], Comp[], 8, FALSE)</f>
        <v>0</v>
      </c>
      <c r="AD6">
        <f>VLOOKUP(Table29[[#This Row],[Shortname]], Comp[], 9, FALSE)</f>
        <v>8.1</v>
      </c>
      <c r="AE6">
        <f>VLOOKUP(Table29[[#This Row],[Shortname]], Comp[], 10, FALSE)</f>
        <v>0</v>
      </c>
      <c r="AF6">
        <f>VLOOKUP(Table29[[#This Row],[Shortname]], Comp[], 11, FALSE)</f>
        <v>8.4</v>
      </c>
      <c r="AG6">
        <f>VLOOKUP(Table29[[#This Row],[Shortname]], Comp[],12, FALSE)</f>
        <v>0</v>
      </c>
      <c r="AH6">
        <f>VLOOKUP(Table29[[#This Row],[Shortname]], Comp[], 13, FALSE)</f>
        <v>0</v>
      </c>
      <c r="AI6">
        <f>VLOOKUP(Table29[[#This Row],[Shortname]], Comp[], 14, FALSE)</f>
        <v>0</v>
      </c>
      <c r="AJ6">
        <f>VLOOKUP(Table29[[#This Row],[Shortname]], Comp[], 15, FALSE)</f>
        <v>0</v>
      </c>
      <c r="AK6">
        <f>VLOOKUP(Table29[[#This Row],[Shortname]], Comp[], 16, FALSE)</f>
        <v>0</v>
      </c>
      <c r="AL6">
        <f>VLOOKUP(Table29[[#This Row],[Shortname]], Comp[], 17, FALSE)</f>
        <v>0</v>
      </c>
      <c r="AM6">
        <f>VLOOKUP(Table29[[#This Row],[Shortname]], Comp[], 18, FALSE)</f>
        <v>0</v>
      </c>
      <c r="AN6">
        <f>VLOOKUP(Table29[[#This Row],[Shortname]], Comp[], 19, FALSE)</f>
        <v>0</v>
      </c>
      <c r="AO6">
        <f>VLOOKUP(Table29[[#This Row],[Shortname]], Comp[], 20, FALSE)</f>
        <v>0</v>
      </c>
      <c r="AP6">
        <f>VLOOKUP(Table29[[#This Row],[Shortname]], Comp[], 21, FALSE)</f>
        <v>0</v>
      </c>
      <c r="AQ6">
        <f>VLOOKUP(Table29[[#This Row],[Shortname]], Comp[], 22, FALSE)</f>
        <v>0</v>
      </c>
      <c r="AR6">
        <f>VLOOKUP(Table29[[#This Row],[Shortname]], Comp[], 23, FALSE)</f>
        <v>0</v>
      </c>
      <c r="AS6">
        <f>VLOOKUP(Table29[[#This Row],[Shortname]], Comp[], 24, FALSE)</f>
        <v>0</v>
      </c>
      <c r="AT6">
        <f>VLOOKUP(Table29[[#This Row],[Shortname]], Comp[], 25, FALSE)</f>
        <v>0</v>
      </c>
      <c r="AU6">
        <f>VLOOKUP(Table29[[#This Row],[Shortname]], Comp[], 26, FALSE)</f>
        <v>0</v>
      </c>
      <c r="AV6">
        <f>VLOOKUP(Table29[[#This Row],[Shortname]], Comp[], 27, FALSE)</f>
        <v>0</v>
      </c>
      <c r="AW6">
        <f>VLOOKUP(Table29[[#This Row],[Shortname]], Comp[], 28, FALSE)</f>
        <v>0</v>
      </c>
      <c r="AX6">
        <f>VLOOKUP(Table29[[#This Row],[Shortname]], Comp[], 29, FALSE)</f>
        <v>0</v>
      </c>
      <c r="AY6">
        <f>VLOOKUP(Table29[[#This Row],[Shortname]], Comp[], 30, FALSE)</f>
        <v>0</v>
      </c>
      <c r="AZ6">
        <f>VLOOKUP(Table29[[#This Row],[Shortname]], Comp[], 31, FALSE)</f>
        <v>0</v>
      </c>
    </row>
    <row r="7" spans="1:52" x14ac:dyDescent="0.3">
      <c r="A7" t="s">
        <v>104</v>
      </c>
      <c r="B7">
        <v>55</v>
      </c>
      <c r="C7">
        <v>10</v>
      </c>
      <c r="D7" t="s">
        <v>105</v>
      </c>
      <c r="E7" t="s">
        <v>95</v>
      </c>
      <c r="F7" t="s">
        <v>5343</v>
      </c>
      <c r="G7" t="s">
        <v>351</v>
      </c>
      <c r="H7">
        <v>250</v>
      </c>
      <c r="I7">
        <v>4.5165000000000003E-9</v>
      </c>
      <c r="J7">
        <f>0.01/Table29[[#This Row],[Strain Rate (min) /s]]</f>
        <v>2214103.8414701647</v>
      </c>
      <c r="K7">
        <f>LOG(Table29[[#This Row],[Time to 1% strain (s)]])</f>
        <v>6.3451979854315592</v>
      </c>
      <c r="L7">
        <v>850</v>
      </c>
      <c r="M7">
        <v>6</v>
      </c>
      <c r="P7" t="s">
        <v>7030</v>
      </c>
      <c r="Q7">
        <v>1300</v>
      </c>
      <c r="R7">
        <v>12</v>
      </c>
      <c r="S7">
        <v>900</v>
      </c>
      <c r="T7">
        <v>200</v>
      </c>
      <c r="W7">
        <v>1</v>
      </c>
      <c r="X7">
        <v>10</v>
      </c>
      <c r="Y7">
        <v>81</v>
      </c>
      <c r="AA7">
        <f>VLOOKUP(Table29[[#This Row],[Shortname]], Comp[], 6, FALSE)</f>
        <v>10</v>
      </c>
      <c r="AB7" s="14">
        <f>VLOOKUP(Table29[[#This Row],[Shortname]], Comp[], 7, FALSE)</f>
        <v>78.599999999999994</v>
      </c>
      <c r="AC7">
        <f>VLOOKUP(Table29[[#This Row],[Shortname]], Comp[], 8, FALSE)</f>
        <v>0</v>
      </c>
      <c r="AD7">
        <f>VLOOKUP(Table29[[#This Row],[Shortname]], Comp[], 9, FALSE)</f>
        <v>9.4</v>
      </c>
      <c r="AE7">
        <f>VLOOKUP(Table29[[#This Row],[Shortname]], Comp[], 10, FALSE)</f>
        <v>0</v>
      </c>
      <c r="AF7">
        <f>VLOOKUP(Table29[[#This Row],[Shortname]], Comp[], 11, FALSE)</f>
        <v>10.199999999999999</v>
      </c>
      <c r="AG7">
        <f>VLOOKUP(Table29[[#This Row],[Shortname]], Comp[],12, FALSE)</f>
        <v>0</v>
      </c>
      <c r="AH7">
        <f>VLOOKUP(Table29[[#This Row],[Shortname]], Comp[], 13, FALSE)</f>
        <v>0</v>
      </c>
      <c r="AI7">
        <f>VLOOKUP(Table29[[#This Row],[Shortname]], Comp[], 14, FALSE)</f>
        <v>1.8</v>
      </c>
      <c r="AJ7">
        <f>VLOOKUP(Table29[[#This Row],[Shortname]], Comp[], 15, FALSE)</f>
        <v>0</v>
      </c>
      <c r="AK7">
        <f>VLOOKUP(Table29[[#This Row],[Shortname]], Comp[], 16, FALSE)</f>
        <v>0</v>
      </c>
      <c r="AL7">
        <f>VLOOKUP(Table29[[#This Row],[Shortname]], Comp[], 17, FALSE)</f>
        <v>0</v>
      </c>
      <c r="AM7">
        <f>VLOOKUP(Table29[[#This Row],[Shortname]], Comp[], 18, FALSE)</f>
        <v>0</v>
      </c>
      <c r="AN7">
        <f>VLOOKUP(Table29[[#This Row],[Shortname]], Comp[], 19, FALSE)</f>
        <v>0</v>
      </c>
      <c r="AO7">
        <f>VLOOKUP(Table29[[#This Row],[Shortname]], Comp[], 20, FALSE)</f>
        <v>0</v>
      </c>
      <c r="AP7">
        <f>VLOOKUP(Table29[[#This Row],[Shortname]], Comp[], 21, FALSE)</f>
        <v>0</v>
      </c>
      <c r="AQ7">
        <f>VLOOKUP(Table29[[#This Row],[Shortname]], Comp[], 22, FALSE)</f>
        <v>0</v>
      </c>
      <c r="AR7">
        <f>VLOOKUP(Table29[[#This Row],[Shortname]], Comp[], 23, FALSE)</f>
        <v>0</v>
      </c>
      <c r="AS7">
        <f>VLOOKUP(Table29[[#This Row],[Shortname]], Comp[], 24, FALSE)</f>
        <v>0</v>
      </c>
      <c r="AT7">
        <f>VLOOKUP(Table29[[#This Row],[Shortname]], Comp[], 25, FALSE)</f>
        <v>0</v>
      </c>
      <c r="AU7">
        <f>VLOOKUP(Table29[[#This Row],[Shortname]], Comp[], 26, FALSE)</f>
        <v>0</v>
      </c>
      <c r="AV7">
        <f>VLOOKUP(Table29[[#This Row],[Shortname]], Comp[], 27, FALSE)</f>
        <v>0</v>
      </c>
      <c r="AW7">
        <f>VLOOKUP(Table29[[#This Row],[Shortname]], Comp[], 28, FALSE)</f>
        <v>0</v>
      </c>
      <c r="AX7">
        <f>VLOOKUP(Table29[[#This Row],[Shortname]], Comp[], 29, FALSE)</f>
        <v>0</v>
      </c>
      <c r="AY7">
        <f>VLOOKUP(Table29[[#This Row],[Shortname]], Comp[], 30, FALSE)</f>
        <v>0</v>
      </c>
      <c r="AZ7">
        <f>VLOOKUP(Table29[[#This Row],[Shortname]], Comp[], 31, FALSE)</f>
        <v>0</v>
      </c>
    </row>
    <row r="8" spans="1:52" x14ac:dyDescent="0.3">
      <c r="A8" t="s">
        <v>104</v>
      </c>
      <c r="B8">
        <v>78</v>
      </c>
      <c r="C8">
        <v>10</v>
      </c>
      <c r="D8" t="s">
        <v>11</v>
      </c>
      <c r="E8" t="s">
        <v>95</v>
      </c>
      <c r="F8" t="s">
        <v>5343</v>
      </c>
      <c r="G8" t="s">
        <v>5344</v>
      </c>
      <c r="H8">
        <v>350</v>
      </c>
      <c r="I8">
        <v>2.131E-8</v>
      </c>
      <c r="J8">
        <f>0.01/Table29[[#This Row],[Strain Rate (min) /s]]</f>
        <v>469263.25668700138</v>
      </c>
      <c r="K8">
        <f>LOG(Table29[[#This Row],[Time to 1% strain (s)]])</f>
        <v>5.6714165502857981</v>
      </c>
      <c r="L8">
        <v>800</v>
      </c>
      <c r="M8">
        <v>6</v>
      </c>
      <c r="N8" t="s">
        <v>7180</v>
      </c>
      <c r="P8" t="s">
        <v>7030</v>
      </c>
      <c r="Q8">
        <v>1300</v>
      </c>
      <c r="R8">
        <v>12</v>
      </c>
      <c r="S8">
        <v>900</v>
      </c>
      <c r="T8">
        <v>200</v>
      </c>
      <c r="W8">
        <v>1</v>
      </c>
      <c r="X8">
        <v>10</v>
      </c>
      <c r="Y8">
        <v>81</v>
      </c>
      <c r="Z8" t="s">
        <v>7031</v>
      </c>
      <c r="AA8">
        <f>VLOOKUP(Table29[[#This Row],[Shortname]], Comp[], 6, FALSE)</f>
        <v>10</v>
      </c>
      <c r="AB8" s="14">
        <f>VLOOKUP(Table29[[#This Row],[Shortname]], Comp[], 7, FALSE)</f>
        <v>78.599999999999994</v>
      </c>
      <c r="AC8">
        <f>VLOOKUP(Table29[[#This Row],[Shortname]], Comp[], 8, FALSE)</f>
        <v>0</v>
      </c>
      <c r="AD8">
        <f>VLOOKUP(Table29[[#This Row],[Shortname]], Comp[], 9, FALSE)</f>
        <v>9.4</v>
      </c>
      <c r="AE8">
        <f>VLOOKUP(Table29[[#This Row],[Shortname]], Comp[], 10, FALSE)</f>
        <v>0</v>
      </c>
      <c r="AF8">
        <f>VLOOKUP(Table29[[#This Row],[Shortname]], Comp[], 11, FALSE)</f>
        <v>10.199999999999999</v>
      </c>
      <c r="AG8">
        <f>VLOOKUP(Table29[[#This Row],[Shortname]], Comp[],12, FALSE)</f>
        <v>0</v>
      </c>
      <c r="AH8">
        <f>VLOOKUP(Table29[[#This Row],[Shortname]], Comp[], 13, FALSE)</f>
        <v>0</v>
      </c>
      <c r="AI8">
        <f>VLOOKUP(Table29[[#This Row],[Shortname]], Comp[], 14, FALSE)</f>
        <v>1.8</v>
      </c>
      <c r="AJ8">
        <f>VLOOKUP(Table29[[#This Row],[Shortname]], Comp[], 15, FALSE)</f>
        <v>0</v>
      </c>
      <c r="AK8">
        <f>VLOOKUP(Table29[[#This Row],[Shortname]], Comp[], 16, FALSE)</f>
        <v>0</v>
      </c>
      <c r="AL8">
        <f>VLOOKUP(Table29[[#This Row],[Shortname]], Comp[], 17, FALSE)</f>
        <v>0</v>
      </c>
      <c r="AM8">
        <f>VLOOKUP(Table29[[#This Row],[Shortname]], Comp[], 18, FALSE)</f>
        <v>0</v>
      </c>
      <c r="AN8">
        <f>VLOOKUP(Table29[[#This Row],[Shortname]], Comp[], 19, FALSE)</f>
        <v>0</v>
      </c>
      <c r="AO8">
        <f>VLOOKUP(Table29[[#This Row],[Shortname]], Comp[], 20, FALSE)</f>
        <v>0</v>
      </c>
      <c r="AP8">
        <f>VLOOKUP(Table29[[#This Row],[Shortname]], Comp[], 21, FALSE)</f>
        <v>0</v>
      </c>
      <c r="AQ8">
        <f>VLOOKUP(Table29[[#This Row],[Shortname]], Comp[], 22, FALSE)</f>
        <v>0</v>
      </c>
      <c r="AR8">
        <f>VLOOKUP(Table29[[#This Row],[Shortname]], Comp[], 23, FALSE)</f>
        <v>0</v>
      </c>
      <c r="AS8">
        <f>VLOOKUP(Table29[[#This Row],[Shortname]], Comp[], 24, FALSE)</f>
        <v>0</v>
      </c>
      <c r="AT8">
        <f>VLOOKUP(Table29[[#This Row],[Shortname]], Comp[], 25, FALSE)</f>
        <v>0</v>
      </c>
      <c r="AU8">
        <f>VLOOKUP(Table29[[#This Row],[Shortname]], Comp[], 26, FALSE)</f>
        <v>0</v>
      </c>
      <c r="AV8">
        <f>VLOOKUP(Table29[[#This Row],[Shortname]], Comp[], 27, FALSE)</f>
        <v>0</v>
      </c>
      <c r="AW8">
        <f>VLOOKUP(Table29[[#This Row],[Shortname]], Comp[], 28, FALSE)</f>
        <v>0</v>
      </c>
      <c r="AX8">
        <f>VLOOKUP(Table29[[#This Row],[Shortname]], Comp[], 29, FALSE)</f>
        <v>0</v>
      </c>
      <c r="AY8">
        <f>VLOOKUP(Table29[[#This Row],[Shortname]], Comp[], 30, FALSE)</f>
        <v>0</v>
      </c>
      <c r="AZ8">
        <f>VLOOKUP(Table29[[#This Row],[Shortname]], Comp[], 31, FALSE)</f>
        <v>0</v>
      </c>
    </row>
    <row r="9" spans="1:52" x14ac:dyDescent="0.3">
      <c r="A9" t="s">
        <v>104</v>
      </c>
      <c r="B9">
        <v>80</v>
      </c>
      <c r="C9">
        <v>10</v>
      </c>
      <c r="D9" t="s">
        <v>11</v>
      </c>
      <c r="E9" t="s">
        <v>95</v>
      </c>
      <c r="F9" t="s">
        <v>5343</v>
      </c>
      <c r="G9" t="s">
        <v>388</v>
      </c>
      <c r="H9">
        <v>450</v>
      </c>
      <c r="I9">
        <v>1.5909999999999999E-7</v>
      </c>
      <c r="J9">
        <f>0.01/Table29[[#This Row],[Strain Rate (min) /s]]</f>
        <v>62853.551225644253</v>
      </c>
      <c r="K9">
        <f>LOG(Table29[[#This Row],[Time to 1% strain (s)]])</f>
        <v>4.7983298203534188</v>
      </c>
      <c r="L9">
        <v>850</v>
      </c>
      <c r="M9">
        <v>6</v>
      </c>
      <c r="N9" t="s">
        <v>7180</v>
      </c>
      <c r="P9" t="s">
        <v>7030</v>
      </c>
      <c r="Q9">
        <v>1300</v>
      </c>
      <c r="R9">
        <v>12</v>
      </c>
      <c r="S9">
        <v>900</v>
      </c>
      <c r="T9">
        <v>200</v>
      </c>
      <c r="W9">
        <v>1</v>
      </c>
      <c r="X9">
        <v>10</v>
      </c>
      <c r="Y9">
        <v>81</v>
      </c>
      <c r="Z9" t="s">
        <v>7032</v>
      </c>
      <c r="AA9">
        <f>VLOOKUP(Table29[[#This Row],[Shortname]], Comp[], 6, FALSE)</f>
        <v>10</v>
      </c>
      <c r="AB9" s="14">
        <f>VLOOKUP(Table29[[#This Row],[Shortname]], Comp[], 7, FALSE)</f>
        <v>78.599999999999994</v>
      </c>
      <c r="AC9">
        <f>VLOOKUP(Table29[[#This Row],[Shortname]], Comp[], 8, FALSE)</f>
        <v>0</v>
      </c>
      <c r="AD9">
        <f>VLOOKUP(Table29[[#This Row],[Shortname]], Comp[], 9, FALSE)</f>
        <v>9.4</v>
      </c>
      <c r="AE9">
        <f>VLOOKUP(Table29[[#This Row],[Shortname]], Comp[], 10, FALSE)</f>
        <v>0</v>
      </c>
      <c r="AF9">
        <f>VLOOKUP(Table29[[#This Row],[Shortname]], Comp[], 11, FALSE)</f>
        <v>10.199999999999999</v>
      </c>
      <c r="AG9">
        <f>VLOOKUP(Table29[[#This Row],[Shortname]], Comp[],12, FALSE)</f>
        <v>0</v>
      </c>
      <c r="AH9">
        <f>VLOOKUP(Table29[[#This Row],[Shortname]], Comp[], 13, FALSE)</f>
        <v>0</v>
      </c>
      <c r="AI9">
        <f>VLOOKUP(Table29[[#This Row],[Shortname]], Comp[], 14, FALSE)</f>
        <v>1.8</v>
      </c>
      <c r="AJ9">
        <f>VLOOKUP(Table29[[#This Row],[Shortname]], Comp[], 15, FALSE)</f>
        <v>0</v>
      </c>
      <c r="AK9">
        <f>VLOOKUP(Table29[[#This Row],[Shortname]], Comp[], 16, FALSE)</f>
        <v>0</v>
      </c>
      <c r="AL9">
        <f>VLOOKUP(Table29[[#This Row],[Shortname]], Comp[], 17, FALSE)</f>
        <v>0</v>
      </c>
      <c r="AM9">
        <f>VLOOKUP(Table29[[#This Row],[Shortname]], Comp[], 18, FALSE)</f>
        <v>0</v>
      </c>
      <c r="AN9">
        <f>VLOOKUP(Table29[[#This Row],[Shortname]], Comp[], 19, FALSE)</f>
        <v>0</v>
      </c>
      <c r="AO9">
        <f>VLOOKUP(Table29[[#This Row],[Shortname]], Comp[], 20, FALSE)</f>
        <v>0</v>
      </c>
      <c r="AP9">
        <f>VLOOKUP(Table29[[#This Row],[Shortname]], Comp[], 21, FALSE)</f>
        <v>0</v>
      </c>
      <c r="AQ9">
        <f>VLOOKUP(Table29[[#This Row],[Shortname]], Comp[], 22, FALSE)</f>
        <v>0</v>
      </c>
      <c r="AR9">
        <f>VLOOKUP(Table29[[#This Row],[Shortname]], Comp[], 23, FALSE)</f>
        <v>0</v>
      </c>
      <c r="AS9">
        <f>VLOOKUP(Table29[[#This Row],[Shortname]], Comp[], 24, FALSE)</f>
        <v>0</v>
      </c>
      <c r="AT9">
        <f>VLOOKUP(Table29[[#This Row],[Shortname]], Comp[], 25, FALSE)</f>
        <v>0</v>
      </c>
      <c r="AU9">
        <f>VLOOKUP(Table29[[#This Row],[Shortname]], Comp[], 26, FALSE)</f>
        <v>0</v>
      </c>
      <c r="AV9">
        <f>VLOOKUP(Table29[[#This Row],[Shortname]], Comp[], 27, FALSE)</f>
        <v>0</v>
      </c>
      <c r="AW9">
        <f>VLOOKUP(Table29[[#This Row],[Shortname]], Comp[], 28, FALSE)</f>
        <v>0</v>
      </c>
      <c r="AX9">
        <f>VLOOKUP(Table29[[#This Row],[Shortname]], Comp[], 29, FALSE)</f>
        <v>0</v>
      </c>
      <c r="AY9">
        <f>VLOOKUP(Table29[[#This Row],[Shortname]], Comp[], 30, FALSE)</f>
        <v>0</v>
      </c>
      <c r="AZ9">
        <f>VLOOKUP(Table29[[#This Row],[Shortname]], Comp[], 31, FALSE)</f>
        <v>0</v>
      </c>
    </row>
    <row r="10" spans="1:52" x14ac:dyDescent="0.3">
      <c r="A10" t="s">
        <v>104</v>
      </c>
      <c r="C10">
        <v>10</v>
      </c>
      <c r="D10" t="s">
        <v>11</v>
      </c>
      <c r="E10" t="s">
        <v>95</v>
      </c>
      <c r="F10" t="s">
        <v>5343</v>
      </c>
      <c r="G10" t="s">
        <v>388</v>
      </c>
      <c r="H10">
        <v>250</v>
      </c>
      <c r="I10">
        <v>7.8940000000000001E-7</v>
      </c>
      <c r="J10">
        <f>0.01/Table29[[#This Row],[Strain Rate (min) /s]]</f>
        <v>12667.84899923993</v>
      </c>
      <c r="K10">
        <f>LOG(Table29[[#This Row],[Time to 1% strain (s)]])</f>
        <v>4.1027028779405033</v>
      </c>
      <c r="L10">
        <v>950</v>
      </c>
      <c r="P10" t="s">
        <v>7033</v>
      </c>
      <c r="Q10">
        <v>1300</v>
      </c>
      <c r="R10">
        <v>12</v>
      </c>
      <c r="S10">
        <v>900</v>
      </c>
      <c r="T10">
        <v>200</v>
      </c>
      <c r="W10">
        <v>1</v>
      </c>
      <c r="X10">
        <v>10</v>
      </c>
      <c r="Y10">
        <v>81</v>
      </c>
      <c r="AA10">
        <f>VLOOKUP(Table29[[#This Row],[Shortname]], Comp[], 6, FALSE)</f>
        <v>10</v>
      </c>
      <c r="AB10" s="14">
        <f>VLOOKUP(Table29[[#This Row],[Shortname]], Comp[], 7, FALSE)</f>
        <v>78.599999999999994</v>
      </c>
      <c r="AC10">
        <f>VLOOKUP(Table29[[#This Row],[Shortname]], Comp[], 8, FALSE)</f>
        <v>0</v>
      </c>
      <c r="AD10">
        <f>VLOOKUP(Table29[[#This Row],[Shortname]], Comp[], 9, FALSE)</f>
        <v>9.4</v>
      </c>
      <c r="AE10">
        <f>VLOOKUP(Table29[[#This Row],[Shortname]], Comp[], 10, FALSE)</f>
        <v>0</v>
      </c>
      <c r="AF10">
        <f>VLOOKUP(Table29[[#This Row],[Shortname]], Comp[], 11, FALSE)</f>
        <v>10.199999999999999</v>
      </c>
      <c r="AG10">
        <f>VLOOKUP(Table29[[#This Row],[Shortname]], Comp[],12, FALSE)</f>
        <v>0</v>
      </c>
      <c r="AH10">
        <f>VLOOKUP(Table29[[#This Row],[Shortname]], Comp[], 13, FALSE)</f>
        <v>0</v>
      </c>
      <c r="AI10">
        <f>VLOOKUP(Table29[[#This Row],[Shortname]], Comp[], 14, FALSE)</f>
        <v>1.8</v>
      </c>
      <c r="AJ10">
        <f>VLOOKUP(Table29[[#This Row],[Shortname]], Comp[], 15, FALSE)</f>
        <v>0</v>
      </c>
      <c r="AK10">
        <f>VLOOKUP(Table29[[#This Row],[Shortname]], Comp[], 16, FALSE)</f>
        <v>0</v>
      </c>
      <c r="AL10">
        <f>VLOOKUP(Table29[[#This Row],[Shortname]], Comp[], 17, FALSE)</f>
        <v>0</v>
      </c>
      <c r="AM10">
        <f>VLOOKUP(Table29[[#This Row],[Shortname]], Comp[], 18, FALSE)</f>
        <v>0</v>
      </c>
      <c r="AN10">
        <f>VLOOKUP(Table29[[#This Row],[Shortname]], Comp[], 19, FALSE)</f>
        <v>0</v>
      </c>
      <c r="AO10">
        <f>VLOOKUP(Table29[[#This Row],[Shortname]], Comp[], 20, FALSE)</f>
        <v>0</v>
      </c>
      <c r="AP10">
        <f>VLOOKUP(Table29[[#This Row],[Shortname]], Comp[], 21, FALSE)</f>
        <v>0</v>
      </c>
      <c r="AQ10">
        <f>VLOOKUP(Table29[[#This Row],[Shortname]], Comp[], 22, FALSE)</f>
        <v>0</v>
      </c>
      <c r="AR10">
        <f>VLOOKUP(Table29[[#This Row],[Shortname]], Comp[], 23, FALSE)</f>
        <v>0</v>
      </c>
      <c r="AS10">
        <f>VLOOKUP(Table29[[#This Row],[Shortname]], Comp[], 24, FALSE)</f>
        <v>0</v>
      </c>
      <c r="AT10">
        <f>VLOOKUP(Table29[[#This Row],[Shortname]], Comp[], 25, FALSE)</f>
        <v>0</v>
      </c>
      <c r="AU10">
        <f>VLOOKUP(Table29[[#This Row],[Shortname]], Comp[], 26, FALSE)</f>
        <v>0</v>
      </c>
      <c r="AV10">
        <f>VLOOKUP(Table29[[#This Row],[Shortname]], Comp[], 27, FALSE)</f>
        <v>0</v>
      </c>
      <c r="AW10">
        <f>VLOOKUP(Table29[[#This Row],[Shortname]], Comp[], 28, FALSE)</f>
        <v>0</v>
      </c>
      <c r="AX10">
        <f>VLOOKUP(Table29[[#This Row],[Shortname]], Comp[], 29, FALSE)</f>
        <v>0</v>
      </c>
      <c r="AY10">
        <f>VLOOKUP(Table29[[#This Row],[Shortname]], Comp[], 30, FALSE)</f>
        <v>0</v>
      </c>
      <c r="AZ10">
        <f>VLOOKUP(Table29[[#This Row],[Shortname]], Comp[], 31, FALSE)</f>
        <v>0</v>
      </c>
    </row>
    <row r="11" spans="1:52" x14ac:dyDescent="0.3">
      <c r="A11" t="s">
        <v>104</v>
      </c>
      <c r="C11">
        <v>10</v>
      </c>
      <c r="D11" t="s">
        <v>11</v>
      </c>
      <c r="E11" t="s">
        <v>95</v>
      </c>
      <c r="F11" t="s">
        <v>5343</v>
      </c>
      <c r="G11" t="s">
        <v>388</v>
      </c>
      <c r="H11">
        <v>250</v>
      </c>
      <c r="I11">
        <v>5.3669999999999997E-8</v>
      </c>
      <c r="J11">
        <f>0.01/Table29[[#This Row],[Strain Rate (min) /s]]</f>
        <v>186323.83081796163</v>
      </c>
      <c r="K11">
        <f>LOG(Table29[[#This Row],[Time to 1% strain (s)]])</f>
        <v>5.2702684047129642</v>
      </c>
      <c r="L11">
        <v>900</v>
      </c>
      <c r="P11" t="s">
        <v>7033</v>
      </c>
      <c r="Q11">
        <v>1300</v>
      </c>
      <c r="R11">
        <v>12</v>
      </c>
      <c r="S11">
        <v>900</v>
      </c>
      <c r="T11">
        <v>200</v>
      </c>
      <c r="W11">
        <v>1</v>
      </c>
      <c r="X11">
        <v>10</v>
      </c>
      <c r="Y11">
        <v>81</v>
      </c>
      <c r="AA11">
        <f>VLOOKUP(Table29[[#This Row],[Shortname]], Comp[], 6, FALSE)</f>
        <v>10</v>
      </c>
      <c r="AB11" s="14">
        <f>VLOOKUP(Table29[[#This Row],[Shortname]], Comp[], 7, FALSE)</f>
        <v>78.599999999999994</v>
      </c>
      <c r="AC11">
        <f>VLOOKUP(Table29[[#This Row],[Shortname]], Comp[], 8, FALSE)</f>
        <v>0</v>
      </c>
      <c r="AD11">
        <f>VLOOKUP(Table29[[#This Row],[Shortname]], Comp[], 9, FALSE)</f>
        <v>9.4</v>
      </c>
      <c r="AE11">
        <f>VLOOKUP(Table29[[#This Row],[Shortname]], Comp[], 10, FALSE)</f>
        <v>0</v>
      </c>
      <c r="AF11">
        <f>VLOOKUP(Table29[[#This Row],[Shortname]], Comp[], 11, FALSE)</f>
        <v>10.199999999999999</v>
      </c>
      <c r="AG11">
        <f>VLOOKUP(Table29[[#This Row],[Shortname]], Comp[],12, FALSE)</f>
        <v>0</v>
      </c>
      <c r="AH11">
        <f>VLOOKUP(Table29[[#This Row],[Shortname]], Comp[], 13, FALSE)</f>
        <v>0</v>
      </c>
      <c r="AI11">
        <f>VLOOKUP(Table29[[#This Row],[Shortname]], Comp[], 14, FALSE)</f>
        <v>1.8</v>
      </c>
      <c r="AJ11">
        <f>VLOOKUP(Table29[[#This Row],[Shortname]], Comp[], 15, FALSE)</f>
        <v>0</v>
      </c>
      <c r="AK11">
        <f>VLOOKUP(Table29[[#This Row],[Shortname]], Comp[], 16, FALSE)</f>
        <v>0</v>
      </c>
      <c r="AL11">
        <f>VLOOKUP(Table29[[#This Row],[Shortname]], Comp[], 17, FALSE)</f>
        <v>0</v>
      </c>
      <c r="AM11">
        <f>VLOOKUP(Table29[[#This Row],[Shortname]], Comp[], 18, FALSE)</f>
        <v>0</v>
      </c>
      <c r="AN11">
        <f>VLOOKUP(Table29[[#This Row],[Shortname]], Comp[], 19, FALSE)</f>
        <v>0</v>
      </c>
      <c r="AO11">
        <f>VLOOKUP(Table29[[#This Row],[Shortname]], Comp[], 20, FALSE)</f>
        <v>0</v>
      </c>
      <c r="AP11">
        <f>VLOOKUP(Table29[[#This Row],[Shortname]], Comp[], 21, FALSE)</f>
        <v>0</v>
      </c>
      <c r="AQ11">
        <f>VLOOKUP(Table29[[#This Row],[Shortname]], Comp[], 22, FALSE)</f>
        <v>0</v>
      </c>
      <c r="AR11">
        <f>VLOOKUP(Table29[[#This Row],[Shortname]], Comp[], 23, FALSE)</f>
        <v>0</v>
      </c>
      <c r="AS11">
        <f>VLOOKUP(Table29[[#This Row],[Shortname]], Comp[], 24, FALSE)</f>
        <v>0</v>
      </c>
      <c r="AT11">
        <f>VLOOKUP(Table29[[#This Row],[Shortname]], Comp[], 25, FALSE)</f>
        <v>0</v>
      </c>
      <c r="AU11">
        <f>VLOOKUP(Table29[[#This Row],[Shortname]], Comp[], 26, FALSE)</f>
        <v>0</v>
      </c>
      <c r="AV11">
        <f>VLOOKUP(Table29[[#This Row],[Shortname]], Comp[], 27, FALSE)</f>
        <v>0</v>
      </c>
      <c r="AW11">
        <f>VLOOKUP(Table29[[#This Row],[Shortname]], Comp[], 28, FALSE)</f>
        <v>0</v>
      </c>
      <c r="AX11">
        <f>VLOOKUP(Table29[[#This Row],[Shortname]], Comp[], 29, FALSE)</f>
        <v>0</v>
      </c>
      <c r="AY11">
        <f>VLOOKUP(Table29[[#This Row],[Shortname]], Comp[], 30, FALSE)</f>
        <v>0</v>
      </c>
      <c r="AZ11">
        <f>VLOOKUP(Table29[[#This Row],[Shortname]], Comp[], 31, FALSE)</f>
        <v>0</v>
      </c>
    </row>
    <row r="12" spans="1:52" x14ac:dyDescent="0.3">
      <c r="A12" t="s">
        <v>104</v>
      </c>
      <c r="B12">
        <v>82</v>
      </c>
      <c r="C12">
        <v>10</v>
      </c>
      <c r="D12" t="s">
        <v>11</v>
      </c>
      <c r="E12" t="s">
        <v>95</v>
      </c>
      <c r="F12" t="s">
        <v>5343</v>
      </c>
      <c r="G12" t="s">
        <v>395</v>
      </c>
      <c r="H12">
        <v>250</v>
      </c>
      <c r="I12">
        <v>4.4530000000000002E-9</v>
      </c>
      <c r="J12">
        <f>0.01/Table29[[#This Row],[Strain Rate (min) /s]]</f>
        <v>2245677.0716370987</v>
      </c>
      <c r="K12">
        <f>LOG(Table29[[#This Row],[Time to 1% strain (s)]])</f>
        <v>6.351347304868777</v>
      </c>
      <c r="L12">
        <v>850</v>
      </c>
      <c r="N12" t="s">
        <v>7180</v>
      </c>
      <c r="P12" t="s">
        <v>7033</v>
      </c>
      <c r="Q12">
        <v>1300</v>
      </c>
      <c r="R12">
        <v>12</v>
      </c>
      <c r="S12">
        <v>900</v>
      </c>
      <c r="T12">
        <v>200</v>
      </c>
      <c r="W12">
        <v>1</v>
      </c>
      <c r="X12">
        <v>10</v>
      </c>
      <c r="Y12">
        <v>81</v>
      </c>
      <c r="AA12">
        <f>VLOOKUP(Table29[[#This Row],[Shortname]], Comp[], 6, FALSE)</f>
        <v>10</v>
      </c>
      <c r="AB12" s="14">
        <f>VLOOKUP(Table29[[#This Row],[Shortname]], Comp[], 7, FALSE)</f>
        <v>78.599999999999994</v>
      </c>
      <c r="AC12">
        <f>VLOOKUP(Table29[[#This Row],[Shortname]], Comp[], 8, FALSE)</f>
        <v>0</v>
      </c>
      <c r="AD12">
        <f>VLOOKUP(Table29[[#This Row],[Shortname]], Comp[], 9, FALSE)</f>
        <v>9.4</v>
      </c>
      <c r="AE12">
        <f>VLOOKUP(Table29[[#This Row],[Shortname]], Comp[], 10, FALSE)</f>
        <v>0</v>
      </c>
      <c r="AF12">
        <f>VLOOKUP(Table29[[#This Row],[Shortname]], Comp[], 11, FALSE)</f>
        <v>10.199999999999999</v>
      </c>
      <c r="AG12">
        <f>VLOOKUP(Table29[[#This Row],[Shortname]], Comp[],12, FALSE)</f>
        <v>0</v>
      </c>
      <c r="AH12">
        <f>VLOOKUP(Table29[[#This Row],[Shortname]], Comp[], 13, FALSE)</f>
        <v>0</v>
      </c>
      <c r="AI12">
        <f>VLOOKUP(Table29[[#This Row],[Shortname]], Comp[], 14, FALSE)</f>
        <v>1.8</v>
      </c>
      <c r="AJ12">
        <f>VLOOKUP(Table29[[#This Row],[Shortname]], Comp[], 15, FALSE)</f>
        <v>0</v>
      </c>
      <c r="AK12">
        <f>VLOOKUP(Table29[[#This Row],[Shortname]], Comp[], 16, FALSE)</f>
        <v>0</v>
      </c>
      <c r="AL12">
        <f>VLOOKUP(Table29[[#This Row],[Shortname]], Comp[], 17, FALSE)</f>
        <v>0</v>
      </c>
      <c r="AM12">
        <f>VLOOKUP(Table29[[#This Row],[Shortname]], Comp[], 18, FALSE)</f>
        <v>0</v>
      </c>
      <c r="AN12">
        <f>VLOOKUP(Table29[[#This Row],[Shortname]], Comp[], 19, FALSE)</f>
        <v>0</v>
      </c>
      <c r="AO12">
        <f>VLOOKUP(Table29[[#This Row],[Shortname]], Comp[], 20, FALSE)</f>
        <v>0</v>
      </c>
      <c r="AP12">
        <f>VLOOKUP(Table29[[#This Row],[Shortname]], Comp[], 21, FALSE)</f>
        <v>0</v>
      </c>
      <c r="AQ12">
        <f>VLOOKUP(Table29[[#This Row],[Shortname]], Comp[], 22, FALSE)</f>
        <v>0</v>
      </c>
      <c r="AR12">
        <f>VLOOKUP(Table29[[#This Row],[Shortname]], Comp[], 23, FALSE)</f>
        <v>0</v>
      </c>
      <c r="AS12">
        <f>VLOOKUP(Table29[[#This Row],[Shortname]], Comp[], 24, FALSE)</f>
        <v>0</v>
      </c>
      <c r="AT12">
        <f>VLOOKUP(Table29[[#This Row],[Shortname]], Comp[], 25, FALSE)</f>
        <v>0</v>
      </c>
      <c r="AU12">
        <f>VLOOKUP(Table29[[#This Row],[Shortname]], Comp[], 26, FALSE)</f>
        <v>0</v>
      </c>
      <c r="AV12">
        <f>VLOOKUP(Table29[[#This Row],[Shortname]], Comp[], 27, FALSE)</f>
        <v>0</v>
      </c>
      <c r="AW12">
        <f>VLOOKUP(Table29[[#This Row],[Shortname]], Comp[], 28, FALSE)</f>
        <v>0</v>
      </c>
      <c r="AX12">
        <f>VLOOKUP(Table29[[#This Row],[Shortname]], Comp[], 29, FALSE)</f>
        <v>0</v>
      </c>
      <c r="AY12">
        <f>VLOOKUP(Table29[[#This Row],[Shortname]], Comp[], 30, FALSE)</f>
        <v>0</v>
      </c>
      <c r="AZ12">
        <f>VLOOKUP(Table29[[#This Row],[Shortname]], Comp[], 31, FALSE)</f>
        <v>0</v>
      </c>
    </row>
    <row r="13" spans="1:52" x14ac:dyDescent="0.3">
      <c r="A13" t="s">
        <v>181</v>
      </c>
      <c r="C13">
        <v>18</v>
      </c>
      <c r="D13" t="s">
        <v>182</v>
      </c>
      <c r="E13" t="s">
        <v>160</v>
      </c>
      <c r="F13" t="s">
        <v>5346</v>
      </c>
      <c r="G13" t="s">
        <v>5344</v>
      </c>
      <c r="H13">
        <v>250</v>
      </c>
      <c r="I13">
        <v>5.5736999999999998E-8</v>
      </c>
      <c r="J13">
        <f>0.01/Table29[[#This Row],[Strain Rate (min) /s]]</f>
        <v>179414.03376572116</v>
      </c>
      <c r="K13">
        <f>LOG(Table29[[#This Row],[Time to 1% strain (s)]])</f>
        <v>5.2538564105511041</v>
      </c>
      <c r="L13">
        <v>850</v>
      </c>
      <c r="M13">
        <v>6.7</v>
      </c>
      <c r="P13" t="s">
        <v>7034</v>
      </c>
      <c r="Q13">
        <v>1300</v>
      </c>
      <c r="R13">
        <v>12</v>
      </c>
      <c r="S13">
        <v>900</v>
      </c>
      <c r="T13">
        <v>200</v>
      </c>
      <c r="W13">
        <v>1</v>
      </c>
      <c r="X13">
        <v>10</v>
      </c>
      <c r="Y13">
        <v>53</v>
      </c>
      <c r="AA13">
        <f>VLOOKUP(Table29[[#This Row],[Shortname]], Comp[], 6, FALSE)</f>
        <v>18</v>
      </c>
      <c r="AB13" s="14">
        <f>VLOOKUP(Table29[[#This Row],[Shortname]], Comp[], 7, FALSE)</f>
        <v>80.8</v>
      </c>
      <c r="AC13">
        <f>VLOOKUP(Table29[[#This Row],[Shortname]], Comp[], 8, FALSE)</f>
        <v>0</v>
      </c>
      <c r="AD13">
        <f>VLOOKUP(Table29[[#This Row],[Shortname]], Comp[], 9, FALSE)</f>
        <v>8.1</v>
      </c>
      <c r="AE13">
        <f>VLOOKUP(Table29[[#This Row],[Shortname]], Comp[], 10, FALSE)</f>
        <v>0</v>
      </c>
      <c r="AF13">
        <f>VLOOKUP(Table29[[#This Row],[Shortname]], Comp[], 11, FALSE)</f>
        <v>7.7</v>
      </c>
      <c r="AG13">
        <f>VLOOKUP(Table29[[#This Row],[Shortname]], Comp[],12, FALSE)</f>
        <v>0</v>
      </c>
      <c r="AH13">
        <f>VLOOKUP(Table29[[#This Row],[Shortname]], Comp[], 13, FALSE)</f>
        <v>1.6</v>
      </c>
      <c r="AI13">
        <f>VLOOKUP(Table29[[#This Row],[Shortname]], Comp[], 14, FALSE)</f>
        <v>0</v>
      </c>
      <c r="AJ13">
        <f>VLOOKUP(Table29[[#This Row],[Shortname]], Comp[], 15, FALSE)</f>
        <v>0</v>
      </c>
      <c r="AK13">
        <f>VLOOKUP(Table29[[#This Row],[Shortname]], Comp[], 16, FALSE)</f>
        <v>0</v>
      </c>
      <c r="AL13">
        <f>VLOOKUP(Table29[[#This Row],[Shortname]], Comp[], 17, FALSE)</f>
        <v>0</v>
      </c>
      <c r="AM13">
        <f>VLOOKUP(Table29[[#This Row],[Shortname]], Comp[], 18, FALSE)</f>
        <v>0</v>
      </c>
      <c r="AN13">
        <f>VLOOKUP(Table29[[#This Row],[Shortname]], Comp[], 19, FALSE)</f>
        <v>0</v>
      </c>
      <c r="AO13">
        <f>VLOOKUP(Table29[[#This Row],[Shortname]], Comp[], 20, FALSE)</f>
        <v>0</v>
      </c>
      <c r="AP13">
        <f>VLOOKUP(Table29[[#This Row],[Shortname]], Comp[], 21, FALSE)</f>
        <v>0</v>
      </c>
      <c r="AQ13">
        <f>VLOOKUP(Table29[[#This Row],[Shortname]], Comp[], 22, FALSE)</f>
        <v>1.8</v>
      </c>
      <c r="AR13">
        <f>VLOOKUP(Table29[[#This Row],[Shortname]], Comp[], 23, FALSE)</f>
        <v>0</v>
      </c>
      <c r="AS13">
        <f>VLOOKUP(Table29[[#This Row],[Shortname]], Comp[], 24, FALSE)</f>
        <v>0</v>
      </c>
      <c r="AT13">
        <f>VLOOKUP(Table29[[#This Row],[Shortname]], Comp[], 25, FALSE)</f>
        <v>0</v>
      </c>
      <c r="AU13">
        <f>VLOOKUP(Table29[[#This Row],[Shortname]], Comp[], 26, FALSE)</f>
        <v>0</v>
      </c>
      <c r="AV13">
        <f>VLOOKUP(Table29[[#This Row],[Shortname]], Comp[], 27, FALSE)</f>
        <v>0</v>
      </c>
      <c r="AW13">
        <f>VLOOKUP(Table29[[#This Row],[Shortname]], Comp[], 28, FALSE)</f>
        <v>0</v>
      </c>
      <c r="AX13">
        <f>VLOOKUP(Table29[[#This Row],[Shortname]], Comp[], 29, FALSE)</f>
        <v>0</v>
      </c>
      <c r="AY13">
        <f>VLOOKUP(Table29[[#This Row],[Shortname]], Comp[], 30, FALSE)</f>
        <v>0</v>
      </c>
      <c r="AZ13">
        <f>VLOOKUP(Table29[[#This Row],[Shortname]], Comp[], 31, FALSE)</f>
        <v>0</v>
      </c>
    </row>
    <row r="14" spans="1:52" x14ac:dyDescent="0.3">
      <c r="A14" t="s">
        <v>181</v>
      </c>
      <c r="C14">
        <v>18</v>
      </c>
      <c r="D14" t="s">
        <v>182</v>
      </c>
      <c r="E14" t="s">
        <v>160</v>
      </c>
      <c r="F14" t="s">
        <v>5346</v>
      </c>
      <c r="G14" t="s">
        <v>5344</v>
      </c>
      <c r="H14">
        <v>350</v>
      </c>
      <c r="I14">
        <v>4.9561000000000003E-7</v>
      </c>
      <c r="J14">
        <f>0.01/Table29[[#This Row],[Strain Rate (min) /s]]</f>
        <v>20177.155424628236</v>
      </c>
      <c r="K14">
        <f>LOG(Table29[[#This Row],[Time to 1% strain (s)]])</f>
        <v>4.3048599393803073</v>
      </c>
      <c r="L14">
        <v>850</v>
      </c>
      <c r="M14">
        <v>6.7</v>
      </c>
      <c r="P14" t="s">
        <v>7034</v>
      </c>
      <c r="Q14">
        <v>1300</v>
      </c>
      <c r="R14">
        <v>12</v>
      </c>
      <c r="S14">
        <v>900</v>
      </c>
      <c r="T14">
        <v>200</v>
      </c>
      <c r="W14">
        <v>1</v>
      </c>
      <c r="X14">
        <v>10</v>
      </c>
      <c r="Y14">
        <v>53</v>
      </c>
      <c r="AA14">
        <f>VLOOKUP(Table29[[#This Row],[Shortname]], Comp[], 6, FALSE)</f>
        <v>18</v>
      </c>
      <c r="AB14" s="14">
        <f>VLOOKUP(Table29[[#This Row],[Shortname]], Comp[], 7, FALSE)</f>
        <v>80.8</v>
      </c>
      <c r="AC14">
        <f>VLOOKUP(Table29[[#This Row],[Shortname]], Comp[], 8, FALSE)</f>
        <v>0</v>
      </c>
      <c r="AD14">
        <f>VLOOKUP(Table29[[#This Row],[Shortname]], Comp[], 9, FALSE)</f>
        <v>8.1</v>
      </c>
      <c r="AE14">
        <f>VLOOKUP(Table29[[#This Row],[Shortname]], Comp[], 10, FALSE)</f>
        <v>0</v>
      </c>
      <c r="AF14">
        <f>VLOOKUP(Table29[[#This Row],[Shortname]], Comp[], 11, FALSE)</f>
        <v>7.7</v>
      </c>
      <c r="AG14">
        <f>VLOOKUP(Table29[[#This Row],[Shortname]], Comp[],12, FALSE)</f>
        <v>0</v>
      </c>
      <c r="AH14">
        <f>VLOOKUP(Table29[[#This Row],[Shortname]], Comp[], 13, FALSE)</f>
        <v>1.6</v>
      </c>
      <c r="AI14">
        <f>VLOOKUP(Table29[[#This Row],[Shortname]], Comp[], 14, FALSE)</f>
        <v>0</v>
      </c>
      <c r="AJ14">
        <f>VLOOKUP(Table29[[#This Row],[Shortname]], Comp[], 15, FALSE)</f>
        <v>0</v>
      </c>
      <c r="AK14">
        <f>VLOOKUP(Table29[[#This Row],[Shortname]], Comp[], 16, FALSE)</f>
        <v>0</v>
      </c>
      <c r="AL14">
        <f>VLOOKUP(Table29[[#This Row],[Shortname]], Comp[], 17, FALSE)</f>
        <v>0</v>
      </c>
      <c r="AM14">
        <f>VLOOKUP(Table29[[#This Row],[Shortname]], Comp[], 18, FALSE)</f>
        <v>0</v>
      </c>
      <c r="AN14">
        <f>VLOOKUP(Table29[[#This Row],[Shortname]], Comp[], 19, FALSE)</f>
        <v>0</v>
      </c>
      <c r="AO14">
        <f>VLOOKUP(Table29[[#This Row],[Shortname]], Comp[], 20, FALSE)</f>
        <v>0</v>
      </c>
      <c r="AP14">
        <f>VLOOKUP(Table29[[#This Row],[Shortname]], Comp[], 21, FALSE)</f>
        <v>0</v>
      </c>
      <c r="AQ14">
        <f>VLOOKUP(Table29[[#This Row],[Shortname]], Comp[], 22, FALSE)</f>
        <v>1.8</v>
      </c>
      <c r="AR14">
        <f>VLOOKUP(Table29[[#This Row],[Shortname]], Comp[], 23, FALSE)</f>
        <v>0</v>
      </c>
      <c r="AS14">
        <f>VLOOKUP(Table29[[#This Row],[Shortname]], Comp[], 24, FALSE)</f>
        <v>0</v>
      </c>
      <c r="AT14">
        <f>VLOOKUP(Table29[[#This Row],[Shortname]], Comp[], 25, FALSE)</f>
        <v>0</v>
      </c>
      <c r="AU14">
        <f>VLOOKUP(Table29[[#This Row],[Shortname]], Comp[], 26, FALSE)</f>
        <v>0</v>
      </c>
      <c r="AV14">
        <f>VLOOKUP(Table29[[#This Row],[Shortname]], Comp[], 27, FALSE)</f>
        <v>0</v>
      </c>
      <c r="AW14">
        <f>VLOOKUP(Table29[[#This Row],[Shortname]], Comp[], 28, FALSE)</f>
        <v>0</v>
      </c>
      <c r="AX14">
        <f>VLOOKUP(Table29[[#This Row],[Shortname]], Comp[], 29, FALSE)</f>
        <v>0</v>
      </c>
      <c r="AY14">
        <f>VLOOKUP(Table29[[#This Row],[Shortname]], Comp[], 30, FALSE)</f>
        <v>0</v>
      </c>
      <c r="AZ14">
        <f>VLOOKUP(Table29[[#This Row],[Shortname]], Comp[], 31, FALSE)</f>
        <v>0</v>
      </c>
    </row>
    <row r="15" spans="1:52" x14ac:dyDescent="0.3">
      <c r="A15" t="s">
        <v>181</v>
      </c>
      <c r="C15">
        <v>18</v>
      </c>
      <c r="D15" t="s">
        <v>182</v>
      </c>
      <c r="E15" t="s">
        <v>160</v>
      </c>
      <c r="F15" t="s">
        <v>5346</v>
      </c>
      <c r="G15" t="s">
        <v>5344</v>
      </c>
      <c r="H15">
        <v>400</v>
      </c>
      <c r="I15">
        <v>1.2139999999999999E-6</v>
      </c>
      <c r="J15">
        <f>0.01/Table29[[#This Row],[Strain Rate (min) /s]]</f>
        <v>8237.232289950578</v>
      </c>
      <c r="K15">
        <f>LOG(Table29[[#This Row],[Time to 1% strain (s)]])</f>
        <v>3.9157813132607613</v>
      </c>
      <c r="L15">
        <v>850</v>
      </c>
      <c r="M15">
        <v>6.7</v>
      </c>
      <c r="P15" t="s">
        <v>7034</v>
      </c>
      <c r="Q15">
        <v>1300</v>
      </c>
      <c r="R15">
        <v>12</v>
      </c>
      <c r="S15">
        <v>900</v>
      </c>
      <c r="T15">
        <v>200</v>
      </c>
      <c r="W15">
        <v>1</v>
      </c>
      <c r="X15">
        <v>10</v>
      </c>
      <c r="Y15">
        <v>53</v>
      </c>
      <c r="AA15">
        <f>VLOOKUP(Table29[[#This Row],[Shortname]], Comp[], 6, FALSE)</f>
        <v>18</v>
      </c>
      <c r="AB15" s="14">
        <f>VLOOKUP(Table29[[#This Row],[Shortname]], Comp[], 7, FALSE)</f>
        <v>80.8</v>
      </c>
      <c r="AC15">
        <f>VLOOKUP(Table29[[#This Row],[Shortname]], Comp[], 8, FALSE)</f>
        <v>0</v>
      </c>
      <c r="AD15">
        <f>VLOOKUP(Table29[[#This Row],[Shortname]], Comp[], 9, FALSE)</f>
        <v>8.1</v>
      </c>
      <c r="AE15">
        <f>VLOOKUP(Table29[[#This Row],[Shortname]], Comp[], 10, FALSE)</f>
        <v>0</v>
      </c>
      <c r="AF15">
        <f>VLOOKUP(Table29[[#This Row],[Shortname]], Comp[], 11, FALSE)</f>
        <v>7.7</v>
      </c>
      <c r="AG15">
        <f>VLOOKUP(Table29[[#This Row],[Shortname]], Comp[],12, FALSE)</f>
        <v>0</v>
      </c>
      <c r="AH15">
        <f>VLOOKUP(Table29[[#This Row],[Shortname]], Comp[], 13, FALSE)</f>
        <v>1.6</v>
      </c>
      <c r="AI15">
        <f>VLOOKUP(Table29[[#This Row],[Shortname]], Comp[], 14, FALSE)</f>
        <v>0</v>
      </c>
      <c r="AJ15">
        <f>VLOOKUP(Table29[[#This Row],[Shortname]], Comp[], 15, FALSE)</f>
        <v>0</v>
      </c>
      <c r="AK15">
        <f>VLOOKUP(Table29[[#This Row],[Shortname]], Comp[], 16, FALSE)</f>
        <v>0</v>
      </c>
      <c r="AL15">
        <f>VLOOKUP(Table29[[#This Row],[Shortname]], Comp[], 17, FALSE)</f>
        <v>0</v>
      </c>
      <c r="AM15">
        <f>VLOOKUP(Table29[[#This Row],[Shortname]], Comp[], 18, FALSE)</f>
        <v>0</v>
      </c>
      <c r="AN15">
        <f>VLOOKUP(Table29[[#This Row],[Shortname]], Comp[], 19, FALSE)</f>
        <v>0</v>
      </c>
      <c r="AO15">
        <f>VLOOKUP(Table29[[#This Row],[Shortname]], Comp[], 20, FALSE)</f>
        <v>0</v>
      </c>
      <c r="AP15">
        <f>VLOOKUP(Table29[[#This Row],[Shortname]], Comp[], 21, FALSE)</f>
        <v>0</v>
      </c>
      <c r="AQ15">
        <f>VLOOKUP(Table29[[#This Row],[Shortname]], Comp[], 22, FALSE)</f>
        <v>1.8</v>
      </c>
      <c r="AR15">
        <f>VLOOKUP(Table29[[#This Row],[Shortname]], Comp[], 23, FALSE)</f>
        <v>0</v>
      </c>
      <c r="AS15">
        <f>VLOOKUP(Table29[[#This Row],[Shortname]], Comp[], 24, FALSE)</f>
        <v>0</v>
      </c>
      <c r="AT15">
        <f>VLOOKUP(Table29[[#This Row],[Shortname]], Comp[], 25, FALSE)</f>
        <v>0</v>
      </c>
      <c r="AU15">
        <f>VLOOKUP(Table29[[#This Row],[Shortname]], Comp[], 26, FALSE)</f>
        <v>0</v>
      </c>
      <c r="AV15">
        <f>VLOOKUP(Table29[[#This Row],[Shortname]], Comp[], 27, FALSE)</f>
        <v>0</v>
      </c>
      <c r="AW15">
        <f>VLOOKUP(Table29[[#This Row],[Shortname]], Comp[], 28, FALSE)</f>
        <v>0</v>
      </c>
      <c r="AX15">
        <f>VLOOKUP(Table29[[#This Row],[Shortname]], Comp[], 29, FALSE)</f>
        <v>0</v>
      </c>
      <c r="AY15">
        <f>VLOOKUP(Table29[[#This Row],[Shortname]], Comp[], 30, FALSE)</f>
        <v>0</v>
      </c>
      <c r="AZ15">
        <f>VLOOKUP(Table29[[#This Row],[Shortname]], Comp[], 31, FALSE)</f>
        <v>0</v>
      </c>
    </row>
    <row r="16" spans="1:52" x14ac:dyDescent="0.3">
      <c r="A16" t="s">
        <v>181</v>
      </c>
      <c r="B16">
        <v>79</v>
      </c>
      <c r="C16">
        <v>18</v>
      </c>
      <c r="D16" t="s">
        <v>182</v>
      </c>
      <c r="E16" t="s">
        <v>160</v>
      </c>
      <c r="F16" t="s">
        <v>5346</v>
      </c>
      <c r="G16" t="s">
        <v>5344</v>
      </c>
      <c r="H16">
        <v>450</v>
      </c>
      <c r="I16">
        <v>3.1066E-6</v>
      </c>
      <c r="J16">
        <f>0.01/Table29[[#This Row],[Strain Rate (min) /s]]</f>
        <v>3218.9531964205239</v>
      </c>
      <c r="K16">
        <f>LOG(Table29[[#This Row],[Time to 1% strain (s)]])</f>
        <v>3.5077146620897537</v>
      </c>
      <c r="L16">
        <v>850</v>
      </c>
      <c r="M16">
        <v>6.7</v>
      </c>
      <c r="P16" t="s">
        <v>7034</v>
      </c>
      <c r="Q16">
        <v>1300</v>
      </c>
      <c r="R16">
        <v>12</v>
      </c>
      <c r="S16">
        <v>900</v>
      </c>
      <c r="T16">
        <v>200</v>
      </c>
      <c r="W16">
        <v>1</v>
      </c>
      <c r="X16">
        <v>10</v>
      </c>
      <c r="Y16">
        <v>53</v>
      </c>
      <c r="AA16">
        <f>VLOOKUP(Table29[[#This Row],[Shortname]], Comp[], 6, FALSE)</f>
        <v>18</v>
      </c>
      <c r="AB16" s="14">
        <f>VLOOKUP(Table29[[#This Row],[Shortname]], Comp[], 7, FALSE)</f>
        <v>80.8</v>
      </c>
      <c r="AC16">
        <f>VLOOKUP(Table29[[#This Row],[Shortname]], Comp[], 8, FALSE)</f>
        <v>0</v>
      </c>
      <c r="AD16">
        <f>VLOOKUP(Table29[[#This Row],[Shortname]], Comp[], 9, FALSE)</f>
        <v>8.1</v>
      </c>
      <c r="AE16">
        <f>VLOOKUP(Table29[[#This Row],[Shortname]], Comp[], 10, FALSE)</f>
        <v>0</v>
      </c>
      <c r="AF16">
        <f>VLOOKUP(Table29[[#This Row],[Shortname]], Comp[], 11, FALSE)</f>
        <v>7.7</v>
      </c>
      <c r="AG16">
        <f>VLOOKUP(Table29[[#This Row],[Shortname]], Comp[],12, FALSE)</f>
        <v>0</v>
      </c>
      <c r="AH16">
        <f>VLOOKUP(Table29[[#This Row],[Shortname]], Comp[], 13, FALSE)</f>
        <v>1.6</v>
      </c>
      <c r="AI16">
        <f>VLOOKUP(Table29[[#This Row],[Shortname]], Comp[], 14, FALSE)</f>
        <v>0</v>
      </c>
      <c r="AJ16">
        <f>VLOOKUP(Table29[[#This Row],[Shortname]], Comp[], 15, FALSE)</f>
        <v>0</v>
      </c>
      <c r="AK16">
        <f>VLOOKUP(Table29[[#This Row],[Shortname]], Comp[], 16, FALSE)</f>
        <v>0</v>
      </c>
      <c r="AL16">
        <f>VLOOKUP(Table29[[#This Row],[Shortname]], Comp[], 17, FALSE)</f>
        <v>0</v>
      </c>
      <c r="AM16">
        <f>VLOOKUP(Table29[[#This Row],[Shortname]], Comp[], 18, FALSE)</f>
        <v>0</v>
      </c>
      <c r="AN16">
        <f>VLOOKUP(Table29[[#This Row],[Shortname]], Comp[], 19, FALSE)</f>
        <v>0</v>
      </c>
      <c r="AO16">
        <f>VLOOKUP(Table29[[#This Row],[Shortname]], Comp[], 20, FALSE)</f>
        <v>0</v>
      </c>
      <c r="AP16">
        <f>VLOOKUP(Table29[[#This Row],[Shortname]], Comp[], 21, FALSE)</f>
        <v>0</v>
      </c>
      <c r="AQ16">
        <f>VLOOKUP(Table29[[#This Row],[Shortname]], Comp[], 22, FALSE)</f>
        <v>1.8</v>
      </c>
      <c r="AR16">
        <f>VLOOKUP(Table29[[#This Row],[Shortname]], Comp[], 23, FALSE)</f>
        <v>0</v>
      </c>
      <c r="AS16">
        <f>VLOOKUP(Table29[[#This Row],[Shortname]], Comp[], 24, FALSE)</f>
        <v>0</v>
      </c>
      <c r="AT16">
        <f>VLOOKUP(Table29[[#This Row],[Shortname]], Comp[], 25, FALSE)</f>
        <v>0</v>
      </c>
      <c r="AU16">
        <f>VLOOKUP(Table29[[#This Row],[Shortname]], Comp[], 26, FALSE)</f>
        <v>0</v>
      </c>
      <c r="AV16">
        <f>VLOOKUP(Table29[[#This Row],[Shortname]], Comp[], 27, FALSE)</f>
        <v>0</v>
      </c>
      <c r="AW16">
        <f>VLOOKUP(Table29[[#This Row],[Shortname]], Comp[], 28, FALSE)</f>
        <v>0</v>
      </c>
      <c r="AX16">
        <f>VLOOKUP(Table29[[#This Row],[Shortname]], Comp[], 29, FALSE)</f>
        <v>0</v>
      </c>
      <c r="AY16">
        <f>VLOOKUP(Table29[[#This Row],[Shortname]], Comp[], 30, FALSE)</f>
        <v>0</v>
      </c>
      <c r="AZ16">
        <f>VLOOKUP(Table29[[#This Row],[Shortname]], Comp[], 31, FALSE)</f>
        <v>0</v>
      </c>
    </row>
    <row r="17" spans="1:52" x14ac:dyDescent="0.3">
      <c r="A17" t="s">
        <v>230</v>
      </c>
      <c r="B17">
        <v>4</v>
      </c>
      <c r="C17">
        <v>24</v>
      </c>
      <c r="D17" t="s">
        <v>231</v>
      </c>
      <c r="E17" t="s">
        <v>95</v>
      </c>
      <c r="F17" t="s">
        <v>232</v>
      </c>
      <c r="G17" t="s">
        <v>233</v>
      </c>
      <c r="H17">
        <v>350</v>
      </c>
      <c r="I17">
        <v>2.2670000000000001E-7</v>
      </c>
      <c r="J17">
        <f>0.01/Table29[[#This Row],[Strain Rate (min) /s]]</f>
        <v>44111.160123511247</v>
      </c>
      <c r="K17">
        <f>LOG(Table29[[#This Row],[Time to 1% strain (s)]])</f>
        <v>4.6445484798734826</v>
      </c>
      <c r="L17">
        <v>850</v>
      </c>
      <c r="M17">
        <v>13.1</v>
      </c>
      <c r="P17" t="s">
        <v>7035</v>
      </c>
      <c r="Q17">
        <v>1300</v>
      </c>
      <c r="R17">
        <v>12</v>
      </c>
      <c r="S17">
        <v>900</v>
      </c>
      <c r="T17">
        <v>200</v>
      </c>
      <c r="W17">
        <v>1</v>
      </c>
      <c r="X17">
        <v>10</v>
      </c>
      <c r="Y17">
        <v>83</v>
      </c>
      <c r="AA17">
        <f>VLOOKUP(Table29[[#This Row],[Shortname]], Comp[], 6, FALSE)</f>
        <v>24</v>
      </c>
      <c r="AB17" s="14">
        <f>VLOOKUP(Table29[[#This Row],[Shortname]], Comp[], 7, FALSE)</f>
        <v>77.8</v>
      </c>
      <c r="AC17">
        <f>VLOOKUP(Table29[[#This Row],[Shortname]], Comp[], 8, FALSE)</f>
        <v>0</v>
      </c>
      <c r="AD17">
        <f>VLOOKUP(Table29[[#This Row],[Shortname]], Comp[], 9, FALSE)</f>
        <v>8.6</v>
      </c>
      <c r="AE17">
        <f>VLOOKUP(Table29[[#This Row],[Shortname]], Comp[], 10, FALSE)</f>
        <v>4.0999999999999996</v>
      </c>
      <c r="AF17">
        <f>VLOOKUP(Table29[[#This Row],[Shortname]], Comp[], 11, FALSE)</f>
        <v>9.5</v>
      </c>
      <c r="AG17">
        <f>VLOOKUP(Table29[[#This Row],[Shortname]], Comp[],12, FALSE)</f>
        <v>0</v>
      </c>
      <c r="AH17">
        <f>VLOOKUP(Table29[[#This Row],[Shortname]], Comp[], 13, FALSE)</f>
        <v>0</v>
      </c>
      <c r="AI17">
        <f>VLOOKUP(Table29[[#This Row],[Shortname]], Comp[], 14, FALSE)</f>
        <v>0</v>
      </c>
      <c r="AJ17">
        <f>VLOOKUP(Table29[[#This Row],[Shortname]], Comp[], 15, FALSE)</f>
        <v>0</v>
      </c>
      <c r="AK17">
        <f>VLOOKUP(Table29[[#This Row],[Shortname]], Comp[], 16, FALSE)</f>
        <v>0</v>
      </c>
      <c r="AL17">
        <f>VLOOKUP(Table29[[#This Row],[Shortname]], Comp[], 17, FALSE)</f>
        <v>0</v>
      </c>
      <c r="AM17">
        <f>VLOOKUP(Table29[[#This Row],[Shortname]], Comp[], 18, FALSE)</f>
        <v>0</v>
      </c>
      <c r="AN17">
        <f>VLOOKUP(Table29[[#This Row],[Shortname]], Comp[], 19, FALSE)</f>
        <v>0</v>
      </c>
      <c r="AO17">
        <f>VLOOKUP(Table29[[#This Row],[Shortname]], Comp[], 20, FALSE)</f>
        <v>0</v>
      </c>
      <c r="AP17">
        <f>VLOOKUP(Table29[[#This Row],[Shortname]], Comp[], 21, FALSE)</f>
        <v>0</v>
      </c>
      <c r="AQ17">
        <f>VLOOKUP(Table29[[#This Row],[Shortname]], Comp[], 22, FALSE)</f>
        <v>0</v>
      </c>
      <c r="AR17">
        <f>VLOOKUP(Table29[[#This Row],[Shortname]], Comp[], 23, FALSE)</f>
        <v>0</v>
      </c>
      <c r="AS17">
        <f>VLOOKUP(Table29[[#This Row],[Shortname]], Comp[], 24, FALSE)</f>
        <v>0</v>
      </c>
      <c r="AT17">
        <f>VLOOKUP(Table29[[#This Row],[Shortname]], Comp[], 25, FALSE)</f>
        <v>0</v>
      </c>
      <c r="AU17">
        <f>VLOOKUP(Table29[[#This Row],[Shortname]], Comp[], 26, FALSE)</f>
        <v>0</v>
      </c>
      <c r="AV17">
        <f>VLOOKUP(Table29[[#This Row],[Shortname]], Comp[], 27, FALSE)</f>
        <v>0</v>
      </c>
      <c r="AW17">
        <f>VLOOKUP(Table29[[#This Row],[Shortname]], Comp[], 28, FALSE)</f>
        <v>0</v>
      </c>
      <c r="AX17">
        <f>VLOOKUP(Table29[[#This Row],[Shortname]], Comp[], 29, FALSE)</f>
        <v>0</v>
      </c>
      <c r="AY17">
        <f>VLOOKUP(Table29[[#This Row],[Shortname]], Comp[], 30, FALSE)</f>
        <v>0</v>
      </c>
      <c r="AZ17">
        <f>VLOOKUP(Table29[[#This Row],[Shortname]], Comp[], 31, FALSE)</f>
        <v>0</v>
      </c>
    </row>
    <row r="18" spans="1:52" x14ac:dyDescent="0.3">
      <c r="A18" t="s">
        <v>230</v>
      </c>
      <c r="B18">
        <v>5</v>
      </c>
      <c r="C18">
        <v>24</v>
      </c>
      <c r="D18" t="s">
        <v>11</v>
      </c>
      <c r="E18" t="s">
        <v>95</v>
      </c>
      <c r="F18" t="s">
        <v>232</v>
      </c>
      <c r="G18" t="s">
        <v>233</v>
      </c>
      <c r="H18">
        <v>400</v>
      </c>
      <c r="I18">
        <v>9.5659000000000002E-7</v>
      </c>
      <c r="J18">
        <f>0.01/Table29[[#This Row],[Strain Rate (min) /s]]</f>
        <v>10453.79943340407</v>
      </c>
      <c r="K18">
        <f>LOG(Table29[[#This Row],[Time to 1% strain (s)]])</f>
        <v>4.0192741634677338</v>
      </c>
      <c r="L18">
        <v>850</v>
      </c>
      <c r="M18">
        <v>13.1</v>
      </c>
      <c r="P18" t="s">
        <v>7035</v>
      </c>
      <c r="Q18">
        <v>1300</v>
      </c>
      <c r="R18">
        <v>12</v>
      </c>
      <c r="S18">
        <v>900</v>
      </c>
      <c r="T18">
        <v>200</v>
      </c>
      <c r="W18">
        <v>1</v>
      </c>
      <c r="X18">
        <v>10</v>
      </c>
      <c r="Y18">
        <v>83</v>
      </c>
      <c r="AA18">
        <f>VLOOKUP(Table29[[#This Row],[Shortname]], Comp[], 6, FALSE)</f>
        <v>24</v>
      </c>
      <c r="AB18" s="14">
        <f>VLOOKUP(Table29[[#This Row],[Shortname]], Comp[], 7, FALSE)</f>
        <v>77.8</v>
      </c>
      <c r="AC18">
        <f>VLOOKUP(Table29[[#This Row],[Shortname]], Comp[], 8, FALSE)</f>
        <v>0</v>
      </c>
      <c r="AD18">
        <f>VLOOKUP(Table29[[#This Row],[Shortname]], Comp[], 9, FALSE)</f>
        <v>8.6</v>
      </c>
      <c r="AE18">
        <f>VLOOKUP(Table29[[#This Row],[Shortname]], Comp[], 10, FALSE)</f>
        <v>4.0999999999999996</v>
      </c>
      <c r="AF18">
        <f>VLOOKUP(Table29[[#This Row],[Shortname]], Comp[], 11, FALSE)</f>
        <v>9.5</v>
      </c>
      <c r="AG18">
        <f>VLOOKUP(Table29[[#This Row],[Shortname]], Comp[],12, FALSE)</f>
        <v>0</v>
      </c>
      <c r="AH18">
        <f>VLOOKUP(Table29[[#This Row],[Shortname]], Comp[], 13, FALSE)</f>
        <v>0</v>
      </c>
      <c r="AI18">
        <f>VLOOKUP(Table29[[#This Row],[Shortname]], Comp[], 14, FALSE)</f>
        <v>0</v>
      </c>
      <c r="AJ18">
        <f>VLOOKUP(Table29[[#This Row],[Shortname]], Comp[], 15, FALSE)</f>
        <v>0</v>
      </c>
      <c r="AK18">
        <f>VLOOKUP(Table29[[#This Row],[Shortname]], Comp[], 16, FALSE)</f>
        <v>0</v>
      </c>
      <c r="AL18">
        <f>VLOOKUP(Table29[[#This Row],[Shortname]], Comp[], 17, FALSE)</f>
        <v>0</v>
      </c>
      <c r="AM18">
        <f>VLOOKUP(Table29[[#This Row],[Shortname]], Comp[], 18, FALSE)</f>
        <v>0</v>
      </c>
      <c r="AN18">
        <f>VLOOKUP(Table29[[#This Row],[Shortname]], Comp[], 19, FALSE)</f>
        <v>0</v>
      </c>
      <c r="AO18">
        <f>VLOOKUP(Table29[[#This Row],[Shortname]], Comp[], 20, FALSE)</f>
        <v>0</v>
      </c>
      <c r="AP18">
        <f>VLOOKUP(Table29[[#This Row],[Shortname]], Comp[], 21, FALSE)</f>
        <v>0</v>
      </c>
      <c r="AQ18">
        <f>VLOOKUP(Table29[[#This Row],[Shortname]], Comp[], 22, FALSE)</f>
        <v>0</v>
      </c>
      <c r="AR18">
        <f>VLOOKUP(Table29[[#This Row],[Shortname]], Comp[], 23, FALSE)</f>
        <v>0</v>
      </c>
      <c r="AS18">
        <f>VLOOKUP(Table29[[#This Row],[Shortname]], Comp[], 24, FALSE)</f>
        <v>0</v>
      </c>
      <c r="AT18">
        <f>VLOOKUP(Table29[[#This Row],[Shortname]], Comp[], 25, FALSE)</f>
        <v>0</v>
      </c>
      <c r="AU18">
        <f>VLOOKUP(Table29[[#This Row],[Shortname]], Comp[], 26, FALSE)</f>
        <v>0</v>
      </c>
      <c r="AV18">
        <f>VLOOKUP(Table29[[#This Row],[Shortname]], Comp[], 27, FALSE)</f>
        <v>0</v>
      </c>
      <c r="AW18">
        <f>VLOOKUP(Table29[[#This Row],[Shortname]], Comp[], 28, FALSE)</f>
        <v>0</v>
      </c>
      <c r="AX18">
        <f>VLOOKUP(Table29[[#This Row],[Shortname]], Comp[], 29, FALSE)</f>
        <v>0</v>
      </c>
      <c r="AY18">
        <f>VLOOKUP(Table29[[#This Row],[Shortname]], Comp[], 30, FALSE)</f>
        <v>0</v>
      </c>
      <c r="AZ18">
        <f>VLOOKUP(Table29[[#This Row],[Shortname]], Comp[], 31, FALSE)</f>
        <v>0</v>
      </c>
    </row>
    <row r="19" spans="1:52" x14ac:dyDescent="0.3">
      <c r="A19" t="s">
        <v>230</v>
      </c>
      <c r="B19">
        <v>6</v>
      </c>
      <c r="C19">
        <v>24</v>
      </c>
      <c r="D19" t="s">
        <v>11</v>
      </c>
      <c r="E19" t="s">
        <v>95</v>
      </c>
      <c r="F19" t="s">
        <v>232</v>
      </c>
      <c r="G19" t="s">
        <v>233</v>
      </c>
      <c r="H19">
        <v>450</v>
      </c>
      <c r="I19">
        <v>6.1075999999999998E-6</v>
      </c>
      <c r="J19">
        <f>0.01/Table29[[#This Row],[Strain Rate (min) /s]]</f>
        <v>1637.3043421311154</v>
      </c>
      <c r="K19">
        <f>LOG(Table29[[#This Row],[Time to 1% strain (s)]])</f>
        <v>3.2141294135739029</v>
      </c>
      <c r="L19">
        <v>850</v>
      </c>
      <c r="M19">
        <v>13.1</v>
      </c>
      <c r="P19" t="s">
        <v>7035</v>
      </c>
      <c r="Q19">
        <v>1300</v>
      </c>
      <c r="R19">
        <v>12</v>
      </c>
      <c r="S19">
        <v>900</v>
      </c>
      <c r="T19">
        <v>200</v>
      </c>
      <c r="W19">
        <v>1</v>
      </c>
      <c r="X19">
        <v>10</v>
      </c>
      <c r="Y19">
        <v>83</v>
      </c>
      <c r="AA19">
        <f>VLOOKUP(Table29[[#This Row],[Shortname]], Comp[], 6, FALSE)</f>
        <v>24</v>
      </c>
      <c r="AB19" s="14">
        <f>VLOOKUP(Table29[[#This Row],[Shortname]], Comp[], 7, FALSE)</f>
        <v>77.8</v>
      </c>
      <c r="AC19">
        <f>VLOOKUP(Table29[[#This Row],[Shortname]], Comp[], 8, FALSE)</f>
        <v>0</v>
      </c>
      <c r="AD19">
        <f>VLOOKUP(Table29[[#This Row],[Shortname]], Comp[], 9, FALSE)</f>
        <v>8.6</v>
      </c>
      <c r="AE19">
        <f>VLOOKUP(Table29[[#This Row],[Shortname]], Comp[], 10, FALSE)</f>
        <v>4.0999999999999996</v>
      </c>
      <c r="AF19">
        <f>VLOOKUP(Table29[[#This Row],[Shortname]], Comp[], 11, FALSE)</f>
        <v>9.5</v>
      </c>
      <c r="AG19">
        <f>VLOOKUP(Table29[[#This Row],[Shortname]], Comp[],12, FALSE)</f>
        <v>0</v>
      </c>
      <c r="AH19">
        <f>VLOOKUP(Table29[[#This Row],[Shortname]], Comp[], 13, FALSE)</f>
        <v>0</v>
      </c>
      <c r="AI19">
        <f>VLOOKUP(Table29[[#This Row],[Shortname]], Comp[], 14, FALSE)</f>
        <v>0</v>
      </c>
      <c r="AJ19">
        <f>VLOOKUP(Table29[[#This Row],[Shortname]], Comp[], 15, FALSE)</f>
        <v>0</v>
      </c>
      <c r="AK19">
        <f>VLOOKUP(Table29[[#This Row],[Shortname]], Comp[], 16, FALSE)</f>
        <v>0</v>
      </c>
      <c r="AL19">
        <f>VLOOKUP(Table29[[#This Row],[Shortname]], Comp[], 17, FALSE)</f>
        <v>0</v>
      </c>
      <c r="AM19">
        <f>VLOOKUP(Table29[[#This Row],[Shortname]], Comp[], 18, FALSE)</f>
        <v>0</v>
      </c>
      <c r="AN19">
        <f>VLOOKUP(Table29[[#This Row],[Shortname]], Comp[], 19, FALSE)</f>
        <v>0</v>
      </c>
      <c r="AO19">
        <f>VLOOKUP(Table29[[#This Row],[Shortname]], Comp[], 20, FALSE)</f>
        <v>0</v>
      </c>
      <c r="AP19">
        <f>VLOOKUP(Table29[[#This Row],[Shortname]], Comp[], 21, FALSE)</f>
        <v>0</v>
      </c>
      <c r="AQ19">
        <f>VLOOKUP(Table29[[#This Row],[Shortname]], Comp[], 22, FALSE)</f>
        <v>0</v>
      </c>
      <c r="AR19">
        <f>VLOOKUP(Table29[[#This Row],[Shortname]], Comp[], 23, FALSE)</f>
        <v>0</v>
      </c>
      <c r="AS19">
        <f>VLOOKUP(Table29[[#This Row],[Shortname]], Comp[], 24, FALSE)</f>
        <v>0</v>
      </c>
      <c r="AT19">
        <f>VLOOKUP(Table29[[#This Row],[Shortname]], Comp[], 25, FALSE)</f>
        <v>0</v>
      </c>
      <c r="AU19">
        <f>VLOOKUP(Table29[[#This Row],[Shortname]], Comp[], 26, FALSE)</f>
        <v>0</v>
      </c>
      <c r="AV19">
        <f>VLOOKUP(Table29[[#This Row],[Shortname]], Comp[], 27, FALSE)</f>
        <v>0</v>
      </c>
      <c r="AW19">
        <f>VLOOKUP(Table29[[#This Row],[Shortname]], Comp[], 28, FALSE)</f>
        <v>0</v>
      </c>
      <c r="AX19">
        <f>VLOOKUP(Table29[[#This Row],[Shortname]], Comp[], 29, FALSE)</f>
        <v>0</v>
      </c>
      <c r="AY19">
        <f>VLOOKUP(Table29[[#This Row],[Shortname]], Comp[], 30, FALSE)</f>
        <v>0</v>
      </c>
      <c r="AZ19">
        <f>VLOOKUP(Table29[[#This Row],[Shortname]], Comp[], 31, FALSE)</f>
        <v>0</v>
      </c>
    </row>
    <row r="20" spans="1:52" x14ac:dyDescent="0.3">
      <c r="A20" t="s">
        <v>230</v>
      </c>
      <c r="B20">
        <v>16</v>
      </c>
      <c r="C20">
        <v>24</v>
      </c>
      <c r="D20" t="s">
        <v>11</v>
      </c>
      <c r="E20" t="s">
        <v>95</v>
      </c>
      <c r="F20" t="s">
        <v>232</v>
      </c>
      <c r="G20" t="s">
        <v>260</v>
      </c>
      <c r="H20">
        <v>200</v>
      </c>
      <c r="I20">
        <v>2.3907E-5</v>
      </c>
      <c r="J20">
        <f>0.01/Table29[[#This Row],[Strain Rate (min) /s]]</f>
        <v>418.28753084870539</v>
      </c>
      <c r="K20">
        <f>LOG(Table29[[#This Row],[Time to 1% strain (s)]])</f>
        <v>2.6214749184550858</v>
      </c>
      <c r="L20">
        <v>950</v>
      </c>
      <c r="M20">
        <v>6.3</v>
      </c>
      <c r="P20" t="s">
        <v>7035</v>
      </c>
      <c r="Q20">
        <v>1300</v>
      </c>
      <c r="R20">
        <v>12</v>
      </c>
      <c r="S20">
        <v>900</v>
      </c>
      <c r="T20">
        <v>200</v>
      </c>
      <c r="W20">
        <v>1</v>
      </c>
      <c r="X20">
        <v>10</v>
      </c>
      <c r="Y20">
        <v>83</v>
      </c>
      <c r="AA20">
        <f>VLOOKUP(Table29[[#This Row],[Shortname]], Comp[], 6, FALSE)</f>
        <v>24</v>
      </c>
      <c r="AB20" s="14">
        <f>VLOOKUP(Table29[[#This Row],[Shortname]], Comp[], 7, FALSE)</f>
        <v>77.8</v>
      </c>
      <c r="AC20">
        <f>VLOOKUP(Table29[[#This Row],[Shortname]], Comp[], 8, FALSE)</f>
        <v>0</v>
      </c>
      <c r="AD20">
        <f>VLOOKUP(Table29[[#This Row],[Shortname]], Comp[], 9, FALSE)</f>
        <v>8.6</v>
      </c>
      <c r="AE20">
        <f>VLOOKUP(Table29[[#This Row],[Shortname]], Comp[], 10, FALSE)</f>
        <v>4.0999999999999996</v>
      </c>
      <c r="AF20">
        <f>VLOOKUP(Table29[[#This Row],[Shortname]], Comp[], 11, FALSE)</f>
        <v>9.5</v>
      </c>
      <c r="AG20">
        <f>VLOOKUP(Table29[[#This Row],[Shortname]], Comp[],12, FALSE)</f>
        <v>0</v>
      </c>
      <c r="AH20">
        <f>VLOOKUP(Table29[[#This Row],[Shortname]], Comp[], 13, FALSE)</f>
        <v>0</v>
      </c>
      <c r="AI20">
        <f>VLOOKUP(Table29[[#This Row],[Shortname]], Comp[], 14, FALSE)</f>
        <v>0</v>
      </c>
      <c r="AJ20">
        <f>VLOOKUP(Table29[[#This Row],[Shortname]], Comp[], 15, FALSE)</f>
        <v>0</v>
      </c>
      <c r="AK20">
        <f>VLOOKUP(Table29[[#This Row],[Shortname]], Comp[], 16, FALSE)</f>
        <v>0</v>
      </c>
      <c r="AL20">
        <f>VLOOKUP(Table29[[#This Row],[Shortname]], Comp[], 17, FALSE)</f>
        <v>0</v>
      </c>
      <c r="AM20">
        <f>VLOOKUP(Table29[[#This Row],[Shortname]], Comp[], 18, FALSE)</f>
        <v>0</v>
      </c>
      <c r="AN20">
        <f>VLOOKUP(Table29[[#This Row],[Shortname]], Comp[], 19, FALSE)</f>
        <v>0</v>
      </c>
      <c r="AO20">
        <f>VLOOKUP(Table29[[#This Row],[Shortname]], Comp[], 20, FALSE)</f>
        <v>0</v>
      </c>
      <c r="AP20">
        <f>VLOOKUP(Table29[[#This Row],[Shortname]], Comp[], 21, FALSE)</f>
        <v>0</v>
      </c>
      <c r="AQ20">
        <f>VLOOKUP(Table29[[#This Row],[Shortname]], Comp[], 22, FALSE)</f>
        <v>0</v>
      </c>
      <c r="AR20">
        <f>VLOOKUP(Table29[[#This Row],[Shortname]], Comp[], 23, FALSE)</f>
        <v>0</v>
      </c>
      <c r="AS20">
        <f>VLOOKUP(Table29[[#This Row],[Shortname]], Comp[], 24, FALSE)</f>
        <v>0</v>
      </c>
      <c r="AT20">
        <f>VLOOKUP(Table29[[#This Row],[Shortname]], Comp[], 25, FALSE)</f>
        <v>0</v>
      </c>
      <c r="AU20">
        <f>VLOOKUP(Table29[[#This Row],[Shortname]], Comp[], 26, FALSE)</f>
        <v>0</v>
      </c>
      <c r="AV20">
        <f>VLOOKUP(Table29[[#This Row],[Shortname]], Comp[], 27, FALSE)</f>
        <v>0</v>
      </c>
      <c r="AW20">
        <f>VLOOKUP(Table29[[#This Row],[Shortname]], Comp[], 28, FALSE)</f>
        <v>0</v>
      </c>
      <c r="AX20">
        <f>VLOOKUP(Table29[[#This Row],[Shortname]], Comp[], 29, FALSE)</f>
        <v>0</v>
      </c>
      <c r="AY20">
        <f>VLOOKUP(Table29[[#This Row],[Shortname]], Comp[], 30, FALSE)</f>
        <v>0</v>
      </c>
      <c r="AZ20">
        <f>VLOOKUP(Table29[[#This Row],[Shortname]], Comp[], 31, FALSE)</f>
        <v>0</v>
      </c>
    </row>
    <row r="21" spans="1:52" x14ac:dyDescent="0.3">
      <c r="A21" t="s">
        <v>240</v>
      </c>
      <c r="B21">
        <v>7</v>
      </c>
      <c r="C21">
        <v>25</v>
      </c>
      <c r="D21" t="s">
        <v>241</v>
      </c>
      <c r="E21" t="s">
        <v>95</v>
      </c>
      <c r="F21" t="s">
        <v>242</v>
      </c>
      <c r="G21" t="s">
        <v>243</v>
      </c>
      <c r="H21">
        <v>350</v>
      </c>
      <c r="I21">
        <v>1.6293E-6</v>
      </c>
      <c r="J21">
        <f>0.01/Table29[[#This Row],[Strain Rate (min) /s]]</f>
        <v>6137.6051064874491</v>
      </c>
      <c r="K21">
        <f>LOG(Table29[[#This Row],[Time to 1% strain (s)]])</f>
        <v>3.7879989424877101</v>
      </c>
      <c r="L21">
        <v>850</v>
      </c>
      <c r="M21">
        <v>8</v>
      </c>
      <c r="P21" t="s">
        <v>7036</v>
      </c>
      <c r="Q21">
        <v>1300</v>
      </c>
      <c r="R21">
        <v>12</v>
      </c>
      <c r="S21">
        <v>900</v>
      </c>
      <c r="T21">
        <v>200</v>
      </c>
      <c r="W21">
        <v>1</v>
      </c>
      <c r="X21">
        <v>10</v>
      </c>
      <c r="Y21">
        <v>83</v>
      </c>
      <c r="AA21">
        <f>VLOOKUP(Table29[[#This Row],[Shortname]], Comp[], 6, FALSE)</f>
        <v>25</v>
      </c>
      <c r="AB21" s="14">
        <f>VLOOKUP(Table29[[#This Row],[Shortname]], Comp[], 7, FALSE)</f>
        <v>73.5</v>
      </c>
      <c r="AC21">
        <f>VLOOKUP(Table29[[#This Row],[Shortname]], Comp[], 8, FALSE)</f>
        <v>0</v>
      </c>
      <c r="AD21">
        <f>VLOOKUP(Table29[[#This Row],[Shortname]], Comp[], 9, FALSE)</f>
        <v>8.6999999999999993</v>
      </c>
      <c r="AE21">
        <f>VLOOKUP(Table29[[#This Row],[Shortname]], Comp[], 10, FALSE)</f>
        <v>8.1999999999999993</v>
      </c>
      <c r="AF21">
        <f>VLOOKUP(Table29[[#This Row],[Shortname]], Comp[], 11, FALSE)</f>
        <v>9.6</v>
      </c>
      <c r="AG21">
        <f>VLOOKUP(Table29[[#This Row],[Shortname]], Comp[],12, FALSE)</f>
        <v>0</v>
      </c>
      <c r="AH21">
        <f>VLOOKUP(Table29[[#This Row],[Shortname]], Comp[], 13, FALSE)</f>
        <v>0</v>
      </c>
      <c r="AI21">
        <f>VLOOKUP(Table29[[#This Row],[Shortname]], Comp[], 14, FALSE)</f>
        <v>0</v>
      </c>
      <c r="AJ21">
        <f>VLOOKUP(Table29[[#This Row],[Shortname]], Comp[], 15, FALSE)</f>
        <v>0</v>
      </c>
      <c r="AK21">
        <f>VLOOKUP(Table29[[#This Row],[Shortname]], Comp[], 16, FALSE)</f>
        <v>0</v>
      </c>
      <c r="AL21">
        <f>VLOOKUP(Table29[[#This Row],[Shortname]], Comp[], 17, FALSE)</f>
        <v>0</v>
      </c>
      <c r="AM21">
        <f>VLOOKUP(Table29[[#This Row],[Shortname]], Comp[], 18, FALSE)</f>
        <v>0</v>
      </c>
      <c r="AN21">
        <f>VLOOKUP(Table29[[#This Row],[Shortname]], Comp[], 19, FALSE)</f>
        <v>0</v>
      </c>
      <c r="AO21">
        <f>VLOOKUP(Table29[[#This Row],[Shortname]], Comp[], 20, FALSE)</f>
        <v>0</v>
      </c>
      <c r="AP21">
        <f>VLOOKUP(Table29[[#This Row],[Shortname]], Comp[], 21, FALSE)</f>
        <v>0</v>
      </c>
      <c r="AQ21">
        <f>VLOOKUP(Table29[[#This Row],[Shortname]], Comp[], 22, FALSE)</f>
        <v>0</v>
      </c>
      <c r="AR21">
        <f>VLOOKUP(Table29[[#This Row],[Shortname]], Comp[], 23, FALSE)</f>
        <v>0</v>
      </c>
      <c r="AS21">
        <f>VLOOKUP(Table29[[#This Row],[Shortname]], Comp[], 24, FALSE)</f>
        <v>0</v>
      </c>
      <c r="AT21">
        <f>VLOOKUP(Table29[[#This Row],[Shortname]], Comp[], 25, FALSE)</f>
        <v>0</v>
      </c>
      <c r="AU21">
        <f>VLOOKUP(Table29[[#This Row],[Shortname]], Comp[], 26, FALSE)</f>
        <v>0</v>
      </c>
      <c r="AV21">
        <f>VLOOKUP(Table29[[#This Row],[Shortname]], Comp[], 27, FALSE)</f>
        <v>0</v>
      </c>
      <c r="AW21">
        <f>VLOOKUP(Table29[[#This Row],[Shortname]], Comp[], 28, FALSE)</f>
        <v>0</v>
      </c>
      <c r="AX21">
        <f>VLOOKUP(Table29[[#This Row],[Shortname]], Comp[], 29, FALSE)</f>
        <v>0</v>
      </c>
      <c r="AY21">
        <f>VLOOKUP(Table29[[#This Row],[Shortname]], Comp[], 30, FALSE)</f>
        <v>0</v>
      </c>
      <c r="AZ21">
        <f>VLOOKUP(Table29[[#This Row],[Shortname]], Comp[], 31, FALSE)</f>
        <v>0</v>
      </c>
    </row>
    <row r="22" spans="1:52" x14ac:dyDescent="0.3">
      <c r="A22" t="s">
        <v>240</v>
      </c>
      <c r="B22">
        <v>8</v>
      </c>
      <c r="C22">
        <v>25</v>
      </c>
      <c r="D22" t="s">
        <v>11</v>
      </c>
      <c r="E22" t="s">
        <v>95</v>
      </c>
      <c r="F22" t="s">
        <v>242</v>
      </c>
      <c r="G22" t="s">
        <v>243</v>
      </c>
      <c r="H22">
        <v>400</v>
      </c>
      <c r="I22">
        <v>4.2823999999999999E-6</v>
      </c>
      <c r="J22">
        <f>0.01/Table29[[#This Row],[Strain Rate (min) /s]]</f>
        <v>2335.1391742947881</v>
      </c>
      <c r="K22">
        <f>LOG(Table29[[#This Row],[Time to 1% strain (s)]])</f>
        <v>3.3683127696246249</v>
      </c>
      <c r="L22">
        <v>850</v>
      </c>
      <c r="M22">
        <v>8</v>
      </c>
      <c r="P22" t="s">
        <v>7036</v>
      </c>
      <c r="Q22">
        <v>1300</v>
      </c>
      <c r="R22">
        <v>12</v>
      </c>
      <c r="S22">
        <v>900</v>
      </c>
      <c r="T22">
        <v>200</v>
      </c>
      <c r="W22">
        <v>1</v>
      </c>
      <c r="X22">
        <v>10</v>
      </c>
      <c r="Y22">
        <v>83</v>
      </c>
      <c r="AA22">
        <f>VLOOKUP(Table29[[#This Row],[Shortname]], Comp[], 6, FALSE)</f>
        <v>25</v>
      </c>
      <c r="AB22" s="14">
        <f>VLOOKUP(Table29[[#This Row],[Shortname]], Comp[], 7, FALSE)</f>
        <v>73.5</v>
      </c>
      <c r="AC22">
        <f>VLOOKUP(Table29[[#This Row],[Shortname]], Comp[], 8, FALSE)</f>
        <v>0</v>
      </c>
      <c r="AD22">
        <f>VLOOKUP(Table29[[#This Row],[Shortname]], Comp[], 9, FALSE)</f>
        <v>8.6999999999999993</v>
      </c>
      <c r="AE22">
        <f>VLOOKUP(Table29[[#This Row],[Shortname]], Comp[], 10, FALSE)</f>
        <v>8.1999999999999993</v>
      </c>
      <c r="AF22">
        <f>VLOOKUP(Table29[[#This Row],[Shortname]], Comp[], 11, FALSE)</f>
        <v>9.6</v>
      </c>
      <c r="AG22">
        <f>VLOOKUP(Table29[[#This Row],[Shortname]], Comp[],12, FALSE)</f>
        <v>0</v>
      </c>
      <c r="AH22">
        <f>VLOOKUP(Table29[[#This Row],[Shortname]], Comp[], 13, FALSE)</f>
        <v>0</v>
      </c>
      <c r="AI22">
        <f>VLOOKUP(Table29[[#This Row],[Shortname]], Comp[], 14, FALSE)</f>
        <v>0</v>
      </c>
      <c r="AJ22">
        <f>VLOOKUP(Table29[[#This Row],[Shortname]], Comp[], 15, FALSE)</f>
        <v>0</v>
      </c>
      <c r="AK22">
        <f>VLOOKUP(Table29[[#This Row],[Shortname]], Comp[], 16, FALSE)</f>
        <v>0</v>
      </c>
      <c r="AL22">
        <f>VLOOKUP(Table29[[#This Row],[Shortname]], Comp[], 17, FALSE)</f>
        <v>0</v>
      </c>
      <c r="AM22">
        <f>VLOOKUP(Table29[[#This Row],[Shortname]], Comp[], 18, FALSE)</f>
        <v>0</v>
      </c>
      <c r="AN22">
        <f>VLOOKUP(Table29[[#This Row],[Shortname]], Comp[], 19, FALSE)</f>
        <v>0</v>
      </c>
      <c r="AO22">
        <f>VLOOKUP(Table29[[#This Row],[Shortname]], Comp[], 20, FALSE)</f>
        <v>0</v>
      </c>
      <c r="AP22">
        <f>VLOOKUP(Table29[[#This Row],[Shortname]], Comp[], 21, FALSE)</f>
        <v>0</v>
      </c>
      <c r="AQ22">
        <f>VLOOKUP(Table29[[#This Row],[Shortname]], Comp[], 22, FALSE)</f>
        <v>0</v>
      </c>
      <c r="AR22">
        <f>VLOOKUP(Table29[[#This Row],[Shortname]], Comp[], 23, FALSE)</f>
        <v>0</v>
      </c>
      <c r="AS22">
        <f>VLOOKUP(Table29[[#This Row],[Shortname]], Comp[], 24, FALSE)</f>
        <v>0</v>
      </c>
      <c r="AT22">
        <f>VLOOKUP(Table29[[#This Row],[Shortname]], Comp[], 25, FALSE)</f>
        <v>0</v>
      </c>
      <c r="AU22">
        <f>VLOOKUP(Table29[[#This Row],[Shortname]], Comp[], 26, FALSE)</f>
        <v>0</v>
      </c>
      <c r="AV22">
        <f>VLOOKUP(Table29[[#This Row],[Shortname]], Comp[], 27, FALSE)</f>
        <v>0</v>
      </c>
      <c r="AW22">
        <f>VLOOKUP(Table29[[#This Row],[Shortname]], Comp[], 28, FALSE)</f>
        <v>0</v>
      </c>
      <c r="AX22">
        <f>VLOOKUP(Table29[[#This Row],[Shortname]], Comp[], 29, FALSE)</f>
        <v>0</v>
      </c>
      <c r="AY22">
        <f>VLOOKUP(Table29[[#This Row],[Shortname]], Comp[], 30, FALSE)</f>
        <v>0</v>
      </c>
      <c r="AZ22">
        <f>VLOOKUP(Table29[[#This Row],[Shortname]], Comp[], 31, FALSE)</f>
        <v>0</v>
      </c>
    </row>
    <row r="23" spans="1:52" x14ac:dyDescent="0.3">
      <c r="A23" t="s">
        <v>240</v>
      </c>
      <c r="B23">
        <v>9</v>
      </c>
      <c r="C23">
        <v>25</v>
      </c>
      <c r="D23" t="s">
        <v>11</v>
      </c>
      <c r="E23" t="s">
        <v>95</v>
      </c>
      <c r="F23" t="s">
        <v>242</v>
      </c>
      <c r="G23" t="s">
        <v>243</v>
      </c>
      <c r="H23">
        <v>450</v>
      </c>
      <c r="I23">
        <v>1.1942E-5</v>
      </c>
      <c r="J23">
        <f>0.01/Table29[[#This Row],[Strain Rate (min) /s]]</f>
        <v>837.38067325406132</v>
      </c>
      <c r="K23">
        <f>LOG(Table29[[#This Row],[Time to 1% strain (s)]])</f>
        <v>2.922922933154239</v>
      </c>
      <c r="L23">
        <v>850</v>
      </c>
      <c r="M23">
        <v>8</v>
      </c>
      <c r="P23" t="s">
        <v>7036</v>
      </c>
      <c r="Q23">
        <v>1300</v>
      </c>
      <c r="R23">
        <v>12</v>
      </c>
      <c r="S23">
        <v>900</v>
      </c>
      <c r="T23">
        <v>200</v>
      </c>
      <c r="W23">
        <v>1</v>
      </c>
      <c r="X23">
        <v>10</v>
      </c>
      <c r="Y23">
        <v>83</v>
      </c>
      <c r="AA23">
        <f>VLOOKUP(Table29[[#This Row],[Shortname]], Comp[], 6, FALSE)</f>
        <v>25</v>
      </c>
      <c r="AB23" s="14">
        <f>VLOOKUP(Table29[[#This Row],[Shortname]], Comp[], 7, FALSE)</f>
        <v>73.5</v>
      </c>
      <c r="AC23">
        <f>VLOOKUP(Table29[[#This Row],[Shortname]], Comp[], 8, FALSE)</f>
        <v>0</v>
      </c>
      <c r="AD23">
        <f>VLOOKUP(Table29[[#This Row],[Shortname]], Comp[], 9, FALSE)</f>
        <v>8.6999999999999993</v>
      </c>
      <c r="AE23">
        <f>VLOOKUP(Table29[[#This Row],[Shortname]], Comp[], 10, FALSE)</f>
        <v>8.1999999999999993</v>
      </c>
      <c r="AF23">
        <f>VLOOKUP(Table29[[#This Row],[Shortname]], Comp[], 11, FALSE)</f>
        <v>9.6</v>
      </c>
      <c r="AG23">
        <f>VLOOKUP(Table29[[#This Row],[Shortname]], Comp[],12, FALSE)</f>
        <v>0</v>
      </c>
      <c r="AH23">
        <f>VLOOKUP(Table29[[#This Row],[Shortname]], Comp[], 13, FALSE)</f>
        <v>0</v>
      </c>
      <c r="AI23">
        <f>VLOOKUP(Table29[[#This Row],[Shortname]], Comp[], 14, FALSE)</f>
        <v>0</v>
      </c>
      <c r="AJ23">
        <f>VLOOKUP(Table29[[#This Row],[Shortname]], Comp[], 15, FALSE)</f>
        <v>0</v>
      </c>
      <c r="AK23">
        <f>VLOOKUP(Table29[[#This Row],[Shortname]], Comp[], 16, FALSE)</f>
        <v>0</v>
      </c>
      <c r="AL23">
        <f>VLOOKUP(Table29[[#This Row],[Shortname]], Comp[], 17, FALSE)</f>
        <v>0</v>
      </c>
      <c r="AM23">
        <f>VLOOKUP(Table29[[#This Row],[Shortname]], Comp[], 18, FALSE)</f>
        <v>0</v>
      </c>
      <c r="AN23">
        <f>VLOOKUP(Table29[[#This Row],[Shortname]], Comp[], 19, FALSE)</f>
        <v>0</v>
      </c>
      <c r="AO23">
        <f>VLOOKUP(Table29[[#This Row],[Shortname]], Comp[], 20, FALSE)</f>
        <v>0</v>
      </c>
      <c r="AP23">
        <f>VLOOKUP(Table29[[#This Row],[Shortname]], Comp[], 21, FALSE)</f>
        <v>0</v>
      </c>
      <c r="AQ23">
        <f>VLOOKUP(Table29[[#This Row],[Shortname]], Comp[], 22, FALSE)</f>
        <v>0</v>
      </c>
      <c r="AR23">
        <f>VLOOKUP(Table29[[#This Row],[Shortname]], Comp[], 23, FALSE)</f>
        <v>0</v>
      </c>
      <c r="AS23">
        <f>VLOOKUP(Table29[[#This Row],[Shortname]], Comp[], 24, FALSE)</f>
        <v>0</v>
      </c>
      <c r="AT23">
        <f>VLOOKUP(Table29[[#This Row],[Shortname]], Comp[], 25, FALSE)</f>
        <v>0</v>
      </c>
      <c r="AU23">
        <f>VLOOKUP(Table29[[#This Row],[Shortname]], Comp[], 26, FALSE)</f>
        <v>0</v>
      </c>
      <c r="AV23">
        <f>VLOOKUP(Table29[[#This Row],[Shortname]], Comp[], 27, FALSE)</f>
        <v>0</v>
      </c>
      <c r="AW23">
        <f>VLOOKUP(Table29[[#This Row],[Shortname]], Comp[], 28, FALSE)</f>
        <v>0</v>
      </c>
      <c r="AX23">
        <f>VLOOKUP(Table29[[#This Row],[Shortname]], Comp[], 29, FALSE)</f>
        <v>0</v>
      </c>
      <c r="AY23">
        <f>VLOOKUP(Table29[[#This Row],[Shortname]], Comp[], 30, FALSE)</f>
        <v>0</v>
      </c>
      <c r="AZ23">
        <f>VLOOKUP(Table29[[#This Row],[Shortname]], Comp[], 31, FALSE)</f>
        <v>0</v>
      </c>
    </row>
    <row r="24" spans="1:52" x14ac:dyDescent="0.3">
      <c r="A24" t="s">
        <v>240</v>
      </c>
      <c r="B24">
        <v>17</v>
      </c>
      <c r="C24">
        <v>25</v>
      </c>
      <c r="D24" t="s">
        <v>11</v>
      </c>
      <c r="E24" t="s">
        <v>95</v>
      </c>
      <c r="F24" t="s">
        <v>242</v>
      </c>
      <c r="G24" t="s">
        <v>269</v>
      </c>
      <c r="H24">
        <v>80</v>
      </c>
      <c r="I24">
        <v>6.4254999999999999E-7</v>
      </c>
      <c r="J24">
        <f>0.01/Table29[[#This Row],[Strain Rate (min) /s]]</f>
        <v>15562.991206909968</v>
      </c>
      <c r="K24">
        <f>LOG(Table29[[#This Row],[Time to 1% strain (s)]])</f>
        <v>4.1920930720757212</v>
      </c>
      <c r="L24">
        <v>950</v>
      </c>
      <c r="M24">
        <v>7.3</v>
      </c>
      <c r="P24" t="s">
        <v>7036</v>
      </c>
      <c r="Q24">
        <v>1300</v>
      </c>
      <c r="R24">
        <v>12</v>
      </c>
      <c r="S24">
        <v>900</v>
      </c>
      <c r="T24">
        <v>200</v>
      </c>
      <c r="W24">
        <v>1</v>
      </c>
      <c r="X24">
        <v>10</v>
      </c>
      <c r="Y24">
        <v>83</v>
      </c>
      <c r="AA24">
        <f>VLOOKUP(Table29[[#This Row],[Shortname]], Comp[], 6, FALSE)</f>
        <v>25</v>
      </c>
      <c r="AB24" s="14">
        <f>VLOOKUP(Table29[[#This Row],[Shortname]], Comp[], 7, FALSE)</f>
        <v>73.5</v>
      </c>
      <c r="AC24">
        <f>VLOOKUP(Table29[[#This Row],[Shortname]], Comp[], 8, FALSE)</f>
        <v>0</v>
      </c>
      <c r="AD24">
        <f>VLOOKUP(Table29[[#This Row],[Shortname]], Comp[], 9, FALSE)</f>
        <v>8.6999999999999993</v>
      </c>
      <c r="AE24">
        <f>VLOOKUP(Table29[[#This Row],[Shortname]], Comp[], 10, FALSE)</f>
        <v>8.1999999999999993</v>
      </c>
      <c r="AF24">
        <f>VLOOKUP(Table29[[#This Row],[Shortname]], Comp[], 11, FALSE)</f>
        <v>9.6</v>
      </c>
      <c r="AG24">
        <f>VLOOKUP(Table29[[#This Row],[Shortname]], Comp[],12, FALSE)</f>
        <v>0</v>
      </c>
      <c r="AH24">
        <f>VLOOKUP(Table29[[#This Row],[Shortname]], Comp[], 13, FALSE)</f>
        <v>0</v>
      </c>
      <c r="AI24">
        <f>VLOOKUP(Table29[[#This Row],[Shortname]], Comp[], 14, FALSE)</f>
        <v>0</v>
      </c>
      <c r="AJ24">
        <f>VLOOKUP(Table29[[#This Row],[Shortname]], Comp[], 15, FALSE)</f>
        <v>0</v>
      </c>
      <c r="AK24">
        <f>VLOOKUP(Table29[[#This Row],[Shortname]], Comp[], 16, FALSE)</f>
        <v>0</v>
      </c>
      <c r="AL24">
        <f>VLOOKUP(Table29[[#This Row],[Shortname]], Comp[], 17, FALSE)</f>
        <v>0</v>
      </c>
      <c r="AM24">
        <f>VLOOKUP(Table29[[#This Row],[Shortname]], Comp[], 18, FALSE)</f>
        <v>0</v>
      </c>
      <c r="AN24">
        <f>VLOOKUP(Table29[[#This Row],[Shortname]], Comp[], 19, FALSE)</f>
        <v>0</v>
      </c>
      <c r="AO24">
        <f>VLOOKUP(Table29[[#This Row],[Shortname]], Comp[], 20, FALSE)</f>
        <v>0</v>
      </c>
      <c r="AP24">
        <f>VLOOKUP(Table29[[#This Row],[Shortname]], Comp[], 21, FALSE)</f>
        <v>0</v>
      </c>
      <c r="AQ24">
        <f>VLOOKUP(Table29[[#This Row],[Shortname]], Comp[], 22, FALSE)</f>
        <v>0</v>
      </c>
      <c r="AR24">
        <f>VLOOKUP(Table29[[#This Row],[Shortname]], Comp[], 23, FALSE)</f>
        <v>0</v>
      </c>
      <c r="AS24">
        <f>VLOOKUP(Table29[[#This Row],[Shortname]], Comp[], 24, FALSE)</f>
        <v>0</v>
      </c>
      <c r="AT24">
        <f>VLOOKUP(Table29[[#This Row],[Shortname]], Comp[], 25, FALSE)</f>
        <v>0</v>
      </c>
      <c r="AU24">
        <f>VLOOKUP(Table29[[#This Row],[Shortname]], Comp[], 26, FALSE)</f>
        <v>0</v>
      </c>
      <c r="AV24">
        <f>VLOOKUP(Table29[[#This Row],[Shortname]], Comp[], 27, FALSE)</f>
        <v>0</v>
      </c>
      <c r="AW24">
        <f>VLOOKUP(Table29[[#This Row],[Shortname]], Comp[], 28, FALSE)</f>
        <v>0</v>
      </c>
      <c r="AX24">
        <f>VLOOKUP(Table29[[#This Row],[Shortname]], Comp[], 29, FALSE)</f>
        <v>0</v>
      </c>
      <c r="AY24">
        <f>VLOOKUP(Table29[[#This Row],[Shortname]], Comp[], 30, FALSE)</f>
        <v>0</v>
      </c>
      <c r="AZ24">
        <f>VLOOKUP(Table29[[#This Row],[Shortname]], Comp[], 31, FALSE)</f>
        <v>0</v>
      </c>
    </row>
    <row r="25" spans="1:52" x14ac:dyDescent="0.3">
      <c r="A25" t="s">
        <v>240</v>
      </c>
      <c r="B25">
        <v>18</v>
      </c>
      <c r="C25">
        <v>25</v>
      </c>
      <c r="D25" t="s">
        <v>11</v>
      </c>
      <c r="E25" t="s">
        <v>95</v>
      </c>
      <c r="F25" t="s">
        <v>242</v>
      </c>
      <c r="G25" t="s">
        <v>269</v>
      </c>
      <c r="H25">
        <v>110</v>
      </c>
      <c r="I25">
        <v>6.8573999999999998E-6</v>
      </c>
      <c r="J25">
        <f>0.01/Table29[[#This Row],[Strain Rate (min) /s]]</f>
        <v>1458.2786478840378</v>
      </c>
      <c r="K25">
        <f>LOG(Table29[[#This Row],[Time to 1% strain (s)]])</f>
        <v>3.163840516900954</v>
      </c>
      <c r="L25">
        <v>950</v>
      </c>
      <c r="M25">
        <v>7.3</v>
      </c>
      <c r="P25" t="s">
        <v>7036</v>
      </c>
      <c r="Q25">
        <v>1300</v>
      </c>
      <c r="R25">
        <v>12</v>
      </c>
      <c r="S25">
        <v>900</v>
      </c>
      <c r="T25">
        <v>200</v>
      </c>
      <c r="W25">
        <v>1</v>
      </c>
      <c r="X25">
        <v>10</v>
      </c>
      <c r="Y25">
        <v>83</v>
      </c>
      <c r="AA25">
        <f>VLOOKUP(Table29[[#This Row],[Shortname]], Comp[], 6, FALSE)</f>
        <v>25</v>
      </c>
      <c r="AB25" s="14">
        <f>VLOOKUP(Table29[[#This Row],[Shortname]], Comp[], 7, FALSE)</f>
        <v>73.5</v>
      </c>
      <c r="AC25">
        <f>VLOOKUP(Table29[[#This Row],[Shortname]], Comp[], 8, FALSE)</f>
        <v>0</v>
      </c>
      <c r="AD25">
        <f>VLOOKUP(Table29[[#This Row],[Shortname]], Comp[], 9, FALSE)</f>
        <v>8.6999999999999993</v>
      </c>
      <c r="AE25">
        <f>VLOOKUP(Table29[[#This Row],[Shortname]], Comp[], 10, FALSE)</f>
        <v>8.1999999999999993</v>
      </c>
      <c r="AF25">
        <f>VLOOKUP(Table29[[#This Row],[Shortname]], Comp[], 11, FALSE)</f>
        <v>9.6</v>
      </c>
      <c r="AG25">
        <f>VLOOKUP(Table29[[#This Row],[Shortname]], Comp[],12, FALSE)</f>
        <v>0</v>
      </c>
      <c r="AH25">
        <f>VLOOKUP(Table29[[#This Row],[Shortname]], Comp[], 13, FALSE)</f>
        <v>0</v>
      </c>
      <c r="AI25">
        <f>VLOOKUP(Table29[[#This Row],[Shortname]], Comp[], 14, FALSE)</f>
        <v>0</v>
      </c>
      <c r="AJ25">
        <f>VLOOKUP(Table29[[#This Row],[Shortname]], Comp[], 15, FALSE)</f>
        <v>0</v>
      </c>
      <c r="AK25">
        <f>VLOOKUP(Table29[[#This Row],[Shortname]], Comp[], 16, FALSE)</f>
        <v>0</v>
      </c>
      <c r="AL25">
        <f>VLOOKUP(Table29[[#This Row],[Shortname]], Comp[], 17, FALSE)</f>
        <v>0</v>
      </c>
      <c r="AM25">
        <f>VLOOKUP(Table29[[#This Row],[Shortname]], Comp[], 18, FALSE)</f>
        <v>0</v>
      </c>
      <c r="AN25">
        <f>VLOOKUP(Table29[[#This Row],[Shortname]], Comp[], 19, FALSE)</f>
        <v>0</v>
      </c>
      <c r="AO25">
        <f>VLOOKUP(Table29[[#This Row],[Shortname]], Comp[], 20, FALSE)</f>
        <v>0</v>
      </c>
      <c r="AP25">
        <f>VLOOKUP(Table29[[#This Row],[Shortname]], Comp[], 21, FALSE)</f>
        <v>0</v>
      </c>
      <c r="AQ25">
        <f>VLOOKUP(Table29[[#This Row],[Shortname]], Comp[], 22, FALSE)</f>
        <v>0</v>
      </c>
      <c r="AR25">
        <f>VLOOKUP(Table29[[#This Row],[Shortname]], Comp[], 23, FALSE)</f>
        <v>0</v>
      </c>
      <c r="AS25">
        <f>VLOOKUP(Table29[[#This Row],[Shortname]], Comp[], 24, FALSE)</f>
        <v>0</v>
      </c>
      <c r="AT25">
        <f>VLOOKUP(Table29[[#This Row],[Shortname]], Comp[], 25, FALSE)</f>
        <v>0</v>
      </c>
      <c r="AU25">
        <f>VLOOKUP(Table29[[#This Row],[Shortname]], Comp[], 26, FALSE)</f>
        <v>0</v>
      </c>
      <c r="AV25">
        <f>VLOOKUP(Table29[[#This Row],[Shortname]], Comp[], 27, FALSE)</f>
        <v>0</v>
      </c>
      <c r="AW25">
        <f>VLOOKUP(Table29[[#This Row],[Shortname]], Comp[], 28, FALSE)</f>
        <v>0</v>
      </c>
      <c r="AX25">
        <f>VLOOKUP(Table29[[#This Row],[Shortname]], Comp[], 29, FALSE)</f>
        <v>0</v>
      </c>
      <c r="AY25">
        <f>VLOOKUP(Table29[[#This Row],[Shortname]], Comp[], 30, FALSE)</f>
        <v>0</v>
      </c>
      <c r="AZ25">
        <f>VLOOKUP(Table29[[#This Row],[Shortname]], Comp[], 31, FALSE)</f>
        <v>0</v>
      </c>
    </row>
    <row r="26" spans="1:52" x14ac:dyDescent="0.3">
      <c r="A26" t="s">
        <v>311</v>
      </c>
      <c r="B26">
        <v>32</v>
      </c>
      <c r="C26">
        <v>38</v>
      </c>
      <c r="D26" t="s">
        <v>312</v>
      </c>
      <c r="E26" t="s">
        <v>160</v>
      </c>
      <c r="F26" t="s">
        <v>313</v>
      </c>
      <c r="G26" t="s">
        <v>314</v>
      </c>
      <c r="H26">
        <v>500</v>
      </c>
      <c r="I26">
        <v>1.7199999999999999E-8</v>
      </c>
      <c r="J26">
        <f>0.01/Table29[[#This Row],[Strain Rate (min) /s]]</f>
        <v>581395.3488372094</v>
      </c>
      <c r="K26">
        <f>LOG(Table29[[#This Row],[Time to 1% strain (s)]])</f>
        <v>5.7644715530924513</v>
      </c>
      <c r="L26">
        <v>850</v>
      </c>
      <c r="M26">
        <v>12.1</v>
      </c>
      <c r="P26" t="s">
        <v>7037</v>
      </c>
      <c r="Q26">
        <v>1300</v>
      </c>
      <c r="R26">
        <v>12</v>
      </c>
      <c r="S26">
        <v>900</v>
      </c>
      <c r="T26">
        <v>50</v>
      </c>
      <c r="W26">
        <v>1</v>
      </c>
      <c r="X26">
        <v>10</v>
      </c>
      <c r="Y26">
        <v>75</v>
      </c>
      <c r="Z26" t="s">
        <v>7038</v>
      </c>
      <c r="AA26">
        <f>VLOOKUP(Table29[[#This Row],[Shortname]], Comp[], 6, FALSE)</f>
        <v>38</v>
      </c>
      <c r="AB26" s="14">
        <f>VLOOKUP(Table29[[#This Row],[Shortname]], Comp[], 7, FALSE)</f>
        <v>77.58</v>
      </c>
      <c r="AC26">
        <f>VLOOKUP(Table29[[#This Row],[Shortname]], Comp[], 8, FALSE)</f>
        <v>0</v>
      </c>
      <c r="AD26">
        <f>VLOOKUP(Table29[[#This Row],[Shortname]], Comp[], 9, FALSE)</f>
        <v>9.5</v>
      </c>
      <c r="AE26">
        <f>VLOOKUP(Table29[[#This Row],[Shortname]], Comp[], 10, FALSE)</f>
        <v>0</v>
      </c>
      <c r="AF26">
        <f>VLOOKUP(Table29[[#This Row],[Shortname]], Comp[], 11, FALSE)</f>
        <v>9.6999999999999993</v>
      </c>
      <c r="AG26">
        <f>VLOOKUP(Table29[[#This Row],[Shortname]], Comp[],12, FALSE)</f>
        <v>0</v>
      </c>
      <c r="AH26">
        <f>VLOOKUP(Table29[[#This Row],[Shortname]], Comp[], 13, FALSE)</f>
        <v>1.3</v>
      </c>
      <c r="AI26">
        <f>VLOOKUP(Table29[[#This Row],[Shortname]], Comp[], 14, FALSE)</f>
        <v>0</v>
      </c>
      <c r="AJ26">
        <f>VLOOKUP(Table29[[#This Row],[Shortname]], Comp[], 15, FALSE)</f>
        <v>0</v>
      </c>
      <c r="AK26">
        <f>VLOOKUP(Table29[[#This Row],[Shortname]], Comp[], 16, FALSE)</f>
        <v>0</v>
      </c>
      <c r="AL26">
        <f>VLOOKUP(Table29[[#This Row],[Shortname]], Comp[], 17, FALSE)</f>
        <v>0</v>
      </c>
      <c r="AM26">
        <f>VLOOKUP(Table29[[#This Row],[Shortname]], Comp[], 18, FALSE)</f>
        <v>0</v>
      </c>
      <c r="AN26">
        <f>VLOOKUP(Table29[[#This Row],[Shortname]], Comp[], 19, FALSE)</f>
        <v>0.12</v>
      </c>
      <c r="AO26">
        <f>VLOOKUP(Table29[[#This Row],[Shortname]], Comp[], 20, FALSE)</f>
        <v>1.8</v>
      </c>
      <c r="AP26">
        <f>VLOOKUP(Table29[[#This Row],[Shortname]], Comp[], 21, FALSE)</f>
        <v>0</v>
      </c>
      <c r="AQ26">
        <f>VLOOKUP(Table29[[#This Row],[Shortname]], Comp[], 22, FALSE)</f>
        <v>0</v>
      </c>
      <c r="AR26">
        <f>VLOOKUP(Table29[[#This Row],[Shortname]], Comp[], 23, FALSE)</f>
        <v>0</v>
      </c>
      <c r="AS26">
        <f>VLOOKUP(Table29[[#This Row],[Shortname]], Comp[], 24, FALSE)</f>
        <v>0</v>
      </c>
      <c r="AT26">
        <f>VLOOKUP(Table29[[#This Row],[Shortname]], Comp[], 25, FALSE)</f>
        <v>0</v>
      </c>
      <c r="AU26">
        <f>VLOOKUP(Table29[[#This Row],[Shortname]], Comp[], 26, FALSE)</f>
        <v>0</v>
      </c>
      <c r="AV26">
        <f>VLOOKUP(Table29[[#This Row],[Shortname]], Comp[], 27, FALSE)</f>
        <v>0</v>
      </c>
      <c r="AW26">
        <f>VLOOKUP(Table29[[#This Row],[Shortname]], Comp[], 28, FALSE)</f>
        <v>0</v>
      </c>
      <c r="AX26">
        <f>VLOOKUP(Table29[[#This Row],[Shortname]], Comp[], 29, FALSE)</f>
        <v>0</v>
      </c>
      <c r="AY26">
        <f>VLOOKUP(Table29[[#This Row],[Shortname]], Comp[], 30, FALSE)</f>
        <v>0</v>
      </c>
      <c r="AZ26">
        <f>VLOOKUP(Table29[[#This Row],[Shortname]], Comp[], 31, FALSE)</f>
        <v>0</v>
      </c>
    </row>
    <row r="27" spans="1:52" x14ac:dyDescent="0.3">
      <c r="A27" t="s">
        <v>311</v>
      </c>
      <c r="B27">
        <v>33</v>
      </c>
      <c r="C27">
        <v>38</v>
      </c>
      <c r="D27" t="s">
        <v>11</v>
      </c>
      <c r="E27" t="s">
        <v>160</v>
      </c>
      <c r="F27" t="s">
        <v>313</v>
      </c>
      <c r="G27" t="s">
        <v>325</v>
      </c>
      <c r="H27">
        <v>600</v>
      </c>
      <c r="I27">
        <v>1.97E-7</v>
      </c>
      <c r="J27">
        <f>0.01/Table29[[#This Row],[Strain Rate (min) /s]]</f>
        <v>50761.421319796951</v>
      </c>
      <c r="K27">
        <f>LOG(Table29[[#This Row],[Time to 1% strain (s)]])</f>
        <v>4.7055337738384067</v>
      </c>
      <c r="L27">
        <v>850</v>
      </c>
      <c r="M27">
        <v>12.1</v>
      </c>
      <c r="P27" t="s">
        <v>7037</v>
      </c>
      <c r="Q27">
        <v>1300</v>
      </c>
      <c r="R27">
        <v>12</v>
      </c>
      <c r="S27">
        <v>900</v>
      </c>
      <c r="T27">
        <v>50</v>
      </c>
      <c r="W27">
        <v>1</v>
      </c>
      <c r="X27">
        <v>10</v>
      </c>
      <c r="Y27">
        <v>75</v>
      </c>
      <c r="AA27">
        <f>VLOOKUP(Table29[[#This Row],[Shortname]], Comp[], 6, FALSE)</f>
        <v>38</v>
      </c>
      <c r="AB27" s="14">
        <f>VLOOKUP(Table29[[#This Row],[Shortname]], Comp[], 7, FALSE)</f>
        <v>77.58</v>
      </c>
      <c r="AC27">
        <f>VLOOKUP(Table29[[#This Row],[Shortname]], Comp[], 8, FALSE)</f>
        <v>0</v>
      </c>
      <c r="AD27">
        <f>VLOOKUP(Table29[[#This Row],[Shortname]], Comp[], 9, FALSE)</f>
        <v>9.5</v>
      </c>
      <c r="AE27">
        <f>VLOOKUP(Table29[[#This Row],[Shortname]], Comp[], 10, FALSE)</f>
        <v>0</v>
      </c>
      <c r="AF27">
        <f>VLOOKUP(Table29[[#This Row],[Shortname]], Comp[], 11, FALSE)</f>
        <v>9.6999999999999993</v>
      </c>
      <c r="AG27">
        <f>VLOOKUP(Table29[[#This Row],[Shortname]], Comp[],12, FALSE)</f>
        <v>0</v>
      </c>
      <c r="AH27">
        <f>VLOOKUP(Table29[[#This Row],[Shortname]], Comp[], 13, FALSE)</f>
        <v>1.3</v>
      </c>
      <c r="AI27">
        <f>VLOOKUP(Table29[[#This Row],[Shortname]], Comp[], 14, FALSE)</f>
        <v>0</v>
      </c>
      <c r="AJ27">
        <f>VLOOKUP(Table29[[#This Row],[Shortname]], Comp[], 15, FALSE)</f>
        <v>0</v>
      </c>
      <c r="AK27">
        <f>VLOOKUP(Table29[[#This Row],[Shortname]], Comp[], 16, FALSE)</f>
        <v>0</v>
      </c>
      <c r="AL27">
        <f>VLOOKUP(Table29[[#This Row],[Shortname]], Comp[], 17, FALSE)</f>
        <v>0</v>
      </c>
      <c r="AM27">
        <f>VLOOKUP(Table29[[#This Row],[Shortname]], Comp[], 18, FALSE)</f>
        <v>0</v>
      </c>
      <c r="AN27">
        <f>VLOOKUP(Table29[[#This Row],[Shortname]], Comp[], 19, FALSE)</f>
        <v>0.12</v>
      </c>
      <c r="AO27">
        <f>VLOOKUP(Table29[[#This Row],[Shortname]], Comp[], 20, FALSE)</f>
        <v>1.8</v>
      </c>
      <c r="AP27">
        <f>VLOOKUP(Table29[[#This Row],[Shortname]], Comp[], 21, FALSE)</f>
        <v>0</v>
      </c>
      <c r="AQ27">
        <f>VLOOKUP(Table29[[#This Row],[Shortname]], Comp[], 22, FALSE)</f>
        <v>0</v>
      </c>
      <c r="AR27">
        <f>VLOOKUP(Table29[[#This Row],[Shortname]], Comp[], 23, FALSE)</f>
        <v>0</v>
      </c>
      <c r="AS27">
        <f>VLOOKUP(Table29[[#This Row],[Shortname]], Comp[], 24, FALSE)</f>
        <v>0</v>
      </c>
      <c r="AT27">
        <f>VLOOKUP(Table29[[#This Row],[Shortname]], Comp[], 25, FALSE)</f>
        <v>0</v>
      </c>
      <c r="AU27">
        <f>VLOOKUP(Table29[[#This Row],[Shortname]], Comp[], 26, FALSE)</f>
        <v>0</v>
      </c>
      <c r="AV27">
        <f>VLOOKUP(Table29[[#This Row],[Shortname]], Comp[], 27, FALSE)</f>
        <v>0</v>
      </c>
      <c r="AW27">
        <f>VLOOKUP(Table29[[#This Row],[Shortname]], Comp[], 28, FALSE)</f>
        <v>0</v>
      </c>
      <c r="AX27">
        <f>VLOOKUP(Table29[[#This Row],[Shortname]], Comp[], 29, FALSE)</f>
        <v>0</v>
      </c>
      <c r="AY27">
        <f>VLOOKUP(Table29[[#This Row],[Shortname]], Comp[], 30, FALSE)</f>
        <v>0</v>
      </c>
      <c r="AZ27">
        <f>VLOOKUP(Table29[[#This Row],[Shortname]], Comp[], 31, FALSE)</f>
        <v>0</v>
      </c>
    </row>
    <row r="28" spans="1:52" x14ac:dyDescent="0.3">
      <c r="A28" t="s">
        <v>311</v>
      </c>
      <c r="B28">
        <v>34</v>
      </c>
      <c r="C28">
        <v>38</v>
      </c>
      <c r="D28" t="s">
        <v>11</v>
      </c>
      <c r="E28" t="s">
        <v>160</v>
      </c>
      <c r="F28" t="s">
        <v>313</v>
      </c>
      <c r="G28" t="s">
        <v>7250</v>
      </c>
      <c r="H28">
        <v>700</v>
      </c>
      <c r="I28">
        <v>9.9999999999999995E-7</v>
      </c>
      <c r="J28">
        <f>0.01/Table29[[#This Row],[Strain Rate (min) /s]]</f>
        <v>10000</v>
      </c>
      <c r="K28">
        <f>LOG(Table29[[#This Row],[Time to 1% strain (s)]])</f>
        <v>4</v>
      </c>
      <c r="L28">
        <v>850</v>
      </c>
      <c r="M28">
        <v>12.1</v>
      </c>
      <c r="P28" t="s">
        <v>7037</v>
      </c>
      <c r="Q28">
        <v>1300</v>
      </c>
      <c r="R28">
        <v>12</v>
      </c>
      <c r="S28">
        <v>900</v>
      </c>
      <c r="T28">
        <v>50</v>
      </c>
      <c r="W28">
        <v>1</v>
      </c>
      <c r="X28">
        <v>10</v>
      </c>
      <c r="Y28">
        <v>75</v>
      </c>
      <c r="AA28">
        <f>VLOOKUP(Table29[[#This Row],[Shortname]], Comp[], 6, FALSE)</f>
        <v>38</v>
      </c>
      <c r="AB28" s="14">
        <f>VLOOKUP(Table29[[#This Row],[Shortname]], Comp[], 7, FALSE)</f>
        <v>77.58</v>
      </c>
      <c r="AC28">
        <f>VLOOKUP(Table29[[#This Row],[Shortname]], Comp[], 8, FALSE)</f>
        <v>0</v>
      </c>
      <c r="AD28">
        <f>VLOOKUP(Table29[[#This Row],[Shortname]], Comp[], 9, FALSE)</f>
        <v>9.5</v>
      </c>
      <c r="AE28">
        <f>VLOOKUP(Table29[[#This Row],[Shortname]], Comp[], 10, FALSE)</f>
        <v>0</v>
      </c>
      <c r="AF28">
        <f>VLOOKUP(Table29[[#This Row],[Shortname]], Comp[], 11, FALSE)</f>
        <v>9.6999999999999993</v>
      </c>
      <c r="AG28">
        <f>VLOOKUP(Table29[[#This Row],[Shortname]], Comp[],12, FALSE)</f>
        <v>0</v>
      </c>
      <c r="AH28">
        <f>VLOOKUP(Table29[[#This Row],[Shortname]], Comp[], 13, FALSE)</f>
        <v>1.3</v>
      </c>
      <c r="AI28">
        <f>VLOOKUP(Table29[[#This Row],[Shortname]], Comp[], 14, FALSE)</f>
        <v>0</v>
      </c>
      <c r="AJ28">
        <f>VLOOKUP(Table29[[#This Row],[Shortname]], Comp[], 15, FALSE)</f>
        <v>0</v>
      </c>
      <c r="AK28">
        <f>VLOOKUP(Table29[[#This Row],[Shortname]], Comp[], 16, FALSE)</f>
        <v>0</v>
      </c>
      <c r="AL28">
        <f>VLOOKUP(Table29[[#This Row],[Shortname]], Comp[], 17, FALSE)</f>
        <v>0</v>
      </c>
      <c r="AM28">
        <f>VLOOKUP(Table29[[#This Row],[Shortname]], Comp[], 18, FALSE)</f>
        <v>0</v>
      </c>
      <c r="AN28">
        <f>VLOOKUP(Table29[[#This Row],[Shortname]], Comp[], 19, FALSE)</f>
        <v>0.12</v>
      </c>
      <c r="AO28">
        <f>VLOOKUP(Table29[[#This Row],[Shortname]], Comp[], 20, FALSE)</f>
        <v>1.8</v>
      </c>
      <c r="AP28">
        <f>VLOOKUP(Table29[[#This Row],[Shortname]], Comp[], 21, FALSE)</f>
        <v>0</v>
      </c>
      <c r="AQ28">
        <f>VLOOKUP(Table29[[#This Row],[Shortname]], Comp[], 22, FALSE)</f>
        <v>0</v>
      </c>
      <c r="AR28">
        <f>VLOOKUP(Table29[[#This Row],[Shortname]], Comp[], 23, FALSE)</f>
        <v>0</v>
      </c>
      <c r="AS28">
        <f>VLOOKUP(Table29[[#This Row],[Shortname]], Comp[], 24, FALSE)</f>
        <v>0</v>
      </c>
      <c r="AT28">
        <f>VLOOKUP(Table29[[#This Row],[Shortname]], Comp[], 25, FALSE)</f>
        <v>0</v>
      </c>
      <c r="AU28">
        <f>VLOOKUP(Table29[[#This Row],[Shortname]], Comp[], 26, FALSE)</f>
        <v>0</v>
      </c>
      <c r="AV28">
        <f>VLOOKUP(Table29[[#This Row],[Shortname]], Comp[], 27, FALSE)</f>
        <v>0</v>
      </c>
      <c r="AW28">
        <f>VLOOKUP(Table29[[#This Row],[Shortname]], Comp[], 28, FALSE)</f>
        <v>0</v>
      </c>
      <c r="AX28">
        <f>VLOOKUP(Table29[[#This Row],[Shortname]], Comp[], 29, FALSE)</f>
        <v>0</v>
      </c>
      <c r="AY28">
        <f>VLOOKUP(Table29[[#This Row],[Shortname]], Comp[], 30, FALSE)</f>
        <v>0</v>
      </c>
      <c r="AZ28">
        <f>VLOOKUP(Table29[[#This Row],[Shortname]], Comp[], 31, FALSE)</f>
        <v>0</v>
      </c>
    </row>
    <row r="29" spans="1:52" x14ac:dyDescent="0.3">
      <c r="A29" t="s">
        <v>311</v>
      </c>
      <c r="B29">
        <v>35</v>
      </c>
      <c r="C29">
        <v>38</v>
      </c>
      <c r="D29" t="s">
        <v>11</v>
      </c>
      <c r="E29" t="s">
        <v>160</v>
      </c>
      <c r="F29" t="s">
        <v>313</v>
      </c>
      <c r="G29" t="s">
        <v>7251</v>
      </c>
      <c r="H29">
        <v>250</v>
      </c>
      <c r="I29">
        <v>4.7500000000000002E-8</v>
      </c>
      <c r="J29">
        <f>0.01/Table29[[#This Row],[Strain Rate (min) /s]]</f>
        <v>210526.31578947368</v>
      </c>
      <c r="K29">
        <f>LOG(Table29[[#This Row],[Time to 1% strain (s)]])</f>
        <v>5.3233063903751336</v>
      </c>
      <c r="L29">
        <v>850</v>
      </c>
      <c r="M29">
        <v>6.8</v>
      </c>
      <c r="P29" t="s">
        <v>7039</v>
      </c>
      <c r="Q29">
        <v>1300</v>
      </c>
      <c r="R29">
        <v>12</v>
      </c>
      <c r="S29">
        <v>900</v>
      </c>
      <c r="T29">
        <v>200</v>
      </c>
      <c r="W29">
        <v>1</v>
      </c>
      <c r="X29">
        <v>10</v>
      </c>
      <c r="Y29">
        <v>50</v>
      </c>
      <c r="Z29" t="s">
        <v>7040</v>
      </c>
      <c r="AA29">
        <f>VLOOKUP(Table29[[#This Row],[Shortname]], Comp[], 6, FALSE)</f>
        <v>38</v>
      </c>
      <c r="AB29" s="14">
        <f>VLOOKUP(Table29[[#This Row],[Shortname]], Comp[], 7, FALSE)</f>
        <v>77.58</v>
      </c>
      <c r="AC29">
        <f>VLOOKUP(Table29[[#This Row],[Shortname]], Comp[], 8, FALSE)</f>
        <v>0</v>
      </c>
      <c r="AD29">
        <f>VLOOKUP(Table29[[#This Row],[Shortname]], Comp[], 9, FALSE)</f>
        <v>9.5</v>
      </c>
      <c r="AE29">
        <f>VLOOKUP(Table29[[#This Row],[Shortname]], Comp[], 10, FALSE)</f>
        <v>0</v>
      </c>
      <c r="AF29">
        <f>VLOOKUP(Table29[[#This Row],[Shortname]], Comp[], 11, FALSE)</f>
        <v>9.6999999999999993</v>
      </c>
      <c r="AG29">
        <f>VLOOKUP(Table29[[#This Row],[Shortname]], Comp[],12, FALSE)</f>
        <v>0</v>
      </c>
      <c r="AH29">
        <f>VLOOKUP(Table29[[#This Row],[Shortname]], Comp[], 13, FALSE)</f>
        <v>1.3</v>
      </c>
      <c r="AI29">
        <f>VLOOKUP(Table29[[#This Row],[Shortname]], Comp[], 14, FALSE)</f>
        <v>0</v>
      </c>
      <c r="AJ29">
        <f>VLOOKUP(Table29[[#This Row],[Shortname]], Comp[], 15, FALSE)</f>
        <v>0</v>
      </c>
      <c r="AK29">
        <f>VLOOKUP(Table29[[#This Row],[Shortname]], Comp[], 16, FALSE)</f>
        <v>0</v>
      </c>
      <c r="AL29">
        <f>VLOOKUP(Table29[[#This Row],[Shortname]], Comp[], 17, FALSE)</f>
        <v>0</v>
      </c>
      <c r="AM29">
        <f>VLOOKUP(Table29[[#This Row],[Shortname]], Comp[], 18, FALSE)</f>
        <v>0</v>
      </c>
      <c r="AN29">
        <f>VLOOKUP(Table29[[#This Row],[Shortname]], Comp[], 19, FALSE)</f>
        <v>0.12</v>
      </c>
      <c r="AO29">
        <f>VLOOKUP(Table29[[#This Row],[Shortname]], Comp[], 20, FALSE)</f>
        <v>1.8</v>
      </c>
      <c r="AP29">
        <f>VLOOKUP(Table29[[#This Row],[Shortname]], Comp[], 21, FALSE)</f>
        <v>0</v>
      </c>
      <c r="AQ29">
        <f>VLOOKUP(Table29[[#This Row],[Shortname]], Comp[], 22, FALSE)</f>
        <v>0</v>
      </c>
      <c r="AR29">
        <f>VLOOKUP(Table29[[#This Row],[Shortname]], Comp[], 23, FALSE)</f>
        <v>0</v>
      </c>
      <c r="AS29">
        <f>VLOOKUP(Table29[[#This Row],[Shortname]], Comp[], 24, FALSE)</f>
        <v>0</v>
      </c>
      <c r="AT29">
        <f>VLOOKUP(Table29[[#This Row],[Shortname]], Comp[], 25, FALSE)</f>
        <v>0</v>
      </c>
      <c r="AU29">
        <f>VLOOKUP(Table29[[#This Row],[Shortname]], Comp[], 26, FALSE)</f>
        <v>0</v>
      </c>
      <c r="AV29">
        <f>VLOOKUP(Table29[[#This Row],[Shortname]], Comp[], 27, FALSE)</f>
        <v>0</v>
      </c>
      <c r="AW29">
        <f>VLOOKUP(Table29[[#This Row],[Shortname]], Comp[], 28, FALSE)</f>
        <v>0</v>
      </c>
      <c r="AX29">
        <f>VLOOKUP(Table29[[#This Row],[Shortname]], Comp[], 29, FALSE)</f>
        <v>0</v>
      </c>
      <c r="AY29">
        <f>VLOOKUP(Table29[[#This Row],[Shortname]], Comp[], 30, FALSE)</f>
        <v>0</v>
      </c>
      <c r="AZ29">
        <f>VLOOKUP(Table29[[#This Row],[Shortname]], Comp[], 31, FALSE)</f>
        <v>0</v>
      </c>
    </row>
    <row r="30" spans="1:52" x14ac:dyDescent="0.3">
      <c r="A30" t="s">
        <v>311</v>
      </c>
      <c r="B30">
        <v>36</v>
      </c>
      <c r="C30">
        <v>38</v>
      </c>
      <c r="D30" t="s">
        <v>11</v>
      </c>
      <c r="E30" t="s">
        <v>160</v>
      </c>
      <c r="F30" t="s">
        <v>313</v>
      </c>
      <c r="G30" t="s">
        <v>7252</v>
      </c>
      <c r="H30">
        <v>350</v>
      </c>
      <c r="I30">
        <v>4.5900000000000002E-7</v>
      </c>
      <c r="J30">
        <f>0.01/Table29[[#This Row],[Strain Rate (min) /s]]</f>
        <v>21786.49237472767</v>
      </c>
      <c r="K30">
        <f>LOG(Table29[[#This Row],[Time to 1% strain (s)]])</f>
        <v>4.338187314462739</v>
      </c>
      <c r="L30">
        <v>850</v>
      </c>
      <c r="M30">
        <v>6.8</v>
      </c>
      <c r="P30" t="s">
        <v>7039</v>
      </c>
      <c r="Q30">
        <v>1300</v>
      </c>
      <c r="R30">
        <v>12</v>
      </c>
      <c r="S30">
        <v>900</v>
      </c>
      <c r="T30">
        <v>200</v>
      </c>
      <c r="W30">
        <v>1</v>
      </c>
      <c r="X30">
        <v>10</v>
      </c>
      <c r="Y30">
        <v>50</v>
      </c>
      <c r="AA30">
        <f>VLOOKUP(Table29[[#This Row],[Shortname]], Comp[], 6, FALSE)</f>
        <v>38</v>
      </c>
      <c r="AB30" s="14">
        <f>VLOOKUP(Table29[[#This Row],[Shortname]], Comp[], 7, FALSE)</f>
        <v>77.58</v>
      </c>
      <c r="AC30">
        <f>VLOOKUP(Table29[[#This Row],[Shortname]], Comp[], 8, FALSE)</f>
        <v>0</v>
      </c>
      <c r="AD30">
        <f>VLOOKUP(Table29[[#This Row],[Shortname]], Comp[], 9, FALSE)</f>
        <v>9.5</v>
      </c>
      <c r="AE30">
        <f>VLOOKUP(Table29[[#This Row],[Shortname]], Comp[], 10, FALSE)</f>
        <v>0</v>
      </c>
      <c r="AF30">
        <f>VLOOKUP(Table29[[#This Row],[Shortname]], Comp[], 11, FALSE)</f>
        <v>9.6999999999999993</v>
      </c>
      <c r="AG30">
        <f>VLOOKUP(Table29[[#This Row],[Shortname]], Comp[],12, FALSE)</f>
        <v>0</v>
      </c>
      <c r="AH30">
        <f>VLOOKUP(Table29[[#This Row],[Shortname]], Comp[], 13, FALSE)</f>
        <v>1.3</v>
      </c>
      <c r="AI30">
        <f>VLOOKUP(Table29[[#This Row],[Shortname]], Comp[], 14, FALSE)</f>
        <v>0</v>
      </c>
      <c r="AJ30">
        <f>VLOOKUP(Table29[[#This Row],[Shortname]], Comp[], 15, FALSE)</f>
        <v>0</v>
      </c>
      <c r="AK30">
        <f>VLOOKUP(Table29[[#This Row],[Shortname]], Comp[], 16, FALSE)</f>
        <v>0</v>
      </c>
      <c r="AL30">
        <f>VLOOKUP(Table29[[#This Row],[Shortname]], Comp[], 17, FALSE)</f>
        <v>0</v>
      </c>
      <c r="AM30">
        <f>VLOOKUP(Table29[[#This Row],[Shortname]], Comp[], 18, FALSE)</f>
        <v>0</v>
      </c>
      <c r="AN30">
        <f>VLOOKUP(Table29[[#This Row],[Shortname]], Comp[], 19, FALSE)</f>
        <v>0.12</v>
      </c>
      <c r="AO30">
        <f>VLOOKUP(Table29[[#This Row],[Shortname]], Comp[], 20, FALSE)</f>
        <v>1.8</v>
      </c>
      <c r="AP30">
        <f>VLOOKUP(Table29[[#This Row],[Shortname]], Comp[], 21, FALSE)</f>
        <v>0</v>
      </c>
      <c r="AQ30">
        <f>VLOOKUP(Table29[[#This Row],[Shortname]], Comp[], 22, FALSE)</f>
        <v>0</v>
      </c>
      <c r="AR30">
        <f>VLOOKUP(Table29[[#This Row],[Shortname]], Comp[], 23, FALSE)</f>
        <v>0</v>
      </c>
      <c r="AS30">
        <f>VLOOKUP(Table29[[#This Row],[Shortname]], Comp[], 24, FALSE)</f>
        <v>0</v>
      </c>
      <c r="AT30">
        <f>VLOOKUP(Table29[[#This Row],[Shortname]], Comp[], 25, FALSE)</f>
        <v>0</v>
      </c>
      <c r="AU30">
        <f>VLOOKUP(Table29[[#This Row],[Shortname]], Comp[], 26, FALSE)</f>
        <v>0</v>
      </c>
      <c r="AV30">
        <f>VLOOKUP(Table29[[#This Row],[Shortname]], Comp[], 27, FALSE)</f>
        <v>0</v>
      </c>
      <c r="AW30">
        <f>VLOOKUP(Table29[[#This Row],[Shortname]], Comp[], 28, FALSE)</f>
        <v>0</v>
      </c>
      <c r="AX30">
        <f>VLOOKUP(Table29[[#This Row],[Shortname]], Comp[], 29, FALSE)</f>
        <v>0</v>
      </c>
      <c r="AY30">
        <f>VLOOKUP(Table29[[#This Row],[Shortname]], Comp[], 30, FALSE)</f>
        <v>0</v>
      </c>
      <c r="AZ30">
        <f>VLOOKUP(Table29[[#This Row],[Shortname]], Comp[], 31, FALSE)</f>
        <v>0</v>
      </c>
    </row>
    <row r="31" spans="1:52" x14ac:dyDescent="0.3">
      <c r="A31" t="s">
        <v>311</v>
      </c>
      <c r="B31">
        <v>37</v>
      </c>
      <c r="C31">
        <v>38</v>
      </c>
      <c r="D31" t="s">
        <v>11</v>
      </c>
      <c r="E31" t="s">
        <v>160</v>
      </c>
      <c r="F31" t="s">
        <v>313</v>
      </c>
      <c r="G31" t="s">
        <v>7253</v>
      </c>
      <c r="H31">
        <v>400</v>
      </c>
      <c r="I31">
        <v>1.11E-6</v>
      </c>
      <c r="J31">
        <f>0.01/Table29[[#This Row],[Strain Rate (min) /s]]</f>
        <v>9009.0090090090089</v>
      </c>
      <c r="K31">
        <f>LOG(Table29[[#This Row],[Time to 1% strain (s)]])</f>
        <v>3.9546770212133424</v>
      </c>
      <c r="L31">
        <v>850</v>
      </c>
      <c r="M31">
        <v>6.8</v>
      </c>
      <c r="P31" t="s">
        <v>7039</v>
      </c>
      <c r="Q31">
        <v>1300</v>
      </c>
      <c r="R31">
        <v>12</v>
      </c>
      <c r="S31">
        <v>900</v>
      </c>
      <c r="T31">
        <v>200</v>
      </c>
      <c r="W31">
        <v>1</v>
      </c>
      <c r="X31">
        <v>10</v>
      </c>
      <c r="Y31">
        <v>50</v>
      </c>
      <c r="AA31">
        <f>VLOOKUP(Table29[[#This Row],[Shortname]], Comp[], 6, FALSE)</f>
        <v>38</v>
      </c>
      <c r="AB31" s="14">
        <f>VLOOKUP(Table29[[#This Row],[Shortname]], Comp[], 7, FALSE)</f>
        <v>77.58</v>
      </c>
      <c r="AC31">
        <f>VLOOKUP(Table29[[#This Row],[Shortname]], Comp[], 8, FALSE)</f>
        <v>0</v>
      </c>
      <c r="AD31">
        <f>VLOOKUP(Table29[[#This Row],[Shortname]], Comp[], 9, FALSE)</f>
        <v>9.5</v>
      </c>
      <c r="AE31">
        <f>VLOOKUP(Table29[[#This Row],[Shortname]], Comp[], 10, FALSE)</f>
        <v>0</v>
      </c>
      <c r="AF31">
        <f>VLOOKUP(Table29[[#This Row],[Shortname]], Comp[], 11, FALSE)</f>
        <v>9.6999999999999993</v>
      </c>
      <c r="AG31">
        <f>VLOOKUP(Table29[[#This Row],[Shortname]], Comp[],12, FALSE)</f>
        <v>0</v>
      </c>
      <c r="AH31">
        <f>VLOOKUP(Table29[[#This Row],[Shortname]], Comp[], 13, FALSE)</f>
        <v>1.3</v>
      </c>
      <c r="AI31">
        <f>VLOOKUP(Table29[[#This Row],[Shortname]], Comp[], 14, FALSE)</f>
        <v>0</v>
      </c>
      <c r="AJ31">
        <f>VLOOKUP(Table29[[#This Row],[Shortname]], Comp[], 15, FALSE)</f>
        <v>0</v>
      </c>
      <c r="AK31">
        <f>VLOOKUP(Table29[[#This Row],[Shortname]], Comp[], 16, FALSE)</f>
        <v>0</v>
      </c>
      <c r="AL31">
        <f>VLOOKUP(Table29[[#This Row],[Shortname]], Comp[], 17, FALSE)</f>
        <v>0</v>
      </c>
      <c r="AM31">
        <f>VLOOKUP(Table29[[#This Row],[Shortname]], Comp[], 18, FALSE)</f>
        <v>0</v>
      </c>
      <c r="AN31">
        <f>VLOOKUP(Table29[[#This Row],[Shortname]], Comp[], 19, FALSE)</f>
        <v>0.12</v>
      </c>
      <c r="AO31">
        <f>VLOOKUP(Table29[[#This Row],[Shortname]], Comp[], 20, FALSE)</f>
        <v>1.8</v>
      </c>
      <c r="AP31">
        <f>VLOOKUP(Table29[[#This Row],[Shortname]], Comp[], 21, FALSE)</f>
        <v>0</v>
      </c>
      <c r="AQ31">
        <f>VLOOKUP(Table29[[#This Row],[Shortname]], Comp[], 22, FALSE)</f>
        <v>0</v>
      </c>
      <c r="AR31">
        <f>VLOOKUP(Table29[[#This Row],[Shortname]], Comp[], 23, FALSE)</f>
        <v>0</v>
      </c>
      <c r="AS31">
        <f>VLOOKUP(Table29[[#This Row],[Shortname]], Comp[], 24, FALSE)</f>
        <v>0</v>
      </c>
      <c r="AT31">
        <f>VLOOKUP(Table29[[#This Row],[Shortname]], Comp[], 25, FALSE)</f>
        <v>0</v>
      </c>
      <c r="AU31">
        <f>VLOOKUP(Table29[[#This Row],[Shortname]], Comp[], 26, FALSE)</f>
        <v>0</v>
      </c>
      <c r="AV31">
        <f>VLOOKUP(Table29[[#This Row],[Shortname]], Comp[], 27, FALSE)</f>
        <v>0</v>
      </c>
      <c r="AW31">
        <f>VLOOKUP(Table29[[#This Row],[Shortname]], Comp[], 28, FALSE)</f>
        <v>0</v>
      </c>
      <c r="AX31">
        <f>VLOOKUP(Table29[[#This Row],[Shortname]], Comp[], 29, FALSE)</f>
        <v>0</v>
      </c>
      <c r="AY31">
        <f>VLOOKUP(Table29[[#This Row],[Shortname]], Comp[], 30, FALSE)</f>
        <v>0</v>
      </c>
      <c r="AZ31">
        <f>VLOOKUP(Table29[[#This Row],[Shortname]], Comp[], 31, FALSE)</f>
        <v>0</v>
      </c>
    </row>
    <row r="32" spans="1:52" x14ac:dyDescent="0.3">
      <c r="A32" t="s">
        <v>311</v>
      </c>
      <c r="B32">
        <v>38</v>
      </c>
      <c r="C32">
        <v>38</v>
      </c>
      <c r="D32" t="s">
        <v>11</v>
      </c>
      <c r="E32" t="s">
        <v>160</v>
      </c>
      <c r="F32" t="s">
        <v>313</v>
      </c>
      <c r="G32" t="s">
        <v>7254</v>
      </c>
      <c r="H32">
        <v>450</v>
      </c>
      <c r="I32">
        <v>2.4099999999999998E-6</v>
      </c>
      <c r="J32">
        <f>0.01/Table29[[#This Row],[Strain Rate (min) /s]]</f>
        <v>4149.3775933609959</v>
      </c>
      <c r="K32">
        <f>LOG(Table29[[#This Row],[Time to 1% strain (s)]])</f>
        <v>3.6179829574251317</v>
      </c>
      <c r="L32">
        <v>850</v>
      </c>
      <c r="M32">
        <v>6.8</v>
      </c>
      <c r="P32" t="s">
        <v>7039</v>
      </c>
      <c r="Q32">
        <v>1300</v>
      </c>
      <c r="R32">
        <v>12</v>
      </c>
      <c r="S32">
        <v>900</v>
      </c>
      <c r="T32">
        <v>200</v>
      </c>
      <c r="W32">
        <v>1</v>
      </c>
      <c r="X32">
        <v>10</v>
      </c>
      <c r="Y32">
        <v>50</v>
      </c>
      <c r="AA32">
        <f>VLOOKUP(Table29[[#This Row],[Shortname]], Comp[], 6, FALSE)</f>
        <v>38</v>
      </c>
      <c r="AB32" s="14">
        <f>VLOOKUP(Table29[[#This Row],[Shortname]], Comp[], 7, FALSE)</f>
        <v>77.58</v>
      </c>
      <c r="AC32">
        <f>VLOOKUP(Table29[[#This Row],[Shortname]], Comp[], 8, FALSE)</f>
        <v>0</v>
      </c>
      <c r="AD32">
        <f>VLOOKUP(Table29[[#This Row],[Shortname]], Comp[], 9, FALSE)</f>
        <v>9.5</v>
      </c>
      <c r="AE32">
        <f>VLOOKUP(Table29[[#This Row],[Shortname]], Comp[], 10, FALSE)</f>
        <v>0</v>
      </c>
      <c r="AF32">
        <f>VLOOKUP(Table29[[#This Row],[Shortname]], Comp[], 11, FALSE)</f>
        <v>9.6999999999999993</v>
      </c>
      <c r="AG32">
        <f>VLOOKUP(Table29[[#This Row],[Shortname]], Comp[],12, FALSE)</f>
        <v>0</v>
      </c>
      <c r="AH32">
        <f>VLOOKUP(Table29[[#This Row],[Shortname]], Comp[], 13, FALSE)</f>
        <v>1.3</v>
      </c>
      <c r="AI32">
        <f>VLOOKUP(Table29[[#This Row],[Shortname]], Comp[], 14, FALSE)</f>
        <v>0</v>
      </c>
      <c r="AJ32">
        <f>VLOOKUP(Table29[[#This Row],[Shortname]], Comp[], 15, FALSE)</f>
        <v>0</v>
      </c>
      <c r="AK32">
        <f>VLOOKUP(Table29[[#This Row],[Shortname]], Comp[], 16, FALSE)</f>
        <v>0</v>
      </c>
      <c r="AL32">
        <f>VLOOKUP(Table29[[#This Row],[Shortname]], Comp[], 17, FALSE)</f>
        <v>0</v>
      </c>
      <c r="AM32">
        <f>VLOOKUP(Table29[[#This Row],[Shortname]], Comp[], 18, FALSE)</f>
        <v>0</v>
      </c>
      <c r="AN32">
        <f>VLOOKUP(Table29[[#This Row],[Shortname]], Comp[], 19, FALSE)</f>
        <v>0.12</v>
      </c>
      <c r="AO32">
        <f>VLOOKUP(Table29[[#This Row],[Shortname]], Comp[], 20, FALSE)</f>
        <v>1.8</v>
      </c>
      <c r="AP32">
        <f>VLOOKUP(Table29[[#This Row],[Shortname]], Comp[], 21, FALSE)</f>
        <v>0</v>
      </c>
      <c r="AQ32">
        <f>VLOOKUP(Table29[[#This Row],[Shortname]], Comp[], 22, FALSE)</f>
        <v>0</v>
      </c>
      <c r="AR32">
        <f>VLOOKUP(Table29[[#This Row],[Shortname]], Comp[], 23, FALSE)</f>
        <v>0</v>
      </c>
      <c r="AS32">
        <f>VLOOKUP(Table29[[#This Row],[Shortname]], Comp[], 24, FALSE)</f>
        <v>0</v>
      </c>
      <c r="AT32">
        <f>VLOOKUP(Table29[[#This Row],[Shortname]], Comp[], 25, FALSE)</f>
        <v>0</v>
      </c>
      <c r="AU32">
        <f>VLOOKUP(Table29[[#This Row],[Shortname]], Comp[], 26, FALSE)</f>
        <v>0</v>
      </c>
      <c r="AV32">
        <f>VLOOKUP(Table29[[#This Row],[Shortname]], Comp[], 27, FALSE)</f>
        <v>0</v>
      </c>
      <c r="AW32">
        <f>VLOOKUP(Table29[[#This Row],[Shortname]], Comp[], 28, FALSE)</f>
        <v>0</v>
      </c>
      <c r="AX32">
        <f>VLOOKUP(Table29[[#This Row],[Shortname]], Comp[], 29, FALSE)</f>
        <v>0</v>
      </c>
      <c r="AY32">
        <f>VLOOKUP(Table29[[#This Row],[Shortname]], Comp[], 30, FALSE)</f>
        <v>0</v>
      </c>
      <c r="AZ32">
        <f>VLOOKUP(Table29[[#This Row],[Shortname]], Comp[], 31, FALSE)</f>
        <v>0</v>
      </c>
    </row>
    <row r="33" spans="1:52" x14ac:dyDescent="0.3">
      <c r="A33" t="s">
        <v>311</v>
      </c>
      <c r="B33">
        <v>39</v>
      </c>
      <c r="C33">
        <v>38</v>
      </c>
      <c r="D33" t="s">
        <v>11</v>
      </c>
      <c r="E33" t="s">
        <v>160</v>
      </c>
      <c r="F33" t="s">
        <v>313</v>
      </c>
      <c r="G33" t="s">
        <v>7255</v>
      </c>
      <c r="H33">
        <v>200</v>
      </c>
      <c r="I33">
        <v>8.4399999999999999E-7</v>
      </c>
      <c r="J33">
        <f>0.01/Table29[[#This Row],[Strain Rate (min) /s]]</f>
        <v>11848.341232227489</v>
      </c>
      <c r="K33">
        <f>LOG(Table29[[#This Row],[Time to 1% strain (s)]])</f>
        <v>4.0736575533743453</v>
      </c>
      <c r="L33">
        <v>850</v>
      </c>
      <c r="M33">
        <v>4</v>
      </c>
      <c r="P33" t="s">
        <v>7041</v>
      </c>
      <c r="Q33">
        <v>1300</v>
      </c>
      <c r="R33">
        <v>12</v>
      </c>
      <c r="S33">
        <v>900</v>
      </c>
      <c r="T33">
        <v>400</v>
      </c>
      <c r="W33">
        <v>1</v>
      </c>
      <c r="X33">
        <v>10</v>
      </c>
      <c r="Y33">
        <v>0</v>
      </c>
      <c r="Z33" t="s">
        <v>7042</v>
      </c>
      <c r="AA33">
        <f>VLOOKUP(Table29[[#This Row],[Shortname]], Comp[], 6, FALSE)</f>
        <v>38</v>
      </c>
      <c r="AB33" s="14">
        <f>VLOOKUP(Table29[[#This Row],[Shortname]], Comp[], 7, FALSE)</f>
        <v>77.58</v>
      </c>
      <c r="AC33">
        <f>VLOOKUP(Table29[[#This Row],[Shortname]], Comp[], 8, FALSE)</f>
        <v>0</v>
      </c>
      <c r="AD33">
        <f>VLOOKUP(Table29[[#This Row],[Shortname]], Comp[], 9, FALSE)</f>
        <v>9.5</v>
      </c>
      <c r="AE33">
        <f>VLOOKUP(Table29[[#This Row],[Shortname]], Comp[], 10, FALSE)</f>
        <v>0</v>
      </c>
      <c r="AF33">
        <f>VLOOKUP(Table29[[#This Row],[Shortname]], Comp[], 11, FALSE)</f>
        <v>9.6999999999999993</v>
      </c>
      <c r="AG33">
        <f>VLOOKUP(Table29[[#This Row],[Shortname]], Comp[],12, FALSE)</f>
        <v>0</v>
      </c>
      <c r="AH33">
        <f>VLOOKUP(Table29[[#This Row],[Shortname]], Comp[], 13, FALSE)</f>
        <v>1.3</v>
      </c>
      <c r="AI33">
        <f>VLOOKUP(Table29[[#This Row],[Shortname]], Comp[], 14, FALSE)</f>
        <v>0</v>
      </c>
      <c r="AJ33">
        <f>VLOOKUP(Table29[[#This Row],[Shortname]], Comp[], 15, FALSE)</f>
        <v>0</v>
      </c>
      <c r="AK33">
        <f>VLOOKUP(Table29[[#This Row],[Shortname]], Comp[], 16, FALSE)</f>
        <v>0</v>
      </c>
      <c r="AL33">
        <f>VLOOKUP(Table29[[#This Row],[Shortname]], Comp[], 17, FALSE)</f>
        <v>0</v>
      </c>
      <c r="AM33">
        <f>VLOOKUP(Table29[[#This Row],[Shortname]], Comp[], 18, FALSE)</f>
        <v>0</v>
      </c>
      <c r="AN33">
        <f>VLOOKUP(Table29[[#This Row],[Shortname]], Comp[], 19, FALSE)</f>
        <v>0.12</v>
      </c>
      <c r="AO33">
        <f>VLOOKUP(Table29[[#This Row],[Shortname]], Comp[], 20, FALSE)</f>
        <v>1.8</v>
      </c>
      <c r="AP33">
        <f>VLOOKUP(Table29[[#This Row],[Shortname]], Comp[], 21, FALSE)</f>
        <v>0</v>
      </c>
      <c r="AQ33">
        <f>VLOOKUP(Table29[[#This Row],[Shortname]], Comp[], 22, FALSE)</f>
        <v>0</v>
      </c>
      <c r="AR33">
        <f>VLOOKUP(Table29[[#This Row],[Shortname]], Comp[], 23, FALSE)</f>
        <v>0</v>
      </c>
      <c r="AS33">
        <f>VLOOKUP(Table29[[#This Row],[Shortname]], Comp[], 24, FALSE)</f>
        <v>0</v>
      </c>
      <c r="AT33">
        <f>VLOOKUP(Table29[[#This Row],[Shortname]], Comp[], 25, FALSE)</f>
        <v>0</v>
      </c>
      <c r="AU33">
        <f>VLOOKUP(Table29[[#This Row],[Shortname]], Comp[], 26, FALSE)</f>
        <v>0</v>
      </c>
      <c r="AV33">
        <f>VLOOKUP(Table29[[#This Row],[Shortname]], Comp[], 27, FALSE)</f>
        <v>0</v>
      </c>
      <c r="AW33">
        <f>VLOOKUP(Table29[[#This Row],[Shortname]], Comp[], 28, FALSE)</f>
        <v>0</v>
      </c>
      <c r="AX33">
        <f>VLOOKUP(Table29[[#This Row],[Shortname]], Comp[], 29, FALSE)</f>
        <v>0</v>
      </c>
      <c r="AY33">
        <f>VLOOKUP(Table29[[#This Row],[Shortname]], Comp[], 30, FALSE)</f>
        <v>0</v>
      </c>
      <c r="AZ33">
        <f>VLOOKUP(Table29[[#This Row],[Shortname]], Comp[], 31, FALSE)</f>
        <v>0</v>
      </c>
    </row>
    <row r="34" spans="1:52" x14ac:dyDescent="0.3">
      <c r="A34" t="s">
        <v>311</v>
      </c>
      <c r="B34">
        <v>40</v>
      </c>
      <c r="C34">
        <v>38</v>
      </c>
      <c r="D34" t="s">
        <v>11</v>
      </c>
      <c r="E34" t="s">
        <v>160</v>
      </c>
      <c r="F34" t="s">
        <v>313</v>
      </c>
      <c r="G34" t="s">
        <v>7256</v>
      </c>
      <c r="H34">
        <v>250</v>
      </c>
      <c r="I34">
        <v>1.9700000000000002E-6</v>
      </c>
      <c r="J34">
        <f>0.01/Table29[[#This Row],[Strain Rate (min) /s]]</f>
        <v>5076.1421319796955</v>
      </c>
      <c r="K34">
        <f>LOG(Table29[[#This Row],[Time to 1% strain (s)]])</f>
        <v>3.7055337738384071</v>
      </c>
      <c r="L34">
        <v>850</v>
      </c>
      <c r="M34">
        <v>4</v>
      </c>
      <c r="P34" t="s">
        <v>7041</v>
      </c>
      <c r="Q34">
        <v>1300</v>
      </c>
      <c r="R34">
        <v>12</v>
      </c>
      <c r="S34">
        <v>900</v>
      </c>
      <c r="T34">
        <v>400</v>
      </c>
      <c r="W34">
        <v>1</v>
      </c>
      <c r="X34">
        <v>10</v>
      </c>
      <c r="Y34">
        <v>0</v>
      </c>
      <c r="AA34">
        <f>VLOOKUP(Table29[[#This Row],[Shortname]], Comp[], 6, FALSE)</f>
        <v>38</v>
      </c>
      <c r="AB34" s="14">
        <f>VLOOKUP(Table29[[#This Row],[Shortname]], Comp[], 7, FALSE)</f>
        <v>77.58</v>
      </c>
      <c r="AC34">
        <f>VLOOKUP(Table29[[#This Row],[Shortname]], Comp[], 8, FALSE)</f>
        <v>0</v>
      </c>
      <c r="AD34">
        <f>VLOOKUP(Table29[[#This Row],[Shortname]], Comp[], 9, FALSE)</f>
        <v>9.5</v>
      </c>
      <c r="AE34">
        <f>VLOOKUP(Table29[[#This Row],[Shortname]], Comp[], 10, FALSE)</f>
        <v>0</v>
      </c>
      <c r="AF34">
        <f>VLOOKUP(Table29[[#This Row],[Shortname]], Comp[], 11, FALSE)</f>
        <v>9.6999999999999993</v>
      </c>
      <c r="AG34">
        <f>VLOOKUP(Table29[[#This Row],[Shortname]], Comp[],12, FALSE)</f>
        <v>0</v>
      </c>
      <c r="AH34">
        <f>VLOOKUP(Table29[[#This Row],[Shortname]], Comp[], 13, FALSE)</f>
        <v>1.3</v>
      </c>
      <c r="AI34">
        <f>VLOOKUP(Table29[[#This Row],[Shortname]], Comp[], 14, FALSE)</f>
        <v>0</v>
      </c>
      <c r="AJ34">
        <f>VLOOKUP(Table29[[#This Row],[Shortname]], Comp[], 15, FALSE)</f>
        <v>0</v>
      </c>
      <c r="AK34">
        <f>VLOOKUP(Table29[[#This Row],[Shortname]], Comp[], 16, FALSE)</f>
        <v>0</v>
      </c>
      <c r="AL34">
        <f>VLOOKUP(Table29[[#This Row],[Shortname]], Comp[], 17, FALSE)</f>
        <v>0</v>
      </c>
      <c r="AM34">
        <f>VLOOKUP(Table29[[#This Row],[Shortname]], Comp[], 18, FALSE)</f>
        <v>0</v>
      </c>
      <c r="AN34">
        <f>VLOOKUP(Table29[[#This Row],[Shortname]], Comp[], 19, FALSE)</f>
        <v>0.12</v>
      </c>
      <c r="AO34">
        <f>VLOOKUP(Table29[[#This Row],[Shortname]], Comp[], 20, FALSE)</f>
        <v>1.8</v>
      </c>
      <c r="AP34">
        <f>VLOOKUP(Table29[[#This Row],[Shortname]], Comp[], 21, FALSE)</f>
        <v>0</v>
      </c>
      <c r="AQ34">
        <f>VLOOKUP(Table29[[#This Row],[Shortname]], Comp[], 22, FALSE)</f>
        <v>0</v>
      </c>
      <c r="AR34">
        <f>VLOOKUP(Table29[[#This Row],[Shortname]], Comp[], 23, FALSE)</f>
        <v>0</v>
      </c>
      <c r="AS34">
        <f>VLOOKUP(Table29[[#This Row],[Shortname]], Comp[], 24, FALSE)</f>
        <v>0</v>
      </c>
      <c r="AT34">
        <f>VLOOKUP(Table29[[#This Row],[Shortname]], Comp[], 25, FALSE)</f>
        <v>0</v>
      </c>
      <c r="AU34">
        <f>VLOOKUP(Table29[[#This Row],[Shortname]], Comp[], 26, FALSE)</f>
        <v>0</v>
      </c>
      <c r="AV34">
        <f>VLOOKUP(Table29[[#This Row],[Shortname]], Comp[], 27, FALSE)</f>
        <v>0</v>
      </c>
      <c r="AW34">
        <f>VLOOKUP(Table29[[#This Row],[Shortname]], Comp[], 28, FALSE)</f>
        <v>0</v>
      </c>
      <c r="AX34">
        <f>VLOOKUP(Table29[[#This Row],[Shortname]], Comp[], 29, FALSE)</f>
        <v>0</v>
      </c>
      <c r="AY34">
        <f>VLOOKUP(Table29[[#This Row],[Shortname]], Comp[], 30, FALSE)</f>
        <v>0</v>
      </c>
      <c r="AZ34">
        <f>VLOOKUP(Table29[[#This Row],[Shortname]], Comp[], 31, FALSE)</f>
        <v>0</v>
      </c>
    </row>
    <row r="35" spans="1:52" x14ac:dyDescent="0.3">
      <c r="A35" t="s">
        <v>311</v>
      </c>
      <c r="B35">
        <v>41</v>
      </c>
      <c r="C35">
        <v>38</v>
      </c>
      <c r="D35" t="s">
        <v>11</v>
      </c>
      <c r="E35" t="s">
        <v>160</v>
      </c>
      <c r="F35" t="s">
        <v>313</v>
      </c>
      <c r="G35" t="s">
        <v>7257</v>
      </c>
      <c r="H35">
        <v>300</v>
      </c>
      <c r="I35">
        <v>4.4399999999999998E-6</v>
      </c>
      <c r="J35">
        <f>0.01/Table29[[#This Row],[Strain Rate (min) /s]]</f>
        <v>2252.2522522522522</v>
      </c>
      <c r="K35">
        <f>LOG(Table29[[#This Row],[Time to 1% strain (s)]])</f>
        <v>3.3526170298853804</v>
      </c>
      <c r="L35">
        <v>850</v>
      </c>
      <c r="M35">
        <v>4</v>
      </c>
      <c r="P35" t="s">
        <v>7041</v>
      </c>
      <c r="Q35">
        <v>1300</v>
      </c>
      <c r="R35">
        <v>12</v>
      </c>
      <c r="S35">
        <v>900</v>
      </c>
      <c r="T35">
        <v>400</v>
      </c>
      <c r="W35">
        <v>1</v>
      </c>
      <c r="X35">
        <v>10</v>
      </c>
      <c r="Y35">
        <v>0</v>
      </c>
      <c r="AA35">
        <f>VLOOKUP(Table29[[#This Row],[Shortname]], Comp[], 6, FALSE)</f>
        <v>38</v>
      </c>
      <c r="AB35" s="14">
        <f>VLOOKUP(Table29[[#This Row],[Shortname]], Comp[], 7, FALSE)</f>
        <v>77.58</v>
      </c>
      <c r="AC35">
        <f>VLOOKUP(Table29[[#This Row],[Shortname]], Comp[], 8, FALSE)</f>
        <v>0</v>
      </c>
      <c r="AD35">
        <f>VLOOKUP(Table29[[#This Row],[Shortname]], Comp[], 9, FALSE)</f>
        <v>9.5</v>
      </c>
      <c r="AE35">
        <f>VLOOKUP(Table29[[#This Row],[Shortname]], Comp[], 10, FALSE)</f>
        <v>0</v>
      </c>
      <c r="AF35">
        <f>VLOOKUP(Table29[[#This Row],[Shortname]], Comp[], 11, FALSE)</f>
        <v>9.6999999999999993</v>
      </c>
      <c r="AG35">
        <f>VLOOKUP(Table29[[#This Row],[Shortname]], Comp[],12, FALSE)</f>
        <v>0</v>
      </c>
      <c r="AH35">
        <f>VLOOKUP(Table29[[#This Row],[Shortname]], Comp[], 13, FALSE)</f>
        <v>1.3</v>
      </c>
      <c r="AI35">
        <f>VLOOKUP(Table29[[#This Row],[Shortname]], Comp[], 14, FALSE)</f>
        <v>0</v>
      </c>
      <c r="AJ35">
        <f>VLOOKUP(Table29[[#This Row],[Shortname]], Comp[], 15, FALSE)</f>
        <v>0</v>
      </c>
      <c r="AK35">
        <f>VLOOKUP(Table29[[#This Row],[Shortname]], Comp[], 16, FALSE)</f>
        <v>0</v>
      </c>
      <c r="AL35">
        <f>VLOOKUP(Table29[[#This Row],[Shortname]], Comp[], 17, FALSE)</f>
        <v>0</v>
      </c>
      <c r="AM35">
        <f>VLOOKUP(Table29[[#This Row],[Shortname]], Comp[], 18, FALSE)</f>
        <v>0</v>
      </c>
      <c r="AN35">
        <f>VLOOKUP(Table29[[#This Row],[Shortname]], Comp[], 19, FALSE)</f>
        <v>0.12</v>
      </c>
      <c r="AO35">
        <f>VLOOKUP(Table29[[#This Row],[Shortname]], Comp[], 20, FALSE)</f>
        <v>1.8</v>
      </c>
      <c r="AP35">
        <f>VLOOKUP(Table29[[#This Row],[Shortname]], Comp[], 21, FALSE)</f>
        <v>0</v>
      </c>
      <c r="AQ35">
        <f>VLOOKUP(Table29[[#This Row],[Shortname]], Comp[], 22, FALSE)</f>
        <v>0</v>
      </c>
      <c r="AR35">
        <f>VLOOKUP(Table29[[#This Row],[Shortname]], Comp[], 23, FALSE)</f>
        <v>0</v>
      </c>
      <c r="AS35">
        <f>VLOOKUP(Table29[[#This Row],[Shortname]], Comp[], 24, FALSE)</f>
        <v>0</v>
      </c>
      <c r="AT35">
        <f>VLOOKUP(Table29[[#This Row],[Shortname]], Comp[], 25, FALSE)</f>
        <v>0</v>
      </c>
      <c r="AU35">
        <f>VLOOKUP(Table29[[#This Row],[Shortname]], Comp[], 26, FALSE)</f>
        <v>0</v>
      </c>
      <c r="AV35">
        <f>VLOOKUP(Table29[[#This Row],[Shortname]], Comp[], 27, FALSE)</f>
        <v>0</v>
      </c>
      <c r="AW35">
        <f>VLOOKUP(Table29[[#This Row],[Shortname]], Comp[], 28, FALSE)</f>
        <v>0</v>
      </c>
      <c r="AX35">
        <f>VLOOKUP(Table29[[#This Row],[Shortname]], Comp[], 29, FALSE)</f>
        <v>0</v>
      </c>
      <c r="AY35">
        <f>VLOOKUP(Table29[[#This Row],[Shortname]], Comp[], 30, FALSE)</f>
        <v>0</v>
      </c>
      <c r="AZ35">
        <f>VLOOKUP(Table29[[#This Row],[Shortname]], Comp[], 31, FALSE)</f>
        <v>0</v>
      </c>
    </row>
    <row r="36" spans="1:52" x14ac:dyDescent="0.3">
      <c r="A36" t="s">
        <v>322</v>
      </c>
      <c r="B36">
        <v>19</v>
      </c>
      <c r="C36">
        <v>39</v>
      </c>
      <c r="D36" t="s">
        <v>323</v>
      </c>
      <c r="E36" t="s">
        <v>95</v>
      </c>
      <c r="F36" t="s">
        <v>7043</v>
      </c>
      <c r="G36" t="s">
        <v>277</v>
      </c>
      <c r="H36">
        <v>150</v>
      </c>
      <c r="I36">
        <v>9.3703000000000002E-8</v>
      </c>
      <c r="J36">
        <f>0.01/Table29[[#This Row],[Strain Rate (min) /s]]</f>
        <v>106720.16904474777</v>
      </c>
      <c r="K36">
        <f>LOG(Table29[[#This Row],[Time to 1% strain (s)]])</f>
        <v>5.0282465044954776</v>
      </c>
      <c r="L36">
        <v>950</v>
      </c>
      <c r="M36">
        <v>8.3000000000000007</v>
      </c>
      <c r="P36" t="s">
        <v>7044</v>
      </c>
      <c r="Q36">
        <v>1300</v>
      </c>
      <c r="R36">
        <v>12</v>
      </c>
      <c r="S36">
        <v>900</v>
      </c>
      <c r="T36">
        <v>200</v>
      </c>
      <c r="W36">
        <v>1</v>
      </c>
      <c r="X36">
        <v>10</v>
      </c>
      <c r="Y36">
        <v>82</v>
      </c>
      <c r="AA36">
        <f>VLOOKUP(Table29[[#This Row],[Shortname]], Comp[], 6, FALSE)</f>
        <v>39</v>
      </c>
      <c r="AB36" s="14">
        <f>VLOOKUP(Table29[[#This Row],[Shortname]], Comp[], 7, FALSE)</f>
        <v>79.679999999999993</v>
      </c>
      <c r="AC36">
        <f>VLOOKUP(Table29[[#This Row],[Shortname]], Comp[], 8, FALSE)</f>
        <v>0</v>
      </c>
      <c r="AD36">
        <f>VLOOKUP(Table29[[#This Row],[Shortname]], Comp[], 9, FALSE)</f>
        <v>8.9</v>
      </c>
      <c r="AE36">
        <f>VLOOKUP(Table29[[#This Row],[Shortname]], Comp[], 10, FALSE)</f>
        <v>0</v>
      </c>
      <c r="AF36">
        <f>VLOOKUP(Table29[[#This Row],[Shortname]], Comp[], 11, FALSE)</f>
        <v>9.3000000000000007</v>
      </c>
      <c r="AG36">
        <f>VLOOKUP(Table29[[#This Row],[Shortname]], Comp[],12, FALSE)</f>
        <v>0</v>
      </c>
      <c r="AH36">
        <f>VLOOKUP(Table29[[#This Row],[Shortname]], Comp[], 13, FALSE)</f>
        <v>2</v>
      </c>
      <c r="AI36">
        <f>VLOOKUP(Table29[[#This Row],[Shortname]], Comp[], 14, FALSE)</f>
        <v>0</v>
      </c>
      <c r="AJ36">
        <f>VLOOKUP(Table29[[#This Row],[Shortname]], Comp[], 15, FALSE)</f>
        <v>0</v>
      </c>
      <c r="AK36">
        <f>VLOOKUP(Table29[[#This Row],[Shortname]], Comp[], 16, FALSE)</f>
        <v>0</v>
      </c>
      <c r="AL36">
        <f>VLOOKUP(Table29[[#This Row],[Shortname]], Comp[], 17, FALSE)</f>
        <v>0</v>
      </c>
      <c r="AM36">
        <f>VLOOKUP(Table29[[#This Row],[Shortname]], Comp[], 18, FALSE)</f>
        <v>0</v>
      </c>
      <c r="AN36">
        <f>VLOOKUP(Table29[[#This Row],[Shortname]], Comp[], 19, FALSE)</f>
        <v>0.12</v>
      </c>
      <c r="AO36">
        <f>VLOOKUP(Table29[[#This Row],[Shortname]], Comp[], 20, FALSE)</f>
        <v>0</v>
      </c>
      <c r="AP36">
        <f>VLOOKUP(Table29[[#This Row],[Shortname]], Comp[], 21, FALSE)</f>
        <v>0</v>
      </c>
      <c r="AQ36">
        <f>VLOOKUP(Table29[[#This Row],[Shortname]], Comp[], 22, FALSE)</f>
        <v>0</v>
      </c>
      <c r="AR36">
        <f>VLOOKUP(Table29[[#This Row],[Shortname]], Comp[], 23, FALSE)</f>
        <v>0</v>
      </c>
      <c r="AS36">
        <f>VLOOKUP(Table29[[#This Row],[Shortname]], Comp[], 24, FALSE)</f>
        <v>0</v>
      </c>
      <c r="AT36">
        <f>VLOOKUP(Table29[[#This Row],[Shortname]], Comp[], 25, FALSE)</f>
        <v>0</v>
      </c>
      <c r="AU36">
        <f>VLOOKUP(Table29[[#This Row],[Shortname]], Comp[], 26, FALSE)</f>
        <v>0</v>
      </c>
      <c r="AV36">
        <f>VLOOKUP(Table29[[#This Row],[Shortname]], Comp[], 27, FALSE)</f>
        <v>0</v>
      </c>
      <c r="AW36">
        <f>VLOOKUP(Table29[[#This Row],[Shortname]], Comp[], 28, FALSE)</f>
        <v>0</v>
      </c>
      <c r="AX36">
        <f>VLOOKUP(Table29[[#This Row],[Shortname]], Comp[], 29, FALSE)</f>
        <v>0</v>
      </c>
      <c r="AY36">
        <f>VLOOKUP(Table29[[#This Row],[Shortname]], Comp[], 30, FALSE)</f>
        <v>0</v>
      </c>
      <c r="AZ36">
        <f>VLOOKUP(Table29[[#This Row],[Shortname]], Comp[], 31, FALSE)</f>
        <v>0</v>
      </c>
    </row>
    <row r="37" spans="1:52" x14ac:dyDescent="0.3">
      <c r="A37" t="s">
        <v>322</v>
      </c>
      <c r="B37">
        <v>20</v>
      </c>
      <c r="C37">
        <v>39</v>
      </c>
      <c r="D37" t="s">
        <v>11</v>
      </c>
      <c r="E37" t="s">
        <v>95</v>
      </c>
      <c r="F37" t="s">
        <v>7043</v>
      </c>
      <c r="G37" t="s">
        <v>277</v>
      </c>
      <c r="H37">
        <v>200</v>
      </c>
      <c r="I37">
        <v>7.3182000000000005E-7</v>
      </c>
      <c r="J37">
        <f>0.01/Table29[[#This Row],[Strain Rate (min) /s]]</f>
        <v>13664.56232406876</v>
      </c>
      <c r="K37">
        <f>LOG(Table29[[#This Row],[Time to 1% strain (s)]])</f>
        <v>4.1355957257991953</v>
      </c>
      <c r="L37">
        <v>950</v>
      </c>
      <c r="M37">
        <v>8.3000000000000007</v>
      </c>
      <c r="P37" t="s">
        <v>7044</v>
      </c>
      <c r="Q37">
        <v>1300</v>
      </c>
      <c r="R37">
        <v>12</v>
      </c>
      <c r="S37">
        <v>900</v>
      </c>
      <c r="T37">
        <v>200</v>
      </c>
      <c r="W37">
        <v>1</v>
      </c>
      <c r="X37">
        <v>10</v>
      </c>
      <c r="Y37">
        <v>82</v>
      </c>
      <c r="AA37">
        <f>VLOOKUP(Table29[[#This Row],[Shortname]], Comp[], 6, FALSE)</f>
        <v>39</v>
      </c>
      <c r="AB37" s="14">
        <f>VLOOKUP(Table29[[#This Row],[Shortname]], Comp[], 7, FALSE)</f>
        <v>79.679999999999993</v>
      </c>
      <c r="AC37">
        <f>VLOOKUP(Table29[[#This Row],[Shortname]], Comp[], 8, FALSE)</f>
        <v>0</v>
      </c>
      <c r="AD37">
        <f>VLOOKUP(Table29[[#This Row],[Shortname]], Comp[], 9, FALSE)</f>
        <v>8.9</v>
      </c>
      <c r="AE37">
        <f>VLOOKUP(Table29[[#This Row],[Shortname]], Comp[], 10, FALSE)</f>
        <v>0</v>
      </c>
      <c r="AF37">
        <f>VLOOKUP(Table29[[#This Row],[Shortname]], Comp[], 11, FALSE)</f>
        <v>9.3000000000000007</v>
      </c>
      <c r="AG37">
        <f>VLOOKUP(Table29[[#This Row],[Shortname]], Comp[],12, FALSE)</f>
        <v>0</v>
      </c>
      <c r="AH37">
        <f>VLOOKUP(Table29[[#This Row],[Shortname]], Comp[], 13, FALSE)</f>
        <v>2</v>
      </c>
      <c r="AI37">
        <f>VLOOKUP(Table29[[#This Row],[Shortname]], Comp[], 14, FALSE)</f>
        <v>0</v>
      </c>
      <c r="AJ37">
        <f>VLOOKUP(Table29[[#This Row],[Shortname]], Comp[], 15, FALSE)</f>
        <v>0</v>
      </c>
      <c r="AK37">
        <f>VLOOKUP(Table29[[#This Row],[Shortname]], Comp[], 16, FALSE)</f>
        <v>0</v>
      </c>
      <c r="AL37">
        <f>VLOOKUP(Table29[[#This Row],[Shortname]], Comp[], 17, FALSE)</f>
        <v>0</v>
      </c>
      <c r="AM37">
        <f>VLOOKUP(Table29[[#This Row],[Shortname]], Comp[], 18, FALSE)</f>
        <v>0</v>
      </c>
      <c r="AN37">
        <f>VLOOKUP(Table29[[#This Row],[Shortname]], Comp[], 19, FALSE)</f>
        <v>0.12</v>
      </c>
      <c r="AO37">
        <f>VLOOKUP(Table29[[#This Row],[Shortname]], Comp[], 20, FALSE)</f>
        <v>0</v>
      </c>
      <c r="AP37">
        <f>VLOOKUP(Table29[[#This Row],[Shortname]], Comp[], 21, FALSE)</f>
        <v>0</v>
      </c>
      <c r="AQ37">
        <f>VLOOKUP(Table29[[#This Row],[Shortname]], Comp[], 22, FALSE)</f>
        <v>0</v>
      </c>
      <c r="AR37">
        <f>VLOOKUP(Table29[[#This Row],[Shortname]], Comp[], 23, FALSE)</f>
        <v>0</v>
      </c>
      <c r="AS37">
        <f>VLOOKUP(Table29[[#This Row],[Shortname]], Comp[], 24, FALSE)</f>
        <v>0</v>
      </c>
      <c r="AT37">
        <f>VLOOKUP(Table29[[#This Row],[Shortname]], Comp[], 25, FALSE)</f>
        <v>0</v>
      </c>
      <c r="AU37">
        <f>VLOOKUP(Table29[[#This Row],[Shortname]], Comp[], 26, FALSE)</f>
        <v>0</v>
      </c>
      <c r="AV37">
        <f>VLOOKUP(Table29[[#This Row],[Shortname]], Comp[], 27, FALSE)</f>
        <v>0</v>
      </c>
      <c r="AW37">
        <f>VLOOKUP(Table29[[#This Row],[Shortname]], Comp[], 28, FALSE)</f>
        <v>0</v>
      </c>
      <c r="AX37">
        <f>VLOOKUP(Table29[[#This Row],[Shortname]], Comp[], 29, FALSE)</f>
        <v>0</v>
      </c>
      <c r="AY37">
        <f>VLOOKUP(Table29[[#This Row],[Shortname]], Comp[], 30, FALSE)</f>
        <v>0</v>
      </c>
      <c r="AZ37">
        <f>VLOOKUP(Table29[[#This Row],[Shortname]], Comp[], 31, FALSE)</f>
        <v>0</v>
      </c>
    </row>
    <row r="38" spans="1:52" x14ac:dyDescent="0.3">
      <c r="A38" t="s">
        <v>322</v>
      </c>
      <c r="B38">
        <v>21</v>
      </c>
      <c r="C38">
        <v>39</v>
      </c>
      <c r="D38" t="s">
        <v>11</v>
      </c>
      <c r="E38" t="s">
        <v>95</v>
      </c>
      <c r="F38" t="s">
        <v>7043</v>
      </c>
      <c r="G38" t="s">
        <v>277</v>
      </c>
      <c r="H38">
        <v>250</v>
      </c>
      <c r="I38">
        <v>6.6812999999999999E-6</v>
      </c>
      <c r="J38">
        <f>0.01/Table29[[#This Row],[Strain Rate (min) /s]]</f>
        <v>1496.7147112088965</v>
      </c>
      <c r="K38">
        <f>LOG(Table29[[#This Row],[Time to 1% strain (s)]])</f>
        <v>3.1751390273602853</v>
      </c>
      <c r="L38">
        <v>950</v>
      </c>
      <c r="M38">
        <v>8.3000000000000007</v>
      </c>
      <c r="P38" t="s">
        <v>7044</v>
      </c>
      <c r="Q38">
        <v>1300</v>
      </c>
      <c r="R38">
        <v>12</v>
      </c>
      <c r="S38">
        <v>900</v>
      </c>
      <c r="T38">
        <v>200</v>
      </c>
      <c r="W38">
        <v>1</v>
      </c>
      <c r="X38">
        <v>10</v>
      </c>
      <c r="Y38">
        <v>82</v>
      </c>
      <c r="AA38">
        <f>VLOOKUP(Table29[[#This Row],[Shortname]], Comp[], 6, FALSE)</f>
        <v>39</v>
      </c>
      <c r="AB38" s="14">
        <f>VLOOKUP(Table29[[#This Row],[Shortname]], Comp[], 7, FALSE)</f>
        <v>79.679999999999993</v>
      </c>
      <c r="AC38">
        <f>VLOOKUP(Table29[[#This Row],[Shortname]], Comp[], 8, FALSE)</f>
        <v>0</v>
      </c>
      <c r="AD38">
        <f>VLOOKUP(Table29[[#This Row],[Shortname]], Comp[], 9, FALSE)</f>
        <v>8.9</v>
      </c>
      <c r="AE38">
        <f>VLOOKUP(Table29[[#This Row],[Shortname]], Comp[], 10, FALSE)</f>
        <v>0</v>
      </c>
      <c r="AF38">
        <f>VLOOKUP(Table29[[#This Row],[Shortname]], Comp[], 11, FALSE)</f>
        <v>9.3000000000000007</v>
      </c>
      <c r="AG38">
        <f>VLOOKUP(Table29[[#This Row],[Shortname]], Comp[],12, FALSE)</f>
        <v>0</v>
      </c>
      <c r="AH38">
        <f>VLOOKUP(Table29[[#This Row],[Shortname]], Comp[], 13, FALSE)</f>
        <v>2</v>
      </c>
      <c r="AI38">
        <f>VLOOKUP(Table29[[#This Row],[Shortname]], Comp[], 14, FALSE)</f>
        <v>0</v>
      </c>
      <c r="AJ38">
        <f>VLOOKUP(Table29[[#This Row],[Shortname]], Comp[], 15, FALSE)</f>
        <v>0</v>
      </c>
      <c r="AK38">
        <f>VLOOKUP(Table29[[#This Row],[Shortname]], Comp[], 16, FALSE)</f>
        <v>0</v>
      </c>
      <c r="AL38">
        <f>VLOOKUP(Table29[[#This Row],[Shortname]], Comp[], 17, FALSE)</f>
        <v>0</v>
      </c>
      <c r="AM38">
        <f>VLOOKUP(Table29[[#This Row],[Shortname]], Comp[], 18, FALSE)</f>
        <v>0</v>
      </c>
      <c r="AN38">
        <f>VLOOKUP(Table29[[#This Row],[Shortname]], Comp[], 19, FALSE)</f>
        <v>0.12</v>
      </c>
      <c r="AO38">
        <f>VLOOKUP(Table29[[#This Row],[Shortname]], Comp[], 20, FALSE)</f>
        <v>0</v>
      </c>
      <c r="AP38">
        <f>VLOOKUP(Table29[[#This Row],[Shortname]], Comp[], 21, FALSE)</f>
        <v>0</v>
      </c>
      <c r="AQ38">
        <f>VLOOKUP(Table29[[#This Row],[Shortname]], Comp[], 22, FALSE)</f>
        <v>0</v>
      </c>
      <c r="AR38">
        <f>VLOOKUP(Table29[[#This Row],[Shortname]], Comp[], 23, FALSE)</f>
        <v>0</v>
      </c>
      <c r="AS38">
        <f>VLOOKUP(Table29[[#This Row],[Shortname]], Comp[], 24, FALSE)</f>
        <v>0</v>
      </c>
      <c r="AT38">
        <f>VLOOKUP(Table29[[#This Row],[Shortname]], Comp[], 25, FALSE)</f>
        <v>0</v>
      </c>
      <c r="AU38">
        <f>VLOOKUP(Table29[[#This Row],[Shortname]], Comp[], 26, FALSE)</f>
        <v>0</v>
      </c>
      <c r="AV38">
        <f>VLOOKUP(Table29[[#This Row],[Shortname]], Comp[], 27, FALSE)</f>
        <v>0</v>
      </c>
      <c r="AW38">
        <f>VLOOKUP(Table29[[#This Row],[Shortname]], Comp[], 28, FALSE)</f>
        <v>0</v>
      </c>
      <c r="AX38">
        <f>VLOOKUP(Table29[[#This Row],[Shortname]], Comp[], 29, FALSE)</f>
        <v>0</v>
      </c>
      <c r="AY38">
        <f>VLOOKUP(Table29[[#This Row],[Shortname]], Comp[], 30, FALSE)</f>
        <v>0</v>
      </c>
      <c r="AZ38">
        <f>VLOOKUP(Table29[[#This Row],[Shortname]], Comp[], 31, FALSE)</f>
        <v>0</v>
      </c>
    </row>
    <row r="39" spans="1:52" x14ac:dyDescent="0.3">
      <c r="A39" t="s">
        <v>322</v>
      </c>
      <c r="B39">
        <v>42</v>
      </c>
      <c r="C39">
        <v>39</v>
      </c>
      <c r="D39" t="s">
        <v>11</v>
      </c>
      <c r="E39" t="s">
        <v>95</v>
      </c>
      <c r="F39" t="s">
        <v>324</v>
      </c>
      <c r="G39" t="s">
        <v>7258</v>
      </c>
      <c r="H39">
        <v>410</v>
      </c>
      <c r="I39">
        <v>3.62E-8</v>
      </c>
      <c r="J39">
        <f>0.01/Table29[[#This Row],[Strain Rate (min) /s]]</f>
        <v>276243.09392265195</v>
      </c>
      <c r="K39">
        <f>LOG(Table29[[#This Row],[Time to 1% strain (s)]])</f>
        <v>5.4412914294668342</v>
      </c>
      <c r="L39">
        <v>850</v>
      </c>
      <c r="M39">
        <v>10.3</v>
      </c>
      <c r="P39" t="s">
        <v>7044</v>
      </c>
      <c r="Q39">
        <v>1300</v>
      </c>
      <c r="R39">
        <v>12</v>
      </c>
      <c r="S39">
        <v>900</v>
      </c>
      <c r="T39">
        <v>50</v>
      </c>
      <c r="W39">
        <v>1</v>
      </c>
      <c r="X39">
        <v>10</v>
      </c>
      <c r="Y39">
        <v>75</v>
      </c>
      <c r="Z39" t="s">
        <v>7045</v>
      </c>
      <c r="AA39">
        <f>VLOOKUP(Table29[[#This Row],[Shortname]], Comp[], 6, FALSE)</f>
        <v>39</v>
      </c>
      <c r="AB39" s="14">
        <f>VLOOKUP(Table29[[#This Row],[Shortname]], Comp[], 7, FALSE)</f>
        <v>79.679999999999993</v>
      </c>
      <c r="AC39">
        <f>VLOOKUP(Table29[[#This Row],[Shortname]], Comp[], 8, FALSE)</f>
        <v>0</v>
      </c>
      <c r="AD39">
        <f>VLOOKUP(Table29[[#This Row],[Shortname]], Comp[], 9, FALSE)</f>
        <v>8.9</v>
      </c>
      <c r="AE39">
        <f>VLOOKUP(Table29[[#This Row],[Shortname]], Comp[], 10, FALSE)</f>
        <v>0</v>
      </c>
      <c r="AF39">
        <f>VLOOKUP(Table29[[#This Row],[Shortname]], Comp[], 11, FALSE)</f>
        <v>9.3000000000000007</v>
      </c>
      <c r="AG39">
        <f>VLOOKUP(Table29[[#This Row],[Shortname]], Comp[],12, FALSE)</f>
        <v>0</v>
      </c>
      <c r="AH39">
        <f>VLOOKUP(Table29[[#This Row],[Shortname]], Comp[], 13, FALSE)</f>
        <v>2</v>
      </c>
      <c r="AI39">
        <f>VLOOKUP(Table29[[#This Row],[Shortname]], Comp[], 14, FALSE)</f>
        <v>0</v>
      </c>
      <c r="AJ39">
        <f>VLOOKUP(Table29[[#This Row],[Shortname]], Comp[], 15, FALSE)</f>
        <v>0</v>
      </c>
      <c r="AK39">
        <f>VLOOKUP(Table29[[#This Row],[Shortname]], Comp[], 16, FALSE)</f>
        <v>0</v>
      </c>
      <c r="AL39">
        <f>VLOOKUP(Table29[[#This Row],[Shortname]], Comp[], 17, FALSE)</f>
        <v>0</v>
      </c>
      <c r="AM39">
        <f>VLOOKUP(Table29[[#This Row],[Shortname]], Comp[], 18, FALSE)</f>
        <v>0</v>
      </c>
      <c r="AN39">
        <f>VLOOKUP(Table29[[#This Row],[Shortname]], Comp[], 19, FALSE)</f>
        <v>0.12</v>
      </c>
      <c r="AO39">
        <f>VLOOKUP(Table29[[#This Row],[Shortname]], Comp[], 20, FALSE)</f>
        <v>0</v>
      </c>
      <c r="AP39">
        <f>VLOOKUP(Table29[[#This Row],[Shortname]], Comp[], 21, FALSE)</f>
        <v>0</v>
      </c>
      <c r="AQ39">
        <f>VLOOKUP(Table29[[#This Row],[Shortname]], Comp[], 22, FALSE)</f>
        <v>0</v>
      </c>
      <c r="AR39">
        <f>VLOOKUP(Table29[[#This Row],[Shortname]], Comp[], 23, FALSE)</f>
        <v>0</v>
      </c>
      <c r="AS39">
        <f>VLOOKUP(Table29[[#This Row],[Shortname]], Comp[], 24, FALSE)</f>
        <v>0</v>
      </c>
      <c r="AT39">
        <f>VLOOKUP(Table29[[#This Row],[Shortname]], Comp[], 25, FALSE)</f>
        <v>0</v>
      </c>
      <c r="AU39">
        <f>VLOOKUP(Table29[[#This Row],[Shortname]], Comp[], 26, FALSE)</f>
        <v>0</v>
      </c>
      <c r="AV39">
        <f>VLOOKUP(Table29[[#This Row],[Shortname]], Comp[], 27, FALSE)</f>
        <v>0</v>
      </c>
      <c r="AW39">
        <f>VLOOKUP(Table29[[#This Row],[Shortname]], Comp[], 28, FALSE)</f>
        <v>0</v>
      </c>
      <c r="AX39">
        <f>VLOOKUP(Table29[[#This Row],[Shortname]], Comp[], 29, FALSE)</f>
        <v>0</v>
      </c>
      <c r="AY39">
        <f>VLOOKUP(Table29[[#This Row],[Shortname]], Comp[], 30, FALSE)</f>
        <v>0</v>
      </c>
      <c r="AZ39">
        <f>VLOOKUP(Table29[[#This Row],[Shortname]], Comp[], 31, FALSE)</f>
        <v>0</v>
      </c>
    </row>
    <row r="40" spans="1:52" x14ac:dyDescent="0.3">
      <c r="A40" t="s">
        <v>322</v>
      </c>
      <c r="B40">
        <v>43</v>
      </c>
      <c r="C40">
        <v>39</v>
      </c>
      <c r="D40" t="s">
        <v>11</v>
      </c>
      <c r="E40" t="s">
        <v>95</v>
      </c>
      <c r="F40" t="s">
        <v>324</v>
      </c>
      <c r="G40" t="s">
        <v>7259</v>
      </c>
      <c r="H40">
        <v>510</v>
      </c>
      <c r="I40">
        <v>2.2999999999999999E-7</v>
      </c>
      <c r="J40">
        <f>0.01/Table29[[#This Row],[Strain Rate (min) /s]]</f>
        <v>43478.260869565216</v>
      </c>
      <c r="K40">
        <f>LOG(Table29[[#This Row],[Time to 1% strain (s)]])</f>
        <v>4.6382721639824069</v>
      </c>
      <c r="L40">
        <v>850</v>
      </c>
      <c r="M40">
        <v>10.3</v>
      </c>
      <c r="P40" t="s">
        <v>7044</v>
      </c>
      <c r="Q40">
        <v>1300</v>
      </c>
      <c r="R40">
        <v>12</v>
      </c>
      <c r="S40">
        <v>900</v>
      </c>
      <c r="T40">
        <v>50</v>
      </c>
      <c r="W40">
        <v>1</v>
      </c>
      <c r="X40">
        <v>10</v>
      </c>
      <c r="Y40">
        <v>75</v>
      </c>
      <c r="AA40">
        <f>VLOOKUP(Table29[[#This Row],[Shortname]], Comp[], 6, FALSE)</f>
        <v>39</v>
      </c>
      <c r="AB40" s="14">
        <f>VLOOKUP(Table29[[#This Row],[Shortname]], Comp[], 7, FALSE)</f>
        <v>79.679999999999993</v>
      </c>
      <c r="AC40">
        <f>VLOOKUP(Table29[[#This Row],[Shortname]], Comp[], 8, FALSE)</f>
        <v>0</v>
      </c>
      <c r="AD40">
        <f>VLOOKUP(Table29[[#This Row],[Shortname]], Comp[], 9, FALSE)</f>
        <v>8.9</v>
      </c>
      <c r="AE40">
        <f>VLOOKUP(Table29[[#This Row],[Shortname]], Comp[], 10, FALSE)</f>
        <v>0</v>
      </c>
      <c r="AF40">
        <f>VLOOKUP(Table29[[#This Row],[Shortname]], Comp[], 11, FALSE)</f>
        <v>9.3000000000000007</v>
      </c>
      <c r="AG40">
        <f>VLOOKUP(Table29[[#This Row],[Shortname]], Comp[],12, FALSE)</f>
        <v>0</v>
      </c>
      <c r="AH40">
        <f>VLOOKUP(Table29[[#This Row],[Shortname]], Comp[], 13, FALSE)</f>
        <v>2</v>
      </c>
      <c r="AI40">
        <f>VLOOKUP(Table29[[#This Row],[Shortname]], Comp[], 14, FALSE)</f>
        <v>0</v>
      </c>
      <c r="AJ40">
        <f>VLOOKUP(Table29[[#This Row],[Shortname]], Comp[], 15, FALSE)</f>
        <v>0</v>
      </c>
      <c r="AK40">
        <f>VLOOKUP(Table29[[#This Row],[Shortname]], Comp[], 16, FALSE)</f>
        <v>0</v>
      </c>
      <c r="AL40">
        <f>VLOOKUP(Table29[[#This Row],[Shortname]], Comp[], 17, FALSE)</f>
        <v>0</v>
      </c>
      <c r="AM40">
        <f>VLOOKUP(Table29[[#This Row],[Shortname]], Comp[], 18, FALSE)</f>
        <v>0</v>
      </c>
      <c r="AN40">
        <f>VLOOKUP(Table29[[#This Row],[Shortname]], Comp[], 19, FALSE)</f>
        <v>0.12</v>
      </c>
      <c r="AO40">
        <f>VLOOKUP(Table29[[#This Row],[Shortname]], Comp[], 20, FALSE)</f>
        <v>0</v>
      </c>
      <c r="AP40">
        <f>VLOOKUP(Table29[[#This Row],[Shortname]], Comp[], 21, FALSE)</f>
        <v>0</v>
      </c>
      <c r="AQ40">
        <f>VLOOKUP(Table29[[#This Row],[Shortname]], Comp[], 22, FALSE)</f>
        <v>0</v>
      </c>
      <c r="AR40">
        <f>VLOOKUP(Table29[[#This Row],[Shortname]], Comp[], 23, FALSE)</f>
        <v>0</v>
      </c>
      <c r="AS40">
        <f>VLOOKUP(Table29[[#This Row],[Shortname]], Comp[], 24, FALSE)</f>
        <v>0</v>
      </c>
      <c r="AT40">
        <f>VLOOKUP(Table29[[#This Row],[Shortname]], Comp[], 25, FALSE)</f>
        <v>0</v>
      </c>
      <c r="AU40">
        <f>VLOOKUP(Table29[[#This Row],[Shortname]], Comp[], 26, FALSE)</f>
        <v>0</v>
      </c>
      <c r="AV40">
        <f>VLOOKUP(Table29[[#This Row],[Shortname]], Comp[], 27, FALSE)</f>
        <v>0</v>
      </c>
      <c r="AW40">
        <f>VLOOKUP(Table29[[#This Row],[Shortname]], Comp[], 28, FALSE)</f>
        <v>0</v>
      </c>
      <c r="AX40">
        <f>VLOOKUP(Table29[[#This Row],[Shortname]], Comp[], 29, FALSE)</f>
        <v>0</v>
      </c>
      <c r="AY40">
        <f>VLOOKUP(Table29[[#This Row],[Shortname]], Comp[], 30, FALSE)</f>
        <v>0</v>
      </c>
      <c r="AZ40">
        <f>VLOOKUP(Table29[[#This Row],[Shortname]], Comp[], 31, FALSE)</f>
        <v>0</v>
      </c>
    </row>
    <row r="41" spans="1:52" x14ac:dyDescent="0.3">
      <c r="A41" t="s">
        <v>322</v>
      </c>
      <c r="B41">
        <v>44</v>
      </c>
      <c r="C41">
        <v>39</v>
      </c>
      <c r="D41" t="s">
        <v>11</v>
      </c>
      <c r="E41" t="s">
        <v>95</v>
      </c>
      <c r="F41" t="s">
        <v>324</v>
      </c>
      <c r="G41" t="s">
        <v>7260</v>
      </c>
      <c r="H41">
        <v>610</v>
      </c>
      <c r="I41">
        <v>2.3199999999999998E-6</v>
      </c>
      <c r="J41">
        <f>0.01/Table29[[#This Row],[Strain Rate (min) /s]]</f>
        <v>4310.3448275862074</v>
      </c>
      <c r="K41">
        <f>LOG(Table29[[#This Row],[Time to 1% strain (s)]])</f>
        <v>3.6345120151091006</v>
      </c>
      <c r="L41">
        <v>850</v>
      </c>
      <c r="M41">
        <v>10.3</v>
      </c>
      <c r="P41" t="s">
        <v>7044</v>
      </c>
      <c r="Q41">
        <v>1300</v>
      </c>
      <c r="R41">
        <v>12</v>
      </c>
      <c r="S41">
        <v>900</v>
      </c>
      <c r="T41">
        <v>50</v>
      </c>
      <c r="W41">
        <v>1</v>
      </c>
      <c r="X41">
        <v>10</v>
      </c>
      <c r="Y41">
        <v>75</v>
      </c>
      <c r="AA41">
        <f>VLOOKUP(Table29[[#This Row],[Shortname]], Comp[], 6, FALSE)</f>
        <v>39</v>
      </c>
      <c r="AB41" s="14">
        <f>VLOOKUP(Table29[[#This Row],[Shortname]], Comp[], 7, FALSE)</f>
        <v>79.679999999999993</v>
      </c>
      <c r="AC41">
        <f>VLOOKUP(Table29[[#This Row],[Shortname]], Comp[], 8, FALSE)</f>
        <v>0</v>
      </c>
      <c r="AD41">
        <f>VLOOKUP(Table29[[#This Row],[Shortname]], Comp[], 9, FALSE)</f>
        <v>8.9</v>
      </c>
      <c r="AE41">
        <f>VLOOKUP(Table29[[#This Row],[Shortname]], Comp[], 10, FALSE)</f>
        <v>0</v>
      </c>
      <c r="AF41">
        <f>VLOOKUP(Table29[[#This Row],[Shortname]], Comp[], 11, FALSE)</f>
        <v>9.3000000000000007</v>
      </c>
      <c r="AG41">
        <f>VLOOKUP(Table29[[#This Row],[Shortname]], Comp[],12, FALSE)</f>
        <v>0</v>
      </c>
      <c r="AH41">
        <f>VLOOKUP(Table29[[#This Row],[Shortname]], Comp[], 13, FALSE)</f>
        <v>2</v>
      </c>
      <c r="AI41">
        <f>VLOOKUP(Table29[[#This Row],[Shortname]], Comp[], 14, FALSE)</f>
        <v>0</v>
      </c>
      <c r="AJ41">
        <f>VLOOKUP(Table29[[#This Row],[Shortname]], Comp[], 15, FALSE)</f>
        <v>0</v>
      </c>
      <c r="AK41">
        <f>VLOOKUP(Table29[[#This Row],[Shortname]], Comp[], 16, FALSE)</f>
        <v>0</v>
      </c>
      <c r="AL41">
        <f>VLOOKUP(Table29[[#This Row],[Shortname]], Comp[], 17, FALSE)</f>
        <v>0</v>
      </c>
      <c r="AM41">
        <f>VLOOKUP(Table29[[#This Row],[Shortname]], Comp[], 18, FALSE)</f>
        <v>0</v>
      </c>
      <c r="AN41">
        <f>VLOOKUP(Table29[[#This Row],[Shortname]], Comp[], 19, FALSE)</f>
        <v>0.12</v>
      </c>
      <c r="AO41">
        <f>VLOOKUP(Table29[[#This Row],[Shortname]], Comp[], 20, FALSE)</f>
        <v>0</v>
      </c>
      <c r="AP41">
        <f>VLOOKUP(Table29[[#This Row],[Shortname]], Comp[], 21, FALSE)</f>
        <v>0</v>
      </c>
      <c r="AQ41">
        <f>VLOOKUP(Table29[[#This Row],[Shortname]], Comp[], 22, FALSE)</f>
        <v>0</v>
      </c>
      <c r="AR41">
        <f>VLOOKUP(Table29[[#This Row],[Shortname]], Comp[], 23, FALSE)</f>
        <v>0</v>
      </c>
      <c r="AS41">
        <f>VLOOKUP(Table29[[#This Row],[Shortname]], Comp[], 24, FALSE)</f>
        <v>0</v>
      </c>
      <c r="AT41">
        <f>VLOOKUP(Table29[[#This Row],[Shortname]], Comp[], 25, FALSE)</f>
        <v>0</v>
      </c>
      <c r="AU41">
        <f>VLOOKUP(Table29[[#This Row],[Shortname]], Comp[], 26, FALSE)</f>
        <v>0</v>
      </c>
      <c r="AV41">
        <f>VLOOKUP(Table29[[#This Row],[Shortname]], Comp[], 27, FALSE)</f>
        <v>0</v>
      </c>
      <c r="AW41">
        <f>VLOOKUP(Table29[[#This Row],[Shortname]], Comp[], 28, FALSE)</f>
        <v>0</v>
      </c>
      <c r="AX41">
        <f>VLOOKUP(Table29[[#This Row],[Shortname]], Comp[], 29, FALSE)</f>
        <v>0</v>
      </c>
      <c r="AY41">
        <f>VLOOKUP(Table29[[#This Row],[Shortname]], Comp[], 30, FALSE)</f>
        <v>0</v>
      </c>
      <c r="AZ41">
        <f>VLOOKUP(Table29[[#This Row],[Shortname]], Comp[], 31, FALSE)</f>
        <v>0</v>
      </c>
    </row>
    <row r="42" spans="1:52" x14ac:dyDescent="0.3">
      <c r="A42" t="s">
        <v>322</v>
      </c>
      <c r="B42">
        <v>45</v>
      </c>
      <c r="C42">
        <v>39</v>
      </c>
      <c r="D42" t="s">
        <v>11</v>
      </c>
      <c r="E42" t="s">
        <v>95</v>
      </c>
      <c r="F42" t="s">
        <v>324</v>
      </c>
      <c r="G42" t="s">
        <v>7260</v>
      </c>
      <c r="H42">
        <v>360</v>
      </c>
      <c r="I42">
        <v>3.3899999999999999E-8</v>
      </c>
      <c r="J42">
        <f>0.01/Table29[[#This Row],[Strain Rate (min) /s]]</f>
        <v>294985.25073746312</v>
      </c>
      <c r="K42">
        <f>LOG(Table29[[#This Row],[Time to 1% strain (s)]])</f>
        <v>5.4698003017969175</v>
      </c>
      <c r="L42">
        <v>850</v>
      </c>
      <c r="M42">
        <v>14.5</v>
      </c>
      <c r="P42" t="s">
        <v>7046</v>
      </c>
      <c r="Q42">
        <v>1300</v>
      </c>
      <c r="R42">
        <v>12</v>
      </c>
      <c r="S42">
        <v>900</v>
      </c>
      <c r="T42">
        <v>200</v>
      </c>
      <c r="W42">
        <v>1</v>
      </c>
      <c r="X42">
        <v>10</v>
      </c>
      <c r="Y42">
        <v>75</v>
      </c>
      <c r="Z42" t="s">
        <v>7047</v>
      </c>
      <c r="AA42">
        <f>VLOOKUP(Table29[[#This Row],[Shortname]], Comp[], 6, FALSE)</f>
        <v>39</v>
      </c>
      <c r="AB42" s="14">
        <f>VLOOKUP(Table29[[#This Row],[Shortname]], Comp[], 7, FALSE)</f>
        <v>79.679999999999993</v>
      </c>
      <c r="AC42">
        <f>VLOOKUP(Table29[[#This Row],[Shortname]], Comp[], 8, FALSE)</f>
        <v>0</v>
      </c>
      <c r="AD42">
        <f>VLOOKUP(Table29[[#This Row],[Shortname]], Comp[], 9, FALSE)</f>
        <v>8.9</v>
      </c>
      <c r="AE42">
        <f>VLOOKUP(Table29[[#This Row],[Shortname]], Comp[], 10, FALSE)</f>
        <v>0</v>
      </c>
      <c r="AF42">
        <f>VLOOKUP(Table29[[#This Row],[Shortname]], Comp[], 11, FALSE)</f>
        <v>9.3000000000000007</v>
      </c>
      <c r="AG42">
        <f>VLOOKUP(Table29[[#This Row],[Shortname]], Comp[],12, FALSE)</f>
        <v>0</v>
      </c>
      <c r="AH42">
        <f>VLOOKUP(Table29[[#This Row],[Shortname]], Comp[], 13, FALSE)</f>
        <v>2</v>
      </c>
      <c r="AI42">
        <f>VLOOKUP(Table29[[#This Row],[Shortname]], Comp[], 14, FALSE)</f>
        <v>0</v>
      </c>
      <c r="AJ42">
        <f>VLOOKUP(Table29[[#This Row],[Shortname]], Comp[], 15, FALSE)</f>
        <v>0</v>
      </c>
      <c r="AK42">
        <f>VLOOKUP(Table29[[#This Row],[Shortname]], Comp[], 16, FALSE)</f>
        <v>0</v>
      </c>
      <c r="AL42">
        <f>VLOOKUP(Table29[[#This Row],[Shortname]], Comp[], 17, FALSE)</f>
        <v>0</v>
      </c>
      <c r="AM42">
        <f>VLOOKUP(Table29[[#This Row],[Shortname]], Comp[], 18, FALSE)</f>
        <v>0</v>
      </c>
      <c r="AN42">
        <f>VLOOKUP(Table29[[#This Row],[Shortname]], Comp[], 19, FALSE)</f>
        <v>0.12</v>
      </c>
      <c r="AO42">
        <f>VLOOKUP(Table29[[#This Row],[Shortname]], Comp[], 20, FALSE)</f>
        <v>0</v>
      </c>
      <c r="AP42">
        <f>VLOOKUP(Table29[[#This Row],[Shortname]], Comp[], 21, FALSE)</f>
        <v>0</v>
      </c>
      <c r="AQ42">
        <f>VLOOKUP(Table29[[#This Row],[Shortname]], Comp[], 22, FALSE)</f>
        <v>0</v>
      </c>
      <c r="AR42">
        <f>VLOOKUP(Table29[[#This Row],[Shortname]], Comp[], 23, FALSE)</f>
        <v>0</v>
      </c>
      <c r="AS42">
        <f>VLOOKUP(Table29[[#This Row],[Shortname]], Comp[], 24, FALSE)</f>
        <v>0</v>
      </c>
      <c r="AT42">
        <f>VLOOKUP(Table29[[#This Row],[Shortname]], Comp[], 25, FALSE)</f>
        <v>0</v>
      </c>
      <c r="AU42">
        <f>VLOOKUP(Table29[[#This Row],[Shortname]], Comp[], 26, FALSE)</f>
        <v>0</v>
      </c>
      <c r="AV42">
        <f>VLOOKUP(Table29[[#This Row],[Shortname]], Comp[], 27, FALSE)</f>
        <v>0</v>
      </c>
      <c r="AW42">
        <f>VLOOKUP(Table29[[#This Row],[Shortname]], Comp[], 28, FALSE)</f>
        <v>0</v>
      </c>
      <c r="AX42">
        <f>VLOOKUP(Table29[[#This Row],[Shortname]], Comp[], 29, FALSE)</f>
        <v>0</v>
      </c>
      <c r="AY42">
        <f>VLOOKUP(Table29[[#This Row],[Shortname]], Comp[], 30, FALSE)</f>
        <v>0</v>
      </c>
      <c r="AZ42">
        <f>VLOOKUP(Table29[[#This Row],[Shortname]], Comp[], 31, FALSE)</f>
        <v>0</v>
      </c>
    </row>
    <row r="43" spans="1:52" x14ac:dyDescent="0.3">
      <c r="A43" t="s">
        <v>322</v>
      </c>
      <c r="B43">
        <v>46</v>
      </c>
      <c r="C43">
        <v>39</v>
      </c>
      <c r="D43" t="s">
        <v>11</v>
      </c>
      <c r="E43" t="s">
        <v>95</v>
      </c>
      <c r="F43" t="s">
        <v>324</v>
      </c>
      <c r="G43" t="s">
        <v>7260</v>
      </c>
      <c r="H43">
        <v>410</v>
      </c>
      <c r="I43">
        <v>1.5699999999999999E-7</v>
      </c>
      <c r="J43">
        <f>0.01/Table29[[#This Row],[Strain Rate (min) /s]]</f>
        <v>63694.267515923573</v>
      </c>
      <c r="K43">
        <f>LOG(Table29[[#This Row],[Time to 1% strain (s)]])</f>
        <v>4.804100347590766</v>
      </c>
      <c r="L43">
        <v>850</v>
      </c>
      <c r="M43">
        <v>14.5</v>
      </c>
      <c r="P43" t="s">
        <v>7046</v>
      </c>
      <c r="Q43">
        <v>1300</v>
      </c>
      <c r="R43">
        <v>12</v>
      </c>
      <c r="S43">
        <v>900</v>
      </c>
      <c r="T43">
        <v>200</v>
      </c>
      <c r="W43">
        <v>1</v>
      </c>
      <c r="X43">
        <v>10</v>
      </c>
      <c r="Y43">
        <v>75</v>
      </c>
      <c r="AA43">
        <f>VLOOKUP(Table29[[#This Row],[Shortname]], Comp[], 6, FALSE)</f>
        <v>39</v>
      </c>
      <c r="AB43" s="14">
        <f>VLOOKUP(Table29[[#This Row],[Shortname]], Comp[], 7, FALSE)</f>
        <v>79.679999999999993</v>
      </c>
      <c r="AC43">
        <f>VLOOKUP(Table29[[#This Row],[Shortname]], Comp[], 8, FALSE)</f>
        <v>0</v>
      </c>
      <c r="AD43">
        <f>VLOOKUP(Table29[[#This Row],[Shortname]], Comp[], 9, FALSE)</f>
        <v>8.9</v>
      </c>
      <c r="AE43">
        <f>VLOOKUP(Table29[[#This Row],[Shortname]], Comp[], 10, FALSE)</f>
        <v>0</v>
      </c>
      <c r="AF43">
        <f>VLOOKUP(Table29[[#This Row],[Shortname]], Comp[], 11, FALSE)</f>
        <v>9.3000000000000007</v>
      </c>
      <c r="AG43">
        <f>VLOOKUP(Table29[[#This Row],[Shortname]], Comp[],12, FALSE)</f>
        <v>0</v>
      </c>
      <c r="AH43">
        <f>VLOOKUP(Table29[[#This Row],[Shortname]], Comp[], 13, FALSE)</f>
        <v>2</v>
      </c>
      <c r="AI43">
        <f>VLOOKUP(Table29[[#This Row],[Shortname]], Comp[], 14, FALSE)</f>
        <v>0</v>
      </c>
      <c r="AJ43">
        <f>VLOOKUP(Table29[[#This Row],[Shortname]], Comp[], 15, FALSE)</f>
        <v>0</v>
      </c>
      <c r="AK43">
        <f>VLOOKUP(Table29[[#This Row],[Shortname]], Comp[], 16, FALSE)</f>
        <v>0</v>
      </c>
      <c r="AL43">
        <f>VLOOKUP(Table29[[#This Row],[Shortname]], Comp[], 17, FALSE)</f>
        <v>0</v>
      </c>
      <c r="AM43">
        <f>VLOOKUP(Table29[[#This Row],[Shortname]], Comp[], 18, FALSE)</f>
        <v>0</v>
      </c>
      <c r="AN43">
        <f>VLOOKUP(Table29[[#This Row],[Shortname]], Comp[], 19, FALSE)</f>
        <v>0.12</v>
      </c>
      <c r="AO43">
        <f>VLOOKUP(Table29[[#This Row],[Shortname]], Comp[], 20, FALSE)</f>
        <v>0</v>
      </c>
      <c r="AP43">
        <f>VLOOKUP(Table29[[#This Row],[Shortname]], Comp[], 21, FALSE)</f>
        <v>0</v>
      </c>
      <c r="AQ43">
        <f>VLOOKUP(Table29[[#This Row],[Shortname]], Comp[], 22, FALSE)</f>
        <v>0</v>
      </c>
      <c r="AR43">
        <f>VLOOKUP(Table29[[#This Row],[Shortname]], Comp[], 23, FALSE)</f>
        <v>0</v>
      </c>
      <c r="AS43">
        <f>VLOOKUP(Table29[[#This Row],[Shortname]], Comp[], 24, FALSE)</f>
        <v>0</v>
      </c>
      <c r="AT43">
        <f>VLOOKUP(Table29[[#This Row],[Shortname]], Comp[], 25, FALSE)</f>
        <v>0</v>
      </c>
      <c r="AU43">
        <f>VLOOKUP(Table29[[#This Row],[Shortname]], Comp[], 26, FALSE)</f>
        <v>0</v>
      </c>
      <c r="AV43">
        <f>VLOOKUP(Table29[[#This Row],[Shortname]], Comp[], 27, FALSE)</f>
        <v>0</v>
      </c>
      <c r="AW43">
        <f>VLOOKUP(Table29[[#This Row],[Shortname]], Comp[], 28, FALSE)</f>
        <v>0</v>
      </c>
      <c r="AX43">
        <f>VLOOKUP(Table29[[#This Row],[Shortname]], Comp[], 29, FALSE)</f>
        <v>0</v>
      </c>
      <c r="AY43">
        <f>VLOOKUP(Table29[[#This Row],[Shortname]], Comp[], 30, FALSE)</f>
        <v>0</v>
      </c>
      <c r="AZ43">
        <f>VLOOKUP(Table29[[#This Row],[Shortname]], Comp[], 31, FALSE)</f>
        <v>0</v>
      </c>
    </row>
    <row r="44" spans="1:52" x14ac:dyDescent="0.3">
      <c r="A44" t="s">
        <v>322</v>
      </c>
      <c r="B44">
        <v>47</v>
      </c>
      <c r="C44">
        <v>39</v>
      </c>
      <c r="D44" t="s">
        <v>11</v>
      </c>
      <c r="E44" t="s">
        <v>95</v>
      </c>
      <c r="F44" t="s">
        <v>324</v>
      </c>
      <c r="G44" t="s">
        <v>7260</v>
      </c>
      <c r="H44">
        <v>460</v>
      </c>
      <c r="I44">
        <v>1.1999999999999999E-6</v>
      </c>
      <c r="J44">
        <f>0.01/Table29[[#This Row],[Strain Rate (min) /s]]</f>
        <v>8333.3333333333339</v>
      </c>
      <c r="K44">
        <f>LOG(Table29[[#This Row],[Time to 1% strain (s)]])</f>
        <v>3.9208187539523753</v>
      </c>
      <c r="L44">
        <v>850</v>
      </c>
      <c r="M44">
        <v>14.5</v>
      </c>
      <c r="P44" t="s">
        <v>7046</v>
      </c>
      <c r="Q44">
        <v>1300</v>
      </c>
      <c r="R44">
        <v>12</v>
      </c>
      <c r="S44">
        <v>900</v>
      </c>
      <c r="T44">
        <v>200</v>
      </c>
      <c r="W44">
        <v>1</v>
      </c>
      <c r="X44">
        <v>10</v>
      </c>
      <c r="Y44">
        <v>75</v>
      </c>
      <c r="AA44">
        <f>VLOOKUP(Table29[[#This Row],[Shortname]], Comp[], 6, FALSE)</f>
        <v>39</v>
      </c>
      <c r="AB44" s="14">
        <f>VLOOKUP(Table29[[#This Row],[Shortname]], Comp[], 7, FALSE)</f>
        <v>79.679999999999993</v>
      </c>
      <c r="AC44">
        <f>VLOOKUP(Table29[[#This Row],[Shortname]], Comp[], 8, FALSE)</f>
        <v>0</v>
      </c>
      <c r="AD44">
        <f>VLOOKUP(Table29[[#This Row],[Shortname]], Comp[], 9, FALSE)</f>
        <v>8.9</v>
      </c>
      <c r="AE44">
        <f>VLOOKUP(Table29[[#This Row],[Shortname]], Comp[], 10, FALSE)</f>
        <v>0</v>
      </c>
      <c r="AF44">
        <f>VLOOKUP(Table29[[#This Row],[Shortname]], Comp[], 11, FALSE)</f>
        <v>9.3000000000000007</v>
      </c>
      <c r="AG44">
        <f>VLOOKUP(Table29[[#This Row],[Shortname]], Comp[],12, FALSE)</f>
        <v>0</v>
      </c>
      <c r="AH44">
        <f>VLOOKUP(Table29[[#This Row],[Shortname]], Comp[], 13, FALSE)</f>
        <v>2</v>
      </c>
      <c r="AI44">
        <f>VLOOKUP(Table29[[#This Row],[Shortname]], Comp[], 14, FALSE)</f>
        <v>0</v>
      </c>
      <c r="AJ44">
        <f>VLOOKUP(Table29[[#This Row],[Shortname]], Comp[], 15, FALSE)</f>
        <v>0</v>
      </c>
      <c r="AK44">
        <f>VLOOKUP(Table29[[#This Row],[Shortname]], Comp[], 16, FALSE)</f>
        <v>0</v>
      </c>
      <c r="AL44">
        <f>VLOOKUP(Table29[[#This Row],[Shortname]], Comp[], 17, FALSE)</f>
        <v>0</v>
      </c>
      <c r="AM44">
        <f>VLOOKUP(Table29[[#This Row],[Shortname]], Comp[], 18, FALSE)</f>
        <v>0</v>
      </c>
      <c r="AN44">
        <f>VLOOKUP(Table29[[#This Row],[Shortname]], Comp[], 19, FALSE)</f>
        <v>0.12</v>
      </c>
      <c r="AO44">
        <f>VLOOKUP(Table29[[#This Row],[Shortname]], Comp[], 20, FALSE)</f>
        <v>0</v>
      </c>
      <c r="AP44">
        <f>VLOOKUP(Table29[[#This Row],[Shortname]], Comp[], 21, FALSE)</f>
        <v>0</v>
      </c>
      <c r="AQ44">
        <f>VLOOKUP(Table29[[#This Row],[Shortname]], Comp[], 22, FALSE)</f>
        <v>0</v>
      </c>
      <c r="AR44">
        <f>VLOOKUP(Table29[[#This Row],[Shortname]], Comp[], 23, FALSE)</f>
        <v>0</v>
      </c>
      <c r="AS44">
        <f>VLOOKUP(Table29[[#This Row],[Shortname]], Comp[], 24, FALSE)</f>
        <v>0</v>
      </c>
      <c r="AT44">
        <f>VLOOKUP(Table29[[#This Row],[Shortname]], Comp[], 25, FALSE)</f>
        <v>0</v>
      </c>
      <c r="AU44">
        <f>VLOOKUP(Table29[[#This Row],[Shortname]], Comp[], 26, FALSE)</f>
        <v>0</v>
      </c>
      <c r="AV44">
        <f>VLOOKUP(Table29[[#This Row],[Shortname]], Comp[], 27, FALSE)</f>
        <v>0</v>
      </c>
      <c r="AW44">
        <f>VLOOKUP(Table29[[#This Row],[Shortname]], Comp[], 28, FALSE)</f>
        <v>0</v>
      </c>
      <c r="AX44">
        <f>VLOOKUP(Table29[[#This Row],[Shortname]], Comp[], 29, FALSE)</f>
        <v>0</v>
      </c>
      <c r="AY44">
        <f>VLOOKUP(Table29[[#This Row],[Shortname]], Comp[], 30, FALSE)</f>
        <v>0</v>
      </c>
      <c r="AZ44">
        <f>VLOOKUP(Table29[[#This Row],[Shortname]], Comp[], 31, FALSE)</f>
        <v>0</v>
      </c>
    </row>
    <row r="45" spans="1:52" x14ac:dyDescent="0.3">
      <c r="A45" t="s">
        <v>331</v>
      </c>
      <c r="B45">
        <v>49</v>
      </c>
      <c r="C45">
        <v>41</v>
      </c>
      <c r="D45" t="s">
        <v>332</v>
      </c>
      <c r="E45" t="s">
        <v>95</v>
      </c>
      <c r="F45" t="s">
        <v>333</v>
      </c>
      <c r="G45" t="s">
        <v>334</v>
      </c>
      <c r="H45">
        <v>350</v>
      </c>
      <c r="I45">
        <v>6.6699999999999995E-8</v>
      </c>
      <c r="J45">
        <f>0.01/Table29[[#This Row],[Strain Rate (min) /s]]</f>
        <v>149925.03748125938</v>
      </c>
      <c r="K45">
        <f>LOG(Table29[[#This Row],[Time to 1% strain (s)]])</f>
        <v>5.1758741660834513</v>
      </c>
      <c r="L45">
        <v>850</v>
      </c>
      <c r="M45">
        <v>9.6</v>
      </c>
      <c r="P45" t="s">
        <v>7048</v>
      </c>
      <c r="Q45">
        <v>1300</v>
      </c>
      <c r="R45">
        <v>12</v>
      </c>
      <c r="S45">
        <v>900</v>
      </c>
      <c r="T45">
        <v>200</v>
      </c>
      <c r="W45">
        <v>1</v>
      </c>
      <c r="X45">
        <v>1</v>
      </c>
      <c r="Y45">
        <v>58</v>
      </c>
      <c r="AA45">
        <f>VLOOKUP(Table29[[#This Row],[Shortname]], Comp[], 6, FALSE)</f>
        <v>41</v>
      </c>
      <c r="AB45" s="14">
        <f>VLOOKUP(Table29[[#This Row],[Shortname]], Comp[], 7, FALSE)</f>
        <v>81.900000000000006</v>
      </c>
      <c r="AC45">
        <f>VLOOKUP(Table29[[#This Row],[Shortname]], Comp[], 8, FALSE)</f>
        <v>0</v>
      </c>
      <c r="AD45">
        <f>VLOOKUP(Table29[[#This Row],[Shortname]], Comp[], 9, FALSE)</f>
        <v>8.5</v>
      </c>
      <c r="AE45">
        <f>VLOOKUP(Table29[[#This Row],[Shortname]], Comp[], 10, FALSE)</f>
        <v>0</v>
      </c>
      <c r="AF45">
        <f>VLOOKUP(Table29[[#This Row],[Shortname]], Comp[], 11, FALSE)</f>
        <v>9.6</v>
      </c>
      <c r="AG45">
        <f>VLOOKUP(Table29[[#This Row],[Shortname]], Comp[],12, FALSE)</f>
        <v>0</v>
      </c>
      <c r="AH45">
        <f>VLOOKUP(Table29[[#This Row],[Shortname]], Comp[], 13, FALSE)</f>
        <v>0</v>
      </c>
      <c r="AI45">
        <f>VLOOKUP(Table29[[#This Row],[Shortname]], Comp[], 14, FALSE)</f>
        <v>0</v>
      </c>
      <c r="AJ45">
        <f>VLOOKUP(Table29[[#This Row],[Shortname]], Comp[], 15, FALSE)</f>
        <v>0</v>
      </c>
      <c r="AK45">
        <f>VLOOKUP(Table29[[#This Row],[Shortname]], Comp[], 16, FALSE)</f>
        <v>0</v>
      </c>
      <c r="AL45">
        <f>VLOOKUP(Table29[[#This Row],[Shortname]], Comp[], 17, FALSE)</f>
        <v>0</v>
      </c>
      <c r="AM45">
        <f>VLOOKUP(Table29[[#This Row],[Shortname]], Comp[], 18, FALSE)</f>
        <v>0</v>
      </c>
      <c r="AN45">
        <f>VLOOKUP(Table29[[#This Row],[Shortname]], Comp[], 19, FALSE)</f>
        <v>0</v>
      </c>
      <c r="AO45">
        <f>VLOOKUP(Table29[[#This Row],[Shortname]], Comp[], 20, FALSE)</f>
        <v>0</v>
      </c>
      <c r="AP45">
        <f>VLOOKUP(Table29[[#This Row],[Shortname]], Comp[], 21, FALSE)</f>
        <v>0</v>
      </c>
      <c r="AQ45">
        <f>VLOOKUP(Table29[[#This Row],[Shortname]], Comp[], 22, FALSE)</f>
        <v>0</v>
      </c>
      <c r="AR45">
        <f>VLOOKUP(Table29[[#This Row],[Shortname]], Comp[], 23, FALSE)</f>
        <v>0</v>
      </c>
      <c r="AS45">
        <f>VLOOKUP(Table29[[#This Row],[Shortname]], Comp[], 24, FALSE)</f>
        <v>0</v>
      </c>
      <c r="AT45">
        <f>VLOOKUP(Table29[[#This Row],[Shortname]], Comp[], 25, FALSE)</f>
        <v>0</v>
      </c>
      <c r="AU45">
        <f>VLOOKUP(Table29[[#This Row],[Shortname]], Comp[], 26, FALSE)</f>
        <v>0</v>
      </c>
      <c r="AV45">
        <f>VLOOKUP(Table29[[#This Row],[Shortname]], Comp[], 27, FALSE)</f>
        <v>0</v>
      </c>
      <c r="AW45">
        <f>VLOOKUP(Table29[[#This Row],[Shortname]], Comp[], 28, FALSE)</f>
        <v>0</v>
      </c>
      <c r="AX45">
        <f>VLOOKUP(Table29[[#This Row],[Shortname]], Comp[], 29, FALSE)</f>
        <v>0</v>
      </c>
      <c r="AY45">
        <f>VLOOKUP(Table29[[#This Row],[Shortname]], Comp[], 30, FALSE)</f>
        <v>0</v>
      </c>
      <c r="AZ45">
        <f>VLOOKUP(Table29[[#This Row],[Shortname]], Comp[], 31, FALSE)</f>
        <v>0</v>
      </c>
    </row>
    <row r="46" spans="1:52" x14ac:dyDescent="0.3">
      <c r="A46" t="s">
        <v>331</v>
      </c>
      <c r="B46">
        <v>50</v>
      </c>
      <c r="C46">
        <v>41</v>
      </c>
      <c r="D46" t="s">
        <v>11</v>
      </c>
      <c r="E46" t="s">
        <v>95</v>
      </c>
      <c r="F46" t="s">
        <v>333</v>
      </c>
      <c r="G46" t="s">
        <v>342</v>
      </c>
      <c r="H46">
        <v>400</v>
      </c>
      <c r="I46">
        <v>1.8099999999999999E-7</v>
      </c>
      <c r="J46">
        <f>0.01/Table29[[#This Row],[Strain Rate (min) /s]]</f>
        <v>55248.618784530387</v>
      </c>
      <c r="K46">
        <f>LOG(Table29[[#This Row],[Time to 1% strain (s)]])</f>
        <v>4.7423214251308154</v>
      </c>
      <c r="L46">
        <v>850</v>
      </c>
      <c r="M46">
        <v>9.6</v>
      </c>
      <c r="P46" t="s">
        <v>7048</v>
      </c>
      <c r="Q46">
        <v>1300</v>
      </c>
      <c r="R46">
        <v>12</v>
      </c>
      <c r="S46">
        <v>900</v>
      </c>
      <c r="T46">
        <v>200</v>
      </c>
      <c r="W46">
        <v>1</v>
      </c>
      <c r="X46">
        <v>1</v>
      </c>
      <c r="Y46">
        <v>58</v>
      </c>
      <c r="AA46">
        <f>VLOOKUP(Table29[[#This Row],[Shortname]], Comp[], 6, FALSE)</f>
        <v>41</v>
      </c>
      <c r="AB46" s="14">
        <f>VLOOKUP(Table29[[#This Row],[Shortname]], Comp[], 7, FALSE)</f>
        <v>81.900000000000006</v>
      </c>
      <c r="AC46">
        <f>VLOOKUP(Table29[[#This Row],[Shortname]], Comp[], 8, FALSE)</f>
        <v>0</v>
      </c>
      <c r="AD46">
        <f>VLOOKUP(Table29[[#This Row],[Shortname]], Comp[], 9, FALSE)</f>
        <v>8.5</v>
      </c>
      <c r="AE46">
        <f>VLOOKUP(Table29[[#This Row],[Shortname]], Comp[], 10, FALSE)</f>
        <v>0</v>
      </c>
      <c r="AF46">
        <f>VLOOKUP(Table29[[#This Row],[Shortname]], Comp[], 11, FALSE)</f>
        <v>9.6</v>
      </c>
      <c r="AG46">
        <f>VLOOKUP(Table29[[#This Row],[Shortname]], Comp[],12, FALSE)</f>
        <v>0</v>
      </c>
      <c r="AH46">
        <f>VLOOKUP(Table29[[#This Row],[Shortname]], Comp[], 13, FALSE)</f>
        <v>0</v>
      </c>
      <c r="AI46">
        <f>VLOOKUP(Table29[[#This Row],[Shortname]], Comp[], 14, FALSE)</f>
        <v>0</v>
      </c>
      <c r="AJ46">
        <f>VLOOKUP(Table29[[#This Row],[Shortname]], Comp[], 15, FALSE)</f>
        <v>0</v>
      </c>
      <c r="AK46">
        <f>VLOOKUP(Table29[[#This Row],[Shortname]], Comp[], 16, FALSE)</f>
        <v>0</v>
      </c>
      <c r="AL46">
        <f>VLOOKUP(Table29[[#This Row],[Shortname]], Comp[], 17, FALSE)</f>
        <v>0</v>
      </c>
      <c r="AM46">
        <f>VLOOKUP(Table29[[#This Row],[Shortname]], Comp[], 18, FALSE)</f>
        <v>0</v>
      </c>
      <c r="AN46">
        <f>VLOOKUP(Table29[[#This Row],[Shortname]], Comp[], 19, FALSE)</f>
        <v>0</v>
      </c>
      <c r="AO46">
        <f>VLOOKUP(Table29[[#This Row],[Shortname]], Comp[], 20, FALSE)</f>
        <v>0</v>
      </c>
      <c r="AP46">
        <f>VLOOKUP(Table29[[#This Row],[Shortname]], Comp[], 21, FALSE)</f>
        <v>0</v>
      </c>
      <c r="AQ46">
        <f>VLOOKUP(Table29[[#This Row],[Shortname]], Comp[], 22, FALSE)</f>
        <v>0</v>
      </c>
      <c r="AR46">
        <f>VLOOKUP(Table29[[#This Row],[Shortname]], Comp[], 23, FALSE)</f>
        <v>0</v>
      </c>
      <c r="AS46">
        <f>VLOOKUP(Table29[[#This Row],[Shortname]], Comp[], 24, FALSE)</f>
        <v>0</v>
      </c>
      <c r="AT46">
        <f>VLOOKUP(Table29[[#This Row],[Shortname]], Comp[], 25, FALSE)</f>
        <v>0</v>
      </c>
      <c r="AU46">
        <f>VLOOKUP(Table29[[#This Row],[Shortname]], Comp[], 26, FALSE)</f>
        <v>0</v>
      </c>
      <c r="AV46">
        <f>VLOOKUP(Table29[[#This Row],[Shortname]], Comp[], 27, FALSE)</f>
        <v>0</v>
      </c>
      <c r="AW46">
        <f>VLOOKUP(Table29[[#This Row],[Shortname]], Comp[], 28, FALSE)</f>
        <v>0</v>
      </c>
      <c r="AX46">
        <f>VLOOKUP(Table29[[#This Row],[Shortname]], Comp[], 29, FALSE)</f>
        <v>0</v>
      </c>
      <c r="AY46">
        <f>VLOOKUP(Table29[[#This Row],[Shortname]], Comp[], 30, FALSE)</f>
        <v>0</v>
      </c>
      <c r="AZ46">
        <f>VLOOKUP(Table29[[#This Row],[Shortname]], Comp[], 31, FALSE)</f>
        <v>0</v>
      </c>
    </row>
    <row r="47" spans="1:52" x14ac:dyDescent="0.3">
      <c r="A47" t="s">
        <v>331</v>
      </c>
      <c r="B47">
        <v>56</v>
      </c>
      <c r="C47">
        <v>41</v>
      </c>
      <c r="D47" t="s">
        <v>11</v>
      </c>
      <c r="E47" t="s">
        <v>95</v>
      </c>
      <c r="F47" t="s">
        <v>333</v>
      </c>
      <c r="G47" t="s">
        <v>351</v>
      </c>
      <c r="H47">
        <v>450</v>
      </c>
      <c r="I47">
        <v>6.5899999999999996E-7</v>
      </c>
      <c r="J47">
        <f>0.01/Table29[[#This Row],[Strain Rate (min) /s]]</f>
        <v>15174.506828528074</v>
      </c>
      <c r="K47">
        <f>LOG(Table29[[#This Row],[Time to 1% strain (s)]])</f>
        <v>4.1811145854059903</v>
      </c>
      <c r="L47">
        <v>850</v>
      </c>
      <c r="M47">
        <v>9.6</v>
      </c>
      <c r="P47" t="s">
        <v>7048</v>
      </c>
      <c r="Q47">
        <v>1300</v>
      </c>
      <c r="R47">
        <v>12</v>
      </c>
      <c r="S47">
        <v>900</v>
      </c>
      <c r="T47">
        <v>200</v>
      </c>
      <c r="W47">
        <v>1</v>
      </c>
      <c r="X47">
        <v>1</v>
      </c>
      <c r="Y47">
        <v>58</v>
      </c>
      <c r="AA47">
        <f>VLOOKUP(Table29[[#This Row],[Shortname]], Comp[], 6, FALSE)</f>
        <v>41</v>
      </c>
      <c r="AB47" s="14">
        <f>VLOOKUP(Table29[[#This Row],[Shortname]], Comp[], 7, FALSE)</f>
        <v>81.900000000000006</v>
      </c>
      <c r="AC47">
        <f>VLOOKUP(Table29[[#This Row],[Shortname]], Comp[], 8, FALSE)</f>
        <v>0</v>
      </c>
      <c r="AD47">
        <f>VLOOKUP(Table29[[#This Row],[Shortname]], Comp[], 9, FALSE)</f>
        <v>8.5</v>
      </c>
      <c r="AE47">
        <f>VLOOKUP(Table29[[#This Row],[Shortname]], Comp[], 10, FALSE)</f>
        <v>0</v>
      </c>
      <c r="AF47">
        <f>VLOOKUP(Table29[[#This Row],[Shortname]], Comp[], 11, FALSE)</f>
        <v>9.6</v>
      </c>
      <c r="AG47">
        <f>VLOOKUP(Table29[[#This Row],[Shortname]], Comp[],12, FALSE)</f>
        <v>0</v>
      </c>
      <c r="AH47">
        <f>VLOOKUP(Table29[[#This Row],[Shortname]], Comp[], 13, FALSE)</f>
        <v>0</v>
      </c>
      <c r="AI47">
        <f>VLOOKUP(Table29[[#This Row],[Shortname]], Comp[], 14, FALSE)</f>
        <v>0</v>
      </c>
      <c r="AJ47">
        <f>VLOOKUP(Table29[[#This Row],[Shortname]], Comp[], 15, FALSE)</f>
        <v>0</v>
      </c>
      <c r="AK47">
        <f>VLOOKUP(Table29[[#This Row],[Shortname]], Comp[], 16, FALSE)</f>
        <v>0</v>
      </c>
      <c r="AL47">
        <f>VLOOKUP(Table29[[#This Row],[Shortname]], Comp[], 17, FALSE)</f>
        <v>0</v>
      </c>
      <c r="AM47">
        <f>VLOOKUP(Table29[[#This Row],[Shortname]], Comp[], 18, FALSE)</f>
        <v>0</v>
      </c>
      <c r="AN47">
        <f>VLOOKUP(Table29[[#This Row],[Shortname]], Comp[], 19, FALSE)</f>
        <v>0</v>
      </c>
      <c r="AO47">
        <f>VLOOKUP(Table29[[#This Row],[Shortname]], Comp[], 20, FALSE)</f>
        <v>0</v>
      </c>
      <c r="AP47">
        <f>VLOOKUP(Table29[[#This Row],[Shortname]], Comp[], 21, FALSE)</f>
        <v>0</v>
      </c>
      <c r="AQ47">
        <f>VLOOKUP(Table29[[#This Row],[Shortname]], Comp[], 22, FALSE)</f>
        <v>0</v>
      </c>
      <c r="AR47">
        <f>VLOOKUP(Table29[[#This Row],[Shortname]], Comp[], 23, FALSE)</f>
        <v>0</v>
      </c>
      <c r="AS47">
        <f>VLOOKUP(Table29[[#This Row],[Shortname]], Comp[], 24, FALSE)</f>
        <v>0</v>
      </c>
      <c r="AT47">
        <f>VLOOKUP(Table29[[#This Row],[Shortname]], Comp[], 25, FALSE)</f>
        <v>0</v>
      </c>
      <c r="AU47">
        <f>VLOOKUP(Table29[[#This Row],[Shortname]], Comp[], 26, FALSE)</f>
        <v>0</v>
      </c>
      <c r="AV47">
        <f>VLOOKUP(Table29[[#This Row],[Shortname]], Comp[], 27, FALSE)</f>
        <v>0</v>
      </c>
      <c r="AW47">
        <f>VLOOKUP(Table29[[#This Row],[Shortname]], Comp[], 28, FALSE)</f>
        <v>0</v>
      </c>
      <c r="AX47">
        <f>VLOOKUP(Table29[[#This Row],[Shortname]], Comp[], 29, FALSE)</f>
        <v>0</v>
      </c>
      <c r="AY47">
        <f>VLOOKUP(Table29[[#This Row],[Shortname]], Comp[], 30, FALSE)</f>
        <v>0</v>
      </c>
      <c r="AZ47">
        <f>VLOOKUP(Table29[[#This Row],[Shortname]], Comp[], 31, FALSE)</f>
        <v>0</v>
      </c>
    </row>
    <row r="48" spans="1:52" x14ac:dyDescent="0.3">
      <c r="A48" t="s">
        <v>339</v>
      </c>
      <c r="B48">
        <v>10</v>
      </c>
      <c r="C48">
        <v>42</v>
      </c>
      <c r="D48" t="s">
        <v>340</v>
      </c>
      <c r="E48" t="s">
        <v>95</v>
      </c>
      <c r="F48" t="s">
        <v>341</v>
      </c>
      <c r="G48" t="s">
        <v>251</v>
      </c>
      <c r="H48">
        <v>250</v>
      </c>
      <c r="I48">
        <v>1.1998E-4</v>
      </c>
      <c r="J48">
        <f>0.01/Table29[[#This Row],[Strain Rate (min) /s]]</f>
        <v>83.347224537422903</v>
      </c>
      <c r="K48">
        <f>LOG(Table29[[#This Row],[Time to 1% strain (s)]])</f>
        <v>1.9208911423985637</v>
      </c>
      <c r="L48">
        <v>950</v>
      </c>
      <c r="M48">
        <v>8.6</v>
      </c>
      <c r="P48" t="s">
        <v>7049</v>
      </c>
      <c r="Q48">
        <v>1300</v>
      </c>
      <c r="R48">
        <v>12</v>
      </c>
      <c r="S48">
        <v>900</v>
      </c>
      <c r="T48">
        <v>200</v>
      </c>
      <c r="W48">
        <v>1</v>
      </c>
      <c r="X48">
        <v>10</v>
      </c>
      <c r="Y48">
        <v>58</v>
      </c>
      <c r="AA48">
        <f>VLOOKUP(Table29[[#This Row],[Shortname]], Comp[], 6, FALSE)</f>
        <v>42</v>
      </c>
      <c r="AB48" s="14">
        <f>VLOOKUP(Table29[[#This Row],[Shortname]], Comp[], 7, FALSE)</f>
        <v>81.86</v>
      </c>
      <c r="AC48">
        <f>VLOOKUP(Table29[[#This Row],[Shortname]], Comp[], 8, FALSE)</f>
        <v>0</v>
      </c>
      <c r="AD48">
        <f>VLOOKUP(Table29[[#This Row],[Shortname]], Comp[], 9, FALSE)</f>
        <v>8.4</v>
      </c>
      <c r="AE48">
        <f>VLOOKUP(Table29[[#This Row],[Shortname]], Comp[], 10, FALSE)</f>
        <v>0</v>
      </c>
      <c r="AF48">
        <f>VLOOKUP(Table29[[#This Row],[Shortname]], Comp[], 11, FALSE)</f>
        <v>9.6999999999999993</v>
      </c>
      <c r="AG48">
        <f>VLOOKUP(Table29[[#This Row],[Shortname]], Comp[],12, FALSE)</f>
        <v>0</v>
      </c>
      <c r="AH48">
        <f>VLOOKUP(Table29[[#This Row],[Shortname]], Comp[], 13, FALSE)</f>
        <v>0</v>
      </c>
      <c r="AI48">
        <f>VLOOKUP(Table29[[#This Row],[Shortname]], Comp[], 14, FALSE)</f>
        <v>0</v>
      </c>
      <c r="AJ48">
        <f>VLOOKUP(Table29[[#This Row],[Shortname]], Comp[], 15, FALSE)</f>
        <v>0</v>
      </c>
      <c r="AK48">
        <f>VLOOKUP(Table29[[#This Row],[Shortname]], Comp[], 16, FALSE)</f>
        <v>0</v>
      </c>
      <c r="AL48">
        <f>VLOOKUP(Table29[[#This Row],[Shortname]], Comp[], 17, FALSE)</f>
        <v>0</v>
      </c>
      <c r="AM48">
        <f>VLOOKUP(Table29[[#This Row],[Shortname]], Comp[], 18, FALSE)</f>
        <v>0</v>
      </c>
      <c r="AN48">
        <f>VLOOKUP(Table29[[#This Row],[Shortname]], Comp[], 19, FALSE)</f>
        <v>0.04</v>
      </c>
      <c r="AO48">
        <f>VLOOKUP(Table29[[#This Row],[Shortname]], Comp[], 20, FALSE)</f>
        <v>0</v>
      </c>
      <c r="AP48">
        <f>VLOOKUP(Table29[[#This Row],[Shortname]], Comp[], 21, FALSE)</f>
        <v>0</v>
      </c>
      <c r="AQ48">
        <f>VLOOKUP(Table29[[#This Row],[Shortname]], Comp[], 22, FALSE)</f>
        <v>0</v>
      </c>
      <c r="AR48">
        <f>VLOOKUP(Table29[[#This Row],[Shortname]], Comp[], 23, FALSE)</f>
        <v>0</v>
      </c>
      <c r="AS48">
        <f>VLOOKUP(Table29[[#This Row],[Shortname]], Comp[], 24, FALSE)</f>
        <v>0</v>
      </c>
      <c r="AT48">
        <f>VLOOKUP(Table29[[#This Row],[Shortname]], Comp[], 25, FALSE)</f>
        <v>0</v>
      </c>
      <c r="AU48">
        <f>VLOOKUP(Table29[[#This Row],[Shortname]], Comp[], 26, FALSE)</f>
        <v>0</v>
      </c>
      <c r="AV48">
        <f>VLOOKUP(Table29[[#This Row],[Shortname]], Comp[], 27, FALSE)</f>
        <v>0</v>
      </c>
      <c r="AW48">
        <f>VLOOKUP(Table29[[#This Row],[Shortname]], Comp[], 28, FALSE)</f>
        <v>0</v>
      </c>
      <c r="AX48">
        <f>VLOOKUP(Table29[[#This Row],[Shortname]], Comp[], 29, FALSE)</f>
        <v>0</v>
      </c>
      <c r="AY48">
        <f>VLOOKUP(Table29[[#This Row],[Shortname]], Comp[], 30, FALSE)</f>
        <v>0</v>
      </c>
      <c r="AZ48">
        <f>VLOOKUP(Table29[[#This Row],[Shortname]], Comp[], 31, FALSE)</f>
        <v>0</v>
      </c>
    </row>
    <row r="49" spans="1:52" x14ac:dyDescent="0.3">
      <c r="A49" t="s">
        <v>339</v>
      </c>
      <c r="B49">
        <v>11</v>
      </c>
      <c r="C49">
        <v>42</v>
      </c>
      <c r="D49" t="s">
        <v>11</v>
      </c>
      <c r="E49" t="s">
        <v>95</v>
      </c>
      <c r="F49" t="s">
        <v>341</v>
      </c>
      <c r="G49" t="s">
        <v>251</v>
      </c>
      <c r="H49">
        <v>80</v>
      </c>
      <c r="I49">
        <v>7.2237E-8</v>
      </c>
      <c r="J49">
        <f>0.01/Table29[[#This Row],[Strain Rate (min) /s]]</f>
        <v>138433.21289643811</v>
      </c>
      <c r="K49">
        <f>LOG(Table29[[#This Row],[Time to 1% strain (s)]])</f>
        <v>5.1412402985541812</v>
      </c>
      <c r="L49">
        <v>950</v>
      </c>
      <c r="M49">
        <v>6.3</v>
      </c>
      <c r="P49" t="s">
        <v>7049</v>
      </c>
      <c r="Q49">
        <v>1300</v>
      </c>
      <c r="R49">
        <v>12</v>
      </c>
      <c r="S49">
        <v>900</v>
      </c>
      <c r="T49">
        <v>200</v>
      </c>
      <c r="W49">
        <v>1</v>
      </c>
      <c r="X49">
        <v>10</v>
      </c>
      <c r="Y49">
        <v>58</v>
      </c>
      <c r="AA49">
        <f>VLOOKUP(Table29[[#This Row],[Shortname]], Comp[], 6, FALSE)</f>
        <v>42</v>
      </c>
      <c r="AB49" s="14">
        <f>VLOOKUP(Table29[[#This Row],[Shortname]], Comp[], 7, FALSE)</f>
        <v>81.86</v>
      </c>
      <c r="AC49">
        <f>VLOOKUP(Table29[[#This Row],[Shortname]], Comp[], 8, FALSE)</f>
        <v>0</v>
      </c>
      <c r="AD49">
        <f>VLOOKUP(Table29[[#This Row],[Shortname]], Comp[], 9, FALSE)</f>
        <v>8.4</v>
      </c>
      <c r="AE49">
        <f>VLOOKUP(Table29[[#This Row],[Shortname]], Comp[], 10, FALSE)</f>
        <v>0</v>
      </c>
      <c r="AF49">
        <f>VLOOKUP(Table29[[#This Row],[Shortname]], Comp[], 11, FALSE)</f>
        <v>9.6999999999999993</v>
      </c>
      <c r="AG49">
        <f>VLOOKUP(Table29[[#This Row],[Shortname]], Comp[],12, FALSE)</f>
        <v>0</v>
      </c>
      <c r="AH49">
        <f>VLOOKUP(Table29[[#This Row],[Shortname]], Comp[], 13, FALSE)</f>
        <v>0</v>
      </c>
      <c r="AI49">
        <f>VLOOKUP(Table29[[#This Row],[Shortname]], Comp[], 14, FALSE)</f>
        <v>0</v>
      </c>
      <c r="AJ49">
        <f>VLOOKUP(Table29[[#This Row],[Shortname]], Comp[], 15, FALSE)</f>
        <v>0</v>
      </c>
      <c r="AK49">
        <f>VLOOKUP(Table29[[#This Row],[Shortname]], Comp[], 16, FALSE)</f>
        <v>0</v>
      </c>
      <c r="AL49">
        <f>VLOOKUP(Table29[[#This Row],[Shortname]], Comp[], 17, FALSE)</f>
        <v>0</v>
      </c>
      <c r="AM49">
        <f>VLOOKUP(Table29[[#This Row],[Shortname]], Comp[], 18, FALSE)</f>
        <v>0</v>
      </c>
      <c r="AN49">
        <f>VLOOKUP(Table29[[#This Row],[Shortname]], Comp[], 19, FALSE)</f>
        <v>0.04</v>
      </c>
      <c r="AO49">
        <f>VLOOKUP(Table29[[#This Row],[Shortname]], Comp[], 20, FALSE)</f>
        <v>0</v>
      </c>
      <c r="AP49">
        <f>VLOOKUP(Table29[[#This Row],[Shortname]], Comp[], 21, FALSE)</f>
        <v>0</v>
      </c>
      <c r="AQ49">
        <f>VLOOKUP(Table29[[#This Row],[Shortname]], Comp[], 22, FALSE)</f>
        <v>0</v>
      </c>
      <c r="AR49">
        <f>VLOOKUP(Table29[[#This Row],[Shortname]], Comp[], 23, FALSE)</f>
        <v>0</v>
      </c>
      <c r="AS49">
        <f>VLOOKUP(Table29[[#This Row],[Shortname]], Comp[], 24, FALSE)</f>
        <v>0</v>
      </c>
      <c r="AT49">
        <f>VLOOKUP(Table29[[#This Row],[Shortname]], Comp[], 25, FALSE)</f>
        <v>0</v>
      </c>
      <c r="AU49">
        <f>VLOOKUP(Table29[[#This Row],[Shortname]], Comp[], 26, FALSE)</f>
        <v>0</v>
      </c>
      <c r="AV49">
        <f>VLOOKUP(Table29[[#This Row],[Shortname]], Comp[], 27, FALSE)</f>
        <v>0</v>
      </c>
      <c r="AW49">
        <f>VLOOKUP(Table29[[#This Row],[Shortname]], Comp[], 28, FALSE)</f>
        <v>0</v>
      </c>
      <c r="AX49">
        <f>VLOOKUP(Table29[[#This Row],[Shortname]], Comp[], 29, FALSE)</f>
        <v>0</v>
      </c>
      <c r="AY49">
        <f>VLOOKUP(Table29[[#This Row],[Shortname]], Comp[], 30, FALSE)</f>
        <v>0</v>
      </c>
      <c r="AZ49">
        <f>VLOOKUP(Table29[[#This Row],[Shortname]], Comp[], 31, FALSE)</f>
        <v>0</v>
      </c>
    </row>
    <row r="50" spans="1:52" x14ac:dyDescent="0.3">
      <c r="A50" t="s">
        <v>339</v>
      </c>
      <c r="B50">
        <v>12</v>
      </c>
      <c r="C50">
        <v>42</v>
      </c>
      <c r="D50" t="s">
        <v>11</v>
      </c>
      <c r="E50" t="s">
        <v>95</v>
      </c>
      <c r="F50" t="s">
        <v>341</v>
      </c>
      <c r="G50" t="s">
        <v>251</v>
      </c>
      <c r="H50">
        <v>110</v>
      </c>
      <c r="I50">
        <v>9.9999999999999995E-7</v>
      </c>
      <c r="J50">
        <f>0.01/Table29[[#This Row],[Strain Rate (min) /s]]</f>
        <v>10000</v>
      </c>
      <c r="K50">
        <f>LOG(Table29[[#This Row],[Time to 1% strain (s)]])</f>
        <v>4</v>
      </c>
      <c r="L50">
        <v>950</v>
      </c>
      <c r="M50">
        <v>6.3</v>
      </c>
      <c r="P50" t="s">
        <v>7049</v>
      </c>
      <c r="Q50">
        <v>1300</v>
      </c>
      <c r="R50">
        <v>12</v>
      </c>
      <c r="S50">
        <v>900</v>
      </c>
      <c r="T50">
        <v>200</v>
      </c>
      <c r="W50">
        <v>1</v>
      </c>
      <c r="X50">
        <v>10</v>
      </c>
      <c r="Y50">
        <v>58</v>
      </c>
      <c r="AA50">
        <f>VLOOKUP(Table29[[#This Row],[Shortname]], Comp[], 6, FALSE)</f>
        <v>42</v>
      </c>
      <c r="AB50" s="14">
        <f>VLOOKUP(Table29[[#This Row],[Shortname]], Comp[], 7, FALSE)</f>
        <v>81.86</v>
      </c>
      <c r="AC50">
        <f>VLOOKUP(Table29[[#This Row],[Shortname]], Comp[], 8, FALSE)</f>
        <v>0</v>
      </c>
      <c r="AD50">
        <f>VLOOKUP(Table29[[#This Row],[Shortname]], Comp[], 9, FALSE)</f>
        <v>8.4</v>
      </c>
      <c r="AE50">
        <f>VLOOKUP(Table29[[#This Row],[Shortname]], Comp[], 10, FALSE)</f>
        <v>0</v>
      </c>
      <c r="AF50">
        <f>VLOOKUP(Table29[[#This Row],[Shortname]], Comp[], 11, FALSE)</f>
        <v>9.6999999999999993</v>
      </c>
      <c r="AG50">
        <f>VLOOKUP(Table29[[#This Row],[Shortname]], Comp[],12, FALSE)</f>
        <v>0</v>
      </c>
      <c r="AH50">
        <f>VLOOKUP(Table29[[#This Row],[Shortname]], Comp[], 13, FALSE)</f>
        <v>0</v>
      </c>
      <c r="AI50">
        <f>VLOOKUP(Table29[[#This Row],[Shortname]], Comp[], 14, FALSE)</f>
        <v>0</v>
      </c>
      <c r="AJ50">
        <f>VLOOKUP(Table29[[#This Row],[Shortname]], Comp[], 15, FALSE)</f>
        <v>0</v>
      </c>
      <c r="AK50">
        <f>VLOOKUP(Table29[[#This Row],[Shortname]], Comp[], 16, FALSE)</f>
        <v>0</v>
      </c>
      <c r="AL50">
        <f>VLOOKUP(Table29[[#This Row],[Shortname]], Comp[], 17, FALSE)</f>
        <v>0</v>
      </c>
      <c r="AM50">
        <f>VLOOKUP(Table29[[#This Row],[Shortname]], Comp[], 18, FALSE)</f>
        <v>0</v>
      </c>
      <c r="AN50">
        <f>VLOOKUP(Table29[[#This Row],[Shortname]], Comp[], 19, FALSE)</f>
        <v>0.04</v>
      </c>
      <c r="AO50">
        <f>VLOOKUP(Table29[[#This Row],[Shortname]], Comp[], 20, FALSE)</f>
        <v>0</v>
      </c>
      <c r="AP50">
        <f>VLOOKUP(Table29[[#This Row],[Shortname]], Comp[], 21, FALSE)</f>
        <v>0</v>
      </c>
      <c r="AQ50">
        <f>VLOOKUP(Table29[[#This Row],[Shortname]], Comp[], 22, FALSE)</f>
        <v>0</v>
      </c>
      <c r="AR50">
        <f>VLOOKUP(Table29[[#This Row],[Shortname]], Comp[], 23, FALSE)</f>
        <v>0</v>
      </c>
      <c r="AS50">
        <f>VLOOKUP(Table29[[#This Row],[Shortname]], Comp[], 24, FALSE)</f>
        <v>0</v>
      </c>
      <c r="AT50">
        <f>VLOOKUP(Table29[[#This Row],[Shortname]], Comp[], 25, FALSE)</f>
        <v>0</v>
      </c>
      <c r="AU50">
        <f>VLOOKUP(Table29[[#This Row],[Shortname]], Comp[], 26, FALSE)</f>
        <v>0</v>
      </c>
      <c r="AV50">
        <f>VLOOKUP(Table29[[#This Row],[Shortname]], Comp[], 27, FALSE)</f>
        <v>0</v>
      </c>
      <c r="AW50">
        <f>VLOOKUP(Table29[[#This Row],[Shortname]], Comp[], 28, FALSE)</f>
        <v>0</v>
      </c>
      <c r="AX50">
        <f>VLOOKUP(Table29[[#This Row],[Shortname]], Comp[], 29, FALSE)</f>
        <v>0</v>
      </c>
      <c r="AY50">
        <f>VLOOKUP(Table29[[#This Row],[Shortname]], Comp[], 30, FALSE)</f>
        <v>0</v>
      </c>
      <c r="AZ50">
        <f>VLOOKUP(Table29[[#This Row],[Shortname]], Comp[], 31, FALSE)</f>
        <v>0</v>
      </c>
    </row>
    <row r="51" spans="1:52" x14ac:dyDescent="0.3">
      <c r="A51" t="s">
        <v>339</v>
      </c>
      <c r="B51">
        <v>13</v>
      </c>
      <c r="C51">
        <v>42</v>
      </c>
      <c r="D51" t="s">
        <v>11</v>
      </c>
      <c r="E51" t="s">
        <v>95</v>
      </c>
      <c r="F51" t="s">
        <v>341</v>
      </c>
      <c r="G51" t="s">
        <v>251</v>
      </c>
      <c r="H51">
        <v>140</v>
      </c>
      <c r="I51">
        <v>5.7904000000000003E-7</v>
      </c>
      <c r="J51">
        <f>0.01/Table29[[#This Row],[Strain Rate (min) /s]]</f>
        <v>17269.964078474717</v>
      </c>
      <c r="K51">
        <f>LOG(Table29[[#This Row],[Time to 1% strain (s)]])</f>
        <v>4.2372914342358756</v>
      </c>
      <c r="L51">
        <v>950</v>
      </c>
      <c r="M51">
        <v>8.6</v>
      </c>
      <c r="P51" t="s">
        <v>7049</v>
      </c>
      <c r="Q51">
        <v>1300</v>
      </c>
      <c r="R51">
        <v>12</v>
      </c>
      <c r="S51">
        <v>900</v>
      </c>
      <c r="T51">
        <v>200</v>
      </c>
      <c r="W51">
        <v>1</v>
      </c>
      <c r="X51">
        <v>10</v>
      </c>
      <c r="Y51">
        <v>58</v>
      </c>
      <c r="AA51">
        <f>VLOOKUP(Table29[[#This Row],[Shortname]], Comp[], 6, FALSE)</f>
        <v>42</v>
      </c>
      <c r="AB51" s="14">
        <f>VLOOKUP(Table29[[#This Row],[Shortname]], Comp[], 7, FALSE)</f>
        <v>81.86</v>
      </c>
      <c r="AC51">
        <f>VLOOKUP(Table29[[#This Row],[Shortname]], Comp[], 8, FALSE)</f>
        <v>0</v>
      </c>
      <c r="AD51">
        <f>VLOOKUP(Table29[[#This Row],[Shortname]], Comp[], 9, FALSE)</f>
        <v>8.4</v>
      </c>
      <c r="AE51">
        <f>VLOOKUP(Table29[[#This Row],[Shortname]], Comp[], 10, FALSE)</f>
        <v>0</v>
      </c>
      <c r="AF51">
        <f>VLOOKUP(Table29[[#This Row],[Shortname]], Comp[], 11, FALSE)</f>
        <v>9.6999999999999993</v>
      </c>
      <c r="AG51">
        <f>VLOOKUP(Table29[[#This Row],[Shortname]], Comp[],12, FALSE)</f>
        <v>0</v>
      </c>
      <c r="AH51">
        <f>VLOOKUP(Table29[[#This Row],[Shortname]], Comp[], 13, FALSE)</f>
        <v>0</v>
      </c>
      <c r="AI51">
        <f>VLOOKUP(Table29[[#This Row],[Shortname]], Comp[], 14, FALSE)</f>
        <v>0</v>
      </c>
      <c r="AJ51">
        <f>VLOOKUP(Table29[[#This Row],[Shortname]], Comp[], 15, FALSE)</f>
        <v>0</v>
      </c>
      <c r="AK51">
        <f>VLOOKUP(Table29[[#This Row],[Shortname]], Comp[], 16, FALSE)</f>
        <v>0</v>
      </c>
      <c r="AL51">
        <f>VLOOKUP(Table29[[#This Row],[Shortname]], Comp[], 17, FALSE)</f>
        <v>0</v>
      </c>
      <c r="AM51">
        <f>VLOOKUP(Table29[[#This Row],[Shortname]], Comp[], 18, FALSE)</f>
        <v>0</v>
      </c>
      <c r="AN51">
        <f>VLOOKUP(Table29[[#This Row],[Shortname]], Comp[], 19, FALSE)</f>
        <v>0.04</v>
      </c>
      <c r="AO51">
        <f>VLOOKUP(Table29[[#This Row],[Shortname]], Comp[], 20, FALSE)</f>
        <v>0</v>
      </c>
      <c r="AP51">
        <f>VLOOKUP(Table29[[#This Row],[Shortname]], Comp[], 21, FALSE)</f>
        <v>0</v>
      </c>
      <c r="AQ51">
        <f>VLOOKUP(Table29[[#This Row],[Shortname]], Comp[], 22, FALSE)</f>
        <v>0</v>
      </c>
      <c r="AR51">
        <f>VLOOKUP(Table29[[#This Row],[Shortname]], Comp[], 23, FALSE)</f>
        <v>0</v>
      </c>
      <c r="AS51">
        <f>VLOOKUP(Table29[[#This Row],[Shortname]], Comp[], 24, FALSE)</f>
        <v>0</v>
      </c>
      <c r="AT51">
        <f>VLOOKUP(Table29[[#This Row],[Shortname]], Comp[], 25, FALSE)</f>
        <v>0</v>
      </c>
      <c r="AU51">
        <f>VLOOKUP(Table29[[#This Row],[Shortname]], Comp[], 26, FALSE)</f>
        <v>0</v>
      </c>
      <c r="AV51">
        <f>VLOOKUP(Table29[[#This Row],[Shortname]], Comp[], 27, FALSE)</f>
        <v>0</v>
      </c>
      <c r="AW51">
        <f>VLOOKUP(Table29[[#This Row],[Shortname]], Comp[], 28, FALSE)</f>
        <v>0</v>
      </c>
      <c r="AX51">
        <f>VLOOKUP(Table29[[#This Row],[Shortname]], Comp[], 29, FALSE)</f>
        <v>0</v>
      </c>
      <c r="AY51">
        <f>VLOOKUP(Table29[[#This Row],[Shortname]], Comp[], 30, FALSE)</f>
        <v>0</v>
      </c>
      <c r="AZ51">
        <f>VLOOKUP(Table29[[#This Row],[Shortname]], Comp[], 31, FALSE)</f>
        <v>0</v>
      </c>
    </row>
    <row r="52" spans="1:52" x14ac:dyDescent="0.3">
      <c r="A52" t="s">
        <v>339</v>
      </c>
      <c r="B52">
        <v>14</v>
      </c>
      <c r="C52">
        <v>42</v>
      </c>
      <c r="D52" t="s">
        <v>11</v>
      </c>
      <c r="E52" t="s">
        <v>95</v>
      </c>
      <c r="F52" t="s">
        <v>341</v>
      </c>
      <c r="G52" t="s">
        <v>251</v>
      </c>
      <c r="H52">
        <v>150</v>
      </c>
      <c r="I52">
        <v>5.2863999999999999E-6</v>
      </c>
      <c r="J52">
        <f>0.01/Table29[[#This Row],[Strain Rate (min) /s]]</f>
        <v>1891.6464891041162</v>
      </c>
      <c r="K52">
        <f>LOG(Table29[[#This Row],[Time to 1% strain (s)]])</f>
        <v>3.2768399786957305</v>
      </c>
      <c r="L52">
        <v>950</v>
      </c>
      <c r="M52">
        <v>6.3</v>
      </c>
      <c r="P52" t="s">
        <v>7049</v>
      </c>
      <c r="Q52">
        <v>1300</v>
      </c>
      <c r="R52">
        <v>12</v>
      </c>
      <c r="S52">
        <v>900</v>
      </c>
      <c r="T52">
        <v>200</v>
      </c>
      <c r="W52">
        <v>1</v>
      </c>
      <c r="X52">
        <v>10</v>
      </c>
      <c r="Y52">
        <v>58</v>
      </c>
      <c r="AA52">
        <f>VLOOKUP(Table29[[#This Row],[Shortname]], Comp[], 6, FALSE)</f>
        <v>42</v>
      </c>
      <c r="AB52" s="14">
        <f>VLOOKUP(Table29[[#This Row],[Shortname]], Comp[], 7, FALSE)</f>
        <v>81.86</v>
      </c>
      <c r="AC52">
        <f>VLOOKUP(Table29[[#This Row],[Shortname]], Comp[], 8, FALSE)</f>
        <v>0</v>
      </c>
      <c r="AD52">
        <f>VLOOKUP(Table29[[#This Row],[Shortname]], Comp[], 9, FALSE)</f>
        <v>8.4</v>
      </c>
      <c r="AE52">
        <f>VLOOKUP(Table29[[#This Row],[Shortname]], Comp[], 10, FALSE)</f>
        <v>0</v>
      </c>
      <c r="AF52">
        <f>VLOOKUP(Table29[[#This Row],[Shortname]], Comp[], 11, FALSE)</f>
        <v>9.6999999999999993</v>
      </c>
      <c r="AG52">
        <f>VLOOKUP(Table29[[#This Row],[Shortname]], Comp[],12, FALSE)</f>
        <v>0</v>
      </c>
      <c r="AH52">
        <f>VLOOKUP(Table29[[#This Row],[Shortname]], Comp[], 13, FALSE)</f>
        <v>0</v>
      </c>
      <c r="AI52">
        <f>VLOOKUP(Table29[[#This Row],[Shortname]], Comp[], 14, FALSE)</f>
        <v>0</v>
      </c>
      <c r="AJ52">
        <f>VLOOKUP(Table29[[#This Row],[Shortname]], Comp[], 15, FALSE)</f>
        <v>0</v>
      </c>
      <c r="AK52">
        <f>VLOOKUP(Table29[[#This Row],[Shortname]], Comp[], 16, FALSE)</f>
        <v>0</v>
      </c>
      <c r="AL52">
        <f>VLOOKUP(Table29[[#This Row],[Shortname]], Comp[], 17, FALSE)</f>
        <v>0</v>
      </c>
      <c r="AM52">
        <f>VLOOKUP(Table29[[#This Row],[Shortname]], Comp[], 18, FALSE)</f>
        <v>0</v>
      </c>
      <c r="AN52">
        <f>VLOOKUP(Table29[[#This Row],[Shortname]], Comp[], 19, FALSE)</f>
        <v>0.04</v>
      </c>
      <c r="AO52">
        <f>VLOOKUP(Table29[[#This Row],[Shortname]], Comp[], 20, FALSE)</f>
        <v>0</v>
      </c>
      <c r="AP52">
        <f>VLOOKUP(Table29[[#This Row],[Shortname]], Comp[], 21, FALSE)</f>
        <v>0</v>
      </c>
      <c r="AQ52">
        <f>VLOOKUP(Table29[[#This Row],[Shortname]], Comp[], 22, FALSE)</f>
        <v>0</v>
      </c>
      <c r="AR52">
        <f>VLOOKUP(Table29[[#This Row],[Shortname]], Comp[], 23, FALSE)</f>
        <v>0</v>
      </c>
      <c r="AS52">
        <f>VLOOKUP(Table29[[#This Row],[Shortname]], Comp[], 24, FALSE)</f>
        <v>0</v>
      </c>
      <c r="AT52">
        <f>VLOOKUP(Table29[[#This Row],[Shortname]], Comp[], 25, FALSE)</f>
        <v>0</v>
      </c>
      <c r="AU52">
        <f>VLOOKUP(Table29[[#This Row],[Shortname]], Comp[], 26, FALSE)</f>
        <v>0</v>
      </c>
      <c r="AV52">
        <f>VLOOKUP(Table29[[#This Row],[Shortname]], Comp[], 27, FALSE)</f>
        <v>0</v>
      </c>
      <c r="AW52">
        <f>VLOOKUP(Table29[[#This Row],[Shortname]], Comp[], 28, FALSE)</f>
        <v>0</v>
      </c>
      <c r="AX52">
        <f>VLOOKUP(Table29[[#This Row],[Shortname]], Comp[], 29, FALSE)</f>
        <v>0</v>
      </c>
      <c r="AY52">
        <f>VLOOKUP(Table29[[#This Row],[Shortname]], Comp[], 30, FALSE)</f>
        <v>0</v>
      </c>
      <c r="AZ52">
        <f>VLOOKUP(Table29[[#This Row],[Shortname]], Comp[], 31, FALSE)</f>
        <v>0</v>
      </c>
    </row>
    <row r="53" spans="1:52" x14ac:dyDescent="0.3">
      <c r="A53" t="s">
        <v>339</v>
      </c>
      <c r="B53">
        <v>15</v>
      </c>
      <c r="C53">
        <v>42</v>
      </c>
      <c r="D53" t="s">
        <v>11</v>
      </c>
      <c r="E53" t="s">
        <v>95</v>
      </c>
      <c r="F53" t="s">
        <v>341</v>
      </c>
      <c r="G53" t="s">
        <v>251</v>
      </c>
      <c r="H53">
        <v>200</v>
      </c>
      <c r="I53">
        <v>4.6415999999999997E-6</v>
      </c>
      <c r="J53">
        <f>0.01/Table29[[#This Row],[Strain Rate (min) /s]]</f>
        <v>2154.4295070665289</v>
      </c>
      <c r="K53">
        <f>LOG(Table29[[#This Row],[Time to 1% strain (s)]])</f>
        <v>3.3333322885414112</v>
      </c>
      <c r="L53">
        <v>950</v>
      </c>
      <c r="M53">
        <v>8.6</v>
      </c>
      <c r="P53" t="s">
        <v>7049</v>
      </c>
      <c r="Q53">
        <v>1300</v>
      </c>
      <c r="R53">
        <v>12</v>
      </c>
      <c r="S53">
        <v>900</v>
      </c>
      <c r="T53">
        <v>200</v>
      </c>
      <c r="W53">
        <v>1</v>
      </c>
      <c r="X53">
        <v>10</v>
      </c>
      <c r="Y53">
        <v>58</v>
      </c>
      <c r="AA53">
        <f>VLOOKUP(Table29[[#This Row],[Shortname]], Comp[], 6, FALSE)</f>
        <v>42</v>
      </c>
      <c r="AB53" s="14">
        <f>VLOOKUP(Table29[[#This Row],[Shortname]], Comp[], 7, FALSE)</f>
        <v>81.86</v>
      </c>
      <c r="AC53">
        <f>VLOOKUP(Table29[[#This Row],[Shortname]], Comp[], 8, FALSE)</f>
        <v>0</v>
      </c>
      <c r="AD53">
        <f>VLOOKUP(Table29[[#This Row],[Shortname]], Comp[], 9, FALSE)</f>
        <v>8.4</v>
      </c>
      <c r="AE53">
        <f>VLOOKUP(Table29[[#This Row],[Shortname]], Comp[], 10, FALSE)</f>
        <v>0</v>
      </c>
      <c r="AF53">
        <f>VLOOKUP(Table29[[#This Row],[Shortname]], Comp[], 11, FALSE)</f>
        <v>9.6999999999999993</v>
      </c>
      <c r="AG53">
        <f>VLOOKUP(Table29[[#This Row],[Shortname]], Comp[],12, FALSE)</f>
        <v>0</v>
      </c>
      <c r="AH53">
        <f>VLOOKUP(Table29[[#This Row],[Shortname]], Comp[], 13, FALSE)</f>
        <v>0</v>
      </c>
      <c r="AI53">
        <f>VLOOKUP(Table29[[#This Row],[Shortname]], Comp[], 14, FALSE)</f>
        <v>0</v>
      </c>
      <c r="AJ53">
        <f>VLOOKUP(Table29[[#This Row],[Shortname]], Comp[], 15, FALSE)</f>
        <v>0</v>
      </c>
      <c r="AK53">
        <f>VLOOKUP(Table29[[#This Row],[Shortname]], Comp[], 16, FALSE)</f>
        <v>0</v>
      </c>
      <c r="AL53">
        <f>VLOOKUP(Table29[[#This Row],[Shortname]], Comp[], 17, FALSE)</f>
        <v>0</v>
      </c>
      <c r="AM53">
        <f>VLOOKUP(Table29[[#This Row],[Shortname]], Comp[], 18, FALSE)</f>
        <v>0</v>
      </c>
      <c r="AN53">
        <f>VLOOKUP(Table29[[#This Row],[Shortname]], Comp[], 19, FALSE)</f>
        <v>0.04</v>
      </c>
      <c r="AO53">
        <f>VLOOKUP(Table29[[#This Row],[Shortname]], Comp[], 20, FALSE)</f>
        <v>0</v>
      </c>
      <c r="AP53">
        <f>VLOOKUP(Table29[[#This Row],[Shortname]], Comp[], 21, FALSE)</f>
        <v>0</v>
      </c>
      <c r="AQ53">
        <f>VLOOKUP(Table29[[#This Row],[Shortname]], Comp[], 22, FALSE)</f>
        <v>0</v>
      </c>
      <c r="AR53">
        <f>VLOOKUP(Table29[[#This Row],[Shortname]], Comp[], 23, FALSE)</f>
        <v>0</v>
      </c>
      <c r="AS53">
        <f>VLOOKUP(Table29[[#This Row],[Shortname]], Comp[], 24, FALSE)</f>
        <v>0</v>
      </c>
      <c r="AT53">
        <f>VLOOKUP(Table29[[#This Row],[Shortname]], Comp[], 25, FALSE)</f>
        <v>0</v>
      </c>
      <c r="AU53">
        <f>VLOOKUP(Table29[[#This Row],[Shortname]], Comp[], 26, FALSE)</f>
        <v>0</v>
      </c>
      <c r="AV53">
        <f>VLOOKUP(Table29[[#This Row],[Shortname]], Comp[], 27, FALSE)</f>
        <v>0</v>
      </c>
      <c r="AW53">
        <f>VLOOKUP(Table29[[#This Row],[Shortname]], Comp[], 28, FALSE)</f>
        <v>0</v>
      </c>
      <c r="AX53">
        <f>VLOOKUP(Table29[[#This Row],[Shortname]], Comp[], 29, FALSE)</f>
        <v>0</v>
      </c>
      <c r="AY53">
        <f>VLOOKUP(Table29[[#This Row],[Shortname]], Comp[], 30, FALSE)</f>
        <v>0</v>
      </c>
      <c r="AZ53">
        <f>VLOOKUP(Table29[[#This Row],[Shortname]], Comp[], 31, FALSE)</f>
        <v>0</v>
      </c>
    </row>
    <row r="54" spans="1:52" x14ac:dyDescent="0.3">
      <c r="A54" t="s">
        <v>339</v>
      </c>
      <c r="C54">
        <v>42</v>
      </c>
      <c r="D54" t="s">
        <v>11</v>
      </c>
      <c r="E54" t="s">
        <v>95</v>
      </c>
      <c r="F54" t="s">
        <v>341</v>
      </c>
      <c r="G54" t="s">
        <v>351</v>
      </c>
      <c r="H54">
        <v>400</v>
      </c>
      <c r="I54">
        <v>6.3095734448019402E-8</v>
      </c>
      <c r="J54">
        <f>0.01/Table29[[#This Row],[Strain Rate (min) /s]]</f>
        <v>158489.31924611115</v>
      </c>
      <c r="K54">
        <f>LOG(Table29[[#This Row],[Time to 1% strain (s)]])</f>
        <v>5.1999999999999993</v>
      </c>
      <c r="L54">
        <v>850</v>
      </c>
      <c r="M54">
        <v>9.6</v>
      </c>
      <c r="P54" t="s">
        <v>7050</v>
      </c>
      <c r="Q54">
        <v>1300</v>
      </c>
      <c r="R54">
        <v>12</v>
      </c>
      <c r="S54">
        <v>900</v>
      </c>
      <c r="T54">
        <v>200</v>
      </c>
      <c r="W54">
        <v>1</v>
      </c>
      <c r="X54">
        <v>10</v>
      </c>
      <c r="Y54">
        <v>58</v>
      </c>
      <c r="AA54">
        <f>VLOOKUP(Table29[[#This Row],[Shortname]], Comp[], 6, FALSE)</f>
        <v>42</v>
      </c>
      <c r="AB54" s="14">
        <f>VLOOKUP(Table29[[#This Row],[Shortname]], Comp[], 7, FALSE)</f>
        <v>81.86</v>
      </c>
      <c r="AC54">
        <f>VLOOKUP(Table29[[#This Row],[Shortname]], Comp[], 8, FALSE)</f>
        <v>0</v>
      </c>
      <c r="AD54">
        <f>VLOOKUP(Table29[[#This Row],[Shortname]], Comp[], 9, FALSE)</f>
        <v>8.4</v>
      </c>
      <c r="AE54">
        <f>VLOOKUP(Table29[[#This Row],[Shortname]], Comp[], 10, FALSE)</f>
        <v>0</v>
      </c>
      <c r="AF54">
        <f>VLOOKUP(Table29[[#This Row],[Shortname]], Comp[], 11, FALSE)</f>
        <v>9.6999999999999993</v>
      </c>
      <c r="AG54">
        <f>VLOOKUP(Table29[[#This Row],[Shortname]], Comp[],12, FALSE)</f>
        <v>0</v>
      </c>
      <c r="AH54">
        <f>VLOOKUP(Table29[[#This Row],[Shortname]], Comp[], 13, FALSE)</f>
        <v>0</v>
      </c>
      <c r="AI54">
        <f>VLOOKUP(Table29[[#This Row],[Shortname]], Comp[], 14, FALSE)</f>
        <v>0</v>
      </c>
      <c r="AJ54">
        <f>VLOOKUP(Table29[[#This Row],[Shortname]], Comp[], 15, FALSE)</f>
        <v>0</v>
      </c>
      <c r="AK54">
        <f>VLOOKUP(Table29[[#This Row],[Shortname]], Comp[], 16, FALSE)</f>
        <v>0</v>
      </c>
      <c r="AL54">
        <f>VLOOKUP(Table29[[#This Row],[Shortname]], Comp[], 17, FALSE)</f>
        <v>0</v>
      </c>
      <c r="AM54">
        <f>VLOOKUP(Table29[[#This Row],[Shortname]], Comp[], 18, FALSE)</f>
        <v>0</v>
      </c>
      <c r="AN54">
        <f>VLOOKUP(Table29[[#This Row],[Shortname]], Comp[], 19, FALSE)</f>
        <v>0.04</v>
      </c>
      <c r="AO54">
        <f>VLOOKUP(Table29[[#This Row],[Shortname]], Comp[], 20, FALSE)</f>
        <v>0</v>
      </c>
      <c r="AP54">
        <f>VLOOKUP(Table29[[#This Row],[Shortname]], Comp[], 21, FALSE)</f>
        <v>0</v>
      </c>
      <c r="AQ54">
        <f>VLOOKUP(Table29[[#This Row],[Shortname]], Comp[], 22, FALSE)</f>
        <v>0</v>
      </c>
      <c r="AR54">
        <f>VLOOKUP(Table29[[#This Row],[Shortname]], Comp[], 23, FALSE)</f>
        <v>0</v>
      </c>
      <c r="AS54">
        <f>VLOOKUP(Table29[[#This Row],[Shortname]], Comp[], 24, FALSE)</f>
        <v>0</v>
      </c>
      <c r="AT54">
        <f>VLOOKUP(Table29[[#This Row],[Shortname]], Comp[], 25, FALSE)</f>
        <v>0</v>
      </c>
      <c r="AU54">
        <f>VLOOKUP(Table29[[#This Row],[Shortname]], Comp[], 26, FALSE)</f>
        <v>0</v>
      </c>
      <c r="AV54">
        <f>VLOOKUP(Table29[[#This Row],[Shortname]], Comp[], 27, FALSE)</f>
        <v>0</v>
      </c>
      <c r="AW54">
        <f>VLOOKUP(Table29[[#This Row],[Shortname]], Comp[], 28, FALSE)</f>
        <v>0</v>
      </c>
      <c r="AX54">
        <f>VLOOKUP(Table29[[#This Row],[Shortname]], Comp[], 29, FALSE)</f>
        <v>0</v>
      </c>
      <c r="AY54">
        <f>VLOOKUP(Table29[[#This Row],[Shortname]], Comp[], 30, FALSE)</f>
        <v>0</v>
      </c>
      <c r="AZ54">
        <f>VLOOKUP(Table29[[#This Row],[Shortname]], Comp[], 31, FALSE)</f>
        <v>0</v>
      </c>
    </row>
    <row r="55" spans="1:52" x14ac:dyDescent="0.3">
      <c r="A55" t="s">
        <v>339</v>
      </c>
      <c r="C55">
        <v>42</v>
      </c>
      <c r="D55" t="s">
        <v>11</v>
      </c>
      <c r="E55" t="s">
        <v>95</v>
      </c>
      <c r="F55" t="s">
        <v>341</v>
      </c>
      <c r="G55" t="s">
        <v>351</v>
      </c>
      <c r="H55">
        <v>400</v>
      </c>
      <c r="I55">
        <v>2.0374685280397E-7</v>
      </c>
      <c r="J55">
        <f>0.01/Table29[[#This Row],[Strain Rate (min) /s]]</f>
        <v>49080.51271653876</v>
      </c>
      <c r="K55">
        <f>LOG(Table29[[#This Row],[Time to 1% strain (s)]])</f>
        <v>4.6909090909090922</v>
      </c>
      <c r="L55">
        <v>850</v>
      </c>
      <c r="M55">
        <v>9.6</v>
      </c>
      <c r="P55" t="s">
        <v>7050</v>
      </c>
      <c r="Q55">
        <v>1300</v>
      </c>
      <c r="R55">
        <v>12</v>
      </c>
      <c r="S55">
        <v>900</v>
      </c>
      <c r="T55">
        <v>200</v>
      </c>
      <c r="W55">
        <v>1</v>
      </c>
      <c r="X55">
        <v>10</v>
      </c>
      <c r="Y55">
        <v>58</v>
      </c>
      <c r="AA55">
        <f>VLOOKUP(Table29[[#This Row],[Shortname]], Comp[], 6, FALSE)</f>
        <v>42</v>
      </c>
      <c r="AB55" s="14">
        <f>VLOOKUP(Table29[[#This Row],[Shortname]], Comp[], 7, FALSE)</f>
        <v>81.86</v>
      </c>
      <c r="AC55">
        <f>VLOOKUP(Table29[[#This Row],[Shortname]], Comp[], 8, FALSE)</f>
        <v>0</v>
      </c>
      <c r="AD55">
        <f>VLOOKUP(Table29[[#This Row],[Shortname]], Comp[], 9, FALSE)</f>
        <v>8.4</v>
      </c>
      <c r="AE55">
        <f>VLOOKUP(Table29[[#This Row],[Shortname]], Comp[], 10, FALSE)</f>
        <v>0</v>
      </c>
      <c r="AF55">
        <f>VLOOKUP(Table29[[#This Row],[Shortname]], Comp[], 11, FALSE)</f>
        <v>9.6999999999999993</v>
      </c>
      <c r="AG55">
        <f>VLOOKUP(Table29[[#This Row],[Shortname]], Comp[],12, FALSE)</f>
        <v>0</v>
      </c>
      <c r="AH55">
        <f>VLOOKUP(Table29[[#This Row],[Shortname]], Comp[], 13, FALSE)</f>
        <v>0</v>
      </c>
      <c r="AI55">
        <f>VLOOKUP(Table29[[#This Row],[Shortname]], Comp[], 14, FALSE)</f>
        <v>0</v>
      </c>
      <c r="AJ55">
        <f>VLOOKUP(Table29[[#This Row],[Shortname]], Comp[], 15, FALSE)</f>
        <v>0</v>
      </c>
      <c r="AK55">
        <f>VLOOKUP(Table29[[#This Row],[Shortname]], Comp[], 16, FALSE)</f>
        <v>0</v>
      </c>
      <c r="AL55">
        <f>VLOOKUP(Table29[[#This Row],[Shortname]], Comp[], 17, FALSE)</f>
        <v>0</v>
      </c>
      <c r="AM55">
        <f>VLOOKUP(Table29[[#This Row],[Shortname]], Comp[], 18, FALSE)</f>
        <v>0</v>
      </c>
      <c r="AN55">
        <f>VLOOKUP(Table29[[#This Row],[Shortname]], Comp[], 19, FALSE)</f>
        <v>0.04</v>
      </c>
      <c r="AO55">
        <f>VLOOKUP(Table29[[#This Row],[Shortname]], Comp[], 20, FALSE)</f>
        <v>0</v>
      </c>
      <c r="AP55">
        <f>VLOOKUP(Table29[[#This Row],[Shortname]], Comp[], 21, FALSE)</f>
        <v>0</v>
      </c>
      <c r="AQ55">
        <f>VLOOKUP(Table29[[#This Row],[Shortname]], Comp[], 22, FALSE)</f>
        <v>0</v>
      </c>
      <c r="AR55">
        <f>VLOOKUP(Table29[[#This Row],[Shortname]], Comp[], 23, FALSE)</f>
        <v>0</v>
      </c>
      <c r="AS55">
        <f>VLOOKUP(Table29[[#This Row],[Shortname]], Comp[], 24, FALSE)</f>
        <v>0</v>
      </c>
      <c r="AT55">
        <f>VLOOKUP(Table29[[#This Row],[Shortname]], Comp[], 25, FALSE)</f>
        <v>0</v>
      </c>
      <c r="AU55">
        <f>VLOOKUP(Table29[[#This Row],[Shortname]], Comp[], 26, FALSE)</f>
        <v>0</v>
      </c>
      <c r="AV55">
        <f>VLOOKUP(Table29[[#This Row],[Shortname]], Comp[], 27, FALSE)</f>
        <v>0</v>
      </c>
      <c r="AW55">
        <f>VLOOKUP(Table29[[#This Row],[Shortname]], Comp[], 28, FALSE)</f>
        <v>0</v>
      </c>
      <c r="AX55">
        <f>VLOOKUP(Table29[[#This Row],[Shortname]], Comp[], 29, FALSE)</f>
        <v>0</v>
      </c>
      <c r="AY55">
        <f>VLOOKUP(Table29[[#This Row],[Shortname]], Comp[], 30, FALSE)</f>
        <v>0</v>
      </c>
      <c r="AZ55">
        <f>VLOOKUP(Table29[[#This Row],[Shortname]], Comp[], 31, FALSE)</f>
        <v>0</v>
      </c>
    </row>
    <row r="56" spans="1:52" x14ac:dyDescent="0.3">
      <c r="A56" t="s">
        <v>339</v>
      </c>
      <c r="C56">
        <v>42</v>
      </c>
      <c r="D56" t="s">
        <v>11</v>
      </c>
      <c r="E56" t="s">
        <v>95</v>
      </c>
      <c r="F56" t="s">
        <v>341</v>
      </c>
      <c r="G56" t="s">
        <v>351</v>
      </c>
      <c r="H56">
        <v>450</v>
      </c>
      <c r="I56">
        <v>4.8063808630643798E-7</v>
      </c>
      <c r="J56">
        <f>0.01/Table29[[#This Row],[Strain Rate (min) /s]]</f>
        <v>20805.675382171754</v>
      </c>
      <c r="K56">
        <f>LOG(Table29[[#This Row],[Time to 1% strain (s)]])</f>
        <v>4.3181818181818192</v>
      </c>
      <c r="L56">
        <v>850</v>
      </c>
      <c r="M56">
        <v>9.6</v>
      </c>
      <c r="P56" t="s">
        <v>7050</v>
      </c>
      <c r="Q56">
        <v>1300</v>
      </c>
      <c r="R56">
        <v>12</v>
      </c>
      <c r="S56">
        <v>900</v>
      </c>
      <c r="T56">
        <v>200</v>
      </c>
      <c r="W56">
        <v>1</v>
      </c>
      <c r="X56">
        <v>10</v>
      </c>
      <c r="Y56">
        <v>58</v>
      </c>
      <c r="AA56">
        <f>VLOOKUP(Table29[[#This Row],[Shortname]], Comp[], 6, FALSE)</f>
        <v>42</v>
      </c>
      <c r="AB56" s="14">
        <f>VLOOKUP(Table29[[#This Row],[Shortname]], Comp[], 7, FALSE)</f>
        <v>81.86</v>
      </c>
      <c r="AC56">
        <f>VLOOKUP(Table29[[#This Row],[Shortname]], Comp[], 8, FALSE)</f>
        <v>0</v>
      </c>
      <c r="AD56">
        <f>VLOOKUP(Table29[[#This Row],[Shortname]], Comp[], 9, FALSE)</f>
        <v>8.4</v>
      </c>
      <c r="AE56">
        <f>VLOOKUP(Table29[[#This Row],[Shortname]], Comp[], 10, FALSE)</f>
        <v>0</v>
      </c>
      <c r="AF56">
        <f>VLOOKUP(Table29[[#This Row],[Shortname]], Comp[], 11, FALSE)</f>
        <v>9.6999999999999993</v>
      </c>
      <c r="AG56">
        <f>VLOOKUP(Table29[[#This Row],[Shortname]], Comp[],12, FALSE)</f>
        <v>0</v>
      </c>
      <c r="AH56">
        <f>VLOOKUP(Table29[[#This Row],[Shortname]], Comp[], 13, FALSE)</f>
        <v>0</v>
      </c>
      <c r="AI56">
        <f>VLOOKUP(Table29[[#This Row],[Shortname]], Comp[], 14, FALSE)</f>
        <v>0</v>
      </c>
      <c r="AJ56">
        <f>VLOOKUP(Table29[[#This Row],[Shortname]], Comp[], 15, FALSE)</f>
        <v>0</v>
      </c>
      <c r="AK56">
        <f>VLOOKUP(Table29[[#This Row],[Shortname]], Comp[], 16, FALSE)</f>
        <v>0</v>
      </c>
      <c r="AL56">
        <f>VLOOKUP(Table29[[#This Row],[Shortname]], Comp[], 17, FALSE)</f>
        <v>0</v>
      </c>
      <c r="AM56">
        <f>VLOOKUP(Table29[[#This Row],[Shortname]], Comp[], 18, FALSE)</f>
        <v>0</v>
      </c>
      <c r="AN56">
        <f>VLOOKUP(Table29[[#This Row],[Shortname]], Comp[], 19, FALSE)</f>
        <v>0.04</v>
      </c>
      <c r="AO56">
        <f>VLOOKUP(Table29[[#This Row],[Shortname]], Comp[], 20, FALSE)</f>
        <v>0</v>
      </c>
      <c r="AP56">
        <f>VLOOKUP(Table29[[#This Row],[Shortname]], Comp[], 21, FALSE)</f>
        <v>0</v>
      </c>
      <c r="AQ56">
        <f>VLOOKUP(Table29[[#This Row],[Shortname]], Comp[], 22, FALSE)</f>
        <v>0</v>
      </c>
      <c r="AR56">
        <f>VLOOKUP(Table29[[#This Row],[Shortname]], Comp[], 23, FALSE)</f>
        <v>0</v>
      </c>
      <c r="AS56">
        <f>VLOOKUP(Table29[[#This Row],[Shortname]], Comp[], 24, FALSE)</f>
        <v>0</v>
      </c>
      <c r="AT56">
        <f>VLOOKUP(Table29[[#This Row],[Shortname]], Comp[], 25, FALSE)</f>
        <v>0</v>
      </c>
      <c r="AU56">
        <f>VLOOKUP(Table29[[#This Row],[Shortname]], Comp[], 26, FALSE)</f>
        <v>0</v>
      </c>
      <c r="AV56">
        <f>VLOOKUP(Table29[[#This Row],[Shortname]], Comp[], 27, FALSE)</f>
        <v>0</v>
      </c>
      <c r="AW56">
        <f>VLOOKUP(Table29[[#This Row],[Shortname]], Comp[], 28, FALSE)</f>
        <v>0</v>
      </c>
      <c r="AX56">
        <f>VLOOKUP(Table29[[#This Row],[Shortname]], Comp[], 29, FALSE)</f>
        <v>0</v>
      </c>
      <c r="AY56">
        <f>VLOOKUP(Table29[[#This Row],[Shortname]], Comp[], 30, FALSE)</f>
        <v>0</v>
      </c>
      <c r="AZ56">
        <f>VLOOKUP(Table29[[#This Row],[Shortname]], Comp[], 31, FALSE)</f>
        <v>0</v>
      </c>
    </row>
    <row r="57" spans="1:52" x14ac:dyDescent="0.3">
      <c r="A57" t="s">
        <v>339</v>
      </c>
      <c r="C57">
        <v>42</v>
      </c>
      <c r="D57" t="s">
        <v>11</v>
      </c>
      <c r="E57" t="s">
        <v>95</v>
      </c>
      <c r="F57" t="s">
        <v>341</v>
      </c>
      <c r="G57" t="s">
        <v>351</v>
      </c>
      <c r="H57">
        <v>500</v>
      </c>
      <c r="I57">
        <v>2.51188643150957E-6</v>
      </c>
      <c r="J57">
        <f>0.01/Table29[[#This Row],[Strain Rate (min) /s]]</f>
        <v>3981.0717055349887</v>
      </c>
      <c r="K57">
        <f>LOG(Table29[[#This Row],[Time to 1% strain (s)]])</f>
        <v>3.6000000000000019</v>
      </c>
      <c r="L57">
        <v>850</v>
      </c>
      <c r="M57">
        <v>9.6</v>
      </c>
      <c r="P57" t="s">
        <v>7050</v>
      </c>
      <c r="Q57">
        <v>1300</v>
      </c>
      <c r="R57">
        <v>12</v>
      </c>
      <c r="S57">
        <v>900</v>
      </c>
      <c r="T57">
        <v>200</v>
      </c>
      <c r="W57">
        <v>1</v>
      </c>
      <c r="X57">
        <v>10</v>
      </c>
      <c r="Y57">
        <v>58</v>
      </c>
      <c r="AA57">
        <f>VLOOKUP(Table29[[#This Row],[Shortname]], Comp[], 6, FALSE)</f>
        <v>42</v>
      </c>
      <c r="AB57" s="14">
        <f>VLOOKUP(Table29[[#This Row],[Shortname]], Comp[], 7, FALSE)</f>
        <v>81.86</v>
      </c>
      <c r="AC57">
        <f>VLOOKUP(Table29[[#This Row],[Shortname]], Comp[], 8, FALSE)</f>
        <v>0</v>
      </c>
      <c r="AD57">
        <f>VLOOKUP(Table29[[#This Row],[Shortname]], Comp[], 9, FALSE)</f>
        <v>8.4</v>
      </c>
      <c r="AE57">
        <f>VLOOKUP(Table29[[#This Row],[Shortname]], Comp[], 10, FALSE)</f>
        <v>0</v>
      </c>
      <c r="AF57">
        <f>VLOOKUP(Table29[[#This Row],[Shortname]], Comp[], 11, FALSE)</f>
        <v>9.6999999999999993</v>
      </c>
      <c r="AG57">
        <f>VLOOKUP(Table29[[#This Row],[Shortname]], Comp[],12, FALSE)</f>
        <v>0</v>
      </c>
      <c r="AH57">
        <f>VLOOKUP(Table29[[#This Row],[Shortname]], Comp[], 13, FALSE)</f>
        <v>0</v>
      </c>
      <c r="AI57">
        <f>VLOOKUP(Table29[[#This Row],[Shortname]], Comp[], 14, FALSE)</f>
        <v>0</v>
      </c>
      <c r="AJ57">
        <f>VLOOKUP(Table29[[#This Row],[Shortname]], Comp[], 15, FALSE)</f>
        <v>0</v>
      </c>
      <c r="AK57">
        <f>VLOOKUP(Table29[[#This Row],[Shortname]], Comp[], 16, FALSE)</f>
        <v>0</v>
      </c>
      <c r="AL57">
        <f>VLOOKUP(Table29[[#This Row],[Shortname]], Comp[], 17, FALSE)</f>
        <v>0</v>
      </c>
      <c r="AM57">
        <f>VLOOKUP(Table29[[#This Row],[Shortname]], Comp[], 18, FALSE)</f>
        <v>0</v>
      </c>
      <c r="AN57">
        <f>VLOOKUP(Table29[[#This Row],[Shortname]], Comp[], 19, FALSE)</f>
        <v>0.04</v>
      </c>
      <c r="AO57">
        <f>VLOOKUP(Table29[[#This Row],[Shortname]], Comp[], 20, FALSE)</f>
        <v>0</v>
      </c>
      <c r="AP57">
        <f>VLOOKUP(Table29[[#This Row],[Shortname]], Comp[], 21, FALSE)</f>
        <v>0</v>
      </c>
      <c r="AQ57">
        <f>VLOOKUP(Table29[[#This Row],[Shortname]], Comp[], 22, FALSE)</f>
        <v>0</v>
      </c>
      <c r="AR57">
        <f>VLOOKUP(Table29[[#This Row],[Shortname]], Comp[], 23, FALSE)</f>
        <v>0</v>
      </c>
      <c r="AS57">
        <f>VLOOKUP(Table29[[#This Row],[Shortname]], Comp[], 24, FALSE)</f>
        <v>0</v>
      </c>
      <c r="AT57">
        <f>VLOOKUP(Table29[[#This Row],[Shortname]], Comp[], 25, FALSE)</f>
        <v>0</v>
      </c>
      <c r="AU57">
        <f>VLOOKUP(Table29[[#This Row],[Shortname]], Comp[], 26, FALSE)</f>
        <v>0</v>
      </c>
      <c r="AV57">
        <f>VLOOKUP(Table29[[#This Row],[Shortname]], Comp[], 27, FALSE)</f>
        <v>0</v>
      </c>
      <c r="AW57">
        <f>VLOOKUP(Table29[[#This Row],[Shortname]], Comp[], 28, FALSE)</f>
        <v>0</v>
      </c>
      <c r="AX57">
        <f>VLOOKUP(Table29[[#This Row],[Shortname]], Comp[], 29, FALSE)</f>
        <v>0</v>
      </c>
      <c r="AY57">
        <f>VLOOKUP(Table29[[#This Row],[Shortname]], Comp[], 30, FALSE)</f>
        <v>0</v>
      </c>
      <c r="AZ57">
        <f>VLOOKUP(Table29[[#This Row],[Shortname]], Comp[], 31, FALSE)</f>
        <v>0</v>
      </c>
    </row>
    <row r="58" spans="1:52" x14ac:dyDescent="0.3">
      <c r="A58" t="s">
        <v>339</v>
      </c>
      <c r="B58">
        <v>53</v>
      </c>
      <c r="C58">
        <v>42</v>
      </c>
      <c r="D58" t="s">
        <v>11</v>
      </c>
      <c r="E58" t="s">
        <v>95</v>
      </c>
      <c r="F58" t="s">
        <v>341</v>
      </c>
      <c r="G58" t="s">
        <v>342</v>
      </c>
      <c r="H58">
        <v>250</v>
      </c>
      <c r="I58">
        <v>2.5300000000000002E-9</v>
      </c>
      <c r="J58">
        <f>0.01/Table29[[#This Row],[Strain Rate (min) /s]]</f>
        <v>3952569.1699604741</v>
      </c>
      <c r="K58">
        <f>LOG(Table29[[#This Row],[Time to 1% strain (s)]])</f>
        <v>6.5968794788241825</v>
      </c>
      <c r="L58">
        <v>800</v>
      </c>
      <c r="M58">
        <v>9.6</v>
      </c>
      <c r="N58" t="s">
        <v>7180</v>
      </c>
      <c r="P58" t="s">
        <v>7051</v>
      </c>
      <c r="Q58">
        <v>1300</v>
      </c>
      <c r="R58">
        <v>12</v>
      </c>
      <c r="S58">
        <v>900</v>
      </c>
      <c r="T58">
        <v>200</v>
      </c>
      <c r="W58">
        <v>1</v>
      </c>
      <c r="X58">
        <v>10</v>
      </c>
      <c r="Y58">
        <v>58</v>
      </c>
      <c r="Z58" t="s">
        <v>7052</v>
      </c>
      <c r="AA58">
        <f>VLOOKUP(Table29[[#This Row],[Shortname]], Comp[], 6, FALSE)</f>
        <v>42</v>
      </c>
      <c r="AB58" s="14">
        <f>VLOOKUP(Table29[[#This Row],[Shortname]], Comp[], 7, FALSE)</f>
        <v>81.86</v>
      </c>
      <c r="AC58">
        <f>VLOOKUP(Table29[[#This Row],[Shortname]], Comp[], 8, FALSE)</f>
        <v>0</v>
      </c>
      <c r="AD58">
        <f>VLOOKUP(Table29[[#This Row],[Shortname]], Comp[], 9, FALSE)</f>
        <v>8.4</v>
      </c>
      <c r="AE58">
        <f>VLOOKUP(Table29[[#This Row],[Shortname]], Comp[], 10, FALSE)</f>
        <v>0</v>
      </c>
      <c r="AF58">
        <f>VLOOKUP(Table29[[#This Row],[Shortname]], Comp[], 11, FALSE)</f>
        <v>9.6999999999999993</v>
      </c>
      <c r="AG58">
        <f>VLOOKUP(Table29[[#This Row],[Shortname]], Comp[],12, FALSE)</f>
        <v>0</v>
      </c>
      <c r="AH58">
        <f>VLOOKUP(Table29[[#This Row],[Shortname]], Comp[], 13, FALSE)</f>
        <v>0</v>
      </c>
      <c r="AI58">
        <f>VLOOKUP(Table29[[#This Row],[Shortname]], Comp[], 14, FALSE)</f>
        <v>0</v>
      </c>
      <c r="AJ58">
        <f>VLOOKUP(Table29[[#This Row],[Shortname]], Comp[], 15, FALSE)</f>
        <v>0</v>
      </c>
      <c r="AK58">
        <f>VLOOKUP(Table29[[#This Row],[Shortname]], Comp[], 16, FALSE)</f>
        <v>0</v>
      </c>
      <c r="AL58">
        <f>VLOOKUP(Table29[[#This Row],[Shortname]], Comp[], 17, FALSE)</f>
        <v>0</v>
      </c>
      <c r="AM58">
        <f>VLOOKUP(Table29[[#This Row],[Shortname]], Comp[], 18, FALSE)</f>
        <v>0</v>
      </c>
      <c r="AN58">
        <f>VLOOKUP(Table29[[#This Row],[Shortname]], Comp[], 19, FALSE)</f>
        <v>0.04</v>
      </c>
      <c r="AO58">
        <f>VLOOKUP(Table29[[#This Row],[Shortname]], Comp[], 20, FALSE)</f>
        <v>0</v>
      </c>
      <c r="AP58">
        <f>VLOOKUP(Table29[[#This Row],[Shortname]], Comp[], 21, FALSE)</f>
        <v>0</v>
      </c>
      <c r="AQ58">
        <f>VLOOKUP(Table29[[#This Row],[Shortname]], Comp[], 22, FALSE)</f>
        <v>0</v>
      </c>
      <c r="AR58">
        <f>VLOOKUP(Table29[[#This Row],[Shortname]], Comp[], 23, FALSE)</f>
        <v>0</v>
      </c>
      <c r="AS58">
        <f>VLOOKUP(Table29[[#This Row],[Shortname]], Comp[], 24, FALSE)</f>
        <v>0</v>
      </c>
      <c r="AT58">
        <f>VLOOKUP(Table29[[#This Row],[Shortname]], Comp[], 25, FALSE)</f>
        <v>0</v>
      </c>
      <c r="AU58">
        <f>VLOOKUP(Table29[[#This Row],[Shortname]], Comp[], 26, FALSE)</f>
        <v>0</v>
      </c>
      <c r="AV58">
        <f>VLOOKUP(Table29[[#This Row],[Shortname]], Comp[], 27, FALSE)</f>
        <v>0</v>
      </c>
      <c r="AW58">
        <f>VLOOKUP(Table29[[#This Row],[Shortname]], Comp[], 28, FALSE)</f>
        <v>0</v>
      </c>
      <c r="AX58">
        <f>VLOOKUP(Table29[[#This Row],[Shortname]], Comp[], 29, FALSE)</f>
        <v>0</v>
      </c>
      <c r="AY58">
        <f>VLOOKUP(Table29[[#This Row],[Shortname]], Comp[], 30, FALSE)</f>
        <v>0</v>
      </c>
      <c r="AZ58">
        <f>VLOOKUP(Table29[[#This Row],[Shortname]], Comp[], 31, FALSE)</f>
        <v>0</v>
      </c>
    </row>
    <row r="59" spans="1:52" x14ac:dyDescent="0.3">
      <c r="A59" t="s">
        <v>339</v>
      </c>
      <c r="B59">
        <v>60</v>
      </c>
      <c r="C59">
        <v>42</v>
      </c>
      <c r="D59" t="s">
        <v>11</v>
      </c>
      <c r="E59" t="s">
        <v>95</v>
      </c>
      <c r="F59" t="s">
        <v>341</v>
      </c>
      <c r="G59" t="s">
        <v>359</v>
      </c>
      <c r="H59">
        <v>250</v>
      </c>
      <c r="I59">
        <v>6.4300000000000003E-6</v>
      </c>
      <c r="J59">
        <f>0.01/Table29[[#This Row],[Strain Rate (min) /s]]</f>
        <v>1555.2099533437013</v>
      </c>
      <c r="K59">
        <f>LOG(Table29[[#This Row],[Time to 1% strain (s)]])</f>
        <v>3.1917890270757781</v>
      </c>
      <c r="L59">
        <v>900</v>
      </c>
      <c r="N59" t="s">
        <v>7180</v>
      </c>
      <c r="P59" t="s">
        <v>7053</v>
      </c>
      <c r="Q59">
        <v>1300</v>
      </c>
      <c r="R59">
        <v>12</v>
      </c>
      <c r="S59">
        <v>900</v>
      </c>
      <c r="T59">
        <v>200</v>
      </c>
      <c r="W59">
        <v>1</v>
      </c>
      <c r="X59">
        <v>10</v>
      </c>
      <c r="Y59">
        <v>58</v>
      </c>
      <c r="AA59">
        <f>VLOOKUP(Table29[[#This Row],[Shortname]], Comp[], 6, FALSE)</f>
        <v>42</v>
      </c>
      <c r="AB59" s="14">
        <f>VLOOKUP(Table29[[#This Row],[Shortname]], Comp[], 7, FALSE)</f>
        <v>81.86</v>
      </c>
      <c r="AC59">
        <f>VLOOKUP(Table29[[#This Row],[Shortname]], Comp[], 8, FALSE)</f>
        <v>0</v>
      </c>
      <c r="AD59">
        <f>VLOOKUP(Table29[[#This Row],[Shortname]], Comp[], 9, FALSE)</f>
        <v>8.4</v>
      </c>
      <c r="AE59">
        <f>VLOOKUP(Table29[[#This Row],[Shortname]], Comp[], 10, FALSE)</f>
        <v>0</v>
      </c>
      <c r="AF59">
        <f>VLOOKUP(Table29[[#This Row],[Shortname]], Comp[], 11, FALSE)</f>
        <v>9.6999999999999993</v>
      </c>
      <c r="AG59">
        <f>VLOOKUP(Table29[[#This Row],[Shortname]], Comp[],12, FALSE)</f>
        <v>0</v>
      </c>
      <c r="AH59">
        <f>VLOOKUP(Table29[[#This Row],[Shortname]], Comp[], 13, FALSE)</f>
        <v>0</v>
      </c>
      <c r="AI59">
        <f>VLOOKUP(Table29[[#This Row],[Shortname]], Comp[], 14, FALSE)</f>
        <v>0</v>
      </c>
      <c r="AJ59">
        <f>VLOOKUP(Table29[[#This Row],[Shortname]], Comp[], 15, FALSE)</f>
        <v>0</v>
      </c>
      <c r="AK59">
        <f>VLOOKUP(Table29[[#This Row],[Shortname]], Comp[], 16, FALSE)</f>
        <v>0</v>
      </c>
      <c r="AL59">
        <f>VLOOKUP(Table29[[#This Row],[Shortname]], Comp[], 17, FALSE)</f>
        <v>0</v>
      </c>
      <c r="AM59">
        <f>VLOOKUP(Table29[[#This Row],[Shortname]], Comp[], 18, FALSE)</f>
        <v>0</v>
      </c>
      <c r="AN59">
        <f>VLOOKUP(Table29[[#This Row],[Shortname]], Comp[], 19, FALSE)</f>
        <v>0.04</v>
      </c>
      <c r="AO59">
        <f>VLOOKUP(Table29[[#This Row],[Shortname]], Comp[], 20, FALSE)</f>
        <v>0</v>
      </c>
      <c r="AP59">
        <f>VLOOKUP(Table29[[#This Row],[Shortname]], Comp[], 21, FALSE)</f>
        <v>0</v>
      </c>
      <c r="AQ59">
        <f>VLOOKUP(Table29[[#This Row],[Shortname]], Comp[], 22, FALSE)</f>
        <v>0</v>
      </c>
      <c r="AR59">
        <f>VLOOKUP(Table29[[#This Row],[Shortname]], Comp[], 23, FALSE)</f>
        <v>0</v>
      </c>
      <c r="AS59">
        <f>VLOOKUP(Table29[[#This Row],[Shortname]], Comp[], 24, FALSE)</f>
        <v>0</v>
      </c>
      <c r="AT59">
        <f>VLOOKUP(Table29[[#This Row],[Shortname]], Comp[], 25, FALSE)</f>
        <v>0</v>
      </c>
      <c r="AU59">
        <f>VLOOKUP(Table29[[#This Row],[Shortname]], Comp[], 26, FALSE)</f>
        <v>0</v>
      </c>
      <c r="AV59">
        <f>VLOOKUP(Table29[[#This Row],[Shortname]], Comp[], 27, FALSE)</f>
        <v>0</v>
      </c>
      <c r="AW59">
        <f>VLOOKUP(Table29[[#This Row],[Shortname]], Comp[], 28, FALSE)</f>
        <v>0</v>
      </c>
      <c r="AX59">
        <f>VLOOKUP(Table29[[#This Row],[Shortname]], Comp[], 29, FALSE)</f>
        <v>0</v>
      </c>
      <c r="AY59">
        <f>VLOOKUP(Table29[[#This Row],[Shortname]], Comp[], 30, FALSE)</f>
        <v>0</v>
      </c>
      <c r="AZ59">
        <f>VLOOKUP(Table29[[#This Row],[Shortname]], Comp[], 31, FALSE)</f>
        <v>0</v>
      </c>
    </row>
    <row r="60" spans="1:52" x14ac:dyDescent="0.3">
      <c r="A60" t="s">
        <v>348</v>
      </c>
      <c r="B60">
        <v>54</v>
      </c>
      <c r="C60">
        <v>43</v>
      </c>
      <c r="D60" t="s">
        <v>349</v>
      </c>
      <c r="E60" t="s">
        <v>95</v>
      </c>
      <c r="F60" t="s">
        <v>350</v>
      </c>
      <c r="G60" t="s">
        <v>342</v>
      </c>
      <c r="H60">
        <v>400</v>
      </c>
      <c r="I60">
        <v>7.4598015234879396E-8</v>
      </c>
      <c r="J60">
        <f>0.01/Table29[[#This Row],[Strain Rate (min) /s]]</f>
        <v>134051.8238791473</v>
      </c>
      <c r="K60">
        <f>LOG(Table29[[#This Row],[Time to 1% strain (s)]])</f>
        <v>5.127272727272727</v>
      </c>
      <c r="L60">
        <v>850</v>
      </c>
      <c r="M60">
        <v>9.6</v>
      </c>
      <c r="P60" t="s">
        <v>7054</v>
      </c>
      <c r="Q60">
        <v>1300</v>
      </c>
      <c r="R60">
        <v>12</v>
      </c>
      <c r="S60">
        <v>900</v>
      </c>
      <c r="T60">
        <v>200</v>
      </c>
      <c r="W60">
        <v>1</v>
      </c>
      <c r="X60">
        <v>10</v>
      </c>
      <c r="Y60">
        <v>58</v>
      </c>
      <c r="AA60">
        <f>VLOOKUP(Table29[[#This Row],[Shortname]], Comp[], 6, FALSE)</f>
        <v>43</v>
      </c>
      <c r="AB60" s="14">
        <f>VLOOKUP(Table29[[#This Row],[Shortname]], Comp[], 7, FALSE)</f>
        <v>81.52000000000001</v>
      </c>
      <c r="AC60">
        <f>VLOOKUP(Table29[[#This Row],[Shortname]], Comp[], 8, FALSE)</f>
        <v>0</v>
      </c>
      <c r="AD60">
        <f>VLOOKUP(Table29[[#This Row],[Shortname]], Comp[], 9, FALSE)</f>
        <v>8.9</v>
      </c>
      <c r="AE60">
        <f>VLOOKUP(Table29[[#This Row],[Shortname]], Comp[], 10, FALSE)</f>
        <v>0</v>
      </c>
      <c r="AF60">
        <f>VLOOKUP(Table29[[#This Row],[Shortname]], Comp[], 11, FALSE)</f>
        <v>9.5</v>
      </c>
      <c r="AG60">
        <f>VLOOKUP(Table29[[#This Row],[Shortname]], Comp[],12, FALSE)</f>
        <v>0</v>
      </c>
      <c r="AH60">
        <f>VLOOKUP(Table29[[#This Row],[Shortname]], Comp[], 13, FALSE)</f>
        <v>0</v>
      </c>
      <c r="AI60">
        <f>VLOOKUP(Table29[[#This Row],[Shortname]], Comp[], 14, FALSE)</f>
        <v>0</v>
      </c>
      <c r="AJ60">
        <f>VLOOKUP(Table29[[#This Row],[Shortname]], Comp[], 15, FALSE)</f>
        <v>0</v>
      </c>
      <c r="AK60">
        <f>VLOOKUP(Table29[[#This Row],[Shortname]], Comp[], 16, FALSE)</f>
        <v>0</v>
      </c>
      <c r="AL60">
        <f>VLOOKUP(Table29[[#This Row],[Shortname]], Comp[], 17, FALSE)</f>
        <v>0</v>
      </c>
      <c r="AM60">
        <f>VLOOKUP(Table29[[#This Row],[Shortname]], Comp[], 18, FALSE)</f>
        <v>0</v>
      </c>
      <c r="AN60">
        <f>VLOOKUP(Table29[[#This Row],[Shortname]], Comp[], 19, FALSE)</f>
        <v>0.08</v>
      </c>
      <c r="AO60">
        <f>VLOOKUP(Table29[[#This Row],[Shortname]], Comp[], 20, FALSE)</f>
        <v>0</v>
      </c>
      <c r="AP60">
        <f>VLOOKUP(Table29[[#This Row],[Shortname]], Comp[], 21, FALSE)</f>
        <v>0</v>
      </c>
      <c r="AQ60">
        <f>VLOOKUP(Table29[[#This Row],[Shortname]], Comp[], 22, FALSE)</f>
        <v>0</v>
      </c>
      <c r="AR60">
        <f>VLOOKUP(Table29[[#This Row],[Shortname]], Comp[], 23, FALSE)</f>
        <v>0</v>
      </c>
      <c r="AS60">
        <f>VLOOKUP(Table29[[#This Row],[Shortname]], Comp[], 24, FALSE)</f>
        <v>0</v>
      </c>
      <c r="AT60">
        <f>VLOOKUP(Table29[[#This Row],[Shortname]], Comp[], 25, FALSE)</f>
        <v>0</v>
      </c>
      <c r="AU60">
        <f>VLOOKUP(Table29[[#This Row],[Shortname]], Comp[], 26, FALSE)</f>
        <v>0</v>
      </c>
      <c r="AV60">
        <f>VLOOKUP(Table29[[#This Row],[Shortname]], Comp[], 27, FALSE)</f>
        <v>0</v>
      </c>
      <c r="AW60">
        <f>VLOOKUP(Table29[[#This Row],[Shortname]], Comp[], 28, FALSE)</f>
        <v>0</v>
      </c>
      <c r="AX60">
        <f>VLOOKUP(Table29[[#This Row],[Shortname]], Comp[], 29, FALSE)</f>
        <v>0</v>
      </c>
      <c r="AY60">
        <f>VLOOKUP(Table29[[#This Row],[Shortname]], Comp[], 30, FALSE)</f>
        <v>0</v>
      </c>
      <c r="AZ60">
        <f>VLOOKUP(Table29[[#This Row],[Shortname]], Comp[], 31, FALSE)</f>
        <v>0</v>
      </c>
    </row>
    <row r="61" spans="1:52" x14ac:dyDescent="0.3">
      <c r="A61" t="s">
        <v>348</v>
      </c>
      <c r="C61">
        <v>43</v>
      </c>
      <c r="D61" t="s">
        <v>11</v>
      </c>
      <c r="E61" t="s">
        <v>95</v>
      </c>
      <c r="F61" t="s">
        <v>350</v>
      </c>
      <c r="G61" t="s">
        <v>342</v>
      </c>
      <c r="H61">
        <v>450</v>
      </c>
      <c r="I61">
        <v>5.9255309755456704E-7</v>
      </c>
      <c r="J61">
        <f>0.01/Table29[[#This Row],[Strain Rate (min) /s]]</f>
        <v>16876.124757881498</v>
      </c>
      <c r="K61">
        <f>LOG(Table29[[#This Row],[Time to 1% strain (s)]])</f>
        <v>4.2272727272727275</v>
      </c>
      <c r="L61">
        <v>850</v>
      </c>
      <c r="M61">
        <v>9.6</v>
      </c>
      <c r="P61" t="s">
        <v>7054</v>
      </c>
      <c r="Q61">
        <v>1300</v>
      </c>
      <c r="R61">
        <v>12</v>
      </c>
      <c r="S61">
        <v>900</v>
      </c>
      <c r="T61">
        <v>200</v>
      </c>
      <c r="W61">
        <v>1</v>
      </c>
      <c r="X61">
        <v>10</v>
      </c>
      <c r="Y61">
        <v>58</v>
      </c>
      <c r="AA61">
        <f>VLOOKUP(Table29[[#This Row],[Shortname]], Comp[], 6, FALSE)</f>
        <v>43</v>
      </c>
      <c r="AB61" s="14">
        <f>VLOOKUP(Table29[[#This Row],[Shortname]], Comp[], 7, FALSE)</f>
        <v>81.52000000000001</v>
      </c>
      <c r="AC61">
        <f>VLOOKUP(Table29[[#This Row],[Shortname]], Comp[], 8, FALSE)</f>
        <v>0</v>
      </c>
      <c r="AD61">
        <f>VLOOKUP(Table29[[#This Row],[Shortname]], Comp[], 9, FALSE)</f>
        <v>8.9</v>
      </c>
      <c r="AE61">
        <f>VLOOKUP(Table29[[#This Row],[Shortname]], Comp[], 10, FALSE)</f>
        <v>0</v>
      </c>
      <c r="AF61">
        <f>VLOOKUP(Table29[[#This Row],[Shortname]], Comp[], 11, FALSE)</f>
        <v>9.5</v>
      </c>
      <c r="AG61">
        <f>VLOOKUP(Table29[[#This Row],[Shortname]], Comp[],12, FALSE)</f>
        <v>0</v>
      </c>
      <c r="AH61">
        <f>VLOOKUP(Table29[[#This Row],[Shortname]], Comp[], 13, FALSE)</f>
        <v>0</v>
      </c>
      <c r="AI61">
        <f>VLOOKUP(Table29[[#This Row],[Shortname]], Comp[], 14, FALSE)</f>
        <v>0</v>
      </c>
      <c r="AJ61">
        <f>VLOOKUP(Table29[[#This Row],[Shortname]], Comp[], 15, FALSE)</f>
        <v>0</v>
      </c>
      <c r="AK61">
        <f>VLOOKUP(Table29[[#This Row],[Shortname]], Comp[], 16, FALSE)</f>
        <v>0</v>
      </c>
      <c r="AL61">
        <f>VLOOKUP(Table29[[#This Row],[Shortname]], Comp[], 17, FALSE)</f>
        <v>0</v>
      </c>
      <c r="AM61">
        <f>VLOOKUP(Table29[[#This Row],[Shortname]], Comp[], 18, FALSE)</f>
        <v>0</v>
      </c>
      <c r="AN61">
        <f>VLOOKUP(Table29[[#This Row],[Shortname]], Comp[], 19, FALSE)</f>
        <v>0.08</v>
      </c>
      <c r="AO61">
        <f>VLOOKUP(Table29[[#This Row],[Shortname]], Comp[], 20, FALSE)</f>
        <v>0</v>
      </c>
      <c r="AP61">
        <f>VLOOKUP(Table29[[#This Row],[Shortname]], Comp[], 21, FALSE)</f>
        <v>0</v>
      </c>
      <c r="AQ61">
        <f>VLOOKUP(Table29[[#This Row],[Shortname]], Comp[], 22, FALSE)</f>
        <v>0</v>
      </c>
      <c r="AR61">
        <f>VLOOKUP(Table29[[#This Row],[Shortname]], Comp[], 23, FALSE)</f>
        <v>0</v>
      </c>
      <c r="AS61">
        <f>VLOOKUP(Table29[[#This Row],[Shortname]], Comp[], 24, FALSE)</f>
        <v>0</v>
      </c>
      <c r="AT61">
        <f>VLOOKUP(Table29[[#This Row],[Shortname]], Comp[], 25, FALSE)</f>
        <v>0</v>
      </c>
      <c r="AU61">
        <f>VLOOKUP(Table29[[#This Row],[Shortname]], Comp[], 26, FALSE)</f>
        <v>0</v>
      </c>
      <c r="AV61">
        <f>VLOOKUP(Table29[[#This Row],[Shortname]], Comp[], 27, FALSE)</f>
        <v>0</v>
      </c>
      <c r="AW61">
        <f>VLOOKUP(Table29[[#This Row],[Shortname]], Comp[], 28, FALSE)</f>
        <v>0</v>
      </c>
      <c r="AX61">
        <f>VLOOKUP(Table29[[#This Row],[Shortname]], Comp[], 29, FALSE)</f>
        <v>0</v>
      </c>
      <c r="AY61">
        <f>VLOOKUP(Table29[[#This Row],[Shortname]], Comp[], 30, FALSE)</f>
        <v>0</v>
      </c>
      <c r="AZ61">
        <f>VLOOKUP(Table29[[#This Row],[Shortname]], Comp[], 31, FALSE)</f>
        <v>0</v>
      </c>
    </row>
    <row r="62" spans="1:52" x14ac:dyDescent="0.3">
      <c r="A62" t="s">
        <v>348</v>
      </c>
      <c r="B62">
        <v>59</v>
      </c>
      <c r="C62">
        <v>43</v>
      </c>
      <c r="D62" t="s">
        <v>11</v>
      </c>
      <c r="E62" t="s">
        <v>95</v>
      </c>
      <c r="F62" t="s">
        <v>350</v>
      </c>
      <c r="G62" t="s">
        <v>351</v>
      </c>
      <c r="H62">
        <v>500</v>
      </c>
      <c r="I62">
        <v>3.4384573069455201E-6</v>
      </c>
      <c r="J62">
        <f>0.01/Table29[[#This Row],[Strain Rate (min) /s]]</f>
        <v>2908.2809839751321</v>
      </c>
      <c r="K62">
        <f>LOG(Table29[[#This Row],[Time to 1% strain (s)]])</f>
        <v>3.4636363636363643</v>
      </c>
      <c r="L62">
        <v>850</v>
      </c>
      <c r="M62">
        <v>9.6</v>
      </c>
      <c r="P62" t="s">
        <v>7054</v>
      </c>
      <c r="Q62">
        <v>1300</v>
      </c>
      <c r="R62">
        <v>12</v>
      </c>
      <c r="S62">
        <v>900</v>
      </c>
      <c r="T62">
        <v>200</v>
      </c>
      <c r="W62">
        <v>1</v>
      </c>
      <c r="X62">
        <v>10</v>
      </c>
      <c r="Y62">
        <v>58</v>
      </c>
      <c r="AA62">
        <f>VLOOKUP(Table29[[#This Row],[Shortname]], Comp[], 6, FALSE)</f>
        <v>43</v>
      </c>
      <c r="AB62" s="14">
        <f>VLOOKUP(Table29[[#This Row],[Shortname]], Comp[], 7, FALSE)</f>
        <v>81.52000000000001</v>
      </c>
      <c r="AC62">
        <f>VLOOKUP(Table29[[#This Row],[Shortname]], Comp[], 8, FALSE)</f>
        <v>0</v>
      </c>
      <c r="AD62">
        <f>VLOOKUP(Table29[[#This Row],[Shortname]], Comp[], 9, FALSE)</f>
        <v>8.9</v>
      </c>
      <c r="AE62">
        <f>VLOOKUP(Table29[[#This Row],[Shortname]], Comp[], 10, FALSE)</f>
        <v>0</v>
      </c>
      <c r="AF62">
        <f>VLOOKUP(Table29[[#This Row],[Shortname]], Comp[], 11, FALSE)</f>
        <v>9.5</v>
      </c>
      <c r="AG62">
        <f>VLOOKUP(Table29[[#This Row],[Shortname]], Comp[],12, FALSE)</f>
        <v>0</v>
      </c>
      <c r="AH62">
        <f>VLOOKUP(Table29[[#This Row],[Shortname]], Comp[], 13, FALSE)</f>
        <v>0</v>
      </c>
      <c r="AI62">
        <f>VLOOKUP(Table29[[#This Row],[Shortname]], Comp[], 14, FALSE)</f>
        <v>0</v>
      </c>
      <c r="AJ62">
        <f>VLOOKUP(Table29[[#This Row],[Shortname]], Comp[], 15, FALSE)</f>
        <v>0</v>
      </c>
      <c r="AK62">
        <f>VLOOKUP(Table29[[#This Row],[Shortname]], Comp[], 16, FALSE)</f>
        <v>0</v>
      </c>
      <c r="AL62">
        <f>VLOOKUP(Table29[[#This Row],[Shortname]], Comp[], 17, FALSE)</f>
        <v>0</v>
      </c>
      <c r="AM62">
        <f>VLOOKUP(Table29[[#This Row],[Shortname]], Comp[], 18, FALSE)</f>
        <v>0</v>
      </c>
      <c r="AN62">
        <f>VLOOKUP(Table29[[#This Row],[Shortname]], Comp[], 19, FALSE)</f>
        <v>0.08</v>
      </c>
      <c r="AO62">
        <f>VLOOKUP(Table29[[#This Row],[Shortname]], Comp[], 20, FALSE)</f>
        <v>0</v>
      </c>
      <c r="AP62">
        <f>VLOOKUP(Table29[[#This Row],[Shortname]], Comp[], 21, FALSE)</f>
        <v>0</v>
      </c>
      <c r="AQ62">
        <f>VLOOKUP(Table29[[#This Row],[Shortname]], Comp[], 22, FALSE)</f>
        <v>0</v>
      </c>
      <c r="AR62">
        <f>VLOOKUP(Table29[[#This Row],[Shortname]], Comp[], 23, FALSE)</f>
        <v>0</v>
      </c>
      <c r="AS62">
        <f>VLOOKUP(Table29[[#This Row],[Shortname]], Comp[], 24, FALSE)</f>
        <v>0</v>
      </c>
      <c r="AT62">
        <f>VLOOKUP(Table29[[#This Row],[Shortname]], Comp[], 25, FALSE)</f>
        <v>0</v>
      </c>
      <c r="AU62">
        <f>VLOOKUP(Table29[[#This Row],[Shortname]], Comp[], 26, FALSE)</f>
        <v>0</v>
      </c>
      <c r="AV62">
        <f>VLOOKUP(Table29[[#This Row],[Shortname]], Comp[], 27, FALSE)</f>
        <v>0</v>
      </c>
      <c r="AW62">
        <f>VLOOKUP(Table29[[#This Row],[Shortname]], Comp[], 28, FALSE)</f>
        <v>0</v>
      </c>
      <c r="AX62">
        <f>VLOOKUP(Table29[[#This Row],[Shortname]], Comp[], 29, FALSE)</f>
        <v>0</v>
      </c>
      <c r="AY62">
        <f>VLOOKUP(Table29[[#This Row],[Shortname]], Comp[], 30, FALSE)</f>
        <v>0</v>
      </c>
      <c r="AZ62">
        <f>VLOOKUP(Table29[[#This Row],[Shortname]], Comp[], 31, FALSE)</f>
        <v>0</v>
      </c>
    </row>
    <row r="63" spans="1:52" x14ac:dyDescent="0.3">
      <c r="A63" t="s">
        <v>356</v>
      </c>
      <c r="B63">
        <v>62</v>
      </c>
      <c r="C63">
        <v>44</v>
      </c>
      <c r="D63" t="s">
        <v>357</v>
      </c>
      <c r="E63" t="s">
        <v>95</v>
      </c>
      <c r="F63" t="s">
        <v>358</v>
      </c>
      <c r="G63" t="s">
        <v>359</v>
      </c>
      <c r="H63">
        <v>250</v>
      </c>
      <c r="I63">
        <v>3.17E-9</v>
      </c>
      <c r="J63">
        <f>0.01/Table29[[#This Row],[Strain Rate (min) /s]]</f>
        <v>3154574.1324921134</v>
      </c>
      <c r="K63">
        <f>LOG(Table29[[#This Row],[Time to 1% strain (s)]])</f>
        <v>6.4989407377822488</v>
      </c>
      <c r="L63">
        <v>850</v>
      </c>
      <c r="M63">
        <v>9.6</v>
      </c>
      <c r="P63" t="s">
        <v>7055</v>
      </c>
      <c r="Q63">
        <v>1300</v>
      </c>
      <c r="R63">
        <v>12</v>
      </c>
      <c r="S63">
        <v>900</v>
      </c>
      <c r="T63">
        <v>200</v>
      </c>
      <c r="W63">
        <v>1</v>
      </c>
      <c r="X63">
        <v>10</v>
      </c>
      <c r="Y63">
        <v>58</v>
      </c>
      <c r="AA63">
        <f>VLOOKUP(Table29[[#This Row],[Shortname]], Comp[], 6, FALSE)</f>
        <v>44</v>
      </c>
      <c r="AB63" s="14">
        <f>VLOOKUP(Table29[[#This Row],[Shortname]], Comp[], 7, FALSE)</f>
        <v>82.179999999999993</v>
      </c>
      <c r="AC63">
        <f>VLOOKUP(Table29[[#This Row],[Shortname]], Comp[], 8, FALSE)</f>
        <v>0</v>
      </c>
      <c r="AD63">
        <f>VLOOKUP(Table29[[#This Row],[Shortname]], Comp[], 9, FALSE)</f>
        <v>8.3000000000000007</v>
      </c>
      <c r="AE63">
        <f>VLOOKUP(Table29[[#This Row],[Shortname]], Comp[], 10, FALSE)</f>
        <v>0</v>
      </c>
      <c r="AF63">
        <f>VLOOKUP(Table29[[#This Row],[Shortname]], Comp[], 11, FALSE)</f>
        <v>9.4</v>
      </c>
      <c r="AG63">
        <f>VLOOKUP(Table29[[#This Row],[Shortname]], Comp[],12, FALSE)</f>
        <v>0</v>
      </c>
      <c r="AH63">
        <f>VLOOKUP(Table29[[#This Row],[Shortname]], Comp[], 13, FALSE)</f>
        <v>0</v>
      </c>
      <c r="AI63">
        <f>VLOOKUP(Table29[[#This Row],[Shortname]], Comp[], 14, FALSE)</f>
        <v>0</v>
      </c>
      <c r="AJ63">
        <f>VLOOKUP(Table29[[#This Row],[Shortname]], Comp[], 15, FALSE)</f>
        <v>0</v>
      </c>
      <c r="AK63">
        <f>VLOOKUP(Table29[[#This Row],[Shortname]], Comp[], 16, FALSE)</f>
        <v>0</v>
      </c>
      <c r="AL63">
        <f>VLOOKUP(Table29[[#This Row],[Shortname]], Comp[], 17, FALSE)</f>
        <v>0</v>
      </c>
      <c r="AM63">
        <f>VLOOKUP(Table29[[#This Row],[Shortname]], Comp[], 18, FALSE)</f>
        <v>0</v>
      </c>
      <c r="AN63">
        <f>VLOOKUP(Table29[[#This Row],[Shortname]], Comp[], 19, FALSE)</f>
        <v>0.12</v>
      </c>
      <c r="AO63">
        <f>VLOOKUP(Table29[[#This Row],[Shortname]], Comp[], 20, FALSE)</f>
        <v>0</v>
      </c>
      <c r="AP63">
        <f>VLOOKUP(Table29[[#This Row],[Shortname]], Comp[], 21, FALSE)</f>
        <v>0</v>
      </c>
      <c r="AQ63">
        <f>VLOOKUP(Table29[[#This Row],[Shortname]], Comp[], 22, FALSE)</f>
        <v>0</v>
      </c>
      <c r="AR63">
        <f>VLOOKUP(Table29[[#This Row],[Shortname]], Comp[], 23, FALSE)</f>
        <v>0</v>
      </c>
      <c r="AS63">
        <f>VLOOKUP(Table29[[#This Row],[Shortname]], Comp[], 24, FALSE)</f>
        <v>0</v>
      </c>
      <c r="AT63">
        <f>VLOOKUP(Table29[[#This Row],[Shortname]], Comp[], 25, FALSE)</f>
        <v>0</v>
      </c>
      <c r="AU63">
        <f>VLOOKUP(Table29[[#This Row],[Shortname]], Comp[], 26, FALSE)</f>
        <v>0</v>
      </c>
      <c r="AV63">
        <f>VLOOKUP(Table29[[#This Row],[Shortname]], Comp[], 27, FALSE)</f>
        <v>0</v>
      </c>
      <c r="AW63">
        <f>VLOOKUP(Table29[[#This Row],[Shortname]], Comp[], 28, FALSE)</f>
        <v>0</v>
      </c>
      <c r="AX63">
        <f>VLOOKUP(Table29[[#This Row],[Shortname]], Comp[], 29, FALSE)</f>
        <v>0</v>
      </c>
      <c r="AY63">
        <f>VLOOKUP(Table29[[#This Row],[Shortname]], Comp[], 30, FALSE)</f>
        <v>0</v>
      </c>
      <c r="AZ63">
        <f>VLOOKUP(Table29[[#This Row],[Shortname]], Comp[], 31, FALSE)</f>
        <v>0</v>
      </c>
    </row>
    <row r="64" spans="1:52" x14ac:dyDescent="0.3">
      <c r="A64" t="s">
        <v>356</v>
      </c>
      <c r="B64">
        <v>66</v>
      </c>
      <c r="C64">
        <v>44</v>
      </c>
      <c r="D64" t="s">
        <v>11</v>
      </c>
      <c r="E64" t="s">
        <v>95</v>
      </c>
      <c r="F64" t="s">
        <v>358</v>
      </c>
      <c r="G64" t="s">
        <v>365</v>
      </c>
      <c r="H64">
        <v>350</v>
      </c>
      <c r="I64">
        <v>2.4E-8</v>
      </c>
      <c r="J64">
        <f>0.01/Table29[[#This Row],[Strain Rate (min) /s]]</f>
        <v>416666.66666666669</v>
      </c>
      <c r="K64">
        <f>LOG(Table29[[#This Row],[Time to 1% strain (s)]])</f>
        <v>5.6197887582883936</v>
      </c>
      <c r="L64">
        <v>850</v>
      </c>
      <c r="M64">
        <v>9.6</v>
      </c>
      <c r="P64" t="s">
        <v>7055</v>
      </c>
      <c r="Q64">
        <v>1300</v>
      </c>
      <c r="R64">
        <v>12</v>
      </c>
      <c r="S64">
        <v>900</v>
      </c>
      <c r="T64">
        <v>200</v>
      </c>
      <c r="W64">
        <v>1</v>
      </c>
      <c r="X64">
        <v>10</v>
      </c>
      <c r="Y64">
        <v>58</v>
      </c>
      <c r="AA64">
        <f>VLOOKUP(Table29[[#This Row],[Shortname]], Comp[], 6, FALSE)</f>
        <v>44</v>
      </c>
      <c r="AB64" s="14">
        <f>VLOOKUP(Table29[[#This Row],[Shortname]], Comp[], 7, FALSE)</f>
        <v>82.179999999999993</v>
      </c>
      <c r="AC64">
        <f>VLOOKUP(Table29[[#This Row],[Shortname]], Comp[], 8, FALSE)</f>
        <v>0</v>
      </c>
      <c r="AD64">
        <f>VLOOKUP(Table29[[#This Row],[Shortname]], Comp[], 9, FALSE)</f>
        <v>8.3000000000000007</v>
      </c>
      <c r="AE64">
        <f>VLOOKUP(Table29[[#This Row],[Shortname]], Comp[], 10, FALSE)</f>
        <v>0</v>
      </c>
      <c r="AF64">
        <f>VLOOKUP(Table29[[#This Row],[Shortname]], Comp[], 11, FALSE)</f>
        <v>9.4</v>
      </c>
      <c r="AG64">
        <f>VLOOKUP(Table29[[#This Row],[Shortname]], Comp[],12, FALSE)</f>
        <v>0</v>
      </c>
      <c r="AH64">
        <f>VLOOKUP(Table29[[#This Row],[Shortname]], Comp[], 13, FALSE)</f>
        <v>0</v>
      </c>
      <c r="AI64">
        <f>VLOOKUP(Table29[[#This Row],[Shortname]], Comp[], 14, FALSE)</f>
        <v>0</v>
      </c>
      <c r="AJ64">
        <f>VLOOKUP(Table29[[#This Row],[Shortname]], Comp[], 15, FALSE)</f>
        <v>0</v>
      </c>
      <c r="AK64">
        <f>VLOOKUP(Table29[[#This Row],[Shortname]], Comp[], 16, FALSE)</f>
        <v>0</v>
      </c>
      <c r="AL64">
        <f>VLOOKUP(Table29[[#This Row],[Shortname]], Comp[], 17, FALSE)</f>
        <v>0</v>
      </c>
      <c r="AM64">
        <f>VLOOKUP(Table29[[#This Row],[Shortname]], Comp[], 18, FALSE)</f>
        <v>0</v>
      </c>
      <c r="AN64">
        <f>VLOOKUP(Table29[[#This Row],[Shortname]], Comp[], 19, FALSE)</f>
        <v>0.12</v>
      </c>
      <c r="AO64">
        <f>VLOOKUP(Table29[[#This Row],[Shortname]], Comp[], 20, FALSE)</f>
        <v>0</v>
      </c>
      <c r="AP64">
        <f>VLOOKUP(Table29[[#This Row],[Shortname]], Comp[], 21, FALSE)</f>
        <v>0</v>
      </c>
      <c r="AQ64">
        <f>VLOOKUP(Table29[[#This Row],[Shortname]], Comp[], 22, FALSE)</f>
        <v>0</v>
      </c>
      <c r="AR64">
        <f>VLOOKUP(Table29[[#This Row],[Shortname]], Comp[], 23, FALSE)</f>
        <v>0</v>
      </c>
      <c r="AS64">
        <f>VLOOKUP(Table29[[#This Row],[Shortname]], Comp[], 24, FALSE)</f>
        <v>0</v>
      </c>
      <c r="AT64">
        <f>VLOOKUP(Table29[[#This Row],[Shortname]], Comp[], 25, FALSE)</f>
        <v>0</v>
      </c>
      <c r="AU64">
        <f>VLOOKUP(Table29[[#This Row],[Shortname]], Comp[], 26, FALSE)</f>
        <v>0</v>
      </c>
      <c r="AV64">
        <f>VLOOKUP(Table29[[#This Row],[Shortname]], Comp[], 27, FALSE)</f>
        <v>0</v>
      </c>
      <c r="AW64">
        <f>VLOOKUP(Table29[[#This Row],[Shortname]], Comp[], 28, FALSE)</f>
        <v>0</v>
      </c>
      <c r="AX64">
        <f>VLOOKUP(Table29[[#This Row],[Shortname]], Comp[], 29, FALSE)</f>
        <v>0</v>
      </c>
      <c r="AY64">
        <f>VLOOKUP(Table29[[#This Row],[Shortname]], Comp[], 30, FALSE)</f>
        <v>0</v>
      </c>
      <c r="AZ64">
        <f>VLOOKUP(Table29[[#This Row],[Shortname]], Comp[], 31, FALSE)</f>
        <v>0</v>
      </c>
    </row>
    <row r="65" spans="1:52" x14ac:dyDescent="0.3">
      <c r="A65" t="s">
        <v>356</v>
      </c>
      <c r="B65">
        <v>70</v>
      </c>
      <c r="C65">
        <v>44</v>
      </c>
      <c r="D65" t="s">
        <v>11</v>
      </c>
      <c r="E65" t="s">
        <v>95</v>
      </c>
      <c r="F65" t="s">
        <v>358</v>
      </c>
      <c r="G65" t="s">
        <v>5340</v>
      </c>
      <c r="H65">
        <v>450</v>
      </c>
      <c r="I65">
        <v>4.2300000000000002E-7</v>
      </c>
      <c r="J65">
        <f>0.01/Table29[[#This Row],[Strain Rate (min) /s]]</f>
        <v>23640.661938534278</v>
      </c>
      <c r="K65">
        <f>LOG(Table29[[#This Row],[Time to 1% strain (s)]])</f>
        <v>4.3736596326249577</v>
      </c>
      <c r="L65">
        <v>850</v>
      </c>
      <c r="M65">
        <v>9.6</v>
      </c>
      <c r="P65" t="s">
        <v>7055</v>
      </c>
      <c r="Q65">
        <v>1300</v>
      </c>
      <c r="R65">
        <v>12</v>
      </c>
      <c r="S65">
        <v>900</v>
      </c>
      <c r="T65">
        <v>200</v>
      </c>
      <c r="W65">
        <v>1</v>
      </c>
      <c r="X65">
        <v>10</v>
      </c>
      <c r="Y65">
        <v>58</v>
      </c>
      <c r="AA65">
        <f>VLOOKUP(Table29[[#This Row],[Shortname]], Comp[], 6, FALSE)</f>
        <v>44</v>
      </c>
      <c r="AB65" s="14">
        <f>VLOOKUP(Table29[[#This Row],[Shortname]], Comp[], 7, FALSE)</f>
        <v>82.179999999999993</v>
      </c>
      <c r="AC65">
        <f>VLOOKUP(Table29[[#This Row],[Shortname]], Comp[], 8, FALSE)</f>
        <v>0</v>
      </c>
      <c r="AD65">
        <f>VLOOKUP(Table29[[#This Row],[Shortname]], Comp[], 9, FALSE)</f>
        <v>8.3000000000000007</v>
      </c>
      <c r="AE65">
        <f>VLOOKUP(Table29[[#This Row],[Shortname]], Comp[], 10, FALSE)</f>
        <v>0</v>
      </c>
      <c r="AF65">
        <f>VLOOKUP(Table29[[#This Row],[Shortname]], Comp[], 11, FALSE)</f>
        <v>9.4</v>
      </c>
      <c r="AG65">
        <f>VLOOKUP(Table29[[#This Row],[Shortname]], Comp[],12, FALSE)</f>
        <v>0</v>
      </c>
      <c r="AH65">
        <f>VLOOKUP(Table29[[#This Row],[Shortname]], Comp[], 13, FALSE)</f>
        <v>0</v>
      </c>
      <c r="AI65">
        <f>VLOOKUP(Table29[[#This Row],[Shortname]], Comp[], 14, FALSE)</f>
        <v>0</v>
      </c>
      <c r="AJ65">
        <f>VLOOKUP(Table29[[#This Row],[Shortname]], Comp[], 15, FALSE)</f>
        <v>0</v>
      </c>
      <c r="AK65">
        <f>VLOOKUP(Table29[[#This Row],[Shortname]], Comp[], 16, FALSE)</f>
        <v>0</v>
      </c>
      <c r="AL65">
        <f>VLOOKUP(Table29[[#This Row],[Shortname]], Comp[], 17, FALSE)</f>
        <v>0</v>
      </c>
      <c r="AM65">
        <f>VLOOKUP(Table29[[#This Row],[Shortname]], Comp[], 18, FALSE)</f>
        <v>0</v>
      </c>
      <c r="AN65">
        <f>VLOOKUP(Table29[[#This Row],[Shortname]], Comp[], 19, FALSE)</f>
        <v>0.12</v>
      </c>
      <c r="AO65">
        <f>VLOOKUP(Table29[[#This Row],[Shortname]], Comp[], 20, FALSE)</f>
        <v>0</v>
      </c>
      <c r="AP65">
        <f>VLOOKUP(Table29[[#This Row],[Shortname]], Comp[], 21, FALSE)</f>
        <v>0</v>
      </c>
      <c r="AQ65">
        <f>VLOOKUP(Table29[[#This Row],[Shortname]], Comp[], 22, FALSE)</f>
        <v>0</v>
      </c>
      <c r="AR65">
        <f>VLOOKUP(Table29[[#This Row],[Shortname]], Comp[], 23, FALSE)</f>
        <v>0</v>
      </c>
      <c r="AS65">
        <f>VLOOKUP(Table29[[#This Row],[Shortname]], Comp[], 24, FALSE)</f>
        <v>0</v>
      </c>
      <c r="AT65">
        <f>VLOOKUP(Table29[[#This Row],[Shortname]], Comp[], 25, FALSE)</f>
        <v>0</v>
      </c>
      <c r="AU65">
        <f>VLOOKUP(Table29[[#This Row],[Shortname]], Comp[], 26, FALSE)</f>
        <v>0</v>
      </c>
      <c r="AV65">
        <f>VLOOKUP(Table29[[#This Row],[Shortname]], Comp[], 27, FALSE)</f>
        <v>0</v>
      </c>
      <c r="AW65">
        <f>VLOOKUP(Table29[[#This Row],[Shortname]], Comp[], 28, FALSE)</f>
        <v>0</v>
      </c>
      <c r="AX65">
        <f>VLOOKUP(Table29[[#This Row],[Shortname]], Comp[], 29, FALSE)</f>
        <v>0</v>
      </c>
      <c r="AY65">
        <f>VLOOKUP(Table29[[#This Row],[Shortname]], Comp[], 30, FALSE)</f>
        <v>0</v>
      </c>
      <c r="AZ65">
        <f>VLOOKUP(Table29[[#This Row],[Shortname]], Comp[], 31, FALSE)</f>
        <v>0</v>
      </c>
    </row>
    <row r="66" spans="1:52" x14ac:dyDescent="0.3">
      <c r="A66" t="s">
        <v>371</v>
      </c>
      <c r="C66">
        <v>47</v>
      </c>
      <c r="D66" t="s">
        <v>172</v>
      </c>
      <c r="E66" t="s">
        <v>160</v>
      </c>
      <c r="F66" t="s">
        <v>372</v>
      </c>
      <c r="G66" t="s">
        <v>5340</v>
      </c>
      <c r="H66">
        <v>250</v>
      </c>
      <c r="I66">
        <v>1.7506000000000001E-8</v>
      </c>
      <c r="J66">
        <f>0.01/Table29[[#This Row],[Strain Rate (min) /s]]</f>
        <v>571232.72021021356</v>
      </c>
      <c r="K66">
        <f>LOG(Table29[[#This Row],[Time to 1% strain (s)]])</f>
        <v>5.7568130758685285</v>
      </c>
      <c r="L66">
        <v>850</v>
      </c>
      <c r="M66">
        <v>6.7</v>
      </c>
      <c r="P66" t="s">
        <v>7056</v>
      </c>
      <c r="Q66">
        <v>1300</v>
      </c>
      <c r="R66">
        <v>12</v>
      </c>
      <c r="S66">
        <v>900</v>
      </c>
      <c r="T66">
        <v>200</v>
      </c>
      <c r="W66">
        <v>1</v>
      </c>
      <c r="X66">
        <v>10</v>
      </c>
      <c r="Y66">
        <v>78</v>
      </c>
      <c r="AA66">
        <f>VLOOKUP(Table29[[#This Row],[Shortname]], Comp[], 6, FALSE)</f>
        <v>47</v>
      </c>
      <c r="AB66" s="14">
        <f>VLOOKUP(Table29[[#This Row],[Shortname]], Comp[], 7, FALSE)</f>
        <v>82.5</v>
      </c>
      <c r="AC66">
        <f>VLOOKUP(Table29[[#This Row],[Shortname]], Comp[], 8, FALSE)</f>
        <v>0</v>
      </c>
      <c r="AD66">
        <f>VLOOKUP(Table29[[#This Row],[Shortname]], Comp[], 9, FALSE)</f>
        <v>8</v>
      </c>
      <c r="AE66">
        <f>VLOOKUP(Table29[[#This Row],[Shortname]], Comp[], 10, FALSE)</f>
        <v>0</v>
      </c>
      <c r="AF66">
        <f>VLOOKUP(Table29[[#This Row],[Shortname]], Comp[], 11, FALSE)</f>
        <v>6.7</v>
      </c>
      <c r="AG66">
        <f>VLOOKUP(Table29[[#This Row],[Shortname]], Comp[],12, FALSE)</f>
        <v>0</v>
      </c>
      <c r="AH66">
        <f>VLOOKUP(Table29[[#This Row],[Shortname]], Comp[], 13, FALSE)</f>
        <v>1.4</v>
      </c>
      <c r="AI66">
        <f>VLOOKUP(Table29[[#This Row],[Shortname]], Comp[], 14, FALSE)</f>
        <v>1.4</v>
      </c>
      <c r="AJ66">
        <f>VLOOKUP(Table29[[#This Row],[Shortname]], Comp[], 15, FALSE)</f>
        <v>0</v>
      </c>
      <c r="AK66">
        <f>VLOOKUP(Table29[[#This Row],[Shortname]], Comp[], 16, FALSE)</f>
        <v>0</v>
      </c>
      <c r="AL66">
        <f>VLOOKUP(Table29[[#This Row],[Shortname]], Comp[], 17, FALSE)</f>
        <v>0</v>
      </c>
      <c r="AM66">
        <f>VLOOKUP(Table29[[#This Row],[Shortname]], Comp[], 18, FALSE)</f>
        <v>0</v>
      </c>
      <c r="AN66">
        <f>VLOOKUP(Table29[[#This Row],[Shortname]], Comp[], 19, FALSE)</f>
        <v>0</v>
      </c>
      <c r="AO66">
        <f>VLOOKUP(Table29[[#This Row],[Shortname]], Comp[], 20, FALSE)</f>
        <v>0</v>
      </c>
      <c r="AP66">
        <f>VLOOKUP(Table29[[#This Row],[Shortname]], Comp[], 21, FALSE)</f>
        <v>0</v>
      </c>
      <c r="AQ66">
        <f>VLOOKUP(Table29[[#This Row],[Shortname]], Comp[], 22, FALSE)</f>
        <v>0</v>
      </c>
      <c r="AR66">
        <f>VLOOKUP(Table29[[#This Row],[Shortname]], Comp[], 23, FALSE)</f>
        <v>0</v>
      </c>
      <c r="AS66">
        <f>VLOOKUP(Table29[[#This Row],[Shortname]], Comp[], 24, FALSE)</f>
        <v>0</v>
      </c>
      <c r="AT66">
        <f>VLOOKUP(Table29[[#This Row],[Shortname]], Comp[], 25, FALSE)</f>
        <v>0</v>
      </c>
      <c r="AU66">
        <f>VLOOKUP(Table29[[#This Row],[Shortname]], Comp[], 26, FALSE)</f>
        <v>0</v>
      </c>
      <c r="AV66">
        <f>VLOOKUP(Table29[[#This Row],[Shortname]], Comp[], 27, FALSE)</f>
        <v>0</v>
      </c>
      <c r="AW66">
        <f>VLOOKUP(Table29[[#This Row],[Shortname]], Comp[], 28, FALSE)</f>
        <v>0</v>
      </c>
      <c r="AX66">
        <f>VLOOKUP(Table29[[#This Row],[Shortname]], Comp[], 29, FALSE)</f>
        <v>0</v>
      </c>
      <c r="AY66">
        <f>VLOOKUP(Table29[[#This Row],[Shortname]], Comp[], 30, FALSE)</f>
        <v>0</v>
      </c>
      <c r="AZ66">
        <f>VLOOKUP(Table29[[#This Row],[Shortname]], Comp[], 31, FALSE)</f>
        <v>0</v>
      </c>
    </row>
    <row r="67" spans="1:52" x14ac:dyDescent="0.3">
      <c r="A67" t="s">
        <v>371</v>
      </c>
      <c r="C67">
        <v>47</v>
      </c>
      <c r="D67" t="s">
        <v>172</v>
      </c>
      <c r="E67" t="s">
        <v>160</v>
      </c>
      <c r="F67" t="s">
        <v>372</v>
      </c>
      <c r="G67" t="s">
        <v>5340</v>
      </c>
      <c r="H67">
        <v>300</v>
      </c>
      <c r="I67">
        <v>5.1072000000000002E-8</v>
      </c>
      <c r="J67">
        <f>0.01/Table29[[#This Row],[Strain Rate (min) /s]]</f>
        <v>195802.00501253133</v>
      </c>
      <c r="K67">
        <f>LOG(Table29[[#This Row],[Time to 1% strain (s)]])</f>
        <v>5.2918171346653837</v>
      </c>
      <c r="L67">
        <v>850</v>
      </c>
      <c r="M67">
        <v>6.7</v>
      </c>
      <c r="P67" t="s">
        <v>7056</v>
      </c>
      <c r="Q67">
        <v>1300</v>
      </c>
      <c r="R67">
        <v>12</v>
      </c>
      <c r="S67">
        <v>900</v>
      </c>
      <c r="T67">
        <v>200</v>
      </c>
      <c r="W67">
        <v>1</v>
      </c>
      <c r="X67">
        <v>10</v>
      </c>
      <c r="Y67">
        <v>78</v>
      </c>
      <c r="AA67">
        <f>VLOOKUP(Table29[[#This Row],[Shortname]], Comp[], 6, FALSE)</f>
        <v>47</v>
      </c>
      <c r="AB67" s="14">
        <f>VLOOKUP(Table29[[#This Row],[Shortname]], Comp[], 7, FALSE)</f>
        <v>82.5</v>
      </c>
      <c r="AC67">
        <f>VLOOKUP(Table29[[#This Row],[Shortname]], Comp[], 8, FALSE)</f>
        <v>0</v>
      </c>
      <c r="AD67">
        <f>VLOOKUP(Table29[[#This Row],[Shortname]], Comp[], 9, FALSE)</f>
        <v>8</v>
      </c>
      <c r="AE67">
        <f>VLOOKUP(Table29[[#This Row],[Shortname]], Comp[], 10, FALSE)</f>
        <v>0</v>
      </c>
      <c r="AF67">
        <f>VLOOKUP(Table29[[#This Row],[Shortname]], Comp[], 11, FALSE)</f>
        <v>6.7</v>
      </c>
      <c r="AG67">
        <f>VLOOKUP(Table29[[#This Row],[Shortname]], Comp[],12, FALSE)</f>
        <v>0</v>
      </c>
      <c r="AH67">
        <f>VLOOKUP(Table29[[#This Row],[Shortname]], Comp[], 13, FALSE)</f>
        <v>1.4</v>
      </c>
      <c r="AI67">
        <f>VLOOKUP(Table29[[#This Row],[Shortname]], Comp[], 14, FALSE)</f>
        <v>1.4</v>
      </c>
      <c r="AJ67">
        <f>VLOOKUP(Table29[[#This Row],[Shortname]], Comp[], 15, FALSE)</f>
        <v>0</v>
      </c>
      <c r="AK67">
        <f>VLOOKUP(Table29[[#This Row],[Shortname]], Comp[], 16, FALSE)</f>
        <v>0</v>
      </c>
      <c r="AL67">
        <f>VLOOKUP(Table29[[#This Row],[Shortname]], Comp[], 17, FALSE)</f>
        <v>0</v>
      </c>
      <c r="AM67">
        <f>VLOOKUP(Table29[[#This Row],[Shortname]], Comp[], 18, FALSE)</f>
        <v>0</v>
      </c>
      <c r="AN67">
        <f>VLOOKUP(Table29[[#This Row],[Shortname]], Comp[], 19, FALSE)</f>
        <v>0</v>
      </c>
      <c r="AO67">
        <f>VLOOKUP(Table29[[#This Row],[Shortname]], Comp[], 20, FALSE)</f>
        <v>0</v>
      </c>
      <c r="AP67">
        <f>VLOOKUP(Table29[[#This Row],[Shortname]], Comp[], 21, FALSE)</f>
        <v>0</v>
      </c>
      <c r="AQ67">
        <f>VLOOKUP(Table29[[#This Row],[Shortname]], Comp[], 22, FALSE)</f>
        <v>0</v>
      </c>
      <c r="AR67">
        <f>VLOOKUP(Table29[[#This Row],[Shortname]], Comp[], 23, FALSE)</f>
        <v>0</v>
      </c>
      <c r="AS67">
        <f>VLOOKUP(Table29[[#This Row],[Shortname]], Comp[], 24, FALSE)</f>
        <v>0</v>
      </c>
      <c r="AT67">
        <f>VLOOKUP(Table29[[#This Row],[Shortname]], Comp[], 25, FALSE)</f>
        <v>0</v>
      </c>
      <c r="AU67">
        <f>VLOOKUP(Table29[[#This Row],[Shortname]], Comp[], 26, FALSE)</f>
        <v>0</v>
      </c>
      <c r="AV67">
        <f>VLOOKUP(Table29[[#This Row],[Shortname]], Comp[], 27, FALSE)</f>
        <v>0</v>
      </c>
      <c r="AW67">
        <f>VLOOKUP(Table29[[#This Row],[Shortname]], Comp[], 28, FALSE)</f>
        <v>0</v>
      </c>
      <c r="AX67">
        <f>VLOOKUP(Table29[[#This Row],[Shortname]], Comp[], 29, FALSE)</f>
        <v>0</v>
      </c>
      <c r="AY67">
        <f>VLOOKUP(Table29[[#This Row],[Shortname]], Comp[], 30, FALSE)</f>
        <v>0</v>
      </c>
      <c r="AZ67">
        <f>VLOOKUP(Table29[[#This Row],[Shortname]], Comp[], 31, FALSE)</f>
        <v>0</v>
      </c>
    </row>
    <row r="68" spans="1:52" x14ac:dyDescent="0.3">
      <c r="A68" t="s">
        <v>371</v>
      </c>
      <c r="C68">
        <v>47</v>
      </c>
      <c r="D68" t="s">
        <v>172</v>
      </c>
      <c r="E68" t="s">
        <v>160</v>
      </c>
      <c r="F68" t="s">
        <v>372</v>
      </c>
      <c r="G68" t="s">
        <v>5340</v>
      </c>
      <c r="H68">
        <v>350</v>
      </c>
      <c r="I68">
        <v>1.7363E-7</v>
      </c>
      <c r="J68">
        <f>0.01/Table29[[#This Row],[Strain Rate (min) /s]]</f>
        <v>57593.73380176237</v>
      </c>
      <c r="K68">
        <f>LOG(Table29[[#This Row],[Time to 1% strain (s)]])</f>
        <v>4.7603752347538624</v>
      </c>
      <c r="L68">
        <v>850</v>
      </c>
      <c r="M68">
        <v>6.7</v>
      </c>
      <c r="P68" t="s">
        <v>7056</v>
      </c>
      <c r="Q68">
        <v>1300</v>
      </c>
      <c r="R68">
        <v>12</v>
      </c>
      <c r="S68">
        <v>900</v>
      </c>
      <c r="T68">
        <v>200</v>
      </c>
      <c r="W68">
        <v>1</v>
      </c>
      <c r="X68">
        <v>10</v>
      </c>
      <c r="Y68">
        <v>78</v>
      </c>
      <c r="AA68">
        <f>VLOOKUP(Table29[[#This Row],[Shortname]], Comp[], 6, FALSE)</f>
        <v>47</v>
      </c>
      <c r="AB68" s="14">
        <f>VLOOKUP(Table29[[#This Row],[Shortname]], Comp[], 7, FALSE)</f>
        <v>82.5</v>
      </c>
      <c r="AC68">
        <f>VLOOKUP(Table29[[#This Row],[Shortname]], Comp[], 8, FALSE)</f>
        <v>0</v>
      </c>
      <c r="AD68">
        <f>VLOOKUP(Table29[[#This Row],[Shortname]], Comp[], 9, FALSE)</f>
        <v>8</v>
      </c>
      <c r="AE68">
        <f>VLOOKUP(Table29[[#This Row],[Shortname]], Comp[], 10, FALSE)</f>
        <v>0</v>
      </c>
      <c r="AF68">
        <f>VLOOKUP(Table29[[#This Row],[Shortname]], Comp[], 11, FALSE)</f>
        <v>6.7</v>
      </c>
      <c r="AG68">
        <f>VLOOKUP(Table29[[#This Row],[Shortname]], Comp[],12, FALSE)</f>
        <v>0</v>
      </c>
      <c r="AH68">
        <f>VLOOKUP(Table29[[#This Row],[Shortname]], Comp[], 13, FALSE)</f>
        <v>1.4</v>
      </c>
      <c r="AI68">
        <f>VLOOKUP(Table29[[#This Row],[Shortname]], Comp[], 14, FALSE)</f>
        <v>1.4</v>
      </c>
      <c r="AJ68">
        <f>VLOOKUP(Table29[[#This Row],[Shortname]], Comp[], 15, FALSE)</f>
        <v>0</v>
      </c>
      <c r="AK68">
        <f>VLOOKUP(Table29[[#This Row],[Shortname]], Comp[], 16, FALSE)</f>
        <v>0</v>
      </c>
      <c r="AL68">
        <f>VLOOKUP(Table29[[#This Row],[Shortname]], Comp[], 17, FALSE)</f>
        <v>0</v>
      </c>
      <c r="AM68">
        <f>VLOOKUP(Table29[[#This Row],[Shortname]], Comp[], 18, FALSE)</f>
        <v>0</v>
      </c>
      <c r="AN68">
        <f>VLOOKUP(Table29[[#This Row],[Shortname]], Comp[], 19, FALSE)</f>
        <v>0</v>
      </c>
      <c r="AO68">
        <f>VLOOKUP(Table29[[#This Row],[Shortname]], Comp[], 20, FALSE)</f>
        <v>0</v>
      </c>
      <c r="AP68">
        <f>VLOOKUP(Table29[[#This Row],[Shortname]], Comp[], 21, FALSE)</f>
        <v>0</v>
      </c>
      <c r="AQ68">
        <f>VLOOKUP(Table29[[#This Row],[Shortname]], Comp[], 22, FALSE)</f>
        <v>0</v>
      </c>
      <c r="AR68">
        <f>VLOOKUP(Table29[[#This Row],[Shortname]], Comp[], 23, FALSE)</f>
        <v>0</v>
      </c>
      <c r="AS68">
        <f>VLOOKUP(Table29[[#This Row],[Shortname]], Comp[], 24, FALSE)</f>
        <v>0</v>
      </c>
      <c r="AT68">
        <f>VLOOKUP(Table29[[#This Row],[Shortname]], Comp[], 25, FALSE)</f>
        <v>0</v>
      </c>
      <c r="AU68">
        <f>VLOOKUP(Table29[[#This Row],[Shortname]], Comp[], 26, FALSE)</f>
        <v>0</v>
      </c>
      <c r="AV68">
        <f>VLOOKUP(Table29[[#This Row],[Shortname]], Comp[], 27, FALSE)</f>
        <v>0</v>
      </c>
      <c r="AW68">
        <f>VLOOKUP(Table29[[#This Row],[Shortname]], Comp[], 28, FALSE)</f>
        <v>0</v>
      </c>
      <c r="AX68">
        <f>VLOOKUP(Table29[[#This Row],[Shortname]], Comp[], 29, FALSE)</f>
        <v>0</v>
      </c>
      <c r="AY68">
        <f>VLOOKUP(Table29[[#This Row],[Shortname]], Comp[], 30, FALSE)</f>
        <v>0</v>
      </c>
      <c r="AZ68">
        <f>VLOOKUP(Table29[[#This Row],[Shortname]], Comp[], 31, FALSE)</f>
        <v>0</v>
      </c>
    </row>
    <row r="69" spans="1:52" x14ac:dyDescent="0.3">
      <c r="A69" t="s">
        <v>371</v>
      </c>
      <c r="C69">
        <v>47</v>
      </c>
      <c r="D69" t="s">
        <v>172</v>
      </c>
      <c r="E69" t="s">
        <v>160</v>
      </c>
      <c r="F69" t="s">
        <v>372</v>
      </c>
      <c r="G69" t="s">
        <v>5340</v>
      </c>
      <c r="H69">
        <v>400</v>
      </c>
      <c r="I69">
        <v>3.6498999999999999E-7</v>
      </c>
      <c r="J69">
        <f>0.01/Table29[[#This Row],[Strain Rate (min) /s]]</f>
        <v>27398.01090440834</v>
      </c>
      <c r="K69">
        <f>LOG(Table29[[#This Row],[Time to 1% strain (s)]])</f>
        <v>4.4377190341854771</v>
      </c>
      <c r="L69">
        <v>850</v>
      </c>
      <c r="M69">
        <v>6.7</v>
      </c>
      <c r="P69" t="s">
        <v>7056</v>
      </c>
      <c r="Q69">
        <v>1300</v>
      </c>
      <c r="R69">
        <v>12</v>
      </c>
      <c r="S69">
        <v>900</v>
      </c>
      <c r="T69">
        <v>200</v>
      </c>
      <c r="W69">
        <v>1</v>
      </c>
      <c r="X69">
        <v>10</v>
      </c>
      <c r="Y69">
        <v>78</v>
      </c>
      <c r="AA69">
        <f>VLOOKUP(Table29[[#This Row],[Shortname]], Comp[], 6, FALSE)</f>
        <v>47</v>
      </c>
      <c r="AB69" s="14">
        <f>VLOOKUP(Table29[[#This Row],[Shortname]], Comp[], 7, FALSE)</f>
        <v>82.5</v>
      </c>
      <c r="AC69">
        <f>VLOOKUP(Table29[[#This Row],[Shortname]], Comp[], 8, FALSE)</f>
        <v>0</v>
      </c>
      <c r="AD69">
        <f>VLOOKUP(Table29[[#This Row],[Shortname]], Comp[], 9, FALSE)</f>
        <v>8</v>
      </c>
      <c r="AE69">
        <f>VLOOKUP(Table29[[#This Row],[Shortname]], Comp[], 10, FALSE)</f>
        <v>0</v>
      </c>
      <c r="AF69">
        <f>VLOOKUP(Table29[[#This Row],[Shortname]], Comp[], 11, FALSE)</f>
        <v>6.7</v>
      </c>
      <c r="AG69">
        <f>VLOOKUP(Table29[[#This Row],[Shortname]], Comp[],12, FALSE)</f>
        <v>0</v>
      </c>
      <c r="AH69">
        <f>VLOOKUP(Table29[[#This Row],[Shortname]], Comp[], 13, FALSE)</f>
        <v>1.4</v>
      </c>
      <c r="AI69">
        <f>VLOOKUP(Table29[[#This Row],[Shortname]], Comp[], 14, FALSE)</f>
        <v>1.4</v>
      </c>
      <c r="AJ69">
        <f>VLOOKUP(Table29[[#This Row],[Shortname]], Comp[], 15, FALSE)</f>
        <v>0</v>
      </c>
      <c r="AK69">
        <f>VLOOKUP(Table29[[#This Row],[Shortname]], Comp[], 16, FALSE)</f>
        <v>0</v>
      </c>
      <c r="AL69">
        <f>VLOOKUP(Table29[[#This Row],[Shortname]], Comp[], 17, FALSE)</f>
        <v>0</v>
      </c>
      <c r="AM69">
        <f>VLOOKUP(Table29[[#This Row],[Shortname]], Comp[], 18, FALSE)</f>
        <v>0</v>
      </c>
      <c r="AN69">
        <f>VLOOKUP(Table29[[#This Row],[Shortname]], Comp[], 19, FALSE)</f>
        <v>0</v>
      </c>
      <c r="AO69">
        <f>VLOOKUP(Table29[[#This Row],[Shortname]], Comp[], 20, FALSE)</f>
        <v>0</v>
      </c>
      <c r="AP69">
        <f>VLOOKUP(Table29[[#This Row],[Shortname]], Comp[], 21, FALSE)</f>
        <v>0</v>
      </c>
      <c r="AQ69">
        <f>VLOOKUP(Table29[[#This Row],[Shortname]], Comp[], 22, FALSE)</f>
        <v>0</v>
      </c>
      <c r="AR69">
        <f>VLOOKUP(Table29[[#This Row],[Shortname]], Comp[], 23, FALSE)</f>
        <v>0</v>
      </c>
      <c r="AS69">
        <f>VLOOKUP(Table29[[#This Row],[Shortname]], Comp[], 24, FALSE)</f>
        <v>0</v>
      </c>
      <c r="AT69">
        <f>VLOOKUP(Table29[[#This Row],[Shortname]], Comp[], 25, FALSE)</f>
        <v>0</v>
      </c>
      <c r="AU69">
        <f>VLOOKUP(Table29[[#This Row],[Shortname]], Comp[], 26, FALSE)</f>
        <v>0</v>
      </c>
      <c r="AV69">
        <f>VLOOKUP(Table29[[#This Row],[Shortname]], Comp[], 27, FALSE)</f>
        <v>0</v>
      </c>
      <c r="AW69">
        <f>VLOOKUP(Table29[[#This Row],[Shortname]], Comp[], 28, FALSE)</f>
        <v>0</v>
      </c>
      <c r="AX69">
        <f>VLOOKUP(Table29[[#This Row],[Shortname]], Comp[], 29, FALSE)</f>
        <v>0</v>
      </c>
      <c r="AY69">
        <f>VLOOKUP(Table29[[#This Row],[Shortname]], Comp[], 30, FALSE)</f>
        <v>0</v>
      </c>
      <c r="AZ69">
        <f>VLOOKUP(Table29[[#This Row],[Shortname]], Comp[], 31, FALSE)</f>
        <v>0</v>
      </c>
    </row>
    <row r="70" spans="1:52" x14ac:dyDescent="0.3">
      <c r="A70" t="s">
        <v>371</v>
      </c>
      <c r="B70">
        <v>77</v>
      </c>
      <c r="C70">
        <v>47</v>
      </c>
      <c r="D70" t="s">
        <v>172</v>
      </c>
      <c r="E70" t="s">
        <v>160</v>
      </c>
      <c r="F70" t="s">
        <v>372</v>
      </c>
      <c r="G70" t="s">
        <v>380</v>
      </c>
      <c r="H70">
        <v>450.07</v>
      </c>
      <c r="I70">
        <v>8.3732999999999999E-7</v>
      </c>
      <c r="J70">
        <f>0.01/Table29[[#This Row],[Strain Rate (min) /s]]</f>
        <v>11942.722701921584</v>
      </c>
      <c r="K70">
        <f>LOG(Table29[[#This Row],[Time to 1% strain (s)]])</f>
        <v>4.0771033485372525</v>
      </c>
      <c r="L70">
        <v>850</v>
      </c>
      <c r="M70">
        <v>6.7</v>
      </c>
      <c r="P70" t="s">
        <v>7056</v>
      </c>
      <c r="Q70">
        <v>1300</v>
      </c>
      <c r="R70">
        <v>12</v>
      </c>
      <c r="S70">
        <v>900</v>
      </c>
      <c r="T70">
        <v>200</v>
      </c>
      <c r="W70">
        <v>1</v>
      </c>
      <c r="X70">
        <v>10</v>
      </c>
      <c r="Y70">
        <v>78</v>
      </c>
      <c r="AA70">
        <f>VLOOKUP(Table29[[#This Row],[Shortname]], Comp[], 6, FALSE)</f>
        <v>47</v>
      </c>
      <c r="AB70" s="14">
        <f>VLOOKUP(Table29[[#This Row],[Shortname]], Comp[], 7, FALSE)</f>
        <v>82.5</v>
      </c>
      <c r="AC70">
        <f>VLOOKUP(Table29[[#This Row],[Shortname]], Comp[], 8, FALSE)</f>
        <v>0</v>
      </c>
      <c r="AD70">
        <f>VLOOKUP(Table29[[#This Row],[Shortname]], Comp[], 9, FALSE)</f>
        <v>8</v>
      </c>
      <c r="AE70">
        <f>VLOOKUP(Table29[[#This Row],[Shortname]], Comp[], 10, FALSE)</f>
        <v>0</v>
      </c>
      <c r="AF70">
        <f>VLOOKUP(Table29[[#This Row],[Shortname]], Comp[], 11, FALSE)</f>
        <v>6.7</v>
      </c>
      <c r="AG70">
        <f>VLOOKUP(Table29[[#This Row],[Shortname]], Comp[],12, FALSE)</f>
        <v>0</v>
      </c>
      <c r="AH70">
        <f>VLOOKUP(Table29[[#This Row],[Shortname]], Comp[], 13, FALSE)</f>
        <v>1.4</v>
      </c>
      <c r="AI70">
        <f>VLOOKUP(Table29[[#This Row],[Shortname]], Comp[], 14, FALSE)</f>
        <v>1.4</v>
      </c>
      <c r="AJ70">
        <f>VLOOKUP(Table29[[#This Row],[Shortname]], Comp[], 15, FALSE)</f>
        <v>0</v>
      </c>
      <c r="AK70">
        <f>VLOOKUP(Table29[[#This Row],[Shortname]], Comp[], 16, FALSE)</f>
        <v>0</v>
      </c>
      <c r="AL70">
        <f>VLOOKUP(Table29[[#This Row],[Shortname]], Comp[], 17, FALSE)</f>
        <v>0</v>
      </c>
      <c r="AM70">
        <f>VLOOKUP(Table29[[#This Row],[Shortname]], Comp[], 18, FALSE)</f>
        <v>0</v>
      </c>
      <c r="AN70">
        <f>VLOOKUP(Table29[[#This Row],[Shortname]], Comp[], 19, FALSE)</f>
        <v>0</v>
      </c>
      <c r="AO70">
        <f>VLOOKUP(Table29[[#This Row],[Shortname]], Comp[], 20, FALSE)</f>
        <v>0</v>
      </c>
      <c r="AP70">
        <f>VLOOKUP(Table29[[#This Row],[Shortname]], Comp[], 21, FALSE)</f>
        <v>0</v>
      </c>
      <c r="AQ70">
        <f>VLOOKUP(Table29[[#This Row],[Shortname]], Comp[], 22, FALSE)</f>
        <v>0</v>
      </c>
      <c r="AR70">
        <f>VLOOKUP(Table29[[#This Row],[Shortname]], Comp[], 23, FALSE)</f>
        <v>0</v>
      </c>
      <c r="AS70">
        <f>VLOOKUP(Table29[[#This Row],[Shortname]], Comp[], 24, FALSE)</f>
        <v>0</v>
      </c>
      <c r="AT70">
        <f>VLOOKUP(Table29[[#This Row],[Shortname]], Comp[], 25, FALSE)</f>
        <v>0</v>
      </c>
      <c r="AU70">
        <f>VLOOKUP(Table29[[#This Row],[Shortname]], Comp[], 26, FALSE)</f>
        <v>0</v>
      </c>
      <c r="AV70">
        <f>VLOOKUP(Table29[[#This Row],[Shortname]], Comp[], 27, FALSE)</f>
        <v>0</v>
      </c>
      <c r="AW70">
        <f>VLOOKUP(Table29[[#This Row],[Shortname]], Comp[], 28, FALSE)</f>
        <v>0</v>
      </c>
      <c r="AX70">
        <f>VLOOKUP(Table29[[#This Row],[Shortname]], Comp[], 29, FALSE)</f>
        <v>0</v>
      </c>
      <c r="AY70">
        <f>VLOOKUP(Table29[[#This Row],[Shortname]], Comp[], 30, FALSE)</f>
        <v>0</v>
      </c>
      <c r="AZ70">
        <f>VLOOKUP(Table29[[#This Row],[Shortname]], Comp[], 31, FALSE)</f>
        <v>0</v>
      </c>
    </row>
    <row r="71" spans="1:52" x14ac:dyDescent="0.3">
      <c r="A71" t="s">
        <v>385</v>
      </c>
      <c r="B71">
        <v>25</v>
      </c>
      <c r="C71">
        <v>50</v>
      </c>
      <c r="D71" t="s">
        <v>386</v>
      </c>
      <c r="E71" t="s">
        <v>95</v>
      </c>
      <c r="F71" t="s">
        <v>387</v>
      </c>
      <c r="G71" t="s">
        <v>5324</v>
      </c>
      <c r="H71">
        <v>80</v>
      </c>
      <c r="I71">
        <v>6.1796000000000006E-8</v>
      </c>
      <c r="J71">
        <f>0.01/Table29[[#This Row],[Strain Rate (min) /s]]</f>
        <v>161822.77170043366</v>
      </c>
      <c r="K71">
        <f>LOG(Table29[[#This Row],[Time to 1% strain (s)]])</f>
        <v>5.2090396354961257</v>
      </c>
      <c r="L71">
        <v>950</v>
      </c>
      <c r="M71">
        <v>3.9</v>
      </c>
      <c r="P71" t="s">
        <v>7057</v>
      </c>
      <c r="Q71">
        <v>1300</v>
      </c>
      <c r="R71">
        <v>12</v>
      </c>
      <c r="S71">
        <v>900</v>
      </c>
      <c r="T71">
        <v>200</v>
      </c>
      <c r="W71">
        <v>1</v>
      </c>
      <c r="X71">
        <v>10</v>
      </c>
      <c r="Y71">
        <v>72</v>
      </c>
      <c r="AA71">
        <f>VLOOKUP(Table29[[#This Row],[Shortname]], Comp[], 6, FALSE)</f>
        <v>50</v>
      </c>
      <c r="AB71" s="14">
        <f>VLOOKUP(Table29[[#This Row],[Shortname]], Comp[], 7, FALSE)</f>
        <v>81.259999999999991</v>
      </c>
      <c r="AC71">
        <f>VLOOKUP(Table29[[#This Row],[Shortname]], Comp[], 8, FALSE)</f>
        <v>0</v>
      </c>
      <c r="AD71">
        <f>VLOOKUP(Table29[[#This Row],[Shortname]], Comp[], 9, FALSE)</f>
        <v>8.1999999999999993</v>
      </c>
      <c r="AE71">
        <f>VLOOKUP(Table29[[#This Row],[Shortname]], Comp[], 10, FALSE)</f>
        <v>0</v>
      </c>
      <c r="AF71">
        <f>VLOOKUP(Table29[[#This Row],[Shortname]], Comp[], 11, FALSE)</f>
        <v>9.4</v>
      </c>
      <c r="AG71">
        <f>VLOOKUP(Table29[[#This Row],[Shortname]], Comp[],12, FALSE)</f>
        <v>0</v>
      </c>
      <c r="AH71">
        <f>VLOOKUP(Table29[[#This Row],[Shortname]], Comp[], 13, FALSE)</f>
        <v>0</v>
      </c>
      <c r="AI71">
        <f>VLOOKUP(Table29[[#This Row],[Shortname]], Comp[], 14, FALSE)</f>
        <v>0</v>
      </c>
      <c r="AJ71">
        <f>VLOOKUP(Table29[[#This Row],[Shortname]], Comp[], 15, FALSE)</f>
        <v>0</v>
      </c>
      <c r="AK71">
        <f>VLOOKUP(Table29[[#This Row],[Shortname]], Comp[], 16, FALSE)</f>
        <v>1.1000000000000001</v>
      </c>
      <c r="AL71">
        <f>VLOOKUP(Table29[[#This Row],[Shortname]], Comp[], 17, FALSE)</f>
        <v>0</v>
      </c>
      <c r="AM71">
        <f>VLOOKUP(Table29[[#This Row],[Shortname]], Comp[], 18, FALSE)</f>
        <v>0</v>
      </c>
      <c r="AN71">
        <f>VLOOKUP(Table29[[#This Row],[Shortname]], Comp[], 19, FALSE)</f>
        <v>0.04</v>
      </c>
      <c r="AO71">
        <f>VLOOKUP(Table29[[#This Row],[Shortname]], Comp[], 20, FALSE)</f>
        <v>0</v>
      </c>
      <c r="AP71">
        <f>VLOOKUP(Table29[[#This Row],[Shortname]], Comp[], 21, FALSE)</f>
        <v>0</v>
      </c>
      <c r="AQ71">
        <f>VLOOKUP(Table29[[#This Row],[Shortname]], Comp[], 22, FALSE)</f>
        <v>0</v>
      </c>
      <c r="AR71">
        <f>VLOOKUP(Table29[[#This Row],[Shortname]], Comp[], 23, FALSE)</f>
        <v>0</v>
      </c>
      <c r="AS71">
        <f>VLOOKUP(Table29[[#This Row],[Shortname]], Comp[], 24, FALSE)</f>
        <v>0</v>
      </c>
      <c r="AT71">
        <f>VLOOKUP(Table29[[#This Row],[Shortname]], Comp[], 25, FALSE)</f>
        <v>0</v>
      </c>
      <c r="AU71">
        <f>VLOOKUP(Table29[[#This Row],[Shortname]], Comp[], 26, FALSE)</f>
        <v>0</v>
      </c>
      <c r="AV71">
        <f>VLOOKUP(Table29[[#This Row],[Shortname]], Comp[], 27, FALSE)</f>
        <v>0</v>
      </c>
      <c r="AW71">
        <f>VLOOKUP(Table29[[#This Row],[Shortname]], Comp[], 28, FALSE)</f>
        <v>0</v>
      </c>
      <c r="AX71">
        <f>VLOOKUP(Table29[[#This Row],[Shortname]], Comp[], 29, FALSE)</f>
        <v>0</v>
      </c>
      <c r="AY71">
        <f>VLOOKUP(Table29[[#This Row],[Shortname]], Comp[], 30, FALSE)</f>
        <v>0</v>
      </c>
      <c r="AZ71">
        <f>VLOOKUP(Table29[[#This Row],[Shortname]], Comp[], 31, FALSE)</f>
        <v>0</v>
      </c>
    </row>
    <row r="72" spans="1:52" x14ac:dyDescent="0.3">
      <c r="A72" t="s">
        <v>385</v>
      </c>
      <c r="B72">
        <v>26</v>
      </c>
      <c r="C72">
        <v>50</v>
      </c>
      <c r="D72" t="s">
        <v>11</v>
      </c>
      <c r="E72" t="s">
        <v>95</v>
      </c>
      <c r="F72" t="s">
        <v>387</v>
      </c>
      <c r="G72" t="s">
        <v>5324</v>
      </c>
      <c r="H72">
        <v>110</v>
      </c>
      <c r="I72">
        <v>2.1544E-7</v>
      </c>
      <c r="J72">
        <f>0.01/Table29[[#This Row],[Strain Rate (min) /s]]</f>
        <v>46416.635722242849</v>
      </c>
      <c r="K72">
        <f>LOG(Table29[[#This Row],[Time to 1% strain (s)]])</f>
        <v>4.6666736595965457</v>
      </c>
      <c r="L72">
        <v>950</v>
      </c>
      <c r="M72">
        <v>3.9</v>
      </c>
      <c r="P72" t="s">
        <v>7057</v>
      </c>
      <c r="Q72">
        <v>1300</v>
      </c>
      <c r="R72">
        <v>12</v>
      </c>
      <c r="S72">
        <v>900</v>
      </c>
      <c r="T72">
        <v>200</v>
      </c>
      <c r="W72">
        <v>1</v>
      </c>
      <c r="X72">
        <v>10</v>
      </c>
      <c r="Y72">
        <v>72</v>
      </c>
      <c r="AA72">
        <f>VLOOKUP(Table29[[#This Row],[Shortname]], Comp[], 6, FALSE)</f>
        <v>50</v>
      </c>
      <c r="AB72" s="14">
        <f>VLOOKUP(Table29[[#This Row],[Shortname]], Comp[], 7, FALSE)</f>
        <v>81.259999999999991</v>
      </c>
      <c r="AC72">
        <f>VLOOKUP(Table29[[#This Row],[Shortname]], Comp[], 8, FALSE)</f>
        <v>0</v>
      </c>
      <c r="AD72">
        <f>VLOOKUP(Table29[[#This Row],[Shortname]], Comp[], 9, FALSE)</f>
        <v>8.1999999999999993</v>
      </c>
      <c r="AE72">
        <f>VLOOKUP(Table29[[#This Row],[Shortname]], Comp[], 10, FALSE)</f>
        <v>0</v>
      </c>
      <c r="AF72">
        <f>VLOOKUP(Table29[[#This Row],[Shortname]], Comp[], 11, FALSE)</f>
        <v>9.4</v>
      </c>
      <c r="AG72">
        <f>VLOOKUP(Table29[[#This Row],[Shortname]], Comp[],12, FALSE)</f>
        <v>0</v>
      </c>
      <c r="AH72">
        <f>VLOOKUP(Table29[[#This Row],[Shortname]], Comp[], 13, FALSE)</f>
        <v>0</v>
      </c>
      <c r="AI72">
        <f>VLOOKUP(Table29[[#This Row],[Shortname]], Comp[], 14, FALSE)</f>
        <v>0</v>
      </c>
      <c r="AJ72">
        <f>VLOOKUP(Table29[[#This Row],[Shortname]], Comp[], 15, FALSE)</f>
        <v>0</v>
      </c>
      <c r="AK72">
        <f>VLOOKUP(Table29[[#This Row],[Shortname]], Comp[], 16, FALSE)</f>
        <v>1.1000000000000001</v>
      </c>
      <c r="AL72">
        <f>VLOOKUP(Table29[[#This Row],[Shortname]], Comp[], 17, FALSE)</f>
        <v>0</v>
      </c>
      <c r="AM72">
        <f>VLOOKUP(Table29[[#This Row],[Shortname]], Comp[], 18, FALSE)</f>
        <v>0</v>
      </c>
      <c r="AN72">
        <f>VLOOKUP(Table29[[#This Row],[Shortname]], Comp[], 19, FALSE)</f>
        <v>0.04</v>
      </c>
      <c r="AO72">
        <f>VLOOKUP(Table29[[#This Row],[Shortname]], Comp[], 20, FALSE)</f>
        <v>0</v>
      </c>
      <c r="AP72">
        <f>VLOOKUP(Table29[[#This Row],[Shortname]], Comp[], 21, FALSE)</f>
        <v>0</v>
      </c>
      <c r="AQ72">
        <f>VLOOKUP(Table29[[#This Row],[Shortname]], Comp[], 22, FALSE)</f>
        <v>0</v>
      </c>
      <c r="AR72">
        <f>VLOOKUP(Table29[[#This Row],[Shortname]], Comp[], 23, FALSE)</f>
        <v>0</v>
      </c>
      <c r="AS72">
        <f>VLOOKUP(Table29[[#This Row],[Shortname]], Comp[], 24, FALSE)</f>
        <v>0</v>
      </c>
      <c r="AT72">
        <f>VLOOKUP(Table29[[#This Row],[Shortname]], Comp[], 25, FALSE)</f>
        <v>0</v>
      </c>
      <c r="AU72">
        <f>VLOOKUP(Table29[[#This Row],[Shortname]], Comp[], 26, FALSE)</f>
        <v>0</v>
      </c>
      <c r="AV72">
        <f>VLOOKUP(Table29[[#This Row],[Shortname]], Comp[], 27, FALSE)</f>
        <v>0</v>
      </c>
      <c r="AW72">
        <f>VLOOKUP(Table29[[#This Row],[Shortname]], Comp[], 28, FALSE)</f>
        <v>0</v>
      </c>
      <c r="AX72">
        <f>VLOOKUP(Table29[[#This Row],[Shortname]], Comp[], 29, FALSE)</f>
        <v>0</v>
      </c>
      <c r="AY72">
        <f>VLOOKUP(Table29[[#This Row],[Shortname]], Comp[], 30, FALSE)</f>
        <v>0</v>
      </c>
      <c r="AZ72">
        <f>VLOOKUP(Table29[[#This Row],[Shortname]], Comp[], 31, FALSE)</f>
        <v>0</v>
      </c>
    </row>
    <row r="73" spans="1:52" x14ac:dyDescent="0.3">
      <c r="A73" t="s">
        <v>385</v>
      </c>
      <c r="B73">
        <v>27</v>
      </c>
      <c r="C73">
        <v>50</v>
      </c>
      <c r="D73" t="s">
        <v>11</v>
      </c>
      <c r="E73" t="s">
        <v>95</v>
      </c>
      <c r="F73" t="s">
        <v>387</v>
      </c>
      <c r="G73" t="s">
        <v>5324</v>
      </c>
      <c r="H73">
        <v>150</v>
      </c>
      <c r="I73">
        <v>7.7090999999999996E-7</v>
      </c>
      <c r="J73">
        <f>0.01/Table29[[#This Row],[Strain Rate (min) /s]]</f>
        <v>12971.682816411774</v>
      </c>
      <c r="K73">
        <f>LOG(Table29[[#This Row],[Time to 1% strain (s)]])</f>
        <v>4.1129963207620941</v>
      </c>
      <c r="L73">
        <v>950</v>
      </c>
      <c r="M73">
        <v>3.9</v>
      </c>
      <c r="P73" t="s">
        <v>7057</v>
      </c>
      <c r="Q73">
        <v>1300</v>
      </c>
      <c r="R73">
        <v>12</v>
      </c>
      <c r="S73">
        <v>900</v>
      </c>
      <c r="T73">
        <v>200</v>
      </c>
      <c r="W73">
        <v>1</v>
      </c>
      <c r="X73">
        <v>10</v>
      </c>
      <c r="Y73">
        <v>72</v>
      </c>
      <c r="AA73">
        <f>VLOOKUP(Table29[[#This Row],[Shortname]], Comp[], 6, FALSE)</f>
        <v>50</v>
      </c>
      <c r="AB73" s="14">
        <f>VLOOKUP(Table29[[#This Row],[Shortname]], Comp[], 7, FALSE)</f>
        <v>81.259999999999991</v>
      </c>
      <c r="AC73">
        <f>VLOOKUP(Table29[[#This Row],[Shortname]], Comp[], 8, FALSE)</f>
        <v>0</v>
      </c>
      <c r="AD73">
        <f>VLOOKUP(Table29[[#This Row],[Shortname]], Comp[], 9, FALSE)</f>
        <v>8.1999999999999993</v>
      </c>
      <c r="AE73">
        <f>VLOOKUP(Table29[[#This Row],[Shortname]], Comp[], 10, FALSE)</f>
        <v>0</v>
      </c>
      <c r="AF73">
        <f>VLOOKUP(Table29[[#This Row],[Shortname]], Comp[], 11, FALSE)</f>
        <v>9.4</v>
      </c>
      <c r="AG73">
        <f>VLOOKUP(Table29[[#This Row],[Shortname]], Comp[],12, FALSE)</f>
        <v>0</v>
      </c>
      <c r="AH73">
        <f>VLOOKUP(Table29[[#This Row],[Shortname]], Comp[], 13, FALSE)</f>
        <v>0</v>
      </c>
      <c r="AI73">
        <f>VLOOKUP(Table29[[#This Row],[Shortname]], Comp[], 14, FALSE)</f>
        <v>0</v>
      </c>
      <c r="AJ73">
        <f>VLOOKUP(Table29[[#This Row],[Shortname]], Comp[], 15, FALSE)</f>
        <v>0</v>
      </c>
      <c r="AK73">
        <f>VLOOKUP(Table29[[#This Row],[Shortname]], Comp[], 16, FALSE)</f>
        <v>1.1000000000000001</v>
      </c>
      <c r="AL73">
        <f>VLOOKUP(Table29[[#This Row],[Shortname]], Comp[], 17, FALSE)</f>
        <v>0</v>
      </c>
      <c r="AM73">
        <f>VLOOKUP(Table29[[#This Row],[Shortname]], Comp[], 18, FALSE)</f>
        <v>0</v>
      </c>
      <c r="AN73">
        <f>VLOOKUP(Table29[[#This Row],[Shortname]], Comp[], 19, FALSE)</f>
        <v>0.04</v>
      </c>
      <c r="AO73">
        <f>VLOOKUP(Table29[[#This Row],[Shortname]], Comp[], 20, FALSE)</f>
        <v>0</v>
      </c>
      <c r="AP73">
        <f>VLOOKUP(Table29[[#This Row],[Shortname]], Comp[], 21, FALSE)</f>
        <v>0</v>
      </c>
      <c r="AQ73">
        <f>VLOOKUP(Table29[[#This Row],[Shortname]], Comp[], 22, FALSE)</f>
        <v>0</v>
      </c>
      <c r="AR73">
        <f>VLOOKUP(Table29[[#This Row],[Shortname]], Comp[], 23, FALSE)</f>
        <v>0</v>
      </c>
      <c r="AS73">
        <f>VLOOKUP(Table29[[#This Row],[Shortname]], Comp[], 24, FALSE)</f>
        <v>0</v>
      </c>
      <c r="AT73">
        <f>VLOOKUP(Table29[[#This Row],[Shortname]], Comp[], 25, FALSE)</f>
        <v>0</v>
      </c>
      <c r="AU73">
        <f>VLOOKUP(Table29[[#This Row],[Shortname]], Comp[], 26, FALSE)</f>
        <v>0</v>
      </c>
      <c r="AV73">
        <f>VLOOKUP(Table29[[#This Row],[Shortname]], Comp[], 27, FALSE)</f>
        <v>0</v>
      </c>
      <c r="AW73">
        <f>VLOOKUP(Table29[[#This Row],[Shortname]], Comp[], 28, FALSE)</f>
        <v>0</v>
      </c>
      <c r="AX73">
        <f>VLOOKUP(Table29[[#This Row],[Shortname]], Comp[], 29, FALSE)</f>
        <v>0</v>
      </c>
      <c r="AY73">
        <f>VLOOKUP(Table29[[#This Row],[Shortname]], Comp[], 30, FALSE)</f>
        <v>0</v>
      </c>
      <c r="AZ73">
        <f>VLOOKUP(Table29[[#This Row],[Shortname]], Comp[], 31, FALSE)</f>
        <v>0</v>
      </c>
    </row>
    <row r="74" spans="1:52" x14ac:dyDescent="0.3">
      <c r="A74" t="s">
        <v>385</v>
      </c>
      <c r="B74">
        <v>67</v>
      </c>
      <c r="C74">
        <v>50</v>
      </c>
      <c r="D74" t="s">
        <v>11</v>
      </c>
      <c r="E74" t="s">
        <v>95</v>
      </c>
      <c r="F74" t="s">
        <v>387</v>
      </c>
      <c r="G74" t="s">
        <v>365</v>
      </c>
      <c r="H74">
        <v>350</v>
      </c>
      <c r="I74">
        <v>2.0041000000000001E-8</v>
      </c>
      <c r="J74">
        <f>0.01/Table29[[#This Row],[Strain Rate (min) /s]]</f>
        <v>498977.09695124993</v>
      </c>
      <c r="K74">
        <f>LOG(Table29[[#This Row],[Time to 1% strain (s)]])</f>
        <v>5.6980806119641443</v>
      </c>
      <c r="L74">
        <v>850</v>
      </c>
      <c r="M74">
        <v>17.600000000000001</v>
      </c>
      <c r="P74" t="s">
        <v>7058</v>
      </c>
      <c r="Q74">
        <v>1300</v>
      </c>
      <c r="R74">
        <v>12</v>
      </c>
      <c r="S74">
        <v>900</v>
      </c>
      <c r="T74">
        <v>200</v>
      </c>
      <c r="W74">
        <v>1</v>
      </c>
      <c r="X74">
        <v>10</v>
      </c>
      <c r="Y74">
        <v>72</v>
      </c>
      <c r="AA74">
        <f>VLOOKUP(Table29[[#This Row],[Shortname]], Comp[], 6, FALSE)</f>
        <v>50</v>
      </c>
      <c r="AB74" s="14">
        <f>VLOOKUP(Table29[[#This Row],[Shortname]], Comp[], 7, FALSE)</f>
        <v>81.259999999999991</v>
      </c>
      <c r="AC74">
        <f>VLOOKUP(Table29[[#This Row],[Shortname]], Comp[], 8, FALSE)</f>
        <v>0</v>
      </c>
      <c r="AD74">
        <f>VLOOKUP(Table29[[#This Row],[Shortname]], Comp[], 9, FALSE)</f>
        <v>8.1999999999999993</v>
      </c>
      <c r="AE74">
        <f>VLOOKUP(Table29[[#This Row],[Shortname]], Comp[], 10, FALSE)</f>
        <v>0</v>
      </c>
      <c r="AF74">
        <f>VLOOKUP(Table29[[#This Row],[Shortname]], Comp[], 11, FALSE)</f>
        <v>9.4</v>
      </c>
      <c r="AG74">
        <f>VLOOKUP(Table29[[#This Row],[Shortname]], Comp[],12, FALSE)</f>
        <v>0</v>
      </c>
      <c r="AH74">
        <f>VLOOKUP(Table29[[#This Row],[Shortname]], Comp[], 13, FALSE)</f>
        <v>0</v>
      </c>
      <c r="AI74">
        <f>VLOOKUP(Table29[[#This Row],[Shortname]], Comp[], 14, FALSE)</f>
        <v>0</v>
      </c>
      <c r="AJ74">
        <f>VLOOKUP(Table29[[#This Row],[Shortname]], Comp[], 15, FALSE)</f>
        <v>0</v>
      </c>
      <c r="AK74">
        <f>VLOOKUP(Table29[[#This Row],[Shortname]], Comp[], 16, FALSE)</f>
        <v>1.1000000000000001</v>
      </c>
      <c r="AL74">
        <f>VLOOKUP(Table29[[#This Row],[Shortname]], Comp[], 17, FALSE)</f>
        <v>0</v>
      </c>
      <c r="AM74">
        <f>VLOOKUP(Table29[[#This Row],[Shortname]], Comp[], 18, FALSE)</f>
        <v>0</v>
      </c>
      <c r="AN74">
        <f>VLOOKUP(Table29[[#This Row],[Shortname]], Comp[], 19, FALSE)</f>
        <v>0.04</v>
      </c>
      <c r="AO74">
        <f>VLOOKUP(Table29[[#This Row],[Shortname]], Comp[], 20, FALSE)</f>
        <v>0</v>
      </c>
      <c r="AP74">
        <f>VLOOKUP(Table29[[#This Row],[Shortname]], Comp[], 21, FALSE)</f>
        <v>0</v>
      </c>
      <c r="AQ74">
        <f>VLOOKUP(Table29[[#This Row],[Shortname]], Comp[], 22, FALSE)</f>
        <v>0</v>
      </c>
      <c r="AR74">
        <f>VLOOKUP(Table29[[#This Row],[Shortname]], Comp[], 23, FALSE)</f>
        <v>0</v>
      </c>
      <c r="AS74">
        <f>VLOOKUP(Table29[[#This Row],[Shortname]], Comp[], 24, FALSE)</f>
        <v>0</v>
      </c>
      <c r="AT74">
        <f>VLOOKUP(Table29[[#This Row],[Shortname]], Comp[], 25, FALSE)</f>
        <v>0</v>
      </c>
      <c r="AU74">
        <f>VLOOKUP(Table29[[#This Row],[Shortname]], Comp[], 26, FALSE)</f>
        <v>0</v>
      </c>
      <c r="AV74">
        <f>VLOOKUP(Table29[[#This Row],[Shortname]], Comp[], 27, FALSE)</f>
        <v>0</v>
      </c>
      <c r="AW74">
        <f>VLOOKUP(Table29[[#This Row],[Shortname]], Comp[], 28, FALSE)</f>
        <v>0</v>
      </c>
      <c r="AX74">
        <f>VLOOKUP(Table29[[#This Row],[Shortname]], Comp[], 29, FALSE)</f>
        <v>0</v>
      </c>
      <c r="AY74">
        <f>VLOOKUP(Table29[[#This Row],[Shortname]], Comp[], 30, FALSE)</f>
        <v>0</v>
      </c>
      <c r="AZ74">
        <f>VLOOKUP(Table29[[#This Row],[Shortname]], Comp[], 31, FALSE)</f>
        <v>0</v>
      </c>
    </row>
    <row r="75" spans="1:52" x14ac:dyDescent="0.3">
      <c r="A75" t="s">
        <v>385</v>
      </c>
      <c r="B75">
        <v>68</v>
      </c>
      <c r="C75">
        <v>50</v>
      </c>
      <c r="D75" t="s">
        <v>11</v>
      </c>
      <c r="E75" t="s">
        <v>95</v>
      </c>
      <c r="F75" t="s">
        <v>387</v>
      </c>
      <c r="G75" t="s">
        <v>365</v>
      </c>
      <c r="H75">
        <v>400</v>
      </c>
      <c r="I75">
        <v>2.8724000000000002E-7</v>
      </c>
      <c r="J75">
        <f>0.01/Table29[[#This Row],[Strain Rate (min) /s]]</f>
        <v>34814.092744743073</v>
      </c>
      <c r="K75">
        <f>LOG(Table29[[#This Row],[Time to 1% strain (s)]])</f>
        <v>4.541755081944868</v>
      </c>
      <c r="L75">
        <v>850</v>
      </c>
      <c r="M75">
        <v>17.600000000000001</v>
      </c>
      <c r="P75" t="s">
        <v>7058</v>
      </c>
      <c r="Q75">
        <v>1300</v>
      </c>
      <c r="R75">
        <v>12</v>
      </c>
      <c r="S75">
        <v>900</v>
      </c>
      <c r="T75">
        <v>200</v>
      </c>
      <c r="W75">
        <v>1</v>
      </c>
      <c r="X75">
        <v>10</v>
      </c>
      <c r="Y75">
        <v>72</v>
      </c>
      <c r="AA75">
        <f>VLOOKUP(Table29[[#This Row],[Shortname]], Comp[], 6, FALSE)</f>
        <v>50</v>
      </c>
      <c r="AB75" s="14">
        <f>VLOOKUP(Table29[[#This Row],[Shortname]], Comp[], 7, FALSE)</f>
        <v>81.259999999999991</v>
      </c>
      <c r="AC75">
        <f>VLOOKUP(Table29[[#This Row],[Shortname]], Comp[], 8, FALSE)</f>
        <v>0</v>
      </c>
      <c r="AD75">
        <f>VLOOKUP(Table29[[#This Row],[Shortname]], Comp[], 9, FALSE)</f>
        <v>8.1999999999999993</v>
      </c>
      <c r="AE75">
        <f>VLOOKUP(Table29[[#This Row],[Shortname]], Comp[], 10, FALSE)</f>
        <v>0</v>
      </c>
      <c r="AF75">
        <f>VLOOKUP(Table29[[#This Row],[Shortname]], Comp[], 11, FALSE)</f>
        <v>9.4</v>
      </c>
      <c r="AG75">
        <f>VLOOKUP(Table29[[#This Row],[Shortname]], Comp[],12, FALSE)</f>
        <v>0</v>
      </c>
      <c r="AH75">
        <f>VLOOKUP(Table29[[#This Row],[Shortname]], Comp[], 13, FALSE)</f>
        <v>0</v>
      </c>
      <c r="AI75">
        <f>VLOOKUP(Table29[[#This Row],[Shortname]], Comp[], 14, FALSE)</f>
        <v>0</v>
      </c>
      <c r="AJ75">
        <f>VLOOKUP(Table29[[#This Row],[Shortname]], Comp[], 15, FALSE)</f>
        <v>0</v>
      </c>
      <c r="AK75">
        <f>VLOOKUP(Table29[[#This Row],[Shortname]], Comp[], 16, FALSE)</f>
        <v>1.1000000000000001</v>
      </c>
      <c r="AL75">
        <f>VLOOKUP(Table29[[#This Row],[Shortname]], Comp[], 17, FALSE)</f>
        <v>0</v>
      </c>
      <c r="AM75">
        <f>VLOOKUP(Table29[[#This Row],[Shortname]], Comp[], 18, FALSE)</f>
        <v>0</v>
      </c>
      <c r="AN75">
        <f>VLOOKUP(Table29[[#This Row],[Shortname]], Comp[], 19, FALSE)</f>
        <v>0.04</v>
      </c>
      <c r="AO75">
        <f>VLOOKUP(Table29[[#This Row],[Shortname]], Comp[], 20, FALSE)</f>
        <v>0</v>
      </c>
      <c r="AP75">
        <f>VLOOKUP(Table29[[#This Row],[Shortname]], Comp[], 21, FALSE)</f>
        <v>0</v>
      </c>
      <c r="AQ75">
        <f>VLOOKUP(Table29[[#This Row],[Shortname]], Comp[], 22, FALSE)</f>
        <v>0</v>
      </c>
      <c r="AR75">
        <f>VLOOKUP(Table29[[#This Row],[Shortname]], Comp[], 23, FALSE)</f>
        <v>0</v>
      </c>
      <c r="AS75">
        <f>VLOOKUP(Table29[[#This Row],[Shortname]], Comp[], 24, FALSE)</f>
        <v>0</v>
      </c>
      <c r="AT75">
        <f>VLOOKUP(Table29[[#This Row],[Shortname]], Comp[], 25, FALSE)</f>
        <v>0</v>
      </c>
      <c r="AU75">
        <f>VLOOKUP(Table29[[#This Row],[Shortname]], Comp[], 26, FALSE)</f>
        <v>0</v>
      </c>
      <c r="AV75">
        <f>VLOOKUP(Table29[[#This Row],[Shortname]], Comp[], 27, FALSE)</f>
        <v>0</v>
      </c>
      <c r="AW75">
        <f>VLOOKUP(Table29[[#This Row],[Shortname]], Comp[], 28, FALSE)</f>
        <v>0</v>
      </c>
      <c r="AX75">
        <f>VLOOKUP(Table29[[#This Row],[Shortname]], Comp[], 29, FALSE)</f>
        <v>0</v>
      </c>
      <c r="AY75">
        <f>VLOOKUP(Table29[[#This Row],[Shortname]], Comp[], 30, FALSE)</f>
        <v>0</v>
      </c>
      <c r="AZ75">
        <f>VLOOKUP(Table29[[#This Row],[Shortname]], Comp[], 31, FALSE)</f>
        <v>0</v>
      </c>
    </row>
    <row r="76" spans="1:52" x14ac:dyDescent="0.3">
      <c r="A76" t="s">
        <v>385</v>
      </c>
      <c r="B76">
        <v>69</v>
      </c>
      <c r="C76">
        <v>50</v>
      </c>
      <c r="D76" t="s">
        <v>11</v>
      </c>
      <c r="E76" t="s">
        <v>95</v>
      </c>
      <c r="F76" t="s">
        <v>387</v>
      </c>
      <c r="G76" t="s">
        <v>365</v>
      </c>
      <c r="H76">
        <v>450</v>
      </c>
      <c r="I76">
        <v>1.8704999999999999E-6</v>
      </c>
      <c r="J76">
        <f>0.01/Table29[[#This Row],[Strain Rate (min) /s]]</f>
        <v>5346.1641272387069</v>
      </c>
      <c r="K76">
        <f>LOG(Table29[[#This Row],[Time to 1% strain (s)]])</f>
        <v>3.7280422874657764</v>
      </c>
      <c r="L76">
        <v>850</v>
      </c>
      <c r="M76">
        <v>17.600000000000001</v>
      </c>
      <c r="P76" t="s">
        <v>7058</v>
      </c>
      <c r="Q76">
        <v>1300</v>
      </c>
      <c r="R76">
        <v>12</v>
      </c>
      <c r="S76">
        <v>900</v>
      </c>
      <c r="T76">
        <v>200</v>
      </c>
      <c r="W76">
        <v>1</v>
      </c>
      <c r="X76">
        <v>10</v>
      </c>
      <c r="Y76">
        <v>72</v>
      </c>
      <c r="AA76">
        <f>VLOOKUP(Table29[[#This Row],[Shortname]], Comp[], 6, FALSE)</f>
        <v>50</v>
      </c>
      <c r="AB76" s="14">
        <f>VLOOKUP(Table29[[#This Row],[Shortname]], Comp[], 7, FALSE)</f>
        <v>81.259999999999991</v>
      </c>
      <c r="AC76">
        <f>VLOOKUP(Table29[[#This Row],[Shortname]], Comp[], 8, FALSE)</f>
        <v>0</v>
      </c>
      <c r="AD76">
        <f>VLOOKUP(Table29[[#This Row],[Shortname]], Comp[], 9, FALSE)</f>
        <v>8.1999999999999993</v>
      </c>
      <c r="AE76">
        <f>VLOOKUP(Table29[[#This Row],[Shortname]], Comp[], 10, FALSE)</f>
        <v>0</v>
      </c>
      <c r="AF76">
        <f>VLOOKUP(Table29[[#This Row],[Shortname]], Comp[], 11, FALSE)</f>
        <v>9.4</v>
      </c>
      <c r="AG76">
        <f>VLOOKUP(Table29[[#This Row],[Shortname]], Comp[],12, FALSE)</f>
        <v>0</v>
      </c>
      <c r="AH76">
        <f>VLOOKUP(Table29[[#This Row],[Shortname]], Comp[], 13, FALSE)</f>
        <v>0</v>
      </c>
      <c r="AI76">
        <f>VLOOKUP(Table29[[#This Row],[Shortname]], Comp[], 14, FALSE)</f>
        <v>0</v>
      </c>
      <c r="AJ76">
        <f>VLOOKUP(Table29[[#This Row],[Shortname]], Comp[], 15, FALSE)</f>
        <v>0</v>
      </c>
      <c r="AK76">
        <f>VLOOKUP(Table29[[#This Row],[Shortname]], Comp[], 16, FALSE)</f>
        <v>1.1000000000000001</v>
      </c>
      <c r="AL76">
        <f>VLOOKUP(Table29[[#This Row],[Shortname]], Comp[], 17, FALSE)</f>
        <v>0</v>
      </c>
      <c r="AM76">
        <f>VLOOKUP(Table29[[#This Row],[Shortname]], Comp[], 18, FALSE)</f>
        <v>0</v>
      </c>
      <c r="AN76">
        <f>VLOOKUP(Table29[[#This Row],[Shortname]], Comp[], 19, FALSE)</f>
        <v>0.04</v>
      </c>
      <c r="AO76">
        <f>VLOOKUP(Table29[[#This Row],[Shortname]], Comp[], 20, FALSE)</f>
        <v>0</v>
      </c>
      <c r="AP76">
        <f>VLOOKUP(Table29[[#This Row],[Shortname]], Comp[], 21, FALSE)</f>
        <v>0</v>
      </c>
      <c r="AQ76">
        <f>VLOOKUP(Table29[[#This Row],[Shortname]], Comp[], 22, FALSE)</f>
        <v>0</v>
      </c>
      <c r="AR76">
        <f>VLOOKUP(Table29[[#This Row],[Shortname]], Comp[], 23, FALSE)</f>
        <v>0</v>
      </c>
      <c r="AS76">
        <f>VLOOKUP(Table29[[#This Row],[Shortname]], Comp[], 24, FALSE)</f>
        <v>0</v>
      </c>
      <c r="AT76">
        <f>VLOOKUP(Table29[[#This Row],[Shortname]], Comp[], 25, FALSE)</f>
        <v>0</v>
      </c>
      <c r="AU76">
        <f>VLOOKUP(Table29[[#This Row],[Shortname]], Comp[], 26, FALSE)</f>
        <v>0</v>
      </c>
      <c r="AV76">
        <f>VLOOKUP(Table29[[#This Row],[Shortname]], Comp[], 27, FALSE)</f>
        <v>0</v>
      </c>
      <c r="AW76">
        <f>VLOOKUP(Table29[[#This Row],[Shortname]], Comp[], 28, FALSE)</f>
        <v>0</v>
      </c>
      <c r="AX76">
        <f>VLOOKUP(Table29[[#This Row],[Shortname]], Comp[], 29, FALSE)</f>
        <v>0</v>
      </c>
      <c r="AY76">
        <f>VLOOKUP(Table29[[#This Row],[Shortname]], Comp[], 30, FALSE)</f>
        <v>0</v>
      </c>
      <c r="AZ76">
        <f>VLOOKUP(Table29[[#This Row],[Shortname]], Comp[], 31, FALSE)</f>
        <v>0</v>
      </c>
    </row>
    <row r="77" spans="1:52" x14ac:dyDescent="0.3">
      <c r="A77" t="s">
        <v>393</v>
      </c>
      <c r="C77">
        <v>51</v>
      </c>
      <c r="D77" t="s">
        <v>201</v>
      </c>
      <c r="E77" t="s">
        <v>160</v>
      </c>
      <c r="F77" t="s">
        <v>394</v>
      </c>
      <c r="G77" t="s">
        <v>365</v>
      </c>
      <c r="H77">
        <v>250</v>
      </c>
      <c r="I77">
        <v>1.4263E-7</v>
      </c>
      <c r="J77">
        <f>0.01/Table29[[#This Row],[Strain Rate (min) /s]]</f>
        <v>70111.477248825628</v>
      </c>
      <c r="K77">
        <f>LOG(Table29[[#This Row],[Time to 1% strain (s)]])</f>
        <v>4.8457891177930259</v>
      </c>
      <c r="L77">
        <v>850</v>
      </c>
      <c r="M77">
        <v>7.7</v>
      </c>
      <c r="P77" t="s">
        <v>7059</v>
      </c>
      <c r="Q77">
        <v>1300</v>
      </c>
      <c r="R77">
        <v>12</v>
      </c>
      <c r="S77">
        <v>900</v>
      </c>
      <c r="T77">
        <v>200</v>
      </c>
      <c r="W77">
        <v>1</v>
      </c>
      <c r="X77">
        <v>10</v>
      </c>
      <c r="Y77">
        <v>76</v>
      </c>
      <c r="AA77">
        <f>VLOOKUP(Table29[[#This Row],[Shortname]], Comp[], 6, FALSE)</f>
        <v>51</v>
      </c>
      <c r="AB77" s="14">
        <f>VLOOKUP(Table29[[#This Row],[Shortname]], Comp[], 7, FALSE)</f>
        <v>78.900000000000006</v>
      </c>
      <c r="AC77">
        <f>VLOOKUP(Table29[[#This Row],[Shortname]], Comp[], 8, FALSE)</f>
        <v>0</v>
      </c>
      <c r="AD77">
        <f>VLOOKUP(Table29[[#This Row],[Shortname]], Comp[], 9, FALSE)</f>
        <v>8.1999999999999993</v>
      </c>
      <c r="AE77">
        <f>VLOOKUP(Table29[[#This Row],[Shortname]], Comp[], 10, FALSE)</f>
        <v>0</v>
      </c>
      <c r="AF77">
        <f>VLOOKUP(Table29[[#This Row],[Shortname]], Comp[], 11, FALSE)</f>
        <v>9.6</v>
      </c>
      <c r="AG77">
        <f>VLOOKUP(Table29[[#This Row],[Shortname]], Comp[],12, FALSE)</f>
        <v>0</v>
      </c>
      <c r="AH77">
        <f>VLOOKUP(Table29[[#This Row],[Shortname]], Comp[], 13, FALSE)</f>
        <v>1.5</v>
      </c>
      <c r="AI77">
        <f>VLOOKUP(Table29[[#This Row],[Shortname]], Comp[], 14, FALSE)</f>
        <v>0</v>
      </c>
      <c r="AJ77">
        <f>VLOOKUP(Table29[[#This Row],[Shortname]], Comp[], 15, FALSE)</f>
        <v>0</v>
      </c>
      <c r="AK77">
        <f>VLOOKUP(Table29[[#This Row],[Shortname]], Comp[], 16, FALSE)</f>
        <v>1.8</v>
      </c>
      <c r="AL77">
        <f>VLOOKUP(Table29[[#This Row],[Shortname]], Comp[], 17, FALSE)</f>
        <v>0</v>
      </c>
      <c r="AM77">
        <f>VLOOKUP(Table29[[#This Row],[Shortname]], Comp[], 18, FALSE)</f>
        <v>0</v>
      </c>
      <c r="AN77">
        <f>VLOOKUP(Table29[[#This Row],[Shortname]], Comp[], 19, FALSE)</f>
        <v>0</v>
      </c>
      <c r="AO77">
        <f>VLOOKUP(Table29[[#This Row],[Shortname]], Comp[], 20, FALSE)</f>
        <v>0</v>
      </c>
      <c r="AP77">
        <f>VLOOKUP(Table29[[#This Row],[Shortname]], Comp[], 21, FALSE)</f>
        <v>0</v>
      </c>
      <c r="AQ77">
        <f>VLOOKUP(Table29[[#This Row],[Shortname]], Comp[], 22, FALSE)</f>
        <v>0</v>
      </c>
      <c r="AR77">
        <f>VLOOKUP(Table29[[#This Row],[Shortname]], Comp[], 23, FALSE)</f>
        <v>0</v>
      </c>
      <c r="AS77">
        <f>VLOOKUP(Table29[[#This Row],[Shortname]], Comp[], 24, FALSE)</f>
        <v>0</v>
      </c>
      <c r="AT77">
        <f>VLOOKUP(Table29[[#This Row],[Shortname]], Comp[], 25, FALSE)</f>
        <v>0</v>
      </c>
      <c r="AU77">
        <f>VLOOKUP(Table29[[#This Row],[Shortname]], Comp[], 26, FALSE)</f>
        <v>0</v>
      </c>
      <c r="AV77">
        <f>VLOOKUP(Table29[[#This Row],[Shortname]], Comp[], 27, FALSE)</f>
        <v>0</v>
      </c>
      <c r="AW77">
        <f>VLOOKUP(Table29[[#This Row],[Shortname]], Comp[], 28, FALSE)</f>
        <v>0</v>
      </c>
      <c r="AX77">
        <f>VLOOKUP(Table29[[#This Row],[Shortname]], Comp[], 29, FALSE)</f>
        <v>0</v>
      </c>
      <c r="AY77">
        <f>VLOOKUP(Table29[[#This Row],[Shortname]], Comp[], 30, FALSE)</f>
        <v>0</v>
      </c>
      <c r="AZ77">
        <f>VLOOKUP(Table29[[#This Row],[Shortname]], Comp[], 31, FALSE)</f>
        <v>0</v>
      </c>
    </row>
    <row r="78" spans="1:52" x14ac:dyDescent="0.3">
      <c r="A78" t="s">
        <v>393</v>
      </c>
      <c r="C78">
        <v>51</v>
      </c>
      <c r="D78" t="s">
        <v>201</v>
      </c>
      <c r="E78" t="s">
        <v>160</v>
      </c>
      <c r="F78" t="s">
        <v>394</v>
      </c>
      <c r="G78" t="s">
        <v>365</v>
      </c>
      <c r="H78">
        <v>350</v>
      </c>
      <c r="I78">
        <v>1.7602000000000001E-6</v>
      </c>
      <c r="J78">
        <f>0.01/Table29[[#This Row],[Strain Rate (min) /s]]</f>
        <v>5681.1725940234064</v>
      </c>
      <c r="K78">
        <f>LOG(Table29[[#This Row],[Time to 1% strain (s)]])</f>
        <v>3.7544379833440376</v>
      </c>
      <c r="L78">
        <v>850</v>
      </c>
      <c r="M78">
        <v>7.7</v>
      </c>
      <c r="P78" t="s">
        <v>7059</v>
      </c>
      <c r="Q78">
        <v>1300</v>
      </c>
      <c r="R78">
        <v>12</v>
      </c>
      <c r="S78">
        <v>900</v>
      </c>
      <c r="T78">
        <v>200</v>
      </c>
      <c r="W78">
        <v>1</v>
      </c>
      <c r="X78">
        <v>10</v>
      </c>
      <c r="Y78">
        <v>76</v>
      </c>
      <c r="AA78">
        <f>VLOOKUP(Table29[[#This Row],[Shortname]], Comp[], 6, FALSE)</f>
        <v>51</v>
      </c>
      <c r="AB78" s="14">
        <f>VLOOKUP(Table29[[#This Row],[Shortname]], Comp[], 7, FALSE)</f>
        <v>78.900000000000006</v>
      </c>
      <c r="AC78">
        <f>VLOOKUP(Table29[[#This Row],[Shortname]], Comp[], 8, FALSE)</f>
        <v>0</v>
      </c>
      <c r="AD78">
        <f>VLOOKUP(Table29[[#This Row],[Shortname]], Comp[], 9, FALSE)</f>
        <v>8.1999999999999993</v>
      </c>
      <c r="AE78">
        <f>VLOOKUP(Table29[[#This Row],[Shortname]], Comp[], 10, FALSE)</f>
        <v>0</v>
      </c>
      <c r="AF78">
        <f>VLOOKUP(Table29[[#This Row],[Shortname]], Comp[], 11, FALSE)</f>
        <v>9.6</v>
      </c>
      <c r="AG78">
        <f>VLOOKUP(Table29[[#This Row],[Shortname]], Comp[],12, FALSE)</f>
        <v>0</v>
      </c>
      <c r="AH78">
        <f>VLOOKUP(Table29[[#This Row],[Shortname]], Comp[], 13, FALSE)</f>
        <v>1.5</v>
      </c>
      <c r="AI78">
        <f>VLOOKUP(Table29[[#This Row],[Shortname]], Comp[], 14, FALSE)</f>
        <v>0</v>
      </c>
      <c r="AJ78">
        <f>VLOOKUP(Table29[[#This Row],[Shortname]], Comp[], 15, FALSE)</f>
        <v>0</v>
      </c>
      <c r="AK78">
        <f>VLOOKUP(Table29[[#This Row],[Shortname]], Comp[], 16, FALSE)</f>
        <v>1.8</v>
      </c>
      <c r="AL78">
        <f>VLOOKUP(Table29[[#This Row],[Shortname]], Comp[], 17, FALSE)</f>
        <v>0</v>
      </c>
      <c r="AM78">
        <f>VLOOKUP(Table29[[#This Row],[Shortname]], Comp[], 18, FALSE)</f>
        <v>0</v>
      </c>
      <c r="AN78">
        <f>VLOOKUP(Table29[[#This Row],[Shortname]], Comp[], 19, FALSE)</f>
        <v>0</v>
      </c>
      <c r="AO78">
        <f>VLOOKUP(Table29[[#This Row],[Shortname]], Comp[], 20, FALSE)</f>
        <v>0</v>
      </c>
      <c r="AP78">
        <f>VLOOKUP(Table29[[#This Row],[Shortname]], Comp[], 21, FALSE)</f>
        <v>0</v>
      </c>
      <c r="AQ78">
        <f>VLOOKUP(Table29[[#This Row],[Shortname]], Comp[], 22, FALSE)</f>
        <v>0</v>
      </c>
      <c r="AR78">
        <f>VLOOKUP(Table29[[#This Row],[Shortname]], Comp[], 23, FALSE)</f>
        <v>0</v>
      </c>
      <c r="AS78">
        <f>VLOOKUP(Table29[[#This Row],[Shortname]], Comp[], 24, FALSE)</f>
        <v>0</v>
      </c>
      <c r="AT78">
        <f>VLOOKUP(Table29[[#This Row],[Shortname]], Comp[], 25, FALSE)</f>
        <v>0</v>
      </c>
      <c r="AU78">
        <f>VLOOKUP(Table29[[#This Row],[Shortname]], Comp[], 26, FALSE)</f>
        <v>0</v>
      </c>
      <c r="AV78">
        <f>VLOOKUP(Table29[[#This Row],[Shortname]], Comp[], 27, FALSE)</f>
        <v>0</v>
      </c>
      <c r="AW78">
        <f>VLOOKUP(Table29[[#This Row],[Shortname]], Comp[], 28, FALSE)</f>
        <v>0</v>
      </c>
      <c r="AX78">
        <f>VLOOKUP(Table29[[#This Row],[Shortname]], Comp[], 29, FALSE)</f>
        <v>0</v>
      </c>
      <c r="AY78">
        <f>VLOOKUP(Table29[[#This Row],[Shortname]], Comp[], 30, FALSE)</f>
        <v>0</v>
      </c>
      <c r="AZ78">
        <f>VLOOKUP(Table29[[#This Row],[Shortname]], Comp[], 31, FALSE)</f>
        <v>0</v>
      </c>
    </row>
    <row r="79" spans="1:52" x14ac:dyDescent="0.3">
      <c r="A79" t="s">
        <v>393</v>
      </c>
      <c r="C79">
        <v>51</v>
      </c>
      <c r="D79" t="s">
        <v>201</v>
      </c>
      <c r="E79" t="s">
        <v>160</v>
      </c>
      <c r="F79" t="s">
        <v>394</v>
      </c>
      <c r="G79" t="s">
        <v>365</v>
      </c>
      <c r="H79">
        <v>400</v>
      </c>
      <c r="I79">
        <v>5.1352000000000004E-6</v>
      </c>
      <c r="J79">
        <f>0.01/Table29[[#This Row],[Strain Rate (min) /s]]</f>
        <v>1947.3438230253932</v>
      </c>
      <c r="K79">
        <f>LOG(Table29[[#This Row],[Time to 1% strain (s)]])</f>
        <v>3.2894426373237784</v>
      </c>
      <c r="L79">
        <v>850</v>
      </c>
      <c r="M79">
        <v>7.7</v>
      </c>
      <c r="P79" t="s">
        <v>7059</v>
      </c>
      <c r="Q79">
        <v>1300</v>
      </c>
      <c r="R79">
        <v>12</v>
      </c>
      <c r="S79">
        <v>900</v>
      </c>
      <c r="T79">
        <v>200</v>
      </c>
      <c r="W79">
        <v>1</v>
      </c>
      <c r="X79">
        <v>10</v>
      </c>
      <c r="Y79">
        <v>76</v>
      </c>
      <c r="AA79">
        <f>VLOOKUP(Table29[[#This Row],[Shortname]], Comp[], 6, FALSE)</f>
        <v>51</v>
      </c>
      <c r="AB79" s="14">
        <f>VLOOKUP(Table29[[#This Row],[Shortname]], Comp[], 7, FALSE)</f>
        <v>78.900000000000006</v>
      </c>
      <c r="AC79">
        <f>VLOOKUP(Table29[[#This Row],[Shortname]], Comp[], 8, FALSE)</f>
        <v>0</v>
      </c>
      <c r="AD79">
        <f>VLOOKUP(Table29[[#This Row],[Shortname]], Comp[], 9, FALSE)</f>
        <v>8.1999999999999993</v>
      </c>
      <c r="AE79">
        <f>VLOOKUP(Table29[[#This Row],[Shortname]], Comp[], 10, FALSE)</f>
        <v>0</v>
      </c>
      <c r="AF79">
        <f>VLOOKUP(Table29[[#This Row],[Shortname]], Comp[], 11, FALSE)</f>
        <v>9.6</v>
      </c>
      <c r="AG79">
        <f>VLOOKUP(Table29[[#This Row],[Shortname]], Comp[],12, FALSE)</f>
        <v>0</v>
      </c>
      <c r="AH79">
        <f>VLOOKUP(Table29[[#This Row],[Shortname]], Comp[], 13, FALSE)</f>
        <v>1.5</v>
      </c>
      <c r="AI79">
        <f>VLOOKUP(Table29[[#This Row],[Shortname]], Comp[], 14, FALSE)</f>
        <v>0</v>
      </c>
      <c r="AJ79">
        <f>VLOOKUP(Table29[[#This Row],[Shortname]], Comp[], 15, FALSE)</f>
        <v>0</v>
      </c>
      <c r="AK79">
        <f>VLOOKUP(Table29[[#This Row],[Shortname]], Comp[], 16, FALSE)</f>
        <v>1.8</v>
      </c>
      <c r="AL79">
        <f>VLOOKUP(Table29[[#This Row],[Shortname]], Comp[], 17, FALSE)</f>
        <v>0</v>
      </c>
      <c r="AM79">
        <f>VLOOKUP(Table29[[#This Row],[Shortname]], Comp[], 18, FALSE)</f>
        <v>0</v>
      </c>
      <c r="AN79">
        <f>VLOOKUP(Table29[[#This Row],[Shortname]], Comp[], 19, FALSE)</f>
        <v>0</v>
      </c>
      <c r="AO79">
        <f>VLOOKUP(Table29[[#This Row],[Shortname]], Comp[], 20, FALSE)</f>
        <v>0</v>
      </c>
      <c r="AP79">
        <f>VLOOKUP(Table29[[#This Row],[Shortname]], Comp[], 21, FALSE)</f>
        <v>0</v>
      </c>
      <c r="AQ79">
        <f>VLOOKUP(Table29[[#This Row],[Shortname]], Comp[], 22, FALSE)</f>
        <v>0</v>
      </c>
      <c r="AR79">
        <f>VLOOKUP(Table29[[#This Row],[Shortname]], Comp[], 23, FALSE)</f>
        <v>0</v>
      </c>
      <c r="AS79">
        <f>VLOOKUP(Table29[[#This Row],[Shortname]], Comp[], 24, FALSE)</f>
        <v>0</v>
      </c>
      <c r="AT79">
        <f>VLOOKUP(Table29[[#This Row],[Shortname]], Comp[], 25, FALSE)</f>
        <v>0</v>
      </c>
      <c r="AU79">
        <f>VLOOKUP(Table29[[#This Row],[Shortname]], Comp[], 26, FALSE)</f>
        <v>0</v>
      </c>
      <c r="AV79">
        <f>VLOOKUP(Table29[[#This Row],[Shortname]], Comp[], 27, FALSE)</f>
        <v>0</v>
      </c>
      <c r="AW79">
        <f>VLOOKUP(Table29[[#This Row],[Shortname]], Comp[], 28, FALSE)</f>
        <v>0</v>
      </c>
      <c r="AX79">
        <f>VLOOKUP(Table29[[#This Row],[Shortname]], Comp[], 29, FALSE)</f>
        <v>0</v>
      </c>
      <c r="AY79">
        <f>VLOOKUP(Table29[[#This Row],[Shortname]], Comp[], 30, FALSE)</f>
        <v>0</v>
      </c>
      <c r="AZ79">
        <f>VLOOKUP(Table29[[#This Row],[Shortname]], Comp[], 31, FALSE)</f>
        <v>0</v>
      </c>
    </row>
    <row r="80" spans="1:52" x14ac:dyDescent="0.3">
      <c r="A80" t="s">
        <v>393</v>
      </c>
      <c r="B80">
        <v>81</v>
      </c>
      <c r="C80">
        <v>51</v>
      </c>
      <c r="D80" t="s">
        <v>201</v>
      </c>
      <c r="E80" t="s">
        <v>160</v>
      </c>
      <c r="F80" t="s">
        <v>394</v>
      </c>
      <c r="G80" t="s">
        <v>388</v>
      </c>
      <c r="H80">
        <v>450</v>
      </c>
      <c r="I80">
        <v>1.3141E-5</v>
      </c>
      <c r="J80">
        <f>0.01/Table29[[#This Row],[Strain Rate (min) /s]]</f>
        <v>760.97709458945292</v>
      </c>
      <c r="K80">
        <f>LOG(Table29[[#This Row],[Time to 1% strain (s)]])</f>
        <v>2.8813715847034014</v>
      </c>
      <c r="L80">
        <v>850</v>
      </c>
      <c r="M80">
        <v>7.7</v>
      </c>
      <c r="P80" t="s">
        <v>7059</v>
      </c>
      <c r="Q80">
        <v>1300</v>
      </c>
      <c r="R80">
        <v>12</v>
      </c>
      <c r="S80">
        <v>900</v>
      </c>
      <c r="T80">
        <v>200</v>
      </c>
      <c r="W80">
        <v>1</v>
      </c>
      <c r="X80">
        <v>10</v>
      </c>
      <c r="Y80">
        <v>76</v>
      </c>
      <c r="Z80" t="s">
        <v>7060</v>
      </c>
      <c r="AA80">
        <f>VLOOKUP(Table29[[#This Row],[Shortname]], Comp[], 6, FALSE)</f>
        <v>51</v>
      </c>
      <c r="AB80" s="14">
        <f>VLOOKUP(Table29[[#This Row],[Shortname]], Comp[], 7, FALSE)</f>
        <v>78.900000000000006</v>
      </c>
      <c r="AC80">
        <f>VLOOKUP(Table29[[#This Row],[Shortname]], Comp[], 8, FALSE)</f>
        <v>0</v>
      </c>
      <c r="AD80">
        <f>VLOOKUP(Table29[[#This Row],[Shortname]], Comp[], 9, FALSE)</f>
        <v>8.1999999999999993</v>
      </c>
      <c r="AE80">
        <f>VLOOKUP(Table29[[#This Row],[Shortname]], Comp[], 10, FALSE)</f>
        <v>0</v>
      </c>
      <c r="AF80">
        <f>VLOOKUP(Table29[[#This Row],[Shortname]], Comp[], 11, FALSE)</f>
        <v>9.6</v>
      </c>
      <c r="AG80">
        <f>VLOOKUP(Table29[[#This Row],[Shortname]], Comp[],12, FALSE)</f>
        <v>0</v>
      </c>
      <c r="AH80">
        <f>VLOOKUP(Table29[[#This Row],[Shortname]], Comp[], 13, FALSE)</f>
        <v>1.5</v>
      </c>
      <c r="AI80">
        <f>VLOOKUP(Table29[[#This Row],[Shortname]], Comp[], 14, FALSE)</f>
        <v>0</v>
      </c>
      <c r="AJ80">
        <f>VLOOKUP(Table29[[#This Row],[Shortname]], Comp[], 15, FALSE)</f>
        <v>0</v>
      </c>
      <c r="AK80">
        <f>VLOOKUP(Table29[[#This Row],[Shortname]], Comp[], 16, FALSE)</f>
        <v>1.8</v>
      </c>
      <c r="AL80">
        <f>VLOOKUP(Table29[[#This Row],[Shortname]], Comp[], 17, FALSE)</f>
        <v>0</v>
      </c>
      <c r="AM80">
        <f>VLOOKUP(Table29[[#This Row],[Shortname]], Comp[], 18, FALSE)</f>
        <v>0</v>
      </c>
      <c r="AN80">
        <f>VLOOKUP(Table29[[#This Row],[Shortname]], Comp[], 19, FALSE)</f>
        <v>0</v>
      </c>
      <c r="AO80">
        <f>VLOOKUP(Table29[[#This Row],[Shortname]], Comp[], 20, FALSE)</f>
        <v>0</v>
      </c>
      <c r="AP80">
        <f>VLOOKUP(Table29[[#This Row],[Shortname]], Comp[], 21, FALSE)</f>
        <v>0</v>
      </c>
      <c r="AQ80">
        <f>VLOOKUP(Table29[[#This Row],[Shortname]], Comp[], 22, FALSE)</f>
        <v>0</v>
      </c>
      <c r="AR80">
        <f>VLOOKUP(Table29[[#This Row],[Shortname]], Comp[], 23, FALSE)</f>
        <v>0</v>
      </c>
      <c r="AS80">
        <f>VLOOKUP(Table29[[#This Row],[Shortname]], Comp[], 24, FALSE)</f>
        <v>0</v>
      </c>
      <c r="AT80">
        <f>VLOOKUP(Table29[[#This Row],[Shortname]], Comp[], 25, FALSE)</f>
        <v>0</v>
      </c>
      <c r="AU80">
        <f>VLOOKUP(Table29[[#This Row],[Shortname]], Comp[], 26, FALSE)</f>
        <v>0</v>
      </c>
      <c r="AV80">
        <f>VLOOKUP(Table29[[#This Row],[Shortname]], Comp[], 27, FALSE)</f>
        <v>0</v>
      </c>
      <c r="AW80">
        <f>VLOOKUP(Table29[[#This Row],[Shortname]], Comp[], 28, FALSE)</f>
        <v>0</v>
      </c>
      <c r="AX80">
        <f>VLOOKUP(Table29[[#This Row],[Shortname]], Comp[], 29, FALSE)</f>
        <v>0</v>
      </c>
      <c r="AY80">
        <f>VLOOKUP(Table29[[#This Row],[Shortname]], Comp[], 30, FALSE)</f>
        <v>0</v>
      </c>
      <c r="AZ80">
        <f>VLOOKUP(Table29[[#This Row],[Shortname]], Comp[], 31, FALSE)</f>
        <v>0</v>
      </c>
    </row>
    <row r="81" spans="1:52" x14ac:dyDescent="0.3">
      <c r="A81" t="s">
        <v>410</v>
      </c>
      <c r="B81">
        <v>28</v>
      </c>
      <c r="C81">
        <v>53</v>
      </c>
      <c r="D81" t="s">
        <v>411</v>
      </c>
      <c r="E81" t="s">
        <v>95</v>
      </c>
      <c r="F81" t="s">
        <v>412</v>
      </c>
      <c r="G81" t="s">
        <v>5327</v>
      </c>
      <c r="H81">
        <v>250</v>
      </c>
      <c r="I81">
        <v>3.7206999999999998E-5</v>
      </c>
      <c r="J81">
        <f>0.01/Table29[[#This Row],[Strain Rate (min) /s]]</f>
        <v>268.76662993522729</v>
      </c>
      <c r="K81">
        <f>LOG(Table29[[#This Row],[Time to 1% strain (s)]])</f>
        <v>2.4293753457261156</v>
      </c>
      <c r="L81">
        <v>950</v>
      </c>
      <c r="M81">
        <v>8.6</v>
      </c>
      <c r="P81" t="s">
        <v>7061</v>
      </c>
      <c r="Q81">
        <v>1300</v>
      </c>
      <c r="R81">
        <v>12</v>
      </c>
      <c r="S81">
        <v>900</v>
      </c>
      <c r="T81">
        <v>200</v>
      </c>
      <c r="W81">
        <v>1</v>
      </c>
      <c r="X81">
        <v>10</v>
      </c>
      <c r="Y81">
        <v>72</v>
      </c>
      <c r="AA81">
        <f>VLOOKUP(Table29[[#This Row],[Shortname]], Comp[], 6, FALSE)</f>
        <v>53</v>
      </c>
      <c r="AB81" s="14">
        <f>VLOOKUP(Table29[[#This Row],[Shortname]], Comp[], 7, FALSE)</f>
        <v>79</v>
      </c>
      <c r="AC81">
        <f>VLOOKUP(Table29[[#This Row],[Shortname]], Comp[], 8, FALSE)</f>
        <v>0</v>
      </c>
      <c r="AD81">
        <f>VLOOKUP(Table29[[#This Row],[Shortname]], Comp[], 9, FALSE)</f>
        <v>8.6999999999999993</v>
      </c>
      <c r="AE81">
        <f>VLOOKUP(Table29[[#This Row],[Shortname]], Comp[], 10, FALSE)</f>
        <v>0</v>
      </c>
      <c r="AF81">
        <f>VLOOKUP(Table29[[#This Row],[Shortname]], Comp[], 11, FALSE)</f>
        <v>10.3</v>
      </c>
      <c r="AG81">
        <f>VLOOKUP(Table29[[#This Row],[Shortname]], Comp[],12, FALSE)</f>
        <v>0</v>
      </c>
      <c r="AH81">
        <f>VLOOKUP(Table29[[#This Row],[Shortname]], Comp[], 13, FALSE)</f>
        <v>0</v>
      </c>
      <c r="AI81">
        <f>VLOOKUP(Table29[[#This Row],[Shortname]], Comp[], 14, FALSE)</f>
        <v>0</v>
      </c>
      <c r="AJ81">
        <f>VLOOKUP(Table29[[#This Row],[Shortname]], Comp[], 15, FALSE)</f>
        <v>0</v>
      </c>
      <c r="AK81">
        <f>VLOOKUP(Table29[[#This Row],[Shortname]], Comp[], 16, FALSE)</f>
        <v>0</v>
      </c>
      <c r="AL81">
        <f>VLOOKUP(Table29[[#This Row],[Shortname]], Comp[], 17, FALSE)</f>
        <v>0</v>
      </c>
      <c r="AM81">
        <f>VLOOKUP(Table29[[#This Row],[Shortname]], Comp[], 18, FALSE)</f>
        <v>0</v>
      </c>
      <c r="AN81">
        <f>VLOOKUP(Table29[[#This Row],[Shortname]], Comp[], 19, FALSE)</f>
        <v>0</v>
      </c>
      <c r="AO81">
        <f>VLOOKUP(Table29[[#This Row],[Shortname]], Comp[], 20, FALSE)</f>
        <v>0</v>
      </c>
      <c r="AP81">
        <f>VLOOKUP(Table29[[#This Row],[Shortname]], Comp[], 21, FALSE)</f>
        <v>0</v>
      </c>
      <c r="AQ81">
        <f>VLOOKUP(Table29[[#This Row],[Shortname]], Comp[], 22, FALSE)</f>
        <v>2</v>
      </c>
      <c r="AR81">
        <f>VLOOKUP(Table29[[#This Row],[Shortname]], Comp[], 23, FALSE)</f>
        <v>0</v>
      </c>
      <c r="AS81">
        <f>VLOOKUP(Table29[[#This Row],[Shortname]], Comp[], 24, FALSE)</f>
        <v>0</v>
      </c>
      <c r="AT81">
        <f>VLOOKUP(Table29[[#This Row],[Shortname]], Comp[], 25, FALSE)</f>
        <v>0</v>
      </c>
      <c r="AU81">
        <f>VLOOKUP(Table29[[#This Row],[Shortname]], Comp[], 26, FALSE)</f>
        <v>0</v>
      </c>
      <c r="AV81">
        <f>VLOOKUP(Table29[[#This Row],[Shortname]], Comp[], 27, FALSE)</f>
        <v>0</v>
      </c>
      <c r="AW81">
        <f>VLOOKUP(Table29[[#This Row],[Shortname]], Comp[], 28, FALSE)</f>
        <v>0</v>
      </c>
      <c r="AX81">
        <f>VLOOKUP(Table29[[#This Row],[Shortname]], Comp[], 29, FALSE)</f>
        <v>0</v>
      </c>
      <c r="AY81">
        <f>VLOOKUP(Table29[[#This Row],[Shortname]], Comp[], 30, FALSE)</f>
        <v>0</v>
      </c>
      <c r="AZ81">
        <f>VLOOKUP(Table29[[#This Row],[Shortname]], Comp[], 31, FALSE)</f>
        <v>0</v>
      </c>
    </row>
    <row r="82" spans="1:52" x14ac:dyDescent="0.3">
      <c r="A82" t="s">
        <v>410</v>
      </c>
      <c r="B82">
        <v>29</v>
      </c>
      <c r="C82">
        <v>53</v>
      </c>
      <c r="D82" t="s">
        <v>11</v>
      </c>
      <c r="E82" t="s">
        <v>95</v>
      </c>
      <c r="F82" t="s">
        <v>412</v>
      </c>
      <c r="G82" t="s">
        <v>5327</v>
      </c>
      <c r="H82">
        <v>110</v>
      </c>
      <c r="I82">
        <v>3.3967999999999997E-8</v>
      </c>
      <c r="J82">
        <f>0.01/Table29[[#This Row],[Strain Rate (min) /s]]</f>
        <v>294394.72444653796</v>
      </c>
      <c r="K82">
        <f>LOG(Table29[[#This Row],[Time to 1% strain (s)]])</f>
        <v>5.4689300231780766</v>
      </c>
      <c r="L82">
        <v>950</v>
      </c>
      <c r="M82">
        <v>8.6</v>
      </c>
      <c r="P82" t="s">
        <v>7061</v>
      </c>
      <c r="Q82">
        <v>1300</v>
      </c>
      <c r="R82">
        <v>12</v>
      </c>
      <c r="S82">
        <v>900</v>
      </c>
      <c r="T82">
        <v>200</v>
      </c>
      <c r="W82">
        <v>1</v>
      </c>
      <c r="X82">
        <v>10</v>
      </c>
      <c r="Y82">
        <v>72</v>
      </c>
      <c r="AA82">
        <f>VLOOKUP(Table29[[#This Row],[Shortname]], Comp[], 6, FALSE)</f>
        <v>53</v>
      </c>
      <c r="AB82" s="14">
        <f>VLOOKUP(Table29[[#This Row],[Shortname]], Comp[], 7, FALSE)</f>
        <v>79</v>
      </c>
      <c r="AC82">
        <f>VLOOKUP(Table29[[#This Row],[Shortname]], Comp[], 8, FALSE)</f>
        <v>0</v>
      </c>
      <c r="AD82">
        <f>VLOOKUP(Table29[[#This Row],[Shortname]], Comp[], 9, FALSE)</f>
        <v>8.6999999999999993</v>
      </c>
      <c r="AE82">
        <f>VLOOKUP(Table29[[#This Row],[Shortname]], Comp[], 10, FALSE)</f>
        <v>0</v>
      </c>
      <c r="AF82">
        <f>VLOOKUP(Table29[[#This Row],[Shortname]], Comp[], 11, FALSE)</f>
        <v>10.3</v>
      </c>
      <c r="AG82">
        <f>VLOOKUP(Table29[[#This Row],[Shortname]], Comp[],12, FALSE)</f>
        <v>0</v>
      </c>
      <c r="AH82">
        <f>VLOOKUP(Table29[[#This Row],[Shortname]], Comp[], 13, FALSE)</f>
        <v>0</v>
      </c>
      <c r="AI82">
        <f>VLOOKUP(Table29[[#This Row],[Shortname]], Comp[], 14, FALSE)</f>
        <v>0</v>
      </c>
      <c r="AJ82">
        <f>VLOOKUP(Table29[[#This Row],[Shortname]], Comp[], 15, FALSE)</f>
        <v>0</v>
      </c>
      <c r="AK82">
        <f>VLOOKUP(Table29[[#This Row],[Shortname]], Comp[], 16, FALSE)</f>
        <v>0</v>
      </c>
      <c r="AL82">
        <f>VLOOKUP(Table29[[#This Row],[Shortname]], Comp[], 17, FALSE)</f>
        <v>0</v>
      </c>
      <c r="AM82">
        <f>VLOOKUP(Table29[[#This Row],[Shortname]], Comp[], 18, FALSE)</f>
        <v>0</v>
      </c>
      <c r="AN82">
        <f>VLOOKUP(Table29[[#This Row],[Shortname]], Comp[], 19, FALSE)</f>
        <v>0</v>
      </c>
      <c r="AO82">
        <f>VLOOKUP(Table29[[#This Row],[Shortname]], Comp[], 20, FALSE)</f>
        <v>0</v>
      </c>
      <c r="AP82">
        <f>VLOOKUP(Table29[[#This Row],[Shortname]], Comp[], 21, FALSE)</f>
        <v>0</v>
      </c>
      <c r="AQ82">
        <f>VLOOKUP(Table29[[#This Row],[Shortname]], Comp[], 22, FALSE)</f>
        <v>2</v>
      </c>
      <c r="AR82">
        <f>VLOOKUP(Table29[[#This Row],[Shortname]], Comp[], 23, FALSE)</f>
        <v>0</v>
      </c>
      <c r="AS82">
        <f>VLOOKUP(Table29[[#This Row],[Shortname]], Comp[], 24, FALSE)</f>
        <v>0</v>
      </c>
      <c r="AT82">
        <f>VLOOKUP(Table29[[#This Row],[Shortname]], Comp[], 25, FALSE)</f>
        <v>0</v>
      </c>
      <c r="AU82">
        <f>VLOOKUP(Table29[[#This Row],[Shortname]], Comp[], 26, FALSE)</f>
        <v>0</v>
      </c>
      <c r="AV82">
        <f>VLOOKUP(Table29[[#This Row],[Shortname]], Comp[], 27, FALSE)</f>
        <v>0</v>
      </c>
      <c r="AW82">
        <f>VLOOKUP(Table29[[#This Row],[Shortname]], Comp[], 28, FALSE)</f>
        <v>0</v>
      </c>
      <c r="AX82">
        <f>VLOOKUP(Table29[[#This Row],[Shortname]], Comp[], 29, FALSE)</f>
        <v>0</v>
      </c>
      <c r="AY82">
        <f>VLOOKUP(Table29[[#This Row],[Shortname]], Comp[], 30, FALSE)</f>
        <v>0</v>
      </c>
      <c r="AZ82">
        <f>VLOOKUP(Table29[[#This Row],[Shortname]], Comp[], 31, FALSE)</f>
        <v>0</v>
      </c>
    </row>
    <row r="83" spans="1:52" x14ac:dyDescent="0.3">
      <c r="A83" t="s">
        <v>410</v>
      </c>
      <c r="B83">
        <v>30</v>
      </c>
      <c r="C83">
        <v>53</v>
      </c>
      <c r="D83" t="s">
        <v>11</v>
      </c>
      <c r="E83" t="s">
        <v>95</v>
      </c>
      <c r="F83" t="s">
        <v>412</v>
      </c>
      <c r="G83" t="s">
        <v>5327</v>
      </c>
      <c r="H83">
        <v>150</v>
      </c>
      <c r="I83">
        <v>4.8263000000000003E-7</v>
      </c>
      <c r="J83">
        <f>0.01/Table29[[#This Row],[Strain Rate (min) /s]]</f>
        <v>20719.806062615255</v>
      </c>
      <c r="K83">
        <f>LOG(Table29[[#This Row],[Time to 1% strain (s)]])</f>
        <v>4.3163856860958685</v>
      </c>
      <c r="L83">
        <v>950</v>
      </c>
      <c r="M83">
        <v>8.6</v>
      </c>
      <c r="P83" t="s">
        <v>7061</v>
      </c>
      <c r="Q83">
        <v>1300</v>
      </c>
      <c r="R83">
        <v>12</v>
      </c>
      <c r="S83">
        <v>900</v>
      </c>
      <c r="T83">
        <v>200</v>
      </c>
      <c r="W83">
        <v>1</v>
      </c>
      <c r="X83">
        <v>10</v>
      </c>
      <c r="Y83">
        <v>72</v>
      </c>
      <c r="AA83">
        <f>VLOOKUP(Table29[[#This Row],[Shortname]], Comp[], 6, FALSE)</f>
        <v>53</v>
      </c>
      <c r="AB83" s="14">
        <f>VLOOKUP(Table29[[#This Row],[Shortname]], Comp[], 7, FALSE)</f>
        <v>79</v>
      </c>
      <c r="AC83">
        <f>VLOOKUP(Table29[[#This Row],[Shortname]], Comp[], 8, FALSE)</f>
        <v>0</v>
      </c>
      <c r="AD83">
        <f>VLOOKUP(Table29[[#This Row],[Shortname]], Comp[], 9, FALSE)</f>
        <v>8.6999999999999993</v>
      </c>
      <c r="AE83">
        <f>VLOOKUP(Table29[[#This Row],[Shortname]], Comp[], 10, FALSE)</f>
        <v>0</v>
      </c>
      <c r="AF83">
        <f>VLOOKUP(Table29[[#This Row],[Shortname]], Comp[], 11, FALSE)</f>
        <v>10.3</v>
      </c>
      <c r="AG83">
        <f>VLOOKUP(Table29[[#This Row],[Shortname]], Comp[],12, FALSE)</f>
        <v>0</v>
      </c>
      <c r="AH83">
        <f>VLOOKUP(Table29[[#This Row],[Shortname]], Comp[], 13, FALSE)</f>
        <v>0</v>
      </c>
      <c r="AI83">
        <f>VLOOKUP(Table29[[#This Row],[Shortname]], Comp[], 14, FALSE)</f>
        <v>0</v>
      </c>
      <c r="AJ83">
        <f>VLOOKUP(Table29[[#This Row],[Shortname]], Comp[], 15, FALSE)</f>
        <v>0</v>
      </c>
      <c r="AK83">
        <f>VLOOKUP(Table29[[#This Row],[Shortname]], Comp[], 16, FALSE)</f>
        <v>0</v>
      </c>
      <c r="AL83">
        <f>VLOOKUP(Table29[[#This Row],[Shortname]], Comp[], 17, FALSE)</f>
        <v>0</v>
      </c>
      <c r="AM83">
        <f>VLOOKUP(Table29[[#This Row],[Shortname]], Comp[], 18, FALSE)</f>
        <v>0</v>
      </c>
      <c r="AN83">
        <f>VLOOKUP(Table29[[#This Row],[Shortname]], Comp[], 19, FALSE)</f>
        <v>0</v>
      </c>
      <c r="AO83">
        <f>VLOOKUP(Table29[[#This Row],[Shortname]], Comp[], 20, FALSE)</f>
        <v>0</v>
      </c>
      <c r="AP83">
        <f>VLOOKUP(Table29[[#This Row],[Shortname]], Comp[], 21, FALSE)</f>
        <v>0</v>
      </c>
      <c r="AQ83">
        <f>VLOOKUP(Table29[[#This Row],[Shortname]], Comp[], 22, FALSE)</f>
        <v>2</v>
      </c>
      <c r="AR83">
        <f>VLOOKUP(Table29[[#This Row],[Shortname]], Comp[], 23, FALSE)</f>
        <v>0</v>
      </c>
      <c r="AS83">
        <f>VLOOKUP(Table29[[#This Row],[Shortname]], Comp[], 24, FALSE)</f>
        <v>0</v>
      </c>
      <c r="AT83">
        <f>VLOOKUP(Table29[[#This Row],[Shortname]], Comp[], 25, FALSE)</f>
        <v>0</v>
      </c>
      <c r="AU83">
        <f>VLOOKUP(Table29[[#This Row],[Shortname]], Comp[], 26, FALSE)</f>
        <v>0</v>
      </c>
      <c r="AV83">
        <f>VLOOKUP(Table29[[#This Row],[Shortname]], Comp[], 27, FALSE)</f>
        <v>0</v>
      </c>
      <c r="AW83">
        <f>VLOOKUP(Table29[[#This Row],[Shortname]], Comp[], 28, FALSE)</f>
        <v>0</v>
      </c>
      <c r="AX83">
        <f>VLOOKUP(Table29[[#This Row],[Shortname]], Comp[], 29, FALSE)</f>
        <v>0</v>
      </c>
      <c r="AY83">
        <f>VLOOKUP(Table29[[#This Row],[Shortname]], Comp[], 30, FALSE)</f>
        <v>0</v>
      </c>
      <c r="AZ83">
        <f>VLOOKUP(Table29[[#This Row],[Shortname]], Comp[], 31, FALSE)</f>
        <v>0</v>
      </c>
    </row>
    <row r="84" spans="1:52" x14ac:dyDescent="0.3">
      <c r="A84" t="s">
        <v>410</v>
      </c>
      <c r="B84">
        <v>31</v>
      </c>
      <c r="C84">
        <v>53</v>
      </c>
      <c r="D84" t="s">
        <v>11</v>
      </c>
      <c r="E84" t="s">
        <v>95</v>
      </c>
      <c r="F84" t="s">
        <v>412</v>
      </c>
      <c r="G84" t="s">
        <v>5327</v>
      </c>
      <c r="H84">
        <v>200</v>
      </c>
      <c r="I84">
        <v>5.7156E-6</v>
      </c>
      <c r="J84">
        <f>0.01/Table29[[#This Row],[Strain Rate (min) /s]]</f>
        <v>1749.5975925537127</v>
      </c>
      <c r="K84">
        <f>LOG(Table29[[#This Row],[Time to 1% strain (s)]])</f>
        <v>3.2429381724407849</v>
      </c>
      <c r="L84">
        <v>950</v>
      </c>
      <c r="M84">
        <v>8.6</v>
      </c>
      <c r="P84" t="s">
        <v>7061</v>
      </c>
      <c r="Q84">
        <v>1300</v>
      </c>
      <c r="R84">
        <v>12</v>
      </c>
      <c r="S84">
        <v>900</v>
      </c>
      <c r="T84">
        <v>200</v>
      </c>
      <c r="W84">
        <v>1</v>
      </c>
      <c r="X84">
        <v>10</v>
      </c>
      <c r="Y84">
        <v>72</v>
      </c>
      <c r="AA84">
        <f>VLOOKUP(Table29[[#This Row],[Shortname]], Comp[], 6, FALSE)</f>
        <v>53</v>
      </c>
      <c r="AB84" s="14">
        <f>VLOOKUP(Table29[[#This Row],[Shortname]], Comp[], 7, FALSE)</f>
        <v>79</v>
      </c>
      <c r="AC84">
        <f>VLOOKUP(Table29[[#This Row],[Shortname]], Comp[], 8, FALSE)</f>
        <v>0</v>
      </c>
      <c r="AD84">
        <f>VLOOKUP(Table29[[#This Row],[Shortname]], Comp[], 9, FALSE)</f>
        <v>8.6999999999999993</v>
      </c>
      <c r="AE84">
        <f>VLOOKUP(Table29[[#This Row],[Shortname]], Comp[], 10, FALSE)</f>
        <v>0</v>
      </c>
      <c r="AF84">
        <f>VLOOKUP(Table29[[#This Row],[Shortname]], Comp[], 11, FALSE)</f>
        <v>10.3</v>
      </c>
      <c r="AG84">
        <f>VLOOKUP(Table29[[#This Row],[Shortname]], Comp[],12, FALSE)</f>
        <v>0</v>
      </c>
      <c r="AH84">
        <f>VLOOKUP(Table29[[#This Row],[Shortname]], Comp[], 13, FALSE)</f>
        <v>0</v>
      </c>
      <c r="AI84">
        <f>VLOOKUP(Table29[[#This Row],[Shortname]], Comp[], 14, FALSE)</f>
        <v>0</v>
      </c>
      <c r="AJ84">
        <f>VLOOKUP(Table29[[#This Row],[Shortname]], Comp[], 15, FALSE)</f>
        <v>0</v>
      </c>
      <c r="AK84">
        <f>VLOOKUP(Table29[[#This Row],[Shortname]], Comp[], 16, FALSE)</f>
        <v>0</v>
      </c>
      <c r="AL84">
        <f>VLOOKUP(Table29[[#This Row],[Shortname]], Comp[], 17, FALSE)</f>
        <v>0</v>
      </c>
      <c r="AM84">
        <f>VLOOKUP(Table29[[#This Row],[Shortname]], Comp[], 18, FALSE)</f>
        <v>0</v>
      </c>
      <c r="AN84">
        <f>VLOOKUP(Table29[[#This Row],[Shortname]], Comp[], 19, FALSE)</f>
        <v>0</v>
      </c>
      <c r="AO84">
        <f>VLOOKUP(Table29[[#This Row],[Shortname]], Comp[], 20, FALSE)</f>
        <v>0</v>
      </c>
      <c r="AP84">
        <f>VLOOKUP(Table29[[#This Row],[Shortname]], Comp[], 21, FALSE)</f>
        <v>0</v>
      </c>
      <c r="AQ84">
        <f>VLOOKUP(Table29[[#This Row],[Shortname]], Comp[], 22, FALSE)</f>
        <v>2</v>
      </c>
      <c r="AR84">
        <f>VLOOKUP(Table29[[#This Row],[Shortname]], Comp[], 23, FALSE)</f>
        <v>0</v>
      </c>
      <c r="AS84">
        <f>VLOOKUP(Table29[[#This Row],[Shortname]], Comp[], 24, FALSE)</f>
        <v>0</v>
      </c>
      <c r="AT84">
        <f>VLOOKUP(Table29[[#This Row],[Shortname]], Comp[], 25, FALSE)</f>
        <v>0</v>
      </c>
      <c r="AU84">
        <f>VLOOKUP(Table29[[#This Row],[Shortname]], Comp[], 26, FALSE)</f>
        <v>0</v>
      </c>
      <c r="AV84">
        <f>VLOOKUP(Table29[[#This Row],[Shortname]], Comp[], 27, FALSE)</f>
        <v>0</v>
      </c>
      <c r="AW84">
        <f>VLOOKUP(Table29[[#This Row],[Shortname]], Comp[], 28, FALSE)</f>
        <v>0</v>
      </c>
      <c r="AX84">
        <f>VLOOKUP(Table29[[#This Row],[Shortname]], Comp[], 29, FALSE)</f>
        <v>0</v>
      </c>
      <c r="AY84">
        <f>VLOOKUP(Table29[[#This Row],[Shortname]], Comp[], 30, FALSE)</f>
        <v>0</v>
      </c>
      <c r="AZ84">
        <f>VLOOKUP(Table29[[#This Row],[Shortname]], Comp[], 31, FALSE)</f>
        <v>0</v>
      </c>
    </row>
    <row r="85" spans="1:52" x14ac:dyDescent="0.3">
      <c r="A85" t="s">
        <v>410</v>
      </c>
      <c r="B85">
        <v>71</v>
      </c>
      <c r="C85">
        <v>53</v>
      </c>
      <c r="D85" t="s">
        <v>11</v>
      </c>
      <c r="E85" t="s">
        <v>95</v>
      </c>
      <c r="F85" t="s">
        <v>412</v>
      </c>
      <c r="G85" t="s">
        <v>5340</v>
      </c>
      <c r="H85">
        <v>250</v>
      </c>
      <c r="I85">
        <v>1.2733000000000001E-8</v>
      </c>
      <c r="J85">
        <f>0.01/Table29[[#This Row],[Strain Rate (min) /s]]</f>
        <v>785360.87332129106</v>
      </c>
      <c r="K85">
        <f>LOG(Table29[[#This Row],[Time to 1% strain (s)]])</f>
        <v>5.8950692609222592</v>
      </c>
      <c r="L85">
        <v>850</v>
      </c>
      <c r="M85">
        <v>9.1999999999999993</v>
      </c>
      <c r="P85" t="s">
        <v>7062</v>
      </c>
      <c r="Q85">
        <v>1300</v>
      </c>
      <c r="R85">
        <v>12</v>
      </c>
      <c r="S85">
        <v>900</v>
      </c>
      <c r="T85">
        <v>200</v>
      </c>
      <c r="W85">
        <v>1</v>
      </c>
      <c r="X85">
        <v>10</v>
      </c>
      <c r="Y85">
        <v>72</v>
      </c>
      <c r="AA85">
        <f>VLOOKUP(Table29[[#This Row],[Shortname]], Comp[], 6, FALSE)</f>
        <v>53</v>
      </c>
      <c r="AB85" s="14">
        <f>VLOOKUP(Table29[[#This Row],[Shortname]], Comp[], 7, FALSE)</f>
        <v>79</v>
      </c>
      <c r="AC85">
        <f>VLOOKUP(Table29[[#This Row],[Shortname]], Comp[], 8, FALSE)</f>
        <v>0</v>
      </c>
      <c r="AD85">
        <f>VLOOKUP(Table29[[#This Row],[Shortname]], Comp[], 9, FALSE)</f>
        <v>8.6999999999999993</v>
      </c>
      <c r="AE85">
        <f>VLOOKUP(Table29[[#This Row],[Shortname]], Comp[], 10, FALSE)</f>
        <v>0</v>
      </c>
      <c r="AF85">
        <f>VLOOKUP(Table29[[#This Row],[Shortname]], Comp[], 11, FALSE)</f>
        <v>10.3</v>
      </c>
      <c r="AG85">
        <f>VLOOKUP(Table29[[#This Row],[Shortname]], Comp[],12, FALSE)</f>
        <v>0</v>
      </c>
      <c r="AH85">
        <f>VLOOKUP(Table29[[#This Row],[Shortname]], Comp[], 13, FALSE)</f>
        <v>0</v>
      </c>
      <c r="AI85">
        <f>VLOOKUP(Table29[[#This Row],[Shortname]], Comp[], 14, FALSE)</f>
        <v>0</v>
      </c>
      <c r="AJ85">
        <f>VLOOKUP(Table29[[#This Row],[Shortname]], Comp[], 15, FALSE)</f>
        <v>0</v>
      </c>
      <c r="AK85">
        <f>VLOOKUP(Table29[[#This Row],[Shortname]], Comp[], 16, FALSE)</f>
        <v>0</v>
      </c>
      <c r="AL85">
        <f>VLOOKUP(Table29[[#This Row],[Shortname]], Comp[], 17, FALSE)</f>
        <v>0</v>
      </c>
      <c r="AM85">
        <f>VLOOKUP(Table29[[#This Row],[Shortname]], Comp[], 18, FALSE)</f>
        <v>0</v>
      </c>
      <c r="AN85">
        <f>VLOOKUP(Table29[[#This Row],[Shortname]], Comp[], 19, FALSE)</f>
        <v>0</v>
      </c>
      <c r="AO85">
        <f>VLOOKUP(Table29[[#This Row],[Shortname]], Comp[], 20, FALSE)</f>
        <v>0</v>
      </c>
      <c r="AP85">
        <f>VLOOKUP(Table29[[#This Row],[Shortname]], Comp[], 21, FALSE)</f>
        <v>0</v>
      </c>
      <c r="AQ85">
        <f>VLOOKUP(Table29[[#This Row],[Shortname]], Comp[], 22, FALSE)</f>
        <v>2</v>
      </c>
      <c r="AR85">
        <f>VLOOKUP(Table29[[#This Row],[Shortname]], Comp[], 23, FALSE)</f>
        <v>0</v>
      </c>
      <c r="AS85">
        <f>VLOOKUP(Table29[[#This Row],[Shortname]], Comp[], 24, FALSE)</f>
        <v>0</v>
      </c>
      <c r="AT85">
        <f>VLOOKUP(Table29[[#This Row],[Shortname]], Comp[], 25, FALSE)</f>
        <v>0</v>
      </c>
      <c r="AU85">
        <f>VLOOKUP(Table29[[#This Row],[Shortname]], Comp[], 26, FALSE)</f>
        <v>0</v>
      </c>
      <c r="AV85">
        <f>VLOOKUP(Table29[[#This Row],[Shortname]], Comp[], 27, FALSE)</f>
        <v>0</v>
      </c>
      <c r="AW85">
        <f>VLOOKUP(Table29[[#This Row],[Shortname]], Comp[], 28, FALSE)</f>
        <v>0</v>
      </c>
      <c r="AX85">
        <f>VLOOKUP(Table29[[#This Row],[Shortname]], Comp[], 29, FALSE)</f>
        <v>0</v>
      </c>
      <c r="AY85">
        <f>VLOOKUP(Table29[[#This Row],[Shortname]], Comp[], 30, FALSE)</f>
        <v>0</v>
      </c>
      <c r="AZ85">
        <f>VLOOKUP(Table29[[#This Row],[Shortname]], Comp[], 31, FALSE)</f>
        <v>0</v>
      </c>
    </row>
    <row r="86" spans="1:52" x14ac:dyDescent="0.3">
      <c r="A86" t="s">
        <v>410</v>
      </c>
      <c r="B86">
        <v>72</v>
      </c>
      <c r="C86">
        <v>53</v>
      </c>
      <c r="D86" t="s">
        <v>11</v>
      </c>
      <c r="E86" t="s">
        <v>95</v>
      </c>
      <c r="F86" t="s">
        <v>412</v>
      </c>
      <c r="G86" t="s">
        <v>5340</v>
      </c>
      <c r="H86">
        <v>350</v>
      </c>
      <c r="I86">
        <v>2.8163000000000001E-7</v>
      </c>
      <c r="J86">
        <f>0.01/Table29[[#This Row],[Strain Rate (min) /s]]</f>
        <v>35507.580868515426</v>
      </c>
      <c r="K86">
        <f>LOG(Table29[[#This Row],[Time to 1% strain (s)]])</f>
        <v>4.5503210848264493</v>
      </c>
      <c r="L86">
        <v>850</v>
      </c>
      <c r="M86">
        <v>9.1999999999999993</v>
      </c>
      <c r="P86" t="s">
        <v>7062</v>
      </c>
      <c r="Q86">
        <v>1300</v>
      </c>
      <c r="R86">
        <v>12</v>
      </c>
      <c r="S86">
        <v>900</v>
      </c>
      <c r="T86">
        <v>200</v>
      </c>
      <c r="W86">
        <v>1</v>
      </c>
      <c r="X86">
        <v>10</v>
      </c>
      <c r="Y86">
        <v>72</v>
      </c>
      <c r="AA86">
        <f>VLOOKUP(Table29[[#This Row],[Shortname]], Comp[], 6, FALSE)</f>
        <v>53</v>
      </c>
      <c r="AB86" s="14">
        <f>VLOOKUP(Table29[[#This Row],[Shortname]], Comp[], 7, FALSE)</f>
        <v>79</v>
      </c>
      <c r="AC86">
        <f>VLOOKUP(Table29[[#This Row],[Shortname]], Comp[], 8, FALSE)</f>
        <v>0</v>
      </c>
      <c r="AD86">
        <f>VLOOKUP(Table29[[#This Row],[Shortname]], Comp[], 9, FALSE)</f>
        <v>8.6999999999999993</v>
      </c>
      <c r="AE86">
        <f>VLOOKUP(Table29[[#This Row],[Shortname]], Comp[], 10, FALSE)</f>
        <v>0</v>
      </c>
      <c r="AF86">
        <f>VLOOKUP(Table29[[#This Row],[Shortname]], Comp[], 11, FALSE)</f>
        <v>10.3</v>
      </c>
      <c r="AG86">
        <f>VLOOKUP(Table29[[#This Row],[Shortname]], Comp[],12, FALSE)</f>
        <v>0</v>
      </c>
      <c r="AH86">
        <f>VLOOKUP(Table29[[#This Row],[Shortname]], Comp[], 13, FALSE)</f>
        <v>0</v>
      </c>
      <c r="AI86">
        <f>VLOOKUP(Table29[[#This Row],[Shortname]], Comp[], 14, FALSE)</f>
        <v>0</v>
      </c>
      <c r="AJ86">
        <f>VLOOKUP(Table29[[#This Row],[Shortname]], Comp[], 15, FALSE)</f>
        <v>0</v>
      </c>
      <c r="AK86">
        <f>VLOOKUP(Table29[[#This Row],[Shortname]], Comp[], 16, FALSE)</f>
        <v>0</v>
      </c>
      <c r="AL86">
        <f>VLOOKUP(Table29[[#This Row],[Shortname]], Comp[], 17, FALSE)</f>
        <v>0</v>
      </c>
      <c r="AM86">
        <f>VLOOKUP(Table29[[#This Row],[Shortname]], Comp[], 18, FALSE)</f>
        <v>0</v>
      </c>
      <c r="AN86">
        <f>VLOOKUP(Table29[[#This Row],[Shortname]], Comp[], 19, FALSE)</f>
        <v>0</v>
      </c>
      <c r="AO86">
        <f>VLOOKUP(Table29[[#This Row],[Shortname]], Comp[], 20, FALSE)</f>
        <v>0</v>
      </c>
      <c r="AP86">
        <f>VLOOKUP(Table29[[#This Row],[Shortname]], Comp[], 21, FALSE)</f>
        <v>0</v>
      </c>
      <c r="AQ86">
        <f>VLOOKUP(Table29[[#This Row],[Shortname]], Comp[], 22, FALSE)</f>
        <v>2</v>
      </c>
      <c r="AR86">
        <f>VLOOKUP(Table29[[#This Row],[Shortname]], Comp[], 23, FALSE)</f>
        <v>0</v>
      </c>
      <c r="AS86">
        <f>VLOOKUP(Table29[[#This Row],[Shortname]], Comp[], 24, FALSE)</f>
        <v>0</v>
      </c>
      <c r="AT86">
        <f>VLOOKUP(Table29[[#This Row],[Shortname]], Comp[], 25, FALSE)</f>
        <v>0</v>
      </c>
      <c r="AU86">
        <f>VLOOKUP(Table29[[#This Row],[Shortname]], Comp[], 26, FALSE)</f>
        <v>0</v>
      </c>
      <c r="AV86">
        <f>VLOOKUP(Table29[[#This Row],[Shortname]], Comp[], 27, FALSE)</f>
        <v>0</v>
      </c>
      <c r="AW86">
        <f>VLOOKUP(Table29[[#This Row],[Shortname]], Comp[], 28, FALSE)</f>
        <v>0</v>
      </c>
      <c r="AX86">
        <f>VLOOKUP(Table29[[#This Row],[Shortname]], Comp[], 29, FALSE)</f>
        <v>0</v>
      </c>
      <c r="AY86">
        <f>VLOOKUP(Table29[[#This Row],[Shortname]], Comp[], 30, FALSE)</f>
        <v>0</v>
      </c>
      <c r="AZ86">
        <f>VLOOKUP(Table29[[#This Row],[Shortname]], Comp[], 31, FALSE)</f>
        <v>0</v>
      </c>
    </row>
    <row r="87" spans="1:52" x14ac:dyDescent="0.3">
      <c r="A87" t="s">
        <v>410</v>
      </c>
      <c r="B87">
        <v>73</v>
      </c>
      <c r="C87">
        <v>53</v>
      </c>
      <c r="D87" t="s">
        <v>11</v>
      </c>
      <c r="E87" t="s">
        <v>95</v>
      </c>
      <c r="F87" t="s">
        <v>412</v>
      </c>
      <c r="G87" t="s">
        <v>5340</v>
      </c>
      <c r="H87">
        <v>400</v>
      </c>
      <c r="I87">
        <v>1.0556999999999999E-6</v>
      </c>
      <c r="J87">
        <f>0.01/Table29[[#This Row],[Strain Rate (min) /s]]</f>
        <v>9472.3879890120315</v>
      </c>
      <c r="K87">
        <f>LOG(Table29[[#This Row],[Time to 1% strain (s)]])</f>
        <v>3.9764594784451459</v>
      </c>
      <c r="L87">
        <v>850</v>
      </c>
      <c r="M87">
        <v>9.1999999999999993</v>
      </c>
      <c r="P87" t="s">
        <v>7062</v>
      </c>
      <c r="Q87">
        <v>1300</v>
      </c>
      <c r="R87">
        <v>12</v>
      </c>
      <c r="S87">
        <v>900</v>
      </c>
      <c r="T87">
        <v>200</v>
      </c>
      <c r="W87">
        <v>1</v>
      </c>
      <c r="X87">
        <v>10</v>
      </c>
      <c r="Y87">
        <v>72</v>
      </c>
      <c r="AA87">
        <f>VLOOKUP(Table29[[#This Row],[Shortname]], Comp[], 6, FALSE)</f>
        <v>53</v>
      </c>
      <c r="AB87" s="14">
        <f>VLOOKUP(Table29[[#This Row],[Shortname]], Comp[], 7, FALSE)</f>
        <v>79</v>
      </c>
      <c r="AC87">
        <f>VLOOKUP(Table29[[#This Row],[Shortname]], Comp[], 8, FALSE)</f>
        <v>0</v>
      </c>
      <c r="AD87">
        <f>VLOOKUP(Table29[[#This Row],[Shortname]], Comp[], 9, FALSE)</f>
        <v>8.6999999999999993</v>
      </c>
      <c r="AE87">
        <f>VLOOKUP(Table29[[#This Row],[Shortname]], Comp[], 10, FALSE)</f>
        <v>0</v>
      </c>
      <c r="AF87">
        <f>VLOOKUP(Table29[[#This Row],[Shortname]], Comp[], 11, FALSE)</f>
        <v>10.3</v>
      </c>
      <c r="AG87">
        <f>VLOOKUP(Table29[[#This Row],[Shortname]], Comp[],12, FALSE)</f>
        <v>0</v>
      </c>
      <c r="AH87">
        <f>VLOOKUP(Table29[[#This Row],[Shortname]], Comp[], 13, FALSE)</f>
        <v>0</v>
      </c>
      <c r="AI87">
        <f>VLOOKUP(Table29[[#This Row],[Shortname]], Comp[], 14, FALSE)</f>
        <v>0</v>
      </c>
      <c r="AJ87">
        <f>VLOOKUP(Table29[[#This Row],[Shortname]], Comp[], 15, FALSE)</f>
        <v>0</v>
      </c>
      <c r="AK87">
        <f>VLOOKUP(Table29[[#This Row],[Shortname]], Comp[], 16, FALSE)</f>
        <v>0</v>
      </c>
      <c r="AL87">
        <f>VLOOKUP(Table29[[#This Row],[Shortname]], Comp[], 17, FALSE)</f>
        <v>0</v>
      </c>
      <c r="AM87">
        <f>VLOOKUP(Table29[[#This Row],[Shortname]], Comp[], 18, FALSE)</f>
        <v>0</v>
      </c>
      <c r="AN87">
        <f>VLOOKUP(Table29[[#This Row],[Shortname]], Comp[], 19, FALSE)</f>
        <v>0</v>
      </c>
      <c r="AO87">
        <f>VLOOKUP(Table29[[#This Row],[Shortname]], Comp[], 20, FALSE)</f>
        <v>0</v>
      </c>
      <c r="AP87">
        <f>VLOOKUP(Table29[[#This Row],[Shortname]], Comp[], 21, FALSE)</f>
        <v>0</v>
      </c>
      <c r="AQ87">
        <f>VLOOKUP(Table29[[#This Row],[Shortname]], Comp[], 22, FALSE)</f>
        <v>2</v>
      </c>
      <c r="AR87">
        <f>VLOOKUP(Table29[[#This Row],[Shortname]], Comp[], 23, FALSE)</f>
        <v>0</v>
      </c>
      <c r="AS87">
        <f>VLOOKUP(Table29[[#This Row],[Shortname]], Comp[], 24, FALSE)</f>
        <v>0</v>
      </c>
      <c r="AT87">
        <f>VLOOKUP(Table29[[#This Row],[Shortname]], Comp[], 25, FALSE)</f>
        <v>0</v>
      </c>
      <c r="AU87">
        <f>VLOOKUP(Table29[[#This Row],[Shortname]], Comp[], 26, FALSE)</f>
        <v>0</v>
      </c>
      <c r="AV87">
        <f>VLOOKUP(Table29[[#This Row],[Shortname]], Comp[], 27, FALSE)</f>
        <v>0</v>
      </c>
      <c r="AW87">
        <f>VLOOKUP(Table29[[#This Row],[Shortname]], Comp[], 28, FALSE)</f>
        <v>0</v>
      </c>
      <c r="AX87">
        <f>VLOOKUP(Table29[[#This Row],[Shortname]], Comp[], 29, FALSE)</f>
        <v>0</v>
      </c>
      <c r="AY87">
        <f>VLOOKUP(Table29[[#This Row],[Shortname]], Comp[], 30, FALSE)</f>
        <v>0</v>
      </c>
      <c r="AZ87">
        <f>VLOOKUP(Table29[[#This Row],[Shortname]], Comp[], 31, FALSE)</f>
        <v>0</v>
      </c>
    </row>
    <row r="88" spans="1:52" x14ac:dyDescent="0.3">
      <c r="A88" t="s">
        <v>435</v>
      </c>
      <c r="B88">
        <v>22</v>
      </c>
      <c r="C88">
        <v>57</v>
      </c>
      <c r="D88" t="s">
        <v>436</v>
      </c>
      <c r="E88" t="s">
        <v>95</v>
      </c>
      <c r="F88" t="s">
        <v>437</v>
      </c>
      <c r="G88" t="s">
        <v>286</v>
      </c>
      <c r="H88">
        <v>150</v>
      </c>
      <c r="I88">
        <v>3.3096000000000001E-8</v>
      </c>
      <c r="J88">
        <f>0.01/Table29[[#This Row],[Strain Rate (min) /s]]</f>
        <v>302151.31737974379</v>
      </c>
      <c r="K88">
        <f>LOG(Table29[[#This Row],[Time to 1% strain (s)]])</f>
        <v>5.4802244921125443</v>
      </c>
      <c r="L88">
        <v>950</v>
      </c>
      <c r="M88">
        <v>8.8000000000000007</v>
      </c>
      <c r="P88" t="s">
        <v>7063</v>
      </c>
      <c r="Q88">
        <v>1300</v>
      </c>
      <c r="R88">
        <v>12</v>
      </c>
      <c r="S88">
        <v>900</v>
      </c>
      <c r="T88">
        <v>200</v>
      </c>
      <c r="W88">
        <v>1</v>
      </c>
      <c r="X88">
        <v>10</v>
      </c>
      <c r="Y88">
        <v>75</v>
      </c>
      <c r="AA88">
        <f>VLOOKUP(Table29[[#This Row],[Shortname]], Comp[], 6, FALSE)</f>
        <v>57</v>
      </c>
      <c r="AB88" s="14">
        <f>VLOOKUP(Table29[[#This Row],[Shortname]], Comp[], 7, FALSE)</f>
        <v>79.680000000000007</v>
      </c>
      <c r="AC88">
        <f>VLOOKUP(Table29[[#This Row],[Shortname]], Comp[], 8, FALSE)</f>
        <v>0</v>
      </c>
      <c r="AD88">
        <f>VLOOKUP(Table29[[#This Row],[Shortname]], Comp[], 9, FALSE)</f>
        <v>8.4</v>
      </c>
      <c r="AE88">
        <f>VLOOKUP(Table29[[#This Row],[Shortname]], Comp[], 10, FALSE)</f>
        <v>0</v>
      </c>
      <c r="AF88">
        <f>VLOOKUP(Table29[[#This Row],[Shortname]], Comp[], 11, FALSE)</f>
        <v>9.6</v>
      </c>
      <c r="AG88">
        <f>VLOOKUP(Table29[[#This Row],[Shortname]], Comp[],12, FALSE)</f>
        <v>2.2000000000000002</v>
      </c>
      <c r="AH88">
        <f>VLOOKUP(Table29[[#This Row],[Shortname]], Comp[], 13, FALSE)</f>
        <v>0</v>
      </c>
      <c r="AI88">
        <f>VLOOKUP(Table29[[#This Row],[Shortname]], Comp[], 14, FALSE)</f>
        <v>0</v>
      </c>
      <c r="AJ88">
        <f>VLOOKUP(Table29[[#This Row],[Shortname]], Comp[], 15, FALSE)</f>
        <v>0</v>
      </c>
      <c r="AK88">
        <f>VLOOKUP(Table29[[#This Row],[Shortname]], Comp[], 16, FALSE)</f>
        <v>0</v>
      </c>
      <c r="AL88">
        <f>VLOOKUP(Table29[[#This Row],[Shortname]], Comp[], 17, FALSE)</f>
        <v>0</v>
      </c>
      <c r="AM88">
        <f>VLOOKUP(Table29[[#This Row],[Shortname]], Comp[], 18, FALSE)</f>
        <v>0</v>
      </c>
      <c r="AN88">
        <f>VLOOKUP(Table29[[#This Row],[Shortname]], Comp[], 19, FALSE)</f>
        <v>0.12</v>
      </c>
      <c r="AO88">
        <f>VLOOKUP(Table29[[#This Row],[Shortname]], Comp[], 20, FALSE)</f>
        <v>0</v>
      </c>
      <c r="AP88">
        <f>VLOOKUP(Table29[[#This Row],[Shortname]], Comp[], 21, FALSE)</f>
        <v>0</v>
      </c>
      <c r="AQ88">
        <f>VLOOKUP(Table29[[#This Row],[Shortname]], Comp[], 22, FALSE)</f>
        <v>0</v>
      </c>
      <c r="AR88">
        <f>VLOOKUP(Table29[[#This Row],[Shortname]], Comp[], 23, FALSE)</f>
        <v>0</v>
      </c>
      <c r="AS88">
        <f>VLOOKUP(Table29[[#This Row],[Shortname]], Comp[], 24, FALSE)</f>
        <v>0</v>
      </c>
      <c r="AT88">
        <f>VLOOKUP(Table29[[#This Row],[Shortname]], Comp[], 25, FALSE)</f>
        <v>0</v>
      </c>
      <c r="AU88">
        <f>VLOOKUP(Table29[[#This Row],[Shortname]], Comp[], 26, FALSE)</f>
        <v>0</v>
      </c>
      <c r="AV88">
        <f>VLOOKUP(Table29[[#This Row],[Shortname]], Comp[], 27, FALSE)</f>
        <v>0</v>
      </c>
      <c r="AW88">
        <f>VLOOKUP(Table29[[#This Row],[Shortname]], Comp[], 28, FALSE)</f>
        <v>0</v>
      </c>
      <c r="AX88">
        <f>VLOOKUP(Table29[[#This Row],[Shortname]], Comp[], 29, FALSE)</f>
        <v>0</v>
      </c>
      <c r="AY88">
        <f>VLOOKUP(Table29[[#This Row],[Shortname]], Comp[], 30, FALSE)</f>
        <v>0</v>
      </c>
      <c r="AZ88">
        <f>VLOOKUP(Table29[[#This Row],[Shortname]], Comp[], 31, FALSE)</f>
        <v>0</v>
      </c>
    </row>
    <row r="89" spans="1:52" x14ac:dyDescent="0.3">
      <c r="A89" t="s">
        <v>435</v>
      </c>
      <c r="B89">
        <v>23</v>
      </c>
      <c r="C89">
        <v>57</v>
      </c>
      <c r="D89" t="s">
        <v>11</v>
      </c>
      <c r="E89" t="s">
        <v>95</v>
      </c>
      <c r="F89" t="s">
        <v>437</v>
      </c>
      <c r="G89" t="s">
        <v>286</v>
      </c>
      <c r="H89">
        <v>200</v>
      </c>
      <c r="I89">
        <v>2.8682999999999998E-7</v>
      </c>
      <c r="J89">
        <f>0.01/Table29[[#This Row],[Strain Rate (min) /s]]</f>
        <v>34863.856639821497</v>
      </c>
      <c r="K89">
        <f>LOG(Table29[[#This Row],[Time to 1% strain (s)]])</f>
        <v>4.5423754270869425</v>
      </c>
      <c r="L89">
        <v>950</v>
      </c>
      <c r="M89">
        <v>8.8000000000000007</v>
      </c>
      <c r="P89" t="s">
        <v>7063</v>
      </c>
      <c r="Q89">
        <v>1300</v>
      </c>
      <c r="R89">
        <v>12</v>
      </c>
      <c r="S89">
        <v>900</v>
      </c>
      <c r="T89">
        <v>200</v>
      </c>
      <c r="W89">
        <v>1</v>
      </c>
      <c r="X89">
        <v>10</v>
      </c>
      <c r="Y89">
        <v>75</v>
      </c>
      <c r="AA89">
        <f>VLOOKUP(Table29[[#This Row],[Shortname]], Comp[], 6, FALSE)</f>
        <v>57</v>
      </c>
      <c r="AB89" s="14">
        <f>VLOOKUP(Table29[[#This Row],[Shortname]], Comp[], 7, FALSE)</f>
        <v>79.680000000000007</v>
      </c>
      <c r="AC89">
        <f>VLOOKUP(Table29[[#This Row],[Shortname]], Comp[], 8, FALSE)</f>
        <v>0</v>
      </c>
      <c r="AD89">
        <f>VLOOKUP(Table29[[#This Row],[Shortname]], Comp[], 9, FALSE)</f>
        <v>8.4</v>
      </c>
      <c r="AE89">
        <f>VLOOKUP(Table29[[#This Row],[Shortname]], Comp[], 10, FALSE)</f>
        <v>0</v>
      </c>
      <c r="AF89">
        <f>VLOOKUP(Table29[[#This Row],[Shortname]], Comp[], 11, FALSE)</f>
        <v>9.6</v>
      </c>
      <c r="AG89">
        <f>VLOOKUP(Table29[[#This Row],[Shortname]], Comp[],12, FALSE)</f>
        <v>2.2000000000000002</v>
      </c>
      <c r="AH89">
        <f>VLOOKUP(Table29[[#This Row],[Shortname]], Comp[], 13, FALSE)</f>
        <v>0</v>
      </c>
      <c r="AI89">
        <f>VLOOKUP(Table29[[#This Row],[Shortname]], Comp[], 14, FALSE)</f>
        <v>0</v>
      </c>
      <c r="AJ89">
        <f>VLOOKUP(Table29[[#This Row],[Shortname]], Comp[], 15, FALSE)</f>
        <v>0</v>
      </c>
      <c r="AK89">
        <f>VLOOKUP(Table29[[#This Row],[Shortname]], Comp[], 16, FALSE)</f>
        <v>0</v>
      </c>
      <c r="AL89">
        <f>VLOOKUP(Table29[[#This Row],[Shortname]], Comp[], 17, FALSE)</f>
        <v>0</v>
      </c>
      <c r="AM89">
        <f>VLOOKUP(Table29[[#This Row],[Shortname]], Comp[], 18, FALSE)</f>
        <v>0</v>
      </c>
      <c r="AN89">
        <f>VLOOKUP(Table29[[#This Row],[Shortname]], Comp[], 19, FALSE)</f>
        <v>0.12</v>
      </c>
      <c r="AO89">
        <f>VLOOKUP(Table29[[#This Row],[Shortname]], Comp[], 20, FALSE)</f>
        <v>0</v>
      </c>
      <c r="AP89">
        <f>VLOOKUP(Table29[[#This Row],[Shortname]], Comp[], 21, FALSE)</f>
        <v>0</v>
      </c>
      <c r="AQ89">
        <f>VLOOKUP(Table29[[#This Row],[Shortname]], Comp[], 22, FALSE)</f>
        <v>0</v>
      </c>
      <c r="AR89">
        <f>VLOOKUP(Table29[[#This Row],[Shortname]], Comp[], 23, FALSE)</f>
        <v>0</v>
      </c>
      <c r="AS89">
        <f>VLOOKUP(Table29[[#This Row],[Shortname]], Comp[], 24, FALSE)</f>
        <v>0</v>
      </c>
      <c r="AT89">
        <f>VLOOKUP(Table29[[#This Row],[Shortname]], Comp[], 25, FALSE)</f>
        <v>0</v>
      </c>
      <c r="AU89">
        <f>VLOOKUP(Table29[[#This Row],[Shortname]], Comp[], 26, FALSE)</f>
        <v>0</v>
      </c>
      <c r="AV89">
        <f>VLOOKUP(Table29[[#This Row],[Shortname]], Comp[], 27, FALSE)</f>
        <v>0</v>
      </c>
      <c r="AW89">
        <f>VLOOKUP(Table29[[#This Row],[Shortname]], Comp[], 28, FALSE)</f>
        <v>0</v>
      </c>
      <c r="AX89">
        <f>VLOOKUP(Table29[[#This Row],[Shortname]], Comp[], 29, FALSE)</f>
        <v>0</v>
      </c>
      <c r="AY89">
        <f>VLOOKUP(Table29[[#This Row],[Shortname]], Comp[], 30, FALSE)</f>
        <v>0</v>
      </c>
      <c r="AZ89">
        <f>VLOOKUP(Table29[[#This Row],[Shortname]], Comp[], 31, FALSE)</f>
        <v>0</v>
      </c>
    </row>
    <row r="90" spans="1:52" x14ac:dyDescent="0.3">
      <c r="A90" t="s">
        <v>435</v>
      </c>
      <c r="B90">
        <v>24</v>
      </c>
      <c r="C90">
        <v>57</v>
      </c>
      <c r="D90" t="s">
        <v>11</v>
      </c>
      <c r="E90" t="s">
        <v>95</v>
      </c>
      <c r="F90" t="s">
        <v>437</v>
      </c>
      <c r="G90" t="s">
        <v>286</v>
      </c>
      <c r="H90">
        <v>250</v>
      </c>
      <c r="I90">
        <v>3.2246E-6</v>
      </c>
      <c r="J90">
        <f>0.01/Table29[[#This Row],[Strain Rate (min) /s]]</f>
        <v>3101.1598337778328</v>
      </c>
      <c r="K90">
        <f>LOG(Table29[[#This Row],[Time to 1% strain (s)]])</f>
        <v>3.4915241503517671</v>
      </c>
      <c r="L90">
        <v>950</v>
      </c>
      <c r="M90">
        <v>8.8000000000000007</v>
      </c>
      <c r="P90" t="s">
        <v>7063</v>
      </c>
      <c r="Q90">
        <v>1300</v>
      </c>
      <c r="R90">
        <v>12</v>
      </c>
      <c r="S90">
        <v>900</v>
      </c>
      <c r="T90">
        <v>200</v>
      </c>
      <c r="W90">
        <v>1</v>
      </c>
      <c r="X90">
        <v>10</v>
      </c>
      <c r="Y90">
        <v>75</v>
      </c>
      <c r="AA90">
        <f>VLOOKUP(Table29[[#This Row],[Shortname]], Comp[], 6, FALSE)</f>
        <v>57</v>
      </c>
      <c r="AB90" s="14">
        <f>VLOOKUP(Table29[[#This Row],[Shortname]], Comp[], 7, FALSE)</f>
        <v>79.680000000000007</v>
      </c>
      <c r="AC90">
        <f>VLOOKUP(Table29[[#This Row],[Shortname]], Comp[], 8, FALSE)</f>
        <v>0</v>
      </c>
      <c r="AD90">
        <f>VLOOKUP(Table29[[#This Row],[Shortname]], Comp[], 9, FALSE)</f>
        <v>8.4</v>
      </c>
      <c r="AE90">
        <f>VLOOKUP(Table29[[#This Row],[Shortname]], Comp[], 10, FALSE)</f>
        <v>0</v>
      </c>
      <c r="AF90">
        <f>VLOOKUP(Table29[[#This Row],[Shortname]], Comp[], 11, FALSE)</f>
        <v>9.6</v>
      </c>
      <c r="AG90">
        <f>VLOOKUP(Table29[[#This Row],[Shortname]], Comp[],12, FALSE)</f>
        <v>2.2000000000000002</v>
      </c>
      <c r="AH90">
        <f>VLOOKUP(Table29[[#This Row],[Shortname]], Comp[], 13, FALSE)</f>
        <v>0</v>
      </c>
      <c r="AI90">
        <f>VLOOKUP(Table29[[#This Row],[Shortname]], Comp[], 14, FALSE)</f>
        <v>0</v>
      </c>
      <c r="AJ90">
        <f>VLOOKUP(Table29[[#This Row],[Shortname]], Comp[], 15, FALSE)</f>
        <v>0</v>
      </c>
      <c r="AK90">
        <f>VLOOKUP(Table29[[#This Row],[Shortname]], Comp[], 16, FALSE)</f>
        <v>0</v>
      </c>
      <c r="AL90">
        <f>VLOOKUP(Table29[[#This Row],[Shortname]], Comp[], 17, FALSE)</f>
        <v>0</v>
      </c>
      <c r="AM90">
        <f>VLOOKUP(Table29[[#This Row],[Shortname]], Comp[], 18, FALSE)</f>
        <v>0</v>
      </c>
      <c r="AN90">
        <f>VLOOKUP(Table29[[#This Row],[Shortname]], Comp[], 19, FALSE)</f>
        <v>0.12</v>
      </c>
      <c r="AO90">
        <f>VLOOKUP(Table29[[#This Row],[Shortname]], Comp[], 20, FALSE)</f>
        <v>0</v>
      </c>
      <c r="AP90">
        <f>VLOOKUP(Table29[[#This Row],[Shortname]], Comp[], 21, FALSE)</f>
        <v>0</v>
      </c>
      <c r="AQ90">
        <f>VLOOKUP(Table29[[#This Row],[Shortname]], Comp[], 22, FALSE)</f>
        <v>0</v>
      </c>
      <c r="AR90">
        <f>VLOOKUP(Table29[[#This Row],[Shortname]], Comp[], 23, FALSE)</f>
        <v>0</v>
      </c>
      <c r="AS90">
        <f>VLOOKUP(Table29[[#This Row],[Shortname]], Comp[], 24, FALSE)</f>
        <v>0</v>
      </c>
      <c r="AT90">
        <f>VLOOKUP(Table29[[#This Row],[Shortname]], Comp[], 25, FALSE)</f>
        <v>0</v>
      </c>
      <c r="AU90">
        <f>VLOOKUP(Table29[[#This Row],[Shortname]], Comp[], 26, FALSE)</f>
        <v>0</v>
      </c>
      <c r="AV90">
        <f>VLOOKUP(Table29[[#This Row],[Shortname]], Comp[], 27, FALSE)</f>
        <v>0</v>
      </c>
      <c r="AW90">
        <f>VLOOKUP(Table29[[#This Row],[Shortname]], Comp[], 28, FALSE)</f>
        <v>0</v>
      </c>
      <c r="AX90">
        <f>VLOOKUP(Table29[[#This Row],[Shortname]], Comp[], 29, FALSE)</f>
        <v>0</v>
      </c>
      <c r="AY90">
        <f>VLOOKUP(Table29[[#This Row],[Shortname]], Comp[], 30, FALSE)</f>
        <v>0</v>
      </c>
      <c r="AZ90">
        <f>VLOOKUP(Table29[[#This Row],[Shortname]], Comp[], 31, FALSE)</f>
        <v>0</v>
      </c>
    </row>
    <row r="91" spans="1:52" x14ac:dyDescent="0.3">
      <c r="A91" t="s">
        <v>435</v>
      </c>
      <c r="B91">
        <v>63</v>
      </c>
      <c r="C91">
        <v>57</v>
      </c>
      <c r="D91" t="s">
        <v>11</v>
      </c>
      <c r="E91" t="s">
        <v>95</v>
      </c>
      <c r="F91" t="s">
        <v>437</v>
      </c>
      <c r="G91" t="s">
        <v>359</v>
      </c>
      <c r="H91">
        <v>400</v>
      </c>
      <c r="I91">
        <v>2.5393000000000001E-8</v>
      </c>
      <c r="J91">
        <f>0.01/Table29[[#This Row],[Strain Rate (min) /s]]</f>
        <v>393809.31752845272</v>
      </c>
      <c r="K91">
        <f>LOG(Table29[[#This Row],[Time to 1% strain (s)]])</f>
        <v>5.5952859873311009</v>
      </c>
      <c r="L91">
        <v>850</v>
      </c>
      <c r="M91">
        <v>10.8</v>
      </c>
      <c r="P91" t="s">
        <v>7064</v>
      </c>
      <c r="Q91">
        <v>1300</v>
      </c>
      <c r="R91">
        <v>12</v>
      </c>
      <c r="S91">
        <v>900</v>
      </c>
      <c r="T91">
        <v>200</v>
      </c>
      <c r="W91">
        <v>1</v>
      </c>
      <c r="X91">
        <v>10</v>
      </c>
      <c r="Y91">
        <v>75</v>
      </c>
      <c r="AA91">
        <f>VLOOKUP(Table29[[#This Row],[Shortname]], Comp[], 6, FALSE)</f>
        <v>57</v>
      </c>
      <c r="AB91" s="14">
        <f>VLOOKUP(Table29[[#This Row],[Shortname]], Comp[], 7, FALSE)</f>
        <v>79.680000000000007</v>
      </c>
      <c r="AC91">
        <f>VLOOKUP(Table29[[#This Row],[Shortname]], Comp[], 8, FALSE)</f>
        <v>0</v>
      </c>
      <c r="AD91">
        <f>VLOOKUP(Table29[[#This Row],[Shortname]], Comp[], 9, FALSE)</f>
        <v>8.4</v>
      </c>
      <c r="AE91">
        <f>VLOOKUP(Table29[[#This Row],[Shortname]], Comp[], 10, FALSE)</f>
        <v>0</v>
      </c>
      <c r="AF91">
        <f>VLOOKUP(Table29[[#This Row],[Shortname]], Comp[], 11, FALSE)</f>
        <v>9.6</v>
      </c>
      <c r="AG91">
        <f>VLOOKUP(Table29[[#This Row],[Shortname]], Comp[],12, FALSE)</f>
        <v>2.2000000000000002</v>
      </c>
      <c r="AH91">
        <f>VLOOKUP(Table29[[#This Row],[Shortname]], Comp[], 13, FALSE)</f>
        <v>0</v>
      </c>
      <c r="AI91">
        <f>VLOOKUP(Table29[[#This Row],[Shortname]], Comp[], 14, FALSE)</f>
        <v>0</v>
      </c>
      <c r="AJ91">
        <f>VLOOKUP(Table29[[#This Row],[Shortname]], Comp[], 15, FALSE)</f>
        <v>0</v>
      </c>
      <c r="AK91">
        <f>VLOOKUP(Table29[[#This Row],[Shortname]], Comp[], 16, FALSE)</f>
        <v>0</v>
      </c>
      <c r="AL91">
        <f>VLOOKUP(Table29[[#This Row],[Shortname]], Comp[], 17, FALSE)</f>
        <v>0</v>
      </c>
      <c r="AM91">
        <f>VLOOKUP(Table29[[#This Row],[Shortname]], Comp[], 18, FALSE)</f>
        <v>0</v>
      </c>
      <c r="AN91">
        <f>VLOOKUP(Table29[[#This Row],[Shortname]], Comp[], 19, FALSE)</f>
        <v>0.12</v>
      </c>
      <c r="AO91">
        <f>VLOOKUP(Table29[[#This Row],[Shortname]], Comp[], 20, FALSE)</f>
        <v>0</v>
      </c>
      <c r="AP91">
        <f>VLOOKUP(Table29[[#This Row],[Shortname]], Comp[], 21, FALSE)</f>
        <v>0</v>
      </c>
      <c r="AQ91">
        <f>VLOOKUP(Table29[[#This Row],[Shortname]], Comp[], 22, FALSE)</f>
        <v>0</v>
      </c>
      <c r="AR91">
        <f>VLOOKUP(Table29[[#This Row],[Shortname]], Comp[], 23, FALSE)</f>
        <v>0</v>
      </c>
      <c r="AS91">
        <f>VLOOKUP(Table29[[#This Row],[Shortname]], Comp[], 24, FALSE)</f>
        <v>0</v>
      </c>
      <c r="AT91">
        <f>VLOOKUP(Table29[[#This Row],[Shortname]], Comp[], 25, FALSE)</f>
        <v>0</v>
      </c>
      <c r="AU91">
        <f>VLOOKUP(Table29[[#This Row],[Shortname]], Comp[], 26, FALSE)</f>
        <v>0</v>
      </c>
      <c r="AV91">
        <f>VLOOKUP(Table29[[#This Row],[Shortname]], Comp[], 27, FALSE)</f>
        <v>0</v>
      </c>
      <c r="AW91">
        <f>VLOOKUP(Table29[[#This Row],[Shortname]], Comp[], 28, FALSE)</f>
        <v>0</v>
      </c>
      <c r="AX91">
        <f>VLOOKUP(Table29[[#This Row],[Shortname]], Comp[], 29, FALSE)</f>
        <v>0</v>
      </c>
      <c r="AY91">
        <f>VLOOKUP(Table29[[#This Row],[Shortname]], Comp[], 30, FALSE)</f>
        <v>0</v>
      </c>
      <c r="AZ91">
        <f>VLOOKUP(Table29[[#This Row],[Shortname]], Comp[], 31, FALSE)</f>
        <v>0</v>
      </c>
    </row>
    <row r="92" spans="1:52" x14ac:dyDescent="0.3">
      <c r="A92" t="s">
        <v>435</v>
      </c>
      <c r="B92">
        <v>64</v>
      </c>
      <c r="C92">
        <v>57</v>
      </c>
      <c r="D92" t="s">
        <v>11</v>
      </c>
      <c r="E92" t="s">
        <v>95</v>
      </c>
      <c r="F92" t="s">
        <v>437</v>
      </c>
      <c r="G92" t="s">
        <v>359</v>
      </c>
      <c r="H92">
        <v>450</v>
      </c>
      <c r="I92">
        <v>9.7084999999999999E-8</v>
      </c>
      <c r="J92">
        <f>0.01/Table29[[#This Row],[Strain Rate (min) /s]]</f>
        <v>103002.52356182727</v>
      </c>
      <c r="K92">
        <f>LOG(Table29[[#This Row],[Time to 1% strain (s)]])</f>
        <v>5.0128478650503236</v>
      </c>
      <c r="L92">
        <v>850</v>
      </c>
      <c r="M92">
        <v>10.8</v>
      </c>
      <c r="P92" t="s">
        <v>7064</v>
      </c>
      <c r="Q92">
        <v>1300</v>
      </c>
      <c r="R92">
        <v>12</v>
      </c>
      <c r="S92">
        <v>900</v>
      </c>
      <c r="T92">
        <v>200</v>
      </c>
      <c r="W92">
        <v>1</v>
      </c>
      <c r="X92">
        <v>10</v>
      </c>
      <c r="Y92">
        <v>75</v>
      </c>
      <c r="AA92">
        <f>VLOOKUP(Table29[[#This Row],[Shortname]], Comp[], 6, FALSE)</f>
        <v>57</v>
      </c>
      <c r="AB92" s="14">
        <f>VLOOKUP(Table29[[#This Row],[Shortname]], Comp[], 7, FALSE)</f>
        <v>79.680000000000007</v>
      </c>
      <c r="AC92">
        <f>VLOOKUP(Table29[[#This Row],[Shortname]], Comp[], 8, FALSE)</f>
        <v>0</v>
      </c>
      <c r="AD92">
        <f>VLOOKUP(Table29[[#This Row],[Shortname]], Comp[], 9, FALSE)</f>
        <v>8.4</v>
      </c>
      <c r="AE92">
        <f>VLOOKUP(Table29[[#This Row],[Shortname]], Comp[], 10, FALSE)</f>
        <v>0</v>
      </c>
      <c r="AF92">
        <f>VLOOKUP(Table29[[#This Row],[Shortname]], Comp[], 11, FALSE)</f>
        <v>9.6</v>
      </c>
      <c r="AG92">
        <f>VLOOKUP(Table29[[#This Row],[Shortname]], Comp[],12, FALSE)</f>
        <v>2.2000000000000002</v>
      </c>
      <c r="AH92">
        <f>VLOOKUP(Table29[[#This Row],[Shortname]], Comp[], 13, FALSE)</f>
        <v>0</v>
      </c>
      <c r="AI92">
        <f>VLOOKUP(Table29[[#This Row],[Shortname]], Comp[], 14, FALSE)</f>
        <v>0</v>
      </c>
      <c r="AJ92">
        <f>VLOOKUP(Table29[[#This Row],[Shortname]], Comp[], 15, FALSE)</f>
        <v>0</v>
      </c>
      <c r="AK92">
        <f>VLOOKUP(Table29[[#This Row],[Shortname]], Comp[], 16, FALSE)</f>
        <v>0</v>
      </c>
      <c r="AL92">
        <f>VLOOKUP(Table29[[#This Row],[Shortname]], Comp[], 17, FALSE)</f>
        <v>0</v>
      </c>
      <c r="AM92">
        <f>VLOOKUP(Table29[[#This Row],[Shortname]], Comp[], 18, FALSE)</f>
        <v>0</v>
      </c>
      <c r="AN92">
        <f>VLOOKUP(Table29[[#This Row],[Shortname]], Comp[], 19, FALSE)</f>
        <v>0.12</v>
      </c>
      <c r="AO92">
        <f>VLOOKUP(Table29[[#This Row],[Shortname]], Comp[], 20, FALSE)</f>
        <v>0</v>
      </c>
      <c r="AP92">
        <f>VLOOKUP(Table29[[#This Row],[Shortname]], Comp[], 21, FALSE)</f>
        <v>0</v>
      </c>
      <c r="AQ92">
        <f>VLOOKUP(Table29[[#This Row],[Shortname]], Comp[], 22, FALSE)</f>
        <v>0</v>
      </c>
      <c r="AR92">
        <f>VLOOKUP(Table29[[#This Row],[Shortname]], Comp[], 23, FALSE)</f>
        <v>0</v>
      </c>
      <c r="AS92">
        <f>VLOOKUP(Table29[[#This Row],[Shortname]], Comp[], 24, FALSE)</f>
        <v>0</v>
      </c>
      <c r="AT92">
        <f>VLOOKUP(Table29[[#This Row],[Shortname]], Comp[], 25, FALSE)</f>
        <v>0</v>
      </c>
      <c r="AU92">
        <f>VLOOKUP(Table29[[#This Row],[Shortname]], Comp[], 26, FALSE)</f>
        <v>0</v>
      </c>
      <c r="AV92">
        <f>VLOOKUP(Table29[[#This Row],[Shortname]], Comp[], 27, FALSE)</f>
        <v>0</v>
      </c>
      <c r="AW92">
        <f>VLOOKUP(Table29[[#This Row],[Shortname]], Comp[], 28, FALSE)</f>
        <v>0</v>
      </c>
      <c r="AX92">
        <f>VLOOKUP(Table29[[#This Row],[Shortname]], Comp[], 29, FALSE)</f>
        <v>0</v>
      </c>
      <c r="AY92">
        <f>VLOOKUP(Table29[[#This Row],[Shortname]], Comp[], 30, FALSE)</f>
        <v>0</v>
      </c>
      <c r="AZ92">
        <f>VLOOKUP(Table29[[#This Row],[Shortname]], Comp[], 31, FALSE)</f>
        <v>0</v>
      </c>
    </row>
    <row r="93" spans="1:52" x14ac:dyDescent="0.3">
      <c r="A93" t="s">
        <v>435</v>
      </c>
      <c r="B93">
        <v>65</v>
      </c>
      <c r="C93">
        <v>57</v>
      </c>
      <c r="D93" t="s">
        <v>11</v>
      </c>
      <c r="E93" t="s">
        <v>95</v>
      </c>
      <c r="F93" t="s">
        <v>437</v>
      </c>
      <c r="G93" t="s">
        <v>359</v>
      </c>
      <c r="H93">
        <v>500</v>
      </c>
      <c r="I93">
        <v>2.7613000000000002E-7</v>
      </c>
      <c r="J93">
        <f>0.01/Table29[[#This Row],[Strain Rate (min) /s]]</f>
        <v>36214.826349907649</v>
      </c>
      <c r="K93">
        <f>LOG(Table29[[#This Row],[Time to 1% strain (s)]])</f>
        <v>4.5588864070996866</v>
      </c>
      <c r="L93">
        <v>850</v>
      </c>
      <c r="M93">
        <v>10.8</v>
      </c>
      <c r="P93" t="s">
        <v>7064</v>
      </c>
      <c r="Q93">
        <v>1300</v>
      </c>
      <c r="R93">
        <v>12</v>
      </c>
      <c r="S93">
        <v>900</v>
      </c>
      <c r="T93">
        <v>200</v>
      </c>
      <c r="W93">
        <v>1</v>
      </c>
      <c r="X93">
        <v>10</v>
      </c>
      <c r="Y93">
        <v>75</v>
      </c>
      <c r="AA93">
        <f>VLOOKUP(Table29[[#This Row],[Shortname]], Comp[], 6, FALSE)</f>
        <v>57</v>
      </c>
      <c r="AB93" s="14">
        <f>VLOOKUP(Table29[[#This Row],[Shortname]], Comp[], 7, FALSE)</f>
        <v>79.680000000000007</v>
      </c>
      <c r="AC93">
        <f>VLOOKUP(Table29[[#This Row],[Shortname]], Comp[], 8, FALSE)</f>
        <v>0</v>
      </c>
      <c r="AD93">
        <f>VLOOKUP(Table29[[#This Row],[Shortname]], Comp[], 9, FALSE)</f>
        <v>8.4</v>
      </c>
      <c r="AE93">
        <f>VLOOKUP(Table29[[#This Row],[Shortname]], Comp[], 10, FALSE)</f>
        <v>0</v>
      </c>
      <c r="AF93">
        <f>VLOOKUP(Table29[[#This Row],[Shortname]], Comp[], 11, FALSE)</f>
        <v>9.6</v>
      </c>
      <c r="AG93">
        <f>VLOOKUP(Table29[[#This Row],[Shortname]], Comp[],12, FALSE)</f>
        <v>2.2000000000000002</v>
      </c>
      <c r="AH93">
        <f>VLOOKUP(Table29[[#This Row],[Shortname]], Comp[], 13, FALSE)</f>
        <v>0</v>
      </c>
      <c r="AI93">
        <f>VLOOKUP(Table29[[#This Row],[Shortname]], Comp[], 14, FALSE)</f>
        <v>0</v>
      </c>
      <c r="AJ93">
        <f>VLOOKUP(Table29[[#This Row],[Shortname]], Comp[], 15, FALSE)</f>
        <v>0</v>
      </c>
      <c r="AK93">
        <f>VLOOKUP(Table29[[#This Row],[Shortname]], Comp[], 16, FALSE)</f>
        <v>0</v>
      </c>
      <c r="AL93">
        <f>VLOOKUP(Table29[[#This Row],[Shortname]], Comp[], 17, FALSE)</f>
        <v>0</v>
      </c>
      <c r="AM93">
        <f>VLOOKUP(Table29[[#This Row],[Shortname]], Comp[], 18, FALSE)</f>
        <v>0</v>
      </c>
      <c r="AN93">
        <f>VLOOKUP(Table29[[#This Row],[Shortname]], Comp[], 19, FALSE)</f>
        <v>0.12</v>
      </c>
      <c r="AO93">
        <f>VLOOKUP(Table29[[#This Row],[Shortname]], Comp[], 20, FALSE)</f>
        <v>0</v>
      </c>
      <c r="AP93">
        <f>VLOOKUP(Table29[[#This Row],[Shortname]], Comp[], 21, FALSE)</f>
        <v>0</v>
      </c>
      <c r="AQ93">
        <f>VLOOKUP(Table29[[#This Row],[Shortname]], Comp[], 22, FALSE)</f>
        <v>0</v>
      </c>
      <c r="AR93">
        <f>VLOOKUP(Table29[[#This Row],[Shortname]], Comp[], 23, FALSE)</f>
        <v>0</v>
      </c>
      <c r="AS93">
        <f>VLOOKUP(Table29[[#This Row],[Shortname]], Comp[], 24, FALSE)</f>
        <v>0</v>
      </c>
      <c r="AT93">
        <f>VLOOKUP(Table29[[#This Row],[Shortname]], Comp[], 25, FALSE)</f>
        <v>0</v>
      </c>
      <c r="AU93">
        <f>VLOOKUP(Table29[[#This Row],[Shortname]], Comp[], 26, FALSE)</f>
        <v>0</v>
      </c>
      <c r="AV93">
        <f>VLOOKUP(Table29[[#This Row],[Shortname]], Comp[], 27, FALSE)</f>
        <v>0</v>
      </c>
      <c r="AW93">
        <f>VLOOKUP(Table29[[#This Row],[Shortname]], Comp[], 28, FALSE)</f>
        <v>0</v>
      </c>
      <c r="AX93">
        <f>VLOOKUP(Table29[[#This Row],[Shortname]], Comp[], 29, FALSE)</f>
        <v>0</v>
      </c>
      <c r="AY93">
        <f>VLOOKUP(Table29[[#This Row],[Shortname]], Comp[], 30, FALSE)</f>
        <v>0</v>
      </c>
      <c r="AZ93">
        <f>VLOOKUP(Table29[[#This Row],[Shortname]], Comp[], 31, FALSE)</f>
        <v>0</v>
      </c>
    </row>
    <row r="94" spans="1:52" x14ac:dyDescent="0.3">
      <c r="A94" t="s">
        <v>435</v>
      </c>
      <c r="B94">
        <v>84</v>
      </c>
      <c r="C94">
        <v>57</v>
      </c>
      <c r="D94" t="s">
        <v>11</v>
      </c>
      <c r="E94" t="s">
        <v>95</v>
      </c>
      <c r="F94" t="s">
        <v>437</v>
      </c>
      <c r="G94" t="s">
        <v>438</v>
      </c>
      <c r="H94">
        <v>400</v>
      </c>
      <c r="I94">
        <v>2.5699999999999999E-8</v>
      </c>
      <c r="J94">
        <f>0.01/Table29[[#This Row],[Strain Rate (min) /s]]</f>
        <v>389105.0583657588</v>
      </c>
      <c r="K94">
        <f>LOG(Table29[[#This Row],[Time to 1% strain (s)]])</f>
        <v>5.5900668766687058</v>
      </c>
      <c r="L94">
        <v>850</v>
      </c>
      <c r="M94">
        <v>10.8</v>
      </c>
      <c r="P94" t="s">
        <v>7064</v>
      </c>
      <c r="Q94">
        <v>1300</v>
      </c>
      <c r="R94">
        <v>12</v>
      </c>
      <c r="S94">
        <v>900</v>
      </c>
      <c r="T94">
        <v>200</v>
      </c>
      <c r="W94">
        <v>1</v>
      </c>
      <c r="X94">
        <v>10</v>
      </c>
      <c r="Y94">
        <v>75</v>
      </c>
      <c r="AA94">
        <f>VLOOKUP(Table29[[#This Row],[Shortname]], Comp[], 6, FALSE)</f>
        <v>57</v>
      </c>
      <c r="AB94" s="14">
        <f>VLOOKUP(Table29[[#This Row],[Shortname]], Comp[], 7, FALSE)</f>
        <v>79.680000000000007</v>
      </c>
      <c r="AC94">
        <f>VLOOKUP(Table29[[#This Row],[Shortname]], Comp[], 8, FALSE)</f>
        <v>0</v>
      </c>
      <c r="AD94">
        <f>VLOOKUP(Table29[[#This Row],[Shortname]], Comp[], 9, FALSE)</f>
        <v>8.4</v>
      </c>
      <c r="AE94">
        <f>VLOOKUP(Table29[[#This Row],[Shortname]], Comp[], 10, FALSE)</f>
        <v>0</v>
      </c>
      <c r="AF94">
        <f>VLOOKUP(Table29[[#This Row],[Shortname]], Comp[], 11, FALSE)</f>
        <v>9.6</v>
      </c>
      <c r="AG94">
        <f>VLOOKUP(Table29[[#This Row],[Shortname]], Comp[],12, FALSE)</f>
        <v>2.2000000000000002</v>
      </c>
      <c r="AH94">
        <f>VLOOKUP(Table29[[#This Row],[Shortname]], Comp[], 13, FALSE)</f>
        <v>0</v>
      </c>
      <c r="AI94">
        <f>VLOOKUP(Table29[[#This Row],[Shortname]], Comp[], 14, FALSE)</f>
        <v>0</v>
      </c>
      <c r="AJ94">
        <f>VLOOKUP(Table29[[#This Row],[Shortname]], Comp[], 15, FALSE)</f>
        <v>0</v>
      </c>
      <c r="AK94">
        <f>VLOOKUP(Table29[[#This Row],[Shortname]], Comp[], 16, FALSE)</f>
        <v>0</v>
      </c>
      <c r="AL94">
        <f>VLOOKUP(Table29[[#This Row],[Shortname]], Comp[], 17, FALSE)</f>
        <v>0</v>
      </c>
      <c r="AM94">
        <f>VLOOKUP(Table29[[#This Row],[Shortname]], Comp[], 18, FALSE)</f>
        <v>0</v>
      </c>
      <c r="AN94">
        <f>VLOOKUP(Table29[[#This Row],[Shortname]], Comp[], 19, FALSE)</f>
        <v>0.12</v>
      </c>
      <c r="AO94">
        <f>VLOOKUP(Table29[[#This Row],[Shortname]], Comp[], 20, FALSE)</f>
        <v>0</v>
      </c>
      <c r="AP94">
        <f>VLOOKUP(Table29[[#This Row],[Shortname]], Comp[], 21, FALSE)</f>
        <v>0</v>
      </c>
      <c r="AQ94">
        <f>VLOOKUP(Table29[[#This Row],[Shortname]], Comp[], 22, FALSE)</f>
        <v>0</v>
      </c>
      <c r="AR94">
        <f>VLOOKUP(Table29[[#This Row],[Shortname]], Comp[], 23, FALSE)</f>
        <v>0</v>
      </c>
      <c r="AS94">
        <f>VLOOKUP(Table29[[#This Row],[Shortname]], Comp[], 24, FALSE)</f>
        <v>0</v>
      </c>
      <c r="AT94">
        <f>VLOOKUP(Table29[[#This Row],[Shortname]], Comp[], 25, FALSE)</f>
        <v>0</v>
      </c>
      <c r="AU94">
        <f>VLOOKUP(Table29[[#This Row],[Shortname]], Comp[], 26, FALSE)</f>
        <v>0</v>
      </c>
      <c r="AV94">
        <f>VLOOKUP(Table29[[#This Row],[Shortname]], Comp[], 27, FALSE)</f>
        <v>0</v>
      </c>
      <c r="AW94">
        <f>VLOOKUP(Table29[[#This Row],[Shortname]], Comp[], 28, FALSE)</f>
        <v>0</v>
      </c>
      <c r="AX94">
        <f>VLOOKUP(Table29[[#This Row],[Shortname]], Comp[], 29, FALSE)</f>
        <v>0</v>
      </c>
      <c r="AY94">
        <f>VLOOKUP(Table29[[#This Row],[Shortname]], Comp[], 30, FALSE)</f>
        <v>0</v>
      </c>
      <c r="AZ94">
        <f>VLOOKUP(Table29[[#This Row],[Shortname]], Comp[], 31, FALSE)</f>
        <v>0</v>
      </c>
    </row>
    <row r="95" spans="1:52" x14ac:dyDescent="0.3">
      <c r="A95" t="s">
        <v>435</v>
      </c>
      <c r="B95">
        <v>86</v>
      </c>
      <c r="C95">
        <v>57</v>
      </c>
      <c r="D95" t="s">
        <v>11</v>
      </c>
      <c r="E95" t="s">
        <v>95</v>
      </c>
      <c r="F95" t="s">
        <v>437</v>
      </c>
      <c r="G95" t="s">
        <v>445</v>
      </c>
      <c r="H95">
        <v>450</v>
      </c>
      <c r="I95">
        <v>9.2299999999999999E-8</v>
      </c>
      <c r="J95">
        <f>0.01/Table29[[#This Row],[Strain Rate (min) /s]]</f>
        <v>108342.36186348862</v>
      </c>
      <c r="K95">
        <f>LOG(Table29[[#This Row],[Time to 1% strain (s)]])</f>
        <v>5.0347982989740876</v>
      </c>
      <c r="L95">
        <v>850</v>
      </c>
      <c r="M95">
        <v>10.8</v>
      </c>
      <c r="P95" t="s">
        <v>7064</v>
      </c>
      <c r="Q95">
        <v>1300</v>
      </c>
      <c r="R95">
        <v>12</v>
      </c>
      <c r="S95">
        <v>900</v>
      </c>
      <c r="T95">
        <v>200</v>
      </c>
      <c r="W95">
        <v>1</v>
      </c>
      <c r="X95">
        <v>10</v>
      </c>
      <c r="Y95">
        <v>75</v>
      </c>
      <c r="AA95">
        <f>VLOOKUP(Table29[[#This Row],[Shortname]], Comp[], 6, FALSE)</f>
        <v>57</v>
      </c>
      <c r="AB95" s="14">
        <f>VLOOKUP(Table29[[#This Row],[Shortname]], Comp[], 7, FALSE)</f>
        <v>79.680000000000007</v>
      </c>
      <c r="AC95">
        <f>VLOOKUP(Table29[[#This Row],[Shortname]], Comp[], 8, FALSE)</f>
        <v>0</v>
      </c>
      <c r="AD95">
        <f>VLOOKUP(Table29[[#This Row],[Shortname]], Comp[], 9, FALSE)</f>
        <v>8.4</v>
      </c>
      <c r="AE95">
        <f>VLOOKUP(Table29[[#This Row],[Shortname]], Comp[], 10, FALSE)</f>
        <v>0</v>
      </c>
      <c r="AF95">
        <f>VLOOKUP(Table29[[#This Row],[Shortname]], Comp[], 11, FALSE)</f>
        <v>9.6</v>
      </c>
      <c r="AG95">
        <f>VLOOKUP(Table29[[#This Row],[Shortname]], Comp[],12, FALSE)</f>
        <v>2.2000000000000002</v>
      </c>
      <c r="AH95">
        <f>VLOOKUP(Table29[[#This Row],[Shortname]], Comp[], 13, FALSE)</f>
        <v>0</v>
      </c>
      <c r="AI95">
        <f>VLOOKUP(Table29[[#This Row],[Shortname]], Comp[], 14, FALSE)</f>
        <v>0</v>
      </c>
      <c r="AJ95">
        <f>VLOOKUP(Table29[[#This Row],[Shortname]], Comp[], 15, FALSE)</f>
        <v>0</v>
      </c>
      <c r="AK95">
        <f>VLOOKUP(Table29[[#This Row],[Shortname]], Comp[], 16, FALSE)</f>
        <v>0</v>
      </c>
      <c r="AL95">
        <f>VLOOKUP(Table29[[#This Row],[Shortname]], Comp[], 17, FALSE)</f>
        <v>0</v>
      </c>
      <c r="AM95">
        <f>VLOOKUP(Table29[[#This Row],[Shortname]], Comp[], 18, FALSE)</f>
        <v>0</v>
      </c>
      <c r="AN95">
        <f>VLOOKUP(Table29[[#This Row],[Shortname]], Comp[], 19, FALSE)</f>
        <v>0.12</v>
      </c>
      <c r="AO95">
        <f>VLOOKUP(Table29[[#This Row],[Shortname]], Comp[], 20, FALSE)</f>
        <v>0</v>
      </c>
      <c r="AP95">
        <f>VLOOKUP(Table29[[#This Row],[Shortname]], Comp[], 21, FALSE)</f>
        <v>0</v>
      </c>
      <c r="AQ95">
        <f>VLOOKUP(Table29[[#This Row],[Shortname]], Comp[], 22, FALSE)</f>
        <v>0</v>
      </c>
      <c r="AR95">
        <f>VLOOKUP(Table29[[#This Row],[Shortname]], Comp[], 23, FALSE)</f>
        <v>0</v>
      </c>
      <c r="AS95">
        <f>VLOOKUP(Table29[[#This Row],[Shortname]], Comp[], 24, FALSE)</f>
        <v>0</v>
      </c>
      <c r="AT95">
        <f>VLOOKUP(Table29[[#This Row],[Shortname]], Comp[], 25, FALSE)</f>
        <v>0</v>
      </c>
      <c r="AU95">
        <f>VLOOKUP(Table29[[#This Row],[Shortname]], Comp[], 26, FALSE)</f>
        <v>0</v>
      </c>
      <c r="AV95">
        <f>VLOOKUP(Table29[[#This Row],[Shortname]], Comp[], 27, FALSE)</f>
        <v>0</v>
      </c>
      <c r="AW95">
        <f>VLOOKUP(Table29[[#This Row],[Shortname]], Comp[], 28, FALSE)</f>
        <v>0</v>
      </c>
      <c r="AX95">
        <f>VLOOKUP(Table29[[#This Row],[Shortname]], Comp[], 29, FALSE)</f>
        <v>0</v>
      </c>
      <c r="AY95">
        <f>VLOOKUP(Table29[[#This Row],[Shortname]], Comp[], 30, FALSE)</f>
        <v>0</v>
      </c>
      <c r="AZ95">
        <f>VLOOKUP(Table29[[#This Row],[Shortname]], Comp[], 31, FALSE)</f>
        <v>0</v>
      </c>
    </row>
    <row r="96" spans="1:52" x14ac:dyDescent="0.3">
      <c r="A96" t="s">
        <v>435</v>
      </c>
      <c r="B96">
        <v>88</v>
      </c>
      <c r="C96">
        <v>57</v>
      </c>
      <c r="D96" t="s">
        <v>11</v>
      </c>
      <c r="E96" t="s">
        <v>95</v>
      </c>
      <c r="F96" t="s">
        <v>437</v>
      </c>
      <c r="G96" t="s">
        <v>452</v>
      </c>
      <c r="H96">
        <v>500</v>
      </c>
      <c r="I96">
        <v>2.8200000000000001E-7</v>
      </c>
      <c r="J96">
        <f>0.01/Table29[[#This Row],[Strain Rate (min) /s]]</f>
        <v>35460.992907801417</v>
      </c>
      <c r="K96">
        <f>LOG(Table29[[#This Row],[Time to 1% strain (s)]])</f>
        <v>4.5497508916806391</v>
      </c>
      <c r="L96">
        <v>850</v>
      </c>
      <c r="M96">
        <v>10.8</v>
      </c>
      <c r="P96" t="s">
        <v>7064</v>
      </c>
      <c r="Q96">
        <v>1300</v>
      </c>
      <c r="R96">
        <v>12</v>
      </c>
      <c r="S96">
        <v>900</v>
      </c>
      <c r="T96">
        <v>200</v>
      </c>
      <c r="W96">
        <v>1</v>
      </c>
      <c r="X96">
        <v>10</v>
      </c>
      <c r="Y96">
        <v>75</v>
      </c>
      <c r="AA96">
        <f>VLOOKUP(Table29[[#This Row],[Shortname]], Comp[], 6, FALSE)</f>
        <v>57</v>
      </c>
      <c r="AB96" s="14">
        <f>VLOOKUP(Table29[[#This Row],[Shortname]], Comp[], 7, FALSE)</f>
        <v>79.680000000000007</v>
      </c>
      <c r="AC96">
        <f>VLOOKUP(Table29[[#This Row],[Shortname]], Comp[], 8, FALSE)</f>
        <v>0</v>
      </c>
      <c r="AD96">
        <f>VLOOKUP(Table29[[#This Row],[Shortname]], Comp[], 9, FALSE)</f>
        <v>8.4</v>
      </c>
      <c r="AE96">
        <f>VLOOKUP(Table29[[#This Row],[Shortname]], Comp[], 10, FALSE)</f>
        <v>0</v>
      </c>
      <c r="AF96">
        <f>VLOOKUP(Table29[[#This Row],[Shortname]], Comp[], 11, FALSE)</f>
        <v>9.6</v>
      </c>
      <c r="AG96">
        <f>VLOOKUP(Table29[[#This Row],[Shortname]], Comp[],12, FALSE)</f>
        <v>2.2000000000000002</v>
      </c>
      <c r="AH96">
        <f>VLOOKUP(Table29[[#This Row],[Shortname]], Comp[], 13, FALSE)</f>
        <v>0</v>
      </c>
      <c r="AI96">
        <f>VLOOKUP(Table29[[#This Row],[Shortname]], Comp[], 14, FALSE)</f>
        <v>0</v>
      </c>
      <c r="AJ96">
        <f>VLOOKUP(Table29[[#This Row],[Shortname]], Comp[], 15, FALSE)</f>
        <v>0</v>
      </c>
      <c r="AK96">
        <f>VLOOKUP(Table29[[#This Row],[Shortname]], Comp[], 16, FALSE)</f>
        <v>0</v>
      </c>
      <c r="AL96">
        <f>VLOOKUP(Table29[[#This Row],[Shortname]], Comp[], 17, FALSE)</f>
        <v>0</v>
      </c>
      <c r="AM96">
        <f>VLOOKUP(Table29[[#This Row],[Shortname]], Comp[], 18, FALSE)</f>
        <v>0</v>
      </c>
      <c r="AN96">
        <f>VLOOKUP(Table29[[#This Row],[Shortname]], Comp[], 19, FALSE)</f>
        <v>0.12</v>
      </c>
      <c r="AO96">
        <f>VLOOKUP(Table29[[#This Row],[Shortname]], Comp[], 20, FALSE)</f>
        <v>0</v>
      </c>
      <c r="AP96">
        <f>VLOOKUP(Table29[[#This Row],[Shortname]], Comp[], 21, FALSE)</f>
        <v>0</v>
      </c>
      <c r="AQ96">
        <f>VLOOKUP(Table29[[#This Row],[Shortname]], Comp[], 22, FALSE)</f>
        <v>0</v>
      </c>
      <c r="AR96">
        <f>VLOOKUP(Table29[[#This Row],[Shortname]], Comp[], 23, FALSE)</f>
        <v>0</v>
      </c>
      <c r="AS96">
        <f>VLOOKUP(Table29[[#This Row],[Shortname]], Comp[], 24, FALSE)</f>
        <v>0</v>
      </c>
      <c r="AT96">
        <f>VLOOKUP(Table29[[#This Row],[Shortname]], Comp[], 25, FALSE)</f>
        <v>0</v>
      </c>
      <c r="AU96">
        <f>VLOOKUP(Table29[[#This Row],[Shortname]], Comp[], 26, FALSE)</f>
        <v>0</v>
      </c>
      <c r="AV96">
        <f>VLOOKUP(Table29[[#This Row],[Shortname]], Comp[], 27, FALSE)</f>
        <v>0</v>
      </c>
      <c r="AW96">
        <f>VLOOKUP(Table29[[#This Row],[Shortname]], Comp[], 28, FALSE)</f>
        <v>0</v>
      </c>
      <c r="AX96">
        <f>VLOOKUP(Table29[[#This Row],[Shortname]], Comp[], 29, FALSE)</f>
        <v>0</v>
      </c>
      <c r="AY96">
        <f>VLOOKUP(Table29[[#This Row],[Shortname]], Comp[], 30, FALSE)</f>
        <v>0</v>
      </c>
      <c r="AZ96">
        <f>VLOOKUP(Table29[[#This Row],[Shortname]], Comp[], 31, FALSE)</f>
        <v>0</v>
      </c>
    </row>
    <row r="97" spans="1:52" x14ac:dyDescent="0.3">
      <c r="A97" t="s">
        <v>457</v>
      </c>
      <c r="B97">
        <v>91</v>
      </c>
      <c r="C97">
        <v>60</v>
      </c>
      <c r="D97" t="s">
        <v>458</v>
      </c>
      <c r="E97" t="s">
        <v>95</v>
      </c>
      <c r="F97" t="s">
        <v>459</v>
      </c>
      <c r="G97" t="s">
        <v>460</v>
      </c>
      <c r="H97">
        <v>35</v>
      </c>
      <c r="I97">
        <v>5.4000000000000002E-7</v>
      </c>
      <c r="J97">
        <f>0.01/Table29[[#This Row],[Strain Rate (min) /s]]</f>
        <v>18518.518518518518</v>
      </c>
      <c r="K97">
        <f>LOG(Table29[[#This Row],[Time to 1% strain (s)]])</f>
        <v>4.2676062401770318</v>
      </c>
      <c r="L97">
        <v>950</v>
      </c>
      <c r="P97" t="s">
        <v>7065</v>
      </c>
      <c r="Q97">
        <v>1350</v>
      </c>
      <c r="R97">
        <v>24</v>
      </c>
      <c r="S97">
        <v>900</v>
      </c>
      <c r="T97">
        <v>100</v>
      </c>
      <c r="W97">
        <v>1</v>
      </c>
      <c r="X97">
        <v>1</v>
      </c>
      <c r="Y97">
        <v>0</v>
      </c>
      <c r="Z97" t="s">
        <v>7066</v>
      </c>
      <c r="AA97">
        <f>VLOOKUP(Table29[[#This Row],[Shortname]], Comp[], 6, FALSE)</f>
        <v>60</v>
      </c>
      <c r="AB97" s="14">
        <f>VLOOKUP(Table29[[#This Row],[Shortname]], Comp[], 7, FALSE)</f>
        <v>86.7</v>
      </c>
      <c r="AC97">
        <f>VLOOKUP(Table29[[#This Row],[Shortname]], Comp[], 8, FALSE)</f>
        <v>0</v>
      </c>
      <c r="AD97">
        <f>VLOOKUP(Table29[[#This Row],[Shortname]], Comp[], 9, FALSE)</f>
        <v>8.8000000000000007</v>
      </c>
      <c r="AE97">
        <f>VLOOKUP(Table29[[#This Row],[Shortname]], Comp[], 10, FALSE)</f>
        <v>0</v>
      </c>
      <c r="AF97">
        <f>VLOOKUP(Table29[[#This Row],[Shortname]], Comp[], 11, FALSE)</f>
        <v>4</v>
      </c>
      <c r="AG97">
        <f>VLOOKUP(Table29[[#This Row],[Shortname]], Comp[],12, FALSE)</f>
        <v>0</v>
      </c>
      <c r="AH97">
        <f>VLOOKUP(Table29[[#This Row],[Shortname]], Comp[], 13, FALSE)</f>
        <v>0.5</v>
      </c>
      <c r="AI97">
        <f>VLOOKUP(Table29[[#This Row],[Shortname]], Comp[], 14, FALSE)</f>
        <v>0</v>
      </c>
      <c r="AJ97">
        <f>VLOOKUP(Table29[[#This Row],[Shortname]], Comp[], 15, FALSE)</f>
        <v>0</v>
      </c>
      <c r="AK97">
        <f>VLOOKUP(Table29[[#This Row],[Shortname]], Comp[], 16, FALSE)</f>
        <v>0</v>
      </c>
      <c r="AL97">
        <f>VLOOKUP(Table29[[#This Row],[Shortname]], Comp[], 17, FALSE)</f>
        <v>0</v>
      </c>
      <c r="AM97">
        <f>VLOOKUP(Table29[[#This Row],[Shortname]], Comp[], 18, FALSE)</f>
        <v>0</v>
      </c>
      <c r="AN97">
        <f>VLOOKUP(Table29[[#This Row],[Shortname]], Comp[], 19, FALSE)</f>
        <v>0</v>
      </c>
      <c r="AO97">
        <f>VLOOKUP(Table29[[#This Row],[Shortname]], Comp[], 20, FALSE)</f>
        <v>0</v>
      </c>
      <c r="AP97">
        <f>VLOOKUP(Table29[[#This Row],[Shortname]], Comp[], 21, FALSE)</f>
        <v>0</v>
      </c>
      <c r="AQ97">
        <f>VLOOKUP(Table29[[#This Row],[Shortname]], Comp[], 22, FALSE)</f>
        <v>0</v>
      </c>
      <c r="AR97">
        <f>VLOOKUP(Table29[[#This Row],[Shortname]], Comp[], 23, FALSE)</f>
        <v>0</v>
      </c>
      <c r="AS97">
        <f>VLOOKUP(Table29[[#This Row],[Shortname]], Comp[], 24, FALSE)</f>
        <v>0</v>
      </c>
      <c r="AT97">
        <f>VLOOKUP(Table29[[#This Row],[Shortname]], Comp[], 25, FALSE)</f>
        <v>0</v>
      </c>
      <c r="AU97">
        <f>VLOOKUP(Table29[[#This Row],[Shortname]], Comp[], 26, FALSE)</f>
        <v>0</v>
      </c>
      <c r="AV97">
        <f>VLOOKUP(Table29[[#This Row],[Shortname]], Comp[], 27, FALSE)</f>
        <v>0</v>
      </c>
      <c r="AW97">
        <f>VLOOKUP(Table29[[#This Row],[Shortname]], Comp[], 28, FALSE)</f>
        <v>0</v>
      </c>
      <c r="AX97">
        <f>VLOOKUP(Table29[[#This Row],[Shortname]], Comp[], 29, FALSE)</f>
        <v>0</v>
      </c>
      <c r="AY97">
        <f>VLOOKUP(Table29[[#This Row],[Shortname]], Comp[], 30, FALSE)</f>
        <v>0</v>
      </c>
      <c r="AZ97">
        <f>VLOOKUP(Table29[[#This Row],[Shortname]], Comp[], 31, FALSE)</f>
        <v>0</v>
      </c>
    </row>
    <row r="98" spans="1:52" x14ac:dyDescent="0.3">
      <c r="A98" t="s">
        <v>457</v>
      </c>
      <c r="B98">
        <v>92</v>
      </c>
      <c r="C98">
        <v>60</v>
      </c>
      <c r="D98" t="s">
        <v>11</v>
      </c>
      <c r="E98" t="s">
        <v>95</v>
      </c>
      <c r="F98" t="s">
        <v>459</v>
      </c>
      <c r="G98" t="s">
        <v>460</v>
      </c>
      <c r="H98">
        <v>50</v>
      </c>
      <c r="I98">
        <v>1.3999999999999999E-6</v>
      </c>
      <c r="J98">
        <f>0.01/Table29[[#This Row],[Strain Rate (min) /s]]</f>
        <v>7142.8571428571431</v>
      </c>
      <c r="K98">
        <f>LOG(Table29[[#This Row],[Time to 1% strain (s)]])</f>
        <v>3.8538719643217618</v>
      </c>
      <c r="L98">
        <v>950</v>
      </c>
      <c r="P98" t="s">
        <v>7065</v>
      </c>
      <c r="Q98">
        <v>1350</v>
      </c>
      <c r="R98">
        <v>24</v>
      </c>
      <c r="S98">
        <v>900</v>
      </c>
      <c r="T98">
        <v>100</v>
      </c>
      <c r="W98">
        <v>1</v>
      </c>
      <c r="X98">
        <v>1</v>
      </c>
      <c r="Y98">
        <v>0</v>
      </c>
      <c r="AA98">
        <f>VLOOKUP(Table29[[#This Row],[Shortname]], Comp[], 6, FALSE)</f>
        <v>60</v>
      </c>
      <c r="AB98" s="14">
        <f>VLOOKUP(Table29[[#This Row],[Shortname]], Comp[], 7, FALSE)</f>
        <v>86.7</v>
      </c>
      <c r="AC98">
        <f>VLOOKUP(Table29[[#This Row],[Shortname]], Comp[], 8, FALSE)</f>
        <v>0</v>
      </c>
      <c r="AD98">
        <f>VLOOKUP(Table29[[#This Row],[Shortname]], Comp[], 9, FALSE)</f>
        <v>8.8000000000000007</v>
      </c>
      <c r="AE98">
        <f>VLOOKUP(Table29[[#This Row],[Shortname]], Comp[], 10, FALSE)</f>
        <v>0</v>
      </c>
      <c r="AF98">
        <f>VLOOKUP(Table29[[#This Row],[Shortname]], Comp[], 11, FALSE)</f>
        <v>4</v>
      </c>
      <c r="AG98">
        <f>VLOOKUP(Table29[[#This Row],[Shortname]], Comp[],12, FALSE)</f>
        <v>0</v>
      </c>
      <c r="AH98">
        <f>VLOOKUP(Table29[[#This Row],[Shortname]], Comp[], 13, FALSE)</f>
        <v>0.5</v>
      </c>
      <c r="AI98">
        <f>VLOOKUP(Table29[[#This Row],[Shortname]], Comp[], 14, FALSE)</f>
        <v>0</v>
      </c>
      <c r="AJ98">
        <f>VLOOKUP(Table29[[#This Row],[Shortname]], Comp[], 15, FALSE)</f>
        <v>0</v>
      </c>
      <c r="AK98">
        <f>VLOOKUP(Table29[[#This Row],[Shortname]], Comp[], 16, FALSE)</f>
        <v>0</v>
      </c>
      <c r="AL98">
        <f>VLOOKUP(Table29[[#This Row],[Shortname]], Comp[], 17, FALSE)</f>
        <v>0</v>
      </c>
      <c r="AM98">
        <f>VLOOKUP(Table29[[#This Row],[Shortname]], Comp[], 18, FALSE)</f>
        <v>0</v>
      </c>
      <c r="AN98">
        <f>VLOOKUP(Table29[[#This Row],[Shortname]], Comp[], 19, FALSE)</f>
        <v>0</v>
      </c>
      <c r="AO98">
        <f>VLOOKUP(Table29[[#This Row],[Shortname]], Comp[], 20, FALSE)</f>
        <v>0</v>
      </c>
      <c r="AP98">
        <f>VLOOKUP(Table29[[#This Row],[Shortname]], Comp[], 21, FALSE)</f>
        <v>0</v>
      </c>
      <c r="AQ98">
        <f>VLOOKUP(Table29[[#This Row],[Shortname]], Comp[], 22, FALSE)</f>
        <v>0</v>
      </c>
      <c r="AR98">
        <f>VLOOKUP(Table29[[#This Row],[Shortname]], Comp[], 23, FALSE)</f>
        <v>0</v>
      </c>
      <c r="AS98">
        <f>VLOOKUP(Table29[[#This Row],[Shortname]], Comp[], 24, FALSE)</f>
        <v>0</v>
      </c>
      <c r="AT98">
        <f>VLOOKUP(Table29[[#This Row],[Shortname]], Comp[], 25, FALSE)</f>
        <v>0</v>
      </c>
      <c r="AU98">
        <f>VLOOKUP(Table29[[#This Row],[Shortname]], Comp[], 26, FALSE)</f>
        <v>0</v>
      </c>
      <c r="AV98">
        <f>VLOOKUP(Table29[[#This Row],[Shortname]], Comp[], 27, FALSE)</f>
        <v>0</v>
      </c>
      <c r="AW98">
        <f>VLOOKUP(Table29[[#This Row],[Shortname]], Comp[], 28, FALSE)</f>
        <v>0</v>
      </c>
      <c r="AX98">
        <f>VLOOKUP(Table29[[#This Row],[Shortname]], Comp[], 29, FALSE)</f>
        <v>0</v>
      </c>
      <c r="AY98">
        <f>VLOOKUP(Table29[[#This Row],[Shortname]], Comp[], 30, FALSE)</f>
        <v>0</v>
      </c>
      <c r="AZ98">
        <f>VLOOKUP(Table29[[#This Row],[Shortname]], Comp[], 31, FALSE)</f>
        <v>0</v>
      </c>
    </row>
    <row r="99" spans="1:52" x14ac:dyDescent="0.3">
      <c r="A99" t="s">
        <v>457</v>
      </c>
      <c r="B99">
        <v>93</v>
      </c>
      <c r="C99">
        <v>60</v>
      </c>
      <c r="D99" t="s">
        <v>11</v>
      </c>
      <c r="E99" t="s">
        <v>95</v>
      </c>
      <c r="F99" t="s">
        <v>459</v>
      </c>
      <c r="G99" t="s">
        <v>460</v>
      </c>
      <c r="H99">
        <v>25</v>
      </c>
      <c r="I99">
        <v>1.05E-7</v>
      </c>
      <c r="J99">
        <f>0.01/Table29[[#This Row],[Strain Rate (min) /s]]</f>
        <v>95238.095238095237</v>
      </c>
      <c r="K99">
        <f>LOG(Table29[[#This Row],[Time to 1% strain (s)]])</f>
        <v>4.9788107009300617</v>
      </c>
      <c r="L99">
        <v>950</v>
      </c>
      <c r="P99" t="s">
        <v>7065</v>
      </c>
      <c r="Q99">
        <v>1350</v>
      </c>
      <c r="R99">
        <v>24</v>
      </c>
      <c r="S99">
        <v>900</v>
      </c>
      <c r="T99">
        <v>100</v>
      </c>
      <c r="W99">
        <v>1</v>
      </c>
      <c r="X99">
        <v>1</v>
      </c>
      <c r="Y99">
        <v>0</v>
      </c>
      <c r="Z99" t="s">
        <v>7067</v>
      </c>
      <c r="AA99">
        <f>VLOOKUP(Table29[[#This Row],[Shortname]], Comp[], 6, FALSE)</f>
        <v>60</v>
      </c>
      <c r="AB99" s="14">
        <f>VLOOKUP(Table29[[#This Row],[Shortname]], Comp[], 7, FALSE)</f>
        <v>86.7</v>
      </c>
      <c r="AC99">
        <f>VLOOKUP(Table29[[#This Row],[Shortname]], Comp[], 8, FALSE)</f>
        <v>0</v>
      </c>
      <c r="AD99">
        <f>VLOOKUP(Table29[[#This Row],[Shortname]], Comp[], 9, FALSE)</f>
        <v>8.8000000000000007</v>
      </c>
      <c r="AE99">
        <f>VLOOKUP(Table29[[#This Row],[Shortname]], Comp[], 10, FALSE)</f>
        <v>0</v>
      </c>
      <c r="AF99">
        <f>VLOOKUP(Table29[[#This Row],[Shortname]], Comp[], 11, FALSE)</f>
        <v>4</v>
      </c>
      <c r="AG99">
        <f>VLOOKUP(Table29[[#This Row],[Shortname]], Comp[],12, FALSE)</f>
        <v>0</v>
      </c>
      <c r="AH99">
        <f>VLOOKUP(Table29[[#This Row],[Shortname]], Comp[], 13, FALSE)</f>
        <v>0.5</v>
      </c>
      <c r="AI99">
        <f>VLOOKUP(Table29[[#This Row],[Shortname]], Comp[], 14, FALSE)</f>
        <v>0</v>
      </c>
      <c r="AJ99">
        <f>VLOOKUP(Table29[[#This Row],[Shortname]], Comp[], 15, FALSE)</f>
        <v>0</v>
      </c>
      <c r="AK99">
        <f>VLOOKUP(Table29[[#This Row],[Shortname]], Comp[], 16, FALSE)</f>
        <v>0</v>
      </c>
      <c r="AL99">
        <f>VLOOKUP(Table29[[#This Row],[Shortname]], Comp[], 17, FALSE)</f>
        <v>0</v>
      </c>
      <c r="AM99">
        <f>VLOOKUP(Table29[[#This Row],[Shortname]], Comp[], 18, FALSE)</f>
        <v>0</v>
      </c>
      <c r="AN99">
        <f>VLOOKUP(Table29[[#This Row],[Shortname]], Comp[], 19, FALSE)</f>
        <v>0</v>
      </c>
      <c r="AO99">
        <f>VLOOKUP(Table29[[#This Row],[Shortname]], Comp[], 20, FALSE)</f>
        <v>0</v>
      </c>
      <c r="AP99">
        <f>VLOOKUP(Table29[[#This Row],[Shortname]], Comp[], 21, FALSE)</f>
        <v>0</v>
      </c>
      <c r="AQ99">
        <f>VLOOKUP(Table29[[#This Row],[Shortname]], Comp[], 22, FALSE)</f>
        <v>0</v>
      </c>
      <c r="AR99">
        <f>VLOOKUP(Table29[[#This Row],[Shortname]], Comp[], 23, FALSE)</f>
        <v>0</v>
      </c>
      <c r="AS99">
        <f>VLOOKUP(Table29[[#This Row],[Shortname]], Comp[], 24, FALSE)</f>
        <v>0</v>
      </c>
      <c r="AT99">
        <f>VLOOKUP(Table29[[#This Row],[Shortname]], Comp[], 25, FALSE)</f>
        <v>0</v>
      </c>
      <c r="AU99">
        <f>VLOOKUP(Table29[[#This Row],[Shortname]], Comp[], 26, FALSE)</f>
        <v>0</v>
      </c>
      <c r="AV99">
        <f>VLOOKUP(Table29[[#This Row],[Shortname]], Comp[], 27, FALSE)</f>
        <v>0</v>
      </c>
      <c r="AW99">
        <f>VLOOKUP(Table29[[#This Row],[Shortname]], Comp[], 28, FALSE)</f>
        <v>0</v>
      </c>
      <c r="AX99">
        <f>VLOOKUP(Table29[[#This Row],[Shortname]], Comp[], 29, FALSE)</f>
        <v>0</v>
      </c>
      <c r="AY99">
        <f>VLOOKUP(Table29[[#This Row],[Shortname]], Comp[], 30, FALSE)</f>
        <v>0</v>
      </c>
      <c r="AZ99">
        <f>VLOOKUP(Table29[[#This Row],[Shortname]], Comp[], 31, FALSE)</f>
        <v>0</v>
      </c>
    </row>
    <row r="100" spans="1:52" x14ac:dyDescent="0.3">
      <c r="A100" t="s">
        <v>457</v>
      </c>
      <c r="B100">
        <v>94</v>
      </c>
      <c r="C100">
        <v>60</v>
      </c>
      <c r="D100" t="s">
        <v>11</v>
      </c>
      <c r="E100" t="s">
        <v>95</v>
      </c>
      <c r="F100" t="s">
        <v>459</v>
      </c>
      <c r="G100" t="s">
        <v>460</v>
      </c>
      <c r="H100">
        <v>90</v>
      </c>
      <c r="I100">
        <v>2.72E-5</v>
      </c>
      <c r="J100">
        <f>0.01/Table29[[#This Row],[Strain Rate (min) /s]]</f>
        <v>367.64705882352939</v>
      </c>
      <c r="K100">
        <f>LOG(Table29[[#This Row],[Time to 1% strain (s)]])</f>
        <v>2.5654310959658013</v>
      </c>
      <c r="L100">
        <v>950</v>
      </c>
      <c r="P100" t="s">
        <v>7065</v>
      </c>
      <c r="Q100">
        <v>1350</v>
      </c>
      <c r="R100">
        <v>24</v>
      </c>
      <c r="S100">
        <v>900</v>
      </c>
      <c r="T100">
        <v>100</v>
      </c>
      <c r="W100">
        <v>1</v>
      </c>
      <c r="X100">
        <v>1</v>
      </c>
      <c r="Y100">
        <v>0</v>
      </c>
      <c r="AA100">
        <f>VLOOKUP(Table29[[#This Row],[Shortname]], Comp[], 6, FALSE)</f>
        <v>60</v>
      </c>
      <c r="AB100" s="14">
        <f>VLOOKUP(Table29[[#This Row],[Shortname]], Comp[], 7, FALSE)</f>
        <v>86.7</v>
      </c>
      <c r="AC100">
        <f>VLOOKUP(Table29[[#This Row],[Shortname]], Comp[], 8, FALSE)</f>
        <v>0</v>
      </c>
      <c r="AD100">
        <f>VLOOKUP(Table29[[#This Row],[Shortname]], Comp[], 9, FALSE)</f>
        <v>8.8000000000000007</v>
      </c>
      <c r="AE100">
        <f>VLOOKUP(Table29[[#This Row],[Shortname]], Comp[], 10, FALSE)</f>
        <v>0</v>
      </c>
      <c r="AF100">
        <f>VLOOKUP(Table29[[#This Row],[Shortname]], Comp[], 11, FALSE)</f>
        <v>4</v>
      </c>
      <c r="AG100">
        <f>VLOOKUP(Table29[[#This Row],[Shortname]], Comp[],12, FALSE)</f>
        <v>0</v>
      </c>
      <c r="AH100">
        <f>VLOOKUP(Table29[[#This Row],[Shortname]], Comp[], 13, FALSE)</f>
        <v>0.5</v>
      </c>
      <c r="AI100">
        <f>VLOOKUP(Table29[[#This Row],[Shortname]], Comp[], 14, FALSE)</f>
        <v>0</v>
      </c>
      <c r="AJ100">
        <f>VLOOKUP(Table29[[#This Row],[Shortname]], Comp[], 15, FALSE)</f>
        <v>0</v>
      </c>
      <c r="AK100">
        <f>VLOOKUP(Table29[[#This Row],[Shortname]], Comp[], 16, FALSE)</f>
        <v>0</v>
      </c>
      <c r="AL100">
        <f>VLOOKUP(Table29[[#This Row],[Shortname]], Comp[], 17, FALSE)</f>
        <v>0</v>
      </c>
      <c r="AM100">
        <f>VLOOKUP(Table29[[#This Row],[Shortname]], Comp[], 18, FALSE)</f>
        <v>0</v>
      </c>
      <c r="AN100">
        <f>VLOOKUP(Table29[[#This Row],[Shortname]], Comp[], 19, FALSE)</f>
        <v>0</v>
      </c>
      <c r="AO100">
        <f>VLOOKUP(Table29[[#This Row],[Shortname]], Comp[], 20, FALSE)</f>
        <v>0</v>
      </c>
      <c r="AP100">
        <f>VLOOKUP(Table29[[#This Row],[Shortname]], Comp[], 21, FALSE)</f>
        <v>0</v>
      </c>
      <c r="AQ100">
        <f>VLOOKUP(Table29[[#This Row],[Shortname]], Comp[], 22, FALSE)</f>
        <v>0</v>
      </c>
      <c r="AR100">
        <f>VLOOKUP(Table29[[#This Row],[Shortname]], Comp[], 23, FALSE)</f>
        <v>0</v>
      </c>
      <c r="AS100">
        <f>VLOOKUP(Table29[[#This Row],[Shortname]], Comp[], 24, FALSE)</f>
        <v>0</v>
      </c>
      <c r="AT100">
        <f>VLOOKUP(Table29[[#This Row],[Shortname]], Comp[], 25, FALSE)</f>
        <v>0</v>
      </c>
      <c r="AU100">
        <f>VLOOKUP(Table29[[#This Row],[Shortname]], Comp[], 26, FALSE)</f>
        <v>0</v>
      </c>
      <c r="AV100">
        <f>VLOOKUP(Table29[[#This Row],[Shortname]], Comp[], 27, FALSE)</f>
        <v>0</v>
      </c>
      <c r="AW100">
        <f>VLOOKUP(Table29[[#This Row],[Shortname]], Comp[], 28, FALSE)</f>
        <v>0</v>
      </c>
      <c r="AX100">
        <f>VLOOKUP(Table29[[#This Row],[Shortname]], Comp[], 29, FALSE)</f>
        <v>0</v>
      </c>
      <c r="AY100">
        <f>VLOOKUP(Table29[[#This Row],[Shortname]], Comp[], 30, FALSE)</f>
        <v>0</v>
      </c>
      <c r="AZ100">
        <f>VLOOKUP(Table29[[#This Row],[Shortname]], Comp[], 31, FALSE)</f>
        <v>0</v>
      </c>
    </row>
    <row r="101" spans="1:52" x14ac:dyDescent="0.3">
      <c r="A101" t="s">
        <v>457</v>
      </c>
      <c r="B101">
        <v>95</v>
      </c>
      <c r="C101">
        <v>60</v>
      </c>
      <c r="D101" t="s">
        <v>11</v>
      </c>
      <c r="E101" t="s">
        <v>95</v>
      </c>
      <c r="F101" t="s">
        <v>459</v>
      </c>
      <c r="G101" t="s">
        <v>460</v>
      </c>
      <c r="H101">
        <v>110</v>
      </c>
      <c r="I101">
        <v>8.5199999999999997E-5</v>
      </c>
      <c r="J101">
        <f>0.01/Table29[[#This Row],[Strain Rate (min) /s]]</f>
        <v>117.37089201877934</v>
      </c>
      <c r="K101">
        <f>LOG(Table29[[#This Row],[Time to 1% strain (s)]])</f>
        <v>2.0695604052332999</v>
      </c>
      <c r="L101">
        <v>950</v>
      </c>
      <c r="P101" t="s">
        <v>7065</v>
      </c>
      <c r="Q101">
        <v>1350</v>
      </c>
      <c r="R101">
        <v>24</v>
      </c>
      <c r="S101">
        <v>900</v>
      </c>
      <c r="T101">
        <v>100</v>
      </c>
      <c r="W101">
        <v>1</v>
      </c>
      <c r="X101">
        <v>1</v>
      </c>
      <c r="Y101">
        <v>0</v>
      </c>
      <c r="AA101">
        <f>VLOOKUP(Table29[[#This Row],[Shortname]], Comp[], 6, FALSE)</f>
        <v>60</v>
      </c>
      <c r="AB101" s="14">
        <f>VLOOKUP(Table29[[#This Row],[Shortname]], Comp[], 7, FALSE)</f>
        <v>86.7</v>
      </c>
      <c r="AC101">
        <f>VLOOKUP(Table29[[#This Row],[Shortname]], Comp[], 8, FALSE)</f>
        <v>0</v>
      </c>
      <c r="AD101">
        <f>VLOOKUP(Table29[[#This Row],[Shortname]], Comp[], 9, FALSE)</f>
        <v>8.8000000000000007</v>
      </c>
      <c r="AE101">
        <f>VLOOKUP(Table29[[#This Row],[Shortname]], Comp[], 10, FALSE)</f>
        <v>0</v>
      </c>
      <c r="AF101">
        <f>VLOOKUP(Table29[[#This Row],[Shortname]], Comp[], 11, FALSE)</f>
        <v>4</v>
      </c>
      <c r="AG101">
        <f>VLOOKUP(Table29[[#This Row],[Shortname]], Comp[],12, FALSE)</f>
        <v>0</v>
      </c>
      <c r="AH101">
        <f>VLOOKUP(Table29[[#This Row],[Shortname]], Comp[], 13, FALSE)</f>
        <v>0.5</v>
      </c>
      <c r="AI101">
        <f>VLOOKUP(Table29[[#This Row],[Shortname]], Comp[], 14, FALSE)</f>
        <v>0</v>
      </c>
      <c r="AJ101">
        <f>VLOOKUP(Table29[[#This Row],[Shortname]], Comp[], 15, FALSE)</f>
        <v>0</v>
      </c>
      <c r="AK101">
        <f>VLOOKUP(Table29[[#This Row],[Shortname]], Comp[], 16, FALSE)</f>
        <v>0</v>
      </c>
      <c r="AL101">
        <f>VLOOKUP(Table29[[#This Row],[Shortname]], Comp[], 17, FALSE)</f>
        <v>0</v>
      </c>
      <c r="AM101">
        <f>VLOOKUP(Table29[[#This Row],[Shortname]], Comp[], 18, FALSE)</f>
        <v>0</v>
      </c>
      <c r="AN101">
        <f>VLOOKUP(Table29[[#This Row],[Shortname]], Comp[], 19, FALSE)</f>
        <v>0</v>
      </c>
      <c r="AO101">
        <f>VLOOKUP(Table29[[#This Row],[Shortname]], Comp[], 20, FALSE)</f>
        <v>0</v>
      </c>
      <c r="AP101">
        <f>VLOOKUP(Table29[[#This Row],[Shortname]], Comp[], 21, FALSE)</f>
        <v>0</v>
      </c>
      <c r="AQ101">
        <f>VLOOKUP(Table29[[#This Row],[Shortname]], Comp[], 22, FALSE)</f>
        <v>0</v>
      </c>
      <c r="AR101">
        <f>VLOOKUP(Table29[[#This Row],[Shortname]], Comp[], 23, FALSE)</f>
        <v>0</v>
      </c>
      <c r="AS101">
        <f>VLOOKUP(Table29[[#This Row],[Shortname]], Comp[], 24, FALSE)</f>
        <v>0</v>
      </c>
      <c r="AT101">
        <f>VLOOKUP(Table29[[#This Row],[Shortname]], Comp[], 25, FALSE)</f>
        <v>0</v>
      </c>
      <c r="AU101">
        <f>VLOOKUP(Table29[[#This Row],[Shortname]], Comp[], 26, FALSE)</f>
        <v>0</v>
      </c>
      <c r="AV101">
        <f>VLOOKUP(Table29[[#This Row],[Shortname]], Comp[], 27, FALSE)</f>
        <v>0</v>
      </c>
      <c r="AW101">
        <f>VLOOKUP(Table29[[#This Row],[Shortname]], Comp[], 28, FALSE)</f>
        <v>0</v>
      </c>
      <c r="AX101">
        <f>VLOOKUP(Table29[[#This Row],[Shortname]], Comp[], 29, FALSE)</f>
        <v>0</v>
      </c>
      <c r="AY101">
        <f>VLOOKUP(Table29[[#This Row],[Shortname]], Comp[], 30, FALSE)</f>
        <v>0</v>
      </c>
      <c r="AZ101">
        <f>VLOOKUP(Table29[[#This Row],[Shortname]], Comp[], 31, FALSE)</f>
        <v>0</v>
      </c>
    </row>
    <row r="102" spans="1:52" x14ac:dyDescent="0.3">
      <c r="A102" t="s">
        <v>467</v>
      </c>
      <c r="B102">
        <v>96</v>
      </c>
      <c r="C102">
        <v>61</v>
      </c>
      <c r="D102" t="s">
        <v>468</v>
      </c>
      <c r="E102" t="s">
        <v>95</v>
      </c>
      <c r="F102" t="s">
        <v>469</v>
      </c>
      <c r="G102" t="s">
        <v>460</v>
      </c>
      <c r="H102">
        <v>50</v>
      </c>
      <c r="I102">
        <v>4.9300000000000001E-9</v>
      </c>
      <c r="J102">
        <f>0.01/Table29[[#This Row],[Strain Rate (min) /s]]</f>
        <v>2028397.5659229208</v>
      </c>
      <c r="K102">
        <f>LOG(Table29[[#This Row],[Time to 1% strain (s)]])</f>
        <v>6.3071530807227703</v>
      </c>
      <c r="L102">
        <v>950</v>
      </c>
      <c r="P102" t="s">
        <v>7068</v>
      </c>
      <c r="Q102">
        <v>1350</v>
      </c>
      <c r="R102">
        <v>24</v>
      </c>
      <c r="S102">
        <v>900</v>
      </c>
      <c r="T102">
        <v>100</v>
      </c>
      <c r="W102">
        <v>1</v>
      </c>
      <c r="X102">
        <v>1</v>
      </c>
      <c r="Y102">
        <v>20</v>
      </c>
      <c r="AA102">
        <f>VLOOKUP(Table29[[#This Row],[Shortname]], Comp[], 6, FALSE)</f>
        <v>61</v>
      </c>
      <c r="AB102" s="14">
        <f>VLOOKUP(Table29[[#This Row],[Shortname]], Comp[], 7, FALSE)</f>
        <v>84.47999999999999</v>
      </c>
      <c r="AC102">
        <f>VLOOKUP(Table29[[#This Row],[Shortname]], Comp[], 8, FALSE)</f>
        <v>0</v>
      </c>
      <c r="AD102">
        <f>VLOOKUP(Table29[[#This Row],[Shortname]], Comp[], 9, FALSE)</f>
        <v>8.7600000000000016</v>
      </c>
      <c r="AE102">
        <f>VLOOKUP(Table29[[#This Row],[Shortname]], Comp[], 10, FALSE)</f>
        <v>0</v>
      </c>
      <c r="AF102">
        <f>VLOOKUP(Table29[[#This Row],[Shortname]], Comp[], 11, FALSE)</f>
        <v>5.7600000000000007</v>
      </c>
      <c r="AG102">
        <f>VLOOKUP(Table29[[#This Row],[Shortname]], Comp[],12, FALSE)</f>
        <v>0</v>
      </c>
      <c r="AH102">
        <f>VLOOKUP(Table29[[#This Row],[Shortname]], Comp[], 13, FALSE)</f>
        <v>1</v>
      </c>
      <c r="AI102">
        <f>VLOOKUP(Table29[[#This Row],[Shortname]], Comp[], 14, FALSE)</f>
        <v>0</v>
      </c>
      <c r="AJ102">
        <f>VLOOKUP(Table29[[#This Row],[Shortname]], Comp[], 15, FALSE)</f>
        <v>0</v>
      </c>
      <c r="AK102">
        <f>VLOOKUP(Table29[[#This Row],[Shortname]], Comp[], 16, FALSE)</f>
        <v>0</v>
      </c>
      <c r="AL102">
        <f>VLOOKUP(Table29[[#This Row],[Shortname]], Comp[], 17, FALSE)</f>
        <v>0</v>
      </c>
      <c r="AM102">
        <f>VLOOKUP(Table29[[#This Row],[Shortname]], Comp[], 18, FALSE)</f>
        <v>0</v>
      </c>
      <c r="AN102">
        <f>VLOOKUP(Table29[[#This Row],[Shortname]], Comp[], 19, FALSE)</f>
        <v>0</v>
      </c>
      <c r="AO102">
        <f>VLOOKUP(Table29[[#This Row],[Shortname]], Comp[], 20, FALSE)</f>
        <v>0</v>
      </c>
      <c r="AP102">
        <f>VLOOKUP(Table29[[#This Row],[Shortname]], Comp[], 21, FALSE)</f>
        <v>0</v>
      </c>
      <c r="AQ102">
        <f>VLOOKUP(Table29[[#This Row],[Shortname]], Comp[], 22, FALSE)</f>
        <v>0</v>
      </c>
      <c r="AR102">
        <f>VLOOKUP(Table29[[#This Row],[Shortname]], Comp[], 23, FALSE)</f>
        <v>0</v>
      </c>
      <c r="AS102">
        <f>VLOOKUP(Table29[[#This Row],[Shortname]], Comp[], 24, FALSE)</f>
        <v>0</v>
      </c>
      <c r="AT102">
        <f>VLOOKUP(Table29[[#This Row],[Shortname]], Comp[], 25, FALSE)</f>
        <v>0</v>
      </c>
      <c r="AU102">
        <f>VLOOKUP(Table29[[#This Row],[Shortname]], Comp[], 26, FALSE)</f>
        <v>0</v>
      </c>
      <c r="AV102">
        <f>VLOOKUP(Table29[[#This Row],[Shortname]], Comp[], 27, FALSE)</f>
        <v>0</v>
      </c>
      <c r="AW102">
        <f>VLOOKUP(Table29[[#This Row],[Shortname]], Comp[], 28, FALSE)</f>
        <v>0</v>
      </c>
      <c r="AX102">
        <f>VLOOKUP(Table29[[#This Row],[Shortname]], Comp[], 29, FALSE)</f>
        <v>0</v>
      </c>
      <c r="AY102">
        <f>VLOOKUP(Table29[[#This Row],[Shortname]], Comp[], 30, FALSE)</f>
        <v>0</v>
      </c>
      <c r="AZ102">
        <f>VLOOKUP(Table29[[#This Row],[Shortname]], Comp[], 31, FALSE)</f>
        <v>0</v>
      </c>
    </row>
    <row r="103" spans="1:52" x14ac:dyDescent="0.3">
      <c r="A103" t="s">
        <v>467</v>
      </c>
      <c r="B103">
        <v>97</v>
      </c>
      <c r="C103">
        <v>61</v>
      </c>
      <c r="D103" t="s">
        <v>11</v>
      </c>
      <c r="E103" t="s">
        <v>95</v>
      </c>
      <c r="F103" t="s">
        <v>469</v>
      </c>
      <c r="G103" t="s">
        <v>460</v>
      </c>
      <c r="H103">
        <v>100</v>
      </c>
      <c r="I103">
        <v>1.1999999999999999E-7</v>
      </c>
      <c r="J103">
        <f>0.01/Table29[[#This Row],[Strain Rate (min) /s]]</f>
        <v>83333.333333333343</v>
      </c>
      <c r="K103">
        <f>LOG(Table29[[#This Row],[Time to 1% strain (s)]])</f>
        <v>4.9208187539523749</v>
      </c>
      <c r="L103">
        <v>950</v>
      </c>
      <c r="P103" t="s">
        <v>7068</v>
      </c>
      <c r="Q103">
        <v>1350</v>
      </c>
      <c r="R103">
        <v>24</v>
      </c>
      <c r="S103">
        <v>900</v>
      </c>
      <c r="T103">
        <v>100</v>
      </c>
      <c r="W103">
        <v>1</v>
      </c>
      <c r="X103">
        <v>1</v>
      </c>
      <c r="Y103">
        <v>20</v>
      </c>
      <c r="AA103">
        <f>VLOOKUP(Table29[[#This Row],[Shortname]], Comp[], 6, FALSE)</f>
        <v>61</v>
      </c>
      <c r="AB103" s="14">
        <f>VLOOKUP(Table29[[#This Row],[Shortname]], Comp[], 7, FALSE)</f>
        <v>84.47999999999999</v>
      </c>
      <c r="AC103">
        <f>VLOOKUP(Table29[[#This Row],[Shortname]], Comp[], 8, FALSE)</f>
        <v>0</v>
      </c>
      <c r="AD103">
        <f>VLOOKUP(Table29[[#This Row],[Shortname]], Comp[], 9, FALSE)</f>
        <v>8.7600000000000016</v>
      </c>
      <c r="AE103">
        <f>VLOOKUP(Table29[[#This Row],[Shortname]], Comp[], 10, FALSE)</f>
        <v>0</v>
      </c>
      <c r="AF103">
        <f>VLOOKUP(Table29[[#This Row],[Shortname]], Comp[], 11, FALSE)</f>
        <v>5.7600000000000007</v>
      </c>
      <c r="AG103">
        <f>VLOOKUP(Table29[[#This Row],[Shortname]], Comp[],12, FALSE)</f>
        <v>0</v>
      </c>
      <c r="AH103">
        <f>VLOOKUP(Table29[[#This Row],[Shortname]], Comp[], 13, FALSE)</f>
        <v>1</v>
      </c>
      <c r="AI103">
        <f>VLOOKUP(Table29[[#This Row],[Shortname]], Comp[], 14, FALSE)</f>
        <v>0</v>
      </c>
      <c r="AJ103">
        <f>VLOOKUP(Table29[[#This Row],[Shortname]], Comp[], 15, FALSE)</f>
        <v>0</v>
      </c>
      <c r="AK103">
        <f>VLOOKUP(Table29[[#This Row],[Shortname]], Comp[], 16, FALSE)</f>
        <v>0</v>
      </c>
      <c r="AL103">
        <f>VLOOKUP(Table29[[#This Row],[Shortname]], Comp[], 17, FALSE)</f>
        <v>0</v>
      </c>
      <c r="AM103">
        <f>VLOOKUP(Table29[[#This Row],[Shortname]], Comp[], 18, FALSE)</f>
        <v>0</v>
      </c>
      <c r="AN103">
        <f>VLOOKUP(Table29[[#This Row],[Shortname]], Comp[], 19, FALSE)</f>
        <v>0</v>
      </c>
      <c r="AO103">
        <f>VLOOKUP(Table29[[#This Row],[Shortname]], Comp[], 20, FALSE)</f>
        <v>0</v>
      </c>
      <c r="AP103">
        <f>VLOOKUP(Table29[[#This Row],[Shortname]], Comp[], 21, FALSE)</f>
        <v>0</v>
      </c>
      <c r="AQ103">
        <f>VLOOKUP(Table29[[#This Row],[Shortname]], Comp[], 22, FALSE)</f>
        <v>0</v>
      </c>
      <c r="AR103">
        <f>VLOOKUP(Table29[[#This Row],[Shortname]], Comp[], 23, FALSE)</f>
        <v>0</v>
      </c>
      <c r="AS103">
        <f>VLOOKUP(Table29[[#This Row],[Shortname]], Comp[], 24, FALSE)</f>
        <v>0</v>
      </c>
      <c r="AT103">
        <f>VLOOKUP(Table29[[#This Row],[Shortname]], Comp[], 25, FALSE)</f>
        <v>0</v>
      </c>
      <c r="AU103">
        <f>VLOOKUP(Table29[[#This Row],[Shortname]], Comp[], 26, FALSE)</f>
        <v>0</v>
      </c>
      <c r="AV103">
        <f>VLOOKUP(Table29[[#This Row],[Shortname]], Comp[], 27, FALSE)</f>
        <v>0</v>
      </c>
      <c r="AW103">
        <f>VLOOKUP(Table29[[#This Row],[Shortname]], Comp[], 28, FALSE)</f>
        <v>0</v>
      </c>
      <c r="AX103">
        <f>VLOOKUP(Table29[[#This Row],[Shortname]], Comp[], 29, FALSE)</f>
        <v>0</v>
      </c>
      <c r="AY103">
        <f>VLOOKUP(Table29[[#This Row],[Shortname]], Comp[], 30, FALSE)</f>
        <v>0</v>
      </c>
      <c r="AZ103">
        <f>VLOOKUP(Table29[[#This Row],[Shortname]], Comp[], 31, FALSE)</f>
        <v>0</v>
      </c>
    </row>
    <row r="104" spans="1:52" x14ac:dyDescent="0.3">
      <c r="A104" t="s">
        <v>467</v>
      </c>
      <c r="B104">
        <v>98</v>
      </c>
      <c r="C104">
        <v>61</v>
      </c>
      <c r="D104" t="s">
        <v>11</v>
      </c>
      <c r="E104" t="s">
        <v>95</v>
      </c>
      <c r="F104" t="s">
        <v>469</v>
      </c>
      <c r="G104" t="s">
        <v>460</v>
      </c>
      <c r="H104">
        <v>150</v>
      </c>
      <c r="I104">
        <v>2.7E-6</v>
      </c>
      <c r="J104">
        <f>0.01/Table29[[#This Row],[Strain Rate (min) /s]]</f>
        <v>3703.7037037037039</v>
      </c>
      <c r="K104">
        <f>LOG(Table29[[#This Row],[Time to 1% strain (s)]])</f>
        <v>3.5686362358410126</v>
      </c>
      <c r="L104">
        <v>950</v>
      </c>
      <c r="P104" t="s">
        <v>7068</v>
      </c>
      <c r="Q104">
        <v>1350</v>
      </c>
      <c r="R104">
        <v>24</v>
      </c>
      <c r="S104">
        <v>900</v>
      </c>
      <c r="T104">
        <v>100</v>
      </c>
      <c r="W104">
        <v>1</v>
      </c>
      <c r="X104">
        <v>1</v>
      </c>
      <c r="Y104">
        <v>20</v>
      </c>
      <c r="AA104">
        <f>VLOOKUP(Table29[[#This Row],[Shortname]], Comp[], 6, FALSE)</f>
        <v>61</v>
      </c>
      <c r="AB104" s="14">
        <f>VLOOKUP(Table29[[#This Row],[Shortname]], Comp[], 7, FALSE)</f>
        <v>84.47999999999999</v>
      </c>
      <c r="AC104">
        <f>VLOOKUP(Table29[[#This Row],[Shortname]], Comp[], 8, FALSE)</f>
        <v>0</v>
      </c>
      <c r="AD104">
        <f>VLOOKUP(Table29[[#This Row],[Shortname]], Comp[], 9, FALSE)</f>
        <v>8.7600000000000016</v>
      </c>
      <c r="AE104">
        <f>VLOOKUP(Table29[[#This Row],[Shortname]], Comp[], 10, FALSE)</f>
        <v>0</v>
      </c>
      <c r="AF104">
        <f>VLOOKUP(Table29[[#This Row],[Shortname]], Comp[], 11, FALSE)</f>
        <v>5.7600000000000007</v>
      </c>
      <c r="AG104">
        <f>VLOOKUP(Table29[[#This Row],[Shortname]], Comp[],12, FALSE)</f>
        <v>0</v>
      </c>
      <c r="AH104">
        <f>VLOOKUP(Table29[[#This Row],[Shortname]], Comp[], 13, FALSE)</f>
        <v>1</v>
      </c>
      <c r="AI104">
        <f>VLOOKUP(Table29[[#This Row],[Shortname]], Comp[], 14, FALSE)</f>
        <v>0</v>
      </c>
      <c r="AJ104">
        <f>VLOOKUP(Table29[[#This Row],[Shortname]], Comp[], 15, FALSE)</f>
        <v>0</v>
      </c>
      <c r="AK104">
        <f>VLOOKUP(Table29[[#This Row],[Shortname]], Comp[], 16, FALSE)</f>
        <v>0</v>
      </c>
      <c r="AL104">
        <f>VLOOKUP(Table29[[#This Row],[Shortname]], Comp[], 17, FALSE)</f>
        <v>0</v>
      </c>
      <c r="AM104">
        <f>VLOOKUP(Table29[[#This Row],[Shortname]], Comp[], 18, FALSE)</f>
        <v>0</v>
      </c>
      <c r="AN104">
        <f>VLOOKUP(Table29[[#This Row],[Shortname]], Comp[], 19, FALSE)</f>
        <v>0</v>
      </c>
      <c r="AO104">
        <f>VLOOKUP(Table29[[#This Row],[Shortname]], Comp[], 20, FALSE)</f>
        <v>0</v>
      </c>
      <c r="AP104">
        <f>VLOOKUP(Table29[[#This Row],[Shortname]], Comp[], 21, FALSE)</f>
        <v>0</v>
      </c>
      <c r="AQ104">
        <f>VLOOKUP(Table29[[#This Row],[Shortname]], Comp[], 22, FALSE)</f>
        <v>0</v>
      </c>
      <c r="AR104">
        <f>VLOOKUP(Table29[[#This Row],[Shortname]], Comp[], 23, FALSE)</f>
        <v>0</v>
      </c>
      <c r="AS104">
        <f>VLOOKUP(Table29[[#This Row],[Shortname]], Comp[], 24, FALSE)</f>
        <v>0</v>
      </c>
      <c r="AT104">
        <f>VLOOKUP(Table29[[#This Row],[Shortname]], Comp[], 25, FALSE)</f>
        <v>0</v>
      </c>
      <c r="AU104">
        <f>VLOOKUP(Table29[[#This Row],[Shortname]], Comp[], 26, FALSE)</f>
        <v>0</v>
      </c>
      <c r="AV104">
        <f>VLOOKUP(Table29[[#This Row],[Shortname]], Comp[], 27, FALSE)</f>
        <v>0</v>
      </c>
      <c r="AW104">
        <f>VLOOKUP(Table29[[#This Row],[Shortname]], Comp[], 28, FALSE)</f>
        <v>0</v>
      </c>
      <c r="AX104">
        <f>VLOOKUP(Table29[[#This Row],[Shortname]], Comp[], 29, FALSE)</f>
        <v>0</v>
      </c>
      <c r="AY104">
        <f>VLOOKUP(Table29[[#This Row],[Shortname]], Comp[], 30, FALSE)</f>
        <v>0</v>
      </c>
      <c r="AZ104">
        <f>VLOOKUP(Table29[[#This Row],[Shortname]], Comp[], 31, FALSE)</f>
        <v>0</v>
      </c>
    </row>
    <row r="105" spans="1:52" x14ac:dyDescent="0.3">
      <c r="A105" t="s">
        <v>467</v>
      </c>
      <c r="B105">
        <v>99</v>
      </c>
      <c r="C105">
        <v>61</v>
      </c>
      <c r="D105" t="s">
        <v>11</v>
      </c>
      <c r="E105" t="s">
        <v>95</v>
      </c>
      <c r="F105" t="s">
        <v>469</v>
      </c>
      <c r="G105" t="s">
        <v>460</v>
      </c>
      <c r="H105">
        <v>200</v>
      </c>
      <c r="I105">
        <v>2.37E-5</v>
      </c>
      <c r="J105">
        <f>0.01/Table29[[#This Row],[Strain Rate (min) /s]]</f>
        <v>421.94092827004221</v>
      </c>
      <c r="K105">
        <f>LOG(Table29[[#This Row],[Time to 1% strain (s)]])</f>
        <v>2.625251653989896</v>
      </c>
      <c r="L105">
        <v>950</v>
      </c>
      <c r="P105" t="s">
        <v>7068</v>
      </c>
      <c r="Q105">
        <v>1350</v>
      </c>
      <c r="R105">
        <v>24</v>
      </c>
      <c r="S105">
        <v>900</v>
      </c>
      <c r="T105">
        <v>100</v>
      </c>
      <c r="W105">
        <v>1</v>
      </c>
      <c r="X105">
        <v>1</v>
      </c>
      <c r="Y105">
        <v>20</v>
      </c>
      <c r="AA105">
        <f>VLOOKUP(Table29[[#This Row],[Shortname]], Comp[], 6, FALSE)</f>
        <v>61</v>
      </c>
      <c r="AB105" s="14">
        <f>VLOOKUP(Table29[[#This Row],[Shortname]], Comp[], 7, FALSE)</f>
        <v>84.47999999999999</v>
      </c>
      <c r="AC105">
        <f>VLOOKUP(Table29[[#This Row],[Shortname]], Comp[], 8, FALSE)</f>
        <v>0</v>
      </c>
      <c r="AD105">
        <f>VLOOKUP(Table29[[#This Row],[Shortname]], Comp[], 9, FALSE)</f>
        <v>8.7600000000000016</v>
      </c>
      <c r="AE105">
        <f>VLOOKUP(Table29[[#This Row],[Shortname]], Comp[], 10, FALSE)</f>
        <v>0</v>
      </c>
      <c r="AF105">
        <f>VLOOKUP(Table29[[#This Row],[Shortname]], Comp[], 11, FALSE)</f>
        <v>5.7600000000000007</v>
      </c>
      <c r="AG105">
        <f>VLOOKUP(Table29[[#This Row],[Shortname]], Comp[],12, FALSE)</f>
        <v>0</v>
      </c>
      <c r="AH105">
        <f>VLOOKUP(Table29[[#This Row],[Shortname]], Comp[], 13, FALSE)</f>
        <v>1</v>
      </c>
      <c r="AI105">
        <f>VLOOKUP(Table29[[#This Row],[Shortname]], Comp[], 14, FALSE)</f>
        <v>0</v>
      </c>
      <c r="AJ105">
        <f>VLOOKUP(Table29[[#This Row],[Shortname]], Comp[], 15, FALSE)</f>
        <v>0</v>
      </c>
      <c r="AK105">
        <f>VLOOKUP(Table29[[#This Row],[Shortname]], Comp[], 16, FALSE)</f>
        <v>0</v>
      </c>
      <c r="AL105">
        <f>VLOOKUP(Table29[[#This Row],[Shortname]], Comp[], 17, FALSE)</f>
        <v>0</v>
      </c>
      <c r="AM105">
        <f>VLOOKUP(Table29[[#This Row],[Shortname]], Comp[], 18, FALSE)</f>
        <v>0</v>
      </c>
      <c r="AN105">
        <f>VLOOKUP(Table29[[#This Row],[Shortname]], Comp[], 19, FALSE)</f>
        <v>0</v>
      </c>
      <c r="AO105">
        <f>VLOOKUP(Table29[[#This Row],[Shortname]], Comp[], 20, FALSE)</f>
        <v>0</v>
      </c>
      <c r="AP105">
        <f>VLOOKUP(Table29[[#This Row],[Shortname]], Comp[], 21, FALSE)</f>
        <v>0</v>
      </c>
      <c r="AQ105">
        <f>VLOOKUP(Table29[[#This Row],[Shortname]], Comp[], 22, FALSE)</f>
        <v>0</v>
      </c>
      <c r="AR105">
        <f>VLOOKUP(Table29[[#This Row],[Shortname]], Comp[], 23, FALSE)</f>
        <v>0</v>
      </c>
      <c r="AS105">
        <f>VLOOKUP(Table29[[#This Row],[Shortname]], Comp[], 24, FALSE)</f>
        <v>0</v>
      </c>
      <c r="AT105">
        <f>VLOOKUP(Table29[[#This Row],[Shortname]], Comp[], 25, FALSE)</f>
        <v>0</v>
      </c>
      <c r="AU105">
        <f>VLOOKUP(Table29[[#This Row],[Shortname]], Comp[], 26, FALSE)</f>
        <v>0</v>
      </c>
      <c r="AV105">
        <f>VLOOKUP(Table29[[#This Row],[Shortname]], Comp[], 27, FALSE)</f>
        <v>0</v>
      </c>
      <c r="AW105">
        <f>VLOOKUP(Table29[[#This Row],[Shortname]], Comp[], 28, FALSE)</f>
        <v>0</v>
      </c>
      <c r="AX105">
        <f>VLOOKUP(Table29[[#This Row],[Shortname]], Comp[], 29, FALSE)</f>
        <v>0</v>
      </c>
      <c r="AY105">
        <f>VLOOKUP(Table29[[#This Row],[Shortname]], Comp[], 30, FALSE)</f>
        <v>0</v>
      </c>
      <c r="AZ105">
        <f>VLOOKUP(Table29[[#This Row],[Shortname]], Comp[], 31, FALSE)</f>
        <v>0</v>
      </c>
    </row>
    <row r="106" spans="1:52" x14ac:dyDescent="0.3">
      <c r="A106" t="s">
        <v>467</v>
      </c>
      <c r="B106">
        <v>100</v>
      </c>
      <c r="C106">
        <v>61</v>
      </c>
      <c r="D106" t="s">
        <v>11</v>
      </c>
      <c r="E106" t="s">
        <v>95</v>
      </c>
      <c r="F106" t="s">
        <v>469</v>
      </c>
      <c r="G106" t="s">
        <v>460</v>
      </c>
      <c r="H106">
        <v>240</v>
      </c>
      <c r="I106">
        <v>1.17E-4</v>
      </c>
      <c r="J106">
        <f>0.01/Table29[[#This Row],[Strain Rate (min) /s]]</f>
        <v>85.470085470085479</v>
      </c>
      <c r="K106">
        <f>LOG(Table29[[#This Row],[Time to 1% strain (s)]])</f>
        <v>1.9318141382538383</v>
      </c>
      <c r="L106">
        <v>950</v>
      </c>
      <c r="P106" t="s">
        <v>7068</v>
      </c>
      <c r="Q106">
        <v>1350</v>
      </c>
      <c r="R106">
        <v>24</v>
      </c>
      <c r="S106">
        <v>900</v>
      </c>
      <c r="T106">
        <v>100</v>
      </c>
      <c r="W106">
        <v>1</v>
      </c>
      <c r="X106">
        <v>1</v>
      </c>
      <c r="Y106">
        <v>20</v>
      </c>
      <c r="AA106">
        <f>VLOOKUP(Table29[[#This Row],[Shortname]], Comp[], 6, FALSE)</f>
        <v>61</v>
      </c>
      <c r="AB106" s="14">
        <f>VLOOKUP(Table29[[#This Row],[Shortname]], Comp[], 7, FALSE)</f>
        <v>84.47999999999999</v>
      </c>
      <c r="AC106">
        <f>VLOOKUP(Table29[[#This Row],[Shortname]], Comp[], 8, FALSE)</f>
        <v>0</v>
      </c>
      <c r="AD106">
        <f>VLOOKUP(Table29[[#This Row],[Shortname]], Comp[], 9, FALSE)</f>
        <v>8.7600000000000016</v>
      </c>
      <c r="AE106">
        <f>VLOOKUP(Table29[[#This Row],[Shortname]], Comp[], 10, FALSE)</f>
        <v>0</v>
      </c>
      <c r="AF106">
        <f>VLOOKUP(Table29[[#This Row],[Shortname]], Comp[], 11, FALSE)</f>
        <v>5.7600000000000007</v>
      </c>
      <c r="AG106">
        <f>VLOOKUP(Table29[[#This Row],[Shortname]], Comp[],12, FALSE)</f>
        <v>0</v>
      </c>
      <c r="AH106">
        <f>VLOOKUP(Table29[[#This Row],[Shortname]], Comp[], 13, FALSE)</f>
        <v>1</v>
      </c>
      <c r="AI106">
        <f>VLOOKUP(Table29[[#This Row],[Shortname]], Comp[], 14, FALSE)</f>
        <v>0</v>
      </c>
      <c r="AJ106">
        <f>VLOOKUP(Table29[[#This Row],[Shortname]], Comp[], 15, FALSE)</f>
        <v>0</v>
      </c>
      <c r="AK106">
        <f>VLOOKUP(Table29[[#This Row],[Shortname]], Comp[], 16, FALSE)</f>
        <v>0</v>
      </c>
      <c r="AL106">
        <f>VLOOKUP(Table29[[#This Row],[Shortname]], Comp[], 17, FALSE)</f>
        <v>0</v>
      </c>
      <c r="AM106">
        <f>VLOOKUP(Table29[[#This Row],[Shortname]], Comp[], 18, FALSE)</f>
        <v>0</v>
      </c>
      <c r="AN106">
        <f>VLOOKUP(Table29[[#This Row],[Shortname]], Comp[], 19, FALSE)</f>
        <v>0</v>
      </c>
      <c r="AO106">
        <f>VLOOKUP(Table29[[#This Row],[Shortname]], Comp[], 20, FALSE)</f>
        <v>0</v>
      </c>
      <c r="AP106">
        <f>VLOOKUP(Table29[[#This Row],[Shortname]], Comp[], 21, FALSE)</f>
        <v>0</v>
      </c>
      <c r="AQ106">
        <f>VLOOKUP(Table29[[#This Row],[Shortname]], Comp[], 22, FALSE)</f>
        <v>0</v>
      </c>
      <c r="AR106">
        <f>VLOOKUP(Table29[[#This Row],[Shortname]], Comp[], 23, FALSE)</f>
        <v>0</v>
      </c>
      <c r="AS106">
        <f>VLOOKUP(Table29[[#This Row],[Shortname]], Comp[], 24, FALSE)</f>
        <v>0</v>
      </c>
      <c r="AT106">
        <f>VLOOKUP(Table29[[#This Row],[Shortname]], Comp[], 25, FALSE)</f>
        <v>0</v>
      </c>
      <c r="AU106">
        <f>VLOOKUP(Table29[[#This Row],[Shortname]], Comp[], 26, FALSE)</f>
        <v>0</v>
      </c>
      <c r="AV106">
        <f>VLOOKUP(Table29[[#This Row],[Shortname]], Comp[], 27, FALSE)</f>
        <v>0</v>
      </c>
      <c r="AW106">
        <f>VLOOKUP(Table29[[#This Row],[Shortname]], Comp[], 28, FALSE)</f>
        <v>0</v>
      </c>
      <c r="AX106">
        <f>VLOOKUP(Table29[[#This Row],[Shortname]], Comp[], 29, FALSE)</f>
        <v>0</v>
      </c>
      <c r="AY106">
        <f>VLOOKUP(Table29[[#This Row],[Shortname]], Comp[], 30, FALSE)</f>
        <v>0</v>
      </c>
      <c r="AZ106">
        <f>VLOOKUP(Table29[[#This Row],[Shortname]], Comp[], 31, FALSE)</f>
        <v>0</v>
      </c>
    </row>
    <row r="107" spans="1:52" x14ac:dyDescent="0.3">
      <c r="A107" t="s">
        <v>475</v>
      </c>
      <c r="B107">
        <v>101</v>
      </c>
      <c r="C107">
        <v>62</v>
      </c>
      <c r="D107" t="s">
        <v>476</v>
      </c>
      <c r="E107" t="s">
        <v>95</v>
      </c>
      <c r="F107" t="s">
        <v>477</v>
      </c>
      <c r="G107" t="s">
        <v>460</v>
      </c>
      <c r="H107">
        <v>150</v>
      </c>
      <c r="I107">
        <v>1.9399999999999998E-8</v>
      </c>
      <c r="J107">
        <f>0.01/Table29[[#This Row],[Strain Rate (min) /s]]</f>
        <v>515463.91752577323</v>
      </c>
      <c r="K107">
        <f>LOG(Table29[[#This Row],[Time to 1% strain (s)]])</f>
        <v>5.7121982700697735</v>
      </c>
      <c r="L107">
        <v>950</v>
      </c>
      <c r="P107" t="s">
        <v>7069</v>
      </c>
      <c r="Q107">
        <v>1350</v>
      </c>
      <c r="R107">
        <v>24</v>
      </c>
      <c r="S107">
        <v>900</v>
      </c>
      <c r="T107">
        <v>100</v>
      </c>
      <c r="W107">
        <v>1</v>
      </c>
      <c r="X107">
        <v>1</v>
      </c>
      <c r="Y107">
        <v>50</v>
      </c>
      <c r="AA107">
        <f>VLOOKUP(Table29[[#This Row],[Shortname]], Comp[], 6, FALSE)</f>
        <v>62</v>
      </c>
      <c r="AB107" s="14">
        <f>VLOOKUP(Table29[[#This Row],[Shortname]], Comp[], 7, FALSE)</f>
        <v>81.97999999999999</v>
      </c>
      <c r="AC107">
        <f>VLOOKUP(Table29[[#This Row],[Shortname]], Comp[], 8, FALSE)</f>
        <v>0</v>
      </c>
      <c r="AD107">
        <f>VLOOKUP(Table29[[#This Row],[Shortname]], Comp[], 9, FALSE)</f>
        <v>8.74</v>
      </c>
      <c r="AE107">
        <f>VLOOKUP(Table29[[#This Row],[Shortname]], Comp[], 10, FALSE)</f>
        <v>0</v>
      </c>
      <c r="AF107">
        <f>VLOOKUP(Table29[[#This Row],[Shortname]], Comp[], 11, FALSE)</f>
        <v>7.82</v>
      </c>
      <c r="AG107">
        <f>VLOOKUP(Table29[[#This Row],[Shortname]], Comp[],12, FALSE)</f>
        <v>0</v>
      </c>
      <c r="AH107">
        <f>VLOOKUP(Table29[[#This Row],[Shortname]], Comp[], 13, FALSE)</f>
        <v>1.46</v>
      </c>
      <c r="AI107">
        <f>VLOOKUP(Table29[[#This Row],[Shortname]], Comp[], 14, FALSE)</f>
        <v>0</v>
      </c>
      <c r="AJ107">
        <f>VLOOKUP(Table29[[#This Row],[Shortname]], Comp[], 15, FALSE)</f>
        <v>0</v>
      </c>
      <c r="AK107">
        <f>VLOOKUP(Table29[[#This Row],[Shortname]], Comp[], 16, FALSE)</f>
        <v>0</v>
      </c>
      <c r="AL107">
        <f>VLOOKUP(Table29[[#This Row],[Shortname]], Comp[], 17, FALSE)</f>
        <v>0</v>
      </c>
      <c r="AM107">
        <f>VLOOKUP(Table29[[#This Row],[Shortname]], Comp[], 18, FALSE)</f>
        <v>0</v>
      </c>
      <c r="AN107">
        <f>VLOOKUP(Table29[[#This Row],[Shortname]], Comp[], 19, FALSE)</f>
        <v>0</v>
      </c>
      <c r="AO107">
        <f>VLOOKUP(Table29[[#This Row],[Shortname]], Comp[], 20, FALSE)</f>
        <v>0</v>
      </c>
      <c r="AP107">
        <f>VLOOKUP(Table29[[#This Row],[Shortname]], Comp[], 21, FALSE)</f>
        <v>0</v>
      </c>
      <c r="AQ107">
        <f>VLOOKUP(Table29[[#This Row],[Shortname]], Comp[], 22, FALSE)</f>
        <v>0</v>
      </c>
      <c r="AR107">
        <f>VLOOKUP(Table29[[#This Row],[Shortname]], Comp[], 23, FALSE)</f>
        <v>0</v>
      </c>
      <c r="AS107">
        <f>VLOOKUP(Table29[[#This Row],[Shortname]], Comp[], 24, FALSE)</f>
        <v>0</v>
      </c>
      <c r="AT107">
        <f>VLOOKUP(Table29[[#This Row],[Shortname]], Comp[], 25, FALSE)</f>
        <v>0</v>
      </c>
      <c r="AU107">
        <f>VLOOKUP(Table29[[#This Row],[Shortname]], Comp[], 26, FALSE)</f>
        <v>0</v>
      </c>
      <c r="AV107">
        <f>VLOOKUP(Table29[[#This Row],[Shortname]], Comp[], 27, FALSE)</f>
        <v>0</v>
      </c>
      <c r="AW107">
        <f>VLOOKUP(Table29[[#This Row],[Shortname]], Comp[], 28, FALSE)</f>
        <v>0</v>
      </c>
      <c r="AX107">
        <f>VLOOKUP(Table29[[#This Row],[Shortname]], Comp[], 29, FALSE)</f>
        <v>0</v>
      </c>
      <c r="AY107">
        <f>VLOOKUP(Table29[[#This Row],[Shortname]], Comp[], 30, FALSE)</f>
        <v>0</v>
      </c>
      <c r="AZ107">
        <f>VLOOKUP(Table29[[#This Row],[Shortname]], Comp[], 31, FALSE)</f>
        <v>0</v>
      </c>
    </row>
    <row r="108" spans="1:52" x14ac:dyDescent="0.3">
      <c r="A108" t="s">
        <v>475</v>
      </c>
      <c r="B108">
        <v>102</v>
      </c>
      <c r="C108">
        <v>62</v>
      </c>
      <c r="D108" t="s">
        <v>11</v>
      </c>
      <c r="E108" t="s">
        <v>95</v>
      </c>
      <c r="F108" t="s">
        <v>477</v>
      </c>
      <c r="G108" t="s">
        <v>460</v>
      </c>
      <c r="H108">
        <v>200</v>
      </c>
      <c r="I108">
        <v>3.2000000000000002E-8</v>
      </c>
      <c r="J108">
        <f>0.01/Table29[[#This Row],[Strain Rate (min) /s]]</f>
        <v>312500</v>
      </c>
      <c r="K108">
        <f>LOG(Table29[[#This Row],[Time to 1% strain (s)]])</f>
        <v>5.4948500216800937</v>
      </c>
      <c r="L108">
        <v>950</v>
      </c>
      <c r="P108" t="s">
        <v>7069</v>
      </c>
      <c r="Q108">
        <v>1350</v>
      </c>
      <c r="R108">
        <v>24</v>
      </c>
      <c r="S108">
        <v>900</v>
      </c>
      <c r="T108">
        <v>100</v>
      </c>
      <c r="W108">
        <v>1</v>
      </c>
      <c r="X108">
        <v>1</v>
      </c>
      <c r="Y108">
        <v>50</v>
      </c>
      <c r="AA108">
        <f>VLOOKUP(Table29[[#This Row],[Shortname]], Comp[], 6, FALSE)</f>
        <v>62</v>
      </c>
      <c r="AB108" s="14">
        <f>VLOOKUP(Table29[[#This Row],[Shortname]], Comp[], 7, FALSE)</f>
        <v>81.97999999999999</v>
      </c>
      <c r="AC108">
        <f>VLOOKUP(Table29[[#This Row],[Shortname]], Comp[], 8, FALSE)</f>
        <v>0</v>
      </c>
      <c r="AD108">
        <f>VLOOKUP(Table29[[#This Row],[Shortname]], Comp[], 9, FALSE)</f>
        <v>8.74</v>
      </c>
      <c r="AE108">
        <f>VLOOKUP(Table29[[#This Row],[Shortname]], Comp[], 10, FALSE)</f>
        <v>0</v>
      </c>
      <c r="AF108">
        <f>VLOOKUP(Table29[[#This Row],[Shortname]], Comp[], 11, FALSE)</f>
        <v>7.82</v>
      </c>
      <c r="AG108">
        <f>VLOOKUP(Table29[[#This Row],[Shortname]], Comp[],12, FALSE)</f>
        <v>0</v>
      </c>
      <c r="AH108">
        <f>VLOOKUP(Table29[[#This Row],[Shortname]], Comp[], 13, FALSE)</f>
        <v>1.46</v>
      </c>
      <c r="AI108">
        <f>VLOOKUP(Table29[[#This Row],[Shortname]], Comp[], 14, FALSE)</f>
        <v>0</v>
      </c>
      <c r="AJ108">
        <f>VLOOKUP(Table29[[#This Row],[Shortname]], Comp[], 15, FALSE)</f>
        <v>0</v>
      </c>
      <c r="AK108">
        <f>VLOOKUP(Table29[[#This Row],[Shortname]], Comp[], 16, FALSE)</f>
        <v>0</v>
      </c>
      <c r="AL108">
        <f>VLOOKUP(Table29[[#This Row],[Shortname]], Comp[], 17, FALSE)</f>
        <v>0</v>
      </c>
      <c r="AM108">
        <f>VLOOKUP(Table29[[#This Row],[Shortname]], Comp[], 18, FALSE)</f>
        <v>0</v>
      </c>
      <c r="AN108">
        <f>VLOOKUP(Table29[[#This Row],[Shortname]], Comp[], 19, FALSE)</f>
        <v>0</v>
      </c>
      <c r="AO108">
        <f>VLOOKUP(Table29[[#This Row],[Shortname]], Comp[], 20, FALSE)</f>
        <v>0</v>
      </c>
      <c r="AP108">
        <f>VLOOKUP(Table29[[#This Row],[Shortname]], Comp[], 21, FALSE)</f>
        <v>0</v>
      </c>
      <c r="AQ108">
        <f>VLOOKUP(Table29[[#This Row],[Shortname]], Comp[], 22, FALSE)</f>
        <v>0</v>
      </c>
      <c r="AR108">
        <f>VLOOKUP(Table29[[#This Row],[Shortname]], Comp[], 23, FALSE)</f>
        <v>0</v>
      </c>
      <c r="AS108">
        <f>VLOOKUP(Table29[[#This Row],[Shortname]], Comp[], 24, FALSE)</f>
        <v>0</v>
      </c>
      <c r="AT108">
        <f>VLOOKUP(Table29[[#This Row],[Shortname]], Comp[], 25, FALSE)</f>
        <v>0</v>
      </c>
      <c r="AU108">
        <f>VLOOKUP(Table29[[#This Row],[Shortname]], Comp[], 26, FALSE)</f>
        <v>0</v>
      </c>
      <c r="AV108">
        <f>VLOOKUP(Table29[[#This Row],[Shortname]], Comp[], 27, FALSE)</f>
        <v>0</v>
      </c>
      <c r="AW108">
        <f>VLOOKUP(Table29[[#This Row],[Shortname]], Comp[], 28, FALSE)</f>
        <v>0</v>
      </c>
      <c r="AX108">
        <f>VLOOKUP(Table29[[#This Row],[Shortname]], Comp[], 29, FALSE)</f>
        <v>0</v>
      </c>
      <c r="AY108">
        <f>VLOOKUP(Table29[[#This Row],[Shortname]], Comp[], 30, FALSE)</f>
        <v>0</v>
      </c>
      <c r="AZ108">
        <f>VLOOKUP(Table29[[#This Row],[Shortname]], Comp[], 31, FALSE)</f>
        <v>0</v>
      </c>
    </row>
    <row r="109" spans="1:52" x14ac:dyDescent="0.3">
      <c r="A109" t="s">
        <v>475</v>
      </c>
      <c r="B109">
        <v>103</v>
      </c>
      <c r="C109">
        <v>62</v>
      </c>
      <c r="D109" t="s">
        <v>11</v>
      </c>
      <c r="E109" t="s">
        <v>95</v>
      </c>
      <c r="F109" t="s">
        <v>477</v>
      </c>
      <c r="G109" t="s">
        <v>460</v>
      </c>
      <c r="H109">
        <v>250</v>
      </c>
      <c r="I109">
        <v>1.8900000000000001E-7</v>
      </c>
      <c r="J109">
        <f>0.01/Table29[[#This Row],[Strain Rate (min) /s]]</f>
        <v>52910.052910052909</v>
      </c>
      <c r="K109">
        <f>LOG(Table29[[#This Row],[Time to 1% strain (s)]])</f>
        <v>4.7235381958267562</v>
      </c>
      <c r="L109">
        <v>950</v>
      </c>
      <c r="P109" t="s">
        <v>7069</v>
      </c>
      <c r="Q109">
        <v>1350</v>
      </c>
      <c r="R109">
        <v>24</v>
      </c>
      <c r="S109">
        <v>900</v>
      </c>
      <c r="T109">
        <v>100</v>
      </c>
      <c r="W109">
        <v>1</v>
      </c>
      <c r="X109">
        <v>1</v>
      </c>
      <c r="Y109">
        <v>50</v>
      </c>
      <c r="AA109">
        <f>VLOOKUP(Table29[[#This Row],[Shortname]], Comp[], 6, FALSE)</f>
        <v>62</v>
      </c>
      <c r="AB109" s="14">
        <f>VLOOKUP(Table29[[#This Row],[Shortname]], Comp[], 7, FALSE)</f>
        <v>81.97999999999999</v>
      </c>
      <c r="AC109">
        <f>VLOOKUP(Table29[[#This Row],[Shortname]], Comp[], 8, FALSE)</f>
        <v>0</v>
      </c>
      <c r="AD109">
        <f>VLOOKUP(Table29[[#This Row],[Shortname]], Comp[], 9, FALSE)</f>
        <v>8.74</v>
      </c>
      <c r="AE109">
        <f>VLOOKUP(Table29[[#This Row],[Shortname]], Comp[], 10, FALSE)</f>
        <v>0</v>
      </c>
      <c r="AF109">
        <f>VLOOKUP(Table29[[#This Row],[Shortname]], Comp[], 11, FALSE)</f>
        <v>7.82</v>
      </c>
      <c r="AG109">
        <f>VLOOKUP(Table29[[#This Row],[Shortname]], Comp[],12, FALSE)</f>
        <v>0</v>
      </c>
      <c r="AH109">
        <f>VLOOKUP(Table29[[#This Row],[Shortname]], Comp[], 13, FALSE)</f>
        <v>1.46</v>
      </c>
      <c r="AI109">
        <f>VLOOKUP(Table29[[#This Row],[Shortname]], Comp[], 14, FALSE)</f>
        <v>0</v>
      </c>
      <c r="AJ109">
        <f>VLOOKUP(Table29[[#This Row],[Shortname]], Comp[], 15, FALSE)</f>
        <v>0</v>
      </c>
      <c r="AK109">
        <f>VLOOKUP(Table29[[#This Row],[Shortname]], Comp[], 16, FALSE)</f>
        <v>0</v>
      </c>
      <c r="AL109">
        <f>VLOOKUP(Table29[[#This Row],[Shortname]], Comp[], 17, FALSE)</f>
        <v>0</v>
      </c>
      <c r="AM109">
        <f>VLOOKUP(Table29[[#This Row],[Shortname]], Comp[], 18, FALSE)</f>
        <v>0</v>
      </c>
      <c r="AN109">
        <f>VLOOKUP(Table29[[#This Row],[Shortname]], Comp[], 19, FALSE)</f>
        <v>0</v>
      </c>
      <c r="AO109">
        <f>VLOOKUP(Table29[[#This Row],[Shortname]], Comp[], 20, FALSE)</f>
        <v>0</v>
      </c>
      <c r="AP109">
        <f>VLOOKUP(Table29[[#This Row],[Shortname]], Comp[], 21, FALSE)</f>
        <v>0</v>
      </c>
      <c r="AQ109">
        <f>VLOOKUP(Table29[[#This Row],[Shortname]], Comp[], 22, FALSE)</f>
        <v>0</v>
      </c>
      <c r="AR109">
        <f>VLOOKUP(Table29[[#This Row],[Shortname]], Comp[], 23, FALSE)</f>
        <v>0</v>
      </c>
      <c r="AS109">
        <f>VLOOKUP(Table29[[#This Row],[Shortname]], Comp[], 24, FALSE)</f>
        <v>0</v>
      </c>
      <c r="AT109">
        <f>VLOOKUP(Table29[[#This Row],[Shortname]], Comp[], 25, FALSE)</f>
        <v>0</v>
      </c>
      <c r="AU109">
        <f>VLOOKUP(Table29[[#This Row],[Shortname]], Comp[], 26, FALSE)</f>
        <v>0</v>
      </c>
      <c r="AV109">
        <f>VLOOKUP(Table29[[#This Row],[Shortname]], Comp[], 27, FALSE)</f>
        <v>0</v>
      </c>
      <c r="AW109">
        <f>VLOOKUP(Table29[[#This Row],[Shortname]], Comp[], 28, FALSE)</f>
        <v>0</v>
      </c>
      <c r="AX109">
        <f>VLOOKUP(Table29[[#This Row],[Shortname]], Comp[], 29, FALSE)</f>
        <v>0</v>
      </c>
      <c r="AY109">
        <f>VLOOKUP(Table29[[#This Row],[Shortname]], Comp[], 30, FALSE)</f>
        <v>0</v>
      </c>
      <c r="AZ109">
        <f>VLOOKUP(Table29[[#This Row],[Shortname]], Comp[], 31, FALSE)</f>
        <v>0</v>
      </c>
    </row>
    <row r="110" spans="1:52" x14ac:dyDescent="0.3">
      <c r="A110" t="s">
        <v>475</v>
      </c>
      <c r="B110">
        <v>104</v>
      </c>
      <c r="C110">
        <v>62</v>
      </c>
      <c r="D110" t="s">
        <v>11</v>
      </c>
      <c r="E110" t="s">
        <v>95</v>
      </c>
      <c r="F110" t="s">
        <v>477</v>
      </c>
      <c r="G110" t="s">
        <v>460</v>
      </c>
      <c r="H110">
        <v>350</v>
      </c>
      <c r="I110">
        <v>3.8399999999999997E-6</v>
      </c>
      <c r="J110">
        <f>0.01/Table29[[#This Row],[Strain Rate (min) /s]]</f>
        <v>2604.166666666667</v>
      </c>
      <c r="K110">
        <f>LOG(Table29[[#This Row],[Time to 1% strain (s)]])</f>
        <v>3.4156687756324691</v>
      </c>
      <c r="L110">
        <v>950</v>
      </c>
      <c r="P110" t="s">
        <v>7069</v>
      </c>
      <c r="Q110">
        <v>1350</v>
      </c>
      <c r="R110">
        <v>24</v>
      </c>
      <c r="S110">
        <v>900</v>
      </c>
      <c r="T110">
        <v>100</v>
      </c>
      <c r="W110">
        <v>1</v>
      </c>
      <c r="X110">
        <v>1</v>
      </c>
      <c r="Y110">
        <v>50</v>
      </c>
      <c r="AA110">
        <f>VLOOKUP(Table29[[#This Row],[Shortname]], Comp[], 6, FALSE)</f>
        <v>62</v>
      </c>
      <c r="AB110" s="14">
        <f>VLOOKUP(Table29[[#This Row],[Shortname]], Comp[], 7, FALSE)</f>
        <v>81.97999999999999</v>
      </c>
      <c r="AC110">
        <f>VLOOKUP(Table29[[#This Row],[Shortname]], Comp[], 8, FALSE)</f>
        <v>0</v>
      </c>
      <c r="AD110">
        <f>VLOOKUP(Table29[[#This Row],[Shortname]], Comp[], 9, FALSE)</f>
        <v>8.74</v>
      </c>
      <c r="AE110">
        <f>VLOOKUP(Table29[[#This Row],[Shortname]], Comp[], 10, FALSE)</f>
        <v>0</v>
      </c>
      <c r="AF110">
        <f>VLOOKUP(Table29[[#This Row],[Shortname]], Comp[], 11, FALSE)</f>
        <v>7.82</v>
      </c>
      <c r="AG110">
        <f>VLOOKUP(Table29[[#This Row],[Shortname]], Comp[],12, FALSE)</f>
        <v>0</v>
      </c>
      <c r="AH110">
        <f>VLOOKUP(Table29[[#This Row],[Shortname]], Comp[], 13, FALSE)</f>
        <v>1.46</v>
      </c>
      <c r="AI110">
        <f>VLOOKUP(Table29[[#This Row],[Shortname]], Comp[], 14, FALSE)</f>
        <v>0</v>
      </c>
      <c r="AJ110">
        <f>VLOOKUP(Table29[[#This Row],[Shortname]], Comp[], 15, FALSE)</f>
        <v>0</v>
      </c>
      <c r="AK110">
        <f>VLOOKUP(Table29[[#This Row],[Shortname]], Comp[], 16, FALSE)</f>
        <v>0</v>
      </c>
      <c r="AL110">
        <f>VLOOKUP(Table29[[#This Row],[Shortname]], Comp[], 17, FALSE)</f>
        <v>0</v>
      </c>
      <c r="AM110">
        <f>VLOOKUP(Table29[[#This Row],[Shortname]], Comp[], 18, FALSE)</f>
        <v>0</v>
      </c>
      <c r="AN110">
        <f>VLOOKUP(Table29[[#This Row],[Shortname]], Comp[], 19, FALSE)</f>
        <v>0</v>
      </c>
      <c r="AO110">
        <f>VLOOKUP(Table29[[#This Row],[Shortname]], Comp[], 20, FALSE)</f>
        <v>0</v>
      </c>
      <c r="AP110">
        <f>VLOOKUP(Table29[[#This Row],[Shortname]], Comp[], 21, FALSE)</f>
        <v>0</v>
      </c>
      <c r="AQ110">
        <f>VLOOKUP(Table29[[#This Row],[Shortname]], Comp[], 22, FALSE)</f>
        <v>0</v>
      </c>
      <c r="AR110">
        <f>VLOOKUP(Table29[[#This Row],[Shortname]], Comp[], 23, FALSE)</f>
        <v>0</v>
      </c>
      <c r="AS110">
        <f>VLOOKUP(Table29[[#This Row],[Shortname]], Comp[], 24, FALSE)</f>
        <v>0</v>
      </c>
      <c r="AT110">
        <f>VLOOKUP(Table29[[#This Row],[Shortname]], Comp[], 25, FALSE)</f>
        <v>0</v>
      </c>
      <c r="AU110">
        <f>VLOOKUP(Table29[[#This Row],[Shortname]], Comp[], 26, FALSE)</f>
        <v>0</v>
      </c>
      <c r="AV110">
        <f>VLOOKUP(Table29[[#This Row],[Shortname]], Comp[], 27, FALSE)</f>
        <v>0</v>
      </c>
      <c r="AW110">
        <f>VLOOKUP(Table29[[#This Row],[Shortname]], Comp[], 28, FALSE)</f>
        <v>0</v>
      </c>
      <c r="AX110">
        <f>VLOOKUP(Table29[[#This Row],[Shortname]], Comp[], 29, FALSE)</f>
        <v>0</v>
      </c>
      <c r="AY110">
        <f>VLOOKUP(Table29[[#This Row],[Shortname]], Comp[], 30, FALSE)</f>
        <v>0</v>
      </c>
      <c r="AZ110">
        <f>VLOOKUP(Table29[[#This Row],[Shortname]], Comp[], 31, FALSE)</f>
        <v>0</v>
      </c>
    </row>
    <row r="111" spans="1:52" x14ac:dyDescent="0.3">
      <c r="A111" t="s">
        <v>475</v>
      </c>
      <c r="B111">
        <v>105</v>
      </c>
      <c r="C111">
        <v>62</v>
      </c>
      <c r="D111" t="s">
        <v>11</v>
      </c>
      <c r="E111" t="s">
        <v>95</v>
      </c>
      <c r="F111" t="s">
        <v>477</v>
      </c>
      <c r="G111" t="s">
        <v>460</v>
      </c>
      <c r="H111">
        <v>450</v>
      </c>
      <c r="I111">
        <v>7.7799999999999994E-5</v>
      </c>
      <c r="J111">
        <f>0.01/Table29[[#This Row],[Strain Rate (min) /s]]</f>
        <v>128.53470437017995</v>
      </c>
      <c r="K111">
        <f>LOG(Table29[[#This Row],[Time to 1% strain (s)]])</f>
        <v>2.109020403010311</v>
      </c>
      <c r="L111">
        <v>950</v>
      </c>
      <c r="P111" t="s">
        <v>7069</v>
      </c>
      <c r="Q111">
        <v>1350</v>
      </c>
      <c r="R111">
        <v>24</v>
      </c>
      <c r="S111">
        <v>900</v>
      </c>
      <c r="T111">
        <v>100</v>
      </c>
      <c r="W111">
        <v>1</v>
      </c>
      <c r="X111">
        <v>1</v>
      </c>
      <c r="Y111">
        <v>50</v>
      </c>
      <c r="AA111">
        <f>VLOOKUP(Table29[[#This Row],[Shortname]], Comp[], 6, FALSE)</f>
        <v>62</v>
      </c>
      <c r="AB111" s="14">
        <f>VLOOKUP(Table29[[#This Row],[Shortname]], Comp[], 7, FALSE)</f>
        <v>81.97999999999999</v>
      </c>
      <c r="AC111">
        <f>VLOOKUP(Table29[[#This Row],[Shortname]], Comp[], 8, FALSE)</f>
        <v>0</v>
      </c>
      <c r="AD111">
        <f>VLOOKUP(Table29[[#This Row],[Shortname]], Comp[], 9, FALSE)</f>
        <v>8.74</v>
      </c>
      <c r="AE111">
        <f>VLOOKUP(Table29[[#This Row],[Shortname]], Comp[], 10, FALSE)</f>
        <v>0</v>
      </c>
      <c r="AF111">
        <f>VLOOKUP(Table29[[#This Row],[Shortname]], Comp[], 11, FALSE)</f>
        <v>7.82</v>
      </c>
      <c r="AG111">
        <f>VLOOKUP(Table29[[#This Row],[Shortname]], Comp[],12, FALSE)</f>
        <v>0</v>
      </c>
      <c r="AH111">
        <f>VLOOKUP(Table29[[#This Row],[Shortname]], Comp[], 13, FALSE)</f>
        <v>1.46</v>
      </c>
      <c r="AI111">
        <f>VLOOKUP(Table29[[#This Row],[Shortname]], Comp[], 14, FALSE)</f>
        <v>0</v>
      </c>
      <c r="AJ111">
        <f>VLOOKUP(Table29[[#This Row],[Shortname]], Comp[], 15, FALSE)</f>
        <v>0</v>
      </c>
      <c r="AK111">
        <f>VLOOKUP(Table29[[#This Row],[Shortname]], Comp[], 16, FALSE)</f>
        <v>0</v>
      </c>
      <c r="AL111">
        <f>VLOOKUP(Table29[[#This Row],[Shortname]], Comp[], 17, FALSE)</f>
        <v>0</v>
      </c>
      <c r="AM111">
        <f>VLOOKUP(Table29[[#This Row],[Shortname]], Comp[], 18, FALSE)</f>
        <v>0</v>
      </c>
      <c r="AN111">
        <f>VLOOKUP(Table29[[#This Row],[Shortname]], Comp[], 19, FALSE)</f>
        <v>0</v>
      </c>
      <c r="AO111">
        <f>VLOOKUP(Table29[[#This Row],[Shortname]], Comp[], 20, FALSE)</f>
        <v>0</v>
      </c>
      <c r="AP111">
        <f>VLOOKUP(Table29[[#This Row],[Shortname]], Comp[], 21, FALSE)</f>
        <v>0</v>
      </c>
      <c r="AQ111">
        <f>VLOOKUP(Table29[[#This Row],[Shortname]], Comp[], 22, FALSE)</f>
        <v>0</v>
      </c>
      <c r="AR111">
        <f>VLOOKUP(Table29[[#This Row],[Shortname]], Comp[], 23, FALSE)</f>
        <v>0</v>
      </c>
      <c r="AS111">
        <f>VLOOKUP(Table29[[#This Row],[Shortname]], Comp[], 24, FALSE)</f>
        <v>0</v>
      </c>
      <c r="AT111">
        <f>VLOOKUP(Table29[[#This Row],[Shortname]], Comp[], 25, FALSE)</f>
        <v>0</v>
      </c>
      <c r="AU111">
        <f>VLOOKUP(Table29[[#This Row],[Shortname]], Comp[], 26, FALSE)</f>
        <v>0</v>
      </c>
      <c r="AV111">
        <f>VLOOKUP(Table29[[#This Row],[Shortname]], Comp[], 27, FALSE)</f>
        <v>0</v>
      </c>
      <c r="AW111">
        <f>VLOOKUP(Table29[[#This Row],[Shortname]], Comp[], 28, FALSE)</f>
        <v>0</v>
      </c>
      <c r="AX111">
        <f>VLOOKUP(Table29[[#This Row],[Shortname]], Comp[], 29, FALSE)</f>
        <v>0</v>
      </c>
      <c r="AY111">
        <f>VLOOKUP(Table29[[#This Row],[Shortname]], Comp[], 30, FALSE)</f>
        <v>0</v>
      </c>
      <c r="AZ111">
        <f>VLOOKUP(Table29[[#This Row],[Shortname]], Comp[], 31, FALSE)</f>
        <v>0</v>
      </c>
    </row>
    <row r="112" spans="1:52" x14ac:dyDescent="0.3">
      <c r="A112" t="s">
        <v>482</v>
      </c>
      <c r="B112">
        <v>106</v>
      </c>
      <c r="C112">
        <v>63</v>
      </c>
      <c r="D112" t="s">
        <v>483</v>
      </c>
      <c r="E112" t="s">
        <v>95</v>
      </c>
      <c r="F112" t="s">
        <v>484</v>
      </c>
      <c r="G112" t="s">
        <v>460</v>
      </c>
      <c r="H112">
        <v>200</v>
      </c>
      <c r="I112">
        <v>1.1199999999999999E-8</v>
      </c>
      <c r="J112">
        <f>0.01/Table29[[#This Row],[Strain Rate (min) /s]]</f>
        <v>892857.14285714296</v>
      </c>
      <c r="K112">
        <f>LOG(Table29[[#This Row],[Time to 1% strain (s)]])</f>
        <v>5.9507819773298181</v>
      </c>
      <c r="L112">
        <v>950</v>
      </c>
      <c r="P112" t="s">
        <v>7070</v>
      </c>
      <c r="Q112">
        <v>1350</v>
      </c>
      <c r="R112">
        <v>24</v>
      </c>
      <c r="S112">
        <v>900</v>
      </c>
      <c r="T112">
        <v>100</v>
      </c>
      <c r="W112">
        <v>1</v>
      </c>
      <c r="X112">
        <v>1</v>
      </c>
      <c r="Y112">
        <v>70</v>
      </c>
      <c r="AA112">
        <f>VLOOKUP(Table29[[#This Row],[Shortname]], Comp[], 6, FALSE)</f>
        <v>63</v>
      </c>
      <c r="AB112" s="14">
        <f>VLOOKUP(Table29[[#This Row],[Shortname]], Comp[], 7, FALSE)</f>
        <v>80.34</v>
      </c>
      <c r="AC112">
        <f>VLOOKUP(Table29[[#This Row],[Shortname]], Comp[], 8, FALSE)</f>
        <v>0</v>
      </c>
      <c r="AD112">
        <f>VLOOKUP(Table29[[#This Row],[Shortname]], Comp[], 9, FALSE)</f>
        <v>8.6000000000000014</v>
      </c>
      <c r="AE112">
        <f>VLOOKUP(Table29[[#This Row],[Shortname]], Comp[], 10, FALSE)</f>
        <v>0</v>
      </c>
      <c r="AF112">
        <f>VLOOKUP(Table29[[#This Row],[Shortname]], Comp[], 11, FALSE)</f>
        <v>9.18</v>
      </c>
      <c r="AG112">
        <f>VLOOKUP(Table29[[#This Row],[Shortname]], Comp[],12, FALSE)</f>
        <v>0</v>
      </c>
      <c r="AH112">
        <f>VLOOKUP(Table29[[#This Row],[Shortname]], Comp[], 13, FALSE)</f>
        <v>1.88</v>
      </c>
      <c r="AI112">
        <f>VLOOKUP(Table29[[#This Row],[Shortname]], Comp[], 14, FALSE)</f>
        <v>0</v>
      </c>
      <c r="AJ112">
        <f>VLOOKUP(Table29[[#This Row],[Shortname]], Comp[], 15, FALSE)</f>
        <v>0</v>
      </c>
      <c r="AK112">
        <f>VLOOKUP(Table29[[#This Row],[Shortname]], Comp[], 16, FALSE)</f>
        <v>0</v>
      </c>
      <c r="AL112">
        <f>VLOOKUP(Table29[[#This Row],[Shortname]], Comp[], 17, FALSE)</f>
        <v>0</v>
      </c>
      <c r="AM112">
        <f>VLOOKUP(Table29[[#This Row],[Shortname]], Comp[], 18, FALSE)</f>
        <v>0</v>
      </c>
      <c r="AN112">
        <f>VLOOKUP(Table29[[#This Row],[Shortname]], Comp[], 19, FALSE)</f>
        <v>0</v>
      </c>
      <c r="AO112">
        <f>VLOOKUP(Table29[[#This Row],[Shortname]], Comp[], 20, FALSE)</f>
        <v>0</v>
      </c>
      <c r="AP112">
        <f>VLOOKUP(Table29[[#This Row],[Shortname]], Comp[], 21, FALSE)</f>
        <v>0</v>
      </c>
      <c r="AQ112">
        <f>VLOOKUP(Table29[[#This Row],[Shortname]], Comp[], 22, FALSE)</f>
        <v>0</v>
      </c>
      <c r="AR112">
        <f>VLOOKUP(Table29[[#This Row],[Shortname]], Comp[], 23, FALSE)</f>
        <v>0</v>
      </c>
      <c r="AS112">
        <f>VLOOKUP(Table29[[#This Row],[Shortname]], Comp[], 24, FALSE)</f>
        <v>0</v>
      </c>
      <c r="AT112">
        <f>VLOOKUP(Table29[[#This Row],[Shortname]], Comp[], 25, FALSE)</f>
        <v>0</v>
      </c>
      <c r="AU112">
        <f>VLOOKUP(Table29[[#This Row],[Shortname]], Comp[], 26, FALSE)</f>
        <v>0</v>
      </c>
      <c r="AV112">
        <f>VLOOKUP(Table29[[#This Row],[Shortname]], Comp[], 27, FALSE)</f>
        <v>0</v>
      </c>
      <c r="AW112">
        <f>VLOOKUP(Table29[[#This Row],[Shortname]], Comp[], 28, FALSE)</f>
        <v>0</v>
      </c>
      <c r="AX112">
        <f>VLOOKUP(Table29[[#This Row],[Shortname]], Comp[], 29, FALSE)</f>
        <v>0</v>
      </c>
      <c r="AY112">
        <f>VLOOKUP(Table29[[#This Row],[Shortname]], Comp[], 30, FALSE)</f>
        <v>0</v>
      </c>
      <c r="AZ112">
        <f>VLOOKUP(Table29[[#This Row],[Shortname]], Comp[], 31, FALSE)</f>
        <v>0</v>
      </c>
    </row>
    <row r="113" spans="1:52" x14ac:dyDescent="0.3">
      <c r="A113" t="s">
        <v>482</v>
      </c>
      <c r="B113">
        <v>107</v>
      </c>
      <c r="C113">
        <v>63</v>
      </c>
      <c r="D113" t="s">
        <v>11</v>
      </c>
      <c r="E113" t="s">
        <v>95</v>
      </c>
      <c r="F113" t="s">
        <v>484</v>
      </c>
      <c r="G113" t="s">
        <v>460</v>
      </c>
      <c r="H113">
        <v>250</v>
      </c>
      <c r="I113">
        <v>2.5399999999999999E-8</v>
      </c>
      <c r="J113">
        <f>0.01/Table29[[#This Row],[Strain Rate (min) /s]]</f>
        <v>393700.78740157484</v>
      </c>
      <c r="K113">
        <f>LOG(Table29[[#This Row],[Time to 1% strain (s)]])</f>
        <v>5.5951662833800624</v>
      </c>
      <c r="L113">
        <v>950</v>
      </c>
      <c r="P113" t="s">
        <v>7070</v>
      </c>
      <c r="Q113">
        <v>1350</v>
      </c>
      <c r="R113">
        <v>24</v>
      </c>
      <c r="S113">
        <v>900</v>
      </c>
      <c r="T113">
        <v>100</v>
      </c>
      <c r="W113">
        <v>1</v>
      </c>
      <c r="X113">
        <v>1</v>
      </c>
      <c r="Y113">
        <v>70</v>
      </c>
      <c r="AA113">
        <f>VLOOKUP(Table29[[#This Row],[Shortname]], Comp[], 6, FALSE)</f>
        <v>63</v>
      </c>
      <c r="AB113" s="14">
        <f>VLOOKUP(Table29[[#This Row],[Shortname]], Comp[], 7, FALSE)</f>
        <v>80.34</v>
      </c>
      <c r="AC113">
        <f>VLOOKUP(Table29[[#This Row],[Shortname]], Comp[], 8, FALSE)</f>
        <v>0</v>
      </c>
      <c r="AD113">
        <f>VLOOKUP(Table29[[#This Row],[Shortname]], Comp[], 9, FALSE)</f>
        <v>8.6000000000000014</v>
      </c>
      <c r="AE113">
        <f>VLOOKUP(Table29[[#This Row],[Shortname]], Comp[], 10, FALSE)</f>
        <v>0</v>
      </c>
      <c r="AF113">
        <f>VLOOKUP(Table29[[#This Row],[Shortname]], Comp[], 11, FALSE)</f>
        <v>9.18</v>
      </c>
      <c r="AG113">
        <f>VLOOKUP(Table29[[#This Row],[Shortname]], Comp[],12, FALSE)</f>
        <v>0</v>
      </c>
      <c r="AH113">
        <f>VLOOKUP(Table29[[#This Row],[Shortname]], Comp[], 13, FALSE)</f>
        <v>1.88</v>
      </c>
      <c r="AI113">
        <f>VLOOKUP(Table29[[#This Row],[Shortname]], Comp[], 14, FALSE)</f>
        <v>0</v>
      </c>
      <c r="AJ113">
        <f>VLOOKUP(Table29[[#This Row],[Shortname]], Comp[], 15, FALSE)</f>
        <v>0</v>
      </c>
      <c r="AK113">
        <f>VLOOKUP(Table29[[#This Row],[Shortname]], Comp[], 16, FALSE)</f>
        <v>0</v>
      </c>
      <c r="AL113">
        <f>VLOOKUP(Table29[[#This Row],[Shortname]], Comp[], 17, FALSE)</f>
        <v>0</v>
      </c>
      <c r="AM113">
        <f>VLOOKUP(Table29[[#This Row],[Shortname]], Comp[], 18, FALSE)</f>
        <v>0</v>
      </c>
      <c r="AN113">
        <f>VLOOKUP(Table29[[#This Row],[Shortname]], Comp[], 19, FALSE)</f>
        <v>0</v>
      </c>
      <c r="AO113">
        <f>VLOOKUP(Table29[[#This Row],[Shortname]], Comp[], 20, FALSE)</f>
        <v>0</v>
      </c>
      <c r="AP113">
        <f>VLOOKUP(Table29[[#This Row],[Shortname]], Comp[], 21, FALSE)</f>
        <v>0</v>
      </c>
      <c r="AQ113">
        <f>VLOOKUP(Table29[[#This Row],[Shortname]], Comp[], 22, FALSE)</f>
        <v>0</v>
      </c>
      <c r="AR113">
        <f>VLOOKUP(Table29[[#This Row],[Shortname]], Comp[], 23, FALSE)</f>
        <v>0</v>
      </c>
      <c r="AS113">
        <f>VLOOKUP(Table29[[#This Row],[Shortname]], Comp[], 24, FALSE)</f>
        <v>0</v>
      </c>
      <c r="AT113">
        <f>VLOOKUP(Table29[[#This Row],[Shortname]], Comp[], 25, FALSE)</f>
        <v>0</v>
      </c>
      <c r="AU113">
        <f>VLOOKUP(Table29[[#This Row],[Shortname]], Comp[], 26, FALSE)</f>
        <v>0</v>
      </c>
      <c r="AV113">
        <f>VLOOKUP(Table29[[#This Row],[Shortname]], Comp[], 27, FALSE)</f>
        <v>0</v>
      </c>
      <c r="AW113">
        <f>VLOOKUP(Table29[[#This Row],[Shortname]], Comp[], 28, FALSE)</f>
        <v>0</v>
      </c>
      <c r="AX113">
        <f>VLOOKUP(Table29[[#This Row],[Shortname]], Comp[], 29, FALSE)</f>
        <v>0</v>
      </c>
      <c r="AY113">
        <f>VLOOKUP(Table29[[#This Row],[Shortname]], Comp[], 30, FALSE)</f>
        <v>0</v>
      </c>
      <c r="AZ113">
        <f>VLOOKUP(Table29[[#This Row],[Shortname]], Comp[], 31, FALSE)</f>
        <v>0</v>
      </c>
    </row>
    <row r="114" spans="1:52" x14ac:dyDescent="0.3">
      <c r="A114" t="s">
        <v>482</v>
      </c>
      <c r="B114">
        <v>108</v>
      </c>
      <c r="C114">
        <v>63</v>
      </c>
      <c r="D114" t="s">
        <v>11</v>
      </c>
      <c r="E114" t="s">
        <v>95</v>
      </c>
      <c r="F114" t="s">
        <v>484</v>
      </c>
      <c r="G114" t="s">
        <v>460</v>
      </c>
      <c r="H114">
        <v>350</v>
      </c>
      <c r="I114">
        <v>1.1999999999999999E-7</v>
      </c>
      <c r="J114">
        <f>0.01/Table29[[#This Row],[Strain Rate (min) /s]]</f>
        <v>83333.333333333343</v>
      </c>
      <c r="K114">
        <f>LOG(Table29[[#This Row],[Time to 1% strain (s)]])</f>
        <v>4.9208187539523749</v>
      </c>
      <c r="L114">
        <v>950</v>
      </c>
      <c r="P114" t="s">
        <v>7070</v>
      </c>
      <c r="Q114">
        <v>1350</v>
      </c>
      <c r="R114">
        <v>24</v>
      </c>
      <c r="S114">
        <v>900</v>
      </c>
      <c r="T114">
        <v>100</v>
      </c>
      <c r="W114">
        <v>1</v>
      </c>
      <c r="X114">
        <v>1</v>
      </c>
      <c r="Y114">
        <v>70</v>
      </c>
      <c r="AA114">
        <f>VLOOKUP(Table29[[#This Row],[Shortname]], Comp[], 6, FALSE)</f>
        <v>63</v>
      </c>
      <c r="AB114" s="14">
        <f>VLOOKUP(Table29[[#This Row],[Shortname]], Comp[], 7, FALSE)</f>
        <v>80.34</v>
      </c>
      <c r="AC114">
        <f>VLOOKUP(Table29[[#This Row],[Shortname]], Comp[], 8, FALSE)</f>
        <v>0</v>
      </c>
      <c r="AD114">
        <f>VLOOKUP(Table29[[#This Row],[Shortname]], Comp[], 9, FALSE)</f>
        <v>8.6000000000000014</v>
      </c>
      <c r="AE114">
        <f>VLOOKUP(Table29[[#This Row],[Shortname]], Comp[], 10, FALSE)</f>
        <v>0</v>
      </c>
      <c r="AF114">
        <f>VLOOKUP(Table29[[#This Row],[Shortname]], Comp[], 11, FALSE)</f>
        <v>9.18</v>
      </c>
      <c r="AG114">
        <f>VLOOKUP(Table29[[#This Row],[Shortname]], Comp[],12, FALSE)</f>
        <v>0</v>
      </c>
      <c r="AH114">
        <f>VLOOKUP(Table29[[#This Row],[Shortname]], Comp[], 13, FALSE)</f>
        <v>1.88</v>
      </c>
      <c r="AI114">
        <f>VLOOKUP(Table29[[#This Row],[Shortname]], Comp[], 14, FALSE)</f>
        <v>0</v>
      </c>
      <c r="AJ114">
        <f>VLOOKUP(Table29[[#This Row],[Shortname]], Comp[], 15, FALSE)</f>
        <v>0</v>
      </c>
      <c r="AK114">
        <f>VLOOKUP(Table29[[#This Row],[Shortname]], Comp[], 16, FALSE)</f>
        <v>0</v>
      </c>
      <c r="AL114">
        <f>VLOOKUP(Table29[[#This Row],[Shortname]], Comp[], 17, FALSE)</f>
        <v>0</v>
      </c>
      <c r="AM114">
        <f>VLOOKUP(Table29[[#This Row],[Shortname]], Comp[], 18, FALSE)</f>
        <v>0</v>
      </c>
      <c r="AN114">
        <f>VLOOKUP(Table29[[#This Row],[Shortname]], Comp[], 19, FALSE)</f>
        <v>0</v>
      </c>
      <c r="AO114">
        <f>VLOOKUP(Table29[[#This Row],[Shortname]], Comp[], 20, FALSE)</f>
        <v>0</v>
      </c>
      <c r="AP114">
        <f>VLOOKUP(Table29[[#This Row],[Shortname]], Comp[], 21, FALSE)</f>
        <v>0</v>
      </c>
      <c r="AQ114">
        <f>VLOOKUP(Table29[[#This Row],[Shortname]], Comp[], 22, FALSE)</f>
        <v>0</v>
      </c>
      <c r="AR114">
        <f>VLOOKUP(Table29[[#This Row],[Shortname]], Comp[], 23, FALSE)</f>
        <v>0</v>
      </c>
      <c r="AS114">
        <f>VLOOKUP(Table29[[#This Row],[Shortname]], Comp[], 24, FALSE)</f>
        <v>0</v>
      </c>
      <c r="AT114">
        <f>VLOOKUP(Table29[[#This Row],[Shortname]], Comp[], 25, FALSE)</f>
        <v>0</v>
      </c>
      <c r="AU114">
        <f>VLOOKUP(Table29[[#This Row],[Shortname]], Comp[], 26, FALSE)</f>
        <v>0</v>
      </c>
      <c r="AV114">
        <f>VLOOKUP(Table29[[#This Row],[Shortname]], Comp[], 27, FALSE)</f>
        <v>0</v>
      </c>
      <c r="AW114">
        <f>VLOOKUP(Table29[[#This Row],[Shortname]], Comp[], 28, FALSE)</f>
        <v>0</v>
      </c>
      <c r="AX114">
        <f>VLOOKUP(Table29[[#This Row],[Shortname]], Comp[], 29, FALSE)</f>
        <v>0</v>
      </c>
      <c r="AY114">
        <f>VLOOKUP(Table29[[#This Row],[Shortname]], Comp[], 30, FALSE)</f>
        <v>0</v>
      </c>
      <c r="AZ114">
        <f>VLOOKUP(Table29[[#This Row],[Shortname]], Comp[], 31, FALSE)</f>
        <v>0</v>
      </c>
    </row>
    <row r="115" spans="1:52" x14ac:dyDescent="0.3">
      <c r="A115" t="s">
        <v>482</v>
      </c>
      <c r="B115">
        <v>109</v>
      </c>
      <c r="C115">
        <v>63</v>
      </c>
      <c r="D115" t="s">
        <v>11</v>
      </c>
      <c r="E115" t="s">
        <v>95</v>
      </c>
      <c r="F115" t="s">
        <v>484</v>
      </c>
      <c r="G115" t="s">
        <v>460</v>
      </c>
      <c r="H115">
        <v>450</v>
      </c>
      <c r="I115">
        <v>1.9400000000000001E-6</v>
      </c>
      <c r="J115">
        <f>0.01/Table29[[#This Row],[Strain Rate (min) /s]]</f>
        <v>5154.6391752577319</v>
      </c>
      <c r="K115">
        <f>LOG(Table29[[#This Row],[Time to 1% strain (s)]])</f>
        <v>3.712198270069774</v>
      </c>
      <c r="L115">
        <v>950</v>
      </c>
      <c r="P115" t="s">
        <v>7070</v>
      </c>
      <c r="Q115">
        <v>1350</v>
      </c>
      <c r="R115">
        <v>24</v>
      </c>
      <c r="S115">
        <v>900</v>
      </c>
      <c r="T115">
        <v>100</v>
      </c>
      <c r="W115">
        <v>1</v>
      </c>
      <c r="X115">
        <v>1</v>
      </c>
      <c r="Y115">
        <v>70</v>
      </c>
      <c r="AA115">
        <f>VLOOKUP(Table29[[#This Row],[Shortname]], Comp[], 6, FALSE)</f>
        <v>63</v>
      </c>
      <c r="AB115" s="14">
        <f>VLOOKUP(Table29[[#This Row],[Shortname]], Comp[], 7, FALSE)</f>
        <v>80.34</v>
      </c>
      <c r="AC115">
        <f>VLOOKUP(Table29[[#This Row],[Shortname]], Comp[], 8, FALSE)</f>
        <v>0</v>
      </c>
      <c r="AD115">
        <f>VLOOKUP(Table29[[#This Row],[Shortname]], Comp[], 9, FALSE)</f>
        <v>8.6000000000000014</v>
      </c>
      <c r="AE115">
        <f>VLOOKUP(Table29[[#This Row],[Shortname]], Comp[], 10, FALSE)</f>
        <v>0</v>
      </c>
      <c r="AF115">
        <f>VLOOKUP(Table29[[#This Row],[Shortname]], Comp[], 11, FALSE)</f>
        <v>9.18</v>
      </c>
      <c r="AG115">
        <f>VLOOKUP(Table29[[#This Row],[Shortname]], Comp[],12, FALSE)</f>
        <v>0</v>
      </c>
      <c r="AH115">
        <f>VLOOKUP(Table29[[#This Row],[Shortname]], Comp[], 13, FALSE)</f>
        <v>1.88</v>
      </c>
      <c r="AI115">
        <f>VLOOKUP(Table29[[#This Row],[Shortname]], Comp[], 14, FALSE)</f>
        <v>0</v>
      </c>
      <c r="AJ115">
        <f>VLOOKUP(Table29[[#This Row],[Shortname]], Comp[], 15, FALSE)</f>
        <v>0</v>
      </c>
      <c r="AK115">
        <f>VLOOKUP(Table29[[#This Row],[Shortname]], Comp[], 16, FALSE)</f>
        <v>0</v>
      </c>
      <c r="AL115">
        <f>VLOOKUP(Table29[[#This Row],[Shortname]], Comp[], 17, FALSE)</f>
        <v>0</v>
      </c>
      <c r="AM115">
        <f>VLOOKUP(Table29[[#This Row],[Shortname]], Comp[], 18, FALSE)</f>
        <v>0</v>
      </c>
      <c r="AN115">
        <f>VLOOKUP(Table29[[#This Row],[Shortname]], Comp[], 19, FALSE)</f>
        <v>0</v>
      </c>
      <c r="AO115">
        <f>VLOOKUP(Table29[[#This Row],[Shortname]], Comp[], 20, FALSE)</f>
        <v>0</v>
      </c>
      <c r="AP115">
        <f>VLOOKUP(Table29[[#This Row],[Shortname]], Comp[], 21, FALSE)</f>
        <v>0</v>
      </c>
      <c r="AQ115">
        <f>VLOOKUP(Table29[[#This Row],[Shortname]], Comp[], 22, FALSE)</f>
        <v>0</v>
      </c>
      <c r="AR115">
        <f>VLOOKUP(Table29[[#This Row],[Shortname]], Comp[], 23, FALSE)</f>
        <v>0</v>
      </c>
      <c r="AS115">
        <f>VLOOKUP(Table29[[#This Row],[Shortname]], Comp[], 24, FALSE)</f>
        <v>0</v>
      </c>
      <c r="AT115">
        <f>VLOOKUP(Table29[[#This Row],[Shortname]], Comp[], 25, FALSE)</f>
        <v>0</v>
      </c>
      <c r="AU115">
        <f>VLOOKUP(Table29[[#This Row],[Shortname]], Comp[], 26, FALSE)</f>
        <v>0</v>
      </c>
      <c r="AV115">
        <f>VLOOKUP(Table29[[#This Row],[Shortname]], Comp[], 27, FALSE)</f>
        <v>0</v>
      </c>
      <c r="AW115">
        <f>VLOOKUP(Table29[[#This Row],[Shortname]], Comp[], 28, FALSE)</f>
        <v>0</v>
      </c>
      <c r="AX115">
        <f>VLOOKUP(Table29[[#This Row],[Shortname]], Comp[], 29, FALSE)</f>
        <v>0</v>
      </c>
      <c r="AY115">
        <f>VLOOKUP(Table29[[#This Row],[Shortname]], Comp[], 30, FALSE)</f>
        <v>0</v>
      </c>
      <c r="AZ115">
        <f>VLOOKUP(Table29[[#This Row],[Shortname]], Comp[], 31, FALSE)</f>
        <v>0</v>
      </c>
    </row>
    <row r="116" spans="1:52" x14ac:dyDescent="0.3">
      <c r="A116" t="s">
        <v>482</v>
      </c>
      <c r="B116">
        <v>110</v>
      </c>
      <c r="C116">
        <v>63</v>
      </c>
      <c r="D116" t="s">
        <v>11</v>
      </c>
      <c r="E116" t="s">
        <v>95</v>
      </c>
      <c r="F116" t="s">
        <v>484</v>
      </c>
      <c r="G116" t="s">
        <v>460</v>
      </c>
      <c r="H116">
        <v>550</v>
      </c>
      <c r="I116">
        <v>5.2800000000000003E-6</v>
      </c>
      <c r="J116">
        <f>0.01/Table29[[#This Row],[Strain Rate (min) /s]]</f>
        <v>1893.939393939394</v>
      </c>
      <c r="K116">
        <f>LOG(Table29[[#This Row],[Time to 1% strain (s)]])</f>
        <v>3.2773660774661879</v>
      </c>
      <c r="L116">
        <v>950</v>
      </c>
      <c r="P116" t="s">
        <v>7070</v>
      </c>
      <c r="Q116">
        <v>1350</v>
      </c>
      <c r="R116">
        <v>24</v>
      </c>
      <c r="S116">
        <v>900</v>
      </c>
      <c r="T116">
        <v>100</v>
      </c>
      <c r="W116">
        <v>1</v>
      </c>
      <c r="X116">
        <v>1</v>
      </c>
      <c r="Y116">
        <v>70</v>
      </c>
      <c r="AA116">
        <f>VLOOKUP(Table29[[#This Row],[Shortname]], Comp[], 6, FALSE)</f>
        <v>63</v>
      </c>
      <c r="AB116" s="14">
        <f>VLOOKUP(Table29[[#This Row],[Shortname]], Comp[], 7, FALSE)</f>
        <v>80.34</v>
      </c>
      <c r="AC116">
        <f>VLOOKUP(Table29[[#This Row],[Shortname]], Comp[], 8, FALSE)</f>
        <v>0</v>
      </c>
      <c r="AD116">
        <f>VLOOKUP(Table29[[#This Row],[Shortname]], Comp[], 9, FALSE)</f>
        <v>8.6000000000000014</v>
      </c>
      <c r="AE116">
        <f>VLOOKUP(Table29[[#This Row],[Shortname]], Comp[], 10, FALSE)</f>
        <v>0</v>
      </c>
      <c r="AF116">
        <f>VLOOKUP(Table29[[#This Row],[Shortname]], Comp[], 11, FALSE)</f>
        <v>9.18</v>
      </c>
      <c r="AG116">
        <f>VLOOKUP(Table29[[#This Row],[Shortname]], Comp[],12, FALSE)</f>
        <v>0</v>
      </c>
      <c r="AH116">
        <f>VLOOKUP(Table29[[#This Row],[Shortname]], Comp[], 13, FALSE)</f>
        <v>1.88</v>
      </c>
      <c r="AI116">
        <f>VLOOKUP(Table29[[#This Row],[Shortname]], Comp[], 14, FALSE)</f>
        <v>0</v>
      </c>
      <c r="AJ116">
        <f>VLOOKUP(Table29[[#This Row],[Shortname]], Comp[], 15, FALSE)</f>
        <v>0</v>
      </c>
      <c r="AK116">
        <f>VLOOKUP(Table29[[#This Row],[Shortname]], Comp[], 16, FALSE)</f>
        <v>0</v>
      </c>
      <c r="AL116">
        <f>VLOOKUP(Table29[[#This Row],[Shortname]], Comp[], 17, FALSE)</f>
        <v>0</v>
      </c>
      <c r="AM116">
        <f>VLOOKUP(Table29[[#This Row],[Shortname]], Comp[], 18, FALSE)</f>
        <v>0</v>
      </c>
      <c r="AN116">
        <f>VLOOKUP(Table29[[#This Row],[Shortname]], Comp[], 19, FALSE)</f>
        <v>0</v>
      </c>
      <c r="AO116">
        <f>VLOOKUP(Table29[[#This Row],[Shortname]], Comp[], 20, FALSE)</f>
        <v>0</v>
      </c>
      <c r="AP116">
        <f>VLOOKUP(Table29[[#This Row],[Shortname]], Comp[], 21, FALSE)</f>
        <v>0</v>
      </c>
      <c r="AQ116">
        <f>VLOOKUP(Table29[[#This Row],[Shortname]], Comp[], 22, FALSE)</f>
        <v>0</v>
      </c>
      <c r="AR116">
        <f>VLOOKUP(Table29[[#This Row],[Shortname]], Comp[], 23, FALSE)</f>
        <v>0</v>
      </c>
      <c r="AS116">
        <f>VLOOKUP(Table29[[#This Row],[Shortname]], Comp[], 24, FALSE)</f>
        <v>0</v>
      </c>
      <c r="AT116">
        <f>VLOOKUP(Table29[[#This Row],[Shortname]], Comp[], 25, FALSE)</f>
        <v>0</v>
      </c>
      <c r="AU116">
        <f>VLOOKUP(Table29[[#This Row],[Shortname]], Comp[], 26, FALSE)</f>
        <v>0</v>
      </c>
      <c r="AV116">
        <f>VLOOKUP(Table29[[#This Row],[Shortname]], Comp[], 27, FALSE)</f>
        <v>0</v>
      </c>
      <c r="AW116">
        <f>VLOOKUP(Table29[[#This Row],[Shortname]], Comp[], 28, FALSE)</f>
        <v>0</v>
      </c>
      <c r="AX116">
        <f>VLOOKUP(Table29[[#This Row],[Shortname]], Comp[], 29, FALSE)</f>
        <v>0</v>
      </c>
      <c r="AY116">
        <f>VLOOKUP(Table29[[#This Row],[Shortname]], Comp[], 30, FALSE)</f>
        <v>0</v>
      </c>
      <c r="AZ116">
        <f>VLOOKUP(Table29[[#This Row],[Shortname]], Comp[], 31, FALSE)</f>
        <v>0</v>
      </c>
    </row>
    <row r="117" spans="1:52" x14ac:dyDescent="0.3">
      <c r="A117" t="s">
        <v>482</v>
      </c>
      <c r="B117">
        <v>111</v>
      </c>
      <c r="C117">
        <v>63</v>
      </c>
      <c r="D117" t="s">
        <v>11</v>
      </c>
      <c r="E117" t="s">
        <v>95</v>
      </c>
      <c r="F117" t="s">
        <v>484</v>
      </c>
      <c r="G117" t="s">
        <v>460</v>
      </c>
      <c r="H117">
        <v>600</v>
      </c>
      <c r="I117">
        <v>3.93E-5</v>
      </c>
      <c r="J117">
        <f>0.01/Table29[[#This Row],[Strain Rate (min) /s]]</f>
        <v>254.45292620865141</v>
      </c>
      <c r="K117">
        <f>LOG(Table29[[#This Row],[Time to 1% strain (s)]])</f>
        <v>2.4056074496245734</v>
      </c>
      <c r="L117">
        <v>950</v>
      </c>
      <c r="P117" t="s">
        <v>7070</v>
      </c>
      <c r="Q117">
        <v>1350</v>
      </c>
      <c r="R117">
        <v>24</v>
      </c>
      <c r="S117">
        <v>900</v>
      </c>
      <c r="T117">
        <v>100</v>
      </c>
      <c r="W117">
        <v>1</v>
      </c>
      <c r="X117">
        <v>1</v>
      </c>
      <c r="Y117">
        <v>70</v>
      </c>
      <c r="AA117">
        <f>VLOOKUP(Table29[[#This Row],[Shortname]], Comp[], 6, FALSE)</f>
        <v>63</v>
      </c>
      <c r="AB117" s="14">
        <f>VLOOKUP(Table29[[#This Row],[Shortname]], Comp[], 7, FALSE)</f>
        <v>80.34</v>
      </c>
      <c r="AC117">
        <f>VLOOKUP(Table29[[#This Row],[Shortname]], Comp[], 8, FALSE)</f>
        <v>0</v>
      </c>
      <c r="AD117">
        <f>VLOOKUP(Table29[[#This Row],[Shortname]], Comp[], 9, FALSE)</f>
        <v>8.6000000000000014</v>
      </c>
      <c r="AE117">
        <f>VLOOKUP(Table29[[#This Row],[Shortname]], Comp[], 10, FALSE)</f>
        <v>0</v>
      </c>
      <c r="AF117">
        <f>VLOOKUP(Table29[[#This Row],[Shortname]], Comp[], 11, FALSE)</f>
        <v>9.18</v>
      </c>
      <c r="AG117">
        <f>VLOOKUP(Table29[[#This Row],[Shortname]], Comp[],12, FALSE)</f>
        <v>0</v>
      </c>
      <c r="AH117">
        <f>VLOOKUP(Table29[[#This Row],[Shortname]], Comp[], 13, FALSE)</f>
        <v>1.88</v>
      </c>
      <c r="AI117">
        <f>VLOOKUP(Table29[[#This Row],[Shortname]], Comp[], 14, FALSE)</f>
        <v>0</v>
      </c>
      <c r="AJ117">
        <f>VLOOKUP(Table29[[#This Row],[Shortname]], Comp[], 15, FALSE)</f>
        <v>0</v>
      </c>
      <c r="AK117">
        <f>VLOOKUP(Table29[[#This Row],[Shortname]], Comp[], 16, FALSE)</f>
        <v>0</v>
      </c>
      <c r="AL117">
        <f>VLOOKUP(Table29[[#This Row],[Shortname]], Comp[], 17, FALSE)</f>
        <v>0</v>
      </c>
      <c r="AM117">
        <f>VLOOKUP(Table29[[#This Row],[Shortname]], Comp[], 18, FALSE)</f>
        <v>0</v>
      </c>
      <c r="AN117">
        <f>VLOOKUP(Table29[[#This Row],[Shortname]], Comp[], 19, FALSE)</f>
        <v>0</v>
      </c>
      <c r="AO117">
        <f>VLOOKUP(Table29[[#This Row],[Shortname]], Comp[], 20, FALSE)</f>
        <v>0</v>
      </c>
      <c r="AP117">
        <f>VLOOKUP(Table29[[#This Row],[Shortname]], Comp[], 21, FALSE)</f>
        <v>0</v>
      </c>
      <c r="AQ117">
        <f>VLOOKUP(Table29[[#This Row],[Shortname]], Comp[], 22, FALSE)</f>
        <v>0</v>
      </c>
      <c r="AR117">
        <f>VLOOKUP(Table29[[#This Row],[Shortname]], Comp[], 23, FALSE)</f>
        <v>0</v>
      </c>
      <c r="AS117">
        <f>VLOOKUP(Table29[[#This Row],[Shortname]], Comp[], 24, FALSE)</f>
        <v>0</v>
      </c>
      <c r="AT117">
        <f>VLOOKUP(Table29[[#This Row],[Shortname]], Comp[], 25, FALSE)</f>
        <v>0</v>
      </c>
      <c r="AU117">
        <f>VLOOKUP(Table29[[#This Row],[Shortname]], Comp[], 26, FALSE)</f>
        <v>0</v>
      </c>
      <c r="AV117">
        <f>VLOOKUP(Table29[[#This Row],[Shortname]], Comp[], 27, FALSE)</f>
        <v>0</v>
      </c>
      <c r="AW117">
        <f>VLOOKUP(Table29[[#This Row],[Shortname]], Comp[], 28, FALSE)</f>
        <v>0</v>
      </c>
      <c r="AX117">
        <f>VLOOKUP(Table29[[#This Row],[Shortname]], Comp[], 29, FALSE)</f>
        <v>0</v>
      </c>
      <c r="AY117">
        <f>VLOOKUP(Table29[[#This Row],[Shortname]], Comp[], 30, FALSE)</f>
        <v>0</v>
      </c>
      <c r="AZ117">
        <f>VLOOKUP(Table29[[#This Row],[Shortname]], Comp[], 31, FALSE)</f>
        <v>0</v>
      </c>
    </row>
    <row r="118" spans="1:52" x14ac:dyDescent="0.3">
      <c r="A118" t="s">
        <v>561</v>
      </c>
      <c r="C118">
        <v>72</v>
      </c>
      <c r="D118" t="s">
        <v>562</v>
      </c>
      <c r="E118" t="s">
        <v>95</v>
      </c>
      <c r="F118" t="s">
        <v>561</v>
      </c>
      <c r="G118" t="s">
        <v>499</v>
      </c>
      <c r="H118">
        <v>137</v>
      </c>
      <c r="I118">
        <v>5.1633760258151999E-8</v>
      </c>
      <c r="J118">
        <f>0.01/Table29[[#This Row],[Strain Rate (min) /s]]</f>
        <v>193671.73628268123</v>
      </c>
      <c r="K118">
        <f>LOG(Table29[[#This Row],[Time to 1% strain (s)]])</f>
        <v>5.2870662460567814</v>
      </c>
      <c r="L118">
        <v>850</v>
      </c>
      <c r="M118">
        <v>7.6</v>
      </c>
      <c r="P118" t="s">
        <v>7071</v>
      </c>
      <c r="Q118">
        <v>1300</v>
      </c>
      <c r="R118">
        <v>24</v>
      </c>
      <c r="S118">
        <v>1050</v>
      </c>
      <c r="T118">
        <v>6</v>
      </c>
      <c r="W118">
        <v>1</v>
      </c>
      <c r="X118">
        <v>10</v>
      </c>
      <c r="Y118">
        <v>34</v>
      </c>
      <c r="Z118" t="s">
        <v>7072</v>
      </c>
      <c r="AA118">
        <f>VLOOKUP(Table29[[#This Row],[Shortname]], Comp[], 6, FALSE)</f>
        <v>72</v>
      </c>
      <c r="AB118" s="14">
        <f>VLOOKUP(Table29[[#This Row],[Shortname]], Comp[], 7, FALSE)</f>
        <v>83.06</v>
      </c>
      <c r="AC118">
        <f>VLOOKUP(Table29[[#This Row],[Shortname]], Comp[], 8, FALSE)</f>
        <v>0</v>
      </c>
      <c r="AD118">
        <f>VLOOKUP(Table29[[#This Row],[Shortname]], Comp[], 9, FALSE)</f>
        <v>9.49</v>
      </c>
      <c r="AE118">
        <f>VLOOKUP(Table29[[#This Row],[Shortname]], Comp[], 10, FALSE)</f>
        <v>0</v>
      </c>
      <c r="AF118">
        <f>VLOOKUP(Table29[[#This Row],[Shortname]], Comp[], 11, FALSE)</f>
        <v>7.45</v>
      </c>
      <c r="AG118">
        <f>VLOOKUP(Table29[[#This Row],[Shortname]], Comp[],12, FALSE)</f>
        <v>0</v>
      </c>
      <c r="AH118">
        <f>VLOOKUP(Table29[[#This Row],[Shortname]], Comp[], 13, FALSE)</f>
        <v>0</v>
      </c>
      <c r="AI118">
        <f>VLOOKUP(Table29[[#This Row],[Shortname]], Comp[], 14, FALSE)</f>
        <v>0</v>
      </c>
      <c r="AJ118">
        <f>VLOOKUP(Table29[[#This Row],[Shortname]], Comp[], 15, FALSE)</f>
        <v>0</v>
      </c>
      <c r="AK118">
        <f>VLOOKUP(Table29[[#This Row],[Shortname]], Comp[], 16, FALSE)</f>
        <v>0</v>
      </c>
      <c r="AL118">
        <f>VLOOKUP(Table29[[#This Row],[Shortname]], Comp[], 17, FALSE)</f>
        <v>0</v>
      </c>
      <c r="AM118">
        <f>VLOOKUP(Table29[[#This Row],[Shortname]], Comp[], 18, FALSE)</f>
        <v>0</v>
      </c>
      <c r="AN118">
        <f>VLOOKUP(Table29[[#This Row],[Shortname]], Comp[], 19, FALSE)</f>
        <v>0</v>
      </c>
      <c r="AO118">
        <f>VLOOKUP(Table29[[#This Row],[Shortname]], Comp[], 20, FALSE)</f>
        <v>0</v>
      </c>
      <c r="AP118">
        <f>VLOOKUP(Table29[[#This Row],[Shortname]], Comp[], 21, FALSE)</f>
        <v>0</v>
      </c>
      <c r="AQ118">
        <f>VLOOKUP(Table29[[#This Row],[Shortname]], Comp[], 22, FALSE)</f>
        <v>0</v>
      </c>
      <c r="AR118">
        <f>VLOOKUP(Table29[[#This Row],[Shortname]], Comp[], 23, FALSE)</f>
        <v>0</v>
      </c>
      <c r="AS118">
        <f>VLOOKUP(Table29[[#This Row],[Shortname]], Comp[], 24, FALSE)</f>
        <v>0</v>
      </c>
      <c r="AT118">
        <f>VLOOKUP(Table29[[#This Row],[Shortname]], Comp[], 25, FALSE)</f>
        <v>0</v>
      </c>
      <c r="AU118">
        <f>VLOOKUP(Table29[[#This Row],[Shortname]], Comp[], 26, FALSE)</f>
        <v>0</v>
      </c>
      <c r="AV118">
        <f>VLOOKUP(Table29[[#This Row],[Shortname]], Comp[], 27, FALSE)</f>
        <v>0</v>
      </c>
      <c r="AW118">
        <f>VLOOKUP(Table29[[#This Row],[Shortname]], Comp[], 28, FALSE)</f>
        <v>0</v>
      </c>
      <c r="AX118">
        <f>VLOOKUP(Table29[[#This Row],[Shortname]], Comp[], 29, FALSE)</f>
        <v>0</v>
      </c>
      <c r="AY118">
        <f>VLOOKUP(Table29[[#This Row],[Shortname]], Comp[], 30, FALSE)</f>
        <v>0</v>
      </c>
      <c r="AZ118">
        <f>VLOOKUP(Table29[[#This Row],[Shortname]], Comp[], 31, FALSE)</f>
        <v>0</v>
      </c>
    </row>
    <row r="119" spans="1:52" x14ac:dyDescent="0.3">
      <c r="A119" t="s">
        <v>561</v>
      </c>
      <c r="C119">
        <v>72</v>
      </c>
      <c r="D119" t="s">
        <v>11</v>
      </c>
      <c r="E119" t="s">
        <v>95</v>
      </c>
      <c r="F119" t="s">
        <v>561</v>
      </c>
      <c r="G119" t="s">
        <v>499</v>
      </c>
      <c r="H119">
        <v>148</v>
      </c>
      <c r="I119">
        <v>1.00729011985144E-7</v>
      </c>
      <c r="J119">
        <f>0.01/Table29[[#This Row],[Strain Rate (min) /s]]</f>
        <v>99276.264136045022</v>
      </c>
      <c r="K119">
        <f>LOG(Table29[[#This Row],[Time to 1% strain (s)]])</f>
        <v>4.9968454258675079</v>
      </c>
      <c r="L119">
        <v>850</v>
      </c>
      <c r="M119">
        <v>7.6</v>
      </c>
      <c r="P119" t="s">
        <v>7071</v>
      </c>
      <c r="Q119">
        <v>1300</v>
      </c>
      <c r="R119">
        <v>24</v>
      </c>
      <c r="S119">
        <v>1050</v>
      </c>
      <c r="T119">
        <v>6</v>
      </c>
      <c r="W119">
        <v>1</v>
      </c>
      <c r="X119">
        <v>10</v>
      </c>
      <c r="Y119">
        <v>34</v>
      </c>
      <c r="AA119">
        <f>VLOOKUP(Table29[[#This Row],[Shortname]], Comp[], 6, FALSE)</f>
        <v>72</v>
      </c>
      <c r="AB119" s="14">
        <f>VLOOKUP(Table29[[#This Row],[Shortname]], Comp[], 7, FALSE)</f>
        <v>83.06</v>
      </c>
      <c r="AC119">
        <f>VLOOKUP(Table29[[#This Row],[Shortname]], Comp[], 8, FALSE)</f>
        <v>0</v>
      </c>
      <c r="AD119">
        <f>VLOOKUP(Table29[[#This Row],[Shortname]], Comp[], 9, FALSE)</f>
        <v>9.49</v>
      </c>
      <c r="AE119">
        <f>VLOOKUP(Table29[[#This Row],[Shortname]], Comp[], 10, FALSE)</f>
        <v>0</v>
      </c>
      <c r="AF119">
        <f>VLOOKUP(Table29[[#This Row],[Shortname]], Comp[], 11, FALSE)</f>
        <v>7.45</v>
      </c>
      <c r="AG119">
        <f>VLOOKUP(Table29[[#This Row],[Shortname]], Comp[],12, FALSE)</f>
        <v>0</v>
      </c>
      <c r="AH119">
        <f>VLOOKUP(Table29[[#This Row],[Shortname]], Comp[], 13, FALSE)</f>
        <v>0</v>
      </c>
      <c r="AI119">
        <f>VLOOKUP(Table29[[#This Row],[Shortname]], Comp[], 14, FALSE)</f>
        <v>0</v>
      </c>
      <c r="AJ119">
        <f>VLOOKUP(Table29[[#This Row],[Shortname]], Comp[], 15, FALSE)</f>
        <v>0</v>
      </c>
      <c r="AK119">
        <f>VLOOKUP(Table29[[#This Row],[Shortname]], Comp[], 16, FALSE)</f>
        <v>0</v>
      </c>
      <c r="AL119">
        <f>VLOOKUP(Table29[[#This Row],[Shortname]], Comp[], 17, FALSE)</f>
        <v>0</v>
      </c>
      <c r="AM119">
        <f>VLOOKUP(Table29[[#This Row],[Shortname]], Comp[], 18, FALSE)</f>
        <v>0</v>
      </c>
      <c r="AN119">
        <f>VLOOKUP(Table29[[#This Row],[Shortname]], Comp[], 19, FALSE)</f>
        <v>0</v>
      </c>
      <c r="AO119">
        <f>VLOOKUP(Table29[[#This Row],[Shortname]], Comp[], 20, FALSE)</f>
        <v>0</v>
      </c>
      <c r="AP119">
        <f>VLOOKUP(Table29[[#This Row],[Shortname]], Comp[], 21, FALSE)</f>
        <v>0</v>
      </c>
      <c r="AQ119">
        <f>VLOOKUP(Table29[[#This Row],[Shortname]], Comp[], 22, FALSE)</f>
        <v>0</v>
      </c>
      <c r="AR119">
        <f>VLOOKUP(Table29[[#This Row],[Shortname]], Comp[], 23, FALSE)</f>
        <v>0</v>
      </c>
      <c r="AS119">
        <f>VLOOKUP(Table29[[#This Row],[Shortname]], Comp[], 24, FALSE)</f>
        <v>0</v>
      </c>
      <c r="AT119">
        <f>VLOOKUP(Table29[[#This Row],[Shortname]], Comp[], 25, FALSE)</f>
        <v>0</v>
      </c>
      <c r="AU119">
        <f>VLOOKUP(Table29[[#This Row],[Shortname]], Comp[], 26, FALSE)</f>
        <v>0</v>
      </c>
      <c r="AV119">
        <f>VLOOKUP(Table29[[#This Row],[Shortname]], Comp[], 27, FALSE)</f>
        <v>0</v>
      </c>
      <c r="AW119">
        <f>VLOOKUP(Table29[[#This Row],[Shortname]], Comp[], 28, FALSE)</f>
        <v>0</v>
      </c>
      <c r="AX119">
        <f>VLOOKUP(Table29[[#This Row],[Shortname]], Comp[], 29, FALSE)</f>
        <v>0</v>
      </c>
      <c r="AY119">
        <f>VLOOKUP(Table29[[#This Row],[Shortname]], Comp[], 30, FALSE)</f>
        <v>0</v>
      </c>
      <c r="AZ119">
        <f>VLOOKUP(Table29[[#This Row],[Shortname]], Comp[], 31, FALSE)</f>
        <v>0</v>
      </c>
    </row>
    <row r="120" spans="1:52" x14ac:dyDescent="0.3">
      <c r="A120" t="s">
        <v>561</v>
      </c>
      <c r="C120">
        <v>72</v>
      </c>
      <c r="D120" t="s">
        <v>11</v>
      </c>
      <c r="E120" t="s">
        <v>95</v>
      </c>
      <c r="F120" t="s">
        <v>561</v>
      </c>
      <c r="G120" t="s">
        <v>499</v>
      </c>
      <c r="H120">
        <v>159</v>
      </c>
      <c r="I120">
        <v>1.58029501576852E-7</v>
      </c>
      <c r="J120">
        <f>0.01/Table29[[#This Row],[Strain Rate (min) /s]]</f>
        <v>63279.32379851782</v>
      </c>
      <c r="K120">
        <f>LOG(Table29[[#This Row],[Time to 1% strain (s)]])</f>
        <v>4.8012618296529981</v>
      </c>
      <c r="L120">
        <v>850</v>
      </c>
      <c r="M120">
        <v>7.6</v>
      </c>
      <c r="P120" t="s">
        <v>7071</v>
      </c>
      <c r="Q120">
        <v>1300</v>
      </c>
      <c r="R120">
        <v>24</v>
      </c>
      <c r="S120">
        <v>1050</v>
      </c>
      <c r="T120">
        <v>6</v>
      </c>
      <c r="W120">
        <v>1</v>
      </c>
      <c r="X120">
        <v>10</v>
      </c>
      <c r="Y120">
        <v>34</v>
      </c>
      <c r="AA120">
        <f>VLOOKUP(Table29[[#This Row],[Shortname]], Comp[], 6, FALSE)</f>
        <v>72</v>
      </c>
      <c r="AB120" s="14">
        <f>VLOOKUP(Table29[[#This Row],[Shortname]], Comp[], 7, FALSE)</f>
        <v>83.06</v>
      </c>
      <c r="AC120">
        <f>VLOOKUP(Table29[[#This Row],[Shortname]], Comp[], 8, FALSE)</f>
        <v>0</v>
      </c>
      <c r="AD120">
        <f>VLOOKUP(Table29[[#This Row],[Shortname]], Comp[], 9, FALSE)</f>
        <v>9.49</v>
      </c>
      <c r="AE120">
        <f>VLOOKUP(Table29[[#This Row],[Shortname]], Comp[], 10, FALSE)</f>
        <v>0</v>
      </c>
      <c r="AF120">
        <f>VLOOKUP(Table29[[#This Row],[Shortname]], Comp[], 11, FALSE)</f>
        <v>7.45</v>
      </c>
      <c r="AG120">
        <f>VLOOKUP(Table29[[#This Row],[Shortname]], Comp[],12, FALSE)</f>
        <v>0</v>
      </c>
      <c r="AH120">
        <f>VLOOKUP(Table29[[#This Row],[Shortname]], Comp[], 13, FALSE)</f>
        <v>0</v>
      </c>
      <c r="AI120">
        <f>VLOOKUP(Table29[[#This Row],[Shortname]], Comp[], 14, FALSE)</f>
        <v>0</v>
      </c>
      <c r="AJ120">
        <f>VLOOKUP(Table29[[#This Row],[Shortname]], Comp[], 15, FALSE)</f>
        <v>0</v>
      </c>
      <c r="AK120">
        <f>VLOOKUP(Table29[[#This Row],[Shortname]], Comp[], 16, FALSE)</f>
        <v>0</v>
      </c>
      <c r="AL120">
        <f>VLOOKUP(Table29[[#This Row],[Shortname]], Comp[], 17, FALSE)</f>
        <v>0</v>
      </c>
      <c r="AM120">
        <f>VLOOKUP(Table29[[#This Row],[Shortname]], Comp[], 18, FALSE)</f>
        <v>0</v>
      </c>
      <c r="AN120">
        <f>VLOOKUP(Table29[[#This Row],[Shortname]], Comp[], 19, FALSE)</f>
        <v>0</v>
      </c>
      <c r="AO120">
        <f>VLOOKUP(Table29[[#This Row],[Shortname]], Comp[], 20, FALSE)</f>
        <v>0</v>
      </c>
      <c r="AP120">
        <f>VLOOKUP(Table29[[#This Row],[Shortname]], Comp[], 21, FALSE)</f>
        <v>0</v>
      </c>
      <c r="AQ120">
        <f>VLOOKUP(Table29[[#This Row],[Shortname]], Comp[], 22, FALSE)</f>
        <v>0</v>
      </c>
      <c r="AR120">
        <f>VLOOKUP(Table29[[#This Row],[Shortname]], Comp[], 23, FALSE)</f>
        <v>0</v>
      </c>
      <c r="AS120">
        <f>VLOOKUP(Table29[[#This Row],[Shortname]], Comp[], 24, FALSE)</f>
        <v>0</v>
      </c>
      <c r="AT120">
        <f>VLOOKUP(Table29[[#This Row],[Shortname]], Comp[], 25, FALSE)</f>
        <v>0</v>
      </c>
      <c r="AU120">
        <f>VLOOKUP(Table29[[#This Row],[Shortname]], Comp[], 26, FALSE)</f>
        <v>0</v>
      </c>
      <c r="AV120">
        <f>VLOOKUP(Table29[[#This Row],[Shortname]], Comp[], 27, FALSE)</f>
        <v>0</v>
      </c>
      <c r="AW120">
        <f>VLOOKUP(Table29[[#This Row],[Shortname]], Comp[], 28, FALSE)</f>
        <v>0</v>
      </c>
      <c r="AX120">
        <f>VLOOKUP(Table29[[#This Row],[Shortname]], Comp[], 29, FALSE)</f>
        <v>0</v>
      </c>
      <c r="AY120">
        <f>VLOOKUP(Table29[[#This Row],[Shortname]], Comp[], 30, FALSE)</f>
        <v>0</v>
      </c>
      <c r="AZ120">
        <f>VLOOKUP(Table29[[#This Row],[Shortname]], Comp[], 31, FALSE)</f>
        <v>0</v>
      </c>
    </row>
    <row r="121" spans="1:52" x14ac:dyDescent="0.3">
      <c r="A121" t="s">
        <v>561</v>
      </c>
      <c r="C121">
        <v>72</v>
      </c>
      <c r="D121" t="s">
        <v>11</v>
      </c>
      <c r="E121" t="s">
        <v>95</v>
      </c>
      <c r="F121" t="s">
        <v>561</v>
      </c>
      <c r="G121" t="s">
        <v>499</v>
      </c>
      <c r="H121">
        <v>87</v>
      </c>
      <c r="I121">
        <v>2.9088571721981699E-9</v>
      </c>
      <c r="J121">
        <f>0.01/Table29[[#This Row],[Strain Rate (min) /s]]</f>
        <v>3437776.2152011003</v>
      </c>
      <c r="K121">
        <f>LOG(Table29[[#This Row],[Time to 1% strain (s)]])</f>
        <v>6.5362776025236604</v>
      </c>
      <c r="L121">
        <v>850</v>
      </c>
      <c r="M121">
        <v>2.6</v>
      </c>
      <c r="P121" t="s">
        <v>7073</v>
      </c>
      <c r="Q121">
        <v>1300</v>
      </c>
      <c r="R121">
        <v>24</v>
      </c>
      <c r="S121">
        <v>1050</v>
      </c>
      <c r="T121">
        <v>6</v>
      </c>
      <c r="W121">
        <v>1</v>
      </c>
      <c r="X121">
        <v>10</v>
      </c>
      <c r="Y121">
        <v>34</v>
      </c>
      <c r="AA121">
        <f>VLOOKUP(Table29[[#This Row],[Shortname]], Comp[], 6, FALSE)</f>
        <v>72</v>
      </c>
      <c r="AB121" s="14">
        <f>VLOOKUP(Table29[[#This Row],[Shortname]], Comp[], 7, FALSE)</f>
        <v>83.06</v>
      </c>
      <c r="AC121">
        <f>VLOOKUP(Table29[[#This Row],[Shortname]], Comp[], 8, FALSE)</f>
        <v>0</v>
      </c>
      <c r="AD121">
        <f>VLOOKUP(Table29[[#This Row],[Shortname]], Comp[], 9, FALSE)</f>
        <v>9.49</v>
      </c>
      <c r="AE121">
        <f>VLOOKUP(Table29[[#This Row],[Shortname]], Comp[], 10, FALSE)</f>
        <v>0</v>
      </c>
      <c r="AF121">
        <f>VLOOKUP(Table29[[#This Row],[Shortname]], Comp[], 11, FALSE)</f>
        <v>7.45</v>
      </c>
      <c r="AG121">
        <f>VLOOKUP(Table29[[#This Row],[Shortname]], Comp[],12, FALSE)</f>
        <v>0</v>
      </c>
      <c r="AH121">
        <f>VLOOKUP(Table29[[#This Row],[Shortname]], Comp[], 13, FALSE)</f>
        <v>0</v>
      </c>
      <c r="AI121">
        <f>VLOOKUP(Table29[[#This Row],[Shortname]], Comp[], 14, FALSE)</f>
        <v>0</v>
      </c>
      <c r="AJ121">
        <f>VLOOKUP(Table29[[#This Row],[Shortname]], Comp[], 15, FALSE)</f>
        <v>0</v>
      </c>
      <c r="AK121">
        <f>VLOOKUP(Table29[[#This Row],[Shortname]], Comp[], 16, FALSE)</f>
        <v>0</v>
      </c>
      <c r="AL121">
        <f>VLOOKUP(Table29[[#This Row],[Shortname]], Comp[], 17, FALSE)</f>
        <v>0</v>
      </c>
      <c r="AM121">
        <f>VLOOKUP(Table29[[#This Row],[Shortname]], Comp[], 18, FALSE)</f>
        <v>0</v>
      </c>
      <c r="AN121">
        <f>VLOOKUP(Table29[[#This Row],[Shortname]], Comp[], 19, FALSE)</f>
        <v>0</v>
      </c>
      <c r="AO121">
        <f>VLOOKUP(Table29[[#This Row],[Shortname]], Comp[], 20, FALSE)</f>
        <v>0</v>
      </c>
      <c r="AP121">
        <f>VLOOKUP(Table29[[#This Row],[Shortname]], Comp[], 21, FALSE)</f>
        <v>0</v>
      </c>
      <c r="AQ121">
        <f>VLOOKUP(Table29[[#This Row],[Shortname]], Comp[], 22, FALSE)</f>
        <v>0</v>
      </c>
      <c r="AR121">
        <f>VLOOKUP(Table29[[#This Row],[Shortname]], Comp[], 23, FALSE)</f>
        <v>0</v>
      </c>
      <c r="AS121">
        <f>VLOOKUP(Table29[[#This Row],[Shortname]], Comp[], 24, FALSE)</f>
        <v>0</v>
      </c>
      <c r="AT121">
        <f>VLOOKUP(Table29[[#This Row],[Shortname]], Comp[], 25, FALSE)</f>
        <v>0</v>
      </c>
      <c r="AU121">
        <f>VLOOKUP(Table29[[#This Row],[Shortname]], Comp[], 26, FALSE)</f>
        <v>0</v>
      </c>
      <c r="AV121">
        <f>VLOOKUP(Table29[[#This Row],[Shortname]], Comp[], 27, FALSE)</f>
        <v>0</v>
      </c>
      <c r="AW121">
        <f>VLOOKUP(Table29[[#This Row],[Shortname]], Comp[], 28, FALSE)</f>
        <v>0</v>
      </c>
      <c r="AX121">
        <f>VLOOKUP(Table29[[#This Row],[Shortname]], Comp[], 29, FALSE)</f>
        <v>0</v>
      </c>
      <c r="AY121">
        <f>VLOOKUP(Table29[[#This Row],[Shortname]], Comp[], 30, FALSE)</f>
        <v>0</v>
      </c>
      <c r="AZ121">
        <f>VLOOKUP(Table29[[#This Row],[Shortname]], Comp[], 31, FALSE)</f>
        <v>0</v>
      </c>
    </row>
    <row r="122" spans="1:52" x14ac:dyDescent="0.3">
      <c r="A122" t="s">
        <v>561</v>
      </c>
      <c r="C122">
        <v>72</v>
      </c>
      <c r="D122" t="s">
        <v>11</v>
      </c>
      <c r="E122" t="s">
        <v>95</v>
      </c>
      <c r="F122" t="s">
        <v>561</v>
      </c>
      <c r="G122" t="s">
        <v>499</v>
      </c>
      <c r="H122">
        <v>104</v>
      </c>
      <c r="I122">
        <v>4.6303640964046803E-9</v>
      </c>
      <c r="J122">
        <f>0.01/Table29[[#This Row],[Strain Rate (min) /s]]</f>
        <v>2159657.3815360782</v>
      </c>
      <c r="K122">
        <f>LOG(Table29[[#This Row],[Time to 1% strain (s)]])</f>
        <v>6.3343848580441637</v>
      </c>
      <c r="L122">
        <v>850</v>
      </c>
      <c r="M122">
        <v>2.6</v>
      </c>
      <c r="P122" t="s">
        <v>7073</v>
      </c>
      <c r="Q122">
        <v>1300</v>
      </c>
      <c r="R122">
        <v>24</v>
      </c>
      <c r="S122">
        <v>1050</v>
      </c>
      <c r="T122">
        <v>6</v>
      </c>
      <c r="W122">
        <v>1</v>
      </c>
      <c r="X122">
        <v>10</v>
      </c>
      <c r="Y122">
        <v>34</v>
      </c>
      <c r="AA122">
        <f>VLOOKUP(Table29[[#This Row],[Shortname]], Comp[], 6, FALSE)</f>
        <v>72</v>
      </c>
      <c r="AB122" s="14">
        <f>VLOOKUP(Table29[[#This Row],[Shortname]], Comp[], 7, FALSE)</f>
        <v>83.06</v>
      </c>
      <c r="AC122">
        <f>VLOOKUP(Table29[[#This Row],[Shortname]], Comp[], 8, FALSE)</f>
        <v>0</v>
      </c>
      <c r="AD122">
        <f>VLOOKUP(Table29[[#This Row],[Shortname]], Comp[], 9, FALSE)</f>
        <v>9.49</v>
      </c>
      <c r="AE122">
        <f>VLOOKUP(Table29[[#This Row],[Shortname]], Comp[], 10, FALSE)</f>
        <v>0</v>
      </c>
      <c r="AF122">
        <f>VLOOKUP(Table29[[#This Row],[Shortname]], Comp[], 11, FALSE)</f>
        <v>7.45</v>
      </c>
      <c r="AG122">
        <f>VLOOKUP(Table29[[#This Row],[Shortname]], Comp[],12, FALSE)</f>
        <v>0</v>
      </c>
      <c r="AH122">
        <f>VLOOKUP(Table29[[#This Row],[Shortname]], Comp[], 13, FALSE)</f>
        <v>0</v>
      </c>
      <c r="AI122">
        <f>VLOOKUP(Table29[[#This Row],[Shortname]], Comp[], 14, FALSE)</f>
        <v>0</v>
      </c>
      <c r="AJ122">
        <f>VLOOKUP(Table29[[#This Row],[Shortname]], Comp[], 15, FALSE)</f>
        <v>0</v>
      </c>
      <c r="AK122">
        <f>VLOOKUP(Table29[[#This Row],[Shortname]], Comp[], 16, FALSE)</f>
        <v>0</v>
      </c>
      <c r="AL122">
        <f>VLOOKUP(Table29[[#This Row],[Shortname]], Comp[], 17, FALSE)</f>
        <v>0</v>
      </c>
      <c r="AM122">
        <f>VLOOKUP(Table29[[#This Row],[Shortname]], Comp[], 18, FALSE)</f>
        <v>0</v>
      </c>
      <c r="AN122">
        <f>VLOOKUP(Table29[[#This Row],[Shortname]], Comp[], 19, FALSE)</f>
        <v>0</v>
      </c>
      <c r="AO122">
        <f>VLOOKUP(Table29[[#This Row],[Shortname]], Comp[], 20, FALSE)</f>
        <v>0</v>
      </c>
      <c r="AP122">
        <f>VLOOKUP(Table29[[#This Row],[Shortname]], Comp[], 21, FALSE)</f>
        <v>0</v>
      </c>
      <c r="AQ122">
        <f>VLOOKUP(Table29[[#This Row],[Shortname]], Comp[], 22, FALSE)</f>
        <v>0</v>
      </c>
      <c r="AR122">
        <f>VLOOKUP(Table29[[#This Row],[Shortname]], Comp[], 23, FALSE)</f>
        <v>0</v>
      </c>
      <c r="AS122">
        <f>VLOOKUP(Table29[[#This Row],[Shortname]], Comp[], 24, FALSE)</f>
        <v>0</v>
      </c>
      <c r="AT122">
        <f>VLOOKUP(Table29[[#This Row],[Shortname]], Comp[], 25, FALSE)</f>
        <v>0</v>
      </c>
      <c r="AU122">
        <f>VLOOKUP(Table29[[#This Row],[Shortname]], Comp[], 26, FALSE)</f>
        <v>0</v>
      </c>
      <c r="AV122">
        <f>VLOOKUP(Table29[[#This Row],[Shortname]], Comp[], 27, FALSE)</f>
        <v>0</v>
      </c>
      <c r="AW122">
        <f>VLOOKUP(Table29[[#This Row],[Shortname]], Comp[], 28, FALSE)</f>
        <v>0</v>
      </c>
      <c r="AX122">
        <f>VLOOKUP(Table29[[#This Row],[Shortname]], Comp[], 29, FALSE)</f>
        <v>0</v>
      </c>
      <c r="AY122">
        <f>VLOOKUP(Table29[[#This Row],[Shortname]], Comp[], 30, FALSE)</f>
        <v>0</v>
      </c>
      <c r="AZ122">
        <f>VLOOKUP(Table29[[#This Row],[Shortname]], Comp[], 31, FALSE)</f>
        <v>0</v>
      </c>
    </row>
    <row r="123" spans="1:52" x14ac:dyDescent="0.3">
      <c r="A123" t="s">
        <v>561</v>
      </c>
      <c r="C123">
        <v>72</v>
      </c>
      <c r="D123" t="s">
        <v>11</v>
      </c>
      <c r="E123" t="s">
        <v>95</v>
      </c>
      <c r="F123" t="s">
        <v>561</v>
      </c>
      <c r="G123" t="s">
        <v>499</v>
      </c>
      <c r="H123">
        <v>121</v>
      </c>
      <c r="I123">
        <v>6.0142269267678604E-9</v>
      </c>
      <c r="J123">
        <f>0.01/Table29[[#This Row],[Strain Rate (min) /s]]</f>
        <v>1662724.0910203161</v>
      </c>
      <c r="K123">
        <f>LOG(Table29[[#This Row],[Time to 1% strain (s)]])</f>
        <v>6.2208201892744492</v>
      </c>
      <c r="L123">
        <v>850</v>
      </c>
      <c r="M123">
        <v>2.6</v>
      </c>
      <c r="P123" t="s">
        <v>7073</v>
      </c>
      <c r="Q123">
        <v>1300</v>
      </c>
      <c r="R123">
        <v>24</v>
      </c>
      <c r="S123">
        <v>1050</v>
      </c>
      <c r="T123">
        <v>6</v>
      </c>
      <c r="W123">
        <v>1</v>
      </c>
      <c r="X123">
        <v>10</v>
      </c>
      <c r="Y123">
        <v>34</v>
      </c>
      <c r="AA123">
        <f>VLOOKUP(Table29[[#This Row],[Shortname]], Comp[], 6, FALSE)</f>
        <v>72</v>
      </c>
      <c r="AB123" s="14">
        <f>VLOOKUP(Table29[[#This Row],[Shortname]], Comp[], 7, FALSE)</f>
        <v>83.06</v>
      </c>
      <c r="AC123">
        <f>VLOOKUP(Table29[[#This Row],[Shortname]], Comp[], 8, FALSE)</f>
        <v>0</v>
      </c>
      <c r="AD123">
        <f>VLOOKUP(Table29[[#This Row],[Shortname]], Comp[], 9, FALSE)</f>
        <v>9.49</v>
      </c>
      <c r="AE123">
        <f>VLOOKUP(Table29[[#This Row],[Shortname]], Comp[], 10, FALSE)</f>
        <v>0</v>
      </c>
      <c r="AF123">
        <f>VLOOKUP(Table29[[#This Row],[Shortname]], Comp[], 11, FALSE)</f>
        <v>7.45</v>
      </c>
      <c r="AG123">
        <f>VLOOKUP(Table29[[#This Row],[Shortname]], Comp[],12, FALSE)</f>
        <v>0</v>
      </c>
      <c r="AH123">
        <f>VLOOKUP(Table29[[#This Row],[Shortname]], Comp[], 13, FALSE)</f>
        <v>0</v>
      </c>
      <c r="AI123">
        <f>VLOOKUP(Table29[[#This Row],[Shortname]], Comp[], 14, FALSE)</f>
        <v>0</v>
      </c>
      <c r="AJ123">
        <f>VLOOKUP(Table29[[#This Row],[Shortname]], Comp[], 15, FALSE)</f>
        <v>0</v>
      </c>
      <c r="AK123">
        <f>VLOOKUP(Table29[[#This Row],[Shortname]], Comp[], 16, FALSE)</f>
        <v>0</v>
      </c>
      <c r="AL123">
        <f>VLOOKUP(Table29[[#This Row],[Shortname]], Comp[], 17, FALSE)</f>
        <v>0</v>
      </c>
      <c r="AM123">
        <f>VLOOKUP(Table29[[#This Row],[Shortname]], Comp[], 18, FALSE)</f>
        <v>0</v>
      </c>
      <c r="AN123">
        <f>VLOOKUP(Table29[[#This Row],[Shortname]], Comp[], 19, FALSE)</f>
        <v>0</v>
      </c>
      <c r="AO123">
        <f>VLOOKUP(Table29[[#This Row],[Shortname]], Comp[], 20, FALSE)</f>
        <v>0</v>
      </c>
      <c r="AP123">
        <f>VLOOKUP(Table29[[#This Row],[Shortname]], Comp[], 21, FALSE)</f>
        <v>0</v>
      </c>
      <c r="AQ123">
        <f>VLOOKUP(Table29[[#This Row],[Shortname]], Comp[], 22, FALSE)</f>
        <v>0</v>
      </c>
      <c r="AR123">
        <f>VLOOKUP(Table29[[#This Row],[Shortname]], Comp[], 23, FALSE)</f>
        <v>0</v>
      </c>
      <c r="AS123">
        <f>VLOOKUP(Table29[[#This Row],[Shortname]], Comp[], 24, FALSE)</f>
        <v>0</v>
      </c>
      <c r="AT123">
        <f>VLOOKUP(Table29[[#This Row],[Shortname]], Comp[], 25, FALSE)</f>
        <v>0</v>
      </c>
      <c r="AU123">
        <f>VLOOKUP(Table29[[#This Row],[Shortname]], Comp[], 26, FALSE)</f>
        <v>0</v>
      </c>
      <c r="AV123">
        <f>VLOOKUP(Table29[[#This Row],[Shortname]], Comp[], 27, FALSE)</f>
        <v>0</v>
      </c>
      <c r="AW123">
        <f>VLOOKUP(Table29[[#This Row],[Shortname]], Comp[], 28, FALSE)</f>
        <v>0</v>
      </c>
      <c r="AX123">
        <f>VLOOKUP(Table29[[#This Row],[Shortname]], Comp[], 29, FALSE)</f>
        <v>0</v>
      </c>
      <c r="AY123">
        <f>VLOOKUP(Table29[[#This Row],[Shortname]], Comp[], 30, FALSE)</f>
        <v>0</v>
      </c>
      <c r="AZ123">
        <f>VLOOKUP(Table29[[#This Row],[Shortname]], Comp[], 31, FALSE)</f>
        <v>0</v>
      </c>
    </row>
    <row r="124" spans="1:52" x14ac:dyDescent="0.3">
      <c r="A124" t="s">
        <v>561</v>
      </c>
      <c r="C124">
        <v>72</v>
      </c>
      <c r="D124" t="s">
        <v>11</v>
      </c>
      <c r="E124" t="s">
        <v>95</v>
      </c>
      <c r="F124" t="s">
        <v>561</v>
      </c>
      <c r="G124" t="s">
        <v>499</v>
      </c>
      <c r="H124">
        <v>139</v>
      </c>
      <c r="I124">
        <v>9.1652667716978999E-9</v>
      </c>
      <c r="J124">
        <f>0.01/Table29[[#This Row],[Strain Rate (min) /s]]</f>
        <v>1091075.715425953</v>
      </c>
      <c r="K124">
        <f>LOG(Table29[[#This Row],[Time to 1% strain (s)]])</f>
        <v>6.0378548895899051</v>
      </c>
      <c r="L124">
        <v>850</v>
      </c>
      <c r="M124">
        <v>2.6</v>
      </c>
      <c r="P124" t="s">
        <v>7073</v>
      </c>
      <c r="Q124">
        <v>1300</v>
      </c>
      <c r="R124">
        <v>24</v>
      </c>
      <c r="S124">
        <v>1050</v>
      </c>
      <c r="T124">
        <v>6</v>
      </c>
      <c r="W124">
        <v>1</v>
      </c>
      <c r="X124">
        <v>10</v>
      </c>
      <c r="Y124">
        <v>34</v>
      </c>
      <c r="AA124">
        <f>VLOOKUP(Table29[[#This Row],[Shortname]], Comp[], 6, FALSE)</f>
        <v>72</v>
      </c>
      <c r="AB124" s="14">
        <f>VLOOKUP(Table29[[#This Row],[Shortname]], Comp[], 7, FALSE)</f>
        <v>83.06</v>
      </c>
      <c r="AC124">
        <f>VLOOKUP(Table29[[#This Row],[Shortname]], Comp[], 8, FALSE)</f>
        <v>0</v>
      </c>
      <c r="AD124">
        <f>VLOOKUP(Table29[[#This Row],[Shortname]], Comp[], 9, FALSE)</f>
        <v>9.49</v>
      </c>
      <c r="AE124">
        <f>VLOOKUP(Table29[[#This Row],[Shortname]], Comp[], 10, FALSE)</f>
        <v>0</v>
      </c>
      <c r="AF124">
        <f>VLOOKUP(Table29[[#This Row],[Shortname]], Comp[], 11, FALSE)</f>
        <v>7.45</v>
      </c>
      <c r="AG124">
        <f>VLOOKUP(Table29[[#This Row],[Shortname]], Comp[],12, FALSE)</f>
        <v>0</v>
      </c>
      <c r="AH124">
        <f>VLOOKUP(Table29[[#This Row],[Shortname]], Comp[], 13, FALSE)</f>
        <v>0</v>
      </c>
      <c r="AI124">
        <f>VLOOKUP(Table29[[#This Row],[Shortname]], Comp[], 14, FALSE)</f>
        <v>0</v>
      </c>
      <c r="AJ124">
        <f>VLOOKUP(Table29[[#This Row],[Shortname]], Comp[], 15, FALSE)</f>
        <v>0</v>
      </c>
      <c r="AK124">
        <f>VLOOKUP(Table29[[#This Row],[Shortname]], Comp[], 16, FALSE)</f>
        <v>0</v>
      </c>
      <c r="AL124">
        <f>VLOOKUP(Table29[[#This Row],[Shortname]], Comp[], 17, FALSE)</f>
        <v>0</v>
      </c>
      <c r="AM124">
        <f>VLOOKUP(Table29[[#This Row],[Shortname]], Comp[], 18, FALSE)</f>
        <v>0</v>
      </c>
      <c r="AN124">
        <f>VLOOKUP(Table29[[#This Row],[Shortname]], Comp[], 19, FALSE)</f>
        <v>0</v>
      </c>
      <c r="AO124">
        <f>VLOOKUP(Table29[[#This Row],[Shortname]], Comp[], 20, FALSE)</f>
        <v>0</v>
      </c>
      <c r="AP124">
        <f>VLOOKUP(Table29[[#This Row],[Shortname]], Comp[], 21, FALSE)</f>
        <v>0</v>
      </c>
      <c r="AQ124">
        <f>VLOOKUP(Table29[[#This Row],[Shortname]], Comp[], 22, FALSE)</f>
        <v>0</v>
      </c>
      <c r="AR124">
        <f>VLOOKUP(Table29[[#This Row],[Shortname]], Comp[], 23, FALSE)</f>
        <v>0</v>
      </c>
      <c r="AS124">
        <f>VLOOKUP(Table29[[#This Row],[Shortname]], Comp[], 24, FALSE)</f>
        <v>0</v>
      </c>
      <c r="AT124">
        <f>VLOOKUP(Table29[[#This Row],[Shortname]], Comp[], 25, FALSE)</f>
        <v>0</v>
      </c>
      <c r="AU124">
        <f>VLOOKUP(Table29[[#This Row],[Shortname]], Comp[], 26, FALSE)</f>
        <v>0</v>
      </c>
      <c r="AV124">
        <f>VLOOKUP(Table29[[#This Row],[Shortname]], Comp[], 27, FALSE)</f>
        <v>0</v>
      </c>
      <c r="AW124">
        <f>VLOOKUP(Table29[[#This Row],[Shortname]], Comp[], 28, FALSE)</f>
        <v>0</v>
      </c>
      <c r="AX124">
        <f>VLOOKUP(Table29[[#This Row],[Shortname]], Comp[], 29, FALSE)</f>
        <v>0</v>
      </c>
      <c r="AY124">
        <f>VLOOKUP(Table29[[#This Row],[Shortname]], Comp[], 30, FALSE)</f>
        <v>0</v>
      </c>
      <c r="AZ124">
        <f>VLOOKUP(Table29[[#This Row],[Shortname]], Comp[], 31, FALSE)</f>
        <v>0</v>
      </c>
    </row>
    <row r="125" spans="1:52" x14ac:dyDescent="0.3">
      <c r="A125" t="s">
        <v>561</v>
      </c>
      <c r="C125">
        <v>72</v>
      </c>
      <c r="D125" t="s">
        <v>11</v>
      </c>
      <c r="E125" t="s">
        <v>95</v>
      </c>
      <c r="F125" t="s">
        <v>561</v>
      </c>
      <c r="G125" t="s">
        <v>499</v>
      </c>
      <c r="H125">
        <v>156</v>
      </c>
      <c r="I125">
        <v>1.3567258930350199E-8</v>
      </c>
      <c r="J125">
        <f>0.01/Table29[[#This Row],[Strain Rate (min) /s]]</f>
        <v>737068.55978327524</v>
      </c>
      <c r="K125">
        <f>LOG(Table29[[#This Row],[Time to 1% strain (s)]])</f>
        <v>5.8675078864353329</v>
      </c>
      <c r="L125">
        <v>850</v>
      </c>
      <c r="M125">
        <v>2.6</v>
      </c>
      <c r="P125" t="s">
        <v>7073</v>
      </c>
      <c r="Q125">
        <v>1300</v>
      </c>
      <c r="R125">
        <v>24</v>
      </c>
      <c r="S125">
        <v>1050</v>
      </c>
      <c r="T125">
        <v>6</v>
      </c>
      <c r="W125">
        <v>1</v>
      </c>
      <c r="X125">
        <v>10</v>
      </c>
      <c r="Y125">
        <v>34</v>
      </c>
      <c r="AA125">
        <f>VLOOKUP(Table29[[#This Row],[Shortname]], Comp[], 6, FALSE)</f>
        <v>72</v>
      </c>
      <c r="AB125" s="14">
        <f>VLOOKUP(Table29[[#This Row],[Shortname]], Comp[], 7, FALSE)</f>
        <v>83.06</v>
      </c>
      <c r="AC125">
        <f>VLOOKUP(Table29[[#This Row],[Shortname]], Comp[], 8, FALSE)</f>
        <v>0</v>
      </c>
      <c r="AD125">
        <f>VLOOKUP(Table29[[#This Row],[Shortname]], Comp[], 9, FALSE)</f>
        <v>9.49</v>
      </c>
      <c r="AE125">
        <f>VLOOKUP(Table29[[#This Row],[Shortname]], Comp[], 10, FALSE)</f>
        <v>0</v>
      </c>
      <c r="AF125">
        <f>VLOOKUP(Table29[[#This Row],[Shortname]], Comp[], 11, FALSE)</f>
        <v>7.45</v>
      </c>
      <c r="AG125">
        <f>VLOOKUP(Table29[[#This Row],[Shortname]], Comp[],12, FALSE)</f>
        <v>0</v>
      </c>
      <c r="AH125">
        <f>VLOOKUP(Table29[[#This Row],[Shortname]], Comp[], 13, FALSE)</f>
        <v>0</v>
      </c>
      <c r="AI125">
        <f>VLOOKUP(Table29[[#This Row],[Shortname]], Comp[], 14, FALSE)</f>
        <v>0</v>
      </c>
      <c r="AJ125">
        <f>VLOOKUP(Table29[[#This Row],[Shortname]], Comp[], 15, FALSE)</f>
        <v>0</v>
      </c>
      <c r="AK125">
        <f>VLOOKUP(Table29[[#This Row],[Shortname]], Comp[], 16, FALSE)</f>
        <v>0</v>
      </c>
      <c r="AL125">
        <f>VLOOKUP(Table29[[#This Row],[Shortname]], Comp[], 17, FALSE)</f>
        <v>0</v>
      </c>
      <c r="AM125">
        <f>VLOOKUP(Table29[[#This Row],[Shortname]], Comp[], 18, FALSE)</f>
        <v>0</v>
      </c>
      <c r="AN125">
        <f>VLOOKUP(Table29[[#This Row],[Shortname]], Comp[], 19, FALSE)</f>
        <v>0</v>
      </c>
      <c r="AO125">
        <f>VLOOKUP(Table29[[#This Row],[Shortname]], Comp[], 20, FALSE)</f>
        <v>0</v>
      </c>
      <c r="AP125">
        <f>VLOOKUP(Table29[[#This Row],[Shortname]], Comp[], 21, FALSE)</f>
        <v>0</v>
      </c>
      <c r="AQ125">
        <f>VLOOKUP(Table29[[#This Row],[Shortname]], Comp[], 22, FALSE)</f>
        <v>0</v>
      </c>
      <c r="AR125">
        <f>VLOOKUP(Table29[[#This Row],[Shortname]], Comp[], 23, FALSE)</f>
        <v>0</v>
      </c>
      <c r="AS125">
        <f>VLOOKUP(Table29[[#This Row],[Shortname]], Comp[], 24, FALSE)</f>
        <v>0</v>
      </c>
      <c r="AT125">
        <f>VLOOKUP(Table29[[#This Row],[Shortname]], Comp[], 25, FALSE)</f>
        <v>0</v>
      </c>
      <c r="AU125">
        <f>VLOOKUP(Table29[[#This Row],[Shortname]], Comp[], 26, FALSE)</f>
        <v>0</v>
      </c>
      <c r="AV125">
        <f>VLOOKUP(Table29[[#This Row],[Shortname]], Comp[], 27, FALSE)</f>
        <v>0</v>
      </c>
      <c r="AW125">
        <f>VLOOKUP(Table29[[#This Row],[Shortname]], Comp[], 28, FALSE)</f>
        <v>0</v>
      </c>
      <c r="AX125">
        <f>VLOOKUP(Table29[[#This Row],[Shortname]], Comp[], 29, FALSE)</f>
        <v>0</v>
      </c>
      <c r="AY125">
        <f>VLOOKUP(Table29[[#This Row],[Shortname]], Comp[], 30, FALSE)</f>
        <v>0</v>
      </c>
      <c r="AZ125">
        <f>VLOOKUP(Table29[[#This Row],[Shortname]], Comp[], 31, FALSE)</f>
        <v>0</v>
      </c>
    </row>
    <row r="126" spans="1:52" x14ac:dyDescent="0.3">
      <c r="A126" t="s">
        <v>561</v>
      </c>
      <c r="B126">
        <v>113</v>
      </c>
      <c r="C126">
        <v>72</v>
      </c>
      <c r="D126" t="s">
        <v>11</v>
      </c>
      <c r="E126" t="s">
        <v>95</v>
      </c>
      <c r="F126" t="s">
        <v>561</v>
      </c>
      <c r="G126" t="s">
        <v>499</v>
      </c>
      <c r="H126">
        <v>217</v>
      </c>
      <c r="I126">
        <v>9.5702000000000006E-8</v>
      </c>
      <c r="J126">
        <f>0.01/Table29[[#This Row],[Strain Rate (min) /s]]</f>
        <v>104491.02422101941</v>
      </c>
      <c r="K126">
        <f>LOG(Table29[[#This Row],[Time to 1% strain (s)]])</f>
        <v>5.0190789861532741</v>
      </c>
      <c r="L126">
        <v>850</v>
      </c>
      <c r="M126">
        <v>9.9</v>
      </c>
      <c r="P126" t="s">
        <v>7074</v>
      </c>
      <c r="Q126">
        <v>1300</v>
      </c>
      <c r="R126">
        <v>24</v>
      </c>
      <c r="S126">
        <v>1050</v>
      </c>
      <c r="T126">
        <v>6</v>
      </c>
      <c r="W126">
        <v>1</v>
      </c>
      <c r="X126">
        <v>10</v>
      </c>
      <c r="Y126">
        <v>34</v>
      </c>
      <c r="AA126">
        <f>VLOOKUP(Table29[[#This Row],[Shortname]], Comp[], 6, FALSE)</f>
        <v>72</v>
      </c>
      <c r="AB126" s="14">
        <f>VLOOKUP(Table29[[#This Row],[Shortname]], Comp[], 7, FALSE)</f>
        <v>83.06</v>
      </c>
      <c r="AC126">
        <f>VLOOKUP(Table29[[#This Row],[Shortname]], Comp[], 8, FALSE)</f>
        <v>0</v>
      </c>
      <c r="AD126">
        <f>VLOOKUP(Table29[[#This Row],[Shortname]], Comp[], 9, FALSE)</f>
        <v>9.49</v>
      </c>
      <c r="AE126">
        <f>VLOOKUP(Table29[[#This Row],[Shortname]], Comp[], 10, FALSE)</f>
        <v>0</v>
      </c>
      <c r="AF126">
        <f>VLOOKUP(Table29[[#This Row],[Shortname]], Comp[], 11, FALSE)</f>
        <v>7.45</v>
      </c>
      <c r="AG126">
        <f>VLOOKUP(Table29[[#This Row],[Shortname]], Comp[],12, FALSE)</f>
        <v>0</v>
      </c>
      <c r="AH126">
        <f>VLOOKUP(Table29[[#This Row],[Shortname]], Comp[], 13, FALSE)</f>
        <v>0</v>
      </c>
      <c r="AI126">
        <f>VLOOKUP(Table29[[#This Row],[Shortname]], Comp[], 14, FALSE)</f>
        <v>0</v>
      </c>
      <c r="AJ126">
        <f>VLOOKUP(Table29[[#This Row],[Shortname]], Comp[], 15, FALSE)</f>
        <v>0</v>
      </c>
      <c r="AK126">
        <f>VLOOKUP(Table29[[#This Row],[Shortname]], Comp[], 16, FALSE)</f>
        <v>0</v>
      </c>
      <c r="AL126">
        <f>VLOOKUP(Table29[[#This Row],[Shortname]], Comp[], 17, FALSE)</f>
        <v>0</v>
      </c>
      <c r="AM126">
        <f>VLOOKUP(Table29[[#This Row],[Shortname]], Comp[], 18, FALSE)</f>
        <v>0</v>
      </c>
      <c r="AN126">
        <f>VLOOKUP(Table29[[#This Row],[Shortname]], Comp[], 19, FALSE)</f>
        <v>0</v>
      </c>
      <c r="AO126">
        <f>VLOOKUP(Table29[[#This Row],[Shortname]], Comp[], 20, FALSE)</f>
        <v>0</v>
      </c>
      <c r="AP126">
        <f>VLOOKUP(Table29[[#This Row],[Shortname]], Comp[], 21, FALSE)</f>
        <v>0</v>
      </c>
      <c r="AQ126">
        <f>VLOOKUP(Table29[[#This Row],[Shortname]], Comp[], 22, FALSE)</f>
        <v>0</v>
      </c>
      <c r="AR126">
        <f>VLOOKUP(Table29[[#This Row],[Shortname]], Comp[], 23, FALSE)</f>
        <v>0</v>
      </c>
      <c r="AS126">
        <f>VLOOKUP(Table29[[#This Row],[Shortname]], Comp[], 24, FALSE)</f>
        <v>0</v>
      </c>
      <c r="AT126">
        <f>VLOOKUP(Table29[[#This Row],[Shortname]], Comp[], 25, FALSE)</f>
        <v>0</v>
      </c>
      <c r="AU126">
        <f>VLOOKUP(Table29[[#This Row],[Shortname]], Comp[], 26, FALSE)</f>
        <v>0</v>
      </c>
      <c r="AV126">
        <f>VLOOKUP(Table29[[#This Row],[Shortname]], Comp[], 27, FALSE)</f>
        <v>0</v>
      </c>
      <c r="AW126">
        <f>VLOOKUP(Table29[[#This Row],[Shortname]], Comp[], 28, FALSE)</f>
        <v>0</v>
      </c>
      <c r="AX126">
        <f>VLOOKUP(Table29[[#This Row],[Shortname]], Comp[], 29, FALSE)</f>
        <v>0</v>
      </c>
      <c r="AY126">
        <f>VLOOKUP(Table29[[#This Row],[Shortname]], Comp[], 30, FALSE)</f>
        <v>0</v>
      </c>
      <c r="AZ126">
        <f>VLOOKUP(Table29[[#This Row],[Shortname]], Comp[], 31, FALSE)</f>
        <v>0</v>
      </c>
    </row>
    <row r="127" spans="1:52" x14ac:dyDescent="0.3">
      <c r="A127" t="s">
        <v>561</v>
      </c>
      <c r="B127">
        <v>114</v>
      </c>
      <c r="C127">
        <v>72</v>
      </c>
      <c r="D127" t="s">
        <v>11</v>
      </c>
      <c r="E127" t="s">
        <v>95</v>
      </c>
      <c r="F127" t="s">
        <v>561</v>
      </c>
      <c r="G127" t="s">
        <v>499</v>
      </c>
      <c r="H127">
        <v>125</v>
      </c>
      <c r="I127">
        <v>1.3289E-9</v>
      </c>
      <c r="J127">
        <f>0.01/Table29[[#This Row],[Strain Rate (min) /s]]</f>
        <v>7525020.6938069081</v>
      </c>
      <c r="K127">
        <f>LOG(Table29[[#This Row],[Time to 1% strain (s)]])</f>
        <v>6.8765076985773481</v>
      </c>
      <c r="L127">
        <v>850</v>
      </c>
      <c r="M127">
        <v>9.9</v>
      </c>
      <c r="P127" t="s">
        <v>7074</v>
      </c>
      <c r="Q127">
        <v>1300</v>
      </c>
      <c r="R127">
        <v>24</v>
      </c>
      <c r="S127">
        <v>1050</v>
      </c>
      <c r="T127">
        <v>6</v>
      </c>
      <c r="W127">
        <v>1</v>
      </c>
      <c r="X127">
        <v>10</v>
      </c>
      <c r="Y127">
        <v>34</v>
      </c>
      <c r="AA127">
        <f>VLOOKUP(Table29[[#This Row],[Shortname]], Comp[], 6, FALSE)</f>
        <v>72</v>
      </c>
      <c r="AB127" s="14">
        <f>VLOOKUP(Table29[[#This Row],[Shortname]], Comp[], 7, FALSE)</f>
        <v>83.06</v>
      </c>
      <c r="AC127">
        <f>VLOOKUP(Table29[[#This Row],[Shortname]], Comp[], 8, FALSE)</f>
        <v>0</v>
      </c>
      <c r="AD127">
        <f>VLOOKUP(Table29[[#This Row],[Shortname]], Comp[], 9, FALSE)</f>
        <v>9.49</v>
      </c>
      <c r="AE127">
        <f>VLOOKUP(Table29[[#This Row],[Shortname]], Comp[], 10, FALSE)</f>
        <v>0</v>
      </c>
      <c r="AF127">
        <f>VLOOKUP(Table29[[#This Row],[Shortname]], Comp[], 11, FALSE)</f>
        <v>7.45</v>
      </c>
      <c r="AG127">
        <f>VLOOKUP(Table29[[#This Row],[Shortname]], Comp[],12, FALSE)</f>
        <v>0</v>
      </c>
      <c r="AH127">
        <f>VLOOKUP(Table29[[#This Row],[Shortname]], Comp[], 13, FALSE)</f>
        <v>0</v>
      </c>
      <c r="AI127">
        <f>VLOOKUP(Table29[[#This Row],[Shortname]], Comp[], 14, FALSE)</f>
        <v>0</v>
      </c>
      <c r="AJ127">
        <f>VLOOKUP(Table29[[#This Row],[Shortname]], Comp[], 15, FALSE)</f>
        <v>0</v>
      </c>
      <c r="AK127">
        <f>VLOOKUP(Table29[[#This Row],[Shortname]], Comp[], 16, FALSE)</f>
        <v>0</v>
      </c>
      <c r="AL127">
        <f>VLOOKUP(Table29[[#This Row],[Shortname]], Comp[], 17, FALSE)</f>
        <v>0</v>
      </c>
      <c r="AM127">
        <f>VLOOKUP(Table29[[#This Row],[Shortname]], Comp[], 18, FALSE)</f>
        <v>0</v>
      </c>
      <c r="AN127">
        <f>VLOOKUP(Table29[[#This Row],[Shortname]], Comp[], 19, FALSE)</f>
        <v>0</v>
      </c>
      <c r="AO127">
        <f>VLOOKUP(Table29[[#This Row],[Shortname]], Comp[], 20, FALSE)</f>
        <v>0</v>
      </c>
      <c r="AP127">
        <f>VLOOKUP(Table29[[#This Row],[Shortname]], Comp[], 21, FALSE)</f>
        <v>0</v>
      </c>
      <c r="AQ127">
        <f>VLOOKUP(Table29[[#This Row],[Shortname]], Comp[], 22, FALSE)</f>
        <v>0</v>
      </c>
      <c r="AR127">
        <f>VLOOKUP(Table29[[#This Row],[Shortname]], Comp[], 23, FALSE)</f>
        <v>0</v>
      </c>
      <c r="AS127">
        <f>VLOOKUP(Table29[[#This Row],[Shortname]], Comp[], 24, FALSE)</f>
        <v>0</v>
      </c>
      <c r="AT127">
        <f>VLOOKUP(Table29[[#This Row],[Shortname]], Comp[], 25, FALSE)</f>
        <v>0</v>
      </c>
      <c r="AU127">
        <f>VLOOKUP(Table29[[#This Row],[Shortname]], Comp[], 26, FALSE)</f>
        <v>0</v>
      </c>
      <c r="AV127">
        <f>VLOOKUP(Table29[[#This Row],[Shortname]], Comp[], 27, FALSE)</f>
        <v>0</v>
      </c>
      <c r="AW127">
        <f>VLOOKUP(Table29[[#This Row],[Shortname]], Comp[], 28, FALSE)</f>
        <v>0</v>
      </c>
      <c r="AX127">
        <f>VLOOKUP(Table29[[#This Row],[Shortname]], Comp[], 29, FALSE)</f>
        <v>0</v>
      </c>
      <c r="AY127">
        <f>VLOOKUP(Table29[[#This Row],[Shortname]], Comp[], 30, FALSE)</f>
        <v>0</v>
      </c>
      <c r="AZ127">
        <f>VLOOKUP(Table29[[#This Row],[Shortname]], Comp[], 31, FALSE)</f>
        <v>0</v>
      </c>
    </row>
    <row r="128" spans="1:52" x14ac:dyDescent="0.3">
      <c r="A128" t="s">
        <v>561</v>
      </c>
      <c r="B128">
        <v>115</v>
      </c>
      <c r="C128">
        <v>72</v>
      </c>
      <c r="D128" t="s">
        <v>11</v>
      </c>
      <c r="E128" t="s">
        <v>95</v>
      </c>
      <c r="F128" t="s">
        <v>561</v>
      </c>
      <c r="G128" t="s">
        <v>499</v>
      </c>
      <c r="H128">
        <v>146</v>
      </c>
      <c r="I128">
        <v>3.5598000000000001E-9</v>
      </c>
      <c r="J128">
        <f>0.01/Table29[[#This Row],[Strain Rate (min) /s]]</f>
        <v>2809146.5812686104</v>
      </c>
      <c r="K128">
        <f>LOG(Table29[[#This Row],[Time to 1% strain (s)]])</f>
        <v>6.4485744012789024</v>
      </c>
      <c r="L128">
        <v>850</v>
      </c>
      <c r="M128">
        <v>9.9</v>
      </c>
      <c r="P128" t="s">
        <v>7074</v>
      </c>
      <c r="Q128">
        <v>1300</v>
      </c>
      <c r="R128">
        <v>24</v>
      </c>
      <c r="S128">
        <v>1050</v>
      </c>
      <c r="T128">
        <v>6</v>
      </c>
      <c r="W128">
        <v>1</v>
      </c>
      <c r="X128">
        <v>10</v>
      </c>
      <c r="Y128">
        <v>34</v>
      </c>
      <c r="AA128">
        <f>VLOOKUP(Table29[[#This Row],[Shortname]], Comp[], 6, FALSE)</f>
        <v>72</v>
      </c>
      <c r="AB128" s="14">
        <f>VLOOKUP(Table29[[#This Row],[Shortname]], Comp[], 7, FALSE)</f>
        <v>83.06</v>
      </c>
      <c r="AC128">
        <f>VLOOKUP(Table29[[#This Row],[Shortname]], Comp[], 8, FALSE)</f>
        <v>0</v>
      </c>
      <c r="AD128">
        <f>VLOOKUP(Table29[[#This Row],[Shortname]], Comp[], 9, FALSE)</f>
        <v>9.49</v>
      </c>
      <c r="AE128">
        <f>VLOOKUP(Table29[[#This Row],[Shortname]], Comp[], 10, FALSE)</f>
        <v>0</v>
      </c>
      <c r="AF128">
        <f>VLOOKUP(Table29[[#This Row],[Shortname]], Comp[], 11, FALSE)</f>
        <v>7.45</v>
      </c>
      <c r="AG128">
        <f>VLOOKUP(Table29[[#This Row],[Shortname]], Comp[],12, FALSE)</f>
        <v>0</v>
      </c>
      <c r="AH128">
        <f>VLOOKUP(Table29[[#This Row],[Shortname]], Comp[], 13, FALSE)</f>
        <v>0</v>
      </c>
      <c r="AI128">
        <f>VLOOKUP(Table29[[#This Row],[Shortname]], Comp[], 14, FALSE)</f>
        <v>0</v>
      </c>
      <c r="AJ128">
        <f>VLOOKUP(Table29[[#This Row],[Shortname]], Comp[], 15, FALSE)</f>
        <v>0</v>
      </c>
      <c r="AK128">
        <f>VLOOKUP(Table29[[#This Row],[Shortname]], Comp[], 16, FALSE)</f>
        <v>0</v>
      </c>
      <c r="AL128">
        <f>VLOOKUP(Table29[[#This Row],[Shortname]], Comp[], 17, FALSE)</f>
        <v>0</v>
      </c>
      <c r="AM128">
        <f>VLOOKUP(Table29[[#This Row],[Shortname]], Comp[], 18, FALSE)</f>
        <v>0</v>
      </c>
      <c r="AN128">
        <f>VLOOKUP(Table29[[#This Row],[Shortname]], Comp[], 19, FALSE)</f>
        <v>0</v>
      </c>
      <c r="AO128">
        <f>VLOOKUP(Table29[[#This Row],[Shortname]], Comp[], 20, FALSE)</f>
        <v>0</v>
      </c>
      <c r="AP128">
        <f>VLOOKUP(Table29[[#This Row],[Shortname]], Comp[], 21, FALSE)</f>
        <v>0</v>
      </c>
      <c r="AQ128">
        <f>VLOOKUP(Table29[[#This Row],[Shortname]], Comp[], 22, FALSE)</f>
        <v>0</v>
      </c>
      <c r="AR128">
        <f>VLOOKUP(Table29[[#This Row],[Shortname]], Comp[], 23, FALSE)</f>
        <v>0</v>
      </c>
      <c r="AS128">
        <f>VLOOKUP(Table29[[#This Row],[Shortname]], Comp[], 24, FALSE)</f>
        <v>0</v>
      </c>
      <c r="AT128">
        <f>VLOOKUP(Table29[[#This Row],[Shortname]], Comp[], 25, FALSE)</f>
        <v>0</v>
      </c>
      <c r="AU128">
        <f>VLOOKUP(Table29[[#This Row],[Shortname]], Comp[], 26, FALSE)</f>
        <v>0</v>
      </c>
      <c r="AV128">
        <f>VLOOKUP(Table29[[#This Row],[Shortname]], Comp[], 27, FALSE)</f>
        <v>0</v>
      </c>
      <c r="AW128">
        <f>VLOOKUP(Table29[[#This Row],[Shortname]], Comp[], 28, FALSE)</f>
        <v>0</v>
      </c>
      <c r="AX128">
        <f>VLOOKUP(Table29[[#This Row],[Shortname]], Comp[], 29, FALSE)</f>
        <v>0</v>
      </c>
      <c r="AY128">
        <f>VLOOKUP(Table29[[#This Row],[Shortname]], Comp[], 30, FALSE)</f>
        <v>0</v>
      </c>
      <c r="AZ128">
        <f>VLOOKUP(Table29[[#This Row],[Shortname]], Comp[], 31, FALSE)</f>
        <v>0</v>
      </c>
    </row>
    <row r="129" spans="1:52" x14ac:dyDescent="0.3">
      <c r="A129" t="s">
        <v>561</v>
      </c>
      <c r="B129">
        <v>116</v>
      </c>
      <c r="C129">
        <v>72</v>
      </c>
      <c r="D129" t="s">
        <v>11</v>
      </c>
      <c r="E129" t="s">
        <v>95</v>
      </c>
      <c r="F129" t="s">
        <v>561</v>
      </c>
      <c r="G129" t="s">
        <v>499</v>
      </c>
      <c r="H129">
        <v>169</v>
      </c>
      <c r="I129">
        <v>6.6169999999999998E-9</v>
      </c>
      <c r="J129">
        <f>0.01/Table29[[#This Row],[Strain Rate (min) /s]]</f>
        <v>1511258.878645912</v>
      </c>
      <c r="K129">
        <f>LOG(Table29[[#This Row],[Time to 1% strain (s)]])</f>
        <v>6.1793388653564048</v>
      </c>
      <c r="L129">
        <v>850</v>
      </c>
      <c r="M129">
        <v>9.9</v>
      </c>
      <c r="P129" t="s">
        <v>7074</v>
      </c>
      <c r="Q129">
        <v>1300</v>
      </c>
      <c r="R129">
        <v>24</v>
      </c>
      <c r="S129">
        <v>1050</v>
      </c>
      <c r="T129">
        <v>6</v>
      </c>
      <c r="W129">
        <v>1</v>
      </c>
      <c r="X129">
        <v>10</v>
      </c>
      <c r="Y129">
        <v>34</v>
      </c>
      <c r="AA129">
        <f>VLOOKUP(Table29[[#This Row],[Shortname]], Comp[], 6, FALSE)</f>
        <v>72</v>
      </c>
      <c r="AB129" s="14">
        <f>VLOOKUP(Table29[[#This Row],[Shortname]], Comp[], 7, FALSE)</f>
        <v>83.06</v>
      </c>
      <c r="AC129">
        <f>VLOOKUP(Table29[[#This Row],[Shortname]], Comp[], 8, FALSE)</f>
        <v>0</v>
      </c>
      <c r="AD129">
        <f>VLOOKUP(Table29[[#This Row],[Shortname]], Comp[], 9, FALSE)</f>
        <v>9.49</v>
      </c>
      <c r="AE129">
        <f>VLOOKUP(Table29[[#This Row],[Shortname]], Comp[], 10, FALSE)</f>
        <v>0</v>
      </c>
      <c r="AF129">
        <f>VLOOKUP(Table29[[#This Row],[Shortname]], Comp[], 11, FALSE)</f>
        <v>7.45</v>
      </c>
      <c r="AG129">
        <f>VLOOKUP(Table29[[#This Row],[Shortname]], Comp[],12, FALSE)</f>
        <v>0</v>
      </c>
      <c r="AH129">
        <f>VLOOKUP(Table29[[#This Row],[Shortname]], Comp[], 13, FALSE)</f>
        <v>0</v>
      </c>
      <c r="AI129">
        <f>VLOOKUP(Table29[[#This Row],[Shortname]], Comp[], 14, FALSE)</f>
        <v>0</v>
      </c>
      <c r="AJ129">
        <f>VLOOKUP(Table29[[#This Row],[Shortname]], Comp[], 15, FALSE)</f>
        <v>0</v>
      </c>
      <c r="AK129">
        <f>VLOOKUP(Table29[[#This Row],[Shortname]], Comp[], 16, FALSE)</f>
        <v>0</v>
      </c>
      <c r="AL129">
        <f>VLOOKUP(Table29[[#This Row],[Shortname]], Comp[], 17, FALSE)</f>
        <v>0</v>
      </c>
      <c r="AM129">
        <f>VLOOKUP(Table29[[#This Row],[Shortname]], Comp[], 18, FALSE)</f>
        <v>0</v>
      </c>
      <c r="AN129">
        <f>VLOOKUP(Table29[[#This Row],[Shortname]], Comp[], 19, FALSE)</f>
        <v>0</v>
      </c>
      <c r="AO129">
        <f>VLOOKUP(Table29[[#This Row],[Shortname]], Comp[], 20, FALSE)</f>
        <v>0</v>
      </c>
      <c r="AP129">
        <f>VLOOKUP(Table29[[#This Row],[Shortname]], Comp[], 21, FALSE)</f>
        <v>0</v>
      </c>
      <c r="AQ129">
        <f>VLOOKUP(Table29[[#This Row],[Shortname]], Comp[], 22, FALSE)</f>
        <v>0</v>
      </c>
      <c r="AR129">
        <f>VLOOKUP(Table29[[#This Row],[Shortname]], Comp[], 23, FALSE)</f>
        <v>0</v>
      </c>
      <c r="AS129">
        <f>VLOOKUP(Table29[[#This Row],[Shortname]], Comp[], 24, FALSE)</f>
        <v>0</v>
      </c>
      <c r="AT129">
        <f>VLOOKUP(Table29[[#This Row],[Shortname]], Comp[], 25, FALSE)</f>
        <v>0</v>
      </c>
      <c r="AU129">
        <f>VLOOKUP(Table29[[#This Row],[Shortname]], Comp[], 26, FALSE)</f>
        <v>0</v>
      </c>
      <c r="AV129">
        <f>VLOOKUP(Table29[[#This Row],[Shortname]], Comp[], 27, FALSE)</f>
        <v>0</v>
      </c>
      <c r="AW129">
        <f>VLOOKUP(Table29[[#This Row],[Shortname]], Comp[], 28, FALSE)</f>
        <v>0</v>
      </c>
      <c r="AX129">
        <f>VLOOKUP(Table29[[#This Row],[Shortname]], Comp[], 29, FALSE)</f>
        <v>0</v>
      </c>
      <c r="AY129">
        <f>VLOOKUP(Table29[[#This Row],[Shortname]], Comp[], 30, FALSE)</f>
        <v>0</v>
      </c>
      <c r="AZ129">
        <f>VLOOKUP(Table29[[#This Row],[Shortname]], Comp[], 31, FALSE)</f>
        <v>0</v>
      </c>
    </row>
    <row r="130" spans="1:52" x14ac:dyDescent="0.3">
      <c r="A130" t="s">
        <v>561</v>
      </c>
      <c r="B130">
        <v>117</v>
      </c>
      <c r="C130">
        <v>72</v>
      </c>
      <c r="D130" t="s">
        <v>11</v>
      </c>
      <c r="E130" t="s">
        <v>95</v>
      </c>
      <c r="F130" t="s">
        <v>561</v>
      </c>
      <c r="G130" t="s">
        <v>499</v>
      </c>
      <c r="H130">
        <v>180</v>
      </c>
      <c r="I130">
        <v>1.2995E-8</v>
      </c>
      <c r="J130">
        <f>0.01/Table29[[#This Row],[Strain Rate (min) /s]]</f>
        <v>769526.74105425167</v>
      </c>
      <c r="K130">
        <f>LOG(Table29[[#This Row],[Time to 1% strain (s)]])</f>
        <v>5.8862237161629682</v>
      </c>
      <c r="L130">
        <v>850</v>
      </c>
      <c r="M130">
        <v>9.9</v>
      </c>
      <c r="P130" t="s">
        <v>7074</v>
      </c>
      <c r="Q130">
        <v>1300</v>
      </c>
      <c r="R130">
        <v>24</v>
      </c>
      <c r="S130">
        <v>1050</v>
      </c>
      <c r="T130">
        <v>6</v>
      </c>
      <c r="W130">
        <v>1</v>
      </c>
      <c r="X130">
        <v>10</v>
      </c>
      <c r="Y130">
        <v>34</v>
      </c>
      <c r="AA130">
        <f>VLOOKUP(Table29[[#This Row],[Shortname]], Comp[], 6, FALSE)</f>
        <v>72</v>
      </c>
      <c r="AB130" s="14">
        <f>VLOOKUP(Table29[[#This Row],[Shortname]], Comp[], 7, FALSE)</f>
        <v>83.06</v>
      </c>
      <c r="AC130">
        <f>VLOOKUP(Table29[[#This Row],[Shortname]], Comp[], 8, FALSE)</f>
        <v>0</v>
      </c>
      <c r="AD130">
        <f>VLOOKUP(Table29[[#This Row],[Shortname]], Comp[], 9, FALSE)</f>
        <v>9.49</v>
      </c>
      <c r="AE130">
        <f>VLOOKUP(Table29[[#This Row],[Shortname]], Comp[], 10, FALSE)</f>
        <v>0</v>
      </c>
      <c r="AF130">
        <f>VLOOKUP(Table29[[#This Row],[Shortname]], Comp[], 11, FALSE)</f>
        <v>7.45</v>
      </c>
      <c r="AG130">
        <f>VLOOKUP(Table29[[#This Row],[Shortname]], Comp[],12, FALSE)</f>
        <v>0</v>
      </c>
      <c r="AH130">
        <f>VLOOKUP(Table29[[#This Row],[Shortname]], Comp[], 13, FALSE)</f>
        <v>0</v>
      </c>
      <c r="AI130">
        <f>VLOOKUP(Table29[[#This Row],[Shortname]], Comp[], 14, FALSE)</f>
        <v>0</v>
      </c>
      <c r="AJ130">
        <f>VLOOKUP(Table29[[#This Row],[Shortname]], Comp[], 15, FALSE)</f>
        <v>0</v>
      </c>
      <c r="AK130">
        <f>VLOOKUP(Table29[[#This Row],[Shortname]], Comp[], 16, FALSE)</f>
        <v>0</v>
      </c>
      <c r="AL130">
        <f>VLOOKUP(Table29[[#This Row],[Shortname]], Comp[], 17, FALSE)</f>
        <v>0</v>
      </c>
      <c r="AM130">
        <f>VLOOKUP(Table29[[#This Row],[Shortname]], Comp[], 18, FALSE)</f>
        <v>0</v>
      </c>
      <c r="AN130">
        <f>VLOOKUP(Table29[[#This Row],[Shortname]], Comp[], 19, FALSE)</f>
        <v>0</v>
      </c>
      <c r="AO130">
        <f>VLOOKUP(Table29[[#This Row],[Shortname]], Comp[], 20, FALSE)</f>
        <v>0</v>
      </c>
      <c r="AP130">
        <f>VLOOKUP(Table29[[#This Row],[Shortname]], Comp[], 21, FALSE)</f>
        <v>0</v>
      </c>
      <c r="AQ130">
        <f>VLOOKUP(Table29[[#This Row],[Shortname]], Comp[], 22, FALSE)</f>
        <v>0</v>
      </c>
      <c r="AR130">
        <f>VLOOKUP(Table29[[#This Row],[Shortname]], Comp[], 23, FALSE)</f>
        <v>0</v>
      </c>
      <c r="AS130">
        <f>VLOOKUP(Table29[[#This Row],[Shortname]], Comp[], 24, FALSE)</f>
        <v>0</v>
      </c>
      <c r="AT130">
        <f>VLOOKUP(Table29[[#This Row],[Shortname]], Comp[], 25, FALSE)</f>
        <v>0</v>
      </c>
      <c r="AU130">
        <f>VLOOKUP(Table29[[#This Row],[Shortname]], Comp[], 26, FALSE)</f>
        <v>0</v>
      </c>
      <c r="AV130">
        <f>VLOOKUP(Table29[[#This Row],[Shortname]], Comp[], 27, FALSE)</f>
        <v>0</v>
      </c>
      <c r="AW130">
        <f>VLOOKUP(Table29[[#This Row],[Shortname]], Comp[], 28, FALSE)</f>
        <v>0</v>
      </c>
      <c r="AX130">
        <f>VLOOKUP(Table29[[#This Row],[Shortname]], Comp[], 29, FALSE)</f>
        <v>0</v>
      </c>
      <c r="AY130">
        <f>VLOOKUP(Table29[[#This Row],[Shortname]], Comp[], 30, FALSE)</f>
        <v>0</v>
      </c>
      <c r="AZ130">
        <f>VLOOKUP(Table29[[#This Row],[Shortname]], Comp[], 31, FALSE)</f>
        <v>0</v>
      </c>
    </row>
    <row r="131" spans="1:52" x14ac:dyDescent="0.3">
      <c r="A131" t="s">
        <v>561</v>
      </c>
      <c r="B131">
        <v>118</v>
      </c>
      <c r="C131">
        <v>72</v>
      </c>
      <c r="D131" t="s">
        <v>11</v>
      </c>
      <c r="E131" t="s">
        <v>95</v>
      </c>
      <c r="F131" t="s">
        <v>561</v>
      </c>
      <c r="G131" t="s">
        <v>499</v>
      </c>
      <c r="H131">
        <v>201</v>
      </c>
      <c r="I131">
        <v>4.1164999999999998E-8</v>
      </c>
      <c r="J131">
        <f>0.01/Table29[[#This Row],[Strain Rate (min) /s]]</f>
        <v>242924.81476982875</v>
      </c>
      <c r="K131">
        <f>LOG(Table29[[#This Row],[Time to 1% strain (s)]])</f>
        <v>5.385471880252461</v>
      </c>
      <c r="L131">
        <v>850</v>
      </c>
      <c r="M131">
        <v>9.9</v>
      </c>
      <c r="P131" t="s">
        <v>7074</v>
      </c>
      <c r="Q131">
        <v>1300</v>
      </c>
      <c r="R131">
        <v>24</v>
      </c>
      <c r="S131">
        <v>1050</v>
      </c>
      <c r="T131">
        <v>6</v>
      </c>
      <c r="W131">
        <v>1</v>
      </c>
      <c r="X131">
        <v>10</v>
      </c>
      <c r="Y131">
        <v>34</v>
      </c>
      <c r="AA131">
        <f>VLOOKUP(Table29[[#This Row],[Shortname]], Comp[], 6, FALSE)</f>
        <v>72</v>
      </c>
      <c r="AB131" s="14">
        <f>VLOOKUP(Table29[[#This Row],[Shortname]], Comp[], 7, FALSE)</f>
        <v>83.06</v>
      </c>
      <c r="AC131">
        <f>VLOOKUP(Table29[[#This Row],[Shortname]], Comp[], 8, FALSE)</f>
        <v>0</v>
      </c>
      <c r="AD131">
        <f>VLOOKUP(Table29[[#This Row],[Shortname]], Comp[], 9, FALSE)</f>
        <v>9.49</v>
      </c>
      <c r="AE131">
        <f>VLOOKUP(Table29[[#This Row],[Shortname]], Comp[], 10, FALSE)</f>
        <v>0</v>
      </c>
      <c r="AF131">
        <f>VLOOKUP(Table29[[#This Row],[Shortname]], Comp[], 11, FALSE)</f>
        <v>7.45</v>
      </c>
      <c r="AG131">
        <f>VLOOKUP(Table29[[#This Row],[Shortname]], Comp[],12, FALSE)</f>
        <v>0</v>
      </c>
      <c r="AH131">
        <f>VLOOKUP(Table29[[#This Row],[Shortname]], Comp[], 13, FALSE)</f>
        <v>0</v>
      </c>
      <c r="AI131">
        <f>VLOOKUP(Table29[[#This Row],[Shortname]], Comp[], 14, FALSE)</f>
        <v>0</v>
      </c>
      <c r="AJ131">
        <f>VLOOKUP(Table29[[#This Row],[Shortname]], Comp[], 15, FALSE)</f>
        <v>0</v>
      </c>
      <c r="AK131">
        <f>VLOOKUP(Table29[[#This Row],[Shortname]], Comp[], 16, FALSE)</f>
        <v>0</v>
      </c>
      <c r="AL131">
        <f>VLOOKUP(Table29[[#This Row],[Shortname]], Comp[], 17, FALSE)</f>
        <v>0</v>
      </c>
      <c r="AM131">
        <f>VLOOKUP(Table29[[#This Row],[Shortname]], Comp[], 18, FALSE)</f>
        <v>0</v>
      </c>
      <c r="AN131">
        <f>VLOOKUP(Table29[[#This Row],[Shortname]], Comp[], 19, FALSE)</f>
        <v>0</v>
      </c>
      <c r="AO131">
        <f>VLOOKUP(Table29[[#This Row],[Shortname]], Comp[], 20, FALSE)</f>
        <v>0</v>
      </c>
      <c r="AP131">
        <f>VLOOKUP(Table29[[#This Row],[Shortname]], Comp[], 21, FALSE)</f>
        <v>0</v>
      </c>
      <c r="AQ131">
        <f>VLOOKUP(Table29[[#This Row],[Shortname]], Comp[], 22, FALSE)</f>
        <v>0</v>
      </c>
      <c r="AR131">
        <f>VLOOKUP(Table29[[#This Row],[Shortname]], Comp[], 23, FALSE)</f>
        <v>0</v>
      </c>
      <c r="AS131">
        <f>VLOOKUP(Table29[[#This Row],[Shortname]], Comp[], 24, FALSE)</f>
        <v>0</v>
      </c>
      <c r="AT131">
        <f>VLOOKUP(Table29[[#This Row],[Shortname]], Comp[], 25, FALSE)</f>
        <v>0</v>
      </c>
      <c r="AU131">
        <f>VLOOKUP(Table29[[#This Row],[Shortname]], Comp[], 26, FALSE)</f>
        <v>0</v>
      </c>
      <c r="AV131">
        <f>VLOOKUP(Table29[[#This Row],[Shortname]], Comp[], 27, FALSE)</f>
        <v>0</v>
      </c>
      <c r="AW131">
        <f>VLOOKUP(Table29[[#This Row],[Shortname]], Comp[], 28, FALSE)</f>
        <v>0</v>
      </c>
      <c r="AX131">
        <f>VLOOKUP(Table29[[#This Row],[Shortname]], Comp[], 29, FALSE)</f>
        <v>0</v>
      </c>
      <c r="AY131">
        <f>VLOOKUP(Table29[[#This Row],[Shortname]], Comp[], 30, FALSE)</f>
        <v>0</v>
      </c>
      <c r="AZ131">
        <f>VLOOKUP(Table29[[#This Row],[Shortname]], Comp[], 31, FALSE)</f>
        <v>0</v>
      </c>
    </row>
    <row r="132" spans="1:52" x14ac:dyDescent="0.3">
      <c r="A132" t="s">
        <v>561</v>
      </c>
      <c r="B132">
        <v>119</v>
      </c>
      <c r="C132">
        <v>72</v>
      </c>
      <c r="D132" t="s">
        <v>11</v>
      </c>
      <c r="E132" t="s">
        <v>95</v>
      </c>
      <c r="F132" t="s">
        <v>561</v>
      </c>
      <c r="G132" t="s">
        <v>499</v>
      </c>
      <c r="H132">
        <v>235</v>
      </c>
      <c r="I132">
        <v>3.5861000000000001E-7</v>
      </c>
      <c r="J132">
        <f>0.01/Table29[[#This Row],[Strain Rate (min) /s]]</f>
        <v>27885.446585427067</v>
      </c>
      <c r="K132">
        <f>LOG(Table29[[#This Row],[Time to 1% strain (s)]])</f>
        <v>4.4453776041094022</v>
      </c>
      <c r="L132">
        <v>850</v>
      </c>
      <c r="M132">
        <v>9.9</v>
      </c>
      <c r="P132" t="s">
        <v>7074</v>
      </c>
      <c r="Q132">
        <v>1300</v>
      </c>
      <c r="R132">
        <v>24</v>
      </c>
      <c r="S132">
        <v>1050</v>
      </c>
      <c r="T132">
        <v>6</v>
      </c>
      <c r="W132">
        <v>1</v>
      </c>
      <c r="X132">
        <v>10</v>
      </c>
      <c r="Y132">
        <v>34</v>
      </c>
      <c r="AA132">
        <f>VLOOKUP(Table29[[#This Row],[Shortname]], Comp[], 6, FALSE)</f>
        <v>72</v>
      </c>
      <c r="AB132" s="14">
        <f>VLOOKUP(Table29[[#This Row],[Shortname]], Comp[], 7, FALSE)</f>
        <v>83.06</v>
      </c>
      <c r="AC132">
        <f>VLOOKUP(Table29[[#This Row],[Shortname]], Comp[], 8, FALSE)</f>
        <v>0</v>
      </c>
      <c r="AD132">
        <f>VLOOKUP(Table29[[#This Row],[Shortname]], Comp[], 9, FALSE)</f>
        <v>9.49</v>
      </c>
      <c r="AE132">
        <f>VLOOKUP(Table29[[#This Row],[Shortname]], Comp[], 10, FALSE)</f>
        <v>0</v>
      </c>
      <c r="AF132">
        <f>VLOOKUP(Table29[[#This Row],[Shortname]], Comp[], 11, FALSE)</f>
        <v>7.45</v>
      </c>
      <c r="AG132">
        <f>VLOOKUP(Table29[[#This Row],[Shortname]], Comp[],12, FALSE)</f>
        <v>0</v>
      </c>
      <c r="AH132">
        <f>VLOOKUP(Table29[[#This Row],[Shortname]], Comp[], 13, FALSE)</f>
        <v>0</v>
      </c>
      <c r="AI132">
        <f>VLOOKUP(Table29[[#This Row],[Shortname]], Comp[], 14, FALSE)</f>
        <v>0</v>
      </c>
      <c r="AJ132">
        <f>VLOOKUP(Table29[[#This Row],[Shortname]], Comp[], 15, FALSE)</f>
        <v>0</v>
      </c>
      <c r="AK132">
        <f>VLOOKUP(Table29[[#This Row],[Shortname]], Comp[], 16, FALSE)</f>
        <v>0</v>
      </c>
      <c r="AL132">
        <f>VLOOKUP(Table29[[#This Row],[Shortname]], Comp[], 17, FALSE)</f>
        <v>0</v>
      </c>
      <c r="AM132">
        <f>VLOOKUP(Table29[[#This Row],[Shortname]], Comp[], 18, FALSE)</f>
        <v>0</v>
      </c>
      <c r="AN132">
        <f>VLOOKUP(Table29[[#This Row],[Shortname]], Comp[], 19, FALSE)</f>
        <v>0</v>
      </c>
      <c r="AO132">
        <f>VLOOKUP(Table29[[#This Row],[Shortname]], Comp[], 20, FALSE)</f>
        <v>0</v>
      </c>
      <c r="AP132">
        <f>VLOOKUP(Table29[[#This Row],[Shortname]], Comp[], 21, FALSE)</f>
        <v>0</v>
      </c>
      <c r="AQ132">
        <f>VLOOKUP(Table29[[#This Row],[Shortname]], Comp[], 22, FALSE)</f>
        <v>0</v>
      </c>
      <c r="AR132">
        <f>VLOOKUP(Table29[[#This Row],[Shortname]], Comp[], 23, FALSE)</f>
        <v>0</v>
      </c>
      <c r="AS132">
        <f>VLOOKUP(Table29[[#This Row],[Shortname]], Comp[], 24, FALSE)</f>
        <v>0</v>
      </c>
      <c r="AT132">
        <f>VLOOKUP(Table29[[#This Row],[Shortname]], Comp[], 25, FALSE)</f>
        <v>0</v>
      </c>
      <c r="AU132">
        <f>VLOOKUP(Table29[[#This Row],[Shortname]], Comp[], 26, FALSE)</f>
        <v>0</v>
      </c>
      <c r="AV132">
        <f>VLOOKUP(Table29[[#This Row],[Shortname]], Comp[], 27, FALSE)</f>
        <v>0</v>
      </c>
      <c r="AW132">
        <f>VLOOKUP(Table29[[#This Row],[Shortname]], Comp[], 28, FALSE)</f>
        <v>0</v>
      </c>
      <c r="AX132">
        <f>VLOOKUP(Table29[[#This Row],[Shortname]], Comp[], 29, FALSE)</f>
        <v>0</v>
      </c>
      <c r="AY132">
        <f>VLOOKUP(Table29[[#This Row],[Shortname]], Comp[], 30, FALSE)</f>
        <v>0</v>
      </c>
      <c r="AZ132">
        <f>VLOOKUP(Table29[[#This Row],[Shortname]], Comp[], 31, FALSE)</f>
        <v>0</v>
      </c>
    </row>
    <row r="133" spans="1:52" x14ac:dyDescent="0.3">
      <c r="A133" t="s">
        <v>567</v>
      </c>
      <c r="B133">
        <v>120</v>
      </c>
      <c r="C133">
        <v>73</v>
      </c>
      <c r="D133" t="s">
        <v>568</v>
      </c>
      <c r="E133" t="s">
        <v>95</v>
      </c>
      <c r="F133" t="s">
        <v>569</v>
      </c>
      <c r="G133" t="s">
        <v>499</v>
      </c>
      <c r="H133">
        <v>220</v>
      </c>
      <c r="I133">
        <v>2.7824999999999999E-9</v>
      </c>
      <c r="J133">
        <f>0.01/Table29[[#This Row],[Strain Rate (min) /s]]</f>
        <v>3593890.386343217</v>
      </c>
      <c r="K133">
        <f>LOG(Table29[[#This Row],[Time to 1% strain (s)]])</f>
        <v>6.5555648269932538</v>
      </c>
      <c r="L133">
        <v>850</v>
      </c>
      <c r="M133">
        <v>7.8</v>
      </c>
      <c r="P133" t="s">
        <v>7075</v>
      </c>
      <c r="Q133">
        <v>1300</v>
      </c>
      <c r="R133">
        <v>24</v>
      </c>
      <c r="S133">
        <v>1050</v>
      </c>
      <c r="T133">
        <v>6</v>
      </c>
      <c r="W133">
        <v>1</v>
      </c>
      <c r="X133">
        <v>10</v>
      </c>
      <c r="Y133">
        <v>35</v>
      </c>
      <c r="AA133">
        <f>VLOOKUP(Table29[[#This Row],[Shortname]], Comp[], 6, FALSE)</f>
        <v>73</v>
      </c>
      <c r="AB133" s="14">
        <f>VLOOKUP(Table29[[#This Row],[Shortname]], Comp[], 7, FALSE)</f>
        <v>82.901499999999999</v>
      </c>
      <c r="AC133">
        <f>VLOOKUP(Table29[[#This Row],[Shortname]], Comp[], 8, FALSE)</f>
        <v>0</v>
      </c>
      <c r="AD133">
        <f>VLOOKUP(Table29[[#This Row],[Shortname]], Comp[], 9, FALSE)</f>
        <v>9.56</v>
      </c>
      <c r="AE133">
        <f>VLOOKUP(Table29[[#This Row],[Shortname]], Comp[], 10, FALSE)</f>
        <v>0</v>
      </c>
      <c r="AF133">
        <f>VLOOKUP(Table29[[#This Row],[Shortname]], Comp[], 11, FALSE)</f>
        <v>7.5</v>
      </c>
      <c r="AG133">
        <f>VLOOKUP(Table29[[#This Row],[Shortname]], Comp[],12, FALSE)</f>
        <v>0</v>
      </c>
      <c r="AH133">
        <f>VLOOKUP(Table29[[#This Row],[Shortname]], Comp[], 13, FALSE)</f>
        <v>0</v>
      </c>
      <c r="AI133">
        <f>VLOOKUP(Table29[[#This Row],[Shortname]], Comp[], 14, FALSE)</f>
        <v>0</v>
      </c>
      <c r="AJ133">
        <f>VLOOKUP(Table29[[#This Row],[Shortname]], Comp[], 15, FALSE)</f>
        <v>0</v>
      </c>
      <c r="AK133">
        <f>VLOOKUP(Table29[[#This Row],[Shortname]], Comp[], 16, FALSE)</f>
        <v>0</v>
      </c>
      <c r="AL133">
        <f>VLOOKUP(Table29[[#This Row],[Shortname]], Comp[], 17, FALSE)</f>
        <v>0</v>
      </c>
      <c r="AM133">
        <f>VLOOKUP(Table29[[#This Row],[Shortname]], Comp[], 18, FALSE)</f>
        <v>0</v>
      </c>
      <c r="AN133">
        <f>VLOOKUP(Table29[[#This Row],[Shortname]], Comp[], 19, FALSE)</f>
        <v>3.85E-2</v>
      </c>
      <c r="AO133">
        <f>VLOOKUP(Table29[[#This Row],[Shortname]], Comp[], 20, FALSE)</f>
        <v>0</v>
      </c>
      <c r="AP133">
        <f>VLOOKUP(Table29[[#This Row],[Shortname]], Comp[], 21, FALSE)</f>
        <v>0</v>
      </c>
      <c r="AQ133">
        <f>VLOOKUP(Table29[[#This Row],[Shortname]], Comp[], 22, FALSE)</f>
        <v>0</v>
      </c>
      <c r="AR133">
        <f>VLOOKUP(Table29[[#This Row],[Shortname]], Comp[], 23, FALSE)</f>
        <v>0</v>
      </c>
      <c r="AS133">
        <f>VLOOKUP(Table29[[#This Row],[Shortname]], Comp[], 24, FALSE)</f>
        <v>0</v>
      </c>
      <c r="AT133">
        <f>VLOOKUP(Table29[[#This Row],[Shortname]], Comp[], 25, FALSE)</f>
        <v>0</v>
      </c>
      <c r="AU133">
        <f>VLOOKUP(Table29[[#This Row],[Shortname]], Comp[], 26, FALSE)</f>
        <v>0</v>
      </c>
      <c r="AV133">
        <f>VLOOKUP(Table29[[#This Row],[Shortname]], Comp[], 27, FALSE)</f>
        <v>0</v>
      </c>
      <c r="AW133">
        <f>VLOOKUP(Table29[[#This Row],[Shortname]], Comp[], 28, FALSE)</f>
        <v>0</v>
      </c>
      <c r="AX133">
        <f>VLOOKUP(Table29[[#This Row],[Shortname]], Comp[], 29, FALSE)</f>
        <v>0</v>
      </c>
      <c r="AY133">
        <f>VLOOKUP(Table29[[#This Row],[Shortname]], Comp[], 30, FALSE)</f>
        <v>0</v>
      </c>
      <c r="AZ133">
        <f>VLOOKUP(Table29[[#This Row],[Shortname]], Comp[], 31, FALSE)</f>
        <v>0</v>
      </c>
    </row>
    <row r="134" spans="1:52" x14ac:dyDescent="0.3">
      <c r="A134" t="s">
        <v>567</v>
      </c>
      <c r="B134">
        <v>121</v>
      </c>
      <c r="C134">
        <v>73</v>
      </c>
      <c r="D134" t="s">
        <v>11</v>
      </c>
      <c r="E134" t="s">
        <v>95</v>
      </c>
      <c r="F134" t="s">
        <v>569</v>
      </c>
      <c r="G134" t="s">
        <v>499</v>
      </c>
      <c r="H134">
        <v>221</v>
      </c>
      <c r="I134">
        <v>7.9754999999999992E-9</v>
      </c>
      <c r="J134">
        <f>0.01/Table29[[#This Row],[Strain Rate (min) /s]]</f>
        <v>1253839.8846467307</v>
      </c>
      <c r="K134">
        <f>LOG(Table29[[#This Row],[Time to 1% strain (s)]])</f>
        <v>6.0982420806301398</v>
      </c>
      <c r="L134">
        <v>850</v>
      </c>
      <c r="M134">
        <v>7.8</v>
      </c>
      <c r="P134" t="s">
        <v>7075</v>
      </c>
      <c r="Q134">
        <v>1300</v>
      </c>
      <c r="R134">
        <v>24</v>
      </c>
      <c r="S134">
        <v>1050</v>
      </c>
      <c r="T134">
        <v>6</v>
      </c>
      <c r="W134">
        <v>1</v>
      </c>
      <c r="X134">
        <v>10</v>
      </c>
      <c r="Y134">
        <v>35</v>
      </c>
      <c r="AA134">
        <f>VLOOKUP(Table29[[#This Row],[Shortname]], Comp[], 6, FALSE)</f>
        <v>73</v>
      </c>
      <c r="AB134" s="14">
        <f>VLOOKUP(Table29[[#This Row],[Shortname]], Comp[], 7, FALSE)</f>
        <v>82.901499999999999</v>
      </c>
      <c r="AC134">
        <f>VLOOKUP(Table29[[#This Row],[Shortname]], Comp[], 8, FALSE)</f>
        <v>0</v>
      </c>
      <c r="AD134">
        <f>VLOOKUP(Table29[[#This Row],[Shortname]], Comp[], 9, FALSE)</f>
        <v>9.56</v>
      </c>
      <c r="AE134">
        <f>VLOOKUP(Table29[[#This Row],[Shortname]], Comp[], 10, FALSE)</f>
        <v>0</v>
      </c>
      <c r="AF134">
        <f>VLOOKUP(Table29[[#This Row],[Shortname]], Comp[], 11, FALSE)</f>
        <v>7.5</v>
      </c>
      <c r="AG134">
        <f>VLOOKUP(Table29[[#This Row],[Shortname]], Comp[],12, FALSE)</f>
        <v>0</v>
      </c>
      <c r="AH134">
        <f>VLOOKUP(Table29[[#This Row],[Shortname]], Comp[], 13, FALSE)</f>
        <v>0</v>
      </c>
      <c r="AI134">
        <f>VLOOKUP(Table29[[#This Row],[Shortname]], Comp[], 14, FALSE)</f>
        <v>0</v>
      </c>
      <c r="AJ134">
        <f>VLOOKUP(Table29[[#This Row],[Shortname]], Comp[], 15, FALSE)</f>
        <v>0</v>
      </c>
      <c r="AK134">
        <f>VLOOKUP(Table29[[#This Row],[Shortname]], Comp[], 16, FALSE)</f>
        <v>0</v>
      </c>
      <c r="AL134">
        <f>VLOOKUP(Table29[[#This Row],[Shortname]], Comp[], 17, FALSE)</f>
        <v>0</v>
      </c>
      <c r="AM134">
        <f>VLOOKUP(Table29[[#This Row],[Shortname]], Comp[], 18, FALSE)</f>
        <v>0</v>
      </c>
      <c r="AN134">
        <f>VLOOKUP(Table29[[#This Row],[Shortname]], Comp[], 19, FALSE)</f>
        <v>3.85E-2</v>
      </c>
      <c r="AO134">
        <f>VLOOKUP(Table29[[#This Row],[Shortname]], Comp[], 20, FALSE)</f>
        <v>0</v>
      </c>
      <c r="AP134">
        <f>VLOOKUP(Table29[[#This Row],[Shortname]], Comp[], 21, FALSE)</f>
        <v>0</v>
      </c>
      <c r="AQ134">
        <f>VLOOKUP(Table29[[#This Row],[Shortname]], Comp[], 22, FALSE)</f>
        <v>0</v>
      </c>
      <c r="AR134">
        <f>VLOOKUP(Table29[[#This Row],[Shortname]], Comp[], 23, FALSE)</f>
        <v>0</v>
      </c>
      <c r="AS134">
        <f>VLOOKUP(Table29[[#This Row],[Shortname]], Comp[], 24, FALSE)</f>
        <v>0</v>
      </c>
      <c r="AT134">
        <f>VLOOKUP(Table29[[#This Row],[Shortname]], Comp[], 25, FALSE)</f>
        <v>0</v>
      </c>
      <c r="AU134">
        <f>VLOOKUP(Table29[[#This Row],[Shortname]], Comp[], 26, FALSE)</f>
        <v>0</v>
      </c>
      <c r="AV134">
        <f>VLOOKUP(Table29[[#This Row],[Shortname]], Comp[], 27, FALSE)</f>
        <v>0</v>
      </c>
      <c r="AW134">
        <f>VLOOKUP(Table29[[#This Row],[Shortname]], Comp[], 28, FALSE)</f>
        <v>0</v>
      </c>
      <c r="AX134">
        <f>VLOOKUP(Table29[[#This Row],[Shortname]], Comp[], 29, FALSE)</f>
        <v>0</v>
      </c>
      <c r="AY134">
        <f>VLOOKUP(Table29[[#This Row],[Shortname]], Comp[], 30, FALSE)</f>
        <v>0</v>
      </c>
      <c r="AZ134">
        <f>VLOOKUP(Table29[[#This Row],[Shortname]], Comp[], 31, FALSE)</f>
        <v>0</v>
      </c>
    </row>
    <row r="135" spans="1:52" x14ac:dyDescent="0.3">
      <c r="A135" t="s">
        <v>567</v>
      </c>
      <c r="B135">
        <v>122</v>
      </c>
      <c r="C135">
        <v>73</v>
      </c>
      <c r="D135" t="s">
        <v>11</v>
      </c>
      <c r="E135" t="s">
        <v>95</v>
      </c>
      <c r="F135" t="s">
        <v>569</v>
      </c>
      <c r="G135" t="s">
        <v>499</v>
      </c>
      <c r="H135">
        <v>264</v>
      </c>
      <c r="I135">
        <v>1.2016999999999999E-8</v>
      </c>
      <c r="J135">
        <f>0.01/Table29[[#This Row],[Strain Rate (min) /s]]</f>
        <v>832154.44786552386</v>
      </c>
      <c r="K135">
        <f>LOG(Table29[[#This Row],[Time to 1% strain (s)]])</f>
        <v>5.9202039388276404</v>
      </c>
      <c r="L135">
        <v>850</v>
      </c>
      <c r="M135">
        <v>7.8</v>
      </c>
      <c r="P135" t="s">
        <v>7075</v>
      </c>
      <c r="Q135">
        <v>1300</v>
      </c>
      <c r="R135">
        <v>24</v>
      </c>
      <c r="S135">
        <v>1050</v>
      </c>
      <c r="T135">
        <v>6</v>
      </c>
      <c r="W135">
        <v>1</v>
      </c>
      <c r="X135">
        <v>10</v>
      </c>
      <c r="Y135">
        <v>35</v>
      </c>
      <c r="AA135">
        <f>VLOOKUP(Table29[[#This Row],[Shortname]], Comp[], 6, FALSE)</f>
        <v>73</v>
      </c>
      <c r="AB135" s="14">
        <f>VLOOKUP(Table29[[#This Row],[Shortname]], Comp[], 7, FALSE)</f>
        <v>82.901499999999999</v>
      </c>
      <c r="AC135">
        <f>VLOOKUP(Table29[[#This Row],[Shortname]], Comp[], 8, FALSE)</f>
        <v>0</v>
      </c>
      <c r="AD135">
        <f>VLOOKUP(Table29[[#This Row],[Shortname]], Comp[], 9, FALSE)</f>
        <v>9.56</v>
      </c>
      <c r="AE135">
        <f>VLOOKUP(Table29[[#This Row],[Shortname]], Comp[], 10, FALSE)</f>
        <v>0</v>
      </c>
      <c r="AF135">
        <f>VLOOKUP(Table29[[#This Row],[Shortname]], Comp[], 11, FALSE)</f>
        <v>7.5</v>
      </c>
      <c r="AG135">
        <f>VLOOKUP(Table29[[#This Row],[Shortname]], Comp[],12, FALSE)</f>
        <v>0</v>
      </c>
      <c r="AH135">
        <f>VLOOKUP(Table29[[#This Row],[Shortname]], Comp[], 13, FALSE)</f>
        <v>0</v>
      </c>
      <c r="AI135">
        <f>VLOOKUP(Table29[[#This Row],[Shortname]], Comp[], 14, FALSE)</f>
        <v>0</v>
      </c>
      <c r="AJ135">
        <f>VLOOKUP(Table29[[#This Row],[Shortname]], Comp[], 15, FALSE)</f>
        <v>0</v>
      </c>
      <c r="AK135">
        <f>VLOOKUP(Table29[[#This Row],[Shortname]], Comp[], 16, FALSE)</f>
        <v>0</v>
      </c>
      <c r="AL135">
        <f>VLOOKUP(Table29[[#This Row],[Shortname]], Comp[], 17, FALSE)</f>
        <v>0</v>
      </c>
      <c r="AM135">
        <f>VLOOKUP(Table29[[#This Row],[Shortname]], Comp[], 18, FALSE)</f>
        <v>0</v>
      </c>
      <c r="AN135">
        <f>VLOOKUP(Table29[[#This Row],[Shortname]], Comp[], 19, FALSE)</f>
        <v>3.85E-2</v>
      </c>
      <c r="AO135">
        <f>VLOOKUP(Table29[[#This Row],[Shortname]], Comp[], 20, FALSE)</f>
        <v>0</v>
      </c>
      <c r="AP135">
        <f>VLOOKUP(Table29[[#This Row],[Shortname]], Comp[], 21, FALSE)</f>
        <v>0</v>
      </c>
      <c r="AQ135">
        <f>VLOOKUP(Table29[[#This Row],[Shortname]], Comp[], 22, FALSE)</f>
        <v>0</v>
      </c>
      <c r="AR135">
        <f>VLOOKUP(Table29[[#This Row],[Shortname]], Comp[], 23, FALSE)</f>
        <v>0</v>
      </c>
      <c r="AS135">
        <f>VLOOKUP(Table29[[#This Row],[Shortname]], Comp[], 24, FALSE)</f>
        <v>0</v>
      </c>
      <c r="AT135">
        <f>VLOOKUP(Table29[[#This Row],[Shortname]], Comp[], 25, FALSE)</f>
        <v>0</v>
      </c>
      <c r="AU135">
        <f>VLOOKUP(Table29[[#This Row],[Shortname]], Comp[], 26, FALSE)</f>
        <v>0</v>
      </c>
      <c r="AV135">
        <f>VLOOKUP(Table29[[#This Row],[Shortname]], Comp[], 27, FALSE)</f>
        <v>0</v>
      </c>
      <c r="AW135">
        <f>VLOOKUP(Table29[[#This Row],[Shortname]], Comp[], 28, FALSE)</f>
        <v>0</v>
      </c>
      <c r="AX135">
        <f>VLOOKUP(Table29[[#This Row],[Shortname]], Comp[], 29, FALSE)</f>
        <v>0</v>
      </c>
      <c r="AY135">
        <f>VLOOKUP(Table29[[#This Row],[Shortname]], Comp[], 30, FALSE)</f>
        <v>0</v>
      </c>
      <c r="AZ135">
        <f>VLOOKUP(Table29[[#This Row],[Shortname]], Comp[], 31, FALSE)</f>
        <v>0</v>
      </c>
    </row>
    <row r="136" spans="1:52" x14ac:dyDescent="0.3">
      <c r="A136" t="s">
        <v>567</v>
      </c>
      <c r="B136">
        <v>123</v>
      </c>
      <c r="C136">
        <v>73</v>
      </c>
      <c r="D136" t="s">
        <v>11</v>
      </c>
      <c r="E136" t="s">
        <v>95</v>
      </c>
      <c r="F136" t="s">
        <v>569</v>
      </c>
      <c r="G136" t="s">
        <v>499</v>
      </c>
      <c r="H136">
        <v>287</v>
      </c>
      <c r="I136">
        <v>2.9142E-8</v>
      </c>
      <c r="J136">
        <f>0.01/Table29[[#This Row],[Strain Rate (min) /s]]</f>
        <v>343147.34747100406</v>
      </c>
      <c r="K136">
        <f>LOG(Table29[[#This Row],[Time to 1% strain (s)]])</f>
        <v>5.5354806461433199</v>
      </c>
      <c r="L136">
        <v>850</v>
      </c>
      <c r="M136">
        <v>7.8</v>
      </c>
      <c r="P136" t="s">
        <v>7075</v>
      </c>
      <c r="Q136">
        <v>1300</v>
      </c>
      <c r="R136">
        <v>24</v>
      </c>
      <c r="S136">
        <v>1050</v>
      </c>
      <c r="T136">
        <v>6</v>
      </c>
      <c r="W136">
        <v>1</v>
      </c>
      <c r="X136">
        <v>10</v>
      </c>
      <c r="Y136">
        <v>35</v>
      </c>
      <c r="AA136">
        <f>VLOOKUP(Table29[[#This Row],[Shortname]], Comp[], 6, FALSE)</f>
        <v>73</v>
      </c>
      <c r="AB136" s="14">
        <f>VLOOKUP(Table29[[#This Row],[Shortname]], Comp[], 7, FALSE)</f>
        <v>82.901499999999999</v>
      </c>
      <c r="AC136">
        <f>VLOOKUP(Table29[[#This Row],[Shortname]], Comp[], 8, FALSE)</f>
        <v>0</v>
      </c>
      <c r="AD136">
        <f>VLOOKUP(Table29[[#This Row],[Shortname]], Comp[], 9, FALSE)</f>
        <v>9.56</v>
      </c>
      <c r="AE136">
        <f>VLOOKUP(Table29[[#This Row],[Shortname]], Comp[], 10, FALSE)</f>
        <v>0</v>
      </c>
      <c r="AF136">
        <f>VLOOKUP(Table29[[#This Row],[Shortname]], Comp[], 11, FALSE)</f>
        <v>7.5</v>
      </c>
      <c r="AG136">
        <f>VLOOKUP(Table29[[#This Row],[Shortname]], Comp[],12, FALSE)</f>
        <v>0</v>
      </c>
      <c r="AH136">
        <f>VLOOKUP(Table29[[#This Row],[Shortname]], Comp[], 13, FALSE)</f>
        <v>0</v>
      </c>
      <c r="AI136">
        <f>VLOOKUP(Table29[[#This Row],[Shortname]], Comp[], 14, FALSE)</f>
        <v>0</v>
      </c>
      <c r="AJ136">
        <f>VLOOKUP(Table29[[#This Row],[Shortname]], Comp[], 15, FALSE)</f>
        <v>0</v>
      </c>
      <c r="AK136">
        <f>VLOOKUP(Table29[[#This Row],[Shortname]], Comp[], 16, FALSE)</f>
        <v>0</v>
      </c>
      <c r="AL136">
        <f>VLOOKUP(Table29[[#This Row],[Shortname]], Comp[], 17, FALSE)</f>
        <v>0</v>
      </c>
      <c r="AM136">
        <f>VLOOKUP(Table29[[#This Row],[Shortname]], Comp[], 18, FALSE)</f>
        <v>0</v>
      </c>
      <c r="AN136">
        <f>VLOOKUP(Table29[[#This Row],[Shortname]], Comp[], 19, FALSE)</f>
        <v>3.85E-2</v>
      </c>
      <c r="AO136">
        <f>VLOOKUP(Table29[[#This Row],[Shortname]], Comp[], 20, FALSE)</f>
        <v>0</v>
      </c>
      <c r="AP136">
        <f>VLOOKUP(Table29[[#This Row],[Shortname]], Comp[], 21, FALSE)</f>
        <v>0</v>
      </c>
      <c r="AQ136">
        <f>VLOOKUP(Table29[[#This Row],[Shortname]], Comp[], 22, FALSE)</f>
        <v>0</v>
      </c>
      <c r="AR136">
        <f>VLOOKUP(Table29[[#This Row],[Shortname]], Comp[], 23, FALSE)</f>
        <v>0</v>
      </c>
      <c r="AS136">
        <f>VLOOKUP(Table29[[#This Row],[Shortname]], Comp[], 24, FALSE)</f>
        <v>0</v>
      </c>
      <c r="AT136">
        <f>VLOOKUP(Table29[[#This Row],[Shortname]], Comp[], 25, FALSE)</f>
        <v>0</v>
      </c>
      <c r="AU136">
        <f>VLOOKUP(Table29[[#This Row],[Shortname]], Comp[], 26, FALSE)</f>
        <v>0</v>
      </c>
      <c r="AV136">
        <f>VLOOKUP(Table29[[#This Row],[Shortname]], Comp[], 27, FALSE)</f>
        <v>0</v>
      </c>
      <c r="AW136">
        <f>VLOOKUP(Table29[[#This Row],[Shortname]], Comp[], 28, FALSE)</f>
        <v>0</v>
      </c>
      <c r="AX136">
        <f>VLOOKUP(Table29[[#This Row],[Shortname]], Comp[], 29, FALSE)</f>
        <v>0</v>
      </c>
      <c r="AY136">
        <f>VLOOKUP(Table29[[#This Row],[Shortname]], Comp[], 30, FALSE)</f>
        <v>0</v>
      </c>
      <c r="AZ136">
        <f>VLOOKUP(Table29[[#This Row],[Shortname]], Comp[], 31, FALSE)</f>
        <v>0</v>
      </c>
    </row>
    <row r="137" spans="1:52" x14ac:dyDescent="0.3">
      <c r="A137" t="s">
        <v>567</v>
      </c>
      <c r="B137">
        <v>124</v>
      </c>
      <c r="C137">
        <v>73</v>
      </c>
      <c r="D137" t="s">
        <v>11</v>
      </c>
      <c r="E137" t="s">
        <v>95</v>
      </c>
      <c r="F137" t="s">
        <v>569</v>
      </c>
      <c r="G137" t="s">
        <v>499</v>
      </c>
      <c r="H137">
        <v>309</v>
      </c>
      <c r="I137">
        <v>8.1311000000000006E-8</v>
      </c>
      <c r="J137">
        <f>0.01/Table29[[#This Row],[Strain Rate (min) /s]]</f>
        <v>122984.59003086912</v>
      </c>
      <c r="K137">
        <f>LOG(Table29[[#This Row],[Time to 1% strain (s)]])</f>
        <v>5.0898506977497622</v>
      </c>
      <c r="L137">
        <v>850</v>
      </c>
      <c r="M137">
        <v>7.8</v>
      </c>
      <c r="P137" t="s">
        <v>7075</v>
      </c>
      <c r="Q137">
        <v>1300</v>
      </c>
      <c r="R137">
        <v>24</v>
      </c>
      <c r="S137">
        <v>1050</v>
      </c>
      <c r="T137">
        <v>6</v>
      </c>
      <c r="W137">
        <v>1</v>
      </c>
      <c r="X137">
        <v>10</v>
      </c>
      <c r="Y137">
        <v>35</v>
      </c>
      <c r="AA137">
        <f>VLOOKUP(Table29[[#This Row],[Shortname]], Comp[], 6, FALSE)</f>
        <v>73</v>
      </c>
      <c r="AB137" s="14">
        <f>VLOOKUP(Table29[[#This Row],[Shortname]], Comp[], 7, FALSE)</f>
        <v>82.901499999999999</v>
      </c>
      <c r="AC137">
        <f>VLOOKUP(Table29[[#This Row],[Shortname]], Comp[], 8, FALSE)</f>
        <v>0</v>
      </c>
      <c r="AD137">
        <f>VLOOKUP(Table29[[#This Row],[Shortname]], Comp[], 9, FALSE)</f>
        <v>9.56</v>
      </c>
      <c r="AE137">
        <f>VLOOKUP(Table29[[#This Row],[Shortname]], Comp[], 10, FALSE)</f>
        <v>0</v>
      </c>
      <c r="AF137">
        <f>VLOOKUP(Table29[[#This Row],[Shortname]], Comp[], 11, FALSE)</f>
        <v>7.5</v>
      </c>
      <c r="AG137">
        <f>VLOOKUP(Table29[[#This Row],[Shortname]], Comp[],12, FALSE)</f>
        <v>0</v>
      </c>
      <c r="AH137">
        <f>VLOOKUP(Table29[[#This Row],[Shortname]], Comp[], 13, FALSE)</f>
        <v>0</v>
      </c>
      <c r="AI137">
        <f>VLOOKUP(Table29[[#This Row],[Shortname]], Comp[], 14, FALSE)</f>
        <v>0</v>
      </c>
      <c r="AJ137">
        <f>VLOOKUP(Table29[[#This Row],[Shortname]], Comp[], 15, FALSE)</f>
        <v>0</v>
      </c>
      <c r="AK137">
        <f>VLOOKUP(Table29[[#This Row],[Shortname]], Comp[], 16, FALSE)</f>
        <v>0</v>
      </c>
      <c r="AL137">
        <f>VLOOKUP(Table29[[#This Row],[Shortname]], Comp[], 17, FALSE)</f>
        <v>0</v>
      </c>
      <c r="AM137">
        <f>VLOOKUP(Table29[[#This Row],[Shortname]], Comp[], 18, FALSE)</f>
        <v>0</v>
      </c>
      <c r="AN137">
        <f>VLOOKUP(Table29[[#This Row],[Shortname]], Comp[], 19, FALSE)</f>
        <v>3.85E-2</v>
      </c>
      <c r="AO137">
        <f>VLOOKUP(Table29[[#This Row],[Shortname]], Comp[], 20, FALSE)</f>
        <v>0</v>
      </c>
      <c r="AP137">
        <f>VLOOKUP(Table29[[#This Row],[Shortname]], Comp[], 21, FALSE)</f>
        <v>0</v>
      </c>
      <c r="AQ137">
        <f>VLOOKUP(Table29[[#This Row],[Shortname]], Comp[], 22, FALSE)</f>
        <v>0</v>
      </c>
      <c r="AR137">
        <f>VLOOKUP(Table29[[#This Row],[Shortname]], Comp[], 23, FALSE)</f>
        <v>0</v>
      </c>
      <c r="AS137">
        <f>VLOOKUP(Table29[[#This Row],[Shortname]], Comp[], 24, FALSE)</f>
        <v>0</v>
      </c>
      <c r="AT137">
        <f>VLOOKUP(Table29[[#This Row],[Shortname]], Comp[], 25, FALSE)</f>
        <v>0</v>
      </c>
      <c r="AU137">
        <f>VLOOKUP(Table29[[#This Row],[Shortname]], Comp[], 26, FALSE)</f>
        <v>0</v>
      </c>
      <c r="AV137">
        <f>VLOOKUP(Table29[[#This Row],[Shortname]], Comp[], 27, FALSE)</f>
        <v>0</v>
      </c>
      <c r="AW137">
        <f>VLOOKUP(Table29[[#This Row],[Shortname]], Comp[], 28, FALSE)</f>
        <v>0</v>
      </c>
      <c r="AX137">
        <f>VLOOKUP(Table29[[#This Row],[Shortname]], Comp[], 29, FALSE)</f>
        <v>0</v>
      </c>
      <c r="AY137">
        <f>VLOOKUP(Table29[[#This Row],[Shortname]], Comp[], 30, FALSE)</f>
        <v>0</v>
      </c>
      <c r="AZ137">
        <f>VLOOKUP(Table29[[#This Row],[Shortname]], Comp[], 31, FALSE)</f>
        <v>0</v>
      </c>
    </row>
    <row r="138" spans="1:52" x14ac:dyDescent="0.3">
      <c r="A138" t="s">
        <v>567</v>
      </c>
      <c r="B138">
        <v>125</v>
      </c>
      <c r="C138">
        <v>73</v>
      </c>
      <c r="D138" t="s">
        <v>11</v>
      </c>
      <c r="E138" t="s">
        <v>95</v>
      </c>
      <c r="F138" t="s">
        <v>569</v>
      </c>
      <c r="G138" t="s">
        <v>499</v>
      </c>
      <c r="H138">
        <v>310</v>
      </c>
      <c r="I138">
        <v>4.1447E-8</v>
      </c>
      <c r="J138">
        <f>0.01/Table29[[#This Row],[Strain Rate (min) /s]]</f>
        <v>241271.98590971602</v>
      </c>
      <c r="K138">
        <f>LOG(Table29[[#This Row],[Time to 1% strain (s)]])</f>
        <v>5.3825068989037428</v>
      </c>
      <c r="L138">
        <v>850</v>
      </c>
      <c r="M138">
        <v>7.8</v>
      </c>
      <c r="P138" t="s">
        <v>7075</v>
      </c>
      <c r="Q138">
        <v>1300</v>
      </c>
      <c r="R138">
        <v>24</v>
      </c>
      <c r="S138">
        <v>1050</v>
      </c>
      <c r="T138">
        <v>6</v>
      </c>
      <c r="W138">
        <v>1</v>
      </c>
      <c r="X138">
        <v>10</v>
      </c>
      <c r="Y138">
        <v>35</v>
      </c>
      <c r="AA138">
        <f>VLOOKUP(Table29[[#This Row],[Shortname]], Comp[], 6, FALSE)</f>
        <v>73</v>
      </c>
      <c r="AB138" s="14">
        <f>VLOOKUP(Table29[[#This Row],[Shortname]], Comp[], 7, FALSE)</f>
        <v>82.901499999999999</v>
      </c>
      <c r="AC138">
        <f>VLOOKUP(Table29[[#This Row],[Shortname]], Comp[], 8, FALSE)</f>
        <v>0</v>
      </c>
      <c r="AD138">
        <f>VLOOKUP(Table29[[#This Row],[Shortname]], Comp[], 9, FALSE)</f>
        <v>9.56</v>
      </c>
      <c r="AE138">
        <f>VLOOKUP(Table29[[#This Row],[Shortname]], Comp[], 10, FALSE)</f>
        <v>0</v>
      </c>
      <c r="AF138">
        <f>VLOOKUP(Table29[[#This Row],[Shortname]], Comp[], 11, FALSE)</f>
        <v>7.5</v>
      </c>
      <c r="AG138">
        <f>VLOOKUP(Table29[[#This Row],[Shortname]], Comp[],12, FALSE)</f>
        <v>0</v>
      </c>
      <c r="AH138">
        <f>VLOOKUP(Table29[[#This Row],[Shortname]], Comp[], 13, FALSE)</f>
        <v>0</v>
      </c>
      <c r="AI138">
        <f>VLOOKUP(Table29[[#This Row],[Shortname]], Comp[], 14, FALSE)</f>
        <v>0</v>
      </c>
      <c r="AJ138">
        <f>VLOOKUP(Table29[[#This Row],[Shortname]], Comp[], 15, FALSE)</f>
        <v>0</v>
      </c>
      <c r="AK138">
        <f>VLOOKUP(Table29[[#This Row],[Shortname]], Comp[], 16, FALSE)</f>
        <v>0</v>
      </c>
      <c r="AL138">
        <f>VLOOKUP(Table29[[#This Row],[Shortname]], Comp[], 17, FALSE)</f>
        <v>0</v>
      </c>
      <c r="AM138">
        <f>VLOOKUP(Table29[[#This Row],[Shortname]], Comp[], 18, FALSE)</f>
        <v>0</v>
      </c>
      <c r="AN138">
        <f>VLOOKUP(Table29[[#This Row],[Shortname]], Comp[], 19, FALSE)</f>
        <v>3.85E-2</v>
      </c>
      <c r="AO138">
        <f>VLOOKUP(Table29[[#This Row],[Shortname]], Comp[], 20, FALSE)</f>
        <v>0</v>
      </c>
      <c r="AP138">
        <f>VLOOKUP(Table29[[#This Row],[Shortname]], Comp[], 21, FALSE)</f>
        <v>0</v>
      </c>
      <c r="AQ138">
        <f>VLOOKUP(Table29[[#This Row],[Shortname]], Comp[], 22, FALSE)</f>
        <v>0</v>
      </c>
      <c r="AR138">
        <f>VLOOKUP(Table29[[#This Row],[Shortname]], Comp[], 23, FALSE)</f>
        <v>0</v>
      </c>
      <c r="AS138">
        <f>VLOOKUP(Table29[[#This Row],[Shortname]], Comp[], 24, FALSE)</f>
        <v>0</v>
      </c>
      <c r="AT138">
        <f>VLOOKUP(Table29[[#This Row],[Shortname]], Comp[], 25, FALSE)</f>
        <v>0</v>
      </c>
      <c r="AU138">
        <f>VLOOKUP(Table29[[#This Row],[Shortname]], Comp[], 26, FALSE)</f>
        <v>0</v>
      </c>
      <c r="AV138">
        <f>VLOOKUP(Table29[[#This Row],[Shortname]], Comp[], 27, FALSE)</f>
        <v>0</v>
      </c>
      <c r="AW138">
        <f>VLOOKUP(Table29[[#This Row],[Shortname]], Comp[], 28, FALSE)</f>
        <v>0</v>
      </c>
      <c r="AX138">
        <f>VLOOKUP(Table29[[#This Row],[Shortname]], Comp[], 29, FALSE)</f>
        <v>0</v>
      </c>
      <c r="AY138">
        <f>VLOOKUP(Table29[[#This Row],[Shortname]], Comp[], 30, FALSE)</f>
        <v>0</v>
      </c>
      <c r="AZ138">
        <f>VLOOKUP(Table29[[#This Row],[Shortname]], Comp[], 31, FALSE)</f>
        <v>0</v>
      </c>
    </row>
    <row r="139" spans="1:52" x14ac:dyDescent="0.3">
      <c r="A139" t="s">
        <v>567</v>
      </c>
      <c r="B139">
        <v>126</v>
      </c>
      <c r="C139">
        <v>73</v>
      </c>
      <c r="D139" t="s">
        <v>11</v>
      </c>
      <c r="E139" t="s">
        <v>95</v>
      </c>
      <c r="F139" t="s">
        <v>569</v>
      </c>
      <c r="G139" t="s">
        <v>499</v>
      </c>
      <c r="H139">
        <v>333</v>
      </c>
      <c r="I139">
        <v>8.1405999999999995E-8</v>
      </c>
      <c r="J139">
        <f>0.01/Table29[[#This Row],[Strain Rate (min) /s]]</f>
        <v>122841.06822592931</v>
      </c>
      <c r="K139">
        <f>LOG(Table29[[#This Row],[Time to 1% strain (s)]])</f>
        <v>5.0893435844122665</v>
      </c>
      <c r="L139">
        <v>850</v>
      </c>
      <c r="M139">
        <v>7.8</v>
      </c>
      <c r="P139" t="s">
        <v>7075</v>
      </c>
      <c r="Q139">
        <v>1300</v>
      </c>
      <c r="R139">
        <v>24</v>
      </c>
      <c r="S139">
        <v>1050</v>
      </c>
      <c r="T139">
        <v>6</v>
      </c>
      <c r="W139">
        <v>1</v>
      </c>
      <c r="X139">
        <v>10</v>
      </c>
      <c r="Y139">
        <v>35</v>
      </c>
      <c r="AA139">
        <f>VLOOKUP(Table29[[#This Row],[Shortname]], Comp[], 6, FALSE)</f>
        <v>73</v>
      </c>
      <c r="AB139" s="14">
        <f>VLOOKUP(Table29[[#This Row],[Shortname]], Comp[], 7, FALSE)</f>
        <v>82.901499999999999</v>
      </c>
      <c r="AC139">
        <f>VLOOKUP(Table29[[#This Row],[Shortname]], Comp[], 8, FALSE)</f>
        <v>0</v>
      </c>
      <c r="AD139">
        <f>VLOOKUP(Table29[[#This Row],[Shortname]], Comp[], 9, FALSE)</f>
        <v>9.56</v>
      </c>
      <c r="AE139">
        <f>VLOOKUP(Table29[[#This Row],[Shortname]], Comp[], 10, FALSE)</f>
        <v>0</v>
      </c>
      <c r="AF139">
        <f>VLOOKUP(Table29[[#This Row],[Shortname]], Comp[], 11, FALSE)</f>
        <v>7.5</v>
      </c>
      <c r="AG139">
        <f>VLOOKUP(Table29[[#This Row],[Shortname]], Comp[],12, FALSE)</f>
        <v>0</v>
      </c>
      <c r="AH139">
        <f>VLOOKUP(Table29[[#This Row],[Shortname]], Comp[], 13, FALSE)</f>
        <v>0</v>
      </c>
      <c r="AI139">
        <f>VLOOKUP(Table29[[#This Row],[Shortname]], Comp[], 14, FALSE)</f>
        <v>0</v>
      </c>
      <c r="AJ139">
        <f>VLOOKUP(Table29[[#This Row],[Shortname]], Comp[], 15, FALSE)</f>
        <v>0</v>
      </c>
      <c r="AK139">
        <f>VLOOKUP(Table29[[#This Row],[Shortname]], Comp[], 16, FALSE)</f>
        <v>0</v>
      </c>
      <c r="AL139">
        <f>VLOOKUP(Table29[[#This Row],[Shortname]], Comp[], 17, FALSE)</f>
        <v>0</v>
      </c>
      <c r="AM139">
        <f>VLOOKUP(Table29[[#This Row],[Shortname]], Comp[], 18, FALSE)</f>
        <v>0</v>
      </c>
      <c r="AN139">
        <f>VLOOKUP(Table29[[#This Row],[Shortname]], Comp[], 19, FALSE)</f>
        <v>3.85E-2</v>
      </c>
      <c r="AO139">
        <f>VLOOKUP(Table29[[#This Row],[Shortname]], Comp[], 20, FALSE)</f>
        <v>0</v>
      </c>
      <c r="AP139">
        <f>VLOOKUP(Table29[[#This Row],[Shortname]], Comp[], 21, FALSE)</f>
        <v>0</v>
      </c>
      <c r="AQ139">
        <f>VLOOKUP(Table29[[#This Row],[Shortname]], Comp[], 22, FALSE)</f>
        <v>0</v>
      </c>
      <c r="AR139">
        <f>VLOOKUP(Table29[[#This Row],[Shortname]], Comp[], 23, FALSE)</f>
        <v>0</v>
      </c>
      <c r="AS139">
        <f>VLOOKUP(Table29[[#This Row],[Shortname]], Comp[], 24, FALSE)</f>
        <v>0</v>
      </c>
      <c r="AT139">
        <f>VLOOKUP(Table29[[#This Row],[Shortname]], Comp[], 25, FALSE)</f>
        <v>0</v>
      </c>
      <c r="AU139">
        <f>VLOOKUP(Table29[[#This Row],[Shortname]], Comp[], 26, FALSE)</f>
        <v>0</v>
      </c>
      <c r="AV139">
        <f>VLOOKUP(Table29[[#This Row],[Shortname]], Comp[], 27, FALSE)</f>
        <v>0</v>
      </c>
      <c r="AW139">
        <f>VLOOKUP(Table29[[#This Row],[Shortname]], Comp[], 28, FALSE)</f>
        <v>0</v>
      </c>
      <c r="AX139">
        <f>VLOOKUP(Table29[[#This Row],[Shortname]], Comp[], 29, FALSE)</f>
        <v>0</v>
      </c>
      <c r="AY139">
        <f>VLOOKUP(Table29[[#This Row],[Shortname]], Comp[], 30, FALSE)</f>
        <v>0</v>
      </c>
      <c r="AZ139">
        <f>VLOOKUP(Table29[[#This Row],[Shortname]], Comp[], 31, FALSE)</f>
        <v>0</v>
      </c>
    </row>
    <row r="140" spans="1:52" x14ac:dyDescent="0.3">
      <c r="A140" t="s">
        <v>567</v>
      </c>
      <c r="B140">
        <v>127</v>
      </c>
      <c r="C140">
        <v>73</v>
      </c>
      <c r="D140" t="s">
        <v>11</v>
      </c>
      <c r="E140" t="s">
        <v>95</v>
      </c>
      <c r="F140" t="s">
        <v>569</v>
      </c>
      <c r="G140" t="s">
        <v>499</v>
      </c>
      <c r="H140">
        <v>353</v>
      </c>
      <c r="I140">
        <v>1.0789999999999999E-7</v>
      </c>
      <c r="J140">
        <f>0.01/Table29[[#This Row],[Strain Rate (min) /s]]</f>
        <v>92678.40593141799</v>
      </c>
      <c r="K140">
        <f>LOG(Table29[[#This Row],[Time to 1% strain (s)]])</f>
        <v>4.9669785553170893</v>
      </c>
      <c r="L140">
        <v>850</v>
      </c>
      <c r="M140">
        <v>7.8</v>
      </c>
      <c r="P140" t="s">
        <v>7075</v>
      </c>
      <c r="Q140">
        <v>1300</v>
      </c>
      <c r="R140">
        <v>24</v>
      </c>
      <c r="S140">
        <v>1050</v>
      </c>
      <c r="T140">
        <v>6</v>
      </c>
      <c r="W140">
        <v>1</v>
      </c>
      <c r="X140">
        <v>10</v>
      </c>
      <c r="Y140">
        <v>35</v>
      </c>
      <c r="AA140">
        <f>VLOOKUP(Table29[[#This Row],[Shortname]], Comp[], 6, FALSE)</f>
        <v>73</v>
      </c>
      <c r="AB140" s="14">
        <f>VLOOKUP(Table29[[#This Row],[Shortname]], Comp[], 7, FALSE)</f>
        <v>82.901499999999999</v>
      </c>
      <c r="AC140">
        <f>VLOOKUP(Table29[[#This Row],[Shortname]], Comp[], 8, FALSE)</f>
        <v>0</v>
      </c>
      <c r="AD140">
        <f>VLOOKUP(Table29[[#This Row],[Shortname]], Comp[], 9, FALSE)</f>
        <v>9.56</v>
      </c>
      <c r="AE140">
        <f>VLOOKUP(Table29[[#This Row],[Shortname]], Comp[], 10, FALSE)</f>
        <v>0</v>
      </c>
      <c r="AF140">
        <f>VLOOKUP(Table29[[#This Row],[Shortname]], Comp[], 11, FALSE)</f>
        <v>7.5</v>
      </c>
      <c r="AG140">
        <f>VLOOKUP(Table29[[#This Row],[Shortname]], Comp[],12, FALSE)</f>
        <v>0</v>
      </c>
      <c r="AH140">
        <f>VLOOKUP(Table29[[#This Row],[Shortname]], Comp[], 13, FALSE)</f>
        <v>0</v>
      </c>
      <c r="AI140">
        <f>VLOOKUP(Table29[[#This Row],[Shortname]], Comp[], 14, FALSE)</f>
        <v>0</v>
      </c>
      <c r="AJ140">
        <f>VLOOKUP(Table29[[#This Row],[Shortname]], Comp[], 15, FALSE)</f>
        <v>0</v>
      </c>
      <c r="AK140">
        <f>VLOOKUP(Table29[[#This Row],[Shortname]], Comp[], 16, FALSE)</f>
        <v>0</v>
      </c>
      <c r="AL140">
        <f>VLOOKUP(Table29[[#This Row],[Shortname]], Comp[], 17, FALSE)</f>
        <v>0</v>
      </c>
      <c r="AM140">
        <f>VLOOKUP(Table29[[#This Row],[Shortname]], Comp[], 18, FALSE)</f>
        <v>0</v>
      </c>
      <c r="AN140">
        <f>VLOOKUP(Table29[[#This Row],[Shortname]], Comp[], 19, FALSE)</f>
        <v>3.85E-2</v>
      </c>
      <c r="AO140">
        <f>VLOOKUP(Table29[[#This Row],[Shortname]], Comp[], 20, FALSE)</f>
        <v>0</v>
      </c>
      <c r="AP140">
        <f>VLOOKUP(Table29[[#This Row],[Shortname]], Comp[], 21, FALSE)</f>
        <v>0</v>
      </c>
      <c r="AQ140">
        <f>VLOOKUP(Table29[[#This Row],[Shortname]], Comp[], 22, FALSE)</f>
        <v>0</v>
      </c>
      <c r="AR140">
        <f>VLOOKUP(Table29[[#This Row],[Shortname]], Comp[], 23, FALSE)</f>
        <v>0</v>
      </c>
      <c r="AS140">
        <f>VLOOKUP(Table29[[#This Row],[Shortname]], Comp[], 24, FALSE)</f>
        <v>0</v>
      </c>
      <c r="AT140">
        <f>VLOOKUP(Table29[[#This Row],[Shortname]], Comp[], 25, FALSE)</f>
        <v>0</v>
      </c>
      <c r="AU140">
        <f>VLOOKUP(Table29[[#This Row],[Shortname]], Comp[], 26, FALSE)</f>
        <v>0</v>
      </c>
      <c r="AV140">
        <f>VLOOKUP(Table29[[#This Row],[Shortname]], Comp[], 27, FALSE)</f>
        <v>0</v>
      </c>
      <c r="AW140">
        <f>VLOOKUP(Table29[[#This Row],[Shortname]], Comp[], 28, FALSE)</f>
        <v>0</v>
      </c>
      <c r="AX140">
        <f>VLOOKUP(Table29[[#This Row],[Shortname]], Comp[], 29, FALSE)</f>
        <v>0</v>
      </c>
      <c r="AY140">
        <f>VLOOKUP(Table29[[#This Row],[Shortname]], Comp[], 30, FALSE)</f>
        <v>0</v>
      </c>
      <c r="AZ140">
        <f>VLOOKUP(Table29[[#This Row],[Shortname]], Comp[], 31, FALSE)</f>
        <v>0</v>
      </c>
    </row>
    <row r="141" spans="1:52" x14ac:dyDescent="0.3">
      <c r="A141" t="s">
        <v>567</v>
      </c>
      <c r="B141">
        <v>128</v>
      </c>
      <c r="C141">
        <v>73</v>
      </c>
      <c r="D141" t="s">
        <v>11</v>
      </c>
      <c r="E141" t="s">
        <v>95</v>
      </c>
      <c r="F141" t="s">
        <v>569</v>
      </c>
      <c r="G141" t="s">
        <v>499</v>
      </c>
      <c r="H141">
        <v>376</v>
      </c>
      <c r="I141">
        <v>2.8858000000000001E-7</v>
      </c>
      <c r="J141">
        <f>0.01/Table29[[#This Row],[Strain Rate (min) /s]]</f>
        <v>34652.436066255461</v>
      </c>
      <c r="K141">
        <f>LOG(Table29[[#This Row],[Time to 1% strain (s)]])</f>
        <v>4.5397337709231147</v>
      </c>
      <c r="L141">
        <v>850</v>
      </c>
      <c r="M141">
        <v>7.8</v>
      </c>
      <c r="P141" t="s">
        <v>7075</v>
      </c>
      <c r="Q141">
        <v>1300</v>
      </c>
      <c r="R141">
        <v>24</v>
      </c>
      <c r="S141">
        <v>1050</v>
      </c>
      <c r="T141">
        <v>6</v>
      </c>
      <c r="W141">
        <v>1</v>
      </c>
      <c r="X141">
        <v>10</v>
      </c>
      <c r="Y141">
        <v>35</v>
      </c>
      <c r="AA141">
        <f>VLOOKUP(Table29[[#This Row],[Shortname]], Comp[], 6, FALSE)</f>
        <v>73</v>
      </c>
      <c r="AB141" s="14">
        <f>VLOOKUP(Table29[[#This Row],[Shortname]], Comp[], 7, FALSE)</f>
        <v>82.901499999999999</v>
      </c>
      <c r="AC141">
        <f>VLOOKUP(Table29[[#This Row],[Shortname]], Comp[], 8, FALSE)</f>
        <v>0</v>
      </c>
      <c r="AD141">
        <f>VLOOKUP(Table29[[#This Row],[Shortname]], Comp[], 9, FALSE)</f>
        <v>9.56</v>
      </c>
      <c r="AE141">
        <f>VLOOKUP(Table29[[#This Row],[Shortname]], Comp[], 10, FALSE)</f>
        <v>0</v>
      </c>
      <c r="AF141">
        <f>VLOOKUP(Table29[[#This Row],[Shortname]], Comp[], 11, FALSE)</f>
        <v>7.5</v>
      </c>
      <c r="AG141">
        <f>VLOOKUP(Table29[[#This Row],[Shortname]], Comp[],12, FALSE)</f>
        <v>0</v>
      </c>
      <c r="AH141">
        <f>VLOOKUP(Table29[[#This Row],[Shortname]], Comp[], 13, FALSE)</f>
        <v>0</v>
      </c>
      <c r="AI141">
        <f>VLOOKUP(Table29[[#This Row],[Shortname]], Comp[], 14, FALSE)</f>
        <v>0</v>
      </c>
      <c r="AJ141">
        <f>VLOOKUP(Table29[[#This Row],[Shortname]], Comp[], 15, FALSE)</f>
        <v>0</v>
      </c>
      <c r="AK141">
        <f>VLOOKUP(Table29[[#This Row],[Shortname]], Comp[], 16, FALSE)</f>
        <v>0</v>
      </c>
      <c r="AL141">
        <f>VLOOKUP(Table29[[#This Row],[Shortname]], Comp[], 17, FALSE)</f>
        <v>0</v>
      </c>
      <c r="AM141">
        <f>VLOOKUP(Table29[[#This Row],[Shortname]], Comp[], 18, FALSE)</f>
        <v>0</v>
      </c>
      <c r="AN141">
        <f>VLOOKUP(Table29[[#This Row],[Shortname]], Comp[], 19, FALSE)</f>
        <v>3.85E-2</v>
      </c>
      <c r="AO141">
        <f>VLOOKUP(Table29[[#This Row],[Shortname]], Comp[], 20, FALSE)</f>
        <v>0</v>
      </c>
      <c r="AP141">
        <f>VLOOKUP(Table29[[#This Row],[Shortname]], Comp[], 21, FALSE)</f>
        <v>0</v>
      </c>
      <c r="AQ141">
        <f>VLOOKUP(Table29[[#This Row],[Shortname]], Comp[], 22, FALSE)</f>
        <v>0</v>
      </c>
      <c r="AR141">
        <f>VLOOKUP(Table29[[#This Row],[Shortname]], Comp[], 23, FALSE)</f>
        <v>0</v>
      </c>
      <c r="AS141">
        <f>VLOOKUP(Table29[[#This Row],[Shortname]], Comp[], 24, FALSE)</f>
        <v>0</v>
      </c>
      <c r="AT141">
        <f>VLOOKUP(Table29[[#This Row],[Shortname]], Comp[], 25, FALSE)</f>
        <v>0</v>
      </c>
      <c r="AU141">
        <f>VLOOKUP(Table29[[#This Row],[Shortname]], Comp[], 26, FALSE)</f>
        <v>0</v>
      </c>
      <c r="AV141">
        <f>VLOOKUP(Table29[[#This Row],[Shortname]], Comp[], 27, FALSE)</f>
        <v>0</v>
      </c>
      <c r="AW141">
        <f>VLOOKUP(Table29[[#This Row],[Shortname]], Comp[], 28, FALSE)</f>
        <v>0</v>
      </c>
      <c r="AX141">
        <f>VLOOKUP(Table29[[#This Row],[Shortname]], Comp[], 29, FALSE)</f>
        <v>0</v>
      </c>
      <c r="AY141">
        <f>VLOOKUP(Table29[[#This Row],[Shortname]], Comp[], 30, FALSE)</f>
        <v>0</v>
      </c>
      <c r="AZ141">
        <f>VLOOKUP(Table29[[#This Row],[Shortname]], Comp[], 31, FALSE)</f>
        <v>0</v>
      </c>
    </row>
    <row r="142" spans="1:52" x14ac:dyDescent="0.3">
      <c r="A142" t="s">
        <v>567</v>
      </c>
      <c r="B142">
        <v>129</v>
      </c>
      <c r="C142">
        <v>73</v>
      </c>
      <c r="D142" t="s">
        <v>11</v>
      </c>
      <c r="E142" t="s">
        <v>95</v>
      </c>
      <c r="F142" t="s">
        <v>569</v>
      </c>
      <c r="G142" t="s">
        <v>499</v>
      </c>
      <c r="H142">
        <v>398</v>
      </c>
      <c r="I142">
        <v>5.5097999999999997E-7</v>
      </c>
      <c r="J142">
        <f>0.01/Table29[[#This Row],[Strain Rate (min) /s]]</f>
        <v>18149.479109949545</v>
      </c>
      <c r="K142">
        <f>LOG(Table29[[#This Row],[Time to 1% strain (s)]])</f>
        <v>4.2588641652993591</v>
      </c>
      <c r="L142">
        <v>850</v>
      </c>
      <c r="M142">
        <v>7.8</v>
      </c>
      <c r="P142" t="s">
        <v>7075</v>
      </c>
      <c r="Q142">
        <v>1300</v>
      </c>
      <c r="R142">
        <v>24</v>
      </c>
      <c r="S142">
        <v>1050</v>
      </c>
      <c r="T142">
        <v>6</v>
      </c>
      <c r="W142">
        <v>1</v>
      </c>
      <c r="X142">
        <v>10</v>
      </c>
      <c r="Y142">
        <v>35</v>
      </c>
      <c r="AA142">
        <f>VLOOKUP(Table29[[#This Row],[Shortname]], Comp[], 6, FALSE)</f>
        <v>73</v>
      </c>
      <c r="AB142" s="14">
        <f>VLOOKUP(Table29[[#This Row],[Shortname]], Comp[], 7, FALSE)</f>
        <v>82.901499999999999</v>
      </c>
      <c r="AC142">
        <f>VLOOKUP(Table29[[#This Row],[Shortname]], Comp[], 8, FALSE)</f>
        <v>0</v>
      </c>
      <c r="AD142">
        <f>VLOOKUP(Table29[[#This Row],[Shortname]], Comp[], 9, FALSE)</f>
        <v>9.56</v>
      </c>
      <c r="AE142">
        <f>VLOOKUP(Table29[[#This Row],[Shortname]], Comp[], 10, FALSE)</f>
        <v>0</v>
      </c>
      <c r="AF142">
        <f>VLOOKUP(Table29[[#This Row],[Shortname]], Comp[], 11, FALSE)</f>
        <v>7.5</v>
      </c>
      <c r="AG142">
        <f>VLOOKUP(Table29[[#This Row],[Shortname]], Comp[],12, FALSE)</f>
        <v>0</v>
      </c>
      <c r="AH142">
        <f>VLOOKUP(Table29[[#This Row],[Shortname]], Comp[], 13, FALSE)</f>
        <v>0</v>
      </c>
      <c r="AI142">
        <f>VLOOKUP(Table29[[#This Row],[Shortname]], Comp[], 14, FALSE)</f>
        <v>0</v>
      </c>
      <c r="AJ142">
        <f>VLOOKUP(Table29[[#This Row],[Shortname]], Comp[], 15, FALSE)</f>
        <v>0</v>
      </c>
      <c r="AK142">
        <f>VLOOKUP(Table29[[#This Row],[Shortname]], Comp[], 16, FALSE)</f>
        <v>0</v>
      </c>
      <c r="AL142">
        <f>VLOOKUP(Table29[[#This Row],[Shortname]], Comp[], 17, FALSE)</f>
        <v>0</v>
      </c>
      <c r="AM142">
        <f>VLOOKUP(Table29[[#This Row],[Shortname]], Comp[], 18, FALSE)</f>
        <v>0</v>
      </c>
      <c r="AN142">
        <f>VLOOKUP(Table29[[#This Row],[Shortname]], Comp[], 19, FALSE)</f>
        <v>3.85E-2</v>
      </c>
      <c r="AO142">
        <f>VLOOKUP(Table29[[#This Row],[Shortname]], Comp[], 20, FALSE)</f>
        <v>0</v>
      </c>
      <c r="AP142">
        <f>VLOOKUP(Table29[[#This Row],[Shortname]], Comp[], 21, FALSE)</f>
        <v>0</v>
      </c>
      <c r="AQ142">
        <f>VLOOKUP(Table29[[#This Row],[Shortname]], Comp[], 22, FALSE)</f>
        <v>0</v>
      </c>
      <c r="AR142">
        <f>VLOOKUP(Table29[[#This Row],[Shortname]], Comp[], 23, FALSE)</f>
        <v>0</v>
      </c>
      <c r="AS142">
        <f>VLOOKUP(Table29[[#This Row],[Shortname]], Comp[], 24, FALSE)</f>
        <v>0</v>
      </c>
      <c r="AT142">
        <f>VLOOKUP(Table29[[#This Row],[Shortname]], Comp[], 25, FALSE)</f>
        <v>0</v>
      </c>
      <c r="AU142">
        <f>VLOOKUP(Table29[[#This Row],[Shortname]], Comp[], 26, FALSE)</f>
        <v>0</v>
      </c>
      <c r="AV142">
        <f>VLOOKUP(Table29[[#This Row],[Shortname]], Comp[], 27, FALSE)</f>
        <v>0</v>
      </c>
      <c r="AW142">
        <f>VLOOKUP(Table29[[#This Row],[Shortname]], Comp[], 28, FALSE)</f>
        <v>0</v>
      </c>
      <c r="AX142">
        <f>VLOOKUP(Table29[[#This Row],[Shortname]], Comp[], 29, FALSE)</f>
        <v>0</v>
      </c>
      <c r="AY142">
        <f>VLOOKUP(Table29[[#This Row],[Shortname]], Comp[], 30, FALSE)</f>
        <v>0</v>
      </c>
      <c r="AZ142">
        <f>VLOOKUP(Table29[[#This Row],[Shortname]], Comp[], 31, FALSE)</f>
        <v>0</v>
      </c>
    </row>
    <row r="143" spans="1:52" x14ac:dyDescent="0.3">
      <c r="A143" t="s">
        <v>573</v>
      </c>
      <c r="B143">
        <v>132</v>
      </c>
      <c r="C143">
        <v>74</v>
      </c>
      <c r="D143" t="s">
        <v>568</v>
      </c>
      <c r="E143" t="s">
        <v>95</v>
      </c>
      <c r="F143" t="s">
        <v>574</v>
      </c>
      <c r="G143" t="s">
        <v>499</v>
      </c>
      <c r="H143">
        <v>130</v>
      </c>
      <c r="I143">
        <v>5.0862975858179203E-9</v>
      </c>
      <c r="J143">
        <f>0.01/Table29[[#This Row],[Strain Rate (min) /s]]</f>
        <v>1966066.6390977425</v>
      </c>
      <c r="K143">
        <f>LOG(Table29[[#This Row],[Time to 1% strain (s)]])</f>
        <v>6.2935982339955832</v>
      </c>
      <c r="L143">
        <v>850</v>
      </c>
      <c r="M143">
        <v>6</v>
      </c>
      <c r="P143" t="s">
        <v>7076</v>
      </c>
      <c r="Q143">
        <v>1300</v>
      </c>
      <c r="R143">
        <v>24</v>
      </c>
      <c r="S143">
        <v>1050</v>
      </c>
      <c r="T143">
        <v>6</v>
      </c>
      <c r="W143">
        <v>1</v>
      </c>
      <c r="X143">
        <v>10</v>
      </c>
      <c r="Y143">
        <v>37</v>
      </c>
      <c r="AA143">
        <f>VLOOKUP(Table29[[#This Row],[Shortname]], Comp[], 6, FALSE)</f>
        <v>74</v>
      </c>
      <c r="AB143" s="14">
        <f>VLOOKUP(Table29[[#This Row],[Shortname]], Comp[], 7, FALSE)</f>
        <v>82.500799999999998</v>
      </c>
      <c r="AC143">
        <f>VLOOKUP(Table29[[#This Row],[Shortname]], Comp[], 8, FALSE)</f>
        <v>0</v>
      </c>
      <c r="AD143">
        <f>VLOOKUP(Table29[[#This Row],[Shortname]], Comp[], 9, FALSE)</f>
        <v>9.85</v>
      </c>
      <c r="AE143">
        <f>VLOOKUP(Table29[[#This Row],[Shortname]], Comp[], 10, FALSE)</f>
        <v>0</v>
      </c>
      <c r="AF143">
        <f>VLOOKUP(Table29[[#This Row],[Shortname]], Comp[], 11, FALSE)</f>
        <v>7.64</v>
      </c>
      <c r="AG143">
        <f>VLOOKUP(Table29[[#This Row],[Shortname]], Comp[],12, FALSE)</f>
        <v>0</v>
      </c>
      <c r="AH143">
        <f>VLOOKUP(Table29[[#This Row],[Shortname]], Comp[], 13, FALSE)</f>
        <v>0</v>
      </c>
      <c r="AI143">
        <f>VLOOKUP(Table29[[#This Row],[Shortname]], Comp[], 14, FALSE)</f>
        <v>0</v>
      </c>
      <c r="AJ143">
        <f>VLOOKUP(Table29[[#This Row],[Shortname]], Comp[], 15, FALSE)</f>
        <v>0</v>
      </c>
      <c r="AK143">
        <f>VLOOKUP(Table29[[#This Row],[Shortname]], Comp[], 16, FALSE)</f>
        <v>0</v>
      </c>
      <c r="AL143">
        <f>VLOOKUP(Table29[[#This Row],[Shortname]], Comp[], 17, FALSE)</f>
        <v>0</v>
      </c>
      <c r="AM143">
        <f>VLOOKUP(Table29[[#This Row],[Shortname]], Comp[], 18, FALSE)</f>
        <v>0</v>
      </c>
      <c r="AN143">
        <f>VLOOKUP(Table29[[#This Row],[Shortname]], Comp[], 19, FALSE)</f>
        <v>9.1999999999999998E-3</v>
      </c>
      <c r="AO143">
        <f>VLOOKUP(Table29[[#This Row],[Shortname]], Comp[], 20, FALSE)</f>
        <v>0</v>
      </c>
      <c r="AP143">
        <f>VLOOKUP(Table29[[#This Row],[Shortname]], Comp[], 21, FALSE)</f>
        <v>0</v>
      </c>
      <c r="AQ143">
        <f>VLOOKUP(Table29[[#This Row],[Shortname]], Comp[], 22, FALSE)</f>
        <v>0</v>
      </c>
      <c r="AR143">
        <f>VLOOKUP(Table29[[#This Row],[Shortname]], Comp[], 23, FALSE)</f>
        <v>0</v>
      </c>
      <c r="AS143">
        <f>VLOOKUP(Table29[[#This Row],[Shortname]], Comp[], 24, FALSE)</f>
        <v>0</v>
      </c>
      <c r="AT143">
        <f>VLOOKUP(Table29[[#This Row],[Shortname]], Comp[], 25, FALSE)</f>
        <v>0</v>
      </c>
      <c r="AU143">
        <f>VLOOKUP(Table29[[#This Row],[Shortname]], Comp[], 26, FALSE)</f>
        <v>0</v>
      </c>
      <c r="AV143">
        <f>VLOOKUP(Table29[[#This Row],[Shortname]], Comp[], 27, FALSE)</f>
        <v>0</v>
      </c>
      <c r="AW143">
        <f>VLOOKUP(Table29[[#This Row],[Shortname]], Comp[], 28, FALSE)</f>
        <v>0</v>
      </c>
      <c r="AX143">
        <f>VLOOKUP(Table29[[#This Row],[Shortname]], Comp[], 29, FALSE)</f>
        <v>0</v>
      </c>
      <c r="AY143">
        <f>VLOOKUP(Table29[[#This Row],[Shortname]], Comp[], 30, FALSE)</f>
        <v>0</v>
      </c>
      <c r="AZ143">
        <f>VLOOKUP(Table29[[#This Row],[Shortname]], Comp[], 31, FALSE)</f>
        <v>0</v>
      </c>
    </row>
    <row r="144" spans="1:52" x14ac:dyDescent="0.3">
      <c r="A144" t="s">
        <v>573</v>
      </c>
      <c r="B144">
        <v>133</v>
      </c>
      <c r="C144">
        <v>74</v>
      </c>
      <c r="D144" t="s">
        <v>11</v>
      </c>
      <c r="E144" t="s">
        <v>95</v>
      </c>
      <c r="F144" t="s">
        <v>574</v>
      </c>
      <c r="G144" t="s">
        <v>499</v>
      </c>
      <c r="H144">
        <v>150</v>
      </c>
      <c r="I144">
        <v>7.3340212395312996E-9</v>
      </c>
      <c r="J144">
        <f>0.01/Table29[[#This Row],[Strain Rate (min) /s]]</f>
        <v>1363508.4591927193</v>
      </c>
      <c r="K144">
        <f>LOG(Table29[[#This Row],[Time to 1% strain (s)]])</f>
        <v>6.134657836644589</v>
      </c>
      <c r="L144">
        <v>850</v>
      </c>
      <c r="M144">
        <v>6</v>
      </c>
      <c r="P144" t="s">
        <v>7076</v>
      </c>
      <c r="Q144">
        <v>1300</v>
      </c>
      <c r="R144">
        <v>24</v>
      </c>
      <c r="S144">
        <v>1050</v>
      </c>
      <c r="T144">
        <v>6</v>
      </c>
      <c r="W144">
        <v>1</v>
      </c>
      <c r="X144">
        <v>10</v>
      </c>
      <c r="Y144">
        <v>37</v>
      </c>
      <c r="AA144">
        <f>VLOOKUP(Table29[[#This Row],[Shortname]], Comp[], 6, FALSE)</f>
        <v>74</v>
      </c>
      <c r="AB144" s="14">
        <f>VLOOKUP(Table29[[#This Row],[Shortname]], Comp[], 7, FALSE)</f>
        <v>82.500799999999998</v>
      </c>
      <c r="AC144">
        <f>VLOOKUP(Table29[[#This Row],[Shortname]], Comp[], 8, FALSE)</f>
        <v>0</v>
      </c>
      <c r="AD144">
        <f>VLOOKUP(Table29[[#This Row],[Shortname]], Comp[], 9, FALSE)</f>
        <v>9.85</v>
      </c>
      <c r="AE144">
        <f>VLOOKUP(Table29[[#This Row],[Shortname]], Comp[], 10, FALSE)</f>
        <v>0</v>
      </c>
      <c r="AF144">
        <f>VLOOKUP(Table29[[#This Row],[Shortname]], Comp[], 11, FALSE)</f>
        <v>7.64</v>
      </c>
      <c r="AG144">
        <f>VLOOKUP(Table29[[#This Row],[Shortname]], Comp[],12, FALSE)</f>
        <v>0</v>
      </c>
      <c r="AH144">
        <f>VLOOKUP(Table29[[#This Row],[Shortname]], Comp[], 13, FALSE)</f>
        <v>0</v>
      </c>
      <c r="AI144">
        <f>VLOOKUP(Table29[[#This Row],[Shortname]], Comp[], 14, FALSE)</f>
        <v>0</v>
      </c>
      <c r="AJ144">
        <f>VLOOKUP(Table29[[#This Row],[Shortname]], Comp[], 15, FALSE)</f>
        <v>0</v>
      </c>
      <c r="AK144">
        <f>VLOOKUP(Table29[[#This Row],[Shortname]], Comp[], 16, FALSE)</f>
        <v>0</v>
      </c>
      <c r="AL144">
        <f>VLOOKUP(Table29[[#This Row],[Shortname]], Comp[], 17, FALSE)</f>
        <v>0</v>
      </c>
      <c r="AM144">
        <f>VLOOKUP(Table29[[#This Row],[Shortname]], Comp[], 18, FALSE)</f>
        <v>0</v>
      </c>
      <c r="AN144">
        <f>VLOOKUP(Table29[[#This Row],[Shortname]], Comp[], 19, FALSE)</f>
        <v>9.1999999999999998E-3</v>
      </c>
      <c r="AO144">
        <f>VLOOKUP(Table29[[#This Row],[Shortname]], Comp[], 20, FALSE)</f>
        <v>0</v>
      </c>
      <c r="AP144">
        <f>VLOOKUP(Table29[[#This Row],[Shortname]], Comp[], 21, FALSE)</f>
        <v>0</v>
      </c>
      <c r="AQ144">
        <f>VLOOKUP(Table29[[#This Row],[Shortname]], Comp[], 22, FALSE)</f>
        <v>0</v>
      </c>
      <c r="AR144">
        <f>VLOOKUP(Table29[[#This Row],[Shortname]], Comp[], 23, FALSE)</f>
        <v>0</v>
      </c>
      <c r="AS144">
        <f>VLOOKUP(Table29[[#This Row],[Shortname]], Comp[], 24, FALSE)</f>
        <v>0</v>
      </c>
      <c r="AT144">
        <f>VLOOKUP(Table29[[#This Row],[Shortname]], Comp[], 25, FALSE)</f>
        <v>0</v>
      </c>
      <c r="AU144">
        <f>VLOOKUP(Table29[[#This Row],[Shortname]], Comp[], 26, FALSE)</f>
        <v>0</v>
      </c>
      <c r="AV144">
        <f>VLOOKUP(Table29[[#This Row],[Shortname]], Comp[], 27, FALSE)</f>
        <v>0</v>
      </c>
      <c r="AW144">
        <f>VLOOKUP(Table29[[#This Row],[Shortname]], Comp[], 28, FALSE)</f>
        <v>0</v>
      </c>
      <c r="AX144">
        <f>VLOOKUP(Table29[[#This Row],[Shortname]], Comp[], 29, FALSE)</f>
        <v>0</v>
      </c>
      <c r="AY144">
        <f>VLOOKUP(Table29[[#This Row],[Shortname]], Comp[], 30, FALSE)</f>
        <v>0</v>
      </c>
      <c r="AZ144">
        <f>VLOOKUP(Table29[[#This Row],[Shortname]], Comp[], 31, FALSE)</f>
        <v>0</v>
      </c>
    </row>
    <row r="145" spans="1:52" x14ac:dyDescent="0.3">
      <c r="A145" t="s">
        <v>573</v>
      </c>
      <c r="B145">
        <v>134</v>
      </c>
      <c r="C145">
        <v>74</v>
      </c>
      <c r="D145" t="s">
        <v>11</v>
      </c>
      <c r="E145" t="s">
        <v>95</v>
      </c>
      <c r="F145" t="s">
        <v>574</v>
      </c>
      <c r="G145" t="s">
        <v>499</v>
      </c>
      <c r="H145">
        <v>169</v>
      </c>
      <c r="I145">
        <v>1.7226739661548699E-8</v>
      </c>
      <c r="J145">
        <f>0.01/Table29[[#This Row],[Strain Rate (min) /s]]</f>
        <v>580492.89630357083</v>
      </c>
      <c r="K145">
        <f>LOG(Table29[[#This Row],[Time to 1% strain (s)]])</f>
        <v>5.7637969094922727</v>
      </c>
      <c r="L145">
        <v>850</v>
      </c>
      <c r="M145">
        <v>6</v>
      </c>
      <c r="P145" t="s">
        <v>7076</v>
      </c>
      <c r="Q145">
        <v>1300</v>
      </c>
      <c r="R145">
        <v>24</v>
      </c>
      <c r="S145">
        <v>1050</v>
      </c>
      <c r="T145">
        <v>6</v>
      </c>
      <c r="W145">
        <v>1</v>
      </c>
      <c r="X145">
        <v>10</v>
      </c>
      <c r="Y145">
        <v>37</v>
      </c>
      <c r="AA145">
        <f>VLOOKUP(Table29[[#This Row],[Shortname]], Comp[], 6, FALSE)</f>
        <v>74</v>
      </c>
      <c r="AB145" s="14">
        <f>VLOOKUP(Table29[[#This Row],[Shortname]], Comp[], 7, FALSE)</f>
        <v>82.500799999999998</v>
      </c>
      <c r="AC145">
        <f>VLOOKUP(Table29[[#This Row],[Shortname]], Comp[], 8, FALSE)</f>
        <v>0</v>
      </c>
      <c r="AD145">
        <f>VLOOKUP(Table29[[#This Row],[Shortname]], Comp[], 9, FALSE)</f>
        <v>9.85</v>
      </c>
      <c r="AE145">
        <f>VLOOKUP(Table29[[#This Row],[Shortname]], Comp[], 10, FALSE)</f>
        <v>0</v>
      </c>
      <c r="AF145">
        <f>VLOOKUP(Table29[[#This Row],[Shortname]], Comp[], 11, FALSE)</f>
        <v>7.64</v>
      </c>
      <c r="AG145">
        <f>VLOOKUP(Table29[[#This Row],[Shortname]], Comp[],12, FALSE)</f>
        <v>0</v>
      </c>
      <c r="AH145">
        <f>VLOOKUP(Table29[[#This Row],[Shortname]], Comp[], 13, FALSE)</f>
        <v>0</v>
      </c>
      <c r="AI145">
        <f>VLOOKUP(Table29[[#This Row],[Shortname]], Comp[], 14, FALSE)</f>
        <v>0</v>
      </c>
      <c r="AJ145">
        <f>VLOOKUP(Table29[[#This Row],[Shortname]], Comp[], 15, FALSE)</f>
        <v>0</v>
      </c>
      <c r="AK145">
        <f>VLOOKUP(Table29[[#This Row],[Shortname]], Comp[], 16, FALSE)</f>
        <v>0</v>
      </c>
      <c r="AL145">
        <f>VLOOKUP(Table29[[#This Row],[Shortname]], Comp[], 17, FALSE)</f>
        <v>0</v>
      </c>
      <c r="AM145">
        <f>VLOOKUP(Table29[[#This Row],[Shortname]], Comp[], 18, FALSE)</f>
        <v>0</v>
      </c>
      <c r="AN145">
        <f>VLOOKUP(Table29[[#This Row],[Shortname]], Comp[], 19, FALSE)</f>
        <v>9.1999999999999998E-3</v>
      </c>
      <c r="AO145">
        <f>VLOOKUP(Table29[[#This Row],[Shortname]], Comp[], 20, FALSE)</f>
        <v>0</v>
      </c>
      <c r="AP145">
        <f>VLOOKUP(Table29[[#This Row],[Shortname]], Comp[], 21, FALSE)</f>
        <v>0</v>
      </c>
      <c r="AQ145">
        <f>VLOOKUP(Table29[[#This Row],[Shortname]], Comp[], 22, FALSE)</f>
        <v>0</v>
      </c>
      <c r="AR145">
        <f>VLOOKUP(Table29[[#This Row],[Shortname]], Comp[], 23, FALSE)</f>
        <v>0</v>
      </c>
      <c r="AS145">
        <f>VLOOKUP(Table29[[#This Row],[Shortname]], Comp[], 24, FALSE)</f>
        <v>0</v>
      </c>
      <c r="AT145">
        <f>VLOOKUP(Table29[[#This Row],[Shortname]], Comp[], 25, FALSE)</f>
        <v>0</v>
      </c>
      <c r="AU145">
        <f>VLOOKUP(Table29[[#This Row],[Shortname]], Comp[], 26, FALSE)</f>
        <v>0</v>
      </c>
      <c r="AV145">
        <f>VLOOKUP(Table29[[#This Row],[Shortname]], Comp[], 27, FALSE)</f>
        <v>0</v>
      </c>
      <c r="AW145">
        <f>VLOOKUP(Table29[[#This Row],[Shortname]], Comp[], 28, FALSE)</f>
        <v>0</v>
      </c>
      <c r="AX145">
        <f>VLOOKUP(Table29[[#This Row],[Shortname]], Comp[], 29, FALSE)</f>
        <v>0</v>
      </c>
      <c r="AY145">
        <f>VLOOKUP(Table29[[#This Row],[Shortname]], Comp[], 30, FALSE)</f>
        <v>0</v>
      </c>
      <c r="AZ145">
        <f>VLOOKUP(Table29[[#This Row],[Shortname]], Comp[], 31, FALSE)</f>
        <v>0</v>
      </c>
    </row>
    <row r="146" spans="1:52" x14ac:dyDescent="0.3">
      <c r="A146" t="s">
        <v>573</v>
      </c>
      <c r="B146">
        <v>135</v>
      </c>
      <c r="C146">
        <v>74</v>
      </c>
      <c r="D146" t="s">
        <v>11</v>
      </c>
      <c r="E146" t="s">
        <v>95</v>
      </c>
      <c r="F146" t="s">
        <v>574</v>
      </c>
      <c r="G146" t="s">
        <v>499</v>
      </c>
      <c r="H146">
        <v>176</v>
      </c>
      <c r="I146">
        <v>2.0685846096073099E-8</v>
      </c>
      <c r="J146">
        <f>0.01/Table29[[#This Row],[Strain Rate (min) /s]]</f>
        <v>483422.3339744538</v>
      </c>
      <c r="K146">
        <f>LOG(Table29[[#This Row],[Time to 1% strain (s)]])</f>
        <v>5.6843267108167765</v>
      </c>
      <c r="L146">
        <v>850</v>
      </c>
      <c r="M146">
        <v>6</v>
      </c>
      <c r="P146" t="s">
        <v>7076</v>
      </c>
      <c r="Q146">
        <v>1300</v>
      </c>
      <c r="R146">
        <v>24</v>
      </c>
      <c r="S146">
        <v>1050</v>
      </c>
      <c r="T146">
        <v>6</v>
      </c>
      <c r="W146">
        <v>1</v>
      </c>
      <c r="X146">
        <v>10</v>
      </c>
      <c r="Y146">
        <v>37</v>
      </c>
      <c r="Z146" t="s">
        <v>7077</v>
      </c>
      <c r="AA146">
        <f>VLOOKUP(Table29[[#This Row],[Shortname]], Comp[], 6, FALSE)</f>
        <v>74</v>
      </c>
      <c r="AB146" s="14">
        <f>VLOOKUP(Table29[[#This Row],[Shortname]], Comp[], 7, FALSE)</f>
        <v>82.500799999999998</v>
      </c>
      <c r="AC146">
        <f>VLOOKUP(Table29[[#This Row],[Shortname]], Comp[], 8, FALSE)</f>
        <v>0</v>
      </c>
      <c r="AD146">
        <f>VLOOKUP(Table29[[#This Row],[Shortname]], Comp[], 9, FALSE)</f>
        <v>9.85</v>
      </c>
      <c r="AE146">
        <f>VLOOKUP(Table29[[#This Row],[Shortname]], Comp[], 10, FALSE)</f>
        <v>0</v>
      </c>
      <c r="AF146">
        <f>VLOOKUP(Table29[[#This Row],[Shortname]], Comp[], 11, FALSE)</f>
        <v>7.64</v>
      </c>
      <c r="AG146">
        <f>VLOOKUP(Table29[[#This Row],[Shortname]], Comp[],12, FALSE)</f>
        <v>0</v>
      </c>
      <c r="AH146">
        <f>VLOOKUP(Table29[[#This Row],[Shortname]], Comp[], 13, FALSE)</f>
        <v>0</v>
      </c>
      <c r="AI146">
        <f>VLOOKUP(Table29[[#This Row],[Shortname]], Comp[], 14, FALSE)</f>
        <v>0</v>
      </c>
      <c r="AJ146">
        <f>VLOOKUP(Table29[[#This Row],[Shortname]], Comp[], 15, FALSE)</f>
        <v>0</v>
      </c>
      <c r="AK146">
        <f>VLOOKUP(Table29[[#This Row],[Shortname]], Comp[], 16, FALSE)</f>
        <v>0</v>
      </c>
      <c r="AL146">
        <f>VLOOKUP(Table29[[#This Row],[Shortname]], Comp[], 17, FALSE)</f>
        <v>0</v>
      </c>
      <c r="AM146">
        <f>VLOOKUP(Table29[[#This Row],[Shortname]], Comp[], 18, FALSE)</f>
        <v>0</v>
      </c>
      <c r="AN146">
        <f>VLOOKUP(Table29[[#This Row],[Shortname]], Comp[], 19, FALSE)</f>
        <v>9.1999999999999998E-3</v>
      </c>
      <c r="AO146">
        <f>VLOOKUP(Table29[[#This Row],[Shortname]], Comp[], 20, FALSE)</f>
        <v>0</v>
      </c>
      <c r="AP146">
        <f>VLOOKUP(Table29[[#This Row],[Shortname]], Comp[], 21, FALSE)</f>
        <v>0</v>
      </c>
      <c r="AQ146">
        <f>VLOOKUP(Table29[[#This Row],[Shortname]], Comp[], 22, FALSE)</f>
        <v>0</v>
      </c>
      <c r="AR146">
        <f>VLOOKUP(Table29[[#This Row],[Shortname]], Comp[], 23, FALSE)</f>
        <v>0</v>
      </c>
      <c r="AS146">
        <f>VLOOKUP(Table29[[#This Row],[Shortname]], Comp[], 24, FALSE)</f>
        <v>0</v>
      </c>
      <c r="AT146">
        <f>VLOOKUP(Table29[[#This Row],[Shortname]], Comp[], 25, FALSE)</f>
        <v>0</v>
      </c>
      <c r="AU146">
        <f>VLOOKUP(Table29[[#This Row],[Shortname]], Comp[], 26, FALSE)</f>
        <v>0</v>
      </c>
      <c r="AV146">
        <f>VLOOKUP(Table29[[#This Row],[Shortname]], Comp[], 27, FALSE)</f>
        <v>0</v>
      </c>
      <c r="AW146">
        <f>VLOOKUP(Table29[[#This Row],[Shortname]], Comp[], 28, FALSE)</f>
        <v>0</v>
      </c>
      <c r="AX146">
        <f>VLOOKUP(Table29[[#This Row],[Shortname]], Comp[], 29, FALSE)</f>
        <v>0</v>
      </c>
      <c r="AY146">
        <f>VLOOKUP(Table29[[#This Row],[Shortname]], Comp[], 30, FALSE)</f>
        <v>0</v>
      </c>
      <c r="AZ146">
        <f>VLOOKUP(Table29[[#This Row],[Shortname]], Comp[], 31, FALSE)</f>
        <v>0</v>
      </c>
    </row>
    <row r="147" spans="1:52" x14ac:dyDescent="0.3">
      <c r="A147" t="s">
        <v>573</v>
      </c>
      <c r="B147">
        <v>136</v>
      </c>
      <c r="C147">
        <v>74</v>
      </c>
      <c r="D147" t="s">
        <v>11</v>
      </c>
      <c r="E147" t="s">
        <v>95</v>
      </c>
      <c r="F147" t="s">
        <v>574</v>
      </c>
      <c r="G147" t="s">
        <v>499</v>
      </c>
      <c r="H147">
        <v>188</v>
      </c>
      <c r="I147">
        <v>3.0439934150620403E-8</v>
      </c>
      <c r="J147">
        <f>0.01/Table29[[#This Row],[Strain Rate (min) /s]]</f>
        <v>328515.82235752593</v>
      </c>
      <c r="K147">
        <f>LOG(Table29[[#This Row],[Time to 1% strain (s)]])</f>
        <v>5.5165562913907262</v>
      </c>
      <c r="L147">
        <v>850</v>
      </c>
      <c r="M147">
        <v>6</v>
      </c>
      <c r="P147" t="s">
        <v>7076</v>
      </c>
      <c r="Q147">
        <v>1300</v>
      </c>
      <c r="R147">
        <v>24</v>
      </c>
      <c r="S147">
        <v>1050</v>
      </c>
      <c r="T147">
        <v>6</v>
      </c>
      <c r="W147">
        <v>1</v>
      </c>
      <c r="X147">
        <v>10</v>
      </c>
      <c r="Y147">
        <v>37</v>
      </c>
      <c r="AA147">
        <f>VLOOKUP(Table29[[#This Row],[Shortname]], Comp[], 6, FALSE)</f>
        <v>74</v>
      </c>
      <c r="AB147" s="14">
        <f>VLOOKUP(Table29[[#This Row],[Shortname]], Comp[], 7, FALSE)</f>
        <v>82.500799999999998</v>
      </c>
      <c r="AC147">
        <f>VLOOKUP(Table29[[#This Row],[Shortname]], Comp[], 8, FALSE)</f>
        <v>0</v>
      </c>
      <c r="AD147">
        <f>VLOOKUP(Table29[[#This Row],[Shortname]], Comp[], 9, FALSE)</f>
        <v>9.85</v>
      </c>
      <c r="AE147">
        <f>VLOOKUP(Table29[[#This Row],[Shortname]], Comp[], 10, FALSE)</f>
        <v>0</v>
      </c>
      <c r="AF147">
        <f>VLOOKUP(Table29[[#This Row],[Shortname]], Comp[], 11, FALSE)</f>
        <v>7.64</v>
      </c>
      <c r="AG147">
        <f>VLOOKUP(Table29[[#This Row],[Shortname]], Comp[],12, FALSE)</f>
        <v>0</v>
      </c>
      <c r="AH147">
        <f>VLOOKUP(Table29[[#This Row],[Shortname]], Comp[], 13, FALSE)</f>
        <v>0</v>
      </c>
      <c r="AI147">
        <f>VLOOKUP(Table29[[#This Row],[Shortname]], Comp[], 14, FALSE)</f>
        <v>0</v>
      </c>
      <c r="AJ147">
        <f>VLOOKUP(Table29[[#This Row],[Shortname]], Comp[], 15, FALSE)</f>
        <v>0</v>
      </c>
      <c r="AK147">
        <f>VLOOKUP(Table29[[#This Row],[Shortname]], Comp[], 16, FALSE)</f>
        <v>0</v>
      </c>
      <c r="AL147">
        <f>VLOOKUP(Table29[[#This Row],[Shortname]], Comp[], 17, FALSE)</f>
        <v>0</v>
      </c>
      <c r="AM147">
        <f>VLOOKUP(Table29[[#This Row],[Shortname]], Comp[], 18, FALSE)</f>
        <v>0</v>
      </c>
      <c r="AN147">
        <f>VLOOKUP(Table29[[#This Row],[Shortname]], Comp[], 19, FALSE)</f>
        <v>9.1999999999999998E-3</v>
      </c>
      <c r="AO147">
        <f>VLOOKUP(Table29[[#This Row],[Shortname]], Comp[], 20, FALSE)</f>
        <v>0</v>
      </c>
      <c r="AP147">
        <f>VLOOKUP(Table29[[#This Row],[Shortname]], Comp[], 21, FALSE)</f>
        <v>0</v>
      </c>
      <c r="AQ147">
        <f>VLOOKUP(Table29[[#This Row],[Shortname]], Comp[], 22, FALSE)</f>
        <v>0</v>
      </c>
      <c r="AR147">
        <f>VLOOKUP(Table29[[#This Row],[Shortname]], Comp[], 23, FALSE)</f>
        <v>0</v>
      </c>
      <c r="AS147">
        <f>VLOOKUP(Table29[[#This Row],[Shortname]], Comp[], 24, FALSE)</f>
        <v>0</v>
      </c>
      <c r="AT147">
        <f>VLOOKUP(Table29[[#This Row],[Shortname]], Comp[], 25, FALSE)</f>
        <v>0</v>
      </c>
      <c r="AU147">
        <f>VLOOKUP(Table29[[#This Row],[Shortname]], Comp[], 26, FALSE)</f>
        <v>0</v>
      </c>
      <c r="AV147">
        <f>VLOOKUP(Table29[[#This Row],[Shortname]], Comp[], 27, FALSE)</f>
        <v>0</v>
      </c>
      <c r="AW147">
        <f>VLOOKUP(Table29[[#This Row],[Shortname]], Comp[], 28, FALSE)</f>
        <v>0</v>
      </c>
      <c r="AX147">
        <f>VLOOKUP(Table29[[#This Row],[Shortname]], Comp[], 29, FALSE)</f>
        <v>0</v>
      </c>
      <c r="AY147">
        <f>VLOOKUP(Table29[[#This Row],[Shortname]], Comp[], 30, FALSE)</f>
        <v>0</v>
      </c>
      <c r="AZ147">
        <f>VLOOKUP(Table29[[#This Row],[Shortname]], Comp[], 31, FALSE)</f>
        <v>0</v>
      </c>
    </row>
    <row r="148" spans="1:52" x14ac:dyDescent="0.3">
      <c r="A148" t="s">
        <v>573</v>
      </c>
      <c r="B148">
        <v>137</v>
      </c>
      <c r="C148">
        <v>74</v>
      </c>
      <c r="D148" t="s">
        <v>11</v>
      </c>
      <c r="E148" t="s">
        <v>95</v>
      </c>
      <c r="F148" t="s">
        <v>574</v>
      </c>
      <c r="G148" t="s">
        <v>499</v>
      </c>
      <c r="H148">
        <v>208</v>
      </c>
      <c r="I148">
        <v>5.1644524429336699E-8</v>
      </c>
      <c r="J148">
        <f>0.01/Table29[[#This Row],[Strain Rate (min) /s]]</f>
        <v>193631.3696466047</v>
      </c>
      <c r="K148">
        <f>LOG(Table29[[#This Row],[Time to 1% strain (s)]])</f>
        <v>5.2869757174392928</v>
      </c>
      <c r="L148">
        <v>850</v>
      </c>
      <c r="M148">
        <v>6</v>
      </c>
      <c r="P148" t="s">
        <v>7076</v>
      </c>
      <c r="Q148">
        <v>1300</v>
      </c>
      <c r="R148">
        <v>24</v>
      </c>
      <c r="S148">
        <v>1050</v>
      </c>
      <c r="T148">
        <v>6</v>
      </c>
      <c r="W148">
        <v>1</v>
      </c>
      <c r="X148">
        <v>10</v>
      </c>
      <c r="Y148">
        <v>37</v>
      </c>
      <c r="AA148">
        <f>VLOOKUP(Table29[[#This Row],[Shortname]], Comp[], 6, FALSE)</f>
        <v>74</v>
      </c>
      <c r="AB148" s="14">
        <f>VLOOKUP(Table29[[#This Row],[Shortname]], Comp[], 7, FALSE)</f>
        <v>82.500799999999998</v>
      </c>
      <c r="AC148">
        <f>VLOOKUP(Table29[[#This Row],[Shortname]], Comp[], 8, FALSE)</f>
        <v>0</v>
      </c>
      <c r="AD148">
        <f>VLOOKUP(Table29[[#This Row],[Shortname]], Comp[], 9, FALSE)</f>
        <v>9.85</v>
      </c>
      <c r="AE148">
        <f>VLOOKUP(Table29[[#This Row],[Shortname]], Comp[], 10, FALSE)</f>
        <v>0</v>
      </c>
      <c r="AF148">
        <f>VLOOKUP(Table29[[#This Row],[Shortname]], Comp[], 11, FALSE)</f>
        <v>7.64</v>
      </c>
      <c r="AG148">
        <f>VLOOKUP(Table29[[#This Row],[Shortname]], Comp[],12, FALSE)</f>
        <v>0</v>
      </c>
      <c r="AH148">
        <f>VLOOKUP(Table29[[#This Row],[Shortname]], Comp[], 13, FALSE)</f>
        <v>0</v>
      </c>
      <c r="AI148">
        <f>VLOOKUP(Table29[[#This Row],[Shortname]], Comp[], 14, FALSE)</f>
        <v>0</v>
      </c>
      <c r="AJ148">
        <f>VLOOKUP(Table29[[#This Row],[Shortname]], Comp[], 15, FALSE)</f>
        <v>0</v>
      </c>
      <c r="AK148">
        <f>VLOOKUP(Table29[[#This Row],[Shortname]], Comp[], 16, FALSE)</f>
        <v>0</v>
      </c>
      <c r="AL148">
        <f>VLOOKUP(Table29[[#This Row],[Shortname]], Comp[], 17, FALSE)</f>
        <v>0</v>
      </c>
      <c r="AM148">
        <f>VLOOKUP(Table29[[#This Row],[Shortname]], Comp[], 18, FALSE)</f>
        <v>0</v>
      </c>
      <c r="AN148">
        <f>VLOOKUP(Table29[[#This Row],[Shortname]], Comp[], 19, FALSE)</f>
        <v>9.1999999999999998E-3</v>
      </c>
      <c r="AO148">
        <f>VLOOKUP(Table29[[#This Row],[Shortname]], Comp[], 20, FALSE)</f>
        <v>0</v>
      </c>
      <c r="AP148">
        <f>VLOOKUP(Table29[[#This Row],[Shortname]], Comp[], 21, FALSE)</f>
        <v>0</v>
      </c>
      <c r="AQ148">
        <f>VLOOKUP(Table29[[#This Row],[Shortname]], Comp[], 22, FALSE)</f>
        <v>0</v>
      </c>
      <c r="AR148">
        <f>VLOOKUP(Table29[[#This Row],[Shortname]], Comp[], 23, FALSE)</f>
        <v>0</v>
      </c>
      <c r="AS148">
        <f>VLOOKUP(Table29[[#This Row],[Shortname]], Comp[], 24, FALSE)</f>
        <v>0</v>
      </c>
      <c r="AT148">
        <f>VLOOKUP(Table29[[#This Row],[Shortname]], Comp[], 25, FALSE)</f>
        <v>0</v>
      </c>
      <c r="AU148">
        <f>VLOOKUP(Table29[[#This Row],[Shortname]], Comp[], 26, FALSE)</f>
        <v>0</v>
      </c>
      <c r="AV148">
        <f>VLOOKUP(Table29[[#This Row],[Shortname]], Comp[], 27, FALSE)</f>
        <v>0</v>
      </c>
      <c r="AW148">
        <f>VLOOKUP(Table29[[#This Row],[Shortname]], Comp[], 28, FALSE)</f>
        <v>0</v>
      </c>
      <c r="AX148">
        <f>VLOOKUP(Table29[[#This Row],[Shortname]], Comp[], 29, FALSE)</f>
        <v>0</v>
      </c>
      <c r="AY148">
        <f>VLOOKUP(Table29[[#This Row],[Shortname]], Comp[], 30, FALSE)</f>
        <v>0</v>
      </c>
      <c r="AZ148">
        <f>VLOOKUP(Table29[[#This Row],[Shortname]], Comp[], 31, FALSE)</f>
        <v>0</v>
      </c>
    </row>
    <row r="149" spans="1:52" x14ac:dyDescent="0.3">
      <c r="A149" t="s">
        <v>573</v>
      </c>
      <c r="B149">
        <v>138</v>
      </c>
      <c r="C149">
        <v>74</v>
      </c>
      <c r="D149" t="s">
        <v>11</v>
      </c>
      <c r="E149" t="s">
        <v>95</v>
      </c>
      <c r="F149" t="s">
        <v>574</v>
      </c>
      <c r="G149" t="s">
        <v>499</v>
      </c>
      <c r="H149">
        <v>227</v>
      </c>
      <c r="I149">
        <v>1.01021778730219E-7</v>
      </c>
      <c r="J149">
        <f>0.01/Table29[[#This Row],[Strain Rate (min) /s]]</f>
        <v>98988.55598954788</v>
      </c>
      <c r="K149">
        <f>LOG(Table29[[#This Row],[Time to 1% strain (s)]])</f>
        <v>4.9955849889624728</v>
      </c>
      <c r="L149">
        <v>850</v>
      </c>
      <c r="M149">
        <v>6</v>
      </c>
      <c r="P149" t="s">
        <v>7076</v>
      </c>
      <c r="Q149">
        <v>1300</v>
      </c>
      <c r="R149">
        <v>24</v>
      </c>
      <c r="S149">
        <v>1050</v>
      </c>
      <c r="T149">
        <v>6</v>
      </c>
      <c r="W149">
        <v>1</v>
      </c>
      <c r="X149">
        <v>10</v>
      </c>
      <c r="Y149">
        <v>37</v>
      </c>
      <c r="AA149">
        <f>VLOOKUP(Table29[[#This Row],[Shortname]], Comp[], 6, FALSE)</f>
        <v>74</v>
      </c>
      <c r="AB149" s="14">
        <f>VLOOKUP(Table29[[#This Row],[Shortname]], Comp[], 7, FALSE)</f>
        <v>82.500799999999998</v>
      </c>
      <c r="AC149">
        <f>VLOOKUP(Table29[[#This Row],[Shortname]], Comp[], 8, FALSE)</f>
        <v>0</v>
      </c>
      <c r="AD149">
        <f>VLOOKUP(Table29[[#This Row],[Shortname]], Comp[], 9, FALSE)</f>
        <v>9.85</v>
      </c>
      <c r="AE149">
        <f>VLOOKUP(Table29[[#This Row],[Shortname]], Comp[], 10, FALSE)</f>
        <v>0</v>
      </c>
      <c r="AF149">
        <f>VLOOKUP(Table29[[#This Row],[Shortname]], Comp[], 11, FALSE)</f>
        <v>7.64</v>
      </c>
      <c r="AG149">
        <f>VLOOKUP(Table29[[#This Row],[Shortname]], Comp[],12, FALSE)</f>
        <v>0</v>
      </c>
      <c r="AH149">
        <f>VLOOKUP(Table29[[#This Row],[Shortname]], Comp[], 13, FALSE)</f>
        <v>0</v>
      </c>
      <c r="AI149">
        <f>VLOOKUP(Table29[[#This Row],[Shortname]], Comp[], 14, FALSE)</f>
        <v>0</v>
      </c>
      <c r="AJ149">
        <f>VLOOKUP(Table29[[#This Row],[Shortname]], Comp[], 15, FALSE)</f>
        <v>0</v>
      </c>
      <c r="AK149">
        <f>VLOOKUP(Table29[[#This Row],[Shortname]], Comp[], 16, FALSE)</f>
        <v>0</v>
      </c>
      <c r="AL149">
        <f>VLOOKUP(Table29[[#This Row],[Shortname]], Comp[], 17, FALSE)</f>
        <v>0</v>
      </c>
      <c r="AM149">
        <f>VLOOKUP(Table29[[#This Row],[Shortname]], Comp[], 18, FALSE)</f>
        <v>0</v>
      </c>
      <c r="AN149">
        <f>VLOOKUP(Table29[[#This Row],[Shortname]], Comp[], 19, FALSE)</f>
        <v>9.1999999999999998E-3</v>
      </c>
      <c r="AO149">
        <f>VLOOKUP(Table29[[#This Row],[Shortname]], Comp[], 20, FALSE)</f>
        <v>0</v>
      </c>
      <c r="AP149">
        <f>VLOOKUP(Table29[[#This Row],[Shortname]], Comp[], 21, FALSE)</f>
        <v>0</v>
      </c>
      <c r="AQ149">
        <f>VLOOKUP(Table29[[#This Row],[Shortname]], Comp[], 22, FALSE)</f>
        <v>0</v>
      </c>
      <c r="AR149">
        <f>VLOOKUP(Table29[[#This Row],[Shortname]], Comp[], 23, FALSE)</f>
        <v>0</v>
      </c>
      <c r="AS149">
        <f>VLOOKUP(Table29[[#This Row],[Shortname]], Comp[], 24, FALSE)</f>
        <v>0</v>
      </c>
      <c r="AT149">
        <f>VLOOKUP(Table29[[#This Row],[Shortname]], Comp[], 25, FALSE)</f>
        <v>0</v>
      </c>
      <c r="AU149">
        <f>VLOOKUP(Table29[[#This Row],[Shortname]], Comp[], 26, FALSE)</f>
        <v>0</v>
      </c>
      <c r="AV149">
        <f>VLOOKUP(Table29[[#This Row],[Shortname]], Comp[], 27, FALSE)</f>
        <v>0</v>
      </c>
      <c r="AW149">
        <f>VLOOKUP(Table29[[#This Row],[Shortname]], Comp[], 28, FALSE)</f>
        <v>0</v>
      </c>
      <c r="AX149">
        <f>VLOOKUP(Table29[[#This Row],[Shortname]], Comp[], 29, FALSE)</f>
        <v>0</v>
      </c>
      <c r="AY149">
        <f>VLOOKUP(Table29[[#This Row],[Shortname]], Comp[], 30, FALSE)</f>
        <v>0</v>
      </c>
      <c r="AZ149">
        <f>VLOOKUP(Table29[[#This Row],[Shortname]], Comp[], 31, FALSE)</f>
        <v>0</v>
      </c>
    </row>
    <row r="150" spans="1:52" x14ac:dyDescent="0.3">
      <c r="A150" t="s">
        <v>573</v>
      </c>
      <c r="B150">
        <v>139</v>
      </c>
      <c r="C150">
        <v>74</v>
      </c>
      <c r="D150" t="s">
        <v>11</v>
      </c>
      <c r="E150" t="s">
        <v>95</v>
      </c>
      <c r="F150" t="s">
        <v>574</v>
      </c>
      <c r="G150" t="s">
        <v>499</v>
      </c>
      <c r="H150">
        <v>263</v>
      </c>
      <c r="I150">
        <v>3.0285601466266198E-7</v>
      </c>
      <c r="J150">
        <f>0.01/Table29[[#This Row],[Strain Rate (min) /s]]</f>
        <v>33018.990925897779</v>
      </c>
      <c r="K150">
        <f>LOG(Table29[[#This Row],[Time to 1% strain (s)]])</f>
        <v>4.518763796909492</v>
      </c>
      <c r="L150">
        <v>850</v>
      </c>
      <c r="M150">
        <v>6</v>
      </c>
      <c r="P150" t="s">
        <v>7076</v>
      </c>
      <c r="Q150">
        <v>1300</v>
      </c>
      <c r="R150">
        <v>24</v>
      </c>
      <c r="S150">
        <v>1050</v>
      </c>
      <c r="T150">
        <v>6</v>
      </c>
      <c r="W150">
        <v>1</v>
      </c>
      <c r="X150">
        <v>10</v>
      </c>
      <c r="Y150">
        <v>37</v>
      </c>
      <c r="AA150">
        <f>VLOOKUP(Table29[[#This Row],[Shortname]], Comp[], 6, FALSE)</f>
        <v>74</v>
      </c>
      <c r="AB150" s="14">
        <f>VLOOKUP(Table29[[#This Row],[Shortname]], Comp[], 7, FALSE)</f>
        <v>82.500799999999998</v>
      </c>
      <c r="AC150">
        <f>VLOOKUP(Table29[[#This Row],[Shortname]], Comp[], 8, FALSE)</f>
        <v>0</v>
      </c>
      <c r="AD150">
        <f>VLOOKUP(Table29[[#This Row],[Shortname]], Comp[], 9, FALSE)</f>
        <v>9.85</v>
      </c>
      <c r="AE150">
        <f>VLOOKUP(Table29[[#This Row],[Shortname]], Comp[], 10, FALSE)</f>
        <v>0</v>
      </c>
      <c r="AF150">
        <f>VLOOKUP(Table29[[#This Row],[Shortname]], Comp[], 11, FALSE)</f>
        <v>7.64</v>
      </c>
      <c r="AG150">
        <f>VLOOKUP(Table29[[#This Row],[Shortname]], Comp[],12, FALSE)</f>
        <v>0</v>
      </c>
      <c r="AH150">
        <f>VLOOKUP(Table29[[#This Row],[Shortname]], Comp[], 13, FALSE)</f>
        <v>0</v>
      </c>
      <c r="AI150">
        <f>VLOOKUP(Table29[[#This Row],[Shortname]], Comp[], 14, FALSE)</f>
        <v>0</v>
      </c>
      <c r="AJ150">
        <f>VLOOKUP(Table29[[#This Row],[Shortname]], Comp[], 15, FALSE)</f>
        <v>0</v>
      </c>
      <c r="AK150">
        <f>VLOOKUP(Table29[[#This Row],[Shortname]], Comp[], 16, FALSE)</f>
        <v>0</v>
      </c>
      <c r="AL150">
        <f>VLOOKUP(Table29[[#This Row],[Shortname]], Comp[], 17, FALSE)</f>
        <v>0</v>
      </c>
      <c r="AM150">
        <f>VLOOKUP(Table29[[#This Row],[Shortname]], Comp[], 18, FALSE)</f>
        <v>0</v>
      </c>
      <c r="AN150">
        <f>VLOOKUP(Table29[[#This Row],[Shortname]], Comp[], 19, FALSE)</f>
        <v>9.1999999999999998E-3</v>
      </c>
      <c r="AO150">
        <f>VLOOKUP(Table29[[#This Row],[Shortname]], Comp[], 20, FALSE)</f>
        <v>0</v>
      </c>
      <c r="AP150">
        <f>VLOOKUP(Table29[[#This Row],[Shortname]], Comp[], 21, FALSE)</f>
        <v>0</v>
      </c>
      <c r="AQ150">
        <f>VLOOKUP(Table29[[#This Row],[Shortname]], Comp[], 22, FALSE)</f>
        <v>0</v>
      </c>
      <c r="AR150">
        <f>VLOOKUP(Table29[[#This Row],[Shortname]], Comp[], 23, FALSE)</f>
        <v>0</v>
      </c>
      <c r="AS150">
        <f>VLOOKUP(Table29[[#This Row],[Shortname]], Comp[], 24, FALSE)</f>
        <v>0</v>
      </c>
      <c r="AT150">
        <f>VLOOKUP(Table29[[#This Row],[Shortname]], Comp[], 25, FALSE)</f>
        <v>0</v>
      </c>
      <c r="AU150">
        <f>VLOOKUP(Table29[[#This Row],[Shortname]], Comp[], 26, FALSE)</f>
        <v>0</v>
      </c>
      <c r="AV150">
        <f>VLOOKUP(Table29[[#This Row],[Shortname]], Comp[], 27, FALSE)</f>
        <v>0</v>
      </c>
      <c r="AW150">
        <f>VLOOKUP(Table29[[#This Row],[Shortname]], Comp[], 28, FALSE)</f>
        <v>0</v>
      </c>
      <c r="AX150">
        <f>VLOOKUP(Table29[[#This Row],[Shortname]], Comp[], 29, FALSE)</f>
        <v>0</v>
      </c>
      <c r="AY150">
        <f>VLOOKUP(Table29[[#This Row],[Shortname]], Comp[], 30, FALSE)</f>
        <v>0</v>
      </c>
      <c r="AZ150">
        <f>VLOOKUP(Table29[[#This Row],[Shortname]], Comp[], 31, FALSE)</f>
        <v>0</v>
      </c>
    </row>
    <row r="151" spans="1:52" x14ac:dyDescent="0.3">
      <c r="A151" t="s">
        <v>581</v>
      </c>
      <c r="B151">
        <v>142</v>
      </c>
      <c r="C151">
        <v>75</v>
      </c>
      <c r="D151" t="s">
        <v>582</v>
      </c>
      <c r="E151" t="s">
        <v>95</v>
      </c>
      <c r="F151" t="s">
        <v>583</v>
      </c>
      <c r="G151" t="s">
        <v>499</v>
      </c>
      <c r="H151">
        <v>127</v>
      </c>
      <c r="I151">
        <v>9.4898E-9</v>
      </c>
      <c r="J151">
        <f>0.01/Table29[[#This Row],[Strain Rate (min) /s]]</f>
        <v>1053762.9876288224</v>
      </c>
      <c r="K151">
        <f>LOG(Table29[[#This Row],[Time to 1% strain (s)]])</f>
        <v>6.0227429403452746</v>
      </c>
      <c r="L151">
        <v>850</v>
      </c>
      <c r="M151">
        <v>5.4</v>
      </c>
      <c r="P151" t="s">
        <v>7078</v>
      </c>
      <c r="Q151">
        <v>1300</v>
      </c>
      <c r="R151">
        <v>24</v>
      </c>
      <c r="S151">
        <v>1050</v>
      </c>
      <c r="T151">
        <v>6</v>
      </c>
      <c r="W151">
        <v>1</v>
      </c>
      <c r="X151">
        <v>10</v>
      </c>
      <c r="Y151">
        <v>37</v>
      </c>
      <c r="AA151">
        <f>VLOOKUP(Table29[[#This Row],[Shortname]], Comp[], 6, FALSE)</f>
        <v>75</v>
      </c>
      <c r="AB151" s="14">
        <f>VLOOKUP(Table29[[#This Row],[Shortname]], Comp[], 7, FALSE)</f>
        <v>82.984999999999999</v>
      </c>
      <c r="AC151">
        <f>VLOOKUP(Table29[[#This Row],[Shortname]], Comp[], 8, FALSE)</f>
        <v>0</v>
      </c>
      <c r="AD151">
        <f>VLOOKUP(Table29[[#This Row],[Shortname]], Comp[], 9, FALSE)</f>
        <v>9.58</v>
      </c>
      <c r="AE151">
        <f>VLOOKUP(Table29[[#This Row],[Shortname]], Comp[], 10, FALSE)</f>
        <v>0</v>
      </c>
      <c r="AF151">
        <f>VLOOKUP(Table29[[#This Row],[Shortname]], Comp[], 11, FALSE)</f>
        <v>7.4</v>
      </c>
      <c r="AG151">
        <f>VLOOKUP(Table29[[#This Row],[Shortname]], Comp[],12, FALSE)</f>
        <v>0</v>
      </c>
      <c r="AH151">
        <f>VLOOKUP(Table29[[#This Row],[Shortname]], Comp[], 13, FALSE)</f>
        <v>0</v>
      </c>
      <c r="AI151">
        <f>VLOOKUP(Table29[[#This Row],[Shortname]], Comp[], 14, FALSE)</f>
        <v>0</v>
      </c>
      <c r="AJ151">
        <f>VLOOKUP(Table29[[#This Row],[Shortname]], Comp[], 15, FALSE)</f>
        <v>0</v>
      </c>
      <c r="AK151">
        <f>VLOOKUP(Table29[[#This Row],[Shortname]], Comp[], 16, FALSE)</f>
        <v>0</v>
      </c>
      <c r="AL151">
        <f>VLOOKUP(Table29[[#This Row],[Shortname]], Comp[], 17, FALSE)</f>
        <v>0</v>
      </c>
      <c r="AM151">
        <f>VLOOKUP(Table29[[#This Row],[Shortname]], Comp[], 18, FALSE)</f>
        <v>3.5000000000000003E-2</v>
      </c>
      <c r="AN151">
        <f>VLOOKUP(Table29[[#This Row],[Shortname]], Comp[], 19, FALSE)</f>
        <v>0</v>
      </c>
      <c r="AO151">
        <f>VLOOKUP(Table29[[#This Row],[Shortname]], Comp[], 20, FALSE)</f>
        <v>0</v>
      </c>
      <c r="AP151">
        <f>VLOOKUP(Table29[[#This Row],[Shortname]], Comp[], 21, FALSE)</f>
        <v>0</v>
      </c>
      <c r="AQ151">
        <f>VLOOKUP(Table29[[#This Row],[Shortname]], Comp[], 22, FALSE)</f>
        <v>0</v>
      </c>
      <c r="AR151">
        <f>VLOOKUP(Table29[[#This Row],[Shortname]], Comp[], 23, FALSE)</f>
        <v>0</v>
      </c>
      <c r="AS151">
        <f>VLOOKUP(Table29[[#This Row],[Shortname]], Comp[], 24, FALSE)</f>
        <v>0</v>
      </c>
      <c r="AT151">
        <f>VLOOKUP(Table29[[#This Row],[Shortname]], Comp[], 25, FALSE)</f>
        <v>0</v>
      </c>
      <c r="AU151">
        <f>VLOOKUP(Table29[[#This Row],[Shortname]], Comp[], 26, FALSE)</f>
        <v>0</v>
      </c>
      <c r="AV151">
        <f>VLOOKUP(Table29[[#This Row],[Shortname]], Comp[], 27, FALSE)</f>
        <v>0</v>
      </c>
      <c r="AW151">
        <f>VLOOKUP(Table29[[#This Row],[Shortname]], Comp[], 28, FALSE)</f>
        <v>0</v>
      </c>
      <c r="AX151">
        <f>VLOOKUP(Table29[[#This Row],[Shortname]], Comp[], 29, FALSE)</f>
        <v>0</v>
      </c>
      <c r="AY151">
        <f>VLOOKUP(Table29[[#This Row],[Shortname]], Comp[], 30, FALSE)</f>
        <v>0</v>
      </c>
      <c r="AZ151">
        <f>VLOOKUP(Table29[[#This Row],[Shortname]], Comp[], 31, FALSE)</f>
        <v>0</v>
      </c>
    </row>
    <row r="152" spans="1:52" x14ac:dyDescent="0.3">
      <c r="A152" t="s">
        <v>581</v>
      </c>
      <c r="B152">
        <v>143</v>
      </c>
      <c r="C152">
        <v>75</v>
      </c>
      <c r="D152" t="s">
        <v>11</v>
      </c>
      <c r="E152" t="s">
        <v>95</v>
      </c>
      <c r="F152" t="s">
        <v>583</v>
      </c>
      <c r="G152" t="s">
        <v>499</v>
      </c>
      <c r="H152">
        <v>144</v>
      </c>
      <c r="I152">
        <v>1.5763E-8</v>
      </c>
      <c r="J152">
        <f>0.01/Table29[[#This Row],[Strain Rate (min) /s]]</f>
        <v>634397.00564613333</v>
      </c>
      <c r="K152">
        <f>LOG(Table29[[#This Row],[Time to 1% strain (s)]])</f>
        <v>5.8023611244444302</v>
      </c>
      <c r="L152">
        <v>850</v>
      </c>
      <c r="M152">
        <v>5.4</v>
      </c>
      <c r="P152" t="s">
        <v>7078</v>
      </c>
      <c r="Q152">
        <v>1300</v>
      </c>
      <c r="R152">
        <v>24</v>
      </c>
      <c r="S152">
        <v>1050</v>
      </c>
      <c r="T152">
        <v>6</v>
      </c>
      <c r="W152">
        <v>1</v>
      </c>
      <c r="X152">
        <v>10</v>
      </c>
      <c r="Y152">
        <v>37</v>
      </c>
      <c r="AA152">
        <f>VLOOKUP(Table29[[#This Row],[Shortname]], Comp[], 6, FALSE)</f>
        <v>75</v>
      </c>
      <c r="AB152" s="14">
        <f>VLOOKUP(Table29[[#This Row],[Shortname]], Comp[], 7, FALSE)</f>
        <v>82.984999999999999</v>
      </c>
      <c r="AC152">
        <f>VLOOKUP(Table29[[#This Row],[Shortname]], Comp[], 8, FALSE)</f>
        <v>0</v>
      </c>
      <c r="AD152">
        <f>VLOOKUP(Table29[[#This Row],[Shortname]], Comp[], 9, FALSE)</f>
        <v>9.58</v>
      </c>
      <c r="AE152">
        <f>VLOOKUP(Table29[[#This Row],[Shortname]], Comp[], 10, FALSE)</f>
        <v>0</v>
      </c>
      <c r="AF152">
        <f>VLOOKUP(Table29[[#This Row],[Shortname]], Comp[], 11, FALSE)</f>
        <v>7.4</v>
      </c>
      <c r="AG152">
        <f>VLOOKUP(Table29[[#This Row],[Shortname]], Comp[],12, FALSE)</f>
        <v>0</v>
      </c>
      <c r="AH152">
        <f>VLOOKUP(Table29[[#This Row],[Shortname]], Comp[], 13, FALSE)</f>
        <v>0</v>
      </c>
      <c r="AI152">
        <f>VLOOKUP(Table29[[#This Row],[Shortname]], Comp[], 14, FALSE)</f>
        <v>0</v>
      </c>
      <c r="AJ152">
        <f>VLOOKUP(Table29[[#This Row],[Shortname]], Comp[], 15, FALSE)</f>
        <v>0</v>
      </c>
      <c r="AK152">
        <f>VLOOKUP(Table29[[#This Row],[Shortname]], Comp[], 16, FALSE)</f>
        <v>0</v>
      </c>
      <c r="AL152">
        <f>VLOOKUP(Table29[[#This Row],[Shortname]], Comp[], 17, FALSE)</f>
        <v>0</v>
      </c>
      <c r="AM152">
        <f>VLOOKUP(Table29[[#This Row],[Shortname]], Comp[], 18, FALSE)</f>
        <v>3.5000000000000003E-2</v>
      </c>
      <c r="AN152">
        <f>VLOOKUP(Table29[[#This Row],[Shortname]], Comp[], 19, FALSE)</f>
        <v>0</v>
      </c>
      <c r="AO152">
        <f>VLOOKUP(Table29[[#This Row],[Shortname]], Comp[], 20, FALSE)</f>
        <v>0</v>
      </c>
      <c r="AP152">
        <f>VLOOKUP(Table29[[#This Row],[Shortname]], Comp[], 21, FALSE)</f>
        <v>0</v>
      </c>
      <c r="AQ152">
        <f>VLOOKUP(Table29[[#This Row],[Shortname]], Comp[], 22, FALSE)</f>
        <v>0</v>
      </c>
      <c r="AR152">
        <f>VLOOKUP(Table29[[#This Row],[Shortname]], Comp[], 23, FALSE)</f>
        <v>0</v>
      </c>
      <c r="AS152">
        <f>VLOOKUP(Table29[[#This Row],[Shortname]], Comp[], 24, FALSE)</f>
        <v>0</v>
      </c>
      <c r="AT152">
        <f>VLOOKUP(Table29[[#This Row],[Shortname]], Comp[], 25, FALSE)</f>
        <v>0</v>
      </c>
      <c r="AU152">
        <f>VLOOKUP(Table29[[#This Row],[Shortname]], Comp[], 26, FALSE)</f>
        <v>0</v>
      </c>
      <c r="AV152">
        <f>VLOOKUP(Table29[[#This Row],[Shortname]], Comp[], 27, FALSE)</f>
        <v>0</v>
      </c>
      <c r="AW152">
        <f>VLOOKUP(Table29[[#This Row],[Shortname]], Comp[], 28, FALSE)</f>
        <v>0</v>
      </c>
      <c r="AX152">
        <f>VLOOKUP(Table29[[#This Row],[Shortname]], Comp[], 29, FALSE)</f>
        <v>0</v>
      </c>
      <c r="AY152">
        <f>VLOOKUP(Table29[[#This Row],[Shortname]], Comp[], 30, FALSE)</f>
        <v>0</v>
      </c>
      <c r="AZ152">
        <f>VLOOKUP(Table29[[#This Row],[Shortname]], Comp[], 31, FALSE)</f>
        <v>0</v>
      </c>
    </row>
    <row r="153" spans="1:52" x14ac:dyDescent="0.3">
      <c r="A153" t="s">
        <v>581</v>
      </c>
      <c r="B153">
        <v>144</v>
      </c>
      <c r="C153">
        <v>75</v>
      </c>
      <c r="D153" t="s">
        <v>11</v>
      </c>
      <c r="E153" t="s">
        <v>95</v>
      </c>
      <c r="F153" t="s">
        <v>583</v>
      </c>
      <c r="G153" t="s">
        <v>499</v>
      </c>
      <c r="H153">
        <v>153</v>
      </c>
      <c r="I153">
        <v>2.2099000000000002E-8</v>
      </c>
      <c r="J153">
        <f>0.01/Table29[[#This Row],[Strain Rate (min) /s]]</f>
        <v>452509.16331055702</v>
      </c>
      <c r="K153">
        <f>LOG(Table29[[#This Row],[Time to 1% strain (s)]])</f>
        <v>5.6556273780935262</v>
      </c>
      <c r="L153">
        <v>850</v>
      </c>
      <c r="M153">
        <v>5.4</v>
      </c>
      <c r="P153" t="s">
        <v>7078</v>
      </c>
      <c r="Q153">
        <v>1300</v>
      </c>
      <c r="R153">
        <v>24</v>
      </c>
      <c r="S153">
        <v>1050</v>
      </c>
      <c r="T153">
        <v>6</v>
      </c>
      <c r="W153">
        <v>1</v>
      </c>
      <c r="X153">
        <v>10</v>
      </c>
      <c r="Y153">
        <v>37</v>
      </c>
      <c r="AA153">
        <f>VLOOKUP(Table29[[#This Row],[Shortname]], Comp[], 6, FALSE)</f>
        <v>75</v>
      </c>
      <c r="AB153" s="14">
        <f>VLOOKUP(Table29[[#This Row],[Shortname]], Comp[], 7, FALSE)</f>
        <v>82.984999999999999</v>
      </c>
      <c r="AC153">
        <f>VLOOKUP(Table29[[#This Row],[Shortname]], Comp[], 8, FALSE)</f>
        <v>0</v>
      </c>
      <c r="AD153">
        <f>VLOOKUP(Table29[[#This Row],[Shortname]], Comp[], 9, FALSE)</f>
        <v>9.58</v>
      </c>
      <c r="AE153">
        <f>VLOOKUP(Table29[[#This Row],[Shortname]], Comp[], 10, FALSE)</f>
        <v>0</v>
      </c>
      <c r="AF153">
        <f>VLOOKUP(Table29[[#This Row],[Shortname]], Comp[], 11, FALSE)</f>
        <v>7.4</v>
      </c>
      <c r="AG153">
        <f>VLOOKUP(Table29[[#This Row],[Shortname]], Comp[],12, FALSE)</f>
        <v>0</v>
      </c>
      <c r="AH153">
        <f>VLOOKUP(Table29[[#This Row],[Shortname]], Comp[], 13, FALSE)</f>
        <v>0</v>
      </c>
      <c r="AI153">
        <f>VLOOKUP(Table29[[#This Row],[Shortname]], Comp[], 14, FALSE)</f>
        <v>0</v>
      </c>
      <c r="AJ153">
        <f>VLOOKUP(Table29[[#This Row],[Shortname]], Comp[], 15, FALSE)</f>
        <v>0</v>
      </c>
      <c r="AK153">
        <f>VLOOKUP(Table29[[#This Row],[Shortname]], Comp[], 16, FALSE)</f>
        <v>0</v>
      </c>
      <c r="AL153">
        <f>VLOOKUP(Table29[[#This Row],[Shortname]], Comp[], 17, FALSE)</f>
        <v>0</v>
      </c>
      <c r="AM153">
        <f>VLOOKUP(Table29[[#This Row],[Shortname]], Comp[], 18, FALSE)</f>
        <v>3.5000000000000003E-2</v>
      </c>
      <c r="AN153">
        <f>VLOOKUP(Table29[[#This Row],[Shortname]], Comp[], 19, FALSE)</f>
        <v>0</v>
      </c>
      <c r="AO153">
        <f>VLOOKUP(Table29[[#This Row],[Shortname]], Comp[], 20, FALSE)</f>
        <v>0</v>
      </c>
      <c r="AP153">
        <f>VLOOKUP(Table29[[#This Row],[Shortname]], Comp[], 21, FALSE)</f>
        <v>0</v>
      </c>
      <c r="AQ153">
        <f>VLOOKUP(Table29[[#This Row],[Shortname]], Comp[], 22, FALSE)</f>
        <v>0</v>
      </c>
      <c r="AR153">
        <f>VLOOKUP(Table29[[#This Row],[Shortname]], Comp[], 23, FALSE)</f>
        <v>0</v>
      </c>
      <c r="AS153">
        <f>VLOOKUP(Table29[[#This Row],[Shortname]], Comp[], 24, FALSE)</f>
        <v>0</v>
      </c>
      <c r="AT153">
        <f>VLOOKUP(Table29[[#This Row],[Shortname]], Comp[], 25, FALSE)</f>
        <v>0</v>
      </c>
      <c r="AU153">
        <f>VLOOKUP(Table29[[#This Row],[Shortname]], Comp[], 26, FALSE)</f>
        <v>0</v>
      </c>
      <c r="AV153">
        <f>VLOOKUP(Table29[[#This Row],[Shortname]], Comp[], 27, FALSE)</f>
        <v>0</v>
      </c>
      <c r="AW153">
        <f>VLOOKUP(Table29[[#This Row],[Shortname]], Comp[], 28, FALSE)</f>
        <v>0</v>
      </c>
      <c r="AX153">
        <f>VLOOKUP(Table29[[#This Row],[Shortname]], Comp[], 29, FALSE)</f>
        <v>0</v>
      </c>
      <c r="AY153">
        <f>VLOOKUP(Table29[[#This Row],[Shortname]], Comp[], 30, FALSE)</f>
        <v>0</v>
      </c>
      <c r="AZ153">
        <f>VLOOKUP(Table29[[#This Row],[Shortname]], Comp[], 31, FALSE)</f>
        <v>0</v>
      </c>
    </row>
    <row r="154" spans="1:52" x14ac:dyDescent="0.3">
      <c r="A154" t="s">
        <v>581</v>
      </c>
      <c r="B154">
        <v>145</v>
      </c>
      <c r="C154">
        <v>75</v>
      </c>
      <c r="D154" t="s">
        <v>11</v>
      </c>
      <c r="E154" t="s">
        <v>95</v>
      </c>
      <c r="F154" t="s">
        <v>583</v>
      </c>
      <c r="G154" t="s">
        <v>499</v>
      </c>
      <c r="H154">
        <v>173</v>
      </c>
      <c r="I154">
        <v>4.5950999999999999E-8</v>
      </c>
      <c r="J154">
        <f>0.01/Table29[[#This Row],[Strain Rate (min) /s]]</f>
        <v>217623.12028029858</v>
      </c>
      <c r="K154">
        <f>LOG(Table29[[#This Row],[Time to 1% strain (s)]])</f>
        <v>5.3377050329230009</v>
      </c>
      <c r="L154">
        <v>850</v>
      </c>
      <c r="M154">
        <v>5.4</v>
      </c>
      <c r="P154" t="s">
        <v>7078</v>
      </c>
      <c r="Q154">
        <v>1300</v>
      </c>
      <c r="R154">
        <v>24</v>
      </c>
      <c r="S154">
        <v>1050</v>
      </c>
      <c r="T154">
        <v>6</v>
      </c>
      <c r="W154">
        <v>1</v>
      </c>
      <c r="X154">
        <v>10</v>
      </c>
      <c r="Y154">
        <v>37</v>
      </c>
      <c r="AA154">
        <f>VLOOKUP(Table29[[#This Row],[Shortname]], Comp[], 6, FALSE)</f>
        <v>75</v>
      </c>
      <c r="AB154" s="14">
        <f>VLOOKUP(Table29[[#This Row],[Shortname]], Comp[], 7, FALSE)</f>
        <v>82.984999999999999</v>
      </c>
      <c r="AC154">
        <f>VLOOKUP(Table29[[#This Row],[Shortname]], Comp[], 8, FALSE)</f>
        <v>0</v>
      </c>
      <c r="AD154">
        <f>VLOOKUP(Table29[[#This Row],[Shortname]], Comp[], 9, FALSE)</f>
        <v>9.58</v>
      </c>
      <c r="AE154">
        <f>VLOOKUP(Table29[[#This Row],[Shortname]], Comp[], 10, FALSE)</f>
        <v>0</v>
      </c>
      <c r="AF154">
        <f>VLOOKUP(Table29[[#This Row],[Shortname]], Comp[], 11, FALSE)</f>
        <v>7.4</v>
      </c>
      <c r="AG154">
        <f>VLOOKUP(Table29[[#This Row],[Shortname]], Comp[],12, FALSE)</f>
        <v>0</v>
      </c>
      <c r="AH154">
        <f>VLOOKUP(Table29[[#This Row],[Shortname]], Comp[], 13, FALSE)</f>
        <v>0</v>
      </c>
      <c r="AI154">
        <f>VLOOKUP(Table29[[#This Row],[Shortname]], Comp[], 14, FALSE)</f>
        <v>0</v>
      </c>
      <c r="AJ154">
        <f>VLOOKUP(Table29[[#This Row],[Shortname]], Comp[], 15, FALSE)</f>
        <v>0</v>
      </c>
      <c r="AK154">
        <f>VLOOKUP(Table29[[#This Row],[Shortname]], Comp[], 16, FALSE)</f>
        <v>0</v>
      </c>
      <c r="AL154">
        <f>VLOOKUP(Table29[[#This Row],[Shortname]], Comp[], 17, FALSE)</f>
        <v>0</v>
      </c>
      <c r="AM154">
        <f>VLOOKUP(Table29[[#This Row],[Shortname]], Comp[], 18, FALSE)</f>
        <v>3.5000000000000003E-2</v>
      </c>
      <c r="AN154">
        <f>VLOOKUP(Table29[[#This Row],[Shortname]], Comp[], 19, FALSE)</f>
        <v>0</v>
      </c>
      <c r="AO154">
        <f>VLOOKUP(Table29[[#This Row],[Shortname]], Comp[], 20, FALSE)</f>
        <v>0</v>
      </c>
      <c r="AP154">
        <f>VLOOKUP(Table29[[#This Row],[Shortname]], Comp[], 21, FALSE)</f>
        <v>0</v>
      </c>
      <c r="AQ154">
        <f>VLOOKUP(Table29[[#This Row],[Shortname]], Comp[], 22, FALSE)</f>
        <v>0</v>
      </c>
      <c r="AR154">
        <f>VLOOKUP(Table29[[#This Row],[Shortname]], Comp[], 23, FALSE)</f>
        <v>0</v>
      </c>
      <c r="AS154">
        <f>VLOOKUP(Table29[[#This Row],[Shortname]], Comp[], 24, FALSE)</f>
        <v>0</v>
      </c>
      <c r="AT154">
        <f>VLOOKUP(Table29[[#This Row],[Shortname]], Comp[], 25, FALSE)</f>
        <v>0</v>
      </c>
      <c r="AU154">
        <f>VLOOKUP(Table29[[#This Row],[Shortname]], Comp[], 26, FALSE)</f>
        <v>0</v>
      </c>
      <c r="AV154">
        <f>VLOOKUP(Table29[[#This Row],[Shortname]], Comp[], 27, FALSE)</f>
        <v>0</v>
      </c>
      <c r="AW154">
        <f>VLOOKUP(Table29[[#This Row],[Shortname]], Comp[], 28, FALSE)</f>
        <v>0</v>
      </c>
      <c r="AX154">
        <f>VLOOKUP(Table29[[#This Row],[Shortname]], Comp[], 29, FALSE)</f>
        <v>0</v>
      </c>
      <c r="AY154">
        <f>VLOOKUP(Table29[[#This Row],[Shortname]], Comp[], 30, FALSE)</f>
        <v>0</v>
      </c>
      <c r="AZ154">
        <f>VLOOKUP(Table29[[#This Row],[Shortname]], Comp[], 31, FALSE)</f>
        <v>0</v>
      </c>
    </row>
    <row r="155" spans="1:52" x14ac:dyDescent="0.3">
      <c r="A155" t="s">
        <v>581</v>
      </c>
      <c r="B155">
        <v>146</v>
      </c>
      <c r="C155">
        <v>75</v>
      </c>
      <c r="D155" t="s">
        <v>11</v>
      </c>
      <c r="E155" t="s">
        <v>95</v>
      </c>
      <c r="F155" t="s">
        <v>583</v>
      </c>
      <c r="G155" t="s">
        <v>499</v>
      </c>
      <c r="H155">
        <v>184</v>
      </c>
      <c r="I155">
        <v>7.0085999999999996E-8</v>
      </c>
      <c r="J155">
        <f>0.01/Table29[[#This Row],[Strain Rate (min) /s]]</f>
        <v>142681.84801529552</v>
      </c>
      <c r="K155">
        <f>LOG(Table29[[#This Row],[Time to 1% strain (s)]])</f>
        <v>5.1543687256848738</v>
      </c>
      <c r="L155">
        <v>850</v>
      </c>
      <c r="M155">
        <v>5.4</v>
      </c>
      <c r="P155" t="s">
        <v>7078</v>
      </c>
      <c r="Q155">
        <v>1300</v>
      </c>
      <c r="R155">
        <v>24</v>
      </c>
      <c r="S155">
        <v>1050</v>
      </c>
      <c r="T155">
        <v>6</v>
      </c>
      <c r="W155">
        <v>1</v>
      </c>
      <c r="X155">
        <v>10</v>
      </c>
      <c r="Y155">
        <v>37</v>
      </c>
      <c r="AA155">
        <f>VLOOKUP(Table29[[#This Row],[Shortname]], Comp[], 6, FALSE)</f>
        <v>75</v>
      </c>
      <c r="AB155" s="14">
        <f>VLOOKUP(Table29[[#This Row],[Shortname]], Comp[], 7, FALSE)</f>
        <v>82.984999999999999</v>
      </c>
      <c r="AC155">
        <f>VLOOKUP(Table29[[#This Row],[Shortname]], Comp[], 8, FALSE)</f>
        <v>0</v>
      </c>
      <c r="AD155">
        <f>VLOOKUP(Table29[[#This Row],[Shortname]], Comp[], 9, FALSE)</f>
        <v>9.58</v>
      </c>
      <c r="AE155">
        <f>VLOOKUP(Table29[[#This Row],[Shortname]], Comp[], 10, FALSE)</f>
        <v>0</v>
      </c>
      <c r="AF155">
        <f>VLOOKUP(Table29[[#This Row],[Shortname]], Comp[], 11, FALSE)</f>
        <v>7.4</v>
      </c>
      <c r="AG155">
        <f>VLOOKUP(Table29[[#This Row],[Shortname]], Comp[],12, FALSE)</f>
        <v>0</v>
      </c>
      <c r="AH155">
        <f>VLOOKUP(Table29[[#This Row],[Shortname]], Comp[], 13, FALSE)</f>
        <v>0</v>
      </c>
      <c r="AI155">
        <f>VLOOKUP(Table29[[#This Row],[Shortname]], Comp[], 14, FALSE)</f>
        <v>0</v>
      </c>
      <c r="AJ155">
        <f>VLOOKUP(Table29[[#This Row],[Shortname]], Comp[], 15, FALSE)</f>
        <v>0</v>
      </c>
      <c r="AK155">
        <f>VLOOKUP(Table29[[#This Row],[Shortname]], Comp[], 16, FALSE)</f>
        <v>0</v>
      </c>
      <c r="AL155">
        <f>VLOOKUP(Table29[[#This Row],[Shortname]], Comp[], 17, FALSE)</f>
        <v>0</v>
      </c>
      <c r="AM155">
        <f>VLOOKUP(Table29[[#This Row],[Shortname]], Comp[], 18, FALSE)</f>
        <v>3.5000000000000003E-2</v>
      </c>
      <c r="AN155">
        <f>VLOOKUP(Table29[[#This Row],[Shortname]], Comp[], 19, FALSE)</f>
        <v>0</v>
      </c>
      <c r="AO155">
        <f>VLOOKUP(Table29[[#This Row],[Shortname]], Comp[], 20, FALSE)</f>
        <v>0</v>
      </c>
      <c r="AP155">
        <f>VLOOKUP(Table29[[#This Row],[Shortname]], Comp[], 21, FALSE)</f>
        <v>0</v>
      </c>
      <c r="AQ155">
        <f>VLOOKUP(Table29[[#This Row],[Shortname]], Comp[], 22, FALSE)</f>
        <v>0</v>
      </c>
      <c r="AR155">
        <f>VLOOKUP(Table29[[#This Row],[Shortname]], Comp[], 23, FALSE)</f>
        <v>0</v>
      </c>
      <c r="AS155">
        <f>VLOOKUP(Table29[[#This Row],[Shortname]], Comp[], 24, FALSE)</f>
        <v>0</v>
      </c>
      <c r="AT155">
        <f>VLOOKUP(Table29[[#This Row],[Shortname]], Comp[], 25, FALSE)</f>
        <v>0</v>
      </c>
      <c r="AU155">
        <f>VLOOKUP(Table29[[#This Row],[Shortname]], Comp[], 26, FALSE)</f>
        <v>0</v>
      </c>
      <c r="AV155">
        <f>VLOOKUP(Table29[[#This Row],[Shortname]], Comp[], 27, FALSE)</f>
        <v>0</v>
      </c>
      <c r="AW155">
        <f>VLOOKUP(Table29[[#This Row],[Shortname]], Comp[], 28, FALSE)</f>
        <v>0</v>
      </c>
      <c r="AX155">
        <f>VLOOKUP(Table29[[#This Row],[Shortname]], Comp[], 29, FALSE)</f>
        <v>0</v>
      </c>
      <c r="AY155">
        <f>VLOOKUP(Table29[[#This Row],[Shortname]], Comp[], 30, FALSE)</f>
        <v>0</v>
      </c>
      <c r="AZ155">
        <f>VLOOKUP(Table29[[#This Row],[Shortname]], Comp[], 31, FALSE)</f>
        <v>0</v>
      </c>
    </row>
    <row r="156" spans="1:52" x14ac:dyDescent="0.3">
      <c r="A156" t="s">
        <v>581</v>
      </c>
      <c r="B156">
        <v>147</v>
      </c>
      <c r="C156">
        <v>75</v>
      </c>
      <c r="D156" t="s">
        <v>11</v>
      </c>
      <c r="E156" t="s">
        <v>95</v>
      </c>
      <c r="F156" t="s">
        <v>583</v>
      </c>
      <c r="G156" t="s">
        <v>499</v>
      </c>
      <c r="H156">
        <v>191</v>
      </c>
      <c r="I156">
        <v>6.2679000000000002E-8</v>
      </c>
      <c r="J156">
        <f>0.01/Table29[[#This Row],[Strain Rate (min) /s]]</f>
        <v>159543.06865138243</v>
      </c>
      <c r="K156">
        <f>LOG(Table29[[#This Row],[Time to 1% strain (s)]])</f>
        <v>5.2028779410156094</v>
      </c>
      <c r="L156">
        <v>850</v>
      </c>
      <c r="M156">
        <v>5.4</v>
      </c>
      <c r="P156" t="s">
        <v>7078</v>
      </c>
      <c r="Q156">
        <v>1300</v>
      </c>
      <c r="R156">
        <v>24</v>
      </c>
      <c r="S156">
        <v>1050</v>
      </c>
      <c r="T156">
        <v>6</v>
      </c>
      <c r="W156">
        <v>1</v>
      </c>
      <c r="X156">
        <v>10</v>
      </c>
      <c r="Y156">
        <v>37</v>
      </c>
      <c r="AA156">
        <f>VLOOKUP(Table29[[#This Row],[Shortname]], Comp[], 6, FALSE)</f>
        <v>75</v>
      </c>
      <c r="AB156" s="14">
        <f>VLOOKUP(Table29[[#This Row],[Shortname]], Comp[], 7, FALSE)</f>
        <v>82.984999999999999</v>
      </c>
      <c r="AC156">
        <f>VLOOKUP(Table29[[#This Row],[Shortname]], Comp[], 8, FALSE)</f>
        <v>0</v>
      </c>
      <c r="AD156">
        <f>VLOOKUP(Table29[[#This Row],[Shortname]], Comp[], 9, FALSE)</f>
        <v>9.58</v>
      </c>
      <c r="AE156">
        <f>VLOOKUP(Table29[[#This Row],[Shortname]], Comp[], 10, FALSE)</f>
        <v>0</v>
      </c>
      <c r="AF156">
        <f>VLOOKUP(Table29[[#This Row],[Shortname]], Comp[], 11, FALSE)</f>
        <v>7.4</v>
      </c>
      <c r="AG156">
        <f>VLOOKUP(Table29[[#This Row],[Shortname]], Comp[],12, FALSE)</f>
        <v>0</v>
      </c>
      <c r="AH156">
        <f>VLOOKUP(Table29[[#This Row],[Shortname]], Comp[], 13, FALSE)</f>
        <v>0</v>
      </c>
      <c r="AI156">
        <f>VLOOKUP(Table29[[#This Row],[Shortname]], Comp[], 14, FALSE)</f>
        <v>0</v>
      </c>
      <c r="AJ156">
        <f>VLOOKUP(Table29[[#This Row],[Shortname]], Comp[], 15, FALSE)</f>
        <v>0</v>
      </c>
      <c r="AK156">
        <f>VLOOKUP(Table29[[#This Row],[Shortname]], Comp[], 16, FALSE)</f>
        <v>0</v>
      </c>
      <c r="AL156">
        <f>VLOOKUP(Table29[[#This Row],[Shortname]], Comp[], 17, FALSE)</f>
        <v>0</v>
      </c>
      <c r="AM156">
        <f>VLOOKUP(Table29[[#This Row],[Shortname]], Comp[], 18, FALSE)</f>
        <v>3.5000000000000003E-2</v>
      </c>
      <c r="AN156">
        <f>VLOOKUP(Table29[[#This Row],[Shortname]], Comp[], 19, FALSE)</f>
        <v>0</v>
      </c>
      <c r="AO156">
        <f>VLOOKUP(Table29[[#This Row],[Shortname]], Comp[], 20, FALSE)</f>
        <v>0</v>
      </c>
      <c r="AP156">
        <f>VLOOKUP(Table29[[#This Row],[Shortname]], Comp[], 21, FALSE)</f>
        <v>0</v>
      </c>
      <c r="AQ156">
        <f>VLOOKUP(Table29[[#This Row],[Shortname]], Comp[], 22, FALSE)</f>
        <v>0</v>
      </c>
      <c r="AR156">
        <f>VLOOKUP(Table29[[#This Row],[Shortname]], Comp[], 23, FALSE)</f>
        <v>0</v>
      </c>
      <c r="AS156">
        <f>VLOOKUP(Table29[[#This Row],[Shortname]], Comp[], 24, FALSE)</f>
        <v>0</v>
      </c>
      <c r="AT156">
        <f>VLOOKUP(Table29[[#This Row],[Shortname]], Comp[], 25, FALSE)</f>
        <v>0</v>
      </c>
      <c r="AU156">
        <f>VLOOKUP(Table29[[#This Row],[Shortname]], Comp[], 26, FALSE)</f>
        <v>0</v>
      </c>
      <c r="AV156">
        <f>VLOOKUP(Table29[[#This Row],[Shortname]], Comp[], 27, FALSE)</f>
        <v>0</v>
      </c>
      <c r="AW156">
        <f>VLOOKUP(Table29[[#This Row],[Shortname]], Comp[], 28, FALSE)</f>
        <v>0</v>
      </c>
      <c r="AX156">
        <f>VLOOKUP(Table29[[#This Row],[Shortname]], Comp[], 29, FALSE)</f>
        <v>0</v>
      </c>
      <c r="AY156">
        <f>VLOOKUP(Table29[[#This Row],[Shortname]], Comp[], 30, FALSE)</f>
        <v>0</v>
      </c>
      <c r="AZ156">
        <f>VLOOKUP(Table29[[#This Row],[Shortname]], Comp[], 31, FALSE)</f>
        <v>0</v>
      </c>
    </row>
    <row r="157" spans="1:52" x14ac:dyDescent="0.3">
      <c r="A157" t="s">
        <v>581</v>
      </c>
      <c r="B157">
        <v>148</v>
      </c>
      <c r="C157">
        <v>75</v>
      </c>
      <c r="D157" t="s">
        <v>11</v>
      </c>
      <c r="E157" t="s">
        <v>95</v>
      </c>
      <c r="F157" t="s">
        <v>583</v>
      </c>
      <c r="G157" t="s">
        <v>499</v>
      </c>
      <c r="H157">
        <v>230</v>
      </c>
      <c r="I157">
        <v>2.4885000000000001E-7</v>
      </c>
      <c r="J157">
        <f>0.01/Table29[[#This Row],[Strain Rate (min) /s]]</f>
        <v>40184.850311432587</v>
      </c>
      <c r="K157">
        <f>LOG(Table29[[#This Row],[Time to 1% strain (s)]])</f>
        <v>4.6040623549199582</v>
      </c>
      <c r="L157">
        <v>850</v>
      </c>
      <c r="M157">
        <v>5.4</v>
      </c>
      <c r="P157" t="s">
        <v>7078</v>
      </c>
      <c r="Q157">
        <v>1300</v>
      </c>
      <c r="R157">
        <v>24</v>
      </c>
      <c r="S157">
        <v>1050</v>
      </c>
      <c r="T157">
        <v>6</v>
      </c>
      <c r="W157">
        <v>1</v>
      </c>
      <c r="X157">
        <v>10</v>
      </c>
      <c r="Y157">
        <v>37</v>
      </c>
      <c r="AA157">
        <f>VLOOKUP(Table29[[#This Row],[Shortname]], Comp[], 6, FALSE)</f>
        <v>75</v>
      </c>
      <c r="AB157" s="14">
        <f>VLOOKUP(Table29[[#This Row],[Shortname]], Comp[], 7, FALSE)</f>
        <v>82.984999999999999</v>
      </c>
      <c r="AC157">
        <f>VLOOKUP(Table29[[#This Row],[Shortname]], Comp[], 8, FALSE)</f>
        <v>0</v>
      </c>
      <c r="AD157">
        <f>VLOOKUP(Table29[[#This Row],[Shortname]], Comp[], 9, FALSE)</f>
        <v>9.58</v>
      </c>
      <c r="AE157">
        <f>VLOOKUP(Table29[[#This Row],[Shortname]], Comp[], 10, FALSE)</f>
        <v>0</v>
      </c>
      <c r="AF157">
        <f>VLOOKUP(Table29[[#This Row],[Shortname]], Comp[], 11, FALSE)</f>
        <v>7.4</v>
      </c>
      <c r="AG157">
        <f>VLOOKUP(Table29[[#This Row],[Shortname]], Comp[],12, FALSE)</f>
        <v>0</v>
      </c>
      <c r="AH157">
        <f>VLOOKUP(Table29[[#This Row],[Shortname]], Comp[], 13, FALSE)</f>
        <v>0</v>
      </c>
      <c r="AI157">
        <f>VLOOKUP(Table29[[#This Row],[Shortname]], Comp[], 14, FALSE)</f>
        <v>0</v>
      </c>
      <c r="AJ157">
        <f>VLOOKUP(Table29[[#This Row],[Shortname]], Comp[], 15, FALSE)</f>
        <v>0</v>
      </c>
      <c r="AK157">
        <f>VLOOKUP(Table29[[#This Row],[Shortname]], Comp[], 16, FALSE)</f>
        <v>0</v>
      </c>
      <c r="AL157">
        <f>VLOOKUP(Table29[[#This Row],[Shortname]], Comp[], 17, FALSE)</f>
        <v>0</v>
      </c>
      <c r="AM157">
        <f>VLOOKUP(Table29[[#This Row],[Shortname]], Comp[], 18, FALSE)</f>
        <v>3.5000000000000003E-2</v>
      </c>
      <c r="AN157">
        <f>VLOOKUP(Table29[[#This Row],[Shortname]], Comp[], 19, FALSE)</f>
        <v>0</v>
      </c>
      <c r="AO157">
        <f>VLOOKUP(Table29[[#This Row],[Shortname]], Comp[], 20, FALSE)</f>
        <v>0</v>
      </c>
      <c r="AP157">
        <f>VLOOKUP(Table29[[#This Row],[Shortname]], Comp[], 21, FALSE)</f>
        <v>0</v>
      </c>
      <c r="AQ157">
        <f>VLOOKUP(Table29[[#This Row],[Shortname]], Comp[], 22, FALSE)</f>
        <v>0</v>
      </c>
      <c r="AR157">
        <f>VLOOKUP(Table29[[#This Row],[Shortname]], Comp[], 23, FALSE)</f>
        <v>0</v>
      </c>
      <c r="AS157">
        <f>VLOOKUP(Table29[[#This Row],[Shortname]], Comp[], 24, FALSE)</f>
        <v>0</v>
      </c>
      <c r="AT157">
        <f>VLOOKUP(Table29[[#This Row],[Shortname]], Comp[], 25, FALSE)</f>
        <v>0</v>
      </c>
      <c r="AU157">
        <f>VLOOKUP(Table29[[#This Row],[Shortname]], Comp[], 26, FALSE)</f>
        <v>0</v>
      </c>
      <c r="AV157">
        <f>VLOOKUP(Table29[[#This Row],[Shortname]], Comp[], 27, FALSE)</f>
        <v>0</v>
      </c>
      <c r="AW157">
        <f>VLOOKUP(Table29[[#This Row],[Shortname]], Comp[], 28, FALSE)</f>
        <v>0</v>
      </c>
      <c r="AX157">
        <f>VLOOKUP(Table29[[#This Row],[Shortname]], Comp[], 29, FALSE)</f>
        <v>0</v>
      </c>
      <c r="AY157">
        <f>VLOOKUP(Table29[[#This Row],[Shortname]], Comp[], 30, FALSE)</f>
        <v>0</v>
      </c>
      <c r="AZ157">
        <f>VLOOKUP(Table29[[#This Row],[Shortname]], Comp[], 31, FALSE)</f>
        <v>0</v>
      </c>
    </row>
    <row r="158" spans="1:52" x14ac:dyDescent="0.3">
      <c r="A158" t="s">
        <v>588</v>
      </c>
      <c r="B158">
        <v>149</v>
      </c>
      <c r="C158">
        <v>76</v>
      </c>
      <c r="D158" t="s">
        <v>589</v>
      </c>
      <c r="E158" t="s">
        <v>95</v>
      </c>
      <c r="F158" t="s">
        <v>590</v>
      </c>
      <c r="G158" t="s">
        <v>499</v>
      </c>
      <c r="H158">
        <v>176</v>
      </c>
      <c r="I158">
        <v>2.4781E-9</v>
      </c>
      <c r="J158">
        <f>0.01/Table29[[#This Row],[Strain Rate (min) /s]]</f>
        <v>4035349.6630483032</v>
      </c>
      <c r="K158">
        <f>LOG(Table29[[#This Row],[Time to 1% strain (s)]])</f>
        <v>6.6058811723054305</v>
      </c>
      <c r="L158">
        <v>850</v>
      </c>
      <c r="M158">
        <v>7.6</v>
      </c>
      <c r="P158" t="s">
        <v>7079</v>
      </c>
      <c r="Q158">
        <v>1300</v>
      </c>
      <c r="R158">
        <v>24</v>
      </c>
      <c r="S158">
        <v>1050</v>
      </c>
      <c r="T158">
        <v>6</v>
      </c>
      <c r="W158">
        <v>1</v>
      </c>
      <c r="X158">
        <v>10</v>
      </c>
      <c r="Y158">
        <v>40</v>
      </c>
      <c r="AA158">
        <f>VLOOKUP(Table29[[#This Row],[Shortname]], Comp[], 6, FALSE)</f>
        <v>76</v>
      </c>
      <c r="AB158" s="14">
        <f>VLOOKUP(Table29[[#This Row],[Shortname]], Comp[], 7, FALSE)</f>
        <v>82.777100000000004</v>
      </c>
      <c r="AC158">
        <f>VLOOKUP(Table29[[#This Row],[Shortname]], Comp[], 8, FALSE)</f>
        <v>0</v>
      </c>
      <c r="AD158">
        <f>VLOOKUP(Table29[[#This Row],[Shortname]], Comp[], 9, FALSE)</f>
        <v>9.5299999999999994</v>
      </c>
      <c r="AE158">
        <f>VLOOKUP(Table29[[#This Row],[Shortname]], Comp[], 10, FALSE)</f>
        <v>0</v>
      </c>
      <c r="AF158">
        <f>VLOOKUP(Table29[[#This Row],[Shortname]], Comp[], 11, FALSE)</f>
        <v>7.66</v>
      </c>
      <c r="AG158">
        <f>VLOOKUP(Table29[[#This Row],[Shortname]], Comp[],12, FALSE)</f>
        <v>0</v>
      </c>
      <c r="AH158">
        <f>VLOOKUP(Table29[[#This Row],[Shortname]], Comp[], 13, FALSE)</f>
        <v>0</v>
      </c>
      <c r="AI158">
        <f>VLOOKUP(Table29[[#This Row],[Shortname]], Comp[], 14, FALSE)</f>
        <v>0</v>
      </c>
      <c r="AJ158">
        <f>VLOOKUP(Table29[[#This Row],[Shortname]], Comp[], 15, FALSE)</f>
        <v>0</v>
      </c>
      <c r="AK158">
        <f>VLOOKUP(Table29[[#This Row],[Shortname]], Comp[], 16, FALSE)</f>
        <v>0</v>
      </c>
      <c r="AL158">
        <f>VLOOKUP(Table29[[#This Row],[Shortname]], Comp[], 17, FALSE)</f>
        <v>0</v>
      </c>
      <c r="AM158">
        <f>VLOOKUP(Table29[[#This Row],[Shortname]], Comp[], 18, FALSE)</f>
        <v>2.75E-2</v>
      </c>
      <c r="AN158">
        <f>VLOOKUP(Table29[[#This Row],[Shortname]], Comp[], 19, FALSE)</f>
        <v>5.4000000000000003E-3</v>
      </c>
      <c r="AO158">
        <f>VLOOKUP(Table29[[#This Row],[Shortname]], Comp[], 20, FALSE)</f>
        <v>0</v>
      </c>
      <c r="AP158">
        <f>VLOOKUP(Table29[[#This Row],[Shortname]], Comp[], 21, FALSE)</f>
        <v>0</v>
      </c>
      <c r="AQ158">
        <f>VLOOKUP(Table29[[#This Row],[Shortname]], Comp[], 22, FALSE)</f>
        <v>0</v>
      </c>
      <c r="AR158">
        <f>VLOOKUP(Table29[[#This Row],[Shortname]], Comp[], 23, FALSE)</f>
        <v>0</v>
      </c>
      <c r="AS158">
        <f>VLOOKUP(Table29[[#This Row],[Shortname]], Comp[], 24, FALSE)</f>
        <v>0</v>
      </c>
      <c r="AT158">
        <f>VLOOKUP(Table29[[#This Row],[Shortname]], Comp[], 25, FALSE)</f>
        <v>0</v>
      </c>
      <c r="AU158">
        <f>VLOOKUP(Table29[[#This Row],[Shortname]], Comp[], 26, FALSE)</f>
        <v>0</v>
      </c>
      <c r="AV158">
        <f>VLOOKUP(Table29[[#This Row],[Shortname]], Comp[], 27, FALSE)</f>
        <v>0</v>
      </c>
      <c r="AW158">
        <f>VLOOKUP(Table29[[#This Row],[Shortname]], Comp[], 28, FALSE)</f>
        <v>0</v>
      </c>
      <c r="AX158">
        <f>VLOOKUP(Table29[[#This Row],[Shortname]], Comp[], 29, FALSE)</f>
        <v>0</v>
      </c>
      <c r="AY158">
        <f>VLOOKUP(Table29[[#This Row],[Shortname]], Comp[], 30, FALSE)</f>
        <v>0</v>
      </c>
      <c r="AZ158">
        <f>VLOOKUP(Table29[[#This Row],[Shortname]], Comp[], 31, FALSE)</f>
        <v>0</v>
      </c>
    </row>
    <row r="159" spans="1:52" x14ac:dyDescent="0.3">
      <c r="A159" t="s">
        <v>588</v>
      </c>
      <c r="B159">
        <v>150</v>
      </c>
      <c r="C159">
        <v>76</v>
      </c>
      <c r="D159" t="s">
        <v>11</v>
      </c>
      <c r="E159" t="s">
        <v>95</v>
      </c>
      <c r="F159" t="s">
        <v>590</v>
      </c>
      <c r="G159" t="s">
        <v>499</v>
      </c>
      <c r="H159">
        <v>221</v>
      </c>
      <c r="I159">
        <v>1.1983E-8</v>
      </c>
      <c r="J159">
        <f>0.01/Table29[[#This Row],[Strain Rate (min) /s]]</f>
        <v>834515.56371526327</v>
      </c>
      <c r="K159">
        <f>LOG(Table29[[#This Row],[Time to 1% strain (s)]])</f>
        <v>5.9214344406828827</v>
      </c>
      <c r="L159">
        <v>850</v>
      </c>
      <c r="M159">
        <v>7.6</v>
      </c>
      <c r="P159" t="s">
        <v>7079</v>
      </c>
      <c r="Q159">
        <v>1300</v>
      </c>
      <c r="R159">
        <v>24</v>
      </c>
      <c r="S159">
        <v>1050</v>
      </c>
      <c r="T159">
        <v>6</v>
      </c>
      <c r="W159">
        <v>1</v>
      </c>
      <c r="X159">
        <v>10</v>
      </c>
      <c r="Y159">
        <v>40</v>
      </c>
      <c r="AA159">
        <f>VLOOKUP(Table29[[#This Row],[Shortname]], Comp[], 6, FALSE)</f>
        <v>76</v>
      </c>
      <c r="AB159" s="14">
        <f>VLOOKUP(Table29[[#This Row],[Shortname]], Comp[], 7, FALSE)</f>
        <v>82.777100000000004</v>
      </c>
      <c r="AC159">
        <f>VLOOKUP(Table29[[#This Row],[Shortname]], Comp[], 8, FALSE)</f>
        <v>0</v>
      </c>
      <c r="AD159">
        <f>VLOOKUP(Table29[[#This Row],[Shortname]], Comp[], 9, FALSE)</f>
        <v>9.5299999999999994</v>
      </c>
      <c r="AE159">
        <f>VLOOKUP(Table29[[#This Row],[Shortname]], Comp[], 10, FALSE)</f>
        <v>0</v>
      </c>
      <c r="AF159">
        <f>VLOOKUP(Table29[[#This Row],[Shortname]], Comp[], 11, FALSE)</f>
        <v>7.66</v>
      </c>
      <c r="AG159">
        <f>VLOOKUP(Table29[[#This Row],[Shortname]], Comp[],12, FALSE)</f>
        <v>0</v>
      </c>
      <c r="AH159">
        <f>VLOOKUP(Table29[[#This Row],[Shortname]], Comp[], 13, FALSE)</f>
        <v>0</v>
      </c>
      <c r="AI159">
        <f>VLOOKUP(Table29[[#This Row],[Shortname]], Comp[], 14, FALSE)</f>
        <v>0</v>
      </c>
      <c r="AJ159">
        <f>VLOOKUP(Table29[[#This Row],[Shortname]], Comp[], 15, FALSE)</f>
        <v>0</v>
      </c>
      <c r="AK159">
        <f>VLOOKUP(Table29[[#This Row],[Shortname]], Comp[], 16, FALSE)</f>
        <v>0</v>
      </c>
      <c r="AL159">
        <f>VLOOKUP(Table29[[#This Row],[Shortname]], Comp[], 17, FALSE)</f>
        <v>0</v>
      </c>
      <c r="AM159">
        <f>VLOOKUP(Table29[[#This Row],[Shortname]], Comp[], 18, FALSE)</f>
        <v>2.75E-2</v>
      </c>
      <c r="AN159">
        <f>VLOOKUP(Table29[[#This Row],[Shortname]], Comp[], 19, FALSE)</f>
        <v>5.4000000000000003E-3</v>
      </c>
      <c r="AO159">
        <f>VLOOKUP(Table29[[#This Row],[Shortname]], Comp[], 20, FALSE)</f>
        <v>0</v>
      </c>
      <c r="AP159">
        <f>VLOOKUP(Table29[[#This Row],[Shortname]], Comp[], 21, FALSE)</f>
        <v>0</v>
      </c>
      <c r="AQ159">
        <f>VLOOKUP(Table29[[#This Row],[Shortname]], Comp[], 22, FALSE)</f>
        <v>0</v>
      </c>
      <c r="AR159">
        <f>VLOOKUP(Table29[[#This Row],[Shortname]], Comp[], 23, FALSE)</f>
        <v>0</v>
      </c>
      <c r="AS159">
        <f>VLOOKUP(Table29[[#This Row],[Shortname]], Comp[], 24, FALSE)</f>
        <v>0</v>
      </c>
      <c r="AT159">
        <f>VLOOKUP(Table29[[#This Row],[Shortname]], Comp[], 25, FALSE)</f>
        <v>0</v>
      </c>
      <c r="AU159">
        <f>VLOOKUP(Table29[[#This Row],[Shortname]], Comp[], 26, FALSE)</f>
        <v>0</v>
      </c>
      <c r="AV159">
        <f>VLOOKUP(Table29[[#This Row],[Shortname]], Comp[], 27, FALSE)</f>
        <v>0</v>
      </c>
      <c r="AW159">
        <f>VLOOKUP(Table29[[#This Row],[Shortname]], Comp[], 28, FALSE)</f>
        <v>0</v>
      </c>
      <c r="AX159">
        <f>VLOOKUP(Table29[[#This Row],[Shortname]], Comp[], 29, FALSE)</f>
        <v>0</v>
      </c>
      <c r="AY159">
        <f>VLOOKUP(Table29[[#This Row],[Shortname]], Comp[], 30, FALSE)</f>
        <v>0</v>
      </c>
      <c r="AZ159">
        <f>VLOOKUP(Table29[[#This Row],[Shortname]], Comp[], 31, FALSE)</f>
        <v>0</v>
      </c>
    </row>
    <row r="160" spans="1:52" x14ac:dyDescent="0.3">
      <c r="A160" t="s">
        <v>588</v>
      </c>
      <c r="B160">
        <v>151</v>
      </c>
      <c r="C160">
        <v>76</v>
      </c>
      <c r="D160" t="s">
        <v>11</v>
      </c>
      <c r="E160" t="s">
        <v>95</v>
      </c>
      <c r="F160" t="s">
        <v>590</v>
      </c>
      <c r="G160" t="s">
        <v>499</v>
      </c>
      <c r="H160">
        <v>264</v>
      </c>
      <c r="I160">
        <v>3.5924999999999999E-8</v>
      </c>
      <c r="J160">
        <f>0.01/Table29[[#This Row],[Strain Rate (min) /s]]</f>
        <v>278357.68963117606</v>
      </c>
      <c r="K160">
        <f>LOG(Table29[[#This Row],[Time to 1% strain (s)]])</f>
        <v>5.4446032231937371</v>
      </c>
      <c r="L160">
        <v>850</v>
      </c>
      <c r="M160">
        <v>7.6</v>
      </c>
      <c r="P160" t="s">
        <v>7079</v>
      </c>
      <c r="Q160">
        <v>1300</v>
      </c>
      <c r="R160">
        <v>24</v>
      </c>
      <c r="S160">
        <v>1050</v>
      </c>
      <c r="T160">
        <v>6</v>
      </c>
      <c r="W160">
        <v>1</v>
      </c>
      <c r="X160">
        <v>10</v>
      </c>
      <c r="Y160">
        <v>40</v>
      </c>
      <c r="AA160">
        <f>VLOOKUP(Table29[[#This Row],[Shortname]], Comp[], 6, FALSE)</f>
        <v>76</v>
      </c>
      <c r="AB160" s="14">
        <f>VLOOKUP(Table29[[#This Row],[Shortname]], Comp[], 7, FALSE)</f>
        <v>82.777100000000004</v>
      </c>
      <c r="AC160">
        <f>VLOOKUP(Table29[[#This Row],[Shortname]], Comp[], 8, FALSE)</f>
        <v>0</v>
      </c>
      <c r="AD160">
        <f>VLOOKUP(Table29[[#This Row],[Shortname]], Comp[], 9, FALSE)</f>
        <v>9.5299999999999994</v>
      </c>
      <c r="AE160">
        <f>VLOOKUP(Table29[[#This Row],[Shortname]], Comp[], 10, FALSE)</f>
        <v>0</v>
      </c>
      <c r="AF160">
        <f>VLOOKUP(Table29[[#This Row],[Shortname]], Comp[], 11, FALSE)</f>
        <v>7.66</v>
      </c>
      <c r="AG160">
        <f>VLOOKUP(Table29[[#This Row],[Shortname]], Comp[],12, FALSE)</f>
        <v>0</v>
      </c>
      <c r="AH160">
        <f>VLOOKUP(Table29[[#This Row],[Shortname]], Comp[], 13, FALSE)</f>
        <v>0</v>
      </c>
      <c r="AI160">
        <f>VLOOKUP(Table29[[#This Row],[Shortname]], Comp[], 14, FALSE)</f>
        <v>0</v>
      </c>
      <c r="AJ160">
        <f>VLOOKUP(Table29[[#This Row],[Shortname]], Comp[], 15, FALSE)</f>
        <v>0</v>
      </c>
      <c r="AK160">
        <f>VLOOKUP(Table29[[#This Row],[Shortname]], Comp[], 16, FALSE)</f>
        <v>0</v>
      </c>
      <c r="AL160">
        <f>VLOOKUP(Table29[[#This Row],[Shortname]], Comp[], 17, FALSE)</f>
        <v>0</v>
      </c>
      <c r="AM160">
        <f>VLOOKUP(Table29[[#This Row],[Shortname]], Comp[], 18, FALSE)</f>
        <v>2.75E-2</v>
      </c>
      <c r="AN160">
        <f>VLOOKUP(Table29[[#This Row],[Shortname]], Comp[], 19, FALSE)</f>
        <v>5.4000000000000003E-3</v>
      </c>
      <c r="AO160">
        <f>VLOOKUP(Table29[[#This Row],[Shortname]], Comp[], 20, FALSE)</f>
        <v>0</v>
      </c>
      <c r="AP160">
        <f>VLOOKUP(Table29[[#This Row],[Shortname]], Comp[], 21, FALSE)</f>
        <v>0</v>
      </c>
      <c r="AQ160">
        <f>VLOOKUP(Table29[[#This Row],[Shortname]], Comp[], 22, FALSE)</f>
        <v>0</v>
      </c>
      <c r="AR160">
        <f>VLOOKUP(Table29[[#This Row],[Shortname]], Comp[], 23, FALSE)</f>
        <v>0</v>
      </c>
      <c r="AS160">
        <f>VLOOKUP(Table29[[#This Row],[Shortname]], Comp[], 24, FALSE)</f>
        <v>0</v>
      </c>
      <c r="AT160">
        <f>VLOOKUP(Table29[[#This Row],[Shortname]], Comp[], 25, FALSE)</f>
        <v>0</v>
      </c>
      <c r="AU160">
        <f>VLOOKUP(Table29[[#This Row],[Shortname]], Comp[], 26, FALSE)</f>
        <v>0</v>
      </c>
      <c r="AV160">
        <f>VLOOKUP(Table29[[#This Row],[Shortname]], Comp[], 27, FALSE)</f>
        <v>0</v>
      </c>
      <c r="AW160">
        <f>VLOOKUP(Table29[[#This Row],[Shortname]], Comp[], 28, FALSE)</f>
        <v>0</v>
      </c>
      <c r="AX160">
        <f>VLOOKUP(Table29[[#This Row],[Shortname]], Comp[], 29, FALSE)</f>
        <v>0</v>
      </c>
      <c r="AY160">
        <f>VLOOKUP(Table29[[#This Row],[Shortname]], Comp[], 30, FALSE)</f>
        <v>0</v>
      </c>
      <c r="AZ160">
        <f>VLOOKUP(Table29[[#This Row],[Shortname]], Comp[], 31, FALSE)</f>
        <v>0</v>
      </c>
    </row>
    <row r="161" spans="1:52" x14ac:dyDescent="0.3">
      <c r="A161" t="s">
        <v>588</v>
      </c>
      <c r="B161">
        <v>152</v>
      </c>
      <c r="C161">
        <v>76</v>
      </c>
      <c r="D161" t="s">
        <v>11</v>
      </c>
      <c r="E161" t="s">
        <v>95</v>
      </c>
      <c r="F161" t="s">
        <v>590</v>
      </c>
      <c r="G161" t="s">
        <v>499</v>
      </c>
      <c r="H161">
        <v>307</v>
      </c>
      <c r="I161">
        <v>1.9416000000000001E-7</v>
      </c>
      <c r="J161">
        <f>0.01/Table29[[#This Row],[Strain Rate (min) /s]]</f>
        <v>51503.914297486604</v>
      </c>
      <c r="K161">
        <f>LOG(Table29[[#This Row],[Time to 1% strain (s)]])</f>
        <v>4.7118402366761218</v>
      </c>
      <c r="L161">
        <v>850</v>
      </c>
      <c r="M161">
        <v>7.6</v>
      </c>
      <c r="P161" t="s">
        <v>7079</v>
      </c>
      <c r="Q161">
        <v>1300</v>
      </c>
      <c r="R161">
        <v>24</v>
      </c>
      <c r="S161">
        <v>1050</v>
      </c>
      <c r="T161">
        <v>6</v>
      </c>
      <c r="W161">
        <v>1</v>
      </c>
      <c r="X161">
        <v>10</v>
      </c>
      <c r="Y161">
        <v>40</v>
      </c>
      <c r="AA161">
        <f>VLOOKUP(Table29[[#This Row],[Shortname]], Comp[], 6, FALSE)</f>
        <v>76</v>
      </c>
      <c r="AB161" s="14">
        <f>VLOOKUP(Table29[[#This Row],[Shortname]], Comp[], 7, FALSE)</f>
        <v>82.777100000000004</v>
      </c>
      <c r="AC161">
        <f>VLOOKUP(Table29[[#This Row],[Shortname]], Comp[], 8, FALSE)</f>
        <v>0</v>
      </c>
      <c r="AD161">
        <f>VLOOKUP(Table29[[#This Row],[Shortname]], Comp[], 9, FALSE)</f>
        <v>9.5299999999999994</v>
      </c>
      <c r="AE161">
        <f>VLOOKUP(Table29[[#This Row],[Shortname]], Comp[], 10, FALSE)</f>
        <v>0</v>
      </c>
      <c r="AF161">
        <f>VLOOKUP(Table29[[#This Row],[Shortname]], Comp[], 11, FALSE)</f>
        <v>7.66</v>
      </c>
      <c r="AG161">
        <f>VLOOKUP(Table29[[#This Row],[Shortname]], Comp[],12, FALSE)</f>
        <v>0</v>
      </c>
      <c r="AH161">
        <f>VLOOKUP(Table29[[#This Row],[Shortname]], Comp[], 13, FALSE)</f>
        <v>0</v>
      </c>
      <c r="AI161">
        <f>VLOOKUP(Table29[[#This Row],[Shortname]], Comp[], 14, FALSE)</f>
        <v>0</v>
      </c>
      <c r="AJ161">
        <f>VLOOKUP(Table29[[#This Row],[Shortname]], Comp[], 15, FALSE)</f>
        <v>0</v>
      </c>
      <c r="AK161">
        <f>VLOOKUP(Table29[[#This Row],[Shortname]], Comp[], 16, FALSE)</f>
        <v>0</v>
      </c>
      <c r="AL161">
        <f>VLOOKUP(Table29[[#This Row],[Shortname]], Comp[], 17, FALSE)</f>
        <v>0</v>
      </c>
      <c r="AM161">
        <f>VLOOKUP(Table29[[#This Row],[Shortname]], Comp[], 18, FALSE)</f>
        <v>2.75E-2</v>
      </c>
      <c r="AN161">
        <f>VLOOKUP(Table29[[#This Row],[Shortname]], Comp[], 19, FALSE)</f>
        <v>5.4000000000000003E-3</v>
      </c>
      <c r="AO161">
        <f>VLOOKUP(Table29[[#This Row],[Shortname]], Comp[], 20, FALSE)</f>
        <v>0</v>
      </c>
      <c r="AP161">
        <f>VLOOKUP(Table29[[#This Row],[Shortname]], Comp[], 21, FALSE)</f>
        <v>0</v>
      </c>
      <c r="AQ161">
        <f>VLOOKUP(Table29[[#This Row],[Shortname]], Comp[], 22, FALSE)</f>
        <v>0</v>
      </c>
      <c r="AR161">
        <f>VLOOKUP(Table29[[#This Row],[Shortname]], Comp[], 23, FALSE)</f>
        <v>0</v>
      </c>
      <c r="AS161">
        <f>VLOOKUP(Table29[[#This Row],[Shortname]], Comp[], 24, FALSE)</f>
        <v>0</v>
      </c>
      <c r="AT161">
        <f>VLOOKUP(Table29[[#This Row],[Shortname]], Comp[], 25, FALSE)</f>
        <v>0</v>
      </c>
      <c r="AU161">
        <f>VLOOKUP(Table29[[#This Row],[Shortname]], Comp[], 26, FALSE)</f>
        <v>0</v>
      </c>
      <c r="AV161">
        <f>VLOOKUP(Table29[[#This Row],[Shortname]], Comp[], 27, FALSE)</f>
        <v>0</v>
      </c>
      <c r="AW161">
        <f>VLOOKUP(Table29[[#This Row],[Shortname]], Comp[], 28, FALSE)</f>
        <v>0</v>
      </c>
      <c r="AX161">
        <f>VLOOKUP(Table29[[#This Row],[Shortname]], Comp[], 29, FALSE)</f>
        <v>0</v>
      </c>
      <c r="AY161">
        <f>VLOOKUP(Table29[[#This Row],[Shortname]], Comp[], 30, FALSE)</f>
        <v>0</v>
      </c>
      <c r="AZ161">
        <f>VLOOKUP(Table29[[#This Row],[Shortname]], Comp[], 31, FALSE)</f>
        <v>0</v>
      </c>
    </row>
    <row r="162" spans="1:52" x14ac:dyDescent="0.3">
      <c r="A162" t="s">
        <v>641</v>
      </c>
      <c r="B162">
        <v>295</v>
      </c>
      <c r="C162">
        <v>82</v>
      </c>
      <c r="D162" t="s">
        <v>642</v>
      </c>
      <c r="E162" t="s">
        <v>95</v>
      </c>
      <c r="F162" t="s">
        <v>3529</v>
      </c>
      <c r="G162" t="s">
        <v>3530</v>
      </c>
      <c r="H162">
        <v>137</v>
      </c>
      <c r="I162">
        <v>3.7499999999999999E-3</v>
      </c>
      <c r="J162">
        <f>0.01/Table29[[#This Row],[Strain Rate (min) /s]]</f>
        <v>2.666666666666667</v>
      </c>
      <c r="K162">
        <f>LOG(Table29[[#This Row],[Time to 1% strain (s)]])</f>
        <v>0.42596873227228121</v>
      </c>
      <c r="L162">
        <v>1000</v>
      </c>
      <c r="O162">
        <v>112.6</v>
      </c>
      <c r="P162" t="s">
        <v>7080</v>
      </c>
      <c r="Q162">
        <v>1250</v>
      </c>
      <c r="R162">
        <v>4</v>
      </c>
      <c r="S162">
        <v>1000</v>
      </c>
      <c r="T162">
        <v>96</v>
      </c>
      <c r="W162">
        <v>-1</v>
      </c>
      <c r="X162">
        <v>1</v>
      </c>
      <c r="Y162">
        <v>0</v>
      </c>
      <c r="Z162" t="s">
        <v>7081</v>
      </c>
      <c r="AA162">
        <f>VLOOKUP(Table29[[#This Row],[Shortname]], Comp[], 6, FALSE)</f>
        <v>82</v>
      </c>
      <c r="AB162" s="14">
        <f>VLOOKUP(Table29[[#This Row],[Shortname]], Comp[], 7, FALSE)</f>
        <v>82</v>
      </c>
      <c r="AC162">
        <f>VLOOKUP(Table29[[#This Row],[Shortname]], Comp[], 8, FALSE)</f>
        <v>0</v>
      </c>
      <c r="AD162">
        <f>VLOOKUP(Table29[[#This Row],[Shortname]], Comp[], 9, FALSE)</f>
        <v>9</v>
      </c>
      <c r="AE162">
        <f>VLOOKUP(Table29[[#This Row],[Shortname]], Comp[], 10, FALSE)</f>
        <v>0</v>
      </c>
      <c r="AF162">
        <f>VLOOKUP(Table29[[#This Row],[Shortname]], Comp[], 11, FALSE)</f>
        <v>9</v>
      </c>
      <c r="AG162">
        <f>VLOOKUP(Table29[[#This Row],[Shortname]], Comp[],12, FALSE)</f>
        <v>0</v>
      </c>
      <c r="AH162">
        <f>VLOOKUP(Table29[[#This Row],[Shortname]], Comp[], 13, FALSE)</f>
        <v>0</v>
      </c>
      <c r="AI162">
        <f>VLOOKUP(Table29[[#This Row],[Shortname]], Comp[], 14, FALSE)</f>
        <v>0</v>
      </c>
      <c r="AJ162">
        <f>VLOOKUP(Table29[[#This Row],[Shortname]], Comp[], 15, FALSE)</f>
        <v>0</v>
      </c>
      <c r="AK162">
        <f>VLOOKUP(Table29[[#This Row],[Shortname]], Comp[], 16, FALSE)</f>
        <v>0</v>
      </c>
      <c r="AL162">
        <f>VLOOKUP(Table29[[#This Row],[Shortname]], Comp[], 17, FALSE)</f>
        <v>0</v>
      </c>
      <c r="AM162">
        <f>VLOOKUP(Table29[[#This Row],[Shortname]], Comp[], 18, FALSE)</f>
        <v>0</v>
      </c>
      <c r="AN162">
        <f>VLOOKUP(Table29[[#This Row],[Shortname]], Comp[], 19, FALSE)</f>
        <v>0</v>
      </c>
      <c r="AO162">
        <f>VLOOKUP(Table29[[#This Row],[Shortname]], Comp[], 20, FALSE)</f>
        <v>0</v>
      </c>
      <c r="AP162">
        <f>VLOOKUP(Table29[[#This Row],[Shortname]], Comp[], 21, FALSE)</f>
        <v>0</v>
      </c>
      <c r="AQ162">
        <f>VLOOKUP(Table29[[#This Row],[Shortname]], Comp[], 22, FALSE)</f>
        <v>0</v>
      </c>
      <c r="AR162">
        <f>VLOOKUP(Table29[[#This Row],[Shortname]], Comp[], 23, FALSE)</f>
        <v>0</v>
      </c>
      <c r="AS162">
        <f>VLOOKUP(Table29[[#This Row],[Shortname]], Comp[], 24, FALSE)</f>
        <v>0</v>
      </c>
      <c r="AT162">
        <f>VLOOKUP(Table29[[#This Row],[Shortname]], Comp[], 25, FALSE)</f>
        <v>0</v>
      </c>
      <c r="AU162">
        <f>VLOOKUP(Table29[[#This Row],[Shortname]], Comp[], 26, FALSE)</f>
        <v>0</v>
      </c>
      <c r="AV162">
        <f>VLOOKUP(Table29[[#This Row],[Shortname]], Comp[], 27, FALSE)</f>
        <v>0</v>
      </c>
      <c r="AW162">
        <f>VLOOKUP(Table29[[#This Row],[Shortname]], Comp[], 28, FALSE)</f>
        <v>0</v>
      </c>
      <c r="AX162">
        <f>VLOOKUP(Table29[[#This Row],[Shortname]], Comp[], 29, FALSE)</f>
        <v>0</v>
      </c>
      <c r="AY162">
        <f>VLOOKUP(Table29[[#This Row],[Shortname]], Comp[], 30, FALSE)</f>
        <v>0</v>
      </c>
      <c r="AZ162">
        <f>VLOOKUP(Table29[[#This Row],[Shortname]], Comp[], 31, FALSE)</f>
        <v>0</v>
      </c>
    </row>
    <row r="163" spans="1:52" x14ac:dyDescent="0.3">
      <c r="A163" t="s">
        <v>1221</v>
      </c>
      <c r="B163">
        <v>153</v>
      </c>
      <c r="C163">
        <v>155</v>
      </c>
      <c r="D163" t="s">
        <v>1222</v>
      </c>
      <c r="E163" t="s">
        <v>160</v>
      </c>
      <c r="F163" t="s">
        <v>1223</v>
      </c>
      <c r="G163" t="s">
        <v>1224</v>
      </c>
      <c r="H163">
        <v>257</v>
      </c>
      <c r="I163">
        <v>2.056E-8</v>
      </c>
      <c r="J163">
        <f>0.01/Table29[[#This Row],[Strain Rate (min) /s]]</f>
        <v>486381.32295719843</v>
      </c>
      <c r="K163">
        <f>LOG(Table29[[#This Row],[Time to 1% strain (s)]])</f>
        <v>5.6869768896767621</v>
      </c>
      <c r="L163">
        <v>850</v>
      </c>
      <c r="M163">
        <v>3.2</v>
      </c>
      <c r="P163" t="s">
        <v>7082</v>
      </c>
      <c r="Q163">
        <v>1250</v>
      </c>
      <c r="R163">
        <v>48</v>
      </c>
      <c r="S163">
        <v>900</v>
      </c>
      <c r="T163">
        <v>168</v>
      </c>
      <c r="W163">
        <v>1</v>
      </c>
      <c r="X163">
        <v>10</v>
      </c>
      <c r="Y163">
        <v>90</v>
      </c>
      <c r="AA163">
        <f>VLOOKUP(Table29[[#This Row],[Shortname]], Comp[], 6, FALSE)</f>
        <v>155</v>
      </c>
      <c r="AB163" s="14">
        <f>VLOOKUP(Table29[[#This Row],[Shortname]], Comp[], 7, FALSE)</f>
        <v>48.1</v>
      </c>
      <c r="AC163">
        <f>VLOOKUP(Table29[[#This Row],[Shortname]], Comp[], 8, FALSE)</f>
        <v>29</v>
      </c>
      <c r="AD163">
        <f>VLOOKUP(Table29[[#This Row],[Shortname]], Comp[], 9, FALSE)</f>
        <v>12.1</v>
      </c>
      <c r="AE163">
        <f>VLOOKUP(Table29[[#This Row],[Shortname]], Comp[], 10, FALSE)</f>
        <v>0</v>
      </c>
      <c r="AF163">
        <f>VLOOKUP(Table29[[#This Row],[Shortname]], Comp[], 11, FALSE)</f>
        <v>5.8</v>
      </c>
      <c r="AG163">
        <f>VLOOKUP(Table29[[#This Row],[Shortname]], Comp[],12, FALSE)</f>
        <v>2.2400000000000002</v>
      </c>
      <c r="AH163">
        <f>VLOOKUP(Table29[[#This Row],[Shortname]], Comp[], 13, FALSE)</f>
        <v>2.66</v>
      </c>
      <c r="AI163">
        <f>VLOOKUP(Table29[[#This Row],[Shortname]], Comp[], 14, FALSE)</f>
        <v>0</v>
      </c>
      <c r="AJ163">
        <f>VLOOKUP(Table29[[#This Row],[Shortname]], Comp[], 15, FALSE)</f>
        <v>0</v>
      </c>
      <c r="AK163">
        <f>VLOOKUP(Table29[[#This Row],[Shortname]], Comp[], 16, FALSE)</f>
        <v>0</v>
      </c>
      <c r="AL163">
        <f>VLOOKUP(Table29[[#This Row],[Shortname]], Comp[], 17, FALSE)</f>
        <v>0</v>
      </c>
      <c r="AM163">
        <f>VLOOKUP(Table29[[#This Row],[Shortname]], Comp[], 18, FALSE)</f>
        <v>0</v>
      </c>
      <c r="AN163">
        <f>VLOOKUP(Table29[[#This Row],[Shortname]], Comp[], 19, FALSE)</f>
        <v>0.1</v>
      </c>
      <c r="AO163">
        <f>VLOOKUP(Table29[[#This Row],[Shortname]], Comp[], 20, FALSE)</f>
        <v>0</v>
      </c>
      <c r="AP163">
        <f>VLOOKUP(Table29[[#This Row],[Shortname]], Comp[], 21, FALSE)</f>
        <v>0</v>
      </c>
      <c r="AQ163">
        <f>VLOOKUP(Table29[[#This Row],[Shortname]], Comp[], 22, FALSE)</f>
        <v>0</v>
      </c>
      <c r="AR163">
        <f>VLOOKUP(Table29[[#This Row],[Shortname]], Comp[], 23, FALSE)</f>
        <v>0</v>
      </c>
      <c r="AS163">
        <f>VLOOKUP(Table29[[#This Row],[Shortname]], Comp[], 24, FALSE)</f>
        <v>0</v>
      </c>
      <c r="AT163">
        <f>VLOOKUP(Table29[[#This Row],[Shortname]], Comp[], 25, FALSE)</f>
        <v>0</v>
      </c>
      <c r="AU163">
        <f>VLOOKUP(Table29[[#This Row],[Shortname]], Comp[], 26, FALSE)</f>
        <v>0</v>
      </c>
      <c r="AV163">
        <f>VLOOKUP(Table29[[#This Row],[Shortname]], Comp[], 27, FALSE)</f>
        <v>0</v>
      </c>
      <c r="AW163">
        <f>VLOOKUP(Table29[[#This Row],[Shortname]], Comp[], 28, FALSE)</f>
        <v>0</v>
      </c>
      <c r="AX163">
        <f>VLOOKUP(Table29[[#This Row],[Shortname]], Comp[], 29, FALSE)</f>
        <v>0</v>
      </c>
      <c r="AY163">
        <f>VLOOKUP(Table29[[#This Row],[Shortname]], Comp[], 30, FALSE)</f>
        <v>0</v>
      </c>
      <c r="AZ163">
        <f>VLOOKUP(Table29[[#This Row],[Shortname]], Comp[], 31, FALSE)</f>
        <v>0</v>
      </c>
    </row>
    <row r="164" spans="1:52" x14ac:dyDescent="0.3">
      <c r="A164" t="s">
        <v>1221</v>
      </c>
      <c r="B164">
        <v>154</v>
      </c>
      <c r="C164">
        <v>155</v>
      </c>
      <c r="D164" t="s">
        <v>11</v>
      </c>
      <c r="E164" t="s">
        <v>160</v>
      </c>
      <c r="F164" t="s">
        <v>1223</v>
      </c>
      <c r="G164" t="s">
        <v>1224</v>
      </c>
      <c r="H164">
        <v>318</v>
      </c>
      <c r="I164">
        <v>2.85E-8</v>
      </c>
      <c r="J164">
        <f>0.01/Table29[[#This Row],[Strain Rate (min) /s]]</f>
        <v>350877.19298245612</v>
      </c>
      <c r="K164">
        <f>LOG(Table29[[#This Row],[Time to 1% strain (s)]])</f>
        <v>5.5451551399914898</v>
      </c>
      <c r="L164">
        <v>850</v>
      </c>
      <c r="M164">
        <v>3.2</v>
      </c>
      <c r="P164" t="s">
        <v>7082</v>
      </c>
      <c r="Q164">
        <v>1250</v>
      </c>
      <c r="R164">
        <v>48</v>
      </c>
      <c r="S164">
        <v>900</v>
      </c>
      <c r="T164">
        <v>168</v>
      </c>
      <c r="W164">
        <v>1</v>
      </c>
      <c r="X164">
        <v>10</v>
      </c>
      <c r="Y164">
        <v>90</v>
      </c>
      <c r="AA164">
        <f>VLOOKUP(Table29[[#This Row],[Shortname]], Comp[], 6, FALSE)</f>
        <v>155</v>
      </c>
      <c r="AB164" s="14">
        <f>VLOOKUP(Table29[[#This Row],[Shortname]], Comp[], 7, FALSE)</f>
        <v>48.1</v>
      </c>
      <c r="AC164">
        <f>VLOOKUP(Table29[[#This Row],[Shortname]], Comp[], 8, FALSE)</f>
        <v>29</v>
      </c>
      <c r="AD164">
        <f>VLOOKUP(Table29[[#This Row],[Shortname]], Comp[], 9, FALSE)</f>
        <v>12.1</v>
      </c>
      <c r="AE164">
        <f>VLOOKUP(Table29[[#This Row],[Shortname]], Comp[], 10, FALSE)</f>
        <v>0</v>
      </c>
      <c r="AF164">
        <f>VLOOKUP(Table29[[#This Row],[Shortname]], Comp[], 11, FALSE)</f>
        <v>5.8</v>
      </c>
      <c r="AG164">
        <f>VLOOKUP(Table29[[#This Row],[Shortname]], Comp[],12, FALSE)</f>
        <v>2.2400000000000002</v>
      </c>
      <c r="AH164">
        <f>VLOOKUP(Table29[[#This Row],[Shortname]], Comp[], 13, FALSE)</f>
        <v>2.66</v>
      </c>
      <c r="AI164">
        <f>VLOOKUP(Table29[[#This Row],[Shortname]], Comp[], 14, FALSE)</f>
        <v>0</v>
      </c>
      <c r="AJ164">
        <f>VLOOKUP(Table29[[#This Row],[Shortname]], Comp[], 15, FALSE)</f>
        <v>0</v>
      </c>
      <c r="AK164">
        <f>VLOOKUP(Table29[[#This Row],[Shortname]], Comp[], 16, FALSE)</f>
        <v>0</v>
      </c>
      <c r="AL164">
        <f>VLOOKUP(Table29[[#This Row],[Shortname]], Comp[], 17, FALSE)</f>
        <v>0</v>
      </c>
      <c r="AM164">
        <f>VLOOKUP(Table29[[#This Row],[Shortname]], Comp[], 18, FALSE)</f>
        <v>0</v>
      </c>
      <c r="AN164">
        <f>VLOOKUP(Table29[[#This Row],[Shortname]], Comp[], 19, FALSE)</f>
        <v>0.1</v>
      </c>
      <c r="AO164">
        <f>VLOOKUP(Table29[[#This Row],[Shortname]], Comp[], 20, FALSE)</f>
        <v>0</v>
      </c>
      <c r="AP164">
        <f>VLOOKUP(Table29[[#This Row],[Shortname]], Comp[], 21, FALSE)</f>
        <v>0</v>
      </c>
      <c r="AQ164">
        <f>VLOOKUP(Table29[[#This Row],[Shortname]], Comp[], 22, FALSE)</f>
        <v>0</v>
      </c>
      <c r="AR164">
        <f>VLOOKUP(Table29[[#This Row],[Shortname]], Comp[], 23, FALSE)</f>
        <v>0</v>
      </c>
      <c r="AS164">
        <f>VLOOKUP(Table29[[#This Row],[Shortname]], Comp[], 24, FALSE)</f>
        <v>0</v>
      </c>
      <c r="AT164">
        <f>VLOOKUP(Table29[[#This Row],[Shortname]], Comp[], 25, FALSE)</f>
        <v>0</v>
      </c>
      <c r="AU164">
        <f>VLOOKUP(Table29[[#This Row],[Shortname]], Comp[], 26, FALSE)</f>
        <v>0</v>
      </c>
      <c r="AV164">
        <f>VLOOKUP(Table29[[#This Row],[Shortname]], Comp[], 27, FALSE)</f>
        <v>0</v>
      </c>
      <c r="AW164">
        <f>VLOOKUP(Table29[[#This Row],[Shortname]], Comp[], 28, FALSE)</f>
        <v>0</v>
      </c>
      <c r="AX164">
        <f>VLOOKUP(Table29[[#This Row],[Shortname]], Comp[], 29, FALSE)</f>
        <v>0</v>
      </c>
      <c r="AY164">
        <f>VLOOKUP(Table29[[#This Row],[Shortname]], Comp[], 30, FALSE)</f>
        <v>0</v>
      </c>
      <c r="AZ164">
        <f>VLOOKUP(Table29[[#This Row],[Shortname]], Comp[], 31, FALSE)</f>
        <v>0</v>
      </c>
    </row>
    <row r="165" spans="1:52" x14ac:dyDescent="0.3">
      <c r="A165" t="s">
        <v>1221</v>
      </c>
      <c r="B165">
        <v>155</v>
      </c>
      <c r="C165">
        <v>155</v>
      </c>
      <c r="D165" t="s">
        <v>11</v>
      </c>
      <c r="E165" t="s">
        <v>160</v>
      </c>
      <c r="F165" t="s">
        <v>1223</v>
      </c>
      <c r="G165" t="s">
        <v>1224</v>
      </c>
      <c r="H165">
        <v>350</v>
      </c>
      <c r="I165">
        <v>4.43E-8</v>
      </c>
      <c r="J165">
        <f>0.01/Table29[[#This Row],[Strain Rate (min) /s]]</f>
        <v>225733.63431151243</v>
      </c>
      <c r="K165">
        <f>LOG(Table29[[#This Row],[Time to 1% strain (s)]])</f>
        <v>5.3535962737769305</v>
      </c>
      <c r="L165">
        <v>850</v>
      </c>
      <c r="M165">
        <v>3.2</v>
      </c>
      <c r="P165" t="s">
        <v>7082</v>
      </c>
      <c r="Q165">
        <v>1250</v>
      </c>
      <c r="R165">
        <v>48</v>
      </c>
      <c r="S165">
        <v>900</v>
      </c>
      <c r="T165">
        <v>168</v>
      </c>
      <c r="W165">
        <v>1</v>
      </c>
      <c r="X165">
        <v>10</v>
      </c>
      <c r="Y165">
        <v>90</v>
      </c>
      <c r="AA165">
        <f>VLOOKUP(Table29[[#This Row],[Shortname]], Comp[], 6, FALSE)</f>
        <v>155</v>
      </c>
      <c r="AB165" s="14">
        <f>VLOOKUP(Table29[[#This Row],[Shortname]], Comp[], 7, FALSE)</f>
        <v>48.1</v>
      </c>
      <c r="AC165">
        <f>VLOOKUP(Table29[[#This Row],[Shortname]], Comp[], 8, FALSE)</f>
        <v>29</v>
      </c>
      <c r="AD165">
        <f>VLOOKUP(Table29[[#This Row],[Shortname]], Comp[], 9, FALSE)</f>
        <v>12.1</v>
      </c>
      <c r="AE165">
        <f>VLOOKUP(Table29[[#This Row],[Shortname]], Comp[], 10, FALSE)</f>
        <v>0</v>
      </c>
      <c r="AF165">
        <f>VLOOKUP(Table29[[#This Row],[Shortname]], Comp[], 11, FALSE)</f>
        <v>5.8</v>
      </c>
      <c r="AG165">
        <f>VLOOKUP(Table29[[#This Row],[Shortname]], Comp[],12, FALSE)</f>
        <v>2.2400000000000002</v>
      </c>
      <c r="AH165">
        <f>VLOOKUP(Table29[[#This Row],[Shortname]], Comp[], 13, FALSE)</f>
        <v>2.66</v>
      </c>
      <c r="AI165">
        <f>VLOOKUP(Table29[[#This Row],[Shortname]], Comp[], 14, FALSE)</f>
        <v>0</v>
      </c>
      <c r="AJ165">
        <f>VLOOKUP(Table29[[#This Row],[Shortname]], Comp[], 15, FALSE)</f>
        <v>0</v>
      </c>
      <c r="AK165">
        <f>VLOOKUP(Table29[[#This Row],[Shortname]], Comp[], 16, FALSE)</f>
        <v>0</v>
      </c>
      <c r="AL165">
        <f>VLOOKUP(Table29[[#This Row],[Shortname]], Comp[], 17, FALSE)</f>
        <v>0</v>
      </c>
      <c r="AM165">
        <f>VLOOKUP(Table29[[#This Row],[Shortname]], Comp[], 18, FALSE)</f>
        <v>0</v>
      </c>
      <c r="AN165">
        <f>VLOOKUP(Table29[[#This Row],[Shortname]], Comp[], 19, FALSE)</f>
        <v>0.1</v>
      </c>
      <c r="AO165">
        <f>VLOOKUP(Table29[[#This Row],[Shortname]], Comp[], 20, FALSE)</f>
        <v>0</v>
      </c>
      <c r="AP165">
        <f>VLOOKUP(Table29[[#This Row],[Shortname]], Comp[], 21, FALSE)</f>
        <v>0</v>
      </c>
      <c r="AQ165">
        <f>VLOOKUP(Table29[[#This Row],[Shortname]], Comp[], 22, FALSE)</f>
        <v>0</v>
      </c>
      <c r="AR165">
        <f>VLOOKUP(Table29[[#This Row],[Shortname]], Comp[], 23, FALSE)</f>
        <v>0</v>
      </c>
      <c r="AS165">
        <f>VLOOKUP(Table29[[#This Row],[Shortname]], Comp[], 24, FALSE)</f>
        <v>0</v>
      </c>
      <c r="AT165">
        <f>VLOOKUP(Table29[[#This Row],[Shortname]], Comp[], 25, FALSE)</f>
        <v>0</v>
      </c>
      <c r="AU165">
        <f>VLOOKUP(Table29[[#This Row],[Shortname]], Comp[], 26, FALSE)</f>
        <v>0</v>
      </c>
      <c r="AV165">
        <f>VLOOKUP(Table29[[#This Row],[Shortname]], Comp[], 27, FALSE)</f>
        <v>0</v>
      </c>
      <c r="AW165">
        <f>VLOOKUP(Table29[[#This Row],[Shortname]], Comp[], 28, FALSE)</f>
        <v>0</v>
      </c>
      <c r="AX165">
        <f>VLOOKUP(Table29[[#This Row],[Shortname]], Comp[], 29, FALSE)</f>
        <v>0</v>
      </c>
      <c r="AY165">
        <f>VLOOKUP(Table29[[#This Row],[Shortname]], Comp[], 30, FALSE)</f>
        <v>0</v>
      </c>
      <c r="AZ165">
        <f>VLOOKUP(Table29[[#This Row],[Shortname]], Comp[], 31, FALSE)</f>
        <v>0</v>
      </c>
    </row>
    <row r="166" spans="1:52" x14ac:dyDescent="0.3">
      <c r="A166" t="s">
        <v>1221</v>
      </c>
      <c r="B166">
        <v>156</v>
      </c>
      <c r="C166">
        <v>155</v>
      </c>
      <c r="D166" t="s">
        <v>11</v>
      </c>
      <c r="E166" t="s">
        <v>160</v>
      </c>
      <c r="F166" t="s">
        <v>1223</v>
      </c>
      <c r="G166" t="s">
        <v>1224</v>
      </c>
      <c r="H166">
        <v>413</v>
      </c>
      <c r="I166">
        <v>6.8900000000000001E-6</v>
      </c>
      <c r="J166">
        <f>0.01/Table29[[#This Row],[Strain Rate (min) /s]]</f>
        <v>1451.378809869376</v>
      </c>
      <c r="K166">
        <f>LOG(Table29[[#This Row],[Time to 1% strain (s)]])</f>
        <v>3.1617807780923743</v>
      </c>
      <c r="L166">
        <v>850</v>
      </c>
      <c r="M166">
        <v>3.2</v>
      </c>
      <c r="P166" t="s">
        <v>7082</v>
      </c>
      <c r="Q166">
        <v>1250</v>
      </c>
      <c r="R166">
        <v>48</v>
      </c>
      <c r="S166">
        <v>900</v>
      </c>
      <c r="T166">
        <v>168</v>
      </c>
      <c r="W166">
        <v>1</v>
      </c>
      <c r="X166">
        <v>10</v>
      </c>
      <c r="Y166">
        <v>90</v>
      </c>
      <c r="AA166">
        <f>VLOOKUP(Table29[[#This Row],[Shortname]], Comp[], 6, FALSE)</f>
        <v>155</v>
      </c>
      <c r="AB166" s="14">
        <f>VLOOKUP(Table29[[#This Row],[Shortname]], Comp[], 7, FALSE)</f>
        <v>48.1</v>
      </c>
      <c r="AC166">
        <f>VLOOKUP(Table29[[#This Row],[Shortname]], Comp[], 8, FALSE)</f>
        <v>29</v>
      </c>
      <c r="AD166">
        <f>VLOOKUP(Table29[[#This Row],[Shortname]], Comp[], 9, FALSE)</f>
        <v>12.1</v>
      </c>
      <c r="AE166">
        <f>VLOOKUP(Table29[[#This Row],[Shortname]], Comp[], 10, FALSE)</f>
        <v>0</v>
      </c>
      <c r="AF166">
        <f>VLOOKUP(Table29[[#This Row],[Shortname]], Comp[], 11, FALSE)</f>
        <v>5.8</v>
      </c>
      <c r="AG166">
        <f>VLOOKUP(Table29[[#This Row],[Shortname]], Comp[],12, FALSE)</f>
        <v>2.2400000000000002</v>
      </c>
      <c r="AH166">
        <f>VLOOKUP(Table29[[#This Row],[Shortname]], Comp[], 13, FALSE)</f>
        <v>2.66</v>
      </c>
      <c r="AI166">
        <f>VLOOKUP(Table29[[#This Row],[Shortname]], Comp[], 14, FALSE)</f>
        <v>0</v>
      </c>
      <c r="AJ166">
        <f>VLOOKUP(Table29[[#This Row],[Shortname]], Comp[], 15, FALSE)</f>
        <v>0</v>
      </c>
      <c r="AK166">
        <f>VLOOKUP(Table29[[#This Row],[Shortname]], Comp[], 16, FALSE)</f>
        <v>0</v>
      </c>
      <c r="AL166">
        <f>VLOOKUP(Table29[[#This Row],[Shortname]], Comp[], 17, FALSE)</f>
        <v>0</v>
      </c>
      <c r="AM166">
        <f>VLOOKUP(Table29[[#This Row],[Shortname]], Comp[], 18, FALSE)</f>
        <v>0</v>
      </c>
      <c r="AN166">
        <f>VLOOKUP(Table29[[#This Row],[Shortname]], Comp[], 19, FALSE)</f>
        <v>0.1</v>
      </c>
      <c r="AO166">
        <f>VLOOKUP(Table29[[#This Row],[Shortname]], Comp[], 20, FALSE)</f>
        <v>0</v>
      </c>
      <c r="AP166">
        <f>VLOOKUP(Table29[[#This Row],[Shortname]], Comp[], 21, FALSE)</f>
        <v>0</v>
      </c>
      <c r="AQ166">
        <f>VLOOKUP(Table29[[#This Row],[Shortname]], Comp[], 22, FALSE)</f>
        <v>0</v>
      </c>
      <c r="AR166">
        <f>VLOOKUP(Table29[[#This Row],[Shortname]], Comp[], 23, FALSE)</f>
        <v>0</v>
      </c>
      <c r="AS166">
        <f>VLOOKUP(Table29[[#This Row],[Shortname]], Comp[], 24, FALSE)</f>
        <v>0</v>
      </c>
      <c r="AT166">
        <f>VLOOKUP(Table29[[#This Row],[Shortname]], Comp[], 25, FALSE)</f>
        <v>0</v>
      </c>
      <c r="AU166">
        <f>VLOOKUP(Table29[[#This Row],[Shortname]], Comp[], 26, FALSE)</f>
        <v>0</v>
      </c>
      <c r="AV166">
        <f>VLOOKUP(Table29[[#This Row],[Shortname]], Comp[], 27, FALSE)</f>
        <v>0</v>
      </c>
      <c r="AW166">
        <f>VLOOKUP(Table29[[#This Row],[Shortname]], Comp[], 28, FALSE)</f>
        <v>0</v>
      </c>
      <c r="AX166">
        <f>VLOOKUP(Table29[[#This Row],[Shortname]], Comp[], 29, FALSE)</f>
        <v>0</v>
      </c>
      <c r="AY166">
        <f>VLOOKUP(Table29[[#This Row],[Shortname]], Comp[], 30, FALSE)</f>
        <v>0</v>
      </c>
      <c r="AZ166">
        <f>VLOOKUP(Table29[[#This Row],[Shortname]], Comp[], 31, FALSE)</f>
        <v>0</v>
      </c>
    </row>
    <row r="167" spans="1:52" x14ac:dyDescent="0.3">
      <c r="A167" t="s">
        <v>1221</v>
      </c>
      <c r="B167">
        <v>157</v>
      </c>
      <c r="C167">
        <v>155</v>
      </c>
      <c r="D167" t="s">
        <v>11</v>
      </c>
      <c r="E167" t="s">
        <v>160</v>
      </c>
      <c r="F167" t="s">
        <v>1223</v>
      </c>
      <c r="G167" t="s">
        <v>1224</v>
      </c>
      <c r="H167">
        <v>432</v>
      </c>
      <c r="I167">
        <v>1.1999999999999999E-7</v>
      </c>
      <c r="J167">
        <f>0.01/Table29[[#This Row],[Strain Rate (min) /s]]</f>
        <v>83333.333333333343</v>
      </c>
      <c r="K167">
        <f>LOG(Table29[[#This Row],[Time to 1% strain (s)]])</f>
        <v>4.9208187539523749</v>
      </c>
      <c r="L167">
        <v>850</v>
      </c>
      <c r="M167">
        <v>3.2</v>
      </c>
      <c r="P167" t="s">
        <v>7082</v>
      </c>
      <c r="Q167">
        <v>1250</v>
      </c>
      <c r="R167">
        <v>48</v>
      </c>
      <c r="S167">
        <v>900</v>
      </c>
      <c r="T167">
        <v>168</v>
      </c>
      <c r="W167">
        <v>1</v>
      </c>
      <c r="X167">
        <v>10</v>
      </c>
      <c r="Y167">
        <v>90</v>
      </c>
      <c r="AA167">
        <f>VLOOKUP(Table29[[#This Row],[Shortname]], Comp[], 6, FALSE)</f>
        <v>155</v>
      </c>
      <c r="AB167" s="14">
        <f>VLOOKUP(Table29[[#This Row],[Shortname]], Comp[], 7, FALSE)</f>
        <v>48.1</v>
      </c>
      <c r="AC167">
        <f>VLOOKUP(Table29[[#This Row],[Shortname]], Comp[], 8, FALSE)</f>
        <v>29</v>
      </c>
      <c r="AD167">
        <f>VLOOKUP(Table29[[#This Row],[Shortname]], Comp[], 9, FALSE)</f>
        <v>12.1</v>
      </c>
      <c r="AE167">
        <f>VLOOKUP(Table29[[#This Row],[Shortname]], Comp[], 10, FALSE)</f>
        <v>0</v>
      </c>
      <c r="AF167">
        <f>VLOOKUP(Table29[[#This Row],[Shortname]], Comp[], 11, FALSE)</f>
        <v>5.8</v>
      </c>
      <c r="AG167">
        <f>VLOOKUP(Table29[[#This Row],[Shortname]], Comp[],12, FALSE)</f>
        <v>2.2400000000000002</v>
      </c>
      <c r="AH167">
        <f>VLOOKUP(Table29[[#This Row],[Shortname]], Comp[], 13, FALSE)</f>
        <v>2.66</v>
      </c>
      <c r="AI167">
        <f>VLOOKUP(Table29[[#This Row],[Shortname]], Comp[], 14, FALSE)</f>
        <v>0</v>
      </c>
      <c r="AJ167">
        <f>VLOOKUP(Table29[[#This Row],[Shortname]], Comp[], 15, FALSE)</f>
        <v>0</v>
      </c>
      <c r="AK167">
        <f>VLOOKUP(Table29[[#This Row],[Shortname]], Comp[], 16, FALSE)</f>
        <v>0</v>
      </c>
      <c r="AL167">
        <f>VLOOKUP(Table29[[#This Row],[Shortname]], Comp[], 17, FALSE)</f>
        <v>0</v>
      </c>
      <c r="AM167">
        <f>VLOOKUP(Table29[[#This Row],[Shortname]], Comp[], 18, FALSE)</f>
        <v>0</v>
      </c>
      <c r="AN167">
        <f>VLOOKUP(Table29[[#This Row],[Shortname]], Comp[], 19, FALSE)</f>
        <v>0.1</v>
      </c>
      <c r="AO167">
        <f>VLOOKUP(Table29[[#This Row],[Shortname]], Comp[], 20, FALSE)</f>
        <v>0</v>
      </c>
      <c r="AP167">
        <f>VLOOKUP(Table29[[#This Row],[Shortname]], Comp[], 21, FALSE)</f>
        <v>0</v>
      </c>
      <c r="AQ167">
        <f>VLOOKUP(Table29[[#This Row],[Shortname]], Comp[], 22, FALSE)</f>
        <v>0</v>
      </c>
      <c r="AR167">
        <f>VLOOKUP(Table29[[#This Row],[Shortname]], Comp[], 23, FALSE)</f>
        <v>0</v>
      </c>
      <c r="AS167">
        <f>VLOOKUP(Table29[[#This Row],[Shortname]], Comp[], 24, FALSE)</f>
        <v>0</v>
      </c>
      <c r="AT167">
        <f>VLOOKUP(Table29[[#This Row],[Shortname]], Comp[], 25, FALSE)</f>
        <v>0</v>
      </c>
      <c r="AU167">
        <f>VLOOKUP(Table29[[#This Row],[Shortname]], Comp[], 26, FALSE)</f>
        <v>0</v>
      </c>
      <c r="AV167">
        <f>VLOOKUP(Table29[[#This Row],[Shortname]], Comp[], 27, FALSE)</f>
        <v>0</v>
      </c>
      <c r="AW167">
        <f>VLOOKUP(Table29[[#This Row],[Shortname]], Comp[], 28, FALSE)</f>
        <v>0</v>
      </c>
      <c r="AX167">
        <f>VLOOKUP(Table29[[#This Row],[Shortname]], Comp[], 29, FALSE)</f>
        <v>0</v>
      </c>
      <c r="AY167">
        <f>VLOOKUP(Table29[[#This Row],[Shortname]], Comp[], 30, FALSE)</f>
        <v>0</v>
      </c>
      <c r="AZ167">
        <f>VLOOKUP(Table29[[#This Row],[Shortname]], Comp[], 31, FALSE)</f>
        <v>0</v>
      </c>
    </row>
    <row r="168" spans="1:52" x14ac:dyDescent="0.3">
      <c r="A168" t="s">
        <v>1234</v>
      </c>
      <c r="B168">
        <v>158</v>
      </c>
      <c r="C168">
        <v>156</v>
      </c>
      <c r="D168" t="s">
        <v>1235</v>
      </c>
      <c r="E168" t="s">
        <v>160</v>
      </c>
      <c r="F168" t="s">
        <v>1236</v>
      </c>
      <c r="G168" t="s">
        <v>1224</v>
      </c>
      <c r="H168">
        <v>394</v>
      </c>
      <c r="I168">
        <v>6.5299999999999996E-8</v>
      </c>
      <c r="J168">
        <f>0.01/Table29[[#This Row],[Strain Rate (min) /s]]</f>
        <v>153139.3568147014</v>
      </c>
      <c r="K168">
        <f>LOG(Table29[[#This Row],[Time to 1% strain (s)]])</f>
        <v>5.1850868187249262</v>
      </c>
      <c r="L168">
        <v>850</v>
      </c>
      <c r="M168">
        <v>9.5</v>
      </c>
      <c r="P168" t="s">
        <v>7083</v>
      </c>
      <c r="Q168">
        <v>1250</v>
      </c>
      <c r="R168">
        <v>48</v>
      </c>
      <c r="S168">
        <v>900</v>
      </c>
      <c r="T168">
        <v>168</v>
      </c>
      <c r="W168">
        <v>1</v>
      </c>
      <c r="X168">
        <v>10</v>
      </c>
      <c r="Y168">
        <v>86</v>
      </c>
      <c r="AA168">
        <f>VLOOKUP(Table29[[#This Row],[Shortname]], Comp[], 6, FALSE)</f>
        <v>156</v>
      </c>
      <c r="AB168" s="14">
        <f>VLOOKUP(Table29[[#This Row],[Shortname]], Comp[], 7, FALSE)</f>
        <v>45.5</v>
      </c>
      <c r="AC168">
        <f>VLOOKUP(Table29[[#This Row],[Shortname]], Comp[], 8, FALSE)</f>
        <v>29.2</v>
      </c>
      <c r="AD168">
        <f>VLOOKUP(Table29[[#This Row],[Shortname]], Comp[], 9, FALSE)</f>
        <v>11.1</v>
      </c>
      <c r="AE168">
        <f>VLOOKUP(Table29[[#This Row],[Shortname]], Comp[], 10, FALSE)</f>
        <v>4.0999999999999996</v>
      </c>
      <c r="AF168">
        <f>VLOOKUP(Table29[[#This Row],[Shortname]], Comp[], 11, FALSE)</f>
        <v>5.68</v>
      </c>
      <c r="AG168">
        <f>VLOOKUP(Table29[[#This Row],[Shortname]], Comp[],12, FALSE)</f>
        <v>2.04</v>
      </c>
      <c r="AH168">
        <f>VLOOKUP(Table29[[#This Row],[Shortname]], Comp[], 13, FALSE)</f>
        <v>2.2799999999999998</v>
      </c>
      <c r="AI168">
        <f>VLOOKUP(Table29[[#This Row],[Shortname]], Comp[], 14, FALSE)</f>
        <v>0</v>
      </c>
      <c r="AJ168">
        <f>VLOOKUP(Table29[[#This Row],[Shortname]], Comp[], 15, FALSE)</f>
        <v>0</v>
      </c>
      <c r="AK168">
        <f>VLOOKUP(Table29[[#This Row],[Shortname]], Comp[], 16, FALSE)</f>
        <v>0</v>
      </c>
      <c r="AL168">
        <f>VLOOKUP(Table29[[#This Row],[Shortname]], Comp[], 17, FALSE)</f>
        <v>0</v>
      </c>
      <c r="AM168">
        <f>VLOOKUP(Table29[[#This Row],[Shortname]], Comp[], 18, FALSE)</f>
        <v>0</v>
      </c>
      <c r="AN168">
        <f>VLOOKUP(Table29[[#This Row],[Shortname]], Comp[], 19, FALSE)</f>
        <v>0.1</v>
      </c>
      <c r="AO168">
        <f>VLOOKUP(Table29[[#This Row],[Shortname]], Comp[], 20, FALSE)</f>
        <v>0</v>
      </c>
      <c r="AP168">
        <f>VLOOKUP(Table29[[#This Row],[Shortname]], Comp[], 21, FALSE)</f>
        <v>0</v>
      </c>
      <c r="AQ168">
        <f>VLOOKUP(Table29[[#This Row],[Shortname]], Comp[], 22, FALSE)</f>
        <v>0</v>
      </c>
      <c r="AR168">
        <f>VLOOKUP(Table29[[#This Row],[Shortname]], Comp[], 23, FALSE)</f>
        <v>0</v>
      </c>
      <c r="AS168">
        <f>VLOOKUP(Table29[[#This Row],[Shortname]], Comp[], 24, FALSE)</f>
        <v>0</v>
      </c>
      <c r="AT168">
        <f>VLOOKUP(Table29[[#This Row],[Shortname]], Comp[], 25, FALSE)</f>
        <v>0</v>
      </c>
      <c r="AU168">
        <f>VLOOKUP(Table29[[#This Row],[Shortname]], Comp[], 26, FALSE)</f>
        <v>0</v>
      </c>
      <c r="AV168">
        <f>VLOOKUP(Table29[[#This Row],[Shortname]], Comp[], 27, FALSE)</f>
        <v>0</v>
      </c>
      <c r="AW168">
        <f>VLOOKUP(Table29[[#This Row],[Shortname]], Comp[], 28, FALSE)</f>
        <v>0</v>
      </c>
      <c r="AX168">
        <f>VLOOKUP(Table29[[#This Row],[Shortname]], Comp[], 29, FALSE)</f>
        <v>0</v>
      </c>
      <c r="AY168">
        <f>VLOOKUP(Table29[[#This Row],[Shortname]], Comp[], 30, FALSE)</f>
        <v>0</v>
      </c>
      <c r="AZ168">
        <f>VLOOKUP(Table29[[#This Row],[Shortname]], Comp[], 31, FALSE)</f>
        <v>0</v>
      </c>
    </row>
    <row r="169" spans="1:52" x14ac:dyDescent="0.3">
      <c r="A169" t="s">
        <v>1234</v>
      </c>
      <c r="B169">
        <v>159</v>
      </c>
      <c r="C169">
        <v>156</v>
      </c>
      <c r="D169" t="s">
        <v>11</v>
      </c>
      <c r="E169" t="s">
        <v>160</v>
      </c>
      <c r="F169" t="s">
        <v>1236</v>
      </c>
      <c r="G169" t="s">
        <v>1224</v>
      </c>
      <c r="H169">
        <v>412</v>
      </c>
      <c r="I169">
        <v>9.9999999999999995E-8</v>
      </c>
      <c r="J169">
        <f>0.01/Table29[[#This Row],[Strain Rate (min) /s]]</f>
        <v>100000</v>
      </c>
      <c r="K169">
        <f>LOG(Table29[[#This Row],[Time to 1% strain (s)]])</f>
        <v>5</v>
      </c>
      <c r="L169">
        <v>850</v>
      </c>
      <c r="M169">
        <v>9.5</v>
      </c>
      <c r="P169" t="s">
        <v>7083</v>
      </c>
      <c r="Q169">
        <v>1250</v>
      </c>
      <c r="R169">
        <v>48</v>
      </c>
      <c r="S169">
        <v>900</v>
      </c>
      <c r="T169">
        <v>168</v>
      </c>
      <c r="W169">
        <v>1</v>
      </c>
      <c r="X169">
        <v>10</v>
      </c>
      <c r="Y169">
        <v>86</v>
      </c>
      <c r="AA169">
        <f>VLOOKUP(Table29[[#This Row],[Shortname]], Comp[], 6, FALSE)</f>
        <v>156</v>
      </c>
      <c r="AB169" s="14">
        <f>VLOOKUP(Table29[[#This Row],[Shortname]], Comp[], 7, FALSE)</f>
        <v>45.5</v>
      </c>
      <c r="AC169">
        <f>VLOOKUP(Table29[[#This Row],[Shortname]], Comp[], 8, FALSE)</f>
        <v>29.2</v>
      </c>
      <c r="AD169">
        <f>VLOOKUP(Table29[[#This Row],[Shortname]], Comp[], 9, FALSE)</f>
        <v>11.1</v>
      </c>
      <c r="AE169">
        <f>VLOOKUP(Table29[[#This Row],[Shortname]], Comp[], 10, FALSE)</f>
        <v>4.0999999999999996</v>
      </c>
      <c r="AF169">
        <f>VLOOKUP(Table29[[#This Row],[Shortname]], Comp[], 11, FALSE)</f>
        <v>5.68</v>
      </c>
      <c r="AG169">
        <f>VLOOKUP(Table29[[#This Row],[Shortname]], Comp[],12, FALSE)</f>
        <v>2.04</v>
      </c>
      <c r="AH169">
        <f>VLOOKUP(Table29[[#This Row],[Shortname]], Comp[], 13, FALSE)</f>
        <v>2.2799999999999998</v>
      </c>
      <c r="AI169">
        <f>VLOOKUP(Table29[[#This Row],[Shortname]], Comp[], 14, FALSE)</f>
        <v>0</v>
      </c>
      <c r="AJ169">
        <f>VLOOKUP(Table29[[#This Row],[Shortname]], Comp[], 15, FALSE)</f>
        <v>0</v>
      </c>
      <c r="AK169">
        <f>VLOOKUP(Table29[[#This Row],[Shortname]], Comp[], 16, FALSE)</f>
        <v>0</v>
      </c>
      <c r="AL169">
        <f>VLOOKUP(Table29[[#This Row],[Shortname]], Comp[], 17, FALSE)</f>
        <v>0</v>
      </c>
      <c r="AM169">
        <f>VLOOKUP(Table29[[#This Row],[Shortname]], Comp[], 18, FALSE)</f>
        <v>0</v>
      </c>
      <c r="AN169">
        <f>VLOOKUP(Table29[[#This Row],[Shortname]], Comp[], 19, FALSE)</f>
        <v>0.1</v>
      </c>
      <c r="AO169">
        <f>VLOOKUP(Table29[[#This Row],[Shortname]], Comp[], 20, FALSE)</f>
        <v>0</v>
      </c>
      <c r="AP169">
        <f>VLOOKUP(Table29[[#This Row],[Shortname]], Comp[], 21, FALSE)</f>
        <v>0</v>
      </c>
      <c r="AQ169">
        <f>VLOOKUP(Table29[[#This Row],[Shortname]], Comp[], 22, FALSE)</f>
        <v>0</v>
      </c>
      <c r="AR169">
        <f>VLOOKUP(Table29[[#This Row],[Shortname]], Comp[], 23, FALSE)</f>
        <v>0</v>
      </c>
      <c r="AS169">
        <f>VLOOKUP(Table29[[#This Row],[Shortname]], Comp[], 24, FALSE)</f>
        <v>0</v>
      </c>
      <c r="AT169">
        <f>VLOOKUP(Table29[[#This Row],[Shortname]], Comp[], 25, FALSE)</f>
        <v>0</v>
      </c>
      <c r="AU169">
        <f>VLOOKUP(Table29[[#This Row],[Shortname]], Comp[], 26, FALSE)</f>
        <v>0</v>
      </c>
      <c r="AV169">
        <f>VLOOKUP(Table29[[#This Row],[Shortname]], Comp[], 27, FALSE)</f>
        <v>0</v>
      </c>
      <c r="AW169">
        <f>VLOOKUP(Table29[[#This Row],[Shortname]], Comp[], 28, FALSE)</f>
        <v>0</v>
      </c>
      <c r="AX169">
        <f>VLOOKUP(Table29[[#This Row],[Shortname]], Comp[], 29, FALSE)</f>
        <v>0</v>
      </c>
      <c r="AY169">
        <f>VLOOKUP(Table29[[#This Row],[Shortname]], Comp[], 30, FALSE)</f>
        <v>0</v>
      </c>
      <c r="AZ169">
        <f>VLOOKUP(Table29[[#This Row],[Shortname]], Comp[], 31, FALSE)</f>
        <v>0</v>
      </c>
    </row>
    <row r="170" spans="1:52" x14ac:dyDescent="0.3">
      <c r="A170" t="s">
        <v>1234</v>
      </c>
      <c r="B170">
        <v>160</v>
      </c>
      <c r="C170">
        <v>156</v>
      </c>
      <c r="D170" t="s">
        <v>11</v>
      </c>
      <c r="E170" t="s">
        <v>160</v>
      </c>
      <c r="F170" t="s">
        <v>1236</v>
      </c>
      <c r="G170" t="s">
        <v>1224</v>
      </c>
      <c r="H170">
        <v>451</v>
      </c>
      <c r="I170">
        <v>2.0599999999999999E-7</v>
      </c>
      <c r="J170">
        <f>0.01/Table29[[#This Row],[Strain Rate (min) /s]]</f>
        <v>48543.689320388352</v>
      </c>
      <c r="K170">
        <f>LOG(Table29[[#This Row],[Time to 1% strain (s)]])</f>
        <v>4.6861327796308467</v>
      </c>
      <c r="L170">
        <v>850</v>
      </c>
      <c r="M170">
        <v>9.5</v>
      </c>
      <c r="P170" t="s">
        <v>7083</v>
      </c>
      <c r="Q170">
        <v>1250</v>
      </c>
      <c r="R170">
        <v>48</v>
      </c>
      <c r="S170">
        <v>900</v>
      </c>
      <c r="T170">
        <v>168</v>
      </c>
      <c r="W170">
        <v>1</v>
      </c>
      <c r="X170">
        <v>10</v>
      </c>
      <c r="Y170">
        <v>86</v>
      </c>
      <c r="AA170">
        <f>VLOOKUP(Table29[[#This Row],[Shortname]], Comp[], 6, FALSE)</f>
        <v>156</v>
      </c>
      <c r="AB170" s="14">
        <f>VLOOKUP(Table29[[#This Row],[Shortname]], Comp[], 7, FALSE)</f>
        <v>45.5</v>
      </c>
      <c r="AC170">
        <f>VLOOKUP(Table29[[#This Row],[Shortname]], Comp[], 8, FALSE)</f>
        <v>29.2</v>
      </c>
      <c r="AD170">
        <f>VLOOKUP(Table29[[#This Row],[Shortname]], Comp[], 9, FALSE)</f>
        <v>11.1</v>
      </c>
      <c r="AE170">
        <f>VLOOKUP(Table29[[#This Row],[Shortname]], Comp[], 10, FALSE)</f>
        <v>4.0999999999999996</v>
      </c>
      <c r="AF170">
        <f>VLOOKUP(Table29[[#This Row],[Shortname]], Comp[], 11, FALSE)</f>
        <v>5.68</v>
      </c>
      <c r="AG170">
        <f>VLOOKUP(Table29[[#This Row],[Shortname]], Comp[],12, FALSE)</f>
        <v>2.04</v>
      </c>
      <c r="AH170">
        <f>VLOOKUP(Table29[[#This Row],[Shortname]], Comp[], 13, FALSE)</f>
        <v>2.2799999999999998</v>
      </c>
      <c r="AI170">
        <f>VLOOKUP(Table29[[#This Row],[Shortname]], Comp[], 14, FALSE)</f>
        <v>0</v>
      </c>
      <c r="AJ170">
        <f>VLOOKUP(Table29[[#This Row],[Shortname]], Comp[], 15, FALSE)</f>
        <v>0</v>
      </c>
      <c r="AK170">
        <f>VLOOKUP(Table29[[#This Row],[Shortname]], Comp[], 16, FALSE)</f>
        <v>0</v>
      </c>
      <c r="AL170">
        <f>VLOOKUP(Table29[[#This Row],[Shortname]], Comp[], 17, FALSE)</f>
        <v>0</v>
      </c>
      <c r="AM170">
        <f>VLOOKUP(Table29[[#This Row],[Shortname]], Comp[], 18, FALSE)</f>
        <v>0</v>
      </c>
      <c r="AN170">
        <f>VLOOKUP(Table29[[#This Row],[Shortname]], Comp[], 19, FALSE)</f>
        <v>0.1</v>
      </c>
      <c r="AO170">
        <f>VLOOKUP(Table29[[#This Row],[Shortname]], Comp[], 20, FALSE)</f>
        <v>0</v>
      </c>
      <c r="AP170">
        <f>VLOOKUP(Table29[[#This Row],[Shortname]], Comp[], 21, FALSE)</f>
        <v>0</v>
      </c>
      <c r="AQ170">
        <f>VLOOKUP(Table29[[#This Row],[Shortname]], Comp[], 22, FALSE)</f>
        <v>0</v>
      </c>
      <c r="AR170">
        <f>VLOOKUP(Table29[[#This Row],[Shortname]], Comp[], 23, FALSE)</f>
        <v>0</v>
      </c>
      <c r="AS170">
        <f>VLOOKUP(Table29[[#This Row],[Shortname]], Comp[], 24, FALSE)</f>
        <v>0</v>
      </c>
      <c r="AT170">
        <f>VLOOKUP(Table29[[#This Row],[Shortname]], Comp[], 25, FALSE)</f>
        <v>0</v>
      </c>
      <c r="AU170">
        <f>VLOOKUP(Table29[[#This Row],[Shortname]], Comp[], 26, FALSE)</f>
        <v>0</v>
      </c>
      <c r="AV170">
        <f>VLOOKUP(Table29[[#This Row],[Shortname]], Comp[], 27, FALSE)</f>
        <v>0</v>
      </c>
      <c r="AW170">
        <f>VLOOKUP(Table29[[#This Row],[Shortname]], Comp[], 28, FALSE)</f>
        <v>0</v>
      </c>
      <c r="AX170">
        <f>VLOOKUP(Table29[[#This Row],[Shortname]], Comp[], 29, FALSE)</f>
        <v>0</v>
      </c>
      <c r="AY170">
        <f>VLOOKUP(Table29[[#This Row],[Shortname]], Comp[], 30, FALSE)</f>
        <v>0</v>
      </c>
      <c r="AZ170">
        <f>VLOOKUP(Table29[[#This Row],[Shortname]], Comp[], 31, FALSE)</f>
        <v>0</v>
      </c>
    </row>
    <row r="171" spans="1:52" x14ac:dyDescent="0.3">
      <c r="A171" t="s">
        <v>1234</v>
      </c>
      <c r="B171">
        <v>161</v>
      </c>
      <c r="C171">
        <v>156</v>
      </c>
      <c r="D171" t="s">
        <v>11</v>
      </c>
      <c r="E171" t="s">
        <v>160</v>
      </c>
      <c r="F171" t="s">
        <v>1236</v>
      </c>
      <c r="G171" t="s">
        <v>1224</v>
      </c>
      <c r="H171">
        <v>466</v>
      </c>
      <c r="I171">
        <v>3.5100000000000001E-7</v>
      </c>
      <c r="J171">
        <f>0.01/Table29[[#This Row],[Strain Rate (min) /s]]</f>
        <v>28490.02849002849</v>
      </c>
      <c r="K171">
        <f>LOG(Table29[[#This Row],[Time to 1% strain (s)]])</f>
        <v>4.4546928835341761</v>
      </c>
      <c r="L171">
        <v>850</v>
      </c>
      <c r="M171">
        <v>9.5</v>
      </c>
      <c r="P171" t="s">
        <v>7083</v>
      </c>
      <c r="Q171">
        <v>1250</v>
      </c>
      <c r="R171">
        <v>48</v>
      </c>
      <c r="S171">
        <v>900</v>
      </c>
      <c r="T171">
        <v>168</v>
      </c>
      <c r="W171">
        <v>1</v>
      </c>
      <c r="X171">
        <v>10</v>
      </c>
      <c r="Y171">
        <v>86</v>
      </c>
      <c r="AA171">
        <f>VLOOKUP(Table29[[#This Row],[Shortname]], Comp[], 6, FALSE)</f>
        <v>156</v>
      </c>
      <c r="AB171" s="14">
        <f>VLOOKUP(Table29[[#This Row],[Shortname]], Comp[], 7, FALSE)</f>
        <v>45.5</v>
      </c>
      <c r="AC171">
        <f>VLOOKUP(Table29[[#This Row],[Shortname]], Comp[], 8, FALSE)</f>
        <v>29.2</v>
      </c>
      <c r="AD171">
        <f>VLOOKUP(Table29[[#This Row],[Shortname]], Comp[], 9, FALSE)</f>
        <v>11.1</v>
      </c>
      <c r="AE171">
        <f>VLOOKUP(Table29[[#This Row],[Shortname]], Comp[], 10, FALSE)</f>
        <v>4.0999999999999996</v>
      </c>
      <c r="AF171">
        <f>VLOOKUP(Table29[[#This Row],[Shortname]], Comp[], 11, FALSE)</f>
        <v>5.68</v>
      </c>
      <c r="AG171">
        <f>VLOOKUP(Table29[[#This Row],[Shortname]], Comp[],12, FALSE)</f>
        <v>2.04</v>
      </c>
      <c r="AH171">
        <f>VLOOKUP(Table29[[#This Row],[Shortname]], Comp[], 13, FALSE)</f>
        <v>2.2799999999999998</v>
      </c>
      <c r="AI171">
        <f>VLOOKUP(Table29[[#This Row],[Shortname]], Comp[], 14, FALSE)</f>
        <v>0</v>
      </c>
      <c r="AJ171">
        <f>VLOOKUP(Table29[[#This Row],[Shortname]], Comp[], 15, FALSE)</f>
        <v>0</v>
      </c>
      <c r="AK171">
        <f>VLOOKUP(Table29[[#This Row],[Shortname]], Comp[], 16, FALSE)</f>
        <v>0</v>
      </c>
      <c r="AL171">
        <f>VLOOKUP(Table29[[#This Row],[Shortname]], Comp[], 17, FALSE)</f>
        <v>0</v>
      </c>
      <c r="AM171">
        <f>VLOOKUP(Table29[[#This Row],[Shortname]], Comp[], 18, FALSE)</f>
        <v>0</v>
      </c>
      <c r="AN171">
        <f>VLOOKUP(Table29[[#This Row],[Shortname]], Comp[], 19, FALSE)</f>
        <v>0.1</v>
      </c>
      <c r="AO171">
        <f>VLOOKUP(Table29[[#This Row],[Shortname]], Comp[], 20, FALSE)</f>
        <v>0</v>
      </c>
      <c r="AP171">
        <f>VLOOKUP(Table29[[#This Row],[Shortname]], Comp[], 21, FALSE)</f>
        <v>0</v>
      </c>
      <c r="AQ171">
        <f>VLOOKUP(Table29[[#This Row],[Shortname]], Comp[], 22, FALSE)</f>
        <v>0</v>
      </c>
      <c r="AR171">
        <f>VLOOKUP(Table29[[#This Row],[Shortname]], Comp[], 23, FALSE)</f>
        <v>0</v>
      </c>
      <c r="AS171">
        <f>VLOOKUP(Table29[[#This Row],[Shortname]], Comp[], 24, FALSE)</f>
        <v>0</v>
      </c>
      <c r="AT171">
        <f>VLOOKUP(Table29[[#This Row],[Shortname]], Comp[], 25, FALSE)</f>
        <v>0</v>
      </c>
      <c r="AU171">
        <f>VLOOKUP(Table29[[#This Row],[Shortname]], Comp[], 26, FALSE)</f>
        <v>0</v>
      </c>
      <c r="AV171">
        <f>VLOOKUP(Table29[[#This Row],[Shortname]], Comp[], 27, FALSE)</f>
        <v>0</v>
      </c>
      <c r="AW171">
        <f>VLOOKUP(Table29[[#This Row],[Shortname]], Comp[], 28, FALSE)</f>
        <v>0</v>
      </c>
      <c r="AX171">
        <f>VLOOKUP(Table29[[#This Row],[Shortname]], Comp[], 29, FALSE)</f>
        <v>0</v>
      </c>
      <c r="AY171">
        <f>VLOOKUP(Table29[[#This Row],[Shortname]], Comp[], 30, FALSE)</f>
        <v>0</v>
      </c>
      <c r="AZ171">
        <f>VLOOKUP(Table29[[#This Row],[Shortname]], Comp[], 31, FALSE)</f>
        <v>0</v>
      </c>
    </row>
    <row r="172" spans="1:52" x14ac:dyDescent="0.3">
      <c r="A172" t="s">
        <v>1253</v>
      </c>
      <c r="B172">
        <v>162</v>
      </c>
      <c r="C172">
        <v>158</v>
      </c>
      <c r="D172" t="s">
        <v>1254</v>
      </c>
      <c r="E172" t="s">
        <v>514</v>
      </c>
      <c r="F172" t="s">
        <v>1255</v>
      </c>
      <c r="G172" t="s">
        <v>1224</v>
      </c>
      <c r="H172">
        <v>355</v>
      </c>
      <c r="I172">
        <v>1.07E-8</v>
      </c>
      <c r="J172">
        <f>0.01/Table29[[#This Row],[Strain Rate (min) /s]]</f>
        <v>934579.43925233651</v>
      </c>
      <c r="K172">
        <f>LOG(Table29[[#This Row],[Time to 1% strain (s)]])</f>
        <v>5.9706162223147903</v>
      </c>
      <c r="L172">
        <v>850</v>
      </c>
      <c r="M172">
        <v>11.6</v>
      </c>
      <c r="P172" t="s">
        <v>7084</v>
      </c>
      <c r="Q172">
        <v>1250</v>
      </c>
      <c r="R172">
        <v>48</v>
      </c>
      <c r="S172">
        <v>900</v>
      </c>
      <c r="T172">
        <v>168</v>
      </c>
      <c r="W172">
        <v>1</v>
      </c>
      <c r="X172">
        <v>10</v>
      </c>
      <c r="Y172">
        <v>83</v>
      </c>
      <c r="AA172">
        <f>VLOOKUP(Table29[[#This Row],[Shortname]], Comp[], 6, FALSE)</f>
        <v>158</v>
      </c>
      <c r="AB172" s="14">
        <f>VLOOKUP(Table29[[#This Row],[Shortname]], Comp[], 7, FALSE)</f>
        <v>42.2</v>
      </c>
      <c r="AC172">
        <f>VLOOKUP(Table29[[#This Row],[Shortname]], Comp[], 8, FALSE)</f>
        <v>29.5</v>
      </c>
      <c r="AD172">
        <f>VLOOKUP(Table29[[#This Row],[Shortname]], Comp[], 9, FALSE)</f>
        <v>10.5</v>
      </c>
      <c r="AE172">
        <f>VLOOKUP(Table29[[#This Row],[Shortname]], Comp[], 10, FALSE)</f>
        <v>8.02</v>
      </c>
      <c r="AF172">
        <f>VLOOKUP(Table29[[#This Row],[Shortname]], Comp[], 11, FALSE)</f>
        <v>5.14</v>
      </c>
      <c r="AG172">
        <f>VLOOKUP(Table29[[#This Row],[Shortname]], Comp[],12, FALSE)</f>
        <v>1.85</v>
      </c>
      <c r="AH172">
        <f>VLOOKUP(Table29[[#This Row],[Shortname]], Comp[], 13, FALSE)</f>
        <v>2.69</v>
      </c>
      <c r="AI172">
        <f>VLOOKUP(Table29[[#This Row],[Shortname]], Comp[], 14, FALSE)</f>
        <v>0</v>
      </c>
      <c r="AJ172">
        <f>VLOOKUP(Table29[[#This Row],[Shortname]], Comp[], 15, FALSE)</f>
        <v>0</v>
      </c>
      <c r="AK172">
        <f>VLOOKUP(Table29[[#This Row],[Shortname]], Comp[], 16, FALSE)</f>
        <v>0</v>
      </c>
      <c r="AL172">
        <f>VLOOKUP(Table29[[#This Row],[Shortname]], Comp[], 17, FALSE)</f>
        <v>0</v>
      </c>
      <c r="AM172">
        <f>VLOOKUP(Table29[[#This Row],[Shortname]], Comp[], 18, FALSE)</f>
        <v>0</v>
      </c>
      <c r="AN172">
        <f>VLOOKUP(Table29[[#This Row],[Shortname]], Comp[], 19, FALSE)</f>
        <v>0.1</v>
      </c>
      <c r="AO172">
        <f>VLOOKUP(Table29[[#This Row],[Shortname]], Comp[], 20, FALSE)</f>
        <v>0</v>
      </c>
      <c r="AP172">
        <f>VLOOKUP(Table29[[#This Row],[Shortname]], Comp[], 21, FALSE)</f>
        <v>0</v>
      </c>
      <c r="AQ172">
        <f>VLOOKUP(Table29[[#This Row],[Shortname]], Comp[], 22, FALSE)</f>
        <v>0</v>
      </c>
      <c r="AR172">
        <f>VLOOKUP(Table29[[#This Row],[Shortname]], Comp[], 23, FALSE)</f>
        <v>0</v>
      </c>
      <c r="AS172">
        <f>VLOOKUP(Table29[[#This Row],[Shortname]], Comp[], 24, FALSE)</f>
        <v>0</v>
      </c>
      <c r="AT172">
        <f>VLOOKUP(Table29[[#This Row],[Shortname]], Comp[], 25, FALSE)</f>
        <v>0</v>
      </c>
      <c r="AU172">
        <f>VLOOKUP(Table29[[#This Row],[Shortname]], Comp[], 26, FALSE)</f>
        <v>0</v>
      </c>
      <c r="AV172">
        <f>VLOOKUP(Table29[[#This Row],[Shortname]], Comp[], 27, FALSE)</f>
        <v>0</v>
      </c>
      <c r="AW172">
        <f>VLOOKUP(Table29[[#This Row],[Shortname]], Comp[], 28, FALSE)</f>
        <v>0</v>
      </c>
      <c r="AX172">
        <f>VLOOKUP(Table29[[#This Row],[Shortname]], Comp[], 29, FALSE)</f>
        <v>0</v>
      </c>
      <c r="AY172">
        <f>VLOOKUP(Table29[[#This Row],[Shortname]], Comp[], 30, FALSE)</f>
        <v>0</v>
      </c>
      <c r="AZ172">
        <f>VLOOKUP(Table29[[#This Row],[Shortname]], Comp[], 31, FALSE)</f>
        <v>0</v>
      </c>
    </row>
    <row r="173" spans="1:52" x14ac:dyDescent="0.3">
      <c r="A173" t="s">
        <v>1253</v>
      </c>
      <c r="B173">
        <v>163</v>
      </c>
      <c r="C173">
        <v>158</v>
      </c>
      <c r="D173" t="s">
        <v>11</v>
      </c>
      <c r="E173" t="s">
        <v>514</v>
      </c>
      <c r="F173" t="s">
        <v>1255</v>
      </c>
      <c r="G173" t="s">
        <v>1224</v>
      </c>
      <c r="H173">
        <v>406</v>
      </c>
      <c r="I173">
        <v>2.66E-8</v>
      </c>
      <c r="J173">
        <f>0.01/Table29[[#This Row],[Strain Rate (min) /s]]</f>
        <v>375939.84962406015</v>
      </c>
      <c r="K173">
        <f>LOG(Table29[[#This Row],[Time to 1% strain (s)]])</f>
        <v>5.575118363368933</v>
      </c>
      <c r="L173">
        <v>850</v>
      </c>
      <c r="M173">
        <v>11.6</v>
      </c>
      <c r="P173" t="s">
        <v>7084</v>
      </c>
      <c r="Q173">
        <v>1250</v>
      </c>
      <c r="R173">
        <v>48</v>
      </c>
      <c r="S173">
        <v>900</v>
      </c>
      <c r="T173">
        <v>168</v>
      </c>
      <c r="W173">
        <v>1</v>
      </c>
      <c r="X173">
        <v>10</v>
      </c>
      <c r="Y173">
        <v>83</v>
      </c>
      <c r="AA173">
        <f>VLOOKUP(Table29[[#This Row],[Shortname]], Comp[], 6, FALSE)</f>
        <v>158</v>
      </c>
      <c r="AB173" s="14">
        <f>VLOOKUP(Table29[[#This Row],[Shortname]], Comp[], 7, FALSE)</f>
        <v>42.2</v>
      </c>
      <c r="AC173">
        <f>VLOOKUP(Table29[[#This Row],[Shortname]], Comp[], 8, FALSE)</f>
        <v>29.5</v>
      </c>
      <c r="AD173">
        <f>VLOOKUP(Table29[[#This Row],[Shortname]], Comp[], 9, FALSE)</f>
        <v>10.5</v>
      </c>
      <c r="AE173">
        <f>VLOOKUP(Table29[[#This Row],[Shortname]], Comp[], 10, FALSE)</f>
        <v>8.02</v>
      </c>
      <c r="AF173">
        <f>VLOOKUP(Table29[[#This Row],[Shortname]], Comp[], 11, FALSE)</f>
        <v>5.14</v>
      </c>
      <c r="AG173">
        <f>VLOOKUP(Table29[[#This Row],[Shortname]], Comp[],12, FALSE)</f>
        <v>1.85</v>
      </c>
      <c r="AH173">
        <f>VLOOKUP(Table29[[#This Row],[Shortname]], Comp[], 13, FALSE)</f>
        <v>2.69</v>
      </c>
      <c r="AI173">
        <f>VLOOKUP(Table29[[#This Row],[Shortname]], Comp[], 14, FALSE)</f>
        <v>0</v>
      </c>
      <c r="AJ173">
        <f>VLOOKUP(Table29[[#This Row],[Shortname]], Comp[], 15, FALSE)</f>
        <v>0</v>
      </c>
      <c r="AK173">
        <f>VLOOKUP(Table29[[#This Row],[Shortname]], Comp[], 16, FALSE)</f>
        <v>0</v>
      </c>
      <c r="AL173">
        <f>VLOOKUP(Table29[[#This Row],[Shortname]], Comp[], 17, FALSE)</f>
        <v>0</v>
      </c>
      <c r="AM173">
        <f>VLOOKUP(Table29[[#This Row],[Shortname]], Comp[], 18, FALSE)</f>
        <v>0</v>
      </c>
      <c r="AN173">
        <f>VLOOKUP(Table29[[#This Row],[Shortname]], Comp[], 19, FALSE)</f>
        <v>0.1</v>
      </c>
      <c r="AO173">
        <f>VLOOKUP(Table29[[#This Row],[Shortname]], Comp[], 20, FALSE)</f>
        <v>0</v>
      </c>
      <c r="AP173">
        <f>VLOOKUP(Table29[[#This Row],[Shortname]], Comp[], 21, FALSE)</f>
        <v>0</v>
      </c>
      <c r="AQ173">
        <f>VLOOKUP(Table29[[#This Row],[Shortname]], Comp[], 22, FALSE)</f>
        <v>0</v>
      </c>
      <c r="AR173">
        <f>VLOOKUP(Table29[[#This Row],[Shortname]], Comp[], 23, FALSE)</f>
        <v>0</v>
      </c>
      <c r="AS173">
        <f>VLOOKUP(Table29[[#This Row],[Shortname]], Comp[], 24, FALSE)</f>
        <v>0</v>
      </c>
      <c r="AT173">
        <f>VLOOKUP(Table29[[#This Row],[Shortname]], Comp[], 25, FALSE)</f>
        <v>0</v>
      </c>
      <c r="AU173">
        <f>VLOOKUP(Table29[[#This Row],[Shortname]], Comp[], 26, FALSE)</f>
        <v>0</v>
      </c>
      <c r="AV173">
        <f>VLOOKUP(Table29[[#This Row],[Shortname]], Comp[], 27, FALSE)</f>
        <v>0</v>
      </c>
      <c r="AW173">
        <f>VLOOKUP(Table29[[#This Row],[Shortname]], Comp[], 28, FALSE)</f>
        <v>0</v>
      </c>
      <c r="AX173">
        <f>VLOOKUP(Table29[[#This Row],[Shortname]], Comp[], 29, FALSE)</f>
        <v>0</v>
      </c>
      <c r="AY173">
        <f>VLOOKUP(Table29[[#This Row],[Shortname]], Comp[], 30, FALSE)</f>
        <v>0</v>
      </c>
      <c r="AZ173">
        <f>VLOOKUP(Table29[[#This Row],[Shortname]], Comp[], 31, FALSE)</f>
        <v>0</v>
      </c>
    </row>
    <row r="174" spans="1:52" x14ac:dyDescent="0.3">
      <c r="A174" t="s">
        <v>1253</v>
      </c>
      <c r="B174">
        <v>164</v>
      </c>
      <c r="C174">
        <v>158</v>
      </c>
      <c r="D174" t="s">
        <v>11</v>
      </c>
      <c r="E174" t="s">
        <v>514</v>
      </c>
      <c r="F174" t="s">
        <v>1255</v>
      </c>
      <c r="G174" t="s">
        <v>1224</v>
      </c>
      <c r="H174">
        <v>435</v>
      </c>
      <c r="I174">
        <v>6.2800000000000006E-8</v>
      </c>
      <c r="J174">
        <f>0.01/Table29[[#This Row],[Strain Rate (min) /s]]</f>
        <v>159235.6687898089</v>
      </c>
      <c r="K174">
        <f>LOG(Table29[[#This Row],[Time to 1% strain (s)]])</f>
        <v>5.2020403562628035</v>
      </c>
      <c r="L174">
        <v>850</v>
      </c>
      <c r="M174">
        <v>11.6</v>
      </c>
      <c r="P174" t="s">
        <v>7084</v>
      </c>
      <c r="Q174">
        <v>1250</v>
      </c>
      <c r="R174">
        <v>48</v>
      </c>
      <c r="S174">
        <v>900</v>
      </c>
      <c r="T174">
        <v>168</v>
      </c>
      <c r="W174">
        <v>1</v>
      </c>
      <c r="X174">
        <v>10</v>
      </c>
      <c r="Y174">
        <v>83</v>
      </c>
      <c r="AA174">
        <f>VLOOKUP(Table29[[#This Row],[Shortname]], Comp[], 6, FALSE)</f>
        <v>158</v>
      </c>
      <c r="AB174" s="14">
        <f>VLOOKUP(Table29[[#This Row],[Shortname]], Comp[], 7, FALSE)</f>
        <v>42.2</v>
      </c>
      <c r="AC174">
        <f>VLOOKUP(Table29[[#This Row],[Shortname]], Comp[], 8, FALSE)</f>
        <v>29.5</v>
      </c>
      <c r="AD174">
        <f>VLOOKUP(Table29[[#This Row],[Shortname]], Comp[], 9, FALSE)</f>
        <v>10.5</v>
      </c>
      <c r="AE174">
        <f>VLOOKUP(Table29[[#This Row],[Shortname]], Comp[], 10, FALSE)</f>
        <v>8.02</v>
      </c>
      <c r="AF174">
        <f>VLOOKUP(Table29[[#This Row],[Shortname]], Comp[], 11, FALSE)</f>
        <v>5.14</v>
      </c>
      <c r="AG174">
        <f>VLOOKUP(Table29[[#This Row],[Shortname]], Comp[],12, FALSE)</f>
        <v>1.85</v>
      </c>
      <c r="AH174">
        <f>VLOOKUP(Table29[[#This Row],[Shortname]], Comp[], 13, FALSE)</f>
        <v>2.69</v>
      </c>
      <c r="AI174">
        <f>VLOOKUP(Table29[[#This Row],[Shortname]], Comp[], 14, FALSE)</f>
        <v>0</v>
      </c>
      <c r="AJ174">
        <f>VLOOKUP(Table29[[#This Row],[Shortname]], Comp[], 15, FALSE)</f>
        <v>0</v>
      </c>
      <c r="AK174">
        <f>VLOOKUP(Table29[[#This Row],[Shortname]], Comp[], 16, FALSE)</f>
        <v>0</v>
      </c>
      <c r="AL174">
        <f>VLOOKUP(Table29[[#This Row],[Shortname]], Comp[], 17, FALSE)</f>
        <v>0</v>
      </c>
      <c r="AM174">
        <f>VLOOKUP(Table29[[#This Row],[Shortname]], Comp[], 18, FALSE)</f>
        <v>0</v>
      </c>
      <c r="AN174">
        <f>VLOOKUP(Table29[[#This Row],[Shortname]], Comp[], 19, FALSE)</f>
        <v>0.1</v>
      </c>
      <c r="AO174">
        <f>VLOOKUP(Table29[[#This Row],[Shortname]], Comp[], 20, FALSE)</f>
        <v>0</v>
      </c>
      <c r="AP174">
        <f>VLOOKUP(Table29[[#This Row],[Shortname]], Comp[], 21, FALSE)</f>
        <v>0</v>
      </c>
      <c r="AQ174">
        <f>VLOOKUP(Table29[[#This Row],[Shortname]], Comp[], 22, FALSE)</f>
        <v>0</v>
      </c>
      <c r="AR174">
        <f>VLOOKUP(Table29[[#This Row],[Shortname]], Comp[], 23, FALSE)</f>
        <v>0</v>
      </c>
      <c r="AS174">
        <f>VLOOKUP(Table29[[#This Row],[Shortname]], Comp[], 24, FALSE)</f>
        <v>0</v>
      </c>
      <c r="AT174">
        <f>VLOOKUP(Table29[[#This Row],[Shortname]], Comp[], 25, FALSE)</f>
        <v>0</v>
      </c>
      <c r="AU174">
        <f>VLOOKUP(Table29[[#This Row],[Shortname]], Comp[], 26, FALSE)</f>
        <v>0</v>
      </c>
      <c r="AV174">
        <f>VLOOKUP(Table29[[#This Row],[Shortname]], Comp[], 27, FALSE)</f>
        <v>0</v>
      </c>
      <c r="AW174">
        <f>VLOOKUP(Table29[[#This Row],[Shortname]], Comp[], 28, FALSE)</f>
        <v>0</v>
      </c>
      <c r="AX174">
        <f>VLOOKUP(Table29[[#This Row],[Shortname]], Comp[], 29, FALSE)</f>
        <v>0</v>
      </c>
      <c r="AY174">
        <f>VLOOKUP(Table29[[#This Row],[Shortname]], Comp[], 30, FALSE)</f>
        <v>0</v>
      </c>
      <c r="AZ174">
        <f>VLOOKUP(Table29[[#This Row],[Shortname]], Comp[], 31, FALSE)</f>
        <v>0</v>
      </c>
    </row>
    <row r="175" spans="1:52" x14ac:dyDescent="0.3">
      <c r="A175" t="s">
        <v>1253</v>
      </c>
      <c r="B175">
        <v>165</v>
      </c>
      <c r="C175">
        <v>158</v>
      </c>
      <c r="D175" t="s">
        <v>11</v>
      </c>
      <c r="E175" t="s">
        <v>514</v>
      </c>
      <c r="F175" t="s">
        <v>1255</v>
      </c>
      <c r="G175" t="s">
        <v>1224</v>
      </c>
      <c r="H175">
        <v>472</v>
      </c>
      <c r="I175">
        <v>2.3099999999999999E-7</v>
      </c>
      <c r="J175">
        <f>0.01/Table29[[#This Row],[Strain Rate (min) /s]]</f>
        <v>43290.043290043293</v>
      </c>
      <c r="K175">
        <f>LOG(Table29[[#This Row],[Time to 1% strain (s)]])</f>
        <v>4.636388020107856</v>
      </c>
      <c r="L175">
        <v>850</v>
      </c>
      <c r="M175">
        <v>11.6</v>
      </c>
      <c r="P175" t="s">
        <v>7084</v>
      </c>
      <c r="Q175">
        <v>1250</v>
      </c>
      <c r="R175">
        <v>48</v>
      </c>
      <c r="S175">
        <v>900</v>
      </c>
      <c r="T175">
        <v>168</v>
      </c>
      <c r="W175">
        <v>1</v>
      </c>
      <c r="X175">
        <v>10</v>
      </c>
      <c r="Y175">
        <v>83</v>
      </c>
      <c r="AA175">
        <f>VLOOKUP(Table29[[#This Row],[Shortname]], Comp[], 6, FALSE)</f>
        <v>158</v>
      </c>
      <c r="AB175" s="14">
        <f>VLOOKUP(Table29[[#This Row],[Shortname]], Comp[], 7, FALSE)</f>
        <v>42.2</v>
      </c>
      <c r="AC175">
        <f>VLOOKUP(Table29[[#This Row],[Shortname]], Comp[], 8, FALSE)</f>
        <v>29.5</v>
      </c>
      <c r="AD175">
        <f>VLOOKUP(Table29[[#This Row],[Shortname]], Comp[], 9, FALSE)</f>
        <v>10.5</v>
      </c>
      <c r="AE175">
        <f>VLOOKUP(Table29[[#This Row],[Shortname]], Comp[], 10, FALSE)</f>
        <v>8.02</v>
      </c>
      <c r="AF175">
        <f>VLOOKUP(Table29[[#This Row],[Shortname]], Comp[], 11, FALSE)</f>
        <v>5.14</v>
      </c>
      <c r="AG175">
        <f>VLOOKUP(Table29[[#This Row],[Shortname]], Comp[],12, FALSE)</f>
        <v>1.85</v>
      </c>
      <c r="AH175">
        <f>VLOOKUP(Table29[[#This Row],[Shortname]], Comp[], 13, FALSE)</f>
        <v>2.69</v>
      </c>
      <c r="AI175">
        <f>VLOOKUP(Table29[[#This Row],[Shortname]], Comp[], 14, FALSE)</f>
        <v>0</v>
      </c>
      <c r="AJ175">
        <f>VLOOKUP(Table29[[#This Row],[Shortname]], Comp[], 15, FALSE)</f>
        <v>0</v>
      </c>
      <c r="AK175">
        <f>VLOOKUP(Table29[[#This Row],[Shortname]], Comp[], 16, FALSE)</f>
        <v>0</v>
      </c>
      <c r="AL175">
        <f>VLOOKUP(Table29[[#This Row],[Shortname]], Comp[], 17, FALSE)</f>
        <v>0</v>
      </c>
      <c r="AM175">
        <f>VLOOKUP(Table29[[#This Row],[Shortname]], Comp[], 18, FALSE)</f>
        <v>0</v>
      </c>
      <c r="AN175">
        <f>VLOOKUP(Table29[[#This Row],[Shortname]], Comp[], 19, FALSE)</f>
        <v>0.1</v>
      </c>
      <c r="AO175">
        <f>VLOOKUP(Table29[[#This Row],[Shortname]], Comp[], 20, FALSE)</f>
        <v>0</v>
      </c>
      <c r="AP175">
        <f>VLOOKUP(Table29[[#This Row],[Shortname]], Comp[], 21, FALSE)</f>
        <v>0</v>
      </c>
      <c r="AQ175">
        <f>VLOOKUP(Table29[[#This Row],[Shortname]], Comp[], 22, FALSE)</f>
        <v>0</v>
      </c>
      <c r="AR175">
        <f>VLOOKUP(Table29[[#This Row],[Shortname]], Comp[], 23, FALSE)</f>
        <v>0</v>
      </c>
      <c r="AS175">
        <f>VLOOKUP(Table29[[#This Row],[Shortname]], Comp[], 24, FALSE)</f>
        <v>0</v>
      </c>
      <c r="AT175">
        <f>VLOOKUP(Table29[[#This Row],[Shortname]], Comp[], 25, FALSE)</f>
        <v>0</v>
      </c>
      <c r="AU175">
        <f>VLOOKUP(Table29[[#This Row],[Shortname]], Comp[], 26, FALSE)</f>
        <v>0</v>
      </c>
      <c r="AV175">
        <f>VLOOKUP(Table29[[#This Row],[Shortname]], Comp[], 27, FALSE)</f>
        <v>0</v>
      </c>
      <c r="AW175">
        <f>VLOOKUP(Table29[[#This Row],[Shortname]], Comp[], 28, FALSE)</f>
        <v>0</v>
      </c>
      <c r="AX175">
        <f>VLOOKUP(Table29[[#This Row],[Shortname]], Comp[], 29, FALSE)</f>
        <v>0</v>
      </c>
      <c r="AY175">
        <f>VLOOKUP(Table29[[#This Row],[Shortname]], Comp[], 30, FALSE)</f>
        <v>0</v>
      </c>
      <c r="AZ175">
        <f>VLOOKUP(Table29[[#This Row],[Shortname]], Comp[], 31, FALSE)</f>
        <v>0</v>
      </c>
    </row>
    <row r="176" spans="1:52" x14ac:dyDescent="0.3">
      <c r="A176" t="s">
        <v>1253</v>
      </c>
      <c r="B176">
        <v>166</v>
      </c>
      <c r="C176">
        <v>158</v>
      </c>
      <c r="D176" t="s">
        <v>11</v>
      </c>
      <c r="E176" t="s">
        <v>514</v>
      </c>
      <c r="F176" t="s">
        <v>1255</v>
      </c>
      <c r="G176" t="s">
        <v>1224</v>
      </c>
      <c r="H176">
        <v>500</v>
      </c>
      <c r="I176">
        <v>5.5899999999999996E-7</v>
      </c>
      <c r="J176">
        <f>0.01/Table29[[#This Row],[Strain Rate (min) /s]]</f>
        <v>17889.087656529518</v>
      </c>
      <c r="K176">
        <f>LOG(Table29[[#This Row],[Time to 1% strain (s)]])</f>
        <v>4.2525881921135769</v>
      </c>
      <c r="L176">
        <v>850</v>
      </c>
      <c r="M176">
        <v>11.6</v>
      </c>
      <c r="P176" t="s">
        <v>7084</v>
      </c>
      <c r="Q176">
        <v>1250</v>
      </c>
      <c r="R176">
        <v>48</v>
      </c>
      <c r="S176">
        <v>900</v>
      </c>
      <c r="T176">
        <v>168</v>
      </c>
      <c r="W176">
        <v>1</v>
      </c>
      <c r="X176">
        <v>10</v>
      </c>
      <c r="Y176">
        <v>83</v>
      </c>
      <c r="AA176">
        <f>VLOOKUP(Table29[[#This Row],[Shortname]], Comp[], 6, FALSE)</f>
        <v>158</v>
      </c>
      <c r="AB176" s="14">
        <f>VLOOKUP(Table29[[#This Row],[Shortname]], Comp[], 7, FALSE)</f>
        <v>42.2</v>
      </c>
      <c r="AC176">
        <f>VLOOKUP(Table29[[#This Row],[Shortname]], Comp[], 8, FALSE)</f>
        <v>29.5</v>
      </c>
      <c r="AD176">
        <f>VLOOKUP(Table29[[#This Row],[Shortname]], Comp[], 9, FALSE)</f>
        <v>10.5</v>
      </c>
      <c r="AE176">
        <f>VLOOKUP(Table29[[#This Row],[Shortname]], Comp[], 10, FALSE)</f>
        <v>8.02</v>
      </c>
      <c r="AF176">
        <f>VLOOKUP(Table29[[#This Row],[Shortname]], Comp[], 11, FALSE)</f>
        <v>5.14</v>
      </c>
      <c r="AG176">
        <f>VLOOKUP(Table29[[#This Row],[Shortname]], Comp[],12, FALSE)</f>
        <v>1.85</v>
      </c>
      <c r="AH176">
        <f>VLOOKUP(Table29[[#This Row],[Shortname]], Comp[], 13, FALSE)</f>
        <v>2.69</v>
      </c>
      <c r="AI176">
        <f>VLOOKUP(Table29[[#This Row],[Shortname]], Comp[], 14, FALSE)</f>
        <v>0</v>
      </c>
      <c r="AJ176">
        <f>VLOOKUP(Table29[[#This Row],[Shortname]], Comp[], 15, FALSE)</f>
        <v>0</v>
      </c>
      <c r="AK176">
        <f>VLOOKUP(Table29[[#This Row],[Shortname]], Comp[], 16, FALSE)</f>
        <v>0</v>
      </c>
      <c r="AL176">
        <f>VLOOKUP(Table29[[#This Row],[Shortname]], Comp[], 17, FALSE)</f>
        <v>0</v>
      </c>
      <c r="AM176">
        <f>VLOOKUP(Table29[[#This Row],[Shortname]], Comp[], 18, FALSE)</f>
        <v>0</v>
      </c>
      <c r="AN176">
        <f>VLOOKUP(Table29[[#This Row],[Shortname]], Comp[], 19, FALSE)</f>
        <v>0.1</v>
      </c>
      <c r="AO176">
        <f>VLOOKUP(Table29[[#This Row],[Shortname]], Comp[], 20, FALSE)</f>
        <v>0</v>
      </c>
      <c r="AP176">
        <f>VLOOKUP(Table29[[#This Row],[Shortname]], Comp[], 21, FALSE)</f>
        <v>0</v>
      </c>
      <c r="AQ176">
        <f>VLOOKUP(Table29[[#This Row],[Shortname]], Comp[], 22, FALSE)</f>
        <v>0</v>
      </c>
      <c r="AR176">
        <f>VLOOKUP(Table29[[#This Row],[Shortname]], Comp[], 23, FALSE)</f>
        <v>0</v>
      </c>
      <c r="AS176">
        <f>VLOOKUP(Table29[[#This Row],[Shortname]], Comp[], 24, FALSE)</f>
        <v>0</v>
      </c>
      <c r="AT176">
        <f>VLOOKUP(Table29[[#This Row],[Shortname]], Comp[], 25, FALSE)</f>
        <v>0</v>
      </c>
      <c r="AU176">
        <f>VLOOKUP(Table29[[#This Row],[Shortname]], Comp[], 26, FALSE)</f>
        <v>0</v>
      </c>
      <c r="AV176">
        <f>VLOOKUP(Table29[[#This Row],[Shortname]], Comp[], 27, FALSE)</f>
        <v>0</v>
      </c>
      <c r="AW176">
        <f>VLOOKUP(Table29[[#This Row],[Shortname]], Comp[], 28, FALSE)</f>
        <v>0</v>
      </c>
      <c r="AX176">
        <f>VLOOKUP(Table29[[#This Row],[Shortname]], Comp[], 29, FALSE)</f>
        <v>0</v>
      </c>
      <c r="AY176">
        <f>VLOOKUP(Table29[[#This Row],[Shortname]], Comp[], 30, FALSE)</f>
        <v>0</v>
      </c>
      <c r="AZ176">
        <f>VLOOKUP(Table29[[#This Row],[Shortname]], Comp[], 31, FALSE)</f>
        <v>0</v>
      </c>
    </row>
    <row r="177" spans="1:52" x14ac:dyDescent="0.3">
      <c r="A177" t="s">
        <v>1260</v>
      </c>
      <c r="B177">
        <v>167</v>
      </c>
      <c r="C177">
        <v>160</v>
      </c>
      <c r="D177" t="s">
        <v>1261</v>
      </c>
      <c r="E177" t="s">
        <v>31</v>
      </c>
      <c r="F177" t="s">
        <v>1262</v>
      </c>
      <c r="G177" t="s">
        <v>7085</v>
      </c>
      <c r="H177">
        <v>260</v>
      </c>
      <c r="I177">
        <v>8.7899999999999995E-5</v>
      </c>
      <c r="J177">
        <f>0.01/Table29[[#This Row],[Strain Rate (min) /s]]</f>
        <v>113.76564277588169</v>
      </c>
      <c r="K177">
        <f>LOG(Table29[[#This Row],[Time to 1% strain (s)]])</f>
        <v>2.0560111249262283</v>
      </c>
      <c r="L177">
        <v>900</v>
      </c>
      <c r="P177" t="s">
        <v>7086</v>
      </c>
      <c r="Q177">
        <v>1300</v>
      </c>
      <c r="R177">
        <v>24</v>
      </c>
      <c r="S177">
        <v>900</v>
      </c>
      <c r="T177">
        <v>24</v>
      </c>
      <c r="W177">
        <v>-1</v>
      </c>
      <c r="X177">
        <v>1</v>
      </c>
      <c r="Y177">
        <v>50</v>
      </c>
      <c r="Z177" t="s">
        <v>7087</v>
      </c>
      <c r="AA177">
        <f>VLOOKUP(Table29[[#This Row],[Shortname]], Comp[], 6, FALSE)</f>
        <v>160</v>
      </c>
      <c r="AB177" s="14">
        <f>VLOOKUP(Table29[[#This Row],[Shortname]], Comp[], 7, FALSE)</f>
        <v>55.800000000000004</v>
      </c>
      <c r="AC177">
        <f>VLOOKUP(Table29[[#This Row],[Shortname]], Comp[], 8, FALSE)</f>
        <v>28.8</v>
      </c>
      <c r="AD177">
        <f>VLOOKUP(Table29[[#This Row],[Shortname]], Comp[], 9, FALSE)</f>
        <v>6.2</v>
      </c>
      <c r="AE177">
        <f>VLOOKUP(Table29[[#This Row],[Shortname]], Comp[], 10, FALSE)</f>
        <v>0</v>
      </c>
      <c r="AF177">
        <f>VLOOKUP(Table29[[#This Row],[Shortname]], Comp[], 11, FALSE)</f>
        <v>2</v>
      </c>
      <c r="AG177">
        <f>VLOOKUP(Table29[[#This Row],[Shortname]], Comp[],12, FALSE)</f>
        <v>1.8</v>
      </c>
      <c r="AH177">
        <f>VLOOKUP(Table29[[#This Row],[Shortname]], Comp[], 13, FALSE)</f>
        <v>0.9</v>
      </c>
      <c r="AI177">
        <f>VLOOKUP(Table29[[#This Row],[Shortname]], Comp[], 14, FALSE)</f>
        <v>1.8</v>
      </c>
      <c r="AJ177">
        <f>VLOOKUP(Table29[[#This Row],[Shortname]], Comp[], 15, FALSE)</f>
        <v>0</v>
      </c>
      <c r="AK177">
        <f>VLOOKUP(Table29[[#This Row],[Shortname]], Comp[], 16, FALSE)</f>
        <v>2.7</v>
      </c>
      <c r="AL177">
        <f>VLOOKUP(Table29[[#This Row],[Shortname]], Comp[], 17, FALSE)</f>
        <v>0</v>
      </c>
      <c r="AM177">
        <f>VLOOKUP(Table29[[#This Row],[Shortname]], Comp[], 18, FALSE)</f>
        <v>0</v>
      </c>
      <c r="AN177">
        <f>VLOOKUP(Table29[[#This Row],[Shortname]], Comp[], 19, FALSE)</f>
        <v>0</v>
      </c>
      <c r="AO177">
        <f>VLOOKUP(Table29[[#This Row],[Shortname]], Comp[], 20, FALSE)</f>
        <v>0</v>
      </c>
      <c r="AP177">
        <f>VLOOKUP(Table29[[#This Row],[Shortname]], Comp[], 21, FALSE)</f>
        <v>0</v>
      </c>
      <c r="AQ177">
        <f>VLOOKUP(Table29[[#This Row],[Shortname]], Comp[], 22, FALSE)</f>
        <v>0</v>
      </c>
      <c r="AR177">
        <f>VLOOKUP(Table29[[#This Row],[Shortname]], Comp[], 23, FALSE)</f>
        <v>0</v>
      </c>
      <c r="AS177">
        <f>VLOOKUP(Table29[[#This Row],[Shortname]], Comp[], 24, FALSE)</f>
        <v>0</v>
      </c>
      <c r="AT177">
        <f>VLOOKUP(Table29[[#This Row],[Shortname]], Comp[], 25, FALSE)</f>
        <v>0</v>
      </c>
      <c r="AU177">
        <f>VLOOKUP(Table29[[#This Row],[Shortname]], Comp[], 26, FALSE)</f>
        <v>0</v>
      </c>
      <c r="AV177">
        <f>VLOOKUP(Table29[[#This Row],[Shortname]], Comp[], 27, FALSE)</f>
        <v>0</v>
      </c>
      <c r="AW177">
        <f>VLOOKUP(Table29[[#This Row],[Shortname]], Comp[], 28, FALSE)</f>
        <v>0</v>
      </c>
      <c r="AX177">
        <f>VLOOKUP(Table29[[#This Row],[Shortname]], Comp[], 29, FALSE)</f>
        <v>0</v>
      </c>
      <c r="AY177">
        <f>VLOOKUP(Table29[[#This Row],[Shortname]], Comp[], 30, FALSE)</f>
        <v>0</v>
      </c>
      <c r="AZ177">
        <f>VLOOKUP(Table29[[#This Row],[Shortname]], Comp[], 31, FALSE)</f>
        <v>0</v>
      </c>
    </row>
    <row r="178" spans="1:52" x14ac:dyDescent="0.3">
      <c r="A178" t="s">
        <v>1260</v>
      </c>
      <c r="B178">
        <v>168</v>
      </c>
      <c r="C178">
        <v>160</v>
      </c>
      <c r="D178" t="s">
        <v>11</v>
      </c>
      <c r="E178" t="s">
        <v>31</v>
      </c>
      <c r="F178" t="s">
        <v>1262</v>
      </c>
      <c r="G178" t="s">
        <v>7085</v>
      </c>
      <c r="H178">
        <v>500</v>
      </c>
      <c r="I178">
        <v>8.0400000000000003E-5</v>
      </c>
      <c r="J178">
        <f>0.01/Table29[[#This Row],[Strain Rate (min) /s]]</f>
        <v>124.37810945273631</v>
      </c>
      <c r="K178">
        <f>LOG(Table29[[#This Row],[Time to 1% strain (s)]])</f>
        <v>2.0947439512515489</v>
      </c>
      <c r="L178">
        <v>800</v>
      </c>
      <c r="P178" t="s">
        <v>7086</v>
      </c>
      <c r="Q178">
        <v>1300</v>
      </c>
      <c r="R178">
        <v>24</v>
      </c>
      <c r="S178">
        <v>900</v>
      </c>
      <c r="T178">
        <v>24</v>
      </c>
      <c r="W178">
        <v>-1</v>
      </c>
      <c r="X178">
        <v>1</v>
      </c>
      <c r="Y178">
        <v>50</v>
      </c>
      <c r="Z178" t="s">
        <v>7087</v>
      </c>
      <c r="AA178">
        <f>VLOOKUP(Table29[[#This Row],[Shortname]], Comp[], 6, FALSE)</f>
        <v>160</v>
      </c>
      <c r="AB178" s="14">
        <f>VLOOKUP(Table29[[#This Row],[Shortname]], Comp[], 7, FALSE)</f>
        <v>55.800000000000004</v>
      </c>
      <c r="AC178">
        <f>VLOOKUP(Table29[[#This Row],[Shortname]], Comp[], 8, FALSE)</f>
        <v>28.8</v>
      </c>
      <c r="AD178">
        <f>VLOOKUP(Table29[[#This Row],[Shortname]], Comp[], 9, FALSE)</f>
        <v>6.2</v>
      </c>
      <c r="AE178">
        <f>VLOOKUP(Table29[[#This Row],[Shortname]], Comp[], 10, FALSE)</f>
        <v>0</v>
      </c>
      <c r="AF178">
        <f>VLOOKUP(Table29[[#This Row],[Shortname]], Comp[], 11, FALSE)</f>
        <v>2</v>
      </c>
      <c r="AG178">
        <f>VLOOKUP(Table29[[#This Row],[Shortname]], Comp[],12, FALSE)</f>
        <v>1.8</v>
      </c>
      <c r="AH178">
        <f>VLOOKUP(Table29[[#This Row],[Shortname]], Comp[], 13, FALSE)</f>
        <v>0.9</v>
      </c>
      <c r="AI178">
        <f>VLOOKUP(Table29[[#This Row],[Shortname]], Comp[], 14, FALSE)</f>
        <v>1.8</v>
      </c>
      <c r="AJ178">
        <f>VLOOKUP(Table29[[#This Row],[Shortname]], Comp[], 15, FALSE)</f>
        <v>0</v>
      </c>
      <c r="AK178">
        <f>VLOOKUP(Table29[[#This Row],[Shortname]], Comp[], 16, FALSE)</f>
        <v>2.7</v>
      </c>
      <c r="AL178">
        <f>VLOOKUP(Table29[[#This Row],[Shortname]], Comp[], 17, FALSE)</f>
        <v>0</v>
      </c>
      <c r="AM178">
        <f>VLOOKUP(Table29[[#This Row],[Shortname]], Comp[], 18, FALSE)</f>
        <v>0</v>
      </c>
      <c r="AN178">
        <f>VLOOKUP(Table29[[#This Row],[Shortname]], Comp[], 19, FALSE)</f>
        <v>0</v>
      </c>
      <c r="AO178">
        <f>VLOOKUP(Table29[[#This Row],[Shortname]], Comp[], 20, FALSE)</f>
        <v>0</v>
      </c>
      <c r="AP178">
        <f>VLOOKUP(Table29[[#This Row],[Shortname]], Comp[], 21, FALSE)</f>
        <v>0</v>
      </c>
      <c r="AQ178">
        <f>VLOOKUP(Table29[[#This Row],[Shortname]], Comp[], 22, FALSE)</f>
        <v>0</v>
      </c>
      <c r="AR178">
        <f>VLOOKUP(Table29[[#This Row],[Shortname]], Comp[], 23, FALSE)</f>
        <v>0</v>
      </c>
      <c r="AS178">
        <f>VLOOKUP(Table29[[#This Row],[Shortname]], Comp[], 24, FALSE)</f>
        <v>0</v>
      </c>
      <c r="AT178">
        <f>VLOOKUP(Table29[[#This Row],[Shortname]], Comp[], 25, FALSE)</f>
        <v>0</v>
      </c>
      <c r="AU178">
        <f>VLOOKUP(Table29[[#This Row],[Shortname]], Comp[], 26, FALSE)</f>
        <v>0</v>
      </c>
      <c r="AV178">
        <f>VLOOKUP(Table29[[#This Row],[Shortname]], Comp[], 27, FALSE)</f>
        <v>0</v>
      </c>
      <c r="AW178">
        <f>VLOOKUP(Table29[[#This Row],[Shortname]], Comp[], 28, FALSE)</f>
        <v>0</v>
      </c>
      <c r="AX178">
        <f>VLOOKUP(Table29[[#This Row],[Shortname]], Comp[], 29, FALSE)</f>
        <v>0</v>
      </c>
      <c r="AY178">
        <f>VLOOKUP(Table29[[#This Row],[Shortname]], Comp[], 30, FALSE)</f>
        <v>0</v>
      </c>
      <c r="AZ178">
        <f>VLOOKUP(Table29[[#This Row],[Shortname]], Comp[], 31, FALSE)</f>
        <v>0</v>
      </c>
    </row>
    <row r="179" spans="1:52" x14ac:dyDescent="0.3">
      <c r="A179" t="s">
        <v>1260</v>
      </c>
      <c r="B179">
        <v>169</v>
      </c>
      <c r="C179">
        <v>160</v>
      </c>
      <c r="D179" t="s">
        <v>11</v>
      </c>
      <c r="E179" t="s">
        <v>31</v>
      </c>
      <c r="F179" t="s">
        <v>1262</v>
      </c>
      <c r="G179" t="s">
        <v>7085</v>
      </c>
      <c r="H179">
        <v>875</v>
      </c>
      <c r="I179">
        <v>1.7330000000000001E-4</v>
      </c>
      <c r="J179">
        <f>0.01/Table29[[#This Row],[Strain Rate (min) /s]]</f>
        <v>57.703404500865545</v>
      </c>
      <c r="K179">
        <f>LOG(Table29[[#This Row],[Time to 1% strain (s)]])</f>
        <v>1.7612014372860829</v>
      </c>
      <c r="L179">
        <v>750</v>
      </c>
      <c r="P179" t="s">
        <v>7086</v>
      </c>
      <c r="Q179">
        <v>1300</v>
      </c>
      <c r="R179">
        <v>24</v>
      </c>
      <c r="S179">
        <v>900</v>
      </c>
      <c r="T179">
        <v>24</v>
      </c>
      <c r="W179">
        <v>-1</v>
      </c>
      <c r="X179">
        <v>1</v>
      </c>
      <c r="Y179">
        <v>50</v>
      </c>
      <c r="Z179" t="s">
        <v>7087</v>
      </c>
      <c r="AA179">
        <f>VLOOKUP(Table29[[#This Row],[Shortname]], Comp[], 6, FALSE)</f>
        <v>160</v>
      </c>
      <c r="AB179" s="14">
        <f>VLOOKUP(Table29[[#This Row],[Shortname]], Comp[], 7, FALSE)</f>
        <v>55.800000000000004</v>
      </c>
      <c r="AC179">
        <f>VLOOKUP(Table29[[#This Row],[Shortname]], Comp[], 8, FALSE)</f>
        <v>28.8</v>
      </c>
      <c r="AD179">
        <f>VLOOKUP(Table29[[#This Row],[Shortname]], Comp[], 9, FALSE)</f>
        <v>6.2</v>
      </c>
      <c r="AE179">
        <f>VLOOKUP(Table29[[#This Row],[Shortname]], Comp[], 10, FALSE)</f>
        <v>0</v>
      </c>
      <c r="AF179">
        <f>VLOOKUP(Table29[[#This Row],[Shortname]], Comp[], 11, FALSE)</f>
        <v>2</v>
      </c>
      <c r="AG179">
        <f>VLOOKUP(Table29[[#This Row],[Shortname]], Comp[],12, FALSE)</f>
        <v>1.8</v>
      </c>
      <c r="AH179">
        <f>VLOOKUP(Table29[[#This Row],[Shortname]], Comp[], 13, FALSE)</f>
        <v>0.9</v>
      </c>
      <c r="AI179">
        <f>VLOOKUP(Table29[[#This Row],[Shortname]], Comp[], 14, FALSE)</f>
        <v>1.8</v>
      </c>
      <c r="AJ179">
        <f>VLOOKUP(Table29[[#This Row],[Shortname]], Comp[], 15, FALSE)</f>
        <v>0</v>
      </c>
      <c r="AK179">
        <f>VLOOKUP(Table29[[#This Row],[Shortname]], Comp[], 16, FALSE)</f>
        <v>2.7</v>
      </c>
      <c r="AL179">
        <f>VLOOKUP(Table29[[#This Row],[Shortname]], Comp[], 17, FALSE)</f>
        <v>0</v>
      </c>
      <c r="AM179">
        <f>VLOOKUP(Table29[[#This Row],[Shortname]], Comp[], 18, FALSE)</f>
        <v>0</v>
      </c>
      <c r="AN179">
        <f>VLOOKUP(Table29[[#This Row],[Shortname]], Comp[], 19, FALSE)</f>
        <v>0</v>
      </c>
      <c r="AO179">
        <f>VLOOKUP(Table29[[#This Row],[Shortname]], Comp[], 20, FALSE)</f>
        <v>0</v>
      </c>
      <c r="AP179">
        <f>VLOOKUP(Table29[[#This Row],[Shortname]], Comp[], 21, FALSE)</f>
        <v>0</v>
      </c>
      <c r="AQ179">
        <f>VLOOKUP(Table29[[#This Row],[Shortname]], Comp[], 22, FALSE)</f>
        <v>0</v>
      </c>
      <c r="AR179">
        <f>VLOOKUP(Table29[[#This Row],[Shortname]], Comp[], 23, FALSE)</f>
        <v>0</v>
      </c>
      <c r="AS179">
        <f>VLOOKUP(Table29[[#This Row],[Shortname]], Comp[], 24, FALSE)</f>
        <v>0</v>
      </c>
      <c r="AT179">
        <f>VLOOKUP(Table29[[#This Row],[Shortname]], Comp[], 25, FALSE)</f>
        <v>0</v>
      </c>
      <c r="AU179">
        <f>VLOOKUP(Table29[[#This Row],[Shortname]], Comp[], 26, FALSE)</f>
        <v>0</v>
      </c>
      <c r="AV179">
        <f>VLOOKUP(Table29[[#This Row],[Shortname]], Comp[], 27, FALSE)</f>
        <v>0</v>
      </c>
      <c r="AW179">
        <f>VLOOKUP(Table29[[#This Row],[Shortname]], Comp[], 28, FALSE)</f>
        <v>0</v>
      </c>
      <c r="AX179">
        <f>VLOOKUP(Table29[[#This Row],[Shortname]], Comp[], 29, FALSE)</f>
        <v>0</v>
      </c>
      <c r="AY179">
        <f>VLOOKUP(Table29[[#This Row],[Shortname]], Comp[], 30, FALSE)</f>
        <v>0</v>
      </c>
      <c r="AZ179">
        <f>VLOOKUP(Table29[[#This Row],[Shortname]], Comp[], 31, FALSE)</f>
        <v>0</v>
      </c>
    </row>
    <row r="180" spans="1:52" x14ac:dyDescent="0.3">
      <c r="A180" t="s">
        <v>1315</v>
      </c>
      <c r="B180">
        <v>304</v>
      </c>
      <c r="C180">
        <v>167</v>
      </c>
      <c r="D180" t="s">
        <v>1316</v>
      </c>
      <c r="E180" t="s">
        <v>160</v>
      </c>
      <c r="F180" t="s">
        <v>1317</v>
      </c>
      <c r="G180" t="s">
        <v>3591</v>
      </c>
      <c r="H180">
        <v>310</v>
      </c>
      <c r="I180">
        <v>6.9999999999999998E-9</v>
      </c>
      <c r="J180">
        <f>0.01/Table29[[#This Row],[Strain Rate (min) /s]]</f>
        <v>1428571.4285714286</v>
      </c>
      <c r="K180">
        <f>LOG(Table29[[#This Row],[Time to 1% strain (s)]])</f>
        <v>6.1549019599857431</v>
      </c>
      <c r="L180">
        <v>900</v>
      </c>
      <c r="P180" t="s">
        <v>7088</v>
      </c>
      <c r="Q180">
        <v>1215</v>
      </c>
      <c r="R180">
        <v>12</v>
      </c>
      <c r="S180">
        <v>1000</v>
      </c>
      <c r="T180">
        <v>100</v>
      </c>
      <c r="W180">
        <v>-1</v>
      </c>
      <c r="X180">
        <v>1</v>
      </c>
      <c r="Y180">
        <v>50</v>
      </c>
      <c r="Z180" t="s">
        <v>7089</v>
      </c>
      <c r="AA180">
        <f>VLOOKUP(Table29[[#This Row],[Shortname]], Comp[], 6, FALSE)</f>
        <v>167</v>
      </c>
      <c r="AB180" s="14">
        <f>VLOOKUP(Table29[[#This Row],[Shortname]], Comp[], 7, FALSE)</f>
        <v>45.900000000000006</v>
      </c>
      <c r="AC180">
        <f>VLOOKUP(Table29[[#This Row],[Shortname]], Comp[], 8, FALSE)</f>
        <v>29.2</v>
      </c>
      <c r="AD180">
        <f>VLOOKUP(Table29[[#This Row],[Shortname]], Comp[], 9, FALSE)</f>
        <v>9.8000000000000007</v>
      </c>
      <c r="AE180">
        <f>VLOOKUP(Table29[[#This Row],[Shortname]], Comp[], 10, FALSE)</f>
        <v>6.4</v>
      </c>
      <c r="AF180">
        <f>VLOOKUP(Table29[[#This Row],[Shortname]], Comp[], 11, FALSE)</f>
        <v>6.3</v>
      </c>
      <c r="AG180">
        <f>VLOOKUP(Table29[[#This Row],[Shortname]], Comp[],12, FALSE)</f>
        <v>0</v>
      </c>
      <c r="AH180">
        <f>VLOOKUP(Table29[[#This Row],[Shortname]], Comp[], 13, FALSE)</f>
        <v>2.4</v>
      </c>
      <c r="AI180">
        <f>VLOOKUP(Table29[[#This Row],[Shortname]], Comp[], 14, FALSE)</f>
        <v>0</v>
      </c>
      <c r="AJ180">
        <f>VLOOKUP(Table29[[#This Row],[Shortname]], Comp[], 15, FALSE)</f>
        <v>0</v>
      </c>
      <c r="AK180">
        <f>VLOOKUP(Table29[[#This Row],[Shortname]], Comp[], 16, FALSE)</f>
        <v>0</v>
      </c>
      <c r="AL180">
        <f>VLOOKUP(Table29[[#This Row],[Shortname]], Comp[], 17, FALSE)</f>
        <v>0</v>
      </c>
      <c r="AM180">
        <f>VLOOKUP(Table29[[#This Row],[Shortname]], Comp[], 18, FALSE)</f>
        <v>0</v>
      </c>
      <c r="AN180">
        <f>VLOOKUP(Table29[[#This Row],[Shortname]], Comp[], 19, FALSE)</f>
        <v>0</v>
      </c>
      <c r="AO180">
        <f>VLOOKUP(Table29[[#This Row],[Shortname]], Comp[], 20, FALSE)</f>
        <v>0</v>
      </c>
      <c r="AP180">
        <f>VLOOKUP(Table29[[#This Row],[Shortname]], Comp[], 21, FALSE)</f>
        <v>0</v>
      </c>
      <c r="AQ180">
        <f>VLOOKUP(Table29[[#This Row],[Shortname]], Comp[], 22, FALSE)</f>
        <v>0</v>
      </c>
      <c r="AR180">
        <f>VLOOKUP(Table29[[#This Row],[Shortname]], Comp[], 23, FALSE)</f>
        <v>0</v>
      </c>
      <c r="AS180">
        <f>VLOOKUP(Table29[[#This Row],[Shortname]], Comp[], 24, FALSE)</f>
        <v>0</v>
      </c>
      <c r="AT180">
        <f>VLOOKUP(Table29[[#This Row],[Shortname]], Comp[], 25, FALSE)</f>
        <v>0</v>
      </c>
      <c r="AU180">
        <f>VLOOKUP(Table29[[#This Row],[Shortname]], Comp[], 26, FALSE)</f>
        <v>0</v>
      </c>
      <c r="AV180">
        <f>VLOOKUP(Table29[[#This Row],[Shortname]], Comp[], 27, FALSE)</f>
        <v>0</v>
      </c>
      <c r="AW180">
        <f>VLOOKUP(Table29[[#This Row],[Shortname]], Comp[], 28, FALSE)</f>
        <v>0</v>
      </c>
      <c r="AX180">
        <f>VLOOKUP(Table29[[#This Row],[Shortname]], Comp[], 29, FALSE)</f>
        <v>0</v>
      </c>
      <c r="AY180">
        <f>VLOOKUP(Table29[[#This Row],[Shortname]], Comp[], 30, FALSE)</f>
        <v>0</v>
      </c>
      <c r="AZ180">
        <f>VLOOKUP(Table29[[#This Row],[Shortname]], Comp[], 31, FALSE)</f>
        <v>0</v>
      </c>
    </row>
    <row r="181" spans="1:52" x14ac:dyDescent="0.3">
      <c r="A181" t="s">
        <v>1538</v>
      </c>
      <c r="B181">
        <v>175</v>
      </c>
      <c r="C181">
        <v>196</v>
      </c>
      <c r="D181" t="s">
        <v>1539</v>
      </c>
      <c r="E181" t="s">
        <v>160</v>
      </c>
      <c r="F181" t="s">
        <v>1540</v>
      </c>
      <c r="G181" t="s">
        <v>1541</v>
      </c>
      <c r="H181">
        <v>530</v>
      </c>
      <c r="I181">
        <v>4.0000000000000001E-8</v>
      </c>
      <c r="J181">
        <f>0.01/Table29[[#This Row],[Strain Rate (min) /s]]</f>
        <v>250000</v>
      </c>
      <c r="K181">
        <f>LOG(Table29[[#This Row],[Time to 1% strain (s)]])</f>
        <v>5.3979400086720375</v>
      </c>
      <c r="L181">
        <v>750</v>
      </c>
      <c r="P181" t="s">
        <v>7090</v>
      </c>
      <c r="Q181">
        <v>1250</v>
      </c>
      <c r="R181">
        <v>3</v>
      </c>
      <c r="S181">
        <v>900</v>
      </c>
      <c r="T181">
        <v>4</v>
      </c>
      <c r="U181">
        <v>750</v>
      </c>
      <c r="V181">
        <v>16</v>
      </c>
      <c r="W181">
        <v>1</v>
      </c>
      <c r="X181">
        <v>10</v>
      </c>
      <c r="Y181">
        <v>53</v>
      </c>
      <c r="Z181" t="s">
        <v>7091</v>
      </c>
      <c r="AA181">
        <f>VLOOKUP(Table29[[#This Row],[Shortname]], Comp[], 6, FALSE)</f>
        <v>196</v>
      </c>
      <c r="AB181" s="14">
        <f>VLOOKUP(Table29[[#This Row],[Shortname]], Comp[], 7, FALSE)</f>
        <v>41.03</v>
      </c>
      <c r="AC181">
        <f>VLOOKUP(Table29[[#This Row],[Shortname]], Comp[], 8, FALSE)</f>
        <v>31.8</v>
      </c>
      <c r="AD181">
        <f>VLOOKUP(Table29[[#This Row],[Shortname]], Comp[], 9, FALSE)</f>
        <v>8.6999999999999993</v>
      </c>
      <c r="AE181">
        <f>VLOOKUP(Table29[[#This Row],[Shortname]], Comp[], 10, FALSE)</f>
        <v>12.6</v>
      </c>
      <c r="AF181">
        <f>VLOOKUP(Table29[[#This Row],[Shortname]], Comp[], 11, FALSE)</f>
        <v>4.7</v>
      </c>
      <c r="AG181">
        <f>VLOOKUP(Table29[[#This Row],[Shortname]], Comp[],12, FALSE)</f>
        <v>0.3</v>
      </c>
      <c r="AH181">
        <f>VLOOKUP(Table29[[#This Row],[Shortname]], Comp[], 13, FALSE)</f>
        <v>0.2</v>
      </c>
      <c r="AI181">
        <f>VLOOKUP(Table29[[#This Row],[Shortname]], Comp[], 14, FALSE)</f>
        <v>0</v>
      </c>
      <c r="AJ181">
        <f>VLOOKUP(Table29[[#This Row],[Shortname]], Comp[], 15, FALSE)</f>
        <v>0</v>
      </c>
      <c r="AK181">
        <f>VLOOKUP(Table29[[#This Row],[Shortname]], Comp[], 16, FALSE)</f>
        <v>0</v>
      </c>
      <c r="AL181">
        <f>VLOOKUP(Table29[[#This Row],[Shortname]], Comp[], 17, FALSE)</f>
        <v>0.08</v>
      </c>
      <c r="AM181">
        <f>VLOOKUP(Table29[[#This Row],[Shortname]], Comp[], 18, FALSE)</f>
        <v>0.01</v>
      </c>
      <c r="AN181">
        <f>VLOOKUP(Table29[[#This Row],[Shortname]], Comp[], 19, FALSE)</f>
        <v>0.08</v>
      </c>
      <c r="AO181">
        <f>VLOOKUP(Table29[[#This Row],[Shortname]], Comp[], 20, FALSE)</f>
        <v>0</v>
      </c>
      <c r="AP181">
        <f>VLOOKUP(Table29[[#This Row],[Shortname]], Comp[], 21, FALSE)</f>
        <v>0</v>
      </c>
      <c r="AQ181">
        <f>VLOOKUP(Table29[[#This Row],[Shortname]], Comp[], 22, FALSE)</f>
        <v>0.4</v>
      </c>
      <c r="AR181">
        <f>VLOOKUP(Table29[[#This Row],[Shortname]], Comp[], 23, FALSE)</f>
        <v>0</v>
      </c>
      <c r="AS181">
        <f>VLOOKUP(Table29[[#This Row],[Shortname]], Comp[], 24, FALSE)</f>
        <v>0</v>
      </c>
      <c r="AT181">
        <f>VLOOKUP(Table29[[#This Row],[Shortname]], Comp[], 25, FALSE)</f>
        <v>0.1</v>
      </c>
      <c r="AU181">
        <f>VLOOKUP(Table29[[#This Row],[Shortname]], Comp[], 26, FALSE)</f>
        <v>0</v>
      </c>
      <c r="AV181">
        <f>VLOOKUP(Table29[[#This Row],[Shortname]], Comp[], 27, FALSE)</f>
        <v>0</v>
      </c>
      <c r="AW181">
        <f>VLOOKUP(Table29[[#This Row],[Shortname]], Comp[], 28, FALSE)</f>
        <v>0</v>
      </c>
      <c r="AX181">
        <f>VLOOKUP(Table29[[#This Row],[Shortname]], Comp[], 29, FALSE)</f>
        <v>0</v>
      </c>
      <c r="AY181">
        <f>VLOOKUP(Table29[[#This Row],[Shortname]], Comp[], 30, FALSE)</f>
        <v>0</v>
      </c>
      <c r="AZ181">
        <f>VLOOKUP(Table29[[#This Row],[Shortname]], Comp[], 31, FALSE)</f>
        <v>0</v>
      </c>
    </row>
    <row r="182" spans="1:52" x14ac:dyDescent="0.3">
      <c r="A182" t="s">
        <v>1538</v>
      </c>
      <c r="B182">
        <v>177</v>
      </c>
      <c r="C182">
        <v>196</v>
      </c>
      <c r="D182" t="s">
        <v>11</v>
      </c>
      <c r="E182" t="s">
        <v>160</v>
      </c>
      <c r="F182" t="s">
        <v>1540</v>
      </c>
      <c r="G182" t="s">
        <v>1560</v>
      </c>
      <c r="H182">
        <v>620</v>
      </c>
      <c r="I182">
        <v>9.2099999999999998E-8</v>
      </c>
      <c r="J182">
        <f>0.01/Table29[[#This Row],[Strain Rate (min) /s]]</f>
        <v>108577.63300760044</v>
      </c>
      <c r="K182">
        <f>LOG(Table29[[#This Row],[Time to 1% strain (s)]])</f>
        <v>5.0357403698031513</v>
      </c>
      <c r="L182">
        <v>750</v>
      </c>
      <c r="M182">
        <v>9.4</v>
      </c>
      <c r="P182" t="s">
        <v>7092</v>
      </c>
      <c r="Q182">
        <v>1250</v>
      </c>
      <c r="R182">
        <v>3</v>
      </c>
      <c r="S182">
        <v>900</v>
      </c>
      <c r="T182">
        <v>4</v>
      </c>
      <c r="U182">
        <v>750</v>
      </c>
      <c r="V182">
        <v>16</v>
      </c>
      <c r="W182">
        <v>1</v>
      </c>
      <c r="X182">
        <v>10</v>
      </c>
      <c r="Y182">
        <v>53</v>
      </c>
      <c r="Z182" t="s">
        <v>7093</v>
      </c>
      <c r="AA182">
        <f>VLOOKUP(Table29[[#This Row],[Shortname]], Comp[], 6, FALSE)</f>
        <v>196</v>
      </c>
      <c r="AB182" s="14">
        <f>VLOOKUP(Table29[[#This Row],[Shortname]], Comp[], 7, FALSE)</f>
        <v>41.03</v>
      </c>
      <c r="AC182">
        <f>VLOOKUP(Table29[[#This Row],[Shortname]], Comp[], 8, FALSE)</f>
        <v>31.8</v>
      </c>
      <c r="AD182">
        <f>VLOOKUP(Table29[[#This Row],[Shortname]], Comp[], 9, FALSE)</f>
        <v>8.6999999999999993</v>
      </c>
      <c r="AE182">
        <f>VLOOKUP(Table29[[#This Row],[Shortname]], Comp[], 10, FALSE)</f>
        <v>12.6</v>
      </c>
      <c r="AF182">
        <f>VLOOKUP(Table29[[#This Row],[Shortname]], Comp[], 11, FALSE)</f>
        <v>4.7</v>
      </c>
      <c r="AG182">
        <f>VLOOKUP(Table29[[#This Row],[Shortname]], Comp[],12, FALSE)</f>
        <v>0.3</v>
      </c>
      <c r="AH182">
        <f>VLOOKUP(Table29[[#This Row],[Shortname]], Comp[], 13, FALSE)</f>
        <v>0.2</v>
      </c>
      <c r="AI182">
        <f>VLOOKUP(Table29[[#This Row],[Shortname]], Comp[], 14, FALSE)</f>
        <v>0</v>
      </c>
      <c r="AJ182">
        <f>VLOOKUP(Table29[[#This Row],[Shortname]], Comp[], 15, FALSE)</f>
        <v>0</v>
      </c>
      <c r="AK182">
        <f>VLOOKUP(Table29[[#This Row],[Shortname]], Comp[], 16, FALSE)</f>
        <v>0</v>
      </c>
      <c r="AL182">
        <f>VLOOKUP(Table29[[#This Row],[Shortname]], Comp[], 17, FALSE)</f>
        <v>0.08</v>
      </c>
      <c r="AM182">
        <f>VLOOKUP(Table29[[#This Row],[Shortname]], Comp[], 18, FALSE)</f>
        <v>0.01</v>
      </c>
      <c r="AN182">
        <f>VLOOKUP(Table29[[#This Row],[Shortname]], Comp[], 19, FALSE)</f>
        <v>0.08</v>
      </c>
      <c r="AO182">
        <f>VLOOKUP(Table29[[#This Row],[Shortname]], Comp[], 20, FALSE)</f>
        <v>0</v>
      </c>
      <c r="AP182">
        <f>VLOOKUP(Table29[[#This Row],[Shortname]], Comp[], 21, FALSE)</f>
        <v>0</v>
      </c>
      <c r="AQ182">
        <f>VLOOKUP(Table29[[#This Row],[Shortname]], Comp[], 22, FALSE)</f>
        <v>0.4</v>
      </c>
      <c r="AR182">
        <f>VLOOKUP(Table29[[#This Row],[Shortname]], Comp[], 23, FALSE)</f>
        <v>0</v>
      </c>
      <c r="AS182">
        <f>VLOOKUP(Table29[[#This Row],[Shortname]], Comp[], 24, FALSE)</f>
        <v>0</v>
      </c>
      <c r="AT182">
        <f>VLOOKUP(Table29[[#This Row],[Shortname]], Comp[], 25, FALSE)</f>
        <v>0.1</v>
      </c>
      <c r="AU182">
        <f>VLOOKUP(Table29[[#This Row],[Shortname]], Comp[], 26, FALSE)</f>
        <v>0</v>
      </c>
      <c r="AV182">
        <f>VLOOKUP(Table29[[#This Row],[Shortname]], Comp[], 27, FALSE)</f>
        <v>0</v>
      </c>
      <c r="AW182">
        <f>VLOOKUP(Table29[[#This Row],[Shortname]], Comp[], 28, FALSE)</f>
        <v>0</v>
      </c>
      <c r="AX182">
        <f>VLOOKUP(Table29[[#This Row],[Shortname]], Comp[], 29, FALSE)</f>
        <v>0</v>
      </c>
      <c r="AY182">
        <f>VLOOKUP(Table29[[#This Row],[Shortname]], Comp[], 30, FALSE)</f>
        <v>0</v>
      </c>
      <c r="AZ182">
        <f>VLOOKUP(Table29[[#This Row],[Shortname]], Comp[], 31, FALSE)</f>
        <v>0</v>
      </c>
    </row>
    <row r="183" spans="1:52" x14ac:dyDescent="0.3">
      <c r="A183" t="s">
        <v>1538</v>
      </c>
      <c r="B183">
        <v>178</v>
      </c>
      <c r="C183">
        <v>196</v>
      </c>
      <c r="D183" t="s">
        <v>11</v>
      </c>
      <c r="E183" t="s">
        <v>160</v>
      </c>
      <c r="F183" t="s">
        <v>1540</v>
      </c>
      <c r="G183" t="s">
        <v>1560</v>
      </c>
      <c r="H183">
        <v>580</v>
      </c>
      <c r="I183">
        <v>3.1900000000000001E-8</v>
      </c>
      <c r="J183">
        <f>0.01/Table29[[#This Row],[Strain Rate (min) /s]]</f>
        <v>313479.62382445141</v>
      </c>
      <c r="K183">
        <f>LOG(Table29[[#This Row],[Time to 1% strain (s)]])</f>
        <v>5.496209316942819</v>
      </c>
      <c r="L183">
        <v>750</v>
      </c>
      <c r="M183">
        <v>9.4</v>
      </c>
      <c r="P183" t="s">
        <v>7092</v>
      </c>
      <c r="Q183">
        <v>1250</v>
      </c>
      <c r="R183">
        <v>3</v>
      </c>
      <c r="S183">
        <v>900</v>
      </c>
      <c r="T183">
        <v>4</v>
      </c>
      <c r="U183">
        <v>750</v>
      </c>
      <c r="V183">
        <v>16</v>
      </c>
      <c r="W183">
        <v>1</v>
      </c>
      <c r="X183">
        <v>10</v>
      </c>
      <c r="Y183">
        <v>53</v>
      </c>
      <c r="Z183" t="s">
        <v>7093</v>
      </c>
      <c r="AA183">
        <f>VLOOKUP(Table29[[#This Row],[Shortname]], Comp[], 6, FALSE)</f>
        <v>196</v>
      </c>
      <c r="AB183" s="14">
        <f>VLOOKUP(Table29[[#This Row],[Shortname]], Comp[], 7, FALSE)</f>
        <v>41.03</v>
      </c>
      <c r="AC183">
        <f>VLOOKUP(Table29[[#This Row],[Shortname]], Comp[], 8, FALSE)</f>
        <v>31.8</v>
      </c>
      <c r="AD183">
        <f>VLOOKUP(Table29[[#This Row],[Shortname]], Comp[], 9, FALSE)</f>
        <v>8.6999999999999993</v>
      </c>
      <c r="AE183">
        <f>VLOOKUP(Table29[[#This Row],[Shortname]], Comp[], 10, FALSE)</f>
        <v>12.6</v>
      </c>
      <c r="AF183">
        <f>VLOOKUP(Table29[[#This Row],[Shortname]], Comp[], 11, FALSE)</f>
        <v>4.7</v>
      </c>
      <c r="AG183">
        <f>VLOOKUP(Table29[[#This Row],[Shortname]], Comp[],12, FALSE)</f>
        <v>0.3</v>
      </c>
      <c r="AH183">
        <f>VLOOKUP(Table29[[#This Row],[Shortname]], Comp[], 13, FALSE)</f>
        <v>0.2</v>
      </c>
      <c r="AI183">
        <f>VLOOKUP(Table29[[#This Row],[Shortname]], Comp[], 14, FALSE)</f>
        <v>0</v>
      </c>
      <c r="AJ183">
        <f>VLOOKUP(Table29[[#This Row],[Shortname]], Comp[], 15, FALSE)</f>
        <v>0</v>
      </c>
      <c r="AK183">
        <f>VLOOKUP(Table29[[#This Row],[Shortname]], Comp[], 16, FALSE)</f>
        <v>0</v>
      </c>
      <c r="AL183">
        <f>VLOOKUP(Table29[[#This Row],[Shortname]], Comp[], 17, FALSE)</f>
        <v>0.08</v>
      </c>
      <c r="AM183">
        <f>VLOOKUP(Table29[[#This Row],[Shortname]], Comp[], 18, FALSE)</f>
        <v>0.01</v>
      </c>
      <c r="AN183">
        <f>VLOOKUP(Table29[[#This Row],[Shortname]], Comp[], 19, FALSE)</f>
        <v>0.08</v>
      </c>
      <c r="AO183">
        <f>VLOOKUP(Table29[[#This Row],[Shortname]], Comp[], 20, FALSE)</f>
        <v>0</v>
      </c>
      <c r="AP183">
        <f>VLOOKUP(Table29[[#This Row],[Shortname]], Comp[], 21, FALSE)</f>
        <v>0</v>
      </c>
      <c r="AQ183">
        <f>VLOOKUP(Table29[[#This Row],[Shortname]], Comp[], 22, FALSE)</f>
        <v>0.4</v>
      </c>
      <c r="AR183">
        <f>VLOOKUP(Table29[[#This Row],[Shortname]], Comp[], 23, FALSE)</f>
        <v>0</v>
      </c>
      <c r="AS183">
        <f>VLOOKUP(Table29[[#This Row],[Shortname]], Comp[], 24, FALSE)</f>
        <v>0</v>
      </c>
      <c r="AT183">
        <f>VLOOKUP(Table29[[#This Row],[Shortname]], Comp[], 25, FALSE)</f>
        <v>0.1</v>
      </c>
      <c r="AU183">
        <f>VLOOKUP(Table29[[#This Row],[Shortname]], Comp[], 26, FALSE)</f>
        <v>0</v>
      </c>
      <c r="AV183">
        <f>VLOOKUP(Table29[[#This Row],[Shortname]], Comp[], 27, FALSE)</f>
        <v>0</v>
      </c>
      <c r="AW183">
        <f>VLOOKUP(Table29[[#This Row],[Shortname]], Comp[], 28, FALSE)</f>
        <v>0</v>
      </c>
      <c r="AX183">
        <f>VLOOKUP(Table29[[#This Row],[Shortname]], Comp[], 29, FALSE)</f>
        <v>0</v>
      </c>
      <c r="AY183">
        <f>VLOOKUP(Table29[[#This Row],[Shortname]], Comp[], 30, FALSE)</f>
        <v>0</v>
      </c>
      <c r="AZ183">
        <f>VLOOKUP(Table29[[#This Row],[Shortname]], Comp[], 31, FALSE)</f>
        <v>0</v>
      </c>
    </row>
    <row r="184" spans="1:52" x14ac:dyDescent="0.3">
      <c r="A184" t="s">
        <v>1538</v>
      </c>
      <c r="B184">
        <v>179</v>
      </c>
      <c r="C184">
        <v>196</v>
      </c>
      <c r="D184" t="s">
        <v>11</v>
      </c>
      <c r="E184" t="s">
        <v>160</v>
      </c>
      <c r="F184" t="s">
        <v>1540</v>
      </c>
      <c r="G184" t="s">
        <v>1560</v>
      </c>
      <c r="H184">
        <v>620</v>
      </c>
      <c r="I184">
        <v>8.3599999999999994E-8</v>
      </c>
      <c r="J184">
        <f>0.01/Table29[[#This Row],[Strain Rate (min) /s]]</f>
        <v>119617.22488038278</v>
      </c>
      <c r="K184">
        <f>LOG(Table29[[#This Row],[Time to 1% strain (s)]])</f>
        <v>5.0777937225609833</v>
      </c>
      <c r="L184">
        <v>750</v>
      </c>
      <c r="M184">
        <v>9.4</v>
      </c>
      <c r="P184" t="s">
        <v>7092</v>
      </c>
      <c r="Q184">
        <v>1250</v>
      </c>
      <c r="R184">
        <v>3</v>
      </c>
      <c r="S184">
        <v>900</v>
      </c>
      <c r="T184">
        <v>4</v>
      </c>
      <c r="U184">
        <v>750</v>
      </c>
      <c r="V184">
        <v>16</v>
      </c>
      <c r="W184">
        <v>1</v>
      </c>
      <c r="X184">
        <v>10</v>
      </c>
      <c r="Y184">
        <v>53</v>
      </c>
      <c r="Z184" t="s">
        <v>7093</v>
      </c>
      <c r="AA184">
        <f>VLOOKUP(Table29[[#This Row],[Shortname]], Comp[], 6, FALSE)</f>
        <v>196</v>
      </c>
      <c r="AB184" s="14">
        <f>VLOOKUP(Table29[[#This Row],[Shortname]], Comp[], 7, FALSE)</f>
        <v>41.03</v>
      </c>
      <c r="AC184">
        <f>VLOOKUP(Table29[[#This Row],[Shortname]], Comp[], 8, FALSE)</f>
        <v>31.8</v>
      </c>
      <c r="AD184">
        <f>VLOOKUP(Table29[[#This Row],[Shortname]], Comp[], 9, FALSE)</f>
        <v>8.6999999999999993</v>
      </c>
      <c r="AE184">
        <f>VLOOKUP(Table29[[#This Row],[Shortname]], Comp[], 10, FALSE)</f>
        <v>12.6</v>
      </c>
      <c r="AF184">
        <f>VLOOKUP(Table29[[#This Row],[Shortname]], Comp[], 11, FALSE)</f>
        <v>4.7</v>
      </c>
      <c r="AG184">
        <f>VLOOKUP(Table29[[#This Row],[Shortname]], Comp[],12, FALSE)</f>
        <v>0.3</v>
      </c>
      <c r="AH184">
        <f>VLOOKUP(Table29[[#This Row],[Shortname]], Comp[], 13, FALSE)</f>
        <v>0.2</v>
      </c>
      <c r="AI184">
        <f>VLOOKUP(Table29[[#This Row],[Shortname]], Comp[], 14, FALSE)</f>
        <v>0</v>
      </c>
      <c r="AJ184">
        <f>VLOOKUP(Table29[[#This Row],[Shortname]], Comp[], 15, FALSE)</f>
        <v>0</v>
      </c>
      <c r="AK184">
        <f>VLOOKUP(Table29[[#This Row],[Shortname]], Comp[], 16, FALSE)</f>
        <v>0</v>
      </c>
      <c r="AL184">
        <f>VLOOKUP(Table29[[#This Row],[Shortname]], Comp[], 17, FALSE)</f>
        <v>0.08</v>
      </c>
      <c r="AM184">
        <f>VLOOKUP(Table29[[#This Row],[Shortname]], Comp[], 18, FALSE)</f>
        <v>0.01</v>
      </c>
      <c r="AN184">
        <f>VLOOKUP(Table29[[#This Row],[Shortname]], Comp[], 19, FALSE)</f>
        <v>0.08</v>
      </c>
      <c r="AO184">
        <f>VLOOKUP(Table29[[#This Row],[Shortname]], Comp[], 20, FALSE)</f>
        <v>0</v>
      </c>
      <c r="AP184">
        <f>VLOOKUP(Table29[[#This Row],[Shortname]], Comp[], 21, FALSE)</f>
        <v>0</v>
      </c>
      <c r="AQ184">
        <f>VLOOKUP(Table29[[#This Row],[Shortname]], Comp[], 22, FALSE)</f>
        <v>0.4</v>
      </c>
      <c r="AR184">
        <f>VLOOKUP(Table29[[#This Row],[Shortname]], Comp[], 23, FALSE)</f>
        <v>0</v>
      </c>
      <c r="AS184">
        <f>VLOOKUP(Table29[[#This Row],[Shortname]], Comp[], 24, FALSE)</f>
        <v>0</v>
      </c>
      <c r="AT184">
        <f>VLOOKUP(Table29[[#This Row],[Shortname]], Comp[], 25, FALSE)</f>
        <v>0.1</v>
      </c>
      <c r="AU184">
        <f>VLOOKUP(Table29[[#This Row],[Shortname]], Comp[], 26, FALSE)</f>
        <v>0</v>
      </c>
      <c r="AV184">
        <f>VLOOKUP(Table29[[#This Row],[Shortname]], Comp[], 27, FALSE)</f>
        <v>0</v>
      </c>
      <c r="AW184">
        <f>VLOOKUP(Table29[[#This Row],[Shortname]], Comp[], 28, FALSE)</f>
        <v>0</v>
      </c>
      <c r="AX184">
        <f>VLOOKUP(Table29[[#This Row],[Shortname]], Comp[], 29, FALSE)</f>
        <v>0</v>
      </c>
      <c r="AY184">
        <f>VLOOKUP(Table29[[#This Row],[Shortname]], Comp[], 30, FALSE)</f>
        <v>0</v>
      </c>
      <c r="AZ184">
        <f>VLOOKUP(Table29[[#This Row],[Shortname]], Comp[], 31, FALSE)</f>
        <v>0</v>
      </c>
    </row>
    <row r="185" spans="1:52" x14ac:dyDescent="0.3">
      <c r="A185" t="s">
        <v>1538</v>
      </c>
      <c r="B185">
        <v>180</v>
      </c>
      <c r="C185">
        <v>196</v>
      </c>
      <c r="D185" t="s">
        <v>11</v>
      </c>
      <c r="E185" t="s">
        <v>160</v>
      </c>
      <c r="F185" t="s">
        <v>1540</v>
      </c>
      <c r="G185" t="s">
        <v>1560</v>
      </c>
      <c r="H185">
        <v>680</v>
      </c>
      <c r="I185">
        <v>1.48E-7</v>
      </c>
      <c r="J185">
        <f>0.01/Table29[[#This Row],[Strain Rate (min) /s]]</f>
        <v>67567.567567567574</v>
      </c>
      <c r="K185">
        <f>LOG(Table29[[#This Row],[Time to 1% strain (s)]])</f>
        <v>4.8297382846050425</v>
      </c>
      <c r="L185">
        <v>750</v>
      </c>
      <c r="M185">
        <v>9.4</v>
      </c>
      <c r="P185" t="s">
        <v>7092</v>
      </c>
      <c r="Q185">
        <v>1250</v>
      </c>
      <c r="R185">
        <v>3</v>
      </c>
      <c r="S185">
        <v>900</v>
      </c>
      <c r="T185">
        <v>4</v>
      </c>
      <c r="U185">
        <v>750</v>
      </c>
      <c r="V185">
        <v>16</v>
      </c>
      <c r="W185">
        <v>1</v>
      </c>
      <c r="X185">
        <v>10</v>
      </c>
      <c r="Y185">
        <v>53</v>
      </c>
      <c r="Z185" t="s">
        <v>7093</v>
      </c>
      <c r="AA185">
        <f>VLOOKUP(Table29[[#This Row],[Shortname]], Comp[], 6, FALSE)</f>
        <v>196</v>
      </c>
      <c r="AB185" s="14">
        <f>VLOOKUP(Table29[[#This Row],[Shortname]], Comp[], 7, FALSE)</f>
        <v>41.03</v>
      </c>
      <c r="AC185">
        <f>VLOOKUP(Table29[[#This Row],[Shortname]], Comp[], 8, FALSE)</f>
        <v>31.8</v>
      </c>
      <c r="AD185">
        <f>VLOOKUP(Table29[[#This Row],[Shortname]], Comp[], 9, FALSE)</f>
        <v>8.6999999999999993</v>
      </c>
      <c r="AE185">
        <f>VLOOKUP(Table29[[#This Row],[Shortname]], Comp[], 10, FALSE)</f>
        <v>12.6</v>
      </c>
      <c r="AF185">
        <f>VLOOKUP(Table29[[#This Row],[Shortname]], Comp[], 11, FALSE)</f>
        <v>4.7</v>
      </c>
      <c r="AG185">
        <f>VLOOKUP(Table29[[#This Row],[Shortname]], Comp[],12, FALSE)</f>
        <v>0.3</v>
      </c>
      <c r="AH185">
        <f>VLOOKUP(Table29[[#This Row],[Shortname]], Comp[], 13, FALSE)</f>
        <v>0.2</v>
      </c>
      <c r="AI185">
        <f>VLOOKUP(Table29[[#This Row],[Shortname]], Comp[], 14, FALSE)</f>
        <v>0</v>
      </c>
      <c r="AJ185">
        <f>VLOOKUP(Table29[[#This Row],[Shortname]], Comp[], 15, FALSE)</f>
        <v>0</v>
      </c>
      <c r="AK185">
        <f>VLOOKUP(Table29[[#This Row],[Shortname]], Comp[], 16, FALSE)</f>
        <v>0</v>
      </c>
      <c r="AL185">
        <f>VLOOKUP(Table29[[#This Row],[Shortname]], Comp[], 17, FALSE)</f>
        <v>0.08</v>
      </c>
      <c r="AM185">
        <f>VLOOKUP(Table29[[#This Row],[Shortname]], Comp[], 18, FALSE)</f>
        <v>0.01</v>
      </c>
      <c r="AN185">
        <f>VLOOKUP(Table29[[#This Row],[Shortname]], Comp[], 19, FALSE)</f>
        <v>0.08</v>
      </c>
      <c r="AO185">
        <f>VLOOKUP(Table29[[#This Row],[Shortname]], Comp[], 20, FALSE)</f>
        <v>0</v>
      </c>
      <c r="AP185">
        <f>VLOOKUP(Table29[[#This Row],[Shortname]], Comp[], 21, FALSE)</f>
        <v>0</v>
      </c>
      <c r="AQ185">
        <f>VLOOKUP(Table29[[#This Row],[Shortname]], Comp[], 22, FALSE)</f>
        <v>0.4</v>
      </c>
      <c r="AR185">
        <f>VLOOKUP(Table29[[#This Row],[Shortname]], Comp[], 23, FALSE)</f>
        <v>0</v>
      </c>
      <c r="AS185">
        <f>VLOOKUP(Table29[[#This Row],[Shortname]], Comp[], 24, FALSE)</f>
        <v>0</v>
      </c>
      <c r="AT185">
        <f>VLOOKUP(Table29[[#This Row],[Shortname]], Comp[], 25, FALSE)</f>
        <v>0.1</v>
      </c>
      <c r="AU185">
        <f>VLOOKUP(Table29[[#This Row],[Shortname]], Comp[], 26, FALSE)</f>
        <v>0</v>
      </c>
      <c r="AV185">
        <f>VLOOKUP(Table29[[#This Row],[Shortname]], Comp[], 27, FALSE)</f>
        <v>0</v>
      </c>
      <c r="AW185">
        <f>VLOOKUP(Table29[[#This Row],[Shortname]], Comp[], 28, FALSE)</f>
        <v>0</v>
      </c>
      <c r="AX185">
        <f>VLOOKUP(Table29[[#This Row],[Shortname]], Comp[], 29, FALSE)</f>
        <v>0</v>
      </c>
      <c r="AY185">
        <f>VLOOKUP(Table29[[#This Row],[Shortname]], Comp[], 30, FALSE)</f>
        <v>0</v>
      </c>
      <c r="AZ185">
        <f>VLOOKUP(Table29[[#This Row],[Shortname]], Comp[], 31, FALSE)</f>
        <v>0</v>
      </c>
    </row>
    <row r="186" spans="1:52" x14ac:dyDescent="0.3">
      <c r="A186" t="s">
        <v>1538</v>
      </c>
      <c r="B186">
        <v>181</v>
      </c>
      <c r="C186">
        <v>196</v>
      </c>
      <c r="D186" t="s">
        <v>11</v>
      </c>
      <c r="E186" t="s">
        <v>160</v>
      </c>
      <c r="F186" t="s">
        <v>1540</v>
      </c>
      <c r="G186" t="s">
        <v>1560</v>
      </c>
      <c r="H186">
        <v>740</v>
      </c>
      <c r="I186">
        <v>3.9400000000000001E-7</v>
      </c>
      <c r="J186">
        <f>0.01/Table29[[#This Row],[Strain Rate (min) /s]]</f>
        <v>25380.710659898476</v>
      </c>
      <c r="K186">
        <f>LOG(Table29[[#This Row],[Time to 1% strain (s)]])</f>
        <v>4.4045037781744263</v>
      </c>
      <c r="L186">
        <v>750</v>
      </c>
      <c r="M186">
        <v>9.4</v>
      </c>
      <c r="P186" t="s">
        <v>7092</v>
      </c>
      <c r="Q186">
        <v>1250</v>
      </c>
      <c r="R186">
        <v>3</v>
      </c>
      <c r="S186">
        <v>900</v>
      </c>
      <c r="T186">
        <v>4</v>
      </c>
      <c r="U186">
        <v>750</v>
      </c>
      <c r="V186">
        <v>16</v>
      </c>
      <c r="W186">
        <v>1</v>
      </c>
      <c r="X186">
        <v>10</v>
      </c>
      <c r="Y186">
        <v>53</v>
      </c>
      <c r="Z186" t="s">
        <v>7093</v>
      </c>
      <c r="AA186">
        <f>VLOOKUP(Table29[[#This Row],[Shortname]], Comp[], 6, FALSE)</f>
        <v>196</v>
      </c>
      <c r="AB186" s="14">
        <f>VLOOKUP(Table29[[#This Row],[Shortname]], Comp[], 7, FALSE)</f>
        <v>41.03</v>
      </c>
      <c r="AC186">
        <f>VLOOKUP(Table29[[#This Row],[Shortname]], Comp[], 8, FALSE)</f>
        <v>31.8</v>
      </c>
      <c r="AD186">
        <f>VLOOKUP(Table29[[#This Row],[Shortname]], Comp[], 9, FALSE)</f>
        <v>8.6999999999999993</v>
      </c>
      <c r="AE186">
        <f>VLOOKUP(Table29[[#This Row],[Shortname]], Comp[], 10, FALSE)</f>
        <v>12.6</v>
      </c>
      <c r="AF186">
        <f>VLOOKUP(Table29[[#This Row],[Shortname]], Comp[], 11, FALSE)</f>
        <v>4.7</v>
      </c>
      <c r="AG186">
        <f>VLOOKUP(Table29[[#This Row],[Shortname]], Comp[],12, FALSE)</f>
        <v>0.3</v>
      </c>
      <c r="AH186">
        <f>VLOOKUP(Table29[[#This Row],[Shortname]], Comp[], 13, FALSE)</f>
        <v>0.2</v>
      </c>
      <c r="AI186">
        <f>VLOOKUP(Table29[[#This Row],[Shortname]], Comp[], 14, FALSE)</f>
        <v>0</v>
      </c>
      <c r="AJ186">
        <f>VLOOKUP(Table29[[#This Row],[Shortname]], Comp[], 15, FALSE)</f>
        <v>0</v>
      </c>
      <c r="AK186">
        <f>VLOOKUP(Table29[[#This Row],[Shortname]], Comp[], 16, FALSE)</f>
        <v>0</v>
      </c>
      <c r="AL186">
        <f>VLOOKUP(Table29[[#This Row],[Shortname]], Comp[], 17, FALSE)</f>
        <v>0.08</v>
      </c>
      <c r="AM186">
        <f>VLOOKUP(Table29[[#This Row],[Shortname]], Comp[], 18, FALSE)</f>
        <v>0.01</v>
      </c>
      <c r="AN186">
        <f>VLOOKUP(Table29[[#This Row],[Shortname]], Comp[], 19, FALSE)</f>
        <v>0.08</v>
      </c>
      <c r="AO186">
        <f>VLOOKUP(Table29[[#This Row],[Shortname]], Comp[], 20, FALSE)</f>
        <v>0</v>
      </c>
      <c r="AP186">
        <f>VLOOKUP(Table29[[#This Row],[Shortname]], Comp[], 21, FALSE)</f>
        <v>0</v>
      </c>
      <c r="AQ186">
        <f>VLOOKUP(Table29[[#This Row],[Shortname]], Comp[], 22, FALSE)</f>
        <v>0.4</v>
      </c>
      <c r="AR186">
        <f>VLOOKUP(Table29[[#This Row],[Shortname]], Comp[], 23, FALSE)</f>
        <v>0</v>
      </c>
      <c r="AS186">
        <f>VLOOKUP(Table29[[#This Row],[Shortname]], Comp[], 24, FALSE)</f>
        <v>0</v>
      </c>
      <c r="AT186">
        <f>VLOOKUP(Table29[[#This Row],[Shortname]], Comp[], 25, FALSE)</f>
        <v>0.1</v>
      </c>
      <c r="AU186">
        <f>VLOOKUP(Table29[[#This Row],[Shortname]], Comp[], 26, FALSE)</f>
        <v>0</v>
      </c>
      <c r="AV186">
        <f>VLOOKUP(Table29[[#This Row],[Shortname]], Comp[], 27, FALSE)</f>
        <v>0</v>
      </c>
      <c r="AW186">
        <f>VLOOKUP(Table29[[#This Row],[Shortname]], Comp[], 28, FALSE)</f>
        <v>0</v>
      </c>
      <c r="AX186">
        <f>VLOOKUP(Table29[[#This Row],[Shortname]], Comp[], 29, FALSE)</f>
        <v>0</v>
      </c>
      <c r="AY186">
        <f>VLOOKUP(Table29[[#This Row],[Shortname]], Comp[], 30, FALSE)</f>
        <v>0</v>
      </c>
      <c r="AZ186">
        <f>VLOOKUP(Table29[[#This Row],[Shortname]], Comp[], 31, FALSE)</f>
        <v>0</v>
      </c>
    </row>
    <row r="187" spans="1:52" x14ac:dyDescent="0.3">
      <c r="A187" t="s">
        <v>1550</v>
      </c>
      <c r="B187">
        <v>176</v>
      </c>
      <c r="C187">
        <v>197</v>
      </c>
      <c r="D187" t="s">
        <v>1551</v>
      </c>
      <c r="E187" t="s">
        <v>160</v>
      </c>
      <c r="F187" t="s">
        <v>1552</v>
      </c>
      <c r="G187" t="s">
        <v>1553</v>
      </c>
      <c r="H187">
        <v>620</v>
      </c>
      <c r="I187">
        <v>1.1999999999999999E-6</v>
      </c>
      <c r="J187">
        <f>0.01/Table29[[#This Row],[Strain Rate (min) /s]]</f>
        <v>8333.3333333333339</v>
      </c>
      <c r="K187">
        <f>LOG(Table29[[#This Row],[Time to 1% strain (s)]])</f>
        <v>3.9208187539523753</v>
      </c>
      <c r="L187">
        <v>750</v>
      </c>
      <c r="P187" t="s">
        <v>7094</v>
      </c>
      <c r="Q187">
        <v>1250</v>
      </c>
      <c r="R187">
        <v>3</v>
      </c>
      <c r="S187">
        <v>900</v>
      </c>
      <c r="T187">
        <v>4</v>
      </c>
      <c r="U187">
        <v>750</v>
      </c>
      <c r="V187">
        <v>16</v>
      </c>
      <c r="W187">
        <v>1</v>
      </c>
      <c r="X187">
        <v>10</v>
      </c>
      <c r="Y187">
        <v>25</v>
      </c>
      <c r="Z187" t="s">
        <v>7093</v>
      </c>
      <c r="AA187">
        <f>VLOOKUP(Table29[[#This Row],[Shortname]], Comp[], 6, FALSE)</f>
        <v>197</v>
      </c>
      <c r="AB187" s="14">
        <f>VLOOKUP(Table29[[#This Row],[Shortname]], Comp[], 7, FALSE)</f>
        <v>40.830000000000005</v>
      </c>
      <c r="AC187">
        <f>VLOOKUP(Table29[[#This Row],[Shortname]], Comp[], 8, FALSE)</f>
        <v>32</v>
      </c>
      <c r="AD187">
        <f>VLOOKUP(Table29[[#This Row],[Shortname]], Comp[], 9, FALSE)</f>
        <v>11</v>
      </c>
      <c r="AE187">
        <f>VLOOKUP(Table29[[#This Row],[Shortname]], Comp[], 10, FALSE)</f>
        <v>12</v>
      </c>
      <c r="AF187">
        <f>VLOOKUP(Table29[[#This Row],[Shortname]], Comp[], 11, FALSE)</f>
        <v>3</v>
      </c>
      <c r="AG187">
        <f>VLOOKUP(Table29[[#This Row],[Shortname]], Comp[],12, FALSE)</f>
        <v>0.3</v>
      </c>
      <c r="AH187">
        <f>VLOOKUP(Table29[[#This Row],[Shortname]], Comp[], 13, FALSE)</f>
        <v>0.2</v>
      </c>
      <c r="AI187">
        <f>VLOOKUP(Table29[[#This Row],[Shortname]], Comp[], 14, FALSE)</f>
        <v>0</v>
      </c>
      <c r="AJ187">
        <f>VLOOKUP(Table29[[#This Row],[Shortname]], Comp[], 15, FALSE)</f>
        <v>0</v>
      </c>
      <c r="AK187">
        <f>VLOOKUP(Table29[[#This Row],[Shortname]], Comp[], 16, FALSE)</f>
        <v>0</v>
      </c>
      <c r="AL187">
        <f>VLOOKUP(Table29[[#This Row],[Shortname]], Comp[], 17, FALSE)</f>
        <v>0.08</v>
      </c>
      <c r="AM187">
        <f>VLOOKUP(Table29[[#This Row],[Shortname]], Comp[], 18, FALSE)</f>
        <v>0.01</v>
      </c>
      <c r="AN187">
        <f>VLOOKUP(Table29[[#This Row],[Shortname]], Comp[], 19, FALSE)</f>
        <v>0.08</v>
      </c>
      <c r="AO187">
        <f>VLOOKUP(Table29[[#This Row],[Shortname]], Comp[], 20, FALSE)</f>
        <v>0</v>
      </c>
      <c r="AP187">
        <f>VLOOKUP(Table29[[#This Row],[Shortname]], Comp[], 21, FALSE)</f>
        <v>0</v>
      </c>
      <c r="AQ187">
        <f>VLOOKUP(Table29[[#This Row],[Shortname]], Comp[], 22, FALSE)</f>
        <v>0.4</v>
      </c>
      <c r="AR187">
        <f>VLOOKUP(Table29[[#This Row],[Shortname]], Comp[], 23, FALSE)</f>
        <v>0</v>
      </c>
      <c r="AS187">
        <f>VLOOKUP(Table29[[#This Row],[Shortname]], Comp[], 24, FALSE)</f>
        <v>0</v>
      </c>
      <c r="AT187">
        <f>VLOOKUP(Table29[[#This Row],[Shortname]], Comp[], 25, FALSE)</f>
        <v>0.1</v>
      </c>
      <c r="AU187">
        <f>VLOOKUP(Table29[[#This Row],[Shortname]], Comp[], 26, FALSE)</f>
        <v>0</v>
      </c>
      <c r="AV187">
        <f>VLOOKUP(Table29[[#This Row],[Shortname]], Comp[], 27, FALSE)</f>
        <v>0</v>
      </c>
      <c r="AW187">
        <f>VLOOKUP(Table29[[#This Row],[Shortname]], Comp[], 28, FALSE)</f>
        <v>0</v>
      </c>
      <c r="AX187">
        <f>VLOOKUP(Table29[[#This Row],[Shortname]], Comp[], 29, FALSE)</f>
        <v>0</v>
      </c>
      <c r="AY187">
        <f>VLOOKUP(Table29[[#This Row],[Shortname]], Comp[], 30, FALSE)</f>
        <v>0</v>
      </c>
      <c r="AZ187">
        <f>VLOOKUP(Table29[[#This Row],[Shortname]], Comp[], 31, FALSE)</f>
        <v>0</v>
      </c>
    </row>
    <row r="188" spans="1:52" x14ac:dyDescent="0.3">
      <c r="A188" t="s">
        <v>1557</v>
      </c>
      <c r="B188">
        <v>182</v>
      </c>
      <c r="C188">
        <v>198</v>
      </c>
      <c r="D188" t="s">
        <v>1558</v>
      </c>
      <c r="E188" t="s">
        <v>160</v>
      </c>
      <c r="F188" t="s">
        <v>1559</v>
      </c>
      <c r="G188" t="s">
        <v>1560</v>
      </c>
      <c r="H188">
        <v>500</v>
      </c>
      <c r="I188">
        <v>3.5700000000000002E-8</v>
      </c>
      <c r="J188">
        <f>0.01/Table29[[#This Row],[Strain Rate (min) /s]]</f>
        <v>280112.04481792718</v>
      </c>
      <c r="K188">
        <f>LOG(Table29[[#This Row],[Time to 1% strain (s)]])</f>
        <v>5.4473317838878073</v>
      </c>
      <c r="L188">
        <v>750</v>
      </c>
      <c r="M188">
        <v>6.4</v>
      </c>
      <c r="P188" t="s">
        <v>7095</v>
      </c>
      <c r="Q188">
        <v>1250</v>
      </c>
      <c r="R188">
        <v>3</v>
      </c>
      <c r="S188">
        <v>900</v>
      </c>
      <c r="T188">
        <v>4</v>
      </c>
      <c r="U188">
        <v>750</v>
      </c>
      <c r="V188">
        <v>16</v>
      </c>
      <c r="W188">
        <v>1</v>
      </c>
      <c r="X188">
        <v>10</v>
      </c>
      <c r="Y188">
        <v>35</v>
      </c>
      <c r="Z188" t="s">
        <v>7093</v>
      </c>
      <c r="AA188">
        <f>VLOOKUP(Table29[[#This Row],[Shortname]], Comp[], 6, FALSE)</f>
        <v>198</v>
      </c>
      <c r="AB188" s="14">
        <f>VLOOKUP(Table29[[#This Row],[Shortname]], Comp[], 7, FALSE)</f>
        <v>39.830000000000005</v>
      </c>
      <c r="AC188">
        <f>VLOOKUP(Table29[[#This Row],[Shortname]], Comp[], 8, FALSE)</f>
        <v>32</v>
      </c>
      <c r="AD188">
        <f>VLOOKUP(Table29[[#This Row],[Shortname]], Comp[], 9, FALSE)</f>
        <v>9</v>
      </c>
      <c r="AE188">
        <f>VLOOKUP(Table29[[#This Row],[Shortname]], Comp[], 10, FALSE)</f>
        <v>12</v>
      </c>
      <c r="AF188">
        <f>VLOOKUP(Table29[[#This Row],[Shortname]], Comp[], 11, FALSE)</f>
        <v>5</v>
      </c>
      <c r="AG188">
        <f>VLOOKUP(Table29[[#This Row],[Shortname]], Comp[],12, FALSE)</f>
        <v>0.3</v>
      </c>
      <c r="AH188">
        <f>VLOOKUP(Table29[[#This Row],[Shortname]], Comp[], 13, FALSE)</f>
        <v>0.2</v>
      </c>
      <c r="AI188">
        <f>VLOOKUP(Table29[[#This Row],[Shortname]], Comp[], 14, FALSE)</f>
        <v>0</v>
      </c>
      <c r="AJ188">
        <f>VLOOKUP(Table29[[#This Row],[Shortname]], Comp[], 15, FALSE)</f>
        <v>0</v>
      </c>
      <c r="AK188">
        <f>VLOOKUP(Table29[[#This Row],[Shortname]], Comp[], 16, FALSE)</f>
        <v>1</v>
      </c>
      <c r="AL188">
        <f>VLOOKUP(Table29[[#This Row],[Shortname]], Comp[], 17, FALSE)</f>
        <v>0.08</v>
      </c>
      <c r="AM188">
        <f>VLOOKUP(Table29[[#This Row],[Shortname]], Comp[], 18, FALSE)</f>
        <v>0.01</v>
      </c>
      <c r="AN188">
        <f>VLOOKUP(Table29[[#This Row],[Shortname]], Comp[], 19, FALSE)</f>
        <v>0.08</v>
      </c>
      <c r="AO188">
        <f>VLOOKUP(Table29[[#This Row],[Shortname]], Comp[], 20, FALSE)</f>
        <v>0</v>
      </c>
      <c r="AP188">
        <f>VLOOKUP(Table29[[#This Row],[Shortname]], Comp[], 21, FALSE)</f>
        <v>0</v>
      </c>
      <c r="AQ188">
        <f>VLOOKUP(Table29[[#This Row],[Shortname]], Comp[], 22, FALSE)</f>
        <v>0.4</v>
      </c>
      <c r="AR188">
        <f>VLOOKUP(Table29[[#This Row],[Shortname]], Comp[], 23, FALSE)</f>
        <v>0</v>
      </c>
      <c r="AS188">
        <f>VLOOKUP(Table29[[#This Row],[Shortname]], Comp[], 24, FALSE)</f>
        <v>0</v>
      </c>
      <c r="AT188">
        <f>VLOOKUP(Table29[[#This Row],[Shortname]], Comp[], 25, FALSE)</f>
        <v>0.1</v>
      </c>
      <c r="AU188">
        <f>VLOOKUP(Table29[[#This Row],[Shortname]], Comp[], 26, FALSE)</f>
        <v>0</v>
      </c>
      <c r="AV188">
        <f>VLOOKUP(Table29[[#This Row],[Shortname]], Comp[], 27, FALSE)</f>
        <v>0</v>
      </c>
      <c r="AW188">
        <f>VLOOKUP(Table29[[#This Row],[Shortname]], Comp[], 28, FALSE)</f>
        <v>0</v>
      </c>
      <c r="AX188">
        <f>VLOOKUP(Table29[[#This Row],[Shortname]], Comp[], 29, FALSE)</f>
        <v>0</v>
      </c>
      <c r="AY188">
        <f>VLOOKUP(Table29[[#This Row],[Shortname]], Comp[], 30, FALSE)</f>
        <v>0</v>
      </c>
      <c r="AZ188">
        <f>VLOOKUP(Table29[[#This Row],[Shortname]], Comp[], 31, FALSE)</f>
        <v>0</v>
      </c>
    </row>
    <row r="189" spans="1:52" x14ac:dyDescent="0.3">
      <c r="A189" t="s">
        <v>1557</v>
      </c>
      <c r="B189">
        <v>183</v>
      </c>
      <c r="C189">
        <v>198</v>
      </c>
      <c r="D189" t="s">
        <v>11</v>
      </c>
      <c r="E189" t="s">
        <v>160</v>
      </c>
      <c r="F189" t="s">
        <v>1559</v>
      </c>
      <c r="G189" t="s">
        <v>1560</v>
      </c>
      <c r="H189">
        <v>620</v>
      </c>
      <c r="I189">
        <v>1.4999999999999999E-7</v>
      </c>
      <c r="J189">
        <f>0.01/Table29[[#This Row],[Strain Rate (min) /s]]</f>
        <v>66666.666666666672</v>
      </c>
      <c r="K189">
        <f>LOG(Table29[[#This Row],[Time to 1% strain (s)]])</f>
        <v>4.8239087409443187</v>
      </c>
      <c r="L189">
        <v>750</v>
      </c>
      <c r="M189">
        <v>6.4</v>
      </c>
      <c r="P189" t="s">
        <v>7095</v>
      </c>
      <c r="Q189">
        <v>1250</v>
      </c>
      <c r="R189">
        <v>3</v>
      </c>
      <c r="S189">
        <v>900</v>
      </c>
      <c r="T189">
        <v>4</v>
      </c>
      <c r="U189">
        <v>750</v>
      </c>
      <c r="V189">
        <v>16</v>
      </c>
      <c r="W189">
        <v>1</v>
      </c>
      <c r="X189">
        <v>10</v>
      </c>
      <c r="Y189">
        <v>35</v>
      </c>
      <c r="Z189" t="s">
        <v>7093</v>
      </c>
      <c r="AA189">
        <f>VLOOKUP(Table29[[#This Row],[Shortname]], Comp[], 6, FALSE)</f>
        <v>198</v>
      </c>
      <c r="AB189" s="14">
        <f>VLOOKUP(Table29[[#This Row],[Shortname]], Comp[], 7, FALSE)</f>
        <v>39.830000000000005</v>
      </c>
      <c r="AC189">
        <f>VLOOKUP(Table29[[#This Row],[Shortname]], Comp[], 8, FALSE)</f>
        <v>32</v>
      </c>
      <c r="AD189">
        <f>VLOOKUP(Table29[[#This Row],[Shortname]], Comp[], 9, FALSE)</f>
        <v>9</v>
      </c>
      <c r="AE189">
        <f>VLOOKUP(Table29[[#This Row],[Shortname]], Comp[], 10, FALSE)</f>
        <v>12</v>
      </c>
      <c r="AF189">
        <f>VLOOKUP(Table29[[#This Row],[Shortname]], Comp[], 11, FALSE)</f>
        <v>5</v>
      </c>
      <c r="AG189">
        <f>VLOOKUP(Table29[[#This Row],[Shortname]], Comp[],12, FALSE)</f>
        <v>0.3</v>
      </c>
      <c r="AH189">
        <f>VLOOKUP(Table29[[#This Row],[Shortname]], Comp[], 13, FALSE)</f>
        <v>0.2</v>
      </c>
      <c r="AI189">
        <f>VLOOKUP(Table29[[#This Row],[Shortname]], Comp[], 14, FALSE)</f>
        <v>0</v>
      </c>
      <c r="AJ189">
        <f>VLOOKUP(Table29[[#This Row],[Shortname]], Comp[], 15, FALSE)</f>
        <v>0</v>
      </c>
      <c r="AK189">
        <f>VLOOKUP(Table29[[#This Row],[Shortname]], Comp[], 16, FALSE)</f>
        <v>1</v>
      </c>
      <c r="AL189">
        <f>VLOOKUP(Table29[[#This Row],[Shortname]], Comp[], 17, FALSE)</f>
        <v>0.08</v>
      </c>
      <c r="AM189">
        <f>VLOOKUP(Table29[[#This Row],[Shortname]], Comp[], 18, FALSE)</f>
        <v>0.01</v>
      </c>
      <c r="AN189">
        <f>VLOOKUP(Table29[[#This Row],[Shortname]], Comp[], 19, FALSE)</f>
        <v>0.08</v>
      </c>
      <c r="AO189">
        <f>VLOOKUP(Table29[[#This Row],[Shortname]], Comp[], 20, FALSE)</f>
        <v>0</v>
      </c>
      <c r="AP189">
        <f>VLOOKUP(Table29[[#This Row],[Shortname]], Comp[], 21, FALSE)</f>
        <v>0</v>
      </c>
      <c r="AQ189">
        <f>VLOOKUP(Table29[[#This Row],[Shortname]], Comp[], 22, FALSE)</f>
        <v>0.4</v>
      </c>
      <c r="AR189">
        <f>VLOOKUP(Table29[[#This Row],[Shortname]], Comp[], 23, FALSE)</f>
        <v>0</v>
      </c>
      <c r="AS189">
        <f>VLOOKUP(Table29[[#This Row],[Shortname]], Comp[], 24, FALSE)</f>
        <v>0</v>
      </c>
      <c r="AT189">
        <f>VLOOKUP(Table29[[#This Row],[Shortname]], Comp[], 25, FALSE)</f>
        <v>0.1</v>
      </c>
      <c r="AU189">
        <f>VLOOKUP(Table29[[#This Row],[Shortname]], Comp[], 26, FALSE)</f>
        <v>0</v>
      </c>
      <c r="AV189">
        <f>VLOOKUP(Table29[[#This Row],[Shortname]], Comp[], 27, FALSE)</f>
        <v>0</v>
      </c>
      <c r="AW189">
        <f>VLOOKUP(Table29[[#This Row],[Shortname]], Comp[], 28, FALSE)</f>
        <v>0</v>
      </c>
      <c r="AX189">
        <f>VLOOKUP(Table29[[#This Row],[Shortname]], Comp[], 29, FALSE)</f>
        <v>0</v>
      </c>
      <c r="AY189">
        <f>VLOOKUP(Table29[[#This Row],[Shortname]], Comp[], 30, FALSE)</f>
        <v>0</v>
      </c>
      <c r="AZ189">
        <f>VLOOKUP(Table29[[#This Row],[Shortname]], Comp[], 31, FALSE)</f>
        <v>0</v>
      </c>
    </row>
    <row r="190" spans="1:52" x14ac:dyDescent="0.3">
      <c r="A190" t="s">
        <v>1557</v>
      </c>
      <c r="B190">
        <v>184</v>
      </c>
      <c r="C190">
        <v>198</v>
      </c>
      <c r="D190" t="s">
        <v>11</v>
      </c>
      <c r="E190" t="s">
        <v>160</v>
      </c>
      <c r="F190" t="s">
        <v>1559</v>
      </c>
      <c r="G190" t="s">
        <v>1560</v>
      </c>
      <c r="H190">
        <v>740</v>
      </c>
      <c r="I190">
        <v>4.4900000000000001E-7</v>
      </c>
      <c r="J190">
        <f>0.01/Table29[[#This Row],[Strain Rate (min) /s]]</f>
        <v>22271.714922048999</v>
      </c>
      <c r="K190">
        <f>LOG(Table29[[#This Row],[Time to 1% strain (s)]])</f>
        <v>4.3477536589966768</v>
      </c>
      <c r="L190">
        <v>750</v>
      </c>
      <c r="M190">
        <v>6.4</v>
      </c>
      <c r="P190" t="s">
        <v>7095</v>
      </c>
      <c r="Q190">
        <v>1250</v>
      </c>
      <c r="R190">
        <v>3</v>
      </c>
      <c r="S190">
        <v>900</v>
      </c>
      <c r="T190">
        <v>4</v>
      </c>
      <c r="U190">
        <v>750</v>
      </c>
      <c r="V190">
        <v>16</v>
      </c>
      <c r="W190">
        <v>1</v>
      </c>
      <c r="X190">
        <v>10</v>
      </c>
      <c r="Y190">
        <v>35</v>
      </c>
      <c r="Z190" t="s">
        <v>7093</v>
      </c>
      <c r="AA190">
        <f>VLOOKUP(Table29[[#This Row],[Shortname]], Comp[], 6, FALSE)</f>
        <v>198</v>
      </c>
      <c r="AB190" s="14">
        <f>VLOOKUP(Table29[[#This Row],[Shortname]], Comp[], 7, FALSE)</f>
        <v>39.830000000000005</v>
      </c>
      <c r="AC190">
        <f>VLOOKUP(Table29[[#This Row],[Shortname]], Comp[], 8, FALSE)</f>
        <v>32</v>
      </c>
      <c r="AD190">
        <f>VLOOKUP(Table29[[#This Row],[Shortname]], Comp[], 9, FALSE)</f>
        <v>9</v>
      </c>
      <c r="AE190">
        <f>VLOOKUP(Table29[[#This Row],[Shortname]], Comp[], 10, FALSE)</f>
        <v>12</v>
      </c>
      <c r="AF190">
        <f>VLOOKUP(Table29[[#This Row],[Shortname]], Comp[], 11, FALSE)</f>
        <v>5</v>
      </c>
      <c r="AG190">
        <f>VLOOKUP(Table29[[#This Row],[Shortname]], Comp[],12, FALSE)</f>
        <v>0.3</v>
      </c>
      <c r="AH190">
        <f>VLOOKUP(Table29[[#This Row],[Shortname]], Comp[], 13, FALSE)</f>
        <v>0.2</v>
      </c>
      <c r="AI190">
        <f>VLOOKUP(Table29[[#This Row],[Shortname]], Comp[], 14, FALSE)</f>
        <v>0</v>
      </c>
      <c r="AJ190">
        <f>VLOOKUP(Table29[[#This Row],[Shortname]], Comp[], 15, FALSE)</f>
        <v>0</v>
      </c>
      <c r="AK190">
        <f>VLOOKUP(Table29[[#This Row],[Shortname]], Comp[], 16, FALSE)</f>
        <v>1</v>
      </c>
      <c r="AL190">
        <f>VLOOKUP(Table29[[#This Row],[Shortname]], Comp[], 17, FALSE)</f>
        <v>0.08</v>
      </c>
      <c r="AM190">
        <f>VLOOKUP(Table29[[#This Row],[Shortname]], Comp[], 18, FALSE)</f>
        <v>0.01</v>
      </c>
      <c r="AN190">
        <f>VLOOKUP(Table29[[#This Row],[Shortname]], Comp[], 19, FALSE)</f>
        <v>0.08</v>
      </c>
      <c r="AO190">
        <f>VLOOKUP(Table29[[#This Row],[Shortname]], Comp[], 20, FALSE)</f>
        <v>0</v>
      </c>
      <c r="AP190">
        <f>VLOOKUP(Table29[[#This Row],[Shortname]], Comp[], 21, FALSE)</f>
        <v>0</v>
      </c>
      <c r="AQ190">
        <f>VLOOKUP(Table29[[#This Row],[Shortname]], Comp[], 22, FALSE)</f>
        <v>0.4</v>
      </c>
      <c r="AR190">
        <f>VLOOKUP(Table29[[#This Row],[Shortname]], Comp[], 23, FALSE)</f>
        <v>0</v>
      </c>
      <c r="AS190">
        <f>VLOOKUP(Table29[[#This Row],[Shortname]], Comp[], 24, FALSE)</f>
        <v>0</v>
      </c>
      <c r="AT190">
        <f>VLOOKUP(Table29[[#This Row],[Shortname]], Comp[], 25, FALSE)</f>
        <v>0.1</v>
      </c>
      <c r="AU190">
        <f>VLOOKUP(Table29[[#This Row],[Shortname]], Comp[], 26, FALSE)</f>
        <v>0</v>
      </c>
      <c r="AV190">
        <f>VLOOKUP(Table29[[#This Row],[Shortname]], Comp[], 27, FALSE)</f>
        <v>0</v>
      </c>
      <c r="AW190">
        <f>VLOOKUP(Table29[[#This Row],[Shortname]], Comp[], 28, FALSE)</f>
        <v>0</v>
      </c>
      <c r="AX190">
        <f>VLOOKUP(Table29[[#This Row],[Shortname]], Comp[], 29, FALSE)</f>
        <v>0</v>
      </c>
      <c r="AY190">
        <f>VLOOKUP(Table29[[#This Row],[Shortname]], Comp[], 30, FALSE)</f>
        <v>0</v>
      </c>
      <c r="AZ190">
        <f>VLOOKUP(Table29[[#This Row],[Shortname]], Comp[], 31, FALSE)</f>
        <v>0</v>
      </c>
    </row>
    <row r="191" spans="1:52" x14ac:dyDescent="0.3">
      <c r="A191" t="s">
        <v>3236</v>
      </c>
      <c r="B191">
        <v>293</v>
      </c>
      <c r="C191">
        <v>455</v>
      </c>
      <c r="D191" t="s">
        <v>3237</v>
      </c>
      <c r="E191" t="s">
        <v>160</v>
      </c>
      <c r="F191" t="s">
        <v>1567</v>
      </c>
      <c r="G191" t="s">
        <v>3238</v>
      </c>
      <c r="H191">
        <v>275</v>
      </c>
      <c r="I191">
        <v>5.1600000000000004E-9</v>
      </c>
      <c r="J191">
        <f>0.01/Table29[[#This Row],[Strain Rate (min) /s]]</f>
        <v>1937984.4961240308</v>
      </c>
      <c r="K191">
        <f>LOG(Table29[[#This Row],[Time to 1% strain (s)]])</f>
        <v>6.2873502983727887</v>
      </c>
      <c r="L191">
        <v>900</v>
      </c>
      <c r="P191" t="s">
        <v>7096</v>
      </c>
      <c r="Q191">
        <v>1310</v>
      </c>
      <c r="R191">
        <v>10</v>
      </c>
      <c r="S191">
        <v>1000</v>
      </c>
      <c r="T191">
        <v>36</v>
      </c>
      <c r="U191">
        <v>750</v>
      </c>
      <c r="V191">
        <v>24</v>
      </c>
      <c r="W191">
        <v>-1</v>
      </c>
      <c r="X191">
        <v>1</v>
      </c>
      <c r="Y191">
        <v>65</v>
      </c>
      <c r="Z191" t="s">
        <v>7097</v>
      </c>
      <c r="AA191">
        <f>VLOOKUP(Table29[[#This Row],[Shortname]], Comp[], 6, FALSE)</f>
        <v>455</v>
      </c>
      <c r="AB191" s="14">
        <f>VLOOKUP(Table29[[#This Row],[Shortname]], Comp[], 7, FALSE)</f>
        <v>59.3</v>
      </c>
      <c r="AC191">
        <f>VLOOKUP(Table29[[#This Row],[Shortname]], Comp[], 8, FALSE)</f>
        <v>17</v>
      </c>
      <c r="AD191">
        <f>VLOOKUP(Table29[[#This Row],[Shortname]], Comp[], 9, FALSE)</f>
        <v>10</v>
      </c>
      <c r="AE191">
        <f>VLOOKUP(Table29[[#This Row],[Shortname]], Comp[], 10, FALSE)</f>
        <v>6</v>
      </c>
      <c r="AF191">
        <f>VLOOKUP(Table29[[#This Row],[Shortname]], Comp[], 11, FALSE)</f>
        <v>5</v>
      </c>
      <c r="AG191">
        <f>VLOOKUP(Table29[[#This Row],[Shortname]], Comp[],12, FALSE)</f>
        <v>0</v>
      </c>
      <c r="AH191">
        <f>VLOOKUP(Table29[[#This Row],[Shortname]], Comp[], 13, FALSE)</f>
        <v>2.7</v>
      </c>
      <c r="AI191">
        <f>VLOOKUP(Table29[[#This Row],[Shortname]], Comp[], 14, FALSE)</f>
        <v>0</v>
      </c>
      <c r="AJ191">
        <f>VLOOKUP(Table29[[#This Row],[Shortname]], Comp[], 15, FALSE)</f>
        <v>0</v>
      </c>
      <c r="AK191">
        <f>VLOOKUP(Table29[[#This Row],[Shortname]], Comp[], 16, FALSE)</f>
        <v>0</v>
      </c>
      <c r="AL191">
        <f>VLOOKUP(Table29[[#This Row],[Shortname]], Comp[], 17, FALSE)</f>
        <v>0</v>
      </c>
      <c r="AM191">
        <f>VLOOKUP(Table29[[#This Row],[Shortname]], Comp[], 18, FALSE)</f>
        <v>0</v>
      </c>
      <c r="AN191">
        <f>VLOOKUP(Table29[[#This Row],[Shortname]], Comp[], 19, FALSE)</f>
        <v>0</v>
      </c>
      <c r="AO191">
        <f>VLOOKUP(Table29[[#This Row],[Shortname]], Comp[], 20, FALSE)</f>
        <v>0</v>
      </c>
      <c r="AP191">
        <f>VLOOKUP(Table29[[#This Row],[Shortname]], Comp[], 21, FALSE)</f>
        <v>0</v>
      </c>
      <c r="AQ191">
        <f>VLOOKUP(Table29[[#This Row],[Shortname]], Comp[], 22, FALSE)</f>
        <v>0</v>
      </c>
      <c r="AR191">
        <f>VLOOKUP(Table29[[#This Row],[Shortname]], Comp[], 23, FALSE)</f>
        <v>0</v>
      </c>
      <c r="AS191">
        <f>VLOOKUP(Table29[[#This Row],[Shortname]], Comp[], 24, FALSE)</f>
        <v>0</v>
      </c>
      <c r="AT191">
        <f>VLOOKUP(Table29[[#This Row],[Shortname]], Comp[], 25, FALSE)</f>
        <v>0</v>
      </c>
      <c r="AU191">
        <f>VLOOKUP(Table29[[#This Row],[Shortname]], Comp[], 26, FALSE)</f>
        <v>0</v>
      </c>
      <c r="AV191">
        <f>VLOOKUP(Table29[[#This Row],[Shortname]], Comp[], 27, FALSE)</f>
        <v>0</v>
      </c>
      <c r="AW191">
        <f>VLOOKUP(Table29[[#This Row],[Shortname]], Comp[], 28, FALSE)</f>
        <v>0</v>
      </c>
      <c r="AX191">
        <f>VLOOKUP(Table29[[#This Row],[Shortname]], Comp[], 29, FALSE)</f>
        <v>0</v>
      </c>
      <c r="AY191">
        <f>VLOOKUP(Table29[[#This Row],[Shortname]], Comp[], 30, FALSE)</f>
        <v>0</v>
      </c>
      <c r="AZ191">
        <f>VLOOKUP(Table29[[#This Row],[Shortname]], Comp[], 31, FALSE)</f>
        <v>0</v>
      </c>
    </row>
    <row r="192" spans="1:52" x14ac:dyDescent="0.3">
      <c r="A192" t="s">
        <v>3236</v>
      </c>
      <c r="B192">
        <v>294</v>
      </c>
      <c r="C192">
        <v>455</v>
      </c>
      <c r="D192" t="s">
        <v>11</v>
      </c>
      <c r="E192" t="s">
        <v>160</v>
      </c>
      <c r="F192" t="s">
        <v>1567</v>
      </c>
      <c r="G192" t="s">
        <v>3238</v>
      </c>
      <c r="H192">
        <v>310</v>
      </c>
      <c r="I192">
        <v>4.7199999999999999E-8</v>
      </c>
      <c r="J192">
        <f>0.01/Table29[[#This Row],[Strain Rate (min) /s]]</f>
        <v>211864.40677966102</v>
      </c>
      <c r="K192">
        <f>LOG(Table29[[#This Row],[Time to 1% strain (s)]])</f>
        <v>5.3260580013659125</v>
      </c>
      <c r="L192">
        <v>900</v>
      </c>
      <c r="P192" t="s">
        <v>7096</v>
      </c>
      <c r="Q192">
        <v>1310</v>
      </c>
      <c r="R192">
        <v>10</v>
      </c>
      <c r="S192">
        <v>1000</v>
      </c>
      <c r="T192">
        <v>36</v>
      </c>
      <c r="U192">
        <v>750</v>
      </c>
      <c r="V192">
        <v>24</v>
      </c>
      <c r="W192">
        <v>-1</v>
      </c>
      <c r="X192">
        <v>1</v>
      </c>
      <c r="Y192">
        <v>65</v>
      </c>
      <c r="Z192" t="s">
        <v>7097</v>
      </c>
      <c r="AA192">
        <f>VLOOKUP(Table29[[#This Row],[Shortname]], Comp[], 6, FALSE)</f>
        <v>455</v>
      </c>
      <c r="AB192" s="14">
        <f>VLOOKUP(Table29[[#This Row],[Shortname]], Comp[], 7, FALSE)</f>
        <v>59.3</v>
      </c>
      <c r="AC192">
        <f>VLOOKUP(Table29[[#This Row],[Shortname]], Comp[], 8, FALSE)</f>
        <v>17</v>
      </c>
      <c r="AD192">
        <f>VLOOKUP(Table29[[#This Row],[Shortname]], Comp[], 9, FALSE)</f>
        <v>10</v>
      </c>
      <c r="AE192">
        <f>VLOOKUP(Table29[[#This Row],[Shortname]], Comp[], 10, FALSE)</f>
        <v>6</v>
      </c>
      <c r="AF192">
        <f>VLOOKUP(Table29[[#This Row],[Shortname]], Comp[], 11, FALSE)</f>
        <v>5</v>
      </c>
      <c r="AG192">
        <f>VLOOKUP(Table29[[#This Row],[Shortname]], Comp[],12, FALSE)</f>
        <v>0</v>
      </c>
      <c r="AH192">
        <f>VLOOKUP(Table29[[#This Row],[Shortname]], Comp[], 13, FALSE)</f>
        <v>2.7</v>
      </c>
      <c r="AI192">
        <f>VLOOKUP(Table29[[#This Row],[Shortname]], Comp[], 14, FALSE)</f>
        <v>0</v>
      </c>
      <c r="AJ192">
        <f>VLOOKUP(Table29[[#This Row],[Shortname]], Comp[], 15, FALSE)</f>
        <v>0</v>
      </c>
      <c r="AK192">
        <f>VLOOKUP(Table29[[#This Row],[Shortname]], Comp[], 16, FALSE)</f>
        <v>0</v>
      </c>
      <c r="AL192">
        <f>VLOOKUP(Table29[[#This Row],[Shortname]], Comp[], 17, FALSE)</f>
        <v>0</v>
      </c>
      <c r="AM192">
        <f>VLOOKUP(Table29[[#This Row],[Shortname]], Comp[], 18, FALSE)</f>
        <v>0</v>
      </c>
      <c r="AN192">
        <f>VLOOKUP(Table29[[#This Row],[Shortname]], Comp[], 19, FALSE)</f>
        <v>0</v>
      </c>
      <c r="AO192">
        <f>VLOOKUP(Table29[[#This Row],[Shortname]], Comp[], 20, FALSE)</f>
        <v>0</v>
      </c>
      <c r="AP192">
        <f>VLOOKUP(Table29[[#This Row],[Shortname]], Comp[], 21, FALSE)</f>
        <v>0</v>
      </c>
      <c r="AQ192">
        <f>VLOOKUP(Table29[[#This Row],[Shortname]], Comp[], 22, FALSE)</f>
        <v>0</v>
      </c>
      <c r="AR192">
        <f>VLOOKUP(Table29[[#This Row],[Shortname]], Comp[], 23, FALSE)</f>
        <v>0</v>
      </c>
      <c r="AS192">
        <f>VLOOKUP(Table29[[#This Row],[Shortname]], Comp[], 24, FALSE)</f>
        <v>0</v>
      </c>
      <c r="AT192">
        <f>VLOOKUP(Table29[[#This Row],[Shortname]], Comp[], 25, FALSE)</f>
        <v>0</v>
      </c>
      <c r="AU192">
        <f>VLOOKUP(Table29[[#This Row],[Shortname]], Comp[], 26, FALSE)</f>
        <v>0</v>
      </c>
      <c r="AV192">
        <f>VLOOKUP(Table29[[#This Row],[Shortname]], Comp[], 27, FALSE)</f>
        <v>0</v>
      </c>
      <c r="AW192">
        <f>VLOOKUP(Table29[[#This Row],[Shortname]], Comp[], 28, FALSE)</f>
        <v>0</v>
      </c>
      <c r="AX192">
        <f>VLOOKUP(Table29[[#This Row],[Shortname]], Comp[], 29, FALSE)</f>
        <v>0</v>
      </c>
      <c r="AY192">
        <f>VLOOKUP(Table29[[#This Row],[Shortname]], Comp[], 30, FALSE)</f>
        <v>0</v>
      </c>
      <c r="AZ192">
        <f>VLOOKUP(Table29[[#This Row],[Shortname]], Comp[], 31, FALSE)</f>
        <v>0</v>
      </c>
    </row>
    <row r="193" spans="1:52" x14ac:dyDescent="0.3">
      <c r="A193" t="s">
        <v>1721</v>
      </c>
      <c r="B193">
        <v>313</v>
      </c>
      <c r="C193">
        <v>220</v>
      </c>
      <c r="D193" t="s">
        <v>1722</v>
      </c>
      <c r="E193" t="s">
        <v>95</v>
      </c>
      <c r="F193" t="s">
        <v>5263</v>
      </c>
      <c r="G193" t="s">
        <v>7261</v>
      </c>
      <c r="H193">
        <v>310</v>
      </c>
      <c r="I193">
        <v>5.0000000000000001E-9</v>
      </c>
      <c r="J193">
        <f>0.01/Table29[[#This Row],[Strain Rate (min) /s]]</f>
        <v>2000000</v>
      </c>
      <c r="K193">
        <f>LOG(Table29[[#This Row],[Time to 1% strain (s)]])</f>
        <v>6.3010299956639813</v>
      </c>
      <c r="L193">
        <v>900</v>
      </c>
      <c r="P193" t="s">
        <v>7098</v>
      </c>
      <c r="Q193">
        <v>1225</v>
      </c>
      <c r="R193">
        <v>60</v>
      </c>
      <c r="S193">
        <v>1000</v>
      </c>
      <c r="T193">
        <v>100</v>
      </c>
      <c r="W193">
        <v>-1</v>
      </c>
      <c r="X193">
        <v>1</v>
      </c>
      <c r="Y193">
        <v>70</v>
      </c>
      <c r="AA193">
        <f>VLOOKUP(Table29[[#This Row],[Shortname]], Comp[], 6, FALSE)</f>
        <v>220</v>
      </c>
      <c r="AB193" s="14">
        <f>VLOOKUP(Table29[[#This Row],[Shortname]], Comp[], 7, FALSE)</f>
        <v>79</v>
      </c>
      <c r="AC193">
        <f>VLOOKUP(Table29[[#This Row],[Shortname]], Comp[], 8, FALSE)</f>
        <v>0</v>
      </c>
      <c r="AD193">
        <f>VLOOKUP(Table29[[#This Row],[Shortname]], Comp[], 9, FALSE)</f>
        <v>6.7</v>
      </c>
      <c r="AE193">
        <f>VLOOKUP(Table29[[#This Row],[Shortname]], Comp[], 10, FALSE)</f>
        <v>0</v>
      </c>
      <c r="AF193">
        <f>VLOOKUP(Table29[[#This Row],[Shortname]], Comp[], 11, FALSE)</f>
        <v>8.1</v>
      </c>
      <c r="AG193">
        <f>VLOOKUP(Table29[[#This Row],[Shortname]], Comp[],12, FALSE)</f>
        <v>6.2</v>
      </c>
      <c r="AH193">
        <f>VLOOKUP(Table29[[#This Row],[Shortname]], Comp[], 13, FALSE)</f>
        <v>0</v>
      </c>
      <c r="AI193">
        <f>VLOOKUP(Table29[[#This Row],[Shortname]], Comp[], 14, FALSE)</f>
        <v>0</v>
      </c>
      <c r="AJ193">
        <f>VLOOKUP(Table29[[#This Row],[Shortname]], Comp[], 15, FALSE)</f>
        <v>0</v>
      </c>
      <c r="AK193">
        <f>VLOOKUP(Table29[[#This Row],[Shortname]], Comp[], 16, FALSE)</f>
        <v>0</v>
      </c>
      <c r="AL193">
        <f>VLOOKUP(Table29[[#This Row],[Shortname]], Comp[], 17, FALSE)</f>
        <v>0</v>
      </c>
      <c r="AM193">
        <f>VLOOKUP(Table29[[#This Row],[Shortname]], Comp[], 18, FALSE)</f>
        <v>0</v>
      </c>
      <c r="AN193">
        <f>VLOOKUP(Table29[[#This Row],[Shortname]], Comp[], 19, FALSE)</f>
        <v>0</v>
      </c>
      <c r="AO193">
        <f>VLOOKUP(Table29[[#This Row],[Shortname]], Comp[], 20, FALSE)</f>
        <v>0</v>
      </c>
      <c r="AP193">
        <f>VLOOKUP(Table29[[#This Row],[Shortname]], Comp[], 21, FALSE)</f>
        <v>0</v>
      </c>
      <c r="AQ193">
        <f>VLOOKUP(Table29[[#This Row],[Shortname]], Comp[], 22, FALSE)</f>
        <v>0</v>
      </c>
      <c r="AR193">
        <f>VLOOKUP(Table29[[#This Row],[Shortname]], Comp[], 23, FALSE)</f>
        <v>0</v>
      </c>
      <c r="AS193">
        <f>VLOOKUP(Table29[[#This Row],[Shortname]], Comp[], 24, FALSE)</f>
        <v>0</v>
      </c>
      <c r="AT193">
        <f>VLOOKUP(Table29[[#This Row],[Shortname]], Comp[], 25, FALSE)</f>
        <v>0</v>
      </c>
      <c r="AU193">
        <f>VLOOKUP(Table29[[#This Row],[Shortname]], Comp[], 26, FALSE)</f>
        <v>0</v>
      </c>
      <c r="AV193">
        <f>VLOOKUP(Table29[[#This Row],[Shortname]], Comp[], 27, FALSE)</f>
        <v>0</v>
      </c>
      <c r="AW193">
        <f>VLOOKUP(Table29[[#This Row],[Shortname]], Comp[], 28, FALSE)</f>
        <v>0</v>
      </c>
      <c r="AX193">
        <f>VLOOKUP(Table29[[#This Row],[Shortname]], Comp[], 29, FALSE)</f>
        <v>0</v>
      </c>
      <c r="AY193">
        <f>VLOOKUP(Table29[[#This Row],[Shortname]], Comp[], 30, FALSE)</f>
        <v>0</v>
      </c>
      <c r="AZ193">
        <f>VLOOKUP(Table29[[#This Row],[Shortname]], Comp[], 31, FALSE)</f>
        <v>0</v>
      </c>
    </row>
    <row r="194" spans="1:52" x14ac:dyDescent="0.3">
      <c r="A194" t="s">
        <v>1721</v>
      </c>
      <c r="B194">
        <v>314</v>
      </c>
      <c r="C194">
        <v>220</v>
      </c>
      <c r="D194" t="s">
        <v>11</v>
      </c>
      <c r="E194" t="s">
        <v>95</v>
      </c>
      <c r="F194" t="s">
        <v>5263</v>
      </c>
      <c r="G194" t="s">
        <v>7261</v>
      </c>
      <c r="H194">
        <v>379</v>
      </c>
      <c r="I194">
        <v>5.9699999999999999E-9</v>
      </c>
      <c r="J194">
        <f>0.01/Table29[[#This Row],[Strain Rate (min) /s]]</f>
        <v>1675041.8760469013</v>
      </c>
      <c r="K194">
        <f>LOG(Table29[[#This Row],[Time to 1% strain (s)]])</f>
        <v>6.224025668870631</v>
      </c>
      <c r="L194">
        <v>900</v>
      </c>
      <c r="P194" t="s">
        <v>7098</v>
      </c>
      <c r="Q194">
        <v>1225</v>
      </c>
      <c r="R194">
        <v>60</v>
      </c>
      <c r="S194">
        <v>1000</v>
      </c>
      <c r="T194">
        <v>100</v>
      </c>
      <c r="W194">
        <v>-1</v>
      </c>
      <c r="X194">
        <v>1</v>
      </c>
      <c r="Y194">
        <v>70</v>
      </c>
      <c r="AA194">
        <f>VLOOKUP(Table29[[#This Row],[Shortname]], Comp[], 6, FALSE)</f>
        <v>220</v>
      </c>
      <c r="AB194" s="14">
        <f>VLOOKUP(Table29[[#This Row],[Shortname]], Comp[], 7, FALSE)</f>
        <v>79</v>
      </c>
      <c r="AC194">
        <f>VLOOKUP(Table29[[#This Row],[Shortname]], Comp[], 8, FALSE)</f>
        <v>0</v>
      </c>
      <c r="AD194">
        <f>VLOOKUP(Table29[[#This Row],[Shortname]], Comp[], 9, FALSE)</f>
        <v>6.7</v>
      </c>
      <c r="AE194">
        <f>VLOOKUP(Table29[[#This Row],[Shortname]], Comp[], 10, FALSE)</f>
        <v>0</v>
      </c>
      <c r="AF194">
        <f>VLOOKUP(Table29[[#This Row],[Shortname]], Comp[], 11, FALSE)</f>
        <v>8.1</v>
      </c>
      <c r="AG194">
        <f>VLOOKUP(Table29[[#This Row],[Shortname]], Comp[],12, FALSE)</f>
        <v>6.2</v>
      </c>
      <c r="AH194">
        <f>VLOOKUP(Table29[[#This Row],[Shortname]], Comp[], 13, FALSE)</f>
        <v>0</v>
      </c>
      <c r="AI194">
        <f>VLOOKUP(Table29[[#This Row],[Shortname]], Comp[], 14, FALSE)</f>
        <v>0</v>
      </c>
      <c r="AJ194">
        <f>VLOOKUP(Table29[[#This Row],[Shortname]], Comp[], 15, FALSE)</f>
        <v>0</v>
      </c>
      <c r="AK194">
        <f>VLOOKUP(Table29[[#This Row],[Shortname]], Comp[], 16, FALSE)</f>
        <v>0</v>
      </c>
      <c r="AL194">
        <f>VLOOKUP(Table29[[#This Row],[Shortname]], Comp[], 17, FALSE)</f>
        <v>0</v>
      </c>
      <c r="AM194">
        <f>VLOOKUP(Table29[[#This Row],[Shortname]], Comp[], 18, FALSE)</f>
        <v>0</v>
      </c>
      <c r="AN194">
        <f>VLOOKUP(Table29[[#This Row],[Shortname]], Comp[], 19, FALSE)</f>
        <v>0</v>
      </c>
      <c r="AO194">
        <f>VLOOKUP(Table29[[#This Row],[Shortname]], Comp[], 20, FALSE)</f>
        <v>0</v>
      </c>
      <c r="AP194">
        <f>VLOOKUP(Table29[[#This Row],[Shortname]], Comp[], 21, FALSE)</f>
        <v>0</v>
      </c>
      <c r="AQ194">
        <f>VLOOKUP(Table29[[#This Row],[Shortname]], Comp[], 22, FALSE)</f>
        <v>0</v>
      </c>
      <c r="AR194">
        <f>VLOOKUP(Table29[[#This Row],[Shortname]], Comp[], 23, FALSE)</f>
        <v>0</v>
      </c>
      <c r="AS194">
        <f>VLOOKUP(Table29[[#This Row],[Shortname]], Comp[], 24, FALSE)</f>
        <v>0</v>
      </c>
      <c r="AT194">
        <f>VLOOKUP(Table29[[#This Row],[Shortname]], Comp[], 25, FALSE)</f>
        <v>0</v>
      </c>
      <c r="AU194">
        <f>VLOOKUP(Table29[[#This Row],[Shortname]], Comp[], 26, FALSE)</f>
        <v>0</v>
      </c>
      <c r="AV194">
        <f>VLOOKUP(Table29[[#This Row],[Shortname]], Comp[], 27, FALSE)</f>
        <v>0</v>
      </c>
      <c r="AW194">
        <f>VLOOKUP(Table29[[#This Row],[Shortname]], Comp[], 28, FALSE)</f>
        <v>0</v>
      </c>
      <c r="AX194">
        <f>VLOOKUP(Table29[[#This Row],[Shortname]], Comp[], 29, FALSE)</f>
        <v>0</v>
      </c>
      <c r="AY194">
        <f>VLOOKUP(Table29[[#This Row],[Shortname]], Comp[], 30, FALSE)</f>
        <v>0</v>
      </c>
      <c r="AZ194">
        <f>VLOOKUP(Table29[[#This Row],[Shortname]], Comp[], 31, FALSE)</f>
        <v>0</v>
      </c>
    </row>
    <row r="195" spans="1:52" x14ac:dyDescent="0.3">
      <c r="A195" t="s">
        <v>1728</v>
      </c>
      <c r="B195">
        <v>305</v>
      </c>
      <c r="C195">
        <v>221</v>
      </c>
      <c r="D195" t="s">
        <v>1729</v>
      </c>
      <c r="E195" t="s">
        <v>95</v>
      </c>
      <c r="F195" t="s">
        <v>1730</v>
      </c>
      <c r="G195" t="s">
        <v>3591</v>
      </c>
      <c r="H195">
        <v>310</v>
      </c>
      <c r="I195">
        <v>6E-9</v>
      </c>
      <c r="J195">
        <f>0.01/Table29[[#This Row],[Strain Rate (min) /s]]</f>
        <v>1666666.6666666667</v>
      </c>
      <c r="K195">
        <f>LOG(Table29[[#This Row],[Time to 1% strain (s)]])</f>
        <v>6.2218487496163561</v>
      </c>
      <c r="L195">
        <v>900</v>
      </c>
      <c r="P195" t="s">
        <v>7099</v>
      </c>
      <c r="Q195">
        <v>1350</v>
      </c>
      <c r="R195">
        <v>12</v>
      </c>
      <c r="S195">
        <v>950</v>
      </c>
      <c r="T195">
        <v>120</v>
      </c>
      <c r="W195">
        <v>-1</v>
      </c>
      <c r="X195">
        <v>1</v>
      </c>
      <c r="Y195">
        <v>56</v>
      </c>
      <c r="AA195">
        <f>VLOOKUP(Table29[[#This Row],[Shortname]], Comp[], 6, FALSE)</f>
        <v>221</v>
      </c>
      <c r="AB195" s="14">
        <f>VLOOKUP(Table29[[#This Row],[Shortname]], Comp[], 7, FALSE)</f>
        <v>79.900000000000006</v>
      </c>
      <c r="AC195">
        <f>VLOOKUP(Table29[[#This Row],[Shortname]], Comp[], 8, FALSE)</f>
        <v>0</v>
      </c>
      <c r="AD195">
        <f>VLOOKUP(Table29[[#This Row],[Shortname]], Comp[], 9, FALSE)</f>
        <v>9.4</v>
      </c>
      <c r="AE195">
        <f>VLOOKUP(Table29[[#This Row],[Shortname]], Comp[], 10, FALSE)</f>
        <v>0</v>
      </c>
      <c r="AF195">
        <f>VLOOKUP(Table29[[#This Row],[Shortname]], Comp[], 11, FALSE)</f>
        <v>10.7</v>
      </c>
      <c r="AG195">
        <f>VLOOKUP(Table29[[#This Row],[Shortname]], Comp[],12, FALSE)</f>
        <v>0</v>
      </c>
      <c r="AH195">
        <f>VLOOKUP(Table29[[#This Row],[Shortname]], Comp[], 13, FALSE)</f>
        <v>0</v>
      </c>
      <c r="AI195">
        <f>VLOOKUP(Table29[[#This Row],[Shortname]], Comp[], 14, FALSE)</f>
        <v>0</v>
      </c>
      <c r="AJ195">
        <f>VLOOKUP(Table29[[#This Row],[Shortname]], Comp[], 15, FALSE)</f>
        <v>0</v>
      </c>
      <c r="AK195">
        <f>VLOOKUP(Table29[[#This Row],[Shortname]], Comp[], 16, FALSE)</f>
        <v>0</v>
      </c>
      <c r="AL195">
        <f>VLOOKUP(Table29[[#This Row],[Shortname]], Comp[], 17, FALSE)</f>
        <v>0</v>
      </c>
      <c r="AM195">
        <f>VLOOKUP(Table29[[#This Row],[Shortname]], Comp[], 18, FALSE)</f>
        <v>0</v>
      </c>
      <c r="AN195">
        <f>VLOOKUP(Table29[[#This Row],[Shortname]], Comp[], 19, FALSE)</f>
        <v>0</v>
      </c>
      <c r="AO195">
        <f>VLOOKUP(Table29[[#This Row],[Shortname]], Comp[], 20, FALSE)</f>
        <v>0</v>
      </c>
      <c r="AP195">
        <f>VLOOKUP(Table29[[#This Row],[Shortname]], Comp[], 21, FALSE)</f>
        <v>0</v>
      </c>
      <c r="AQ195">
        <f>VLOOKUP(Table29[[#This Row],[Shortname]], Comp[], 22, FALSE)</f>
        <v>0</v>
      </c>
      <c r="AR195">
        <f>VLOOKUP(Table29[[#This Row],[Shortname]], Comp[], 23, FALSE)</f>
        <v>0</v>
      </c>
      <c r="AS195">
        <f>VLOOKUP(Table29[[#This Row],[Shortname]], Comp[], 24, FALSE)</f>
        <v>0</v>
      </c>
      <c r="AT195">
        <f>VLOOKUP(Table29[[#This Row],[Shortname]], Comp[], 25, FALSE)</f>
        <v>0</v>
      </c>
      <c r="AU195">
        <f>VLOOKUP(Table29[[#This Row],[Shortname]], Comp[], 26, FALSE)</f>
        <v>0</v>
      </c>
      <c r="AV195">
        <f>VLOOKUP(Table29[[#This Row],[Shortname]], Comp[], 27, FALSE)</f>
        <v>0</v>
      </c>
      <c r="AW195">
        <f>VLOOKUP(Table29[[#This Row],[Shortname]], Comp[], 28, FALSE)</f>
        <v>0</v>
      </c>
      <c r="AX195">
        <f>VLOOKUP(Table29[[#This Row],[Shortname]], Comp[], 29, FALSE)</f>
        <v>0</v>
      </c>
      <c r="AY195">
        <f>VLOOKUP(Table29[[#This Row],[Shortname]], Comp[], 30, FALSE)</f>
        <v>0</v>
      </c>
      <c r="AZ195">
        <f>VLOOKUP(Table29[[#This Row],[Shortname]], Comp[], 31, FALSE)</f>
        <v>0</v>
      </c>
    </row>
    <row r="196" spans="1:52" x14ac:dyDescent="0.3">
      <c r="A196" t="s">
        <v>1728</v>
      </c>
      <c r="B196">
        <v>306</v>
      </c>
      <c r="C196">
        <v>221</v>
      </c>
      <c r="D196" t="s">
        <v>11</v>
      </c>
      <c r="E196" t="s">
        <v>95</v>
      </c>
      <c r="F196" t="s">
        <v>1730</v>
      </c>
      <c r="G196" t="s">
        <v>3591</v>
      </c>
      <c r="H196">
        <v>345</v>
      </c>
      <c r="I196">
        <v>8.0000000000000005E-9</v>
      </c>
      <c r="J196">
        <f>0.01/Table29[[#This Row],[Strain Rate (min) /s]]</f>
        <v>1250000</v>
      </c>
      <c r="K196">
        <f>LOG(Table29[[#This Row],[Time to 1% strain (s)]])</f>
        <v>6.0969100130080562</v>
      </c>
      <c r="L196">
        <v>900</v>
      </c>
      <c r="P196" t="s">
        <v>7099</v>
      </c>
      <c r="Q196">
        <v>1350</v>
      </c>
      <c r="R196">
        <v>12</v>
      </c>
      <c r="S196">
        <v>950</v>
      </c>
      <c r="T196">
        <v>120</v>
      </c>
      <c r="W196">
        <v>-1</v>
      </c>
      <c r="X196">
        <v>1</v>
      </c>
      <c r="Y196">
        <v>56</v>
      </c>
      <c r="Z196" t="s">
        <v>7089</v>
      </c>
      <c r="AA196">
        <f>VLOOKUP(Table29[[#This Row],[Shortname]], Comp[], 6, FALSE)</f>
        <v>221</v>
      </c>
      <c r="AB196" s="14">
        <f>VLOOKUP(Table29[[#This Row],[Shortname]], Comp[], 7, FALSE)</f>
        <v>79.900000000000006</v>
      </c>
      <c r="AC196">
        <f>VLOOKUP(Table29[[#This Row],[Shortname]], Comp[], 8, FALSE)</f>
        <v>0</v>
      </c>
      <c r="AD196">
        <f>VLOOKUP(Table29[[#This Row],[Shortname]], Comp[], 9, FALSE)</f>
        <v>9.4</v>
      </c>
      <c r="AE196">
        <f>VLOOKUP(Table29[[#This Row],[Shortname]], Comp[], 10, FALSE)</f>
        <v>0</v>
      </c>
      <c r="AF196">
        <f>VLOOKUP(Table29[[#This Row],[Shortname]], Comp[], 11, FALSE)</f>
        <v>10.7</v>
      </c>
      <c r="AG196">
        <f>VLOOKUP(Table29[[#This Row],[Shortname]], Comp[],12, FALSE)</f>
        <v>0</v>
      </c>
      <c r="AH196">
        <f>VLOOKUP(Table29[[#This Row],[Shortname]], Comp[], 13, FALSE)</f>
        <v>0</v>
      </c>
      <c r="AI196">
        <f>VLOOKUP(Table29[[#This Row],[Shortname]], Comp[], 14, FALSE)</f>
        <v>0</v>
      </c>
      <c r="AJ196">
        <f>VLOOKUP(Table29[[#This Row],[Shortname]], Comp[], 15, FALSE)</f>
        <v>0</v>
      </c>
      <c r="AK196">
        <f>VLOOKUP(Table29[[#This Row],[Shortname]], Comp[], 16, FALSE)</f>
        <v>0</v>
      </c>
      <c r="AL196">
        <f>VLOOKUP(Table29[[#This Row],[Shortname]], Comp[], 17, FALSE)</f>
        <v>0</v>
      </c>
      <c r="AM196">
        <f>VLOOKUP(Table29[[#This Row],[Shortname]], Comp[], 18, FALSE)</f>
        <v>0</v>
      </c>
      <c r="AN196">
        <f>VLOOKUP(Table29[[#This Row],[Shortname]], Comp[], 19, FALSE)</f>
        <v>0</v>
      </c>
      <c r="AO196">
        <f>VLOOKUP(Table29[[#This Row],[Shortname]], Comp[], 20, FALSE)</f>
        <v>0</v>
      </c>
      <c r="AP196">
        <f>VLOOKUP(Table29[[#This Row],[Shortname]], Comp[], 21, FALSE)</f>
        <v>0</v>
      </c>
      <c r="AQ196">
        <f>VLOOKUP(Table29[[#This Row],[Shortname]], Comp[], 22, FALSE)</f>
        <v>0</v>
      </c>
      <c r="AR196">
        <f>VLOOKUP(Table29[[#This Row],[Shortname]], Comp[], 23, FALSE)</f>
        <v>0</v>
      </c>
      <c r="AS196">
        <f>VLOOKUP(Table29[[#This Row],[Shortname]], Comp[], 24, FALSE)</f>
        <v>0</v>
      </c>
      <c r="AT196">
        <f>VLOOKUP(Table29[[#This Row],[Shortname]], Comp[], 25, FALSE)</f>
        <v>0</v>
      </c>
      <c r="AU196">
        <f>VLOOKUP(Table29[[#This Row],[Shortname]], Comp[], 26, FALSE)</f>
        <v>0</v>
      </c>
      <c r="AV196">
        <f>VLOOKUP(Table29[[#This Row],[Shortname]], Comp[], 27, FALSE)</f>
        <v>0</v>
      </c>
      <c r="AW196">
        <f>VLOOKUP(Table29[[#This Row],[Shortname]], Comp[], 28, FALSE)</f>
        <v>0</v>
      </c>
      <c r="AX196">
        <f>VLOOKUP(Table29[[#This Row],[Shortname]], Comp[], 29, FALSE)</f>
        <v>0</v>
      </c>
      <c r="AY196">
        <f>VLOOKUP(Table29[[#This Row],[Shortname]], Comp[], 30, FALSE)</f>
        <v>0</v>
      </c>
      <c r="AZ196">
        <f>VLOOKUP(Table29[[#This Row],[Shortname]], Comp[], 31, FALSE)</f>
        <v>0</v>
      </c>
    </row>
    <row r="197" spans="1:52" x14ac:dyDescent="0.3">
      <c r="A197" t="s">
        <v>1741</v>
      </c>
      <c r="B197">
        <v>308</v>
      </c>
      <c r="C197">
        <v>224</v>
      </c>
      <c r="D197" t="s">
        <v>1742</v>
      </c>
      <c r="E197" t="s">
        <v>160</v>
      </c>
      <c r="F197" t="s">
        <v>1743</v>
      </c>
      <c r="G197" t="s">
        <v>3597</v>
      </c>
      <c r="H197">
        <v>310</v>
      </c>
      <c r="I197">
        <v>9.7200000000000003E-9</v>
      </c>
      <c r="J197">
        <f>0.01/Table29[[#This Row],[Strain Rate (min) /s]]</f>
        <v>1028806.5843621399</v>
      </c>
      <c r="K197">
        <f>LOG(Table29[[#This Row],[Time to 1% strain (s)]])</f>
        <v>6.0123337350737254</v>
      </c>
      <c r="L197">
        <v>900</v>
      </c>
      <c r="P197" t="s">
        <v>7100</v>
      </c>
      <c r="Q197">
        <v>1215</v>
      </c>
      <c r="R197">
        <v>12</v>
      </c>
      <c r="S197">
        <v>950</v>
      </c>
      <c r="T197">
        <v>120</v>
      </c>
      <c r="W197">
        <v>-1</v>
      </c>
      <c r="X197">
        <v>1</v>
      </c>
      <c r="Y197">
        <v>50</v>
      </c>
      <c r="Z197" t="s">
        <v>7268</v>
      </c>
      <c r="AA197">
        <f>VLOOKUP(Table29[[#This Row],[Shortname]], Comp[], 6, FALSE)</f>
        <v>224</v>
      </c>
      <c r="AB197" s="14">
        <f>VLOOKUP(Table29[[#This Row],[Shortname]], Comp[], 7, FALSE)</f>
        <v>49.900000000000006</v>
      </c>
      <c r="AC197">
        <f>VLOOKUP(Table29[[#This Row],[Shortname]], Comp[], 8, FALSE)</f>
        <v>29.6</v>
      </c>
      <c r="AD197">
        <f>VLOOKUP(Table29[[#This Row],[Shortname]], Comp[], 9, FALSE)</f>
        <v>11.2</v>
      </c>
      <c r="AE197">
        <f>VLOOKUP(Table29[[#This Row],[Shortname]], Comp[], 10, FALSE)</f>
        <v>0</v>
      </c>
      <c r="AF197">
        <f>VLOOKUP(Table29[[#This Row],[Shortname]], Comp[], 11, FALSE)</f>
        <v>6.5</v>
      </c>
      <c r="AG197">
        <f>VLOOKUP(Table29[[#This Row],[Shortname]], Comp[],12, FALSE)</f>
        <v>0</v>
      </c>
      <c r="AH197">
        <f>VLOOKUP(Table29[[#This Row],[Shortname]], Comp[], 13, FALSE)</f>
        <v>2.8</v>
      </c>
      <c r="AI197">
        <f>VLOOKUP(Table29[[#This Row],[Shortname]], Comp[], 14, FALSE)</f>
        <v>0</v>
      </c>
      <c r="AJ197">
        <f>VLOOKUP(Table29[[#This Row],[Shortname]], Comp[], 15, FALSE)</f>
        <v>0</v>
      </c>
      <c r="AK197">
        <f>VLOOKUP(Table29[[#This Row],[Shortname]], Comp[], 16, FALSE)</f>
        <v>0</v>
      </c>
      <c r="AL197">
        <f>VLOOKUP(Table29[[#This Row],[Shortname]], Comp[], 17, FALSE)</f>
        <v>0</v>
      </c>
      <c r="AM197">
        <f>VLOOKUP(Table29[[#This Row],[Shortname]], Comp[], 18, FALSE)</f>
        <v>0</v>
      </c>
      <c r="AN197">
        <f>VLOOKUP(Table29[[#This Row],[Shortname]], Comp[], 19, FALSE)</f>
        <v>0</v>
      </c>
      <c r="AO197">
        <f>VLOOKUP(Table29[[#This Row],[Shortname]], Comp[], 20, FALSE)</f>
        <v>0</v>
      </c>
      <c r="AP197">
        <f>VLOOKUP(Table29[[#This Row],[Shortname]], Comp[], 21, FALSE)</f>
        <v>0</v>
      </c>
      <c r="AQ197">
        <f>VLOOKUP(Table29[[#This Row],[Shortname]], Comp[], 22, FALSE)</f>
        <v>0</v>
      </c>
      <c r="AR197">
        <f>VLOOKUP(Table29[[#This Row],[Shortname]], Comp[], 23, FALSE)</f>
        <v>0</v>
      </c>
      <c r="AS197">
        <f>VLOOKUP(Table29[[#This Row],[Shortname]], Comp[], 24, FALSE)</f>
        <v>0</v>
      </c>
      <c r="AT197">
        <f>VLOOKUP(Table29[[#This Row],[Shortname]], Comp[], 25, FALSE)</f>
        <v>0</v>
      </c>
      <c r="AU197">
        <f>VLOOKUP(Table29[[#This Row],[Shortname]], Comp[], 26, FALSE)</f>
        <v>0</v>
      </c>
      <c r="AV197">
        <f>VLOOKUP(Table29[[#This Row],[Shortname]], Comp[], 27, FALSE)</f>
        <v>0</v>
      </c>
      <c r="AW197">
        <f>VLOOKUP(Table29[[#This Row],[Shortname]], Comp[], 28, FALSE)</f>
        <v>0</v>
      </c>
      <c r="AX197">
        <f>VLOOKUP(Table29[[#This Row],[Shortname]], Comp[], 29, FALSE)</f>
        <v>0</v>
      </c>
      <c r="AY197">
        <f>VLOOKUP(Table29[[#This Row],[Shortname]], Comp[], 30, FALSE)</f>
        <v>0</v>
      </c>
      <c r="AZ197">
        <f>VLOOKUP(Table29[[#This Row],[Shortname]], Comp[], 31, FALSE)</f>
        <v>0</v>
      </c>
    </row>
    <row r="198" spans="1:52" x14ac:dyDescent="0.3">
      <c r="A198" t="s">
        <v>1876</v>
      </c>
      <c r="B198">
        <v>187</v>
      </c>
      <c r="C198">
        <v>242</v>
      </c>
      <c r="D198" t="s">
        <v>1877</v>
      </c>
      <c r="E198" t="s">
        <v>160</v>
      </c>
      <c r="F198" t="s">
        <v>1870</v>
      </c>
      <c r="G198" t="s">
        <v>1871</v>
      </c>
      <c r="H198">
        <v>125</v>
      </c>
      <c r="I198">
        <v>3.15E-5</v>
      </c>
      <c r="J198">
        <f>0.01/Table29[[#This Row],[Strain Rate (min) /s]]</f>
        <v>317.46031746031747</v>
      </c>
      <c r="K198">
        <f>LOG(Table29[[#This Row],[Time to 1% strain (s)]])</f>
        <v>2.5016894462103996</v>
      </c>
      <c r="L198">
        <v>1050</v>
      </c>
      <c r="P198" t="s">
        <v>7101</v>
      </c>
      <c r="Q198">
        <v>1280</v>
      </c>
      <c r="R198">
        <v>8</v>
      </c>
      <c r="S198">
        <v>1050</v>
      </c>
      <c r="T198">
        <v>5</v>
      </c>
      <c r="U198">
        <v>900</v>
      </c>
      <c r="V198">
        <v>16</v>
      </c>
      <c r="W198">
        <v>1</v>
      </c>
      <c r="X198">
        <v>10</v>
      </c>
      <c r="Y198">
        <v>59</v>
      </c>
      <c r="AA198">
        <f>VLOOKUP(Table29[[#This Row],[Shortname]], Comp[], 6, FALSE)</f>
        <v>242</v>
      </c>
      <c r="AB198" s="14">
        <f>VLOOKUP(Table29[[#This Row],[Shortname]], Comp[], 7, FALSE)</f>
        <v>59.2</v>
      </c>
      <c r="AC198">
        <f>VLOOKUP(Table29[[#This Row],[Shortname]], Comp[], 8, FALSE)</f>
        <v>20.3</v>
      </c>
      <c r="AD198">
        <f>VLOOKUP(Table29[[#This Row],[Shortname]], Comp[], 9, FALSE)</f>
        <v>8.5</v>
      </c>
      <c r="AE198">
        <f>VLOOKUP(Table29[[#This Row],[Shortname]], Comp[], 10, FALSE)</f>
        <v>0</v>
      </c>
      <c r="AF198">
        <f>VLOOKUP(Table29[[#This Row],[Shortname]], Comp[], 11, FALSE)</f>
        <v>7.1</v>
      </c>
      <c r="AG198">
        <f>VLOOKUP(Table29[[#This Row],[Shortname]], Comp[],12, FALSE)</f>
        <v>2</v>
      </c>
      <c r="AH198">
        <f>VLOOKUP(Table29[[#This Row],[Shortname]], Comp[], 13, FALSE)</f>
        <v>1.5</v>
      </c>
      <c r="AI198">
        <f>VLOOKUP(Table29[[#This Row],[Shortname]], Comp[], 14, FALSE)</f>
        <v>0</v>
      </c>
      <c r="AJ198">
        <f>VLOOKUP(Table29[[#This Row],[Shortname]], Comp[], 15, FALSE)</f>
        <v>0</v>
      </c>
      <c r="AK198">
        <f>VLOOKUP(Table29[[#This Row],[Shortname]], Comp[], 16, FALSE)</f>
        <v>0</v>
      </c>
      <c r="AL198">
        <f>VLOOKUP(Table29[[#This Row],[Shortname]], Comp[], 17, FALSE)</f>
        <v>0</v>
      </c>
      <c r="AM198">
        <f>VLOOKUP(Table29[[#This Row],[Shortname]], Comp[], 18, FALSE)</f>
        <v>0</v>
      </c>
      <c r="AN198">
        <f>VLOOKUP(Table29[[#This Row],[Shortname]], Comp[], 19, FALSE)</f>
        <v>0</v>
      </c>
      <c r="AO198">
        <f>VLOOKUP(Table29[[#This Row],[Shortname]], Comp[], 20, FALSE)</f>
        <v>0</v>
      </c>
      <c r="AP198">
        <f>VLOOKUP(Table29[[#This Row],[Shortname]], Comp[], 21, FALSE)</f>
        <v>1.4</v>
      </c>
      <c r="AQ198">
        <f>VLOOKUP(Table29[[#This Row],[Shortname]], Comp[], 22, FALSE)</f>
        <v>0</v>
      </c>
      <c r="AR198">
        <f>VLOOKUP(Table29[[#This Row],[Shortname]], Comp[], 23, FALSE)</f>
        <v>0</v>
      </c>
      <c r="AS198">
        <f>VLOOKUP(Table29[[#This Row],[Shortname]], Comp[], 24, FALSE)</f>
        <v>0</v>
      </c>
      <c r="AT198">
        <f>VLOOKUP(Table29[[#This Row],[Shortname]], Comp[], 25, FALSE)</f>
        <v>0</v>
      </c>
      <c r="AU198">
        <f>VLOOKUP(Table29[[#This Row],[Shortname]], Comp[], 26, FALSE)</f>
        <v>0</v>
      </c>
      <c r="AV198">
        <f>VLOOKUP(Table29[[#This Row],[Shortname]], Comp[], 27, FALSE)</f>
        <v>0</v>
      </c>
      <c r="AW198">
        <f>VLOOKUP(Table29[[#This Row],[Shortname]], Comp[], 28, FALSE)</f>
        <v>0</v>
      </c>
      <c r="AX198">
        <f>VLOOKUP(Table29[[#This Row],[Shortname]], Comp[], 29, FALSE)</f>
        <v>0</v>
      </c>
      <c r="AY198">
        <f>VLOOKUP(Table29[[#This Row],[Shortname]], Comp[], 30, FALSE)</f>
        <v>0</v>
      </c>
      <c r="AZ198">
        <f>VLOOKUP(Table29[[#This Row],[Shortname]], Comp[], 31, FALSE)</f>
        <v>0</v>
      </c>
    </row>
    <row r="199" spans="1:52" x14ac:dyDescent="0.3">
      <c r="A199" t="s">
        <v>1868</v>
      </c>
      <c r="B199">
        <v>188</v>
      </c>
      <c r="C199">
        <v>241</v>
      </c>
      <c r="D199" t="s">
        <v>1869</v>
      </c>
      <c r="E199" t="s">
        <v>160</v>
      </c>
      <c r="F199" t="s">
        <v>1878</v>
      </c>
      <c r="G199" t="s">
        <v>1871</v>
      </c>
      <c r="H199">
        <v>125</v>
      </c>
      <c r="I199">
        <v>3.3200000000000001E-5</v>
      </c>
      <c r="J199">
        <f>0.01/Table29[[#This Row],[Strain Rate (min) /s]]</f>
        <v>301.20481927710841</v>
      </c>
      <c r="K199">
        <f>LOG(Table29[[#This Row],[Time to 1% strain (s)]])</f>
        <v>2.4788619162959638</v>
      </c>
      <c r="L199">
        <v>1050</v>
      </c>
      <c r="P199" t="s">
        <v>7102</v>
      </c>
      <c r="Q199">
        <v>1280</v>
      </c>
      <c r="R199">
        <v>8</v>
      </c>
      <c r="S199">
        <v>1050</v>
      </c>
      <c r="T199">
        <v>5</v>
      </c>
      <c r="U199">
        <v>900</v>
      </c>
      <c r="V199">
        <v>16</v>
      </c>
      <c r="W199">
        <v>1</v>
      </c>
      <c r="X199">
        <v>10</v>
      </c>
      <c r="Y199">
        <v>61</v>
      </c>
      <c r="AA199">
        <f>VLOOKUP(Table29[[#This Row],[Shortname]], Comp[], 6, FALSE)</f>
        <v>241</v>
      </c>
      <c r="AB199" s="14">
        <f>VLOOKUP(Table29[[#This Row],[Shortname]], Comp[], 7, FALSE)</f>
        <v>60.4</v>
      </c>
      <c r="AC199">
        <f>VLOOKUP(Table29[[#This Row],[Shortname]], Comp[], 8, FALSE)</f>
        <v>20.100000000000001</v>
      </c>
      <c r="AD199">
        <f>VLOOKUP(Table29[[#This Row],[Shortname]], Comp[], 9, FALSE)</f>
        <v>8.6999999999999993</v>
      </c>
      <c r="AE199">
        <f>VLOOKUP(Table29[[#This Row],[Shortname]], Comp[], 10, FALSE)</f>
        <v>0</v>
      </c>
      <c r="AF199">
        <f>VLOOKUP(Table29[[#This Row],[Shortname]], Comp[], 11, FALSE)</f>
        <v>7.3</v>
      </c>
      <c r="AG199">
        <f>VLOOKUP(Table29[[#This Row],[Shortname]], Comp[],12, FALSE)</f>
        <v>2</v>
      </c>
      <c r="AH199">
        <f>VLOOKUP(Table29[[#This Row],[Shortname]], Comp[], 13, FALSE)</f>
        <v>1.5</v>
      </c>
      <c r="AI199">
        <f>VLOOKUP(Table29[[#This Row],[Shortname]], Comp[], 14, FALSE)</f>
        <v>0</v>
      </c>
      <c r="AJ199">
        <f>VLOOKUP(Table29[[#This Row],[Shortname]], Comp[], 15, FALSE)</f>
        <v>0</v>
      </c>
      <c r="AK199">
        <f>VLOOKUP(Table29[[#This Row],[Shortname]], Comp[], 16, FALSE)</f>
        <v>0</v>
      </c>
      <c r="AL199">
        <f>VLOOKUP(Table29[[#This Row],[Shortname]], Comp[], 17, FALSE)</f>
        <v>0</v>
      </c>
      <c r="AM199">
        <f>VLOOKUP(Table29[[#This Row],[Shortname]], Comp[], 18, FALSE)</f>
        <v>0</v>
      </c>
      <c r="AN199">
        <f>VLOOKUP(Table29[[#This Row],[Shortname]], Comp[], 19, FALSE)</f>
        <v>0</v>
      </c>
      <c r="AO199">
        <f>VLOOKUP(Table29[[#This Row],[Shortname]], Comp[], 20, FALSE)</f>
        <v>0</v>
      </c>
      <c r="AP199">
        <f>VLOOKUP(Table29[[#This Row],[Shortname]], Comp[], 21, FALSE)</f>
        <v>0</v>
      </c>
      <c r="AQ199">
        <f>VLOOKUP(Table29[[#This Row],[Shortname]], Comp[], 22, FALSE)</f>
        <v>0</v>
      </c>
      <c r="AR199">
        <f>VLOOKUP(Table29[[#This Row],[Shortname]], Comp[], 23, FALSE)</f>
        <v>0</v>
      </c>
      <c r="AS199">
        <f>VLOOKUP(Table29[[#This Row],[Shortname]], Comp[], 24, FALSE)</f>
        <v>0</v>
      </c>
      <c r="AT199">
        <f>VLOOKUP(Table29[[#This Row],[Shortname]], Comp[], 25, FALSE)</f>
        <v>0</v>
      </c>
      <c r="AU199">
        <f>VLOOKUP(Table29[[#This Row],[Shortname]], Comp[], 26, FALSE)</f>
        <v>0</v>
      </c>
      <c r="AV199">
        <f>VLOOKUP(Table29[[#This Row],[Shortname]], Comp[], 27, FALSE)</f>
        <v>0</v>
      </c>
      <c r="AW199">
        <f>VLOOKUP(Table29[[#This Row],[Shortname]], Comp[], 28, FALSE)</f>
        <v>0</v>
      </c>
      <c r="AX199">
        <f>VLOOKUP(Table29[[#This Row],[Shortname]], Comp[], 29, FALSE)</f>
        <v>0</v>
      </c>
      <c r="AY199">
        <f>VLOOKUP(Table29[[#This Row],[Shortname]], Comp[], 30, FALSE)</f>
        <v>0</v>
      </c>
      <c r="AZ199">
        <f>VLOOKUP(Table29[[#This Row],[Shortname]], Comp[], 31, FALSE)</f>
        <v>0</v>
      </c>
    </row>
    <row r="200" spans="1:52" x14ac:dyDescent="0.3">
      <c r="A200" t="s">
        <v>2118</v>
      </c>
      <c r="B200">
        <v>201</v>
      </c>
      <c r="C200">
        <v>278</v>
      </c>
      <c r="D200" t="s">
        <v>2119</v>
      </c>
      <c r="E200" t="s">
        <v>160</v>
      </c>
      <c r="F200" t="s">
        <v>4964</v>
      </c>
      <c r="G200" t="s">
        <v>4965</v>
      </c>
      <c r="H200">
        <v>137</v>
      </c>
      <c r="I200">
        <v>3E-9</v>
      </c>
      <c r="J200">
        <f>0.01/Table29[[#This Row],[Strain Rate (min) /s]]</f>
        <v>3333333.3333333335</v>
      </c>
      <c r="K200">
        <f>LOG(Table29[[#This Row],[Time to 1% strain (s)]])</f>
        <v>6.5228787452803374</v>
      </c>
      <c r="L200">
        <v>1000</v>
      </c>
      <c r="O200">
        <v>19.600000000000001</v>
      </c>
      <c r="P200" t="s">
        <v>7103</v>
      </c>
      <c r="Q200">
        <v>1270</v>
      </c>
      <c r="R200">
        <v>24</v>
      </c>
      <c r="S200">
        <v>900</v>
      </c>
      <c r="T200">
        <v>50</v>
      </c>
      <c r="W200">
        <v>-1</v>
      </c>
      <c r="X200">
        <v>1</v>
      </c>
      <c r="Y200">
        <v>79.099999999999994</v>
      </c>
      <c r="Z200" t="s">
        <v>6855</v>
      </c>
      <c r="AA200">
        <f>VLOOKUP(Table29[[#This Row],[Shortname]], Comp[], 6, FALSE)</f>
        <v>278</v>
      </c>
      <c r="AB200" s="14">
        <f>VLOOKUP(Table29[[#This Row],[Shortname]], Comp[], 7, FALSE)</f>
        <v>80</v>
      </c>
      <c r="AC200">
        <f>VLOOKUP(Table29[[#This Row],[Shortname]], Comp[], 8, FALSE)</f>
        <v>0</v>
      </c>
      <c r="AD200">
        <f>VLOOKUP(Table29[[#This Row],[Shortname]], Comp[], 9, FALSE)</f>
        <v>7</v>
      </c>
      <c r="AE200">
        <f>VLOOKUP(Table29[[#This Row],[Shortname]], Comp[], 10, FALSE)</f>
        <v>0</v>
      </c>
      <c r="AF200">
        <f>VLOOKUP(Table29[[#This Row],[Shortname]], Comp[], 11, FALSE)</f>
        <v>8</v>
      </c>
      <c r="AG200">
        <f>VLOOKUP(Table29[[#This Row],[Shortname]], Comp[],12, FALSE)</f>
        <v>4</v>
      </c>
      <c r="AH200">
        <f>VLOOKUP(Table29[[#This Row],[Shortname]], Comp[], 13, FALSE)</f>
        <v>1</v>
      </c>
      <c r="AI200">
        <f>VLOOKUP(Table29[[#This Row],[Shortname]], Comp[], 14, FALSE)</f>
        <v>0</v>
      </c>
      <c r="AJ200">
        <f>VLOOKUP(Table29[[#This Row],[Shortname]], Comp[], 15, FALSE)</f>
        <v>0</v>
      </c>
      <c r="AK200">
        <f>VLOOKUP(Table29[[#This Row],[Shortname]], Comp[], 16, FALSE)</f>
        <v>0</v>
      </c>
      <c r="AL200">
        <f>VLOOKUP(Table29[[#This Row],[Shortname]], Comp[], 17, FALSE)</f>
        <v>0</v>
      </c>
      <c r="AM200">
        <f>VLOOKUP(Table29[[#This Row],[Shortname]], Comp[], 18, FALSE)</f>
        <v>0</v>
      </c>
      <c r="AN200">
        <f>VLOOKUP(Table29[[#This Row],[Shortname]], Comp[], 19, FALSE)</f>
        <v>0</v>
      </c>
      <c r="AO200">
        <f>VLOOKUP(Table29[[#This Row],[Shortname]], Comp[], 20, FALSE)</f>
        <v>0</v>
      </c>
      <c r="AP200">
        <f>VLOOKUP(Table29[[#This Row],[Shortname]], Comp[], 21, FALSE)</f>
        <v>0</v>
      </c>
      <c r="AQ200">
        <f>VLOOKUP(Table29[[#This Row],[Shortname]], Comp[], 22, FALSE)</f>
        <v>0</v>
      </c>
      <c r="AR200">
        <f>VLOOKUP(Table29[[#This Row],[Shortname]], Comp[], 23, FALSE)</f>
        <v>0</v>
      </c>
      <c r="AS200">
        <f>VLOOKUP(Table29[[#This Row],[Shortname]], Comp[], 24, FALSE)</f>
        <v>0</v>
      </c>
      <c r="AT200">
        <f>VLOOKUP(Table29[[#This Row],[Shortname]], Comp[], 25, FALSE)</f>
        <v>0</v>
      </c>
      <c r="AU200">
        <f>VLOOKUP(Table29[[#This Row],[Shortname]], Comp[], 26, FALSE)</f>
        <v>0</v>
      </c>
      <c r="AV200">
        <f>VLOOKUP(Table29[[#This Row],[Shortname]], Comp[], 27, FALSE)</f>
        <v>0</v>
      </c>
      <c r="AW200">
        <f>VLOOKUP(Table29[[#This Row],[Shortname]], Comp[], 28, FALSE)</f>
        <v>0</v>
      </c>
      <c r="AX200">
        <f>VLOOKUP(Table29[[#This Row],[Shortname]], Comp[], 29, FALSE)</f>
        <v>0</v>
      </c>
      <c r="AY200">
        <f>VLOOKUP(Table29[[#This Row],[Shortname]], Comp[], 30, FALSE)</f>
        <v>0</v>
      </c>
      <c r="AZ200">
        <f>VLOOKUP(Table29[[#This Row],[Shortname]], Comp[], 31, FALSE)</f>
        <v>0</v>
      </c>
    </row>
    <row r="201" spans="1:52" x14ac:dyDescent="0.3">
      <c r="A201" t="s">
        <v>2200</v>
      </c>
      <c r="B201">
        <v>189</v>
      </c>
      <c r="C201">
        <v>290</v>
      </c>
      <c r="D201" t="s">
        <v>2201</v>
      </c>
      <c r="E201" t="s">
        <v>5</v>
      </c>
      <c r="F201" t="s">
        <v>2202</v>
      </c>
      <c r="G201" t="s">
        <v>2203</v>
      </c>
      <c r="H201">
        <v>115</v>
      </c>
      <c r="I201">
        <v>3.48E-9</v>
      </c>
      <c r="J201">
        <f>0.01/Table29[[#This Row],[Strain Rate (min) /s]]</f>
        <v>2873563.2183908047</v>
      </c>
      <c r="K201">
        <f>LOG(Table29[[#This Row],[Time to 1% strain (s)]])</f>
        <v>6.4584207560534193</v>
      </c>
      <c r="L201">
        <v>850</v>
      </c>
      <c r="M201">
        <v>6.5</v>
      </c>
      <c r="P201" t="s">
        <v>7104</v>
      </c>
      <c r="Q201">
        <v>1300</v>
      </c>
      <c r="R201">
        <v>20</v>
      </c>
      <c r="S201">
        <v>900</v>
      </c>
      <c r="T201">
        <v>200</v>
      </c>
      <c r="W201">
        <v>1</v>
      </c>
      <c r="X201">
        <v>10</v>
      </c>
      <c r="Y201">
        <v>35</v>
      </c>
      <c r="Z201" t="s">
        <v>7105</v>
      </c>
      <c r="AA201">
        <f>VLOOKUP(Table29[[#This Row],[Shortname]], Comp[], 6, FALSE)</f>
        <v>290</v>
      </c>
      <c r="AB201" s="14">
        <f>VLOOKUP(Table29[[#This Row],[Shortname]], Comp[], 7, FALSE)</f>
        <v>53.1</v>
      </c>
      <c r="AC201">
        <f>VLOOKUP(Table29[[#This Row],[Shortname]], Comp[], 8, FALSE)</f>
        <v>30</v>
      </c>
      <c r="AD201">
        <f>VLOOKUP(Table29[[#This Row],[Shortname]], Comp[], 9, FALSE)</f>
        <v>9.9</v>
      </c>
      <c r="AE201">
        <f>VLOOKUP(Table29[[#This Row],[Shortname]], Comp[], 10, FALSE)</f>
        <v>0</v>
      </c>
      <c r="AF201">
        <f>VLOOKUP(Table29[[#This Row],[Shortname]], Comp[], 11, FALSE)</f>
        <v>0</v>
      </c>
      <c r="AG201">
        <f>VLOOKUP(Table29[[#This Row],[Shortname]], Comp[],12, FALSE)</f>
        <v>0</v>
      </c>
      <c r="AH201">
        <f>VLOOKUP(Table29[[#This Row],[Shortname]], Comp[], 13, FALSE)</f>
        <v>0</v>
      </c>
      <c r="AI201">
        <f>VLOOKUP(Table29[[#This Row],[Shortname]], Comp[], 14, FALSE)</f>
        <v>1.9</v>
      </c>
      <c r="AJ201">
        <f>VLOOKUP(Table29[[#This Row],[Shortname]], Comp[], 15, FALSE)</f>
        <v>0</v>
      </c>
      <c r="AK201">
        <f>VLOOKUP(Table29[[#This Row],[Shortname]], Comp[], 16, FALSE)</f>
        <v>5.0999999999999996</v>
      </c>
      <c r="AL201">
        <f>VLOOKUP(Table29[[#This Row],[Shortname]], Comp[], 17, FALSE)</f>
        <v>0</v>
      </c>
      <c r="AM201">
        <f>VLOOKUP(Table29[[#This Row],[Shortname]], Comp[], 18, FALSE)</f>
        <v>0</v>
      </c>
      <c r="AN201">
        <f>VLOOKUP(Table29[[#This Row],[Shortname]], Comp[], 19, FALSE)</f>
        <v>0</v>
      </c>
      <c r="AO201">
        <f>VLOOKUP(Table29[[#This Row],[Shortname]], Comp[], 20, FALSE)</f>
        <v>0</v>
      </c>
      <c r="AP201">
        <f>VLOOKUP(Table29[[#This Row],[Shortname]], Comp[], 21, FALSE)</f>
        <v>0</v>
      </c>
      <c r="AQ201">
        <f>VLOOKUP(Table29[[#This Row],[Shortname]], Comp[], 22, FALSE)</f>
        <v>0</v>
      </c>
      <c r="AR201">
        <f>VLOOKUP(Table29[[#This Row],[Shortname]], Comp[], 23, FALSE)</f>
        <v>0</v>
      </c>
      <c r="AS201">
        <f>VLOOKUP(Table29[[#This Row],[Shortname]], Comp[], 24, FALSE)</f>
        <v>0</v>
      </c>
      <c r="AT201">
        <f>VLOOKUP(Table29[[#This Row],[Shortname]], Comp[], 25, FALSE)</f>
        <v>0</v>
      </c>
      <c r="AU201">
        <f>VLOOKUP(Table29[[#This Row],[Shortname]], Comp[], 26, FALSE)</f>
        <v>0</v>
      </c>
      <c r="AV201">
        <f>VLOOKUP(Table29[[#This Row],[Shortname]], Comp[], 27, FALSE)</f>
        <v>0</v>
      </c>
      <c r="AW201">
        <f>VLOOKUP(Table29[[#This Row],[Shortname]], Comp[], 28, FALSE)</f>
        <v>0</v>
      </c>
      <c r="AX201">
        <f>VLOOKUP(Table29[[#This Row],[Shortname]], Comp[], 29, FALSE)</f>
        <v>0</v>
      </c>
      <c r="AY201">
        <f>VLOOKUP(Table29[[#This Row],[Shortname]], Comp[], 30, FALSE)</f>
        <v>0</v>
      </c>
      <c r="AZ201">
        <f>VLOOKUP(Table29[[#This Row],[Shortname]], Comp[], 31, FALSE)</f>
        <v>0</v>
      </c>
    </row>
    <row r="202" spans="1:52" x14ac:dyDescent="0.3">
      <c r="A202" t="s">
        <v>2200</v>
      </c>
      <c r="B202">
        <v>190</v>
      </c>
      <c r="C202">
        <v>290</v>
      </c>
      <c r="D202" t="s">
        <v>11</v>
      </c>
      <c r="E202" t="s">
        <v>5</v>
      </c>
      <c r="F202" t="s">
        <v>2202</v>
      </c>
      <c r="G202" t="s">
        <v>2203</v>
      </c>
      <c r="H202">
        <v>130</v>
      </c>
      <c r="I202">
        <v>4.2299999999999997E-9</v>
      </c>
      <c r="J202">
        <f>0.01/Table29[[#This Row],[Strain Rate (min) /s]]</f>
        <v>2364066.1938534281</v>
      </c>
      <c r="K202">
        <f>LOG(Table29[[#This Row],[Time to 1% strain (s)]])</f>
        <v>6.3736596326249577</v>
      </c>
      <c r="L202">
        <v>850</v>
      </c>
      <c r="M202">
        <v>6.5</v>
      </c>
      <c r="P202" t="s">
        <v>7104</v>
      </c>
      <c r="Q202">
        <v>1300</v>
      </c>
      <c r="R202">
        <v>20</v>
      </c>
      <c r="S202">
        <v>900</v>
      </c>
      <c r="T202">
        <v>200</v>
      </c>
      <c r="W202">
        <v>1</v>
      </c>
      <c r="X202">
        <v>10</v>
      </c>
      <c r="Y202">
        <v>35</v>
      </c>
      <c r="Z202" t="s">
        <v>7105</v>
      </c>
      <c r="AA202">
        <f>VLOOKUP(Table29[[#This Row],[Shortname]], Comp[], 6, FALSE)</f>
        <v>290</v>
      </c>
      <c r="AB202" s="14">
        <f>VLOOKUP(Table29[[#This Row],[Shortname]], Comp[], 7, FALSE)</f>
        <v>53.1</v>
      </c>
      <c r="AC202">
        <f>VLOOKUP(Table29[[#This Row],[Shortname]], Comp[], 8, FALSE)</f>
        <v>30</v>
      </c>
      <c r="AD202">
        <f>VLOOKUP(Table29[[#This Row],[Shortname]], Comp[], 9, FALSE)</f>
        <v>9.9</v>
      </c>
      <c r="AE202">
        <f>VLOOKUP(Table29[[#This Row],[Shortname]], Comp[], 10, FALSE)</f>
        <v>0</v>
      </c>
      <c r="AF202">
        <f>VLOOKUP(Table29[[#This Row],[Shortname]], Comp[], 11, FALSE)</f>
        <v>0</v>
      </c>
      <c r="AG202">
        <f>VLOOKUP(Table29[[#This Row],[Shortname]], Comp[],12, FALSE)</f>
        <v>0</v>
      </c>
      <c r="AH202">
        <f>VLOOKUP(Table29[[#This Row],[Shortname]], Comp[], 13, FALSE)</f>
        <v>0</v>
      </c>
      <c r="AI202">
        <f>VLOOKUP(Table29[[#This Row],[Shortname]], Comp[], 14, FALSE)</f>
        <v>1.9</v>
      </c>
      <c r="AJ202">
        <f>VLOOKUP(Table29[[#This Row],[Shortname]], Comp[], 15, FALSE)</f>
        <v>0</v>
      </c>
      <c r="AK202">
        <f>VLOOKUP(Table29[[#This Row],[Shortname]], Comp[], 16, FALSE)</f>
        <v>5.0999999999999996</v>
      </c>
      <c r="AL202">
        <f>VLOOKUP(Table29[[#This Row],[Shortname]], Comp[], 17, FALSE)</f>
        <v>0</v>
      </c>
      <c r="AM202">
        <f>VLOOKUP(Table29[[#This Row],[Shortname]], Comp[], 18, FALSE)</f>
        <v>0</v>
      </c>
      <c r="AN202">
        <f>VLOOKUP(Table29[[#This Row],[Shortname]], Comp[], 19, FALSE)</f>
        <v>0</v>
      </c>
      <c r="AO202">
        <f>VLOOKUP(Table29[[#This Row],[Shortname]], Comp[], 20, FALSE)</f>
        <v>0</v>
      </c>
      <c r="AP202">
        <f>VLOOKUP(Table29[[#This Row],[Shortname]], Comp[], 21, FALSE)</f>
        <v>0</v>
      </c>
      <c r="AQ202">
        <f>VLOOKUP(Table29[[#This Row],[Shortname]], Comp[], 22, FALSE)</f>
        <v>0</v>
      </c>
      <c r="AR202">
        <f>VLOOKUP(Table29[[#This Row],[Shortname]], Comp[], 23, FALSE)</f>
        <v>0</v>
      </c>
      <c r="AS202">
        <f>VLOOKUP(Table29[[#This Row],[Shortname]], Comp[], 24, FALSE)</f>
        <v>0</v>
      </c>
      <c r="AT202">
        <f>VLOOKUP(Table29[[#This Row],[Shortname]], Comp[], 25, FALSE)</f>
        <v>0</v>
      </c>
      <c r="AU202">
        <f>VLOOKUP(Table29[[#This Row],[Shortname]], Comp[], 26, FALSE)</f>
        <v>0</v>
      </c>
      <c r="AV202">
        <f>VLOOKUP(Table29[[#This Row],[Shortname]], Comp[], 27, FALSE)</f>
        <v>0</v>
      </c>
      <c r="AW202">
        <f>VLOOKUP(Table29[[#This Row],[Shortname]], Comp[], 28, FALSE)</f>
        <v>0</v>
      </c>
      <c r="AX202">
        <f>VLOOKUP(Table29[[#This Row],[Shortname]], Comp[], 29, FALSE)</f>
        <v>0</v>
      </c>
      <c r="AY202">
        <f>VLOOKUP(Table29[[#This Row],[Shortname]], Comp[], 30, FALSE)</f>
        <v>0</v>
      </c>
      <c r="AZ202">
        <f>VLOOKUP(Table29[[#This Row],[Shortname]], Comp[], 31, FALSE)</f>
        <v>0</v>
      </c>
    </row>
    <row r="203" spans="1:52" x14ac:dyDescent="0.3">
      <c r="A203" t="s">
        <v>2200</v>
      </c>
      <c r="B203">
        <v>191</v>
      </c>
      <c r="C203">
        <v>290</v>
      </c>
      <c r="D203" t="s">
        <v>11</v>
      </c>
      <c r="E203" t="s">
        <v>5</v>
      </c>
      <c r="F203" t="s">
        <v>2202</v>
      </c>
      <c r="G203" t="s">
        <v>2203</v>
      </c>
      <c r="H203">
        <v>150</v>
      </c>
      <c r="I203">
        <v>3.8899999999999998E-8</v>
      </c>
      <c r="J203">
        <f>0.01/Table29[[#This Row],[Strain Rate (min) /s]]</f>
        <v>257069.40874035991</v>
      </c>
      <c r="K203">
        <f>LOG(Table29[[#This Row],[Time to 1% strain (s)]])</f>
        <v>5.4100503986742927</v>
      </c>
      <c r="L203">
        <v>850</v>
      </c>
      <c r="M203">
        <v>7.9</v>
      </c>
      <c r="P203" t="s">
        <v>7106</v>
      </c>
      <c r="Q203">
        <v>1300</v>
      </c>
      <c r="R203">
        <v>20</v>
      </c>
      <c r="S203">
        <v>900</v>
      </c>
      <c r="T203">
        <v>200</v>
      </c>
      <c r="W203">
        <v>1</v>
      </c>
      <c r="X203">
        <v>10</v>
      </c>
      <c r="Y203">
        <v>35</v>
      </c>
      <c r="Z203" t="s">
        <v>7105</v>
      </c>
      <c r="AA203">
        <f>VLOOKUP(Table29[[#This Row],[Shortname]], Comp[], 6, FALSE)</f>
        <v>290</v>
      </c>
      <c r="AB203" s="14">
        <f>VLOOKUP(Table29[[#This Row],[Shortname]], Comp[], 7, FALSE)</f>
        <v>53.1</v>
      </c>
      <c r="AC203">
        <f>VLOOKUP(Table29[[#This Row],[Shortname]], Comp[], 8, FALSE)</f>
        <v>30</v>
      </c>
      <c r="AD203">
        <f>VLOOKUP(Table29[[#This Row],[Shortname]], Comp[], 9, FALSE)</f>
        <v>9.9</v>
      </c>
      <c r="AE203">
        <f>VLOOKUP(Table29[[#This Row],[Shortname]], Comp[], 10, FALSE)</f>
        <v>0</v>
      </c>
      <c r="AF203">
        <f>VLOOKUP(Table29[[#This Row],[Shortname]], Comp[], 11, FALSE)</f>
        <v>0</v>
      </c>
      <c r="AG203">
        <f>VLOOKUP(Table29[[#This Row],[Shortname]], Comp[],12, FALSE)</f>
        <v>0</v>
      </c>
      <c r="AH203">
        <f>VLOOKUP(Table29[[#This Row],[Shortname]], Comp[], 13, FALSE)</f>
        <v>0</v>
      </c>
      <c r="AI203">
        <f>VLOOKUP(Table29[[#This Row],[Shortname]], Comp[], 14, FALSE)</f>
        <v>1.9</v>
      </c>
      <c r="AJ203">
        <f>VLOOKUP(Table29[[#This Row],[Shortname]], Comp[], 15, FALSE)</f>
        <v>0</v>
      </c>
      <c r="AK203">
        <f>VLOOKUP(Table29[[#This Row],[Shortname]], Comp[], 16, FALSE)</f>
        <v>5.0999999999999996</v>
      </c>
      <c r="AL203">
        <f>VLOOKUP(Table29[[#This Row],[Shortname]], Comp[], 17, FALSE)</f>
        <v>0</v>
      </c>
      <c r="AM203">
        <f>VLOOKUP(Table29[[#This Row],[Shortname]], Comp[], 18, FALSE)</f>
        <v>0</v>
      </c>
      <c r="AN203">
        <f>VLOOKUP(Table29[[#This Row],[Shortname]], Comp[], 19, FALSE)</f>
        <v>0</v>
      </c>
      <c r="AO203">
        <f>VLOOKUP(Table29[[#This Row],[Shortname]], Comp[], 20, FALSE)</f>
        <v>0</v>
      </c>
      <c r="AP203">
        <f>VLOOKUP(Table29[[#This Row],[Shortname]], Comp[], 21, FALSE)</f>
        <v>0</v>
      </c>
      <c r="AQ203">
        <f>VLOOKUP(Table29[[#This Row],[Shortname]], Comp[], 22, FALSE)</f>
        <v>0</v>
      </c>
      <c r="AR203">
        <f>VLOOKUP(Table29[[#This Row],[Shortname]], Comp[], 23, FALSE)</f>
        <v>0</v>
      </c>
      <c r="AS203">
        <f>VLOOKUP(Table29[[#This Row],[Shortname]], Comp[], 24, FALSE)</f>
        <v>0</v>
      </c>
      <c r="AT203">
        <f>VLOOKUP(Table29[[#This Row],[Shortname]], Comp[], 25, FALSE)</f>
        <v>0</v>
      </c>
      <c r="AU203">
        <f>VLOOKUP(Table29[[#This Row],[Shortname]], Comp[], 26, FALSE)</f>
        <v>0</v>
      </c>
      <c r="AV203">
        <f>VLOOKUP(Table29[[#This Row],[Shortname]], Comp[], 27, FALSE)</f>
        <v>0</v>
      </c>
      <c r="AW203">
        <f>VLOOKUP(Table29[[#This Row],[Shortname]], Comp[], 28, FALSE)</f>
        <v>0</v>
      </c>
      <c r="AX203">
        <f>VLOOKUP(Table29[[#This Row],[Shortname]], Comp[], 29, FALSE)</f>
        <v>0</v>
      </c>
      <c r="AY203">
        <f>VLOOKUP(Table29[[#This Row],[Shortname]], Comp[], 30, FALSE)</f>
        <v>0</v>
      </c>
      <c r="AZ203">
        <f>VLOOKUP(Table29[[#This Row],[Shortname]], Comp[], 31, FALSE)</f>
        <v>0</v>
      </c>
    </row>
    <row r="204" spans="1:52" x14ac:dyDescent="0.3">
      <c r="A204" t="s">
        <v>2200</v>
      </c>
      <c r="B204">
        <v>192</v>
      </c>
      <c r="C204">
        <v>290</v>
      </c>
      <c r="D204" t="s">
        <v>11</v>
      </c>
      <c r="E204" t="s">
        <v>5</v>
      </c>
      <c r="F204" t="s">
        <v>2202</v>
      </c>
      <c r="G204" t="s">
        <v>2203</v>
      </c>
      <c r="H204">
        <v>165</v>
      </c>
      <c r="I204">
        <v>1.7900000000000001E-8</v>
      </c>
      <c r="J204">
        <f>0.01/Table29[[#This Row],[Strain Rate (min) /s]]</f>
        <v>558659.21787709498</v>
      </c>
      <c r="K204">
        <f>LOG(Table29[[#This Row],[Time to 1% strain (s)]])</f>
        <v>5.7471469690201067</v>
      </c>
      <c r="L204">
        <v>850</v>
      </c>
      <c r="M204">
        <v>6.5</v>
      </c>
      <c r="P204" t="s">
        <v>7104</v>
      </c>
      <c r="Q204">
        <v>1300</v>
      </c>
      <c r="R204">
        <v>20</v>
      </c>
      <c r="S204">
        <v>900</v>
      </c>
      <c r="T204">
        <v>200</v>
      </c>
      <c r="W204">
        <v>1</v>
      </c>
      <c r="X204">
        <v>10</v>
      </c>
      <c r="Y204">
        <v>35</v>
      </c>
      <c r="Z204" t="s">
        <v>7105</v>
      </c>
      <c r="AA204">
        <f>VLOOKUP(Table29[[#This Row],[Shortname]], Comp[], 6, FALSE)</f>
        <v>290</v>
      </c>
      <c r="AB204" s="14">
        <f>VLOOKUP(Table29[[#This Row],[Shortname]], Comp[], 7, FALSE)</f>
        <v>53.1</v>
      </c>
      <c r="AC204">
        <f>VLOOKUP(Table29[[#This Row],[Shortname]], Comp[], 8, FALSE)</f>
        <v>30</v>
      </c>
      <c r="AD204">
        <f>VLOOKUP(Table29[[#This Row],[Shortname]], Comp[], 9, FALSE)</f>
        <v>9.9</v>
      </c>
      <c r="AE204">
        <f>VLOOKUP(Table29[[#This Row],[Shortname]], Comp[], 10, FALSE)</f>
        <v>0</v>
      </c>
      <c r="AF204">
        <f>VLOOKUP(Table29[[#This Row],[Shortname]], Comp[], 11, FALSE)</f>
        <v>0</v>
      </c>
      <c r="AG204">
        <f>VLOOKUP(Table29[[#This Row],[Shortname]], Comp[],12, FALSE)</f>
        <v>0</v>
      </c>
      <c r="AH204">
        <f>VLOOKUP(Table29[[#This Row],[Shortname]], Comp[], 13, FALSE)</f>
        <v>0</v>
      </c>
      <c r="AI204">
        <f>VLOOKUP(Table29[[#This Row],[Shortname]], Comp[], 14, FALSE)</f>
        <v>1.9</v>
      </c>
      <c r="AJ204">
        <f>VLOOKUP(Table29[[#This Row],[Shortname]], Comp[], 15, FALSE)</f>
        <v>0</v>
      </c>
      <c r="AK204">
        <f>VLOOKUP(Table29[[#This Row],[Shortname]], Comp[], 16, FALSE)</f>
        <v>5.0999999999999996</v>
      </c>
      <c r="AL204">
        <f>VLOOKUP(Table29[[#This Row],[Shortname]], Comp[], 17, FALSE)</f>
        <v>0</v>
      </c>
      <c r="AM204">
        <f>VLOOKUP(Table29[[#This Row],[Shortname]], Comp[], 18, FALSE)</f>
        <v>0</v>
      </c>
      <c r="AN204">
        <f>VLOOKUP(Table29[[#This Row],[Shortname]], Comp[], 19, FALSE)</f>
        <v>0</v>
      </c>
      <c r="AO204">
        <f>VLOOKUP(Table29[[#This Row],[Shortname]], Comp[], 20, FALSE)</f>
        <v>0</v>
      </c>
      <c r="AP204">
        <f>VLOOKUP(Table29[[#This Row],[Shortname]], Comp[], 21, FALSE)</f>
        <v>0</v>
      </c>
      <c r="AQ204">
        <f>VLOOKUP(Table29[[#This Row],[Shortname]], Comp[], 22, FALSE)</f>
        <v>0</v>
      </c>
      <c r="AR204">
        <f>VLOOKUP(Table29[[#This Row],[Shortname]], Comp[], 23, FALSE)</f>
        <v>0</v>
      </c>
      <c r="AS204">
        <f>VLOOKUP(Table29[[#This Row],[Shortname]], Comp[], 24, FALSE)</f>
        <v>0</v>
      </c>
      <c r="AT204">
        <f>VLOOKUP(Table29[[#This Row],[Shortname]], Comp[], 25, FALSE)</f>
        <v>0</v>
      </c>
      <c r="AU204">
        <f>VLOOKUP(Table29[[#This Row],[Shortname]], Comp[], 26, FALSE)</f>
        <v>0</v>
      </c>
      <c r="AV204">
        <f>VLOOKUP(Table29[[#This Row],[Shortname]], Comp[], 27, FALSE)</f>
        <v>0</v>
      </c>
      <c r="AW204">
        <f>VLOOKUP(Table29[[#This Row],[Shortname]], Comp[], 28, FALSE)</f>
        <v>0</v>
      </c>
      <c r="AX204">
        <f>VLOOKUP(Table29[[#This Row],[Shortname]], Comp[], 29, FALSE)</f>
        <v>0</v>
      </c>
      <c r="AY204">
        <f>VLOOKUP(Table29[[#This Row],[Shortname]], Comp[], 30, FALSE)</f>
        <v>0</v>
      </c>
      <c r="AZ204">
        <f>VLOOKUP(Table29[[#This Row],[Shortname]], Comp[], 31, FALSE)</f>
        <v>0</v>
      </c>
    </row>
    <row r="205" spans="1:52" x14ac:dyDescent="0.3">
      <c r="A205" t="s">
        <v>2200</v>
      </c>
      <c r="B205">
        <v>193</v>
      </c>
      <c r="C205">
        <v>290</v>
      </c>
      <c r="D205" t="s">
        <v>11</v>
      </c>
      <c r="E205" t="s">
        <v>5</v>
      </c>
      <c r="F205" t="s">
        <v>2202</v>
      </c>
      <c r="G205" t="s">
        <v>2203</v>
      </c>
      <c r="H205">
        <v>183</v>
      </c>
      <c r="I205">
        <v>1.09E-7</v>
      </c>
      <c r="J205">
        <f>0.01/Table29[[#This Row],[Strain Rate (min) /s]]</f>
        <v>91743.119266055044</v>
      </c>
      <c r="K205">
        <f>LOG(Table29[[#This Row],[Time to 1% strain (s)]])</f>
        <v>4.9625735020593762</v>
      </c>
      <c r="L205">
        <v>850</v>
      </c>
      <c r="M205">
        <v>7.9</v>
      </c>
      <c r="P205" t="s">
        <v>7106</v>
      </c>
      <c r="Q205">
        <v>1300</v>
      </c>
      <c r="R205">
        <v>20</v>
      </c>
      <c r="S205">
        <v>900</v>
      </c>
      <c r="T205">
        <v>200</v>
      </c>
      <c r="W205">
        <v>1</v>
      </c>
      <c r="X205">
        <v>10</v>
      </c>
      <c r="Y205">
        <v>35</v>
      </c>
      <c r="Z205" t="s">
        <v>7105</v>
      </c>
      <c r="AA205">
        <f>VLOOKUP(Table29[[#This Row],[Shortname]], Comp[], 6, FALSE)</f>
        <v>290</v>
      </c>
      <c r="AB205" s="14">
        <f>VLOOKUP(Table29[[#This Row],[Shortname]], Comp[], 7, FALSE)</f>
        <v>53.1</v>
      </c>
      <c r="AC205">
        <f>VLOOKUP(Table29[[#This Row],[Shortname]], Comp[], 8, FALSE)</f>
        <v>30</v>
      </c>
      <c r="AD205">
        <f>VLOOKUP(Table29[[#This Row],[Shortname]], Comp[], 9, FALSE)</f>
        <v>9.9</v>
      </c>
      <c r="AE205">
        <f>VLOOKUP(Table29[[#This Row],[Shortname]], Comp[], 10, FALSE)</f>
        <v>0</v>
      </c>
      <c r="AF205">
        <f>VLOOKUP(Table29[[#This Row],[Shortname]], Comp[], 11, FALSE)</f>
        <v>0</v>
      </c>
      <c r="AG205">
        <f>VLOOKUP(Table29[[#This Row],[Shortname]], Comp[],12, FALSE)</f>
        <v>0</v>
      </c>
      <c r="AH205">
        <f>VLOOKUP(Table29[[#This Row],[Shortname]], Comp[], 13, FALSE)</f>
        <v>0</v>
      </c>
      <c r="AI205">
        <f>VLOOKUP(Table29[[#This Row],[Shortname]], Comp[], 14, FALSE)</f>
        <v>1.9</v>
      </c>
      <c r="AJ205">
        <f>VLOOKUP(Table29[[#This Row],[Shortname]], Comp[], 15, FALSE)</f>
        <v>0</v>
      </c>
      <c r="AK205">
        <f>VLOOKUP(Table29[[#This Row],[Shortname]], Comp[], 16, FALSE)</f>
        <v>5.0999999999999996</v>
      </c>
      <c r="AL205">
        <f>VLOOKUP(Table29[[#This Row],[Shortname]], Comp[], 17, FALSE)</f>
        <v>0</v>
      </c>
      <c r="AM205">
        <f>VLOOKUP(Table29[[#This Row],[Shortname]], Comp[], 18, FALSE)</f>
        <v>0</v>
      </c>
      <c r="AN205">
        <f>VLOOKUP(Table29[[#This Row],[Shortname]], Comp[], 19, FALSE)</f>
        <v>0</v>
      </c>
      <c r="AO205">
        <f>VLOOKUP(Table29[[#This Row],[Shortname]], Comp[], 20, FALSE)</f>
        <v>0</v>
      </c>
      <c r="AP205">
        <f>VLOOKUP(Table29[[#This Row],[Shortname]], Comp[], 21, FALSE)</f>
        <v>0</v>
      </c>
      <c r="AQ205">
        <f>VLOOKUP(Table29[[#This Row],[Shortname]], Comp[], 22, FALSE)</f>
        <v>0</v>
      </c>
      <c r="AR205">
        <f>VLOOKUP(Table29[[#This Row],[Shortname]], Comp[], 23, FALSE)</f>
        <v>0</v>
      </c>
      <c r="AS205">
        <f>VLOOKUP(Table29[[#This Row],[Shortname]], Comp[], 24, FALSE)</f>
        <v>0</v>
      </c>
      <c r="AT205">
        <f>VLOOKUP(Table29[[#This Row],[Shortname]], Comp[], 25, FALSE)</f>
        <v>0</v>
      </c>
      <c r="AU205">
        <f>VLOOKUP(Table29[[#This Row],[Shortname]], Comp[], 26, FALSE)</f>
        <v>0</v>
      </c>
      <c r="AV205">
        <f>VLOOKUP(Table29[[#This Row],[Shortname]], Comp[], 27, FALSE)</f>
        <v>0</v>
      </c>
      <c r="AW205">
        <f>VLOOKUP(Table29[[#This Row],[Shortname]], Comp[], 28, FALSE)</f>
        <v>0</v>
      </c>
      <c r="AX205">
        <f>VLOOKUP(Table29[[#This Row],[Shortname]], Comp[], 29, FALSE)</f>
        <v>0</v>
      </c>
      <c r="AY205">
        <f>VLOOKUP(Table29[[#This Row],[Shortname]], Comp[], 30, FALSE)</f>
        <v>0</v>
      </c>
      <c r="AZ205">
        <f>VLOOKUP(Table29[[#This Row],[Shortname]], Comp[], 31, FALSE)</f>
        <v>0</v>
      </c>
    </row>
    <row r="206" spans="1:52" x14ac:dyDescent="0.3">
      <c r="A206" t="s">
        <v>2200</v>
      </c>
      <c r="B206">
        <v>194</v>
      </c>
      <c r="C206">
        <v>290</v>
      </c>
      <c r="D206" t="s">
        <v>11</v>
      </c>
      <c r="E206" t="s">
        <v>5</v>
      </c>
      <c r="F206" t="s">
        <v>2202</v>
      </c>
      <c r="G206" t="s">
        <v>2203</v>
      </c>
      <c r="H206">
        <v>210</v>
      </c>
      <c r="I206">
        <v>2.2999999999999999E-7</v>
      </c>
      <c r="J206">
        <f>0.01/Table29[[#This Row],[Strain Rate (min) /s]]</f>
        <v>43478.260869565216</v>
      </c>
      <c r="K206">
        <f>LOG(Table29[[#This Row],[Time to 1% strain (s)]])</f>
        <v>4.6382721639824069</v>
      </c>
      <c r="L206">
        <v>850</v>
      </c>
      <c r="M206">
        <v>7.9</v>
      </c>
      <c r="P206" t="s">
        <v>7106</v>
      </c>
      <c r="Q206">
        <v>1300</v>
      </c>
      <c r="R206">
        <v>20</v>
      </c>
      <c r="S206">
        <v>900</v>
      </c>
      <c r="T206">
        <v>200</v>
      </c>
      <c r="W206">
        <v>1</v>
      </c>
      <c r="X206">
        <v>10</v>
      </c>
      <c r="Y206">
        <v>35</v>
      </c>
      <c r="Z206" t="s">
        <v>7105</v>
      </c>
      <c r="AA206">
        <f>VLOOKUP(Table29[[#This Row],[Shortname]], Comp[], 6, FALSE)</f>
        <v>290</v>
      </c>
      <c r="AB206" s="14">
        <f>VLOOKUP(Table29[[#This Row],[Shortname]], Comp[], 7, FALSE)</f>
        <v>53.1</v>
      </c>
      <c r="AC206">
        <f>VLOOKUP(Table29[[#This Row],[Shortname]], Comp[], 8, FALSE)</f>
        <v>30</v>
      </c>
      <c r="AD206">
        <f>VLOOKUP(Table29[[#This Row],[Shortname]], Comp[], 9, FALSE)</f>
        <v>9.9</v>
      </c>
      <c r="AE206">
        <f>VLOOKUP(Table29[[#This Row],[Shortname]], Comp[], 10, FALSE)</f>
        <v>0</v>
      </c>
      <c r="AF206">
        <f>VLOOKUP(Table29[[#This Row],[Shortname]], Comp[], 11, FALSE)</f>
        <v>0</v>
      </c>
      <c r="AG206">
        <f>VLOOKUP(Table29[[#This Row],[Shortname]], Comp[],12, FALSE)</f>
        <v>0</v>
      </c>
      <c r="AH206">
        <f>VLOOKUP(Table29[[#This Row],[Shortname]], Comp[], 13, FALSE)</f>
        <v>0</v>
      </c>
      <c r="AI206">
        <f>VLOOKUP(Table29[[#This Row],[Shortname]], Comp[], 14, FALSE)</f>
        <v>1.9</v>
      </c>
      <c r="AJ206">
        <f>VLOOKUP(Table29[[#This Row],[Shortname]], Comp[], 15, FALSE)</f>
        <v>0</v>
      </c>
      <c r="AK206">
        <f>VLOOKUP(Table29[[#This Row],[Shortname]], Comp[], 16, FALSE)</f>
        <v>5.0999999999999996</v>
      </c>
      <c r="AL206">
        <f>VLOOKUP(Table29[[#This Row],[Shortname]], Comp[], 17, FALSE)</f>
        <v>0</v>
      </c>
      <c r="AM206">
        <f>VLOOKUP(Table29[[#This Row],[Shortname]], Comp[], 18, FALSE)</f>
        <v>0</v>
      </c>
      <c r="AN206">
        <f>VLOOKUP(Table29[[#This Row],[Shortname]], Comp[], 19, FALSE)</f>
        <v>0</v>
      </c>
      <c r="AO206">
        <f>VLOOKUP(Table29[[#This Row],[Shortname]], Comp[], 20, FALSE)</f>
        <v>0</v>
      </c>
      <c r="AP206">
        <f>VLOOKUP(Table29[[#This Row],[Shortname]], Comp[], 21, FALSE)</f>
        <v>0</v>
      </c>
      <c r="AQ206">
        <f>VLOOKUP(Table29[[#This Row],[Shortname]], Comp[], 22, FALSE)</f>
        <v>0</v>
      </c>
      <c r="AR206">
        <f>VLOOKUP(Table29[[#This Row],[Shortname]], Comp[], 23, FALSE)</f>
        <v>0</v>
      </c>
      <c r="AS206">
        <f>VLOOKUP(Table29[[#This Row],[Shortname]], Comp[], 24, FALSE)</f>
        <v>0</v>
      </c>
      <c r="AT206">
        <f>VLOOKUP(Table29[[#This Row],[Shortname]], Comp[], 25, FALSE)</f>
        <v>0</v>
      </c>
      <c r="AU206">
        <f>VLOOKUP(Table29[[#This Row],[Shortname]], Comp[], 26, FALSE)</f>
        <v>0</v>
      </c>
      <c r="AV206">
        <f>VLOOKUP(Table29[[#This Row],[Shortname]], Comp[], 27, FALSE)</f>
        <v>0</v>
      </c>
      <c r="AW206">
        <f>VLOOKUP(Table29[[#This Row],[Shortname]], Comp[], 28, FALSE)</f>
        <v>0</v>
      </c>
      <c r="AX206">
        <f>VLOOKUP(Table29[[#This Row],[Shortname]], Comp[], 29, FALSE)</f>
        <v>0</v>
      </c>
      <c r="AY206">
        <f>VLOOKUP(Table29[[#This Row],[Shortname]], Comp[], 30, FALSE)</f>
        <v>0</v>
      </c>
      <c r="AZ206">
        <f>VLOOKUP(Table29[[#This Row],[Shortname]], Comp[], 31, FALSE)</f>
        <v>0</v>
      </c>
    </row>
    <row r="207" spans="1:52" x14ac:dyDescent="0.3">
      <c r="A207" t="s">
        <v>2200</v>
      </c>
      <c r="B207">
        <v>195</v>
      </c>
      <c r="C207">
        <v>290</v>
      </c>
      <c r="D207" t="s">
        <v>11</v>
      </c>
      <c r="E207" t="s">
        <v>5</v>
      </c>
      <c r="F207" t="s">
        <v>2202</v>
      </c>
      <c r="G207" t="s">
        <v>2203</v>
      </c>
      <c r="H207">
        <v>222</v>
      </c>
      <c r="I207">
        <v>1.03E-7</v>
      </c>
      <c r="J207">
        <f>0.01/Table29[[#This Row],[Strain Rate (min) /s]]</f>
        <v>97087.378640776704</v>
      </c>
      <c r="K207">
        <f>LOG(Table29[[#This Row],[Time to 1% strain (s)]])</f>
        <v>4.987162775294828</v>
      </c>
      <c r="L207">
        <v>850</v>
      </c>
      <c r="M207">
        <v>6.5</v>
      </c>
      <c r="P207" t="s">
        <v>7104</v>
      </c>
      <c r="Q207">
        <v>1300</v>
      </c>
      <c r="R207">
        <v>20</v>
      </c>
      <c r="S207">
        <v>900</v>
      </c>
      <c r="T207">
        <v>200</v>
      </c>
      <c r="W207">
        <v>1</v>
      </c>
      <c r="X207">
        <v>10</v>
      </c>
      <c r="Y207">
        <v>35</v>
      </c>
      <c r="Z207" t="s">
        <v>7105</v>
      </c>
      <c r="AA207">
        <f>VLOOKUP(Table29[[#This Row],[Shortname]], Comp[], 6, FALSE)</f>
        <v>290</v>
      </c>
      <c r="AB207" s="14">
        <f>VLOOKUP(Table29[[#This Row],[Shortname]], Comp[], 7, FALSE)</f>
        <v>53.1</v>
      </c>
      <c r="AC207">
        <f>VLOOKUP(Table29[[#This Row],[Shortname]], Comp[], 8, FALSE)</f>
        <v>30</v>
      </c>
      <c r="AD207">
        <f>VLOOKUP(Table29[[#This Row],[Shortname]], Comp[], 9, FALSE)</f>
        <v>9.9</v>
      </c>
      <c r="AE207">
        <f>VLOOKUP(Table29[[#This Row],[Shortname]], Comp[], 10, FALSE)</f>
        <v>0</v>
      </c>
      <c r="AF207">
        <f>VLOOKUP(Table29[[#This Row],[Shortname]], Comp[], 11, FALSE)</f>
        <v>0</v>
      </c>
      <c r="AG207">
        <f>VLOOKUP(Table29[[#This Row],[Shortname]], Comp[],12, FALSE)</f>
        <v>0</v>
      </c>
      <c r="AH207">
        <f>VLOOKUP(Table29[[#This Row],[Shortname]], Comp[], 13, FALSE)</f>
        <v>0</v>
      </c>
      <c r="AI207">
        <f>VLOOKUP(Table29[[#This Row],[Shortname]], Comp[], 14, FALSE)</f>
        <v>1.9</v>
      </c>
      <c r="AJ207">
        <f>VLOOKUP(Table29[[#This Row],[Shortname]], Comp[], 15, FALSE)</f>
        <v>0</v>
      </c>
      <c r="AK207">
        <f>VLOOKUP(Table29[[#This Row],[Shortname]], Comp[], 16, FALSE)</f>
        <v>5.0999999999999996</v>
      </c>
      <c r="AL207">
        <f>VLOOKUP(Table29[[#This Row],[Shortname]], Comp[], 17, FALSE)</f>
        <v>0</v>
      </c>
      <c r="AM207">
        <f>VLOOKUP(Table29[[#This Row],[Shortname]], Comp[], 18, FALSE)</f>
        <v>0</v>
      </c>
      <c r="AN207">
        <f>VLOOKUP(Table29[[#This Row],[Shortname]], Comp[], 19, FALSE)</f>
        <v>0</v>
      </c>
      <c r="AO207">
        <f>VLOOKUP(Table29[[#This Row],[Shortname]], Comp[], 20, FALSE)</f>
        <v>0</v>
      </c>
      <c r="AP207">
        <f>VLOOKUP(Table29[[#This Row],[Shortname]], Comp[], 21, FALSE)</f>
        <v>0</v>
      </c>
      <c r="AQ207">
        <f>VLOOKUP(Table29[[#This Row],[Shortname]], Comp[], 22, FALSE)</f>
        <v>0</v>
      </c>
      <c r="AR207">
        <f>VLOOKUP(Table29[[#This Row],[Shortname]], Comp[], 23, FALSE)</f>
        <v>0</v>
      </c>
      <c r="AS207">
        <f>VLOOKUP(Table29[[#This Row],[Shortname]], Comp[], 24, FALSE)</f>
        <v>0</v>
      </c>
      <c r="AT207">
        <f>VLOOKUP(Table29[[#This Row],[Shortname]], Comp[], 25, FALSE)</f>
        <v>0</v>
      </c>
      <c r="AU207">
        <f>VLOOKUP(Table29[[#This Row],[Shortname]], Comp[], 26, FALSE)</f>
        <v>0</v>
      </c>
      <c r="AV207">
        <f>VLOOKUP(Table29[[#This Row],[Shortname]], Comp[], 27, FALSE)</f>
        <v>0</v>
      </c>
      <c r="AW207">
        <f>VLOOKUP(Table29[[#This Row],[Shortname]], Comp[], 28, FALSE)</f>
        <v>0</v>
      </c>
      <c r="AX207">
        <f>VLOOKUP(Table29[[#This Row],[Shortname]], Comp[], 29, FALSE)</f>
        <v>0</v>
      </c>
      <c r="AY207">
        <f>VLOOKUP(Table29[[#This Row],[Shortname]], Comp[], 30, FALSE)</f>
        <v>0</v>
      </c>
      <c r="AZ207">
        <f>VLOOKUP(Table29[[#This Row],[Shortname]], Comp[], 31, FALSE)</f>
        <v>0</v>
      </c>
    </row>
    <row r="208" spans="1:52" x14ac:dyDescent="0.3">
      <c r="A208" t="s">
        <v>2200</v>
      </c>
      <c r="B208">
        <v>196</v>
      </c>
      <c r="C208">
        <v>290</v>
      </c>
      <c r="D208" t="s">
        <v>11</v>
      </c>
      <c r="E208" t="s">
        <v>5</v>
      </c>
      <c r="F208" t="s">
        <v>2202</v>
      </c>
      <c r="G208" t="s">
        <v>2203</v>
      </c>
      <c r="H208">
        <v>237</v>
      </c>
      <c r="I208">
        <v>1.7400000000000001E-6</v>
      </c>
      <c r="J208">
        <f>0.01/Table29[[#This Row],[Strain Rate (min) /s]]</f>
        <v>5747.1264367816093</v>
      </c>
      <c r="K208">
        <f>LOG(Table29[[#This Row],[Time to 1% strain (s)]])</f>
        <v>3.7594507517174005</v>
      </c>
      <c r="L208">
        <v>850</v>
      </c>
      <c r="M208">
        <v>7.9</v>
      </c>
      <c r="P208" t="s">
        <v>7106</v>
      </c>
      <c r="Q208">
        <v>1300</v>
      </c>
      <c r="R208">
        <v>20</v>
      </c>
      <c r="S208">
        <v>900</v>
      </c>
      <c r="T208">
        <v>200</v>
      </c>
      <c r="W208">
        <v>1</v>
      </c>
      <c r="X208">
        <v>10</v>
      </c>
      <c r="Y208">
        <v>35</v>
      </c>
      <c r="Z208" t="s">
        <v>7105</v>
      </c>
      <c r="AA208">
        <f>VLOOKUP(Table29[[#This Row],[Shortname]], Comp[], 6, FALSE)</f>
        <v>290</v>
      </c>
      <c r="AB208" s="14">
        <f>VLOOKUP(Table29[[#This Row],[Shortname]], Comp[], 7, FALSE)</f>
        <v>53.1</v>
      </c>
      <c r="AC208">
        <f>VLOOKUP(Table29[[#This Row],[Shortname]], Comp[], 8, FALSE)</f>
        <v>30</v>
      </c>
      <c r="AD208">
        <f>VLOOKUP(Table29[[#This Row],[Shortname]], Comp[], 9, FALSE)</f>
        <v>9.9</v>
      </c>
      <c r="AE208">
        <f>VLOOKUP(Table29[[#This Row],[Shortname]], Comp[], 10, FALSE)</f>
        <v>0</v>
      </c>
      <c r="AF208">
        <f>VLOOKUP(Table29[[#This Row],[Shortname]], Comp[], 11, FALSE)</f>
        <v>0</v>
      </c>
      <c r="AG208">
        <f>VLOOKUP(Table29[[#This Row],[Shortname]], Comp[],12, FALSE)</f>
        <v>0</v>
      </c>
      <c r="AH208">
        <f>VLOOKUP(Table29[[#This Row],[Shortname]], Comp[], 13, FALSE)</f>
        <v>0</v>
      </c>
      <c r="AI208">
        <f>VLOOKUP(Table29[[#This Row],[Shortname]], Comp[], 14, FALSE)</f>
        <v>1.9</v>
      </c>
      <c r="AJ208">
        <f>VLOOKUP(Table29[[#This Row],[Shortname]], Comp[], 15, FALSE)</f>
        <v>0</v>
      </c>
      <c r="AK208">
        <f>VLOOKUP(Table29[[#This Row],[Shortname]], Comp[], 16, FALSE)</f>
        <v>5.0999999999999996</v>
      </c>
      <c r="AL208">
        <f>VLOOKUP(Table29[[#This Row],[Shortname]], Comp[], 17, FALSE)</f>
        <v>0</v>
      </c>
      <c r="AM208">
        <f>VLOOKUP(Table29[[#This Row],[Shortname]], Comp[], 18, FALSE)</f>
        <v>0</v>
      </c>
      <c r="AN208">
        <f>VLOOKUP(Table29[[#This Row],[Shortname]], Comp[], 19, FALSE)</f>
        <v>0</v>
      </c>
      <c r="AO208">
        <f>VLOOKUP(Table29[[#This Row],[Shortname]], Comp[], 20, FALSE)</f>
        <v>0</v>
      </c>
      <c r="AP208">
        <f>VLOOKUP(Table29[[#This Row],[Shortname]], Comp[], 21, FALSE)</f>
        <v>0</v>
      </c>
      <c r="AQ208">
        <f>VLOOKUP(Table29[[#This Row],[Shortname]], Comp[], 22, FALSE)</f>
        <v>0</v>
      </c>
      <c r="AR208">
        <f>VLOOKUP(Table29[[#This Row],[Shortname]], Comp[], 23, FALSE)</f>
        <v>0</v>
      </c>
      <c r="AS208">
        <f>VLOOKUP(Table29[[#This Row],[Shortname]], Comp[], 24, FALSE)</f>
        <v>0</v>
      </c>
      <c r="AT208">
        <f>VLOOKUP(Table29[[#This Row],[Shortname]], Comp[], 25, FALSE)</f>
        <v>0</v>
      </c>
      <c r="AU208">
        <f>VLOOKUP(Table29[[#This Row],[Shortname]], Comp[], 26, FALSE)</f>
        <v>0</v>
      </c>
      <c r="AV208">
        <f>VLOOKUP(Table29[[#This Row],[Shortname]], Comp[], 27, FALSE)</f>
        <v>0</v>
      </c>
      <c r="AW208">
        <f>VLOOKUP(Table29[[#This Row],[Shortname]], Comp[], 28, FALSE)</f>
        <v>0</v>
      </c>
      <c r="AX208">
        <f>VLOOKUP(Table29[[#This Row],[Shortname]], Comp[], 29, FALSE)</f>
        <v>0</v>
      </c>
      <c r="AY208">
        <f>VLOOKUP(Table29[[#This Row],[Shortname]], Comp[], 30, FALSE)</f>
        <v>0</v>
      </c>
      <c r="AZ208">
        <f>VLOOKUP(Table29[[#This Row],[Shortname]], Comp[], 31, FALSE)</f>
        <v>0</v>
      </c>
    </row>
    <row r="209" spans="1:52" x14ac:dyDescent="0.3">
      <c r="A209" t="s">
        <v>2200</v>
      </c>
      <c r="B209">
        <v>197</v>
      </c>
      <c r="C209">
        <v>290</v>
      </c>
      <c r="D209" t="s">
        <v>11</v>
      </c>
      <c r="E209" t="s">
        <v>5</v>
      </c>
      <c r="F209" t="s">
        <v>2202</v>
      </c>
      <c r="G209" t="s">
        <v>2203</v>
      </c>
      <c r="H209">
        <v>250</v>
      </c>
      <c r="I209">
        <v>3.03E-7</v>
      </c>
      <c r="J209">
        <f>0.01/Table29[[#This Row],[Strain Rate (min) /s]]</f>
        <v>33003.300330033002</v>
      </c>
      <c r="K209">
        <f>LOG(Table29[[#This Row],[Time to 1% strain (s)]])</f>
        <v>4.5185573714976952</v>
      </c>
      <c r="L209">
        <v>850</v>
      </c>
      <c r="M209">
        <v>6.5</v>
      </c>
      <c r="P209" t="s">
        <v>7104</v>
      </c>
      <c r="Q209">
        <v>1300</v>
      </c>
      <c r="R209">
        <v>20</v>
      </c>
      <c r="S209">
        <v>900</v>
      </c>
      <c r="T209">
        <v>200</v>
      </c>
      <c r="W209">
        <v>1</v>
      </c>
      <c r="X209">
        <v>10</v>
      </c>
      <c r="Y209">
        <v>35</v>
      </c>
      <c r="Z209" t="s">
        <v>7105</v>
      </c>
      <c r="AA209">
        <f>VLOOKUP(Table29[[#This Row],[Shortname]], Comp[], 6, FALSE)</f>
        <v>290</v>
      </c>
      <c r="AB209" s="14">
        <f>VLOOKUP(Table29[[#This Row],[Shortname]], Comp[], 7, FALSE)</f>
        <v>53.1</v>
      </c>
      <c r="AC209">
        <f>VLOOKUP(Table29[[#This Row],[Shortname]], Comp[], 8, FALSE)</f>
        <v>30</v>
      </c>
      <c r="AD209">
        <f>VLOOKUP(Table29[[#This Row],[Shortname]], Comp[], 9, FALSE)</f>
        <v>9.9</v>
      </c>
      <c r="AE209">
        <f>VLOOKUP(Table29[[#This Row],[Shortname]], Comp[], 10, FALSE)</f>
        <v>0</v>
      </c>
      <c r="AF209">
        <f>VLOOKUP(Table29[[#This Row],[Shortname]], Comp[], 11, FALSE)</f>
        <v>0</v>
      </c>
      <c r="AG209">
        <f>VLOOKUP(Table29[[#This Row],[Shortname]], Comp[],12, FALSE)</f>
        <v>0</v>
      </c>
      <c r="AH209">
        <f>VLOOKUP(Table29[[#This Row],[Shortname]], Comp[], 13, FALSE)</f>
        <v>0</v>
      </c>
      <c r="AI209">
        <f>VLOOKUP(Table29[[#This Row],[Shortname]], Comp[], 14, FALSE)</f>
        <v>1.9</v>
      </c>
      <c r="AJ209">
        <f>VLOOKUP(Table29[[#This Row],[Shortname]], Comp[], 15, FALSE)</f>
        <v>0</v>
      </c>
      <c r="AK209">
        <f>VLOOKUP(Table29[[#This Row],[Shortname]], Comp[], 16, FALSE)</f>
        <v>5.0999999999999996</v>
      </c>
      <c r="AL209">
        <f>VLOOKUP(Table29[[#This Row],[Shortname]], Comp[], 17, FALSE)</f>
        <v>0</v>
      </c>
      <c r="AM209">
        <f>VLOOKUP(Table29[[#This Row],[Shortname]], Comp[], 18, FALSE)</f>
        <v>0</v>
      </c>
      <c r="AN209">
        <f>VLOOKUP(Table29[[#This Row],[Shortname]], Comp[], 19, FALSE)</f>
        <v>0</v>
      </c>
      <c r="AO209">
        <f>VLOOKUP(Table29[[#This Row],[Shortname]], Comp[], 20, FALSE)</f>
        <v>0</v>
      </c>
      <c r="AP209">
        <f>VLOOKUP(Table29[[#This Row],[Shortname]], Comp[], 21, FALSE)</f>
        <v>0</v>
      </c>
      <c r="AQ209">
        <f>VLOOKUP(Table29[[#This Row],[Shortname]], Comp[], 22, FALSE)</f>
        <v>0</v>
      </c>
      <c r="AR209">
        <f>VLOOKUP(Table29[[#This Row],[Shortname]], Comp[], 23, FALSE)</f>
        <v>0</v>
      </c>
      <c r="AS209">
        <f>VLOOKUP(Table29[[#This Row],[Shortname]], Comp[], 24, FALSE)</f>
        <v>0</v>
      </c>
      <c r="AT209">
        <f>VLOOKUP(Table29[[#This Row],[Shortname]], Comp[], 25, FALSE)</f>
        <v>0</v>
      </c>
      <c r="AU209">
        <f>VLOOKUP(Table29[[#This Row],[Shortname]], Comp[], 26, FALSE)</f>
        <v>0</v>
      </c>
      <c r="AV209">
        <f>VLOOKUP(Table29[[#This Row],[Shortname]], Comp[], 27, FALSE)</f>
        <v>0</v>
      </c>
      <c r="AW209">
        <f>VLOOKUP(Table29[[#This Row],[Shortname]], Comp[], 28, FALSE)</f>
        <v>0</v>
      </c>
      <c r="AX209">
        <f>VLOOKUP(Table29[[#This Row],[Shortname]], Comp[], 29, FALSE)</f>
        <v>0</v>
      </c>
      <c r="AY209">
        <f>VLOOKUP(Table29[[#This Row],[Shortname]], Comp[], 30, FALSE)</f>
        <v>0</v>
      </c>
      <c r="AZ209">
        <f>VLOOKUP(Table29[[#This Row],[Shortname]], Comp[], 31, FALSE)</f>
        <v>0</v>
      </c>
    </row>
    <row r="210" spans="1:52" x14ac:dyDescent="0.3">
      <c r="A210" t="s">
        <v>2200</v>
      </c>
      <c r="B210">
        <v>198</v>
      </c>
      <c r="C210">
        <v>290</v>
      </c>
      <c r="D210" t="s">
        <v>11</v>
      </c>
      <c r="E210" t="s">
        <v>5</v>
      </c>
      <c r="F210" t="s">
        <v>2202</v>
      </c>
      <c r="G210" t="s">
        <v>2203</v>
      </c>
      <c r="H210">
        <v>271</v>
      </c>
      <c r="I210">
        <v>5.7400000000000003E-7</v>
      </c>
      <c r="J210">
        <f>0.01/Table29[[#This Row],[Strain Rate (min) /s]]</f>
        <v>17421.602787456446</v>
      </c>
      <c r="K210">
        <f>LOG(Table29[[#This Row],[Time to 1% strain (s)]])</f>
        <v>4.2410881076020264</v>
      </c>
      <c r="L210">
        <v>850</v>
      </c>
      <c r="M210">
        <v>6.5</v>
      </c>
      <c r="P210" t="s">
        <v>7104</v>
      </c>
      <c r="Q210">
        <v>1300</v>
      </c>
      <c r="R210">
        <v>20</v>
      </c>
      <c r="S210">
        <v>900</v>
      </c>
      <c r="T210">
        <v>200</v>
      </c>
      <c r="W210">
        <v>1</v>
      </c>
      <c r="X210">
        <v>10</v>
      </c>
      <c r="Y210">
        <v>35</v>
      </c>
      <c r="Z210" t="s">
        <v>7105</v>
      </c>
      <c r="AA210">
        <f>VLOOKUP(Table29[[#This Row],[Shortname]], Comp[], 6, FALSE)</f>
        <v>290</v>
      </c>
      <c r="AB210" s="14">
        <f>VLOOKUP(Table29[[#This Row],[Shortname]], Comp[], 7, FALSE)</f>
        <v>53.1</v>
      </c>
      <c r="AC210">
        <f>VLOOKUP(Table29[[#This Row],[Shortname]], Comp[], 8, FALSE)</f>
        <v>30</v>
      </c>
      <c r="AD210">
        <f>VLOOKUP(Table29[[#This Row],[Shortname]], Comp[], 9, FALSE)</f>
        <v>9.9</v>
      </c>
      <c r="AE210">
        <f>VLOOKUP(Table29[[#This Row],[Shortname]], Comp[], 10, FALSE)</f>
        <v>0</v>
      </c>
      <c r="AF210">
        <f>VLOOKUP(Table29[[#This Row],[Shortname]], Comp[], 11, FALSE)</f>
        <v>0</v>
      </c>
      <c r="AG210">
        <f>VLOOKUP(Table29[[#This Row],[Shortname]], Comp[],12, FALSE)</f>
        <v>0</v>
      </c>
      <c r="AH210">
        <f>VLOOKUP(Table29[[#This Row],[Shortname]], Comp[], 13, FALSE)</f>
        <v>0</v>
      </c>
      <c r="AI210">
        <f>VLOOKUP(Table29[[#This Row],[Shortname]], Comp[], 14, FALSE)</f>
        <v>1.9</v>
      </c>
      <c r="AJ210">
        <f>VLOOKUP(Table29[[#This Row],[Shortname]], Comp[], 15, FALSE)</f>
        <v>0</v>
      </c>
      <c r="AK210">
        <f>VLOOKUP(Table29[[#This Row],[Shortname]], Comp[], 16, FALSE)</f>
        <v>5.0999999999999996</v>
      </c>
      <c r="AL210">
        <f>VLOOKUP(Table29[[#This Row],[Shortname]], Comp[], 17, FALSE)</f>
        <v>0</v>
      </c>
      <c r="AM210">
        <f>VLOOKUP(Table29[[#This Row],[Shortname]], Comp[], 18, FALSE)</f>
        <v>0</v>
      </c>
      <c r="AN210">
        <f>VLOOKUP(Table29[[#This Row],[Shortname]], Comp[], 19, FALSE)</f>
        <v>0</v>
      </c>
      <c r="AO210">
        <f>VLOOKUP(Table29[[#This Row],[Shortname]], Comp[], 20, FALSE)</f>
        <v>0</v>
      </c>
      <c r="AP210">
        <f>VLOOKUP(Table29[[#This Row],[Shortname]], Comp[], 21, FALSE)</f>
        <v>0</v>
      </c>
      <c r="AQ210">
        <f>VLOOKUP(Table29[[#This Row],[Shortname]], Comp[], 22, FALSE)</f>
        <v>0</v>
      </c>
      <c r="AR210">
        <f>VLOOKUP(Table29[[#This Row],[Shortname]], Comp[], 23, FALSE)</f>
        <v>0</v>
      </c>
      <c r="AS210">
        <f>VLOOKUP(Table29[[#This Row],[Shortname]], Comp[], 24, FALSE)</f>
        <v>0</v>
      </c>
      <c r="AT210">
        <f>VLOOKUP(Table29[[#This Row],[Shortname]], Comp[], 25, FALSE)</f>
        <v>0</v>
      </c>
      <c r="AU210">
        <f>VLOOKUP(Table29[[#This Row],[Shortname]], Comp[], 26, FALSE)</f>
        <v>0</v>
      </c>
      <c r="AV210">
        <f>VLOOKUP(Table29[[#This Row],[Shortname]], Comp[], 27, FALSE)</f>
        <v>0</v>
      </c>
      <c r="AW210">
        <f>VLOOKUP(Table29[[#This Row],[Shortname]], Comp[], 28, FALSE)</f>
        <v>0</v>
      </c>
      <c r="AX210">
        <f>VLOOKUP(Table29[[#This Row],[Shortname]], Comp[], 29, FALSE)</f>
        <v>0</v>
      </c>
      <c r="AY210">
        <f>VLOOKUP(Table29[[#This Row],[Shortname]], Comp[], 30, FALSE)</f>
        <v>0</v>
      </c>
      <c r="AZ210">
        <f>VLOOKUP(Table29[[#This Row],[Shortname]], Comp[], 31, FALSE)</f>
        <v>0</v>
      </c>
    </row>
    <row r="211" spans="1:52" x14ac:dyDescent="0.3">
      <c r="A211" t="s">
        <v>2200</v>
      </c>
      <c r="B211">
        <v>199</v>
      </c>
      <c r="C211">
        <v>290</v>
      </c>
      <c r="D211" t="s">
        <v>11</v>
      </c>
      <c r="E211" t="s">
        <v>5</v>
      </c>
      <c r="F211" t="s">
        <v>2202</v>
      </c>
      <c r="G211" t="s">
        <v>2203</v>
      </c>
      <c r="H211">
        <v>306</v>
      </c>
      <c r="I211">
        <v>2.1100000000000001E-6</v>
      </c>
      <c r="J211">
        <f>0.01/Table29[[#This Row],[Strain Rate (min) /s]]</f>
        <v>4739.336492890995</v>
      </c>
      <c r="K211">
        <f>LOG(Table29[[#This Row],[Time to 1% strain (s)]])</f>
        <v>3.6757175447023074</v>
      </c>
      <c r="L211">
        <v>850</v>
      </c>
      <c r="M211">
        <v>6.5</v>
      </c>
      <c r="P211" t="s">
        <v>7104</v>
      </c>
      <c r="Q211">
        <v>1300</v>
      </c>
      <c r="R211">
        <v>20</v>
      </c>
      <c r="S211">
        <v>900</v>
      </c>
      <c r="T211">
        <v>200</v>
      </c>
      <c r="W211">
        <v>1</v>
      </c>
      <c r="X211">
        <v>10</v>
      </c>
      <c r="Y211">
        <v>35</v>
      </c>
      <c r="Z211" t="s">
        <v>7105</v>
      </c>
      <c r="AA211">
        <f>VLOOKUP(Table29[[#This Row],[Shortname]], Comp[], 6, FALSE)</f>
        <v>290</v>
      </c>
      <c r="AB211" s="14">
        <f>VLOOKUP(Table29[[#This Row],[Shortname]], Comp[], 7, FALSE)</f>
        <v>53.1</v>
      </c>
      <c r="AC211">
        <f>VLOOKUP(Table29[[#This Row],[Shortname]], Comp[], 8, FALSE)</f>
        <v>30</v>
      </c>
      <c r="AD211">
        <f>VLOOKUP(Table29[[#This Row],[Shortname]], Comp[], 9, FALSE)</f>
        <v>9.9</v>
      </c>
      <c r="AE211">
        <f>VLOOKUP(Table29[[#This Row],[Shortname]], Comp[], 10, FALSE)</f>
        <v>0</v>
      </c>
      <c r="AF211">
        <f>VLOOKUP(Table29[[#This Row],[Shortname]], Comp[], 11, FALSE)</f>
        <v>0</v>
      </c>
      <c r="AG211">
        <f>VLOOKUP(Table29[[#This Row],[Shortname]], Comp[],12, FALSE)</f>
        <v>0</v>
      </c>
      <c r="AH211">
        <f>VLOOKUP(Table29[[#This Row],[Shortname]], Comp[], 13, FALSE)</f>
        <v>0</v>
      </c>
      <c r="AI211">
        <f>VLOOKUP(Table29[[#This Row],[Shortname]], Comp[], 14, FALSE)</f>
        <v>1.9</v>
      </c>
      <c r="AJ211">
        <f>VLOOKUP(Table29[[#This Row],[Shortname]], Comp[], 15, FALSE)</f>
        <v>0</v>
      </c>
      <c r="AK211">
        <f>VLOOKUP(Table29[[#This Row],[Shortname]], Comp[], 16, FALSE)</f>
        <v>5.0999999999999996</v>
      </c>
      <c r="AL211">
        <f>VLOOKUP(Table29[[#This Row],[Shortname]], Comp[], 17, FALSE)</f>
        <v>0</v>
      </c>
      <c r="AM211">
        <f>VLOOKUP(Table29[[#This Row],[Shortname]], Comp[], 18, FALSE)</f>
        <v>0</v>
      </c>
      <c r="AN211">
        <f>VLOOKUP(Table29[[#This Row],[Shortname]], Comp[], 19, FALSE)</f>
        <v>0</v>
      </c>
      <c r="AO211">
        <f>VLOOKUP(Table29[[#This Row],[Shortname]], Comp[], 20, FALSE)</f>
        <v>0</v>
      </c>
      <c r="AP211">
        <f>VLOOKUP(Table29[[#This Row],[Shortname]], Comp[], 21, FALSE)</f>
        <v>0</v>
      </c>
      <c r="AQ211">
        <f>VLOOKUP(Table29[[#This Row],[Shortname]], Comp[], 22, FALSE)</f>
        <v>0</v>
      </c>
      <c r="AR211">
        <f>VLOOKUP(Table29[[#This Row],[Shortname]], Comp[], 23, FALSE)</f>
        <v>0</v>
      </c>
      <c r="AS211">
        <f>VLOOKUP(Table29[[#This Row],[Shortname]], Comp[], 24, FALSE)</f>
        <v>0</v>
      </c>
      <c r="AT211">
        <f>VLOOKUP(Table29[[#This Row],[Shortname]], Comp[], 25, FALSE)</f>
        <v>0</v>
      </c>
      <c r="AU211">
        <f>VLOOKUP(Table29[[#This Row],[Shortname]], Comp[], 26, FALSE)</f>
        <v>0</v>
      </c>
      <c r="AV211">
        <f>VLOOKUP(Table29[[#This Row],[Shortname]], Comp[], 27, FALSE)</f>
        <v>0</v>
      </c>
      <c r="AW211">
        <f>VLOOKUP(Table29[[#This Row],[Shortname]], Comp[], 28, FALSE)</f>
        <v>0</v>
      </c>
      <c r="AX211">
        <f>VLOOKUP(Table29[[#This Row],[Shortname]], Comp[], 29, FALSE)</f>
        <v>0</v>
      </c>
      <c r="AY211">
        <f>VLOOKUP(Table29[[#This Row],[Shortname]], Comp[], 30, FALSE)</f>
        <v>0</v>
      </c>
      <c r="AZ211">
        <f>VLOOKUP(Table29[[#This Row],[Shortname]], Comp[], 31, FALSE)</f>
        <v>0</v>
      </c>
    </row>
    <row r="212" spans="1:52" x14ac:dyDescent="0.3">
      <c r="A212" t="s">
        <v>1735</v>
      </c>
      <c r="B212">
        <v>316</v>
      </c>
      <c r="C212">
        <v>222</v>
      </c>
      <c r="D212" t="s">
        <v>1349</v>
      </c>
      <c r="E212" t="s">
        <v>95</v>
      </c>
      <c r="F212" t="s">
        <v>2354</v>
      </c>
      <c r="G212" t="s">
        <v>7261</v>
      </c>
      <c r="H212">
        <v>345</v>
      </c>
      <c r="I212">
        <v>6.9999999999999998E-9</v>
      </c>
      <c r="J212">
        <f>0.01/Table29[[#This Row],[Strain Rate (min) /s]]</f>
        <v>1428571.4285714286</v>
      </c>
      <c r="K212">
        <f>LOG(Table29[[#This Row],[Time to 1% strain (s)]])</f>
        <v>6.1549019599857431</v>
      </c>
      <c r="L212">
        <v>900</v>
      </c>
      <c r="P212" t="s">
        <v>7107</v>
      </c>
      <c r="Q212">
        <v>1350</v>
      </c>
      <c r="R212">
        <v>12</v>
      </c>
      <c r="S212">
        <v>1000</v>
      </c>
      <c r="T212">
        <v>100</v>
      </c>
      <c r="W212">
        <v>-1</v>
      </c>
      <c r="X212">
        <v>1</v>
      </c>
      <c r="Y212">
        <v>70</v>
      </c>
      <c r="AA212">
        <f>VLOOKUP(Table29[[#This Row],[Shortname]], Comp[], 6, FALSE)</f>
        <v>222</v>
      </c>
      <c r="AB212" s="14">
        <f>VLOOKUP(Table29[[#This Row],[Shortname]], Comp[], 7, FALSE)</f>
        <v>79.400000000000006</v>
      </c>
      <c r="AC212">
        <f>VLOOKUP(Table29[[#This Row],[Shortname]], Comp[], 8, FALSE)</f>
        <v>0</v>
      </c>
      <c r="AD212">
        <f>VLOOKUP(Table29[[#This Row],[Shortname]], Comp[], 9, FALSE)</f>
        <v>8.8000000000000007</v>
      </c>
      <c r="AE212">
        <f>VLOOKUP(Table29[[#This Row],[Shortname]], Comp[], 10, FALSE)</f>
        <v>0</v>
      </c>
      <c r="AF212">
        <f>VLOOKUP(Table29[[#This Row],[Shortname]], Comp[], 11, FALSE)</f>
        <v>9.8000000000000007</v>
      </c>
      <c r="AG212">
        <f>VLOOKUP(Table29[[#This Row],[Shortname]], Comp[],12, FALSE)</f>
        <v>0</v>
      </c>
      <c r="AH212">
        <f>VLOOKUP(Table29[[#This Row],[Shortname]], Comp[], 13, FALSE)</f>
        <v>2</v>
      </c>
      <c r="AI212">
        <f>VLOOKUP(Table29[[#This Row],[Shortname]], Comp[], 14, FALSE)</f>
        <v>0</v>
      </c>
      <c r="AJ212">
        <f>VLOOKUP(Table29[[#This Row],[Shortname]], Comp[], 15, FALSE)</f>
        <v>0</v>
      </c>
      <c r="AK212">
        <f>VLOOKUP(Table29[[#This Row],[Shortname]], Comp[], 16, FALSE)</f>
        <v>0</v>
      </c>
      <c r="AL212">
        <f>VLOOKUP(Table29[[#This Row],[Shortname]], Comp[], 17, FALSE)</f>
        <v>0</v>
      </c>
      <c r="AM212">
        <f>VLOOKUP(Table29[[#This Row],[Shortname]], Comp[], 18, FALSE)</f>
        <v>0</v>
      </c>
      <c r="AN212">
        <f>VLOOKUP(Table29[[#This Row],[Shortname]], Comp[], 19, FALSE)</f>
        <v>0</v>
      </c>
      <c r="AO212">
        <f>VLOOKUP(Table29[[#This Row],[Shortname]], Comp[], 20, FALSE)</f>
        <v>0</v>
      </c>
      <c r="AP212">
        <f>VLOOKUP(Table29[[#This Row],[Shortname]], Comp[], 21, FALSE)</f>
        <v>0</v>
      </c>
      <c r="AQ212">
        <f>VLOOKUP(Table29[[#This Row],[Shortname]], Comp[], 22, FALSE)</f>
        <v>0</v>
      </c>
      <c r="AR212">
        <f>VLOOKUP(Table29[[#This Row],[Shortname]], Comp[], 23, FALSE)</f>
        <v>0</v>
      </c>
      <c r="AS212">
        <f>VLOOKUP(Table29[[#This Row],[Shortname]], Comp[], 24, FALSE)</f>
        <v>0</v>
      </c>
      <c r="AT212">
        <f>VLOOKUP(Table29[[#This Row],[Shortname]], Comp[], 25, FALSE)</f>
        <v>0</v>
      </c>
      <c r="AU212">
        <f>VLOOKUP(Table29[[#This Row],[Shortname]], Comp[], 26, FALSE)</f>
        <v>0</v>
      </c>
      <c r="AV212">
        <f>VLOOKUP(Table29[[#This Row],[Shortname]], Comp[], 27, FALSE)</f>
        <v>0</v>
      </c>
      <c r="AW212">
        <f>VLOOKUP(Table29[[#This Row],[Shortname]], Comp[], 28, FALSE)</f>
        <v>0</v>
      </c>
      <c r="AX212">
        <f>VLOOKUP(Table29[[#This Row],[Shortname]], Comp[], 29, FALSE)</f>
        <v>0</v>
      </c>
      <c r="AY212">
        <f>VLOOKUP(Table29[[#This Row],[Shortname]], Comp[], 30, FALSE)</f>
        <v>0</v>
      </c>
      <c r="AZ212">
        <f>VLOOKUP(Table29[[#This Row],[Shortname]], Comp[], 31, FALSE)</f>
        <v>0</v>
      </c>
    </row>
    <row r="213" spans="1:52" x14ac:dyDescent="0.3">
      <c r="A213" t="s">
        <v>1735</v>
      </c>
      <c r="B213">
        <v>317</v>
      </c>
      <c r="C213">
        <v>222</v>
      </c>
      <c r="D213" t="s">
        <v>11</v>
      </c>
      <c r="E213" t="s">
        <v>95</v>
      </c>
      <c r="F213" t="s">
        <v>2354</v>
      </c>
      <c r="G213" t="s">
        <v>7261</v>
      </c>
      <c r="H213">
        <v>310</v>
      </c>
      <c r="I213">
        <v>5.0000000000000001E-9</v>
      </c>
      <c r="J213">
        <f>0.01/Table29[[#This Row],[Strain Rate (min) /s]]</f>
        <v>2000000</v>
      </c>
      <c r="K213">
        <f>LOG(Table29[[#This Row],[Time to 1% strain (s)]])</f>
        <v>6.3010299956639813</v>
      </c>
      <c r="L213">
        <v>900</v>
      </c>
      <c r="P213" t="s">
        <v>7107</v>
      </c>
      <c r="Q213">
        <v>1350</v>
      </c>
      <c r="R213">
        <v>12</v>
      </c>
      <c r="S213">
        <v>1000</v>
      </c>
      <c r="T213">
        <v>100</v>
      </c>
      <c r="W213">
        <v>-1</v>
      </c>
      <c r="X213">
        <v>1</v>
      </c>
      <c r="Y213">
        <v>70</v>
      </c>
      <c r="AA213">
        <f>VLOOKUP(Table29[[#This Row],[Shortname]], Comp[], 6, FALSE)</f>
        <v>222</v>
      </c>
      <c r="AB213" s="14">
        <f>VLOOKUP(Table29[[#This Row],[Shortname]], Comp[], 7, FALSE)</f>
        <v>79.400000000000006</v>
      </c>
      <c r="AC213">
        <f>VLOOKUP(Table29[[#This Row],[Shortname]], Comp[], 8, FALSE)</f>
        <v>0</v>
      </c>
      <c r="AD213">
        <f>VLOOKUP(Table29[[#This Row],[Shortname]], Comp[], 9, FALSE)</f>
        <v>8.8000000000000007</v>
      </c>
      <c r="AE213">
        <f>VLOOKUP(Table29[[#This Row],[Shortname]], Comp[], 10, FALSE)</f>
        <v>0</v>
      </c>
      <c r="AF213">
        <f>VLOOKUP(Table29[[#This Row],[Shortname]], Comp[], 11, FALSE)</f>
        <v>9.8000000000000007</v>
      </c>
      <c r="AG213">
        <f>VLOOKUP(Table29[[#This Row],[Shortname]], Comp[],12, FALSE)</f>
        <v>0</v>
      </c>
      <c r="AH213">
        <f>VLOOKUP(Table29[[#This Row],[Shortname]], Comp[], 13, FALSE)</f>
        <v>2</v>
      </c>
      <c r="AI213">
        <f>VLOOKUP(Table29[[#This Row],[Shortname]], Comp[], 14, FALSE)</f>
        <v>0</v>
      </c>
      <c r="AJ213">
        <f>VLOOKUP(Table29[[#This Row],[Shortname]], Comp[], 15, FALSE)</f>
        <v>0</v>
      </c>
      <c r="AK213">
        <f>VLOOKUP(Table29[[#This Row],[Shortname]], Comp[], 16, FALSE)</f>
        <v>0</v>
      </c>
      <c r="AL213">
        <f>VLOOKUP(Table29[[#This Row],[Shortname]], Comp[], 17, FALSE)</f>
        <v>0</v>
      </c>
      <c r="AM213">
        <f>VLOOKUP(Table29[[#This Row],[Shortname]], Comp[], 18, FALSE)</f>
        <v>0</v>
      </c>
      <c r="AN213">
        <f>VLOOKUP(Table29[[#This Row],[Shortname]], Comp[], 19, FALSE)</f>
        <v>0</v>
      </c>
      <c r="AO213">
        <f>VLOOKUP(Table29[[#This Row],[Shortname]], Comp[], 20, FALSE)</f>
        <v>0</v>
      </c>
      <c r="AP213">
        <f>VLOOKUP(Table29[[#This Row],[Shortname]], Comp[], 21, FALSE)</f>
        <v>0</v>
      </c>
      <c r="AQ213">
        <f>VLOOKUP(Table29[[#This Row],[Shortname]], Comp[], 22, FALSE)</f>
        <v>0</v>
      </c>
      <c r="AR213">
        <f>VLOOKUP(Table29[[#This Row],[Shortname]], Comp[], 23, FALSE)</f>
        <v>0</v>
      </c>
      <c r="AS213">
        <f>VLOOKUP(Table29[[#This Row],[Shortname]], Comp[], 24, FALSE)</f>
        <v>0</v>
      </c>
      <c r="AT213">
        <f>VLOOKUP(Table29[[#This Row],[Shortname]], Comp[], 25, FALSE)</f>
        <v>0</v>
      </c>
      <c r="AU213">
        <f>VLOOKUP(Table29[[#This Row],[Shortname]], Comp[], 26, FALSE)</f>
        <v>0</v>
      </c>
      <c r="AV213">
        <f>VLOOKUP(Table29[[#This Row],[Shortname]], Comp[], 27, FALSE)</f>
        <v>0</v>
      </c>
      <c r="AW213">
        <f>VLOOKUP(Table29[[#This Row],[Shortname]], Comp[], 28, FALSE)</f>
        <v>0</v>
      </c>
      <c r="AX213">
        <f>VLOOKUP(Table29[[#This Row],[Shortname]], Comp[], 29, FALSE)</f>
        <v>0</v>
      </c>
      <c r="AY213">
        <f>VLOOKUP(Table29[[#This Row],[Shortname]], Comp[], 30, FALSE)</f>
        <v>0</v>
      </c>
      <c r="AZ213">
        <f>VLOOKUP(Table29[[#This Row],[Shortname]], Comp[], 31, FALSE)</f>
        <v>0</v>
      </c>
    </row>
    <row r="214" spans="1:52" x14ac:dyDescent="0.3">
      <c r="A214" t="s">
        <v>2524</v>
      </c>
      <c r="B214">
        <v>269</v>
      </c>
      <c r="C214">
        <v>334</v>
      </c>
      <c r="D214" t="s">
        <v>2525</v>
      </c>
      <c r="E214" t="s">
        <v>160</v>
      </c>
      <c r="F214" t="s">
        <v>2526</v>
      </c>
      <c r="G214" t="s">
        <v>3087</v>
      </c>
      <c r="H214">
        <v>248</v>
      </c>
      <c r="I214">
        <v>6.3E-7</v>
      </c>
      <c r="J214">
        <f>0.01/Table29[[#This Row],[Strain Rate (min) /s]]</f>
        <v>15873.015873015873</v>
      </c>
      <c r="K214">
        <f>LOG(Table29[[#This Row],[Time to 1% strain (s)]])</f>
        <v>4.2006594505464179</v>
      </c>
      <c r="L214">
        <v>950</v>
      </c>
      <c r="P214" t="s">
        <v>7108</v>
      </c>
      <c r="Q214">
        <v>1315</v>
      </c>
      <c r="R214">
        <v>48</v>
      </c>
      <c r="S214">
        <v>1000</v>
      </c>
      <c r="T214">
        <v>24</v>
      </c>
      <c r="W214">
        <v>-1</v>
      </c>
      <c r="X214">
        <v>1</v>
      </c>
      <c r="Y214">
        <v>83</v>
      </c>
      <c r="AA214">
        <f>VLOOKUP(Table29[[#This Row],[Shortname]], Comp[], 6, FALSE)</f>
        <v>334</v>
      </c>
      <c r="AB214" s="14">
        <f>VLOOKUP(Table29[[#This Row],[Shortname]], Comp[], 7, FALSE)</f>
        <v>79</v>
      </c>
      <c r="AC214">
        <f>VLOOKUP(Table29[[#This Row],[Shortname]], Comp[], 8, FALSE)</f>
        <v>0</v>
      </c>
      <c r="AD214">
        <f>VLOOKUP(Table29[[#This Row],[Shortname]], Comp[], 9, FALSE)</f>
        <v>10</v>
      </c>
      <c r="AE214">
        <f>VLOOKUP(Table29[[#This Row],[Shortname]], Comp[], 10, FALSE)</f>
        <v>0</v>
      </c>
      <c r="AF214">
        <f>VLOOKUP(Table29[[#This Row],[Shortname]], Comp[], 11, FALSE)</f>
        <v>8.4</v>
      </c>
      <c r="AG214">
        <f>VLOOKUP(Table29[[#This Row],[Shortname]], Comp[],12, FALSE)</f>
        <v>1.4</v>
      </c>
      <c r="AH214">
        <f>VLOOKUP(Table29[[#This Row],[Shortname]], Comp[], 13, FALSE)</f>
        <v>0</v>
      </c>
      <c r="AI214">
        <f>VLOOKUP(Table29[[#This Row],[Shortname]], Comp[], 14, FALSE)</f>
        <v>1.2</v>
      </c>
      <c r="AJ214">
        <f>VLOOKUP(Table29[[#This Row],[Shortname]], Comp[], 15, FALSE)</f>
        <v>0</v>
      </c>
      <c r="AK214">
        <f>VLOOKUP(Table29[[#This Row],[Shortname]], Comp[], 16, FALSE)</f>
        <v>0</v>
      </c>
      <c r="AL214">
        <f>VLOOKUP(Table29[[#This Row],[Shortname]], Comp[], 17, FALSE)</f>
        <v>0</v>
      </c>
      <c r="AM214">
        <f>VLOOKUP(Table29[[#This Row],[Shortname]], Comp[], 18, FALSE)</f>
        <v>0</v>
      </c>
      <c r="AN214">
        <f>VLOOKUP(Table29[[#This Row],[Shortname]], Comp[], 19, FALSE)</f>
        <v>0</v>
      </c>
      <c r="AO214">
        <f>VLOOKUP(Table29[[#This Row],[Shortname]], Comp[], 20, FALSE)</f>
        <v>0</v>
      </c>
      <c r="AP214">
        <f>VLOOKUP(Table29[[#This Row],[Shortname]], Comp[], 21, FALSE)</f>
        <v>0</v>
      </c>
      <c r="AQ214">
        <f>VLOOKUP(Table29[[#This Row],[Shortname]], Comp[], 22, FALSE)</f>
        <v>0</v>
      </c>
      <c r="AR214">
        <f>VLOOKUP(Table29[[#This Row],[Shortname]], Comp[], 23, FALSE)</f>
        <v>0</v>
      </c>
      <c r="AS214">
        <f>VLOOKUP(Table29[[#This Row],[Shortname]], Comp[], 24, FALSE)</f>
        <v>0</v>
      </c>
      <c r="AT214">
        <f>VLOOKUP(Table29[[#This Row],[Shortname]], Comp[], 25, FALSE)</f>
        <v>0</v>
      </c>
      <c r="AU214">
        <f>VLOOKUP(Table29[[#This Row],[Shortname]], Comp[], 26, FALSE)</f>
        <v>0</v>
      </c>
      <c r="AV214">
        <f>VLOOKUP(Table29[[#This Row],[Shortname]], Comp[], 27, FALSE)</f>
        <v>0</v>
      </c>
      <c r="AW214">
        <f>VLOOKUP(Table29[[#This Row],[Shortname]], Comp[], 28, FALSE)</f>
        <v>0</v>
      </c>
      <c r="AX214">
        <f>VLOOKUP(Table29[[#This Row],[Shortname]], Comp[], 29, FALSE)</f>
        <v>0</v>
      </c>
      <c r="AY214">
        <f>VLOOKUP(Table29[[#This Row],[Shortname]], Comp[], 30, FALSE)</f>
        <v>0</v>
      </c>
      <c r="AZ214">
        <f>VLOOKUP(Table29[[#This Row],[Shortname]], Comp[], 31, FALSE)</f>
        <v>0</v>
      </c>
    </row>
    <row r="215" spans="1:52" x14ac:dyDescent="0.3">
      <c r="A215" t="s">
        <v>2524</v>
      </c>
      <c r="B215">
        <v>270</v>
      </c>
      <c r="C215">
        <v>334</v>
      </c>
      <c r="D215" t="s">
        <v>11</v>
      </c>
      <c r="E215" t="s">
        <v>160</v>
      </c>
      <c r="F215" t="s">
        <v>2526</v>
      </c>
      <c r="G215" t="s">
        <v>3087</v>
      </c>
      <c r="H215">
        <v>275</v>
      </c>
      <c r="I215">
        <v>6.4000000000000002E-9</v>
      </c>
      <c r="J215">
        <f>0.01/Table29[[#This Row],[Strain Rate (min) /s]]</f>
        <v>1562500</v>
      </c>
      <c r="K215">
        <f>LOG(Table29[[#This Row],[Time to 1% strain (s)]])</f>
        <v>6.1938200260161125</v>
      </c>
      <c r="L215">
        <v>900</v>
      </c>
      <c r="P215" t="s">
        <v>7108</v>
      </c>
      <c r="Q215">
        <v>1315</v>
      </c>
      <c r="R215">
        <v>48</v>
      </c>
      <c r="S215">
        <v>1000</v>
      </c>
      <c r="T215">
        <v>24</v>
      </c>
      <c r="W215">
        <v>-1</v>
      </c>
      <c r="X215">
        <v>1</v>
      </c>
      <c r="Y215">
        <v>83</v>
      </c>
      <c r="AA215">
        <f>VLOOKUP(Table29[[#This Row],[Shortname]], Comp[], 6, FALSE)</f>
        <v>334</v>
      </c>
      <c r="AB215" s="14">
        <f>VLOOKUP(Table29[[#This Row],[Shortname]], Comp[], 7, FALSE)</f>
        <v>79</v>
      </c>
      <c r="AC215">
        <f>VLOOKUP(Table29[[#This Row],[Shortname]], Comp[], 8, FALSE)</f>
        <v>0</v>
      </c>
      <c r="AD215">
        <f>VLOOKUP(Table29[[#This Row],[Shortname]], Comp[], 9, FALSE)</f>
        <v>10</v>
      </c>
      <c r="AE215">
        <f>VLOOKUP(Table29[[#This Row],[Shortname]], Comp[], 10, FALSE)</f>
        <v>0</v>
      </c>
      <c r="AF215">
        <f>VLOOKUP(Table29[[#This Row],[Shortname]], Comp[], 11, FALSE)</f>
        <v>8.4</v>
      </c>
      <c r="AG215">
        <f>VLOOKUP(Table29[[#This Row],[Shortname]], Comp[],12, FALSE)</f>
        <v>1.4</v>
      </c>
      <c r="AH215">
        <f>VLOOKUP(Table29[[#This Row],[Shortname]], Comp[], 13, FALSE)</f>
        <v>0</v>
      </c>
      <c r="AI215">
        <f>VLOOKUP(Table29[[#This Row],[Shortname]], Comp[], 14, FALSE)</f>
        <v>1.2</v>
      </c>
      <c r="AJ215">
        <f>VLOOKUP(Table29[[#This Row],[Shortname]], Comp[], 15, FALSE)</f>
        <v>0</v>
      </c>
      <c r="AK215">
        <f>VLOOKUP(Table29[[#This Row],[Shortname]], Comp[], 16, FALSE)</f>
        <v>0</v>
      </c>
      <c r="AL215">
        <f>VLOOKUP(Table29[[#This Row],[Shortname]], Comp[], 17, FALSE)</f>
        <v>0</v>
      </c>
      <c r="AM215">
        <f>VLOOKUP(Table29[[#This Row],[Shortname]], Comp[], 18, FALSE)</f>
        <v>0</v>
      </c>
      <c r="AN215">
        <f>VLOOKUP(Table29[[#This Row],[Shortname]], Comp[], 19, FALSE)</f>
        <v>0</v>
      </c>
      <c r="AO215">
        <f>VLOOKUP(Table29[[#This Row],[Shortname]], Comp[], 20, FALSE)</f>
        <v>0</v>
      </c>
      <c r="AP215">
        <f>VLOOKUP(Table29[[#This Row],[Shortname]], Comp[], 21, FALSE)</f>
        <v>0</v>
      </c>
      <c r="AQ215">
        <f>VLOOKUP(Table29[[#This Row],[Shortname]], Comp[], 22, FALSE)</f>
        <v>0</v>
      </c>
      <c r="AR215">
        <f>VLOOKUP(Table29[[#This Row],[Shortname]], Comp[], 23, FALSE)</f>
        <v>0</v>
      </c>
      <c r="AS215">
        <f>VLOOKUP(Table29[[#This Row],[Shortname]], Comp[], 24, FALSE)</f>
        <v>0</v>
      </c>
      <c r="AT215">
        <f>VLOOKUP(Table29[[#This Row],[Shortname]], Comp[], 25, FALSE)</f>
        <v>0</v>
      </c>
      <c r="AU215">
        <f>VLOOKUP(Table29[[#This Row],[Shortname]], Comp[], 26, FALSE)</f>
        <v>0</v>
      </c>
      <c r="AV215">
        <f>VLOOKUP(Table29[[#This Row],[Shortname]], Comp[], 27, FALSE)</f>
        <v>0</v>
      </c>
      <c r="AW215">
        <f>VLOOKUP(Table29[[#This Row],[Shortname]], Comp[], 28, FALSE)</f>
        <v>0</v>
      </c>
      <c r="AX215">
        <f>VLOOKUP(Table29[[#This Row],[Shortname]], Comp[], 29, FALSE)</f>
        <v>0</v>
      </c>
      <c r="AY215">
        <f>VLOOKUP(Table29[[#This Row],[Shortname]], Comp[], 30, FALSE)</f>
        <v>0</v>
      </c>
      <c r="AZ215">
        <f>VLOOKUP(Table29[[#This Row],[Shortname]], Comp[], 31, FALSE)</f>
        <v>0</v>
      </c>
    </row>
    <row r="216" spans="1:52" x14ac:dyDescent="0.3">
      <c r="A216" t="s">
        <v>2532</v>
      </c>
      <c r="B216">
        <v>271</v>
      </c>
      <c r="C216">
        <v>335</v>
      </c>
      <c r="D216" t="s">
        <v>2533</v>
      </c>
      <c r="E216" t="s">
        <v>160</v>
      </c>
      <c r="F216" t="s">
        <v>2534</v>
      </c>
      <c r="G216" t="s">
        <v>3087</v>
      </c>
      <c r="H216">
        <v>248</v>
      </c>
      <c r="I216">
        <v>1.9000000000000001E-7</v>
      </c>
      <c r="J216">
        <f>0.01/Table29[[#This Row],[Strain Rate (min) /s]]</f>
        <v>52631.57894736842</v>
      </c>
      <c r="K216">
        <f>LOG(Table29[[#This Row],[Time to 1% strain (s)]])</f>
        <v>4.7212463990471711</v>
      </c>
      <c r="L216">
        <v>982</v>
      </c>
      <c r="P216" t="s">
        <v>7109</v>
      </c>
      <c r="Q216">
        <v>1340</v>
      </c>
      <c r="R216">
        <v>48</v>
      </c>
      <c r="S216">
        <v>1000</v>
      </c>
      <c r="T216">
        <v>24</v>
      </c>
      <c r="W216">
        <v>-1</v>
      </c>
      <c r="X216">
        <v>1</v>
      </c>
      <c r="Y216">
        <v>68</v>
      </c>
      <c r="AA216">
        <f>VLOOKUP(Table29[[#This Row],[Shortname]], Comp[], 6, FALSE)</f>
        <v>335</v>
      </c>
      <c r="AB216" s="14">
        <f>VLOOKUP(Table29[[#This Row],[Shortname]], Comp[], 7, FALSE)</f>
        <v>79.8</v>
      </c>
      <c r="AC216">
        <f>VLOOKUP(Table29[[#This Row],[Shortname]], Comp[], 8, FALSE)</f>
        <v>0</v>
      </c>
      <c r="AD216">
        <f>VLOOKUP(Table29[[#This Row],[Shortname]], Comp[], 9, FALSE)</f>
        <v>10.3</v>
      </c>
      <c r="AE216">
        <f>VLOOKUP(Table29[[#This Row],[Shortname]], Comp[], 10, FALSE)</f>
        <v>0</v>
      </c>
      <c r="AF216">
        <f>VLOOKUP(Table29[[#This Row],[Shortname]], Comp[], 11, FALSE)</f>
        <v>7.9</v>
      </c>
      <c r="AG216">
        <f>VLOOKUP(Table29[[#This Row],[Shortname]], Comp[],12, FALSE)</f>
        <v>0</v>
      </c>
      <c r="AH216">
        <f>VLOOKUP(Table29[[#This Row],[Shortname]], Comp[], 13, FALSE)</f>
        <v>1.1000000000000001</v>
      </c>
      <c r="AI216">
        <f>VLOOKUP(Table29[[#This Row],[Shortname]], Comp[], 14, FALSE)</f>
        <v>0.9</v>
      </c>
      <c r="AJ216">
        <f>VLOOKUP(Table29[[#This Row],[Shortname]], Comp[], 15, FALSE)</f>
        <v>0</v>
      </c>
      <c r="AK216">
        <f>VLOOKUP(Table29[[#This Row],[Shortname]], Comp[], 16, FALSE)</f>
        <v>0</v>
      </c>
      <c r="AL216">
        <f>VLOOKUP(Table29[[#This Row],[Shortname]], Comp[], 17, FALSE)</f>
        <v>0</v>
      </c>
      <c r="AM216">
        <f>VLOOKUP(Table29[[#This Row],[Shortname]], Comp[], 18, FALSE)</f>
        <v>0</v>
      </c>
      <c r="AN216">
        <f>VLOOKUP(Table29[[#This Row],[Shortname]], Comp[], 19, FALSE)</f>
        <v>0</v>
      </c>
      <c r="AO216">
        <f>VLOOKUP(Table29[[#This Row],[Shortname]], Comp[], 20, FALSE)</f>
        <v>0</v>
      </c>
      <c r="AP216">
        <f>VLOOKUP(Table29[[#This Row],[Shortname]], Comp[], 21, FALSE)</f>
        <v>0</v>
      </c>
      <c r="AQ216">
        <f>VLOOKUP(Table29[[#This Row],[Shortname]], Comp[], 22, FALSE)</f>
        <v>0</v>
      </c>
      <c r="AR216">
        <f>VLOOKUP(Table29[[#This Row],[Shortname]], Comp[], 23, FALSE)</f>
        <v>0</v>
      </c>
      <c r="AS216">
        <f>VLOOKUP(Table29[[#This Row],[Shortname]], Comp[], 24, FALSE)</f>
        <v>0</v>
      </c>
      <c r="AT216">
        <f>VLOOKUP(Table29[[#This Row],[Shortname]], Comp[], 25, FALSE)</f>
        <v>0</v>
      </c>
      <c r="AU216">
        <f>VLOOKUP(Table29[[#This Row],[Shortname]], Comp[], 26, FALSE)</f>
        <v>0</v>
      </c>
      <c r="AV216">
        <f>VLOOKUP(Table29[[#This Row],[Shortname]], Comp[], 27, FALSE)</f>
        <v>0</v>
      </c>
      <c r="AW216">
        <f>VLOOKUP(Table29[[#This Row],[Shortname]], Comp[], 28, FALSE)</f>
        <v>0</v>
      </c>
      <c r="AX216">
        <f>VLOOKUP(Table29[[#This Row],[Shortname]], Comp[], 29, FALSE)</f>
        <v>0</v>
      </c>
      <c r="AY216">
        <f>VLOOKUP(Table29[[#This Row],[Shortname]], Comp[], 30, FALSE)</f>
        <v>0</v>
      </c>
      <c r="AZ216">
        <f>VLOOKUP(Table29[[#This Row],[Shortname]], Comp[], 31, FALSE)</f>
        <v>0</v>
      </c>
    </row>
    <row r="217" spans="1:52" x14ac:dyDescent="0.3">
      <c r="A217" t="s">
        <v>2532</v>
      </c>
      <c r="B217">
        <v>272</v>
      </c>
      <c r="C217">
        <v>335</v>
      </c>
      <c r="D217" t="s">
        <v>11</v>
      </c>
      <c r="E217" t="s">
        <v>160</v>
      </c>
      <c r="F217" t="s">
        <v>2534</v>
      </c>
      <c r="G217" t="s">
        <v>3087</v>
      </c>
      <c r="H217">
        <v>275</v>
      </c>
      <c r="I217">
        <v>5.1999999999999996E-10</v>
      </c>
      <c r="J217">
        <f>0.01/Table29[[#This Row],[Strain Rate (min) /s]]</f>
        <v>19230769.230769232</v>
      </c>
      <c r="K217">
        <f>LOG(Table29[[#This Row],[Time to 1% strain (s)]])</f>
        <v>7.2839966563652006</v>
      </c>
      <c r="L217">
        <v>900</v>
      </c>
      <c r="P217" t="s">
        <v>7109</v>
      </c>
      <c r="Q217">
        <v>1340</v>
      </c>
      <c r="R217">
        <v>48</v>
      </c>
      <c r="S217">
        <v>1000</v>
      </c>
      <c r="T217">
        <v>24</v>
      </c>
      <c r="W217">
        <v>-1</v>
      </c>
      <c r="X217">
        <v>1</v>
      </c>
      <c r="Y217">
        <v>68</v>
      </c>
      <c r="AA217">
        <f>VLOOKUP(Table29[[#This Row],[Shortname]], Comp[], 6, FALSE)</f>
        <v>335</v>
      </c>
      <c r="AB217" s="14">
        <f>VLOOKUP(Table29[[#This Row],[Shortname]], Comp[], 7, FALSE)</f>
        <v>79.8</v>
      </c>
      <c r="AC217">
        <f>VLOOKUP(Table29[[#This Row],[Shortname]], Comp[], 8, FALSE)</f>
        <v>0</v>
      </c>
      <c r="AD217">
        <f>VLOOKUP(Table29[[#This Row],[Shortname]], Comp[], 9, FALSE)</f>
        <v>10.3</v>
      </c>
      <c r="AE217">
        <f>VLOOKUP(Table29[[#This Row],[Shortname]], Comp[], 10, FALSE)</f>
        <v>0</v>
      </c>
      <c r="AF217">
        <f>VLOOKUP(Table29[[#This Row],[Shortname]], Comp[], 11, FALSE)</f>
        <v>7.9</v>
      </c>
      <c r="AG217">
        <f>VLOOKUP(Table29[[#This Row],[Shortname]], Comp[],12, FALSE)</f>
        <v>0</v>
      </c>
      <c r="AH217">
        <f>VLOOKUP(Table29[[#This Row],[Shortname]], Comp[], 13, FALSE)</f>
        <v>1.1000000000000001</v>
      </c>
      <c r="AI217">
        <f>VLOOKUP(Table29[[#This Row],[Shortname]], Comp[], 14, FALSE)</f>
        <v>0.9</v>
      </c>
      <c r="AJ217">
        <f>VLOOKUP(Table29[[#This Row],[Shortname]], Comp[], 15, FALSE)</f>
        <v>0</v>
      </c>
      <c r="AK217">
        <f>VLOOKUP(Table29[[#This Row],[Shortname]], Comp[], 16, FALSE)</f>
        <v>0</v>
      </c>
      <c r="AL217">
        <f>VLOOKUP(Table29[[#This Row],[Shortname]], Comp[], 17, FALSE)</f>
        <v>0</v>
      </c>
      <c r="AM217">
        <f>VLOOKUP(Table29[[#This Row],[Shortname]], Comp[], 18, FALSE)</f>
        <v>0</v>
      </c>
      <c r="AN217">
        <f>VLOOKUP(Table29[[#This Row],[Shortname]], Comp[], 19, FALSE)</f>
        <v>0</v>
      </c>
      <c r="AO217">
        <f>VLOOKUP(Table29[[#This Row],[Shortname]], Comp[], 20, FALSE)</f>
        <v>0</v>
      </c>
      <c r="AP217">
        <f>VLOOKUP(Table29[[#This Row],[Shortname]], Comp[], 21, FALSE)</f>
        <v>0</v>
      </c>
      <c r="AQ217">
        <f>VLOOKUP(Table29[[#This Row],[Shortname]], Comp[], 22, FALSE)</f>
        <v>0</v>
      </c>
      <c r="AR217">
        <f>VLOOKUP(Table29[[#This Row],[Shortname]], Comp[], 23, FALSE)</f>
        <v>0</v>
      </c>
      <c r="AS217">
        <f>VLOOKUP(Table29[[#This Row],[Shortname]], Comp[], 24, FALSE)</f>
        <v>0</v>
      </c>
      <c r="AT217">
        <f>VLOOKUP(Table29[[#This Row],[Shortname]], Comp[], 25, FALSE)</f>
        <v>0</v>
      </c>
      <c r="AU217">
        <f>VLOOKUP(Table29[[#This Row],[Shortname]], Comp[], 26, FALSE)</f>
        <v>0</v>
      </c>
      <c r="AV217">
        <f>VLOOKUP(Table29[[#This Row],[Shortname]], Comp[], 27, FALSE)</f>
        <v>0</v>
      </c>
      <c r="AW217">
        <f>VLOOKUP(Table29[[#This Row],[Shortname]], Comp[], 28, FALSE)</f>
        <v>0</v>
      </c>
      <c r="AX217">
        <f>VLOOKUP(Table29[[#This Row],[Shortname]], Comp[], 29, FALSE)</f>
        <v>0</v>
      </c>
      <c r="AY217">
        <f>VLOOKUP(Table29[[#This Row],[Shortname]], Comp[], 30, FALSE)</f>
        <v>0</v>
      </c>
      <c r="AZ217">
        <f>VLOOKUP(Table29[[#This Row],[Shortname]], Comp[], 31, FALSE)</f>
        <v>0</v>
      </c>
    </row>
    <row r="218" spans="1:52" x14ac:dyDescent="0.3">
      <c r="A218" t="s">
        <v>2540</v>
      </c>
      <c r="B218">
        <v>202</v>
      </c>
      <c r="C218">
        <v>336</v>
      </c>
      <c r="D218" t="s">
        <v>2541</v>
      </c>
      <c r="E218" t="s">
        <v>31</v>
      </c>
      <c r="F218" t="s">
        <v>2542</v>
      </c>
      <c r="G218" t="s">
        <v>2543</v>
      </c>
      <c r="H218">
        <v>276</v>
      </c>
      <c r="I218">
        <v>1.5600000000000001E-8</v>
      </c>
      <c r="J218">
        <f>0.01/Table29[[#This Row],[Strain Rate (min) /s]]</f>
        <v>641025.641025641</v>
      </c>
      <c r="K218">
        <f>LOG(Table29[[#This Row],[Time to 1% strain (s)]])</f>
        <v>5.8068754016455379</v>
      </c>
      <c r="L218">
        <v>850</v>
      </c>
      <c r="M218">
        <v>6.4</v>
      </c>
      <c r="P218" t="s">
        <v>7110</v>
      </c>
      <c r="Q218">
        <v>1250</v>
      </c>
      <c r="R218">
        <v>48</v>
      </c>
      <c r="S218">
        <v>900</v>
      </c>
      <c r="T218">
        <v>168</v>
      </c>
      <c r="W218">
        <v>1</v>
      </c>
      <c r="X218">
        <v>10</v>
      </c>
      <c r="Y218">
        <v>78</v>
      </c>
      <c r="AA218">
        <f>VLOOKUP(Table29[[#This Row],[Shortname]], Comp[], 6, FALSE)</f>
        <v>336</v>
      </c>
      <c r="AB218" s="14">
        <f>VLOOKUP(Table29[[#This Row],[Shortname]], Comp[], 7, FALSE)</f>
        <v>50.122000000000007</v>
      </c>
      <c r="AC218">
        <f>VLOOKUP(Table29[[#This Row],[Shortname]], Comp[], 8, FALSE)</f>
        <v>30.7</v>
      </c>
      <c r="AD218">
        <f>VLOOKUP(Table29[[#This Row],[Shortname]], Comp[], 9, FALSE)</f>
        <v>7.48</v>
      </c>
      <c r="AE218">
        <f>VLOOKUP(Table29[[#This Row],[Shortname]], Comp[], 10, FALSE)</f>
        <v>0</v>
      </c>
      <c r="AF218">
        <f>VLOOKUP(Table29[[#This Row],[Shortname]], Comp[], 11, FALSE)</f>
        <v>2.14</v>
      </c>
      <c r="AG218">
        <f>VLOOKUP(Table29[[#This Row],[Shortname]], Comp[],12, FALSE)</f>
        <v>4.1500000000000004</v>
      </c>
      <c r="AH218">
        <f>VLOOKUP(Table29[[#This Row],[Shortname]], Comp[], 13, FALSE)</f>
        <v>1.1100000000000001</v>
      </c>
      <c r="AI218">
        <f>VLOOKUP(Table29[[#This Row],[Shortname]], Comp[], 14, FALSE)</f>
        <v>1.04</v>
      </c>
      <c r="AJ218">
        <f>VLOOKUP(Table29[[#This Row],[Shortname]], Comp[], 15, FALSE)</f>
        <v>0</v>
      </c>
      <c r="AK218">
        <f>VLOOKUP(Table29[[#This Row],[Shortname]], Comp[], 16, FALSE)</f>
        <v>3.19</v>
      </c>
      <c r="AL218">
        <f>VLOOKUP(Table29[[#This Row],[Shortname]], Comp[], 17, FALSE)</f>
        <v>0</v>
      </c>
      <c r="AM218">
        <f>VLOOKUP(Table29[[#This Row],[Shortname]], Comp[], 18, FALSE)</f>
        <v>0</v>
      </c>
      <c r="AN218">
        <f>VLOOKUP(Table29[[#This Row],[Shortname]], Comp[], 19, FALSE)</f>
        <v>6.8000000000000005E-2</v>
      </c>
      <c r="AO218">
        <f>VLOOKUP(Table29[[#This Row],[Shortname]], Comp[], 20, FALSE)</f>
        <v>0</v>
      </c>
      <c r="AP218">
        <f>VLOOKUP(Table29[[#This Row],[Shortname]], Comp[], 21, FALSE)</f>
        <v>0</v>
      </c>
      <c r="AQ218">
        <f>VLOOKUP(Table29[[#This Row],[Shortname]], Comp[], 22, FALSE)</f>
        <v>0</v>
      </c>
      <c r="AR218">
        <f>VLOOKUP(Table29[[#This Row],[Shortname]], Comp[], 23, FALSE)</f>
        <v>0</v>
      </c>
      <c r="AS218">
        <f>VLOOKUP(Table29[[#This Row],[Shortname]], Comp[], 24, FALSE)</f>
        <v>0</v>
      </c>
      <c r="AT218">
        <f>VLOOKUP(Table29[[#This Row],[Shortname]], Comp[], 25, FALSE)</f>
        <v>0</v>
      </c>
      <c r="AU218">
        <f>VLOOKUP(Table29[[#This Row],[Shortname]], Comp[], 26, FALSE)</f>
        <v>0</v>
      </c>
      <c r="AV218">
        <f>VLOOKUP(Table29[[#This Row],[Shortname]], Comp[], 27, FALSE)</f>
        <v>0</v>
      </c>
      <c r="AW218">
        <f>VLOOKUP(Table29[[#This Row],[Shortname]], Comp[], 28, FALSE)</f>
        <v>0</v>
      </c>
      <c r="AX218">
        <f>VLOOKUP(Table29[[#This Row],[Shortname]], Comp[], 29, FALSE)</f>
        <v>0</v>
      </c>
      <c r="AY218">
        <f>VLOOKUP(Table29[[#This Row],[Shortname]], Comp[], 30, FALSE)</f>
        <v>0</v>
      </c>
      <c r="AZ218">
        <f>VLOOKUP(Table29[[#This Row],[Shortname]], Comp[], 31, FALSE)</f>
        <v>0</v>
      </c>
    </row>
    <row r="219" spans="1:52" x14ac:dyDescent="0.3">
      <c r="A219" t="s">
        <v>2540</v>
      </c>
      <c r="B219">
        <v>203</v>
      </c>
      <c r="C219">
        <v>336</v>
      </c>
      <c r="D219" t="s">
        <v>11</v>
      </c>
      <c r="E219" t="s">
        <v>31</v>
      </c>
      <c r="F219" t="s">
        <v>2542</v>
      </c>
      <c r="G219" t="s">
        <v>2543</v>
      </c>
      <c r="H219">
        <v>326</v>
      </c>
      <c r="I219">
        <v>3.5899999999999997E-8</v>
      </c>
      <c r="J219">
        <f>0.01/Table29[[#This Row],[Strain Rate (min) /s]]</f>
        <v>278551.53203342622</v>
      </c>
      <c r="K219">
        <f>LOG(Table29[[#This Row],[Time to 1% strain (s)]])</f>
        <v>5.4449055514216811</v>
      </c>
      <c r="L219">
        <v>850</v>
      </c>
      <c r="M219">
        <v>6.4</v>
      </c>
      <c r="P219" t="s">
        <v>7110</v>
      </c>
      <c r="Q219">
        <v>1250</v>
      </c>
      <c r="R219">
        <v>48</v>
      </c>
      <c r="S219">
        <v>900</v>
      </c>
      <c r="T219">
        <v>168</v>
      </c>
      <c r="W219">
        <v>1</v>
      </c>
      <c r="X219">
        <v>10</v>
      </c>
      <c r="Y219">
        <v>78</v>
      </c>
      <c r="AA219">
        <f>VLOOKUP(Table29[[#This Row],[Shortname]], Comp[], 6, FALSE)</f>
        <v>336</v>
      </c>
      <c r="AB219" s="14">
        <f>VLOOKUP(Table29[[#This Row],[Shortname]], Comp[], 7, FALSE)</f>
        <v>50.122000000000007</v>
      </c>
      <c r="AC219">
        <f>VLOOKUP(Table29[[#This Row],[Shortname]], Comp[], 8, FALSE)</f>
        <v>30.7</v>
      </c>
      <c r="AD219">
        <f>VLOOKUP(Table29[[#This Row],[Shortname]], Comp[], 9, FALSE)</f>
        <v>7.48</v>
      </c>
      <c r="AE219">
        <f>VLOOKUP(Table29[[#This Row],[Shortname]], Comp[], 10, FALSE)</f>
        <v>0</v>
      </c>
      <c r="AF219">
        <f>VLOOKUP(Table29[[#This Row],[Shortname]], Comp[], 11, FALSE)</f>
        <v>2.14</v>
      </c>
      <c r="AG219">
        <f>VLOOKUP(Table29[[#This Row],[Shortname]], Comp[],12, FALSE)</f>
        <v>4.1500000000000004</v>
      </c>
      <c r="AH219">
        <f>VLOOKUP(Table29[[#This Row],[Shortname]], Comp[], 13, FALSE)</f>
        <v>1.1100000000000001</v>
      </c>
      <c r="AI219">
        <f>VLOOKUP(Table29[[#This Row],[Shortname]], Comp[], 14, FALSE)</f>
        <v>1.04</v>
      </c>
      <c r="AJ219">
        <f>VLOOKUP(Table29[[#This Row],[Shortname]], Comp[], 15, FALSE)</f>
        <v>0</v>
      </c>
      <c r="AK219">
        <f>VLOOKUP(Table29[[#This Row],[Shortname]], Comp[], 16, FALSE)</f>
        <v>3.19</v>
      </c>
      <c r="AL219">
        <f>VLOOKUP(Table29[[#This Row],[Shortname]], Comp[], 17, FALSE)</f>
        <v>0</v>
      </c>
      <c r="AM219">
        <f>VLOOKUP(Table29[[#This Row],[Shortname]], Comp[], 18, FALSE)</f>
        <v>0</v>
      </c>
      <c r="AN219">
        <f>VLOOKUP(Table29[[#This Row],[Shortname]], Comp[], 19, FALSE)</f>
        <v>6.8000000000000005E-2</v>
      </c>
      <c r="AO219">
        <f>VLOOKUP(Table29[[#This Row],[Shortname]], Comp[], 20, FALSE)</f>
        <v>0</v>
      </c>
      <c r="AP219">
        <f>VLOOKUP(Table29[[#This Row],[Shortname]], Comp[], 21, FALSE)</f>
        <v>0</v>
      </c>
      <c r="AQ219">
        <f>VLOOKUP(Table29[[#This Row],[Shortname]], Comp[], 22, FALSE)</f>
        <v>0</v>
      </c>
      <c r="AR219">
        <f>VLOOKUP(Table29[[#This Row],[Shortname]], Comp[], 23, FALSE)</f>
        <v>0</v>
      </c>
      <c r="AS219">
        <f>VLOOKUP(Table29[[#This Row],[Shortname]], Comp[], 24, FALSE)</f>
        <v>0</v>
      </c>
      <c r="AT219">
        <f>VLOOKUP(Table29[[#This Row],[Shortname]], Comp[], 25, FALSE)</f>
        <v>0</v>
      </c>
      <c r="AU219">
        <f>VLOOKUP(Table29[[#This Row],[Shortname]], Comp[], 26, FALSE)</f>
        <v>0</v>
      </c>
      <c r="AV219">
        <f>VLOOKUP(Table29[[#This Row],[Shortname]], Comp[], 27, FALSE)</f>
        <v>0</v>
      </c>
      <c r="AW219">
        <f>VLOOKUP(Table29[[#This Row],[Shortname]], Comp[], 28, FALSE)</f>
        <v>0</v>
      </c>
      <c r="AX219">
        <f>VLOOKUP(Table29[[#This Row],[Shortname]], Comp[], 29, FALSE)</f>
        <v>0</v>
      </c>
      <c r="AY219">
        <f>VLOOKUP(Table29[[#This Row],[Shortname]], Comp[], 30, FALSE)</f>
        <v>0</v>
      </c>
      <c r="AZ219">
        <f>VLOOKUP(Table29[[#This Row],[Shortname]], Comp[], 31, FALSE)</f>
        <v>0</v>
      </c>
    </row>
    <row r="220" spans="1:52" x14ac:dyDescent="0.3">
      <c r="A220" t="s">
        <v>2540</v>
      </c>
      <c r="B220">
        <v>204</v>
      </c>
      <c r="C220">
        <v>336</v>
      </c>
      <c r="D220" t="s">
        <v>11</v>
      </c>
      <c r="E220" t="s">
        <v>31</v>
      </c>
      <c r="F220" t="s">
        <v>2542</v>
      </c>
      <c r="G220" t="s">
        <v>2543</v>
      </c>
      <c r="H220">
        <v>357</v>
      </c>
      <c r="I220">
        <v>6.1799999999999998E-8</v>
      </c>
      <c r="J220">
        <f>0.01/Table29[[#This Row],[Strain Rate (min) /s]]</f>
        <v>161812.29773462785</v>
      </c>
      <c r="K220">
        <f>LOG(Table29[[#This Row],[Time to 1% strain (s)]])</f>
        <v>5.2090115249111841</v>
      </c>
      <c r="L220">
        <v>850</v>
      </c>
      <c r="M220">
        <v>6.4</v>
      </c>
      <c r="P220" t="s">
        <v>7110</v>
      </c>
      <c r="Q220">
        <v>1250</v>
      </c>
      <c r="R220">
        <v>48</v>
      </c>
      <c r="S220">
        <v>900</v>
      </c>
      <c r="T220">
        <v>168</v>
      </c>
      <c r="W220">
        <v>1</v>
      </c>
      <c r="X220">
        <v>10</v>
      </c>
      <c r="Y220">
        <v>78</v>
      </c>
      <c r="AA220">
        <f>VLOOKUP(Table29[[#This Row],[Shortname]], Comp[], 6, FALSE)</f>
        <v>336</v>
      </c>
      <c r="AB220" s="14">
        <f>VLOOKUP(Table29[[#This Row],[Shortname]], Comp[], 7, FALSE)</f>
        <v>50.122000000000007</v>
      </c>
      <c r="AC220">
        <f>VLOOKUP(Table29[[#This Row],[Shortname]], Comp[], 8, FALSE)</f>
        <v>30.7</v>
      </c>
      <c r="AD220">
        <f>VLOOKUP(Table29[[#This Row],[Shortname]], Comp[], 9, FALSE)</f>
        <v>7.48</v>
      </c>
      <c r="AE220">
        <f>VLOOKUP(Table29[[#This Row],[Shortname]], Comp[], 10, FALSE)</f>
        <v>0</v>
      </c>
      <c r="AF220">
        <f>VLOOKUP(Table29[[#This Row],[Shortname]], Comp[], 11, FALSE)</f>
        <v>2.14</v>
      </c>
      <c r="AG220">
        <f>VLOOKUP(Table29[[#This Row],[Shortname]], Comp[],12, FALSE)</f>
        <v>4.1500000000000004</v>
      </c>
      <c r="AH220">
        <f>VLOOKUP(Table29[[#This Row],[Shortname]], Comp[], 13, FALSE)</f>
        <v>1.1100000000000001</v>
      </c>
      <c r="AI220">
        <f>VLOOKUP(Table29[[#This Row],[Shortname]], Comp[], 14, FALSE)</f>
        <v>1.04</v>
      </c>
      <c r="AJ220">
        <f>VLOOKUP(Table29[[#This Row],[Shortname]], Comp[], 15, FALSE)</f>
        <v>0</v>
      </c>
      <c r="AK220">
        <f>VLOOKUP(Table29[[#This Row],[Shortname]], Comp[], 16, FALSE)</f>
        <v>3.19</v>
      </c>
      <c r="AL220">
        <f>VLOOKUP(Table29[[#This Row],[Shortname]], Comp[], 17, FALSE)</f>
        <v>0</v>
      </c>
      <c r="AM220">
        <f>VLOOKUP(Table29[[#This Row],[Shortname]], Comp[], 18, FALSE)</f>
        <v>0</v>
      </c>
      <c r="AN220">
        <f>VLOOKUP(Table29[[#This Row],[Shortname]], Comp[], 19, FALSE)</f>
        <v>6.8000000000000005E-2</v>
      </c>
      <c r="AO220">
        <f>VLOOKUP(Table29[[#This Row],[Shortname]], Comp[], 20, FALSE)</f>
        <v>0</v>
      </c>
      <c r="AP220">
        <f>VLOOKUP(Table29[[#This Row],[Shortname]], Comp[], 21, FALSE)</f>
        <v>0</v>
      </c>
      <c r="AQ220">
        <f>VLOOKUP(Table29[[#This Row],[Shortname]], Comp[], 22, FALSE)</f>
        <v>0</v>
      </c>
      <c r="AR220">
        <f>VLOOKUP(Table29[[#This Row],[Shortname]], Comp[], 23, FALSE)</f>
        <v>0</v>
      </c>
      <c r="AS220">
        <f>VLOOKUP(Table29[[#This Row],[Shortname]], Comp[], 24, FALSE)</f>
        <v>0</v>
      </c>
      <c r="AT220">
        <f>VLOOKUP(Table29[[#This Row],[Shortname]], Comp[], 25, FALSE)</f>
        <v>0</v>
      </c>
      <c r="AU220">
        <f>VLOOKUP(Table29[[#This Row],[Shortname]], Comp[], 26, FALSE)</f>
        <v>0</v>
      </c>
      <c r="AV220">
        <f>VLOOKUP(Table29[[#This Row],[Shortname]], Comp[], 27, FALSE)</f>
        <v>0</v>
      </c>
      <c r="AW220">
        <f>VLOOKUP(Table29[[#This Row],[Shortname]], Comp[], 28, FALSE)</f>
        <v>0</v>
      </c>
      <c r="AX220">
        <f>VLOOKUP(Table29[[#This Row],[Shortname]], Comp[], 29, FALSE)</f>
        <v>0</v>
      </c>
      <c r="AY220">
        <f>VLOOKUP(Table29[[#This Row],[Shortname]], Comp[], 30, FALSE)</f>
        <v>0</v>
      </c>
      <c r="AZ220">
        <f>VLOOKUP(Table29[[#This Row],[Shortname]], Comp[], 31, FALSE)</f>
        <v>0</v>
      </c>
    </row>
    <row r="221" spans="1:52" x14ac:dyDescent="0.3">
      <c r="A221" t="s">
        <v>2540</v>
      </c>
      <c r="B221">
        <v>205</v>
      </c>
      <c r="C221">
        <v>336</v>
      </c>
      <c r="D221" t="s">
        <v>11</v>
      </c>
      <c r="E221" t="s">
        <v>31</v>
      </c>
      <c r="F221" t="s">
        <v>2542</v>
      </c>
      <c r="G221" t="s">
        <v>2543</v>
      </c>
      <c r="H221">
        <v>376</v>
      </c>
      <c r="I221">
        <v>1.09E-7</v>
      </c>
      <c r="J221">
        <f>0.01/Table29[[#This Row],[Strain Rate (min) /s]]</f>
        <v>91743.119266055044</v>
      </c>
      <c r="K221">
        <f>LOG(Table29[[#This Row],[Time to 1% strain (s)]])</f>
        <v>4.9625735020593762</v>
      </c>
      <c r="L221">
        <v>850</v>
      </c>
      <c r="M221">
        <v>6.4</v>
      </c>
      <c r="P221" t="s">
        <v>7110</v>
      </c>
      <c r="Q221">
        <v>1250</v>
      </c>
      <c r="R221">
        <v>48</v>
      </c>
      <c r="S221">
        <v>900</v>
      </c>
      <c r="T221">
        <v>168</v>
      </c>
      <c r="W221">
        <v>1</v>
      </c>
      <c r="X221">
        <v>10</v>
      </c>
      <c r="Y221">
        <v>78</v>
      </c>
      <c r="AA221">
        <f>VLOOKUP(Table29[[#This Row],[Shortname]], Comp[], 6, FALSE)</f>
        <v>336</v>
      </c>
      <c r="AB221" s="14">
        <f>VLOOKUP(Table29[[#This Row],[Shortname]], Comp[], 7, FALSE)</f>
        <v>50.122000000000007</v>
      </c>
      <c r="AC221">
        <f>VLOOKUP(Table29[[#This Row],[Shortname]], Comp[], 8, FALSE)</f>
        <v>30.7</v>
      </c>
      <c r="AD221">
        <f>VLOOKUP(Table29[[#This Row],[Shortname]], Comp[], 9, FALSE)</f>
        <v>7.48</v>
      </c>
      <c r="AE221">
        <f>VLOOKUP(Table29[[#This Row],[Shortname]], Comp[], 10, FALSE)</f>
        <v>0</v>
      </c>
      <c r="AF221">
        <f>VLOOKUP(Table29[[#This Row],[Shortname]], Comp[], 11, FALSE)</f>
        <v>2.14</v>
      </c>
      <c r="AG221">
        <f>VLOOKUP(Table29[[#This Row],[Shortname]], Comp[],12, FALSE)</f>
        <v>4.1500000000000004</v>
      </c>
      <c r="AH221">
        <f>VLOOKUP(Table29[[#This Row],[Shortname]], Comp[], 13, FALSE)</f>
        <v>1.1100000000000001</v>
      </c>
      <c r="AI221">
        <f>VLOOKUP(Table29[[#This Row],[Shortname]], Comp[], 14, FALSE)</f>
        <v>1.04</v>
      </c>
      <c r="AJ221">
        <f>VLOOKUP(Table29[[#This Row],[Shortname]], Comp[], 15, FALSE)</f>
        <v>0</v>
      </c>
      <c r="AK221">
        <f>VLOOKUP(Table29[[#This Row],[Shortname]], Comp[], 16, FALSE)</f>
        <v>3.19</v>
      </c>
      <c r="AL221">
        <f>VLOOKUP(Table29[[#This Row],[Shortname]], Comp[], 17, FALSE)</f>
        <v>0</v>
      </c>
      <c r="AM221">
        <f>VLOOKUP(Table29[[#This Row],[Shortname]], Comp[], 18, FALSE)</f>
        <v>0</v>
      </c>
      <c r="AN221">
        <f>VLOOKUP(Table29[[#This Row],[Shortname]], Comp[], 19, FALSE)</f>
        <v>6.8000000000000005E-2</v>
      </c>
      <c r="AO221">
        <f>VLOOKUP(Table29[[#This Row],[Shortname]], Comp[], 20, FALSE)</f>
        <v>0</v>
      </c>
      <c r="AP221">
        <f>VLOOKUP(Table29[[#This Row],[Shortname]], Comp[], 21, FALSE)</f>
        <v>0</v>
      </c>
      <c r="AQ221">
        <f>VLOOKUP(Table29[[#This Row],[Shortname]], Comp[], 22, FALSE)</f>
        <v>0</v>
      </c>
      <c r="AR221">
        <f>VLOOKUP(Table29[[#This Row],[Shortname]], Comp[], 23, FALSE)</f>
        <v>0</v>
      </c>
      <c r="AS221">
        <f>VLOOKUP(Table29[[#This Row],[Shortname]], Comp[], 24, FALSE)</f>
        <v>0</v>
      </c>
      <c r="AT221">
        <f>VLOOKUP(Table29[[#This Row],[Shortname]], Comp[], 25, FALSE)</f>
        <v>0</v>
      </c>
      <c r="AU221">
        <f>VLOOKUP(Table29[[#This Row],[Shortname]], Comp[], 26, FALSE)</f>
        <v>0</v>
      </c>
      <c r="AV221">
        <f>VLOOKUP(Table29[[#This Row],[Shortname]], Comp[], 27, FALSE)</f>
        <v>0</v>
      </c>
      <c r="AW221">
        <f>VLOOKUP(Table29[[#This Row],[Shortname]], Comp[], 28, FALSE)</f>
        <v>0</v>
      </c>
      <c r="AX221">
        <f>VLOOKUP(Table29[[#This Row],[Shortname]], Comp[], 29, FALSE)</f>
        <v>0</v>
      </c>
      <c r="AY221">
        <f>VLOOKUP(Table29[[#This Row],[Shortname]], Comp[], 30, FALSE)</f>
        <v>0</v>
      </c>
      <c r="AZ221">
        <f>VLOOKUP(Table29[[#This Row],[Shortname]], Comp[], 31, FALSE)</f>
        <v>0</v>
      </c>
    </row>
    <row r="222" spans="1:52" x14ac:dyDescent="0.3">
      <c r="A222" t="s">
        <v>2540</v>
      </c>
      <c r="B222">
        <v>206</v>
      </c>
      <c r="C222">
        <v>336</v>
      </c>
      <c r="D222" t="s">
        <v>11</v>
      </c>
      <c r="E222" t="s">
        <v>31</v>
      </c>
      <c r="F222" t="s">
        <v>2542</v>
      </c>
      <c r="G222" t="s">
        <v>2543</v>
      </c>
      <c r="H222">
        <v>397</v>
      </c>
      <c r="I222">
        <v>1.5800000000000001E-7</v>
      </c>
      <c r="J222">
        <f>0.01/Table29[[#This Row],[Strain Rate (min) /s]]</f>
        <v>63291.139240506323</v>
      </c>
      <c r="K222">
        <f>LOG(Table29[[#This Row],[Time to 1% strain (s)]])</f>
        <v>4.8013429130455769</v>
      </c>
      <c r="L222">
        <v>850</v>
      </c>
      <c r="M222">
        <v>6.4</v>
      </c>
      <c r="P222" t="s">
        <v>7110</v>
      </c>
      <c r="Q222">
        <v>1250</v>
      </c>
      <c r="R222">
        <v>48</v>
      </c>
      <c r="S222">
        <v>900</v>
      </c>
      <c r="T222">
        <v>168</v>
      </c>
      <c r="W222">
        <v>1</v>
      </c>
      <c r="X222">
        <v>10</v>
      </c>
      <c r="Y222">
        <v>78</v>
      </c>
      <c r="AA222">
        <f>VLOOKUP(Table29[[#This Row],[Shortname]], Comp[], 6, FALSE)</f>
        <v>336</v>
      </c>
      <c r="AB222" s="14">
        <f>VLOOKUP(Table29[[#This Row],[Shortname]], Comp[], 7, FALSE)</f>
        <v>50.122000000000007</v>
      </c>
      <c r="AC222">
        <f>VLOOKUP(Table29[[#This Row],[Shortname]], Comp[], 8, FALSE)</f>
        <v>30.7</v>
      </c>
      <c r="AD222">
        <f>VLOOKUP(Table29[[#This Row],[Shortname]], Comp[], 9, FALSE)</f>
        <v>7.48</v>
      </c>
      <c r="AE222">
        <f>VLOOKUP(Table29[[#This Row],[Shortname]], Comp[], 10, FALSE)</f>
        <v>0</v>
      </c>
      <c r="AF222">
        <f>VLOOKUP(Table29[[#This Row],[Shortname]], Comp[], 11, FALSE)</f>
        <v>2.14</v>
      </c>
      <c r="AG222">
        <f>VLOOKUP(Table29[[#This Row],[Shortname]], Comp[],12, FALSE)</f>
        <v>4.1500000000000004</v>
      </c>
      <c r="AH222">
        <f>VLOOKUP(Table29[[#This Row],[Shortname]], Comp[], 13, FALSE)</f>
        <v>1.1100000000000001</v>
      </c>
      <c r="AI222">
        <f>VLOOKUP(Table29[[#This Row],[Shortname]], Comp[], 14, FALSE)</f>
        <v>1.04</v>
      </c>
      <c r="AJ222">
        <f>VLOOKUP(Table29[[#This Row],[Shortname]], Comp[], 15, FALSE)</f>
        <v>0</v>
      </c>
      <c r="AK222">
        <f>VLOOKUP(Table29[[#This Row],[Shortname]], Comp[], 16, FALSE)</f>
        <v>3.19</v>
      </c>
      <c r="AL222">
        <f>VLOOKUP(Table29[[#This Row],[Shortname]], Comp[], 17, FALSE)</f>
        <v>0</v>
      </c>
      <c r="AM222">
        <f>VLOOKUP(Table29[[#This Row],[Shortname]], Comp[], 18, FALSE)</f>
        <v>0</v>
      </c>
      <c r="AN222">
        <f>VLOOKUP(Table29[[#This Row],[Shortname]], Comp[], 19, FALSE)</f>
        <v>6.8000000000000005E-2</v>
      </c>
      <c r="AO222">
        <f>VLOOKUP(Table29[[#This Row],[Shortname]], Comp[], 20, FALSE)</f>
        <v>0</v>
      </c>
      <c r="AP222">
        <f>VLOOKUP(Table29[[#This Row],[Shortname]], Comp[], 21, FALSE)</f>
        <v>0</v>
      </c>
      <c r="AQ222">
        <f>VLOOKUP(Table29[[#This Row],[Shortname]], Comp[], 22, FALSE)</f>
        <v>0</v>
      </c>
      <c r="AR222">
        <f>VLOOKUP(Table29[[#This Row],[Shortname]], Comp[], 23, FALSE)</f>
        <v>0</v>
      </c>
      <c r="AS222">
        <f>VLOOKUP(Table29[[#This Row],[Shortname]], Comp[], 24, FALSE)</f>
        <v>0</v>
      </c>
      <c r="AT222">
        <f>VLOOKUP(Table29[[#This Row],[Shortname]], Comp[], 25, FALSE)</f>
        <v>0</v>
      </c>
      <c r="AU222">
        <f>VLOOKUP(Table29[[#This Row],[Shortname]], Comp[], 26, FALSE)</f>
        <v>0</v>
      </c>
      <c r="AV222">
        <f>VLOOKUP(Table29[[#This Row],[Shortname]], Comp[], 27, FALSE)</f>
        <v>0</v>
      </c>
      <c r="AW222">
        <f>VLOOKUP(Table29[[#This Row],[Shortname]], Comp[], 28, FALSE)</f>
        <v>0</v>
      </c>
      <c r="AX222">
        <f>VLOOKUP(Table29[[#This Row],[Shortname]], Comp[], 29, FALSE)</f>
        <v>0</v>
      </c>
      <c r="AY222">
        <f>VLOOKUP(Table29[[#This Row],[Shortname]], Comp[], 30, FALSE)</f>
        <v>0</v>
      </c>
      <c r="AZ222">
        <f>VLOOKUP(Table29[[#This Row],[Shortname]], Comp[], 31, FALSE)</f>
        <v>0</v>
      </c>
    </row>
    <row r="223" spans="1:52" x14ac:dyDescent="0.3">
      <c r="A223" t="s">
        <v>2550</v>
      </c>
      <c r="B223">
        <v>207</v>
      </c>
      <c r="C223">
        <v>337</v>
      </c>
      <c r="D223" t="s">
        <v>2551</v>
      </c>
      <c r="E223" t="s">
        <v>31</v>
      </c>
      <c r="F223" t="s">
        <v>2552</v>
      </c>
      <c r="G223" t="s">
        <v>2543</v>
      </c>
      <c r="H223">
        <v>275</v>
      </c>
      <c r="I223">
        <v>9.39E-9</v>
      </c>
      <c r="J223">
        <f>0.01/Table29[[#This Row],[Strain Rate (min) /s]]</f>
        <v>1064962.7263045793</v>
      </c>
      <c r="K223">
        <f>LOG(Table29[[#This Row],[Time to 1% strain (s)]])</f>
        <v>6.0273344077338891</v>
      </c>
      <c r="L223">
        <v>850</v>
      </c>
      <c r="M223">
        <v>6.1</v>
      </c>
      <c r="P223" t="s">
        <v>7111</v>
      </c>
      <c r="Q223">
        <v>1250</v>
      </c>
      <c r="R223">
        <v>48</v>
      </c>
      <c r="S223">
        <v>900</v>
      </c>
      <c r="T223">
        <v>168</v>
      </c>
      <c r="W223">
        <v>1</v>
      </c>
      <c r="X223">
        <v>10</v>
      </c>
      <c r="Y223">
        <v>81</v>
      </c>
      <c r="AA223">
        <f>VLOOKUP(Table29[[#This Row],[Shortname]], Comp[], 6, FALSE)</f>
        <v>337</v>
      </c>
      <c r="AB223" s="14">
        <f>VLOOKUP(Table29[[#This Row],[Shortname]], Comp[], 7, FALSE)</f>
        <v>46.700999999999993</v>
      </c>
      <c r="AC223">
        <f>VLOOKUP(Table29[[#This Row],[Shortname]], Comp[], 8, FALSE)</f>
        <v>31.3</v>
      </c>
      <c r="AD223">
        <f>VLOOKUP(Table29[[#This Row],[Shortname]], Comp[], 9, FALSE)</f>
        <v>6.56</v>
      </c>
      <c r="AE223">
        <f>VLOOKUP(Table29[[#This Row],[Shortname]], Comp[], 10, FALSE)</f>
        <v>4.18</v>
      </c>
      <c r="AF223">
        <f>VLOOKUP(Table29[[#This Row],[Shortname]], Comp[], 11, FALSE)</f>
        <v>2.1</v>
      </c>
      <c r="AG223">
        <f>VLOOKUP(Table29[[#This Row],[Shortname]], Comp[],12, FALSE)</f>
        <v>3.92</v>
      </c>
      <c r="AH223">
        <f>VLOOKUP(Table29[[#This Row],[Shortname]], Comp[], 13, FALSE)</f>
        <v>1.02</v>
      </c>
      <c r="AI223">
        <f>VLOOKUP(Table29[[#This Row],[Shortname]], Comp[], 14, FALSE)</f>
        <v>0.95</v>
      </c>
      <c r="AJ223">
        <f>VLOOKUP(Table29[[#This Row],[Shortname]], Comp[], 15, FALSE)</f>
        <v>0</v>
      </c>
      <c r="AK223">
        <f>VLOOKUP(Table29[[#This Row],[Shortname]], Comp[], 16, FALSE)</f>
        <v>3.15</v>
      </c>
      <c r="AL223">
        <f>VLOOKUP(Table29[[#This Row],[Shortname]], Comp[], 17, FALSE)</f>
        <v>0</v>
      </c>
      <c r="AM223">
        <f>VLOOKUP(Table29[[#This Row],[Shortname]], Comp[], 18, FALSE)</f>
        <v>0</v>
      </c>
      <c r="AN223">
        <f>VLOOKUP(Table29[[#This Row],[Shortname]], Comp[], 19, FALSE)</f>
        <v>0.11899999999999999</v>
      </c>
      <c r="AO223">
        <f>VLOOKUP(Table29[[#This Row],[Shortname]], Comp[], 20, FALSE)</f>
        <v>0</v>
      </c>
      <c r="AP223">
        <f>VLOOKUP(Table29[[#This Row],[Shortname]], Comp[], 21, FALSE)</f>
        <v>0</v>
      </c>
      <c r="AQ223">
        <f>VLOOKUP(Table29[[#This Row],[Shortname]], Comp[], 22, FALSE)</f>
        <v>0</v>
      </c>
      <c r="AR223">
        <f>VLOOKUP(Table29[[#This Row],[Shortname]], Comp[], 23, FALSE)</f>
        <v>0</v>
      </c>
      <c r="AS223">
        <f>VLOOKUP(Table29[[#This Row],[Shortname]], Comp[], 24, FALSE)</f>
        <v>0</v>
      </c>
      <c r="AT223">
        <f>VLOOKUP(Table29[[#This Row],[Shortname]], Comp[], 25, FALSE)</f>
        <v>0</v>
      </c>
      <c r="AU223">
        <f>VLOOKUP(Table29[[#This Row],[Shortname]], Comp[], 26, FALSE)</f>
        <v>0</v>
      </c>
      <c r="AV223">
        <f>VLOOKUP(Table29[[#This Row],[Shortname]], Comp[], 27, FALSE)</f>
        <v>0</v>
      </c>
      <c r="AW223">
        <f>VLOOKUP(Table29[[#This Row],[Shortname]], Comp[], 28, FALSE)</f>
        <v>0</v>
      </c>
      <c r="AX223">
        <f>VLOOKUP(Table29[[#This Row],[Shortname]], Comp[], 29, FALSE)</f>
        <v>0</v>
      </c>
      <c r="AY223">
        <f>VLOOKUP(Table29[[#This Row],[Shortname]], Comp[], 30, FALSE)</f>
        <v>0</v>
      </c>
      <c r="AZ223">
        <f>VLOOKUP(Table29[[#This Row],[Shortname]], Comp[], 31, FALSE)</f>
        <v>0</v>
      </c>
    </row>
    <row r="224" spans="1:52" x14ac:dyDescent="0.3">
      <c r="A224" t="s">
        <v>2550</v>
      </c>
      <c r="B224">
        <v>208</v>
      </c>
      <c r="C224">
        <v>337</v>
      </c>
      <c r="D224" t="s">
        <v>11</v>
      </c>
      <c r="E224" t="s">
        <v>31</v>
      </c>
      <c r="F224" t="s">
        <v>2552</v>
      </c>
      <c r="G224" t="s">
        <v>2543</v>
      </c>
      <c r="H224">
        <v>326</v>
      </c>
      <c r="I224">
        <v>1.9099999999999999E-8</v>
      </c>
      <c r="J224">
        <f>0.01/Table29[[#This Row],[Strain Rate (min) /s]]</f>
        <v>523560.20942408382</v>
      </c>
      <c r="K224">
        <f>LOG(Table29[[#This Row],[Time to 1% strain (s)]])</f>
        <v>5.7189666327522728</v>
      </c>
      <c r="L224">
        <v>850</v>
      </c>
      <c r="M224">
        <v>6.1</v>
      </c>
      <c r="P224" t="s">
        <v>7111</v>
      </c>
      <c r="Q224">
        <v>1250</v>
      </c>
      <c r="R224">
        <v>48</v>
      </c>
      <c r="S224">
        <v>900</v>
      </c>
      <c r="T224">
        <v>168</v>
      </c>
      <c r="W224">
        <v>1</v>
      </c>
      <c r="X224">
        <v>10</v>
      </c>
      <c r="Y224">
        <v>81</v>
      </c>
      <c r="AA224">
        <f>VLOOKUP(Table29[[#This Row],[Shortname]], Comp[], 6, FALSE)</f>
        <v>337</v>
      </c>
      <c r="AB224" s="14">
        <f>VLOOKUP(Table29[[#This Row],[Shortname]], Comp[], 7, FALSE)</f>
        <v>46.700999999999993</v>
      </c>
      <c r="AC224">
        <f>VLOOKUP(Table29[[#This Row],[Shortname]], Comp[], 8, FALSE)</f>
        <v>31.3</v>
      </c>
      <c r="AD224">
        <f>VLOOKUP(Table29[[#This Row],[Shortname]], Comp[], 9, FALSE)</f>
        <v>6.56</v>
      </c>
      <c r="AE224">
        <f>VLOOKUP(Table29[[#This Row],[Shortname]], Comp[], 10, FALSE)</f>
        <v>4.18</v>
      </c>
      <c r="AF224">
        <f>VLOOKUP(Table29[[#This Row],[Shortname]], Comp[], 11, FALSE)</f>
        <v>2.1</v>
      </c>
      <c r="AG224">
        <f>VLOOKUP(Table29[[#This Row],[Shortname]], Comp[],12, FALSE)</f>
        <v>3.92</v>
      </c>
      <c r="AH224">
        <f>VLOOKUP(Table29[[#This Row],[Shortname]], Comp[], 13, FALSE)</f>
        <v>1.02</v>
      </c>
      <c r="AI224">
        <f>VLOOKUP(Table29[[#This Row],[Shortname]], Comp[], 14, FALSE)</f>
        <v>0.95</v>
      </c>
      <c r="AJ224">
        <f>VLOOKUP(Table29[[#This Row],[Shortname]], Comp[], 15, FALSE)</f>
        <v>0</v>
      </c>
      <c r="AK224">
        <f>VLOOKUP(Table29[[#This Row],[Shortname]], Comp[], 16, FALSE)</f>
        <v>3.15</v>
      </c>
      <c r="AL224">
        <f>VLOOKUP(Table29[[#This Row],[Shortname]], Comp[], 17, FALSE)</f>
        <v>0</v>
      </c>
      <c r="AM224">
        <f>VLOOKUP(Table29[[#This Row],[Shortname]], Comp[], 18, FALSE)</f>
        <v>0</v>
      </c>
      <c r="AN224">
        <f>VLOOKUP(Table29[[#This Row],[Shortname]], Comp[], 19, FALSE)</f>
        <v>0.11899999999999999</v>
      </c>
      <c r="AO224">
        <f>VLOOKUP(Table29[[#This Row],[Shortname]], Comp[], 20, FALSE)</f>
        <v>0</v>
      </c>
      <c r="AP224">
        <f>VLOOKUP(Table29[[#This Row],[Shortname]], Comp[], 21, FALSE)</f>
        <v>0</v>
      </c>
      <c r="AQ224">
        <f>VLOOKUP(Table29[[#This Row],[Shortname]], Comp[], 22, FALSE)</f>
        <v>0</v>
      </c>
      <c r="AR224">
        <f>VLOOKUP(Table29[[#This Row],[Shortname]], Comp[], 23, FALSE)</f>
        <v>0</v>
      </c>
      <c r="AS224">
        <f>VLOOKUP(Table29[[#This Row],[Shortname]], Comp[], 24, FALSE)</f>
        <v>0</v>
      </c>
      <c r="AT224">
        <f>VLOOKUP(Table29[[#This Row],[Shortname]], Comp[], 25, FALSE)</f>
        <v>0</v>
      </c>
      <c r="AU224">
        <f>VLOOKUP(Table29[[#This Row],[Shortname]], Comp[], 26, FALSE)</f>
        <v>0</v>
      </c>
      <c r="AV224">
        <f>VLOOKUP(Table29[[#This Row],[Shortname]], Comp[], 27, FALSE)</f>
        <v>0</v>
      </c>
      <c r="AW224">
        <f>VLOOKUP(Table29[[#This Row],[Shortname]], Comp[], 28, FALSE)</f>
        <v>0</v>
      </c>
      <c r="AX224">
        <f>VLOOKUP(Table29[[#This Row],[Shortname]], Comp[], 29, FALSE)</f>
        <v>0</v>
      </c>
      <c r="AY224">
        <f>VLOOKUP(Table29[[#This Row],[Shortname]], Comp[], 30, FALSE)</f>
        <v>0</v>
      </c>
      <c r="AZ224">
        <f>VLOOKUP(Table29[[#This Row],[Shortname]], Comp[], 31, FALSE)</f>
        <v>0</v>
      </c>
    </row>
    <row r="225" spans="1:52" x14ac:dyDescent="0.3">
      <c r="A225" t="s">
        <v>2550</v>
      </c>
      <c r="B225">
        <v>209</v>
      </c>
      <c r="C225">
        <v>337</v>
      </c>
      <c r="D225" t="s">
        <v>11</v>
      </c>
      <c r="E225" t="s">
        <v>31</v>
      </c>
      <c r="F225" t="s">
        <v>2552</v>
      </c>
      <c r="G225" t="s">
        <v>2543</v>
      </c>
      <c r="H225">
        <v>353</v>
      </c>
      <c r="I225">
        <v>2.9099999999999999E-8</v>
      </c>
      <c r="J225">
        <f>0.01/Table29[[#This Row],[Strain Rate (min) /s]]</f>
        <v>343642.61168384884</v>
      </c>
      <c r="K225">
        <f>LOG(Table29[[#This Row],[Time to 1% strain (s)]])</f>
        <v>5.5361070110140931</v>
      </c>
      <c r="L225">
        <v>850</v>
      </c>
      <c r="M225">
        <v>6.1</v>
      </c>
      <c r="P225" t="s">
        <v>7111</v>
      </c>
      <c r="Q225">
        <v>1250</v>
      </c>
      <c r="R225">
        <v>48</v>
      </c>
      <c r="S225">
        <v>900</v>
      </c>
      <c r="T225">
        <v>168</v>
      </c>
      <c r="W225">
        <v>1</v>
      </c>
      <c r="X225">
        <v>10</v>
      </c>
      <c r="Y225">
        <v>81</v>
      </c>
      <c r="AA225">
        <f>VLOOKUP(Table29[[#This Row],[Shortname]], Comp[], 6, FALSE)</f>
        <v>337</v>
      </c>
      <c r="AB225" s="14">
        <f>VLOOKUP(Table29[[#This Row],[Shortname]], Comp[], 7, FALSE)</f>
        <v>46.700999999999993</v>
      </c>
      <c r="AC225">
        <f>VLOOKUP(Table29[[#This Row],[Shortname]], Comp[], 8, FALSE)</f>
        <v>31.3</v>
      </c>
      <c r="AD225">
        <f>VLOOKUP(Table29[[#This Row],[Shortname]], Comp[], 9, FALSE)</f>
        <v>6.56</v>
      </c>
      <c r="AE225">
        <f>VLOOKUP(Table29[[#This Row],[Shortname]], Comp[], 10, FALSE)</f>
        <v>4.18</v>
      </c>
      <c r="AF225">
        <f>VLOOKUP(Table29[[#This Row],[Shortname]], Comp[], 11, FALSE)</f>
        <v>2.1</v>
      </c>
      <c r="AG225">
        <f>VLOOKUP(Table29[[#This Row],[Shortname]], Comp[],12, FALSE)</f>
        <v>3.92</v>
      </c>
      <c r="AH225">
        <f>VLOOKUP(Table29[[#This Row],[Shortname]], Comp[], 13, FALSE)</f>
        <v>1.02</v>
      </c>
      <c r="AI225">
        <f>VLOOKUP(Table29[[#This Row],[Shortname]], Comp[], 14, FALSE)</f>
        <v>0.95</v>
      </c>
      <c r="AJ225">
        <f>VLOOKUP(Table29[[#This Row],[Shortname]], Comp[], 15, FALSE)</f>
        <v>0</v>
      </c>
      <c r="AK225">
        <f>VLOOKUP(Table29[[#This Row],[Shortname]], Comp[], 16, FALSE)</f>
        <v>3.15</v>
      </c>
      <c r="AL225">
        <f>VLOOKUP(Table29[[#This Row],[Shortname]], Comp[], 17, FALSE)</f>
        <v>0</v>
      </c>
      <c r="AM225">
        <f>VLOOKUP(Table29[[#This Row],[Shortname]], Comp[], 18, FALSE)</f>
        <v>0</v>
      </c>
      <c r="AN225">
        <f>VLOOKUP(Table29[[#This Row],[Shortname]], Comp[], 19, FALSE)</f>
        <v>0.11899999999999999</v>
      </c>
      <c r="AO225">
        <f>VLOOKUP(Table29[[#This Row],[Shortname]], Comp[], 20, FALSE)</f>
        <v>0</v>
      </c>
      <c r="AP225">
        <f>VLOOKUP(Table29[[#This Row],[Shortname]], Comp[], 21, FALSE)</f>
        <v>0</v>
      </c>
      <c r="AQ225">
        <f>VLOOKUP(Table29[[#This Row],[Shortname]], Comp[], 22, FALSE)</f>
        <v>0</v>
      </c>
      <c r="AR225">
        <f>VLOOKUP(Table29[[#This Row],[Shortname]], Comp[], 23, FALSE)</f>
        <v>0</v>
      </c>
      <c r="AS225">
        <f>VLOOKUP(Table29[[#This Row],[Shortname]], Comp[], 24, FALSE)</f>
        <v>0</v>
      </c>
      <c r="AT225">
        <f>VLOOKUP(Table29[[#This Row],[Shortname]], Comp[], 25, FALSE)</f>
        <v>0</v>
      </c>
      <c r="AU225">
        <f>VLOOKUP(Table29[[#This Row],[Shortname]], Comp[], 26, FALSE)</f>
        <v>0</v>
      </c>
      <c r="AV225">
        <f>VLOOKUP(Table29[[#This Row],[Shortname]], Comp[], 27, FALSE)</f>
        <v>0</v>
      </c>
      <c r="AW225">
        <f>VLOOKUP(Table29[[#This Row],[Shortname]], Comp[], 28, FALSE)</f>
        <v>0</v>
      </c>
      <c r="AX225">
        <f>VLOOKUP(Table29[[#This Row],[Shortname]], Comp[], 29, FALSE)</f>
        <v>0</v>
      </c>
      <c r="AY225">
        <f>VLOOKUP(Table29[[#This Row],[Shortname]], Comp[], 30, FALSE)</f>
        <v>0</v>
      </c>
      <c r="AZ225">
        <f>VLOOKUP(Table29[[#This Row],[Shortname]], Comp[], 31, FALSE)</f>
        <v>0</v>
      </c>
    </row>
    <row r="226" spans="1:52" x14ac:dyDescent="0.3">
      <c r="A226" t="s">
        <v>2550</v>
      </c>
      <c r="B226">
        <v>210</v>
      </c>
      <c r="C226">
        <v>337</v>
      </c>
      <c r="D226" t="s">
        <v>11</v>
      </c>
      <c r="E226" t="s">
        <v>31</v>
      </c>
      <c r="F226" t="s">
        <v>2552</v>
      </c>
      <c r="G226" t="s">
        <v>2543</v>
      </c>
      <c r="H226">
        <v>379</v>
      </c>
      <c r="I226">
        <v>6.1799999999999998E-8</v>
      </c>
      <c r="J226">
        <f>0.01/Table29[[#This Row],[Strain Rate (min) /s]]</f>
        <v>161812.29773462785</v>
      </c>
      <c r="K226">
        <f>LOG(Table29[[#This Row],[Time to 1% strain (s)]])</f>
        <v>5.2090115249111841</v>
      </c>
      <c r="L226">
        <v>850</v>
      </c>
      <c r="M226">
        <v>6.1</v>
      </c>
      <c r="P226" t="s">
        <v>7111</v>
      </c>
      <c r="Q226">
        <v>1250</v>
      </c>
      <c r="R226">
        <v>48</v>
      </c>
      <c r="S226">
        <v>900</v>
      </c>
      <c r="T226">
        <v>168</v>
      </c>
      <c r="W226">
        <v>1</v>
      </c>
      <c r="X226">
        <v>10</v>
      </c>
      <c r="Y226">
        <v>81</v>
      </c>
      <c r="AA226">
        <f>VLOOKUP(Table29[[#This Row],[Shortname]], Comp[], 6, FALSE)</f>
        <v>337</v>
      </c>
      <c r="AB226" s="14">
        <f>VLOOKUP(Table29[[#This Row],[Shortname]], Comp[], 7, FALSE)</f>
        <v>46.700999999999993</v>
      </c>
      <c r="AC226">
        <f>VLOOKUP(Table29[[#This Row],[Shortname]], Comp[], 8, FALSE)</f>
        <v>31.3</v>
      </c>
      <c r="AD226">
        <f>VLOOKUP(Table29[[#This Row],[Shortname]], Comp[], 9, FALSE)</f>
        <v>6.56</v>
      </c>
      <c r="AE226">
        <f>VLOOKUP(Table29[[#This Row],[Shortname]], Comp[], 10, FALSE)</f>
        <v>4.18</v>
      </c>
      <c r="AF226">
        <f>VLOOKUP(Table29[[#This Row],[Shortname]], Comp[], 11, FALSE)</f>
        <v>2.1</v>
      </c>
      <c r="AG226">
        <f>VLOOKUP(Table29[[#This Row],[Shortname]], Comp[],12, FALSE)</f>
        <v>3.92</v>
      </c>
      <c r="AH226">
        <f>VLOOKUP(Table29[[#This Row],[Shortname]], Comp[], 13, FALSE)</f>
        <v>1.02</v>
      </c>
      <c r="AI226">
        <f>VLOOKUP(Table29[[#This Row],[Shortname]], Comp[], 14, FALSE)</f>
        <v>0.95</v>
      </c>
      <c r="AJ226">
        <f>VLOOKUP(Table29[[#This Row],[Shortname]], Comp[], 15, FALSE)</f>
        <v>0</v>
      </c>
      <c r="AK226">
        <f>VLOOKUP(Table29[[#This Row],[Shortname]], Comp[], 16, FALSE)</f>
        <v>3.15</v>
      </c>
      <c r="AL226">
        <f>VLOOKUP(Table29[[#This Row],[Shortname]], Comp[], 17, FALSE)</f>
        <v>0</v>
      </c>
      <c r="AM226">
        <f>VLOOKUP(Table29[[#This Row],[Shortname]], Comp[], 18, FALSE)</f>
        <v>0</v>
      </c>
      <c r="AN226">
        <f>VLOOKUP(Table29[[#This Row],[Shortname]], Comp[], 19, FALSE)</f>
        <v>0.11899999999999999</v>
      </c>
      <c r="AO226">
        <f>VLOOKUP(Table29[[#This Row],[Shortname]], Comp[], 20, FALSE)</f>
        <v>0</v>
      </c>
      <c r="AP226">
        <f>VLOOKUP(Table29[[#This Row],[Shortname]], Comp[], 21, FALSE)</f>
        <v>0</v>
      </c>
      <c r="AQ226">
        <f>VLOOKUP(Table29[[#This Row],[Shortname]], Comp[], 22, FALSE)</f>
        <v>0</v>
      </c>
      <c r="AR226">
        <f>VLOOKUP(Table29[[#This Row],[Shortname]], Comp[], 23, FALSE)</f>
        <v>0</v>
      </c>
      <c r="AS226">
        <f>VLOOKUP(Table29[[#This Row],[Shortname]], Comp[], 24, FALSE)</f>
        <v>0</v>
      </c>
      <c r="AT226">
        <f>VLOOKUP(Table29[[#This Row],[Shortname]], Comp[], 25, FALSE)</f>
        <v>0</v>
      </c>
      <c r="AU226">
        <f>VLOOKUP(Table29[[#This Row],[Shortname]], Comp[], 26, FALSE)</f>
        <v>0</v>
      </c>
      <c r="AV226">
        <f>VLOOKUP(Table29[[#This Row],[Shortname]], Comp[], 27, FALSE)</f>
        <v>0</v>
      </c>
      <c r="AW226">
        <f>VLOOKUP(Table29[[#This Row],[Shortname]], Comp[], 28, FALSE)</f>
        <v>0</v>
      </c>
      <c r="AX226">
        <f>VLOOKUP(Table29[[#This Row],[Shortname]], Comp[], 29, FALSE)</f>
        <v>0</v>
      </c>
      <c r="AY226">
        <f>VLOOKUP(Table29[[#This Row],[Shortname]], Comp[], 30, FALSE)</f>
        <v>0</v>
      </c>
      <c r="AZ226">
        <f>VLOOKUP(Table29[[#This Row],[Shortname]], Comp[], 31, FALSE)</f>
        <v>0</v>
      </c>
    </row>
    <row r="227" spans="1:52" x14ac:dyDescent="0.3">
      <c r="A227" t="s">
        <v>2550</v>
      </c>
      <c r="B227">
        <v>211</v>
      </c>
      <c r="C227">
        <v>337</v>
      </c>
      <c r="D227" t="s">
        <v>11</v>
      </c>
      <c r="E227" t="s">
        <v>31</v>
      </c>
      <c r="F227" t="s">
        <v>2552</v>
      </c>
      <c r="G227" t="s">
        <v>2543</v>
      </c>
      <c r="H227">
        <v>395</v>
      </c>
      <c r="I227">
        <v>8.28E-8</v>
      </c>
      <c r="J227">
        <f>0.01/Table29[[#This Row],[Strain Rate (min) /s]]</f>
        <v>120772.94685990339</v>
      </c>
      <c r="K227">
        <f>LOG(Table29[[#This Row],[Time to 1% strain (s)]])</f>
        <v>5.0819696632151201</v>
      </c>
      <c r="L227">
        <v>850</v>
      </c>
      <c r="M227">
        <v>6.1</v>
      </c>
      <c r="P227" t="s">
        <v>7111</v>
      </c>
      <c r="Q227">
        <v>1250</v>
      </c>
      <c r="R227">
        <v>48</v>
      </c>
      <c r="S227">
        <v>900</v>
      </c>
      <c r="T227">
        <v>168</v>
      </c>
      <c r="W227">
        <v>1</v>
      </c>
      <c r="X227">
        <v>10</v>
      </c>
      <c r="Y227">
        <v>81</v>
      </c>
      <c r="AA227">
        <f>VLOOKUP(Table29[[#This Row],[Shortname]], Comp[], 6, FALSE)</f>
        <v>337</v>
      </c>
      <c r="AB227" s="14">
        <f>VLOOKUP(Table29[[#This Row],[Shortname]], Comp[], 7, FALSE)</f>
        <v>46.700999999999993</v>
      </c>
      <c r="AC227">
        <f>VLOOKUP(Table29[[#This Row],[Shortname]], Comp[], 8, FALSE)</f>
        <v>31.3</v>
      </c>
      <c r="AD227">
        <f>VLOOKUP(Table29[[#This Row],[Shortname]], Comp[], 9, FALSE)</f>
        <v>6.56</v>
      </c>
      <c r="AE227">
        <f>VLOOKUP(Table29[[#This Row],[Shortname]], Comp[], 10, FALSE)</f>
        <v>4.18</v>
      </c>
      <c r="AF227">
        <f>VLOOKUP(Table29[[#This Row],[Shortname]], Comp[], 11, FALSE)</f>
        <v>2.1</v>
      </c>
      <c r="AG227">
        <f>VLOOKUP(Table29[[#This Row],[Shortname]], Comp[],12, FALSE)</f>
        <v>3.92</v>
      </c>
      <c r="AH227">
        <f>VLOOKUP(Table29[[#This Row],[Shortname]], Comp[], 13, FALSE)</f>
        <v>1.02</v>
      </c>
      <c r="AI227">
        <f>VLOOKUP(Table29[[#This Row],[Shortname]], Comp[], 14, FALSE)</f>
        <v>0.95</v>
      </c>
      <c r="AJ227">
        <f>VLOOKUP(Table29[[#This Row],[Shortname]], Comp[], 15, FALSE)</f>
        <v>0</v>
      </c>
      <c r="AK227">
        <f>VLOOKUP(Table29[[#This Row],[Shortname]], Comp[], 16, FALSE)</f>
        <v>3.15</v>
      </c>
      <c r="AL227">
        <f>VLOOKUP(Table29[[#This Row],[Shortname]], Comp[], 17, FALSE)</f>
        <v>0</v>
      </c>
      <c r="AM227">
        <f>VLOOKUP(Table29[[#This Row],[Shortname]], Comp[], 18, FALSE)</f>
        <v>0</v>
      </c>
      <c r="AN227">
        <f>VLOOKUP(Table29[[#This Row],[Shortname]], Comp[], 19, FALSE)</f>
        <v>0.11899999999999999</v>
      </c>
      <c r="AO227">
        <f>VLOOKUP(Table29[[#This Row],[Shortname]], Comp[], 20, FALSE)</f>
        <v>0</v>
      </c>
      <c r="AP227">
        <f>VLOOKUP(Table29[[#This Row],[Shortname]], Comp[], 21, FALSE)</f>
        <v>0</v>
      </c>
      <c r="AQ227">
        <f>VLOOKUP(Table29[[#This Row],[Shortname]], Comp[], 22, FALSE)</f>
        <v>0</v>
      </c>
      <c r="AR227">
        <f>VLOOKUP(Table29[[#This Row],[Shortname]], Comp[], 23, FALSE)</f>
        <v>0</v>
      </c>
      <c r="AS227">
        <f>VLOOKUP(Table29[[#This Row],[Shortname]], Comp[], 24, FALSE)</f>
        <v>0</v>
      </c>
      <c r="AT227">
        <f>VLOOKUP(Table29[[#This Row],[Shortname]], Comp[], 25, FALSE)</f>
        <v>0</v>
      </c>
      <c r="AU227">
        <f>VLOOKUP(Table29[[#This Row],[Shortname]], Comp[], 26, FALSE)</f>
        <v>0</v>
      </c>
      <c r="AV227">
        <f>VLOOKUP(Table29[[#This Row],[Shortname]], Comp[], 27, FALSE)</f>
        <v>0</v>
      </c>
      <c r="AW227">
        <f>VLOOKUP(Table29[[#This Row],[Shortname]], Comp[], 28, FALSE)</f>
        <v>0</v>
      </c>
      <c r="AX227">
        <f>VLOOKUP(Table29[[#This Row],[Shortname]], Comp[], 29, FALSE)</f>
        <v>0</v>
      </c>
      <c r="AY227">
        <f>VLOOKUP(Table29[[#This Row],[Shortname]], Comp[], 30, FALSE)</f>
        <v>0</v>
      </c>
      <c r="AZ227">
        <f>VLOOKUP(Table29[[#This Row],[Shortname]], Comp[], 31, FALSE)</f>
        <v>0</v>
      </c>
    </row>
    <row r="228" spans="1:52" x14ac:dyDescent="0.3">
      <c r="A228" t="s">
        <v>2934</v>
      </c>
      <c r="B228">
        <v>220</v>
      </c>
      <c r="C228">
        <v>401</v>
      </c>
      <c r="D228" t="s">
        <v>2935</v>
      </c>
      <c r="E228" t="s">
        <v>95</v>
      </c>
      <c r="F228" t="s">
        <v>2552</v>
      </c>
      <c r="G228" t="s">
        <v>2932</v>
      </c>
      <c r="H228">
        <v>350</v>
      </c>
      <c r="I228">
        <v>2.22E-7</v>
      </c>
      <c r="J228">
        <f>0.01/Table29[[#This Row],[Strain Rate (min) /s]]</f>
        <v>45045.045045045044</v>
      </c>
      <c r="K228">
        <f>LOG(Table29[[#This Row],[Time to 1% strain (s)]])</f>
        <v>4.6536470255493612</v>
      </c>
      <c r="L228">
        <v>850</v>
      </c>
      <c r="P228" t="s">
        <v>7112</v>
      </c>
      <c r="Q228">
        <v>1300</v>
      </c>
      <c r="R228">
        <v>12</v>
      </c>
      <c r="S228">
        <v>900</v>
      </c>
      <c r="T228">
        <v>200</v>
      </c>
      <c r="W228">
        <v>1</v>
      </c>
      <c r="X228">
        <v>10</v>
      </c>
      <c r="Y228">
        <v>57</v>
      </c>
      <c r="AA228">
        <f>VLOOKUP(Table29[[#This Row],[Shortname]], Comp[], 6, FALSE)</f>
        <v>401</v>
      </c>
      <c r="AB228" s="14">
        <f>VLOOKUP(Table29[[#This Row],[Shortname]], Comp[], 7, FALSE)</f>
        <v>78</v>
      </c>
      <c r="AC228">
        <f>VLOOKUP(Table29[[#This Row],[Shortname]], Comp[], 8, FALSE)</f>
        <v>0</v>
      </c>
      <c r="AD228">
        <f>VLOOKUP(Table29[[#This Row],[Shortname]], Comp[], 9, FALSE)</f>
        <v>9</v>
      </c>
      <c r="AE228">
        <f>VLOOKUP(Table29[[#This Row],[Shortname]], Comp[], 10, FALSE)</f>
        <v>4</v>
      </c>
      <c r="AF228">
        <f>VLOOKUP(Table29[[#This Row],[Shortname]], Comp[], 11, FALSE)</f>
        <v>9</v>
      </c>
      <c r="AG228">
        <f>VLOOKUP(Table29[[#This Row],[Shortname]], Comp[],12, FALSE)</f>
        <v>0</v>
      </c>
      <c r="AH228">
        <f>VLOOKUP(Table29[[#This Row],[Shortname]], Comp[], 13, FALSE)</f>
        <v>0</v>
      </c>
      <c r="AI228">
        <f>VLOOKUP(Table29[[#This Row],[Shortname]], Comp[], 14, FALSE)</f>
        <v>0</v>
      </c>
      <c r="AJ228">
        <f>VLOOKUP(Table29[[#This Row],[Shortname]], Comp[], 15, FALSE)</f>
        <v>0</v>
      </c>
      <c r="AK228">
        <f>VLOOKUP(Table29[[#This Row],[Shortname]], Comp[], 16, FALSE)</f>
        <v>0</v>
      </c>
      <c r="AL228">
        <f>VLOOKUP(Table29[[#This Row],[Shortname]], Comp[], 17, FALSE)</f>
        <v>0</v>
      </c>
      <c r="AM228">
        <f>VLOOKUP(Table29[[#This Row],[Shortname]], Comp[], 18, FALSE)</f>
        <v>0</v>
      </c>
      <c r="AN228">
        <f>VLOOKUP(Table29[[#This Row],[Shortname]], Comp[], 19, FALSE)</f>
        <v>0</v>
      </c>
      <c r="AO228">
        <f>VLOOKUP(Table29[[#This Row],[Shortname]], Comp[], 20, FALSE)</f>
        <v>0</v>
      </c>
      <c r="AP228">
        <f>VLOOKUP(Table29[[#This Row],[Shortname]], Comp[], 21, FALSE)</f>
        <v>0</v>
      </c>
      <c r="AQ228">
        <f>VLOOKUP(Table29[[#This Row],[Shortname]], Comp[], 22, FALSE)</f>
        <v>0</v>
      </c>
      <c r="AR228">
        <f>VLOOKUP(Table29[[#This Row],[Shortname]], Comp[], 23, FALSE)</f>
        <v>0</v>
      </c>
      <c r="AS228">
        <f>VLOOKUP(Table29[[#This Row],[Shortname]], Comp[], 24, FALSE)</f>
        <v>0</v>
      </c>
      <c r="AT228">
        <f>VLOOKUP(Table29[[#This Row],[Shortname]], Comp[], 25, FALSE)</f>
        <v>0</v>
      </c>
      <c r="AU228">
        <f>VLOOKUP(Table29[[#This Row],[Shortname]], Comp[], 26, FALSE)</f>
        <v>0</v>
      </c>
      <c r="AV228">
        <f>VLOOKUP(Table29[[#This Row],[Shortname]], Comp[], 27, FALSE)</f>
        <v>0</v>
      </c>
      <c r="AW228">
        <f>VLOOKUP(Table29[[#This Row],[Shortname]], Comp[], 28, FALSE)</f>
        <v>0</v>
      </c>
      <c r="AX228">
        <f>VLOOKUP(Table29[[#This Row],[Shortname]], Comp[], 29, FALSE)</f>
        <v>0</v>
      </c>
      <c r="AY228">
        <f>VLOOKUP(Table29[[#This Row],[Shortname]], Comp[], 30, FALSE)</f>
        <v>0</v>
      </c>
      <c r="AZ228">
        <f>VLOOKUP(Table29[[#This Row],[Shortname]], Comp[], 31, FALSE)</f>
        <v>0</v>
      </c>
    </row>
    <row r="229" spans="1:52" x14ac:dyDescent="0.3">
      <c r="A229" t="s">
        <v>2934</v>
      </c>
      <c r="B229">
        <v>221</v>
      </c>
      <c r="C229">
        <v>401</v>
      </c>
      <c r="D229" t="s">
        <v>11</v>
      </c>
      <c r="E229" t="s">
        <v>95</v>
      </c>
      <c r="F229" t="s">
        <v>2552</v>
      </c>
      <c r="G229" t="s">
        <v>2932</v>
      </c>
      <c r="H229">
        <v>400</v>
      </c>
      <c r="I229">
        <v>9.8700000000000004E-7</v>
      </c>
      <c r="J229">
        <f>0.01/Table29[[#This Row],[Strain Rate (min) /s]]</f>
        <v>10131.712259371834</v>
      </c>
      <c r="K229">
        <f>LOG(Table29[[#This Row],[Time to 1% strain (s)]])</f>
        <v>4.0056828473303634</v>
      </c>
      <c r="L229">
        <v>850</v>
      </c>
      <c r="P229" t="s">
        <v>7112</v>
      </c>
      <c r="Q229">
        <v>1300</v>
      </c>
      <c r="R229">
        <v>12</v>
      </c>
      <c r="S229">
        <v>900</v>
      </c>
      <c r="T229">
        <v>200</v>
      </c>
      <c r="W229">
        <v>1</v>
      </c>
      <c r="X229">
        <v>10</v>
      </c>
      <c r="Y229">
        <v>57</v>
      </c>
      <c r="AA229">
        <f>VLOOKUP(Table29[[#This Row],[Shortname]], Comp[], 6, FALSE)</f>
        <v>401</v>
      </c>
      <c r="AB229" s="14">
        <f>VLOOKUP(Table29[[#This Row],[Shortname]], Comp[], 7, FALSE)</f>
        <v>78</v>
      </c>
      <c r="AC229">
        <f>VLOOKUP(Table29[[#This Row],[Shortname]], Comp[], 8, FALSE)</f>
        <v>0</v>
      </c>
      <c r="AD229">
        <f>VLOOKUP(Table29[[#This Row],[Shortname]], Comp[], 9, FALSE)</f>
        <v>9</v>
      </c>
      <c r="AE229">
        <f>VLOOKUP(Table29[[#This Row],[Shortname]], Comp[], 10, FALSE)</f>
        <v>4</v>
      </c>
      <c r="AF229">
        <f>VLOOKUP(Table29[[#This Row],[Shortname]], Comp[], 11, FALSE)</f>
        <v>9</v>
      </c>
      <c r="AG229">
        <f>VLOOKUP(Table29[[#This Row],[Shortname]], Comp[],12, FALSE)</f>
        <v>0</v>
      </c>
      <c r="AH229">
        <f>VLOOKUP(Table29[[#This Row],[Shortname]], Comp[], 13, FALSE)</f>
        <v>0</v>
      </c>
      <c r="AI229">
        <f>VLOOKUP(Table29[[#This Row],[Shortname]], Comp[], 14, FALSE)</f>
        <v>0</v>
      </c>
      <c r="AJ229">
        <f>VLOOKUP(Table29[[#This Row],[Shortname]], Comp[], 15, FALSE)</f>
        <v>0</v>
      </c>
      <c r="AK229">
        <f>VLOOKUP(Table29[[#This Row],[Shortname]], Comp[], 16, FALSE)</f>
        <v>0</v>
      </c>
      <c r="AL229">
        <f>VLOOKUP(Table29[[#This Row],[Shortname]], Comp[], 17, FALSE)</f>
        <v>0</v>
      </c>
      <c r="AM229">
        <f>VLOOKUP(Table29[[#This Row],[Shortname]], Comp[], 18, FALSE)</f>
        <v>0</v>
      </c>
      <c r="AN229">
        <f>VLOOKUP(Table29[[#This Row],[Shortname]], Comp[], 19, FALSE)</f>
        <v>0</v>
      </c>
      <c r="AO229">
        <f>VLOOKUP(Table29[[#This Row],[Shortname]], Comp[], 20, FALSE)</f>
        <v>0</v>
      </c>
      <c r="AP229">
        <f>VLOOKUP(Table29[[#This Row],[Shortname]], Comp[], 21, FALSE)</f>
        <v>0</v>
      </c>
      <c r="AQ229">
        <f>VLOOKUP(Table29[[#This Row],[Shortname]], Comp[], 22, FALSE)</f>
        <v>0</v>
      </c>
      <c r="AR229">
        <f>VLOOKUP(Table29[[#This Row],[Shortname]], Comp[], 23, FALSE)</f>
        <v>0</v>
      </c>
      <c r="AS229">
        <f>VLOOKUP(Table29[[#This Row],[Shortname]], Comp[], 24, FALSE)</f>
        <v>0</v>
      </c>
      <c r="AT229">
        <f>VLOOKUP(Table29[[#This Row],[Shortname]], Comp[], 25, FALSE)</f>
        <v>0</v>
      </c>
      <c r="AU229">
        <f>VLOOKUP(Table29[[#This Row],[Shortname]], Comp[], 26, FALSE)</f>
        <v>0</v>
      </c>
      <c r="AV229">
        <f>VLOOKUP(Table29[[#This Row],[Shortname]], Comp[], 27, FALSE)</f>
        <v>0</v>
      </c>
      <c r="AW229">
        <f>VLOOKUP(Table29[[#This Row],[Shortname]], Comp[], 28, FALSE)</f>
        <v>0</v>
      </c>
      <c r="AX229">
        <f>VLOOKUP(Table29[[#This Row],[Shortname]], Comp[], 29, FALSE)</f>
        <v>0</v>
      </c>
      <c r="AY229">
        <f>VLOOKUP(Table29[[#This Row],[Shortname]], Comp[], 30, FALSE)</f>
        <v>0</v>
      </c>
      <c r="AZ229">
        <f>VLOOKUP(Table29[[#This Row],[Shortname]], Comp[], 31, FALSE)</f>
        <v>0</v>
      </c>
    </row>
    <row r="230" spans="1:52" x14ac:dyDescent="0.3">
      <c r="A230" t="s">
        <v>2934</v>
      </c>
      <c r="B230">
        <v>222</v>
      </c>
      <c r="C230">
        <v>401</v>
      </c>
      <c r="D230" t="s">
        <v>11</v>
      </c>
      <c r="E230" t="s">
        <v>95</v>
      </c>
      <c r="F230" t="s">
        <v>2552</v>
      </c>
      <c r="G230" t="s">
        <v>2932</v>
      </c>
      <c r="H230">
        <v>450</v>
      </c>
      <c r="I230">
        <v>6.0000000000000002E-6</v>
      </c>
      <c r="J230">
        <f>0.01/Table29[[#This Row],[Strain Rate (min) /s]]</f>
        <v>1666.6666666666667</v>
      </c>
      <c r="K230">
        <f>LOG(Table29[[#This Row],[Time to 1% strain (s)]])</f>
        <v>3.2218487496163566</v>
      </c>
      <c r="L230">
        <v>850</v>
      </c>
      <c r="P230" t="s">
        <v>7112</v>
      </c>
      <c r="Q230">
        <v>1300</v>
      </c>
      <c r="R230">
        <v>12</v>
      </c>
      <c r="S230">
        <v>900</v>
      </c>
      <c r="T230">
        <v>200</v>
      </c>
      <c r="W230">
        <v>1</v>
      </c>
      <c r="X230">
        <v>10</v>
      </c>
      <c r="Y230">
        <v>57</v>
      </c>
      <c r="AA230">
        <f>VLOOKUP(Table29[[#This Row],[Shortname]], Comp[], 6, FALSE)</f>
        <v>401</v>
      </c>
      <c r="AB230" s="14">
        <f>VLOOKUP(Table29[[#This Row],[Shortname]], Comp[], 7, FALSE)</f>
        <v>78</v>
      </c>
      <c r="AC230">
        <f>VLOOKUP(Table29[[#This Row],[Shortname]], Comp[], 8, FALSE)</f>
        <v>0</v>
      </c>
      <c r="AD230">
        <f>VLOOKUP(Table29[[#This Row],[Shortname]], Comp[], 9, FALSE)</f>
        <v>9</v>
      </c>
      <c r="AE230">
        <f>VLOOKUP(Table29[[#This Row],[Shortname]], Comp[], 10, FALSE)</f>
        <v>4</v>
      </c>
      <c r="AF230">
        <f>VLOOKUP(Table29[[#This Row],[Shortname]], Comp[], 11, FALSE)</f>
        <v>9</v>
      </c>
      <c r="AG230">
        <f>VLOOKUP(Table29[[#This Row],[Shortname]], Comp[],12, FALSE)</f>
        <v>0</v>
      </c>
      <c r="AH230">
        <f>VLOOKUP(Table29[[#This Row],[Shortname]], Comp[], 13, FALSE)</f>
        <v>0</v>
      </c>
      <c r="AI230">
        <f>VLOOKUP(Table29[[#This Row],[Shortname]], Comp[], 14, FALSE)</f>
        <v>0</v>
      </c>
      <c r="AJ230">
        <f>VLOOKUP(Table29[[#This Row],[Shortname]], Comp[], 15, FALSE)</f>
        <v>0</v>
      </c>
      <c r="AK230">
        <f>VLOOKUP(Table29[[#This Row],[Shortname]], Comp[], 16, FALSE)</f>
        <v>0</v>
      </c>
      <c r="AL230">
        <f>VLOOKUP(Table29[[#This Row],[Shortname]], Comp[], 17, FALSE)</f>
        <v>0</v>
      </c>
      <c r="AM230">
        <f>VLOOKUP(Table29[[#This Row],[Shortname]], Comp[], 18, FALSE)</f>
        <v>0</v>
      </c>
      <c r="AN230">
        <f>VLOOKUP(Table29[[#This Row],[Shortname]], Comp[], 19, FALSE)</f>
        <v>0</v>
      </c>
      <c r="AO230">
        <f>VLOOKUP(Table29[[#This Row],[Shortname]], Comp[], 20, FALSE)</f>
        <v>0</v>
      </c>
      <c r="AP230">
        <f>VLOOKUP(Table29[[#This Row],[Shortname]], Comp[], 21, FALSE)</f>
        <v>0</v>
      </c>
      <c r="AQ230">
        <f>VLOOKUP(Table29[[#This Row],[Shortname]], Comp[], 22, FALSE)</f>
        <v>0</v>
      </c>
      <c r="AR230">
        <f>VLOOKUP(Table29[[#This Row],[Shortname]], Comp[], 23, FALSE)</f>
        <v>0</v>
      </c>
      <c r="AS230">
        <f>VLOOKUP(Table29[[#This Row],[Shortname]], Comp[], 24, FALSE)</f>
        <v>0</v>
      </c>
      <c r="AT230">
        <f>VLOOKUP(Table29[[#This Row],[Shortname]], Comp[], 25, FALSE)</f>
        <v>0</v>
      </c>
      <c r="AU230">
        <f>VLOOKUP(Table29[[#This Row],[Shortname]], Comp[], 26, FALSE)</f>
        <v>0</v>
      </c>
      <c r="AV230">
        <f>VLOOKUP(Table29[[#This Row],[Shortname]], Comp[], 27, FALSE)</f>
        <v>0</v>
      </c>
      <c r="AW230">
        <f>VLOOKUP(Table29[[#This Row],[Shortname]], Comp[], 28, FALSE)</f>
        <v>0</v>
      </c>
      <c r="AX230">
        <f>VLOOKUP(Table29[[#This Row],[Shortname]], Comp[], 29, FALSE)</f>
        <v>0</v>
      </c>
      <c r="AY230">
        <f>VLOOKUP(Table29[[#This Row],[Shortname]], Comp[], 30, FALSE)</f>
        <v>0</v>
      </c>
      <c r="AZ230">
        <f>VLOOKUP(Table29[[#This Row],[Shortname]], Comp[], 31, FALSE)</f>
        <v>0</v>
      </c>
    </row>
    <row r="231" spans="1:52" x14ac:dyDescent="0.3">
      <c r="A231" t="s">
        <v>5221</v>
      </c>
      <c r="B231">
        <v>212</v>
      </c>
      <c r="C231">
        <v>338</v>
      </c>
      <c r="D231" t="s">
        <v>5222</v>
      </c>
      <c r="E231" t="s">
        <v>31</v>
      </c>
      <c r="F231" t="s">
        <v>2941</v>
      </c>
      <c r="G231" t="s">
        <v>2543</v>
      </c>
      <c r="H231">
        <v>274</v>
      </c>
      <c r="I231">
        <v>7.3E-9</v>
      </c>
      <c r="J231">
        <f>0.01/Table29[[#This Row],[Strain Rate (min) /s]]</f>
        <v>1369863.0136986303</v>
      </c>
      <c r="K231">
        <f>LOG(Table29[[#This Row],[Time to 1% strain (s)]])</f>
        <v>6.1366771398795441</v>
      </c>
      <c r="L231">
        <v>850</v>
      </c>
      <c r="M231">
        <v>7.6</v>
      </c>
      <c r="P231" t="s">
        <v>7113</v>
      </c>
      <c r="Q231">
        <v>1250</v>
      </c>
      <c r="R231">
        <v>48</v>
      </c>
      <c r="S231">
        <v>900</v>
      </c>
      <c r="T231">
        <v>168</v>
      </c>
      <c r="W231">
        <v>1</v>
      </c>
      <c r="X231">
        <v>10</v>
      </c>
      <c r="Y231">
        <v>72</v>
      </c>
      <c r="AA231">
        <f>VLOOKUP(Table29[[#This Row],[Shortname]], Comp[], 6, FALSE)</f>
        <v>338</v>
      </c>
      <c r="AB231" s="14">
        <f>VLOOKUP(Table29[[#This Row],[Shortname]], Comp[], 7, FALSE)</f>
        <v>44.015999999999998</v>
      </c>
      <c r="AC231">
        <f>VLOOKUP(Table29[[#This Row],[Shortname]], Comp[], 8, FALSE)</f>
        <v>31</v>
      </c>
      <c r="AD231">
        <f>VLOOKUP(Table29[[#This Row],[Shortname]], Comp[], 9, FALSE)</f>
        <v>6.29</v>
      </c>
      <c r="AE231">
        <f>VLOOKUP(Table29[[#This Row],[Shortname]], Comp[], 10, FALSE)</f>
        <v>8.11</v>
      </c>
      <c r="AF231">
        <f>VLOOKUP(Table29[[#This Row],[Shortname]], Comp[], 11, FALSE)</f>
        <v>1.97</v>
      </c>
      <c r="AG231">
        <f>VLOOKUP(Table29[[#This Row],[Shortname]], Comp[],12, FALSE)</f>
        <v>3.73</v>
      </c>
      <c r="AH231">
        <f>VLOOKUP(Table29[[#This Row],[Shortname]], Comp[], 13, FALSE)</f>
        <v>0.96</v>
      </c>
      <c r="AI231">
        <f>VLOOKUP(Table29[[#This Row],[Shortname]], Comp[], 14, FALSE)</f>
        <v>0.89</v>
      </c>
      <c r="AJ231">
        <f>VLOOKUP(Table29[[#This Row],[Shortname]], Comp[], 15, FALSE)</f>
        <v>0</v>
      </c>
      <c r="AK231">
        <f>VLOOKUP(Table29[[#This Row],[Shortname]], Comp[], 16, FALSE)</f>
        <v>2.95</v>
      </c>
      <c r="AL231">
        <f>VLOOKUP(Table29[[#This Row],[Shortname]], Comp[], 17, FALSE)</f>
        <v>0</v>
      </c>
      <c r="AM231">
        <f>VLOOKUP(Table29[[#This Row],[Shortname]], Comp[], 18, FALSE)</f>
        <v>0</v>
      </c>
      <c r="AN231">
        <f>VLOOKUP(Table29[[#This Row],[Shortname]], Comp[], 19, FALSE)</f>
        <v>8.4000000000000005E-2</v>
      </c>
      <c r="AO231">
        <f>VLOOKUP(Table29[[#This Row],[Shortname]], Comp[], 20, FALSE)</f>
        <v>0</v>
      </c>
      <c r="AP231">
        <f>VLOOKUP(Table29[[#This Row],[Shortname]], Comp[], 21, FALSE)</f>
        <v>0</v>
      </c>
      <c r="AQ231">
        <f>VLOOKUP(Table29[[#This Row],[Shortname]], Comp[], 22, FALSE)</f>
        <v>0</v>
      </c>
      <c r="AR231">
        <f>VLOOKUP(Table29[[#This Row],[Shortname]], Comp[], 23, FALSE)</f>
        <v>0</v>
      </c>
      <c r="AS231">
        <f>VLOOKUP(Table29[[#This Row],[Shortname]], Comp[], 24, FALSE)</f>
        <v>0</v>
      </c>
      <c r="AT231">
        <f>VLOOKUP(Table29[[#This Row],[Shortname]], Comp[], 25, FALSE)</f>
        <v>0</v>
      </c>
      <c r="AU231">
        <f>VLOOKUP(Table29[[#This Row],[Shortname]], Comp[], 26, FALSE)</f>
        <v>0</v>
      </c>
      <c r="AV231">
        <f>VLOOKUP(Table29[[#This Row],[Shortname]], Comp[], 27, FALSE)</f>
        <v>0</v>
      </c>
      <c r="AW231">
        <f>VLOOKUP(Table29[[#This Row],[Shortname]], Comp[], 28, FALSE)</f>
        <v>0</v>
      </c>
      <c r="AX231">
        <f>VLOOKUP(Table29[[#This Row],[Shortname]], Comp[], 29, FALSE)</f>
        <v>0</v>
      </c>
      <c r="AY231">
        <f>VLOOKUP(Table29[[#This Row],[Shortname]], Comp[], 30, FALSE)</f>
        <v>0</v>
      </c>
      <c r="AZ231">
        <f>VLOOKUP(Table29[[#This Row],[Shortname]], Comp[], 31, FALSE)</f>
        <v>0</v>
      </c>
    </row>
    <row r="232" spans="1:52" x14ac:dyDescent="0.3">
      <c r="A232" t="s">
        <v>5221</v>
      </c>
      <c r="B232">
        <v>213</v>
      </c>
      <c r="C232">
        <v>338</v>
      </c>
      <c r="D232" t="s">
        <v>11</v>
      </c>
      <c r="E232" t="s">
        <v>31</v>
      </c>
      <c r="F232" t="s">
        <v>2941</v>
      </c>
      <c r="G232" t="s">
        <v>2543</v>
      </c>
      <c r="H232">
        <v>323</v>
      </c>
      <c r="I232">
        <v>1.9499999999999999E-8</v>
      </c>
      <c r="J232">
        <f>0.01/Table29[[#This Row],[Strain Rate (min) /s]]</f>
        <v>512820.51282051287</v>
      </c>
      <c r="K232">
        <f>LOG(Table29[[#This Row],[Time to 1% strain (s)]])</f>
        <v>5.7099653886374817</v>
      </c>
      <c r="L232">
        <v>850</v>
      </c>
      <c r="M232">
        <v>7.6</v>
      </c>
      <c r="P232" t="s">
        <v>7113</v>
      </c>
      <c r="Q232">
        <v>1250</v>
      </c>
      <c r="R232">
        <v>48</v>
      </c>
      <c r="S232">
        <v>900</v>
      </c>
      <c r="T232">
        <v>168</v>
      </c>
      <c r="W232">
        <v>1</v>
      </c>
      <c r="X232">
        <v>10</v>
      </c>
      <c r="Y232">
        <v>72</v>
      </c>
      <c r="AA232">
        <f>VLOOKUP(Table29[[#This Row],[Shortname]], Comp[], 6, FALSE)</f>
        <v>338</v>
      </c>
      <c r="AB232" s="14">
        <f>VLOOKUP(Table29[[#This Row],[Shortname]], Comp[], 7, FALSE)</f>
        <v>44.015999999999998</v>
      </c>
      <c r="AC232">
        <f>VLOOKUP(Table29[[#This Row],[Shortname]], Comp[], 8, FALSE)</f>
        <v>31</v>
      </c>
      <c r="AD232">
        <f>VLOOKUP(Table29[[#This Row],[Shortname]], Comp[], 9, FALSE)</f>
        <v>6.29</v>
      </c>
      <c r="AE232">
        <f>VLOOKUP(Table29[[#This Row],[Shortname]], Comp[], 10, FALSE)</f>
        <v>8.11</v>
      </c>
      <c r="AF232">
        <f>VLOOKUP(Table29[[#This Row],[Shortname]], Comp[], 11, FALSE)</f>
        <v>1.97</v>
      </c>
      <c r="AG232">
        <f>VLOOKUP(Table29[[#This Row],[Shortname]], Comp[],12, FALSE)</f>
        <v>3.73</v>
      </c>
      <c r="AH232">
        <f>VLOOKUP(Table29[[#This Row],[Shortname]], Comp[], 13, FALSE)</f>
        <v>0.96</v>
      </c>
      <c r="AI232">
        <f>VLOOKUP(Table29[[#This Row],[Shortname]], Comp[], 14, FALSE)</f>
        <v>0.89</v>
      </c>
      <c r="AJ232">
        <f>VLOOKUP(Table29[[#This Row],[Shortname]], Comp[], 15, FALSE)</f>
        <v>0</v>
      </c>
      <c r="AK232">
        <f>VLOOKUP(Table29[[#This Row],[Shortname]], Comp[], 16, FALSE)</f>
        <v>2.95</v>
      </c>
      <c r="AL232">
        <f>VLOOKUP(Table29[[#This Row],[Shortname]], Comp[], 17, FALSE)</f>
        <v>0</v>
      </c>
      <c r="AM232">
        <f>VLOOKUP(Table29[[#This Row],[Shortname]], Comp[], 18, FALSE)</f>
        <v>0</v>
      </c>
      <c r="AN232">
        <f>VLOOKUP(Table29[[#This Row],[Shortname]], Comp[], 19, FALSE)</f>
        <v>8.4000000000000005E-2</v>
      </c>
      <c r="AO232">
        <f>VLOOKUP(Table29[[#This Row],[Shortname]], Comp[], 20, FALSE)</f>
        <v>0</v>
      </c>
      <c r="AP232">
        <f>VLOOKUP(Table29[[#This Row],[Shortname]], Comp[], 21, FALSE)</f>
        <v>0</v>
      </c>
      <c r="AQ232">
        <f>VLOOKUP(Table29[[#This Row],[Shortname]], Comp[], 22, FALSE)</f>
        <v>0</v>
      </c>
      <c r="AR232">
        <f>VLOOKUP(Table29[[#This Row],[Shortname]], Comp[], 23, FALSE)</f>
        <v>0</v>
      </c>
      <c r="AS232">
        <f>VLOOKUP(Table29[[#This Row],[Shortname]], Comp[], 24, FALSE)</f>
        <v>0</v>
      </c>
      <c r="AT232">
        <f>VLOOKUP(Table29[[#This Row],[Shortname]], Comp[], 25, FALSE)</f>
        <v>0</v>
      </c>
      <c r="AU232">
        <f>VLOOKUP(Table29[[#This Row],[Shortname]], Comp[], 26, FALSE)</f>
        <v>0</v>
      </c>
      <c r="AV232">
        <f>VLOOKUP(Table29[[#This Row],[Shortname]], Comp[], 27, FALSE)</f>
        <v>0</v>
      </c>
      <c r="AW232">
        <f>VLOOKUP(Table29[[#This Row],[Shortname]], Comp[], 28, FALSE)</f>
        <v>0</v>
      </c>
      <c r="AX232">
        <f>VLOOKUP(Table29[[#This Row],[Shortname]], Comp[], 29, FALSE)</f>
        <v>0</v>
      </c>
      <c r="AY232">
        <f>VLOOKUP(Table29[[#This Row],[Shortname]], Comp[], 30, FALSE)</f>
        <v>0</v>
      </c>
      <c r="AZ232">
        <f>VLOOKUP(Table29[[#This Row],[Shortname]], Comp[], 31, FALSE)</f>
        <v>0</v>
      </c>
    </row>
    <row r="233" spans="1:52" x14ac:dyDescent="0.3">
      <c r="A233" t="s">
        <v>5221</v>
      </c>
      <c r="B233">
        <v>214</v>
      </c>
      <c r="C233">
        <v>338</v>
      </c>
      <c r="D233" t="s">
        <v>11</v>
      </c>
      <c r="E233" t="s">
        <v>31</v>
      </c>
      <c r="F233" t="s">
        <v>2941</v>
      </c>
      <c r="G233" t="s">
        <v>2543</v>
      </c>
      <c r="H233">
        <v>376</v>
      </c>
      <c r="I233">
        <v>9.39E-8</v>
      </c>
      <c r="J233">
        <f>0.01/Table29[[#This Row],[Strain Rate (min) /s]]</f>
        <v>106496.27263045794</v>
      </c>
      <c r="K233">
        <f>LOG(Table29[[#This Row],[Time to 1% strain (s)]])</f>
        <v>5.0273344077338891</v>
      </c>
      <c r="L233">
        <v>850</v>
      </c>
      <c r="M233">
        <v>7.6</v>
      </c>
      <c r="P233" t="s">
        <v>7113</v>
      </c>
      <c r="Q233">
        <v>1250</v>
      </c>
      <c r="R233">
        <v>48</v>
      </c>
      <c r="S233">
        <v>900</v>
      </c>
      <c r="T233">
        <v>168</v>
      </c>
      <c r="W233">
        <v>1</v>
      </c>
      <c r="X233">
        <v>10</v>
      </c>
      <c r="Y233">
        <v>72</v>
      </c>
      <c r="AA233">
        <f>VLOOKUP(Table29[[#This Row],[Shortname]], Comp[], 6, FALSE)</f>
        <v>338</v>
      </c>
      <c r="AB233" s="14">
        <f>VLOOKUP(Table29[[#This Row],[Shortname]], Comp[], 7, FALSE)</f>
        <v>44.015999999999998</v>
      </c>
      <c r="AC233">
        <f>VLOOKUP(Table29[[#This Row],[Shortname]], Comp[], 8, FALSE)</f>
        <v>31</v>
      </c>
      <c r="AD233">
        <f>VLOOKUP(Table29[[#This Row],[Shortname]], Comp[], 9, FALSE)</f>
        <v>6.29</v>
      </c>
      <c r="AE233">
        <f>VLOOKUP(Table29[[#This Row],[Shortname]], Comp[], 10, FALSE)</f>
        <v>8.11</v>
      </c>
      <c r="AF233">
        <f>VLOOKUP(Table29[[#This Row],[Shortname]], Comp[], 11, FALSE)</f>
        <v>1.97</v>
      </c>
      <c r="AG233">
        <f>VLOOKUP(Table29[[#This Row],[Shortname]], Comp[],12, FALSE)</f>
        <v>3.73</v>
      </c>
      <c r="AH233">
        <f>VLOOKUP(Table29[[#This Row],[Shortname]], Comp[], 13, FALSE)</f>
        <v>0.96</v>
      </c>
      <c r="AI233">
        <f>VLOOKUP(Table29[[#This Row],[Shortname]], Comp[], 14, FALSE)</f>
        <v>0.89</v>
      </c>
      <c r="AJ233">
        <f>VLOOKUP(Table29[[#This Row],[Shortname]], Comp[], 15, FALSE)</f>
        <v>0</v>
      </c>
      <c r="AK233">
        <f>VLOOKUP(Table29[[#This Row],[Shortname]], Comp[], 16, FALSE)</f>
        <v>2.95</v>
      </c>
      <c r="AL233">
        <f>VLOOKUP(Table29[[#This Row],[Shortname]], Comp[], 17, FALSE)</f>
        <v>0</v>
      </c>
      <c r="AM233">
        <f>VLOOKUP(Table29[[#This Row],[Shortname]], Comp[], 18, FALSE)</f>
        <v>0</v>
      </c>
      <c r="AN233">
        <f>VLOOKUP(Table29[[#This Row],[Shortname]], Comp[], 19, FALSE)</f>
        <v>8.4000000000000005E-2</v>
      </c>
      <c r="AO233">
        <f>VLOOKUP(Table29[[#This Row],[Shortname]], Comp[], 20, FALSE)</f>
        <v>0</v>
      </c>
      <c r="AP233">
        <f>VLOOKUP(Table29[[#This Row],[Shortname]], Comp[], 21, FALSE)</f>
        <v>0</v>
      </c>
      <c r="AQ233">
        <f>VLOOKUP(Table29[[#This Row],[Shortname]], Comp[], 22, FALSE)</f>
        <v>0</v>
      </c>
      <c r="AR233">
        <f>VLOOKUP(Table29[[#This Row],[Shortname]], Comp[], 23, FALSE)</f>
        <v>0</v>
      </c>
      <c r="AS233">
        <f>VLOOKUP(Table29[[#This Row],[Shortname]], Comp[], 24, FALSE)</f>
        <v>0</v>
      </c>
      <c r="AT233">
        <f>VLOOKUP(Table29[[#This Row],[Shortname]], Comp[], 25, FALSE)</f>
        <v>0</v>
      </c>
      <c r="AU233">
        <f>VLOOKUP(Table29[[#This Row],[Shortname]], Comp[], 26, FALSE)</f>
        <v>0</v>
      </c>
      <c r="AV233">
        <f>VLOOKUP(Table29[[#This Row],[Shortname]], Comp[], 27, FALSE)</f>
        <v>0</v>
      </c>
      <c r="AW233">
        <f>VLOOKUP(Table29[[#This Row],[Shortname]], Comp[], 28, FALSE)</f>
        <v>0</v>
      </c>
      <c r="AX233">
        <f>VLOOKUP(Table29[[#This Row],[Shortname]], Comp[], 29, FALSE)</f>
        <v>0</v>
      </c>
      <c r="AY233">
        <f>VLOOKUP(Table29[[#This Row],[Shortname]], Comp[], 30, FALSE)</f>
        <v>0</v>
      </c>
      <c r="AZ233">
        <f>VLOOKUP(Table29[[#This Row],[Shortname]], Comp[], 31, FALSE)</f>
        <v>0</v>
      </c>
    </row>
    <row r="234" spans="1:52" x14ac:dyDescent="0.3">
      <c r="A234" t="s">
        <v>5221</v>
      </c>
      <c r="B234">
        <v>215</v>
      </c>
      <c r="C234">
        <v>338</v>
      </c>
      <c r="D234" t="s">
        <v>11</v>
      </c>
      <c r="E234" t="s">
        <v>31</v>
      </c>
      <c r="F234" t="s">
        <v>2941</v>
      </c>
      <c r="G234" t="s">
        <v>2543</v>
      </c>
      <c r="H234">
        <v>402</v>
      </c>
      <c r="I234">
        <v>1.23E-7</v>
      </c>
      <c r="J234">
        <f>0.01/Table29[[#This Row],[Strain Rate (min) /s]]</f>
        <v>81300.813008130077</v>
      </c>
      <c r="K234">
        <f>LOG(Table29[[#This Row],[Time to 1% strain (s)]])</f>
        <v>4.9100948885606019</v>
      </c>
      <c r="L234">
        <v>850</v>
      </c>
      <c r="M234">
        <v>7.6</v>
      </c>
      <c r="P234" t="s">
        <v>7113</v>
      </c>
      <c r="Q234">
        <v>1250</v>
      </c>
      <c r="R234">
        <v>48</v>
      </c>
      <c r="S234">
        <v>900</v>
      </c>
      <c r="T234">
        <v>168</v>
      </c>
      <c r="W234">
        <v>1</v>
      </c>
      <c r="X234">
        <v>10</v>
      </c>
      <c r="Y234">
        <v>72</v>
      </c>
      <c r="AA234">
        <f>VLOOKUP(Table29[[#This Row],[Shortname]], Comp[], 6, FALSE)</f>
        <v>338</v>
      </c>
      <c r="AB234" s="14">
        <f>VLOOKUP(Table29[[#This Row],[Shortname]], Comp[], 7, FALSE)</f>
        <v>44.015999999999998</v>
      </c>
      <c r="AC234">
        <f>VLOOKUP(Table29[[#This Row],[Shortname]], Comp[], 8, FALSE)</f>
        <v>31</v>
      </c>
      <c r="AD234">
        <f>VLOOKUP(Table29[[#This Row],[Shortname]], Comp[], 9, FALSE)</f>
        <v>6.29</v>
      </c>
      <c r="AE234">
        <f>VLOOKUP(Table29[[#This Row],[Shortname]], Comp[], 10, FALSE)</f>
        <v>8.11</v>
      </c>
      <c r="AF234">
        <f>VLOOKUP(Table29[[#This Row],[Shortname]], Comp[], 11, FALSE)</f>
        <v>1.97</v>
      </c>
      <c r="AG234">
        <f>VLOOKUP(Table29[[#This Row],[Shortname]], Comp[],12, FALSE)</f>
        <v>3.73</v>
      </c>
      <c r="AH234">
        <f>VLOOKUP(Table29[[#This Row],[Shortname]], Comp[], 13, FALSE)</f>
        <v>0.96</v>
      </c>
      <c r="AI234">
        <f>VLOOKUP(Table29[[#This Row],[Shortname]], Comp[], 14, FALSE)</f>
        <v>0.89</v>
      </c>
      <c r="AJ234">
        <f>VLOOKUP(Table29[[#This Row],[Shortname]], Comp[], 15, FALSE)</f>
        <v>0</v>
      </c>
      <c r="AK234">
        <f>VLOOKUP(Table29[[#This Row],[Shortname]], Comp[], 16, FALSE)</f>
        <v>2.95</v>
      </c>
      <c r="AL234">
        <f>VLOOKUP(Table29[[#This Row],[Shortname]], Comp[], 17, FALSE)</f>
        <v>0</v>
      </c>
      <c r="AM234">
        <f>VLOOKUP(Table29[[#This Row],[Shortname]], Comp[], 18, FALSE)</f>
        <v>0</v>
      </c>
      <c r="AN234">
        <f>VLOOKUP(Table29[[#This Row],[Shortname]], Comp[], 19, FALSE)</f>
        <v>8.4000000000000005E-2</v>
      </c>
      <c r="AO234">
        <f>VLOOKUP(Table29[[#This Row],[Shortname]], Comp[], 20, FALSE)</f>
        <v>0</v>
      </c>
      <c r="AP234">
        <f>VLOOKUP(Table29[[#This Row],[Shortname]], Comp[], 21, FALSE)</f>
        <v>0</v>
      </c>
      <c r="AQ234">
        <f>VLOOKUP(Table29[[#This Row],[Shortname]], Comp[], 22, FALSE)</f>
        <v>0</v>
      </c>
      <c r="AR234">
        <f>VLOOKUP(Table29[[#This Row],[Shortname]], Comp[], 23, FALSE)</f>
        <v>0</v>
      </c>
      <c r="AS234">
        <f>VLOOKUP(Table29[[#This Row],[Shortname]], Comp[], 24, FALSE)</f>
        <v>0</v>
      </c>
      <c r="AT234">
        <f>VLOOKUP(Table29[[#This Row],[Shortname]], Comp[], 25, FALSE)</f>
        <v>0</v>
      </c>
      <c r="AU234">
        <f>VLOOKUP(Table29[[#This Row],[Shortname]], Comp[], 26, FALSE)</f>
        <v>0</v>
      </c>
      <c r="AV234">
        <f>VLOOKUP(Table29[[#This Row],[Shortname]], Comp[], 27, FALSE)</f>
        <v>0</v>
      </c>
      <c r="AW234">
        <f>VLOOKUP(Table29[[#This Row],[Shortname]], Comp[], 28, FALSE)</f>
        <v>0</v>
      </c>
      <c r="AX234">
        <f>VLOOKUP(Table29[[#This Row],[Shortname]], Comp[], 29, FALSE)</f>
        <v>0</v>
      </c>
      <c r="AY234">
        <f>VLOOKUP(Table29[[#This Row],[Shortname]], Comp[], 30, FALSE)</f>
        <v>0</v>
      </c>
      <c r="AZ234">
        <f>VLOOKUP(Table29[[#This Row],[Shortname]], Comp[], 31, FALSE)</f>
        <v>0</v>
      </c>
    </row>
    <row r="235" spans="1:52" x14ac:dyDescent="0.3">
      <c r="A235" t="s">
        <v>2939</v>
      </c>
      <c r="B235">
        <v>223</v>
      </c>
      <c r="C235">
        <v>402</v>
      </c>
      <c r="D235" t="s">
        <v>2940</v>
      </c>
      <c r="E235" t="s">
        <v>95</v>
      </c>
      <c r="F235" t="s">
        <v>2941</v>
      </c>
      <c r="G235" t="s">
        <v>2932</v>
      </c>
      <c r="H235">
        <v>350</v>
      </c>
      <c r="I235">
        <v>1.7799999999999999E-6</v>
      </c>
      <c r="J235">
        <f>0.01/Table29[[#This Row],[Strain Rate (min) /s]]</f>
        <v>5617.9775280898884</v>
      </c>
      <c r="K235">
        <f>LOG(Table29[[#This Row],[Time to 1% strain (s)]])</f>
        <v>3.7495799976911059</v>
      </c>
      <c r="L235">
        <v>850</v>
      </c>
      <c r="P235" t="s">
        <v>7114</v>
      </c>
      <c r="Q235">
        <v>1300</v>
      </c>
      <c r="R235">
        <v>12</v>
      </c>
      <c r="S235">
        <v>900</v>
      </c>
      <c r="T235">
        <v>200</v>
      </c>
      <c r="W235">
        <v>1</v>
      </c>
      <c r="X235">
        <v>10</v>
      </c>
      <c r="Y235">
        <v>64</v>
      </c>
      <c r="AA235">
        <f>VLOOKUP(Table29[[#This Row],[Shortname]], Comp[], 6, FALSE)</f>
        <v>402</v>
      </c>
      <c r="AB235" s="14">
        <f>VLOOKUP(Table29[[#This Row],[Shortname]], Comp[], 7, FALSE)</f>
        <v>74</v>
      </c>
      <c r="AC235">
        <f>VLOOKUP(Table29[[#This Row],[Shortname]], Comp[], 8, FALSE)</f>
        <v>0</v>
      </c>
      <c r="AD235">
        <f>VLOOKUP(Table29[[#This Row],[Shortname]], Comp[], 9, FALSE)</f>
        <v>9</v>
      </c>
      <c r="AE235">
        <f>VLOOKUP(Table29[[#This Row],[Shortname]], Comp[], 10, FALSE)</f>
        <v>8</v>
      </c>
      <c r="AF235">
        <f>VLOOKUP(Table29[[#This Row],[Shortname]], Comp[], 11, FALSE)</f>
        <v>9</v>
      </c>
      <c r="AG235">
        <f>VLOOKUP(Table29[[#This Row],[Shortname]], Comp[],12, FALSE)</f>
        <v>0</v>
      </c>
      <c r="AH235">
        <f>VLOOKUP(Table29[[#This Row],[Shortname]], Comp[], 13, FALSE)</f>
        <v>0</v>
      </c>
      <c r="AI235">
        <f>VLOOKUP(Table29[[#This Row],[Shortname]], Comp[], 14, FALSE)</f>
        <v>0</v>
      </c>
      <c r="AJ235">
        <f>VLOOKUP(Table29[[#This Row],[Shortname]], Comp[], 15, FALSE)</f>
        <v>0</v>
      </c>
      <c r="AK235">
        <f>VLOOKUP(Table29[[#This Row],[Shortname]], Comp[], 16, FALSE)</f>
        <v>0</v>
      </c>
      <c r="AL235">
        <f>VLOOKUP(Table29[[#This Row],[Shortname]], Comp[], 17, FALSE)</f>
        <v>0</v>
      </c>
      <c r="AM235">
        <f>VLOOKUP(Table29[[#This Row],[Shortname]], Comp[], 18, FALSE)</f>
        <v>0</v>
      </c>
      <c r="AN235">
        <f>VLOOKUP(Table29[[#This Row],[Shortname]], Comp[], 19, FALSE)</f>
        <v>0</v>
      </c>
      <c r="AO235">
        <f>VLOOKUP(Table29[[#This Row],[Shortname]], Comp[], 20, FALSE)</f>
        <v>0</v>
      </c>
      <c r="AP235">
        <f>VLOOKUP(Table29[[#This Row],[Shortname]], Comp[], 21, FALSE)</f>
        <v>0</v>
      </c>
      <c r="AQ235">
        <f>VLOOKUP(Table29[[#This Row],[Shortname]], Comp[], 22, FALSE)</f>
        <v>0</v>
      </c>
      <c r="AR235">
        <f>VLOOKUP(Table29[[#This Row],[Shortname]], Comp[], 23, FALSE)</f>
        <v>0</v>
      </c>
      <c r="AS235">
        <f>VLOOKUP(Table29[[#This Row],[Shortname]], Comp[], 24, FALSE)</f>
        <v>0</v>
      </c>
      <c r="AT235">
        <f>VLOOKUP(Table29[[#This Row],[Shortname]], Comp[], 25, FALSE)</f>
        <v>0</v>
      </c>
      <c r="AU235">
        <f>VLOOKUP(Table29[[#This Row],[Shortname]], Comp[], 26, FALSE)</f>
        <v>0</v>
      </c>
      <c r="AV235">
        <f>VLOOKUP(Table29[[#This Row],[Shortname]], Comp[], 27, FALSE)</f>
        <v>0</v>
      </c>
      <c r="AW235">
        <f>VLOOKUP(Table29[[#This Row],[Shortname]], Comp[], 28, FALSE)</f>
        <v>0</v>
      </c>
      <c r="AX235">
        <f>VLOOKUP(Table29[[#This Row],[Shortname]], Comp[], 29, FALSE)</f>
        <v>0</v>
      </c>
      <c r="AY235">
        <f>VLOOKUP(Table29[[#This Row],[Shortname]], Comp[], 30, FALSE)</f>
        <v>0</v>
      </c>
      <c r="AZ235">
        <f>VLOOKUP(Table29[[#This Row],[Shortname]], Comp[], 31, FALSE)</f>
        <v>0</v>
      </c>
    </row>
    <row r="236" spans="1:52" x14ac:dyDescent="0.3">
      <c r="A236" t="s">
        <v>2939</v>
      </c>
      <c r="B236">
        <v>224</v>
      </c>
      <c r="C236">
        <v>402</v>
      </c>
      <c r="D236" t="s">
        <v>11</v>
      </c>
      <c r="E236" t="s">
        <v>95</v>
      </c>
      <c r="F236" t="s">
        <v>2941</v>
      </c>
      <c r="G236" t="s">
        <v>2932</v>
      </c>
      <c r="H236">
        <v>400</v>
      </c>
      <c r="I236">
        <v>4.2200000000000003E-6</v>
      </c>
      <c r="J236">
        <f>0.01/Table29[[#This Row],[Strain Rate (min) /s]]</f>
        <v>2369.6682464454975</v>
      </c>
      <c r="K236">
        <f>LOG(Table29[[#This Row],[Time to 1% strain (s)]])</f>
        <v>3.3746875490383261</v>
      </c>
      <c r="L236">
        <v>850</v>
      </c>
      <c r="P236" t="s">
        <v>7114</v>
      </c>
      <c r="Q236">
        <v>1300</v>
      </c>
      <c r="R236">
        <v>12</v>
      </c>
      <c r="S236">
        <v>900</v>
      </c>
      <c r="T236">
        <v>200</v>
      </c>
      <c r="W236">
        <v>1</v>
      </c>
      <c r="X236">
        <v>10</v>
      </c>
      <c r="Y236">
        <v>64</v>
      </c>
      <c r="AA236">
        <f>VLOOKUP(Table29[[#This Row],[Shortname]], Comp[], 6, FALSE)</f>
        <v>402</v>
      </c>
      <c r="AB236" s="14">
        <f>VLOOKUP(Table29[[#This Row],[Shortname]], Comp[], 7, FALSE)</f>
        <v>74</v>
      </c>
      <c r="AC236">
        <f>VLOOKUP(Table29[[#This Row],[Shortname]], Comp[], 8, FALSE)</f>
        <v>0</v>
      </c>
      <c r="AD236">
        <f>VLOOKUP(Table29[[#This Row],[Shortname]], Comp[], 9, FALSE)</f>
        <v>9</v>
      </c>
      <c r="AE236">
        <f>VLOOKUP(Table29[[#This Row],[Shortname]], Comp[], 10, FALSE)</f>
        <v>8</v>
      </c>
      <c r="AF236">
        <f>VLOOKUP(Table29[[#This Row],[Shortname]], Comp[], 11, FALSE)</f>
        <v>9</v>
      </c>
      <c r="AG236">
        <f>VLOOKUP(Table29[[#This Row],[Shortname]], Comp[],12, FALSE)</f>
        <v>0</v>
      </c>
      <c r="AH236">
        <f>VLOOKUP(Table29[[#This Row],[Shortname]], Comp[], 13, FALSE)</f>
        <v>0</v>
      </c>
      <c r="AI236">
        <f>VLOOKUP(Table29[[#This Row],[Shortname]], Comp[], 14, FALSE)</f>
        <v>0</v>
      </c>
      <c r="AJ236">
        <f>VLOOKUP(Table29[[#This Row],[Shortname]], Comp[], 15, FALSE)</f>
        <v>0</v>
      </c>
      <c r="AK236">
        <f>VLOOKUP(Table29[[#This Row],[Shortname]], Comp[], 16, FALSE)</f>
        <v>0</v>
      </c>
      <c r="AL236">
        <f>VLOOKUP(Table29[[#This Row],[Shortname]], Comp[], 17, FALSE)</f>
        <v>0</v>
      </c>
      <c r="AM236">
        <f>VLOOKUP(Table29[[#This Row],[Shortname]], Comp[], 18, FALSE)</f>
        <v>0</v>
      </c>
      <c r="AN236">
        <f>VLOOKUP(Table29[[#This Row],[Shortname]], Comp[], 19, FALSE)</f>
        <v>0</v>
      </c>
      <c r="AO236">
        <f>VLOOKUP(Table29[[#This Row],[Shortname]], Comp[], 20, FALSE)</f>
        <v>0</v>
      </c>
      <c r="AP236">
        <f>VLOOKUP(Table29[[#This Row],[Shortname]], Comp[], 21, FALSE)</f>
        <v>0</v>
      </c>
      <c r="AQ236">
        <f>VLOOKUP(Table29[[#This Row],[Shortname]], Comp[], 22, FALSE)</f>
        <v>0</v>
      </c>
      <c r="AR236">
        <f>VLOOKUP(Table29[[#This Row],[Shortname]], Comp[], 23, FALSE)</f>
        <v>0</v>
      </c>
      <c r="AS236">
        <f>VLOOKUP(Table29[[#This Row],[Shortname]], Comp[], 24, FALSE)</f>
        <v>0</v>
      </c>
      <c r="AT236">
        <f>VLOOKUP(Table29[[#This Row],[Shortname]], Comp[], 25, FALSE)</f>
        <v>0</v>
      </c>
      <c r="AU236">
        <f>VLOOKUP(Table29[[#This Row],[Shortname]], Comp[], 26, FALSE)</f>
        <v>0</v>
      </c>
      <c r="AV236">
        <f>VLOOKUP(Table29[[#This Row],[Shortname]], Comp[], 27, FALSE)</f>
        <v>0</v>
      </c>
      <c r="AW236">
        <f>VLOOKUP(Table29[[#This Row],[Shortname]], Comp[], 28, FALSE)</f>
        <v>0</v>
      </c>
      <c r="AX236">
        <f>VLOOKUP(Table29[[#This Row],[Shortname]], Comp[], 29, FALSE)</f>
        <v>0</v>
      </c>
      <c r="AY236">
        <f>VLOOKUP(Table29[[#This Row],[Shortname]], Comp[], 30, FALSE)</f>
        <v>0</v>
      </c>
      <c r="AZ236">
        <f>VLOOKUP(Table29[[#This Row],[Shortname]], Comp[], 31, FALSE)</f>
        <v>0</v>
      </c>
    </row>
    <row r="237" spans="1:52" x14ac:dyDescent="0.3">
      <c r="A237" t="s">
        <v>2939</v>
      </c>
      <c r="B237">
        <v>225</v>
      </c>
      <c r="C237">
        <v>402</v>
      </c>
      <c r="D237" t="s">
        <v>11</v>
      </c>
      <c r="E237" t="s">
        <v>95</v>
      </c>
      <c r="F237" t="s">
        <v>2941</v>
      </c>
      <c r="G237" t="s">
        <v>2932</v>
      </c>
      <c r="H237">
        <v>450</v>
      </c>
      <c r="I237">
        <v>1.27E-5</v>
      </c>
      <c r="J237">
        <f>0.01/Table29[[#This Row],[Strain Rate (min) /s]]</f>
        <v>787.40157480314963</v>
      </c>
      <c r="K237">
        <f>LOG(Table29[[#This Row],[Time to 1% strain (s)]])</f>
        <v>2.8961962790440432</v>
      </c>
      <c r="L237">
        <v>850</v>
      </c>
      <c r="P237" t="s">
        <v>7114</v>
      </c>
      <c r="Q237">
        <v>1300</v>
      </c>
      <c r="R237">
        <v>12</v>
      </c>
      <c r="S237">
        <v>900</v>
      </c>
      <c r="T237">
        <v>200</v>
      </c>
      <c r="W237">
        <v>1</v>
      </c>
      <c r="X237">
        <v>10</v>
      </c>
      <c r="Y237">
        <v>64</v>
      </c>
      <c r="AA237">
        <f>VLOOKUP(Table29[[#This Row],[Shortname]], Comp[], 6, FALSE)</f>
        <v>402</v>
      </c>
      <c r="AB237" s="14">
        <f>VLOOKUP(Table29[[#This Row],[Shortname]], Comp[], 7, FALSE)</f>
        <v>74</v>
      </c>
      <c r="AC237">
        <f>VLOOKUP(Table29[[#This Row],[Shortname]], Comp[], 8, FALSE)</f>
        <v>0</v>
      </c>
      <c r="AD237">
        <f>VLOOKUP(Table29[[#This Row],[Shortname]], Comp[], 9, FALSE)</f>
        <v>9</v>
      </c>
      <c r="AE237">
        <f>VLOOKUP(Table29[[#This Row],[Shortname]], Comp[], 10, FALSE)</f>
        <v>8</v>
      </c>
      <c r="AF237">
        <f>VLOOKUP(Table29[[#This Row],[Shortname]], Comp[], 11, FALSE)</f>
        <v>9</v>
      </c>
      <c r="AG237">
        <f>VLOOKUP(Table29[[#This Row],[Shortname]], Comp[],12, FALSE)</f>
        <v>0</v>
      </c>
      <c r="AH237">
        <f>VLOOKUP(Table29[[#This Row],[Shortname]], Comp[], 13, FALSE)</f>
        <v>0</v>
      </c>
      <c r="AI237">
        <f>VLOOKUP(Table29[[#This Row],[Shortname]], Comp[], 14, FALSE)</f>
        <v>0</v>
      </c>
      <c r="AJ237">
        <f>VLOOKUP(Table29[[#This Row],[Shortname]], Comp[], 15, FALSE)</f>
        <v>0</v>
      </c>
      <c r="AK237">
        <f>VLOOKUP(Table29[[#This Row],[Shortname]], Comp[], 16, FALSE)</f>
        <v>0</v>
      </c>
      <c r="AL237">
        <f>VLOOKUP(Table29[[#This Row],[Shortname]], Comp[], 17, FALSE)</f>
        <v>0</v>
      </c>
      <c r="AM237">
        <f>VLOOKUP(Table29[[#This Row],[Shortname]], Comp[], 18, FALSE)</f>
        <v>0</v>
      </c>
      <c r="AN237">
        <f>VLOOKUP(Table29[[#This Row],[Shortname]], Comp[], 19, FALSE)</f>
        <v>0</v>
      </c>
      <c r="AO237">
        <f>VLOOKUP(Table29[[#This Row],[Shortname]], Comp[], 20, FALSE)</f>
        <v>0</v>
      </c>
      <c r="AP237">
        <f>VLOOKUP(Table29[[#This Row],[Shortname]], Comp[], 21, FALSE)</f>
        <v>0</v>
      </c>
      <c r="AQ237">
        <f>VLOOKUP(Table29[[#This Row],[Shortname]], Comp[], 22, FALSE)</f>
        <v>0</v>
      </c>
      <c r="AR237">
        <f>VLOOKUP(Table29[[#This Row],[Shortname]], Comp[], 23, FALSE)</f>
        <v>0</v>
      </c>
      <c r="AS237">
        <f>VLOOKUP(Table29[[#This Row],[Shortname]], Comp[], 24, FALSE)</f>
        <v>0</v>
      </c>
      <c r="AT237">
        <f>VLOOKUP(Table29[[#This Row],[Shortname]], Comp[], 25, FALSE)</f>
        <v>0</v>
      </c>
      <c r="AU237">
        <f>VLOOKUP(Table29[[#This Row],[Shortname]], Comp[], 26, FALSE)</f>
        <v>0</v>
      </c>
      <c r="AV237">
        <f>VLOOKUP(Table29[[#This Row],[Shortname]], Comp[], 27, FALSE)</f>
        <v>0</v>
      </c>
      <c r="AW237">
        <f>VLOOKUP(Table29[[#This Row],[Shortname]], Comp[], 28, FALSE)</f>
        <v>0</v>
      </c>
      <c r="AX237">
        <f>VLOOKUP(Table29[[#This Row],[Shortname]], Comp[], 29, FALSE)</f>
        <v>0</v>
      </c>
      <c r="AY237">
        <f>VLOOKUP(Table29[[#This Row],[Shortname]], Comp[], 30, FALSE)</f>
        <v>0</v>
      </c>
      <c r="AZ237">
        <f>VLOOKUP(Table29[[#This Row],[Shortname]], Comp[], 31, FALSE)</f>
        <v>0</v>
      </c>
    </row>
    <row r="238" spans="1:52" x14ac:dyDescent="0.3">
      <c r="A238" t="s">
        <v>2951</v>
      </c>
      <c r="B238">
        <v>226</v>
      </c>
      <c r="C238">
        <v>404</v>
      </c>
      <c r="D238" t="s">
        <v>2952</v>
      </c>
      <c r="E238" t="s">
        <v>95</v>
      </c>
      <c r="F238" t="s">
        <v>2953</v>
      </c>
      <c r="G238" t="s">
        <v>2932</v>
      </c>
      <c r="H238">
        <v>400</v>
      </c>
      <c r="I238">
        <v>1.6199999999999999E-7</v>
      </c>
      <c r="J238">
        <f>0.01/Table29[[#This Row],[Strain Rate (min) /s]]</f>
        <v>61728.395061728399</v>
      </c>
      <c r="K238">
        <f>LOG(Table29[[#This Row],[Time to 1% strain (s)]])</f>
        <v>4.7904849854573692</v>
      </c>
      <c r="L238">
        <v>850</v>
      </c>
      <c r="P238" t="s">
        <v>7115</v>
      </c>
      <c r="Q238">
        <v>1300</v>
      </c>
      <c r="R238">
        <v>12</v>
      </c>
      <c r="S238">
        <v>900</v>
      </c>
      <c r="T238">
        <v>200</v>
      </c>
      <c r="W238">
        <v>1</v>
      </c>
      <c r="X238">
        <v>10</v>
      </c>
      <c r="Y238">
        <v>50</v>
      </c>
      <c r="AA238">
        <f>VLOOKUP(Table29[[#This Row],[Shortname]], Comp[], 6, FALSE)</f>
        <v>404</v>
      </c>
      <c r="AB238" s="14">
        <f>VLOOKUP(Table29[[#This Row],[Shortname]], Comp[], 7, FALSE)</f>
        <v>64</v>
      </c>
      <c r="AC238">
        <f>VLOOKUP(Table29[[#This Row],[Shortname]], Comp[], 8, FALSE)</f>
        <v>18</v>
      </c>
      <c r="AD238">
        <f>VLOOKUP(Table29[[#This Row],[Shortname]], Comp[], 9, FALSE)</f>
        <v>9</v>
      </c>
      <c r="AE238">
        <f>VLOOKUP(Table29[[#This Row],[Shortname]], Comp[], 10, FALSE)</f>
        <v>0</v>
      </c>
      <c r="AF238">
        <f>VLOOKUP(Table29[[#This Row],[Shortname]], Comp[], 11, FALSE)</f>
        <v>9</v>
      </c>
      <c r="AG238">
        <f>VLOOKUP(Table29[[#This Row],[Shortname]], Comp[],12, FALSE)</f>
        <v>0</v>
      </c>
      <c r="AH238">
        <f>VLOOKUP(Table29[[#This Row],[Shortname]], Comp[], 13, FALSE)</f>
        <v>0</v>
      </c>
      <c r="AI238">
        <f>VLOOKUP(Table29[[#This Row],[Shortname]], Comp[], 14, FALSE)</f>
        <v>0</v>
      </c>
      <c r="AJ238">
        <f>VLOOKUP(Table29[[#This Row],[Shortname]], Comp[], 15, FALSE)</f>
        <v>0</v>
      </c>
      <c r="AK238">
        <f>VLOOKUP(Table29[[#This Row],[Shortname]], Comp[], 16, FALSE)</f>
        <v>0</v>
      </c>
      <c r="AL238">
        <f>VLOOKUP(Table29[[#This Row],[Shortname]], Comp[], 17, FALSE)</f>
        <v>0</v>
      </c>
      <c r="AM238">
        <f>VLOOKUP(Table29[[#This Row],[Shortname]], Comp[], 18, FALSE)</f>
        <v>0</v>
      </c>
      <c r="AN238">
        <f>VLOOKUP(Table29[[#This Row],[Shortname]], Comp[], 19, FALSE)</f>
        <v>0</v>
      </c>
      <c r="AO238">
        <f>VLOOKUP(Table29[[#This Row],[Shortname]], Comp[], 20, FALSE)</f>
        <v>0</v>
      </c>
      <c r="AP238">
        <f>VLOOKUP(Table29[[#This Row],[Shortname]], Comp[], 21, FALSE)</f>
        <v>0</v>
      </c>
      <c r="AQ238">
        <f>VLOOKUP(Table29[[#This Row],[Shortname]], Comp[], 22, FALSE)</f>
        <v>0</v>
      </c>
      <c r="AR238">
        <f>VLOOKUP(Table29[[#This Row],[Shortname]], Comp[], 23, FALSE)</f>
        <v>0</v>
      </c>
      <c r="AS238">
        <f>VLOOKUP(Table29[[#This Row],[Shortname]], Comp[], 24, FALSE)</f>
        <v>0</v>
      </c>
      <c r="AT238">
        <f>VLOOKUP(Table29[[#This Row],[Shortname]], Comp[], 25, FALSE)</f>
        <v>0</v>
      </c>
      <c r="AU238">
        <f>VLOOKUP(Table29[[#This Row],[Shortname]], Comp[], 26, FALSE)</f>
        <v>0</v>
      </c>
      <c r="AV238">
        <f>VLOOKUP(Table29[[#This Row],[Shortname]], Comp[], 27, FALSE)</f>
        <v>0</v>
      </c>
      <c r="AW238">
        <f>VLOOKUP(Table29[[#This Row],[Shortname]], Comp[], 28, FALSE)</f>
        <v>0</v>
      </c>
      <c r="AX238">
        <f>VLOOKUP(Table29[[#This Row],[Shortname]], Comp[], 29, FALSE)</f>
        <v>0</v>
      </c>
      <c r="AY238">
        <f>VLOOKUP(Table29[[#This Row],[Shortname]], Comp[], 30, FALSE)</f>
        <v>0</v>
      </c>
      <c r="AZ238">
        <f>VLOOKUP(Table29[[#This Row],[Shortname]], Comp[], 31, FALSE)</f>
        <v>0</v>
      </c>
    </row>
    <row r="239" spans="1:52" x14ac:dyDescent="0.3">
      <c r="A239" t="s">
        <v>2951</v>
      </c>
      <c r="B239">
        <v>227</v>
      </c>
      <c r="C239">
        <v>404</v>
      </c>
      <c r="D239" t="s">
        <v>11</v>
      </c>
      <c r="E239" t="s">
        <v>95</v>
      </c>
      <c r="F239" t="s">
        <v>2953</v>
      </c>
      <c r="G239" t="s">
        <v>2932</v>
      </c>
      <c r="H239">
        <v>450</v>
      </c>
      <c r="I239">
        <v>5.7000000000000005E-7</v>
      </c>
      <c r="J239">
        <f>0.01/Table29[[#This Row],[Strain Rate (min) /s]]</f>
        <v>17543.859649122805</v>
      </c>
      <c r="K239">
        <f>LOG(Table29[[#This Row],[Time to 1% strain (s)]])</f>
        <v>4.2441251443275085</v>
      </c>
      <c r="L239">
        <v>850</v>
      </c>
      <c r="P239" t="s">
        <v>7115</v>
      </c>
      <c r="Q239">
        <v>1300</v>
      </c>
      <c r="R239">
        <v>12</v>
      </c>
      <c r="S239">
        <v>900</v>
      </c>
      <c r="T239">
        <v>200</v>
      </c>
      <c r="W239">
        <v>1</v>
      </c>
      <c r="X239">
        <v>10</v>
      </c>
      <c r="Y239">
        <v>50</v>
      </c>
      <c r="AA239">
        <f>VLOOKUP(Table29[[#This Row],[Shortname]], Comp[], 6, FALSE)</f>
        <v>404</v>
      </c>
      <c r="AB239" s="14">
        <f>VLOOKUP(Table29[[#This Row],[Shortname]], Comp[], 7, FALSE)</f>
        <v>64</v>
      </c>
      <c r="AC239">
        <f>VLOOKUP(Table29[[#This Row],[Shortname]], Comp[], 8, FALSE)</f>
        <v>18</v>
      </c>
      <c r="AD239">
        <f>VLOOKUP(Table29[[#This Row],[Shortname]], Comp[], 9, FALSE)</f>
        <v>9</v>
      </c>
      <c r="AE239">
        <f>VLOOKUP(Table29[[#This Row],[Shortname]], Comp[], 10, FALSE)</f>
        <v>0</v>
      </c>
      <c r="AF239">
        <f>VLOOKUP(Table29[[#This Row],[Shortname]], Comp[], 11, FALSE)</f>
        <v>9</v>
      </c>
      <c r="AG239">
        <f>VLOOKUP(Table29[[#This Row],[Shortname]], Comp[],12, FALSE)</f>
        <v>0</v>
      </c>
      <c r="AH239">
        <f>VLOOKUP(Table29[[#This Row],[Shortname]], Comp[], 13, FALSE)</f>
        <v>0</v>
      </c>
      <c r="AI239">
        <f>VLOOKUP(Table29[[#This Row],[Shortname]], Comp[], 14, FALSE)</f>
        <v>0</v>
      </c>
      <c r="AJ239">
        <f>VLOOKUP(Table29[[#This Row],[Shortname]], Comp[], 15, FALSE)</f>
        <v>0</v>
      </c>
      <c r="AK239">
        <f>VLOOKUP(Table29[[#This Row],[Shortname]], Comp[], 16, FALSE)</f>
        <v>0</v>
      </c>
      <c r="AL239">
        <f>VLOOKUP(Table29[[#This Row],[Shortname]], Comp[], 17, FALSE)</f>
        <v>0</v>
      </c>
      <c r="AM239">
        <f>VLOOKUP(Table29[[#This Row],[Shortname]], Comp[], 18, FALSE)</f>
        <v>0</v>
      </c>
      <c r="AN239">
        <f>VLOOKUP(Table29[[#This Row],[Shortname]], Comp[], 19, FALSE)</f>
        <v>0</v>
      </c>
      <c r="AO239">
        <f>VLOOKUP(Table29[[#This Row],[Shortname]], Comp[], 20, FALSE)</f>
        <v>0</v>
      </c>
      <c r="AP239">
        <f>VLOOKUP(Table29[[#This Row],[Shortname]], Comp[], 21, FALSE)</f>
        <v>0</v>
      </c>
      <c r="AQ239">
        <f>VLOOKUP(Table29[[#This Row],[Shortname]], Comp[], 22, FALSE)</f>
        <v>0</v>
      </c>
      <c r="AR239">
        <f>VLOOKUP(Table29[[#This Row],[Shortname]], Comp[], 23, FALSE)</f>
        <v>0</v>
      </c>
      <c r="AS239">
        <f>VLOOKUP(Table29[[#This Row],[Shortname]], Comp[], 24, FALSE)</f>
        <v>0</v>
      </c>
      <c r="AT239">
        <f>VLOOKUP(Table29[[#This Row],[Shortname]], Comp[], 25, FALSE)</f>
        <v>0</v>
      </c>
      <c r="AU239">
        <f>VLOOKUP(Table29[[#This Row],[Shortname]], Comp[], 26, FALSE)</f>
        <v>0</v>
      </c>
      <c r="AV239">
        <f>VLOOKUP(Table29[[#This Row],[Shortname]], Comp[], 27, FALSE)</f>
        <v>0</v>
      </c>
      <c r="AW239">
        <f>VLOOKUP(Table29[[#This Row],[Shortname]], Comp[], 28, FALSE)</f>
        <v>0</v>
      </c>
      <c r="AX239">
        <f>VLOOKUP(Table29[[#This Row],[Shortname]], Comp[], 29, FALSE)</f>
        <v>0</v>
      </c>
      <c r="AY239">
        <f>VLOOKUP(Table29[[#This Row],[Shortname]], Comp[], 30, FALSE)</f>
        <v>0</v>
      </c>
      <c r="AZ239">
        <f>VLOOKUP(Table29[[#This Row],[Shortname]], Comp[], 31, FALSE)</f>
        <v>0</v>
      </c>
    </row>
    <row r="240" spans="1:52" x14ac:dyDescent="0.3">
      <c r="A240" t="s">
        <v>2951</v>
      </c>
      <c r="B240">
        <v>228</v>
      </c>
      <c r="C240">
        <v>404</v>
      </c>
      <c r="D240" t="s">
        <v>11</v>
      </c>
      <c r="E240" t="s">
        <v>95</v>
      </c>
      <c r="F240" t="s">
        <v>2953</v>
      </c>
      <c r="G240" t="s">
        <v>2932</v>
      </c>
      <c r="H240">
        <v>500</v>
      </c>
      <c r="I240">
        <v>2.34E-6</v>
      </c>
      <c r="J240">
        <f>0.01/Table29[[#This Row],[Strain Rate (min) /s]]</f>
        <v>4273.5042735042734</v>
      </c>
      <c r="K240">
        <f>LOG(Table29[[#This Row],[Time to 1% strain (s)]])</f>
        <v>3.630784142589857</v>
      </c>
      <c r="L240">
        <v>850</v>
      </c>
      <c r="P240" t="s">
        <v>7115</v>
      </c>
      <c r="Q240">
        <v>1300</v>
      </c>
      <c r="R240">
        <v>12</v>
      </c>
      <c r="S240">
        <v>900</v>
      </c>
      <c r="T240">
        <v>200</v>
      </c>
      <c r="W240">
        <v>1</v>
      </c>
      <c r="X240">
        <v>10</v>
      </c>
      <c r="Y240">
        <v>50</v>
      </c>
      <c r="AA240">
        <f>VLOOKUP(Table29[[#This Row],[Shortname]], Comp[], 6, FALSE)</f>
        <v>404</v>
      </c>
      <c r="AB240" s="14">
        <f>VLOOKUP(Table29[[#This Row],[Shortname]], Comp[], 7, FALSE)</f>
        <v>64</v>
      </c>
      <c r="AC240">
        <f>VLOOKUP(Table29[[#This Row],[Shortname]], Comp[], 8, FALSE)</f>
        <v>18</v>
      </c>
      <c r="AD240">
        <f>VLOOKUP(Table29[[#This Row],[Shortname]], Comp[], 9, FALSE)</f>
        <v>9</v>
      </c>
      <c r="AE240">
        <f>VLOOKUP(Table29[[#This Row],[Shortname]], Comp[], 10, FALSE)</f>
        <v>0</v>
      </c>
      <c r="AF240">
        <f>VLOOKUP(Table29[[#This Row],[Shortname]], Comp[], 11, FALSE)</f>
        <v>9</v>
      </c>
      <c r="AG240">
        <f>VLOOKUP(Table29[[#This Row],[Shortname]], Comp[],12, FALSE)</f>
        <v>0</v>
      </c>
      <c r="AH240">
        <f>VLOOKUP(Table29[[#This Row],[Shortname]], Comp[], 13, FALSE)</f>
        <v>0</v>
      </c>
      <c r="AI240">
        <f>VLOOKUP(Table29[[#This Row],[Shortname]], Comp[], 14, FALSE)</f>
        <v>0</v>
      </c>
      <c r="AJ240">
        <f>VLOOKUP(Table29[[#This Row],[Shortname]], Comp[], 15, FALSE)</f>
        <v>0</v>
      </c>
      <c r="AK240">
        <f>VLOOKUP(Table29[[#This Row],[Shortname]], Comp[], 16, FALSE)</f>
        <v>0</v>
      </c>
      <c r="AL240">
        <f>VLOOKUP(Table29[[#This Row],[Shortname]], Comp[], 17, FALSE)</f>
        <v>0</v>
      </c>
      <c r="AM240">
        <f>VLOOKUP(Table29[[#This Row],[Shortname]], Comp[], 18, FALSE)</f>
        <v>0</v>
      </c>
      <c r="AN240">
        <f>VLOOKUP(Table29[[#This Row],[Shortname]], Comp[], 19, FALSE)</f>
        <v>0</v>
      </c>
      <c r="AO240">
        <f>VLOOKUP(Table29[[#This Row],[Shortname]], Comp[], 20, FALSE)</f>
        <v>0</v>
      </c>
      <c r="AP240">
        <f>VLOOKUP(Table29[[#This Row],[Shortname]], Comp[], 21, FALSE)</f>
        <v>0</v>
      </c>
      <c r="AQ240">
        <f>VLOOKUP(Table29[[#This Row],[Shortname]], Comp[], 22, FALSE)</f>
        <v>0</v>
      </c>
      <c r="AR240">
        <f>VLOOKUP(Table29[[#This Row],[Shortname]], Comp[], 23, FALSE)</f>
        <v>0</v>
      </c>
      <c r="AS240">
        <f>VLOOKUP(Table29[[#This Row],[Shortname]], Comp[], 24, FALSE)</f>
        <v>0</v>
      </c>
      <c r="AT240">
        <f>VLOOKUP(Table29[[#This Row],[Shortname]], Comp[], 25, FALSE)</f>
        <v>0</v>
      </c>
      <c r="AU240">
        <f>VLOOKUP(Table29[[#This Row],[Shortname]], Comp[], 26, FALSE)</f>
        <v>0</v>
      </c>
      <c r="AV240">
        <f>VLOOKUP(Table29[[#This Row],[Shortname]], Comp[], 27, FALSE)</f>
        <v>0</v>
      </c>
      <c r="AW240">
        <f>VLOOKUP(Table29[[#This Row],[Shortname]], Comp[], 28, FALSE)</f>
        <v>0</v>
      </c>
      <c r="AX240">
        <f>VLOOKUP(Table29[[#This Row],[Shortname]], Comp[], 29, FALSE)</f>
        <v>0</v>
      </c>
      <c r="AY240">
        <f>VLOOKUP(Table29[[#This Row],[Shortname]], Comp[], 30, FALSE)</f>
        <v>0</v>
      </c>
      <c r="AZ240">
        <f>VLOOKUP(Table29[[#This Row],[Shortname]], Comp[], 31, FALSE)</f>
        <v>0</v>
      </c>
    </row>
    <row r="241" spans="1:52" x14ac:dyDescent="0.3">
      <c r="A241" t="s">
        <v>2957</v>
      </c>
      <c r="B241">
        <v>229</v>
      </c>
      <c r="C241">
        <v>405</v>
      </c>
      <c r="D241" t="s">
        <v>2958</v>
      </c>
      <c r="E241" t="s">
        <v>160</v>
      </c>
      <c r="F241" t="s">
        <v>2959</v>
      </c>
      <c r="G241" t="s">
        <v>2932</v>
      </c>
      <c r="H241">
        <v>300</v>
      </c>
      <c r="I241">
        <v>1.7499999999999999E-7</v>
      </c>
      <c r="J241">
        <f>0.01/Table29[[#This Row],[Strain Rate (min) /s]]</f>
        <v>57142.857142857145</v>
      </c>
      <c r="K241">
        <f>LOG(Table29[[#This Row],[Time to 1% strain (s)]])</f>
        <v>4.7569619513137056</v>
      </c>
      <c r="L241">
        <v>850</v>
      </c>
      <c r="P241" t="s">
        <v>7116</v>
      </c>
      <c r="Q241">
        <v>1300</v>
      </c>
      <c r="R241">
        <v>12</v>
      </c>
      <c r="S241">
        <v>900</v>
      </c>
      <c r="T241">
        <v>200</v>
      </c>
      <c r="W241">
        <v>1</v>
      </c>
      <c r="X241">
        <v>10</v>
      </c>
      <c r="Y241">
        <v>64</v>
      </c>
      <c r="AA241">
        <f>VLOOKUP(Table29[[#This Row],[Shortname]], Comp[], 6, FALSE)</f>
        <v>405</v>
      </c>
      <c r="AB241" s="14">
        <f>VLOOKUP(Table29[[#This Row],[Shortname]], Comp[], 7, FALSE)</f>
        <v>65</v>
      </c>
      <c r="AC241">
        <f>VLOOKUP(Table29[[#This Row],[Shortname]], Comp[], 8, FALSE)</f>
        <v>9</v>
      </c>
      <c r="AD241">
        <f>VLOOKUP(Table29[[#This Row],[Shortname]], Comp[], 9, FALSE)</f>
        <v>9</v>
      </c>
      <c r="AE241">
        <f>VLOOKUP(Table29[[#This Row],[Shortname]], Comp[], 10, FALSE)</f>
        <v>8</v>
      </c>
      <c r="AF241">
        <f>VLOOKUP(Table29[[#This Row],[Shortname]], Comp[], 11, FALSE)</f>
        <v>9</v>
      </c>
      <c r="AG241">
        <f>VLOOKUP(Table29[[#This Row],[Shortname]], Comp[],12, FALSE)</f>
        <v>0</v>
      </c>
      <c r="AH241">
        <f>VLOOKUP(Table29[[#This Row],[Shortname]], Comp[], 13, FALSE)</f>
        <v>0</v>
      </c>
      <c r="AI241">
        <f>VLOOKUP(Table29[[#This Row],[Shortname]], Comp[], 14, FALSE)</f>
        <v>0</v>
      </c>
      <c r="AJ241">
        <f>VLOOKUP(Table29[[#This Row],[Shortname]], Comp[], 15, FALSE)</f>
        <v>0</v>
      </c>
      <c r="AK241">
        <f>VLOOKUP(Table29[[#This Row],[Shortname]], Comp[], 16, FALSE)</f>
        <v>0</v>
      </c>
      <c r="AL241">
        <f>VLOOKUP(Table29[[#This Row],[Shortname]], Comp[], 17, FALSE)</f>
        <v>0</v>
      </c>
      <c r="AM241">
        <f>VLOOKUP(Table29[[#This Row],[Shortname]], Comp[], 18, FALSE)</f>
        <v>0</v>
      </c>
      <c r="AN241">
        <f>VLOOKUP(Table29[[#This Row],[Shortname]], Comp[], 19, FALSE)</f>
        <v>0</v>
      </c>
      <c r="AO241">
        <f>VLOOKUP(Table29[[#This Row],[Shortname]], Comp[], 20, FALSE)</f>
        <v>0</v>
      </c>
      <c r="AP241">
        <f>VLOOKUP(Table29[[#This Row],[Shortname]], Comp[], 21, FALSE)</f>
        <v>0</v>
      </c>
      <c r="AQ241">
        <f>VLOOKUP(Table29[[#This Row],[Shortname]], Comp[], 22, FALSE)</f>
        <v>0</v>
      </c>
      <c r="AR241">
        <f>VLOOKUP(Table29[[#This Row],[Shortname]], Comp[], 23, FALSE)</f>
        <v>0</v>
      </c>
      <c r="AS241">
        <f>VLOOKUP(Table29[[#This Row],[Shortname]], Comp[], 24, FALSE)</f>
        <v>0</v>
      </c>
      <c r="AT241">
        <f>VLOOKUP(Table29[[#This Row],[Shortname]], Comp[], 25, FALSE)</f>
        <v>0</v>
      </c>
      <c r="AU241">
        <f>VLOOKUP(Table29[[#This Row],[Shortname]], Comp[], 26, FALSE)</f>
        <v>0</v>
      </c>
      <c r="AV241">
        <f>VLOOKUP(Table29[[#This Row],[Shortname]], Comp[], 27, FALSE)</f>
        <v>0</v>
      </c>
      <c r="AW241">
        <f>VLOOKUP(Table29[[#This Row],[Shortname]], Comp[], 28, FALSE)</f>
        <v>0</v>
      </c>
      <c r="AX241">
        <f>VLOOKUP(Table29[[#This Row],[Shortname]], Comp[], 29, FALSE)</f>
        <v>0</v>
      </c>
      <c r="AY241">
        <f>VLOOKUP(Table29[[#This Row],[Shortname]], Comp[], 30, FALSE)</f>
        <v>0</v>
      </c>
      <c r="AZ241">
        <f>VLOOKUP(Table29[[#This Row],[Shortname]], Comp[], 31, FALSE)</f>
        <v>0</v>
      </c>
    </row>
    <row r="242" spans="1:52" x14ac:dyDescent="0.3">
      <c r="A242" t="s">
        <v>2957</v>
      </c>
      <c r="B242">
        <v>230</v>
      </c>
      <c r="C242">
        <v>405</v>
      </c>
      <c r="D242" t="s">
        <v>11</v>
      </c>
      <c r="E242" t="s">
        <v>160</v>
      </c>
      <c r="F242" t="s">
        <v>2959</v>
      </c>
      <c r="G242" t="s">
        <v>2932</v>
      </c>
      <c r="H242">
        <v>350</v>
      </c>
      <c r="I242">
        <v>6.6700000000000003E-7</v>
      </c>
      <c r="J242">
        <f>0.01/Table29[[#This Row],[Strain Rate (min) /s]]</f>
        <v>14992.503748125937</v>
      </c>
      <c r="K242">
        <f>LOG(Table29[[#This Row],[Time to 1% strain (s)]])</f>
        <v>4.1758741660834513</v>
      </c>
      <c r="L242">
        <v>850</v>
      </c>
      <c r="P242" t="s">
        <v>7116</v>
      </c>
      <c r="Q242">
        <v>1300</v>
      </c>
      <c r="R242">
        <v>12</v>
      </c>
      <c r="S242">
        <v>900</v>
      </c>
      <c r="T242">
        <v>200</v>
      </c>
      <c r="W242">
        <v>1</v>
      </c>
      <c r="X242">
        <v>10</v>
      </c>
      <c r="Y242">
        <v>64</v>
      </c>
      <c r="AA242">
        <f>VLOOKUP(Table29[[#This Row],[Shortname]], Comp[], 6, FALSE)</f>
        <v>405</v>
      </c>
      <c r="AB242" s="14">
        <f>VLOOKUP(Table29[[#This Row],[Shortname]], Comp[], 7, FALSE)</f>
        <v>65</v>
      </c>
      <c r="AC242">
        <f>VLOOKUP(Table29[[#This Row],[Shortname]], Comp[], 8, FALSE)</f>
        <v>9</v>
      </c>
      <c r="AD242">
        <f>VLOOKUP(Table29[[#This Row],[Shortname]], Comp[], 9, FALSE)</f>
        <v>9</v>
      </c>
      <c r="AE242">
        <f>VLOOKUP(Table29[[#This Row],[Shortname]], Comp[], 10, FALSE)</f>
        <v>8</v>
      </c>
      <c r="AF242">
        <f>VLOOKUP(Table29[[#This Row],[Shortname]], Comp[], 11, FALSE)</f>
        <v>9</v>
      </c>
      <c r="AG242">
        <f>VLOOKUP(Table29[[#This Row],[Shortname]], Comp[],12, FALSE)</f>
        <v>0</v>
      </c>
      <c r="AH242">
        <f>VLOOKUP(Table29[[#This Row],[Shortname]], Comp[], 13, FALSE)</f>
        <v>0</v>
      </c>
      <c r="AI242">
        <f>VLOOKUP(Table29[[#This Row],[Shortname]], Comp[], 14, FALSE)</f>
        <v>0</v>
      </c>
      <c r="AJ242">
        <f>VLOOKUP(Table29[[#This Row],[Shortname]], Comp[], 15, FALSE)</f>
        <v>0</v>
      </c>
      <c r="AK242">
        <f>VLOOKUP(Table29[[#This Row],[Shortname]], Comp[], 16, FALSE)</f>
        <v>0</v>
      </c>
      <c r="AL242">
        <f>VLOOKUP(Table29[[#This Row],[Shortname]], Comp[], 17, FALSE)</f>
        <v>0</v>
      </c>
      <c r="AM242">
        <f>VLOOKUP(Table29[[#This Row],[Shortname]], Comp[], 18, FALSE)</f>
        <v>0</v>
      </c>
      <c r="AN242">
        <f>VLOOKUP(Table29[[#This Row],[Shortname]], Comp[], 19, FALSE)</f>
        <v>0</v>
      </c>
      <c r="AO242">
        <f>VLOOKUP(Table29[[#This Row],[Shortname]], Comp[], 20, FALSE)</f>
        <v>0</v>
      </c>
      <c r="AP242">
        <f>VLOOKUP(Table29[[#This Row],[Shortname]], Comp[], 21, FALSE)</f>
        <v>0</v>
      </c>
      <c r="AQ242">
        <f>VLOOKUP(Table29[[#This Row],[Shortname]], Comp[], 22, FALSE)</f>
        <v>0</v>
      </c>
      <c r="AR242">
        <f>VLOOKUP(Table29[[#This Row],[Shortname]], Comp[], 23, FALSE)</f>
        <v>0</v>
      </c>
      <c r="AS242">
        <f>VLOOKUP(Table29[[#This Row],[Shortname]], Comp[], 24, FALSE)</f>
        <v>0</v>
      </c>
      <c r="AT242">
        <f>VLOOKUP(Table29[[#This Row],[Shortname]], Comp[], 25, FALSE)</f>
        <v>0</v>
      </c>
      <c r="AU242">
        <f>VLOOKUP(Table29[[#This Row],[Shortname]], Comp[], 26, FALSE)</f>
        <v>0</v>
      </c>
      <c r="AV242">
        <f>VLOOKUP(Table29[[#This Row],[Shortname]], Comp[], 27, FALSE)</f>
        <v>0</v>
      </c>
      <c r="AW242">
        <f>VLOOKUP(Table29[[#This Row],[Shortname]], Comp[], 28, FALSE)</f>
        <v>0</v>
      </c>
      <c r="AX242">
        <f>VLOOKUP(Table29[[#This Row],[Shortname]], Comp[], 29, FALSE)</f>
        <v>0</v>
      </c>
      <c r="AY242">
        <f>VLOOKUP(Table29[[#This Row],[Shortname]], Comp[], 30, FALSE)</f>
        <v>0</v>
      </c>
      <c r="AZ242">
        <f>VLOOKUP(Table29[[#This Row],[Shortname]], Comp[], 31, FALSE)</f>
        <v>0</v>
      </c>
    </row>
    <row r="243" spans="1:52" x14ac:dyDescent="0.3">
      <c r="A243" t="s">
        <v>2957</v>
      </c>
      <c r="B243">
        <v>231</v>
      </c>
      <c r="C243">
        <v>405</v>
      </c>
      <c r="D243" t="s">
        <v>11</v>
      </c>
      <c r="E243" t="s">
        <v>160</v>
      </c>
      <c r="F243" t="s">
        <v>2959</v>
      </c>
      <c r="G243" t="s">
        <v>2932</v>
      </c>
      <c r="H243">
        <v>400</v>
      </c>
      <c r="I243">
        <v>1.8500000000000001E-6</v>
      </c>
      <c r="J243">
        <f>0.01/Table29[[#This Row],[Strain Rate (min) /s]]</f>
        <v>5405.405405405405</v>
      </c>
      <c r="K243">
        <f>LOG(Table29[[#This Row],[Time to 1% strain (s)]])</f>
        <v>3.7328282715969863</v>
      </c>
      <c r="L243">
        <v>850</v>
      </c>
      <c r="P243" t="s">
        <v>7116</v>
      </c>
      <c r="Q243">
        <v>1300</v>
      </c>
      <c r="R243">
        <v>12</v>
      </c>
      <c r="S243">
        <v>900</v>
      </c>
      <c r="T243">
        <v>200</v>
      </c>
      <c r="W243">
        <v>1</v>
      </c>
      <c r="X243">
        <v>10</v>
      </c>
      <c r="Y243">
        <v>64</v>
      </c>
      <c r="AA243">
        <f>VLOOKUP(Table29[[#This Row],[Shortname]], Comp[], 6, FALSE)</f>
        <v>405</v>
      </c>
      <c r="AB243" s="14">
        <f>VLOOKUP(Table29[[#This Row],[Shortname]], Comp[], 7, FALSE)</f>
        <v>65</v>
      </c>
      <c r="AC243">
        <f>VLOOKUP(Table29[[#This Row],[Shortname]], Comp[], 8, FALSE)</f>
        <v>9</v>
      </c>
      <c r="AD243">
        <f>VLOOKUP(Table29[[#This Row],[Shortname]], Comp[], 9, FALSE)</f>
        <v>9</v>
      </c>
      <c r="AE243">
        <f>VLOOKUP(Table29[[#This Row],[Shortname]], Comp[], 10, FALSE)</f>
        <v>8</v>
      </c>
      <c r="AF243">
        <f>VLOOKUP(Table29[[#This Row],[Shortname]], Comp[], 11, FALSE)</f>
        <v>9</v>
      </c>
      <c r="AG243">
        <f>VLOOKUP(Table29[[#This Row],[Shortname]], Comp[],12, FALSE)</f>
        <v>0</v>
      </c>
      <c r="AH243">
        <f>VLOOKUP(Table29[[#This Row],[Shortname]], Comp[], 13, FALSE)</f>
        <v>0</v>
      </c>
      <c r="AI243">
        <f>VLOOKUP(Table29[[#This Row],[Shortname]], Comp[], 14, FALSE)</f>
        <v>0</v>
      </c>
      <c r="AJ243">
        <f>VLOOKUP(Table29[[#This Row],[Shortname]], Comp[], 15, FALSE)</f>
        <v>0</v>
      </c>
      <c r="AK243">
        <f>VLOOKUP(Table29[[#This Row],[Shortname]], Comp[], 16, FALSE)</f>
        <v>0</v>
      </c>
      <c r="AL243">
        <f>VLOOKUP(Table29[[#This Row],[Shortname]], Comp[], 17, FALSE)</f>
        <v>0</v>
      </c>
      <c r="AM243">
        <f>VLOOKUP(Table29[[#This Row],[Shortname]], Comp[], 18, FALSE)</f>
        <v>0</v>
      </c>
      <c r="AN243">
        <f>VLOOKUP(Table29[[#This Row],[Shortname]], Comp[], 19, FALSE)</f>
        <v>0</v>
      </c>
      <c r="AO243">
        <f>VLOOKUP(Table29[[#This Row],[Shortname]], Comp[], 20, FALSE)</f>
        <v>0</v>
      </c>
      <c r="AP243">
        <f>VLOOKUP(Table29[[#This Row],[Shortname]], Comp[], 21, FALSE)</f>
        <v>0</v>
      </c>
      <c r="AQ243">
        <f>VLOOKUP(Table29[[#This Row],[Shortname]], Comp[], 22, FALSE)</f>
        <v>0</v>
      </c>
      <c r="AR243">
        <f>VLOOKUP(Table29[[#This Row],[Shortname]], Comp[], 23, FALSE)</f>
        <v>0</v>
      </c>
      <c r="AS243">
        <f>VLOOKUP(Table29[[#This Row],[Shortname]], Comp[], 24, FALSE)</f>
        <v>0</v>
      </c>
      <c r="AT243">
        <f>VLOOKUP(Table29[[#This Row],[Shortname]], Comp[], 25, FALSE)</f>
        <v>0</v>
      </c>
      <c r="AU243">
        <f>VLOOKUP(Table29[[#This Row],[Shortname]], Comp[], 26, FALSE)</f>
        <v>0</v>
      </c>
      <c r="AV243">
        <f>VLOOKUP(Table29[[#This Row],[Shortname]], Comp[], 27, FALSE)</f>
        <v>0</v>
      </c>
      <c r="AW243">
        <f>VLOOKUP(Table29[[#This Row],[Shortname]], Comp[], 28, FALSE)</f>
        <v>0</v>
      </c>
      <c r="AX243">
        <f>VLOOKUP(Table29[[#This Row],[Shortname]], Comp[], 29, FALSE)</f>
        <v>0</v>
      </c>
      <c r="AY243">
        <f>VLOOKUP(Table29[[#This Row],[Shortname]], Comp[], 30, FALSE)</f>
        <v>0</v>
      </c>
      <c r="AZ243">
        <f>VLOOKUP(Table29[[#This Row],[Shortname]], Comp[], 31, FALSE)</f>
        <v>0</v>
      </c>
    </row>
    <row r="244" spans="1:52" x14ac:dyDescent="0.3">
      <c r="A244" t="s">
        <v>2963</v>
      </c>
      <c r="B244">
        <v>232</v>
      </c>
      <c r="C244">
        <v>406</v>
      </c>
      <c r="D244" t="s">
        <v>284</v>
      </c>
      <c r="E244" t="s">
        <v>160</v>
      </c>
      <c r="F244" t="s">
        <v>2964</v>
      </c>
      <c r="G244" t="s">
        <v>2932</v>
      </c>
      <c r="H244">
        <v>300</v>
      </c>
      <c r="I244">
        <v>1.4999999999999999E-7</v>
      </c>
      <c r="J244">
        <f>0.01/Table29[[#This Row],[Strain Rate (min) /s]]</f>
        <v>66666.666666666672</v>
      </c>
      <c r="K244">
        <f>LOG(Table29[[#This Row],[Time to 1% strain (s)]])</f>
        <v>4.8239087409443187</v>
      </c>
      <c r="L244">
        <v>850</v>
      </c>
      <c r="P244" t="s">
        <v>7117</v>
      </c>
      <c r="Q244">
        <v>1300</v>
      </c>
      <c r="R244">
        <v>12</v>
      </c>
      <c r="S244">
        <v>900</v>
      </c>
      <c r="T244">
        <v>200</v>
      </c>
      <c r="W244">
        <v>1</v>
      </c>
      <c r="X244">
        <v>10</v>
      </c>
      <c r="Y244">
        <v>64</v>
      </c>
      <c r="AA244">
        <f>VLOOKUP(Table29[[#This Row],[Shortname]], Comp[], 6, FALSE)</f>
        <v>406</v>
      </c>
      <c r="AB244" s="14">
        <f>VLOOKUP(Table29[[#This Row],[Shortname]], Comp[], 7, FALSE)</f>
        <v>56</v>
      </c>
      <c r="AC244">
        <f>VLOOKUP(Table29[[#This Row],[Shortname]], Comp[], 8, FALSE)</f>
        <v>18</v>
      </c>
      <c r="AD244">
        <f>VLOOKUP(Table29[[#This Row],[Shortname]], Comp[], 9, FALSE)</f>
        <v>9</v>
      </c>
      <c r="AE244">
        <f>VLOOKUP(Table29[[#This Row],[Shortname]], Comp[], 10, FALSE)</f>
        <v>8</v>
      </c>
      <c r="AF244">
        <f>VLOOKUP(Table29[[#This Row],[Shortname]], Comp[], 11, FALSE)</f>
        <v>9</v>
      </c>
      <c r="AG244">
        <f>VLOOKUP(Table29[[#This Row],[Shortname]], Comp[],12, FALSE)</f>
        <v>0</v>
      </c>
      <c r="AH244">
        <f>VLOOKUP(Table29[[#This Row],[Shortname]], Comp[], 13, FALSE)</f>
        <v>0</v>
      </c>
      <c r="AI244">
        <f>VLOOKUP(Table29[[#This Row],[Shortname]], Comp[], 14, FALSE)</f>
        <v>0</v>
      </c>
      <c r="AJ244">
        <f>VLOOKUP(Table29[[#This Row],[Shortname]], Comp[], 15, FALSE)</f>
        <v>0</v>
      </c>
      <c r="AK244">
        <f>VLOOKUP(Table29[[#This Row],[Shortname]], Comp[], 16, FALSE)</f>
        <v>0</v>
      </c>
      <c r="AL244">
        <f>VLOOKUP(Table29[[#This Row],[Shortname]], Comp[], 17, FALSE)</f>
        <v>0</v>
      </c>
      <c r="AM244">
        <f>VLOOKUP(Table29[[#This Row],[Shortname]], Comp[], 18, FALSE)</f>
        <v>0</v>
      </c>
      <c r="AN244">
        <f>VLOOKUP(Table29[[#This Row],[Shortname]], Comp[], 19, FALSE)</f>
        <v>0</v>
      </c>
      <c r="AO244">
        <f>VLOOKUP(Table29[[#This Row],[Shortname]], Comp[], 20, FALSE)</f>
        <v>0</v>
      </c>
      <c r="AP244">
        <f>VLOOKUP(Table29[[#This Row],[Shortname]], Comp[], 21, FALSE)</f>
        <v>0</v>
      </c>
      <c r="AQ244">
        <f>VLOOKUP(Table29[[#This Row],[Shortname]], Comp[], 22, FALSE)</f>
        <v>0</v>
      </c>
      <c r="AR244">
        <f>VLOOKUP(Table29[[#This Row],[Shortname]], Comp[], 23, FALSE)</f>
        <v>0</v>
      </c>
      <c r="AS244">
        <f>VLOOKUP(Table29[[#This Row],[Shortname]], Comp[], 24, FALSE)</f>
        <v>0</v>
      </c>
      <c r="AT244">
        <f>VLOOKUP(Table29[[#This Row],[Shortname]], Comp[], 25, FALSE)</f>
        <v>0</v>
      </c>
      <c r="AU244">
        <f>VLOOKUP(Table29[[#This Row],[Shortname]], Comp[], 26, FALSE)</f>
        <v>0</v>
      </c>
      <c r="AV244">
        <f>VLOOKUP(Table29[[#This Row],[Shortname]], Comp[], 27, FALSE)</f>
        <v>0</v>
      </c>
      <c r="AW244">
        <f>VLOOKUP(Table29[[#This Row],[Shortname]], Comp[], 28, FALSE)</f>
        <v>0</v>
      </c>
      <c r="AX244">
        <f>VLOOKUP(Table29[[#This Row],[Shortname]], Comp[], 29, FALSE)</f>
        <v>0</v>
      </c>
      <c r="AY244">
        <f>VLOOKUP(Table29[[#This Row],[Shortname]], Comp[], 30, FALSE)</f>
        <v>0</v>
      </c>
      <c r="AZ244">
        <f>VLOOKUP(Table29[[#This Row],[Shortname]], Comp[], 31, FALSE)</f>
        <v>0</v>
      </c>
    </row>
    <row r="245" spans="1:52" x14ac:dyDescent="0.3">
      <c r="A245" t="s">
        <v>2963</v>
      </c>
      <c r="B245">
        <v>233</v>
      </c>
      <c r="C245">
        <v>406</v>
      </c>
      <c r="D245" t="s">
        <v>11</v>
      </c>
      <c r="E245" t="s">
        <v>160</v>
      </c>
      <c r="F245" t="s">
        <v>2964</v>
      </c>
      <c r="G245" t="s">
        <v>2932</v>
      </c>
      <c r="H245">
        <v>350</v>
      </c>
      <c r="I245">
        <v>3.7E-7</v>
      </c>
      <c r="J245">
        <f>0.01/Table29[[#This Row],[Strain Rate (min) /s]]</f>
        <v>27027.027027027027</v>
      </c>
      <c r="K245">
        <f>LOG(Table29[[#This Row],[Time to 1% strain (s)]])</f>
        <v>4.431798275933005</v>
      </c>
      <c r="L245">
        <v>850</v>
      </c>
      <c r="P245" t="s">
        <v>7117</v>
      </c>
      <c r="Q245">
        <v>1300</v>
      </c>
      <c r="R245">
        <v>12</v>
      </c>
      <c r="S245">
        <v>900</v>
      </c>
      <c r="T245">
        <v>200</v>
      </c>
      <c r="W245">
        <v>1</v>
      </c>
      <c r="X245">
        <v>10</v>
      </c>
      <c r="Y245">
        <v>64</v>
      </c>
      <c r="AA245">
        <f>VLOOKUP(Table29[[#This Row],[Shortname]], Comp[], 6, FALSE)</f>
        <v>406</v>
      </c>
      <c r="AB245" s="14">
        <f>VLOOKUP(Table29[[#This Row],[Shortname]], Comp[], 7, FALSE)</f>
        <v>56</v>
      </c>
      <c r="AC245">
        <f>VLOOKUP(Table29[[#This Row],[Shortname]], Comp[], 8, FALSE)</f>
        <v>18</v>
      </c>
      <c r="AD245">
        <f>VLOOKUP(Table29[[#This Row],[Shortname]], Comp[], 9, FALSE)</f>
        <v>9</v>
      </c>
      <c r="AE245">
        <f>VLOOKUP(Table29[[#This Row],[Shortname]], Comp[], 10, FALSE)</f>
        <v>8</v>
      </c>
      <c r="AF245">
        <f>VLOOKUP(Table29[[#This Row],[Shortname]], Comp[], 11, FALSE)</f>
        <v>9</v>
      </c>
      <c r="AG245">
        <f>VLOOKUP(Table29[[#This Row],[Shortname]], Comp[],12, FALSE)</f>
        <v>0</v>
      </c>
      <c r="AH245">
        <f>VLOOKUP(Table29[[#This Row],[Shortname]], Comp[], 13, FALSE)</f>
        <v>0</v>
      </c>
      <c r="AI245">
        <f>VLOOKUP(Table29[[#This Row],[Shortname]], Comp[], 14, FALSE)</f>
        <v>0</v>
      </c>
      <c r="AJ245">
        <f>VLOOKUP(Table29[[#This Row],[Shortname]], Comp[], 15, FALSE)</f>
        <v>0</v>
      </c>
      <c r="AK245">
        <f>VLOOKUP(Table29[[#This Row],[Shortname]], Comp[], 16, FALSE)</f>
        <v>0</v>
      </c>
      <c r="AL245">
        <f>VLOOKUP(Table29[[#This Row],[Shortname]], Comp[], 17, FALSE)</f>
        <v>0</v>
      </c>
      <c r="AM245">
        <f>VLOOKUP(Table29[[#This Row],[Shortname]], Comp[], 18, FALSE)</f>
        <v>0</v>
      </c>
      <c r="AN245">
        <f>VLOOKUP(Table29[[#This Row],[Shortname]], Comp[], 19, FALSE)</f>
        <v>0</v>
      </c>
      <c r="AO245">
        <f>VLOOKUP(Table29[[#This Row],[Shortname]], Comp[], 20, FALSE)</f>
        <v>0</v>
      </c>
      <c r="AP245">
        <f>VLOOKUP(Table29[[#This Row],[Shortname]], Comp[], 21, FALSE)</f>
        <v>0</v>
      </c>
      <c r="AQ245">
        <f>VLOOKUP(Table29[[#This Row],[Shortname]], Comp[], 22, FALSE)</f>
        <v>0</v>
      </c>
      <c r="AR245">
        <f>VLOOKUP(Table29[[#This Row],[Shortname]], Comp[], 23, FALSE)</f>
        <v>0</v>
      </c>
      <c r="AS245">
        <f>VLOOKUP(Table29[[#This Row],[Shortname]], Comp[], 24, FALSE)</f>
        <v>0</v>
      </c>
      <c r="AT245">
        <f>VLOOKUP(Table29[[#This Row],[Shortname]], Comp[], 25, FALSE)</f>
        <v>0</v>
      </c>
      <c r="AU245">
        <f>VLOOKUP(Table29[[#This Row],[Shortname]], Comp[], 26, FALSE)</f>
        <v>0</v>
      </c>
      <c r="AV245">
        <f>VLOOKUP(Table29[[#This Row],[Shortname]], Comp[], 27, FALSE)</f>
        <v>0</v>
      </c>
      <c r="AW245">
        <f>VLOOKUP(Table29[[#This Row],[Shortname]], Comp[], 28, FALSE)</f>
        <v>0</v>
      </c>
      <c r="AX245">
        <f>VLOOKUP(Table29[[#This Row],[Shortname]], Comp[], 29, FALSE)</f>
        <v>0</v>
      </c>
      <c r="AY245">
        <f>VLOOKUP(Table29[[#This Row],[Shortname]], Comp[], 30, FALSE)</f>
        <v>0</v>
      </c>
      <c r="AZ245">
        <f>VLOOKUP(Table29[[#This Row],[Shortname]], Comp[], 31, FALSE)</f>
        <v>0</v>
      </c>
    </row>
    <row r="246" spans="1:52" x14ac:dyDescent="0.3">
      <c r="A246" t="s">
        <v>2963</v>
      </c>
      <c r="B246">
        <v>234</v>
      </c>
      <c r="C246">
        <v>406</v>
      </c>
      <c r="D246" t="s">
        <v>11</v>
      </c>
      <c r="E246" t="s">
        <v>160</v>
      </c>
      <c r="F246" t="s">
        <v>2964</v>
      </c>
      <c r="G246" t="s">
        <v>2932</v>
      </c>
      <c r="H246">
        <v>400</v>
      </c>
      <c r="I246">
        <v>1.1999999999999999E-6</v>
      </c>
      <c r="J246">
        <f>0.01/Table29[[#This Row],[Strain Rate (min) /s]]</f>
        <v>8333.3333333333339</v>
      </c>
      <c r="K246">
        <f>LOG(Table29[[#This Row],[Time to 1% strain (s)]])</f>
        <v>3.9208187539523753</v>
      </c>
      <c r="L246">
        <v>850</v>
      </c>
      <c r="P246" t="s">
        <v>7117</v>
      </c>
      <c r="Q246">
        <v>1300</v>
      </c>
      <c r="R246">
        <v>12</v>
      </c>
      <c r="S246">
        <v>900</v>
      </c>
      <c r="T246">
        <v>200</v>
      </c>
      <c r="W246">
        <v>1</v>
      </c>
      <c r="X246">
        <v>10</v>
      </c>
      <c r="Y246">
        <v>64</v>
      </c>
      <c r="AA246">
        <f>VLOOKUP(Table29[[#This Row],[Shortname]], Comp[], 6, FALSE)</f>
        <v>406</v>
      </c>
      <c r="AB246" s="14">
        <f>VLOOKUP(Table29[[#This Row],[Shortname]], Comp[], 7, FALSE)</f>
        <v>56</v>
      </c>
      <c r="AC246">
        <f>VLOOKUP(Table29[[#This Row],[Shortname]], Comp[], 8, FALSE)</f>
        <v>18</v>
      </c>
      <c r="AD246">
        <f>VLOOKUP(Table29[[#This Row],[Shortname]], Comp[], 9, FALSE)</f>
        <v>9</v>
      </c>
      <c r="AE246">
        <f>VLOOKUP(Table29[[#This Row],[Shortname]], Comp[], 10, FALSE)</f>
        <v>8</v>
      </c>
      <c r="AF246">
        <f>VLOOKUP(Table29[[#This Row],[Shortname]], Comp[], 11, FALSE)</f>
        <v>9</v>
      </c>
      <c r="AG246">
        <f>VLOOKUP(Table29[[#This Row],[Shortname]], Comp[],12, FALSE)</f>
        <v>0</v>
      </c>
      <c r="AH246">
        <f>VLOOKUP(Table29[[#This Row],[Shortname]], Comp[], 13, FALSE)</f>
        <v>0</v>
      </c>
      <c r="AI246">
        <f>VLOOKUP(Table29[[#This Row],[Shortname]], Comp[], 14, FALSE)</f>
        <v>0</v>
      </c>
      <c r="AJ246">
        <f>VLOOKUP(Table29[[#This Row],[Shortname]], Comp[], 15, FALSE)</f>
        <v>0</v>
      </c>
      <c r="AK246">
        <f>VLOOKUP(Table29[[#This Row],[Shortname]], Comp[], 16, FALSE)</f>
        <v>0</v>
      </c>
      <c r="AL246">
        <f>VLOOKUP(Table29[[#This Row],[Shortname]], Comp[], 17, FALSE)</f>
        <v>0</v>
      </c>
      <c r="AM246">
        <f>VLOOKUP(Table29[[#This Row],[Shortname]], Comp[], 18, FALSE)</f>
        <v>0</v>
      </c>
      <c r="AN246">
        <f>VLOOKUP(Table29[[#This Row],[Shortname]], Comp[], 19, FALSE)</f>
        <v>0</v>
      </c>
      <c r="AO246">
        <f>VLOOKUP(Table29[[#This Row],[Shortname]], Comp[], 20, FALSE)</f>
        <v>0</v>
      </c>
      <c r="AP246">
        <f>VLOOKUP(Table29[[#This Row],[Shortname]], Comp[], 21, FALSE)</f>
        <v>0</v>
      </c>
      <c r="AQ246">
        <f>VLOOKUP(Table29[[#This Row],[Shortname]], Comp[], 22, FALSE)</f>
        <v>0</v>
      </c>
      <c r="AR246">
        <f>VLOOKUP(Table29[[#This Row],[Shortname]], Comp[], 23, FALSE)</f>
        <v>0</v>
      </c>
      <c r="AS246">
        <f>VLOOKUP(Table29[[#This Row],[Shortname]], Comp[], 24, FALSE)</f>
        <v>0</v>
      </c>
      <c r="AT246">
        <f>VLOOKUP(Table29[[#This Row],[Shortname]], Comp[], 25, FALSE)</f>
        <v>0</v>
      </c>
      <c r="AU246">
        <f>VLOOKUP(Table29[[#This Row],[Shortname]], Comp[], 26, FALSE)</f>
        <v>0</v>
      </c>
      <c r="AV246">
        <f>VLOOKUP(Table29[[#This Row],[Shortname]], Comp[], 27, FALSE)</f>
        <v>0</v>
      </c>
      <c r="AW246">
        <f>VLOOKUP(Table29[[#This Row],[Shortname]], Comp[], 28, FALSE)</f>
        <v>0</v>
      </c>
      <c r="AX246">
        <f>VLOOKUP(Table29[[#This Row],[Shortname]], Comp[], 29, FALSE)</f>
        <v>0</v>
      </c>
      <c r="AY246">
        <f>VLOOKUP(Table29[[#This Row],[Shortname]], Comp[], 30, FALSE)</f>
        <v>0</v>
      </c>
      <c r="AZ246">
        <f>VLOOKUP(Table29[[#This Row],[Shortname]], Comp[], 31, FALSE)</f>
        <v>0</v>
      </c>
    </row>
    <row r="247" spans="1:52" x14ac:dyDescent="0.3">
      <c r="A247" t="s">
        <v>2963</v>
      </c>
      <c r="B247">
        <v>235</v>
      </c>
      <c r="C247">
        <v>406</v>
      </c>
      <c r="D247" t="s">
        <v>11</v>
      </c>
      <c r="E247" t="s">
        <v>160</v>
      </c>
      <c r="F247" t="s">
        <v>2964</v>
      </c>
      <c r="G247" t="s">
        <v>2932</v>
      </c>
      <c r="H247">
        <v>450</v>
      </c>
      <c r="I247">
        <v>4.0500000000000002E-6</v>
      </c>
      <c r="J247">
        <f>0.01/Table29[[#This Row],[Strain Rate (min) /s]]</f>
        <v>2469.1358024691358</v>
      </c>
      <c r="K247">
        <f>LOG(Table29[[#This Row],[Time to 1% strain (s)]])</f>
        <v>3.3925449767853313</v>
      </c>
      <c r="L247">
        <v>850</v>
      </c>
      <c r="P247" t="s">
        <v>7117</v>
      </c>
      <c r="Q247">
        <v>1300</v>
      </c>
      <c r="R247">
        <v>12</v>
      </c>
      <c r="S247">
        <v>900</v>
      </c>
      <c r="T247">
        <v>200</v>
      </c>
      <c r="W247">
        <v>1</v>
      </c>
      <c r="X247">
        <v>10</v>
      </c>
      <c r="Y247">
        <v>64</v>
      </c>
      <c r="AA247">
        <f>VLOOKUP(Table29[[#This Row],[Shortname]], Comp[], 6, FALSE)</f>
        <v>406</v>
      </c>
      <c r="AB247" s="14">
        <f>VLOOKUP(Table29[[#This Row],[Shortname]], Comp[], 7, FALSE)</f>
        <v>56</v>
      </c>
      <c r="AC247">
        <f>VLOOKUP(Table29[[#This Row],[Shortname]], Comp[], 8, FALSE)</f>
        <v>18</v>
      </c>
      <c r="AD247">
        <f>VLOOKUP(Table29[[#This Row],[Shortname]], Comp[], 9, FALSE)</f>
        <v>9</v>
      </c>
      <c r="AE247">
        <f>VLOOKUP(Table29[[#This Row],[Shortname]], Comp[], 10, FALSE)</f>
        <v>8</v>
      </c>
      <c r="AF247">
        <f>VLOOKUP(Table29[[#This Row],[Shortname]], Comp[], 11, FALSE)</f>
        <v>9</v>
      </c>
      <c r="AG247">
        <f>VLOOKUP(Table29[[#This Row],[Shortname]], Comp[],12, FALSE)</f>
        <v>0</v>
      </c>
      <c r="AH247">
        <f>VLOOKUP(Table29[[#This Row],[Shortname]], Comp[], 13, FALSE)</f>
        <v>0</v>
      </c>
      <c r="AI247">
        <f>VLOOKUP(Table29[[#This Row],[Shortname]], Comp[], 14, FALSE)</f>
        <v>0</v>
      </c>
      <c r="AJ247">
        <f>VLOOKUP(Table29[[#This Row],[Shortname]], Comp[], 15, FALSE)</f>
        <v>0</v>
      </c>
      <c r="AK247">
        <f>VLOOKUP(Table29[[#This Row],[Shortname]], Comp[], 16, FALSE)</f>
        <v>0</v>
      </c>
      <c r="AL247">
        <f>VLOOKUP(Table29[[#This Row],[Shortname]], Comp[], 17, FALSE)</f>
        <v>0</v>
      </c>
      <c r="AM247">
        <f>VLOOKUP(Table29[[#This Row],[Shortname]], Comp[], 18, FALSE)</f>
        <v>0</v>
      </c>
      <c r="AN247">
        <f>VLOOKUP(Table29[[#This Row],[Shortname]], Comp[], 19, FALSE)</f>
        <v>0</v>
      </c>
      <c r="AO247">
        <f>VLOOKUP(Table29[[#This Row],[Shortname]], Comp[], 20, FALSE)</f>
        <v>0</v>
      </c>
      <c r="AP247">
        <f>VLOOKUP(Table29[[#This Row],[Shortname]], Comp[], 21, FALSE)</f>
        <v>0</v>
      </c>
      <c r="AQ247">
        <f>VLOOKUP(Table29[[#This Row],[Shortname]], Comp[], 22, FALSE)</f>
        <v>0</v>
      </c>
      <c r="AR247">
        <f>VLOOKUP(Table29[[#This Row],[Shortname]], Comp[], 23, FALSE)</f>
        <v>0</v>
      </c>
      <c r="AS247">
        <f>VLOOKUP(Table29[[#This Row],[Shortname]], Comp[], 24, FALSE)</f>
        <v>0</v>
      </c>
      <c r="AT247">
        <f>VLOOKUP(Table29[[#This Row],[Shortname]], Comp[], 25, FALSE)</f>
        <v>0</v>
      </c>
      <c r="AU247">
        <f>VLOOKUP(Table29[[#This Row],[Shortname]], Comp[], 26, FALSE)</f>
        <v>0</v>
      </c>
      <c r="AV247">
        <f>VLOOKUP(Table29[[#This Row],[Shortname]], Comp[], 27, FALSE)</f>
        <v>0</v>
      </c>
      <c r="AW247">
        <f>VLOOKUP(Table29[[#This Row],[Shortname]], Comp[], 28, FALSE)</f>
        <v>0</v>
      </c>
      <c r="AX247">
        <f>VLOOKUP(Table29[[#This Row],[Shortname]], Comp[], 29, FALSE)</f>
        <v>0</v>
      </c>
      <c r="AY247">
        <f>VLOOKUP(Table29[[#This Row],[Shortname]], Comp[], 30, FALSE)</f>
        <v>0</v>
      </c>
      <c r="AZ247">
        <f>VLOOKUP(Table29[[#This Row],[Shortname]], Comp[], 31, FALSE)</f>
        <v>0</v>
      </c>
    </row>
    <row r="248" spans="1:52" x14ac:dyDescent="0.3">
      <c r="A248" t="s">
        <v>3003</v>
      </c>
      <c r="B248">
        <v>236</v>
      </c>
      <c r="C248">
        <v>413</v>
      </c>
      <c r="D248" t="s">
        <v>3004</v>
      </c>
      <c r="E248" t="s">
        <v>514</v>
      </c>
      <c r="F248" t="s">
        <v>3005</v>
      </c>
      <c r="G248" t="s">
        <v>3006</v>
      </c>
      <c r="H248">
        <v>170</v>
      </c>
      <c r="I248">
        <v>9.3400000000000003E-8</v>
      </c>
      <c r="J248">
        <f>0.01/Table29[[#This Row],[Strain Rate (min) /s]]</f>
        <v>107066.38115631691</v>
      </c>
      <c r="K248">
        <f>LOG(Table29[[#This Row],[Time to 1% strain (s)]])</f>
        <v>5.0296531237699069</v>
      </c>
      <c r="L248">
        <v>850</v>
      </c>
      <c r="M248">
        <v>8.8000000000000007</v>
      </c>
      <c r="P248" t="s">
        <v>7118</v>
      </c>
      <c r="Q248">
        <v>1200</v>
      </c>
      <c r="R248">
        <v>48</v>
      </c>
      <c r="S248">
        <v>850</v>
      </c>
      <c r="T248">
        <v>168</v>
      </c>
      <c r="W248">
        <v>1</v>
      </c>
      <c r="X248">
        <v>10</v>
      </c>
      <c r="Y248">
        <v>43.8</v>
      </c>
      <c r="AA248">
        <f>VLOOKUP(Table29[[#This Row],[Shortname]], Comp[], 6, FALSE)</f>
        <v>413</v>
      </c>
      <c r="AB248" s="14">
        <f>VLOOKUP(Table29[[#This Row],[Shortname]], Comp[], 7, FALSE)</f>
        <v>72.960000000000008</v>
      </c>
      <c r="AC248">
        <f>VLOOKUP(Table29[[#This Row],[Shortname]], Comp[], 8, FALSE)</f>
        <v>10</v>
      </c>
      <c r="AD248">
        <f>VLOOKUP(Table29[[#This Row],[Shortname]], Comp[], 9, FALSE)</f>
        <v>5</v>
      </c>
      <c r="AE248">
        <f>VLOOKUP(Table29[[#This Row],[Shortname]], Comp[], 10, FALSE)</f>
        <v>0</v>
      </c>
      <c r="AF248">
        <f>VLOOKUP(Table29[[#This Row],[Shortname]], Comp[], 11, FALSE)</f>
        <v>0</v>
      </c>
      <c r="AG248">
        <f>VLOOKUP(Table29[[#This Row],[Shortname]], Comp[],12, FALSE)</f>
        <v>6</v>
      </c>
      <c r="AH248">
        <f>VLOOKUP(Table29[[#This Row],[Shortname]], Comp[], 13, FALSE)</f>
        <v>0</v>
      </c>
      <c r="AI248">
        <f>VLOOKUP(Table29[[#This Row],[Shortname]], Comp[], 14, FALSE)</f>
        <v>3</v>
      </c>
      <c r="AJ248">
        <f>VLOOKUP(Table29[[#This Row],[Shortname]], Comp[], 15, FALSE)</f>
        <v>3</v>
      </c>
      <c r="AK248">
        <f>VLOOKUP(Table29[[#This Row],[Shortname]], Comp[], 16, FALSE)</f>
        <v>0</v>
      </c>
      <c r="AL248">
        <f>VLOOKUP(Table29[[#This Row],[Shortname]], Comp[], 17, FALSE)</f>
        <v>0</v>
      </c>
      <c r="AM248">
        <f>VLOOKUP(Table29[[#This Row],[Shortname]], Comp[], 18, FALSE)</f>
        <v>0</v>
      </c>
      <c r="AN248">
        <f>VLOOKUP(Table29[[#This Row],[Shortname]], Comp[], 19, FALSE)</f>
        <v>0.04</v>
      </c>
      <c r="AO248">
        <f>VLOOKUP(Table29[[#This Row],[Shortname]], Comp[], 20, FALSE)</f>
        <v>0</v>
      </c>
      <c r="AP248">
        <f>VLOOKUP(Table29[[#This Row],[Shortname]], Comp[], 21, FALSE)</f>
        <v>0</v>
      </c>
      <c r="AQ248">
        <f>VLOOKUP(Table29[[#This Row],[Shortname]], Comp[], 22, FALSE)</f>
        <v>0</v>
      </c>
      <c r="AR248">
        <f>VLOOKUP(Table29[[#This Row],[Shortname]], Comp[], 23, FALSE)</f>
        <v>0</v>
      </c>
      <c r="AS248">
        <f>VLOOKUP(Table29[[#This Row],[Shortname]], Comp[], 24, FALSE)</f>
        <v>0</v>
      </c>
      <c r="AT248">
        <f>VLOOKUP(Table29[[#This Row],[Shortname]], Comp[], 25, FALSE)</f>
        <v>0</v>
      </c>
      <c r="AU248">
        <f>VLOOKUP(Table29[[#This Row],[Shortname]], Comp[], 26, FALSE)</f>
        <v>0</v>
      </c>
      <c r="AV248">
        <f>VLOOKUP(Table29[[#This Row],[Shortname]], Comp[], 27, FALSE)</f>
        <v>0</v>
      </c>
      <c r="AW248">
        <f>VLOOKUP(Table29[[#This Row],[Shortname]], Comp[], 28, FALSE)</f>
        <v>0</v>
      </c>
      <c r="AX248">
        <f>VLOOKUP(Table29[[#This Row],[Shortname]], Comp[], 29, FALSE)</f>
        <v>0</v>
      </c>
      <c r="AY248">
        <f>VLOOKUP(Table29[[#This Row],[Shortname]], Comp[], 30, FALSE)</f>
        <v>0</v>
      </c>
      <c r="AZ248">
        <f>VLOOKUP(Table29[[#This Row],[Shortname]], Comp[], 31, FALSE)</f>
        <v>0</v>
      </c>
    </row>
    <row r="249" spans="1:52" x14ac:dyDescent="0.3">
      <c r="A249" t="s">
        <v>3003</v>
      </c>
      <c r="B249">
        <v>237</v>
      </c>
      <c r="C249">
        <v>413</v>
      </c>
      <c r="D249" t="s">
        <v>11</v>
      </c>
      <c r="E249" t="s">
        <v>514</v>
      </c>
      <c r="F249" t="s">
        <v>3005</v>
      </c>
      <c r="G249" t="s">
        <v>3006</v>
      </c>
      <c r="H249">
        <v>198</v>
      </c>
      <c r="I249">
        <v>2.8000000000000002E-7</v>
      </c>
      <c r="J249">
        <f>0.01/Table29[[#This Row],[Strain Rate (min) /s]]</f>
        <v>35714.28571428571</v>
      </c>
      <c r="K249">
        <f>LOG(Table29[[#This Row],[Time to 1% strain (s)]])</f>
        <v>4.5528419686577806</v>
      </c>
      <c r="L249">
        <v>850</v>
      </c>
      <c r="M249">
        <v>8.8000000000000007</v>
      </c>
      <c r="P249" t="s">
        <v>7118</v>
      </c>
      <c r="Q249">
        <v>1200</v>
      </c>
      <c r="R249">
        <v>48</v>
      </c>
      <c r="S249">
        <v>850</v>
      </c>
      <c r="T249">
        <v>168</v>
      </c>
      <c r="W249">
        <v>1</v>
      </c>
      <c r="X249">
        <v>10</v>
      </c>
      <c r="Y249">
        <v>43.8</v>
      </c>
      <c r="AA249">
        <f>VLOOKUP(Table29[[#This Row],[Shortname]], Comp[], 6, FALSE)</f>
        <v>413</v>
      </c>
      <c r="AB249" s="14">
        <f>VLOOKUP(Table29[[#This Row],[Shortname]], Comp[], 7, FALSE)</f>
        <v>72.960000000000008</v>
      </c>
      <c r="AC249">
        <f>VLOOKUP(Table29[[#This Row],[Shortname]], Comp[], 8, FALSE)</f>
        <v>10</v>
      </c>
      <c r="AD249">
        <f>VLOOKUP(Table29[[#This Row],[Shortname]], Comp[], 9, FALSE)</f>
        <v>5</v>
      </c>
      <c r="AE249">
        <f>VLOOKUP(Table29[[#This Row],[Shortname]], Comp[], 10, FALSE)</f>
        <v>0</v>
      </c>
      <c r="AF249">
        <f>VLOOKUP(Table29[[#This Row],[Shortname]], Comp[], 11, FALSE)</f>
        <v>0</v>
      </c>
      <c r="AG249">
        <f>VLOOKUP(Table29[[#This Row],[Shortname]], Comp[],12, FALSE)</f>
        <v>6</v>
      </c>
      <c r="AH249">
        <f>VLOOKUP(Table29[[#This Row],[Shortname]], Comp[], 13, FALSE)</f>
        <v>0</v>
      </c>
      <c r="AI249">
        <f>VLOOKUP(Table29[[#This Row],[Shortname]], Comp[], 14, FALSE)</f>
        <v>3</v>
      </c>
      <c r="AJ249">
        <f>VLOOKUP(Table29[[#This Row],[Shortname]], Comp[], 15, FALSE)</f>
        <v>3</v>
      </c>
      <c r="AK249">
        <f>VLOOKUP(Table29[[#This Row],[Shortname]], Comp[], 16, FALSE)</f>
        <v>0</v>
      </c>
      <c r="AL249">
        <f>VLOOKUP(Table29[[#This Row],[Shortname]], Comp[], 17, FALSE)</f>
        <v>0</v>
      </c>
      <c r="AM249">
        <f>VLOOKUP(Table29[[#This Row],[Shortname]], Comp[], 18, FALSE)</f>
        <v>0</v>
      </c>
      <c r="AN249">
        <f>VLOOKUP(Table29[[#This Row],[Shortname]], Comp[], 19, FALSE)</f>
        <v>0.04</v>
      </c>
      <c r="AO249">
        <f>VLOOKUP(Table29[[#This Row],[Shortname]], Comp[], 20, FALSE)</f>
        <v>0</v>
      </c>
      <c r="AP249">
        <f>VLOOKUP(Table29[[#This Row],[Shortname]], Comp[], 21, FALSE)</f>
        <v>0</v>
      </c>
      <c r="AQ249">
        <f>VLOOKUP(Table29[[#This Row],[Shortname]], Comp[], 22, FALSE)</f>
        <v>0</v>
      </c>
      <c r="AR249">
        <f>VLOOKUP(Table29[[#This Row],[Shortname]], Comp[], 23, FALSE)</f>
        <v>0</v>
      </c>
      <c r="AS249">
        <f>VLOOKUP(Table29[[#This Row],[Shortname]], Comp[], 24, FALSE)</f>
        <v>0</v>
      </c>
      <c r="AT249">
        <f>VLOOKUP(Table29[[#This Row],[Shortname]], Comp[], 25, FALSE)</f>
        <v>0</v>
      </c>
      <c r="AU249">
        <f>VLOOKUP(Table29[[#This Row],[Shortname]], Comp[], 26, FALSE)</f>
        <v>0</v>
      </c>
      <c r="AV249">
        <f>VLOOKUP(Table29[[#This Row],[Shortname]], Comp[], 27, FALSE)</f>
        <v>0</v>
      </c>
      <c r="AW249">
        <f>VLOOKUP(Table29[[#This Row],[Shortname]], Comp[], 28, FALSE)</f>
        <v>0</v>
      </c>
      <c r="AX249">
        <f>VLOOKUP(Table29[[#This Row],[Shortname]], Comp[], 29, FALSE)</f>
        <v>0</v>
      </c>
      <c r="AY249">
        <f>VLOOKUP(Table29[[#This Row],[Shortname]], Comp[], 30, FALSE)</f>
        <v>0</v>
      </c>
      <c r="AZ249">
        <f>VLOOKUP(Table29[[#This Row],[Shortname]], Comp[], 31, FALSE)</f>
        <v>0</v>
      </c>
    </row>
    <row r="250" spans="1:52" x14ac:dyDescent="0.3">
      <c r="A250" t="s">
        <v>3003</v>
      </c>
      <c r="B250">
        <v>238</v>
      </c>
      <c r="C250">
        <v>413</v>
      </c>
      <c r="D250" t="s">
        <v>11</v>
      </c>
      <c r="E250" t="s">
        <v>514</v>
      </c>
      <c r="F250" t="s">
        <v>3005</v>
      </c>
      <c r="G250" t="s">
        <v>3006</v>
      </c>
      <c r="H250">
        <v>226</v>
      </c>
      <c r="I250">
        <v>9.6599999999999994E-7</v>
      </c>
      <c r="J250">
        <f>0.01/Table29[[#This Row],[Strain Rate (min) /s]]</f>
        <v>10351.966873706006</v>
      </c>
      <c r="K250">
        <f>LOG(Table29[[#This Row],[Time to 1% strain (s)]])</f>
        <v>4.015022873584507</v>
      </c>
      <c r="L250">
        <v>850</v>
      </c>
      <c r="M250">
        <v>8.8000000000000007</v>
      </c>
      <c r="P250" t="s">
        <v>7118</v>
      </c>
      <c r="Q250">
        <v>1200</v>
      </c>
      <c r="R250">
        <v>48</v>
      </c>
      <c r="S250">
        <v>850</v>
      </c>
      <c r="T250">
        <v>168</v>
      </c>
      <c r="W250">
        <v>1</v>
      </c>
      <c r="X250">
        <v>10</v>
      </c>
      <c r="Y250">
        <v>43.8</v>
      </c>
      <c r="AA250">
        <f>VLOOKUP(Table29[[#This Row],[Shortname]], Comp[], 6, FALSE)</f>
        <v>413</v>
      </c>
      <c r="AB250" s="14">
        <f>VLOOKUP(Table29[[#This Row],[Shortname]], Comp[], 7, FALSE)</f>
        <v>72.960000000000008</v>
      </c>
      <c r="AC250">
        <f>VLOOKUP(Table29[[#This Row],[Shortname]], Comp[], 8, FALSE)</f>
        <v>10</v>
      </c>
      <c r="AD250">
        <f>VLOOKUP(Table29[[#This Row],[Shortname]], Comp[], 9, FALSE)</f>
        <v>5</v>
      </c>
      <c r="AE250">
        <f>VLOOKUP(Table29[[#This Row],[Shortname]], Comp[], 10, FALSE)</f>
        <v>0</v>
      </c>
      <c r="AF250">
        <f>VLOOKUP(Table29[[#This Row],[Shortname]], Comp[], 11, FALSE)</f>
        <v>0</v>
      </c>
      <c r="AG250">
        <f>VLOOKUP(Table29[[#This Row],[Shortname]], Comp[],12, FALSE)</f>
        <v>6</v>
      </c>
      <c r="AH250">
        <f>VLOOKUP(Table29[[#This Row],[Shortname]], Comp[], 13, FALSE)</f>
        <v>0</v>
      </c>
      <c r="AI250">
        <f>VLOOKUP(Table29[[#This Row],[Shortname]], Comp[], 14, FALSE)</f>
        <v>3</v>
      </c>
      <c r="AJ250">
        <f>VLOOKUP(Table29[[#This Row],[Shortname]], Comp[], 15, FALSE)</f>
        <v>3</v>
      </c>
      <c r="AK250">
        <f>VLOOKUP(Table29[[#This Row],[Shortname]], Comp[], 16, FALSE)</f>
        <v>0</v>
      </c>
      <c r="AL250">
        <f>VLOOKUP(Table29[[#This Row],[Shortname]], Comp[], 17, FALSE)</f>
        <v>0</v>
      </c>
      <c r="AM250">
        <f>VLOOKUP(Table29[[#This Row],[Shortname]], Comp[], 18, FALSE)</f>
        <v>0</v>
      </c>
      <c r="AN250">
        <f>VLOOKUP(Table29[[#This Row],[Shortname]], Comp[], 19, FALSE)</f>
        <v>0.04</v>
      </c>
      <c r="AO250">
        <f>VLOOKUP(Table29[[#This Row],[Shortname]], Comp[], 20, FALSE)</f>
        <v>0</v>
      </c>
      <c r="AP250">
        <f>VLOOKUP(Table29[[#This Row],[Shortname]], Comp[], 21, FALSE)</f>
        <v>0</v>
      </c>
      <c r="AQ250">
        <f>VLOOKUP(Table29[[#This Row],[Shortname]], Comp[], 22, FALSE)</f>
        <v>0</v>
      </c>
      <c r="AR250">
        <f>VLOOKUP(Table29[[#This Row],[Shortname]], Comp[], 23, FALSE)</f>
        <v>0</v>
      </c>
      <c r="AS250">
        <f>VLOOKUP(Table29[[#This Row],[Shortname]], Comp[], 24, FALSE)</f>
        <v>0</v>
      </c>
      <c r="AT250">
        <f>VLOOKUP(Table29[[#This Row],[Shortname]], Comp[], 25, FALSE)</f>
        <v>0</v>
      </c>
      <c r="AU250">
        <f>VLOOKUP(Table29[[#This Row],[Shortname]], Comp[], 26, FALSE)</f>
        <v>0</v>
      </c>
      <c r="AV250">
        <f>VLOOKUP(Table29[[#This Row],[Shortname]], Comp[], 27, FALSE)</f>
        <v>0</v>
      </c>
      <c r="AW250">
        <f>VLOOKUP(Table29[[#This Row],[Shortname]], Comp[], 28, FALSE)</f>
        <v>0</v>
      </c>
      <c r="AX250">
        <f>VLOOKUP(Table29[[#This Row],[Shortname]], Comp[], 29, FALSE)</f>
        <v>0</v>
      </c>
      <c r="AY250">
        <f>VLOOKUP(Table29[[#This Row],[Shortname]], Comp[], 30, FALSE)</f>
        <v>0</v>
      </c>
      <c r="AZ250">
        <f>VLOOKUP(Table29[[#This Row],[Shortname]], Comp[], 31, FALSE)</f>
        <v>0</v>
      </c>
    </row>
    <row r="251" spans="1:52" x14ac:dyDescent="0.3">
      <c r="A251" t="s">
        <v>3003</v>
      </c>
      <c r="B251">
        <v>239</v>
      </c>
      <c r="C251">
        <v>413</v>
      </c>
      <c r="D251" t="s">
        <v>11</v>
      </c>
      <c r="E251" t="s">
        <v>514</v>
      </c>
      <c r="F251" t="s">
        <v>3005</v>
      </c>
      <c r="G251" t="s">
        <v>3006</v>
      </c>
      <c r="H251">
        <v>272</v>
      </c>
      <c r="I251">
        <v>5.0300000000000001E-6</v>
      </c>
      <c r="J251">
        <f>0.01/Table29[[#This Row],[Strain Rate (min) /s]]</f>
        <v>1988.0715705765408</v>
      </c>
      <c r="K251">
        <f>LOG(Table29[[#This Row],[Time to 1% strain (s)]])</f>
        <v>3.2984320149440727</v>
      </c>
      <c r="L251">
        <v>850</v>
      </c>
      <c r="M251">
        <v>8.8000000000000007</v>
      </c>
      <c r="P251" t="s">
        <v>7118</v>
      </c>
      <c r="Q251">
        <v>1200</v>
      </c>
      <c r="R251">
        <v>48</v>
      </c>
      <c r="S251">
        <v>850</v>
      </c>
      <c r="T251">
        <v>168</v>
      </c>
      <c r="W251">
        <v>1</v>
      </c>
      <c r="X251">
        <v>10</v>
      </c>
      <c r="Y251">
        <v>43.8</v>
      </c>
      <c r="AA251">
        <f>VLOOKUP(Table29[[#This Row],[Shortname]], Comp[], 6, FALSE)</f>
        <v>413</v>
      </c>
      <c r="AB251" s="14">
        <f>VLOOKUP(Table29[[#This Row],[Shortname]], Comp[], 7, FALSE)</f>
        <v>72.960000000000008</v>
      </c>
      <c r="AC251">
        <f>VLOOKUP(Table29[[#This Row],[Shortname]], Comp[], 8, FALSE)</f>
        <v>10</v>
      </c>
      <c r="AD251">
        <f>VLOOKUP(Table29[[#This Row],[Shortname]], Comp[], 9, FALSE)</f>
        <v>5</v>
      </c>
      <c r="AE251">
        <f>VLOOKUP(Table29[[#This Row],[Shortname]], Comp[], 10, FALSE)</f>
        <v>0</v>
      </c>
      <c r="AF251">
        <f>VLOOKUP(Table29[[#This Row],[Shortname]], Comp[], 11, FALSE)</f>
        <v>0</v>
      </c>
      <c r="AG251">
        <f>VLOOKUP(Table29[[#This Row],[Shortname]], Comp[],12, FALSE)</f>
        <v>6</v>
      </c>
      <c r="AH251">
        <f>VLOOKUP(Table29[[#This Row],[Shortname]], Comp[], 13, FALSE)</f>
        <v>0</v>
      </c>
      <c r="AI251">
        <f>VLOOKUP(Table29[[#This Row],[Shortname]], Comp[], 14, FALSE)</f>
        <v>3</v>
      </c>
      <c r="AJ251">
        <f>VLOOKUP(Table29[[#This Row],[Shortname]], Comp[], 15, FALSE)</f>
        <v>3</v>
      </c>
      <c r="AK251">
        <f>VLOOKUP(Table29[[#This Row],[Shortname]], Comp[], 16, FALSE)</f>
        <v>0</v>
      </c>
      <c r="AL251">
        <f>VLOOKUP(Table29[[#This Row],[Shortname]], Comp[], 17, FALSE)</f>
        <v>0</v>
      </c>
      <c r="AM251">
        <f>VLOOKUP(Table29[[#This Row],[Shortname]], Comp[], 18, FALSE)</f>
        <v>0</v>
      </c>
      <c r="AN251">
        <f>VLOOKUP(Table29[[#This Row],[Shortname]], Comp[], 19, FALSE)</f>
        <v>0.04</v>
      </c>
      <c r="AO251">
        <f>VLOOKUP(Table29[[#This Row],[Shortname]], Comp[], 20, FALSE)</f>
        <v>0</v>
      </c>
      <c r="AP251">
        <f>VLOOKUP(Table29[[#This Row],[Shortname]], Comp[], 21, FALSE)</f>
        <v>0</v>
      </c>
      <c r="AQ251">
        <f>VLOOKUP(Table29[[#This Row],[Shortname]], Comp[], 22, FALSE)</f>
        <v>0</v>
      </c>
      <c r="AR251">
        <f>VLOOKUP(Table29[[#This Row],[Shortname]], Comp[], 23, FALSE)</f>
        <v>0</v>
      </c>
      <c r="AS251">
        <f>VLOOKUP(Table29[[#This Row],[Shortname]], Comp[], 24, FALSE)</f>
        <v>0</v>
      </c>
      <c r="AT251">
        <f>VLOOKUP(Table29[[#This Row],[Shortname]], Comp[], 25, FALSE)</f>
        <v>0</v>
      </c>
      <c r="AU251">
        <f>VLOOKUP(Table29[[#This Row],[Shortname]], Comp[], 26, FALSE)</f>
        <v>0</v>
      </c>
      <c r="AV251">
        <f>VLOOKUP(Table29[[#This Row],[Shortname]], Comp[], 27, FALSE)</f>
        <v>0</v>
      </c>
      <c r="AW251">
        <f>VLOOKUP(Table29[[#This Row],[Shortname]], Comp[], 28, FALSE)</f>
        <v>0</v>
      </c>
      <c r="AX251">
        <f>VLOOKUP(Table29[[#This Row],[Shortname]], Comp[], 29, FALSE)</f>
        <v>0</v>
      </c>
      <c r="AY251">
        <f>VLOOKUP(Table29[[#This Row],[Shortname]], Comp[], 30, FALSE)</f>
        <v>0</v>
      </c>
      <c r="AZ251">
        <f>VLOOKUP(Table29[[#This Row],[Shortname]], Comp[], 31, FALSE)</f>
        <v>0</v>
      </c>
    </row>
    <row r="252" spans="1:52" x14ac:dyDescent="0.3">
      <c r="A252" t="s">
        <v>3003</v>
      </c>
      <c r="B252">
        <v>240</v>
      </c>
      <c r="C252">
        <v>413</v>
      </c>
      <c r="D252" t="s">
        <v>11</v>
      </c>
      <c r="E252" t="s">
        <v>514</v>
      </c>
      <c r="F252" t="s">
        <v>3005</v>
      </c>
      <c r="G252" t="s">
        <v>3006</v>
      </c>
      <c r="H252">
        <v>302</v>
      </c>
      <c r="I252">
        <v>1.27E-5</v>
      </c>
      <c r="J252">
        <f>0.01/Table29[[#This Row],[Strain Rate (min) /s]]</f>
        <v>787.40157480314963</v>
      </c>
      <c r="K252">
        <f>LOG(Table29[[#This Row],[Time to 1% strain (s)]])</f>
        <v>2.8961962790440432</v>
      </c>
      <c r="L252">
        <v>850</v>
      </c>
      <c r="M252">
        <v>8.8000000000000007</v>
      </c>
      <c r="P252" t="s">
        <v>7118</v>
      </c>
      <c r="Q252">
        <v>1200</v>
      </c>
      <c r="R252">
        <v>48</v>
      </c>
      <c r="S252">
        <v>850</v>
      </c>
      <c r="T252">
        <v>168</v>
      </c>
      <c r="W252">
        <v>1</v>
      </c>
      <c r="X252">
        <v>10</v>
      </c>
      <c r="Y252">
        <v>43.8</v>
      </c>
      <c r="AA252">
        <f>VLOOKUP(Table29[[#This Row],[Shortname]], Comp[], 6, FALSE)</f>
        <v>413</v>
      </c>
      <c r="AB252" s="14">
        <f>VLOOKUP(Table29[[#This Row],[Shortname]], Comp[], 7, FALSE)</f>
        <v>72.960000000000008</v>
      </c>
      <c r="AC252">
        <f>VLOOKUP(Table29[[#This Row],[Shortname]], Comp[], 8, FALSE)</f>
        <v>10</v>
      </c>
      <c r="AD252">
        <f>VLOOKUP(Table29[[#This Row],[Shortname]], Comp[], 9, FALSE)</f>
        <v>5</v>
      </c>
      <c r="AE252">
        <f>VLOOKUP(Table29[[#This Row],[Shortname]], Comp[], 10, FALSE)</f>
        <v>0</v>
      </c>
      <c r="AF252">
        <f>VLOOKUP(Table29[[#This Row],[Shortname]], Comp[], 11, FALSE)</f>
        <v>0</v>
      </c>
      <c r="AG252">
        <f>VLOOKUP(Table29[[#This Row],[Shortname]], Comp[],12, FALSE)</f>
        <v>6</v>
      </c>
      <c r="AH252">
        <f>VLOOKUP(Table29[[#This Row],[Shortname]], Comp[], 13, FALSE)</f>
        <v>0</v>
      </c>
      <c r="AI252">
        <f>VLOOKUP(Table29[[#This Row],[Shortname]], Comp[], 14, FALSE)</f>
        <v>3</v>
      </c>
      <c r="AJ252">
        <f>VLOOKUP(Table29[[#This Row],[Shortname]], Comp[], 15, FALSE)</f>
        <v>3</v>
      </c>
      <c r="AK252">
        <f>VLOOKUP(Table29[[#This Row],[Shortname]], Comp[], 16, FALSE)</f>
        <v>0</v>
      </c>
      <c r="AL252">
        <f>VLOOKUP(Table29[[#This Row],[Shortname]], Comp[], 17, FALSE)</f>
        <v>0</v>
      </c>
      <c r="AM252">
        <f>VLOOKUP(Table29[[#This Row],[Shortname]], Comp[], 18, FALSE)</f>
        <v>0</v>
      </c>
      <c r="AN252">
        <f>VLOOKUP(Table29[[#This Row],[Shortname]], Comp[], 19, FALSE)</f>
        <v>0.04</v>
      </c>
      <c r="AO252">
        <f>VLOOKUP(Table29[[#This Row],[Shortname]], Comp[], 20, FALSE)</f>
        <v>0</v>
      </c>
      <c r="AP252">
        <f>VLOOKUP(Table29[[#This Row],[Shortname]], Comp[], 21, FALSE)</f>
        <v>0</v>
      </c>
      <c r="AQ252">
        <f>VLOOKUP(Table29[[#This Row],[Shortname]], Comp[], 22, FALSE)</f>
        <v>0</v>
      </c>
      <c r="AR252">
        <f>VLOOKUP(Table29[[#This Row],[Shortname]], Comp[], 23, FALSE)</f>
        <v>0</v>
      </c>
      <c r="AS252">
        <f>VLOOKUP(Table29[[#This Row],[Shortname]], Comp[], 24, FALSE)</f>
        <v>0</v>
      </c>
      <c r="AT252">
        <f>VLOOKUP(Table29[[#This Row],[Shortname]], Comp[], 25, FALSE)</f>
        <v>0</v>
      </c>
      <c r="AU252">
        <f>VLOOKUP(Table29[[#This Row],[Shortname]], Comp[], 26, FALSE)</f>
        <v>0</v>
      </c>
      <c r="AV252">
        <f>VLOOKUP(Table29[[#This Row],[Shortname]], Comp[], 27, FALSE)</f>
        <v>0</v>
      </c>
      <c r="AW252">
        <f>VLOOKUP(Table29[[#This Row],[Shortname]], Comp[], 28, FALSE)</f>
        <v>0</v>
      </c>
      <c r="AX252">
        <f>VLOOKUP(Table29[[#This Row],[Shortname]], Comp[], 29, FALSE)</f>
        <v>0</v>
      </c>
      <c r="AY252">
        <f>VLOOKUP(Table29[[#This Row],[Shortname]], Comp[], 30, FALSE)</f>
        <v>0</v>
      </c>
      <c r="AZ252">
        <f>VLOOKUP(Table29[[#This Row],[Shortname]], Comp[], 31, FALSE)</f>
        <v>0</v>
      </c>
    </row>
    <row r="253" spans="1:52" x14ac:dyDescent="0.3">
      <c r="A253" t="s">
        <v>3003</v>
      </c>
      <c r="B253">
        <v>241</v>
      </c>
      <c r="C253">
        <v>413</v>
      </c>
      <c r="D253" t="s">
        <v>11</v>
      </c>
      <c r="E253" t="s">
        <v>514</v>
      </c>
      <c r="F253" t="s">
        <v>3005</v>
      </c>
      <c r="G253" t="s">
        <v>3006</v>
      </c>
      <c r="H253">
        <v>350</v>
      </c>
      <c r="I253">
        <v>5.5699999999999999E-5</v>
      </c>
      <c r="J253">
        <f>0.01/Table29[[#This Row],[Strain Rate (min) /s]]</f>
        <v>179.53321364452424</v>
      </c>
      <c r="K253">
        <f>LOG(Table29[[#This Row],[Time to 1% strain (s)]])</f>
        <v>2.2541448048262711</v>
      </c>
      <c r="L253">
        <v>850</v>
      </c>
      <c r="M253">
        <v>8.8000000000000007</v>
      </c>
      <c r="P253" t="s">
        <v>7118</v>
      </c>
      <c r="Q253">
        <v>1200</v>
      </c>
      <c r="R253">
        <v>48</v>
      </c>
      <c r="S253">
        <v>850</v>
      </c>
      <c r="T253">
        <v>168</v>
      </c>
      <c r="W253">
        <v>1</v>
      </c>
      <c r="X253">
        <v>10</v>
      </c>
      <c r="Y253">
        <v>43.8</v>
      </c>
      <c r="AA253">
        <f>VLOOKUP(Table29[[#This Row],[Shortname]], Comp[], 6, FALSE)</f>
        <v>413</v>
      </c>
      <c r="AB253" s="14">
        <f>VLOOKUP(Table29[[#This Row],[Shortname]], Comp[], 7, FALSE)</f>
        <v>72.960000000000008</v>
      </c>
      <c r="AC253">
        <f>VLOOKUP(Table29[[#This Row],[Shortname]], Comp[], 8, FALSE)</f>
        <v>10</v>
      </c>
      <c r="AD253">
        <f>VLOOKUP(Table29[[#This Row],[Shortname]], Comp[], 9, FALSE)</f>
        <v>5</v>
      </c>
      <c r="AE253">
        <f>VLOOKUP(Table29[[#This Row],[Shortname]], Comp[], 10, FALSE)</f>
        <v>0</v>
      </c>
      <c r="AF253">
        <f>VLOOKUP(Table29[[#This Row],[Shortname]], Comp[], 11, FALSE)</f>
        <v>0</v>
      </c>
      <c r="AG253">
        <f>VLOOKUP(Table29[[#This Row],[Shortname]], Comp[],12, FALSE)</f>
        <v>6</v>
      </c>
      <c r="AH253">
        <f>VLOOKUP(Table29[[#This Row],[Shortname]], Comp[], 13, FALSE)</f>
        <v>0</v>
      </c>
      <c r="AI253">
        <f>VLOOKUP(Table29[[#This Row],[Shortname]], Comp[], 14, FALSE)</f>
        <v>3</v>
      </c>
      <c r="AJ253">
        <f>VLOOKUP(Table29[[#This Row],[Shortname]], Comp[], 15, FALSE)</f>
        <v>3</v>
      </c>
      <c r="AK253">
        <f>VLOOKUP(Table29[[#This Row],[Shortname]], Comp[], 16, FALSE)</f>
        <v>0</v>
      </c>
      <c r="AL253">
        <f>VLOOKUP(Table29[[#This Row],[Shortname]], Comp[], 17, FALSE)</f>
        <v>0</v>
      </c>
      <c r="AM253">
        <f>VLOOKUP(Table29[[#This Row],[Shortname]], Comp[], 18, FALSE)</f>
        <v>0</v>
      </c>
      <c r="AN253">
        <f>VLOOKUP(Table29[[#This Row],[Shortname]], Comp[], 19, FALSE)</f>
        <v>0.04</v>
      </c>
      <c r="AO253">
        <f>VLOOKUP(Table29[[#This Row],[Shortname]], Comp[], 20, FALSE)</f>
        <v>0</v>
      </c>
      <c r="AP253">
        <f>VLOOKUP(Table29[[#This Row],[Shortname]], Comp[], 21, FALSE)</f>
        <v>0</v>
      </c>
      <c r="AQ253">
        <f>VLOOKUP(Table29[[#This Row],[Shortname]], Comp[], 22, FALSE)</f>
        <v>0</v>
      </c>
      <c r="AR253">
        <f>VLOOKUP(Table29[[#This Row],[Shortname]], Comp[], 23, FALSE)</f>
        <v>0</v>
      </c>
      <c r="AS253">
        <f>VLOOKUP(Table29[[#This Row],[Shortname]], Comp[], 24, FALSE)</f>
        <v>0</v>
      </c>
      <c r="AT253">
        <f>VLOOKUP(Table29[[#This Row],[Shortname]], Comp[], 25, FALSE)</f>
        <v>0</v>
      </c>
      <c r="AU253">
        <f>VLOOKUP(Table29[[#This Row],[Shortname]], Comp[], 26, FALSE)</f>
        <v>0</v>
      </c>
      <c r="AV253">
        <f>VLOOKUP(Table29[[#This Row],[Shortname]], Comp[], 27, FALSE)</f>
        <v>0</v>
      </c>
      <c r="AW253">
        <f>VLOOKUP(Table29[[#This Row],[Shortname]], Comp[], 28, FALSE)</f>
        <v>0</v>
      </c>
      <c r="AX253">
        <f>VLOOKUP(Table29[[#This Row],[Shortname]], Comp[], 29, FALSE)</f>
        <v>0</v>
      </c>
      <c r="AY253">
        <f>VLOOKUP(Table29[[#This Row],[Shortname]], Comp[], 30, FALSE)</f>
        <v>0</v>
      </c>
      <c r="AZ253">
        <f>VLOOKUP(Table29[[#This Row],[Shortname]], Comp[], 31, FALSE)</f>
        <v>0</v>
      </c>
    </row>
    <row r="254" spans="1:52" x14ac:dyDescent="0.3">
      <c r="A254" t="s">
        <v>3011</v>
      </c>
      <c r="B254">
        <v>242</v>
      </c>
      <c r="C254">
        <v>414</v>
      </c>
      <c r="D254" t="s">
        <v>3012</v>
      </c>
      <c r="E254" t="s">
        <v>514</v>
      </c>
      <c r="F254" t="s">
        <v>3013</v>
      </c>
      <c r="G254" t="s">
        <v>3006</v>
      </c>
      <c r="H254">
        <v>194</v>
      </c>
      <c r="I254">
        <v>1.36E-7</v>
      </c>
      <c r="J254">
        <f>0.01/Table29[[#This Row],[Strain Rate (min) /s]]</f>
        <v>73529.411764705888</v>
      </c>
      <c r="K254">
        <f>LOG(Table29[[#This Row],[Time to 1% strain (s)]])</f>
        <v>4.8664610916297821</v>
      </c>
      <c r="L254">
        <v>850</v>
      </c>
      <c r="M254">
        <v>8.4</v>
      </c>
      <c r="P254" t="s">
        <v>7119</v>
      </c>
      <c r="Q254">
        <v>1200</v>
      </c>
      <c r="R254">
        <v>48</v>
      </c>
      <c r="S254">
        <v>850</v>
      </c>
      <c r="T254">
        <v>168</v>
      </c>
      <c r="W254">
        <v>1</v>
      </c>
      <c r="X254">
        <v>10</v>
      </c>
      <c r="Y254">
        <v>41.4</v>
      </c>
      <c r="AA254">
        <f>VLOOKUP(Table29[[#This Row],[Shortname]], Comp[], 6, FALSE)</f>
        <v>414</v>
      </c>
      <c r="AB254" s="14">
        <f>VLOOKUP(Table29[[#This Row],[Shortname]], Comp[], 7, FALSE)</f>
        <v>68.960000000000008</v>
      </c>
      <c r="AC254">
        <f>VLOOKUP(Table29[[#This Row],[Shortname]], Comp[], 8, FALSE)</f>
        <v>10</v>
      </c>
      <c r="AD254">
        <f>VLOOKUP(Table29[[#This Row],[Shortname]], Comp[], 9, FALSE)</f>
        <v>5</v>
      </c>
      <c r="AE254">
        <f>VLOOKUP(Table29[[#This Row],[Shortname]], Comp[], 10, FALSE)</f>
        <v>4</v>
      </c>
      <c r="AF254">
        <f>VLOOKUP(Table29[[#This Row],[Shortname]], Comp[], 11, FALSE)</f>
        <v>0</v>
      </c>
      <c r="AG254">
        <f>VLOOKUP(Table29[[#This Row],[Shortname]], Comp[],12, FALSE)</f>
        <v>6</v>
      </c>
      <c r="AH254">
        <f>VLOOKUP(Table29[[#This Row],[Shortname]], Comp[], 13, FALSE)</f>
        <v>0</v>
      </c>
      <c r="AI254">
        <f>VLOOKUP(Table29[[#This Row],[Shortname]], Comp[], 14, FALSE)</f>
        <v>3</v>
      </c>
      <c r="AJ254">
        <f>VLOOKUP(Table29[[#This Row],[Shortname]], Comp[], 15, FALSE)</f>
        <v>3</v>
      </c>
      <c r="AK254">
        <f>VLOOKUP(Table29[[#This Row],[Shortname]], Comp[], 16, FALSE)</f>
        <v>0</v>
      </c>
      <c r="AL254">
        <f>VLOOKUP(Table29[[#This Row],[Shortname]], Comp[], 17, FALSE)</f>
        <v>0</v>
      </c>
      <c r="AM254">
        <f>VLOOKUP(Table29[[#This Row],[Shortname]], Comp[], 18, FALSE)</f>
        <v>0</v>
      </c>
      <c r="AN254">
        <f>VLOOKUP(Table29[[#This Row],[Shortname]], Comp[], 19, FALSE)</f>
        <v>0.04</v>
      </c>
      <c r="AO254">
        <f>VLOOKUP(Table29[[#This Row],[Shortname]], Comp[], 20, FALSE)</f>
        <v>0</v>
      </c>
      <c r="AP254">
        <f>VLOOKUP(Table29[[#This Row],[Shortname]], Comp[], 21, FALSE)</f>
        <v>0</v>
      </c>
      <c r="AQ254">
        <f>VLOOKUP(Table29[[#This Row],[Shortname]], Comp[], 22, FALSE)</f>
        <v>0</v>
      </c>
      <c r="AR254">
        <f>VLOOKUP(Table29[[#This Row],[Shortname]], Comp[], 23, FALSE)</f>
        <v>0</v>
      </c>
      <c r="AS254">
        <f>VLOOKUP(Table29[[#This Row],[Shortname]], Comp[], 24, FALSE)</f>
        <v>0</v>
      </c>
      <c r="AT254">
        <f>VLOOKUP(Table29[[#This Row],[Shortname]], Comp[], 25, FALSE)</f>
        <v>0</v>
      </c>
      <c r="AU254">
        <f>VLOOKUP(Table29[[#This Row],[Shortname]], Comp[], 26, FALSE)</f>
        <v>0</v>
      </c>
      <c r="AV254">
        <f>VLOOKUP(Table29[[#This Row],[Shortname]], Comp[], 27, FALSE)</f>
        <v>0</v>
      </c>
      <c r="AW254">
        <f>VLOOKUP(Table29[[#This Row],[Shortname]], Comp[], 28, FALSE)</f>
        <v>0</v>
      </c>
      <c r="AX254">
        <f>VLOOKUP(Table29[[#This Row],[Shortname]], Comp[], 29, FALSE)</f>
        <v>0</v>
      </c>
      <c r="AY254">
        <f>VLOOKUP(Table29[[#This Row],[Shortname]], Comp[], 30, FALSE)</f>
        <v>0</v>
      </c>
      <c r="AZ254">
        <f>VLOOKUP(Table29[[#This Row],[Shortname]], Comp[], 31, FALSE)</f>
        <v>0</v>
      </c>
    </row>
    <row r="255" spans="1:52" x14ac:dyDescent="0.3">
      <c r="A255" t="s">
        <v>3011</v>
      </c>
      <c r="B255">
        <v>243</v>
      </c>
      <c r="C255">
        <v>414</v>
      </c>
      <c r="D255" t="s">
        <v>11</v>
      </c>
      <c r="E255" t="s">
        <v>514</v>
      </c>
      <c r="F255" t="s">
        <v>3013</v>
      </c>
      <c r="G255" t="s">
        <v>3006</v>
      </c>
      <c r="H255">
        <v>241</v>
      </c>
      <c r="I255">
        <v>2.2000000000000001E-7</v>
      </c>
      <c r="J255">
        <f>0.01/Table29[[#This Row],[Strain Rate (min) /s]]</f>
        <v>45454.545454545456</v>
      </c>
      <c r="K255">
        <f>LOG(Table29[[#This Row],[Time to 1% strain (s)]])</f>
        <v>4.6575773191777934</v>
      </c>
      <c r="L255">
        <v>850</v>
      </c>
      <c r="M255">
        <v>8.4</v>
      </c>
      <c r="P255" t="s">
        <v>7119</v>
      </c>
      <c r="Q255">
        <v>1200</v>
      </c>
      <c r="R255">
        <v>48</v>
      </c>
      <c r="S255">
        <v>850</v>
      </c>
      <c r="T255">
        <v>168</v>
      </c>
      <c r="W255">
        <v>1</v>
      </c>
      <c r="X255">
        <v>10</v>
      </c>
      <c r="Y255">
        <v>41.4</v>
      </c>
      <c r="AA255">
        <f>VLOOKUP(Table29[[#This Row],[Shortname]], Comp[], 6, FALSE)</f>
        <v>414</v>
      </c>
      <c r="AB255" s="14">
        <f>VLOOKUP(Table29[[#This Row],[Shortname]], Comp[], 7, FALSE)</f>
        <v>68.960000000000008</v>
      </c>
      <c r="AC255">
        <f>VLOOKUP(Table29[[#This Row],[Shortname]], Comp[], 8, FALSE)</f>
        <v>10</v>
      </c>
      <c r="AD255">
        <f>VLOOKUP(Table29[[#This Row],[Shortname]], Comp[], 9, FALSE)</f>
        <v>5</v>
      </c>
      <c r="AE255">
        <f>VLOOKUP(Table29[[#This Row],[Shortname]], Comp[], 10, FALSE)</f>
        <v>4</v>
      </c>
      <c r="AF255">
        <f>VLOOKUP(Table29[[#This Row],[Shortname]], Comp[], 11, FALSE)</f>
        <v>0</v>
      </c>
      <c r="AG255">
        <f>VLOOKUP(Table29[[#This Row],[Shortname]], Comp[],12, FALSE)</f>
        <v>6</v>
      </c>
      <c r="AH255">
        <f>VLOOKUP(Table29[[#This Row],[Shortname]], Comp[], 13, FALSE)</f>
        <v>0</v>
      </c>
      <c r="AI255">
        <f>VLOOKUP(Table29[[#This Row],[Shortname]], Comp[], 14, FALSE)</f>
        <v>3</v>
      </c>
      <c r="AJ255">
        <f>VLOOKUP(Table29[[#This Row],[Shortname]], Comp[], 15, FALSE)</f>
        <v>3</v>
      </c>
      <c r="AK255">
        <f>VLOOKUP(Table29[[#This Row],[Shortname]], Comp[], 16, FALSE)</f>
        <v>0</v>
      </c>
      <c r="AL255">
        <f>VLOOKUP(Table29[[#This Row],[Shortname]], Comp[], 17, FALSE)</f>
        <v>0</v>
      </c>
      <c r="AM255">
        <f>VLOOKUP(Table29[[#This Row],[Shortname]], Comp[], 18, FALSE)</f>
        <v>0</v>
      </c>
      <c r="AN255">
        <f>VLOOKUP(Table29[[#This Row],[Shortname]], Comp[], 19, FALSE)</f>
        <v>0.04</v>
      </c>
      <c r="AO255">
        <f>VLOOKUP(Table29[[#This Row],[Shortname]], Comp[], 20, FALSE)</f>
        <v>0</v>
      </c>
      <c r="AP255">
        <f>VLOOKUP(Table29[[#This Row],[Shortname]], Comp[], 21, FALSE)</f>
        <v>0</v>
      </c>
      <c r="AQ255">
        <f>VLOOKUP(Table29[[#This Row],[Shortname]], Comp[], 22, FALSE)</f>
        <v>0</v>
      </c>
      <c r="AR255">
        <f>VLOOKUP(Table29[[#This Row],[Shortname]], Comp[], 23, FALSE)</f>
        <v>0</v>
      </c>
      <c r="AS255">
        <f>VLOOKUP(Table29[[#This Row],[Shortname]], Comp[], 24, FALSE)</f>
        <v>0</v>
      </c>
      <c r="AT255">
        <f>VLOOKUP(Table29[[#This Row],[Shortname]], Comp[], 25, FALSE)</f>
        <v>0</v>
      </c>
      <c r="AU255">
        <f>VLOOKUP(Table29[[#This Row],[Shortname]], Comp[], 26, FALSE)</f>
        <v>0</v>
      </c>
      <c r="AV255">
        <f>VLOOKUP(Table29[[#This Row],[Shortname]], Comp[], 27, FALSE)</f>
        <v>0</v>
      </c>
      <c r="AW255">
        <f>VLOOKUP(Table29[[#This Row],[Shortname]], Comp[], 28, FALSE)</f>
        <v>0</v>
      </c>
      <c r="AX255">
        <f>VLOOKUP(Table29[[#This Row],[Shortname]], Comp[], 29, FALSE)</f>
        <v>0</v>
      </c>
      <c r="AY255">
        <f>VLOOKUP(Table29[[#This Row],[Shortname]], Comp[], 30, FALSE)</f>
        <v>0</v>
      </c>
      <c r="AZ255">
        <f>VLOOKUP(Table29[[#This Row],[Shortname]], Comp[], 31, FALSE)</f>
        <v>0</v>
      </c>
    </row>
    <row r="256" spans="1:52" x14ac:dyDescent="0.3">
      <c r="A256" t="s">
        <v>3011</v>
      </c>
      <c r="B256">
        <v>244</v>
      </c>
      <c r="C256">
        <v>414</v>
      </c>
      <c r="D256" t="s">
        <v>11</v>
      </c>
      <c r="E256" t="s">
        <v>514</v>
      </c>
      <c r="F256" t="s">
        <v>3013</v>
      </c>
      <c r="G256" t="s">
        <v>3006</v>
      </c>
      <c r="H256">
        <v>264</v>
      </c>
      <c r="I256">
        <v>4.3799999999999998E-7</v>
      </c>
      <c r="J256">
        <f>0.01/Table29[[#This Row],[Strain Rate (min) /s]]</f>
        <v>22831.050228310505</v>
      </c>
      <c r="K256">
        <f>LOG(Table29[[#This Row],[Time to 1% strain (s)]])</f>
        <v>4.3585258894959003</v>
      </c>
      <c r="L256">
        <v>850</v>
      </c>
      <c r="M256">
        <v>8.4</v>
      </c>
      <c r="P256" t="s">
        <v>7119</v>
      </c>
      <c r="Q256">
        <v>1200</v>
      </c>
      <c r="R256">
        <v>48</v>
      </c>
      <c r="S256">
        <v>850</v>
      </c>
      <c r="T256">
        <v>168</v>
      </c>
      <c r="W256">
        <v>1</v>
      </c>
      <c r="X256">
        <v>10</v>
      </c>
      <c r="Y256">
        <v>41.4</v>
      </c>
      <c r="AA256">
        <f>VLOOKUP(Table29[[#This Row],[Shortname]], Comp[], 6, FALSE)</f>
        <v>414</v>
      </c>
      <c r="AB256" s="14">
        <f>VLOOKUP(Table29[[#This Row],[Shortname]], Comp[], 7, FALSE)</f>
        <v>68.960000000000008</v>
      </c>
      <c r="AC256">
        <f>VLOOKUP(Table29[[#This Row],[Shortname]], Comp[], 8, FALSE)</f>
        <v>10</v>
      </c>
      <c r="AD256">
        <f>VLOOKUP(Table29[[#This Row],[Shortname]], Comp[], 9, FALSE)</f>
        <v>5</v>
      </c>
      <c r="AE256">
        <f>VLOOKUP(Table29[[#This Row],[Shortname]], Comp[], 10, FALSE)</f>
        <v>4</v>
      </c>
      <c r="AF256">
        <f>VLOOKUP(Table29[[#This Row],[Shortname]], Comp[], 11, FALSE)</f>
        <v>0</v>
      </c>
      <c r="AG256">
        <f>VLOOKUP(Table29[[#This Row],[Shortname]], Comp[],12, FALSE)</f>
        <v>6</v>
      </c>
      <c r="AH256">
        <f>VLOOKUP(Table29[[#This Row],[Shortname]], Comp[], 13, FALSE)</f>
        <v>0</v>
      </c>
      <c r="AI256">
        <f>VLOOKUP(Table29[[#This Row],[Shortname]], Comp[], 14, FALSE)</f>
        <v>3</v>
      </c>
      <c r="AJ256">
        <f>VLOOKUP(Table29[[#This Row],[Shortname]], Comp[], 15, FALSE)</f>
        <v>3</v>
      </c>
      <c r="AK256">
        <f>VLOOKUP(Table29[[#This Row],[Shortname]], Comp[], 16, FALSE)</f>
        <v>0</v>
      </c>
      <c r="AL256">
        <f>VLOOKUP(Table29[[#This Row],[Shortname]], Comp[], 17, FALSE)</f>
        <v>0</v>
      </c>
      <c r="AM256">
        <f>VLOOKUP(Table29[[#This Row],[Shortname]], Comp[], 18, FALSE)</f>
        <v>0</v>
      </c>
      <c r="AN256">
        <f>VLOOKUP(Table29[[#This Row],[Shortname]], Comp[], 19, FALSE)</f>
        <v>0.04</v>
      </c>
      <c r="AO256">
        <f>VLOOKUP(Table29[[#This Row],[Shortname]], Comp[], 20, FALSE)</f>
        <v>0</v>
      </c>
      <c r="AP256">
        <f>VLOOKUP(Table29[[#This Row],[Shortname]], Comp[], 21, FALSE)</f>
        <v>0</v>
      </c>
      <c r="AQ256">
        <f>VLOOKUP(Table29[[#This Row],[Shortname]], Comp[], 22, FALSE)</f>
        <v>0</v>
      </c>
      <c r="AR256">
        <f>VLOOKUP(Table29[[#This Row],[Shortname]], Comp[], 23, FALSE)</f>
        <v>0</v>
      </c>
      <c r="AS256">
        <f>VLOOKUP(Table29[[#This Row],[Shortname]], Comp[], 24, FALSE)</f>
        <v>0</v>
      </c>
      <c r="AT256">
        <f>VLOOKUP(Table29[[#This Row],[Shortname]], Comp[], 25, FALSE)</f>
        <v>0</v>
      </c>
      <c r="AU256">
        <f>VLOOKUP(Table29[[#This Row],[Shortname]], Comp[], 26, FALSE)</f>
        <v>0</v>
      </c>
      <c r="AV256">
        <f>VLOOKUP(Table29[[#This Row],[Shortname]], Comp[], 27, FALSE)</f>
        <v>0</v>
      </c>
      <c r="AW256">
        <f>VLOOKUP(Table29[[#This Row],[Shortname]], Comp[], 28, FALSE)</f>
        <v>0</v>
      </c>
      <c r="AX256">
        <f>VLOOKUP(Table29[[#This Row],[Shortname]], Comp[], 29, FALSE)</f>
        <v>0</v>
      </c>
      <c r="AY256">
        <f>VLOOKUP(Table29[[#This Row],[Shortname]], Comp[], 30, FALSE)</f>
        <v>0</v>
      </c>
      <c r="AZ256">
        <f>VLOOKUP(Table29[[#This Row],[Shortname]], Comp[], 31, FALSE)</f>
        <v>0</v>
      </c>
    </row>
    <row r="257" spans="1:52" x14ac:dyDescent="0.3">
      <c r="A257" t="s">
        <v>3011</v>
      </c>
      <c r="B257">
        <v>245</v>
      </c>
      <c r="C257">
        <v>414</v>
      </c>
      <c r="D257" t="s">
        <v>11</v>
      </c>
      <c r="E257" t="s">
        <v>514</v>
      </c>
      <c r="F257" t="s">
        <v>3013</v>
      </c>
      <c r="G257" t="s">
        <v>3006</v>
      </c>
      <c r="H257">
        <v>330</v>
      </c>
      <c r="I257">
        <v>3.5700000000000001E-6</v>
      </c>
      <c r="J257">
        <f>0.01/Table29[[#This Row],[Strain Rate (min) /s]]</f>
        <v>2801.1204481792715</v>
      </c>
      <c r="K257">
        <f>LOG(Table29[[#This Row],[Time to 1% strain (s)]])</f>
        <v>3.4473317838878068</v>
      </c>
      <c r="L257">
        <v>850</v>
      </c>
      <c r="M257">
        <v>8.4</v>
      </c>
      <c r="P257" t="s">
        <v>7119</v>
      </c>
      <c r="Q257">
        <v>1200</v>
      </c>
      <c r="R257">
        <v>48</v>
      </c>
      <c r="S257">
        <v>850</v>
      </c>
      <c r="T257">
        <v>168</v>
      </c>
      <c r="W257">
        <v>1</v>
      </c>
      <c r="X257">
        <v>10</v>
      </c>
      <c r="Y257">
        <v>41.4</v>
      </c>
      <c r="AA257">
        <f>VLOOKUP(Table29[[#This Row],[Shortname]], Comp[], 6, FALSE)</f>
        <v>414</v>
      </c>
      <c r="AB257" s="14">
        <f>VLOOKUP(Table29[[#This Row],[Shortname]], Comp[], 7, FALSE)</f>
        <v>68.960000000000008</v>
      </c>
      <c r="AC257">
        <f>VLOOKUP(Table29[[#This Row],[Shortname]], Comp[], 8, FALSE)</f>
        <v>10</v>
      </c>
      <c r="AD257">
        <f>VLOOKUP(Table29[[#This Row],[Shortname]], Comp[], 9, FALSE)</f>
        <v>5</v>
      </c>
      <c r="AE257">
        <f>VLOOKUP(Table29[[#This Row],[Shortname]], Comp[], 10, FALSE)</f>
        <v>4</v>
      </c>
      <c r="AF257">
        <f>VLOOKUP(Table29[[#This Row],[Shortname]], Comp[], 11, FALSE)</f>
        <v>0</v>
      </c>
      <c r="AG257">
        <f>VLOOKUP(Table29[[#This Row],[Shortname]], Comp[],12, FALSE)</f>
        <v>6</v>
      </c>
      <c r="AH257">
        <f>VLOOKUP(Table29[[#This Row],[Shortname]], Comp[], 13, FALSE)</f>
        <v>0</v>
      </c>
      <c r="AI257">
        <f>VLOOKUP(Table29[[#This Row],[Shortname]], Comp[], 14, FALSE)</f>
        <v>3</v>
      </c>
      <c r="AJ257">
        <f>VLOOKUP(Table29[[#This Row],[Shortname]], Comp[], 15, FALSE)</f>
        <v>3</v>
      </c>
      <c r="AK257">
        <f>VLOOKUP(Table29[[#This Row],[Shortname]], Comp[], 16, FALSE)</f>
        <v>0</v>
      </c>
      <c r="AL257">
        <f>VLOOKUP(Table29[[#This Row],[Shortname]], Comp[], 17, FALSE)</f>
        <v>0</v>
      </c>
      <c r="AM257">
        <f>VLOOKUP(Table29[[#This Row],[Shortname]], Comp[], 18, FALSE)</f>
        <v>0</v>
      </c>
      <c r="AN257">
        <f>VLOOKUP(Table29[[#This Row],[Shortname]], Comp[], 19, FALSE)</f>
        <v>0.04</v>
      </c>
      <c r="AO257">
        <f>VLOOKUP(Table29[[#This Row],[Shortname]], Comp[], 20, FALSE)</f>
        <v>0</v>
      </c>
      <c r="AP257">
        <f>VLOOKUP(Table29[[#This Row],[Shortname]], Comp[], 21, FALSE)</f>
        <v>0</v>
      </c>
      <c r="AQ257">
        <f>VLOOKUP(Table29[[#This Row],[Shortname]], Comp[], 22, FALSE)</f>
        <v>0</v>
      </c>
      <c r="AR257">
        <f>VLOOKUP(Table29[[#This Row],[Shortname]], Comp[], 23, FALSE)</f>
        <v>0</v>
      </c>
      <c r="AS257">
        <f>VLOOKUP(Table29[[#This Row],[Shortname]], Comp[], 24, FALSE)</f>
        <v>0</v>
      </c>
      <c r="AT257">
        <f>VLOOKUP(Table29[[#This Row],[Shortname]], Comp[], 25, FALSE)</f>
        <v>0</v>
      </c>
      <c r="AU257">
        <f>VLOOKUP(Table29[[#This Row],[Shortname]], Comp[], 26, FALSE)</f>
        <v>0</v>
      </c>
      <c r="AV257">
        <f>VLOOKUP(Table29[[#This Row],[Shortname]], Comp[], 27, FALSE)</f>
        <v>0</v>
      </c>
      <c r="AW257">
        <f>VLOOKUP(Table29[[#This Row],[Shortname]], Comp[], 28, FALSE)</f>
        <v>0</v>
      </c>
      <c r="AX257">
        <f>VLOOKUP(Table29[[#This Row],[Shortname]], Comp[], 29, FALSE)</f>
        <v>0</v>
      </c>
      <c r="AY257">
        <f>VLOOKUP(Table29[[#This Row],[Shortname]], Comp[], 30, FALSE)</f>
        <v>0</v>
      </c>
      <c r="AZ257">
        <f>VLOOKUP(Table29[[#This Row],[Shortname]], Comp[], 31, FALSE)</f>
        <v>0</v>
      </c>
    </row>
    <row r="258" spans="1:52" x14ac:dyDescent="0.3">
      <c r="A258" t="s">
        <v>3011</v>
      </c>
      <c r="B258">
        <v>246</v>
      </c>
      <c r="C258">
        <v>414</v>
      </c>
      <c r="D258" t="s">
        <v>11</v>
      </c>
      <c r="E258" t="s">
        <v>514</v>
      </c>
      <c r="F258" t="s">
        <v>3013</v>
      </c>
      <c r="G258" t="s">
        <v>3006</v>
      </c>
      <c r="H258">
        <v>367</v>
      </c>
      <c r="I258">
        <v>1.56E-5</v>
      </c>
      <c r="J258">
        <f>0.01/Table29[[#This Row],[Strain Rate (min) /s]]</f>
        <v>641.02564102564111</v>
      </c>
      <c r="K258">
        <f>LOG(Table29[[#This Row],[Time to 1% strain (s)]])</f>
        <v>2.8068754016455384</v>
      </c>
      <c r="L258">
        <v>850</v>
      </c>
      <c r="M258">
        <v>8.4</v>
      </c>
      <c r="P258" t="s">
        <v>7119</v>
      </c>
      <c r="Q258">
        <v>1200</v>
      </c>
      <c r="R258">
        <v>48</v>
      </c>
      <c r="S258">
        <v>850</v>
      </c>
      <c r="T258">
        <v>168</v>
      </c>
      <c r="W258">
        <v>1</v>
      </c>
      <c r="X258">
        <v>10</v>
      </c>
      <c r="Y258">
        <v>41.4</v>
      </c>
      <c r="AA258">
        <f>VLOOKUP(Table29[[#This Row],[Shortname]], Comp[], 6, FALSE)</f>
        <v>414</v>
      </c>
      <c r="AB258" s="14">
        <f>VLOOKUP(Table29[[#This Row],[Shortname]], Comp[], 7, FALSE)</f>
        <v>68.960000000000008</v>
      </c>
      <c r="AC258">
        <f>VLOOKUP(Table29[[#This Row],[Shortname]], Comp[], 8, FALSE)</f>
        <v>10</v>
      </c>
      <c r="AD258">
        <f>VLOOKUP(Table29[[#This Row],[Shortname]], Comp[], 9, FALSE)</f>
        <v>5</v>
      </c>
      <c r="AE258">
        <f>VLOOKUP(Table29[[#This Row],[Shortname]], Comp[], 10, FALSE)</f>
        <v>4</v>
      </c>
      <c r="AF258">
        <f>VLOOKUP(Table29[[#This Row],[Shortname]], Comp[], 11, FALSE)</f>
        <v>0</v>
      </c>
      <c r="AG258">
        <f>VLOOKUP(Table29[[#This Row],[Shortname]], Comp[],12, FALSE)</f>
        <v>6</v>
      </c>
      <c r="AH258">
        <f>VLOOKUP(Table29[[#This Row],[Shortname]], Comp[], 13, FALSE)</f>
        <v>0</v>
      </c>
      <c r="AI258">
        <f>VLOOKUP(Table29[[#This Row],[Shortname]], Comp[], 14, FALSE)</f>
        <v>3</v>
      </c>
      <c r="AJ258">
        <f>VLOOKUP(Table29[[#This Row],[Shortname]], Comp[], 15, FALSE)</f>
        <v>3</v>
      </c>
      <c r="AK258">
        <f>VLOOKUP(Table29[[#This Row],[Shortname]], Comp[], 16, FALSE)</f>
        <v>0</v>
      </c>
      <c r="AL258">
        <f>VLOOKUP(Table29[[#This Row],[Shortname]], Comp[], 17, FALSE)</f>
        <v>0</v>
      </c>
      <c r="AM258">
        <f>VLOOKUP(Table29[[#This Row],[Shortname]], Comp[], 18, FALSE)</f>
        <v>0</v>
      </c>
      <c r="AN258">
        <f>VLOOKUP(Table29[[#This Row],[Shortname]], Comp[], 19, FALSE)</f>
        <v>0.04</v>
      </c>
      <c r="AO258">
        <f>VLOOKUP(Table29[[#This Row],[Shortname]], Comp[], 20, FALSE)</f>
        <v>0</v>
      </c>
      <c r="AP258">
        <f>VLOOKUP(Table29[[#This Row],[Shortname]], Comp[], 21, FALSE)</f>
        <v>0</v>
      </c>
      <c r="AQ258">
        <f>VLOOKUP(Table29[[#This Row],[Shortname]], Comp[], 22, FALSE)</f>
        <v>0</v>
      </c>
      <c r="AR258">
        <f>VLOOKUP(Table29[[#This Row],[Shortname]], Comp[], 23, FALSE)</f>
        <v>0</v>
      </c>
      <c r="AS258">
        <f>VLOOKUP(Table29[[#This Row],[Shortname]], Comp[], 24, FALSE)</f>
        <v>0</v>
      </c>
      <c r="AT258">
        <f>VLOOKUP(Table29[[#This Row],[Shortname]], Comp[], 25, FALSE)</f>
        <v>0</v>
      </c>
      <c r="AU258">
        <f>VLOOKUP(Table29[[#This Row],[Shortname]], Comp[], 26, FALSE)</f>
        <v>0</v>
      </c>
      <c r="AV258">
        <f>VLOOKUP(Table29[[#This Row],[Shortname]], Comp[], 27, FALSE)</f>
        <v>0</v>
      </c>
      <c r="AW258">
        <f>VLOOKUP(Table29[[#This Row],[Shortname]], Comp[], 28, FALSE)</f>
        <v>0</v>
      </c>
      <c r="AX258">
        <f>VLOOKUP(Table29[[#This Row],[Shortname]], Comp[], 29, FALSE)</f>
        <v>0</v>
      </c>
      <c r="AY258">
        <f>VLOOKUP(Table29[[#This Row],[Shortname]], Comp[], 30, FALSE)</f>
        <v>0</v>
      </c>
      <c r="AZ258">
        <f>VLOOKUP(Table29[[#This Row],[Shortname]], Comp[], 31, FALSE)</f>
        <v>0</v>
      </c>
    </row>
    <row r="259" spans="1:52" x14ac:dyDescent="0.3">
      <c r="A259" t="s">
        <v>3011</v>
      </c>
      <c r="B259">
        <v>247</v>
      </c>
      <c r="C259">
        <v>414</v>
      </c>
      <c r="D259" t="s">
        <v>11</v>
      </c>
      <c r="E259" t="s">
        <v>514</v>
      </c>
      <c r="F259" t="s">
        <v>3013</v>
      </c>
      <c r="G259" t="s">
        <v>3006</v>
      </c>
      <c r="H259">
        <v>444</v>
      </c>
      <c r="I259">
        <v>8.42E-5</v>
      </c>
      <c r="J259">
        <f>0.01/Table29[[#This Row],[Strain Rate (min) /s]]</f>
        <v>118.76484560570071</v>
      </c>
      <c r="K259">
        <f>LOG(Table29[[#This Row],[Time to 1% strain (s)]])</f>
        <v>2.0746879085003505</v>
      </c>
      <c r="L259">
        <v>850</v>
      </c>
      <c r="M259">
        <v>8.4</v>
      </c>
      <c r="P259" t="s">
        <v>7119</v>
      </c>
      <c r="Q259">
        <v>1200</v>
      </c>
      <c r="R259">
        <v>48</v>
      </c>
      <c r="S259">
        <v>850</v>
      </c>
      <c r="T259">
        <v>168</v>
      </c>
      <c r="W259">
        <v>1</v>
      </c>
      <c r="X259">
        <v>10</v>
      </c>
      <c r="Y259">
        <v>41.4</v>
      </c>
      <c r="AA259">
        <f>VLOOKUP(Table29[[#This Row],[Shortname]], Comp[], 6, FALSE)</f>
        <v>414</v>
      </c>
      <c r="AB259" s="14">
        <f>VLOOKUP(Table29[[#This Row],[Shortname]], Comp[], 7, FALSE)</f>
        <v>68.960000000000008</v>
      </c>
      <c r="AC259">
        <f>VLOOKUP(Table29[[#This Row],[Shortname]], Comp[], 8, FALSE)</f>
        <v>10</v>
      </c>
      <c r="AD259">
        <f>VLOOKUP(Table29[[#This Row],[Shortname]], Comp[], 9, FALSE)</f>
        <v>5</v>
      </c>
      <c r="AE259">
        <f>VLOOKUP(Table29[[#This Row],[Shortname]], Comp[], 10, FALSE)</f>
        <v>4</v>
      </c>
      <c r="AF259">
        <f>VLOOKUP(Table29[[#This Row],[Shortname]], Comp[], 11, FALSE)</f>
        <v>0</v>
      </c>
      <c r="AG259">
        <f>VLOOKUP(Table29[[#This Row],[Shortname]], Comp[],12, FALSE)</f>
        <v>6</v>
      </c>
      <c r="AH259">
        <f>VLOOKUP(Table29[[#This Row],[Shortname]], Comp[], 13, FALSE)</f>
        <v>0</v>
      </c>
      <c r="AI259">
        <f>VLOOKUP(Table29[[#This Row],[Shortname]], Comp[], 14, FALSE)</f>
        <v>3</v>
      </c>
      <c r="AJ259">
        <f>VLOOKUP(Table29[[#This Row],[Shortname]], Comp[], 15, FALSE)</f>
        <v>3</v>
      </c>
      <c r="AK259">
        <f>VLOOKUP(Table29[[#This Row],[Shortname]], Comp[], 16, FALSE)</f>
        <v>0</v>
      </c>
      <c r="AL259">
        <f>VLOOKUP(Table29[[#This Row],[Shortname]], Comp[], 17, FALSE)</f>
        <v>0</v>
      </c>
      <c r="AM259">
        <f>VLOOKUP(Table29[[#This Row],[Shortname]], Comp[], 18, FALSE)</f>
        <v>0</v>
      </c>
      <c r="AN259">
        <f>VLOOKUP(Table29[[#This Row],[Shortname]], Comp[], 19, FALSE)</f>
        <v>0.04</v>
      </c>
      <c r="AO259">
        <f>VLOOKUP(Table29[[#This Row],[Shortname]], Comp[], 20, FALSE)</f>
        <v>0</v>
      </c>
      <c r="AP259">
        <f>VLOOKUP(Table29[[#This Row],[Shortname]], Comp[], 21, FALSE)</f>
        <v>0</v>
      </c>
      <c r="AQ259">
        <f>VLOOKUP(Table29[[#This Row],[Shortname]], Comp[], 22, FALSE)</f>
        <v>0</v>
      </c>
      <c r="AR259">
        <f>VLOOKUP(Table29[[#This Row],[Shortname]], Comp[], 23, FALSE)</f>
        <v>0</v>
      </c>
      <c r="AS259">
        <f>VLOOKUP(Table29[[#This Row],[Shortname]], Comp[], 24, FALSE)</f>
        <v>0</v>
      </c>
      <c r="AT259">
        <f>VLOOKUP(Table29[[#This Row],[Shortname]], Comp[], 25, FALSE)</f>
        <v>0</v>
      </c>
      <c r="AU259">
        <f>VLOOKUP(Table29[[#This Row],[Shortname]], Comp[], 26, FALSE)</f>
        <v>0</v>
      </c>
      <c r="AV259">
        <f>VLOOKUP(Table29[[#This Row],[Shortname]], Comp[], 27, FALSE)</f>
        <v>0</v>
      </c>
      <c r="AW259">
        <f>VLOOKUP(Table29[[#This Row],[Shortname]], Comp[], 28, FALSE)</f>
        <v>0</v>
      </c>
      <c r="AX259">
        <f>VLOOKUP(Table29[[#This Row],[Shortname]], Comp[], 29, FALSE)</f>
        <v>0</v>
      </c>
      <c r="AY259">
        <f>VLOOKUP(Table29[[#This Row],[Shortname]], Comp[], 30, FALSE)</f>
        <v>0</v>
      </c>
      <c r="AZ259">
        <f>VLOOKUP(Table29[[#This Row],[Shortname]], Comp[], 31, FALSE)</f>
        <v>0</v>
      </c>
    </row>
    <row r="260" spans="1:52" x14ac:dyDescent="0.3">
      <c r="A260" t="s">
        <v>3017</v>
      </c>
      <c r="B260">
        <v>248</v>
      </c>
      <c r="C260">
        <v>415</v>
      </c>
      <c r="D260" t="s">
        <v>3018</v>
      </c>
      <c r="E260" t="s">
        <v>5</v>
      </c>
      <c r="F260" t="s">
        <v>3019</v>
      </c>
      <c r="G260" t="s">
        <v>3006</v>
      </c>
      <c r="H260">
        <v>200</v>
      </c>
      <c r="I260">
        <v>5.7700000000000001E-8</v>
      </c>
      <c r="J260">
        <f>0.01/Table29[[#This Row],[Strain Rate (min) /s]]</f>
        <v>173310.22530329289</v>
      </c>
      <c r="K260">
        <f>LOG(Table29[[#This Row],[Time to 1% strain (s)]])</f>
        <v>5.2388241868442682</v>
      </c>
      <c r="L260">
        <v>850</v>
      </c>
      <c r="M260">
        <v>8.1</v>
      </c>
      <c r="P260" t="s">
        <v>7120</v>
      </c>
      <c r="Q260">
        <v>1200</v>
      </c>
      <c r="R260">
        <v>48</v>
      </c>
      <c r="S260">
        <v>850</v>
      </c>
      <c r="T260">
        <v>168</v>
      </c>
      <c r="W260">
        <v>1</v>
      </c>
      <c r="X260">
        <v>10</v>
      </c>
      <c r="Y260">
        <v>38</v>
      </c>
      <c r="AA260">
        <f>VLOOKUP(Table29[[#This Row],[Shortname]], Comp[], 6, FALSE)</f>
        <v>415</v>
      </c>
      <c r="AB260" s="14">
        <f>VLOOKUP(Table29[[#This Row],[Shortname]], Comp[], 7, FALSE)</f>
        <v>68.960000000000008</v>
      </c>
      <c r="AC260">
        <f>VLOOKUP(Table29[[#This Row],[Shortname]], Comp[], 8, FALSE)</f>
        <v>10</v>
      </c>
      <c r="AD260">
        <f>VLOOKUP(Table29[[#This Row],[Shortname]], Comp[], 9, FALSE)</f>
        <v>5</v>
      </c>
      <c r="AE260">
        <f>VLOOKUP(Table29[[#This Row],[Shortname]], Comp[], 10, FALSE)</f>
        <v>8</v>
      </c>
      <c r="AF260">
        <f>VLOOKUP(Table29[[#This Row],[Shortname]], Comp[], 11, FALSE)</f>
        <v>0</v>
      </c>
      <c r="AG260">
        <f>VLOOKUP(Table29[[#This Row],[Shortname]], Comp[],12, FALSE)</f>
        <v>2</v>
      </c>
      <c r="AH260">
        <f>VLOOKUP(Table29[[#This Row],[Shortname]], Comp[], 13, FALSE)</f>
        <v>0</v>
      </c>
      <c r="AI260">
        <f>VLOOKUP(Table29[[#This Row],[Shortname]], Comp[], 14, FALSE)</f>
        <v>3</v>
      </c>
      <c r="AJ260">
        <f>VLOOKUP(Table29[[#This Row],[Shortname]], Comp[], 15, FALSE)</f>
        <v>3</v>
      </c>
      <c r="AK260">
        <f>VLOOKUP(Table29[[#This Row],[Shortname]], Comp[], 16, FALSE)</f>
        <v>0</v>
      </c>
      <c r="AL260">
        <f>VLOOKUP(Table29[[#This Row],[Shortname]], Comp[], 17, FALSE)</f>
        <v>0</v>
      </c>
      <c r="AM260">
        <f>VLOOKUP(Table29[[#This Row],[Shortname]], Comp[], 18, FALSE)</f>
        <v>0</v>
      </c>
      <c r="AN260">
        <f>VLOOKUP(Table29[[#This Row],[Shortname]], Comp[], 19, FALSE)</f>
        <v>0.04</v>
      </c>
      <c r="AO260">
        <f>VLOOKUP(Table29[[#This Row],[Shortname]], Comp[], 20, FALSE)</f>
        <v>0</v>
      </c>
      <c r="AP260">
        <f>VLOOKUP(Table29[[#This Row],[Shortname]], Comp[], 21, FALSE)</f>
        <v>0</v>
      </c>
      <c r="AQ260">
        <f>VLOOKUP(Table29[[#This Row],[Shortname]], Comp[], 22, FALSE)</f>
        <v>0</v>
      </c>
      <c r="AR260">
        <f>VLOOKUP(Table29[[#This Row],[Shortname]], Comp[], 23, FALSE)</f>
        <v>0</v>
      </c>
      <c r="AS260">
        <f>VLOOKUP(Table29[[#This Row],[Shortname]], Comp[], 24, FALSE)</f>
        <v>0</v>
      </c>
      <c r="AT260">
        <f>VLOOKUP(Table29[[#This Row],[Shortname]], Comp[], 25, FALSE)</f>
        <v>0</v>
      </c>
      <c r="AU260">
        <f>VLOOKUP(Table29[[#This Row],[Shortname]], Comp[], 26, FALSE)</f>
        <v>0</v>
      </c>
      <c r="AV260">
        <f>VLOOKUP(Table29[[#This Row],[Shortname]], Comp[], 27, FALSE)</f>
        <v>0</v>
      </c>
      <c r="AW260">
        <f>VLOOKUP(Table29[[#This Row],[Shortname]], Comp[], 28, FALSE)</f>
        <v>0</v>
      </c>
      <c r="AX260">
        <f>VLOOKUP(Table29[[#This Row],[Shortname]], Comp[], 29, FALSE)</f>
        <v>0</v>
      </c>
      <c r="AY260">
        <f>VLOOKUP(Table29[[#This Row],[Shortname]], Comp[], 30, FALSE)</f>
        <v>0</v>
      </c>
      <c r="AZ260">
        <f>VLOOKUP(Table29[[#This Row],[Shortname]], Comp[], 31, FALSE)</f>
        <v>0</v>
      </c>
    </row>
    <row r="261" spans="1:52" x14ac:dyDescent="0.3">
      <c r="A261" t="s">
        <v>3017</v>
      </c>
      <c r="B261">
        <v>249</v>
      </c>
      <c r="C261">
        <v>415</v>
      </c>
      <c r="D261" t="s">
        <v>11</v>
      </c>
      <c r="E261" t="s">
        <v>5</v>
      </c>
      <c r="F261" t="s">
        <v>3019</v>
      </c>
      <c r="G261" t="s">
        <v>3006</v>
      </c>
      <c r="H261">
        <v>254</v>
      </c>
      <c r="I261">
        <v>1.3199999999999999E-7</v>
      </c>
      <c r="J261">
        <f>0.01/Table29[[#This Row],[Strain Rate (min) /s]]</f>
        <v>75757.57575757576</v>
      </c>
      <c r="K261">
        <f>LOG(Table29[[#This Row],[Time to 1% strain (s)]])</f>
        <v>4.8794260687941504</v>
      </c>
      <c r="L261">
        <v>850</v>
      </c>
      <c r="M261">
        <v>8.1</v>
      </c>
      <c r="P261" t="s">
        <v>7120</v>
      </c>
      <c r="Q261">
        <v>1200</v>
      </c>
      <c r="R261">
        <v>48</v>
      </c>
      <c r="S261">
        <v>850</v>
      </c>
      <c r="T261">
        <v>168</v>
      </c>
      <c r="W261">
        <v>1</v>
      </c>
      <c r="X261">
        <v>10</v>
      </c>
      <c r="Y261">
        <v>38</v>
      </c>
      <c r="AA261">
        <f>VLOOKUP(Table29[[#This Row],[Shortname]], Comp[], 6, FALSE)</f>
        <v>415</v>
      </c>
      <c r="AB261" s="14">
        <f>VLOOKUP(Table29[[#This Row],[Shortname]], Comp[], 7, FALSE)</f>
        <v>68.960000000000008</v>
      </c>
      <c r="AC261">
        <f>VLOOKUP(Table29[[#This Row],[Shortname]], Comp[], 8, FALSE)</f>
        <v>10</v>
      </c>
      <c r="AD261">
        <f>VLOOKUP(Table29[[#This Row],[Shortname]], Comp[], 9, FALSE)</f>
        <v>5</v>
      </c>
      <c r="AE261">
        <f>VLOOKUP(Table29[[#This Row],[Shortname]], Comp[], 10, FALSE)</f>
        <v>8</v>
      </c>
      <c r="AF261">
        <f>VLOOKUP(Table29[[#This Row],[Shortname]], Comp[], 11, FALSE)</f>
        <v>0</v>
      </c>
      <c r="AG261">
        <f>VLOOKUP(Table29[[#This Row],[Shortname]], Comp[],12, FALSE)</f>
        <v>2</v>
      </c>
      <c r="AH261">
        <f>VLOOKUP(Table29[[#This Row],[Shortname]], Comp[], 13, FALSE)</f>
        <v>0</v>
      </c>
      <c r="AI261">
        <f>VLOOKUP(Table29[[#This Row],[Shortname]], Comp[], 14, FALSE)</f>
        <v>3</v>
      </c>
      <c r="AJ261">
        <f>VLOOKUP(Table29[[#This Row],[Shortname]], Comp[], 15, FALSE)</f>
        <v>3</v>
      </c>
      <c r="AK261">
        <f>VLOOKUP(Table29[[#This Row],[Shortname]], Comp[], 16, FALSE)</f>
        <v>0</v>
      </c>
      <c r="AL261">
        <f>VLOOKUP(Table29[[#This Row],[Shortname]], Comp[], 17, FALSE)</f>
        <v>0</v>
      </c>
      <c r="AM261">
        <f>VLOOKUP(Table29[[#This Row],[Shortname]], Comp[], 18, FALSE)</f>
        <v>0</v>
      </c>
      <c r="AN261">
        <f>VLOOKUP(Table29[[#This Row],[Shortname]], Comp[], 19, FALSE)</f>
        <v>0.04</v>
      </c>
      <c r="AO261">
        <f>VLOOKUP(Table29[[#This Row],[Shortname]], Comp[], 20, FALSE)</f>
        <v>0</v>
      </c>
      <c r="AP261">
        <f>VLOOKUP(Table29[[#This Row],[Shortname]], Comp[], 21, FALSE)</f>
        <v>0</v>
      </c>
      <c r="AQ261">
        <f>VLOOKUP(Table29[[#This Row],[Shortname]], Comp[], 22, FALSE)</f>
        <v>0</v>
      </c>
      <c r="AR261">
        <f>VLOOKUP(Table29[[#This Row],[Shortname]], Comp[], 23, FALSE)</f>
        <v>0</v>
      </c>
      <c r="AS261">
        <f>VLOOKUP(Table29[[#This Row],[Shortname]], Comp[], 24, FALSE)</f>
        <v>0</v>
      </c>
      <c r="AT261">
        <f>VLOOKUP(Table29[[#This Row],[Shortname]], Comp[], 25, FALSE)</f>
        <v>0</v>
      </c>
      <c r="AU261">
        <f>VLOOKUP(Table29[[#This Row],[Shortname]], Comp[], 26, FALSE)</f>
        <v>0</v>
      </c>
      <c r="AV261">
        <f>VLOOKUP(Table29[[#This Row],[Shortname]], Comp[], 27, FALSE)</f>
        <v>0</v>
      </c>
      <c r="AW261">
        <f>VLOOKUP(Table29[[#This Row],[Shortname]], Comp[], 28, FALSE)</f>
        <v>0</v>
      </c>
      <c r="AX261">
        <f>VLOOKUP(Table29[[#This Row],[Shortname]], Comp[], 29, FALSE)</f>
        <v>0</v>
      </c>
      <c r="AY261">
        <f>VLOOKUP(Table29[[#This Row],[Shortname]], Comp[], 30, FALSE)</f>
        <v>0</v>
      </c>
      <c r="AZ261">
        <f>VLOOKUP(Table29[[#This Row],[Shortname]], Comp[], 31, FALSE)</f>
        <v>0</v>
      </c>
    </row>
    <row r="262" spans="1:52" x14ac:dyDescent="0.3">
      <c r="A262" t="s">
        <v>3017</v>
      </c>
      <c r="B262">
        <v>250</v>
      </c>
      <c r="C262">
        <v>415</v>
      </c>
      <c r="D262" t="s">
        <v>11</v>
      </c>
      <c r="E262" t="s">
        <v>5</v>
      </c>
      <c r="F262" t="s">
        <v>3019</v>
      </c>
      <c r="G262" t="s">
        <v>3006</v>
      </c>
      <c r="H262">
        <v>299</v>
      </c>
      <c r="I262">
        <v>7.8599999999999997E-7</v>
      </c>
      <c r="J262">
        <f>0.01/Table29[[#This Row],[Strain Rate (min) /s]]</f>
        <v>12722.64631043257</v>
      </c>
      <c r="K262">
        <f>LOG(Table29[[#This Row],[Time to 1% strain (s)]])</f>
        <v>4.1045774539605917</v>
      </c>
      <c r="L262">
        <v>850</v>
      </c>
      <c r="M262">
        <v>8.1</v>
      </c>
      <c r="P262" t="s">
        <v>7120</v>
      </c>
      <c r="Q262">
        <v>1200</v>
      </c>
      <c r="R262">
        <v>48</v>
      </c>
      <c r="S262">
        <v>850</v>
      </c>
      <c r="T262">
        <v>168</v>
      </c>
      <c r="W262">
        <v>1</v>
      </c>
      <c r="X262">
        <v>10</v>
      </c>
      <c r="Y262">
        <v>38</v>
      </c>
      <c r="AA262">
        <f>VLOOKUP(Table29[[#This Row],[Shortname]], Comp[], 6, FALSE)</f>
        <v>415</v>
      </c>
      <c r="AB262" s="14">
        <f>VLOOKUP(Table29[[#This Row],[Shortname]], Comp[], 7, FALSE)</f>
        <v>68.960000000000008</v>
      </c>
      <c r="AC262">
        <f>VLOOKUP(Table29[[#This Row],[Shortname]], Comp[], 8, FALSE)</f>
        <v>10</v>
      </c>
      <c r="AD262">
        <f>VLOOKUP(Table29[[#This Row],[Shortname]], Comp[], 9, FALSE)</f>
        <v>5</v>
      </c>
      <c r="AE262">
        <f>VLOOKUP(Table29[[#This Row],[Shortname]], Comp[], 10, FALSE)</f>
        <v>8</v>
      </c>
      <c r="AF262">
        <f>VLOOKUP(Table29[[#This Row],[Shortname]], Comp[], 11, FALSE)</f>
        <v>0</v>
      </c>
      <c r="AG262">
        <f>VLOOKUP(Table29[[#This Row],[Shortname]], Comp[],12, FALSE)</f>
        <v>2</v>
      </c>
      <c r="AH262">
        <f>VLOOKUP(Table29[[#This Row],[Shortname]], Comp[], 13, FALSE)</f>
        <v>0</v>
      </c>
      <c r="AI262">
        <f>VLOOKUP(Table29[[#This Row],[Shortname]], Comp[], 14, FALSE)</f>
        <v>3</v>
      </c>
      <c r="AJ262">
        <f>VLOOKUP(Table29[[#This Row],[Shortname]], Comp[], 15, FALSE)</f>
        <v>3</v>
      </c>
      <c r="AK262">
        <f>VLOOKUP(Table29[[#This Row],[Shortname]], Comp[], 16, FALSE)</f>
        <v>0</v>
      </c>
      <c r="AL262">
        <f>VLOOKUP(Table29[[#This Row],[Shortname]], Comp[], 17, FALSE)</f>
        <v>0</v>
      </c>
      <c r="AM262">
        <f>VLOOKUP(Table29[[#This Row],[Shortname]], Comp[], 18, FALSE)</f>
        <v>0</v>
      </c>
      <c r="AN262">
        <f>VLOOKUP(Table29[[#This Row],[Shortname]], Comp[], 19, FALSE)</f>
        <v>0.04</v>
      </c>
      <c r="AO262">
        <f>VLOOKUP(Table29[[#This Row],[Shortname]], Comp[], 20, FALSE)</f>
        <v>0</v>
      </c>
      <c r="AP262">
        <f>VLOOKUP(Table29[[#This Row],[Shortname]], Comp[], 21, FALSE)</f>
        <v>0</v>
      </c>
      <c r="AQ262">
        <f>VLOOKUP(Table29[[#This Row],[Shortname]], Comp[], 22, FALSE)</f>
        <v>0</v>
      </c>
      <c r="AR262">
        <f>VLOOKUP(Table29[[#This Row],[Shortname]], Comp[], 23, FALSE)</f>
        <v>0</v>
      </c>
      <c r="AS262">
        <f>VLOOKUP(Table29[[#This Row],[Shortname]], Comp[], 24, FALSE)</f>
        <v>0</v>
      </c>
      <c r="AT262">
        <f>VLOOKUP(Table29[[#This Row],[Shortname]], Comp[], 25, FALSE)</f>
        <v>0</v>
      </c>
      <c r="AU262">
        <f>VLOOKUP(Table29[[#This Row],[Shortname]], Comp[], 26, FALSE)</f>
        <v>0</v>
      </c>
      <c r="AV262">
        <f>VLOOKUP(Table29[[#This Row],[Shortname]], Comp[], 27, FALSE)</f>
        <v>0</v>
      </c>
      <c r="AW262">
        <f>VLOOKUP(Table29[[#This Row],[Shortname]], Comp[], 28, FALSE)</f>
        <v>0</v>
      </c>
      <c r="AX262">
        <f>VLOOKUP(Table29[[#This Row],[Shortname]], Comp[], 29, FALSE)</f>
        <v>0</v>
      </c>
      <c r="AY262">
        <f>VLOOKUP(Table29[[#This Row],[Shortname]], Comp[], 30, FALSE)</f>
        <v>0</v>
      </c>
      <c r="AZ262">
        <f>VLOOKUP(Table29[[#This Row],[Shortname]], Comp[], 31, FALSE)</f>
        <v>0</v>
      </c>
    </row>
    <row r="263" spans="1:52" x14ac:dyDescent="0.3">
      <c r="A263" t="s">
        <v>3017</v>
      </c>
      <c r="B263">
        <v>251</v>
      </c>
      <c r="C263">
        <v>415</v>
      </c>
      <c r="D263" t="s">
        <v>11</v>
      </c>
      <c r="E263" t="s">
        <v>5</v>
      </c>
      <c r="F263" t="s">
        <v>3019</v>
      </c>
      <c r="G263" t="s">
        <v>3006</v>
      </c>
      <c r="H263">
        <v>352</v>
      </c>
      <c r="I263">
        <v>3.8199999999999998E-6</v>
      </c>
      <c r="J263">
        <f>0.01/Table29[[#This Row],[Strain Rate (min) /s]]</f>
        <v>2617.8010471204188</v>
      </c>
      <c r="K263">
        <f>LOG(Table29[[#This Row],[Time to 1% strain (s)]])</f>
        <v>3.4179366370882911</v>
      </c>
      <c r="L263">
        <v>850</v>
      </c>
      <c r="M263">
        <v>8.1</v>
      </c>
      <c r="P263" t="s">
        <v>7120</v>
      </c>
      <c r="Q263">
        <v>1200</v>
      </c>
      <c r="R263">
        <v>48</v>
      </c>
      <c r="S263">
        <v>850</v>
      </c>
      <c r="T263">
        <v>168</v>
      </c>
      <c r="W263">
        <v>1</v>
      </c>
      <c r="X263">
        <v>10</v>
      </c>
      <c r="Y263">
        <v>38</v>
      </c>
      <c r="AA263">
        <f>VLOOKUP(Table29[[#This Row],[Shortname]], Comp[], 6, FALSE)</f>
        <v>415</v>
      </c>
      <c r="AB263" s="14">
        <f>VLOOKUP(Table29[[#This Row],[Shortname]], Comp[], 7, FALSE)</f>
        <v>68.960000000000008</v>
      </c>
      <c r="AC263">
        <f>VLOOKUP(Table29[[#This Row],[Shortname]], Comp[], 8, FALSE)</f>
        <v>10</v>
      </c>
      <c r="AD263">
        <f>VLOOKUP(Table29[[#This Row],[Shortname]], Comp[], 9, FALSE)</f>
        <v>5</v>
      </c>
      <c r="AE263">
        <f>VLOOKUP(Table29[[#This Row],[Shortname]], Comp[], 10, FALSE)</f>
        <v>8</v>
      </c>
      <c r="AF263">
        <f>VLOOKUP(Table29[[#This Row],[Shortname]], Comp[], 11, FALSE)</f>
        <v>0</v>
      </c>
      <c r="AG263">
        <f>VLOOKUP(Table29[[#This Row],[Shortname]], Comp[],12, FALSE)</f>
        <v>2</v>
      </c>
      <c r="AH263">
        <f>VLOOKUP(Table29[[#This Row],[Shortname]], Comp[], 13, FALSE)</f>
        <v>0</v>
      </c>
      <c r="AI263">
        <f>VLOOKUP(Table29[[#This Row],[Shortname]], Comp[], 14, FALSE)</f>
        <v>3</v>
      </c>
      <c r="AJ263">
        <f>VLOOKUP(Table29[[#This Row],[Shortname]], Comp[], 15, FALSE)</f>
        <v>3</v>
      </c>
      <c r="AK263">
        <f>VLOOKUP(Table29[[#This Row],[Shortname]], Comp[], 16, FALSE)</f>
        <v>0</v>
      </c>
      <c r="AL263">
        <f>VLOOKUP(Table29[[#This Row],[Shortname]], Comp[], 17, FALSE)</f>
        <v>0</v>
      </c>
      <c r="AM263">
        <f>VLOOKUP(Table29[[#This Row],[Shortname]], Comp[], 18, FALSE)</f>
        <v>0</v>
      </c>
      <c r="AN263">
        <f>VLOOKUP(Table29[[#This Row],[Shortname]], Comp[], 19, FALSE)</f>
        <v>0.04</v>
      </c>
      <c r="AO263">
        <f>VLOOKUP(Table29[[#This Row],[Shortname]], Comp[], 20, FALSE)</f>
        <v>0</v>
      </c>
      <c r="AP263">
        <f>VLOOKUP(Table29[[#This Row],[Shortname]], Comp[], 21, FALSE)</f>
        <v>0</v>
      </c>
      <c r="AQ263">
        <f>VLOOKUP(Table29[[#This Row],[Shortname]], Comp[], 22, FALSE)</f>
        <v>0</v>
      </c>
      <c r="AR263">
        <f>VLOOKUP(Table29[[#This Row],[Shortname]], Comp[], 23, FALSE)</f>
        <v>0</v>
      </c>
      <c r="AS263">
        <f>VLOOKUP(Table29[[#This Row],[Shortname]], Comp[], 24, FALSE)</f>
        <v>0</v>
      </c>
      <c r="AT263">
        <f>VLOOKUP(Table29[[#This Row],[Shortname]], Comp[], 25, FALSE)</f>
        <v>0</v>
      </c>
      <c r="AU263">
        <f>VLOOKUP(Table29[[#This Row],[Shortname]], Comp[], 26, FALSE)</f>
        <v>0</v>
      </c>
      <c r="AV263">
        <f>VLOOKUP(Table29[[#This Row],[Shortname]], Comp[], 27, FALSE)</f>
        <v>0</v>
      </c>
      <c r="AW263">
        <f>VLOOKUP(Table29[[#This Row],[Shortname]], Comp[], 28, FALSE)</f>
        <v>0</v>
      </c>
      <c r="AX263">
        <f>VLOOKUP(Table29[[#This Row],[Shortname]], Comp[], 29, FALSE)</f>
        <v>0</v>
      </c>
      <c r="AY263">
        <f>VLOOKUP(Table29[[#This Row],[Shortname]], Comp[], 30, FALSE)</f>
        <v>0</v>
      </c>
      <c r="AZ263">
        <f>VLOOKUP(Table29[[#This Row],[Shortname]], Comp[], 31, FALSE)</f>
        <v>0</v>
      </c>
    </row>
    <row r="264" spans="1:52" x14ac:dyDescent="0.3">
      <c r="A264" t="s">
        <v>3017</v>
      </c>
      <c r="B264">
        <v>252</v>
      </c>
      <c r="C264">
        <v>415</v>
      </c>
      <c r="D264" t="s">
        <v>11</v>
      </c>
      <c r="E264" t="s">
        <v>5</v>
      </c>
      <c r="F264" t="s">
        <v>3019</v>
      </c>
      <c r="G264" t="s">
        <v>3006</v>
      </c>
      <c r="H264">
        <v>407</v>
      </c>
      <c r="I264">
        <v>1.19E-5</v>
      </c>
      <c r="J264">
        <f>0.01/Table29[[#This Row],[Strain Rate (min) /s]]</f>
        <v>840.3361344537816</v>
      </c>
      <c r="K264">
        <f>LOG(Table29[[#This Row],[Time to 1% strain (s)]])</f>
        <v>2.9244530386074694</v>
      </c>
      <c r="L264">
        <v>850</v>
      </c>
      <c r="M264">
        <v>8.1</v>
      </c>
      <c r="P264" t="s">
        <v>7120</v>
      </c>
      <c r="Q264">
        <v>1200</v>
      </c>
      <c r="R264">
        <v>48</v>
      </c>
      <c r="S264">
        <v>850</v>
      </c>
      <c r="T264">
        <v>168</v>
      </c>
      <c r="W264">
        <v>1</v>
      </c>
      <c r="X264">
        <v>10</v>
      </c>
      <c r="Y264">
        <v>38</v>
      </c>
      <c r="AA264">
        <f>VLOOKUP(Table29[[#This Row],[Shortname]], Comp[], 6, FALSE)</f>
        <v>415</v>
      </c>
      <c r="AB264" s="14">
        <f>VLOOKUP(Table29[[#This Row],[Shortname]], Comp[], 7, FALSE)</f>
        <v>68.960000000000008</v>
      </c>
      <c r="AC264">
        <f>VLOOKUP(Table29[[#This Row],[Shortname]], Comp[], 8, FALSE)</f>
        <v>10</v>
      </c>
      <c r="AD264">
        <f>VLOOKUP(Table29[[#This Row],[Shortname]], Comp[], 9, FALSE)</f>
        <v>5</v>
      </c>
      <c r="AE264">
        <f>VLOOKUP(Table29[[#This Row],[Shortname]], Comp[], 10, FALSE)</f>
        <v>8</v>
      </c>
      <c r="AF264">
        <f>VLOOKUP(Table29[[#This Row],[Shortname]], Comp[], 11, FALSE)</f>
        <v>0</v>
      </c>
      <c r="AG264">
        <f>VLOOKUP(Table29[[#This Row],[Shortname]], Comp[],12, FALSE)</f>
        <v>2</v>
      </c>
      <c r="AH264">
        <f>VLOOKUP(Table29[[#This Row],[Shortname]], Comp[], 13, FALSE)</f>
        <v>0</v>
      </c>
      <c r="AI264">
        <f>VLOOKUP(Table29[[#This Row],[Shortname]], Comp[], 14, FALSE)</f>
        <v>3</v>
      </c>
      <c r="AJ264">
        <f>VLOOKUP(Table29[[#This Row],[Shortname]], Comp[], 15, FALSE)</f>
        <v>3</v>
      </c>
      <c r="AK264">
        <f>VLOOKUP(Table29[[#This Row],[Shortname]], Comp[], 16, FALSE)</f>
        <v>0</v>
      </c>
      <c r="AL264">
        <f>VLOOKUP(Table29[[#This Row],[Shortname]], Comp[], 17, FALSE)</f>
        <v>0</v>
      </c>
      <c r="AM264">
        <f>VLOOKUP(Table29[[#This Row],[Shortname]], Comp[], 18, FALSE)</f>
        <v>0</v>
      </c>
      <c r="AN264">
        <f>VLOOKUP(Table29[[#This Row],[Shortname]], Comp[], 19, FALSE)</f>
        <v>0.04</v>
      </c>
      <c r="AO264">
        <f>VLOOKUP(Table29[[#This Row],[Shortname]], Comp[], 20, FALSE)</f>
        <v>0</v>
      </c>
      <c r="AP264">
        <f>VLOOKUP(Table29[[#This Row],[Shortname]], Comp[], 21, FALSE)</f>
        <v>0</v>
      </c>
      <c r="AQ264">
        <f>VLOOKUP(Table29[[#This Row],[Shortname]], Comp[], 22, FALSE)</f>
        <v>0</v>
      </c>
      <c r="AR264">
        <f>VLOOKUP(Table29[[#This Row],[Shortname]], Comp[], 23, FALSE)</f>
        <v>0</v>
      </c>
      <c r="AS264">
        <f>VLOOKUP(Table29[[#This Row],[Shortname]], Comp[], 24, FALSE)</f>
        <v>0</v>
      </c>
      <c r="AT264">
        <f>VLOOKUP(Table29[[#This Row],[Shortname]], Comp[], 25, FALSE)</f>
        <v>0</v>
      </c>
      <c r="AU264">
        <f>VLOOKUP(Table29[[#This Row],[Shortname]], Comp[], 26, FALSE)</f>
        <v>0</v>
      </c>
      <c r="AV264">
        <f>VLOOKUP(Table29[[#This Row],[Shortname]], Comp[], 27, FALSE)</f>
        <v>0</v>
      </c>
      <c r="AW264">
        <f>VLOOKUP(Table29[[#This Row],[Shortname]], Comp[], 28, FALSE)</f>
        <v>0</v>
      </c>
      <c r="AX264">
        <f>VLOOKUP(Table29[[#This Row],[Shortname]], Comp[], 29, FALSE)</f>
        <v>0</v>
      </c>
      <c r="AY264">
        <f>VLOOKUP(Table29[[#This Row],[Shortname]], Comp[], 30, FALSE)</f>
        <v>0</v>
      </c>
      <c r="AZ264">
        <f>VLOOKUP(Table29[[#This Row],[Shortname]], Comp[], 31, FALSE)</f>
        <v>0</v>
      </c>
    </row>
    <row r="265" spans="1:52" x14ac:dyDescent="0.3">
      <c r="A265" t="s">
        <v>3017</v>
      </c>
      <c r="B265">
        <v>253</v>
      </c>
      <c r="C265">
        <v>415</v>
      </c>
      <c r="D265" t="s">
        <v>11</v>
      </c>
      <c r="E265" t="s">
        <v>5</v>
      </c>
      <c r="F265" t="s">
        <v>3019</v>
      </c>
      <c r="G265" t="s">
        <v>3006</v>
      </c>
      <c r="H265">
        <v>471</v>
      </c>
      <c r="I265">
        <v>4.3800000000000001E-5</v>
      </c>
      <c r="J265">
        <f>0.01/Table29[[#This Row],[Strain Rate (min) /s]]</f>
        <v>228.31050228310502</v>
      </c>
      <c r="K265">
        <f>LOG(Table29[[#This Row],[Time to 1% strain (s)]])</f>
        <v>2.3585258894959003</v>
      </c>
      <c r="L265">
        <v>850</v>
      </c>
      <c r="M265">
        <v>8.1</v>
      </c>
      <c r="P265" t="s">
        <v>7120</v>
      </c>
      <c r="Q265">
        <v>1200</v>
      </c>
      <c r="R265">
        <v>48</v>
      </c>
      <c r="S265">
        <v>850</v>
      </c>
      <c r="T265">
        <v>168</v>
      </c>
      <c r="W265">
        <v>1</v>
      </c>
      <c r="X265">
        <v>10</v>
      </c>
      <c r="Y265">
        <v>38</v>
      </c>
      <c r="AA265">
        <f>VLOOKUP(Table29[[#This Row],[Shortname]], Comp[], 6, FALSE)</f>
        <v>415</v>
      </c>
      <c r="AB265" s="14">
        <f>VLOOKUP(Table29[[#This Row],[Shortname]], Comp[], 7, FALSE)</f>
        <v>68.960000000000008</v>
      </c>
      <c r="AC265">
        <f>VLOOKUP(Table29[[#This Row],[Shortname]], Comp[], 8, FALSE)</f>
        <v>10</v>
      </c>
      <c r="AD265">
        <f>VLOOKUP(Table29[[#This Row],[Shortname]], Comp[], 9, FALSE)</f>
        <v>5</v>
      </c>
      <c r="AE265">
        <f>VLOOKUP(Table29[[#This Row],[Shortname]], Comp[], 10, FALSE)</f>
        <v>8</v>
      </c>
      <c r="AF265">
        <f>VLOOKUP(Table29[[#This Row],[Shortname]], Comp[], 11, FALSE)</f>
        <v>0</v>
      </c>
      <c r="AG265">
        <f>VLOOKUP(Table29[[#This Row],[Shortname]], Comp[],12, FALSE)</f>
        <v>2</v>
      </c>
      <c r="AH265">
        <f>VLOOKUP(Table29[[#This Row],[Shortname]], Comp[], 13, FALSE)</f>
        <v>0</v>
      </c>
      <c r="AI265">
        <f>VLOOKUP(Table29[[#This Row],[Shortname]], Comp[], 14, FALSE)</f>
        <v>3</v>
      </c>
      <c r="AJ265">
        <f>VLOOKUP(Table29[[#This Row],[Shortname]], Comp[], 15, FALSE)</f>
        <v>3</v>
      </c>
      <c r="AK265">
        <f>VLOOKUP(Table29[[#This Row],[Shortname]], Comp[], 16, FALSE)</f>
        <v>0</v>
      </c>
      <c r="AL265">
        <f>VLOOKUP(Table29[[#This Row],[Shortname]], Comp[], 17, FALSE)</f>
        <v>0</v>
      </c>
      <c r="AM265">
        <f>VLOOKUP(Table29[[#This Row],[Shortname]], Comp[], 18, FALSE)</f>
        <v>0</v>
      </c>
      <c r="AN265">
        <f>VLOOKUP(Table29[[#This Row],[Shortname]], Comp[], 19, FALSE)</f>
        <v>0.04</v>
      </c>
      <c r="AO265">
        <f>VLOOKUP(Table29[[#This Row],[Shortname]], Comp[], 20, FALSE)</f>
        <v>0</v>
      </c>
      <c r="AP265">
        <f>VLOOKUP(Table29[[#This Row],[Shortname]], Comp[], 21, FALSE)</f>
        <v>0</v>
      </c>
      <c r="AQ265">
        <f>VLOOKUP(Table29[[#This Row],[Shortname]], Comp[], 22, FALSE)</f>
        <v>0</v>
      </c>
      <c r="AR265">
        <f>VLOOKUP(Table29[[#This Row],[Shortname]], Comp[], 23, FALSE)</f>
        <v>0</v>
      </c>
      <c r="AS265">
        <f>VLOOKUP(Table29[[#This Row],[Shortname]], Comp[], 24, FALSE)</f>
        <v>0</v>
      </c>
      <c r="AT265">
        <f>VLOOKUP(Table29[[#This Row],[Shortname]], Comp[], 25, FALSE)</f>
        <v>0</v>
      </c>
      <c r="AU265">
        <f>VLOOKUP(Table29[[#This Row],[Shortname]], Comp[], 26, FALSE)</f>
        <v>0</v>
      </c>
      <c r="AV265">
        <f>VLOOKUP(Table29[[#This Row],[Shortname]], Comp[], 27, FALSE)</f>
        <v>0</v>
      </c>
      <c r="AW265">
        <f>VLOOKUP(Table29[[#This Row],[Shortname]], Comp[], 28, FALSE)</f>
        <v>0</v>
      </c>
      <c r="AX265">
        <f>VLOOKUP(Table29[[#This Row],[Shortname]], Comp[], 29, FALSE)</f>
        <v>0</v>
      </c>
      <c r="AY265">
        <f>VLOOKUP(Table29[[#This Row],[Shortname]], Comp[], 30, FALSE)</f>
        <v>0</v>
      </c>
      <c r="AZ265">
        <f>VLOOKUP(Table29[[#This Row],[Shortname]], Comp[], 31, FALSE)</f>
        <v>0</v>
      </c>
    </row>
    <row r="266" spans="1:52" x14ac:dyDescent="0.3">
      <c r="A266" t="s">
        <v>3047</v>
      </c>
      <c r="B266">
        <v>254</v>
      </c>
      <c r="C266">
        <v>420</v>
      </c>
      <c r="D266" t="s">
        <v>3048</v>
      </c>
      <c r="E266" t="s">
        <v>5</v>
      </c>
      <c r="F266" t="s">
        <v>3049</v>
      </c>
      <c r="G266" t="s">
        <v>3050</v>
      </c>
      <c r="H266">
        <v>208</v>
      </c>
      <c r="I266">
        <v>4.1700000000000003E-8</v>
      </c>
      <c r="J266">
        <f>0.01/Table29[[#This Row],[Strain Rate (min) /s]]</f>
        <v>239808.15347721821</v>
      </c>
      <c r="K266">
        <f>LOG(Table29[[#This Row],[Time to 1% strain (s)]])</f>
        <v>5.3798639450262424</v>
      </c>
      <c r="L266">
        <v>850</v>
      </c>
      <c r="M266">
        <v>9.1999999999999993</v>
      </c>
      <c r="P266" t="s">
        <v>7121</v>
      </c>
      <c r="Q266">
        <v>1200</v>
      </c>
      <c r="R266">
        <v>48</v>
      </c>
      <c r="S266">
        <v>850</v>
      </c>
      <c r="T266">
        <v>168</v>
      </c>
      <c r="W266">
        <v>1</v>
      </c>
      <c r="X266">
        <v>10</v>
      </c>
      <c r="Y266">
        <v>32</v>
      </c>
      <c r="AA266">
        <f>VLOOKUP(Table29[[#This Row],[Shortname]], Comp[], 6, FALSE)</f>
        <v>420</v>
      </c>
      <c r="AB266" s="14">
        <f>VLOOKUP(Table29[[#This Row],[Shortname]], Comp[], 7, FALSE)</f>
        <v>76.960000000000008</v>
      </c>
      <c r="AC266">
        <f>VLOOKUP(Table29[[#This Row],[Shortname]], Comp[], 8, FALSE)</f>
        <v>10</v>
      </c>
      <c r="AD266">
        <f>VLOOKUP(Table29[[#This Row],[Shortname]], Comp[], 9, FALSE)</f>
        <v>5</v>
      </c>
      <c r="AE266">
        <f>VLOOKUP(Table29[[#This Row],[Shortname]], Comp[], 10, FALSE)</f>
        <v>0</v>
      </c>
      <c r="AF266">
        <f>VLOOKUP(Table29[[#This Row],[Shortname]], Comp[], 11, FALSE)</f>
        <v>0</v>
      </c>
      <c r="AG266">
        <f>VLOOKUP(Table29[[#This Row],[Shortname]], Comp[],12, FALSE)</f>
        <v>2</v>
      </c>
      <c r="AH266">
        <f>VLOOKUP(Table29[[#This Row],[Shortname]], Comp[], 13, FALSE)</f>
        <v>3</v>
      </c>
      <c r="AI266">
        <f>VLOOKUP(Table29[[#This Row],[Shortname]], Comp[], 14, FALSE)</f>
        <v>0</v>
      </c>
      <c r="AJ266">
        <f>VLOOKUP(Table29[[#This Row],[Shortname]], Comp[], 15, FALSE)</f>
        <v>3</v>
      </c>
      <c r="AK266">
        <f>VLOOKUP(Table29[[#This Row],[Shortname]], Comp[], 16, FALSE)</f>
        <v>0</v>
      </c>
      <c r="AL266">
        <f>VLOOKUP(Table29[[#This Row],[Shortname]], Comp[], 17, FALSE)</f>
        <v>0</v>
      </c>
      <c r="AM266">
        <f>VLOOKUP(Table29[[#This Row],[Shortname]], Comp[], 18, FALSE)</f>
        <v>0</v>
      </c>
      <c r="AN266">
        <f>VLOOKUP(Table29[[#This Row],[Shortname]], Comp[], 19, FALSE)</f>
        <v>0.04</v>
      </c>
      <c r="AO266">
        <f>VLOOKUP(Table29[[#This Row],[Shortname]], Comp[], 20, FALSE)</f>
        <v>0</v>
      </c>
      <c r="AP266">
        <f>VLOOKUP(Table29[[#This Row],[Shortname]], Comp[], 21, FALSE)</f>
        <v>0</v>
      </c>
      <c r="AQ266">
        <f>VLOOKUP(Table29[[#This Row],[Shortname]], Comp[], 22, FALSE)</f>
        <v>0</v>
      </c>
      <c r="AR266">
        <f>VLOOKUP(Table29[[#This Row],[Shortname]], Comp[], 23, FALSE)</f>
        <v>0</v>
      </c>
      <c r="AS266">
        <f>VLOOKUP(Table29[[#This Row],[Shortname]], Comp[], 24, FALSE)</f>
        <v>0</v>
      </c>
      <c r="AT266">
        <f>VLOOKUP(Table29[[#This Row],[Shortname]], Comp[], 25, FALSE)</f>
        <v>0</v>
      </c>
      <c r="AU266">
        <f>VLOOKUP(Table29[[#This Row],[Shortname]], Comp[], 26, FALSE)</f>
        <v>0</v>
      </c>
      <c r="AV266">
        <f>VLOOKUP(Table29[[#This Row],[Shortname]], Comp[], 27, FALSE)</f>
        <v>0</v>
      </c>
      <c r="AW266">
        <f>VLOOKUP(Table29[[#This Row],[Shortname]], Comp[], 28, FALSE)</f>
        <v>0</v>
      </c>
      <c r="AX266">
        <f>VLOOKUP(Table29[[#This Row],[Shortname]], Comp[], 29, FALSE)</f>
        <v>0</v>
      </c>
      <c r="AY266">
        <f>VLOOKUP(Table29[[#This Row],[Shortname]], Comp[], 30, FALSE)</f>
        <v>0</v>
      </c>
      <c r="AZ266">
        <f>VLOOKUP(Table29[[#This Row],[Shortname]], Comp[], 31, FALSE)</f>
        <v>0</v>
      </c>
    </row>
    <row r="267" spans="1:52" x14ac:dyDescent="0.3">
      <c r="A267" t="s">
        <v>3047</v>
      </c>
      <c r="B267">
        <v>255</v>
      </c>
      <c r="C267">
        <v>420</v>
      </c>
      <c r="D267" t="s">
        <v>11</v>
      </c>
      <c r="E267" t="s">
        <v>5</v>
      </c>
      <c r="F267" t="s">
        <v>3049</v>
      </c>
      <c r="G267" t="s">
        <v>3050</v>
      </c>
      <c r="H267">
        <v>242</v>
      </c>
      <c r="I267">
        <v>1.18E-7</v>
      </c>
      <c r="J267">
        <f>0.01/Table29[[#This Row],[Strain Rate (min) /s]]</f>
        <v>84745.762711864416</v>
      </c>
      <c r="K267">
        <f>LOG(Table29[[#This Row],[Time to 1% strain (s)]])</f>
        <v>4.928117992693875</v>
      </c>
      <c r="L267">
        <v>850</v>
      </c>
      <c r="M267">
        <v>9.1999999999999993</v>
      </c>
      <c r="P267" t="s">
        <v>7121</v>
      </c>
      <c r="Q267">
        <v>1200</v>
      </c>
      <c r="R267">
        <v>48</v>
      </c>
      <c r="S267">
        <v>850</v>
      </c>
      <c r="T267">
        <v>168</v>
      </c>
      <c r="W267">
        <v>1</v>
      </c>
      <c r="X267">
        <v>10</v>
      </c>
      <c r="Y267">
        <v>32</v>
      </c>
      <c r="AA267">
        <f>VLOOKUP(Table29[[#This Row],[Shortname]], Comp[], 6, FALSE)</f>
        <v>420</v>
      </c>
      <c r="AB267" s="14">
        <f>VLOOKUP(Table29[[#This Row],[Shortname]], Comp[], 7, FALSE)</f>
        <v>76.960000000000008</v>
      </c>
      <c r="AC267">
        <f>VLOOKUP(Table29[[#This Row],[Shortname]], Comp[], 8, FALSE)</f>
        <v>10</v>
      </c>
      <c r="AD267">
        <f>VLOOKUP(Table29[[#This Row],[Shortname]], Comp[], 9, FALSE)</f>
        <v>5</v>
      </c>
      <c r="AE267">
        <f>VLOOKUP(Table29[[#This Row],[Shortname]], Comp[], 10, FALSE)</f>
        <v>0</v>
      </c>
      <c r="AF267">
        <f>VLOOKUP(Table29[[#This Row],[Shortname]], Comp[], 11, FALSE)</f>
        <v>0</v>
      </c>
      <c r="AG267">
        <f>VLOOKUP(Table29[[#This Row],[Shortname]], Comp[],12, FALSE)</f>
        <v>2</v>
      </c>
      <c r="AH267">
        <f>VLOOKUP(Table29[[#This Row],[Shortname]], Comp[], 13, FALSE)</f>
        <v>3</v>
      </c>
      <c r="AI267">
        <f>VLOOKUP(Table29[[#This Row],[Shortname]], Comp[], 14, FALSE)</f>
        <v>0</v>
      </c>
      <c r="AJ267">
        <f>VLOOKUP(Table29[[#This Row],[Shortname]], Comp[], 15, FALSE)</f>
        <v>3</v>
      </c>
      <c r="AK267">
        <f>VLOOKUP(Table29[[#This Row],[Shortname]], Comp[], 16, FALSE)</f>
        <v>0</v>
      </c>
      <c r="AL267">
        <f>VLOOKUP(Table29[[#This Row],[Shortname]], Comp[], 17, FALSE)</f>
        <v>0</v>
      </c>
      <c r="AM267">
        <f>VLOOKUP(Table29[[#This Row],[Shortname]], Comp[], 18, FALSE)</f>
        <v>0</v>
      </c>
      <c r="AN267">
        <f>VLOOKUP(Table29[[#This Row],[Shortname]], Comp[], 19, FALSE)</f>
        <v>0.04</v>
      </c>
      <c r="AO267">
        <f>VLOOKUP(Table29[[#This Row],[Shortname]], Comp[], 20, FALSE)</f>
        <v>0</v>
      </c>
      <c r="AP267">
        <f>VLOOKUP(Table29[[#This Row],[Shortname]], Comp[], 21, FALSE)</f>
        <v>0</v>
      </c>
      <c r="AQ267">
        <f>VLOOKUP(Table29[[#This Row],[Shortname]], Comp[], 22, FALSE)</f>
        <v>0</v>
      </c>
      <c r="AR267">
        <f>VLOOKUP(Table29[[#This Row],[Shortname]], Comp[], 23, FALSE)</f>
        <v>0</v>
      </c>
      <c r="AS267">
        <f>VLOOKUP(Table29[[#This Row],[Shortname]], Comp[], 24, FALSE)</f>
        <v>0</v>
      </c>
      <c r="AT267">
        <f>VLOOKUP(Table29[[#This Row],[Shortname]], Comp[], 25, FALSE)</f>
        <v>0</v>
      </c>
      <c r="AU267">
        <f>VLOOKUP(Table29[[#This Row],[Shortname]], Comp[], 26, FALSE)</f>
        <v>0</v>
      </c>
      <c r="AV267">
        <f>VLOOKUP(Table29[[#This Row],[Shortname]], Comp[], 27, FALSE)</f>
        <v>0</v>
      </c>
      <c r="AW267">
        <f>VLOOKUP(Table29[[#This Row],[Shortname]], Comp[], 28, FALSE)</f>
        <v>0</v>
      </c>
      <c r="AX267">
        <f>VLOOKUP(Table29[[#This Row],[Shortname]], Comp[], 29, FALSE)</f>
        <v>0</v>
      </c>
      <c r="AY267">
        <f>VLOOKUP(Table29[[#This Row],[Shortname]], Comp[], 30, FALSE)</f>
        <v>0</v>
      </c>
      <c r="AZ267">
        <f>VLOOKUP(Table29[[#This Row],[Shortname]], Comp[], 31, FALSE)</f>
        <v>0</v>
      </c>
    </row>
    <row r="268" spans="1:52" x14ac:dyDescent="0.3">
      <c r="A268" t="s">
        <v>3047</v>
      </c>
      <c r="B268">
        <v>256</v>
      </c>
      <c r="C268">
        <v>420</v>
      </c>
      <c r="D268" t="s">
        <v>11</v>
      </c>
      <c r="E268" t="s">
        <v>5</v>
      </c>
      <c r="F268" t="s">
        <v>3049</v>
      </c>
      <c r="G268" t="s">
        <v>3050</v>
      </c>
      <c r="H268">
        <v>280</v>
      </c>
      <c r="I268">
        <v>5.4000000000000002E-7</v>
      </c>
      <c r="J268">
        <f>0.01/Table29[[#This Row],[Strain Rate (min) /s]]</f>
        <v>18518.518518518518</v>
      </c>
      <c r="K268">
        <f>LOG(Table29[[#This Row],[Time to 1% strain (s)]])</f>
        <v>4.2676062401770318</v>
      </c>
      <c r="L268">
        <v>850</v>
      </c>
      <c r="M268">
        <v>9.1999999999999993</v>
      </c>
      <c r="P268" t="s">
        <v>7121</v>
      </c>
      <c r="Q268">
        <v>1200</v>
      </c>
      <c r="R268">
        <v>48</v>
      </c>
      <c r="S268">
        <v>850</v>
      </c>
      <c r="T268">
        <v>168</v>
      </c>
      <c r="W268">
        <v>1</v>
      </c>
      <c r="X268">
        <v>10</v>
      </c>
      <c r="Y268">
        <v>32</v>
      </c>
      <c r="AA268">
        <f>VLOOKUP(Table29[[#This Row],[Shortname]], Comp[], 6, FALSE)</f>
        <v>420</v>
      </c>
      <c r="AB268" s="14">
        <f>VLOOKUP(Table29[[#This Row],[Shortname]], Comp[], 7, FALSE)</f>
        <v>76.960000000000008</v>
      </c>
      <c r="AC268">
        <f>VLOOKUP(Table29[[#This Row],[Shortname]], Comp[], 8, FALSE)</f>
        <v>10</v>
      </c>
      <c r="AD268">
        <f>VLOOKUP(Table29[[#This Row],[Shortname]], Comp[], 9, FALSE)</f>
        <v>5</v>
      </c>
      <c r="AE268">
        <f>VLOOKUP(Table29[[#This Row],[Shortname]], Comp[], 10, FALSE)</f>
        <v>0</v>
      </c>
      <c r="AF268">
        <f>VLOOKUP(Table29[[#This Row],[Shortname]], Comp[], 11, FALSE)</f>
        <v>0</v>
      </c>
      <c r="AG268">
        <f>VLOOKUP(Table29[[#This Row],[Shortname]], Comp[],12, FALSE)</f>
        <v>2</v>
      </c>
      <c r="AH268">
        <f>VLOOKUP(Table29[[#This Row],[Shortname]], Comp[], 13, FALSE)</f>
        <v>3</v>
      </c>
      <c r="AI268">
        <f>VLOOKUP(Table29[[#This Row],[Shortname]], Comp[], 14, FALSE)</f>
        <v>0</v>
      </c>
      <c r="AJ268">
        <f>VLOOKUP(Table29[[#This Row],[Shortname]], Comp[], 15, FALSE)</f>
        <v>3</v>
      </c>
      <c r="AK268">
        <f>VLOOKUP(Table29[[#This Row],[Shortname]], Comp[], 16, FALSE)</f>
        <v>0</v>
      </c>
      <c r="AL268">
        <f>VLOOKUP(Table29[[#This Row],[Shortname]], Comp[], 17, FALSE)</f>
        <v>0</v>
      </c>
      <c r="AM268">
        <f>VLOOKUP(Table29[[#This Row],[Shortname]], Comp[], 18, FALSE)</f>
        <v>0</v>
      </c>
      <c r="AN268">
        <f>VLOOKUP(Table29[[#This Row],[Shortname]], Comp[], 19, FALSE)</f>
        <v>0.04</v>
      </c>
      <c r="AO268">
        <f>VLOOKUP(Table29[[#This Row],[Shortname]], Comp[], 20, FALSE)</f>
        <v>0</v>
      </c>
      <c r="AP268">
        <f>VLOOKUP(Table29[[#This Row],[Shortname]], Comp[], 21, FALSE)</f>
        <v>0</v>
      </c>
      <c r="AQ268">
        <f>VLOOKUP(Table29[[#This Row],[Shortname]], Comp[], 22, FALSE)</f>
        <v>0</v>
      </c>
      <c r="AR268">
        <f>VLOOKUP(Table29[[#This Row],[Shortname]], Comp[], 23, FALSE)</f>
        <v>0</v>
      </c>
      <c r="AS268">
        <f>VLOOKUP(Table29[[#This Row],[Shortname]], Comp[], 24, FALSE)</f>
        <v>0</v>
      </c>
      <c r="AT268">
        <f>VLOOKUP(Table29[[#This Row],[Shortname]], Comp[], 25, FALSE)</f>
        <v>0</v>
      </c>
      <c r="AU268">
        <f>VLOOKUP(Table29[[#This Row],[Shortname]], Comp[], 26, FALSE)</f>
        <v>0</v>
      </c>
      <c r="AV268">
        <f>VLOOKUP(Table29[[#This Row],[Shortname]], Comp[], 27, FALSE)</f>
        <v>0</v>
      </c>
      <c r="AW268">
        <f>VLOOKUP(Table29[[#This Row],[Shortname]], Comp[], 28, FALSE)</f>
        <v>0</v>
      </c>
      <c r="AX268">
        <f>VLOOKUP(Table29[[#This Row],[Shortname]], Comp[], 29, FALSE)</f>
        <v>0</v>
      </c>
      <c r="AY268">
        <f>VLOOKUP(Table29[[#This Row],[Shortname]], Comp[], 30, FALSE)</f>
        <v>0</v>
      </c>
      <c r="AZ268">
        <f>VLOOKUP(Table29[[#This Row],[Shortname]], Comp[], 31, FALSE)</f>
        <v>0</v>
      </c>
    </row>
    <row r="269" spans="1:52" x14ac:dyDescent="0.3">
      <c r="A269" t="s">
        <v>3047</v>
      </c>
      <c r="B269">
        <v>257</v>
      </c>
      <c r="C269">
        <v>420</v>
      </c>
      <c r="D269" t="s">
        <v>11</v>
      </c>
      <c r="E269" t="s">
        <v>5</v>
      </c>
      <c r="F269" t="s">
        <v>3049</v>
      </c>
      <c r="G269" t="s">
        <v>3050</v>
      </c>
      <c r="H269">
        <v>330</v>
      </c>
      <c r="I269">
        <v>2.7099999999999999E-6</v>
      </c>
      <c r="J269">
        <f>0.01/Table29[[#This Row],[Strain Rate (min) /s]]</f>
        <v>3690.0369003690039</v>
      </c>
      <c r="K269">
        <f>LOG(Table29[[#This Row],[Time to 1% strain (s)]])</f>
        <v>3.5670307091255942</v>
      </c>
      <c r="L269">
        <v>850</v>
      </c>
      <c r="M269">
        <v>9.1999999999999993</v>
      </c>
      <c r="P269" t="s">
        <v>7121</v>
      </c>
      <c r="Q269">
        <v>1200</v>
      </c>
      <c r="R269">
        <v>48</v>
      </c>
      <c r="S269">
        <v>850</v>
      </c>
      <c r="T269">
        <v>168</v>
      </c>
      <c r="W269">
        <v>1</v>
      </c>
      <c r="X269">
        <v>10</v>
      </c>
      <c r="Y269">
        <v>32</v>
      </c>
      <c r="AA269">
        <f>VLOOKUP(Table29[[#This Row],[Shortname]], Comp[], 6, FALSE)</f>
        <v>420</v>
      </c>
      <c r="AB269" s="14">
        <f>VLOOKUP(Table29[[#This Row],[Shortname]], Comp[], 7, FALSE)</f>
        <v>76.960000000000008</v>
      </c>
      <c r="AC269">
        <f>VLOOKUP(Table29[[#This Row],[Shortname]], Comp[], 8, FALSE)</f>
        <v>10</v>
      </c>
      <c r="AD269">
        <f>VLOOKUP(Table29[[#This Row],[Shortname]], Comp[], 9, FALSE)</f>
        <v>5</v>
      </c>
      <c r="AE269">
        <f>VLOOKUP(Table29[[#This Row],[Shortname]], Comp[], 10, FALSE)</f>
        <v>0</v>
      </c>
      <c r="AF269">
        <f>VLOOKUP(Table29[[#This Row],[Shortname]], Comp[], 11, FALSE)</f>
        <v>0</v>
      </c>
      <c r="AG269">
        <f>VLOOKUP(Table29[[#This Row],[Shortname]], Comp[],12, FALSE)</f>
        <v>2</v>
      </c>
      <c r="AH269">
        <f>VLOOKUP(Table29[[#This Row],[Shortname]], Comp[], 13, FALSE)</f>
        <v>3</v>
      </c>
      <c r="AI269">
        <f>VLOOKUP(Table29[[#This Row],[Shortname]], Comp[], 14, FALSE)</f>
        <v>0</v>
      </c>
      <c r="AJ269">
        <f>VLOOKUP(Table29[[#This Row],[Shortname]], Comp[], 15, FALSE)</f>
        <v>3</v>
      </c>
      <c r="AK269">
        <f>VLOOKUP(Table29[[#This Row],[Shortname]], Comp[], 16, FALSE)</f>
        <v>0</v>
      </c>
      <c r="AL269">
        <f>VLOOKUP(Table29[[#This Row],[Shortname]], Comp[], 17, FALSE)</f>
        <v>0</v>
      </c>
      <c r="AM269">
        <f>VLOOKUP(Table29[[#This Row],[Shortname]], Comp[], 18, FALSE)</f>
        <v>0</v>
      </c>
      <c r="AN269">
        <f>VLOOKUP(Table29[[#This Row],[Shortname]], Comp[], 19, FALSE)</f>
        <v>0.04</v>
      </c>
      <c r="AO269">
        <f>VLOOKUP(Table29[[#This Row],[Shortname]], Comp[], 20, FALSE)</f>
        <v>0</v>
      </c>
      <c r="AP269">
        <f>VLOOKUP(Table29[[#This Row],[Shortname]], Comp[], 21, FALSE)</f>
        <v>0</v>
      </c>
      <c r="AQ269">
        <f>VLOOKUP(Table29[[#This Row],[Shortname]], Comp[], 22, FALSE)</f>
        <v>0</v>
      </c>
      <c r="AR269">
        <f>VLOOKUP(Table29[[#This Row],[Shortname]], Comp[], 23, FALSE)</f>
        <v>0</v>
      </c>
      <c r="AS269">
        <f>VLOOKUP(Table29[[#This Row],[Shortname]], Comp[], 24, FALSE)</f>
        <v>0</v>
      </c>
      <c r="AT269">
        <f>VLOOKUP(Table29[[#This Row],[Shortname]], Comp[], 25, FALSE)</f>
        <v>0</v>
      </c>
      <c r="AU269">
        <f>VLOOKUP(Table29[[#This Row],[Shortname]], Comp[], 26, FALSE)</f>
        <v>0</v>
      </c>
      <c r="AV269">
        <f>VLOOKUP(Table29[[#This Row],[Shortname]], Comp[], 27, FALSE)</f>
        <v>0</v>
      </c>
      <c r="AW269">
        <f>VLOOKUP(Table29[[#This Row],[Shortname]], Comp[], 28, FALSE)</f>
        <v>0</v>
      </c>
      <c r="AX269">
        <f>VLOOKUP(Table29[[#This Row],[Shortname]], Comp[], 29, FALSE)</f>
        <v>0</v>
      </c>
      <c r="AY269">
        <f>VLOOKUP(Table29[[#This Row],[Shortname]], Comp[], 30, FALSE)</f>
        <v>0</v>
      </c>
      <c r="AZ269">
        <f>VLOOKUP(Table29[[#This Row],[Shortname]], Comp[], 31, FALSE)</f>
        <v>0</v>
      </c>
    </row>
    <row r="270" spans="1:52" x14ac:dyDescent="0.3">
      <c r="A270" t="s">
        <v>3047</v>
      </c>
      <c r="B270">
        <v>258</v>
      </c>
      <c r="C270">
        <v>420</v>
      </c>
      <c r="D270" t="s">
        <v>11</v>
      </c>
      <c r="E270" t="s">
        <v>5</v>
      </c>
      <c r="F270" t="s">
        <v>3049</v>
      </c>
      <c r="G270" t="s">
        <v>3050</v>
      </c>
      <c r="H270">
        <v>385</v>
      </c>
      <c r="I270">
        <v>1.0200000000000001E-5</v>
      </c>
      <c r="J270">
        <f>0.01/Table29[[#This Row],[Strain Rate (min) /s]]</f>
        <v>980.39215686274508</v>
      </c>
      <c r="K270">
        <f>LOG(Table29[[#This Row],[Time to 1% strain (s)]])</f>
        <v>2.9913998282380825</v>
      </c>
      <c r="L270">
        <v>850</v>
      </c>
      <c r="M270">
        <v>9.1999999999999993</v>
      </c>
      <c r="P270" t="s">
        <v>7121</v>
      </c>
      <c r="Q270">
        <v>1200</v>
      </c>
      <c r="R270">
        <v>48</v>
      </c>
      <c r="S270">
        <v>850</v>
      </c>
      <c r="T270">
        <v>168</v>
      </c>
      <c r="W270">
        <v>1</v>
      </c>
      <c r="X270">
        <v>10</v>
      </c>
      <c r="Y270">
        <v>32</v>
      </c>
      <c r="AA270">
        <f>VLOOKUP(Table29[[#This Row],[Shortname]], Comp[], 6, FALSE)</f>
        <v>420</v>
      </c>
      <c r="AB270" s="14">
        <f>VLOOKUP(Table29[[#This Row],[Shortname]], Comp[], 7, FALSE)</f>
        <v>76.960000000000008</v>
      </c>
      <c r="AC270">
        <f>VLOOKUP(Table29[[#This Row],[Shortname]], Comp[], 8, FALSE)</f>
        <v>10</v>
      </c>
      <c r="AD270">
        <f>VLOOKUP(Table29[[#This Row],[Shortname]], Comp[], 9, FALSE)</f>
        <v>5</v>
      </c>
      <c r="AE270">
        <f>VLOOKUP(Table29[[#This Row],[Shortname]], Comp[], 10, FALSE)</f>
        <v>0</v>
      </c>
      <c r="AF270">
        <f>VLOOKUP(Table29[[#This Row],[Shortname]], Comp[], 11, FALSE)</f>
        <v>0</v>
      </c>
      <c r="AG270">
        <f>VLOOKUP(Table29[[#This Row],[Shortname]], Comp[],12, FALSE)</f>
        <v>2</v>
      </c>
      <c r="AH270">
        <f>VLOOKUP(Table29[[#This Row],[Shortname]], Comp[], 13, FALSE)</f>
        <v>3</v>
      </c>
      <c r="AI270">
        <f>VLOOKUP(Table29[[#This Row],[Shortname]], Comp[], 14, FALSE)</f>
        <v>0</v>
      </c>
      <c r="AJ270">
        <f>VLOOKUP(Table29[[#This Row],[Shortname]], Comp[], 15, FALSE)</f>
        <v>3</v>
      </c>
      <c r="AK270">
        <f>VLOOKUP(Table29[[#This Row],[Shortname]], Comp[], 16, FALSE)</f>
        <v>0</v>
      </c>
      <c r="AL270">
        <f>VLOOKUP(Table29[[#This Row],[Shortname]], Comp[], 17, FALSE)</f>
        <v>0</v>
      </c>
      <c r="AM270">
        <f>VLOOKUP(Table29[[#This Row],[Shortname]], Comp[], 18, FALSE)</f>
        <v>0</v>
      </c>
      <c r="AN270">
        <f>VLOOKUP(Table29[[#This Row],[Shortname]], Comp[], 19, FALSE)</f>
        <v>0.04</v>
      </c>
      <c r="AO270">
        <f>VLOOKUP(Table29[[#This Row],[Shortname]], Comp[], 20, FALSE)</f>
        <v>0</v>
      </c>
      <c r="AP270">
        <f>VLOOKUP(Table29[[#This Row],[Shortname]], Comp[], 21, FALSE)</f>
        <v>0</v>
      </c>
      <c r="AQ270">
        <f>VLOOKUP(Table29[[#This Row],[Shortname]], Comp[], 22, FALSE)</f>
        <v>0</v>
      </c>
      <c r="AR270">
        <f>VLOOKUP(Table29[[#This Row],[Shortname]], Comp[], 23, FALSE)</f>
        <v>0</v>
      </c>
      <c r="AS270">
        <f>VLOOKUP(Table29[[#This Row],[Shortname]], Comp[], 24, FALSE)</f>
        <v>0</v>
      </c>
      <c r="AT270">
        <f>VLOOKUP(Table29[[#This Row],[Shortname]], Comp[], 25, FALSE)</f>
        <v>0</v>
      </c>
      <c r="AU270">
        <f>VLOOKUP(Table29[[#This Row],[Shortname]], Comp[], 26, FALSE)</f>
        <v>0</v>
      </c>
      <c r="AV270">
        <f>VLOOKUP(Table29[[#This Row],[Shortname]], Comp[], 27, FALSE)</f>
        <v>0</v>
      </c>
      <c r="AW270">
        <f>VLOOKUP(Table29[[#This Row],[Shortname]], Comp[], 28, FALSE)</f>
        <v>0</v>
      </c>
      <c r="AX270">
        <f>VLOOKUP(Table29[[#This Row],[Shortname]], Comp[], 29, FALSE)</f>
        <v>0</v>
      </c>
      <c r="AY270">
        <f>VLOOKUP(Table29[[#This Row],[Shortname]], Comp[], 30, FALSE)</f>
        <v>0</v>
      </c>
      <c r="AZ270">
        <f>VLOOKUP(Table29[[#This Row],[Shortname]], Comp[], 31, FALSE)</f>
        <v>0</v>
      </c>
    </row>
    <row r="271" spans="1:52" x14ac:dyDescent="0.3">
      <c r="A271" t="s">
        <v>3047</v>
      </c>
      <c r="B271">
        <v>259</v>
      </c>
      <c r="C271">
        <v>420</v>
      </c>
      <c r="D271" t="s">
        <v>11</v>
      </c>
      <c r="E271" t="s">
        <v>5</v>
      </c>
      <c r="F271" t="s">
        <v>3049</v>
      </c>
      <c r="G271" t="s">
        <v>3050</v>
      </c>
      <c r="H271">
        <v>455</v>
      </c>
      <c r="I271">
        <v>4.5200000000000001E-5</v>
      </c>
      <c r="J271">
        <f>0.01/Table29[[#This Row],[Strain Rate (min) /s]]</f>
        <v>221.23893805309734</v>
      </c>
      <c r="K271">
        <f>LOG(Table29[[#This Row],[Time to 1% strain (s)]])</f>
        <v>2.344861565188618</v>
      </c>
      <c r="L271">
        <v>850</v>
      </c>
      <c r="M271">
        <v>9.1999999999999993</v>
      </c>
      <c r="P271" t="s">
        <v>7121</v>
      </c>
      <c r="Q271">
        <v>1200</v>
      </c>
      <c r="R271">
        <v>48</v>
      </c>
      <c r="S271">
        <v>850</v>
      </c>
      <c r="T271">
        <v>168</v>
      </c>
      <c r="W271">
        <v>1</v>
      </c>
      <c r="X271">
        <v>10</v>
      </c>
      <c r="Y271">
        <v>32</v>
      </c>
      <c r="AA271">
        <f>VLOOKUP(Table29[[#This Row],[Shortname]], Comp[], 6, FALSE)</f>
        <v>420</v>
      </c>
      <c r="AB271" s="14">
        <f>VLOOKUP(Table29[[#This Row],[Shortname]], Comp[], 7, FALSE)</f>
        <v>76.960000000000008</v>
      </c>
      <c r="AC271">
        <f>VLOOKUP(Table29[[#This Row],[Shortname]], Comp[], 8, FALSE)</f>
        <v>10</v>
      </c>
      <c r="AD271">
        <f>VLOOKUP(Table29[[#This Row],[Shortname]], Comp[], 9, FALSE)</f>
        <v>5</v>
      </c>
      <c r="AE271">
        <f>VLOOKUP(Table29[[#This Row],[Shortname]], Comp[], 10, FALSE)</f>
        <v>0</v>
      </c>
      <c r="AF271">
        <f>VLOOKUP(Table29[[#This Row],[Shortname]], Comp[], 11, FALSE)</f>
        <v>0</v>
      </c>
      <c r="AG271">
        <f>VLOOKUP(Table29[[#This Row],[Shortname]], Comp[],12, FALSE)</f>
        <v>2</v>
      </c>
      <c r="AH271">
        <f>VLOOKUP(Table29[[#This Row],[Shortname]], Comp[], 13, FALSE)</f>
        <v>3</v>
      </c>
      <c r="AI271">
        <f>VLOOKUP(Table29[[#This Row],[Shortname]], Comp[], 14, FALSE)</f>
        <v>0</v>
      </c>
      <c r="AJ271">
        <f>VLOOKUP(Table29[[#This Row],[Shortname]], Comp[], 15, FALSE)</f>
        <v>3</v>
      </c>
      <c r="AK271">
        <f>VLOOKUP(Table29[[#This Row],[Shortname]], Comp[], 16, FALSE)</f>
        <v>0</v>
      </c>
      <c r="AL271">
        <f>VLOOKUP(Table29[[#This Row],[Shortname]], Comp[], 17, FALSE)</f>
        <v>0</v>
      </c>
      <c r="AM271">
        <f>VLOOKUP(Table29[[#This Row],[Shortname]], Comp[], 18, FALSE)</f>
        <v>0</v>
      </c>
      <c r="AN271">
        <f>VLOOKUP(Table29[[#This Row],[Shortname]], Comp[], 19, FALSE)</f>
        <v>0.04</v>
      </c>
      <c r="AO271">
        <f>VLOOKUP(Table29[[#This Row],[Shortname]], Comp[], 20, FALSE)</f>
        <v>0</v>
      </c>
      <c r="AP271">
        <f>VLOOKUP(Table29[[#This Row],[Shortname]], Comp[], 21, FALSE)</f>
        <v>0</v>
      </c>
      <c r="AQ271">
        <f>VLOOKUP(Table29[[#This Row],[Shortname]], Comp[], 22, FALSE)</f>
        <v>0</v>
      </c>
      <c r="AR271">
        <f>VLOOKUP(Table29[[#This Row],[Shortname]], Comp[], 23, FALSE)</f>
        <v>0</v>
      </c>
      <c r="AS271">
        <f>VLOOKUP(Table29[[#This Row],[Shortname]], Comp[], 24, FALSE)</f>
        <v>0</v>
      </c>
      <c r="AT271">
        <f>VLOOKUP(Table29[[#This Row],[Shortname]], Comp[], 25, FALSE)</f>
        <v>0</v>
      </c>
      <c r="AU271">
        <f>VLOOKUP(Table29[[#This Row],[Shortname]], Comp[], 26, FALSE)</f>
        <v>0</v>
      </c>
      <c r="AV271">
        <f>VLOOKUP(Table29[[#This Row],[Shortname]], Comp[], 27, FALSE)</f>
        <v>0</v>
      </c>
      <c r="AW271">
        <f>VLOOKUP(Table29[[#This Row],[Shortname]], Comp[], 28, FALSE)</f>
        <v>0</v>
      </c>
      <c r="AX271">
        <f>VLOOKUP(Table29[[#This Row],[Shortname]], Comp[], 29, FALSE)</f>
        <v>0</v>
      </c>
      <c r="AY271">
        <f>VLOOKUP(Table29[[#This Row],[Shortname]], Comp[], 30, FALSE)</f>
        <v>0</v>
      </c>
      <c r="AZ271">
        <f>VLOOKUP(Table29[[#This Row],[Shortname]], Comp[], 31, FALSE)</f>
        <v>0</v>
      </c>
    </row>
    <row r="272" spans="1:52" x14ac:dyDescent="0.3">
      <c r="A272" t="s">
        <v>3047</v>
      </c>
      <c r="B272">
        <v>260</v>
      </c>
      <c r="C272">
        <v>420</v>
      </c>
      <c r="D272" t="s">
        <v>11</v>
      </c>
      <c r="E272" t="s">
        <v>5</v>
      </c>
      <c r="F272" t="s">
        <v>3049</v>
      </c>
      <c r="G272" t="s">
        <v>3050</v>
      </c>
      <c r="H272">
        <v>498</v>
      </c>
      <c r="I272">
        <v>1.13E-4</v>
      </c>
      <c r="J272">
        <f>0.01/Table29[[#This Row],[Strain Rate (min) /s]]</f>
        <v>88.495575221238937</v>
      </c>
      <c r="K272">
        <f>LOG(Table29[[#This Row],[Time to 1% strain (s)]])</f>
        <v>1.9469215565165803</v>
      </c>
      <c r="L272">
        <v>850</v>
      </c>
      <c r="M272">
        <v>9.1999999999999993</v>
      </c>
      <c r="P272" t="s">
        <v>7121</v>
      </c>
      <c r="Q272">
        <v>1200</v>
      </c>
      <c r="R272">
        <v>48</v>
      </c>
      <c r="S272">
        <v>850</v>
      </c>
      <c r="T272">
        <v>168</v>
      </c>
      <c r="W272">
        <v>1</v>
      </c>
      <c r="X272">
        <v>10</v>
      </c>
      <c r="Y272">
        <v>32</v>
      </c>
      <c r="AA272">
        <f>VLOOKUP(Table29[[#This Row],[Shortname]], Comp[], 6, FALSE)</f>
        <v>420</v>
      </c>
      <c r="AB272" s="14">
        <f>VLOOKUP(Table29[[#This Row],[Shortname]], Comp[], 7, FALSE)</f>
        <v>76.960000000000008</v>
      </c>
      <c r="AC272">
        <f>VLOOKUP(Table29[[#This Row],[Shortname]], Comp[], 8, FALSE)</f>
        <v>10</v>
      </c>
      <c r="AD272">
        <f>VLOOKUP(Table29[[#This Row],[Shortname]], Comp[], 9, FALSE)</f>
        <v>5</v>
      </c>
      <c r="AE272">
        <f>VLOOKUP(Table29[[#This Row],[Shortname]], Comp[], 10, FALSE)</f>
        <v>0</v>
      </c>
      <c r="AF272">
        <f>VLOOKUP(Table29[[#This Row],[Shortname]], Comp[], 11, FALSE)</f>
        <v>0</v>
      </c>
      <c r="AG272">
        <f>VLOOKUP(Table29[[#This Row],[Shortname]], Comp[],12, FALSE)</f>
        <v>2</v>
      </c>
      <c r="AH272">
        <f>VLOOKUP(Table29[[#This Row],[Shortname]], Comp[], 13, FALSE)</f>
        <v>3</v>
      </c>
      <c r="AI272">
        <f>VLOOKUP(Table29[[#This Row],[Shortname]], Comp[], 14, FALSE)</f>
        <v>0</v>
      </c>
      <c r="AJ272">
        <f>VLOOKUP(Table29[[#This Row],[Shortname]], Comp[], 15, FALSE)</f>
        <v>3</v>
      </c>
      <c r="AK272">
        <f>VLOOKUP(Table29[[#This Row],[Shortname]], Comp[], 16, FALSE)</f>
        <v>0</v>
      </c>
      <c r="AL272">
        <f>VLOOKUP(Table29[[#This Row],[Shortname]], Comp[], 17, FALSE)</f>
        <v>0</v>
      </c>
      <c r="AM272">
        <f>VLOOKUP(Table29[[#This Row],[Shortname]], Comp[], 18, FALSE)</f>
        <v>0</v>
      </c>
      <c r="AN272">
        <f>VLOOKUP(Table29[[#This Row],[Shortname]], Comp[], 19, FALSE)</f>
        <v>0.04</v>
      </c>
      <c r="AO272">
        <f>VLOOKUP(Table29[[#This Row],[Shortname]], Comp[], 20, FALSE)</f>
        <v>0</v>
      </c>
      <c r="AP272">
        <f>VLOOKUP(Table29[[#This Row],[Shortname]], Comp[], 21, FALSE)</f>
        <v>0</v>
      </c>
      <c r="AQ272">
        <f>VLOOKUP(Table29[[#This Row],[Shortname]], Comp[], 22, FALSE)</f>
        <v>0</v>
      </c>
      <c r="AR272">
        <f>VLOOKUP(Table29[[#This Row],[Shortname]], Comp[], 23, FALSE)</f>
        <v>0</v>
      </c>
      <c r="AS272">
        <f>VLOOKUP(Table29[[#This Row],[Shortname]], Comp[], 24, FALSE)</f>
        <v>0</v>
      </c>
      <c r="AT272">
        <f>VLOOKUP(Table29[[#This Row],[Shortname]], Comp[], 25, FALSE)</f>
        <v>0</v>
      </c>
      <c r="AU272">
        <f>VLOOKUP(Table29[[#This Row],[Shortname]], Comp[], 26, FALSE)</f>
        <v>0</v>
      </c>
      <c r="AV272">
        <f>VLOOKUP(Table29[[#This Row],[Shortname]], Comp[], 27, FALSE)</f>
        <v>0</v>
      </c>
      <c r="AW272">
        <f>VLOOKUP(Table29[[#This Row],[Shortname]], Comp[], 28, FALSE)</f>
        <v>0</v>
      </c>
      <c r="AX272">
        <f>VLOOKUP(Table29[[#This Row],[Shortname]], Comp[], 29, FALSE)</f>
        <v>0</v>
      </c>
      <c r="AY272">
        <f>VLOOKUP(Table29[[#This Row],[Shortname]], Comp[], 30, FALSE)</f>
        <v>0</v>
      </c>
      <c r="AZ272">
        <f>VLOOKUP(Table29[[#This Row],[Shortname]], Comp[], 31, FALSE)</f>
        <v>0</v>
      </c>
    </row>
    <row r="273" spans="1:52" x14ac:dyDescent="0.3">
      <c r="A273" t="s">
        <v>3054</v>
      </c>
      <c r="B273">
        <v>261</v>
      </c>
      <c r="C273">
        <v>421</v>
      </c>
      <c r="D273" t="s">
        <v>3055</v>
      </c>
      <c r="E273" t="s">
        <v>5</v>
      </c>
      <c r="F273" t="s">
        <v>3056</v>
      </c>
      <c r="G273" t="s">
        <v>3050</v>
      </c>
      <c r="H273">
        <v>528</v>
      </c>
      <c r="I273">
        <v>2.7399999999999999E-4</v>
      </c>
      <c r="J273">
        <f>0.01/Table29[[#This Row],[Strain Rate (min) /s]]</f>
        <v>36.496350364963504</v>
      </c>
      <c r="K273">
        <f>LOG(Table29[[#This Row],[Time to 1% strain (s)]])</f>
        <v>1.5622494371796121</v>
      </c>
      <c r="L273">
        <v>850</v>
      </c>
      <c r="M273">
        <v>7.9</v>
      </c>
      <c r="P273" t="s">
        <v>7122</v>
      </c>
      <c r="Q273">
        <v>1200</v>
      </c>
      <c r="R273">
        <v>48</v>
      </c>
      <c r="S273">
        <v>850</v>
      </c>
      <c r="T273">
        <v>168</v>
      </c>
      <c r="W273">
        <v>1</v>
      </c>
      <c r="X273">
        <v>10</v>
      </c>
      <c r="Y273">
        <v>34</v>
      </c>
      <c r="AA273">
        <f>VLOOKUP(Table29[[#This Row],[Shortname]], Comp[], 6, FALSE)</f>
        <v>421</v>
      </c>
      <c r="AB273" s="14">
        <f>VLOOKUP(Table29[[#This Row],[Shortname]], Comp[], 7, FALSE)</f>
        <v>72.960000000000008</v>
      </c>
      <c r="AC273">
        <f>VLOOKUP(Table29[[#This Row],[Shortname]], Comp[], 8, FALSE)</f>
        <v>10</v>
      </c>
      <c r="AD273">
        <f>VLOOKUP(Table29[[#This Row],[Shortname]], Comp[], 9, FALSE)</f>
        <v>5</v>
      </c>
      <c r="AE273">
        <f>VLOOKUP(Table29[[#This Row],[Shortname]], Comp[], 10, FALSE)</f>
        <v>4</v>
      </c>
      <c r="AF273">
        <f>VLOOKUP(Table29[[#This Row],[Shortname]], Comp[], 11, FALSE)</f>
        <v>0</v>
      </c>
      <c r="AG273">
        <f>VLOOKUP(Table29[[#This Row],[Shortname]], Comp[],12, FALSE)</f>
        <v>2</v>
      </c>
      <c r="AH273">
        <f>VLOOKUP(Table29[[#This Row],[Shortname]], Comp[], 13, FALSE)</f>
        <v>3</v>
      </c>
      <c r="AI273">
        <f>VLOOKUP(Table29[[#This Row],[Shortname]], Comp[], 14, FALSE)</f>
        <v>0</v>
      </c>
      <c r="AJ273">
        <f>VLOOKUP(Table29[[#This Row],[Shortname]], Comp[], 15, FALSE)</f>
        <v>3</v>
      </c>
      <c r="AK273">
        <f>VLOOKUP(Table29[[#This Row],[Shortname]], Comp[], 16, FALSE)</f>
        <v>0</v>
      </c>
      <c r="AL273">
        <f>VLOOKUP(Table29[[#This Row],[Shortname]], Comp[], 17, FALSE)</f>
        <v>0</v>
      </c>
      <c r="AM273">
        <f>VLOOKUP(Table29[[#This Row],[Shortname]], Comp[], 18, FALSE)</f>
        <v>0</v>
      </c>
      <c r="AN273">
        <f>VLOOKUP(Table29[[#This Row],[Shortname]], Comp[], 19, FALSE)</f>
        <v>0.04</v>
      </c>
      <c r="AO273">
        <f>VLOOKUP(Table29[[#This Row],[Shortname]], Comp[], 20, FALSE)</f>
        <v>0</v>
      </c>
      <c r="AP273">
        <f>VLOOKUP(Table29[[#This Row],[Shortname]], Comp[], 21, FALSE)</f>
        <v>0</v>
      </c>
      <c r="AQ273">
        <f>VLOOKUP(Table29[[#This Row],[Shortname]], Comp[], 22, FALSE)</f>
        <v>0</v>
      </c>
      <c r="AR273">
        <f>VLOOKUP(Table29[[#This Row],[Shortname]], Comp[], 23, FALSE)</f>
        <v>0</v>
      </c>
      <c r="AS273">
        <f>VLOOKUP(Table29[[#This Row],[Shortname]], Comp[], 24, FALSE)</f>
        <v>0</v>
      </c>
      <c r="AT273">
        <f>VLOOKUP(Table29[[#This Row],[Shortname]], Comp[], 25, FALSE)</f>
        <v>0</v>
      </c>
      <c r="AU273">
        <f>VLOOKUP(Table29[[#This Row],[Shortname]], Comp[], 26, FALSE)</f>
        <v>0</v>
      </c>
      <c r="AV273">
        <f>VLOOKUP(Table29[[#This Row],[Shortname]], Comp[], 27, FALSE)</f>
        <v>0</v>
      </c>
      <c r="AW273">
        <f>VLOOKUP(Table29[[#This Row],[Shortname]], Comp[], 28, FALSE)</f>
        <v>0</v>
      </c>
      <c r="AX273">
        <f>VLOOKUP(Table29[[#This Row],[Shortname]], Comp[], 29, FALSE)</f>
        <v>0</v>
      </c>
      <c r="AY273">
        <f>VLOOKUP(Table29[[#This Row],[Shortname]], Comp[], 30, FALSE)</f>
        <v>0</v>
      </c>
      <c r="AZ273">
        <f>VLOOKUP(Table29[[#This Row],[Shortname]], Comp[], 31, FALSE)</f>
        <v>0</v>
      </c>
    </row>
    <row r="274" spans="1:52" x14ac:dyDescent="0.3">
      <c r="A274" t="s">
        <v>3054</v>
      </c>
      <c r="B274">
        <v>262</v>
      </c>
      <c r="C274">
        <v>421</v>
      </c>
      <c r="D274" t="s">
        <v>11</v>
      </c>
      <c r="E274" t="s">
        <v>5</v>
      </c>
      <c r="F274" t="s">
        <v>3056</v>
      </c>
      <c r="G274" t="s">
        <v>3050</v>
      </c>
      <c r="H274">
        <v>180</v>
      </c>
      <c r="I274">
        <v>6.7000000000000004E-8</v>
      </c>
      <c r="J274">
        <f>0.01/Table29[[#This Row],[Strain Rate (min) /s]]</f>
        <v>149253.73134328358</v>
      </c>
      <c r="K274">
        <f>LOG(Table29[[#This Row],[Time to 1% strain (s)]])</f>
        <v>5.173925197299174</v>
      </c>
      <c r="L274">
        <v>850</v>
      </c>
      <c r="M274">
        <v>7.9</v>
      </c>
      <c r="P274" t="s">
        <v>7122</v>
      </c>
      <c r="Q274">
        <v>1200</v>
      </c>
      <c r="R274">
        <v>48</v>
      </c>
      <c r="S274">
        <v>850</v>
      </c>
      <c r="T274">
        <v>168</v>
      </c>
      <c r="W274">
        <v>1</v>
      </c>
      <c r="X274">
        <v>10</v>
      </c>
      <c r="Y274">
        <v>34</v>
      </c>
      <c r="AA274">
        <f>VLOOKUP(Table29[[#This Row],[Shortname]], Comp[], 6, FALSE)</f>
        <v>421</v>
      </c>
      <c r="AB274" s="14">
        <f>VLOOKUP(Table29[[#This Row],[Shortname]], Comp[], 7, FALSE)</f>
        <v>72.960000000000008</v>
      </c>
      <c r="AC274">
        <f>VLOOKUP(Table29[[#This Row],[Shortname]], Comp[], 8, FALSE)</f>
        <v>10</v>
      </c>
      <c r="AD274">
        <f>VLOOKUP(Table29[[#This Row],[Shortname]], Comp[], 9, FALSE)</f>
        <v>5</v>
      </c>
      <c r="AE274">
        <f>VLOOKUP(Table29[[#This Row],[Shortname]], Comp[], 10, FALSE)</f>
        <v>4</v>
      </c>
      <c r="AF274">
        <f>VLOOKUP(Table29[[#This Row],[Shortname]], Comp[], 11, FALSE)</f>
        <v>0</v>
      </c>
      <c r="AG274">
        <f>VLOOKUP(Table29[[#This Row],[Shortname]], Comp[],12, FALSE)</f>
        <v>2</v>
      </c>
      <c r="AH274">
        <f>VLOOKUP(Table29[[#This Row],[Shortname]], Comp[], 13, FALSE)</f>
        <v>3</v>
      </c>
      <c r="AI274">
        <f>VLOOKUP(Table29[[#This Row],[Shortname]], Comp[], 14, FALSE)</f>
        <v>0</v>
      </c>
      <c r="AJ274">
        <f>VLOOKUP(Table29[[#This Row],[Shortname]], Comp[], 15, FALSE)</f>
        <v>3</v>
      </c>
      <c r="AK274">
        <f>VLOOKUP(Table29[[#This Row],[Shortname]], Comp[], 16, FALSE)</f>
        <v>0</v>
      </c>
      <c r="AL274">
        <f>VLOOKUP(Table29[[#This Row],[Shortname]], Comp[], 17, FALSE)</f>
        <v>0</v>
      </c>
      <c r="AM274">
        <f>VLOOKUP(Table29[[#This Row],[Shortname]], Comp[], 18, FALSE)</f>
        <v>0</v>
      </c>
      <c r="AN274">
        <f>VLOOKUP(Table29[[#This Row],[Shortname]], Comp[], 19, FALSE)</f>
        <v>0.04</v>
      </c>
      <c r="AO274">
        <f>VLOOKUP(Table29[[#This Row],[Shortname]], Comp[], 20, FALSE)</f>
        <v>0</v>
      </c>
      <c r="AP274">
        <f>VLOOKUP(Table29[[#This Row],[Shortname]], Comp[], 21, FALSE)</f>
        <v>0</v>
      </c>
      <c r="AQ274">
        <f>VLOOKUP(Table29[[#This Row],[Shortname]], Comp[], 22, FALSE)</f>
        <v>0</v>
      </c>
      <c r="AR274">
        <f>VLOOKUP(Table29[[#This Row],[Shortname]], Comp[], 23, FALSE)</f>
        <v>0</v>
      </c>
      <c r="AS274">
        <f>VLOOKUP(Table29[[#This Row],[Shortname]], Comp[], 24, FALSE)</f>
        <v>0</v>
      </c>
      <c r="AT274">
        <f>VLOOKUP(Table29[[#This Row],[Shortname]], Comp[], 25, FALSE)</f>
        <v>0</v>
      </c>
      <c r="AU274">
        <f>VLOOKUP(Table29[[#This Row],[Shortname]], Comp[], 26, FALSE)</f>
        <v>0</v>
      </c>
      <c r="AV274">
        <f>VLOOKUP(Table29[[#This Row],[Shortname]], Comp[], 27, FALSE)</f>
        <v>0</v>
      </c>
      <c r="AW274">
        <f>VLOOKUP(Table29[[#This Row],[Shortname]], Comp[], 28, FALSE)</f>
        <v>0</v>
      </c>
      <c r="AX274">
        <f>VLOOKUP(Table29[[#This Row],[Shortname]], Comp[], 29, FALSE)</f>
        <v>0</v>
      </c>
      <c r="AY274">
        <f>VLOOKUP(Table29[[#This Row],[Shortname]], Comp[], 30, FALSE)</f>
        <v>0</v>
      </c>
      <c r="AZ274">
        <f>VLOOKUP(Table29[[#This Row],[Shortname]], Comp[], 31, FALSE)</f>
        <v>0</v>
      </c>
    </row>
    <row r="275" spans="1:52" x14ac:dyDescent="0.3">
      <c r="A275" t="s">
        <v>3054</v>
      </c>
      <c r="B275">
        <v>263</v>
      </c>
      <c r="C275">
        <v>421</v>
      </c>
      <c r="D275" t="s">
        <v>11</v>
      </c>
      <c r="E275" t="s">
        <v>5</v>
      </c>
      <c r="F275" t="s">
        <v>3056</v>
      </c>
      <c r="G275" t="s">
        <v>3050</v>
      </c>
      <c r="H275">
        <v>221</v>
      </c>
      <c r="I275">
        <v>2.0900000000000001E-7</v>
      </c>
      <c r="J275">
        <f>0.01/Table29[[#This Row],[Strain Rate (min) /s]]</f>
        <v>47846.889952153113</v>
      </c>
      <c r="K275">
        <f>LOG(Table29[[#This Row],[Time to 1% strain (s)]])</f>
        <v>4.6798537138889458</v>
      </c>
      <c r="L275">
        <v>850</v>
      </c>
      <c r="M275">
        <v>7.9</v>
      </c>
      <c r="P275" t="s">
        <v>7122</v>
      </c>
      <c r="Q275">
        <v>1200</v>
      </c>
      <c r="R275">
        <v>48</v>
      </c>
      <c r="S275">
        <v>850</v>
      </c>
      <c r="T275">
        <v>168</v>
      </c>
      <c r="W275">
        <v>1</v>
      </c>
      <c r="X275">
        <v>10</v>
      </c>
      <c r="Y275">
        <v>34</v>
      </c>
      <c r="AA275">
        <f>VLOOKUP(Table29[[#This Row],[Shortname]], Comp[], 6, FALSE)</f>
        <v>421</v>
      </c>
      <c r="AB275" s="14">
        <f>VLOOKUP(Table29[[#This Row],[Shortname]], Comp[], 7, FALSE)</f>
        <v>72.960000000000008</v>
      </c>
      <c r="AC275">
        <f>VLOOKUP(Table29[[#This Row],[Shortname]], Comp[], 8, FALSE)</f>
        <v>10</v>
      </c>
      <c r="AD275">
        <f>VLOOKUP(Table29[[#This Row],[Shortname]], Comp[], 9, FALSE)</f>
        <v>5</v>
      </c>
      <c r="AE275">
        <f>VLOOKUP(Table29[[#This Row],[Shortname]], Comp[], 10, FALSE)</f>
        <v>4</v>
      </c>
      <c r="AF275">
        <f>VLOOKUP(Table29[[#This Row],[Shortname]], Comp[], 11, FALSE)</f>
        <v>0</v>
      </c>
      <c r="AG275">
        <f>VLOOKUP(Table29[[#This Row],[Shortname]], Comp[],12, FALSE)</f>
        <v>2</v>
      </c>
      <c r="AH275">
        <f>VLOOKUP(Table29[[#This Row],[Shortname]], Comp[], 13, FALSE)</f>
        <v>3</v>
      </c>
      <c r="AI275">
        <f>VLOOKUP(Table29[[#This Row],[Shortname]], Comp[], 14, FALSE)</f>
        <v>0</v>
      </c>
      <c r="AJ275">
        <f>VLOOKUP(Table29[[#This Row],[Shortname]], Comp[], 15, FALSE)</f>
        <v>3</v>
      </c>
      <c r="AK275">
        <f>VLOOKUP(Table29[[#This Row],[Shortname]], Comp[], 16, FALSE)</f>
        <v>0</v>
      </c>
      <c r="AL275">
        <f>VLOOKUP(Table29[[#This Row],[Shortname]], Comp[], 17, FALSE)</f>
        <v>0</v>
      </c>
      <c r="AM275">
        <f>VLOOKUP(Table29[[#This Row],[Shortname]], Comp[], 18, FALSE)</f>
        <v>0</v>
      </c>
      <c r="AN275">
        <f>VLOOKUP(Table29[[#This Row],[Shortname]], Comp[], 19, FALSE)</f>
        <v>0.04</v>
      </c>
      <c r="AO275">
        <f>VLOOKUP(Table29[[#This Row],[Shortname]], Comp[], 20, FALSE)</f>
        <v>0</v>
      </c>
      <c r="AP275">
        <f>VLOOKUP(Table29[[#This Row],[Shortname]], Comp[], 21, FALSE)</f>
        <v>0</v>
      </c>
      <c r="AQ275">
        <f>VLOOKUP(Table29[[#This Row],[Shortname]], Comp[], 22, FALSE)</f>
        <v>0</v>
      </c>
      <c r="AR275">
        <f>VLOOKUP(Table29[[#This Row],[Shortname]], Comp[], 23, FALSE)</f>
        <v>0</v>
      </c>
      <c r="AS275">
        <f>VLOOKUP(Table29[[#This Row],[Shortname]], Comp[], 24, FALSE)</f>
        <v>0</v>
      </c>
      <c r="AT275">
        <f>VLOOKUP(Table29[[#This Row],[Shortname]], Comp[], 25, FALSE)</f>
        <v>0</v>
      </c>
      <c r="AU275">
        <f>VLOOKUP(Table29[[#This Row],[Shortname]], Comp[], 26, FALSE)</f>
        <v>0</v>
      </c>
      <c r="AV275">
        <f>VLOOKUP(Table29[[#This Row],[Shortname]], Comp[], 27, FALSE)</f>
        <v>0</v>
      </c>
      <c r="AW275">
        <f>VLOOKUP(Table29[[#This Row],[Shortname]], Comp[], 28, FALSE)</f>
        <v>0</v>
      </c>
      <c r="AX275">
        <f>VLOOKUP(Table29[[#This Row],[Shortname]], Comp[], 29, FALSE)</f>
        <v>0</v>
      </c>
      <c r="AY275">
        <f>VLOOKUP(Table29[[#This Row],[Shortname]], Comp[], 30, FALSE)</f>
        <v>0</v>
      </c>
      <c r="AZ275">
        <f>VLOOKUP(Table29[[#This Row],[Shortname]], Comp[], 31, FALSE)</f>
        <v>0</v>
      </c>
    </row>
    <row r="276" spans="1:52" x14ac:dyDescent="0.3">
      <c r="A276" t="s">
        <v>3054</v>
      </c>
      <c r="B276">
        <v>264</v>
      </c>
      <c r="C276">
        <v>421</v>
      </c>
      <c r="D276" t="s">
        <v>11</v>
      </c>
      <c r="E276" t="s">
        <v>5</v>
      </c>
      <c r="F276" t="s">
        <v>3056</v>
      </c>
      <c r="G276" t="s">
        <v>3050</v>
      </c>
      <c r="H276">
        <v>261</v>
      </c>
      <c r="I276">
        <v>3.3599999999999999E-7</v>
      </c>
      <c r="J276">
        <f>0.01/Table29[[#This Row],[Strain Rate (min) /s]]</f>
        <v>29761.904761904763</v>
      </c>
      <c r="K276">
        <f>LOG(Table29[[#This Row],[Time to 1% strain (s)]])</f>
        <v>4.4736607226101563</v>
      </c>
      <c r="L276">
        <v>850</v>
      </c>
      <c r="M276">
        <v>7.9</v>
      </c>
      <c r="P276" t="s">
        <v>7122</v>
      </c>
      <c r="Q276">
        <v>1200</v>
      </c>
      <c r="R276">
        <v>48</v>
      </c>
      <c r="S276">
        <v>850</v>
      </c>
      <c r="T276">
        <v>168</v>
      </c>
      <c r="W276">
        <v>1</v>
      </c>
      <c r="X276">
        <v>10</v>
      </c>
      <c r="Y276">
        <v>34</v>
      </c>
      <c r="AA276">
        <f>VLOOKUP(Table29[[#This Row],[Shortname]], Comp[], 6, FALSE)</f>
        <v>421</v>
      </c>
      <c r="AB276" s="14">
        <f>VLOOKUP(Table29[[#This Row],[Shortname]], Comp[], 7, FALSE)</f>
        <v>72.960000000000008</v>
      </c>
      <c r="AC276">
        <f>VLOOKUP(Table29[[#This Row],[Shortname]], Comp[], 8, FALSE)</f>
        <v>10</v>
      </c>
      <c r="AD276">
        <f>VLOOKUP(Table29[[#This Row],[Shortname]], Comp[], 9, FALSE)</f>
        <v>5</v>
      </c>
      <c r="AE276">
        <f>VLOOKUP(Table29[[#This Row],[Shortname]], Comp[], 10, FALSE)</f>
        <v>4</v>
      </c>
      <c r="AF276">
        <f>VLOOKUP(Table29[[#This Row],[Shortname]], Comp[], 11, FALSE)</f>
        <v>0</v>
      </c>
      <c r="AG276">
        <f>VLOOKUP(Table29[[#This Row],[Shortname]], Comp[],12, FALSE)</f>
        <v>2</v>
      </c>
      <c r="AH276">
        <f>VLOOKUP(Table29[[#This Row],[Shortname]], Comp[], 13, FALSE)</f>
        <v>3</v>
      </c>
      <c r="AI276">
        <f>VLOOKUP(Table29[[#This Row],[Shortname]], Comp[], 14, FALSE)</f>
        <v>0</v>
      </c>
      <c r="AJ276">
        <f>VLOOKUP(Table29[[#This Row],[Shortname]], Comp[], 15, FALSE)</f>
        <v>3</v>
      </c>
      <c r="AK276">
        <f>VLOOKUP(Table29[[#This Row],[Shortname]], Comp[], 16, FALSE)</f>
        <v>0</v>
      </c>
      <c r="AL276">
        <f>VLOOKUP(Table29[[#This Row],[Shortname]], Comp[], 17, FALSE)</f>
        <v>0</v>
      </c>
      <c r="AM276">
        <f>VLOOKUP(Table29[[#This Row],[Shortname]], Comp[], 18, FALSE)</f>
        <v>0</v>
      </c>
      <c r="AN276">
        <f>VLOOKUP(Table29[[#This Row],[Shortname]], Comp[], 19, FALSE)</f>
        <v>0.04</v>
      </c>
      <c r="AO276">
        <f>VLOOKUP(Table29[[#This Row],[Shortname]], Comp[], 20, FALSE)</f>
        <v>0</v>
      </c>
      <c r="AP276">
        <f>VLOOKUP(Table29[[#This Row],[Shortname]], Comp[], 21, FALSE)</f>
        <v>0</v>
      </c>
      <c r="AQ276">
        <f>VLOOKUP(Table29[[#This Row],[Shortname]], Comp[], 22, FALSE)</f>
        <v>0</v>
      </c>
      <c r="AR276">
        <f>VLOOKUP(Table29[[#This Row],[Shortname]], Comp[], 23, FALSE)</f>
        <v>0</v>
      </c>
      <c r="AS276">
        <f>VLOOKUP(Table29[[#This Row],[Shortname]], Comp[], 24, FALSE)</f>
        <v>0</v>
      </c>
      <c r="AT276">
        <f>VLOOKUP(Table29[[#This Row],[Shortname]], Comp[], 25, FALSE)</f>
        <v>0</v>
      </c>
      <c r="AU276">
        <f>VLOOKUP(Table29[[#This Row],[Shortname]], Comp[], 26, FALSE)</f>
        <v>0</v>
      </c>
      <c r="AV276">
        <f>VLOOKUP(Table29[[#This Row],[Shortname]], Comp[], 27, FALSE)</f>
        <v>0</v>
      </c>
      <c r="AW276">
        <f>VLOOKUP(Table29[[#This Row],[Shortname]], Comp[], 28, FALSE)</f>
        <v>0</v>
      </c>
      <c r="AX276">
        <f>VLOOKUP(Table29[[#This Row],[Shortname]], Comp[], 29, FALSE)</f>
        <v>0</v>
      </c>
      <c r="AY276">
        <f>VLOOKUP(Table29[[#This Row],[Shortname]], Comp[], 30, FALSE)</f>
        <v>0</v>
      </c>
      <c r="AZ276">
        <f>VLOOKUP(Table29[[#This Row],[Shortname]], Comp[], 31, FALSE)</f>
        <v>0</v>
      </c>
    </row>
    <row r="277" spans="1:52" x14ac:dyDescent="0.3">
      <c r="A277" t="s">
        <v>3054</v>
      </c>
      <c r="B277">
        <v>265</v>
      </c>
      <c r="C277">
        <v>421</v>
      </c>
      <c r="D277" t="s">
        <v>11</v>
      </c>
      <c r="E277" t="s">
        <v>5</v>
      </c>
      <c r="F277" t="s">
        <v>3056</v>
      </c>
      <c r="G277" t="s">
        <v>3050</v>
      </c>
      <c r="H277">
        <v>304</v>
      </c>
      <c r="I277">
        <v>9.2399999999999996E-7</v>
      </c>
      <c r="J277">
        <f>0.01/Table29[[#This Row],[Strain Rate (min) /s]]</f>
        <v>10822.510822510823</v>
      </c>
      <c r="K277">
        <f>LOG(Table29[[#This Row],[Time to 1% strain (s)]])</f>
        <v>4.0343280287798935</v>
      </c>
      <c r="L277">
        <v>850</v>
      </c>
      <c r="M277">
        <v>7.9</v>
      </c>
      <c r="P277" t="s">
        <v>7122</v>
      </c>
      <c r="Q277">
        <v>1200</v>
      </c>
      <c r="R277">
        <v>48</v>
      </c>
      <c r="S277">
        <v>850</v>
      </c>
      <c r="T277">
        <v>168</v>
      </c>
      <c r="W277">
        <v>1</v>
      </c>
      <c r="X277">
        <v>10</v>
      </c>
      <c r="Y277">
        <v>34</v>
      </c>
      <c r="AA277">
        <f>VLOOKUP(Table29[[#This Row],[Shortname]], Comp[], 6, FALSE)</f>
        <v>421</v>
      </c>
      <c r="AB277" s="14">
        <f>VLOOKUP(Table29[[#This Row],[Shortname]], Comp[], 7, FALSE)</f>
        <v>72.960000000000008</v>
      </c>
      <c r="AC277">
        <f>VLOOKUP(Table29[[#This Row],[Shortname]], Comp[], 8, FALSE)</f>
        <v>10</v>
      </c>
      <c r="AD277">
        <f>VLOOKUP(Table29[[#This Row],[Shortname]], Comp[], 9, FALSE)</f>
        <v>5</v>
      </c>
      <c r="AE277">
        <f>VLOOKUP(Table29[[#This Row],[Shortname]], Comp[], 10, FALSE)</f>
        <v>4</v>
      </c>
      <c r="AF277">
        <f>VLOOKUP(Table29[[#This Row],[Shortname]], Comp[], 11, FALSE)</f>
        <v>0</v>
      </c>
      <c r="AG277">
        <f>VLOOKUP(Table29[[#This Row],[Shortname]], Comp[],12, FALSE)</f>
        <v>2</v>
      </c>
      <c r="AH277">
        <f>VLOOKUP(Table29[[#This Row],[Shortname]], Comp[], 13, FALSE)</f>
        <v>3</v>
      </c>
      <c r="AI277">
        <f>VLOOKUP(Table29[[#This Row],[Shortname]], Comp[], 14, FALSE)</f>
        <v>0</v>
      </c>
      <c r="AJ277">
        <f>VLOOKUP(Table29[[#This Row],[Shortname]], Comp[], 15, FALSE)</f>
        <v>3</v>
      </c>
      <c r="AK277">
        <f>VLOOKUP(Table29[[#This Row],[Shortname]], Comp[], 16, FALSE)</f>
        <v>0</v>
      </c>
      <c r="AL277">
        <f>VLOOKUP(Table29[[#This Row],[Shortname]], Comp[], 17, FALSE)</f>
        <v>0</v>
      </c>
      <c r="AM277">
        <f>VLOOKUP(Table29[[#This Row],[Shortname]], Comp[], 18, FALSE)</f>
        <v>0</v>
      </c>
      <c r="AN277">
        <f>VLOOKUP(Table29[[#This Row],[Shortname]], Comp[], 19, FALSE)</f>
        <v>0.04</v>
      </c>
      <c r="AO277">
        <f>VLOOKUP(Table29[[#This Row],[Shortname]], Comp[], 20, FALSE)</f>
        <v>0</v>
      </c>
      <c r="AP277">
        <f>VLOOKUP(Table29[[#This Row],[Shortname]], Comp[], 21, FALSE)</f>
        <v>0</v>
      </c>
      <c r="AQ277">
        <f>VLOOKUP(Table29[[#This Row],[Shortname]], Comp[], 22, FALSE)</f>
        <v>0</v>
      </c>
      <c r="AR277">
        <f>VLOOKUP(Table29[[#This Row],[Shortname]], Comp[], 23, FALSE)</f>
        <v>0</v>
      </c>
      <c r="AS277">
        <f>VLOOKUP(Table29[[#This Row],[Shortname]], Comp[], 24, FALSE)</f>
        <v>0</v>
      </c>
      <c r="AT277">
        <f>VLOOKUP(Table29[[#This Row],[Shortname]], Comp[], 25, FALSE)</f>
        <v>0</v>
      </c>
      <c r="AU277">
        <f>VLOOKUP(Table29[[#This Row],[Shortname]], Comp[], 26, FALSE)</f>
        <v>0</v>
      </c>
      <c r="AV277">
        <f>VLOOKUP(Table29[[#This Row],[Shortname]], Comp[], 27, FALSE)</f>
        <v>0</v>
      </c>
      <c r="AW277">
        <f>VLOOKUP(Table29[[#This Row],[Shortname]], Comp[], 28, FALSE)</f>
        <v>0</v>
      </c>
      <c r="AX277">
        <f>VLOOKUP(Table29[[#This Row],[Shortname]], Comp[], 29, FALSE)</f>
        <v>0</v>
      </c>
      <c r="AY277">
        <f>VLOOKUP(Table29[[#This Row],[Shortname]], Comp[], 30, FALSE)</f>
        <v>0</v>
      </c>
      <c r="AZ277">
        <f>VLOOKUP(Table29[[#This Row],[Shortname]], Comp[], 31, FALSE)</f>
        <v>0</v>
      </c>
    </row>
    <row r="278" spans="1:52" x14ac:dyDescent="0.3">
      <c r="A278" t="s">
        <v>3054</v>
      </c>
      <c r="B278">
        <v>266</v>
      </c>
      <c r="C278">
        <v>421</v>
      </c>
      <c r="D278" t="s">
        <v>11</v>
      </c>
      <c r="E278" t="s">
        <v>5</v>
      </c>
      <c r="F278" t="s">
        <v>3056</v>
      </c>
      <c r="G278" t="s">
        <v>3050</v>
      </c>
      <c r="H278">
        <v>357</v>
      </c>
      <c r="I278">
        <v>5.5999999999999997E-6</v>
      </c>
      <c r="J278">
        <f>0.01/Table29[[#This Row],[Strain Rate (min) /s]]</f>
        <v>1785.7142857142858</v>
      </c>
      <c r="K278">
        <f>LOG(Table29[[#This Row],[Time to 1% strain (s)]])</f>
        <v>3.2518119729937998</v>
      </c>
      <c r="L278">
        <v>850</v>
      </c>
      <c r="M278">
        <v>7.9</v>
      </c>
      <c r="P278" t="s">
        <v>7122</v>
      </c>
      <c r="Q278">
        <v>1200</v>
      </c>
      <c r="R278">
        <v>48</v>
      </c>
      <c r="S278">
        <v>850</v>
      </c>
      <c r="T278">
        <v>168</v>
      </c>
      <c r="W278">
        <v>1</v>
      </c>
      <c r="X278">
        <v>10</v>
      </c>
      <c r="Y278">
        <v>34</v>
      </c>
      <c r="AA278">
        <f>VLOOKUP(Table29[[#This Row],[Shortname]], Comp[], 6, FALSE)</f>
        <v>421</v>
      </c>
      <c r="AB278" s="14">
        <f>VLOOKUP(Table29[[#This Row],[Shortname]], Comp[], 7, FALSE)</f>
        <v>72.960000000000008</v>
      </c>
      <c r="AC278">
        <f>VLOOKUP(Table29[[#This Row],[Shortname]], Comp[], 8, FALSE)</f>
        <v>10</v>
      </c>
      <c r="AD278">
        <f>VLOOKUP(Table29[[#This Row],[Shortname]], Comp[], 9, FALSE)</f>
        <v>5</v>
      </c>
      <c r="AE278">
        <f>VLOOKUP(Table29[[#This Row],[Shortname]], Comp[], 10, FALSE)</f>
        <v>4</v>
      </c>
      <c r="AF278">
        <f>VLOOKUP(Table29[[#This Row],[Shortname]], Comp[], 11, FALSE)</f>
        <v>0</v>
      </c>
      <c r="AG278">
        <f>VLOOKUP(Table29[[#This Row],[Shortname]], Comp[],12, FALSE)</f>
        <v>2</v>
      </c>
      <c r="AH278">
        <f>VLOOKUP(Table29[[#This Row],[Shortname]], Comp[], 13, FALSE)</f>
        <v>3</v>
      </c>
      <c r="AI278">
        <f>VLOOKUP(Table29[[#This Row],[Shortname]], Comp[], 14, FALSE)</f>
        <v>0</v>
      </c>
      <c r="AJ278">
        <f>VLOOKUP(Table29[[#This Row],[Shortname]], Comp[], 15, FALSE)</f>
        <v>3</v>
      </c>
      <c r="AK278">
        <f>VLOOKUP(Table29[[#This Row],[Shortname]], Comp[], 16, FALSE)</f>
        <v>0</v>
      </c>
      <c r="AL278">
        <f>VLOOKUP(Table29[[#This Row],[Shortname]], Comp[], 17, FALSE)</f>
        <v>0</v>
      </c>
      <c r="AM278">
        <f>VLOOKUP(Table29[[#This Row],[Shortname]], Comp[], 18, FALSE)</f>
        <v>0</v>
      </c>
      <c r="AN278">
        <f>VLOOKUP(Table29[[#This Row],[Shortname]], Comp[], 19, FALSE)</f>
        <v>0.04</v>
      </c>
      <c r="AO278">
        <f>VLOOKUP(Table29[[#This Row],[Shortname]], Comp[], 20, FALSE)</f>
        <v>0</v>
      </c>
      <c r="AP278">
        <f>VLOOKUP(Table29[[#This Row],[Shortname]], Comp[], 21, FALSE)</f>
        <v>0</v>
      </c>
      <c r="AQ278">
        <f>VLOOKUP(Table29[[#This Row],[Shortname]], Comp[], 22, FALSE)</f>
        <v>0</v>
      </c>
      <c r="AR278">
        <f>VLOOKUP(Table29[[#This Row],[Shortname]], Comp[], 23, FALSE)</f>
        <v>0</v>
      </c>
      <c r="AS278">
        <f>VLOOKUP(Table29[[#This Row],[Shortname]], Comp[], 24, FALSE)</f>
        <v>0</v>
      </c>
      <c r="AT278">
        <f>VLOOKUP(Table29[[#This Row],[Shortname]], Comp[], 25, FALSE)</f>
        <v>0</v>
      </c>
      <c r="AU278">
        <f>VLOOKUP(Table29[[#This Row],[Shortname]], Comp[], 26, FALSE)</f>
        <v>0</v>
      </c>
      <c r="AV278">
        <f>VLOOKUP(Table29[[#This Row],[Shortname]], Comp[], 27, FALSE)</f>
        <v>0</v>
      </c>
      <c r="AW278">
        <f>VLOOKUP(Table29[[#This Row],[Shortname]], Comp[], 28, FALSE)</f>
        <v>0</v>
      </c>
      <c r="AX278">
        <f>VLOOKUP(Table29[[#This Row],[Shortname]], Comp[], 29, FALSE)</f>
        <v>0</v>
      </c>
      <c r="AY278">
        <f>VLOOKUP(Table29[[#This Row],[Shortname]], Comp[], 30, FALSE)</f>
        <v>0</v>
      </c>
      <c r="AZ278">
        <f>VLOOKUP(Table29[[#This Row],[Shortname]], Comp[], 31, FALSE)</f>
        <v>0</v>
      </c>
    </row>
    <row r="279" spans="1:52" x14ac:dyDescent="0.3">
      <c r="A279" t="s">
        <v>3054</v>
      </c>
      <c r="B279">
        <v>267</v>
      </c>
      <c r="C279">
        <v>421</v>
      </c>
      <c r="D279" t="s">
        <v>11</v>
      </c>
      <c r="E279" t="s">
        <v>5</v>
      </c>
      <c r="F279" t="s">
        <v>3056</v>
      </c>
      <c r="G279" t="s">
        <v>3050</v>
      </c>
      <c r="H279">
        <v>407</v>
      </c>
      <c r="I279">
        <v>1.7499999999999998E-5</v>
      </c>
      <c r="J279">
        <f>0.01/Table29[[#This Row],[Strain Rate (min) /s]]</f>
        <v>571.42857142857144</v>
      </c>
      <c r="K279">
        <f>LOG(Table29[[#This Row],[Time to 1% strain (s)]])</f>
        <v>2.7569619513137056</v>
      </c>
      <c r="L279">
        <v>850</v>
      </c>
      <c r="M279">
        <v>7.9</v>
      </c>
      <c r="P279" t="s">
        <v>7122</v>
      </c>
      <c r="Q279">
        <v>1200</v>
      </c>
      <c r="R279">
        <v>48</v>
      </c>
      <c r="S279">
        <v>850</v>
      </c>
      <c r="T279">
        <v>168</v>
      </c>
      <c r="W279">
        <v>1</v>
      </c>
      <c r="X279">
        <v>10</v>
      </c>
      <c r="Y279">
        <v>34</v>
      </c>
      <c r="AA279">
        <f>VLOOKUP(Table29[[#This Row],[Shortname]], Comp[], 6, FALSE)</f>
        <v>421</v>
      </c>
      <c r="AB279" s="14">
        <f>VLOOKUP(Table29[[#This Row],[Shortname]], Comp[], 7, FALSE)</f>
        <v>72.960000000000008</v>
      </c>
      <c r="AC279">
        <f>VLOOKUP(Table29[[#This Row],[Shortname]], Comp[], 8, FALSE)</f>
        <v>10</v>
      </c>
      <c r="AD279">
        <f>VLOOKUP(Table29[[#This Row],[Shortname]], Comp[], 9, FALSE)</f>
        <v>5</v>
      </c>
      <c r="AE279">
        <f>VLOOKUP(Table29[[#This Row],[Shortname]], Comp[], 10, FALSE)</f>
        <v>4</v>
      </c>
      <c r="AF279">
        <f>VLOOKUP(Table29[[#This Row],[Shortname]], Comp[], 11, FALSE)</f>
        <v>0</v>
      </c>
      <c r="AG279">
        <f>VLOOKUP(Table29[[#This Row],[Shortname]], Comp[],12, FALSE)</f>
        <v>2</v>
      </c>
      <c r="AH279">
        <f>VLOOKUP(Table29[[#This Row],[Shortname]], Comp[], 13, FALSE)</f>
        <v>3</v>
      </c>
      <c r="AI279">
        <f>VLOOKUP(Table29[[#This Row],[Shortname]], Comp[], 14, FALSE)</f>
        <v>0</v>
      </c>
      <c r="AJ279">
        <f>VLOOKUP(Table29[[#This Row],[Shortname]], Comp[], 15, FALSE)</f>
        <v>3</v>
      </c>
      <c r="AK279">
        <f>VLOOKUP(Table29[[#This Row],[Shortname]], Comp[], 16, FALSE)</f>
        <v>0</v>
      </c>
      <c r="AL279">
        <f>VLOOKUP(Table29[[#This Row],[Shortname]], Comp[], 17, FALSE)</f>
        <v>0</v>
      </c>
      <c r="AM279">
        <f>VLOOKUP(Table29[[#This Row],[Shortname]], Comp[], 18, FALSE)</f>
        <v>0</v>
      </c>
      <c r="AN279">
        <f>VLOOKUP(Table29[[#This Row],[Shortname]], Comp[], 19, FALSE)</f>
        <v>0.04</v>
      </c>
      <c r="AO279">
        <f>VLOOKUP(Table29[[#This Row],[Shortname]], Comp[], 20, FALSE)</f>
        <v>0</v>
      </c>
      <c r="AP279">
        <f>VLOOKUP(Table29[[#This Row],[Shortname]], Comp[], 21, FALSE)</f>
        <v>0</v>
      </c>
      <c r="AQ279">
        <f>VLOOKUP(Table29[[#This Row],[Shortname]], Comp[], 22, FALSE)</f>
        <v>0</v>
      </c>
      <c r="AR279">
        <f>VLOOKUP(Table29[[#This Row],[Shortname]], Comp[], 23, FALSE)</f>
        <v>0</v>
      </c>
      <c r="AS279">
        <f>VLOOKUP(Table29[[#This Row],[Shortname]], Comp[], 24, FALSE)</f>
        <v>0</v>
      </c>
      <c r="AT279">
        <f>VLOOKUP(Table29[[#This Row],[Shortname]], Comp[], 25, FALSE)</f>
        <v>0</v>
      </c>
      <c r="AU279">
        <f>VLOOKUP(Table29[[#This Row],[Shortname]], Comp[], 26, FALSE)</f>
        <v>0</v>
      </c>
      <c r="AV279">
        <f>VLOOKUP(Table29[[#This Row],[Shortname]], Comp[], 27, FALSE)</f>
        <v>0</v>
      </c>
      <c r="AW279">
        <f>VLOOKUP(Table29[[#This Row],[Shortname]], Comp[], 28, FALSE)</f>
        <v>0</v>
      </c>
      <c r="AX279">
        <f>VLOOKUP(Table29[[#This Row],[Shortname]], Comp[], 29, FALSE)</f>
        <v>0</v>
      </c>
      <c r="AY279">
        <f>VLOOKUP(Table29[[#This Row],[Shortname]], Comp[], 30, FALSE)</f>
        <v>0</v>
      </c>
      <c r="AZ279">
        <f>VLOOKUP(Table29[[#This Row],[Shortname]], Comp[], 31, FALSE)</f>
        <v>0</v>
      </c>
    </row>
    <row r="280" spans="1:52" x14ac:dyDescent="0.3">
      <c r="A280" t="s">
        <v>3054</v>
      </c>
      <c r="B280">
        <v>268</v>
      </c>
      <c r="C280">
        <v>421</v>
      </c>
      <c r="D280" t="s">
        <v>11</v>
      </c>
      <c r="E280" t="s">
        <v>5</v>
      </c>
      <c r="F280" t="s">
        <v>3056</v>
      </c>
      <c r="G280" t="s">
        <v>3050</v>
      </c>
      <c r="H280">
        <v>460</v>
      </c>
      <c r="I280">
        <v>5.4599999999999999E-5</v>
      </c>
      <c r="J280">
        <f>0.01/Table29[[#This Row],[Strain Rate (min) /s]]</f>
        <v>183.15018315018315</v>
      </c>
      <c r="K280">
        <f>LOG(Table29[[#This Row],[Time to 1% strain (s)]])</f>
        <v>2.2628073572952627</v>
      </c>
      <c r="L280">
        <v>850</v>
      </c>
      <c r="M280">
        <v>7.9</v>
      </c>
      <c r="P280" t="s">
        <v>7122</v>
      </c>
      <c r="Q280">
        <v>1200</v>
      </c>
      <c r="R280">
        <v>48</v>
      </c>
      <c r="S280">
        <v>850</v>
      </c>
      <c r="T280">
        <v>168</v>
      </c>
      <c r="W280">
        <v>1</v>
      </c>
      <c r="X280">
        <v>10</v>
      </c>
      <c r="Y280">
        <v>34</v>
      </c>
      <c r="AA280">
        <f>VLOOKUP(Table29[[#This Row],[Shortname]], Comp[], 6, FALSE)</f>
        <v>421</v>
      </c>
      <c r="AB280" s="14">
        <f>VLOOKUP(Table29[[#This Row],[Shortname]], Comp[], 7, FALSE)</f>
        <v>72.960000000000008</v>
      </c>
      <c r="AC280">
        <f>VLOOKUP(Table29[[#This Row],[Shortname]], Comp[], 8, FALSE)</f>
        <v>10</v>
      </c>
      <c r="AD280">
        <f>VLOOKUP(Table29[[#This Row],[Shortname]], Comp[], 9, FALSE)</f>
        <v>5</v>
      </c>
      <c r="AE280">
        <f>VLOOKUP(Table29[[#This Row],[Shortname]], Comp[], 10, FALSE)</f>
        <v>4</v>
      </c>
      <c r="AF280">
        <f>VLOOKUP(Table29[[#This Row],[Shortname]], Comp[], 11, FALSE)</f>
        <v>0</v>
      </c>
      <c r="AG280">
        <f>VLOOKUP(Table29[[#This Row],[Shortname]], Comp[],12, FALSE)</f>
        <v>2</v>
      </c>
      <c r="AH280">
        <f>VLOOKUP(Table29[[#This Row],[Shortname]], Comp[], 13, FALSE)</f>
        <v>3</v>
      </c>
      <c r="AI280">
        <f>VLOOKUP(Table29[[#This Row],[Shortname]], Comp[], 14, FALSE)</f>
        <v>0</v>
      </c>
      <c r="AJ280">
        <f>VLOOKUP(Table29[[#This Row],[Shortname]], Comp[], 15, FALSE)</f>
        <v>3</v>
      </c>
      <c r="AK280">
        <f>VLOOKUP(Table29[[#This Row],[Shortname]], Comp[], 16, FALSE)</f>
        <v>0</v>
      </c>
      <c r="AL280">
        <f>VLOOKUP(Table29[[#This Row],[Shortname]], Comp[], 17, FALSE)</f>
        <v>0</v>
      </c>
      <c r="AM280">
        <f>VLOOKUP(Table29[[#This Row],[Shortname]], Comp[], 18, FALSE)</f>
        <v>0</v>
      </c>
      <c r="AN280">
        <f>VLOOKUP(Table29[[#This Row],[Shortname]], Comp[], 19, FALSE)</f>
        <v>0.04</v>
      </c>
      <c r="AO280">
        <f>VLOOKUP(Table29[[#This Row],[Shortname]], Comp[], 20, FALSE)</f>
        <v>0</v>
      </c>
      <c r="AP280">
        <f>VLOOKUP(Table29[[#This Row],[Shortname]], Comp[], 21, FALSE)</f>
        <v>0</v>
      </c>
      <c r="AQ280">
        <f>VLOOKUP(Table29[[#This Row],[Shortname]], Comp[], 22, FALSE)</f>
        <v>0</v>
      </c>
      <c r="AR280">
        <f>VLOOKUP(Table29[[#This Row],[Shortname]], Comp[], 23, FALSE)</f>
        <v>0</v>
      </c>
      <c r="AS280">
        <f>VLOOKUP(Table29[[#This Row],[Shortname]], Comp[], 24, FALSE)</f>
        <v>0</v>
      </c>
      <c r="AT280">
        <f>VLOOKUP(Table29[[#This Row],[Shortname]], Comp[], 25, FALSE)</f>
        <v>0</v>
      </c>
      <c r="AU280">
        <f>VLOOKUP(Table29[[#This Row],[Shortname]], Comp[], 26, FALSE)</f>
        <v>0</v>
      </c>
      <c r="AV280">
        <f>VLOOKUP(Table29[[#This Row],[Shortname]], Comp[], 27, FALSE)</f>
        <v>0</v>
      </c>
      <c r="AW280">
        <f>VLOOKUP(Table29[[#This Row],[Shortname]], Comp[], 28, FALSE)</f>
        <v>0</v>
      </c>
      <c r="AX280">
        <f>VLOOKUP(Table29[[#This Row],[Shortname]], Comp[], 29, FALSE)</f>
        <v>0</v>
      </c>
      <c r="AY280">
        <f>VLOOKUP(Table29[[#This Row],[Shortname]], Comp[], 30, FALSE)</f>
        <v>0</v>
      </c>
      <c r="AZ280">
        <f>VLOOKUP(Table29[[#This Row],[Shortname]], Comp[], 31, FALSE)</f>
        <v>0</v>
      </c>
    </row>
    <row r="281" spans="1:52" x14ac:dyDescent="0.3">
      <c r="A281" t="s">
        <v>3099</v>
      </c>
      <c r="B281">
        <v>273</v>
      </c>
      <c r="C281">
        <v>428</v>
      </c>
      <c r="D281" t="s">
        <v>3100</v>
      </c>
      <c r="E281" t="s">
        <v>160</v>
      </c>
      <c r="F281" t="s">
        <v>3101</v>
      </c>
      <c r="G281" t="s">
        <v>3102</v>
      </c>
      <c r="H281">
        <v>248</v>
      </c>
      <c r="I281">
        <v>9.9999999999999995E-8</v>
      </c>
      <c r="J281">
        <f>0.01/Table29[[#This Row],[Strain Rate (min) /s]]</f>
        <v>100000</v>
      </c>
      <c r="K281">
        <f>LOG(Table29[[#This Row],[Time to 1% strain (s)]])</f>
        <v>5</v>
      </c>
      <c r="L281">
        <v>982</v>
      </c>
      <c r="P281" t="s">
        <v>7181</v>
      </c>
      <c r="Q281">
        <v>1340</v>
      </c>
      <c r="R281">
        <v>48</v>
      </c>
      <c r="S281">
        <v>1000</v>
      </c>
      <c r="T281">
        <v>24</v>
      </c>
      <c r="W281">
        <v>-1</v>
      </c>
      <c r="X281">
        <v>1</v>
      </c>
      <c r="Y281">
        <v>70</v>
      </c>
      <c r="Z281" t="s">
        <v>7264</v>
      </c>
      <c r="AA281">
        <f>VLOOKUP(Table29[[#This Row],[Shortname]], Comp[], 6, FALSE)</f>
        <v>428</v>
      </c>
      <c r="AB281" s="14">
        <f>VLOOKUP(Table29[[#This Row],[Shortname]], Comp[], 7, FALSE)</f>
        <v>78.3</v>
      </c>
      <c r="AC281">
        <f>VLOOKUP(Table29[[#This Row],[Shortname]], Comp[], 8, FALSE)</f>
        <v>0</v>
      </c>
      <c r="AD281">
        <f>VLOOKUP(Table29[[#This Row],[Shortname]], Comp[], 9, FALSE)</f>
        <v>10.7</v>
      </c>
      <c r="AE281">
        <f>VLOOKUP(Table29[[#This Row],[Shortname]], Comp[], 10, FALSE)</f>
        <v>0</v>
      </c>
      <c r="AF281">
        <f>VLOOKUP(Table29[[#This Row],[Shortname]], Comp[], 11, FALSE)</f>
        <v>8.1999999999999993</v>
      </c>
      <c r="AG281">
        <f>VLOOKUP(Table29[[#This Row],[Shortname]], Comp[],12, FALSE)</f>
        <v>1.6</v>
      </c>
      <c r="AH281">
        <f>VLOOKUP(Table29[[#This Row],[Shortname]], Comp[], 13, FALSE)</f>
        <v>1.2</v>
      </c>
      <c r="AI281">
        <f>VLOOKUP(Table29[[#This Row],[Shortname]], Comp[], 14, FALSE)</f>
        <v>0</v>
      </c>
      <c r="AJ281">
        <f>VLOOKUP(Table29[[#This Row],[Shortname]], Comp[], 15, FALSE)</f>
        <v>0</v>
      </c>
      <c r="AK281">
        <f>VLOOKUP(Table29[[#This Row],[Shortname]], Comp[], 16, FALSE)</f>
        <v>0</v>
      </c>
      <c r="AL281">
        <f>VLOOKUP(Table29[[#This Row],[Shortname]], Comp[], 17, FALSE)</f>
        <v>0</v>
      </c>
      <c r="AM281">
        <f>VLOOKUP(Table29[[#This Row],[Shortname]], Comp[], 18, FALSE)</f>
        <v>0</v>
      </c>
      <c r="AN281">
        <f>VLOOKUP(Table29[[#This Row],[Shortname]], Comp[], 19, FALSE)</f>
        <v>0</v>
      </c>
      <c r="AO281">
        <f>VLOOKUP(Table29[[#This Row],[Shortname]], Comp[], 20, FALSE)</f>
        <v>0</v>
      </c>
      <c r="AP281">
        <f>VLOOKUP(Table29[[#This Row],[Shortname]], Comp[], 21, FALSE)</f>
        <v>0</v>
      </c>
      <c r="AQ281">
        <f>VLOOKUP(Table29[[#This Row],[Shortname]], Comp[], 22, FALSE)</f>
        <v>0</v>
      </c>
      <c r="AR281">
        <f>VLOOKUP(Table29[[#This Row],[Shortname]], Comp[], 23, FALSE)</f>
        <v>0</v>
      </c>
      <c r="AS281">
        <f>VLOOKUP(Table29[[#This Row],[Shortname]], Comp[], 24, FALSE)</f>
        <v>0</v>
      </c>
      <c r="AT281">
        <f>VLOOKUP(Table29[[#This Row],[Shortname]], Comp[], 25, FALSE)</f>
        <v>0</v>
      </c>
      <c r="AU281">
        <f>VLOOKUP(Table29[[#This Row],[Shortname]], Comp[], 26, FALSE)</f>
        <v>0</v>
      </c>
      <c r="AV281">
        <f>VLOOKUP(Table29[[#This Row],[Shortname]], Comp[], 27, FALSE)</f>
        <v>0</v>
      </c>
      <c r="AW281">
        <f>VLOOKUP(Table29[[#This Row],[Shortname]], Comp[], 28, FALSE)</f>
        <v>0</v>
      </c>
      <c r="AX281">
        <f>VLOOKUP(Table29[[#This Row],[Shortname]], Comp[], 29, FALSE)</f>
        <v>0</v>
      </c>
      <c r="AY281">
        <f>VLOOKUP(Table29[[#This Row],[Shortname]], Comp[], 30, FALSE)</f>
        <v>0</v>
      </c>
      <c r="AZ281">
        <f>VLOOKUP(Table29[[#This Row],[Shortname]], Comp[], 31, FALSE)</f>
        <v>0</v>
      </c>
    </row>
    <row r="282" spans="1:52" x14ac:dyDescent="0.3">
      <c r="A282" t="s">
        <v>3482</v>
      </c>
      <c r="B282">
        <v>302</v>
      </c>
      <c r="C282">
        <v>499</v>
      </c>
      <c r="D282" t="s">
        <v>2858</v>
      </c>
      <c r="E282" t="s">
        <v>160</v>
      </c>
      <c r="F282" t="s">
        <v>3483</v>
      </c>
      <c r="G282" t="s">
        <v>3583</v>
      </c>
      <c r="H282">
        <v>310</v>
      </c>
      <c r="I282">
        <v>1.4E-8</v>
      </c>
      <c r="J282">
        <f>0.01/Table29[[#This Row],[Strain Rate (min) /s]]</f>
        <v>714285.71428571432</v>
      </c>
      <c r="K282">
        <f>LOG(Table29[[#This Row],[Time to 1% strain (s)]])</f>
        <v>5.8538719643217618</v>
      </c>
      <c r="L282">
        <v>900</v>
      </c>
      <c r="O282">
        <v>2.2000000000000002</v>
      </c>
      <c r="P282" t="s">
        <v>7123</v>
      </c>
      <c r="Q282">
        <v>1300</v>
      </c>
      <c r="R282">
        <v>6</v>
      </c>
      <c r="S282">
        <v>900</v>
      </c>
      <c r="T282">
        <v>150</v>
      </c>
      <c r="W282">
        <v>-1</v>
      </c>
      <c r="X282">
        <v>1</v>
      </c>
      <c r="Y282">
        <v>43</v>
      </c>
      <c r="Z282" t="s">
        <v>7089</v>
      </c>
      <c r="AA282">
        <f>VLOOKUP(Table29[[#This Row],[Shortname]], Comp[], 6, FALSE)</f>
        <v>499</v>
      </c>
      <c r="AB282" s="14">
        <f>VLOOKUP(Table29[[#This Row],[Shortname]], Comp[], 7, FALSE)</f>
        <v>77.900000000000006</v>
      </c>
      <c r="AC282">
        <f>VLOOKUP(Table29[[#This Row],[Shortname]], Comp[], 8, FALSE)</f>
        <v>0</v>
      </c>
      <c r="AD282">
        <f>VLOOKUP(Table29[[#This Row],[Shortname]], Comp[], 9, FALSE)</f>
        <v>7.8</v>
      </c>
      <c r="AE282">
        <f>VLOOKUP(Table29[[#This Row],[Shortname]], Comp[], 10, FALSE)</f>
        <v>4.5</v>
      </c>
      <c r="AF282">
        <f>VLOOKUP(Table29[[#This Row],[Shortname]], Comp[], 11, FALSE)</f>
        <v>7.8</v>
      </c>
      <c r="AG282">
        <f>VLOOKUP(Table29[[#This Row],[Shortname]], Comp[],12, FALSE)</f>
        <v>0</v>
      </c>
      <c r="AH282">
        <f>VLOOKUP(Table29[[#This Row],[Shortname]], Comp[], 13, FALSE)</f>
        <v>2</v>
      </c>
      <c r="AI282">
        <f>VLOOKUP(Table29[[#This Row],[Shortname]], Comp[], 14, FALSE)</f>
        <v>0</v>
      </c>
      <c r="AJ282">
        <f>VLOOKUP(Table29[[#This Row],[Shortname]], Comp[], 15, FALSE)</f>
        <v>0</v>
      </c>
      <c r="AK282">
        <f>VLOOKUP(Table29[[#This Row],[Shortname]], Comp[], 16, FALSE)</f>
        <v>0</v>
      </c>
      <c r="AL282">
        <f>VLOOKUP(Table29[[#This Row],[Shortname]], Comp[], 17, FALSE)</f>
        <v>0</v>
      </c>
      <c r="AM282">
        <f>VLOOKUP(Table29[[#This Row],[Shortname]], Comp[], 18, FALSE)</f>
        <v>0</v>
      </c>
      <c r="AN282">
        <f>VLOOKUP(Table29[[#This Row],[Shortname]], Comp[], 19, FALSE)</f>
        <v>0</v>
      </c>
      <c r="AO282">
        <f>VLOOKUP(Table29[[#This Row],[Shortname]], Comp[], 20, FALSE)</f>
        <v>0</v>
      </c>
      <c r="AP282">
        <f>VLOOKUP(Table29[[#This Row],[Shortname]], Comp[], 21, FALSE)</f>
        <v>0</v>
      </c>
      <c r="AQ282">
        <f>VLOOKUP(Table29[[#This Row],[Shortname]], Comp[], 22, FALSE)</f>
        <v>0</v>
      </c>
      <c r="AR282">
        <f>VLOOKUP(Table29[[#This Row],[Shortname]], Comp[], 23, FALSE)</f>
        <v>0</v>
      </c>
      <c r="AS282">
        <f>VLOOKUP(Table29[[#This Row],[Shortname]], Comp[], 24, FALSE)</f>
        <v>0</v>
      </c>
      <c r="AT282">
        <f>VLOOKUP(Table29[[#This Row],[Shortname]], Comp[], 25, FALSE)</f>
        <v>0</v>
      </c>
      <c r="AU282">
        <f>VLOOKUP(Table29[[#This Row],[Shortname]], Comp[], 26, FALSE)</f>
        <v>0</v>
      </c>
      <c r="AV282">
        <f>VLOOKUP(Table29[[#This Row],[Shortname]], Comp[], 27, FALSE)</f>
        <v>0</v>
      </c>
      <c r="AW282">
        <f>VLOOKUP(Table29[[#This Row],[Shortname]], Comp[], 28, FALSE)</f>
        <v>0</v>
      </c>
      <c r="AX282">
        <f>VLOOKUP(Table29[[#This Row],[Shortname]], Comp[], 29, FALSE)</f>
        <v>0</v>
      </c>
      <c r="AY282">
        <f>VLOOKUP(Table29[[#This Row],[Shortname]], Comp[], 30, FALSE)</f>
        <v>0</v>
      </c>
      <c r="AZ282">
        <f>VLOOKUP(Table29[[#This Row],[Shortname]], Comp[], 31, FALSE)</f>
        <v>0</v>
      </c>
    </row>
    <row r="283" spans="1:52" x14ac:dyDescent="0.3">
      <c r="A283" t="s">
        <v>3482</v>
      </c>
      <c r="B283">
        <v>319</v>
      </c>
      <c r="C283">
        <v>499</v>
      </c>
      <c r="D283" t="s">
        <v>11</v>
      </c>
      <c r="E283" t="s">
        <v>160</v>
      </c>
      <c r="F283" t="s">
        <v>3483</v>
      </c>
      <c r="G283" t="s">
        <v>7261</v>
      </c>
      <c r="H283">
        <v>275</v>
      </c>
      <c r="I283">
        <v>4.0000000000000002E-9</v>
      </c>
      <c r="J283">
        <f>0.01/Table29[[#This Row],[Strain Rate (min) /s]]</f>
        <v>2500000</v>
      </c>
      <c r="K283">
        <f>LOG(Table29[[#This Row],[Time to 1% strain (s)]])</f>
        <v>6.3979400086720375</v>
      </c>
      <c r="L283">
        <v>900</v>
      </c>
      <c r="P283" t="s">
        <v>7123</v>
      </c>
      <c r="Q283">
        <v>1300</v>
      </c>
      <c r="R283">
        <v>6</v>
      </c>
      <c r="S283">
        <v>900</v>
      </c>
      <c r="T283">
        <v>150</v>
      </c>
      <c r="W283">
        <v>-1</v>
      </c>
      <c r="X283">
        <v>1</v>
      </c>
      <c r="Y283">
        <v>43</v>
      </c>
      <c r="AA283">
        <f>VLOOKUP(Table29[[#This Row],[Shortname]], Comp[], 6, FALSE)</f>
        <v>499</v>
      </c>
      <c r="AB283" s="14">
        <f>VLOOKUP(Table29[[#This Row],[Shortname]], Comp[], 7, FALSE)</f>
        <v>77.900000000000006</v>
      </c>
      <c r="AC283">
        <f>VLOOKUP(Table29[[#This Row],[Shortname]], Comp[], 8, FALSE)</f>
        <v>0</v>
      </c>
      <c r="AD283">
        <f>VLOOKUP(Table29[[#This Row],[Shortname]], Comp[], 9, FALSE)</f>
        <v>7.8</v>
      </c>
      <c r="AE283">
        <f>VLOOKUP(Table29[[#This Row],[Shortname]], Comp[], 10, FALSE)</f>
        <v>4.5</v>
      </c>
      <c r="AF283">
        <f>VLOOKUP(Table29[[#This Row],[Shortname]], Comp[], 11, FALSE)</f>
        <v>7.8</v>
      </c>
      <c r="AG283">
        <f>VLOOKUP(Table29[[#This Row],[Shortname]], Comp[],12, FALSE)</f>
        <v>0</v>
      </c>
      <c r="AH283">
        <f>VLOOKUP(Table29[[#This Row],[Shortname]], Comp[], 13, FALSE)</f>
        <v>2</v>
      </c>
      <c r="AI283">
        <f>VLOOKUP(Table29[[#This Row],[Shortname]], Comp[], 14, FALSE)</f>
        <v>0</v>
      </c>
      <c r="AJ283">
        <f>VLOOKUP(Table29[[#This Row],[Shortname]], Comp[], 15, FALSE)</f>
        <v>0</v>
      </c>
      <c r="AK283">
        <f>VLOOKUP(Table29[[#This Row],[Shortname]], Comp[], 16, FALSE)</f>
        <v>0</v>
      </c>
      <c r="AL283">
        <f>VLOOKUP(Table29[[#This Row],[Shortname]], Comp[], 17, FALSE)</f>
        <v>0</v>
      </c>
      <c r="AM283">
        <f>VLOOKUP(Table29[[#This Row],[Shortname]], Comp[], 18, FALSE)</f>
        <v>0</v>
      </c>
      <c r="AN283">
        <f>VLOOKUP(Table29[[#This Row],[Shortname]], Comp[], 19, FALSE)</f>
        <v>0</v>
      </c>
      <c r="AO283">
        <f>VLOOKUP(Table29[[#This Row],[Shortname]], Comp[], 20, FALSE)</f>
        <v>0</v>
      </c>
      <c r="AP283">
        <f>VLOOKUP(Table29[[#This Row],[Shortname]], Comp[], 21, FALSE)</f>
        <v>0</v>
      </c>
      <c r="AQ283">
        <f>VLOOKUP(Table29[[#This Row],[Shortname]], Comp[], 22, FALSE)</f>
        <v>0</v>
      </c>
      <c r="AR283">
        <f>VLOOKUP(Table29[[#This Row],[Shortname]], Comp[], 23, FALSE)</f>
        <v>0</v>
      </c>
      <c r="AS283">
        <f>VLOOKUP(Table29[[#This Row],[Shortname]], Comp[], 24, FALSE)</f>
        <v>0</v>
      </c>
      <c r="AT283">
        <f>VLOOKUP(Table29[[#This Row],[Shortname]], Comp[], 25, FALSE)</f>
        <v>0</v>
      </c>
      <c r="AU283">
        <f>VLOOKUP(Table29[[#This Row],[Shortname]], Comp[], 26, FALSE)</f>
        <v>0</v>
      </c>
      <c r="AV283">
        <f>VLOOKUP(Table29[[#This Row],[Shortname]], Comp[], 27, FALSE)</f>
        <v>0</v>
      </c>
      <c r="AW283">
        <f>VLOOKUP(Table29[[#This Row],[Shortname]], Comp[], 28, FALSE)</f>
        <v>0</v>
      </c>
      <c r="AX283">
        <f>VLOOKUP(Table29[[#This Row],[Shortname]], Comp[], 29, FALSE)</f>
        <v>0</v>
      </c>
      <c r="AY283">
        <f>VLOOKUP(Table29[[#This Row],[Shortname]], Comp[], 30, FALSE)</f>
        <v>0</v>
      </c>
      <c r="AZ283">
        <f>VLOOKUP(Table29[[#This Row],[Shortname]], Comp[], 31, FALSE)</f>
        <v>0</v>
      </c>
    </row>
    <row r="284" spans="1:52" x14ac:dyDescent="0.3">
      <c r="A284" t="s">
        <v>1348</v>
      </c>
      <c r="B284">
        <v>296</v>
      </c>
      <c r="C284">
        <v>170</v>
      </c>
      <c r="D284" t="s">
        <v>1349</v>
      </c>
      <c r="E284" t="s">
        <v>95</v>
      </c>
      <c r="F284" t="s">
        <v>3515</v>
      </c>
      <c r="G284" t="s">
        <v>3530</v>
      </c>
      <c r="H284">
        <v>137</v>
      </c>
      <c r="I284">
        <v>1.14E-8</v>
      </c>
      <c r="J284">
        <f>0.01/Table29[[#This Row],[Strain Rate (min) /s]]</f>
        <v>877192.98245614045</v>
      </c>
      <c r="K284">
        <f>LOG(Table29[[#This Row],[Time to 1% strain (s)]])</f>
        <v>5.9430951486635273</v>
      </c>
      <c r="L284">
        <v>1000</v>
      </c>
      <c r="O284">
        <v>14.3</v>
      </c>
      <c r="P284" t="s">
        <v>7124</v>
      </c>
      <c r="Q284">
        <v>1250</v>
      </c>
      <c r="R284">
        <v>4</v>
      </c>
      <c r="S284">
        <v>1000</v>
      </c>
      <c r="T284">
        <v>96</v>
      </c>
      <c r="W284">
        <v>-1</v>
      </c>
      <c r="X284">
        <v>1</v>
      </c>
      <c r="Y284">
        <v>85</v>
      </c>
      <c r="Z284" t="s">
        <v>7089</v>
      </c>
      <c r="AA284">
        <f>VLOOKUP(Table29[[#This Row],[Shortname]], Comp[], 6, FALSE)</f>
        <v>170</v>
      </c>
      <c r="AB284" s="14">
        <f>VLOOKUP(Table29[[#This Row],[Shortname]], Comp[], 7, FALSE)</f>
        <v>79</v>
      </c>
      <c r="AC284">
        <f>VLOOKUP(Table29[[#This Row],[Shortname]], Comp[], 8, FALSE)</f>
        <v>0</v>
      </c>
      <c r="AD284">
        <f>VLOOKUP(Table29[[#This Row],[Shortname]], Comp[], 9, FALSE)</f>
        <v>9</v>
      </c>
      <c r="AE284">
        <f>VLOOKUP(Table29[[#This Row],[Shortname]], Comp[], 10, FALSE)</f>
        <v>0</v>
      </c>
      <c r="AF284">
        <f>VLOOKUP(Table29[[#This Row],[Shortname]], Comp[], 11, FALSE)</f>
        <v>10</v>
      </c>
      <c r="AG284">
        <f>VLOOKUP(Table29[[#This Row],[Shortname]], Comp[],12, FALSE)</f>
        <v>0</v>
      </c>
      <c r="AH284">
        <f>VLOOKUP(Table29[[#This Row],[Shortname]], Comp[], 13, FALSE)</f>
        <v>2</v>
      </c>
      <c r="AI284">
        <f>VLOOKUP(Table29[[#This Row],[Shortname]], Comp[], 14, FALSE)</f>
        <v>0</v>
      </c>
      <c r="AJ284">
        <f>VLOOKUP(Table29[[#This Row],[Shortname]], Comp[], 15, FALSE)</f>
        <v>0</v>
      </c>
      <c r="AK284">
        <f>VLOOKUP(Table29[[#This Row],[Shortname]], Comp[], 16, FALSE)</f>
        <v>0</v>
      </c>
      <c r="AL284">
        <f>VLOOKUP(Table29[[#This Row],[Shortname]], Comp[], 17, FALSE)</f>
        <v>0</v>
      </c>
      <c r="AM284">
        <f>VLOOKUP(Table29[[#This Row],[Shortname]], Comp[], 18, FALSE)</f>
        <v>0</v>
      </c>
      <c r="AN284">
        <f>VLOOKUP(Table29[[#This Row],[Shortname]], Comp[], 19, FALSE)</f>
        <v>0</v>
      </c>
      <c r="AO284">
        <f>VLOOKUP(Table29[[#This Row],[Shortname]], Comp[], 20, FALSE)</f>
        <v>0</v>
      </c>
      <c r="AP284">
        <f>VLOOKUP(Table29[[#This Row],[Shortname]], Comp[], 21, FALSE)</f>
        <v>0</v>
      </c>
      <c r="AQ284">
        <f>VLOOKUP(Table29[[#This Row],[Shortname]], Comp[], 22, FALSE)</f>
        <v>0</v>
      </c>
      <c r="AR284">
        <f>VLOOKUP(Table29[[#This Row],[Shortname]], Comp[], 23, FALSE)</f>
        <v>0</v>
      </c>
      <c r="AS284">
        <f>VLOOKUP(Table29[[#This Row],[Shortname]], Comp[], 24, FALSE)</f>
        <v>0</v>
      </c>
      <c r="AT284">
        <f>VLOOKUP(Table29[[#This Row],[Shortname]], Comp[], 25, FALSE)</f>
        <v>0</v>
      </c>
      <c r="AU284">
        <f>VLOOKUP(Table29[[#This Row],[Shortname]], Comp[], 26, FALSE)</f>
        <v>0</v>
      </c>
      <c r="AV284">
        <f>VLOOKUP(Table29[[#This Row],[Shortname]], Comp[], 27, FALSE)</f>
        <v>0</v>
      </c>
      <c r="AW284">
        <f>VLOOKUP(Table29[[#This Row],[Shortname]], Comp[], 28, FALSE)</f>
        <v>0</v>
      </c>
      <c r="AX284">
        <f>VLOOKUP(Table29[[#This Row],[Shortname]], Comp[], 29, FALSE)</f>
        <v>0</v>
      </c>
      <c r="AY284">
        <f>VLOOKUP(Table29[[#This Row],[Shortname]], Comp[], 30, FALSE)</f>
        <v>0</v>
      </c>
      <c r="AZ284">
        <f>VLOOKUP(Table29[[#This Row],[Shortname]], Comp[], 31, FALSE)</f>
        <v>0</v>
      </c>
    </row>
    <row r="285" spans="1:52" x14ac:dyDescent="0.3">
      <c r="A285" t="s">
        <v>1376</v>
      </c>
      <c r="B285">
        <v>297</v>
      </c>
      <c r="C285">
        <v>174</v>
      </c>
      <c r="D285" t="s">
        <v>1327</v>
      </c>
      <c r="E285" t="s">
        <v>95</v>
      </c>
      <c r="F285" t="s">
        <v>3520</v>
      </c>
      <c r="G285" t="s">
        <v>3530</v>
      </c>
      <c r="H285">
        <v>137</v>
      </c>
      <c r="I285">
        <v>2.2600000000000001E-8</v>
      </c>
      <c r="J285">
        <f>0.01/Table29[[#This Row],[Strain Rate (min) /s]]</f>
        <v>442477.87610619469</v>
      </c>
      <c r="K285">
        <f>LOG(Table29[[#This Row],[Time to 1% strain (s)]])</f>
        <v>5.6458915608525988</v>
      </c>
      <c r="L285">
        <v>1000</v>
      </c>
      <c r="O285">
        <v>17.2</v>
      </c>
      <c r="P285" t="s">
        <v>7125</v>
      </c>
      <c r="Q285">
        <v>1250</v>
      </c>
      <c r="R285">
        <v>4</v>
      </c>
      <c r="S285">
        <v>1000</v>
      </c>
      <c r="T285">
        <v>96</v>
      </c>
      <c r="W285">
        <v>-1</v>
      </c>
      <c r="X285">
        <v>1</v>
      </c>
      <c r="Y285">
        <v>50</v>
      </c>
      <c r="Z285" t="s">
        <v>7089</v>
      </c>
      <c r="AA285">
        <f>VLOOKUP(Table29[[#This Row],[Shortname]], Comp[], 6, FALSE)</f>
        <v>174</v>
      </c>
      <c r="AB285" s="14">
        <f>VLOOKUP(Table29[[#This Row],[Shortname]], Comp[], 7, FALSE)</f>
        <v>81</v>
      </c>
      <c r="AC285">
        <f>VLOOKUP(Table29[[#This Row],[Shortname]], Comp[], 8, FALSE)</f>
        <v>0</v>
      </c>
      <c r="AD285">
        <f>VLOOKUP(Table29[[#This Row],[Shortname]], Comp[], 9, FALSE)</f>
        <v>9</v>
      </c>
      <c r="AE285">
        <f>VLOOKUP(Table29[[#This Row],[Shortname]], Comp[], 10, FALSE)</f>
        <v>0</v>
      </c>
      <c r="AF285">
        <f>VLOOKUP(Table29[[#This Row],[Shortname]], Comp[], 11, FALSE)</f>
        <v>8</v>
      </c>
      <c r="AG285">
        <f>VLOOKUP(Table29[[#This Row],[Shortname]], Comp[],12, FALSE)</f>
        <v>0</v>
      </c>
      <c r="AH285">
        <f>VLOOKUP(Table29[[#This Row],[Shortname]], Comp[], 13, FALSE)</f>
        <v>2</v>
      </c>
      <c r="AI285">
        <f>VLOOKUP(Table29[[#This Row],[Shortname]], Comp[], 14, FALSE)</f>
        <v>0</v>
      </c>
      <c r="AJ285">
        <f>VLOOKUP(Table29[[#This Row],[Shortname]], Comp[], 15, FALSE)</f>
        <v>0</v>
      </c>
      <c r="AK285">
        <f>VLOOKUP(Table29[[#This Row],[Shortname]], Comp[], 16, FALSE)</f>
        <v>0</v>
      </c>
      <c r="AL285">
        <f>VLOOKUP(Table29[[#This Row],[Shortname]], Comp[], 17, FALSE)</f>
        <v>0</v>
      </c>
      <c r="AM285">
        <f>VLOOKUP(Table29[[#This Row],[Shortname]], Comp[], 18, FALSE)</f>
        <v>0</v>
      </c>
      <c r="AN285">
        <f>VLOOKUP(Table29[[#This Row],[Shortname]], Comp[], 19, FALSE)</f>
        <v>0</v>
      </c>
      <c r="AO285">
        <f>VLOOKUP(Table29[[#This Row],[Shortname]], Comp[], 20, FALSE)</f>
        <v>0</v>
      </c>
      <c r="AP285">
        <f>VLOOKUP(Table29[[#This Row],[Shortname]], Comp[], 21, FALSE)</f>
        <v>0</v>
      </c>
      <c r="AQ285">
        <f>VLOOKUP(Table29[[#This Row],[Shortname]], Comp[], 22, FALSE)</f>
        <v>0</v>
      </c>
      <c r="AR285">
        <f>VLOOKUP(Table29[[#This Row],[Shortname]], Comp[], 23, FALSE)</f>
        <v>0</v>
      </c>
      <c r="AS285">
        <f>VLOOKUP(Table29[[#This Row],[Shortname]], Comp[], 24, FALSE)</f>
        <v>0</v>
      </c>
      <c r="AT285">
        <f>VLOOKUP(Table29[[#This Row],[Shortname]], Comp[], 25, FALSE)</f>
        <v>0</v>
      </c>
      <c r="AU285">
        <f>VLOOKUP(Table29[[#This Row],[Shortname]], Comp[], 26, FALSE)</f>
        <v>0</v>
      </c>
      <c r="AV285">
        <f>VLOOKUP(Table29[[#This Row],[Shortname]], Comp[], 27, FALSE)</f>
        <v>0</v>
      </c>
      <c r="AW285">
        <f>VLOOKUP(Table29[[#This Row],[Shortname]], Comp[], 28, FALSE)</f>
        <v>0</v>
      </c>
      <c r="AX285">
        <f>VLOOKUP(Table29[[#This Row],[Shortname]], Comp[], 29, FALSE)</f>
        <v>0</v>
      </c>
      <c r="AY285">
        <f>VLOOKUP(Table29[[#This Row],[Shortname]], Comp[], 30, FALSE)</f>
        <v>0</v>
      </c>
      <c r="AZ285">
        <f>VLOOKUP(Table29[[#This Row],[Shortname]], Comp[], 31, FALSE)</f>
        <v>0</v>
      </c>
    </row>
    <row r="286" spans="1:52" x14ac:dyDescent="0.3">
      <c r="A286" t="s">
        <v>3523</v>
      </c>
      <c r="B286">
        <v>298</v>
      </c>
      <c r="C286">
        <v>509</v>
      </c>
      <c r="D286" t="s">
        <v>3524</v>
      </c>
      <c r="E286" t="s">
        <v>160</v>
      </c>
      <c r="F286" t="s">
        <v>3525</v>
      </c>
      <c r="G286" t="s">
        <v>3530</v>
      </c>
      <c r="H286">
        <v>137</v>
      </c>
      <c r="I286">
        <v>2.92E-8</v>
      </c>
      <c r="J286">
        <f>0.01/Table29[[#This Row],[Strain Rate (min) /s]]</f>
        <v>342465.75342465757</v>
      </c>
      <c r="K286">
        <f>LOG(Table29[[#This Row],[Time to 1% strain (s)]])</f>
        <v>5.5346171485515816</v>
      </c>
      <c r="L286">
        <v>1000</v>
      </c>
      <c r="O286">
        <v>21.5</v>
      </c>
      <c r="P286" t="s">
        <v>7126</v>
      </c>
      <c r="Q286">
        <v>1250</v>
      </c>
      <c r="R286">
        <v>4</v>
      </c>
      <c r="S286">
        <v>1000</v>
      </c>
      <c r="T286">
        <v>96</v>
      </c>
      <c r="W286">
        <v>-1</v>
      </c>
      <c r="X286">
        <v>1</v>
      </c>
      <c r="Y286">
        <v>43</v>
      </c>
      <c r="Z286" t="s">
        <v>7089</v>
      </c>
      <c r="AA286">
        <f>VLOOKUP(Table29[[#This Row],[Shortname]], Comp[], 6, FALSE)</f>
        <v>509</v>
      </c>
      <c r="AB286" s="14">
        <f>VLOOKUP(Table29[[#This Row],[Shortname]], Comp[], 7, FALSE)</f>
        <v>62</v>
      </c>
      <c r="AC286">
        <f>VLOOKUP(Table29[[#This Row],[Shortname]], Comp[], 8, FALSE)</f>
        <v>20</v>
      </c>
      <c r="AD286">
        <f>VLOOKUP(Table29[[#This Row],[Shortname]], Comp[], 9, FALSE)</f>
        <v>9</v>
      </c>
      <c r="AE286">
        <f>VLOOKUP(Table29[[#This Row],[Shortname]], Comp[], 10, FALSE)</f>
        <v>0</v>
      </c>
      <c r="AF286">
        <f>VLOOKUP(Table29[[#This Row],[Shortname]], Comp[], 11, FALSE)</f>
        <v>7</v>
      </c>
      <c r="AG286">
        <f>VLOOKUP(Table29[[#This Row],[Shortname]], Comp[],12, FALSE)</f>
        <v>0</v>
      </c>
      <c r="AH286">
        <f>VLOOKUP(Table29[[#This Row],[Shortname]], Comp[], 13, FALSE)</f>
        <v>2</v>
      </c>
      <c r="AI286">
        <f>VLOOKUP(Table29[[#This Row],[Shortname]], Comp[], 14, FALSE)</f>
        <v>0</v>
      </c>
      <c r="AJ286">
        <f>VLOOKUP(Table29[[#This Row],[Shortname]], Comp[], 15, FALSE)</f>
        <v>0</v>
      </c>
      <c r="AK286">
        <f>VLOOKUP(Table29[[#This Row],[Shortname]], Comp[], 16, FALSE)</f>
        <v>0</v>
      </c>
      <c r="AL286">
        <f>VLOOKUP(Table29[[#This Row],[Shortname]], Comp[], 17, FALSE)</f>
        <v>0</v>
      </c>
      <c r="AM286">
        <f>VLOOKUP(Table29[[#This Row],[Shortname]], Comp[], 18, FALSE)</f>
        <v>0</v>
      </c>
      <c r="AN286">
        <f>VLOOKUP(Table29[[#This Row],[Shortname]], Comp[], 19, FALSE)</f>
        <v>0</v>
      </c>
      <c r="AO286">
        <f>VLOOKUP(Table29[[#This Row],[Shortname]], Comp[], 20, FALSE)</f>
        <v>0</v>
      </c>
      <c r="AP286">
        <f>VLOOKUP(Table29[[#This Row],[Shortname]], Comp[], 21, FALSE)</f>
        <v>0</v>
      </c>
      <c r="AQ286">
        <f>VLOOKUP(Table29[[#This Row],[Shortname]], Comp[], 22, FALSE)</f>
        <v>0</v>
      </c>
      <c r="AR286">
        <f>VLOOKUP(Table29[[#This Row],[Shortname]], Comp[], 23, FALSE)</f>
        <v>0</v>
      </c>
      <c r="AS286">
        <f>VLOOKUP(Table29[[#This Row],[Shortname]], Comp[], 24, FALSE)</f>
        <v>0</v>
      </c>
      <c r="AT286">
        <f>VLOOKUP(Table29[[#This Row],[Shortname]], Comp[], 25, FALSE)</f>
        <v>0</v>
      </c>
      <c r="AU286">
        <f>VLOOKUP(Table29[[#This Row],[Shortname]], Comp[], 26, FALSE)</f>
        <v>0</v>
      </c>
      <c r="AV286">
        <f>VLOOKUP(Table29[[#This Row],[Shortname]], Comp[], 27, FALSE)</f>
        <v>0</v>
      </c>
      <c r="AW286">
        <f>VLOOKUP(Table29[[#This Row],[Shortname]], Comp[], 28, FALSE)</f>
        <v>0</v>
      </c>
      <c r="AX286">
        <f>VLOOKUP(Table29[[#This Row],[Shortname]], Comp[], 29, FALSE)</f>
        <v>0</v>
      </c>
      <c r="AY286">
        <f>VLOOKUP(Table29[[#This Row],[Shortname]], Comp[], 30, FALSE)</f>
        <v>0</v>
      </c>
      <c r="AZ286">
        <f>VLOOKUP(Table29[[#This Row],[Shortname]], Comp[], 31, FALSE)</f>
        <v>0</v>
      </c>
    </row>
    <row r="287" spans="1:52" x14ac:dyDescent="0.3">
      <c r="A287" t="s">
        <v>3580</v>
      </c>
      <c r="B287">
        <v>303</v>
      </c>
      <c r="C287">
        <v>522</v>
      </c>
      <c r="D287" t="s">
        <v>3581</v>
      </c>
      <c r="E287" t="s">
        <v>160</v>
      </c>
      <c r="F287" t="s">
        <v>3582</v>
      </c>
      <c r="G287" t="s">
        <v>3583</v>
      </c>
      <c r="H287">
        <v>275</v>
      </c>
      <c r="I287">
        <v>1E-8</v>
      </c>
      <c r="J287">
        <f>0.01/Table29[[#This Row],[Strain Rate (min) /s]]</f>
        <v>1000000</v>
      </c>
      <c r="K287">
        <f>LOG(Table29[[#This Row],[Time to 1% strain (s)]])</f>
        <v>6</v>
      </c>
      <c r="L287">
        <v>900</v>
      </c>
      <c r="O287">
        <v>2.1</v>
      </c>
      <c r="P287" t="s">
        <v>7127</v>
      </c>
      <c r="Q287">
        <v>1230</v>
      </c>
      <c r="R287">
        <v>12</v>
      </c>
      <c r="S287">
        <v>950</v>
      </c>
      <c r="T287">
        <v>100</v>
      </c>
      <c r="W287">
        <v>-1</v>
      </c>
      <c r="X287">
        <v>1</v>
      </c>
      <c r="Y287">
        <v>70</v>
      </c>
      <c r="Z287" t="s">
        <v>7265</v>
      </c>
      <c r="AA287">
        <f>VLOOKUP(Table29[[#This Row],[Shortname]], Comp[], 6, FALSE)</f>
        <v>522</v>
      </c>
      <c r="AB287" s="14">
        <f>VLOOKUP(Table29[[#This Row],[Shortname]], Comp[], 7, FALSE)</f>
        <v>38.000000000000007</v>
      </c>
      <c r="AC287">
        <f>VLOOKUP(Table29[[#This Row],[Shortname]], Comp[], 8, FALSE)</f>
        <v>38</v>
      </c>
      <c r="AD287">
        <f>VLOOKUP(Table29[[#This Row],[Shortname]], Comp[], 9, FALSE)</f>
        <v>9.3000000000000007</v>
      </c>
      <c r="AE287">
        <f>VLOOKUP(Table29[[#This Row],[Shortname]], Comp[], 10, FALSE)</f>
        <v>6.4</v>
      </c>
      <c r="AF287">
        <f>VLOOKUP(Table29[[#This Row],[Shortname]], Comp[], 11, FALSE)</f>
        <v>6.9</v>
      </c>
      <c r="AG287">
        <f>VLOOKUP(Table29[[#This Row],[Shortname]], Comp[],12, FALSE)</f>
        <v>0</v>
      </c>
      <c r="AH287">
        <f>VLOOKUP(Table29[[#This Row],[Shortname]], Comp[], 13, FALSE)</f>
        <v>1.4</v>
      </c>
      <c r="AI287">
        <f>VLOOKUP(Table29[[#This Row],[Shortname]], Comp[], 14, FALSE)</f>
        <v>0</v>
      </c>
      <c r="AJ287">
        <f>VLOOKUP(Table29[[#This Row],[Shortname]], Comp[], 15, FALSE)</f>
        <v>0</v>
      </c>
      <c r="AK287">
        <f>VLOOKUP(Table29[[#This Row],[Shortname]], Comp[], 16, FALSE)</f>
        <v>0</v>
      </c>
      <c r="AL287">
        <f>VLOOKUP(Table29[[#This Row],[Shortname]], Comp[], 17, FALSE)</f>
        <v>0</v>
      </c>
      <c r="AM287">
        <f>VLOOKUP(Table29[[#This Row],[Shortname]], Comp[], 18, FALSE)</f>
        <v>0</v>
      </c>
      <c r="AN287">
        <f>VLOOKUP(Table29[[#This Row],[Shortname]], Comp[], 19, FALSE)</f>
        <v>0</v>
      </c>
      <c r="AO287">
        <f>VLOOKUP(Table29[[#This Row],[Shortname]], Comp[], 20, FALSE)</f>
        <v>0</v>
      </c>
      <c r="AP287">
        <f>VLOOKUP(Table29[[#This Row],[Shortname]], Comp[], 21, FALSE)</f>
        <v>0</v>
      </c>
      <c r="AQ287">
        <f>VLOOKUP(Table29[[#This Row],[Shortname]], Comp[], 22, FALSE)</f>
        <v>0</v>
      </c>
      <c r="AR287">
        <f>VLOOKUP(Table29[[#This Row],[Shortname]], Comp[], 23, FALSE)</f>
        <v>0</v>
      </c>
      <c r="AS287">
        <f>VLOOKUP(Table29[[#This Row],[Shortname]], Comp[], 24, FALSE)</f>
        <v>0</v>
      </c>
      <c r="AT287">
        <f>VLOOKUP(Table29[[#This Row],[Shortname]], Comp[], 25, FALSE)</f>
        <v>0</v>
      </c>
      <c r="AU287">
        <f>VLOOKUP(Table29[[#This Row],[Shortname]], Comp[], 26, FALSE)</f>
        <v>0</v>
      </c>
      <c r="AV287">
        <f>VLOOKUP(Table29[[#This Row],[Shortname]], Comp[], 27, FALSE)</f>
        <v>0</v>
      </c>
      <c r="AW287">
        <f>VLOOKUP(Table29[[#This Row],[Shortname]], Comp[], 28, FALSE)</f>
        <v>0</v>
      </c>
      <c r="AX287">
        <f>VLOOKUP(Table29[[#This Row],[Shortname]], Comp[], 29, FALSE)</f>
        <v>0</v>
      </c>
      <c r="AY287">
        <f>VLOOKUP(Table29[[#This Row],[Shortname]], Comp[], 30, FALSE)</f>
        <v>0</v>
      </c>
      <c r="AZ287">
        <f>VLOOKUP(Table29[[#This Row],[Shortname]], Comp[], 31, FALSE)</f>
        <v>0</v>
      </c>
    </row>
    <row r="288" spans="1:52" x14ac:dyDescent="0.3">
      <c r="A288" t="s">
        <v>3588</v>
      </c>
      <c r="B288">
        <v>307</v>
      </c>
      <c r="C288">
        <v>528</v>
      </c>
      <c r="D288" t="s">
        <v>3589</v>
      </c>
      <c r="E288" t="s">
        <v>160</v>
      </c>
      <c r="F288" t="s">
        <v>3590</v>
      </c>
      <c r="G288" t="s">
        <v>3591</v>
      </c>
      <c r="H288">
        <v>275</v>
      </c>
      <c r="I288">
        <v>1E-8</v>
      </c>
      <c r="J288">
        <f>0.01/Table29[[#This Row],[Strain Rate (min) /s]]</f>
        <v>1000000</v>
      </c>
      <c r="K288">
        <f>LOG(Table29[[#This Row],[Time to 1% strain (s)]])</f>
        <v>6</v>
      </c>
      <c r="L288">
        <v>900</v>
      </c>
      <c r="P288" t="s">
        <v>7128</v>
      </c>
      <c r="Q288">
        <v>1215</v>
      </c>
      <c r="R288">
        <v>12</v>
      </c>
      <c r="S288">
        <v>1000</v>
      </c>
      <c r="T288">
        <v>100</v>
      </c>
      <c r="W288">
        <v>-1</v>
      </c>
      <c r="X288">
        <v>1</v>
      </c>
      <c r="Y288">
        <v>50</v>
      </c>
      <c r="Z288" t="s">
        <v>7089</v>
      </c>
      <c r="AA288">
        <f>VLOOKUP(Table29[[#This Row],[Shortname]], Comp[], 6, FALSE)</f>
        <v>528</v>
      </c>
      <c r="AB288" s="14">
        <f>VLOOKUP(Table29[[#This Row],[Shortname]], Comp[], 7, FALSE)</f>
        <v>41.5</v>
      </c>
      <c r="AC288">
        <f>VLOOKUP(Table29[[#This Row],[Shortname]], Comp[], 8, FALSE)</f>
        <v>38</v>
      </c>
      <c r="AD288">
        <f>VLOOKUP(Table29[[#This Row],[Shortname]], Comp[], 9, FALSE)</f>
        <v>11.2</v>
      </c>
      <c r="AE288">
        <f>VLOOKUP(Table29[[#This Row],[Shortname]], Comp[], 10, FALSE)</f>
        <v>0</v>
      </c>
      <c r="AF288">
        <f>VLOOKUP(Table29[[#This Row],[Shortname]], Comp[], 11, FALSE)</f>
        <v>6.5</v>
      </c>
      <c r="AG288">
        <f>VLOOKUP(Table29[[#This Row],[Shortname]], Comp[],12, FALSE)</f>
        <v>0</v>
      </c>
      <c r="AH288">
        <f>VLOOKUP(Table29[[#This Row],[Shortname]], Comp[], 13, FALSE)</f>
        <v>2.8</v>
      </c>
      <c r="AI288">
        <f>VLOOKUP(Table29[[#This Row],[Shortname]], Comp[], 14, FALSE)</f>
        <v>0</v>
      </c>
      <c r="AJ288">
        <f>VLOOKUP(Table29[[#This Row],[Shortname]], Comp[], 15, FALSE)</f>
        <v>0</v>
      </c>
      <c r="AK288">
        <f>VLOOKUP(Table29[[#This Row],[Shortname]], Comp[], 16, FALSE)</f>
        <v>0</v>
      </c>
      <c r="AL288">
        <f>VLOOKUP(Table29[[#This Row],[Shortname]], Comp[], 17, FALSE)</f>
        <v>0</v>
      </c>
      <c r="AM288">
        <f>VLOOKUP(Table29[[#This Row],[Shortname]], Comp[], 18, FALSE)</f>
        <v>0</v>
      </c>
      <c r="AN288">
        <f>VLOOKUP(Table29[[#This Row],[Shortname]], Comp[], 19, FALSE)</f>
        <v>0</v>
      </c>
      <c r="AO288">
        <f>VLOOKUP(Table29[[#This Row],[Shortname]], Comp[], 20, FALSE)</f>
        <v>0</v>
      </c>
      <c r="AP288">
        <f>VLOOKUP(Table29[[#This Row],[Shortname]], Comp[], 21, FALSE)</f>
        <v>0</v>
      </c>
      <c r="AQ288">
        <f>VLOOKUP(Table29[[#This Row],[Shortname]], Comp[], 22, FALSE)</f>
        <v>0</v>
      </c>
      <c r="AR288">
        <f>VLOOKUP(Table29[[#This Row],[Shortname]], Comp[], 23, FALSE)</f>
        <v>0</v>
      </c>
      <c r="AS288">
        <f>VLOOKUP(Table29[[#This Row],[Shortname]], Comp[], 24, FALSE)</f>
        <v>0</v>
      </c>
      <c r="AT288">
        <f>VLOOKUP(Table29[[#This Row],[Shortname]], Comp[], 25, FALSE)</f>
        <v>0</v>
      </c>
      <c r="AU288">
        <f>VLOOKUP(Table29[[#This Row],[Shortname]], Comp[], 26, FALSE)</f>
        <v>0</v>
      </c>
      <c r="AV288">
        <f>VLOOKUP(Table29[[#This Row],[Shortname]], Comp[], 27, FALSE)</f>
        <v>0</v>
      </c>
      <c r="AW288">
        <f>VLOOKUP(Table29[[#This Row],[Shortname]], Comp[], 28, FALSE)</f>
        <v>0</v>
      </c>
      <c r="AX288">
        <f>VLOOKUP(Table29[[#This Row],[Shortname]], Comp[], 29, FALSE)</f>
        <v>0</v>
      </c>
      <c r="AY288">
        <f>VLOOKUP(Table29[[#This Row],[Shortname]], Comp[], 30, FALSE)</f>
        <v>0</v>
      </c>
      <c r="AZ288">
        <f>VLOOKUP(Table29[[#This Row],[Shortname]], Comp[], 31, FALSE)</f>
        <v>0</v>
      </c>
    </row>
    <row r="289" spans="1:52" x14ac:dyDescent="0.3">
      <c r="A289" t="s">
        <v>3616</v>
      </c>
      <c r="B289">
        <v>309</v>
      </c>
      <c r="C289">
        <v>532</v>
      </c>
      <c r="D289" t="s">
        <v>3581</v>
      </c>
      <c r="E289" t="s">
        <v>160</v>
      </c>
      <c r="F289" t="s">
        <v>3590</v>
      </c>
      <c r="G289" t="s">
        <v>3597</v>
      </c>
      <c r="H289">
        <v>310</v>
      </c>
      <c r="I289">
        <v>5.2000000000000002E-8</v>
      </c>
      <c r="J289">
        <f>0.01/Table29[[#This Row],[Strain Rate (min) /s]]</f>
        <v>192307.69230769231</v>
      </c>
      <c r="K289">
        <f>LOG(Table29[[#This Row],[Time to 1% strain (s)]])</f>
        <v>5.2839966563652006</v>
      </c>
      <c r="L289">
        <v>900</v>
      </c>
      <c r="P289" t="s">
        <v>7129</v>
      </c>
      <c r="Q289">
        <v>1215</v>
      </c>
      <c r="R289">
        <v>12</v>
      </c>
      <c r="S289">
        <v>950</v>
      </c>
      <c r="T289">
        <v>120</v>
      </c>
      <c r="W289">
        <v>-1</v>
      </c>
      <c r="X289">
        <v>1</v>
      </c>
      <c r="Y289">
        <v>50</v>
      </c>
      <c r="Z289" t="s">
        <v>7130</v>
      </c>
      <c r="AA289">
        <f>VLOOKUP(Table29[[#This Row],[Shortname]], Comp[], 6, FALSE)</f>
        <v>532</v>
      </c>
      <c r="AB289" s="14">
        <f>VLOOKUP(Table29[[#This Row],[Shortname]], Comp[], 7, FALSE)</f>
        <v>38.100000000000009</v>
      </c>
      <c r="AC289">
        <f>VLOOKUP(Table29[[#This Row],[Shortname]], Comp[], 8, FALSE)</f>
        <v>38</v>
      </c>
      <c r="AD289">
        <f>VLOOKUP(Table29[[#This Row],[Shortname]], Comp[], 9, FALSE)</f>
        <v>9.3000000000000007</v>
      </c>
      <c r="AE289">
        <f>VLOOKUP(Table29[[#This Row],[Shortname]], Comp[], 10, FALSE)</f>
        <v>6.3</v>
      </c>
      <c r="AF289">
        <f>VLOOKUP(Table29[[#This Row],[Shortname]], Comp[], 11, FALSE)</f>
        <v>6.9</v>
      </c>
      <c r="AG289">
        <f>VLOOKUP(Table29[[#This Row],[Shortname]], Comp[],12, FALSE)</f>
        <v>0</v>
      </c>
      <c r="AH289">
        <f>VLOOKUP(Table29[[#This Row],[Shortname]], Comp[], 13, FALSE)</f>
        <v>1.4</v>
      </c>
      <c r="AI289">
        <f>VLOOKUP(Table29[[#This Row],[Shortname]], Comp[], 14, FALSE)</f>
        <v>0</v>
      </c>
      <c r="AJ289">
        <f>VLOOKUP(Table29[[#This Row],[Shortname]], Comp[], 15, FALSE)</f>
        <v>0</v>
      </c>
      <c r="AK289">
        <f>VLOOKUP(Table29[[#This Row],[Shortname]], Comp[], 16, FALSE)</f>
        <v>0</v>
      </c>
      <c r="AL289">
        <f>VLOOKUP(Table29[[#This Row],[Shortname]], Comp[], 17, FALSE)</f>
        <v>0</v>
      </c>
      <c r="AM289">
        <f>VLOOKUP(Table29[[#This Row],[Shortname]], Comp[], 18, FALSE)</f>
        <v>0</v>
      </c>
      <c r="AN289">
        <f>VLOOKUP(Table29[[#This Row],[Shortname]], Comp[], 19, FALSE)</f>
        <v>0</v>
      </c>
      <c r="AO289">
        <f>VLOOKUP(Table29[[#This Row],[Shortname]], Comp[], 20, FALSE)</f>
        <v>0</v>
      </c>
      <c r="AP289">
        <f>VLOOKUP(Table29[[#This Row],[Shortname]], Comp[], 21, FALSE)</f>
        <v>0</v>
      </c>
      <c r="AQ289">
        <f>VLOOKUP(Table29[[#This Row],[Shortname]], Comp[], 22, FALSE)</f>
        <v>0</v>
      </c>
      <c r="AR289">
        <f>VLOOKUP(Table29[[#This Row],[Shortname]], Comp[], 23, FALSE)</f>
        <v>0</v>
      </c>
      <c r="AS289">
        <f>VLOOKUP(Table29[[#This Row],[Shortname]], Comp[], 24, FALSE)</f>
        <v>0</v>
      </c>
      <c r="AT289">
        <f>VLOOKUP(Table29[[#This Row],[Shortname]], Comp[], 25, FALSE)</f>
        <v>0</v>
      </c>
      <c r="AU289">
        <f>VLOOKUP(Table29[[#This Row],[Shortname]], Comp[], 26, FALSE)</f>
        <v>0</v>
      </c>
      <c r="AV289">
        <f>VLOOKUP(Table29[[#This Row],[Shortname]], Comp[], 27, FALSE)</f>
        <v>0</v>
      </c>
      <c r="AW289">
        <f>VLOOKUP(Table29[[#This Row],[Shortname]], Comp[], 28, FALSE)</f>
        <v>0</v>
      </c>
      <c r="AX289">
        <f>VLOOKUP(Table29[[#This Row],[Shortname]], Comp[], 29, FALSE)</f>
        <v>0</v>
      </c>
      <c r="AY289">
        <f>VLOOKUP(Table29[[#This Row],[Shortname]], Comp[], 30, FALSE)</f>
        <v>0</v>
      </c>
      <c r="AZ289">
        <f>VLOOKUP(Table29[[#This Row],[Shortname]], Comp[], 31, FALSE)</f>
        <v>0</v>
      </c>
    </row>
    <row r="290" spans="1:52" x14ac:dyDescent="0.3">
      <c r="A290" t="s">
        <v>3602</v>
      </c>
      <c r="B290">
        <v>310</v>
      </c>
      <c r="C290">
        <v>530</v>
      </c>
      <c r="D290" t="s">
        <v>1316</v>
      </c>
      <c r="E290" t="s">
        <v>160</v>
      </c>
      <c r="F290" t="s">
        <v>3603</v>
      </c>
      <c r="G290" t="s">
        <v>3597</v>
      </c>
      <c r="H290">
        <v>246</v>
      </c>
      <c r="I290">
        <v>4.7700000000000001E-10</v>
      </c>
      <c r="J290">
        <f>0.01/Table29[[#This Row],[Strain Rate (min) /s]]</f>
        <v>20964360.587002095</v>
      </c>
      <c r="K290">
        <f>LOG(Table29[[#This Row],[Time to 1% strain (s)]])</f>
        <v>7.3214816209598856</v>
      </c>
      <c r="L290">
        <v>900</v>
      </c>
      <c r="P290" t="s">
        <v>7088</v>
      </c>
      <c r="Q290">
        <v>1215</v>
      </c>
      <c r="R290">
        <v>12</v>
      </c>
      <c r="S290">
        <v>950</v>
      </c>
      <c r="T290">
        <v>120</v>
      </c>
      <c r="W290">
        <v>-1</v>
      </c>
      <c r="X290">
        <v>1</v>
      </c>
      <c r="Y290">
        <v>50</v>
      </c>
      <c r="AA290">
        <f>VLOOKUP(Table29[[#This Row],[Shortname]], Comp[], 6, FALSE)</f>
        <v>530</v>
      </c>
      <c r="AB290" s="14">
        <f>VLOOKUP(Table29[[#This Row],[Shortname]], Comp[], 7, FALSE)</f>
        <v>46.000000000000007</v>
      </c>
      <c r="AC290">
        <f>VLOOKUP(Table29[[#This Row],[Shortname]], Comp[], 8, FALSE)</f>
        <v>29.2</v>
      </c>
      <c r="AD290">
        <f>VLOOKUP(Table29[[#This Row],[Shortname]], Comp[], 9, FALSE)</f>
        <v>9.8000000000000007</v>
      </c>
      <c r="AE290">
        <f>VLOOKUP(Table29[[#This Row],[Shortname]], Comp[], 10, FALSE)</f>
        <v>6.3</v>
      </c>
      <c r="AF290">
        <f>VLOOKUP(Table29[[#This Row],[Shortname]], Comp[], 11, FALSE)</f>
        <v>6.3</v>
      </c>
      <c r="AG290">
        <f>VLOOKUP(Table29[[#This Row],[Shortname]], Comp[],12, FALSE)</f>
        <v>0</v>
      </c>
      <c r="AH290">
        <f>VLOOKUP(Table29[[#This Row],[Shortname]], Comp[], 13, FALSE)</f>
        <v>2.4</v>
      </c>
      <c r="AI290">
        <f>VLOOKUP(Table29[[#This Row],[Shortname]], Comp[], 14, FALSE)</f>
        <v>0</v>
      </c>
      <c r="AJ290">
        <f>VLOOKUP(Table29[[#This Row],[Shortname]], Comp[], 15, FALSE)</f>
        <v>0</v>
      </c>
      <c r="AK290">
        <f>VLOOKUP(Table29[[#This Row],[Shortname]], Comp[], 16, FALSE)</f>
        <v>0</v>
      </c>
      <c r="AL290">
        <f>VLOOKUP(Table29[[#This Row],[Shortname]], Comp[], 17, FALSE)</f>
        <v>0</v>
      </c>
      <c r="AM290">
        <f>VLOOKUP(Table29[[#This Row],[Shortname]], Comp[], 18, FALSE)</f>
        <v>0</v>
      </c>
      <c r="AN290">
        <f>VLOOKUP(Table29[[#This Row],[Shortname]], Comp[], 19, FALSE)</f>
        <v>0</v>
      </c>
      <c r="AO290">
        <f>VLOOKUP(Table29[[#This Row],[Shortname]], Comp[], 20, FALSE)</f>
        <v>0</v>
      </c>
      <c r="AP290">
        <f>VLOOKUP(Table29[[#This Row],[Shortname]], Comp[], 21, FALSE)</f>
        <v>0</v>
      </c>
      <c r="AQ290">
        <f>VLOOKUP(Table29[[#This Row],[Shortname]], Comp[], 22, FALSE)</f>
        <v>0</v>
      </c>
      <c r="AR290">
        <f>VLOOKUP(Table29[[#This Row],[Shortname]], Comp[], 23, FALSE)</f>
        <v>0</v>
      </c>
      <c r="AS290">
        <f>VLOOKUP(Table29[[#This Row],[Shortname]], Comp[], 24, FALSE)</f>
        <v>0</v>
      </c>
      <c r="AT290">
        <f>VLOOKUP(Table29[[#This Row],[Shortname]], Comp[], 25, FALSE)</f>
        <v>0</v>
      </c>
      <c r="AU290">
        <f>VLOOKUP(Table29[[#This Row],[Shortname]], Comp[], 26, FALSE)</f>
        <v>0</v>
      </c>
      <c r="AV290">
        <f>VLOOKUP(Table29[[#This Row],[Shortname]], Comp[], 27, FALSE)</f>
        <v>0</v>
      </c>
      <c r="AW290">
        <f>VLOOKUP(Table29[[#This Row],[Shortname]], Comp[], 28, FALSE)</f>
        <v>0</v>
      </c>
      <c r="AX290">
        <f>VLOOKUP(Table29[[#This Row],[Shortname]], Comp[], 29, FALSE)</f>
        <v>0</v>
      </c>
      <c r="AY290">
        <f>VLOOKUP(Table29[[#This Row],[Shortname]], Comp[], 30, FALSE)</f>
        <v>0</v>
      </c>
      <c r="AZ290">
        <f>VLOOKUP(Table29[[#This Row],[Shortname]], Comp[], 31, FALSE)</f>
        <v>0</v>
      </c>
    </row>
    <row r="291" spans="1:52" x14ac:dyDescent="0.3">
      <c r="A291" t="s">
        <v>3608</v>
      </c>
      <c r="B291">
        <v>311</v>
      </c>
      <c r="C291">
        <v>531</v>
      </c>
      <c r="D291" t="s">
        <v>3609</v>
      </c>
      <c r="E291" t="s">
        <v>160</v>
      </c>
      <c r="F291" t="s">
        <v>3610</v>
      </c>
      <c r="G291" t="s">
        <v>3597</v>
      </c>
      <c r="H291">
        <v>246</v>
      </c>
      <c r="I291">
        <v>2.3800000000000001E-9</v>
      </c>
      <c r="J291">
        <f>0.01/Table29[[#This Row],[Strain Rate (min) /s]]</f>
        <v>4201680.6722689075</v>
      </c>
      <c r="K291">
        <f>LOG(Table29[[#This Row],[Time to 1% strain (s)]])</f>
        <v>6.6234230429434877</v>
      </c>
      <c r="L291">
        <v>900</v>
      </c>
      <c r="P291" t="s">
        <v>7131</v>
      </c>
      <c r="Q291">
        <v>1215</v>
      </c>
      <c r="R291">
        <v>12</v>
      </c>
      <c r="S291">
        <v>950</v>
      </c>
      <c r="T291">
        <v>120</v>
      </c>
      <c r="W291">
        <v>-1</v>
      </c>
      <c r="X291">
        <v>1</v>
      </c>
      <c r="Y291">
        <v>50</v>
      </c>
      <c r="AA291">
        <f>VLOOKUP(Table29[[#This Row],[Shortname]], Comp[], 6, FALSE)</f>
        <v>531</v>
      </c>
      <c r="AB291" s="14">
        <f>VLOOKUP(Table29[[#This Row],[Shortname]], Comp[], 7, FALSE)</f>
        <v>44.5</v>
      </c>
      <c r="AC291">
        <f>VLOOKUP(Table29[[#This Row],[Shortname]], Comp[], 8, FALSE)</f>
        <v>28.2</v>
      </c>
      <c r="AD291">
        <f>VLOOKUP(Table29[[#This Row],[Shortname]], Comp[], 9, FALSE)</f>
        <v>8.8000000000000007</v>
      </c>
      <c r="AE291">
        <f>VLOOKUP(Table29[[#This Row],[Shortname]], Comp[], 10, FALSE)</f>
        <v>10.1</v>
      </c>
      <c r="AF291">
        <f>VLOOKUP(Table29[[#This Row],[Shortname]], Comp[], 11, FALSE)</f>
        <v>6.3</v>
      </c>
      <c r="AG291">
        <f>VLOOKUP(Table29[[#This Row],[Shortname]], Comp[],12, FALSE)</f>
        <v>0</v>
      </c>
      <c r="AH291">
        <f>VLOOKUP(Table29[[#This Row],[Shortname]], Comp[], 13, FALSE)</f>
        <v>2.1</v>
      </c>
      <c r="AI291">
        <f>VLOOKUP(Table29[[#This Row],[Shortname]], Comp[], 14, FALSE)</f>
        <v>0</v>
      </c>
      <c r="AJ291">
        <f>VLOOKUP(Table29[[#This Row],[Shortname]], Comp[], 15, FALSE)</f>
        <v>0</v>
      </c>
      <c r="AK291">
        <f>VLOOKUP(Table29[[#This Row],[Shortname]], Comp[], 16, FALSE)</f>
        <v>0</v>
      </c>
      <c r="AL291">
        <f>VLOOKUP(Table29[[#This Row],[Shortname]], Comp[], 17, FALSE)</f>
        <v>0</v>
      </c>
      <c r="AM291">
        <f>VLOOKUP(Table29[[#This Row],[Shortname]], Comp[], 18, FALSE)</f>
        <v>0</v>
      </c>
      <c r="AN291">
        <f>VLOOKUP(Table29[[#This Row],[Shortname]], Comp[], 19, FALSE)</f>
        <v>0</v>
      </c>
      <c r="AO291">
        <f>VLOOKUP(Table29[[#This Row],[Shortname]], Comp[], 20, FALSE)</f>
        <v>0</v>
      </c>
      <c r="AP291">
        <f>VLOOKUP(Table29[[#This Row],[Shortname]], Comp[], 21, FALSE)</f>
        <v>0</v>
      </c>
      <c r="AQ291">
        <f>VLOOKUP(Table29[[#This Row],[Shortname]], Comp[], 22, FALSE)</f>
        <v>0</v>
      </c>
      <c r="AR291">
        <f>VLOOKUP(Table29[[#This Row],[Shortname]], Comp[], 23, FALSE)</f>
        <v>0</v>
      </c>
      <c r="AS291">
        <f>VLOOKUP(Table29[[#This Row],[Shortname]], Comp[], 24, FALSE)</f>
        <v>0</v>
      </c>
      <c r="AT291">
        <f>VLOOKUP(Table29[[#This Row],[Shortname]], Comp[], 25, FALSE)</f>
        <v>0</v>
      </c>
      <c r="AU291">
        <f>VLOOKUP(Table29[[#This Row],[Shortname]], Comp[], 26, FALSE)</f>
        <v>0</v>
      </c>
      <c r="AV291">
        <f>VLOOKUP(Table29[[#This Row],[Shortname]], Comp[], 27, FALSE)</f>
        <v>0</v>
      </c>
      <c r="AW291">
        <f>VLOOKUP(Table29[[#This Row],[Shortname]], Comp[], 28, FALSE)</f>
        <v>0</v>
      </c>
      <c r="AX291">
        <f>VLOOKUP(Table29[[#This Row],[Shortname]], Comp[], 29, FALSE)</f>
        <v>0</v>
      </c>
      <c r="AY291">
        <f>VLOOKUP(Table29[[#This Row],[Shortname]], Comp[], 30, FALSE)</f>
        <v>0</v>
      </c>
      <c r="AZ291">
        <f>VLOOKUP(Table29[[#This Row],[Shortname]], Comp[], 31, FALSE)</f>
        <v>0</v>
      </c>
    </row>
    <row r="292" spans="1:52" x14ac:dyDescent="0.3">
      <c r="A292" t="s">
        <v>3620</v>
      </c>
      <c r="B292">
        <v>312</v>
      </c>
      <c r="C292">
        <v>533</v>
      </c>
      <c r="D292" t="s">
        <v>3621</v>
      </c>
      <c r="E292" t="s">
        <v>160</v>
      </c>
      <c r="F292" t="s">
        <v>3622</v>
      </c>
      <c r="G292" t="s">
        <v>3597</v>
      </c>
      <c r="H292">
        <v>275</v>
      </c>
      <c r="I292">
        <v>9.7200000000000003E-9</v>
      </c>
      <c r="J292">
        <f>0.01/Table29[[#This Row],[Strain Rate (min) /s]]</f>
        <v>1028806.5843621399</v>
      </c>
      <c r="K292">
        <f>LOG(Table29[[#This Row],[Time to 1% strain (s)]])</f>
        <v>6.0123337350737254</v>
      </c>
      <c r="L292">
        <v>900</v>
      </c>
      <c r="P292" t="s">
        <v>7132</v>
      </c>
      <c r="Q292">
        <v>1215</v>
      </c>
      <c r="R292">
        <v>12</v>
      </c>
      <c r="S292">
        <v>950</v>
      </c>
      <c r="T292">
        <v>120</v>
      </c>
      <c r="W292">
        <v>-1</v>
      </c>
      <c r="X292">
        <v>1</v>
      </c>
      <c r="Y292">
        <v>50</v>
      </c>
      <c r="AA292">
        <f>VLOOKUP(Table29[[#This Row],[Shortname]], Comp[], 6, FALSE)</f>
        <v>533</v>
      </c>
      <c r="AB292" s="14">
        <f>VLOOKUP(Table29[[#This Row],[Shortname]], Comp[], 7, FALSE)</f>
        <v>44.800000000000004</v>
      </c>
      <c r="AC292">
        <f>VLOOKUP(Table29[[#This Row],[Shortname]], Comp[], 8, FALSE)</f>
        <v>30.7</v>
      </c>
      <c r="AD292">
        <f>VLOOKUP(Table29[[#This Row],[Shortname]], Comp[], 9, FALSE)</f>
        <v>9.6</v>
      </c>
      <c r="AE292">
        <f>VLOOKUP(Table29[[#This Row],[Shortname]], Comp[], 10, FALSE)</f>
        <v>6.2</v>
      </c>
      <c r="AF292">
        <f>VLOOKUP(Table29[[#This Row],[Shortname]], Comp[], 11, FALSE)</f>
        <v>4.8</v>
      </c>
      <c r="AG292">
        <f>VLOOKUP(Table29[[#This Row],[Shortname]], Comp[],12, FALSE)</f>
        <v>0</v>
      </c>
      <c r="AH292">
        <f>VLOOKUP(Table29[[#This Row],[Shortname]], Comp[], 13, FALSE)</f>
        <v>1.9</v>
      </c>
      <c r="AI292">
        <f>VLOOKUP(Table29[[#This Row],[Shortname]], Comp[], 14, FALSE)</f>
        <v>0</v>
      </c>
      <c r="AJ292">
        <f>VLOOKUP(Table29[[#This Row],[Shortname]], Comp[], 15, FALSE)</f>
        <v>0</v>
      </c>
      <c r="AK292">
        <f>VLOOKUP(Table29[[#This Row],[Shortname]], Comp[], 16, FALSE)</f>
        <v>2</v>
      </c>
      <c r="AL292">
        <f>VLOOKUP(Table29[[#This Row],[Shortname]], Comp[], 17, FALSE)</f>
        <v>0</v>
      </c>
      <c r="AM292">
        <f>VLOOKUP(Table29[[#This Row],[Shortname]], Comp[], 18, FALSE)</f>
        <v>0</v>
      </c>
      <c r="AN292">
        <f>VLOOKUP(Table29[[#This Row],[Shortname]], Comp[], 19, FALSE)</f>
        <v>0</v>
      </c>
      <c r="AO292">
        <f>VLOOKUP(Table29[[#This Row],[Shortname]], Comp[], 20, FALSE)</f>
        <v>0</v>
      </c>
      <c r="AP292">
        <f>VLOOKUP(Table29[[#This Row],[Shortname]], Comp[], 21, FALSE)</f>
        <v>0</v>
      </c>
      <c r="AQ292">
        <f>VLOOKUP(Table29[[#This Row],[Shortname]], Comp[], 22, FALSE)</f>
        <v>0</v>
      </c>
      <c r="AR292">
        <f>VLOOKUP(Table29[[#This Row],[Shortname]], Comp[], 23, FALSE)</f>
        <v>0</v>
      </c>
      <c r="AS292">
        <f>VLOOKUP(Table29[[#This Row],[Shortname]], Comp[], 24, FALSE)</f>
        <v>0</v>
      </c>
      <c r="AT292">
        <f>VLOOKUP(Table29[[#This Row],[Shortname]], Comp[], 25, FALSE)</f>
        <v>0</v>
      </c>
      <c r="AU292">
        <f>VLOOKUP(Table29[[#This Row],[Shortname]], Comp[], 26, FALSE)</f>
        <v>0</v>
      </c>
      <c r="AV292">
        <f>VLOOKUP(Table29[[#This Row],[Shortname]], Comp[], 27, FALSE)</f>
        <v>0</v>
      </c>
      <c r="AW292">
        <f>VLOOKUP(Table29[[#This Row],[Shortname]], Comp[], 28, FALSE)</f>
        <v>0</v>
      </c>
      <c r="AX292">
        <f>VLOOKUP(Table29[[#This Row],[Shortname]], Comp[], 29, FALSE)</f>
        <v>0</v>
      </c>
      <c r="AY292">
        <f>VLOOKUP(Table29[[#This Row],[Shortname]], Comp[], 30, FALSE)</f>
        <v>0</v>
      </c>
      <c r="AZ292">
        <f>VLOOKUP(Table29[[#This Row],[Shortname]], Comp[], 31, FALSE)</f>
        <v>0</v>
      </c>
    </row>
    <row r="293" spans="1:52" x14ac:dyDescent="0.3">
      <c r="A293" t="s">
        <v>4232</v>
      </c>
      <c r="B293">
        <v>335</v>
      </c>
      <c r="C293">
        <v>644</v>
      </c>
      <c r="D293" t="s">
        <v>4233</v>
      </c>
      <c r="E293" t="s">
        <v>514</v>
      </c>
      <c r="F293" t="s">
        <v>4234</v>
      </c>
      <c r="G293" t="s">
        <v>5027</v>
      </c>
      <c r="H293">
        <v>250</v>
      </c>
      <c r="I293">
        <v>4.5680000000000003E-8</v>
      </c>
      <c r="J293">
        <f>0.01/Table29[[#This Row],[Strain Rate (min) /s]]</f>
        <v>218914.1856392294</v>
      </c>
      <c r="K293">
        <f>LOG(Table29[[#This Row],[Time to 1% strain (s)]])</f>
        <v>5.3402739047622081</v>
      </c>
      <c r="L293">
        <v>850</v>
      </c>
      <c r="P293" t="s">
        <v>7133</v>
      </c>
      <c r="Q293">
        <v>1150</v>
      </c>
      <c r="R293">
        <v>100</v>
      </c>
      <c r="S293">
        <v>900</v>
      </c>
      <c r="T293">
        <v>100</v>
      </c>
      <c r="W293">
        <v>1</v>
      </c>
      <c r="X293">
        <v>10</v>
      </c>
      <c r="Y293">
        <v>60</v>
      </c>
      <c r="AA293">
        <f>VLOOKUP(Table29[[#This Row],[Shortname]], Comp[], 6, FALSE)</f>
        <v>644</v>
      </c>
      <c r="AB293" s="14">
        <f>VLOOKUP(Table29[[#This Row],[Shortname]], Comp[], 7, FALSE)</f>
        <v>74</v>
      </c>
      <c r="AC293">
        <f>VLOOKUP(Table29[[#This Row],[Shortname]], Comp[], 8, FALSE)</f>
        <v>0</v>
      </c>
      <c r="AD293">
        <f>VLOOKUP(Table29[[#This Row],[Shortname]], Comp[], 9, FALSE)</f>
        <v>0</v>
      </c>
      <c r="AE293">
        <f>VLOOKUP(Table29[[#This Row],[Shortname]], Comp[], 10, FALSE)</f>
        <v>15</v>
      </c>
      <c r="AF293">
        <f>VLOOKUP(Table29[[#This Row],[Shortname]], Comp[], 11, FALSE)</f>
        <v>0</v>
      </c>
      <c r="AG293">
        <f>VLOOKUP(Table29[[#This Row],[Shortname]], Comp[],12, FALSE)</f>
        <v>11</v>
      </c>
      <c r="AH293">
        <f>VLOOKUP(Table29[[#This Row],[Shortname]], Comp[], 13, FALSE)</f>
        <v>0</v>
      </c>
      <c r="AI293">
        <f>VLOOKUP(Table29[[#This Row],[Shortname]], Comp[], 14, FALSE)</f>
        <v>0</v>
      </c>
      <c r="AJ293">
        <f>VLOOKUP(Table29[[#This Row],[Shortname]], Comp[], 15, FALSE)</f>
        <v>0</v>
      </c>
      <c r="AK293">
        <f>VLOOKUP(Table29[[#This Row],[Shortname]], Comp[], 16, FALSE)</f>
        <v>0</v>
      </c>
      <c r="AL293">
        <f>VLOOKUP(Table29[[#This Row],[Shortname]], Comp[], 17, FALSE)</f>
        <v>0</v>
      </c>
      <c r="AM293">
        <f>VLOOKUP(Table29[[#This Row],[Shortname]], Comp[], 18, FALSE)</f>
        <v>0</v>
      </c>
      <c r="AN293">
        <f>VLOOKUP(Table29[[#This Row],[Shortname]], Comp[], 19, FALSE)</f>
        <v>0</v>
      </c>
      <c r="AO293">
        <f>VLOOKUP(Table29[[#This Row],[Shortname]], Comp[], 20, FALSE)</f>
        <v>0</v>
      </c>
      <c r="AP293">
        <f>VLOOKUP(Table29[[#This Row],[Shortname]], Comp[], 21, FALSE)</f>
        <v>0</v>
      </c>
      <c r="AQ293">
        <f>VLOOKUP(Table29[[#This Row],[Shortname]], Comp[], 22, FALSE)</f>
        <v>0</v>
      </c>
      <c r="AR293">
        <f>VLOOKUP(Table29[[#This Row],[Shortname]], Comp[], 23, FALSE)</f>
        <v>0</v>
      </c>
      <c r="AS293">
        <f>VLOOKUP(Table29[[#This Row],[Shortname]], Comp[], 24, FALSE)</f>
        <v>0</v>
      </c>
      <c r="AT293">
        <f>VLOOKUP(Table29[[#This Row],[Shortname]], Comp[], 25, FALSE)</f>
        <v>0</v>
      </c>
      <c r="AU293">
        <f>VLOOKUP(Table29[[#This Row],[Shortname]], Comp[], 26, FALSE)</f>
        <v>0</v>
      </c>
      <c r="AV293">
        <f>VLOOKUP(Table29[[#This Row],[Shortname]], Comp[], 27, FALSE)</f>
        <v>0</v>
      </c>
      <c r="AW293">
        <f>VLOOKUP(Table29[[#This Row],[Shortname]], Comp[], 28, FALSE)</f>
        <v>0</v>
      </c>
      <c r="AX293">
        <f>VLOOKUP(Table29[[#This Row],[Shortname]], Comp[], 29, FALSE)</f>
        <v>0</v>
      </c>
      <c r="AY293">
        <f>VLOOKUP(Table29[[#This Row],[Shortname]], Comp[], 30, FALSE)</f>
        <v>0</v>
      </c>
      <c r="AZ293">
        <f>VLOOKUP(Table29[[#This Row],[Shortname]], Comp[], 31, FALSE)</f>
        <v>0</v>
      </c>
    </row>
    <row r="294" spans="1:52" x14ac:dyDescent="0.3">
      <c r="A294" t="s">
        <v>4232</v>
      </c>
      <c r="B294">
        <v>336</v>
      </c>
      <c r="C294">
        <v>644</v>
      </c>
      <c r="D294" t="s">
        <v>11</v>
      </c>
      <c r="E294" t="s">
        <v>514</v>
      </c>
      <c r="F294" t="s">
        <v>4234</v>
      </c>
      <c r="G294" t="s">
        <v>5027</v>
      </c>
      <c r="H294">
        <v>300</v>
      </c>
      <c r="I294">
        <v>1.3264E-7</v>
      </c>
      <c r="J294">
        <f>0.01/Table29[[#This Row],[Strain Rate (min) /s]]</f>
        <v>75392.038600723768</v>
      </c>
      <c r="K294">
        <f>LOG(Table29[[#This Row],[Time to 1% strain (s)]])</f>
        <v>4.8773254867938016</v>
      </c>
      <c r="L294">
        <v>850</v>
      </c>
      <c r="P294" t="s">
        <v>7133</v>
      </c>
      <c r="Q294">
        <v>1150</v>
      </c>
      <c r="R294">
        <v>100</v>
      </c>
      <c r="S294">
        <v>900</v>
      </c>
      <c r="T294">
        <v>100</v>
      </c>
      <c r="W294">
        <v>1</v>
      </c>
      <c r="X294">
        <v>10</v>
      </c>
      <c r="Y294">
        <v>60</v>
      </c>
      <c r="AA294">
        <f>VLOOKUP(Table29[[#This Row],[Shortname]], Comp[], 6, FALSE)</f>
        <v>644</v>
      </c>
      <c r="AB294" s="14">
        <f>VLOOKUP(Table29[[#This Row],[Shortname]], Comp[], 7, FALSE)</f>
        <v>74</v>
      </c>
      <c r="AC294">
        <f>VLOOKUP(Table29[[#This Row],[Shortname]], Comp[], 8, FALSE)</f>
        <v>0</v>
      </c>
      <c r="AD294">
        <f>VLOOKUP(Table29[[#This Row],[Shortname]], Comp[], 9, FALSE)</f>
        <v>0</v>
      </c>
      <c r="AE294">
        <f>VLOOKUP(Table29[[#This Row],[Shortname]], Comp[], 10, FALSE)</f>
        <v>15</v>
      </c>
      <c r="AF294">
        <f>VLOOKUP(Table29[[#This Row],[Shortname]], Comp[], 11, FALSE)</f>
        <v>0</v>
      </c>
      <c r="AG294">
        <f>VLOOKUP(Table29[[#This Row],[Shortname]], Comp[],12, FALSE)</f>
        <v>11</v>
      </c>
      <c r="AH294">
        <f>VLOOKUP(Table29[[#This Row],[Shortname]], Comp[], 13, FALSE)</f>
        <v>0</v>
      </c>
      <c r="AI294">
        <f>VLOOKUP(Table29[[#This Row],[Shortname]], Comp[], 14, FALSE)</f>
        <v>0</v>
      </c>
      <c r="AJ294">
        <f>VLOOKUP(Table29[[#This Row],[Shortname]], Comp[], 15, FALSE)</f>
        <v>0</v>
      </c>
      <c r="AK294">
        <f>VLOOKUP(Table29[[#This Row],[Shortname]], Comp[], 16, FALSE)</f>
        <v>0</v>
      </c>
      <c r="AL294">
        <f>VLOOKUP(Table29[[#This Row],[Shortname]], Comp[], 17, FALSE)</f>
        <v>0</v>
      </c>
      <c r="AM294">
        <f>VLOOKUP(Table29[[#This Row],[Shortname]], Comp[], 18, FALSE)</f>
        <v>0</v>
      </c>
      <c r="AN294">
        <f>VLOOKUP(Table29[[#This Row],[Shortname]], Comp[], 19, FALSE)</f>
        <v>0</v>
      </c>
      <c r="AO294">
        <f>VLOOKUP(Table29[[#This Row],[Shortname]], Comp[], 20, FALSE)</f>
        <v>0</v>
      </c>
      <c r="AP294">
        <f>VLOOKUP(Table29[[#This Row],[Shortname]], Comp[], 21, FALSE)</f>
        <v>0</v>
      </c>
      <c r="AQ294">
        <f>VLOOKUP(Table29[[#This Row],[Shortname]], Comp[], 22, FALSE)</f>
        <v>0</v>
      </c>
      <c r="AR294">
        <f>VLOOKUP(Table29[[#This Row],[Shortname]], Comp[], 23, FALSE)</f>
        <v>0</v>
      </c>
      <c r="AS294">
        <f>VLOOKUP(Table29[[#This Row],[Shortname]], Comp[], 24, FALSE)</f>
        <v>0</v>
      </c>
      <c r="AT294">
        <f>VLOOKUP(Table29[[#This Row],[Shortname]], Comp[], 25, FALSE)</f>
        <v>0</v>
      </c>
      <c r="AU294">
        <f>VLOOKUP(Table29[[#This Row],[Shortname]], Comp[], 26, FALSE)</f>
        <v>0</v>
      </c>
      <c r="AV294">
        <f>VLOOKUP(Table29[[#This Row],[Shortname]], Comp[], 27, FALSE)</f>
        <v>0</v>
      </c>
      <c r="AW294">
        <f>VLOOKUP(Table29[[#This Row],[Shortname]], Comp[], 28, FALSE)</f>
        <v>0</v>
      </c>
      <c r="AX294">
        <f>VLOOKUP(Table29[[#This Row],[Shortname]], Comp[], 29, FALSE)</f>
        <v>0</v>
      </c>
      <c r="AY294">
        <f>VLOOKUP(Table29[[#This Row],[Shortname]], Comp[], 30, FALSE)</f>
        <v>0</v>
      </c>
      <c r="AZ294">
        <f>VLOOKUP(Table29[[#This Row],[Shortname]], Comp[], 31, FALSE)</f>
        <v>0</v>
      </c>
    </row>
    <row r="295" spans="1:52" x14ac:dyDescent="0.3">
      <c r="A295" t="s">
        <v>4232</v>
      </c>
      <c r="B295">
        <v>337</v>
      </c>
      <c r="C295">
        <v>644</v>
      </c>
      <c r="D295" t="s">
        <v>11</v>
      </c>
      <c r="E295" t="s">
        <v>514</v>
      </c>
      <c r="F295" t="s">
        <v>4234</v>
      </c>
      <c r="G295" t="s">
        <v>5027</v>
      </c>
      <c r="H295">
        <v>350</v>
      </c>
      <c r="I295">
        <v>3.5557E-7</v>
      </c>
      <c r="J295">
        <f>0.01/Table29[[#This Row],[Strain Rate (min) /s]]</f>
        <v>28123.857468290353</v>
      </c>
      <c r="K295">
        <f>LOG(Table29[[#This Row],[Time to 1% strain (s)]])</f>
        <v>4.4490748882644597</v>
      </c>
      <c r="L295">
        <v>850</v>
      </c>
      <c r="P295" t="s">
        <v>7133</v>
      </c>
      <c r="Q295">
        <v>1150</v>
      </c>
      <c r="R295">
        <v>100</v>
      </c>
      <c r="S295">
        <v>900</v>
      </c>
      <c r="T295">
        <v>100</v>
      </c>
      <c r="W295">
        <v>1</v>
      </c>
      <c r="X295">
        <v>10</v>
      </c>
      <c r="Y295">
        <v>60</v>
      </c>
      <c r="AA295">
        <f>VLOOKUP(Table29[[#This Row],[Shortname]], Comp[], 6, FALSE)</f>
        <v>644</v>
      </c>
      <c r="AB295" s="14">
        <f>VLOOKUP(Table29[[#This Row],[Shortname]], Comp[], 7, FALSE)</f>
        <v>74</v>
      </c>
      <c r="AC295">
        <f>VLOOKUP(Table29[[#This Row],[Shortname]], Comp[], 8, FALSE)</f>
        <v>0</v>
      </c>
      <c r="AD295">
        <f>VLOOKUP(Table29[[#This Row],[Shortname]], Comp[], 9, FALSE)</f>
        <v>0</v>
      </c>
      <c r="AE295">
        <f>VLOOKUP(Table29[[#This Row],[Shortname]], Comp[], 10, FALSE)</f>
        <v>15</v>
      </c>
      <c r="AF295">
        <f>VLOOKUP(Table29[[#This Row],[Shortname]], Comp[], 11, FALSE)</f>
        <v>0</v>
      </c>
      <c r="AG295">
        <f>VLOOKUP(Table29[[#This Row],[Shortname]], Comp[],12, FALSE)</f>
        <v>11</v>
      </c>
      <c r="AH295">
        <f>VLOOKUP(Table29[[#This Row],[Shortname]], Comp[], 13, FALSE)</f>
        <v>0</v>
      </c>
      <c r="AI295">
        <f>VLOOKUP(Table29[[#This Row],[Shortname]], Comp[], 14, FALSE)</f>
        <v>0</v>
      </c>
      <c r="AJ295">
        <f>VLOOKUP(Table29[[#This Row],[Shortname]], Comp[], 15, FALSE)</f>
        <v>0</v>
      </c>
      <c r="AK295">
        <f>VLOOKUP(Table29[[#This Row],[Shortname]], Comp[], 16, FALSE)</f>
        <v>0</v>
      </c>
      <c r="AL295">
        <f>VLOOKUP(Table29[[#This Row],[Shortname]], Comp[], 17, FALSE)</f>
        <v>0</v>
      </c>
      <c r="AM295">
        <f>VLOOKUP(Table29[[#This Row],[Shortname]], Comp[], 18, FALSE)</f>
        <v>0</v>
      </c>
      <c r="AN295">
        <f>VLOOKUP(Table29[[#This Row],[Shortname]], Comp[], 19, FALSE)</f>
        <v>0</v>
      </c>
      <c r="AO295">
        <f>VLOOKUP(Table29[[#This Row],[Shortname]], Comp[], 20, FALSE)</f>
        <v>0</v>
      </c>
      <c r="AP295">
        <f>VLOOKUP(Table29[[#This Row],[Shortname]], Comp[], 21, FALSE)</f>
        <v>0</v>
      </c>
      <c r="AQ295">
        <f>VLOOKUP(Table29[[#This Row],[Shortname]], Comp[], 22, FALSE)</f>
        <v>0</v>
      </c>
      <c r="AR295">
        <f>VLOOKUP(Table29[[#This Row],[Shortname]], Comp[], 23, FALSE)</f>
        <v>0</v>
      </c>
      <c r="AS295">
        <f>VLOOKUP(Table29[[#This Row],[Shortname]], Comp[], 24, FALSE)</f>
        <v>0</v>
      </c>
      <c r="AT295">
        <f>VLOOKUP(Table29[[#This Row],[Shortname]], Comp[], 25, FALSE)</f>
        <v>0</v>
      </c>
      <c r="AU295">
        <f>VLOOKUP(Table29[[#This Row],[Shortname]], Comp[], 26, FALSE)</f>
        <v>0</v>
      </c>
      <c r="AV295">
        <f>VLOOKUP(Table29[[#This Row],[Shortname]], Comp[], 27, FALSE)</f>
        <v>0</v>
      </c>
      <c r="AW295">
        <f>VLOOKUP(Table29[[#This Row],[Shortname]], Comp[], 28, FALSE)</f>
        <v>0</v>
      </c>
      <c r="AX295">
        <f>VLOOKUP(Table29[[#This Row],[Shortname]], Comp[], 29, FALSE)</f>
        <v>0</v>
      </c>
      <c r="AY295">
        <f>VLOOKUP(Table29[[#This Row],[Shortname]], Comp[], 30, FALSE)</f>
        <v>0</v>
      </c>
      <c r="AZ295">
        <f>VLOOKUP(Table29[[#This Row],[Shortname]], Comp[], 31, FALSE)</f>
        <v>0</v>
      </c>
    </row>
    <row r="296" spans="1:52" x14ac:dyDescent="0.3">
      <c r="A296" t="s">
        <v>4232</v>
      </c>
      <c r="B296">
        <v>338</v>
      </c>
      <c r="C296">
        <v>644</v>
      </c>
      <c r="D296" t="s">
        <v>11</v>
      </c>
      <c r="E296" t="s">
        <v>514</v>
      </c>
      <c r="F296" t="s">
        <v>4234</v>
      </c>
      <c r="G296" t="s">
        <v>5027</v>
      </c>
      <c r="H296">
        <v>389</v>
      </c>
      <c r="I296">
        <v>1.0052999999999999E-6</v>
      </c>
      <c r="J296">
        <f>0.01/Table29[[#This Row],[Strain Rate (min) /s]]</f>
        <v>9947.2794190788827</v>
      </c>
      <c r="K296">
        <f>LOG(Table29[[#This Row],[Time to 1% strain (s)]])</f>
        <v>3.9977043174450659</v>
      </c>
      <c r="L296">
        <v>850</v>
      </c>
      <c r="P296" t="s">
        <v>7133</v>
      </c>
      <c r="Q296">
        <v>1150</v>
      </c>
      <c r="R296">
        <v>100</v>
      </c>
      <c r="S296">
        <v>900</v>
      </c>
      <c r="T296">
        <v>100</v>
      </c>
      <c r="W296">
        <v>1</v>
      </c>
      <c r="X296">
        <v>10</v>
      </c>
      <c r="Y296">
        <v>60</v>
      </c>
      <c r="AA296">
        <f>VLOOKUP(Table29[[#This Row],[Shortname]], Comp[], 6, FALSE)</f>
        <v>644</v>
      </c>
      <c r="AB296" s="14">
        <f>VLOOKUP(Table29[[#This Row],[Shortname]], Comp[], 7, FALSE)</f>
        <v>74</v>
      </c>
      <c r="AC296">
        <f>VLOOKUP(Table29[[#This Row],[Shortname]], Comp[], 8, FALSE)</f>
        <v>0</v>
      </c>
      <c r="AD296">
        <f>VLOOKUP(Table29[[#This Row],[Shortname]], Comp[], 9, FALSE)</f>
        <v>0</v>
      </c>
      <c r="AE296">
        <f>VLOOKUP(Table29[[#This Row],[Shortname]], Comp[], 10, FALSE)</f>
        <v>15</v>
      </c>
      <c r="AF296">
        <f>VLOOKUP(Table29[[#This Row],[Shortname]], Comp[], 11, FALSE)</f>
        <v>0</v>
      </c>
      <c r="AG296">
        <f>VLOOKUP(Table29[[#This Row],[Shortname]], Comp[],12, FALSE)</f>
        <v>11</v>
      </c>
      <c r="AH296">
        <f>VLOOKUP(Table29[[#This Row],[Shortname]], Comp[], 13, FALSE)</f>
        <v>0</v>
      </c>
      <c r="AI296">
        <f>VLOOKUP(Table29[[#This Row],[Shortname]], Comp[], 14, FALSE)</f>
        <v>0</v>
      </c>
      <c r="AJ296">
        <f>VLOOKUP(Table29[[#This Row],[Shortname]], Comp[], 15, FALSE)</f>
        <v>0</v>
      </c>
      <c r="AK296">
        <f>VLOOKUP(Table29[[#This Row],[Shortname]], Comp[], 16, FALSE)</f>
        <v>0</v>
      </c>
      <c r="AL296">
        <f>VLOOKUP(Table29[[#This Row],[Shortname]], Comp[], 17, FALSE)</f>
        <v>0</v>
      </c>
      <c r="AM296">
        <f>VLOOKUP(Table29[[#This Row],[Shortname]], Comp[], 18, FALSE)</f>
        <v>0</v>
      </c>
      <c r="AN296">
        <f>VLOOKUP(Table29[[#This Row],[Shortname]], Comp[], 19, FALSE)</f>
        <v>0</v>
      </c>
      <c r="AO296">
        <f>VLOOKUP(Table29[[#This Row],[Shortname]], Comp[], 20, FALSE)</f>
        <v>0</v>
      </c>
      <c r="AP296">
        <f>VLOOKUP(Table29[[#This Row],[Shortname]], Comp[], 21, FALSE)</f>
        <v>0</v>
      </c>
      <c r="AQ296">
        <f>VLOOKUP(Table29[[#This Row],[Shortname]], Comp[], 22, FALSE)</f>
        <v>0</v>
      </c>
      <c r="AR296">
        <f>VLOOKUP(Table29[[#This Row],[Shortname]], Comp[], 23, FALSE)</f>
        <v>0</v>
      </c>
      <c r="AS296">
        <f>VLOOKUP(Table29[[#This Row],[Shortname]], Comp[], 24, FALSE)</f>
        <v>0</v>
      </c>
      <c r="AT296">
        <f>VLOOKUP(Table29[[#This Row],[Shortname]], Comp[], 25, FALSE)</f>
        <v>0</v>
      </c>
      <c r="AU296">
        <f>VLOOKUP(Table29[[#This Row],[Shortname]], Comp[], 26, FALSE)</f>
        <v>0</v>
      </c>
      <c r="AV296">
        <f>VLOOKUP(Table29[[#This Row],[Shortname]], Comp[], 27, FALSE)</f>
        <v>0</v>
      </c>
      <c r="AW296">
        <f>VLOOKUP(Table29[[#This Row],[Shortname]], Comp[], 28, FALSE)</f>
        <v>0</v>
      </c>
      <c r="AX296">
        <f>VLOOKUP(Table29[[#This Row],[Shortname]], Comp[], 29, FALSE)</f>
        <v>0</v>
      </c>
      <c r="AY296">
        <f>VLOOKUP(Table29[[#This Row],[Shortname]], Comp[], 30, FALSE)</f>
        <v>0</v>
      </c>
      <c r="AZ296">
        <f>VLOOKUP(Table29[[#This Row],[Shortname]], Comp[], 31, FALSE)</f>
        <v>0</v>
      </c>
    </row>
    <row r="297" spans="1:52" x14ac:dyDescent="0.3">
      <c r="A297" t="s">
        <v>4232</v>
      </c>
      <c r="B297">
        <v>339</v>
      </c>
      <c r="C297">
        <v>644</v>
      </c>
      <c r="D297" t="s">
        <v>11</v>
      </c>
      <c r="E297" t="s">
        <v>514</v>
      </c>
      <c r="F297" t="s">
        <v>4234</v>
      </c>
      <c r="G297" t="s">
        <v>5027</v>
      </c>
      <c r="H297">
        <v>513</v>
      </c>
      <c r="I297">
        <v>9.9467999999999994E-6</v>
      </c>
      <c r="J297">
        <f>0.01/Table29[[#This Row],[Strain Rate (min) /s]]</f>
        <v>1005.3484537740782</v>
      </c>
      <c r="K297">
        <f>LOG(Table29[[#This Row],[Time to 1% strain (s)]])</f>
        <v>3.0023166143162014</v>
      </c>
      <c r="L297">
        <v>850</v>
      </c>
      <c r="P297" t="s">
        <v>7133</v>
      </c>
      <c r="Q297">
        <v>1150</v>
      </c>
      <c r="R297">
        <v>100</v>
      </c>
      <c r="S297">
        <v>900</v>
      </c>
      <c r="T297">
        <v>100</v>
      </c>
      <c r="W297">
        <v>1</v>
      </c>
      <c r="X297">
        <v>10</v>
      </c>
      <c r="Y297">
        <v>60</v>
      </c>
      <c r="AA297">
        <f>VLOOKUP(Table29[[#This Row],[Shortname]], Comp[], 6, FALSE)</f>
        <v>644</v>
      </c>
      <c r="AB297" s="14">
        <f>VLOOKUP(Table29[[#This Row],[Shortname]], Comp[], 7, FALSE)</f>
        <v>74</v>
      </c>
      <c r="AC297">
        <f>VLOOKUP(Table29[[#This Row],[Shortname]], Comp[], 8, FALSE)</f>
        <v>0</v>
      </c>
      <c r="AD297">
        <f>VLOOKUP(Table29[[#This Row],[Shortname]], Comp[], 9, FALSE)</f>
        <v>0</v>
      </c>
      <c r="AE297">
        <f>VLOOKUP(Table29[[#This Row],[Shortname]], Comp[], 10, FALSE)</f>
        <v>15</v>
      </c>
      <c r="AF297">
        <f>VLOOKUP(Table29[[#This Row],[Shortname]], Comp[], 11, FALSE)</f>
        <v>0</v>
      </c>
      <c r="AG297">
        <f>VLOOKUP(Table29[[#This Row],[Shortname]], Comp[],12, FALSE)</f>
        <v>11</v>
      </c>
      <c r="AH297">
        <f>VLOOKUP(Table29[[#This Row],[Shortname]], Comp[], 13, FALSE)</f>
        <v>0</v>
      </c>
      <c r="AI297">
        <f>VLOOKUP(Table29[[#This Row],[Shortname]], Comp[], 14, FALSE)</f>
        <v>0</v>
      </c>
      <c r="AJ297">
        <f>VLOOKUP(Table29[[#This Row],[Shortname]], Comp[], 15, FALSE)</f>
        <v>0</v>
      </c>
      <c r="AK297">
        <f>VLOOKUP(Table29[[#This Row],[Shortname]], Comp[], 16, FALSE)</f>
        <v>0</v>
      </c>
      <c r="AL297">
        <f>VLOOKUP(Table29[[#This Row],[Shortname]], Comp[], 17, FALSE)</f>
        <v>0</v>
      </c>
      <c r="AM297">
        <f>VLOOKUP(Table29[[#This Row],[Shortname]], Comp[], 18, FALSE)</f>
        <v>0</v>
      </c>
      <c r="AN297">
        <f>VLOOKUP(Table29[[#This Row],[Shortname]], Comp[], 19, FALSE)</f>
        <v>0</v>
      </c>
      <c r="AO297">
        <f>VLOOKUP(Table29[[#This Row],[Shortname]], Comp[], 20, FALSE)</f>
        <v>0</v>
      </c>
      <c r="AP297">
        <f>VLOOKUP(Table29[[#This Row],[Shortname]], Comp[], 21, FALSE)</f>
        <v>0</v>
      </c>
      <c r="AQ297">
        <f>VLOOKUP(Table29[[#This Row],[Shortname]], Comp[], 22, FALSE)</f>
        <v>0</v>
      </c>
      <c r="AR297">
        <f>VLOOKUP(Table29[[#This Row],[Shortname]], Comp[], 23, FALSE)</f>
        <v>0</v>
      </c>
      <c r="AS297">
        <f>VLOOKUP(Table29[[#This Row],[Shortname]], Comp[], 24, FALSE)</f>
        <v>0</v>
      </c>
      <c r="AT297">
        <f>VLOOKUP(Table29[[#This Row],[Shortname]], Comp[], 25, FALSE)</f>
        <v>0</v>
      </c>
      <c r="AU297">
        <f>VLOOKUP(Table29[[#This Row],[Shortname]], Comp[], 26, FALSE)</f>
        <v>0</v>
      </c>
      <c r="AV297">
        <f>VLOOKUP(Table29[[#This Row],[Shortname]], Comp[], 27, FALSE)</f>
        <v>0</v>
      </c>
      <c r="AW297">
        <f>VLOOKUP(Table29[[#This Row],[Shortname]], Comp[], 28, FALSE)</f>
        <v>0</v>
      </c>
      <c r="AX297">
        <f>VLOOKUP(Table29[[#This Row],[Shortname]], Comp[], 29, FALSE)</f>
        <v>0</v>
      </c>
      <c r="AY297">
        <f>VLOOKUP(Table29[[#This Row],[Shortname]], Comp[], 30, FALSE)</f>
        <v>0</v>
      </c>
      <c r="AZ297">
        <f>VLOOKUP(Table29[[#This Row],[Shortname]], Comp[], 31, FALSE)</f>
        <v>0</v>
      </c>
    </row>
    <row r="298" spans="1:52" x14ac:dyDescent="0.3">
      <c r="A298" t="s">
        <v>4232</v>
      </c>
      <c r="B298">
        <v>340</v>
      </c>
      <c r="C298">
        <v>644</v>
      </c>
      <c r="D298" t="s">
        <v>11</v>
      </c>
      <c r="E298" t="s">
        <v>514</v>
      </c>
      <c r="F298" t="s">
        <v>4234</v>
      </c>
      <c r="G298" t="s">
        <v>5027</v>
      </c>
      <c r="H298">
        <v>635</v>
      </c>
      <c r="I298">
        <v>9.5826E-5</v>
      </c>
      <c r="J298">
        <f>0.01/Table29[[#This Row],[Strain Rate (min) /s]]</f>
        <v>104.35581157514662</v>
      </c>
      <c r="K298">
        <f>LOG(Table29[[#This Row],[Time to 1% strain (s)]])</f>
        <v>2.0185166399346501</v>
      </c>
      <c r="L298">
        <v>850</v>
      </c>
      <c r="P298" t="s">
        <v>7133</v>
      </c>
      <c r="Q298">
        <v>1150</v>
      </c>
      <c r="R298">
        <v>100</v>
      </c>
      <c r="S298">
        <v>900</v>
      </c>
      <c r="T298">
        <v>100</v>
      </c>
      <c r="W298">
        <v>1</v>
      </c>
      <c r="X298">
        <v>10</v>
      </c>
      <c r="Y298">
        <v>60</v>
      </c>
      <c r="AA298">
        <f>VLOOKUP(Table29[[#This Row],[Shortname]], Comp[], 6, FALSE)</f>
        <v>644</v>
      </c>
      <c r="AB298" s="14">
        <f>VLOOKUP(Table29[[#This Row],[Shortname]], Comp[], 7, FALSE)</f>
        <v>74</v>
      </c>
      <c r="AC298">
        <f>VLOOKUP(Table29[[#This Row],[Shortname]], Comp[], 8, FALSE)</f>
        <v>0</v>
      </c>
      <c r="AD298">
        <f>VLOOKUP(Table29[[#This Row],[Shortname]], Comp[], 9, FALSE)</f>
        <v>0</v>
      </c>
      <c r="AE298">
        <f>VLOOKUP(Table29[[#This Row],[Shortname]], Comp[], 10, FALSE)</f>
        <v>15</v>
      </c>
      <c r="AF298">
        <f>VLOOKUP(Table29[[#This Row],[Shortname]], Comp[], 11, FALSE)</f>
        <v>0</v>
      </c>
      <c r="AG298">
        <f>VLOOKUP(Table29[[#This Row],[Shortname]], Comp[],12, FALSE)</f>
        <v>11</v>
      </c>
      <c r="AH298">
        <f>VLOOKUP(Table29[[#This Row],[Shortname]], Comp[], 13, FALSE)</f>
        <v>0</v>
      </c>
      <c r="AI298">
        <f>VLOOKUP(Table29[[#This Row],[Shortname]], Comp[], 14, FALSE)</f>
        <v>0</v>
      </c>
      <c r="AJ298">
        <f>VLOOKUP(Table29[[#This Row],[Shortname]], Comp[], 15, FALSE)</f>
        <v>0</v>
      </c>
      <c r="AK298">
        <f>VLOOKUP(Table29[[#This Row],[Shortname]], Comp[], 16, FALSE)</f>
        <v>0</v>
      </c>
      <c r="AL298">
        <f>VLOOKUP(Table29[[#This Row],[Shortname]], Comp[], 17, FALSE)</f>
        <v>0</v>
      </c>
      <c r="AM298">
        <f>VLOOKUP(Table29[[#This Row],[Shortname]], Comp[], 18, FALSE)</f>
        <v>0</v>
      </c>
      <c r="AN298">
        <f>VLOOKUP(Table29[[#This Row],[Shortname]], Comp[], 19, FALSE)</f>
        <v>0</v>
      </c>
      <c r="AO298">
        <f>VLOOKUP(Table29[[#This Row],[Shortname]], Comp[], 20, FALSE)</f>
        <v>0</v>
      </c>
      <c r="AP298">
        <f>VLOOKUP(Table29[[#This Row],[Shortname]], Comp[], 21, FALSE)</f>
        <v>0</v>
      </c>
      <c r="AQ298">
        <f>VLOOKUP(Table29[[#This Row],[Shortname]], Comp[], 22, FALSE)</f>
        <v>0</v>
      </c>
      <c r="AR298">
        <f>VLOOKUP(Table29[[#This Row],[Shortname]], Comp[], 23, FALSE)</f>
        <v>0</v>
      </c>
      <c r="AS298">
        <f>VLOOKUP(Table29[[#This Row],[Shortname]], Comp[], 24, FALSE)</f>
        <v>0</v>
      </c>
      <c r="AT298">
        <f>VLOOKUP(Table29[[#This Row],[Shortname]], Comp[], 25, FALSE)</f>
        <v>0</v>
      </c>
      <c r="AU298">
        <f>VLOOKUP(Table29[[#This Row],[Shortname]], Comp[], 26, FALSE)</f>
        <v>0</v>
      </c>
      <c r="AV298">
        <f>VLOOKUP(Table29[[#This Row],[Shortname]], Comp[], 27, FALSE)</f>
        <v>0</v>
      </c>
      <c r="AW298">
        <f>VLOOKUP(Table29[[#This Row],[Shortname]], Comp[], 28, FALSE)</f>
        <v>0</v>
      </c>
      <c r="AX298">
        <f>VLOOKUP(Table29[[#This Row],[Shortname]], Comp[], 29, FALSE)</f>
        <v>0</v>
      </c>
      <c r="AY298">
        <f>VLOOKUP(Table29[[#This Row],[Shortname]], Comp[], 30, FALSE)</f>
        <v>0</v>
      </c>
      <c r="AZ298">
        <f>VLOOKUP(Table29[[#This Row],[Shortname]], Comp[], 31, FALSE)</f>
        <v>0</v>
      </c>
    </row>
    <row r="299" spans="1:52" x14ac:dyDescent="0.3">
      <c r="A299" t="s">
        <v>4232</v>
      </c>
      <c r="B299">
        <v>341</v>
      </c>
      <c r="C299">
        <v>644</v>
      </c>
      <c r="D299" t="s">
        <v>11</v>
      </c>
      <c r="E299" t="s">
        <v>514</v>
      </c>
      <c r="F299" t="s">
        <v>4234</v>
      </c>
      <c r="G299" t="s">
        <v>5027</v>
      </c>
      <c r="H299">
        <v>753</v>
      </c>
      <c r="I299">
        <v>9.7369999999999998E-4</v>
      </c>
      <c r="J299">
        <f>0.01/Table29[[#This Row],[Strain Rate (min) /s]]</f>
        <v>10.270103728047653</v>
      </c>
      <c r="K299">
        <f>LOG(Table29[[#This Row],[Time to 1% strain (s)]])</f>
        <v>1.0115748299936969</v>
      </c>
      <c r="L299">
        <v>850</v>
      </c>
      <c r="P299" t="s">
        <v>7133</v>
      </c>
      <c r="Q299">
        <v>1150</v>
      </c>
      <c r="R299">
        <v>100</v>
      </c>
      <c r="S299">
        <v>900</v>
      </c>
      <c r="T299">
        <v>100</v>
      </c>
      <c r="W299">
        <v>1</v>
      </c>
      <c r="X299">
        <v>10</v>
      </c>
      <c r="Y299">
        <v>60</v>
      </c>
      <c r="AA299">
        <f>VLOOKUP(Table29[[#This Row],[Shortname]], Comp[], 6, FALSE)</f>
        <v>644</v>
      </c>
      <c r="AB299" s="14">
        <f>VLOOKUP(Table29[[#This Row],[Shortname]], Comp[], 7, FALSE)</f>
        <v>74</v>
      </c>
      <c r="AC299">
        <f>VLOOKUP(Table29[[#This Row],[Shortname]], Comp[], 8, FALSE)</f>
        <v>0</v>
      </c>
      <c r="AD299">
        <f>VLOOKUP(Table29[[#This Row],[Shortname]], Comp[], 9, FALSE)</f>
        <v>0</v>
      </c>
      <c r="AE299">
        <f>VLOOKUP(Table29[[#This Row],[Shortname]], Comp[], 10, FALSE)</f>
        <v>15</v>
      </c>
      <c r="AF299">
        <f>VLOOKUP(Table29[[#This Row],[Shortname]], Comp[], 11, FALSE)</f>
        <v>0</v>
      </c>
      <c r="AG299">
        <f>VLOOKUP(Table29[[#This Row],[Shortname]], Comp[],12, FALSE)</f>
        <v>11</v>
      </c>
      <c r="AH299">
        <f>VLOOKUP(Table29[[#This Row],[Shortname]], Comp[], 13, FALSE)</f>
        <v>0</v>
      </c>
      <c r="AI299">
        <f>VLOOKUP(Table29[[#This Row],[Shortname]], Comp[], 14, FALSE)</f>
        <v>0</v>
      </c>
      <c r="AJ299">
        <f>VLOOKUP(Table29[[#This Row],[Shortname]], Comp[], 15, FALSE)</f>
        <v>0</v>
      </c>
      <c r="AK299">
        <f>VLOOKUP(Table29[[#This Row],[Shortname]], Comp[], 16, FALSE)</f>
        <v>0</v>
      </c>
      <c r="AL299">
        <f>VLOOKUP(Table29[[#This Row],[Shortname]], Comp[], 17, FALSE)</f>
        <v>0</v>
      </c>
      <c r="AM299">
        <f>VLOOKUP(Table29[[#This Row],[Shortname]], Comp[], 18, FALSE)</f>
        <v>0</v>
      </c>
      <c r="AN299">
        <f>VLOOKUP(Table29[[#This Row],[Shortname]], Comp[], 19, FALSE)</f>
        <v>0</v>
      </c>
      <c r="AO299">
        <f>VLOOKUP(Table29[[#This Row],[Shortname]], Comp[], 20, FALSE)</f>
        <v>0</v>
      </c>
      <c r="AP299">
        <f>VLOOKUP(Table29[[#This Row],[Shortname]], Comp[], 21, FALSE)</f>
        <v>0</v>
      </c>
      <c r="AQ299">
        <f>VLOOKUP(Table29[[#This Row],[Shortname]], Comp[], 22, FALSE)</f>
        <v>0</v>
      </c>
      <c r="AR299">
        <f>VLOOKUP(Table29[[#This Row],[Shortname]], Comp[], 23, FALSE)</f>
        <v>0</v>
      </c>
      <c r="AS299">
        <f>VLOOKUP(Table29[[#This Row],[Shortname]], Comp[], 24, FALSE)</f>
        <v>0</v>
      </c>
      <c r="AT299">
        <f>VLOOKUP(Table29[[#This Row],[Shortname]], Comp[], 25, FALSE)</f>
        <v>0</v>
      </c>
      <c r="AU299">
        <f>VLOOKUP(Table29[[#This Row],[Shortname]], Comp[], 26, FALSE)</f>
        <v>0</v>
      </c>
      <c r="AV299">
        <f>VLOOKUP(Table29[[#This Row],[Shortname]], Comp[], 27, FALSE)</f>
        <v>0</v>
      </c>
      <c r="AW299">
        <f>VLOOKUP(Table29[[#This Row],[Shortname]], Comp[], 28, FALSE)</f>
        <v>0</v>
      </c>
      <c r="AX299">
        <f>VLOOKUP(Table29[[#This Row],[Shortname]], Comp[], 29, FALSE)</f>
        <v>0</v>
      </c>
      <c r="AY299">
        <f>VLOOKUP(Table29[[#This Row],[Shortname]], Comp[], 30, FALSE)</f>
        <v>0</v>
      </c>
      <c r="AZ299">
        <f>VLOOKUP(Table29[[#This Row],[Shortname]], Comp[], 31, FALSE)</f>
        <v>0</v>
      </c>
    </row>
    <row r="300" spans="1:52" x14ac:dyDescent="0.3">
      <c r="A300" t="s">
        <v>4240</v>
      </c>
      <c r="B300">
        <v>327</v>
      </c>
      <c r="C300">
        <v>645</v>
      </c>
      <c r="D300" t="s">
        <v>4241</v>
      </c>
      <c r="E300" t="s">
        <v>160</v>
      </c>
      <c r="F300" t="s">
        <v>4242</v>
      </c>
      <c r="G300" t="s">
        <v>4243</v>
      </c>
      <c r="H300">
        <v>250</v>
      </c>
      <c r="I300">
        <v>1.5949999999999999E-7</v>
      </c>
      <c r="J300">
        <f>0.01/Table29[[#This Row],[Strain Rate (min) /s]]</f>
        <v>62695.924764890289</v>
      </c>
      <c r="K300">
        <f>LOG(Table29[[#This Row],[Time to 1% strain (s)]])</f>
        <v>4.7972393126068003</v>
      </c>
      <c r="L300">
        <v>900</v>
      </c>
      <c r="P300" t="s">
        <v>7134</v>
      </c>
      <c r="Q300">
        <v>1250</v>
      </c>
      <c r="R300">
        <v>24</v>
      </c>
      <c r="S300">
        <v>900</v>
      </c>
      <c r="T300">
        <v>100</v>
      </c>
      <c r="W300">
        <v>1</v>
      </c>
      <c r="X300">
        <v>10</v>
      </c>
      <c r="Y300">
        <v>57</v>
      </c>
      <c r="AA300">
        <f>VLOOKUP(Table29[[#This Row],[Shortname]], Comp[], 6, FALSE)</f>
        <v>645</v>
      </c>
      <c r="AB300" s="14">
        <f>VLOOKUP(Table29[[#This Row],[Shortname]], Comp[], 7, FALSE)</f>
        <v>36.46</v>
      </c>
      <c r="AC300">
        <f>VLOOKUP(Table29[[#This Row],[Shortname]], Comp[], 8, FALSE)</f>
        <v>37.5</v>
      </c>
      <c r="AD300">
        <f>VLOOKUP(Table29[[#This Row],[Shortname]], Comp[], 9, FALSE)</f>
        <v>9</v>
      </c>
      <c r="AE300">
        <f>VLOOKUP(Table29[[#This Row],[Shortname]], Comp[], 10, FALSE)</f>
        <v>8</v>
      </c>
      <c r="AF300">
        <f>VLOOKUP(Table29[[#This Row],[Shortname]], Comp[], 11, FALSE)</f>
        <v>9</v>
      </c>
      <c r="AG300">
        <f>VLOOKUP(Table29[[#This Row],[Shortname]], Comp[],12, FALSE)</f>
        <v>0</v>
      </c>
      <c r="AH300">
        <f>VLOOKUP(Table29[[#This Row],[Shortname]], Comp[], 13, FALSE)</f>
        <v>0</v>
      </c>
      <c r="AI300">
        <f>VLOOKUP(Table29[[#This Row],[Shortname]], Comp[], 14, FALSE)</f>
        <v>0</v>
      </c>
      <c r="AJ300">
        <f>VLOOKUP(Table29[[#This Row],[Shortname]], Comp[], 15, FALSE)</f>
        <v>0</v>
      </c>
      <c r="AK300">
        <f>VLOOKUP(Table29[[#This Row],[Shortname]], Comp[], 16, FALSE)</f>
        <v>0</v>
      </c>
      <c r="AL300">
        <f>VLOOKUP(Table29[[#This Row],[Shortname]], Comp[], 17, FALSE)</f>
        <v>0</v>
      </c>
      <c r="AM300">
        <f>VLOOKUP(Table29[[#This Row],[Shortname]], Comp[], 18, FALSE)</f>
        <v>0</v>
      </c>
      <c r="AN300">
        <f>VLOOKUP(Table29[[#This Row],[Shortname]], Comp[], 19, FALSE)</f>
        <v>0.04</v>
      </c>
      <c r="AO300">
        <f>VLOOKUP(Table29[[#This Row],[Shortname]], Comp[], 20, FALSE)</f>
        <v>0</v>
      </c>
      <c r="AP300">
        <f>VLOOKUP(Table29[[#This Row],[Shortname]], Comp[], 21, FALSE)</f>
        <v>0</v>
      </c>
      <c r="AQ300">
        <f>VLOOKUP(Table29[[#This Row],[Shortname]], Comp[], 22, FALSE)</f>
        <v>0</v>
      </c>
      <c r="AR300">
        <f>VLOOKUP(Table29[[#This Row],[Shortname]], Comp[], 23, FALSE)</f>
        <v>0</v>
      </c>
      <c r="AS300">
        <f>VLOOKUP(Table29[[#This Row],[Shortname]], Comp[], 24, FALSE)</f>
        <v>0</v>
      </c>
      <c r="AT300">
        <f>VLOOKUP(Table29[[#This Row],[Shortname]], Comp[], 25, FALSE)</f>
        <v>0</v>
      </c>
      <c r="AU300">
        <f>VLOOKUP(Table29[[#This Row],[Shortname]], Comp[], 26, FALSE)</f>
        <v>0</v>
      </c>
      <c r="AV300">
        <f>VLOOKUP(Table29[[#This Row],[Shortname]], Comp[], 27, FALSE)</f>
        <v>0</v>
      </c>
      <c r="AW300">
        <f>VLOOKUP(Table29[[#This Row],[Shortname]], Comp[], 28, FALSE)</f>
        <v>0</v>
      </c>
      <c r="AX300">
        <f>VLOOKUP(Table29[[#This Row],[Shortname]], Comp[], 29, FALSE)</f>
        <v>0</v>
      </c>
      <c r="AY300">
        <f>VLOOKUP(Table29[[#This Row],[Shortname]], Comp[], 30, FALSE)</f>
        <v>0</v>
      </c>
      <c r="AZ300">
        <f>VLOOKUP(Table29[[#This Row],[Shortname]], Comp[], 31, FALSE)</f>
        <v>0</v>
      </c>
    </row>
    <row r="301" spans="1:52" x14ac:dyDescent="0.3">
      <c r="A301" t="s">
        <v>4240</v>
      </c>
      <c r="B301">
        <v>328</v>
      </c>
      <c r="C301">
        <v>645</v>
      </c>
      <c r="D301" t="s">
        <v>11</v>
      </c>
      <c r="E301" t="s">
        <v>160</v>
      </c>
      <c r="F301" t="s">
        <v>4242</v>
      </c>
      <c r="G301" t="s">
        <v>4243</v>
      </c>
      <c r="H301">
        <v>300</v>
      </c>
      <c r="I301">
        <v>6.7899999999999998E-7</v>
      </c>
      <c r="J301">
        <f>0.01/Table29[[#This Row],[Strain Rate (min) /s]]</f>
        <v>14727.540500736377</v>
      </c>
      <c r="K301">
        <f>LOG(Table29[[#This Row],[Time to 1% strain (s)]])</f>
        <v>4.1681302257194988</v>
      </c>
      <c r="L301">
        <v>900</v>
      </c>
      <c r="P301" t="s">
        <v>7134</v>
      </c>
      <c r="Q301">
        <v>1250</v>
      </c>
      <c r="R301">
        <v>24</v>
      </c>
      <c r="S301">
        <v>900</v>
      </c>
      <c r="T301">
        <v>100</v>
      </c>
      <c r="W301">
        <v>1</v>
      </c>
      <c r="X301">
        <v>10</v>
      </c>
      <c r="Y301">
        <v>57</v>
      </c>
      <c r="AA301">
        <f>VLOOKUP(Table29[[#This Row],[Shortname]], Comp[], 6, FALSE)</f>
        <v>645</v>
      </c>
      <c r="AB301" s="14">
        <f>VLOOKUP(Table29[[#This Row],[Shortname]], Comp[], 7, FALSE)</f>
        <v>36.46</v>
      </c>
      <c r="AC301">
        <f>VLOOKUP(Table29[[#This Row],[Shortname]], Comp[], 8, FALSE)</f>
        <v>37.5</v>
      </c>
      <c r="AD301">
        <f>VLOOKUP(Table29[[#This Row],[Shortname]], Comp[], 9, FALSE)</f>
        <v>9</v>
      </c>
      <c r="AE301">
        <f>VLOOKUP(Table29[[#This Row],[Shortname]], Comp[], 10, FALSE)</f>
        <v>8</v>
      </c>
      <c r="AF301">
        <f>VLOOKUP(Table29[[#This Row],[Shortname]], Comp[], 11, FALSE)</f>
        <v>9</v>
      </c>
      <c r="AG301">
        <f>VLOOKUP(Table29[[#This Row],[Shortname]], Comp[],12, FALSE)</f>
        <v>0</v>
      </c>
      <c r="AH301">
        <f>VLOOKUP(Table29[[#This Row],[Shortname]], Comp[], 13, FALSE)</f>
        <v>0</v>
      </c>
      <c r="AI301">
        <f>VLOOKUP(Table29[[#This Row],[Shortname]], Comp[], 14, FALSE)</f>
        <v>0</v>
      </c>
      <c r="AJ301">
        <f>VLOOKUP(Table29[[#This Row],[Shortname]], Comp[], 15, FALSE)</f>
        <v>0</v>
      </c>
      <c r="AK301">
        <f>VLOOKUP(Table29[[#This Row],[Shortname]], Comp[], 16, FALSE)</f>
        <v>0</v>
      </c>
      <c r="AL301">
        <f>VLOOKUP(Table29[[#This Row],[Shortname]], Comp[], 17, FALSE)</f>
        <v>0</v>
      </c>
      <c r="AM301">
        <f>VLOOKUP(Table29[[#This Row],[Shortname]], Comp[], 18, FALSE)</f>
        <v>0</v>
      </c>
      <c r="AN301">
        <f>VLOOKUP(Table29[[#This Row],[Shortname]], Comp[], 19, FALSE)</f>
        <v>0.04</v>
      </c>
      <c r="AO301">
        <f>VLOOKUP(Table29[[#This Row],[Shortname]], Comp[], 20, FALSE)</f>
        <v>0</v>
      </c>
      <c r="AP301">
        <f>VLOOKUP(Table29[[#This Row],[Shortname]], Comp[], 21, FALSE)</f>
        <v>0</v>
      </c>
      <c r="AQ301">
        <f>VLOOKUP(Table29[[#This Row],[Shortname]], Comp[], 22, FALSE)</f>
        <v>0</v>
      </c>
      <c r="AR301">
        <f>VLOOKUP(Table29[[#This Row],[Shortname]], Comp[], 23, FALSE)</f>
        <v>0</v>
      </c>
      <c r="AS301">
        <f>VLOOKUP(Table29[[#This Row],[Shortname]], Comp[], 24, FALSE)</f>
        <v>0</v>
      </c>
      <c r="AT301">
        <f>VLOOKUP(Table29[[#This Row],[Shortname]], Comp[], 25, FALSE)</f>
        <v>0</v>
      </c>
      <c r="AU301">
        <f>VLOOKUP(Table29[[#This Row],[Shortname]], Comp[], 26, FALSE)</f>
        <v>0</v>
      </c>
      <c r="AV301">
        <f>VLOOKUP(Table29[[#This Row],[Shortname]], Comp[], 27, FALSE)</f>
        <v>0</v>
      </c>
      <c r="AW301">
        <f>VLOOKUP(Table29[[#This Row],[Shortname]], Comp[], 28, FALSE)</f>
        <v>0</v>
      </c>
      <c r="AX301">
        <f>VLOOKUP(Table29[[#This Row],[Shortname]], Comp[], 29, FALSE)</f>
        <v>0</v>
      </c>
      <c r="AY301">
        <f>VLOOKUP(Table29[[#This Row],[Shortname]], Comp[], 30, FALSE)</f>
        <v>0</v>
      </c>
      <c r="AZ301">
        <f>VLOOKUP(Table29[[#This Row],[Shortname]], Comp[], 31, FALSE)</f>
        <v>0</v>
      </c>
    </row>
    <row r="302" spans="1:52" x14ac:dyDescent="0.3">
      <c r="A302" t="s">
        <v>4240</v>
      </c>
      <c r="B302">
        <v>329</v>
      </c>
      <c r="C302">
        <v>645</v>
      </c>
      <c r="D302" t="s">
        <v>11</v>
      </c>
      <c r="E302" t="s">
        <v>160</v>
      </c>
      <c r="F302" t="s">
        <v>4242</v>
      </c>
      <c r="G302" t="s">
        <v>4243</v>
      </c>
      <c r="H302">
        <v>350</v>
      </c>
      <c r="I302">
        <v>2.6900000000000001E-6</v>
      </c>
      <c r="J302">
        <f>0.01/Table29[[#This Row],[Strain Rate (min) /s]]</f>
        <v>3717.4721189591078</v>
      </c>
      <c r="K302">
        <f>LOG(Table29[[#This Row],[Time to 1% strain (s)]])</f>
        <v>3.5702477199975919</v>
      </c>
      <c r="L302">
        <v>900</v>
      </c>
      <c r="P302" t="s">
        <v>7134</v>
      </c>
      <c r="Q302">
        <v>1250</v>
      </c>
      <c r="R302">
        <v>24</v>
      </c>
      <c r="S302">
        <v>900</v>
      </c>
      <c r="T302">
        <v>100</v>
      </c>
      <c r="W302">
        <v>1</v>
      </c>
      <c r="X302">
        <v>10</v>
      </c>
      <c r="Y302">
        <v>57</v>
      </c>
      <c r="AA302">
        <f>VLOOKUP(Table29[[#This Row],[Shortname]], Comp[], 6, FALSE)</f>
        <v>645</v>
      </c>
      <c r="AB302" s="14">
        <f>VLOOKUP(Table29[[#This Row],[Shortname]], Comp[], 7, FALSE)</f>
        <v>36.46</v>
      </c>
      <c r="AC302">
        <f>VLOOKUP(Table29[[#This Row],[Shortname]], Comp[], 8, FALSE)</f>
        <v>37.5</v>
      </c>
      <c r="AD302">
        <f>VLOOKUP(Table29[[#This Row],[Shortname]], Comp[], 9, FALSE)</f>
        <v>9</v>
      </c>
      <c r="AE302">
        <f>VLOOKUP(Table29[[#This Row],[Shortname]], Comp[], 10, FALSE)</f>
        <v>8</v>
      </c>
      <c r="AF302">
        <f>VLOOKUP(Table29[[#This Row],[Shortname]], Comp[], 11, FALSE)</f>
        <v>9</v>
      </c>
      <c r="AG302">
        <f>VLOOKUP(Table29[[#This Row],[Shortname]], Comp[],12, FALSE)</f>
        <v>0</v>
      </c>
      <c r="AH302">
        <f>VLOOKUP(Table29[[#This Row],[Shortname]], Comp[], 13, FALSE)</f>
        <v>0</v>
      </c>
      <c r="AI302">
        <f>VLOOKUP(Table29[[#This Row],[Shortname]], Comp[], 14, FALSE)</f>
        <v>0</v>
      </c>
      <c r="AJ302">
        <f>VLOOKUP(Table29[[#This Row],[Shortname]], Comp[], 15, FALSE)</f>
        <v>0</v>
      </c>
      <c r="AK302">
        <f>VLOOKUP(Table29[[#This Row],[Shortname]], Comp[], 16, FALSE)</f>
        <v>0</v>
      </c>
      <c r="AL302">
        <f>VLOOKUP(Table29[[#This Row],[Shortname]], Comp[], 17, FALSE)</f>
        <v>0</v>
      </c>
      <c r="AM302">
        <f>VLOOKUP(Table29[[#This Row],[Shortname]], Comp[], 18, FALSE)</f>
        <v>0</v>
      </c>
      <c r="AN302">
        <f>VLOOKUP(Table29[[#This Row],[Shortname]], Comp[], 19, FALSE)</f>
        <v>0.04</v>
      </c>
      <c r="AO302">
        <f>VLOOKUP(Table29[[#This Row],[Shortname]], Comp[], 20, FALSE)</f>
        <v>0</v>
      </c>
      <c r="AP302">
        <f>VLOOKUP(Table29[[#This Row],[Shortname]], Comp[], 21, FALSE)</f>
        <v>0</v>
      </c>
      <c r="AQ302">
        <f>VLOOKUP(Table29[[#This Row],[Shortname]], Comp[], 22, FALSE)</f>
        <v>0</v>
      </c>
      <c r="AR302">
        <f>VLOOKUP(Table29[[#This Row],[Shortname]], Comp[], 23, FALSE)</f>
        <v>0</v>
      </c>
      <c r="AS302">
        <f>VLOOKUP(Table29[[#This Row],[Shortname]], Comp[], 24, FALSE)</f>
        <v>0</v>
      </c>
      <c r="AT302">
        <f>VLOOKUP(Table29[[#This Row],[Shortname]], Comp[], 25, FALSE)</f>
        <v>0</v>
      </c>
      <c r="AU302">
        <f>VLOOKUP(Table29[[#This Row],[Shortname]], Comp[], 26, FALSE)</f>
        <v>0</v>
      </c>
      <c r="AV302">
        <f>VLOOKUP(Table29[[#This Row],[Shortname]], Comp[], 27, FALSE)</f>
        <v>0</v>
      </c>
      <c r="AW302">
        <f>VLOOKUP(Table29[[#This Row],[Shortname]], Comp[], 28, FALSE)</f>
        <v>0</v>
      </c>
      <c r="AX302">
        <f>VLOOKUP(Table29[[#This Row],[Shortname]], Comp[], 29, FALSE)</f>
        <v>0</v>
      </c>
      <c r="AY302">
        <f>VLOOKUP(Table29[[#This Row],[Shortname]], Comp[], 30, FALSE)</f>
        <v>0</v>
      </c>
      <c r="AZ302">
        <f>VLOOKUP(Table29[[#This Row],[Shortname]], Comp[], 31, FALSE)</f>
        <v>0</v>
      </c>
    </row>
    <row r="303" spans="1:52" x14ac:dyDescent="0.3">
      <c r="A303" t="s">
        <v>4248</v>
      </c>
      <c r="B303">
        <v>330</v>
      </c>
      <c r="C303">
        <v>646</v>
      </c>
      <c r="D303" t="s">
        <v>4249</v>
      </c>
      <c r="E303" t="s">
        <v>160</v>
      </c>
      <c r="F303" t="s">
        <v>4250</v>
      </c>
      <c r="G303" t="s">
        <v>4243</v>
      </c>
      <c r="H303">
        <v>250</v>
      </c>
      <c r="I303">
        <v>3.9000000000000002E-7</v>
      </c>
      <c r="J303">
        <f>0.01/Table29[[#This Row],[Strain Rate (min) /s]]</f>
        <v>25641.025641025641</v>
      </c>
      <c r="K303">
        <f>LOG(Table29[[#This Row],[Time to 1% strain (s)]])</f>
        <v>4.4089353929735005</v>
      </c>
      <c r="L303">
        <v>900</v>
      </c>
      <c r="P303" t="s">
        <v>7135</v>
      </c>
      <c r="Q303">
        <v>1250</v>
      </c>
      <c r="R303">
        <v>24</v>
      </c>
      <c r="S303">
        <v>900</v>
      </c>
      <c r="T303">
        <v>100</v>
      </c>
      <c r="W303">
        <v>1</v>
      </c>
      <c r="X303">
        <v>10</v>
      </c>
      <c r="Y303">
        <v>71</v>
      </c>
      <c r="AA303">
        <f>VLOOKUP(Table29[[#This Row],[Shortname]], Comp[], 6, FALSE)</f>
        <v>646</v>
      </c>
      <c r="AB303" s="14">
        <f>VLOOKUP(Table29[[#This Row],[Shortname]], Comp[], 7, FALSE)</f>
        <v>55.160000000000004</v>
      </c>
      <c r="AC303">
        <f>VLOOKUP(Table29[[#This Row],[Shortname]], Comp[], 8, FALSE)</f>
        <v>18.8</v>
      </c>
      <c r="AD303">
        <f>VLOOKUP(Table29[[#This Row],[Shortname]], Comp[], 9, FALSE)</f>
        <v>9</v>
      </c>
      <c r="AE303">
        <f>VLOOKUP(Table29[[#This Row],[Shortname]], Comp[], 10, FALSE)</f>
        <v>8</v>
      </c>
      <c r="AF303">
        <f>VLOOKUP(Table29[[#This Row],[Shortname]], Comp[], 11, FALSE)</f>
        <v>9</v>
      </c>
      <c r="AG303">
        <f>VLOOKUP(Table29[[#This Row],[Shortname]], Comp[],12, FALSE)</f>
        <v>0</v>
      </c>
      <c r="AH303">
        <f>VLOOKUP(Table29[[#This Row],[Shortname]], Comp[], 13, FALSE)</f>
        <v>0</v>
      </c>
      <c r="AI303">
        <f>VLOOKUP(Table29[[#This Row],[Shortname]], Comp[], 14, FALSE)</f>
        <v>0</v>
      </c>
      <c r="AJ303">
        <f>VLOOKUP(Table29[[#This Row],[Shortname]], Comp[], 15, FALSE)</f>
        <v>0</v>
      </c>
      <c r="AK303">
        <f>VLOOKUP(Table29[[#This Row],[Shortname]], Comp[], 16, FALSE)</f>
        <v>0</v>
      </c>
      <c r="AL303">
        <f>VLOOKUP(Table29[[#This Row],[Shortname]], Comp[], 17, FALSE)</f>
        <v>0</v>
      </c>
      <c r="AM303">
        <f>VLOOKUP(Table29[[#This Row],[Shortname]], Comp[], 18, FALSE)</f>
        <v>0</v>
      </c>
      <c r="AN303">
        <f>VLOOKUP(Table29[[#This Row],[Shortname]], Comp[], 19, FALSE)</f>
        <v>0.04</v>
      </c>
      <c r="AO303">
        <f>VLOOKUP(Table29[[#This Row],[Shortname]], Comp[], 20, FALSE)</f>
        <v>0</v>
      </c>
      <c r="AP303">
        <f>VLOOKUP(Table29[[#This Row],[Shortname]], Comp[], 21, FALSE)</f>
        <v>0</v>
      </c>
      <c r="AQ303">
        <f>VLOOKUP(Table29[[#This Row],[Shortname]], Comp[], 22, FALSE)</f>
        <v>0</v>
      </c>
      <c r="AR303">
        <f>VLOOKUP(Table29[[#This Row],[Shortname]], Comp[], 23, FALSE)</f>
        <v>0</v>
      </c>
      <c r="AS303">
        <f>VLOOKUP(Table29[[#This Row],[Shortname]], Comp[], 24, FALSE)</f>
        <v>0</v>
      </c>
      <c r="AT303">
        <f>VLOOKUP(Table29[[#This Row],[Shortname]], Comp[], 25, FALSE)</f>
        <v>0</v>
      </c>
      <c r="AU303">
        <f>VLOOKUP(Table29[[#This Row],[Shortname]], Comp[], 26, FALSE)</f>
        <v>0</v>
      </c>
      <c r="AV303">
        <f>VLOOKUP(Table29[[#This Row],[Shortname]], Comp[], 27, FALSE)</f>
        <v>0</v>
      </c>
      <c r="AW303">
        <f>VLOOKUP(Table29[[#This Row],[Shortname]], Comp[], 28, FALSE)</f>
        <v>0</v>
      </c>
      <c r="AX303">
        <f>VLOOKUP(Table29[[#This Row],[Shortname]], Comp[], 29, FALSE)</f>
        <v>0</v>
      </c>
      <c r="AY303">
        <f>VLOOKUP(Table29[[#This Row],[Shortname]], Comp[], 30, FALSE)</f>
        <v>0</v>
      </c>
      <c r="AZ303">
        <f>VLOOKUP(Table29[[#This Row],[Shortname]], Comp[], 31, FALSE)</f>
        <v>0</v>
      </c>
    </row>
    <row r="304" spans="1:52" x14ac:dyDescent="0.3">
      <c r="A304" t="s">
        <v>4248</v>
      </c>
      <c r="B304">
        <v>331</v>
      </c>
      <c r="C304">
        <v>646</v>
      </c>
      <c r="D304" t="s">
        <v>11</v>
      </c>
      <c r="E304" t="s">
        <v>160</v>
      </c>
      <c r="F304" t="s">
        <v>4250</v>
      </c>
      <c r="G304" t="s">
        <v>4243</v>
      </c>
      <c r="H304">
        <v>300</v>
      </c>
      <c r="I304">
        <v>2.2699999999999999E-6</v>
      </c>
      <c r="J304">
        <f>0.01/Table29[[#This Row],[Strain Rate (min) /s]]</f>
        <v>4405.2863436123353</v>
      </c>
      <c r="K304">
        <f>LOG(Table29[[#This Row],[Time to 1% strain (s)]])</f>
        <v>3.6439741428068775</v>
      </c>
      <c r="L304">
        <v>900</v>
      </c>
      <c r="P304" t="s">
        <v>7135</v>
      </c>
      <c r="Q304">
        <v>1250</v>
      </c>
      <c r="R304">
        <v>24</v>
      </c>
      <c r="S304">
        <v>900</v>
      </c>
      <c r="T304">
        <v>100</v>
      </c>
      <c r="W304">
        <v>1</v>
      </c>
      <c r="X304">
        <v>10</v>
      </c>
      <c r="Y304">
        <v>71</v>
      </c>
      <c r="AA304">
        <f>VLOOKUP(Table29[[#This Row],[Shortname]], Comp[], 6, FALSE)</f>
        <v>646</v>
      </c>
      <c r="AB304" s="14">
        <f>VLOOKUP(Table29[[#This Row],[Shortname]], Comp[], 7, FALSE)</f>
        <v>55.160000000000004</v>
      </c>
      <c r="AC304">
        <f>VLOOKUP(Table29[[#This Row],[Shortname]], Comp[], 8, FALSE)</f>
        <v>18.8</v>
      </c>
      <c r="AD304">
        <f>VLOOKUP(Table29[[#This Row],[Shortname]], Comp[], 9, FALSE)</f>
        <v>9</v>
      </c>
      <c r="AE304">
        <f>VLOOKUP(Table29[[#This Row],[Shortname]], Comp[], 10, FALSE)</f>
        <v>8</v>
      </c>
      <c r="AF304">
        <f>VLOOKUP(Table29[[#This Row],[Shortname]], Comp[], 11, FALSE)</f>
        <v>9</v>
      </c>
      <c r="AG304">
        <f>VLOOKUP(Table29[[#This Row],[Shortname]], Comp[],12, FALSE)</f>
        <v>0</v>
      </c>
      <c r="AH304">
        <f>VLOOKUP(Table29[[#This Row],[Shortname]], Comp[], 13, FALSE)</f>
        <v>0</v>
      </c>
      <c r="AI304">
        <f>VLOOKUP(Table29[[#This Row],[Shortname]], Comp[], 14, FALSE)</f>
        <v>0</v>
      </c>
      <c r="AJ304">
        <f>VLOOKUP(Table29[[#This Row],[Shortname]], Comp[], 15, FALSE)</f>
        <v>0</v>
      </c>
      <c r="AK304">
        <f>VLOOKUP(Table29[[#This Row],[Shortname]], Comp[], 16, FALSE)</f>
        <v>0</v>
      </c>
      <c r="AL304">
        <f>VLOOKUP(Table29[[#This Row],[Shortname]], Comp[], 17, FALSE)</f>
        <v>0</v>
      </c>
      <c r="AM304">
        <f>VLOOKUP(Table29[[#This Row],[Shortname]], Comp[], 18, FALSE)</f>
        <v>0</v>
      </c>
      <c r="AN304">
        <f>VLOOKUP(Table29[[#This Row],[Shortname]], Comp[], 19, FALSE)</f>
        <v>0.04</v>
      </c>
      <c r="AO304">
        <f>VLOOKUP(Table29[[#This Row],[Shortname]], Comp[], 20, FALSE)</f>
        <v>0</v>
      </c>
      <c r="AP304">
        <f>VLOOKUP(Table29[[#This Row],[Shortname]], Comp[], 21, FALSE)</f>
        <v>0</v>
      </c>
      <c r="AQ304">
        <f>VLOOKUP(Table29[[#This Row],[Shortname]], Comp[], 22, FALSE)</f>
        <v>0</v>
      </c>
      <c r="AR304">
        <f>VLOOKUP(Table29[[#This Row],[Shortname]], Comp[], 23, FALSE)</f>
        <v>0</v>
      </c>
      <c r="AS304">
        <f>VLOOKUP(Table29[[#This Row],[Shortname]], Comp[], 24, FALSE)</f>
        <v>0</v>
      </c>
      <c r="AT304">
        <f>VLOOKUP(Table29[[#This Row],[Shortname]], Comp[], 25, FALSE)</f>
        <v>0</v>
      </c>
      <c r="AU304">
        <f>VLOOKUP(Table29[[#This Row],[Shortname]], Comp[], 26, FALSE)</f>
        <v>0</v>
      </c>
      <c r="AV304">
        <f>VLOOKUP(Table29[[#This Row],[Shortname]], Comp[], 27, FALSE)</f>
        <v>0</v>
      </c>
      <c r="AW304">
        <f>VLOOKUP(Table29[[#This Row],[Shortname]], Comp[], 28, FALSE)</f>
        <v>0</v>
      </c>
      <c r="AX304">
        <f>VLOOKUP(Table29[[#This Row],[Shortname]], Comp[], 29, FALSE)</f>
        <v>0</v>
      </c>
      <c r="AY304">
        <f>VLOOKUP(Table29[[#This Row],[Shortname]], Comp[], 30, FALSE)</f>
        <v>0</v>
      </c>
      <c r="AZ304">
        <f>VLOOKUP(Table29[[#This Row],[Shortname]], Comp[], 31, FALSE)</f>
        <v>0</v>
      </c>
    </row>
    <row r="305" spans="1:52" x14ac:dyDescent="0.3">
      <c r="A305" t="s">
        <v>4248</v>
      </c>
      <c r="B305">
        <v>332</v>
      </c>
      <c r="C305">
        <v>646</v>
      </c>
      <c r="D305" t="s">
        <v>11</v>
      </c>
      <c r="E305" t="s">
        <v>160</v>
      </c>
      <c r="F305" t="s">
        <v>4250</v>
      </c>
      <c r="G305" t="s">
        <v>4243</v>
      </c>
      <c r="H305">
        <v>350</v>
      </c>
      <c r="I305">
        <v>7.9799999999999998E-6</v>
      </c>
      <c r="J305">
        <f>0.01/Table29[[#This Row],[Strain Rate (min) /s]]</f>
        <v>1253.1328320802006</v>
      </c>
      <c r="K305">
        <f>LOG(Table29[[#This Row],[Time to 1% strain (s)]])</f>
        <v>3.0979971086492708</v>
      </c>
      <c r="L305">
        <v>900</v>
      </c>
      <c r="P305" t="s">
        <v>7135</v>
      </c>
      <c r="Q305">
        <v>1250</v>
      </c>
      <c r="R305">
        <v>24</v>
      </c>
      <c r="S305">
        <v>900</v>
      </c>
      <c r="T305">
        <v>100</v>
      </c>
      <c r="W305">
        <v>1</v>
      </c>
      <c r="X305">
        <v>10</v>
      </c>
      <c r="Y305">
        <v>71</v>
      </c>
      <c r="AA305">
        <f>VLOOKUP(Table29[[#This Row],[Shortname]], Comp[], 6, FALSE)</f>
        <v>646</v>
      </c>
      <c r="AB305" s="14">
        <f>VLOOKUP(Table29[[#This Row],[Shortname]], Comp[], 7, FALSE)</f>
        <v>55.160000000000004</v>
      </c>
      <c r="AC305">
        <f>VLOOKUP(Table29[[#This Row],[Shortname]], Comp[], 8, FALSE)</f>
        <v>18.8</v>
      </c>
      <c r="AD305">
        <f>VLOOKUP(Table29[[#This Row],[Shortname]], Comp[], 9, FALSE)</f>
        <v>9</v>
      </c>
      <c r="AE305">
        <f>VLOOKUP(Table29[[#This Row],[Shortname]], Comp[], 10, FALSE)</f>
        <v>8</v>
      </c>
      <c r="AF305">
        <f>VLOOKUP(Table29[[#This Row],[Shortname]], Comp[], 11, FALSE)</f>
        <v>9</v>
      </c>
      <c r="AG305">
        <f>VLOOKUP(Table29[[#This Row],[Shortname]], Comp[],12, FALSE)</f>
        <v>0</v>
      </c>
      <c r="AH305">
        <f>VLOOKUP(Table29[[#This Row],[Shortname]], Comp[], 13, FALSE)</f>
        <v>0</v>
      </c>
      <c r="AI305">
        <f>VLOOKUP(Table29[[#This Row],[Shortname]], Comp[], 14, FALSE)</f>
        <v>0</v>
      </c>
      <c r="AJ305">
        <f>VLOOKUP(Table29[[#This Row],[Shortname]], Comp[], 15, FALSE)</f>
        <v>0</v>
      </c>
      <c r="AK305">
        <f>VLOOKUP(Table29[[#This Row],[Shortname]], Comp[], 16, FALSE)</f>
        <v>0</v>
      </c>
      <c r="AL305">
        <f>VLOOKUP(Table29[[#This Row],[Shortname]], Comp[], 17, FALSE)</f>
        <v>0</v>
      </c>
      <c r="AM305">
        <f>VLOOKUP(Table29[[#This Row],[Shortname]], Comp[], 18, FALSE)</f>
        <v>0</v>
      </c>
      <c r="AN305">
        <f>VLOOKUP(Table29[[#This Row],[Shortname]], Comp[], 19, FALSE)</f>
        <v>0.04</v>
      </c>
      <c r="AO305">
        <f>VLOOKUP(Table29[[#This Row],[Shortname]], Comp[], 20, FALSE)</f>
        <v>0</v>
      </c>
      <c r="AP305">
        <f>VLOOKUP(Table29[[#This Row],[Shortname]], Comp[], 21, FALSE)</f>
        <v>0</v>
      </c>
      <c r="AQ305">
        <f>VLOOKUP(Table29[[#This Row],[Shortname]], Comp[], 22, FALSE)</f>
        <v>0</v>
      </c>
      <c r="AR305">
        <f>VLOOKUP(Table29[[#This Row],[Shortname]], Comp[], 23, FALSE)</f>
        <v>0</v>
      </c>
      <c r="AS305">
        <f>VLOOKUP(Table29[[#This Row],[Shortname]], Comp[], 24, FALSE)</f>
        <v>0</v>
      </c>
      <c r="AT305">
        <f>VLOOKUP(Table29[[#This Row],[Shortname]], Comp[], 25, FALSE)</f>
        <v>0</v>
      </c>
      <c r="AU305">
        <f>VLOOKUP(Table29[[#This Row],[Shortname]], Comp[], 26, FALSE)</f>
        <v>0</v>
      </c>
      <c r="AV305">
        <f>VLOOKUP(Table29[[#This Row],[Shortname]], Comp[], 27, FALSE)</f>
        <v>0</v>
      </c>
      <c r="AW305">
        <f>VLOOKUP(Table29[[#This Row],[Shortname]], Comp[], 28, FALSE)</f>
        <v>0</v>
      </c>
      <c r="AX305">
        <f>VLOOKUP(Table29[[#This Row],[Shortname]], Comp[], 29, FALSE)</f>
        <v>0</v>
      </c>
      <c r="AY305">
        <f>VLOOKUP(Table29[[#This Row],[Shortname]], Comp[], 30, FALSE)</f>
        <v>0</v>
      </c>
      <c r="AZ305">
        <f>VLOOKUP(Table29[[#This Row],[Shortname]], Comp[], 31, FALSE)</f>
        <v>0</v>
      </c>
    </row>
    <row r="306" spans="1:52" x14ac:dyDescent="0.3">
      <c r="A306" t="s">
        <v>4255</v>
      </c>
      <c r="B306">
        <v>333</v>
      </c>
      <c r="C306">
        <v>647</v>
      </c>
      <c r="D306" t="s">
        <v>3550</v>
      </c>
      <c r="E306" t="s">
        <v>95</v>
      </c>
      <c r="F306" t="s">
        <v>4256</v>
      </c>
      <c r="G306" t="s">
        <v>4243</v>
      </c>
      <c r="H306">
        <v>250</v>
      </c>
      <c r="I306">
        <v>3.4300000000000002E-6</v>
      </c>
      <c r="J306">
        <f>0.01/Table29[[#This Row],[Strain Rate (min) /s]]</f>
        <v>2915.4518950437318</v>
      </c>
      <c r="K306">
        <f>LOG(Table29[[#This Row],[Time to 1% strain (s)]])</f>
        <v>3.4647058799572297</v>
      </c>
      <c r="L306">
        <v>900</v>
      </c>
      <c r="P306" t="s">
        <v>7136</v>
      </c>
      <c r="Q306">
        <v>1250</v>
      </c>
      <c r="R306">
        <v>24</v>
      </c>
      <c r="S306">
        <v>900</v>
      </c>
      <c r="T306">
        <v>100</v>
      </c>
      <c r="W306">
        <v>1</v>
      </c>
      <c r="X306">
        <v>10</v>
      </c>
      <c r="Y306">
        <v>15</v>
      </c>
      <c r="Z306" t="s">
        <v>7137</v>
      </c>
      <c r="AA306">
        <f>VLOOKUP(Table29[[#This Row],[Shortname]], Comp[], 6, FALSE)</f>
        <v>647</v>
      </c>
      <c r="AB306" s="14">
        <f>VLOOKUP(Table29[[#This Row],[Shortname]], Comp[], 7, FALSE)</f>
        <v>73.960000000000008</v>
      </c>
      <c r="AC306">
        <f>VLOOKUP(Table29[[#This Row],[Shortname]], Comp[], 8, FALSE)</f>
        <v>0</v>
      </c>
      <c r="AD306">
        <f>VLOOKUP(Table29[[#This Row],[Shortname]], Comp[], 9, FALSE)</f>
        <v>9</v>
      </c>
      <c r="AE306">
        <f>VLOOKUP(Table29[[#This Row],[Shortname]], Comp[], 10, FALSE)</f>
        <v>8</v>
      </c>
      <c r="AF306">
        <f>VLOOKUP(Table29[[#This Row],[Shortname]], Comp[], 11, FALSE)</f>
        <v>9</v>
      </c>
      <c r="AG306">
        <f>VLOOKUP(Table29[[#This Row],[Shortname]], Comp[],12, FALSE)</f>
        <v>0</v>
      </c>
      <c r="AH306">
        <f>VLOOKUP(Table29[[#This Row],[Shortname]], Comp[], 13, FALSE)</f>
        <v>0</v>
      </c>
      <c r="AI306">
        <f>VLOOKUP(Table29[[#This Row],[Shortname]], Comp[], 14, FALSE)</f>
        <v>0</v>
      </c>
      <c r="AJ306">
        <f>VLOOKUP(Table29[[#This Row],[Shortname]], Comp[], 15, FALSE)</f>
        <v>0</v>
      </c>
      <c r="AK306">
        <f>VLOOKUP(Table29[[#This Row],[Shortname]], Comp[], 16, FALSE)</f>
        <v>0</v>
      </c>
      <c r="AL306">
        <f>VLOOKUP(Table29[[#This Row],[Shortname]], Comp[], 17, FALSE)</f>
        <v>0</v>
      </c>
      <c r="AM306">
        <f>VLOOKUP(Table29[[#This Row],[Shortname]], Comp[], 18, FALSE)</f>
        <v>0</v>
      </c>
      <c r="AN306">
        <f>VLOOKUP(Table29[[#This Row],[Shortname]], Comp[], 19, FALSE)</f>
        <v>0.04</v>
      </c>
      <c r="AO306">
        <f>VLOOKUP(Table29[[#This Row],[Shortname]], Comp[], 20, FALSE)</f>
        <v>0</v>
      </c>
      <c r="AP306">
        <f>VLOOKUP(Table29[[#This Row],[Shortname]], Comp[], 21, FALSE)</f>
        <v>0</v>
      </c>
      <c r="AQ306">
        <f>VLOOKUP(Table29[[#This Row],[Shortname]], Comp[], 22, FALSE)</f>
        <v>0</v>
      </c>
      <c r="AR306">
        <f>VLOOKUP(Table29[[#This Row],[Shortname]], Comp[], 23, FALSE)</f>
        <v>0</v>
      </c>
      <c r="AS306">
        <f>VLOOKUP(Table29[[#This Row],[Shortname]], Comp[], 24, FALSE)</f>
        <v>0</v>
      </c>
      <c r="AT306">
        <f>VLOOKUP(Table29[[#This Row],[Shortname]], Comp[], 25, FALSE)</f>
        <v>0</v>
      </c>
      <c r="AU306">
        <f>VLOOKUP(Table29[[#This Row],[Shortname]], Comp[], 26, FALSE)</f>
        <v>0</v>
      </c>
      <c r="AV306">
        <f>VLOOKUP(Table29[[#This Row],[Shortname]], Comp[], 27, FALSE)</f>
        <v>0</v>
      </c>
      <c r="AW306">
        <f>VLOOKUP(Table29[[#This Row],[Shortname]], Comp[], 28, FALSE)</f>
        <v>0</v>
      </c>
      <c r="AX306">
        <f>VLOOKUP(Table29[[#This Row],[Shortname]], Comp[], 29, FALSE)</f>
        <v>0</v>
      </c>
      <c r="AY306">
        <f>VLOOKUP(Table29[[#This Row],[Shortname]], Comp[], 30, FALSE)</f>
        <v>0</v>
      </c>
      <c r="AZ306">
        <f>VLOOKUP(Table29[[#This Row],[Shortname]], Comp[], 31, FALSE)</f>
        <v>0</v>
      </c>
    </row>
    <row r="307" spans="1:52" x14ac:dyDescent="0.3">
      <c r="A307" t="s">
        <v>4255</v>
      </c>
      <c r="B307">
        <v>334</v>
      </c>
      <c r="C307">
        <v>647</v>
      </c>
      <c r="D307" t="s">
        <v>11</v>
      </c>
      <c r="E307" t="s">
        <v>95</v>
      </c>
      <c r="F307" t="s">
        <v>4256</v>
      </c>
      <c r="G307" t="s">
        <v>4243</v>
      </c>
      <c r="H307">
        <v>300</v>
      </c>
      <c r="I307">
        <v>9.6800000000000005E-6</v>
      </c>
      <c r="J307">
        <f>0.01/Table29[[#This Row],[Strain Rate (min) /s]]</f>
        <v>1033.0578512396694</v>
      </c>
      <c r="K307">
        <f>LOG(Table29[[#This Row],[Time to 1% strain (s)]])</f>
        <v>3.0141246426916064</v>
      </c>
      <c r="L307">
        <v>900</v>
      </c>
      <c r="P307" t="s">
        <v>7136</v>
      </c>
      <c r="Q307">
        <v>1250</v>
      </c>
      <c r="R307">
        <v>24</v>
      </c>
      <c r="S307">
        <v>900</v>
      </c>
      <c r="T307">
        <v>100</v>
      </c>
      <c r="W307">
        <v>1</v>
      </c>
      <c r="X307">
        <v>10</v>
      </c>
      <c r="Y307">
        <v>15</v>
      </c>
      <c r="Z307" t="s">
        <v>7137</v>
      </c>
      <c r="AA307">
        <f>VLOOKUP(Table29[[#This Row],[Shortname]], Comp[], 6, FALSE)</f>
        <v>647</v>
      </c>
      <c r="AB307" s="14">
        <f>VLOOKUP(Table29[[#This Row],[Shortname]], Comp[], 7, FALSE)</f>
        <v>73.960000000000008</v>
      </c>
      <c r="AC307">
        <f>VLOOKUP(Table29[[#This Row],[Shortname]], Comp[], 8, FALSE)</f>
        <v>0</v>
      </c>
      <c r="AD307">
        <f>VLOOKUP(Table29[[#This Row],[Shortname]], Comp[], 9, FALSE)</f>
        <v>9</v>
      </c>
      <c r="AE307">
        <f>VLOOKUP(Table29[[#This Row],[Shortname]], Comp[], 10, FALSE)</f>
        <v>8</v>
      </c>
      <c r="AF307">
        <f>VLOOKUP(Table29[[#This Row],[Shortname]], Comp[], 11, FALSE)</f>
        <v>9</v>
      </c>
      <c r="AG307">
        <f>VLOOKUP(Table29[[#This Row],[Shortname]], Comp[],12, FALSE)</f>
        <v>0</v>
      </c>
      <c r="AH307">
        <f>VLOOKUP(Table29[[#This Row],[Shortname]], Comp[], 13, FALSE)</f>
        <v>0</v>
      </c>
      <c r="AI307">
        <f>VLOOKUP(Table29[[#This Row],[Shortname]], Comp[], 14, FALSE)</f>
        <v>0</v>
      </c>
      <c r="AJ307">
        <f>VLOOKUP(Table29[[#This Row],[Shortname]], Comp[], 15, FALSE)</f>
        <v>0</v>
      </c>
      <c r="AK307">
        <f>VLOOKUP(Table29[[#This Row],[Shortname]], Comp[], 16, FALSE)</f>
        <v>0</v>
      </c>
      <c r="AL307">
        <f>VLOOKUP(Table29[[#This Row],[Shortname]], Comp[], 17, FALSE)</f>
        <v>0</v>
      </c>
      <c r="AM307">
        <f>VLOOKUP(Table29[[#This Row],[Shortname]], Comp[], 18, FALSE)</f>
        <v>0</v>
      </c>
      <c r="AN307">
        <f>VLOOKUP(Table29[[#This Row],[Shortname]], Comp[], 19, FALSE)</f>
        <v>0.04</v>
      </c>
      <c r="AO307">
        <f>VLOOKUP(Table29[[#This Row],[Shortname]], Comp[], 20, FALSE)</f>
        <v>0</v>
      </c>
      <c r="AP307">
        <f>VLOOKUP(Table29[[#This Row],[Shortname]], Comp[], 21, FALSE)</f>
        <v>0</v>
      </c>
      <c r="AQ307">
        <f>VLOOKUP(Table29[[#This Row],[Shortname]], Comp[], 22, FALSE)</f>
        <v>0</v>
      </c>
      <c r="AR307">
        <f>VLOOKUP(Table29[[#This Row],[Shortname]], Comp[], 23, FALSE)</f>
        <v>0</v>
      </c>
      <c r="AS307">
        <f>VLOOKUP(Table29[[#This Row],[Shortname]], Comp[], 24, FALSE)</f>
        <v>0</v>
      </c>
      <c r="AT307">
        <f>VLOOKUP(Table29[[#This Row],[Shortname]], Comp[], 25, FALSE)</f>
        <v>0</v>
      </c>
      <c r="AU307">
        <f>VLOOKUP(Table29[[#This Row],[Shortname]], Comp[], 26, FALSE)</f>
        <v>0</v>
      </c>
      <c r="AV307">
        <f>VLOOKUP(Table29[[#This Row],[Shortname]], Comp[], 27, FALSE)</f>
        <v>0</v>
      </c>
      <c r="AW307">
        <f>VLOOKUP(Table29[[#This Row],[Shortname]], Comp[], 28, FALSE)</f>
        <v>0</v>
      </c>
      <c r="AX307">
        <f>VLOOKUP(Table29[[#This Row],[Shortname]], Comp[], 29, FALSE)</f>
        <v>0</v>
      </c>
      <c r="AY307">
        <f>VLOOKUP(Table29[[#This Row],[Shortname]], Comp[], 30, FALSE)</f>
        <v>0</v>
      </c>
      <c r="AZ307">
        <f>VLOOKUP(Table29[[#This Row],[Shortname]], Comp[], 31, FALSE)</f>
        <v>0</v>
      </c>
    </row>
    <row r="308" spans="1:52" x14ac:dyDescent="0.3">
      <c r="A308" t="s">
        <v>4260</v>
      </c>
      <c r="B308">
        <v>353</v>
      </c>
      <c r="C308">
        <v>648</v>
      </c>
      <c r="D308" t="s">
        <v>4261</v>
      </c>
      <c r="E308" t="s">
        <v>95</v>
      </c>
      <c r="F308" t="s">
        <v>4262</v>
      </c>
      <c r="G308" t="s">
        <v>4263</v>
      </c>
      <c r="H308">
        <v>250</v>
      </c>
      <c r="I308">
        <v>1.7799999999999999E-6</v>
      </c>
      <c r="J308">
        <f>0.01/Table29[[#This Row],[Strain Rate (min) /s]]</f>
        <v>5617.9775280898884</v>
      </c>
      <c r="K308">
        <f>LOG(Table29[[#This Row],[Time to 1% strain (s)]])</f>
        <v>3.7495799976911059</v>
      </c>
      <c r="L308">
        <v>900</v>
      </c>
      <c r="P308" t="s">
        <v>7138</v>
      </c>
      <c r="Q308">
        <v>1250</v>
      </c>
      <c r="R308">
        <v>24</v>
      </c>
      <c r="S308">
        <v>900</v>
      </c>
      <c r="T308">
        <v>100</v>
      </c>
      <c r="W308">
        <v>1</v>
      </c>
      <c r="X308">
        <v>10</v>
      </c>
      <c r="Y308">
        <v>56</v>
      </c>
      <c r="AA308">
        <f>VLOOKUP(Table29[[#This Row],[Shortname]], Comp[], 6, FALSE)</f>
        <v>648</v>
      </c>
      <c r="AB308" s="14">
        <f>VLOOKUP(Table29[[#This Row],[Shortname]], Comp[], 7, FALSE)</f>
        <v>41.48</v>
      </c>
      <c r="AC308">
        <f>VLOOKUP(Table29[[#This Row],[Shortname]], Comp[], 8, FALSE)</f>
        <v>41.5</v>
      </c>
      <c r="AD308">
        <f>VLOOKUP(Table29[[#This Row],[Shortname]], Comp[], 9, FALSE)</f>
        <v>9.6</v>
      </c>
      <c r="AE308">
        <f>VLOOKUP(Table29[[#This Row],[Shortname]], Comp[], 10, FALSE)</f>
        <v>0</v>
      </c>
      <c r="AF308">
        <f>VLOOKUP(Table29[[#This Row],[Shortname]], Comp[], 11, FALSE)</f>
        <v>7.38</v>
      </c>
      <c r="AG308">
        <f>VLOOKUP(Table29[[#This Row],[Shortname]], Comp[],12, FALSE)</f>
        <v>0</v>
      </c>
      <c r="AH308">
        <f>VLOOKUP(Table29[[#This Row],[Shortname]], Comp[], 13, FALSE)</f>
        <v>0</v>
      </c>
      <c r="AI308">
        <f>VLOOKUP(Table29[[#This Row],[Shortname]], Comp[], 14, FALSE)</f>
        <v>0</v>
      </c>
      <c r="AJ308">
        <f>VLOOKUP(Table29[[#This Row],[Shortname]], Comp[], 15, FALSE)</f>
        <v>0</v>
      </c>
      <c r="AK308">
        <f>VLOOKUP(Table29[[#This Row],[Shortname]], Comp[], 16, FALSE)</f>
        <v>0</v>
      </c>
      <c r="AL308">
        <f>VLOOKUP(Table29[[#This Row],[Shortname]], Comp[], 17, FALSE)</f>
        <v>0</v>
      </c>
      <c r="AM308">
        <f>VLOOKUP(Table29[[#This Row],[Shortname]], Comp[], 18, FALSE)</f>
        <v>0</v>
      </c>
      <c r="AN308">
        <f>VLOOKUP(Table29[[#This Row],[Shortname]], Comp[], 19, FALSE)</f>
        <v>0.04</v>
      </c>
      <c r="AO308">
        <f>VLOOKUP(Table29[[#This Row],[Shortname]], Comp[], 20, FALSE)</f>
        <v>0</v>
      </c>
      <c r="AP308">
        <f>VLOOKUP(Table29[[#This Row],[Shortname]], Comp[], 21, FALSE)</f>
        <v>0</v>
      </c>
      <c r="AQ308">
        <f>VLOOKUP(Table29[[#This Row],[Shortname]], Comp[], 22, FALSE)</f>
        <v>0</v>
      </c>
      <c r="AR308">
        <f>VLOOKUP(Table29[[#This Row],[Shortname]], Comp[], 23, FALSE)</f>
        <v>0</v>
      </c>
      <c r="AS308">
        <f>VLOOKUP(Table29[[#This Row],[Shortname]], Comp[], 24, FALSE)</f>
        <v>0</v>
      </c>
      <c r="AT308">
        <f>VLOOKUP(Table29[[#This Row],[Shortname]], Comp[], 25, FALSE)</f>
        <v>0</v>
      </c>
      <c r="AU308">
        <f>VLOOKUP(Table29[[#This Row],[Shortname]], Comp[], 26, FALSE)</f>
        <v>0</v>
      </c>
      <c r="AV308">
        <f>VLOOKUP(Table29[[#This Row],[Shortname]], Comp[], 27, FALSE)</f>
        <v>0</v>
      </c>
      <c r="AW308">
        <f>VLOOKUP(Table29[[#This Row],[Shortname]], Comp[], 28, FALSE)</f>
        <v>0</v>
      </c>
      <c r="AX308">
        <f>VLOOKUP(Table29[[#This Row],[Shortname]], Comp[], 29, FALSE)</f>
        <v>0</v>
      </c>
      <c r="AY308">
        <f>VLOOKUP(Table29[[#This Row],[Shortname]], Comp[], 30, FALSE)</f>
        <v>0</v>
      </c>
      <c r="AZ308">
        <f>VLOOKUP(Table29[[#This Row],[Shortname]], Comp[], 31, FALSE)</f>
        <v>0</v>
      </c>
    </row>
    <row r="309" spans="1:52" x14ac:dyDescent="0.3">
      <c r="A309" t="s">
        <v>4268</v>
      </c>
      <c r="B309">
        <v>354</v>
      </c>
      <c r="C309">
        <v>649</v>
      </c>
      <c r="D309" t="s">
        <v>4269</v>
      </c>
      <c r="E309" t="s">
        <v>95</v>
      </c>
      <c r="F309" t="s">
        <v>4270</v>
      </c>
      <c r="G309" t="s">
        <v>4263</v>
      </c>
      <c r="H309">
        <v>250</v>
      </c>
      <c r="I309">
        <v>2.65E-7</v>
      </c>
      <c r="J309">
        <f>0.01/Table29[[#This Row],[Strain Rate (min) /s]]</f>
        <v>37735.849056603773</v>
      </c>
      <c r="K309">
        <f>LOG(Table29[[#This Row],[Time to 1% strain (s)]])</f>
        <v>4.5767541260631921</v>
      </c>
      <c r="L309">
        <v>900</v>
      </c>
      <c r="P309" t="s">
        <v>7139</v>
      </c>
      <c r="Q309">
        <v>1250</v>
      </c>
      <c r="R309">
        <v>24</v>
      </c>
      <c r="S309">
        <v>900</v>
      </c>
      <c r="T309">
        <v>100</v>
      </c>
      <c r="W309">
        <v>1</v>
      </c>
      <c r="X309">
        <v>10</v>
      </c>
      <c r="Y309">
        <v>49</v>
      </c>
      <c r="AA309">
        <f>VLOOKUP(Table29[[#This Row],[Shortname]], Comp[], 6, FALSE)</f>
        <v>649</v>
      </c>
      <c r="AB309" s="14">
        <f>VLOOKUP(Table29[[#This Row],[Shortname]], Comp[], 7, FALSE)</f>
        <v>62.6</v>
      </c>
      <c r="AC309">
        <f>VLOOKUP(Table29[[#This Row],[Shortname]], Comp[], 8, FALSE)</f>
        <v>20.75</v>
      </c>
      <c r="AD309">
        <f>VLOOKUP(Table29[[#This Row],[Shortname]], Comp[], 9, FALSE)</f>
        <v>9.1999999999999993</v>
      </c>
      <c r="AE309">
        <f>VLOOKUP(Table29[[#This Row],[Shortname]], Comp[], 10, FALSE)</f>
        <v>0</v>
      </c>
      <c r="AF309">
        <f>VLOOKUP(Table29[[#This Row],[Shortname]], Comp[], 11, FALSE)</f>
        <v>7.41</v>
      </c>
      <c r="AG309">
        <f>VLOOKUP(Table29[[#This Row],[Shortname]], Comp[],12, FALSE)</f>
        <v>0</v>
      </c>
      <c r="AH309">
        <f>VLOOKUP(Table29[[#This Row],[Shortname]], Comp[], 13, FALSE)</f>
        <v>0</v>
      </c>
      <c r="AI309">
        <f>VLOOKUP(Table29[[#This Row],[Shortname]], Comp[], 14, FALSE)</f>
        <v>0</v>
      </c>
      <c r="AJ309">
        <f>VLOOKUP(Table29[[#This Row],[Shortname]], Comp[], 15, FALSE)</f>
        <v>0</v>
      </c>
      <c r="AK309">
        <f>VLOOKUP(Table29[[#This Row],[Shortname]], Comp[], 16, FALSE)</f>
        <v>0</v>
      </c>
      <c r="AL309">
        <f>VLOOKUP(Table29[[#This Row],[Shortname]], Comp[], 17, FALSE)</f>
        <v>0</v>
      </c>
      <c r="AM309">
        <f>VLOOKUP(Table29[[#This Row],[Shortname]], Comp[], 18, FALSE)</f>
        <v>0</v>
      </c>
      <c r="AN309">
        <f>VLOOKUP(Table29[[#This Row],[Shortname]], Comp[], 19, FALSE)</f>
        <v>0.04</v>
      </c>
      <c r="AO309">
        <f>VLOOKUP(Table29[[#This Row],[Shortname]], Comp[], 20, FALSE)</f>
        <v>0</v>
      </c>
      <c r="AP309">
        <f>VLOOKUP(Table29[[#This Row],[Shortname]], Comp[], 21, FALSE)</f>
        <v>0</v>
      </c>
      <c r="AQ309">
        <f>VLOOKUP(Table29[[#This Row],[Shortname]], Comp[], 22, FALSE)</f>
        <v>0</v>
      </c>
      <c r="AR309">
        <f>VLOOKUP(Table29[[#This Row],[Shortname]], Comp[], 23, FALSE)</f>
        <v>0</v>
      </c>
      <c r="AS309">
        <f>VLOOKUP(Table29[[#This Row],[Shortname]], Comp[], 24, FALSE)</f>
        <v>0</v>
      </c>
      <c r="AT309">
        <f>VLOOKUP(Table29[[#This Row],[Shortname]], Comp[], 25, FALSE)</f>
        <v>0</v>
      </c>
      <c r="AU309">
        <f>VLOOKUP(Table29[[#This Row],[Shortname]], Comp[], 26, FALSE)</f>
        <v>0</v>
      </c>
      <c r="AV309">
        <f>VLOOKUP(Table29[[#This Row],[Shortname]], Comp[], 27, FALSE)</f>
        <v>0</v>
      </c>
      <c r="AW309">
        <f>VLOOKUP(Table29[[#This Row],[Shortname]], Comp[], 28, FALSE)</f>
        <v>0</v>
      </c>
      <c r="AX309">
        <f>VLOOKUP(Table29[[#This Row],[Shortname]], Comp[], 29, FALSE)</f>
        <v>0</v>
      </c>
      <c r="AY309">
        <f>VLOOKUP(Table29[[#This Row],[Shortname]], Comp[], 30, FALSE)</f>
        <v>0</v>
      </c>
      <c r="AZ309">
        <f>VLOOKUP(Table29[[#This Row],[Shortname]], Comp[], 31, FALSE)</f>
        <v>0</v>
      </c>
    </row>
    <row r="310" spans="1:52" x14ac:dyDescent="0.3">
      <c r="A310" t="s">
        <v>4275</v>
      </c>
      <c r="B310">
        <v>355</v>
      </c>
      <c r="C310">
        <v>650</v>
      </c>
      <c r="D310" t="s">
        <v>3415</v>
      </c>
      <c r="E310" t="s">
        <v>95</v>
      </c>
      <c r="F310" t="s">
        <v>4276</v>
      </c>
      <c r="G310" t="s">
        <v>4263</v>
      </c>
      <c r="H310">
        <v>250</v>
      </c>
      <c r="I310">
        <v>5.8500000000000001E-7</v>
      </c>
      <c r="J310">
        <f>0.01/Table29[[#This Row],[Strain Rate (min) /s]]</f>
        <v>17094.017094017094</v>
      </c>
      <c r="K310">
        <f>LOG(Table29[[#This Row],[Time to 1% strain (s)]])</f>
        <v>4.2328441339178191</v>
      </c>
      <c r="L310">
        <v>900</v>
      </c>
      <c r="P310" t="s">
        <v>7140</v>
      </c>
      <c r="Q310">
        <v>1250</v>
      </c>
      <c r="R310">
        <v>24</v>
      </c>
      <c r="S310">
        <v>900</v>
      </c>
      <c r="T310">
        <v>100</v>
      </c>
      <c r="W310">
        <v>1</v>
      </c>
      <c r="X310">
        <v>10</v>
      </c>
      <c r="Y310">
        <v>33</v>
      </c>
      <c r="AA310">
        <f>VLOOKUP(Table29[[#This Row],[Shortname]], Comp[], 6, FALSE)</f>
        <v>650</v>
      </c>
      <c r="AB310" s="14">
        <f>VLOOKUP(Table29[[#This Row],[Shortname]], Comp[], 7, FALSE)</f>
        <v>83.03</v>
      </c>
      <c r="AC310">
        <f>VLOOKUP(Table29[[#This Row],[Shortname]], Comp[], 8, FALSE)</f>
        <v>0</v>
      </c>
      <c r="AD310">
        <f>VLOOKUP(Table29[[#This Row],[Shortname]], Comp[], 9, FALSE)</f>
        <v>9.4</v>
      </c>
      <c r="AE310">
        <f>VLOOKUP(Table29[[#This Row],[Shortname]], Comp[], 10, FALSE)</f>
        <v>0</v>
      </c>
      <c r="AF310">
        <f>VLOOKUP(Table29[[#This Row],[Shortname]], Comp[], 11, FALSE)</f>
        <v>7.53</v>
      </c>
      <c r="AG310">
        <f>VLOOKUP(Table29[[#This Row],[Shortname]], Comp[],12, FALSE)</f>
        <v>0</v>
      </c>
      <c r="AH310">
        <f>VLOOKUP(Table29[[#This Row],[Shortname]], Comp[], 13, FALSE)</f>
        <v>0</v>
      </c>
      <c r="AI310">
        <f>VLOOKUP(Table29[[#This Row],[Shortname]], Comp[], 14, FALSE)</f>
        <v>0</v>
      </c>
      <c r="AJ310">
        <f>VLOOKUP(Table29[[#This Row],[Shortname]], Comp[], 15, FALSE)</f>
        <v>0</v>
      </c>
      <c r="AK310">
        <f>VLOOKUP(Table29[[#This Row],[Shortname]], Comp[], 16, FALSE)</f>
        <v>0</v>
      </c>
      <c r="AL310">
        <f>VLOOKUP(Table29[[#This Row],[Shortname]], Comp[], 17, FALSE)</f>
        <v>0</v>
      </c>
      <c r="AM310">
        <f>VLOOKUP(Table29[[#This Row],[Shortname]], Comp[], 18, FALSE)</f>
        <v>0</v>
      </c>
      <c r="AN310">
        <f>VLOOKUP(Table29[[#This Row],[Shortname]], Comp[], 19, FALSE)</f>
        <v>0.04</v>
      </c>
      <c r="AO310">
        <f>VLOOKUP(Table29[[#This Row],[Shortname]], Comp[], 20, FALSE)</f>
        <v>0</v>
      </c>
      <c r="AP310">
        <f>VLOOKUP(Table29[[#This Row],[Shortname]], Comp[], 21, FALSE)</f>
        <v>0</v>
      </c>
      <c r="AQ310">
        <f>VLOOKUP(Table29[[#This Row],[Shortname]], Comp[], 22, FALSE)</f>
        <v>0</v>
      </c>
      <c r="AR310">
        <f>VLOOKUP(Table29[[#This Row],[Shortname]], Comp[], 23, FALSE)</f>
        <v>0</v>
      </c>
      <c r="AS310">
        <f>VLOOKUP(Table29[[#This Row],[Shortname]], Comp[], 24, FALSE)</f>
        <v>0</v>
      </c>
      <c r="AT310">
        <f>VLOOKUP(Table29[[#This Row],[Shortname]], Comp[], 25, FALSE)</f>
        <v>0</v>
      </c>
      <c r="AU310">
        <f>VLOOKUP(Table29[[#This Row],[Shortname]], Comp[], 26, FALSE)</f>
        <v>0</v>
      </c>
      <c r="AV310">
        <f>VLOOKUP(Table29[[#This Row],[Shortname]], Comp[], 27, FALSE)</f>
        <v>0</v>
      </c>
      <c r="AW310">
        <f>VLOOKUP(Table29[[#This Row],[Shortname]], Comp[], 28, FALSE)</f>
        <v>0</v>
      </c>
      <c r="AX310">
        <f>VLOOKUP(Table29[[#This Row],[Shortname]], Comp[], 29, FALSE)</f>
        <v>0</v>
      </c>
      <c r="AY310">
        <f>VLOOKUP(Table29[[#This Row],[Shortname]], Comp[], 30, FALSE)</f>
        <v>0</v>
      </c>
      <c r="AZ310">
        <f>VLOOKUP(Table29[[#This Row],[Shortname]], Comp[], 31, FALSE)</f>
        <v>0</v>
      </c>
    </row>
    <row r="311" spans="1:52" x14ac:dyDescent="0.3">
      <c r="A311" t="s">
        <v>4280</v>
      </c>
      <c r="B311">
        <v>356</v>
      </c>
      <c r="C311">
        <v>651</v>
      </c>
      <c r="D311" t="s">
        <v>4281</v>
      </c>
      <c r="E311" t="s">
        <v>160</v>
      </c>
      <c r="F311" t="s">
        <v>4282</v>
      </c>
      <c r="G311" t="s">
        <v>4263</v>
      </c>
      <c r="H311">
        <v>250</v>
      </c>
      <c r="I311">
        <v>1.92E-7</v>
      </c>
      <c r="J311">
        <f>0.01/Table29[[#This Row],[Strain Rate (min) /s]]</f>
        <v>52083.333333333336</v>
      </c>
      <c r="K311">
        <f>LOG(Table29[[#This Row],[Time to 1% strain (s)]])</f>
        <v>4.7166987712964508</v>
      </c>
      <c r="L311">
        <v>900</v>
      </c>
      <c r="P311" t="s">
        <v>7141</v>
      </c>
      <c r="Q311">
        <v>1250</v>
      </c>
      <c r="R311">
        <v>24</v>
      </c>
      <c r="S311">
        <v>900</v>
      </c>
      <c r="T311">
        <v>100</v>
      </c>
      <c r="W311">
        <v>1</v>
      </c>
      <c r="X311">
        <v>10</v>
      </c>
      <c r="Y311">
        <v>49</v>
      </c>
      <c r="AA311">
        <f>VLOOKUP(Table29[[#This Row],[Shortname]], Comp[], 6, FALSE)</f>
        <v>651</v>
      </c>
      <c r="AB311" s="14">
        <f>VLOOKUP(Table29[[#This Row],[Shortname]], Comp[], 7, FALSE)</f>
        <v>38.160000000000004</v>
      </c>
      <c r="AC311">
        <f>VLOOKUP(Table29[[#This Row],[Shortname]], Comp[], 8, FALSE)</f>
        <v>37.5</v>
      </c>
      <c r="AD311">
        <f>VLOOKUP(Table29[[#This Row],[Shortname]], Comp[], 9, FALSE)</f>
        <v>9</v>
      </c>
      <c r="AE311">
        <f>VLOOKUP(Table29[[#This Row],[Shortname]], Comp[], 10, FALSE)</f>
        <v>8</v>
      </c>
      <c r="AF311">
        <f>VLOOKUP(Table29[[#This Row],[Shortname]], Comp[], 11, FALSE)</f>
        <v>7.3</v>
      </c>
      <c r="AG311">
        <f>VLOOKUP(Table29[[#This Row],[Shortname]], Comp[],12, FALSE)</f>
        <v>0</v>
      </c>
      <c r="AH311">
        <f>VLOOKUP(Table29[[#This Row],[Shortname]], Comp[], 13, FALSE)</f>
        <v>0</v>
      </c>
      <c r="AI311">
        <f>VLOOKUP(Table29[[#This Row],[Shortname]], Comp[], 14, FALSE)</f>
        <v>0</v>
      </c>
      <c r="AJ311">
        <f>VLOOKUP(Table29[[#This Row],[Shortname]], Comp[], 15, FALSE)</f>
        <v>0</v>
      </c>
      <c r="AK311">
        <f>VLOOKUP(Table29[[#This Row],[Shortname]], Comp[], 16, FALSE)</f>
        <v>0</v>
      </c>
      <c r="AL311">
        <f>VLOOKUP(Table29[[#This Row],[Shortname]], Comp[], 17, FALSE)</f>
        <v>0</v>
      </c>
      <c r="AM311">
        <f>VLOOKUP(Table29[[#This Row],[Shortname]], Comp[], 18, FALSE)</f>
        <v>0</v>
      </c>
      <c r="AN311">
        <f>VLOOKUP(Table29[[#This Row],[Shortname]], Comp[], 19, FALSE)</f>
        <v>0.04</v>
      </c>
      <c r="AO311">
        <f>VLOOKUP(Table29[[#This Row],[Shortname]], Comp[], 20, FALSE)</f>
        <v>0</v>
      </c>
      <c r="AP311">
        <f>VLOOKUP(Table29[[#This Row],[Shortname]], Comp[], 21, FALSE)</f>
        <v>0</v>
      </c>
      <c r="AQ311">
        <f>VLOOKUP(Table29[[#This Row],[Shortname]], Comp[], 22, FALSE)</f>
        <v>0</v>
      </c>
      <c r="AR311">
        <f>VLOOKUP(Table29[[#This Row],[Shortname]], Comp[], 23, FALSE)</f>
        <v>0</v>
      </c>
      <c r="AS311">
        <f>VLOOKUP(Table29[[#This Row],[Shortname]], Comp[], 24, FALSE)</f>
        <v>0</v>
      </c>
      <c r="AT311">
        <f>VLOOKUP(Table29[[#This Row],[Shortname]], Comp[], 25, FALSE)</f>
        <v>0</v>
      </c>
      <c r="AU311">
        <f>VLOOKUP(Table29[[#This Row],[Shortname]], Comp[], 26, FALSE)</f>
        <v>0</v>
      </c>
      <c r="AV311">
        <f>VLOOKUP(Table29[[#This Row],[Shortname]], Comp[], 27, FALSE)</f>
        <v>0</v>
      </c>
      <c r="AW311">
        <f>VLOOKUP(Table29[[#This Row],[Shortname]], Comp[], 28, FALSE)</f>
        <v>0</v>
      </c>
      <c r="AX311">
        <f>VLOOKUP(Table29[[#This Row],[Shortname]], Comp[], 29, FALSE)</f>
        <v>0</v>
      </c>
      <c r="AY311">
        <f>VLOOKUP(Table29[[#This Row],[Shortname]], Comp[], 30, FALSE)</f>
        <v>0</v>
      </c>
      <c r="AZ311">
        <f>VLOOKUP(Table29[[#This Row],[Shortname]], Comp[], 31, FALSE)</f>
        <v>0</v>
      </c>
    </row>
    <row r="312" spans="1:52" x14ac:dyDescent="0.3">
      <c r="A312" t="s">
        <v>4286</v>
      </c>
      <c r="B312">
        <v>357</v>
      </c>
      <c r="C312">
        <v>652</v>
      </c>
      <c r="D312" t="s">
        <v>4287</v>
      </c>
      <c r="E312" t="s">
        <v>160</v>
      </c>
      <c r="F312" t="s">
        <v>4288</v>
      </c>
      <c r="G312" t="s">
        <v>4263</v>
      </c>
      <c r="H312">
        <v>250</v>
      </c>
      <c r="I312">
        <v>3.2599999999999998E-7</v>
      </c>
      <c r="J312">
        <f>0.01/Table29[[#This Row],[Strain Rate (min) /s]]</f>
        <v>30674.846625766873</v>
      </c>
      <c r="K312">
        <f>LOG(Table29[[#This Row],[Time to 1% strain (s)]])</f>
        <v>4.4867823999320606</v>
      </c>
      <c r="L312">
        <v>900</v>
      </c>
      <c r="P312" t="s">
        <v>7142</v>
      </c>
      <c r="Q312">
        <v>1250</v>
      </c>
      <c r="R312">
        <v>24</v>
      </c>
      <c r="S312">
        <v>900</v>
      </c>
      <c r="T312">
        <v>100</v>
      </c>
      <c r="W312">
        <v>1</v>
      </c>
      <c r="X312">
        <v>10</v>
      </c>
      <c r="Y312">
        <v>50</v>
      </c>
      <c r="AA312">
        <f>VLOOKUP(Table29[[#This Row],[Shortname]], Comp[], 6, FALSE)</f>
        <v>652</v>
      </c>
      <c r="AB312" s="14">
        <f>VLOOKUP(Table29[[#This Row],[Shortname]], Comp[], 7, FALSE)</f>
        <v>56.41</v>
      </c>
      <c r="AC312">
        <f>VLOOKUP(Table29[[#This Row],[Shortname]], Comp[], 8, FALSE)</f>
        <v>18.75</v>
      </c>
      <c r="AD312">
        <f>VLOOKUP(Table29[[#This Row],[Shortname]], Comp[], 9, FALSE)</f>
        <v>9.1999999999999993</v>
      </c>
      <c r="AE312">
        <f>VLOOKUP(Table29[[#This Row],[Shortname]], Comp[], 10, FALSE)</f>
        <v>8</v>
      </c>
      <c r="AF312">
        <f>VLOOKUP(Table29[[#This Row],[Shortname]], Comp[], 11, FALSE)</f>
        <v>7.6</v>
      </c>
      <c r="AG312">
        <f>VLOOKUP(Table29[[#This Row],[Shortname]], Comp[],12, FALSE)</f>
        <v>0</v>
      </c>
      <c r="AH312">
        <f>VLOOKUP(Table29[[#This Row],[Shortname]], Comp[], 13, FALSE)</f>
        <v>0</v>
      </c>
      <c r="AI312">
        <f>VLOOKUP(Table29[[#This Row],[Shortname]], Comp[], 14, FALSE)</f>
        <v>0</v>
      </c>
      <c r="AJ312">
        <f>VLOOKUP(Table29[[#This Row],[Shortname]], Comp[], 15, FALSE)</f>
        <v>0</v>
      </c>
      <c r="AK312">
        <f>VLOOKUP(Table29[[#This Row],[Shortname]], Comp[], 16, FALSE)</f>
        <v>0</v>
      </c>
      <c r="AL312">
        <f>VLOOKUP(Table29[[#This Row],[Shortname]], Comp[], 17, FALSE)</f>
        <v>0</v>
      </c>
      <c r="AM312">
        <f>VLOOKUP(Table29[[#This Row],[Shortname]], Comp[], 18, FALSE)</f>
        <v>0</v>
      </c>
      <c r="AN312">
        <f>VLOOKUP(Table29[[#This Row],[Shortname]], Comp[], 19, FALSE)</f>
        <v>0.04</v>
      </c>
      <c r="AO312">
        <f>VLOOKUP(Table29[[#This Row],[Shortname]], Comp[], 20, FALSE)</f>
        <v>0</v>
      </c>
      <c r="AP312">
        <f>VLOOKUP(Table29[[#This Row],[Shortname]], Comp[], 21, FALSE)</f>
        <v>0</v>
      </c>
      <c r="AQ312">
        <f>VLOOKUP(Table29[[#This Row],[Shortname]], Comp[], 22, FALSE)</f>
        <v>0</v>
      </c>
      <c r="AR312">
        <f>VLOOKUP(Table29[[#This Row],[Shortname]], Comp[], 23, FALSE)</f>
        <v>0</v>
      </c>
      <c r="AS312">
        <f>VLOOKUP(Table29[[#This Row],[Shortname]], Comp[], 24, FALSE)</f>
        <v>0</v>
      </c>
      <c r="AT312">
        <f>VLOOKUP(Table29[[#This Row],[Shortname]], Comp[], 25, FALSE)</f>
        <v>0</v>
      </c>
      <c r="AU312">
        <f>VLOOKUP(Table29[[#This Row],[Shortname]], Comp[], 26, FALSE)</f>
        <v>0</v>
      </c>
      <c r="AV312">
        <f>VLOOKUP(Table29[[#This Row],[Shortname]], Comp[], 27, FALSE)</f>
        <v>0</v>
      </c>
      <c r="AW312">
        <f>VLOOKUP(Table29[[#This Row],[Shortname]], Comp[], 28, FALSE)</f>
        <v>0</v>
      </c>
      <c r="AX312">
        <f>VLOOKUP(Table29[[#This Row],[Shortname]], Comp[], 29, FALSE)</f>
        <v>0</v>
      </c>
      <c r="AY312">
        <f>VLOOKUP(Table29[[#This Row],[Shortname]], Comp[], 30, FALSE)</f>
        <v>0</v>
      </c>
      <c r="AZ312">
        <f>VLOOKUP(Table29[[#This Row],[Shortname]], Comp[], 31, FALSE)</f>
        <v>0</v>
      </c>
    </row>
    <row r="313" spans="1:52" x14ac:dyDescent="0.3">
      <c r="A313" t="s">
        <v>4292</v>
      </c>
      <c r="B313">
        <v>358</v>
      </c>
      <c r="C313">
        <v>653</v>
      </c>
      <c r="D313" t="s">
        <v>4293</v>
      </c>
      <c r="E313" t="s">
        <v>95</v>
      </c>
      <c r="F313" t="s">
        <v>4294</v>
      </c>
      <c r="G313" t="s">
        <v>4263</v>
      </c>
      <c r="H313">
        <v>250</v>
      </c>
      <c r="I313">
        <v>1.8300000000000001E-6</v>
      </c>
      <c r="J313">
        <f>0.01/Table29[[#This Row],[Strain Rate (min) /s]]</f>
        <v>5464.4808743169397</v>
      </c>
      <c r="K313">
        <f>LOG(Table29[[#This Row],[Time to 1% strain (s)]])</f>
        <v>3.7375489102695707</v>
      </c>
      <c r="L313">
        <v>900</v>
      </c>
      <c r="P313" t="s">
        <v>7143</v>
      </c>
      <c r="Q313">
        <v>1250</v>
      </c>
      <c r="R313">
        <v>24</v>
      </c>
      <c r="S313">
        <v>900</v>
      </c>
      <c r="T313">
        <v>100</v>
      </c>
      <c r="W313">
        <v>1</v>
      </c>
      <c r="X313">
        <v>10</v>
      </c>
      <c r="Y313">
        <v>47</v>
      </c>
      <c r="AA313">
        <f>VLOOKUP(Table29[[#This Row],[Shortname]], Comp[], 6, FALSE)</f>
        <v>653</v>
      </c>
      <c r="AB313" s="14">
        <f>VLOOKUP(Table29[[#This Row],[Shortname]], Comp[], 7, FALSE)</f>
        <v>75.36</v>
      </c>
      <c r="AC313">
        <f>VLOOKUP(Table29[[#This Row],[Shortname]], Comp[], 8, FALSE)</f>
        <v>0</v>
      </c>
      <c r="AD313">
        <f>VLOOKUP(Table29[[#This Row],[Shortname]], Comp[], 9, FALSE)</f>
        <v>8.6999999999999993</v>
      </c>
      <c r="AE313">
        <f>VLOOKUP(Table29[[#This Row],[Shortname]], Comp[], 10, FALSE)</f>
        <v>8</v>
      </c>
      <c r="AF313">
        <f>VLOOKUP(Table29[[#This Row],[Shortname]], Comp[], 11, FALSE)</f>
        <v>7.9</v>
      </c>
      <c r="AG313">
        <f>VLOOKUP(Table29[[#This Row],[Shortname]], Comp[],12, FALSE)</f>
        <v>0</v>
      </c>
      <c r="AH313">
        <f>VLOOKUP(Table29[[#This Row],[Shortname]], Comp[], 13, FALSE)</f>
        <v>0</v>
      </c>
      <c r="AI313">
        <f>VLOOKUP(Table29[[#This Row],[Shortname]], Comp[], 14, FALSE)</f>
        <v>0</v>
      </c>
      <c r="AJ313">
        <f>VLOOKUP(Table29[[#This Row],[Shortname]], Comp[], 15, FALSE)</f>
        <v>0</v>
      </c>
      <c r="AK313">
        <f>VLOOKUP(Table29[[#This Row],[Shortname]], Comp[], 16, FALSE)</f>
        <v>0</v>
      </c>
      <c r="AL313">
        <f>VLOOKUP(Table29[[#This Row],[Shortname]], Comp[], 17, FALSE)</f>
        <v>0</v>
      </c>
      <c r="AM313">
        <f>VLOOKUP(Table29[[#This Row],[Shortname]], Comp[], 18, FALSE)</f>
        <v>0</v>
      </c>
      <c r="AN313">
        <f>VLOOKUP(Table29[[#This Row],[Shortname]], Comp[], 19, FALSE)</f>
        <v>0.04</v>
      </c>
      <c r="AO313">
        <f>VLOOKUP(Table29[[#This Row],[Shortname]], Comp[], 20, FALSE)</f>
        <v>0</v>
      </c>
      <c r="AP313">
        <f>VLOOKUP(Table29[[#This Row],[Shortname]], Comp[], 21, FALSE)</f>
        <v>0</v>
      </c>
      <c r="AQ313">
        <f>VLOOKUP(Table29[[#This Row],[Shortname]], Comp[], 22, FALSE)</f>
        <v>0</v>
      </c>
      <c r="AR313">
        <f>VLOOKUP(Table29[[#This Row],[Shortname]], Comp[], 23, FALSE)</f>
        <v>0</v>
      </c>
      <c r="AS313">
        <f>VLOOKUP(Table29[[#This Row],[Shortname]], Comp[], 24, FALSE)</f>
        <v>0</v>
      </c>
      <c r="AT313">
        <f>VLOOKUP(Table29[[#This Row],[Shortname]], Comp[], 25, FALSE)</f>
        <v>0</v>
      </c>
      <c r="AU313">
        <f>VLOOKUP(Table29[[#This Row],[Shortname]], Comp[], 26, FALSE)</f>
        <v>0</v>
      </c>
      <c r="AV313">
        <f>VLOOKUP(Table29[[#This Row],[Shortname]], Comp[], 27, FALSE)</f>
        <v>0</v>
      </c>
      <c r="AW313">
        <f>VLOOKUP(Table29[[#This Row],[Shortname]], Comp[], 28, FALSE)</f>
        <v>0</v>
      </c>
      <c r="AX313">
        <f>VLOOKUP(Table29[[#This Row],[Shortname]], Comp[], 29, FALSE)</f>
        <v>0</v>
      </c>
      <c r="AY313">
        <f>VLOOKUP(Table29[[#This Row],[Shortname]], Comp[], 30, FALSE)</f>
        <v>0</v>
      </c>
      <c r="AZ313">
        <f>VLOOKUP(Table29[[#This Row],[Shortname]], Comp[], 31, FALSE)</f>
        <v>0</v>
      </c>
    </row>
    <row r="314" spans="1:52" x14ac:dyDescent="0.3">
      <c r="A314" t="s">
        <v>4298</v>
      </c>
      <c r="B314">
        <v>359</v>
      </c>
      <c r="C314">
        <v>654</v>
      </c>
      <c r="D314" t="s">
        <v>4299</v>
      </c>
      <c r="E314" t="s">
        <v>514</v>
      </c>
      <c r="F314" t="s">
        <v>4300</v>
      </c>
      <c r="G314" t="s">
        <v>4301</v>
      </c>
      <c r="H314">
        <v>300</v>
      </c>
      <c r="I314">
        <v>4.7299999999999996E-6</v>
      </c>
      <c r="J314">
        <f>0.01/Table29[[#This Row],[Strain Rate (min) /s]]</f>
        <v>2114.1649048625795</v>
      </c>
      <c r="K314">
        <f>LOG(Table29[[#This Row],[Time to 1% strain (s)]])</f>
        <v>3.3251388592621884</v>
      </c>
      <c r="L314">
        <v>850</v>
      </c>
      <c r="P314" t="s">
        <v>7144</v>
      </c>
      <c r="Q314">
        <v>1130</v>
      </c>
      <c r="R314">
        <v>100</v>
      </c>
      <c r="S314">
        <v>900</v>
      </c>
      <c r="T314">
        <v>100</v>
      </c>
      <c r="W314">
        <v>1</v>
      </c>
      <c r="X314">
        <v>10</v>
      </c>
      <c r="Y314">
        <v>47</v>
      </c>
      <c r="AA314">
        <f>VLOOKUP(Table29[[#This Row],[Shortname]], Comp[], 6, FALSE)</f>
        <v>654</v>
      </c>
      <c r="AB314" s="14">
        <f>VLOOKUP(Table29[[#This Row],[Shortname]], Comp[], 7, FALSE)</f>
        <v>87.4</v>
      </c>
      <c r="AC314">
        <f>VLOOKUP(Table29[[#This Row],[Shortname]], Comp[], 8, FALSE)</f>
        <v>0</v>
      </c>
      <c r="AD314">
        <f>VLOOKUP(Table29[[#This Row],[Shortname]], Comp[], 9, FALSE)</f>
        <v>0</v>
      </c>
      <c r="AE314">
        <f>VLOOKUP(Table29[[#This Row],[Shortname]], Comp[], 10, FALSE)</f>
        <v>0</v>
      </c>
      <c r="AF314">
        <f>VLOOKUP(Table29[[#This Row],[Shortname]], Comp[], 11, FALSE)</f>
        <v>0</v>
      </c>
      <c r="AG314">
        <f>VLOOKUP(Table29[[#This Row],[Shortname]], Comp[],12, FALSE)</f>
        <v>12.6</v>
      </c>
      <c r="AH314">
        <f>VLOOKUP(Table29[[#This Row],[Shortname]], Comp[], 13, FALSE)</f>
        <v>0</v>
      </c>
      <c r="AI314">
        <f>VLOOKUP(Table29[[#This Row],[Shortname]], Comp[], 14, FALSE)</f>
        <v>0</v>
      </c>
      <c r="AJ314">
        <f>VLOOKUP(Table29[[#This Row],[Shortname]], Comp[], 15, FALSE)</f>
        <v>0</v>
      </c>
      <c r="AK314">
        <f>VLOOKUP(Table29[[#This Row],[Shortname]], Comp[], 16, FALSE)</f>
        <v>0</v>
      </c>
      <c r="AL314">
        <f>VLOOKUP(Table29[[#This Row],[Shortname]], Comp[], 17, FALSE)</f>
        <v>0</v>
      </c>
      <c r="AM314">
        <f>VLOOKUP(Table29[[#This Row],[Shortname]], Comp[], 18, FALSE)</f>
        <v>0</v>
      </c>
      <c r="AN314">
        <f>VLOOKUP(Table29[[#This Row],[Shortname]], Comp[], 19, FALSE)</f>
        <v>0</v>
      </c>
      <c r="AO314">
        <f>VLOOKUP(Table29[[#This Row],[Shortname]], Comp[], 20, FALSE)</f>
        <v>0</v>
      </c>
      <c r="AP314">
        <f>VLOOKUP(Table29[[#This Row],[Shortname]], Comp[], 21, FALSE)</f>
        <v>0</v>
      </c>
      <c r="AQ314">
        <f>VLOOKUP(Table29[[#This Row],[Shortname]], Comp[], 22, FALSE)</f>
        <v>0</v>
      </c>
      <c r="AR314">
        <f>VLOOKUP(Table29[[#This Row],[Shortname]], Comp[], 23, FALSE)</f>
        <v>0</v>
      </c>
      <c r="AS314">
        <f>VLOOKUP(Table29[[#This Row],[Shortname]], Comp[], 24, FALSE)</f>
        <v>0</v>
      </c>
      <c r="AT314">
        <f>VLOOKUP(Table29[[#This Row],[Shortname]], Comp[], 25, FALSE)</f>
        <v>0</v>
      </c>
      <c r="AU314">
        <f>VLOOKUP(Table29[[#This Row],[Shortname]], Comp[], 26, FALSE)</f>
        <v>0</v>
      </c>
      <c r="AV314">
        <f>VLOOKUP(Table29[[#This Row],[Shortname]], Comp[], 27, FALSE)</f>
        <v>0</v>
      </c>
      <c r="AW314">
        <f>VLOOKUP(Table29[[#This Row],[Shortname]], Comp[], 28, FALSE)</f>
        <v>0</v>
      </c>
      <c r="AX314">
        <f>VLOOKUP(Table29[[#This Row],[Shortname]], Comp[], 29, FALSE)</f>
        <v>0</v>
      </c>
      <c r="AY314">
        <f>VLOOKUP(Table29[[#This Row],[Shortname]], Comp[], 30, FALSE)</f>
        <v>0</v>
      </c>
      <c r="AZ314">
        <f>VLOOKUP(Table29[[#This Row],[Shortname]], Comp[], 31, FALSE)</f>
        <v>0</v>
      </c>
    </row>
    <row r="315" spans="1:52" x14ac:dyDescent="0.3">
      <c r="A315" t="s">
        <v>4298</v>
      </c>
      <c r="B315">
        <v>360</v>
      </c>
      <c r="C315">
        <v>654</v>
      </c>
      <c r="D315" t="s">
        <v>11</v>
      </c>
      <c r="E315" t="s">
        <v>514</v>
      </c>
      <c r="F315" t="s">
        <v>4300</v>
      </c>
      <c r="G315" t="s">
        <v>4301</v>
      </c>
      <c r="H315">
        <v>500</v>
      </c>
      <c r="I315">
        <v>1.4100000000000001E-7</v>
      </c>
      <c r="J315">
        <f>0.01/Table29[[#This Row],[Strain Rate (min) /s]]</f>
        <v>70921.985815602835</v>
      </c>
      <c r="K315">
        <f>LOG(Table29[[#This Row],[Time to 1% strain (s)]])</f>
        <v>4.8507808873446203</v>
      </c>
      <c r="L315">
        <v>750</v>
      </c>
      <c r="P315" t="s">
        <v>7144</v>
      </c>
      <c r="Q315">
        <v>1130</v>
      </c>
      <c r="R315">
        <v>100</v>
      </c>
      <c r="S315">
        <v>900</v>
      </c>
      <c r="T315">
        <v>100</v>
      </c>
      <c r="W315">
        <v>1</v>
      </c>
      <c r="X315">
        <v>10</v>
      </c>
      <c r="Y315">
        <v>47</v>
      </c>
      <c r="AA315">
        <f>VLOOKUP(Table29[[#This Row],[Shortname]], Comp[], 6, FALSE)</f>
        <v>654</v>
      </c>
      <c r="AB315" s="14">
        <f>VLOOKUP(Table29[[#This Row],[Shortname]], Comp[], 7, FALSE)</f>
        <v>87.4</v>
      </c>
      <c r="AC315">
        <f>VLOOKUP(Table29[[#This Row],[Shortname]], Comp[], 8, FALSE)</f>
        <v>0</v>
      </c>
      <c r="AD315">
        <f>VLOOKUP(Table29[[#This Row],[Shortname]], Comp[], 9, FALSE)</f>
        <v>0</v>
      </c>
      <c r="AE315">
        <f>VLOOKUP(Table29[[#This Row],[Shortname]], Comp[], 10, FALSE)</f>
        <v>0</v>
      </c>
      <c r="AF315">
        <f>VLOOKUP(Table29[[#This Row],[Shortname]], Comp[], 11, FALSE)</f>
        <v>0</v>
      </c>
      <c r="AG315">
        <f>VLOOKUP(Table29[[#This Row],[Shortname]], Comp[],12, FALSE)</f>
        <v>12.6</v>
      </c>
      <c r="AH315">
        <f>VLOOKUP(Table29[[#This Row],[Shortname]], Comp[], 13, FALSE)</f>
        <v>0</v>
      </c>
      <c r="AI315">
        <f>VLOOKUP(Table29[[#This Row],[Shortname]], Comp[], 14, FALSE)</f>
        <v>0</v>
      </c>
      <c r="AJ315">
        <f>VLOOKUP(Table29[[#This Row],[Shortname]], Comp[], 15, FALSE)</f>
        <v>0</v>
      </c>
      <c r="AK315">
        <f>VLOOKUP(Table29[[#This Row],[Shortname]], Comp[], 16, FALSE)</f>
        <v>0</v>
      </c>
      <c r="AL315">
        <f>VLOOKUP(Table29[[#This Row],[Shortname]], Comp[], 17, FALSE)</f>
        <v>0</v>
      </c>
      <c r="AM315">
        <f>VLOOKUP(Table29[[#This Row],[Shortname]], Comp[], 18, FALSE)</f>
        <v>0</v>
      </c>
      <c r="AN315">
        <f>VLOOKUP(Table29[[#This Row],[Shortname]], Comp[], 19, FALSE)</f>
        <v>0</v>
      </c>
      <c r="AO315">
        <f>VLOOKUP(Table29[[#This Row],[Shortname]], Comp[], 20, FALSE)</f>
        <v>0</v>
      </c>
      <c r="AP315">
        <f>VLOOKUP(Table29[[#This Row],[Shortname]], Comp[], 21, FALSE)</f>
        <v>0</v>
      </c>
      <c r="AQ315">
        <f>VLOOKUP(Table29[[#This Row],[Shortname]], Comp[], 22, FALSE)</f>
        <v>0</v>
      </c>
      <c r="AR315">
        <f>VLOOKUP(Table29[[#This Row],[Shortname]], Comp[], 23, FALSE)</f>
        <v>0</v>
      </c>
      <c r="AS315">
        <f>VLOOKUP(Table29[[#This Row],[Shortname]], Comp[], 24, FALSE)</f>
        <v>0</v>
      </c>
      <c r="AT315">
        <f>VLOOKUP(Table29[[#This Row],[Shortname]], Comp[], 25, FALSE)</f>
        <v>0</v>
      </c>
      <c r="AU315">
        <f>VLOOKUP(Table29[[#This Row],[Shortname]], Comp[], 26, FALSE)</f>
        <v>0</v>
      </c>
      <c r="AV315">
        <f>VLOOKUP(Table29[[#This Row],[Shortname]], Comp[], 27, FALSE)</f>
        <v>0</v>
      </c>
      <c r="AW315">
        <f>VLOOKUP(Table29[[#This Row],[Shortname]], Comp[], 28, FALSE)</f>
        <v>0</v>
      </c>
      <c r="AX315">
        <f>VLOOKUP(Table29[[#This Row],[Shortname]], Comp[], 29, FALSE)</f>
        <v>0</v>
      </c>
      <c r="AY315">
        <f>VLOOKUP(Table29[[#This Row],[Shortname]], Comp[], 30, FALSE)</f>
        <v>0</v>
      </c>
      <c r="AZ315">
        <f>VLOOKUP(Table29[[#This Row],[Shortname]], Comp[], 31, FALSE)</f>
        <v>0</v>
      </c>
    </row>
    <row r="316" spans="1:52" x14ac:dyDescent="0.3">
      <c r="A316" t="s">
        <v>4310</v>
      </c>
      <c r="B316">
        <v>361</v>
      </c>
      <c r="C316">
        <v>656</v>
      </c>
      <c r="D316" t="s">
        <v>4311</v>
      </c>
      <c r="E316" t="s">
        <v>514</v>
      </c>
      <c r="F316" t="s">
        <v>4312</v>
      </c>
      <c r="G316" t="s">
        <v>4301</v>
      </c>
      <c r="H316">
        <v>300</v>
      </c>
      <c r="I316">
        <v>2.7099999999999999E-6</v>
      </c>
      <c r="J316">
        <f>0.01/Table29[[#This Row],[Strain Rate (min) /s]]</f>
        <v>3690.0369003690039</v>
      </c>
      <c r="K316">
        <f>LOG(Table29[[#This Row],[Time to 1% strain (s)]])</f>
        <v>3.5670307091255942</v>
      </c>
      <c r="L316">
        <v>850</v>
      </c>
      <c r="P316" t="s">
        <v>7145</v>
      </c>
      <c r="Q316">
        <v>1130</v>
      </c>
      <c r="R316">
        <v>100</v>
      </c>
      <c r="S316">
        <v>900</v>
      </c>
      <c r="T316">
        <v>100</v>
      </c>
      <c r="W316">
        <v>1</v>
      </c>
      <c r="X316">
        <v>10</v>
      </c>
      <c r="Y316">
        <v>47</v>
      </c>
      <c r="AA316">
        <f>VLOOKUP(Table29[[#This Row],[Shortname]], Comp[], 6, FALSE)</f>
        <v>656</v>
      </c>
      <c r="AB316" s="14">
        <f>VLOOKUP(Table29[[#This Row],[Shortname]], Comp[], 7, FALSE)</f>
        <v>86.6</v>
      </c>
      <c r="AC316">
        <f>VLOOKUP(Table29[[#This Row],[Shortname]], Comp[], 8, FALSE)</f>
        <v>0</v>
      </c>
      <c r="AD316">
        <f>VLOOKUP(Table29[[#This Row],[Shortname]], Comp[], 9, FALSE)</f>
        <v>1.2</v>
      </c>
      <c r="AE316">
        <f>VLOOKUP(Table29[[#This Row],[Shortname]], Comp[], 10, FALSE)</f>
        <v>0</v>
      </c>
      <c r="AF316">
        <f>VLOOKUP(Table29[[#This Row],[Shortname]], Comp[], 11, FALSE)</f>
        <v>1</v>
      </c>
      <c r="AG316">
        <f>VLOOKUP(Table29[[#This Row],[Shortname]], Comp[],12, FALSE)</f>
        <v>11.2</v>
      </c>
      <c r="AH316">
        <f>VLOOKUP(Table29[[#This Row],[Shortname]], Comp[], 13, FALSE)</f>
        <v>0</v>
      </c>
      <c r="AI316">
        <f>VLOOKUP(Table29[[#This Row],[Shortname]], Comp[], 14, FALSE)</f>
        <v>0</v>
      </c>
      <c r="AJ316">
        <f>VLOOKUP(Table29[[#This Row],[Shortname]], Comp[], 15, FALSE)</f>
        <v>0</v>
      </c>
      <c r="AK316">
        <f>VLOOKUP(Table29[[#This Row],[Shortname]], Comp[], 16, FALSE)</f>
        <v>0</v>
      </c>
      <c r="AL316">
        <f>VLOOKUP(Table29[[#This Row],[Shortname]], Comp[], 17, FALSE)</f>
        <v>0</v>
      </c>
      <c r="AM316">
        <f>VLOOKUP(Table29[[#This Row],[Shortname]], Comp[], 18, FALSE)</f>
        <v>0</v>
      </c>
      <c r="AN316">
        <f>VLOOKUP(Table29[[#This Row],[Shortname]], Comp[], 19, FALSE)</f>
        <v>0</v>
      </c>
      <c r="AO316">
        <f>VLOOKUP(Table29[[#This Row],[Shortname]], Comp[], 20, FALSE)</f>
        <v>0</v>
      </c>
      <c r="AP316">
        <f>VLOOKUP(Table29[[#This Row],[Shortname]], Comp[], 21, FALSE)</f>
        <v>0</v>
      </c>
      <c r="AQ316">
        <f>VLOOKUP(Table29[[#This Row],[Shortname]], Comp[], 22, FALSE)</f>
        <v>0</v>
      </c>
      <c r="AR316">
        <f>VLOOKUP(Table29[[#This Row],[Shortname]], Comp[], 23, FALSE)</f>
        <v>0</v>
      </c>
      <c r="AS316">
        <f>VLOOKUP(Table29[[#This Row],[Shortname]], Comp[], 24, FALSE)</f>
        <v>0</v>
      </c>
      <c r="AT316">
        <f>VLOOKUP(Table29[[#This Row],[Shortname]], Comp[], 25, FALSE)</f>
        <v>0</v>
      </c>
      <c r="AU316">
        <f>VLOOKUP(Table29[[#This Row],[Shortname]], Comp[], 26, FALSE)</f>
        <v>0</v>
      </c>
      <c r="AV316">
        <f>VLOOKUP(Table29[[#This Row],[Shortname]], Comp[], 27, FALSE)</f>
        <v>0</v>
      </c>
      <c r="AW316">
        <f>VLOOKUP(Table29[[#This Row],[Shortname]], Comp[], 28, FALSE)</f>
        <v>0</v>
      </c>
      <c r="AX316">
        <f>VLOOKUP(Table29[[#This Row],[Shortname]], Comp[], 29, FALSE)</f>
        <v>0</v>
      </c>
      <c r="AY316">
        <f>VLOOKUP(Table29[[#This Row],[Shortname]], Comp[], 30, FALSE)</f>
        <v>0</v>
      </c>
      <c r="AZ316">
        <f>VLOOKUP(Table29[[#This Row],[Shortname]], Comp[], 31, FALSE)</f>
        <v>0</v>
      </c>
    </row>
    <row r="317" spans="1:52" x14ac:dyDescent="0.3">
      <c r="A317" t="s">
        <v>4310</v>
      </c>
      <c r="B317">
        <v>362</v>
      </c>
      <c r="C317">
        <v>656</v>
      </c>
      <c r="D317" t="s">
        <v>11</v>
      </c>
      <c r="E317" t="s">
        <v>514</v>
      </c>
      <c r="F317" t="s">
        <v>4312</v>
      </c>
      <c r="G317" t="s">
        <v>4301</v>
      </c>
      <c r="H317">
        <v>500</v>
      </c>
      <c r="I317">
        <v>7.1E-8</v>
      </c>
      <c r="J317">
        <f>0.01/Table29[[#This Row],[Strain Rate (min) /s]]</f>
        <v>140845.07042253521</v>
      </c>
      <c r="K317">
        <f>LOG(Table29[[#This Row],[Time to 1% strain (s)]])</f>
        <v>5.1487416512809245</v>
      </c>
      <c r="L317">
        <v>750</v>
      </c>
      <c r="P317" t="s">
        <v>7145</v>
      </c>
      <c r="Q317">
        <v>1130</v>
      </c>
      <c r="R317">
        <v>100</v>
      </c>
      <c r="S317">
        <v>900</v>
      </c>
      <c r="T317">
        <v>100</v>
      </c>
      <c r="W317">
        <v>1</v>
      </c>
      <c r="X317">
        <v>10</v>
      </c>
      <c r="Y317">
        <v>47</v>
      </c>
      <c r="AA317">
        <f>VLOOKUP(Table29[[#This Row],[Shortname]], Comp[], 6, FALSE)</f>
        <v>656</v>
      </c>
      <c r="AB317" s="14">
        <f>VLOOKUP(Table29[[#This Row],[Shortname]], Comp[], 7, FALSE)</f>
        <v>86.6</v>
      </c>
      <c r="AC317">
        <f>VLOOKUP(Table29[[#This Row],[Shortname]], Comp[], 8, FALSE)</f>
        <v>0</v>
      </c>
      <c r="AD317">
        <f>VLOOKUP(Table29[[#This Row],[Shortname]], Comp[], 9, FALSE)</f>
        <v>1.2</v>
      </c>
      <c r="AE317">
        <f>VLOOKUP(Table29[[#This Row],[Shortname]], Comp[], 10, FALSE)</f>
        <v>0</v>
      </c>
      <c r="AF317">
        <f>VLOOKUP(Table29[[#This Row],[Shortname]], Comp[], 11, FALSE)</f>
        <v>1</v>
      </c>
      <c r="AG317">
        <f>VLOOKUP(Table29[[#This Row],[Shortname]], Comp[],12, FALSE)</f>
        <v>11.2</v>
      </c>
      <c r="AH317">
        <f>VLOOKUP(Table29[[#This Row],[Shortname]], Comp[], 13, FALSE)</f>
        <v>0</v>
      </c>
      <c r="AI317">
        <f>VLOOKUP(Table29[[#This Row],[Shortname]], Comp[], 14, FALSE)</f>
        <v>0</v>
      </c>
      <c r="AJ317">
        <f>VLOOKUP(Table29[[#This Row],[Shortname]], Comp[], 15, FALSE)</f>
        <v>0</v>
      </c>
      <c r="AK317">
        <f>VLOOKUP(Table29[[#This Row],[Shortname]], Comp[], 16, FALSE)</f>
        <v>0</v>
      </c>
      <c r="AL317">
        <f>VLOOKUP(Table29[[#This Row],[Shortname]], Comp[], 17, FALSE)</f>
        <v>0</v>
      </c>
      <c r="AM317">
        <f>VLOOKUP(Table29[[#This Row],[Shortname]], Comp[], 18, FALSE)</f>
        <v>0</v>
      </c>
      <c r="AN317">
        <f>VLOOKUP(Table29[[#This Row],[Shortname]], Comp[], 19, FALSE)</f>
        <v>0</v>
      </c>
      <c r="AO317">
        <f>VLOOKUP(Table29[[#This Row],[Shortname]], Comp[], 20, FALSE)</f>
        <v>0</v>
      </c>
      <c r="AP317">
        <f>VLOOKUP(Table29[[#This Row],[Shortname]], Comp[], 21, FALSE)</f>
        <v>0</v>
      </c>
      <c r="AQ317">
        <f>VLOOKUP(Table29[[#This Row],[Shortname]], Comp[], 22, FALSE)</f>
        <v>0</v>
      </c>
      <c r="AR317">
        <f>VLOOKUP(Table29[[#This Row],[Shortname]], Comp[], 23, FALSE)</f>
        <v>0</v>
      </c>
      <c r="AS317">
        <f>VLOOKUP(Table29[[#This Row],[Shortname]], Comp[], 24, FALSE)</f>
        <v>0</v>
      </c>
      <c r="AT317">
        <f>VLOOKUP(Table29[[#This Row],[Shortname]], Comp[], 25, FALSE)</f>
        <v>0</v>
      </c>
      <c r="AU317">
        <f>VLOOKUP(Table29[[#This Row],[Shortname]], Comp[], 26, FALSE)</f>
        <v>0</v>
      </c>
      <c r="AV317">
        <f>VLOOKUP(Table29[[#This Row],[Shortname]], Comp[], 27, FALSE)</f>
        <v>0</v>
      </c>
      <c r="AW317">
        <f>VLOOKUP(Table29[[#This Row],[Shortname]], Comp[], 28, FALSE)</f>
        <v>0</v>
      </c>
      <c r="AX317">
        <f>VLOOKUP(Table29[[#This Row],[Shortname]], Comp[], 29, FALSE)</f>
        <v>0</v>
      </c>
      <c r="AY317">
        <f>VLOOKUP(Table29[[#This Row],[Shortname]], Comp[], 30, FALSE)</f>
        <v>0</v>
      </c>
      <c r="AZ317">
        <f>VLOOKUP(Table29[[#This Row],[Shortname]], Comp[], 31, FALSE)</f>
        <v>0</v>
      </c>
    </row>
    <row r="318" spans="1:52" x14ac:dyDescent="0.3">
      <c r="A318" t="s">
        <v>4326</v>
      </c>
      <c r="B318">
        <v>363</v>
      </c>
      <c r="C318">
        <v>658</v>
      </c>
      <c r="D318" t="s">
        <v>4327</v>
      </c>
      <c r="E318" t="s">
        <v>514</v>
      </c>
      <c r="F318" t="s">
        <v>4328</v>
      </c>
      <c r="G318" t="s">
        <v>4301</v>
      </c>
      <c r="H318">
        <v>300</v>
      </c>
      <c r="I318">
        <v>1.1000000000000001E-6</v>
      </c>
      <c r="J318">
        <f>0.01/Table29[[#This Row],[Strain Rate (min) /s]]</f>
        <v>9090.9090909090901</v>
      </c>
      <c r="K318">
        <f>LOG(Table29[[#This Row],[Time to 1% strain (s)]])</f>
        <v>3.9586073148417751</v>
      </c>
      <c r="L318">
        <v>850</v>
      </c>
      <c r="P318" t="s">
        <v>7146</v>
      </c>
      <c r="Q318">
        <v>1130</v>
      </c>
      <c r="R318">
        <v>100</v>
      </c>
      <c r="S318">
        <v>900</v>
      </c>
      <c r="T318">
        <v>100</v>
      </c>
      <c r="W318">
        <v>1</v>
      </c>
      <c r="X318">
        <v>10</v>
      </c>
      <c r="Y318">
        <v>47</v>
      </c>
      <c r="AA318">
        <f>VLOOKUP(Table29[[#This Row],[Shortname]], Comp[], 6, FALSE)</f>
        <v>658</v>
      </c>
      <c r="AB318" s="14">
        <f>VLOOKUP(Table29[[#This Row],[Shortname]], Comp[], 7, FALSE)</f>
        <v>86</v>
      </c>
      <c r="AC318">
        <f>VLOOKUP(Table29[[#This Row],[Shortname]], Comp[], 8, FALSE)</f>
        <v>0</v>
      </c>
      <c r="AD318">
        <f>VLOOKUP(Table29[[#This Row],[Shortname]], Comp[], 9, FALSE)</f>
        <v>2.7</v>
      </c>
      <c r="AE318">
        <f>VLOOKUP(Table29[[#This Row],[Shortname]], Comp[], 10, FALSE)</f>
        <v>0</v>
      </c>
      <c r="AF318">
        <f>VLOOKUP(Table29[[#This Row],[Shortname]], Comp[], 11, FALSE)</f>
        <v>2.5</v>
      </c>
      <c r="AG318">
        <f>VLOOKUP(Table29[[#This Row],[Shortname]], Comp[],12, FALSE)</f>
        <v>8.8000000000000007</v>
      </c>
      <c r="AH318">
        <f>VLOOKUP(Table29[[#This Row],[Shortname]], Comp[], 13, FALSE)</f>
        <v>0</v>
      </c>
      <c r="AI318">
        <f>VLOOKUP(Table29[[#This Row],[Shortname]], Comp[], 14, FALSE)</f>
        <v>0</v>
      </c>
      <c r="AJ318">
        <f>VLOOKUP(Table29[[#This Row],[Shortname]], Comp[], 15, FALSE)</f>
        <v>0</v>
      </c>
      <c r="AK318">
        <f>VLOOKUP(Table29[[#This Row],[Shortname]], Comp[], 16, FALSE)</f>
        <v>0</v>
      </c>
      <c r="AL318">
        <f>VLOOKUP(Table29[[#This Row],[Shortname]], Comp[], 17, FALSE)</f>
        <v>0</v>
      </c>
      <c r="AM318">
        <f>VLOOKUP(Table29[[#This Row],[Shortname]], Comp[], 18, FALSE)</f>
        <v>0</v>
      </c>
      <c r="AN318">
        <f>VLOOKUP(Table29[[#This Row],[Shortname]], Comp[], 19, FALSE)</f>
        <v>0</v>
      </c>
      <c r="AO318">
        <f>VLOOKUP(Table29[[#This Row],[Shortname]], Comp[], 20, FALSE)</f>
        <v>0</v>
      </c>
      <c r="AP318">
        <f>VLOOKUP(Table29[[#This Row],[Shortname]], Comp[], 21, FALSE)</f>
        <v>0</v>
      </c>
      <c r="AQ318">
        <f>VLOOKUP(Table29[[#This Row],[Shortname]], Comp[], 22, FALSE)</f>
        <v>0</v>
      </c>
      <c r="AR318">
        <f>VLOOKUP(Table29[[#This Row],[Shortname]], Comp[], 23, FALSE)</f>
        <v>0</v>
      </c>
      <c r="AS318">
        <f>VLOOKUP(Table29[[#This Row],[Shortname]], Comp[], 24, FALSE)</f>
        <v>0</v>
      </c>
      <c r="AT318">
        <f>VLOOKUP(Table29[[#This Row],[Shortname]], Comp[], 25, FALSE)</f>
        <v>0</v>
      </c>
      <c r="AU318">
        <f>VLOOKUP(Table29[[#This Row],[Shortname]], Comp[], 26, FALSE)</f>
        <v>0</v>
      </c>
      <c r="AV318">
        <f>VLOOKUP(Table29[[#This Row],[Shortname]], Comp[], 27, FALSE)</f>
        <v>0</v>
      </c>
      <c r="AW318">
        <f>VLOOKUP(Table29[[#This Row],[Shortname]], Comp[], 28, FALSE)</f>
        <v>0</v>
      </c>
      <c r="AX318">
        <f>VLOOKUP(Table29[[#This Row],[Shortname]], Comp[], 29, FALSE)</f>
        <v>0</v>
      </c>
      <c r="AY318">
        <f>VLOOKUP(Table29[[#This Row],[Shortname]], Comp[], 30, FALSE)</f>
        <v>0</v>
      </c>
      <c r="AZ318">
        <f>VLOOKUP(Table29[[#This Row],[Shortname]], Comp[], 31, FALSE)</f>
        <v>0</v>
      </c>
    </row>
    <row r="319" spans="1:52" x14ac:dyDescent="0.3">
      <c r="A319" t="s">
        <v>4326</v>
      </c>
      <c r="B319">
        <v>364</v>
      </c>
      <c r="C319">
        <v>658</v>
      </c>
      <c r="D319" t="s">
        <v>11</v>
      </c>
      <c r="E319" t="s">
        <v>514</v>
      </c>
      <c r="F319" t="s">
        <v>4328</v>
      </c>
      <c r="G319" t="s">
        <v>4301</v>
      </c>
      <c r="H319">
        <v>500</v>
      </c>
      <c r="I319">
        <v>7.1E-8</v>
      </c>
      <c r="J319">
        <f>0.01/Table29[[#This Row],[Strain Rate (min) /s]]</f>
        <v>140845.07042253521</v>
      </c>
      <c r="K319">
        <f>LOG(Table29[[#This Row],[Time to 1% strain (s)]])</f>
        <v>5.1487416512809245</v>
      </c>
      <c r="L319">
        <v>750</v>
      </c>
      <c r="P319" t="s">
        <v>7146</v>
      </c>
      <c r="Q319">
        <v>1130</v>
      </c>
      <c r="R319">
        <v>100</v>
      </c>
      <c r="S319">
        <v>900</v>
      </c>
      <c r="T319">
        <v>100</v>
      </c>
      <c r="W319">
        <v>1</v>
      </c>
      <c r="X319">
        <v>10</v>
      </c>
      <c r="Y319">
        <v>47</v>
      </c>
      <c r="AA319">
        <f>VLOOKUP(Table29[[#This Row],[Shortname]], Comp[], 6, FALSE)</f>
        <v>658</v>
      </c>
      <c r="AB319" s="14">
        <f>VLOOKUP(Table29[[#This Row],[Shortname]], Comp[], 7, FALSE)</f>
        <v>86</v>
      </c>
      <c r="AC319">
        <f>VLOOKUP(Table29[[#This Row],[Shortname]], Comp[], 8, FALSE)</f>
        <v>0</v>
      </c>
      <c r="AD319">
        <f>VLOOKUP(Table29[[#This Row],[Shortname]], Comp[], 9, FALSE)</f>
        <v>2.7</v>
      </c>
      <c r="AE319">
        <f>VLOOKUP(Table29[[#This Row],[Shortname]], Comp[], 10, FALSE)</f>
        <v>0</v>
      </c>
      <c r="AF319">
        <f>VLOOKUP(Table29[[#This Row],[Shortname]], Comp[], 11, FALSE)</f>
        <v>2.5</v>
      </c>
      <c r="AG319">
        <f>VLOOKUP(Table29[[#This Row],[Shortname]], Comp[],12, FALSE)</f>
        <v>8.8000000000000007</v>
      </c>
      <c r="AH319">
        <f>VLOOKUP(Table29[[#This Row],[Shortname]], Comp[], 13, FALSE)</f>
        <v>0</v>
      </c>
      <c r="AI319">
        <f>VLOOKUP(Table29[[#This Row],[Shortname]], Comp[], 14, FALSE)</f>
        <v>0</v>
      </c>
      <c r="AJ319">
        <f>VLOOKUP(Table29[[#This Row],[Shortname]], Comp[], 15, FALSE)</f>
        <v>0</v>
      </c>
      <c r="AK319">
        <f>VLOOKUP(Table29[[#This Row],[Shortname]], Comp[], 16, FALSE)</f>
        <v>0</v>
      </c>
      <c r="AL319">
        <f>VLOOKUP(Table29[[#This Row],[Shortname]], Comp[], 17, FALSE)</f>
        <v>0</v>
      </c>
      <c r="AM319">
        <f>VLOOKUP(Table29[[#This Row],[Shortname]], Comp[], 18, FALSE)</f>
        <v>0</v>
      </c>
      <c r="AN319">
        <f>VLOOKUP(Table29[[#This Row],[Shortname]], Comp[], 19, FALSE)</f>
        <v>0</v>
      </c>
      <c r="AO319">
        <f>VLOOKUP(Table29[[#This Row],[Shortname]], Comp[], 20, FALSE)</f>
        <v>0</v>
      </c>
      <c r="AP319">
        <f>VLOOKUP(Table29[[#This Row],[Shortname]], Comp[], 21, FALSE)</f>
        <v>0</v>
      </c>
      <c r="AQ319">
        <f>VLOOKUP(Table29[[#This Row],[Shortname]], Comp[], 22, FALSE)</f>
        <v>0</v>
      </c>
      <c r="AR319">
        <f>VLOOKUP(Table29[[#This Row],[Shortname]], Comp[], 23, FALSE)</f>
        <v>0</v>
      </c>
      <c r="AS319">
        <f>VLOOKUP(Table29[[#This Row],[Shortname]], Comp[], 24, FALSE)</f>
        <v>0</v>
      </c>
      <c r="AT319">
        <f>VLOOKUP(Table29[[#This Row],[Shortname]], Comp[], 25, FALSE)</f>
        <v>0</v>
      </c>
      <c r="AU319">
        <f>VLOOKUP(Table29[[#This Row],[Shortname]], Comp[], 26, FALSE)</f>
        <v>0</v>
      </c>
      <c r="AV319">
        <f>VLOOKUP(Table29[[#This Row],[Shortname]], Comp[], 27, FALSE)</f>
        <v>0</v>
      </c>
      <c r="AW319">
        <f>VLOOKUP(Table29[[#This Row],[Shortname]], Comp[], 28, FALSE)</f>
        <v>0</v>
      </c>
      <c r="AX319">
        <f>VLOOKUP(Table29[[#This Row],[Shortname]], Comp[], 29, FALSE)</f>
        <v>0</v>
      </c>
      <c r="AY319">
        <f>VLOOKUP(Table29[[#This Row],[Shortname]], Comp[], 30, FALSE)</f>
        <v>0</v>
      </c>
      <c r="AZ319">
        <f>VLOOKUP(Table29[[#This Row],[Shortname]], Comp[], 31, FALSE)</f>
        <v>0</v>
      </c>
    </row>
    <row r="320" spans="1:52" x14ac:dyDescent="0.3">
      <c r="A320" t="s">
        <v>4339</v>
      </c>
      <c r="B320">
        <v>365</v>
      </c>
      <c r="C320">
        <v>660</v>
      </c>
      <c r="D320" t="s">
        <v>4340</v>
      </c>
      <c r="E320" t="s">
        <v>95</v>
      </c>
      <c r="F320" t="s">
        <v>4341</v>
      </c>
      <c r="G320" t="s">
        <v>4301</v>
      </c>
      <c r="H320">
        <v>500</v>
      </c>
      <c r="I320">
        <v>3.2100000000000003E-8</v>
      </c>
      <c r="J320">
        <f>0.01/Table29[[#This Row],[Strain Rate (min) /s]]</f>
        <v>311526.47975077882</v>
      </c>
      <c r="K320">
        <f>LOG(Table29[[#This Row],[Time to 1% strain (s)]])</f>
        <v>5.4934949675951277</v>
      </c>
      <c r="L320">
        <v>750</v>
      </c>
      <c r="P320" t="s">
        <v>7147</v>
      </c>
      <c r="Q320">
        <v>1130</v>
      </c>
      <c r="R320">
        <v>100</v>
      </c>
      <c r="S320">
        <v>900</v>
      </c>
      <c r="T320">
        <v>100</v>
      </c>
      <c r="W320">
        <v>1</v>
      </c>
      <c r="X320">
        <v>10</v>
      </c>
      <c r="Y320">
        <v>47</v>
      </c>
      <c r="AA320">
        <f>VLOOKUP(Table29[[#This Row],[Shortname]], Comp[], 6, FALSE)</f>
        <v>660</v>
      </c>
      <c r="AB320" s="14">
        <f>VLOOKUP(Table29[[#This Row],[Shortname]], Comp[], 7, FALSE)</f>
        <v>85.4</v>
      </c>
      <c r="AC320">
        <f>VLOOKUP(Table29[[#This Row],[Shortname]], Comp[], 8, FALSE)</f>
        <v>0</v>
      </c>
      <c r="AD320">
        <f>VLOOKUP(Table29[[#This Row],[Shortname]], Comp[], 9, FALSE)</f>
        <v>4.2</v>
      </c>
      <c r="AE320">
        <f>VLOOKUP(Table29[[#This Row],[Shortname]], Comp[], 10, FALSE)</f>
        <v>0</v>
      </c>
      <c r="AF320">
        <f>VLOOKUP(Table29[[#This Row],[Shortname]], Comp[], 11, FALSE)</f>
        <v>3.7</v>
      </c>
      <c r="AG320">
        <f>VLOOKUP(Table29[[#This Row],[Shortname]], Comp[],12, FALSE)</f>
        <v>6.7</v>
      </c>
      <c r="AH320">
        <f>VLOOKUP(Table29[[#This Row],[Shortname]], Comp[], 13, FALSE)</f>
        <v>0</v>
      </c>
      <c r="AI320">
        <f>VLOOKUP(Table29[[#This Row],[Shortname]], Comp[], 14, FALSE)</f>
        <v>0</v>
      </c>
      <c r="AJ320">
        <f>VLOOKUP(Table29[[#This Row],[Shortname]], Comp[], 15, FALSE)</f>
        <v>0</v>
      </c>
      <c r="AK320">
        <f>VLOOKUP(Table29[[#This Row],[Shortname]], Comp[], 16, FALSE)</f>
        <v>0</v>
      </c>
      <c r="AL320">
        <f>VLOOKUP(Table29[[#This Row],[Shortname]], Comp[], 17, FALSE)</f>
        <v>0</v>
      </c>
      <c r="AM320">
        <f>VLOOKUP(Table29[[#This Row],[Shortname]], Comp[], 18, FALSE)</f>
        <v>0</v>
      </c>
      <c r="AN320">
        <f>VLOOKUP(Table29[[#This Row],[Shortname]], Comp[], 19, FALSE)</f>
        <v>0</v>
      </c>
      <c r="AO320">
        <f>VLOOKUP(Table29[[#This Row],[Shortname]], Comp[], 20, FALSE)</f>
        <v>0</v>
      </c>
      <c r="AP320">
        <f>VLOOKUP(Table29[[#This Row],[Shortname]], Comp[], 21, FALSE)</f>
        <v>0</v>
      </c>
      <c r="AQ320">
        <f>VLOOKUP(Table29[[#This Row],[Shortname]], Comp[], 22, FALSE)</f>
        <v>0</v>
      </c>
      <c r="AR320">
        <f>VLOOKUP(Table29[[#This Row],[Shortname]], Comp[], 23, FALSE)</f>
        <v>0</v>
      </c>
      <c r="AS320">
        <f>VLOOKUP(Table29[[#This Row],[Shortname]], Comp[], 24, FALSE)</f>
        <v>0</v>
      </c>
      <c r="AT320">
        <f>VLOOKUP(Table29[[#This Row],[Shortname]], Comp[], 25, FALSE)</f>
        <v>0</v>
      </c>
      <c r="AU320">
        <f>VLOOKUP(Table29[[#This Row],[Shortname]], Comp[], 26, FALSE)</f>
        <v>0</v>
      </c>
      <c r="AV320">
        <f>VLOOKUP(Table29[[#This Row],[Shortname]], Comp[], 27, FALSE)</f>
        <v>0</v>
      </c>
      <c r="AW320">
        <f>VLOOKUP(Table29[[#This Row],[Shortname]], Comp[], 28, FALSE)</f>
        <v>0</v>
      </c>
      <c r="AX320">
        <f>VLOOKUP(Table29[[#This Row],[Shortname]], Comp[], 29, FALSE)</f>
        <v>0</v>
      </c>
      <c r="AY320">
        <f>VLOOKUP(Table29[[#This Row],[Shortname]], Comp[], 30, FALSE)</f>
        <v>0</v>
      </c>
      <c r="AZ320">
        <f>VLOOKUP(Table29[[#This Row],[Shortname]], Comp[], 31, FALSE)</f>
        <v>0</v>
      </c>
    </row>
    <row r="321" spans="1:52" x14ac:dyDescent="0.3">
      <c r="A321" t="s">
        <v>4339</v>
      </c>
      <c r="B321">
        <v>366</v>
      </c>
      <c r="C321">
        <v>660</v>
      </c>
      <c r="D321" t="s">
        <v>11</v>
      </c>
      <c r="E321" t="s">
        <v>95</v>
      </c>
      <c r="F321" t="s">
        <v>4341</v>
      </c>
      <c r="G321" t="s">
        <v>4301</v>
      </c>
      <c r="H321">
        <v>300</v>
      </c>
      <c r="I321">
        <v>6.5899999999999996E-7</v>
      </c>
      <c r="J321">
        <f>0.01/Table29[[#This Row],[Strain Rate (min) /s]]</f>
        <v>15174.506828528074</v>
      </c>
      <c r="K321">
        <f>LOG(Table29[[#This Row],[Time to 1% strain (s)]])</f>
        <v>4.1811145854059903</v>
      </c>
      <c r="L321">
        <v>850</v>
      </c>
      <c r="P321" t="s">
        <v>7147</v>
      </c>
      <c r="Q321">
        <v>1130</v>
      </c>
      <c r="R321">
        <v>100</v>
      </c>
      <c r="S321">
        <v>900</v>
      </c>
      <c r="T321">
        <v>100</v>
      </c>
      <c r="W321">
        <v>1</v>
      </c>
      <c r="X321">
        <v>10</v>
      </c>
      <c r="Y321">
        <v>47</v>
      </c>
      <c r="AA321">
        <f>VLOOKUP(Table29[[#This Row],[Shortname]], Comp[], 6, FALSE)</f>
        <v>660</v>
      </c>
      <c r="AB321" s="14">
        <f>VLOOKUP(Table29[[#This Row],[Shortname]], Comp[], 7, FALSE)</f>
        <v>85.4</v>
      </c>
      <c r="AC321">
        <f>VLOOKUP(Table29[[#This Row],[Shortname]], Comp[], 8, FALSE)</f>
        <v>0</v>
      </c>
      <c r="AD321">
        <f>VLOOKUP(Table29[[#This Row],[Shortname]], Comp[], 9, FALSE)</f>
        <v>4.2</v>
      </c>
      <c r="AE321">
        <f>VLOOKUP(Table29[[#This Row],[Shortname]], Comp[], 10, FALSE)</f>
        <v>0</v>
      </c>
      <c r="AF321">
        <f>VLOOKUP(Table29[[#This Row],[Shortname]], Comp[], 11, FALSE)</f>
        <v>3.7</v>
      </c>
      <c r="AG321">
        <f>VLOOKUP(Table29[[#This Row],[Shortname]], Comp[],12, FALSE)</f>
        <v>6.7</v>
      </c>
      <c r="AH321">
        <f>VLOOKUP(Table29[[#This Row],[Shortname]], Comp[], 13, FALSE)</f>
        <v>0</v>
      </c>
      <c r="AI321">
        <f>VLOOKUP(Table29[[#This Row],[Shortname]], Comp[], 14, FALSE)</f>
        <v>0</v>
      </c>
      <c r="AJ321">
        <f>VLOOKUP(Table29[[#This Row],[Shortname]], Comp[], 15, FALSE)</f>
        <v>0</v>
      </c>
      <c r="AK321">
        <f>VLOOKUP(Table29[[#This Row],[Shortname]], Comp[], 16, FALSE)</f>
        <v>0</v>
      </c>
      <c r="AL321">
        <f>VLOOKUP(Table29[[#This Row],[Shortname]], Comp[], 17, FALSE)</f>
        <v>0</v>
      </c>
      <c r="AM321">
        <f>VLOOKUP(Table29[[#This Row],[Shortname]], Comp[], 18, FALSE)</f>
        <v>0</v>
      </c>
      <c r="AN321">
        <f>VLOOKUP(Table29[[#This Row],[Shortname]], Comp[], 19, FALSE)</f>
        <v>0</v>
      </c>
      <c r="AO321">
        <f>VLOOKUP(Table29[[#This Row],[Shortname]], Comp[], 20, FALSE)</f>
        <v>0</v>
      </c>
      <c r="AP321">
        <f>VLOOKUP(Table29[[#This Row],[Shortname]], Comp[], 21, FALSE)</f>
        <v>0</v>
      </c>
      <c r="AQ321">
        <f>VLOOKUP(Table29[[#This Row],[Shortname]], Comp[], 22, FALSE)</f>
        <v>0</v>
      </c>
      <c r="AR321">
        <f>VLOOKUP(Table29[[#This Row],[Shortname]], Comp[], 23, FALSE)</f>
        <v>0</v>
      </c>
      <c r="AS321">
        <f>VLOOKUP(Table29[[#This Row],[Shortname]], Comp[], 24, FALSE)</f>
        <v>0</v>
      </c>
      <c r="AT321">
        <f>VLOOKUP(Table29[[#This Row],[Shortname]], Comp[], 25, FALSE)</f>
        <v>0</v>
      </c>
      <c r="AU321">
        <f>VLOOKUP(Table29[[#This Row],[Shortname]], Comp[], 26, FALSE)</f>
        <v>0</v>
      </c>
      <c r="AV321">
        <f>VLOOKUP(Table29[[#This Row],[Shortname]], Comp[], 27, FALSE)</f>
        <v>0</v>
      </c>
      <c r="AW321">
        <f>VLOOKUP(Table29[[#This Row],[Shortname]], Comp[], 28, FALSE)</f>
        <v>0</v>
      </c>
      <c r="AX321">
        <f>VLOOKUP(Table29[[#This Row],[Shortname]], Comp[], 29, FALSE)</f>
        <v>0</v>
      </c>
      <c r="AY321">
        <f>VLOOKUP(Table29[[#This Row],[Shortname]], Comp[], 30, FALSE)</f>
        <v>0</v>
      </c>
      <c r="AZ321">
        <f>VLOOKUP(Table29[[#This Row],[Shortname]], Comp[], 31, FALSE)</f>
        <v>0</v>
      </c>
    </row>
    <row r="322" spans="1:52" x14ac:dyDescent="0.3">
      <c r="A322" t="s">
        <v>4339</v>
      </c>
      <c r="B322">
        <v>367</v>
      </c>
      <c r="C322">
        <v>660</v>
      </c>
      <c r="D322" t="s">
        <v>11</v>
      </c>
      <c r="E322" t="s">
        <v>95</v>
      </c>
      <c r="F322" t="s">
        <v>4341</v>
      </c>
      <c r="G322" t="s">
        <v>4301</v>
      </c>
      <c r="H322">
        <v>500</v>
      </c>
      <c r="I322">
        <v>9.3800000000000006E-8</v>
      </c>
      <c r="J322">
        <f>0.01/Table29[[#This Row],[Strain Rate (min) /s]]</f>
        <v>106609.80810234541</v>
      </c>
      <c r="K322">
        <f>LOG(Table29[[#This Row],[Time to 1% strain (s)]])</f>
        <v>5.0277971616209358</v>
      </c>
      <c r="L322">
        <v>750</v>
      </c>
      <c r="P322" t="s">
        <v>7147</v>
      </c>
      <c r="Q322">
        <v>1130</v>
      </c>
      <c r="R322">
        <v>100</v>
      </c>
      <c r="S322">
        <v>900</v>
      </c>
      <c r="T322">
        <v>100</v>
      </c>
      <c r="W322">
        <v>1</v>
      </c>
      <c r="X322">
        <v>10</v>
      </c>
      <c r="Y322">
        <v>47</v>
      </c>
      <c r="AA322">
        <f>VLOOKUP(Table29[[#This Row],[Shortname]], Comp[], 6, FALSE)</f>
        <v>660</v>
      </c>
      <c r="AB322" s="14">
        <f>VLOOKUP(Table29[[#This Row],[Shortname]], Comp[], 7, FALSE)</f>
        <v>85.4</v>
      </c>
      <c r="AC322">
        <f>VLOOKUP(Table29[[#This Row],[Shortname]], Comp[], 8, FALSE)</f>
        <v>0</v>
      </c>
      <c r="AD322">
        <f>VLOOKUP(Table29[[#This Row],[Shortname]], Comp[], 9, FALSE)</f>
        <v>4.2</v>
      </c>
      <c r="AE322">
        <f>VLOOKUP(Table29[[#This Row],[Shortname]], Comp[], 10, FALSE)</f>
        <v>0</v>
      </c>
      <c r="AF322">
        <f>VLOOKUP(Table29[[#This Row],[Shortname]], Comp[], 11, FALSE)</f>
        <v>3.7</v>
      </c>
      <c r="AG322">
        <f>VLOOKUP(Table29[[#This Row],[Shortname]], Comp[],12, FALSE)</f>
        <v>6.7</v>
      </c>
      <c r="AH322">
        <f>VLOOKUP(Table29[[#This Row],[Shortname]], Comp[], 13, FALSE)</f>
        <v>0</v>
      </c>
      <c r="AI322">
        <f>VLOOKUP(Table29[[#This Row],[Shortname]], Comp[], 14, FALSE)</f>
        <v>0</v>
      </c>
      <c r="AJ322">
        <f>VLOOKUP(Table29[[#This Row],[Shortname]], Comp[], 15, FALSE)</f>
        <v>0</v>
      </c>
      <c r="AK322">
        <f>VLOOKUP(Table29[[#This Row],[Shortname]], Comp[], 16, FALSE)</f>
        <v>0</v>
      </c>
      <c r="AL322">
        <f>VLOOKUP(Table29[[#This Row],[Shortname]], Comp[], 17, FALSE)</f>
        <v>0</v>
      </c>
      <c r="AM322">
        <f>VLOOKUP(Table29[[#This Row],[Shortname]], Comp[], 18, FALSE)</f>
        <v>0</v>
      </c>
      <c r="AN322">
        <f>VLOOKUP(Table29[[#This Row],[Shortname]], Comp[], 19, FALSE)</f>
        <v>0</v>
      </c>
      <c r="AO322">
        <f>VLOOKUP(Table29[[#This Row],[Shortname]], Comp[], 20, FALSE)</f>
        <v>0</v>
      </c>
      <c r="AP322">
        <f>VLOOKUP(Table29[[#This Row],[Shortname]], Comp[], 21, FALSE)</f>
        <v>0</v>
      </c>
      <c r="AQ322">
        <f>VLOOKUP(Table29[[#This Row],[Shortname]], Comp[], 22, FALSE)</f>
        <v>0</v>
      </c>
      <c r="AR322">
        <f>VLOOKUP(Table29[[#This Row],[Shortname]], Comp[], 23, FALSE)</f>
        <v>0</v>
      </c>
      <c r="AS322">
        <f>VLOOKUP(Table29[[#This Row],[Shortname]], Comp[], 24, FALSE)</f>
        <v>0</v>
      </c>
      <c r="AT322">
        <f>VLOOKUP(Table29[[#This Row],[Shortname]], Comp[], 25, FALSE)</f>
        <v>0</v>
      </c>
      <c r="AU322">
        <f>VLOOKUP(Table29[[#This Row],[Shortname]], Comp[], 26, FALSE)</f>
        <v>0</v>
      </c>
      <c r="AV322">
        <f>VLOOKUP(Table29[[#This Row],[Shortname]], Comp[], 27, FALSE)</f>
        <v>0</v>
      </c>
      <c r="AW322">
        <f>VLOOKUP(Table29[[#This Row],[Shortname]], Comp[], 28, FALSE)</f>
        <v>0</v>
      </c>
      <c r="AX322">
        <f>VLOOKUP(Table29[[#This Row],[Shortname]], Comp[], 29, FALSE)</f>
        <v>0</v>
      </c>
      <c r="AY322">
        <f>VLOOKUP(Table29[[#This Row],[Shortname]], Comp[], 30, FALSE)</f>
        <v>0</v>
      </c>
      <c r="AZ322">
        <f>VLOOKUP(Table29[[#This Row],[Shortname]], Comp[], 31, FALSE)</f>
        <v>0</v>
      </c>
    </row>
    <row r="323" spans="1:52" x14ac:dyDescent="0.3">
      <c r="A323" t="s">
        <v>4353</v>
      </c>
      <c r="B323">
        <v>368</v>
      </c>
      <c r="C323">
        <v>662</v>
      </c>
      <c r="D323" t="s">
        <v>4354</v>
      </c>
      <c r="E323" t="s">
        <v>160</v>
      </c>
      <c r="F323" t="s">
        <v>4355</v>
      </c>
      <c r="G323" t="s">
        <v>4301</v>
      </c>
      <c r="H323">
        <v>300</v>
      </c>
      <c r="I323">
        <v>1.67E-7</v>
      </c>
      <c r="J323">
        <f>0.01/Table29[[#This Row],[Strain Rate (min) /s]]</f>
        <v>59880.239520958086</v>
      </c>
      <c r="K323">
        <f>LOG(Table29[[#This Row],[Time to 1% strain (s)]])</f>
        <v>4.7772835288524167</v>
      </c>
      <c r="L323">
        <v>850</v>
      </c>
      <c r="P323" t="s">
        <v>7148</v>
      </c>
      <c r="Q323">
        <v>1130</v>
      </c>
      <c r="R323">
        <v>100</v>
      </c>
      <c r="S323">
        <v>900</v>
      </c>
      <c r="T323">
        <v>100</v>
      </c>
      <c r="W323">
        <v>1</v>
      </c>
      <c r="X323">
        <v>10</v>
      </c>
      <c r="Y323">
        <v>47</v>
      </c>
      <c r="AA323">
        <f>VLOOKUP(Table29[[#This Row],[Shortname]], Comp[], 6, FALSE)</f>
        <v>662</v>
      </c>
      <c r="AB323" s="14">
        <f>VLOOKUP(Table29[[#This Row],[Shortname]], Comp[], 7, FALSE)</f>
        <v>84.2</v>
      </c>
      <c r="AC323">
        <f>VLOOKUP(Table29[[#This Row],[Shortname]], Comp[], 8, FALSE)</f>
        <v>0</v>
      </c>
      <c r="AD323">
        <f>VLOOKUP(Table29[[#This Row],[Shortname]], Comp[], 9, FALSE)</f>
        <v>6</v>
      </c>
      <c r="AE323">
        <f>VLOOKUP(Table29[[#This Row],[Shortname]], Comp[], 10, FALSE)</f>
        <v>0</v>
      </c>
      <c r="AF323">
        <f>VLOOKUP(Table29[[#This Row],[Shortname]], Comp[], 11, FALSE)</f>
        <v>5.5</v>
      </c>
      <c r="AG323">
        <f>VLOOKUP(Table29[[#This Row],[Shortname]], Comp[],12, FALSE)</f>
        <v>4.3</v>
      </c>
      <c r="AH323">
        <f>VLOOKUP(Table29[[#This Row],[Shortname]], Comp[], 13, FALSE)</f>
        <v>0</v>
      </c>
      <c r="AI323">
        <f>VLOOKUP(Table29[[#This Row],[Shortname]], Comp[], 14, FALSE)</f>
        <v>0</v>
      </c>
      <c r="AJ323">
        <f>VLOOKUP(Table29[[#This Row],[Shortname]], Comp[], 15, FALSE)</f>
        <v>0</v>
      </c>
      <c r="AK323">
        <f>VLOOKUP(Table29[[#This Row],[Shortname]], Comp[], 16, FALSE)</f>
        <v>0</v>
      </c>
      <c r="AL323">
        <f>VLOOKUP(Table29[[#This Row],[Shortname]], Comp[], 17, FALSE)</f>
        <v>0</v>
      </c>
      <c r="AM323">
        <f>VLOOKUP(Table29[[#This Row],[Shortname]], Comp[], 18, FALSE)</f>
        <v>0</v>
      </c>
      <c r="AN323">
        <f>VLOOKUP(Table29[[#This Row],[Shortname]], Comp[], 19, FALSE)</f>
        <v>0</v>
      </c>
      <c r="AO323">
        <f>VLOOKUP(Table29[[#This Row],[Shortname]], Comp[], 20, FALSE)</f>
        <v>0</v>
      </c>
      <c r="AP323">
        <f>VLOOKUP(Table29[[#This Row],[Shortname]], Comp[], 21, FALSE)</f>
        <v>0</v>
      </c>
      <c r="AQ323">
        <f>VLOOKUP(Table29[[#This Row],[Shortname]], Comp[], 22, FALSE)</f>
        <v>0</v>
      </c>
      <c r="AR323">
        <f>VLOOKUP(Table29[[#This Row],[Shortname]], Comp[], 23, FALSE)</f>
        <v>0</v>
      </c>
      <c r="AS323">
        <f>VLOOKUP(Table29[[#This Row],[Shortname]], Comp[], 24, FALSE)</f>
        <v>0</v>
      </c>
      <c r="AT323">
        <f>VLOOKUP(Table29[[#This Row],[Shortname]], Comp[], 25, FALSE)</f>
        <v>0</v>
      </c>
      <c r="AU323">
        <f>VLOOKUP(Table29[[#This Row],[Shortname]], Comp[], 26, FALSE)</f>
        <v>0</v>
      </c>
      <c r="AV323">
        <f>VLOOKUP(Table29[[#This Row],[Shortname]], Comp[], 27, FALSE)</f>
        <v>0</v>
      </c>
      <c r="AW323">
        <f>VLOOKUP(Table29[[#This Row],[Shortname]], Comp[], 28, FALSE)</f>
        <v>0</v>
      </c>
      <c r="AX323">
        <f>VLOOKUP(Table29[[#This Row],[Shortname]], Comp[], 29, FALSE)</f>
        <v>0</v>
      </c>
      <c r="AY323">
        <f>VLOOKUP(Table29[[#This Row],[Shortname]], Comp[], 30, FALSE)</f>
        <v>0</v>
      </c>
      <c r="AZ323">
        <f>VLOOKUP(Table29[[#This Row],[Shortname]], Comp[], 31, FALSE)</f>
        <v>0</v>
      </c>
    </row>
    <row r="324" spans="1:52" x14ac:dyDescent="0.3">
      <c r="A324" t="s">
        <v>4353</v>
      </c>
      <c r="B324">
        <v>369</v>
      </c>
      <c r="C324">
        <v>662</v>
      </c>
      <c r="D324" t="s">
        <v>11</v>
      </c>
      <c r="E324" t="s">
        <v>160</v>
      </c>
      <c r="F324" t="s">
        <v>4355</v>
      </c>
      <c r="G324" t="s">
        <v>4301</v>
      </c>
      <c r="H324">
        <v>500</v>
      </c>
      <c r="I324">
        <v>2.0899999999999999E-8</v>
      </c>
      <c r="J324">
        <f>0.01/Table29[[#This Row],[Strain Rate (min) /s]]</f>
        <v>478468.89952153113</v>
      </c>
      <c r="K324">
        <f>LOG(Table29[[#This Row],[Time to 1% strain (s)]])</f>
        <v>5.6798537138889458</v>
      </c>
      <c r="L324">
        <v>750</v>
      </c>
      <c r="P324" t="s">
        <v>7148</v>
      </c>
      <c r="Q324">
        <v>1130</v>
      </c>
      <c r="R324">
        <v>100</v>
      </c>
      <c r="S324">
        <v>900</v>
      </c>
      <c r="T324">
        <v>100</v>
      </c>
      <c r="W324">
        <v>1</v>
      </c>
      <c r="X324">
        <v>10</v>
      </c>
      <c r="Y324">
        <v>47</v>
      </c>
      <c r="AA324">
        <f>VLOOKUP(Table29[[#This Row],[Shortname]], Comp[], 6, FALSE)</f>
        <v>662</v>
      </c>
      <c r="AB324" s="14">
        <f>VLOOKUP(Table29[[#This Row],[Shortname]], Comp[], 7, FALSE)</f>
        <v>84.2</v>
      </c>
      <c r="AC324">
        <f>VLOOKUP(Table29[[#This Row],[Shortname]], Comp[], 8, FALSE)</f>
        <v>0</v>
      </c>
      <c r="AD324">
        <f>VLOOKUP(Table29[[#This Row],[Shortname]], Comp[], 9, FALSE)</f>
        <v>6</v>
      </c>
      <c r="AE324">
        <f>VLOOKUP(Table29[[#This Row],[Shortname]], Comp[], 10, FALSE)</f>
        <v>0</v>
      </c>
      <c r="AF324">
        <f>VLOOKUP(Table29[[#This Row],[Shortname]], Comp[], 11, FALSE)</f>
        <v>5.5</v>
      </c>
      <c r="AG324">
        <f>VLOOKUP(Table29[[#This Row],[Shortname]], Comp[],12, FALSE)</f>
        <v>4.3</v>
      </c>
      <c r="AH324">
        <f>VLOOKUP(Table29[[#This Row],[Shortname]], Comp[], 13, FALSE)</f>
        <v>0</v>
      </c>
      <c r="AI324">
        <f>VLOOKUP(Table29[[#This Row],[Shortname]], Comp[], 14, FALSE)</f>
        <v>0</v>
      </c>
      <c r="AJ324">
        <f>VLOOKUP(Table29[[#This Row],[Shortname]], Comp[], 15, FALSE)</f>
        <v>0</v>
      </c>
      <c r="AK324">
        <f>VLOOKUP(Table29[[#This Row],[Shortname]], Comp[], 16, FALSE)</f>
        <v>0</v>
      </c>
      <c r="AL324">
        <f>VLOOKUP(Table29[[#This Row],[Shortname]], Comp[], 17, FALSE)</f>
        <v>0</v>
      </c>
      <c r="AM324">
        <f>VLOOKUP(Table29[[#This Row],[Shortname]], Comp[], 18, FALSE)</f>
        <v>0</v>
      </c>
      <c r="AN324">
        <f>VLOOKUP(Table29[[#This Row],[Shortname]], Comp[], 19, FALSE)</f>
        <v>0</v>
      </c>
      <c r="AO324">
        <f>VLOOKUP(Table29[[#This Row],[Shortname]], Comp[], 20, FALSE)</f>
        <v>0</v>
      </c>
      <c r="AP324">
        <f>VLOOKUP(Table29[[#This Row],[Shortname]], Comp[], 21, FALSE)</f>
        <v>0</v>
      </c>
      <c r="AQ324">
        <f>VLOOKUP(Table29[[#This Row],[Shortname]], Comp[], 22, FALSE)</f>
        <v>0</v>
      </c>
      <c r="AR324">
        <f>VLOOKUP(Table29[[#This Row],[Shortname]], Comp[], 23, FALSE)</f>
        <v>0</v>
      </c>
      <c r="AS324">
        <f>VLOOKUP(Table29[[#This Row],[Shortname]], Comp[], 24, FALSE)</f>
        <v>0</v>
      </c>
      <c r="AT324">
        <f>VLOOKUP(Table29[[#This Row],[Shortname]], Comp[], 25, FALSE)</f>
        <v>0</v>
      </c>
      <c r="AU324">
        <f>VLOOKUP(Table29[[#This Row],[Shortname]], Comp[], 26, FALSE)</f>
        <v>0</v>
      </c>
      <c r="AV324">
        <f>VLOOKUP(Table29[[#This Row],[Shortname]], Comp[], 27, FALSE)</f>
        <v>0</v>
      </c>
      <c r="AW324">
        <f>VLOOKUP(Table29[[#This Row],[Shortname]], Comp[], 28, FALSE)</f>
        <v>0</v>
      </c>
      <c r="AX324">
        <f>VLOOKUP(Table29[[#This Row],[Shortname]], Comp[], 29, FALSE)</f>
        <v>0</v>
      </c>
      <c r="AY324">
        <f>VLOOKUP(Table29[[#This Row],[Shortname]], Comp[], 30, FALSE)</f>
        <v>0</v>
      </c>
      <c r="AZ324">
        <f>VLOOKUP(Table29[[#This Row],[Shortname]], Comp[], 31, FALSE)</f>
        <v>0</v>
      </c>
    </row>
    <row r="325" spans="1:52" x14ac:dyDescent="0.3">
      <c r="A325" t="s">
        <v>4353</v>
      </c>
      <c r="B325">
        <v>370</v>
      </c>
      <c r="C325">
        <v>662</v>
      </c>
      <c r="D325" t="s">
        <v>11</v>
      </c>
      <c r="E325" t="s">
        <v>160</v>
      </c>
      <c r="F325" t="s">
        <v>4355</v>
      </c>
      <c r="G325" t="s">
        <v>4301</v>
      </c>
      <c r="H325">
        <v>300</v>
      </c>
      <c r="I325">
        <v>3.2500000000000001E-7</v>
      </c>
      <c r="J325">
        <f>0.01/Table29[[#This Row],[Strain Rate (min) /s]]</f>
        <v>30769.23076923077</v>
      </c>
      <c r="K325">
        <f>LOG(Table29[[#This Row],[Time to 1% strain (s)]])</f>
        <v>4.4881166390211256</v>
      </c>
      <c r="L325">
        <v>850</v>
      </c>
      <c r="P325" t="s">
        <v>7148</v>
      </c>
      <c r="Q325">
        <v>1130</v>
      </c>
      <c r="R325">
        <v>100</v>
      </c>
      <c r="S325">
        <v>900</v>
      </c>
      <c r="T325">
        <v>100</v>
      </c>
      <c r="W325">
        <v>1</v>
      </c>
      <c r="X325">
        <v>10</v>
      </c>
      <c r="Y325">
        <v>47</v>
      </c>
      <c r="AA325">
        <f>VLOOKUP(Table29[[#This Row],[Shortname]], Comp[], 6, FALSE)</f>
        <v>662</v>
      </c>
      <c r="AB325" s="14">
        <f>VLOOKUP(Table29[[#This Row],[Shortname]], Comp[], 7, FALSE)</f>
        <v>84.2</v>
      </c>
      <c r="AC325">
        <f>VLOOKUP(Table29[[#This Row],[Shortname]], Comp[], 8, FALSE)</f>
        <v>0</v>
      </c>
      <c r="AD325">
        <f>VLOOKUP(Table29[[#This Row],[Shortname]], Comp[], 9, FALSE)</f>
        <v>6</v>
      </c>
      <c r="AE325">
        <f>VLOOKUP(Table29[[#This Row],[Shortname]], Comp[], 10, FALSE)</f>
        <v>0</v>
      </c>
      <c r="AF325">
        <f>VLOOKUP(Table29[[#This Row],[Shortname]], Comp[], 11, FALSE)</f>
        <v>5.5</v>
      </c>
      <c r="AG325">
        <f>VLOOKUP(Table29[[#This Row],[Shortname]], Comp[],12, FALSE)</f>
        <v>4.3</v>
      </c>
      <c r="AH325">
        <f>VLOOKUP(Table29[[#This Row],[Shortname]], Comp[], 13, FALSE)</f>
        <v>0</v>
      </c>
      <c r="AI325">
        <f>VLOOKUP(Table29[[#This Row],[Shortname]], Comp[], 14, FALSE)</f>
        <v>0</v>
      </c>
      <c r="AJ325">
        <f>VLOOKUP(Table29[[#This Row],[Shortname]], Comp[], 15, FALSE)</f>
        <v>0</v>
      </c>
      <c r="AK325">
        <f>VLOOKUP(Table29[[#This Row],[Shortname]], Comp[], 16, FALSE)</f>
        <v>0</v>
      </c>
      <c r="AL325">
        <f>VLOOKUP(Table29[[#This Row],[Shortname]], Comp[], 17, FALSE)</f>
        <v>0</v>
      </c>
      <c r="AM325">
        <f>VLOOKUP(Table29[[#This Row],[Shortname]], Comp[], 18, FALSE)</f>
        <v>0</v>
      </c>
      <c r="AN325">
        <f>VLOOKUP(Table29[[#This Row],[Shortname]], Comp[], 19, FALSE)</f>
        <v>0</v>
      </c>
      <c r="AO325">
        <f>VLOOKUP(Table29[[#This Row],[Shortname]], Comp[], 20, FALSE)</f>
        <v>0</v>
      </c>
      <c r="AP325">
        <f>VLOOKUP(Table29[[#This Row],[Shortname]], Comp[], 21, FALSE)</f>
        <v>0</v>
      </c>
      <c r="AQ325">
        <f>VLOOKUP(Table29[[#This Row],[Shortname]], Comp[], 22, FALSE)</f>
        <v>0</v>
      </c>
      <c r="AR325">
        <f>VLOOKUP(Table29[[#This Row],[Shortname]], Comp[], 23, FALSE)</f>
        <v>0</v>
      </c>
      <c r="AS325">
        <f>VLOOKUP(Table29[[#This Row],[Shortname]], Comp[], 24, FALSE)</f>
        <v>0</v>
      </c>
      <c r="AT325">
        <f>VLOOKUP(Table29[[#This Row],[Shortname]], Comp[], 25, FALSE)</f>
        <v>0</v>
      </c>
      <c r="AU325">
        <f>VLOOKUP(Table29[[#This Row],[Shortname]], Comp[], 26, FALSE)</f>
        <v>0</v>
      </c>
      <c r="AV325">
        <f>VLOOKUP(Table29[[#This Row],[Shortname]], Comp[], 27, FALSE)</f>
        <v>0</v>
      </c>
      <c r="AW325">
        <f>VLOOKUP(Table29[[#This Row],[Shortname]], Comp[], 28, FALSE)</f>
        <v>0</v>
      </c>
      <c r="AX325">
        <f>VLOOKUP(Table29[[#This Row],[Shortname]], Comp[], 29, FALSE)</f>
        <v>0</v>
      </c>
      <c r="AY325">
        <f>VLOOKUP(Table29[[#This Row],[Shortname]], Comp[], 30, FALSE)</f>
        <v>0</v>
      </c>
      <c r="AZ325">
        <f>VLOOKUP(Table29[[#This Row],[Shortname]], Comp[], 31, FALSE)</f>
        <v>0</v>
      </c>
    </row>
    <row r="326" spans="1:52" x14ac:dyDescent="0.3">
      <c r="A326" t="s">
        <v>4353</v>
      </c>
      <c r="B326">
        <v>371</v>
      </c>
      <c r="C326">
        <v>662</v>
      </c>
      <c r="D326" t="s">
        <v>11</v>
      </c>
      <c r="E326" t="s">
        <v>160</v>
      </c>
      <c r="F326" t="s">
        <v>4355</v>
      </c>
      <c r="G326" t="s">
        <v>4301</v>
      </c>
      <c r="H326">
        <v>500</v>
      </c>
      <c r="I326">
        <v>3.3500000000000002E-8</v>
      </c>
      <c r="J326">
        <f>0.01/Table29[[#This Row],[Strain Rate (min) /s]]</f>
        <v>298507.46268656716</v>
      </c>
      <c r="K326">
        <f>LOG(Table29[[#This Row],[Time to 1% strain (s)]])</f>
        <v>5.4749551929631544</v>
      </c>
      <c r="L326">
        <v>750</v>
      </c>
      <c r="P326" t="s">
        <v>7148</v>
      </c>
      <c r="Q326">
        <v>1130</v>
      </c>
      <c r="R326">
        <v>100</v>
      </c>
      <c r="S326">
        <v>900</v>
      </c>
      <c r="T326">
        <v>100</v>
      </c>
      <c r="W326">
        <v>1</v>
      </c>
      <c r="X326">
        <v>10</v>
      </c>
      <c r="Y326">
        <v>47</v>
      </c>
      <c r="AA326">
        <f>VLOOKUP(Table29[[#This Row],[Shortname]], Comp[], 6, FALSE)</f>
        <v>662</v>
      </c>
      <c r="AB326" s="14">
        <f>VLOOKUP(Table29[[#This Row],[Shortname]], Comp[], 7, FALSE)</f>
        <v>84.2</v>
      </c>
      <c r="AC326">
        <f>VLOOKUP(Table29[[#This Row],[Shortname]], Comp[], 8, FALSE)</f>
        <v>0</v>
      </c>
      <c r="AD326">
        <f>VLOOKUP(Table29[[#This Row],[Shortname]], Comp[], 9, FALSE)</f>
        <v>6</v>
      </c>
      <c r="AE326">
        <f>VLOOKUP(Table29[[#This Row],[Shortname]], Comp[], 10, FALSE)</f>
        <v>0</v>
      </c>
      <c r="AF326">
        <f>VLOOKUP(Table29[[#This Row],[Shortname]], Comp[], 11, FALSE)</f>
        <v>5.5</v>
      </c>
      <c r="AG326">
        <f>VLOOKUP(Table29[[#This Row],[Shortname]], Comp[],12, FALSE)</f>
        <v>4.3</v>
      </c>
      <c r="AH326">
        <f>VLOOKUP(Table29[[#This Row],[Shortname]], Comp[], 13, FALSE)</f>
        <v>0</v>
      </c>
      <c r="AI326">
        <f>VLOOKUP(Table29[[#This Row],[Shortname]], Comp[], 14, FALSE)</f>
        <v>0</v>
      </c>
      <c r="AJ326">
        <f>VLOOKUP(Table29[[#This Row],[Shortname]], Comp[], 15, FALSE)</f>
        <v>0</v>
      </c>
      <c r="AK326">
        <f>VLOOKUP(Table29[[#This Row],[Shortname]], Comp[], 16, FALSE)</f>
        <v>0</v>
      </c>
      <c r="AL326">
        <f>VLOOKUP(Table29[[#This Row],[Shortname]], Comp[], 17, FALSE)</f>
        <v>0</v>
      </c>
      <c r="AM326">
        <f>VLOOKUP(Table29[[#This Row],[Shortname]], Comp[], 18, FALSE)</f>
        <v>0</v>
      </c>
      <c r="AN326">
        <f>VLOOKUP(Table29[[#This Row],[Shortname]], Comp[], 19, FALSE)</f>
        <v>0</v>
      </c>
      <c r="AO326">
        <f>VLOOKUP(Table29[[#This Row],[Shortname]], Comp[], 20, FALSE)</f>
        <v>0</v>
      </c>
      <c r="AP326">
        <f>VLOOKUP(Table29[[#This Row],[Shortname]], Comp[], 21, FALSE)</f>
        <v>0</v>
      </c>
      <c r="AQ326">
        <f>VLOOKUP(Table29[[#This Row],[Shortname]], Comp[], 22, FALSE)</f>
        <v>0</v>
      </c>
      <c r="AR326">
        <f>VLOOKUP(Table29[[#This Row],[Shortname]], Comp[], 23, FALSE)</f>
        <v>0</v>
      </c>
      <c r="AS326">
        <f>VLOOKUP(Table29[[#This Row],[Shortname]], Comp[], 24, FALSE)</f>
        <v>0</v>
      </c>
      <c r="AT326">
        <f>VLOOKUP(Table29[[#This Row],[Shortname]], Comp[], 25, FALSE)</f>
        <v>0</v>
      </c>
      <c r="AU326">
        <f>VLOOKUP(Table29[[#This Row],[Shortname]], Comp[], 26, FALSE)</f>
        <v>0</v>
      </c>
      <c r="AV326">
        <f>VLOOKUP(Table29[[#This Row],[Shortname]], Comp[], 27, FALSE)</f>
        <v>0</v>
      </c>
      <c r="AW326">
        <f>VLOOKUP(Table29[[#This Row],[Shortname]], Comp[], 28, FALSE)</f>
        <v>0</v>
      </c>
      <c r="AX326">
        <f>VLOOKUP(Table29[[#This Row],[Shortname]], Comp[], 29, FALSE)</f>
        <v>0</v>
      </c>
      <c r="AY326">
        <f>VLOOKUP(Table29[[#This Row],[Shortname]], Comp[], 30, FALSE)</f>
        <v>0</v>
      </c>
      <c r="AZ326">
        <f>VLOOKUP(Table29[[#This Row],[Shortname]], Comp[], 31, FALSE)</f>
        <v>0</v>
      </c>
    </row>
    <row r="327" spans="1:52" x14ac:dyDescent="0.3">
      <c r="A327" t="s">
        <v>4366</v>
      </c>
      <c r="B327">
        <v>372</v>
      </c>
      <c r="C327">
        <v>664</v>
      </c>
      <c r="D327" t="s">
        <v>4367</v>
      </c>
      <c r="E327" t="s">
        <v>160</v>
      </c>
      <c r="F327" t="s">
        <v>4368</v>
      </c>
      <c r="G327" t="s">
        <v>4301</v>
      </c>
      <c r="H327">
        <v>300</v>
      </c>
      <c r="I327">
        <v>4.8300000000000002E-8</v>
      </c>
      <c r="J327">
        <f>0.01/Table29[[#This Row],[Strain Rate (min) /s]]</f>
        <v>207039.33747412008</v>
      </c>
      <c r="K327">
        <f>LOG(Table29[[#This Row],[Time to 1% strain (s)]])</f>
        <v>5.3160528692484874</v>
      </c>
      <c r="L327">
        <v>850</v>
      </c>
      <c r="P327" t="s">
        <v>7149</v>
      </c>
      <c r="Q327">
        <v>1130</v>
      </c>
      <c r="R327">
        <v>100</v>
      </c>
      <c r="S327">
        <v>900</v>
      </c>
      <c r="T327">
        <v>100</v>
      </c>
      <c r="W327">
        <v>1</v>
      </c>
      <c r="X327">
        <v>10</v>
      </c>
      <c r="Y327">
        <v>47</v>
      </c>
      <c r="AA327">
        <f>VLOOKUP(Table29[[#This Row],[Shortname]], Comp[], 6, FALSE)</f>
        <v>664</v>
      </c>
      <c r="AB327" s="14">
        <f>VLOOKUP(Table29[[#This Row],[Shortname]], Comp[], 7, FALSE)</f>
        <v>83.4</v>
      </c>
      <c r="AC327">
        <f>VLOOKUP(Table29[[#This Row],[Shortname]], Comp[], 8, FALSE)</f>
        <v>0</v>
      </c>
      <c r="AD327">
        <f>VLOOKUP(Table29[[#This Row],[Shortname]], Comp[], 9, FALSE)</f>
        <v>7.5</v>
      </c>
      <c r="AE327">
        <f>VLOOKUP(Table29[[#This Row],[Shortname]], Comp[], 10, FALSE)</f>
        <v>0</v>
      </c>
      <c r="AF327">
        <f>VLOOKUP(Table29[[#This Row],[Shortname]], Comp[], 11, FALSE)</f>
        <v>6.8</v>
      </c>
      <c r="AG327">
        <f>VLOOKUP(Table29[[#This Row],[Shortname]], Comp[],12, FALSE)</f>
        <v>2.2999999999999998</v>
      </c>
      <c r="AH327">
        <f>VLOOKUP(Table29[[#This Row],[Shortname]], Comp[], 13, FALSE)</f>
        <v>0</v>
      </c>
      <c r="AI327">
        <f>VLOOKUP(Table29[[#This Row],[Shortname]], Comp[], 14, FALSE)</f>
        <v>0</v>
      </c>
      <c r="AJ327">
        <f>VLOOKUP(Table29[[#This Row],[Shortname]], Comp[], 15, FALSE)</f>
        <v>0</v>
      </c>
      <c r="AK327">
        <f>VLOOKUP(Table29[[#This Row],[Shortname]], Comp[], 16, FALSE)</f>
        <v>0</v>
      </c>
      <c r="AL327">
        <f>VLOOKUP(Table29[[#This Row],[Shortname]], Comp[], 17, FALSE)</f>
        <v>0</v>
      </c>
      <c r="AM327">
        <f>VLOOKUP(Table29[[#This Row],[Shortname]], Comp[], 18, FALSE)</f>
        <v>0</v>
      </c>
      <c r="AN327">
        <f>VLOOKUP(Table29[[#This Row],[Shortname]], Comp[], 19, FALSE)</f>
        <v>0</v>
      </c>
      <c r="AO327">
        <f>VLOOKUP(Table29[[#This Row],[Shortname]], Comp[], 20, FALSE)</f>
        <v>0</v>
      </c>
      <c r="AP327">
        <f>VLOOKUP(Table29[[#This Row],[Shortname]], Comp[], 21, FALSE)</f>
        <v>0</v>
      </c>
      <c r="AQ327">
        <f>VLOOKUP(Table29[[#This Row],[Shortname]], Comp[], 22, FALSE)</f>
        <v>0</v>
      </c>
      <c r="AR327">
        <f>VLOOKUP(Table29[[#This Row],[Shortname]], Comp[], 23, FALSE)</f>
        <v>0</v>
      </c>
      <c r="AS327">
        <f>VLOOKUP(Table29[[#This Row],[Shortname]], Comp[], 24, FALSE)</f>
        <v>0</v>
      </c>
      <c r="AT327">
        <f>VLOOKUP(Table29[[#This Row],[Shortname]], Comp[], 25, FALSE)</f>
        <v>0</v>
      </c>
      <c r="AU327">
        <f>VLOOKUP(Table29[[#This Row],[Shortname]], Comp[], 26, FALSE)</f>
        <v>0</v>
      </c>
      <c r="AV327">
        <f>VLOOKUP(Table29[[#This Row],[Shortname]], Comp[], 27, FALSE)</f>
        <v>0</v>
      </c>
      <c r="AW327">
        <f>VLOOKUP(Table29[[#This Row],[Shortname]], Comp[], 28, FALSE)</f>
        <v>0</v>
      </c>
      <c r="AX327">
        <f>VLOOKUP(Table29[[#This Row],[Shortname]], Comp[], 29, FALSE)</f>
        <v>0</v>
      </c>
      <c r="AY327">
        <f>VLOOKUP(Table29[[#This Row],[Shortname]], Comp[], 30, FALSE)</f>
        <v>0</v>
      </c>
      <c r="AZ327">
        <f>VLOOKUP(Table29[[#This Row],[Shortname]], Comp[], 31, FALSE)</f>
        <v>0</v>
      </c>
    </row>
    <row r="328" spans="1:52" x14ac:dyDescent="0.3">
      <c r="A328" t="s">
        <v>4366</v>
      </c>
      <c r="B328">
        <v>373</v>
      </c>
      <c r="C328">
        <v>664</v>
      </c>
      <c r="D328" t="s">
        <v>11</v>
      </c>
      <c r="E328" t="s">
        <v>160</v>
      </c>
      <c r="F328" t="s">
        <v>4368</v>
      </c>
      <c r="G328" t="s">
        <v>4301</v>
      </c>
      <c r="H328">
        <v>500</v>
      </c>
      <c r="I328">
        <v>1.7999999999999999E-8</v>
      </c>
      <c r="J328">
        <f>0.01/Table29[[#This Row],[Strain Rate (min) /s]]</f>
        <v>555555.55555555562</v>
      </c>
      <c r="K328">
        <f>LOG(Table29[[#This Row],[Time to 1% strain (s)]])</f>
        <v>5.7447274948966935</v>
      </c>
      <c r="L328">
        <v>750</v>
      </c>
      <c r="P328" t="s">
        <v>7149</v>
      </c>
      <c r="Q328">
        <v>1130</v>
      </c>
      <c r="R328">
        <v>100</v>
      </c>
      <c r="S328">
        <v>900</v>
      </c>
      <c r="T328">
        <v>100</v>
      </c>
      <c r="W328">
        <v>1</v>
      </c>
      <c r="X328">
        <v>10</v>
      </c>
      <c r="Y328">
        <v>47</v>
      </c>
      <c r="AA328">
        <f>VLOOKUP(Table29[[#This Row],[Shortname]], Comp[], 6, FALSE)</f>
        <v>664</v>
      </c>
      <c r="AB328" s="14">
        <f>VLOOKUP(Table29[[#This Row],[Shortname]], Comp[], 7, FALSE)</f>
        <v>83.4</v>
      </c>
      <c r="AC328">
        <f>VLOOKUP(Table29[[#This Row],[Shortname]], Comp[], 8, FALSE)</f>
        <v>0</v>
      </c>
      <c r="AD328">
        <f>VLOOKUP(Table29[[#This Row],[Shortname]], Comp[], 9, FALSE)</f>
        <v>7.5</v>
      </c>
      <c r="AE328">
        <f>VLOOKUP(Table29[[#This Row],[Shortname]], Comp[], 10, FALSE)</f>
        <v>0</v>
      </c>
      <c r="AF328">
        <f>VLOOKUP(Table29[[#This Row],[Shortname]], Comp[], 11, FALSE)</f>
        <v>6.8</v>
      </c>
      <c r="AG328">
        <f>VLOOKUP(Table29[[#This Row],[Shortname]], Comp[],12, FALSE)</f>
        <v>2.2999999999999998</v>
      </c>
      <c r="AH328">
        <f>VLOOKUP(Table29[[#This Row],[Shortname]], Comp[], 13, FALSE)</f>
        <v>0</v>
      </c>
      <c r="AI328">
        <f>VLOOKUP(Table29[[#This Row],[Shortname]], Comp[], 14, FALSE)</f>
        <v>0</v>
      </c>
      <c r="AJ328">
        <f>VLOOKUP(Table29[[#This Row],[Shortname]], Comp[], 15, FALSE)</f>
        <v>0</v>
      </c>
      <c r="AK328">
        <f>VLOOKUP(Table29[[#This Row],[Shortname]], Comp[], 16, FALSE)</f>
        <v>0</v>
      </c>
      <c r="AL328">
        <f>VLOOKUP(Table29[[#This Row],[Shortname]], Comp[], 17, FALSE)</f>
        <v>0</v>
      </c>
      <c r="AM328">
        <f>VLOOKUP(Table29[[#This Row],[Shortname]], Comp[], 18, FALSE)</f>
        <v>0</v>
      </c>
      <c r="AN328">
        <f>VLOOKUP(Table29[[#This Row],[Shortname]], Comp[], 19, FALSE)</f>
        <v>0</v>
      </c>
      <c r="AO328">
        <f>VLOOKUP(Table29[[#This Row],[Shortname]], Comp[], 20, FALSE)</f>
        <v>0</v>
      </c>
      <c r="AP328">
        <f>VLOOKUP(Table29[[#This Row],[Shortname]], Comp[], 21, FALSE)</f>
        <v>0</v>
      </c>
      <c r="AQ328">
        <f>VLOOKUP(Table29[[#This Row],[Shortname]], Comp[], 22, FALSE)</f>
        <v>0</v>
      </c>
      <c r="AR328">
        <f>VLOOKUP(Table29[[#This Row],[Shortname]], Comp[], 23, FALSE)</f>
        <v>0</v>
      </c>
      <c r="AS328">
        <f>VLOOKUP(Table29[[#This Row],[Shortname]], Comp[], 24, FALSE)</f>
        <v>0</v>
      </c>
      <c r="AT328">
        <f>VLOOKUP(Table29[[#This Row],[Shortname]], Comp[], 25, FALSE)</f>
        <v>0</v>
      </c>
      <c r="AU328">
        <f>VLOOKUP(Table29[[#This Row],[Shortname]], Comp[], 26, FALSE)</f>
        <v>0</v>
      </c>
      <c r="AV328">
        <f>VLOOKUP(Table29[[#This Row],[Shortname]], Comp[], 27, FALSE)</f>
        <v>0</v>
      </c>
      <c r="AW328">
        <f>VLOOKUP(Table29[[#This Row],[Shortname]], Comp[], 28, FALSE)</f>
        <v>0</v>
      </c>
      <c r="AX328">
        <f>VLOOKUP(Table29[[#This Row],[Shortname]], Comp[], 29, FALSE)</f>
        <v>0</v>
      </c>
      <c r="AY328">
        <f>VLOOKUP(Table29[[#This Row],[Shortname]], Comp[], 30, FALSE)</f>
        <v>0</v>
      </c>
      <c r="AZ328">
        <f>VLOOKUP(Table29[[#This Row],[Shortname]], Comp[], 31, FALSE)</f>
        <v>0</v>
      </c>
    </row>
    <row r="329" spans="1:52" x14ac:dyDescent="0.3">
      <c r="A329" t="s">
        <v>4366</v>
      </c>
      <c r="B329">
        <v>374</v>
      </c>
      <c r="C329">
        <v>664</v>
      </c>
      <c r="D329" t="s">
        <v>11</v>
      </c>
      <c r="E329" t="s">
        <v>160</v>
      </c>
      <c r="F329" t="s">
        <v>4368</v>
      </c>
      <c r="G329" t="s">
        <v>4301</v>
      </c>
      <c r="H329">
        <v>300</v>
      </c>
      <c r="I329">
        <v>2.2100000000000001E-7</v>
      </c>
      <c r="J329">
        <f>0.01/Table29[[#This Row],[Strain Rate (min) /s]]</f>
        <v>45248.868778280543</v>
      </c>
      <c r="K329">
        <f>LOG(Table29[[#This Row],[Time to 1% strain (s)]])</f>
        <v>4.655607726314889</v>
      </c>
      <c r="L329">
        <v>850</v>
      </c>
      <c r="P329" t="s">
        <v>7149</v>
      </c>
      <c r="Q329">
        <v>1130</v>
      </c>
      <c r="R329">
        <v>100</v>
      </c>
      <c r="S329">
        <v>900</v>
      </c>
      <c r="T329">
        <v>100</v>
      </c>
      <c r="W329">
        <v>1</v>
      </c>
      <c r="X329">
        <v>10</v>
      </c>
      <c r="Y329">
        <v>47</v>
      </c>
      <c r="AA329">
        <f>VLOOKUP(Table29[[#This Row],[Shortname]], Comp[], 6, FALSE)</f>
        <v>664</v>
      </c>
      <c r="AB329" s="14">
        <f>VLOOKUP(Table29[[#This Row],[Shortname]], Comp[], 7, FALSE)</f>
        <v>83.4</v>
      </c>
      <c r="AC329">
        <f>VLOOKUP(Table29[[#This Row],[Shortname]], Comp[], 8, FALSE)</f>
        <v>0</v>
      </c>
      <c r="AD329">
        <f>VLOOKUP(Table29[[#This Row],[Shortname]], Comp[], 9, FALSE)</f>
        <v>7.5</v>
      </c>
      <c r="AE329">
        <f>VLOOKUP(Table29[[#This Row],[Shortname]], Comp[], 10, FALSE)</f>
        <v>0</v>
      </c>
      <c r="AF329">
        <f>VLOOKUP(Table29[[#This Row],[Shortname]], Comp[], 11, FALSE)</f>
        <v>6.8</v>
      </c>
      <c r="AG329">
        <f>VLOOKUP(Table29[[#This Row],[Shortname]], Comp[],12, FALSE)</f>
        <v>2.2999999999999998</v>
      </c>
      <c r="AH329">
        <f>VLOOKUP(Table29[[#This Row],[Shortname]], Comp[], 13, FALSE)</f>
        <v>0</v>
      </c>
      <c r="AI329">
        <f>VLOOKUP(Table29[[#This Row],[Shortname]], Comp[], 14, FALSE)</f>
        <v>0</v>
      </c>
      <c r="AJ329">
        <f>VLOOKUP(Table29[[#This Row],[Shortname]], Comp[], 15, FALSE)</f>
        <v>0</v>
      </c>
      <c r="AK329">
        <f>VLOOKUP(Table29[[#This Row],[Shortname]], Comp[], 16, FALSE)</f>
        <v>0</v>
      </c>
      <c r="AL329">
        <f>VLOOKUP(Table29[[#This Row],[Shortname]], Comp[], 17, FALSE)</f>
        <v>0</v>
      </c>
      <c r="AM329">
        <f>VLOOKUP(Table29[[#This Row],[Shortname]], Comp[], 18, FALSE)</f>
        <v>0</v>
      </c>
      <c r="AN329">
        <f>VLOOKUP(Table29[[#This Row],[Shortname]], Comp[], 19, FALSE)</f>
        <v>0</v>
      </c>
      <c r="AO329">
        <f>VLOOKUP(Table29[[#This Row],[Shortname]], Comp[], 20, FALSE)</f>
        <v>0</v>
      </c>
      <c r="AP329">
        <f>VLOOKUP(Table29[[#This Row],[Shortname]], Comp[], 21, FALSE)</f>
        <v>0</v>
      </c>
      <c r="AQ329">
        <f>VLOOKUP(Table29[[#This Row],[Shortname]], Comp[], 22, FALSE)</f>
        <v>0</v>
      </c>
      <c r="AR329">
        <f>VLOOKUP(Table29[[#This Row],[Shortname]], Comp[], 23, FALSE)</f>
        <v>0</v>
      </c>
      <c r="AS329">
        <f>VLOOKUP(Table29[[#This Row],[Shortname]], Comp[], 24, FALSE)</f>
        <v>0</v>
      </c>
      <c r="AT329">
        <f>VLOOKUP(Table29[[#This Row],[Shortname]], Comp[], 25, FALSE)</f>
        <v>0</v>
      </c>
      <c r="AU329">
        <f>VLOOKUP(Table29[[#This Row],[Shortname]], Comp[], 26, FALSE)</f>
        <v>0</v>
      </c>
      <c r="AV329">
        <f>VLOOKUP(Table29[[#This Row],[Shortname]], Comp[], 27, FALSE)</f>
        <v>0</v>
      </c>
      <c r="AW329">
        <f>VLOOKUP(Table29[[#This Row],[Shortname]], Comp[], 28, FALSE)</f>
        <v>0</v>
      </c>
      <c r="AX329">
        <f>VLOOKUP(Table29[[#This Row],[Shortname]], Comp[], 29, FALSE)</f>
        <v>0</v>
      </c>
      <c r="AY329">
        <f>VLOOKUP(Table29[[#This Row],[Shortname]], Comp[], 30, FALSE)</f>
        <v>0</v>
      </c>
      <c r="AZ329">
        <f>VLOOKUP(Table29[[#This Row],[Shortname]], Comp[], 31, FALSE)</f>
        <v>0</v>
      </c>
    </row>
    <row r="330" spans="1:52" x14ac:dyDescent="0.3">
      <c r="A330" t="s">
        <v>4366</v>
      </c>
      <c r="B330">
        <v>375</v>
      </c>
      <c r="C330">
        <v>664</v>
      </c>
      <c r="D330" t="s">
        <v>11</v>
      </c>
      <c r="E330" t="s">
        <v>160</v>
      </c>
      <c r="F330" t="s">
        <v>4368</v>
      </c>
      <c r="G330" t="s">
        <v>4301</v>
      </c>
      <c r="H330">
        <v>500</v>
      </c>
      <c r="I330">
        <v>3.0099999999999998E-8</v>
      </c>
      <c r="J330">
        <f>0.01/Table29[[#This Row],[Strain Rate (min) /s]]</f>
        <v>332225.91362126247</v>
      </c>
      <c r="K330">
        <f>LOG(Table29[[#This Row],[Time to 1% strain (s)]])</f>
        <v>5.5214335044061569</v>
      </c>
      <c r="L330">
        <v>750</v>
      </c>
      <c r="P330" t="s">
        <v>7149</v>
      </c>
      <c r="Q330">
        <v>1130</v>
      </c>
      <c r="R330">
        <v>100</v>
      </c>
      <c r="S330">
        <v>900</v>
      </c>
      <c r="T330">
        <v>100</v>
      </c>
      <c r="W330">
        <v>1</v>
      </c>
      <c r="X330">
        <v>10</v>
      </c>
      <c r="Y330">
        <v>47</v>
      </c>
      <c r="AA330">
        <f>VLOOKUP(Table29[[#This Row],[Shortname]], Comp[], 6, FALSE)</f>
        <v>664</v>
      </c>
      <c r="AB330" s="14">
        <f>VLOOKUP(Table29[[#This Row],[Shortname]], Comp[], 7, FALSE)</f>
        <v>83.4</v>
      </c>
      <c r="AC330">
        <f>VLOOKUP(Table29[[#This Row],[Shortname]], Comp[], 8, FALSE)</f>
        <v>0</v>
      </c>
      <c r="AD330">
        <f>VLOOKUP(Table29[[#This Row],[Shortname]], Comp[], 9, FALSE)</f>
        <v>7.5</v>
      </c>
      <c r="AE330">
        <f>VLOOKUP(Table29[[#This Row],[Shortname]], Comp[], 10, FALSE)</f>
        <v>0</v>
      </c>
      <c r="AF330">
        <f>VLOOKUP(Table29[[#This Row],[Shortname]], Comp[], 11, FALSE)</f>
        <v>6.8</v>
      </c>
      <c r="AG330">
        <f>VLOOKUP(Table29[[#This Row],[Shortname]], Comp[],12, FALSE)</f>
        <v>2.2999999999999998</v>
      </c>
      <c r="AH330">
        <f>VLOOKUP(Table29[[#This Row],[Shortname]], Comp[], 13, FALSE)</f>
        <v>0</v>
      </c>
      <c r="AI330">
        <f>VLOOKUP(Table29[[#This Row],[Shortname]], Comp[], 14, FALSE)</f>
        <v>0</v>
      </c>
      <c r="AJ330">
        <f>VLOOKUP(Table29[[#This Row],[Shortname]], Comp[], 15, FALSE)</f>
        <v>0</v>
      </c>
      <c r="AK330">
        <f>VLOOKUP(Table29[[#This Row],[Shortname]], Comp[], 16, FALSE)</f>
        <v>0</v>
      </c>
      <c r="AL330">
        <f>VLOOKUP(Table29[[#This Row],[Shortname]], Comp[], 17, FALSE)</f>
        <v>0</v>
      </c>
      <c r="AM330">
        <f>VLOOKUP(Table29[[#This Row],[Shortname]], Comp[], 18, FALSE)</f>
        <v>0</v>
      </c>
      <c r="AN330">
        <f>VLOOKUP(Table29[[#This Row],[Shortname]], Comp[], 19, FALSE)</f>
        <v>0</v>
      </c>
      <c r="AO330">
        <f>VLOOKUP(Table29[[#This Row],[Shortname]], Comp[], 20, FALSE)</f>
        <v>0</v>
      </c>
      <c r="AP330">
        <f>VLOOKUP(Table29[[#This Row],[Shortname]], Comp[], 21, FALSE)</f>
        <v>0</v>
      </c>
      <c r="AQ330">
        <f>VLOOKUP(Table29[[#This Row],[Shortname]], Comp[], 22, FALSE)</f>
        <v>0</v>
      </c>
      <c r="AR330">
        <f>VLOOKUP(Table29[[#This Row],[Shortname]], Comp[], 23, FALSE)</f>
        <v>0</v>
      </c>
      <c r="AS330">
        <f>VLOOKUP(Table29[[#This Row],[Shortname]], Comp[], 24, FALSE)</f>
        <v>0</v>
      </c>
      <c r="AT330">
        <f>VLOOKUP(Table29[[#This Row],[Shortname]], Comp[], 25, FALSE)</f>
        <v>0</v>
      </c>
      <c r="AU330">
        <f>VLOOKUP(Table29[[#This Row],[Shortname]], Comp[], 26, FALSE)</f>
        <v>0</v>
      </c>
      <c r="AV330">
        <f>VLOOKUP(Table29[[#This Row],[Shortname]], Comp[], 27, FALSE)</f>
        <v>0</v>
      </c>
      <c r="AW330">
        <f>VLOOKUP(Table29[[#This Row],[Shortname]], Comp[], 28, FALSE)</f>
        <v>0</v>
      </c>
      <c r="AX330">
        <f>VLOOKUP(Table29[[#This Row],[Shortname]], Comp[], 29, FALSE)</f>
        <v>0</v>
      </c>
      <c r="AY330">
        <f>VLOOKUP(Table29[[#This Row],[Shortname]], Comp[], 30, FALSE)</f>
        <v>0</v>
      </c>
      <c r="AZ330">
        <f>VLOOKUP(Table29[[#This Row],[Shortname]], Comp[], 31, FALSE)</f>
        <v>0</v>
      </c>
    </row>
    <row r="331" spans="1:52" x14ac:dyDescent="0.3">
      <c r="A331" t="s">
        <v>4384</v>
      </c>
      <c r="B331">
        <v>376</v>
      </c>
      <c r="C331">
        <v>667</v>
      </c>
      <c r="D331" t="s">
        <v>2142</v>
      </c>
      <c r="E331" t="s">
        <v>95</v>
      </c>
      <c r="F331" t="s">
        <v>4385</v>
      </c>
      <c r="G331" t="s">
        <v>4301</v>
      </c>
      <c r="H331">
        <v>300</v>
      </c>
      <c r="I331">
        <v>3.46E-7</v>
      </c>
      <c r="J331">
        <f>0.01/Table29[[#This Row],[Strain Rate (min) /s]]</f>
        <v>28901.734104046242</v>
      </c>
      <c r="K331">
        <f>LOG(Table29[[#This Row],[Time to 1% strain (s)]])</f>
        <v>4.4609239012072237</v>
      </c>
      <c r="L331">
        <v>850</v>
      </c>
      <c r="P331" t="s">
        <v>7150</v>
      </c>
      <c r="Q331">
        <v>1130</v>
      </c>
      <c r="R331">
        <v>100</v>
      </c>
      <c r="S331">
        <v>900</v>
      </c>
      <c r="T331">
        <v>100</v>
      </c>
      <c r="W331">
        <v>1</v>
      </c>
      <c r="X331">
        <v>10</v>
      </c>
      <c r="Y331">
        <v>47</v>
      </c>
      <c r="AA331">
        <f>VLOOKUP(Table29[[#This Row],[Shortname]], Comp[], 6, FALSE)</f>
        <v>667</v>
      </c>
      <c r="AB331" s="14">
        <f>VLOOKUP(Table29[[#This Row],[Shortname]], Comp[], 7, FALSE)</f>
        <v>82.9</v>
      </c>
      <c r="AC331">
        <f>VLOOKUP(Table29[[#This Row],[Shortname]], Comp[], 8, FALSE)</f>
        <v>0</v>
      </c>
      <c r="AD331">
        <f>VLOOKUP(Table29[[#This Row],[Shortname]], Comp[], 9, FALSE)</f>
        <v>8.9</v>
      </c>
      <c r="AE331">
        <f>VLOOKUP(Table29[[#This Row],[Shortname]], Comp[], 10, FALSE)</f>
        <v>0</v>
      </c>
      <c r="AF331">
        <f>VLOOKUP(Table29[[#This Row],[Shortname]], Comp[], 11, FALSE)</f>
        <v>8.1999999999999993</v>
      </c>
      <c r="AG331">
        <f>VLOOKUP(Table29[[#This Row],[Shortname]], Comp[],12, FALSE)</f>
        <v>0</v>
      </c>
      <c r="AH331">
        <f>VLOOKUP(Table29[[#This Row],[Shortname]], Comp[], 13, FALSE)</f>
        <v>0</v>
      </c>
      <c r="AI331">
        <f>VLOOKUP(Table29[[#This Row],[Shortname]], Comp[], 14, FALSE)</f>
        <v>0</v>
      </c>
      <c r="AJ331">
        <f>VLOOKUP(Table29[[#This Row],[Shortname]], Comp[], 15, FALSE)</f>
        <v>0</v>
      </c>
      <c r="AK331">
        <f>VLOOKUP(Table29[[#This Row],[Shortname]], Comp[], 16, FALSE)</f>
        <v>0</v>
      </c>
      <c r="AL331">
        <f>VLOOKUP(Table29[[#This Row],[Shortname]], Comp[], 17, FALSE)</f>
        <v>0</v>
      </c>
      <c r="AM331">
        <f>VLOOKUP(Table29[[#This Row],[Shortname]], Comp[], 18, FALSE)</f>
        <v>0</v>
      </c>
      <c r="AN331">
        <f>VLOOKUP(Table29[[#This Row],[Shortname]], Comp[], 19, FALSE)</f>
        <v>0</v>
      </c>
      <c r="AO331">
        <f>VLOOKUP(Table29[[#This Row],[Shortname]], Comp[], 20, FALSE)</f>
        <v>0</v>
      </c>
      <c r="AP331">
        <f>VLOOKUP(Table29[[#This Row],[Shortname]], Comp[], 21, FALSE)</f>
        <v>0</v>
      </c>
      <c r="AQ331">
        <f>VLOOKUP(Table29[[#This Row],[Shortname]], Comp[], 22, FALSE)</f>
        <v>0</v>
      </c>
      <c r="AR331">
        <f>VLOOKUP(Table29[[#This Row],[Shortname]], Comp[], 23, FALSE)</f>
        <v>0</v>
      </c>
      <c r="AS331">
        <f>VLOOKUP(Table29[[#This Row],[Shortname]], Comp[], 24, FALSE)</f>
        <v>0</v>
      </c>
      <c r="AT331">
        <f>VLOOKUP(Table29[[#This Row],[Shortname]], Comp[], 25, FALSE)</f>
        <v>0</v>
      </c>
      <c r="AU331">
        <f>VLOOKUP(Table29[[#This Row],[Shortname]], Comp[], 26, FALSE)</f>
        <v>0</v>
      </c>
      <c r="AV331">
        <f>VLOOKUP(Table29[[#This Row],[Shortname]], Comp[], 27, FALSE)</f>
        <v>0</v>
      </c>
      <c r="AW331">
        <f>VLOOKUP(Table29[[#This Row],[Shortname]], Comp[], 28, FALSE)</f>
        <v>0</v>
      </c>
      <c r="AX331">
        <f>VLOOKUP(Table29[[#This Row],[Shortname]], Comp[], 29, FALSE)</f>
        <v>0</v>
      </c>
      <c r="AY331">
        <f>VLOOKUP(Table29[[#This Row],[Shortname]], Comp[], 30, FALSE)</f>
        <v>0</v>
      </c>
      <c r="AZ331">
        <f>VLOOKUP(Table29[[#This Row],[Shortname]], Comp[], 31, FALSE)</f>
        <v>0</v>
      </c>
    </row>
    <row r="332" spans="1:52" x14ac:dyDescent="0.3">
      <c r="A332" t="s">
        <v>4384</v>
      </c>
      <c r="B332">
        <v>377</v>
      </c>
      <c r="C332">
        <v>667</v>
      </c>
      <c r="D332" t="s">
        <v>11</v>
      </c>
      <c r="E332" t="s">
        <v>95</v>
      </c>
      <c r="F332" t="s">
        <v>4385</v>
      </c>
      <c r="G332" t="s">
        <v>4301</v>
      </c>
      <c r="H332">
        <v>500</v>
      </c>
      <c r="I332">
        <v>7.4099999999999995E-8</v>
      </c>
      <c r="J332">
        <f>0.01/Table29[[#This Row],[Strain Rate (min) /s]]</f>
        <v>134952.76653171392</v>
      </c>
      <c r="K332">
        <f>LOG(Table29[[#This Row],[Time to 1% strain (s)]])</f>
        <v>5.1301817920206716</v>
      </c>
      <c r="L332">
        <v>750</v>
      </c>
      <c r="P332" t="s">
        <v>7150</v>
      </c>
      <c r="Q332">
        <v>1130</v>
      </c>
      <c r="R332">
        <v>100</v>
      </c>
      <c r="S332">
        <v>900</v>
      </c>
      <c r="T332">
        <v>100</v>
      </c>
      <c r="W332">
        <v>1</v>
      </c>
      <c r="X332">
        <v>10</v>
      </c>
      <c r="Y332">
        <v>47</v>
      </c>
      <c r="AA332">
        <f>VLOOKUP(Table29[[#This Row],[Shortname]], Comp[], 6, FALSE)</f>
        <v>667</v>
      </c>
      <c r="AB332" s="14">
        <f>VLOOKUP(Table29[[#This Row],[Shortname]], Comp[], 7, FALSE)</f>
        <v>82.9</v>
      </c>
      <c r="AC332">
        <f>VLOOKUP(Table29[[#This Row],[Shortname]], Comp[], 8, FALSE)</f>
        <v>0</v>
      </c>
      <c r="AD332">
        <f>VLOOKUP(Table29[[#This Row],[Shortname]], Comp[], 9, FALSE)</f>
        <v>8.9</v>
      </c>
      <c r="AE332">
        <f>VLOOKUP(Table29[[#This Row],[Shortname]], Comp[], 10, FALSE)</f>
        <v>0</v>
      </c>
      <c r="AF332">
        <f>VLOOKUP(Table29[[#This Row],[Shortname]], Comp[], 11, FALSE)</f>
        <v>8.1999999999999993</v>
      </c>
      <c r="AG332">
        <f>VLOOKUP(Table29[[#This Row],[Shortname]], Comp[],12, FALSE)</f>
        <v>0</v>
      </c>
      <c r="AH332">
        <f>VLOOKUP(Table29[[#This Row],[Shortname]], Comp[], 13, FALSE)</f>
        <v>0</v>
      </c>
      <c r="AI332">
        <f>VLOOKUP(Table29[[#This Row],[Shortname]], Comp[], 14, FALSE)</f>
        <v>0</v>
      </c>
      <c r="AJ332">
        <f>VLOOKUP(Table29[[#This Row],[Shortname]], Comp[], 15, FALSE)</f>
        <v>0</v>
      </c>
      <c r="AK332">
        <f>VLOOKUP(Table29[[#This Row],[Shortname]], Comp[], 16, FALSE)</f>
        <v>0</v>
      </c>
      <c r="AL332">
        <f>VLOOKUP(Table29[[#This Row],[Shortname]], Comp[], 17, FALSE)</f>
        <v>0</v>
      </c>
      <c r="AM332">
        <f>VLOOKUP(Table29[[#This Row],[Shortname]], Comp[], 18, FALSE)</f>
        <v>0</v>
      </c>
      <c r="AN332">
        <f>VLOOKUP(Table29[[#This Row],[Shortname]], Comp[], 19, FALSE)</f>
        <v>0</v>
      </c>
      <c r="AO332">
        <f>VLOOKUP(Table29[[#This Row],[Shortname]], Comp[], 20, FALSE)</f>
        <v>0</v>
      </c>
      <c r="AP332">
        <f>VLOOKUP(Table29[[#This Row],[Shortname]], Comp[], 21, FALSE)</f>
        <v>0</v>
      </c>
      <c r="AQ332">
        <f>VLOOKUP(Table29[[#This Row],[Shortname]], Comp[], 22, FALSE)</f>
        <v>0</v>
      </c>
      <c r="AR332">
        <f>VLOOKUP(Table29[[#This Row],[Shortname]], Comp[], 23, FALSE)</f>
        <v>0</v>
      </c>
      <c r="AS332">
        <f>VLOOKUP(Table29[[#This Row],[Shortname]], Comp[], 24, FALSE)</f>
        <v>0</v>
      </c>
      <c r="AT332">
        <f>VLOOKUP(Table29[[#This Row],[Shortname]], Comp[], 25, FALSE)</f>
        <v>0</v>
      </c>
      <c r="AU332">
        <f>VLOOKUP(Table29[[#This Row],[Shortname]], Comp[], 26, FALSE)</f>
        <v>0</v>
      </c>
      <c r="AV332">
        <f>VLOOKUP(Table29[[#This Row],[Shortname]], Comp[], 27, FALSE)</f>
        <v>0</v>
      </c>
      <c r="AW332">
        <f>VLOOKUP(Table29[[#This Row],[Shortname]], Comp[], 28, FALSE)</f>
        <v>0</v>
      </c>
      <c r="AX332">
        <f>VLOOKUP(Table29[[#This Row],[Shortname]], Comp[], 29, FALSE)</f>
        <v>0</v>
      </c>
      <c r="AY332">
        <f>VLOOKUP(Table29[[#This Row],[Shortname]], Comp[], 30, FALSE)</f>
        <v>0</v>
      </c>
      <c r="AZ332">
        <f>VLOOKUP(Table29[[#This Row],[Shortname]], Comp[], 31, FALSE)</f>
        <v>0</v>
      </c>
    </row>
    <row r="333" spans="1:52" x14ac:dyDescent="0.3">
      <c r="A333" t="s">
        <v>4933</v>
      </c>
      <c r="B333">
        <v>274</v>
      </c>
      <c r="C333">
        <v>753</v>
      </c>
      <c r="D333" t="s">
        <v>4934</v>
      </c>
      <c r="E333" t="s">
        <v>160</v>
      </c>
      <c r="F333" t="s">
        <v>4935</v>
      </c>
      <c r="G333" t="s">
        <v>4936</v>
      </c>
      <c r="H333">
        <v>284</v>
      </c>
      <c r="I333">
        <v>1.9399999999999999E-7</v>
      </c>
      <c r="J333">
        <f>0.01/Table29[[#This Row],[Strain Rate (min) /s]]</f>
        <v>51546.391752577321</v>
      </c>
      <c r="K333">
        <f>LOG(Table29[[#This Row],[Time to 1% strain (s)]])</f>
        <v>4.7121982700697735</v>
      </c>
      <c r="L333">
        <v>900</v>
      </c>
      <c r="M333">
        <v>8.6</v>
      </c>
      <c r="N333">
        <v>605</v>
      </c>
      <c r="P333" t="s">
        <v>7151</v>
      </c>
      <c r="Q333">
        <v>1250</v>
      </c>
      <c r="R333">
        <v>20</v>
      </c>
      <c r="S333">
        <v>950</v>
      </c>
      <c r="T333">
        <v>16</v>
      </c>
      <c r="W333">
        <v>1</v>
      </c>
      <c r="X333">
        <v>10</v>
      </c>
      <c r="Y333">
        <v>52</v>
      </c>
      <c r="Z333" t="s">
        <v>7152</v>
      </c>
      <c r="AA333">
        <f>VLOOKUP(Table29[[#This Row],[Shortname]], Comp[], 6, FALSE)</f>
        <v>753</v>
      </c>
      <c r="AB333" s="14">
        <f>VLOOKUP(Table29[[#This Row],[Shortname]], Comp[], 7, FALSE)</f>
        <v>81.88</v>
      </c>
      <c r="AC333">
        <f>VLOOKUP(Table29[[#This Row],[Shortname]], Comp[], 8, FALSE)</f>
        <v>0</v>
      </c>
      <c r="AD333">
        <f>VLOOKUP(Table29[[#This Row],[Shortname]], Comp[], 9, FALSE)</f>
        <v>5.6</v>
      </c>
      <c r="AE333">
        <f>VLOOKUP(Table29[[#This Row],[Shortname]], Comp[], 10, FALSE)</f>
        <v>0</v>
      </c>
      <c r="AF333">
        <f>VLOOKUP(Table29[[#This Row],[Shortname]], Comp[], 11, FALSE)</f>
        <v>5.8</v>
      </c>
      <c r="AG333">
        <f>VLOOKUP(Table29[[#This Row],[Shortname]], Comp[],12, FALSE)</f>
        <v>6.6</v>
      </c>
      <c r="AH333">
        <f>VLOOKUP(Table29[[#This Row],[Shortname]], Comp[], 13, FALSE)</f>
        <v>0</v>
      </c>
      <c r="AI333">
        <f>VLOOKUP(Table29[[#This Row],[Shortname]], Comp[], 14, FALSE)</f>
        <v>0</v>
      </c>
      <c r="AJ333">
        <f>VLOOKUP(Table29[[#This Row],[Shortname]], Comp[], 15, FALSE)</f>
        <v>0</v>
      </c>
      <c r="AK333">
        <f>VLOOKUP(Table29[[#This Row],[Shortname]], Comp[], 16, FALSE)</f>
        <v>0</v>
      </c>
      <c r="AL333">
        <f>VLOOKUP(Table29[[#This Row],[Shortname]], Comp[], 17, FALSE)</f>
        <v>0</v>
      </c>
      <c r="AM333">
        <f>VLOOKUP(Table29[[#This Row],[Shortname]], Comp[], 18, FALSE)</f>
        <v>0</v>
      </c>
      <c r="AN333">
        <f>VLOOKUP(Table29[[#This Row],[Shortname]], Comp[], 19, FALSE)</f>
        <v>0.12</v>
      </c>
      <c r="AO333">
        <f>VLOOKUP(Table29[[#This Row],[Shortname]], Comp[], 20, FALSE)</f>
        <v>0</v>
      </c>
      <c r="AP333">
        <f>VLOOKUP(Table29[[#This Row],[Shortname]], Comp[], 21, FALSE)</f>
        <v>0</v>
      </c>
      <c r="AQ333">
        <f>VLOOKUP(Table29[[#This Row],[Shortname]], Comp[], 22, FALSE)</f>
        <v>0</v>
      </c>
      <c r="AR333">
        <f>VLOOKUP(Table29[[#This Row],[Shortname]], Comp[], 23, FALSE)</f>
        <v>0</v>
      </c>
      <c r="AS333">
        <f>VLOOKUP(Table29[[#This Row],[Shortname]], Comp[], 24, FALSE)</f>
        <v>0</v>
      </c>
      <c r="AT333">
        <f>VLOOKUP(Table29[[#This Row],[Shortname]], Comp[], 25, FALSE)</f>
        <v>0</v>
      </c>
      <c r="AU333">
        <f>VLOOKUP(Table29[[#This Row],[Shortname]], Comp[], 26, FALSE)</f>
        <v>0</v>
      </c>
      <c r="AV333">
        <f>VLOOKUP(Table29[[#This Row],[Shortname]], Comp[], 27, FALSE)</f>
        <v>0</v>
      </c>
      <c r="AW333">
        <f>VLOOKUP(Table29[[#This Row],[Shortname]], Comp[], 28, FALSE)</f>
        <v>0</v>
      </c>
      <c r="AX333">
        <f>VLOOKUP(Table29[[#This Row],[Shortname]], Comp[], 29, FALSE)</f>
        <v>0</v>
      </c>
      <c r="AY333">
        <f>VLOOKUP(Table29[[#This Row],[Shortname]], Comp[], 30, FALSE)</f>
        <v>0</v>
      </c>
      <c r="AZ333">
        <f>VLOOKUP(Table29[[#This Row],[Shortname]], Comp[], 31, FALSE)</f>
        <v>0</v>
      </c>
    </row>
    <row r="334" spans="1:52" x14ac:dyDescent="0.3">
      <c r="A334" t="s">
        <v>4933</v>
      </c>
      <c r="B334">
        <v>275</v>
      </c>
      <c r="C334">
        <v>753</v>
      </c>
      <c r="D334" t="s">
        <v>11</v>
      </c>
      <c r="E334" t="s">
        <v>160</v>
      </c>
      <c r="F334" t="s">
        <v>4935</v>
      </c>
      <c r="G334" t="s">
        <v>4936</v>
      </c>
      <c r="H334">
        <v>307</v>
      </c>
      <c r="I334">
        <v>3.0699999999999997E-8</v>
      </c>
      <c r="J334">
        <f>0.01/Table29[[#This Row],[Strain Rate (min) /s]]</f>
        <v>325732.89902280131</v>
      </c>
      <c r="K334">
        <f>LOG(Table29[[#This Row],[Time to 1% strain (s)]])</f>
        <v>5.5128616245228139</v>
      </c>
      <c r="L334">
        <v>850</v>
      </c>
      <c r="M334">
        <v>9.6999999999999993</v>
      </c>
      <c r="N334">
        <v>605</v>
      </c>
      <c r="P334" t="s">
        <v>7151</v>
      </c>
      <c r="Q334">
        <v>1250</v>
      </c>
      <c r="R334">
        <v>20</v>
      </c>
      <c r="S334">
        <v>950</v>
      </c>
      <c r="T334">
        <v>16</v>
      </c>
      <c r="W334">
        <v>1</v>
      </c>
      <c r="X334">
        <v>10</v>
      </c>
      <c r="Y334">
        <v>52</v>
      </c>
      <c r="Z334" t="s">
        <v>7152</v>
      </c>
      <c r="AA334">
        <f>VLOOKUP(Table29[[#This Row],[Shortname]], Comp[], 6, FALSE)</f>
        <v>753</v>
      </c>
      <c r="AB334" s="14">
        <f>VLOOKUP(Table29[[#This Row],[Shortname]], Comp[], 7, FALSE)</f>
        <v>81.88</v>
      </c>
      <c r="AC334">
        <f>VLOOKUP(Table29[[#This Row],[Shortname]], Comp[], 8, FALSE)</f>
        <v>0</v>
      </c>
      <c r="AD334">
        <f>VLOOKUP(Table29[[#This Row],[Shortname]], Comp[], 9, FALSE)</f>
        <v>5.6</v>
      </c>
      <c r="AE334">
        <f>VLOOKUP(Table29[[#This Row],[Shortname]], Comp[], 10, FALSE)</f>
        <v>0</v>
      </c>
      <c r="AF334">
        <f>VLOOKUP(Table29[[#This Row],[Shortname]], Comp[], 11, FALSE)</f>
        <v>5.8</v>
      </c>
      <c r="AG334">
        <f>VLOOKUP(Table29[[#This Row],[Shortname]], Comp[],12, FALSE)</f>
        <v>6.6</v>
      </c>
      <c r="AH334">
        <f>VLOOKUP(Table29[[#This Row],[Shortname]], Comp[], 13, FALSE)</f>
        <v>0</v>
      </c>
      <c r="AI334">
        <f>VLOOKUP(Table29[[#This Row],[Shortname]], Comp[], 14, FALSE)</f>
        <v>0</v>
      </c>
      <c r="AJ334">
        <f>VLOOKUP(Table29[[#This Row],[Shortname]], Comp[], 15, FALSE)</f>
        <v>0</v>
      </c>
      <c r="AK334">
        <f>VLOOKUP(Table29[[#This Row],[Shortname]], Comp[], 16, FALSE)</f>
        <v>0</v>
      </c>
      <c r="AL334">
        <f>VLOOKUP(Table29[[#This Row],[Shortname]], Comp[], 17, FALSE)</f>
        <v>0</v>
      </c>
      <c r="AM334">
        <f>VLOOKUP(Table29[[#This Row],[Shortname]], Comp[], 18, FALSE)</f>
        <v>0</v>
      </c>
      <c r="AN334">
        <f>VLOOKUP(Table29[[#This Row],[Shortname]], Comp[], 19, FALSE)</f>
        <v>0.12</v>
      </c>
      <c r="AO334">
        <f>VLOOKUP(Table29[[#This Row],[Shortname]], Comp[], 20, FALSE)</f>
        <v>0</v>
      </c>
      <c r="AP334">
        <f>VLOOKUP(Table29[[#This Row],[Shortname]], Comp[], 21, FALSE)</f>
        <v>0</v>
      </c>
      <c r="AQ334">
        <f>VLOOKUP(Table29[[#This Row],[Shortname]], Comp[], 22, FALSE)</f>
        <v>0</v>
      </c>
      <c r="AR334">
        <f>VLOOKUP(Table29[[#This Row],[Shortname]], Comp[], 23, FALSE)</f>
        <v>0</v>
      </c>
      <c r="AS334">
        <f>VLOOKUP(Table29[[#This Row],[Shortname]], Comp[], 24, FALSE)</f>
        <v>0</v>
      </c>
      <c r="AT334">
        <f>VLOOKUP(Table29[[#This Row],[Shortname]], Comp[], 25, FALSE)</f>
        <v>0</v>
      </c>
      <c r="AU334">
        <f>VLOOKUP(Table29[[#This Row],[Shortname]], Comp[], 26, FALSE)</f>
        <v>0</v>
      </c>
      <c r="AV334">
        <f>VLOOKUP(Table29[[#This Row],[Shortname]], Comp[], 27, FALSE)</f>
        <v>0</v>
      </c>
      <c r="AW334">
        <f>VLOOKUP(Table29[[#This Row],[Shortname]], Comp[], 28, FALSE)</f>
        <v>0</v>
      </c>
      <c r="AX334">
        <f>VLOOKUP(Table29[[#This Row],[Shortname]], Comp[], 29, FALSE)</f>
        <v>0</v>
      </c>
      <c r="AY334">
        <f>VLOOKUP(Table29[[#This Row],[Shortname]], Comp[], 30, FALSE)</f>
        <v>0</v>
      </c>
      <c r="AZ334">
        <f>VLOOKUP(Table29[[#This Row],[Shortname]], Comp[], 31, FALSE)</f>
        <v>0</v>
      </c>
    </row>
    <row r="335" spans="1:52" x14ac:dyDescent="0.3">
      <c r="A335" t="s">
        <v>4933</v>
      </c>
      <c r="B335">
        <v>276</v>
      </c>
      <c r="C335">
        <v>753</v>
      </c>
      <c r="D335" t="s">
        <v>11</v>
      </c>
      <c r="E335" t="s">
        <v>160</v>
      </c>
      <c r="F335" t="s">
        <v>4935</v>
      </c>
      <c r="G335" t="s">
        <v>4936</v>
      </c>
      <c r="H335">
        <v>350</v>
      </c>
      <c r="I335">
        <v>2.8999999999999999E-9</v>
      </c>
      <c r="J335">
        <f>0.01/Table29[[#This Row],[Strain Rate (min) /s]]</f>
        <v>3448275.8620689656</v>
      </c>
      <c r="K335">
        <f>LOG(Table29[[#This Row],[Time to 1% strain (s)]])</f>
        <v>6.5376020021010444</v>
      </c>
      <c r="L335">
        <v>800</v>
      </c>
      <c r="M335">
        <v>12.1</v>
      </c>
      <c r="N335">
        <v>605</v>
      </c>
      <c r="P335" t="s">
        <v>7151</v>
      </c>
      <c r="Q335">
        <v>1250</v>
      </c>
      <c r="R335">
        <v>20</v>
      </c>
      <c r="S335">
        <v>950</v>
      </c>
      <c r="T335">
        <v>16</v>
      </c>
      <c r="W335">
        <v>1</v>
      </c>
      <c r="X335">
        <v>10</v>
      </c>
      <c r="Y335">
        <v>52</v>
      </c>
      <c r="Z335" t="s">
        <v>7152</v>
      </c>
      <c r="AA335">
        <f>VLOOKUP(Table29[[#This Row],[Shortname]], Comp[], 6, FALSE)</f>
        <v>753</v>
      </c>
      <c r="AB335" s="14">
        <f>VLOOKUP(Table29[[#This Row],[Shortname]], Comp[], 7, FALSE)</f>
        <v>81.88</v>
      </c>
      <c r="AC335">
        <f>VLOOKUP(Table29[[#This Row],[Shortname]], Comp[], 8, FALSE)</f>
        <v>0</v>
      </c>
      <c r="AD335">
        <f>VLOOKUP(Table29[[#This Row],[Shortname]], Comp[], 9, FALSE)</f>
        <v>5.6</v>
      </c>
      <c r="AE335">
        <f>VLOOKUP(Table29[[#This Row],[Shortname]], Comp[], 10, FALSE)</f>
        <v>0</v>
      </c>
      <c r="AF335">
        <f>VLOOKUP(Table29[[#This Row],[Shortname]], Comp[], 11, FALSE)</f>
        <v>5.8</v>
      </c>
      <c r="AG335">
        <f>VLOOKUP(Table29[[#This Row],[Shortname]], Comp[],12, FALSE)</f>
        <v>6.6</v>
      </c>
      <c r="AH335">
        <f>VLOOKUP(Table29[[#This Row],[Shortname]], Comp[], 13, FALSE)</f>
        <v>0</v>
      </c>
      <c r="AI335">
        <f>VLOOKUP(Table29[[#This Row],[Shortname]], Comp[], 14, FALSE)</f>
        <v>0</v>
      </c>
      <c r="AJ335">
        <f>VLOOKUP(Table29[[#This Row],[Shortname]], Comp[], 15, FALSE)</f>
        <v>0</v>
      </c>
      <c r="AK335">
        <f>VLOOKUP(Table29[[#This Row],[Shortname]], Comp[], 16, FALSE)</f>
        <v>0</v>
      </c>
      <c r="AL335">
        <f>VLOOKUP(Table29[[#This Row],[Shortname]], Comp[], 17, FALSE)</f>
        <v>0</v>
      </c>
      <c r="AM335">
        <f>VLOOKUP(Table29[[#This Row],[Shortname]], Comp[], 18, FALSE)</f>
        <v>0</v>
      </c>
      <c r="AN335">
        <f>VLOOKUP(Table29[[#This Row],[Shortname]], Comp[], 19, FALSE)</f>
        <v>0.12</v>
      </c>
      <c r="AO335">
        <f>VLOOKUP(Table29[[#This Row],[Shortname]], Comp[], 20, FALSE)</f>
        <v>0</v>
      </c>
      <c r="AP335">
        <f>VLOOKUP(Table29[[#This Row],[Shortname]], Comp[], 21, FALSE)</f>
        <v>0</v>
      </c>
      <c r="AQ335">
        <f>VLOOKUP(Table29[[#This Row],[Shortname]], Comp[], 22, FALSE)</f>
        <v>0</v>
      </c>
      <c r="AR335">
        <f>VLOOKUP(Table29[[#This Row],[Shortname]], Comp[], 23, FALSE)</f>
        <v>0</v>
      </c>
      <c r="AS335">
        <f>VLOOKUP(Table29[[#This Row],[Shortname]], Comp[], 24, FALSE)</f>
        <v>0</v>
      </c>
      <c r="AT335">
        <f>VLOOKUP(Table29[[#This Row],[Shortname]], Comp[], 25, FALSE)</f>
        <v>0</v>
      </c>
      <c r="AU335">
        <f>VLOOKUP(Table29[[#This Row],[Shortname]], Comp[], 26, FALSE)</f>
        <v>0</v>
      </c>
      <c r="AV335">
        <f>VLOOKUP(Table29[[#This Row],[Shortname]], Comp[], 27, FALSE)</f>
        <v>0</v>
      </c>
      <c r="AW335">
        <f>VLOOKUP(Table29[[#This Row],[Shortname]], Comp[], 28, FALSE)</f>
        <v>0</v>
      </c>
      <c r="AX335">
        <f>VLOOKUP(Table29[[#This Row],[Shortname]], Comp[], 29, FALSE)</f>
        <v>0</v>
      </c>
      <c r="AY335">
        <f>VLOOKUP(Table29[[#This Row],[Shortname]], Comp[], 30, FALSE)</f>
        <v>0</v>
      </c>
      <c r="AZ335">
        <f>VLOOKUP(Table29[[#This Row],[Shortname]], Comp[], 31, FALSE)</f>
        <v>0</v>
      </c>
    </row>
    <row r="336" spans="1:52" x14ac:dyDescent="0.3">
      <c r="A336" t="s">
        <v>4933</v>
      </c>
      <c r="B336">
        <v>277</v>
      </c>
      <c r="C336">
        <v>753</v>
      </c>
      <c r="D336" t="s">
        <v>11</v>
      </c>
      <c r="E336" t="s">
        <v>160</v>
      </c>
      <c r="F336" t="s">
        <v>4935</v>
      </c>
      <c r="G336" t="s">
        <v>4936</v>
      </c>
      <c r="H336">
        <v>218</v>
      </c>
      <c r="I336">
        <v>1.88E-8</v>
      </c>
      <c r="J336">
        <f>0.01/Table29[[#This Row],[Strain Rate (min) /s]]</f>
        <v>531914.89361702127</v>
      </c>
      <c r="K336">
        <f>LOG(Table29[[#This Row],[Time to 1% strain (s)]])</f>
        <v>5.7258421507363204</v>
      </c>
      <c r="L336">
        <v>900</v>
      </c>
      <c r="M336">
        <v>8.6</v>
      </c>
      <c r="N336">
        <v>605</v>
      </c>
      <c r="P336" t="s">
        <v>7151</v>
      </c>
      <c r="Q336">
        <v>1250</v>
      </c>
      <c r="R336">
        <v>20</v>
      </c>
      <c r="S336">
        <v>950</v>
      </c>
      <c r="T336">
        <v>16</v>
      </c>
      <c r="W336">
        <v>1</v>
      </c>
      <c r="X336">
        <v>10</v>
      </c>
      <c r="Y336">
        <v>52</v>
      </c>
      <c r="Z336" t="s">
        <v>7152</v>
      </c>
      <c r="AA336">
        <f>VLOOKUP(Table29[[#This Row],[Shortname]], Comp[], 6, FALSE)</f>
        <v>753</v>
      </c>
      <c r="AB336" s="14">
        <f>VLOOKUP(Table29[[#This Row],[Shortname]], Comp[], 7, FALSE)</f>
        <v>81.88</v>
      </c>
      <c r="AC336">
        <f>VLOOKUP(Table29[[#This Row],[Shortname]], Comp[], 8, FALSE)</f>
        <v>0</v>
      </c>
      <c r="AD336">
        <f>VLOOKUP(Table29[[#This Row],[Shortname]], Comp[], 9, FALSE)</f>
        <v>5.6</v>
      </c>
      <c r="AE336">
        <f>VLOOKUP(Table29[[#This Row],[Shortname]], Comp[], 10, FALSE)</f>
        <v>0</v>
      </c>
      <c r="AF336">
        <f>VLOOKUP(Table29[[#This Row],[Shortname]], Comp[], 11, FALSE)</f>
        <v>5.8</v>
      </c>
      <c r="AG336">
        <f>VLOOKUP(Table29[[#This Row],[Shortname]], Comp[],12, FALSE)</f>
        <v>6.6</v>
      </c>
      <c r="AH336">
        <f>VLOOKUP(Table29[[#This Row],[Shortname]], Comp[], 13, FALSE)</f>
        <v>0</v>
      </c>
      <c r="AI336">
        <f>VLOOKUP(Table29[[#This Row],[Shortname]], Comp[], 14, FALSE)</f>
        <v>0</v>
      </c>
      <c r="AJ336">
        <f>VLOOKUP(Table29[[#This Row],[Shortname]], Comp[], 15, FALSE)</f>
        <v>0</v>
      </c>
      <c r="AK336">
        <f>VLOOKUP(Table29[[#This Row],[Shortname]], Comp[], 16, FALSE)</f>
        <v>0</v>
      </c>
      <c r="AL336">
        <f>VLOOKUP(Table29[[#This Row],[Shortname]], Comp[], 17, FALSE)</f>
        <v>0</v>
      </c>
      <c r="AM336">
        <f>VLOOKUP(Table29[[#This Row],[Shortname]], Comp[], 18, FALSE)</f>
        <v>0</v>
      </c>
      <c r="AN336">
        <f>VLOOKUP(Table29[[#This Row],[Shortname]], Comp[], 19, FALSE)</f>
        <v>0.12</v>
      </c>
      <c r="AO336">
        <f>VLOOKUP(Table29[[#This Row],[Shortname]], Comp[], 20, FALSE)</f>
        <v>0</v>
      </c>
      <c r="AP336">
        <f>VLOOKUP(Table29[[#This Row],[Shortname]], Comp[], 21, FALSE)</f>
        <v>0</v>
      </c>
      <c r="AQ336">
        <f>VLOOKUP(Table29[[#This Row],[Shortname]], Comp[], 22, FALSE)</f>
        <v>0</v>
      </c>
      <c r="AR336">
        <f>VLOOKUP(Table29[[#This Row],[Shortname]], Comp[], 23, FALSE)</f>
        <v>0</v>
      </c>
      <c r="AS336">
        <f>VLOOKUP(Table29[[#This Row],[Shortname]], Comp[], 24, FALSE)</f>
        <v>0</v>
      </c>
      <c r="AT336">
        <f>VLOOKUP(Table29[[#This Row],[Shortname]], Comp[], 25, FALSE)</f>
        <v>0</v>
      </c>
      <c r="AU336">
        <f>VLOOKUP(Table29[[#This Row],[Shortname]], Comp[], 26, FALSE)</f>
        <v>0</v>
      </c>
      <c r="AV336">
        <f>VLOOKUP(Table29[[#This Row],[Shortname]], Comp[], 27, FALSE)</f>
        <v>0</v>
      </c>
      <c r="AW336">
        <f>VLOOKUP(Table29[[#This Row],[Shortname]], Comp[], 28, FALSE)</f>
        <v>0</v>
      </c>
      <c r="AX336">
        <f>VLOOKUP(Table29[[#This Row],[Shortname]], Comp[], 29, FALSE)</f>
        <v>0</v>
      </c>
      <c r="AY336">
        <f>VLOOKUP(Table29[[#This Row],[Shortname]], Comp[], 30, FALSE)</f>
        <v>0</v>
      </c>
      <c r="AZ336">
        <f>VLOOKUP(Table29[[#This Row],[Shortname]], Comp[], 31, FALSE)</f>
        <v>0</v>
      </c>
    </row>
    <row r="337" spans="1:52" x14ac:dyDescent="0.3">
      <c r="A337" t="s">
        <v>4933</v>
      </c>
      <c r="B337">
        <v>278</v>
      </c>
      <c r="C337">
        <v>753</v>
      </c>
      <c r="D337" t="s">
        <v>11</v>
      </c>
      <c r="E337" t="s">
        <v>160</v>
      </c>
      <c r="F337" t="s">
        <v>4935</v>
      </c>
      <c r="G337" t="s">
        <v>4936</v>
      </c>
      <c r="H337">
        <v>243</v>
      </c>
      <c r="I337">
        <v>3.9799999999999999E-8</v>
      </c>
      <c r="J337">
        <f>0.01/Table29[[#This Row],[Strain Rate (min) /s]]</f>
        <v>251256.28140703519</v>
      </c>
      <c r="K337">
        <f>LOG(Table29[[#This Row],[Time to 1% strain (s)]])</f>
        <v>5.4001169279263124</v>
      </c>
      <c r="L337">
        <v>900</v>
      </c>
      <c r="M337">
        <v>8.6</v>
      </c>
      <c r="N337">
        <v>605</v>
      </c>
      <c r="P337" t="s">
        <v>7151</v>
      </c>
      <c r="Q337">
        <v>1250</v>
      </c>
      <c r="R337">
        <v>20</v>
      </c>
      <c r="S337">
        <v>950</v>
      </c>
      <c r="T337">
        <v>16</v>
      </c>
      <c r="W337">
        <v>1</v>
      </c>
      <c r="X337">
        <v>10</v>
      </c>
      <c r="Y337">
        <v>52</v>
      </c>
      <c r="Z337" t="s">
        <v>7152</v>
      </c>
      <c r="AA337">
        <f>VLOOKUP(Table29[[#This Row],[Shortname]], Comp[], 6, FALSE)</f>
        <v>753</v>
      </c>
      <c r="AB337" s="14">
        <f>VLOOKUP(Table29[[#This Row],[Shortname]], Comp[], 7, FALSE)</f>
        <v>81.88</v>
      </c>
      <c r="AC337">
        <f>VLOOKUP(Table29[[#This Row],[Shortname]], Comp[], 8, FALSE)</f>
        <v>0</v>
      </c>
      <c r="AD337">
        <f>VLOOKUP(Table29[[#This Row],[Shortname]], Comp[], 9, FALSE)</f>
        <v>5.6</v>
      </c>
      <c r="AE337">
        <f>VLOOKUP(Table29[[#This Row],[Shortname]], Comp[], 10, FALSE)</f>
        <v>0</v>
      </c>
      <c r="AF337">
        <f>VLOOKUP(Table29[[#This Row],[Shortname]], Comp[], 11, FALSE)</f>
        <v>5.8</v>
      </c>
      <c r="AG337">
        <f>VLOOKUP(Table29[[#This Row],[Shortname]], Comp[],12, FALSE)</f>
        <v>6.6</v>
      </c>
      <c r="AH337">
        <f>VLOOKUP(Table29[[#This Row],[Shortname]], Comp[], 13, FALSE)</f>
        <v>0</v>
      </c>
      <c r="AI337">
        <f>VLOOKUP(Table29[[#This Row],[Shortname]], Comp[], 14, FALSE)</f>
        <v>0</v>
      </c>
      <c r="AJ337">
        <f>VLOOKUP(Table29[[#This Row],[Shortname]], Comp[], 15, FALSE)</f>
        <v>0</v>
      </c>
      <c r="AK337">
        <f>VLOOKUP(Table29[[#This Row],[Shortname]], Comp[], 16, FALSE)</f>
        <v>0</v>
      </c>
      <c r="AL337">
        <f>VLOOKUP(Table29[[#This Row],[Shortname]], Comp[], 17, FALSE)</f>
        <v>0</v>
      </c>
      <c r="AM337">
        <f>VLOOKUP(Table29[[#This Row],[Shortname]], Comp[], 18, FALSE)</f>
        <v>0</v>
      </c>
      <c r="AN337">
        <f>VLOOKUP(Table29[[#This Row],[Shortname]], Comp[], 19, FALSE)</f>
        <v>0.12</v>
      </c>
      <c r="AO337">
        <f>VLOOKUP(Table29[[#This Row],[Shortname]], Comp[], 20, FALSE)</f>
        <v>0</v>
      </c>
      <c r="AP337">
        <f>VLOOKUP(Table29[[#This Row],[Shortname]], Comp[], 21, FALSE)</f>
        <v>0</v>
      </c>
      <c r="AQ337">
        <f>VLOOKUP(Table29[[#This Row],[Shortname]], Comp[], 22, FALSE)</f>
        <v>0</v>
      </c>
      <c r="AR337">
        <f>VLOOKUP(Table29[[#This Row],[Shortname]], Comp[], 23, FALSE)</f>
        <v>0</v>
      </c>
      <c r="AS337">
        <f>VLOOKUP(Table29[[#This Row],[Shortname]], Comp[], 24, FALSE)</f>
        <v>0</v>
      </c>
      <c r="AT337">
        <f>VLOOKUP(Table29[[#This Row],[Shortname]], Comp[], 25, FALSE)</f>
        <v>0</v>
      </c>
      <c r="AU337">
        <f>VLOOKUP(Table29[[#This Row],[Shortname]], Comp[], 26, FALSE)</f>
        <v>0</v>
      </c>
      <c r="AV337">
        <f>VLOOKUP(Table29[[#This Row],[Shortname]], Comp[], 27, FALSE)</f>
        <v>0</v>
      </c>
      <c r="AW337">
        <f>VLOOKUP(Table29[[#This Row],[Shortname]], Comp[], 28, FALSE)</f>
        <v>0</v>
      </c>
      <c r="AX337">
        <f>VLOOKUP(Table29[[#This Row],[Shortname]], Comp[], 29, FALSE)</f>
        <v>0</v>
      </c>
      <c r="AY337">
        <f>VLOOKUP(Table29[[#This Row],[Shortname]], Comp[], 30, FALSE)</f>
        <v>0</v>
      </c>
      <c r="AZ337">
        <f>VLOOKUP(Table29[[#This Row],[Shortname]], Comp[], 31, FALSE)</f>
        <v>0</v>
      </c>
    </row>
    <row r="338" spans="1:52" x14ac:dyDescent="0.3">
      <c r="A338" t="s">
        <v>4933</v>
      </c>
      <c r="B338">
        <v>279</v>
      </c>
      <c r="C338">
        <v>753</v>
      </c>
      <c r="D338" t="s">
        <v>11</v>
      </c>
      <c r="E338" t="s">
        <v>160</v>
      </c>
      <c r="F338" t="s">
        <v>4935</v>
      </c>
      <c r="G338" t="s">
        <v>4936</v>
      </c>
      <c r="H338">
        <v>247</v>
      </c>
      <c r="I338">
        <v>3.6500000000000003E-8</v>
      </c>
      <c r="J338">
        <f>0.01/Table29[[#This Row],[Strain Rate (min) /s]]</f>
        <v>273972.60273972602</v>
      </c>
      <c r="K338">
        <f>LOG(Table29[[#This Row],[Time to 1% strain (s)]])</f>
        <v>5.4377071355435254</v>
      </c>
      <c r="L338">
        <v>900</v>
      </c>
      <c r="M338">
        <v>8.6</v>
      </c>
      <c r="N338">
        <v>605</v>
      </c>
      <c r="P338" t="s">
        <v>7151</v>
      </c>
      <c r="Q338">
        <v>1250</v>
      </c>
      <c r="R338">
        <v>20</v>
      </c>
      <c r="S338">
        <v>950</v>
      </c>
      <c r="T338">
        <v>16</v>
      </c>
      <c r="W338">
        <v>1</v>
      </c>
      <c r="X338">
        <v>10</v>
      </c>
      <c r="Y338">
        <v>52</v>
      </c>
      <c r="Z338" t="s">
        <v>7152</v>
      </c>
      <c r="AA338">
        <f>VLOOKUP(Table29[[#This Row],[Shortname]], Comp[], 6, FALSE)</f>
        <v>753</v>
      </c>
      <c r="AB338" s="14">
        <f>VLOOKUP(Table29[[#This Row],[Shortname]], Comp[], 7, FALSE)</f>
        <v>81.88</v>
      </c>
      <c r="AC338">
        <f>VLOOKUP(Table29[[#This Row],[Shortname]], Comp[], 8, FALSE)</f>
        <v>0</v>
      </c>
      <c r="AD338">
        <f>VLOOKUP(Table29[[#This Row],[Shortname]], Comp[], 9, FALSE)</f>
        <v>5.6</v>
      </c>
      <c r="AE338">
        <f>VLOOKUP(Table29[[#This Row],[Shortname]], Comp[], 10, FALSE)</f>
        <v>0</v>
      </c>
      <c r="AF338">
        <f>VLOOKUP(Table29[[#This Row],[Shortname]], Comp[], 11, FALSE)</f>
        <v>5.8</v>
      </c>
      <c r="AG338">
        <f>VLOOKUP(Table29[[#This Row],[Shortname]], Comp[],12, FALSE)</f>
        <v>6.6</v>
      </c>
      <c r="AH338">
        <f>VLOOKUP(Table29[[#This Row],[Shortname]], Comp[], 13, FALSE)</f>
        <v>0</v>
      </c>
      <c r="AI338">
        <f>VLOOKUP(Table29[[#This Row],[Shortname]], Comp[], 14, FALSE)</f>
        <v>0</v>
      </c>
      <c r="AJ338">
        <f>VLOOKUP(Table29[[#This Row],[Shortname]], Comp[], 15, FALSE)</f>
        <v>0</v>
      </c>
      <c r="AK338">
        <f>VLOOKUP(Table29[[#This Row],[Shortname]], Comp[], 16, FALSE)</f>
        <v>0</v>
      </c>
      <c r="AL338">
        <f>VLOOKUP(Table29[[#This Row],[Shortname]], Comp[], 17, FALSE)</f>
        <v>0</v>
      </c>
      <c r="AM338">
        <f>VLOOKUP(Table29[[#This Row],[Shortname]], Comp[], 18, FALSE)</f>
        <v>0</v>
      </c>
      <c r="AN338">
        <f>VLOOKUP(Table29[[#This Row],[Shortname]], Comp[], 19, FALSE)</f>
        <v>0.12</v>
      </c>
      <c r="AO338">
        <f>VLOOKUP(Table29[[#This Row],[Shortname]], Comp[], 20, FALSE)</f>
        <v>0</v>
      </c>
      <c r="AP338">
        <f>VLOOKUP(Table29[[#This Row],[Shortname]], Comp[], 21, FALSE)</f>
        <v>0</v>
      </c>
      <c r="AQ338">
        <f>VLOOKUP(Table29[[#This Row],[Shortname]], Comp[], 22, FALSE)</f>
        <v>0</v>
      </c>
      <c r="AR338">
        <f>VLOOKUP(Table29[[#This Row],[Shortname]], Comp[], 23, FALSE)</f>
        <v>0</v>
      </c>
      <c r="AS338">
        <f>VLOOKUP(Table29[[#This Row],[Shortname]], Comp[], 24, FALSE)</f>
        <v>0</v>
      </c>
      <c r="AT338">
        <f>VLOOKUP(Table29[[#This Row],[Shortname]], Comp[], 25, FALSE)</f>
        <v>0</v>
      </c>
      <c r="AU338">
        <f>VLOOKUP(Table29[[#This Row],[Shortname]], Comp[], 26, FALSE)</f>
        <v>0</v>
      </c>
      <c r="AV338">
        <f>VLOOKUP(Table29[[#This Row],[Shortname]], Comp[], 27, FALSE)</f>
        <v>0</v>
      </c>
      <c r="AW338">
        <f>VLOOKUP(Table29[[#This Row],[Shortname]], Comp[], 28, FALSE)</f>
        <v>0</v>
      </c>
      <c r="AX338">
        <f>VLOOKUP(Table29[[#This Row],[Shortname]], Comp[], 29, FALSE)</f>
        <v>0</v>
      </c>
      <c r="AY338">
        <f>VLOOKUP(Table29[[#This Row],[Shortname]], Comp[], 30, FALSE)</f>
        <v>0</v>
      </c>
      <c r="AZ338">
        <f>VLOOKUP(Table29[[#This Row],[Shortname]], Comp[], 31, FALSE)</f>
        <v>0</v>
      </c>
    </row>
    <row r="339" spans="1:52" x14ac:dyDescent="0.3">
      <c r="A339" t="s">
        <v>4933</v>
      </c>
      <c r="B339">
        <v>280</v>
      </c>
      <c r="C339">
        <v>753</v>
      </c>
      <c r="D339" t="s">
        <v>11</v>
      </c>
      <c r="E339" t="s">
        <v>160</v>
      </c>
      <c r="F339" t="s">
        <v>4935</v>
      </c>
      <c r="G339" t="s">
        <v>4936</v>
      </c>
      <c r="H339">
        <v>268</v>
      </c>
      <c r="I339">
        <v>9.1699999999999994E-8</v>
      </c>
      <c r="J339">
        <f>0.01/Table29[[#This Row],[Strain Rate (min) /s]]</f>
        <v>109051.25408942204</v>
      </c>
      <c r="K339">
        <f>LOG(Table29[[#This Row],[Time to 1% strain (s)]])</f>
        <v>5.0376306643299786</v>
      </c>
      <c r="L339">
        <v>900</v>
      </c>
      <c r="M339">
        <v>8.6</v>
      </c>
      <c r="N339">
        <v>605</v>
      </c>
      <c r="P339" t="s">
        <v>7151</v>
      </c>
      <c r="Q339">
        <v>1250</v>
      </c>
      <c r="R339">
        <v>20</v>
      </c>
      <c r="S339">
        <v>950</v>
      </c>
      <c r="T339">
        <v>16</v>
      </c>
      <c r="W339">
        <v>1</v>
      </c>
      <c r="X339">
        <v>10</v>
      </c>
      <c r="Y339">
        <v>52</v>
      </c>
      <c r="Z339" t="s">
        <v>7152</v>
      </c>
      <c r="AA339">
        <f>VLOOKUP(Table29[[#This Row],[Shortname]], Comp[], 6, FALSE)</f>
        <v>753</v>
      </c>
      <c r="AB339" s="14">
        <f>VLOOKUP(Table29[[#This Row],[Shortname]], Comp[], 7, FALSE)</f>
        <v>81.88</v>
      </c>
      <c r="AC339">
        <f>VLOOKUP(Table29[[#This Row],[Shortname]], Comp[], 8, FALSE)</f>
        <v>0</v>
      </c>
      <c r="AD339">
        <f>VLOOKUP(Table29[[#This Row],[Shortname]], Comp[], 9, FALSE)</f>
        <v>5.6</v>
      </c>
      <c r="AE339">
        <f>VLOOKUP(Table29[[#This Row],[Shortname]], Comp[], 10, FALSE)</f>
        <v>0</v>
      </c>
      <c r="AF339">
        <f>VLOOKUP(Table29[[#This Row],[Shortname]], Comp[], 11, FALSE)</f>
        <v>5.8</v>
      </c>
      <c r="AG339">
        <f>VLOOKUP(Table29[[#This Row],[Shortname]], Comp[],12, FALSE)</f>
        <v>6.6</v>
      </c>
      <c r="AH339">
        <f>VLOOKUP(Table29[[#This Row],[Shortname]], Comp[], 13, FALSE)</f>
        <v>0</v>
      </c>
      <c r="AI339">
        <f>VLOOKUP(Table29[[#This Row],[Shortname]], Comp[], 14, FALSE)</f>
        <v>0</v>
      </c>
      <c r="AJ339">
        <f>VLOOKUP(Table29[[#This Row],[Shortname]], Comp[], 15, FALSE)</f>
        <v>0</v>
      </c>
      <c r="AK339">
        <f>VLOOKUP(Table29[[#This Row],[Shortname]], Comp[], 16, FALSE)</f>
        <v>0</v>
      </c>
      <c r="AL339">
        <f>VLOOKUP(Table29[[#This Row],[Shortname]], Comp[], 17, FALSE)</f>
        <v>0</v>
      </c>
      <c r="AM339">
        <f>VLOOKUP(Table29[[#This Row],[Shortname]], Comp[], 18, FALSE)</f>
        <v>0</v>
      </c>
      <c r="AN339">
        <f>VLOOKUP(Table29[[#This Row],[Shortname]], Comp[], 19, FALSE)</f>
        <v>0.12</v>
      </c>
      <c r="AO339">
        <f>VLOOKUP(Table29[[#This Row],[Shortname]], Comp[], 20, FALSE)</f>
        <v>0</v>
      </c>
      <c r="AP339">
        <f>VLOOKUP(Table29[[#This Row],[Shortname]], Comp[], 21, FALSE)</f>
        <v>0</v>
      </c>
      <c r="AQ339">
        <f>VLOOKUP(Table29[[#This Row],[Shortname]], Comp[], 22, FALSE)</f>
        <v>0</v>
      </c>
      <c r="AR339">
        <f>VLOOKUP(Table29[[#This Row],[Shortname]], Comp[], 23, FALSE)</f>
        <v>0</v>
      </c>
      <c r="AS339">
        <f>VLOOKUP(Table29[[#This Row],[Shortname]], Comp[], 24, FALSE)</f>
        <v>0</v>
      </c>
      <c r="AT339">
        <f>VLOOKUP(Table29[[#This Row],[Shortname]], Comp[], 25, FALSE)</f>
        <v>0</v>
      </c>
      <c r="AU339">
        <f>VLOOKUP(Table29[[#This Row],[Shortname]], Comp[], 26, FALSE)</f>
        <v>0</v>
      </c>
      <c r="AV339">
        <f>VLOOKUP(Table29[[#This Row],[Shortname]], Comp[], 27, FALSE)</f>
        <v>0</v>
      </c>
      <c r="AW339">
        <f>VLOOKUP(Table29[[#This Row],[Shortname]], Comp[], 28, FALSE)</f>
        <v>0</v>
      </c>
      <c r="AX339">
        <f>VLOOKUP(Table29[[#This Row],[Shortname]], Comp[], 29, FALSE)</f>
        <v>0</v>
      </c>
      <c r="AY339">
        <f>VLOOKUP(Table29[[#This Row],[Shortname]], Comp[], 30, FALSE)</f>
        <v>0</v>
      </c>
      <c r="AZ339">
        <f>VLOOKUP(Table29[[#This Row],[Shortname]], Comp[], 31, FALSE)</f>
        <v>0</v>
      </c>
    </row>
    <row r="340" spans="1:52" x14ac:dyDescent="0.3">
      <c r="A340" t="s">
        <v>4933</v>
      </c>
      <c r="B340">
        <v>281</v>
      </c>
      <c r="C340">
        <v>753</v>
      </c>
      <c r="D340" t="s">
        <v>11</v>
      </c>
      <c r="E340" t="s">
        <v>160</v>
      </c>
      <c r="F340" t="s">
        <v>4935</v>
      </c>
      <c r="G340" t="s">
        <v>4936</v>
      </c>
      <c r="H340">
        <v>283</v>
      </c>
      <c r="I340">
        <v>1E-8</v>
      </c>
      <c r="J340">
        <f>0.01/Table29[[#This Row],[Strain Rate (min) /s]]</f>
        <v>1000000</v>
      </c>
      <c r="K340">
        <f>LOG(Table29[[#This Row],[Time to 1% strain (s)]])</f>
        <v>6</v>
      </c>
      <c r="L340">
        <v>850</v>
      </c>
      <c r="M340">
        <v>9.6999999999999993</v>
      </c>
      <c r="N340">
        <v>605</v>
      </c>
      <c r="P340" t="s">
        <v>7151</v>
      </c>
      <c r="Q340">
        <v>1250</v>
      </c>
      <c r="R340">
        <v>20</v>
      </c>
      <c r="S340">
        <v>950</v>
      </c>
      <c r="T340">
        <v>16</v>
      </c>
      <c r="W340">
        <v>1</v>
      </c>
      <c r="X340">
        <v>10</v>
      </c>
      <c r="Y340">
        <v>52</v>
      </c>
      <c r="Z340" t="s">
        <v>7152</v>
      </c>
      <c r="AA340">
        <f>VLOOKUP(Table29[[#This Row],[Shortname]], Comp[], 6, FALSE)</f>
        <v>753</v>
      </c>
      <c r="AB340" s="14">
        <f>VLOOKUP(Table29[[#This Row],[Shortname]], Comp[], 7, FALSE)</f>
        <v>81.88</v>
      </c>
      <c r="AC340">
        <f>VLOOKUP(Table29[[#This Row],[Shortname]], Comp[], 8, FALSE)</f>
        <v>0</v>
      </c>
      <c r="AD340">
        <f>VLOOKUP(Table29[[#This Row],[Shortname]], Comp[], 9, FALSE)</f>
        <v>5.6</v>
      </c>
      <c r="AE340">
        <f>VLOOKUP(Table29[[#This Row],[Shortname]], Comp[], 10, FALSE)</f>
        <v>0</v>
      </c>
      <c r="AF340">
        <f>VLOOKUP(Table29[[#This Row],[Shortname]], Comp[], 11, FALSE)</f>
        <v>5.8</v>
      </c>
      <c r="AG340">
        <f>VLOOKUP(Table29[[#This Row],[Shortname]], Comp[],12, FALSE)</f>
        <v>6.6</v>
      </c>
      <c r="AH340">
        <f>VLOOKUP(Table29[[#This Row],[Shortname]], Comp[], 13, FALSE)</f>
        <v>0</v>
      </c>
      <c r="AI340">
        <f>VLOOKUP(Table29[[#This Row],[Shortname]], Comp[], 14, FALSE)</f>
        <v>0</v>
      </c>
      <c r="AJ340">
        <f>VLOOKUP(Table29[[#This Row],[Shortname]], Comp[], 15, FALSE)</f>
        <v>0</v>
      </c>
      <c r="AK340">
        <f>VLOOKUP(Table29[[#This Row],[Shortname]], Comp[], 16, FALSE)</f>
        <v>0</v>
      </c>
      <c r="AL340">
        <f>VLOOKUP(Table29[[#This Row],[Shortname]], Comp[], 17, FALSE)</f>
        <v>0</v>
      </c>
      <c r="AM340">
        <f>VLOOKUP(Table29[[#This Row],[Shortname]], Comp[], 18, FALSE)</f>
        <v>0</v>
      </c>
      <c r="AN340">
        <f>VLOOKUP(Table29[[#This Row],[Shortname]], Comp[], 19, FALSE)</f>
        <v>0.12</v>
      </c>
      <c r="AO340">
        <f>VLOOKUP(Table29[[#This Row],[Shortname]], Comp[], 20, FALSE)</f>
        <v>0</v>
      </c>
      <c r="AP340">
        <f>VLOOKUP(Table29[[#This Row],[Shortname]], Comp[], 21, FALSE)</f>
        <v>0</v>
      </c>
      <c r="AQ340">
        <f>VLOOKUP(Table29[[#This Row],[Shortname]], Comp[], 22, FALSE)</f>
        <v>0</v>
      </c>
      <c r="AR340">
        <f>VLOOKUP(Table29[[#This Row],[Shortname]], Comp[], 23, FALSE)</f>
        <v>0</v>
      </c>
      <c r="AS340">
        <f>VLOOKUP(Table29[[#This Row],[Shortname]], Comp[], 24, FALSE)</f>
        <v>0</v>
      </c>
      <c r="AT340">
        <f>VLOOKUP(Table29[[#This Row],[Shortname]], Comp[], 25, FALSE)</f>
        <v>0</v>
      </c>
      <c r="AU340">
        <f>VLOOKUP(Table29[[#This Row],[Shortname]], Comp[], 26, FALSE)</f>
        <v>0</v>
      </c>
      <c r="AV340">
        <f>VLOOKUP(Table29[[#This Row],[Shortname]], Comp[], 27, FALSE)</f>
        <v>0</v>
      </c>
      <c r="AW340">
        <f>VLOOKUP(Table29[[#This Row],[Shortname]], Comp[], 28, FALSE)</f>
        <v>0</v>
      </c>
      <c r="AX340">
        <f>VLOOKUP(Table29[[#This Row],[Shortname]], Comp[], 29, FALSE)</f>
        <v>0</v>
      </c>
      <c r="AY340">
        <f>VLOOKUP(Table29[[#This Row],[Shortname]], Comp[], 30, FALSE)</f>
        <v>0</v>
      </c>
      <c r="AZ340">
        <f>VLOOKUP(Table29[[#This Row],[Shortname]], Comp[], 31, FALSE)</f>
        <v>0</v>
      </c>
    </row>
    <row r="341" spans="1:52" x14ac:dyDescent="0.3">
      <c r="A341" t="s">
        <v>4933</v>
      </c>
      <c r="B341">
        <v>282</v>
      </c>
      <c r="C341">
        <v>753</v>
      </c>
      <c r="D341" t="s">
        <v>11</v>
      </c>
      <c r="E341" t="s">
        <v>160</v>
      </c>
      <c r="F341" t="s">
        <v>4935</v>
      </c>
      <c r="G341" t="s">
        <v>4936</v>
      </c>
      <c r="H341">
        <v>307</v>
      </c>
      <c r="I341">
        <v>1.88E-8</v>
      </c>
      <c r="J341">
        <f>0.01/Table29[[#This Row],[Strain Rate (min) /s]]</f>
        <v>531914.89361702127</v>
      </c>
      <c r="K341">
        <f>LOG(Table29[[#This Row],[Time to 1% strain (s)]])</f>
        <v>5.7258421507363204</v>
      </c>
      <c r="L341">
        <v>850</v>
      </c>
      <c r="M341">
        <v>9.6999999999999993</v>
      </c>
      <c r="N341">
        <v>605</v>
      </c>
      <c r="P341" t="s">
        <v>7151</v>
      </c>
      <c r="Q341">
        <v>1250</v>
      </c>
      <c r="R341">
        <v>20</v>
      </c>
      <c r="S341">
        <v>950</v>
      </c>
      <c r="T341">
        <v>16</v>
      </c>
      <c r="W341">
        <v>1</v>
      </c>
      <c r="X341">
        <v>10</v>
      </c>
      <c r="Y341">
        <v>52</v>
      </c>
      <c r="Z341" t="s">
        <v>7152</v>
      </c>
      <c r="AA341">
        <f>VLOOKUP(Table29[[#This Row],[Shortname]], Comp[], 6, FALSE)</f>
        <v>753</v>
      </c>
      <c r="AB341" s="14">
        <f>VLOOKUP(Table29[[#This Row],[Shortname]], Comp[], 7, FALSE)</f>
        <v>81.88</v>
      </c>
      <c r="AC341">
        <f>VLOOKUP(Table29[[#This Row],[Shortname]], Comp[], 8, FALSE)</f>
        <v>0</v>
      </c>
      <c r="AD341">
        <f>VLOOKUP(Table29[[#This Row],[Shortname]], Comp[], 9, FALSE)</f>
        <v>5.6</v>
      </c>
      <c r="AE341">
        <f>VLOOKUP(Table29[[#This Row],[Shortname]], Comp[], 10, FALSE)</f>
        <v>0</v>
      </c>
      <c r="AF341">
        <f>VLOOKUP(Table29[[#This Row],[Shortname]], Comp[], 11, FALSE)</f>
        <v>5.8</v>
      </c>
      <c r="AG341">
        <f>VLOOKUP(Table29[[#This Row],[Shortname]], Comp[],12, FALSE)</f>
        <v>6.6</v>
      </c>
      <c r="AH341">
        <f>VLOOKUP(Table29[[#This Row],[Shortname]], Comp[], 13, FALSE)</f>
        <v>0</v>
      </c>
      <c r="AI341">
        <f>VLOOKUP(Table29[[#This Row],[Shortname]], Comp[], 14, FALSE)</f>
        <v>0</v>
      </c>
      <c r="AJ341">
        <f>VLOOKUP(Table29[[#This Row],[Shortname]], Comp[], 15, FALSE)</f>
        <v>0</v>
      </c>
      <c r="AK341">
        <f>VLOOKUP(Table29[[#This Row],[Shortname]], Comp[], 16, FALSE)</f>
        <v>0</v>
      </c>
      <c r="AL341">
        <f>VLOOKUP(Table29[[#This Row],[Shortname]], Comp[], 17, FALSE)</f>
        <v>0</v>
      </c>
      <c r="AM341">
        <f>VLOOKUP(Table29[[#This Row],[Shortname]], Comp[], 18, FALSE)</f>
        <v>0</v>
      </c>
      <c r="AN341">
        <f>VLOOKUP(Table29[[#This Row],[Shortname]], Comp[], 19, FALSE)</f>
        <v>0.12</v>
      </c>
      <c r="AO341">
        <f>VLOOKUP(Table29[[#This Row],[Shortname]], Comp[], 20, FALSE)</f>
        <v>0</v>
      </c>
      <c r="AP341">
        <f>VLOOKUP(Table29[[#This Row],[Shortname]], Comp[], 21, FALSE)</f>
        <v>0</v>
      </c>
      <c r="AQ341">
        <f>VLOOKUP(Table29[[#This Row],[Shortname]], Comp[], 22, FALSE)</f>
        <v>0</v>
      </c>
      <c r="AR341">
        <f>VLOOKUP(Table29[[#This Row],[Shortname]], Comp[], 23, FALSE)</f>
        <v>0</v>
      </c>
      <c r="AS341">
        <f>VLOOKUP(Table29[[#This Row],[Shortname]], Comp[], 24, FALSE)</f>
        <v>0</v>
      </c>
      <c r="AT341">
        <f>VLOOKUP(Table29[[#This Row],[Shortname]], Comp[], 25, FALSE)</f>
        <v>0</v>
      </c>
      <c r="AU341">
        <f>VLOOKUP(Table29[[#This Row],[Shortname]], Comp[], 26, FALSE)</f>
        <v>0</v>
      </c>
      <c r="AV341">
        <f>VLOOKUP(Table29[[#This Row],[Shortname]], Comp[], 27, FALSE)</f>
        <v>0</v>
      </c>
      <c r="AW341">
        <f>VLOOKUP(Table29[[#This Row],[Shortname]], Comp[], 28, FALSE)</f>
        <v>0</v>
      </c>
      <c r="AX341">
        <f>VLOOKUP(Table29[[#This Row],[Shortname]], Comp[], 29, FALSE)</f>
        <v>0</v>
      </c>
      <c r="AY341">
        <f>VLOOKUP(Table29[[#This Row],[Shortname]], Comp[], 30, FALSE)</f>
        <v>0</v>
      </c>
      <c r="AZ341">
        <f>VLOOKUP(Table29[[#This Row],[Shortname]], Comp[], 31, FALSE)</f>
        <v>0</v>
      </c>
    </row>
    <row r="342" spans="1:52" x14ac:dyDescent="0.3">
      <c r="A342" t="s">
        <v>4933</v>
      </c>
      <c r="B342">
        <v>283</v>
      </c>
      <c r="C342">
        <v>753</v>
      </c>
      <c r="D342" t="s">
        <v>11</v>
      </c>
      <c r="E342" t="s">
        <v>160</v>
      </c>
      <c r="F342" t="s">
        <v>4935</v>
      </c>
      <c r="G342" t="s">
        <v>4936</v>
      </c>
      <c r="H342">
        <v>327</v>
      </c>
      <c r="I342">
        <v>5.4600000000000005E-7</v>
      </c>
      <c r="J342">
        <f>0.01/Table29[[#This Row],[Strain Rate (min) /s]]</f>
        <v>18315.018315018315</v>
      </c>
      <c r="K342">
        <f>LOG(Table29[[#This Row],[Time to 1% strain (s)]])</f>
        <v>4.2628073572952632</v>
      </c>
      <c r="L342">
        <v>900</v>
      </c>
      <c r="M342">
        <v>8.6</v>
      </c>
      <c r="N342">
        <v>605</v>
      </c>
      <c r="P342" t="s">
        <v>7151</v>
      </c>
      <c r="Q342">
        <v>1250</v>
      </c>
      <c r="R342">
        <v>20</v>
      </c>
      <c r="S342">
        <v>950</v>
      </c>
      <c r="T342">
        <v>16</v>
      </c>
      <c r="W342">
        <v>1</v>
      </c>
      <c r="X342">
        <v>10</v>
      </c>
      <c r="Y342">
        <v>52</v>
      </c>
      <c r="Z342" t="s">
        <v>7152</v>
      </c>
      <c r="AA342">
        <f>VLOOKUP(Table29[[#This Row],[Shortname]], Comp[], 6, FALSE)</f>
        <v>753</v>
      </c>
      <c r="AB342" s="14">
        <f>VLOOKUP(Table29[[#This Row],[Shortname]], Comp[], 7, FALSE)</f>
        <v>81.88</v>
      </c>
      <c r="AC342">
        <f>VLOOKUP(Table29[[#This Row],[Shortname]], Comp[], 8, FALSE)</f>
        <v>0</v>
      </c>
      <c r="AD342">
        <f>VLOOKUP(Table29[[#This Row],[Shortname]], Comp[], 9, FALSE)</f>
        <v>5.6</v>
      </c>
      <c r="AE342">
        <f>VLOOKUP(Table29[[#This Row],[Shortname]], Comp[], 10, FALSE)</f>
        <v>0</v>
      </c>
      <c r="AF342">
        <f>VLOOKUP(Table29[[#This Row],[Shortname]], Comp[], 11, FALSE)</f>
        <v>5.8</v>
      </c>
      <c r="AG342">
        <f>VLOOKUP(Table29[[#This Row],[Shortname]], Comp[],12, FALSE)</f>
        <v>6.6</v>
      </c>
      <c r="AH342">
        <f>VLOOKUP(Table29[[#This Row],[Shortname]], Comp[], 13, FALSE)</f>
        <v>0</v>
      </c>
      <c r="AI342">
        <f>VLOOKUP(Table29[[#This Row],[Shortname]], Comp[], 14, FALSE)</f>
        <v>0</v>
      </c>
      <c r="AJ342">
        <f>VLOOKUP(Table29[[#This Row],[Shortname]], Comp[], 15, FALSE)</f>
        <v>0</v>
      </c>
      <c r="AK342">
        <f>VLOOKUP(Table29[[#This Row],[Shortname]], Comp[], 16, FALSE)</f>
        <v>0</v>
      </c>
      <c r="AL342">
        <f>VLOOKUP(Table29[[#This Row],[Shortname]], Comp[], 17, FALSE)</f>
        <v>0</v>
      </c>
      <c r="AM342">
        <f>VLOOKUP(Table29[[#This Row],[Shortname]], Comp[], 18, FALSE)</f>
        <v>0</v>
      </c>
      <c r="AN342">
        <f>VLOOKUP(Table29[[#This Row],[Shortname]], Comp[], 19, FALSE)</f>
        <v>0.12</v>
      </c>
      <c r="AO342">
        <f>VLOOKUP(Table29[[#This Row],[Shortname]], Comp[], 20, FALSE)</f>
        <v>0</v>
      </c>
      <c r="AP342">
        <f>VLOOKUP(Table29[[#This Row],[Shortname]], Comp[], 21, FALSE)</f>
        <v>0</v>
      </c>
      <c r="AQ342">
        <f>VLOOKUP(Table29[[#This Row],[Shortname]], Comp[], 22, FALSE)</f>
        <v>0</v>
      </c>
      <c r="AR342">
        <f>VLOOKUP(Table29[[#This Row],[Shortname]], Comp[], 23, FALSE)</f>
        <v>0</v>
      </c>
      <c r="AS342">
        <f>VLOOKUP(Table29[[#This Row],[Shortname]], Comp[], 24, FALSE)</f>
        <v>0</v>
      </c>
      <c r="AT342">
        <f>VLOOKUP(Table29[[#This Row],[Shortname]], Comp[], 25, FALSE)</f>
        <v>0</v>
      </c>
      <c r="AU342">
        <f>VLOOKUP(Table29[[#This Row],[Shortname]], Comp[], 26, FALSE)</f>
        <v>0</v>
      </c>
      <c r="AV342">
        <f>VLOOKUP(Table29[[#This Row],[Shortname]], Comp[], 27, FALSE)</f>
        <v>0</v>
      </c>
      <c r="AW342">
        <f>VLOOKUP(Table29[[#This Row],[Shortname]], Comp[], 28, FALSE)</f>
        <v>0</v>
      </c>
      <c r="AX342">
        <f>VLOOKUP(Table29[[#This Row],[Shortname]], Comp[], 29, FALSE)</f>
        <v>0</v>
      </c>
      <c r="AY342">
        <f>VLOOKUP(Table29[[#This Row],[Shortname]], Comp[], 30, FALSE)</f>
        <v>0</v>
      </c>
      <c r="AZ342">
        <f>VLOOKUP(Table29[[#This Row],[Shortname]], Comp[], 31, FALSE)</f>
        <v>0</v>
      </c>
    </row>
    <row r="343" spans="1:52" x14ac:dyDescent="0.3">
      <c r="A343" t="s">
        <v>4933</v>
      </c>
      <c r="B343">
        <v>284</v>
      </c>
      <c r="C343">
        <v>753</v>
      </c>
      <c r="D343" t="s">
        <v>11</v>
      </c>
      <c r="E343" t="s">
        <v>160</v>
      </c>
      <c r="F343" t="s">
        <v>4935</v>
      </c>
      <c r="G343" t="s">
        <v>4936</v>
      </c>
      <c r="H343">
        <v>350</v>
      </c>
      <c r="I343">
        <v>4.8699999999999999E-8</v>
      </c>
      <c r="J343">
        <f>0.01/Table29[[#This Row],[Strain Rate (min) /s]]</f>
        <v>205338.80903490761</v>
      </c>
      <c r="K343">
        <f>LOG(Table29[[#This Row],[Time to 1% strain (s)]])</f>
        <v>5.3124710387853655</v>
      </c>
      <c r="L343">
        <v>850</v>
      </c>
      <c r="M343">
        <v>9.6999999999999993</v>
      </c>
      <c r="N343">
        <v>605</v>
      </c>
      <c r="P343" t="s">
        <v>7151</v>
      </c>
      <c r="Q343">
        <v>1250</v>
      </c>
      <c r="R343">
        <v>20</v>
      </c>
      <c r="S343">
        <v>950</v>
      </c>
      <c r="T343">
        <v>16</v>
      </c>
      <c r="W343">
        <v>1</v>
      </c>
      <c r="X343">
        <v>10</v>
      </c>
      <c r="Y343">
        <v>52</v>
      </c>
      <c r="Z343" t="s">
        <v>7152</v>
      </c>
      <c r="AA343">
        <f>VLOOKUP(Table29[[#This Row],[Shortname]], Comp[], 6, FALSE)</f>
        <v>753</v>
      </c>
      <c r="AB343" s="14">
        <f>VLOOKUP(Table29[[#This Row],[Shortname]], Comp[], 7, FALSE)</f>
        <v>81.88</v>
      </c>
      <c r="AC343">
        <f>VLOOKUP(Table29[[#This Row],[Shortname]], Comp[], 8, FALSE)</f>
        <v>0</v>
      </c>
      <c r="AD343">
        <f>VLOOKUP(Table29[[#This Row],[Shortname]], Comp[], 9, FALSE)</f>
        <v>5.6</v>
      </c>
      <c r="AE343">
        <f>VLOOKUP(Table29[[#This Row],[Shortname]], Comp[], 10, FALSE)</f>
        <v>0</v>
      </c>
      <c r="AF343">
        <f>VLOOKUP(Table29[[#This Row],[Shortname]], Comp[], 11, FALSE)</f>
        <v>5.8</v>
      </c>
      <c r="AG343">
        <f>VLOOKUP(Table29[[#This Row],[Shortname]], Comp[],12, FALSE)</f>
        <v>6.6</v>
      </c>
      <c r="AH343">
        <f>VLOOKUP(Table29[[#This Row],[Shortname]], Comp[], 13, FALSE)</f>
        <v>0</v>
      </c>
      <c r="AI343">
        <f>VLOOKUP(Table29[[#This Row],[Shortname]], Comp[], 14, FALSE)</f>
        <v>0</v>
      </c>
      <c r="AJ343">
        <f>VLOOKUP(Table29[[#This Row],[Shortname]], Comp[], 15, FALSE)</f>
        <v>0</v>
      </c>
      <c r="AK343">
        <f>VLOOKUP(Table29[[#This Row],[Shortname]], Comp[], 16, FALSE)</f>
        <v>0</v>
      </c>
      <c r="AL343">
        <f>VLOOKUP(Table29[[#This Row],[Shortname]], Comp[], 17, FALSE)</f>
        <v>0</v>
      </c>
      <c r="AM343">
        <f>VLOOKUP(Table29[[#This Row],[Shortname]], Comp[], 18, FALSE)</f>
        <v>0</v>
      </c>
      <c r="AN343">
        <f>VLOOKUP(Table29[[#This Row],[Shortname]], Comp[], 19, FALSE)</f>
        <v>0.12</v>
      </c>
      <c r="AO343">
        <f>VLOOKUP(Table29[[#This Row],[Shortname]], Comp[], 20, FALSE)</f>
        <v>0</v>
      </c>
      <c r="AP343">
        <f>VLOOKUP(Table29[[#This Row],[Shortname]], Comp[], 21, FALSE)</f>
        <v>0</v>
      </c>
      <c r="AQ343">
        <f>VLOOKUP(Table29[[#This Row],[Shortname]], Comp[], 22, FALSE)</f>
        <v>0</v>
      </c>
      <c r="AR343">
        <f>VLOOKUP(Table29[[#This Row],[Shortname]], Comp[], 23, FALSE)</f>
        <v>0</v>
      </c>
      <c r="AS343">
        <f>VLOOKUP(Table29[[#This Row],[Shortname]], Comp[], 24, FALSE)</f>
        <v>0</v>
      </c>
      <c r="AT343">
        <f>VLOOKUP(Table29[[#This Row],[Shortname]], Comp[], 25, FALSE)</f>
        <v>0</v>
      </c>
      <c r="AU343">
        <f>VLOOKUP(Table29[[#This Row],[Shortname]], Comp[], 26, FALSE)</f>
        <v>0</v>
      </c>
      <c r="AV343">
        <f>VLOOKUP(Table29[[#This Row],[Shortname]], Comp[], 27, FALSE)</f>
        <v>0</v>
      </c>
      <c r="AW343">
        <f>VLOOKUP(Table29[[#This Row],[Shortname]], Comp[], 28, FALSE)</f>
        <v>0</v>
      </c>
      <c r="AX343">
        <f>VLOOKUP(Table29[[#This Row],[Shortname]], Comp[], 29, FALSE)</f>
        <v>0</v>
      </c>
      <c r="AY343">
        <f>VLOOKUP(Table29[[#This Row],[Shortname]], Comp[], 30, FALSE)</f>
        <v>0</v>
      </c>
      <c r="AZ343">
        <f>VLOOKUP(Table29[[#This Row],[Shortname]], Comp[], 31, FALSE)</f>
        <v>0</v>
      </c>
    </row>
    <row r="344" spans="1:52" x14ac:dyDescent="0.3">
      <c r="A344" t="s">
        <v>4933</v>
      </c>
      <c r="B344">
        <v>285</v>
      </c>
      <c r="C344">
        <v>753</v>
      </c>
      <c r="D344" t="s">
        <v>11</v>
      </c>
      <c r="E344" t="s">
        <v>160</v>
      </c>
      <c r="F344" t="s">
        <v>4935</v>
      </c>
      <c r="G344" t="s">
        <v>4936</v>
      </c>
      <c r="H344">
        <v>356</v>
      </c>
      <c r="I344">
        <v>7.2899999999999998E-8</v>
      </c>
      <c r="J344">
        <f>0.01/Table29[[#This Row],[Strain Rate (min) /s]]</f>
        <v>137174.21124828534</v>
      </c>
      <c r="K344">
        <f>LOG(Table29[[#This Row],[Time to 1% strain (s)]])</f>
        <v>5.1372724716820253</v>
      </c>
      <c r="L344">
        <v>850</v>
      </c>
      <c r="M344">
        <v>9.6999999999999993</v>
      </c>
      <c r="N344">
        <v>605</v>
      </c>
      <c r="P344" t="s">
        <v>7151</v>
      </c>
      <c r="Q344">
        <v>1250</v>
      </c>
      <c r="R344">
        <v>20</v>
      </c>
      <c r="S344">
        <v>950</v>
      </c>
      <c r="T344">
        <v>16</v>
      </c>
      <c r="W344">
        <v>1</v>
      </c>
      <c r="X344">
        <v>10</v>
      </c>
      <c r="Y344">
        <v>52</v>
      </c>
      <c r="Z344" t="s">
        <v>7152</v>
      </c>
      <c r="AA344">
        <f>VLOOKUP(Table29[[#This Row],[Shortname]], Comp[], 6, FALSE)</f>
        <v>753</v>
      </c>
      <c r="AB344" s="14">
        <f>VLOOKUP(Table29[[#This Row],[Shortname]], Comp[], 7, FALSE)</f>
        <v>81.88</v>
      </c>
      <c r="AC344">
        <f>VLOOKUP(Table29[[#This Row],[Shortname]], Comp[], 8, FALSE)</f>
        <v>0</v>
      </c>
      <c r="AD344">
        <f>VLOOKUP(Table29[[#This Row],[Shortname]], Comp[], 9, FALSE)</f>
        <v>5.6</v>
      </c>
      <c r="AE344">
        <f>VLOOKUP(Table29[[#This Row],[Shortname]], Comp[], 10, FALSE)</f>
        <v>0</v>
      </c>
      <c r="AF344">
        <f>VLOOKUP(Table29[[#This Row],[Shortname]], Comp[], 11, FALSE)</f>
        <v>5.8</v>
      </c>
      <c r="AG344">
        <f>VLOOKUP(Table29[[#This Row],[Shortname]], Comp[],12, FALSE)</f>
        <v>6.6</v>
      </c>
      <c r="AH344">
        <f>VLOOKUP(Table29[[#This Row],[Shortname]], Comp[], 13, FALSE)</f>
        <v>0</v>
      </c>
      <c r="AI344">
        <f>VLOOKUP(Table29[[#This Row],[Shortname]], Comp[], 14, FALSE)</f>
        <v>0</v>
      </c>
      <c r="AJ344">
        <f>VLOOKUP(Table29[[#This Row],[Shortname]], Comp[], 15, FALSE)</f>
        <v>0</v>
      </c>
      <c r="AK344">
        <f>VLOOKUP(Table29[[#This Row],[Shortname]], Comp[], 16, FALSE)</f>
        <v>0</v>
      </c>
      <c r="AL344">
        <f>VLOOKUP(Table29[[#This Row],[Shortname]], Comp[], 17, FALSE)</f>
        <v>0</v>
      </c>
      <c r="AM344">
        <f>VLOOKUP(Table29[[#This Row],[Shortname]], Comp[], 18, FALSE)</f>
        <v>0</v>
      </c>
      <c r="AN344">
        <f>VLOOKUP(Table29[[#This Row],[Shortname]], Comp[], 19, FALSE)</f>
        <v>0.12</v>
      </c>
      <c r="AO344">
        <f>VLOOKUP(Table29[[#This Row],[Shortname]], Comp[], 20, FALSE)</f>
        <v>0</v>
      </c>
      <c r="AP344">
        <f>VLOOKUP(Table29[[#This Row],[Shortname]], Comp[], 21, FALSE)</f>
        <v>0</v>
      </c>
      <c r="AQ344">
        <f>VLOOKUP(Table29[[#This Row],[Shortname]], Comp[], 22, FALSE)</f>
        <v>0</v>
      </c>
      <c r="AR344">
        <f>VLOOKUP(Table29[[#This Row],[Shortname]], Comp[], 23, FALSE)</f>
        <v>0</v>
      </c>
      <c r="AS344">
        <f>VLOOKUP(Table29[[#This Row],[Shortname]], Comp[], 24, FALSE)</f>
        <v>0</v>
      </c>
      <c r="AT344">
        <f>VLOOKUP(Table29[[#This Row],[Shortname]], Comp[], 25, FALSE)</f>
        <v>0</v>
      </c>
      <c r="AU344">
        <f>VLOOKUP(Table29[[#This Row],[Shortname]], Comp[], 26, FALSE)</f>
        <v>0</v>
      </c>
      <c r="AV344">
        <f>VLOOKUP(Table29[[#This Row],[Shortname]], Comp[], 27, FALSE)</f>
        <v>0</v>
      </c>
      <c r="AW344">
        <f>VLOOKUP(Table29[[#This Row],[Shortname]], Comp[], 28, FALSE)</f>
        <v>0</v>
      </c>
      <c r="AX344">
        <f>VLOOKUP(Table29[[#This Row],[Shortname]], Comp[], 29, FALSE)</f>
        <v>0</v>
      </c>
      <c r="AY344">
        <f>VLOOKUP(Table29[[#This Row],[Shortname]], Comp[], 30, FALSE)</f>
        <v>0</v>
      </c>
      <c r="AZ344">
        <f>VLOOKUP(Table29[[#This Row],[Shortname]], Comp[], 31, FALSE)</f>
        <v>0</v>
      </c>
    </row>
    <row r="345" spans="1:52" x14ac:dyDescent="0.3">
      <c r="A345" t="s">
        <v>4933</v>
      </c>
      <c r="B345">
        <v>286</v>
      </c>
      <c r="C345">
        <v>753</v>
      </c>
      <c r="D345" t="s">
        <v>11</v>
      </c>
      <c r="E345" t="s">
        <v>160</v>
      </c>
      <c r="F345" t="s">
        <v>4935</v>
      </c>
      <c r="G345" t="s">
        <v>4936</v>
      </c>
      <c r="H345">
        <v>374</v>
      </c>
      <c r="I345">
        <v>6.3000000000000002E-9</v>
      </c>
      <c r="J345">
        <f>0.01/Table29[[#This Row],[Strain Rate (min) /s]]</f>
        <v>1587301.5873015872</v>
      </c>
      <c r="K345">
        <f>LOG(Table29[[#This Row],[Time to 1% strain (s)]])</f>
        <v>6.2006594505464179</v>
      </c>
      <c r="L345">
        <v>800</v>
      </c>
      <c r="M345">
        <v>12.1</v>
      </c>
      <c r="N345">
        <v>605</v>
      </c>
      <c r="P345" t="s">
        <v>7151</v>
      </c>
      <c r="Q345">
        <v>1250</v>
      </c>
      <c r="R345">
        <v>20</v>
      </c>
      <c r="S345">
        <v>950</v>
      </c>
      <c r="T345">
        <v>16</v>
      </c>
      <c r="W345">
        <v>1</v>
      </c>
      <c r="X345">
        <v>10</v>
      </c>
      <c r="Y345">
        <v>52</v>
      </c>
      <c r="Z345" t="s">
        <v>7152</v>
      </c>
      <c r="AA345">
        <f>VLOOKUP(Table29[[#This Row],[Shortname]], Comp[], 6, FALSE)</f>
        <v>753</v>
      </c>
      <c r="AB345" s="14">
        <f>VLOOKUP(Table29[[#This Row],[Shortname]], Comp[], 7, FALSE)</f>
        <v>81.88</v>
      </c>
      <c r="AC345">
        <f>VLOOKUP(Table29[[#This Row],[Shortname]], Comp[], 8, FALSE)</f>
        <v>0</v>
      </c>
      <c r="AD345">
        <f>VLOOKUP(Table29[[#This Row],[Shortname]], Comp[], 9, FALSE)</f>
        <v>5.6</v>
      </c>
      <c r="AE345">
        <f>VLOOKUP(Table29[[#This Row],[Shortname]], Comp[], 10, FALSE)</f>
        <v>0</v>
      </c>
      <c r="AF345">
        <f>VLOOKUP(Table29[[#This Row],[Shortname]], Comp[], 11, FALSE)</f>
        <v>5.8</v>
      </c>
      <c r="AG345">
        <f>VLOOKUP(Table29[[#This Row],[Shortname]], Comp[],12, FALSE)</f>
        <v>6.6</v>
      </c>
      <c r="AH345">
        <f>VLOOKUP(Table29[[#This Row],[Shortname]], Comp[], 13, FALSE)</f>
        <v>0</v>
      </c>
      <c r="AI345">
        <f>VLOOKUP(Table29[[#This Row],[Shortname]], Comp[], 14, FALSE)</f>
        <v>0</v>
      </c>
      <c r="AJ345">
        <f>VLOOKUP(Table29[[#This Row],[Shortname]], Comp[], 15, FALSE)</f>
        <v>0</v>
      </c>
      <c r="AK345">
        <f>VLOOKUP(Table29[[#This Row],[Shortname]], Comp[], 16, FALSE)</f>
        <v>0</v>
      </c>
      <c r="AL345">
        <f>VLOOKUP(Table29[[#This Row],[Shortname]], Comp[], 17, FALSE)</f>
        <v>0</v>
      </c>
      <c r="AM345">
        <f>VLOOKUP(Table29[[#This Row],[Shortname]], Comp[], 18, FALSE)</f>
        <v>0</v>
      </c>
      <c r="AN345">
        <f>VLOOKUP(Table29[[#This Row],[Shortname]], Comp[], 19, FALSE)</f>
        <v>0.12</v>
      </c>
      <c r="AO345">
        <f>VLOOKUP(Table29[[#This Row],[Shortname]], Comp[], 20, FALSE)</f>
        <v>0</v>
      </c>
      <c r="AP345">
        <f>VLOOKUP(Table29[[#This Row],[Shortname]], Comp[], 21, FALSE)</f>
        <v>0</v>
      </c>
      <c r="AQ345">
        <f>VLOOKUP(Table29[[#This Row],[Shortname]], Comp[], 22, FALSE)</f>
        <v>0</v>
      </c>
      <c r="AR345">
        <f>VLOOKUP(Table29[[#This Row],[Shortname]], Comp[], 23, FALSE)</f>
        <v>0</v>
      </c>
      <c r="AS345">
        <f>VLOOKUP(Table29[[#This Row],[Shortname]], Comp[], 24, FALSE)</f>
        <v>0</v>
      </c>
      <c r="AT345">
        <f>VLOOKUP(Table29[[#This Row],[Shortname]], Comp[], 25, FALSE)</f>
        <v>0</v>
      </c>
      <c r="AU345">
        <f>VLOOKUP(Table29[[#This Row],[Shortname]], Comp[], 26, FALSE)</f>
        <v>0</v>
      </c>
      <c r="AV345">
        <f>VLOOKUP(Table29[[#This Row],[Shortname]], Comp[], 27, FALSE)</f>
        <v>0</v>
      </c>
      <c r="AW345">
        <f>VLOOKUP(Table29[[#This Row],[Shortname]], Comp[], 28, FALSE)</f>
        <v>0</v>
      </c>
      <c r="AX345">
        <f>VLOOKUP(Table29[[#This Row],[Shortname]], Comp[], 29, FALSE)</f>
        <v>0</v>
      </c>
      <c r="AY345">
        <f>VLOOKUP(Table29[[#This Row],[Shortname]], Comp[], 30, FALSE)</f>
        <v>0</v>
      </c>
      <c r="AZ345">
        <f>VLOOKUP(Table29[[#This Row],[Shortname]], Comp[], 31, FALSE)</f>
        <v>0</v>
      </c>
    </row>
    <row r="346" spans="1:52" x14ac:dyDescent="0.3">
      <c r="A346" t="s">
        <v>4933</v>
      </c>
      <c r="B346">
        <v>287</v>
      </c>
      <c r="C346">
        <v>753</v>
      </c>
      <c r="D346" t="s">
        <v>11</v>
      </c>
      <c r="E346" t="s">
        <v>160</v>
      </c>
      <c r="F346" t="s">
        <v>4935</v>
      </c>
      <c r="G346" t="s">
        <v>4936</v>
      </c>
      <c r="H346">
        <v>387</v>
      </c>
      <c r="I346">
        <v>2.17E-7</v>
      </c>
      <c r="J346">
        <f>0.01/Table29[[#This Row],[Strain Rate (min) /s]]</f>
        <v>46082.949308755764</v>
      </c>
      <c r="K346">
        <f>LOG(Table29[[#This Row],[Time to 1% strain (s)]])</f>
        <v>4.6635402661514709</v>
      </c>
      <c r="L346">
        <v>850</v>
      </c>
      <c r="M346">
        <v>9.6999999999999993</v>
      </c>
      <c r="N346">
        <v>605</v>
      </c>
      <c r="P346" t="s">
        <v>7151</v>
      </c>
      <c r="Q346">
        <v>1250</v>
      </c>
      <c r="R346">
        <v>20</v>
      </c>
      <c r="S346">
        <v>950</v>
      </c>
      <c r="T346">
        <v>16</v>
      </c>
      <c r="W346">
        <v>1</v>
      </c>
      <c r="X346">
        <v>10</v>
      </c>
      <c r="Y346">
        <v>52</v>
      </c>
      <c r="Z346" t="s">
        <v>7152</v>
      </c>
      <c r="AA346">
        <f>VLOOKUP(Table29[[#This Row],[Shortname]], Comp[], 6, FALSE)</f>
        <v>753</v>
      </c>
      <c r="AB346" s="14">
        <f>VLOOKUP(Table29[[#This Row],[Shortname]], Comp[], 7, FALSE)</f>
        <v>81.88</v>
      </c>
      <c r="AC346">
        <f>VLOOKUP(Table29[[#This Row],[Shortname]], Comp[], 8, FALSE)</f>
        <v>0</v>
      </c>
      <c r="AD346">
        <f>VLOOKUP(Table29[[#This Row],[Shortname]], Comp[], 9, FALSE)</f>
        <v>5.6</v>
      </c>
      <c r="AE346">
        <f>VLOOKUP(Table29[[#This Row],[Shortname]], Comp[], 10, FALSE)</f>
        <v>0</v>
      </c>
      <c r="AF346">
        <f>VLOOKUP(Table29[[#This Row],[Shortname]], Comp[], 11, FALSE)</f>
        <v>5.8</v>
      </c>
      <c r="AG346">
        <f>VLOOKUP(Table29[[#This Row],[Shortname]], Comp[],12, FALSE)</f>
        <v>6.6</v>
      </c>
      <c r="AH346">
        <f>VLOOKUP(Table29[[#This Row],[Shortname]], Comp[], 13, FALSE)</f>
        <v>0</v>
      </c>
      <c r="AI346">
        <f>VLOOKUP(Table29[[#This Row],[Shortname]], Comp[], 14, FALSE)</f>
        <v>0</v>
      </c>
      <c r="AJ346">
        <f>VLOOKUP(Table29[[#This Row],[Shortname]], Comp[], 15, FALSE)</f>
        <v>0</v>
      </c>
      <c r="AK346">
        <f>VLOOKUP(Table29[[#This Row],[Shortname]], Comp[], 16, FALSE)</f>
        <v>0</v>
      </c>
      <c r="AL346">
        <f>VLOOKUP(Table29[[#This Row],[Shortname]], Comp[], 17, FALSE)</f>
        <v>0</v>
      </c>
      <c r="AM346">
        <f>VLOOKUP(Table29[[#This Row],[Shortname]], Comp[], 18, FALSE)</f>
        <v>0</v>
      </c>
      <c r="AN346">
        <f>VLOOKUP(Table29[[#This Row],[Shortname]], Comp[], 19, FALSE)</f>
        <v>0.12</v>
      </c>
      <c r="AO346">
        <f>VLOOKUP(Table29[[#This Row],[Shortname]], Comp[], 20, FALSE)</f>
        <v>0</v>
      </c>
      <c r="AP346">
        <f>VLOOKUP(Table29[[#This Row],[Shortname]], Comp[], 21, FALSE)</f>
        <v>0</v>
      </c>
      <c r="AQ346">
        <f>VLOOKUP(Table29[[#This Row],[Shortname]], Comp[], 22, FALSE)</f>
        <v>0</v>
      </c>
      <c r="AR346">
        <f>VLOOKUP(Table29[[#This Row],[Shortname]], Comp[], 23, FALSE)</f>
        <v>0</v>
      </c>
      <c r="AS346">
        <f>VLOOKUP(Table29[[#This Row],[Shortname]], Comp[], 24, FALSE)</f>
        <v>0</v>
      </c>
      <c r="AT346">
        <f>VLOOKUP(Table29[[#This Row],[Shortname]], Comp[], 25, FALSE)</f>
        <v>0</v>
      </c>
      <c r="AU346">
        <f>VLOOKUP(Table29[[#This Row],[Shortname]], Comp[], 26, FALSE)</f>
        <v>0</v>
      </c>
      <c r="AV346">
        <f>VLOOKUP(Table29[[#This Row],[Shortname]], Comp[], 27, FALSE)</f>
        <v>0</v>
      </c>
      <c r="AW346">
        <f>VLOOKUP(Table29[[#This Row],[Shortname]], Comp[], 28, FALSE)</f>
        <v>0</v>
      </c>
      <c r="AX346">
        <f>VLOOKUP(Table29[[#This Row],[Shortname]], Comp[], 29, FALSE)</f>
        <v>0</v>
      </c>
      <c r="AY346">
        <f>VLOOKUP(Table29[[#This Row],[Shortname]], Comp[], 30, FALSE)</f>
        <v>0</v>
      </c>
      <c r="AZ346">
        <f>VLOOKUP(Table29[[#This Row],[Shortname]], Comp[], 31, FALSE)</f>
        <v>0</v>
      </c>
    </row>
    <row r="347" spans="1:52" x14ac:dyDescent="0.3">
      <c r="A347" t="s">
        <v>4933</v>
      </c>
      <c r="B347">
        <v>288</v>
      </c>
      <c r="C347">
        <v>753</v>
      </c>
      <c r="D347" t="s">
        <v>11</v>
      </c>
      <c r="E347" t="s">
        <v>160</v>
      </c>
      <c r="F347" t="s">
        <v>4935</v>
      </c>
      <c r="G347" t="s">
        <v>4936</v>
      </c>
      <c r="H347">
        <v>394</v>
      </c>
      <c r="I347">
        <v>1.37E-8</v>
      </c>
      <c r="J347">
        <f>0.01/Table29[[#This Row],[Strain Rate (min) /s]]</f>
        <v>729927.00729927013</v>
      </c>
      <c r="K347">
        <f>LOG(Table29[[#This Row],[Time to 1% strain (s)]])</f>
        <v>5.8632794328435933</v>
      </c>
      <c r="L347">
        <v>800</v>
      </c>
      <c r="M347">
        <v>12.1</v>
      </c>
      <c r="N347">
        <v>605</v>
      </c>
      <c r="P347" t="s">
        <v>7151</v>
      </c>
      <c r="Q347">
        <v>1250</v>
      </c>
      <c r="R347">
        <v>20</v>
      </c>
      <c r="S347">
        <v>950</v>
      </c>
      <c r="T347">
        <v>16</v>
      </c>
      <c r="W347">
        <v>1</v>
      </c>
      <c r="X347">
        <v>10</v>
      </c>
      <c r="Y347">
        <v>52</v>
      </c>
      <c r="Z347" t="s">
        <v>7152</v>
      </c>
      <c r="AA347">
        <f>VLOOKUP(Table29[[#This Row],[Shortname]], Comp[], 6, FALSE)</f>
        <v>753</v>
      </c>
      <c r="AB347" s="14">
        <f>VLOOKUP(Table29[[#This Row],[Shortname]], Comp[], 7, FALSE)</f>
        <v>81.88</v>
      </c>
      <c r="AC347">
        <f>VLOOKUP(Table29[[#This Row],[Shortname]], Comp[], 8, FALSE)</f>
        <v>0</v>
      </c>
      <c r="AD347">
        <f>VLOOKUP(Table29[[#This Row],[Shortname]], Comp[], 9, FALSE)</f>
        <v>5.6</v>
      </c>
      <c r="AE347">
        <f>VLOOKUP(Table29[[#This Row],[Shortname]], Comp[], 10, FALSE)</f>
        <v>0</v>
      </c>
      <c r="AF347">
        <f>VLOOKUP(Table29[[#This Row],[Shortname]], Comp[], 11, FALSE)</f>
        <v>5.8</v>
      </c>
      <c r="AG347">
        <f>VLOOKUP(Table29[[#This Row],[Shortname]], Comp[],12, FALSE)</f>
        <v>6.6</v>
      </c>
      <c r="AH347">
        <f>VLOOKUP(Table29[[#This Row],[Shortname]], Comp[], 13, FALSE)</f>
        <v>0</v>
      </c>
      <c r="AI347">
        <f>VLOOKUP(Table29[[#This Row],[Shortname]], Comp[], 14, FALSE)</f>
        <v>0</v>
      </c>
      <c r="AJ347">
        <f>VLOOKUP(Table29[[#This Row],[Shortname]], Comp[], 15, FALSE)</f>
        <v>0</v>
      </c>
      <c r="AK347">
        <f>VLOOKUP(Table29[[#This Row],[Shortname]], Comp[], 16, FALSE)</f>
        <v>0</v>
      </c>
      <c r="AL347">
        <f>VLOOKUP(Table29[[#This Row],[Shortname]], Comp[], 17, FALSE)</f>
        <v>0</v>
      </c>
      <c r="AM347">
        <f>VLOOKUP(Table29[[#This Row],[Shortname]], Comp[], 18, FALSE)</f>
        <v>0</v>
      </c>
      <c r="AN347">
        <f>VLOOKUP(Table29[[#This Row],[Shortname]], Comp[], 19, FALSE)</f>
        <v>0.12</v>
      </c>
      <c r="AO347">
        <f>VLOOKUP(Table29[[#This Row],[Shortname]], Comp[], 20, FALSE)</f>
        <v>0</v>
      </c>
      <c r="AP347">
        <f>VLOOKUP(Table29[[#This Row],[Shortname]], Comp[], 21, FALSE)</f>
        <v>0</v>
      </c>
      <c r="AQ347">
        <f>VLOOKUP(Table29[[#This Row],[Shortname]], Comp[], 22, FALSE)</f>
        <v>0</v>
      </c>
      <c r="AR347">
        <f>VLOOKUP(Table29[[#This Row],[Shortname]], Comp[], 23, FALSE)</f>
        <v>0</v>
      </c>
      <c r="AS347">
        <f>VLOOKUP(Table29[[#This Row],[Shortname]], Comp[], 24, FALSE)</f>
        <v>0</v>
      </c>
      <c r="AT347">
        <f>VLOOKUP(Table29[[#This Row],[Shortname]], Comp[], 25, FALSE)</f>
        <v>0</v>
      </c>
      <c r="AU347">
        <f>VLOOKUP(Table29[[#This Row],[Shortname]], Comp[], 26, FALSE)</f>
        <v>0</v>
      </c>
      <c r="AV347">
        <f>VLOOKUP(Table29[[#This Row],[Shortname]], Comp[], 27, FALSE)</f>
        <v>0</v>
      </c>
      <c r="AW347">
        <f>VLOOKUP(Table29[[#This Row],[Shortname]], Comp[], 28, FALSE)</f>
        <v>0</v>
      </c>
      <c r="AX347">
        <f>VLOOKUP(Table29[[#This Row],[Shortname]], Comp[], 29, FALSE)</f>
        <v>0</v>
      </c>
      <c r="AY347">
        <f>VLOOKUP(Table29[[#This Row],[Shortname]], Comp[], 30, FALSE)</f>
        <v>0</v>
      </c>
      <c r="AZ347">
        <f>VLOOKUP(Table29[[#This Row],[Shortname]], Comp[], 31, FALSE)</f>
        <v>0</v>
      </c>
    </row>
    <row r="348" spans="1:52" x14ac:dyDescent="0.3">
      <c r="A348" t="s">
        <v>4933</v>
      </c>
      <c r="B348">
        <v>289</v>
      </c>
      <c r="C348">
        <v>753</v>
      </c>
      <c r="D348" t="s">
        <v>11</v>
      </c>
      <c r="E348" t="s">
        <v>160</v>
      </c>
      <c r="F348" t="s">
        <v>4935</v>
      </c>
      <c r="G348" t="s">
        <v>4936</v>
      </c>
      <c r="H348">
        <v>409</v>
      </c>
      <c r="I348">
        <v>2.2399999999999999E-8</v>
      </c>
      <c r="J348">
        <f>0.01/Table29[[#This Row],[Strain Rate (min) /s]]</f>
        <v>446428.57142857148</v>
      </c>
      <c r="K348">
        <f>LOG(Table29[[#This Row],[Time to 1% strain (s)]])</f>
        <v>5.6497519816658368</v>
      </c>
      <c r="L348">
        <v>800</v>
      </c>
      <c r="M348">
        <v>12.1</v>
      </c>
      <c r="N348">
        <v>605</v>
      </c>
      <c r="P348" t="s">
        <v>7151</v>
      </c>
      <c r="Q348">
        <v>1250</v>
      </c>
      <c r="R348">
        <v>20</v>
      </c>
      <c r="S348">
        <v>950</v>
      </c>
      <c r="T348">
        <v>16</v>
      </c>
      <c r="W348">
        <v>1</v>
      </c>
      <c r="X348">
        <v>10</v>
      </c>
      <c r="Y348">
        <v>52</v>
      </c>
      <c r="Z348" t="s">
        <v>7152</v>
      </c>
      <c r="AA348">
        <f>VLOOKUP(Table29[[#This Row],[Shortname]], Comp[], 6, FALSE)</f>
        <v>753</v>
      </c>
      <c r="AB348" s="14">
        <f>VLOOKUP(Table29[[#This Row],[Shortname]], Comp[], 7, FALSE)</f>
        <v>81.88</v>
      </c>
      <c r="AC348">
        <f>VLOOKUP(Table29[[#This Row],[Shortname]], Comp[], 8, FALSE)</f>
        <v>0</v>
      </c>
      <c r="AD348">
        <f>VLOOKUP(Table29[[#This Row],[Shortname]], Comp[], 9, FALSE)</f>
        <v>5.6</v>
      </c>
      <c r="AE348">
        <f>VLOOKUP(Table29[[#This Row],[Shortname]], Comp[], 10, FALSE)</f>
        <v>0</v>
      </c>
      <c r="AF348">
        <f>VLOOKUP(Table29[[#This Row],[Shortname]], Comp[], 11, FALSE)</f>
        <v>5.8</v>
      </c>
      <c r="AG348">
        <f>VLOOKUP(Table29[[#This Row],[Shortname]], Comp[],12, FALSE)</f>
        <v>6.6</v>
      </c>
      <c r="AH348">
        <f>VLOOKUP(Table29[[#This Row],[Shortname]], Comp[], 13, FALSE)</f>
        <v>0</v>
      </c>
      <c r="AI348">
        <f>VLOOKUP(Table29[[#This Row],[Shortname]], Comp[], 14, FALSE)</f>
        <v>0</v>
      </c>
      <c r="AJ348">
        <f>VLOOKUP(Table29[[#This Row],[Shortname]], Comp[], 15, FALSE)</f>
        <v>0</v>
      </c>
      <c r="AK348">
        <f>VLOOKUP(Table29[[#This Row],[Shortname]], Comp[], 16, FALSE)</f>
        <v>0</v>
      </c>
      <c r="AL348">
        <f>VLOOKUP(Table29[[#This Row],[Shortname]], Comp[], 17, FALSE)</f>
        <v>0</v>
      </c>
      <c r="AM348">
        <f>VLOOKUP(Table29[[#This Row],[Shortname]], Comp[], 18, FALSE)</f>
        <v>0</v>
      </c>
      <c r="AN348">
        <f>VLOOKUP(Table29[[#This Row],[Shortname]], Comp[], 19, FALSE)</f>
        <v>0.12</v>
      </c>
      <c r="AO348">
        <f>VLOOKUP(Table29[[#This Row],[Shortname]], Comp[], 20, FALSE)</f>
        <v>0</v>
      </c>
      <c r="AP348">
        <f>VLOOKUP(Table29[[#This Row],[Shortname]], Comp[], 21, FALSE)</f>
        <v>0</v>
      </c>
      <c r="AQ348">
        <f>VLOOKUP(Table29[[#This Row],[Shortname]], Comp[], 22, FALSE)</f>
        <v>0</v>
      </c>
      <c r="AR348">
        <f>VLOOKUP(Table29[[#This Row],[Shortname]], Comp[], 23, FALSE)</f>
        <v>0</v>
      </c>
      <c r="AS348">
        <f>VLOOKUP(Table29[[#This Row],[Shortname]], Comp[], 24, FALSE)</f>
        <v>0</v>
      </c>
      <c r="AT348">
        <f>VLOOKUP(Table29[[#This Row],[Shortname]], Comp[], 25, FALSE)</f>
        <v>0</v>
      </c>
      <c r="AU348">
        <f>VLOOKUP(Table29[[#This Row],[Shortname]], Comp[], 26, FALSE)</f>
        <v>0</v>
      </c>
      <c r="AV348">
        <f>VLOOKUP(Table29[[#This Row],[Shortname]], Comp[], 27, FALSE)</f>
        <v>0</v>
      </c>
      <c r="AW348">
        <f>VLOOKUP(Table29[[#This Row],[Shortname]], Comp[], 28, FALSE)</f>
        <v>0</v>
      </c>
      <c r="AX348">
        <f>VLOOKUP(Table29[[#This Row],[Shortname]], Comp[], 29, FALSE)</f>
        <v>0</v>
      </c>
      <c r="AY348">
        <f>VLOOKUP(Table29[[#This Row],[Shortname]], Comp[], 30, FALSE)</f>
        <v>0</v>
      </c>
      <c r="AZ348">
        <f>VLOOKUP(Table29[[#This Row],[Shortname]], Comp[], 31, FALSE)</f>
        <v>0</v>
      </c>
    </row>
    <row r="349" spans="1:52" x14ac:dyDescent="0.3">
      <c r="A349" t="s">
        <v>4933</v>
      </c>
      <c r="B349">
        <v>290</v>
      </c>
      <c r="C349">
        <v>753</v>
      </c>
      <c r="D349" t="s">
        <v>11</v>
      </c>
      <c r="E349" t="s">
        <v>160</v>
      </c>
      <c r="F349" t="s">
        <v>4935</v>
      </c>
      <c r="G349" t="s">
        <v>4936</v>
      </c>
      <c r="H349">
        <v>442</v>
      </c>
      <c r="I349">
        <v>6.6800000000000003E-8</v>
      </c>
      <c r="J349">
        <f>0.01/Table29[[#This Row],[Strain Rate (min) /s]]</f>
        <v>149700.59880239519</v>
      </c>
      <c r="K349">
        <f>LOG(Table29[[#This Row],[Time to 1% strain (s)]])</f>
        <v>5.1752235375244542</v>
      </c>
      <c r="L349">
        <v>800</v>
      </c>
      <c r="M349">
        <v>12.1</v>
      </c>
      <c r="N349">
        <v>605</v>
      </c>
      <c r="P349" t="s">
        <v>7151</v>
      </c>
      <c r="Q349">
        <v>1250</v>
      </c>
      <c r="R349">
        <v>20</v>
      </c>
      <c r="S349">
        <v>950</v>
      </c>
      <c r="T349">
        <v>16</v>
      </c>
      <c r="W349">
        <v>1</v>
      </c>
      <c r="X349">
        <v>10</v>
      </c>
      <c r="Y349">
        <v>52</v>
      </c>
      <c r="Z349" t="s">
        <v>7152</v>
      </c>
      <c r="AA349">
        <f>VLOOKUP(Table29[[#This Row],[Shortname]], Comp[], 6, FALSE)</f>
        <v>753</v>
      </c>
      <c r="AB349" s="14">
        <f>VLOOKUP(Table29[[#This Row],[Shortname]], Comp[], 7, FALSE)</f>
        <v>81.88</v>
      </c>
      <c r="AC349">
        <f>VLOOKUP(Table29[[#This Row],[Shortname]], Comp[], 8, FALSE)</f>
        <v>0</v>
      </c>
      <c r="AD349">
        <f>VLOOKUP(Table29[[#This Row],[Shortname]], Comp[], 9, FALSE)</f>
        <v>5.6</v>
      </c>
      <c r="AE349">
        <f>VLOOKUP(Table29[[#This Row],[Shortname]], Comp[], 10, FALSE)</f>
        <v>0</v>
      </c>
      <c r="AF349">
        <f>VLOOKUP(Table29[[#This Row],[Shortname]], Comp[], 11, FALSE)</f>
        <v>5.8</v>
      </c>
      <c r="AG349">
        <f>VLOOKUP(Table29[[#This Row],[Shortname]], Comp[],12, FALSE)</f>
        <v>6.6</v>
      </c>
      <c r="AH349">
        <f>VLOOKUP(Table29[[#This Row],[Shortname]], Comp[], 13, FALSE)</f>
        <v>0</v>
      </c>
      <c r="AI349">
        <f>VLOOKUP(Table29[[#This Row],[Shortname]], Comp[], 14, FALSE)</f>
        <v>0</v>
      </c>
      <c r="AJ349">
        <f>VLOOKUP(Table29[[#This Row],[Shortname]], Comp[], 15, FALSE)</f>
        <v>0</v>
      </c>
      <c r="AK349">
        <f>VLOOKUP(Table29[[#This Row],[Shortname]], Comp[], 16, FALSE)</f>
        <v>0</v>
      </c>
      <c r="AL349">
        <f>VLOOKUP(Table29[[#This Row],[Shortname]], Comp[], 17, FALSE)</f>
        <v>0</v>
      </c>
      <c r="AM349">
        <f>VLOOKUP(Table29[[#This Row],[Shortname]], Comp[], 18, FALSE)</f>
        <v>0</v>
      </c>
      <c r="AN349">
        <f>VLOOKUP(Table29[[#This Row],[Shortname]], Comp[], 19, FALSE)</f>
        <v>0.12</v>
      </c>
      <c r="AO349">
        <f>VLOOKUP(Table29[[#This Row],[Shortname]], Comp[], 20, FALSE)</f>
        <v>0</v>
      </c>
      <c r="AP349">
        <f>VLOOKUP(Table29[[#This Row],[Shortname]], Comp[], 21, FALSE)</f>
        <v>0</v>
      </c>
      <c r="AQ349">
        <f>VLOOKUP(Table29[[#This Row],[Shortname]], Comp[], 22, FALSE)</f>
        <v>0</v>
      </c>
      <c r="AR349">
        <f>VLOOKUP(Table29[[#This Row],[Shortname]], Comp[], 23, FALSE)</f>
        <v>0</v>
      </c>
      <c r="AS349">
        <f>VLOOKUP(Table29[[#This Row],[Shortname]], Comp[], 24, FALSE)</f>
        <v>0</v>
      </c>
      <c r="AT349">
        <f>VLOOKUP(Table29[[#This Row],[Shortname]], Comp[], 25, FALSE)</f>
        <v>0</v>
      </c>
      <c r="AU349">
        <f>VLOOKUP(Table29[[#This Row],[Shortname]], Comp[], 26, FALSE)</f>
        <v>0</v>
      </c>
      <c r="AV349">
        <f>VLOOKUP(Table29[[#This Row],[Shortname]], Comp[], 27, FALSE)</f>
        <v>0</v>
      </c>
      <c r="AW349">
        <f>VLOOKUP(Table29[[#This Row],[Shortname]], Comp[], 28, FALSE)</f>
        <v>0</v>
      </c>
      <c r="AX349">
        <f>VLOOKUP(Table29[[#This Row],[Shortname]], Comp[], 29, FALSE)</f>
        <v>0</v>
      </c>
      <c r="AY349">
        <f>VLOOKUP(Table29[[#This Row],[Shortname]], Comp[], 30, FALSE)</f>
        <v>0</v>
      </c>
      <c r="AZ349">
        <f>VLOOKUP(Table29[[#This Row],[Shortname]], Comp[], 31, FALSE)</f>
        <v>0</v>
      </c>
    </row>
    <row r="350" spans="1:52" x14ac:dyDescent="0.3">
      <c r="A350" t="s">
        <v>4933</v>
      </c>
      <c r="B350">
        <v>291</v>
      </c>
      <c r="C350">
        <v>753</v>
      </c>
      <c r="D350" t="s">
        <v>11</v>
      </c>
      <c r="E350" t="s">
        <v>160</v>
      </c>
      <c r="F350" t="s">
        <v>4935</v>
      </c>
      <c r="G350" t="s">
        <v>4936</v>
      </c>
      <c r="H350">
        <v>476</v>
      </c>
      <c r="I350">
        <v>9.4399999999999998E-8</v>
      </c>
      <c r="J350">
        <f>0.01/Table29[[#This Row],[Strain Rate (min) /s]]</f>
        <v>105932.20338983051</v>
      </c>
      <c r="K350">
        <f>LOG(Table29[[#This Row],[Time to 1% strain (s)]])</f>
        <v>5.0250280057019312</v>
      </c>
      <c r="L350">
        <v>800</v>
      </c>
      <c r="M350">
        <v>12.1</v>
      </c>
      <c r="N350">
        <v>605</v>
      </c>
      <c r="P350" t="s">
        <v>7151</v>
      </c>
      <c r="Q350">
        <v>1250</v>
      </c>
      <c r="R350">
        <v>20</v>
      </c>
      <c r="S350">
        <v>950</v>
      </c>
      <c r="T350">
        <v>16</v>
      </c>
      <c r="W350">
        <v>1</v>
      </c>
      <c r="X350">
        <v>10</v>
      </c>
      <c r="Y350">
        <v>52</v>
      </c>
      <c r="Z350" t="s">
        <v>7152</v>
      </c>
      <c r="AA350">
        <f>VLOOKUP(Table29[[#This Row],[Shortname]], Comp[], 6, FALSE)</f>
        <v>753</v>
      </c>
      <c r="AB350" s="14">
        <f>VLOOKUP(Table29[[#This Row],[Shortname]], Comp[], 7, FALSE)</f>
        <v>81.88</v>
      </c>
      <c r="AC350">
        <f>VLOOKUP(Table29[[#This Row],[Shortname]], Comp[], 8, FALSE)</f>
        <v>0</v>
      </c>
      <c r="AD350">
        <f>VLOOKUP(Table29[[#This Row],[Shortname]], Comp[], 9, FALSE)</f>
        <v>5.6</v>
      </c>
      <c r="AE350">
        <f>VLOOKUP(Table29[[#This Row],[Shortname]], Comp[], 10, FALSE)</f>
        <v>0</v>
      </c>
      <c r="AF350">
        <f>VLOOKUP(Table29[[#This Row],[Shortname]], Comp[], 11, FALSE)</f>
        <v>5.8</v>
      </c>
      <c r="AG350">
        <f>VLOOKUP(Table29[[#This Row],[Shortname]], Comp[],12, FALSE)</f>
        <v>6.6</v>
      </c>
      <c r="AH350">
        <f>VLOOKUP(Table29[[#This Row],[Shortname]], Comp[], 13, FALSE)</f>
        <v>0</v>
      </c>
      <c r="AI350">
        <f>VLOOKUP(Table29[[#This Row],[Shortname]], Comp[], 14, FALSE)</f>
        <v>0</v>
      </c>
      <c r="AJ350">
        <f>VLOOKUP(Table29[[#This Row],[Shortname]], Comp[], 15, FALSE)</f>
        <v>0</v>
      </c>
      <c r="AK350">
        <f>VLOOKUP(Table29[[#This Row],[Shortname]], Comp[], 16, FALSE)</f>
        <v>0</v>
      </c>
      <c r="AL350">
        <f>VLOOKUP(Table29[[#This Row],[Shortname]], Comp[], 17, FALSE)</f>
        <v>0</v>
      </c>
      <c r="AM350">
        <f>VLOOKUP(Table29[[#This Row],[Shortname]], Comp[], 18, FALSE)</f>
        <v>0</v>
      </c>
      <c r="AN350">
        <f>VLOOKUP(Table29[[#This Row],[Shortname]], Comp[], 19, FALSE)</f>
        <v>0.12</v>
      </c>
      <c r="AO350">
        <f>VLOOKUP(Table29[[#This Row],[Shortname]], Comp[], 20, FALSE)</f>
        <v>0</v>
      </c>
      <c r="AP350">
        <f>VLOOKUP(Table29[[#This Row],[Shortname]], Comp[], 21, FALSE)</f>
        <v>0</v>
      </c>
      <c r="AQ350">
        <f>VLOOKUP(Table29[[#This Row],[Shortname]], Comp[], 22, FALSE)</f>
        <v>0</v>
      </c>
      <c r="AR350">
        <f>VLOOKUP(Table29[[#This Row],[Shortname]], Comp[], 23, FALSE)</f>
        <v>0</v>
      </c>
      <c r="AS350">
        <f>VLOOKUP(Table29[[#This Row],[Shortname]], Comp[], 24, FALSE)</f>
        <v>0</v>
      </c>
      <c r="AT350">
        <f>VLOOKUP(Table29[[#This Row],[Shortname]], Comp[], 25, FALSE)</f>
        <v>0</v>
      </c>
      <c r="AU350">
        <f>VLOOKUP(Table29[[#This Row],[Shortname]], Comp[], 26, FALSE)</f>
        <v>0</v>
      </c>
      <c r="AV350">
        <f>VLOOKUP(Table29[[#This Row],[Shortname]], Comp[], 27, FALSE)</f>
        <v>0</v>
      </c>
      <c r="AW350">
        <f>VLOOKUP(Table29[[#This Row],[Shortname]], Comp[], 28, FALSE)</f>
        <v>0</v>
      </c>
      <c r="AX350">
        <f>VLOOKUP(Table29[[#This Row],[Shortname]], Comp[], 29, FALSE)</f>
        <v>0</v>
      </c>
      <c r="AY350">
        <f>VLOOKUP(Table29[[#This Row],[Shortname]], Comp[], 30, FALSE)</f>
        <v>0</v>
      </c>
      <c r="AZ350">
        <f>VLOOKUP(Table29[[#This Row],[Shortname]], Comp[], 31, FALSE)</f>
        <v>0</v>
      </c>
    </row>
    <row r="351" spans="1:52" x14ac:dyDescent="0.3">
      <c r="A351" t="s">
        <v>4933</v>
      </c>
      <c r="B351">
        <v>292</v>
      </c>
      <c r="C351">
        <v>753</v>
      </c>
      <c r="D351" t="s">
        <v>11</v>
      </c>
      <c r="E351" t="s">
        <v>160</v>
      </c>
      <c r="F351" t="s">
        <v>4935</v>
      </c>
      <c r="G351" t="s">
        <v>4936</v>
      </c>
      <c r="H351">
        <v>510</v>
      </c>
      <c r="I351">
        <v>3.1600000000000002E-7</v>
      </c>
      <c r="J351">
        <f>0.01/Table29[[#This Row],[Strain Rate (min) /s]]</f>
        <v>31645.569620253162</v>
      </c>
      <c r="K351">
        <f>LOG(Table29[[#This Row],[Time to 1% strain (s)]])</f>
        <v>4.5003129173815966</v>
      </c>
      <c r="L351">
        <v>800</v>
      </c>
      <c r="M351">
        <v>12.1</v>
      </c>
      <c r="N351">
        <v>605</v>
      </c>
      <c r="P351" t="s">
        <v>7151</v>
      </c>
      <c r="Q351">
        <v>1250</v>
      </c>
      <c r="R351">
        <v>20</v>
      </c>
      <c r="S351">
        <v>950</v>
      </c>
      <c r="T351">
        <v>16</v>
      </c>
      <c r="W351">
        <v>1</v>
      </c>
      <c r="X351">
        <v>10</v>
      </c>
      <c r="Y351">
        <v>52</v>
      </c>
      <c r="Z351" t="s">
        <v>7152</v>
      </c>
      <c r="AA351">
        <f>VLOOKUP(Table29[[#This Row],[Shortname]], Comp[], 6, FALSE)</f>
        <v>753</v>
      </c>
      <c r="AB351" s="14">
        <f>VLOOKUP(Table29[[#This Row],[Shortname]], Comp[], 7, FALSE)</f>
        <v>81.88</v>
      </c>
      <c r="AC351">
        <f>VLOOKUP(Table29[[#This Row],[Shortname]], Comp[], 8, FALSE)</f>
        <v>0</v>
      </c>
      <c r="AD351">
        <f>VLOOKUP(Table29[[#This Row],[Shortname]], Comp[], 9, FALSE)</f>
        <v>5.6</v>
      </c>
      <c r="AE351">
        <f>VLOOKUP(Table29[[#This Row],[Shortname]], Comp[], 10, FALSE)</f>
        <v>0</v>
      </c>
      <c r="AF351">
        <f>VLOOKUP(Table29[[#This Row],[Shortname]], Comp[], 11, FALSE)</f>
        <v>5.8</v>
      </c>
      <c r="AG351">
        <f>VLOOKUP(Table29[[#This Row],[Shortname]], Comp[],12, FALSE)</f>
        <v>6.6</v>
      </c>
      <c r="AH351">
        <f>VLOOKUP(Table29[[#This Row],[Shortname]], Comp[], 13, FALSE)</f>
        <v>0</v>
      </c>
      <c r="AI351">
        <f>VLOOKUP(Table29[[#This Row],[Shortname]], Comp[], 14, FALSE)</f>
        <v>0</v>
      </c>
      <c r="AJ351">
        <f>VLOOKUP(Table29[[#This Row],[Shortname]], Comp[], 15, FALSE)</f>
        <v>0</v>
      </c>
      <c r="AK351">
        <f>VLOOKUP(Table29[[#This Row],[Shortname]], Comp[], 16, FALSE)</f>
        <v>0</v>
      </c>
      <c r="AL351">
        <f>VLOOKUP(Table29[[#This Row],[Shortname]], Comp[], 17, FALSE)</f>
        <v>0</v>
      </c>
      <c r="AM351">
        <f>VLOOKUP(Table29[[#This Row],[Shortname]], Comp[], 18, FALSE)</f>
        <v>0</v>
      </c>
      <c r="AN351">
        <f>VLOOKUP(Table29[[#This Row],[Shortname]], Comp[], 19, FALSE)</f>
        <v>0.12</v>
      </c>
      <c r="AO351">
        <f>VLOOKUP(Table29[[#This Row],[Shortname]], Comp[], 20, FALSE)</f>
        <v>0</v>
      </c>
      <c r="AP351">
        <f>VLOOKUP(Table29[[#This Row],[Shortname]], Comp[], 21, FALSE)</f>
        <v>0</v>
      </c>
      <c r="AQ351">
        <f>VLOOKUP(Table29[[#This Row],[Shortname]], Comp[], 22, FALSE)</f>
        <v>0</v>
      </c>
      <c r="AR351">
        <f>VLOOKUP(Table29[[#This Row],[Shortname]], Comp[], 23, FALSE)</f>
        <v>0</v>
      </c>
      <c r="AS351">
        <f>VLOOKUP(Table29[[#This Row],[Shortname]], Comp[], 24, FALSE)</f>
        <v>0</v>
      </c>
      <c r="AT351">
        <f>VLOOKUP(Table29[[#This Row],[Shortname]], Comp[], 25, FALSE)</f>
        <v>0</v>
      </c>
      <c r="AU351">
        <f>VLOOKUP(Table29[[#This Row],[Shortname]], Comp[], 26, FALSE)</f>
        <v>0</v>
      </c>
      <c r="AV351">
        <f>VLOOKUP(Table29[[#This Row],[Shortname]], Comp[], 27, FALSE)</f>
        <v>0</v>
      </c>
      <c r="AW351">
        <f>VLOOKUP(Table29[[#This Row],[Shortname]], Comp[], 28, FALSE)</f>
        <v>0</v>
      </c>
      <c r="AX351">
        <f>VLOOKUP(Table29[[#This Row],[Shortname]], Comp[], 29, FALSE)</f>
        <v>0</v>
      </c>
      <c r="AY351">
        <f>VLOOKUP(Table29[[#This Row],[Shortname]], Comp[], 30, FALSE)</f>
        <v>0</v>
      </c>
      <c r="AZ351">
        <f>VLOOKUP(Table29[[#This Row],[Shortname]], Comp[], 31, FALSE)</f>
        <v>0</v>
      </c>
    </row>
    <row r="352" spans="1:52" x14ac:dyDescent="0.3">
      <c r="A352" t="s">
        <v>5029</v>
      </c>
      <c r="B352">
        <v>342</v>
      </c>
      <c r="C352">
        <v>774</v>
      </c>
      <c r="D352" t="s">
        <v>5030</v>
      </c>
      <c r="E352" t="s">
        <v>514</v>
      </c>
      <c r="F352" t="s">
        <v>5031</v>
      </c>
      <c r="G352" t="s">
        <v>5027</v>
      </c>
      <c r="H352">
        <v>438</v>
      </c>
      <c r="I352">
        <v>9.9467999999999994E-6</v>
      </c>
      <c r="J352">
        <f>0.01/Table29[[#This Row],[Strain Rate (min) /s]]</f>
        <v>1005.3484537740782</v>
      </c>
      <c r="K352">
        <f>LOG(Table29[[#This Row],[Time to 1% strain (s)]])</f>
        <v>3.0023166143162014</v>
      </c>
      <c r="L352">
        <v>850</v>
      </c>
      <c r="P352" t="s">
        <v>7153</v>
      </c>
      <c r="Q352">
        <v>1150</v>
      </c>
      <c r="R352">
        <v>100</v>
      </c>
      <c r="S352">
        <v>900</v>
      </c>
      <c r="T352">
        <v>100</v>
      </c>
      <c r="W352">
        <v>1</v>
      </c>
      <c r="X352">
        <v>10</v>
      </c>
      <c r="Y352">
        <v>60</v>
      </c>
      <c r="AA352">
        <f>VLOOKUP(Table29[[#This Row],[Shortname]], Comp[], 6, FALSE)</f>
        <v>774</v>
      </c>
      <c r="AB352" s="14">
        <f>VLOOKUP(Table29[[#This Row],[Shortname]], Comp[], 7, FALSE)</f>
        <v>73</v>
      </c>
      <c r="AC352">
        <f>VLOOKUP(Table29[[#This Row],[Shortname]], Comp[], 8, FALSE)</f>
        <v>0</v>
      </c>
      <c r="AD352">
        <f>VLOOKUP(Table29[[#This Row],[Shortname]], Comp[], 9, FALSE)</f>
        <v>1</v>
      </c>
      <c r="AE352">
        <f>VLOOKUP(Table29[[#This Row],[Shortname]], Comp[], 10, FALSE)</f>
        <v>15</v>
      </c>
      <c r="AF352">
        <f>VLOOKUP(Table29[[#This Row],[Shortname]], Comp[], 11, FALSE)</f>
        <v>0</v>
      </c>
      <c r="AG352">
        <f>VLOOKUP(Table29[[#This Row],[Shortname]], Comp[],12, FALSE)</f>
        <v>11</v>
      </c>
      <c r="AH352">
        <f>VLOOKUP(Table29[[#This Row],[Shortname]], Comp[], 13, FALSE)</f>
        <v>0</v>
      </c>
      <c r="AI352">
        <f>VLOOKUP(Table29[[#This Row],[Shortname]], Comp[], 14, FALSE)</f>
        <v>0</v>
      </c>
      <c r="AJ352">
        <f>VLOOKUP(Table29[[#This Row],[Shortname]], Comp[], 15, FALSE)</f>
        <v>0</v>
      </c>
      <c r="AK352">
        <f>VLOOKUP(Table29[[#This Row],[Shortname]], Comp[], 16, FALSE)</f>
        <v>0</v>
      </c>
      <c r="AL352">
        <f>VLOOKUP(Table29[[#This Row],[Shortname]], Comp[], 17, FALSE)</f>
        <v>0</v>
      </c>
      <c r="AM352">
        <f>VLOOKUP(Table29[[#This Row],[Shortname]], Comp[], 18, FALSE)</f>
        <v>0</v>
      </c>
      <c r="AN352">
        <f>VLOOKUP(Table29[[#This Row],[Shortname]], Comp[], 19, FALSE)</f>
        <v>0</v>
      </c>
      <c r="AO352">
        <f>VLOOKUP(Table29[[#This Row],[Shortname]], Comp[], 20, FALSE)</f>
        <v>0</v>
      </c>
      <c r="AP352">
        <f>VLOOKUP(Table29[[#This Row],[Shortname]], Comp[], 21, FALSE)</f>
        <v>0</v>
      </c>
      <c r="AQ352">
        <f>VLOOKUP(Table29[[#This Row],[Shortname]], Comp[], 22, FALSE)</f>
        <v>0</v>
      </c>
      <c r="AR352">
        <f>VLOOKUP(Table29[[#This Row],[Shortname]], Comp[], 23, FALSE)</f>
        <v>0</v>
      </c>
      <c r="AS352">
        <f>VLOOKUP(Table29[[#This Row],[Shortname]], Comp[], 24, FALSE)</f>
        <v>0</v>
      </c>
      <c r="AT352">
        <f>VLOOKUP(Table29[[#This Row],[Shortname]], Comp[], 25, FALSE)</f>
        <v>0</v>
      </c>
      <c r="AU352">
        <f>VLOOKUP(Table29[[#This Row],[Shortname]], Comp[], 26, FALSE)</f>
        <v>0</v>
      </c>
      <c r="AV352">
        <f>VLOOKUP(Table29[[#This Row],[Shortname]], Comp[], 27, FALSE)</f>
        <v>0</v>
      </c>
      <c r="AW352">
        <f>VLOOKUP(Table29[[#This Row],[Shortname]], Comp[], 28, FALSE)</f>
        <v>0</v>
      </c>
      <c r="AX352">
        <f>VLOOKUP(Table29[[#This Row],[Shortname]], Comp[], 29, FALSE)</f>
        <v>0</v>
      </c>
      <c r="AY352">
        <f>VLOOKUP(Table29[[#This Row],[Shortname]], Comp[], 30, FALSE)</f>
        <v>0</v>
      </c>
      <c r="AZ352">
        <f>VLOOKUP(Table29[[#This Row],[Shortname]], Comp[], 31, FALSE)</f>
        <v>0</v>
      </c>
    </row>
    <row r="353" spans="1:52" x14ac:dyDescent="0.3">
      <c r="A353" t="s">
        <v>5029</v>
      </c>
      <c r="B353">
        <v>343</v>
      </c>
      <c r="C353">
        <v>774</v>
      </c>
      <c r="D353" t="s">
        <v>11</v>
      </c>
      <c r="E353" t="s">
        <v>514</v>
      </c>
      <c r="F353" t="s">
        <v>5031</v>
      </c>
      <c r="G353" t="s">
        <v>5027</v>
      </c>
      <c r="H353">
        <v>640</v>
      </c>
      <c r="I353">
        <v>1E-3</v>
      </c>
      <c r="J353">
        <f>0.01/Table29[[#This Row],[Strain Rate (min) /s]]</f>
        <v>10</v>
      </c>
      <c r="K353">
        <f>LOG(Table29[[#This Row],[Time to 1% strain (s)]])</f>
        <v>1</v>
      </c>
      <c r="L353">
        <v>850</v>
      </c>
      <c r="P353" t="s">
        <v>7153</v>
      </c>
      <c r="Q353">
        <v>1150</v>
      </c>
      <c r="R353">
        <v>100</v>
      </c>
      <c r="S353">
        <v>900</v>
      </c>
      <c r="T353">
        <v>100</v>
      </c>
      <c r="W353">
        <v>1</v>
      </c>
      <c r="X353">
        <v>10</v>
      </c>
      <c r="Y353">
        <v>60</v>
      </c>
      <c r="AA353">
        <f>VLOOKUP(Table29[[#This Row],[Shortname]], Comp[], 6, FALSE)</f>
        <v>774</v>
      </c>
      <c r="AB353" s="14">
        <f>VLOOKUP(Table29[[#This Row],[Shortname]], Comp[], 7, FALSE)</f>
        <v>73</v>
      </c>
      <c r="AC353">
        <f>VLOOKUP(Table29[[#This Row],[Shortname]], Comp[], 8, FALSE)</f>
        <v>0</v>
      </c>
      <c r="AD353">
        <f>VLOOKUP(Table29[[#This Row],[Shortname]], Comp[], 9, FALSE)</f>
        <v>1</v>
      </c>
      <c r="AE353">
        <f>VLOOKUP(Table29[[#This Row],[Shortname]], Comp[], 10, FALSE)</f>
        <v>15</v>
      </c>
      <c r="AF353">
        <f>VLOOKUP(Table29[[#This Row],[Shortname]], Comp[], 11, FALSE)</f>
        <v>0</v>
      </c>
      <c r="AG353">
        <f>VLOOKUP(Table29[[#This Row],[Shortname]], Comp[],12, FALSE)</f>
        <v>11</v>
      </c>
      <c r="AH353">
        <f>VLOOKUP(Table29[[#This Row],[Shortname]], Comp[], 13, FALSE)</f>
        <v>0</v>
      </c>
      <c r="AI353">
        <f>VLOOKUP(Table29[[#This Row],[Shortname]], Comp[], 14, FALSE)</f>
        <v>0</v>
      </c>
      <c r="AJ353">
        <f>VLOOKUP(Table29[[#This Row],[Shortname]], Comp[], 15, FALSE)</f>
        <v>0</v>
      </c>
      <c r="AK353">
        <f>VLOOKUP(Table29[[#This Row],[Shortname]], Comp[], 16, FALSE)</f>
        <v>0</v>
      </c>
      <c r="AL353">
        <f>VLOOKUP(Table29[[#This Row],[Shortname]], Comp[], 17, FALSE)</f>
        <v>0</v>
      </c>
      <c r="AM353">
        <f>VLOOKUP(Table29[[#This Row],[Shortname]], Comp[], 18, FALSE)</f>
        <v>0</v>
      </c>
      <c r="AN353">
        <f>VLOOKUP(Table29[[#This Row],[Shortname]], Comp[], 19, FALSE)</f>
        <v>0</v>
      </c>
      <c r="AO353">
        <f>VLOOKUP(Table29[[#This Row],[Shortname]], Comp[], 20, FALSE)</f>
        <v>0</v>
      </c>
      <c r="AP353">
        <f>VLOOKUP(Table29[[#This Row],[Shortname]], Comp[], 21, FALSE)</f>
        <v>0</v>
      </c>
      <c r="AQ353">
        <f>VLOOKUP(Table29[[#This Row],[Shortname]], Comp[], 22, FALSE)</f>
        <v>0</v>
      </c>
      <c r="AR353">
        <f>VLOOKUP(Table29[[#This Row],[Shortname]], Comp[], 23, FALSE)</f>
        <v>0</v>
      </c>
      <c r="AS353">
        <f>VLOOKUP(Table29[[#This Row],[Shortname]], Comp[], 24, FALSE)</f>
        <v>0</v>
      </c>
      <c r="AT353">
        <f>VLOOKUP(Table29[[#This Row],[Shortname]], Comp[], 25, FALSE)</f>
        <v>0</v>
      </c>
      <c r="AU353">
        <f>VLOOKUP(Table29[[#This Row],[Shortname]], Comp[], 26, FALSE)</f>
        <v>0</v>
      </c>
      <c r="AV353">
        <f>VLOOKUP(Table29[[#This Row],[Shortname]], Comp[], 27, FALSE)</f>
        <v>0</v>
      </c>
      <c r="AW353">
        <f>VLOOKUP(Table29[[#This Row],[Shortname]], Comp[], 28, FALSE)</f>
        <v>0</v>
      </c>
      <c r="AX353">
        <f>VLOOKUP(Table29[[#This Row],[Shortname]], Comp[], 29, FALSE)</f>
        <v>0</v>
      </c>
      <c r="AY353">
        <f>VLOOKUP(Table29[[#This Row],[Shortname]], Comp[], 30, FALSE)</f>
        <v>0</v>
      </c>
      <c r="AZ353">
        <f>VLOOKUP(Table29[[#This Row],[Shortname]], Comp[], 31, FALSE)</f>
        <v>0</v>
      </c>
    </row>
    <row r="354" spans="1:52" x14ac:dyDescent="0.3">
      <c r="A354" t="s">
        <v>5035</v>
      </c>
      <c r="B354">
        <v>344</v>
      </c>
      <c r="C354">
        <v>775</v>
      </c>
      <c r="D354" t="s">
        <v>5036</v>
      </c>
      <c r="E354" t="s">
        <v>514</v>
      </c>
      <c r="F354" t="s">
        <v>5037</v>
      </c>
      <c r="G354" t="s">
        <v>5027</v>
      </c>
      <c r="H354">
        <v>489</v>
      </c>
      <c r="I354">
        <v>1.0491E-5</v>
      </c>
      <c r="J354">
        <f>0.01/Table29[[#This Row],[Strain Rate (min) /s]]</f>
        <v>953.19797922028408</v>
      </c>
      <c r="K354">
        <f>LOG(Table29[[#This Row],[Time to 1% strain (s)]])</f>
        <v>2.9791831129710928</v>
      </c>
      <c r="L354">
        <v>850</v>
      </c>
      <c r="P354" t="s">
        <v>7154</v>
      </c>
      <c r="Q354">
        <v>1150</v>
      </c>
      <c r="R354">
        <v>100</v>
      </c>
      <c r="S354">
        <v>900</v>
      </c>
      <c r="T354">
        <v>100</v>
      </c>
      <c r="W354">
        <v>1</v>
      </c>
      <c r="X354">
        <v>10</v>
      </c>
      <c r="Y354">
        <v>60</v>
      </c>
      <c r="AA354">
        <f>VLOOKUP(Table29[[#This Row],[Shortname]], Comp[], 6, FALSE)</f>
        <v>775</v>
      </c>
      <c r="AB354" s="14">
        <f>VLOOKUP(Table29[[#This Row],[Shortname]], Comp[], 7, FALSE)</f>
        <v>73</v>
      </c>
      <c r="AC354">
        <f>VLOOKUP(Table29[[#This Row],[Shortname]], Comp[], 8, FALSE)</f>
        <v>0</v>
      </c>
      <c r="AD354">
        <f>VLOOKUP(Table29[[#This Row],[Shortname]], Comp[], 9, FALSE)</f>
        <v>0</v>
      </c>
      <c r="AE354">
        <f>VLOOKUP(Table29[[#This Row],[Shortname]], Comp[], 10, FALSE)</f>
        <v>15</v>
      </c>
      <c r="AF354">
        <f>VLOOKUP(Table29[[#This Row],[Shortname]], Comp[], 11, FALSE)</f>
        <v>0</v>
      </c>
      <c r="AG354">
        <f>VLOOKUP(Table29[[#This Row],[Shortname]], Comp[],12, FALSE)</f>
        <v>11</v>
      </c>
      <c r="AH354">
        <f>VLOOKUP(Table29[[#This Row],[Shortname]], Comp[], 13, FALSE)</f>
        <v>1</v>
      </c>
      <c r="AI354">
        <f>VLOOKUP(Table29[[#This Row],[Shortname]], Comp[], 14, FALSE)</f>
        <v>0</v>
      </c>
      <c r="AJ354">
        <f>VLOOKUP(Table29[[#This Row],[Shortname]], Comp[], 15, FALSE)</f>
        <v>0</v>
      </c>
      <c r="AK354">
        <f>VLOOKUP(Table29[[#This Row],[Shortname]], Comp[], 16, FALSE)</f>
        <v>0</v>
      </c>
      <c r="AL354">
        <f>VLOOKUP(Table29[[#This Row],[Shortname]], Comp[], 17, FALSE)</f>
        <v>0</v>
      </c>
      <c r="AM354">
        <f>VLOOKUP(Table29[[#This Row],[Shortname]], Comp[], 18, FALSE)</f>
        <v>0</v>
      </c>
      <c r="AN354">
        <f>VLOOKUP(Table29[[#This Row],[Shortname]], Comp[], 19, FALSE)</f>
        <v>0</v>
      </c>
      <c r="AO354">
        <f>VLOOKUP(Table29[[#This Row],[Shortname]], Comp[], 20, FALSE)</f>
        <v>0</v>
      </c>
      <c r="AP354">
        <f>VLOOKUP(Table29[[#This Row],[Shortname]], Comp[], 21, FALSE)</f>
        <v>0</v>
      </c>
      <c r="AQ354">
        <f>VLOOKUP(Table29[[#This Row],[Shortname]], Comp[], 22, FALSE)</f>
        <v>0</v>
      </c>
      <c r="AR354">
        <f>VLOOKUP(Table29[[#This Row],[Shortname]], Comp[], 23, FALSE)</f>
        <v>0</v>
      </c>
      <c r="AS354">
        <f>VLOOKUP(Table29[[#This Row],[Shortname]], Comp[], 24, FALSE)</f>
        <v>0</v>
      </c>
      <c r="AT354">
        <f>VLOOKUP(Table29[[#This Row],[Shortname]], Comp[], 25, FALSE)</f>
        <v>0</v>
      </c>
      <c r="AU354">
        <f>VLOOKUP(Table29[[#This Row],[Shortname]], Comp[], 26, FALSE)</f>
        <v>0</v>
      </c>
      <c r="AV354">
        <f>VLOOKUP(Table29[[#This Row],[Shortname]], Comp[], 27, FALSE)</f>
        <v>0</v>
      </c>
      <c r="AW354">
        <f>VLOOKUP(Table29[[#This Row],[Shortname]], Comp[], 28, FALSE)</f>
        <v>0</v>
      </c>
      <c r="AX354">
        <f>VLOOKUP(Table29[[#This Row],[Shortname]], Comp[], 29, FALSE)</f>
        <v>0</v>
      </c>
      <c r="AY354">
        <f>VLOOKUP(Table29[[#This Row],[Shortname]], Comp[], 30, FALSE)</f>
        <v>0</v>
      </c>
      <c r="AZ354">
        <f>VLOOKUP(Table29[[#This Row],[Shortname]], Comp[], 31, FALSE)</f>
        <v>0</v>
      </c>
    </row>
    <row r="355" spans="1:52" x14ac:dyDescent="0.3">
      <c r="A355" t="s">
        <v>5035</v>
      </c>
      <c r="B355">
        <v>345</v>
      </c>
      <c r="C355">
        <v>775</v>
      </c>
      <c r="D355" t="s">
        <v>11</v>
      </c>
      <c r="E355" t="s">
        <v>514</v>
      </c>
      <c r="F355" t="s">
        <v>5037</v>
      </c>
      <c r="G355" t="s">
        <v>5027</v>
      </c>
      <c r="H355">
        <v>592</v>
      </c>
      <c r="I355">
        <v>9.5826E-5</v>
      </c>
      <c r="J355">
        <f>0.01/Table29[[#This Row],[Strain Rate (min) /s]]</f>
        <v>104.35581157514662</v>
      </c>
      <c r="K355">
        <f>LOG(Table29[[#This Row],[Time to 1% strain (s)]])</f>
        <v>2.0185166399346501</v>
      </c>
      <c r="L355">
        <v>850</v>
      </c>
      <c r="P355" t="s">
        <v>7154</v>
      </c>
      <c r="Q355">
        <v>1150</v>
      </c>
      <c r="R355">
        <v>100</v>
      </c>
      <c r="S355">
        <v>900</v>
      </c>
      <c r="T355">
        <v>100</v>
      </c>
      <c r="W355">
        <v>1</v>
      </c>
      <c r="X355">
        <v>10</v>
      </c>
      <c r="Y355">
        <v>60</v>
      </c>
      <c r="AA355">
        <f>VLOOKUP(Table29[[#This Row],[Shortname]], Comp[], 6, FALSE)</f>
        <v>775</v>
      </c>
      <c r="AB355" s="14">
        <f>VLOOKUP(Table29[[#This Row],[Shortname]], Comp[], 7, FALSE)</f>
        <v>73</v>
      </c>
      <c r="AC355">
        <f>VLOOKUP(Table29[[#This Row],[Shortname]], Comp[], 8, FALSE)</f>
        <v>0</v>
      </c>
      <c r="AD355">
        <f>VLOOKUP(Table29[[#This Row],[Shortname]], Comp[], 9, FALSE)</f>
        <v>0</v>
      </c>
      <c r="AE355">
        <f>VLOOKUP(Table29[[#This Row],[Shortname]], Comp[], 10, FALSE)</f>
        <v>15</v>
      </c>
      <c r="AF355">
        <f>VLOOKUP(Table29[[#This Row],[Shortname]], Comp[], 11, FALSE)</f>
        <v>0</v>
      </c>
      <c r="AG355">
        <f>VLOOKUP(Table29[[#This Row],[Shortname]], Comp[],12, FALSE)</f>
        <v>11</v>
      </c>
      <c r="AH355">
        <f>VLOOKUP(Table29[[#This Row],[Shortname]], Comp[], 13, FALSE)</f>
        <v>1</v>
      </c>
      <c r="AI355">
        <f>VLOOKUP(Table29[[#This Row],[Shortname]], Comp[], 14, FALSE)</f>
        <v>0</v>
      </c>
      <c r="AJ355">
        <f>VLOOKUP(Table29[[#This Row],[Shortname]], Comp[], 15, FALSE)</f>
        <v>0</v>
      </c>
      <c r="AK355">
        <f>VLOOKUP(Table29[[#This Row],[Shortname]], Comp[], 16, FALSE)</f>
        <v>0</v>
      </c>
      <c r="AL355">
        <f>VLOOKUP(Table29[[#This Row],[Shortname]], Comp[], 17, FALSE)</f>
        <v>0</v>
      </c>
      <c r="AM355">
        <f>VLOOKUP(Table29[[#This Row],[Shortname]], Comp[], 18, FALSE)</f>
        <v>0</v>
      </c>
      <c r="AN355">
        <f>VLOOKUP(Table29[[#This Row],[Shortname]], Comp[], 19, FALSE)</f>
        <v>0</v>
      </c>
      <c r="AO355">
        <f>VLOOKUP(Table29[[#This Row],[Shortname]], Comp[], 20, FALSE)</f>
        <v>0</v>
      </c>
      <c r="AP355">
        <f>VLOOKUP(Table29[[#This Row],[Shortname]], Comp[], 21, FALSE)</f>
        <v>0</v>
      </c>
      <c r="AQ355">
        <f>VLOOKUP(Table29[[#This Row],[Shortname]], Comp[], 22, FALSE)</f>
        <v>0</v>
      </c>
      <c r="AR355">
        <f>VLOOKUP(Table29[[#This Row],[Shortname]], Comp[], 23, FALSE)</f>
        <v>0</v>
      </c>
      <c r="AS355">
        <f>VLOOKUP(Table29[[#This Row],[Shortname]], Comp[], 24, FALSE)</f>
        <v>0</v>
      </c>
      <c r="AT355">
        <f>VLOOKUP(Table29[[#This Row],[Shortname]], Comp[], 25, FALSE)</f>
        <v>0</v>
      </c>
      <c r="AU355">
        <f>VLOOKUP(Table29[[#This Row],[Shortname]], Comp[], 26, FALSE)</f>
        <v>0</v>
      </c>
      <c r="AV355">
        <f>VLOOKUP(Table29[[#This Row],[Shortname]], Comp[], 27, FALSE)</f>
        <v>0</v>
      </c>
      <c r="AW355">
        <f>VLOOKUP(Table29[[#This Row],[Shortname]], Comp[], 28, FALSE)</f>
        <v>0</v>
      </c>
      <c r="AX355">
        <f>VLOOKUP(Table29[[#This Row],[Shortname]], Comp[], 29, FALSE)</f>
        <v>0</v>
      </c>
      <c r="AY355">
        <f>VLOOKUP(Table29[[#This Row],[Shortname]], Comp[], 30, FALSE)</f>
        <v>0</v>
      </c>
      <c r="AZ355">
        <f>VLOOKUP(Table29[[#This Row],[Shortname]], Comp[], 31, FALSE)</f>
        <v>0</v>
      </c>
    </row>
    <row r="356" spans="1:52" x14ac:dyDescent="0.3">
      <c r="A356" t="s">
        <v>5035</v>
      </c>
      <c r="B356">
        <v>346</v>
      </c>
      <c r="C356">
        <v>775</v>
      </c>
      <c r="D356" t="s">
        <v>11</v>
      </c>
      <c r="E356" t="s">
        <v>514</v>
      </c>
      <c r="F356" t="s">
        <v>5037</v>
      </c>
      <c r="G356" t="s">
        <v>5027</v>
      </c>
      <c r="H356">
        <v>685</v>
      </c>
      <c r="I356">
        <v>1E-3</v>
      </c>
      <c r="J356">
        <f>0.01/Table29[[#This Row],[Strain Rate (min) /s]]</f>
        <v>10</v>
      </c>
      <c r="K356">
        <f>LOG(Table29[[#This Row],[Time to 1% strain (s)]])</f>
        <v>1</v>
      </c>
      <c r="L356">
        <v>850</v>
      </c>
      <c r="P356" t="s">
        <v>7154</v>
      </c>
      <c r="Q356">
        <v>1150</v>
      </c>
      <c r="R356">
        <v>100</v>
      </c>
      <c r="S356">
        <v>900</v>
      </c>
      <c r="T356">
        <v>100</v>
      </c>
      <c r="W356">
        <v>1</v>
      </c>
      <c r="X356">
        <v>10</v>
      </c>
      <c r="Y356">
        <v>60</v>
      </c>
      <c r="AA356">
        <f>VLOOKUP(Table29[[#This Row],[Shortname]], Comp[], 6, FALSE)</f>
        <v>775</v>
      </c>
      <c r="AB356" s="14">
        <f>VLOOKUP(Table29[[#This Row],[Shortname]], Comp[], 7, FALSE)</f>
        <v>73</v>
      </c>
      <c r="AC356">
        <f>VLOOKUP(Table29[[#This Row],[Shortname]], Comp[], 8, FALSE)</f>
        <v>0</v>
      </c>
      <c r="AD356">
        <f>VLOOKUP(Table29[[#This Row],[Shortname]], Comp[], 9, FALSE)</f>
        <v>0</v>
      </c>
      <c r="AE356">
        <f>VLOOKUP(Table29[[#This Row],[Shortname]], Comp[], 10, FALSE)</f>
        <v>15</v>
      </c>
      <c r="AF356">
        <f>VLOOKUP(Table29[[#This Row],[Shortname]], Comp[], 11, FALSE)</f>
        <v>0</v>
      </c>
      <c r="AG356">
        <f>VLOOKUP(Table29[[#This Row],[Shortname]], Comp[],12, FALSE)</f>
        <v>11</v>
      </c>
      <c r="AH356">
        <f>VLOOKUP(Table29[[#This Row],[Shortname]], Comp[], 13, FALSE)</f>
        <v>1</v>
      </c>
      <c r="AI356">
        <f>VLOOKUP(Table29[[#This Row],[Shortname]], Comp[], 14, FALSE)</f>
        <v>0</v>
      </c>
      <c r="AJ356">
        <f>VLOOKUP(Table29[[#This Row],[Shortname]], Comp[], 15, FALSE)</f>
        <v>0</v>
      </c>
      <c r="AK356">
        <f>VLOOKUP(Table29[[#This Row],[Shortname]], Comp[], 16, FALSE)</f>
        <v>0</v>
      </c>
      <c r="AL356">
        <f>VLOOKUP(Table29[[#This Row],[Shortname]], Comp[], 17, FALSE)</f>
        <v>0</v>
      </c>
      <c r="AM356">
        <f>VLOOKUP(Table29[[#This Row],[Shortname]], Comp[], 18, FALSE)</f>
        <v>0</v>
      </c>
      <c r="AN356">
        <f>VLOOKUP(Table29[[#This Row],[Shortname]], Comp[], 19, FALSE)</f>
        <v>0</v>
      </c>
      <c r="AO356">
        <f>VLOOKUP(Table29[[#This Row],[Shortname]], Comp[], 20, FALSE)</f>
        <v>0</v>
      </c>
      <c r="AP356">
        <f>VLOOKUP(Table29[[#This Row],[Shortname]], Comp[], 21, FALSE)</f>
        <v>0</v>
      </c>
      <c r="AQ356">
        <f>VLOOKUP(Table29[[#This Row],[Shortname]], Comp[], 22, FALSE)</f>
        <v>0</v>
      </c>
      <c r="AR356">
        <f>VLOOKUP(Table29[[#This Row],[Shortname]], Comp[], 23, FALSE)</f>
        <v>0</v>
      </c>
      <c r="AS356">
        <f>VLOOKUP(Table29[[#This Row],[Shortname]], Comp[], 24, FALSE)</f>
        <v>0</v>
      </c>
      <c r="AT356">
        <f>VLOOKUP(Table29[[#This Row],[Shortname]], Comp[], 25, FALSE)</f>
        <v>0</v>
      </c>
      <c r="AU356">
        <f>VLOOKUP(Table29[[#This Row],[Shortname]], Comp[], 26, FALSE)</f>
        <v>0</v>
      </c>
      <c r="AV356">
        <f>VLOOKUP(Table29[[#This Row],[Shortname]], Comp[], 27, FALSE)</f>
        <v>0</v>
      </c>
      <c r="AW356">
        <f>VLOOKUP(Table29[[#This Row],[Shortname]], Comp[], 28, FALSE)</f>
        <v>0</v>
      </c>
      <c r="AX356">
        <f>VLOOKUP(Table29[[#This Row],[Shortname]], Comp[], 29, FALSE)</f>
        <v>0</v>
      </c>
      <c r="AY356">
        <f>VLOOKUP(Table29[[#This Row],[Shortname]], Comp[], 30, FALSE)</f>
        <v>0</v>
      </c>
      <c r="AZ356">
        <f>VLOOKUP(Table29[[#This Row],[Shortname]], Comp[], 31, FALSE)</f>
        <v>0</v>
      </c>
    </row>
    <row r="357" spans="1:52" x14ac:dyDescent="0.3">
      <c r="A357" t="s">
        <v>5040</v>
      </c>
      <c r="B357">
        <v>347</v>
      </c>
      <c r="C357">
        <v>776</v>
      </c>
      <c r="D357" t="s">
        <v>5041</v>
      </c>
      <c r="E357" t="s">
        <v>514</v>
      </c>
      <c r="F357" t="s">
        <v>5042</v>
      </c>
      <c r="G357" t="s">
        <v>5027</v>
      </c>
      <c r="H357">
        <v>506</v>
      </c>
      <c r="I357">
        <v>1.0215E-5</v>
      </c>
      <c r="J357">
        <f>0.01/Table29[[#This Row],[Strain Rate (min) /s]]</f>
        <v>978.95252080274111</v>
      </c>
      <c r="K357">
        <f>LOG(Table29[[#This Row],[Time to 1% strain (s)]])</f>
        <v>2.9907616290315335</v>
      </c>
      <c r="L357">
        <v>850</v>
      </c>
      <c r="P357" t="s">
        <v>7155</v>
      </c>
      <c r="Q357">
        <v>1150</v>
      </c>
      <c r="R357">
        <v>100</v>
      </c>
      <c r="S357">
        <v>900</v>
      </c>
      <c r="T357">
        <v>100</v>
      </c>
      <c r="W357">
        <v>1</v>
      </c>
      <c r="X357">
        <v>10</v>
      </c>
      <c r="Y357">
        <v>60</v>
      </c>
      <c r="AA357">
        <f>VLOOKUP(Table29[[#This Row],[Shortname]], Comp[], 6, FALSE)</f>
        <v>776</v>
      </c>
      <c r="AB357" s="14">
        <f>VLOOKUP(Table29[[#This Row],[Shortname]], Comp[], 7, FALSE)</f>
        <v>73</v>
      </c>
      <c r="AC357">
        <f>VLOOKUP(Table29[[#This Row],[Shortname]], Comp[], 8, FALSE)</f>
        <v>0</v>
      </c>
      <c r="AD357">
        <f>VLOOKUP(Table29[[#This Row],[Shortname]], Comp[], 9, FALSE)</f>
        <v>0</v>
      </c>
      <c r="AE357">
        <f>VLOOKUP(Table29[[#This Row],[Shortname]], Comp[], 10, FALSE)</f>
        <v>15</v>
      </c>
      <c r="AF357">
        <f>VLOOKUP(Table29[[#This Row],[Shortname]], Comp[], 11, FALSE)</f>
        <v>1</v>
      </c>
      <c r="AG357">
        <f>VLOOKUP(Table29[[#This Row],[Shortname]], Comp[],12, FALSE)</f>
        <v>11</v>
      </c>
      <c r="AH357">
        <f>VLOOKUP(Table29[[#This Row],[Shortname]], Comp[], 13, FALSE)</f>
        <v>0</v>
      </c>
      <c r="AI357">
        <f>VLOOKUP(Table29[[#This Row],[Shortname]], Comp[], 14, FALSE)</f>
        <v>0</v>
      </c>
      <c r="AJ357">
        <f>VLOOKUP(Table29[[#This Row],[Shortname]], Comp[], 15, FALSE)</f>
        <v>0</v>
      </c>
      <c r="AK357">
        <f>VLOOKUP(Table29[[#This Row],[Shortname]], Comp[], 16, FALSE)</f>
        <v>0</v>
      </c>
      <c r="AL357">
        <f>VLOOKUP(Table29[[#This Row],[Shortname]], Comp[], 17, FALSE)</f>
        <v>0</v>
      </c>
      <c r="AM357">
        <f>VLOOKUP(Table29[[#This Row],[Shortname]], Comp[], 18, FALSE)</f>
        <v>0</v>
      </c>
      <c r="AN357">
        <f>VLOOKUP(Table29[[#This Row],[Shortname]], Comp[], 19, FALSE)</f>
        <v>0</v>
      </c>
      <c r="AO357">
        <f>VLOOKUP(Table29[[#This Row],[Shortname]], Comp[], 20, FALSE)</f>
        <v>0</v>
      </c>
      <c r="AP357">
        <f>VLOOKUP(Table29[[#This Row],[Shortname]], Comp[], 21, FALSE)</f>
        <v>0</v>
      </c>
      <c r="AQ357">
        <f>VLOOKUP(Table29[[#This Row],[Shortname]], Comp[], 22, FALSE)</f>
        <v>0</v>
      </c>
      <c r="AR357">
        <f>VLOOKUP(Table29[[#This Row],[Shortname]], Comp[], 23, FALSE)</f>
        <v>0</v>
      </c>
      <c r="AS357">
        <f>VLOOKUP(Table29[[#This Row],[Shortname]], Comp[], 24, FALSE)</f>
        <v>0</v>
      </c>
      <c r="AT357">
        <f>VLOOKUP(Table29[[#This Row],[Shortname]], Comp[], 25, FALSE)</f>
        <v>0</v>
      </c>
      <c r="AU357">
        <f>VLOOKUP(Table29[[#This Row],[Shortname]], Comp[], 26, FALSE)</f>
        <v>0</v>
      </c>
      <c r="AV357">
        <f>VLOOKUP(Table29[[#This Row],[Shortname]], Comp[], 27, FALSE)</f>
        <v>0</v>
      </c>
      <c r="AW357">
        <f>VLOOKUP(Table29[[#This Row],[Shortname]], Comp[], 28, FALSE)</f>
        <v>0</v>
      </c>
      <c r="AX357">
        <f>VLOOKUP(Table29[[#This Row],[Shortname]], Comp[], 29, FALSE)</f>
        <v>0</v>
      </c>
      <c r="AY357">
        <f>VLOOKUP(Table29[[#This Row],[Shortname]], Comp[], 30, FALSE)</f>
        <v>0</v>
      </c>
      <c r="AZ357">
        <f>VLOOKUP(Table29[[#This Row],[Shortname]], Comp[], 31, FALSE)</f>
        <v>0</v>
      </c>
    </row>
    <row r="358" spans="1:52" x14ac:dyDescent="0.3">
      <c r="A358" t="s">
        <v>5040</v>
      </c>
      <c r="B358">
        <v>348</v>
      </c>
      <c r="C358">
        <v>776</v>
      </c>
      <c r="D358" t="s">
        <v>11</v>
      </c>
      <c r="E358" t="s">
        <v>514</v>
      </c>
      <c r="F358" t="s">
        <v>5042</v>
      </c>
      <c r="G358" t="s">
        <v>5027</v>
      </c>
      <c r="H358">
        <v>613</v>
      </c>
      <c r="I358">
        <v>1.038E-4</v>
      </c>
      <c r="J358">
        <f>0.01/Table29[[#This Row],[Strain Rate (min) /s]]</f>
        <v>96.339113680154142</v>
      </c>
      <c r="K358">
        <f>LOG(Table29[[#This Row],[Time to 1% strain (s)]])</f>
        <v>1.9838026464875609</v>
      </c>
      <c r="L358">
        <v>850</v>
      </c>
      <c r="P358" t="s">
        <v>7155</v>
      </c>
      <c r="Q358">
        <v>1150</v>
      </c>
      <c r="R358">
        <v>100</v>
      </c>
      <c r="S358">
        <v>900</v>
      </c>
      <c r="T358">
        <v>100</v>
      </c>
      <c r="W358">
        <v>1</v>
      </c>
      <c r="X358">
        <v>10</v>
      </c>
      <c r="Y358">
        <v>60</v>
      </c>
      <c r="AA358">
        <f>VLOOKUP(Table29[[#This Row],[Shortname]], Comp[], 6, FALSE)</f>
        <v>776</v>
      </c>
      <c r="AB358" s="14">
        <f>VLOOKUP(Table29[[#This Row],[Shortname]], Comp[], 7, FALSE)</f>
        <v>73</v>
      </c>
      <c r="AC358">
        <f>VLOOKUP(Table29[[#This Row],[Shortname]], Comp[], 8, FALSE)</f>
        <v>0</v>
      </c>
      <c r="AD358">
        <f>VLOOKUP(Table29[[#This Row],[Shortname]], Comp[], 9, FALSE)</f>
        <v>0</v>
      </c>
      <c r="AE358">
        <f>VLOOKUP(Table29[[#This Row],[Shortname]], Comp[], 10, FALSE)</f>
        <v>15</v>
      </c>
      <c r="AF358">
        <f>VLOOKUP(Table29[[#This Row],[Shortname]], Comp[], 11, FALSE)</f>
        <v>1</v>
      </c>
      <c r="AG358">
        <f>VLOOKUP(Table29[[#This Row],[Shortname]], Comp[],12, FALSE)</f>
        <v>11</v>
      </c>
      <c r="AH358">
        <f>VLOOKUP(Table29[[#This Row],[Shortname]], Comp[], 13, FALSE)</f>
        <v>0</v>
      </c>
      <c r="AI358">
        <f>VLOOKUP(Table29[[#This Row],[Shortname]], Comp[], 14, FALSE)</f>
        <v>0</v>
      </c>
      <c r="AJ358">
        <f>VLOOKUP(Table29[[#This Row],[Shortname]], Comp[], 15, FALSE)</f>
        <v>0</v>
      </c>
      <c r="AK358">
        <f>VLOOKUP(Table29[[#This Row],[Shortname]], Comp[], 16, FALSE)</f>
        <v>0</v>
      </c>
      <c r="AL358">
        <f>VLOOKUP(Table29[[#This Row],[Shortname]], Comp[], 17, FALSE)</f>
        <v>0</v>
      </c>
      <c r="AM358">
        <f>VLOOKUP(Table29[[#This Row],[Shortname]], Comp[], 18, FALSE)</f>
        <v>0</v>
      </c>
      <c r="AN358">
        <f>VLOOKUP(Table29[[#This Row],[Shortname]], Comp[], 19, FALSE)</f>
        <v>0</v>
      </c>
      <c r="AO358">
        <f>VLOOKUP(Table29[[#This Row],[Shortname]], Comp[], 20, FALSE)</f>
        <v>0</v>
      </c>
      <c r="AP358">
        <f>VLOOKUP(Table29[[#This Row],[Shortname]], Comp[], 21, FALSE)</f>
        <v>0</v>
      </c>
      <c r="AQ358">
        <f>VLOOKUP(Table29[[#This Row],[Shortname]], Comp[], 22, FALSE)</f>
        <v>0</v>
      </c>
      <c r="AR358">
        <f>VLOOKUP(Table29[[#This Row],[Shortname]], Comp[], 23, FALSE)</f>
        <v>0</v>
      </c>
      <c r="AS358">
        <f>VLOOKUP(Table29[[#This Row],[Shortname]], Comp[], 24, FALSE)</f>
        <v>0</v>
      </c>
      <c r="AT358">
        <f>VLOOKUP(Table29[[#This Row],[Shortname]], Comp[], 25, FALSE)</f>
        <v>0</v>
      </c>
      <c r="AU358">
        <f>VLOOKUP(Table29[[#This Row],[Shortname]], Comp[], 26, FALSE)</f>
        <v>0</v>
      </c>
      <c r="AV358">
        <f>VLOOKUP(Table29[[#This Row],[Shortname]], Comp[], 27, FALSE)</f>
        <v>0</v>
      </c>
      <c r="AW358">
        <f>VLOOKUP(Table29[[#This Row],[Shortname]], Comp[], 28, FALSE)</f>
        <v>0</v>
      </c>
      <c r="AX358">
        <f>VLOOKUP(Table29[[#This Row],[Shortname]], Comp[], 29, FALSE)</f>
        <v>0</v>
      </c>
      <c r="AY358">
        <f>VLOOKUP(Table29[[#This Row],[Shortname]], Comp[], 30, FALSE)</f>
        <v>0</v>
      </c>
      <c r="AZ358">
        <f>VLOOKUP(Table29[[#This Row],[Shortname]], Comp[], 31, FALSE)</f>
        <v>0</v>
      </c>
    </row>
    <row r="359" spans="1:52" x14ac:dyDescent="0.3">
      <c r="A359" t="s">
        <v>5040</v>
      </c>
      <c r="B359">
        <v>349</v>
      </c>
      <c r="C359">
        <v>776</v>
      </c>
      <c r="D359" t="s">
        <v>11</v>
      </c>
      <c r="E359" t="s">
        <v>514</v>
      </c>
      <c r="F359" t="s">
        <v>5042</v>
      </c>
      <c r="G359" t="s">
        <v>5027</v>
      </c>
      <c r="H359">
        <v>718</v>
      </c>
      <c r="I359">
        <v>1E-3</v>
      </c>
      <c r="J359">
        <f>0.01/Table29[[#This Row],[Strain Rate (min) /s]]</f>
        <v>10</v>
      </c>
      <c r="K359">
        <f>LOG(Table29[[#This Row],[Time to 1% strain (s)]])</f>
        <v>1</v>
      </c>
      <c r="L359">
        <v>850</v>
      </c>
      <c r="P359" t="s">
        <v>7155</v>
      </c>
      <c r="Q359">
        <v>1150</v>
      </c>
      <c r="R359">
        <v>100</v>
      </c>
      <c r="S359">
        <v>900</v>
      </c>
      <c r="T359">
        <v>100</v>
      </c>
      <c r="W359">
        <v>1</v>
      </c>
      <c r="X359">
        <v>10</v>
      </c>
      <c r="Y359">
        <v>60</v>
      </c>
      <c r="AA359">
        <f>VLOOKUP(Table29[[#This Row],[Shortname]], Comp[], 6, FALSE)</f>
        <v>776</v>
      </c>
      <c r="AB359" s="14">
        <f>VLOOKUP(Table29[[#This Row],[Shortname]], Comp[], 7, FALSE)</f>
        <v>73</v>
      </c>
      <c r="AC359">
        <f>VLOOKUP(Table29[[#This Row],[Shortname]], Comp[], 8, FALSE)</f>
        <v>0</v>
      </c>
      <c r="AD359">
        <f>VLOOKUP(Table29[[#This Row],[Shortname]], Comp[], 9, FALSE)</f>
        <v>0</v>
      </c>
      <c r="AE359">
        <f>VLOOKUP(Table29[[#This Row],[Shortname]], Comp[], 10, FALSE)</f>
        <v>15</v>
      </c>
      <c r="AF359">
        <f>VLOOKUP(Table29[[#This Row],[Shortname]], Comp[], 11, FALSE)</f>
        <v>1</v>
      </c>
      <c r="AG359">
        <f>VLOOKUP(Table29[[#This Row],[Shortname]], Comp[],12, FALSE)</f>
        <v>11</v>
      </c>
      <c r="AH359">
        <f>VLOOKUP(Table29[[#This Row],[Shortname]], Comp[], 13, FALSE)</f>
        <v>0</v>
      </c>
      <c r="AI359">
        <f>VLOOKUP(Table29[[#This Row],[Shortname]], Comp[], 14, FALSE)</f>
        <v>0</v>
      </c>
      <c r="AJ359">
        <f>VLOOKUP(Table29[[#This Row],[Shortname]], Comp[], 15, FALSE)</f>
        <v>0</v>
      </c>
      <c r="AK359">
        <f>VLOOKUP(Table29[[#This Row],[Shortname]], Comp[], 16, FALSE)</f>
        <v>0</v>
      </c>
      <c r="AL359">
        <f>VLOOKUP(Table29[[#This Row],[Shortname]], Comp[], 17, FALSE)</f>
        <v>0</v>
      </c>
      <c r="AM359">
        <f>VLOOKUP(Table29[[#This Row],[Shortname]], Comp[], 18, FALSE)</f>
        <v>0</v>
      </c>
      <c r="AN359">
        <f>VLOOKUP(Table29[[#This Row],[Shortname]], Comp[], 19, FALSE)</f>
        <v>0</v>
      </c>
      <c r="AO359">
        <f>VLOOKUP(Table29[[#This Row],[Shortname]], Comp[], 20, FALSE)</f>
        <v>0</v>
      </c>
      <c r="AP359">
        <f>VLOOKUP(Table29[[#This Row],[Shortname]], Comp[], 21, FALSE)</f>
        <v>0</v>
      </c>
      <c r="AQ359">
        <f>VLOOKUP(Table29[[#This Row],[Shortname]], Comp[], 22, FALSE)</f>
        <v>0</v>
      </c>
      <c r="AR359">
        <f>VLOOKUP(Table29[[#This Row],[Shortname]], Comp[], 23, FALSE)</f>
        <v>0</v>
      </c>
      <c r="AS359">
        <f>VLOOKUP(Table29[[#This Row],[Shortname]], Comp[], 24, FALSE)</f>
        <v>0</v>
      </c>
      <c r="AT359">
        <f>VLOOKUP(Table29[[#This Row],[Shortname]], Comp[], 25, FALSE)</f>
        <v>0</v>
      </c>
      <c r="AU359">
        <f>VLOOKUP(Table29[[#This Row],[Shortname]], Comp[], 26, FALSE)</f>
        <v>0</v>
      </c>
      <c r="AV359">
        <f>VLOOKUP(Table29[[#This Row],[Shortname]], Comp[], 27, FALSE)</f>
        <v>0</v>
      </c>
      <c r="AW359">
        <f>VLOOKUP(Table29[[#This Row],[Shortname]], Comp[], 28, FALSE)</f>
        <v>0</v>
      </c>
      <c r="AX359">
        <f>VLOOKUP(Table29[[#This Row],[Shortname]], Comp[], 29, FALSE)</f>
        <v>0</v>
      </c>
      <c r="AY359">
        <f>VLOOKUP(Table29[[#This Row],[Shortname]], Comp[], 30, FALSE)</f>
        <v>0</v>
      </c>
      <c r="AZ359">
        <f>VLOOKUP(Table29[[#This Row],[Shortname]], Comp[], 31, FALSE)</f>
        <v>0</v>
      </c>
    </row>
    <row r="360" spans="1:52" x14ac:dyDescent="0.3">
      <c r="A360" t="s">
        <v>5045</v>
      </c>
      <c r="B360">
        <v>350</v>
      </c>
      <c r="C360">
        <v>777</v>
      </c>
      <c r="D360" t="s">
        <v>5046</v>
      </c>
      <c r="E360" t="s">
        <v>514</v>
      </c>
      <c r="F360" t="s">
        <v>5047</v>
      </c>
      <c r="G360" t="s">
        <v>5027</v>
      </c>
      <c r="H360">
        <v>489</v>
      </c>
      <c r="I360">
        <v>1.0215E-5</v>
      </c>
      <c r="J360">
        <f>0.01/Table29[[#This Row],[Strain Rate (min) /s]]</f>
        <v>978.95252080274111</v>
      </c>
      <c r="K360">
        <f>LOG(Table29[[#This Row],[Time to 1% strain (s)]])</f>
        <v>2.9907616290315335</v>
      </c>
      <c r="L360">
        <v>850</v>
      </c>
      <c r="P360" t="s">
        <v>7156</v>
      </c>
      <c r="Q360">
        <v>1150</v>
      </c>
      <c r="R360">
        <v>100</v>
      </c>
      <c r="S360">
        <v>900</v>
      </c>
      <c r="T360">
        <v>100</v>
      </c>
      <c r="W360">
        <v>1</v>
      </c>
      <c r="X360">
        <v>10</v>
      </c>
      <c r="Y360">
        <v>60</v>
      </c>
      <c r="AA360">
        <f>VLOOKUP(Table29[[#This Row],[Shortname]], Comp[], 6, FALSE)</f>
        <v>777</v>
      </c>
      <c r="AB360" s="14">
        <f>VLOOKUP(Table29[[#This Row],[Shortname]], Comp[], 7, FALSE)</f>
        <v>73</v>
      </c>
      <c r="AC360">
        <f>VLOOKUP(Table29[[#This Row],[Shortname]], Comp[], 8, FALSE)</f>
        <v>0</v>
      </c>
      <c r="AD360">
        <f>VLOOKUP(Table29[[#This Row],[Shortname]], Comp[], 9, FALSE)</f>
        <v>0</v>
      </c>
      <c r="AE360">
        <f>VLOOKUP(Table29[[#This Row],[Shortname]], Comp[], 10, FALSE)</f>
        <v>15</v>
      </c>
      <c r="AF360">
        <f>VLOOKUP(Table29[[#This Row],[Shortname]], Comp[], 11, FALSE)</f>
        <v>0</v>
      </c>
      <c r="AG360">
        <f>VLOOKUP(Table29[[#This Row],[Shortname]], Comp[],12, FALSE)</f>
        <v>11</v>
      </c>
      <c r="AH360">
        <f>VLOOKUP(Table29[[#This Row],[Shortname]], Comp[], 13, FALSE)</f>
        <v>0</v>
      </c>
      <c r="AI360">
        <f>VLOOKUP(Table29[[#This Row],[Shortname]], Comp[], 14, FALSE)</f>
        <v>0</v>
      </c>
      <c r="AJ360">
        <f>VLOOKUP(Table29[[#This Row],[Shortname]], Comp[], 15, FALSE)</f>
        <v>0</v>
      </c>
      <c r="AK360">
        <f>VLOOKUP(Table29[[#This Row],[Shortname]], Comp[], 16, FALSE)</f>
        <v>0</v>
      </c>
      <c r="AL360">
        <f>VLOOKUP(Table29[[#This Row],[Shortname]], Comp[], 17, FALSE)</f>
        <v>0</v>
      </c>
      <c r="AM360">
        <f>VLOOKUP(Table29[[#This Row],[Shortname]], Comp[], 18, FALSE)</f>
        <v>0</v>
      </c>
      <c r="AN360">
        <f>VLOOKUP(Table29[[#This Row],[Shortname]], Comp[], 19, FALSE)</f>
        <v>0</v>
      </c>
      <c r="AO360">
        <f>VLOOKUP(Table29[[#This Row],[Shortname]], Comp[], 20, FALSE)</f>
        <v>0</v>
      </c>
      <c r="AP360">
        <f>VLOOKUP(Table29[[#This Row],[Shortname]], Comp[], 21, FALSE)</f>
        <v>1</v>
      </c>
      <c r="AQ360">
        <f>VLOOKUP(Table29[[#This Row],[Shortname]], Comp[], 22, FALSE)</f>
        <v>0</v>
      </c>
      <c r="AR360">
        <f>VLOOKUP(Table29[[#This Row],[Shortname]], Comp[], 23, FALSE)</f>
        <v>0</v>
      </c>
      <c r="AS360">
        <f>VLOOKUP(Table29[[#This Row],[Shortname]], Comp[], 24, FALSE)</f>
        <v>0</v>
      </c>
      <c r="AT360">
        <f>VLOOKUP(Table29[[#This Row],[Shortname]], Comp[], 25, FALSE)</f>
        <v>0</v>
      </c>
      <c r="AU360">
        <f>VLOOKUP(Table29[[#This Row],[Shortname]], Comp[], 26, FALSE)</f>
        <v>0</v>
      </c>
      <c r="AV360">
        <f>VLOOKUP(Table29[[#This Row],[Shortname]], Comp[], 27, FALSE)</f>
        <v>0</v>
      </c>
      <c r="AW360">
        <f>VLOOKUP(Table29[[#This Row],[Shortname]], Comp[], 28, FALSE)</f>
        <v>0</v>
      </c>
      <c r="AX360">
        <f>VLOOKUP(Table29[[#This Row],[Shortname]], Comp[], 29, FALSE)</f>
        <v>0</v>
      </c>
      <c r="AY360">
        <f>VLOOKUP(Table29[[#This Row],[Shortname]], Comp[], 30, FALSE)</f>
        <v>0</v>
      </c>
      <c r="AZ360">
        <f>VLOOKUP(Table29[[#This Row],[Shortname]], Comp[], 31, FALSE)</f>
        <v>0</v>
      </c>
    </row>
    <row r="361" spans="1:52" x14ac:dyDescent="0.3">
      <c r="A361" t="s">
        <v>5045</v>
      </c>
      <c r="B361">
        <v>351</v>
      </c>
      <c r="C361">
        <v>777</v>
      </c>
      <c r="D361" t="s">
        <v>11</v>
      </c>
      <c r="E361" t="s">
        <v>514</v>
      </c>
      <c r="F361" t="s">
        <v>5047</v>
      </c>
      <c r="G361" t="s">
        <v>5027</v>
      </c>
      <c r="H361">
        <v>592</v>
      </c>
      <c r="I361">
        <v>9.5826E-5</v>
      </c>
      <c r="J361">
        <f>0.01/Table29[[#This Row],[Strain Rate (min) /s]]</f>
        <v>104.35581157514662</v>
      </c>
      <c r="K361">
        <f>LOG(Table29[[#This Row],[Time to 1% strain (s)]])</f>
        <v>2.0185166399346501</v>
      </c>
      <c r="L361">
        <v>850</v>
      </c>
      <c r="P361" t="s">
        <v>7156</v>
      </c>
      <c r="Q361">
        <v>1150</v>
      </c>
      <c r="R361">
        <v>100</v>
      </c>
      <c r="S361">
        <v>900</v>
      </c>
      <c r="T361">
        <v>100</v>
      </c>
      <c r="W361">
        <v>1</v>
      </c>
      <c r="X361">
        <v>10</v>
      </c>
      <c r="Y361">
        <v>60</v>
      </c>
      <c r="AA361">
        <f>VLOOKUP(Table29[[#This Row],[Shortname]], Comp[], 6, FALSE)</f>
        <v>777</v>
      </c>
      <c r="AB361" s="14">
        <f>VLOOKUP(Table29[[#This Row],[Shortname]], Comp[], 7, FALSE)</f>
        <v>73</v>
      </c>
      <c r="AC361">
        <f>VLOOKUP(Table29[[#This Row],[Shortname]], Comp[], 8, FALSE)</f>
        <v>0</v>
      </c>
      <c r="AD361">
        <f>VLOOKUP(Table29[[#This Row],[Shortname]], Comp[], 9, FALSE)</f>
        <v>0</v>
      </c>
      <c r="AE361">
        <f>VLOOKUP(Table29[[#This Row],[Shortname]], Comp[], 10, FALSE)</f>
        <v>15</v>
      </c>
      <c r="AF361">
        <f>VLOOKUP(Table29[[#This Row],[Shortname]], Comp[], 11, FALSE)</f>
        <v>0</v>
      </c>
      <c r="AG361">
        <f>VLOOKUP(Table29[[#This Row],[Shortname]], Comp[],12, FALSE)</f>
        <v>11</v>
      </c>
      <c r="AH361">
        <f>VLOOKUP(Table29[[#This Row],[Shortname]], Comp[], 13, FALSE)</f>
        <v>0</v>
      </c>
      <c r="AI361">
        <f>VLOOKUP(Table29[[#This Row],[Shortname]], Comp[], 14, FALSE)</f>
        <v>0</v>
      </c>
      <c r="AJ361">
        <f>VLOOKUP(Table29[[#This Row],[Shortname]], Comp[], 15, FALSE)</f>
        <v>0</v>
      </c>
      <c r="AK361">
        <f>VLOOKUP(Table29[[#This Row],[Shortname]], Comp[], 16, FALSE)</f>
        <v>0</v>
      </c>
      <c r="AL361">
        <f>VLOOKUP(Table29[[#This Row],[Shortname]], Comp[], 17, FALSE)</f>
        <v>0</v>
      </c>
      <c r="AM361">
        <f>VLOOKUP(Table29[[#This Row],[Shortname]], Comp[], 18, FALSE)</f>
        <v>0</v>
      </c>
      <c r="AN361">
        <f>VLOOKUP(Table29[[#This Row],[Shortname]], Comp[], 19, FALSE)</f>
        <v>0</v>
      </c>
      <c r="AO361">
        <f>VLOOKUP(Table29[[#This Row],[Shortname]], Comp[], 20, FALSE)</f>
        <v>0</v>
      </c>
      <c r="AP361">
        <f>VLOOKUP(Table29[[#This Row],[Shortname]], Comp[], 21, FALSE)</f>
        <v>1</v>
      </c>
      <c r="AQ361">
        <f>VLOOKUP(Table29[[#This Row],[Shortname]], Comp[], 22, FALSE)</f>
        <v>0</v>
      </c>
      <c r="AR361">
        <f>VLOOKUP(Table29[[#This Row],[Shortname]], Comp[], 23, FALSE)</f>
        <v>0</v>
      </c>
      <c r="AS361">
        <f>VLOOKUP(Table29[[#This Row],[Shortname]], Comp[], 24, FALSE)</f>
        <v>0</v>
      </c>
      <c r="AT361">
        <f>VLOOKUP(Table29[[#This Row],[Shortname]], Comp[], 25, FALSE)</f>
        <v>0</v>
      </c>
      <c r="AU361">
        <f>VLOOKUP(Table29[[#This Row],[Shortname]], Comp[], 26, FALSE)</f>
        <v>0</v>
      </c>
      <c r="AV361">
        <f>VLOOKUP(Table29[[#This Row],[Shortname]], Comp[], 27, FALSE)</f>
        <v>0</v>
      </c>
      <c r="AW361">
        <f>VLOOKUP(Table29[[#This Row],[Shortname]], Comp[], 28, FALSE)</f>
        <v>0</v>
      </c>
      <c r="AX361">
        <f>VLOOKUP(Table29[[#This Row],[Shortname]], Comp[], 29, FALSE)</f>
        <v>0</v>
      </c>
      <c r="AY361">
        <f>VLOOKUP(Table29[[#This Row],[Shortname]], Comp[], 30, FALSE)</f>
        <v>0</v>
      </c>
      <c r="AZ361">
        <f>VLOOKUP(Table29[[#This Row],[Shortname]], Comp[], 31, FALSE)</f>
        <v>0</v>
      </c>
    </row>
    <row r="362" spans="1:52" x14ac:dyDescent="0.3">
      <c r="A362" t="s">
        <v>5045</v>
      </c>
      <c r="B362">
        <v>352</v>
      </c>
      <c r="C362">
        <v>777</v>
      </c>
      <c r="D362" t="s">
        <v>11</v>
      </c>
      <c r="E362" t="s">
        <v>514</v>
      </c>
      <c r="F362" t="s">
        <v>5047</v>
      </c>
      <c r="G362" t="s">
        <v>5027</v>
      </c>
      <c r="H362">
        <v>685</v>
      </c>
      <c r="I362">
        <v>1.0269999999999999E-3</v>
      </c>
      <c r="J362">
        <f>0.01/Table29[[#This Row],[Strain Rate (min) /s]]</f>
        <v>9.7370983446932815</v>
      </c>
      <c r="K362">
        <f>LOG(Table29[[#This Row],[Time to 1% strain (s)]])</f>
        <v>0.98842955640272179</v>
      </c>
      <c r="L362">
        <v>850</v>
      </c>
      <c r="P362" t="s">
        <v>7156</v>
      </c>
      <c r="Q362">
        <v>1150</v>
      </c>
      <c r="R362">
        <v>100</v>
      </c>
      <c r="S362">
        <v>900</v>
      </c>
      <c r="T362">
        <v>100</v>
      </c>
      <c r="W362">
        <v>1</v>
      </c>
      <c r="X362">
        <v>10</v>
      </c>
      <c r="Y362">
        <v>60</v>
      </c>
      <c r="AA362">
        <f>VLOOKUP(Table29[[#This Row],[Shortname]], Comp[], 6, FALSE)</f>
        <v>777</v>
      </c>
      <c r="AB362" s="14">
        <f>VLOOKUP(Table29[[#This Row],[Shortname]], Comp[], 7, FALSE)</f>
        <v>73</v>
      </c>
      <c r="AC362">
        <f>VLOOKUP(Table29[[#This Row],[Shortname]], Comp[], 8, FALSE)</f>
        <v>0</v>
      </c>
      <c r="AD362">
        <f>VLOOKUP(Table29[[#This Row],[Shortname]], Comp[], 9, FALSE)</f>
        <v>0</v>
      </c>
      <c r="AE362">
        <f>VLOOKUP(Table29[[#This Row],[Shortname]], Comp[], 10, FALSE)</f>
        <v>15</v>
      </c>
      <c r="AF362">
        <f>VLOOKUP(Table29[[#This Row],[Shortname]], Comp[], 11, FALSE)</f>
        <v>0</v>
      </c>
      <c r="AG362">
        <f>VLOOKUP(Table29[[#This Row],[Shortname]], Comp[],12, FALSE)</f>
        <v>11</v>
      </c>
      <c r="AH362">
        <f>VLOOKUP(Table29[[#This Row],[Shortname]], Comp[], 13, FALSE)</f>
        <v>0</v>
      </c>
      <c r="AI362">
        <f>VLOOKUP(Table29[[#This Row],[Shortname]], Comp[], 14, FALSE)</f>
        <v>0</v>
      </c>
      <c r="AJ362">
        <f>VLOOKUP(Table29[[#This Row],[Shortname]], Comp[], 15, FALSE)</f>
        <v>0</v>
      </c>
      <c r="AK362">
        <f>VLOOKUP(Table29[[#This Row],[Shortname]], Comp[], 16, FALSE)</f>
        <v>0</v>
      </c>
      <c r="AL362">
        <f>VLOOKUP(Table29[[#This Row],[Shortname]], Comp[], 17, FALSE)</f>
        <v>0</v>
      </c>
      <c r="AM362">
        <f>VLOOKUP(Table29[[#This Row],[Shortname]], Comp[], 18, FALSE)</f>
        <v>0</v>
      </c>
      <c r="AN362">
        <f>VLOOKUP(Table29[[#This Row],[Shortname]], Comp[], 19, FALSE)</f>
        <v>0</v>
      </c>
      <c r="AO362">
        <f>VLOOKUP(Table29[[#This Row],[Shortname]], Comp[], 20, FALSE)</f>
        <v>0</v>
      </c>
      <c r="AP362">
        <f>VLOOKUP(Table29[[#This Row],[Shortname]], Comp[], 21, FALSE)</f>
        <v>1</v>
      </c>
      <c r="AQ362">
        <f>VLOOKUP(Table29[[#This Row],[Shortname]], Comp[], 22, FALSE)</f>
        <v>0</v>
      </c>
      <c r="AR362">
        <f>VLOOKUP(Table29[[#This Row],[Shortname]], Comp[], 23, FALSE)</f>
        <v>0</v>
      </c>
      <c r="AS362">
        <f>VLOOKUP(Table29[[#This Row],[Shortname]], Comp[], 24, FALSE)</f>
        <v>0</v>
      </c>
      <c r="AT362">
        <f>VLOOKUP(Table29[[#This Row],[Shortname]], Comp[], 25, FALSE)</f>
        <v>0</v>
      </c>
      <c r="AU362">
        <f>VLOOKUP(Table29[[#This Row],[Shortname]], Comp[], 26, FALSE)</f>
        <v>0</v>
      </c>
      <c r="AV362">
        <f>VLOOKUP(Table29[[#This Row],[Shortname]], Comp[], 27, FALSE)</f>
        <v>0</v>
      </c>
      <c r="AW362">
        <f>VLOOKUP(Table29[[#This Row],[Shortname]], Comp[], 28, FALSE)</f>
        <v>0</v>
      </c>
      <c r="AX362">
        <f>VLOOKUP(Table29[[#This Row],[Shortname]], Comp[], 29, FALSE)</f>
        <v>0</v>
      </c>
      <c r="AY362">
        <f>VLOOKUP(Table29[[#This Row],[Shortname]], Comp[], 30, FALSE)</f>
        <v>0</v>
      </c>
      <c r="AZ362">
        <f>VLOOKUP(Table29[[#This Row],[Shortname]], Comp[], 31, FALSE)</f>
        <v>0</v>
      </c>
    </row>
    <row r="363" spans="1:52" x14ac:dyDescent="0.3">
      <c r="A363" t="s">
        <v>5215</v>
      </c>
      <c r="B363">
        <v>320</v>
      </c>
      <c r="C363">
        <v>3080</v>
      </c>
      <c r="D363" t="s">
        <v>2119</v>
      </c>
      <c r="E363" t="s">
        <v>160</v>
      </c>
      <c r="F363" t="s">
        <v>5288</v>
      </c>
      <c r="G363" t="s">
        <v>7157</v>
      </c>
      <c r="H363">
        <v>248</v>
      </c>
      <c r="I363">
        <v>1.0999999999999999E-9</v>
      </c>
      <c r="J363">
        <f>0.01/Table29[[#This Row],[Strain Rate (min) /s]]</f>
        <v>9090909.0909090918</v>
      </c>
      <c r="K363">
        <f>LOG(Table29[[#This Row],[Time to 1% strain (s)]])</f>
        <v>6.9586073148417746</v>
      </c>
      <c r="L363">
        <v>982</v>
      </c>
      <c r="O363">
        <v>39.5</v>
      </c>
      <c r="P363" t="s">
        <v>7158</v>
      </c>
      <c r="Q363">
        <v>1250</v>
      </c>
      <c r="R363">
        <v>24</v>
      </c>
      <c r="S363">
        <v>900</v>
      </c>
      <c r="T363">
        <v>50</v>
      </c>
      <c r="W363">
        <v>-1</v>
      </c>
      <c r="X363">
        <v>1</v>
      </c>
      <c r="Y363">
        <v>87.6</v>
      </c>
      <c r="AA363">
        <f>VLOOKUP(Table29[[#This Row],[Shortname]], Comp[], 6, FALSE)</f>
        <v>3080</v>
      </c>
      <c r="AB363" s="14">
        <f>VLOOKUP(Table29[[#This Row],[Shortname]], Comp[], 7, FALSE)</f>
        <v>80</v>
      </c>
      <c r="AC363">
        <f>VLOOKUP(Table29[[#This Row],[Shortname]], Comp[], 8, FALSE)</f>
        <v>0</v>
      </c>
      <c r="AD363">
        <f>VLOOKUP(Table29[[#This Row],[Shortname]], Comp[], 9, FALSE)</f>
        <v>7</v>
      </c>
      <c r="AE363">
        <f>VLOOKUP(Table29[[#This Row],[Shortname]], Comp[], 10, FALSE)</f>
        <v>0</v>
      </c>
      <c r="AF363">
        <f>VLOOKUP(Table29[[#This Row],[Shortname]], Comp[], 11, FALSE)</f>
        <v>8</v>
      </c>
      <c r="AG363">
        <f>VLOOKUP(Table29[[#This Row],[Shortname]], Comp[],12, FALSE)</f>
        <v>4</v>
      </c>
      <c r="AH363">
        <f>VLOOKUP(Table29[[#This Row],[Shortname]], Comp[], 13, FALSE)</f>
        <v>1</v>
      </c>
      <c r="AI363">
        <f>VLOOKUP(Table29[[#This Row],[Shortname]], Comp[], 14, FALSE)</f>
        <v>0</v>
      </c>
      <c r="AJ363">
        <f>VLOOKUP(Table29[[#This Row],[Shortname]], Comp[], 15, FALSE)</f>
        <v>0</v>
      </c>
      <c r="AK363">
        <f>VLOOKUP(Table29[[#This Row],[Shortname]], Comp[], 16, FALSE)</f>
        <v>0</v>
      </c>
      <c r="AL363">
        <f>VLOOKUP(Table29[[#This Row],[Shortname]], Comp[], 17, FALSE)</f>
        <v>0</v>
      </c>
      <c r="AM363">
        <f>VLOOKUP(Table29[[#This Row],[Shortname]], Comp[], 18, FALSE)</f>
        <v>0</v>
      </c>
      <c r="AN363">
        <f>VLOOKUP(Table29[[#This Row],[Shortname]], Comp[], 19, FALSE)</f>
        <v>0</v>
      </c>
      <c r="AO363">
        <f>VLOOKUP(Table29[[#This Row],[Shortname]], Comp[], 20, FALSE)</f>
        <v>0</v>
      </c>
      <c r="AP363">
        <f>VLOOKUP(Table29[[#This Row],[Shortname]], Comp[], 21, FALSE)</f>
        <v>0</v>
      </c>
      <c r="AQ363">
        <f>VLOOKUP(Table29[[#This Row],[Shortname]], Comp[], 22, FALSE)</f>
        <v>0</v>
      </c>
      <c r="AR363">
        <f>VLOOKUP(Table29[[#This Row],[Shortname]], Comp[], 23, FALSE)</f>
        <v>0</v>
      </c>
      <c r="AS363">
        <f>VLOOKUP(Table29[[#This Row],[Shortname]], Comp[], 24, FALSE)</f>
        <v>0</v>
      </c>
      <c r="AT363">
        <f>VLOOKUP(Table29[[#This Row],[Shortname]], Comp[], 25, FALSE)</f>
        <v>0</v>
      </c>
      <c r="AU363">
        <f>VLOOKUP(Table29[[#This Row],[Shortname]], Comp[], 26, FALSE)</f>
        <v>0</v>
      </c>
      <c r="AV363">
        <f>VLOOKUP(Table29[[#This Row],[Shortname]], Comp[], 27, FALSE)</f>
        <v>0</v>
      </c>
      <c r="AW363">
        <f>VLOOKUP(Table29[[#This Row],[Shortname]], Comp[], 28, FALSE)</f>
        <v>0</v>
      </c>
      <c r="AX363">
        <f>VLOOKUP(Table29[[#This Row],[Shortname]], Comp[], 29, FALSE)</f>
        <v>0</v>
      </c>
      <c r="AY363">
        <f>VLOOKUP(Table29[[#This Row],[Shortname]], Comp[], 30, FALSE)</f>
        <v>0</v>
      </c>
      <c r="AZ363">
        <f>VLOOKUP(Table29[[#This Row],[Shortname]], Comp[], 31, FALSE)</f>
        <v>0</v>
      </c>
    </row>
    <row r="364" spans="1:52" x14ac:dyDescent="0.3">
      <c r="A364" t="s">
        <v>1653</v>
      </c>
      <c r="C364">
        <v>211</v>
      </c>
      <c r="D364" t="s">
        <v>1654</v>
      </c>
      <c r="E364" t="s">
        <v>160</v>
      </c>
      <c r="F364" t="s">
        <v>1655</v>
      </c>
      <c r="G364" t="s">
        <v>1656</v>
      </c>
      <c r="H364">
        <v>62</v>
      </c>
      <c r="I364">
        <v>9.9999999999999995E-8</v>
      </c>
      <c r="J364">
        <f>0.01/Table29[[#This Row],[Strain Rate (min) /s]]</f>
        <v>100000</v>
      </c>
      <c r="K364">
        <f>LOG(Table29[[#This Row],[Time to 1% strain (s)]])</f>
        <v>5</v>
      </c>
      <c r="L364">
        <v>1093</v>
      </c>
      <c r="P364" t="s">
        <v>7159</v>
      </c>
      <c r="Q364">
        <v>1270</v>
      </c>
      <c r="R364">
        <v>24</v>
      </c>
      <c r="S364">
        <v>1000</v>
      </c>
      <c r="T364">
        <v>50</v>
      </c>
      <c r="W364">
        <v>-1</v>
      </c>
      <c r="X364">
        <v>1</v>
      </c>
      <c r="Y364">
        <v>88</v>
      </c>
      <c r="Z364" t="s">
        <v>7160</v>
      </c>
      <c r="AA364">
        <f>VLOOKUP(Table29[[#This Row],[Shortname]], Comp[], 6, FALSE)</f>
        <v>211</v>
      </c>
      <c r="AB364" s="14">
        <f>VLOOKUP(Table29[[#This Row],[Shortname]], Comp[], 7, FALSE)</f>
        <v>45</v>
      </c>
      <c r="AC364">
        <f>VLOOKUP(Table29[[#This Row],[Shortname]], Comp[], 8, FALSE)</f>
        <v>30</v>
      </c>
      <c r="AD364">
        <f>VLOOKUP(Table29[[#This Row],[Shortname]], Comp[], 9, FALSE)</f>
        <v>11</v>
      </c>
      <c r="AE364">
        <f>VLOOKUP(Table29[[#This Row],[Shortname]], Comp[], 10, FALSE)</f>
        <v>5</v>
      </c>
      <c r="AF364">
        <f>VLOOKUP(Table29[[#This Row],[Shortname]], Comp[], 11, FALSE)</f>
        <v>4</v>
      </c>
      <c r="AG364">
        <f>VLOOKUP(Table29[[#This Row],[Shortname]], Comp[],12, FALSE)</f>
        <v>4</v>
      </c>
      <c r="AH364">
        <f>VLOOKUP(Table29[[#This Row],[Shortname]], Comp[], 13, FALSE)</f>
        <v>1</v>
      </c>
      <c r="AI364">
        <f>VLOOKUP(Table29[[#This Row],[Shortname]], Comp[], 14, FALSE)</f>
        <v>0</v>
      </c>
      <c r="AJ364">
        <f>VLOOKUP(Table29[[#This Row],[Shortname]], Comp[], 15, FALSE)</f>
        <v>0</v>
      </c>
      <c r="AK364">
        <f>VLOOKUP(Table29[[#This Row],[Shortname]], Comp[], 16, FALSE)</f>
        <v>0</v>
      </c>
      <c r="AL364">
        <f>VLOOKUP(Table29[[#This Row],[Shortname]], Comp[], 17, FALSE)</f>
        <v>0</v>
      </c>
      <c r="AM364">
        <f>VLOOKUP(Table29[[#This Row],[Shortname]], Comp[], 18, FALSE)</f>
        <v>0</v>
      </c>
      <c r="AN364">
        <f>VLOOKUP(Table29[[#This Row],[Shortname]], Comp[], 19, FALSE)</f>
        <v>0</v>
      </c>
      <c r="AO364">
        <f>VLOOKUP(Table29[[#This Row],[Shortname]], Comp[], 20, FALSE)</f>
        <v>0</v>
      </c>
      <c r="AP364">
        <f>VLOOKUP(Table29[[#This Row],[Shortname]], Comp[], 21, FALSE)</f>
        <v>0</v>
      </c>
      <c r="AQ364">
        <f>VLOOKUP(Table29[[#This Row],[Shortname]], Comp[], 22, FALSE)</f>
        <v>0</v>
      </c>
      <c r="AR364">
        <f>VLOOKUP(Table29[[#This Row],[Shortname]], Comp[], 23, FALSE)</f>
        <v>0</v>
      </c>
      <c r="AS364">
        <f>VLOOKUP(Table29[[#This Row],[Shortname]], Comp[], 24, FALSE)</f>
        <v>0</v>
      </c>
      <c r="AT364">
        <f>VLOOKUP(Table29[[#This Row],[Shortname]], Comp[], 25, FALSE)</f>
        <v>0</v>
      </c>
      <c r="AU364">
        <f>VLOOKUP(Table29[[#This Row],[Shortname]], Comp[], 26, FALSE)</f>
        <v>0</v>
      </c>
      <c r="AV364">
        <f>VLOOKUP(Table29[[#This Row],[Shortname]], Comp[], 27, FALSE)</f>
        <v>0</v>
      </c>
      <c r="AW364">
        <f>VLOOKUP(Table29[[#This Row],[Shortname]], Comp[], 28, FALSE)</f>
        <v>0</v>
      </c>
      <c r="AX364">
        <f>VLOOKUP(Table29[[#This Row],[Shortname]], Comp[], 29, FALSE)</f>
        <v>0</v>
      </c>
      <c r="AY364">
        <f>VLOOKUP(Table29[[#This Row],[Shortname]], Comp[], 30, FALSE)</f>
        <v>0</v>
      </c>
      <c r="AZ364">
        <f>VLOOKUP(Table29[[#This Row],[Shortname]], Comp[], 31, FALSE)</f>
        <v>0</v>
      </c>
    </row>
    <row r="365" spans="1:52" x14ac:dyDescent="0.3">
      <c r="A365" t="s">
        <v>2118</v>
      </c>
      <c r="C365">
        <v>278</v>
      </c>
      <c r="D365" t="s">
        <v>2119</v>
      </c>
      <c r="E365" t="s">
        <v>160</v>
      </c>
      <c r="F365" t="s">
        <v>3101</v>
      </c>
      <c r="G365" t="s">
        <v>7262</v>
      </c>
      <c r="H365">
        <v>137</v>
      </c>
      <c r="I365">
        <v>1.4999999999999999E-8</v>
      </c>
      <c r="J365">
        <f>0.01/Table29[[#This Row],[Strain Rate (min) /s]]</f>
        <v>666666.66666666674</v>
      </c>
      <c r="K365">
        <f>LOG(Table29[[#This Row],[Time to 1% strain (s)]])</f>
        <v>5.8239087409443187</v>
      </c>
      <c r="L365">
        <v>1000</v>
      </c>
      <c r="P365" t="s">
        <v>7103</v>
      </c>
      <c r="Q365">
        <v>1270</v>
      </c>
      <c r="R365">
        <v>24</v>
      </c>
      <c r="S365">
        <v>900</v>
      </c>
      <c r="T365">
        <v>50</v>
      </c>
      <c r="W365">
        <v>-1</v>
      </c>
      <c r="X365">
        <v>1</v>
      </c>
      <c r="Y365">
        <v>66.900000000000006</v>
      </c>
      <c r="AA365">
        <f>VLOOKUP(Table29[[#This Row],[Shortname]], Comp[], 6, FALSE)</f>
        <v>278</v>
      </c>
      <c r="AB365" s="14">
        <f>VLOOKUP(Table29[[#This Row],[Shortname]], Comp[], 7, FALSE)</f>
        <v>80</v>
      </c>
      <c r="AC365">
        <f>VLOOKUP(Table29[[#This Row],[Shortname]], Comp[], 8, FALSE)</f>
        <v>0</v>
      </c>
      <c r="AD365">
        <f>VLOOKUP(Table29[[#This Row],[Shortname]], Comp[], 9, FALSE)</f>
        <v>7</v>
      </c>
      <c r="AE365">
        <f>VLOOKUP(Table29[[#This Row],[Shortname]], Comp[], 10, FALSE)</f>
        <v>0</v>
      </c>
      <c r="AF365">
        <f>VLOOKUP(Table29[[#This Row],[Shortname]], Comp[], 11, FALSE)</f>
        <v>8</v>
      </c>
      <c r="AG365">
        <f>VLOOKUP(Table29[[#This Row],[Shortname]], Comp[],12, FALSE)</f>
        <v>4</v>
      </c>
      <c r="AH365">
        <f>VLOOKUP(Table29[[#This Row],[Shortname]], Comp[], 13, FALSE)</f>
        <v>1</v>
      </c>
      <c r="AI365">
        <f>VLOOKUP(Table29[[#This Row],[Shortname]], Comp[], 14, FALSE)</f>
        <v>0</v>
      </c>
      <c r="AJ365">
        <f>VLOOKUP(Table29[[#This Row],[Shortname]], Comp[], 15, FALSE)</f>
        <v>0</v>
      </c>
      <c r="AK365">
        <f>VLOOKUP(Table29[[#This Row],[Shortname]], Comp[], 16, FALSE)</f>
        <v>0</v>
      </c>
      <c r="AL365">
        <f>VLOOKUP(Table29[[#This Row],[Shortname]], Comp[], 17, FALSE)</f>
        <v>0</v>
      </c>
      <c r="AM365">
        <f>VLOOKUP(Table29[[#This Row],[Shortname]], Comp[], 18, FALSE)</f>
        <v>0</v>
      </c>
      <c r="AN365">
        <f>VLOOKUP(Table29[[#This Row],[Shortname]], Comp[], 19, FALSE)</f>
        <v>0</v>
      </c>
      <c r="AO365">
        <f>VLOOKUP(Table29[[#This Row],[Shortname]], Comp[], 20, FALSE)</f>
        <v>0</v>
      </c>
      <c r="AP365">
        <f>VLOOKUP(Table29[[#This Row],[Shortname]], Comp[], 21, FALSE)</f>
        <v>0</v>
      </c>
      <c r="AQ365">
        <f>VLOOKUP(Table29[[#This Row],[Shortname]], Comp[], 22, FALSE)</f>
        <v>0</v>
      </c>
      <c r="AR365">
        <f>VLOOKUP(Table29[[#This Row],[Shortname]], Comp[], 23, FALSE)</f>
        <v>0</v>
      </c>
      <c r="AS365">
        <f>VLOOKUP(Table29[[#This Row],[Shortname]], Comp[], 24, FALSE)</f>
        <v>0</v>
      </c>
      <c r="AT365">
        <f>VLOOKUP(Table29[[#This Row],[Shortname]], Comp[], 25, FALSE)</f>
        <v>0</v>
      </c>
      <c r="AU365">
        <f>VLOOKUP(Table29[[#This Row],[Shortname]], Comp[], 26, FALSE)</f>
        <v>0</v>
      </c>
      <c r="AV365">
        <f>VLOOKUP(Table29[[#This Row],[Shortname]], Comp[], 27, FALSE)</f>
        <v>0</v>
      </c>
      <c r="AW365">
        <f>VLOOKUP(Table29[[#This Row],[Shortname]], Comp[], 28, FALSE)</f>
        <v>0</v>
      </c>
      <c r="AX365">
        <f>VLOOKUP(Table29[[#This Row],[Shortname]], Comp[], 29, FALSE)</f>
        <v>0</v>
      </c>
      <c r="AY365">
        <f>VLOOKUP(Table29[[#This Row],[Shortname]], Comp[], 30, FALSE)</f>
        <v>0</v>
      </c>
      <c r="AZ365">
        <f>VLOOKUP(Table29[[#This Row],[Shortname]], Comp[], 31, FALSE)</f>
        <v>0</v>
      </c>
    </row>
    <row r="366" spans="1:52" x14ac:dyDescent="0.3">
      <c r="A366" t="s">
        <v>2149</v>
      </c>
      <c r="C366">
        <v>284</v>
      </c>
      <c r="D366" t="s">
        <v>1729</v>
      </c>
      <c r="E366" t="s">
        <v>95</v>
      </c>
      <c r="F366" t="s">
        <v>2150</v>
      </c>
      <c r="G366" t="s">
        <v>7263</v>
      </c>
      <c r="H366">
        <v>460</v>
      </c>
      <c r="I366">
        <v>2.0500000000000002E-8</v>
      </c>
      <c r="J366">
        <f>0.01/Table29[[#This Row],[Strain Rate (min) /s]]</f>
        <v>487804.87804878043</v>
      </c>
      <c r="K366">
        <f>LOG(Table29[[#This Row],[Time to 1% strain (s)]])</f>
        <v>5.6882461389442458</v>
      </c>
      <c r="L366">
        <v>850</v>
      </c>
      <c r="P366" t="s">
        <v>7161</v>
      </c>
      <c r="Q366">
        <v>1300</v>
      </c>
      <c r="R366">
        <v>12</v>
      </c>
      <c r="S366">
        <v>900</v>
      </c>
      <c r="T366">
        <v>200</v>
      </c>
      <c r="W366">
        <v>1</v>
      </c>
      <c r="X366">
        <v>1</v>
      </c>
      <c r="Y366">
        <v>70</v>
      </c>
      <c r="Z366" t="s">
        <v>7266</v>
      </c>
      <c r="AA366">
        <f>VLOOKUP(Table29[[#This Row],[Shortname]], Comp[], 6, FALSE)</f>
        <v>284</v>
      </c>
      <c r="AB366" s="14">
        <f>VLOOKUP(Table29[[#This Row],[Shortname]], Comp[], 7, FALSE)</f>
        <v>80</v>
      </c>
      <c r="AC366">
        <f>VLOOKUP(Table29[[#This Row],[Shortname]], Comp[], 8, FALSE)</f>
        <v>0</v>
      </c>
      <c r="AD366">
        <f>VLOOKUP(Table29[[#This Row],[Shortname]], Comp[], 9, FALSE)</f>
        <v>9</v>
      </c>
      <c r="AE366">
        <f>VLOOKUP(Table29[[#This Row],[Shortname]], Comp[], 10, FALSE)</f>
        <v>0</v>
      </c>
      <c r="AF366">
        <f>VLOOKUP(Table29[[#This Row],[Shortname]], Comp[], 11, FALSE)</f>
        <v>11</v>
      </c>
      <c r="AG366">
        <f>VLOOKUP(Table29[[#This Row],[Shortname]], Comp[],12, FALSE)</f>
        <v>0</v>
      </c>
      <c r="AH366">
        <f>VLOOKUP(Table29[[#This Row],[Shortname]], Comp[], 13, FALSE)</f>
        <v>0</v>
      </c>
      <c r="AI366">
        <f>VLOOKUP(Table29[[#This Row],[Shortname]], Comp[], 14, FALSE)</f>
        <v>0</v>
      </c>
      <c r="AJ366">
        <f>VLOOKUP(Table29[[#This Row],[Shortname]], Comp[], 15, FALSE)</f>
        <v>0</v>
      </c>
      <c r="AK366">
        <f>VLOOKUP(Table29[[#This Row],[Shortname]], Comp[], 16, FALSE)</f>
        <v>0</v>
      </c>
      <c r="AL366">
        <f>VLOOKUP(Table29[[#This Row],[Shortname]], Comp[], 17, FALSE)</f>
        <v>0</v>
      </c>
      <c r="AM366">
        <f>VLOOKUP(Table29[[#This Row],[Shortname]], Comp[], 18, FALSE)</f>
        <v>0</v>
      </c>
      <c r="AN366">
        <f>VLOOKUP(Table29[[#This Row],[Shortname]], Comp[], 19, FALSE)</f>
        <v>0</v>
      </c>
      <c r="AO366">
        <f>VLOOKUP(Table29[[#This Row],[Shortname]], Comp[], 20, FALSE)</f>
        <v>0</v>
      </c>
      <c r="AP366">
        <f>VLOOKUP(Table29[[#This Row],[Shortname]], Comp[], 21, FALSE)</f>
        <v>0</v>
      </c>
      <c r="AQ366">
        <f>VLOOKUP(Table29[[#This Row],[Shortname]], Comp[], 22, FALSE)</f>
        <v>0</v>
      </c>
      <c r="AR366">
        <f>VLOOKUP(Table29[[#This Row],[Shortname]], Comp[], 23, FALSE)</f>
        <v>0</v>
      </c>
      <c r="AS366">
        <f>VLOOKUP(Table29[[#This Row],[Shortname]], Comp[], 24, FALSE)</f>
        <v>0</v>
      </c>
      <c r="AT366">
        <f>VLOOKUP(Table29[[#This Row],[Shortname]], Comp[], 25, FALSE)</f>
        <v>0</v>
      </c>
      <c r="AU366">
        <f>VLOOKUP(Table29[[#This Row],[Shortname]], Comp[], 26, FALSE)</f>
        <v>0</v>
      </c>
      <c r="AV366">
        <f>VLOOKUP(Table29[[#This Row],[Shortname]], Comp[], 27, FALSE)</f>
        <v>0</v>
      </c>
      <c r="AW366">
        <f>VLOOKUP(Table29[[#This Row],[Shortname]], Comp[], 28, FALSE)</f>
        <v>0</v>
      </c>
      <c r="AX366">
        <f>VLOOKUP(Table29[[#This Row],[Shortname]], Comp[], 29, FALSE)</f>
        <v>0</v>
      </c>
      <c r="AY366">
        <f>VLOOKUP(Table29[[#This Row],[Shortname]], Comp[], 30, FALSE)</f>
        <v>0</v>
      </c>
      <c r="AZ366">
        <f>VLOOKUP(Table29[[#This Row],[Shortname]], Comp[], 31, FALSE)</f>
        <v>0</v>
      </c>
    </row>
    <row r="367" spans="1:52" x14ac:dyDescent="0.3">
      <c r="A367" t="s">
        <v>2141</v>
      </c>
      <c r="C367">
        <v>282</v>
      </c>
      <c r="D367" t="s">
        <v>2142</v>
      </c>
      <c r="E367" t="s">
        <v>95</v>
      </c>
      <c r="F367" t="s">
        <v>2143</v>
      </c>
      <c r="G367" t="s">
        <v>7263</v>
      </c>
      <c r="H367">
        <v>460</v>
      </c>
      <c r="I367">
        <v>2.9999999999999999E-7</v>
      </c>
      <c r="J367">
        <f>0.01/Table29[[#This Row],[Strain Rate (min) /s]]</f>
        <v>33333.333333333336</v>
      </c>
      <c r="K367">
        <f>LOG(Table29[[#This Row],[Time to 1% strain (s)]])</f>
        <v>4.5228787452803374</v>
      </c>
      <c r="L367">
        <v>850</v>
      </c>
      <c r="P367" t="s">
        <v>7162</v>
      </c>
      <c r="Q367">
        <v>1300</v>
      </c>
      <c r="R367">
        <v>12</v>
      </c>
      <c r="S367">
        <v>900</v>
      </c>
      <c r="T367">
        <v>200</v>
      </c>
      <c r="W367">
        <v>1</v>
      </c>
      <c r="X367">
        <v>1</v>
      </c>
      <c r="Y367">
        <v>70</v>
      </c>
      <c r="Z367" t="s">
        <v>7266</v>
      </c>
      <c r="AA367">
        <f>VLOOKUP(Table29[[#This Row],[Shortname]], Comp[], 6, FALSE)</f>
        <v>282</v>
      </c>
      <c r="AB367" s="14">
        <f>VLOOKUP(Table29[[#This Row],[Shortname]], Comp[], 7, FALSE)</f>
        <v>83</v>
      </c>
      <c r="AC367">
        <f>VLOOKUP(Table29[[#This Row],[Shortname]], Comp[], 8, FALSE)</f>
        <v>0</v>
      </c>
      <c r="AD367">
        <f>VLOOKUP(Table29[[#This Row],[Shortname]], Comp[], 9, FALSE)</f>
        <v>9</v>
      </c>
      <c r="AE367">
        <f>VLOOKUP(Table29[[#This Row],[Shortname]], Comp[], 10, FALSE)</f>
        <v>0</v>
      </c>
      <c r="AF367">
        <f>VLOOKUP(Table29[[#This Row],[Shortname]], Comp[], 11, FALSE)</f>
        <v>8</v>
      </c>
      <c r="AG367">
        <f>VLOOKUP(Table29[[#This Row],[Shortname]], Comp[],12, FALSE)</f>
        <v>0</v>
      </c>
      <c r="AH367">
        <f>VLOOKUP(Table29[[#This Row],[Shortname]], Comp[], 13, FALSE)</f>
        <v>0</v>
      </c>
      <c r="AI367">
        <f>VLOOKUP(Table29[[#This Row],[Shortname]], Comp[], 14, FALSE)</f>
        <v>0</v>
      </c>
      <c r="AJ367">
        <f>VLOOKUP(Table29[[#This Row],[Shortname]], Comp[], 15, FALSE)</f>
        <v>0</v>
      </c>
      <c r="AK367">
        <f>VLOOKUP(Table29[[#This Row],[Shortname]], Comp[], 16, FALSE)</f>
        <v>0</v>
      </c>
      <c r="AL367">
        <f>VLOOKUP(Table29[[#This Row],[Shortname]], Comp[], 17, FALSE)</f>
        <v>0</v>
      </c>
      <c r="AM367">
        <f>VLOOKUP(Table29[[#This Row],[Shortname]], Comp[], 18, FALSE)</f>
        <v>0</v>
      </c>
      <c r="AN367">
        <f>VLOOKUP(Table29[[#This Row],[Shortname]], Comp[], 19, FALSE)</f>
        <v>0</v>
      </c>
      <c r="AO367">
        <f>VLOOKUP(Table29[[#This Row],[Shortname]], Comp[], 20, FALSE)</f>
        <v>0</v>
      </c>
      <c r="AP367">
        <f>VLOOKUP(Table29[[#This Row],[Shortname]], Comp[], 21, FALSE)</f>
        <v>0</v>
      </c>
      <c r="AQ367">
        <f>VLOOKUP(Table29[[#This Row],[Shortname]], Comp[], 22, FALSE)</f>
        <v>0</v>
      </c>
      <c r="AR367">
        <f>VLOOKUP(Table29[[#This Row],[Shortname]], Comp[], 23, FALSE)</f>
        <v>0</v>
      </c>
      <c r="AS367">
        <f>VLOOKUP(Table29[[#This Row],[Shortname]], Comp[], 24, FALSE)</f>
        <v>0</v>
      </c>
      <c r="AT367">
        <f>VLOOKUP(Table29[[#This Row],[Shortname]], Comp[], 25, FALSE)</f>
        <v>0</v>
      </c>
      <c r="AU367">
        <f>VLOOKUP(Table29[[#This Row],[Shortname]], Comp[], 26, FALSE)</f>
        <v>0</v>
      </c>
      <c r="AV367">
        <f>VLOOKUP(Table29[[#This Row],[Shortname]], Comp[], 27, FALSE)</f>
        <v>0</v>
      </c>
      <c r="AW367">
        <f>VLOOKUP(Table29[[#This Row],[Shortname]], Comp[], 28, FALSE)</f>
        <v>0</v>
      </c>
      <c r="AX367">
        <f>VLOOKUP(Table29[[#This Row],[Shortname]], Comp[], 29, FALSE)</f>
        <v>0</v>
      </c>
      <c r="AY367">
        <f>VLOOKUP(Table29[[#This Row],[Shortname]], Comp[], 30, FALSE)</f>
        <v>0</v>
      </c>
      <c r="AZ367">
        <f>VLOOKUP(Table29[[#This Row],[Shortname]], Comp[], 31, FALSE)</f>
        <v>0</v>
      </c>
    </row>
    <row r="368" spans="1:52" x14ac:dyDescent="0.3">
      <c r="A368" t="s">
        <v>2141</v>
      </c>
      <c r="C368">
        <v>282</v>
      </c>
      <c r="D368" t="s">
        <v>11</v>
      </c>
      <c r="E368" t="s">
        <v>95</v>
      </c>
      <c r="F368" t="s">
        <v>2143</v>
      </c>
      <c r="G368" t="s">
        <v>7263</v>
      </c>
      <c r="H368">
        <v>400</v>
      </c>
      <c r="I368">
        <v>5.9999999999999995E-8</v>
      </c>
      <c r="J368">
        <f>0.01/Table29[[#This Row],[Strain Rate (min) /s]]</f>
        <v>166666.66666666669</v>
      </c>
      <c r="K368">
        <f>LOG(Table29[[#This Row],[Time to 1% strain (s)]])</f>
        <v>5.2218487496163561</v>
      </c>
      <c r="L368">
        <v>850</v>
      </c>
      <c r="P368" t="s">
        <v>7163</v>
      </c>
      <c r="Q368">
        <v>1300</v>
      </c>
      <c r="R368">
        <v>12</v>
      </c>
      <c r="S368">
        <v>900</v>
      </c>
      <c r="T368">
        <v>200</v>
      </c>
      <c r="W368">
        <v>1</v>
      </c>
      <c r="X368">
        <v>1</v>
      </c>
      <c r="Y368">
        <v>70</v>
      </c>
      <c r="Z368" t="s">
        <v>7266</v>
      </c>
      <c r="AA368">
        <f>VLOOKUP(Table29[[#This Row],[Shortname]], Comp[], 6, FALSE)</f>
        <v>282</v>
      </c>
      <c r="AB368" s="14">
        <f>VLOOKUP(Table29[[#This Row],[Shortname]], Comp[], 7, FALSE)</f>
        <v>83</v>
      </c>
      <c r="AC368">
        <f>VLOOKUP(Table29[[#This Row],[Shortname]], Comp[], 8, FALSE)</f>
        <v>0</v>
      </c>
      <c r="AD368">
        <f>VLOOKUP(Table29[[#This Row],[Shortname]], Comp[], 9, FALSE)</f>
        <v>9</v>
      </c>
      <c r="AE368">
        <f>VLOOKUP(Table29[[#This Row],[Shortname]], Comp[], 10, FALSE)</f>
        <v>0</v>
      </c>
      <c r="AF368">
        <f>VLOOKUP(Table29[[#This Row],[Shortname]], Comp[], 11, FALSE)</f>
        <v>8</v>
      </c>
      <c r="AG368">
        <f>VLOOKUP(Table29[[#This Row],[Shortname]], Comp[],12, FALSE)</f>
        <v>0</v>
      </c>
      <c r="AH368">
        <f>VLOOKUP(Table29[[#This Row],[Shortname]], Comp[], 13, FALSE)</f>
        <v>0</v>
      </c>
      <c r="AI368">
        <f>VLOOKUP(Table29[[#This Row],[Shortname]], Comp[], 14, FALSE)</f>
        <v>0</v>
      </c>
      <c r="AJ368">
        <f>VLOOKUP(Table29[[#This Row],[Shortname]], Comp[], 15, FALSE)</f>
        <v>0</v>
      </c>
      <c r="AK368">
        <f>VLOOKUP(Table29[[#This Row],[Shortname]], Comp[], 16, FALSE)</f>
        <v>0</v>
      </c>
      <c r="AL368">
        <f>VLOOKUP(Table29[[#This Row],[Shortname]], Comp[], 17, FALSE)</f>
        <v>0</v>
      </c>
      <c r="AM368">
        <f>VLOOKUP(Table29[[#This Row],[Shortname]], Comp[], 18, FALSE)</f>
        <v>0</v>
      </c>
      <c r="AN368">
        <f>VLOOKUP(Table29[[#This Row],[Shortname]], Comp[], 19, FALSE)</f>
        <v>0</v>
      </c>
      <c r="AO368">
        <f>VLOOKUP(Table29[[#This Row],[Shortname]], Comp[], 20, FALSE)</f>
        <v>0</v>
      </c>
      <c r="AP368">
        <f>VLOOKUP(Table29[[#This Row],[Shortname]], Comp[], 21, FALSE)</f>
        <v>0</v>
      </c>
      <c r="AQ368">
        <f>VLOOKUP(Table29[[#This Row],[Shortname]], Comp[], 22, FALSE)</f>
        <v>0</v>
      </c>
      <c r="AR368">
        <f>VLOOKUP(Table29[[#This Row],[Shortname]], Comp[], 23, FALSE)</f>
        <v>0</v>
      </c>
      <c r="AS368">
        <f>VLOOKUP(Table29[[#This Row],[Shortname]], Comp[], 24, FALSE)</f>
        <v>0</v>
      </c>
      <c r="AT368">
        <f>VLOOKUP(Table29[[#This Row],[Shortname]], Comp[], 25, FALSE)</f>
        <v>0</v>
      </c>
      <c r="AU368">
        <f>VLOOKUP(Table29[[#This Row],[Shortname]], Comp[], 26, FALSE)</f>
        <v>0</v>
      </c>
      <c r="AV368">
        <f>VLOOKUP(Table29[[#This Row],[Shortname]], Comp[], 27, FALSE)</f>
        <v>0</v>
      </c>
      <c r="AW368">
        <f>VLOOKUP(Table29[[#This Row],[Shortname]], Comp[], 28, FALSE)</f>
        <v>0</v>
      </c>
      <c r="AX368">
        <f>VLOOKUP(Table29[[#This Row],[Shortname]], Comp[], 29, FALSE)</f>
        <v>0</v>
      </c>
      <c r="AY368">
        <f>VLOOKUP(Table29[[#This Row],[Shortname]], Comp[], 30, FALSE)</f>
        <v>0</v>
      </c>
      <c r="AZ368">
        <f>VLOOKUP(Table29[[#This Row],[Shortname]], Comp[], 31, FALSE)</f>
        <v>0</v>
      </c>
    </row>
    <row r="369" spans="1:52" x14ac:dyDescent="0.3">
      <c r="A369" t="s">
        <v>641</v>
      </c>
      <c r="C369">
        <v>82</v>
      </c>
      <c r="D369" t="s">
        <v>642</v>
      </c>
      <c r="E369" t="s">
        <v>95</v>
      </c>
      <c r="F369" t="s">
        <v>97</v>
      </c>
      <c r="G369" t="s">
        <v>7263</v>
      </c>
      <c r="H369">
        <v>460</v>
      </c>
      <c r="I369">
        <v>5.8099999999999997E-8</v>
      </c>
      <c r="J369">
        <f>0.01/Table29[[#This Row],[Strain Rate (min) /s]]</f>
        <v>172117.03958691913</v>
      </c>
      <c r="K369">
        <f>LOG(Table29[[#This Row],[Time to 1% strain (s)]])</f>
        <v>5.2358238676096693</v>
      </c>
      <c r="L369">
        <v>850</v>
      </c>
      <c r="P369" t="s">
        <v>7164</v>
      </c>
      <c r="Q369">
        <v>1300</v>
      </c>
      <c r="R369">
        <v>12</v>
      </c>
      <c r="S369">
        <v>900</v>
      </c>
      <c r="T369">
        <v>200</v>
      </c>
      <c r="W369">
        <v>1</v>
      </c>
      <c r="X369">
        <v>1</v>
      </c>
      <c r="Y369">
        <v>70</v>
      </c>
      <c r="Z369" t="s">
        <v>7266</v>
      </c>
      <c r="AA369">
        <f>VLOOKUP(Table29[[#This Row],[Shortname]], Comp[], 6, FALSE)</f>
        <v>82</v>
      </c>
      <c r="AB369" s="14">
        <f>VLOOKUP(Table29[[#This Row],[Shortname]], Comp[], 7, FALSE)</f>
        <v>82</v>
      </c>
      <c r="AC369">
        <f>VLOOKUP(Table29[[#This Row],[Shortname]], Comp[], 8, FALSE)</f>
        <v>0</v>
      </c>
      <c r="AD369">
        <f>VLOOKUP(Table29[[#This Row],[Shortname]], Comp[], 9, FALSE)</f>
        <v>9</v>
      </c>
      <c r="AE369">
        <f>VLOOKUP(Table29[[#This Row],[Shortname]], Comp[], 10, FALSE)</f>
        <v>0</v>
      </c>
      <c r="AF369">
        <f>VLOOKUP(Table29[[#This Row],[Shortname]], Comp[], 11, FALSE)</f>
        <v>9</v>
      </c>
      <c r="AG369">
        <f>VLOOKUP(Table29[[#This Row],[Shortname]], Comp[],12, FALSE)</f>
        <v>0</v>
      </c>
      <c r="AH369">
        <f>VLOOKUP(Table29[[#This Row],[Shortname]], Comp[], 13, FALSE)</f>
        <v>0</v>
      </c>
      <c r="AI369">
        <f>VLOOKUP(Table29[[#This Row],[Shortname]], Comp[], 14, FALSE)</f>
        <v>0</v>
      </c>
      <c r="AJ369">
        <f>VLOOKUP(Table29[[#This Row],[Shortname]], Comp[], 15, FALSE)</f>
        <v>0</v>
      </c>
      <c r="AK369">
        <f>VLOOKUP(Table29[[#This Row],[Shortname]], Comp[], 16, FALSE)</f>
        <v>0</v>
      </c>
      <c r="AL369">
        <f>VLOOKUP(Table29[[#This Row],[Shortname]], Comp[], 17, FALSE)</f>
        <v>0</v>
      </c>
      <c r="AM369">
        <f>VLOOKUP(Table29[[#This Row],[Shortname]], Comp[], 18, FALSE)</f>
        <v>0</v>
      </c>
      <c r="AN369">
        <f>VLOOKUP(Table29[[#This Row],[Shortname]], Comp[], 19, FALSE)</f>
        <v>0</v>
      </c>
      <c r="AO369">
        <f>VLOOKUP(Table29[[#This Row],[Shortname]], Comp[], 20, FALSE)</f>
        <v>0</v>
      </c>
      <c r="AP369">
        <f>VLOOKUP(Table29[[#This Row],[Shortname]], Comp[], 21, FALSE)</f>
        <v>0</v>
      </c>
      <c r="AQ369">
        <f>VLOOKUP(Table29[[#This Row],[Shortname]], Comp[], 22, FALSE)</f>
        <v>0</v>
      </c>
      <c r="AR369">
        <f>VLOOKUP(Table29[[#This Row],[Shortname]], Comp[], 23, FALSE)</f>
        <v>0</v>
      </c>
      <c r="AS369">
        <f>VLOOKUP(Table29[[#This Row],[Shortname]], Comp[], 24, FALSE)</f>
        <v>0</v>
      </c>
      <c r="AT369">
        <f>VLOOKUP(Table29[[#This Row],[Shortname]], Comp[], 25, FALSE)</f>
        <v>0</v>
      </c>
      <c r="AU369">
        <f>VLOOKUP(Table29[[#This Row],[Shortname]], Comp[], 26, FALSE)</f>
        <v>0</v>
      </c>
      <c r="AV369">
        <f>VLOOKUP(Table29[[#This Row],[Shortname]], Comp[], 27, FALSE)</f>
        <v>0</v>
      </c>
      <c r="AW369">
        <f>VLOOKUP(Table29[[#This Row],[Shortname]], Comp[], 28, FALSE)</f>
        <v>0</v>
      </c>
      <c r="AX369">
        <f>VLOOKUP(Table29[[#This Row],[Shortname]], Comp[], 29, FALSE)</f>
        <v>0</v>
      </c>
      <c r="AY369">
        <f>VLOOKUP(Table29[[#This Row],[Shortname]], Comp[], 30, FALSE)</f>
        <v>0</v>
      </c>
      <c r="AZ369">
        <f>VLOOKUP(Table29[[#This Row],[Shortname]], Comp[], 31, FALSE)</f>
        <v>0</v>
      </c>
    </row>
    <row r="370" spans="1:52" x14ac:dyDescent="0.3">
      <c r="A370" t="s">
        <v>2450</v>
      </c>
      <c r="C370">
        <v>324</v>
      </c>
      <c r="D370" t="s">
        <v>2451</v>
      </c>
      <c r="E370" t="s">
        <v>2452</v>
      </c>
      <c r="F370" t="s">
        <v>2453</v>
      </c>
      <c r="H370">
        <v>196</v>
      </c>
      <c r="I370">
        <v>4.2575285565939762E-7</v>
      </c>
      <c r="J370">
        <f>0.01/Table29[[#This Row],[Strain Rate (min) /s]]</f>
        <v>23487.804878048788</v>
      </c>
      <c r="K370">
        <f>LOG(Table29[[#This Row],[Time to 1% strain (s)]])</f>
        <v>4.3708424304047995</v>
      </c>
      <c r="L370">
        <v>800</v>
      </c>
      <c r="P370" t="s">
        <v>7165</v>
      </c>
      <c r="Q370">
        <v>1300</v>
      </c>
      <c r="R370">
        <v>15</v>
      </c>
      <c r="S370">
        <v>700</v>
      </c>
      <c r="T370">
        <v>48</v>
      </c>
      <c r="W370">
        <v>-1</v>
      </c>
      <c r="X370">
        <v>1</v>
      </c>
      <c r="Y370">
        <v>80</v>
      </c>
      <c r="Z370" t="s">
        <v>7267</v>
      </c>
      <c r="AA370">
        <f>VLOOKUP(Table29[[#This Row],[Shortname]], Comp[], 6, FALSE)</f>
        <v>324</v>
      </c>
      <c r="AB370" s="14">
        <f>VLOOKUP(Table29[[#This Row],[Shortname]], Comp[], 7, FALSE)</f>
        <v>52.9</v>
      </c>
      <c r="AC370">
        <f>VLOOKUP(Table29[[#This Row],[Shortname]], Comp[], 8, FALSE)</f>
        <v>15.9</v>
      </c>
      <c r="AD370">
        <f>VLOOKUP(Table29[[#This Row],[Shortname]], Comp[], 9, FALSE)</f>
        <v>14.9</v>
      </c>
      <c r="AE370">
        <f>VLOOKUP(Table29[[#This Row],[Shortname]], Comp[], 10, FALSE)</f>
        <v>8.6999999999999993</v>
      </c>
      <c r="AF370">
        <f>VLOOKUP(Table29[[#This Row],[Shortname]], Comp[], 11, FALSE)</f>
        <v>2.5</v>
      </c>
      <c r="AG370">
        <f>VLOOKUP(Table29[[#This Row],[Shortname]], Comp[],12, FALSE)</f>
        <v>2.6</v>
      </c>
      <c r="AH370">
        <f>VLOOKUP(Table29[[#This Row],[Shortname]], Comp[], 13, FALSE)</f>
        <v>0.9</v>
      </c>
      <c r="AI370">
        <f>VLOOKUP(Table29[[#This Row],[Shortname]], Comp[], 14, FALSE)</f>
        <v>0</v>
      </c>
      <c r="AJ370">
        <f>VLOOKUP(Table29[[#This Row],[Shortname]], Comp[], 15, FALSE)</f>
        <v>0</v>
      </c>
      <c r="AK370">
        <f>VLOOKUP(Table29[[#This Row],[Shortname]], Comp[], 16, FALSE)</f>
        <v>1.1000000000000001</v>
      </c>
      <c r="AL370">
        <f>VLOOKUP(Table29[[#This Row],[Shortname]], Comp[], 17, FALSE)</f>
        <v>0</v>
      </c>
      <c r="AM370">
        <f>VLOOKUP(Table29[[#This Row],[Shortname]], Comp[], 18, FALSE)</f>
        <v>0</v>
      </c>
      <c r="AN370">
        <f>VLOOKUP(Table29[[#This Row],[Shortname]], Comp[], 19, FALSE)</f>
        <v>0</v>
      </c>
      <c r="AO370">
        <f>VLOOKUP(Table29[[#This Row],[Shortname]], Comp[], 20, FALSE)</f>
        <v>0</v>
      </c>
      <c r="AP370">
        <f>VLOOKUP(Table29[[#This Row],[Shortname]], Comp[], 21, FALSE)</f>
        <v>0.5</v>
      </c>
      <c r="AQ370">
        <f>VLOOKUP(Table29[[#This Row],[Shortname]], Comp[], 22, FALSE)</f>
        <v>0</v>
      </c>
      <c r="AR370">
        <f>VLOOKUP(Table29[[#This Row],[Shortname]], Comp[], 23, FALSE)</f>
        <v>0</v>
      </c>
      <c r="AS370">
        <f>VLOOKUP(Table29[[#This Row],[Shortname]], Comp[], 24, FALSE)</f>
        <v>0</v>
      </c>
      <c r="AT370">
        <f>VLOOKUP(Table29[[#This Row],[Shortname]], Comp[], 25, FALSE)</f>
        <v>0</v>
      </c>
      <c r="AU370">
        <f>VLOOKUP(Table29[[#This Row],[Shortname]], Comp[], 26, FALSE)</f>
        <v>0</v>
      </c>
      <c r="AV370">
        <f>VLOOKUP(Table29[[#This Row],[Shortname]], Comp[], 27, FALSE)</f>
        <v>0</v>
      </c>
      <c r="AW370">
        <f>VLOOKUP(Table29[[#This Row],[Shortname]], Comp[], 28, FALSE)</f>
        <v>0</v>
      </c>
      <c r="AX370">
        <f>VLOOKUP(Table29[[#This Row],[Shortname]], Comp[], 29, FALSE)</f>
        <v>0</v>
      </c>
      <c r="AY370">
        <f>VLOOKUP(Table29[[#This Row],[Shortname]], Comp[], 30, FALSE)</f>
        <v>0</v>
      </c>
      <c r="AZ370">
        <f>VLOOKUP(Table29[[#This Row],[Shortname]], Comp[], 31, FALSE)</f>
        <v>0</v>
      </c>
    </row>
    <row r="371" spans="1:52" x14ac:dyDescent="0.3">
      <c r="A371" t="s">
        <v>2450</v>
      </c>
      <c r="C371">
        <v>324</v>
      </c>
      <c r="D371" t="s">
        <v>11</v>
      </c>
      <c r="E371" t="s">
        <v>2452</v>
      </c>
      <c r="F371" t="s">
        <v>2453</v>
      </c>
      <c r="H371">
        <v>196</v>
      </c>
      <c r="I371">
        <v>6.1652101539741986E-7</v>
      </c>
      <c r="J371">
        <f>0.01/Table29[[#This Row],[Strain Rate (min) /s]]</f>
        <v>16220.047249409383</v>
      </c>
      <c r="K371">
        <f>LOG(Table29[[#This Row],[Time to 1% strain (s)]])</f>
        <v>4.2100521149878301</v>
      </c>
      <c r="L371">
        <v>800</v>
      </c>
      <c r="P371" t="s">
        <v>7166</v>
      </c>
      <c r="Q371">
        <v>1300</v>
      </c>
      <c r="R371">
        <v>15</v>
      </c>
      <c r="S371">
        <v>700</v>
      </c>
      <c r="T371">
        <v>48</v>
      </c>
      <c r="W371">
        <v>-1</v>
      </c>
      <c r="X371">
        <v>1</v>
      </c>
      <c r="Y371">
        <v>80</v>
      </c>
      <c r="Z371" t="s">
        <v>7267</v>
      </c>
      <c r="AA371">
        <f>VLOOKUP(Table29[[#This Row],[Shortname]], Comp[], 6, FALSE)</f>
        <v>324</v>
      </c>
      <c r="AB371" s="14">
        <f>VLOOKUP(Table29[[#This Row],[Shortname]], Comp[], 7, FALSE)</f>
        <v>52.9</v>
      </c>
      <c r="AC371">
        <f>VLOOKUP(Table29[[#This Row],[Shortname]], Comp[], 8, FALSE)</f>
        <v>15.9</v>
      </c>
      <c r="AD371">
        <f>VLOOKUP(Table29[[#This Row],[Shortname]], Comp[], 9, FALSE)</f>
        <v>14.9</v>
      </c>
      <c r="AE371">
        <f>VLOOKUP(Table29[[#This Row],[Shortname]], Comp[], 10, FALSE)</f>
        <v>8.6999999999999993</v>
      </c>
      <c r="AF371">
        <f>VLOOKUP(Table29[[#This Row],[Shortname]], Comp[], 11, FALSE)</f>
        <v>2.5</v>
      </c>
      <c r="AG371">
        <f>VLOOKUP(Table29[[#This Row],[Shortname]], Comp[],12, FALSE)</f>
        <v>2.6</v>
      </c>
      <c r="AH371">
        <f>VLOOKUP(Table29[[#This Row],[Shortname]], Comp[], 13, FALSE)</f>
        <v>0.9</v>
      </c>
      <c r="AI371">
        <f>VLOOKUP(Table29[[#This Row],[Shortname]], Comp[], 14, FALSE)</f>
        <v>0</v>
      </c>
      <c r="AJ371">
        <f>VLOOKUP(Table29[[#This Row],[Shortname]], Comp[], 15, FALSE)</f>
        <v>0</v>
      </c>
      <c r="AK371">
        <f>VLOOKUP(Table29[[#This Row],[Shortname]], Comp[], 16, FALSE)</f>
        <v>1.1000000000000001</v>
      </c>
      <c r="AL371">
        <f>VLOOKUP(Table29[[#This Row],[Shortname]], Comp[], 17, FALSE)</f>
        <v>0</v>
      </c>
      <c r="AM371">
        <f>VLOOKUP(Table29[[#This Row],[Shortname]], Comp[], 18, FALSE)</f>
        <v>0</v>
      </c>
      <c r="AN371">
        <f>VLOOKUP(Table29[[#This Row],[Shortname]], Comp[], 19, FALSE)</f>
        <v>0</v>
      </c>
      <c r="AO371">
        <f>VLOOKUP(Table29[[#This Row],[Shortname]], Comp[], 20, FALSE)</f>
        <v>0</v>
      </c>
      <c r="AP371">
        <f>VLOOKUP(Table29[[#This Row],[Shortname]], Comp[], 21, FALSE)</f>
        <v>0.5</v>
      </c>
      <c r="AQ371">
        <f>VLOOKUP(Table29[[#This Row],[Shortname]], Comp[], 22, FALSE)</f>
        <v>0</v>
      </c>
      <c r="AR371">
        <f>VLOOKUP(Table29[[#This Row],[Shortname]], Comp[], 23, FALSE)</f>
        <v>0</v>
      </c>
      <c r="AS371">
        <f>VLOOKUP(Table29[[#This Row],[Shortname]], Comp[], 24, FALSE)</f>
        <v>0</v>
      </c>
      <c r="AT371">
        <f>VLOOKUP(Table29[[#This Row],[Shortname]], Comp[], 25, FALSE)</f>
        <v>0</v>
      </c>
      <c r="AU371">
        <f>VLOOKUP(Table29[[#This Row],[Shortname]], Comp[], 26, FALSE)</f>
        <v>0</v>
      </c>
      <c r="AV371">
        <f>VLOOKUP(Table29[[#This Row],[Shortname]], Comp[], 27, FALSE)</f>
        <v>0</v>
      </c>
      <c r="AW371">
        <f>VLOOKUP(Table29[[#This Row],[Shortname]], Comp[], 28, FALSE)</f>
        <v>0</v>
      </c>
      <c r="AX371">
        <f>VLOOKUP(Table29[[#This Row],[Shortname]], Comp[], 29, FALSE)</f>
        <v>0</v>
      </c>
      <c r="AY371">
        <f>VLOOKUP(Table29[[#This Row],[Shortname]], Comp[], 30, FALSE)</f>
        <v>0</v>
      </c>
      <c r="AZ371">
        <f>VLOOKUP(Table29[[#This Row],[Shortname]], Comp[], 31, FALSE)</f>
        <v>0</v>
      </c>
    </row>
    <row r="372" spans="1:52" x14ac:dyDescent="0.3">
      <c r="A372" t="s">
        <v>5215</v>
      </c>
      <c r="C372" t="e">
        <v>#N/A</v>
      </c>
      <c r="D372" t="e">
        <v>#N/A</v>
      </c>
      <c r="E372" t="e">
        <v>#N/A</v>
      </c>
      <c r="F372" t="s">
        <v>5288</v>
      </c>
      <c r="G372" t="s">
        <v>5485</v>
      </c>
      <c r="H372">
        <v>248</v>
      </c>
      <c r="I372">
        <v>2.2999999999999999E-7</v>
      </c>
      <c r="J372">
        <f>0.01/Table29[[#This Row],[Strain Rate (min) /s]]</f>
        <v>43478.260869565216</v>
      </c>
      <c r="K372">
        <f>LOG(Table29[[#This Row],[Time to 1% strain (s)]])</f>
        <v>4.6382721639824069</v>
      </c>
      <c r="L372">
        <v>982</v>
      </c>
      <c r="P372" t="s">
        <v>7182</v>
      </c>
      <c r="Q372">
        <v>1270</v>
      </c>
      <c r="R372">
        <v>24</v>
      </c>
      <c r="S372">
        <v>900</v>
      </c>
      <c r="T372">
        <v>50</v>
      </c>
      <c r="W372">
        <v>-1</v>
      </c>
      <c r="X372">
        <v>1</v>
      </c>
      <c r="Y372">
        <v>79.099999999999994</v>
      </c>
      <c r="AA372">
        <f>VLOOKUP(Table29[[#This Row],[Shortname]], Comp[], 6, FALSE)</f>
        <v>3080</v>
      </c>
      <c r="AB372" s="14">
        <f>VLOOKUP(Table29[[#This Row],[Shortname]], Comp[], 7, FALSE)</f>
        <v>80</v>
      </c>
      <c r="AC372">
        <f>VLOOKUP(Table29[[#This Row],[Shortname]], Comp[], 8, FALSE)</f>
        <v>0</v>
      </c>
      <c r="AD372">
        <f>VLOOKUP(Table29[[#This Row],[Shortname]], Comp[], 9, FALSE)</f>
        <v>7</v>
      </c>
      <c r="AE372">
        <f>VLOOKUP(Table29[[#This Row],[Shortname]], Comp[], 10, FALSE)</f>
        <v>0</v>
      </c>
      <c r="AF372">
        <f>VLOOKUP(Table29[[#This Row],[Shortname]], Comp[], 11, FALSE)</f>
        <v>8</v>
      </c>
      <c r="AG372">
        <f>VLOOKUP(Table29[[#This Row],[Shortname]], Comp[],12, FALSE)</f>
        <v>4</v>
      </c>
      <c r="AH372">
        <f>VLOOKUP(Table29[[#This Row],[Shortname]], Comp[], 13, FALSE)</f>
        <v>1</v>
      </c>
      <c r="AI372">
        <f>VLOOKUP(Table29[[#This Row],[Shortname]], Comp[], 14, FALSE)</f>
        <v>0</v>
      </c>
      <c r="AJ372">
        <f>VLOOKUP(Table29[[#This Row],[Shortname]], Comp[], 15, FALSE)</f>
        <v>0</v>
      </c>
      <c r="AK372">
        <f>VLOOKUP(Table29[[#This Row],[Shortname]], Comp[], 16, FALSE)</f>
        <v>0</v>
      </c>
      <c r="AL372">
        <f>VLOOKUP(Table29[[#This Row],[Shortname]], Comp[], 17, FALSE)</f>
        <v>0</v>
      </c>
      <c r="AM372">
        <f>VLOOKUP(Table29[[#This Row],[Shortname]], Comp[], 18, FALSE)</f>
        <v>0</v>
      </c>
      <c r="AN372">
        <f>VLOOKUP(Table29[[#This Row],[Shortname]], Comp[], 19, FALSE)</f>
        <v>0</v>
      </c>
      <c r="AO372">
        <f>VLOOKUP(Table29[[#This Row],[Shortname]], Comp[], 20, FALSE)</f>
        <v>0</v>
      </c>
      <c r="AP372">
        <f>VLOOKUP(Table29[[#This Row],[Shortname]], Comp[], 21, FALSE)</f>
        <v>0</v>
      </c>
      <c r="AQ372">
        <f>VLOOKUP(Table29[[#This Row],[Shortname]], Comp[], 22, FALSE)</f>
        <v>0</v>
      </c>
      <c r="AR372">
        <f>VLOOKUP(Table29[[#This Row],[Shortname]], Comp[], 23, FALSE)</f>
        <v>0</v>
      </c>
      <c r="AS372">
        <f>VLOOKUP(Table29[[#This Row],[Shortname]], Comp[], 24, FALSE)</f>
        <v>0</v>
      </c>
      <c r="AT372">
        <f>VLOOKUP(Table29[[#This Row],[Shortname]], Comp[], 25, FALSE)</f>
        <v>0</v>
      </c>
      <c r="AU372">
        <f>VLOOKUP(Table29[[#This Row],[Shortname]], Comp[], 26, FALSE)</f>
        <v>0</v>
      </c>
      <c r="AV372">
        <f>VLOOKUP(Table29[[#This Row],[Shortname]], Comp[], 27, FALSE)</f>
        <v>0</v>
      </c>
      <c r="AW372">
        <f>VLOOKUP(Table29[[#This Row],[Shortname]], Comp[], 28, FALSE)</f>
        <v>0</v>
      </c>
      <c r="AX372">
        <f>VLOOKUP(Table29[[#This Row],[Shortname]], Comp[], 29, FALSE)</f>
        <v>0</v>
      </c>
      <c r="AY372">
        <f>VLOOKUP(Table29[[#This Row],[Shortname]], Comp[], 30, FALSE)</f>
        <v>0</v>
      </c>
      <c r="AZ372">
        <f>VLOOKUP(Table29[[#This Row],[Shortname]], Comp[], 31, FALSE)</f>
        <v>0</v>
      </c>
    </row>
    <row r="373" spans="1:52" x14ac:dyDescent="0.3">
      <c r="A373" t="s">
        <v>5215</v>
      </c>
      <c r="C373" t="e">
        <v>#N/A</v>
      </c>
      <c r="D373" t="s">
        <v>11</v>
      </c>
      <c r="E373" t="e">
        <v>#N/A</v>
      </c>
      <c r="F373" t="s">
        <v>5288</v>
      </c>
      <c r="G373" t="s">
        <v>5485</v>
      </c>
      <c r="H373">
        <v>137</v>
      </c>
      <c r="I373">
        <v>1.6000000000000001E-8</v>
      </c>
      <c r="J373">
        <f>0.01/Table29[[#This Row],[Strain Rate (min) /s]]</f>
        <v>625000</v>
      </c>
      <c r="K373">
        <f>LOG(Table29[[#This Row],[Time to 1% strain (s)]])</f>
        <v>5.795880017344075</v>
      </c>
      <c r="L373">
        <v>1000</v>
      </c>
      <c r="P373" t="s">
        <v>7182</v>
      </c>
      <c r="Q373">
        <v>1270</v>
      </c>
      <c r="R373">
        <v>24</v>
      </c>
      <c r="S373">
        <v>900</v>
      </c>
      <c r="T373">
        <v>50</v>
      </c>
      <c r="W373">
        <v>-1</v>
      </c>
      <c r="X373">
        <v>1</v>
      </c>
      <c r="Y373">
        <v>79.099999999999994</v>
      </c>
      <c r="AA373">
        <f>VLOOKUP(Table29[[#This Row],[Shortname]], Comp[], 6, FALSE)</f>
        <v>3080</v>
      </c>
      <c r="AB373" s="14">
        <f>VLOOKUP(Table29[[#This Row],[Shortname]], Comp[], 7, FALSE)</f>
        <v>80</v>
      </c>
      <c r="AC373">
        <f>VLOOKUP(Table29[[#This Row],[Shortname]], Comp[], 8, FALSE)</f>
        <v>0</v>
      </c>
      <c r="AD373">
        <f>VLOOKUP(Table29[[#This Row],[Shortname]], Comp[], 9, FALSE)</f>
        <v>7</v>
      </c>
      <c r="AE373">
        <f>VLOOKUP(Table29[[#This Row],[Shortname]], Comp[], 10, FALSE)</f>
        <v>0</v>
      </c>
      <c r="AF373">
        <f>VLOOKUP(Table29[[#This Row],[Shortname]], Comp[], 11, FALSE)</f>
        <v>8</v>
      </c>
      <c r="AG373">
        <f>VLOOKUP(Table29[[#This Row],[Shortname]], Comp[],12, FALSE)</f>
        <v>4</v>
      </c>
      <c r="AH373">
        <f>VLOOKUP(Table29[[#This Row],[Shortname]], Comp[], 13, FALSE)</f>
        <v>1</v>
      </c>
      <c r="AI373">
        <f>VLOOKUP(Table29[[#This Row],[Shortname]], Comp[], 14, FALSE)</f>
        <v>0</v>
      </c>
      <c r="AJ373">
        <f>VLOOKUP(Table29[[#This Row],[Shortname]], Comp[], 15, FALSE)</f>
        <v>0</v>
      </c>
      <c r="AK373">
        <f>VLOOKUP(Table29[[#This Row],[Shortname]], Comp[], 16, FALSE)</f>
        <v>0</v>
      </c>
      <c r="AL373">
        <f>VLOOKUP(Table29[[#This Row],[Shortname]], Comp[], 17, FALSE)</f>
        <v>0</v>
      </c>
      <c r="AM373">
        <f>VLOOKUP(Table29[[#This Row],[Shortname]], Comp[], 18, FALSE)</f>
        <v>0</v>
      </c>
      <c r="AN373">
        <f>VLOOKUP(Table29[[#This Row],[Shortname]], Comp[], 19, FALSE)</f>
        <v>0</v>
      </c>
      <c r="AO373">
        <f>VLOOKUP(Table29[[#This Row],[Shortname]], Comp[], 20, FALSE)</f>
        <v>0</v>
      </c>
      <c r="AP373">
        <f>VLOOKUP(Table29[[#This Row],[Shortname]], Comp[], 21, FALSE)</f>
        <v>0</v>
      </c>
      <c r="AQ373">
        <f>VLOOKUP(Table29[[#This Row],[Shortname]], Comp[], 22, FALSE)</f>
        <v>0</v>
      </c>
      <c r="AR373">
        <f>VLOOKUP(Table29[[#This Row],[Shortname]], Comp[], 23, FALSE)</f>
        <v>0</v>
      </c>
      <c r="AS373">
        <f>VLOOKUP(Table29[[#This Row],[Shortname]], Comp[], 24, FALSE)</f>
        <v>0</v>
      </c>
      <c r="AT373">
        <f>VLOOKUP(Table29[[#This Row],[Shortname]], Comp[], 25, FALSE)</f>
        <v>0</v>
      </c>
      <c r="AU373">
        <f>VLOOKUP(Table29[[#This Row],[Shortname]], Comp[], 26, FALSE)</f>
        <v>0</v>
      </c>
      <c r="AV373">
        <f>VLOOKUP(Table29[[#This Row],[Shortname]], Comp[], 27, FALSE)</f>
        <v>0</v>
      </c>
      <c r="AW373">
        <f>VLOOKUP(Table29[[#This Row],[Shortname]], Comp[], 28, FALSE)</f>
        <v>0</v>
      </c>
      <c r="AX373">
        <f>VLOOKUP(Table29[[#This Row],[Shortname]], Comp[], 29, FALSE)</f>
        <v>0</v>
      </c>
      <c r="AY373">
        <f>VLOOKUP(Table29[[#This Row],[Shortname]], Comp[], 30, FALSE)</f>
        <v>0</v>
      </c>
      <c r="AZ373">
        <f>VLOOKUP(Table29[[#This Row],[Shortname]], Comp[], 31, FALSE)</f>
        <v>0</v>
      </c>
    </row>
    <row r="374" spans="1:52" x14ac:dyDescent="0.3">
      <c r="A374" t="s">
        <v>5654</v>
      </c>
      <c r="C374" t="e">
        <v>#N/A</v>
      </c>
      <c r="D374" t="e">
        <v>#N/A</v>
      </c>
      <c r="E374" t="e">
        <v>#N/A</v>
      </c>
      <c r="F374" t="s">
        <v>5655</v>
      </c>
      <c r="G374" t="s">
        <v>5656</v>
      </c>
      <c r="H374">
        <v>150</v>
      </c>
      <c r="I374">
        <v>1.7390000000000001E-9</v>
      </c>
      <c r="J374">
        <f>0.01/Table29[[#This Row],[Strain Rate (min) /s]]</f>
        <v>5750431.282346176</v>
      </c>
      <c r="K374">
        <f>LOG(Table29[[#This Row],[Time to 1% strain (s)]])</f>
        <v>6.7597004179972879</v>
      </c>
      <c r="L374">
        <v>950</v>
      </c>
      <c r="P374" t="s">
        <v>7183</v>
      </c>
      <c r="Q374">
        <v>1300</v>
      </c>
      <c r="R374">
        <v>12</v>
      </c>
      <c r="S374">
        <v>900</v>
      </c>
      <c r="T374">
        <v>200</v>
      </c>
      <c r="W374">
        <v>1</v>
      </c>
      <c r="X374">
        <v>1</v>
      </c>
      <c r="Y374">
        <v>69</v>
      </c>
      <c r="AA374">
        <f>VLOOKUP(Table29[[#This Row],[Shortname]], Comp[], 6, FALSE)</f>
        <v>880</v>
      </c>
      <c r="AB374" s="14">
        <f>VLOOKUP(Table29[[#This Row],[Shortname]], Comp[], 7, FALSE)</f>
        <v>81.5</v>
      </c>
      <c r="AC374">
        <f>VLOOKUP(Table29[[#This Row],[Shortname]], Comp[], 8, FALSE)</f>
        <v>0</v>
      </c>
      <c r="AD374">
        <f>VLOOKUP(Table29[[#This Row],[Shortname]], Comp[], 9, FALSE)</f>
        <v>9</v>
      </c>
      <c r="AE374">
        <f>VLOOKUP(Table29[[#This Row],[Shortname]], Comp[], 10, FALSE)</f>
        <v>0</v>
      </c>
      <c r="AF374">
        <f>VLOOKUP(Table29[[#This Row],[Shortname]], Comp[], 11, FALSE)</f>
        <v>7.5</v>
      </c>
      <c r="AG374">
        <f>VLOOKUP(Table29[[#This Row],[Shortname]], Comp[],12, FALSE)</f>
        <v>0</v>
      </c>
      <c r="AH374">
        <f>VLOOKUP(Table29[[#This Row],[Shortname]], Comp[], 13, FALSE)</f>
        <v>2</v>
      </c>
      <c r="AI374">
        <f>VLOOKUP(Table29[[#This Row],[Shortname]], Comp[], 14, FALSE)</f>
        <v>0</v>
      </c>
      <c r="AJ374">
        <f>VLOOKUP(Table29[[#This Row],[Shortname]], Comp[], 15, FALSE)</f>
        <v>0</v>
      </c>
      <c r="AK374">
        <f>VLOOKUP(Table29[[#This Row],[Shortname]], Comp[], 16, FALSE)</f>
        <v>0</v>
      </c>
      <c r="AL374">
        <f>VLOOKUP(Table29[[#This Row],[Shortname]], Comp[], 17, FALSE)</f>
        <v>0</v>
      </c>
      <c r="AM374">
        <f>VLOOKUP(Table29[[#This Row],[Shortname]], Comp[], 18, FALSE)</f>
        <v>0</v>
      </c>
      <c r="AN374">
        <f>VLOOKUP(Table29[[#This Row],[Shortname]], Comp[], 19, FALSE)</f>
        <v>0</v>
      </c>
      <c r="AO374">
        <f>VLOOKUP(Table29[[#This Row],[Shortname]], Comp[], 20, FALSE)</f>
        <v>0</v>
      </c>
      <c r="AP374">
        <f>VLOOKUP(Table29[[#This Row],[Shortname]], Comp[], 21, FALSE)</f>
        <v>0</v>
      </c>
      <c r="AQ374">
        <f>VLOOKUP(Table29[[#This Row],[Shortname]], Comp[], 22, FALSE)</f>
        <v>0</v>
      </c>
      <c r="AR374">
        <f>VLOOKUP(Table29[[#This Row],[Shortname]], Comp[], 23, FALSE)</f>
        <v>0</v>
      </c>
      <c r="AS374">
        <f>VLOOKUP(Table29[[#This Row],[Shortname]], Comp[], 24, FALSE)</f>
        <v>0</v>
      </c>
      <c r="AT374">
        <f>VLOOKUP(Table29[[#This Row],[Shortname]], Comp[], 25, FALSE)</f>
        <v>0</v>
      </c>
      <c r="AU374">
        <f>VLOOKUP(Table29[[#This Row],[Shortname]], Comp[], 26, FALSE)</f>
        <v>0</v>
      </c>
      <c r="AV374">
        <f>VLOOKUP(Table29[[#This Row],[Shortname]], Comp[], 27, FALSE)</f>
        <v>0</v>
      </c>
      <c r="AW374">
        <f>VLOOKUP(Table29[[#This Row],[Shortname]], Comp[], 28, FALSE)</f>
        <v>0</v>
      </c>
      <c r="AX374">
        <f>VLOOKUP(Table29[[#This Row],[Shortname]], Comp[], 29, FALSE)</f>
        <v>0</v>
      </c>
      <c r="AY374">
        <f>VLOOKUP(Table29[[#This Row],[Shortname]], Comp[], 30, FALSE)</f>
        <v>0</v>
      </c>
      <c r="AZ374">
        <f>VLOOKUP(Table29[[#This Row],[Shortname]], Comp[], 31, FALSE)</f>
        <v>0</v>
      </c>
    </row>
    <row r="375" spans="1:52" x14ac:dyDescent="0.3">
      <c r="A375" t="s">
        <v>5654</v>
      </c>
      <c r="C375" t="e">
        <v>#N/A</v>
      </c>
      <c r="D375" t="s">
        <v>11</v>
      </c>
      <c r="E375" t="e">
        <v>#N/A</v>
      </c>
      <c r="F375" t="s">
        <v>5655</v>
      </c>
      <c r="G375" t="s">
        <v>7184</v>
      </c>
      <c r="H375">
        <v>150</v>
      </c>
      <c r="I375">
        <v>3.9589999999999999E-8</v>
      </c>
      <c r="J375">
        <f>0.01/Table29[[#This Row],[Strain Rate (min) /s]]</f>
        <v>252589.03763576661</v>
      </c>
      <c r="K375">
        <f>LOG(Table29[[#This Row],[Time to 1% strain (s)]])</f>
        <v>5.4024144982477953</v>
      </c>
      <c r="L375">
        <v>975</v>
      </c>
      <c r="P375" t="s">
        <v>7183</v>
      </c>
      <c r="Q375">
        <v>1300</v>
      </c>
      <c r="R375">
        <v>12</v>
      </c>
      <c r="S375">
        <v>900</v>
      </c>
      <c r="T375">
        <v>200</v>
      </c>
      <c r="W375">
        <v>1</v>
      </c>
      <c r="X375">
        <v>1</v>
      </c>
      <c r="Y375">
        <v>56</v>
      </c>
      <c r="AA375">
        <f>VLOOKUP(Table29[[#This Row],[Shortname]], Comp[], 6, FALSE)</f>
        <v>880</v>
      </c>
      <c r="AB375" s="14">
        <f>VLOOKUP(Table29[[#This Row],[Shortname]], Comp[], 7, FALSE)</f>
        <v>81.5</v>
      </c>
      <c r="AC375">
        <f>VLOOKUP(Table29[[#This Row],[Shortname]], Comp[], 8, FALSE)</f>
        <v>0</v>
      </c>
      <c r="AD375">
        <f>VLOOKUP(Table29[[#This Row],[Shortname]], Comp[], 9, FALSE)</f>
        <v>9</v>
      </c>
      <c r="AE375">
        <f>VLOOKUP(Table29[[#This Row],[Shortname]], Comp[], 10, FALSE)</f>
        <v>0</v>
      </c>
      <c r="AF375">
        <f>VLOOKUP(Table29[[#This Row],[Shortname]], Comp[], 11, FALSE)</f>
        <v>7.5</v>
      </c>
      <c r="AG375">
        <f>VLOOKUP(Table29[[#This Row],[Shortname]], Comp[],12, FALSE)</f>
        <v>0</v>
      </c>
      <c r="AH375">
        <f>VLOOKUP(Table29[[#This Row],[Shortname]], Comp[], 13, FALSE)</f>
        <v>2</v>
      </c>
      <c r="AI375">
        <f>VLOOKUP(Table29[[#This Row],[Shortname]], Comp[], 14, FALSE)</f>
        <v>0</v>
      </c>
      <c r="AJ375">
        <f>VLOOKUP(Table29[[#This Row],[Shortname]], Comp[], 15, FALSE)</f>
        <v>0</v>
      </c>
      <c r="AK375">
        <f>VLOOKUP(Table29[[#This Row],[Shortname]], Comp[], 16, FALSE)</f>
        <v>0</v>
      </c>
      <c r="AL375">
        <f>VLOOKUP(Table29[[#This Row],[Shortname]], Comp[], 17, FALSE)</f>
        <v>0</v>
      </c>
      <c r="AM375">
        <f>VLOOKUP(Table29[[#This Row],[Shortname]], Comp[], 18, FALSE)</f>
        <v>0</v>
      </c>
      <c r="AN375">
        <f>VLOOKUP(Table29[[#This Row],[Shortname]], Comp[], 19, FALSE)</f>
        <v>0</v>
      </c>
      <c r="AO375">
        <f>VLOOKUP(Table29[[#This Row],[Shortname]], Comp[], 20, FALSE)</f>
        <v>0</v>
      </c>
      <c r="AP375">
        <f>VLOOKUP(Table29[[#This Row],[Shortname]], Comp[], 21, FALSE)</f>
        <v>0</v>
      </c>
      <c r="AQ375">
        <f>VLOOKUP(Table29[[#This Row],[Shortname]], Comp[], 22, FALSE)</f>
        <v>0</v>
      </c>
      <c r="AR375">
        <f>VLOOKUP(Table29[[#This Row],[Shortname]], Comp[], 23, FALSE)</f>
        <v>0</v>
      </c>
      <c r="AS375">
        <f>VLOOKUP(Table29[[#This Row],[Shortname]], Comp[], 24, FALSE)</f>
        <v>0</v>
      </c>
      <c r="AT375">
        <f>VLOOKUP(Table29[[#This Row],[Shortname]], Comp[], 25, FALSE)</f>
        <v>0</v>
      </c>
      <c r="AU375">
        <f>VLOOKUP(Table29[[#This Row],[Shortname]], Comp[], 26, FALSE)</f>
        <v>0</v>
      </c>
      <c r="AV375">
        <f>VLOOKUP(Table29[[#This Row],[Shortname]], Comp[], 27, FALSE)</f>
        <v>0</v>
      </c>
      <c r="AW375">
        <f>VLOOKUP(Table29[[#This Row],[Shortname]], Comp[], 28, FALSE)</f>
        <v>0</v>
      </c>
      <c r="AX375">
        <f>VLOOKUP(Table29[[#This Row],[Shortname]], Comp[], 29, FALSE)</f>
        <v>0</v>
      </c>
      <c r="AY375">
        <f>VLOOKUP(Table29[[#This Row],[Shortname]], Comp[], 30, FALSE)</f>
        <v>0</v>
      </c>
      <c r="AZ375">
        <f>VLOOKUP(Table29[[#This Row],[Shortname]], Comp[], 31, FALSE)</f>
        <v>0</v>
      </c>
    </row>
    <row r="376" spans="1:52" x14ac:dyDescent="0.3">
      <c r="A376" t="s">
        <v>5654</v>
      </c>
      <c r="C376" t="e">
        <v>#N/A</v>
      </c>
      <c r="D376" t="s">
        <v>11</v>
      </c>
      <c r="E376" t="e">
        <v>#N/A</v>
      </c>
      <c r="F376" t="s">
        <v>5655</v>
      </c>
      <c r="G376" t="s">
        <v>7185</v>
      </c>
      <c r="H376">
        <v>150</v>
      </c>
      <c r="I376">
        <v>5.2210000000000002E-8</v>
      </c>
      <c r="J376">
        <f>0.01/Table29[[#This Row],[Strain Rate (min) /s]]</f>
        <v>191534.18885271021</v>
      </c>
      <c r="K376">
        <f>LOG(Table29[[#This Row],[Time to 1% strain (s)]])</f>
        <v>5.2822463067892844</v>
      </c>
      <c r="L376">
        <v>1000</v>
      </c>
      <c r="P376" t="s">
        <v>7183</v>
      </c>
      <c r="Q376">
        <v>1300</v>
      </c>
      <c r="R376">
        <v>12</v>
      </c>
      <c r="S376">
        <v>900</v>
      </c>
      <c r="T376">
        <v>200</v>
      </c>
      <c r="W376">
        <v>1</v>
      </c>
      <c r="X376">
        <v>1</v>
      </c>
      <c r="Y376">
        <v>58</v>
      </c>
      <c r="AA376">
        <f>VLOOKUP(Table29[[#This Row],[Shortname]], Comp[], 6, FALSE)</f>
        <v>880</v>
      </c>
      <c r="AB376" s="14">
        <f>VLOOKUP(Table29[[#This Row],[Shortname]], Comp[], 7, FALSE)</f>
        <v>81.5</v>
      </c>
      <c r="AC376">
        <f>VLOOKUP(Table29[[#This Row],[Shortname]], Comp[], 8, FALSE)</f>
        <v>0</v>
      </c>
      <c r="AD376">
        <f>VLOOKUP(Table29[[#This Row],[Shortname]], Comp[], 9, FALSE)</f>
        <v>9</v>
      </c>
      <c r="AE376">
        <f>VLOOKUP(Table29[[#This Row],[Shortname]], Comp[], 10, FALSE)</f>
        <v>0</v>
      </c>
      <c r="AF376">
        <f>VLOOKUP(Table29[[#This Row],[Shortname]], Comp[], 11, FALSE)</f>
        <v>7.5</v>
      </c>
      <c r="AG376">
        <f>VLOOKUP(Table29[[#This Row],[Shortname]], Comp[],12, FALSE)</f>
        <v>0</v>
      </c>
      <c r="AH376">
        <f>VLOOKUP(Table29[[#This Row],[Shortname]], Comp[], 13, FALSE)</f>
        <v>2</v>
      </c>
      <c r="AI376">
        <f>VLOOKUP(Table29[[#This Row],[Shortname]], Comp[], 14, FALSE)</f>
        <v>0</v>
      </c>
      <c r="AJ376">
        <f>VLOOKUP(Table29[[#This Row],[Shortname]], Comp[], 15, FALSE)</f>
        <v>0</v>
      </c>
      <c r="AK376">
        <f>VLOOKUP(Table29[[#This Row],[Shortname]], Comp[], 16, FALSE)</f>
        <v>0</v>
      </c>
      <c r="AL376">
        <f>VLOOKUP(Table29[[#This Row],[Shortname]], Comp[], 17, FALSE)</f>
        <v>0</v>
      </c>
      <c r="AM376">
        <f>VLOOKUP(Table29[[#This Row],[Shortname]], Comp[], 18, FALSE)</f>
        <v>0</v>
      </c>
      <c r="AN376">
        <f>VLOOKUP(Table29[[#This Row],[Shortname]], Comp[], 19, FALSE)</f>
        <v>0</v>
      </c>
      <c r="AO376">
        <f>VLOOKUP(Table29[[#This Row],[Shortname]], Comp[], 20, FALSE)</f>
        <v>0</v>
      </c>
      <c r="AP376">
        <f>VLOOKUP(Table29[[#This Row],[Shortname]], Comp[], 21, FALSE)</f>
        <v>0</v>
      </c>
      <c r="AQ376">
        <f>VLOOKUP(Table29[[#This Row],[Shortname]], Comp[], 22, FALSE)</f>
        <v>0</v>
      </c>
      <c r="AR376">
        <f>VLOOKUP(Table29[[#This Row],[Shortname]], Comp[], 23, FALSE)</f>
        <v>0</v>
      </c>
      <c r="AS376">
        <f>VLOOKUP(Table29[[#This Row],[Shortname]], Comp[], 24, FALSE)</f>
        <v>0</v>
      </c>
      <c r="AT376">
        <f>VLOOKUP(Table29[[#This Row],[Shortname]], Comp[], 25, FALSE)</f>
        <v>0</v>
      </c>
      <c r="AU376">
        <f>VLOOKUP(Table29[[#This Row],[Shortname]], Comp[], 26, FALSE)</f>
        <v>0</v>
      </c>
      <c r="AV376">
        <f>VLOOKUP(Table29[[#This Row],[Shortname]], Comp[], 27, FALSE)</f>
        <v>0</v>
      </c>
      <c r="AW376">
        <f>VLOOKUP(Table29[[#This Row],[Shortname]], Comp[], 28, FALSE)</f>
        <v>0</v>
      </c>
      <c r="AX376">
        <f>VLOOKUP(Table29[[#This Row],[Shortname]], Comp[], 29, FALSE)</f>
        <v>0</v>
      </c>
      <c r="AY376">
        <f>VLOOKUP(Table29[[#This Row],[Shortname]], Comp[], 30, FALSE)</f>
        <v>0</v>
      </c>
      <c r="AZ376">
        <f>VLOOKUP(Table29[[#This Row],[Shortname]], Comp[], 31, FALSE)</f>
        <v>0</v>
      </c>
    </row>
    <row r="377" spans="1:52" x14ac:dyDescent="0.3">
      <c r="A377" t="s">
        <v>5727</v>
      </c>
      <c r="C377" t="e">
        <v>#N/A</v>
      </c>
      <c r="D377" t="e">
        <v>#N/A</v>
      </c>
      <c r="E377" t="e">
        <v>#N/A</v>
      </c>
      <c r="F377" t="s">
        <v>5728</v>
      </c>
      <c r="G377" t="s">
        <v>5729</v>
      </c>
      <c r="H377">
        <v>400</v>
      </c>
      <c r="I377">
        <v>1.4000000000000001E-7</v>
      </c>
      <c r="J377">
        <f>0.01/Table29[[#This Row],[Strain Rate (min) /s]]</f>
        <v>71428.57142857142</v>
      </c>
      <c r="K377">
        <f>LOG(Table29[[#This Row],[Time to 1% strain (s)]])</f>
        <v>4.8538719643217618</v>
      </c>
      <c r="L377">
        <v>900</v>
      </c>
      <c r="P377" t="s">
        <v>7186</v>
      </c>
      <c r="Q377">
        <v>1280</v>
      </c>
      <c r="R377">
        <v>8</v>
      </c>
      <c r="S377">
        <v>1050</v>
      </c>
      <c r="T377">
        <v>5</v>
      </c>
      <c r="U377">
        <v>900</v>
      </c>
      <c r="V377">
        <v>16</v>
      </c>
      <c r="W377">
        <v>1</v>
      </c>
      <c r="X377">
        <v>1</v>
      </c>
      <c r="Y377">
        <v>71</v>
      </c>
      <c r="AA377">
        <f>VLOOKUP(Table29[[#This Row],[Shortname]], Comp[], 6, FALSE)</f>
        <v>899</v>
      </c>
      <c r="AB377" s="14">
        <f>VLOOKUP(Table29[[#This Row],[Shortname]], Comp[], 7, FALSE)</f>
        <v>43.2</v>
      </c>
      <c r="AC377">
        <f>VLOOKUP(Table29[[#This Row],[Shortname]], Comp[], 8, FALSE)</f>
        <v>32</v>
      </c>
      <c r="AD377">
        <f>VLOOKUP(Table29[[#This Row],[Shortname]], Comp[], 9, FALSE)</f>
        <v>8</v>
      </c>
      <c r="AE377">
        <f>VLOOKUP(Table29[[#This Row],[Shortname]], Comp[], 10, FALSE)</f>
        <v>6</v>
      </c>
      <c r="AF377">
        <f>VLOOKUP(Table29[[#This Row],[Shortname]], Comp[], 11, FALSE)</f>
        <v>5.7</v>
      </c>
      <c r="AG377">
        <f>VLOOKUP(Table29[[#This Row],[Shortname]], Comp[],12, FALSE)</f>
        <v>2.8</v>
      </c>
      <c r="AH377">
        <f>VLOOKUP(Table29[[#This Row],[Shortname]], Comp[], 13, FALSE)</f>
        <v>1.8</v>
      </c>
      <c r="AI377">
        <f>VLOOKUP(Table29[[#This Row],[Shortname]], Comp[], 14, FALSE)</f>
        <v>0</v>
      </c>
      <c r="AJ377">
        <f>VLOOKUP(Table29[[#This Row],[Shortname]], Comp[], 15, FALSE)</f>
        <v>0</v>
      </c>
      <c r="AK377">
        <f>VLOOKUP(Table29[[#This Row],[Shortname]], Comp[], 16, FALSE)</f>
        <v>0</v>
      </c>
      <c r="AL377">
        <f>VLOOKUP(Table29[[#This Row],[Shortname]], Comp[], 17, FALSE)</f>
        <v>0</v>
      </c>
      <c r="AM377">
        <f>VLOOKUP(Table29[[#This Row],[Shortname]], Comp[], 18, FALSE)</f>
        <v>0</v>
      </c>
      <c r="AN377">
        <f>VLOOKUP(Table29[[#This Row],[Shortname]], Comp[], 19, FALSE)</f>
        <v>0</v>
      </c>
      <c r="AO377">
        <f>VLOOKUP(Table29[[#This Row],[Shortname]], Comp[], 20, FALSE)</f>
        <v>0</v>
      </c>
      <c r="AP377">
        <f>VLOOKUP(Table29[[#This Row],[Shortname]], Comp[], 21, FALSE)</f>
        <v>0</v>
      </c>
      <c r="AQ377">
        <f>VLOOKUP(Table29[[#This Row],[Shortname]], Comp[], 22, FALSE)</f>
        <v>0.4</v>
      </c>
      <c r="AR377">
        <f>VLOOKUP(Table29[[#This Row],[Shortname]], Comp[], 23, FALSE)</f>
        <v>0</v>
      </c>
      <c r="AS377">
        <f>VLOOKUP(Table29[[#This Row],[Shortname]], Comp[], 24, FALSE)</f>
        <v>0</v>
      </c>
      <c r="AT377">
        <f>VLOOKUP(Table29[[#This Row],[Shortname]], Comp[], 25, FALSE)</f>
        <v>0.1</v>
      </c>
      <c r="AU377">
        <f>VLOOKUP(Table29[[#This Row],[Shortname]], Comp[], 26, FALSE)</f>
        <v>0</v>
      </c>
      <c r="AV377">
        <f>VLOOKUP(Table29[[#This Row],[Shortname]], Comp[], 27, FALSE)</f>
        <v>0</v>
      </c>
      <c r="AW377">
        <f>VLOOKUP(Table29[[#This Row],[Shortname]], Comp[], 28, FALSE)</f>
        <v>0</v>
      </c>
      <c r="AX377">
        <f>VLOOKUP(Table29[[#This Row],[Shortname]], Comp[], 29, FALSE)</f>
        <v>0</v>
      </c>
      <c r="AY377">
        <f>VLOOKUP(Table29[[#This Row],[Shortname]], Comp[], 30, FALSE)</f>
        <v>0</v>
      </c>
      <c r="AZ377">
        <f>VLOOKUP(Table29[[#This Row],[Shortname]], Comp[], 31, FALSE)</f>
        <v>0</v>
      </c>
    </row>
    <row r="378" spans="1:52" x14ac:dyDescent="0.3">
      <c r="A378" t="s">
        <v>5727</v>
      </c>
      <c r="C378" t="e">
        <v>#N/A</v>
      </c>
      <c r="D378" t="s">
        <v>11</v>
      </c>
      <c r="E378" t="e">
        <v>#N/A</v>
      </c>
      <c r="F378" t="s">
        <v>5728</v>
      </c>
      <c r="G378" t="s">
        <v>5729</v>
      </c>
      <c r="H378">
        <v>150</v>
      </c>
      <c r="I378">
        <v>9.9999999999999995E-7</v>
      </c>
      <c r="J378">
        <f>0.01/Table29[[#This Row],[Strain Rate (min) /s]]</f>
        <v>10000</v>
      </c>
      <c r="K378">
        <f>LOG(Table29[[#This Row],[Time to 1% strain (s)]])</f>
        <v>4</v>
      </c>
      <c r="L378">
        <v>1050</v>
      </c>
      <c r="P378" t="s">
        <v>7186</v>
      </c>
      <c r="Q378">
        <v>1280</v>
      </c>
      <c r="R378">
        <v>8</v>
      </c>
      <c r="S378">
        <v>1050</v>
      </c>
      <c r="T378">
        <v>5</v>
      </c>
      <c r="U378">
        <v>900</v>
      </c>
      <c r="V378">
        <v>16</v>
      </c>
      <c r="W378">
        <v>1</v>
      </c>
      <c r="X378">
        <v>1</v>
      </c>
      <c r="Y378">
        <v>71</v>
      </c>
      <c r="AA378">
        <f>VLOOKUP(Table29[[#This Row],[Shortname]], Comp[], 6, FALSE)</f>
        <v>899</v>
      </c>
      <c r="AB378" s="14">
        <f>VLOOKUP(Table29[[#This Row],[Shortname]], Comp[], 7, FALSE)</f>
        <v>43.2</v>
      </c>
      <c r="AC378">
        <f>VLOOKUP(Table29[[#This Row],[Shortname]], Comp[], 8, FALSE)</f>
        <v>32</v>
      </c>
      <c r="AD378">
        <f>VLOOKUP(Table29[[#This Row],[Shortname]], Comp[], 9, FALSE)</f>
        <v>8</v>
      </c>
      <c r="AE378">
        <f>VLOOKUP(Table29[[#This Row],[Shortname]], Comp[], 10, FALSE)</f>
        <v>6</v>
      </c>
      <c r="AF378">
        <f>VLOOKUP(Table29[[#This Row],[Shortname]], Comp[], 11, FALSE)</f>
        <v>5.7</v>
      </c>
      <c r="AG378">
        <f>VLOOKUP(Table29[[#This Row],[Shortname]], Comp[],12, FALSE)</f>
        <v>2.8</v>
      </c>
      <c r="AH378">
        <f>VLOOKUP(Table29[[#This Row],[Shortname]], Comp[], 13, FALSE)</f>
        <v>1.8</v>
      </c>
      <c r="AI378">
        <f>VLOOKUP(Table29[[#This Row],[Shortname]], Comp[], 14, FALSE)</f>
        <v>0</v>
      </c>
      <c r="AJ378">
        <f>VLOOKUP(Table29[[#This Row],[Shortname]], Comp[], 15, FALSE)</f>
        <v>0</v>
      </c>
      <c r="AK378">
        <f>VLOOKUP(Table29[[#This Row],[Shortname]], Comp[], 16, FALSE)</f>
        <v>0</v>
      </c>
      <c r="AL378">
        <f>VLOOKUP(Table29[[#This Row],[Shortname]], Comp[], 17, FALSE)</f>
        <v>0</v>
      </c>
      <c r="AM378">
        <f>VLOOKUP(Table29[[#This Row],[Shortname]], Comp[], 18, FALSE)</f>
        <v>0</v>
      </c>
      <c r="AN378">
        <f>VLOOKUP(Table29[[#This Row],[Shortname]], Comp[], 19, FALSE)</f>
        <v>0</v>
      </c>
      <c r="AO378">
        <f>VLOOKUP(Table29[[#This Row],[Shortname]], Comp[], 20, FALSE)</f>
        <v>0</v>
      </c>
      <c r="AP378">
        <f>VLOOKUP(Table29[[#This Row],[Shortname]], Comp[], 21, FALSE)</f>
        <v>0</v>
      </c>
      <c r="AQ378">
        <f>VLOOKUP(Table29[[#This Row],[Shortname]], Comp[], 22, FALSE)</f>
        <v>0.4</v>
      </c>
      <c r="AR378">
        <f>VLOOKUP(Table29[[#This Row],[Shortname]], Comp[], 23, FALSE)</f>
        <v>0</v>
      </c>
      <c r="AS378">
        <f>VLOOKUP(Table29[[#This Row],[Shortname]], Comp[], 24, FALSE)</f>
        <v>0</v>
      </c>
      <c r="AT378">
        <f>VLOOKUP(Table29[[#This Row],[Shortname]], Comp[], 25, FALSE)</f>
        <v>0.1</v>
      </c>
      <c r="AU378">
        <f>VLOOKUP(Table29[[#This Row],[Shortname]], Comp[], 26, FALSE)</f>
        <v>0</v>
      </c>
      <c r="AV378">
        <f>VLOOKUP(Table29[[#This Row],[Shortname]], Comp[], 27, FALSE)</f>
        <v>0</v>
      </c>
      <c r="AW378">
        <f>VLOOKUP(Table29[[#This Row],[Shortname]], Comp[], 28, FALSE)</f>
        <v>0</v>
      </c>
      <c r="AX378">
        <f>VLOOKUP(Table29[[#This Row],[Shortname]], Comp[], 29, FALSE)</f>
        <v>0</v>
      </c>
      <c r="AY378">
        <f>VLOOKUP(Table29[[#This Row],[Shortname]], Comp[], 30, FALSE)</f>
        <v>0</v>
      </c>
      <c r="AZ378">
        <f>VLOOKUP(Table29[[#This Row],[Shortname]], Comp[], 31, FALSE)</f>
        <v>0</v>
      </c>
    </row>
    <row r="379" spans="1:52" x14ac:dyDescent="0.3">
      <c r="A379" t="s">
        <v>1526</v>
      </c>
      <c r="C379" t="e">
        <v>#N/A</v>
      </c>
      <c r="D379" t="e">
        <v>#N/A</v>
      </c>
      <c r="E379" t="e">
        <v>#N/A</v>
      </c>
      <c r="F379" t="s">
        <v>1528</v>
      </c>
      <c r="G379" t="s">
        <v>5732</v>
      </c>
      <c r="H379">
        <v>798</v>
      </c>
      <c r="I379">
        <v>5.54E-8</v>
      </c>
      <c r="J379">
        <f>0.01/Table29[[#This Row],[Strain Rate (min) /s]]</f>
        <v>180505.41516245488</v>
      </c>
      <c r="K379">
        <f>LOG(Table29[[#This Row],[Time to 1% strain (s)]])</f>
        <v>5.2564902352715706</v>
      </c>
      <c r="L379">
        <v>750</v>
      </c>
      <c r="P379" t="s">
        <v>7187</v>
      </c>
      <c r="Q379">
        <v>1250</v>
      </c>
      <c r="R379">
        <v>3</v>
      </c>
      <c r="S379">
        <v>900</v>
      </c>
      <c r="T379">
        <v>4</v>
      </c>
      <c r="U379">
        <v>750</v>
      </c>
      <c r="V379">
        <v>16</v>
      </c>
      <c r="W379">
        <v>1</v>
      </c>
      <c r="X379">
        <v>10</v>
      </c>
      <c r="Y379">
        <v>61.8</v>
      </c>
      <c r="AA379">
        <f>VLOOKUP(Table29[[#This Row],[Shortname]], Comp[], 6, FALSE)</f>
        <v>195</v>
      </c>
      <c r="AB379" s="14">
        <f>VLOOKUP(Table29[[#This Row],[Shortname]], Comp[], 7, FALSE)</f>
        <v>42.330000000000005</v>
      </c>
      <c r="AC379">
        <f>VLOOKUP(Table29[[#This Row],[Shortname]], Comp[], 8, FALSE)</f>
        <v>32</v>
      </c>
      <c r="AD379">
        <f>VLOOKUP(Table29[[#This Row],[Shortname]], Comp[], 9, FALSE)</f>
        <v>6</v>
      </c>
      <c r="AE379">
        <f>VLOOKUP(Table29[[#This Row],[Shortname]], Comp[], 10, FALSE)</f>
        <v>12</v>
      </c>
      <c r="AF379">
        <f>VLOOKUP(Table29[[#This Row],[Shortname]], Comp[], 11, FALSE)</f>
        <v>3</v>
      </c>
      <c r="AG379">
        <f>VLOOKUP(Table29[[#This Row],[Shortname]], Comp[],12, FALSE)</f>
        <v>2.5</v>
      </c>
      <c r="AH379">
        <f>VLOOKUP(Table29[[#This Row],[Shortname]], Comp[], 13, FALSE)</f>
        <v>1.5</v>
      </c>
      <c r="AI379">
        <f>VLOOKUP(Table29[[#This Row],[Shortname]], Comp[], 14, FALSE)</f>
        <v>0</v>
      </c>
      <c r="AJ379">
        <f>VLOOKUP(Table29[[#This Row],[Shortname]], Comp[], 15, FALSE)</f>
        <v>0</v>
      </c>
      <c r="AK379">
        <f>VLOOKUP(Table29[[#This Row],[Shortname]], Comp[], 16, FALSE)</f>
        <v>0</v>
      </c>
      <c r="AL379">
        <f>VLOOKUP(Table29[[#This Row],[Shortname]], Comp[], 17, FALSE)</f>
        <v>0.08</v>
      </c>
      <c r="AM379">
        <f>VLOOKUP(Table29[[#This Row],[Shortname]], Comp[], 18, FALSE)</f>
        <v>0.01</v>
      </c>
      <c r="AN379">
        <f>VLOOKUP(Table29[[#This Row],[Shortname]], Comp[], 19, FALSE)</f>
        <v>0.08</v>
      </c>
      <c r="AO379">
        <f>VLOOKUP(Table29[[#This Row],[Shortname]], Comp[], 20, FALSE)</f>
        <v>0</v>
      </c>
      <c r="AP379">
        <f>VLOOKUP(Table29[[#This Row],[Shortname]], Comp[], 21, FALSE)</f>
        <v>0</v>
      </c>
      <c r="AQ379">
        <f>VLOOKUP(Table29[[#This Row],[Shortname]], Comp[], 22, FALSE)</f>
        <v>0.4</v>
      </c>
      <c r="AR379">
        <f>VLOOKUP(Table29[[#This Row],[Shortname]], Comp[], 23, FALSE)</f>
        <v>0</v>
      </c>
      <c r="AS379">
        <f>VLOOKUP(Table29[[#This Row],[Shortname]], Comp[], 24, FALSE)</f>
        <v>0</v>
      </c>
      <c r="AT379">
        <f>VLOOKUP(Table29[[#This Row],[Shortname]], Comp[], 25, FALSE)</f>
        <v>0.1</v>
      </c>
      <c r="AU379">
        <f>VLOOKUP(Table29[[#This Row],[Shortname]], Comp[], 26, FALSE)</f>
        <v>0</v>
      </c>
      <c r="AV379">
        <f>VLOOKUP(Table29[[#This Row],[Shortname]], Comp[], 27, FALSE)</f>
        <v>0</v>
      </c>
      <c r="AW379">
        <f>VLOOKUP(Table29[[#This Row],[Shortname]], Comp[], 28, FALSE)</f>
        <v>0</v>
      </c>
      <c r="AX379">
        <f>VLOOKUP(Table29[[#This Row],[Shortname]], Comp[], 29, FALSE)</f>
        <v>0</v>
      </c>
      <c r="AY379">
        <f>VLOOKUP(Table29[[#This Row],[Shortname]], Comp[], 30, FALSE)</f>
        <v>0</v>
      </c>
      <c r="AZ379">
        <f>VLOOKUP(Table29[[#This Row],[Shortname]], Comp[], 31, FALSE)</f>
        <v>0</v>
      </c>
    </row>
    <row r="380" spans="1:52" x14ac:dyDescent="0.3">
      <c r="A380" t="s">
        <v>1526</v>
      </c>
      <c r="C380" t="e">
        <v>#N/A</v>
      </c>
      <c r="D380" t="s">
        <v>11</v>
      </c>
      <c r="E380" t="e">
        <v>#N/A</v>
      </c>
      <c r="F380" t="s">
        <v>1528</v>
      </c>
      <c r="G380" t="s">
        <v>5732</v>
      </c>
      <c r="H380">
        <v>998</v>
      </c>
      <c r="I380">
        <v>3.6100000000000002E-6</v>
      </c>
      <c r="J380">
        <f>0.01/Table29[[#This Row],[Strain Rate (min) /s]]</f>
        <v>2770.0831024930749</v>
      </c>
      <c r="K380">
        <f>LOG(Table29[[#This Row],[Time to 1% strain (s)]])</f>
        <v>3.4424927980943423</v>
      </c>
      <c r="L380">
        <v>750</v>
      </c>
      <c r="P380" t="s">
        <v>7187</v>
      </c>
      <c r="Q380">
        <v>1250</v>
      </c>
      <c r="R380">
        <v>3</v>
      </c>
      <c r="S380">
        <v>900</v>
      </c>
      <c r="T380">
        <v>4</v>
      </c>
      <c r="U380">
        <v>750</v>
      </c>
      <c r="V380">
        <v>16</v>
      </c>
      <c r="W380">
        <v>1</v>
      </c>
      <c r="X380">
        <v>10</v>
      </c>
      <c r="Y380">
        <v>61.8</v>
      </c>
      <c r="AA380">
        <f>VLOOKUP(Table29[[#This Row],[Shortname]], Comp[], 6, FALSE)</f>
        <v>195</v>
      </c>
      <c r="AB380" s="14">
        <f>VLOOKUP(Table29[[#This Row],[Shortname]], Comp[], 7, FALSE)</f>
        <v>42.330000000000005</v>
      </c>
      <c r="AC380">
        <f>VLOOKUP(Table29[[#This Row],[Shortname]], Comp[], 8, FALSE)</f>
        <v>32</v>
      </c>
      <c r="AD380">
        <f>VLOOKUP(Table29[[#This Row],[Shortname]], Comp[], 9, FALSE)</f>
        <v>6</v>
      </c>
      <c r="AE380">
        <f>VLOOKUP(Table29[[#This Row],[Shortname]], Comp[], 10, FALSE)</f>
        <v>12</v>
      </c>
      <c r="AF380">
        <f>VLOOKUP(Table29[[#This Row],[Shortname]], Comp[], 11, FALSE)</f>
        <v>3</v>
      </c>
      <c r="AG380">
        <f>VLOOKUP(Table29[[#This Row],[Shortname]], Comp[],12, FALSE)</f>
        <v>2.5</v>
      </c>
      <c r="AH380">
        <f>VLOOKUP(Table29[[#This Row],[Shortname]], Comp[], 13, FALSE)</f>
        <v>1.5</v>
      </c>
      <c r="AI380">
        <f>VLOOKUP(Table29[[#This Row],[Shortname]], Comp[], 14, FALSE)</f>
        <v>0</v>
      </c>
      <c r="AJ380">
        <f>VLOOKUP(Table29[[#This Row],[Shortname]], Comp[], 15, FALSE)</f>
        <v>0</v>
      </c>
      <c r="AK380">
        <f>VLOOKUP(Table29[[#This Row],[Shortname]], Comp[], 16, FALSE)</f>
        <v>0</v>
      </c>
      <c r="AL380">
        <f>VLOOKUP(Table29[[#This Row],[Shortname]], Comp[], 17, FALSE)</f>
        <v>0.08</v>
      </c>
      <c r="AM380">
        <f>VLOOKUP(Table29[[#This Row],[Shortname]], Comp[], 18, FALSE)</f>
        <v>0.01</v>
      </c>
      <c r="AN380">
        <f>VLOOKUP(Table29[[#This Row],[Shortname]], Comp[], 19, FALSE)</f>
        <v>0.08</v>
      </c>
      <c r="AO380">
        <f>VLOOKUP(Table29[[#This Row],[Shortname]], Comp[], 20, FALSE)</f>
        <v>0</v>
      </c>
      <c r="AP380">
        <f>VLOOKUP(Table29[[#This Row],[Shortname]], Comp[], 21, FALSE)</f>
        <v>0</v>
      </c>
      <c r="AQ380">
        <f>VLOOKUP(Table29[[#This Row],[Shortname]], Comp[], 22, FALSE)</f>
        <v>0.4</v>
      </c>
      <c r="AR380">
        <f>VLOOKUP(Table29[[#This Row],[Shortname]], Comp[], 23, FALSE)</f>
        <v>0</v>
      </c>
      <c r="AS380">
        <f>VLOOKUP(Table29[[#This Row],[Shortname]], Comp[], 24, FALSE)</f>
        <v>0</v>
      </c>
      <c r="AT380">
        <f>VLOOKUP(Table29[[#This Row],[Shortname]], Comp[], 25, FALSE)</f>
        <v>0.1</v>
      </c>
      <c r="AU380">
        <f>VLOOKUP(Table29[[#This Row],[Shortname]], Comp[], 26, FALSE)</f>
        <v>0</v>
      </c>
      <c r="AV380">
        <f>VLOOKUP(Table29[[#This Row],[Shortname]], Comp[], 27, FALSE)</f>
        <v>0</v>
      </c>
      <c r="AW380">
        <f>VLOOKUP(Table29[[#This Row],[Shortname]], Comp[], 28, FALSE)</f>
        <v>0</v>
      </c>
      <c r="AX380">
        <f>VLOOKUP(Table29[[#This Row],[Shortname]], Comp[], 29, FALSE)</f>
        <v>0</v>
      </c>
      <c r="AY380">
        <f>VLOOKUP(Table29[[#This Row],[Shortname]], Comp[], 30, FALSE)</f>
        <v>0</v>
      </c>
      <c r="AZ380">
        <f>VLOOKUP(Table29[[#This Row],[Shortname]], Comp[], 31, FALSE)</f>
        <v>0</v>
      </c>
    </row>
    <row r="381" spans="1:52" x14ac:dyDescent="0.3">
      <c r="A381" t="s">
        <v>1526</v>
      </c>
      <c r="C381" t="e">
        <v>#N/A</v>
      </c>
      <c r="D381" t="s">
        <v>11</v>
      </c>
      <c r="E381" t="e">
        <v>#N/A</v>
      </c>
      <c r="F381" t="s">
        <v>1528</v>
      </c>
      <c r="G381" t="s">
        <v>5732</v>
      </c>
      <c r="H381">
        <v>1084</v>
      </c>
      <c r="I381">
        <v>2.7699999999999999E-5</v>
      </c>
      <c r="J381">
        <f>0.01/Table29[[#This Row],[Strain Rate (min) /s]]</f>
        <v>361.01083032490976</v>
      </c>
      <c r="K381">
        <f>LOG(Table29[[#This Row],[Time to 1% strain (s)]])</f>
        <v>2.5575202309355514</v>
      </c>
      <c r="L381">
        <v>750</v>
      </c>
      <c r="P381" t="s">
        <v>7187</v>
      </c>
      <c r="Q381">
        <v>1250</v>
      </c>
      <c r="R381">
        <v>3</v>
      </c>
      <c r="S381">
        <v>900</v>
      </c>
      <c r="T381">
        <v>4</v>
      </c>
      <c r="U381">
        <v>750</v>
      </c>
      <c r="V381">
        <v>16</v>
      </c>
      <c r="W381">
        <v>1</v>
      </c>
      <c r="X381">
        <v>10</v>
      </c>
      <c r="Y381">
        <v>61.8</v>
      </c>
      <c r="AA381">
        <f>VLOOKUP(Table29[[#This Row],[Shortname]], Comp[], 6, FALSE)</f>
        <v>195</v>
      </c>
      <c r="AB381" s="14">
        <f>VLOOKUP(Table29[[#This Row],[Shortname]], Comp[], 7, FALSE)</f>
        <v>42.330000000000005</v>
      </c>
      <c r="AC381">
        <f>VLOOKUP(Table29[[#This Row],[Shortname]], Comp[], 8, FALSE)</f>
        <v>32</v>
      </c>
      <c r="AD381">
        <f>VLOOKUP(Table29[[#This Row],[Shortname]], Comp[], 9, FALSE)</f>
        <v>6</v>
      </c>
      <c r="AE381">
        <f>VLOOKUP(Table29[[#This Row],[Shortname]], Comp[], 10, FALSE)</f>
        <v>12</v>
      </c>
      <c r="AF381">
        <f>VLOOKUP(Table29[[#This Row],[Shortname]], Comp[], 11, FALSE)</f>
        <v>3</v>
      </c>
      <c r="AG381">
        <f>VLOOKUP(Table29[[#This Row],[Shortname]], Comp[],12, FALSE)</f>
        <v>2.5</v>
      </c>
      <c r="AH381">
        <f>VLOOKUP(Table29[[#This Row],[Shortname]], Comp[], 13, FALSE)</f>
        <v>1.5</v>
      </c>
      <c r="AI381">
        <f>VLOOKUP(Table29[[#This Row],[Shortname]], Comp[], 14, FALSE)</f>
        <v>0</v>
      </c>
      <c r="AJ381">
        <f>VLOOKUP(Table29[[#This Row],[Shortname]], Comp[], 15, FALSE)</f>
        <v>0</v>
      </c>
      <c r="AK381">
        <f>VLOOKUP(Table29[[#This Row],[Shortname]], Comp[], 16, FALSE)</f>
        <v>0</v>
      </c>
      <c r="AL381">
        <f>VLOOKUP(Table29[[#This Row],[Shortname]], Comp[], 17, FALSE)</f>
        <v>0.08</v>
      </c>
      <c r="AM381">
        <f>VLOOKUP(Table29[[#This Row],[Shortname]], Comp[], 18, FALSE)</f>
        <v>0.01</v>
      </c>
      <c r="AN381">
        <f>VLOOKUP(Table29[[#This Row],[Shortname]], Comp[], 19, FALSE)</f>
        <v>0.08</v>
      </c>
      <c r="AO381">
        <f>VLOOKUP(Table29[[#This Row],[Shortname]], Comp[], 20, FALSE)</f>
        <v>0</v>
      </c>
      <c r="AP381">
        <f>VLOOKUP(Table29[[#This Row],[Shortname]], Comp[], 21, FALSE)</f>
        <v>0</v>
      </c>
      <c r="AQ381">
        <f>VLOOKUP(Table29[[#This Row],[Shortname]], Comp[], 22, FALSE)</f>
        <v>0.4</v>
      </c>
      <c r="AR381">
        <f>VLOOKUP(Table29[[#This Row],[Shortname]], Comp[], 23, FALSE)</f>
        <v>0</v>
      </c>
      <c r="AS381">
        <f>VLOOKUP(Table29[[#This Row],[Shortname]], Comp[], 24, FALSE)</f>
        <v>0</v>
      </c>
      <c r="AT381">
        <f>VLOOKUP(Table29[[#This Row],[Shortname]], Comp[], 25, FALSE)</f>
        <v>0.1</v>
      </c>
      <c r="AU381">
        <f>VLOOKUP(Table29[[#This Row],[Shortname]], Comp[], 26, FALSE)</f>
        <v>0</v>
      </c>
      <c r="AV381">
        <f>VLOOKUP(Table29[[#This Row],[Shortname]], Comp[], 27, FALSE)</f>
        <v>0</v>
      </c>
      <c r="AW381">
        <f>VLOOKUP(Table29[[#This Row],[Shortname]], Comp[], 28, FALSE)</f>
        <v>0</v>
      </c>
      <c r="AX381">
        <f>VLOOKUP(Table29[[#This Row],[Shortname]], Comp[], 29, FALSE)</f>
        <v>0</v>
      </c>
      <c r="AY381">
        <f>VLOOKUP(Table29[[#This Row],[Shortname]], Comp[], 30, FALSE)</f>
        <v>0</v>
      </c>
      <c r="AZ381">
        <f>VLOOKUP(Table29[[#This Row],[Shortname]], Comp[], 31, FALSE)</f>
        <v>0</v>
      </c>
    </row>
    <row r="382" spans="1:52" x14ac:dyDescent="0.3">
      <c r="A382" t="s">
        <v>1526</v>
      </c>
      <c r="C382" t="e">
        <v>#N/A</v>
      </c>
      <c r="D382" t="s">
        <v>11</v>
      </c>
      <c r="E382" t="e">
        <v>#N/A</v>
      </c>
      <c r="F382" t="s">
        <v>1528</v>
      </c>
      <c r="G382" t="s">
        <v>5732</v>
      </c>
      <c r="H382">
        <v>1105</v>
      </c>
      <c r="I382">
        <v>3.4000000000000002E-4</v>
      </c>
      <c r="J382">
        <f>0.01/Table29[[#This Row],[Strain Rate (min) /s]]</f>
        <v>29.411764705882351</v>
      </c>
      <c r="K382">
        <f>LOG(Table29[[#This Row],[Time to 1% strain (s)]])</f>
        <v>1.4685210829577449</v>
      </c>
      <c r="L382">
        <v>750</v>
      </c>
      <c r="P382" t="s">
        <v>7187</v>
      </c>
      <c r="Q382">
        <v>1250</v>
      </c>
      <c r="R382">
        <v>3</v>
      </c>
      <c r="S382">
        <v>900</v>
      </c>
      <c r="T382">
        <v>4</v>
      </c>
      <c r="U382">
        <v>750</v>
      </c>
      <c r="V382">
        <v>16</v>
      </c>
      <c r="W382">
        <v>1</v>
      </c>
      <c r="X382">
        <v>10</v>
      </c>
      <c r="Y382">
        <v>61.8</v>
      </c>
      <c r="AA382">
        <f>VLOOKUP(Table29[[#This Row],[Shortname]], Comp[], 6, FALSE)</f>
        <v>195</v>
      </c>
      <c r="AB382" s="14">
        <f>VLOOKUP(Table29[[#This Row],[Shortname]], Comp[], 7, FALSE)</f>
        <v>42.330000000000005</v>
      </c>
      <c r="AC382">
        <f>VLOOKUP(Table29[[#This Row],[Shortname]], Comp[], 8, FALSE)</f>
        <v>32</v>
      </c>
      <c r="AD382">
        <f>VLOOKUP(Table29[[#This Row],[Shortname]], Comp[], 9, FALSE)</f>
        <v>6</v>
      </c>
      <c r="AE382">
        <f>VLOOKUP(Table29[[#This Row],[Shortname]], Comp[], 10, FALSE)</f>
        <v>12</v>
      </c>
      <c r="AF382">
        <f>VLOOKUP(Table29[[#This Row],[Shortname]], Comp[], 11, FALSE)</f>
        <v>3</v>
      </c>
      <c r="AG382">
        <f>VLOOKUP(Table29[[#This Row],[Shortname]], Comp[],12, FALSE)</f>
        <v>2.5</v>
      </c>
      <c r="AH382">
        <f>VLOOKUP(Table29[[#This Row],[Shortname]], Comp[], 13, FALSE)</f>
        <v>1.5</v>
      </c>
      <c r="AI382">
        <f>VLOOKUP(Table29[[#This Row],[Shortname]], Comp[], 14, FALSE)</f>
        <v>0</v>
      </c>
      <c r="AJ382">
        <f>VLOOKUP(Table29[[#This Row],[Shortname]], Comp[], 15, FALSE)</f>
        <v>0</v>
      </c>
      <c r="AK382">
        <f>VLOOKUP(Table29[[#This Row],[Shortname]], Comp[], 16, FALSE)</f>
        <v>0</v>
      </c>
      <c r="AL382">
        <f>VLOOKUP(Table29[[#This Row],[Shortname]], Comp[], 17, FALSE)</f>
        <v>0.08</v>
      </c>
      <c r="AM382">
        <f>VLOOKUP(Table29[[#This Row],[Shortname]], Comp[], 18, FALSE)</f>
        <v>0.01</v>
      </c>
      <c r="AN382">
        <f>VLOOKUP(Table29[[#This Row],[Shortname]], Comp[], 19, FALSE)</f>
        <v>0.08</v>
      </c>
      <c r="AO382">
        <f>VLOOKUP(Table29[[#This Row],[Shortname]], Comp[], 20, FALSE)</f>
        <v>0</v>
      </c>
      <c r="AP382">
        <f>VLOOKUP(Table29[[#This Row],[Shortname]], Comp[], 21, FALSE)</f>
        <v>0</v>
      </c>
      <c r="AQ382">
        <f>VLOOKUP(Table29[[#This Row],[Shortname]], Comp[], 22, FALSE)</f>
        <v>0.4</v>
      </c>
      <c r="AR382">
        <f>VLOOKUP(Table29[[#This Row],[Shortname]], Comp[], 23, FALSE)</f>
        <v>0</v>
      </c>
      <c r="AS382">
        <f>VLOOKUP(Table29[[#This Row],[Shortname]], Comp[], 24, FALSE)</f>
        <v>0</v>
      </c>
      <c r="AT382">
        <f>VLOOKUP(Table29[[#This Row],[Shortname]], Comp[], 25, FALSE)</f>
        <v>0.1</v>
      </c>
      <c r="AU382">
        <f>VLOOKUP(Table29[[#This Row],[Shortname]], Comp[], 26, FALSE)</f>
        <v>0</v>
      </c>
      <c r="AV382">
        <f>VLOOKUP(Table29[[#This Row],[Shortname]], Comp[], 27, FALSE)</f>
        <v>0</v>
      </c>
      <c r="AW382">
        <f>VLOOKUP(Table29[[#This Row],[Shortname]], Comp[], 28, FALSE)</f>
        <v>0</v>
      </c>
      <c r="AX382">
        <f>VLOOKUP(Table29[[#This Row],[Shortname]], Comp[], 29, FALSE)</f>
        <v>0</v>
      </c>
      <c r="AY382">
        <f>VLOOKUP(Table29[[#This Row],[Shortname]], Comp[], 30, FALSE)</f>
        <v>0</v>
      </c>
      <c r="AZ382">
        <f>VLOOKUP(Table29[[#This Row],[Shortname]], Comp[], 31, FALSE)</f>
        <v>0</v>
      </c>
    </row>
    <row r="383" spans="1:52" x14ac:dyDescent="0.3">
      <c r="A383" t="s">
        <v>1538</v>
      </c>
      <c r="C383" t="e">
        <v>#N/A</v>
      </c>
      <c r="D383" t="e">
        <v>#N/A</v>
      </c>
      <c r="E383" t="e">
        <v>#N/A</v>
      </c>
      <c r="F383" t="s">
        <v>1540</v>
      </c>
      <c r="G383" t="s">
        <v>5732</v>
      </c>
      <c r="H383">
        <v>620</v>
      </c>
      <c r="I383">
        <v>8.6700000000000002E-8</v>
      </c>
      <c r="J383">
        <f>0.01/Table29[[#This Row],[Strain Rate (min) /s]]</f>
        <v>115340.25374855824</v>
      </c>
      <c r="K383">
        <f>LOG(Table29[[#This Row],[Time to 1% strain (s)]])</f>
        <v>5.0619809025237901</v>
      </c>
      <c r="L383">
        <v>750</v>
      </c>
      <c r="P383" t="s">
        <v>7188</v>
      </c>
      <c r="Q383">
        <v>1250</v>
      </c>
      <c r="R383">
        <v>3</v>
      </c>
      <c r="S383">
        <v>900</v>
      </c>
      <c r="T383">
        <v>4</v>
      </c>
      <c r="U383">
        <v>750</v>
      </c>
      <c r="V383">
        <v>16</v>
      </c>
      <c r="W383">
        <v>1</v>
      </c>
      <c r="X383">
        <v>10</v>
      </c>
      <c r="Y383">
        <v>61.8</v>
      </c>
      <c r="AA383">
        <f>VLOOKUP(Table29[[#This Row],[Shortname]], Comp[], 6, FALSE)</f>
        <v>196</v>
      </c>
      <c r="AB383" s="14">
        <f>VLOOKUP(Table29[[#This Row],[Shortname]], Comp[], 7, FALSE)</f>
        <v>41.03</v>
      </c>
      <c r="AC383">
        <f>VLOOKUP(Table29[[#This Row],[Shortname]], Comp[], 8, FALSE)</f>
        <v>31.8</v>
      </c>
      <c r="AD383">
        <f>VLOOKUP(Table29[[#This Row],[Shortname]], Comp[], 9, FALSE)</f>
        <v>8.6999999999999993</v>
      </c>
      <c r="AE383">
        <f>VLOOKUP(Table29[[#This Row],[Shortname]], Comp[], 10, FALSE)</f>
        <v>12.6</v>
      </c>
      <c r="AF383">
        <f>VLOOKUP(Table29[[#This Row],[Shortname]], Comp[], 11, FALSE)</f>
        <v>4.7</v>
      </c>
      <c r="AG383">
        <f>VLOOKUP(Table29[[#This Row],[Shortname]], Comp[],12, FALSE)</f>
        <v>0.3</v>
      </c>
      <c r="AH383">
        <f>VLOOKUP(Table29[[#This Row],[Shortname]], Comp[], 13, FALSE)</f>
        <v>0.2</v>
      </c>
      <c r="AI383">
        <f>VLOOKUP(Table29[[#This Row],[Shortname]], Comp[], 14, FALSE)</f>
        <v>0</v>
      </c>
      <c r="AJ383">
        <f>VLOOKUP(Table29[[#This Row],[Shortname]], Comp[], 15, FALSE)</f>
        <v>0</v>
      </c>
      <c r="AK383">
        <f>VLOOKUP(Table29[[#This Row],[Shortname]], Comp[], 16, FALSE)</f>
        <v>0</v>
      </c>
      <c r="AL383">
        <f>VLOOKUP(Table29[[#This Row],[Shortname]], Comp[], 17, FALSE)</f>
        <v>0.08</v>
      </c>
      <c r="AM383">
        <f>VLOOKUP(Table29[[#This Row],[Shortname]], Comp[], 18, FALSE)</f>
        <v>0.01</v>
      </c>
      <c r="AN383">
        <f>VLOOKUP(Table29[[#This Row],[Shortname]], Comp[], 19, FALSE)</f>
        <v>0.08</v>
      </c>
      <c r="AO383">
        <f>VLOOKUP(Table29[[#This Row],[Shortname]], Comp[], 20, FALSE)</f>
        <v>0</v>
      </c>
      <c r="AP383">
        <f>VLOOKUP(Table29[[#This Row],[Shortname]], Comp[], 21, FALSE)</f>
        <v>0</v>
      </c>
      <c r="AQ383">
        <f>VLOOKUP(Table29[[#This Row],[Shortname]], Comp[], 22, FALSE)</f>
        <v>0.4</v>
      </c>
      <c r="AR383">
        <f>VLOOKUP(Table29[[#This Row],[Shortname]], Comp[], 23, FALSE)</f>
        <v>0</v>
      </c>
      <c r="AS383">
        <f>VLOOKUP(Table29[[#This Row],[Shortname]], Comp[], 24, FALSE)</f>
        <v>0</v>
      </c>
      <c r="AT383">
        <f>VLOOKUP(Table29[[#This Row],[Shortname]], Comp[], 25, FALSE)</f>
        <v>0.1</v>
      </c>
      <c r="AU383">
        <f>VLOOKUP(Table29[[#This Row],[Shortname]], Comp[], 26, FALSE)</f>
        <v>0</v>
      </c>
      <c r="AV383">
        <f>VLOOKUP(Table29[[#This Row],[Shortname]], Comp[], 27, FALSE)</f>
        <v>0</v>
      </c>
      <c r="AW383">
        <f>VLOOKUP(Table29[[#This Row],[Shortname]], Comp[], 28, FALSE)</f>
        <v>0</v>
      </c>
      <c r="AX383">
        <f>VLOOKUP(Table29[[#This Row],[Shortname]], Comp[], 29, FALSE)</f>
        <v>0</v>
      </c>
      <c r="AY383">
        <f>VLOOKUP(Table29[[#This Row],[Shortname]], Comp[], 30, FALSE)</f>
        <v>0</v>
      </c>
      <c r="AZ383">
        <f>VLOOKUP(Table29[[#This Row],[Shortname]], Comp[], 31, FALSE)</f>
        <v>0</v>
      </c>
    </row>
    <row r="384" spans="1:52" x14ac:dyDescent="0.3">
      <c r="A384" t="s">
        <v>1538</v>
      </c>
      <c r="C384" t="e">
        <v>#N/A</v>
      </c>
      <c r="D384" t="s">
        <v>11</v>
      </c>
      <c r="E384" t="e">
        <v>#N/A</v>
      </c>
      <c r="F384" t="s">
        <v>1540</v>
      </c>
      <c r="G384" t="s">
        <v>5732</v>
      </c>
      <c r="H384">
        <v>801</v>
      </c>
      <c r="I384">
        <v>7.8299999999999996E-7</v>
      </c>
      <c r="J384">
        <f>0.01/Table29[[#This Row],[Strain Rate (min) /s]]</f>
        <v>12771.392081736911</v>
      </c>
      <c r="K384">
        <f>LOG(Table29[[#This Row],[Time to 1% strain (s)]])</f>
        <v>4.1062382379420566</v>
      </c>
      <c r="L384">
        <v>750</v>
      </c>
      <c r="P384" t="s">
        <v>7188</v>
      </c>
      <c r="Q384">
        <v>1250</v>
      </c>
      <c r="R384">
        <v>3</v>
      </c>
      <c r="S384">
        <v>900</v>
      </c>
      <c r="T384">
        <v>4</v>
      </c>
      <c r="U384">
        <v>750</v>
      </c>
      <c r="V384">
        <v>16</v>
      </c>
      <c r="W384">
        <v>1</v>
      </c>
      <c r="X384">
        <v>10</v>
      </c>
      <c r="Y384">
        <v>61.8</v>
      </c>
      <c r="AA384">
        <f>VLOOKUP(Table29[[#This Row],[Shortname]], Comp[], 6, FALSE)</f>
        <v>196</v>
      </c>
      <c r="AB384" s="14">
        <f>VLOOKUP(Table29[[#This Row],[Shortname]], Comp[], 7, FALSE)</f>
        <v>41.03</v>
      </c>
      <c r="AC384">
        <f>VLOOKUP(Table29[[#This Row],[Shortname]], Comp[], 8, FALSE)</f>
        <v>31.8</v>
      </c>
      <c r="AD384">
        <f>VLOOKUP(Table29[[#This Row],[Shortname]], Comp[], 9, FALSE)</f>
        <v>8.6999999999999993</v>
      </c>
      <c r="AE384">
        <f>VLOOKUP(Table29[[#This Row],[Shortname]], Comp[], 10, FALSE)</f>
        <v>12.6</v>
      </c>
      <c r="AF384">
        <f>VLOOKUP(Table29[[#This Row],[Shortname]], Comp[], 11, FALSE)</f>
        <v>4.7</v>
      </c>
      <c r="AG384">
        <f>VLOOKUP(Table29[[#This Row],[Shortname]], Comp[],12, FALSE)</f>
        <v>0.3</v>
      </c>
      <c r="AH384">
        <f>VLOOKUP(Table29[[#This Row],[Shortname]], Comp[], 13, FALSE)</f>
        <v>0.2</v>
      </c>
      <c r="AI384">
        <f>VLOOKUP(Table29[[#This Row],[Shortname]], Comp[], 14, FALSE)</f>
        <v>0</v>
      </c>
      <c r="AJ384">
        <f>VLOOKUP(Table29[[#This Row],[Shortname]], Comp[], 15, FALSE)</f>
        <v>0</v>
      </c>
      <c r="AK384">
        <f>VLOOKUP(Table29[[#This Row],[Shortname]], Comp[], 16, FALSE)</f>
        <v>0</v>
      </c>
      <c r="AL384">
        <f>VLOOKUP(Table29[[#This Row],[Shortname]], Comp[], 17, FALSE)</f>
        <v>0.08</v>
      </c>
      <c r="AM384">
        <f>VLOOKUP(Table29[[#This Row],[Shortname]], Comp[], 18, FALSE)</f>
        <v>0.01</v>
      </c>
      <c r="AN384">
        <f>VLOOKUP(Table29[[#This Row],[Shortname]], Comp[], 19, FALSE)</f>
        <v>0.08</v>
      </c>
      <c r="AO384">
        <f>VLOOKUP(Table29[[#This Row],[Shortname]], Comp[], 20, FALSE)</f>
        <v>0</v>
      </c>
      <c r="AP384">
        <f>VLOOKUP(Table29[[#This Row],[Shortname]], Comp[], 21, FALSE)</f>
        <v>0</v>
      </c>
      <c r="AQ384">
        <f>VLOOKUP(Table29[[#This Row],[Shortname]], Comp[], 22, FALSE)</f>
        <v>0.4</v>
      </c>
      <c r="AR384">
        <f>VLOOKUP(Table29[[#This Row],[Shortname]], Comp[], 23, FALSE)</f>
        <v>0</v>
      </c>
      <c r="AS384">
        <f>VLOOKUP(Table29[[#This Row],[Shortname]], Comp[], 24, FALSE)</f>
        <v>0</v>
      </c>
      <c r="AT384">
        <f>VLOOKUP(Table29[[#This Row],[Shortname]], Comp[], 25, FALSE)</f>
        <v>0.1</v>
      </c>
      <c r="AU384">
        <f>VLOOKUP(Table29[[#This Row],[Shortname]], Comp[], 26, FALSE)</f>
        <v>0</v>
      </c>
      <c r="AV384">
        <f>VLOOKUP(Table29[[#This Row],[Shortname]], Comp[], 27, FALSE)</f>
        <v>0</v>
      </c>
      <c r="AW384">
        <f>VLOOKUP(Table29[[#This Row],[Shortname]], Comp[], 28, FALSE)</f>
        <v>0</v>
      </c>
      <c r="AX384">
        <f>VLOOKUP(Table29[[#This Row],[Shortname]], Comp[], 29, FALSE)</f>
        <v>0</v>
      </c>
      <c r="AY384">
        <f>VLOOKUP(Table29[[#This Row],[Shortname]], Comp[], 30, FALSE)</f>
        <v>0</v>
      </c>
      <c r="AZ384">
        <f>VLOOKUP(Table29[[#This Row],[Shortname]], Comp[], 31, FALSE)</f>
        <v>0</v>
      </c>
    </row>
    <row r="385" spans="1:52" x14ac:dyDescent="0.3">
      <c r="A385" t="s">
        <v>1538</v>
      </c>
      <c r="C385">
        <v>195</v>
      </c>
      <c r="D385" t="s">
        <v>11</v>
      </c>
      <c r="E385" t="s">
        <v>160</v>
      </c>
      <c r="F385" t="s">
        <v>1540</v>
      </c>
      <c r="G385" t="s">
        <v>5732</v>
      </c>
      <c r="H385">
        <v>881</v>
      </c>
      <c r="I385">
        <v>3.4000000000000001E-6</v>
      </c>
      <c r="J385">
        <f>0.01/Table29[[#This Row],[Strain Rate (min) /s]]</f>
        <v>2941.1764705882351</v>
      </c>
      <c r="K385">
        <f>LOG(Table29[[#This Row],[Time to 1% strain (s)]])</f>
        <v>3.4685210829577446</v>
      </c>
      <c r="L385">
        <v>750</v>
      </c>
      <c r="P385" t="s">
        <v>7188</v>
      </c>
      <c r="Q385">
        <v>1250</v>
      </c>
      <c r="R385">
        <v>3</v>
      </c>
      <c r="S385">
        <v>900</v>
      </c>
      <c r="T385">
        <v>4</v>
      </c>
      <c r="U385">
        <v>750</v>
      </c>
      <c r="V385">
        <v>16</v>
      </c>
      <c r="W385">
        <v>1</v>
      </c>
      <c r="X385">
        <v>10</v>
      </c>
      <c r="Y385">
        <v>61.8</v>
      </c>
      <c r="AA385">
        <f>VLOOKUP(Table29[[#This Row],[Shortname]], Comp[], 6, FALSE)</f>
        <v>196</v>
      </c>
      <c r="AB385" s="14">
        <f>VLOOKUP(Table29[[#This Row],[Shortname]], Comp[], 7, FALSE)</f>
        <v>41.03</v>
      </c>
      <c r="AC385">
        <f>VLOOKUP(Table29[[#This Row],[Shortname]], Comp[], 8, FALSE)</f>
        <v>31.8</v>
      </c>
      <c r="AD385">
        <f>VLOOKUP(Table29[[#This Row],[Shortname]], Comp[], 9, FALSE)</f>
        <v>8.6999999999999993</v>
      </c>
      <c r="AE385">
        <f>VLOOKUP(Table29[[#This Row],[Shortname]], Comp[], 10, FALSE)</f>
        <v>12.6</v>
      </c>
      <c r="AF385">
        <f>VLOOKUP(Table29[[#This Row],[Shortname]], Comp[], 11, FALSE)</f>
        <v>4.7</v>
      </c>
      <c r="AG385">
        <f>VLOOKUP(Table29[[#This Row],[Shortname]], Comp[],12, FALSE)</f>
        <v>0.3</v>
      </c>
      <c r="AH385">
        <f>VLOOKUP(Table29[[#This Row],[Shortname]], Comp[], 13, FALSE)</f>
        <v>0.2</v>
      </c>
      <c r="AI385">
        <f>VLOOKUP(Table29[[#This Row],[Shortname]], Comp[], 14, FALSE)</f>
        <v>0</v>
      </c>
      <c r="AJ385">
        <f>VLOOKUP(Table29[[#This Row],[Shortname]], Comp[], 15, FALSE)</f>
        <v>0</v>
      </c>
      <c r="AK385">
        <f>VLOOKUP(Table29[[#This Row],[Shortname]], Comp[], 16, FALSE)</f>
        <v>0</v>
      </c>
      <c r="AL385">
        <f>VLOOKUP(Table29[[#This Row],[Shortname]], Comp[], 17, FALSE)</f>
        <v>0.08</v>
      </c>
      <c r="AM385">
        <f>VLOOKUP(Table29[[#This Row],[Shortname]], Comp[], 18, FALSE)</f>
        <v>0.01</v>
      </c>
      <c r="AN385">
        <f>VLOOKUP(Table29[[#This Row],[Shortname]], Comp[], 19, FALSE)</f>
        <v>0.08</v>
      </c>
      <c r="AO385">
        <f>VLOOKUP(Table29[[#This Row],[Shortname]], Comp[], 20, FALSE)</f>
        <v>0</v>
      </c>
      <c r="AP385">
        <f>VLOOKUP(Table29[[#This Row],[Shortname]], Comp[], 21, FALSE)</f>
        <v>0</v>
      </c>
      <c r="AQ385">
        <f>VLOOKUP(Table29[[#This Row],[Shortname]], Comp[], 22, FALSE)</f>
        <v>0.4</v>
      </c>
      <c r="AR385">
        <f>VLOOKUP(Table29[[#This Row],[Shortname]], Comp[], 23, FALSE)</f>
        <v>0</v>
      </c>
      <c r="AS385">
        <f>VLOOKUP(Table29[[#This Row],[Shortname]], Comp[], 24, FALSE)</f>
        <v>0</v>
      </c>
      <c r="AT385">
        <f>VLOOKUP(Table29[[#This Row],[Shortname]], Comp[], 25, FALSE)</f>
        <v>0.1</v>
      </c>
      <c r="AU385">
        <f>VLOOKUP(Table29[[#This Row],[Shortname]], Comp[], 26, FALSE)</f>
        <v>0</v>
      </c>
      <c r="AV385">
        <f>VLOOKUP(Table29[[#This Row],[Shortname]], Comp[], 27, FALSE)</f>
        <v>0</v>
      </c>
      <c r="AW385">
        <f>VLOOKUP(Table29[[#This Row],[Shortname]], Comp[], 28, FALSE)</f>
        <v>0</v>
      </c>
      <c r="AX385">
        <f>VLOOKUP(Table29[[#This Row],[Shortname]], Comp[], 29, FALSE)</f>
        <v>0</v>
      </c>
      <c r="AY385">
        <f>VLOOKUP(Table29[[#This Row],[Shortname]], Comp[], 30, FALSE)</f>
        <v>0</v>
      </c>
      <c r="AZ385">
        <f>VLOOKUP(Table29[[#This Row],[Shortname]], Comp[], 31, FALSE)</f>
        <v>0</v>
      </c>
    </row>
    <row r="386" spans="1:52" x14ac:dyDescent="0.3">
      <c r="A386" t="s">
        <v>1538</v>
      </c>
      <c r="C386">
        <v>195</v>
      </c>
      <c r="D386" t="s">
        <v>11</v>
      </c>
      <c r="E386" t="s">
        <v>160</v>
      </c>
      <c r="F386" t="s">
        <v>1540</v>
      </c>
      <c r="G386" t="s">
        <v>5732</v>
      </c>
      <c r="H386">
        <v>936</v>
      </c>
      <c r="I386">
        <v>3.68E-5</v>
      </c>
      <c r="J386">
        <f>0.01/Table29[[#This Row],[Strain Rate (min) /s]]</f>
        <v>271.73913043478262</v>
      </c>
      <c r="K386">
        <f>LOG(Table29[[#This Row],[Time to 1% strain (s)]])</f>
        <v>2.4341521813264824</v>
      </c>
      <c r="L386">
        <v>750</v>
      </c>
      <c r="P386" t="s">
        <v>7188</v>
      </c>
      <c r="Q386">
        <v>1250</v>
      </c>
      <c r="R386">
        <v>3</v>
      </c>
      <c r="S386">
        <v>900</v>
      </c>
      <c r="T386">
        <v>4</v>
      </c>
      <c r="U386">
        <v>750</v>
      </c>
      <c r="V386">
        <v>16</v>
      </c>
      <c r="W386">
        <v>1</v>
      </c>
      <c r="X386">
        <v>10</v>
      </c>
      <c r="Y386">
        <v>61.8</v>
      </c>
      <c r="AA386">
        <f>VLOOKUP(Table29[[#This Row],[Shortname]], Comp[], 6, FALSE)</f>
        <v>196</v>
      </c>
      <c r="AB386" s="14">
        <f>VLOOKUP(Table29[[#This Row],[Shortname]], Comp[], 7, FALSE)</f>
        <v>41.03</v>
      </c>
      <c r="AC386">
        <f>VLOOKUP(Table29[[#This Row],[Shortname]], Comp[], 8, FALSE)</f>
        <v>31.8</v>
      </c>
      <c r="AD386">
        <f>VLOOKUP(Table29[[#This Row],[Shortname]], Comp[], 9, FALSE)</f>
        <v>8.6999999999999993</v>
      </c>
      <c r="AE386">
        <f>VLOOKUP(Table29[[#This Row],[Shortname]], Comp[], 10, FALSE)</f>
        <v>12.6</v>
      </c>
      <c r="AF386">
        <f>VLOOKUP(Table29[[#This Row],[Shortname]], Comp[], 11, FALSE)</f>
        <v>4.7</v>
      </c>
      <c r="AG386">
        <f>VLOOKUP(Table29[[#This Row],[Shortname]], Comp[],12, FALSE)</f>
        <v>0.3</v>
      </c>
      <c r="AH386">
        <f>VLOOKUP(Table29[[#This Row],[Shortname]], Comp[], 13, FALSE)</f>
        <v>0.2</v>
      </c>
      <c r="AI386">
        <f>VLOOKUP(Table29[[#This Row],[Shortname]], Comp[], 14, FALSE)</f>
        <v>0</v>
      </c>
      <c r="AJ386">
        <f>VLOOKUP(Table29[[#This Row],[Shortname]], Comp[], 15, FALSE)</f>
        <v>0</v>
      </c>
      <c r="AK386">
        <f>VLOOKUP(Table29[[#This Row],[Shortname]], Comp[], 16, FALSE)</f>
        <v>0</v>
      </c>
      <c r="AL386">
        <f>VLOOKUP(Table29[[#This Row],[Shortname]], Comp[], 17, FALSE)</f>
        <v>0.08</v>
      </c>
      <c r="AM386">
        <f>VLOOKUP(Table29[[#This Row],[Shortname]], Comp[], 18, FALSE)</f>
        <v>0.01</v>
      </c>
      <c r="AN386">
        <f>VLOOKUP(Table29[[#This Row],[Shortname]], Comp[], 19, FALSE)</f>
        <v>0.08</v>
      </c>
      <c r="AO386">
        <f>VLOOKUP(Table29[[#This Row],[Shortname]], Comp[], 20, FALSE)</f>
        <v>0</v>
      </c>
      <c r="AP386">
        <f>VLOOKUP(Table29[[#This Row],[Shortname]], Comp[], 21, FALSE)</f>
        <v>0</v>
      </c>
      <c r="AQ386">
        <f>VLOOKUP(Table29[[#This Row],[Shortname]], Comp[], 22, FALSE)</f>
        <v>0.4</v>
      </c>
      <c r="AR386">
        <f>VLOOKUP(Table29[[#This Row],[Shortname]], Comp[], 23, FALSE)</f>
        <v>0</v>
      </c>
      <c r="AS386">
        <f>VLOOKUP(Table29[[#This Row],[Shortname]], Comp[], 24, FALSE)</f>
        <v>0</v>
      </c>
      <c r="AT386">
        <f>VLOOKUP(Table29[[#This Row],[Shortname]], Comp[], 25, FALSE)</f>
        <v>0.1</v>
      </c>
      <c r="AU386">
        <f>VLOOKUP(Table29[[#This Row],[Shortname]], Comp[], 26, FALSE)</f>
        <v>0</v>
      </c>
      <c r="AV386">
        <f>VLOOKUP(Table29[[#This Row],[Shortname]], Comp[], 27, FALSE)</f>
        <v>0</v>
      </c>
      <c r="AW386">
        <f>VLOOKUP(Table29[[#This Row],[Shortname]], Comp[], 28, FALSE)</f>
        <v>0</v>
      </c>
      <c r="AX386">
        <f>VLOOKUP(Table29[[#This Row],[Shortname]], Comp[], 29, FALSE)</f>
        <v>0</v>
      </c>
      <c r="AY386">
        <f>VLOOKUP(Table29[[#This Row],[Shortname]], Comp[], 30, FALSE)</f>
        <v>0</v>
      </c>
      <c r="AZ386">
        <f>VLOOKUP(Table29[[#This Row],[Shortname]], Comp[], 31, FALSE)</f>
        <v>0</v>
      </c>
    </row>
    <row r="387" spans="1:52" x14ac:dyDescent="0.3">
      <c r="A387" t="s">
        <v>1538</v>
      </c>
      <c r="C387">
        <v>195</v>
      </c>
      <c r="D387" t="s">
        <v>11</v>
      </c>
      <c r="E387" t="s">
        <v>160</v>
      </c>
      <c r="F387" t="s">
        <v>1540</v>
      </c>
      <c r="G387" t="s">
        <v>5732</v>
      </c>
      <c r="H387">
        <v>912</v>
      </c>
      <c r="I387">
        <v>3.4000000000000002E-4</v>
      </c>
      <c r="J387">
        <f>0.01/Table29[[#This Row],[Strain Rate (min) /s]]</f>
        <v>29.411764705882351</v>
      </c>
      <c r="K387">
        <f>LOG(Table29[[#This Row],[Time to 1% strain (s)]])</f>
        <v>1.4685210829577449</v>
      </c>
      <c r="L387">
        <v>750</v>
      </c>
      <c r="P387" t="s">
        <v>7188</v>
      </c>
      <c r="Q387">
        <v>1250</v>
      </c>
      <c r="R387">
        <v>3</v>
      </c>
      <c r="S387">
        <v>900</v>
      </c>
      <c r="T387">
        <v>4</v>
      </c>
      <c r="U387">
        <v>750</v>
      </c>
      <c r="V387">
        <v>16</v>
      </c>
      <c r="W387">
        <v>1</v>
      </c>
      <c r="X387">
        <v>10</v>
      </c>
      <c r="Y387">
        <v>61.8</v>
      </c>
      <c r="AA387">
        <f>VLOOKUP(Table29[[#This Row],[Shortname]], Comp[], 6, FALSE)</f>
        <v>196</v>
      </c>
      <c r="AB387" s="14">
        <f>VLOOKUP(Table29[[#This Row],[Shortname]], Comp[], 7, FALSE)</f>
        <v>41.03</v>
      </c>
      <c r="AC387">
        <f>VLOOKUP(Table29[[#This Row],[Shortname]], Comp[], 8, FALSE)</f>
        <v>31.8</v>
      </c>
      <c r="AD387">
        <f>VLOOKUP(Table29[[#This Row],[Shortname]], Comp[], 9, FALSE)</f>
        <v>8.6999999999999993</v>
      </c>
      <c r="AE387">
        <f>VLOOKUP(Table29[[#This Row],[Shortname]], Comp[], 10, FALSE)</f>
        <v>12.6</v>
      </c>
      <c r="AF387">
        <f>VLOOKUP(Table29[[#This Row],[Shortname]], Comp[], 11, FALSE)</f>
        <v>4.7</v>
      </c>
      <c r="AG387">
        <f>VLOOKUP(Table29[[#This Row],[Shortname]], Comp[],12, FALSE)</f>
        <v>0.3</v>
      </c>
      <c r="AH387">
        <f>VLOOKUP(Table29[[#This Row],[Shortname]], Comp[], 13, FALSE)</f>
        <v>0.2</v>
      </c>
      <c r="AI387">
        <f>VLOOKUP(Table29[[#This Row],[Shortname]], Comp[], 14, FALSE)</f>
        <v>0</v>
      </c>
      <c r="AJ387">
        <f>VLOOKUP(Table29[[#This Row],[Shortname]], Comp[], 15, FALSE)</f>
        <v>0</v>
      </c>
      <c r="AK387">
        <f>VLOOKUP(Table29[[#This Row],[Shortname]], Comp[], 16, FALSE)</f>
        <v>0</v>
      </c>
      <c r="AL387">
        <f>VLOOKUP(Table29[[#This Row],[Shortname]], Comp[], 17, FALSE)</f>
        <v>0.08</v>
      </c>
      <c r="AM387">
        <f>VLOOKUP(Table29[[#This Row],[Shortname]], Comp[], 18, FALSE)</f>
        <v>0.01</v>
      </c>
      <c r="AN387">
        <f>VLOOKUP(Table29[[#This Row],[Shortname]], Comp[], 19, FALSE)</f>
        <v>0.08</v>
      </c>
      <c r="AO387">
        <f>VLOOKUP(Table29[[#This Row],[Shortname]], Comp[], 20, FALSE)</f>
        <v>0</v>
      </c>
      <c r="AP387">
        <f>VLOOKUP(Table29[[#This Row],[Shortname]], Comp[], 21, FALSE)</f>
        <v>0</v>
      </c>
      <c r="AQ387">
        <f>VLOOKUP(Table29[[#This Row],[Shortname]], Comp[], 22, FALSE)</f>
        <v>0.4</v>
      </c>
      <c r="AR387">
        <f>VLOOKUP(Table29[[#This Row],[Shortname]], Comp[], 23, FALSE)</f>
        <v>0</v>
      </c>
      <c r="AS387">
        <f>VLOOKUP(Table29[[#This Row],[Shortname]], Comp[], 24, FALSE)</f>
        <v>0</v>
      </c>
      <c r="AT387">
        <f>VLOOKUP(Table29[[#This Row],[Shortname]], Comp[], 25, FALSE)</f>
        <v>0.1</v>
      </c>
      <c r="AU387">
        <f>VLOOKUP(Table29[[#This Row],[Shortname]], Comp[], 26, FALSE)</f>
        <v>0</v>
      </c>
      <c r="AV387">
        <f>VLOOKUP(Table29[[#This Row],[Shortname]], Comp[], 27, FALSE)</f>
        <v>0</v>
      </c>
      <c r="AW387">
        <f>VLOOKUP(Table29[[#This Row],[Shortname]], Comp[], 28, FALSE)</f>
        <v>0</v>
      </c>
      <c r="AX387">
        <f>VLOOKUP(Table29[[#This Row],[Shortname]], Comp[], 29, FALSE)</f>
        <v>0</v>
      </c>
      <c r="AY387">
        <f>VLOOKUP(Table29[[#This Row],[Shortname]], Comp[], 30, FALSE)</f>
        <v>0</v>
      </c>
      <c r="AZ387">
        <f>VLOOKUP(Table29[[#This Row],[Shortname]], Comp[], 31, FALSE)</f>
        <v>0</v>
      </c>
    </row>
    <row r="388" spans="1:52" x14ac:dyDescent="0.3">
      <c r="A388" t="s">
        <v>5735</v>
      </c>
      <c r="C388">
        <v>195</v>
      </c>
      <c r="D388" t="s">
        <v>1527</v>
      </c>
      <c r="E388" t="s">
        <v>160</v>
      </c>
      <c r="F388" t="s">
        <v>5736</v>
      </c>
      <c r="G388" t="s">
        <v>5732</v>
      </c>
      <c r="H388">
        <v>619.53801738483196</v>
      </c>
      <c r="I388">
        <v>1.5031113370898301E-8</v>
      </c>
      <c r="J388">
        <f>0.01/Table29[[#This Row],[Strain Rate (min) /s]]</f>
        <v>665286.71251731587</v>
      </c>
      <c r="K388">
        <f>LOG(Table29[[#This Row],[Time to 1% strain (s)]])</f>
        <v>5.8230088495575245</v>
      </c>
      <c r="L388">
        <v>750</v>
      </c>
      <c r="P388" t="s">
        <v>7189</v>
      </c>
      <c r="Q388">
        <v>1250</v>
      </c>
      <c r="R388">
        <v>3</v>
      </c>
      <c r="S388">
        <v>900</v>
      </c>
      <c r="T388">
        <v>4</v>
      </c>
      <c r="U388">
        <v>750</v>
      </c>
      <c r="V388">
        <v>16</v>
      </c>
      <c r="W388">
        <v>1</v>
      </c>
      <c r="X388">
        <v>10</v>
      </c>
      <c r="Y388">
        <v>61.3</v>
      </c>
      <c r="AA388">
        <f>VLOOKUP(Table29[[#This Row],[Shortname]], Comp[], 6, FALSE)</f>
        <v>902</v>
      </c>
      <c r="AB388" s="14">
        <f>VLOOKUP(Table29[[#This Row],[Shortname]], Comp[], 7, FALSE)</f>
        <v>34.92</v>
      </c>
      <c r="AC388">
        <f>VLOOKUP(Table29[[#This Row],[Shortname]], Comp[], 8, FALSE)</f>
        <v>35</v>
      </c>
      <c r="AD388">
        <f>VLOOKUP(Table29[[#This Row],[Shortname]], Comp[], 9, FALSE)</f>
        <v>7.5</v>
      </c>
      <c r="AE388">
        <f>VLOOKUP(Table29[[#This Row],[Shortname]], Comp[], 10, FALSE)</f>
        <v>15</v>
      </c>
      <c r="AF388">
        <f>VLOOKUP(Table29[[#This Row],[Shortname]], Comp[], 11, FALSE)</f>
        <v>5</v>
      </c>
      <c r="AG388">
        <f>VLOOKUP(Table29[[#This Row],[Shortname]], Comp[],12, FALSE)</f>
        <v>1</v>
      </c>
      <c r="AH388">
        <f>VLOOKUP(Table29[[#This Row],[Shortname]], Comp[], 13, FALSE)</f>
        <v>1</v>
      </c>
      <c r="AI388">
        <f>VLOOKUP(Table29[[#This Row],[Shortname]], Comp[], 14, FALSE)</f>
        <v>0</v>
      </c>
      <c r="AJ388">
        <f>VLOOKUP(Table29[[#This Row],[Shortname]], Comp[], 15, FALSE)</f>
        <v>0</v>
      </c>
      <c r="AK388">
        <f>VLOOKUP(Table29[[#This Row],[Shortname]], Comp[], 16, FALSE)</f>
        <v>0</v>
      </c>
      <c r="AL388">
        <f>VLOOKUP(Table29[[#This Row],[Shortname]], Comp[], 17, FALSE)</f>
        <v>0</v>
      </c>
      <c r="AM388">
        <f>VLOOKUP(Table29[[#This Row],[Shortname]], Comp[], 18, FALSE)</f>
        <v>0</v>
      </c>
      <c r="AN388">
        <f>VLOOKUP(Table29[[#This Row],[Shortname]], Comp[], 19, FALSE)</f>
        <v>0.08</v>
      </c>
      <c r="AO388">
        <f>VLOOKUP(Table29[[#This Row],[Shortname]], Comp[], 20, FALSE)</f>
        <v>0</v>
      </c>
      <c r="AP388">
        <f>VLOOKUP(Table29[[#This Row],[Shortname]], Comp[], 21, FALSE)</f>
        <v>0</v>
      </c>
      <c r="AQ388">
        <f>VLOOKUP(Table29[[#This Row],[Shortname]], Comp[], 22, FALSE)</f>
        <v>0.4</v>
      </c>
      <c r="AR388">
        <f>VLOOKUP(Table29[[#This Row],[Shortname]], Comp[], 23, FALSE)</f>
        <v>0</v>
      </c>
      <c r="AS388">
        <f>VLOOKUP(Table29[[#This Row],[Shortname]], Comp[], 24, FALSE)</f>
        <v>0</v>
      </c>
      <c r="AT388">
        <f>VLOOKUP(Table29[[#This Row],[Shortname]], Comp[], 25, FALSE)</f>
        <v>0.1</v>
      </c>
      <c r="AU388">
        <f>VLOOKUP(Table29[[#This Row],[Shortname]], Comp[], 26, FALSE)</f>
        <v>0</v>
      </c>
      <c r="AV388">
        <f>VLOOKUP(Table29[[#This Row],[Shortname]], Comp[], 27, FALSE)</f>
        <v>0</v>
      </c>
      <c r="AW388">
        <f>VLOOKUP(Table29[[#This Row],[Shortname]], Comp[], 28, FALSE)</f>
        <v>0</v>
      </c>
      <c r="AX388">
        <f>VLOOKUP(Table29[[#This Row],[Shortname]], Comp[], 29, FALSE)</f>
        <v>0</v>
      </c>
      <c r="AY388">
        <f>VLOOKUP(Table29[[#This Row],[Shortname]], Comp[], 30, FALSE)</f>
        <v>0</v>
      </c>
      <c r="AZ388">
        <f>VLOOKUP(Table29[[#This Row],[Shortname]], Comp[], 31, FALSE)</f>
        <v>0</v>
      </c>
    </row>
    <row r="389" spans="1:52" x14ac:dyDescent="0.3">
      <c r="A389" t="s">
        <v>5735</v>
      </c>
      <c r="C389">
        <v>195</v>
      </c>
      <c r="D389" t="s">
        <v>11</v>
      </c>
      <c r="E389" t="s">
        <v>160</v>
      </c>
      <c r="F389" t="s">
        <v>5736</v>
      </c>
      <c r="G389" t="s">
        <v>5732</v>
      </c>
      <c r="H389">
        <v>720.37456013218195</v>
      </c>
      <c r="I389">
        <v>5.0016701125591201E-8</v>
      </c>
      <c r="J389">
        <f>0.01/Table29[[#This Row],[Strain Rate (min) /s]]</f>
        <v>199933.21780439193</v>
      </c>
      <c r="K389">
        <f>LOG(Table29[[#This Row],[Time to 1% strain (s)]])</f>
        <v>5.3008849557522142</v>
      </c>
      <c r="L389">
        <v>750</v>
      </c>
      <c r="P389" t="s">
        <v>7189</v>
      </c>
      <c r="Q389">
        <v>1250</v>
      </c>
      <c r="R389">
        <v>3</v>
      </c>
      <c r="S389">
        <v>900</v>
      </c>
      <c r="T389">
        <v>4</v>
      </c>
      <c r="U389">
        <v>750</v>
      </c>
      <c r="V389">
        <v>16</v>
      </c>
      <c r="W389">
        <v>1</v>
      </c>
      <c r="X389">
        <v>10</v>
      </c>
      <c r="Y389">
        <v>61.3</v>
      </c>
      <c r="AA389">
        <f>VLOOKUP(Table29[[#This Row],[Shortname]], Comp[], 6, FALSE)</f>
        <v>902</v>
      </c>
      <c r="AB389" s="14">
        <f>VLOOKUP(Table29[[#This Row],[Shortname]], Comp[], 7, FALSE)</f>
        <v>34.92</v>
      </c>
      <c r="AC389">
        <f>VLOOKUP(Table29[[#This Row],[Shortname]], Comp[], 8, FALSE)</f>
        <v>35</v>
      </c>
      <c r="AD389">
        <f>VLOOKUP(Table29[[#This Row],[Shortname]], Comp[], 9, FALSE)</f>
        <v>7.5</v>
      </c>
      <c r="AE389">
        <f>VLOOKUP(Table29[[#This Row],[Shortname]], Comp[], 10, FALSE)</f>
        <v>15</v>
      </c>
      <c r="AF389">
        <f>VLOOKUP(Table29[[#This Row],[Shortname]], Comp[], 11, FALSE)</f>
        <v>5</v>
      </c>
      <c r="AG389">
        <f>VLOOKUP(Table29[[#This Row],[Shortname]], Comp[],12, FALSE)</f>
        <v>1</v>
      </c>
      <c r="AH389">
        <f>VLOOKUP(Table29[[#This Row],[Shortname]], Comp[], 13, FALSE)</f>
        <v>1</v>
      </c>
      <c r="AI389">
        <f>VLOOKUP(Table29[[#This Row],[Shortname]], Comp[], 14, FALSE)</f>
        <v>0</v>
      </c>
      <c r="AJ389">
        <f>VLOOKUP(Table29[[#This Row],[Shortname]], Comp[], 15, FALSE)</f>
        <v>0</v>
      </c>
      <c r="AK389">
        <f>VLOOKUP(Table29[[#This Row],[Shortname]], Comp[], 16, FALSE)</f>
        <v>0</v>
      </c>
      <c r="AL389">
        <f>VLOOKUP(Table29[[#This Row],[Shortname]], Comp[], 17, FALSE)</f>
        <v>0</v>
      </c>
      <c r="AM389">
        <f>VLOOKUP(Table29[[#This Row],[Shortname]], Comp[], 18, FALSE)</f>
        <v>0</v>
      </c>
      <c r="AN389">
        <f>VLOOKUP(Table29[[#This Row],[Shortname]], Comp[], 19, FALSE)</f>
        <v>0.08</v>
      </c>
      <c r="AO389">
        <f>VLOOKUP(Table29[[#This Row],[Shortname]], Comp[], 20, FALSE)</f>
        <v>0</v>
      </c>
      <c r="AP389">
        <f>VLOOKUP(Table29[[#This Row],[Shortname]], Comp[], 21, FALSE)</f>
        <v>0</v>
      </c>
      <c r="AQ389">
        <f>VLOOKUP(Table29[[#This Row],[Shortname]], Comp[], 22, FALSE)</f>
        <v>0.4</v>
      </c>
      <c r="AR389">
        <f>VLOOKUP(Table29[[#This Row],[Shortname]], Comp[], 23, FALSE)</f>
        <v>0</v>
      </c>
      <c r="AS389">
        <f>VLOOKUP(Table29[[#This Row],[Shortname]], Comp[], 24, FALSE)</f>
        <v>0</v>
      </c>
      <c r="AT389">
        <f>VLOOKUP(Table29[[#This Row],[Shortname]], Comp[], 25, FALSE)</f>
        <v>0.1</v>
      </c>
      <c r="AU389">
        <f>VLOOKUP(Table29[[#This Row],[Shortname]], Comp[], 26, FALSE)</f>
        <v>0</v>
      </c>
      <c r="AV389">
        <f>VLOOKUP(Table29[[#This Row],[Shortname]], Comp[], 27, FALSE)</f>
        <v>0</v>
      </c>
      <c r="AW389">
        <f>VLOOKUP(Table29[[#This Row],[Shortname]], Comp[], 28, FALSE)</f>
        <v>0</v>
      </c>
      <c r="AX389">
        <f>VLOOKUP(Table29[[#This Row],[Shortname]], Comp[], 29, FALSE)</f>
        <v>0</v>
      </c>
      <c r="AY389">
        <f>VLOOKUP(Table29[[#This Row],[Shortname]], Comp[], 30, FALSE)</f>
        <v>0</v>
      </c>
      <c r="AZ389">
        <f>VLOOKUP(Table29[[#This Row],[Shortname]], Comp[], 31, FALSE)</f>
        <v>0</v>
      </c>
    </row>
    <row r="390" spans="1:52" x14ac:dyDescent="0.3">
      <c r="A390" t="s">
        <v>5735</v>
      </c>
      <c r="C390">
        <v>196</v>
      </c>
      <c r="D390" t="s">
        <v>11</v>
      </c>
      <c r="E390" t="s">
        <v>160</v>
      </c>
      <c r="F390" t="s">
        <v>5736</v>
      </c>
      <c r="G390" t="s">
        <v>5732</v>
      </c>
      <c r="H390">
        <v>800.57431321256104</v>
      </c>
      <c r="I390">
        <v>1.1300491816714799E-7</v>
      </c>
      <c r="J390">
        <f>0.01/Table29[[#This Row],[Strain Rate (min) /s]]</f>
        <v>88491.723742578935</v>
      </c>
      <c r="K390">
        <f>LOG(Table29[[#This Row],[Time to 1% strain (s)]])</f>
        <v>4.9469026548672614</v>
      </c>
      <c r="L390">
        <v>750</v>
      </c>
      <c r="P390" t="s">
        <v>7189</v>
      </c>
      <c r="Q390">
        <v>1250</v>
      </c>
      <c r="R390">
        <v>3</v>
      </c>
      <c r="S390">
        <v>900</v>
      </c>
      <c r="T390">
        <v>4</v>
      </c>
      <c r="U390">
        <v>750</v>
      </c>
      <c r="V390">
        <v>16</v>
      </c>
      <c r="W390">
        <v>1</v>
      </c>
      <c r="X390">
        <v>10</v>
      </c>
      <c r="Y390">
        <v>61.3</v>
      </c>
      <c r="AA390">
        <f>VLOOKUP(Table29[[#This Row],[Shortname]], Comp[], 6, FALSE)</f>
        <v>902</v>
      </c>
      <c r="AB390" s="14">
        <f>VLOOKUP(Table29[[#This Row],[Shortname]], Comp[], 7, FALSE)</f>
        <v>34.92</v>
      </c>
      <c r="AC390">
        <f>VLOOKUP(Table29[[#This Row],[Shortname]], Comp[], 8, FALSE)</f>
        <v>35</v>
      </c>
      <c r="AD390">
        <f>VLOOKUP(Table29[[#This Row],[Shortname]], Comp[], 9, FALSE)</f>
        <v>7.5</v>
      </c>
      <c r="AE390">
        <f>VLOOKUP(Table29[[#This Row],[Shortname]], Comp[], 10, FALSE)</f>
        <v>15</v>
      </c>
      <c r="AF390">
        <f>VLOOKUP(Table29[[#This Row],[Shortname]], Comp[], 11, FALSE)</f>
        <v>5</v>
      </c>
      <c r="AG390">
        <f>VLOOKUP(Table29[[#This Row],[Shortname]], Comp[],12, FALSE)</f>
        <v>1</v>
      </c>
      <c r="AH390">
        <f>VLOOKUP(Table29[[#This Row],[Shortname]], Comp[], 13, FALSE)</f>
        <v>1</v>
      </c>
      <c r="AI390">
        <f>VLOOKUP(Table29[[#This Row],[Shortname]], Comp[], 14, FALSE)</f>
        <v>0</v>
      </c>
      <c r="AJ390">
        <f>VLOOKUP(Table29[[#This Row],[Shortname]], Comp[], 15, FALSE)</f>
        <v>0</v>
      </c>
      <c r="AK390">
        <f>VLOOKUP(Table29[[#This Row],[Shortname]], Comp[], 16, FALSE)</f>
        <v>0</v>
      </c>
      <c r="AL390">
        <f>VLOOKUP(Table29[[#This Row],[Shortname]], Comp[], 17, FALSE)</f>
        <v>0</v>
      </c>
      <c r="AM390">
        <f>VLOOKUP(Table29[[#This Row],[Shortname]], Comp[], 18, FALSE)</f>
        <v>0</v>
      </c>
      <c r="AN390">
        <f>VLOOKUP(Table29[[#This Row],[Shortname]], Comp[], 19, FALSE)</f>
        <v>0.08</v>
      </c>
      <c r="AO390">
        <f>VLOOKUP(Table29[[#This Row],[Shortname]], Comp[], 20, FALSE)</f>
        <v>0</v>
      </c>
      <c r="AP390">
        <f>VLOOKUP(Table29[[#This Row],[Shortname]], Comp[], 21, FALSE)</f>
        <v>0</v>
      </c>
      <c r="AQ390">
        <f>VLOOKUP(Table29[[#This Row],[Shortname]], Comp[], 22, FALSE)</f>
        <v>0.4</v>
      </c>
      <c r="AR390">
        <f>VLOOKUP(Table29[[#This Row],[Shortname]], Comp[], 23, FALSE)</f>
        <v>0</v>
      </c>
      <c r="AS390">
        <f>VLOOKUP(Table29[[#This Row],[Shortname]], Comp[], 24, FALSE)</f>
        <v>0</v>
      </c>
      <c r="AT390">
        <f>VLOOKUP(Table29[[#This Row],[Shortname]], Comp[], 25, FALSE)</f>
        <v>0.1</v>
      </c>
      <c r="AU390">
        <f>VLOOKUP(Table29[[#This Row],[Shortname]], Comp[], 26, FALSE)</f>
        <v>0</v>
      </c>
      <c r="AV390">
        <f>VLOOKUP(Table29[[#This Row],[Shortname]], Comp[], 27, FALSE)</f>
        <v>0</v>
      </c>
      <c r="AW390">
        <f>VLOOKUP(Table29[[#This Row],[Shortname]], Comp[], 28, FALSE)</f>
        <v>0</v>
      </c>
      <c r="AX390">
        <f>VLOOKUP(Table29[[#This Row],[Shortname]], Comp[], 29, FALSE)</f>
        <v>0</v>
      </c>
      <c r="AY390">
        <f>VLOOKUP(Table29[[#This Row],[Shortname]], Comp[], 30, FALSE)</f>
        <v>0</v>
      </c>
      <c r="AZ390">
        <f>VLOOKUP(Table29[[#This Row],[Shortname]], Comp[], 31, FALSE)</f>
        <v>0</v>
      </c>
    </row>
    <row r="391" spans="1:52" x14ac:dyDescent="0.3">
      <c r="A391" t="s">
        <v>5735</v>
      </c>
      <c r="C391">
        <v>196</v>
      </c>
      <c r="D391" t="s">
        <v>11</v>
      </c>
      <c r="E391" t="s">
        <v>160</v>
      </c>
      <c r="F391" t="s">
        <v>5736</v>
      </c>
      <c r="G391" t="s">
        <v>5732</v>
      </c>
      <c r="H391">
        <v>873.08923759674201</v>
      </c>
      <c r="I391">
        <v>4.0796177156126899E-7</v>
      </c>
      <c r="J391">
        <f>0.01/Table29[[#This Row],[Strain Rate (min) /s]]</f>
        <v>24512.100635630679</v>
      </c>
      <c r="K391">
        <f>LOG(Table29[[#This Row],[Time to 1% strain (s)]])</f>
        <v>4.3893805309734537</v>
      </c>
      <c r="L391">
        <v>750</v>
      </c>
      <c r="P391" t="s">
        <v>7189</v>
      </c>
      <c r="Q391">
        <v>1250</v>
      </c>
      <c r="R391">
        <v>3</v>
      </c>
      <c r="S391">
        <v>900</v>
      </c>
      <c r="T391">
        <v>4</v>
      </c>
      <c r="U391">
        <v>750</v>
      </c>
      <c r="V391">
        <v>16</v>
      </c>
      <c r="W391">
        <v>1</v>
      </c>
      <c r="X391">
        <v>10</v>
      </c>
      <c r="Y391">
        <v>61.3</v>
      </c>
      <c r="AA391">
        <f>VLOOKUP(Table29[[#This Row],[Shortname]], Comp[], 6, FALSE)</f>
        <v>902</v>
      </c>
      <c r="AB391" s="14">
        <f>VLOOKUP(Table29[[#This Row],[Shortname]], Comp[], 7, FALSE)</f>
        <v>34.92</v>
      </c>
      <c r="AC391">
        <f>VLOOKUP(Table29[[#This Row],[Shortname]], Comp[], 8, FALSE)</f>
        <v>35</v>
      </c>
      <c r="AD391">
        <f>VLOOKUP(Table29[[#This Row],[Shortname]], Comp[], 9, FALSE)</f>
        <v>7.5</v>
      </c>
      <c r="AE391">
        <f>VLOOKUP(Table29[[#This Row],[Shortname]], Comp[], 10, FALSE)</f>
        <v>15</v>
      </c>
      <c r="AF391">
        <f>VLOOKUP(Table29[[#This Row],[Shortname]], Comp[], 11, FALSE)</f>
        <v>5</v>
      </c>
      <c r="AG391">
        <f>VLOOKUP(Table29[[#This Row],[Shortname]], Comp[],12, FALSE)</f>
        <v>1</v>
      </c>
      <c r="AH391">
        <f>VLOOKUP(Table29[[#This Row],[Shortname]], Comp[], 13, FALSE)</f>
        <v>1</v>
      </c>
      <c r="AI391">
        <f>VLOOKUP(Table29[[#This Row],[Shortname]], Comp[], 14, FALSE)</f>
        <v>0</v>
      </c>
      <c r="AJ391">
        <f>VLOOKUP(Table29[[#This Row],[Shortname]], Comp[], 15, FALSE)</f>
        <v>0</v>
      </c>
      <c r="AK391">
        <f>VLOOKUP(Table29[[#This Row],[Shortname]], Comp[], 16, FALSE)</f>
        <v>0</v>
      </c>
      <c r="AL391">
        <f>VLOOKUP(Table29[[#This Row],[Shortname]], Comp[], 17, FALSE)</f>
        <v>0</v>
      </c>
      <c r="AM391">
        <f>VLOOKUP(Table29[[#This Row],[Shortname]], Comp[], 18, FALSE)</f>
        <v>0</v>
      </c>
      <c r="AN391">
        <f>VLOOKUP(Table29[[#This Row],[Shortname]], Comp[], 19, FALSE)</f>
        <v>0.08</v>
      </c>
      <c r="AO391">
        <f>VLOOKUP(Table29[[#This Row],[Shortname]], Comp[], 20, FALSE)</f>
        <v>0</v>
      </c>
      <c r="AP391">
        <f>VLOOKUP(Table29[[#This Row],[Shortname]], Comp[], 21, FALSE)</f>
        <v>0</v>
      </c>
      <c r="AQ391">
        <f>VLOOKUP(Table29[[#This Row],[Shortname]], Comp[], 22, FALSE)</f>
        <v>0.4</v>
      </c>
      <c r="AR391">
        <f>VLOOKUP(Table29[[#This Row],[Shortname]], Comp[], 23, FALSE)</f>
        <v>0</v>
      </c>
      <c r="AS391">
        <f>VLOOKUP(Table29[[#This Row],[Shortname]], Comp[], 24, FALSE)</f>
        <v>0</v>
      </c>
      <c r="AT391">
        <f>VLOOKUP(Table29[[#This Row],[Shortname]], Comp[], 25, FALSE)</f>
        <v>0.1</v>
      </c>
      <c r="AU391">
        <f>VLOOKUP(Table29[[#This Row],[Shortname]], Comp[], 26, FALSE)</f>
        <v>0</v>
      </c>
      <c r="AV391">
        <f>VLOOKUP(Table29[[#This Row],[Shortname]], Comp[], 27, FALSE)</f>
        <v>0</v>
      </c>
      <c r="AW391">
        <f>VLOOKUP(Table29[[#This Row],[Shortname]], Comp[], 28, FALSE)</f>
        <v>0</v>
      </c>
      <c r="AX391">
        <f>VLOOKUP(Table29[[#This Row],[Shortname]], Comp[], 29, FALSE)</f>
        <v>0</v>
      </c>
      <c r="AY391">
        <f>VLOOKUP(Table29[[#This Row],[Shortname]], Comp[], 30, FALSE)</f>
        <v>0</v>
      </c>
      <c r="AZ391">
        <f>VLOOKUP(Table29[[#This Row],[Shortname]], Comp[], 31, FALSE)</f>
        <v>0</v>
      </c>
    </row>
    <row r="392" spans="1:52" x14ac:dyDescent="0.3">
      <c r="A392" t="s">
        <v>5735</v>
      </c>
      <c r="C392">
        <v>196</v>
      </c>
      <c r="D392" t="s">
        <v>11</v>
      </c>
      <c r="E392" t="s">
        <v>160</v>
      </c>
      <c r="F392" t="s">
        <v>5736</v>
      </c>
      <c r="G392" t="s">
        <v>5732</v>
      </c>
      <c r="H392">
        <v>899.82222542395505</v>
      </c>
      <c r="I392">
        <v>1.9194899416590601E-6</v>
      </c>
      <c r="J392">
        <f>0.01/Table29[[#This Row],[Strain Rate (min) /s]]</f>
        <v>5209.7173227991843</v>
      </c>
      <c r="K392">
        <f>LOG(Table29[[#This Row],[Time to 1% strain (s)]])</f>
        <v>3.7168141592920372</v>
      </c>
      <c r="L392">
        <v>750</v>
      </c>
      <c r="P392" t="s">
        <v>7189</v>
      </c>
      <c r="Q392">
        <v>1250</v>
      </c>
      <c r="R392">
        <v>3</v>
      </c>
      <c r="S392">
        <v>900</v>
      </c>
      <c r="T392">
        <v>4</v>
      </c>
      <c r="U392">
        <v>750</v>
      </c>
      <c r="V392">
        <v>16</v>
      </c>
      <c r="W392">
        <v>1</v>
      </c>
      <c r="X392">
        <v>10</v>
      </c>
      <c r="Y392">
        <v>61.3</v>
      </c>
      <c r="AA392">
        <f>VLOOKUP(Table29[[#This Row],[Shortname]], Comp[], 6, FALSE)</f>
        <v>902</v>
      </c>
      <c r="AB392" s="14">
        <f>VLOOKUP(Table29[[#This Row],[Shortname]], Comp[], 7, FALSE)</f>
        <v>34.92</v>
      </c>
      <c r="AC392">
        <f>VLOOKUP(Table29[[#This Row],[Shortname]], Comp[], 8, FALSE)</f>
        <v>35</v>
      </c>
      <c r="AD392">
        <f>VLOOKUP(Table29[[#This Row],[Shortname]], Comp[], 9, FALSE)</f>
        <v>7.5</v>
      </c>
      <c r="AE392">
        <f>VLOOKUP(Table29[[#This Row],[Shortname]], Comp[], 10, FALSE)</f>
        <v>15</v>
      </c>
      <c r="AF392">
        <f>VLOOKUP(Table29[[#This Row],[Shortname]], Comp[], 11, FALSE)</f>
        <v>5</v>
      </c>
      <c r="AG392">
        <f>VLOOKUP(Table29[[#This Row],[Shortname]], Comp[],12, FALSE)</f>
        <v>1</v>
      </c>
      <c r="AH392">
        <f>VLOOKUP(Table29[[#This Row],[Shortname]], Comp[], 13, FALSE)</f>
        <v>1</v>
      </c>
      <c r="AI392">
        <f>VLOOKUP(Table29[[#This Row],[Shortname]], Comp[], 14, FALSE)</f>
        <v>0</v>
      </c>
      <c r="AJ392">
        <f>VLOOKUP(Table29[[#This Row],[Shortname]], Comp[], 15, FALSE)</f>
        <v>0</v>
      </c>
      <c r="AK392">
        <f>VLOOKUP(Table29[[#This Row],[Shortname]], Comp[], 16, FALSE)</f>
        <v>0</v>
      </c>
      <c r="AL392">
        <f>VLOOKUP(Table29[[#This Row],[Shortname]], Comp[], 17, FALSE)</f>
        <v>0</v>
      </c>
      <c r="AM392">
        <f>VLOOKUP(Table29[[#This Row],[Shortname]], Comp[], 18, FALSE)</f>
        <v>0</v>
      </c>
      <c r="AN392">
        <f>VLOOKUP(Table29[[#This Row],[Shortname]], Comp[], 19, FALSE)</f>
        <v>0.08</v>
      </c>
      <c r="AO392">
        <f>VLOOKUP(Table29[[#This Row],[Shortname]], Comp[], 20, FALSE)</f>
        <v>0</v>
      </c>
      <c r="AP392">
        <f>VLOOKUP(Table29[[#This Row],[Shortname]], Comp[], 21, FALSE)</f>
        <v>0</v>
      </c>
      <c r="AQ392">
        <f>VLOOKUP(Table29[[#This Row],[Shortname]], Comp[], 22, FALSE)</f>
        <v>0.4</v>
      </c>
      <c r="AR392">
        <f>VLOOKUP(Table29[[#This Row],[Shortname]], Comp[], 23, FALSE)</f>
        <v>0</v>
      </c>
      <c r="AS392">
        <f>VLOOKUP(Table29[[#This Row],[Shortname]], Comp[], 24, FALSE)</f>
        <v>0</v>
      </c>
      <c r="AT392">
        <f>VLOOKUP(Table29[[#This Row],[Shortname]], Comp[], 25, FALSE)</f>
        <v>0.1</v>
      </c>
      <c r="AU392">
        <f>VLOOKUP(Table29[[#This Row],[Shortname]], Comp[], 26, FALSE)</f>
        <v>0</v>
      </c>
      <c r="AV392">
        <f>VLOOKUP(Table29[[#This Row],[Shortname]], Comp[], 27, FALSE)</f>
        <v>0</v>
      </c>
      <c r="AW392">
        <f>VLOOKUP(Table29[[#This Row],[Shortname]], Comp[], 28, FALSE)</f>
        <v>0</v>
      </c>
      <c r="AX392">
        <f>VLOOKUP(Table29[[#This Row],[Shortname]], Comp[], 29, FALSE)</f>
        <v>0</v>
      </c>
      <c r="AY392">
        <f>VLOOKUP(Table29[[#This Row],[Shortname]], Comp[], 30, FALSE)</f>
        <v>0</v>
      </c>
      <c r="AZ392">
        <f>VLOOKUP(Table29[[#This Row],[Shortname]], Comp[], 31, FALSE)</f>
        <v>0</v>
      </c>
    </row>
    <row r="393" spans="1:52" x14ac:dyDescent="0.3">
      <c r="A393" t="s">
        <v>5735</v>
      </c>
      <c r="C393">
        <v>196</v>
      </c>
      <c r="D393" t="s">
        <v>11</v>
      </c>
      <c r="E393" t="s">
        <v>160</v>
      </c>
      <c r="F393" t="s">
        <v>5736</v>
      </c>
      <c r="G393" t="s">
        <v>5732</v>
      </c>
      <c r="H393">
        <v>941.46425949466504</v>
      </c>
      <c r="I393">
        <v>4.6101686610606603E-6</v>
      </c>
      <c r="J393">
        <f>0.01/Table29[[#This Row],[Strain Rate (min) /s]]</f>
        <v>2169.118037798492</v>
      </c>
      <c r="K393">
        <f>LOG(Table29[[#This Row],[Time to 1% strain (s)]])</f>
        <v>3.3362831858407085</v>
      </c>
      <c r="L393">
        <v>750</v>
      </c>
      <c r="P393" t="s">
        <v>7189</v>
      </c>
      <c r="Q393">
        <v>1250</v>
      </c>
      <c r="R393">
        <v>3</v>
      </c>
      <c r="S393">
        <v>900</v>
      </c>
      <c r="T393">
        <v>4</v>
      </c>
      <c r="U393">
        <v>750</v>
      </c>
      <c r="V393">
        <v>16</v>
      </c>
      <c r="W393">
        <v>1</v>
      </c>
      <c r="X393">
        <v>10</v>
      </c>
      <c r="Y393">
        <v>61.3</v>
      </c>
      <c r="AA393">
        <f>VLOOKUP(Table29[[#This Row],[Shortname]], Comp[], 6, FALSE)</f>
        <v>902</v>
      </c>
      <c r="AB393" s="14">
        <f>VLOOKUP(Table29[[#This Row],[Shortname]], Comp[], 7, FALSE)</f>
        <v>34.92</v>
      </c>
      <c r="AC393">
        <f>VLOOKUP(Table29[[#This Row],[Shortname]], Comp[], 8, FALSE)</f>
        <v>35</v>
      </c>
      <c r="AD393">
        <f>VLOOKUP(Table29[[#This Row],[Shortname]], Comp[], 9, FALSE)</f>
        <v>7.5</v>
      </c>
      <c r="AE393">
        <f>VLOOKUP(Table29[[#This Row],[Shortname]], Comp[], 10, FALSE)</f>
        <v>15</v>
      </c>
      <c r="AF393">
        <f>VLOOKUP(Table29[[#This Row],[Shortname]], Comp[], 11, FALSE)</f>
        <v>5</v>
      </c>
      <c r="AG393">
        <f>VLOOKUP(Table29[[#This Row],[Shortname]], Comp[],12, FALSE)</f>
        <v>1</v>
      </c>
      <c r="AH393">
        <f>VLOOKUP(Table29[[#This Row],[Shortname]], Comp[], 13, FALSE)</f>
        <v>1</v>
      </c>
      <c r="AI393">
        <f>VLOOKUP(Table29[[#This Row],[Shortname]], Comp[], 14, FALSE)</f>
        <v>0</v>
      </c>
      <c r="AJ393">
        <f>VLOOKUP(Table29[[#This Row],[Shortname]], Comp[], 15, FALSE)</f>
        <v>0</v>
      </c>
      <c r="AK393">
        <f>VLOOKUP(Table29[[#This Row],[Shortname]], Comp[], 16, FALSE)</f>
        <v>0</v>
      </c>
      <c r="AL393">
        <f>VLOOKUP(Table29[[#This Row],[Shortname]], Comp[], 17, FALSE)</f>
        <v>0</v>
      </c>
      <c r="AM393">
        <f>VLOOKUP(Table29[[#This Row],[Shortname]], Comp[], 18, FALSE)</f>
        <v>0</v>
      </c>
      <c r="AN393">
        <f>VLOOKUP(Table29[[#This Row],[Shortname]], Comp[], 19, FALSE)</f>
        <v>0.08</v>
      </c>
      <c r="AO393">
        <f>VLOOKUP(Table29[[#This Row],[Shortname]], Comp[], 20, FALSE)</f>
        <v>0</v>
      </c>
      <c r="AP393">
        <f>VLOOKUP(Table29[[#This Row],[Shortname]], Comp[], 21, FALSE)</f>
        <v>0</v>
      </c>
      <c r="AQ393">
        <f>VLOOKUP(Table29[[#This Row],[Shortname]], Comp[], 22, FALSE)</f>
        <v>0.4</v>
      </c>
      <c r="AR393">
        <f>VLOOKUP(Table29[[#This Row],[Shortname]], Comp[], 23, FALSE)</f>
        <v>0</v>
      </c>
      <c r="AS393">
        <f>VLOOKUP(Table29[[#This Row],[Shortname]], Comp[], 24, FALSE)</f>
        <v>0</v>
      </c>
      <c r="AT393">
        <f>VLOOKUP(Table29[[#This Row],[Shortname]], Comp[], 25, FALSE)</f>
        <v>0.1</v>
      </c>
      <c r="AU393">
        <f>VLOOKUP(Table29[[#This Row],[Shortname]], Comp[], 26, FALSE)</f>
        <v>0</v>
      </c>
      <c r="AV393">
        <f>VLOOKUP(Table29[[#This Row],[Shortname]], Comp[], 27, FALSE)</f>
        <v>0</v>
      </c>
      <c r="AW393">
        <f>VLOOKUP(Table29[[#This Row],[Shortname]], Comp[], 28, FALSE)</f>
        <v>0</v>
      </c>
      <c r="AX393">
        <f>VLOOKUP(Table29[[#This Row],[Shortname]], Comp[], 29, FALSE)</f>
        <v>0</v>
      </c>
      <c r="AY393">
        <f>VLOOKUP(Table29[[#This Row],[Shortname]], Comp[], 30, FALSE)</f>
        <v>0</v>
      </c>
      <c r="AZ393">
        <f>VLOOKUP(Table29[[#This Row],[Shortname]], Comp[], 31, FALSE)</f>
        <v>0</v>
      </c>
    </row>
    <row r="394" spans="1:52" x14ac:dyDescent="0.3">
      <c r="A394" t="s">
        <v>5735</v>
      </c>
      <c r="C394">
        <v>196</v>
      </c>
      <c r="D394" t="s">
        <v>11</v>
      </c>
      <c r="E394" t="s">
        <v>160</v>
      </c>
      <c r="F394" t="s">
        <v>5736</v>
      </c>
      <c r="G394" t="s">
        <v>5732</v>
      </c>
      <c r="H394">
        <v>948.58959799480897</v>
      </c>
      <c r="I394">
        <v>5.6521332176882204E-6</v>
      </c>
      <c r="J394">
        <f>0.01/Table29[[#This Row],[Strain Rate (min) /s]]</f>
        <v>1769.243507691084</v>
      </c>
      <c r="K394">
        <f>LOG(Table29[[#This Row],[Time to 1% strain (s)]])</f>
        <v>3.2477876106194685</v>
      </c>
      <c r="L394">
        <v>750</v>
      </c>
      <c r="P394" t="s">
        <v>7189</v>
      </c>
      <c r="Q394">
        <v>1250</v>
      </c>
      <c r="R394">
        <v>3</v>
      </c>
      <c r="S394">
        <v>900</v>
      </c>
      <c r="T394">
        <v>4</v>
      </c>
      <c r="U394">
        <v>750</v>
      </c>
      <c r="V394">
        <v>16</v>
      </c>
      <c r="W394">
        <v>1</v>
      </c>
      <c r="X394">
        <v>10</v>
      </c>
      <c r="Y394">
        <v>61.3</v>
      </c>
      <c r="AA394">
        <f>VLOOKUP(Table29[[#This Row],[Shortname]], Comp[], 6, FALSE)</f>
        <v>902</v>
      </c>
      <c r="AB394" s="14">
        <f>VLOOKUP(Table29[[#This Row],[Shortname]], Comp[], 7, FALSE)</f>
        <v>34.92</v>
      </c>
      <c r="AC394">
        <f>VLOOKUP(Table29[[#This Row],[Shortname]], Comp[], 8, FALSE)</f>
        <v>35</v>
      </c>
      <c r="AD394">
        <f>VLOOKUP(Table29[[#This Row],[Shortname]], Comp[], 9, FALSE)</f>
        <v>7.5</v>
      </c>
      <c r="AE394">
        <f>VLOOKUP(Table29[[#This Row],[Shortname]], Comp[], 10, FALSE)</f>
        <v>15</v>
      </c>
      <c r="AF394">
        <f>VLOOKUP(Table29[[#This Row],[Shortname]], Comp[], 11, FALSE)</f>
        <v>5</v>
      </c>
      <c r="AG394">
        <f>VLOOKUP(Table29[[#This Row],[Shortname]], Comp[],12, FALSE)</f>
        <v>1</v>
      </c>
      <c r="AH394">
        <f>VLOOKUP(Table29[[#This Row],[Shortname]], Comp[], 13, FALSE)</f>
        <v>1</v>
      </c>
      <c r="AI394">
        <f>VLOOKUP(Table29[[#This Row],[Shortname]], Comp[], 14, FALSE)</f>
        <v>0</v>
      </c>
      <c r="AJ394">
        <f>VLOOKUP(Table29[[#This Row],[Shortname]], Comp[], 15, FALSE)</f>
        <v>0</v>
      </c>
      <c r="AK394">
        <f>VLOOKUP(Table29[[#This Row],[Shortname]], Comp[], 16, FALSE)</f>
        <v>0</v>
      </c>
      <c r="AL394">
        <f>VLOOKUP(Table29[[#This Row],[Shortname]], Comp[], 17, FALSE)</f>
        <v>0</v>
      </c>
      <c r="AM394">
        <f>VLOOKUP(Table29[[#This Row],[Shortname]], Comp[], 18, FALSE)</f>
        <v>0</v>
      </c>
      <c r="AN394">
        <f>VLOOKUP(Table29[[#This Row],[Shortname]], Comp[], 19, FALSE)</f>
        <v>0.08</v>
      </c>
      <c r="AO394">
        <f>VLOOKUP(Table29[[#This Row],[Shortname]], Comp[], 20, FALSE)</f>
        <v>0</v>
      </c>
      <c r="AP394">
        <f>VLOOKUP(Table29[[#This Row],[Shortname]], Comp[], 21, FALSE)</f>
        <v>0</v>
      </c>
      <c r="AQ394">
        <f>VLOOKUP(Table29[[#This Row],[Shortname]], Comp[], 22, FALSE)</f>
        <v>0.4</v>
      </c>
      <c r="AR394">
        <f>VLOOKUP(Table29[[#This Row],[Shortname]], Comp[], 23, FALSE)</f>
        <v>0</v>
      </c>
      <c r="AS394">
        <f>VLOOKUP(Table29[[#This Row],[Shortname]], Comp[], 24, FALSE)</f>
        <v>0</v>
      </c>
      <c r="AT394">
        <f>VLOOKUP(Table29[[#This Row],[Shortname]], Comp[], 25, FALSE)</f>
        <v>0.1</v>
      </c>
      <c r="AU394">
        <f>VLOOKUP(Table29[[#This Row],[Shortname]], Comp[], 26, FALSE)</f>
        <v>0</v>
      </c>
      <c r="AV394">
        <f>VLOOKUP(Table29[[#This Row],[Shortname]], Comp[], 27, FALSE)</f>
        <v>0</v>
      </c>
      <c r="AW394">
        <f>VLOOKUP(Table29[[#This Row],[Shortname]], Comp[], 28, FALSE)</f>
        <v>0</v>
      </c>
      <c r="AX394">
        <f>VLOOKUP(Table29[[#This Row],[Shortname]], Comp[], 29, FALSE)</f>
        <v>0</v>
      </c>
      <c r="AY394">
        <f>VLOOKUP(Table29[[#This Row],[Shortname]], Comp[], 30, FALSE)</f>
        <v>0</v>
      </c>
      <c r="AZ394">
        <f>VLOOKUP(Table29[[#This Row],[Shortname]], Comp[], 31, FALSE)</f>
        <v>0</v>
      </c>
    </row>
    <row r="395" spans="1:52" x14ac:dyDescent="0.3">
      <c r="A395" t="s">
        <v>5735</v>
      </c>
      <c r="C395" t="e">
        <v>#N/A</v>
      </c>
      <c r="D395" t="s">
        <v>11</v>
      </c>
      <c r="E395" t="e">
        <v>#N/A</v>
      </c>
      <c r="F395" t="s">
        <v>5736</v>
      </c>
      <c r="G395" t="s">
        <v>5732</v>
      </c>
      <c r="H395">
        <v>966.63976901054696</v>
      </c>
      <c r="I395">
        <v>3.2604259141009698E-5</v>
      </c>
      <c r="J395">
        <f>0.01/Table29[[#This Row],[Strain Rate (min) /s]]</f>
        <v>306.70839526673927</v>
      </c>
      <c r="K395">
        <f>LOG(Table29[[#This Row],[Time to 1% strain (s)]])</f>
        <v>2.4867256637168151</v>
      </c>
      <c r="L395">
        <v>750</v>
      </c>
      <c r="P395" t="s">
        <v>7189</v>
      </c>
      <c r="Q395">
        <v>1250</v>
      </c>
      <c r="R395">
        <v>3</v>
      </c>
      <c r="S395">
        <v>900</v>
      </c>
      <c r="T395">
        <v>4</v>
      </c>
      <c r="U395">
        <v>750</v>
      </c>
      <c r="V395">
        <v>16</v>
      </c>
      <c r="W395">
        <v>1</v>
      </c>
      <c r="X395">
        <v>10</v>
      </c>
      <c r="Y395">
        <v>61.3</v>
      </c>
      <c r="AA395">
        <f>VLOOKUP(Table29[[#This Row],[Shortname]], Comp[], 6, FALSE)</f>
        <v>902</v>
      </c>
      <c r="AB395" s="14">
        <f>VLOOKUP(Table29[[#This Row],[Shortname]], Comp[], 7, FALSE)</f>
        <v>34.92</v>
      </c>
      <c r="AC395">
        <f>VLOOKUP(Table29[[#This Row],[Shortname]], Comp[], 8, FALSE)</f>
        <v>35</v>
      </c>
      <c r="AD395">
        <f>VLOOKUP(Table29[[#This Row],[Shortname]], Comp[], 9, FALSE)</f>
        <v>7.5</v>
      </c>
      <c r="AE395">
        <f>VLOOKUP(Table29[[#This Row],[Shortname]], Comp[], 10, FALSE)</f>
        <v>15</v>
      </c>
      <c r="AF395">
        <f>VLOOKUP(Table29[[#This Row],[Shortname]], Comp[], 11, FALSE)</f>
        <v>5</v>
      </c>
      <c r="AG395">
        <f>VLOOKUP(Table29[[#This Row],[Shortname]], Comp[],12, FALSE)</f>
        <v>1</v>
      </c>
      <c r="AH395">
        <f>VLOOKUP(Table29[[#This Row],[Shortname]], Comp[], 13, FALSE)</f>
        <v>1</v>
      </c>
      <c r="AI395">
        <f>VLOOKUP(Table29[[#This Row],[Shortname]], Comp[], 14, FALSE)</f>
        <v>0</v>
      </c>
      <c r="AJ395">
        <f>VLOOKUP(Table29[[#This Row],[Shortname]], Comp[], 15, FALSE)</f>
        <v>0</v>
      </c>
      <c r="AK395">
        <f>VLOOKUP(Table29[[#This Row],[Shortname]], Comp[], 16, FALSE)</f>
        <v>0</v>
      </c>
      <c r="AL395">
        <f>VLOOKUP(Table29[[#This Row],[Shortname]], Comp[], 17, FALSE)</f>
        <v>0</v>
      </c>
      <c r="AM395">
        <f>VLOOKUP(Table29[[#This Row],[Shortname]], Comp[], 18, FALSE)</f>
        <v>0</v>
      </c>
      <c r="AN395">
        <f>VLOOKUP(Table29[[#This Row],[Shortname]], Comp[], 19, FALSE)</f>
        <v>0.08</v>
      </c>
      <c r="AO395">
        <f>VLOOKUP(Table29[[#This Row],[Shortname]], Comp[], 20, FALSE)</f>
        <v>0</v>
      </c>
      <c r="AP395">
        <f>VLOOKUP(Table29[[#This Row],[Shortname]], Comp[], 21, FALSE)</f>
        <v>0</v>
      </c>
      <c r="AQ395">
        <f>VLOOKUP(Table29[[#This Row],[Shortname]], Comp[], 22, FALSE)</f>
        <v>0.4</v>
      </c>
      <c r="AR395">
        <f>VLOOKUP(Table29[[#This Row],[Shortname]], Comp[], 23, FALSE)</f>
        <v>0</v>
      </c>
      <c r="AS395">
        <f>VLOOKUP(Table29[[#This Row],[Shortname]], Comp[], 24, FALSE)</f>
        <v>0</v>
      </c>
      <c r="AT395">
        <f>VLOOKUP(Table29[[#This Row],[Shortname]], Comp[], 25, FALSE)</f>
        <v>0.1</v>
      </c>
      <c r="AU395">
        <f>VLOOKUP(Table29[[#This Row],[Shortname]], Comp[], 26, FALSE)</f>
        <v>0</v>
      </c>
      <c r="AV395">
        <f>VLOOKUP(Table29[[#This Row],[Shortname]], Comp[], 27, FALSE)</f>
        <v>0</v>
      </c>
      <c r="AW395">
        <f>VLOOKUP(Table29[[#This Row],[Shortname]], Comp[], 28, FALSE)</f>
        <v>0</v>
      </c>
      <c r="AX395">
        <f>VLOOKUP(Table29[[#This Row],[Shortname]], Comp[], 29, FALSE)</f>
        <v>0</v>
      </c>
      <c r="AY395">
        <f>VLOOKUP(Table29[[#This Row],[Shortname]], Comp[], 30, FALSE)</f>
        <v>0</v>
      </c>
      <c r="AZ395">
        <f>VLOOKUP(Table29[[#This Row],[Shortname]], Comp[], 31, FALSE)</f>
        <v>0</v>
      </c>
    </row>
    <row r="396" spans="1:52" x14ac:dyDescent="0.3">
      <c r="A396" t="s">
        <v>5735</v>
      </c>
      <c r="C396" t="e">
        <v>#N/A</v>
      </c>
      <c r="D396" t="s">
        <v>11</v>
      </c>
      <c r="E396" t="e">
        <v>#N/A</v>
      </c>
      <c r="F396" t="s">
        <v>5736</v>
      </c>
      <c r="G396" t="s">
        <v>5732</v>
      </c>
      <c r="H396">
        <v>994.36106262547401</v>
      </c>
      <c r="I396">
        <v>3.4659557108295501E-4</v>
      </c>
      <c r="J396">
        <f>0.01/Table29[[#This Row],[Strain Rate (min) /s]]</f>
        <v>28.852070927376555</v>
      </c>
      <c r="K396">
        <f>LOG(Table29[[#This Row],[Time to 1% strain (s)]])</f>
        <v>1.4601769911504419</v>
      </c>
      <c r="L396">
        <v>750</v>
      </c>
      <c r="P396" t="s">
        <v>7189</v>
      </c>
      <c r="Q396">
        <v>1250</v>
      </c>
      <c r="R396">
        <v>3</v>
      </c>
      <c r="S396">
        <v>900</v>
      </c>
      <c r="T396">
        <v>4</v>
      </c>
      <c r="U396">
        <v>750</v>
      </c>
      <c r="V396">
        <v>16</v>
      </c>
      <c r="W396">
        <v>1</v>
      </c>
      <c r="X396">
        <v>10</v>
      </c>
      <c r="Y396">
        <v>61.3</v>
      </c>
      <c r="AA396">
        <f>VLOOKUP(Table29[[#This Row],[Shortname]], Comp[], 6, FALSE)</f>
        <v>902</v>
      </c>
      <c r="AB396" s="14">
        <f>VLOOKUP(Table29[[#This Row],[Shortname]], Comp[], 7, FALSE)</f>
        <v>34.92</v>
      </c>
      <c r="AC396">
        <f>VLOOKUP(Table29[[#This Row],[Shortname]], Comp[], 8, FALSE)</f>
        <v>35</v>
      </c>
      <c r="AD396">
        <f>VLOOKUP(Table29[[#This Row],[Shortname]], Comp[], 9, FALSE)</f>
        <v>7.5</v>
      </c>
      <c r="AE396">
        <f>VLOOKUP(Table29[[#This Row],[Shortname]], Comp[], 10, FALSE)</f>
        <v>15</v>
      </c>
      <c r="AF396">
        <f>VLOOKUP(Table29[[#This Row],[Shortname]], Comp[], 11, FALSE)</f>
        <v>5</v>
      </c>
      <c r="AG396">
        <f>VLOOKUP(Table29[[#This Row],[Shortname]], Comp[],12, FALSE)</f>
        <v>1</v>
      </c>
      <c r="AH396">
        <f>VLOOKUP(Table29[[#This Row],[Shortname]], Comp[], 13, FALSE)</f>
        <v>1</v>
      </c>
      <c r="AI396">
        <f>VLOOKUP(Table29[[#This Row],[Shortname]], Comp[], 14, FALSE)</f>
        <v>0</v>
      </c>
      <c r="AJ396">
        <f>VLOOKUP(Table29[[#This Row],[Shortname]], Comp[], 15, FALSE)</f>
        <v>0</v>
      </c>
      <c r="AK396">
        <f>VLOOKUP(Table29[[#This Row],[Shortname]], Comp[], 16, FALSE)</f>
        <v>0</v>
      </c>
      <c r="AL396">
        <f>VLOOKUP(Table29[[#This Row],[Shortname]], Comp[], 17, FALSE)</f>
        <v>0</v>
      </c>
      <c r="AM396">
        <f>VLOOKUP(Table29[[#This Row],[Shortname]], Comp[], 18, FALSE)</f>
        <v>0</v>
      </c>
      <c r="AN396">
        <f>VLOOKUP(Table29[[#This Row],[Shortname]], Comp[], 19, FALSE)</f>
        <v>0.08</v>
      </c>
      <c r="AO396">
        <f>VLOOKUP(Table29[[#This Row],[Shortname]], Comp[], 20, FALSE)</f>
        <v>0</v>
      </c>
      <c r="AP396">
        <f>VLOOKUP(Table29[[#This Row],[Shortname]], Comp[], 21, FALSE)</f>
        <v>0</v>
      </c>
      <c r="AQ396">
        <f>VLOOKUP(Table29[[#This Row],[Shortname]], Comp[], 22, FALSE)</f>
        <v>0.4</v>
      </c>
      <c r="AR396">
        <f>VLOOKUP(Table29[[#This Row],[Shortname]], Comp[], 23, FALSE)</f>
        <v>0</v>
      </c>
      <c r="AS396">
        <f>VLOOKUP(Table29[[#This Row],[Shortname]], Comp[], 24, FALSE)</f>
        <v>0</v>
      </c>
      <c r="AT396">
        <f>VLOOKUP(Table29[[#This Row],[Shortname]], Comp[], 25, FALSE)</f>
        <v>0.1</v>
      </c>
      <c r="AU396">
        <f>VLOOKUP(Table29[[#This Row],[Shortname]], Comp[], 26, FALSE)</f>
        <v>0</v>
      </c>
      <c r="AV396">
        <f>VLOOKUP(Table29[[#This Row],[Shortname]], Comp[], 27, FALSE)</f>
        <v>0</v>
      </c>
      <c r="AW396">
        <f>VLOOKUP(Table29[[#This Row],[Shortname]], Comp[], 28, FALSE)</f>
        <v>0</v>
      </c>
      <c r="AX396">
        <f>VLOOKUP(Table29[[#This Row],[Shortname]], Comp[], 29, FALSE)</f>
        <v>0</v>
      </c>
      <c r="AY396">
        <f>VLOOKUP(Table29[[#This Row],[Shortname]], Comp[], 30, FALSE)</f>
        <v>0</v>
      </c>
      <c r="AZ396">
        <f>VLOOKUP(Table29[[#This Row],[Shortname]], Comp[], 31, FALSE)</f>
        <v>0</v>
      </c>
    </row>
    <row r="397" spans="1:52" x14ac:dyDescent="0.3">
      <c r="A397" t="s">
        <v>5740</v>
      </c>
      <c r="C397" t="e">
        <v>#N/A</v>
      </c>
      <c r="D397" t="e">
        <v>#N/A</v>
      </c>
      <c r="E397" t="e">
        <v>#N/A</v>
      </c>
      <c r="F397" t="s">
        <v>5741</v>
      </c>
      <c r="G397" t="s">
        <v>5732</v>
      </c>
      <c r="H397">
        <v>529.81184746127894</v>
      </c>
      <c r="I397">
        <v>3.1946609910494303E-8</v>
      </c>
      <c r="J397">
        <f>0.01/Table29[[#This Row],[Strain Rate (min) /s]]</f>
        <v>313022.25895070797</v>
      </c>
      <c r="K397">
        <f>LOG(Table29[[#This Row],[Time to 1% strain (s)]])</f>
        <v>5.4955752212389415</v>
      </c>
      <c r="L397">
        <v>750</v>
      </c>
      <c r="P397" t="s">
        <v>7190</v>
      </c>
      <c r="Q397">
        <v>1250</v>
      </c>
      <c r="R397">
        <v>3</v>
      </c>
      <c r="S397">
        <v>900</v>
      </c>
      <c r="T397">
        <v>4</v>
      </c>
      <c r="U397">
        <v>750</v>
      </c>
      <c r="V397">
        <v>16</v>
      </c>
      <c r="W397">
        <v>1</v>
      </c>
      <c r="X397">
        <v>10</v>
      </c>
      <c r="Y397">
        <v>61.5</v>
      </c>
      <c r="AA397">
        <f>VLOOKUP(Table29[[#This Row],[Shortname]], Comp[], 6, FALSE)</f>
        <v>903</v>
      </c>
      <c r="AB397" s="14">
        <f>VLOOKUP(Table29[[#This Row],[Shortname]], Comp[], 7, FALSE)</f>
        <v>34.92</v>
      </c>
      <c r="AC397">
        <f>VLOOKUP(Table29[[#This Row],[Shortname]], Comp[], 8, FALSE)</f>
        <v>35</v>
      </c>
      <c r="AD397">
        <f>VLOOKUP(Table29[[#This Row],[Shortname]], Comp[], 9, FALSE)</f>
        <v>9</v>
      </c>
      <c r="AE397">
        <f>VLOOKUP(Table29[[#This Row],[Shortname]], Comp[], 10, FALSE)</f>
        <v>15</v>
      </c>
      <c r="AF397">
        <f>VLOOKUP(Table29[[#This Row],[Shortname]], Comp[], 11, FALSE)</f>
        <v>5</v>
      </c>
      <c r="AG397">
        <f>VLOOKUP(Table29[[#This Row],[Shortname]], Comp[],12, FALSE)</f>
        <v>0.3</v>
      </c>
      <c r="AH397">
        <f>VLOOKUP(Table29[[#This Row],[Shortname]], Comp[], 13, FALSE)</f>
        <v>0.2</v>
      </c>
      <c r="AI397">
        <f>VLOOKUP(Table29[[#This Row],[Shortname]], Comp[], 14, FALSE)</f>
        <v>0</v>
      </c>
      <c r="AJ397">
        <f>VLOOKUP(Table29[[#This Row],[Shortname]], Comp[], 15, FALSE)</f>
        <v>0</v>
      </c>
      <c r="AK397">
        <f>VLOOKUP(Table29[[#This Row],[Shortname]], Comp[], 16, FALSE)</f>
        <v>0</v>
      </c>
      <c r="AL397">
        <f>VLOOKUP(Table29[[#This Row],[Shortname]], Comp[], 17, FALSE)</f>
        <v>0</v>
      </c>
      <c r="AM397">
        <f>VLOOKUP(Table29[[#This Row],[Shortname]], Comp[], 18, FALSE)</f>
        <v>0</v>
      </c>
      <c r="AN397">
        <f>VLOOKUP(Table29[[#This Row],[Shortname]], Comp[], 19, FALSE)</f>
        <v>0.08</v>
      </c>
      <c r="AO397">
        <f>VLOOKUP(Table29[[#This Row],[Shortname]], Comp[], 20, FALSE)</f>
        <v>0</v>
      </c>
      <c r="AP397">
        <f>VLOOKUP(Table29[[#This Row],[Shortname]], Comp[], 21, FALSE)</f>
        <v>0</v>
      </c>
      <c r="AQ397">
        <f>VLOOKUP(Table29[[#This Row],[Shortname]], Comp[], 22, FALSE)</f>
        <v>0.4</v>
      </c>
      <c r="AR397">
        <f>VLOOKUP(Table29[[#This Row],[Shortname]], Comp[], 23, FALSE)</f>
        <v>0</v>
      </c>
      <c r="AS397">
        <f>VLOOKUP(Table29[[#This Row],[Shortname]], Comp[], 24, FALSE)</f>
        <v>0</v>
      </c>
      <c r="AT397">
        <f>VLOOKUP(Table29[[#This Row],[Shortname]], Comp[], 25, FALSE)</f>
        <v>0.1</v>
      </c>
      <c r="AU397">
        <f>VLOOKUP(Table29[[#This Row],[Shortname]], Comp[], 26, FALSE)</f>
        <v>0</v>
      </c>
      <c r="AV397">
        <f>VLOOKUP(Table29[[#This Row],[Shortname]], Comp[], 27, FALSE)</f>
        <v>0</v>
      </c>
      <c r="AW397">
        <f>VLOOKUP(Table29[[#This Row],[Shortname]], Comp[], 28, FALSE)</f>
        <v>0</v>
      </c>
      <c r="AX397">
        <f>VLOOKUP(Table29[[#This Row],[Shortname]], Comp[], 29, FALSE)</f>
        <v>0</v>
      </c>
      <c r="AY397">
        <f>VLOOKUP(Table29[[#This Row],[Shortname]], Comp[], 30, FALSE)</f>
        <v>0</v>
      </c>
      <c r="AZ397">
        <f>VLOOKUP(Table29[[#This Row],[Shortname]], Comp[], 31, FALSE)</f>
        <v>0</v>
      </c>
    </row>
    <row r="398" spans="1:52" x14ac:dyDescent="0.3">
      <c r="A398" t="s">
        <v>5740</v>
      </c>
      <c r="C398" t="e">
        <v>#N/A</v>
      </c>
      <c r="D398" t="s">
        <v>11</v>
      </c>
      <c r="E398" t="e">
        <v>#N/A</v>
      </c>
      <c r="F398" t="s">
        <v>5741</v>
      </c>
      <c r="G398" t="s">
        <v>5732</v>
      </c>
      <c r="H398">
        <v>620.70692644288602</v>
      </c>
      <c r="I398">
        <v>1.69858973643951E-7</v>
      </c>
      <c r="J398">
        <f>0.01/Table29[[#This Row],[Strain Rate (min) /s]]</f>
        <v>58872.367973690038</v>
      </c>
      <c r="K398">
        <f>LOG(Table29[[#This Row],[Time to 1% strain (s)]])</f>
        <v>4.7699115044247797</v>
      </c>
      <c r="L398">
        <v>750</v>
      </c>
      <c r="P398" t="s">
        <v>7190</v>
      </c>
      <c r="Q398">
        <v>1250</v>
      </c>
      <c r="R398">
        <v>3</v>
      </c>
      <c r="S398">
        <v>900</v>
      </c>
      <c r="T398">
        <v>4</v>
      </c>
      <c r="U398">
        <v>750</v>
      </c>
      <c r="V398">
        <v>16</v>
      </c>
      <c r="W398">
        <v>1</v>
      </c>
      <c r="X398">
        <v>10</v>
      </c>
      <c r="Y398">
        <v>61.5</v>
      </c>
      <c r="AA398">
        <f>VLOOKUP(Table29[[#This Row],[Shortname]], Comp[], 6, FALSE)</f>
        <v>903</v>
      </c>
      <c r="AB398" s="14">
        <f>VLOOKUP(Table29[[#This Row],[Shortname]], Comp[], 7, FALSE)</f>
        <v>34.92</v>
      </c>
      <c r="AC398">
        <f>VLOOKUP(Table29[[#This Row],[Shortname]], Comp[], 8, FALSE)</f>
        <v>35</v>
      </c>
      <c r="AD398">
        <f>VLOOKUP(Table29[[#This Row],[Shortname]], Comp[], 9, FALSE)</f>
        <v>9</v>
      </c>
      <c r="AE398">
        <f>VLOOKUP(Table29[[#This Row],[Shortname]], Comp[], 10, FALSE)</f>
        <v>15</v>
      </c>
      <c r="AF398">
        <f>VLOOKUP(Table29[[#This Row],[Shortname]], Comp[], 11, FALSE)</f>
        <v>5</v>
      </c>
      <c r="AG398">
        <f>VLOOKUP(Table29[[#This Row],[Shortname]], Comp[],12, FALSE)</f>
        <v>0.3</v>
      </c>
      <c r="AH398">
        <f>VLOOKUP(Table29[[#This Row],[Shortname]], Comp[], 13, FALSE)</f>
        <v>0.2</v>
      </c>
      <c r="AI398">
        <f>VLOOKUP(Table29[[#This Row],[Shortname]], Comp[], 14, FALSE)</f>
        <v>0</v>
      </c>
      <c r="AJ398">
        <f>VLOOKUP(Table29[[#This Row],[Shortname]], Comp[], 15, FALSE)</f>
        <v>0</v>
      </c>
      <c r="AK398">
        <f>VLOOKUP(Table29[[#This Row],[Shortname]], Comp[], 16, FALSE)</f>
        <v>0</v>
      </c>
      <c r="AL398">
        <f>VLOOKUP(Table29[[#This Row],[Shortname]], Comp[], 17, FALSE)</f>
        <v>0</v>
      </c>
      <c r="AM398">
        <f>VLOOKUP(Table29[[#This Row],[Shortname]], Comp[], 18, FALSE)</f>
        <v>0</v>
      </c>
      <c r="AN398">
        <f>VLOOKUP(Table29[[#This Row],[Shortname]], Comp[], 19, FALSE)</f>
        <v>0.08</v>
      </c>
      <c r="AO398">
        <f>VLOOKUP(Table29[[#This Row],[Shortname]], Comp[], 20, FALSE)</f>
        <v>0</v>
      </c>
      <c r="AP398">
        <f>VLOOKUP(Table29[[#This Row],[Shortname]], Comp[], 21, FALSE)</f>
        <v>0</v>
      </c>
      <c r="AQ398">
        <f>VLOOKUP(Table29[[#This Row],[Shortname]], Comp[], 22, FALSE)</f>
        <v>0.4</v>
      </c>
      <c r="AR398">
        <f>VLOOKUP(Table29[[#This Row],[Shortname]], Comp[], 23, FALSE)</f>
        <v>0</v>
      </c>
      <c r="AS398">
        <f>VLOOKUP(Table29[[#This Row],[Shortname]], Comp[], 24, FALSE)</f>
        <v>0</v>
      </c>
      <c r="AT398">
        <f>VLOOKUP(Table29[[#This Row],[Shortname]], Comp[], 25, FALSE)</f>
        <v>0.1</v>
      </c>
      <c r="AU398">
        <f>VLOOKUP(Table29[[#This Row],[Shortname]], Comp[], 26, FALSE)</f>
        <v>0</v>
      </c>
      <c r="AV398">
        <f>VLOOKUP(Table29[[#This Row],[Shortname]], Comp[], 27, FALSE)</f>
        <v>0</v>
      </c>
      <c r="AW398">
        <f>VLOOKUP(Table29[[#This Row],[Shortname]], Comp[], 28, FALSE)</f>
        <v>0</v>
      </c>
      <c r="AX398">
        <f>VLOOKUP(Table29[[#This Row],[Shortname]], Comp[], 29, FALSE)</f>
        <v>0</v>
      </c>
      <c r="AY398">
        <f>VLOOKUP(Table29[[#This Row],[Shortname]], Comp[], 30, FALSE)</f>
        <v>0</v>
      </c>
      <c r="AZ398">
        <f>VLOOKUP(Table29[[#This Row],[Shortname]], Comp[], 31, FALSE)</f>
        <v>0</v>
      </c>
    </row>
    <row r="399" spans="1:52" x14ac:dyDescent="0.3">
      <c r="A399" t="s">
        <v>5740</v>
      </c>
      <c r="C399" t="e">
        <v>#N/A</v>
      </c>
      <c r="D399" t="s">
        <v>11</v>
      </c>
      <c r="E399" t="e">
        <v>#N/A</v>
      </c>
      <c r="F399" t="s">
        <v>5741</v>
      </c>
      <c r="G399" t="s">
        <v>5732</v>
      </c>
      <c r="H399">
        <v>720.37456013218195</v>
      </c>
      <c r="I399">
        <v>6.7898222812240398E-7</v>
      </c>
      <c r="J399">
        <f>0.01/Table29[[#This Row],[Strain Rate (min) /s]]</f>
        <v>14727.925983649227</v>
      </c>
      <c r="K399">
        <f>LOG(Table29[[#This Row],[Time to 1% strain (s)]])</f>
        <v>4.1681415929203549</v>
      </c>
      <c r="L399">
        <v>750</v>
      </c>
      <c r="P399" t="s">
        <v>7190</v>
      </c>
      <c r="Q399">
        <v>1250</v>
      </c>
      <c r="R399">
        <v>3</v>
      </c>
      <c r="S399">
        <v>900</v>
      </c>
      <c r="T399">
        <v>4</v>
      </c>
      <c r="U399">
        <v>750</v>
      </c>
      <c r="V399">
        <v>16</v>
      </c>
      <c r="W399">
        <v>1</v>
      </c>
      <c r="X399">
        <v>10</v>
      </c>
      <c r="Y399">
        <v>61.5</v>
      </c>
      <c r="AA399">
        <f>VLOOKUP(Table29[[#This Row],[Shortname]], Comp[], 6, FALSE)</f>
        <v>903</v>
      </c>
      <c r="AB399" s="14">
        <f>VLOOKUP(Table29[[#This Row],[Shortname]], Comp[], 7, FALSE)</f>
        <v>34.92</v>
      </c>
      <c r="AC399">
        <f>VLOOKUP(Table29[[#This Row],[Shortname]], Comp[], 8, FALSE)</f>
        <v>35</v>
      </c>
      <c r="AD399">
        <f>VLOOKUP(Table29[[#This Row],[Shortname]], Comp[], 9, FALSE)</f>
        <v>9</v>
      </c>
      <c r="AE399">
        <f>VLOOKUP(Table29[[#This Row],[Shortname]], Comp[], 10, FALSE)</f>
        <v>15</v>
      </c>
      <c r="AF399">
        <f>VLOOKUP(Table29[[#This Row],[Shortname]], Comp[], 11, FALSE)</f>
        <v>5</v>
      </c>
      <c r="AG399">
        <f>VLOOKUP(Table29[[#This Row],[Shortname]], Comp[],12, FALSE)</f>
        <v>0.3</v>
      </c>
      <c r="AH399">
        <f>VLOOKUP(Table29[[#This Row],[Shortname]], Comp[], 13, FALSE)</f>
        <v>0.2</v>
      </c>
      <c r="AI399">
        <f>VLOOKUP(Table29[[#This Row],[Shortname]], Comp[], 14, FALSE)</f>
        <v>0</v>
      </c>
      <c r="AJ399">
        <f>VLOOKUP(Table29[[#This Row],[Shortname]], Comp[], 15, FALSE)</f>
        <v>0</v>
      </c>
      <c r="AK399">
        <f>VLOOKUP(Table29[[#This Row],[Shortname]], Comp[], 16, FALSE)</f>
        <v>0</v>
      </c>
      <c r="AL399">
        <f>VLOOKUP(Table29[[#This Row],[Shortname]], Comp[], 17, FALSE)</f>
        <v>0</v>
      </c>
      <c r="AM399">
        <f>VLOOKUP(Table29[[#This Row],[Shortname]], Comp[], 18, FALSE)</f>
        <v>0</v>
      </c>
      <c r="AN399">
        <f>VLOOKUP(Table29[[#This Row],[Shortname]], Comp[], 19, FALSE)</f>
        <v>0.08</v>
      </c>
      <c r="AO399">
        <f>VLOOKUP(Table29[[#This Row],[Shortname]], Comp[], 20, FALSE)</f>
        <v>0</v>
      </c>
      <c r="AP399">
        <f>VLOOKUP(Table29[[#This Row],[Shortname]], Comp[], 21, FALSE)</f>
        <v>0</v>
      </c>
      <c r="AQ399">
        <f>VLOOKUP(Table29[[#This Row],[Shortname]], Comp[], 22, FALSE)</f>
        <v>0.4</v>
      </c>
      <c r="AR399">
        <f>VLOOKUP(Table29[[#This Row],[Shortname]], Comp[], 23, FALSE)</f>
        <v>0</v>
      </c>
      <c r="AS399">
        <f>VLOOKUP(Table29[[#This Row],[Shortname]], Comp[], 24, FALSE)</f>
        <v>0</v>
      </c>
      <c r="AT399">
        <f>VLOOKUP(Table29[[#This Row],[Shortname]], Comp[], 25, FALSE)</f>
        <v>0.1</v>
      </c>
      <c r="AU399">
        <f>VLOOKUP(Table29[[#This Row],[Shortname]], Comp[], 26, FALSE)</f>
        <v>0</v>
      </c>
      <c r="AV399">
        <f>VLOOKUP(Table29[[#This Row],[Shortname]], Comp[], 27, FALSE)</f>
        <v>0</v>
      </c>
      <c r="AW399">
        <f>VLOOKUP(Table29[[#This Row],[Shortname]], Comp[], 28, FALSE)</f>
        <v>0</v>
      </c>
      <c r="AX399">
        <f>VLOOKUP(Table29[[#This Row],[Shortname]], Comp[], 29, FALSE)</f>
        <v>0</v>
      </c>
      <c r="AY399">
        <f>VLOOKUP(Table29[[#This Row],[Shortname]], Comp[], 30, FALSE)</f>
        <v>0</v>
      </c>
      <c r="AZ399">
        <f>VLOOKUP(Table29[[#This Row],[Shortname]], Comp[], 31, FALSE)</f>
        <v>0</v>
      </c>
    </row>
    <row r="400" spans="1:52" x14ac:dyDescent="0.3">
      <c r="A400" t="s">
        <v>5740</v>
      </c>
      <c r="C400" t="e">
        <v>#N/A</v>
      </c>
      <c r="D400" t="s">
        <v>11</v>
      </c>
      <c r="E400" t="e">
        <v>#N/A</v>
      </c>
      <c r="F400" t="s">
        <v>5741</v>
      </c>
      <c r="G400" t="s">
        <v>5732</v>
      </c>
      <c r="H400">
        <v>802.08479124635403</v>
      </c>
      <c r="I400">
        <v>3.7602891271056799E-6</v>
      </c>
      <c r="J400">
        <f>0.01/Table29[[#This Row],[Strain Rate (min) /s]]</f>
        <v>2659.3699744830706</v>
      </c>
      <c r="K400">
        <f>LOG(Table29[[#This Row],[Time to 1% strain (s)]])</f>
        <v>3.424778761061948</v>
      </c>
      <c r="L400">
        <v>750</v>
      </c>
      <c r="P400" t="s">
        <v>7190</v>
      </c>
      <c r="Q400">
        <v>1250</v>
      </c>
      <c r="R400">
        <v>3</v>
      </c>
      <c r="S400">
        <v>900</v>
      </c>
      <c r="T400">
        <v>4</v>
      </c>
      <c r="U400">
        <v>750</v>
      </c>
      <c r="V400">
        <v>16</v>
      </c>
      <c r="W400">
        <v>1</v>
      </c>
      <c r="X400">
        <v>10</v>
      </c>
      <c r="Y400">
        <v>61.5</v>
      </c>
      <c r="AA400">
        <f>VLOOKUP(Table29[[#This Row],[Shortname]], Comp[], 6, FALSE)</f>
        <v>903</v>
      </c>
      <c r="AB400" s="14">
        <f>VLOOKUP(Table29[[#This Row],[Shortname]], Comp[], 7, FALSE)</f>
        <v>34.92</v>
      </c>
      <c r="AC400">
        <f>VLOOKUP(Table29[[#This Row],[Shortname]], Comp[], 8, FALSE)</f>
        <v>35</v>
      </c>
      <c r="AD400">
        <f>VLOOKUP(Table29[[#This Row],[Shortname]], Comp[], 9, FALSE)</f>
        <v>9</v>
      </c>
      <c r="AE400">
        <f>VLOOKUP(Table29[[#This Row],[Shortname]], Comp[], 10, FALSE)</f>
        <v>15</v>
      </c>
      <c r="AF400">
        <f>VLOOKUP(Table29[[#This Row],[Shortname]], Comp[], 11, FALSE)</f>
        <v>5</v>
      </c>
      <c r="AG400">
        <f>VLOOKUP(Table29[[#This Row],[Shortname]], Comp[],12, FALSE)</f>
        <v>0.3</v>
      </c>
      <c r="AH400">
        <f>VLOOKUP(Table29[[#This Row],[Shortname]], Comp[], 13, FALSE)</f>
        <v>0.2</v>
      </c>
      <c r="AI400">
        <f>VLOOKUP(Table29[[#This Row],[Shortname]], Comp[], 14, FALSE)</f>
        <v>0</v>
      </c>
      <c r="AJ400">
        <f>VLOOKUP(Table29[[#This Row],[Shortname]], Comp[], 15, FALSE)</f>
        <v>0</v>
      </c>
      <c r="AK400">
        <f>VLOOKUP(Table29[[#This Row],[Shortname]], Comp[], 16, FALSE)</f>
        <v>0</v>
      </c>
      <c r="AL400">
        <f>VLOOKUP(Table29[[#This Row],[Shortname]], Comp[], 17, FALSE)</f>
        <v>0</v>
      </c>
      <c r="AM400">
        <f>VLOOKUP(Table29[[#This Row],[Shortname]], Comp[], 18, FALSE)</f>
        <v>0</v>
      </c>
      <c r="AN400">
        <f>VLOOKUP(Table29[[#This Row],[Shortname]], Comp[], 19, FALSE)</f>
        <v>0.08</v>
      </c>
      <c r="AO400">
        <f>VLOOKUP(Table29[[#This Row],[Shortname]], Comp[], 20, FALSE)</f>
        <v>0</v>
      </c>
      <c r="AP400">
        <f>VLOOKUP(Table29[[#This Row],[Shortname]], Comp[], 21, FALSE)</f>
        <v>0</v>
      </c>
      <c r="AQ400">
        <f>VLOOKUP(Table29[[#This Row],[Shortname]], Comp[], 22, FALSE)</f>
        <v>0.4</v>
      </c>
      <c r="AR400">
        <f>VLOOKUP(Table29[[#This Row],[Shortname]], Comp[], 23, FALSE)</f>
        <v>0</v>
      </c>
      <c r="AS400">
        <f>VLOOKUP(Table29[[#This Row],[Shortname]], Comp[], 24, FALSE)</f>
        <v>0</v>
      </c>
      <c r="AT400">
        <f>VLOOKUP(Table29[[#This Row],[Shortname]], Comp[], 25, FALSE)</f>
        <v>0.1</v>
      </c>
      <c r="AU400">
        <f>VLOOKUP(Table29[[#This Row],[Shortname]], Comp[], 26, FALSE)</f>
        <v>0</v>
      </c>
      <c r="AV400">
        <f>VLOOKUP(Table29[[#This Row],[Shortname]], Comp[], 27, FALSE)</f>
        <v>0</v>
      </c>
      <c r="AW400">
        <f>VLOOKUP(Table29[[#This Row],[Shortname]], Comp[], 28, FALSE)</f>
        <v>0</v>
      </c>
      <c r="AX400">
        <f>VLOOKUP(Table29[[#This Row],[Shortname]], Comp[], 29, FALSE)</f>
        <v>0</v>
      </c>
      <c r="AY400">
        <f>VLOOKUP(Table29[[#This Row],[Shortname]], Comp[], 30, FALSE)</f>
        <v>0</v>
      </c>
      <c r="AZ400">
        <f>VLOOKUP(Table29[[#This Row],[Shortname]], Comp[], 31, FALSE)</f>
        <v>0</v>
      </c>
    </row>
    <row r="401" spans="1:52" x14ac:dyDescent="0.3">
      <c r="A401" t="s">
        <v>5740</v>
      </c>
      <c r="C401" t="e">
        <v>#N/A</v>
      </c>
      <c r="D401" t="s">
        <v>11</v>
      </c>
      <c r="E401" t="e">
        <v>#N/A</v>
      </c>
      <c r="F401" t="s">
        <v>5741</v>
      </c>
      <c r="G401" t="s">
        <v>5732</v>
      </c>
      <c r="H401">
        <v>817.34720576336304</v>
      </c>
      <c r="I401">
        <v>4.24931165093399E-6</v>
      </c>
      <c r="J401">
        <f>0.01/Table29[[#This Row],[Strain Rate (min) /s]]</f>
        <v>2353.3223311126217</v>
      </c>
      <c r="K401">
        <f>LOG(Table29[[#This Row],[Time to 1% strain (s)]])</f>
        <v>3.3716814159292037</v>
      </c>
      <c r="L401">
        <v>750</v>
      </c>
      <c r="P401" t="s">
        <v>7190</v>
      </c>
      <c r="Q401">
        <v>1250</v>
      </c>
      <c r="R401">
        <v>3</v>
      </c>
      <c r="S401">
        <v>900</v>
      </c>
      <c r="T401">
        <v>4</v>
      </c>
      <c r="U401">
        <v>750</v>
      </c>
      <c r="V401">
        <v>16</v>
      </c>
      <c r="W401">
        <v>1</v>
      </c>
      <c r="X401">
        <v>10</v>
      </c>
      <c r="Y401">
        <v>61.5</v>
      </c>
      <c r="AA401">
        <f>VLOOKUP(Table29[[#This Row],[Shortname]], Comp[], 6, FALSE)</f>
        <v>903</v>
      </c>
      <c r="AB401" s="14">
        <f>VLOOKUP(Table29[[#This Row],[Shortname]], Comp[], 7, FALSE)</f>
        <v>34.92</v>
      </c>
      <c r="AC401">
        <f>VLOOKUP(Table29[[#This Row],[Shortname]], Comp[], 8, FALSE)</f>
        <v>35</v>
      </c>
      <c r="AD401">
        <f>VLOOKUP(Table29[[#This Row],[Shortname]], Comp[], 9, FALSE)</f>
        <v>9</v>
      </c>
      <c r="AE401">
        <f>VLOOKUP(Table29[[#This Row],[Shortname]], Comp[], 10, FALSE)</f>
        <v>15</v>
      </c>
      <c r="AF401">
        <f>VLOOKUP(Table29[[#This Row],[Shortname]], Comp[], 11, FALSE)</f>
        <v>5</v>
      </c>
      <c r="AG401">
        <f>VLOOKUP(Table29[[#This Row],[Shortname]], Comp[],12, FALSE)</f>
        <v>0.3</v>
      </c>
      <c r="AH401">
        <f>VLOOKUP(Table29[[#This Row],[Shortname]], Comp[], 13, FALSE)</f>
        <v>0.2</v>
      </c>
      <c r="AI401">
        <f>VLOOKUP(Table29[[#This Row],[Shortname]], Comp[], 14, FALSE)</f>
        <v>0</v>
      </c>
      <c r="AJ401">
        <f>VLOOKUP(Table29[[#This Row],[Shortname]], Comp[], 15, FALSE)</f>
        <v>0</v>
      </c>
      <c r="AK401">
        <f>VLOOKUP(Table29[[#This Row],[Shortname]], Comp[], 16, FALSE)</f>
        <v>0</v>
      </c>
      <c r="AL401">
        <f>VLOOKUP(Table29[[#This Row],[Shortname]], Comp[], 17, FALSE)</f>
        <v>0</v>
      </c>
      <c r="AM401">
        <f>VLOOKUP(Table29[[#This Row],[Shortname]], Comp[], 18, FALSE)</f>
        <v>0</v>
      </c>
      <c r="AN401">
        <f>VLOOKUP(Table29[[#This Row],[Shortname]], Comp[], 19, FALSE)</f>
        <v>0.08</v>
      </c>
      <c r="AO401">
        <f>VLOOKUP(Table29[[#This Row],[Shortname]], Comp[], 20, FALSE)</f>
        <v>0</v>
      </c>
      <c r="AP401">
        <f>VLOOKUP(Table29[[#This Row],[Shortname]], Comp[], 21, FALSE)</f>
        <v>0</v>
      </c>
      <c r="AQ401">
        <f>VLOOKUP(Table29[[#This Row],[Shortname]], Comp[], 22, FALSE)</f>
        <v>0.4</v>
      </c>
      <c r="AR401">
        <f>VLOOKUP(Table29[[#This Row],[Shortname]], Comp[], 23, FALSE)</f>
        <v>0</v>
      </c>
      <c r="AS401">
        <f>VLOOKUP(Table29[[#This Row],[Shortname]], Comp[], 24, FALSE)</f>
        <v>0</v>
      </c>
      <c r="AT401">
        <f>VLOOKUP(Table29[[#This Row],[Shortname]], Comp[], 25, FALSE)</f>
        <v>0.1</v>
      </c>
      <c r="AU401">
        <f>VLOOKUP(Table29[[#This Row],[Shortname]], Comp[], 26, FALSE)</f>
        <v>0</v>
      </c>
      <c r="AV401">
        <f>VLOOKUP(Table29[[#This Row],[Shortname]], Comp[], 27, FALSE)</f>
        <v>0</v>
      </c>
      <c r="AW401">
        <f>VLOOKUP(Table29[[#This Row],[Shortname]], Comp[], 28, FALSE)</f>
        <v>0</v>
      </c>
      <c r="AX401">
        <f>VLOOKUP(Table29[[#This Row],[Shortname]], Comp[], 29, FALSE)</f>
        <v>0</v>
      </c>
      <c r="AY401">
        <f>VLOOKUP(Table29[[#This Row],[Shortname]], Comp[], 30, FALSE)</f>
        <v>0</v>
      </c>
      <c r="AZ401">
        <f>VLOOKUP(Table29[[#This Row],[Shortname]], Comp[], 31, FALSE)</f>
        <v>0</v>
      </c>
    </row>
    <row r="402" spans="1:52" x14ac:dyDescent="0.3">
      <c r="A402" t="s">
        <v>5740</v>
      </c>
      <c r="C402" t="e">
        <v>#N/A</v>
      </c>
      <c r="D402" t="s">
        <v>11</v>
      </c>
      <c r="E402" t="e">
        <v>#N/A</v>
      </c>
      <c r="F402" t="s">
        <v>5741</v>
      </c>
      <c r="G402" t="s">
        <v>5732</v>
      </c>
      <c r="H402">
        <v>899.82222542395505</v>
      </c>
      <c r="I402">
        <v>1.15331224391355E-5</v>
      </c>
      <c r="J402">
        <f>0.01/Table29[[#This Row],[Strain Rate (min) /s]]</f>
        <v>867.06787799866458</v>
      </c>
      <c r="K402">
        <f>LOG(Table29[[#This Row],[Time to 1% strain (s)]])</f>
        <v>2.9380530973451333</v>
      </c>
      <c r="L402">
        <v>750</v>
      </c>
      <c r="P402" t="s">
        <v>7190</v>
      </c>
      <c r="Q402">
        <v>1250</v>
      </c>
      <c r="R402">
        <v>3</v>
      </c>
      <c r="S402">
        <v>900</v>
      </c>
      <c r="T402">
        <v>4</v>
      </c>
      <c r="U402">
        <v>750</v>
      </c>
      <c r="V402">
        <v>16</v>
      </c>
      <c r="W402">
        <v>1</v>
      </c>
      <c r="X402">
        <v>10</v>
      </c>
      <c r="Y402">
        <v>61.5</v>
      </c>
      <c r="AA402">
        <f>VLOOKUP(Table29[[#This Row],[Shortname]], Comp[], 6, FALSE)</f>
        <v>903</v>
      </c>
      <c r="AB402" s="14">
        <f>VLOOKUP(Table29[[#This Row],[Shortname]], Comp[], 7, FALSE)</f>
        <v>34.92</v>
      </c>
      <c r="AC402">
        <f>VLOOKUP(Table29[[#This Row],[Shortname]], Comp[], 8, FALSE)</f>
        <v>35</v>
      </c>
      <c r="AD402">
        <f>VLOOKUP(Table29[[#This Row],[Shortname]], Comp[], 9, FALSE)</f>
        <v>9</v>
      </c>
      <c r="AE402">
        <f>VLOOKUP(Table29[[#This Row],[Shortname]], Comp[], 10, FALSE)</f>
        <v>15</v>
      </c>
      <c r="AF402">
        <f>VLOOKUP(Table29[[#This Row],[Shortname]], Comp[], 11, FALSE)</f>
        <v>5</v>
      </c>
      <c r="AG402">
        <f>VLOOKUP(Table29[[#This Row],[Shortname]], Comp[],12, FALSE)</f>
        <v>0.3</v>
      </c>
      <c r="AH402">
        <f>VLOOKUP(Table29[[#This Row],[Shortname]], Comp[], 13, FALSE)</f>
        <v>0.2</v>
      </c>
      <c r="AI402">
        <f>VLOOKUP(Table29[[#This Row],[Shortname]], Comp[], 14, FALSE)</f>
        <v>0</v>
      </c>
      <c r="AJ402">
        <f>VLOOKUP(Table29[[#This Row],[Shortname]], Comp[], 15, FALSE)</f>
        <v>0</v>
      </c>
      <c r="AK402">
        <f>VLOOKUP(Table29[[#This Row],[Shortname]], Comp[], 16, FALSE)</f>
        <v>0</v>
      </c>
      <c r="AL402">
        <f>VLOOKUP(Table29[[#This Row],[Shortname]], Comp[], 17, FALSE)</f>
        <v>0</v>
      </c>
      <c r="AM402">
        <f>VLOOKUP(Table29[[#This Row],[Shortname]], Comp[], 18, FALSE)</f>
        <v>0</v>
      </c>
      <c r="AN402">
        <f>VLOOKUP(Table29[[#This Row],[Shortname]], Comp[], 19, FALSE)</f>
        <v>0.08</v>
      </c>
      <c r="AO402">
        <f>VLOOKUP(Table29[[#This Row],[Shortname]], Comp[], 20, FALSE)</f>
        <v>0</v>
      </c>
      <c r="AP402">
        <f>VLOOKUP(Table29[[#This Row],[Shortname]], Comp[], 21, FALSE)</f>
        <v>0</v>
      </c>
      <c r="AQ402">
        <f>VLOOKUP(Table29[[#This Row],[Shortname]], Comp[], 22, FALSE)</f>
        <v>0.4</v>
      </c>
      <c r="AR402">
        <f>VLOOKUP(Table29[[#This Row],[Shortname]], Comp[], 23, FALSE)</f>
        <v>0</v>
      </c>
      <c r="AS402">
        <f>VLOOKUP(Table29[[#This Row],[Shortname]], Comp[], 24, FALSE)</f>
        <v>0</v>
      </c>
      <c r="AT402">
        <f>VLOOKUP(Table29[[#This Row],[Shortname]], Comp[], 25, FALSE)</f>
        <v>0.1</v>
      </c>
      <c r="AU402">
        <f>VLOOKUP(Table29[[#This Row],[Shortname]], Comp[], 26, FALSE)</f>
        <v>0</v>
      </c>
      <c r="AV402">
        <f>VLOOKUP(Table29[[#This Row],[Shortname]], Comp[], 27, FALSE)</f>
        <v>0</v>
      </c>
      <c r="AW402">
        <f>VLOOKUP(Table29[[#This Row],[Shortname]], Comp[], 28, FALSE)</f>
        <v>0</v>
      </c>
      <c r="AX402">
        <f>VLOOKUP(Table29[[#This Row],[Shortname]], Comp[], 29, FALSE)</f>
        <v>0</v>
      </c>
      <c r="AY402">
        <f>VLOOKUP(Table29[[#This Row],[Shortname]], Comp[], 30, FALSE)</f>
        <v>0</v>
      </c>
      <c r="AZ402">
        <f>VLOOKUP(Table29[[#This Row],[Shortname]], Comp[], 31, FALSE)</f>
        <v>0</v>
      </c>
    </row>
    <row r="403" spans="1:52" x14ac:dyDescent="0.3">
      <c r="A403" t="s">
        <v>5740</v>
      </c>
      <c r="C403" t="e">
        <v>#N/A</v>
      </c>
      <c r="D403" t="s">
        <v>11</v>
      </c>
      <c r="E403" t="e">
        <v>#N/A</v>
      </c>
      <c r="F403" t="s">
        <v>5741</v>
      </c>
      <c r="G403" t="s">
        <v>5732</v>
      </c>
      <c r="H403">
        <v>950.37934284073901</v>
      </c>
      <c r="I403">
        <v>3.1946609910494602E-5</v>
      </c>
      <c r="J403">
        <f>0.01/Table29[[#This Row],[Strain Rate (min) /s]]</f>
        <v>313.02225895070501</v>
      </c>
      <c r="K403">
        <f>LOG(Table29[[#This Row],[Time to 1% strain (s)]])</f>
        <v>2.495575221238937</v>
      </c>
      <c r="L403">
        <v>750</v>
      </c>
      <c r="P403" t="s">
        <v>7190</v>
      </c>
      <c r="Q403">
        <v>1250</v>
      </c>
      <c r="R403">
        <v>3</v>
      </c>
      <c r="S403">
        <v>900</v>
      </c>
      <c r="T403">
        <v>4</v>
      </c>
      <c r="U403">
        <v>750</v>
      </c>
      <c r="V403">
        <v>16</v>
      </c>
      <c r="W403">
        <v>1</v>
      </c>
      <c r="X403">
        <v>10</v>
      </c>
      <c r="Y403">
        <v>61.5</v>
      </c>
      <c r="AA403">
        <f>VLOOKUP(Table29[[#This Row],[Shortname]], Comp[], 6, FALSE)</f>
        <v>903</v>
      </c>
      <c r="AB403" s="14">
        <f>VLOOKUP(Table29[[#This Row],[Shortname]], Comp[], 7, FALSE)</f>
        <v>34.92</v>
      </c>
      <c r="AC403">
        <f>VLOOKUP(Table29[[#This Row],[Shortname]], Comp[], 8, FALSE)</f>
        <v>35</v>
      </c>
      <c r="AD403">
        <f>VLOOKUP(Table29[[#This Row],[Shortname]], Comp[], 9, FALSE)</f>
        <v>9</v>
      </c>
      <c r="AE403">
        <f>VLOOKUP(Table29[[#This Row],[Shortname]], Comp[], 10, FALSE)</f>
        <v>15</v>
      </c>
      <c r="AF403">
        <f>VLOOKUP(Table29[[#This Row],[Shortname]], Comp[], 11, FALSE)</f>
        <v>5</v>
      </c>
      <c r="AG403">
        <f>VLOOKUP(Table29[[#This Row],[Shortname]], Comp[],12, FALSE)</f>
        <v>0.3</v>
      </c>
      <c r="AH403">
        <f>VLOOKUP(Table29[[#This Row],[Shortname]], Comp[], 13, FALSE)</f>
        <v>0.2</v>
      </c>
      <c r="AI403">
        <f>VLOOKUP(Table29[[#This Row],[Shortname]], Comp[], 14, FALSE)</f>
        <v>0</v>
      </c>
      <c r="AJ403">
        <f>VLOOKUP(Table29[[#This Row],[Shortname]], Comp[], 15, FALSE)</f>
        <v>0</v>
      </c>
      <c r="AK403">
        <f>VLOOKUP(Table29[[#This Row],[Shortname]], Comp[], 16, FALSE)</f>
        <v>0</v>
      </c>
      <c r="AL403">
        <f>VLOOKUP(Table29[[#This Row],[Shortname]], Comp[], 17, FALSE)</f>
        <v>0</v>
      </c>
      <c r="AM403">
        <f>VLOOKUP(Table29[[#This Row],[Shortname]], Comp[], 18, FALSE)</f>
        <v>0</v>
      </c>
      <c r="AN403">
        <f>VLOOKUP(Table29[[#This Row],[Shortname]], Comp[], 19, FALSE)</f>
        <v>0.08</v>
      </c>
      <c r="AO403">
        <f>VLOOKUP(Table29[[#This Row],[Shortname]], Comp[], 20, FALSE)</f>
        <v>0</v>
      </c>
      <c r="AP403">
        <f>VLOOKUP(Table29[[#This Row],[Shortname]], Comp[], 21, FALSE)</f>
        <v>0</v>
      </c>
      <c r="AQ403">
        <f>VLOOKUP(Table29[[#This Row],[Shortname]], Comp[], 22, FALSE)</f>
        <v>0.4</v>
      </c>
      <c r="AR403">
        <f>VLOOKUP(Table29[[#This Row],[Shortname]], Comp[], 23, FALSE)</f>
        <v>0</v>
      </c>
      <c r="AS403">
        <f>VLOOKUP(Table29[[#This Row],[Shortname]], Comp[], 24, FALSE)</f>
        <v>0</v>
      </c>
      <c r="AT403">
        <f>VLOOKUP(Table29[[#This Row],[Shortname]], Comp[], 25, FALSE)</f>
        <v>0.1</v>
      </c>
      <c r="AU403">
        <f>VLOOKUP(Table29[[#This Row],[Shortname]], Comp[], 26, FALSE)</f>
        <v>0</v>
      </c>
      <c r="AV403">
        <f>VLOOKUP(Table29[[#This Row],[Shortname]], Comp[], 27, FALSE)</f>
        <v>0</v>
      </c>
      <c r="AW403">
        <f>VLOOKUP(Table29[[#This Row],[Shortname]], Comp[], 28, FALSE)</f>
        <v>0</v>
      </c>
      <c r="AX403">
        <f>VLOOKUP(Table29[[#This Row],[Shortname]], Comp[], 29, FALSE)</f>
        <v>0</v>
      </c>
      <c r="AY403">
        <f>VLOOKUP(Table29[[#This Row],[Shortname]], Comp[], 30, FALSE)</f>
        <v>0</v>
      </c>
      <c r="AZ403">
        <f>VLOOKUP(Table29[[#This Row],[Shortname]], Comp[], 31, FALSE)</f>
        <v>0</v>
      </c>
    </row>
    <row r="404" spans="1:52" x14ac:dyDescent="0.3">
      <c r="A404" t="s">
        <v>5740</v>
      </c>
      <c r="C404" t="e">
        <v>#N/A</v>
      </c>
      <c r="D404" t="s">
        <v>11</v>
      </c>
      <c r="E404" t="e">
        <v>#N/A</v>
      </c>
      <c r="F404" t="s">
        <v>5741</v>
      </c>
      <c r="G404" t="s">
        <v>5732</v>
      </c>
      <c r="H404">
        <v>922.14434409815306</v>
      </c>
      <c r="I404">
        <v>3.4659557108295501E-4</v>
      </c>
      <c r="J404">
        <f>0.01/Table29[[#This Row],[Strain Rate (min) /s]]</f>
        <v>28.852070927376555</v>
      </c>
      <c r="K404">
        <f>LOG(Table29[[#This Row],[Time to 1% strain (s)]])</f>
        <v>1.4601769911504419</v>
      </c>
      <c r="L404">
        <v>750</v>
      </c>
      <c r="P404" t="s">
        <v>7190</v>
      </c>
      <c r="Q404">
        <v>1250</v>
      </c>
      <c r="R404">
        <v>3</v>
      </c>
      <c r="S404">
        <v>900</v>
      </c>
      <c r="T404">
        <v>4</v>
      </c>
      <c r="U404">
        <v>750</v>
      </c>
      <c r="V404">
        <v>16</v>
      </c>
      <c r="W404">
        <v>1</v>
      </c>
      <c r="X404">
        <v>10</v>
      </c>
      <c r="Y404">
        <v>61.5</v>
      </c>
      <c r="AA404">
        <f>VLOOKUP(Table29[[#This Row],[Shortname]], Comp[], 6, FALSE)</f>
        <v>903</v>
      </c>
      <c r="AB404" s="14">
        <f>VLOOKUP(Table29[[#This Row],[Shortname]], Comp[], 7, FALSE)</f>
        <v>34.92</v>
      </c>
      <c r="AC404">
        <f>VLOOKUP(Table29[[#This Row],[Shortname]], Comp[], 8, FALSE)</f>
        <v>35</v>
      </c>
      <c r="AD404">
        <f>VLOOKUP(Table29[[#This Row],[Shortname]], Comp[], 9, FALSE)</f>
        <v>9</v>
      </c>
      <c r="AE404">
        <f>VLOOKUP(Table29[[#This Row],[Shortname]], Comp[], 10, FALSE)</f>
        <v>15</v>
      </c>
      <c r="AF404">
        <f>VLOOKUP(Table29[[#This Row],[Shortname]], Comp[], 11, FALSE)</f>
        <v>5</v>
      </c>
      <c r="AG404">
        <f>VLOOKUP(Table29[[#This Row],[Shortname]], Comp[],12, FALSE)</f>
        <v>0.3</v>
      </c>
      <c r="AH404">
        <f>VLOOKUP(Table29[[#This Row],[Shortname]], Comp[], 13, FALSE)</f>
        <v>0.2</v>
      </c>
      <c r="AI404">
        <f>VLOOKUP(Table29[[#This Row],[Shortname]], Comp[], 14, FALSE)</f>
        <v>0</v>
      </c>
      <c r="AJ404">
        <f>VLOOKUP(Table29[[#This Row],[Shortname]], Comp[], 15, FALSE)</f>
        <v>0</v>
      </c>
      <c r="AK404">
        <f>VLOOKUP(Table29[[#This Row],[Shortname]], Comp[], 16, FALSE)</f>
        <v>0</v>
      </c>
      <c r="AL404">
        <f>VLOOKUP(Table29[[#This Row],[Shortname]], Comp[], 17, FALSE)</f>
        <v>0</v>
      </c>
      <c r="AM404">
        <f>VLOOKUP(Table29[[#This Row],[Shortname]], Comp[], 18, FALSE)</f>
        <v>0</v>
      </c>
      <c r="AN404">
        <f>VLOOKUP(Table29[[#This Row],[Shortname]], Comp[], 19, FALSE)</f>
        <v>0.08</v>
      </c>
      <c r="AO404">
        <f>VLOOKUP(Table29[[#This Row],[Shortname]], Comp[], 20, FALSE)</f>
        <v>0</v>
      </c>
      <c r="AP404">
        <f>VLOOKUP(Table29[[#This Row],[Shortname]], Comp[], 21, FALSE)</f>
        <v>0</v>
      </c>
      <c r="AQ404">
        <f>VLOOKUP(Table29[[#This Row],[Shortname]], Comp[], 22, FALSE)</f>
        <v>0.4</v>
      </c>
      <c r="AR404">
        <f>VLOOKUP(Table29[[#This Row],[Shortname]], Comp[], 23, FALSE)</f>
        <v>0</v>
      </c>
      <c r="AS404">
        <f>VLOOKUP(Table29[[#This Row],[Shortname]], Comp[], 24, FALSE)</f>
        <v>0</v>
      </c>
      <c r="AT404">
        <f>VLOOKUP(Table29[[#This Row],[Shortname]], Comp[], 25, FALSE)</f>
        <v>0.1</v>
      </c>
      <c r="AU404">
        <f>VLOOKUP(Table29[[#This Row],[Shortname]], Comp[], 26, FALSE)</f>
        <v>0</v>
      </c>
      <c r="AV404">
        <f>VLOOKUP(Table29[[#This Row],[Shortname]], Comp[], 27, FALSE)</f>
        <v>0</v>
      </c>
      <c r="AW404">
        <f>VLOOKUP(Table29[[#This Row],[Shortname]], Comp[], 28, FALSE)</f>
        <v>0</v>
      </c>
      <c r="AX404">
        <f>VLOOKUP(Table29[[#This Row],[Shortname]], Comp[], 29, FALSE)</f>
        <v>0</v>
      </c>
      <c r="AY404">
        <f>VLOOKUP(Table29[[#This Row],[Shortname]], Comp[], 30, FALSE)</f>
        <v>0</v>
      </c>
      <c r="AZ404">
        <f>VLOOKUP(Table29[[#This Row],[Shortname]], Comp[], 31, FALSE)</f>
        <v>0</v>
      </c>
    </row>
    <row r="405" spans="1:52" x14ac:dyDescent="0.3">
      <c r="A405" t="s">
        <v>1526</v>
      </c>
      <c r="C405">
        <v>195</v>
      </c>
      <c r="D405" t="s">
        <v>1527</v>
      </c>
      <c r="E405" t="s">
        <v>160</v>
      </c>
      <c r="F405" t="s">
        <v>1528</v>
      </c>
      <c r="G405" t="s">
        <v>5732</v>
      </c>
      <c r="H405">
        <v>578.70092760246598</v>
      </c>
      <c r="I405">
        <v>8.4708682665573601E-8</v>
      </c>
      <c r="J405">
        <f>0.01/Table29[[#This Row],[Strain Rate (min) /s]]</f>
        <v>118051.65285688115</v>
      </c>
      <c r="K405">
        <f>LOG(Table29[[#This Row],[Time to 1% strain (s)]])</f>
        <v>5.072072072072074</v>
      </c>
      <c r="L405">
        <v>800</v>
      </c>
      <c r="P405" t="s">
        <v>7191</v>
      </c>
      <c r="Q405">
        <v>1250</v>
      </c>
      <c r="R405">
        <v>3</v>
      </c>
      <c r="S405">
        <v>900</v>
      </c>
      <c r="T405">
        <v>4</v>
      </c>
      <c r="U405">
        <v>750</v>
      </c>
      <c r="V405">
        <v>16</v>
      </c>
      <c r="W405">
        <v>1</v>
      </c>
      <c r="X405">
        <v>10</v>
      </c>
      <c r="Y405">
        <v>61.8</v>
      </c>
      <c r="AA405">
        <f>VLOOKUP(Table29[[#This Row],[Shortname]], Comp[], 6, FALSE)</f>
        <v>195</v>
      </c>
      <c r="AB405" s="14">
        <f>VLOOKUP(Table29[[#This Row],[Shortname]], Comp[], 7, FALSE)</f>
        <v>42.330000000000005</v>
      </c>
      <c r="AC405">
        <f>VLOOKUP(Table29[[#This Row],[Shortname]], Comp[], 8, FALSE)</f>
        <v>32</v>
      </c>
      <c r="AD405">
        <f>VLOOKUP(Table29[[#This Row],[Shortname]], Comp[], 9, FALSE)</f>
        <v>6</v>
      </c>
      <c r="AE405">
        <f>VLOOKUP(Table29[[#This Row],[Shortname]], Comp[], 10, FALSE)</f>
        <v>12</v>
      </c>
      <c r="AF405">
        <f>VLOOKUP(Table29[[#This Row],[Shortname]], Comp[], 11, FALSE)</f>
        <v>3</v>
      </c>
      <c r="AG405">
        <f>VLOOKUP(Table29[[#This Row],[Shortname]], Comp[],12, FALSE)</f>
        <v>2.5</v>
      </c>
      <c r="AH405">
        <f>VLOOKUP(Table29[[#This Row],[Shortname]], Comp[], 13, FALSE)</f>
        <v>1.5</v>
      </c>
      <c r="AI405">
        <f>VLOOKUP(Table29[[#This Row],[Shortname]], Comp[], 14, FALSE)</f>
        <v>0</v>
      </c>
      <c r="AJ405">
        <f>VLOOKUP(Table29[[#This Row],[Shortname]], Comp[], 15, FALSE)</f>
        <v>0</v>
      </c>
      <c r="AK405">
        <f>VLOOKUP(Table29[[#This Row],[Shortname]], Comp[], 16, FALSE)</f>
        <v>0</v>
      </c>
      <c r="AL405">
        <f>VLOOKUP(Table29[[#This Row],[Shortname]], Comp[], 17, FALSE)</f>
        <v>0.08</v>
      </c>
      <c r="AM405">
        <f>VLOOKUP(Table29[[#This Row],[Shortname]], Comp[], 18, FALSE)</f>
        <v>0.01</v>
      </c>
      <c r="AN405">
        <f>VLOOKUP(Table29[[#This Row],[Shortname]], Comp[], 19, FALSE)</f>
        <v>0.08</v>
      </c>
      <c r="AO405">
        <f>VLOOKUP(Table29[[#This Row],[Shortname]], Comp[], 20, FALSE)</f>
        <v>0</v>
      </c>
      <c r="AP405">
        <f>VLOOKUP(Table29[[#This Row],[Shortname]], Comp[], 21, FALSE)</f>
        <v>0</v>
      </c>
      <c r="AQ405">
        <f>VLOOKUP(Table29[[#This Row],[Shortname]], Comp[], 22, FALSE)</f>
        <v>0.4</v>
      </c>
      <c r="AR405">
        <f>VLOOKUP(Table29[[#This Row],[Shortname]], Comp[], 23, FALSE)</f>
        <v>0</v>
      </c>
      <c r="AS405">
        <f>VLOOKUP(Table29[[#This Row],[Shortname]], Comp[], 24, FALSE)</f>
        <v>0</v>
      </c>
      <c r="AT405">
        <f>VLOOKUP(Table29[[#This Row],[Shortname]], Comp[], 25, FALSE)</f>
        <v>0.1</v>
      </c>
      <c r="AU405">
        <f>VLOOKUP(Table29[[#This Row],[Shortname]], Comp[], 26, FALSE)</f>
        <v>0</v>
      </c>
      <c r="AV405">
        <f>VLOOKUP(Table29[[#This Row],[Shortname]], Comp[], 27, FALSE)</f>
        <v>0</v>
      </c>
      <c r="AW405">
        <f>VLOOKUP(Table29[[#This Row],[Shortname]], Comp[], 28, FALSE)</f>
        <v>0</v>
      </c>
      <c r="AX405">
        <f>VLOOKUP(Table29[[#This Row],[Shortname]], Comp[], 29, FALSE)</f>
        <v>0</v>
      </c>
      <c r="AY405">
        <f>VLOOKUP(Table29[[#This Row],[Shortname]], Comp[], 30, FALSE)</f>
        <v>0</v>
      </c>
      <c r="AZ405">
        <f>VLOOKUP(Table29[[#This Row],[Shortname]], Comp[], 31, FALSE)</f>
        <v>0</v>
      </c>
    </row>
    <row r="406" spans="1:52" x14ac:dyDescent="0.3">
      <c r="A406" t="s">
        <v>1526</v>
      </c>
      <c r="C406">
        <v>195</v>
      </c>
      <c r="D406" t="s">
        <v>11</v>
      </c>
      <c r="E406" t="s">
        <v>160</v>
      </c>
      <c r="F406" t="s">
        <v>1528</v>
      </c>
      <c r="G406" t="s">
        <v>5732</v>
      </c>
      <c r="H406">
        <v>725.97894868122796</v>
      </c>
      <c r="I406">
        <v>4.27199396630675E-7</v>
      </c>
      <c r="J406">
        <f>0.01/Table29[[#This Row],[Strain Rate (min) /s]]</f>
        <v>23408.27276178309</v>
      </c>
      <c r="K406">
        <f>LOG(Table29[[#This Row],[Time to 1% strain (s)]])</f>
        <v>4.3693693693693723</v>
      </c>
      <c r="L406">
        <v>800</v>
      </c>
      <c r="P406" t="s">
        <v>7191</v>
      </c>
      <c r="Q406">
        <v>1250</v>
      </c>
      <c r="R406">
        <v>3</v>
      </c>
      <c r="S406">
        <v>900</v>
      </c>
      <c r="T406">
        <v>4</v>
      </c>
      <c r="U406">
        <v>750</v>
      </c>
      <c r="V406">
        <v>16</v>
      </c>
      <c r="W406">
        <v>1</v>
      </c>
      <c r="X406">
        <v>10</v>
      </c>
      <c r="Y406">
        <v>61.8</v>
      </c>
      <c r="AA406">
        <f>VLOOKUP(Table29[[#This Row],[Shortname]], Comp[], 6, FALSE)</f>
        <v>195</v>
      </c>
      <c r="AB406" s="14">
        <f>VLOOKUP(Table29[[#This Row],[Shortname]], Comp[], 7, FALSE)</f>
        <v>42.330000000000005</v>
      </c>
      <c r="AC406">
        <f>VLOOKUP(Table29[[#This Row],[Shortname]], Comp[], 8, FALSE)</f>
        <v>32</v>
      </c>
      <c r="AD406">
        <f>VLOOKUP(Table29[[#This Row],[Shortname]], Comp[], 9, FALSE)</f>
        <v>6</v>
      </c>
      <c r="AE406">
        <f>VLOOKUP(Table29[[#This Row],[Shortname]], Comp[], 10, FALSE)</f>
        <v>12</v>
      </c>
      <c r="AF406">
        <f>VLOOKUP(Table29[[#This Row],[Shortname]], Comp[], 11, FALSE)</f>
        <v>3</v>
      </c>
      <c r="AG406">
        <f>VLOOKUP(Table29[[#This Row],[Shortname]], Comp[],12, FALSE)</f>
        <v>2.5</v>
      </c>
      <c r="AH406">
        <f>VLOOKUP(Table29[[#This Row],[Shortname]], Comp[], 13, FALSE)</f>
        <v>1.5</v>
      </c>
      <c r="AI406">
        <f>VLOOKUP(Table29[[#This Row],[Shortname]], Comp[], 14, FALSE)</f>
        <v>0</v>
      </c>
      <c r="AJ406">
        <f>VLOOKUP(Table29[[#This Row],[Shortname]], Comp[], 15, FALSE)</f>
        <v>0</v>
      </c>
      <c r="AK406">
        <f>VLOOKUP(Table29[[#This Row],[Shortname]], Comp[], 16, FALSE)</f>
        <v>0</v>
      </c>
      <c r="AL406">
        <f>VLOOKUP(Table29[[#This Row],[Shortname]], Comp[], 17, FALSE)</f>
        <v>0.08</v>
      </c>
      <c r="AM406">
        <f>VLOOKUP(Table29[[#This Row],[Shortname]], Comp[], 18, FALSE)</f>
        <v>0.01</v>
      </c>
      <c r="AN406">
        <f>VLOOKUP(Table29[[#This Row],[Shortname]], Comp[], 19, FALSE)</f>
        <v>0.08</v>
      </c>
      <c r="AO406">
        <f>VLOOKUP(Table29[[#This Row],[Shortname]], Comp[], 20, FALSE)</f>
        <v>0</v>
      </c>
      <c r="AP406">
        <f>VLOOKUP(Table29[[#This Row],[Shortname]], Comp[], 21, FALSE)</f>
        <v>0</v>
      </c>
      <c r="AQ406">
        <f>VLOOKUP(Table29[[#This Row],[Shortname]], Comp[], 22, FALSE)</f>
        <v>0.4</v>
      </c>
      <c r="AR406">
        <f>VLOOKUP(Table29[[#This Row],[Shortname]], Comp[], 23, FALSE)</f>
        <v>0</v>
      </c>
      <c r="AS406">
        <f>VLOOKUP(Table29[[#This Row],[Shortname]], Comp[], 24, FALSE)</f>
        <v>0</v>
      </c>
      <c r="AT406">
        <f>VLOOKUP(Table29[[#This Row],[Shortname]], Comp[], 25, FALSE)</f>
        <v>0.1</v>
      </c>
      <c r="AU406">
        <f>VLOOKUP(Table29[[#This Row],[Shortname]], Comp[], 26, FALSE)</f>
        <v>0</v>
      </c>
      <c r="AV406">
        <f>VLOOKUP(Table29[[#This Row],[Shortname]], Comp[], 27, FALSE)</f>
        <v>0</v>
      </c>
      <c r="AW406">
        <f>VLOOKUP(Table29[[#This Row],[Shortname]], Comp[], 28, FALSE)</f>
        <v>0</v>
      </c>
      <c r="AX406">
        <f>VLOOKUP(Table29[[#This Row],[Shortname]], Comp[], 29, FALSE)</f>
        <v>0</v>
      </c>
      <c r="AY406">
        <f>VLOOKUP(Table29[[#This Row],[Shortname]], Comp[], 30, FALSE)</f>
        <v>0</v>
      </c>
      <c r="AZ406">
        <f>VLOOKUP(Table29[[#This Row],[Shortname]], Comp[], 31, FALSE)</f>
        <v>0</v>
      </c>
    </row>
    <row r="407" spans="1:52" x14ac:dyDescent="0.3">
      <c r="A407" t="s">
        <v>1526</v>
      </c>
      <c r="C407">
        <v>195</v>
      </c>
      <c r="D407" t="s">
        <v>11</v>
      </c>
      <c r="E407" t="s">
        <v>160</v>
      </c>
      <c r="F407" t="s">
        <v>1528</v>
      </c>
      <c r="G407" t="s">
        <v>5732</v>
      </c>
      <c r="H407">
        <v>841.16011523625002</v>
      </c>
      <c r="I407">
        <v>3.6946012051992901E-6</v>
      </c>
      <c r="J407">
        <f>0.01/Table29[[#This Row],[Strain Rate (min) /s]]</f>
        <v>2706.6520700332503</v>
      </c>
      <c r="K407">
        <f>LOG(Table29[[#This Row],[Time to 1% strain (s)]])</f>
        <v>3.4324324324324338</v>
      </c>
      <c r="L407">
        <v>800</v>
      </c>
      <c r="P407" t="s">
        <v>7191</v>
      </c>
      <c r="Q407">
        <v>1250</v>
      </c>
      <c r="R407">
        <v>3</v>
      </c>
      <c r="S407">
        <v>900</v>
      </c>
      <c r="T407">
        <v>4</v>
      </c>
      <c r="U407">
        <v>750</v>
      </c>
      <c r="V407">
        <v>16</v>
      </c>
      <c r="W407">
        <v>1</v>
      </c>
      <c r="X407">
        <v>10</v>
      </c>
      <c r="Y407">
        <v>61.8</v>
      </c>
      <c r="AA407">
        <f>VLOOKUP(Table29[[#This Row],[Shortname]], Comp[], 6, FALSE)</f>
        <v>195</v>
      </c>
      <c r="AB407" s="14">
        <f>VLOOKUP(Table29[[#This Row],[Shortname]], Comp[], 7, FALSE)</f>
        <v>42.330000000000005</v>
      </c>
      <c r="AC407">
        <f>VLOOKUP(Table29[[#This Row],[Shortname]], Comp[], 8, FALSE)</f>
        <v>32</v>
      </c>
      <c r="AD407">
        <f>VLOOKUP(Table29[[#This Row],[Shortname]], Comp[], 9, FALSE)</f>
        <v>6</v>
      </c>
      <c r="AE407">
        <f>VLOOKUP(Table29[[#This Row],[Shortname]], Comp[], 10, FALSE)</f>
        <v>12</v>
      </c>
      <c r="AF407">
        <f>VLOOKUP(Table29[[#This Row],[Shortname]], Comp[], 11, FALSE)</f>
        <v>3</v>
      </c>
      <c r="AG407">
        <f>VLOOKUP(Table29[[#This Row],[Shortname]], Comp[],12, FALSE)</f>
        <v>2.5</v>
      </c>
      <c r="AH407">
        <f>VLOOKUP(Table29[[#This Row],[Shortname]], Comp[], 13, FALSE)</f>
        <v>1.5</v>
      </c>
      <c r="AI407">
        <f>VLOOKUP(Table29[[#This Row],[Shortname]], Comp[], 14, FALSE)</f>
        <v>0</v>
      </c>
      <c r="AJ407">
        <f>VLOOKUP(Table29[[#This Row],[Shortname]], Comp[], 15, FALSE)</f>
        <v>0</v>
      </c>
      <c r="AK407">
        <f>VLOOKUP(Table29[[#This Row],[Shortname]], Comp[], 16, FALSE)</f>
        <v>0</v>
      </c>
      <c r="AL407">
        <f>VLOOKUP(Table29[[#This Row],[Shortname]], Comp[], 17, FALSE)</f>
        <v>0.08</v>
      </c>
      <c r="AM407">
        <f>VLOOKUP(Table29[[#This Row],[Shortname]], Comp[], 18, FALSE)</f>
        <v>0.01</v>
      </c>
      <c r="AN407">
        <f>VLOOKUP(Table29[[#This Row],[Shortname]], Comp[], 19, FALSE)</f>
        <v>0.08</v>
      </c>
      <c r="AO407">
        <f>VLOOKUP(Table29[[#This Row],[Shortname]], Comp[], 20, FALSE)</f>
        <v>0</v>
      </c>
      <c r="AP407">
        <f>VLOOKUP(Table29[[#This Row],[Shortname]], Comp[], 21, FALSE)</f>
        <v>0</v>
      </c>
      <c r="AQ407">
        <f>VLOOKUP(Table29[[#This Row],[Shortname]], Comp[], 22, FALSE)</f>
        <v>0.4</v>
      </c>
      <c r="AR407">
        <f>VLOOKUP(Table29[[#This Row],[Shortname]], Comp[], 23, FALSE)</f>
        <v>0</v>
      </c>
      <c r="AS407">
        <f>VLOOKUP(Table29[[#This Row],[Shortname]], Comp[], 24, FALSE)</f>
        <v>0</v>
      </c>
      <c r="AT407">
        <f>VLOOKUP(Table29[[#This Row],[Shortname]], Comp[], 25, FALSE)</f>
        <v>0.1</v>
      </c>
      <c r="AU407">
        <f>VLOOKUP(Table29[[#This Row],[Shortname]], Comp[], 26, FALSE)</f>
        <v>0</v>
      </c>
      <c r="AV407">
        <f>VLOOKUP(Table29[[#This Row],[Shortname]], Comp[], 27, FALSE)</f>
        <v>0</v>
      </c>
      <c r="AW407">
        <f>VLOOKUP(Table29[[#This Row],[Shortname]], Comp[], 28, FALSE)</f>
        <v>0</v>
      </c>
      <c r="AX407">
        <f>VLOOKUP(Table29[[#This Row],[Shortname]], Comp[], 29, FALSE)</f>
        <v>0</v>
      </c>
      <c r="AY407">
        <f>VLOOKUP(Table29[[#This Row],[Shortname]], Comp[], 30, FALSE)</f>
        <v>0</v>
      </c>
      <c r="AZ407">
        <f>VLOOKUP(Table29[[#This Row],[Shortname]], Comp[], 31, FALSE)</f>
        <v>0</v>
      </c>
    </row>
    <row r="408" spans="1:52" x14ac:dyDescent="0.3">
      <c r="A408" t="s">
        <v>1526</v>
      </c>
      <c r="C408">
        <v>195</v>
      </c>
      <c r="D408" t="s">
        <v>11</v>
      </c>
      <c r="E408" t="s">
        <v>160</v>
      </c>
      <c r="F408" t="s">
        <v>1528</v>
      </c>
      <c r="G408" t="s">
        <v>5732</v>
      </c>
      <c r="H408">
        <v>956.55972507627405</v>
      </c>
      <c r="I408">
        <v>4.5462954695324002E-5</v>
      </c>
      <c r="J408">
        <f>0.01/Table29[[#This Row],[Strain Rate (min) /s]]</f>
        <v>219.95930680300745</v>
      </c>
      <c r="K408">
        <f>LOG(Table29[[#This Row],[Time to 1% strain (s)]])</f>
        <v>2.3423423423423424</v>
      </c>
      <c r="L408">
        <v>800</v>
      </c>
      <c r="P408" t="s">
        <v>7191</v>
      </c>
      <c r="Q408">
        <v>1250</v>
      </c>
      <c r="R408">
        <v>3</v>
      </c>
      <c r="S408">
        <v>900</v>
      </c>
      <c r="T408">
        <v>4</v>
      </c>
      <c r="U408">
        <v>750</v>
      </c>
      <c r="V408">
        <v>16</v>
      </c>
      <c r="W408">
        <v>1</v>
      </c>
      <c r="X408">
        <v>10</v>
      </c>
      <c r="Y408">
        <v>61.8</v>
      </c>
      <c r="AA408">
        <f>VLOOKUP(Table29[[#This Row],[Shortname]], Comp[], 6, FALSE)</f>
        <v>195</v>
      </c>
      <c r="AB408" s="14">
        <f>VLOOKUP(Table29[[#This Row],[Shortname]], Comp[], 7, FALSE)</f>
        <v>42.330000000000005</v>
      </c>
      <c r="AC408">
        <f>VLOOKUP(Table29[[#This Row],[Shortname]], Comp[], 8, FALSE)</f>
        <v>32</v>
      </c>
      <c r="AD408">
        <f>VLOOKUP(Table29[[#This Row],[Shortname]], Comp[], 9, FALSE)</f>
        <v>6</v>
      </c>
      <c r="AE408">
        <f>VLOOKUP(Table29[[#This Row],[Shortname]], Comp[], 10, FALSE)</f>
        <v>12</v>
      </c>
      <c r="AF408">
        <f>VLOOKUP(Table29[[#This Row],[Shortname]], Comp[], 11, FALSE)</f>
        <v>3</v>
      </c>
      <c r="AG408">
        <f>VLOOKUP(Table29[[#This Row],[Shortname]], Comp[],12, FALSE)</f>
        <v>2.5</v>
      </c>
      <c r="AH408">
        <f>VLOOKUP(Table29[[#This Row],[Shortname]], Comp[], 13, FALSE)</f>
        <v>1.5</v>
      </c>
      <c r="AI408">
        <f>VLOOKUP(Table29[[#This Row],[Shortname]], Comp[], 14, FALSE)</f>
        <v>0</v>
      </c>
      <c r="AJ408">
        <f>VLOOKUP(Table29[[#This Row],[Shortname]], Comp[], 15, FALSE)</f>
        <v>0</v>
      </c>
      <c r="AK408">
        <f>VLOOKUP(Table29[[#This Row],[Shortname]], Comp[], 16, FALSE)</f>
        <v>0</v>
      </c>
      <c r="AL408">
        <f>VLOOKUP(Table29[[#This Row],[Shortname]], Comp[], 17, FALSE)</f>
        <v>0.08</v>
      </c>
      <c r="AM408">
        <f>VLOOKUP(Table29[[#This Row],[Shortname]], Comp[], 18, FALSE)</f>
        <v>0.01</v>
      </c>
      <c r="AN408">
        <f>VLOOKUP(Table29[[#This Row],[Shortname]], Comp[], 19, FALSE)</f>
        <v>0.08</v>
      </c>
      <c r="AO408">
        <f>VLOOKUP(Table29[[#This Row],[Shortname]], Comp[], 20, FALSE)</f>
        <v>0</v>
      </c>
      <c r="AP408">
        <f>VLOOKUP(Table29[[#This Row],[Shortname]], Comp[], 21, FALSE)</f>
        <v>0</v>
      </c>
      <c r="AQ408">
        <f>VLOOKUP(Table29[[#This Row],[Shortname]], Comp[], 22, FALSE)</f>
        <v>0.4</v>
      </c>
      <c r="AR408">
        <f>VLOOKUP(Table29[[#This Row],[Shortname]], Comp[], 23, FALSE)</f>
        <v>0</v>
      </c>
      <c r="AS408">
        <f>VLOOKUP(Table29[[#This Row],[Shortname]], Comp[], 24, FALSE)</f>
        <v>0</v>
      </c>
      <c r="AT408">
        <f>VLOOKUP(Table29[[#This Row],[Shortname]], Comp[], 25, FALSE)</f>
        <v>0.1</v>
      </c>
      <c r="AU408">
        <f>VLOOKUP(Table29[[#This Row],[Shortname]], Comp[], 26, FALSE)</f>
        <v>0</v>
      </c>
      <c r="AV408">
        <f>VLOOKUP(Table29[[#This Row],[Shortname]], Comp[], 27, FALSE)</f>
        <v>0</v>
      </c>
      <c r="AW408">
        <f>VLOOKUP(Table29[[#This Row],[Shortname]], Comp[], 28, FALSE)</f>
        <v>0</v>
      </c>
      <c r="AX408">
        <f>VLOOKUP(Table29[[#This Row],[Shortname]], Comp[], 29, FALSE)</f>
        <v>0</v>
      </c>
      <c r="AY408">
        <f>VLOOKUP(Table29[[#This Row],[Shortname]], Comp[], 30, FALSE)</f>
        <v>0</v>
      </c>
      <c r="AZ408">
        <f>VLOOKUP(Table29[[#This Row],[Shortname]], Comp[], 31, FALSE)</f>
        <v>0</v>
      </c>
    </row>
    <row r="409" spans="1:52" x14ac:dyDescent="0.3">
      <c r="A409" t="s">
        <v>1526</v>
      </c>
      <c r="C409">
        <v>196</v>
      </c>
      <c r="D409" t="s">
        <v>11</v>
      </c>
      <c r="E409" t="s">
        <v>160</v>
      </c>
      <c r="F409" t="s">
        <v>1528</v>
      </c>
      <c r="G409" t="s">
        <v>5732</v>
      </c>
      <c r="H409">
        <v>1057.70284861401</v>
      </c>
      <c r="I409">
        <v>3.0653952950565302E-4</v>
      </c>
      <c r="J409">
        <f>0.01/Table29[[#This Row],[Strain Rate (min) /s]]</f>
        <v>32.62222009711666</v>
      </c>
      <c r="K409">
        <f>LOG(Table29[[#This Row],[Time to 1% strain (s)]])</f>
        <v>1.5135135135135132</v>
      </c>
      <c r="L409">
        <v>800</v>
      </c>
      <c r="P409" t="s">
        <v>7191</v>
      </c>
      <c r="Q409">
        <v>1250</v>
      </c>
      <c r="R409">
        <v>3</v>
      </c>
      <c r="S409">
        <v>900</v>
      </c>
      <c r="T409">
        <v>4</v>
      </c>
      <c r="U409">
        <v>750</v>
      </c>
      <c r="V409">
        <v>16</v>
      </c>
      <c r="W409">
        <v>1</v>
      </c>
      <c r="X409">
        <v>10</v>
      </c>
      <c r="Y409">
        <v>61.8</v>
      </c>
      <c r="AA409">
        <f>VLOOKUP(Table29[[#This Row],[Shortname]], Comp[], 6, FALSE)</f>
        <v>195</v>
      </c>
      <c r="AB409" s="14">
        <f>VLOOKUP(Table29[[#This Row],[Shortname]], Comp[], 7, FALSE)</f>
        <v>42.330000000000005</v>
      </c>
      <c r="AC409">
        <f>VLOOKUP(Table29[[#This Row],[Shortname]], Comp[], 8, FALSE)</f>
        <v>32</v>
      </c>
      <c r="AD409">
        <f>VLOOKUP(Table29[[#This Row],[Shortname]], Comp[], 9, FALSE)</f>
        <v>6</v>
      </c>
      <c r="AE409">
        <f>VLOOKUP(Table29[[#This Row],[Shortname]], Comp[], 10, FALSE)</f>
        <v>12</v>
      </c>
      <c r="AF409">
        <f>VLOOKUP(Table29[[#This Row],[Shortname]], Comp[], 11, FALSE)</f>
        <v>3</v>
      </c>
      <c r="AG409">
        <f>VLOOKUP(Table29[[#This Row],[Shortname]], Comp[],12, FALSE)</f>
        <v>2.5</v>
      </c>
      <c r="AH409">
        <f>VLOOKUP(Table29[[#This Row],[Shortname]], Comp[], 13, FALSE)</f>
        <v>1.5</v>
      </c>
      <c r="AI409">
        <f>VLOOKUP(Table29[[#This Row],[Shortname]], Comp[], 14, FALSE)</f>
        <v>0</v>
      </c>
      <c r="AJ409">
        <f>VLOOKUP(Table29[[#This Row],[Shortname]], Comp[], 15, FALSE)</f>
        <v>0</v>
      </c>
      <c r="AK409">
        <f>VLOOKUP(Table29[[#This Row],[Shortname]], Comp[], 16, FALSE)</f>
        <v>0</v>
      </c>
      <c r="AL409">
        <f>VLOOKUP(Table29[[#This Row],[Shortname]], Comp[], 17, FALSE)</f>
        <v>0.08</v>
      </c>
      <c r="AM409">
        <f>VLOOKUP(Table29[[#This Row],[Shortname]], Comp[], 18, FALSE)</f>
        <v>0.01</v>
      </c>
      <c r="AN409">
        <f>VLOOKUP(Table29[[#This Row],[Shortname]], Comp[], 19, FALSE)</f>
        <v>0.08</v>
      </c>
      <c r="AO409">
        <f>VLOOKUP(Table29[[#This Row],[Shortname]], Comp[], 20, FALSE)</f>
        <v>0</v>
      </c>
      <c r="AP409">
        <f>VLOOKUP(Table29[[#This Row],[Shortname]], Comp[], 21, FALSE)</f>
        <v>0</v>
      </c>
      <c r="AQ409">
        <f>VLOOKUP(Table29[[#This Row],[Shortname]], Comp[], 22, FALSE)</f>
        <v>0.4</v>
      </c>
      <c r="AR409">
        <f>VLOOKUP(Table29[[#This Row],[Shortname]], Comp[], 23, FALSE)</f>
        <v>0</v>
      </c>
      <c r="AS409">
        <f>VLOOKUP(Table29[[#This Row],[Shortname]], Comp[], 24, FALSE)</f>
        <v>0</v>
      </c>
      <c r="AT409">
        <f>VLOOKUP(Table29[[#This Row],[Shortname]], Comp[], 25, FALSE)</f>
        <v>0.1</v>
      </c>
      <c r="AU409">
        <f>VLOOKUP(Table29[[#This Row],[Shortname]], Comp[], 26, FALSE)</f>
        <v>0</v>
      </c>
      <c r="AV409">
        <f>VLOOKUP(Table29[[#This Row],[Shortname]], Comp[], 27, FALSE)</f>
        <v>0</v>
      </c>
      <c r="AW409">
        <f>VLOOKUP(Table29[[#This Row],[Shortname]], Comp[], 28, FALSE)</f>
        <v>0</v>
      </c>
      <c r="AX409">
        <f>VLOOKUP(Table29[[#This Row],[Shortname]], Comp[], 29, FALSE)</f>
        <v>0</v>
      </c>
      <c r="AY409">
        <f>VLOOKUP(Table29[[#This Row],[Shortname]], Comp[], 30, FALSE)</f>
        <v>0</v>
      </c>
      <c r="AZ409">
        <f>VLOOKUP(Table29[[#This Row],[Shortname]], Comp[], 31, FALSE)</f>
        <v>0</v>
      </c>
    </row>
    <row r="410" spans="1:52" x14ac:dyDescent="0.3">
      <c r="A410" t="s">
        <v>1538</v>
      </c>
      <c r="C410">
        <v>196</v>
      </c>
      <c r="D410" t="s">
        <v>1539</v>
      </c>
      <c r="E410" t="s">
        <v>160</v>
      </c>
      <c r="F410" t="s">
        <v>1540</v>
      </c>
      <c r="G410" t="s">
        <v>5732</v>
      </c>
      <c r="H410">
        <v>399.06610136547903</v>
      </c>
      <c r="I410">
        <v>9.5936082870931002E-8</v>
      </c>
      <c r="J410">
        <f>0.01/Table29[[#This Row],[Strain Rate (min) /s]]</f>
        <v>104236.06739764063</v>
      </c>
      <c r="K410">
        <f>LOG(Table29[[#This Row],[Time to 1% strain (s)]])</f>
        <v>5.0180180180180196</v>
      </c>
      <c r="L410">
        <v>800</v>
      </c>
      <c r="P410" t="s">
        <v>7192</v>
      </c>
      <c r="Q410">
        <v>1250</v>
      </c>
      <c r="R410">
        <v>3</v>
      </c>
      <c r="S410">
        <v>900</v>
      </c>
      <c r="T410">
        <v>4</v>
      </c>
      <c r="U410">
        <v>750</v>
      </c>
      <c r="V410">
        <v>16</v>
      </c>
      <c r="W410">
        <v>1</v>
      </c>
      <c r="X410">
        <v>10</v>
      </c>
      <c r="Y410">
        <v>61.8</v>
      </c>
      <c r="AA410">
        <f>VLOOKUP(Table29[[#This Row],[Shortname]], Comp[], 6, FALSE)</f>
        <v>196</v>
      </c>
      <c r="AB410" s="14">
        <f>VLOOKUP(Table29[[#This Row],[Shortname]], Comp[], 7, FALSE)</f>
        <v>41.03</v>
      </c>
      <c r="AC410">
        <f>VLOOKUP(Table29[[#This Row],[Shortname]], Comp[], 8, FALSE)</f>
        <v>31.8</v>
      </c>
      <c r="AD410">
        <f>VLOOKUP(Table29[[#This Row],[Shortname]], Comp[], 9, FALSE)</f>
        <v>8.6999999999999993</v>
      </c>
      <c r="AE410">
        <f>VLOOKUP(Table29[[#This Row],[Shortname]], Comp[], 10, FALSE)</f>
        <v>12.6</v>
      </c>
      <c r="AF410">
        <f>VLOOKUP(Table29[[#This Row],[Shortname]], Comp[], 11, FALSE)</f>
        <v>4.7</v>
      </c>
      <c r="AG410">
        <f>VLOOKUP(Table29[[#This Row],[Shortname]], Comp[],12, FALSE)</f>
        <v>0.3</v>
      </c>
      <c r="AH410">
        <f>VLOOKUP(Table29[[#This Row],[Shortname]], Comp[], 13, FALSE)</f>
        <v>0.2</v>
      </c>
      <c r="AI410">
        <f>VLOOKUP(Table29[[#This Row],[Shortname]], Comp[], 14, FALSE)</f>
        <v>0</v>
      </c>
      <c r="AJ410">
        <f>VLOOKUP(Table29[[#This Row],[Shortname]], Comp[], 15, FALSE)</f>
        <v>0</v>
      </c>
      <c r="AK410">
        <f>VLOOKUP(Table29[[#This Row],[Shortname]], Comp[], 16, FALSE)</f>
        <v>0</v>
      </c>
      <c r="AL410">
        <f>VLOOKUP(Table29[[#This Row],[Shortname]], Comp[], 17, FALSE)</f>
        <v>0.08</v>
      </c>
      <c r="AM410">
        <f>VLOOKUP(Table29[[#This Row],[Shortname]], Comp[], 18, FALSE)</f>
        <v>0.01</v>
      </c>
      <c r="AN410">
        <f>VLOOKUP(Table29[[#This Row],[Shortname]], Comp[], 19, FALSE)</f>
        <v>0.08</v>
      </c>
      <c r="AO410">
        <f>VLOOKUP(Table29[[#This Row],[Shortname]], Comp[], 20, FALSE)</f>
        <v>0</v>
      </c>
      <c r="AP410">
        <f>VLOOKUP(Table29[[#This Row],[Shortname]], Comp[], 21, FALSE)</f>
        <v>0</v>
      </c>
      <c r="AQ410">
        <f>VLOOKUP(Table29[[#This Row],[Shortname]], Comp[], 22, FALSE)</f>
        <v>0.4</v>
      </c>
      <c r="AR410">
        <f>VLOOKUP(Table29[[#This Row],[Shortname]], Comp[], 23, FALSE)</f>
        <v>0</v>
      </c>
      <c r="AS410">
        <f>VLOOKUP(Table29[[#This Row],[Shortname]], Comp[], 24, FALSE)</f>
        <v>0</v>
      </c>
      <c r="AT410">
        <f>VLOOKUP(Table29[[#This Row],[Shortname]], Comp[], 25, FALSE)</f>
        <v>0.1</v>
      </c>
      <c r="AU410">
        <f>VLOOKUP(Table29[[#This Row],[Shortname]], Comp[], 26, FALSE)</f>
        <v>0</v>
      </c>
      <c r="AV410">
        <f>VLOOKUP(Table29[[#This Row],[Shortname]], Comp[], 27, FALSE)</f>
        <v>0</v>
      </c>
      <c r="AW410">
        <f>VLOOKUP(Table29[[#This Row],[Shortname]], Comp[], 28, FALSE)</f>
        <v>0</v>
      </c>
      <c r="AX410">
        <f>VLOOKUP(Table29[[#This Row],[Shortname]], Comp[], 29, FALSE)</f>
        <v>0</v>
      </c>
      <c r="AY410">
        <f>VLOOKUP(Table29[[#This Row],[Shortname]], Comp[], 30, FALSE)</f>
        <v>0</v>
      </c>
      <c r="AZ410">
        <f>VLOOKUP(Table29[[#This Row],[Shortname]], Comp[], 31, FALSE)</f>
        <v>0</v>
      </c>
    </row>
    <row r="411" spans="1:52" x14ac:dyDescent="0.3">
      <c r="A411" t="s">
        <v>1538</v>
      </c>
      <c r="C411">
        <v>196</v>
      </c>
      <c r="D411" t="s">
        <v>11</v>
      </c>
      <c r="E411" t="s">
        <v>160</v>
      </c>
      <c r="F411" t="s">
        <v>1540</v>
      </c>
      <c r="G411" t="s">
        <v>5732</v>
      </c>
      <c r="H411">
        <v>531.99636820725095</v>
      </c>
      <c r="I411">
        <v>3.9318287557057498E-7</v>
      </c>
      <c r="J411">
        <f>0.01/Table29[[#This Row],[Strain Rate (min) /s]]</f>
        <v>25433.457613046616</v>
      </c>
      <c r="K411">
        <f>LOG(Table29[[#This Row],[Time to 1% strain (s)]])</f>
        <v>4.4054054054054079</v>
      </c>
      <c r="L411">
        <v>800</v>
      </c>
      <c r="P411" t="s">
        <v>7192</v>
      </c>
      <c r="Q411">
        <v>1250</v>
      </c>
      <c r="R411">
        <v>3</v>
      </c>
      <c r="S411">
        <v>900</v>
      </c>
      <c r="T411">
        <v>4</v>
      </c>
      <c r="U411">
        <v>750</v>
      </c>
      <c r="V411">
        <v>16</v>
      </c>
      <c r="W411">
        <v>1</v>
      </c>
      <c r="X411">
        <v>10</v>
      </c>
      <c r="Y411">
        <v>61.8</v>
      </c>
      <c r="AA411">
        <f>VLOOKUP(Table29[[#This Row],[Shortname]], Comp[], 6, FALSE)</f>
        <v>196</v>
      </c>
      <c r="AB411" s="14">
        <f>VLOOKUP(Table29[[#This Row],[Shortname]], Comp[], 7, FALSE)</f>
        <v>41.03</v>
      </c>
      <c r="AC411">
        <f>VLOOKUP(Table29[[#This Row],[Shortname]], Comp[], 8, FALSE)</f>
        <v>31.8</v>
      </c>
      <c r="AD411">
        <f>VLOOKUP(Table29[[#This Row],[Shortname]], Comp[], 9, FALSE)</f>
        <v>8.6999999999999993</v>
      </c>
      <c r="AE411">
        <f>VLOOKUP(Table29[[#This Row],[Shortname]], Comp[], 10, FALSE)</f>
        <v>12.6</v>
      </c>
      <c r="AF411">
        <f>VLOOKUP(Table29[[#This Row],[Shortname]], Comp[], 11, FALSE)</f>
        <v>4.7</v>
      </c>
      <c r="AG411">
        <f>VLOOKUP(Table29[[#This Row],[Shortname]], Comp[],12, FALSE)</f>
        <v>0.3</v>
      </c>
      <c r="AH411">
        <f>VLOOKUP(Table29[[#This Row],[Shortname]], Comp[], 13, FALSE)</f>
        <v>0.2</v>
      </c>
      <c r="AI411">
        <f>VLOOKUP(Table29[[#This Row],[Shortname]], Comp[], 14, FALSE)</f>
        <v>0</v>
      </c>
      <c r="AJ411">
        <f>VLOOKUP(Table29[[#This Row],[Shortname]], Comp[], 15, FALSE)</f>
        <v>0</v>
      </c>
      <c r="AK411">
        <f>VLOOKUP(Table29[[#This Row],[Shortname]], Comp[], 16, FALSE)</f>
        <v>0</v>
      </c>
      <c r="AL411">
        <f>VLOOKUP(Table29[[#This Row],[Shortname]], Comp[], 17, FALSE)</f>
        <v>0.08</v>
      </c>
      <c r="AM411">
        <f>VLOOKUP(Table29[[#This Row],[Shortname]], Comp[], 18, FALSE)</f>
        <v>0.01</v>
      </c>
      <c r="AN411">
        <f>VLOOKUP(Table29[[#This Row],[Shortname]], Comp[], 19, FALSE)</f>
        <v>0.08</v>
      </c>
      <c r="AO411">
        <f>VLOOKUP(Table29[[#This Row],[Shortname]], Comp[], 20, FALSE)</f>
        <v>0</v>
      </c>
      <c r="AP411">
        <f>VLOOKUP(Table29[[#This Row],[Shortname]], Comp[], 21, FALSE)</f>
        <v>0</v>
      </c>
      <c r="AQ411">
        <f>VLOOKUP(Table29[[#This Row],[Shortname]], Comp[], 22, FALSE)</f>
        <v>0.4</v>
      </c>
      <c r="AR411">
        <f>VLOOKUP(Table29[[#This Row],[Shortname]], Comp[], 23, FALSE)</f>
        <v>0</v>
      </c>
      <c r="AS411">
        <f>VLOOKUP(Table29[[#This Row],[Shortname]], Comp[], 24, FALSE)</f>
        <v>0</v>
      </c>
      <c r="AT411">
        <f>VLOOKUP(Table29[[#This Row],[Shortname]], Comp[], 25, FALSE)</f>
        <v>0.1</v>
      </c>
      <c r="AU411">
        <f>VLOOKUP(Table29[[#This Row],[Shortname]], Comp[], 26, FALSE)</f>
        <v>0</v>
      </c>
      <c r="AV411">
        <f>VLOOKUP(Table29[[#This Row],[Shortname]], Comp[], 27, FALSE)</f>
        <v>0</v>
      </c>
      <c r="AW411">
        <f>VLOOKUP(Table29[[#This Row],[Shortname]], Comp[], 28, FALSE)</f>
        <v>0</v>
      </c>
      <c r="AX411">
        <f>VLOOKUP(Table29[[#This Row],[Shortname]], Comp[], 29, FALSE)</f>
        <v>0</v>
      </c>
      <c r="AY411">
        <f>VLOOKUP(Table29[[#This Row],[Shortname]], Comp[], 30, FALSE)</f>
        <v>0</v>
      </c>
      <c r="AZ411">
        <f>VLOOKUP(Table29[[#This Row],[Shortname]], Comp[], 31, FALSE)</f>
        <v>0</v>
      </c>
    </row>
    <row r="412" spans="1:52" x14ac:dyDescent="0.3">
      <c r="A412" t="s">
        <v>1538</v>
      </c>
      <c r="C412">
        <v>196</v>
      </c>
      <c r="D412" t="s">
        <v>11</v>
      </c>
      <c r="E412" t="s">
        <v>160</v>
      </c>
      <c r="F412" t="s">
        <v>1540</v>
      </c>
      <c r="G412" t="s">
        <v>5732</v>
      </c>
      <c r="H412">
        <v>709.20615611623896</v>
      </c>
      <c r="I412">
        <v>5.59432570616937E-6</v>
      </c>
      <c r="J412">
        <f>0.01/Table29[[#This Row],[Strain Rate (min) /s]]</f>
        <v>1787.5255259042378</v>
      </c>
      <c r="K412">
        <f>LOG(Table29[[#This Row],[Time to 1% strain (s)]])</f>
        <v>3.2522522522522528</v>
      </c>
      <c r="L412">
        <v>800</v>
      </c>
      <c r="P412" t="s">
        <v>7192</v>
      </c>
      <c r="Q412">
        <v>1250</v>
      </c>
      <c r="R412">
        <v>3</v>
      </c>
      <c r="S412">
        <v>900</v>
      </c>
      <c r="T412">
        <v>4</v>
      </c>
      <c r="U412">
        <v>750</v>
      </c>
      <c r="V412">
        <v>16</v>
      </c>
      <c r="W412">
        <v>1</v>
      </c>
      <c r="X412">
        <v>10</v>
      </c>
      <c r="Y412">
        <v>61.8</v>
      </c>
      <c r="AA412">
        <f>VLOOKUP(Table29[[#This Row],[Shortname]], Comp[], 6, FALSE)</f>
        <v>196</v>
      </c>
      <c r="AB412" s="14">
        <f>VLOOKUP(Table29[[#This Row],[Shortname]], Comp[], 7, FALSE)</f>
        <v>41.03</v>
      </c>
      <c r="AC412">
        <f>VLOOKUP(Table29[[#This Row],[Shortname]], Comp[], 8, FALSE)</f>
        <v>31.8</v>
      </c>
      <c r="AD412">
        <f>VLOOKUP(Table29[[#This Row],[Shortname]], Comp[], 9, FALSE)</f>
        <v>8.6999999999999993</v>
      </c>
      <c r="AE412">
        <f>VLOOKUP(Table29[[#This Row],[Shortname]], Comp[], 10, FALSE)</f>
        <v>12.6</v>
      </c>
      <c r="AF412">
        <f>VLOOKUP(Table29[[#This Row],[Shortname]], Comp[], 11, FALSE)</f>
        <v>4.7</v>
      </c>
      <c r="AG412">
        <f>VLOOKUP(Table29[[#This Row],[Shortname]], Comp[],12, FALSE)</f>
        <v>0.3</v>
      </c>
      <c r="AH412">
        <f>VLOOKUP(Table29[[#This Row],[Shortname]], Comp[], 13, FALSE)</f>
        <v>0.2</v>
      </c>
      <c r="AI412">
        <f>VLOOKUP(Table29[[#This Row],[Shortname]], Comp[], 14, FALSE)</f>
        <v>0</v>
      </c>
      <c r="AJ412">
        <f>VLOOKUP(Table29[[#This Row],[Shortname]], Comp[], 15, FALSE)</f>
        <v>0</v>
      </c>
      <c r="AK412">
        <f>VLOOKUP(Table29[[#This Row],[Shortname]], Comp[], 16, FALSE)</f>
        <v>0</v>
      </c>
      <c r="AL412">
        <f>VLOOKUP(Table29[[#This Row],[Shortname]], Comp[], 17, FALSE)</f>
        <v>0.08</v>
      </c>
      <c r="AM412">
        <f>VLOOKUP(Table29[[#This Row],[Shortname]], Comp[], 18, FALSE)</f>
        <v>0.01</v>
      </c>
      <c r="AN412">
        <f>VLOOKUP(Table29[[#This Row],[Shortname]], Comp[], 19, FALSE)</f>
        <v>0.08</v>
      </c>
      <c r="AO412">
        <f>VLOOKUP(Table29[[#This Row],[Shortname]], Comp[], 20, FALSE)</f>
        <v>0</v>
      </c>
      <c r="AP412">
        <f>VLOOKUP(Table29[[#This Row],[Shortname]], Comp[], 21, FALSE)</f>
        <v>0</v>
      </c>
      <c r="AQ412">
        <f>VLOOKUP(Table29[[#This Row],[Shortname]], Comp[], 22, FALSE)</f>
        <v>0.4</v>
      </c>
      <c r="AR412">
        <f>VLOOKUP(Table29[[#This Row],[Shortname]], Comp[], 23, FALSE)</f>
        <v>0</v>
      </c>
      <c r="AS412">
        <f>VLOOKUP(Table29[[#This Row],[Shortname]], Comp[], 24, FALSE)</f>
        <v>0</v>
      </c>
      <c r="AT412">
        <f>VLOOKUP(Table29[[#This Row],[Shortname]], Comp[], 25, FALSE)</f>
        <v>0.1</v>
      </c>
      <c r="AU412">
        <f>VLOOKUP(Table29[[#This Row],[Shortname]], Comp[], 26, FALSE)</f>
        <v>0</v>
      </c>
      <c r="AV412">
        <f>VLOOKUP(Table29[[#This Row],[Shortname]], Comp[], 27, FALSE)</f>
        <v>0</v>
      </c>
      <c r="AW412">
        <f>VLOOKUP(Table29[[#This Row],[Shortname]], Comp[], 28, FALSE)</f>
        <v>0</v>
      </c>
      <c r="AX412">
        <f>VLOOKUP(Table29[[#This Row],[Shortname]], Comp[], 29, FALSE)</f>
        <v>0</v>
      </c>
      <c r="AY412">
        <f>VLOOKUP(Table29[[#This Row],[Shortname]], Comp[], 30, FALSE)</f>
        <v>0</v>
      </c>
      <c r="AZ412">
        <f>VLOOKUP(Table29[[#This Row],[Shortname]], Comp[], 31, FALSE)</f>
        <v>0</v>
      </c>
    </row>
    <row r="413" spans="1:52" x14ac:dyDescent="0.3">
      <c r="A413" t="s">
        <v>1538</v>
      </c>
      <c r="C413" t="e">
        <v>#N/A</v>
      </c>
      <c r="D413" t="s">
        <v>11</v>
      </c>
      <c r="E413" t="e">
        <v>#N/A</v>
      </c>
      <c r="F413" t="s">
        <v>1540</v>
      </c>
      <c r="G413" t="s">
        <v>5732</v>
      </c>
      <c r="H413">
        <v>859.04328936878096</v>
      </c>
      <c r="I413">
        <v>3.8511070023255699E-5</v>
      </c>
      <c r="J413">
        <f>0.01/Table29[[#This Row],[Strain Rate (min) /s]]</f>
        <v>259.66559729348717</v>
      </c>
      <c r="K413">
        <f>LOG(Table29[[#This Row],[Time to 1% strain (s)]])</f>
        <v>2.4144144144144146</v>
      </c>
      <c r="L413">
        <v>800</v>
      </c>
      <c r="P413" t="s">
        <v>7192</v>
      </c>
      <c r="Q413">
        <v>1250</v>
      </c>
      <c r="R413">
        <v>3</v>
      </c>
      <c r="S413">
        <v>900</v>
      </c>
      <c r="T413">
        <v>4</v>
      </c>
      <c r="U413">
        <v>750</v>
      </c>
      <c r="V413">
        <v>16</v>
      </c>
      <c r="W413">
        <v>1</v>
      </c>
      <c r="X413">
        <v>10</v>
      </c>
      <c r="Y413">
        <v>61.8</v>
      </c>
      <c r="AA413">
        <f>VLOOKUP(Table29[[#This Row],[Shortname]], Comp[], 6, FALSE)</f>
        <v>196</v>
      </c>
      <c r="AB413" s="14">
        <f>VLOOKUP(Table29[[#This Row],[Shortname]], Comp[], 7, FALSE)</f>
        <v>41.03</v>
      </c>
      <c r="AC413">
        <f>VLOOKUP(Table29[[#This Row],[Shortname]], Comp[], 8, FALSE)</f>
        <v>31.8</v>
      </c>
      <c r="AD413">
        <f>VLOOKUP(Table29[[#This Row],[Shortname]], Comp[], 9, FALSE)</f>
        <v>8.6999999999999993</v>
      </c>
      <c r="AE413">
        <f>VLOOKUP(Table29[[#This Row],[Shortname]], Comp[], 10, FALSE)</f>
        <v>12.6</v>
      </c>
      <c r="AF413">
        <f>VLOOKUP(Table29[[#This Row],[Shortname]], Comp[], 11, FALSE)</f>
        <v>4.7</v>
      </c>
      <c r="AG413">
        <f>VLOOKUP(Table29[[#This Row],[Shortname]], Comp[],12, FALSE)</f>
        <v>0.3</v>
      </c>
      <c r="AH413">
        <f>VLOOKUP(Table29[[#This Row],[Shortname]], Comp[], 13, FALSE)</f>
        <v>0.2</v>
      </c>
      <c r="AI413">
        <f>VLOOKUP(Table29[[#This Row],[Shortname]], Comp[], 14, FALSE)</f>
        <v>0</v>
      </c>
      <c r="AJ413">
        <f>VLOOKUP(Table29[[#This Row],[Shortname]], Comp[], 15, FALSE)</f>
        <v>0</v>
      </c>
      <c r="AK413">
        <f>VLOOKUP(Table29[[#This Row],[Shortname]], Comp[], 16, FALSE)</f>
        <v>0</v>
      </c>
      <c r="AL413">
        <f>VLOOKUP(Table29[[#This Row],[Shortname]], Comp[], 17, FALSE)</f>
        <v>0.08</v>
      </c>
      <c r="AM413">
        <f>VLOOKUP(Table29[[#This Row],[Shortname]], Comp[], 18, FALSE)</f>
        <v>0.01</v>
      </c>
      <c r="AN413">
        <f>VLOOKUP(Table29[[#This Row],[Shortname]], Comp[], 19, FALSE)</f>
        <v>0.08</v>
      </c>
      <c r="AO413">
        <f>VLOOKUP(Table29[[#This Row],[Shortname]], Comp[], 20, FALSE)</f>
        <v>0</v>
      </c>
      <c r="AP413">
        <f>VLOOKUP(Table29[[#This Row],[Shortname]], Comp[], 21, FALSE)</f>
        <v>0</v>
      </c>
      <c r="AQ413">
        <f>VLOOKUP(Table29[[#This Row],[Shortname]], Comp[], 22, FALSE)</f>
        <v>0.4</v>
      </c>
      <c r="AR413">
        <f>VLOOKUP(Table29[[#This Row],[Shortname]], Comp[], 23, FALSE)</f>
        <v>0</v>
      </c>
      <c r="AS413">
        <f>VLOOKUP(Table29[[#This Row],[Shortname]], Comp[], 24, FALSE)</f>
        <v>0</v>
      </c>
      <c r="AT413">
        <f>VLOOKUP(Table29[[#This Row],[Shortname]], Comp[], 25, FALSE)</f>
        <v>0.1</v>
      </c>
      <c r="AU413">
        <f>VLOOKUP(Table29[[#This Row],[Shortname]], Comp[], 26, FALSE)</f>
        <v>0</v>
      </c>
      <c r="AV413">
        <f>VLOOKUP(Table29[[#This Row],[Shortname]], Comp[], 27, FALSE)</f>
        <v>0</v>
      </c>
      <c r="AW413">
        <f>VLOOKUP(Table29[[#This Row],[Shortname]], Comp[], 28, FALSE)</f>
        <v>0</v>
      </c>
      <c r="AX413">
        <f>VLOOKUP(Table29[[#This Row],[Shortname]], Comp[], 29, FALSE)</f>
        <v>0</v>
      </c>
      <c r="AY413">
        <f>VLOOKUP(Table29[[#This Row],[Shortname]], Comp[], 30, FALSE)</f>
        <v>0</v>
      </c>
      <c r="AZ413">
        <f>VLOOKUP(Table29[[#This Row],[Shortname]], Comp[], 31, FALSE)</f>
        <v>0</v>
      </c>
    </row>
    <row r="414" spans="1:52" x14ac:dyDescent="0.3">
      <c r="A414" t="s">
        <v>1538</v>
      </c>
      <c r="C414" t="e">
        <v>#N/A</v>
      </c>
      <c r="D414" t="s">
        <v>11</v>
      </c>
      <c r="E414" t="e">
        <v>#N/A</v>
      </c>
      <c r="F414" t="s">
        <v>1540</v>
      </c>
      <c r="G414" t="s">
        <v>5732</v>
      </c>
      <c r="H414">
        <v>855.03667527482901</v>
      </c>
      <c r="I414">
        <v>4.4529585099426698E-4</v>
      </c>
      <c r="J414">
        <f>0.01/Table29[[#This Row],[Strain Rate (min) /s]]</f>
        <v>22.456979955397667</v>
      </c>
      <c r="K414">
        <f>LOG(Table29[[#This Row],[Time to 1% strain (s)]])</f>
        <v>1.35135135135135</v>
      </c>
      <c r="L414">
        <v>800</v>
      </c>
      <c r="P414" t="s">
        <v>7192</v>
      </c>
      <c r="Q414">
        <v>1250</v>
      </c>
      <c r="R414">
        <v>3</v>
      </c>
      <c r="S414">
        <v>900</v>
      </c>
      <c r="T414">
        <v>4</v>
      </c>
      <c r="U414">
        <v>750</v>
      </c>
      <c r="V414">
        <v>16</v>
      </c>
      <c r="W414">
        <v>1</v>
      </c>
      <c r="X414">
        <v>10</v>
      </c>
      <c r="Y414">
        <v>61.8</v>
      </c>
      <c r="AA414">
        <f>VLOOKUP(Table29[[#This Row],[Shortname]], Comp[], 6, FALSE)</f>
        <v>196</v>
      </c>
      <c r="AB414" s="14">
        <f>VLOOKUP(Table29[[#This Row],[Shortname]], Comp[], 7, FALSE)</f>
        <v>41.03</v>
      </c>
      <c r="AC414">
        <f>VLOOKUP(Table29[[#This Row],[Shortname]], Comp[], 8, FALSE)</f>
        <v>31.8</v>
      </c>
      <c r="AD414">
        <f>VLOOKUP(Table29[[#This Row],[Shortname]], Comp[], 9, FALSE)</f>
        <v>8.6999999999999993</v>
      </c>
      <c r="AE414">
        <f>VLOOKUP(Table29[[#This Row],[Shortname]], Comp[], 10, FALSE)</f>
        <v>12.6</v>
      </c>
      <c r="AF414">
        <f>VLOOKUP(Table29[[#This Row],[Shortname]], Comp[], 11, FALSE)</f>
        <v>4.7</v>
      </c>
      <c r="AG414">
        <f>VLOOKUP(Table29[[#This Row],[Shortname]], Comp[],12, FALSE)</f>
        <v>0.3</v>
      </c>
      <c r="AH414">
        <f>VLOOKUP(Table29[[#This Row],[Shortname]], Comp[], 13, FALSE)</f>
        <v>0.2</v>
      </c>
      <c r="AI414">
        <f>VLOOKUP(Table29[[#This Row],[Shortname]], Comp[], 14, FALSE)</f>
        <v>0</v>
      </c>
      <c r="AJ414">
        <f>VLOOKUP(Table29[[#This Row],[Shortname]], Comp[], 15, FALSE)</f>
        <v>0</v>
      </c>
      <c r="AK414">
        <f>VLOOKUP(Table29[[#This Row],[Shortname]], Comp[], 16, FALSE)</f>
        <v>0</v>
      </c>
      <c r="AL414">
        <f>VLOOKUP(Table29[[#This Row],[Shortname]], Comp[], 17, FALSE)</f>
        <v>0.08</v>
      </c>
      <c r="AM414">
        <f>VLOOKUP(Table29[[#This Row],[Shortname]], Comp[], 18, FALSE)</f>
        <v>0.01</v>
      </c>
      <c r="AN414">
        <f>VLOOKUP(Table29[[#This Row],[Shortname]], Comp[], 19, FALSE)</f>
        <v>0.08</v>
      </c>
      <c r="AO414">
        <f>VLOOKUP(Table29[[#This Row],[Shortname]], Comp[], 20, FALSE)</f>
        <v>0</v>
      </c>
      <c r="AP414">
        <f>VLOOKUP(Table29[[#This Row],[Shortname]], Comp[], 21, FALSE)</f>
        <v>0</v>
      </c>
      <c r="AQ414">
        <f>VLOOKUP(Table29[[#This Row],[Shortname]], Comp[], 22, FALSE)</f>
        <v>0.4</v>
      </c>
      <c r="AR414">
        <f>VLOOKUP(Table29[[#This Row],[Shortname]], Comp[], 23, FALSE)</f>
        <v>0</v>
      </c>
      <c r="AS414">
        <f>VLOOKUP(Table29[[#This Row],[Shortname]], Comp[], 24, FALSE)</f>
        <v>0</v>
      </c>
      <c r="AT414">
        <f>VLOOKUP(Table29[[#This Row],[Shortname]], Comp[], 25, FALSE)</f>
        <v>0.1</v>
      </c>
      <c r="AU414">
        <f>VLOOKUP(Table29[[#This Row],[Shortname]], Comp[], 26, FALSE)</f>
        <v>0</v>
      </c>
      <c r="AV414">
        <f>VLOOKUP(Table29[[#This Row],[Shortname]], Comp[], 27, FALSE)</f>
        <v>0</v>
      </c>
      <c r="AW414">
        <f>VLOOKUP(Table29[[#This Row],[Shortname]], Comp[], 28, FALSE)</f>
        <v>0</v>
      </c>
      <c r="AX414">
        <f>VLOOKUP(Table29[[#This Row],[Shortname]], Comp[], 29, FALSE)</f>
        <v>0</v>
      </c>
      <c r="AY414">
        <f>VLOOKUP(Table29[[#This Row],[Shortname]], Comp[], 30, FALSE)</f>
        <v>0</v>
      </c>
      <c r="AZ414">
        <f>VLOOKUP(Table29[[#This Row],[Shortname]], Comp[], 31, FALSE)</f>
        <v>0</v>
      </c>
    </row>
    <row r="415" spans="1:52" x14ac:dyDescent="0.3">
      <c r="A415" t="s">
        <v>5735</v>
      </c>
      <c r="C415" t="e">
        <v>#N/A</v>
      </c>
      <c r="D415" t="e">
        <v>#N/A</v>
      </c>
      <c r="E415" t="e">
        <v>#N/A</v>
      </c>
      <c r="F415" t="s">
        <v>5736</v>
      </c>
      <c r="G415" t="s">
        <v>5732</v>
      </c>
      <c r="H415">
        <v>499.45864456934203</v>
      </c>
      <c r="I415">
        <v>2.9408201705870399E-8</v>
      </c>
      <c r="J415">
        <f>0.01/Table29[[#This Row],[Strain Rate (min) /s]]</f>
        <v>340041.19327037339</v>
      </c>
      <c r="K415">
        <f>LOG(Table29[[#This Row],[Time to 1% strain (s)]])</f>
        <v>5.5315315315315345</v>
      </c>
      <c r="L415">
        <v>800</v>
      </c>
      <c r="P415" t="s">
        <v>7193</v>
      </c>
      <c r="Q415">
        <v>1250</v>
      </c>
      <c r="R415">
        <v>3</v>
      </c>
      <c r="S415">
        <v>900</v>
      </c>
      <c r="T415">
        <v>4</v>
      </c>
      <c r="U415">
        <v>750</v>
      </c>
      <c r="V415">
        <v>16</v>
      </c>
      <c r="W415">
        <v>1</v>
      </c>
      <c r="X415">
        <v>10</v>
      </c>
      <c r="Y415">
        <v>61.3</v>
      </c>
      <c r="AA415">
        <f>VLOOKUP(Table29[[#This Row],[Shortname]], Comp[], 6, FALSE)</f>
        <v>902</v>
      </c>
      <c r="AB415" s="14">
        <f>VLOOKUP(Table29[[#This Row],[Shortname]], Comp[], 7, FALSE)</f>
        <v>34.92</v>
      </c>
      <c r="AC415">
        <f>VLOOKUP(Table29[[#This Row],[Shortname]], Comp[], 8, FALSE)</f>
        <v>35</v>
      </c>
      <c r="AD415">
        <f>VLOOKUP(Table29[[#This Row],[Shortname]], Comp[], 9, FALSE)</f>
        <v>7.5</v>
      </c>
      <c r="AE415">
        <f>VLOOKUP(Table29[[#This Row],[Shortname]], Comp[], 10, FALSE)</f>
        <v>15</v>
      </c>
      <c r="AF415">
        <f>VLOOKUP(Table29[[#This Row],[Shortname]], Comp[], 11, FALSE)</f>
        <v>5</v>
      </c>
      <c r="AG415">
        <f>VLOOKUP(Table29[[#This Row],[Shortname]], Comp[],12, FALSE)</f>
        <v>1</v>
      </c>
      <c r="AH415">
        <f>VLOOKUP(Table29[[#This Row],[Shortname]], Comp[], 13, FALSE)</f>
        <v>1</v>
      </c>
      <c r="AI415">
        <f>VLOOKUP(Table29[[#This Row],[Shortname]], Comp[], 14, FALSE)</f>
        <v>0</v>
      </c>
      <c r="AJ415">
        <f>VLOOKUP(Table29[[#This Row],[Shortname]], Comp[], 15, FALSE)</f>
        <v>0</v>
      </c>
      <c r="AK415">
        <f>VLOOKUP(Table29[[#This Row],[Shortname]], Comp[], 16, FALSE)</f>
        <v>0</v>
      </c>
      <c r="AL415">
        <f>VLOOKUP(Table29[[#This Row],[Shortname]], Comp[], 17, FALSE)</f>
        <v>0</v>
      </c>
      <c r="AM415">
        <f>VLOOKUP(Table29[[#This Row],[Shortname]], Comp[], 18, FALSE)</f>
        <v>0</v>
      </c>
      <c r="AN415">
        <f>VLOOKUP(Table29[[#This Row],[Shortname]], Comp[], 19, FALSE)</f>
        <v>0.08</v>
      </c>
      <c r="AO415">
        <f>VLOOKUP(Table29[[#This Row],[Shortname]], Comp[], 20, FALSE)</f>
        <v>0</v>
      </c>
      <c r="AP415">
        <f>VLOOKUP(Table29[[#This Row],[Shortname]], Comp[], 21, FALSE)</f>
        <v>0</v>
      </c>
      <c r="AQ415">
        <f>VLOOKUP(Table29[[#This Row],[Shortname]], Comp[], 22, FALSE)</f>
        <v>0.4</v>
      </c>
      <c r="AR415">
        <f>VLOOKUP(Table29[[#This Row],[Shortname]], Comp[], 23, FALSE)</f>
        <v>0</v>
      </c>
      <c r="AS415">
        <f>VLOOKUP(Table29[[#This Row],[Shortname]], Comp[], 24, FALSE)</f>
        <v>0</v>
      </c>
      <c r="AT415">
        <f>VLOOKUP(Table29[[#This Row],[Shortname]], Comp[], 25, FALSE)</f>
        <v>0.1</v>
      </c>
      <c r="AU415">
        <f>VLOOKUP(Table29[[#This Row],[Shortname]], Comp[], 26, FALSE)</f>
        <v>0</v>
      </c>
      <c r="AV415">
        <f>VLOOKUP(Table29[[#This Row],[Shortname]], Comp[], 27, FALSE)</f>
        <v>0</v>
      </c>
      <c r="AW415">
        <f>VLOOKUP(Table29[[#This Row],[Shortname]], Comp[], 28, FALSE)</f>
        <v>0</v>
      </c>
      <c r="AX415">
        <f>VLOOKUP(Table29[[#This Row],[Shortname]], Comp[], 29, FALSE)</f>
        <v>0</v>
      </c>
      <c r="AY415">
        <f>VLOOKUP(Table29[[#This Row],[Shortname]], Comp[], 30, FALSE)</f>
        <v>0</v>
      </c>
      <c r="AZ415">
        <f>VLOOKUP(Table29[[#This Row],[Shortname]], Comp[], 31, FALSE)</f>
        <v>0</v>
      </c>
    </row>
    <row r="416" spans="1:52" x14ac:dyDescent="0.3">
      <c r="A416" t="s">
        <v>5735</v>
      </c>
      <c r="C416" t="e">
        <v>#N/A</v>
      </c>
      <c r="D416" t="s">
        <v>11</v>
      </c>
      <c r="E416" t="e">
        <v>#N/A</v>
      </c>
      <c r="F416" t="s">
        <v>5736</v>
      </c>
      <c r="G416" t="s">
        <v>5732</v>
      </c>
      <c r="H416">
        <v>658.09349514072596</v>
      </c>
      <c r="I416">
        <v>4.0142424904993001E-7</v>
      </c>
      <c r="J416">
        <f>0.01/Table29[[#This Row],[Strain Rate (min) /s]]</f>
        <v>24911.300260678021</v>
      </c>
      <c r="K416">
        <f>LOG(Table29[[#This Row],[Time to 1% strain (s)]])</f>
        <v>4.3963963963963986</v>
      </c>
      <c r="L416">
        <v>800</v>
      </c>
      <c r="P416" t="s">
        <v>7193</v>
      </c>
      <c r="Q416">
        <v>1250</v>
      </c>
      <c r="R416">
        <v>3</v>
      </c>
      <c r="S416">
        <v>900</v>
      </c>
      <c r="T416">
        <v>4</v>
      </c>
      <c r="U416">
        <v>750</v>
      </c>
      <c r="V416">
        <v>16</v>
      </c>
      <c r="W416">
        <v>1</v>
      </c>
      <c r="X416">
        <v>10</v>
      </c>
      <c r="Y416">
        <v>61.3</v>
      </c>
      <c r="AA416">
        <f>VLOOKUP(Table29[[#This Row],[Shortname]], Comp[], 6, FALSE)</f>
        <v>902</v>
      </c>
      <c r="AB416" s="14">
        <f>VLOOKUP(Table29[[#This Row],[Shortname]], Comp[], 7, FALSE)</f>
        <v>34.92</v>
      </c>
      <c r="AC416">
        <f>VLOOKUP(Table29[[#This Row],[Shortname]], Comp[], 8, FALSE)</f>
        <v>35</v>
      </c>
      <c r="AD416">
        <f>VLOOKUP(Table29[[#This Row],[Shortname]], Comp[], 9, FALSE)</f>
        <v>7.5</v>
      </c>
      <c r="AE416">
        <f>VLOOKUP(Table29[[#This Row],[Shortname]], Comp[], 10, FALSE)</f>
        <v>15</v>
      </c>
      <c r="AF416">
        <f>VLOOKUP(Table29[[#This Row],[Shortname]], Comp[], 11, FALSE)</f>
        <v>5</v>
      </c>
      <c r="AG416">
        <f>VLOOKUP(Table29[[#This Row],[Shortname]], Comp[],12, FALSE)</f>
        <v>1</v>
      </c>
      <c r="AH416">
        <f>VLOOKUP(Table29[[#This Row],[Shortname]], Comp[], 13, FALSE)</f>
        <v>1</v>
      </c>
      <c r="AI416">
        <f>VLOOKUP(Table29[[#This Row],[Shortname]], Comp[], 14, FALSE)</f>
        <v>0</v>
      </c>
      <c r="AJ416">
        <f>VLOOKUP(Table29[[#This Row],[Shortname]], Comp[], 15, FALSE)</f>
        <v>0</v>
      </c>
      <c r="AK416">
        <f>VLOOKUP(Table29[[#This Row],[Shortname]], Comp[], 16, FALSE)</f>
        <v>0</v>
      </c>
      <c r="AL416">
        <f>VLOOKUP(Table29[[#This Row],[Shortname]], Comp[], 17, FALSE)</f>
        <v>0</v>
      </c>
      <c r="AM416">
        <f>VLOOKUP(Table29[[#This Row],[Shortname]], Comp[], 18, FALSE)</f>
        <v>0</v>
      </c>
      <c r="AN416">
        <f>VLOOKUP(Table29[[#This Row],[Shortname]], Comp[], 19, FALSE)</f>
        <v>0.08</v>
      </c>
      <c r="AO416">
        <f>VLOOKUP(Table29[[#This Row],[Shortname]], Comp[], 20, FALSE)</f>
        <v>0</v>
      </c>
      <c r="AP416">
        <f>VLOOKUP(Table29[[#This Row],[Shortname]], Comp[], 21, FALSE)</f>
        <v>0</v>
      </c>
      <c r="AQ416">
        <f>VLOOKUP(Table29[[#This Row],[Shortname]], Comp[], 22, FALSE)</f>
        <v>0.4</v>
      </c>
      <c r="AR416">
        <f>VLOOKUP(Table29[[#This Row],[Shortname]], Comp[], 23, FALSE)</f>
        <v>0</v>
      </c>
      <c r="AS416">
        <f>VLOOKUP(Table29[[#This Row],[Shortname]], Comp[], 24, FALSE)</f>
        <v>0</v>
      </c>
      <c r="AT416">
        <f>VLOOKUP(Table29[[#This Row],[Shortname]], Comp[], 25, FALSE)</f>
        <v>0.1</v>
      </c>
      <c r="AU416">
        <f>VLOOKUP(Table29[[#This Row],[Shortname]], Comp[], 26, FALSE)</f>
        <v>0</v>
      </c>
      <c r="AV416">
        <f>VLOOKUP(Table29[[#This Row],[Shortname]], Comp[], 27, FALSE)</f>
        <v>0</v>
      </c>
      <c r="AW416">
        <f>VLOOKUP(Table29[[#This Row],[Shortname]], Comp[], 28, FALSE)</f>
        <v>0</v>
      </c>
      <c r="AX416">
        <f>VLOOKUP(Table29[[#This Row],[Shortname]], Comp[], 29, FALSE)</f>
        <v>0</v>
      </c>
      <c r="AY416">
        <f>VLOOKUP(Table29[[#This Row],[Shortname]], Comp[], 30, FALSE)</f>
        <v>0</v>
      </c>
      <c r="AZ416">
        <f>VLOOKUP(Table29[[#This Row],[Shortname]], Comp[], 31, FALSE)</f>
        <v>0</v>
      </c>
    </row>
    <row r="417" spans="1:52" x14ac:dyDescent="0.3">
      <c r="A417" t="s">
        <v>5735</v>
      </c>
      <c r="C417" t="e">
        <v>#N/A</v>
      </c>
      <c r="D417" t="s">
        <v>11</v>
      </c>
      <c r="E417" t="e">
        <v>#N/A</v>
      </c>
      <c r="F417" t="s">
        <v>5736</v>
      </c>
      <c r="G417" t="s">
        <v>5732</v>
      </c>
      <c r="H417">
        <v>831.38638175847802</v>
      </c>
      <c r="I417">
        <v>5.0431594871713501E-6</v>
      </c>
      <c r="J417">
        <f>0.01/Table29[[#This Row],[Strain Rate (min) /s]]</f>
        <v>1982.8839491270749</v>
      </c>
      <c r="K417">
        <f>LOG(Table29[[#This Row],[Time to 1% strain (s)]])</f>
        <v>3.2972972972972983</v>
      </c>
      <c r="L417">
        <v>800</v>
      </c>
      <c r="P417" t="s">
        <v>7193</v>
      </c>
      <c r="Q417">
        <v>1250</v>
      </c>
      <c r="R417">
        <v>3</v>
      </c>
      <c r="S417">
        <v>900</v>
      </c>
      <c r="T417">
        <v>4</v>
      </c>
      <c r="U417">
        <v>750</v>
      </c>
      <c r="V417">
        <v>16</v>
      </c>
      <c r="W417">
        <v>1</v>
      </c>
      <c r="X417">
        <v>10</v>
      </c>
      <c r="Y417">
        <v>61.3</v>
      </c>
      <c r="AA417">
        <f>VLOOKUP(Table29[[#This Row],[Shortname]], Comp[], 6, FALSE)</f>
        <v>902</v>
      </c>
      <c r="AB417" s="14">
        <f>VLOOKUP(Table29[[#This Row],[Shortname]], Comp[], 7, FALSE)</f>
        <v>34.92</v>
      </c>
      <c r="AC417">
        <f>VLOOKUP(Table29[[#This Row],[Shortname]], Comp[], 8, FALSE)</f>
        <v>35</v>
      </c>
      <c r="AD417">
        <f>VLOOKUP(Table29[[#This Row],[Shortname]], Comp[], 9, FALSE)</f>
        <v>7.5</v>
      </c>
      <c r="AE417">
        <f>VLOOKUP(Table29[[#This Row],[Shortname]], Comp[], 10, FALSE)</f>
        <v>15</v>
      </c>
      <c r="AF417">
        <f>VLOOKUP(Table29[[#This Row],[Shortname]], Comp[], 11, FALSE)</f>
        <v>5</v>
      </c>
      <c r="AG417">
        <f>VLOOKUP(Table29[[#This Row],[Shortname]], Comp[],12, FALSE)</f>
        <v>1</v>
      </c>
      <c r="AH417">
        <f>VLOOKUP(Table29[[#This Row],[Shortname]], Comp[], 13, FALSE)</f>
        <v>1</v>
      </c>
      <c r="AI417">
        <f>VLOOKUP(Table29[[#This Row],[Shortname]], Comp[], 14, FALSE)</f>
        <v>0</v>
      </c>
      <c r="AJ417">
        <f>VLOOKUP(Table29[[#This Row],[Shortname]], Comp[], 15, FALSE)</f>
        <v>0</v>
      </c>
      <c r="AK417">
        <f>VLOOKUP(Table29[[#This Row],[Shortname]], Comp[], 16, FALSE)</f>
        <v>0</v>
      </c>
      <c r="AL417">
        <f>VLOOKUP(Table29[[#This Row],[Shortname]], Comp[], 17, FALSE)</f>
        <v>0</v>
      </c>
      <c r="AM417">
        <f>VLOOKUP(Table29[[#This Row],[Shortname]], Comp[], 18, FALSE)</f>
        <v>0</v>
      </c>
      <c r="AN417">
        <f>VLOOKUP(Table29[[#This Row],[Shortname]], Comp[], 19, FALSE)</f>
        <v>0.08</v>
      </c>
      <c r="AO417">
        <f>VLOOKUP(Table29[[#This Row],[Shortname]], Comp[], 20, FALSE)</f>
        <v>0</v>
      </c>
      <c r="AP417">
        <f>VLOOKUP(Table29[[#This Row],[Shortname]], Comp[], 21, FALSE)</f>
        <v>0</v>
      </c>
      <c r="AQ417">
        <f>VLOOKUP(Table29[[#This Row],[Shortname]], Comp[], 22, FALSE)</f>
        <v>0.4</v>
      </c>
      <c r="AR417">
        <f>VLOOKUP(Table29[[#This Row],[Shortname]], Comp[], 23, FALSE)</f>
        <v>0</v>
      </c>
      <c r="AS417">
        <f>VLOOKUP(Table29[[#This Row],[Shortname]], Comp[], 24, FALSE)</f>
        <v>0</v>
      </c>
      <c r="AT417">
        <f>VLOOKUP(Table29[[#This Row],[Shortname]], Comp[], 25, FALSE)</f>
        <v>0.1</v>
      </c>
      <c r="AU417">
        <f>VLOOKUP(Table29[[#This Row],[Shortname]], Comp[], 26, FALSE)</f>
        <v>0</v>
      </c>
      <c r="AV417">
        <f>VLOOKUP(Table29[[#This Row],[Shortname]], Comp[], 27, FALSE)</f>
        <v>0</v>
      </c>
      <c r="AW417">
        <f>VLOOKUP(Table29[[#This Row],[Shortname]], Comp[], 28, FALSE)</f>
        <v>0</v>
      </c>
      <c r="AX417">
        <f>VLOOKUP(Table29[[#This Row],[Shortname]], Comp[], 29, FALSE)</f>
        <v>0</v>
      </c>
      <c r="AY417">
        <f>VLOOKUP(Table29[[#This Row],[Shortname]], Comp[], 30, FALSE)</f>
        <v>0</v>
      </c>
      <c r="AZ417">
        <f>VLOOKUP(Table29[[#This Row],[Shortname]], Comp[], 31, FALSE)</f>
        <v>0</v>
      </c>
    </row>
    <row r="418" spans="1:52" x14ac:dyDescent="0.3">
      <c r="A418" t="s">
        <v>5735</v>
      </c>
      <c r="C418" t="e">
        <v>#N/A</v>
      </c>
      <c r="D418" t="s">
        <v>11</v>
      </c>
      <c r="E418" t="e">
        <v>#N/A</v>
      </c>
      <c r="F418" t="s">
        <v>5736</v>
      </c>
      <c r="G418" t="s">
        <v>5732</v>
      </c>
      <c r="H418">
        <v>921.44547589001695</v>
      </c>
      <c r="I418">
        <v>3.6187498124112797E-5</v>
      </c>
      <c r="J418">
        <f>0.01/Table29[[#This Row],[Strain Rate (min) /s]]</f>
        <v>276.33852900531707</v>
      </c>
      <c r="K418">
        <f>LOG(Table29[[#This Row],[Time to 1% strain (s)]])</f>
        <v>2.4414414414414414</v>
      </c>
      <c r="L418">
        <v>800</v>
      </c>
      <c r="P418" t="s">
        <v>7193</v>
      </c>
      <c r="Q418">
        <v>1250</v>
      </c>
      <c r="R418">
        <v>3</v>
      </c>
      <c r="S418">
        <v>900</v>
      </c>
      <c r="T418">
        <v>4</v>
      </c>
      <c r="U418">
        <v>750</v>
      </c>
      <c r="V418">
        <v>16</v>
      </c>
      <c r="W418">
        <v>1</v>
      </c>
      <c r="X418">
        <v>10</v>
      </c>
      <c r="Y418">
        <v>61.3</v>
      </c>
      <c r="AA418">
        <f>VLOOKUP(Table29[[#This Row],[Shortname]], Comp[], 6, FALSE)</f>
        <v>902</v>
      </c>
      <c r="AB418" s="14">
        <f>VLOOKUP(Table29[[#This Row],[Shortname]], Comp[], 7, FALSE)</f>
        <v>34.92</v>
      </c>
      <c r="AC418">
        <f>VLOOKUP(Table29[[#This Row],[Shortname]], Comp[], 8, FALSE)</f>
        <v>35</v>
      </c>
      <c r="AD418">
        <f>VLOOKUP(Table29[[#This Row],[Shortname]], Comp[], 9, FALSE)</f>
        <v>7.5</v>
      </c>
      <c r="AE418">
        <f>VLOOKUP(Table29[[#This Row],[Shortname]], Comp[], 10, FALSE)</f>
        <v>15</v>
      </c>
      <c r="AF418">
        <f>VLOOKUP(Table29[[#This Row],[Shortname]], Comp[], 11, FALSE)</f>
        <v>5</v>
      </c>
      <c r="AG418">
        <f>VLOOKUP(Table29[[#This Row],[Shortname]], Comp[],12, FALSE)</f>
        <v>1</v>
      </c>
      <c r="AH418">
        <f>VLOOKUP(Table29[[#This Row],[Shortname]], Comp[], 13, FALSE)</f>
        <v>1</v>
      </c>
      <c r="AI418">
        <f>VLOOKUP(Table29[[#This Row],[Shortname]], Comp[], 14, FALSE)</f>
        <v>0</v>
      </c>
      <c r="AJ418">
        <f>VLOOKUP(Table29[[#This Row],[Shortname]], Comp[], 15, FALSE)</f>
        <v>0</v>
      </c>
      <c r="AK418">
        <f>VLOOKUP(Table29[[#This Row],[Shortname]], Comp[], 16, FALSE)</f>
        <v>0</v>
      </c>
      <c r="AL418">
        <f>VLOOKUP(Table29[[#This Row],[Shortname]], Comp[], 17, FALSE)</f>
        <v>0</v>
      </c>
      <c r="AM418">
        <f>VLOOKUP(Table29[[#This Row],[Shortname]], Comp[], 18, FALSE)</f>
        <v>0</v>
      </c>
      <c r="AN418">
        <f>VLOOKUP(Table29[[#This Row],[Shortname]], Comp[], 19, FALSE)</f>
        <v>0.08</v>
      </c>
      <c r="AO418">
        <f>VLOOKUP(Table29[[#This Row],[Shortname]], Comp[], 20, FALSE)</f>
        <v>0</v>
      </c>
      <c r="AP418">
        <f>VLOOKUP(Table29[[#This Row],[Shortname]], Comp[], 21, FALSE)</f>
        <v>0</v>
      </c>
      <c r="AQ418">
        <f>VLOOKUP(Table29[[#This Row],[Shortname]], Comp[], 22, FALSE)</f>
        <v>0.4</v>
      </c>
      <c r="AR418">
        <f>VLOOKUP(Table29[[#This Row],[Shortname]], Comp[], 23, FALSE)</f>
        <v>0</v>
      </c>
      <c r="AS418">
        <f>VLOOKUP(Table29[[#This Row],[Shortname]], Comp[], 24, FALSE)</f>
        <v>0</v>
      </c>
      <c r="AT418">
        <f>VLOOKUP(Table29[[#This Row],[Shortname]], Comp[], 25, FALSE)</f>
        <v>0.1</v>
      </c>
      <c r="AU418">
        <f>VLOOKUP(Table29[[#This Row],[Shortname]], Comp[], 26, FALSE)</f>
        <v>0</v>
      </c>
      <c r="AV418">
        <f>VLOOKUP(Table29[[#This Row],[Shortname]], Comp[], 27, FALSE)</f>
        <v>0</v>
      </c>
      <c r="AW418">
        <f>VLOOKUP(Table29[[#This Row],[Shortname]], Comp[], 28, FALSE)</f>
        <v>0</v>
      </c>
      <c r="AX418">
        <f>VLOOKUP(Table29[[#This Row],[Shortname]], Comp[], 29, FALSE)</f>
        <v>0</v>
      </c>
      <c r="AY418">
        <f>VLOOKUP(Table29[[#This Row],[Shortname]], Comp[], 30, FALSE)</f>
        <v>0</v>
      </c>
      <c r="AZ418">
        <f>VLOOKUP(Table29[[#This Row],[Shortname]], Comp[], 31, FALSE)</f>
        <v>0</v>
      </c>
    </row>
    <row r="419" spans="1:52" x14ac:dyDescent="0.3">
      <c r="A419" t="s">
        <v>5735</v>
      </c>
      <c r="C419" t="e">
        <v>#N/A</v>
      </c>
      <c r="D419" t="s">
        <v>11</v>
      </c>
      <c r="E419" t="e">
        <v>#N/A</v>
      </c>
      <c r="F419" t="s">
        <v>5736</v>
      </c>
      <c r="G419" t="s">
        <v>5732</v>
      </c>
      <c r="H419">
        <v>979.18245290563596</v>
      </c>
      <c r="I419">
        <v>3.40041193270372E-4</v>
      </c>
      <c r="J419">
        <f>0.01/Table29[[#This Row],[Strain Rate (min) /s]]</f>
        <v>29.408201705870518</v>
      </c>
      <c r="K419">
        <f>LOG(Table29[[#This Row],[Time to 1% strain (s)]])</f>
        <v>1.4684684684684668</v>
      </c>
      <c r="L419">
        <v>800</v>
      </c>
      <c r="P419" t="s">
        <v>7193</v>
      </c>
      <c r="Q419">
        <v>1250</v>
      </c>
      <c r="R419">
        <v>3</v>
      </c>
      <c r="S419">
        <v>900</v>
      </c>
      <c r="T419">
        <v>4</v>
      </c>
      <c r="U419">
        <v>750</v>
      </c>
      <c r="V419">
        <v>16</v>
      </c>
      <c r="W419">
        <v>1</v>
      </c>
      <c r="X419">
        <v>10</v>
      </c>
      <c r="Y419">
        <v>61.3</v>
      </c>
      <c r="AA419">
        <f>VLOOKUP(Table29[[#This Row],[Shortname]], Comp[], 6, FALSE)</f>
        <v>902</v>
      </c>
      <c r="AB419" s="14">
        <f>VLOOKUP(Table29[[#This Row],[Shortname]], Comp[], 7, FALSE)</f>
        <v>34.92</v>
      </c>
      <c r="AC419">
        <f>VLOOKUP(Table29[[#This Row],[Shortname]], Comp[], 8, FALSE)</f>
        <v>35</v>
      </c>
      <c r="AD419">
        <f>VLOOKUP(Table29[[#This Row],[Shortname]], Comp[], 9, FALSE)</f>
        <v>7.5</v>
      </c>
      <c r="AE419">
        <f>VLOOKUP(Table29[[#This Row],[Shortname]], Comp[], 10, FALSE)</f>
        <v>15</v>
      </c>
      <c r="AF419">
        <f>VLOOKUP(Table29[[#This Row],[Shortname]], Comp[], 11, FALSE)</f>
        <v>5</v>
      </c>
      <c r="AG419">
        <f>VLOOKUP(Table29[[#This Row],[Shortname]], Comp[],12, FALSE)</f>
        <v>1</v>
      </c>
      <c r="AH419">
        <f>VLOOKUP(Table29[[#This Row],[Shortname]], Comp[], 13, FALSE)</f>
        <v>1</v>
      </c>
      <c r="AI419">
        <f>VLOOKUP(Table29[[#This Row],[Shortname]], Comp[], 14, FALSE)</f>
        <v>0</v>
      </c>
      <c r="AJ419">
        <f>VLOOKUP(Table29[[#This Row],[Shortname]], Comp[], 15, FALSE)</f>
        <v>0</v>
      </c>
      <c r="AK419">
        <f>VLOOKUP(Table29[[#This Row],[Shortname]], Comp[], 16, FALSE)</f>
        <v>0</v>
      </c>
      <c r="AL419">
        <f>VLOOKUP(Table29[[#This Row],[Shortname]], Comp[], 17, FALSE)</f>
        <v>0</v>
      </c>
      <c r="AM419">
        <f>VLOOKUP(Table29[[#This Row],[Shortname]], Comp[], 18, FALSE)</f>
        <v>0</v>
      </c>
      <c r="AN419">
        <f>VLOOKUP(Table29[[#This Row],[Shortname]], Comp[], 19, FALSE)</f>
        <v>0.08</v>
      </c>
      <c r="AO419">
        <f>VLOOKUP(Table29[[#This Row],[Shortname]], Comp[], 20, FALSE)</f>
        <v>0</v>
      </c>
      <c r="AP419">
        <f>VLOOKUP(Table29[[#This Row],[Shortname]], Comp[], 21, FALSE)</f>
        <v>0</v>
      </c>
      <c r="AQ419">
        <f>VLOOKUP(Table29[[#This Row],[Shortname]], Comp[], 22, FALSE)</f>
        <v>0.4</v>
      </c>
      <c r="AR419">
        <f>VLOOKUP(Table29[[#This Row],[Shortname]], Comp[], 23, FALSE)</f>
        <v>0</v>
      </c>
      <c r="AS419">
        <f>VLOOKUP(Table29[[#This Row],[Shortname]], Comp[], 24, FALSE)</f>
        <v>0</v>
      </c>
      <c r="AT419">
        <f>VLOOKUP(Table29[[#This Row],[Shortname]], Comp[], 25, FALSE)</f>
        <v>0.1</v>
      </c>
      <c r="AU419">
        <f>VLOOKUP(Table29[[#This Row],[Shortname]], Comp[], 26, FALSE)</f>
        <v>0</v>
      </c>
      <c r="AV419">
        <f>VLOOKUP(Table29[[#This Row],[Shortname]], Comp[], 27, FALSE)</f>
        <v>0</v>
      </c>
      <c r="AW419">
        <f>VLOOKUP(Table29[[#This Row],[Shortname]], Comp[], 28, FALSE)</f>
        <v>0</v>
      </c>
      <c r="AX419">
        <f>VLOOKUP(Table29[[#This Row],[Shortname]], Comp[], 29, FALSE)</f>
        <v>0</v>
      </c>
      <c r="AY419">
        <f>VLOOKUP(Table29[[#This Row],[Shortname]], Comp[], 30, FALSE)</f>
        <v>0</v>
      </c>
      <c r="AZ419">
        <f>VLOOKUP(Table29[[#This Row],[Shortname]], Comp[], 31, FALSE)</f>
        <v>0</v>
      </c>
    </row>
    <row r="420" spans="1:52" x14ac:dyDescent="0.3">
      <c r="A420" t="s">
        <v>5740</v>
      </c>
      <c r="C420" t="e">
        <v>#N/A</v>
      </c>
      <c r="D420" t="e">
        <v>#N/A</v>
      </c>
      <c r="E420" t="e">
        <v>#N/A</v>
      </c>
      <c r="F420" t="s">
        <v>5741</v>
      </c>
      <c r="G420" t="s">
        <v>5732</v>
      </c>
      <c r="H420">
        <v>399.06610136547903</v>
      </c>
      <c r="I420">
        <v>5.5943257061693399E-8</v>
      </c>
      <c r="J420">
        <f>0.01/Table29[[#This Row],[Strain Rate (min) /s]]</f>
        <v>178752.55259042475</v>
      </c>
      <c r="K420">
        <f>LOG(Table29[[#This Row],[Time to 1% strain (s)]])</f>
        <v>5.252252252252255</v>
      </c>
      <c r="L420">
        <v>800</v>
      </c>
      <c r="P420" t="s">
        <v>7194</v>
      </c>
      <c r="Q420">
        <v>1250</v>
      </c>
      <c r="R420">
        <v>3</v>
      </c>
      <c r="S420">
        <v>900</v>
      </c>
      <c r="T420">
        <v>4</v>
      </c>
      <c r="U420">
        <v>750</v>
      </c>
      <c r="V420">
        <v>16</v>
      </c>
      <c r="W420">
        <v>1</v>
      </c>
      <c r="X420">
        <v>10</v>
      </c>
      <c r="Y420">
        <v>61.5</v>
      </c>
      <c r="AA420">
        <f>VLOOKUP(Table29[[#This Row],[Shortname]], Comp[], 6, FALSE)</f>
        <v>903</v>
      </c>
      <c r="AB420" s="14">
        <f>VLOOKUP(Table29[[#This Row],[Shortname]], Comp[], 7, FALSE)</f>
        <v>34.92</v>
      </c>
      <c r="AC420">
        <f>VLOOKUP(Table29[[#This Row],[Shortname]], Comp[], 8, FALSE)</f>
        <v>35</v>
      </c>
      <c r="AD420">
        <f>VLOOKUP(Table29[[#This Row],[Shortname]], Comp[], 9, FALSE)</f>
        <v>9</v>
      </c>
      <c r="AE420">
        <f>VLOOKUP(Table29[[#This Row],[Shortname]], Comp[], 10, FALSE)</f>
        <v>15</v>
      </c>
      <c r="AF420">
        <f>VLOOKUP(Table29[[#This Row],[Shortname]], Comp[], 11, FALSE)</f>
        <v>5</v>
      </c>
      <c r="AG420">
        <f>VLOOKUP(Table29[[#This Row],[Shortname]], Comp[],12, FALSE)</f>
        <v>0.3</v>
      </c>
      <c r="AH420">
        <f>VLOOKUP(Table29[[#This Row],[Shortname]], Comp[], 13, FALSE)</f>
        <v>0.2</v>
      </c>
      <c r="AI420">
        <f>VLOOKUP(Table29[[#This Row],[Shortname]], Comp[], 14, FALSE)</f>
        <v>0</v>
      </c>
      <c r="AJ420">
        <f>VLOOKUP(Table29[[#This Row],[Shortname]], Comp[], 15, FALSE)</f>
        <v>0</v>
      </c>
      <c r="AK420">
        <f>VLOOKUP(Table29[[#This Row],[Shortname]], Comp[], 16, FALSE)</f>
        <v>0</v>
      </c>
      <c r="AL420">
        <f>VLOOKUP(Table29[[#This Row],[Shortname]], Comp[], 17, FALSE)</f>
        <v>0</v>
      </c>
      <c r="AM420">
        <f>VLOOKUP(Table29[[#This Row],[Shortname]], Comp[], 18, FALSE)</f>
        <v>0</v>
      </c>
      <c r="AN420">
        <f>VLOOKUP(Table29[[#This Row],[Shortname]], Comp[], 19, FALSE)</f>
        <v>0.08</v>
      </c>
      <c r="AO420">
        <f>VLOOKUP(Table29[[#This Row],[Shortname]], Comp[], 20, FALSE)</f>
        <v>0</v>
      </c>
      <c r="AP420">
        <f>VLOOKUP(Table29[[#This Row],[Shortname]], Comp[], 21, FALSE)</f>
        <v>0</v>
      </c>
      <c r="AQ420">
        <f>VLOOKUP(Table29[[#This Row],[Shortname]], Comp[], 22, FALSE)</f>
        <v>0.4</v>
      </c>
      <c r="AR420">
        <f>VLOOKUP(Table29[[#This Row],[Shortname]], Comp[], 23, FALSE)</f>
        <v>0</v>
      </c>
      <c r="AS420">
        <f>VLOOKUP(Table29[[#This Row],[Shortname]], Comp[], 24, FALSE)</f>
        <v>0</v>
      </c>
      <c r="AT420">
        <f>VLOOKUP(Table29[[#This Row],[Shortname]], Comp[], 25, FALSE)</f>
        <v>0.1</v>
      </c>
      <c r="AU420">
        <f>VLOOKUP(Table29[[#This Row],[Shortname]], Comp[], 26, FALSE)</f>
        <v>0</v>
      </c>
      <c r="AV420">
        <f>VLOOKUP(Table29[[#This Row],[Shortname]], Comp[], 27, FALSE)</f>
        <v>0</v>
      </c>
      <c r="AW420">
        <f>VLOOKUP(Table29[[#This Row],[Shortname]], Comp[], 28, FALSE)</f>
        <v>0</v>
      </c>
      <c r="AX420">
        <f>VLOOKUP(Table29[[#This Row],[Shortname]], Comp[], 29, FALSE)</f>
        <v>0</v>
      </c>
      <c r="AY420">
        <f>VLOOKUP(Table29[[#This Row],[Shortname]], Comp[], 30, FALSE)</f>
        <v>0</v>
      </c>
      <c r="AZ420">
        <f>VLOOKUP(Table29[[#This Row],[Shortname]], Comp[], 31, FALSE)</f>
        <v>0</v>
      </c>
    </row>
    <row r="421" spans="1:52" x14ac:dyDescent="0.3">
      <c r="A421" t="s">
        <v>5740</v>
      </c>
      <c r="C421" t="e">
        <v>#N/A</v>
      </c>
      <c r="D421" t="s">
        <v>11</v>
      </c>
      <c r="E421" t="e">
        <v>#N/A</v>
      </c>
      <c r="F421" t="s">
        <v>5741</v>
      </c>
      <c r="G421" t="s">
        <v>5732</v>
      </c>
      <c r="H421">
        <v>486.78013894941603</v>
      </c>
      <c r="I421">
        <v>4.8382096649259303E-7</v>
      </c>
      <c r="J421">
        <f>0.01/Table29[[#This Row],[Strain Rate (min) /s]]</f>
        <v>20668.802496290937</v>
      </c>
      <c r="K421">
        <f>LOG(Table29[[#This Row],[Time to 1% strain (s)]])</f>
        <v>4.3153153153153179</v>
      </c>
      <c r="L421">
        <v>800</v>
      </c>
      <c r="P421" t="s">
        <v>7194</v>
      </c>
      <c r="Q421">
        <v>1250</v>
      </c>
      <c r="R421">
        <v>3</v>
      </c>
      <c r="S421">
        <v>900</v>
      </c>
      <c r="T421">
        <v>4</v>
      </c>
      <c r="U421">
        <v>750</v>
      </c>
      <c r="V421">
        <v>16</v>
      </c>
      <c r="W421">
        <v>1</v>
      </c>
      <c r="X421">
        <v>10</v>
      </c>
      <c r="Y421">
        <v>61.5</v>
      </c>
      <c r="AA421">
        <f>VLOOKUP(Table29[[#This Row],[Shortname]], Comp[], 6, FALSE)</f>
        <v>903</v>
      </c>
      <c r="AB421" s="14">
        <f>VLOOKUP(Table29[[#This Row],[Shortname]], Comp[], 7, FALSE)</f>
        <v>34.92</v>
      </c>
      <c r="AC421">
        <f>VLOOKUP(Table29[[#This Row],[Shortname]], Comp[], 8, FALSE)</f>
        <v>35</v>
      </c>
      <c r="AD421">
        <f>VLOOKUP(Table29[[#This Row],[Shortname]], Comp[], 9, FALSE)</f>
        <v>9</v>
      </c>
      <c r="AE421">
        <f>VLOOKUP(Table29[[#This Row],[Shortname]], Comp[], 10, FALSE)</f>
        <v>15</v>
      </c>
      <c r="AF421">
        <f>VLOOKUP(Table29[[#This Row],[Shortname]], Comp[], 11, FALSE)</f>
        <v>5</v>
      </c>
      <c r="AG421">
        <f>VLOOKUP(Table29[[#This Row],[Shortname]], Comp[],12, FALSE)</f>
        <v>0.3</v>
      </c>
      <c r="AH421">
        <f>VLOOKUP(Table29[[#This Row],[Shortname]], Comp[], 13, FALSE)</f>
        <v>0.2</v>
      </c>
      <c r="AI421">
        <f>VLOOKUP(Table29[[#This Row],[Shortname]], Comp[], 14, FALSE)</f>
        <v>0</v>
      </c>
      <c r="AJ421">
        <f>VLOOKUP(Table29[[#This Row],[Shortname]], Comp[], 15, FALSE)</f>
        <v>0</v>
      </c>
      <c r="AK421">
        <f>VLOOKUP(Table29[[#This Row],[Shortname]], Comp[], 16, FALSE)</f>
        <v>0</v>
      </c>
      <c r="AL421">
        <f>VLOOKUP(Table29[[#This Row],[Shortname]], Comp[], 17, FALSE)</f>
        <v>0</v>
      </c>
      <c r="AM421">
        <f>VLOOKUP(Table29[[#This Row],[Shortname]], Comp[], 18, FALSE)</f>
        <v>0</v>
      </c>
      <c r="AN421">
        <f>VLOOKUP(Table29[[#This Row],[Shortname]], Comp[], 19, FALSE)</f>
        <v>0.08</v>
      </c>
      <c r="AO421">
        <f>VLOOKUP(Table29[[#This Row],[Shortname]], Comp[], 20, FALSE)</f>
        <v>0</v>
      </c>
      <c r="AP421">
        <f>VLOOKUP(Table29[[#This Row],[Shortname]], Comp[], 21, FALSE)</f>
        <v>0</v>
      </c>
      <c r="AQ421">
        <f>VLOOKUP(Table29[[#This Row],[Shortname]], Comp[], 22, FALSE)</f>
        <v>0.4</v>
      </c>
      <c r="AR421">
        <f>VLOOKUP(Table29[[#This Row],[Shortname]], Comp[], 23, FALSE)</f>
        <v>0</v>
      </c>
      <c r="AS421">
        <f>VLOOKUP(Table29[[#This Row],[Shortname]], Comp[], 24, FALSE)</f>
        <v>0</v>
      </c>
      <c r="AT421">
        <f>VLOOKUP(Table29[[#This Row],[Shortname]], Comp[], 25, FALSE)</f>
        <v>0.1</v>
      </c>
      <c r="AU421">
        <f>VLOOKUP(Table29[[#This Row],[Shortname]], Comp[], 26, FALSE)</f>
        <v>0</v>
      </c>
      <c r="AV421">
        <f>VLOOKUP(Table29[[#This Row],[Shortname]], Comp[], 27, FALSE)</f>
        <v>0</v>
      </c>
      <c r="AW421">
        <f>VLOOKUP(Table29[[#This Row],[Shortname]], Comp[], 28, FALSE)</f>
        <v>0</v>
      </c>
      <c r="AX421">
        <f>VLOOKUP(Table29[[#This Row],[Shortname]], Comp[], 29, FALSE)</f>
        <v>0</v>
      </c>
      <c r="AY421">
        <f>VLOOKUP(Table29[[#This Row],[Shortname]], Comp[], 30, FALSE)</f>
        <v>0</v>
      </c>
      <c r="AZ421">
        <f>VLOOKUP(Table29[[#This Row],[Shortname]], Comp[], 31, FALSE)</f>
        <v>0</v>
      </c>
    </row>
    <row r="422" spans="1:52" x14ac:dyDescent="0.3">
      <c r="A422" t="s">
        <v>5740</v>
      </c>
      <c r="C422" t="e">
        <v>#N/A</v>
      </c>
      <c r="D422" t="s">
        <v>11</v>
      </c>
      <c r="E422" t="e">
        <v>#N/A</v>
      </c>
      <c r="F422" t="s">
        <v>5741</v>
      </c>
      <c r="G422" t="s">
        <v>5732</v>
      </c>
      <c r="H422">
        <v>684.77074894725899</v>
      </c>
      <c r="I422">
        <v>4.3615377892080002E-6</v>
      </c>
      <c r="J422">
        <f>0.01/Table29[[#This Row],[Strain Rate (min) /s]]</f>
        <v>2292.7693128656515</v>
      </c>
      <c r="K422">
        <f>LOG(Table29[[#This Row],[Time to 1% strain (s)]])</f>
        <v>3.3603603603603607</v>
      </c>
      <c r="L422">
        <v>800</v>
      </c>
      <c r="P422" t="s">
        <v>7194</v>
      </c>
      <c r="Q422">
        <v>1250</v>
      </c>
      <c r="R422">
        <v>3</v>
      </c>
      <c r="S422">
        <v>900</v>
      </c>
      <c r="T422">
        <v>4</v>
      </c>
      <c r="U422">
        <v>750</v>
      </c>
      <c r="V422">
        <v>16</v>
      </c>
      <c r="W422">
        <v>1</v>
      </c>
      <c r="X422">
        <v>10</v>
      </c>
      <c r="Y422">
        <v>61.5</v>
      </c>
      <c r="AA422">
        <f>VLOOKUP(Table29[[#This Row],[Shortname]], Comp[], 6, FALSE)</f>
        <v>903</v>
      </c>
      <c r="AB422" s="14">
        <f>VLOOKUP(Table29[[#This Row],[Shortname]], Comp[], 7, FALSE)</f>
        <v>34.92</v>
      </c>
      <c r="AC422">
        <f>VLOOKUP(Table29[[#This Row],[Shortname]], Comp[], 8, FALSE)</f>
        <v>35</v>
      </c>
      <c r="AD422">
        <f>VLOOKUP(Table29[[#This Row],[Shortname]], Comp[], 9, FALSE)</f>
        <v>9</v>
      </c>
      <c r="AE422">
        <f>VLOOKUP(Table29[[#This Row],[Shortname]], Comp[], 10, FALSE)</f>
        <v>15</v>
      </c>
      <c r="AF422">
        <f>VLOOKUP(Table29[[#This Row],[Shortname]], Comp[], 11, FALSE)</f>
        <v>5</v>
      </c>
      <c r="AG422">
        <f>VLOOKUP(Table29[[#This Row],[Shortname]], Comp[],12, FALSE)</f>
        <v>0.3</v>
      </c>
      <c r="AH422">
        <f>VLOOKUP(Table29[[#This Row],[Shortname]], Comp[], 13, FALSE)</f>
        <v>0.2</v>
      </c>
      <c r="AI422">
        <f>VLOOKUP(Table29[[#This Row],[Shortname]], Comp[], 14, FALSE)</f>
        <v>0</v>
      </c>
      <c r="AJ422">
        <f>VLOOKUP(Table29[[#This Row],[Shortname]], Comp[], 15, FALSE)</f>
        <v>0</v>
      </c>
      <c r="AK422">
        <f>VLOOKUP(Table29[[#This Row],[Shortname]], Comp[], 16, FALSE)</f>
        <v>0</v>
      </c>
      <c r="AL422">
        <f>VLOOKUP(Table29[[#This Row],[Shortname]], Comp[], 17, FALSE)</f>
        <v>0</v>
      </c>
      <c r="AM422">
        <f>VLOOKUP(Table29[[#This Row],[Shortname]], Comp[], 18, FALSE)</f>
        <v>0</v>
      </c>
      <c r="AN422">
        <f>VLOOKUP(Table29[[#This Row],[Shortname]], Comp[], 19, FALSE)</f>
        <v>0.08</v>
      </c>
      <c r="AO422">
        <f>VLOOKUP(Table29[[#This Row],[Shortname]], Comp[], 20, FALSE)</f>
        <v>0</v>
      </c>
      <c r="AP422">
        <f>VLOOKUP(Table29[[#This Row],[Shortname]], Comp[], 21, FALSE)</f>
        <v>0</v>
      </c>
      <c r="AQ422">
        <f>VLOOKUP(Table29[[#This Row],[Shortname]], Comp[], 22, FALSE)</f>
        <v>0.4</v>
      </c>
      <c r="AR422">
        <f>VLOOKUP(Table29[[#This Row],[Shortname]], Comp[], 23, FALSE)</f>
        <v>0</v>
      </c>
      <c r="AS422">
        <f>VLOOKUP(Table29[[#This Row],[Shortname]], Comp[], 24, FALSE)</f>
        <v>0</v>
      </c>
      <c r="AT422">
        <f>VLOOKUP(Table29[[#This Row],[Shortname]], Comp[], 25, FALSE)</f>
        <v>0.1</v>
      </c>
      <c r="AU422">
        <f>VLOOKUP(Table29[[#This Row],[Shortname]], Comp[], 26, FALSE)</f>
        <v>0</v>
      </c>
      <c r="AV422">
        <f>VLOOKUP(Table29[[#This Row],[Shortname]], Comp[], 27, FALSE)</f>
        <v>0</v>
      </c>
      <c r="AW422">
        <f>VLOOKUP(Table29[[#This Row],[Shortname]], Comp[], 28, FALSE)</f>
        <v>0</v>
      </c>
      <c r="AX422">
        <f>VLOOKUP(Table29[[#This Row],[Shortname]], Comp[], 29, FALSE)</f>
        <v>0</v>
      </c>
      <c r="AY422">
        <f>VLOOKUP(Table29[[#This Row],[Shortname]], Comp[], 30, FALSE)</f>
        <v>0</v>
      </c>
      <c r="AZ422">
        <f>VLOOKUP(Table29[[#This Row],[Shortname]], Comp[], 31, FALSE)</f>
        <v>0</v>
      </c>
    </row>
    <row r="423" spans="1:52" x14ac:dyDescent="0.3">
      <c r="A423" t="s">
        <v>5740</v>
      </c>
      <c r="C423" t="e">
        <v>#N/A</v>
      </c>
      <c r="D423" t="s">
        <v>11</v>
      </c>
      <c r="E423" t="e">
        <v>#N/A</v>
      </c>
      <c r="F423" t="s">
        <v>5741</v>
      </c>
      <c r="G423" t="s">
        <v>5732</v>
      </c>
      <c r="H423">
        <v>819.80769023722803</v>
      </c>
      <c r="I423">
        <v>4.09838367175727E-5</v>
      </c>
      <c r="J423">
        <f>0.01/Table29[[#This Row],[Strain Rate (min) /s]]</f>
        <v>243.99862972595452</v>
      </c>
      <c r="K423">
        <f>LOG(Table29[[#This Row],[Time to 1% strain (s)]])</f>
        <v>2.3873873873873865</v>
      </c>
      <c r="L423">
        <v>800</v>
      </c>
      <c r="P423" t="s">
        <v>7194</v>
      </c>
      <c r="Q423">
        <v>1250</v>
      </c>
      <c r="R423">
        <v>3</v>
      </c>
      <c r="S423">
        <v>900</v>
      </c>
      <c r="T423">
        <v>4</v>
      </c>
      <c r="U423">
        <v>750</v>
      </c>
      <c r="V423">
        <v>16</v>
      </c>
      <c r="W423">
        <v>1</v>
      </c>
      <c r="X423">
        <v>10</v>
      </c>
      <c r="Y423">
        <v>61.5</v>
      </c>
      <c r="AA423">
        <f>VLOOKUP(Table29[[#This Row],[Shortname]], Comp[], 6, FALSE)</f>
        <v>903</v>
      </c>
      <c r="AB423" s="14">
        <f>VLOOKUP(Table29[[#This Row],[Shortname]], Comp[], 7, FALSE)</f>
        <v>34.92</v>
      </c>
      <c r="AC423">
        <f>VLOOKUP(Table29[[#This Row],[Shortname]], Comp[], 8, FALSE)</f>
        <v>35</v>
      </c>
      <c r="AD423">
        <f>VLOOKUP(Table29[[#This Row],[Shortname]], Comp[], 9, FALSE)</f>
        <v>9</v>
      </c>
      <c r="AE423">
        <f>VLOOKUP(Table29[[#This Row],[Shortname]], Comp[], 10, FALSE)</f>
        <v>15</v>
      </c>
      <c r="AF423">
        <f>VLOOKUP(Table29[[#This Row],[Shortname]], Comp[], 11, FALSE)</f>
        <v>5</v>
      </c>
      <c r="AG423">
        <f>VLOOKUP(Table29[[#This Row],[Shortname]], Comp[],12, FALSE)</f>
        <v>0.3</v>
      </c>
      <c r="AH423">
        <f>VLOOKUP(Table29[[#This Row],[Shortname]], Comp[], 13, FALSE)</f>
        <v>0.2</v>
      </c>
      <c r="AI423">
        <f>VLOOKUP(Table29[[#This Row],[Shortname]], Comp[], 14, FALSE)</f>
        <v>0</v>
      </c>
      <c r="AJ423">
        <f>VLOOKUP(Table29[[#This Row],[Shortname]], Comp[], 15, FALSE)</f>
        <v>0</v>
      </c>
      <c r="AK423">
        <f>VLOOKUP(Table29[[#This Row],[Shortname]], Comp[], 16, FALSE)</f>
        <v>0</v>
      </c>
      <c r="AL423">
        <f>VLOOKUP(Table29[[#This Row],[Shortname]], Comp[], 17, FALSE)</f>
        <v>0</v>
      </c>
      <c r="AM423">
        <f>VLOOKUP(Table29[[#This Row],[Shortname]], Comp[], 18, FALSE)</f>
        <v>0</v>
      </c>
      <c r="AN423">
        <f>VLOOKUP(Table29[[#This Row],[Shortname]], Comp[], 19, FALSE)</f>
        <v>0.08</v>
      </c>
      <c r="AO423">
        <f>VLOOKUP(Table29[[#This Row],[Shortname]], Comp[], 20, FALSE)</f>
        <v>0</v>
      </c>
      <c r="AP423">
        <f>VLOOKUP(Table29[[#This Row],[Shortname]], Comp[], 21, FALSE)</f>
        <v>0</v>
      </c>
      <c r="AQ423">
        <f>VLOOKUP(Table29[[#This Row],[Shortname]], Comp[], 22, FALSE)</f>
        <v>0.4</v>
      </c>
      <c r="AR423">
        <f>VLOOKUP(Table29[[#This Row],[Shortname]], Comp[], 23, FALSE)</f>
        <v>0</v>
      </c>
      <c r="AS423">
        <f>VLOOKUP(Table29[[#This Row],[Shortname]], Comp[], 24, FALSE)</f>
        <v>0</v>
      </c>
      <c r="AT423">
        <f>VLOOKUP(Table29[[#This Row],[Shortname]], Comp[], 25, FALSE)</f>
        <v>0.1</v>
      </c>
      <c r="AU423">
        <f>VLOOKUP(Table29[[#This Row],[Shortname]], Comp[], 26, FALSE)</f>
        <v>0</v>
      </c>
      <c r="AV423">
        <f>VLOOKUP(Table29[[#This Row],[Shortname]], Comp[], 27, FALSE)</f>
        <v>0</v>
      </c>
      <c r="AW423">
        <f>VLOOKUP(Table29[[#This Row],[Shortname]], Comp[], 28, FALSE)</f>
        <v>0</v>
      </c>
      <c r="AX423">
        <f>VLOOKUP(Table29[[#This Row],[Shortname]], Comp[], 29, FALSE)</f>
        <v>0</v>
      </c>
      <c r="AY423">
        <f>VLOOKUP(Table29[[#This Row],[Shortname]], Comp[], 30, FALSE)</f>
        <v>0</v>
      </c>
      <c r="AZ423">
        <f>VLOOKUP(Table29[[#This Row],[Shortname]], Comp[], 31, FALSE)</f>
        <v>0</v>
      </c>
    </row>
    <row r="424" spans="1:52" x14ac:dyDescent="0.3">
      <c r="A424" t="s">
        <v>5740</v>
      </c>
      <c r="C424" t="e">
        <v>#N/A</v>
      </c>
      <c r="D424" t="s">
        <v>11</v>
      </c>
      <c r="E424" t="e">
        <v>#N/A</v>
      </c>
      <c r="F424" t="s">
        <v>5741</v>
      </c>
      <c r="G424" t="s">
        <v>5732</v>
      </c>
      <c r="H424">
        <v>845.10170519424003</v>
      </c>
      <c r="I424">
        <v>3.5444556739704498E-4</v>
      </c>
      <c r="J424">
        <f>0.01/Table29[[#This Row],[Strain Rate (min) /s]]</f>
        <v>28.213076759394596</v>
      </c>
      <c r="K424">
        <f>LOG(Table29[[#This Row],[Time to 1% strain (s)]])</f>
        <v>1.4504504504504485</v>
      </c>
      <c r="L424">
        <v>800</v>
      </c>
      <c r="P424" t="s">
        <v>7194</v>
      </c>
      <c r="Q424">
        <v>1250</v>
      </c>
      <c r="R424">
        <v>3</v>
      </c>
      <c r="S424">
        <v>900</v>
      </c>
      <c r="T424">
        <v>4</v>
      </c>
      <c r="U424">
        <v>750</v>
      </c>
      <c r="V424">
        <v>16</v>
      </c>
      <c r="W424">
        <v>1</v>
      </c>
      <c r="X424">
        <v>10</v>
      </c>
      <c r="Y424">
        <v>61.5</v>
      </c>
      <c r="AA424">
        <f>VLOOKUP(Table29[[#This Row],[Shortname]], Comp[], 6, FALSE)</f>
        <v>903</v>
      </c>
      <c r="AB424" s="14">
        <f>VLOOKUP(Table29[[#This Row],[Shortname]], Comp[], 7, FALSE)</f>
        <v>34.92</v>
      </c>
      <c r="AC424">
        <f>VLOOKUP(Table29[[#This Row],[Shortname]], Comp[], 8, FALSE)</f>
        <v>35</v>
      </c>
      <c r="AD424">
        <f>VLOOKUP(Table29[[#This Row],[Shortname]], Comp[], 9, FALSE)</f>
        <v>9</v>
      </c>
      <c r="AE424">
        <f>VLOOKUP(Table29[[#This Row],[Shortname]], Comp[], 10, FALSE)</f>
        <v>15</v>
      </c>
      <c r="AF424">
        <f>VLOOKUP(Table29[[#This Row],[Shortname]], Comp[], 11, FALSE)</f>
        <v>5</v>
      </c>
      <c r="AG424">
        <f>VLOOKUP(Table29[[#This Row],[Shortname]], Comp[],12, FALSE)</f>
        <v>0.3</v>
      </c>
      <c r="AH424">
        <f>VLOOKUP(Table29[[#This Row],[Shortname]], Comp[], 13, FALSE)</f>
        <v>0.2</v>
      </c>
      <c r="AI424">
        <f>VLOOKUP(Table29[[#This Row],[Shortname]], Comp[], 14, FALSE)</f>
        <v>0</v>
      </c>
      <c r="AJ424">
        <f>VLOOKUP(Table29[[#This Row],[Shortname]], Comp[], 15, FALSE)</f>
        <v>0</v>
      </c>
      <c r="AK424">
        <f>VLOOKUP(Table29[[#This Row],[Shortname]], Comp[], 16, FALSE)</f>
        <v>0</v>
      </c>
      <c r="AL424">
        <f>VLOOKUP(Table29[[#This Row],[Shortname]], Comp[], 17, FALSE)</f>
        <v>0</v>
      </c>
      <c r="AM424">
        <f>VLOOKUP(Table29[[#This Row],[Shortname]], Comp[], 18, FALSE)</f>
        <v>0</v>
      </c>
      <c r="AN424">
        <f>VLOOKUP(Table29[[#This Row],[Shortname]], Comp[], 19, FALSE)</f>
        <v>0.08</v>
      </c>
      <c r="AO424">
        <f>VLOOKUP(Table29[[#This Row],[Shortname]], Comp[], 20, FALSE)</f>
        <v>0</v>
      </c>
      <c r="AP424">
        <f>VLOOKUP(Table29[[#This Row],[Shortname]], Comp[], 21, FALSE)</f>
        <v>0</v>
      </c>
      <c r="AQ424">
        <f>VLOOKUP(Table29[[#This Row],[Shortname]], Comp[], 22, FALSE)</f>
        <v>0.4</v>
      </c>
      <c r="AR424">
        <f>VLOOKUP(Table29[[#This Row],[Shortname]], Comp[], 23, FALSE)</f>
        <v>0</v>
      </c>
      <c r="AS424">
        <f>VLOOKUP(Table29[[#This Row],[Shortname]], Comp[], 24, FALSE)</f>
        <v>0</v>
      </c>
      <c r="AT424">
        <f>VLOOKUP(Table29[[#This Row],[Shortname]], Comp[], 25, FALSE)</f>
        <v>0.1</v>
      </c>
      <c r="AU424">
        <f>VLOOKUP(Table29[[#This Row],[Shortname]], Comp[], 26, FALSE)</f>
        <v>0</v>
      </c>
      <c r="AV424">
        <f>VLOOKUP(Table29[[#This Row],[Shortname]], Comp[], 27, FALSE)</f>
        <v>0</v>
      </c>
      <c r="AW424">
        <f>VLOOKUP(Table29[[#This Row],[Shortname]], Comp[], 28, FALSE)</f>
        <v>0</v>
      </c>
      <c r="AX424">
        <f>VLOOKUP(Table29[[#This Row],[Shortname]], Comp[], 29, FALSE)</f>
        <v>0</v>
      </c>
      <c r="AY424">
        <f>VLOOKUP(Table29[[#This Row],[Shortname]], Comp[], 30, FALSE)</f>
        <v>0</v>
      </c>
      <c r="AZ424">
        <f>VLOOKUP(Table29[[#This Row],[Shortname]], Comp[], 31, FALSE)</f>
        <v>0</v>
      </c>
    </row>
    <row r="425" spans="1:52" x14ac:dyDescent="0.3">
      <c r="A425" t="s">
        <v>1526</v>
      </c>
      <c r="C425">
        <v>195</v>
      </c>
      <c r="D425" t="s">
        <v>1527</v>
      </c>
      <c r="E425" t="s">
        <v>160</v>
      </c>
      <c r="F425" t="s">
        <v>1528</v>
      </c>
      <c r="G425" t="s">
        <v>5732</v>
      </c>
      <c r="H425">
        <v>450.22148980976698</v>
      </c>
      <c r="I425">
        <v>2.2183585713142101E-7</v>
      </c>
      <c r="J425">
        <f>0.01/Table29[[#This Row],[Strain Rate (min) /s]]</f>
        <v>45078.375197368361</v>
      </c>
      <c r="K425">
        <f>LOG(Table29[[#This Row],[Time to 1% strain (s)]])</f>
        <v>4.6539682539682561</v>
      </c>
      <c r="L425">
        <v>850</v>
      </c>
      <c r="P425" t="s">
        <v>7195</v>
      </c>
      <c r="Q425">
        <v>1250</v>
      </c>
      <c r="R425">
        <v>3</v>
      </c>
      <c r="S425">
        <v>900</v>
      </c>
      <c r="T425">
        <v>4</v>
      </c>
      <c r="U425">
        <v>750</v>
      </c>
      <c r="V425">
        <v>16</v>
      </c>
      <c r="W425">
        <v>1</v>
      </c>
      <c r="X425">
        <v>10</v>
      </c>
      <c r="Y425">
        <v>61.8</v>
      </c>
      <c r="AA425">
        <f>VLOOKUP(Table29[[#This Row],[Shortname]], Comp[], 6, FALSE)</f>
        <v>195</v>
      </c>
      <c r="AB425" s="14">
        <f>VLOOKUP(Table29[[#This Row],[Shortname]], Comp[], 7, FALSE)</f>
        <v>42.330000000000005</v>
      </c>
      <c r="AC425">
        <f>VLOOKUP(Table29[[#This Row],[Shortname]], Comp[], 8, FALSE)</f>
        <v>32</v>
      </c>
      <c r="AD425">
        <f>VLOOKUP(Table29[[#This Row],[Shortname]], Comp[], 9, FALSE)</f>
        <v>6</v>
      </c>
      <c r="AE425">
        <f>VLOOKUP(Table29[[#This Row],[Shortname]], Comp[], 10, FALSE)</f>
        <v>12</v>
      </c>
      <c r="AF425">
        <f>VLOOKUP(Table29[[#This Row],[Shortname]], Comp[], 11, FALSE)</f>
        <v>3</v>
      </c>
      <c r="AG425">
        <f>VLOOKUP(Table29[[#This Row],[Shortname]], Comp[],12, FALSE)</f>
        <v>2.5</v>
      </c>
      <c r="AH425">
        <f>VLOOKUP(Table29[[#This Row],[Shortname]], Comp[], 13, FALSE)</f>
        <v>1.5</v>
      </c>
      <c r="AI425">
        <f>VLOOKUP(Table29[[#This Row],[Shortname]], Comp[], 14, FALSE)</f>
        <v>0</v>
      </c>
      <c r="AJ425">
        <f>VLOOKUP(Table29[[#This Row],[Shortname]], Comp[], 15, FALSE)</f>
        <v>0</v>
      </c>
      <c r="AK425">
        <f>VLOOKUP(Table29[[#This Row],[Shortname]], Comp[], 16, FALSE)</f>
        <v>0</v>
      </c>
      <c r="AL425">
        <f>VLOOKUP(Table29[[#This Row],[Shortname]], Comp[], 17, FALSE)</f>
        <v>0.08</v>
      </c>
      <c r="AM425">
        <f>VLOOKUP(Table29[[#This Row],[Shortname]], Comp[], 18, FALSE)</f>
        <v>0.01</v>
      </c>
      <c r="AN425">
        <f>VLOOKUP(Table29[[#This Row],[Shortname]], Comp[], 19, FALSE)</f>
        <v>0.08</v>
      </c>
      <c r="AO425">
        <f>VLOOKUP(Table29[[#This Row],[Shortname]], Comp[], 20, FALSE)</f>
        <v>0</v>
      </c>
      <c r="AP425">
        <f>VLOOKUP(Table29[[#This Row],[Shortname]], Comp[], 21, FALSE)</f>
        <v>0</v>
      </c>
      <c r="AQ425">
        <f>VLOOKUP(Table29[[#This Row],[Shortname]], Comp[], 22, FALSE)</f>
        <v>0.4</v>
      </c>
      <c r="AR425">
        <f>VLOOKUP(Table29[[#This Row],[Shortname]], Comp[], 23, FALSE)</f>
        <v>0</v>
      </c>
      <c r="AS425">
        <f>VLOOKUP(Table29[[#This Row],[Shortname]], Comp[], 24, FALSE)</f>
        <v>0</v>
      </c>
      <c r="AT425">
        <f>VLOOKUP(Table29[[#This Row],[Shortname]], Comp[], 25, FALSE)</f>
        <v>0.1</v>
      </c>
      <c r="AU425">
        <f>VLOOKUP(Table29[[#This Row],[Shortname]], Comp[], 26, FALSE)</f>
        <v>0</v>
      </c>
      <c r="AV425">
        <f>VLOOKUP(Table29[[#This Row],[Shortname]], Comp[], 27, FALSE)</f>
        <v>0</v>
      </c>
      <c r="AW425">
        <f>VLOOKUP(Table29[[#This Row],[Shortname]], Comp[], 28, FALSE)</f>
        <v>0</v>
      </c>
      <c r="AX425">
        <f>VLOOKUP(Table29[[#This Row],[Shortname]], Comp[], 29, FALSE)</f>
        <v>0</v>
      </c>
      <c r="AY425">
        <f>VLOOKUP(Table29[[#This Row],[Shortname]], Comp[], 30, FALSE)</f>
        <v>0</v>
      </c>
      <c r="AZ425">
        <f>VLOOKUP(Table29[[#This Row],[Shortname]], Comp[], 31, FALSE)</f>
        <v>0</v>
      </c>
    </row>
    <row r="426" spans="1:52" x14ac:dyDescent="0.3">
      <c r="A426" t="s">
        <v>1526</v>
      </c>
      <c r="C426">
        <v>195</v>
      </c>
      <c r="D426" t="s">
        <v>11</v>
      </c>
      <c r="E426" t="s">
        <v>160</v>
      </c>
      <c r="F426" t="s">
        <v>1528</v>
      </c>
      <c r="G426" t="s">
        <v>5732</v>
      </c>
      <c r="H426">
        <v>663.52863628698901</v>
      </c>
      <c r="I426">
        <v>4.52110919703617E-6</v>
      </c>
      <c r="J426">
        <f>0.01/Table29[[#This Row],[Strain Rate (min) /s]]</f>
        <v>2211.8465987407553</v>
      </c>
      <c r="K426">
        <f>LOG(Table29[[#This Row],[Time to 1% strain (s)]])</f>
        <v>3.3447550034506563</v>
      </c>
      <c r="L426">
        <v>850</v>
      </c>
      <c r="P426" t="s">
        <v>7195</v>
      </c>
      <c r="Q426">
        <v>1250</v>
      </c>
      <c r="R426">
        <v>3</v>
      </c>
      <c r="S426">
        <v>900</v>
      </c>
      <c r="T426">
        <v>4</v>
      </c>
      <c r="U426">
        <v>750</v>
      </c>
      <c r="V426">
        <v>16</v>
      </c>
      <c r="W426">
        <v>1</v>
      </c>
      <c r="X426">
        <v>10</v>
      </c>
      <c r="Y426">
        <v>61.8</v>
      </c>
      <c r="AA426">
        <f>VLOOKUP(Table29[[#This Row],[Shortname]], Comp[], 6, FALSE)</f>
        <v>195</v>
      </c>
      <c r="AB426" s="14">
        <f>VLOOKUP(Table29[[#This Row],[Shortname]], Comp[], 7, FALSE)</f>
        <v>42.330000000000005</v>
      </c>
      <c r="AC426">
        <f>VLOOKUP(Table29[[#This Row],[Shortname]], Comp[], 8, FALSE)</f>
        <v>32</v>
      </c>
      <c r="AD426">
        <f>VLOOKUP(Table29[[#This Row],[Shortname]], Comp[], 9, FALSE)</f>
        <v>6</v>
      </c>
      <c r="AE426">
        <f>VLOOKUP(Table29[[#This Row],[Shortname]], Comp[], 10, FALSE)</f>
        <v>12</v>
      </c>
      <c r="AF426">
        <f>VLOOKUP(Table29[[#This Row],[Shortname]], Comp[], 11, FALSE)</f>
        <v>3</v>
      </c>
      <c r="AG426">
        <f>VLOOKUP(Table29[[#This Row],[Shortname]], Comp[],12, FALSE)</f>
        <v>2.5</v>
      </c>
      <c r="AH426">
        <f>VLOOKUP(Table29[[#This Row],[Shortname]], Comp[], 13, FALSE)</f>
        <v>1.5</v>
      </c>
      <c r="AI426">
        <f>VLOOKUP(Table29[[#This Row],[Shortname]], Comp[], 14, FALSE)</f>
        <v>0</v>
      </c>
      <c r="AJ426">
        <f>VLOOKUP(Table29[[#This Row],[Shortname]], Comp[], 15, FALSE)</f>
        <v>0</v>
      </c>
      <c r="AK426">
        <f>VLOOKUP(Table29[[#This Row],[Shortname]], Comp[], 16, FALSE)</f>
        <v>0</v>
      </c>
      <c r="AL426">
        <f>VLOOKUP(Table29[[#This Row],[Shortname]], Comp[], 17, FALSE)</f>
        <v>0.08</v>
      </c>
      <c r="AM426">
        <f>VLOOKUP(Table29[[#This Row],[Shortname]], Comp[], 18, FALSE)</f>
        <v>0.01</v>
      </c>
      <c r="AN426">
        <f>VLOOKUP(Table29[[#This Row],[Shortname]], Comp[], 19, FALSE)</f>
        <v>0.08</v>
      </c>
      <c r="AO426">
        <f>VLOOKUP(Table29[[#This Row],[Shortname]], Comp[], 20, FALSE)</f>
        <v>0</v>
      </c>
      <c r="AP426">
        <f>VLOOKUP(Table29[[#This Row],[Shortname]], Comp[], 21, FALSE)</f>
        <v>0</v>
      </c>
      <c r="AQ426">
        <f>VLOOKUP(Table29[[#This Row],[Shortname]], Comp[], 22, FALSE)</f>
        <v>0.4</v>
      </c>
      <c r="AR426">
        <f>VLOOKUP(Table29[[#This Row],[Shortname]], Comp[], 23, FALSE)</f>
        <v>0</v>
      </c>
      <c r="AS426">
        <f>VLOOKUP(Table29[[#This Row],[Shortname]], Comp[], 24, FALSE)</f>
        <v>0</v>
      </c>
      <c r="AT426">
        <f>VLOOKUP(Table29[[#This Row],[Shortname]], Comp[], 25, FALSE)</f>
        <v>0.1</v>
      </c>
      <c r="AU426">
        <f>VLOOKUP(Table29[[#This Row],[Shortname]], Comp[], 26, FALSE)</f>
        <v>0</v>
      </c>
      <c r="AV426">
        <f>VLOOKUP(Table29[[#This Row],[Shortname]], Comp[], 27, FALSE)</f>
        <v>0</v>
      </c>
      <c r="AW426">
        <f>VLOOKUP(Table29[[#This Row],[Shortname]], Comp[], 28, FALSE)</f>
        <v>0</v>
      </c>
      <c r="AX426">
        <f>VLOOKUP(Table29[[#This Row],[Shortname]], Comp[], 29, FALSE)</f>
        <v>0</v>
      </c>
      <c r="AY426">
        <f>VLOOKUP(Table29[[#This Row],[Shortname]], Comp[], 30, FALSE)</f>
        <v>0</v>
      </c>
      <c r="AZ426">
        <f>VLOOKUP(Table29[[#This Row],[Shortname]], Comp[], 31, FALSE)</f>
        <v>0</v>
      </c>
    </row>
    <row r="427" spans="1:52" x14ac:dyDescent="0.3">
      <c r="A427" t="s">
        <v>1526</v>
      </c>
      <c r="C427">
        <v>195</v>
      </c>
      <c r="D427" t="s">
        <v>11</v>
      </c>
      <c r="E427" t="s">
        <v>160</v>
      </c>
      <c r="F427" t="s">
        <v>1528</v>
      </c>
      <c r="G427" t="s">
        <v>5732</v>
      </c>
      <c r="H427">
        <v>793.42576008362596</v>
      </c>
      <c r="I427">
        <v>4.4544313539969899E-5</v>
      </c>
      <c r="J427">
        <f>0.01/Table29[[#This Row],[Strain Rate (min) /s]]</f>
        <v>224.49554623907125</v>
      </c>
      <c r="K427">
        <f>LOG(Table29[[#This Row],[Time to 1% strain (s)]])</f>
        <v>2.3512077294685998</v>
      </c>
      <c r="L427">
        <v>850</v>
      </c>
      <c r="P427" t="s">
        <v>7195</v>
      </c>
      <c r="Q427">
        <v>1250</v>
      </c>
      <c r="R427">
        <v>3</v>
      </c>
      <c r="S427">
        <v>900</v>
      </c>
      <c r="T427">
        <v>4</v>
      </c>
      <c r="U427">
        <v>750</v>
      </c>
      <c r="V427">
        <v>16</v>
      </c>
      <c r="W427">
        <v>1</v>
      </c>
      <c r="X427">
        <v>10</v>
      </c>
      <c r="Y427">
        <v>61.8</v>
      </c>
      <c r="AA427">
        <f>VLOOKUP(Table29[[#This Row],[Shortname]], Comp[], 6, FALSE)</f>
        <v>195</v>
      </c>
      <c r="AB427" s="14">
        <f>VLOOKUP(Table29[[#This Row],[Shortname]], Comp[], 7, FALSE)</f>
        <v>42.330000000000005</v>
      </c>
      <c r="AC427">
        <f>VLOOKUP(Table29[[#This Row],[Shortname]], Comp[], 8, FALSE)</f>
        <v>32</v>
      </c>
      <c r="AD427">
        <f>VLOOKUP(Table29[[#This Row],[Shortname]], Comp[], 9, FALSE)</f>
        <v>6</v>
      </c>
      <c r="AE427">
        <f>VLOOKUP(Table29[[#This Row],[Shortname]], Comp[], 10, FALSE)</f>
        <v>12</v>
      </c>
      <c r="AF427">
        <f>VLOOKUP(Table29[[#This Row],[Shortname]], Comp[], 11, FALSE)</f>
        <v>3</v>
      </c>
      <c r="AG427">
        <f>VLOOKUP(Table29[[#This Row],[Shortname]], Comp[],12, FALSE)</f>
        <v>2.5</v>
      </c>
      <c r="AH427">
        <f>VLOOKUP(Table29[[#This Row],[Shortname]], Comp[], 13, FALSE)</f>
        <v>1.5</v>
      </c>
      <c r="AI427">
        <f>VLOOKUP(Table29[[#This Row],[Shortname]], Comp[], 14, FALSE)</f>
        <v>0</v>
      </c>
      <c r="AJ427">
        <f>VLOOKUP(Table29[[#This Row],[Shortname]], Comp[], 15, FALSE)</f>
        <v>0</v>
      </c>
      <c r="AK427">
        <f>VLOOKUP(Table29[[#This Row],[Shortname]], Comp[], 16, FALSE)</f>
        <v>0</v>
      </c>
      <c r="AL427">
        <f>VLOOKUP(Table29[[#This Row],[Shortname]], Comp[], 17, FALSE)</f>
        <v>0.08</v>
      </c>
      <c r="AM427">
        <f>VLOOKUP(Table29[[#This Row],[Shortname]], Comp[], 18, FALSE)</f>
        <v>0.01</v>
      </c>
      <c r="AN427">
        <f>VLOOKUP(Table29[[#This Row],[Shortname]], Comp[], 19, FALSE)</f>
        <v>0.08</v>
      </c>
      <c r="AO427">
        <f>VLOOKUP(Table29[[#This Row],[Shortname]], Comp[], 20, FALSE)</f>
        <v>0</v>
      </c>
      <c r="AP427">
        <f>VLOOKUP(Table29[[#This Row],[Shortname]], Comp[], 21, FALSE)</f>
        <v>0</v>
      </c>
      <c r="AQ427">
        <f>VLOOKUP(Table29[[#This Row],[Shortname]], Comp[], 22, FALSE)</f>
        <v>0.4</v>
      </c>
      <c r="AR427">
        <f>VLOOKUP(Table29[[#This Row],[Shortname]], Comp[], 23, FALSE)</f>
        <v>0</v>
      </c>
      <c r="AS427">
        <f>VLOOKUP(Table29[[#This Row],[Shortname]], Comp[], 24, FALSE)</f>
        <v>0</v>
      </c>
      <c r="AT427">
        <f>VLOOKUP(Table29[[#This Row],[Shortname]], Comp[], 25, FALSE)</f>
        <v>0.1</v>
      </c>
      <c r="AU427">
        <f>VLOOKUP(Table29[[#This Row],[Shortname]], Comp[], 26, FALSE)</f>
        <v>0</v>
      </c>
      <c r="AV427">
        <f>VLOOKUP(Table29[[#This Row],[Shortname]], Comp[], 27, FALSE)</f>
        <v>0</v>
      </c>
      <c r="AW427">
        <f>VLOOKUP(Table29[[#This Row],[Shortname]], Comp[], 28, FALSE)</f>
        <v>0</v>
      </c>
      <c r="AX427">
        <f>VLOOKUP(Table29[[#This Row],[Shortname]], Comp[], 29, FALSE)</f>
        <v>0</v>
      </c>
      <c r="AY427">
        <f>VLOOKUP(Table29[[#This Row],[Shortname]], Comp[], 30, FALSE)</f>
        <v>0</v>
      </c>
      <c r="AZ427">
        <f>VLOOKUP(Table29[[#This Row],[Shortname]], Comp[], 31, FALSE)</f>
        <v>0</v>
      </c>
    </row>
    <row r="428" spans="1:52" x14ac:dyDescent="0.3">
      <c r="A428" t="s">
        <v>1526</v>
      </c>
      <c r="C428">
        <v>195</v>
      </c>
      <c r="D428" t="s">
        <v>11</v>
      </c>
      <c r="E428" t="s">
        <v>160</v>
      </c>
      <c r="F428" t="s">
        <v>1528</v>
      </c>
      <c r="G428" t="s">
        <v>5732</v>
      </c>
      <c r="H428">
        <v>923.01187332390202</v>
      </c>
      <c r="I428">
        <v>3.6621287550308901E-4</v>
      </c>
      <c r="J428">
        <f>0.01/Table29[[#This Row],[Strain Rate (min) /s]]</f>
        <v>27.306522159447258</v>
      </c>
      <c r="K428">
        <f>LOG(Table29[[#This Row],[Time to 1% strain (s)]])</f>
        <v>1.4362663906142155</v>
      </c>
      <c r="L428">
        <v>850</v>
      </c>
      <c r="P428" t="s">
        <v>7195</v>
      </c>
      <c r="Q428">
        <v>1250</v>
      </c>
      <c r="R428">
        <v>3</v>
      </c>
      <c r="S428">
        <v>900</v>
      </c>
      <c r="T428">
        <v>4</v>
      </c>
      <c r="U428">
        <v>750</v>
      </c>
      <c r="V428">
        <v>16</v>
      </c>
      <c r="W428">
        <v>1</v>
      </c>
      <c r="X428">
        <v>10</v>
      </c>
      <c r="Y428">
        <v>61.8</v>
      </c>
      <c r="AA428">
        <f>VLOOKUP(Table29[[#This Row],[Shortname]], Comp[], 6, FALSE)</f>
        <v>195</v>
      </c>
      <c r="AB428" s="14">
        <f>VLOOKUP(Table29[[#This Row],[Shortname]], Comp[], 7, FALSE)</f>
        <v>42.330000000000005</v>
      </c>
      <c r="AC428">
        <f>VLOOKUP(Table29[[#This Row],[Shortname]], Comp[], 8, FALSE)</f>
        <v>32</v>
      </c>
      <c r="AD428">
        <f>VLOOKUP(Table29[[#This Row],[Shortname]], Comp[], 9, FALSE)</f>
        <v>6</v>
      </c>
      <c r="AE428">
        <f>VLOOKUP(Table29[[#This Row],[Shortname]], Comp[], 10, FALSE)</f>
        <v>12</v>
      </c>
      <c r="AF428">
        <f>VLOOKUP(Table29[[#This Row],[Shortname]], Comp[], 11, FALSE)</f>
        <v>3</v>
      </c>
      <c r="AG428">
        <f>VLOOKUP(Table29[[#This Row],[Shortname]], Comp[],12, FALSE)</f>
        <v>2.5</v>
      </c>
      <c r="AH428">
        <f>VLOOKUP(Table29[[#This Row],[Shortname]], Comp[], 13, FALSE)</f>
        <v>1.5</v>
      </c>
      <c r="AI428">
        <f>VLOOKUP(Table29[[#This Row],[Shortname]], Comp[], 14, FALSE)</f>
        <v>0</v>
      </c>
      <c r="AJ428">
        <f>VLOOKUP(Table29[[#This Row],[Shortname]], Comp[], 15, FALSE)</f>
        <v>0</v>
      </c>
      <c r="AK428">
        <f>VLOOKUP(Table29[[#This Row],[Shortname]], Comp[], 16, FALSE)</f>
        <v>0</v>
      </c>
      <c r="AL428">
        <f>VLOOKUP(Table29[[#This Row],[Shortname]], Comp[], 17, FALSE)</f>
        <v>0.08</v>
      </c>
      <c r="AM428">
        <f>VLOOKUP(Table29[[#This Row],[Shortname]], Comp[], 18, FALSE)</f>
        <v>0.01</v>
      </c>
      <c r="AN428">
        <f>VLOOKUP(Table29[[#This Row],[Shortname]], Comp[], 19, FALSE)</f>
        <v>0.08</v>
      </c>
      <c r="AO428">
        <f>VLOOKUP(Table29[[#This Row],[Shortname]], Comp[], 20, FALSE)</f>
        <v>0</v>
      </c>
      <c r="AP428">
        <f>VLOOKUP(Table29[[#This Row],[Shortname]], Comp[], 21, FALSE)</f>
        <v>0</v>
      </c>
      <c r="AQ428">
        <f>VLOOKUP(Table29[[#This Row],[Shortname]], Comp[], 22, FALSE)</f>
        <v>0.4</v>
      </c>
      <c r="AR428">
        <f>VLOOKUP(Table29[[#This Row],[Shortname]], Comp[], 23, FALSE)</f>
        <v>0</v>
      </c>
      <c r="AS428">
        <f>VLOOKUP(Table29[[#This Row],[Shortname]], Comp[], 24, FALSE)</f>
        <v>0</v>
      </c>
      <c r="AT428">
        <f>VLOOKUP(Table29[[#This Row],[Shortname]], Comp[], 25, FALSE)</f>
        <v>0.1</v>
      </c>
      <c r="AU428">
        <f>VLOOKUP(Table29[[#This Row],[Shortname]], Comp[], 26, FALSE)</f>
        <v>0</v>
      </c>
      <c r="AV428">
        <f>VLOOKUP(Table29[[#This Row],[Shortname]], Comp[], 27, FALSE)</f>
        <v>0</v>
      </c>
      <c r="AW428">
        <f>VLOOKUP(Table29[[#This Row],[Shortname]], Comp[], 28, FALSE)</f>
        <v>0</v>
      </c>
      <c r="AX428">
        <f>VLOOKUP(Table29[[#This Row],[Shortname]], Comp[], 29, FALSE)</f>
        <v>0</v>
      </c>
      <c r="AY428">
        <f>VLOOKUP(Table29[[#This Row],[Shortname]], Comp[], 30, FALSE)</f>
        <v>0</v>
      </c>
      <c r="AZ428">
        <f>VLOOKUP(Table29[[#This Row],[Shortname]], Comp[], 31, FALSE)</f>
        <v>0</v>
      </c>
    </row>
    <row r="429" spans="1:52" x14ac:dyDescent="0.3">
      <c r="A429" t="s">
        <v>1538</v>
      </c>
      <c r="C429">
        <v>196</v>
      </c>
      <c r="D429" t="s">
        <v>11</v>
      </c>
      <c r="E429" t="s">
        <v>160</v>
      </c>
      <c r="F429" t="s">
        <v>1540</v>
      </c>
      <c r="G429" t="s">
        <v>5732</v>
      </c>
      <c r="H429">
        <v>298.83830400330902</v>
      </c>
      <c r="I429">
        <v>9.4552469872861595E-7</v>
      </c>
      <c r="J429">
        <f>0.01/Table29[[#This Row],[Strain Rate (min) /s]]</f>
        <v>10576.138321342989</v>
      </c>
      <c r="K429">
        <f>LOG(Table29[[#This Row],[Time to 1% strain (s)]])</f>
        <v>4.0243271221532098</v>
      </c>
      <c r="L429">
        <v>850</v>
      </c>
      <c r="P429" t="s">
        <v>7196</v>
      </c>
      <c r="Q429">
        <v>1250</v>
      </c>
      <c r="R429">
        <v>3</v>
      </c>
      <c r="S429">
        <v>900</v>
      </c>
      <c r="T429">
        <v>4</v>
      </c>
      <c r="U429">
        <v>750</v>
      </c>
      <c r="V429">
        <v>16</v>
      </c>
      <c r="W429">
        <v>1</v>
      </c>
      <c r="X429">
        <v>10</v>
      </c>
      <c r="Y429">
        <v>61.8</v>
      </c>
      <c r="AA429">
        <f>VLOOKUP(Table29[[#This Row],[Shortname]], Comp[], 6, FALSE)</f>
        <v>196</v>
      </c>
      <c r="AB429" s="14">
        <f>VLOOKUP(Table29[[#This Row],[Shortname]], Comp[], 7, FALSE)</f>
        <v>41.03</v>
      </c>
      <c r="AC429">
        <f>VLOOKUP(Table29[[#This Row],[Shortname]], Comp[], 8, FALSE)</f>
        <v>31.8</v>
      </c>
      <c r="AD429">
        <f>VLOOKUP(Table29[[#This Row],[Shortname]], Comp[], 9, FALSE)</f>
        <v>8.6999999999999993</v>
      </c>
      <c r="AE429">
        <f>VLOOKUP(Table29[[#This Row],[Shortname]], Comp[], 10, FALSE)</f>
        <v>12.6</v>
      </c>
      <c r="AF429">
        <f>VLOOKUP(Table29[[#This Row],[Shortname]], Comp[], 11, FALSE)</f>
        <v>4.7</v>
      </c>
      <c r="AG429">
        <f>VLOOKUP(Table29[[#This Row],[Shortname]], Comp[],12, FALSE)</f>
        <v>0.3</v>
      </c>
      <c r="AH429">
        <f>VLOOKUP(Table29[[#This Row],[Shortname]], Comp[], 13, FALSE)</f>
        <v>0.2</v>
      </c>
      <c r="AI429">
        <f>VLOOKUP(Table29[[#This Row],[Shortname]], Comp[], 14, FALSE)</f>
        <v>0</v>
      </c>
      <c r="AJ429">
        <f>VLOOKUP(Table29[[#This Row],[Shortname]], Comp[], 15, FALSE)</f>
        <v>0</v>
      </c>
      <c r="AK429">
        <f>VLOOKUP(Table29[[#This Row],[Shortname]], Comp[], 16, FALSE)</f>
        <v>0</v>
      </c>
      <c r="AL429">
        <f>VLOOKUP(Table29[[#This Row],[Shortname]], Comp[], 17, FALSE)</f>
        <v>0.08</v>
      </c>
      <c r="AM429">
        <f>VLOOKUP(Table29[[#This Row],[Shortname]], Comp[], 18, FALSE)</f>
        <v>0.01</v>
      </c>
      <c r="AN429">
        <f>VLOOKUP(Table29[[#This Row],[Shortname]], Comp[], 19, FALSE)</f>
        <v>0.08</v>
      </c>
      <c r="AO429">
        <f>VLOOKUP(Table29[[#This Row],[Shortname]], Comp[], 20, FALSE)</f>
        <v>0</v>
      </c>
      <c r="AP429">
        <f>VLOOKUP(Table29[[#This Row],[Shortname]], Comp[], 21, FALSE)</f>
        <v>0</v>
      </c>
      <c r="AQ429">
        <f>VLOOKUP(Table29[[#This Row],[Shortname]], Comp[], 22, FALSE)</f>
        <v>0.4</v>
      </c>
      <c r="AR429">
        <f>VLOOKUP(Table29[[#This Row],[Shortname]], Comp[], 23, FALSE)</f>
        <v>0</v>
      </c>
      <c r="AS429">
        <f>VLOOKUP(Table29[[#This Row],[Shortname]], Comp[], 24, FALSE)</f>
        <v>0</v>
      </c>
      <c r="AT429">
        <f>VLOOKUP(Table29[[#This Row],[Shortname]], Comp[], 25, FALSE)</f>
        <v>0.1</v>
      </c>
      <c r="AU429">
        <f>VLOOKUP(Table29[[#This Row],[Shortname]], Comp[], 26, FALSE)</f>
        <v>0</v>
      </c>
      <c r="AV429">
        <f>VLOOKUP(Table29[[#This Row],[Shortname]], Comp[], 27, FALSE)</f>
        <v>0</v>
      </c>
      <c r="AW429">
        <f>VLOOKUP(Table29[[#This Row],[Shortname]], Comp[], 28, FALSE)</f>
        <v>0</v>
      </c>
      <c r="AX429">
        <f>VLOOKUP(Table29[[#This Row],[Shortname]], Comp[], 29, FALSE)</f>
        <v>0</v>
      </c>
      <c r="AY429">
        <f>VLOOKUP(Table29[[#This Row],[Shortname]], Comp[], 30, FALSE)</f>
        <v>0</v>
      </c>
      <c r="AZ429">
        <f>VLOOKUP(Table29[[#This Row],[Shortname]], Comp[], 31, FALSE)</f>
        <v>0</v>
      </c>
    </row>
    <row r="430" spans="1:52" x14ac:dyDescent="0.3">
      <c r="A430" t="s">
        <v>1538</v>
      </c>
      <c r="C430">
        <v>196</v>
      </c>
      <c r="D430" t="s">
        <v>11</v>
      </c>
      <c r="E430" t="s">
        <v>160</v>
      </c>
      <c r="F430" t="s">
        <v>1540</v>
      </c>
      <c r="G430" t="s">
        <v>5732</v>
      </c>
      <c r="H430">
        <v>456.45612399760398</v>
      </c>
      <c r="I430">
        <v>5.8022385898928898E-6</v>
      </c>
      <c r="J430">
        <f>0.01/Table29[[#This Row],[Strain Rate (min) /s]]</f>
        <v>1723.4727329929742</v>
      </c>
      <c r="K430">
        <f>LOG(Table29[[#This Row],[Time to 1% strain (s)]])</f>
        <v>3.2364044168392003</v>
      </c>
      <c r="L430">
        <v>850</v>
      </c>
      <c r="P430" t="s">
        <v>7196</v>
      </c>
      <c r="Q430">
        <v>1250</v>
      </c>
      <c r="R430">
        <v>3</v>
      </c>
      <c r="S430">
        <v>900</v>
      </c>
      <c r="T430">
        <v>4</v>
      </c>
      <c r="U430">
        <v>750</v>
      </c>
      <c r="V430">
        <v>16</v>
      </c>
      <c r="W430">
        <v>1</v>
      </c>
      <c r="X430">
        <v>10</v>
      </c>
      <c r="Y430">
        <v>61.8</v>
      </c>
      <c r="AA430">
        <f>VLOOKUP(Table29[[#This Row],[Shortname]], Comp[], 6, FALSE)</f>
        <v>196</v>
      </c>
      <c r="AB430" s="14">
        <f>VLOOKUP(Table29[[#This Row],[Shortname]], Comp[], 7, FALSE)</f>
        <v>41.03</v>
      </c>
      <c r="AC430">
        <f>VLOOKUP(Table29[[#This Row],[Shortname]], Comp[], 8, FALSE)</f>
        <v>31.8</v>
      </c>
      <c r="AD430">
        <f>VLOOKUP(Table29[[#This Row],[Shortname]], Comp[], 9, FALSE)</f>
        <v>8.6999999999999993</v>
      </c>
      <c r="AE430">
        <f>VLOOKUP(Table29[[#This Row],[Shortname]], Comp[], 10, FALSE)</f>
        <v>12.6</v>
      </c>
      <c r="AF430">
        <f>VLOOKUP(Table29[[#This Row],[Shortname]], Comp[], 11, FALSE)</f>
        <v>4.7</v>
      </c>
      <c r="AG430">
        <f>VLOOKUP(Table29[[#This Row],[Shortname]], Comp[],12, FALSE)</f>
        <v>0.3</v>
      </c>
      <c r="AH430">
        <f>VLOOKUP(Table29[[#This Row],[Shortname]], Comp[], 13, FALSE)</f>
        <v>0.2</v>
      </c>
      <c r="AI430">
        <f>VLOOKUP(Table29[[#This Row],[Shortname]], Comp[], 14, FALSE)</f>
        <v>0</v>
      </c>
      <c r="AJ430">
        <f>VLOOKUP(Table29[[#This Row],[Shortname]], Comp[], 15, FALSE)</f>
        <v>0</v>
      </c>
      <c r="AK430">
        <f>VLOOKUP(Table29[[#This Row],[Shortname]], Comp[], 16, FALSE)</f>
        <v>0</v>
      </c>
      <c r="AL430">
        <f>VLOOKUP(Table29[[#This Row],[Shortname]], Comp[], 17, FALSE)</f>
        <v>0.08</v>
      </c>
      <c r="AM430">
        <f>VLOOKUP(Table29[[#This Row],[Shortname]], Comp[], 18, FALSE)</f>
        <v>0.01</v>
      </c>
      <c r="AN430">
        <f>VLOOKUP(Table29[[#This Row],[Shortname]], Comp[], 19, FALSE)</f>
        <v>0.08</v>
      </c>
      <c r="AO430">
        <f>VLOOKUP(Table29[[#This Row],[Shortname]], Comp[], 20, FALSE)</f>
        <v>0</v>
      </c>
      <c r="AP430">
        <f>VLOOKUP(Table29[[#This Row],[Shortname]], Comp[], 21, FALSE)</f>
        <v>0</v>
      </c>
      <c r="AQ430">
        <f>VLOOKUP(Table29[[#This Row],[Shortname]], Comp[], 22, FALSE)</f>
        <v>0.4</v>
      </c>
      <c r="AR430">
        <f>VLOOKUP(Table29[[#This Row],[Shortname]], Comp[], 23, FALSE)</f>
        <v>0</v>
      </c>
      <c r="AS430">
        <f>VLOOKUP(Table29[[#This Row],[Shortname]], Comp[], 24, FALSE)</f>
        <v>0</v>
      </c>
      <c r="AT430">
        <f>VLOOKUP(Table29[[#This Row],[Shortname]], Comp[], 25, FALSE)</f>
        <v>0.1</v>
      </c>
      <c r="AU430">
        <f>VLOOKUP(Table29[[#This Row],[Shortname]], Comp[], 26, FALSE)</f>
        <v>0</v>
      </c>
      <c r="AV430">
        <f>VLOOKUP(Table29[[#This Row],[Shortname]], Comp[], 27, FALSE)</f>
        <v>0</v>
      </c>
      <c r="AW430">
        <f>VLOOKUP(Table29[[#This Row],[Shortname]], Comp[], 28, FALSE)</f>
        <v>0</v>
      </c>
      <c r="AX430">
        <f>VLOOKUP(Table29[[#This Row],[Shortname]], Comp[], 29, FALSE)</f>
        <v>0</v>
      </c>
      <c r="AY430">
        <f>VLOOKUP(Table29[[#This Row],[Shortname]], Comp[], 30, FALSE)</f>
        <v>0</v>
      </c>
      <c r="AZ430">
        <f>VLOOKUP(Table29[[#This Row],[Shortname]], Comp[], 31, FALSE)</f>
        <v>0</v>
      </c>
    </row>
    <row r="431" spans="1:52" x14ac:dyDescent="0.3">
      <c r="A431" t="s">
        <v>1538</v>
      </c>
      <c r="C431">
        <v>196</v>
      </c>
      <c r="D431" t="s">
        <v>11</v>
      </c>
      <c r="E431" t="s">
        <v>160</v>
      </c>
      <c r="F431" t="s">
        <v>1540</v>
      </c>
      <c r="G431" t="s">
        <v>5732</v>
      </c>
      <c r="H431">
        <v>626.28763552000396</v>
      </c>
      <c r="I431">
        <v>4.9888290192218197E-5</v>
      </c>
      <c r="J431">
        <f>0.01/Table29[[#This Row],[Strain Rate (min) /s]]</f>
        <v>200.44783979307124</v>
      </c>
      <c r="K431">
        <f>LOG(Table29[[#This Row],[Time to 1% strain (s)]])</f>
        <v>2.3020013802622494</v>
      </c>
      <c r="L431">
        <v>850</v>
      </c>
      <c r="P431" t="s">
        <v>7196</v>
      </c>
      <c r="Q431">
        <v>1250</v>
      </c>
      <c r="R431">
        <v>3</v>
      </c>
      <c r="S431">
        <v>900</v>
      </c>
      <c r="T431">
        <v>4</v>
      </c>
      <c r="U431">
        <v>750</v>
      </c>
      <c r="V431">
        <v>16</v>
      </c>
      <c r="W431">
        <v>1</v>
      </c>
      <c r="X431">
        <v>10</v>
      </c>
      <c r="Y431">
        <v>61.8</v>
      </c>
      <c r="AA431">
        <f>VLOOKUP(Table29[[#This Row],[Shortname]], Comp[], 6, FALSE)</f>
        <v>196</v>
      </c>
      <c r="AB431" s="14">
        <f>VLOOKUP(Table29[[#This Row],[Shortname]], Comp[], 7, FALSE)</f>
        <v>41.03</v>
      </c>
      <c r="AC431">
        <f>VLOOKUP(Table29[[#This Row],[Shortname]], Comp[], 8, FALSE)</f>
        <v>31.8</v>
      </c>
      <c r="AD431">
        <f>VLOOKUP(Table29[[#This Row],[Shortname]], Comp[], 9, FALSE)</f>
        <v>8.6999999999999993</v>
      </c>
      <c r="AE431">
        <f>VLOOKUP(Table29[[#This Row],[Shortname]], Comp[], 10, FALSE)</f>
        <v>12.6</v>
      </c>
      <c r="AF431">
        <f>VLOOKUP(Table29[[#This Row],[Shortname]], Comp[], 11, FALSE)</f>
        <v>4.7</v>
      </c>
      <c r="AG431">
        <f>VLOOKUP(Table29[[#This Row],[Shortname]], Comp[],12, FALSE)</f>
        <v>0.3</v>
      </c>
      <c r="AH431">
        <f>VLOOKUP(Table29[[#This Row],[Shortname]], Comp[], 13, FALSE)</f>
        <v>0.2</v>
      </c>
      <c r="AI431">
        <f>VLOOKUP(Table29[[#This Row],[Shortname]], Comp[], 14, FALSE)</f>
        <v>0</v>
      </c>
      <c r="AJ431">
        <f>VLOOKUP(Table29[[#This Row],[Shortname]], Comp[], 15, FALSE)</f>
        <v>0</v>
      </c>
      <c r="AK431">
        <f>VLOOKUP(Table29[[#This Row],[Shortname]], Comp[], 16, FALSE)</f>
        <v>0</v>
      </c>
      <c r="AL431">
        <f>VLOOKUP(Table29[[#This Row],[Shortname]], Comp[], 17, FALSE)</f>
        <v>0.08</v>
      </c>
      <c r="AM431">
        <f>VLOOKUP(Table29[[#This Row],[Shortname]], Comp[], 18, FALSE)</f>
        <v>0.01</v>
      </c>
      <c r="AN431">
        <f>VLOOKUP(Table29[[#This Row],[Shortname]], Comp[], 19, FALSE)</f>
        <v>0.08</v>
      </c>
      <c r="AO431">
        <f>VLOOKUP(Table29[[#This Row],[Shortname]], Comp[], 20, FALSE)</f>
        <v>0</v>
      </c>
      <c r="AP431">
        <f>VLOOKUP(Table29[[#This Row],[Shortname]], Comp[], 21, FALSE)</f>
        <v>0</v>
      </c>
      <c r="AQ431">
        <f>VLOOKUP(Table29[[#This Row],[Shortname]], Comp[], 22, FALSE)</f>
        <v>0.4</v>
      </c>
      <c r="AR431">
        <f>VLOOKUP(Table29[[#This Row],[Shortname]], Comp[], 23, FALSE)</f>
        <v>0</v>
      </c>
      <c r="AS431">
        <f>VLOOKUP(Table29[[#This Row],[Shortname]], Comp[], 24, FALSE)</f>
        <v>0</v>
      </c>
      <c r="AT431">
        <f>VLOOKUP(Table29[[#This Row],[Shortname]], Comp[], 25, FALSE)</f>
        <v>0.1</v>
      </c>
      <c r="AU431">
        <f>VLOOKUP(Table29[[#This Row],[Shortname]], Comp[], 26, FALSE)</f>
        <v>0</v>
      </c>
      <c r="AV431">
        <f>VLOOKUP(Table29[[#This Row],[Shortname]], Comp[], 27, FALSE)</f>
        <v>0</v>
      </c>
      <c r="AW431">
        <f>VLOOKUP(Table29[[#This Row],[Shortname]], Comp[], 28, FALSE)</f>
        <v>0</v>
      </c>
      <c r="AX431">
        <f>VLOOKUP(Table29[[#This Row],[Shortname]], Comp[], 29, FALSE)</f>
        <v>0</v>
      </c>
      <c r="AY431">
        <f>VLOOKUP(Table29[[#This Row],[Shortname]], Comp[], 30, FALSE)</f>
        <v>0</v>
      </c>
      <c r="AZ431">
        <f>VLOOKUP(Table29[[#This Row],[Shortname]], Comp[], 31, FALSE)</f>
        <v>0</v>
      </c>
    </row>
    <row r="432" spans="1:52" x14ac:dyDescent="0.3">
      <c r="A432" t="s">
        <v>1538</v>
      </c>
      <c r="C432">
        <v>196</v>
      </c>
      <c r="D432" t="s">
        <v>11</v>
      </c>
      <c r="E432" t="s">
        <v>160</v>
      </c>
      <c r="F432" t="s">
        <v>1540</v>
      </c>
      <c r="G432" t="s">
        <v>5732</v>
      </c>
      <c r="H432">
        <v>793.42576008362596</v>
      </c>
      <c r="I432">
        <v>3.95019338585254E-4</v>
      </c>
      <c r="J432">
        <f>0.01/Table29[[#This Row],[Strain Rate (min) /s]]</f>
        <v>25.31521630261091</v>
      </c>
      <c r="K432">
        <f>LOG(Table29[[#This Row],[Time to 1% strain (s)]])</f>
        <v>1.4033816425120762</v>
      </c>
      <c r="L432">
        <v>850</v>
      </c>
      <c r="P432" t="s">
        <v>7196</v>
      </c>
      <c r="Q432">
        <v>1250</v>
      </c>
      <c r="R432">
        <v>3</v>
      </c>
      <c r="S432">
        <v>900</v>
      </c>
      <c r="T432">
        <v>4</v>
      </c>
      <c r="U432">
        <v>750</v>
      </c>
      <c r="V432">
        <v>16</v>
      </c>
      <c r="W432">
        <v>1</v>
      </c>
      <c r="X432">
        <v>10</v>
      </c>
      <c r="Y432">
        <v>61.8</v>
      </c>
      <c r="AA432">
        <f>VLOOKUP(Table29[[#This Row],[Shortname]], Comp[], 6, FALSE)</f>
        <v>196</v>
      </c>
      <c r="AB432" s="14">
        <f>VLOOKUP(Table29[[#This Row],[Shortname]], Comp[], 7, FALSE)</f>
        <v>41.03</v>
      </c>
      <c r="AC432">
        <f>VLOOKUP(Table29[[#This Row],[Shortname]], Comp[], 8, FALSE)</f>
        <v>31.8</v>
      </c>
      <c r="AD432">
        <f>VLOOKUP(Table29[[#This Row],[Shortname]], Comp[], 9, FALSE)</f>
        <v>8.6999999999999993</v>
      </c>
      <c r="AE432">
        <f>VLOOKUP(Table29[[#This Row],[Shortname]], Comp[], 10, FALSE)</f>
        <v>12.6</v>
      </c>
      <c r="AF432">
        <f>VLOOKUP(Table29[[#This Row],[Shortname]], Comp[], 11, FALSE)</f>
        <v>4.7</v>
      </c>
      <c r="AG432">
        <f>VLOOKUP(Table29[[#This Row],[Shortname]], Comp[],12, FALSE)</f>
        <v>0.3</v>
      </c>
      <c r="AH432">
        <f>VLOOKUP(Table29[[#This Row],[Shortname]], Comp[], 13, FALSE)</f>
        <v>0.2</v>
      </c>
      <c r="AI432">
        <f>VLOOKUP(Table29[[#This Row],[Shortname]], Comp[], 14, FALSE)</f>
        <v>0</v>
      </c>
      <c r="AJ432">
        <f>VLOOKUP(Table29[[#This Row],[Shortname]], Comp[], 15, FALSE)</f>
        <v>0</v>
      </c>
      <c r="AK432">
        <f>VLOOKUP(Table29[[#This Row],[Shortname]], Comp[], 16, FALSE)</f>
        <v>0</v>
      </c>
      <c r="AL432">
        <f>VLOOKUP(Table29[[#This Row],[Shortname]], Comp[], 17, FALSE)</f>
        <v>0.08</v>
      </c>
      <c r="AM432">
        <f>VLOOKUP(Table29[[#This Row],[Shortname]], Comp[], 18, FALSE)</f>
        <v>0.01</v>
      </c>
      <c r="AN432">
        <f>VLOOKUP(Table29[[#This Row],[Shortname]], Comp[], 19, FALSE)</f>
        <v>0.08</v>
      </c>
      <c r="AO432">
        <f>VLOOKUP(Table29[[#This Row],[Shortname]], Comp[], 20, FALSE)</f>
        <v>0</v>
      </c>
      <c r="AP432">
        <f>VLOOKUP(Table29[[#This Row],[Shortname]], Comp[], 21, FALSE)</f>
        <v>0</v>
      </c>
      <c r="AQ432">
        <f>VLOOKUP(Table29[[#This Row],[Shortname]], Comp[], 22, FALSE)</f>
        <v>0.4</v>
      </c>
      <c r="AR432">
        <f>VLOOKUP(Table29[[#This Row],[Shortname]], Comp[], 23, FALSE)</f>
        <v>0</v>
      </c>
      <c r="AS432">
        <f>VLOOKUP(Table29[[#This Row],[Shortname]], Comp[], 24, FALSE)</f>
        <v>0</v>
      </c>
      <c r="AT432">
        <f>VLOOKUP(Table29[[#This Row],[Shortname]], Comp[], 25, FALSE)</f>
        <v>0.1</v>
      </c>
      <c r="AU432">
        <f>VLOOKUP(Table29[[#This Row],[Shortname]], Comp[], 26, FALSE)</f>
        <v>0</v>
      </c>
      <c r="AV432">
        <f>VLOOKUP(Table29[[#This Row],[Shortname]], Comp[], 27, FALSE)</f>
        <v>0</v>
      </c>
      <c r="AW432">
        <f>VLOOKUP(Table29[[#This Row],[Shortname]], Comp[], 28, FALSE)</f>
        <v>0</v>
      </c>
      <c r="AX432">
        <f>VLOOKUP(Table29[[#This Row],[Shortname]], Comp[], 29, FALSE)</f>
        <v>0</v>
      </c>
      <c r="AY432">
        <f>VLOOKUP(Table29[[#This Row],[Shortname]], Comp[], 30, FALSE)</f>
        <v>0</v>
      </c>
      <c r="AZ432">
        <f>VLOOKUP(Table29[[#This Row],[Shortname]], Comp[], 31, FALSE)</f>
        <v>0</v>
      </c>
    </row>
    <row r="433" spans="1:52" x14ac:dyDescent="0.3">
      <c r="A433" t="s">
        <v>5735</v>
      </c>
      <c r="C433" t="e">
        <v>#N/A</v>
      </c>
      <c r="D433" t="e">
        <v>#N/A</v>
      </c>
      <c r="E433" t="e">
        <v>#N/A</v>
      </c>
      <c r="F433" t="s">
        <v>5736</v>
      </c>
      <c r="G433" t="s">
        <v>5732</v>
      </c>
      <c r="H433">
        <v>349.56374307581001</v>
      </c>
      <c r="I433">
        <v>4.6195138474927001E-8</v>
      </c>
      <c r="J433">
        <f>0.01/Table29[[#This Row],[Strain Rate (min) /s]]</f>
        <v>216472.99543062583</v>
      </c>
      <c r="K433">
        <f>LOG(Table29[[#This Row],[Time to 1% strain (s)]])</f>
        <v>5.3354037267080763</v>
      </c>
      <c r="L433">
        <v>850</v>
      </c>
      <c r="P433" t="s">
        <v>7197</v>
      </c>
      <c r="Q433">
        <v>1250</v>
      </c>
      <c r="R433">
        <v>3</v>
      </c>
      <c r="S433">
        <v>900</v>
      </c>
      <c r="T433">
        <v>4</v>
      </c>
      <c r="U433">
        <v>750</v>
      </c>
      <c r="V433">
        <v>16</v>
      </c>
      <c r="W433">
        <v>1</v>
      </c>
      <c r="X433">
        <v>10</v>
      </c>
      <c r="Y433">
        <v>61.3</v>
      </c>
      <c r="AA433">
        <f>VLOOKUP(Table29[[#This Row],[Shortname]], Comp[], 6, FALSE)</f>
        <v>902</v>
      </c>
      <c r="AB433" s="14">
        <f>VLOOKUP(Table29[[#This Row],[Shortname]], Comp[], 7, FALSE)</f>
        <v>34.92</v>
      </c>
      <c r="AC433">
        <f>VLOOKUP(Table29[[#This Row],[Shortname]], Comp[], 8, FALSE)</f>
        <v>35</v>
      </c>
      <c r="AD433">
        <f>VLOOKUP(Table29[[#This Row],[Shortname]], Comp[], 9, FALSE)</f>
        <v>7.5</v>
      </c>
      <c r="AE433">
        <f>VLOOKUP(Table29[[#This Row],[Shortname]], Comp[], 10, FALSE)</f>
        <v>15</v>
      </c>
      <c r="AF433">
        <f>VLOOKUP(Table29[[#This Row],[Shortname]], Comp[], 11, FALSE)</f>
        <v>5</v>
      </c>
      <c r="AG433">
        <f>VLOOKUP(Table29[[#This Row],[Shortname]], Comp[],12, FALSE)</f>
        <v>1</v>
      </c>
      <c r="AH433">
        <f>VLOOKUP(Table29[[#This Row],[Shortname]], Comp[], 13, FALSE)</f>
        <v>1</v>
      </c>
      <c r="AI433">
        <f>VLOOKUP(Table29[[#This Row],[Shortname]], Comp[], 14, FALSE)</f>
        <v>0</v>
      </c>
      <c r="AJ433">
        <f>VLOOKUP(Table29[[#This Row],[Shortname]], Comp[], 15, FALSE)</f>
        <v>0</v>
      </c>
      <c r="AK433">
        <f>VLOOKUP(Table29[[#This Row],[Shortname]], Comp[], 16, FALSE)</f>
        <v>0</v>
      </c>
      <c r="AL433">
        <f>VLOOKUP(Table29[[#This Row],[Shortname]], Comp[], 17, FALSE)</f>
        <v>0</v>
      </c>
      <c r="AM433">
        <f>VLOOKUP(Table29[[#This Row],[Shortname]], Comp[], 18, FALSE)</f>
        <v>0</v>
      </c>
      <c r="AN433">
        <f>VLOOKUP(Table29[[#This Row],[Shortname]], Comp[], 19, FALSE)</f>
        <v>0.08</v>
      </c>
      <c r="AO433">
        <f>VLOOKUP(Table29[[#This Row],[Shortname]], Comp[], 20, FALSE)</f>
        <v>0</v>
      </c>
      <c r="AP433">
        <f>VLOOKUP(Table29[[#This Row],[Shortname]], Comp[], 21, FALSE)</f>
        <v>0</v>
      </c>
      <c r="AQ433">
        <f>VLOOKUP(Table29[[#This Row],[Shortname]], Comp[], 22, FALSE)</f>
        <v>0.4</v>
      </c>
      <c r="AR433">
        <f>VLOOKUP(Table29[[#This Row],[Shortname]], Comp[], 23, FALSE)</f>
        <v>0</v>
      </c>
      <c r="AS433">
        <f>VLOOKUP(Table29[[#This Row],[Shortname]], Comp[], 24, FALSE)</f>
        <v>0</v>
      </c>
      <c r="AT433">
        <f>VLOOKUP(Table29[[#This Row],[Shortname]], Comp[], 25, FALSE)</f>
        <v>0.1</v>
      </c>
      <c r="AU433">
        <f>VLOOKUP(Table29[[#This Row],[Shortname]], Comp[], 26, FALSE)</f>
        <v>0</v>
      </c>
      <c r="AV433">
        <f>VLOOKUP(Table29[[#This Row],[Shortname]], Comp[], 27, FALSE)</f>
        <v>0</v>
      </c>
      <c r="AW433">
        <f>VLOOKUP(Table29[[#This Row],[Shortname]], Comp[], 28, FALSE)</f>
        <v>0</v>
      </c>
      <c r="AX433">
        <f>VLOOKUP(Table29[[#This Row],[Shortname]], Comp[], 29, FALSE)</f>
        <v>0</v>
      </c>
      <c r="AY433">
        <f>VLOOKUP(Table29[[#This Row],[Shortname]], Comp[], 30, FALSE)</f>
        <v>0</v>
      </c>
      <c r="AZ433">
        <f>VLOOKUP(Table29[[#This Row],[Shortname]], Comp[], 31, FALSE)</f>
        <v>0</v>
      </c>
    </row>
    <row r="434" spans="1:52" x14ac:dyDescent="0.3">
      <c r="A434" t="s">
        <v>5735</v>
      </c>
      <c r="C434" t="e">
        <v>#N/A</v>
      </c>
      <c r="D434" t="s">
        <v>11</v>
      </c>
      <c r="E434" t="e">
        <v>#N/A</v>
      </c>
      <c r="F434" t="s">
        <v>5736</v>
      </c>
      <c r="G434" t="s">
        <v>5732</v>
      </c>
      <c r="H434">
        <v>448.98481932374898</v>
      </c>
      <c r="I434">
        <v>4.4703864242465902E-7</v>
      </c>
      <c r="J434">
        <f>0.01/Table29[[#This Row],[Strain Rate (min) /s]]</f>
        <v>22369.430852245252</v>
      </c>
      <c r="K434">
        <f>LOG(Table29[[#This Row],[Time to 1% strain (s)]])</f>
        <v>4.3496549344375444</v>
      </c>
      <c r="L434">
        <v>850</v>
      </c>
      <c r="P434" t="s">
        <v>7197</v>
      </c>
      <c r="Q434">
        <v>1250</v>
      </c>
      <c r="R434">
        <v>3</v>
      </c>
      <c r="S434">
        <v>900</v>
      </c>
      <c r="T434">
        <v>4</v>
      </c>
      <c r="U434">
        <v>750</v>
      </c>
      <c r="V434">
        <v>16</v>
      </c>
      <c r="W434">
        <v>1</v>
      </c>
      <c r="X434">
        <v>10</v>
      </c>
      <c r="Y434">
        <v>61.3</v>
      </c>
      <c r="AA434">
        <f>VLOOKUP(Table29[[#This Row],[Shortname]], Comp[], 6, FALSE)</f>
        <v>902</v>
      </c>
      <c r="AB434" s="14">
        <f>VLOOKUP(Table29[[#This Row],[Shortname]], Comp[], 7, FALSE)</f>
        <v>34.92</v>
      </c>
      <c r="AC434">
        <f>VLOOKUP(Table29[[#This Row],[Shortname]], Comp[], 8, FALSE)</f>
        <v>35</v>
      </c>
      <c r="AD434">
        <f>VLOOKUP(Table29[[#This Row],[Shortname]], Comp[], 9, FALSE)</f>
        <v>7.5</v>
      </c>
      <c r="AE434">
        <f>VLOOKUP(Table29[[#This Row],[Shortname]], Comp[], 10, FALSE)</f>
        <v>15</v>
      </c>
      <c r="AF434">
        <f>VLOOKUP(Table29[[#This Row],[Shortname]], Comp[], 11, FALSE)</f>
        <v>5</v>
      </c>
      <c r="AG434">
        <f>VLOOKUP(Table29[[#This Row],[Shortname]], Comp[],12, FALSE)</f>
        <v>1</v>
      </c>
      <c r="AH434">
        <f>VLOOKUP(Table29[[#This Row],[Shortname]], Comp[], 13, FALSE)</f>
        <v>1</v>
      </c>
      <c r="AI434">
        <f>VLOOKUP(Table29[[#This Row],[Shortname]], Comp[], 14, FALSE)</f>
        <v>0</v>
      </c>
      <c r="AJ434">
        <f>VLOOKUP(Table29[[#This Row],[Shortname]], Comp[], 15, FALSE)</f>
        <v>0</v>
      </c>
      <c r="AK434">
        <f>VLOOKUP(Table29[[#This Row],[Shortname]], Comp[], 16, FALSE)</f>
        <v>0</v>
      </c>
      <c r="AL434">
        <f>VLOOKUP(Table29[[#This Row],[Shortname]], Comp[], 17, FALSE)</f>
        <v>0</v>
      </c>
      <c r="AM434">
        <f>VLOOKUP(Table29[[#This Row],[Shortname]], Comp[], 18, FALSE)</f>
        <v>0</v>
      </c>
      <c r="AN434">
        <f>VLOOKUP(Table29[[#This Row],[Shortname]], Comp[], 19, FALSE)</f>
        <v>0.08</v>
      </c>
      <c r="AO434">
        <f>VLOOKUP(Table29[[#This Row],[Shortname]], Comp[], 20, FALSE)</f>
        <v>0</v>
      </c>
      <c r="AP434">
        <f>VLOOKUP(Table29[[#This Row],[Shortname]], Comp[], 21, FALSE)</f>
        <v>0</v>
      </c>
      <c r="AQ434">
        <f>VLOOKUP(Table29[[#This Row],[Shortname]], Comp[], 22, FALSE)</f>
        <v>0.4</v>
      </c>
      <c r="AR434">
        <f>VLOOKUP(Table29[[#This Row],[Shortname]], Comp[], 23, FALSE)</f>
        <v>0</v>
      </c>
      <c r="AS434">
        <f>VLOOKUP(Table29[[#This Row],[Shortname]], Comp[], 24, FALSE)</f>
        <v>0</v>
      </c>
      <c r="AT434">
        <f>VLOOKUP(Table29[[#This Row],[Shortname]], Comp[], 25, FALSE)</f>
        <v>0.1</v>
      </c>
      <c r="AU434">
        <f>VLOOKUP(Table29[[#This Row],[Shortname]], Comp[], 26, FALSE)</f>
        <v>0</v>
      </c>
      <c r="AV434">
        <f>VLOOKUP(Table29[[#This Row],[Shortname]], Comp[], 27, FALSE)</f>
        <v>0</v>
      </c>
      <c r="AW434">
        <f>VLOOKUP(Table29[[#This Row],[Shortname]], Comp[], 28, FALSE)</f>
        <v>0</v>
      </c>
      <c r="AX434">
        <f>VLOOKUP(Table29[[#This Row],[Shortname]], Comp[], 29, FALSE)</f>
        <v>0</v>
      </c>
      <c r="AY434">
        <f>VLOOKUP(Table29[[#This Row],[Shortname]], Comp[], 30, FALSE)</f>
        <v>0</v>
      </c>
      <c r="AZ434">
        <f>VLOOKUP(Table29[[#This Row],[Shortname]], Comp[], 31, FALSE)</f>
        <v>0</v>
      </c>
    </row>
    <row r="435" spans="1:52" x14ac:dyDescent="0.3">
      <c r="A435" t="s">
        <v>5735</v>
      </c>
      <c r="C435" t="e">
        <v>#N/A</v>
      </c>
      <c r="D435" t="s">
        <v>11</v>
      </c>
      <c r="E435" t="e">
        <v>#N/A</v>
      </c>
      <c r="F435" t="s">
        <v>5736</v>
      </c>
      <c r="G435" t="s">
        <v>5732</v>
      </c>
      <c r="H435">
        <v>607.62220937813004</v>
      </c>
      <c r="I435">
        <v>4.0800221974028597E-6</v>
      </c>
      <c r="J435">
        <f>0.01/Table29[[#This Row],[Strain Rate (min) /s]]</f>
        <v>2450.9670575727519</v>
      </c>
      <c r="K435">
        <f>LOG(Table29[[#This Row],[Time to 1% strain (s)]])</f>
        <v>3.389337474120083</v>
      </c>
      <c r="L435">
        <v>850</v>
      </c>
      <c r="P435" t="s">
        <v>7197</v>
      </c>
      <c r="Q435">
        <v>1250</v>
      </c>
      <c r="R435">
        <v>3</v>
      </c>
      <c r="S435">
        <v>900</v>
      </c>
      <c r="T435">
        <v>4</v>
      </c>
      <c r="U435">
        <v>750</v>
      </c>
      <c r="V435">
        <v>16</v>
      </c>
      <c r="W435">
        <v>1</v>
      </c>
      <c r="X435">
        <v>10</v>
      </c>
      <c r="Y435">
        <v>61.3</v>
      </c>
      <c r="AA435">
        <f>VLOOKUP(Table29[[#This Row],[Shortname]], Comp[], 6, FALSE)</f>
        <v>902</v>
      </c>
      <c r="AB435" s="14">
        <f>VLOOKUP(Table29[[#This Row],[Shortname]], Comp[], 7, FALSE)</f>
        <v>34.92</v>
      </c>
      <c r="AC435">
        <f>VLOOKUP(Table29[[#This Row],[Shortname]], Comp[], 8, FALSE)</f>
        <v>35</v>
      </c>
      <c r="AD435">
        <f>VLOOKUP(Table29[[#This Row],[Shortname]], Comp[], 9, FALSE)</f>
        <v>7.5</v>
      </c>
      <c r="AE435">
        <f>VLOOKUP(Table29[[#This Row],[Shortname]], Comp[], 10, FALSE)</f>
        <v>15</v>
      </c>
      <c r="AF435">
        <f>VLOOKUP(Table29[[#This Row],[Shortname]], Comp[], 11, FALSE)</f>
        <v>5</v>
      </c>
      <c r="AG435">
        <f>VLOOKUP(Table29[[#This Row],[Shortname]], Comp[],12, FALSE)</f>
        <v>1</v>
      </c>
      <c r="AH435">
        <f>VLOOKUP(Table29[[#This Row],[Shortname]], Comp[], 13, FALSE)</f>
        <v>1</v>
      </c>
      <c r="AI435">
        <f>VLOOKUP(Table29[[#This Row],[Shortname]], Comp[], 14, FALSE)</f>
        <v>0</v>
      </c>
      <c r="AJ435">
        <f>VLOOKUP(Table29[[#This Row],[Shortname]], Comp[], 15, FALSE)</f>
        <v>0</v>
      </c>
      <c r="AK435">
        <f>VLOOKUP(Table29[[#This Row],[Shortname]], Comp[], 16, FALSE)</f>
        <v>0</v>
      </c>
      <c r="AL435">
        <f>VLOOKUP(Table29[[#This Row],[Shortname]], Comp[], 17, FALSE)</f>
        <v>0</v>
      </c>
      <c r="AM435">
        <f>VLOOKUP(Table29[[#This Row],[Shortname]], Comp[], 18, FALSE)</f>
        <v>0</v>
      </c>
      <c r="AN435">
        <f>VLOOKUP(Table29[[#This Row],[Shortname]], Comp[], 19, FALSE)</f>
        <v>0.08</v>
      </c>
      <c r="AO435">
        <f>VLOOKUP(Table29[[#This Row],[Shortname]], Comp[], 20, FALSE)</f>
        <v>0</v>
      </c>
      <c r="AP435">
        <f>VLOOKUP(Table29[[#This Row],[Shortname]], Comp[], 21, FALSE)</f>
        <v>0</v>
      </c>
      <c r="AQ435">
        <f>VLOOKUP(Table29[[#This Row],[Shortname]], Comp[], 22, FALSE)</f>
        <v>0.4</v>
      </c>
      <c r="AR435">
        <f>VLOOKUP(Table29[[#This Row],[Shortname]], Comp[], 23, FALSE)</f>
        <v>0</v>
      </c>
      <c r="AS435">
        <f>VLOOKUP(Table29[[#This Row],[Shortname]], Comp[], 24, FALSE)</f>
        <v>0</v>
      </c>
      <c r="AT435">
        <f>VLOOKUP(Table29[[#This Row],[Shortname]], Comp[], 25, FALSE)</f>
        <v>0.1</v>
      </c>
      <c r="AU435">
        <f>VLOOKUP(Table29[[#This Row],[Shortname]], Comp[], 26, FALSE)</f>
        <v>0</v>
      </c>
      <c r="AV435">
        <f>VLOOKUP(Table29[[#This Row],[Shortname]], Comp[], 27, FALSE)</f>
        <v>0</v>
      </c>
      <c r="AW435">
        <f>VLOOKUP(Table29[[#This Row],[Shortname]], Comp[], 28, FALSE)</f>
        <v>0</v>
      </c>
      <c r="AX435">
        <f>VLOOKUP(Table29[[#This Row],[Shortname]], Comp[], 29, FALSE)</f>
        <v>0</v>
      </c>
      <c r="AY435">
        <f>VLOOKUP(Table29[[#This Row],[Shortname]], Comp[], 30, FALSE)</f>
        <v>0</v>
      </c>
      <c r="AZ435">
        <f>VLOOKUP(Table29[[#This Row],[Shortname]], Comp[], 31, FALSE)</f>
        <v>0</v>
      </c>
    </row>
    <row r="436" spans="1:52" x14ac:dyDescent="0.3">
      <c r="A436" t="s">
        <v>5735</v>
      </c>
      <c r="C436" t="e">
        <v>#N/A</v>
      </c>
      <c r="D436" t="s">
        <v>11</v>
      </c>
      <c r="E436" t="e">
        <v>#N/A</v>
      </c>
      <c r="F436" t="s">
        <v>5736</v>
      </c>
      <c r="G436" t="s">
        <v>5732</v>
      </c>
      <c r="H436">
        <v>765.556011979137</v>
      </c>
      <c r="I436">
        <v>4.9183784864466001E-5</v>
      </c>
      <c r="J436">
        <f>0.01/Table29[[#This Row],[Strain Rate (min) /s]]</f>
        <v>203.31904158162376</v>
      </c>
      <c r="K436">
        <f>LOG(Table29[[#This Row],[Time to 1% strain (s)]])</f>
        <v>2.3081780538302272</v>
      </c>
      <c r="L436">
        <v>850</v>
      </c>
      <c r="P436" t="s">
        <v>7197</v>
      </c>
      <c r="Q436">
        <v>1250</v>
      </c>
      <c r="R436">
        <v>3</v>
      </c>
      <c r="S436">
        <v>900</v>
      </c>
      <c r="T436">
        <v>4</v>
      </c>
      <c r="U436">
        <v>750</v>
      </c>
      <c r="V436">
        <v>16</v>
      </c>
      <c r="W436">
        <v>1</v>
      </c>
      <c r="X436">
        <v>10</v>
      </c>
      <c r="Y436">
        <v>61.3</v>
      </c>
      <c r="AA436">
        <f>VLOOKUP(Table29[[#This Row],[Shortname]], Comp[], 6, FALSE)</f>
        <v>902</v>
      </c>
      <c r="AB436" s="14">
        <f>VLOOKUP(Table29[[#This Row],[Shortname]], Comp[], 7, FALSE)</f>
        <v>34.92</v>
      </c>
      <c r="AC436">
        <f>VLOOKUP(Table29[[#This Row],[Shortname]], Comp[], 8, FALSE)</f>
        <v>35</v>
      </c>
      <c r="AD436">
        <f>VLOOKUP(Table29[[#This Row],[Shortname]], Comp[], 9, FALSE)</f>
        <v>7.5</v>
      </c>
      <c r="AE436">
        <f>VLOOKUP(Table29[[#This Row],[Shortname]], Comp[], 10, FALSE)</f>
        <v>15</v>
      </c>
      <c r="AF436">
        <f>VLOOKUP(Table29[[#This Row],[Shortname]], Comp[], 11, FALSE)</f>
        <v>5</v>
      </c>
      <c r="AG436">
        <f>VLOOKUP(Table29[[#This Row],[Shortname]], Comp[],12, FALSE)</f>
        <v>1</v>
      </c>
      <c r="AH436">
        <f>VLOOKUP(Table29[[#This Row],[Shortname]], Comp[], 13, FALSE)</f>
        <v>1</v>
      </c>
      <c r="AI436">
        <f>VLOOKUP(Table29[[#This Row],[Shortname]], Comp[], 14, FALSE)</f>
        <v>0</v>
      </c>
      <c r="AJ436">
        <f>VLOOKUP(Table29[[#This Row],[Shortname]], Comp[], 15, FALSE)</f>
        <v>0</v>
      </c>
      <c r="AK436">
        <f>VLOOKUP(Table29[[#This Row],[Shortname]], Comp[], 16, FALSE)</f>
        <v>0</v>
      </c>
      <c r="AL436">
        <f>VLOOKUP(Table29[[#This Row],[Shortname]], Comp[], 17, FALSE)</f>
        <v>0</v>
      </c>
      <c r="AM436">
        <f>VLOOKUP(Table29[[#This Row],[Shortname]], Comp[], 18, FALSE)</f>
        <v>0</v>
      </c>
      <c r="AN436">
        <f>VLOOKUP(Table29[[#This Row],[Shortname]], Comp[], 19, FALSE)</f>
        <v>0.08</v>
      </c>
      <c r="AO436">
        <f>VLOOKUP(Table29[[#This Row],[Shortname]], Comp[], 20, FALSE)</f>
        <v>0</v>
      </c>
      <c r="AP436">
        <f>VLOOKUP(Table29[[#This Row],[Shortname]], Comp[], 21, FALSE)</f>
        <v>0</v>
      </c>
      <c r="AQ436">
        <f>VLOOKUP(Table29[[#This Row],[Shortname]], Comp[], 22, FALSE)</f>
        <v>0.4</v>
      </c>
      <c r="AR436">
        <f>VLOOKUP(Table29[[#This Row],[Shortname]], Comp[], 23, FALSE)</f>
        <v>0</v>
      </c>
      <c r="AS436">
        <f>VLOOKUP(Table29[[#This Row],[Shortname]], Comp[], 24, FALSE)</f>
        <v>0</v>
      </c>
      <c r="AT436">
        <f>VLOOKUP(Table29[[#This Row],[Shortname]], Comp[], 25, FALSE)</f>
        <v>0.1</v>
      </c>
      <c r="AU436">
        <f>VLOOKUP(Table29[[#This Row],[Shortname]], Comp[], 26, FALSE)</f>
        <v>0</v>
      </c>
      <c r="AV436">
        <f>VLOOKUP(Table29[[#This Row],[Shortname]], Comp[], 27, FALSE)</f>
        <v>0</v>
      </c>
      <c r="AW436">
        <f>VLOOKUP(Table29[[#This Row],[Shortname]], Comp[], 28, FALSE)</f>
        <v>0</v>
      </c>
      <c r="AX436">
        <f>VLOOKUP(Table29[[#This Row],[Shortname]], Comp[], 29, FALSE)</f>
        <v>0</v>
      </c>
      <c r="AY436">
        <f>VLOOKUP(Table29[[#This Row],[Shortname]], Comp[], 30, FALSE)</f>
        <v>0</v>
      </c>
      <c r="AZ436">
        <f>VLOOKUP(Table29[[#This Row],[Shortname]], Comp[], 31, FALSE)</f>
        <v>0</v>
      </c>
    </row>
    <row r="437" spans="1:52" x14ac:dyDescent="0.3">
      <c r="A437" t="s">
        <v>5735</v>
      </c>
      <c r="C437" t="e">
        <v>#N/A</v>
      </c>
      <c r="D437" t="s">
        <v>11</v>
      </c>
      <c r="E437" t="e">
        <v>#N/A</v>
      </c>
      <c r="F437" t="s">
        <v>5736</v>
      </c>
      <c r="G437" t="s">
        <v>5732</v>
      </c>
      <c r="H437">
        <v>845.24236495610796</v>
      </c>
      <c r="I437">
        <v>3.4398732719530901E-4</v>
      </c>
      <c r="J437">
        <f>0.01/Table29[[#This Row],[Strain Rate (min) /s]]</f>
        <v>29.070838398422172</v>
      </c>
      <c r="K437">
        <f>LOG(Table29[[#This Row],[Time to 1% strain (s)]])</f>
        <v>1.4634575569358172</v>
      </c>
      <c r="L437">
        <v>850</v>
      </c>
      <c r="P437" t="s">
        <v>7197</v>
      </c>
      <c r="Q437">
        <v>1250</v>
      </c>
      <c r="R437">
        <v>3</v>
      </c>
      <c r="S437">
        <v>900</v>
      </c>
      <c r="T437">
        <v>4</v>
      </c>
      <c r="U437">
        <v>750</v>
      </c>
      <c r="V437">
        <v>16</v>
      </c>
      <c r="W437">
        <v>1</v>
      </c>
      <c r="X437">
        <v>10</v>
      </c>
      <c r="Y437">
        <v>61.3</v>
      </c>
      <c r="AA437">
        <f>VLOOKUP(Table29[[#This Row],[Shortname]], Comp[], 6, FALSE)</f>
        <v>902</v>
      </c>
      <c r="AB437" s="14">
        <f>VLOOKUP(Table29[[#This Row],[Shortname]], Comp[], 7, FALSE)</f>
        <v>34.92</v>
      </c>
      <c r="AC437">
        <f>VLOOKUP(Table29[[#This Row],[Shortname]], Comp[], 8, FALSE)</f>
        <v>35</v>
      </c>
      <c r="AD437">
        <f>VLOOKUP(Table29[[#This Row],[Shortname]], Comp[], 9, FALSE)</f>
        <v>7.5</v>
      </c>
      <c r="AE437">
        <f>VLOOKUP(Table29[[#This Row],[Shortname]], Comp[], 10, FALSE)</f>
        <v>15</v>
      </c>
      <c r="AF437">
        <f>VLOOKUP(Table29[[#This Row],[Shortname]], Comp[], 11, FALSE)</f>
        <v>5</v>
      </c>
      <c r="AG437">
        <f>VLOOKUP(Table29[[#This Row],[Shortname]], Comp[],12, FALSE)</f>
        <v>1</v>
      </c>
      <c r="AH437">
        <f>VLOOKUP(Table29[[#This Row],[Shortname]], Comp[], 13, FALSE)</f>
        <v>1</v>
      </c>
      <c r="AI437">
        <f>VLOOKUP(Table29[[#This Row],[Shortname]], Comp[], 14, FALSE)</f>
        <v>0</v>
      </c>
      <c r="AJ437">
        <f>VLOOKUP(Table29[[#This Row],[Shortname]], Comp[], 15, FALSE)</f>
        <v>0</v>
      </c>
      <c r="AK437">
        <f>VLOOKUP(Table29[[#This Row],[Shortname]], Comp[], 16, FALSE)</f>
        <v>0</v>
      </c>
      <c r="AL437">
        <f>VLOOKUP(Table29[[#This Row],[Shortname]], Comp[], 17, FALSE)</f>
        <v>0</v>
      </c>
      <c r="AM437">
        <f>VLOOKUP(Table29[[#This Row],[Shortname]], Comp[], 18, FALSE)</f>
        <v>0</v>
      </c>
      <c r="AN437">
        <f>VLOOKUP(Table29[[#This Row],[Shortname]], Comp[], 19, FALSE)</f>
        <v>0.08</v>
      </c>
      <c r="AO437">
        <f>VLOOKUP(Table29[[#This Row],[Shortname]], Comp[], 20, FALSE)</f>
        <v>0</v>
      </c>
      <c r="AP437">
        <f>VLOOKUP(Table29[[#This Row],[Shortname]], Comp[], 21, FALSE)</f>
        <v>0</v>
      </c>
      <c r="AQ437">
        <f>VLOOKUP(Table29[[#This Row],[Shortname]], Comp[], 22, FALSE)</f>
        <v>0.4</v>
      </c>
      <c r="AR437">
        <f>VLOOKUP(Table29[[#This Row],[Shortname]], Comp[], 23, FALSE)</f>
        <v>0</v>
      </c>
      <c r="AS437">
        <f>VLOOKUP(Table29[[#This Row],[Shortname]], Comp[], 24, FALSE)</f>
        <v>0</v>
      </c>
      <c r="AT437">
        <f>VLOOKUP(Table29[[#This Row],[Shortname]], Comp[], 25, FALSE)</f>
        <v>0.1</v>
      </c>
      <c r="AU437">
        <f>VLOOKUP(Table29[[#This Row],[Shortname]], Comp[], 26, FALSE)</f>
        <v>0</v>
      </c>
      <c r="AV437">
        <f>VLOOKUP(Table29[[#This Row],[Shortname]], Comp[], 27, FALSE)</f>
        <v>0</v>
      </c>
      <c r="AW437">
        <f>VLOOKUP(Table29[[#This Row],[Shortname]], Comp[], 28, FALSE)</f>
        <v>0</v>
      </c>
      <c r="AX437">
        <f>VLOOKUP(Table29[[#This Row],[Shortname]], Comp[], 29, FALSE)</f>
        <v>0</v>
      </c>
      <c r="AY437">
        <f>VLOOKUP(Table29[[#This Row],[Shortname]], Comp[], 30, FALSE)</f>
        <v>0</v>
      </c>
      <c r="AZ437">
        <f>VLOOKUP(Table29[[#This Row],[Shortname]], Comp[], 31, FALSE)</f>
        <v>0</v>
      </c>
    </row>
    <row r="438" spans="1:52" x14ac:dyDescent="0.3">
      <c r="A438" t="s">
        <v>5740</v>
      </c>
      <c r="C438" t="e">
        <v>#N/A</v>
      </c>
      <c r="D438" t="e">
        <v>#N/A</v>
      </c>
      <c r="E438" t="e">
        <v>#N/A</v>
      </c>
      <c r="F438" t="s">
        <v>5741</v>
      </c>
      <c r="G438" t="s">
        <v>5732</v>
      </c>
      <c r="H438">
        <v>299.66141537533503</v>
      </c>
      <c r="I438">
        <v>1.3559045669795001E-7</v>
      </c>
      <c r="J438">
        <f>0.01/Table29[[#This Row],[Strain Rate (min) /s]]</f>
        <v>73751.503192268472</v>
      </c>
      <c r="K438">
        <f>LOG(Table29[[#This Row],[Time to 1% strain (s)]])</f>
        <v>4.8677708764665324</v>
      </c>
      <c r="L438">
        <v>850</v>
      </c>
      <c r="P438" t="s">
        <v>7198</v>
      </c>
      <c r="Q438">
        <v>1250</v>
      </c>
      <c r="R438">
        <v>3</v>
      </c>
      <c r="S438">
        <v>900</v>
      </c>
      <c r="T438">
        <v>4</v>
      </c>
      <c r="U438">
        <v>750</v>
      </c>
      <c r="V438">
        <v>16</v>
      </c>
      <c r="W438">
        <v>1</v>
      </c>
      <c r="X438">
        <v>10</v>
      </c>
      <c r="Y438">
        <v>61.5</v>
      </c>
      <c r="AA438">
        <f>VLOOKUP(Table29[[#This Row],[Shortname]], Comp[], 6, FALSE)</f>
        <v>903</v>
      </c>
      <c r="AB438" s="14">
        <f>VLOOKUP(Table29[[#This Row],[Shortname]], Comp[], 7, FALSE)</f>
        <v>34.92</v>
      </c>
      <c r="AC438">
        <f>VLOOKUP(Table29[[#This Row],[Shortname]], Comp[], 8, FALSE)</f>
        <v>35</v>
      </c>
      <c r="AD438">
        <f>VLOOKUP(Table29[[#This Row],[Shortname]], Comp[], 9, FALSE)</f>
        <v>9</v>
      </c>
      <c r="AE438">
        <f>VLOOKUP(Table29[[#This Row],[Shortname]], Comp[], 10, FALSE)</f>
        <v>15</v>
      </c>
      <c r="AF438">
        <f>VLOOKUP(Table29[[#This Row],[Shortname]], Comp[], 11, FALSE)</f>
        <v>5</v>
      </c>
      <c r="AG438">
        <f>VLOOKUP(Table29[[#This Row],[Shortname]], Comp[],12, FALSE)</f>
        <v>0.3</v>
      </c>
      <c r="AH438">
        <f>VLOOKUP(Table29[[#This Row],[Shortname]], Comp[], 13, FALSE)</f>
        <v>0.2</v>
      </c>
      <c r="AI438">
        <f>VLOOKUP(Table29[[#This Row],[Shortname]], Comp[], 14, FALSE)</f>
        <v>0</v>
      </c>
      <c r="AJ438">
        <f>VLOOKUP(Table29[[#This Row],[Shortname]], Comp[], 15, FALSE)</f>
        <v>0</v>
      </c>
      <c r="AK438">
        <f>VLOOKUP(Table29[[#This Row],[Shortname]], Comp[], 16, FALSE)</f>
        <v>0</v>
      </c>
      <c r="AL438">
        <f>VLOOKUP(Table29[[#This Row],[Shortname]], Comp[], 17, FALSE)</f>
        <v>0</v>
      </c>
      <c r="AM438">
        <f>VLOOKUP(Table29[[#This Row],[Shortname]], Comp[], 18, FALSE)</f>
        <v>0</v>
      </c>
      <c r="AN438">
        <f>VLOOKUP(Table29[[#This Row],[Shortname]], Comp[], 19, FALSE)</f>
        <v>0.08</v>
      </c>
      <c r="AO438">
        <f>VLOOKUP(Table29[[#This Row],[Shortname]], Comp[], 20, FALSE)</f>
        <v>0</v>
      </c>
      <c r="AP438">
        <f>VLOOKUP(Table29[[#This Row],[Shortname]], Comp[], 21, FALSE)</f>
        <v>0</v>
      </c>
      <c r="AQ438">
        <f>VLOOKUP(Table29[[#This Row],[Shortname]], Comp[], 22, FALSE)</f>
        <v>0.4</v>
      </c>
      <c r="AR438">
        <f>VLOOKUP(Table29[[#This Row],[Shortname]], Comp[], 23, FALSE)</f>
        <v>0</v>
      </c>
      <c r="AS438">
        <f>VLOOKUP(Table29[[#This Row],[Shortname]], Comp[], 24, FALSE)</f>
        <v>0</v>
      </c>
      <c r="AT438">
        <f>VLOOKUP(Table29[[#This Row],[Shortname]], Comp[], 25, FALSE)</f>
        <v>0.1</v>
      </c>
      <c r="AU438">
        <f>VLOOKUP(Table29[[#This Row],[Shortname]], Comp[], 26, FALSE)</f>
        <v>0</v>
      </c>
      <c r="AV438">
        <f>VLOOKUP(Table29[[#This Row],[Shortname]], Comp[], 27, FALSE)</f>
        <v>0</v>
      </c>
      <c r="AW438">
        <f>VLOOKUP(Table29[[#This Row],[Shortname]], Comp[], 28, FALSE)</f>
        <v>0</v>
      </c>
      <c r="AX438">
        <f>VLOOKUP(Table29[[#This Row],[Shortname]], Comp[], 29, FALSE)</f>
        <v>0</v>
      </c>
      <c r="AY438">
        <f>VLOOKUP(Table29[[#This Row],[Shortname]], Comp[], 30, FALSE)</f>
        <v>0</v>
      </c>
      <c r="AZ438">
        <f>VLOOKUP(Table29[[#This Row],[Shortname]], Comp[], 31, FALSE)</f>
        <v>0</v>
      </c>
    </row>
    <row r="439" spans="1:52" x14ac:dyDescent="0.3">
      <c r="A439" t="s">
        <v>5740</v>
      </c>
      <c r="C439" t="e">
        <v>#N/A</v>
      </c>
      <c r="D439" t="s">
        <v>11</v>
      </c>
      <c r="E439" t="e">
        <v>#N/A</v>
      </c>
      <c r="F439" t="s">
        <v>5741</v>
      </c>
      <c r="G439" t="s">
        <v>5732</v>
      </c>
      <c r="H439">
        <v>380.678061204247</v>
      </c>
      <c r="I439">
        <v>1.16323102399356E-6</v>
      </c>
      <c r="J439">
        <f>0.01/Table29[[#This Row],[Strain Rate (min) /s]]</f>
        <v>8596.7445793084025</v>
      </c>
      <c r="K439">
        <f>LOG(Table29[[#This Row],[Time to 1% strain (s)]])</f>
        <v>3.9343340234644608</v>
      </c>
      <c r="L439">
        <v>850</v>
      </c>
      <c r="P439" t="s">
        <v>7198</v>
      </c>
      <c r="Q439">
        <v>1250</v>
      </c>
      <c r="R439">
        <v>3</v>
      </c>
      <c r="S439">
        <v>900</v>
      </c>
      <c r="T439">
        <v>4</v>
      </c>
      <c r="U439">
        <v>750</v>
      </c>
      <c r="V439">
        <v>16</v>
      </c>
      <c r="W439">
        <v>1</v>
      </c>
      <c r="X439">
        <v>10</v>
      </c>
      <c r="Y439">
        <v>61.5</v>
      </c>
      <c r="AA439">
        <f>VLOOKUP(Table29[[#This Row],[Shortname]], Comp[], 6, FALSE)</f>
        <v>903</v>
      </c>
      <c r="AB439" s="14">
        <f>VLOOKUP(Table29[[#This Row],[Shortname]], Comp[], 7, FALSE)</f>
        <v>34.92</v>
      </c>
      <c r="AC439">
        <f>VLOOKUP(Table29[[#This Row],[Shortname]], Comp[], 8, FALSE)</f>
        <v>35</v>
      </c>
      <c r="AD439">
        <f>VLOOKUP(Table29[[#This Row],[Shortname]], Comp[], 9, FALSE)</f>
        <v>9</v>
      </c>
      <c r="AE439">
        <f>VLOOKUP(Table29[[#This Row],[Shortname]], Comp[], 10, FALSE)</f>
        <v>15</v>
      </c>
      <c r="AF439">
        <f>VLOOKUP(Table29[[#This Row],[Shortname]], Comp[], 11, FALSE)</f>
        <v>5</v>
      </c>
      <c r="AG439">
        <f>VLOOKUP(Table29[[#This Row],[Shortname]], Comp[],12, FALSE)</f>
        <v>0.3</v>
      </c>
      <c r="AH439">
        <f>VLOOKUP(Table29[[#This Row],[Shortname]], Comp[], 13, FALSE)</f>
        <v>0.2</v>
      </c>
      <c r="AI439">
        <f>VLOOKUP(Table29[[#This Row],[Shortname]], Comp[], 14, FALSE)</f>
        <v>0</v>
      </c>
      <c r="AJ439">
        <f>VLOOKUP(Table29[[#This Row],[Shortname]], Comp[], 15, FALSE)</f>
        <v>0</v>
      </c>
      <c r="AK439">
        <f>VLOOKUP(Table29[[#This Row],[Shortname]], Comp[], 16, FALSE)</f>
        <v>0</v>
      </c>
      <c r="AL439">
        <f>VLOOKUP(Table29[[#This Row],[Shortname]], Comp[], 17, FALSE)</f>
        <v>0</v>
      </c>
      <c r="AM439">
        <f>VLOOKUP(Table29[[#This Row],[Shortname]], Comp[], 18, FALSE)</f>
        <v>0</v>
      </c>
      <c r="AN439">
        <f>VLOOKUP(Table29[[#This Row],[Shortname]], Comp[], 19, FALSE)</f>
        <v>0.08</v>
      </c>
      <c r="AO439">
        <f>VLOOKUP(Table29[[#This Row],[Shortname]], Comp[], 20, FALSE)</f>
        <v>0</v>
      </c>
      <c r="AP439">
        <f>VLOOKUP(Table29[[#This Row],[Shortname]], Comp[], 21, FALSE)</f>
        <v>0</v>
      </c>
      <c r="AQ439">
        <f>VLOOKUP(Table29[[#This Row],[Shortname]], Comp[], 22, FALSE)</f>
        <v>0.4</v>
      </c>
      <c r="AR439">
        <f>VLOOKUP(Table29[[#This Row],[Shortname]], Comp[], 23, FALSE)</f>
        <v>0</v>
      </c>
      <c r="AS439">
        <f>VLOOKUP(Table29[[#This Row],[Shortname]], Comp[], 24, FALSE)</f>
        <v>0</v>
      </c>
      <c r="AT439">
        <f>VLOOKUP(Table29[[#This Row],[Shortname]], Comp[], 25, FALSE)</f>
        <v>0.1</v>
      </c>
      <c r="AU439">
        <f>VLOOKUP(Table29[[#This Row],[Shortname]], Comp[], 26, FALSE)</f>
        <v>0</v>
      </c>
      <c r="AV439">
        <f>VLOOKUP(Table29[[#This Row],[Shortname]], Comp[], 27, FALSE)</f>
        <v>0</v>
      </c>
      <c r="AW439">
        <f>VLOOKUP(Table29[[#This Row],[Shortname]], Comp[], 28, FALSE)</f>
        <v>0</v>
      </c>
      <c r="AX439">
        <f>VLOOKUP(Table29[[#This Row],[Shortname]], Comp[], 29, FALSE)</f>
        <v>0</v>
      </c>
      <c r="AY439">
        <f>VLOOKUP(Table29[[#This Row],[Shortname]], Comp[], 30, FALSE)</f>
        <v>0</v>
      </c>
      <c r="AZ439">
        <f>VLOOKUP(Table29[[#This Row],[Shortname]], Comp[], 31, FALSE)</f>
        <v>0</v>
      </c>
    </row>
    <row r="440" spans="1:52" x14ac:dyDescent="0.3">
      <c r="A440" t="s">
        <v>5740</v>
      </c>
      <c r="C440" t="e">
        <v>#N/A</v>
      </c>
      <c r="D440" t="s">
        <v>11</v>
      </c>
      <c r="E440" t="e">
        <v>#N/A</v>
      </c>
      <c r="F440" t="s">
        <v>5741</v>
      </c>
      <c r="G440" t="s">
        <v>5732</v>
      </c>
      <c r="H440">
        <v>466.611615830446</v>
      </c>
      <c r="I440">
        <v>5.2528303507953496E-6</v>
      </c>
      <c r="J440">
        <f>0.01/Table29[[#This Row],[Strain Rate (min) /s]]</f>
        <v>1903.7355734296398</v>
      </c>
      <c r="K440">
        <f>LOG(Table29[[#This Row],[Time to 1% strain (s)]])</f>
        <v>3.2796066252587992</v>
      </c>
      <c r="L440">
        <v>850</v>
      </c>
      <c r="P440" t="s">
        <v>7198</v>
      </c>
      <c r="Q440">
        <v>1250</v>
      </c>
      <c r="R440">
        <v>3</v>
      </c>
      <c r="S440">
        <v>900</v>
      </c>
      <c r="T440">
        <v>4</v>
      </c>
      <c r="U440">
        <v>750</v>
      </c>
      <c r="V440">
        <v>16</v>
      </c>
      <c r="W440">
        <v>1</v>
      </c>
      <c r="X440">
        <v>10</v>
      </c>
      <c r="Y440">
        <v>61.5</v>
      </c>
      <c r="AA440">
        <f>VLOOKUP(Table29[[#This Row],[Shortname]], Comp[], 6, FALSE)</f>
        <v>903</v>
      </c>
      <c r="AB440" s="14">
        <f>VLOOKUP(Table29[[#This Row],[Shortname]], Comp[], 7, FALSE)</f>
        <v>34.92</v>
      </c>
      <c r="AC440">
        <f>VLOOKUP(Table29[[#This Row],[Shortname]], Comp[], 8, FALSE)</f>
        <v>35</v>
      </c>
      <c r="AD440">
        <f>VLOOKUP(Table29[[#This Row],[Shortname]], Comp[], 9, FALSE)</f>
        <v>9</v>
      </c>
      <c r="AE440">
        <f>VLOOKUP(Table29[[#This Row],[Shortname]], Comp[], 10, FALSE)</f>
        <v>15</v>
      </c>
      <c r="AF440">
        <f>VLOOKUP(Table29[[#This Row],[Shortname]], Comp[], 11, FALSE)</f>
        <v>5</v>
      </c>
      <c r="AG440">
        <f>VLOOKUP(Table29[[#This Row],[Shortname]], Comp[],12, FALSE)</f>
        <v>0.3</v>
      </c>
      <c r="AH440">
        <f>VLOOKUP(Table29[[#This Row],[Shortname]], Comp[], 13, FALSE)</f>
        <v>0.2</v>
      </c>
      <c r="AI440">
        <f>VLOOKUP(Table29[[#This Row],[Shortname]], Comp[], 14, FALSE)</f>
        <v>0</v>
      </c>
      <c r="AJ440">
        <f>VLOOKUP(Table29[[#This Row],[Shortname]], Comp[], 15, FALSE)</f>
        <v>0</v>
      </c>
      <c r="AK440">
        <f>VLOOKUP(Table29[[#This Row],[Shortname]], Comp[], 16, FALSE)</f>
        <v>0</v>
      </c>
      <c r="AL440">
        <f>VLOOKUP(Table29[[#This Row],[Shortname]], Comp[], 17, FALSE)</f>
        <v>0</v>
      </c>
      <c r="AM440">
        <f>VLOOKUP(Table29[[#This Row],[Shortname]], Comp[], 18, FALSE)</f>
        <v>0</v>
      </c>
      <c r="AN440">
        <f>VLOOKUP(Table29[[#This Row],[Shortname]], Comp[], 19, FALSE)</f>
        <v>0.08</v>
      </c>
      <c r="AO440">
        <f>VLOOKUP(Table29[[#This Row],[Shortname]], Comp[], 20, FALSE)</f>
        <v>0</v>
      </c>
      <c r="AP440">
        <f>VLOOKUP(Table29[[#This Row],[Shortname]], Comp[], 21, FALSE)</f>
        <v>0</v>
      </c>
      <c r="AQ440">
        <f>VLOOKUP(Table29[[#This Row],[Shortname]], Comp[], 22, FALSE)</f>
        <v>0.4</v>
      </c>
      <c r="AR440">
        <f>VLOOKUP(Table29[[#This Row],[Shortname]], Comp[], 23, FALSE)</f>
        <v>0</v>
      </c>
      <c r="AS440">
        <f>VLOOKUP(Table29[[#This Row],[Shortname]], Comp[], 24, FALSE)</f>
        <v>0</v>
      </c>
      <c r="AT440">
        <f>VLOOKUP(Table29[[#This Row],[Shortname]], Comp[], 25, FALSE)</f>
        <v>0.1</v>
      </c>
      <c r="AU440">
        <f>VLOOKUP(Table29[[#This Row],[Shortname]], Comp[], 26, FALSE)</f>
        <v>0</v>
      </c>
      <c r="AV440">
        <f>VLOOKUP(Table29[[#This Row],[Shortname]], Comp[], 27, FALSE)</f>
        <v>0</v>
      </c>
      <c r="AW440">
        <f>VLOOKUP(Table29[[#This Row],[Shortname]], Comp[], 28, FALSE)</f>
        <v>0</v>
      </c>
      <c r="AX440">
        <f>VLOOKUP(Table29[[#This Row],[Shortname]], Comp[], 29, FALSE)</f>
        <v>0</v>
      </c>
      <c r="AY440">
        <f>VLOOKUP(Table29[[#This Row],[Shortname]], Comp[], 30, FALSE)</f>
        <v>0</v>
      </c>
      <c r="AZ440">
        <f>VLOOKUP(Table29[[#This Row],[Shortname]], Comp[], 31, FALSE)</f>
        <v>0</v>
      </c>
    </row>
    <row r="441" spans="1:52" x14ac:dyDescent="0.3">
      <c r="A441" t="s">
        <v>5740</v>
      </c>
      <c r="C441" t="e">
        <v>#N/A</v>
      </c>
      <c r="D441" t="s">
        <v>11</v>
      </c>
      <c r="E441" t="e">
        <v>#N/A</v>
      </c>
      <c r="F441" t="s">
        <v>5741</v>
      </c>
      <c r="G441" t="s">
        <v>5732</v>
      </c>
      <c r="H441">
        <v>624.56734572456799</v>
      </c>
      <c r="I441">
        <v>4.00232119952347E-5</v>
      </c>
      <c r="J441">
        <f>0.01/Table29[[#This Row],[Strain Rate (min) /s]]</f>
        <v>249.8550091679457</v>
      </c>
      <c r="K441">
        <f>LOG(Table29[[#This Row],[Time to 1% strain (s)]])</f>
        <v>2.3976880607315394</v>
      </c>
      <c r="L441">
        <v>850</v>
      </c>
      <c r="P441" t="s">
        <v>7198</v>
      </c>
      <c r="Q441">
        <v>1250</v>
      </c>
      <c r="R441">
        <v>3</v>
      </c>
      <c r="S441">
        <v>900</v>
      </c>
      <c r="T441">
        <v>4</v>
      </c>
      <c r="U441">
        <v>750</v>
      </c>
      <c r="V441">
        <v>16</v>
      </c>
      <c r="W441">
        <v>1</v>
      </c>
      <c r="X441">
        <v>10</v>
      </c>
      <c r="Y441">
        <v>61.5</v>
      </c>
      <c r="AA441">
        <f>VLOOKUP(Table29[[#This Row],[Shortname]], Comp[], 6, FALSE)</f>
        <v>903</v>
      </c>
      <c r="AB441" s="14">
        <f>VLOOKUP(Table29[[#This Row],[Shortname]], Comp[], 7, FALSE)</f>
        <v>34.92</v>
      </c>
      <c r="AC441">
        <f>VLOOKUP(Table29[[#This Row],[Shortname]], Comp[], 8, FALSE)</f>
        <v>35</v>
      </c>
      <c r="AD441">
        <f>VLOOKUP(Table29[[#This Row],[Shortname]], Comp[], 9, FALSE)</f>
        <v>9</v>
      </c>
      <c r="AE441">
        <f>VLOOKUP(Table29[[#This Row],[Shortname]], Comp[], 10, FALSE)</f>
        <v>15</v>
      </c>
      <c r="AF441">
        <f>VLOOKUP(Table29[[#This Row],[Shortname]], Comp[], 11, FALSE)</f>
        <v>5</v>
      </c>
      <c r="AG441">
        <f>VLOOKUP(Table29[[#This Row],[Shortname]], Comp[],12, FALSE)</f>
        <v>0.3</v>
      </c>
      <c r="AH441">
        <f>VLOOKUP(Table29[[#This Row],[Shortname]], Comp[], 13, FALSE)</f>
        <v>0.2</v>
      </c>
      <c r="AI441">
        <f>VLOOKUP(Table29[[#This Row],[Shortname]], Comp[], 14, FALSE)</f>
        <v>0</v>
      </c>
      <c r="AJ441">
        <f>VLOOKUP(Table29[[#This Row],[Shortname]], Comp[], 15, FALSE)</f>
        <v>0</v>
      </c>
      <c r="AK441">
        <f>VLOOKUP(Table29[[#This Row],[Shortname]], Comp[], 16, FALSE)</f>
        <v>0</v>
      </c>
      <c r="AL441">
        <f>VLOOKUP(Table29[[#This Row],[Shortname]], Comp[], 17, FALSE)</f>
        <v>0</v>
      </c>
      <c r="AM441">
        <f>VLOOKUP(Table29[[#This Row],[Shortname]], Comp[], 18, FALSE)</f>
        <v>0</v>
      </c>
      <c r="AN441">
        <f>VLOOKUP(Table29[[#This Row],[Shortname]], Comp[], 19, FALSE)</f>
        <v>0.08</v>
      </c>
      <c r="AO441">
        <f>VLOOKUP(Table29[[#This Row],[Shortname]], Comp[], 20, FALSE)</f>
        <v>0</v>
      </c>
      <c r="AP441">
        <f>VLOOKUP(Table29[[#This Row],[Shortname]], Comp[], 21, FALSE)</f>
        <v>0</v>
      </c>
      <c r="AQ441">
        <f>VLOOKUP(Table29[[#This Row],[Shortname]], Comp[], 22, FALSE)</f>
        <v>0.4</v>
      </c>
      <c r="AR441">
        <f>VLOOKUP(Table29[[#This Row],[Shortname]], Comp[], 23, FALSE)</f>
        <v>0</v>
      </c>
      <c r="AS441">
        <f>VLOOKUP(Table29[[#This Row],[Shortname]], Comp[], 24, FALSE)</f>
        <v>0</v>
      </c>
      <c r="AT441">
        <f>VLOOKUP(Table29[[#This Row],[Shortname]], Comp[], 25, FALSE)</f>
        <v>0.1</v>
      </c>
      <c r="AU441">
        <f>VLOOKUP(Table29[[#This Row],[Shortname]], Comp[], 26, FALSE)</f>
        <v>0</v>
      </c>
      <c r="AV441">
        <f>VLOOKUP(Table29[[#This Row],[Shortname]], Comp[], 27, FALSE)</f>
        <v>0</v>
      </c>
      <c r="AW441">
        <f>VLOOKUP(Table29[[#This Row],[Shortname]], Comp[], 28, FALSE)</f>
        <v>0</v>
      </c>
      <c r="AX441">
        <f>VLOOKUP(Table29[[#This Row],[Shortname]], Comp[], 29, FALSE)</f>
        <v>0</v>
      </c>
      <c r="AY441">
        <f>VLOOKUP(Table29[[#This Row],[Shortname]], Comp[], 30, FALSE)</f>
        <v>0</v>
      </c>
      <c r="AZ441">
        <f>VLOOKUP(Table29[[#This Row],[Shortname]], Comp[], 31, FALSE)</f>
        <v>0</v>
      </c>
    </row>
    <row r="442" spans="1:52" x14ac:dyDescent="0.3">
      <c r="A442" t="s">
        <v>5740</v>
      </c>
      <c r="C442" t="e">
        <v>#N/A</v>
      </c>
      <c r="D442" t="s">
        <v>11</v>
      </c>
      <c r="E442" t="e">
        <v>#N/A</v>
      </c>
      <c r="F442" t="s">
        <v>5741</v>
      </c>
      <c r="G442" t="s">
        <v>5732</v>
      </c>
      <c r="H442">
        <v>774.02542281911303</v>
      </c>
      <c r="I442">
        <v>3.3631216832959399E-4</v>
      </c>
      <c r="J442">
        <f>0.01/Table29[[#This Row],[Strain Rate (min) /s]]</f>
        <v>29.734279463238931</v>
      </c>
      <c r="K442">
        <f>LOG(Table29[[#This Row],[Time to 1% strain (s)]])</f>
        <v>1.4732574189095928</v>
      </c>
      <c r="L442">
        <v>850</v>
      </c>
      <c r="P442" t="s">
        <v>7198</v>
      </c>
      <c r="Q442">
        <v>1250</v>
      </c>
      <c r="R442">
        <v>3</v>
      </c>
      <c r="S442">
        <v>900</v>
      </c>
      <c r="T442">
        <v>4</v>
      </c>
      <c r="U442">
        <v>750</v>
      </c>
      <c r="V442">
        <v>16</v>
      </c>
      <c r="W442">
        <v>1</v>
      </c>
      <c r="X442">
        <v>10</v>
      </c>
      <c r="Y442">
        <v>61.5</v>
      </c>
      <c r="AA442">
        <f>VLOOKUP(Table29[[#This Row],[Shortname]], Comp[], 6, FALSE)</f>
        <v>903</v>
      </c>
      <c r="AB442" s="14">
        <f>VLOOKUP(Table29[[#This Row],[Shortname]], Comp[], 7, FALSE)</f>
        <v>34.92</v>
      </c>
      <c r="AC442">
        <f>VLOOKUP(Table29[[#This Row],[Shortname]], Comp[], 8, FALSE)</f>
        <v>35</v>
      </c>
      <c r="AD442">
        <f>VLOOKUP(Table29[[#This Row],[Shortname]], Comp[], 9, FALSE)</f>
        <v>9</v>
      </c>
      <c r="AE442">
        <f>VLOOKUP(Table29[[#This Row],[Shortname]], Comp[], 10, FALSE)</f>
        <v>15</v>
      </c>
      <c r="AF442">
        <f>VLOOKUP(Table29[[#This Row],[Shortname]], Comp[], 11, FALSE)</f>
        <v>5</v>
      </c>
      <c r="AG442">
        <f>VLOOKUP(Table29[[#This Row],[Shortname]], Comp[],12, FALSE)</f>
        <v>0.3</v>
      </c>
      <c r="AH442">
        <f>VLOOKUP(Table29[[#This Row],[Shortname]], Comp[], 13, FALSE)</f>
        <v>0.2</v>
      </c>
      <c r="AI442">
        <f>VLOOKUP(Table29[[#This Row],[Shortname]], Comp[], 14, FALSE)</f>
        <v>0</v>
      </c>
      <c r="AJ442">
        <f>VLOOKUP(Table29[[#This Row],[Shortname]], Comp[], 15, FALSE)</f>
        <v>0</v>
      </c>
      <c r="AK442">
        <f>VLOOKUP(Table29[[#This Row],[Shortname]], Comp[], 16, FALSE)</f>
        <v>0</v>
      </c>
      <c r="AL442">
        <f>VLOOKUP(Table29[[#This Row],[Shortname]], Comp[], 17, FALSE)</f>
        <v>0</v>
      </c>
      <c r="AM442">
        <f>VLOOKUP(Table29[[#This Row],[Shortname]], Comp[], 18, FALSE)</f>
        <v>0</v>
      </c>
      <c r="AN442">
        <f>VLOOKUP(Table29[[#This Row],[Shortname]], Comp[], 19, FALSE)</f>
        <v>0.08</v>
      </c>
      <c r="AO442">
        <f>VLOOKUP(Table29[[#This Row],[Shortname]], Comp[], 20, FALSE)</f>
        <v>0</v>
      </c>
      <c r="AP442">
        <f>VLOOKUP(Table29[[#This Row],[Shortname]], Comp[], 21, FALSE)</f>
        <v>0</v>
      </c>
      <c r="AQ442">
        <f>VLOOKUP(Table29[[#This Row],[Shortname]], Comp[], 22, FALSE)</f>
        <v>0.4</v>
      </c>
      <c r="AR442">
        <f>VLOOKUP(Table29[[#This Row],[Shortname]], Comp[], 23, FALSE)</f>
        <v>0</v>
      </c>
      <c r="AS442">
        <f>VLOOKUP(Table29[[#This Row],[Shortname]], Comp[], 24, FALSE)</f>
        <v>0</v>
      </c>
      <c r="AT442">
        <f>VLOOKUP(Table29[[#This Row],[Shortname]], Comp[], 25, FALSE)</f>
        <v>0.1</v>
      </c>
      <c r="AU442">
        <f>VLOOKUP(Table29[[#This Row],[Shortname]], Comp[], 26, FALSE)</f>
        <v>0</v>
      </c>
      <c r="AV442">
        <f>VLOOKUP(Table29[[#This Row],[Shortname]], Comp[], 27, FALSE)</f>
        <v>0</v>
      </c>
      <c r="AW442">
        <f>VLOOKUP(Table29[[#This Row],[Shortname]], Comp[], 28, FALSE)</f>
        <v>0</v>
      </c>
      <c r="AX442">
        <f>VLOOKUP(Table29[[#This Row],[Shortname]], Comp[], 29, FALSE)</f>
        <v>0</v>
      </c>
      <c r="AY442">
        <f>VLOOKUP(Table29[[#This Row],[Shortname]], Comp[], 30, FALSE)</f>
        <v>0</v>
      </c>
      <c r="AZ442">
        <f>VLOOKUP(Table29[[#This Row],[Shortname]], Comp[], 31, FALSE)</f>
        <v>0</v>
      </c>
    </row>
    <row r="443" spans="1:52" x14ac:dyDescent="0.3">
      <c r="A443" t="s">
        <v>5888</v>
      </c>
      <c r="C443" t="s">
        <v>11</v>
      </c>
      <c r="E443" t="e">
        <v>#N/A</v>
      </c>
      <c r="F443" t="s">
        <v>5889</v>
      </c>
      <c r="G443" t="s">
        <v>5890</v>
      </c>
      <c r="H443">
        <v>100</v>
      </c>
      <c r="I443">
        <v>1.1999999999999999E-6</v>
      </c>
      <c r="J443">
        <f>0.01/Table29[[#This Row],[Strain Rate (min) /s]]</f>
        <v>8333.3333333333339</v>
      </c>
      <c r="K443">
        <f>LOG(Table29[[#This Row],[Time to 1% strain (s)]])</f>
        <v>3.9208187539523753</v>
      </c>
      <c r="L443">
        <v>950</v>
      </c>
      <c r="P443" t="s">
        <v>7199</v>
      </c>
      <c r="Q443">
        <v>1230</v>
      </c>
      <c r="R443">
        <v>2</v>
      </c>
      <c r="S443">
        <v>1080</v>
      </c>
      <c r="T443">
        <v>2</v>
      </c>
      <c r="U443">
        <v>870</v>
      </c>
      <c r="V443">
        <v>20</v>
      </c>
      <c r="W443">
        <v>1</v>
      </c>
      <c r="X443">
        <v>100</v>
      </c>
      <c r="Y443">
        <v>42</v>
      </c>
      <c r="AA443">
        <f>VLOOKUP(Table29[[#This Row],[Shortname]], Comp[], 6, FALSE)</f>
        <v>944</v>
      </c>
      <c r="AB443" s="14">
        <f>VLOOKUP(Table29[[#This Row],[Shortname]], Comp[], 7, FALSE)</f>
        <v>42.339999999999989</v>
      </c>
      <c r="AC443">
        <f>VLOOKUP(Table29[[#This Row],[Shortname]], Comp[], 8, FALSE)</f>
        <v>28.7</v>
      </c>
      <c r="AD443">
        <f>VLOOKUP(Table29[[#This Row],[Shortname]], Comp[], 9, FALSE)</f>
        <v>9</v>
      </c>
      <c r="AE443">
        <f>VLOOKUP(Table29[[#This Row],[Shortname]], Comp[], 10, FALSE)</f>
        <v>14.2</v>
      </c>
      <c r="AF443">
        <f>VLOOKUP(Table29[[#This Row],[Shortname]], Comp[], 11, FALSE)</f>
        <v>4.5999999999999996</v>
      </c>
      <c r="AG443">
        <f>VLOOKUP(Table29[[#This Row],[Shortname]], Comp[],12, FALSE)</f>
        <v>0.3</v>
      </c>
      <c r="AH443">
        <f>VLOOKUP(Table29[[#This Row],[Shortname]], Comp[], 13, FALSE)</f>
        <v>0.2</v>
      </c>
      <c r="AI443">
        <f>VLOOKUP(Table29[[#This Row],[Shortname]], Comp[], 14, FALSE)</f>
        <v>0</v>
      </c>
      <c r="AJ443">
        <f>VLOOKUP(Table29[[#This Row],[Shortname]], Comp[], 15, FALSE)</f>
        <v>0</v>
      </c>
      <c r="AK443">
        <f>VLOOKUP(Table29[[#This Row],[Shortname]], Comp[], 16, FALSE)</f>
        <v>0</v>
      </c>
      <c r="AL443">
        <f>VLOOKUP(Table29[[#This Row],[Shortname]], Comp[], 17, FALSE)</f>
        <v>0.4</v>
      </c>
      <c r="AM443">
        <f>VLOOKUP(Table29[[#This Row],[Shortname]], Comp[], 18, FALSE)</f>
        <v>0</v>
      </c>
      <c r="AN443">
        <f>VLOOKUP(Table29[[#This Row],[Shortname]], Comp[], 19, FALSE)</f>
        <v>0.06</v>
      </c>
      <c r="AO443">
        <f>VLOOKUP(Table29[[#This Row],[Shortname]], Comp[], 20, FALSE)</f>
        <v>0</v>
      </c>
      <c r="AP443">
        <f>VLOOKUP(Table29[[#This Row],[Shortname]], Comp[], 21, FALSE)</f>
        <v>0</v>
      </c>
      <c r="AQ443">
        <f>VLOOKUP(Table29[[#This Row],[Shortname]], Comp[], 22, FALSE)</f>
        <v>0</v>
      </c>
      <c r="AR443">
        <f>VLOOKUP(Table29[[#This Row],[Shortname]], Comp[], 23, FALSE)</f>
        <v>0</v>
      </c>
      <c r="AS443">
        <f>VLOOKUP(Table29[[#This Row],[Shortname]], Comp[], 24, FALSE)</f>
        <v>0.1</v>
      </c>
      <c r="AT443">
        <f>VLOOKUP(Table29[[#This Row],[Shortname]], Comp[], 25, FALSE)</f>
        <v>0.1</v>
      </c>
      <c r="AU443">
        <f>VLOOKUP(Table29[[#This Row],[Shortname]], Comp[], 26, FALSE)</f>
        <v>0</v>
      </c>
      <c r="AV443">
        <f>VLOOKUP(Table29[[#This Row],[Shortname]], Comp[], 27, FALSE)</f>
        <v>0</v>
      </c>
      <c r="AW443">
        <f>VLOOKUP(Table29[[#This Row],[Shortname]], Comp[], 28, FALSE)</f>
        <v>0</v>
      </c>
      <c r="AX443">
        <f>VLOOKUP(Table29[[#This Row],[Shortname]], Comp[], 29, FALSE)</f>
        <v>0</v>
      </c>
      <c r="AY443">
        <f>VLOOKUP(Table29[[#This Row],[Shortname]], Comp[], 30, FALSE)</f>
        <v>0</v>
      </c>
      <c r="AZ443">
        <f>VLOOKUP(Table29[[#This Row],[Shortname]], Comp[], 31, FALSE)</f>
        <v>0</v>
      </c>
    </row>
    <row r="444" spans="1:52" x14ac:dyDescent="0.3">
      <c r="A444" t="s">
        <v>6125</v>
      </c>
      <c r="C444" t="e">
        <v>#N/A</v>
      </c>
      <c r="D444" t="e">
        <v>#N/A</v>
      </c>
      <c r="E444" t="e">
        <v>#N/A</v>
      </c>
      <c r="F444" t="s">
        <v>6126</v>
      </c>
      <c r="G444" t="s">
        <v>6127</v>
      </c>
      <c r="H444">
        <v>100</v>
      </c>
      <c r="I444">
        <v>1.5830000000000001E-7</v>
      </c>
      <c r="J444">
        <f>0.01/Table29[[#This Row],[Strain Rate (min) /s]]</f>
        <v>63171.193935565381</v>
      </c>
      <c r="K444">
        <f>LOG(Table29[[#This Row],[Time to 1% strain (s)]])</f>
        <v>4.800519085137644</v>
      </c>
      <c r="L444">
        <v>950</v>
      </c>
      <c r="P444" t="s">
        <v>7200</v>
      </c>
      <c r="Q444">
        <v>1275</v>
      </c>
      <c r="R444">
        <v>48</v>
      </c>
      <c r="S444">
        <v>900</v>
      </c>
      <c r="T444">
        <v>168</v>
      </c>
      <c r="W444">
        <v>1</v>
      </c>
      <c r="X444">
        <v>10</v>
      </c>
      <c r="Y444">
        <v>100</v>
      </c>
      <c r="AA444">
        <f>VLOOKUP(Table29[[#This Row],[Shortname]], Comp[], 6, FALSE)</f>
        <v>1001</v>
      </c>
      <c r="AB444" s="14">
        <f>VLOOKUP(Table29[[#This Row],[Shortname]], Comp[], 7, FALSE)</f>
        <v>46.150000000000006</v>
      </c>
      <c r="AC444">
        <f>VLOOKUP(Table29[[#This Row],[Shortname]], Comp[], 8, FALSE)</f>
        <v>29.99</v>
      </c>
      <c r="AD444">
        <f>VLOOKUP(Table29[[#This Row],[Shortname]], Comp[], 9, FALSE)</f>
        <v>11.74</v>
      </c>
      <c r="AE444">
        <f>VLOOKUP(Table29[[#This Row],[Shortname]], Comp[], 10, FALSE)</f>
        <v>0</v>
      </c>
      <c r="AF444">
        <f>VLOOKUP(Table29[[#This Row],[Shortname]], Comp[], 11, FALSE)</f>
        <v>5.48</v>
      </c>
      <c r="AG444">
        <f>VLOOKUP(Table29[[#This Row],[Shortname]], Comp[],12, FALSE)</f>
        <v>4.0599999999999996</v>
      </c>
      <c r="AH444">
        <f>VLOOKUP(Table29[[#This Row],[Shortname]], Comp[], 13, FALSE)</f>
        <v>2.5</v>
      </c>
      <c r="AI444">
        <f>VLOOKUP(Table29[[#This Row],[Shortname]], Comp[], 14, FALSE)</f>
        <v>0</v>
      </c>
      <c r="AJ444">
        <f>VLOOKUP(Table29[[#This Row],[Shortname]], Comp[], 15, FALSE)</f>
        <v>0</v>
      </c>
      <c r="AK444">
        <f>VLOOKUP(Table29[[#This Row],[Shortname]], Comp[], 16, FALSE)</f>
        <v>0</v>
      </c>
      <c r="AL444">
        <f>VLOOKUP(Table29[[#This Row],[Shortname]], Comp[], 17, FALSE)</f>
        <v>0</v>
      </c>
      <c r="AM444">
        <f>VLOOKUP(Table29[[#This Row],[Shortname]], Comp[], 18, FALSE)</f>
        <v>0</v>
      </c>
      <c r="AN444">
        <f>VLOOKUP(Table29[[#This Row],[Shortname]], Comp[], 19, FALSE)</f>
        <v>0.08</v>
      </c>
      <c r="AO444">
        <f>VLOOKUP(Table29[[#This Row],[Shortname]], Comp[], 20, FALSE)</f>
        <v>0</v>
      </c>
      <c r="AP444">
        <f>VLOOKUP(Table29[[#This Row],[Shortname]], Comp[], 21, FALSE)</f>
        <v>0</v>
      </c>
      <c r="AQ444">
        <f>VLOOKUP(Table29[[#This Row],[Shortname]], Comp[], 22, FALSE)</f>
        <v>0</v>
      </c>
      <c r="AR444">
        <f>VLOOKUP(Table29[[#This Row],[Shortname]], Comp[], 23, FALSE)</f>
        <v>0</v>
      </c>
      <c r="AS444">
        <f>VLOOKUP(Table29[[#This Row],[Shortname]], Comp[], 24, FALSE)</f>
        <v>0</v>
      </c>
      <c r="AT444">
        <f>VLOOKUP(Table29[[#This Row],[Shortname]], Comp[], 25, FALSE)</f>
        <v>0</v>
      </c>
      <c r="AU444">
        <f>VLOOKUP(Table29[[#This Row],[Shortname]], Comp[], 26, FALSE)</f>
        <v>0</v>
      </c>
      <c r="AV444">
        <f>VLOOKUP(Table29[[#This Row],[Shortname]], Comp[], 27, FALSE)</f>
        <v>0</v>
      </c>
      <c r="AW444">
        <f>VLOOKUP(Table29[[#This Row],[Shortname]], Comp[], 28, FALSE)</f>
        <v>0</v>
      </c>
      <c r="AX444">
        <f>VLOOKUP(Table29[[#This Row],[Shortname]], Comp[], 29, FALSE)</f>
        <v>0</v>
      </c>
      <c r="AY444">
        <f>VLOOKUP(Table29[[#This Row],[Shortname]], Comp[], 30, FALSE)</f>
        <v>0</v>
      </c>
      <c r="AZ444">
        <f>VLOOKUP(Table29[[#This Row],[Shortname]], Comp[], 31, FALSE)</f>
        <v>0</v>
      </c>
    </row>
    <row r="445" spans="1:52" x14ac:dyDescent="0.3">
      <c r="A445" t="s">
        <v>6125</v>
      </c>
      <c r="C445" t="e">
        <v>#N/A</v>
      </c>
      <c r="D445" t="s">
        <v>11</v>
      </c>
      <c r="E445" t="e">
        <v>#N/A</v>
      </c>
      <c r="F445" t="s">
        <v>6126</v>
      </c>
      <c r="G445" t="s">
        <v>6127</v>
      </c>
      <c r="H445">
        <v>150</v>
      </c>
      <c r="I445">
        <v>3.5919999999999999E-7</v>
      </c>
      <c r="J445">
        <f>0.01/Table29[[#This Row],[Strain Rate (min) /s]]</f>
        <v>27839.643652561248</v>
      </c>
      <c r="K445">
        <f>LOG(Table29[[#This Row],[Time to 1% strain (s)]])</f>
        <v>4.444663672004733</v>
      </c>
      <c r="L445">
        <v>950</v>
      </c>
      <c r="P445" t="s">
        <v>7200</v>
      </c>
      <c r="Q445">
        <v>1275</v>
      </c>
      <c r="R445">
        <v>48</v>
      </c>
      <c r="S445">
        <v>900</v>
      </c>
      <c r="T445">
        <v>168</v>
      </c>
      <c r="W445">
        <v>1</v>
      </c>
      <c r="X445">
        <v>10</v>
      </c>
      <c r="Y445">
        <v>100</v>
      </c>
      <c r="AA445">
        <f>VLOOKUP(Table29[[#This Row],[Shortname]], Comp[], 6, FALSE)</f>
        <v>1001</v>
      </c>
      <c r="AB445" s="14">
        <f>VLOOKUP(Table29[[#This Row],[Shortname]], Comp[], 7, FALSE)</f>
        <v>46.150000000000006</v>
      </c>
      <c r="AC445">
        <f>VLOOKUP(Table29[[#This Row],[Shortname]], Comp[], 8, FALSE)</f>
        <v>29.99</v>
      </c>
      <c r="AD445">
        <f>VLOOKUP(Table29[[#This Row],[Shortname]], Comp[], 9, FALSE)</f>
        <v>11.74</v>
      </c>
      <c r="AE445">
        <f>VLOOKUP(Table29[[#This Row],[Shortname]], Comp[], 10, FALSE)</f>
        <v>0</v>
      </c>
      <c r="AF445">
        <f>VLOOKUP(Table29[[#This Row],[Shortname]], Comp[], 11, FALSE)</f>
        <v>5.48</v>
      </c>
      <c r="AG445">
        <f>VLOOKUP(Table29[[#This Row],[Shortname]], Comp[],12, FALSE)</f>
        <v>4.0599999999999996</v>
      </c>
      <c r="AH445">
        <f>VLOOKUP(Table29[[#This Row],[Shortname]], Comp[], 13, FALSE)</f>
        <v>2.5</v>
      </c>
      <c r="AI445">
        <f>VLOOKUP(Table29[[#This Row],[Shortname]], Comp[], 14, FALSE)</f>
        <v>0</v>
      </c>
      <c r="AJ445">
        <f>VLOOKUP(Table29[[#This Row],[Shortname]], Comp[], 15, FALSE)</f>
        <v>0</v>
      </c>
      <c r="AK445">
        <f>VLOOKUP(Table29[[#This Row],[Shortname]], Comp[], 16, FALSE)</f>
        <v>0</v>
      </c>
      <c r="AL445">
        <f>VLOOKUP(Table29[[#This Row],[Shortname]], Comp[], 17, FALSE)</f>
        <v>0</v>
      </c>
      <c r="AM445">
        <f>VLOOKUP(Table29[[#This Row],[Shortname]], Comp[], 18, FALSE)</f>
        <v>0</v>
      </c>
      <c r="AN445">
        <f>VLOOKUP(Table29[[#This Row],[Shortname]], Comp[], 19, FALSE)</f>
        <v>0.08</v>
      </c>
      <c r="AO445">
        <f>VLOOKUP(Table29[[#This Row],[Shortname]], Comp[], 20, FALSE)</f>
        <v>0</v>
      </c>
      <c r="AP445">
        <f>VLOOKUP(Table29[[#This Row],[Shortname]], Comp[], 21, FALSE)</f>
        <v>0</v>
      </c>
      <c r="AQ445">
        <f>VLOOKUP(Table29[[#This Row],[Shortname]], Comp[], 22, FALSE)</f>
        <v>0</v>
      </c>
      <c r="AR445">
        <f>VLOOKUP(Table29[[#This Row],[Shortname]], Comp[], 23, FALSE)</f>
        <v>0</v>
      </c>
      <c r="AS445">
        <f>VLOOKUP(Table29[[#This Row],[Shortname]], Comp[], 24, FALSE)</f>
        <v>0</v>
      </c>
      <c r="AT445">
        <f>VLOOKUP(Table29[[#This Row],[Shortname]], Comp[], 25, FALSE)</f>
        <v>0</v>
      </c>
      <c r="AU445">
        <f>VLOOKUP(Table29[[#This Row],[Shortname]], Comp[], 26, FALSE)</f>
        <v>0</v>
      </c>
      <c r="AV445">
        <f>VLOOKUP(Table29[[#This Row],[Shortname]], Comp[], 27, FALSE)</f>
        <v>0</v>
      </c>
      <c r="AW445">
        <f>VLOOKUP(Table29[[#This Row],[Shortname]], Comp[], 28, FALSE)</f>
        <v>0</v>
      </c>
      <c r="AX445">
        <f>VLOOKUP(Table29[[#This Row],[Shortname]], Comp[], 29, FALSE)</f>
        <v>0</v>
      </c>
      <c r="AY445">
        <f>VLOOKUP(Table29[[#This Row],[Shortname]], Comp[], 30, FALSE)</f>
        <v>0</v>
      </c>
      <c r="AZ445">
        <f>VLOOKUP(Table29[[#This Row],[Shortname]], Comp[], 31, FALSE)</f>
        <v>0</v>
      </c>
    </row>
    <row r="446" spans="1:52" x14ac:dyDescent="0.3">
      <c r="A446" t="s">
        <v>6125</v>
      </c>
      <c r="C446" t="e">
        <v>#N/A</v>
      </c>
      <c r="D446" t="s">
        <v>11</v>
      </c>
      <c r="E446" t="e">
        <v>#N/A</v>
      </c>
      <c r="F446" t="s">
        <v>6126</v>
      </c>
      <c r="G446" t="s">
        <v>6127</v>
      </c>
      <c r="H446">
        <v>200</v>
      </c>
      <c r="I446">
        <v>7.4079999999999996E-7</v>
      </c>
      <c r="J446">
        <f>0.01/Table29[[#This Row],[Strain Rate (min) /s]]</f>
        <v>13498.920086393089</v>
      </c>
      <c r="K446">
        <f>LOG(Table29[[#This Row],[Time to 1% strain (s)]])</f>
        <v>4.1302990263261217</v>
      </c>
      <c r="L446">
        <v>950</v>
      </c>
      <c r="P446" t="s">
        <v>7200</v>
      </c>
      <c r="Q446">
        <v>1275</v>
      </c>
      <c r="R446">
        <v>48</v>
      </c>
      <c r="S446">
        <v>900</v>
      </c>
      <c r="T446">
        <v>168</v>
      </c>
      <c r="W446">
        <v>1</v>
      </c>
      <c r="X446">
        <v>10</v>
      </c>
      <c r="Y446">
        <v>100</v>
      </c>
      <c r="AA446">
        <f>VLOOKUP(Table29[[#This Row],[Shortname]], Comp[], 6, FALSE)</f>
        <v>1001</v>
      </c>
      <c r="AB446" s="14">
        <f>VLOOKUP(Table29[[#This Row],[Shortname]], Comp[], 7, FALSE)</f>
        <v>46.150000000000006</v>
      </c>
      <c r="AC446">
        <f>VLOOKUP(Table29[[#This Row],[Shortname]], Comp[], 8, FALSE)</f>
        <v>29.99</v>
      </c>
      <c r="AD446">
        <f>VLOOKUP(Table29[[#This Row],[Shortname]], Comp[], 9, FALSE)</f>
        <v>11.74</v>
      </c>
      <c r="AE446">
        <f>VLOOKUP(Table29[[#This Row],[Shortname]], Comp[], 10, FALSE)</f>
        <v>0</v>
      </c>
      <c r="AF446">
        <f>VLOOKUP(Table29[[#This Row],[Shortname]], Comp[], 11, FALSE)</f>
        <v>5.48</v>
      </c>
      <c r="AG446">
        <f>VLOOKUP(Table29[[#This Row],[Shortname]], Comp[],12, FALSE)</f>
        <v>4.0599999999999996</v>
      </c>
      <c r="AH446">
        <f>VLOOKUP(Table29[[#This Row],[Shortname]], Comp[], 13, FALSE)</f>
        <v>2.5</v>
      </c>
      <c r="AI446">
        <f>VLOOKUP(Table29[[#This Row],[Shortname]], Comp[], 14, FALSE)</f>
        <v>0</v>
      </c>
      <c r="AJ446">
        <f>VLOOKUP(Table29[[#This Row],[Shortname]], Comp[], 15, FALSE)</f>
        <v>0</v>
      </c>
      <c r="AK446">
        <f>VLOOKUP(Table29[[#This Row],[Shortname]], Comp[], 16, FALSE)</f>
        <v>0</v>
      </c>
      <c r="AL446">
        <f>VLOOKUP(Table29[[#This Row],[Shortname]], Comp[], 17, FALSE)</f>
        <v>0</v>
      </c>
      <c r="AM446">
        <f>VLOOKUP(Table29[[#This Row],[Shortname]], Comp[], 18, FALSE)</f>
        <v>0</v>
      </c>
      <c r="AN446">
        <f>VLOOKUP(Table29[[#This Row],[Shortname]], Comp[], 19, FALSE)</f>
        <v>0.08</v>
      </c>
      <c r="AO446">
        <f>VLOOKUP(Table29[[#This Row],[Shortname]], Comp[], 20, FALSE)</f>
        <v>0</v>
      </c>
      <c r="AP446">
        <f>VLOOKUP(Table29[[#This Row],[Shortname]], Comp[], 21, FALSE)</f>
        <v>0</v>
      </c>
      <c r="AQ446">
        <f>VLOOKUP(Table29[[#This Row],[Shortname]], Comp[], 22, FALSE)</f>
        <v>0</v>
      </c>
      <c r="AR446">
        <f>VLOOKUP(Table29[[#This Row],[Shortname]], Comp[], 23, FALSE)</f>
        <v>0</v>
      </c>
      <c r="AS446">
        <f>VLOOKUP(Table29[[#This Row],[Shortname]], Comp[], 24, FALSE)</f>
        <v>0</v>
      </c>
      <c r="AT446">
        <f>VLOOKUP(Table29[[#This Row],[Shortname]], Comp[], 25, FALSE)</f>
        <v>0</v>
      </c>
      <c r="AU446">
        <f>VLOOKUP(Table29[[#This Row],[Shortname]], Comp[], 26, FALSE)</f>
        <v>0</v>
      </c>
      <c r="AV446">
        <f>VLOOKUP(Table29[[#This Row],[Shortname]], Comp[], 27, FALSE)</f>
        <v>0</v>
      </c>
      <c r="AW446">
        <f>VLOOKUP(Table29[[#This Row],[Shortname]], Comp[], 28, FALSE)</f>
        <v>0</v>
      </c>
      <c r="AX446">
        <f>VLOOKUP(Table29[[#This Row],[Shortname]], Comp[], 29, FALSE)</f>
        <v>0</v>
      </c>
      <c r="AY446">
        <f>VLOOKUP(Table29[[#This Row],[Shortname]], Comp[], 30, FALSE)</f>
        <v>0</v>
      </c>
      <c r="AZ446">
        <f>VLOOKUP(Table29[[#This Row],[Shortname]], Comp[], 31, FALSE)</f>
        <v>0</v>
      </c>
    </row>
    <row r="447" spans="1:52" x14ac:dyDescent="0.3">
      <c r="A447" t="s">
        <v>6125</v>
      </c>
      <c r="C447" t="e">
        <v>#N/A</v>
      </c>
      <c r="D447" t="s">
        <v>11</v>
      </c>
      <c r="E447" t="e">
        <v>#N/A</v>
      </c>
      <c r="F447" t="s">
        <v>6126</v>
      </c>
      <c r="G447" t="s">
        <v>6127</v>
      </c>
      <c r="H447">
        <v>250</v>
      </c>
      <c r="I447">
        <v>1.3370000000000001E-6</v>
      </c>
      <c r="J447">
        <f>0.01/Table29[[#This Row],[Strain Rate (min) /s]]</f>
        <v>7479.4315632011967</v>
      </c>
      <c r="K447">
        <f>LOG(Table29[[#This Row],[Time to 1% strain (s)]])</f>
        <v>3.8738685927380154</v>
      </c>
      <c r="L447">
        <v>950</v>
      </c>
      <c r="P447" t="s">
        <v>7200</v>
      </c>
      <c r="Q447">
        <v>1275</v>
      </c>
      <c r="R447">
        <v>48</v>
      </c>
      <c r="S447">
        <v>900</v>
      </c>
      <c r="T447">
        <v>168</v>
      </c>
      <c r="W447">
        <v>1</v>
      </c>
      <c r="X447">
        <v>10</v>
      </c>
      <c r="Y447">
        <v>100</v>
      </c>
      <c r="AA447">
        <f>VLOOKUP(Table29[[#This Row],[Shortname]], Comp[], 6, FALSE)</f>
        <v>1001</v>
      </c>
      <c r="AB447" s="14">
        <f>VLOOKUP(Table29[[#This Row],[Shortname]], Comp[], 7, FALSE)</f>
        <v>46.150000000000006</v>
      </c>
      <c r="AC447">
        <f>VLOOKUP(Table29[[#This Row],[Shortname]], Comp[], 8, FALSE)</f>
        <v>29.99</v>
      </c>
      <c r="AD447">
        <f>VLOOKUP(Table29[[#This Row],[Shortname]], Comp[], 9, FALSE)</f>
        <v>11.74</v>
      </c>
      <c r="AE447">
        <f>VLOOKUP(Table29[[#This Row],[Shortname]], Comp[], 10, FALSE)</f>
        <v>0</v>
      </c>
      <c r="AF447">
        <f>VLOOKUP(Table29[[#This Row],[Shortname]], Comp[], 11, FALSE)</f>
        <v>5.48</v>
      </c>
      <c r="AG447">
        <f>VLOOKUP(Table29[[#This Row],[Shortname]], Comp[],12, FALSE)</f>
        <v>4.0599999999999996</v>
      </c>
      <c r="AH447">
        <f>VLOOKUP(Table29[[#This Row],[Shortname]], Comp[], 13, FALSE)</f>
        <v>2.5</v>
      </c>
      <c r="AI447">
        <f>VLOOKUP(Table29[[#This Row],[Shortname]], Comp[], 14, FALSE)</f>
        <v>0</v>
      </c>
      <c r="AJ447">
        <f>VLOOKUP(Table29[[#This Row],[Shortname]], Comp[], 15, FALSE)</f>
        <v>0</v>
      </c>
      <c r="AK447">
        <f>VLOOKUP(Table29[[#This Row],[Shortname]], Comp[], 16, FALSE)</f>
        <v>0</v>
      </c>
      <c r="AL447">
        <f>VLOOKUP(Table29[[#This Row],[Shortname]], Comp[], 17, FALSE)</f>
        <v>0</v>
      </c>
      <c r="AM447">
        <f>VLOOKUP(Table29[[#This Row],[Shortname]], Comp[], 18, FALSE)</f>
        <v>0</v>
      </c>
      <c r="AN447">
        <f>VLOOKUP(Table29[[#This Row],[Shortname]], Comp[], 19, FALSE)</f>
        <v>0.08</v>
      </c>
      <c r="AO447">
        <f>VLOOKUP(Table29[[#This Row],[Shortname]], Comp[], 20, FALSE)</f>
        <v>0</v>
      </c>
      <c r="AP447">
        <f>VLOOKUP(Table29[[#This Row],[Shortname]], Comp[], 21, FALSE)</f>
        <v>0</v>
      </c>
      <c r="AQ447">
        <f>VLOOKUP(Table29[[#This Row],[Shortname]], Comp[], 22, FALSE)</f>
        <v>0</v>
      </c>
      <c r="AR447">
        <f>VLOOKUP(Table29[[#This Row],[Shortname]], Comp[], 23, FALSE)</f>
        <v>0</v>
      </c>
      <c r="AS447">
        <f>VLOOKUP(Table29[[#This Row],[Shortname]], Comp[], 24, FALSE)</f>
        <v>0</v>
      </c>
      <c r="AT447">
        <f>VLOOKUP(Table29[[#This Row],[Shortname]], Comp[], 25, FALSE)</f>
        <v>0</v>
      </c>
      <c r="AU447">
        <f>VLOOKUP(Table29[[#This Row],[Shortname]], Comp[], 26, FALSE)</f>
        <v>0</v>
      </c>
      <c r="AV447">
        <f>VLOOKUP(Table29[[#This Row],[Shortname]], Comp[], 27, FALSE)</f>
        <v>0</v>
      </c>
      <c r="AW447">
        <f>VLOOKUP(Table29[[#This Row],[Shortname]], Comp[], 28, FALSE)</f>
        <v>0</v>
      </c>
      <c r="AX447">
        <f>VLOOKUP(Table29[[#This Row],[Shortname]], Comp[], 29, FALSE)</f>
        <v>0</v>
      </c>
      <c r="AY447">
        <f>VLOOKUP(Table29[[#This Row],[Shortname]], Comp[], 30, FALSE)</f>
        <v>0</v>
      </c>
      <c r="AZ447">
        <f>VLOOKUP(Table29[[#This Row],[Shortname]], Comp[], 31, FALSE)</f>
        <v>0</v>
      </c>
    </row>
    <row r="448" spans="1:52" x14ac:dyDescent="0.3">
      <c r="A448" t="s">
        <v>6125</v>
      </c>
      <c r="C448" t="e">
        <v>#N/A</v>
      </c>
      <c r="D448" t="s">
        <v>11</v>
      </c>
      <c r="E448" t="e">
        <v>#N/A</v>
      </c>
      <c r="F448" t="s">
        <v>6126</v>
      </c>
      <c r="G448" t="s">
        <v>6127</v>
      </c>
      <c r="H448">
        <v>300</v>
      </c>
      <c r="I448">
        <v>2.5069999999999999E-6</v>
      </c>
      <c r="J448">
        <f>0.01/Table29[[#This Row],[Strain Rate (min) /s]]</f>
        <v>3988.8312724371763</v>
      </c>
      <c r="K448">
        <f>LOG(Table29[[#This Row],[Time to 1% strain (s)]])</f>
        <v>3.6008456660417836</v>
      </c>
      <c r="L448">
        <v>950</v>
      </c>
      <c r="P448" t="s">
        <v>7200</v>
      </c>
      <c r="Q448">
        <v>1275</v>
      </c>
      <c r="R448">
        <v>48</v>
      </c>
      <c r="S448">
        <v>900</v>
      </c>
      <c r="T448">
        <v>168</v>
      </c>
      <c r="W448">
        <v>1</v>
      </c>
      <c r="X448">
        <v>10</v>
      </c>
      <c r="Y448">
        <v>100</v>
      </c>
      <c r="AA448">
        <f>VLOOKUP(Table29[[#This Row],[Shortname]], Comp[], 6, FALSE)</f>
        <v>1001</v>
      </c>
      <c r="AB448" s="14">
        <f>VLOOKUP(Table29[[#This Row],[Shortname]], Comp[], 7, FALSE)</f>
        <v>46.150000000000006</v>
      </c>
      <c r="AC448">
        <f>VLOOKUP(Table29[[#This Row],[Shortname]], Comp[], 8, FALSE)</f>
        <v>29.99</v>
      </c>
      <c r="AD448">
        <f>VLOOKUP(Table29[[#This Row],[Shortname]], Comp[], 9, FALSE)</f>
        <v>11.74</v>
      </c>
      <c r="AE448">
        <f>VLOOKUP(Table29[[#This Row],[Shortname]], Comp[], 10, FALSE)</f>
        <v>0</v>
      </c>
      <c r="AF448">
        <f>VLOOKUP(Table29[[#This Row],[Shortname]], Comp[], 11, FALSE)</f>
        <v>5.48</v>
      </c>
      <c r="AG448">
        <f>VLOOKUP(Table29[[#This Row],[Shortname]], Comp[],12, FALSE)</f>
        <v>4.0599999999999996</v>
      </c>
      <c r="AH448">
        <f>VLOOKUP(Table29[[#This Row],[Shortname]], Comp[], 13, FALSE)</f>
        <v>2.5</v>
      </c>
      <c r="AI448">
        <f>VLOOKUP(Table29[[#This Row],[Shortname]], Comp[], 14, FALSE)</f>
        <v>0</v>
      </c>
      <c r="AJ448">
        <f>VLOOKUP(Table29[[#This Row],[Shortname]], Comp[], 15, FALSE)</f>
        <v>0</v>
      </c>
      <c r="AK448">
        <f>VLOOKUP(Table29[[#This Row],[Shortname]], Comp[], 16, FALSE)</f>
        <v>0</v>
      </c>
      <c r="AL448">
        <f>VLOOKUP(Table29[[#This Row],[Shortname]], Comp[], 17, FALSE)</f>
        <v>0</v>
      </c>
      <c r="AM448">
        <f>VLOOKUP(Table29[[#This Row],[Shortname]], Comp[], 18, FALSE)</f>
        <v>0</v>
      </c>
      <c r="AN448">
        <f>VLOOKUP(Table29[[#This Row],[Shortname]], Comp[], 19, FALSE)</f>
        <v>0.08</v>
      </c>
      <c r="AO448">
        <f>VLOOKUP(Table29[[#This Row],[Shortname]], Comp[], 20, FALSE)</f>
        <v>0</v>
      </c>
      <c r="AP448">
        <f>VLOOKUP(Table29[[#This Row],[Shortname]], Comp[], 21, FALSE)</f>
        <v>0</v>
      </c>
      <c r="AQ448">
        <f>VLOOKUP(Table29[[#This Row],[Shortname]], Comp[], 22, FALSE)</f>
        <v>0</v>
      </c>
      <c r="AR448">
        <f>VLOOKUP(Table29[[#This Row],[Shortname]], Comp[], 23, FALSE)</f>
        <v>0</v>
      </c>
      <c r="AS448">
        <f>VLOOKUP(Table29[[#This Row],[Shortname]], Comp[], 24, FALSE)</f>
        <v>0</v>
      </c>
      <c r="AT448">
        <f>VLOOKUP(Table29[[#This Row],[Shortname]], Comp[], 25, FALSE)</f>
        <v>0</v>
      </c>
      <c r="AU448">
        <f>VLOOKUP(Table29[[#This Row],[Shortname]], Comp[], 26, FALSE)</f>
        <v>0</v>
      </c>
      <c r="AV448">
        <f>VLOOKUP(Table29[[#This Row],[Shortname]], Comp[], 27, FALSE)</f>
        <v>0</v>
      </c>
      <c r="AW448">
        <f>VLOOKUP(Table29[[#This Row],[Shortname]], Comp[], 28, FALSE)</f>
        <v>0</v>
      </c>
      <c r="AX448">
        <f>VLOOKUP(Table29[[#This Row],[Shortname]], Comp[], 29, FALSE)</f>
        <v>0</v>
      </c>
      <c r="AY448">
        <f>VLOOKUP(Table29[[#This Row],[Shortname]], Comp[], 30, FALSE)</f>
        <v>0</v>
      </c>
      <c r="AZ448">
        <f>VLOOKUP(Table29[[#This Row],[Shortname]], Comp[], 31, FALSE)</f>
        <v>0</v>
      </c>
    </row>
    <row r="449" spans="1:52" x14ac:dyDescent="0.3">
      <c r="A449" t="s">
        <v>6125</v>
      </c>
      <c r="C449" t="e">
        <v>#N/A</v>
      </c>
      <c r="D449" t="s">
        <v>11</v>
      </c>
      <c r="E449" t="e">
        <v>#N/A</v>
      </c>
      <c r="F449" t="s">
        <v>6126</v>
      </c>
      <c r="G449" t="s">
        <v>6127</v>
      </c>
      <c r="H449">
        <v>350</v>
      </c>
      <c r="I449">
        <v>4.2740000000000001E-6</v>
      </c>
      <c r="J449">
        <f>0.01/Table29[[#This Row],[Strain Rate (min) /s]]</f>
        <v>2339.7285914833878</v>
      </c>
      <c r="K449">
        <f>LOG(Table29[[#This Row],[Time to 1% strain (s)]])</f>
        <v>3.3691654821719492</v>
      </c>
      <c r="L449">
        <v>950</v>
      </c>
      <c r="P449" t="s">
        <v>7200</v>
      </c>
      <c r="Q449">
        <v>1275</v>
      </c>
      <c r="R449">
        <v>48</v>
      </c>
      <c r="S449">
        <v>900</v>
      </c>
      <c r="T449">
        <v>168</v>
      </c>
      <c r="W449">
        <v>1</v>
      </c>
      <c r="X449">
        <v>10</v>
      </c>
      <c r="Y449">
        <v>100</v>
      </c>
      <c r="AA449">
        <f>VLOOKUP(Table29[[#This Row],[Shortname]], Comp[], 6, FALSE)</f>
        <v>1001</v>
      </c>
      <c r="AB449" s="14">
        <f>VLOOKUP(Table29[[#This Row],[Shortname]], Comp[], 7, FALSE)</f>
        <v>46.150000000000006</v>
      </c>
      <c r="AC449">
        <f>VLOOKUP(Table29[[#This Row],[Shortname]], Comp[], 8, FALSE)</f>
        <v>29.99</v>
      </c>
      <c r="AD449">
        <f>VLOOKUP(Table29[[#This Row],[Shortname]], Comp[], 9, FALSE)</f>
        <v>11.74</v>
      </c>
      <c r="AE449">
        <f>VLOOKUP(Table29[[#This Row],[Shortname]], Comp[], 10, FALSE)</f>
        <v>0</v>
      </c>
      <c r="AF449">
        <f>VLOOKUP(Table29[[#This Row],[Shortname]], Comp[], 11, FALSE)</f>
        <v>5.48</v>
      </c>
      <c r="AG449">
        <f>VLOOKUP(Table29[[#This Row],[Shortname]], Comp[],12, FALSE)</f>
        <v>4.0599999999999996</v>
      </c>
      <c r="AH449">
        <f>VLOOKUP(Table29[[#This Row],[Shortname]], Comp[], 13, FALSE)</f>
        <v>2.5</v>
      </c>
      <c r="AI449">
        <f>VLOOKUP(Table29[[#This Row],[Shortname]], Comp[], 14, FALSE)</f>
        <v>0</v>
      </c>
      <c r="AJ449">
        <f>VLOOKUP(Table29[[#This Row],[Shortname]], Comp[], 15, FALSE)</f>
        <v>0</v>
      </c>
      <c r="AK449">
        <f>VLOOKUP(Table29[[#This Row],[Shortname]], Comp[], 16, FALSE)</f>
        <v>0</v>
      </c>
      <c r="AL449">
        <f>VLOOKUP(Table29[[#This Row],[Shortname]], Comp[], 17, FALSE)</f>
        <v>0</v>
      </c>
      <c r="AM449">
        <f>VLOOKUP(Table29[[#This Row],[Shortname]], Comp[], 18, FALSE)</f>
        <v>0</v>
      </c>
      <c r="AN449">
        <f>VLOOKUP(Table29[[#This Row],[Shortname]], Comp[], 19, FALSE)</f>
        <v>0.08</v>
      </c>
      <c r="AO449">
        <f>VLOOKUP(Table29[[#This Row],[Shortname]], Comp[], 20, FALSE)</f>
        <v>0</v>
      </c>
      <c r="AP449">
        <f>VLOOKUP(Table29[[#This Row],[Shortname]], Comp[], 21, FALSE)</f>
        <v>0</v>
      </c>
      <c r="AQ449">
        <f>VLOOKUP(Table29[[#This Row],[Shortname]], Comp[], 22, FALSE)</f>
        <v>0</v>
      </c>
      <c r="AR449">
        <f>VLOOKUP(Table29[[#This Row],[Shortname]], Comp[], 23, FALSE)</f>
        <v>0</v>
      </c>
      <c r="AS449">
        <f>VLOOKUP(Table29[[#This Row],[Shortname]], Comp[], 24, FALSE)</f>
        <v>0</v>
      </c>
      <c r="AT449">
        <f>VLOOKUP(Table29[[#This Row],[Shortname]], Comp[], 25, FALSE)</f>
        <v>0</v>
      </c>
      <c r="AU449">
        <f>VLOOKUP(Table29[[#This Row],[Shortname]], Comp[], 26, FALSE)</f>
        <v>0</v>
      </c>
      <c r="AV449">
        <f>VLOOKUP(Table29[[#This Row],[Shortname]], Comp[], 27, FALSE)</f>
        <v>0</v>
      </c>
      <c r="AW449">
        <f>VLOOKUP(Table29[[#This Row],[Shortname]], Comp[], 28, FALSE)</f>
        <v>0</v>
      </c>
      <c r="AX449">
        <f>VLOOKUP(Table29[[#This Row],[Shortname]], Comp[], 29, FALSE)</f>
        <v>0</v>
      </c>
      <c r="AY449">
        <f>VLOOKUP(Table29[[#This Row],[Shortname]], Comp[], 30, FALSE)</f>
        <v>0</v>
      </c>
      <c r="AZ449">
        <f>VLOOKUP(Table29[[#This Row],[Shortname]], Comp[], 31, FALSE)</f>
        <v>0</v>
      </c>
    </row>
    <row r="450" spans="1:52" x14ac:dyDescent="0.3">
      <c r="A450" t="s">
        <v>6125</v>
      </c>
      <c r="C450" t="e">
        <v>#N/A</v>
      </c>
      <c r="D450" t="s">
        <v>11</v>
      </c>
      <c r="E450" t="e">
        <v>#N/A</v>
      </c>
      <c r="F450" t="s">
        <v>6126</v>
      </c>
      <c r="G450" t="s">
        <v>6127</v>
      </c>
      <c r="H450">
        <v>400</v>
      </c>
      <c r="I450">
        <v>6.7510000000000002E-6</v>
      </c>
      <c r="J450">
        <f>0.01/Table29[[#This Row],[Strain Rate (min) /s]]</f>
        <v>1481.2620352540364</v>
      </c>
      <c r="K450">
        <f>LOG(Table29[[#This Row],[Time to 1% strain (s)]])</f>
        <v>3.1706318920111798</v>
      </c>
      <c r="L450">
        <v>950</v>
      </c>
      <c r="P450" t="s">
        <v>7200</v>
      </c>
      <c r="Q450">
        <v>1275</v>
      </c>
      <c r="R450">
        <v>48</v>
      </c>
      <c r="S450">
        <v>900</v>
      </c>
      <c r="T450">
        <v>168</v>
      </c>
      <c r="W450">
        <v>1</v>
      </c>
      <c r="X450">
        <v>10</v>
      </c>
      <c r="Y450">
        <v>100</v>
      </c>
      <c r="AA450">
        <f>VLOOKUP(Table29[[#This Row],[Shortname]], Comp[], 6, FALSE)</f>
        <v>1001</v>
      </c>
      <c r="AB450" s="14">
        <f>VLOOKUP(Table29[[#This Row],[Shortname]], Comp[], 7, FALSE)</f>
        <v>46.150000000000006</v>
      </c>
      <c r="AC450">
        <f>VLOOKUP(Table29[[#This Row],[Shortname]], Comp[], 8, FALSE)</f>
        <v>29.99</v>
      </c>
      <c r="AD450">
        <f>VLOOKUP(Table29[[#This Row],[Shortname]], Comp[], 9, FALSE)</f>
        <v>11.74</v>
      </c>
      <c r="AE450">
        <f>VLOOKUP(Table29[[#This Row],[Shortname]], Comp[], 10, FALSE)</f>
        <v>0</v>
      </c>
      <c r="AF450">
        <f>VLOOKUP(Table29[[#This Row],[Shortname]], Comp[], 11, FALSE)</f>
        <v>5.48</v>
      </c>
      <c r="AG450">
        <f>VLOOKUP(Table29[[#This Row],[Shortname]], Comp[],12, FALSE)</f>
        <v>4.0599999999999996</v>
      </c>
      <c r="AH450">
        <f>VLOOKUP(Table29[[#This Row],[Shortname]], Comp[], 13, FALSE)</f>
        <v>2.5</v>
      </c>
      <c r="AI450">
        <f>VLOOKUP(Table29[[#This Row],[Shortname]], Comp[], 14, FALSE)</f>
        <v>0</v>
      </c>
      <c r="AJ450">
        <f>VLOOKUP(Table29[[#This Row],[Shortname]], Comp[], 15, FALSE)</f>
        <v>0</v>
      </c>
      <c r="AK450">
        <f>VLOOKUP(Table29[[#This Row],[Shortname]], Comp[], 16, FALSE)</f>
        <v>0</v>
      </c>
      <c r="AL450">
        <f>VLOOKUP(Table29[[#This Row],[Shortname]], Comp[], 17, FALSE)</f>
        <v>0</v>
      </c>
      <c r="AM450">
        <f>VLOOKUP(Table29[[#This Row],[Shortname]], Comp[], 18, FALSE)</f>
        <v>0</v>
      </c>
      <c r="AN450">
        <f>VLOOKUP(Table29[[#This Row],[Shortname]], Comp[], 19, FALSE)</f>
        <v>0.08</v>
      </c>
      <c r="AO450">
        <f>VLOOKUP(Table29[[#This Row],[Shortname]], Comp[], 20, FALSE)</f>
        <v>0</v>
      </c>
      <c r="AP450">
        <f>VLOOKUP(Table29[[#This Row],[Shortname]], Comp[], 21, FALSE)</f>
        <v>0</v>
      </c>
      <c r="AQ450">
        <f>VLOOKUP(Table29[[#This Row],[Shortname]], Comp[], 22, FALSE)</f>
        <v>0</v>
      </c>
      <c r="AR450">
        <f>VLOOKUP(Table29[[#This Row],[Shortname]], Comp[], 23, FALSE)</f>
        <v>0</v>
      </c>
      <c r="AS450">
        <f>VLOOKUP(Table29[[#This Row],[Shortname]], Comp[], 24, FALSE)</f>
        <v>0</v>
      </c>
      <c r="AT450">
        <f>VLOOKUP(Table29[[#This Row],[Shortname]], Comp[], 25, FALSE)</f>
        <v>0</v>
      </c>
      <c r="AU450">
        <f>VLOOKUP(Table29[[#This Row],[Shortname]], Comp[], 26, FALSE)</f>
        <v>0</v>
      </c>
      <c r="AV450">
        <f>VLOOKUP(Table29[[#This Row],[Shortname]], Comp[], 27, FALSE)</f>
        <v>0</v>
      </c>
      <c r="AW450">
        <f>VLOOKUP(Table29[[#This Row],[Shortname]], Comp[], 28, FALSE)</f>
        <v>0</v>
      </c>
      <c r="AX450">
        <f>VLOOKUP(Table29[[#This Row],[Shortname]], Comp[], 29, FALSE)</f>
        <v>0</v>
      </c>
      <c r="AY450">
        <f>VLOOKUP(Table29[[#This Row],[Shortname]], Comp[], 30, FALSE)</f>
        <v>0</v>
      </c>
      <c r="AZ450">
        <f>VLOOKUP(Table29[[#This Row],[Shortname]], Comp[], 31, FALSE)</f>
        <v>0</v>
      </c>
    </row>
    <row r="451" spans="1:52" x14ac:dyDescent="0.3">
      <c r="A451" t="s">
        <v>6125</v>
      </c>
      <c r="C451" t="e">
        <v>#N/A</v>
      </c>
      <c r="D451" t="s">
        <v>11</v>
      </c>
      <c r="E451" t="e">
        <v>#N/A</v>
      </c>
      <c r="F451" t="s">
        <v>6126</v>
      </c>
      <c r="G451" t="s">
        <v>6127</v>
      </c>
      <c r="H451">
        <v>202.23</v>
      </c>
      <c r="I451">
        <v>1.8396999999999999E-8</v>
      </c>
      <c r="J451">
        <f>0.01/Table29[[#This Row],[Strain Rate (min) /s]]</f>
        <v>543566.88590531063</v>
      </c>
      <c r="K451">
        <f>LOG(Table29[[#This Row],[Time to 1% strain (s)]])</f>
        <v>5.7352529916464734</v>
      </c>
      <c r="L451">
        <v>850</v>
      </c>
      <c r="P451" t="s">
        <v>7201</v>
      </c>
      <c r="Q451">
        <v>1275</v>
      </c>
      <c r="R451">
        <v>48</v>
      </c>
      <c r="S451">
        <v>900</v>
      </c>
      <c r="T451">
        <v>168</v>
      </c>
      <c r="W451">
        <v>1</v>
      </c>
      <c r="X451">
        <v>10</v>
      </c>
      <c r="Y451">
        <v>100</v>
      </c>
      <c r="AA451">
        <f>VLOOKUP(Table29[[#This Row],[Shortname]], Comp[], 6, FALSE)</f>
        <v>1001</v>
      </c>
      <c r="AB451" s="14">
        <f>VLOOKUP(Table29[[#This Row],[Shortname]], Comp[], 7, FALSE)</f>
        <v>46.150000000000006</v>
      </c>
      <c r="AC451">
        <f>VLOOKUP(Table29[[#This Row],[Shortname]], Comp[], 8, FALSE)</f>
        <v>29.99</v>
      </c>
      <c r="AD451">
        <f>VLOOKUP(Table29[[#This Row],[Shortname]], Comp[], 9, FALSE)</f>
        <v>11.74</v>
      </c>
      <c r="AE451">
        <f>VLOOKUP(Table29[[#This Row],[Shortname]], Comp[], 10, FALSE)</f>
        <v>0</v>
      </c>
      <c r="AF451">
        <f>VLOOKUP(Table29[[#This Row],[Shortname]], Comp[], 11, FALSE)</f>
        <v>5.48</v>
      </c>
      <c r="AG451">
        <f>VLOOKUP(Table29[[#This Row],[Shortname]], Comp[],12, FALSE)</f>
        <v>4.0599999999999996</v>
      </c>
      <c r="AH451">
        <f>VLOOKUP(Table29[[#This Row],[Shortname]], Comp[], 13, FALSE)</f>
        <v>2.5</v>
      </c>
      <c r="AI451">
        <f>VLOOKUP(Table29[[#This Row],[Shortname]], Comp[], 14, FALSE)</f>
        <v>0</v>
      </c>
      <c r="AJ451">
        <f>VLOOKUP(Table29[[#This Row],[Shortname]], Comp[], 15, FALSE)</f>
        <v>0</v>
      </c>
      <c r="AK451">
        <f>VLOOKUP(Table29[[#This Row],[Shortname]], Comp[], 16, FALSE)</f>
        <v>0</v>
      </c>
      <c r="AL451">
        <f>VLOOKUP(Table29[[#This Row],[Shortname]], Comp[], 17, FALSE)</f>
        <v>0</v>
      </c>
      <c r="AM451">
        <f>VLOOKUP(Table29[[#This Row],[Shortname]], Comp[], 18, FALSE)</f>
        <v>0</v>
      </c>
      <c r="AN451">
        <f>VLOOKUP(Table29[[#This Row],[Shortname]], Comp[], 19, FALSE)</f>
        <v>0.08</v>
      </c>
      <c r="AO451">
        <f>VLOOKUP(Table29[[#This Row],[Shortname]], Comp[], 20, FALSE)</f>
        <v>0</v>
      </c>
      <c r="AP451">
        <f>VLOOKUP(Table29[[#This Row],[Shortname]], Comp[], 21, FALSE)</f>
        <v>0</v>
      </c>
      <c r="AQ451">
        <f>VLOOKUP(Table29[[#This Row],[Shortname]], Comp[], 22, FALSE)</f>
        <v>0</v>
      </c>
      <c r="AR451">
        <f>VLOOKUP(Table29[[#This Row],[Shortname]], Comp[], 23, FALSE)</f>
        <v>0</v>
      </c>
      <c r="AS451">
        <f>VLOOKUP(Table29[[#This Row],[Shortname]], Comp[], 24, FALSE)</f>
        <v>0</v>
      </c>
      <c r="AT451">
        <f>VLOOKUP(Table29[[#This Row],[Shortname]], Comp[], 25, FALSE)</f>
        <v>0</v>
      </c>
      <c r="AU451">
        <f>VLOOKUP(Table29[[#This Row],[Shortname]], Comp[], 26, FALSE)</f>
        <v>0</v>
      </c>
      <c r="AV451">
        <f>VLOOKUP(Table29[[#This Row],[Shortname]], Comp[], 27, FALSE)</f>
        <v>0</v>
      </c>
      <c r="AW451">
        <f>VLOOKUP(Table29[[#This Row],[Shortname]], Comp[], 28, FALSE)</f>
        <v>0</v>
      </c>
      <c r="AX451">
        <f>VLOOKUP(Table29[[#This Row],[Shortname]], Comp[], 29, FALSE)</f>
        <v>0</v>
      </c>
      <c r="AY451">
        <f>VLOOKUP(Table29[[#This Row],[Shortname]], Comp[], 30, FALSE)</f>
        <v>0</v>
      </c>
      <c r="AZ451">
        <f>VLOOKUP(Table29[[#This Row],[Shortname]], Comp[], 31, FALSE)</f>
        <v>0</v>
      </c>
    </row>
    <row r="452" spans="1:52" x14ac:dyDescent="0.3">
      <c r="A452" t="s">
        <v>6125</v>
      </c>
      <c r="C452" t="e">
        <v>#N/A</v>
      </c>
      <c r="D452" t="s">
        <v>11</v>
      </c>
      <c r="E452" t="e">
        <v>#N/A</v>
      </c>
      <c r="F452" t="s">
        <v>6126</v>
      </c>
      <c r="G452" t="s">
        <v>6127</v>
      </c>
      <c r="H452">
        <v>225.36</v>
      </c>
      <c r="I452">
        <v>2.6419E-8</v>
      </c>
      <c r="J452">
        <f>0.01/Table29[[#This Row],[Strain Rate (min) /s]]</f>
        <v>378515.46235663729</v>
      </c>
      <c r="K452">
        <f>LOG(Table29[[#This Row],[Time to 1% strain (s)]])</f>
        <v>5.5780836251280457</v>
      </c>
      <c r="L452">
        <v>850</v>
      </c>
      <c r="P452" t="s">
        <v>7201</v>
      </c>
      <c r="Q452">
        <v>1275</v>
      </c>
      <c r="R452">
        <v>48</v>
      </c>
      <c r="S452">
        <v>900</v>
      </c>
      <c r="T452">
        <v>168</v>
      </c>
      <c r="W452">
        <v>1</v>
      </c>
      <c r="X452">
        <v>10</v>
      </c>
      <c r="Y452">
        <v>100</v>
      </c>
      <c r="AA452">
        <f>VLOOKUP(Table29[[#This Row],[Shortname]], Comp[], 6, FALSE)</f>
        <v>1001</v>
      </c>
      <c r="AB452" s="14">
        <f>VLOOKUP(Table29[[#This Row],[Shortname]], Comp[], 7, FALSE)</f>
        <v>46.150000000000006</v>
      </c>
      <c r="AC452">
        <f>VLOOKUP(Table29[[#This Row],[Shortname]], Comp[], 8, FALSE)</f>
        <v>29.99</v>
      </c>
      <c r="AD452">
        <f>VLOOKUP(Table29[[#This Row],[Shortname]], Comp[], 9, FALSE)</f>
        <v>11.74</v>
      </c>
      <c r="AE452">
        <f>VLOOKUP(Table29[[#This Row],[Shortname]], Comp[], 10, FALSE)</f>
        <v>0</v>
      </c>
      <c r="AF452">
        <f>VLOOKUP(Table29[[#This Row],[Shortname]], Comp[], 11, FALSE)</f>
        <v>5.48</v>
      </c>
      <c r="AG452">
        <f>VLOOKUP(Table29[[#This Row],[Shortname]], Comp[],12, FALSE)</f>
        <v>4.0599999999999996</v>
      </c>
      <c r="AH452">
        <f>VLOOKUP(Table29[[#This Row],[Shortname]], Comp[], 13, FALSE)</f>
        <v>2.5</v>
      </c>
      <c r="AI452">
        <f>VLOOKUP(Table29[[#This Row],[Shortname]], Comp[], 14, FALSE)</f>
        <v>0</v>
      </c>
      <c r="AJ452">
        <f>VLOOKUP(Table29[[#This Row],[Shortname]], Comp[], 15, FALSE)</f>
        <v>0</v>
      </c>
      <c r="AK452">
        <f>VLOOKUP(Table29[[#This Row],[Shortname]], Comp[], 16, FALSE)</f>
        <v>0</v>
      </c>
      <c r="AL452">
        <f>VLOOKUP(Table29[[#This Row],[Shortname]], Comp[], 17, FALSE)</f>
        <v>0</v>
      </c>
      <c r="AM452">
        <f>VLOOKUP(Table29[[#This Row],[Shortname]], Comp[], 18, FALSE)</f>
        <v>0</v>
      </c>
      <c r="AN452">
        <f>VLOOKUP(Table29[[#This Row],[Shortname]], Comp[], 19, FALSE)</f>
        <v>0.08</v>
      </c>
      <c r="AO452">
        <f>VLOOKUP(Table29[[#This Row],[Shortname]], Comp[], 20, FALSE)</f>
        <v>0</v>
      </c>
      <c r="AP452">
        <f>VLOOKUP(Table29[[#This Row],[Shortname]], Comp[], 21, FALSE)</f>
        <v>0</v>
      </c>
      <c r="AQ452">
        <f>VLOOKUP(Table29[[#This Row],[Shortname]], Comp[], 22, FALSE)</f>
        <v>0</v>
      </c>
      <c r="AR452">
        <f>VLOOKUP(Table29[[#This Row],[Shortname]], Comp[], 23, FALSE)</f>
        <v>0</v>
      </c>
      <c r="AS452">
        <f>VLOOKUP(Table29[[#This Row],[Shortname]], Comp[], 24, FALSE)</f>
        <v>0</v>
      </c>
      <c r="AT452">
        <f>VLOOKUP(Table29[[#This Row],[Shortname]], Comp[], 25, FALSE)</f>
        <v>0</v>
      </c>
      <c r="AU452">
        <f>VLOOKUP(Table29[[#This Row],[Shortname]], Comp[], 26, FALSE)</f>
        <v>0</v>
      </c>
      <c r="AV452">
        <f>VLOOKUP(Table29[[#This Row],[Shortname]], Comp[], 27, FALSE)</f>
        <v>0</v>
      </c>
      <c r="AW452">
        <f>VLOOKUP(Table29[[#This Row],[Shortname]], Comp[], 28, FALSE)</f>
        <v>0</v>
      </c>
      <c r="AX452">
        <f>VLOOKUP(Table29[[#This Row],[Shortname]], Comp[], 29, FALSE)</f>
        <v>0</v>
      </c>
      <c r="AY452">
        <f>VLOOKUP(Table29[[#This Row],[Shortname]], Comp[], 30, FALSE)</f>
        <v>0</v>
      </c>
      <c r="AZ452">
        <f>VLOOKUP(Table29[[#This Row],[Shortname]], Comp[], 31, FALSE)</f>
        <v>0</v>
      </c>
    </row>
    <row r="453" spans="1:52" x14ac:dyDescent="0.3">
      <c r="A453" t="s">
        <v>6125</v>
      </c>
      <c r="C453" t="e">
        <v>#N/A</v>
      </c>
      <c r="D453" t="s">
        <v>11</v>
      </c>
      <c r="E453" t="e">
        <v>#N/A</v>
      </c>
      <c r="F453" t="s">
        <v>6126</v>
      </c>
      <c r="G453" t="s">
        <v>6127</v>
      </c>
      <c r="H453">
        <v>255.87</v>
      </c>
      <c r="I453">
        <v>4.0945E-8</v>
      </c>
      <c r="J453">
        <f>0.01/Table29[[#This Row],[Strain Rate (min) /s]]</f>
        <v>244230.06472096714</v>
      </c>
      <c r="K453">
        <f>LOG(Table29[[#This Row],[Time to 1% strain (s)]])</f>
        <v>5.3877991245504209</v>
      </c>
      <c r="L453">
        <v>850</v>
      </c>
      <c r="P453" t="s">
        <v>7201</v>
      </c>
      <c r="Q453">
        <v>1275</v>
      </c>
      <c r="R453">
        <v>48</v>
      </c>
      <c r="S453">
        <v>900</v>
      </c>
      <c r="T453">
        <v>168</v>
      </c>
      <c r="W453">
        <v>1</v>
      </c>
      <c r="X453">
        <v>10</v>
      </c>
      <c r="Y453">
        <v>100</v>
      </c>
      <c r="AA453">
        <f>VLOOKUP(Table29[[#This Row],[Shortname]], Comp[], 6, FALSE)</f>
        <v>1001</v>
      </c>
      <c r="AB453" s="14">
        <f>VLOOKUP(Table29[[#This Row],[Shortname]], Comp[], 7, FALSE)</f>
        <v>46.150000000000006</v>
      </c>
      <c r="AC453">
        <f>VLOOKUP(Table29[[#This Row],[Shortname]], Comp[], 8, FALSE)</f>
        <v>29.99</v>
      </c>
      <c r="AD453">
        <f>VLOOKUP(Table29[[#This Row],[Shortname]], Comp[], 9, FALSE)</f>
        <v>11.74</v>
      </c>
      <c r="AE453">
        <f>VLOOKUP(Table29[[#This Row],[Shortname]], Comp[], 10, FALSE)</f>
        <v>0</v>
      </c>
      <c r="AF453">
        <f>VLOOKUP(Table29[[#This Row],[Shortname]], Comp[], 11, FALSE)</f>
        <v>5.48</v>
      </c>
      <c r="AG453">
        <f>VLOOKUP(Table29[[#This Row],[Shortname]], Comp[],12, FALSE)</f>
        <v>4.0599999999999996</v>
      </c>
      <c r="AH453">
        <f>VLOOKUP(Table29[[#This Row],[Shortname]], Comp[], 13, FALSE)</f>
        <v>2.5</v>
      </c>
      <c r="AI453">
        <f>VLOOKUP(Table29[[#This Row],[Shortname]], Comp[], 14, FALSE)</f>
        <v>0</v>
      </c>
      <c r="AJ453">
        <f>VLOOKUP(Table29[[#This Row],[Shortname]], Comp[], 15, FALSE)</f>
        <v>0</v>
      </c>
      <c r="AK453">
        <f>VLOOKUP(Table29[[#This Row],[Shortname]], Comp[], 16, FALSE)</f>
        <v>0</v>
      </c>
      <c r="AL453">
        <f>VLOOKUP(Table29[[#This Row],[Shortname]], Comp[], 17, FALSE)</f>
        <v>0</v>
      </c>
      <c r="AM453">
        <f>VLOOKUP(Table29[[#This Row],[Shortname]], Comp[], 18, FALSE)</f>
        <v>0</v>
      </c>
      <c r="AN453">
        <f>VLOOKUP(Table29[[#This Row],[Shortname]], Comp[], 19, FALSE)</f>
        <v>0.08</v>
      </c>
      <c r="AO453">
        <f>VLOOKUP(Table29[[#This Row],[Shortname]], Comp[], 20, FALSE)</f>
        <v>0</v>
      </c>
      <c r="AP453">
        <f>VLOOKUP(Table29[[#This Row],[Shortname]], Comp[], 21, FALSE)</f>
        <v>0</v>
      </c>
      <c r="AQ453">
        <f>VLOOKUP(Table29[[#This Row],[Shortname]], Comp[], 22, FALSE)</f>
        <v>0</v>
      </c>
      <c r="AR453">
        <f>VLOOKUP(Table29[[#This Row],[Shortname]], Comp[], 23, FALSE)</f>
        <v>0</v>
      </c>
      <c r="AS453">
        <f>VLOOKUP(Table29[[#This Row],[Shortname]], Comp[], 24, FALSE)</f>
        <v>0</v>
      </c>
      <c r="AT453">
        <f>VLOOKUP(Table29[[#This Row],[Shortname]], Comp[], 25, FALSE)</f>
        <v>0</v>
      </c>
      <c r="AU453">
        <f>VLOOKUP(Table29[[#This Row],[Shortname]], Comp[], 26, FALSE)</f>
        <v>0</v>
      </c>
      <c r="AV453">
        <f>VLOOKUP(Table29[[#This Row],[Shortname]], Comp[], 27, FALSE)</f>
        <v>0</v>
      </c>
      <c r="AW453">
        <f>VLOOKUP(Table29[[#This Row],[Shortname]], Comp[], 28, FALSE)</f>
        <v>0</v>
      </c>
      <c r="AX453">
        <f>VLOOKUP(Table29[[#This Row],[Shortname]], Comp[], 29, FALSE)</f>
        <v>0</v>
      </c>
      <c r="AY453">
        <f>VLOOKUP(Table29[[#This Row],[Shortname]], Comp[], 30, FALSE)</f>
        <v>0</v>
      </c>
      <c r="AZ453">
        <f>VLOOKUP(Table29[[#This Row],[Shortname]], Comp[], 31, FALSE)</f>
        <v>0</v>
      </c>
    </row>
    <row r="454" spans="1:52" x14ac:dyDescent="0.3">
      <c r="A454" t="s">
        <v>6125</v>
      </c>
      <c r="C454" t="e">
        <v>#N/A</v>
      </c>
      <c r="D454" t="s">
        <v>11</v>
      </c>
      <c r="E454" t="e">
        <v>#N/A</v>
      </c>
      <c r="F454" t="s">
        <v>6126</v>
      </c>
      <c r="G454" t="s">
        <v>6127</v>
      </c>
      <c r="H454">
        <v>286.2</v>
      </c>
      <c r="I454">
        <v>5.9932999999999998E-8</v>
      </c>
      <c r="J454">
        <f>0.01/Table29[[#This Row],[Strain Rate (min) /s]]</f>
        <v>166852.98583418151</v>
      </c>
      <c r="K454">
        <f>LOG(Table29[[#This Row],[Time to 1% strain (s)]])</f>
        <v>5.2223339827601034</v>
      </c>
      <c r="L454">
        <v>850</v>
      </c>
      <c r="P454" t="s">
        <v>7201</v>
      </c>
      <c r="Q454">
        <v>1275</v>
      </c>
      <c r="R454">
        <v>48</v>
      </c>
      <c r="S454">
        <v>900</v>
      </c>
      <c r="T454">
        <v>168</v>
      </c>
      <c r="W454">
        <v>1</v>
      </c>
      <c r="X454">
        <v>10</v>
      </c>
      <c r="Y454">
        <v>100</v>
      </c>
      <c r="AA454">
        <f>VLOOKUP(Table29[[#This Row],[Shortname]], Comp[], 6, FALSE)</f>
        <v>1001</v>
      </c>
      <c r="AB454" s="14">
        <f>VLOOKUP(Table29[[#This Row],[Shortname]], Comp[], 7, FALSE)</f>
        <v>46.150000000000006</v>
      </c>
      <c r="AC454">
        <f>VLOOKUP(Table29[[#This Row],[Shortname]], Comp[], 8, FALSE)</f>
        <v>29.99</v>
      </c>
      <c r="AD454">
        <f>VLOOKUP(Table29[[#This Row],[Shortname]], Comp[], 9, FALSE)</f>
        <v>11.74</v>
      </c>
      <c r="AE454">
        <f>VLOOKUP(Table29[[#This Row],[Shortname]], Comp[], 10, FALSE)</f>
        <v>0</v>
      </c>
      <c r="AF454">
        <f>VLOOKUP(Table29[[#This Row],[Shortname]], Comp[], 11, FALSE)</f>
        <v>5.48</v>
      </c>
      <c r="AG454">
        <f>VLOOKUP(Table29[[#This Row],[Shortname]], Comp[],12, FALSE)</f>
        <v>4.0599999999999996</v>
      </c>
      <c r="AH454">
        <f>VLOOKUP(Table29[[#This Row],[Shortname]], Comp[], 13, FALSE)</f>
        <v>2.5</v>
      </c>
      <c r="AI454">
        <f>VLOOKUP(Table29[[#This Row],[Shortname]], Comp[], 14, FALSE)</f>
        <v>0</v>
      </c>
      <c r="AJ454">
        <f>VLOOKUP(Table29[[#This Row],[Shortname]], Comp[], 15, FALSE)</f>
        <v>0</v>
      </c>
      <c r="AK454">
        <f>VLOOKUP(Table29[[#This Row],[Shortname]], Comp[], 16, FALSE)</f>
        <v>0</v>
      </c>
      <c r="AL454">
        <f>VLOOKUP(Table29[[#This Row],[Shortname]], Comp[], 17, FALSE)</f>
        <v>0</v>
      </c>
      <c r="AM454">
        <f>VLOOKUP(Table29[[#This Row],[Shortname]], Comp[], 18, FALSE)</f>
        <v>0</v>
      </c>
      <c r="AN454">
        <f>VLOOKUP(Table29[[#This Row],[Shortname]], Comp[], 19, FALSE)</f>
        <v>0.08</v>
      </c>
      <c r="AO454">
        <f>VLOOKUP(Table29[[#This Row],[Shortname]], Comp[], 20, FALSE)</f>
        <v>0</v>
      </c>
      <c r="AP454">
        <f>VLOOKUP(Table29[[#This Row],[Shortname]], Comp[], 21, FALSE)</f>
        <v>0</v>
      </c>
      <c r="AQ454">
        <f>VLOOKUP(Table29[[#This Row],[Shortname]], Comp[], 22, FALSE)</f>
        <v>0</v>
      </c>
      <c r="AR454">
        <f>VLOOKUP(Table29[[#This Row],[Shortname]], Comp[], 23, FALSE)</f>
        <v>0</v>
      </c>
      <c r="AS454">
        <f>VLOOKUP(Table29[[#This Row],[Shortname]], Comp[], 24, FALSE)</f>
        <v>0</v>
      </c>
      <c r="AT454">
        <f>VLOOKUP(Table29[[#This Row],[Shortname]], Comp[], 25, FALSE)</f>
        <v>0</v>
      </c>
      <c r="AU454">
        <f>VLOOKUP(Table29[[#This Row],[Shortname]], Comp[], 26, FALSE)</f>
        <v>0</v>
      </c>
      <c r="AV454">
        <f>VLOOKUP(Table29[[#This Row],[Shortname]], Comp[], 27, FALSE)</f>
        <v>0</v>
      </c>
      <c r="AW454">
        <f>VLOOKUP(Table29[[#This Row],[Shortname]], Comp[], 28, FALSE)</f>
        <v>0</v>
      </c>
      <c r="AX454">
        <f>VLOOKUP(Table29[[#This Row],[Shortname]], Comp[], 29, FALSE)</f>
        <v>0</v>
      </c>
      <c r="AY454">
        <f>VLOOKUP(Table29[[#This Row],[Shortname]], Comp[], 30, FALSE)</f>
        <v>0</v>
      </c>
      <c r="AZ454">
        <f>VLOOKUP(Table29[[#This Row],[Shortname]], Comp[], 31, FALSE)</f>
        <v>0</v>
      </c>
    </row>
    <row r="455" spans="1:52" x14ac:dyDescent="0.3">
      <c r="A455" t="s">
        <v>6125</v>
      </c>
      <c r="C455" t="e">
        <v>#N/A</v>
      </c>
      <c r="D455" t="s">
        <v>11</v>
      </c>
      <c r="E455" t="e">
        <v>#N/A</v>
      </c>
      <c r="F455" t="s">
        <v>6126</v>
      </c>
      <c r="G455" t="s">
        <v>6127</v>
      </c>
      <c r="H455">
        <v>320.13</v>
      </c>
      <c r="I455">
        <v>8.7725E-8</v>
      </c>
      <c r="J455">
        <f>0.01/Table29[[#This Row],[Strain Rate (min) /s]]</f>
        <v>113992.5904816187</v>
      </c>
      <c r="K455">
        <f>LOG(Table29[[#This Row],[Time to 1% strain (s)]])</f>
        <v>5.0568766231125561</v>
      </c>
      <c r="L455">
        <v>850</v>
      </c>
      <c r="P455" t="s">
        <v>7201</v>
      </c>
      <c r="Q455">
        <v>1275</v>
      </c>
      <c r="R455">
        <v>48</v>
      </c>
      <c r="S455">
        <v>900</v>
      </c>
      <c r="T455">
        <v>168</v>
      </c>
      <c r="W455">
        <v>1</v>
      </c>
      <c r="X455">
        <v>10</v>
      </c>
      <c r="Y455">
        <v>100</v>
      </c>
      <c r="AA455">
        <f>VLOOKUP(Table29[[#This Row],[Shortname]], Comp[], 6, FALSE)</f>
        <v>1001</v>
      </c>
      <c r="AB455" s="14">
        <f>VLOOKUP(Table29[[#This Row],[Shortname]], Comp[], 7, FALSE)</f>
        <v>46.150000000000006</v>
      </c>
      <c r="AC455">
        <f>VLOOKUP(Table29[[#This Row],[Shortname]], Comp[], 8, FALSE)</f>
        <v>29.99</v>
      </c>
      <c r="AD455">
        <f>VLOOKUP(Table29[[#This Row],[Shortname]], Comp[], 9, FALSE)</f>
        <v>11.74</v>
      </c>
      <c r="AE455">
        <f>VLOOKUP(Table29[[#This Row],[Shortname]], Comp[], 10, FALSE)</f>
        <v>0</v>
      </c>
      <c r="AF455">
        <f>VLOOKUP(Table29[[#This Row],[Shortname]], Comp[], 11, FALSE)</f>
        <v>5.48</v>
      </c>
      <c r="AG455">
        <f>VLOOKUP(Table29[[#This Row],[Shortname]], Comp[],12, FALSE)</f>
        <v>4.0599999999999996</v>
      </c>
      <c r="AH455">
        <f>VLOOKUP(Table29[[#This Row],[Shortname]], Comp[], 13, FALSE)</f>
        <v>2.5</v>
      </c>
      <c r="AI455">
        <f>VLOOKUP(Table29[[#This Row],[Shortname]], Comp[], 14, FALSE)</f>
        <v>0</v>
      </c>
      <c r="AJ455">
        <f>VLOOKUP(Table29[[#This Row],[Shortname]], Comp[], 15, FALSE)</f>
        <v>0</v>
      </c>
      <c r="AK455">
        <f>VLOOKUP(Table29[[#This Row],[Shortname]], Comp[], 16, FALSE)</f>
        <v>0</v>
      </c>
      <c r="AL455">
        <f>VLOOKUP(Table29[[#This Row],[Shortname]], Comp[], 17, FALSE)</f>
        <v>0</v>
      </c>
      <c r="AM455">
        <f>VLOOKUP(Table29[[#This Row],[Shortname]], Comp[], 18, FALSE)</f>
        <v>0</v>
      </c>
      <c r="AN455">
        <f>VLOOKUP(Table29[[#This Row],[Shortname]], Comp[], 19, FALSE)</f>
        <v>0.08</v>
      </c>
      <c r="AO455">
        <f>VLOOKUP(Table29[[#This Row],[Shortname]], Comp[], 20, FALSE)</f>
        <v>0</v>
      </c>
      <c r="AP455">
        <f>VLOOKUP(Table29[[#This Row],[Shortname]], Comp[], 21, FALSE)</f>
        <v>0</v>
      </c>
      <c r="AQ455">
        <f>VLOOKUP(Table29[[#This Row],[Shortname]], Comp[], 22, FALSE)</f>
        <v>0</v>
      </c>
      <c r="AR455">
        <f>VLOOKUP(Table29[[#This Row],[Shortname]], Comp[], 23, FALSE)</f>
        <v>0</v>
      </c>
      <c r="AS455">
        <f>VLOOKUP(Table29[[#This Row],[Shortname]], Comp[], 24, FALSE)</f>
        <v>0</v>
      </c>
      <c r="AT455">
        <f>VLOOKUP(Table29[[#This Row],[Shortname]], Comp[], 25, FALSE)</f>
        <v>0</v>
      </c>
      <c r="AU455">
        <f>VLOOKUP(Table29[[#This Row],[Shortname]], Comp[], 26, FALSE)</f>
        <v>0</v>
      </c>
      <c r="AV455">
        <f>VLOOKUP(Table29[[#This Row],[Shortname]], Comp[], 27, FALSE)</f>
        <v>0</v>
      </c>
      <c r="AW455">
        <f>VLOOKUP(Table29[[#This Row],[Shortname]], Comp[], 28, FALSE)</f>
        <v>0</v>
      </c>
      <c r="AX455">
        <f>VLOOKUP(Table29[[#This Row],[Shortname]], Comp[], 29, FALSE)</f>
        <v>0</v>
      </c>
      <c r="AY455">
        <f>VLOOKUP(Table29[[#This Row],[Shortname]], Comp[], 30, FALSE)</f>
        <v>0</v>
      </c>
      <c r="AZ455">
        <f>VLOOKUP(Table29[[#This Row],[Shortname]], Comp[], 31, FALSE)</f>
        <v>0</v>
      </c>
    </row>
    <row r="456" spans="1:52" x14ac:dyDescent="0.3">
      <c r="A456" t="s">
        <v>6125</v>
      </c>
      <c r="C456" t="e">
        <v>#N/A</v>
      </c>
      <c r="D456" t="s">
        <v>11</v>
      </c>
      <c r="E456" t="e">
        <v>#N/A</v>
      </c>
      <c r="F456" t="s">
        <v>6126</v>
      </c>
      <c r="G456" t="s">
        <v>6127</v>
      </c>
      <c r="H456">
        <v>360.76</v>
      </c>
      <c r="I456">
        <v>1.5834E-7</v>
      </c>
      <c r="J456">
        <f>0.01/Table29[[#This Row],[Strain Rate (min) /s]]</f>
        <v>63155.235569028671</v>
      </c>
      <c r="K456">
        <f>LOG(Table29[[#This Row],[Time to 1% strain (s)]])</f>
        <v>4.8004093593963066</v>
      </c>
      <c r="L456">
        <v>850</v>
      </c>
      <c r="P456" t="s">
        <v>7201</v>
      </c>
      <c r="Q456">
        <v>1275</v>
      </c>
      <c r="R456">
        <v>48</v>
      </c>
      <c r="S456">
        <v>900</v>
      </c>
      <c r="T456">
        <v>168</v>
      </c>
      <c r="W456">
        <v>1</v>
      </c>
      <c r="X456">
        <v>10</v>
      </c>
      <c r="Y456">
        <v>100</v>
      </c>
      <c r="AA456">
        <f>VLOOKUP(Table29[[#This Row],[Shortname]], Comp[], 6, FALSE)</f>
        <v>1001</v>
      </c>
      <c r="AB456" s="14">
        <f>VLOOKUP(Table29[[#This Row],[Shortname]], Comp[], 7, FALSE)</f>
        <v>46.150000000000006</v>
      </c>
      <c r="AC456">
        <f>VLOOKUP(Table29[[#This Row],[Shortname]], Comp[], 8, FALSE)</f>
        <v>29.99</v>
      </c>
      <c r="AD456">
        <f>VLOOKUP(Table29[[#This Row],[Shortname]], Comp[], 9, FALSE)</f>
        <v>11.74</v>
      </c>
      <c r="AE456">
        <f>VLOOKUP(Table29[[#This Row],[Shortname]], Comp[], 10, FALSE)</f>
        <v>0</v>
      </c>
      <c r="AF456">
        <f>VLOOKUP(Table29[[#This Row],[Shortname]], Comp[], 11, FALSE)</f>
        <v>5.48</v>
      </c>
      <c r="AG456">
        <f>VLOOKUP(Table29[[#This Row],[Shortname]], Comp[],12, FALSE)</f>
        <v>4.0599999999999996</v>
      </c>
      <c r="AH456">
        <f>VLOOKUP(Table29[[#This Row],[Shortname]], Comp[], 13, FALSE)</f>
        <v>2.5</v>
      </c>
      <c r="AI456">
        <f>VLOOKUP(Table29[[#This Row],[Shortname]], Comp[], 14, FALSE)</f>
        <v>0</v>
      </c>
      <c r="AJ456">
        <f>VLOOKUP(Table29[[#This Row],[Shortname]], Comp[], 15, FALSE)</f>
        <v>0</v>
      </c>
      <c r="AK456">
        <f>VLOOKUP(Table29[[#This Row],[Shortname]], Comp[], 16, FALSE)</f>
        <v>0</v>
      </c>
      <c r="AL456">
        <f>VLOOKUP(Table29[[#This Row],[Shortname]], Comp[], 17, FALSE)</f>
        <v>0</v>
      </c>
      <c r="AM456">
        <f>VLOOKUP(Table29[[#This Row],[Shortname]], Comp[], 18, FALSE)</f>
        <v>0</v>
      </c>
      <c r="AN456">
        <f>VLOOKUP(Table29[[#This Row],[Shortname]], Comp[], 19, FALSE)</f>
        <v>0.08</v>
      </c>
      <c r="AO456">
        <f>VLOOKUP(Table29[[#This Row],[Shortname]], Comp[], 20, FALSE)</f>
        <v>0</v>
      </c>
      <c r="AP456">
        <f>VLOOKUP(Table29[[#This Row],[Shortname]], Comp[], 21, FALSE)</f>
        <v>0</v>
      </c>
      <c r="AQ456">
        <f>VLOOKUP(Table29[[#This Row],[Shortname]], Comp[], 22, FALSE)</f>
        <v>0</v>
      </c>
      <c r="AR456">
        <f>VLOOKUP(Table29[[#This Row],[Shortname]], Comp[], 23, FALSE)</f>
        <v>0</v>
      </c>
      <c r="AS456">
        <f>VLOOKUP(Table29[[#This Row],[Shortname]], Comp[], 24, FALSE)</f>
        <v>0</v>
      </c>
      <c r="AT456">
        <f>VLOOKUP(Table29[[#This Row],[Shortname]], Comp[], 25, FALSE)</f>
        <v>0</v>
      </c>
      <c r="AU456">
        <f>VLOOKUP(Table29[[#This Row],[Shortname]], Comp[], 26, FALSE)</f>
        <v>0</v>
      </c>
      <c r="AV456">
        <f>VLOOKUP(Table29[[#This Row],[Shortname]], Comp[], 27, FALSE)</f>
        <v>0</v>
      </c>
      <c r="AW456">
        <f>VLOOKUP(Table29[[#This Row],[Shortname]], Comp[], 28, FALSE)</f>
        <v>0</v>
      </c>
      <c r="AX456">
        <f>VLOOKUP(Table29[[#This Row],[Shortname]], Comp[], 29, FALSE)</f>
        <v>0</v>
      </c>
      <c r="AY456">
        <f>VLOOKUP(Table29[[#This Row],[Shortname]], Comp[], 30, FALSE)</f>
        <v>0</v>
      </c>
      <c r="AZ456">
        <f>VLOOKUP(Table29[[#This Row],[Shortname]], Comp[], 31, FALSE)</f>
        <v>0</v>
      </c>
    </row>
    <row r="457" spans="1:52" x14ac:dyDescent="0.3">
      <c r="A457" t="s">
        <v>6125</v>
      </c>
      <c r="C457" t="e">
        <v>#N/A</v>
      </c>
      <c r="D457" t="s">
        <v>11</v>
      </c>
      <c r="E457" t="e">
        <v>#N/A</v>
      </c>
      <c r="F457" t="s">
        <v>6126</v>
      </c>
      <c r="G457" t="s">
        <v>6127</v>
      </c>
      <c r="H457">
        <v>403.53</v>
      </c>
      <c r="I457">
        <v>1.99E-7</v>
      </c>
      <c r="J457">
        <f>0.01/Table29[[#This Row],[Strain Rate (min) /s]]</f>
        <v>50251.256281407041</v>
      </c>
      <c r="K457">
        <f>LOG(Table29[[#This Row],[Time to 1% strain (s)]])</f>
        <v>4.7011469235902936</v>
      </c>
      <c r="L457">
        <v>850</v>
      </c>
      <c r="P457" t="s">
        <v>7201</v>
      </c>
      <c r="Q457">
        <v>1275</v>
      </c>
      <c r="R457">
        <v>48</v>
      </c>
      <c r="S457">
        <v>900</v>
      </c>
      <c r="T457">
        <v>168</v>
      </c>
      <c r="W457">
        <v>1</v>
      </c>
      <c r="X457">
        <v>10</v>
      </c>
      <c r="Y457">
        <v>100</v>
      </c>
      <c r="AA457">
        <f>VLOOKUP(Table29[[#This Row],[Shortname]], Comp[], 6, FALSE)</f>
        <v>1001</v>
      </c>
      <c r="AB457" s="14">
        <f>VLOOKUP(Table29[[#This Row],[Shortname]], Comp[], 7, FALSE)</f>
        <v>46.150000000000006</v>
      </c>
      <c r="AC457">
        <f>VLOOKUP(Table29[[#This Row],[Shortname]], Comp[], 8, FALSE)</f>
        <v>29.99</v>
      </c>
      <c r="AD457">
        <f>VLOOKUP(Table29[[#This Row],[Shortname]], Comp[], 9, FALSE)</f>
        <v>11.74</v>
      </c>
      <c r="AE457">
        <f>VLOOKUP(Table29[[#This Row],[Shortname]], Comp[], 10, FALSE)</f>
        <v>0</v>
      </c>
      <c r="AF457">
        <f>VLOOKUP(Table29[[#This Row],[Shortname]], Comp[], 11, FALSE)</f>
        <v>5.48</v>
      </c>
      <c r="AG457">
        <f>VLOOKUP(Table29[[#This Row],[Shortname]], Comp[],12, FALSE)</f>
        <v>4.0599999999999996</v>
      </c>
      <c r="AH457">
        <f>VLOOKUP(Table29[[#This Row],[Shortname]], Comp[], 13, FALSE)</f>
        <v>2.5</v>
      </c>
      <c r="AI457">
        <f>VLOOKUP(Table29[[#This Row],[Shortname]], Comp[], 14, FALSE)</f>
        <v>0</v>
      </c>
      <c r="AJ457">
        <f>VLOOKUP(Table29[[#This Row],[Shortname]], Comp[], 15, FALSE)</f>
        <v>0</v>
      </c>
      <c r="AK457">
        <f>VLOOKUP(Table29[[#This Row],[Shortname]], Comp[], 16, FALSE)</f>
        <v>0</v>
      </c>
      <c r="AL457">
        <f>VLOOKUP(Table29[[#This Row],[Shortname]], Comp[], 17, FALSE)</f>
        <v>0</v>
      </c>
      <c r="AM457">
        <f>VLOOKUP(Table29[[#This Row],[Shortname]], Comp[], 18, FALSE)</f>
        <v>0</v>
      </c>
      <c r="AN457">
        <f>VLOOKUP(Table29[[#This Row],[Shortname]], Comp[], 19, FALSE)</f>
        <v>0.08</v>
      </c>
      <c r="AO457">
        <f>VLOOKUP(Table29[[#This Row],[Shortname]], Comp[], 20, FALSE)</f>
        <v>0</v>
      </c>
      <c r="AP457">
        <f>VLOOKUP(Table29[[#This Row],[Shortname]], Comp[], 21, FALSE)</f>
        <v>0</v>
      </c>
      <c r="AQ457">
        <f>VLOOKUP(Table29[[#This Row],[Shortname]], Comp[], 22, FALSE)</f>
        <v>0</v>
      </c>
      <c r="AR457">
        <f>VLOOKUP(Table29[[#This Row],[Shortname]], Comp[], 23, FALSE)</f>
        <v>0</v>
      </c>
      <c r="AS457">
        <f>VLOOKUP(Table29[[#This Row],[Shortname]], Comp[], 24, FALSE)</f>
        <v>0</v>
      </c>
      <c r="AT457">
        <f>VLOOKUP(Table29[[#This Row],[Shortname]], Comp[], 25, FALSE)</f>
        <v>0</v>
      </c>
      <c r="AU457">
        <f>VLOOKUP(Table29[[#This Row],[Shortname]], Comp[], 26, FALSE)</f>
        <v>0</v>
      </c>
      <c r="AV457">
        <f>VLOOKUP(Table29[[#This Row],[Shortname]], Comp[], 27, FALSE)</f>
        <v>0</v>
      </c>
      <c r="AW457">
        <f>VLOOKUP(Table29[[#This Row],[Shortname]], Comp[], 28, FALSE)</f>
        <v>0</v>
      </c>
      <c r="AX457">
        <f>VLOOKUP(Table29[[#This Row],[Shortname]], Comp[], 29, FALSE)</f>
        <v>0</v>
      </c>
      <c r="AY457">
        <f>VLOOKUP(Table29[[#This Row],[Shortname]], Comp[], 30, FALSE)</f>
        <v>0</v>
      </c>
      <c r="AZ457">
        <f>VLOOKUP(Table29[[#This Row],[Shortname]], Comp[], 31, FALSE)</f>
        <v>0</v>
      </c>
    </row>
    <row r="458" spans="1:52" x14ac:dyDescent="0.3">
      <c r="A458" t="s">
        <v>6125</v>
      </c>
      <c r="C458" t="e">
        <v>#N/A</v>
      </c>
      <c r="D458" t="s">
        <v>11</v>
      </c>
      <c r="E458" t="e">
        <v>#N/A</v>
      </c>
      <c r="F458" t="s">
        <v>6126</v>
      </c>
      <c r="G458" t="s">
        <v>6127</v>
      </c>
      <c r="H458">
        <v>454.75</v>
      </c>
      <c r="I458">
        <v>3.2039999999999998E-7</v>
      </c>
      <c r="J458">
        <f>0.01/Table29[[#This Row],[Strain Rate (min) /s]]</f>
        <v>31210.986267166045</v>
      </c>
      <c r="K458">
        <f>LOG(Table29[[#This Row],[Time to 1% strain (s)]])</f>
        <v>4.4943074925877999</v>
      </c>
      <c r="L458">
        <v>850</v>
      </c>
      <c r="P458" t="s">
        <v>7201</v>
      </c>
      <c r="Q458">
        <v>1275</v>
      </c>
      <c r="R458">
        <v>48</v>
      </c>
      <c r="S458">
        <v>900</v>
      </c>
      <c r="T458">
        <v>168</v>
      </c>
      <c r="W458">
        <v>1</v>
      </c>
      <c r="X458">
        <v>10</v>
      </c>
      <c r="Y458">
        <v>100</v>
      </c>
      <c r="AA458">
        <f>VLOOKUP(Table29[[#This Row],[Shortname]], Comp[], 6, FALSE)</f>
        <v>1001</v>
      </c>
      <c r="AB458" s="14">
        <f>VLOOKUP(Table29[[#This Row],[Shortname]], Comp[], 7, FALSE)</f>
        <v>46.150000000000006</v>
      </c>
      <c r="AC458">
        <f>VLOOKUP(Table29[[#This Row],[Shortname]], Comp[], 8, FALSE)</f>
        <v>29.99</v>
      </c>
      <c r="AD458">
        <f>VLOOKUP(Table29[[#This Row],[Shortname]], Comp[], 9, FALSE)</f>
        <v>11.74</v>
      </c>
      <c r="AE458">
        <f>VLOOKUP(Table29[[#This Row],[Shortname]], Comp[], 10, FALSE)</f>
        <v>0</v>
      </c>
      <c r="AF458">
        <f>VLOOKUP(Table29[[#This Row],[Shortname]], Comp[], 11, FALSE)</f>
        <v>5.48</v>
      </c>
      <c r="AG458">
        <f>VLOOKUP(Table29[[#This Row],[Shortname]], Comp[],12, FALSE)</f>
        <v>4.0599999999999996</v>
      </c>
      <c r="AH458">
        <f>VLOOKUP(Table29[[#This Row],[Shortname]], Comp[], 13, FALSE)</f>
        <v>2.5</v>
      </c>
      <c r="AI458">
        <f>VLOOKUP(Table29[[#This Row],[Shortname]], Comp[], 14, FALSE)</f>
        <v>0</v>
      </c>
      <c r="AJ458">
        <f>VLOOKUP(Table29[[#This Row],[Shortname]], Comp[], 15, FALSE)</f>
        <v>0</v>
      </c>
      <c r="AK458">
        <f>VLOOKUP(Table29[[#This Row],[Shortname]], Comp[], 16, FALSE)</f>
        <v>0</v>
      </c>
      <c r="AL458">
        <f>VLOOKUP(Table29[[#This Row],[Shortname]], Comp[], 17, FALSE)</f>
        <v>0</v>
      </c>
      <c r="AM458">
        <f>VLOOKUP(Table29[[#This Row],[Shortname]], Comp[], 18, FALSE)</f>
        <v>0</v>
      </c>
      <c r="AN458">
        <f>VLOOKUP(Table29[[#This Row],[Shortname]], Comp[], 19, FALSE)</f>
        <v>0.08</v>
      </c>
      <c r="AO458">
        <f>VLOOKUP(Table29[[#This Row],[Shortname]], Comp[], 20, FALSE)</f>
        <v>0</v>
      </c>
      <c r="AP458">
        <f>VLOOKUP(Table29[[#This Row],[Shortname]], Comp[], 21, FALSE)</f>
        <v>0</v>
      </c>
      <c r="AQ458">
        <f>VLOOKUP(Table29[[#This Row],[Shortname]], Comp[], 22, FALSE)</f>
        <v>0</v>
      </c>
      <c r="AR458">
        <f>VLOOKUP(Table29[[#This Row],[Shortname]], Comp[], 23, FALSE)</f>
        <v>0</v>
      </c>
      <c r="AS458">
        <f>VLOOKUP(Table29[[#This Row],[Shortname]], Comp[], 24, FALSE)</f>
        <v>0</v>
      </c>
      <c r="AT458">
        <f>VLOOKUP(Table29[[#This Row],[Shortname]], Comp[], 25, FALSE)</f>
        <v>0</v>
      </c>
      <c r="AU458">
        <f>VLOOKUP(Table29[[#This Row],[Shortname]], Comp[], 26, FALSE)</f>
        <v>0</v>
      </c>
      <c r="AV458">
        <f>VLOOKUP(Table29[[#This Row],[Shortname]], Comp[], 27, FALSE)</f>
        <v>0</v>
      </c>
      <c r="AW458">
        <f>VLOOKUP(Table29[[#This Row],[Shortname]], Comp[], 28, FALSE)</f>
        <v>0</v>
      </c>
      <c r="AX458">
        <f>VLOOKUP(Table29[[#This Row],[Shortname]], Comp[], 29, FALSE)</f>
        <v>0</v>
      </c>
      <c r="AY458">
        <f>VLOOKUP(Table29[[#This Row],[Shortname]], Comp[], 30, FALSE)</f>
        <v>0</v>
      </c>
      <c r="AZ458">
        <f>VLOOKUP(Table29[[#This Row],[Shortname]], Comp[], 31, FALSE)</f>
        <v>0</v>
      </c>
    </row>
    <row r="459" spans="1:52" x14ac:dyDescent="0.3">
      <c r="A459" t="s">
        <v>6125</v>
      </c>
      <c r="C459" t="e">
        <v>#N/A</v>
      </c>
      <c r="D459" t="s">
        <v>11</v>
      </c>
      <c r="E459" t="e">
        <v>#N/A</v>
      </c>
      <c r="F459" t="s">
        <v>6126</v>
      </c>
      <c r="G459" t="s">
        <v>6127</v>
      </c>
      <c r="H459">
        <v>518.25</v>
      </c>
      <c r="I459">
        <v>6.4832000000000002E-7</v>
      </c>
      <c r="J459">
        <f>0.01/Table29[[#This Row],[Strain Rate (min) /s]]</f>
        <v>15424.481737413622</v>
      </c>
      <c r="K459">
        <f>LOG(Table29[[#This Row],[Time to 1% strain (s)]])</f>
        <v>4.1882105806558325</v>
      </c>
      <c r="L459">
        <v>850</v>
      </c>
      <c r="P459" t="s">
        <v>7201</v>
      </c>
      <c r="Q459">
        <v>1275</v>
      </c>
      <c r="R459">
        <v>48</v>
      </c>
      <c r="S459">
        <v>900</v>
      </c>
      <c r="T459">
        <v>168</v>
      </c>
      <c r="W459">
        <v>1</v>
      </c>
      <c r="X459">
        <v>10</v>
      </c>
      <c r="Y459">
        <v>100</v>
      </c>
      <c r="AA459">
        <f>VLOOKUP(Table29[[#This Row],[Shortname]], Comp[], 6, FALSE)</f>
        <v>1001</v>
      </c>
      <c r="AB459" s="14">
        <f>VLOOKUP(Table29[[#This Row],[Shortname]], Comp[], 7, FALSE)</f>
        <v>46.150000000000006</v>
      </c>
      <c r="AC459">
        <f>VLOOKUP(Table29[[#This Row],[Shortname]], Comp[], 8, FALSE)</f>
        <v>29.99</v>
      </c>
      <c r="AD459">
        <f>VLOOKUP(Table29[[#This Row],[Shortname]], Comp[], 9, FALSE)</f>
        <v>11.74</v>
      </c>
      <c r="AE459">
        <f>VLOOKUP(Table29[[#This Row],[Shortname]], Comp[], 10, FALSE)</f>
        <v>0</v>
      </c>
      <c r="AF459">
        <f>VLOOKUP(Table29[[#This Row],[Shortname]], Comp[], 11, FALSE)</f>
        <v>5.48</v>
      </c>
      <c r="AG459">
        <f>VLOOKUP(Table29[[#This Row],[Shortname]], Comp[],12, FALSE)</f>
        <v>4.0599999999999996</v>
      </c>
      <c r="AH459">
        <f>VLOOKUP(Table29[[#This Row],[Shortname]], Comp[], 13, FALSE)</f>
        <v>2.5</v>
      </c>
      <c r="AI459">
        <f>VLOOKUP(Table29[[#This Row],[Shortname]], Comp[], 14, FALSE)</f>
        <v>0</v>
      </c>
      <c r="AJ459">
        <f>VLOOKUP(Table29[[#This Row],[Shortname]], Comp[], 15, FALSE)</f>
        <v>0</v>
      </c>
      <c r="AK459">
        <f>VLOOKUP(Table29[[#This Row],[Shortname]], Comp[], 16, FALSE)</f>
        <v>0</v>
      </c>
      <c r="AL459">
        <f>VLOOKUP(Table29[[#This Row],[Shortname]], Comp[], 17, FALSE)</f>
        <v>0</v>
      </c>
      <c r="AM459">
        <f>VLOOKUP(Table29[[#This Row],[Shortname]], Comp[], 18, FALSE)</f>
        <v>0</v>
      </c>
      <c r="AN459">
        <f>VLOOKUP(Table29[[#This Row],[Shortname]], Comp[], 19, FALSE)</f>
        <v>0.08</v>
      </c>
      <c r="AO459">
        <f>VLOOKUP(Table29[[#This Row],[Shortname]], Comp[], 20, FALSE)</f>
        <v>0</v>
      </c>
      <c r="AP459">
        <f>VLOOKUP(Table29[[#This Row],[Shortname]], Comp[], 21, FALSE)</f>
        <v>0</v>
      </c>
      <c r="AQ459">
        <f>VLOOKUP(Table29[[#This Row],[Shortname]], Comp[], 22, FALSE)</f>
        <v>0</v>
      </c>
      <c r="AR459">
        <f>VLOOKUP(Table29[[#This Row],[Shortname]], Comp[], 23, FALSE)</f>
        <v>0</v>
      </c>
      <c r="AS459">
        <f>VLOOKUP(Table29[[#This Row],[Shortname]], Comp[], 24, FALSE)</f>
        <v>0</v>
      </c>
      <c r="AT459">
        <f>VLOOKUP(Table29[[#This Row],[Shortname]], Comp[], 25, FALSE)</f>
        <v>0</v>
      </c>
      <c r="AU459">
        <f>VLOOKUP(Table29[[#This Row],[Shortname]], Comp[], 26, FALSE)</f>
        <v>0</v>
      </c>
      <c r="AV459">
        <f>VLOOKUP(Table29[[#This Row],[Shortname]], Comp[], 27, FALSE)</f>
        <v>0</v>
      </c>
      <c r="AW459">
        <f>VLOOKUP(Table29[[#This Row],[Shortname]], Comp[], 28, FALSE)</f>
        <v>0</v>
      </c>
      <c r="AX459">
        <f>VLOOKUP(Table29[[#This Row],[Shortname]], Comp[], 29, FALSE)</f>
        <v>0</v>
      </c>
      <c r="AY459">
        <f>VLOOKUP(Table29[[#This Row],[Shortname]], Comp[], 30, FALSE)</f>
        <v>0</v>
      </c>
      <c r="AZ459">
        <f>VLOOKUP(Table29[[#This Row],[Shortname]], Comp[], 31, FALSE)</f>
        <v>0</v>
      </c>
    </row>
    <row r="460" spans="1:52" x14ac:dyDescent="0.3">
      <c r="A460" t="s">
        <v>6125</v>
      </c>
      <c r="C460" t="e">
        <v>#N/A</v>
      </c>
      <c r="D460" t="s">
        <v>11</v>
      </c>
      <c r="E460" t="e">
        <v>#N/A</v>
      </c>
      <c r="F460" t="s">
        <v>6126</v>
      </c>
      <c r="G460" t="s">
        <v>6127</v>
      </c>
      <c r="H460">
        <v>577.53</v>
      </c>
      <c r="I460">
        <v>3.0622000000000001E-6</v>
      </c>
      <c r="J460">
        <f>0.01/Table29[[#This Row],[Strain Rate (min) /s]]</f>
        <v>3265.6260205081312</v>
      </c>
      <c r="K460">
        <f>LOG(Table29[[#This Row],[Time to 1% strain (s)]])</f>
        <v>3.5139664478442136</v>
      </c>
      <c r="L460">
        <v>850</v>
      </c>
      <c r="P460" t="s">
        <v>7201</v>
      </c>
      <c r="Q460">
        <v>1275</v>
      </c>
      <c r="R460">
        <v>48</v>
      </c>
      <c r="S460">
        <v>900</v>
      </c>
      <c r="T460">
        <v>168</v>
      </c>
      <c r="W460">
        <v>1</v>
      </c>
      <c r="X460">
        <v>10</v>
      </c>
      <c r="Y460">
        <v>100</v>
      </c>
      <c r="AA460">
        <f>VLOOKUP(Table29[[#This Row],[Shortname]], Comp[], 6, FALSE)</f>
        <v>1001</v>
      </c>
      <c r="AB460" s="14">
        <f>VLOOKUP(Table29[[#This Row],[Shortname]], Comp[], 7, FALSE)</f>
        <v>46.150000000000006</v>
      </c>
      <c r="AC460">
        <f>VLOOKUP(Table29[[#This Row],[Shortname]], Comp[], 8, FALSE)</f>
        <v>29.99</v>
      </c>
      <c r="AD460">
        <f>VLOOKUP(Table29[[#This Row],[Shortname]], Comp[], 9, FALSE)</f>
        <v>11.74</v>
      </c>
      <c r="AE460">
        <f>VLOOKUP(Table29[[#This Row],[Shortname]], Comp[], 10, FALSE)</f>
        <v>0</v>
      </c>
      <c r="AF460">
        <f>VLOOKUP(Table29[[#This Row],[Shortname]], Comp[], 11, FALSE)</f>
        <v>5.48</v>
      </c>
      <c r="AG460">
        <f>VLOOKUP(Table29[[#This Row],[Shortname]], Comp[],12, FALSE)</f>
        <v>4.0599999999999996</v>
      </c>
      <c r="AH460">
        <f>VLOOKUP(Table29[[#This Row],[Shortname]], Comp[], 13, FALSE)</f>
        <v>2.5</v>
      </c>
      <c r="AI460">
        <f>VLOOKUP(Table29[[#This Row],[Shortname]], Comp[], 14, FALSE)</f>
        <v>0</v>
      </c>
      <c r="AJ460">
        <f>VLOOKUP(Table29[[#This Row],[Shortname]], Comp[], 15, FALSE)</f>
        <v>0</v>
      </c>
      <c r="AK460">
        <f>VLOOKUP(Table29[[#This Row],[Shortname]], Comp[], 16, FALSE)</f>
        <v>0</v>
      </c>
      <c r="AL460">
        <f>VLOOKUP(Table29[[#This Row],[Shortname]], Comp[], 17, FALSE)</f>
        <v>0</v>
      </c>
      <c r="AM460">
        <f>VLOOKUP(Table29[[#This Row],[Shortname]], Comp[], 18, FALSE)</f>
        <v>0</v>
      </c>
      <c r="AN460">
        <f>VLOOKUP(Table29[[#This Row],[Shortname]], Comp[], 19, FALSE)</f>
        <v>0.08</v>
      </c>
      <c r="AO460">
        <f>VLOOKUP(Table29[[#This Row],[Shortname]], Comp[], 20, FALSE)</f>
        <v>0</v>
      </c>
      <c r="AP460">
        <f>VLOOKUP(Table29[[#This Row],[Shortname]], Comp[], 21, FALSE)</f>
        <v>0</v>
      </c>
      <c r="AQ460">
        <f>VLOOKUP(Table29[[#This Row],[Shortname]], Comp[], 22, FALSE)</f>
        <v>0</v>
      </c>
      <c r="AR460">
        <f>VLOOKUP(Table29[[#This Row],[Shortname]], Comp[], 23, FALSE)</f>
        <v>0</v>
      </c>
      <c r="AS460">
        <f>VLOOKUP(Table29[[#This Row],[Shortname]], Comp[], 24, FALSE)</f>
        <v>0</v>
      </c>
      <c r="AT460">
        <f>VLOOKUP(Table29[[#This Row],[Shortname]], Comp[], 25, FALSE)</f>
        <v>0</v>
      </c>
      <c r="AU460">
        <f>VLOOKUP(Table29[[#This Row],[Shortname]], Comp[], 26, FALSE)</f>
        <v>0</v>
      </c>
      <c r="AV460">
        <f>VLOOKUP(Table29[[#This Row],[Shortname]], Comp[], 27, FALSE)</f>
        <v>0</v>
      </c>
      <c r="AW460">
        <f>VLOOKUP(Table29[[#This Row],[Shortname]], Comp[], 28, FALSE)</f>
        <v>0</v>
      </c>
      <c r="AX460">
        <f>VLOOKUP(Table29[[#This Row],[Shortname]], Comp[], 29, FALSE)</f>
        <v>0</v>
      </c>
      <c r="AY460">
        <f>VLOOKUP(Table29[[#This Row],[Shortname]], Comp[], 30, FALSE)</f>
        <v>0</v>
      </c>
      <c r="AZ460">
        <f>VLOOKUP(Table29[[#This Row],[Shortname]], Comp[], 31, FALSE)</f>
        <v>0</v>
      </c>
    </row>
    <row r="461" spans="1:52" x14ac:dyDescent="0.3">
      <c r="A461" t="s">
        <v>6125</v>
      </c>
      <c r="C461" t="e">
        <v>#N/A</v>
      </c>
      <c r="D461" t="s">
        <v>11</v>
      </c>
      <c r="E461" t="e">
        <v>#N/A</v>
      </c>
      <c r="F461" t="s">
        <v>6126</v>
      </c>
      <c r="G461" t="s">
        <v>6127</v>
      </c>
      <c r="H461">
        <v>649.62</v>
      </c>
      <c r="I461">
        <v>2.5131E-5</v>
      </c>
      <c r="J461">
        <f>0.01/Table29[[#This Row],[Strain Rate (min) /s]]</f>
        <v>397.91492578886636</v>
      </c>
      <c r="K461">
        <f>LOG(Table29[[#This Row],[Time to 1% strain (s)]])</f>
        <v>2.5997902298379385</v>
      </c>
      <c r="L461">
        <v>850</v>
      </c>
      <c r="P461" t="s">
        <v>7201</v>
      </c>
      <c r="Q461">
        <v>1275</v>
      </c>
      <c r="R461">
        <v>48</v>
      </c>
      <c r="S461">
        <v>900</v>
      </c>
      <c r="T461">
        <v>168</v>
      </c>
      <c r="W461">
        <v>1</v>
      </c>
      <c r="X461">
        <v>10</v>
      </c>
      <c r="Y461">
        <v>100</v>
      </c>
      <c r="AA461">
        <f>VLOOKUP(Table29[[#This Row],[Shortname]], Comp[], 6, FALSE)</f>
        <v>1001</v>
      </c>
      <c r="AB461" s="14">
        <f>VLOOKUP(Table29[[#This Row],[Shortname]], Comp[], 7, FALSE)</f>
        <v>46.150000000000006</v>
      </c>
      <c r="AC461">
        <f>VLOOKUP(Table29[[#This Row],[Shortname]], Comp[], 8, FALSE)</f>
        <v>29.99</v>
      </c>
      <c r="AD461">
        <f>VLOOKUP(Table29[[#This Row],[Shortname]], Comp[], 9, FALSE)</f>
        <v>11.74</v>
      </c>
      <c r="AE461">
        <f>VLOOKUP(Table29[[#This Row],[Shortname]], Comp[], 10, FALSE)</f>
        <v>0</v>
      </c>
      <c r="AF461">
        <f>VLOOKUP(Table29[[#This Row],[Shortname]], Comp[], 11, FALSE)</f>
        <v>5.48</v>
      </c>
      <c r="AG461">
        <f>VLOOKUP(Table29[[#This Row],[Shortname]], Comp[],12, FALSE)</f>
        <v>4.0599999999999996</v>
      </c>
      <c r="AH461">
        <f>VLOOKUP(Table29[[#This Row],[Shortname]], Comp[], 13, FALSE)</f>
        <v>2.5</v>
      </c>
      <c r="AI461">
        <f>VLOOKUP(Table29[[#This Row],[Shortname]], Comp[], 14, FALSE)</f>
        <v>0</v>
      </c>
      <c r="AJ461">
        <f>VLOOKUP(Table29[[#This Row],[Shortname]], Comp[], 15, FALSE)</f>
        <v>0</v>
      </c>
      <c r="AK461">
        <f>VLOOKUP(Table29[[#This Row],[Shortname]], Comp[], 16, FALSE)</f>
        <v>0</v>
      </c>
      <c r="AL461">
        <f>VLOOKUP(Table29[[#This Row],[Shortname]], Comp[], 17, FALSE)</f>
        <v>0</v>
      </c>
      <c r="AM461">
        <f>VLOOKUP(Table29[[#This Row],[Shortname]], Comp[], 18, FALSE)</f>
        <v>0</v>
      </c>
      <c r="AN461">
        <f>VLOOKUP(Table29[[#This Row],[Shortname]], Comp[], 19, FALSE)</f>
        <v>0.08</v>
      </c>
      <c r="AO461">
        <f>VLOOKUP(Table29[[#This Row],[Shortname]], Comp[], 20, FALSE)</f>
        <v>0</v>
      </c>
      <c r="AP461">
        <f>VLOOKUP(Table29[[#This Row],[Shortname]], Comp[], 21, FALSE)</f>
        <v>0</v>
      </c>
      <c r="AQ461">
        <f>VLOOKUP(Table29[[#This Row],[Shortname]], Comp[], 22, FALSE)</f>
        <v>0</v>
      </c>
      <c r="AR461">
        <f>VLOOKUP(Table29[[#This Row],[Shortname]], Comp[], 23, FALSE)</f>
        <v>0</v>
      </c>
      <c r="AS461">
        <f>VLOOKUP(Table29[[#This Row],[Shortname]], Comp[], 24, FALSE)</f>
        <v>0</v>
      </c>
      <c r="AT461">
        <f>VLOOKUP(Table29[[#This Row],[Shortname]], Comp[], 25, FALSE)</f>
        <v>0</v>
      </c>
      <c r="AU461">
        <f>VLOOKUP(Table29[[#This Row],[Shortname]], Comp[], 26, FALSE)</f>
        <v>0</v>
      </c>
      <c r="AV461">
        <f>VLOOKUP(Table29[[#This Row],[Shortname]], Comp[], 27, FALSE)</f>
        <v>0</v>
      </c>
      <c r="AW461">
        <f>VLOOKUP(Table29[[#This Row],[Shortname]], Comp[], 28, FALSE)</f>
        <v>0</v>
      </c>
      <c r="AX461">
        <f>VLOOKUP(Table29[[#This Row],[Shortname]], Comp[], 29, FALSE)</f>
        <v>0</v>
      </c>
      <c r="AY461">
        <f>VLOOKUP(Table29[[#This Row],[Shortname]], Comp[], 30, FALSE)</f>
        <v>0</v>
      </c>
      <c r="AZ461">
        <f>VLOOKUP(Table29[[#This Row],[Shortname]], Comp[], 31, FALSE)</f>
        <v>0</v>
      </c>
    </row>
    <row r="462" spans="1:52" x14ac:dyDescent="0.3">
      <c r="A462" t="s">
        <v>6125</v>
      </c>
      <c r="C462" t="e">
        <v>#N/A</v>
      </c>
      <c r="D462" t="s">
        <v>11</v>
      </c>
      <c r="E462" t="e">
        <v>#N/A</v>
      </c>
      <c r="F462" t="s">
        <v>6126</v>
      </c>
      <c r="G462" t="s">
        <v>6127</v>
      </c>
      <c r="H462">
        <v>727.99</v>
      </c>
      <c r="I462">
        <v>1.5946999999999999E-4</v>
      </c>
      <c r="J462">
        <f>0.01/Table29[[#This Row],[Strain Rate (min) /s]]</f>
        <v>62.70771932024833</v>
      </c>
      <c r="K462">
        <f>LOG(Table29[[#This Row],[Time to 1% strain (s)]])</f>
        <v>1.7973210057722735</v>
      </c>
      <c r="L462">
        <v>850</v>
      </c>
      <c r="P462" t="s">
        <v>7201</v>
      </c>
      <c r="Q462">
        <v>1275</v>
      </c>
      <c r="R462">
        <v>48</v>
      </c>
      <c r="S462">
        <v>900</v>
      </c>
      <c r="T462">
        <v>168</v>
      </c>
      <c r="W462">
        <v>1</v>
      </c>
      <c r="X462">
        <v>10</v>
      </c>
      <c r="Y462">
        <v>100</v>
      </c>
      <c r="AA462">
        <f>VLOOKUP(Table29[[#This Row],[Shortname]], Comp[], 6, FALSE)</f>
        <v>1001</v>
      </c>
      <c r="AB462" s="14">
        <f>VLOOKUP(Table29[[#This Row],[Shortname]], Comp[], 7, FALSE)</f>
        <v>46.150000000000006</v>
      </c>
      <c r="AC462">
        <f>VLOOKUP(Table29[[#This Row],[Shortname]], Comp[], 8, FALSE)</f>
        <v>29.99</v>
      </c>
      <c r="AD462">
        <f>VLOOKUP(Table29[[#This Row],[Shortname]], Comp[], 9, FALSE)</f>
        <v>11.74</v>
      </c>
      <c r="AE462">
        <f>VLOOKUP(Table29[[#This Row],[Shortname]], Comp[], 10, FALSE)</f>
        <v>0</v>
      </c>
      <c r="AF462">
        <f>VLOOKUP(Table29[[#This Row],[Shortname]], Comp[], 11, FALSE)</f>
        <v>5.48</v>
      </c>
      <c r="AG462">
        <f>VLOOKUP(Table29[[#This Row],[Shortname]], Comp[],12, FALSE)</f>
        <v>4.0599999999999996</v>
      </c>
      <c r="AH462">
        <f>VLOOKUP(Table29[[#This Row],[Shortname]], Comp[], 13, FALSE)</f>
        <v>2.5</v>
      </c>
      <c r="AI462">
        <f>VLOOKUP(Table29[[#This Row],[Shortname]], Comp[], 14, FALSE)</f>
        <v>0</v>
      </c>
      <c r="AJ462">
        <f>VLOOKUP(Table29[[#This Row],[Shortname]], Comp[], 15, FALSE)</f>
        <v>0</v>
      </c>
      <c r="AK462">
        <f>VLOOKUP(Table29[[#This Row],[Shortname]], Comp[], 16, FALSE)</f>
        <v>0</v>
      </c>
      <c r="AL462">
        <f>VLOOKUP(Table29[[#This Row],[Shortname]], Comp[], 17, FALSE)</f>
        <v>0</v>
      </c>
      <c r="AM462">
        <f>VLOOKUP(Table29[[#This Row],[Shortname]], Comp[], 18, FALSE)</f>
        <v>0</v>
      </c>
      <c r="AN462">
        <f>VLOOKUP(Table29[[#This Row],[Shortname]], Comp[], 19, FALSE)</f>
        <v>0.08</v>
      </c>
      <c r="AO462">
        <f>VLOOKUP(Table29[[#This Row],[Shortname]], Comp[], 20, FALSE)</f>
        <v>0</v>
      </c>
      <c r="AP462">
        <f>VLOOKUP(Table29[[#This Row],[Shortname]], Comp[], 21, FALSE)</f>
        <v>0</v>
      </c>
      <c r="AQ462">
        <f>VLOOKUP(Table29[[#This Row],[Shortname]], Comp[], 22, FALSE)</f>
        <v>0</v>
      </c>
      <c r="AR462">
        <f>VLOOKUP(Table29[[#This Row],[Shortname]], Comp[], 23, FALSE)</f>
        <v>0</v>
      </c>
      <c r="AS462">
        <f>VLOOKUP(Table29[[#This Row],[Shortname]], Comp[], 24, FALSE)</f>
        <v>0</v>
      </c>
      <c r="AT462">
        <f>VLOOKUP(Table29[[#This Row],[Shortname]], Comp[], 25, FALSE)</f>
        <v>0</v>
      </c>
      <c r="AU462">
        <f>VLOOKUP(Table29[[#This Row],[Shortname]], Comp[], 26, FALSE)</f>
        <v>0</v>
      </c>
      <c r="AV462">
        <f>VLOOKUP(Table29[[#This Row],[Shortname]], Comp[], 27, FALSE)</f>
        <v>0</v>
      </c>
      <c r="AW462">
        <f>VLOOKUP(Table29[[#This Row],[Shortname]], Comp[], 28, FALSE)</f>
        <v>0</v>
      </c>
      <c r="AX462">
        <f>VLOOKUP(Table29[[#This Row],[Shortname]], Comp[], 29, FALSE)</f>
        <v>0</v>
      </c>
      <c r="AY462">
        <f>VLOOKUP(Table29[[#This Row],[Shortname]], Comp[], 30, FALSE)</f>
        <v>0</v>
      </c>
      <c r="AZ462">
        <f>VLOOKUP(Table29[[#This Row],[Shortname]], Comp[], 31, FALSE)</f>
        <v>0</v>
      </c>
    </row>
    <row r="463" spans="1:52" x14ac:dyDescent="0.3">
      <c r="A463" t="s">
        <v>5215</v>
      </c>
      <c r="C463" t="e">
        <v>#N/A</v>
      </c>
      <c r="D463" t="e">
        <v>#N/A</v>
      </c>
      <c r="E463" t="e">
        <v>#N/A</v>
      </c>
      <c r="F463" t="s">
        <v>6129</v>
      </c>
      <c r="G463" t="s">
        <v>6130</v>
      </c>
      <c r="H463">
        <v>800</v>
      </c>
      <c r="I463">
        <v>2.7999999999999998E-9</v>
      </c>
      <c r="J463">
        <f>0.01/Table29[[#This Row],[Strain Rate (min) /s]]</f>
        <v>3571428.5714285718</v>
      </c>
      <c r="K463">
        <f>LOG(Table29[[#This Row],[Time to 1% strain (s)]])</f>
        <v>6.5528419686577806</v>
      </c>
      <c r="L463">
        <v>760</v>
      </c>
      <c r="P463" t="s">
        <v>7202</v>
      </c>
      <c r="Q463">
        <v>1275</v>
      </c>
      <c r="R463">
        <v>48</v>
      </c>
      <c r="S463">
        <v>900</v>
      </c>
      <c r="T463">
        <v>168</v>
      </c>
      <c r="W463">
        <v>1</v>
      </c>
      <c r="X463">
        <v>10</v>
      </c>
      <c r="Y463">
        <v>100</v>
      </c>
      <c r="AA463">
        <f>VLOOKUP(Table29[[#This Row],[Shortname]], Comp[], 6, FALSE)</f>
        <v>3080</v>
      </c>
      <c r="AB463" s="14">
        <f>VLOOKUP(Table29[[#This Row],[Shortname]], Comp[], 7, FALSE)</f>
        <v>80</v>
      </c>
      <c r="AC463">
        <f>VLOOKUP(Table29[[#This Row],[Shortname]], Comp[], 8, FALSE)</f>
        <v>0</v>
      </c>
      <c r="AD463">
        <f>VLOOKUP(Table29[[#This Row],[Shortname]], Comp[], 9, FALSE)</f>
        <v>7</v>
      </c>
      <c r="AE463">
        <f>VLOOKUP(Table29[[#This Row],[Shortname]], Comp[], 10, FALSE)</f>
        <v>0</v>
      </c>
      <c r="AF463">
        <f>VLOOKUP(Table29[[#This Row],[Shortname]], Comp[], 11, FALSE)</f>
        <v>8</v>
      </c>
      <c r="AG463">
        <f>VLOOKUP(Table29[[#This Row],[Shortname]], Comp[],12, FALSE)</f>
        <v>4</v>
      </c>
      <c r="AH463">
        <f>VLOOKUP(Table29[[#This Row],[Shortname]], Comp[], 13, FALSE)</f>
        <v>1</v>
      </c>
      <c r="AI463">
        <f>VLOOKUP(Table29[[#This Row],[Shortname]], Comp[], 14, FALSE)</f>
        <v>0</v>
      </c>
      <c r="AJ463">
        <f>VLOOKUP(Table29[[#This Row],[Shortname]], Comp[], 15, FALSE)</f>
        <v>0</v>
      </c>
      <c r="AK463">
        <f>VLOOKUP(Table29[[#This Row],[Shortname]], Comp[], 16, FALSE)</f>
        <v>0</v>
      </c>
      <c r="AL463">
        <f>VLOOKUP(Table29[[#This Row],[Shortname]], Comp[], 17, FALSE)</f>
        <v>0</v>
      </c>
      <c r="AM463">
        <f>VLOOKUP(Table29[[#This Row],[Shortname]], Comp[], 18, FALSE)</f>
        <v>0</v>
      </c>
      <c r="AN463">
        <f>VLOOKUP(Table29[[#This Row],[Shortname]], Comp[], 19, FALSE)</f>
        <v>0</v>
      </c>
      <c r="AO463">
        <f>VLOOKUP(Table29[[#This Row],[Shortname]], Comp[], 20, FALSE)</f>
        <v>0</v>
      </c>
      <c r="AP463">
        <f>VLOOKUP(Table29[[#This Row],[Shortname]], Comp[], 21, FALSE)</f>
        <v>0</v>
      </c>
      <c r="AQ463">
        <f>VLOOKUP(Table29[[#This Row],[Shortname]], Comp[], 22, FALSE)</f>
        <v>0</v>
      </c>
      <c r="AR463">
        <f>VLOOKUP(Table29[[#This Row],[Shortname]], Comp[], 23, FALSE)</f>
        <v>0</v>
      </c>
      <c r="AS463">
        <f>VLOOKUP(Table29[[#This Row],[Shortname]], Comp[], 24, FALSE)</f>
        <v>0</v>
      </c>
      <c r="AT463">
        <f>VLOOKUP(Table29[[#This Row],[Shortname]], Comp[], 25, FALSE)</f>
        <v>0</v>
      </c>
      <c r="AU463">
        <f>VLOOKUP(Table29[[#This Row],[Shortname]], Comp[], 26, FALSE)</f>
        <v>0</v>
      </c>
      <c r="AV463">
        <f>VLOOKUP(Table29[[#This Row],[Shortname]], Comp[], 27, FALSE)</f>
        <v>0</v>
      </c>
      <c r="AW463">
        <f>VLOOKUP(Table29[[#This Row],[Shortname]], Comp[], 28, FALSE)</f>
        <v>0</v>
      </c>
      <c r="AX463">
        <f>VLOOKUP(Table29[[#This Row],[Shortname]], Comp[], 29, FALSE)</f>
        <v>0</v>
      </c>
      <c r="AY463">
        <f>VLOOKUP(Table29[[#This Row],[Shortname]], Comp[], 30, FALSE)</f>
        <v>0</v>
      </c>
      <c r="AZ463">
        <f>VLOOKUP(Table29[[#This Row],[Shortname]], Comp[], 31, FALSE)</f>
        <v>0</v>
      </c>
    </row>
    <row r="464" spans="1:52" x14ac:dyDescent="0.3">
      <c r="A464" t="s">
        <v>6132</v>
      </c>
      <c r="C464" t="e">
        <v>#N/A</v>
      </c>
      <c r="D464" t="e">
        <v>#N/A</v>
      </c>
      <c r="E464" t="e">
        <v>#N/A</v>
      </c>
      <c r="F464" t="s">
        <v>6133</v>
      </c>
      <c r="G464" t="s">
        <v>6130</v>
      </c>
      <c r="H464">
        <v>800</v>
      </c>
      <c r="I464">
        <v>1E-8</v>
      </c>
      <c r="J464">
        <f>0.01/Table29[[#This Row],[Strain Rate (min) /s]]</f>
        <v>1000000</v>
      </c>
      <c r="K464">
        <f>LOG(Table29[[#This Row],[Time to 1% strain (s)]])</f>
        <v>6</v>
      </c>
      <c r="L464">
        <v>760</v>
      </c>
      <c r="P464" t="s">
        <v>7203</v>
      </c>
      <c r="Q464">
        <v>1275</v>
      </c>
      <c r="R464">
        <v>48</v>
      </c>
      <c r="S464">
        <v>900</v>
      </c>
      <c r="T464">
        <v>168</v>
      </c>
      <c r="W464">
        <v>1</v>
      </c>
      <c r="X464">
        <v>10</v>
      </c>
      <c r="Y464">
        <v>100</v>
      </c>
      <c r="AA464">
        <f>VLOOKUP(Table29[[#This Row],[Shortname]], Comp[], 6, FALSE)</f>
        <v>1003</v>
      </c>
      <c r="AB464" s="14">
        <f>VLOOKUP(Table29[[#This Row],[Shortname]], Comp[], 7, FALSE)</f>
        <v>45</v>
      </c>
      <c r="AC464">
        <f>VLOOKUP(Table29[[#This Row],[Shortname]], Comp[], 8, FALSE)</f>
        <v>30</v>
      </c>
      <c r="AD464">
        <f>VLOOKUP(Table29[[#This Row],[Shortname]], Comp[], 9, FALSE)</f>
        <v>11</v>
      </c>
      <c r="AE464">
        <f>VLOOKUP(Table29[[#This Row],[Shortname]], Comp[], 10, FALSE)</f>
        <v>5</v>
      </c>
      <c r="AF464">
        <f>VLOOKUP(Table29[[#This Row],[Shortname]], Comp[], 11, FALSE)</f>
        <v>4</v>
      </c>
      <c r="AG464">
        <f>VLOOKUP(Table29[[#This Row],[Shortname]], Comp[],12, FALSE)</f>
        <v>4</v>
      </c>
      <c r="AH464">
        <f>VLOOKUP(Table29[[#This Row],[Shortname]], Comp[], 13, FALSE)</f>
        <v>1</v>
      </c>
      <c r="AI464">
        <f>VLOOKUP(Table29[[#This Row],[Shortname]], Comp[], 14, FALSE)</f>
        <v>0</v>
      </c>
      <c r="AJ464">
        <f>VLOOKUP(Table29[[#This Row],[Shortname]], Comp[], 15, FALSE)</f>
        <v>0</v>
      </c>
      <c r="AK464">
        <f>VLOOKUP(Table29[[#This Row],[Shortname]], Comp[], 16, FALSE)</f>
        <v>0</v>
      </c>
      <c r="AL464">
        <f>VLOOKUP(Table29[[#This Row],[Shortname]], Comp[], 17, FALSE)</f>
        <v>0</v>
      </c>
      <c r="AM464">
        <f>VLOOKUP(Table29[[#This Row],[Shortname]], Comp[], 18, FALSE)</f>
        <v>0</v>
      </c>
      <c r="AN464">
        <f>VLOOKUP(Table29[[#This Row],[Shortname]], Comp[], 19, FALSE)</f>
        <v>0</v>
      </c>
      <c r="AO464">
        <f>VLOOKUP(Table29[[#This Row],[Shortname]], Comp[], 20, FALSE)</f>
        <v>0</v>
      </c>
      <c r="AP464">
        <f>VLOOKUP(Table29[[#This Row],[Shortname]], Comp[], 21, FALSE)</f>
        <v>0</v>
      </c>
      <c r="AQ464">
        <f>VLOOKUP(Table29[[#This Row],[Shortname]], Comp[], 22, FALSE)</f>
        <v>0</v>
      </c>
      <c r="AR464">
        <f>VLOOKUP(Table29[[#This Row],[Shortname]], Comp[], 23, FALSE)</f>
        <v>0</v>
      </c>
      <c r="AS464">
        <f>VLOOKUP(Table29[[#This Row],[Shortname]], Comp[], 24, FALSE)</f>
        <v>0</v>
      </c>
      <c r="AT464">
        <f>VLOOKUP(Table29[[#This Row],[Shortname]], Comp[], 25, FALSE)</f>
        <v>0</v>
      </c>
      <c r="AU464">
        <f>VLOOKUP(Table29[[#This Row],[Shortname]], Comp[], 26, FALSE)</f>
        <v>0</v>
      </c>
      <c r="AV464">
        <f>VLOOKUP(Table29[[#This Row],[Shortname]], Comp[], 27, FALSE)</f>
        <v>0</v>
      </c>
      <c r="AW464">
        <f>VLOOKUP(Table29[[#This Row],[Shortname]], Comp[], 28, FALSE)</f>
        <v>0</v>
      </c>
      <c r="AX464">
        <f>VLOOKUP(Table29[[#This Row],[Shortname]], Comp[], 29, FALSE)</f>
        <v>0</v>
      </c>
      <c r="AY464">
        <f>VLOOKUP(Table29[[#This Row],[Shortname]], Comp[], 30, FALSE)</f>
        <v>0</v>
      </c>
      <c r="AZ464">
        <f>VLOOKUP(Table29[[#This Row],[Shortname]], Comp[], 31, FALSE)</f>
        <v>0</v>
      </c>
    </row>
    <row r="465" spans="1:52" x14ac:dyDescent="0.3">
      <c r="A465" t="s">
        <v>6155</v>
      </c>
      <c r="C465" t="e">
        <v>#N/A</v>
      </c>
      <c r="D465" t="e">
        <v>#N/A</v>
      </c>
      <c r="E465" t="e">
        <v>#N/A</v>
      </c>
      <c r="F465" t="s">
        <v>6156</v>
      </c>
      <c r="G465" t="s">
        <v>6157</v>
      </c>
      <c r="H465">
        <v>300</v>
      </c>
      <c r="I465">
        <v>1.9348000000000001E-7</v>
      </c>
      <c r="J465">
        <f>0.01/Table29[[#This Row],[Strain Rate (min) /s]]</f>
        <v>51684.92867479843</v>
      </c>
      <c r="K465">
        <f>LOG(Table29[[#This Row],[Time to 1% strain (s)]])</f>
        <v>4.7133639212835821</v>
      </c>
      <c r="L465">
        <v>850</v>
      </c>
      <c r="P465" t="s">
        <v>7204</v>
      </c>
      <c r="Q465">
        <v>1250</v>
      </c>
      <c r="R465">
        <v>25</v>
      </c>
      <c r="S465">
        <v>900</v>
      </c>
      <c r="T465">
        <v>50</v>
      </c>
      <c r="W465">
        <v>1</v>
      </c>
      <c r="X465">
        <v>10</v>
      </c>
      <c r="Y465">
        <v>70</v>
      </c>
      <c r="AA465">
        <f>VLOOKUP(Table29[[#This Row],[Shortname]], Comp[], 6, FALSE)</f>
        <v>1010</v>
      </c>
      <c r="AB465" s="14">
        <f>VLOOKUP(Table29[[#This Row],[Shortname]], Comp[], 7, FALSE)</f>
        <v>50.7</v>
      </c>
      <c r="AC465">
        <f>VLOOKUP(Table29[[#This Row],[Shortname]], Comp[], 8, FALSE)</f>
        <v>30.3</v>
      </c>
      <c r="AD465">
        <f>VLOOKUP(Table29[[#This Row],[Shortname]], Comp[], 9, FALSE)</f>
        <v>9.6999999999999993</v>
      </c>
      <c r="AE465">
        <f>VLOOKUP(Table29[[#This Row],[Shortname]], Comp[], 10, FALSE)</f>
        <v>0</v>
      </c>
      <c r="AF465">
        <f>VLOOKUP(Table29[[#This Row],[Shortname]], Comp[], 11, FALSE)</f>
        <v>0</v>
      </c>
      <c r="AG465">
        <f>VLOOKUP(Table29[[#This Row],[Shortname]], Comp[],12, FALSE)</f>
        <v>1.9</v>
      </c>
      <c r="AH465">
        <f>VLOOKUP(Table29[[#This Row],[Shortname]], Comp[], 13, FALSE)</f>
        <v>2.1</v>
      </c>
      <c r="AI465">
        <f>VLOOKUP(Table29[[#This Row],[Shortname]], Comp[], 14, FALSE)</f>
        <v>0</v>
      </c>
      <c r="AJ465">
        <f>VLOOKUP(Table29[[#This Row],[Shortname]], Comp[], 15, FALSE)</f>
        <v>0</v>
      </c>
      <c r="AK465">
        <f>VLOOKUP(Table29[[#This Row],[Shortname]], Comp[], 16, FALSE)</f>
        <v>5.3</v>
      </c>
      <c r="AL465">
        <f>VLOOKUP(Table29[[#This Row],[Shortname]], Comp[], 17, FALSE)</f>
        <v>0</v>
      </c>
      <c r="AM465">
        <f>VLOOKUP(Table29[[#This Row],[Shortname]], Comp[], 18, FALSE)</f>
        <v>0</v>
      </c>
      <c r="AN465">
        <f>VLOOKUP(Table29[[#This Row],[Shortname]], Comp[], 19, FALSE)</f>
        <v>0</v>
      </c>
      <c r="AO465">
        <f>VLOOKUP(Table29[[#This Row],[Shortname]], Comp[], 20, FALSE)</f>
        <v>0</v>
      </c>
      <c r="AP465">
        <f>VLOOKUP(Table29[[#This Row],[Shortname]], Comp[], 21, FALSE)</f>
        <v>0</v>
      </c>
      <c r="AQ465">
        <f>VLOOKUP(Table29[[#This Row],[Shortname]], Comp[], 22, FALSE)</f>
        <v>0</v>
      </c>
      <c r="AR465">
        <f>VLOOKUP(Table29[[#This Row],[Shortname]], Comp[], 23, FALSE)</f>
        <v>0</v>
      </c>
      <c r="AS465">
        <f>VLOOKUP(Table29[[#This Row],[Shortname]], Comp[], 24, FALSE)</f>
        <v>0</v>
      </c>
      <c r="AT465">
        <f>VLOOKUP(Table29[[#This Row],[Shortname]], Comp[], 25, FALSE)</f>
        <v>0</v>
      </c>
      <c r="AU465">
        <f>VLOOKUP(Table29[[#This Row],[Shortname]], Comp[], 26, FALSE)</f>
        <v>0</v>
      </c>
      <c r="AV465">
        <f>VLOOKUP(Table29[[#This Row],[Shortname]], Comp[], 27, FALSE)</f>
        <v>0</v>
      </c>
      <c r="AW465">
        <f>VLOOKUP(Table29[[#This Row],[Shortname]], Comp[], 28, FALSE)</f>
        <v>0</v>
      </c>
      <c r="AX465">
        <f>VLOOKUP(Table29[[#This Row],[Shortname]], Comp[], 29, FALSE)</f>
        <v>0</v>
      </c>
      <c r="AY465">
        <f>VLOOKUP(Table29[[#This Row],[Shortname]], Comp[], 30, FALSE)</f>
        <v>0</v>
      </c>
      <c r="AZ465">
        <f>VLOOKUP(Table29[[#This Row],[Shortname]], Comp[], 31, FALSE)</f>
        <v>0</v>
      </c>
    </row>
    <row r="466" spans="1:52" x14ac:dyDescent="0.3">
      <c r="A466" t="s">
        <v>6155</v>
      </c>
      <c r="C466" t="e">
        <v>#N/A</v>
      </c>
      <c r="D466" t="s">
        <v>11</v>
      </c>
      <c r="E466" t="e">
        <v>#N/A</v>
      </c>
      <c r="F466" t="s">
        <v>6156</v>
      </c>
      <c r="G466" t="s">
        <v>6157</v>
      </c>
      <c r="H466">
        <v>400</v>
      </c>
      <c r="I466">
        <v>4.2938999999999997E-6</v>
      </c>
      <c r="J466">
        <f>0.01/Table29[[#This Row],[Strain Rate (min) /s]]</f>
        <v>2328.8851626726287</v>
      </c>
      <c r="K466">
        <f>LOG(Table29[[#This Row],[Time to 1% strain (s)]])</f>
        <v>3.367148074001749</v>
      </c>
      <c r="L466">
        <v>850</v>
      </c>
      <c r="P466" t="s">
        <v>7204</v>
      </c>
      <c r="Q466">
        <v>1250</v>
      </c>
      <c r="R466">
        <v>25</v>
      </c>
      <c r="S466">
        <v>900</v>
      </c>
      <c r="T466">
        <v>50</v>
      </c>
      <c r="W466">
        <v>1</v>
      </c>
      <c r="X466">
        <v>10</v>
      </c>
      <c r="Y466">
        <v>70</v>
      </c>
      <c r="AA466">
        <f>VLOOKUP(Table29[[#This Row],[Shortname]], Comp[], 6, FALSE)</f>
        <v>1010</v>
      </c>
      <c r="AB466" s="14">
        <f>VLOOKUP(Table29[[#This Row],[Shortname]], Comp[], 7, FALSE)</f>
        <v>50.7</v>
      </c>
      <c r="AC466">
        <f>VLOOKUP(Table29[[#This Row],[Shortname]], Comp[], 8, FALSE)</f>
        <v>30.3</v>
      </c>
      <c r="AD466">
        <f>VLOOKUP(Table29[[#This Row],[Shortname]], Comp[], 9, FALSE)</f>
        <v>9.6999999999999993</v>
      </c>
      <c r="AE466">
        <f>VLOOKUP(Table29[[#This Row],[Shortname]], Comp[], 10, FALSE)</f>
        <v>0</v>
      </c>
      <c r="AF466">
        <f>VLOOKUP(Table29[[#This Row],[Shortname]], Comp[], 11, FALSE)</f>
        <v>0</v>
      </c>
      <c r="AG466">
        <f>VLOOKUP(Table29[[#This Row],[Shortname]], Comp[],12, FALSE)</f>
        <v>1.9</v>
      </c>
      <c r="AH466">
        <f>VLOOKUP(Table29[[#This Row],[Shortname]], Comp[], 13, FALSE)</f>
        <v>2.1</v>
      </c>
      <c r="AI466">
        <f>VLOOKUP(Table29[[#This Row],[Shortname]], Comp[], 14, FALSE)</f>
        <v>0</v>
      </c>
      <c r="AJ466">
        <f>VLOOKUP(Table29[[#This Row],[Shortname]], Comp[], 15, FALSE)</f>
        <v>0</v>
      </c>
      <c r="AK466">
        <f>VLOOKUP(Table29[[#This Row],[Shortname]], Comp[], 16, FALSE)</f>
        <v>5.3</v>
      </c>
      <c r="AL466">
        <f>VLOOKUP(Table29[[#This Row],[Shortname]], Comp[], 17, FALSE)</f>
        <v>0</v>
      </c>
      <c r="AM466">
        <f>VLOOKUP(Table29[[#This Row],[Shortname]], Comp[], 18, FALSE)</f>
        <v>0</v>
      </c>
      <c r="AN466">
        <f>VLOOKUP(Table29[[#This Row],[Shortname]], Comp[], 19, FALSE)</f>
        <v>0</v>
      </c>
      <c r="AO466">
        <f>VLOOKUP(Table29[[#This Row],[Shortname]], Comp[], 20, FALSE)</f>
        <v>0</v>
      </c>
      <c r="AP466">
        <f>VLOOKUP(Table29[[#This Row],[Shortname]], Comp[], 21, FALSE)</f>
        <v>0</v>
      </c>
      <c r="AQ466">
        <f>VLOOKUP(Table29[[#This Row],[Shortname]], Comp[], 22, FALSE)</f>
        <v>0</v>
      </c>
      <c r="AR466">
        <f>VLOOKUP(Table29[[#This Row],[Shortname]], Comp[], 23, FALSE)</f>
        <v>0</v>
      </c>
      <c r="AS466">
        <f>VLOOKUP(Table29[[#This Row],[Shortname]], Comp[], 24, FALSE)</f>
        <v>0</v>
      </c>
      <c r="AT466">
        <f>VLOOKUP(Table29[[#This Row],[Shortname]], Comp[], 25, FALSE)</f>
        <v>0</v>
      </c>
      <c r="AU466">
        <f>VLOOKUP(Table29[[#This Row],[Shortname]], Comp[], 26, FALSE)</f>
        <v>0</v>
      </c>
      <c r="AV466">
        <f>VLOOKUP(Table29[[#This Row],[Shortname]], Comp[], 27, FALSE)</f>
        <v>0</v>
      </c>
      <c r="AW466">
        <f>VLOOKUP(Table29[[#This Row],[Shortname]], Comp[], 28, FALSE)</f>
        <v>0</v>
      </c>
      <c r="AX466">
        <f>VLOOKUP(Table29[[#This Row],[Shortname]], Comp[], 29, FALSE)</f>
        <v>0</v>
      </c>
      <c r="AY466">
        <f>VLOOKUP(Table29[[#This Row],[Shortname]], Comp[], 30, FALSE)</f>
        <v>0</v>
      </c>
      <c r="AZ466">
        <f>VLOOKUP(Table29[[#This Row],[Shortname]], Comp[], 31, FALSE)</f>
        <v>0</v>
      </c>
    </row>
    <row r="467" spans="1:52" x14ac:dyDescent="0.3">
      <c r="A467" t="s">
        <v>6155</v>
      </c>
      <c r="C467" t="e">
        <v>#N/A</v>
      </c>
      <c r="D467" t="s">
        <v>11</v>
      </c>
      <c r="E467" t="e">
        <v>#N/A</v>
      </c>
      <c r="F467" t="s">
        <v>6156</v>
      </c>
      <c r="G467" t="s">
        <v>6157</v>
      </c>
      <c r="H467">
        <v>500</v>
      </c>
      <c r="I467">
        <v>1.9783E-5</v>
      </c>
      <c r="J467">
        <f>0.01/Table29[[#This Row],[Strain Rate (min) /s]]</f>
        <v>505.4845068998635</v>
      </c>
      <c r="K467">
        <f>LOG(Table29[[#This Row],[Time to 1% strain (s)]])</f>
        <v>2.7037078490051383</v>
      </c>
      <c r="L467">
        <v>850</v>
      </c>
      <c r="P467" t="s">
        <v>7204</v>
      </c>
      <c r="Q467">
        <v>1250</v>
      </c>
      <c r="R467">
        <v>25</v>
      </c>
      <c r="S467">
        <v>900</v>
      </c>
      <c r="T467">
        <v>50</v>
      </c>
      <c r="W467">
        <v>1</v>
      </c>
      <c r="X467">
        <v>10</v>
      </c>
      <c r="Y467">
        <v>70</v>
      </c>
      <c r="AA467">
        <f>VLOOKUP(Table29[[#This Row],[Shortname]], Comp[], 6, FALSE)</f>
        <v>1010</v>
      </c>
      <c r="AB467" s="14">
        <f>VLOOKUP(Table29[[#This Row],[Shortname]], Comp[], 7, FALSE)</f>
        <v>50.7</v>
      </c>
      <c r="AC467">
        <f>VLOOKUP(Table29[[#This Row],[Shortname]], Comp[], 8, FALSE)</f>
        <v>30.3</v>
      </c>
      <c r="AD467">
        <f>VLOOKUP(Table29[[#This Row],[Shortname]], Comp[], 9, FALSE)</f>
        <v>9.6999999999999993</v>
      </c>
      <c r="AE467">
        <f>VLOOKUP(Table29[[#This Row],[Shortname]], Comp[], 10, FALSE)</f>
        <v>0</v>
      </c>
      <c r="AF467">
        <f>VLOOKUP(Table29[[#This Row],[Shortname]], Comp[], 11, FALSE)</f>
        <v>0</v>
      </c>
      <c r="AG467">
        <f>VLOOKUP(Table29[[#This Row],[Shortname]], Comp[],12, FALSE)</f>
        <v>1.9</v>
      </c>
      <c r="AH467">
        <f>VLOOKUP(Table29[[#This Row],[Shortname]], Comp[], 13, FALSE)</f>
        <v>2.1</v>
      </c>
      <c r="AI467">
        <f>VLOOKUP(Table29[[#This Row],[Shortname]], Comp[], 14, FALSE)</f>
        <v>0</v>
      </c>
      <c r="AJ467">
        <f>VLOOKUP(Table29[[#This Row],[Shortname]], Comp[], 15, FALSE)</f>
        <v>0</v>
      </c>
      <c r="AK467">
        <f>VLOOKUP(Table29[[#This Row],[Shortname]], Comp[], 16, FALSE)</f>
        <v>5.3</v>
      </c>
      <c r="AL467">
        <f>VLOOKUP(Table29[[#This Row],[Shortname]], Comp[], 17, FALSE)</f>
        <v>0</v>
      </c>
      <c r="AM467">
        <f>VLOOKUP(Table29[[#This Row],[Shortname]], Comp[], 18, FALSE)</f>
        <v>0</v>
      </c>
      <c r="AN467">
        <f>VLOOKUP(Table29[[#This Row],[Shortname]], Comp[], 19, FALSE)</f>
        <v>0</v>
      </c>
      <c r="AO467">
        <f>VLOOKUP(Table29[[#This Row],[Shortname]], Comp[], 20, FALSE)</f>
        <v>0</v>
      </c>
      <c r="AP467">
        <f>VLOOKUP(Table29[[#This Row],[Shortname]], Comp[], 21, FALSE)</f>
        <v>0</v>
      </c>
      <c r="AQ467">
        <f>VLOOKUP(Table29[[#This Row],[Shortname]], Comp[], 22, FALSE)</f>
        <v>0</v>
      </c>
      <c r="AR467">
        <f>VLOOKUP(Table29[[#This Row],[Shortname]], Comp[], 23, FALSE)</f>
        <v>0</v>
      </c>
      <c r="AS467">
        <f>VLOOKUP(Table29[[#This Row],[Shortname]], Comp[], 24, FALSE)</f>
        <v>0</v>
      </c>
      <c r="AT467">
        <f>VLOOKUP(Table29[[#This Row],[Shortname]], Comp[], 25, FALSE)</f>
        <v>0</v>
      </c>
      <c r="AU467">
        <f>VLOOKUP(Table29[[#This Row],[Shortname]], Comp[], 26, FALSE)</f>
        <v>0</v>
      </c>
      <c r="AV467">
        <f>VLOOKUP(Table29[[#This Row],[Shortname]], Comp[], 27, FALSE)</f>
        <v>0</v>
      </c>
      <c r="AW467">
        <f>VLOOKUP(Table29[[#This Row],[Shortname]], Comp[], 28, FALSE)</f>
        <v>0</v>
      </c>
      <c r="AX467">
        <f>VLOOKUP(Table29[[#This Row],[Shortname]], Comp[], 29, FALSE)</f>
        <v>0</v>
      </c>
      <c r="AY467">
        <f>VLOOKUP(Table29[[#This Row],[Shortname]], Comp[], 30, FALSE)</f>
        <v>0</v>
      </c>
      <c r="AZ467">
        <f>VLOOKUP(Table29[[#This Row],[Shortname]], Comp[], 31, FALSE)</f>
        <v>0</v>
      </c>
    </row>
    <row r="468" spans="1:52" x14ac:dyDescent="0.3">
      <c r="A468" t="s">
        <v>6159</v>
      </c>
      <c r="C468" t="e">
        <v>#N/A</v>
      </c>
      <c r="D468" t="e">
        <v>#N/A</v>
      </c>
      <c r="E468" t="e">
        <v>#N/A</v>
      </c>
      <c r="F468" t="s">
        <v>6160</v>
      </c>
      <c r="G468" t="s">
        <v>6157</v>
      </c>
      <c r="H468">
        <v>300</v>
      </c>
      <c r="I468">
        <v>2.4895999999999997E-7</v>
      </c>
      <c r="J468">
        <f>0.01/Table29[[#This Row],[Strain Rate (min) /s]]</f>
        <v>40167.095115681237</v>
      </c>
      <c r="K468">
        <f>LOG(Table29[[#This Row],[Time to 1% strain (s)]])</f>
        <v>4.6038704246904052</v>
      </c>
      <c r="L468">
        <v>850</v>
      </c>
      <c r="P468" t="s">
        <v>7205</v>
      </c>
      <c r="Q468">
        <v>1250</v>
      </c>
      <c r="R468">
        <v>25</v>
      </c>
      <c r="S468">
        <v>900</v>
      </c>
      <c r="T468">
        <v>50</v>
      </c>
      <c r="W468">
        <v>1</v>
      </c>
      <c r="X468">
        <v>10</v>
      </c>
      <c r="Y468">
        <v>70</v>
      </c>
      <c r="AA468">
        <f>VLOOKUP(Table29[[#This Row],[Shortname]], Comp[], 6, FALSE)</f>
        <v>1011</v>
      </c>
      <c r="AB468" s="14">
        <f>VLOOKUP(Table29[[#This Row],[Shortname]], Comp[], 7, FALSE)</f>
        <v>50.381999999999998</v>
      </c>
      <c r="AC468">
        <f>VLOOKUP(Table29[[#This Row],[Shortname]], Comp[], 8, FALSE)</f>
        <v>30.2</v>
      </c>
      <c r="AD468">
        <f>VLOOKUP(Table29[[#This Row],[Shortname]], Comp[], 9, FALSE)</f>
        <v>10.1</v>
      </c>
      <c r="AE468">
        <f>VLOOKUP(Table29[[#This Row],[Shortname]], Comp[], 10, FALSE)</f>
        <v>0</v>
      </c>
      <c r="AF468">
        <f>VLOOKUP(Table29[[#This Row],[Shortname]], Comp[], 11, FALSE)</f>
        <v>0</v>
      </c>
      <c r="AG468">
        <f>VLOOKUP(Table29[[#This Row],[Shortname]], Comp[],12, FALSE)</f>
        <v>2.1</v>
      </c>
      <c r="AH468">
        <f>VLOOKUP(Table29[[#This Row],[Shortname]], Comp[], 13, FALSE)</f>
        <v>2.1</v>
      </c>
      <c r="AI468">
        <f>VLOOKUP(Table29[[#This Row],[Shortname]], Comp[], 14, FALSE)</f>
        <v>0</v>
      </c>
      <c r="AJ468">
        <f>VLOOKUP(Table29[[#This Row],[Shortname]], Comp[], 15, FALSE)</f>
        <v>0</v>
      </c>
      <c r="AK468">
        <f>VLOOKUP(Table29[[#This Row],[Shortname]], Comp[], 16, FALSE)</f>
        <v>5.0999999999999996</v>
      </c>
      <c r="AL468">
        <f>VLOOKUP(Table29[[#This Row],[Shortname]], Comp[], 17, FALSE)</f>
        <v>0</v>
      </c>
      <c r="AM468">
        <f>VLOOKUP(Table29[[#This Row],[Shortname]], Comp[], 18, FALSE)</f>
        <v>0</v>
      </c>
      <c r="AN468">
        <f>VLOOKUP(Table29[[#This Row],[Shortname]], Comp[], 19, FALSE)</f>
        <v>1.7999999999999999E-2</v>
      </c>
      <c r="AO468">
        <f>VLOOKUP(Table29[[#This Row],[Shortname]], Comp[], 20, FALSE)</f>
        <v>0</v>
      </c>
      <c r="AP468">
        <f>VLOOKUP(Table29[[#This Row],[Shortname]], Comp[], 21, FALSE)</f>
        <v>0</v>
      </c>
      <c r="AQ468">
        <f>VLOOKUP(Table29[[#This Row],[Shortname]], Comp[], 22, FALSE)</f>
        <v>0</v>
      </c>
      <c r="AR468">
        <f>VLOOKUP(Table29[[#This Row],[Shortname]], Comp[], 23, FALSE)</f>
        <v>0</v>
      </c>
      <c r="AS468">
        <f>VLOOKUP(Table29[[#This Row],[Shortname]], Comp[], 24, FALSE)</f>
        <v>0</v>
      </c>
      <c r="AT468">
        <f>VLOOKUP(Table29[[#This Row],[Shortname]], Comp[], 25, FALSE)</f>
        <v>0</v>
      </c>
      <c r="AU468">
        <f>VLOOKUP(Table29[[#This Row],[Shortname]], Comp[], 26, FALSE)</f>
        <v>0</v>
      </c>
      <c r="AV468">
        <f>VLOOKUP(Table29[[#This Row],[Shortname]], Comp[], 27, FALSE)</f>
        <v>0</v>
      </c>
      <c r="AW468">
        <f>VLOOKUP(Table29[[#This Row],[Shortname]], Comp[], 28, FALSE)</f>
        <v>0</v>
      </c>
      <c r="AX468">
        <f>VLOOKUP(Table29[[#This Row],[Shortname]], Comp[], 29, FALSE)</f>
        <v>0</v>
      </c>
      <c r="AY468">
        <f>VLOOKUP(Table29[[#This Row],[Shortname]], Comp[], 30, FALSE)</f>
        <v>0</v>
      </c>
      <c r="AZ468">
        <f>VLOOKUP(Table29[[#This Row],[Shortname]], Comp[], 31, FALSE)</f>
        <v>0</v>
      </c>
    </row>
    <row r="469" spans="1:52" x14ac:dyDescent="0.3">
      <c r="A469" t="s">
        <v>6159</v>
      </c>
      <c r="C469" t="e">
        <v>#N/A</v>
      </c>
      <c r="D469" t="s">
        <v>11</v>
      </c>
      <c r="E469" t="e">
        <v>#N/A</v>
      </c>
      <c r="F469" t="s">
        <v>6160</v>
      </c>
      <c r="G469" t="s">
        <v>6157</v>
      </c>
      <c r="H469">
        <v>400</v>
      </c>
      <c r="I469">
        <v>1.8437E-6</v>
      </c>
      <c r="J469">
        <f>0.01/Table29[[#This Row],[Strain Rate (min) /s]]</f>
        <v>5423.8759017193688</v>
      </c>
      <c r="K469">
        <f>LOG(Table29[[#This Row],[Time to 1% strain (s)]])</f>
        <v>3.7343097443149347</v>
      </c>
      <c r="L469">
        <v>850</v>
      </c>
      <c r="P469" t="s">
        <v>7205</v>
      </c>
      <c r="Q469">
        <v>1250</v>
      </c>
      <c r="R469">
        <v>25</v>
      </c>
      <c r="S469">
        <v>900</v>
      </c>
      <c r="T469">
        <v>50</v>
      </c>
      <c r="W469">
        <v>1</v>
      </c>
      <c r="X469">
        <v>10</v>
      </c>
      <c r="Y469">
        <v>70</v>
      </c>
      <c r="AA469">
        <f>VLOOKUP(Table29[[#This Row],[Shortname]], Comp[], 6, FALSE)</f>
        <v>1011</v>
      </c>
      <c r="AB469" s="14">
        <f>VLOOKUP(Table29[[#This Row],[Shortname]], Comp[], 7, FALSE)</f>
        <v>50.381999999999998</v>
      </c>
      <c r="AC469">
        <f>VLOOKUP(Table29[[#This Row],[Shortname]], Comp[], 8, FALSE)</f>
        <v>30.2</v>
      </c>
      <c r="AD469">
        <f>VLOOKUP(Table29[[#This Row],[Shortname]], Comp[], 9, FALSE)</f>
        <v>10.1</v>
      </c>
      <c r="AE469">
        <f>VLOOKUP(Table29[[#This Row],[Shortname]], Comp[], 10, FALSE)</f>
        <v>0</v>
      </c>
      <c r="AF469">
        <f>VLOOKUP(Table29[[#This Row],[Shortname]], Comp[], 11, FALSE)</f>
        <v>0</v>
      </c>
      <c r="AG469">
        <f>VLOOKUP(Table29[[#This Row],[Shortname]], Comp[],12, FALSE)</f>
        <v>2.1</v>
      </c>
      <c r="AH469">
        <f>VLOOKUP(Table29[[#This Row],[Shortname]], Comp[], 13, FALSE)</f>
        <v>2.1</v>
      </c>
      <c r="AI469">
        <f>VLOOKUP(Table29[[#This Row],[Shortname]], Comp[], 14, FALSE)</f>
        <v>0</v>
      </c>
      <c r="AJ469">
        <f>VLOOKUP(Table29[[#This Row],[Shortname]], Comp[], 15, FALSE)</f>
        <v>0</v>
      </c>
      <c r="AK469">
        <f>VLOOKUP(Table29[[#This Row],[Shortname]], Comp[], 16, FALSE)</f>
        <v>5.0999999999999996</v>
      </c>
      <c r="AL469">
        <f>VLOOKUP(Table29[[#This Row],[Shortname]], Comp[], 17, FALSE)</f>
        <v>0</v>
      </c>
      <c r="AM469">
        <f>VLOOKUP(Table29[[#This Row],[Shortname]], Comp[], 18, FALSE)</f>
        <v>0</v>
      </c>
      <c r="AN469">
        <f>VLOOKUP(Table29[[#This Row],[Shortname]], Comp[], 19, FALSE)</f>
        <v>1.7999999999999999E-2</v>
      </c>
      <c r="AO469">
        <f>VLOOKUP(Table29[[#This Row],[Shortname]], Comp[], 20, FALSE)</f>
        <v>0</v>
      </c>
      <c r="AP469">
        <f>VLOOKUP(Table29[[#This Row],[Shortname]], Comp[], 21, FALSE)</f>
        <v>0</v>
      </c>
      <c r="AQ469">
        <f>VLOOKUP(Table29[[#This Row],[Shortname]], Comp[], 22, FALSE)</f>
        <v>0</v>
      </c>
      <c r="AR469">
        <f>VLOOKUP(Table29[[#This Row],[Shortname]], Comp[], 23, FALSE)</f>
        <v>0</v>
      </c>
      <c r="AS469">
        <f>VLOOKUP(Table29[[#This Row],[Shortname]], Comp[], 24, FALSE)</f>
        <v>0</v>
      </c>
      <c r="AT469">
        <f>VLOOKUP(Table29[[#This Row],[Shortname]], Comp[], 25, FALSE)</f>
        <v>0</v>
      </c>
      <c r="AU469">
        <f>VLOOKUP(Table29[[#This Row],[Shortname]], Comp[], 26, FALSE)</f>
        <v>0</v>
      </c>
      <c r="AV469">
        <f>VLOOKUP(Table29[[#This Row],[Shortname]], Comp[], 27, FALSE)</f>
        <v>0</v>
      </c>
      <c r="AW469">
        <f>VLOOKUP(Table29[[#This Row],[Shortname]], Comp[], 28, FALSE)</f>
        <v>0</v>
      </c>
      <c r="AX469">
        <f>VLOOKUP(Table29[[#This Row],[Shortname]], Comp[], 29, FALSE)</f>
        <v>0</v>
      </c>
      <c r="AY469">
        <f>VLOOKUP(Table29[[#This Row],[Shortname]], Comp[], 30, FALSE)</f>
        <v>0</v>
      </c>
      <c r="AZ469">
        <f>VLOOKUP(Table29[[#This Row],[Shortname]], Comp[], 31, FALSE)</f>
        <v>0</v>
      </c>
    </row>
    <row r="470" spans="1:52" x14ac:dyDescent="0.3">
      <c r="A470" t="s">
        <v>6159</v>
      </c>
      <c r="C470" t="e">
        <v>#N/A</v>
      </c>
      <c r="D470" t="s">
        <v>11</v>
      </c>
      <c r="E470" t="e">
        <v>#N/A</v>
      </c>
      <c r="F470" t="s">
        <v>6160</v>
      </c>
      <c r="G470" t="s">
        <v>6157</v>
      </c>
      <c r="H470">
        <v>500</v>
      </c>
      <c r="I470">
        <v>1.0149000000000001E-5</v>
      </c>
      <c r="J470">
        <f>0.01/Table29[[#This Row],[Strain Rate (min) /s]]</f>
        <v>985.31875061582423</v>
      </c>
      <c r="K470">
        <f>LOG(Table29[[#This Row],[Time to 1% strain (s)]])</f>
        <v>2.9935767474923569</v>
      </c>
      <c r="L470">
        <v>850</v>
      </c>
      <c r="P470" t="s">
        <v>7205</v>
      </c>
      <c r="Q470">
        <v>1250</v>
      </c>
      <c r="R470">
        <v>25</v>
      </c>
      <c r="S470">
        <v>900</v>
      </c>
      <c r="T470">
        <v>50</v>
      </c>
      <c r="W470">
        <v>1</v>
      </c>
      <c r="X470">
        <v>10</v>
      </c>
      <c r="Y470">
        <v>70</v>
      </c>
      <c r="AA470">
        <f>VLOOKUP(Table29[[#This Row],[Shortname]], Comp[], 6, FALSE)</f>
        <v>1011</v>
      </c>
      <c r="AB470" s="14">
        <f>VLOOKUP(Table29[[#This Row],[Shortname]], Comp[], 7, FALSE)</f>
        <v>50.381999999999998</v>
      </c>
      <c r="AC470">
        <f>VLOOKUP(Table29[[#This Row],[Shortname]], Comp[], 8, FALSE)</f>
        <v>30.2</v>
      </c>
      <c r="AD470">
        <f>VLOOKUP(Table29[[#This Row],[Shortname]], Comp[], 9, FALSE)</f>
        <v>10.1</v>
      </c>
      <c r="AE470">
        <f>VLOOKUP(Table29[[#This Row],[Shortname]], Comp[], 10, FALSE)</f>
        <v>0</v>
      </c>
      <c r="AF470">
        <f>VLOOKUP(Table29[[#This Row],[Shortname]], Comp[], 11, FALSE)</f>
        <v>0</v>
      </c>
      <c r="AG470">
        <f>VLOOKUP(Table29[[#This Row],[Shortname]], Comp[],12, FALSE)</f>
        <v>2.1</v>
      </c>
      <c r="AH470">
        <f>VLOOKUP(Table29[[#This Row],[Shortname]], Comp[], 13, FALSE)</f>
        <v>2.1</v>
      </c>
      <c r="AI470">
        <f>VLOOKUP(Table29[[#This Row],[Shortname]], Comp[], 14, FALSE)</f>
        <v>0</v>
      </c>
      <c r="AJ470">
        <f>VLOOKUP(Table29[[#This Row],[Shortname]], Comp[], 15, FALSE)</f>
        <v>0</v>
      </c>
      <c r="AK470">
        <f>VLOOKUP(Table29[[#This Row],[Shortname]], Comp[], 16, FALSE)</f>
        <v>5.0999999999999996</v>
      </c>
      <c r="AL470">
        <f>VLOOKUP(Table29[[#This Row],[Shortname]], Comp[], 17, FALSE)</f>
        <v>0</v>
      </c>
      <c r="AM470">
        <f>VLOOKUP(Table29[[#This Row],[Shortname]], Comp[], 18, FALSE)</f>
        <v>0</v>
      </c>
      <c r="AN470">
        <f>VLOOKUP(Table29[[#This Row],[Shortname]], Comp[], 19, FALSE)</f>
        <v>1.7999999999999999E-2</v>
      </c>
      <c r="AO470">
        <f>VLOOKUP(Table29[[#This Row],[Shortname]], Comp[], 20, FALSE)</f>
        <v>0</v>
      </c>
      <c r="AP470">
        <f>VLOOKUP(Table29[[#This Row],[Shortname]], Comp[], 21, FALSE)</f>
        <v>0</v>
      </c>
      <c r="AQ470">
        <f>VLOOKUP(Table29[[#This Row],[Shortname]], Comp[], 22, FALSE)</f>
        <v>0</v>
      </c>
      <c r="AR470">
        <f>VLOOKUP(Table29[[#This Row],[Shortname]], Comp[], 23, FALSE)</f>
        <v>0</v>
      </c>
      <c r="AS470">
        <f>VLOOKUP(Table29[[#This Row],[Shortname]], Comp[], 24, FALSE)</f>
        <v>0</v>
      </c>
      <c r="AT470">
        <f>VLOOKUP(Table29[[#This Row],[Shortname]], Comp[], 25, FALSE)</f>
        <v>0</v>
      </c>
      <c r="AU470">
        <f>VLOOKUP(Table29[[#This Row],[Shortname]], Comp[], 26, FALSE)</f>
        <v>0</v>
      </c>
      <c r="AV470">
        <f>VLOOKUP(Table29[[#This Row],[Shortname]], Comp[], 27, FALSE)</f>
        <v>0</v>
      </c>
      <c r="AW470">
        <f>VLOOKUP(Table29[[#This Row],[Shortname]], Comp[], 28, FALSE)</f>
        <v>0</v>
      </c>
      <c r="AX470">
        <f>VLOOKUP(Table29[[#This Row],[Shortname]], Comp[], 29, FALSE)</f>
        <v>0</v>
      </c>
      <c r="AY470">
        <f>VLOOKUP(Table29[[#This Row],[Shortname]], Comp[], 30, FALSE)</f>
        <v>0</v>
      </c>
      <c r="AZ470">
        <f>VLOOKUP(Table29[[#This Row],[Shortname]], Comp[], 31, FALSE)</f>
        <v>0</v>
      </c>
    </row>
    <row r="471" spans="1:52" x14ac:dyDescent="0.3">
      <c r="A471" t="s">
        <v>6163</v>
      </c>
      <c r="C471" t="e">
        <v>#N/A</v>
      </c>
      <c r="D471" t="e">
        <v>#N/A</v>
      </c>
      <c r="E471" t="e">
        <v>#N/A</v>
      </c>
      <c r="F471" t="s">
        <v>1898</v>
      </c>
      <c r="G471" t="s">
        <v>6157</v>
      </c>
      <c r="H471">
        <v>300</v>
      </c>
      <c r="I471">
        <v>9.7800000000000002E-8</v>
      </c>
      <c r="J471">
        <f>0.01/Table29[[#This Row],[Strain Rate (min) /s]]</f>
        <v>102249.48875255624</v>
      </c>
      <c r="K471">
        <f>LOG(Table29[[#This Row],[Time to 1% strain (s)]])</f>
        <v>5.0096611452123989</v>
      </c>
      <c r="L471">
        <v>850</v>
      </c>
      <c r="P471" t="s">
        <v>7206</v>
      </c>
      <c r="Q471">
        <v>1250</v>
      </c>
      <c r="R471">
        <v>25</v>
      </c>
      <c r="S471">
        <v>900</v>
      </c>
      <c r="T471">
        <v>50</v>
      </c>
      <c r="W471">
        <v>1</v>
      </c>
      <c r="X471">
        <v>10</v>
      </c>
      <c r="Y471">
        <v>70</v>
      </c>
      <c r="AA471">
        <f>VLOOKUP(Table29[[#This Row],[Shortname]], Comp[], 6, FALSE)</f>
        <v>1012</v>
      </c>
      <c r="AB471" s="14">
        <f>VLOOKUP(Table29[[#This Row],[Shortname]], Comp[], 7, FALSE)</f>
        <v>50.862999999999992</v>
      </c>
      <c r="AC471">
        <f>VLOOKUP(Table29[[#This Row],[Shortname]], Comp[], 8, FALSE)</f>
        <v>30.1</v>
      </c>
      <c r="AD471">
        <f>VLOOKUP(Table29[[#This Row],[Shortname]], Comp[], 9, FALSE)</f>
        <v>9.1</v>
      </c>
      <c r="AE471">
        <f>VLOOKUP(Table29[[#This Row],[Shortname]], Comp[], 10, FALSE)</f>
        <v>0</v>
      </c>
      <c r="AF471">
        <f>VLOOKUP(Table29[[#This Row],[Shortname]], Comp[], 11, FALSE)</f>
        <v>0</v>
      </c>
      <c r="AG471">
        <f>VLOOKUP(Table29[[#This Row],[Shortname]], Comp[],12, FALSE)</f>
        <v>2.2000000000000002</v>
      </c>
      <c r="AH471">
        <f>VLOOKUP(Table29[[#This Row],[Shortname]], Comp[], 13, FALSE)</f>
        <v>2.5</v>
      </c>
      <c r="AI471">
        <f>VLOOKUP(Table29[[#This Row],[Shortname]], Comp[], 14, FALSE)</f>
        <v>0</v>
      </c>
      <c r="AJ471">
        <f>VLOOKUP(Table29[[#This Row],[Shortname]], Comp[], 15, FALSE)</f>
        <v>0</v>
      </c>
      <c r="AK471">
        <f>VLOOKUP(Table29[[#This Row],[Shortname]], Comp[], 16, FALSE)</f>
        <v>5.2</v>
      </c>
      <c r="AL471">
        <f>VLOOKUP(Table29[[#This Row],[Shortname]], Comp[], 17, FALSE)</f>
        <v>0</v>
      </c>
      <c r="AM471">
        <f>VLOOKUP(Table29[[#This Row],[Shortname]], Comp[], 18, FALSE)</f>
        <v>0</v>
      </c>
      <c r="AN471">
        <f>VLOOKUP(Table29[[#This Row],[Shortname]], Comp[], 19, FALSE)</f>
        <v>3.6999999999999998E-2</v>
      </c>
      <c r="AO471">
        <f>VLOOKUP(Table29[[#This Row],[Shortname]], Comp[], 20, FALSE)</f>
        <v>0</v>
      </c>
      <c r="AP471">
        <f>VLOOKUP(Table29[[#This Row],[Shortname]], Comp[], 21, FALSE)</f>
        <v>0</v>
      </c>
      <c r="AQ471">
        <f>VLOOKUP(Table29[[#This Row],[Shortname]], Comp[], 22, FALSE)</f>
        <v>0</v>
      </c>
      <c r="AR471">
        <f>VLOOKUP(Table29[[#This Row],[Shortname]], Comp[], 23, FALSE)</f>
        <v>0</v>
      </c>
      <c r="AS471">
        <f>VLOOKUP(Table29[[#This Row],[Shortname]], Comp[], 24, FALSE)</f>
        <v>0</v>
      </c>
      <c r="AT471">
        <f>VLOOKUP(Table29[[#This Row],[Shortname]], Comp[], 25, FALSE)</f>
        <v>0</v>
      </c>
      <c r="AU471">
        <f>VLOOKUP(Table29[[#This Row],[Shortname]], Comp[], 26, FALSE)</f>
        <v>0</v>
      </c>
      <c r="AV471">
        <f>VLOOKUP(Table29[[#This Row],[Shortname]], Comp[], 27, FALSE)</f>
        <v>0</v>
      </c>
      <c r="AW471">
        <f>VLOOKUP(Table29[[#This Row],[Shortname]], Comp[], 28, FALSE)</f>
        <v>0</v>
      </c>
      <c r="AX471">
        <f>VLOOKUP(Table29[[#This Row],[Shortname]], Comp[], 29, FALSE)</f>
        <v>0</v>
      </c>
      <c r="AY471">
        <f>VLOOKUP(Table29[[#This Row],[Shortname]], Comp[], 30, FALSE)</f>
        <v>0</v>
      </c>
      <c r="AZ471">
        <f>VLOOKUP(Table29[[#This Row],[Shortname]], Comp[], 31, FALSE)</f>
        <v>0</v>
      </c>
    </row>
    <row r="472" spans="1:52" x14ac:dyDescent="0.3">
      <c r="A472" t="s">
        <v>6163</v>
      </c>
      <c r="C472" t="e">
        <v>#N/A</v>
      </c>
      <c r="D472" t="s">
        <v>11</v>
      </c>
      <c r="E472" t="e">
        <v>#N/A</v>
      </c>
      <c r="F472" t="s">
        <v>1898</v>
      </c>
      <c r="G472" t="s">
        <v>6157</v>
      </c>
      <c r="H472">
        <v>400</v>
      </c>
      <c r="I472">
        <v>6.9276000000000002E-7</v>
      </c>
      <c r="J472">
        <f>0.01/Table29[[#This Row],[Strain Rate (min) /s]]</f>
        <v>14435.013568912755</v>
      </c>
      <c r="K472">
        <f>LOG(Table29[[#This Row],[Time to 1% strain (s)]])</f>
        <v>4.1594171964537443</v>
      </c>
      <c r="L472">
        <v>850</v>
      </c>
      <c r="P472" t="s">
        <v>7206</v>
      </c>
      <c r="Q472">
        <v>1250</v>
      </c>
      <c r="R472">
        <v>25</v>
      </c>
      <c r="S472">
        <v>900</v>
      </c>
      <c r="T472">
        <v>50</v>
      </c>
      <c r="W472">
        <v>1</v>
      </c>
      <c r="X472">
        <v>10</v>
      </c>
      <c r="Y472">
        <v>70</v>
      </c>
      <c r="AA472">
        <f>VLOOKUP(Table29[[#This Row],[Shortname]], Comp[], 6, FALSE)</f>
        <v>1012</v>
      </c>
      <c r="AB472" s="14">
        <f>VLOOKUP(Table29[[#This Row],[Shortname]], Comp[], 7, FALSE)</f>
        <v>50.862999999999992</v>
      </c>
      <c r="AC472">
        <f>VLOOKUP(Table29[[#This Row],[Shortname]], Comp[], 8, FALSE)</f>
        <v>30.1</v>
      </c>
      <c r="AD472">
        <f>VLOOKUP(Table29[[#This Row],[Shortname]], Comp[], 9, FALSE)</f>
        <v>9.1</v>
      </c>
      <c r="AE472">
        <f>VLOOKUP(Table29[[#This Row],[Shortname]], Comp[], 10, FALSE)</f>
        <v>0</v>
      </c>
      <c r="AF472">
        <f>VLOOKUP(Table29[[#This Row],[Shortname]], Comp[], 11, FALSE)</f>
        <v>0</v>
      </c>
      <c r="AG472">
        <f>VLOOKUP(Table29[[#This Row],[Shortname]], Comp[],12, FALSE)</f>
        <v>2.2000000000000002</v>
      </c>
      <c r="AH472">
        <f>VLOOKUP(Table29[[#This Row],[Shortname]], Comp[], 13, FALSE)</f>
        <v>2.5</v>
      </c>
      <c r="AI472">
        <f>VLOOKUP(Table29[[#This Row],[Shortname]], Comp[], 14, FALSE)</f>
        <v>0</v>
      </c>
      <c r="AJ472">
        <f>VLOOKUP(Table29[[#This Row],[Shortname]], Comp[], 15, FALSE)</f>
        <v>0</v>
      </c>
      <c r="AK472">
        <f>VLOOKUP(Table29[[#This Row],[Shortname]], Comp[], 16, FALSE)</f>
        <v>5.2</v>
      </c>
      <c r="AL472">
        <f>VLOOKUP(Table29[[#This Row],[Shortname]], Comp[], 17, FALSE)</f>
        <v>0</v>
      </c>
      <c r="AM472">
        <f>VLOOKUP(Table29[[#This Row],[Shortname]], Comp[], 18, FALSE)</f>
        <v>0</v>
      </c>
      <c r="AN472">
        <f>VLOOKUP(Table29[[#This Row],[Shortname]], Comp[], 19, FALSE)</f>
        <v>3.6999999999999998E-2</v>
      </c>
      <c r="AO472">
        <f>VLOOKUP(Table29[[#This Row],[Shortname]], Comp[], 20, FALSE)</f>
        <v>0</v>
      </c>
      <c r="AP472">
        <f>VLOOKUP(Table29[[#This Row],[Shortname]], Comp[], 21, FALSE)</f>
        <v>0</v>
      </c>
      <c r="AQ472">
        <f>VLOOKUP(Table29[[#This Row],[Shortname]], Comp[], 22, FALSE)</f>
        <v>0</v>
      </c>
      <c r="AR472">
        <f>VLOOKUP(Table29[[#This Row],[Shortname]], Comp[], 23, FALSE)</f>
        <v>0</v>
      </c>
      <c r="AS472">
        <f>VLOOKUP(Table29[[#This Row],[Shortname]], Comp[], 24, FALSE)</f>
        <v>0</v>
      </c>
      <c r="AT472">
        <f>VLOOKUP(Table29[[#This Row],[Shortname]], Comp[], 25, FALSE)</f>
        <v>0</v>
      </c>
      <c r="AU472">
        <f>VLOOKUP(Table29[[#This Row],[Shortname]], Comp[], 26, FALSE)</f>
        <v>0</v>
      </c>
      <c r="AV472">
        <f>VLOOKUP(Table29[[#This Row],[Shortname]], Comp[], 27, FALSE)</f>
        <v>0</v>
      </c>
      <c r="AW472">
        <f>VLOOKUP(Table29[[#This Row],[Shortname]], Comp[], 28, FALSE)</f>
        <v>0</v>
      </c>
      <c r="AX472">
        <f>VLOOKUP(Table29[[#This Row],[Shortname]], Comp[], 29, FALSE)</f>
        <v>0</v>
      </c>
      <c r="AY472">
        <f>VLOOKUP(Table29[[#This Row],[Shortname]], Comp[], 30, FALSE)</f>
        <v>0</v>
      </c>
      <c r="AZ472">
        <f>VLOOKUP(Table29[[#This Row],[Shortname]], Comp[], 31, FALSE)</f>
        <v>0</v>
      </c>
    </row>
    <row r="473" spans="1:52" x14ac:dyDescent="0.3">
      <c r="A473" t="s">
        <v>6163</v>
      </c>
      <c r="C473" t="e">
        <v>#N/A</v>
      </c>
      <c r="D473" t="s">
        <v>11</v>
      </c>
      <c r="F473" t="s">
        <v>1898</v>
      </c>
      <c r="G473" t="s">
        <v>6157</v>
      </c>
      <c r="H473">
        <v>500</v>
      </c>
      <c r="I473">
        <v>6.4085999999999999E-6</v>
      </c>
      <c r="J473">
        <f>0.01/Table29[[#This Row],[Strain Rate (min) /s]]</f>
        <v>1560.4032081889961</v>
      </c>
      <c r="K473">
        <f>LOG(Table29[[#This Row],[Time to 1% strain (s)]])</f>
        <v>3.1932368345501265</v>
      </c>
      <c r="L473">
        <v>850</v>
      </c>
      <c r="P473" t="s">
        <v>7206</v>
      </c>
      <c r="Q473">
        <v>1250</v>
      </c>
      <c r="R473">
        <v>25</v>
      </c>
      <c r="S473">
        <v>900</v>
      </c>
      <c r="T473">
        <v>50</v>
      </c>
      <c r="W473">
        <v>1</v>
      </c>
      <c r="X473">
        <v>10</v>
      </c>
      <c r="Y473">
        <v>70</v>
      </c>
      <c r="AA473">
        <f>VLOOKUP(Table29[[#This Row],[Shortname]], Comp[], 6, FALSE)</f>
        <v>1012</v>
      </c>
      <c r="AB473" s="14">
        <f>VLOOKUP(Table29[[#This Row],[Shortname]], Comp[], 7, FALSE)</f>
        <v>50.862999999999992</v>
      </c>
      <c r="AC473">
        <f>VLOOKUP(Table29[[#This Row],[Shortname]], Comp[], 8, FALSE)</f>
        <v>30.1</v>
      </c>
      <c r="AD473">
        <f>VLOOKUP(Table29[[#This Row],[Shortname]], Comp[], 9, FALSE)</f>
        <v>9.1</v>
      </c>
      <c r="AE473">
        <f>VLOOKUP(Table29[[#This Row],[Shortname]], Comp[], 10, FALSE)</f>
        <v>0</v>
      </c>
      <c r="AF473">
        <f>VLOOKUP(Table29[[#This Row],[Shortname]], Comp[], 11, FALSE)</f>
        <v>0</v>
      </c>
      <c r="AG473">
        <f>VLOOKUP(Table29[[#This Row],[Shortname]], Comp[],12, FALSE)</f>
        <v>2.2000000000000002</v>
      </c>
      <c r="AH473">
        <f>VLOOKUP(Table29[[#This Row],[Shortname]], Comp[], 13, FALSE)</f>
        <v>2.5</v>
      </c>
      <c r="AI473">
        <f>VLOOKUP(Table29[[#This Row],[Shortname]], Comp[], 14, FALSE)</f>
        <v>0</v>
      </c>
      <c r="AJ473">
        <f>VLOOKUP(Table29[[#This Row],[Shortname]], Comp[], 15, FALSE)</f>
        <v>0</v>
      </c>
      <c r="AK473">
        <f>VLOOKUP(Table29[[#This Row],[Shortname]], Comp[], 16, FALSE)</f>
        <v>5.2</v>
      </c>
      <c r="AL473">
        <f>VLOOKUP(Table29[[#This Row],[Shortname]], Comp[], 17, FALSE)</f>
        <v>0</v>
      </c>
      <c r="AM473">
        <f>VLOOKUP(Table29[[#This Row],[Shortname]], Comp[], 18, FALSE)</f>
        <v>0</v>
      </c>
      <c r="AN473">
        <f>VLOOKUP(Table29[[#This Row],[Shortname]], Comp[], 19, FALSE)</f>
        <v>3.6999999999999998E-2</v>
      </c>
      <c r="AO473">
        <f>VLOOKUP(Table29[[#This Row],[Shortname]], Comp[], 20, FALSE)</f>
        <v>0</v>
      </c>
      <c r="AP473">
        <f>VLOOKUP(Table29[[#This Row],[Shortname]], Comp[], 21, FALSE)</f>
        <v>0</v>
      </c>
      <c r="AQ473">
        <f>VLOOKUP(Table29[[#This Row],[Shortname]], Comp[], 22, FALSE)</f>
        <v>0</v>
      </c>
      <c r="AR473">
        <f>VLOOKUP(Table29[[#This Row],[Shortname]], Comp[], 23, FALSE)</f>
        <v>0</v>
      </c>
      <c r="AS473">
        <f>VLOOKUP(Table29[[#This Row],[Shortname]], Comp[], 24, FALSE)</f>
        <v>0</v>
      </c>
      <c r="AT473">
        <f>VLOOKUP(Table29[[#This Row],[Shortname]], Comp[], 25, FALSE)</f>
        <v>0</v>
      </c>
      <c r="AU473">
        <f>VLOOKUP(Table29[[#This Row],[Shortname]], Comp[], 26, FALSE)</f>
        <v>0</v>
      </c>
      <c r="AV473">
        <f>VLOOKUP(Table29[[#This Row],[Shortname]], Comp[], 27, FALSE)</f>
        <v>0</v>
      </c>
      <c r="AW473">
        <f>VLOOKUP(Table29[[#This Row],[Shortname]], Comp[], 28, FALSE)</f>
        <v>0</v>
      </c>
      <c r="AX473">
        <f>VLOOKUP(Table29[[#This Row],[Shortname]], Comp[], 29, FALSE)</f>
        <v>0</v>
      </c>
      <c r="AY473">
        <f>VLOOKUP(Table29[[#This Row],[Shortname]], Comp[], 30, FALSE)</f>
        <v>0</v>
      </c>
      <c r="AZ473">
        <f>VLOOKUP(Table29[[#This Row],[Shortname]], Comp[], 31, FALSE)</f>
        <v>0</v>
      </c>
    </row>
    <row r="474" spans="1:52" x14ac:dyDescent="0.3">
      <c r="A474" t="s">
        <v>6166</v>
      </c>
      <c r="C474" t="e">
        <v>#N/A</v>
      </c>
      <c r="F474" t="s">
        <v>3537</v>
      </c>
      <c r="G474" t="s">
        <v>6157</v>
      </c>
      <c r="H474">
        <v>300</v>
      </c>
      <c r="I474">
        <v>1.3157000000000001E-7</v>
      </c>
      <c r="J474">
        <f>0.01/Table29[[#This Row],[Strain Rate (min) /s]]</f>
        <v>76005.168351447894</v>
      </c>
      <c r="K474">
        <f>LOG(Table29[[#This Row],[Time to 1% strain (s)]])</f>
        <v>4.8808431253096956</v>
      </c>
      <c r="L474">
        <v>850</v>
      </c>
      <c r="P474" t="s">
        <v>7207</v>
      </c>
      <c r="Q474">
        <v>1250</v>
      </c>
      <c r="R474">
        <v>25</v>
      </c>
      <c r="S474">
        <v>900</v>
      </c>
      <c r="T474">
        <v>50</v>
      </c>
      <c r="W474">
        <v>1</v>
      </c>
      <c r="X474">
        <v>10</v>
      </c>
      <c r="Y474">
        <v>70</v>
      </c>
      <c r="AA474">
        <f>VLOOKUP(Table29[[#This Row],[Shortname]], Comp[], 6, FALSE)</f>
        <v>1013</v>
      </c>
      <c r="AB474" s="14">
        <f>VLOOKUP(Table29[[#This Row],[Shortname]], Comp[], 7, FALSE)</f>
        <v>48.624000000000002</v>
      </c>
      <c r="AC474">
        <f>VLOOKUP(Table29[[#This Row],[Shortname]], Comp[], 8, FALSE)</f>
        <v>31.4</v>
      </c>
      <c r="AD474">
        <f>VLOOKUP(Table29[[#This Row],[Shortname]], Comp[], 9, FALSE)</f>
        <v>10.199999999999999</v>
      </c>
      <c r="AE474">
        <f>VLOOKUP(Table29[[#This Row],[Shortname]], Comp[], 10, FALSE)</f>
        <v>0</v>
      </c>
      <c r="AF474">
        <f>VLOOKUP(Table29[[#This Row],[Shortname]], Comp[], 11, FALSE)</f>
        <v>0</v>
      </c>
      <c r="AG474">
        <f>VLOOKUP(Table29[[#This Row],[Shortname]], Comp[],12, FALSE)</f>
        <v>2.1</v>
      </c>
      <c r="AH474">
        <f>VLOOKUP(Table29[[#This Row],[Shortname]], Comp[], 13, FALSE)</f>
        <v>2.2000000000000002</v>
      </c>
      <c r="AI474">
        <f>VLOOKUP(Table29[[#This Row],[Shortname]], Comp[], 14, FALSE)</f>
        <v>0</v>
      </c>
      <c r="AJ474">
        <f>VLOOKUP(Table29[[#This Row],[Shortname]], Comp[], 15, FALSE)</f>
        <v>0</v>
      </c>
      <c r="AK474">
        <f>VLOOKUP(Table29[[#This Row],[Shortname]], Comp[], 16, FALSE)</f>
        <v>5.4</v>
      </c>
      <c r="AL474">
        <f>VLOOKUP(Table29[[#This Row],[Shortname]], Comp[], 17, FALSE)</f>
        <v>0</v>
      </c>
      <c r="AM474">
        <f>VLOOKUP(Table29[[#This Row],[Shortname]], Comp[], 18, FALSE)</f>
        <v>0</v>
      </c>
      <c r="AN474">
        <f>VLOOKUP(Table29[[#This Row],[Shortname]], Comp[], 19, FALSE)</f>
        <v>7.5999999999999998E-2</v>
      </c>
      <c r="AO474">
        <f>VLOOKUP(Table29[[#This Row],[Shortname]], Comp[], 20, FALSE)</f>
        <v>0</v>
      </c>
      <c r="AP474">
        <f>VLOOKUP(Table29[[#This Row],[Shortname]], Comp[], 21, FALSE)</f>
        <v>0</v>
      </c>
      <c r="AQ474">
        <f>VLOOKUP(Table29[[#This Row],[Shortname]], Comp[], 22, FALSE)</f>
        <v>0</v>
      </c>
      <c r="AR474">
        <f>VLOOKUP(Table29[[#This Row],[Shortname]], Comp[], 23, FALSE)</f>
        <v>0</v>
      </c>
      <c r="AS474">
        <f>VLOOKUP(Table29[[#This Row],[Shortname]], Comp[], 24, FALSE)</f>
        <v>0</v>
      </c>
      <c r="AT474">
        <f>VLOOKUP(Table29[[#This Row],[Shortname]], Comp[], 25, FALSE)</f>
        <v>0</v>
      </c>
      <c r="AU474">
        <f>VLOOKUP(Table29[[#This Row],[Shortname]], Comp[], 26, FALSE)</f>
        <v>0</v>
      </c>
      <c r="AV474">
        <f>VLOOKUP(Table29[[#This Row],[Shortname]], Comp[], 27, FALSE)</f>
        <v>0</v>
      </c>
      <c r="AW474">
        <f>VLOOKUP(Table29[[#This Row],[Shortname]], Comp[], 28, FALSE)</f>
        <v>0</v>
      </c>
      <c r="AX474">
        <f>VLOOKUP(Table29[[#This Row],[Shortname]], Comp[], 29, FALSE)</f>
        <v>0</v>
      </c>
      <c r="AY474">
        <f>VLOOKUP(Table29[[#This Row],[Shortname]], Comp[], 30, FALSE)</f>
        <v>0</v>
      </c>
      <c r="AZ474">
        <f>VLOOKUP(Table29[[#This Row],[Shortname]], Comp[], 31, FALSE)</f>
        <v>0</v>
      </c>
    </row>
    <row r="475" spans="1:52" x14ac:dyDescent="0.3">
      <c r="A475" t="s">
        <v>6166</v>
      </c>
      <c r="C475" t="e">
        <v>#N/A</v>
      </c>
      <c r="F475" t="s">
        <v>3537</v>
      </c>
      <c r="G475" t="s">
        <v>6157</v>
      </c>
      <c r="H475">
        <v>400</v>
      </c>
      <c r="I475">
        <v>5.4641000000000003E-7</v>
      </c>
      <c r="J475">
        <f>0.01/Table29[[#This Row],[Strain Rate (min) /s]]</f>
        <v>18301.275598909244</v>
      </c>
      <c r="K475">
        <f>LOG(Table29[[#This Row],[Time to 1% strain (s)]])</f>
        <v>4.2624813611107877</v>
      </c>
      <c r="L475">
        <v>850</v>
      </c>
      <c r="P475" t="s">
        <v>7207</v>
      </c>
      <c r="Q475">
        <v>1250</v>
      </c>
      <c r="R475">
        <v>25</v>
      </c>
      <c r="S475">
        <v>900</v>
      </c>
      <c r="T475">
        <v>50</v>
      </c>
      <c r="W475">
        <v>1</v>
      </c>
      <c r="X475">
        <v>10</v>
      </c>
      <c r="Y475">
        <v>70</v>
      </c>
      <c r="AA475">
        <f>VLOOKUP(Table29[[#This Row],[Shortname]], Comp[], 6, FALSE)</f>
        <v>1013</v>
      </c>
      <c r="AB475" s="14">
        <f>VLOOKUP(Table29[[#This Row],[Shortname]], Comp[], 7, FALSE)</f>
        <v>48.624000000000002</v>
      </c>
      <c r="AC475">
        <f>VLOOKUP(Table29[[#This Row],[Shortname]], Comp[], 8, FALSE)</f>
        <v>31.4</v>
      </c>
      <c r="AD475">
        <f>VLOOKUP(Table29[[#This Row],[Shortname]], Comp[], 9, FALSE)</f>
        <v>10.199999999999999</v>
      </c>
      <c r="AE475">
        <f>VLOOKUP(Table29[[#This Row],[Shortname]], Comp[], 10, FALSE)</f>
        <v>0</v>
      </c>
      <c r="AF475">
        <f>VLOOKUP(Table29[[#This Row],[Shortname]], Comp[], 11, FALSE)</f>
        <v>0</v>
      </c>
      <c r="AG475">
        <f>VLOOKUP(Table29[[#This Row],[Shortname]], Comp[],12, FALSE)</f>
        <v>2.1</v>
      </c>
      <c r="AH475">
        <f>VLOOKUP(Table29[[#This Row],[Shortname]], Comp[], 13, FALSE)</f>
        <v>2.2000000000000002</v>
      </c>
      <c r="AI475">
        <f>VLOOKUP(Table29[[#This Row],[Shortname]], Comp[], 14, FALSE)</f>
        <v>0</v>
      </c>
      <c r="AJ475">
        <f>VLOOKUP(Table29[[#This Row],[Shortname]], Comp[], 15, FALSE)</f>
        <v>0</v>
      </c>
      <c r="AK475">
        <f>VLOOKUP(Table29[[#This Row],[Shortname]], Comp[], 16, FALSE)</f>
        <v>5.4</v>
      </c>
      <c r="AL475">
        <f>VLOOKUP(Table29[[#This Row],[Shortname]], Comp[], 17, FALSE)</f>
        <v>0</v>
      </c>
      <c r="AM475">
        <f>VLOOKUP(Table29[[#This Row],[Shortname]], Comp[], 18, FALSE)</f>
        <v>0</v>
      </c>
      <c r="AN475">
        <f>VLOOKUP(Table29[[#This Row],[Shortname]], Comp[], 19, FALSE)</f>
        <v>7.5999999999999998E-2</v>
      </c>
      <c r="AO475">
        <f>VLOOKUP(Table29[[#This Row],[Shortname]], Comp[], 20, FALSE)</f>
        <v>0</v>
      </c>
      <c r="AP475">
        <f>VLOOKUP(Table29[[#This Row],[Shortname]], Comp[], 21, FALSE)</f>
        <v>0</v>
      </c>
      <c r="AQ475">
        <f>VLOOKUP(Table29[[#This Row],[Shortname]], Comp[], 22, FALSE)</f>
        <v>0</v>
      </c>
      <c r="AR475">
        <f>VLOOKUP(Table29[[#This Row],[Shortname]], Comp[], 23, FALSE)</f>
        <v>0</v>
      </c>
      <c r="AS475">
        <f>VLOOKUP(Table29[[#This Row],[Shortname]], Comp[], 24, FALSE)</f>
        <v>0</v>
      </c>
      <c r="AT475">
        <f>VLOOKUP(Table29[[#This Row],[Shortname]], Comp[], 25, FALSE)</f>
        <v>0</v>
      </c>
      <c r="AU475">
        <f>VLOOKUP(Table29[[#This Row],[Shortname]], Comp[], 26, FALSE)</f>
        <v>0</v>
      </c>
      <c r="AV475">
        <f>VLOOKUP(Table29[[#This Row],[Shortname]], Comp[], 27, FALSE)</f>
        <v>0</v>
      </c>
      <c r="AW475">
        <f>VLOOKUP(Table29[[#This Row],[Shortname]], Comp[], 28, FALSE)</f>
        <v>0</v>
      </c>
      <c r="AX475">
        <f>VLOOKUP(Table29[[#This Row],[Shortname]], Comp[], 29, FALSE)</f>
        <v>0</v>
      </c>
      <c r="AY475">
        <f>VLOOKUP(Table29[[#This Row],[Shortname]], Comp[], 30, FALSE)</f>
        <v>0</v>
      </c>
      <c r="AZ475">
        <f>VLOOKUP(Table29[[#This Row],[Shortname]], Comp[], 31, FALSE)</f>
        <v>0</v>
      </c>
    </row>
    <row r="476" spans="1:52" x14ac:dyDescent="0.3">
      <c r="A476" t="s">
        <v>6166</v>
      </c>
      <c r="C476" t="e">
        <v>#N/A</v>
      </c>
      <c r="F476" t="s">
        <v>3537</v>
      </c>
      <c r="G476" t="s">
        <v>6157</v>
      </c>
      <c r="H476">
        <v>500</v>
      </c>
      <c r="I476">
        <v>3.0527999999999998E-6</v>
      </c>
      <c r="J476">
        <f>0.01/Table29[[#This Row],[Strain Rate (min) /s]]</f>
        <v>3275.6813417190779</v>
      </c>
      <c r="K476">
        <f>LOG(Table29[[#This Row],[Time to 1% strain (s)]])</f>
        <v>3.515301646975999</v>
      </c>
      <c r="L476">
        <v>850</v>
      </c>
      <c r="P476" t="s">
        <v>7207</v>
      </c>
      <c r="Q476">
        <v>1250</v>
      </c>
      <c r="R476">
        <v>25</v>
      </c>
      <c r="S476">
        <v>900</v>
      </c>
      <c r="T476">
        <v>50</v>
      </c>
      <c r="W476">
        <v>1</v>
      </c>
      <c r="X476">
        <v>10</v>
      </c>
      <c r="Y476">
        <v>70</v>
      </c>
      <c r="AA476">
        <f>VLOOKUP(Table29[[#This Row],[Shortname]], Comp[], 6, FALSE)</f>
        <v>1013</v>
      </c>
      <c r="AB476" s="14">
        <f>VLOOKUP(Table29[[#This Row],[Shortname]], Comp[], 7, FALSE)</f>
        <v>48.624000000000002</v>
      </c>
      <c r="AC476">
        <f>VLOOKUP(Table29[[#This Row],[Shortname]], Comp[], 8, FALSE)</f>
        <v>31.4</v>
      </c>
      <c r="AD476">
        <f>VLOOKUP(Table29[[#This Row],[Shortname]], Comp[], 9, FALSE)</f>
        <v>10.199999999999999</v>
      </c>
      <c r="AE476">
        <f>VLOOKUP(Table29[[#This Row],[Shortname]], Comp[], 10, FALSE)</f>
        <v>0</v>
      </c>
      <c r="AF476">
        <f>VLOOKUP(Table29[[#This Row],[Shortname]], Comp[], 11, FALSE)</f>
        <v>0</v>
      </c>
      <c r="AG476">
        <f>VLOOKUP(Table29[[#This Row],[Shortname]], Comp[],12, FALSE)</f>
        <v>2.1</v>
      </c>
      <c r="AH476">
        <f>VLOOKUP(Table29[[#This Row],[Shortname]], Comp[], 13, FALSE)</f>
        <v>2.2000000000000002</v>
      </c>
      <c r="AI476">
        <f>VLOOKUP(Table29[[#This Row],[Shortname]], Comp[], 14, FALSE)</f>
        <v>0</v>
      </c>
      <c r="AJ476">
        <f>VLOOKUP(Table29[[#This Row],[Shortname]], Comp[], 15, FALSE)</f>
        <v>0</v>
      </c>
      <c r="AK476">
        <f>VLOOKUP(Table29[[#This Row],[Shortname]], Comp[], 16, FALSE)</f>
        <v>5.4</v>
      </c>
      <c r="AL476">
        <f>VLOOKUP(Table29[[#This Row],[Shortname]], Comp[], 17, FALSE)</f>
        <v>0</v>
      </c>
      <c r="AM476">
        <f>VLOOKUP(Table29[[#This Row],[Shortname]], Comp[], 18, FALSE)</f>
        <v>0</v>
      </c>
      <c r="AN476">
        <f>VLOOKUP(Table29[[#This Row],[Shortname]], Comp[], 19, FALSE)</f>
        <v>7.5999999999999998E-2</v>
      </c>
      <c r="AO476">
        <f>VLOOKUP(Table29[[#This Row],[Shortname]], Comp[], 20, FALSE)</f>
        <v>0</v>
      </c>
      <c r="AP476">
        <f>VLOOKUP(Table29[[#This Row],[Shortname]], Comp[], 21, FALSE)</f>
        <v>0</v>
      </c>
      <c r="AQ476">
        <f>VLOOKUP(Table29[[#This Row],[Shortname]], Comp[], 22, FALSE)</f>
        <v>0</v>
      </c>
      <c r="AR476">
        <f>VLOOKUP(Table29[[#This Row],[Shortname]], Comp[], 23, FALSE)</f>
        <v>0</v>
      </c>
      <c r="AS476">
        <f>VLOOKUP(Table29[[#This Row],[Shortname]], Comp[], 24, FALSE)</f>
        <v>0</v>
      </c>
      <c r="AT476">
        <f>VLOOKUP(Table29[[#This Row],[Shortname]], Comp[], 25, FALSE)</f>
        <v>0</v>
      </c>
      <c r="AU476">
        <f>VLOOKUP(Table29[[#This Row],[Shortname]], Comp[], 26, FALSE)</f>
        <v>0</v>
      </c>
      <c r="AV476">
        <f>VLOOKUP(Table29[[#This Row],[Shortname]], Comp[], 27, FALSE)</f>
        <v>0</v>
      </c>
      <c r="AW476">
        <f>VLOOKUP(Table29[[#This Row],[Shortname]], Comp[], 28, FALSE)</f>
        <v>0</v>
      </c>
      <c r="AX476">
        <f>VLOOKUP(Table29[[#This Row],[Shortname]], Comp[], 29, FALSE)</f>
        <v>0</v>
      </c>
      <c r="AY476">
        <f>VLOOKUP(Table29[[#This Row],[Shortname]], Comp[], 30, FALSE)</f>
        <v>0</v>
      </c>
      <c r="AZ476">
        <f>VLOOKUP(Table29[[#This Row],[Shortname]], Comp[], 31, FALSE)</f>
        <v>0</v>
      </c>
    </row>
    <row r="477" spans="1:52" x14ac:dyDescent="0.3">
      <c r="A477" t="s">
        <v>6171</v>
      </c>
      <c r="C477" t="e">
        <v>#N/A</v>
      </c>
      <c r="F477" t="s">
        <v>6172</v>
      </c>
      <c r="G477" t="s">
        <v>6157</v>
      </c>
      <c r="H477">
        <v>300</v>
      </c>
      <c r="I477">
        <v>4.7284000000000002E-8</v>
      </c>
      <c r="J477">
        <f>0.01/Table29[[#This Row],[Strain Rate (min) /s]]</f>
        <v>211488.0297775146</v>
      </c>
      <c r="K477">
        <f>LOG(Table29[[#This Row],[Time to 1% strain (s)]])</f>
        <v>5.3252857913390033</v>
      </c>
      <c r="L477">
        <v>850</v>
      </c>
      <c r="P477" t="s">
        <v>7208</v>
      </c>
      <c r="Q477">
        <v>1250</v>
      </c>
      <c r="R477">
        <v>25</v>
      </c>
      <c r="S477">
        <v>900</v>
      </c>
      <c r="T477">
        <v>50</v>
      </c>
      <c r="W477">
        <v>1</v>
      </c>
      <c r="X477">
        <v>10</v>
      </c>
      <c r="Y477">
        <v>70</v>
      </c>
      <c r="AA477">
        <f>VLOOKUP(Table29[[#This Row],[Shortname]], Comp[], 6, FALSE)</f>
        <v>1014</v>
      </c>
      <c r="AB477" s="14">
        <f>VLOOKUP(Table29[[#This Row],[Shortname]], Comp[], 7, FALSE)</f>
        <v>51.823</v>
      </c>
      <c r="AC477">
        <f>VLOOKUP(Table29[[#This Row],[Shortname]], Comp[], 8, FALSE)</f>
        <v>29.7</v>
      </c>
      <c r="AD477">
        <f>VLOOKUP(Table29[[#This Row],[Shortname]], Comp[], 9, FALSE)</f>
        <v>9.5</v>
      </c>
      <c r="AE477">
        <f>VLOOKUP(Table29[[#This Row],[Shortname]], Comp[], 10, FALSE)</f>
        <v>0</v>
      </c>
      <c r="AF477">
        <f>VLOOKUP(Table29[[#This Row],[Shortname]], Comp[], 11, FALSE)</f>
        <v>0</v>
      </c>
      <c r="AG477">
        <f>VLOOKUP(Table29[[#This Row],[Shortname]], Comp[],12, FALSE)</f>
        <v>1.8</v>
      </c>
      <c r="AH477">
        <f>VLOOKUP(Table29[[#This Row],[Shortname]], Comp[], 13, FALSE)</f>
        <v>1.9</v>
      </c>
      <c r="AI477">
        <f>VLOOKUP(Table29[[#This Row],[Shortname]], Comp[], 14, FALSE)</f>
        <v>0</v>
      </c>
      <c r="AJ477">
        <f>VLOOKUP(Table29[[#This Row],[Shortname]], Comp[], 15, FALSE)</f>
        <v>0</v>
      </c>
      <c r="AK477">
        <f>VLOOKUP(Table29[[#This Row],[Shortname]], Comp[], 16, FALSE)</f>
        <v>5.0999999999999996</v>
      </c>
      <c r="AL477">
        <f>VLOOKUP(Table29[[#This Row],[Shortname]], Comp[], 17, FALSE)</f>
        <v>0</v>
      </c>
      <c r="AM477">
        <f>VLOOKUP(Table29[[#This Row],[Shortname]], Comp[], 18, FALSE)</f>
        <v>0</v>
      </c>
      <c r="AN477">
        <f>VLOOKUP(Table29[[#This Row],[Shortname]], Comp[], 19, FALSE)</f>
        <v>0.17699999999999999</v>
      </c>
      <c r="AO477">
        <f>VLOOKUP(Table29[[#This Row],[Shortname]], Comp[], 20, FALSE)</f>
        <v>0</v>
      </c>
      <c r="AP477">
        <f>VLOOKUP(Table29[[#This Row],[Shortname]], Comp[], 21, FALSE)</f>
        <v>0</v>
      </c>
      <c r="AQ477">
        <f>VLOOKUP(Table29[[#This Row],[Shortname]], Comp[], 22, FALSE)</f>
        <v>0</v>
      </c>
      <c r="AR477">
        <f>VLOOKUP(Table29[[#This Row],[Shortname]], Comp[], 23, FALSE)</f>
        <v>0</v>
      </c>
      <c r="AS477">
        <f>VLOOKUP(Table29[[#This Row],[Shortname]], Comp[], 24, FALSE)</f>
        <v>0</v>
      </c>
      <c r="AT477">
        <f>VLOOKUP(Table29[[#This Row],[Shortname]], Comp[], 25, FALSE)</f>
        <v>0</v>
      </c>
      <c r="AU477">
        <f>VLOOKUP(Table29[[#This Row],[Shortname]], Comp[], 26, FALSE)</f>
        <v>0</v>
      </c>
      <c r="AV477">
        <f>VLOOKUP(Table29[[#This Row],[Shortname]], Comp[], 27, FALSE)</f>
        <v>0</v>
      </c>
      <c r="AW477">
        <f>VLOOKUP(Table29[[#This Row],[Shortname]], Comp[], 28, FALSE)</f>
        <v>0</v>
      </c>
      <c r="AX477">
        <f>VLOOKUP(Table29[[#This Row],[Shortname]], Comp[], 29, FALSE)</f>
        <v>0</v>
      </c>
      <c r="AY477">
        <f>VLOOKUP(Table29[[#This Row],[Shortname]], Comp[], 30, FALSE)</f>
        <v>0</v>
      </c>
      <c r="AZ477">
        <f>VLOOKUP(Table29[[#This Row],[Shortname]], Comp[], 31, FALSE)</f>
        <v>0</v>
      </c>
    </row>
    <row r="478" spans="1:52" x14ac:dyDescent="0.3">
      <c r="A478" t="s">
        <v>6171</v>
      </c>
      <c r="F478" t="s">
        <v>6172</v>
      </c>
      <c r="G478" t="s">
        <v>6157</v>
      </c>
      <c r="H478">
        <v>400</v>
      </c>
      <c r="I478">
        <v>1.5260999999999999E-7</v>
      </c>
      <c r="J478">
        <f>0.01/Table29[[#This Row],[Strain Rate (min) /s]]</f>
        <v>65526.505471463213</v>
      </c>
      <c r="K478">
        <f>LOG(Table29[[#This Row],[Time to 1% strain (s)]])</f>
        <v>4.8164170076489832</v>
      </c>
      <c r="L478">
        <v>850</v>
      </c>
      <c r="P478" t="s">
        <v>7208</v>
      </c>
      <c r="Q478">
        <v>1250</v>
      </c>
      <c r="R478">
        <v>25</v>
      </c>
      <c r="S478">
        <v>900</v>
      </c>
      <c r="T478">
        <v>50</v>
      </c>
      <c r="W478">
        <v>1</v>
      </c>
      <c r="X478">
        <v>10</v>
      </c>
      <c r="Y478">
        <v>70</v>
      </c>
      <c r="AA478">
        <f>VLOOKUP(Table29[[#This Row],[Shortname]], Comp[], 6, FALSE)</f>
        <v>1014</v>
      </c>
      <c r="AB478" s="14">
        <f>VLOOKUP(Table29[[#This Row],[Shortname]], Comp[], 7, FALSE)</f>
        <v>51.823</v>
      </c>
      <c r="AC478">
        <f>VLOOKUP(Table29[[#This Row],[Shortname]], Comp[], 8, FALSE)</f>
        <v>29.7</v>
      </c>
      <c r="AD478">
        <f>VLOOKUP(Table29[[#This Row],[Shortname]], Comp[], 9, FALSE)</f>
        <v>9.5</v>
      </c>
      <c r="AE478">
        <f>VLOOKUP(Table29[[#This Row],[Shortname]], Comp[], 10, FALSE)</f>
        <v>0</v>
      </c>
      <c r="AF478">
        <f>VLOOKUP(Table29[[#This Row],[Shortname]], Comp[], 11, FALSE)</f>
        <v>0</v>
      </c>
      <c r="AG478">
        <f>VLOOKUP(Table29[[#This Row],[Shortname]], Comp[],12, FALSE)</f>
        <v>1.8</v>
      </c>
      <c r="AH478">
        <f>VLOOKUP(Table29[[#This Row],[Shortname]], Comp[], 13, FALSE)</f>
        <v>1.9</v>
      </c>
      <c r="AI478">
        <f>VLOOKUP(Table29[[#This Row],[Shortname]], Comp[], 14, FALSE)</f>
        <v>0</v>
      </c>
      <c r="AJ478">
        <f>VLOOKUP(Table29[[#This Row],[Shortname]], Comp[], 15, FALSE)</f>
        <v>0</v>
      </c>
      <c r="AK478">
        <f>VLOOKUP(Table29[[#This Row],[Shortname]], Comp[], 16, FALSE)</f>
        <v>5.0999999999999996</v>
      </c>
      <c r="AL478">
        <f>VLOOKUP(Table29[[#This Row],[Shortname]], Comp[], 17, FALSE)</f>
        <v>0</v>
      </c>
      <c r="AM478">
        <f>VLOOKUP(Table29[[#This Row],[Shortname]], Comp[], 18, FALSE)</f>
        <v>0</v>
      </c>
      <c r="AN478">
        <f>VLOOKUP(Table29[[#This Row],[Shortname]], Comp[], 19, FALSE)</f>
        <v>0.17699999999999999</v>
      </c>
      <c r="AO478">
        <f>VLOOKUP(Table29[[#This Row],[Shortname]], Comp[], 20, FALSE)</f>
        <v>0</v>
      </c>
      <c r="AP478">
        <f>VLOOKUP(Table29[[#This Row],[Shortname]], Comp[], 21, FALSE)</f>
        <v>0</v>
      </c>
      <c r="AQ478">
        <f>VLOOKUP(Table29[[#This Row],[Shortname]], Comp[], 22, FALSE)</f>
        <v>0</v>
      </c>
      <c r="AR478">
        <f>VLOOKUP(Table29[[#This Row],[Shortname]], Comp[], 23, FALSE)</f>
        <v>0</v>
      </c>
      <c r="AS478">
        <f>VLOOKUP(Table29[[#This Row],[Shortname]], Comp[], 24, FALSE)</f>
        <v>0</v>
      </c>
      <c r="AT478">
        <f>VLOOKUP(Table29[[#This Row],[Shortname]], Comp[], 25, FALSE)</f>
        <v>0</v>
      </c>
      <c r="AU478">
        <f>VLOOKUP(Table29[[#This Row],[Shortname]], Comp[], 26, FALSE)</f>
        <v>0</v>
      </c>
      <c r="AV478">
        <f>VLOOKUP(Table29[[#This Row],[Shortname]], Comp[], 27, FALSE)</f>
        <v>0</v>
      </c>
      <c r="AW478">
        <f>VLOOKUP(Table29[[#This Row],[Shortname]], Comp[], 28, FALSE)</f>
        <v>0</v>
      </c>
      <c r="AX478">
        <f>VLOOKUP(Table29[[#This Row],[Shortname]], Comp[], 29, FALSE)</f>
        <v>0</v>
      </c>
      <c r="AY478">
        <f>VLOOKUP(Table29[[#This Row],[Shortname]], Comp[], 30, FALSE)</f>
        <v>0</v>
      </c>
      <c r="AZ478">
        <f>VLOOKUP(Table29[[#This Row],[Shortname]], Comp[], 31, FALSE)</f>
        <v>0</v>
      </c>
    </row>
    <row r="479" spans="1:52" x14ac:dyDescent="0.3">
      <c r="A479" t="s">
        <v>6171</v>
      </c>
      <c r="F479" t="s">
        <v>6172</v>
      </c>
      <c r="G479" t="s">
        <v>6157</v>
      </c>
      <c r="H479">
        <v>500</v>
      </c>
      <c r="I479">
        <v>2.3031E-6</v>
      </c>
      <c r="J479">
        <f>0.01/Table29[[#This Row],[Strain Rate (min) /s]]</f>
        <v>4341.9738613173549</v>
      </c>
      <c r="K479">
        <f>LOG(Table29[[#This Row],[Time to 1% strain (s)]])</f>
        <v>3.6376872046734898</v>
      </c>
      <c r="L479">
        <v>850</v>
      </c>
      <c r="P479" t="s">
        <v>7208</v>
      </c>
      <c r="Q479">
        <v>1250</v>
      </c>
      <c r="R479">
        <v>25</v>
      </c>
      <c r="S479">
        <v>900</v>
      </c>
      <c r="T479">
        <v>50</v>
      </c>
      <c r="W479">
        <v>1</v>
      </c>
      <c r="X479">
        <v>10</v>
      </c>
      <c r="Y479">
        <v>70</v>
      </c>
      <c r="AA479">
        <f>VLOOKUP(Table29[[#This Row],[Shortname]], Comp[], 6, FALSE)</f>
        <v>1014</v>
      </c>
      <c r="AB479" s="14">
        <f>VLOOKUP(Table29[[#This Row],[Shortname]], Comp[], 7, FALSE)</f>
        <v>51.823</v>
      </c>
      <c r="AC479">
        <f>VLOOKUP(Table29[[#This Row],[Shortname]], Comp[], 8, FALSE)</f>
        <v>29.7</v>
      </c>
      <c r="AD479">
        <f>VLOOKUP(Table29[[#This Row],[Shortname]], Comp[], 9, FALSE)</f>
        <v>9.5</v>
      </c>
      <c r="AE479">
        <f>VLOOKUP(Table29[[#This Row],[Shortname]], Comp[], 10, FALSE)</f>
        <v>0</v>
      </c>
      <c r="AF479">
        <f>VLOOKUP(Table29[[#This Row],[Shortname]], Comp[], 11, FALSE)</f>
        <v>0</v>
      </c>
      <c r="AG479">
        <f>VLOOKUP(Table29[[#This Row],[Shortname]], Comp[],12, FALSE)</f>
        <v>1.8</v>
      </c>
      <c r="AH479">
        <f>VLOOKUP(Table29[[#This Row],[Shortname]], Comp[], 13, FALSE)</f>
        <v>1.9</v>
      </c>
      <c r="AI479">
        <f>VLOOKUP(Table29[[#This Row],[Shortname]], Comp[], 14, FALSE)</f>
        <v>0</v>
      </c>
      <c r="AJ479">
        <f>VLOOKUP(Table29[[#This Row],[Shortname]], Comp[], 15, FALSE)</f>
        <v>0</v>
      </c>
      <c r="AK479">
        <f>VLOOKUP(Table29[[#This Row],[Shortname]], Comp[], 16, FALSE)</f>
        <v>5.0999999999999996</v>
      </c>
      <c r="AL479">
        <f>VLOOKUP(Table29[[#This Row],[Shortname]], Comp[], 17, FALSE)</f>
        <v>0</v>
      </c>
      <c r="AM479">
        <f>VLOOKUP(Table29[[#This Row],[Shortname]], Comp[], 18, FALSE)</f>
        <v>0</v>
      </c>
      <c r="AN479">
        <f>VLOOKUP(Table29[[#This Row],[Shortname]], Comp[], 19, FALSE)</f>
        <v>0.17699999999999999</v>
      </c>
      <c r="AO479">
        <f>VLOOKUP(Table29[[#This Row],[Shortname]], Comp[], 20, FALSE)</f>
        <v>0</v>
      </c>
      <c r="AP479">
        <f>VLOOKUP(Table29[[#This Row],[Shortname]], Comp[], 21, FALSE)</f>
        <v>0</v>
      </c>
      <c r="AQ479">
        <f>VLOOKUP(Table29[[#This Row],[Shortname]], Comp[], 22, FALSE)</f>
        <v>0</v>
      </c>
      <c r="AR479">
        <f>VLOOKUP(Table29[[#This Row],[Shortname]], Comp[], 23, FALSE)</f>
        <v>0</v>
      </c>
      <c r="AS479">
        <f>VLOOKUP(Table29[[#This Row],[Shortname]], Comp[], 24, FALSE)</f>
        <v>0</v>
      </c>
      <c r="AT479">
        <f>VLOOKUP(Table29[[#This Row],[Shortname]], Comp[], 25, FALSE)</f>
        <v>0</v>
      </c>
      <c r="AU479">
        <f>VLOOKUP(Table29[[#This Row],[Shortname]], Comp[], 26, FALSE)</f>
        <v>0</v>
      </c>
      <c r="AV479">
        <f>VLOOKUP(Table29[[#This Row],[Shortname]], Comp[], 27, FALSE)</f>
        <v>0</v>
      </c>
      <c r="AW479">
        <f>VLOOKUP(Table29[[#This Row],[Shortname]], Comp[], 28, FALSE)</f>
        <v>0</v>
      </c>
      <c r="AX479">
        <f>VLOOKUP(Table29[[#This Row],[Shortname]], Comp[], 29, FALSE)</f>
        <v>0</v>
      </c>
      <c r="AY479">
        <f>VLOOKUP(Table29[[#This Row],[Shortname]], Comp[], 30, FALSE)</f>
        <v>0</v>
      </c>
      <c r="AZ479">
        <f>VLOOKUP(Table29[[#This Row],[Shortname]], Comp[], 31, FALSE)</f>
        <v>0</v>
      </c>
    </row>
    <row r="480" spans="1:52" x14ac:dyDescent="0.3">
      <c r="A480" t="s">
        <v>6176</v>
      </c>
      <c r="F480" t="s">
        <v>6177</v>
      </c>
      <c r="G480" t="s">
        <v>6157</v>
      </c>
      <c r="H480">
        <v>300</v>
      </c>
      <c r="I480">
        <v>3.8134999999999997E-8</v>
      </c>
      <c r="J480">
        <f>0.01/Table29[[#This Row],[Strain Rate (min) /s]]</f>
        <v>262226.30129802023</v>
      </c>
      <c r="K480">
        <f>LOG(Table29[[#This Row],[Time to 1% strain (s)]])</f>
        <v>5.4186762492752676</v>
      </c>
      <c r="L480">
        <v>850</v>
      </c>
      <c r="P480" t="s">
        <v>7209</v>
      </c>
      <c r="Q480">
        <v>1250</v>
      </c>
      <c r="R480">
        <v>25</v>
      </c>
      <c r="S480">
        <v>900</v>
      </c>
      <c r="T480">
        <v>50</v>
      </c>
      <c r="W480">
        <v>1</v>
      </c>
      <c r="X480">
        <v>10</v>
      </c>
      <c r="Y480">
        <v>70</v>
      </c>
      <c r="AA480">
        <f>VLOOKUP(Table29[[#This Row],[Shortname]], Comp[], 6, FALSE)</f>
        <v>1015</v>
      </c>
      <c r="AB480" s="14">
        <f>VLOOKUP(Table29[[#This Row],[Shortname]], Comp[], 7, FALSE)</f>
        <v>50.326999999999998</v>
      </c>
      <c r="AC480">
        <f>VLOOKUP(Table29[[#This Row],[Shortname]], Comp[], 8, FALSE)</f>
        <v>30.4</v>
      </c>
      <c r="AD480">
        <f>VLOOKUP(Table29[[#This Row],[Shortname]], Comp[], 9, FALSE)</f>
        <v>9.8000000000000007</v>
      </c>
      <c r="AE480">
        <f>VLOOKUP(Table29[[#This Row],[Shortname]], Comp[], 10, FALSE)</f>
        <v>0</v>
      </c>
      <c r="AF480">
        <f>VLOOKUP(Table29[[#This Row],[Shortname]], Comp[], 11, FALSE)</f>
        <v>0</v>
      </c>
      <c r="AG480">
        <f>VLOOKUP(Table29[[#This Row],[Shortname]], Comp[],12, FALSE)</f>
        <v>2.1</v>
      </c>
      <c r="AH480">
        <f>VLOOKUP(Table29[[#This Row],[Shortname]], Comp[], 13, FALSE)</f>
        <v>2.1</v>
      </c>
      <c r="AI480">
        <f>VLOOKUP(Table29[[#This Row],[Shortname]], Comp[], 14, FALSE)</f>
        <v>0</v>
      </c>
      <c r="AJ480">
        <f>VLOOKUP(Table29[[#This Row],[Shortname]], Comp[], 15, FALSE)</f>
        <v>0</v>
      </c>
      <c r="AK480">
        <f>VLOOKUP(Table29[[#This Row],[Shortname]], Comp[], 16, FALSE)</f>
        <v>4.9000000000000004</v>
      </c>
      <c r="AL480">
        <f>VLOOKUP(Table29[[#This Row],[Shortname]], Comp[], 17, FALSE)</f>
        <v>0</v>
      </c>
      <c r="AM480">
        <f>VLOOKUP(Table29[[#This Row],[Shortname]], Comp[], 18, FALSE)</f>
        <v>0</v>
      </c>
      <c r="AN480">
        <f>VLOOKUP(Table29[[#This Row],[Shortname]], Comp[], 19, FALSE)</f>
        <v>0.373</v>
      </c>
      <c r="AO480">
        <f>VLOOKUP(Table29[[#This Row],[Shortname]], Comp[], 20, FALSE)</f>
        <v>0</v>
      </c>
      <c r="AP480">
        <f>VLOOKUP(Table29[[#This Row],[Shortname]], Comp[], 21, FALSE)</f>
        <v>0</v>
      </c>
      <c r="AQ480">
        <f>VLOOKUP(Table29[[#This Row],[Shortname]], Comp[], 22, FALSE)</f>
        <v>0</v>
      </c>
      <c r="AR480">
        <f>VLOOKUP(Table29[[#This Row],[Shortname]], Comp[], 23, FALSE)</f>
        <v>0</v>
      </c>
      <c r="AS480">
        <f>VLOOKUP(Table29[[#This Row],[Shortname]], Comp[], 24, FALSE)</f>
        <v>0</v>
      </c>
      <c r="AT480">
        <f>VLOOKUP(Table29[[#This Row],[Shortname]], Comp[], 25, FALSE)</f>
        <v>0</v>
      </c>
      <c r="AU480">
        <f>VLOOKUP(Table29[[#This Row],[Shortname]], Comp[], 26, FALSE)</f>
        <v>0</v>
      </c>
      <c r="AV480">
        <f>VLOOKUP(Table29[[#This Row],[Shortname]], Comp[], 27, FALSE)</f>
        <v>0</v>
      </c>
      <c r="AW480">
        <f>VLOOKUP(Table29[[#This Row],[Shortname]], Comp[], 28, FALSE)</f>
        <v>0</v>
      </c>
      <c r="AX480">
        <f>VLOOKUP(Table29[[#This Row],[Shortname]], Comp[], 29, FALSE)</f>
        <v>0</v>
      </c>
      <c r="AY480">
        <f>VLOOKUP(Table29[[#This Row],[Shortname]], Comp[], 30, FALSE)</f>
        <v>0</v>
      </c>
      <c r="AZ480">
        <f>VLOOKUP(Table29[[#This Row],[Shortname]], Comp[], 31, FALSE)</f>
        <v>0</v>
      </c>
    </row>
    <row r="481" spans="1:52" x14ac:dyDescent="0.3">
      <c r="A481" t="s">
        <v>6176</v>
      </c>
      <c r="F481" t="s">
        <v>6177</v>
      </c>
      <c r="G481" t="s">
        <v>6157</v>
      </c>
      <c r="H481">
        <v>400</v>
      </c>
      <c r="I481">
        <v>2.6417999999999997E-7</v>
      </c>
      <c r="J481">
        <f>0.01/Table29[[#This Row],[Strain Rate (min) /s]]</f>
        <v>37852.97902944962</v>
      </c>
      <c r="K481">
        <f>LOG(Table29[[#This Row],[Time to 1% strain (s)]])</f>
        <v>4.578100064156831</v>
      </c>
      <c r="L481">
        <v>850</v>
      </c>
      <c r="P481" t="s">
        <v>7209</v>
      </c>
      <c r="Q481">
        <v>1250</v>
      </c>
      <c r="R481">
        <v>25</v>
      </c>
      <c r="S481">
        <v>900</v>
      </c>
      <c r="T481">
        <v>50</v>
      </c>
      <c r="W481">
        <v>1</v>
      </c>
      <c r="X481">
        <v>10</v>
      </c>
      <c r="Y481">
        <v>70</v>
      </c>
      <c r="AA481">
        <f>VLOOKUP(Table29[[#This Row],[Shortname]], Comp[], 6, FALSE)</f>
        <v>1015</v>
      </c>
      <c r="AB481" s="14">
        <f>VLOOKUP(Table29[[#This Row],[Shortname]], Comp[], 7, FALSE)</f>
        <v>50.326999999999998</v>
      </c>
      <c r="AC481">
        <f>VLOOKUP(Table29[[#This Row],[Shortname]], Comp[], 8, FALSE)</f>
        <v>30.4</v>
      </c>
      <c r="AD481">
        <f>VLOOKUP(Table29[[#This Row],[Shortname]], Comp[], 9, FALSE)</f>
        <v>9.8000000000000007</v>
      </c>
      <c r="AE481">
        <f>VLOOKUP(Table29[[#This Row],[Shortname]], Comp[], 10, FALSE)</f>
        <v>0</v>
      </c>
      <c r="AF481">
        <f>VLOOKUP(Table29[[#This Row],[Shortname]], Comp[], 11, FALSE)</f>
        <v>0</v>
      </c>
      <c r="AG481">
        <f>VLOOKUP(Table29[[#This Row],[Shortname]], Comp[],12, FALSE)</f>
        <v>2.1</v>
      </c>
      <c r="AH481">
        <f>VLOOKUP(Table29[[#This Row],[Shortname]], Comp[], 13, FALSE)</f>
        <v>2.1</v>
      </c>
      <c r="AI481">
        <f>VLOOKUP(Table29[[#This Row],[Shortname]], Comp[], 14, FALSE)</f>
        <v>0</v>
      </c>
      <c r="AJ481">
        <f>VLOOKUP(Table29[[#This Row],[Shortname]], Comp[], 15, FALSE)</f>
        <v>0</v>
      </c>
      <c r="AK481">
        <f>VLOOKUP(Table29[[#This Row],[Shortname]], Comp[], 16, FALSE)</f>
        <v>4.9000000000000004</v>
      </c>
      <c r="AL481">
        <f>VLOOKUP(Table29[[#This Row],[Shortname]], Comp[], 17, FALSE)</f>
        <v>0</v>
      </c>
      <c r="AM481">
        <f>VLOOKUP(Table29[[#This Row],[Shortname]], Comp[], 18, FALSE)</f>
        <v>0</v>
      </c>
      <c r="AN481">
        <f>VLOOKUP(Table29[[#This Row],[Shortname]], Comp[], 19, FALSE)</f>
        <v>0.373</v>
      </c>
      <c r="AO481">
        <f>VLOOKUP(Table29[[#This Row],[Shortname]], Comp[], 20, FALSE)</f>
        <v>0</v>
      </c>
      <c r="AP481">
        <f>VLOOKUP(Table29[[#This Row],[Shortname]], Comp[], 21, FALSE)</f>
        <v>0</v>
      </c>
      <c r="AQ481">
        <f>VLOOKUP(Table29[[#This Row],[Shortname]], Comp[], 22, FALSE)</f>
        <v>0</v>
      </c>
      <c r="AR481">
        <f>VLOOKUP(Table29[[#This Row],[Shortname]], Comp[], 23, FALSE)</f>
        <v>0</v>
      </c>
      <c r="AS481">
        <f>VLOOKUP(Table29[[#This Row],[Shortname]], Comp[], 24, FALSE)</f>
        <v>0</v>
      </c>
      <c r="AT481">
        <f>VLOOKUP(Table29[[#This Row],[Shortname]], Comp[], 25, FALSE)</f>
        <v>0</v>
      </c>
      <c r="AU481">
        <f>VLOOKUP(Table29[[#This Row],[Shortname]], Comp[], 26, FALSE)</f>
        <v>0</v>
      </c>
      <c r="AV481">
        <f>VLOOKUP(Table29[[#This Row],[Shortname]], Comp[], 27, FALSE)</f>
        <v>0</v>
      </c>
      <c r="AW481">
        <f>VLOOKUP(Table29[[#This Row],[Shortname]], Comp[], 28, FALSE)</f>
        <v>0</v>
      </c>
      <c r="AX481">
        <f>VLOOKUP(Table29[[#This Row],[Shortname]], Comp[], 29, FALSE)</f>
        <v>0</v>
      </c>
      <c r="AY481">
        <f>VLOOKUP(Table29[[#This Row],[Shortname]], Comp[], 30, FALSE)</f>
        <v>0</v>
      </c>
      <c r="AZ481">
        <f>VLOOKUP(Table29[[#This Row],[Shortname]], Comp[], 31, FALSE)</f>
        <v>0</v>
      </c>
    </row>
    <row r="482" spans="1:52" x14ac:dyDescent="0.3">
      <c r="A482" t="s">
        <v>6176</v>
      </c>
      <c r="F482" t="s">
        <v>6177</v>
      </c>
      <c r="G482" t="s">
        <v>6157</v>
      </c>
      <c r="H482">
        <v>500</v>
      </c>
      <c r="I482">
        <v>2.2029000000000001E-6</v>
      </c>
      <c r="J482">
        <f>0.01/Table29[[#This Row],[Strain Rate (min) /s]]</f>
        <v>4539.4706977166461</v>
      </c>
      <c r="K482">
        <f>LOG(Table29[[#This Row],[Time to 1% strain (s)]])</f>
        <v>3.6570052170725229</v>
      </c>
      <c r="L482">
        <v>850</v>
      </c>
      <c r="P482" t="s">
        <v>7209</v>
      </c>
      <c r="Q482">
        <v>1250</v>
      </c>
      <c r="R482">
        <v>25</v>
      </c>
      <c r="S482">
        <v>900</v>
      </c>
      <c r="T482">
        <v>50</v>
      </c>
      <c r="W482">
        <v>1</v>
      </c>
      <c r="X482">
        <v>10</v>
      </c>
      <c r="Y482">
        <v>70</v>
      </c>
      <c r="AA482">
        <f>VLOOKUP(Table29[[#This Row],[Shortname]], Comp[], 6, FALSE)</f>
        <v>1015</v>
      </c>
      <c r="AB482" s="14">
        <f>VLOOKUP(Table29[[#This Row],[Shortname]], Comp[], 7, FALSE)</f>
        <v>50.326999999999998</v>
      </c>
      <c r="AC482">
        <f>VLOOKUP(Table29[[#This Row],[Shortname]], Comp[], 8, FALSE)</f>
        <v>30.4</v>
      </c>
      <c r="AD482">
        <f>VLOOKUP(Table29[[#This Row],[Shortname]], Comp[], 9, FALSE)</f>
        <v>9.8000000000000007</v>
      </c>
      <c r="AE482">
        <f>VLOOKUP(Table29[[#This Row],[Shortname]], Comp[], 10, FALSE)</f>
        <v>0</v>
      </c>
      <c r="AF482">
        <f>VLOOKUP(Table29[[#This Row],[Shortname]], Comp[], 11, FALSE)</f>
        <v>0</v>
      </c>
      <c r="AG482">
        <f>VLOOKUP(Table29[[#This Row],[Shortname]], Comp[],12, FALSE)</f>
        <v>2.1</v>
      </c>
      <c r="AH482">
        <f>VLOOKUP(Table29[[#This Row],[Shortname]], Comp[], 13, FALSE)</f>
        <v>2.1</v>
      </c>
      <c r="AI482">
        <f>VLOOKUP(Table29[[#This Row],[Shortname]], Comp[], 14, FALSE)</f>
        <v>0</v>
      </c>
      <c r="AJ482">
        <f>VLOOKUP(Table29[[#This Row],[Shortname]], Comp[], 15, FALSE)</f>
        <v>0</v>
      </c>
      <c r="AK482">
        <f>VLOOKUP(Table29[[#This Row],[Shortname]], Comp[], 16, FALSE)</f>
        <v>4.9000000000000004</v>
      </c>
      <c r="AL482">
        <f>VLOOKUP(Table29[[#This Row],[Shortname]], Comp[], 17, FALSE)</f>
        <v>0</v>
      </c>
      <c r="AM482">
        <f>VLOOKUP(Table29[[#This Row],[Shortname]], Comp[], 18, FALSE)</f>
        <v>0</v>
      </c>
      <c r="AN482">
        <f>VLOOKUP(Table29[[#This Row],[Shortname]], Comp[], 19, FALSE)</f>
        <v>0.373</v>
      </c>
      <c r="AO482">
        <f>VLOOKUP(Table29[[#This Row],[Shortname]], Comp[], 20, FALSE)</f>
        <v>0</v>
      </c>
      <c r="AP482">
        <f>VLOOKUP(Table29[[#This Row],[Shortname]], Comp[], 21, FALSE)</f>
        <v>0</v>
      </c>
      <c r="AQ482">
        <f>VLOOKUP(Table29[[#This Row],[Shortname]], Comp[], 22, FALSE)</f>
        <v>0</v>
      </c>
      <c r="AR482">
        <f>VLOOKUP(Table29[[#This Row],[Shortname]], Comp[], 23, FALSE)</f>
        <v>0</v>
      </c>
      <c r="AS482">
        <f>VLOOKUP(Table29[[#This Row],[Shortname]], Comp[], 24, FALSE)</f>
        <v>0</v>
      </c>
      <c r="AT482">
        <f>VLOOKUP(Table29[[#This Row],[Shortname]], Comp[], 25, FALSE)</f>
        <v>0</v>
      </c>
      <c r="AU482">
        <f>VLOOKUP(Table29[[#This Row],[Shortname]], Comp[], 26, FALSE)</f>
        <v>0</v>
      </c>
      <c r="AV482">
        <f>VLOOKUP(Table29[[#This Row],[Shortname]], Comp[], 27, FALSE)</f>
        <v>0</v>
      </c>
      <c r="AW482">
        <f>VLOOKUP(Table29[[#This Row],[Shortname]], Comp[], 28, FALSE)</f>
        <v>0</v>
      </c>
      <c r="AX482">
        <f>VLOOKUP(Table29[[#This Row],[Shortname]], Comp[], 29, FALSE)</f>
        <v>0</v>
      </c>
      <c r="AY482">
        <f>VLOOKUP(Table29[[#This Row],[Shortname]], Comp[], 30, FALSE)</f>
        <v>0</v>
      </c>
      <c r="AZ482">
        <f>VLOOKUP(Table29[[#This Row],[Shortname]], Comp[], 31, FALSE)</f>
        <v>0</v>
      </c>
    </row>
    <row r="483" spans="1:52" x14ac:dyDescent="0.3">
      <c r="A483" t="s">
        <v>6181</v>
      </c>
      <c r="F483" t="s">
        <v>6182</v>
      </c>
      <c r="G483" t="s">
        <v>6157</v>
      </c>
      <c r="H483">
        <v>300</v>
      </c>
      <c r="I483">
        <v>3.4119999999999997E-8</v>
      </c>
      <c r="J483">
        <f>0.01/Table29[[#This Row],[Strain Rate (min) /s]]</f>
        <v>293083.2356389215</v>
      </c>
      <c r="K483">
        <f>LOG(Table29[[#This Row],[Time to 1% strain (s)]])</f>
        <v>5.4669909775045147</v>
      </c>
      <c r="L483">
        <v>850</v>
      </c>
      <c r="P483" t="s">
        <v>7210</v>
      </c>
      <c r="Q483">
        <v>1250</v>
      </c>
      <c r="R483">
        <v>25</v>
      </c>
      <c r="S483">
        <v>900</v>
      </c>
      <c r="T483">
        <v>50</v>
      </c>
      <c r="W483">
        <v>1</v>
      </c>
      <c r="X483">
        <v>10</v>
      </c>
      <c r="Y483">
        <v>70</v>
      </c>
      <c r="AA483">
        <f>VLOOKUP(Table29[[#This Row],[Shortname]], Comp[], 6, FALSE)</f>
        <v>1016</v>
      </c>
      <c r="AB483" s="14">
        <f>VLOOKUP(Table29[[#This Row],[Shortname]], Comp[], 7, FALSE)</f>
        <v>48.018000000000001</v>
      </c>
      <c r="AC483">
        <f>VLOOKUP(Table29[[#This Row],[Shortname]], Comp[], 8, FALSE)</f>
        <v>31.2</v>
      </c>
      <c r="AD483">
        <f>VLOOKUP(Table29[[#This Row],[Shortname]], Comp[], 9, FALSE)</f>
        <v>10.4</v>
      </c>
      <c r="AE483">
        <f>VLOOKUP(Table29[[#This Row],[Shortname]], Comp[], 10, FALSE)</f>
        <v>0</v>
      </c>
      <c r="AF483">
        <f>VLOOKUP(Table29[[#This Row],[Shortname]], Comp[], 11, FALSE)</f>
        <v>0</v>
      </c>
      <c r="AG483">
        <f>VLOOKUP(Table29[[#This Row],[Shortname]], Comp[],12, FALSE)</f>
        <v>2.1</v>
      </c>
      <c r="AH483">
        <f>VLOOKUP(Table29[[#This Row],[Shortname]], Comp[], 13, FALSE)</f>
        <v>2.2000000000000002</v>
      </c>
      <c r="AI483">
        <f>VLOOKUP(Table29[[#This Row],[Shortname]], Comp[], 14, FALSE)</f>
        <v>0</v>
      </c>
      <c r="AJ483">
        <f>VLOOKUP(Table29[[#This Row],[Shortname]], Comp[], 15, FALSE)</f>
        <v>0</v>
      </c>
      <c r="AK483">
        <f>VLOOKUP(Table29[[#This Row],[Shortname]], Comp[], 16, FALSE)</f>
        <v>5.3</v>
      </c>
      <c r="AL483">
        <f>VLOOKUP(Table29[[#This Row],[Shortname]], Comp[], 17, FALSE)</f>
        <v>0</v>
      </c>
      <c r="AM483">
        <f>VLOOKUP(Table29[[#This Row],[Shortname]], Comp[], 18, FALSE)</f>
        <v>0</v>
      </c>
      <c r="AN483">
        <f>VLOOKUP(Table29[[#This Row],[Shortname]], Comp[], 19, FALSE)</f>
        <v>0.78200000000000003</v>
      </c>
      <c r="AO483">
        <f>VLOOKUP(Table29[[#This Row],[Shortname]], Comp[], 20, FALSE)</f>
        <v>0</v>
      </c>
      <c r="AP483">
        <f>VLOOKUP(Table29[[#This Row],[Shortname]], Comp[], 21, FALSE)</f>
        <v>0</v>
      </c>
      <c r="AQ483">
        <f>VLOOKUP(Table29[[#This Row],[Shortname]], Comp[], 22, FALSE)</f>
        <v>0</v>
      </c>
      <c r="AR483">
        <f>VLOOKUP(Table29[[#This Row],[Shortname]], Comp[], 23, FALSE)</f>
        <v>0</v>
      </c>
      <c r="AS483">
        <f>VLOOKUP(Table29[[#This Row],[Shortname]], Comp[], 24, FALSE)</f>
        <v>0</v>
      </c>
      <c r="AT483">
        <f>VLOOKUP(Table29[[#This Row],[Shortname]], Comp[], 25, FALSE)</f>
        <v>0</v>
      </c>
      <c r="AU483">
        <f>VLOOKUP(Table29[[#This Row],[Shortname]], Comp[], 26, FALSE)</f>
        <v>0</v>
      </c>
      <c r="AV483">
        <f>VLOOKUP(Table29[[#This Row],[Shortname]], Comp[], 27, FALSE)</f>
        <v>0</v>
      </c>
      <c r="AW483">
        <f>VLOOKUP(Table29[[#This Row],[Shortname]], Comp[], 28, FALSE)</f>
        <v>0</v>
      </c>
      <c r="AX483">
        <f>VLOOKUP(Table29[[#This Row],[Shortname]], Comp[], 29, FALSE)</f>
        <v>0</v>
      </c>
      <c r="AY483">
        <f>VLOOKUP(Table29[[#This Row],[Shortname]], Comp[], 30, FALSE)</f>
        <v>0</v>
      </c>
      <c r="AZ483">
        <f>VLOOKUP(Table29[[#This Row],[Shortname]], Comp[], 31, FALSE)</f>
        <v>0</v>
      </c>
    </row>
    <row r="484" spans="1:52" x14ac:dyDescent="0.3">
      <c r="A484" t="s">
        <v>6181</v>
      </c>
      <c r="F484" t="s">
        <v>6182</v>
      </c>
      <c r="G484" t="s">
        <v>6157</v>
      </c>
      <c r="H484">
        <v>400</v>
      </c>
      <c r="I484">
        <v>3.6610999999999999E-7</v>
      </c>
      <c r="J484">
        <f>0.01/Table29[[#This Row],[Strain Rate (min) /s]]</f>
        <v>27314.195187238809</v>
      </c>
      <c r="K484">
        <f>LOG(Table29[[#This Row],[Time to 1% strain (s)]])</f>
        <v>4.4363884085522125</v>
      </c>
      <c r="L484">
        <v>850</v>
      </c>
      <c r="P484" t="s">
        <v>7210</v>
      </c>
      <c r="Q484">
        <v>1250</v>
      </c>
      <c r="R484">
        <v>25</v>
      </c>
      <c r="S484">
        <v>900</v>
      </c>
      <c r="T484">
        <v>50</v>
      </c>
      <c r="W484">
        <v>1</v>
      </c>
      <c r="X484">
        <v>10</v>
      </c>
      <c r="Y484">
        <v>70</v>
      </c>
      <c r="AA484">
        <f>VLOOKUP(Table29[[#This Row],[Shortname]], Comp[], 6, FALSE)</f>
        <v>1016</v>
      </c>
      <c r="AB484" s="14">
        <f>VLOOKUP(Table29[[#This Row],[Shortname]], Comp[], 7, FALSE)</f>
        <v>48.018000000000001</v>
      </c>
      <c r="AC484">
        <f>VLOOKUP(Table29[[#This Row],[Shortname]], Comp[], 8, FALSE)</f>
        <v>31.2</v>
      </c>
      <c r="AD484">
        <f>VLOOKUP(Table29[[#This Row],[Shortname]], Comp[], 9, FALSE)</f>
        <v>10.4</v>
      </c>
      <c r="AE484">
        <f>VLOOKUP(Table29[[#This Row],[Shortname]], Comp[], 10, FALSE)</f>
        <v>0</v>
      </c>
      <c r="AF484">
        <f>VLOOKUP(Table29[[#This Row],[Shortname]], Comp[], 11, FALSE)</f>
        <v>0</v>
      </c>
      <c r="AG484">
        <f>VLOOKUP(Table29[[#This Row],[Shortname]], Comp[],12, FALSE)</f>
        <v>2.1</v>
      </c>
      <c r="AH484">
        <f>VLOOKUP(Table29[[#This Row],[Shortname]], Comp[], 13, FALSE)</f>
        <v>2.2000000000000002</v>
      </c>
      <c r="AI484">
        <f>VLOOKUP(Table29[[#This Row],[Shortname]], Comp[], 14, FALSE)</f>
        <v>0</v>
      </c>
      <c r="AJ484">
        <f>VLOOKUP(Table29[[#This Row],[Shortname]], Comp[], 15, FALSE)</f>
        <v>0</v>
      </c>
      <c r="AK484">
        <f>VLOOKUP(Table29[[#This Row],[Shortname]], Comp[], 16, FALSE)</f>
        <v>5.3</v>
      </c>
      <c r="AL484">
        <f>VLOOKUP(Table29[[#This Row],[Shortname]], Comp[], 17, FALSE)</f>
        <v>0</v>
      </c>
      <c r="AM484">
        <f>VLOOKUP(Table29[[#This Row],[Shortname]], Comp[], 18, FALSE)</f>
        <v>0</v>
      </c>
      <c r="AN484">
        <f>VLOOKUP(Table29[[#This Row],[Shortname]], Comp[], 19, FALSE)</f>
        <v>0.78200000000000003</v>
      </c>
      <c r="AO484">
        <f>VLOOKUP(Table29[[#This Row],[Shortname]], Comp[], 20, FALSE)</f>
        <v>0</v>
      </c>
      <c r="AP484">
        <f>VLOOKUP(Table29[[#This Row],[Shortname]], Comp[], 21, FALSE)</f>
        <v>0</v>
      </c>
      <c r="AQ484">
        <f>VLOOKUP(Table29[[#This Row],[Shortname]], Comp[], 22, FALSE)</f>
        <v>0</v>
      </c>
      <c r="AR484">
        <f>VLOOKUP(Table29[[#This Row],[Shortname]], Comp[], 23, FALSE)</f>
        <v>0</v>
      </c>
      <c r="AS484">
        <f>VLOOKUP(Table29[[#This Row],[Shortname]], Comp[], 24, FALSE)</f>
        <v>0</v>
      </c>
      <c r="AT484">
        <f>VLOOKUP(Table29[[#This Row],[Shortname]], Comp[], 25, FALSE)</f>
        <v>0</v>
      </c>
      <c r="AU484">
        <f>VLOOKUP(Table29[[#This Row],[Shortname]], Comp[], 26, FALSE)</f>
        <v>0</v>
      </c>
      <c r="AV484">
        <f>VLOOKUP(Table29[[#This Row],[Shortname]], Comp[], 27, FALSE)</f>
        <v>0</v>
      </c>
      <c r="AW484">
        <f>VLOOKUP(Table29[[#This Row],[Shortname]], Comp[], 28, FALSE)</f>
        <v>0</v>
      </c>
      <c r="AX484">
        <f>VLOOKUP(Table29[[#This Row],[Shortname]], Comp[], 29, FALSE)</f>
        <v>0</v>
      </c>
      <c r="AY484">
        <f>VLOOKUP(Table29[[#This Row],[Shortname]], Comp[], 30, FALSE)</f>
        <v>0</v>
      </c>
      <c r="AZ484">
        <f>VLOOKUP(Table29[[#This Row],[Shortname]], Comp[], 31, FALSE)</f>
        <v>0</v>
      </c>
    </row>
    <row r="485" spans="1:52" x14ac:dyDescent="0.3">
      <c r="A485" t="s">
        <v>6181</v>
      </c>
      <c r="F485" t="s">
        <v>6182</v>
      </c>
      <c r="G485" t="s">
        <v>6157</v>
      </c>
      <c r="H485">
        <v>500</v>
      </c>
      <c r="I485">
        <v>2.0153E-6</v>
      </c>
      <c r="J485">
        <f>0.01/Table29[[#This Row],[Strain Rate (min) /s]]</f>
        <v>4962.0403910087825</v>
      </c>
      <c r="K485">
        <f>LOG(Table29[[#This Row],[Time to 1% strain (s)]])</f>
        <v>3.6956602951076611</v>
      </c>
      <c r="L485">
        <v>850</v>
      </c>
      <c r="P485" t="s">
        <v>7210</v>
      </c>
      <c r="Q485">
        <v>1250</v>
      </c>
      <c r="R485">
        <v>25</v>
      </c>
      <c r="S485">
        <v>900</v>
      </c>
      <c r="T485">
        <v>50</v>
      </c>
      <c r="W485">
        <v>1</v>
      </c>
      <c r="X485">
        <v>10</v>
      </c>
      <c r="Y485">
        <v>70</v>
      </c>
      <c r="AA485">
        <f>VLOOKUP(Table29[[#This Row],[Shortname]], Comp[], 6, FALSE)</f>
        <v>1016</v>
      </c>
      <c r="AB485" s="14">
        <f>VLOOKUP(Table29[[#This Row],[Shortname]], Comp[], 7, FALSE)</f>
        <v>48.018000000000001</v>
      </c>
      <c r="AC485">
        <f>VLOOKUP(Table29[[#This Row],[Shortname]], Comp[], 8, FALSE)</f>
        <v>31.2</v>
      </c>
      <c r="AD485">
        <f>VLOOKUP(Table29[[#This Row],[Shortname]], Comp[], 9, FALSE)</f>
        <v>10.4</v>
      </c>
      <c r="AE485">
        <f>VLOOKUP(Table29[[#This Row],[Shortname]], Comp[], 10, FALSE)</f>
        <v>0</v>
      </c>
      <c r="AF485">
        <f>VLOOKUP(Table29[[#This Row],[Shortname]], Comp[], 11, FALSE)</f>
        <v>0</v>
      </c>
      <c r="AG485">
        <f>VLOOKUP(Table29[[#This Row],[Shortname]], Comp[],12, FALSE)</f>
        <v>2.1</v>
      </c>
      <c r="AH485">
        <f>VLOOKUP(Table29[[#This Row],[Shortname]], Comp[], 13, FALSE)</f>
        <v>2.2000000000000002</v>
      </c>
      <c r="AI485">
        <f>VLOOKUP(Table29[[#This Row],[Shortname]], Comp[], 14, FALSE)</f>
        <v>0</v>
      </c>
      <c r="AJ485">
        <f>VLOOKUP(Table29[[#This Row],[Shortname]], Comp[], 15, FALSE)</f>
        <v>0</v>
      </c>
      <c r="AK485">
        <f>VLOOKUP(Table29[[#This Row],[Shortname]], Comp[], 16, FALSE)</f>
        <v>5.3</v>
      </c>
      <c r="AL485">
        <f>VLOOKUP(Table29[[#This Row],[Shortname]], Comp[], 17, FALSE)</f>
        <v>0</v>
      </c>
      <c r="AM485">
        <f>VLOOKUP(Table29[[#This Row],[Shortname]], Comp[], 18, FALSE)</f>
        <v>0</v>
      </c>
      <c r="AN485">
        <f>VLOOKUP(Table29[[#This Row],[Shortname]], Comp[], 19, FALSE)</f>
        <v>0.78200000000000003</v>
      </c>
      <c r="AO485">
        <f>VLOOKUP(Table29[[#This Row],[Shortname]], Comp[], 20, FALSE)</f>
        <v>0</v>
      </c>
      <c r="AP485">
        <f>VLOOKUP(Table29[[#This Row],[Shortname]], Comp[], 21, FALSE)</f>
        <v>0</v>
      </c>
      <c r="AQ485">
        <f>VLOOKUP(Table29[[#This Row],[Shortname]], Comp[], 22, FALSE)</f>
        <v>0</v>
      </c>
      <c r="AR485">
        <f>VLOOKUP(Table29[[#This Row],[Shortname]], Comp[], 23, FALSE)</f>
        <v>0</v>
      </c>
      <c r="AS485">
        <f>VLOOKUP(Table29[[#This Row],[Shortname]], Comp[], 24, FALSE)</f>
        <v>0</v>
      </c>
      <c r="AT485">
        <f>VLOOKUP(Table29[[#This Row],[Shortname]], Comp[], 25, FALSE)</f>
        <v>0</v>
      </c>
      <c r="AU485">
        <f>VLOOKUP(Table29[[#This Row],[Shortname]], Comp[], 26, FALSE)</f>
        <v>0</v>
      </c>
      <c r="AV485">
        <f>VLOOKUP(Table29[[#This Row],[Shortname]], Comp[], 27, FALSE)</f>
        <v>0</v>
      </c>
      <c r="AW485">
        <f>VLOOKUP(Table29[[#This Row],[Shortname]], Comp[], 28, FALSE)</f>
        <v>0</v>
      </c>
      <c r="AX485">
        <f>VLOOKUP(Table29[[#This Row],[Shortname]], Comp[], 29, FALSE)</f>
        <v>0</v>
      </c>
      <c r="AY485">
        <f>VLOOKUP(Table29[[#This Row],[Shortname]], Comp[], 30, FALSE)</f>
        <v>0</v>
      </c>
      <c r="AZ485">
        <f>VLOOKUP(Table29[[#This Row],[Shortname]], Comp[], 31, FALSE)</f>
        <v>0</v>
      </c>
    </row>
    <row r="486" spans="1:52" x14ac:dyDescent="0.3">
      <c r="A486" t="s">
        <v>6186</v>
      </c>
      <c r="C486" t="s">
        <v>11</v>
      </c>
      <c r="F486" t="s">
        <v>6187</v>
      </c>
      <c r="G486" t="s">
        <v>6188</v>
      </c>
      <c r="H486">
        <v>200</v>
      </c>
      <c r="I486">
        <v>2.1972999999999998E-9</v>
      </c>
      <c r="J486">
        <f>0.01/Table29[[#This Row],[Strain Rate (min) /s]]</f>
        <v>4551039.9126200341</v>
      </c>
      <c r="K486">
        <f>LOG(Table29[[#This Row],[Time to 1% strain (s)]])</f>
        <v>6.658110644285701</v>
      </c>
      <c r="L486">
        <v>800</v>
      </c>
      <c r="M486">
        <v>3.1</v>
      </c>
      <c r="P486" t="s">
        <v>7211</v>
      </c>
      <c r="Q486">
        <v>1270</v>
      </c>
      <c r="R486">
        <v>25</v>
      </c>
      <c r="S486">
        <v>900</v>
      </c>
      <c r="T486">
        <v>50</v>
      </c>
      <c r="W486">
        <v>1</v>
      </c>
      <c r="X486">
        <v>10</v>
      </c>
      <c r="Y486">
        <v>74</v>
      </c>
      <c r="AA486">
        <f>VLOOKUP(Table29[[#This Row],[Shortname]], Comp[], 6, FALSE)</f>
        <v>1017</v>
      </c>
      <c r="AB486" s="14">
        <f>VLOOKUP(Table29[[#This Row],[Shortname]], Comp[], 7, FALSE)</f>
        <v>50.499999999999993</v>
      </c>
      <c r="AC486">
        <f>VLOOKUP(Table29[[#This Row],[Shortname]], Comp[], 8, FALSE)</f>
        <v>30.1</v>
      </c>
      <c r="AD486">
        <f>VLOOKUP(Table29[[#This Row],[Shortname]], Comp[], 9, FALSE)</f>
        <v>9.1</v>
      </c>
      <c r="AE486">
        <f>VLOOKUP(Table29[[#This Row],[Shortname]], Comp[], 10, FALSE)</f>
        <v>0</v>
      </c>
      <c r="AF486">
        <f>VLOOKUP(Table29[[#This Row],[Shortname]], Comp[], 11, FALSE)</f>
        <v>0</v>
      </c>
      <c r="AG486">
        <f>VLOOKUP(Table29[[#This Row],[Shortname]], Comp[],12, FALSE)</f>
        <v>2.2000000000000002</v>
      </c>
      <c r="AH486">
        <f>VLOOKUP(Table29[[#This Row],[Shortname]], Comp[], 13, FALSE)</f>
        <v>2.5</v>
      </c>
      <c r="AI486">
        <f>VLOOKUP(Table29[[#This Row],[Shortname]], Comp[], 14, FALSE)</f>
        <v>0</v>
      </c>
      <c r="AJ486">
        <f>VLOOKUP(Table29[[#This Row],[Shortname]], Comp[], 15, FALSE)</f>
        <v>0</v>
      </c>
      <c r="AK486">
        <f>VLOOKUP(Table29[[#This Row],[Shortname]], Comp[], 16, FALSE)</f>
        <v>5.2</v>
      </c>
      <c r="AL486">
        <f>VLOOKUP(Table29[[#This Row],[Shortname]], Comp[], 17, FALSE)</f>
        <v>0.4</v>
      </c>
      <c r="AM486">
        <f>VLOOKUP(Table29[[#This Row],[Shortname]], Comp[], 18, FALSE)</f>
        <v>0</v>
      </c>
      <c r="AN486">
        <f>VLOOKUP(Table29[[#This Row],[Shortname]], Comp[], 19, FALSE)</f>
        <v>0</v>
      </c>
      <c r="AO486">
        <f>VLOOKUP(Table29[[#This Row],[Shortname]], Comp[], 20, FALSE)</f>
        <v>0</v>
      </c>
      <c r="AP486">
        <f>VLOOKUP(Table29[[#This Row],[Shortname]], Comp[], 21, FALSE)</f>
        <v>0</v>
      </c>
      <c r="AQ486">
        <f>VLOOKUP(Table29[[#This Row],[Shortname]], Comp[], 22, FALSE)</f>
        <v>0</v>
      </c>
      <c r="AR486">
        <f>VLOOKUP(Table29[[#This Row],[Shortname]], Comp[], 23, FALSE)</f>
        <v>0</v>
      </c>
      <c r="AS486">
        <f>VLOOKUP(Table29[[#This Row],[Shortname]], Comp[], 24, FALSE)</f>
        <v>0</v>
      </c>
      <c r="AT486">
        <f>VLOOKUP(Table29[[#This Row],[Shortname]], Comp[], 25, FALSE)</f>
        <v>0</v>
      </c>
      <c r="AU486">
        <f>VLOOKUP(Table29[[#This Row],[Shortname]], Comp[], 26, FALSE)</f>
        <v>0</v>
      </c>
      <c r="AV486">
        <f>VLOOKUP(Table29[[#This Row],[Shortname]], Comp[], 27, FALSE)</f>
        <v>0</v>
      </c>
      <c r="AW486">
        <f>VLOOKUP(Table29[[#This Row],[Shortname]], Comp[], 28, FALSE)</f>
        <v>0</v>
      </c>
      <c r="AX486">
        <f>VLOOKUP(Table29[[#This Row],[Shortname]], Comp[], 29, FALSE)</f>
        <v>0</v>
      </c>
      <c r="AY486">
        <f>VLOOKUP(Table29[[#This Row],[Shortname]], Comp[], 30, FALSE)</f>
        <v>0</v>
      </c>
      <c r="AZ486">
        <f>VLOOKUP(Table29[[#This Row],[Shortname]], Comp[], 31, FALSE)</f>
        <v>0</v>
      </c>
    </row>
    <row r="487" spans="1:52" x14ac:dyDescent="0.3">
      <c r="A487" t="s">
        <v>6186</v>
      </c>
      <c r="C487" t="s">
        <v>11</v>
      </c>
      <c r="F487" t="s">
        <v>6187</v>
      </c>
      <c r="G487" t="s">
        <v>6188</v>
      </c>
      <c r="H487">
        <v>250</v>
      </c>
      <c r="I487">
        <v>4.9239000000000003E-9</v>
      </c>
      <c r="J487">
        <f>0.01/Table29[[#This Row],[Strain Rate (min) /s]]</f>
        <v>2030910.4571579439</v>
      </c>
      <c r="K487">
        <f>LOG(Table29[[#This Row],[Time to 1% strain (s)]])</f>
        <v>6.3076907757832057</v>
      </c>
      <c r="L487">
        <v>800</v>
      </c>
      <c r="M487">
        <v>3.1</v>
      </c>
      <c r="P487" t="s">
        <v>7211</v>
      </c>
      <c r="Q487">
        <v>1270</v>
      </c>
      <c r="R487">
        <v>25</v>
      </c>
      <c r="S487">
        <v>900</v>
      </c>
      <c r="T487">
        <v>50</v>
      </c>
      <c r="W487">
        <v>1</v>
      </c>
      <c r="X487">
        <v>10</v>
      </c>
      <c r="Y487">
        <v>74</v>
      </c>
      <c r="AA487">
        <f>VLOOKUP(Table29[[#This Row],[Shortname]], Comp[], 6, FALSE)</f>
        <v>1017</v>
      </c>
      <c r="AB487" s="14">
        <f>VLOOKUP(Table29[[#This Row],[Shortname]], Comp[], 7, FALSE)</f>
        <v>50.499999999999993</v>
      </c>
      <c r="AC487">
        <f>VLOOKUP(Table29[[#This Row],[Shortname]], Comp[], 8, FALSE)</f>
        <v>30.1</v>
      </c>
      <c r="AD487">
        <f>VLOOKUP(Table29[[#This Row],[Shortname]], Comp[], 9, FALSE)</f>
        <v>9.1</v>
      </c>
      <c r="AE487">
        <f>VLOOKUP(Table29[[#This Row],[Shortname]], Comp[], 10, FALSE)</f>
        <v>0</v>
      </c>
      <c r="AF487">
        <f>VLOOKUP(Table29[[#This Row],[Shortname]], Comp[], 11, FALSE)</f>
        <v>0</v>
      </c>
      <c r="AG487">
        <f>VLOOKUP(Table29[[#This Row],[Shortname]], Comp[],12, FALSE)</f>
        <v>2.2000000000000002</v>
      </c>
      <c r="AH487">
        <f>VLOOKUP(Table29[[#This Row],[Shortname]], Comp[], 13, FALSE)</f>
        <v>2.5</v>
      </c>
      <c r="AI487">
        <f>VLOOKUP(Table29[[#This Row],[Shortname]], Comp[], 14, FALSE)</f>
        <v>0</v>
      </c>
      <c r="AJ487">
        <f>VLOOKUP(Table29[[#This Row],[Shortname]], Comp[], 15, FALSE)</f>
        <v>0</v>
      </c>
      <c r="AK487">
        <f>VLOOKUP(Table29[[#This Row],[Shortname]], Comp[], 16, FALSE)</f>
        <v>5.2</v>
      </c>
      <c r="AL487">
        <f>VLOOKUP(Table29[[#This Row],[Shortname]], Comp[], 17, FALSE)</f>
        <v>0.4</v>
      </c>
      <c r="AM487">
        <f>VLOOKUP(Table29[[#This Row],[Shortname]], Comp[], 18, FALSE)</f>
        <v>0</v>
      </c>
      <c r="AN487">
        <f>VLOOKUP(Table29[[#This Row],[Shortname]], Comp[], 19, FALSE)</f>
        <v>0</v>
      </c>
      <c r="AO487">
        <f>VLOOKUP(Table29[[#This Row],[Shortname]], Comp[], 20, FALSE)</f>
        <v>0</v>
      </c>
      <c r="AP487">
        <f>VLOOKUP(Table29[[#This Row],[Shortname]], Comp[], 21, FALSE)</f>
        <v>0</v>
      </c>
      <c r="AQ487">
        <f>VLOOKUP(Table29[[#This Row],[Shortname]], Comp[], 22, FALSE)</f>
        <v>0</v>
      </c>
      <c r="AR487">
        <f>VLOOKUP(Table29[[#This Row],[Shortname]], Comp[], 23, FALSE)</f>
        <v>0</v>
      </c>
      <c r="AS487">
        <f>VLOOKUP(Table29[[#This Row],[Shortname]], Comp[], 24, FALSE)</f>
        <v>0</v>
      </c>
      <c r="AT487">
        <f>VLOOKUP(Table29[[#This Row],[Shortname]], Comp[], 25, FALSE)</f>
        <v>0</v>
      </c>
      <c r="AU487">
        <f>VLOOKUP(Table29[[#This Row],[Shortname]], Comp[], 26, FALSE)</f>
        <v>0</v>
      </c>
      <c r="AV487">
        <f>VLOOKUP(Table29[[#This Row],[Shortname]], Comp[], 27, FALSE)</f>
        <v>0</v>
      </c>
      <c r="AW487">
        <f>VLOOKUP(Table29[[#This Row],[Shortname]], Comp[], 28, FALSE)</f>
        <v>0</v>
      </c>
      <c r="AX487">
        <f>VLOOKUP(Table29[[#This Row],[Shortname]], Comp[], 29, FALSE)</f>
        <v>0</v>
      </c>
      <c r="AY487">
        <f>VLOOKUP(Table29[[#This Row],[Shortname]], Comp[], 30, FALSE)</f>
        <v>0</v>
      </c>
      <c r="AZ487">
        <f>VLOOKUP(Table29[[#This Row],[Shortname]], Comp[], 31, FALSE)</f>
        <v>0</v>
      </c>
    </row>
    <row r="488" spans="1:52" x14ac:dyDescent="0.3">
      <c r="A488" t="s">
        <v>6186</v>
      </c>
      <c r="C488" t="s">
        <v>11</v>
      </c>
      <c r="F488" t="s">
        <v>6187</v>
      </c>
      <c r="G488" t="s">
        <v>6188</v>
      </c>
      <c r="H488">
        <v>300</v>
      </c>
      <c r="I488">
        <v>7.7426000000000001E-9</v>
      </c>
      <c r="J488">
        <f>0.01/Table29[[#This Row],[Strain Rate (min) /s]]</f>
        <v>1291555.8081264691</v>
      </c>
      <c r="K488">
        <f>LOG(Table29[[#This Row],[Time to 1% strain (s)]])</f>
        <v>6.1111131767793472</v>
      </c>
      <c r="L488">
        <v>800</v>
      </c>
      <c r="M488">
        <v>3.1</v>
      </c>
      <c r="P488" t="s">
        <v>7211</v>
      </c>
      <c r="Q488">
        <v>1270</v>
      </c>
      <c r="R488">
        <v>25</v>
      </c>
      <c r="S488">
        <v>900</v>
      </c>
      <c r="T488">
        <v>50</v>
      </c>
      <c r="W488">
        <v>1</v>
      </c>
      <c r="X488">
        <v>10</v>
      </c>
      <c r="Y488">
        <v>74</v>
      </c>
      <c r="AA488">
        <f>VLOOKUP(Table29[[#This Row],[Shortname]], Comp[], 6, FALSE)</f>
        <v>1017</v>
      </c>
      <c r="AB488" s="14">
        <f>VLOOKUP(Table29[[#This Row],[Shortname]], Comp[], 7, FALSE)</f>
        <v>50.499999999999993</v>
      </c>
      <c r="AC488">
        <f>VLOOKUP(Table29[[#This Row],[Shortname]], Comp[], 8, FALSE)</f>
        <v>30.1</v>
      </c>
      <c r="AD488">
        <f>VLOOKUP(Table29[[#This Row],[Shortname]], Comp[], 9, FALSE)</f>
        <v>9.1</v>
      </c>
      <c r="AE488">
        <f>VLOOKUP(Table29[[#This Row],[Shortname]], Comp[], 10, FALSE)</f>
        <v>0</v>
      </c>
      <c r="AF488">
        <f>VLOOKUP(Table29[[#This Row],[Shortname]], Comp[], 11, FALSE)</f>
        <v>0</v>
      </c>
      <c r="AG488">
        <f>VLOOKUP(Table29[[#This Row],[Shortname]], Comp[],12, FALSE)</f>
        <v>2.2000000000000002</v>
      </c>
      <c r="AH488">
        <f>VLOOKUP(Table29[[#This Row],[Shortname]], Comp[], 13, FALSE)</f>
        <v>2.5</v>
      </c>
      <c r="AI488">
        <f>VLOOKUP(Table29[[#This Row],[Shortname]], Comp[], 14, FALSE)</f>
        <v>0</v>
      </c>
      <c r="AJ488">
        <f>VLOOKUP(Table29[[#This Row],[Shortname]], Comp[], 15, FALSE)</f>
        <v>0</v>
      </c>
      <c r="AK488">
        <f>VLOOKUP(Table29[[#This Row],[Shortname]], Comp[], 16, FALSE)</f>
        <v>5.2</v>
      </c>
      <c r="AL488">
        <f>VLOOKUP(Table29[[#This Row],[Shortname]], Comp[], 17, FALSE)</f>
        <v>0.4</v>
      </c>
      <c r="AM488">
        <f>VLOOKUP(Table29[[#This Row],[Shortname]], Comp[], 18, FALSE)</f>
        <v>0</v>
      </c>
      <c r="AN488">
        <f>VLOOKUP(Table29[[#This Row],[Shortname]], Comp[], 19, FALSE)</f>
        <v>0</v>
      </c>
      <c r="AO488">
        <f>VLOOKUP(Table29[[#This Row],[Shortname]], Comp[], 20, FALSE)</f>
        <v>0</v>
      </c>
      <c r="AP488">
        <f>VLOOKUP(Table29[[#This Row],[Shortname]], Comp[], 21, FALSE)</f>
        <v>0</v>
      </c>
      <c r="AQ488">
        <f>VLOOKUP(Table29[[#This Row],[Shortname]], Comp[], 22, FALSE)</f>
        <v>0</v>
      </c>
      <c r="AR488">
        <f>VLOOKUP(Table29[[#This Row],[Shortname]], Comp[], 23, FALSE)</f>
        <v>0</v>
      </c>
      <c r="AS488">
        <f>VLOOKUP(Table29[[#This Row],[Shortname]], Comp[], 24, FALSE)</f>
        <v>0</v>
      </c>
      <c r="AT488">
        <f>VLOOKUP(Table29[[#This Row],[Shortname]], Comp[], 25, FALSE)</f>
        <v>0</v>
      </c>
      <c r="AU488">
        <f>VLOOKUP(Table29[[#This Row],[Shortname]], Comp[], 26, FALSE)</f>
        <v>0</v>
      </c>
      <c r="AV488">
        <f>VLOOKUP(Table29[[#This Row],[Shortname]], Comp[], 27, FALSE)</f>
        <v>0</v>
      </c>
      <c r="AW488">
        <f>VLOOKUP(Table29[[#This Row],[Shortname]], Comp[], 28, FALSE)</f>
        <v>0</v>
      </c>
      <c r="AX488">
        <f>VLOOKUP(Table29[[#This Row],[Shortname]], Comp[], 29, FALSE)</f>
        <v>0</v>
      </c>
      <c r="AY488">
        <f>VLOOKUP(Table29[[#This Row],[Shortname]], Comp[], 30, FALSE)</f>
        <v>0</v>
      </c>
      <c r="AZ488">
        <f>VLOOKUP(Table29[[#This Row],[Shortname]], Comp[], 31, FALSE)</f>
        <v>0</v>
      </c>
    </row>
    <row r="489" spans="1:52" x14ac:dyDescent="0.3">
      <c r="A489" t="s">
        <v>6186</v>
      </c>
      <c r="C489" t="s">
        <v>11</v>
      </c>
      <c r="F489" t="s">
        <v>6187</v>
      </c>
      <c r="G489" t="s">
        <v>6188</v>
      </c>
      <c r="H489">
        <v>400</v>
      </c>
      <c r="I489">
        <v>2.1124000000000001E-8</v>
      </c>
      <c r="J489">
        <f>0.01/Table29[[#This Row],[Strain Rate (min) /s]]</f>
        <v>473395.19030486647</v>
      </c>
      <c r="K489">
        <f>LOG(Table29[[#This Row],[Time to 1% strain (s)]])</f>
        <v>5.6752238411835432</v>
      </c>
      <c r="L489">
        <v>800</v>
      </c>
      <c r="M489">
        <v>3.1</v>
      </c>
      <c r="P489" t="s">
        <v>7211</v>
      </c>
      <c r="Q489">
        <v>1270</v>
      </c>
      <c r="R489">
        <v>25</v>
      </c>
      <c r="S489">
        <v>900</v>
      </c>
      <c r="T489">
        <v>50</v>
      </c>
      <c r="W489">
        <v>1</v>
      </c>
      <c r="X489">
        <v>10</v>
      </c>
      <c r="Y489">
        <v>74</v>
      </c>
      <c r="AA489">
        <f>VLOOKUP(Table29[[#This Row],[Shortname]], Comp[], 6, FALSE)</f>
        <v>1017</v>
      </c>
      <c r="AB489" s="14">
        <f>VLOOKUP(Table29[[#This Row],[Shortname]], Comp[], 7, FALSE)</f>
        <v>50.499999999999993</v>
      </c>
      <c r="AC489">
        <f>VLOOKUP(Table29[[#This Row],[Shortname]], Comp[], 8, FALSE)</f>
        <v>30.1</v>
      </c>
      <c r="AD489">
        <f>VLOOKUP(Table29[[#This Row],[Shortname]], Comp[], 9, FALSE)</f>
        <v>9.1</v>
      </c>
      <c r="AE489">
        <f>VLOOKUP(Table29[[#This Row],[Shortname]], Comp[], 10, FALSE)</f>
        <v>0</v>
      </c>
      <c r="AF489">
        <f>VLOOKUP(Table29[[#This Row],[Shortname]], Comp[], 11, FALSE)</f>
        <v>0</v>
      </c>
      <c r="AG489">
        <f>VLOOKUP(Table29[[#This Row],[Shortname]], Comp[],12, FALSE)</f>
        <v>2.2000000000000002</v>
      </c>
      <c r="AH489">
        <f>VLOOKUP(Table29[[#This Row],[Shortname]], Comp[], 13, FALSE)</f>
        <v>2.5</v>
      </c>
      <c r="AI489">
        <f>VLOOKUP(Table29[[#This Row],[Shortname]], Comp[], 14, FALSE)</f>
        <v>0</v>
      </c>
      <c r="AJ489">
        <f>VLOOKUP(Table29[[#This Row],[Shortname]], Comp[], 15, FALSE)</f>
        <v>0</v>
      </c>
      <c r="AK489">
        <f>VLOOKUP(Table29[[#This Row],[Shortname]], Comp[], 16, FALSE)</f>
        <v>5.2</v>
      </c>
      <c r="AL489">
        <f>VLOOKUP(Table29[[#This Row],[Shortname]], Comp[], 17, FALSE)</f>
        <v>0.4</v>
      </c>
      <c r="AM489">
        <f>VLOOKUP(Table29[[#This Row],[Shortname]], Comp[], 18, FALSE)</f>
        <v>0</v>
      </c>
      <c r="AN489">
        <f>VLOOKUP(Table29[[#This Row],[Shortname]], Comp[], 19, FALSE)</f>
        <v>0</v>
      </c>
      <c r="AO489">
        <f>VLOOKUP(Table29[[#This Row],[Shortname]], Comp[], 20, FALSE)</f>
        <v>0</v>
      </c>
      <c r="AP489">
        <f>VLOOKUP(Table29[[#This Row],[Shortname]], Comp[], 21, FALSE)</f>
        <v>0</v>
      </c>
      <c r="AQ489">
        <f>VLOOKUP(Table29[[#This Row],[Shortname]], Comp[], 22, FALSE)</f>
        <v>0</v>
      </c>
      <c r="AR489">
        <f>VLOOKUP(Table29[[#This Row],[Shortname]], Comp[], 23, FALSE)</f>
        <v>0</v>
      </c>
      <c r="AS489">
        <f>VLOOKUP(Table29[[#This Row],[Shortname]], Comp[], 24, FALSE)</f>
        <v>0</v>
      </c>
      <c r="AT489">
        <f>VLOOKUP(Table29[[#This Row],[Shortname]], Comp[], 25, FALSE)</f>
        <v>0</v>
      </c>
      <c r="AU489">
        <f>VLOOKUP(Table29[[#This Row],[Shortname]], Comp[], 26, FALSE)</f>
        <v>0</v>
      </c>
      <c r="AV489">
        <f>VLOOKUP(Table29[[#This Row],[Shortname]], Comp[], 27, FALSE)</f>
        <v>0</v>
      </c>
      <c r="AW489">
        <f>VLOOKUP(Table29[[#This Row],[Shortname]], Comp[], 28, FALSE)</f>
        <v>0</v>
      </c>
      <c r="AX489">
        <f>VLOOKUP(Table29[[#This Row],[Shortname]], Comp[], 29, FALSE)</f>
        <v>0</v>
      </c>
      <c r="AY489">
        <f>VLOOKUP(Table29[[#This Row],[Shortname]], Comp[], 30, FALSE)</f>
        <v>0</v>
      </c>
      <c r="AZ489">
        <f>VLOOKUP(Table29[[#This Row],[Shortname]], Comp[], 31, FALSE)</f>
        <v>0</v>
      </c>
    </row>
    <row r="490" spans="1:52" x14ac:dyDescent="0.3">
      <c r="A490" t="s">
        <v>6186</v>
      </c>
      <c r="C490" t="s">
        <v>11</v>
      </c>
      <c r="F490" t="s">
        <v>6187</v>
      </c>
      <c r="G490" t="s">
        <v>6188</v>
      </c>
      <c r="H490">
        <v>450</v>
      </c>
      <c r="I490">
        <v>4.7337999999999997E-8</v>
      </c>
      <c r="J490">
        <f>0.01/Table29[[#This Row],[Strain Rate (min) /s]]</f>
        <v>211246.77848662809</v>
      </c>
      <c r="K490">
        <f>LOG(Table29[[#This Row],[Time to 1% strain (s)]])</f>
        <v>5.3247900946813811</v>
      </c>
      <c r="L490">
        <v>800</v>
      </c>
      <c r="M490">
        <v>6.8</v>
      </c>
      <c r="P490" t="s">
        <v>7211</v>
      </c>
      <c r="Q490">
        <v>1270</v>
      </c>
      <c r="R490">
        <v>25</v>
      </c>
      <c r="S490">
        <v>900</v>
      </c>
      <c r="T490">
        <v>50</v>
      </c>
      <c r="W490">
        <v>1</v>
      </c>
      <c r="X490">
        <v>10</v>
      </c>
      <c r="Y490">
        <v>74</v>
      </c>
      <c r="AA490">
        <f>VLOOKUP(Table29[[#This Row],[Shortname]], Comp[], 6, FALSE)</f>
        <v>1017</v>
      </c>
      <c r="AB490" s="14">
        <f>VLOOKUP(Table29[[#This Row],[Shortname]], Comp[], 7, FALSE)</f>
        <v>50.499999999999993</v>
      </c>
      <c r="AC490">
        <f>VLOOKUP(Table29[[#This Row],[Shortname]], Comp[], 8, FALSE)</f>
        <v>30.1</v>
      </c>
      <c r="AD490">
        <f>VLOOKUP(Table29[[#This Row],[Shortname]], Comp[], 9, FALSE)</f>
        <v>9.1</v>
      </c>
      <c r="AE490">
        <f>VLOOKUP(Table29[[#This Row],[Shortname]], Comp[], 10, FALSE)</f>
        <v>0</v>
      </c>
      <c r="AF490">
        <f>VLOOKUP(Table29[[#This Row],[Shortname]], Comp[], 11, FALSE)</f>
        <v>0</v>
      </c>
      <c r="AG490">
        <f>VLOOKUP(Table29[[#This Row],[Shortname]], Comp[],12, FALSE)</f>
        <v>2.2000000000000002</v>
      </c>
      <c r="AH490">
        <f>VLOOKUP(Table29[[#This Row],[Shortname]], Comp[], 13, FALSE)</f>
        <v>2.5</v>
      </c>
      <c r="AI490">
        <f>VLOOKUP(Table29[[#This Row],[Shortname]], Comp[], 14, FALSE)</f>
        <v>0</v>
      </c>
      <c r="AJ490">
        <f>VLOOKUP(Table29[[#This Row],[Shortname]], Comp[], 15, FALSE)</f>
        <v>0</v>
      </c>
      <c r="AK490">
        <f>VLOOKUP(Table29[[#This Row],[Shortname]], Comp[], 16, FALSE)</f>
        <v>5.2</v>
      </c>
      <c r="AL490">
        <f>VLOOKUP(Table29[[#This Row],[Shortname]], Comp[], 17, FALSE)</f>
        <v>0.4</v>
      </c>
      <c r="AM490">
        <f>VLOOKUP(Table29[[#This Row],[Shortname]], Comp[], 18, FALSE)</f>
        <v>0</v>
      </c>
      <c r="AN490">
        <f>VLOOKUP(Table29[[#This Row],[Shortname]], Comp[], 19, FALSE)</f>
        <v>0</v>
      </c>
      <c r="AO490">
        <f>VLOOKUP(Table29[[#This Row],[Shortname]], Comp[], 20, FALSE)</f>
        <v>0</v>
      </c>
      <c r="AP490">
        <f>VLOOKUP(Table29[[#This Row],[Shortname]], Comp[], 21, FALSE)</f>
        <v>0</v>
      </c>
      <c r="AQ490">
        <f>VLOOKUP(Table29[[#This Row],[Shortname]], Comp[], 22, FALSE)</f>
        <v>0</v>
      </c>
      <c r="AR490">
        <f>VLOOKUP(Table29[[#This Row],[Shortname]], Comp[], 23, FALSE)</f>
        <v>0</v>
      </c>
      <c r="AS490">
        <f>VLOOKUP(Table29[[#This Row],[Shortname]], Comp[], 24, FALSE)</f>
        <v>0</v>
      </c>
      <c r="AT490">
        <f>VLOOKUP(Table29[[#This Row],[Shortname]], Comp[], 25, FALSE)</f>
        <v>0</v>
      </c>
      <c r="AU490">
        <f>VLOOKUP(Table29[[#This Row],[Shortname]], Comp[], 26, FALSE)</f>
        <v>0</v>
      </c>
      <c r="AV490">
        <f>VLOOKUP(Table29[[#This Row],[Shortname]], Comp[], 27, FALSE)</f>
        <v>0</v>
      </c>
      <c r="AW490">
        <f>VLOOKUP(Table29[[#This Row],[Shortname]], Comp[], 28, FALSE)</f>
        <v>0</v>
      </c>
      <c r="AX490">
        <f>VLOOKUP(Table29[[#This Row],[Shortname]], Comp[], 29, FALSE)</f>
        <v>0</v>
      </c>
      <c r="AY490">
        <f>VLOOKUP(Table29[[#This Row],[Shortname]], Comp[], 30, FALSE)</f>
        <v>0</v>
      </c>
      <c r="AZ490">
        <f>VLOOKUP(Table29[[#This Row],[Shortname]], Comp[], 31, FALSE)</f>
        <v>0</v>
      </c>
    </row>
    <row r="491" spans="1:52" x14ac:dyDescent="0.3">
      <c r="A491" t="s">
        <v>6186</v>
      </c>
      <c r="C491" t="s">
        <v>11</v>
      </c>
      <c r="F491" t="s">
        <v>6187</v>
      </c>
      <c r="G491" t="s">
        <v>6188</v>
      </c>
      <c r="H491">
        <v>500</v>
      </c>
      <c r="I491">
        <v>9.6139999999999999E-8</v>
      </c>
      <c r="J491">
        <f>0.01/Table29[[#This Row],[Strain Rate (min) /s]]</f>
        <v>104014.97815685459</v>
      </c>
      <c r="K491">
        <f>LOG(Table29[[#This Row],[Time to 1% strain (s)]])</f>
        <v>5.0170958822073723</v>
      </c>
      <c r="L491">
        <v>800</v>
      </c>
      <c r="M491">
        <v>6.8</v>
      </c>
      <c r="P491" t="s">
        <v>7211</v>
      </c>
      <c r="Q491">
        <v>1270</v>
      </c>
      <c r="R491">
        <v>25</v>
      </c>
      <c r="S491">
        <v>900</v>
      </c>
      <c r="T491">
        <v>50</v>
      </c>
      <c r="W491">
        <v>1</v>
      </c>
      <c r="X491">
        <v>10</v>
      </c>
      <c r="Y491">
        <v>74</v>
      </c>
      <c r="AA491">
        <f>VLOOKUP(Table29[[#This Row],[Shortname]], Comp[], 6, FALSE)</f>
        <v>1017</v>
      </c>
      <c r="AB491" s="14">
        <f>VLOOKUP(Table29[[#This Row],[Shortname]], Comp[], 7, FALSE)</f>
        <v>50.499999999999993</v>
      </c>
      <c r="AC491">
        <f>VLOOKUP(Table29[[#This Row],[Shortname]], Comp[], 8, FALSE)</f>
        <v>30.1</v>
      </c>
      <c r="AD491">
        <f>VLOOKUP(Table29[[#This Row],[Shortname]], Comp[], 9, FALSE)</f>
        <v>9.1</v>
      </c>
      <c r="AE491">
        <f>VLOOKUP(Table29[[#This Row],[Shortname]], Comp[], 10, FALSE)</f>
        <v>0</v>
      </c>
      <c r="AF491">
        <f>VLOOKUP(Table29[[#This Row],[Shortname]], Comp[], 11, FALSE)</f>
        <v>0</v>
      </c>
      <c r="AG491">
        <f>VLOOKUP(Table29[[#This Row],[Shortname]], Comp[],12, FALSE)</f>
        <v>2.2000000000000002</v>
      </c>
      <c r="AH491">
        <f>VLOOKUP(Table29[[#This Row],[Shortname]], Comp[], 13, FALSE)</f>
        <v>2.5</v>
      </c>
      <c r="AI491">
        <f>VLOOKUP(Table29[[#This Row],[Shortname]], Comp[], 14, FALSE)</f>
        <v>0</v>
      </c>
      <c r="AJ491">
        <f>VLOOKUP(Table29[[#This Row],[Shortname]], Comp[], 15, FALSE)</f>
        <v>0</v>
      </c>
      <c r="AK491">
        <f>VLOOKUP(Table29[[#This Row],[Shortname]], Comp[], 16, FALSE)</f>
        <v>5.2</v>
      </c>
      <c r="AL491">
        <f>VLOOKUP(Table29[[#This Row],[Shortname]], Comp[], 17, FALSE)</f>
        <v>0.4</v>
      </c>
      <c r="AM491">
        <f>VLOOKUP(Table29[[#This Row],[Shortname]], Comp[], 18, FALSE)</f>
        <v>0</v>
      </c>
      <c r="AN491">
        <f>VLOOKUP(Table29[[#This Row],[Shortname]], Comp[], 19, FALSE)</f>
        <v>0</v>
      </c>
      <c r="AO491">
        <f>VLOOKUP(Table29[[#This Row],[Shortname]], Comp[], 20, FALSE)</f>
        <v>0</v>
      </c>
      <c r="AP491">
        <f>VLOOKUP(Table29[[#This Row],[Shortname]], Comp[], 21, FALSE)</f>
        <v>0</v>
      </c>
      <c r="AQ491">
        <f>VLOOKUP(Table29[[#This Row],[Shortname]], Comp[], 22, FALSE)</f>
        <v>0</v>
      </c>
      <c r="AR491">
        <f>VLOOKUP(Table29[[#This Row],[Shortname]], Comp[], 23, FALSE)</f>
        <v>0</v>
      </c>
      <c r="AS491">
        <f>VLOOKUP(Table29[[#This Row],[Shortname]], Comp[], 24, FALSE)</f>
        <v>0</v>
      </c>
      <c r="AT491">
        <f>VLOOKUP(Table29[[#This Row],[Shortname]], Comp[], 25, FALSE)</f>
        <v>0</v>
      </c>
      <c r="AU491">
        <f>VLOOKUP(Table29[[#This Row],[Shortname]], Comp[], 26, FALSE)</f>
        <v>0</v>
      </c>
      <c r="AV491">
        <f>VLOOKUP(Table29[[#This Row],[Shortname]], Comp[], 27, FALSE)</f>
        <v>0</v>
      </c>
      <c r="AW491">
        <f>VLOOKUP(Table29[[#This Row],[Shortname]], Comp[], 28, FALSE)</f>
        <v>0</v>
      </c>
      <c r="AX491">
        <f>VLOOKUP(Table29[[#This Row],[Shortname]], Comp[], 29, FALSE)</f>
        <v>0</v>
      </c>
      <c r="AY491">
        <f>VLOOKUP(Table29[[#This Row],[Shortname]], Comp[], 30, FALSE)</f>
        <v>0</v>
      </c>
      <c r="AZ491">
        <f>VLOOKUP(Table29[[#This Row],[Shortname]], Comp[], 31, FALSE)</f>
        <v>0</v>
      </c>
    </row>
    <row r="492" spans="1:52" x14ac:dyDescent="0.3">
      <c r="A492" t="s">
        <v>6186</v>
      </c>
      <c r="C492" t="s">
        <v>11</v>
      </c>
      <c r="F492" t="s">
        <v>6187</v>
      </c>
      <c r="G492" t="s">
        <v>6188</v>
      </c>
      <c r="H492">
        <v>200</v>
      </c>
      <c r="I492">
        <v>1.6356000000000001E-8</v>
      </c>
      <c r="J492">
        <f>0.01/Table29[[#This Row],[Strain Rate (min) /s]]</f>
        <v>611396.42944485205</v>
      </c>
      <c r="K492">
        <f>LOG(Table29[[#This Row],[Time to 1% strain (s)]])</f>
        <v>5.7863228981177013</v>
      </c>
      <c r="L492">
        <v>850</v>
      </c>
      <c r="M492">
        <v>2.2999999999999998</v>
      </c>
      <c r="P492" t="s">
        <v>7212</v>
      </c>
      <c r="Q492">
        <v>1270</v>
      </c>
      <c r="R492">
        <v>25</v>
      </c>
      <c r="S492">
        <v>900</v>
      </c>
      <c r="T492">
        <v>50</v>
      </c>
      <c r="W492">
        <v>1</v>
      </c>
      <c r="X492">
        <v>10</v>
      </c>
      <c r="Y492">
        <v>74</v>
      </c>
      <c r="AA492">
        <f>VLOOKUP(Table29[[#This Row],[Shortname]], Comp[], 6, FALSE)</f>
        <v>1017</v>
      </c>
      <c r="AB492" s="14">
        <f>VLOOKUP(Table29[[#This Row],[Shortname]], Comp[], 7, FALSE)</f>
        <v>50.499999999999993</v>
      </c>
      <c r="AC492">
        <f>VLOOKUP(Table29[[#This Row],[Shortname]], Comp[], 8, FALSE)</f>
        <v>30.1</v>
      </c>
      <c r="AD492">
        <f>VLOOKUP(Table29[[#This Row],[Shortname]], Comp[], 9, FALSE)</f>
        <v>9.1</v>
      </c>
      <c r="AE492">
        <f>VLOOKUP(Table29[[#This Row],[Shortname]], Comp[], 10, FALSE)</f>
        <v>0</v>
      </c>
      <c r="AF492">
        <f>VLOOKUP(Table29[[#This Row],[Shortname]], Comp[], 11, FALSE)</f>
        <v>0</v>
      </c>
      <c r="AG492">
        <f>VLOOKUP(Table29[[#This Row],[Shortname]], Comp[],12, FALSE)</f>
        <v>2.2000000000000002</v>
      </c>
      <c r="AH492">
        <f>VLOOKUP(Table29[[#This Row],[Shortname]], Comp[], 13, FALSE)</f>
        <v>2.5</v>
      </c>
      <c r="AI492">
        <f>VLOOKUP(Table29[[#This Row],[Shortname]], Comp[], 14, FALSE)</f>
        <v>0</v>
      </c>
      <c r="AJ492">
        <f>VLOOKUP(Table29[[#This Row],[Shortname]], Comp[], 15, FALSE)</f>
        <v>0</v>
      </c>
      <c r="AK492">
        <f>VLOOKUP(Table29[[#This Row],[Shortname]], Comp[], 16, FALSE)</f>
        <v>5.2</v>
      </c>
      <c r="AL492">
        <f>VLOOKUP(Table29[[#This Row],[Shortname]], Comp[], 17, FALSE)</f>
        <v>0.4</v>
      </c>
      <c r="AM492">
        <f>VLOOKUP(Table29[[#This Row],[Shortname]], Comp[], 18, FALSE)</f>
        <v>0</v>
      </c>
      <c r="AN492">
        <f>VLOOKUP(Table29[[#This Row],[Shortname]], Comp[], 19, FALSE)</f>
        <v>0</v>
      </c>
      <c r="AO492">
        <f>VLOOKUP(Table29[[#This Row],[Shortname]], Comp[], 20, FALSE)</f>
        <v>0</v>
      </c>
      <c r="AP492">
        <f>VLOOKUP(Table29[[#This Row],[Shortname]], Comp[], 21, FALSE)</f>
        <v>0</v>
      </c>
      <c r="AQ492">
        <f>VLOOKUP(Table29[[#This Row],[Shortname]], Comp[], 22, FALSE)</f>
        <v>0</v>
      </c>
      <c r="AR492">
        <f>VLOOKUP(Table29[[#This Row],[Shortname]], Comp[], 23, FALSE)</f>
        <v>0</v>
      </c>
      <c r="AS492">
        <f>VLOOKUP(Table29[[#This Row],[Shortname]], Comp[], 24, FALSE)</f>
        <v>0</v>
      </c>
      <c r="AT492">
        <f>VLOOKUP(Table29[[#This Row],[Shortname]], Comp[], 25, FALSE)</f>
        <v>0</v>
      </c>
      <c r="AU492">
        <f>VLOOKUP(Table29[[#This Row],[Shortname]], Comp[], 26, FALSE)</f>
        <v>0</v>
      </c>
      <c r="AV492">
        <f>VLOOKUP(Table29[[#This Row],[Shortname]], Comp[], 27, FALSE)</f>
        <v>0</v>
      </c>
      <c r="AW492">
        <f>VLOOKUP(Table29[[#This Row],[Shortname]], Comp[], 28, FALSE)</f>
        <v>0</v>
      </c>
      <c r="AX492">
        <f>VLOOKUP(Table29[[#This Row],[Shortname]], Comp[], 29, FALSE)</f>
        <v>0</v>
      </c>
      <c r="AY492">
        <f>VLOOKUP(Table29[[#This Row],[Shortname]], Comp[], 30, FALSE)</f>
        <v>0</v>
      </c>
      <c r="AZ492">
        <f>VLOOKUP(Table29[[#This Row],[Shortname]], Comp[], 31, FALSE)</f>
        <v>0</v>
      </c>
    </row>
    <row r="493" spans="1:52" x14ac:dyDescent="0.3">
      <c r="A493" t="s">
        <v>6186</v>
      </c>
      <c r="C493" t="s">
        <v>11</v>
      </c>
      <c r="F493" t="s">
        <v>6187</v>
      </c>
      <c r="G493" t="s">
        <v>6188</v>
      </c>
      <c r="H493">
        <v>250</v>
      </c>
      <c r="I493">
        <v>3.6294000000000001E-8</v>
      </c>
      <c r="J493">
        <f>0.01/Table29[[#This Row],[Strain Rate (min) /s]]</f>
        <v>275527.63542183279</v>
      </c>
      <c r="K493">
        <f>LOG(Table29[[#This Row],[Time to 1% strain (s)]])</f>
        <v>5.4401651651090059</v>
      </c>
      <c r="L493">
        <v>850</v>
      </c>
      <c r="M493">
        <v>2.2999999999999998</v>
      </c>
      <c r="P493" t="s">
        <v>7212</v>
      </c>
      <c r="Q493">
        <v>1270</v>
      </c>
      <c r="R493">
        <v>25</v>
      </c>
      <c r="S493">
        <v>900</v>
      </c>
      <c r="T493">
        <v>50</v>
      </c>
      <c r="W493">
        <v>1</v>
      </c>
      <c r="X493">
        <v>10</v>
      </c>
      <c r="Y493">
        <v>74</v>
      </c>
      <c r="AA493">
        <f>VLOOKUP(Table29[[#This Row],[Shortname]], Comp[], 6, FALSE)</f>
        <v>1017</v>
      </c>
      <c r="AB493" s="14">
        <f>VLOOKUP(Table29[[#This Row],[Shortname]], Comp[], 7, FALSE)</f>
        <v>50.499999999999993</v>
      </c>
      <c r="AC493">
        <f>VLOOKUP(Table29[[#This Row],[Shortname]], Comp[], 8, FALSE)</f>
        <v>30.1</v>
      </c>
      <c r="AD493">
        <f>VLOOKUP(Table29[[#This Row],[Shortname]], Comp[], 9, FALSE)</f>
        <v>9.1</v>
      </c>
      <c r="AE493">
        <f>VLOOKUP(Table29[[#This Row],[Shortname]], Comp[], 10, FALSE)</f>
        <v>0</v>
      </c>
      <c r="AF493">
        <f>VLOOKUP(Table29[[#This Row],[Shortname]], Comp[], 11, FALSE)</f>
        <v>0</v>
      </c>
      <c r="AG493">
        <f>VLOOKUP(Table29[[#This Row],[Shortname]], Comp[],12, FALSE)</f>
        <v>2.2000000000000002</v>
      </c>
      <c r="AH493">
        <f>VLOOKUP(Table29[[#This Row],[Shortname]], Comp[], 13, FALSE)</f>
        <v>2.5</v>
      </c>
      <c r="AI493">
        <f>VLOOKUP(Table29[[#This Row],[Shortname]], Comp[], 14, FALSE)</f>
        <v>0</v>
      </c>
      <c r="AJ493">
        <f>VLOOKUP(Table29[[#This Row],[Shortname]], Comp[], 15, FALSE)</f>
        <v>0</v>
      </c>
      <c r="AK493">
        <f>VLOOKUP(Table29[[#This Row],[Shortname]], Comp[], 16, FALSE)</f>
        <v>5.2</v>
      </c>
      <c r="AL493">
        <f>VLOOKUP(Table29[[#This Row],[Shortname]], Comp[], 17, FALSE)</f>
        <v>0.4</v>
      </c>
      <c r="AM493">
        <f>VLOOKUP(Table29[[#This Row],[Shortname]], Comp[], 18, FALSE)</f>
        <v>0</v>
      </c>
      <c r="AN493">
        <f>VLOOKUP(Table29[[#This Row],[Shortname]], Comp[], 19, FALSE)</f>
        <v>0</v>
      </c>
      <c r="AO493">
        <f>VLOOKUP(Table29[[#This Row],[Shortname]], Comp[], 20, FALSE)</f>
        <v>0</v>
      </c>
      <c r="AP493">
        <f>VLOOKUP(Table29[[#This Row],[Shortname]], Comp[], 21, FALSE)</f>
        <v>0</v>
      </c>
      <c r="AQ493">
        <f>VLOOKUP(Table29[[#This Row],[Shortname]], Comp[], 22, FALSE)</f>
        <v>0</v>
      </c>
      <c r="AR493">
        <f>VLOOKUP(Table29[[#This Row],[Shortname]], Comp[], 23, FALSE)</f>
        <v>0</v>
      </c>
      <c r="AS493">
        <f>VLOOKUP(Table29[[#This Row],[Shortname]], Comp[], 24, FALSE)</f>
        <v>0</v>
      </c>
      <c r="AT493">
        <f>VLOOKUP(Table29[[#This Row],[Shortname]], Comp[], 25, FALSE)</f>
        <v>0</v>
      </c>
      <c r="AU493">
        <f>VLOOKUP(Table29[[#This Row],[Shortname]], Comp[], 26, FALSE)</f>
        <v>0</v>
      </c>
      <c r="AV493">
        <f>VLOOKUP(Table29[[#This Row],[Shortname]], Comp[], 27, FALSE)</f>
        <v>0</v>
      </c>
      <c r="AW493">
        <f>VLOOKUP(Table29[[#This Row],[Shortname]], Comp[], 28, FALSE)</f>
        <v>0</v>
      </c>
      <c r="AX493">
        <f>VLOOKUP(Table29[[#This Row],[Shortname]], Comp[], 29, FALSE)</f>
        <v>0</v>
      </c>
      <c r="AY493">
        <f>VLOOKUP(Table29[[#This Row],[Shortname]], Comp[], 30, FALSE)</f>
        <v>0</v>
      </c>
      <c r="AZ493">
        <f>VLOOKUP(Table29[[#This Row],[Shortname]], Comp[], 31, FALSE)</f>
        <v>0</v>
      </c>
    </row>
    <row r="494" spans="1:52" x14ac:dyDescent="0.3">
      <c r="A494" t="s">
        <v>6186</v>
      </c>
      <c r="C494" t="s">
        <v>11</v>
      </c>
      <c r="F494" t="s">
        <v>6187</v>
      </c>
      <c r="G494" t="s">
        <v>6188</v>
      </c>
      <c r="H494">
        <v>300</v>
      </c>
      <c r="I494">
        <v>4.0046E-8</v>
      </c>
      <c r="J494">
        <f>0.01/Table29[[#This Row],[Strain Rate (min) /s]]</f>
        <v>249712.83024521801</v>
      </c>
      <c r="K494">
        <f>LOG(Table29[[#This Row],[Time to 1% strain (s)]])</f>
        <v>5.3974408569750958</v>
      </c>
      <c r="L494">
        <v>850</v>
      </c>
      <c r="M494">
        <v>2.2999999999999998</v>
      </c>
      <c r="P494" t="s">
        <v>7212</v>
      </c>
      <c r="Q494">
        <v>1270</v>
      </c>
      <c r="R494">
        <v>25</v>
      </c>
      <c r="S494">
        <v>900</v>
      </c>
      <c r="T494">
        <v>50</v>
      </c>
      <c r="W494">
        <v>1</v>
      </c>
      <c r="X494">
        <v>10</v>
      </c>
      <c r="Y494">
        <v>74</v>
      </c>
      <c r="AA494">
        <f>VLOOKUP(Table29[[#This Row],[Shortname]], Comp[], 6, FALSE)</f>
        <v>1017</v>
      </c>
      <c r="AB494" s="14">
        <f>VLOOKUP(Table29[[#This Row],[Shortname]], Comp[], 7, FALSE)</f>
        <v>50.499999999999993</v>
      </c>
      <c r="AC494">
        <f>VLOOKUP(Table29[[#This Row],[Shortname]], Comp[], 8, FALSE)</f>
        <v>30.1</v>
      </c>
      <c r="AD494">
        <f>VLOOKUP(Table29[[#This Row],[Shortname]], Comp[], 9, FALSE)</f>
        <v>9.1</v>
      </c>
      <c r="AE494">
        <f>VLOOKUP(Table29[[#This Row],[Shortname]], Comp[], 10, FALSE)</f>
        <v>0</v>
      </c>
      <c r="AF494">
        <f>VLOOKUP(Table29[[#This Row],[Shortname]], Comp[], 11, FALSE)</f>
        <v>0</v>
      </c>
      <c r="AG494">
        <f>VLOOKUP(Table29[[#This Row],[Shortname]], Comp[],12, FALSE)</f>
        <v>2.2000000000000002</v>
      </c>
      <c r="AH494">
        <f>VLOOKUP(Table29[[#This Row],[Shortname]], Comp[], 13, FALSE)</f>
        <v>2.5</v>
      </c>
      <c r="AI494">
        <f>VLOOKUP(Table29[[#This Row],[Shortname]], Comp[], 14, FALSE)</f>
        <v>0</v>
      </c>
      <c r="AJ494">
        <f>VLOOKUP(Table29[[#This Row],[Shortname]], Comp[], 15, FALSE)</f>
        <v>0</v>
      </c>
      <c r="AK494">
        <f>VLOOKUP(Table29[[#This Row],[Shortname]], Comp[], 16, FALSE)</f>
        <v>5.2</v>
      </c>
      <c r="AL494">
        <f>VLOOKUP(Table29[[#This Row],[Shortname]], Comp[], 17, FALSE)</f>
        <v>0.4</v>
      </c>
      <c r="AM494">
        <f>VLOOKUP(Table29[[#This Row],[Shortname]], Comp[], 18, FALSE)</f>
        <v>0</v>
      </c>
      <c r="AN494">
        <f>VLOOKUP(Table29[[#This Row],[Shortname]], Comp[], 19, FALSE)</f>
        <v>0</v>
      </c>
      <c r="AO494">
        <f>VLOOKUP(Table29[[#This Row],[Shortname]], Comp[], 20, FALSE)</f>
        <v>0</v>
      </c>
      <c r="AP494">
        <f>VLOOKUP(Table29[[#This Row],[Shortname]], Comp[], 21, FALSE)</f>
        <v>0</v>
      </c>
      <c r="AQ494">
        <f>VLOOKUP(Table29[[#This Row],[Shortname]], Comp[], 22, FALSE)</f>
        <v>0</v>
      </c>
      <c r="AR494">
        <f>VLOOKUP(Table29[[#This Row],[Shortname]], Comp[], 23, FALSE)</f>
        <v>0</v>
      </c>
      <c r="AS494">
        <f>VLOOKUP(Table29[[#This Row],[Shortname]], Comp[], 24, FALSE)</f>
        <v>0</v>
      </c>
      <c r="AT494">
        <f>VLOOKUP(Table29[[#This Row],[Shortname]], Comp[], 25, FALSE)</f>
        <v>0</v>
      </c>
      <c r="AU494">
        <f>VLOOKUP(Table29[[#This Row],[Shortname]], Comp[], 26, FALSE)</f>
        <v>0</v>
      </c>
      <c r="AV494">
        <f>VLOOKUP(Table29[[#This Row],[Shortname]], Comp[], 27, FALSE)</f>
        <v>0</v>
      </c>
      <c r="AW494">
        <f>VLOOKUP(Table29[[#This Row],[Shortname]], Comp[], 28, FALSE)</f>
        <v>0</v>
      </c>
      <c r="AX494">
        <f>VLOOKUP(Table29[[#This Row],[Shortname]], Comp[], 29, FALSE)</f>
        <v>0</v>
      </c>
      <c r="AY494">
        <f>VLOOKUP(Table29[[#This Row],[Shortname]], Comp[], 30, FALSE)</f>
        <v>0</v>
      </c>
      <c r="AZ494">
        <f>VLOOKUP(Table29[[#This Row],[Shortname]], Comp[], 31, FALSE)</f>
        <v>0</v>
      </c>
    </row>
    <row r="495" spans="1:52" x14ac:dyDescent="0.3">
      <c r="A495" t="s">
        <v>6186</v>
      </c>
      <c r="C495" t="s">
        <v>11</v>
      </c>
      <c r="F495" t="s">
        <v>6187</v>
      </c>
      <c r="G495" t="s">
        <v>6188</v>
      </c>
      <c r="H495">
        <v>400</v>
      </c>
      <c r="I495">
        <v>2.1757000000000001E-7</v>
      </c>
      <c r="J495">
        <f>0.01/Table29[[#This Row],[Strain Rate (min) /s]]</f>
        <v>45962.219055936017</v>
      </c>
      <c r="K495">
        <f>LOG(Table29[[#This Row],[Time to 1% strain (s)]])</f>
        <v>4.6624009882600115</v>
      </c>
      <c r="L495">
        <v>850</v>
      </c>
      <c r="M495">
        <v>7.4</v>
      </c>
      <c r="P495" t="s">
        <v>7212</v>
      </c>
      <c r="Q495">
        <v>1270</v>
      </c>
      <c r="R495">
        <v>25</v>
      </c>
      <c r="S495">
        <v>900</v>
      </c>
      <c r="T495">
        <v>50</v>
      </c>
      <c r="W495">
        <v>1</v>
      </c>
      <c r="X495">
        <v>10</v>
      </c>
      <c r="Y495">
        <v>74</v>
      </c>
      <c r="AA495">
        <f>VLOOKUP(Table29[[#This Row],[Shortname]], Comp[], 6, FALSE)</f>
        <v>1017</v>
      </c>
      <c r="AB495" s="14">
        <f>VLOOKUP(Table29[[#This Row],[Shortname]], Comp[], 7, FALSE)</f>
        <v>50.499999999999993</v>
      </c>
      <c r="AC495">
        <f>VLOOKUP(Table29[[#This Row],[Shortname]], Comp[], 8, FALSE)</f>
        <v>30.1</v>
      </c>
      <c r="AD495">
        <f>VLOOKUP(Table29[[#This Row],[Shortname]], Comp[], 9, FALSE)</f>
        <v>9.1</v>
      </c>
      <c r="AE495">
        <f>VLOOKUP(Table29[[#This Row],[Shortname]], Comp[], 10, FALSE)</f>
        <v>0</v>
      </c>
      <c r="AF495">
        <f>VLOOKUP(Table29[[#This Row],[Shortname]], Comp[], 11, FALSE)</f>
        <v>0</v>
      </c>
      <c r="AG495">
        <f>VLOOKUP(Table29[[#This Row],[Shortname]], Comp[],12, FALSE)</f>
        <v>2.2000000000000002</v>
      </c>
      <c r="AH495">
        <f>VLOOKUP(Table29[[#This Row],[Shortname]], Comp[], 13, FALSE)</f>
        <v>2.5</v>
      </c>
      <c r="AI495">
        <f>VLOOKUP(Table29[[#This Row],[Shortname]], Comp[], 14, FALSE)</f>
        <v>0</v>
      </c>
      <c r="AJ495">
        <f>VLOOKUP(Table29[[#This Row],[Shortname]], Comp[], 15, FALSE)</f>
        <v>0</v>
      </c>
      <c r="AK495">
        <f>VLOOKUP(Table29[[#This Row],[Shortname]], Comp[], 16, FALSE)</f>
        <v>5.2</v>
      </c>
      <c r="AL495">
        <f>VLOOKUP(Table29[[#This Row],[Shortname]], Comp[], 17, FALSE)</f>
        <v>0.4</v>
      </c>
      <c r="AM495">
        <f>VLOOKUP(Table29[[#This Row],[Shortname]], Comp[], 18, FALSE)</f>
        <v>0</v>
      </c>
      <c r="AN495">
        <f>VLOOKUP(Table29[[#This Row],[Shortname]], Comp[], 19, FALSE)</f>
        <v>0</v>
      </c>
      <c r="AO495">
        <f>VLOOKUP(Table29[[#This Row],[Shortname]], Comp[], 20, FALSE)</f>
        <v>0</v>
      </c>
      <c r="AP495">
        <f>VLOOKUP(Table29[[#This Row],[Shortname]], Comp[], 21, FALSE)</f>
        <v>0</v>
      </c>
      <c r="AQ495">
        <f>VLOOKUP(Table29[[#This Row],[Shortname]], Comp[], 22, FALSE)</f>
        <v>0</v>
      </c>
      <c r="AR495">
        <f>VLOOKUP(Table29[[#This Row],[Shortname]], Comp[], 23, FALSE)</f>
        <v>0</v>
      </c>
      <c r="AS495">
        <f>VLOOKUP(Table29[[#This Row],[Shortname]], Comp[], 24, FALSE)</f>
        <v>0</v>
      </c>
      <c r="AT495">
        <f>VLOOKUP(Table29[[#This Row],[Shortname]], Comp[], 25, FALSE)</f>
        <v>0</v>
      </c>
      <c r="AU495">
        <f>VLOOKUP(Table29[[#This Row],[Shortname]], Comp[], 26, FALSE)</f>
        <v>0</v>
      </c>
      <c r="AV495">
        <f>VLOOKUP(Table29[[#This Row],[Shortname]], Comp[], 27, FALSE)</f>
        <v>0</v>
      </c>
      <c r="AW495">
        <f>VLOOKUP(Table29[[#This Row],[Shortname]], Comp[], 28, FALSE)</f>
        <v>0</v>
      </c>
      <c r="AX495">
        <f>VLOOKUP(Table29[[#This Row],[Shortname]], Comp[], 29, FALSE)</f>
        <v>0</v>
      </c>
      <c r="AY495">
        <f>VLOOKUP(Table29[[#This Row],[Shortname]], Comp[], 30, FALSE)</f>
        <v>0</v>
      </c>
      <c r="AZ495">
        <f>VLOOKUP(Table29[[#This Row],[Shortname]], Comp[], 31, FALSE)</f>
        <v>0</v>
      </c>
    </row>
    <row r="496" spans="1:52" x14ac:dyDescent="0.3">
      <c r="A496" t="s">
        <v>6186</v>
      </c>
      <c r="C496" t="s">
        <v>11</v>
      </c>
      <c r="F496" t="s">
        <v>6187</v>
      </c>
      <c r="G496" t="s">
        <v>6188</v>
      </c>
      <c r="H496">
        <v>500</v>
      </c>
      <c r="I496">
        <v>1.6037E-6</v>
      </c>
      <c r="J496">
        <f>0.01/Table29[[#This Row],[Strain Rate (min) /s]]</f>
        <v>6235.58022073954</v>
      </c>
      <c r="K496">
        <f>LOG(Table29[[#This Row],[Time to 1% strain (s)]])</f>
        <v>3.7948768707963456</v>
      </c>
      <c r="L496">
        <v>850</v>
      </c>
      <c r="M496">
        <v>7.4</v>
      </c>
      <c r="P496" t="s">
        <v>7212</v>
      </c>
      <c r="Q496">
        <v>1270</v>
      </c>
      <c r="R496">
        <v>25</v>
      </c>
      <c r="S496">
        <v>900</v>
      </c>
      <c r="T496">
        <v>50</v>
      </c>
      <c r="W496">
        <v>1</v>
      </c>
      <c r="X496">
        <v>10</v>
      </c>
      <c r="Y496">
        <v>74</v>
      </c>
      <c r="AA496">
        <f>VLOOKUP(Table29[[#This Row],[Shortname]], Comp[], 6, FALSE)</f>
        <v>1017</v>
      </c>
      <c r="AB496" s="14">
        <f>VLOOKUP(Table29[[#This Row],[Shortname]], Comp[], 7, FALSE)</f>
        <v>50.499999999999993</v>
      </c>
      <c r="AC496">
        <f>VLOOKUP(Table29[[#This Row],[Shortname]], Comp[], 8, FALSE)</f>
        <v>30.1</v>
      </c>
      <c r="AD496">
        <f>VLOOKUP(Table29[[#This Row],[Shortname]], Comp[], 9, FALSE)</f>
        <v>9.1</v>
      </c>
      <c r="AE496">
        <f>VLOOKUP(Table29[[#This Row],[Shortname]], Comp[], 10, FALSE)</f>
        <v>0</v>
      </c>
      <c r="AF496">
        <f>VLOOKUP(Table29[[#This Row],[Shortname]], Comp[], 11, FALSE)</f>
        <v>0</v>
      </c>
      <c r="AG496">
        <f>VLOOKUP(Table29[[#This Row],[Shortname]], Comp[],12, FALSE)</f>
        <v>2.2000000000000002</v>
      </c>
      <c r="AH496">
        <f>VLOOKUP(Table29[[#This Row],[Shortname]], Comp[], 13, FALSE)</f>
        <v>2.5</v>
      </c>
      <c r="AI496">
        <f>VLOOKUP(Table29[[#This Row],[Shortname]], Comp[], 14, FALSE)</f>
        <v>0</v>
      </c>
      <c r="AJ496">
        <f>VLOOKUP(Table29[[#This Row],[Shortname]], Comp[], 15, FALSE)</f>
        <v>0</v>
      </c>
      <c r="AK496">
        <f>VLOOKUP(Table29[[#This Row],[Shortname]], Comp[], 16, FALSE)</f>
        <v>5.2</v>
      </c>
      <c r="AL496">
        <f>VLOOKUP(Table29[[#This Row],[Shortname]], Comp[], 17, FALSE)</f>
        <v>0.4</v>
      </c>
      <c r="AM496">
        <f>VLOOKUP(Table29[[#This Row],[Shortname]], Comp[], 18, FALSE)</f>
        <v>0</v>
      </c>
      <c r="AN496">
        <f>VLOOKUP(Table29[[#This Row],[Shortname]], Comp[], 19, FALSE)</f>
        <v>0</v>
      </c>
      <c r="AO496">
        <f>VLOOKUP(Table29[[#This Row],[Shortname]], Comp[], 20, FALSE)</f>
        <v>0</v>
      </c>
      <c r="AP496">
        <f>VLOOKUP(Table29[[#This Row],[Shortname]], Comp[], 21, FALSE)</f>
        <v>0</v>
      </c>
      <c r="AQ496">
        <f>VLOOKUP(Table29[[#This Row],[Shortname]], Comp[], 22, FALSE)</f>
        <v>0</v>
      </c>
      <c r="AR496">
        <f>VLOOKUP(Table29[[#This Row],[Shortname]], Comp[], 23, FALSE)</f>
        <v>0</v>
      </c>
      <c r="AS496">
        <f>VLOOKUP(Table29[[#This Row],[Shortname]], Comp[], 24, FALSE)</f>
        <v>0</v>
      </c>
      <c r="AT496">
        <f>VLOOKUP(Table29[[#This Row],[Shortname]], Comp[], 25, FALSE)</f>
        <v>0</v>
      </c>
      <c r="AU496">
        <f>VLOOKUP(Table29[[#This Row],[Shortname]], Comp[], 26, FALSE)</f>
        <v>0</v>
      </c>
      <c r="AV496">
        <f>VLOOKUP(Table29[[#This Row],[Shortname]], Comp[], 27, FALSE)</f>
        <v>0</v>
      </c>
      <c r="AW496">
        <f>VLOOKUP(Table29[[#This Row],[Shortname]], Comp[], 28, FALSE)</f>
        <v>0</v>
      </c>
      <c r="AX496">
        <f>VLOOKUP(Table29[[#This Row],[Shortname]], Comp[], 29, FALSE)</f>
        <v>0</v>
      </c>
      <c r="AY496">
        <f>VLOOKUP(Table29[[#This Row],[Shortname]], Comp[], 30, FALSE)</f>
        <v>0</v>
      </c>
      <c r="AZ496">
        <f>VLOOKUP(Table29[[#This Row],[Shortname]], Comp[], 31, FALSE)</f>
        <v>0</v>
      </c>
    </row>
    <row r="497" spans="1:52" x14ac:dyDescent="0.3">
      <c r="A497" t="s">
        <v>6186</v>
      </c>
      <c r="C497" t="s">
        <v>11</v>
      </c>
      <c r="F497" t="s">
        <v>6187</v>
      </c>
      <c r="G497" t="s">
        <v>6188</v>
      </c>
      <c r="H497">
        <v>200</v>
      </c>
      <c r="I497">
        <v>6.4857999999999998E-8</v>
      </c>
      <c r="J497">
        <f>0.01/Table29[[#This Row],[Strain Rate (min) /s]]</f>
        <v>154182.98436584539</v>
      </c>
      <c r="K497">
        <f>LOG(Table29[[#This Row],[Time to 1% strain (s)]])</f>
        <v>5.188036447620429</v>
      </c>
      <c r="L497">
        <v>900</v>
      </c>
      <c r="M497">
        <v>3.2</v>
      </c>
      <c r="P497" t="s">
        <v>7213</v>
      </c>
      <c r="Q497">
        <v>1270</v>
      </c>
      <c r="R497">
        <v>25</v>
      </c>
      <c r="S497">
        <v>900</v>
      </c>
      <c r="T497">
        <v>50</v>
      </c>
      <c r="W497">
        <v>1</v>
      </c>
      <c r="X497">
        <v>10</v>
      </c>
      <c r="Y497">
        <v>74</v>
      </c>
      <c r="AA497">
        <f>VLOOKUP(Table29[[#This Row],[Shortname]], Comp[], 6, FALSE)</f>
        <v>1017</v>
      </c>
      <c r="AB497" s="14">
        <f>VLOOKUP(Table29[[#This Row],[Shortname]], Comp[], 7, FALSE)</f>
        <v>50.499999999999993</v>
      </c>
      <c r="AC497">
        <f>VLOOKUP(Table29[[#This Row],[Shortname]], Comp[], 8, FALSE)</f>
        <v>30.1</v>
      </c>
      <c r="AD497">
        <f>VLOOKUP(Table29[[#This Row],[Shortname]], Comp[], 9, FALSE)</f>
        <v>9.1</v>
      </c>
      <c r="AE497">
        <f>VLOOKUP(Table29[[#This Row],[Shortname]], Comp[], 10, FALSE)</f>
        <v>0</v>
      </c>
      <c r="AF497">
        <f>VLOOKUP(Table29[[#This Row],[Shortname]], Comp[], 11, FALSE)</f>
        <v>0</v>
      </c>
      <c r="AG497">
        <f>VLOOKUP(Table29[[#This Row],[Shortname]], Comp[],12, FALSE)</f>
        <v>2.2000000000000002</v>
      </c>
      <c r="AH497">
        <f>VLOOKUP(Table29[[#This Row],[Shortname]], Comp[], 13, FALSE)</f>
        <v>2.5</v>
      </c>
      <c r="AI497">
        <f>VLOOKUP(Table29[[#This Row],[Shortname]], Comp[], 14, FALSE)</f>
        <v>0</v>
      </c>
      <c r="AJ497">
        <f>VLOOKUP(Table29[[#This Row],[Shortname]], Comp[], 15, FALSE)</f>
        <v>0</v>
      </c>
      <c r="AK497">
        <f>VLOOKUP(Table29[[#This Row],[Shortname]], Comp[], 16, FALSE)</f>
        <v>5.2</v>
      </c>
      <c r="AL497">
        <f>VLOOKUP(Table29[[#This Row],[Shortname]], Comp[], 17, FALSE)</f>
        <v>0.4</v>
      </c>
      <c r="AM497">
        <f>VLOOKUP(Table29[[#This Row],[Shortname]], Comp[], 18, FALSE)</f>
        <v>0</v>
      </c>
      <c r="AN497">
        <f>VLOOKUP(Table29[[#This Row],[Shortname]], Comp[], 19, FALSE)</f>
        <v>0</v>
      </c>
      <c r="AO497">
        <f>VLOOKUP(Table29[[#This Row],[Shortname]], Comp[], 20, FALSE)</f>
        <v>0</v>
      </c>
      <c r="AP497">
        <f>VLOOKUP(Table29[[#This Row],[Shortname]], Comp[], 21, FALSE)</f>
        <v>0</v>
      </c>
      <c r="AQ497">
        <f>VLOOKUP(Table29[[#This Row],[Shortname]], Comp[], 22, FALSE)</f>
        <v>0</v>
      </c>
      <c r="AR497">
        <f>VLOOKUP(Table29[[#This Row],[Shortname]], Comp[], 23, FALSE)</f>
        <v>0</v>
      </c>
      <c r="AS497">
        <f>VLOOKUP(Table29[[#This Row],[Shortname]], Comp[], 24, FALSE)</f>
        <v>0</v>
      </c>
      <c r="AT497">
        <f>VLOOKUP(Table29[[#This Row],[Shortname]], Comp[], 25, FALSE)</f>
        <v>0</v>
      </c>
      <c r="AU497">
        <f>VLOOKUP(Table29[[#This Row],[Shortname]], Comp[], 26, FALSE)</f>
        <v>0</v>
      </c>
      <c r="AV497">
        <f>VLOOKUP(Table29[[#This Row],[Shortname]], Comp[], 27, FALSE)</f>
        <v>0</v>
      </c>
      <c r="AW497">
        <f>VLOOKUP(Table29[[#This Row],[Shortname]], Comp[], 28, FALSE)</f>
        <v>0</v>
      </c>
      <c r="AX497">
        <f>VLOOKUP(Table29[[#This Row],[Shortname]], Comp[], 29, FALSE)</f>
        <v>0</v>
      </c>
      <c r="AY497">
        <f>VLOOKUP(Table29[[#This Row],[Shortname]], Comp[], 30, FALSE)</f>
        <v>0</v>
      </c>
      <c r="AZ497">
        <f>VLOOKUP(Table29[[#This Row],[Shortname]], Comp[], 31, FALSE)</f>
        <v>0</v>
      </c>
    </row>
    <row r="498" spans="1:52" x14ac:dyDescent="0.3">
      <c r="A498" t="s">
        <v>6186</v>
      </c>
      <c r="C498" t="s">
        <v>11</v>
      </c>
      <c r="F498" t="s">
        <v>6187</v>
      </c>
      <c r="G498" t="s">
        <v>6188</v>
      </c>
      <c r="H498">
        <v>225</v>
      </c>
      <c r="I498">
        <v>9.2430000000000001E-8</v>
      </c>
      <c r="J498">
        <f>0.01/Table29[[#This Row],[Strain Rate (min) /s]]</f>
        <v>108189.98160770313</v>
      </c>
      <c r="K498">
        <f>LOG(Table29[[#This Row],[Time to 1% strain (s)]])</f>
        <v>5.0341870469633969</v>
      </c>
      <c r="L498">
        <v>900</v>
      </c>
      <c r="M498">
        <v>3.2</v>
      </c>
      <c r="P498" t="s">
        <v>7213</v>
      </c>
      <c r="Q498">
        <v>1270</v>
      </c>
      <c r="R498">
        <v>25</v>
      </c>
      <c r="S498">
        <v>900</v>
      </c>
      <c r="T498">
        <v>50</v>
      </c>
      <c r="W498">
        <v>1</v>
      </c>
      <c r="X498">
        <v>10</v>
      </c>
      <c r="Y498">
        <v>74</v>
      </c>
      <c r="AA498">
        <f>VLOOKUP(Table29[[#This Row],[Shortname]], Comp[], 6, FALSE)</f>
        <v>1017</v>
      </c>
      <c r="AB498" s="14">
        <f>VLOOKUP(Table29[[#This Row],[Shortname]], Comp[], 7, FALSE)</f>
        <v>50.499999999999993</v>
      </c>
      <c r="AC498">
        <f>VLOOKUP(Table29[[#This Row],[Shortname]], Comp[], 8, FALSE)</f>
        <v>30.1</v>
      </c>
      <c r="AD498">
        <f>VLOOKUP(Table29[[#This Row],[Shortname]], Comp[], 9, FALSE)</f>
        <v>9.1</v>
      </c>
      <c r="AE498">
        <f>VLOOKUP(Table29[[#This Row],[Shortname]], Comp[], 10, FALSE)</f>
        <v>0</v>
      </c>
      <c r="AF498">
        <f>VLOOKUP(Table29[[#This Row],[Shortname]], Comp[], 11, FALSE)</f>
        <v>0</v>
      </c>
      <c r="AG498">
        <f>VLOOKUP(Table29[[#This Row],[Shortname]], Comp[],12, FALSE)</f>
        <v>2.2000000000000002</v>
      </c>
      <c r="AH498">
        <f>VLOOKUP(Table29[[#This Row],[Shortname]], Comp[], 13, FALSE)</f>
        <v>2.5</v>
      </c>
      <c r="AI498">
        <f>VLOOKUP(Table29[[#This Row],[Shortname]], Comp[], 14, FALSE)</f>
        <v>0</v>
      </c>
      <c r="AJ498">
        <f>VLOOKUP(Table29[[#This Row],[Shortname]], Comp[], 15, FALSE)</f>
        <v>0</v>
      </c>
      <c r="AK498">
        <f>VLOOKUP(Table29[[#This Row],[Shortname]], Comp[], 16, FALSE)</f>
        <v>5.2</v>
      </c>
      <c r="AL498">
        <f>VLOOKUP(Table29[[#This Row],[Shortname]], Comp[], 17, FALSE)</f>
        <v>0.4</v>
      </c>
      <c r="AM498">
        <f>VLOOKUP(Table29[[#This Row],[Shortname]], Comp[], 18, FALSE)</f>
        <v>0</v>
      </c>
      <c r="AN498">
        <f>VLOOKUP(Table29[[#This Row],[Shortname]], Comp[], 19, FALSE)</f>
        <v>0</v>
      </c>
      <c r="AO498">
        <f>VLOOKUP(Table29[[#This Row],[Shortname]], Comp[], 20, FALSE)</f>
        <v>0</v>
      </c>
      <c r="AP498">
        <f>VLOOKUP(Table29[[#This Row],[Shortname]], Comp[], 21, FALSE)</f>
        <v>0</v>
      </c>
      <c r="AQ498">
        <f>VLOOKUP(Table29[[#This Row],[Shortname]], Comp[], 22, FALSE)</f>
        <v>0</v>
      </c>
      <c r="AR498">
        <f>VLOOKUP(Table29[[#This Row],[Shortname]], Comp[], 23, FALSE)</f>
        <v>0</v>
      </c>
      <c r="AS498">
        <f>VLOOKUP(Table29[[#This Row],[Shortname]], Comp[], 24, FALSE)</f>
        <v>0</v>
      </c>
      <c r="AT498">
        <f>VLOOKUP(Table29[[#This Row],[Shortname]], Comp[], 25, FALSE)</f>
        <v>0</v>
      </c>
      <c r="AU498">
        <f>VLOOKUP(Table29[[#This Row],[Shortname]], Comp[], 26, FALSE)</f>
        <v>0</v>
      </c>
      <c r="AV498">
        <f>VLOOKUP(Table29[[#This Row],[Shortname]], Comp[], 27, FALSE)</f>
        <v>0</v>
      </c>
      <c r="AW498">
        <f>VLOOKUP(Table29[[#This Row],[Shortname]], Comp[], 28, FALSE)</f>
        <v>0</v>
      </c>
      <c r="AX498">
        <f>VLOOKUP(Table29[[#This Row],[Shortname]], Comp[], 29, FALSE)</f>
        <v>0</v>
      </c>
      <c r="AY498">
        <f>VLOOKUP(Table29[[#This Row],[Shortname]], Comp[], 30, FALSE)</f>
        <v>0</v>
      </c>
      <c r="AZ498">
        <f>VLOOKUP(Table29[[#This Row],[Shortname]], Comp[], 31, FALSE)</f>
        <v>0</v>
      </c>
    </row>
    <row r="499" spans="1:52" x14ac:dyDescent="0.3">
      <c r="A499" t="s">
        <v>6186</v>
      </c>
      <c r="C499" t="s">
        <v>11</v>
      </c>
      <c r="F499" t="s">
        <v>6187</v>
      </c>
      <c r="G499" t="s">
        <v>6188</v>
      </c>
      <c r="H499">
        <v>250</v>
      </c>
      <c r="I499">
        <v>1.3171999999999999E-7</v>
      </c>
      <c r="J499">
        <f>0.01/Table29[[#This Row],[Strain Rate (min) /s]]</f>
        <v>75918.615244457949</v>
      </c>
      <c r="K499">
        <f>LOG(Table29[[#This Row],[Time to 1% strain (s)]])</f>
        <v>4.8803482779601302</v>
      </c>
      <c r="L499">
        <v>900</v>
      </c>
      <c r="M499">
        <v>3.2</v>
      </c>
      <c r="P499" t="s">
        <v>7213</v>
      </c>
      <c r="Q499">
        <v>1270</v>
      </c>
      <c r="R499">
        <v>25</v>
      </c>
      <c r="S499">
        <v>900</v>
      </c>
      <c r="T499">
        <v>50</v>
      </c>
      <c r="W499">
        <v>1</v>
      </c>
      <c r="X499">
        <v>10</v>
      </c>
      <c r="Y499">
        <v>74</v>
      </c>
      <c r="AA499">
        <f>VLOOKUP(Table29[[#This Row],[Shortname]], Comp[], 6, FALSE)</f>
        <v>1017</v>
      </c>
      <c r="AB499" s="14">
        <f>VLOOKUP(Table29[[#This Row],[Shortname]], Comp[], 7, FALSE)</f>
        <v>50.499999999999993</v>
      </c>
      <c r="AC499">
        <f>VLOOKUP(Table29[[#This Row],[Shortname]], Comp[], 8, FALSE)</f>
        <v>30.1</v>
      </c>
      <c r="AD499">
        <f>VLOOKUP(Table29[[#This Row],[Shortname]], Comp[], 9, FALSE)</f>
        <v>9.1</v>
      </c>
      <c r="AE499">
        <f>VLOOKUP(Table29[[#This Row],[Shortname]], Comp[], 10, FALSE)</f>
        <v>0</v>
      </c>
      <c r="AF499">
        <f>VLOOKUP(Table29[[#This Row],[Shortname]], Comp[], 11, FALSE)</f>
        <v>0</v>
      </c>
      <c r="AG499">
        <f>VLOOKUP(Table29[[#This Row],[Shortname]], Comp[],12, FALSE)</f>
        <v>2.2000000000000002</v>
      </c>
      <c r="AH499">
        <f>VLOOKUP(Table29[[#This Row],[Shortname]], Comp[], 13, FALSE)</f>
        <v>2.5</v>
      </c>
      <c r="AI499">
        <f>VLOOKUP(Table29[[#This Row],[Shortname]], Comp[], 14, FALSE)</f>
        <v>0</v>
      </c>
      <c r="AJ499">
        <f>VLOOKUP(Table29[[#This Row],[Shortname]], Comp[], 15, FALSE)</f>
        <v>0</v>
      </c>
      <c r="AK499">
        <f>VLOOKUP(Table29[[#This Row],[Shortname]], Comp[], 16, FALSE)</f>
        <v>5.2</v>
      </c>
      <c r="AL499">
        <f>VLOOKUP(Table29[[#This Row],[Shortname]], Comp[], 17, FALSE)</f>
        <v>0.4</v>
      </c>
      <c r="AM499">
        <f>VLOOKUP(Table29[[#This Row],[Shortname]], Comp[], 18, FALSE)</f>
        <v>0</v>
      </c>
      <c r="AN499">
        <f>VLOOKUP(Table29[[#This Row],[Shortname]], Comp[], 19, FALSE)</f>
        <v>0</v>
      </c>
      <c r="AO499">
        <f>VLOOKUP(Table29[[#This Row],[Shortname]], Comp[], 20, FALSE)</f>
        <v>0</v>
      </c>
      <c r="AP499">
        <f>VLOOKUP(Table29[[#This Row],[Shortname]], Comp[], 21, FALSE)</f>
        <v>0</v>
      </c>
      <c r="AQ499">
        <f>VLOOKUP(Table29[[#This Row],[Shortname]], Comp[], 22, FALSE)</f>
        <v>0</v>
      </c>
      <c r="AR499">
        <f>VLOOKUP(Table29[[#This Row],[Shortname]], Comp[], 23, FALSE)</f>
        <v>0</v>
      </c>
      <c r="AS499">
        <f>VLOOKUP(Table29[[#This Row],[Shortname]], Comp[], 24, FALSE)</f>
        <v>0</v>
      </c>
      <c r="AT499">
        <f>VLOOKUP(Table29[[#This Row],[Shortname]], Comp[], 25, FALSE)</f>
        <v>0</v>
      </c>
      <c r="AU499">
        <f>VLOOKUP(Table29[[#This Row],[Shortname]], Comp[], 26, FALSE)</f>
        <v>0</v>
      </c>
      <c r="AV499">
        <f>VLOOKUP(Table29[[#This Row],[Shortname]], Comp[], 27, FALSE)</f>
        <v>0</v>
      </c>
      <c r="AW499">
        <f>VLOOKUP(Table29[[#This Row],[Shortname]], Comp[], 28, FALSE)</f>
        <v>0</v>
      </c>
      <c r="AX499">
        <f>VLOOKUP(Table29[[#This Row],[Shortname]], Comp[], 29, FALSE)</f>
        <v>0</v>
      </c>
      <c r="AY499">
        <f>VLOOKUP(Table29[[#This Row],[Shortname]], Comp[], 30, FALSE)</f>
        <v>0</v>
      </c>
      <c r="AZ499">
        <f>VLOOKUP(Table29[[#This Row],[Shortname]], Comp[], 31, FALSE)</f>
        <v>0</v>
      </c>
    </row>
    <row r="500" spans="1:52" x14ac:dyDescent="0.3">
      <c r="A500" t="s">
        <v>6186</v>
      </c>
      <c r="C500" t="s">
        <v>11</v>
      </c>
      <c r="F500" t="s">
        <v>6187</v>
      </c>
      <c r="G500" t="s">
        <v>6188</v>
      </c>
      <c r="H500">
        <v>300</v>
      </c>
      <c r="I500">
        <v>5.5410000000000002E-7</v>
      </c>
      <c r="J500">
        <f>0.01/Table29[[#This Row],[Strain Rate (min) /s]]</f>
        <v>18047.28388377549</v>
      </c>
      <c r="K500">
        <f>LOG(Table29[[#This Row],[Time to 1% strain (s)]])</f>
        <v>4.256411849840096</v>
      </c>
      <c r="L500">
        <v>900</v>
      </c>
      <c r="M500">
        <v>9.5</v>
      </c>
      <c r="P500" t="s">
        <v>7213</v>
      </c>
      <c r="Q500">
        <v>1270</v>
      </c>
      <c r="R500">
        <v>25</v>
      </c>
      <c r="S500">
        <v>900</v>
      </c>
      <c r="T500">
        <v>50</v>
      </c>
      <c r="W500">
        <v>1</v>
      </c>
      <c r="X500">
        <v>10</v>
      </c>
      <c r="Y500">
        <v>74</v>
      </c>
      <c r="AA500">
        <f>VLOOKUP(Table29[[#This Row],[Shortname]], Comp[], 6, FALSE)</f>
        <v>1017</v>
      </c>
      <c r="AB500" s="14">
        <f>VLOOKUP(Table29[[#This Row],[Shortname]], Comp[], 7, FALSE)</f>
        <v>50.499999999999993</v>
      </c>
      <c r="AC500">
        <f>VLOOKUP(Table29[[#This Row],[Shortname]], Comp[], 8, FALSE)</f>
        <v>30.1</v>
      </c>
      <c r="AD500">
        <f>VLOOKUP(Table29[[#This Row],[Shortname]], Comp[], 9, FALSE)</f>
        <v>9.1</v>
      </c>
      <c r="AE500">
        <f>VLOOKUP(Table29[[#This Row],[Shortname]], Comp[], 10, FALSE)</f>
        <v>0</v>
      </c>
      <c r="AF500">
        <f>VLOOKUP(Table29[[#This Row],[Shortname]], Comp[], 11, FALSE)</f>
        <v>0</v>
      </c>
      <c r="AG500">
        <f>VLOOKUP(Table29[[#This Row],[Shortname]], Comp[],12, FALSE)</f>
        <v>2.2000000000000002</v>
      </c>
      <c r="AH500">
        <f>VLOOKUP(Table29[[#This Row],[Shortname]], Comp[], 13, FALSE)</f>
        <v>2.5</v>
      </c>
      <c r="AI500">
        <f>VLOOKUP(Table29[[#This Row],[Shortname]], Comp[], 14, FALSE)</f>
        <v>0</v>
      </c>
      <c r="AJ500">
        <f>VLOOKUP(Table29[[#This Row],[Shortname]], Comp[], 15, FALSE)</f>
        <v>0</v>
      </c>
      <c r="AK500">
        <f>VLOOKUP(Table29[[#This Row],[Shortname]], Comp[], 16, FALSE)</f>
        <v>5.2</v>
      </c>
      <c r="AL500">
        <f>VLOOKUP(Table29[[#This Row],[Shortname]], Comp[], 17, FALSE)</f>
        <v>0.4</v>
      </c>
      <c r="AM500">
        <f>VLOOKUP(Table29[[#This Row],[Shortname]], Comp[], 18, FALSE)</f>
        <v>0</v>
      </c>
      <c r="AN500">
        <f>VLOOKUP(Table29[[#This Row],[Shortname]], Comp[], 19, FALSE)</f>
        <v>0</v>
      </c>
      <c r="AO500">
        <f>VLOOKUP(Table29[[#This Row],[Shortname]], Comp[], 20, FALSE)</f>
        <v>0</v>
      </c>
      <c r="AP500">
        <f>VLOOKUP(Table29[[#This Row],[Shortname]], Comp[], 21, FALSE)</f>
        <v>0</v>
      </c>
      <c r="AQ500">
        <f>VLOOKUP(Table29[[#This Row],[Shortname]], Comp[], 22, FALSE)</f>
        <v>0</v>
      </c>
      <c r="AR500">
        <f>VLOOKUP(Table29[[#This Row],[Shortname]], Comp[], 23, FALSE)</f>
        <v>0</v>
      </c>
      <c r="AS500">
        <f>VLOOKUP(Table29[[#This Row],[Shortname]], Comp[], 24, FALSE)</f>
        <v>0</v>
      </c>
      <c r="AT500">
        <f>VLOOKUP(Table29[[#This Row],[Shortname]], Comp[], 25, FALSE)</f>
        <v>0</v>
      </c>
      <c r="AU500">
        <f>VLOOKUP(Table29[[#This Row],[Shortname]], Comp[], 26, FALSE)</f>
        <v>0</v>
      </c>
      <c r="AV500">
        <f>VLOOKUP(Table29[[#This Row],[Shortname]], Comp[], 27, FALSE)</f>
        <v>0</v>
      </c>
      <c r="AW500">
        <f>VLOOKUP(Table29[[#This Row],[Shortname]], Comp[], 28, FALSE)</f>
        <v>0</v>
      </c>
      <c r="AX500">
        <f>VLOOKUP(Table29[[#This Row],[Shortname]], Comp[], 29, FALSE)</f>
        <v>0</v>
      </c>
      <c r="AY500">
        <f>VLOOKUP(Table29[[#This Row],[Shortname]], Comp[], 30, FALSE)</f>
        <v>0</v>
      </c>
      <c r="AZ500">
        <f>VLOOKUP(Table29[[#This Row],[Shortname]], Comp[], 31, FALSE)</f>
        <v>0</v>
      </c>
    </row>
    <row r="501" spans="1:52" x14ac:dyDescent="0.3">
      <c r="A501" t="s">
        <v>6186</v>
      </c>
      <c r="C501" t="s">
        <v>11</v>
      </c>
      <c r="F501" t="s">
        <v>6187</v>
      </c>
      <c r="G501" t="s">
        <v>6188</v>
      </c>
      <c r="H501">
        <v>400</v>
      </c>
      <c r="I501">
        <v>1.1253000000000001E-5</v>
      </c>
      <c r="J501">
        <f>0.01/Table29[[#This Row],[Strain Rate (min) /s]]</f>
        <v>888.65191504487689</v>
      </c>
      <c r="K501">
        <f>LOG(Table29[[#This Row],[Time to 1% strain (s)]])</f>
        <v>2.9487316811296149</v>
      </c>
      <c r="L501">
        <v>900</v>
      </c>
      <c r="M501">
        <v>9.5</v>
      </c>
      <c r="P501" t="s">
        <v>7213</v>
      </c>
      <c r="Q501">
        <v>1270</v>
      </c>
      <c r="R501">
        <v>25</v>
      </c>
      <c r="S501">
        <v>900</v>
      </c>
      <c r="T501">
        <v>50</v>
      </c>
      <c r="W501">
        <v>1</v>
      </c>
      <c r="X501">
        <v>10</v>
      </c>
      <c r="Y501">
        <v>74</v>
      </c>
      <c r="AA501">
        <f>VLOOKUP(Table29[[#This Row],[Shortname]], Comp[], 6, FALSE)</f>
        <v>1017</v>
      </c>
      <c r="AB501" s="14">
        <f>VLOOKUP(Table29[[#This Row],[Shortname]], Comp[], 7, FALSE)</f>
        <v>50.499999999999993</v>
      </c>
      <c r="AC501">
        <f>VLOOKUP(Table29[[#This Row],[Shortname]], Comp[], 8, FALSE)</f>
        <v>30.1</v>
      </c>
      <c r="AD501">
        <f>VLOOKUP(Table29[[#This Row],[Shortname]], Comp[], 9, FALSE)</f>
        <v>9.1</v>
      </c>
      <c r="AE501">
        <f>VLOOKUP(Table29[[#This Row],[Shortname]], Comp[], 10, FALSE)</f>
        <v>0</v>
      </c>
      <c r="AF501">
        <f>VLOOKUP(Table29[[#This Row],[Shortname]], Comp[], 11, FALSE)</f>
        <v>0</v>
      </c>
      <c r="AG501">
        <f>VLOOKUP(Table29[[#This Row],[Shortname]], Comp[],12, FALSE)</f>
        <v>2.2000000000000002</v>
      </c>
      <c r="AH501">
        <f>VLOOKUP(Table29[[#This Row],[Shortname]], Comp[], 13, FALSE)</f>
        <v>2.5</v>
      </c>
      <c r="AI501">
        <f>VLOOKUP(Table29[[#This Row],[Shortname]], Comp[], 14, FALSE)</f>
        <v>0</v>
      </c>
      <c r="AJ501">
        <f>VLOOKUP(Table29[[#This Row],[Shortname]], Comp[], 15, FALSE)</f>
        <v>0</v>
      </c>
      <c r="AK501">
        <f>VLOOKUP(Table29[[#This Row],[Shortname]], Comp[], 16, FALSE)</f>
        <v>5.2</v>
      </c>
      <c r="AL501">
        <f>VLOOKUP(Table29[[#This Row],[Shortname]], Comp[], 17, FALSE)</f>
        <v>0.4</v>
      </c>
      <c r="AM501">
        <f>VLOOKUP(Table29[[#This Row],[Shortname]], Comp[], 18, FALSE)</f>
        <v>0</v>
      </c>
      <c r="AN501">
        <f>VLOOKUP(Table29[[#This Row],[Shortname]], Comp[], 19, FALSE)</f>
        <v>0</v>
      </c>
      <c r="AO501">
        <f>VLOOKUP(Table29[[#This Row],[Shortname]], Comp[], 20, FALSE)</f>
        <v>0</v>
      </c>
      <c r="AP501">
        <f>VLOOKUP(Table29[[#This Row],[Shortname]], Comp[], 21, FALSE)</f>
        <v>0</v>
      </c>
      <c r="AQ501">
        <f>VLOOKUP(Table29[[#This Row],[Shortname]], Comp[], 22, FALSE)</f>
        <v>0</v>
      </c>
      <c r="AR501">
        <f>VLOOKUP(Table29[[#This Row],[Shortname]], Comp[], 23, FALSE)</f>
        <v>0</v>
      </c>
      <c r="AS501">
        <f>VLOOKUP(Table29[[#This Row],[Shortname]], Comp[], 24, FALSE)</f>
        <v>0</v>
      </c>
      <c r="AT501">
        <f>VLOOKUP(Table29[[#This Row],[Shortname]], Comp[], 25, FALSE)</f>
        <v>0</v>
      </c>
      <c r="AU501">
        <f>VLOOKUP(Table29[[#This Row],[Shortname]], Comp[], 26, FALSE)</f>
        <v>0</v>
      </c>
      <c r="AV501">
        <f>VLOOKUP(Table29[[#This Row],[Shortname]], Comp[], 27, FALSE)</f>
        <v>0</v>
      </c>
      <c r="AW501">
        <f>VLOOKUP(Table29[[#This Row],[Shortname]], Comp[], 28, FALSE)</f>
        <v>0</v>
      </c>
      <c r="AX501">
        <f>VLOOKUP(Table29[[#This Row],[Shortname]], Comp[], 29, FALSE)</f>
        <v>0</v>
      </c>
      <c r="AY501">
        <f>VLOOKUP(Table29[[#This Row],[Shortname]], Comp[], 30, FALSE)</f>
        <v>0</v>
      </c>
      <c r="AZ501">
        <f>VLOOKUP(Table29[[#This Row],[Shortname]], Comp[], 31, FALSE)</f>
        <v>0</v>
      </c>
    </row>
    <row r="502" spans="1:52" x14ac:dyDescent="0.3">
      <c r="A502" t="s">
        <v>6235</v>
      </c>
      <c r="C502" t="s">
        <v>11</v>
      </c>
      <c r="F502" t="s">
        <v>6236</v>
      </c>
      <c r="G502" t="s">
        <v>6237</v>
      </c>
      <c r="H502">
        <v>250</v>
      </c>
      <c r="I502">
        <v>5.6890000000000002E-8</v>
      </c>
      <c r="J502">
        <f>0.01/Table29[[#This Row],[Strain Rate (min) /s]]</f>
        <v>175777.81683951485</v>
      </c>
      <c r="K502">
        <f>LOG(Table29[[#This Row],[Time to 1% strain (s)]])</f>
        <v>5.2449640662322281</v>
      </c>
      <c r="L502">
        <v>900</v>
      </c>
      <c r="P502" t="s">
        <v>7214</v>
      </c>
      <c r="Q502">
        <v>1250</v>
      </c>
      <c r="R502">
        <v>24</v>
      </c>
      <c r="S502">
        <v>900</v>
      </c>
      <c r="T502">
        <v>100</v>
      </c>
      <c r="W502">
        <v>1</v>
      </c>
      <c r="X502">
        <v>10</v>
      </c>
      <c r="Y502">
        <v>32</v>
      </c>
      <c r="AA502">
        <f>VLOOKUP(Table29[[#This Row],[Shortname]], Comp[], 6, FALSE)</f>
        <v>1028</v>
      </c>
      <c r="AB502" s="14">
        <f>VLOOKUP(Table29[[#This Row],[Shortname]], Comp[], 7, FALSE)</f>
        <v>0</v>
      </c>
      <c r="AC502">
        <f>VLOOKUP(Table29[[#This Row],[Shortname]], Comp[], 8, FALSE)</f>
        <v>75</v>
      </c>
      <c r="AD502">
        <f>VLOOKUP(Table29[[#This Row],[Shortname]], Comp[], 9, FALSE)</f>
        <v>9</v>
      </c>
      <c r="AE502">
        <f>VLOOKUP(Table29[[#This Row],[Shortname]], Comp[], 10, FALSE)</f>
        <v>8</v>
      </c>
      <c r="AF502">
        <f>VLOOKUP(Table29[[#This Row],[Shortname]], Comp[], 11, FALSE)</f>
        <v>8</v>
      </c>
      <c r="AG502">
        <f>VLOOKUP(Table29[[#This Row],[Shortname]], Comp[],12, FALSE)</f>
        <v>0</v>
      </c>
      <c r="AH502">
        <f>VLOOKUP(Table29[[#This Row],[Shortname]], Comp[], 13, FALSE)</f>
        <v>0</v>
      </c>
      <c r="AI502">
        <f>VLOOKUP(Table29[[#This Row],[Shortname]], Comp[], 14, FALSE)</f>
        <v>0</v>
      </c>
      <c r="AJ502">
        <f>VLOOKUP(Table29[[#This Row],[Shortname]], Comp[], 15, FALSE)</f>
        <v>0</v>
      </c>
      <c r="AK502">
        <f>VLOOKUP(Table29[[#This Row],[Shortname]], Comp[], 16, FALSE)</f>
        <v>0</v>
      </c>
      <c r="AL502">
        <f>VLOOKUP(Table29[[#This Row],[Shortname]], Comp[], 17, FALSE)</f>
        <v>0</v>
      </c>
      <c r="AM502">
        <f>VLOOKUP(Table29[[#This Row],[Shortname]], Comp[], 18, FALSE)</f>
        <v>0</v>
      </c>
      <c r="AN502">
        <f>VLOOKUP(Table29[[#This Row],[Shortname]], Comp[], 19, FALSE)</f>
        <v>0</v>
      </c>
      <c r="AO502">
        <f>VLOOKUP(Table29[[#This Row],[Shortname]], Comp[], 20, FALSE)</f>
        <v>0</v>
      </c>
      <c r="AP502">
        <f>VLOOKUP(Table29[[#This Row],[Shortname]], Comp[], 21, FALSE)</f>
        <v>0</v>
      </c>
      <c r="AQ502">
        <f>VLOOKUP(Table29[[#This Row],[Shortname]], Comp[], 22, FALSE)</f>
        <v>0</v>
      </c>
      <c r="AR502">
        <f>VLOOKUP(Table29[[#This Row],[Shortname]], Comp[], 23, FALSE)</f>
        <v>0</v>
      </c>
      <c r="AS502">
        <f>VLOOKUP(Table29[[#This Row],[Shortname]], Comp[], 24, FALSE)</f>
        <v>0</v>
      </c>
      <c r="AT502">
        <f>VLOOKUP(Table29[[#This Row],[Shortname]], Comp[], 25, FALSE)</f>
        <v>0</v>
      </c>
      <c r="AU502">
        <f>VLOOKUP(Table29[[#This Row],[Shortname]], Comp[], 26, FALSE)</f>
        <v>0</v>
      </c>
      <c r="AV502">
        <f>VLOOKUP(Table29[[#This Row],[Shortname]], Comp[], 27, FALSE)</f>
        <v>0</v>
      </c>
      <c r="AW502">
        <f>VLOOKUP(Table29[[#This Row],[Shortname]], Comp[], 28, FALSE)</f>
        <v>0</v>
      </c>
      <c r="AX502">
        <f>VLOOKUP(Table29[[#This Row],[Shortname]], Comp[], 29, FALSE)</f>
        <v>0</v>
      </c>
      <c r="AY502">
        <f>VLOOKUP(Table29[[#This Row],[Shortname]], Comp[], 30, FALSE)</f>
        <v>0</v>
      </c>
      <c r="AZ502">
        <f>VLOOKUP(Table29[[#This Row],[Shortname]], Comp[], 31, FALSE)</f>
        <v>0</v>
      </c>
    </row>
    <row r="503" spans="1:52" x14ac:dyDescent="0.3">
      <c r="A503" t="s">
        <v>6240</v>
      </c>
      <c r="C503" t="s">
        <v>11</v>
      </c>
      <c r="F503" t="s">
        <v>6241</v>
      </c>
      <c r="G503" t="s">
        <v>6242</v>
      </c>
      <c r="H503">
        <v>250</v>
      </c>
      <c r="I503">
        <v>1.5519999999999999E-8</v>
      </c>
      <c r="J503">
        <f>0.01/Table29[[#This Row],[Strain Rate (min) /s]]</f>
        <v>644329.89690721652</v>
      </c>
      <c r="K503">
        <f>LOG(Table29[[#This Row],[Time to 1% strain (s)]])</f>
        <v>5.8091082830778307</v>
      </c>
      <c r="L503">
        <v>900</v>
      </c>
      <c r="P503" t="s">
        <v>7215</v>
      </c>
      <c r="Q503">
        <v>1250</v>
      </c>
      <c r="R503">
        <v>24</v>
      </c>
      <c r="S503">
        <v>900</v>
      </c>
      <c r="T503">
        <v>100</v>
      </c>
      <c r="W503">
        <v>1</v>
      </c>
      <c r="X503">
        <v>10</v>
      </c>
      <c r="Y503">
        <v>46</v>
      </c>
      <c r="AA503">
        <f>VLOOKUP(Table29[[#This Row],[Shortname]], Comp[], 6, FALSE)</f>
        <v>1029</v>
      </c>
      <c r="AB503" s="14">
        <f>VLOOKUP(Table29[[#This Row],[Shortname]], Comp[], 7, FALSE)</f>
        <v>18.75</v>
      </c>
      <c r="AC503">
        <f>VLOOKUP(Table29[[#This Row],[Shortname]], Comp[], 8, FALSE)</f>
        <v>56.25</v>
      </c>
      <c r="AD503">
        <f>VLOOKUP(Table29[[#This Row],[Shortname]], Comp[], 9, FALSE)</f>
        <v>9</v>
      </c>
      <c r="AE503">
        <f>VLOOKUP(Table29[[#This Row],[Shortname]], Comp[], 10, FALSE)</f>
        <v>8</v>
      </c>
      <c r="AF503">
        <f>VLOOKUP(Table29[[#This Row],[Shortname]], Comp[], 11, FALSE)</f>
        <v>8</v>
      </c>
      <c r="AG503">
        <f>VLOOKUP(Table29[[#This Row],[Shortname]], Comp[],12, FALSE)</f>
        <v>0</v>
      </c>
      <c r="AH503">
        <f>VLOOKUP(Table29[[#This Row],[Shortname]], Comp[], 13, FALSE)</f>
        <v>0</v>
      </c>
      <c r="AI503">
        <f>VLOOKUP(Table29[[#This Row],[Shortname]], Comp[], 14, FALSE)</f>
        <v>0</v>
      </c>
      <c r="AJ503">
        <f>VLOOKUP(Table29[[#This Row],[Shortname]], Comp[], 15, FALSE)</f>
        <v>0</v>
      </c>
      <c r="AK503">
        <f>VLOOKUP(Table29[[#This Row],[Shortname]], Comp[], 16, FALSE)</f>
        <v>0</v>
      </c>
      <c r="AL503">
        <f>VLOOKUP(Table29[[#This Row],[Shortname]], Comp[], 17, FALSE)</f>
        <v>0</v>
      </c>
      <c r="AM503">
        <f>VLOOKUP(Table29[[#This Row],[Shortname]], Comp[], 18, FALSE)</f>
        <v>0</v>
      </c>
      <c r="AN503">
        <f>VLOOKUP(Table29[[#This Row],[Shortname]], Comp[], 19, FALSE)</f>
        <v>0</v>
      </c>
      <c r="AO503">
        <f>VLOOKUP(Table29[[#This Row],[Shortname]], Comp[], 20, FALSE)</f>
        <v>0</v>
      </c>
      <c r="AP503">
        <f>VLOOKUP(Table29[[#This Row],[Shortname]], Comp[], 21, FALSE)</f>
        <v>0</v>
      </c>
      <c r="AQ503">
        <f>VLOOKUP(Table29[[#This Row],[Shortname]], Comp[], 22, FALSE)</f>
        <v>0</v>
      </c>
      <c r="AR503">
        <f>VLOOKUP(Table29[[#This Row],[Shortname]], Comp[], 23, FALSE)</f>
        <v>0</v>
      </c>
      <c r="AS503">
        <f>VLOOKUP(Table29[[#This Row],[Shortname]], Comp[], 24, FALSE)</f>
        <v>0</v>
      </c>
      <c r="AT503">
        <f>VLOOKUP(Table29[[#This Row],[Shortname]], Comp[], 25, FALSE)</f>
        <v>0</v>
      </c>
      <c r="AU503">
        <f>VLOOKUP(Table29[[#This Row],[Shortname]], Comp[], 26, FALSE)</f>
        <v>0</v>
      </c>
      <c r="AV503">
        <f>VLOOKUP(Table29[[#This Row],[Shortname]], Comp[], 27, FALSE)</f>
        <v>0</v>
      </c>
      <c r="AW503">
        <f>VLOOKUP(Table29[[#This Row],[Shortname]], Comp[], 28, FALSE)</f>
        <v>0</v>
      </c>
      <c r="AX503">
        <f>VLOOKUP(Table29[[#This Row],[Shortname]], Comp[], 29, FALSE)</f>
        <v>0</v>
      </c>
      <c r="AY503">
        <f>VLOOKUP(Table29[[#This Row],[Shortname]], Comp[], 30, FALSE)</f>
        <v>0</v>
      </c>
      <c r="AZ503">
        <f>VLOOKUP(Table29[[#This Row],[Shortname]], Comp[], 31, FALSE)</f>
        <v>0</v>
      </c>
    </row>
    <row r="504" spans="1:52" x14ac:dyDescent="0.3">
      <c r="A504" t="s">
        <v>6245</v>
      </c>
      <c r="C504" t="s">
        <v>11</v>
      </c>
      <c r="F504" t="s">
        <v>4242</v>
      </c>
      <c r="G504" t="s">
        <v>6246</v>
      </c>
      <c r="H504">
        <v>250</v>
      </c>
      <c r="I504">
        <v>4.0814999999999999E-8</v>
      </c>
      <c r="J504">
        <f>0.01/Table29[[#This Row],[Strain Rate (min) /s]]</f>
        <v>245007.96275878968</v>
      </c>
      <c r="K504">
        <f>LOG(Table29[[#This Row],[Time to 1% strain (s)]])</f>
        <v>5.3891801991645609</v>
      </c>
      <c r="L504">
        <v>900</v>
      </c>
      <c r="P504" t="s">
        <v>7216</v>
      </c>
      <c r="Q504">
        <v>1250</v>
      </c>
      <c r="R504">
        <v>24</v>
      </c>
      <c r="S504">
        <v>900</v>
      </c>
      <c r="T504">
        <v>100</v>
      </c>
      <c r="W504">
        <v>1</v>
      </c>
      <c r="X504">
        <v>10</v>
      </c>
      <c r="Y504">
        <v>51</v>
      </c>
      <c r="AA504">
        <f>VLOOKUP(Table29[[#This Row],[Shortname]], Comp[], 6, FALSE)</f>
        <v>1030</v>
      </c>
      <c r="AB504" s="14">
        <f>VLOOKUP(Table29[[#This Row],[Shortname]], Comp[], 7, FALSE)</f>
        <v>37.5</v>
      </c>
      <c r="AC504">
        <f>VLOOKUP(Table29[[#This Row],[Shortname]], Comp[], 8, FALSE)</f>
        <v>37.5</v>
      </c>
      <c r="AD504">
        <f>VLOOKUP(Table29[[#This Row],[Shortname]], Comp[], 9, FALSE)</f>
        <v>9</v>
      </c>
      <c r="AE504">
        <f>VLOOKUP(Table29[[#This Row],[Shortname]], Comp[], 10, FALSE)</f>
        <v>8</v>
      </c>
      <c r="AF504">
        <f>VLOOKUP(Table29[[#This Row],[Shortname]], Comp[], 11, FALSE)</f>
        <v>8</v>
      </c>
      <c r="AG504">
        <f>VLOOKUP(Table29[[#This Row],[Shortname]], Comp[],12, FALSE)</f>
        <v>0</v>
      </c>
      <c r="AH504">
        <f>VLOOKUP(Table29[[#This Row],[Shortname]], Comp[], 13, FALSE)</f>
        <v>0</v>
      </c>
      <c r="AI504">
        <f>VLOOKUP(Table29[[#This Row],[Shortname]], Comp[], 14, FALSE)</f>
        <v>0</v>
      </c>
      <c r="AJ504">
        <f>VLOOKUP(Table29[[#This Row],[Shortname]], Comp[], 15, FALSE)</f>
        <v>0</v>
      </c>
      <c r="AK504">
        <f>VLOOKUP(Table29[[#This Row],[Shortname]], Comp[], 16, FALSE)</f>
        <v>0</v>
      </c>
      <c r="AL504">
        <f>VLOOKUP(Table29[[#This Row],[Shortname]], Comp[], 17, FALSE)</f>
        <v>0</v>
      </c>
      <c r="AM504">
        <f>VLOOKUP(Table29[[#This Row],[Shortname]], Comp[], 18, FALSE)</f>
        <v>0</v>
      </c>
      <c r="AN504">
        <f>VLOOKUP(Table29[[#This Row],[Shortname]], Comp[], 19, FALSE)</f>
        <v>0</v>
      </c>
      <c r="AO504">
        <f>VLOOKUP(Table29[[#This Row],[Shortname]], Comp[], 20, FALSE)</f>
        <v>0</v>
      </c>
      <c r="AP504">
        <f>VLOOKUP(Table29[[#This Row],[Shortname]], Comp[], 21, FALSE)</f>
        <v>0</v>
      </c>
      <c r="AQ504">
        <f>VLOOKUP(Table29[[#This Row],[Shortname]], Comp[], 22, FALSE)</f>
        <v>0</v>
      </c>
      <c r="AR504">
        <f>VLOOKUP(Table29[[#This Row],[Shortname]], Comp[], 23, FALSE)</f>
        <v>0</v>
      </c>
      <c r="AS504">
        <f>VLOOKUP(Table29[[#This Row],[Shortname]], Comp[], 24, FALSE)</f>
        <v>0</v>
      </c>
      <c r="AT504">
        <f>VLOOKUP(Table29[[#This Row],[Shortname]], Comp[], 25, FALSE)</f>
        <v>0</v>
      </c>
      <c r="AU504">
        <f>VLOOKUP(Table29[[#This Row],[Shortname]], Comp[], 26, FALSE)</f>
        <v>0</v>
      </c>
      <c r="AV504">
        <f>VLOOKUP(Table29[[#This Row],[Shortname]], Comp[], 27, FALSE)</f>
        <v>0</v>
      </c>
      <c r="AW504">
        <f>VLOOKUP(Table29[[#This Row],[Shortname]], Comp[], 28, FALSE)</f>
        <v>0</v>
      </c>
      <c r="AX504">
        <f>VLOOKUP(Table29[[#This Row],[Shortname]], Comp[], 29, FALSE)</f>
        <v>0</v>
      </c>
      <c r="AY504">
        <f>VLOOKUP(Table29[[#This Row],[Shortname]], Comp[], 30, FALSE)</f>
        <v>0</v>
      </c>
      <c r="AZ504">
        <f>VLOOKUP(Table29[[#This Row],[Shortname]], Comp[], 31, FALSE)</f>
        <v>0</v>
      </c>
    </row>
    <row r="505" spans="1:52" x14ac:dyDescent="0.3">
      <c r="A505" t="s">
        <v>6248</v>
      </c>
      <c r="C505" t="s">
        <v>11</v>
      </c>
      <c r="F505" t="s">
        <v>4250</v>
      </c>
      <c r="G505" t="s">
        <v>6249</v>
      </c>
      <c r="H505">
        <v>250</v>
      </c>
      <c r="I505">
        <v>1.7492000000000001E-7</v>
      </c>
      <c r="J505">
        <f>0.01/Table29[[#This Row],[Strain Rate (min) /s]]</f>
        <v>57168.991538989249</v>
      </c>
      <c r="K505">
        <f>LOG(Table29[[#This Row],[Time to 1% strain (s)]])</f>
        <v>4.7571605313271803</v>
      </c>
      <c r="L505">
        <v>900</v>
      </c>
      <c r="P505" t="s">
        <v>7217</v>
      </c>
      <c r="Q505">
        <v>1250</v>
      </c>
      <c r="R505">
        <v>24</v>
      </c>
      <c r="S505">
        <v>900</v>
      </c>
      <c r="T505">
        <v>100</v>
      </c>
      <c r="W505">
        <v>1</v>
      </c>
      <c r="X505">
        <v>10</v>
      </c>
      <c r="Y505">
        <v>63</v>
      </c>
      <c r="AA505">
        <f>VLOOKUP(Table29[[#This Row],[Shortname]], Comp[], 6, FALSE)</f>
        <v>1031</v>
      </c>
      <c r="AB505" s="14">
        <f>VLOOKUP(Table29[[#This Row],[Shortname]], Comp[], 7, FALSE)</f>
        <v>56.25</v>
      </c>
      <c r="AC505">
        <f>VLOOKUP(Table29[[#This Row],[Shortname]], Comp[], 8, FALSE)</f>
        <v>18.75</v>
      </c>
      <c r="AD505">
        <f>VLOOKUP(Table29[[#This Row],[Shortname]], Comp[], 9, FALSE)</f>
        <v>9</v>
      </c>
      <c r="AE505">
        <f>VLOOKUP(Table29[[#This Row],[Shortname]], Comp[], 10, FALSE)</f>
        <v>8</v>
      </c>
      <c r="AF505">
        <f>VLOOKUP(Table29[[#This Row],[Shortname]], Comp[], 11, FALSE)</f>
        <v>8</v>
      </c>
      <c r="AG505">
        <f>VLOOKUP(Table29[[#This Row],[Shortname]], Comp[],12, FALSE)</f>
        <v>0</v>
      </c>
      <c r="AH505">
        <f>VLOOKUP(Table29[[#This Row],[Shortname]], Comp[], 13, FALSE)</f>
        <v>0</v>
      </c>
      <c r="AI505">
        <f>VLOOKUP(Table29[[#This Row],[Shortname]], Comp[], 14, FALSE)</f>
        <v>0</v>
      </c>
      <c r="AJ505">
        <f>VLOOKUP(Table29[[#This Row],[Shortname]], Comp[], 15, FALSE)</f>
        <v>0</v>
      </c>
      <c r="AK505">
        <f>VLOOKUP(Table29[[#This Row],[Shortname]], Comp[], 16, FALSE)</f>
        <v>0</v>
      </c>
      <c r="AL505">
        <f>VLOOKUP(Table29[[#This Row],[Shortname]], Comp[], 17, FALSE)</f>
        <v>0</v>
      </c>
      <c r="AM505">
        <f>VLOOKUP(Table29[[#This Row],[Shortname]], Comp[], 18, FALSE)</f>
        <v>0</v>
      </c>
      <c r="AN505">
        <f>VLOOKUP(Table29[[#This Row],[Shortname]], Comp[], 19, FALSE)</f>
        <v>0</v>
      </c>
      <c r="AO505">
        <f>VLOOKUP(Table29[[#This Row],[Shortname]], Comp[], 20, FALSE)</f>
        <v>0</v>
      </c>
      <c r="AP505">
        <f>VLOOKUP(Table29[[#This Row],[Shortname]], Comp[], 21, FALSE)</f>
        <v>0</v>
      </c>
      <c r="AQ505">
        <f>VLOOKUP(Table29[[#This Row],[Shortname]], Comp[], 22, FALSE)</f>
        <v>0</v>
      </c>
      <c r="AR505">
        <f>VLOOKUP(Table29[[#This Row],[Shortname]], Comp[], 23, FALSE)</f>
        <v>0</v>
      </c>
      <c r="AS505">
        <f>VLOOKUP(Table29[[#This Row],[Shortname]], Comp[], 24, FALSE)</f>
        <v>0</v>
      </c>
      <c r="AT505">
        <f>VLOOKUP(Table29[[#This Row],[Shortname]], Comp[], 25, FALSE)</f>
        <v>0</v>
      </c>
      <c r="AU505">
        <f>VLOOKUP(Table29[[#This Row],[Shortname]], Comp[], 26, FALSE)</f>
        <v>0</v>
      </c>
      <c r="AV505">
        <f>VLOOKUP(Table29[[#This Row],[Shortname]], Comp[], 27, FALSE)</f>
        <v>0</v>
      </c>
      <c r="AW505">
        <f>VLOOKUP(Table29[[#This Row],[Shortname]], Comp[], 28, FALSE)</f>
        <v>0</v>
      </c>
      <c r="AX505">
        <f>VLOOKUP(Table29[[#This Row],[Shortname]], Comp[], 29, FALSE)</f>
        <v>0</v>
      </c>
      <c r="AY505">
        <f>VLOOKUP(Table29[[#This Row],[Shortname]], Comp[], 30, FALSE)</f>
        <v>0</v>
      </c>
      <c r="AZ505">
        <f>VLOOKUP(Table29[[#This Row],[Shortname]], Comp[], 31, FALSE)</f>
        <v>0</v>
      </c>
    </row>
    <row r="506" spans="1:52" x14ac:dyDescent="0.3">
      <c r="A506" t="s">
        <v>6251</v>
      </c>
      <c r="C506" t="s">
        <v>11</v>
      </c>
      <c r="F506" t="s">
        <v>4256</v>
      </c>
      <c r="G506" t="s">
        <v>6252</v>
      </c>
      <c r="H506">
        <v>250</v>
      </c>
      <c r="I506">
        <v>1.7664E-7</v>
      </c>
      <c r="J506">
        <f>0.01/Table29[[#This Row],[Strain Rate (min) /s]]</f>
        <v>56612.318840579712</v>
      </c>
      <c r="K506">
        <f>LOG(Table29[[#This Row],[Time to 1% strain (s)]])</f>
        <v>4.7529109439508952</v>
      </c>
      <c r="L506">
        <v>900</v>
      </c>
      <c r="P506" t="s">
        <v>7218</v>
      </c>
      <c r="Q506">
        <v>1250</v>
      </c>
      <c r="R506">
        <v>24</v>
      </c>
      <c r="S506">
        <v>900</v>
      </c>
      <c r="T506">
        <v>100</v>
      </c>
      <c r="W506">
        <v>1</v>
      </c>
      <c r="X506">
        <v>10</v>
      </c>
      <c r="Y506">
        <v>64</v>
      </c>
      <c r="AA506">
        <f>VLOOKUP(Table29[[#This Row],[Shortname]], Comp[], 6, FALSE)</f>
        <v>1032</v>
      </c>
      <c r="AB506" s="14">
        <f>VLOOKUP(Table29[[#This Row],[Shortname]], Comp[], 7, FALSE)</f>
        <v>75</v>
      </c>
      <c r="AC506">
        <f>VLOOKUP(Table29[[#This Row],[Shortname]], Comp[], 8, FALSE)</f>
        <v>0</v>
      </c>
      <c r="AD506">
        <f>VLOOKUP(Table29[[#This Row],[Shortname]], Comp[], 9, FALSE)</f>
        <v>9</v>
      </c>
      <c r="AE506">
        <f>VLOOKUP(Table29[[#This Row],[Shortname]], Comp[], 10, FALSE)</f>
        <v>8</v>
      </c>
      <c r="AF506">
        <f>VLOOKUP(Table29[[#This Row],[Shortname]], Comp[], 11, FALSE)</f>
        <v>8</v>
      </c>
      <c r="AG506">
        <f>VLOOKUP(Table29[[#This Row],[Shortname]], Comp[],12, FALSE)</f>
        <v>0</v>
      </c>
      <c r="AH506">
        <f>VLOOKUP(Table29[[#This Row],[Shortname]], Comp[], 13, FALSE)</f>
        <v>0</v>
      </c>
      <c r="AI506">
        <f>VLOOKUP(Table29[[#This Row],[Shortname]], Comp[], 14, FALSE)</f>
        <v>0</v>
      </c>
      <c r="AJ506">
        <f>VLOOKUP(Table29[[#This Row],[Shortname]], Comp[], 15, FALSE)</f>
        <v>0</v>
      </c>
      <c r="AK506">
        <f>VLOOKUP(Table29[[#This Row],[Shortname]], Comp[], 16, FALSE)</f>
        <v>0</v>
      </c>
      <c r="AL506">
        <f>VLOOKUP(Table29[[#This Row],[Shortname]], Comp[], 17, FALSE)</f>
        <v>0</v>
      </c>
      <c r="AM506">
        <f>VLOOKUP(Table29[[#This Row],[Shortname]], Comp[], 18, FALSE)</f>
        <v>0</v>
      </c>
      <c r="AN506">
        <f>VLOOKUP(Table29[[#This Row],[Shortname]], Comp[], 19, FALSE)</f>
        <v>0</v>
      </c>
      <c r="AO506">
        <f>VLOOKUP(Table29[[#This Row],[Shortname]], Comp[], 20, FALSE)</f>
        <v>0</v>
      </c>
      <c r="AP506">
        <f>VLOOKUP(Table29[[#This Row],[Shortname]], Comp[], 21, FALSE)</f>
        <v>0</v>
      </c>
      <c r="AQ506">
        <f>VLOOKUP(Table29[[#This Row],[Shortname]], Comp[], 22, FALSE)</f>
        <v>0</v>
      </c>
      <c r="AR506">
        <f>VLOOKUP(Table29[[#This Row],[Shortname]], Comp[], 23, FALSE)</f>
        <v>0</v>
      </c>
      <c r="AS506">
        <f>VLOOKUP(Table29[[#This Row],[Shortname]], Comp[], 24, FALSE)</f>
        <v>0</v>
      </c>
      <c r="AT506">
        <f>VLOOKUP(Table29[[#This Row],[Shortname]], Comp[], 25, FALSE)</f>
        <v>0</v>
      </c>
      <c r="AU506">
        <f>VLOOKUP(Table29[[#This Row],[Shortname]], Comp[], 26, FALSE)</f>
        <v>0</v>
      </c>
      <c r="AV506">
        <f>VLOOKUP(Table29[[#This Row],[Shortname]], Comp[], 27, FALSE)</f>
        <v>0</v>
      </c>
      <c r="AW506">
        <f>VLOOKUP(Table29[[#This Row],[Shortname]], Comp[], 28, FALSE)</f>
        <v>0</v>
      </c>
      <c r="AX506">
        <f>VLOOKUP(Table29[[#This Row],[Shortname]], Comp[], 29, FALSE)</f>
        <v>0</v>
      </c>
      <c r="AY506">
        <f>VLOOKUP(Table29[[#This Row],[Shortname]], Comp[], 30, FALSE)</f>
        <v>0</v>
      </c>
      <c r="AZ506">
        <f>VLOOKUP(Table29[[#This Row],[Shortname]], Comp[], 31, FALSE)</f>
        <v>0</v>
      </c>
    </row>
    <row r="507" spans="1:52" x14ac:dyDescent="0.3">
      <c r="A507" t="s">
        <v>6254</v>
      </c>
      <c r="F507" t="s">
        <v>1790</v>
      </c>
      <c r="G507" t="s">
        <v>6255</v>
      </c>
      <c r="H507">
        <v>300</v>
      </c>
      <c r="I507">
        <v>8.5999999999999993E-9</v>
      </c>
      <c r="J507">
        <f>0.01/Table29[[#This Row],[Strain Rate (min) /s]]</f>
        <v>1162790.6976744188</v>
      </c>
      <c r="K507">
        <f>LOG(Table29[[#This Row],[Time to 1% strain (s)]])</f>
        <v>6.0655015487564325</v>
      </c>
      <c r="L507">
        <v>800</v>
      </c>
      <c r="P507" t="s">
        <v>7219</v>
      </c>
      <c r="Q507">
        <v>1250</v>
      </c>
      <c r="R507">
        <v>48</v>
      </c>
      <c r="S507">
        <v>825</v>
      </c>
      <c r="T507">
        <v>4</v>
      </c>
      <c r="W507">
        <v>-1</v>
      </c>
      <c r="X507">
        <v>10</v>
      </c>
      <c r="Y507">
        <v>52</v>
      </c>
      <c r="AA507">
        <f>VLOOKUP(Table29[[#This Row],[Shortname]], Comp[], 6, FALSE)</f>
        <v>1033</v>
      </c>
      <c r="AB507" s="14">
        <f>VLOOKUP(Table29[[#This Row],[Shortname]], Comp[], 7, FALSE)</f>
        <v>36.11</v>
      </c>
      <c r="AC507">
        <f>VLOOKUP(Table29[[#This Row],[Shortname]], Comp[], 8, FALSE)</f>
        <v>34</v>
      </c>
      <c r="AD507">
        <f>VLOOKUP(Table29[[#This Row],[Shortname]], Comp[], 9, FALSE)</f>
        <v>10.5</v>
      </c>
      <c r="AE507">
        <f>VLOOKUP(Table29[[#This Row],[Shortname]], Comp[], 10, FALSE)</f>
        <v>15</v>
      </c>
      <c r="AF507">
        <f>VLOOKUP(Table29[[#This Row],[Shortname]], Comp[], 11, FALSE)</f>
        <v>3</v>
      </c>
      <c r="AG507">
        <f>VLOOKUP(Table29[[#This Row],[Shortname]], Comp[],12, FALSE)</f>
        <v>0</v>
      </c>
      <c r="AH507">
        <f>VLOOKUP(Table29[[#This Row],[Shortname]], Comp[], 13, FALSE)</f>
        <v>1</v>
      </c>
      <c r="AI507">
        <f>VLOOKUP(Table29[[#This Row],[Shortname]], Comp[], 14, FALSE)</f>
        <v>0</v>
      </c>
      <c r="AJ507">
        <f>VLOOKUP(Table29[[#This Row],[Shortname]], Comp[], 15, FALSE)</f>
        <v>0</v>
      </c>
      <c r="AK507">
        <f>VLOOKUP(Table29[[#This Row],[Shortname]], Comp[], 16, FALSE)</f>
        <v>0</v>
      </c>
      <c r="AL507">
        <f>VLOOKUP(Table29[[#This Row],[Shortname]], Comp[], 17, FALSE)</f>
        <v>0.15</v>
      </c>
      <c r="AM507">
        <f>VLOOKUP(Table29[[#This Row],[Shortname]], Comp[], 18, FALSE)</f>
        <v>0.04</v>
      </c>
      <c r="AN507">
        <f>VLOOKUP(Table29[[#This Row],[Shortname]], Comp[], 19, FALSE)</f>
        <v>0.2</v>
      </c>
      <c r="AO507">
        <f>VLOOKUP(Table29[[#This Row],[Shortname]], Comp[], 20, FALSE)</f>
        <v>0</v>
      </c>
      <c r="AP507">
        <f>VLOOKUP(Table29[[#This Row],[Shortname]], Comp[], 21, FALSE)</f>
        <v>0</v>
      </c>
      <c r="AQ507">
        <f>VLOOKUP(Table29[[#This Row],[Shortname]], Comp[], 22, FALSE)</f>
        <v>0</v>
      </c>
      <c r="AR507">
        <f>VLOOKUP(Table29[[#This Row],[Shortname]], Comp[], 23, FALSE)</f>
        <v>0</v>
      </c>
      <c r="AS507">
        <f>VLOOKUP(Table29[[#This Row],[Shortname]], Comp[], 24, FALSE)</f>
        <v>0</v>
      </c>
      <c r="AT507">
        <f>VLOOKUP(Table29[[#This Row],[Shortname]], Comp[], 25, FALSE)</f>
        <v>0</v>
      </c>
      <c r="AU507">
        <f>VLOOKUP(Table29[[#This Row],[Shortname]], Comp[], 26, FALSE)</f>
        <v>0</v>
      </c>
      <c r="AV507">
        <f>VLOOKUP(Table29[[#This Row],[Shortname]], Comp[], 27, FALSE)</f>
        <v>0</v>
      </c>
      <c r="AW507">
        <f>VLOOKUP(Table29[[#This Row],[Shortname]], Comp[], 28, FALSE)</f>
        <v>0</v>
      </c>
      <c r="AX507">
        <f>VLOOKUP(Table29[[#This Row],[Shortname]], Comp[], 29, FALSE)</f>
        <v>0</v>
      </c>
      <c r="AY507">
        <f>VLOOKUP(Table29[[#This Row],[Shortname]], Comp[], 30, FALSE)</f>
        <v>0</v>
      </c>
      <c r="AZ507">
        <f>VLOOKUP(Table29[[#This Row],[Shortname]], Comp[], 31, FALSE)</f>
        <v>0</v>
      </c>
    </row>
    <row r="508" spans="1:52" x14ac:dyDescent="0.3">
      <c r="A508" t="s">
        <v>6258</v>
      </c>
      <c r="F508" t="s">
        <v>6259</v>
      </c>
      <c r="G508" t="s">
        <v>6260</v>
      </c>
      <c r="H508">
        <v>250</v>
      </c>
      <c r="I508">
        <v>4.2960000000000002E-8</v>
      </c>
      <c r="J508">
        <f>0.01/Table29[[#This Row],[Strain Rate (min) /s]]</f>
        <v>232774.67411545623</v>
      </c>
      <c r="K508">
        <f>LOG(Table29[[#This Row],[Time to 1% strain (s)]])</f>
        <v>5.3669357273085012</v>
      </c>
      <c r="L508">
        <v>900</v>
      </c>
      <c r="P508" t="s">
        <v>7220</v>
      </c>
      <c r="Q508">
        <v>1280</v>
      </c>
      <c r="R508">
        <v>8</v>
      </c>
      <c r="S508">
        <v>1050</v>
      </c>
      <c r="T508">
        <v>5</v>
      </c>
      <c r="U508">
        <v>900</v>
      </c>
      <c r="V508">
        <v>16</v>
      </c>
      <c r="W508">
        <v>1</v>
      </c>
      <c r="X508">
        <v>10</v>
      </c>
      <c r="Y508">
        <v>80</v>
      </c>
      <c r="AA508">
        <f>VLOOKUP(Table29[[#This Row],[Shortname]], Comp[], 6, FALSE)</f>
        <v>1034</v>
      </c>
      <c r="AB508" s="14">
        <f>VLOOKUP(Table29[[#This Row],[Shortname]], Comp[], 7, FALSE)</f>
        <v>36.199999999999996</v>
      </c>
      <c r="AC508">
        <f>VLOOKUP(Table29[[#This Row],[Shortname]], Comp[], 8, FALSE)</f>
        <v>36.1</v>
      </c>
      <c r="AD508">
        <f>VLOOKUP(Table29[[#This Row],[Shortname]], Comp[], 9, FALSE)</f>
        <v>13.1</v>
      </c>
      <c r="AE508">
        <f>VLOOKUP(Table29[[#This Row],[Shortname]], Comp[], 10, FALSE)</f>
        <v>7.6</v>
      </c>
      <c r="AF508">
        <f>VLOOKUP(Table29[[#This Row],[Shortname]], Comp[], 11, FALSE)</f>
        <v>3</v>
      </c>
      <c r="AG508">
        <f>VLOOKUP(Table29[[#This Row],[Shortname]], Comp[],12, FALSE)</f>
        <v>3.9</v>
      </c>
      <c r="AH508">
        <f>VLOOKUP(Table29[[#This Row],[Shortname]], Comp[], 13, FALSE)</f>
        <v>0</v>
      </c>
      <c r="AI508">
        <f>VLOOKUP(Table29[[#This Row],[Shortname]], Comp[], 14, FALSE)</f>
        <v>0</v>
      </c>
      <c r="AJ508">
        <f>VLOOKUP(Table29[[#This Row],[Shortname]], Comp[], 15, FALSE)</f>
        <v>0</v>
      </c>
      <c r="AK508">
        <f>VLOOKUP(Table29[[#This Row],[Shortname]], Comp[], 16, FALSE)</f>
        <v>0.1</v>
      </c>
      <c r="AL508">
        <f>VLOOKUP(Table29[[#This Row],[Shortname]], Comp[], 17, FALSE)</f>
        <v>0</v>
      </c>
      <c r="AM508">
        <f>VLOOKUP(Table29[[#This Row],[Shortname]], Comp[], 18, FALSE)</f>
        <v>0</v>
      </c>
      <c r="AN508">
        <f>VLOOKUP(Table29[[#This Row],[Shortname]], Comp[], 19, FALSE)</f>
        <v>0</v>
      </c>
      <c r="AO508">
        <f>VLOOKUP(Table29[[#This Row],[Shortname]], Comp[], 20, FALSE)</f>
        <v>0</v>
      </c>
      <c r="AP508">
        <f>VLOOKUP(Table29[[#This Row],[Shortname]], Comp[], 21, FALSE)</f>
        <v>0</v>
      </c>
      <c r="AQ508">
        <f>VLOOKUP(Table29[[#This Row],[Shortname]], Comp[], 22, FALSE)</f>
        <v>0</v>
      </c>
      <c r="AR508">
        <f>VLOOKUP(Table29[[#This Row],[Shortname]], Comp[], 23, FALSE)</f>
        <v>0</v>
      </c>
      <c r="AS508">
        <f>VLOOKUP(Table29[[#This Row],[Shortname]], Comp[], 24, FALSE)</f>
        <v>0</v>
      </c>
      <c r="AT508">
        <f>VLOOKUP(Table29[[#This Row],[Shortname]], Comp[], 25, FALSE)</f>
        <v>0</v>
      </c>
      <c r="AU508">
        <f>VLOOKUP(Table29[[#This Row],[Shortname]], Comp[], 26, FALSE)</f>
        <v>0</v>
      </c>
      <c r="AV508">
        <f>VLOOKUP(Table29[[#This Row],[Shortname]], Comp[], 27, FALSE)</f>
        <v>0</v>
      </c>
      <c r="AW508">
        <f>VLOOKUP(Table29[[#This Row],[Shortname]], Comp[], 28, FALSE)</f>
        <v>0</v>
      </c>
      <c r="AX508">
        <f>VLOOKUP(Table29[[#This Row],[Shortname]], Comp[], 29, FALSE)</f>
        <v>0</v>
      </c>
      <c r="AY508">
        <f>VLOOKUP(Table29[[#This Row],[Shortname]], Comp[], 30, FALSE)</f>
        <v>0</v>
      </c>
      <c r="AZ508">
        <f>VLOOKUP(Table29[[#This Row],[Shortname]], Comp[], 31, FALSE)</f>
        <v>0</v>
      </c>
    </row>
    <row r="509" spans="1:52" x14ac:dyDescent="0.3">
      <c r="A509" t="s">
        <v>6264</v>
      </c>
      <c r="F509" t="s">
        <v>6265</v>
      </c>
      <c r="G509" t="s">
        <v>6266</v>
      </c>
      <c r="H509">
        <v>250</v>
      </c>
      <c r="I509">
        <v>2.044E-7</v>
      </c>
      <c r="J509">
        <f>0.01/Table29[[#This Row],[Strain Rate (min) /s]]</f>
        <v>48923.679060665359</v>
      </c>
      <c r="K509">
        <f>LOG(Table29[[#This Row],[Time to 1% strain (s)]])</f>
        <v>4.6895191085373247</v>
      </c>
      <c r="L509">
        <v>900</v>
      </c>
      <c r="P509" t="s">
        <v>7221</v>
      </c>
      <c r="Q509">
        <v>1280</v>
      </c>
      <c r="R509">
        <v>8</v>
      </c>
      <c r="S509">
        <v>1050</v>
      </c>
      <c r="T509">
        <v>5</v>
      </c>
      <c r="U509">
        <v>900</v>
      </c>
      <c r="V509">
        <v>16</v>
      </c>
      <c r="W509">
        <v>1</v>
      </c>
      <c r="X509">
        <v>10</v>
      </c>
      <c r="Y509">
        <v>31</v>
      </c>
      <c r="AA509">
        <f>VLOOKUP(Table29[[#This Row],[Shortname]], Comp[], 6, FALSE)</f>
        <v>1035</v>
      </c>
      <c r="AB509" s="14">
        <f>VLOOKUP(Table29[[#This Row],[Shortname]], Comp[], 7, FALSE)</f>
        <v>36.700000000000003</v>
      </c>
      <c r="AC509">
        <f>VLOOKUP(Table29[[#This Row],[Shortname]], Comp[], 8, FALSE)</f>
        <v>37.299999999999997</v>
      </c>
      <c r="AD509">
        <f>VLOOKUP(Table29[[#This Row],[Shortname]], Comp[], 9, FALSE)</f>
        <v>9.6</v>
      </c>
      <c r="AE509">
        <f>VLOOKUP(Table29[[#This Row],[Shortname]], Comp[], 10, FALSE)</f>
        <v>7.6</v>
      </c>
      <c r="AF509">
        <f>VLOOKUP(Table29[[#This Row],[Shortname]], Comp[], 11, FALSE)</f>
        <v>2.1</v>
      </c>
      <c r="AG509">
        <f>VLOOKUP(Table29[[#This Row],[Shortname]], Comp[],12, FALSE)</f>
        <v>0.8</v>
      </c>
      <c r="AH509">
        <f>VLOOKUP(Table29[[#This Row],[Shortname]], Comp[], 13, FALSE)</f>
        <v>0</v>
      </c>
      <c r="AI509">
        <f>VLOOKUP(Table29[[#This Row],[Shortname]], Comp[], 14, FALSE)</f>
        <v>0</v>
      </c>
      <c r="AJ509">
        <f>VLOOKUP(Table29[[#This Row],[Shortname]], Comp[], 15, FALSE)</f>
        <v>0</v>
      </c>
      <c r="AK509">
        <f>VLOOKUP(Table29[[#This Row],[Shortname]], Comp[], 16, FALSE)</f>
        <v>5.9</v>
      </c>
      <c r="AL509">
        <f>VLOOKUP(Table29[[#This Row],[Shortname]], Comp[], 17, FALSE)</f>
        <v>0</v>
      </c>
      <c r="AM509">
        <f>VLOOKUP(Table29[[#This Row],[Shortname]], Comp[], 18, FALSE)</f>
        <v>0</v>
      </c>
      <c r="AN509">
        <f>VLOOKUP(Table29[[#This Row],[Shortname]], Comp[], 19, FALSE)</f>
        <v>0</v>
      </c>
      <c r="AO509">
        <f>VLOOKUP(Table29[[#This Row],[Shortname]], Comp[], 20, FALSE)</f>
        <v>0</v>
      </c>
      <c r="AP509">
        <f>VLOOKUP(Table29[[#This Row],[Shortname]], Comp[], 21, FALSE)</f>
        <v>0</v>
      </c>
      <c r="AQ509">
        <f>VLOOKUP(Table29[[#This Row],[Shortname]], Comp[], 22, FALSE)</f>
        <v>0</v>
      </c>
      <c r="AR509">
        <f>VLOOKUP(Table29[[#This Row],[Shortname]], Comp[], 23, FALSE)</f>
        <v>0</v>
      </c>
      <c r="AS509">
        <f>VLOOKUP(Table29[[#This Row],[Shortname]], Comp[], 24, FALSE)</f>
        <v>0</v>
      </c>
      <c r="AT509">
        <f>VLOOKUP(Table29[[#This Row],[Shortname]], Comp[], 25, FALSE)</f>
        <v>0</v>
      </c>
      <c r="AU509">
        <f>VLOOKUP(Table29[[#This Row],[Shortname]], Comp[], 26, FALSE)</f>
        <v>0</v>
      </c>
      <c r="AV509">
        <f>VLOOKUP(Table29[[#This Row],[Shortname]], Comp[], 27, FALSE)</f>
        <v>0</v>
      </c>
      <c r="AW509">
        <f>VLOOKUP(Table29[[#This Row],[Shortname]], Comp[], 28, FALSE)</f>
        <v>0</v>
      </c>
      <c r="AX509">
        <f>VLOOKUP(Table29[[#This Row],[Shortname]], Comp[], 29, FALSE)</f>
        <v>0</v>
      </c>
      <c r="AY509">
        <f>VLOOKUP(Table29[[#This Row],[Shortname]], Comp[], 30, FALSE)</f>
        <v>0</v>
      </c>
      <c r="AZ509">
        <f>VLOOKUP(Table29[[#This Row],[Shortname]], Comp[], 31, FALSE)</f>
        <v>0</v>
      </c>
    </row>
    <row r="510" spans="1:52" x14ac:dyDescent="0.3">
      <c r="A510" t="s">
        <v>6270</v>
      </c>
      <c r="F510" t="s">
        <v>6271</v>
      </c>
      <c r="G510" t="s">
        <v>6272</v>
      </c>
      <c r="H510">
        <v>250</v>
      </c>
      <c r="I510">
        <v>1.2496000000000001E-6</v>
      </c>
      <c r="J510">
        <f>0.01/Table29[[#This Row],[Strain Rate (min) /s]]</f>
        <v>8002.5608194622273</v>
      </c>
      <c r="K510">
        <f>LOG(Table29[[#This Row],[Time to 1% strain (s)]])</f>
        <v>3.903228983466775</v>
      </c>
      <c r="L510">
        <v>900</v>
      </c>
      <c r="P510" t="s">
        <v>7222</v>
      </c>
      <c r="Q510">
        <v>1280</v>
      </c>
      <c r="R510">
        <v>8</v>
      </c>
      <c r="S510">
        <v>1050</v>
      </c>
      <c r="T510">
        <v>5</v>
      </c>
      <c r="U510">
        <v>900</v>
      </c>
      <c r="V510">
        <v>16</v>
      </c>
      <c r="W510">
        <v>1</v>
      </c>
      <c r="X510">
        <v>10</v>
      </c>
      <c r="Y510">
        <v>20</v>
      </c>
      <c r="AA510">
        <f>VLOOKUP(Table29[[#This Row],[Shortname]], Comp[], 6, FALSE)</f>
        <v>1036</v>
      </c>
      <c r="AB510" s="14">
        <f>VLOOKUP(Table29[[#This Row],[Shortname]], Comp[], 7, FALSE)</f>
        <v>36.5</v>
      </c>
      <c r="AC510">
        <f>VLOOKUP(Table29[[#This Row],[Shortname]], Comp[], 8, FALSE)</f>
        <v>38.299999999999997</v>
      </c>
      <c r="AD510">
        <f>VLOOKUP(Table29[[#This Row],[Shortname]], Comp[], 9, FALSE)</f>
        <v>8.1</v>
      </c>
      <c r="AE510">
        <f>VLOOKUP(Table29[[#This Row],[Shortname]], Comp[], 10, FALSE)</f>
        <v>7.6</v>
      </c>
      <c r="AF510">
        <f>VLOOKUP(Table29[[#This Row],[Shortname]], Comp[], 11, FALSE)</f>
        <v>2.6</v>
      </c>
      <c r="AG510">
        <f>VLOOKUP(Table29[[#This Row],[Shortname]], Comp[],12, FALSE)</f>
        <v>0</v>
      </c>
      <c r="AH510">
        <f>VLOOKUP(Table29[[#This Row],[Shortname]], Comp[], 13, FALSE)</f>
        <v>0</v>
      </c>
      <c r="AI510">
        <f>VLOOKUP(Table29[[#This Row],[Shortname]], Comp[], 14, FALSE)</f>
        <v>0</v>
      </c>
      <c r="AJ510">
        <f>VLOOKUP(Table29[[#This Row],[Shortname]], Comp[], 15, FALSE)</f>
        <v>0</v>
      </c>
      <c r="AK510">
        <f>VLOOKUP(Table29[[#This Row],[Shortname]], Comp[], 16, FALSE)</f>
        <v>6.9</v>
      </c>
      <c r="AL510">
        <f>VLOOKUP(Table29[[#This Row],[Shortname]], Comp[], 17, FALSE)</f>
        <v>0</v>
      </c>
      <c r="AM510">
        <f>VLOOKUP(Table29[[#This Row],[Shortname]], Comp[], 18, FALSE)</f>
        <v>0</v>
      </c>
      <c r="AN510">
        <f>VLOOKUP(Table29[[#This Row],[Shortname]], Comp[], 19, FALSE)</f>
        <v>0</v>
      </c>
      <c r="AO510">
        <f>VLOOKUP(Table29[[#This Row],[Shortname]], Comp[], 20, FALSE)</f>
        <v>0</v>
      </c>
      <c r="AP510">
        <f>VLOOKUP(Table29[[#This Row],[Shortname]], Comp[], 21, FALSE)</f>
        <v>0</v>
      </c>
      <c r="AQ510">
        <f>VLOOKUP(Table29[[#This Row],[Shortname]], Comp[], 22, FALSE)</f>
        <v>0</v>
      </c>
      <c r="AR510">
        <f>VLOOKUP(Table29[[#This Row],[Shortname]], Comp[], 23, FALSE)</f>
        <v>0</v>
      </c>
      <c r="AS510">
        <f>VLOOKUP(Table29[[#This Row],[Shortname]], Comp[], 24, FALSE)</f>
        <v>0</v>
      </c>
      <c r="AT510">
        <f>VLOOKUP(Table29[[#This Row],[Shortname]], Comp[], 25, FALSE)</f>
        <v>0</v>
      </c>
      <c r="AU510">
        <f>VLOOKUP(Table29[[#This Row],[Shortname]], Comp[], 26, FALSE)</f>
        <v>0</v>
      </c>
      <c r="AV510">
        <f>VLOOKUP(Table29[[#This Row],[Shortname]], Comp[], 27, FALSE)</f>
        <v>0</v>
      </c>
      <c r="AW510">
        <f>VLOOKUP(Table29[[#This Row],[Shortname]], Comp[], 28, FALSE)</f>
        <v>0</v>
      </c>
      <c r="AX510">
        <f>VLOOKUP(Table29[[#This Row],[Shortname]], Comp[], 29, FALSE)</f>
        <v>0</v>
      </c>
      <c r="AY510">
        <f>VLOOKUP(Table29[[#This Row],[Shortname]], Comp[], 30, FALSE)</f>
        <v>0</v>
      </c>
      <c r="AZ510">
        <f>VLOOKUP(Table29[[#This Row],[Shortname]], Comp[], 31, FALSE)</f>
        <v>0</v>
      </c>
    </row>
    <row r="511" spans="1:52" x14ac:dyDescent="0.3">
      <c r="A511" t="s">
        <v>6367</v>
      </c>
      <c r="F511" t="s">
        <v>6368</v>
      </c>
      <c r="G511" t="s">
        <v>6369</v>
      </c>
      <c r="H511">
        <v>250</v>
      </c>
      <c r="I511">
        <v>6E-9</v>
      </c>
      <c r="J511">
        <f>0.01/Table29[[#This Row],[Strain Rate (min) /s]]</f>
        <v>1666666.6666666667</v>
      </c>
      <c r="K511">
        <f>LOG(Table29[[#This Row],[Time to 1% strain (s)]])</f>
        <v>6.2218487496163561</v>
      </c>
      <c r="L511">
        <v>900</v>
      </c>
      <c r="P511" t="s">
        <v>7223</v>
      </c>
      <c r="Q511">
        <v>1280</v>
      </c>
      <c r="R511">
        <v>8</v>
      </c>
      <c r="S511">
        <v>1050</v>
      </c>
      <c r="T511">
        <v>5</v>
      </c>
      <c r="U511">
        <v>900</v>
      </c>
      <c r="V511">
        <v>16</v>
      </c>
      <c r="W511">
        <v>1</v>
      </c>
      <c r="X511">
        <v>1</v>
      </c>
      <c r="Y511">
        <v>70</v>
      </c>
      <c r="AA511">
        <f>VLOOKUP(Table29[[#This Row],[Shortname]], Comp[], 6, FALSE)</f>
        <v>1057</v>
      </c>
      <c r="AB511" s="14">
        <f>VLOOKUP(Table29[[#This Row],[Shortname]], Comp[], 7, FALSE)</f>
        <v>42.5</v>
      </c>
      <c r="AC511">
        <f>VLOOKUP(Table29[[#This Row],[Shortname]], Comp[], 8, FALSE)</f>
        <v>32</v>
      </c>
      <c r="AD511">
        <f>VLOOKUP(Table29[[#This Row],[Shortname]], Comp[], 9, FALSE)</f>
        <v>8</v>
      </c>
      <c r="AE511">
        <f>VLOOKUP(Table29[[#This Row],[Shortname]], Comp[], 10, FALSE)</f>
        <v>8</v>
      </c>
      <c r="AF511">
        <f>VLOOKUP(Table29[[#This Row],[Shortname]], Comp[], 11, FALSE)</f>
        <v>5</v>
      </c>
      <c r="AG511">
        <f>VLOOKUP(Table29[[#This Row],[Shortname]], Comp[],12, FALSE)</f>
        <v>2.5</v>
      </c>
      <c r="AH511">
        <f>VLOOKUP(Table29[[#This Row],[Shortname]], Comp[], 13, FALSE)</f>
        <v>1.5</v>
      </c>
      <c r="AI511">
        <f>VLOOKUP(Table29[[#This Row],[Shortname]], Comp[], 14, FALSE)</f>
        <v>0</v>
      </c>
      <c r="AJ511">
        <f>VLOOKUP(Table29[[#This Row],[Shortname]], Comp[], 15, FALSE)</f>
        <v>0</v>
      </c>
      <c r="AK511">
        <f>VLOOKUP(Table29[[#This Row],[Shortname]], Comp[], 16, FALSE)</f>
        <v>0</v>
      </c>
      <c r="AL511">
        <f>VLOOKUP(Table29[[#This Row],[Shortname]], Comp[], 17, FALSE)</f>
        <v>0</v>
      </c>
      <c r="AM511">
        <f>VLOOKUP(Table29[[#This Row],[Shortname]], Comp[], 18, FALSE)</f>
        <v>0</v>
      </c>
      <c r="AN511">
        <f>VLOOKUP(Table29[[#This Row],[Shortname]], Comp[], 19, FALSE)</f>
        <v>0</v>
      </c>
      <c r="AO511">
        <f>VLOOKUP(Table29[[#This Row],[Shortname]], Comp[], 20, FALSE)</f>
        <v>0</v>
      </c>
      <c r="AP511">
        <f>VLOOKUP(Table29[[#This Row],[Shortname]], Comp[], 21, FALSE)</f>
        <v>0</v>
      </c>
      <c r="AQ511">
        <f>VLOOKUP(Table29[[#This Row],[Shortname]], Comp[], 22, FALSE)</f>
        <v>0.4</v>
      </c>
      <c r="AR511">
        <f>VLOOKUP(Table29[[#This Row],[Shortname]], Comp[], 23, FALSE)</f>
        <v>0</v>
      </c>
      <c r="AS511">
        <f>VLOOKUP(Table29[[#This Row],[Shortname]], Comp[], 24, FALSE)</f>
        <v>0</v>
      </c>
      <c r="AT511">
        <f>VLOOKUP(Table29[[#This Row],[Shortname]], Comp[], 25, FALSE)</f>
        <v>0.1</v>
      </c>
      <c r="AU511">
        <f>VLOOKUP(Table29[[#This Row],[Shortname]], Comp[], 26, FALSE)</f>
        <v>0</v>
      </c>
      <c r="AV511">
        <f>VLOOKUP(Table29[[#This Row],[Shortname]], Comp[], 27, FALSE)</f>
        <v>0</v>
      </c>
      <c r="AW511">
        <f>VLOOKUP(Table29[[#This Row],[Shortname]], Comp[], 28, FALSE)</f>
        <v>0</v>
      </c>
      <c r="AX511">
        <f>VLOOKUP(Table29[[#This Row],[Shortname]], Comp[], 29, FALSE)</f>
        <v>0</v>
      </c>
      <c r="AY511">
        <f>VLOOKUP(Table29[[#This Row],[Shortname]], Comp[], 30, FALSE)</f>
        <v>0</v>
      </c>
      <c r="AZ511">
        <f>VLOOKUP(Table29[[#This Row],[Shortname]], Comp[], 31, FALSE)</f>
        <v>0</v>
      </c>
    </row>
    <row r="512" spans="1:52" x14ac:dyDescent="0.3">
      <c r="A512" t="s">
        <v>6371</v>
      </c>
      <c r="F512" t="s">
        <v>6372</v>
      </c>
      <c r="G512" t="s">
        <v>6373</v>
      </c>
      <c r="H512">
        <v>250</v>
      </c>
      <c r="I512">
        <v>5.4999999999999996E-9</v>
      </c>
      <c r="J512">
        <f>0.01/Table29[[#This Row],[Strain Rate (min) /s]]</f>
        <v>1818181.8181818184</v>
      </c>
      <c r="K512">
        <f>LOG(Table29[[#This Row],[Time to 1% strain (s)]])</f>
        <v>6.2596373105057559</v>
      </c>
      <c r="L512">
        <v>900</v>
      </c>
      <c r="P512" t="s">
        <v>7224</v>
      </c>
      <c r="Q512">
        <v>1280</v>
      </c>
      <c r="R512">
        <v>8</v>
      </c>
      <c r="S512">
        <v>1050</v>
      </c>
      <c r="T512">
        <v>5</v>
      </c>
      <c r="U512">
        <v>900</v>
      </c>
      <c r="V512">
        <v>16</v>
      </c>
      <c r="W512">
        <v>1</v>
      </c>
      <c r="X512">
        <v>1</v>
      </c>
      <c r="Y512">
        <v>70</v>
      </c>
      <c r="AA512">
        <f>VLOOKUP(Table29[[#This Row],[Shortname]], Comp[], 6, FALSE)</f>
        <v>1058</v>
      </c>
      <c r="AB512" s="14">
        <f>VLOOKUP(Table29[[#This Row],[Shortname]], Comp[], 7, FALSE)</f>
        <v>30</v>
      </c>
      <c r="AC512">
        <f>VLOOKUP(Table29[[#This Row],[Shortname]], Comp[], 8, FALSE)</f>
        <v>44.5</v>
      </c>
      <c r="AD512">
        <f>VLOOKUP(Table29[[#This Row],[Shortname]], Comp[], 9, FALSE)</f>
        <v>8</v>
      </c>
      <c r="AE512">
        <f>VLOOKUP(Table29[[#This Row],[Shortname]], Comp[], 10, FALSE)</f>
        <v>8</v>
      </c>
      <c r="AF512">
        <f>VLOOKUP(Table29[[#This Row],[Shortname]], Comp[], 11, FALSE)</f>
        <v>5</v>
      </c>
      <c r="AG512">
        <f>VLOOKUP(Table29[[#This Row],[Shortname]], Comp[],12, FALSE)</f>
        <v>2.5</v>
      </c>
      <c r="AH512">
        <f>VLOOKUP(Table29[[#This Row],[Shortname]], Comp[], 13, FALSE)</f>
        <v>1.5</v>
      </c>
      <c r="AI512">
        <f>VLOOKUP(Table29[[#This Row],[Shortname]], Comp[], 14, FALSE)</f>
        <v>0</v>
      </c>
      <c r="AJ512">
        <f>VLOOKUP(Table29[[#This Row],[Shortname]], Comp[], 15, FALSE)</f>
        <v>0</v>
      </c>
      <c r="AK512">
        <f>VLOOKUP(Table29[[#This Row],[Shortname]], Comp[], 16, FALSE)</f>
        <v>0</v>
      </c>
      <c r="AL512">
        <f>VLOOKUP(Table29[[#This Row],[Shortname]], Comp[], 17, FALSE)</f>
        <v>0</v>
      </c>
      <c r="AM512">
        <f>VLOOKUP(Table29[[#This Row],[Shortname]], Comp[], 18, FALSE)</f>
        <v>0</v>
      </c>
      <c r="AN512">
        <f>VLOOKUP(Table29[[#This Row],[Shortname]], Comp[], 19, FALSE)</f>
        <v>0</v>
      </c>
      <c r="AO512">
        <f>VLOOKUP(Table29[[#This Row],[Shortname]], Comp[], 20, FALSE)</f>
        <v>0</v>
      </c>
      <c r="AP512">
        <f>VLOOKUP(Table29[[#This Row],[Shortname]], Comp[], 21, FALSE)</f>
        <v>0</v>
      </c>
      <c r="AQ512">
        <f>VLOOKUP(Table29[[#This Row],[Shortname]], Comp[], 22, FALSE)</f>
        <v>0.4</v>
      </c>
      <c r="AR512">
        <f>VLOOKUP(Table29[[#This Row],[Shortname]], Comp[], 23, FALSE)</f>
        <v>0</v>
      </c>
      <c r="AS512">
        <f>VLOOKUP(Table29[[#This Row],[Shortname]], Comp[], 24, FALSE)</f>
        <v>0</v>
      </c>
      <c r="AT512">
        <f>VLOOKUP(Table29[[#This Row],[Shortname]], Comp[], 25, FALSE)</f>
        <v>0.1</v>
      </c>
      <c r="AU512">
        <f>VLOOKUP(Table29[[#This Row],[Shortname]], Comp[], 26, FALSE)</f>
        <v>0</v>
      </c>
      <c r="AV512">
        <f>VLOOKUP(Table29[[#This Row],[Shortname]], Comp[], 27, FALSE)</f>
        <v>0</v>
      </c>
      <c r="AW512">
        <f>VLOOKUP(Table29[[#This Row],[Shortname]], Comp[], 28, FALSE)</f>
        <v>0</v>
      </c>
      <c r="AX512">
        <f>VLOOKUP(Table29[[#This Row],[Shortname]], Comp[], 29, FALSE)</f>
        <v>0</v>
      </c>
      <c r="AY512">
        <f>VLOOKUP(Table29[[#This Row],[Shortname]], Comp[], 30, FALSE)</f>
        <v>0</v>
      </c>
      <c r="AZ512">
        <f>VLOOKUP(Table29[[#This Row],[Shortname]], Comp[], 31, FALSE)</f>
        <v>0</v>
      </c>
    </row>
    <row r="513" spans="1:52" x14ac:dyDescent="0.3">
      <c r="A513" t="s">
        <v>6360</v>
      </c>
      <c r="F513" t="s">
        <v>6361</v>
      </c>
      <c r="G513" t="s">
        <v>6362</v>
      </c>
      <c r="H513">
        <v>300</v>
      </c>
      <c r="I513">
        <v>8.6799999999999996E-8</v>
      </c>
      <c r="J513">
        <f>0.01/Table29[[#This Row],[Strain Rate (min) /s]]</f>
        <v>115207.3732718894</v>
      </c>
      <c r="K513">
        <f>LOG(Table29[[#This Row],[Time to 1% strain (s)]])</f>
        <v>5.0614802748235084</v>
      </c>
      <c r="L513">
        <v>850</v>
      </c>
      <c r="M513">
        <v>10.9</v>
      </c>
      <c r="P513" t="s">
        <v>7225</v>
      </c>
      <c r="Q513">
        <v>1300</v>
      </c>
      <c r="R513">
        <v>24</v>
      </c>
      <c r="S513">
        <v>900</v>
      </c>
      <c r="T513">
        <v>24</v>
      </c>
      <c r="W513">
        <v>1</v>
      </c>
      <c r="X513">
        <v>100</v>
      </c>
      <c r="Y513">
        <v>64</v>
      </c>
      <c r="AA513">
        <f>VLOOKUP(Table29[[#This Row],[Shortname]], Comp[], 6, FALSE)</f>
        <v>1055</v>
      </c>
      <c r="AB513" s="14">
        <f>VLOOKUP(Table29[[#This Row],[Shortname]], Comp[], 7, FALSE)</f>
        <v>80.400000000000006</v>
      </c>
      <c r="AC513">
        <f>VLOOKUP(Table29[[#This Row],[Shortname]], Comp[], 8, FALSE)</f>
        <v>0</v>
      </c>
      <c r="AD513">
        <f>VLOOKUP(Table29[[#This Row],[Shortname]], Comp[], 9, FALSE)</f>
        <v>12</v>
      </c>
      <c r="AE513">
        <f>VLOOKUP(Table29[[#This Row],[Shortname]], Comp[], 10, FALSE)</f>
        <v>0</v>
      </c>
      <c r="AF513">
        <f>VLOOKUP(Table29[[#This Row],[Shortname]], Comp[], 11, FALSE)</f>
        <v>7.6</v>
      </c>
      <c r="AG513">
        <f>VLOOKUP(Table29[[#This Row],[Shortname]], Comp[],12, FALSE)</f>
        <v>0</v>
      </c>
      <c r="AH513">
        <f>VLOOKUP(Table29[[#This Row],[Shortname]], Comp[], 13, FALSE)</f>
        <v>0</v>
      </c>
      <c r="AI513">
        <f>VLOOKUP(Table29[[#This Row],[Shortname]], Comp[], 14, FALSE)</f>
        <v>0</v>
      </c>
      <c r="AJ513">
        <f>VLOOKUP(Table29[[#This Row],[Shortname]], Comp[], 15, FALSE)</f>
        <v>0</v>
      </c>
      <c r="AK513">
        <f>VLOOKUP(Table29[[#This Row],[Shortname]], Comp[], 16, FALSE)</f>
        <v>0</v>
      </c>
      <c r="AL513">
        <f>VLOOKUP(Table29[[#This Row],[Shortname]], Comp[], 17, FALSE)</f>
        <v>0</v>
      </c>
      <c r="AM513">
        <f>VLOOKUP(Table29[[#This Row],[Shortname]], Comp[], 18, FALSE)</f>
        <v>0</v>
      </c>
      <c r="AN513">
        <f>VLOOKUP(Table29[[#This Row],[Shortname]], Comp[], 19, FALSE)</f>
        <v>0</v>
      </c>
      <c r="AO513">
        <f>VLOOKUP(Table29[[#This Row],[Shortname]], Comp[], 20, FALSE)</f>
        <v>0</v>
      </c>
      <c r="AP513">
        <f>VLOOKUP(Table29[[#This Row],[Shortname]], Comp[], 21, FALSE)</f>
        <v>0</v>
      </c>
      <c r="AQ513">
        <f>VLOOKUP(Table29[[#This Row],[Shortname]], Comp[], 22, FALSE)</f>
        <v>0</v>
      </c>
      <c r="AR513">
        <f>VLOOKUP(Table29[[#This Row],[Shortname]], Comp[], 23, FALSE)</f>
        <v>0</v>
      </c>
      <c r="AS513">
        <f>VLOOKUP(Table29[[#This Row],[Shortname]], Comp[], 24, FALSE)</f>
        <v>0</v>
      </c>
      <c r="AT513">
        <f>VLOOKUP(Table29[[#This Row],[Shortname]], Comp[], 25, FALSE)</f>
        <v>0</v>
      </c>
      <c r="AU513">
        <f>VLOOKUP(Table29[[#This Row],[Shortname]], Comp[], 26, FALSE)</f>
        <v>0</v>
      </c>
      <c r="AV513">
        <f>VLOOKUP(Table29[[#This Row],[Shortname]], Comp[], 27, FALSE)</f>
        <v>0</v>
      </c>
      <c r="AW513">
        <f>VLOOKUP(Table29[[#This Row],[Shortname]], Comp[], 28, FALSE)</f>
        <v>0</v>
      </c>
      <c r="AX513">
        <f>VLOOKUP(Table29[[#This Row],[Shortname]], Comp[], 29, FALSE)</f>
        <v>0</v>
      </c>
      <c r="AY513">
        <f>VLOOKUP(Table29[[#This Row],[Shortname]], Comp[], 30, FALSE)</f>
        <v>0</v>
      </c>
      <c r="AZ513">
        <f>VLOOKUP(Table29[[#This Row],[Shortname]], Comp[], 31, FALSE)</f>
        <v>0</v>
      </c>
    </row>
    <row r="514" spans="1:52" x14ac:dyDescent="0.3">
      <c r="A514" t="s">
        <v>6360</v>
      </c>
      <c r="F514" t="s">
        <v>6361</v>
      </c>
      <c r="G514" t="s">
        <v>6362</v>
      </c>
      <c r="H514">
        <v>350</v>
      </c>
      <c r="I514">
        <v>1.9000000000000001E-7</v>
      </c>
      <c r="J514">
        <f>0.01/Table29[[#This Row],[Strain Rate (min) /s]]</f>
        <v>52631.57894736842</v>
      </c>
      <c r="K514">
        <f>LOG(Table29[[#This Row],[Time to 1% strain (s)]])</f>
        <v>4.7212463990471711</v>
      </c>
      <c r="L514">
        <v>850</v>
      </c>
      <c r="M514">
        <v>10.9</v>
      </c>
      <c r="P514" t="s">
        <v>7225</v>
      </c>
      <c r="Q514">
        <v>1300</v>
      </c>
      <c r="R514">
        <v>24</v>
      </c>
      <c r="S514">
        <v>900</v>
      </c>
      <c r="T514">
        <v>24</v>
      </c>
      <c r="W514">
        <v>1</v>
      </c>
      <c r="X514">
        <v>100</v>
      </c>
      <c r="Y514">
        <v>64</v>
      </c>
      <c r="AA514">
        <f>VLOOKUP(Table29[[#This Row],[Shortname]], Comp[], 6, FALSE)</f>
        <v>1055</v>
      </c>
      <c r="AB514" s="14">
        <f>VLOOKUP(Table29[[#This Row],[Shortname]], Comp[], 7, FALSE)</f>
        <v>80.400000000000006</v>
      </c>
      <c r="AC514">
        <f>VLOOKUP(Table29[[#This Row],[Shortname]], Comp[], 8, FALSE)</f>
        <v>0</v>
      </c>
      <c r="AD514">
        <f>VLOOKUP(Table29[[#This Row],[Shortname]], Comp[], 9, FALSE)</f>
        <v>12</v>
      </c>
      <c r="AE514">
        <f>VLOOKUP(Table29[[#This Row],[Shortname]], Comp[], 10, FALSE)</f>
        <v>0</v>
      </c>
      <c r="AF514">
        <f>VLOOKUP(Table29[[#This Row],[Shortname]], Comp[], 11, FALSE)</f>
        <v>7.6</v>
      </c>
      <c r="AG514">
        <f>VLOOKUP(Table29[[#This Row],[Shortname]], Comp[],12, FALSE)</f>
        <v>0</v>
      </c>
      <c r="AH514">
        <f>VLOOKUP(Table29[[#This Row],[Shortname]], Comp[], 13, FALSE)</f>
        <v>0</v>
      </c>
      <c r="AI514">
        <f>VLOOKUP(Table29[[#This Row],[Shortname]], Comp[], 14, FALSE)</f>
        <v>0</v>
      </c>
      <c r="AJ514">
        <f>VLOOKUP(Table29[[#This Row],[Shortname]], Comp[], 15, FALSE)</f>
        <v>0</v>
      </c>
      <c r="AK514">
        <f>VLOOKUP(Table29[[#This Row],[Shortname]], Comp[], 16, FALSE)</f>
        <v>0</v>
      </c>
      <c r="AL514">
        <f>VLOOKUP(Table29[[#This Row],[Shortname]], Comp[], 17, FALSE)</f>
        <v>0</v>
      </c>
      <c r="AM514">
        <f>VLOOKUP(Table29[[#This Row],[Shortname]], Comp[], 18, FALSE)</f>
        <v>0</v>
      </c>
      <c r="AN514">
        <f>VLOOKUP(Table29[[#This Row],[Shortname]], Comp[], 19, FALSE)</f>
        <v>0</v>
      </c>
      <c r="AO514">
        <f>VLOOKUP(Table29[[#This Row],[Shortname]], Comp[], 20, FALSE)</f>
        <v>0</v>
      </c>
      <c r="AP514">
        <f>VLOOKUP(Table29[[#This Row],[Shortname]], Comp[], 21, FALSE)</f>
        <v>0</v>
      </c>
      <c r="AQ514">
        <f>VLOOKUP(Table29[[#This Row],[Shortname]], Comp[], 22, FALSE)</f>
        <v>0</v>
      </c>
      <c r="AR514">
        <f>VLOOKUP(Table29[[#This Row],[Shortname]], Comp[], 23, FALSE)</f>
        <v>0</v>
      </c>
      <c r="AS514">
        <f>VLOOKUP(Table29[[#This Row],[Shortname]], Comp[], 24, FALSE)</f>
        <v>0</v>
      </c>
      <c r="AT514">
        <f>VLOOKUP(Table29[[#This Row],[Shortname]], Comp[], 25, FALSE)</f>
        <v>0</v>
      </c>
      <c r="AU514">
        <f>VLOOKUP(Table29[[#This Row],[Shortname]], Comp[], 26, FALSE)</f>
        <v>0</v>
      </c>
      <c r="AV514">
        <f>VLOOKUP(Table29[[#This Row],[Shortname]], Comp[], 27, FALSE)</f>
        <v>0</v>
      </c>
      <c r="AW514">
        <f>VLOOKUP(Table29[[#This Row],[Shortname]], Comp[], 28, FALSE)</f>
        <v>0</v>
      </c>
      <c r="AX514">
        <f>VLOOKUP(Table29[[#This Row],[Shortname]], Comp[], 29, FALSE)</f>
        <v>0</v>
      </c>
      <c r="AY514">
        <f>VLOOKUP(Table29[[#This Row],[Shortname]], Comp[], 30, FALSE)</f>
        <v>0</v>
      </c>
      <c r="AZ514">
        <f>VLOOKUP(Table29[[#This Row],[Shortname]], Comp[], 31, FALSE)</f>
        <v>0</v>
      </c>
    </row>
    <row r="515" spans="1:52" x14ac:dyDescent="0.3">
      <c r="A515" t="s">
        <v>6360</v>
      </c>
      <c r="F515" t="s">
        <v>6361</v>
      </c>
      <c r="G515" t="s">
        <v>6362</v>
      </c>
      <c r="H515">
        <v>400</v>
      </c>
      <c r="I515">
        <v>1.9099999999999999E-6</v>
      </c>
      <c r="J515">
        <f>0.01/Table29[[#This Row],[Strain Rate (min) /s]]</f>
        <v>5235.6020942408377</v>
      </c>
      <c r="K515">
        <f>LOG(Table29[[#This Row],[Time to 1% strain (s)]])</f>
        <v>3.7189666327522723</v>
      </c>
      <c r="L515">
        <v>850</v>
      </c>
      <c r="M515">
        <v>10.9</v>
      </c>
      <c r="P515" t="s">
        <v>7225</v>
      </c>
      <c r="Q515">
        <v>1300</v>
      </c>
      <c r="R515">
        <v>24</v>
      </c>
      <c r="S515">
        <v>900</v>
      </c>
      <c r="T515">
        <v>24</v>
      </c>
      <c r="W515">
        <v>1</v>
      </c>
      <c r="X515">
        <v>100</v>
      </c>
      <c r="Y515">
        <v>64</v>
      </c>
      <c r="AA515">
        <f>VLOOKUP(Table29[[#This Row],[Shortname]], Comp[], 6, FALSE)</f>
        <v>1055</v>
      </c>
      <c r="AB515" s="14">
        <f>VLOOKUP(Table29[[#This Row],[Shortname]], Comp[], 7, FALSE)</f>
        <v>80.400000000000006</v>
      </c>
      <c r="AC515">
        <f>VLOOKUP(Table29[[#This Row],[Shortname]], Comp[], 8, FALSE)</f>
        <v>0</v>
      </c>
      <c r="AD515">
        <f>VLOOKUP(Table29[[#This Row],[Shortname]], Comp[], 9, FALSE)</f>
        <v>12</v>
      </c>
      <c r="AE515">
        <f>VLOOKUP(Table29[[#This Row],[Shortname]], Comp[], 10, FALSE)</f>
        <v>0</v>
      </c>
      <c r="AF515">
        <f>VLOOKUP(Table29[[#This Row],[Shortname]], Comp[], 11, FALSE)</f>
        <v>7.6</v>
      </c>
      <c r="AG515">
        <f>VLOOKUP(Table29[[#This Row],[Shortname]], Comp[],12, FALSE)</f>
        <v>0</v>
      </c>
      <c r="AH515">
        <f>VLOOKUP(Table29[[#This Row],[Shortname]], Comp[], 13, FALSE)</f>
        <v>0</v>
      </c>
      <c r="AI515">
        <f>VLOOKUP(Table29[[#This Row],[Shortname]], Comp[], 14, FALSE)</f>
        <v>0</v>
      </c>
      <c r="AJ515">
        <f>VLOOKUP(Table29[[#This Row],[Shortname]], Comp[], 15, FALSE)</f>
        <v>0</v>
      </c>
      <c r="AK515">
        <f>VLOOKUP(Table29[[#This Row],[Shortname]], Comp[], 16, FALSE)</f>
        <v>0</v>
      </c>
      <c r="AL515">
        <f>VLOOKUP(Table29[[#This Row],[Shortname]], Comp[], 17, FALSE)</f>
        <v>0</v>
      </c>
      <c r="AM515">
        <f>VLOOKUP(Table29[[#This Row],[Shortname]], Comp[], 18, FALSE)</f>
        <v>0</v>
      </c>
      <c r="AN515">
        <f>VLOOKUP(Table29[[#This Row],[Shortname]], Comp[], 19, FALSE)</f>
        <v>0</v>
      </c>
      <c r="AO515">
        <f>VLOOKUP(Table29[[#This Row],[Shortname]], Comp[], 20, FALSE)</f>
        <v>0</v>
      </c>
      <c r="AP515">
        <f>VLOOKUP(Table29[[#This Row],[Shortname]], Comp[], 21, FALSE)</f>
        <v>0</v>
      </c>
      <c r="AQ515">
        <f>VLOOKUP(Table29[[#This Row],[Shortname]], Comp[], 22, FALSE)</f>
        <v>0</v>
      </c>
      <c r="AR515">
        <f>VLOOKUP(Table29[[#This Row],[Shortname]], Comp[], 23, FALSE)</f>
        <v>0</v>
      </c>
      <c r="AS515">
        <f>VLOOKUP(Table29[[#This Row],[Shortname]], Comp[], 24, FALSE)</f>
        <v>0</v>
      </c>
      <c r="AT515">
        <f>VLOOKUP(Table29[[#This Row],[Shortname]], Comp[], 25, FALSE)</f>
        <v>0</v>
      </c>
      <c r="AU515">
        <f>VLOOKUP(Table29[[#This Row],[Shortname]], Comp[], 26, FALSE)</f>
        <v>0</v>
      </c>
      <c r="AV515">
        <f>VLOOKUP(Table29[[#This Row],[Shortname]], Comp[], 27, FALSE)</f>
        <v>0</v>
      </c>
      <c r="AW515">
        <f>VLOOKUP(Table29[[#This Row],[Shortname]], Comp[], 28, FALSE)</f>
        <v>0</v>
      </c>
      <c r="AX515">
        <f>VLOOKUP(Table29[[#This Row],[Shortname]], Comp[], 29, FALSE)</f>
        <v>0</v>
      </c>
      <c r="AY515">
        <f>VLOOKUP(Table29[[#This Row],[Shortname]], Comp[], 30, FALSE)</f>
        <v>0</v>
      </c>
      <c r="AZ515">
        <f>VLOOKUP(Table29[[#This Row],[Shortname]], Comp[], 31, FALSE)</f>
        <v>0</v>
      </c>
    </row>
    <row r="516" spans="1:52" x14ac:dyDescent="0.3">
      <c r="A516" t="s">
        <v>5654</v>
      </c>
      <c r="F516" t="s">
        <v>6346</v>
      </c>
      <c r="G516" t="s">
        <v>6347</v>
      </c>
      <c r="H516">
        <v>150</v>
      </c>
      <c r="I516">
        <v>1.4999999999999999E-8</v>
      </c>
      <c r="J516">
        <f>0.01/Table29[[#This Row],[Strain Rate (min) /s]]</f>
        <v>666666.66666666674</v>
      </c>
      <c r="K516">
        <f>LOG(Table29[[#This Row],[Time to 1% strain (s)]])</f>
        <v>5.8239087409443187</v>
      </c>
      <c r="L516">
        <v>950</v>
      </c>
      <c r="P516" t="s">
        <v>7226</v>
      </c>
      <c r="Q516">
        <v>1300</v>
      </c>
      <c r="R516">
        <v>12</v>
      </c>
      <c r="S516">
        <v>900</v>
      </c>
      <c r="T516">
        <v>200</v>
      </c>
      <c r="W516">
        <v>1</v>
      </c>
      <c r="X516">
        <v>1</v>
      </c>
      <c r="Y516">
        <v>51</v>
      </c>
      <c r="AA516">
        <f>VLOOKUP(Table29[[#This Row],[Shortname]], Comp[], 6, FALSE)</f>
        <v>880</v>
      </c>
      <c r="AB516" s="14">
        <f>VLOOKUP(Table29[[#This Row],[Shortname]], Comp[], 7, FALSE)</f>
        <v>81.5</v>
      </c>
      <c r="AC516">
        <f>VLOOKUP(Table29[[#This Row],[Shortname]], Comp[], 8, FALSE)</f>
        <v>0</v>
      </c>
      <c r="AD516">
        <f>VLOOKUP(Table29[[#This Row],[Shortname]], Comp[], 9, FALSE)</f>
        <v>9</v>
      </c>
      <c r="AE516">
        <f>VLOOKUP(Table29[[#This Row],[Shortname]], Comp[], 10, FALSE)</f>
        <v>0</v>
      </c>
      <c r="AF516">
        <f>VLOOKUP(Table29[[#This Row],[Shortname]], Comp[], 11, FALSE)</f>
        <v>7.5</v>
      </c>
      <c r="AG516">
        <f>VLOOKUP(Table29[[#This Row],[Shortname]], Comp[],12, FALSE)</f>
        <v>0</v>
      </c>
      <c r="AH516">
        <f>VLOOKUP(Table29[[#This Row],[Shortname]], Comp[], 13, FALSE)</f>
        <v>2</v>
      </c>
      <c r="AI516">
        <f>VLOOKUP(Table29[[#This Row],[Shortname]], Comp[], 14, FALSE)</f>
        <v>0</v>
      </c>
      <c r="AJ516">
        <f>VLOOKUP(Table29[[#This Row],[Shortname]], Comp[], 15, FALSE)</f>
        <v>0</v>
      </c>
      <c r="AK516">
        <f>VLOOKUP(Table29[[#This Row],[Shortname]], Comp[], 16, FALSE)</f>
        <v>0</v>
      </c>
      <c r="AL516">
        <f>VLOOKUP(Table29[[#This Row],[Shortname]], Comp[], 17, FALSE)</f>
        <v>0</v>
      </c>
      <c r="AM516">
        <f>VLOOKUP(Table29[[#This Row],[Shortname]], Comp[], 18, FALSE)</f>
        <v>0</v>
      </c>
      <c r="AN516">
        <f>VLOOKUP(Table29[[#This Row],[Shortname]], Comp[], 19, FALSE)</f>
        <v>0</v>
      </c>
      <c r="AO516">
        <f>VLOOKUP(Table29[[#This Row],[Shortname]], Comp[], 20, FALSE)</f>
        <v>0</v>
      </c>
      <c r="AP516">
        <f>VLOOKUP(Table29[[#This Row],[Shortname]], Comp[], 21, FALSE)</f>
        <v>0</v>
      </c>
      <c r="AQ516">
        <f>VLOOKUP(Table29[[#This Row],[Shortname]], Comp[], 22, FALSE)</f>
        <v>0</v>
      </c>
      <c r="AR516">
        <f>VLOOKUP(Table29[[#This Row],[Shortname]], Comp[], 23, FALSE)</f>
        <v>0</v>
      </c>
      <c r="AS516">
        <f>VLOOKUP(Table29[[#This Row],[Shortname]], Comp[], 24, FALSE)</f>
        <v>0</v>
      </c>
      <c r="AT516">
        <f>VLOOKUP(Table29[[#This Row],[Shortname]], Comp[], 25, FALSE)</f>
        <v>0</v>
      </c>
      <c r="AU516">
        <f>VLOOKUP(Table29[[#This Row],[Shortname]], Comp[], 26, FALSE)</f>
        <v>0</v>
      </c>
      <c r="AV516">
        <f>VLOOKUP(Table29[[#This Row],[Shortname]], Comp[], 27, FALSE)</f>
        <v>0</v>
      </c>
      <c r="AW516">
        <f>VLOOKUP(Table29[[#This Row],[Shortname]], Comp[], 28, FALSE)</f>
        <v>0</v>
      </c>
      <c r="AX516">
        <f>VLOOKUP(Table29[[#This Row],[Shortname]], Comp[], 29, FALSE)</f>
        <v>0</v>
      </c>
      <c r="AY516">
        <f>VLOOKUP(Table29[[#This Row],[Shortname]], Comp[], 30, FALSE)</f>
        <v>0</v>
      </c>
      <c r="AZ516">
        <f>VLOOKUP(Table29[[#This Row],[Shortname]], Comp[], 31, FALSE)</f>
        <v>0</v>
      </c>
    </row>
    <row r="517" spans="1:52" x14ac:dyDescent="0.3">
      <c r="A517" t="s">
        <v>5654</v>
      </c>
      <c r="F517" t="s">
        <v>6346</v>
      </c>
      <c r="G517" t="s">
        <v>6347</v>
      </c>
      <c r="H517">
        <v>150</v>
      </c>
      <c r="I517">
        <v>1.9000000000000001E-8</v>
      </c>
      <c r="J517">
        <f>0.01/Table29[[#This Row],[Strain Rate (min) /s]]</f>
        <v>526315.78947368416</v>
      </c>
      <c r="K517">
        <f>LOG(Table29[[#This Row],[Time to 1% strain (s)]])</f>
        <v>5.7212463990471711</v>
      </c>
      <c r="L517">
        <v>950</v>
      </c>
      <c r="P517" t="s">
        <v>7227</v>
      </c>
      <c r="Q517">
        <v>1300</v>
      </c>
      <c r="R517">
        <v>12</v>
      </c>
      <c r="S517">
        <v>900</v>
      </c>
      <c r="T517">
        <v>200</v>
      </c>
      <c r="W517">
        <v>1</v>
      </c>
      <c r="X517">
        <v>1</v>
      </c>
      <c r="Y517">
        <v>51</v>
      </c>
      <c r="AA517">
        <f>VLOOKUP(Table29[[#This Row],[Shortname]], Comp[], 6, FALSE)</f>
        <v>880</v>
      </c>
      <c r="AB517" s="14">
        <f>VLOOKUP(Table29[[#This Row],[Shortname]], Comp[], 7, FALSE)</f>
        <v>81.5</v>
      </c>
      <c r="AC517">
        <f>VLOOKUP(Table29[[#This Row],[Shortname]], Comp[], 8, FALSE)</f>
        <v>0</v>
      </c>
      <c r="AD517">
        <f>VLOOKUP(Table29[[#This Row],[Shortname]], Comp[], 9, FALSE)</f>
        <v>9</v>
      </c>
      <c r="AE517">
        <f>VLOOKUP(Table29[[#This Row],[Shortname]], Comp[], 10, FALSE)</f>
        <v>0</v>
      </c>
      <c r="AF517">
        <f>VLOOKUP(Table29[[#This Row],[Shortname]], Comp[], 11, FALSE)</f>
        <v>7.5</v>
      </c>
      <c r="AG517">
        <f>VLOOKUP(Table29[[#This Row],[Shortname]], Comp[],12, FALSE)</f>
        <v>0</v>
      </c>
      <c r="AH517">
        <f>VLOOKUP(Table29[[#This Row],[Shortname]], Comp[], 13, FALSE)</f>
        <v>2</v>
      </c>
      <c r="AI517">
        <f>VLOOKUP(Table29[[#This Row],[Shortname]], Comp[], 14, FALSE)</f>
        <v>0</v>
      </c>
      <c r="AJ517">
        <f>VLOOKUP(Table29[[#This Row],[Shortname]], Comp[], 15, FALSE)</f>
        <v>0</v>
      </c>
      <c r="AK517">
        <f>VLOOKUP(Table29[[#This Row],[Shortname]], Comp[], 16, FALSE)</f>
        <v>0</v>
      </c>
      <c r="AL517">
        <f>VLOOKUP(Table29[[#This Row],[Shortname]], Comp[], 17, FALSE)</f>
        <v>0</v>
      </c>
      <c r="AM517">
        <f>VLOOKUP(Table29[[#This Row],[Shortname]], Comp[], 18, FALSE)</f>
        <v>0</v>
      </c>
      <c r="AN517">
        <f>VLOOKUP(Table29[[#This Row],[Shortname]], Comp[], 19, FALSE)</f>
        <v>0</v>
      </c>
      <c r="AO517">
        <f>VLOOKUP(Table29[[#This Row],[Shortname]], Comp[], 20, FALSE)</f>
        <v>0</v>
      </c>
      <c r="AP517">
        <f>VLOOKUP(Table29[[#This Row],[Shortname]], Comp[], 21, FALSE)</f>
        <v>0</v>
      </c>
      <c r="AQ517">
        <f>VLOOKUP(Table29[[#This Row],[Shortname]], Comp[], 22, FALSE)</f>
        <v>0</v>
      </c>
      <c r="AR517">
        <f>VLOOKUP(Table29[[#This Row],[Shortname]], Comp[], 23, FALSE)</f>
        <v>0</v>
      </c>
      <c r="AS517">
        <f>VLOOKUP(Table29[[#This Row],[Shortname]], Comp[], 24, FALSE)</f>
        <v>0</v>
      </c>
      <c r="AT517">
        <f>VLOOKUP(Table29[[#This Row],[Shortname]], Comp[], 25, FALSE)</f>
        <v>0</v>
      </c>
      <c r="AU517">
        <f>VLOOKUP(Table29[[#This Row],[Shortname]], Comp[], 26, FALSE)</f>
        <v>0</v>
      </c>
      <c r="AV517">
        <f>VLOOKUP(Table29[[#This Row],[Shortname]], Comp[], 27, FALSE)</f>
        <v>0</v>
      </c>
      <c r="AW517">
        <f>VLOOKUP(Table29[[#This Row],[Shortname]], Comp[], 28, FALSE)</f>
        <v>0</v>
      </c>
      <c r="AX517">
        <f>VLOOKUP(Table29[[#This Row],[Shortname]], Comp[], 29, FALSE)</f>
        <v>0</v>
      </c>
      <c r="AY517">
        <f>VLOOKUP(Table29[[#This Row],[Shortname]], Comp[], 30, FALSE)</f>
        <v>0</v>
      </c>
      <c r="AZ517">
        <f>VLOOKUP(Table29[[#This Row],[Shortname]], Comp[], 31, FALSE)</f>
        <v>0</v>
      </c>
    </row>
    <row r="518" spans="1:52" x14ac:dyDescent="0.3">
      <c r="A518" t="s">
        <v>5654</v>
      </c>
      <c r="F518" t="s">
        <v>6346</v>
      </c>
      <c r="G518" t="s">
        <v>6347</v>
      </c>
      <c r="H518">
        <v>150</v>
      </c>
      <c r="I518">
        <v>2.4999999999999999E-8</v>
      </c>
      <c r="J518">
        <f>0.01/Table29[[#This Row],[Strain Rate (min) /s]]</f>
        <v>400000</v>
      </c>
      <c r="K518">
        <f>LOG(Table29[[#This Row],[Time to 1% strain (s)]])</f>
        <v>5.6020599913279625</v>
      </c>
      <c r="L518">
        <v>950</v>
      </c>
      <c r="P518" t="s">
        <v>7228</v>
      </c>
      <c r="Q518">
        <v>1300</v>
      </c>
      <c r="R518">
        <v>12</v>
      </c>
      <c r="S518">
        <v>900</v>
      </c>
      <c r="T518">
        <v>200</v>
      </c>
      <c r="W518">
        <v>1</v>
      </c>
      <c r="X518">
        <v>1</v>
      </c>
      <c r="Y518">
        <v>51</v>
      </c>
      <c r="AA518">
        <f>VLOOKUP(Table29[[#This Row],[Shortname]], Comp[], 6, FALSE)</f>
        <v>880</v>
      </c>
      <c r="AB518" s="14">
        <f>VLOOKUP(Table29[[#This Row],[Shortname]], Comp[], 7, FALSE)</f>
        <v>81.5</v>
      </c>
      <c r="AC518">
        <f>VLOOKUP(Table29[[#This Row],[Shortname]], Comp[], 8, FALSE)</f>
        <v>0</v>
      </c>
      <c r="AD518">
        <f>VLOOKUP(Table29[[#This Row],[Shortname]], Comp[], 9, FALSE)</f>
        <v>9</v>
      </c>
      <c r="AE518">
        <f>VLOOKUP(Table29[[#This Row],[Shortname]], Comp[], 10, FALSE)</f>
        <v>0</v>
      </c>
      <c r="AF518">
        <f>VLOOKUP(Table29[[#This Row],[Shortname]], Comp[], 11, FALSE)</f>
        <v>7.5</v>
      </c>
      <c r="AG518">
        <f>VLOOKUP(Table29[[#This Row],[Shortname]], Comp[],12, FALSE)</f>
        <v>0</v>
      </c>
      <c r="AH518">
        <f>VLOOKUP(Table29[[#This Row],[Shortname]], Comp[], 13, FALSE)</f>
        <v>2</v>
      </c>
      <c r="AI518">
        <f>VLOOKUP(Table29[[#This Row],[Shortname]], Comp[], 14, FALSE)</f>
        <v>0</v>
      </c>
      <c r="AJ518">
        <f>VLOOKUP(Table29[[#This Row],[Shortname]], Comp[], 15, FALSE)</f>
        <v>0</v>
      </c>
      <c r="AK518">
        <f>VLOOKUP(Table29[[#This Row],[Shortname]], Comp[], 16, FALSE)</f>
        <v>0</v>
      </c>
      <c r="AL518">
        <f>VLOOKUP(Table29[[#This Row],[Shortname]], Comp[], 17, FALSE)</f>
        <v>0</v>
      </c>
      <c r="AM518">
        <f>VLOOKUP(Table29[[#This Row],[Shortname]], Comp[], 18, FALSE)</f>
        <v>0</v>
      </c>
      <c r="AN518">
        <f>VLOOKUP(Table29[[#This Row],[Shortname]], Comp[], 19, FALSE)</f>
        <v>0</v>
      </c>
      <c r="AO518">
        <f>VLOOKUP(Table29[[#This Row],[Shortname]], Comp[], 20, FALSE)</f>
        <v>0</v>
      </c>
      <c r="AP518">
        <f>VLOOKUP(Table29[[#This Row],[Shortname]], Comp[], 21, FALSE)</f>
        <v>0</v>
      </c>
      <c r="AQ518">
        <f>VLOOKUP(Table29[[#This Row],[Shortname]], Comp[], 22, FALSE)</f>
        <v>0</v>
      </c>
      <c r="AR518">
        <f>VLOOKUP(Table29[[#This Row],[Shortname]], Comp[], 23, FALSE)</f>
        <v>0</v>
      </c>
      <c r="AS518">
        <f>VLOOKUP(Table29[[#This Row],[Shortname]], Comp[], 24, FALSE)</f>
        <v>0</v>
      </c>
      <c r="AT518">
        <f>VLOOKUP(Table29[[#This Row],[Shortname]], Comp[], 25, FALSE)</f>
        <v>0</v>
      </c>
      <c r="AU518">
        <f>VLOOKUP(Table29[[#This Row],[Shortname]], Comp[], 26, FALSE)</f>
        <v>0</v>
      </c>
      <c r="AV518">
        <f>VLOOKUP(Table29[[#This Row],[Shortname]], Comp[], 27, FALSE)</f>
        <v>0</v>
      </c>
      <c r="AW518">
        <f>VLOOKUP(Table29[[#This Row],[Shortname]], Comp[], 28, FALSE)</f>
        <v>0</v>
      </c>
      <c r="AX518">
        <f>VLOOKUP(Table29[[#This Row],[Shortname]], Comp[], 29, FALSE)</f>
        <v>0</v>
      </c>
      <c r="AY518">
        <f>VLOOKUP(Table29[[#This Row],[Shortname]], Comp[], 30, FALSE)</f>
        <v>0</v>
      </c>
      <c r="AZ518">
        <f>VLOOKUP(Table29[[#This Row],[Shortname]], Comp[], 31, FALSE)</f>
        <v>0</v>
      </c>
    </row>
    <row r="519" spans="1:52" x14ac:dyDescent="0.3">
      <c r="A519" t="s">
        <v>5654</v>
      </c>
      <c r="F519" t="s">
        <v>6346</v>
      </c>
      <c r="G519" t="s">
        <v>6347</v>
      </c>
      <c r="H519">
        <v>150</v>
      </c>
      <c r="I519">
        <v>1.7E-8</v>
      </c>
      <c r="J519">
        <f>0.01/Table29[[#This Row],[Strain Rate (min) /s]]</f>
        <v>588235.29411764711</v>
      </c>
      <c r="K519">
        <f>LOG(Table29[[#This Row],[Time to 1% strain (s)]])</f>
        <v>5.7695510786217259</v>
      </c>
      <c r="L519">
        <v>950</v>
      </c>
      <c r="P519" t="s">
        <v>7229</v>
      </c>
      <c r="Q519">
        <v>1300</v>
      </c>
      <c r="R519">
        <v>12</v>
      </c>
      <c r="S519">
        <v>900</v>
      </c>
      <c r="T519">
        <v>200</v>
      </c>
      <c r="W519">
        <v>1</v>
      </c>
      <c r="X519">
        <v>1</v>
      </c>
      <c r="Y519">
        <v>51</v>
      </c>
      <c r="AA519">
        <f>VLOOKUP(Table29[[#This Row],[Shortname]], Comp[], 6, FALSE)</f>
        <v>880</v>
      </c>
      <c r="AB519" s="14">
        <f>VLOOKUP(Table29[[#This Row],[Shortname]], Comp[], 7, FALSE)</f>
        <v>81.5</v>
      </c>
      <c r="AC519">
        <f>VLOOKUP(Table29[[#This Row],[Shortname]], Comp[], 8, FALSE)</f>
        <v>0</v>
      </c>
      <c r="AD519">
        <f>VLOOKUP(Table29[[#This Row],[Shortname]], Comp[], 9, FALSE)</f>
        <v>9</v>
      </c>
      <c r="AE519">
        <f>VLOOKUP(Table29[[#This Row],[Shortname]], Comp[], 10, FALSE)</f>
        <v>0</v>
      </c>
      <c r="AF519">
        <f>VLOOKUP(Table29[[#This Row],[Shortname]], Comp[], 11, FALSE)</f>
        <v>7.5</v>
      </c>
      <c r="AG519">
        <f>VLOOKUP(Table29[[#This Row],[Shortname]], Comp[],12, FALSE)</f>
        <v>0</v>
      </c>
      <c r="AH519">
        <f>VLOOKUP(Table29[[#This Row],[Shortname]], Comp[], 13, FALSE)</f>
        <v>2</v>
      </c>
      <c r="AI519">
        <f>VLOOKUP(Table29[[#This Row],[Shortname]], Comp[], 14, FALSE)</f>
        <v>0</v>
      </c>
      <c r="AJ519">
        <f>VLOOKUP(Table29[[#This Row],[Shortname]], Comp[], 15, FALSE)</f>
        <v>0</v>
      </c>
      <c r="AK519">
        <f>VLOOKUP(Table29[[#This Row],[Shortname]], Comp[], 16, FALSE)</f>
        <v>0</v>
      </c>
      <c r="AL519">
        <f>VLOOKUP(Table29[[#This Row],[Shortname]], Comp[], 17, FALSE)</f>
        <v>0</v>
      </c>
      <c r="AM519">
        <f>VLOOKUP(Table29[[#This Row],[Shortname]], Comp[], 18, FALSE)</f>
        <v>0</v>
      </c>
      <c r="AN519">
        <f>VLOOKUP(Table29[[#This Row],[Shortname]], Comp[], 19, FALSE)</f>
        <v>0</v>
      </c>
      <c r="AO519">
        <f>VLOOKUP(Table29[[#This Row],[Shortname]], Comp[], 20, FALSE)</f>
        <v>0</v>
      </c>
      <c r="AP519">
        <f>VLOOKUP(Table29[[#This Row],[Shortname]], Comp[], 21, FALSE)</f>
        <v>0</v>
      </c>
      <c r="AQ519">
        <f>VLOOKUP(Table29[[#This Row],[Shortname]], Comp[], 22, FALSE)</f>
        <v>0</v>
      </c>
      <c r="AR519">
        <f>VLOOKUP(Table29[[#This Row],[Shortname]], Comp[], 23, FALSE)</f>
        <v>0</v>
      </c>
      <c r="AS519">
        <f>VLOOKUP(Table29[[#This Row],[Shortname]], Comp[], 24, FALSE)</f>
        <v>0</v>
      </c>
      <c r="AT519">
        <f>VLOOKUP(Table29[[#This Row],[Shortname]], Comp[], 25, FALSE)</f>
        <v>0</v>
      </c>
      <c r="AU519">
        <f>VLOOKUP(Table29[[#This Row],[Shortname]], Comp[], 26, FALSE)</f>
        <v>0</v>
      </c>
      <c r="AV519">
        <f>VLOOKUP(Table29[[#This Row],[Shortname]], Comp[], 27, FALSE)</f>
        <v>0</v>
      </c>
      <c r="AW519">
        <f>VLOOKUP(Table29[[#This Row],[Shortname]], Comp[], 28, FALSE)</f>
        <v>0</v>
      </c>
      <c r="AX519">
        <f>VLOOKUP(Table29[[#This Row],[Shortname]], Comp[], 29, FALSE)</f>
        <v>0</v>
      </c>
      <c r="AY519">
        <f>VLOOKUP(Table29[[#This Row],[Shortname]], Comp[], 30, FALSE)</f>
        <v>0</v>
      </c>
      <c r="AZ519">
        <f>VLOOKUP(Table29[[#This Row],[Shortname]], Comp[], 31, FALSE)</f>
        <v>0</v>
      </c>
    </row>
    <row r="520" spans="1:52" x14ac:dyDescent="0.3">
      <c r="A520" t="s">
        <v>5654</v>
      </c>
      <c r="F520" t="s">
        <v>6346</v>
      </c>
      <c r="G520" t="s">
        <v>6347</v>
      </c>
      <c r="H520">
        <v>150</v>
      </c>
      <c r="I520">
        <v>1.2E-8</v>
      </c>
      <c r="J520">
        <f>0.01/Table29[[#This Row],[Strain Rate (min) /s]]</f>
        <v>833333.33333333337</v>
      </c>
      <c r="K520">
        <f>LOG(Table29[[#This Row],[Time to 1% strain (s)]])</f>
        <v>5.9208187539523749</v>
      </c>
      <c r="L520">
        <v>950</v>
      </c>
      <c r="P520" t="s">
        <v>7230</v>
      </c>
      <c r="Q520">
        <v>1300</v>
      </c>
      <c r="R520">
        <v>12</v>
      </c>
      <c r="S520">
        <v>900</v>
      </c>
      <c r="T520">
        <v>200</v>
      </c>
      <c r="W520">
        <v>1</v>
      </c>
      <c r="X520">
        <v>1</v>
      </c>
      <c r="Y520">
        <v>51</v>
      </c>
      <c r="AA520">
        <f>VLOOKUP(Table29[[#This Row],[Shortname]], Comp[], 6, FALSE)</f>
        <v>880</v>
      </c>
      <c r="AB520" s="14">
        <f>VLOOKUP(Table29[[#This Row],[Shortname]], Comp[], 7, FALSE)</f>
        <v>81.5</v>
      </c>
      <c r="AC520">
        <f>VLOOKUP(Table29[[#This Row],[Shortname]], Comp[], 8, FALSE)</f>
        <v>0</v>
      </c>
      <c r="AD520">
        <f>VLOOKUP(Table29[[#This Row],[Shortname]], Comp[], 9, FALSE)</f>
        <v>9</v>
      </c>
      <c r="AE520">
        <f>VLOOKUP(Table29[[#This Row],[Shortname]], Comp[], 10, FALSE)</f>
        <v>0</v>
      </c>
      <c r="AF520">
        <f>VLOOKUP(Table29[[#This Row],[Shortname]], Comp[], 11, FALSE)</f>
        <v>7.5</v>
      </c>
      <c r="AG520">
        <f>VLOOKUP(Table29[[#This Row],[Shortname]], Comp[],12, FALSE)</f>
        <v>0</v>
      </c>
      <c r="AH520">
        <f>VLOOKUP(Table29[[#This Row],[Shortname]], Comp[], 13, FALSE)</f>
        <v>2</v>
      </c>
      <c r="AI520">
        <f>VLOOKUP(Table29[[#This Row],[Shortname]], Comp[], 14, FALSE)</f>
        <v>0</v>
      </c>
      <c r="AJ520">
        <f>VLOOKUP(Table29[[#This Row],[Shortname]], Comp[], 15, FALSE)</f>
        <v>0</v>
      </c>
      <c r="AK520">
        <f>VLOOKUP(Table29[[#This Row],[Shortname]], Comp[], 16, FALSE)</f>
        <v>0</v>
      </c>
      <c r="AL520">
        <f>VLOOKUP(Table29[[#This Row],[Shortname]], Comp[], 17, FALSE)</f>
        <v>0</v>
      </c>
      <c r="AM520">
        <f>VLOOKUP(Table29[[#This Row],[Shortname]], Comp[], 18, FALSE)</f>
        <v>0</v>
      </c>
      <c r="AN520">
        <f>VLOOKUP(Table29[[#This Row],[Shortname]], Comp[], 19, FALSE)</f>
        <v>0</v>
      </c>
      <c r="AO520">
        <f>VLOOKUP(Table29[[#This Row],[Shortname]], Comp[], 20, FALSE)</f>
        <v>0</v>
      </c>
      <c r="AP520">
        <f>VLOOKUP(Table29[[#This Row],[Shortname]], Comp[], 21, FALSE)</f>
        <v>0</v>
      </c>
      <c r="AQ520">
        <f>VLOOKUP(Table29[[#This Row],[Shortname]], Comp[], 22, FALSE)</f>
        <v>0</v>
      </c>
      <c r="AR520">
        <f>VLOOKUP(Table29[[#This Row],[Shortname]], Comp[], 23, FALSE)</f>
        <v>0</v>
      </c>
      <c r="AS520">
        <f>VLOOKUP(Table29[[#This Row],[Shortname]], Comp[], 24, FALSE)</f>
        <v>0</v>
      </c>
      <c r="AT520">
        <f>VLOOKUP(Table29[[#This Row],[Shortname]], Comp[], 25, FALSE)</f>
        <v>0</v>
      </c>
      <c r="AU520">
        <f>VLOOKUP(Table29[[#This Row],[Shortname]], Comp[], 26, FALSE)</f>
        <v>0</v>
      </c>
      <c r="AV520">
        <f>VLOOKUP(Table29[[#This Row],[Shortname]], Comp[], 27, FALSE)</f>
        <v>0</v>
      </c>
      <c r="AW520">
        <f>VLOOKUP(Table29[[#This Row],[Shortname]], Comp[], 28, FALSE)</f>
        <v>0</v>
      </c>
      <c r="AX520">
        <f>VLOOKUP(Table29[[#This Row],[Shortname]], Comp[], 29, FALSE)</f>
        <v>0</v>
      </c>
      <c r="AY520">
        <f>VLOOKUP(Table29[[#This Row],[Shortname]], Comp[], 30, FALSE)</f>
        <v>0</v>
      </c>
      <c r="AZ520">
        <f>VLOOKUP(Table29[[#This Row],[Shortname]], Comp[], 31, FALSE)</f>
        <v>0</v>
      </c>
    </row>
    <row r="521" spans="1:52" x14ac:dyDescent="0.3">
      <c r="A521" t="s">
        <v>6459</v>
      </c>
      <c r="F521" t="s">
        <v>6460</v>
      </c>
      <c r="G521" t="s">
        <v>6461</v>
      </c>
      <c r="H521">
        <v>170.74353882158201</v>
      </c>
      <c r="I521">
        <v>9.8067572169157996E-8</v>
      </c>
      <c r="J521">
        <f>0.01/Table29[[#This Row],[Strain Rate (min) /s]]</f>
        <v>101970.50644580935</v>
      </c>
      <c r="K521">
        <f>LOG(Table29[[#This Row],[Time to 1% strain (s)]])</f>
        <v>5.0084745762711851</v>
      </c>
      <c r="L521">
        <v>850</v>
      </c>
      <c r="P521" t="s">
        <v>7231</v>
      </c>
      <c r="Q521">
        <v>1200</v>
      </c>
      <c r="R521">
        <v>48</v>
      </c>
      <c r="S521">
        <v>850</v>
      </c>
      <c r="T521">
        <v>168</v>
      </c>
      <c r="W521">
        <v>1</v>
      </c>
      <c r="X521">
        <v>10</v>
      </c>
      <c r="Y521">
        <v>53.3</v>
      </c>
      <c r="AA521">
        <f>VLOOKUP(Table29[[#This Row],[Shortname]], Comp[], 6, FALSE)</f>
        <v>1078</v>
      </c>
      <c r="AB521" s="14">
        <f>VLOOKUP(Table29[[#This Row],[Shortname]], Comp[], 7, FALSE)</f>
        <v>72.960000000000008</v>
      </c>
      <c r="AC521">
        <f>VLOOKUP(Table29[[#This Row],[Shortname]], Comp[], 8, FALSE)</f>
        <v>10</v>
      </c>
      <c r="AD521">
        <f>VLOOKUP(Table29[[#This Row],[Shortname]], Comp[], 9, FALSE)</f>
        <v>5</v>
      </c>
      <c r="AE521">
        <f>VLOOKUP(Table29[[#This Row],[Shortname]], Comp[], 10, FALSE)</f>
        <v>0</v>
      </c>
      <c r="AF521">
        <f>VLOOKUP(Table29[[#This Row],[Shortname]], Comp[], 11, FALSE)</f>
        <v>0</v>
      </c>
      <c r="AG521">
        <f>VLOOKUP(Table29[[#This Row],[Shortname]], Comp[],12, FALSE)</f>
        <v>6</v>
      </c>
      <c r="AH521">
        <f>VLOOKUP(Table29[[#This Row],[Shortname]], Comp[], 13, FALSE)</f>
        <v>0</v>
      </c>
      <c r="AI521">
        <f>VLOOKUP(Table29[[#This Row],[Shortname]], Comp[], 14, FALSE)</f>
        <v>3</v>
      </c>
      <c r="AJ521">
        <f>VLOOKUP(Table29[[#This Row],[Shortname]], Comp[], 15, FALSE)</f>
        <v>3</v>
      </c>
      <c r="AK521">
        <f>VLOOKUP(Table29[[#This Row],[Shortname]], Comp[], 16, FALSE)</f>
        <v>0</v>
      </c>
      <c r="AL521">
        <f>VLOOKUP(Table29[[#This Row],[Shortname]], Comp[], 17, FALSE)</f>
        <v>0</v>
      </c>
      <c r="AM521">
        <f>VLOOKUP(Table29[[#This Row],[Shortname]], Comp[], 18, FALSE)</f>
        <v>0</v>
      </c>
      <c r="AN521">
        <f>VLOOKUP(Table29[[#This Row],[Shortname]], Comp[], 19, FALSE)</f>
        <v>0.04</v>
      </c>
      <c r="AO521">
        <f>VLOOKUP(Table29[[#This Row],[Shortname]], Comp[], 20, FALSE)</f>
        <v>0</v>
      </c>
      <c r="AP521">
        <f>VLOOKUP(Table29[[#This Row],[Shortname]], Comp[], 21, FALSE)</f>
        <v>0</v>
      </c>
      <c r="AQ521">
        <f>VLOOKUP(Table29[[#This Row],[Shortname]], Comp[], 22, FALSE)</f>
        <v>0</v>
      </c>
      <c r="AR521">
        <f>VLOOKUP(Table29[[#This Row],[Shortname]], Comp[], 23, FALSE)</f>
        <v>0</v>
      </c>
      <c r="AS521">
        <f>VLOOKUP(Table29[[#This Row],[Shortname]], Comp[], 24, FALSE)</f>
        <v>0</v>
      </c>
      <c r="AT521">
        <f>VLOOKUP(Table29[[#This Row],[Shortname]], Comp[], 25, FALSE)</f>
        <v>0</v>
      </c>
      <c r="AU521">
        <f>VLOOKUP(Table29[[#This Row],[Shortname]], Comp[], 26, FALSE)</f>
        <v>0</v>
      </c>
      <c r="AV521">
        <f>VLOOKUP(Table29[[#This Row],[Shortname]], Comp[], 27, FALSE)</f>
        <v>0</v>
      </c>
      <c r="AW521">
        <f>VLOOKUP(Table29[[#This Row],[Shortname]], Comp[], 28, FALSE)</f>
        <v>0</v>
      </c>
      <c r="AX521">
        <f>VLOOKUP(Table29[[#This Row],[Shortname]], Comp[], 29, FALSE)</f>
        <v>0</v>
      </c>
      <c r="AY521">
        <f>VLOOKUP(Table29[[#This Row],[Shortname]], Comp[], 30, FALSE)</f>
        <v>0</v>
      </c>
      <c r="AZ521">
        <f>VLOOKUP(Table29[[#This Row],[Shortname]], Comp[], 31, FALSE)</f>
        <v>0</v>
      </c>
    </row>
    <row r="522" spans="1:52" x14ac:dyDescent="0.3">
      <c r="A522" t="s">
        <v>6459</v>
      </c>
      <c r="F522" t="s">
        <v>6460</v>
      </c>
      <c r="G522" t="s">
        <v>6461</v>
      </c>
      <c r="H522">
        <v>199.22051205435901</v>
      </c>
      <c r="I522">
        <v>2.8683168133420198E-7</v>
      </c>
      <c r="J522">
        <f>0.01/Table29[[#This Row],[Strain Rate (min) /s]]</f>
        <v>34863.652276780747</v>
      </c>
      <c r="K522">
        <f>LOG(Table29[[#This Row],[Time to 1% strain (s)]])</f>
        <v>4.5423728813559308</v>
      </c>
      <c r="L522">
        <v>850</v>
      </c>
      <c r="P522" t="s">
        <v>7231</v>
      </c>
      <c r="Q522">
        <v>1200</v>
      </c>
      <c r="R522">
        <v>48</v>
      </c>
      <c r="S522">
        <v>850</v>
      </c>
      <c r="T522">
        <v>168</v>
      </c>
      <c r="W522">
        <v>1</v>
      </c>
      <c r="X522">
        <v>10</v>
      </c>
      <c r="Y522">
        <v>53.3</v>
      </c>
      <c r="AA522">
        <f>VLOOKUP(Table29[[#This Row],[Shortname]], Comp[], 6, FALSE)</f>
        <v>1078</v>
      </c>
      <c r="AB522" s="14">
        <f>VLOOKUP(Table29[[#This Row],[Shortname]], Comp[], 7, FALSE)</f>
        <v>72.960000000000008</v>
      </c>
      <c r="AC522">
        <f>VLOOKUP(Table29[[#This Row],[Shortname]], Comp[], 8, FALSE)</f>
        <v>10</v>
      </c>
      <c r="AD522">
        <f>VLOOKUP(Table29[[#This Row],[Shortname]], Comp[], 9, FALSE)</f>
        <v>5</v>
      </c>
      <c r="AE522">
        <f>VLOOKUP(Table29[[#This Row],[Shortname]], Comp[], 10, FALSE)</f>
        <v>0</v>
      </c>
      <c r="AF522">
        <f>VLOOKUP(Table29[[#This Row],[Shortname]], Comp[], 11, FALSE)</f>
        <v>0</v>
      </c>
      <c r="AG522">
        <f>VLOOKUP(Table29[[#This Row],[Shortname]], Comp[],12, FALSE)</f>
        <v>6</v>
      </c>
      <c r="AH522">
        <f>VLOOKUP(Table29[[#This Row],[Shortname]], Comp[], 13, FALSE)</f>
        <v>0</v>
      </c>
      <c r="AI522">
        <f>VLOOKUP(Table29[[#This Row],[Shortname]], Comp[], 14, FALSE)</f>
        <v>3</v>
      </c>
      <c r="AJ522">
        <f>VLOOKUP(Table29[[#This Row],[Shortname]], Comp[], 15, FALSE)</f>
        <v>3</v>
      </c>
      <c r="AK522">
        <f>VLOOKUP(Table29[[#This Row],[Shortname]], Comp[], 16, FALSE)</f>
        <v>0</v>
      </c>
      <c r="AL522">
        <f>VLOOKUP(Table29[[#This Row],[Shortname]], Comp[], 17, FALSE)</f>
        <v>0</v>
      </c>
      <c r="AM522">
        <f>VLOOKUP(Table29[[#This Row],[Shortname]], Comp[], 18, FALSE)</f>
        <v>0</v>
      </c>
      <c r="AN522">
        <f>VLOOKUP(Table29[[#This Row],[Shortname]], Comp[], 19, FALSE)</f>
        <v>0.04</v>
      </c>
      <c r="AO522">
        <f>VLOOKUP(Table29[[#This Row],[Shortname]], Comp[], 20, FALSE)</f>
        <v>0</v>
      </c>
      <c r="AP522">
        <f>VLOOKUP(Table29[[#This Row],[Shortname]], Comp[], 21, FALSE)</f>
        <v>0</v>
      </c>
      <c r="AQ522">
        <f>VLOOKUP(Table29[[#This Row],[Shortname]], Comp[], 22, FALSE)</f>
        <v>0</v>
      </c>
      <c r="AR522">
        <f>VLOOKUP(Table29[[#This Row],[Shortname]], Comp[], 23, FALSE)</f>
        <v>0</v>
      </c>
      <c r="AS522">
        <f>VLOOKUP(Table29[[#This Row],[Shortname]], Comp[], 24, FALSE)</f>
        <v>0</v>
      </c>
      <c r="AT522">
        <f>VLOOKUP(Table29[[#This Row],[Shortname]], Comp[], 25, FALSE)</f>
        <v>0</v>
      </c>
      <c r="AU522">
        <f>VLOOKUP(Table29[[#This Row],[Shortname]], Comp[], 26, FALSE)</f>
        <v>0</v>
      </c>
      <c r="AV522">
        <f>VLOOKUP(Table29[[#This Row],[Shortname]], Comp[], 27, FALSE)</f>
        <v>0</v>
      </c>
      <c r="AW522">
        <f>VLOOKUP(Table29[[#This Row],[Shortname]], Comp[], 28, FALSE)</f>
        <v>0</v>
      </c>
      <c r="AX522">
        <f>VLOOKUP(Table29[[#This Row],[Shortname]], Comp[], 29, FALSE)</f>
        <v>0</v>
      </c>
      <c r="AY522">
        <f>VLOOKUP(Table29[[#This Row],[Shortname]], Comp[], 30, FALSE)</f>
        <v>0</v>
      </c>
      <c r="AZ522">
        <f>VLOOKUP(Table29[[#This Row],[Shortname]], Comp[], 31, FALSE)</f>
        <v>0</v>
      </c>
    </row>
    <row r="523" spans="1:52" x14ac:dyDescent="0.3">
      <c r="A523" t="s">
        <v>6459</v>
      </c>
      <c r="F523" t="s">
        <v>6460</v>
      </c>
      <c r="G523" t="s">
        <v>6461</v>
      </c>
      <c r="H523">
        <v>227.06393709752999</v>
      </c>
      <c r="I523">
        <v>9.8067572169158007E-7</v>
      </c>
      <c r="J523">
        <f>0.01/Table29[[#This Row],[Strain Rate (min) /s]]</f>
        <v>10197.050644580935</v>
      </c>
      <c r="K523">
        <f>LOG(Table29[[#This Row],[Time to 1% strain (s)]])</f>
        <v>4.0084745762711851</v>
      </c>
      <c r="L523">
        <v>850</v>
      </c>
      <c r="P523" t="s">
        <v>7231</v>
      </c>
      <c r="Q523">
        <v>1200</v>
      </c>
      <c r="R523">
        <v>48</v>
      </c>
      <c r="S523">
        <v>850</v>
      </c>
      <c r="T523">
        <v>168</v>
      </c>
      <c r="W523">
        <v>1</v>
      </c>
      <c r="X523">
        <v>10</v>
      </c>
      <c r="Y523">
        <v>53.3</v>
      </c>
      <c r="AA523">
        <f>VLOOKUP(Table29[[#This Row],[Shortname]], Comp[], 6, FALSE)</f>
        <v>1078</v>
      </c>
      <c r="AB523" s="14">
        <f>VLOOKUP(Table29[[#This Row],[Shortname]], Comp[], 7, FALSE)</f>
        <v>72.960000000000008</v>
      </c>
      <c r="AC523">
        <f>VLOOKUP(Table29[[#This Row],[Shortname]], Comp[], 8, FALSE)</f>
        <v>10</v>
      </c>
      <c r="AD523">
        <f>VLOOKUP(Table29[[#This Row],[Shortname]], Comp[], 9, FALSE)</f>
        <v>5</v>
      </c>
      <c r="AE523">
        <f>VLOOKUP(Table29[[#This Row],[Shortname]], Comp[], 10, FALSE)</f>
        <v>0</v>
      </c>
      <c r="AF523">
        <f>VLOOKUP(Table29[[#This Row],[Shortname]], Comp[], 11, FALSE)</f>
        <v>0</v>
      </c>
      <c r="AG523">
        <f>VLOOKUP(Table29[[#This Row],[Shortname]], Comp[],12, FALSE)</f>
        <v>6</v>
      </c>
      <c r="AH523">
        <f>VLOOKUP(Table29[[#This Row],[Shortname]], Comp[], 13, FALSE)</f>
        <v>0</v>
      </c>
      <c r="AI523">
        <f>VLOOKUP(Table29[[#This Row],[Shortname]], Comp[], 14, FALSE)</f>
        <v>3</v>
      </c>
      <c r="AJ523">
        <f>VLOOKUP(Table29[[#This Row],[Shortname]], Comp[], 15, FALSE)</f>
        <v>3</v>
      </c>
      <c r="AK523">
        <f>VLOOKUP(Table29[[#This Row],[Shortname]], Comp[], 16, FALSE)</f>
        <v>0</v>
      </c>
      <c r="AL523">
        <f>VLOOKUP(Table29[[#This Row],[Shortname]], Comp[], 17, FALSE)</f>
        <v>0</v>
      </c>
      <c r="AM523">
        <f>VLOOKUP(Table29[[#This Row],[Shortname]], Comp[], 18, FALSE)</f>
        <v>0</v>
      </c>
      <c r="AN523">
        <f>VLOOKUP(Table29[[#This Row],[Shortname]], Comp[], 19, FALSE)</f>
        <v>0.04</v>
      </c>
      <c r="AO523">
        <f>VLOOKUP(Table29[[#This Row],[Shortname]], Comp[], 20, FALSE)</f>
        <v>0</v>
      </c>
      <c r="AP523">
        <f>VLOOKUP(Table29[[#This Row],[Shortname]], Comp[], 21, FALSE)</f>
        <v>0</v>
      </c>
      <c r="AQ523">
        <f>VLOOKUP(Table29[[#This Row],[Shortname]], Comp[], 22, FALSE)</f>
        <v>0</v>
      </c>
      <c r="AR523">
        <f>VLOOKUP(Table29[[#This Row],[Shortname]], Comp[], 23, FALSE)</f>
        <v>0</v>
      </c>
      <c r="AS523">
        <f>VLOOKUP(Table29[[#This Row],[Shortname]], Comp[], 24, FALSE)</f>
        <v>0</v>
      </c>
      <c r="AT523">
        <f>VLOOKUP(Table29[[#This Row],[Shortname]], Comp[], 25, FALSE)</f>
        <v>0</v>
      </c>
      <c r="AU523">
        <f>VLOOKUP(Table29[[#This Row],[Shortname]], Comp[], 26, FALSE)</f>
        <v>0</v>
      </c>
      <c r="AV523">
        <f>VLOOKUP(Table29[[#This Row],[Shortname]], Comp[], 27, FALSE)</f>
        <v>0</v>
      </c>
      <c r="AW523">
        <f>VLOOKUP(Table29[[#This Row],[Shortname]], Comp[], 28, FALSE)</f>
        <v>0</v>
      </c>
      <c r="AX523">
        <f>VLOOKUP(Table29[[#This Row],[Shortname]], Comp[], 29, FALSE)</f>
        <v>0</v>
      </c>
      <c r="AY523">
        <f>VLOOKUP(Table29[[#This Row],[Shortname]], Comp[], 30, FALSE)</f>
        <v>0</v>
      </c>
      <c r="AZ523">
        <f>VLOOKUP(Table29[[#This Row],[Shortname]], Comp[], 31, FALSE)</f>
        <v>0</v>
      </c>
    </row>
    <row r="524" spans="1:52" x14ac:dyDescent="0.3">
      <c r="A524" t="s">
        <v>6459</v>
      </c>
      <c r="F524" t="s">
        <v>6460</v>
      </c>
      <c r="G524" t="s">
        <v>6461</v>
      </c>
      <c r="H524">
        <v>271.74500577233499</v>
      </c>
      <c r="I524">
        <v>5.2521725196619302E-6</v>
      </c>
      <c r="J524">
        <f>0.01/Table29[[#This Row],[Strain Rate (min) /s]]</f>
        <v>1903.9740150507616</v>
      </c>
      <c r="K524">
        <f>LOG(Table29[[#This Row],[Time to 1% strain (s)]])</f>
        <v>3.2796610169491518</v>
      </c>
      <c r="L524">
        <v>850</v>
      </c>
      <c r="P524" t="s">
        <v>7231</v>
      </c>
      <c r="Q524">
        <v>1200</v>
      </c>
      <c r="R524">
        <v>48</v>
      </c>
      <c r="S524">
        <v>850</v>
      </c>
      <c r="T524">
        <v>168</v>
      </c>
      <c r="W524">
        <v>1</v>
      </c>
      <c r="X524">
        <v>10</v>
      </c>
      <c r="Y524">
        <v>53.3</v>
      </c>
      <c r="AA524">
        <f>VLOOKUP(Table29[[#This Row],[Shortname]], Comp[], 6, FALSE)</f>
        <v>1078</v>
      </c>
      <c r="AB524" s="14">
        <f>VLOOKUP(Table29[[#This Row],[Shortname]], Comp[], 7, FALSE)</f>
        <v>72.960000000000008</v>
      </c>
      <c r="AC524">
        <f>VLOOKUP(Table29[[#This Row],[Shortname]], Comp[], 8, FALSE)</f>
        <v>10</v>
      </c>
      <c r="AD524">
        <f>VLOOKUP(Table29[[#This Row],[Shortname]], Comp[], 9, FALSE)</f>
        <v>5</v>
      </c>
      <c r="AE524">
        <f>VLOOKUP(Table29[[#This Row],[Shortname]], Comp[], 10, FALSE)</f>
        <v>0</v>
      </c>
      <c r="AF524">
        <f>VLOOKUP(Table29[[#This Row],[Shortname]], Comp[], 11, FALSE)</f>
        <v>0</v>
      </c>
      <c r="AG524">
        <f>VLOOKUP(Table29[[#This Row],[Shortname]], Comp[],12, FALSE)</f>
        <v>6</v>
      </c>
      <c r="AH524">
        <f>VLOOKUP(Table29[[#This Row],[Shortname]], Comp[], 13, FALSE)</f>
        <v>0</v>
      </c>
      <c r="AI524">
        <f>VLOOKUP(Table29[[#This Row],[Shortname]], Comp[], 14, FALSE)</f>
        <v>3</v>
      </c>
      <c r="AJ524">
        <f>VLOOKUP(Table29[[#This Row],[Shortname]], Comp[], 15, FALSE)</f>
        <v>3</v>
      </c>
      <c r="AK524">
        <f>VLOOKUP(Table29[[#This Row],[Shortname]], Comp[], 16, FALSE)</f>
        <v>0</v>
      </c>
      <c r="AL524">
        <f>VLOOKUP(Table29[[#This Row],[Shortname]], Comp[], 17, FALSE)</f>
        <v>0</v>
      </c>
      <c r="AM524">
        <f>VLOOKUP(Table29[[#This Row],[Shortname]], Comp[], 18, FALSE)</f>
        <v>0</v>
      </c>
      <c r="AN524">
        <f>VLOOKUP(Table29[[#This Row],[Shortname]], Comp[], 19, FALSE)</f>
        <v>0.04</v>
      </c>
      <c r="AO524">
        <f>VLOOKUP(Table29[[#This Row],[Shortname]], Comp[], 20, FALSE)</f>
        <v>0</v>
      </c>
      <c r="AP524">
        <f>VLOOKUP(Table29[[#This Row],[Shortname]], Comp[], 21, FALSE)</f>
        <v>0</v>
      </c>
      <c r="AQ524">
        <f>VLOOKUP(Table29[[#This Row],[Shortname]], Comp[], 22, FALSE)</f>
        <v>0</v>
      </c>
      <c r="AR524">
        <f>VLOOKUP(Table29[[#This Row],[Shortname]], Comp[], 23, FALSE)</f>
        <v>0</v>
      </c>
      <c r="AS524">
        <f>VLOOKUP(Table29[[#This Row],[Shortname]], Comp[], 24, FALSE)</f>
        <v>0</v>
      </c>
      <c r="AT524">
        <f>VLOOKUP(Table29[[#This Row],[Shortname]], Comp[], 25, FALSE)</f>
        <v>0</v>
      </c>
      <c r="AU524">
        <f>VLOOKUP(Table29[[#This Row],[Shortname]], Comp[], 26, FALSE)</f>
        <v>0</v>
      </c>
      <c r="AV524">
        <f>VLOOKUP(Table29[[#This Row],[Shortname]], Comp[], 27, FALSE)</f>
        <v>0</v>
      </c>
      <c r="AW524">
        <f>VLOOKUP(Table29[[#This Row],[Shortname]], Comp[], 28, FALSE)</f>
        <v>0</v>
      </c>
      <c r="AX524">
        <f>VLOOKUP(Table29[[#This Row],[Shortname]], Comp[], 29, FALSE)</f>
        <v>0</v>
      </c>
      <c r="AY524">
        <f>VLOOKUP(Table29[[#This Row],[Shortname]], Comp[], 30, FALSE)</f>
        <v>0</v>
      </c>
      <c r="AZ524">
        <f>VLOOKUP(Table29[[#This Row],[Shortname]], Comp[], 31, FALSE)</f>
        <v>0</v>
      </c>
    </row>
    <row r="525" spans="1:52" x14ac:dyDescent="0.3">
      <c r="A525" t="s">
        <v>6459</v>
      </c>
      <c r="F525" t="s">
        <v>6460</v>
      </c>
      <c r="G525" t="s">
        <v>6461</v>
      </c>
      <c r="H525">
        <v>303.73578711017802</v>
      </c>
      <c r="I525">
        <v>1.3141473626117501E-5</v>
      </c>
      <c r="J525">
        <f>0.01/Table29[[#This Row],[Strain Rate (min) /s]]</f>
        <v>760.94966854599147</v>
      </c>
      <c r="K525">
        <f>LOG(Table29[[#This Row],[Time to 1% strain (s)]])</f>
        <v>2.8813559322033919</v>
      </c>
      <c r="L525">
        <v>850</v>
      </c>
      <c r="P525" t="s">
        <v>7231</v>
      </c>
      <c r="Q525">
        <v>1200</v>
      </c>
      <c r="R525">
        <v>48</v>
      </c>
      <c r="S525">
        <v>850</v>
      </c>
      <c r="T525">
        <v>168</v>
      </c>
      <c r="W525">
        <v>1</v>
      </c>
      <c r="X525">
        <v>10</v>
      </c>
      <c r="Y525">
        <v>53.3</v>
      </c>
      <c r="AA525">
        <f>VLOOKUP(Table29[[#This Row],[Shortname]], Comp[], 6, FALSE)</f>
        <v>1078</v>
      </c>
      <c r="AB525" s="14">
        <f>VLOOKUP(Table29[[#This Row],[Shortname]], Comp[], 7, FALSE)</f>
        <v>72.960000000000008</v>
      </c>
      <c r="AC525">
        <f>VLOOKUP(Table29[[#This Row],[Shortname]], Comp[], 8, FALSE)</f>
        <v>10</v>
      </c>
      <c r="AD525">
        <f>VLOOKUP(Table29[[#This Row],[Shortname]], Comp[], 9, FALSE)</f>
        <v>5</v>
      </c>
      <c r="AE525">
        <f>VLOOKUP(Table29[[#This Row],[Shortname]], Comp[], 10, FALSE)</f>
        <v>0</v>
      </c>
      <c r="AF525">
        <f>VLOOKUP(Table29[[#This Row],[Shortname]], Comp[], 11, FALSE)</f>
        <v>0</v>
      </c>
      <c r="AG525">
        <f>VLOOKUP(Table29[[#This Row],[Shortname]], Comp[],12, FALSE)</f>
        <v>6</v>
      </c>
      <c r="AH525">
        <f>VLOOKUP(Table29[[#This Row],[Shortname]], Comp[], 13, FALSE)</f>
        <v>0</v>
      </c>
      <c r="AI525">
        <f>VLOOKUP(Table29[[#This Row],[Shortname]], Comp[], 14, FALSE)</f>
        <v>3</v>
      </c>
      <c r="AJ525">
        <f>VLOOKUP(Table29[[#This Row],[Shortname]], Comp[], 15, FALSE)</f>
        <v>3</v>
      </c>
      <c r="AK525">
        <f>VLOOKUP(Table29[[#This Row],[Shortname]], Comp[], 16, FALSE)</f>
        <v>0</v>
      </c>
      <c r="AL525">
        <f>VLOOKUP(Table29[[#This Row],[Shortname]], Comp[], 17, FALSE)</f>
        <v>0</v>
      </c>
      <c r="AM525">
        <f>VLOOKUP(Table29[[#This Row],[Shortname]], Comp[], 18, FALSE)</f>
        <v>0</v>
      </c>
      <c r="AN525">
        <f>VLOOKUP(Table29[[#This Row],[Shortname]], Comp[], 19, FALSE)</f>
        <v>0.04</v>
      </c>
      <c r="AO525">
        <f>VLOOKUP(Table29[[#This Row],[Shortname]], Comp[], 20, FALSE)</f>
        <v>0</v>
      </c>
      <c r="AP525">
        <f>VLOOKUP(Table29[[#This Row],[Shortname]], Comp[], 21, FALSE)</f>
        <v>0</v>
      </c>
      <c r="AQ525">
        <f>VLOOKUP(Table29[[#This Row],[Shortname]], Comp[], 22, FALSE)</f>
        <v>0</v>
      </c>
      <c r="AR525">
        <f>VLOOKUP(Table29[[#This Row],[Shortname]], Comp[], 23, FALSE)</f>
        <v>0</v>
      </c>
      <c r="AS525">
        <f>VLOOKUP(Table29[[#This Row],[Shortname]], Comp[], 24, FALSE)</f>
        <v>0</v>
      </c>
      <c r="AT525">
        <f>VLOOKUP(Table29[[#This Row],[Shortname]], Comp[], 25, FALSE)</f>
        <v>0</v>
      </c>
      <c r="AU525">
        <f>VLOOKUP(Table29[[#This Row],[Shortname]], Comp[], 26, FALSE)</f>
        <v>0</v>
      </c>
      <c r="AV525">
        <f>VLOOKUP(Table29[[#This Row],[Shortname]], Comp[], 27, FALSE)</f>
        <v>0</v>
      </c>
      <c r="AW525">
        <f>VLOOKUP(Table29[[#This Row],[Shortname]], Comp[], 28, FALSE)</f>
        <v>0</v>
      </c>
      <c r="AX525">
        <f>VLOOKUP(Table29[[#This Row],[Shortname]], Comp[], 29, FALSE)</f>
        <v>0</v>
      </c>
      <c r="AY525">
        <f>VLOOKUP(Table29[[#This Row],[Shortname]], Comp[], 30, FALSE)</f>
        <v>0</v>
      </c>
      <c r="AZ525">
        <f>VLOOKUP(Table29[[#This Row],[Shortname]], Comp[], 31, FALSE)</f>
        <v>0</v>
      </c>
    </row>
    <row r="526" spans="1:52" x14ac:dyDescent="0.3">
      <c r="A526" t="s">
        <v>6459</v>
      </c>
      <c r="F526" t="s">
        <v>6460</v>
      </c>
      <c r="G526" t="s">
        <v>6461</v>
      </c>
      <c r="H526">
        <v>354.39349245627199</v>
      </c>
      <c r="I526">
        <v>6.0208944933361298E-5</v>
      </c>
      <c r="J526">
        <f>0.01/Table29[[#This Row],[Strain Rate (min) /s]]</f>
        <v>166.08827826277155</v>
      </c>
      <c r="K526">
        <f>LOG(Table29[[#This Row],[Time to 1% strain (s)]])</f>
        <v>2.2203389830508473</v>
      </c>
      <c r="L526">
        <v>850</v>
      </c>
      <c r="P526" t="s">
        <v>7231</v>
      </c>
      <c r="Q526">
        <v>1200</v>
      </c>
      <c r="R526">
        <v>48</v>
      </c>
      <c r="S526">
        <v>850</v>
      </c>
      <c r="T526">
        <v>168</v>
      </c>
      <c r="W526">
        <v>1</v>
      </c>
      <c r="X526">
        <v>10</v>
      </c>
      <c r="Y526">
        <v>53.3</v>
      </c>
      <c r="AA526">
        <f>VLOOKUP(Table29[[#This Row],[Shortname]], Comp[], 6, FALSE)</f>
        <v>1078</v>
      </c>
      <c r="AB526" s="14">
        <f>VLOOKUP(Table29[[#This Row],[Shortname]], Comp[], 7, FALSE)</f>
        <v>72.960000000000008</v>
      </c>
      <c r="AC526">
        <f>VLOOKUP(Table29[[#This Row],[Shortname]], Comp[], 8, FALSE)</f>
        <v>10</v>
      </c>
      <c r="AD526">
        <f>VLOOKUP(Table29[[#This Row],[Shortname]], Comp[], 9, FALSE)</f>
        <v>5</v>
      </c>
      <c r="AE526">
        <f>VLOOKUP(Table29[[#This Row],[Shortname]], Comp[], 10, FALSE)</f>
        <v>0</v>
      </c>
      <c r="AF526">
        <f>VLOOKUP(Table29[[#This Row],[Shortname]], Comp[], 11, FALSE)</f>
        <v>0</v>
      </c>
      <c r="AG526">
        <f>VLOOKUP(Table29[[#This Row],[Shortname]], Comp[],12, FALSE)</f>
        <v>6</v>
      </c>
      <c r="AH526">
        <f>VLOOKUP(Table29[[#This Row],[Shortname]], Comp[], 13, FALSE)</f>
        <v>0</v>
      </c>
      <c r="AI526">
        <f>VLOOKUP(Table29[[#This Row],[Shortname]], Comp[], 14, FALSE)</f>
        <v>3</v>
      </c>
      <c r="AJ526">
        <f>VLOOKUP(Table29[[#This Row],[Shortname]], Comp[], 15, FALSE)</f>
        <v>3</v>
      </c>
      <c r="AK526">
        <f>VLOOKUP(Table29[[#This Row],[Shortname]], Comp[], 16, FALSE)</f>
        <v>0</v>
      </c>
      <c r="AL526">
        <f>VLOOKUP(Table29[[#This Row],[Shortname]], Comp[], 17, FALSE)</f>
        <v>0</v>
      </c>
      <c r="AM526">
        <f>VLOOKUP(Table29[[#This Row],[Shortname]], Comp[], 18, FALSE)</f>
        <v>0</v>
      </c>
      <c r="AN526">
        <f>VLOOKUP(Table29[[#This Row],[Shortname]], Comp[], 19, FALSE)</f>
        <v>0.04</v>
      </c>
      <c r="AO526">
        <f>VLOOKUP(Table29[[#This Row],[Shortname]], Comp[], 20, FALSE)</f>
        <v>0</v>
      </c>
      <c r="AP526">
        <f>VLOOKUP(Table29[[#This Row],[Shortname]], Comp[], 21, FALSE)</f>
        <v>0</v>
      </c>
      <c r="AQ526">
        <f>VLOOKUP(Table29[[#This Row],[Shortname]], Comp[], 22, FALSE)</f>
        <v>0</v>
      </c>
      <c r="AR526">
        <f>VLOOKUP(Table29[[#This Row],[Shortname]], Comp[], 23, FALSE)</f>
        <v>0</v>
      </c>
      <c r="AS526">
        <f>VLOOKUP(Table29[[#This Row],[Shortname]], Comp[], 24, FALSE)</f>
        <v>0</v>
      </c>
      <c r="AT526">
        <f>VLOOKUP(Table29[[#This Row],[Shortname]], Comp[], 25, FALSE)</f>
        <v>0</v>
      </c>
      <c r="AU526">
        <f>VLOOKUP(Table29[[#This Row],[Shortname]], Comp[], 26, FALSE)</f>
        <v>0</v>
      </c>
      <c r="AV526">
        <f>VLOOKUP(Table29[[#This Row],[Shortname]], Comp[], 27, FALSE)</f>
        <v>0</v>
      </c>
      <c r="AW526">
        <f>VLOOKUP(Table29[[#This Row],[Shortname]], Comp[], 28, FALSE)</f>
        <v>0</v>
      </c>
      <c r="AX526">
        <f>VLOOKUP(Table29[[#This Row],[Shortname]], Comp[], 29, FALSE)</f>
        <v>0</v>
      </c>
      <c r="AY526">
        <f>VLOOKUP(Table29[[#This Row],[Shortname]], Comp[], 30, FALSE)</f>
        <v>0</v>
      </c>
      <c r="AZ526">
        <f>VLOOKUP(Table29[[#This Row],[Shortname]], Comp[], 31, FALSE)</f>
        <v>0</v>
      </c>
    </row>
    <row r="527" spans="1:52" x14ac:dyDescent="0.3">
      <c r="A527" t="s">
        <v>6468</v>
      </c>
      <c r="F527" t="s">
        <v>6469</v>
      </c>
      <c r="G527" t="s">
        <v>6470</v>
      </c>
      <c r="H527">
        <v>194.60696972917401</v>
      </c>
      <c r="I527">
        <v>1.31414736261175E-7</v>
      </c>
      <c r="J527">
        <f>0.01/Table29[[#This Row],[Strain Rate (min) /s]]</f>
        <v>76094.966854599144</v>
      </c>
      <c r="K527">
        <f>LOG(Table29[[#This Row],[Time to 1% strain (s)]])</f>
        <v>4.8813559322033919</v>
      </c>
      <c r="L527">
        <v>850</v>
      </c>
      <c r="P527" t="s">
        <v>7232</v>
      </c>
      <c r="Q527">
        <v>1200</v>
      </c>
      <c r="R527">
        <v>48</v>
      </c>
      <c r="S527">
        <v>850</v>
      </c>
      <c r="T527">
        <v>168</v>
      </c>
      <c r="W527">
        <v>1</v>
      </c>
      <c r="X527">
        <v>10</v>
      </c>
      <c r="Y527">
        <v>50</v>
      </c>
      <c r="AA527">
        <f>VLOOKUP(Table29[[#This Row],[Shortname]], Comp[], 6, FALSE)</f>
        <v>1080</v>
      </c>
      <c r="AB527" s="14">
        <f>VLOOKUP(Table29[[#This Row],[Shortname]], Comp[], 7, FALSE)</f>
        <v>72.960000000000008</v>
      </c>
      <c r="AC527">
        <f>VLOOKUP(Table29[[#This Row],[Shortname]], Comp[], 8, FALSE)</f>
        <v>10</v>
      </c>
      <c r="AD527">
        <f>VLOOKUP(Table29[[#This Row],[Shortname]], Comp[], 9, FALSE)</f>
        <v>5</v>
      </c>
      <c r="AE527">
        <f>VLOOKUP(Table29[[#This Row],[Shortname]], Comp[], 10, FALSE)</f>
        <v>4</v>
      </c>
      <c r="AF527">
        <f>VLOOKUP(Table29[[#This Row],[Shortname]], Comp[], 11, FALSE)</f>
        <v>0</v>
      </c>
      <c r="AG527">
        <f>VLOOKUP(Table29[[#This Row],[Shortname]], Comp[],12, FALSE)</f>
        <v>2</v>
      </c>
      <c r="AH527">
        <f>VLOOKUP(Table29[[#This Row],[Shortname]], Comp[], 13, FALSE)</f>
        <v>0</v>
      </c>
      <c r="AI527">
        <f>VLOOKUP(Table29[[#This Row],[Shortname]], Comp[], 14, FALSE)</f>
        <v>3</v>
      </c>
      <c r="AJ527">
        <f>VLOOKUP(Table29[[#This Row],[Shortname]], Comp[], 15, FALSE)</f>
        <v>3</v>
      </c>
      <c r="AK527">
        <f>VLOOKUP(Table29[[#This Row],[Shortname]], Comp[], 16, FALSE)</f>
        <v>0</v>
      </c>
      <c r="AL527">
        <f>VLOOKUP(Table29[[#This Row],[Shortname]], Comp[], 17, FALSE)</f>
        <v>0</v>
      </c>
      <c r="AM527">
        <f>VLOOKUP(Table29[[#This Row],[Shortname]], Comp[], 18, FALSE)</f>
        <v>0</v>
      </c>
      <c r="AN527">
        <f>VLOOKUP(Table29[[#This Row],[Shortname]], Comp[], 19, FALSE)</f>
        <v>0.04</v>
      </c>
      <c r="AO527">
        <f>VLOOKUP(Table29[[#This Row],[Shortname]], Comp[], 20, FALSE)</f>
        <v>0</v>
      </c>
      <c r="AP527">
        <f>VLOOKUP(Table29[[#This Row],[Shortname]], Comp[], 21, FALSE)</f>
        <v>0</v>
      </c>
      <c r="AQ527">
        <f>VLOOKUP(Table29[[#This Row],[Shortname]], Comp[], 22, FALSE)</f>
        <v>0</v>
      </c>
      <c r="AR527">
        <f>VLOOKUP(Table29[[#This Row],[Shortname]], Comp[], 23, FALSE)</f>
        <v>0</v>
      </c>
      <c r="AS527">
        <f>VLOOKUP(Table29[[#This Row],[Shortname]], Comp[], 24, FALSE)</f>
        <v>0</v>
      </c>
      <c r="AT527">
        <f>VLOOKUP(Table29[[#This Row],[Shortname]], Comp[], 25, FALSE)</f>
        <v>0</v>
      </c>
      <c r="AU527">
        <f>VLOOKUP(Table29[[#This Row],[Shortname]], Comp[], 26, FALSE)</f>
        <v>0</v>
      </c>
      <c r="AV527">
        <f>VLOOKUP(Table29[[#This Row],[Shortname]], Comp[], 27, FALSE)</f>
        <v>0</v>
      </c>
      <c r="AW527">
        <f>VLOOKUP(Table29[[#This Row],[Shortname]], Comp[], 28, FALSE)</f>
        <v>0</v>
      </c>
      <c r="AX527">
        <f>VLOOKUP(Table29[[#This Row],[Shortname]], Comp[], 29, FALSE)</f>
        <v>0</v>
      </c>
      <c r="AY527">
        <f>VLOOKUP(Table29[[#This Row],[Shortname]], Comp[], 30, FALSE)</f>
        <v>0</v>
      </c>
      <c r="AZ527">
        <f>VLOOKUP(Table29[[#This Row],[Shortname]], Comp[], 31, FALSE)</f>
        <v>0</v>
      </c>
    </row>
    <row r="528" spans="1:52" x14ac:dyDescent="0.3">
      <c r="A528" t="s">
        <v>6468</v>
      </c>
      <c r="F528" t="s">
        <v>6469</v>
      </c>
      <c r="G528" t="s">
        <v>6470</v>
      </c>
      <c r="H528">
        <v>241.70367965656499</v>
      </c>
      <c r="I528">
        <v>1.9797491696796401E-7</v>
      </c>
      <c r="J528">
        <f>0.01/Table29[[#This Row],[Strain Rate (min) /s]]</f>
        <v>50511.449395471573</v>
      </c>
      <c r="K528">
        <f>LOG(Table29[[#This Row],[Time to 1% strain (s)]])</f>
        <v>4.703389830508474</v>
      </c>
      <c r="L528">
        <v>850</v>
      </c>
      <c r="P528" t="s">
        <v>7232</v>
      </c>
      <c r="Q528">
        <v>1200</v>
      </c>
      <c r="R528">
        <v>48</v>
      </c>
      <c r="S528">
        <v>850</v>
      </c>
      <c r="T528">
        <v>168</v>
      </c>
      <c r="W528">
        <v>1</v>
      </c>
      <c r="X528">
        <v>10</v>
      </c>
      <c r="Y528">
        <v>50</v>
      </c>
      <c r="AA528">
        <f>VLOOKUP(Table29[[#This Row],[Shortname]], Comp[], 6, FALSE)</f>
        <v>1080</v>
      </c>
      <c r="AB528" s="14">
        <f>VLOOKUP(Table29[[#This Row],[Shortname]], Comp[], 7, FALSE)</f>
        <v>72.960000000000008</v>
      </c>
      <c r="AC528">
        <f>VLOOKUP(Table29[[#This Row],[Shortname]], Comp[], 8, FALSE)</f>
        <v>10</v>
      </c>
      <c r="AD528">
        <f>VLOOKUP(Table29[[#This Row],[Shortname]], Comp[], 9, FALSE)</f>
        <v>5</v>
      </c>
      <c r="AE528">
        <f>VLOOKUP(Table29[[#This Row],[Shortname]], Comp[], 10, FALSE)</f>
        <v>4</v>
      </c>
      <c r="AF528">
        <f>VLOOKUP(Table29[[#This Row],[Shortname]], Comp[], 11, FALSE)</f>
        <v>0</v>
      </c>
      <c r="AG528">
        <f>VLOOKUP(Table29[[#This Row],[Shortname]], Comp[],12, FALSE)</f>
        <v>2</v>
      </c>
      <c r="AH528">
        <f>VLOOKUP(Table29[[#This Row],[Shortname]], Comp[], 13, FALSE)</f>
        <v>0</v>
      </c>
      <c r="AI528">
        <f>VLOOKUP(Table29[[#This Row],[Shortname]], Comp[], 14, FALSE)</f>
        <v>3</v>
      </c>
      <c r="AJ528">
        <f>VLOOKUP(Table29[[#This Row],[Shortname]], Comp[], 15, FALSE)</f>
        <v>3</v>
      </c>
      <c r="AK528">
        <f>VLOOKUP(Table29[[#This Row],[Shortname]], Comp[], 16, FALSE)</f>
        <v>0</v>
      </c>
      <c r="AL528">
        <f>VLOOKUP(Table29[[#This Row],[Shortname]], Comp[], 17, FALSE)</f>
        <v>0</v>
      </c>
      <c r="AM528">
        <f>VLOOKUP(Table29[[#This Row],[Shortname]], Comp[], 18, FALSE)</f>
        <v>0</v>
      </c>
      <c r="AN528">
        <f>VLOOKUP(Table29[[#This Row],[Shortname]], Comp[], 19, FALSE)</f>
        <v>0.04</v>
      </c>
      <c r="AO528">
        <f>VLOOKUP(Table29[[#This Row],[Shortname]], Comp[], 20, FALSE)</f>
        <v>0</v>
      </c>
      <c r="AP528">
        <f>VLOOKUP(Table29[[#This Row],[Shortname]], Comp[], 21, FALSE)</f>
        <v>0</v>
      </c>
      <c r="AQ528">
        <f>VLOOKUP(Table29[[#This Row],[Shortname]], Comp[], 22, FALSE)</f>
        <v>0</v>
      </c>
      <c r="AR528">
        <f>VLOOKUP(Table29[[#This Row],[Shortname]], Comp[], 23, FALSE)</f>
        <v>0</v>
      </c>
      <c r="AS528">
        <f>VLOOKUP(Table29[[#This Row],[Shortname]], Comp[], 24, FALSE)</f>
        <v>0</v>
      </c>
      <c r="AT528">
        <f>VLOOKUP(Table29[[#This Row],[Shortname]], Comp[], 25, FALSE)</f>
        <v>0</v>
      </c>
      <c r="AU528">
        <f>VLOOKUP(Table29[[#This Row],[Shortname]], Comp[], 26, FALSE)</f>
        <v>0</v>
      </c>
      <c r="AV528">
        <f>VLOOKUP(Table29[[#This Row],[Shortname]], Comp[], 27, FALSE)</f>
        <v>0</v>
      </c>
      <c r="AW528">
        <f>VLOOKUP(Table29[[#This Row],[Shortname]], Comp[], 28, FALSE)</f>
        <v>0</v>
      </c>
      <c r="AX528">
        <f>VLOOKUP(Table29[[#This Row],[Shortname]], Comp[], 29, FALSE)</f>
        <v>0</v>
      </c>
      <c r="AY528">
        <f>VLOOKUP(Table29[[#This Row],[Shortname]], Comp[], 30, FALSE)</f>
        <v>0</v>
      </c>
      <c r="AZ528">
        <f>VLOOKUP(Table29[[#This Row],[Shortname]], Comp[], 31, FALSE)</f>
        <v>0</v>
      </c>
    </row>
    <row r="529" spans="1:52" x14ac:dyDescent="0.3">
      <c r="A529" t="s">
        <v>6468</v>
      </c>
      <c r="F529" t="s">
        <v>6469</v>
      </c>
      <c r="G529" t="s">
        <v>6470</v>
      </c>
      <c r="H529">
        <v>265.45194351253002</v>
      </c>
      <c r="I529">
        <v>4.1556988469563598E-7</v>
      </c>
      <c r="J529">
        <f>0.01/Table29[[#This Row],[Strain Rate (min) /s]]</f>
        <v>24063.341373555053</v>
      </c>
      <c r="K529">
        <f>LOG(Table29[[#This Row],[Time to 1% strain (s)]])</f>
        <v>4.3813559322033893</v>
      </c>
      <c r="L529">
        <v>850</v>
      </c>
      <c r="P529" t="s">
        <v>7232</v>
      </c>
      <c r="Q529">
        <v>1200</v>
      </c>
      <c r="R529">
        <v>48</v>
      </c>
      <c r="S529">
        <v>850</v>
      </c>
      <c r="T529">
        <v>168</v>
      </c>
      <c r="W529">
        <v>1</v>
      </c>
      <c r="X529">
        <v>10</v>
      </c>
      <c r="Y529">
        <v>50</v>
      </c>
      <c r="AA529">
        <f>VLOOKUP(Table29[[#This Row],[Shortname]], Comp[], 6, FALSE)</f>
        <v>1080</v>
      </c>
      <c r="AB529" s="14">
        <f>VLOOKUP(Table29[[#This Row],[Shortname]], Comp[], 7, FALSE)</f>
        <v>72.960000000000008</v>
      </c>
      <c r="AC529">
        <f>VLOOKUP(Table29[[#This Row],[Shortname]], Comp[], 8, FALSE)</f>
        <v>10</v>
      </c>
      <c r="AD529">
        <f>VLOOKUP(Table29[[#This Row],[Shortname]], Comp[], 9, FALSE)</f>
        <v>5</v>
      </c>
      <c r="AE529">
        <f>VLOOKUP(Table29[[#This Row],[Shortname]], Comp[], 10, FALSE)</f>
        <v>4</v>
      </c>
      <c r="AF529">
        <f>VLOOKUP(Table29[[#This Row],[Shortname]], Comp[], 11, FALSE)</f>
        <v>0</v>
      </c>
      <c r="AG529">
        <f>VLOOKUP(Table29[[#This Row],[Shortname]], Comp[],12, FALSE)</f>
        <v>2</v>
      </c>
      <c r="AH529">
        <f>VLOOKUP(Table29[[#This Row],[Shortname]], Comp[], 13, FALSE)</f>
        <v>0</v>
      </c>
      <c r="AI529">
        <f>VLOOKUP(Table29[[#This Row],[Shortname]], Comp[], 14, FALSE)</f>
        <v>3</v>
      </c>
      <c r="AJ529">
        <f>VLOOKUP(Table29[[#This Row],[Shortname]], Comp[], 15, FALSE)</f>
        <v>3</v>
      </c>
      <c r="AK529">
        <f>VLOOKUP(Table29[[#This Row],[Shortname]], Comp[], 16, FALSE)</f>
        <v>0</v>
      </c>
      <c r="AL529">
        <f>VLOOKUP(Table29[[#This Row],[Shortname]], Comp[], 17, FALSE)</f>
        <v>0</v>
      </c>
      <c r="AM529">
        <f>VLOOKUP(Table29[[#This Row],[Shortname]], Comp[], 18, FALSE)</f>
        <v>0</v>
      </c>
      <c r="AN529">
        <f>VLOOKUP(Table29[[#This Row],[Shortname]], Comp[], 19, FALSE)</f>
        <v>0.04</v>
      </c>
      <c r="AO529">
        <f>VLOOKUP(Table29[[#This Row],[Shortname]], Comp[], 20, FALSE)</f>
        <v>0</v>
      </c>
      <c r="AP529">
        <f>VLOOKUP(Table29[[#This Row],[Shortname]], Comp[], 21, FALSE)</f>
        <v>0</v>
      </c>
      <c r="AQ529">
        <f>VLOOKUP(Table29[[#This Row],[Shortname]], Comp[], 22, FALSE)</f>
        <v>0</v>
      </c>
      <c r="AR529">
        <f>VLOOKUP(Table29[[#This Row],[Shortname]], Comp[], 23, FALSE)</f>
        <v>0</v>
      </c>
      <c r="AS529">
        <f>VLOOKUP(Table29[[#This Row],[Shortname]], Comp[], 24, FALSE)</f>
        <v>0</v>
      </c>
      <c r="AT529">
        <f>VLOOKUP(Table29[[#This Row],[Shortname]], Comp[], 25, FALSE)</f>
        <v>0</v>
      </c>
      <c r="AU529">
        <f>VLOOKUP(Table29[[#This Row],[Shortname]], Comp[], 26, FALSE)</f>
        <v>0</v>
      </c>
      <c r="AV529">
        <f>VLOOKUP(Table29[[#This Row],[Shortname]], Comp[], 27, FALSE)</f>
        <v>0</v>
      </c>
      <c r="AW529">
        <f>VLOOKUP(Table29[[#This Row],[Shortname]], Comp[], 28, FALSE)</f>
        <v>0</v>
      </c>
      <c r="AX529">
        <f>VLOOKUP(Table29[[#This Row],[Shortname]], Comp[], 29, FALSE)</f>
        <v>0</v>
      </c>
      <c r="AY529">
        <f>VLOOKUP(Table29[[#This Row],[Shortname]], Comp[], 30, FALSE)</f>
        <v>0</v>
      </c>
      <c r="AZ529">
        <f>VLOOKUP(Table29[[#This Row],[Shortname]], Comp[], 31, FALSE)</f>
        <v>0</v>
      </c>
    </row>
    <row r="530" spans="1:52" x14ac:dyDescent="0.3">
      <c r="A530" t="s">
        <v>6468</v>
      </c>
      <c r="F530" t="s">
        <v>6469</v>
      </c>
      <c r="G530" t="s">
        <v>6470</v>
      </c>
      <c r="H530">
        <v>330.98379020820403</v>
      </c>
      <c r="I530">
        <v>3.5550642792139501E-6</v>
      </c>
      <c r="J530">
        <f>0.01/Table29[[#This Row],[Strain Rate (min) /s]]</f>
        <v>2812.88866096426</v>
      </c>
      <c r="K530">
        <f>LOG(Table29[[#This Row],[Time to 1% strain (s)]])</f>
        <v>3.449152542372881</v>
      </c>
      <c r="L530">
        <v>850</v>
      </c>
      <c r="P530" t="s">
        <v>7232</v>
      </c>
      <c r="Q530">
        <v>1200</v>
      </c>
      <c r="R530">
        <v>48</v>
      </c>
      <c r="S530">
        <v>850</v>
      </c>
      <c r="T530">
        <v>168</v>
      </c>
      <c r="W530">
        <v>1</v>
      </c>
      <c r="X530">
        <v>10</v>
      </c>
      <c r="Y530">
        <v>50</v>
      </c>
      <c r="AA530">
        <f>VLOOKUP(Table29[[#This Row],[Shortname]], Comp[], 6, FALSE)</f>
        <v>1080</v>
      </c>
      <c r="AB530" s="14">
        <f>VLOOKUP(Table29[[#This Row],[Shortname]], Comp[], 7, FALSE)</f>
        <v>72.960000000000008</v>
      </c>
      <c r="AC530">
        <f>VLOOKUP(Table29[[#This Row],[Shortname]], Comp[], 8, FALSE)</f>
        <v>10</v>
      </c>
      <c r="AD530">
        <f>VLOOKUP(Table29[[#This Row],[Shortname]], Comp[], 9, FALSE)</f>
        <v>5</v>
      </c>
      <c r="AE530">
        <f>VLOOKUP(Table29[[#This Row],[Shortname]], Comp[], 10, FALSE)</f>
        <v>4</v>
      </c>
      <c r="AF530">
        <f>VLOOKUP(Table29[[#This Row],[Shortname]], Comp[], 11, FALSE)</f>
        <v>0</v>
      </c>
      <c r="AG530">
        <f>VLOOKUP(Table29[[#This Row],[Shortname]], Comp[],12, FALSE)</f>
        <v>2</v>
      </c>
      <c r="AH530">
        <f>VLOOKUP(Table29[[#This Row],[Shortname]], Comp[], 13, FALSE)</f>
        <v>0</v>
      </c>
      <c r="AI530">
        <f>VLOOKUP(Table29[[#This Row],[Shortname]], Comp[], 14, FALSE)</f>
        <v>3</v>
      </c>
      <c r="AJ530">
        <f>VLOOKUP(Table29[[#This Row],[Shortname]], Comp[], 15, FALSE)</f>
        <v>3</v>
      </c>
      <c r="AK530">
        <f>VLOOKUP(Table29[[#This Row],[Shortname]], Comp[], 16, FALSE)</f>
        <v>0</v>
      </c>
      <c r="AL530">
        <f>VLOOKUP(Table29[[#This Row],[Shortname]], Comp[], 17, FALSE)</f>
        <v>0</v>
      </c>
      <c r="AM530">
        <f>VLOOKUP(Table29[[#This Row],[Shortname]], Comp[], 18, FALSE)</f>
        <v>0</v>
      </c>
      <c r="AN530">
        <f>VLOOKUP(Table29[[#This Row],[Shortname]], Comp[], 19, FALSE)</f>
        <v>0.04</v>
      </c>
      <c r="AO530">
        <f>VLOOKUP(Table29[[#This Row],[Shortname]], Comp[], 20, FALSE)</f>
        <v>0</v>
      </c>
      <c r="AP530">
        <f>VLOOKUP(Table29[[#This Row],[Shortname]], Comp[], 21, FALSE)</f>
        <v>0</v>
      </c>
      <c r="AQ530">
        <f>VLOOKUP(Table29[[#This Row],[Shortname]], Comp[], 22, FALSE)</f>
        <v>0</v>
      </c>
      <c r="AR530">
        <f>VLOOKUP(Table29[[#This Row],[Shortname]], Comp[], 23, FALSE)</f>
        <v>0</v>
      </c>
      <c r="AS530">
        <f>VLOOKUP(Table29[[#This Row],[Shortname]], Comp[], 24, FALSE)</f>
        <v>0</v>
      </c>
      <c r="AT530">
        <f>VLOOKUP(Table29[[#This Row],[Shortname]], Comp[], 25, FALSE)</f>
        <v>0</v>
      </c>
      <c r="AU530">
        <f>VLOOKUP(Table29[[#This Row],[Shortname]], Comp[], 26, FALSE)</f>
        <v>0</v>
      </c>
      <c r="AV530">
        <f>VLOOKUP(Table29[[#This Row],[Shortname]], Comp[], 27, FALSE)</f>
        <v>0</v>
      </c>
      <c r="AW530">
        <f>VLOOKUP(Table29[[#This Row],[Shortname]], Comp[], 28, FALSE)</f>
        <v>0</v>
      </c>
      <c r="AX530">
        <f>VLOOKUP(Table29[[#This Row],[Shortname]], Comp[], 29, FALSE)</f>
        <v>0</v>
      </c>
      <c r="AY530">
        <f>VLOOKUP(Table29[[#This Row],[Shortname]], Comp[], 30, FALSE)</f>
        <v>0</v>
      </c>
      <c r="AZ530">
        <f>VLOOKUP(Table29[[#This Row],[Shortname]], Comp[], 31, FALSE)</f>
        <v>0</v>
      </c>
    </row>
    <row r="531" spans="1:52" x14ac:dyDescent="0.3">
      <c r="A531" t="s">
        <v>6468</v>
      </c>
      <c r="F531" t="s">
        <v>6469</v>
      </c>
      <c r="G531" t="s">
        <v>6470</v>
      </c>
      <c r="H531">
        <v>367.07028693956698</v>
      </c>
      <c r="I531">
        <v>1.50648947447192E-5</v>
      </c>
      <c r="J531">
        <f>0.01/Table29[[#This Row],[Strain Rate (min) /s]]</f>
        <v>663.79488004756013</v>
      </c>
      <c r="K531">
        <f>LOG(Table29[[#This Row],[Time to 1% strain (s)]])</f>
        <v>2.8220338983050834</v>
      </c>
      <c r="L531">
        <v>850</v>
      </c>
      <c r="P531" t="s">
        <v>7232</v>
      </c>
      <c r="Q531">
        <v>1200</v>
      </c>
      <c r="R531">
        <v>48</v>
      </c>
      <c r="S531">
        <v>850</v>
      </c>
      <c r="T531">
        <v>168</v>
      </c>
      <c r="W531">
        <v>1</v>
      </c>
      <c r="X531">
        <v>10</v>
      </c>
      <c r="Y531">
        <v>50</v>
      </c>
      <c r="AA531">
        <f>VLOOKUP(Table29[[#This Row],[Shortname]], Comp[], 6, FALSE)</f>
        <v>1080</v>
      </c>
      <c r="AB531" s="14">
        <f>VLOOKUP(Table29[[#This Row],[Shortname]], Comp[], 7, FALSE)</f>
        <v>72.960000000000008</v>
      </c>
      <c r="AC531">
        <f>VLOOKUP(Table29[[#This Row],[Shortname]], Comp[], 8, FALSE)</f>
        <v>10</v>
      </c>
      <c r="AD531">
        <f>VLOOKUP(Table29[[#This Row],[Shortname]], Comp[], 9, FALSE)</f>
        <v>5</v>
      </c>
      <c r="AE531">
        <f>VLOOKUP(Table29[[#This Row],[Shortname]], Comp[], 10, FALSE)</f>
        <v>4</v>
      </c>
      <c r="AF531">
        <f>VLOOKUP(Table29[[#This Row],[Shortname]], Comp[], 11, FALSE)</f>
        <v>0</v>
      </c>
      <c r="AG531">
        <f>VLOOKUP(Table29[[#This Row],[Shortname]], Comp[],12, FALSE)</f>
        <v>2</v>
      </c>
      <c r="AH531">
        <f>VLOOKUP(Table29[[#This Row],[Shortname]], Comp[], 13, FALSE)</f>
        <v>0</v>
      </c>
      <c r="AI531">
        <f>VLOOKUP(Table29[[#This Row],[Shortname]], Comp[], 14, FALSE)</f>
        <v>3</v>
      </c>
      <c r="AJ531">
        <f>VLOOKUP(Table29[[#This Row],[Shortname]], Comp[], 15, FALSE)</f>
        <v>3</v>
      </c>
      <c r="AK531">
        <f>VLOOKUP(Table29[[#This Row],[Shortname]], Comp[], 16, FALSE)</f>
        <v>0</v>
      </c>
      <c r="AL531">
        <f>VLOOKUP(Table29[[#This Row],[Shortname]], Comp[], 17, FALSE)</f>
        <v>0</v>
      </c>
      <c r="AM531">
        <f>VLOOKUP(Table29[[#This Row],[Shortname]], Comp[], 18, FALSE)</f>
        <v>0</v>
      </c>
      <c r="AN531">
        <f>VLOOKUP(Table29[[#This Row],[Shortname]], Comp[], 19, FALSE)</f>
        <v>0.04</v>
      </c>
      <c r="AO531">
        <f>VLOOKUP(Table29[[#This Row],[Shortname]], Comp[], 20, FALSE)</f>
        <v>0</v>
      </c>
      <c r="AP531">
        <f>VLOOKUP(Table29[[#This Row],[Shortname]], Comp[], 21, FALSE)</f>
        <v>0</v>
      </c>
      <c r="AQ531">
        <f>VLOOKUP(Table29[[#This Row],[Shortname]], Comp[], 22, FALSE)</f>
        <v>0</v>
      </c>
      <c r="AR531">
        <f>VLOOKUP(Table29[[#This Row],[Shortname]], Comp[], 23, FALSE)</f>
        <v>0</v>
      </c>
      <c r="AS531">
        <f>VLOOKUP(Table29[[#This Row],[Shortname]], Comp[], 24, FALSE)</f>
        <v>0</v>
      </c>
      <c r="AT531">
        <f>VLOOKUP(Table29[[#This Row],[Shortname]], Comp[], 25, FALSE)</f>
        <v>0</v>
      </c>
      <c r="AU531">
        <f>VLOOKUP(Table29[[#This Row],[Shortname]], Comp[], 26, FALSE)</f>
        <v>0</v>
      </c>
      <c r="AV531">
        <f>VLOOKUP(Table29[[#This Row],[Shortname]], Comp[], 27, FALSE)</f>
        <v>0</v>
      </c>
      <c r="AW531">
        <f>VLOOKUP(Table29[[#This Row],[Shortname]], Comp[], 28, FALSE)</f>
        <v>0</v>
      </c>
      <c r="AX531">
        <f>VLOOKUP(Table29[[#This Row],[Shortname]], Comp[], 29, FALSE)</f>
        <v>0</v>
      </c>
      <c r="AY531">
        <f>VLOOKUP(Table29[[#This Row],[Shortname]], Comp[], 30, FALSE)</f>
        <v>0</v>
      </c>
      <c r="AZ531">
        <f>VLOOKUP(Table29[[#This Row],[Shortname]], Comp[], 31, FALSE)</f>
        <v>0</v>
      </c>
    </row>
    <row r="532" spans="1:52" x14ac:dyDescent="0.3">
      <c r="A532" t="s">
        <v>6468</v>
      </c>
      <c r="F532" t="s">
        <v>6469</v>
      </c>
      <c r="G532" t="s">
        <v>6470</v>
      </c>
      <c r="H532">
        <v>443.61119522942403</v>
      </c>
      <c r="I532">
        <v>8.2272413417004895E-5</v>
      </c>
      <c r="J532">
        <f>0.01/Table29[[#This Row],[Strain Rate (min) /s]]</f>
        <v>121.54742500762836</v>
      </c>
      <c r="K532">
        <f>LOG(Table29[[#This Row],[Time to 1% strain (s)]])</f>
        <v>2.0847457627118633</v>
      </c>
      <c r="L532">
        <v>850</v>
      </c>
      <c r="P532" t="s">
        <v>7232</v>
      </c>
      <c r="Q532">
        <v>1200</v>
      </c>
      <c r="R532">
        <v>48</v>
      </c>
      <c r="S532">
        <v>850</v>
      </c>
      <c r="T532">
        <v>168</v>
      </c>
      <c r="W532">
        <v>1</v>
      </c>
      <c r="X532">
        <v>10</v>
      </c>
      <c r="Y532">
        <v>50</v>
      </c>
      <c r="AA532">
        <f>VLOOKUP(Table29[[#This Row],[Shortname]], Comp[], 6, FALSE)</f>
        <v>1080</v>
      </c>
      <c r="AB532" s="14">
        <f>VLOOKUP(Table29[[#This Row],[Shortname]], Comp[], 7, FALSE)</f>
        <v>72.960000000000008</v>
      </c>
      <c r="AC532">
        <f>VLOOKUP(Table29[[#This Row],[Shortname]], Comp[], 8, FALSE)</f>
        <v>10</v>
      </c>
      <c r="AD532">
        <f>VLOOKUP(Table29[[#This Row],[Shortname]], Comp[], 9, FALSE)</f>
        <v>5</v>
      </c>
      <c r="AE532">
        <f>VLOOKUP(Table29[[#This Row],[Shortname]], Comp[], 10, FALSE)</f>
        <v>4</v>
      </c>
      <c r="AF532">
        <f>VLOOKUP(Table29[[#This Row],[Shortname]], Comp[], 11, FALSE)</f>
        <v>0</v>
      </c>
      <c r="AG532">
        <f>VLOOKUP(Table29[[#This Row],[Shortname]], Comp[],12, FALSE)</f>
        <v>2</v>
      </c>
      <c r="AH532">
        <f>VLOOKUP(Table29[[#This Row],[Shortname]], Comp[], 13, FALSE)</f>
        <v>0</v>
      </c>
      <c r="AI532">
        <f>VLOOKUP(Table29[[#This Row],[Shortname]], Comp[], 14, FALSE)</f>
        <v>3</v>
      </c>
      <c r="AJ532">
        <f>VLOOKUP(Table29[[#This Row],[Shortname]], Comp[], 15, FALSE)</f>
        <v>3</v>
      </c>
      <c r="AK532">
        <f>VLOOKUP(Table29[[#This Row],[Shortname]], Comp[], 16, FALSE)</f>
        <v>0</v>
      </c>
      <c r="AL532">
        <f>VLOOKUP(Table29[[#This Row],[Shortname]], Comp[], 17, FALSE)</f>
        <v>0</v>
      </c>
      <c r="AM532">
        <f>VLOOKUP(Table29[[#This Row],[Shortname]], Comp[], 18, FALSE)</f>
        <v>0</v>
      </c>
      <c r="AN532">
        <f>VLOOKUP(Table29[[#This Row],[Shortname]], Comp[], 19, FALSE)</f>
        <v>0.04</v>
      </c>
      <c r="AO532">
        <f>VLOOKUP(Table29[[#This Row],[Shortname]], Comp[], 20, FALSE)</f>
        <v>0</v>
      </c>
      <c r="AP532">
        <f>VLOOKUP(Table29[[#This Row],[Shortname]], Comp[], 21, FALSE)</f>
        <v>0</v>
      </c>
      <c r="AQ532">
        <f>VLOOKUP(Table29[[#This Row],[Shortname]], Comp[], 22, FALSE)</f>
        <v>0</v>
      </c>
      <c r="AR532">
        <f>VLOOKUP(Table29[[#This Row],[Shortname]], Comp[], 23, FALSE)</f>
        <v>0</v>
      </c>
      <c r="AS532">
        <f>VLOOKUP(Table29[[#This Row],[Shortname]], Comp[], 24, FALSE)</f>
        <v>0</v>
      </c>
      <c r="AT532">
        <f>VLOOKUP(Table29[[#This Row],[Shortname]], Comp[], 25, FALSE)</f>
        <v>0</v>
      </c>
      <c r="AU532">
        <f>VLOOKUP(Table29[[#This Row],[Shortname]], Comp[], 26, FALSE)</f>
        <v>0</v>
      </c>
      <c r="AV532">
        <f>VLOOKUP(Table29[[#This Row],[Shortname]], Comp[], 27, FALSE)</f>
        <v>0</v>
      </c>
      <c r="AW532">
        <f>VLOOKUP(Table29[[#This Row],[Shortname]], Comp[], 28, FALSE)</f>
        <v>0</v>
      </c>
      <c r="AX532">
        <f>VLOOKUP(Table29[[#This Row],[Shortname]], Comp[], 29, FALSE)</f>
        <v>0</v>
      </c>
      <c r="AY532">
        <f>VLOOKUP(Table29[[#This Row],[Shortname]], Comp[], 30, FALSE)</f>
        <v>0</v>
      </c>
      <c r="AZ532">
        <f>VLOOKUP(Table29[[#This Row],[Shortname]], Comp[], 31, FALSE)</f>
        <v>0</v>
      </c>
    </row>
    <row r="533" spans="1:52" x14ac:dyDescent="0.3">
      <c r="A533" t="s">
        <v>6472</v>
      </c>
      <c r="F533" t="s">
        <v>6473</v>
      </c>
      <c r="G533" t="s">
        <v>6474</v>
      </c>
      <c r="H533">
        <v>200.390886938356</v>
      </c>
      <c r="I533">
        <v>5.67854782959202E-8</v>
      </c>
      <c r="J533">
        <f>0.01/Table29[[#This Row],[Strain Rate (min) /s]]</f>
        <v>176101.36077199262</v>
      </c>
      <c r="K533">
        <f>LOG(Table29[[#This Row],[Time to 1% strain (s)]])</f>
        <v>5.2457627118644048</v>
      </c>
      <c r="L533">
        <v>850</v>
      </c>
      <c r="P533" t="s">
        <v>7233</v>
      </c>
      <c r="Q533">
        <v>1200</v>
      </c>
      <c r="R533">
        <v>48</v>
      </c>
      <c r="S533">
        <v>850</v>
      </c>
      <c r="T533">
        <v>168</v>
      </c>
      <c r="W533">
        <v>1</v>
      </c>
      <c r="X533">
        <v>10</v>
      </c>
      <c r="Y533">
        <v>64</v>
      </c>
      <c r="AA533">
        <f>VLOOKUP(Table29[[#This Row],[Shortname]], Comp[], 6, FALSE)</f>
        <v>1081</v>
      </c>
      <c r="AB533" s="14">
        <f>VLOOKUP(Table29[[#This Row],[Shortname]], Comp[], 7, FALSE)</f>
        <v>68.960000000000008</v>
      </c>
      <c r="AC533">
        <f>VLOOKUP(Table29[[#This Row],[Shortname]], Comp[], 8, FALSE)</f>
        <v>10</v>
      </c>
      <c r="AD533">
        <f>VLOOKUP(Table29[[#This Row],[Shortname]], Comp[], 9, FALSE)</f>
        <v>5</v>
      </c>
      <c r="AE533">
        <f>VLOOKUP(Table29[[#This Row],[Shortname]], Comp[], 10, FALSE)</f>
        <v>8</v>
      </c>
      <c r="AF533">
        <f>VLOOKUP(Table29[[#This Row],[Shortname]], Comp[], 11, FALSE)</f>
        <v>0</v>
      </c>
      <c r="AG533">
        <f>VLOOKUP(Table29[[#This Row],[Shortname]], Comp[],12, FALSE)</f>
        <v>2</v>
      </c>
      <c r="AH533">
        <f>VLOOKUP(Table29[[#This Row],[Shortname]], Comp[], 13, FALSE)</f>
        <v>0</v>
      </c>
      <c r="AI533">
        <f>VLOOKUP(Table29[[#This Row],[Shortname]], Comp[], 14, FALSE)</f>
        <v>3</v>
      </c>
      <c r="AJ533">
        <f>VLOOKUP(Table29[[#This Row],[Shortname]], Comp[], 15, FALSE)</f>
        <v>3</v>
      </c>
      <c r="AK533">
        <f>VLOOKUP(Table29[[#This Row],[Shortname]], Comp[], 16, FALSE)</f>
        <v>0</v>
      </c>
      <c r="AL533">
        <f>VLOOKUP(Table29[[#This Row],[Shortname]], Comp[], 17, FALSE)</f>
        <v>0</v>
      </c>
      <c r="AM533">
        <f>VLOOKUP(Table29[[#This Row],[Shortname]], Comp[], 18, FALSE)</f>
        <v>0</v>
      </c>
      <c r="AN533">
        <f>VLOOKUP(Table29[[#This Row],[Shortname]], Comp[], 19, FALSE)</f>
        <v>0.04</v>
      </c>
      <c r="AO533">
        <f>VLOOKUP(Table29[[#This Row],[Shortname]], Comp[], 20, FALSE)</f>
        <v>0</v>
      </c>
      <c r="AP533">
        <f>VLOOKUP(Table29[[#This Row],[Shortname]], Comp[], 21, FALSE)</f>
        <v>0</v>
      </c>
      <c r="AQ533">
        <f>VLOOKUP(Table29[[#This Row],[Shortname]], Comp[], 22, FALSE)</f>
        <v>0</v>
      </c>
      <c r="AR533">
        <f>VLOOKUP(Table29[[#This Row],[Shortname]], Comp[], 23, FALSE)</f>
        <v>0</v>
      </c>
      <c r="AS533">
        <f>VLOOKUP(Table29[[#This Row],[Shortname]], Comp[], 24, FALSE)</f>
        <v>0</v>
      </c>
      <c r="AT533">
        <f>VLOOKUP(Table29[[#This Row],[Shortname]], Comp[], 25, FALSE)</f>
        <v>0</v>
      </c>
      <c r="AU533">
        <f>VLOOKUP(Table29[[#This Row],[Shortname]], Comp[], 26, FALSE)</f>
        <v>0</v>
      </c>
      <c r="AV533">
        <f>VLOOKUP(Table29[[#This Row],[Shortname]], Comp[], 27, FALSE)</f>
        <v>0</v>
      </c>
      <c r="AW533">
        <f>VLOOKUP(Table29[[#This Row],[Shortname]], Comp[], 28, FALSE)</f>
        <v>0</v>
      </c>
      <c r="AX533">
        <f>VLOOKUP(Table29[[#This Row],[Shortname]], Comp[], 29, FALSE)</f>
        <v>0</v>
      </c>
      <c r="AY533">
        <f>VLOOKUP(Table29[[#This Row],[Shortname]], Comp[], 30, FALSE)</f>
        <v>0</v>
      </c>
      <c r="AZ533">
        <f>VLOOKUP(Table29[[#This Row],[Shortname]], Comp[], 31, FALSE)</f>
        <v>0</v>
      </c>
    </row>
    <row r="534" spans="1:52" x14ac:dyDescent="0.3">
      <c r="A534" t="s">
        <v>6472</v>
      </c>
      <c r="F534" t="s">
        <v>6473</v>
      </c>
      <c r="G534" t="s">
        <v>6474</v>
      </c>
      <c r="H534">
        <v>254.29073048369801</v>
      </c>
      <c r="I534">
        <v>1.3400427210994601E-7</v>
      </c>
      <c r="J534">
        <f>0.01/Table29[[#This Row],[Strain Rate (min) /s]]</f>
        <v>74624.486537230216</v>
      </c>
      <c r="K534">
        <f>LOG(Table29[[#This Row],[Time to 1% strain (s)]])</f>
        <v>4.8728813559322024</v>
      </c>
      <c r="L534">
        <v>850</v>
      </c>
      <c r="P534" t="s">
        <v>7233</v>
      </c>
      <c r="Q534">
        <v>1200</v>
      </c>
      <c r="R534">
        <v>48</v>
      </c>
      <c r="S534">
        <v>850</v>
      </c>
      <c r="T534">
        <v>168</v>
      </c>
      <c r="W534">
        <v>1</v>
      </c>
      <c r="X534">
        <v>10</v>
      </c>
      <c r="Y534">
        <v>64</v>
      </c>
      <c r="AA534">
        <f>VLOOKUP(Table29[[#This Row],[Shortname]], Comp[], 6, FALSE)</f>
        <v>1081</v>
      </c>
      <c r="AB534" s="14">
        <f>VLOOKUP(Table29[[#This Row],[Shortname]], Comp[], 7, FALSE)</f>
        <v>68.960000000000008</v>
      </c>
      <c r="AC534">
        <f>VLOOKUP(Table29[[#This Row],[Shortname]], Comp[], 8, FALSE)</f>
        <v>10</v>
      </c>
      <c r="AD534">
        <f>VLOOKUP(Table29[[#This Row],[Shortname]], Comp[], 9, FALSE)</f>
        <v>5</v>
      </c>
      <c r="AE534">
        <f>VLOOKUP(Table29[[#This Row],[Shortname]], Comp[], 10, FALSE)</f>
        <v>8</v>
      </c>
      <c r="AF534">
        <f>VLOOKUP(Table29[[#This Row],[Shortname]], Comp[], 11, FALSE)</f>
        <v>0</v>
      </c>
      <c r="AG534">
        <f>VLOOKUP(Table29[[#This Row],[Shortname]], Comp[],12, FALSE)</f>
        <v>2</v>
      </c>
      <c r="AH534">
        <f>VLOOKUP(Table29[[#This Row],[Shortname]], Comp[], 13, FALSE)</f>
        <v>0</v>
      </c>
      <c r="AI534">
        <f>VLOOKUP(Table29[[#This Row],[Shortname]], Comp[], 14, FALSE)</f>
        <v>3</v>
      </c>
      <c r="AJ534">
        <f>VLOOKUP(Table29[[#This Row],[Shortname]], Comp[], 15, FALSE)</f>
        <v>3</v>
      </c>
      <c r="AK534">
        <f>VLOOKUP(Table29[[#This Row],[Shortname]], Comp[], 16, FALSE)</f>
        <v>0</v>
      </c>
      <c r="AL534">
        <f>VLOOKUP(Table29[[#This Row],[Shortname]], Comp[], 17, FALSE)</f>
        <v>0</v>
      </c>
      <c r="AM534">
        <f>VLOOKUP(Table29[[#This Row],[Shortname]], Comp[], 18, FALSE)</f>
        <v>0</v>
      </c>
      <c r="AN534">
        <f>VLOOKUP(Table29[[#This Row],[Shortname]], Comp[], 19, FALSE)</f>
        <v>0.04</v>
      </c>
      <c r="AO534">
        <f>VLOOKUP(Table29[[#This Row],[Shortname]], Comp[], 20, FALSE)</f>
        <v>0</v>
      </c>
      <c r="AP534">
        <f>VLOOKUP(Table29[[#This Row],[Shortname]], Comp[], 21, FALSE)</f>
        <v>0</v>
      </c>
      <c r="AQ534">
        <f>VLOOKUP(Table29[[#This Row],[Shortname]], Comp[], 22, FALSE)</f>
        <v>0</v>
      </c>
      <c r="AR534">
        <f>VLOOKUP(Table29[[#This Row],[Shortname]], Comp[], 23, FALSE)</f>
        <v>0</v>
      </c>
      <c r="AS534">
        <f>VLOOKUP(Table29[[#This Row],[Shortname]], Comp[], 24, FALSE)</f>
        <v>0</v>
      </c>
      <c r="AT534">
        <f>VLOOKUP(Table29[[#This Row],[Shortname]], Comp[], 25, FALSE)</f>
        <v>0</v>
      </c>
      <c r="AU534">
        <f>VLOOKUP(Table29[[#This Row],[Shortname]], Comp[], 26, FALSE)</f>
        <v>0</v>
      </c>
      <c r="AV534">
        <f>VLOOKUP(Table29[[#This Row],[Shortname]], Comp[], 27, FALSE)</f>
        <v>0</v>
      </c>
      <c r="AW534">
        <f>VLOOKUP(Table29[[#This Row],[Shortname]], Comp[], 28, FALSE)</f>
        <v>0</v>
      </c>
      <c r="AX534">
        <f>VLOOKUP(Table29[[#This Row],[Shortname]], Comp[], 29, FALSE)</f>
        <v>0</v>
      </c>
      <c r="AY534">
        <f>VLOOKUP(Table29[[#This Row],[Shortname]], Comp[], 30, FALSE)</f>
        <v>0</v>
      </c>
      <c r="AZ534">
        <f>VLOOKUP(Table29[[#This Row],[Shortname]], Comp[], 31, FALSE)</f>
        <v>0</v>
      </c>
    </row>
    <row r="535" spans="1:52" x14ac:dyDescent="0.3">
      <c r="A535" t="s">
        <v>6472</v>
      </c>
      <c r="F535" t="s">
        <v>6473</v>
      </c>
      <c r="G535" t="s">
        <v>6474</v>
      </c>
      <c r="H535">
        <v>299.02823010469098</v>
      </c>
      <c r="I535">
        <v>7.9123426189813595E-7</v>
      </c>
      <c r="J535">
        <f>0.01/Table29[[#This Row],[Strain Rate (min) /s]]</f>
        <v>12638.48202934292</v>
      </c>
      <c r="K535">
        <f>LOG(Table29[[#This Row],[Time to 1% strain (s)]])</f>
        <v>4.1016949152542352</v>
      </c>
      <c r="L535">
        <v>850</v>
      </c>
      <c r="P535" t="s">
        <v>7233</v>
      </c>
      <c r="Q535">
        <v>1200</v>
      </c>
      <c r="R535">
        <v>48</v>
      </c>
      <c r="S535">
        <v>850</v>
      </c>
      <c r="T535">
        <v>168</v>
      </c>
      <c r="W535">
        <v>1</v>
      </c>
      <c r="X535">
        <v>10</v>
      </c>
      <c r="Y535">
        <v>64</v>
      </c>
      <c r="AA535">
        <f>VLOOKUP(Table29[[#This Row],[Shortname]], Comp[], 6, FALSE)</f>
        <v>1081</v>
      </c>
      <c r="AB535" s="14">
        <f>VLOOKUP(Table29[[#This Row],[Shortname]], Comp[], 7, FALSE)</f>
        <v>68.960000000000008</v>
      </c>
      <c r="AC535">
        <f>VLOOKUP(Table29[[#This Row],[Shortname]], Comp[], 8, FALSE)</f>
        <v>10</v>
      </c>
      <c r="AD535">
        <f>VLOOKUP(Table29[[#This Row],[Shortname]], Comp[], 9, FALSE)</f>
        <v>5</v>
      </c>
      <c r="AE535">
        <f>VLOOKUP(Table29[[#This Row],[Shortname]], Comp[], 10, FALSE)</f>
        <v>8</v>
      </c>
      <c r="AF535">
        <f>VLOOKUP(Table29[[#This Row],[Shortname]], Comp[], 11, FALSE)</f>
        <v>0</v>
      </c>
      <c r="AG535">
        <f>VLOOKUP(Table29[[#This Row],[Shortname]], Comp[],12, FALSE)</f>
        <v>2</v>
      </c>
      <c r="AH535">
        <f>VLOOKUP(Table29[[#This Row],[Shortname]], Comp[], 13, FALSE)</f>
        <v>0</v>
      </c>
      <c r="AI535">
        <f>VLOOKUP(Table29[[#This Row],[Shortname]], Comp[], 14, FALSE)</f>
        <v>3</v>
      </c>
      <c r="AJ535">
        <f>VLOOKUP(Table29[[#This Row],[Shortname]], Comp[], 15, FALSE)</f>
        <v>3</v>
      </c>
      <c r="AK535">
        <f>VLOOKUP(Table29[[#This Row],[Shortname]], Comp[], 16, FALSE)</f>
        <v>0</v>
      </c>
      <c r="AL535">
        <f>VLOOKUP(Table29[[#This Row],[Shortname]], Comp[], 17, FALSE)</f>
        <v>0</v>
      </c>
      <c r="AM535">
        <f>VLOOKUP(Table29[[#This Row],[Shortname]], Comp[], 18, FALSE)</f>
        <v>0</v>
      </c>
      <c r="AN535">
        <f>VLOOKUP(Table29[[#This Row],[Shortname]], Comp[], 19, FALSE)</f>
        <v>0.04</v>
      </c>
      <c r="AO535">
        <f>VLOOKUP(Table29[[#This Row],[Shortname]], Comp[], 20, FALSE)</f>
        <v>0</v>
      </c>
      <c r="AP535">
        <f>VLOOKUP(Table29[[#This Row],[Shortname]], Comp[], 21, FALSE)</f>
        <v>0</v>
      </c>
      <c r="AQ535">
        <f>VLOOKUP(Table29[[#This Row],[Shortname]], Comp[], 22, FALSE)</f>
        <v>0</v>
      </c>
      <c r="AR535">
        <f>VLOOKUP(Table29[[#This Row],[Shortname]], Comp[], 23, FALSE)</f>
        <v>0</v>
      </c>
      <c r="AS535">
        <f>VLOOKUP(Table29[[#This Row],[Shortname]], Comp[], 24, FALSE)</f>
        <v>0</v>
      </c>
      <c r="AT535">
        <f>VLOOKUP(Table29[[#This Row],[Shortname]], Comp[], 25, FALSE)</f>
        <v>0</v>
      </c>
      <c r="AU535">
        <f>VLOOKUP(Table29[[#This Row],[Shortname]], Comp[], 26, FALSE)</f>
        <v>0</v>
      </c>
      <c r="AV535">
        <f>VLOOKUP(Table29[[#This Row],[Shortname]], Comp[], 27, FALSE)</f>
        <v>0</v>
      </c>
      <c r="AW535">
        <f>VLOOKUP(Table29[[#This Row],[Shortname]], Comp[], 28, FALSE)</f>
        <v>0</v>
      </c>
      <c r="AX535">
        <f>VLOOKUP(Table29[[#This Row],[Shortname]], Comp[], 29, FALSE)</f>
        <v>0</v>
      </c>
      <c r="AY535">
        <f>VLOOKUP(Table29[[#This Row],[Shortname]], Comp[], 30, FALSE)</f>
        <v>0</v>
      </c>
      <c r="AZ535">
        <f>VLOOKUP(Table29[[#This Row],[Shortname]], Comp[], 31, FALSE)</f>
        <v>0</v>
      </c>
    </row>
    <row r="536" spans="1:52" x14ac:dyDescent="0.3">
      <c r="A536" t="s">
        <v>6472</v>
      </c>
      <c r="F536" t="s">
        <v>6473</v>
      </c>
      <c r="G536" t="s">
        <v>6474</v>
      </c>
      <c r="H536">
        <v>354.39349245627199</v>
      </c>
      <c r="I536">
        <v>3.9966389379830902E-6</v>
      </c>
      <c r="J536">
        <f>0.01/Table29[[#This Row],[Strain Rate (min) /s]]</f>
        <v>2502.1024303602753</v>
      </c>
      <c r="K536">
        <f>LOG(Table29[[#This Row],[Time to 1% strain (s)]])</f>
        <v>3.3983050847457621</v>
      </c>
      <c r="L536">
        <v>850</v>
      </c>
      <c r="P536" t="s">
        <v>7233</v>
      </c>
      <c r="Q536">
        <v>1200</v>
      </c>
      <c r="R536">
        <v>48</v>
      </c>
      <c r="S536">
        <v>850</v>
      </c>
      <c r="T536">
        <v>168</v>
      </c>
      <c r="W536">
        <v>1</v>
      </c>
      <c r="X536">
        <v>10</v>
      </c>
      <c r="Y536">
        <v>64</v>
      </c>
      <c r="AA536">
        <f>VLOOKUP(Table29[[#This Row],[Shortname]], Comp[], 6, FALSE)</f>
        <v>1081</v>
      </c>
      <c r="AB536" s="14">
        <f>VLOOKUP(Table29[[#This Row],[Shortname]], Comp[], 7, FALSE)</f>
        <v>68.960000000000008</v>
      </c>
      <c r="AC536">
        <f>VLOOKUP(Table29[[#This Row],[Shortname]], Comp[], 8, FALSE)</f>
        <v>10</v>
      </c>
      <c r="AD536">
        <f>VLOOKUP(Table29[[#This Row],[Shortname]], Comp[], 9, FALSE)</f>
        <v>5</v>
      </c>
      <c r="AE536">
        <f>VLOOKUP(Table29[[#This Row],[Shortname]], Comp[], 10, FALSE)</f>
        <v>8</v>
      </c>
      <c r="AF536">
        <f>VLOOKUP(Table29[[#This Row],[Shortname]], Comp[], 11, FALSE)</f>
        <v>0</v>
      </c>
      <c r="AG536">
        <f>VLOOKUP(Table29[[#This Row],[Shortname]], Comp[],12, FALSE)</f>
        <v>2</v>
      </c>
      <c r="AH536">
        <f>VLOOKUP(Table29[[#This Row],[Shortname]], Comp[], 13, FALSE)</f>
        <v>0</v>
      </c>
      <c r="AI536">
        <f>VLOOKUP(Table29[[#This Row],[Shortname]], Comp[], 14, FALSE)</f>
        <v>3</v>
      </c>
      <c r="AJ536">
        <f>VLOOKUP(Table29[[#This Row],[Shortname]], Comp[], 15, FALSE)</f>
        <v>3</v>
      </c>
      <c r="AK536">
        <f>VLOOKUP(Table29[[#This Row],[Shortname]], Comp[], 16, FALSE)</f>
        <v>0</v>
      </c>
      <c r="AL536">
        <f>VLOOKUP(Table29[[#This Row],[Shortname]], Comp[], 17, FALSE)</f>
        <v>0</v>
      </c>
      <c r="AM536">
        <f>VLOOKUP(Table29[[#This Row],[Shortname]], Comp[], 18, FALSE)</f>
        <v>0</v>
      </c>
      <c r="AN536">
        <f>VLOOKUP(Table29[[#This Row],[Shortname]], Comp[], 19, FALSE)</f>
        <v>0.04</v>
      </c>
      <c r="AO536">
        <f>VLOOKUP(Table29[[#This Row],[Shortname]], Comp[], 20, FALSE)</f>
        <v>0</v>
      </c>
      <c r="AP536">
        <f>VLOOKUP(Table29[[#This Row],[Shortname]], Comp[], 21, FALSE)</f>
        <v>0</v>
      </c>
      <c r="AQ536">
        <f>VLOOKUP(Table29[[#This Row],[Shortname]], Comp[], 22, FALSE)</f>
        <v>0</v>
      </c>
      <c r="AR536">
        <f>VLOOKUP(Table29[[#This Row],[Shortname]], Comp[], 23, FALSE)</f>
        <v>0</v>
      </c>
      <c r="AS536">
        <f>VLOOKUP(Table29[[#This Row],[Shortname]], Comp[], 24, FALSE)</f>
        <v>0</v>
      </c>
      <c r="AT536">
        <f>VLOOKUP(Table29[[#This Row],[Shortname]], Comp[], 25, FALSE)</f>
        <v>0</v>
      </c>
      <c r="AU536">
        <f>VLOOKUP(Table29[[#This Row],[Shortname]], Comp[], 26, FALSE)</f>
        <v>0</v>
      </c>
      <c r="AV536">
        <f>VLOOKUP(Table29[[#This Row],[Shortname]], Comp[], 27, FALSE)</f>
        <v>0</v>
      </c>
      <c r="AW536">
        <f>VLOOKUP(Table29[[#This Row],[Shortname]], Comp[], 28, FALSE)</f>
        <v>0</v>
      </c>
      <c r="AX536">
        <f>VLOOKUP(Table29[[#This Row],[Shortname]], Comp[], 29, FALSE)</f>
        <v>0</v>
      </c>
      <c r="AY536">
        <f>VLOOKUP(Table29[[#This Row],[Shortname]], Comp[], 30, FALSE)</f>
        <v>0</v>
      </c>
      <c r="AZ536">
        <f>VLOOKUP(Table29[[#This Row],[Shortname]], Comp[], 31, FALSE)</f>
        <v>0</v>
      </c>
    </row>
    <row r="537" spans="1:52" x14ac:dyDescent="0.3">
      <c r="A537" t="s">
        <v>6472</v>
      </c>
      <c r="F537" t="s">
        <v>6473</v>
      </c>
      <c r="G537" t="s">
        <v>6474</v>
      </c>
      <c r="H537">
        <v>409.48278950461997</v>
      </c>
      <c r="I537">
        <v>1.23942524852119E-5</v>
      </c>
      <c r="J537">
        <f>0.01/Table29[[#This Row],[Strain Rate (min) /s]]</f>
        <v>806.82558403029293</v>
      </c>
      <c r="K537">
        <f>LOG(Table29[[#This Row],[Time to 1% strain (s)]])</f>
        <v>2.9067796610169512</v>
      </c>
      <c r="L537">
        <v>850</v>
      </c>
      <c r="P537" t="s">
        <v>7233</v>
      </c>
      <c r="Q537">
        <v>1200</v>
      </c>
      <c r="R537">
        <v>48</v>
      </c>
      <c r="S537">
        <v>850</v>
      </c>
      <c r="T537">
        <v>168</v>
      </c>
      <c r="W537">
        <v>1</v>
      </c>
      <c r="X537">
        <v>10</v>
      </c>
      <c r="Y537">
        <v>64</v>
      </c>
      <c r="AA537">
        <f>VLOOKUP(Table29[[#This Row],[Shortname]], Comp[], 6, FALSE)</f>
        <v>1081</v>
      </c>
      <c r="AB537" s="14">
        <f>VLOOKUP(Table29[[#This Row],[Shortname]], Comp[], 7, FALSE)</f>
        <v>68.960000000000008</v>
      </c>
      <c r="AC537">
        <f>VLOOKUP(Table29[[#This Row],[Shortname]], Comp[], 8, FALSE)</f>
        <v>10</v>
      </c>
      <c r="AD537">
        <f>VLOOKUP(Table29[[#This Row],[Shortname]], Comp[], 9, FALSE)</f>
        <v>5</v>
      </c>
      <c r="AE537">
        <f>VLOOKUP(Table29[[#This Row],[Shortname]], Comp[], 10, FALSE)</f>
        <v>8</v>
      </c>
      <c r="AF537">
        <f>VLOOKUP(Table29[[#This Row],[Shortname]], Comp[], 11, FALSE)</f>
        <v>0</v>
      </c>
      <c r="AG537">
        <f>VLOOKUP(Table29[[#This Row],[Shortname]], Comp[],12, FALSE)</f>
        <v>2</v>
      </c>
      <c r="AH537">
        <f>VLOOKUP(Table29[[#This Row],[Shortname]], Comp[], 13, FALSE)</f>
        <v>0</v>
      </c>
      <c r="AI537">
        <f>VLOOKUP(Table29[[#This Row],[Shortname]], Comp[], 14, FALSE)</f>
        <v>3</v>
      </c>
      <c r="AJ537">
        <f>VLOOKUP(Table29[[#This Row],[Shortname]], Comp[], 15, FALSE)</f>
        <v>3</v>
      </c>
      <c r="AK537">
        <f>VLOOKUP(Table29[[#This Row],[Shortname]], Comp[], 16, FALSE)</f>
        <v>0</v>
      </c>
      <c r="AL537">
        <f>VLOOKUP(Table29[[#This Row],[Shortname]], Comp[], 17, FALSE)</f>
        <v>0</v>
      </c>
      <c r="AM537">
        <f>VLOOKUP(Table29[[#This Row],[Shortname]], Comp[], 18, FALSE)</f>
        <v>0</v>
      </c>
      <c r="AN537">
        <f>VLOOKUP(Table29[[#This Row],[Shortname]], Comp[], 19, FALSE)</f>
        <v>0.04</v>
      </c>
      <c r="AO537">
        <f>VLOOKUP(Table29[[#This Row],[Shortname]], Comp[], 20, FALSE)</f>
        <v>0</v>
      </c>
      <c r="AP537">
        <f>VLOOKUP(Table29[[#This Row],[Shortname]], Comp[], 21, FALSE)</f>
        <v>0</v>
      </c>
      <c r="AQ537">
        <f>VLOOKUP(Table29[[#This Row],[Shortname]], Comp[], 22, FALSE)</f>
        <v>0</v>
      </c>
      <c r="AR537">
        <f>VLOOKUP(Table29[[#This Row],[Shortname]], Comp[], 23, FALSE)</f>
        <v>0</v>
      </c>
      <c r="AS537">
        <f>VLOOKUP(Table29[[#This Row],[Shortname]], Comp[], 24, FALSE)</f>
        <v>0</v>
      </c>
      <c r="AT537">
        <f>VLOOKUP(Table29[[#This Row],[Shortname]], Comp[], 25, FALSE)</f>
        <v>0</v>
      </c>
      <c r="AU537">
        <f>VLOOKUP(Table29[[#This Row],[Shortname]], Comp[], 26, FALSE)</f>
        <v>0</v>
      </c>
      <c r="AV537">
        <f>VLOOKUP(Table29[[#This Row],[Shortname]], Comp[], 27, FALSE)</f>
        <v>0</v>
      </c>
      <c r="AW537">
        <f>VLOOKUP(Table29[[#This Row],[Shortname]], Comp[], 28, FALSE)</f>
        <v>0</v>
      </c>
      <c r="AX537">
        <f>VLOOKUP(Table29[[#This Row],[Shortname]], Comp[], 29, FALSE)</f>
        <v>0</v>
      </c>
      <c r="AY537">
        <f>VLOOKUP(Table29[[#This Row],[Shortname]], Comp[], 30, FALSE)</f>
        <v>0</v>
      </c>
      <c r="AZ537">
        <f>VLOOKUP(Table29[[#This Row],[Shortname]], Comp[], 31, FALSE)</f>
        <v>0</v>
      </c>
    </row>
    <row r="538" spans="1:52" x14ac:dyDescent="0.3">
      <c r="A538" t="s">
        <v>6472</v>
      </c>
      <c r="F538" t="s">
        <v>6473</v>
      </c>
      <c r="G538" t="s">
        <v>6474</v>
      </c>
      <c r="H538">
        <v>473.13553569603101</v>
      </c>
      <c r="I538">
        <v>4.4062364277735803E-5</v>
      </c>
      <c r="J538">
        <f>0.01/Table29[[#This Row],[Strain Rate (min) /s]]</f>
        <v>226.95105366946646</v>
      </c>
      <c r="K538">
        <f>LOG(Table29[[#This Row],[Time to 1% strain (s)]])</f>
        <v>2.3559322033898296</v>
      </c>
      <c r="L538">
        <v>850</v>
      </c>
      <c r="P538" t="s">
        <v>7233</v>
      </c>
      <c r="Q538">
        <v>1200</v>
      </c>
      <c r="R538">
        <v>48</v>
      </c>
      <c r="S538">
        <v>850</v>
      </c>
      <c r="T538">
        <v>168</v>
      </c>
      <c r="W538">
        <v>1</v>
      </c>
      <c r="X538">
        <v>10</v>
      </c>
      <c r="Y538">
        <v>64</v>
      </c>
      <c r="AA538">
        <f>VLOOKUP(Table29[[#This Row],[Shortname]], Comp[], 6, FALSE)</f>
        <v>1081</v>
      </c>
      <c r="AB538" s="14">
        <f>VLOOKUP(Table29[[#This Row],[Shortname]], Comp[], 7, FALSE)</f>
        <v>68.960000000000008</v>
      </c>
      <c r="AC538">
        <f>VLOOKUP(Table29[[#This Row],[Shortname]], Comp[], 8, FALSE)</f>
        <v>10</v>
      </c>
      <c r="AD538">
        <f>VLOOKUP(Table29[[#This Row],[Shortname]], Comp[], 9, FALSE)</f>
        <v>5</v>
      </c>
      <c r="AE538">
        <f>VLOOKUP(Table29[[#This Row],[Shortname]], Comp[], 10, FALSE)</f>
        <v>8</v>
      </c>
      <c r="AF538">
        <f>VLOOKUP(Table29[[#This Row],[Shortname]], Comp[], 11, FALSE)</f>
        <v>0</v>
      </c>
      <c r="AG538">
        <f>VLOOKUP(Table29[[#This Row],[Shortname]], Comp[],12, FALSE)</f>
        <v>2</v>
      </c>
      <c r="AH538">
        <f>VLOOKUP(Table29[[#This Row],[Shortname]], Comp[], 13, FALSE)</f>
        <v>0</v>
      </c>
      <c r="AI538">
        <f>VLOOKUP(Table29[[#This Row],[Shortname]], Comp[], 14, FALSE)</f>
        <v>3</v>
      </c>
      <c r="AJ538">
        <f>VLOOKUP(Table29[[#This Row],[Shortname]], Comp[], 15, FALSE)</f>
        <v>3</v>
      </c>
      <c r="AK538">
        <f>VLOOKUP(Table29[[#This Row],[Shortname]], Comp[], 16, FALSE)</f>
        <v>0</v>
      </c>
      <c r="AL538">
        <f>VLOOKUP(Table29[[#This Row],[Shortname]], Comp[], 17, FALSE)</f>
        <v>0</v>
      </c>
      <c r="AM538">
        <f>VLOOKUP(Table29[[#This Row],[Shortname]], Comp[], 18, FALSE)</f>
        <v>0</v>
      </c>
      <c r="AN538">
        <f>VLOOKUP(Table29[[#This Row],[Shortname]], Comp[], 19, FALSE)</f>
        <v>0.04</v>
      </c>
      <c r="AO538">
        <f>VLOOKUP(Table29[[#This Row],[Shortname]], Comp[], 20, FALSE)</f>
        <v>0</v>
      </c>
      <c r="AP538">
        <f>VLOOKUP(Table29[[#This Row],[Shortname]], Comp[], 21, FALSE)</f>
        <v>0</v>
      </c>
      <c r="AQ538">
        <f>VLOOKUP(Table29[[#This Row],[Shortname]], Comp[], 22, FALSE)</f>
        <v>0</v>
      </c>
      <c r="AR538">
        <f>VLOOKUP(Table29[[#This Row],[Shortname]], Comp[], 23, FALSE)</f>
        <v>0</v>
      </c>
      <c r="AS538">
        <f>VLOOKUP(Table29[[#This Row],[Shortname]], Comp[], 24, FALSE)</f>
        <v>0</v>
      </c>
      <c r="AT538">
        <f>VLOOKUP(Table29[[#This Row],[Shortname]], Comp[], 25, FALSE)</f>
        <v>0</v>
      </c>
      <c r="AU538">
        <f>VLOOKUP(Table29[[#This Row],[Shortname]], Comp[], 26, FALSE)</f>
        <v>0</v>
      </c>
      <c r="AV538">
        <f>VLOOKUP(Table29[[#This Row],[Shortname]], Comp[], 27, FALSE)</f>
        <v>0</v>
      </c>
      <c r="AW538">
        <f>VLOOKUP(Table29[[#This Row],[Shortname]], Comp[], 28, FALSE)</f>
        <v>0</v>
      </c>
      <c r="AX538">
        <f>VLOOKUP(Table29[[#This Row],[Shortname]], Comp[], 29, FALSE)</f>
        <v>0</v>
      </c>
      <c r="AY538">
        <f>VLOOKUP(Table29[[#This Row],[Shortname]], Comp[], 30, FALSE)</f>
        <v>0</v>
      </c>
      <c r="AZ538">
        <f>VLOOKUP(Table29[[#This Row],[Shortname]], Comp[], 31, FALSE)</f>
        <v>0</v>
      </c>
    </row>
    <row r="539" spans="1:52" x14ac:dyDescent="0.3">
      <c r="A539" t="s">
        <v>6476</v>
      </c>
      <c r="F539" t="s">
        <v>6477</v>
      </c>
      <c r="G539" t="s">
        <v>6478</v>
      </c>
      <c r="H539">
        <v>215</v>
      </c>
      <c r="I539">
        <v>2.7E-8</v>
      </c>
      <c r="J539">
        <f>0.01/Table29[[#This Row],[Strain Rate (min) /s]]</f>
        <v>370370.37037037039</v>
      </c>
      <c r="K539">
        <f>LOG(Table29[[#This Row],[Time to 1% strain (s)]])</f>
        <v>5.5686362358410131</v>
      </c>
      <c r="L539">
        <v>850</v>
      </c>
      <c r="P539" t="s">
        <v>7234</v>
      </c>
      <c r="Q539">
        <v>1200</v>
      </c>
      <c r="R539">
        <v>48</v>
      </c>
      <c r="S539">
        <v>850</v>
      </c>
      <c r="T539">
        <v>168</v>
      </c>
      <c r="W539">
        <v>1</v>
      </c>
      <c r="X539">
        <v>10</v>
      </c>
      <c r="Y539">
        <v>32</v>
      </c>
      <c r="AA539">
        <f>VLOOKUP(Table29[[#This Row],[Shortname]], Comp[], 6, FALSE)</f>
        <v>1082</v>
      </c>
      <c r="AB539" s="14">
        <f>VLOOKUP(Table29[[#This Row],[Shortname]], Comp[], 7, FALSE)</f>
        <v>73.03</v>
      </c>
      <c r="AC539">
        <f>VLOOKUP(Table29[[#This Row],[Shortname]], Comp[], 8, FALSE)</f>
        <v>9.74</v>
      </c>
      <c r="AD539">
        <f>VLOOKUP(Table29[[#This Row],[Shortname]], Comp[], 9, FALSE)</f>
        <v>4.9800000000000004</v>
      </c>
      <c r="AE539">
        <f>VLOOKUP(Table29[[#This Row],[Shortname]], Comp[], 10, FALSE)</f>
        <v>4.1500000000000004</v>
      </c>
      <c r="AF539">
        <f>VLOOKUP(Table29[[#This Row],[Shortname]], Comp[], 11, FALSE)</f>
        <v>0</v>
      </c>
      <c r="AG539">
        <f>VLOOKUP(Table29[[#This Row],[Shortname]], Comp[],12, FALSE)</f>
        <v>2.04</v>
      </c>
      <c r="AH539">
        <f>VLOOKUP(Table29[[#This Row],[Shortname]], Comp[], 13, FALSE)</f>
        <v>1.59</v>
      </c>
      <c r="AI539">
        <f>VLOOKUP(Table29[[#This Row],[Shortname]], Comp[], 14, FALSE)</f>
        <v>1.37</v>
      </c>
      <c r="AJ539">
        <f>VLOOKUP(Table29[[#This Row],[Shortname]], Comp[], 15, FALSE)</f>
        <v>3.02</v>
      </c>
      <c r="AK539">
        <f>VLOOKUP(Table29[[#This Row],[Shortname]], Comp[], 16, FALSE)</f>
        <v>0</v>
      </c>
      <c r="AL539">
        <f>VLOOKUP(Table29[[#This Row],[Shortname]], Comp[], 17, FALSE)</f>
        <v>0</v>
      </c>
      <c r="AM539">
        <f>VLOOKUP(Table29[[#This Row],[Shortname]], Comp[], 18, FALSE)</f>
        <v>0</v>
      </c>
      <c r="AN539">
        <f>VLOOKUP(Table29[[#This Row],[Shortname]], Comp[], 19, FALSE)</f>
        <v>0.08</v>
      </c>
      <c r="AO539">
        <f>VLOOKUP(Table29[[#This Row],[Shortname]], Comp[], 20, FALSE)</f>
        <v>0</v>
      </c>
      <c r="AP539">
        <f>VLOOKUP(Table29[[#This Row],[Shortname]], Comp[], 21, FALSE)</f>
        <v>0</v>
      </c>
      <c r="AQ539">
        <f>VLOOKUP(Table29[[#This Row],[Shortname]], Comp[], 22, FALSE)</f>
        <v>0</v>
      </c>
      <c r="AR539">
        <f>VLOOKUP(Table29[[#This Row],[Shortname]], Comp[], 23, FALSE)</f>
        <v>0</v>
      </c>
      <c r="AS539">
        <f>VLOOKUP(Table29[[#This Row],[Shortname]], Comp[], 24, FALSE)</f>
        <v>0</v>
      </c>
      <c r="AT539">
        <f>VLOOKUP(Table29[[#This Row],[Shortname]], Comp[], 25, FALSE)</f>
        <v>0</v>
      </c>
      <c r="AU539">
        <f>VLOOKUP(Table29[[#This Row],[Shortname]], Comp[], 26, FALSE)</f>
        <v>0</v>
      </c>
      <c r="AV539">
        <f>VLOOKUP(Table29[[#This Row],[Shortname]], Comp[], 27, FALSE)</f>
        <v>0</v>
      </c>
      <c r="AW539">
        <f>VLOOKUP(Table29[[#This Row],[Shortname]], Comp[], 28, FALSE)</f>
        <v>0</v>
      </c>
      <c r="AX539">
        <f>VLOOKUP(Table29[[#This Row],[Shortname]], Comp[], 29, FALSE)</f>
        <v>0</v>
      </c>
      <c r="AY539">
        <f>VLOOKUP(Table29[[#This Row],[Shortname]], Comp[], 30, FALSE)</f>
        <v>0</v>
      </c>
      <c r="AZ539">
        <f>VLOOKUP(Table29[[#This Row],[Shortname]], Comp[], 31, FALSE)</f>
        <v>0</v>
      </c>
    </row>
    <row r="540" spans="1:52" x14ac:dyDescent="0.3">
      <c r="A540" t="s">
        <v>6476</v>
      </c>
      <c r="F540" t="s">
        <v>6477</v>
      </c>
      <c r="G540" t="s">
        <v>6478</v>
      </c>
      <c r="H540">
        <v>239.2</v>
      </c>
      <c r="I540">
        <v>4.9199999999999997E-8</v>
      </c>
      <c r="J540">
        <f>0.01/Table29[[#This Row],[Strain Rate (min) /s]]</f>
        <v>203252.03252032521</v>
      </c>
      <c r="K540">
        <f>LOG(Table29[[#This Row],[Time to 1% strain (s)]])</f>
        <v>5.3080348972326394</v>
      </c>
      <c r="L540">
        <v>850</v>
      </c>
      <c r="P540" t="s">
        <v>7234</v>
      </c>
      <c r="Q540">
        <v>1200</v>
      </c>
      <c r="R540">
        <v>48</v>
      </c>
      <c r="S540">
        <v>850</v>
      </c>
      <c r="T540">
        <v>168</v>
      </c>
      <c r="W540">
        <v>1</v>
      </c>
      <c r="X540">
        <v>10</v>
      </c>
      <c r="Y540">
        <v>32</v>
      </c>
      <c r="AA540">
        <f>VLOOKUP(Table29[[#This Row],[Shortname]], Comp[], 6, FALSE)</f>
        <v>1082</v>
      </c>
      <c r="AB540" s="14">
        <f>VLOOKUP(Table29[[#This Row],[Shortname]], Comp[], 7, FALSE)</f>
        <v>73.03</v>
      </c>
      <c r="AC540">
        <f>VLOOKUP(Table29[[#This Row],[Shortname]], Comp[], 8, FALSE)</f>
        <v>9.74</v>
      </c>
      <c r="AD540">
        <f>VLOOKUP(Table29[[#This Row],[Shortname]], Comp[], 9, FALSE)</f>
        <v>4.9800000000000004</v>
      </c>
      <c r="AE540">
        <f>VLOOKUP(Table29[[#This Row],[Shortname]], Comp[], 10, FALSE)</f>
        <v>4.1500000000000004</v>
      </c>
      <c r="AF540">
        <f>VLOOKUP(Table29[[#This Row],[Shortname]], Comp[], 11, FALSE)</f>
        <v>0</v>
      </c>
      <c r="AG540">
        <f>VLOOKUP(Table29[[#This Row],[Shortname]], Comp[],12, FALSE)</f>
        <v>2.04</v>
      </c>
      <c r="AH540">
        <f>VLOOKUP(Table29[[#This Row],[Shortname]], Comp[], 13, FALSE)</f>
        <v>1.59</v>
      </c>
      <c r="AI540">
        <f>VLOOKUP(Table29[[#This Row],[Shortname]], Comp[], 14, FALSE)</f>
        <v>1.37</v>
      </c>
      <c r="AJ540">
        <f>VLOOKUP(Table29[[#This Row],[Shortname]], Comp[], 15, FALSE)</f>
        <v>3.02</v>
      </c>
      <c r="AK540">
        <f>VLOOKUP(Table29[[#This Row],[Shortname]], Comp[], 16, FALSE)</f>
        <v>0</v>
      </c>
      <c r="AL540">
        <f>VLOOKUP(Table29[[#This Row],[Shortname]], Comp[], 17, FALSE)</f>
        <v>0</v>
      </c>
      <c r="AM540">
        <f>VLOOKUP(Table29[[#This Row],[Shortname]], Comp[], 18, FALSE)</f>
        <v>0</v>
      </c>
      <c r="AN540">
        <f>VLOOKUP(Table29[[#This Row],[Shortname]], Comp[], 19, FALSE)</f>
        <v>0.08</v>
      </c>
      <c r="AO540">
        <f>VLOOKUP(Table29[[#This Row],[Shortname]], Comp[], 20, FALSE)</f>
        <v>0</v>
      </c>
      <c r="AP540">
        <f>VLOOKUP(Table29[[#This Row],[Shortname]], Comp[], 21, FALSE)</f>
        <v>0</v>
      </c>
      <c r="AQ540">
        <f>VLOOKUP(Table29[[#This Row],[Shortname]], Comp[], 22, FALSE)</f>
        <v>0</v>
      </c>
      <c r="AR540">
        <f>VLOOKUP(Table29[[#This Row],[Shortname]], Comp[], 23, FALSE)</f>
        <v>0</v>
      </c>
      <c r="AS540">
        <f>VLOOKUP(Table29[[#This Row],[Shortname]], Comp[], 24, FALSE)</f>
        <v>0</v>
      </c>
      <c r="AT540">
        <f>VLOOKUP(Table29[[#This Row],[Shortname]], Comp[], 25, FALSE)</f>
        <v>0</v>
      </c>
      <c r="AU540">
        <f>VLOOKUP(Table29[[#This Row],[Shortname]], Comp[], 26, FALSE)</f>
        <v>0</v>
      </c>
      <c r="AV540">
        <f>VLOOKUP(Table29[[#This Row],[Shortname]], Comp[], 27, FALSE)</f>
        <v>0</v>
      </c>
      <c r="AW540">
        <f>VLOOKUP(Table29[[#This Row],[Shortname]], Comp[], 28, FALSE)</f>
        <v>0</v>
      </c>
      <c r="AX540">
        <f>VLOOKUP(Table29[[#This Row],[Shortname]], Comp[], 29, FALSE)</f>
        <v>0</v>
      </c>
      <c r="AY540">
        <f>VLOOKUP(Table29[[#This Row],[Shortname]], Comp[], 30, FALSE)</f>
        <v>0</v>
      </c>
      <c r="AZ540">
        <f>VLOOKUP(Table29[[#This Row],[Shortname]], Comp[], 31, FALSE)</f>
        <v>0</v>
      </c>
    </row>
    <row r="541" spans="1:52" x14ac:dyDescent="0.3">
      <c r="A541" t="s">
        <v>6476</v>
      </c>
      <c r="F541" t="s">
        <v>6477</v>
      </c>
      <c r="G541" t="s">
        <v>6478</v>
      </c>
      <c r="H541">
        <v>265</v>
      </c>
      <c r="I541">
        <v>1.2949999999999999E-7</v>
      </c>
      <c r="J541">
        <f>0.01/Table29[[#This Row],[Strain Rate (min) /s]]</f>
        <v>77220.077220077234</v>
      </c>
      <c r="K541">
        <f>LOG(Table29[[#This Row],[Time to 1% strain (s)]])</f>
        <v>4.8877302315827293</v>
      </c>
      <c r="L541">
        <v>850</v>
      </c>
      <c r="P541" t="s">
        <v>7234</v>
      </c>
      <c r="Q541">
        <v>1200</v>
      </c>
      <c r="R541">
        <v>48</v>
      </c>
      <c r="S541">
        <v>850</v>
      </c>
      <c r="T541">
        <v>168</v>
      </c>
      <c r="W541">
        <v>1</v>
      </c>
      <c r="X541">
        <v>10</v>
      </c>
      <c r="Y541">
        <v>32</v>
      </c>
      <c r="AA541">
        <f>VLOOKUP(Table29[[#This Row],[Shortname]], Comp[], 6, FALSE)</f>
        <v>1082</v>
      </c>
      <c r="AB541" s="14">
        <f>VLOOKUP(Table29[[#This Row],[Shortname]], Comp[], 7, FALSE)</f>
        <v>73.03</v>
      </c>
      <c r="AC541">
        <f>VLOOKUP(Table29[[#This Row],[Shortname]], Comp[], 8, FALSE)</f>
        <v>9.74</v>
      </c>
      <c r="AD541">
        <f>VLOOKUP(Table29[[#This Row],[Shortname]], Comp[], 9, FALSE)</f>
        <v>4.9800000000000004</v>
      </c>
      <c r="AE541">
        <f>VLOOKUP(Table29[[#This Row],[Shortname]], Comp[], 10, FALSE)</f>
        <v>4.1500000000000004</v>
      </c>
      <c r="AF541">
        <f>VLOOKUP(Table29[[#This Row],[Shortname]], Comp[], 11, FALSE)</f>
        <v>0</v>
      </c>
      <c r="AG541">
        <f>VLOOKUP(Table29[[#This Row],[Shortname]], Comp[],12, FALSE)</f>
        <v>2.04</v>
      </c>
      <c r="AH541">
        <f>VLOOKUP(Table29[[#This Row],[Shortname]], Comp[], 13, FALSE)</f>
        <v>1.59</v>
      </c>
      <c r="AI541">
        <f>VLOOKUP(Table29[[#This Row],[Shortname]], Comp[], 14, FALSE)</f>
        <v>1.37</v>
      </c>
      <c r="AJ541">
        <f>VLOOKUP(Table29[[#This Row],[Shortname]], Comp[], 15, FALSE)</f>
        <v>3.02</v>
      </c>
      <c r="AK541">
        <f>VLOOKUP(Table29[[#This Row],[Shortname]], Comp[], 16, FALSE)</f>
        <v>0</v>
      </c>
      <c r="AL541">
        <f>VLOOKUP(Table29[[#This Row],[Shortname]], Comp[], 17, FALSE)</f>
        <v>0</v>
      </c>
      <c r="AM541">
        <f>VLOOKUP(Table29[[#This Row],[Shortname]], Comp[], 18, FALSE)</f>
        <v>0</v>
      </c>
      <c r="AN541">
        <f>VLOOKUP(Table29[[#This Row],[Shortname]], Comp[], 19, FALSE)</f>
        <v>0.08</v>
      </c>
      <c r="AO541">
        <f>VLOOKUP(Table29[[#This Row],[Shortname]], Comp[], 20, FALSE)</f>
        <v>0</v>
      </c>
      <c r="AP541">
        <f>VLOOKUP(Table29[[#This Row],[Shortname]], Comp[], 21, FALSE)</f>
        <v>0</v>
      </c>
      <c r="AQ541">
        <f>VLOOKUP(Table29[[#This Row],[Shortname]], Comp[], 22, FALSE)</f>
        <v>0</v>
      </c>
      <c r="AR541">
        <f>VLOOKUP(Table29[[#This Row],[Shortname]], Comp[], 23, FALSE)</f>
        <v>0</v>
      </c>
      <c r="AS541">
        <f>VLOOKUP(Table29[[#This Row],[Shortname]], Comp[], 24, FALSE)</f>
        <v>0</v>
      </c>
      <c r="AT541">
        <f>VLOOKUP(Table29[[#This Row],[Shortname]], Comp[], 25, FALSE)</f>
        <v>0</v>
      </c>
      <c r="AU541">
        <f>VLOOKUP(Table29[[#This Row],[Shortname]], Comp[], 26, FALSE)</f>
        <v>0</v>
      </c>
      <c r="AV541">
        <f>VLOOKUP(Table29[[#This Row],[Shortname]], Comp[], 27, FALSE)</f>
        <v>0</v>
      </c>
      <c r="AW541">
        <f>VLOOKUP(Table29[[#This Row],[Shortname]], Comp[], 28, FALSE)</f>
        <v>0</v>
      </c>
      <c r="AX541">
        <f>VLOOKUP(Table29[[#This Row],[Shortname]], Comp[], 29, FALSE)</f>
        <v>0</v>
      </c>
      <c r="AY541">
        <f>VLOOKUP(Table29[[#This Row],[Shortname]], Comp[], 30, FALSE)</f>
        <v>0</v>
      </c>
      <c r="AZ541">
        <f>VLOOKUP(Table29[[#This Row],[Shortname]], Comp[], 31, FALSE)</f>
        <v>0</v>
      </c>
    </row>
    <row r="542" spans="1:52" x14ac:dyDescent="0.3">
      <c r="A542" t="s">
        <v>6476</v>
      </c>
      <c r="F542" t="s">
        <v>6477</v>
      </c>
      <c r="G542" t="s">
        <v>6478</v>
      </c>
      <c r="H542">
        <v>291.7</v>
      </c>
      <c r="I542">
        <v>3.72E-7</v>
      </c>
      <c r="J542">
        <f>0.01/Table29[[#This Row],[Strain Rate (min) /s]]</f>
        <v>26881.720430107529</v>
      </c>
      <c r="K542">
        <f>LOG(Table29[[#This Row],[Time to 1% strain (s)]])</f>
        <v>4.4294570601181027</v>
      </c>
      <c r="L542">
        <v>850</v>
      </c>
      <c r="P542" t="s">
        <v>7234</v>
      </c>
      <c r="Q542">
        <v>1200</v>
      </c>
      <c r="R542">
        <v>48</v>
      </c>
      <c r="S542">
        <v>850</v>
      </c>
      <c r="T542">
        <v>168</v>
      </c>
      <c r="W542">
        <v>1</v>
      </c>
      <c r="X542">
        <v>10</v>
      </c>
      <c r="Y542">
        <v>32</v>
      </c>
      <c r="AA542">
        <f>VLOOKUP(Table29[[#This Row],[Shortname]], Comp[], 6, FALSE)</f>
        <v>1082</v>
      </c>
      <c r="AB542" s="14">
        <f>VLOOKUP(Table29[[#This Row],[Shortname]], Comp[], 7, FALSE)</f>
        <v>73.03</v>
      </c>
      <c r="AC542">
        <f>VLOOKUP(Table29[[#This Row],[Shortname]], Comp[], 8, FALSE)</f>
        <v>9.74</v>
      </c>
      <c r="AD542">
        <f>VLOOKUP(Table29[[#This Row],[Shortname]], Comp[], 9, FALSE)</f>
        <v>4.9800000000000004</v>
      </c>
      <c r="AE542">
        <f>VLOOKUP(Table29[[#This Row],[Shortname]], Comp[], 10, FALSE)</f>
        <v>4.1500000000000004</v>
      </c>
      <c r="AF542">
        <f>VLOOKUP(Table29[[#This Row],[Shortname]], Comp[], 11, FALSE)</f>
        <v>0</v>
      </c>
      <c r="AG542">
        <f>VLOOKUP(Table29[[#This Row],[Shortname]], Comp[],12, FALSE)</f>
        <v>2.04</v>
      </c>
      <c r="AH542">
        <f>VLOOKUP(Table29[[#This Row],[Shortname]], Comp[], 13, FALSE)</f>
        <v>1.59</v>
      </c>
      <c r="AI542">
        <f>VLOOKUP(Table29[[#This Row],[Shortname]], Comp[], 14, FALSE)</f>
        <v>1.37</v>
      </c>
      <c r="AJ542">
        <f>VLOOKUP(Table29[[#This Row],[Shortname]], Comp[], 15, FALSE)</f>
        <v>3.02</v>
      </c>
      <c r="AK542">
        <f>VLOOKUP(Table29[[#This Row],[Shortname]], Comp[], 16, FALSE)</f>
        <v>0</v>
      </c>
      <c r="AL542">
        <f>VLOOKUP(Table29[[#This Row],[Shortname]], Comp[], 17, FALSE)</f>
        <v>0</v>
      </c>
      <c r="AM542">
        <f>VLOOKUP(Table29[[#This Row],[Shortname]], Comp[], 18, FALSE)</f>
        <v>0</v>
      </c>
      <c r="AN542">
        <f>VLOOKUP(Table29[[#This Row],[Shortname]], Comp[], 19, FALSE)</f>
        <v>0.08</v>
      </c>
      <c r="AO542">
        <f>VLOOKUP(Table29[[#This Row],[Shortname]], Comp[], 20, FALSE)</f>
        <v>0</v>
      </c>
      <c r="AP542">
        <f>VLOOKUP(Table29[[#This Row],[Shortname]], Comp[], 21, FALSE)</f>
        <v>0</v>
      </c>
      <c r="AQ542">
        <f>VLOOKUP(Table29[[#This Row],[Shortname]], Comp[], 22, FALSE)</f>
        <v>0</v>
      </c>
      <c r="AR542">
        <f>VLOOKUP(Table29[[#This Row],[Shortname]], Comp[], 23, FALSE)</f>
        <v>0</v>
      </c>
      <c r="AS542">
        <f>VLOOKUP(Table29[[#This Row],[Shortname]], Comp[], 24, FALSE)</f>
        <v>0</v>
      </c>
      <c r="AT542">
        <f>VLOOKUP(Table29[[#This Row],[Shortname]], Comp[], 25, FALSE)</f>
        <v>0</v>
      </c>
      <c r="AU542">
        <f>VLOOKUP(Table29[[#This Row],[Shortname]], Comp[], 26, FALSE)</f>
        <v>0</v>
      </c>
      <c r="AV542">
        <f>VLOOKUP(Table29[[#This Row],[Shortname]], Comp[], 27, FALSE)</f>
        <v>0</v>
      </c>
      <c r="AW542">
        <f>VLOOKUP(Table29[[#This Row],[Shortname]], Comp[], 28, FALSE)</f>
        <v>0</v>
      </c>
      <c r="AX542">
        <f>VLOOKUP(Table29[[#This Row],[Shortname]], Comp[], 29, FALSE)</f>
        <v>0</v>
      </c>
      <c r="AY542">
        <f>VLOOKUP(Table29[[#This Row],[Shortname]], Comp[], 30, FALSE)</f>
        <v>0</v>
      </c>
      <c r="AZ542">
        <f>VLOOKUP(Table29[[#This Row],[Shortname]], Comp[], 31, FALSE)</f>
        <v>0</v>
      </c>
    </row>
    <row r="543" spans="1:52" x14ac:dyDescent="0.3">
      <c r="A543" t="s">
        <v>6476</v>
      </c>
      <c r="F543" t="s">
        <v>6477</v>
      </c>
      <c r="G543" t="s">
        <v>6478</v>
      </c>
      <c r="H543">
        <v>319.7</v>
      </c>
      <c r="I543">
        <v>9.9999999999999995E-7</v>
      </c>
      <c r="J543">
        <f>0.01/Table29[[#This Row],[Strain Rate (min) /s]]</f>
        <v>10000</v>
      </c>
      <c r="K543">
        <f>LOG(Table29[[#This Row],[Time to 1% strain (s)]])</f>
        <v>4</v>
      </c>
      <c r="L543">
        <v>850</v>
      </c>
      <c r="P543" t="s">
        <v>7234</v>
      </c>
      <c r="Q543">
        <v>1200</v>
      </c>
      <c r="R543">
        <v>48</v>
      </c>
      <c r="S543">
        <v>850</v>
      </c>
      <c r="T543">
        <v>168</v>
      </c>
      <c r="W543">
        <v>1</v>
      </c>
      <c r="X543">
        <v>10</v>
      </c>
      <c r="Y543">
        <v>32</v>
      </c>
      <c r="AA543">
        <f>VLOOKUP(Table29[[#This Row],[Shortname]], Comp[], 6, FALSE)</f>
        <v>1082</v>
      </c>
      <c r="AB543" s="14">
        <f>VLOOKUP(Table29[[#This Row],[Shortname]], Comp[], 7, FALSE)</f>
        <v>73.03</v>
      </c>
      <c r="AC543">
        <f>VLOOKUP(Table29[[#This Row],[Shortname]], Comp[], 8, FALSE)</f>
        <v>9.74</v>
      </c>
      <c r="AD543">
        <f>VLOOKUP(Table29[[#This Row],[Shortname]], Comp[], 9, FALSE)</f>
        <v>4.9800000000000004</v>
      </c>
      <c r="AE543">
        <f>VLOOKUP(Table29[[#This Row],[Shortname]], Comp[], 10, FALSE)</f>
        <v>4.1500000000000004</v>
      </c>
      <c r="AF543">
        <f>VLOOKUP(Table29[[#This Row],[Shortname]], Comp[], 11, FALSE)</f>
        <v>0</v>
      </c>
      <c r="AG543">
        <f>VLOOKUP(Table29[[#This Row],[Shortname]], Comp[],12, FALSE)</f>
        <v>2.04</v>
      </c>
      <c r="AH543">
        <f>VLOOKUP(Table29[[#This Row],[Shortname]], Comp[], 13, FALSE)</f>
        <v>1.59</v>
      </c>
      <c r="AI543">
        <f>VLOOKUP(Table29[[#This Row],[Shortname]], Comp[], 14, FALSE)</f>
        <v>1.37</v>
      </c>
      <c r="AJ543">
        <f>VLOOKUP(Table29[[#This Row],[Shortname]], Comp[], 15, FALSE)</f>
        <v>3.02</v>
      </c>
      <c r="AK543">
        <f>VLOOKUP(Table29[[#This Row],[Shortname]], Comp[], 16, FALSE)</f>
        <v>0</v>
      </c>
      <c r="AL543">
        <f>VLOOKUP(Table29[[#This Row],[Shortname]], Comp[], 17, FALSE)</f>
        <v>0</v>
      </c>
      <c r="AM543">
        <f>VLOOKUP(Table29[[#This Row],[Shortname]], Comp[], 18, FALSE)</f>
        <v>0</v>
      </c>
      <c r="AN543">
        <f>VLOOKUP(Table29[[#This Row],[Shortname]], Comp[], 19, FALSE)</f>
        <v>0.08</v>
      </c>
      <c r="AO543">
        <f>VLOOKUP(Table29[[#This Row],[Shortname]], Comp[], 20, FALSE)</f>
        <v>0</v>
      </c>
      <c r="AP543">
        <f>VLOOKUP(Table29[[#This Row],[Shortname]], Comp[], 21, FALSE)</f>
        <v>0</v>
      </c>
      <c r="AQ543">
        <f>VLOOKUP(Table29[[#This Row],[Shortname]], Comp[], 22, FALSE)</f>
        <v>0</v>
      </c>
      <c r="AR543">
        <f>VLOOKUP(Table29[[#This Row],[Shortname]], Comp[], 23, FALSE)</f>
        <v>0</v>
      </c>
      <c r="AS543">
        <f>VLOOKUP(Table29[[#This Row],[Shortname]], Comp[], 24, FALSE)</f>
        <v>0</v>
      </c>
      <c r="AT543">
        <f>VLOOKUP(Table29[[#This Row],[Shortname]], Comp[], 25, FALSE)</f>
        <v>0</v>
      </c>
      <c r="AU543">
        <f>VLOOKUP(Table29[[#This Row],[Shortname]], Comp[], 26, FALSE)</f>
        <v>0</v>
      </c>
      <c r="AV543">
        <f>VLOOKUP(Table29[[#This Row],[Shortname]], Comp[], 27, FALSE)</f>
        <v>0</v>
      </c>
      <c r="AW543">
        <f>VLOOKUP(Table29[[#This Row],[Shortname]], Comp[], 28, FALSE)</f>
        <v>0</v>
      </c>
      <c r="AX543">
        <f>VLOOKUP(Table29[[#This Row],[Shortname]], Comp[], 29, FALSE)</f>
        <v>0</v>
      </c>
      <c r="AY543">
        <f>VLOOKUP(Table29[[#This Row],[Shortname]], Comp[], 30, FALSE)</f>
        <v>0</v>
      </c>
      <c r="AZ543">
        <f>VLOOKUP(Table29[[#This Row],[Shortname]], Comp[], 31, FALSE)</f>
        <v>0</v>
      </c>
    </row>
    <row r="544" spans="1:52" x14ac:dyDescent="0.3">
      <c r="A544" t="s">
        <v>6476</v>
      </c>
      <c r="F544" t="s">
        <v>6477</v>
      </c>
      <c r="G544" t="s">
        <v>6478</v>
      </c>
      <c r="H544">
        <v>357.3</v>
      </c>
      <c r="I544">
        <v>3.3299999999999999E-6</v>
      </c>
      <c r="J544">
        <f>0.01/Table29[[#This Row],[Strain Rate (min) /s]]</f>
        <v>3003.003003003003</v>
      </c>
      <c r="K544">
        <f>LOG(Table29[[#This Row],[Time to 1% strain (s)]])</f>
        <v>3.4775557664936803</v>
      </c>
      <c r="L544">
        <v>850</v>
      </c>
      <c r="P544" t="s">
        <v>7234</v>
      </c>
      <c r="Q544">
        <v>1200</v>
      </c>
      <c r="R544">
        <v>48</v>
      </c>
      <c r="S544">
        <v>850</v>
      </c>
      <c r="T544">
        <v>168</v>
      </c>
      <c r="W544">
        <v>1</v>
      </c>
      <c r="X544">
        <v>10</v>
      </c>
      <c r="Y544">
        <v>32</v>
      </c>
      <c r="AA544">
        <f>VLOOKUP(Table29[[#This Row],[Shortname]], Comp[], 6, FALSE)</f>
        <v>1082</v>
      </c>
      <c r="AB544" s="14">
        <f>VLOOKUP(Table29[[#This Row],[Shortname]], Comp[], 7, FALSE)</f>
        <v>73.03</v>
      </c>
      <c r="AC544">
        <f>VLOOKUP(Table29[[#This Row],[Shortname]], Comp[], 8, FALSE)</f>
        <v>9.74</v>
      </c>
      <c r="AD544">
        <f>VLOOKUP(Table29[[#This Row],[Shortname]], Comp[], 9, FALSE)</f>
        <v>4.9800000000000004</v>
      </c>
      <c r="AE544">
        <f>VLOOKUP(Table29[[#This Row],[Shortname]], Comp[], 10, FALSE)</f>
        <v>4.1500000000000004</v>
      </c>
      <c r="AF544">
        <f>VLOOKUP(Table29[[#This Row],[Shortname]], Comp[], 11, FALSE)</f>
        <v>0</v>
      </c>
      <c r="AG544">
        <f>VLOOKUP(Table29[[#This Row],[Shortname]], Comp[],12, FALSE)</f>
        <v>2.04</v>
      </c>
      <c r="AH544">
        <f>VLOOKUP(Table29[[#This Row],[Shortname]], Comp[], 13, FALSE)</f>
        <v>1.59</v>
      </c>
      <c r="AI544">
        <f>VLOOKUP(Table29[[#This Row],[Shortname]], Comp[], 14, FALSE)</f>
        <v>1.37</v>
      </c>
      <c r="AJ544">
        <f>VLOOKUP(Table29[[#This Row],[Shortname]], Comp[], 15, FALSE)</f>
        <v>3.02</v>
      </c>
      <c r="AK544">
        <f>VLOOKUP(Table29[[#This Row],[Shortname]], Comp[], 16, FALSE)</f>
        <v>0</v>
      </c>
      <c r="AL544">
        <f>VLOOKUP(Table29[[#This Row],[Shortname]], Comp[], 17, FALSE)</f>
        <v>0</v>
      </c>
      <c r="AM544">
        <f>VLOOKUP(Table29[[#This Row],[Shortname]], Comp[], 18, FALSE)</f>
        <v>0</v>
      </c>
      <c r="AN544">
        <f>VLOOKUP(Table29[[#This Row],[Shortname]], Comp[], 19, FALSE)</f>
        <v>0.08</v>
      </c>
      <c r="AO544">
        <f>VLOOKUP(Table29[[#This Row],[Shortname]], Comp[], 20, FALSE)</f>
        <v>0</v>
      </c>
      <c r="AP544">
        <f>VLOOKUP(Table29[[#This Row],[Shortname]], Comp[], 21, FALSE)</f>
        <v>0</v>
      </c>
      <c r="AQ544">
        <f>VLOOKUP(Table29[[#This Row],[Shortname]], Comp[], 22, FALSE)</f>
        <v>0</v>
      </c>
      <c r="AR544">
        <f>VLOOKUP(Table29[[#This Row],[Shortname]], Comp[], 23, FALSE)</f>
        <v>0</v>
      </c>
      <c r="AS544">
        <f>VLOOKUP(Table29[[#This Row],[Shortname]], Comp[], 24, FALSE)</f>
        <v>0</v>
      </c>
      <c r="AT544">
        <f>VLOOKUP(Table29[[#This Row],[Shortname]], Comp[], 25, FALSE)</f>
        <v>0</v>
      </c>
      <c r="AU544">
        <f>VLOOKUP(Table29[[#This Row],[Shortname]], Comp[], 26, FALSE)</f>
        <v>0</v>
      </c>
      <c r="AV544">
        <f>VLOOKUP(Table29[[#This Row],[Shortname]], Comp[], 27, FALSE)</f>
        <v>0</v>
      </c>
      <c r="AW544">
        <f>VLOOKUP(Table29[[#This Row],[Shortname]], Comp[], 28, FALSE)</f>
        <v>0</v>
      </c>
      <c r="AX544">
        <f>VLOOKUP(Table29[[#This Row],[Shortname]], Comp[], 29, FALSE)</f>
        <v>0</v>
      </c>
      <c r="AY544">
        <f>VLOOKUP(Table29[[#This Row],[Shortname]], Comp[], 30, FALSE)</f>
        <v>0</v>
      </c>
      <c r="AZ544">
        <f>VLOOKUP(Table29[[#This Row],[Shortname]], Comp[], 31, FALSE)</f>
        <v>0</v>
      </c>
    </row>
    <row r="545" spans="1:52" x14ac:dyDescent="0.3">
      <c r="A545" t="s">
        <v>6476</v>
      </c>
      <c r="F545" t="s">
        <v>6477</v>
      </c>
      <c r="G545" t="s">
        <v>6478</v>
      </c>
      <c r="H545">
        <v>404</v>
      </c>
      <c r="I545">
        <v>1.344E-5</v>
      </c>
      <c r="J545">
        <f>0.01/Table29[[#This Row],[Strain Rate (min) /s]]</f>
        <v>744.04761904761904</v>
      </c>
      <c r="K545">
        <f>LOG(Table29[[#This Row],[Time to 1% strain (s)]])</f>
        <v>2.8716007312821934</v>
      </c>
      <c r="L545">
        <v>850</v>
      </c>
      <c r="P545" t="s">
        <v>7234</v>
      </c>
      <c r="Q545">
        <v>1200</v>
      </c>
      <c r="R545">
        <v>48</v>
      </c>
      <c r="S545">
        <v>850</v>
      </c>
      <c r="T545">
        <v>168</v>
      </c>
      <c r="W545">
        <v>1</v>
      </c>
      <c r="X545">
        <v>10</v>
      </c>
      <c r="Y545">
        <v>32</v>
      </c>
      <c r="AA545">
        <f>VLOOKUP(Table29[[#This Row],[Shortname]], Comp[], 6, FALSE)</f>
        <v>1082</v>
      </c>
      <c r="AB545" s="14">
        <f>VLOOKUP(Table29[[#This Row],[Shortname]], Comp[], 7, FALSE)</f>
        <v>73.03</v>
      </c>
      <c r="AC545">
        <f>VLOOKUP(Table29[[#This Row],[Shortname]], Comp[], 8, FALSE)</f>
        <v>9.74</v>
      </c>
      <c r="AD545">
        <f>VLOOKUP(Table29[[#This Row],[Shortname]], Comp[], 9, FALSE)</f>
        <v>4.9800000000000004</v>
      </c>
      <c r="AE545">
        <f>VLOOKUP(Table29[[#This Row],[Shortname]], Comp[], 10, FALSE)</f>
        <v>4.1500000000000004</v>
      </c>
      <c r="AF545">
        <f>VLOOKUP(Table29[[#This Row],[Shortname]], Comp[], 11, FALSE)</f>
        <v>0</v>
      </c>
      <c r="AG545">
        <f>VLOOKUP(Table29[[#This Row],[Shortname]], Comp[],12, FALSE)</f>
        <v>2.04</v>
      </c>
      <c r="AH545">
        <f>VLOOKUP(Table29[[#This Row],[Shortname]], Comp[], 13, FALSE)</f>
        <v>1.59</v>
      </c>
      <c r="AI545">
        <f>VLOOKUP(Table29[[#This Row],[Shortname]], Comp[], 14, FALSE)</f>
        <v>1.37</v>
      </c>
      <c r="AJ545">
        <f>VLOOKUP(Table29[[#This Row],[Shortname]], Comp[], 15, FALSE)</f>
        <v>3.02</v>
      </c>
      <c r="AK545">
        <f>VLOOKUP(Table29[[#This Row],[Shortname]], Comp[], 16, FALSE)</f>
        <v>0</v>
      </c>
      <c r="AL545">
        <f>VLOOKUP(Table29[[#This Row],[Shortname]], Comp[], 17, FALSE)</f>
        <v>0</v>
      </c>
      <c r="AM545">
        <f>VLOOKUP(Table29[[#This Row],[Shortname]], Comp[], 18, FALSE)</f>
        <v>0</v>
      </c>
      <c r="AN545">
        <f>VLOOKUP(Table29[[#This Row],[Shortname]], Comp[], 19, FALSE)</f>
        <v>0.08</v>
      </c>
      <c r="AO545">
        <f>VLOOKUP(Table29[[#This Row],[Shortname]], Comp[], 20, FALSE)</f>
        <v>0</v>
      </c>
      <c r="AP545">
        <f>VLOOKUP(Table29[[#This Row],[Shortname]], Comp[], 21, FALSE)</f>
        <v>0</v>
      </c>
      <c r="AQ545">
        <f>VLOOKUP(Table29[[#This Row],[Shortname]], Comp[], 22, FALSE)</f>
        <v>0</v>
      </c>
      <c r="AR545">
        <f>VLOOKUP(Table29[[#This Row],[Shortname]], Comp[], 23, FALSE)</f>
        <v>0</v>
      </c>
      <c r="AS545">
        <f>VLOOKUP(Table29[[#This Row],[Shortname]], Comp[], 24, FALSE)</f>
        <v>0</v>
      </c>
      <c r="AT545">
        <f>VLOOKUP(Table29[[#This Row],[Shortname]], Comp[], 25, FALSE)</f>
        <v>0</v>
      </c>
      <c r="AU545">
        <f>VLOOKUP(Table29[[#This Row],[Shortname]], Comp[], 26, FALSE)</f>
        <v>0</v>
      </c>
      <c r="AV545">
        <f>VLOOKUP(Table29[[#This Row],[Shortname]], Comp[], 27, FALSE)</f>
        <v>0</v>
      </c>
      <c r="AW545">
        <f>VLOOKUP(Table29[[#This Row],[Shortname]], Comp[], 28, FALSE)</f>
        <v>0</v>
      </c>
      <c r="AX545">
        <f>VLOOKUP(Table29[[#This Row],[Shortname]], Comp[], 29, FALSE)</f>
        <v>0</v>
      </c>
      <c r="AY545">
        <f>VLOOKUP(Table29[[#This Row],[Shortname]], Comp[], 30, FALSE)</f>
        <v>0</v>
      </c>
      <c r="AZ545">
        <f>VLOOKUP(Table29[[#This Row],[Shortname]], Comp[], 31, FALSE)</f>
        <v>0</v>
      </c>
    </row>
    <row r="546" spans="1:52" x14ac:dyDescent="0.3">
      <c r="A546" t="s">
        <v>6476</v>
      </c>
      <c r="F546" t="s">
        <v>6477</v>
      </c>
      <c r="G546" t="s">
        <v>6478</v>
      </c>
      <c r="H546">
        <v>454.7</v>
      </c>
      <c r="I546">
        <v>3.7499999999999997E-5</v>
      </c>
      <c r="J546">
        <f>0.01/Table29[[#This Row],[Strain Rate (min) /s]]</f>
        <v>266.66666666666669</v>
      </c>
      <c r="K546">
        <f>LOG(Table29[[#This Row],[Time to 1% strain (s)]])</f>
        <v>2.4259687322722812</v>
      </c>
      <c r="L546">
        <v>850</v>
      </c>
      <c r="P546" t="s">
        <v>7234</v>
      </c>
      <c r="Q546">
        <v>1200</v>
      </c>
      <c r="R546">
        <v>48</v>
      </c>
      <c r="S546">
        <v>850</v>
      </c>
      <c r="T546">
        <v>168</v>
      </c>
      <c r="W546">
        <v>1</v>
      </c>
      <c r="X546">
        <v>10</v>
      </c>
      <c r="Y546">
        <v>32</v>
      </c>
      <c r="AA546">
        <f>VLOOKUP(Table29[[#This Row],[Shortname]], Comp[], 6, FALSE)</f>
        <v>1082</v>
      </c>
      <c r="AB546" s="14">
        <f>VLOOKUP(Table29[[#This Row],[Shortname]], Comp[], 7, FALSE)</f>
        <v>73.03</v>
      </c>
      <c r="AC546">
        <f>VLOOKUP(Table29[[#This Row],[Shortname]], Comp[], 8, FALSE)</f>
        <v>9.74</v>
      </c>
      <c r="AD546">
        <f>VLOOKUP(Table29[[#This Row],[Shortname]], Comp[], 9, FALSE)</f>
        <v>4.9800000000000004</v>
      </c>
      <c r="AE546">
        <f>VLOOKUP(Table29[[#This Row],[Shortname]], Comp[], 10, FALSE)</f>
        <v>4.1500000000000004</v>
      </c>
      <c r="AF546">
        <f>VLOOKUP(Table29[[#This Row],[Shortname]], Comp[], 11, FALSE)</f>
        <v>0</v>
      </c>
      <c r="AG546">
        <f>VLOOKUP(Table29[[#This Row],[Shortname]], Comp[],12, FALSE)</f>
        <v>2.04</v>
      </c>
      <c r="AH546">
        <f>VLOOKUP(Table29[[#This Row],[Shortname]], Comp[], 13, FALSE)</f>
        <v>1.59</v>
      </c>
      <c r="AI546">
        <f>VLOOKUP(Table29[[#This Row],[Shortname]], Comp[], 14, FALSE)</f>
        <v>1.37</v>
      </c>
      <c r="AJ546">
        <f>VLOOKUP(Table29[[#This Row],[Shortname]], Comp[], 15, FALSE)</f>
        <v>3.02</v>
      </c>
      <c r="AK546">
        <f>VLOOKUP(Table29[[#This Row],[Shortname]], Comp[], 16, FALSE)</f>
        <v>0</v>
      </c>
      <c r="AL546">
        <f>VLOOKUP(Table29[[#This Row],[Shortname]], Comp[], 17, FALSE)</f>
        <v>0</v>
      </c>
      <c r="AM546">
        <f>VLOOKUP(Table29[[#This Row],[Shortname]], Comp[], 18, FALSE)</f>
        <v>0</v>
      </c>
      <c r="AN546">
        <f>VLOOKUP(Table29[[#This Row],[Shortname]], Comp[], 19, FALSE)</f>
        <v>0.08</v>
      </c>
      <c r="AO546">
        <f>VLOOKUP(Table29[[#This Row],[Shortname]], Comp[], 20, FALSE)</f>
        <v>0</v>
      </c>
      <c r="AP546">
        <f>VLOOKUP(Table29[[#This Row],[Shortname]], Comp[], 21, FALSE)</f>
        <v>0</v>
      </c>
      <c r="AQ546">
        <f>VLOOKUP(Table29[[#This Row],[Shortname]], Comp[], 22, FALSE)</f>
        <v>0</v>
      </c>
      <c r="AR546">
        <f>VLOOKUP(Table29[[#This Row],[Shortname]], Comp[], 23, FALSE)</f>
        <v>0</v>
      </c>
      <c r="AS546">
        <f>VLOOKUP(Table29[[#This Row],[Shortname]], Comp[], 24, FALSE)</f>
        <v>0</v>
      </c>
      <c r="AT546">
        <f>VLOOKUP(Table29[[#This Row],[Shortname]], Comp[], 25, FALSE)</f>
        <v>0</v>
      </c>
      <c r="AU546">
        <f>VLOOKUP(Table29[[#This Row],[Shortname]], Comp[], 26, FALSE)</f>
        <v>0</v>
      </c>
      <c r="AV546">
        <f>VLOOKUP(Table29[[#This Row],[Shortname]], Comp[], 27, FALSE)</f>
        <v>0</v>
      </c>
      <c r="AW546">
        <f>VLOOKUP(Table29[[#This Row],[Shortname]], Comp[], 28, FALSE)</f>
        <v>0</v>
      </c>
      <c r="AX546">
        <f>VLOOKUP(Table29[[#This Row],[Shortname]], Comp[], 29, FALSE)</f>
        <v>0</v>
      </c>
      <c r="AY546">
        <f>VLOOKUP(Table29[[#This Row],[Shortname]], Comp[], 30, FALSE)</f>
        <v>0</v>
      </c>
      <c r="AZ546">
        <f>VLOOKUP(Table29[[#This Row],[Shortname]], Comp[], 31, FALSE)</f>
        <v>0</v>
      </c>
    </row>
    <row r="547" spans="1:52" x14ac:dyDescent="0.3">
      <c r="A547" t="s">
        <v>6476</v>
      </c>
      <c r="F547" t="s">
        <v>6477</v>
      </c>
      <c r="G547" t="s">
        <v>6478</v>
      </c>
      <c r="H547">
        <v>513.5</v>
      </c>
      <c r="I547">
        <v>1.16E-4</v>
      </c>
      <c r="J547">
        <f>0.01/Table29[[#This Row],[Strain Rate (min) /s]]</f>
        <v>86.206896551724142</v>
      </c>
      <c r="K547">
        <f>LOG(Table29[[#This Row],[Time to 1% strain (s)]])</f>
        <v>1.9355420107730816</v>
      </c>
      <c r="L547">
        <v>850</v>
      </c>
      <c r="P547" t="s">
        <v>7234</v>
      </c>
      <c r="Q547">
        <v>1200</v>
      </c>
      <c r="R547">
        <v>48</v>
      </c>
      <c r="S547">
        <v>850</v>
      </c>
      <c r="T547">
        <v>168</v>
      </c>
      <c r="W547">
        <v>1</v>
      </c>
      <c r="X547">
        <v>10</v>
      </c>
      <c r="Y547">
        <v>32</v>
      </c>
      <c r="AA547">
        <f>VLOOKUP(Table29[[#This Row],[Shortname]], Comp[], 6, FALSE)</f>
        <v>1082</v>
      </c>
      <c r="AB547" s="14">
        <f>VLOOKUP(Table29[[#This Row],[Shortname]], Comp[], 7, FALSE)</f>
        <v>73.03</v>
      </c>
      <c r="AC547">
        <f>VLOOKUP(Table29[[#This Row],[Shortname]], Comp[], 8, FALSE)</f>
        <v>9.74</v>
      </c>
      <c r="AD547">
        <f>VLOOKUP(Table29[[#This Row],[Shortname]], Comp[], 9, FALSE)</f>
        <v>4.9800000000000004</v>
      </c>
      <c r="AE547">
        <f>VLOOKUP(Table29[[#This Row],[Shortname]], Comp[], 10, FALSE)</f>
        <v>4.1500000000000004</v>
      </c>
      <c r="AF547">
        <f>VLOOKUP(Table29[[#This Row],[Shortname]], Comp[], 11, FALSE)</f>
        <v>0</v>
      </c>
      <c r="AG547">
        <f>VLOOKUP(Table29[[#This Row],[Shortname]], Comp[],12, FALSE)</f>
        <v>2.04</v>
      </c>
      <c r="AH547">
        <f>VLOOKUP(Table29[[#This Row],[Shortname]], Comp[], 13, FALSE)</f>
        <v>1.59</v>
      </c>
      <c r="AI547">
        <f>VLOOKUP(Table29[[#This Row],[Shortname]], Comp[], 14, FALSE)</f>
        <v>1.37</v>
      </c>
      <c r="AJ547">
        <f>VLOOKUP(Table29[[#This Row],[Shortname]], Comp[], 15, FALSE)</f>
        <v>3.02</v>
      </c>
      <c r="AK547">
        <f>VLOOKUP(Table29[[#This Row],[Shortname]], Comp[], 16, FALSE)</f>
        <v>0</v>
      </c>
      <c r="AL547">
        <f>VLOOKUP(Table29[[#This Row],[Shortname]], Comp[], 17, FALSE)</f>
        <v>0</v>
      </c>
      <c r="AM547">
        <f>VLOOKUP(Table29[[#This Row],[Shortname]], Comp[], 18, FALSE)</f>
        <v>0</v>
      </c>
      <c r="AN547">
        <f>VLOOKUP(Table29[[#This Row],[Shortname]], Comp[], 19, FALSE)</f>
        <v>0.08</v>
      </c>
      <c r="AO547">
        <f>VLOOKUP(Table29[[#This Row],[Shortname]], Comp[], 20, FALSE)</f>
        <v>0</v>
      </c>
      <c r="AP547">
        <f>VLOOKUP(Table29[[#This Row],[Shortname]], Comp[], 21, FALSE)</f>
        <v>0</v>
      </c>
      <c r="AQ547">
        <f>VLOOKUP(Table29[[#This Row],[Shortname]], Comp[], 22, FALSE)</f>
        <v>0</v>
      </c>
      <c r="AR547">
        <f>VLOOKUP(Table29[[#This Row],[Shortname]], Comp[], 23, FALSE)</f>
        <v>0</v>
      </c>
      <c r="AS547">
        <f>VLOOKUP(Table29[[#This Row],[Shortname]], Comp[], 24, FALSE)</f>
        <v>0</v>
      </c>
      <c r="AT547">
        <f>VLOOKUP(Table29[[#This Row],[Shortname]], Comp[], 25, FALSE)</f>
        <v>0</v>
      </c>
      <c r="AU547">
        <f>VLOOKUP(Table29[[#This Row],[Shortname]], Comp[], 26, FALSE)</f>
        <v>0</v>
      </c>
      <c r="AV547">
        <f>VLOOKUP(Table29[[#This Row],[Shortname]], Comp[], 27, FALSE)</f>
        <v>0</v>
      </c>
      <c r="AW547">
        <f>VLOOKUP(Table29[[#This Row],[Shortname]], Comp[], 28, FALSE)</f>
        <v>0</v>
      </c>
      <c r="AX547">
        <f>VLOOKUP(Table29[[#This Row],[Shortname]], Comp[], 29, FALSE)</f>
        <v>0</v>
      </c>
      <c r="AY547">
        <f>VLOOKUP(Table29[[#This Row],[Shortname]], Comp[], 30, FALSE)</f>
        <v>0</v>
      </c>
      <c r="AZ547">
        <f>VLOOKUP(Table29[[#This Row],[Shortname]], Comp[], 31, FALSE)</f>
        <v>0</v>
      </c>
    </row>
    <row r="548" spans="1:52" x14ac:dyDescent="0.3">
      <c r="A548" t="s">
        <v>6481</v>
      </c>
      <c r="F548" t="s">
        <v>6482</v>
      </c>
      <c r="G548" t="s">
        <v>6478</v>
      </c>
      <c r="H548">
        <v>250</v>
      </c>
      <c r="I548">
        <v>6.6399999999999999E-8</v>
      </c>
      <c r="J548">
        <f>0.01/Table29[[#This Row],[Strain Rate (min) /s]]</f>
        <v>150602.40963855424</v>
      </c>
      <c r="K548">
        <f>LOG(Table29[[#This Row],[Time to 1% strain (s)]])</f>
        <v>5.1778319206319825</v>
      </c>
      <c r="L548">
        <v>850</v>
      </c>
      <c r="P548" t="s">
        <v>7235</v>
      </c>
      <c r="Q548">
        <v>1200</v>
      </c>
      <c r="R548">
        <v>48</v>
      </c>
      <c r="S548">
        <v>850</v>
      </c>
      <c r="T548">
        <v>168</v>
      </c>
      <c r="W548">
        <v>1</v>
      </c>
      <c r="X548">
        <v>10</v>
      </c>
      <c r="Y548">
        <v>37</v>
      </c>
      <c r="AA548">
        <f>VLOOKUP(Table29[[#This Row],[Shortname]], Comp[], 6, FALSE)</f>
        <v>1083</v>
      </c>
      <c r="AB548" s="14">
        <f>VLOOKUP(Table29[[#This Row],[Shortname]], Comp[], 7, FALSE)</f>
        <v>63.180000000000007</v>
      </c>
      <c r="AC548">
        <f>VLOOKUP(Table29[[#This Row],[Shortname]], Comp[], 8, FALSE)</f>
        <v>19.43</v>
      </c>
      <c r="AD548">
        <f>VLOOKUP(Table29[[#This Row],[Shortname]], Comp[], 9, FALSE)</f>
        <v>5.13</v>
      </c>
      <c r="AE548">
        <f>VLOOKUP(Table29[[#This Row],[Shortname]], Comp[], 10, FALSE)</f>
        <v>4.1100000000000003</v>
      </c>
      <c r="AF548">
        <f>VLOOKUP(Table29[[#This Row],[Shortname]], Comp[], 11, FALSE)</f>
        <v>0</v>
      </c>
      <c r="AG548">
        <f>VLOOKUP(Table29[[#This Row],[Shortname]], Comp[],12, FALSE)</f>
        <v>2.06</v>
      </c>
      <c r="AH548">
        <f>VLOOKUP(Table29[[#This Row],[Shortname]], Comp[], 13, FALSE)</f>
        <v>1.59</v>
      </c>
      <c r="AI548">
        <f>VLOOKUP(Table29[[#This Row],[Shortname]], Comp[], 14, FALSE)</f>
        <v>1.37</v>
      </c>
      <c r="AJ548">
        <f>VLOOKUP(Table29[[#This Row],[Shortname]], Comp[], 15, FALSE)</f>
        <v>3.05</v>
      </c>
      <c r="AK548">
        <f>VLOOKUP(Table29[[#This Row],[Shortname]], Comp[], 16, FALSE)</f>
        <v>0</v>
      </c>
      <c r="AL548">
        <f>VLOOKUP(Table29[[#This Row],[Shortname]], Comp[], 17, FALSE)</f>
        <v>0</v>
      </c>
      <c r="AM548">
        <f>VLOOKUP(Table29[[#This Row],[Shortname]], Comp[], 18, FALSE)</f>
        <v>0</v>
      </c>
      <c r="AN548">
        <f>VLOOKUP(Table29[[#This Row],[Shortname]], Comp[], 19, FALSE)</f>
        <v>0.08</v>
      </c>
      <c r="AO548">
        <f>VLOOKUP(Table29[[#This Row],[Shortname]], Comp[], 20, FALSE)</f>
        <v>0</v>
      </c>
      <c r="AP548">
        <f>VLOOKUP(Table29[[#This Row],[Shortname]], Comp[], 21, FALSE)</f>
        <v>0</v>
      </c>
      <c r="AQ548">
        <f>VLOOKUP(Table29[[#This Row],[Shortname]], Comp[], 22, FALSE)</f>
        <v>0</v>
      </c>
      <c r="AR548">
        <f>VLOOKUP(Table29[[#This Row],[Shortname]], Comp[], 23, FALSE)</f>
        <v>0</v>
      </c>
      <c r="AS548">
        <f>VLOOKUP(Table29[[#This Row],[Shortname]], Comp[], 24, FALSE)</f>
        <v>0</v>
      </c>
      <c r="AT548">
        <f>VLOOKUP(Table29[[#This Row],[Shortname]], Comp[], 25, FALSE)</f>
        <v>0</v>
      </c>
      <c r="AU548">
        <f>VLOOKUP(Table29[[#This Row],[Shortname]], Comp[], 26, FALSE)</f>
        <v>0</v>
      </c>
      <c r="AV548">
        <f>VLOOKUP(Table29[[#This Row],[Shortname]], Comp[], 27, FALSE)</f>
        <v>0</v>
      </c>
      <c r="AW548">
        <f>VLOOKUP(Table29[[#This Row],[Shortname]], Comp[], 28, FALSE)</f>
        <v>0</v>
      </c>
      <c r="AX548">
        <f>VLOOKUP(Table29[[#This Row],[Shortname]], Comp[], 29, FALSE)</f>
        <v>0</v>
      </c>
      <c r="AY548">
        <f>VLOOKUP(Table29[[#This Row],[Shortname]], Comp[], 30, FALSE)</f>
        <v>0</v>
      </c>
      <c r="AZ548">
        <f>VLOOKUP(Table29[[#This Row],[Shortname]], Comp[], 31, FALSE)</f>
        <v>0</v>
      </c>
    </row>
    <row r="549" spans="1:52" x14ac:dyDescent="0.3">
      <c r="A549" t="s">
        <v>6481</v>
      </c>
      <c r="F549" t="s">
        <v>6482</v>
      </c>
      <c r="G549" t="s">
        <v>6478</v>
      </c>
      <c r="H549">
        <v>271</v>
      </c>
      <c r="I549">
        <v>1.08E-7</v>
      </c>
      <c r="J549">
        <f>0.01/Table29[[#This Row],[Strain Rate (min) /s]]</f>
        <v>92592.592592592599</v>
      </c>
      <c r="K549">
        <f>LOG(Table29[[#This Row],[Time to 1% strain (s)]])</f>
        <v>4.9665762445130506</v>
      </c>
      <c r="L549">
        <v>850</v>
      </c>
      <c r="P549" t="s">
        <v>7235</v>
      </c>
      <c r="Q549">
        <v>1200</v>
      </c>
      <c r="R549">
        <v>48</v>
      </c>
      <c r="S549">
        <v>850</v>
      </c>
      <c r="T549">
        <v>168</v>
      </c>
      <c r="W549">
        <v>1</v>
      </c>
      <c r="X549">
        <v>10</v>
      </c>
      <c r="Y549">
        <v>37</v>
      </c>
      <c r="AA549">
        <f>VLOOKUP(Table29[[#This Row],[Shortname]], Comp[], 6, FALSE)</f>
        <v>1083</v>
      </c>
      <c r="AB549" s="14">
        <f>VLOOKUP(Table29[[#This Row],[Shortname]], Comp[], 7, FALSE)</f>
        <v>63.180000000000007</v>
      </c>
      <c r="AC549">
        <f>VLOOKUP(Table29[[#This Row],[Shortname]], Comp[], 8, FALSE)</f>
        <v>19.43</v>
      </c>
      <c r="AD549">
        <f>VLOOKUP(Table29[[#This Row],[Shortname]], Comp[], 9, FALSE)</f>
        <v>5.13</v>
      </c>
      <c r="AE549">
        <f>VLOOKUP(Table29[[#This Row],[Shortname]], Comp[], 10, FALSE)</f>
        <v>4.1100000000000003</v>
      </c>
      <c r="AF549">
        <f>VLOOKUP(Table29[[#This Row],[Shortname]], Comp[], 11, FALSE)</f>
        <v>0</v>
      </c>
      <c r="AG549">
        <f>VLOOKUP(Table29[[#This Row],[Shortname]], Comp[],12, FALSE)</f>
        <v>2.06</v>
      </c>
      <c r="AH549">
        <f>VLOOKUP(Table29[[#This Row],[Shortname]], Comp[], 13, FALSE)</f>
        <v>1.59</v>
      </c>
      <c r="AI549">
        <f>VLOOKUP(Table29[[#This Row],[Shortname]], Comp[], 14, FALSE)</f>
        <v>1.37</v>
      </c>
      <c r="AJ549">
        <f>VLOOKUP(Table29[[#This Row],[Shortname]], Comp[], 15, FALSE)</f>
        <v>3.05</v>
      </c>
      <c r="AK549">
        <f>VLOOKUP(Table29[[#This Row],[Shortname]], Comp[], 16, FALSE)</f>
        <v>0</v>
      </c>
      <c r="AL549">
        <f>VLOOKUP(Table29[[#This Row],[Shortname]], Comp[], 17, FALSE)</f>
        <v>0</v>
      </c>
      <c r="AM549">
        <f>VLOOKUP(Table29[[#This Row],[Shortname]], Comp[], 18, FALSE)</f>
        <v>0</v>
      </c>
      <c r="AN549">
        <f>VLOOKUP(Table29[[#This Row],[Shortname]], Comp[], 19, FALSE)</f>
        <v>0.08</v>
      </c>
      <c r="AO549">
        <f>VLOOKUP(Table29[[#This Row],[Shortname]], Comp[], 20, FALSE)</f>
        <v>0</v>
      </c>
      <c r="AP549">
        <f>VLOOKUP(Table29[[#This Row],[Shortname]], Comp[], 21, FALSE)</f>
        <v>0</v>
      </c>
      <c r="AQ549">
        <f>VLOOKUP(Table29[[#This Row],[Shortname]], Comp[], 22, FALSE)</f>
        <v>0</v>
      </c>
      <c r="AR549">
        <f>VLOOKUP(Table29[[#This Row],[Shortname]], Comp[], 23, FALSE)</f>
        <v>0</v>
      </c>
      <c r="AS549">
        <f>VLOOKUP(Table29[[#This Row],[Shortname]], Comp[], 24, FALSE)</f>
        <v>0</v>
      </c>
      <c r="AT549">
        <f>VLOOKUP(Table29[[#This Row],[Shortname]], Comp[], 25, FALSE)</f>
        <v>0</v>
      </c>
      <c r="AU549">
        <f>VLOOKUP(Table29[[#This Row],[Shortname]], Comp[], 26, FALSE)</f>
        <v>0</v>
      </c>
      <c r="AV549">
        <f>VLOOKUP(Table29[[#This Row],[Shortname]], Comp[], 27, FALSE)</f>
        <v>0</v>
      </c>
      <c r="AW549">
        <f>VLOOKUP(Table29[[#This Row],[Shortname]], Comp[], 28, FALSE)</f>
        <v>0</v>
      </c>
      <c r="AX549">
        <f>VLOOKUP(Table29[[#This Row],[Shortname]], Comp[], 29, FALSE)</f>
        <v>0</v>
      </c>
      <c r="AY549">
        <f>VLOOKUP(Table29[[#This Row],[Shortname]], Comp[], 30, FALSE)</f>
        <v>0</v>
      </c>
      <c r="AZ549">
        <f>VLOOKUP(Table29[[#This Row],[Shortname]], Comp[], 31, FALSE)</f>
        <v>0</v>
      </c>
    </row>
    <row r="550" spans="1:52" x14ac:dyDescent="0.3">
      <c r="A550" t="s">
        <v>6481</v>
      </c>
      <c r="F550" t="s">
        <v>6482</v>
      </c>
      <c r="G550" t="s">
        <v>6478</v>
      </c>
      <c r="H550">
        <v>296.5</v>
      </c>
      <c r="I550">
        <v>1.7359999999999999E-7</v>
      </c>
      <c r="J550">
        <f>0.01/Table29[[#This Row],[Strain Rate (min) /s]]</f>
        <v>57603.686635944701</v>
      </c>
      <c r="K550">
        <f>LOG(Table29[[#This Row],[Time to 1% strain (s)]])</f>
        <v>4.7604502791595271</v>
      </c>
      <c r="L550">
        <v>850</v>
      </c>
      <c r="P550" t="s">
        <v>7235</v>
      </c>
      <c r="Q550">
        <v>1200</v>
      </c>
      <c r="R550">
        <v>48</v>
      </c>
      <c r="S550">
        <v>850</v>
      </c>
      <c r="T550">
        <v>168</v>
      </c>
      <c r="W550">
        <v>1</v>
      </c>
      <c r="X550">
        <v>10</v>
      </c>
      <c r="Y550">
        <v>37</v>
      </c>
      <c r="AA550">
        <f>VLOOKUP(Table29[[#This Row],[Shortname]], Comp[], 6, FALSE)</f>
        <v>1083</v>
      </c>
      <c r="AB550" s="14">
        <f>VLOOKUP(Table29[[#This Row],[Shortname]], Comp[], 7, FALSE)</f>
        <v>63.180000000000007</v>
      </c>
      <c r="AC550">
        <f>VLOOKUP(Table29[[#This Row],[Shortname]], Comp[], 8, FALSE)</f>
        <v>19.43</v>
      </c>
      <c r="AD550">
        <f>VLOOKUP(Table29[[#This Row],[Shortname]], Comp[], 9, FALSE)</f>
        <v>5.13</v>
      </c>
      <c r="AE550">
        <f>VLOOKUP(Table29[[#This Row],[Shortname]], Comp[], 10, FALSE)</f>
        <v>4.1100000000000003</v>
      </c>
      <c r="AF550">
        <f>VLOOKUP(Table29[[#This Row],[Shortname]], Comp[], 11, FALSE)</f>
        <v>0</v>
      </c>
      <c r="AG550">
        <f>VLOOKUP(Table29[[#This Row],[Shortname]], Comp[],12, FALSE)</f>
        <v>2.06</v>
      </c>
      <c r="AH550">
        <f>VLOOKUP(Table29[[#This Row],[Shortname]], Comp[], 13, FALSE)</f>
        <v>1.59</v>
      </c>
      <c r="AI550">
        <f>VLOOKUP(Table29[[#This Row],[Shortname]], Comp[], 14, FALSE)</f>
        <v>1.37</v>
      </c>
      <c r="AJ550">
        <f>VLOOKUP(Table29[[#This Row],[Shortname]], Comp[], 15, FALSE)</f>
        <v>3.05</v>
      </c>
      <c r="AK550">
        <f>VLOOKUP(Table29[[#This Row],[Shortname]], Comp[], 16, FALSE)</f>
        <v>0</v>
      </c>
      <c r="AL550">
        <f>VLOOKUP(Table29[[#This Row],[Shortname]], Comp[], 17, FALSE)</f>
        <v>0</v>
      </c>
      <c r="AM550">
        <f>VLOOKUP(Table29[[#This Row],[Shortname]], Comp[], 18, FALSE)</f>
        <v>0</v>
      </c>
      <c r="AN550">
        <f>VLOOKUP(Table29[[#This Row],[Shortname]], Comp[], 19, FALSE)</f>
        <v>0.08</v>
      </c>
      <c r="AO550">
        <f>VLOOKUP(Table29[[#This Row],[Shortname]], Comp[], 20, FALSE)</f>
        <v>0</v>
      </c>
      <c r="AP550">
        <f>VLOOKUP(Table29[[#This Row],[Shortname]], Comp[], 21, FALSE)</f>
        <v>0</v>
      </c>
      <c r="AQ550">
        <f>VLOOKUP(Table29[[#This Row],[Shortname]], Comp[], 22, FALSE)</f>
        <v>0</v>
      </c>
      <c r="AR550">
        <f>VLOOKUP(Table29[[#This Row],[Shortname]], Comp[], 23, FALSE)</f>
        <v>0</v>
      </c>
      <c r="AS550">
        <f>VLOOKUP(Table29[[#This Row],[Shortname]], Comp[], 24, FALSE)</f>
        <v>0</v>
      </c>
      <c r="AT550">
        <f>VLOOKUP(Table29[[#This Row],[Shortname]], Comp[], 25, FALSE)</f>
        <v>0</v>
      </c>
      <c r="AU550">
        <f>VLOOKUP(Table29[[#This Row],[Shortname]], Comp[], 26, FALSE)</f>
        <v>0</v>
      </c>
      <c r="AV550">
        <f>VLOOKUP(Table29[[#This Row],[Shortname]], Comp[], 27, FALSE)</f>
        <v>0</v>
      </c>
      <c r="AW550">
        <f>VLOOKUP(Table29[[#This Row],[Shortname]], Comp[], 28, FALSE)</f>
        <v>0</v>
      </c>
      <c r="AX550">
        <f>VLOOKUP(Table29[[#This Row],[Shortname]], Comp[], 29, FALSE)</f>
        <v>0</v>
      </c>
      <c r="AY550">
        <f>VLOOKUP(Table29[[#This Row],[Shortname]], Comp[], 30, FALSE)</f>
        <v>0</v>
      </c>
      <c r="AZ550">
        <f>VLOOKUP(Table29[[#This Row],[Shortname]], Comp[], 31, FALSE)</f>
        <v>0</v>
      </c>
    </row>
    <row r="551" spans="1:52" x14ac:dyDescent="0.3">
      <c r="A551" t="s">
        <v>6481</v>
      </c>
      <c r="F551" t="s">
        <v>6482</v>
      </c>
      <c r="G551" t="s">
        <v>6478</v>
      </c>
      <c r="H551">
        <v>323.7</v>
      </c>
      <c r="I551">
        <v>3.03E-7</v>
      </c>
      <c r="J551">
        <f>0.01/Table29[[#This Row],[Strain Rate (min) /s]]</f>
        <v>33003.300330033002</v>
      </c>
      <c r="K551">
        <f>LOG(Table29[[#This Row],[Time to 1% strain (s)]])</f>
        <v>4.5185573714976952</v>
      </c>
      <c r="L551">
        <v>850</v>
      </c>
      <c r="P551" t="s">
        <v>7235</v>
      </c>
      <c r="Q551">
        <v>1200</v>
      </c>
      <c r="R551">
        <v>48</v>
      </c>
      <c r="S551">
        <v>850</v>
      </c>
      <c r="T551">
        <v>168</v>
      </c>
      <c r="W551">
        <v>1</v>
      </c>
      <c r="X551">
        <v>10</v>
      </c>
      <c r="Y551">
        <v>37</v>
      </c>
      <c r="AA551">
        <f>VLOOKUP(Table29[[#This Row],[Shortname]], Comp[], 6, FALSE)</f>
        <v>1083</v>
      </c>
      <c r="AB551" s="14">
        <f>VLOOKUP(Table29[[#This Row],[Shortname]], Comp[], 7, FALSE)</f>
        <v>63.180000000000007</v>
      </c>
      <c r="AC551">
        <f>VLOOKUP(Table29[[#This Row],[Shortname]], Comp[], 8, FALSE)</f>
        <v>19.43</v>
      </c>
      <c r="AD551">
        <f>VLOOKUP(Table29[[#This Row],[Shortname]], Comp[], 9, FALSE)</f>
        <v>5.13</v>
      </c>
      <c r="AE551">
        <f>VLOOKUP(Table29[[#This Row],[Shortname]], Comp[], 10, FALSE)</f>
        <v>4.1100000000000003</v>
      </c>
      <c r="AF551">
        <f>VLOOKUP(Table29[[#This Row],[Shortname]], Comp[], 11, FALSE)</f>
        <v>0</v>
      </c>
      <c r="AG551">
        <f>VLOOKUP(Table29[[#This Row],[Shortname]], Comp[],12, FALSE)</f>
        <v>2.06</v>
      </c>
      <c r="AH551">
        <f>VLOOKUP(Table29[[#This Row],[Shortname]], Comp[], 13, FALSE)</f>
        <v>1.59</v>
      </c>
      <c r="AI551">
        <f>VLOOKUP(Table29[[#This Row],[Shortname]], Comp[], 14, FALSE)</f>
        <v>1.37</v>
      </c>
      <c r="AJ551">
        <f>VLOOKUP(Table29[[#This Row],[Shortname]], Comp[], 15, FALSE)</f>
        <v>3.05</v>
      </c>
      <c r="AK551">
        <f>VLOOKUP(Table29[[#This Row],[Shortname]], Comp[], 16, FALSE)</f>
        <v>0</v>
      </c>
      <c r="AL551">
        <f>VLOOKUP(Table29[[#This Row],[Shortname]], Comp[], 17, FALSE)</f>
        <v>0</v>
      </c>
      <c r="AM551">
        <f>VLOOKUP(Table29[[#This Row],[Shortname]], Comp[], 18, FALSE)</f>
        <v>0</v>
      </c>
      <c r="AN551">
        <f>VLOOKUP(Table29[[#This Row],[Shortname]], Comp[], 19, FALSE)</f>
        <v>0.08</v>
      </c>
      <c r="AO551">
        <f>VLOOKUP(Table29[[#This Row],[Shortname]], Comp[], 20, FALSE)</f>
        <v>0</v>
      </c>
      <c r="AP551">
        <f>VLOOKUP(Table29[[#This Row],[Shortname]], Comp[], 21, FALSE)</f>
        <v>0</v>
      </c>
      <c r="AQ551">
        <f>VLOOKUP(Table29[[#This Row],[Shortname]], Comp[], 22, FALSE)</f>
        <v>0</v>
      </c>
      <c r="AR551">
        <f>VLOOKUP(Table29[[#This Row],[Shortname]], Comp[], 23, FALSE)</f>
        <v>0</v>
      </c>
      <c r="AS551">
        <f>VLOOKUP(Table29[[#This Row],[Shortname]], Comp[], 24, FALSE)</f>
        <v>0</v>
      </c>
      <c r="AT551">
        <f>VLOOKUP(Table29[[#This Row],[Shortname]], Comp[], 25, FALSE)</f>
        <v>0</v>
      </c>
      <c r="AU551">
        <f>VLOOKUP(Table29[[#This Row],[Shortname]], Comp[], 26, FALSE)</f>
        <v>0</v>
      </c>
      <c r="AV551">
        <f>VLOOKUP(Table29[[#This Row],[Shortname]], Comp[], 27, FALSE)</f>
        <v>0</v>
      </c>
      <c r="AW551">
        <f>VLOOKUP(Table29[[#This Row],[Shortname]], Comp[], 28, FALSE)</f>
        <v>0</v>
      </c>
      <c r="AX551">
        <f>VLOOKUP(Table29[[#This Row],[Shortname]], Comp[], 29, FALSE)</f>
        <v>0</v>
      </c>
      <c r="AY551">
        <f>VLOOKUP(Table29[[#This Row],[Shortname]], Comp[], 30, FALSE)</f>
        <v>0</v>
      </c>
      <c r="AZ551">
        <f>VLOOKUP(Table29[[#This Row],[Shortname]], Comp[], 31, FALSE)</f>
        <v>0</v>
      </c>
    </row>
    <row r="552" spans="1:52" x14ac:dyDescent="0.3">
      <c r="A552" t="s">
        <v>6481</v>
      </c>
      <c r="F552" t="s">
        <v>6482</v>
      </c>
      <c r="G552" t="s">
        <v>6478</v>
      </c>
      <c r="H552">
        <v>354.7</v>
      </c>
      <c r="I552">
        <v>6.7999999999999995E-7</v>
      </c>
      <c r="J552">
        <f>0.01/Table29[[#This Row],[Strain Rate (min) /s]]</f>
        <v>14705.882352941178</v>
      </c>
      <c r="K552">
        <f>LOG(Table29[[#This Row],[Time to 1% strain (s)]])</f>
        <v>4.1674910872937634</v>
      </c>
      <c r="L552">
        <v>850</v>
      </c>
      <c r="P552" t="s">
        <v>7235</v>
      </c>
      <c r="Q552">
        <v>1200</v>
      </c>
      <c r="R552">
        <v>48</v>
      </c>
      <c r="S552">
        <v>850</v>
      </c>
      <c r="T552">
        <v>168</v>
      </c>
      <c r="W552">
        <v>1</v>
      </c>
      <c r="X552">
        <v>10</v>
      </c>
      <c r="Y552">
        <v>37</v>
      </c>
      <c r="AA552">
        <f>VLOOKUP(Table29[[#This Row],[Shortname]], Comp[], 6, FALSE)</f>
        <v>1083</v>
      </c>
      <c r="AB552" s="14">
        <f>VLOOKUP(Table29[[#This Row],[Shortname]], Comp[], 7, FALSE)</f>
        <v>63.180000000000007</v>
      </c>
      <c r="AC552">
        <f>VLOOKUP(Table29[[#This Row],[Shortname]], Comp[], 8, FALSE)</f>
        <v>19.43</v>
      </c>
      <c r="AD552">
        <f>VLOOKUP(Table29[[#This Row],[Shortname]], Comp[], 9, FALSE)</f>
        <v>5.13</v>
      </c>
      <c r="AE552">
        <f>VLOOKUP(Table29[[#This Row],[Shortname]], Comp[], 10, FALSE)</f>
        <v>4.1100000000000003</v>
      </c>
      <c r="AF552">
        <f>VLOOKUP(Table29[[#This Row],[Shortname]], Comp[], 11, FALSE)</f>
        <v>0</v>
      </c>
      <c r="AG552">
        <f>VLOOKUP(Table29[[#This Row],[Shortname]], Comp[],12, FALSE)</f>
        <v>2.06</v>
      </c>
      <c r="AH552">
        <f>VLOOKUP(Table29[[#This Row],[Shortname]], Comp[], 13, FALSE)</f>
        <v>1.59</v>
      </c>
      <c r="AI552">
        <f>VLOOKUP(Table29[[#This Row],[Shortname]], Comp[], 14, FALSE)</f>
        <v>1.37</v>
      </c>
      <c r="AJ552">
        <f>VLOOKUP(Table29[[#This Row],[Shortname]], Comp[], 15, FALSE)</f>
        <v>3.05</v>
      </c>
      <c r="AK552">
        <f>VLOOKUP(Table29[[#This Row],[Shortname]], Comp[], 16, FALSE)</f>
        <v>0</v>
      </c>
      <c r="AL552">
        <f>VLOOKUP(Table29[[#This Row],[Shortname]], Comp[], 17, FALSE)</f>
        <v>0</v>
      </c>
      <c r="AM552">
        <f>VLOOKUP(Table29[[#This Row],[Shortname]], Comp[], 18, FALSE)</f>
        <v>0</v>
      </c>
      <c r="AN552">
        <f>VLOOKUP(Table29[[#This Row],[Shortname]], Comp[], 19, FALSE)</f>
        <v>0.08</v>
      </c>
      <c r="AO552">
        <f>VLOOKUP(Table29[[#This Row],[Shortname]], Comp[], 20, FALSE)</f>
        <v>0</v>
      </c>
      <c r="AP552">
        <f>VLOOKUP(Table29[[#This Row],[Shortname]], Comp[], 21, FALSE)</f>
        <v>0</v>
      </c>
      <c r="AQ552">
        <f>VLOOKUP(Table29[[#This Row],[Shortname]], Comp[], 22, FALSE)</f>
        <v>0</v>
      </c>
      <c r="AR552">
        <f>VLOOKUP(Table29[[#This Row],[Shortname]], Comp[], 23, FALSE)</f>
        <v>0</v>
      </c>
      <c r="AS552">
        <f>VLOOKUP(Table29[[#This Row],[Shortname]], Comp[], 24, FALSE)</f>
        <v>0</v>
      </c>
      <c r="AT552">
        <f>VLOOKUP(Table29[[#This Row],[Shortname]], Comp[], 25, FALSE)</f>
        <v>0</v>
      </c>
      <c r="AU552">
        <f>VLOOKUP(Table29[[#This Row],[Shortname]], Comp[], 26, FALSE)</f>
        <v>0</v>
      </c>
      <c r="AV552">
        <f>VLOOKUP(Table29[[#This Row],[Shortname]], Comp[], 27, FALSE)</f>
        <v>0</v>
      </c>
      <c r="AW552">
        <f>VLOOKUP(Table29[[#This Row],[Shortname]], Comp[], 28, FALSE)</f>
        <v>0</v>
      </c>
      <c r="AX552">
        <f>VLOOKUP(Table29[[#This Row],[Shortname]], Comp[], 29, FALSE)</f>
        <v>0</v>
      </c>
      <c r="AY552">
        <f>VLOOKUP(Table29[[#This Row],[Shortname]], Comp[], 30, FALSE)</f>
        <v>0</v>
      </c>
      <c r="AZ552">
        <f>VLOOKUP(Table29[[#This Row],[Shortname]], Comp[], 31, FALSE)</f>
        <v>0</v>
      </c>
    </row>
    <row r="553" spans="1:52" x14ac:dyDescent="0.3">
      <c r="A553" t="s">
        <v>6481</v>
      </c>
      <c r="F553" t="s">
        <v>6482</v>
      </c>
      <c r="G553" t="s">
        <v>6478</v>
      </c>
      <c r="H553">
        <v>394.8</v>
      </c>
      <c r="I553">
        <v>2.063E-6</v>
      </c>
      <c r="J553">
        <f>0.01/Table29[[#This Row],[Strain Rate (min) /s]]</f>
        <v>4847.3097430925836</v>
      </c>
      <c r="K553">
        <f>LOG(Table29[[#This Row],[Time to 1% strain (s)]])</f>
        <v>3.6855007720268484</v>
      </c>
      <c r="L553">
        <v>850</v>
      </c>
      <c r="P553" t="s">
        <v>7235</v>
      </c>
      <c r="Q553">
        <v>1200</v>
      </c>
      <c r="R553">
        <v>48</v>
      </c>
      <c r="S553">
        <v>850</v>
      </c>
      <c r="T553">
        <v>168</v>
      </c>
      <c r="W553">
        <v>1</v>
      </c>
      <c r="X553">
        <v>10</v>
      </c>
      <c r="Y553">
        <v>37</v>
      </c>
      <c r="AA553">
        <f>VLOOKUP(Table29[[#This Row],[Shortname]], Comp[], 6, FALSE)</f>
        <v>1083</v>
      </c>
      <c r="AB553" s="14">
        <f>VLOOKUP(Table29[[#This Row],[Shortname]], Comp[], 7, FALSE)</f>
        <v>63.180000000000007</v>
      </c>
      <c r="AC553">
        <f>VLOOKUP(Table29[[#This Row],[Shortname]], Comp[], 8, FALSE)</f>
        <v>19.43</v>
      </c>
      <c r="AD553">
        <f>VLOOKUP(Table29[[#This Row],[Shortname]], Comp[], 9, FALSE)</f>
        <v>5.13</v>
      </c>
      <c r="AE553">
        <f>VLOOKUP(Table29[[#This Row],[Shortname]], Comp[], 10, FALSE)</f>
        <v>4.1100000000000003</v>
      </c>
      <c r="AF553">
        <f>VLOOKUP(Table29[[#This Row],[Shortname]], Comp[], 11, FALSE)</f>
        <v>0</v>
      </c>
      <c r="AG553">
        <f>VLOOKUP(Table29[[#This Row],[Shortname]], Comp[],12, FALSE)</f>
        <v>2.06</v>
      </c>
      <c r="AH553">
        <f>VLOOKUP(Table29[[#This Row],[Shortname]], Comp[], 13, FALSE)</f>
        <v>1.59</v>
      </c>
      <c r="AI553">
        <f>VLOOKUP(Table29[[#This Row],[Shortname]], Comp[], 14, FALSE)</f>
        <v>1.37</v>
      </c>
      <c r="AJ553">
        <f>VLOOKUP(Table29[[#This Row],[Shortname]], Comp[], 15, FALSE)</f>
        <v>3.05</v>
      </c>
      <c r="AK553">
        <f>VLOOKUP(Table29[[#This Row],[Shortname]], Comp[], 16, FALSE)</f>
        <v>0</v>
      </c>
      <c r="AL553">
        <f>VLOOKUP(Table29[[#This Row],[Shortname]], Comp[], 17, FALSE)</f>
        <v>0</v>
      </c>
      <c r="AM553">
        <f>VLOOKUP(Table29[[#This Row],[Shortname]], Comp[], 18, FALSE)</f>
        <v>0</v>
      </c>
      <c r="AN553">
        <f>VLOOKUP(Table29[[#This Row],[Shortname]], Comp[], 19, FALSE)</f>
        <v>0.08</v>
      </c>
      <c r="AO553">
        <f>VLOOKUP(Table29[[#This Row],[Shortname]], Comp[], 20, FALSE)</f>
        <v>0</v>
      </c>
      <c r="AP553">
        <f>VLOOKUP(Table29[[#This Row],[Shortname]], Comp[], 21, FALSE)</f>
        <v>0</v>
      </c>
      <c r="AQ553">
        <f>VLOOKUP(Table29[[#This Row],[Shortname]], Comp[], 22, FALSE)</f>
        <v>0</v>
      </c>
      <c r="AR553">
        <f>VLOOKUP(Table29[[#This Row],[Shortname]], Comp[], 23, FALSE)</f>
        <v>0</v>
      </c>
      <c r="AS553">
        <f>VLOOKUP(Table29[[#This Row],[Shortname]], Comp[], 24, FALSE)</f>
        <v>0</v>
      </c>
      <c r="AT553">
        <f>VLOOKUP(Table29[[#This Row],[Shortname]], Comp[], 25, FALSE)</f>
        <v>0</v>
      </c>
      <c r="AU553">
        <f>VLOOKUP(Table29[[#This Row],[Shortname]], Comp[], 26, FALSE)</f>
        <v>0</v>
      </c>
      <c r="AV553">
        <f>VLOOKUP(Table29[[#This Row],[Shortname]], Comp[], 27, FALSE)</f>
        <v>0</v>
      </c>
      <c r="AW553">
        <f>VLOOKUP(Table29[[#This Row],[Shortname]], Comp[], 28, FALSE)</f>
        <v>0</v>
      </c>
      <c r="AX553">
        <f>VLOOKUP(Table29[[#This Row],[Shortname]], Comp[], 29, FALSE)</f>
        <v>0</v>
      </c>
      <c r="AY553">
        <f>VLOOKUP(Table29[[#This Row],[Shortname]], Comp[], 30, FALSE)</f>
        <v>0</v>
      </c>
      <c r="AZ553">
        <f>VLOOKUP(Table29[[#This Row],[Shortname]], Comp[], 31, FALSE)</f>
        <v>0</v>
      </c>
    </row>
    <row r="554" spans="1:52" x14ac:dyDescent="0.3">
      <c r="A554" t="s">
        <v>6481</v>
      </c>
      <c r="F554" t="s">
        <v>6482</v>
      </c>
      <c r="G554" t="s">
        <v>6478</v>
      </c>
      <c r="H554">
        <v>444.2</v>
      </c>
      <c r="I554">
        <v>1.01E-5</v>
      </c>
      <c r="J554">
        <f>0.01/Table29[[#This Row],[Strain Rate (min) /s]]</f>
        <v>990.09900990099015</v>
      </c>
      <c r="K554">
        <f>LOG(Table29[[#This Row],[Time to 1% strain (s)]])</f>
        <v>2.9956786262173574</v>
      </c>
      <c r="L554">
        <v>850</v>
      </c>
      <c r="P554" t="s">
        <v>7235</v>
      </c>
      <c r="Q554">
        <v>1200</v>
      </c>
      <c r="R554">
        <v>48</v>
      </c>
      <c r="S554">
        <v>850</v>
      </c>
      <c r="T554">
        <v>168</v>
      </c>
      <c r="W554">
        <v>1</v>
      </c>
      <c r="X554">
        <v>10</v>
      </c>
      <c r="Y554">
        <v>37</v>
      </c>
      <c r="AA554">
        <f>VLOOKUP(Table29[[#This Row],[Shortname]], Comp[], 6, FALSE)</f>
        <v>1083</v>
      </c>
      <c r="AB554" s="14">
        <f>VLOOKUP(Table29[[#This Row],[Shortname]], Comp[], 7, FALSE)</f>
        <v>63.180000000000007</v>
      </c>
      <c r="AC554">
        <f>VLOOKUP(Table29[[#This Row],[Shortname]], Comp[], 8, FALSE)</f>
        <v>19.43</v>
      </c>
      <c r="AD554">
        <f>VLOOKUP(Table29[[#This Row],[Shortname]], Comp[], 9, FALSE)</f>
        <v>5.13</v>
      </c>
      <c r="AE554">
        <f>VLOOKUP(Table29[[#This Row],[Shortname]], Comp[], 10, FALSE)</f>
        <v>4.1100000000000003</v>
      </c>
      <c r="AF554">
        <f>VLOOKUP(Table29[[#This Row],[Shortname]], Comp[], 11, FALSE)</f>
        <v>0</v>
      </c>
      <c r="AG554">
        <f>VLOOKUP(Table29[[#This Row],[Shortname]], Comp[],12, FALSE)</f>
        <v>2.06</v>
      </c>
      <c r="AH554">
        <f>VLOOKUP(Table29[[#This Row],[Shortname]], Comp[], 13, FALSE)</f>
        <v>1.59</v>
      </c>
      <c r="AI554">
        <f>VLOOKUP(Table29[[#This Row],[Shortname]], Comp[], 14, FALSE)</f>
        <v>1.37</v>
      </c>
      <c r="AJ554">
        <f>VLOOKUP(Table29[[#This Row],[Shortname]], Comp[], 15, FALSE)</f>
        <v>3.05</v>
      </c>
      <c r="AK554">
        <f>VLOOKUP(Table29[[#This Row],[Shortname]], Comp[], 16, FALSE)</f>
        <v>0</v>
      </c>
      <c r="AL554">
        <f>VLOOKUP(Table29[[#This Row],[Shortname]], Comp[], 17, FALSE)</f>
        <v>0</v>
      </c>
      <c r="AM554">
        <f>VLOOKUP(Table29[[#This Row],[Shortname]], Comp[], 18, FALSE)</f>
        <v>0</v>
      </c>
      <c r="AN554">
        <f>VLOOKUP(Table29[[#This Row],[Shortname]], Comp[], 19, FALSE)</f>
        <v>0.08</v>
      </c>
      <c r="AO554">
        <f>VLOOKUP(Table29[[#This Row],[Shortname]], Comp[], 20, FALSE)</f>
        <v>0</v>
      </c>
      <c r="AP554">
        <f>VLOOKUP(Table29[[#This Row],[Shortname]], Comp[], 21, FALSE)</f>
        <v>0</v>
      </c>
      <c r="AQ554">
        <f>VLOOKUP(Table29[[#This Row],[Shortname]], Comp[], 22, FALSE)</f>
        <v>0</v>
      </c>
      <c r="AR554">
        <f>VLOOKUP(Table29[[#This Row],[Shortname]], Comp[], 23, FALSE)</f>
        <v>0</v>
      </c>
      <c r="AS554">
        <f>VLOOKUP(Table29[[#This Row],[Shortname]], Comp[], 24, FALSE)</f>
        <v>0</v>
      </c>
      <c r="AT554">
        <f>VLOOKUP(Table29[[#This Row],[Shortname]], Comp[], 25, FALSE)</f>
        <v>0</v>
      </c>
      <c r="AU554">
        <f>VLOOKUP(Table29[[#This Row],[Shortname]], Comp[], 26, FALSE)</f>
        <v>0</v>
      </c>
      <c r="AV554">
        <f>VLOOKUP(Table29[[#This Row],[Shortname]], Comp[], 27, FALSE)</f>
        <v>0</v>
      </c>
      <c r="AW554">
        <f>VLOOKUP(Table29[[#This Row],[Shortname]], Comp[], 28, FALSE)</f>
        <v>0</v>
      </c>
      <c r="AX554">
        <f>VLOOKUP(Table29[[#This Row],[Shortname]], Comp[], 29, FALSE)</f>
        <v>0</v>
      </c>
      <c r="AY554">
        <f>VLOOKUP(Table29[[#This Row],[Shortname]], Comp[], 30, FALSE)</f>
        <v>0</v>
      </c>
      <c r="AZ554">
        <f>VLOOKUP(Table29[[#This Row],[Shortname]], Comp[], 31, FALSE)</f>
        <v>0</v>
      </c>
    </row>
    <row r="555" spans="1:52" x14ac:dyDescent="0.3">
      <c r="A555" t="s">
        <v>6481</v>
      </c>
      <c r="F555" t="s">
        <v>6482</v>
      </c>
      <c r="G555" t="s">
        <v>6478</v>
      </c>
      <c r="H555">
        <v>501.5</v>
      </c>
      <c r="I555">
        <v>3.7499999999999997E-5</v>
      </c>
      <c r="J555">
        <f>0.01/Table29[[#This Row],[Strain Rate (min) /s]]</f>
        <v>266.66666666666669</v>
      </c>
      <c r="K555">
        <f>LOG(Table29[[#This Row],[Time to 1% strain (s)]])</f>
        <v>2.4259687322722812</v>
      </c>
      <c r="L555">
        <v>850</v>
      </c>
      <c r="P555" t="s">
        <v>7235</v>
      </c>
      <c r="Q555">
        <v>1200</v>
      </c>
      <c r="R555">
        <v>48</v>
      </c>
      <c r="S555">
        <v>850</v>
      </c>
      <c r="T555">
        <v>168</v>
      </c>
      <c r="W555">
        <v>1</v>
      </c>
      <c r="X555">
        <v>10</v>
      </c>
      <c r="Y555">
        <v>37</v>
      </c>
      <c r="AA555">
        <f>VLOOKUP(Table29[[#This Row],[Shortname]], Comp[], 6, FALSE)</f>
        <v>1083</v>
      </c>
      <c r="AB555" s="14">
        <f>VLOOKUP(Table29[[#This Row],[Shortname]], Comp[], 7, FALSE)</f>
        <v>63.180000000000007</v>
      </c>
      <c r="AC555">
        <f>VLOOKUP(Table29[[#This Row],[Shortname]], Comp[], 8, FALSE)</f>
        <v>19.43</v>
      </c>
      <c r="AD555">
        <f>VLOOKUP(Table29[[#This Row],[Shortname]], Comp[], 9, FALSE)</f>
        <v>5.13</v>
      </c>
      <c r="AE555">
        <f>VLOOKUP(Table29[[#This Row],[Shortname]], Comp[], 10, FALSE)</f>
        <v>4.1100000000000003</v>
      </c>
      <c r="AF555">
        <f>VLOOKUP(Table29[[#This Row],[Shortname]], Comp[], 11, FALSE)</f>
        <v>0</v>
      </c>
      <c r="AG555">
        <f>VLOOKUP(Table29[[#This Row],[Shortname]], Comp[],12, FALSE)</f>
        <v>2.06</v>
      </c>
      <c r="AH555">
        <f>VLOOKUP(Table29[[#This Row],[Shortname]], Comp[], 13, FALSE)</f>
        <v>1.59</v>
      </c>
      <c r="AI555">
        <f>VLOOKUP(Table29[[#This Row],[Shortname]], Comp[], 14, FALSE)</f>
        <v>1.37</v>
      </c>
      <c r="AJ555">
        <f>VLOOKUP(Table29[[#This Row],[Shortname]], Comp[], 15, FALSE)</f>
        <v>3.05</v>
      </c>
      <c r="AK555">
        <f>VLOOKUP(Table29[[#This Row],[Shortname]], Comp[], 16, FALSE)</f>
        <v>0</v>
      </c>
      <c r="AL555">
        <f>VLOOKUP(Table29[[#This Row],[Shortname]], Comp[], 17, FALSE)</f>
        <v>0</v>
      </c>
      <c r="AM555">
        <f>VLOOKUP(Table29[[#This Row],[Shortname]], Comp[], 18, FALSE)</f>
        <v>0</v>
      </c>
      <c r="AN555">
        <f>VLOOKUP(Table29[[#This Row],[Shortname]], Comp[], 19, FALSE)</f>
        <v>0.08</v>
      </c>
      <c r="AO555">
        <f>VLOOKUP(Table29[[#This Row],[Shortname]], Comp[], 20, FALSE)</f>
        <v>0</v>
      </c>
      <c r="AP555">
        <f>VLOOKUP(Table29[[#This Row],[Shortname]], Comp[], 21, FALSE)</f>
        <v>0</v>
      </c>
      <c r="AQ555">
        <f>VLOOKUP(Table29[[#This Row],[Shortname]], Comp[], 22, FALSE)</f>
        <v>0</v>
      </c>
      <c r="AR555">
        <f>VLOOKUP(Table29[[#This Row],[Shortname]], Comp[], 23, FALSE)</f>
        <v>0</v>
      </c>
      <c r="AS555">
        <f>VLOOKUP(Table29[[#This Row],[Shortname]], Comp[], 24, FALSE)</f>
        <v>0</v>
      </c>
      <c r="AT555">
        <f>VLOOKUP(Table29[[#This Row],[Shortname]], Comp[], 25, FALSE)</f>
        <v>0</v>
      </c>
      <c r="AU555">
        <f>VLOOKUP(Table29[[#This Row],[Shortname]], Comp[], 26, FALSE)</f>
        <v>0</v>
      </c>
      <c r="AV555">
        <f>VLOOKUP(Table29[[#This Row],[Shortname]], Comp[], 27, FALSE)</f>
        <v>0</v>
      </c>
      <c r="AW555">
        <f>VLOOKUP(Table29[[#This Row],[Shortname]], Comp[], 28, FALSE)</f>
        <v>0</v>
      </c>
      <c r="AX555">
        <f>VLOOKUP(Table29[[#This Row],[Shortname]], Comp[], 29, FALSE)</f>
        <v>0</v>
      </c>
      <c r="AY555">
        <f>VLOOKUP(Table29[[#This Row],[Shortname]], Comp[], 30, FALSE)</f>
        <v>0</v>
      </c>
      <c r="AZ555">
        <f>VLOOKUP(Table29[[#This Row],[Shortname]], Comp[], 31, FALSE)</f>
        <v>0</v>
      </c>
    </row>
    <row r="556" spans="1:52" x14ac:dyDescent="0.3">
      <c r="A556" t="s">
        <v>6481</v>
      </c>
      <c r="F556" t="s">
        <v>6482</v>
      </c>
      <c r="G556" t="s">
        <v>6478</v>
      </c>
      <c r="H556">
        <v>555</v>
      </c>
      <c r="I556">
        <v>1.0900000000000001E-4</v>
      </c>
      <c r="J556">
        <f>0.01/Table29[[#This Row],[Strain Rate (min) /s]]</f>
        <v>91.743119266055047</v>
      </c>
      <c r="K556">
        <f>LOG(Table29[[#This Row],[Time to 1% strain (s)]])</f>
        <v>1.9625735020593764</v>
      </c>
      <c r="L556">
        <v>850</v>
      </c>
      <c r="P556" t="s">
        <v>7235</v>
      </c>
      <c r="Q556">
        <v>1200</v>
      </c>
      <c r="R556">
        <v>48</v>
      </c>
      <c r="S556">
        <v>850</v>
      </c>
      <c r="T556">
        <v>168</v>
      </c>
      <c r="W556">
        <v>1</v>
      </c>
      <c r="X556">
        <v>10</v>
      </c>
      <c r="Y556">
        <v>37</v>
      </c>
      <c r="AA556">
        <f>VLOOKUP(Table29[[#This Row],[Shortname]], Comp[], 6, FALSE)</f>
        <v>1083</v>
      </c>
      <c r="AB556" s="14">
        <f>VLOOKUP(Table29[[#This Row],[Shortname]], Comp[], 7, FALSE)</f>
        <v>63.180000000000007</v>
      </c>
      <c r="AC556">
        <f>VLOOKUP(Table29[[#This Row],[Shortname]], Comp[], 8, FALSE)</f>
        <v>19.43</v>
      </c>
      <c r="AD556">
        <f>VLOOKUP(Table29[[#This Row],[Shortname]], Comp[], 9, FALSE)</f>
        <v>5.13</v>
      </c>
      <c r="AE556">
        <f>VLOOKUP(Table29[[#This Row],[Shortname]], Comp[], 10, FALSE)</f>
        <v>4.1100000000000003</v>
      </c>
      <c r="AF556">
        <f>VLOOKUP(Table29[[#This Row],[Shortname]], Comp[], 11, FALSE)</f>
        <v>0</v>
      </c>
      <c r="AG556">
        <f>VLOOKUP(Table29[[#This Row],[Shortname]], Comp[],12, FALSE)</f>
        <v>2.06</v>
      </c>
      <c r="AH556">
        <f>VLOOKUP(Table29[[#This Row],[Shortname]], Comp[], 13, FALSE)</f>
        <v>1.59</v>
      </c>
      <c r="AI556">
        <f>VLOOKUP(Table29[[#This Row],[Shortname]], Comp[], 14, FALSE)</f>
        <v>1.37</v>
      </c>
      <c r="AJ556">
        <f>VLOOKUP(Table29[[#This Row],[Shortname]], Comp[], 15, FALSE)</f>
        <v>3.05</v>
      </c>
      <c r="AK556">
        <f>VLOOKUP(Table29[[#This Row],[Shortname]], Comp[], 16, FALSE)</f>
        <v>0</v>
      </c>
      <c r="AL556">
        <f>VLOOKUP(Table29[[#This Row],[Shortname]], Comp[], 17, FALSE)</f>
        <v>0</v>
      </c>
      <c r="AM556">
        <f>VLOOKUP(Table29[[#This Row],[Shortname]], Comp[], 18, FALSE)</f>
        <v>0</v>
      </c>
      <c r="AN556">
        <f>VLOOKUP(Table29[[#This Row],[Shortname]], Comp[], 19, FALSE)</f>
        <v>0.08</v>
      </c>
      <c r="AO556">
        <f>VLOOKUP(Table29[[#This Row],[Shortname]], Comp[], 20, FALSE)</f>
        <v>0</v>
      </c>
      <c r="AP556">
        <f>VLOOKUP(Table29[[#This Row],[Shortname]], Comp[], 21, FALSE)</f>
        <v>0</v>
      </c>
      <c r="AQ556">
        <f>VLOOKUP(Table29[[#This Row],[Shortname]], Comp[], 22, FALSE)</f>
        <v>0</v>
      </c>
      <c r="AR556">
        <f>VLOOKUP(Table29[[#This Row],[Shortname]], Comp[], 23, FALSE)</f>
        <v>0</v>
      </c>
      <c r="AS556">
        <f>VLOOKUP(Table29[[#This Row],[Shortname]], Comp[], 24, FALSE)</f>
        <v>0</v>
      </c>
      <c r="AT556">
        <f>VLOOKUP(Table29[[#This Row],[Shortname]], Comp[], 25, FALSE)</f>
        <v>0</v>
      </c>
      <c r="AU556">
        <f>VLOOKUP(Table29[[#This Row],[Shortname]], Comp[], 26, FALSE)</f>
        <v>0</v>
      </c>
      <c r="AV556">
        <f>VLOOKUP(Table29[[#This Row],[Shortname]], Comp[], 27, FALSE)</f>
        <v>0</v>
      </c>
      <c r="AW556">
        <f>VLOOKUP(Table29[[#This Row],[Shortname]], Comp[], 28, FALSE)</f>
        <v>0</v>
      </c>
      <c r="AX556">
        <f>VLOOKUP(Table29[[#This Row],[Shortname]], Comp[], 29, FALSE)</f>
        <v>0</v>
      </c>
      <c r="AY556">
        <f>VLOOKUP(Table29[[#This Row],[Shortname]], Comp[], 30, FALSE)</f>
        <v>0</v>
      </c>
      <c r="AZ556">
        <f>VLOOKUP(Table29[[#This Row],[Shortname]], Comp[], 31, FALSE)</f>
        <v>0</v>
      </c>
    </row>
    <row r="557" spans="1:52" x14ac:dyDescent="0.3">
      <c r="A557" t="s">
        <v>6486</v>
      </c>
      <c r="F557" t="s">
        <v>6487</v>
      </c>
      <c r="G557" t="s">
        <v>6478</v>
      </c>
      <c r="H557">
        <v>246.8</v>
      </c>
      <c r="I557">
        <v>4.8400000000000003E-8</v>
      </c>
      <c r="J557">
        <f>0.01/Table29[[#This Row],[Strain Rate (min) /s]]</f>
        <v>206611.57024793388</v>
      </c>
      <c r="K557">
        <f>LOG(Table29[[#This Row],[Time to 1% strain (s)]])</f>
        <v>5.3151546383555877</v>
      </c>
      <c r="L557">
        <v>850</v>
      </c>
      <c r="P557" t="s">
        <v>7236</v>
      </c>
      <c r="Q557">
        <v>1200</v>
      </c>
      <c r="R557">
        <v>48</v>
      </c>
      <c r="S557">
        <v>850</v>
      </c>
      <c r="T557">
        <v>168</v>
      </c>
      <c r="W557">
        <v>1</v>
      </c>
      <c r="X557">
        <v>10</v>
      </c>
      <c r="Y557">
        <v>49</v>
      </c>
      <c r="AA557">
        <f>VLOOKUP(Table29[[#This Row],[Shortname]], Comp[], 6, FALSE)</f>
        <v>1084</v>
      </c>
      <c r="AB557" s="14">
        <f>VLOOKUP(Table29[[#This Row],[Shortname]], Comp[], 7, FALSE)</f>
        <v>52.580000000000005</v>
      </c>
      <c r="AC557">
        <f>VLOOKUP(Table29[[#This Row],[Shortname]], Comp[], 8, FALSE)</f>
        <v>29.36</v>
      </c>
      <c r="AD557">
        <f>VLOOKUP(Table29[[#This Row],[Shortname]], Comp[], 9, FALSE)</f>
        <v>5.44</v>
      </c>
      <c r="AE557">
        <f>VLOOKUP(Table29[[#This Row],[Shortname]], Comp[], 10, FALSE)</f>
        <v>4.07</v>
      </c>
      <c r="AF557">
        <f>VLOOKUP(Table29[[#This Row],[Shortname]], Comp[], 11, FALSE)</f>
        <v>0</v>
      </c>
      <c r="AG557">
        <f>VLOOKUP(Table29[[#This Row],[Shortname]], Comp[],12, FALSE)</f>
        <v>2.27</v>
      </c>
      <c r="AH557">
        <f>VLOOKUP(Table29[[#This Row],[Shortname]], Comp[], 13, FALSE)</f>
        <v>1.69</v>
      </c>
      <c r="AI557">
        <f>VLOOKUP(Table29[[#This Row],[Shortname]], Comp[], 14, FALSE)</f>
        <v>1.37</v>
      </c>
      <c r="AJ557">
        <f>VLOOKUP(Table29[[#This Row],[Shortname]], Comp[], 15, FALSE)</f>
        <v>3.14</v>
      </c>
      <c r="AK557">
        <f>VLOOKUP(Table29[[#This Row],[Shortname]], Comp[], 16, FALSE)</f>
        <v>0</v>
      </c>
      <c r="AL557">
        <f>VLOOKUP(Table29[[#This Row],[Shortname]], Comp[], 17, FALSE)</f>
        <v>0</v>
      </c>
      <c r="AM557">
        <f>VLOOKUP(Table29[[#This Row],[Shortname]], Comp[], 18, FALSE)</f>
        <v>0</v>
      </c>
      <c r="AN557">
        <f>VLOOKUP(Table29[[#This Row],[Shortname]], Comp[], 19, FALSE)</f>
        <v>0.08</v>
      </c>
      <c r="AO557">
        <f>VLOOKUP(Table29[[#This Row],[Shortname]], Comp[], 20, FALSE)</f>
        <v>0</v>
      </c>
      <c r="AP557">
        <f>VLOOKUP(Table29[[#This Row],[Shortname]], Comp[], 21, FALSE)</f>
        <v>0</v>
      </c>
      <c r="AQ557">
        <f>VLOOKUP(Table29[[#This Row],[Shortname]], Comp[], 22, FALSE)</f>
        <v>0</v>
      </c>
      <c r="AR557">
        <f>VLOOKUP(Table29[[#This Row],[Shortname]], Comp[], 23, FALSE)</f>
        <v>0</v>
      </c>
      <c r="AS557">
        <f>VLOOKUP(Table29[[#This Row],[Shortname]], Comp[], 24, FALSE)</f>
        <v>0</v>
      </c>
      <c r="AT557">
        <f>VLOOKUP(Table29[[#This Row],[Shortname]], Comp[], 25, FALSE)</f>
        <v>0</v>
      </c>
      <c r="AU557">
        <f>VLOOKUP(Table29[[#This Row],[Shortname]], Comp[], 26, FALSE)</f>
        <v>0</v>
      </c>
      <c r="AV557">
        <f>VLOOKUP(Table29[[#This Row],[Shortname]], Comp[], 27, FALSE)</f>
        <v>0</v>
      </c>
      <c r="AW557">
        <f>VLOOKUP(Table29[[#This Row],[Shortname]], Comp[], 28, FALSE)</f>
        <v>0</v>
      </c>
      <c r="AX557">
        <f>VLOOKUP(Table29[[#This Row],[Shortname]], Comp[], 29, FALSE)</f>
        <v>0</v>
      </c>
      <c r="AY557">
        <f>VLOOKUP(Table29[[#This Row],[Shortname]], Comp[], 30, FALSE)</f>
        <v>0</v>
      </c>
      <c r="AZ557">
        <f>VLOOKUP(Table29[[#This Row],[Shortname]], Comp[], 31, FALSE)</f>
        <v>0</v>
      </c>
    </row>
    <row r="558" spans="1:52" x14ac:dyDescent="0.3">
      <c r="A558" t="s">
        <v>6486</v>
      </c>
      <c r="F558" t="s">
        <v>6487</v>
      </c>
      <c r="G558" t="s">
        <v>6478</v>
      </c>
      <c r="H558">
        <v>267.5</v>
      </c>
      <c r="I558">
        <v>6.1700000000000003E-8</v>
      </c>
      <c r="J558">
        <f>0.01/Table29[[#This Row],[Strain Rate (min) /s]]</f>
        <v>162074.55429497568</v>
      </c>
      <c r="K558">
        <f>LOG(Table29[[#This Row],[Time to 1% strain (s)]])</f>
        <v>5.209714835966758</v>
      </c>
      <c r="L558">
        <v>850</v>
      </c>
      <c r="P558" t="s">
        <v>7236</v>
      </c>
      <c r="Q558">
        <v>1200</v>
      </c>
      <c r="R558">
        <v>48</v>
      </c>
      <c r="S558">
        <v>850</v>
      </c>
      <c r="T558">
        <v>168</v>
      </c>
      <c r="W558">
        <v>1</v>
      </c>
      <c r="X558">
        <v>10</v>
      </c>
      <c r="Y558">
        <v>49</v>
      </c>
      <c r="AA558">
        <f>VLOOKUP(Table29[[#This Row],[Shortname]], Comp[], 6, FALSE)</f>
        <v>1084</v>
      </c>
      <c r="AB558" s="14">
        <f>VLOOKUP(Table29[[#This Row],[Shortname]], Comp[], 7, FALSE)</f>
        <v>52.580000000000005</v>
      </c>
      <c r="AC558">
        <f>VLOOKUP(Table29[[#This Row],[Shortname]], Comp[], 8, FALSE)</f>
        <v>29.36</v>
      </c>
      <c r="AD558">
        <f>VLOOKUP(Table29[[#This Row],[Shortname]], Comp[], 9, FALSE)</f>
        <v>5.44</v>
      </c>
      <c r="AE558">
        <f>VLOOKUP(Table29[[#This Row],[Shortname]], Comp[], 10, FALSE)</f>
        <v>4.07</v>
      </c>
      <c r="AF558">
        <f>VLOOKUP(Table29[[#This Row],[Shortname]], Comp[], 11, FALSE)</f>
        <v>0</v>
      </c>
      <c r="AG558">
        <f>VLOOKUP(Table29[[#This Row],[Shortname]], Comp[],12, FALSE)</f>
        <v>2.27</v>
      </c>
      <c r="AH558">
        <f>VLOOKUP(Table29[[#This Row],[Shortname]], Comp[], 13, FALSE)</f>
        <v>1.69</v>
      </c>
      <c r="AI558">
        <f>VLOOKUP(Table29[[#This Row],[Shortname]], Comp[], 14, FALSE)</f>
        <v>1.37</v>
      </c>
      <c r="AJ558">
        <f>VLOOKUP(Table29[[#This Row],[Shortname]], Comp[], 15, FALSE)</f>
        <v>3.14</v>
      </c>
      <c r="AK558">
        <f>VLOOKUP(Table29[[#This Row],[Shortname]], Comp[], 16, FALSE)</f>
        <v>0</v>
      </c>
      <c r="AL558">
        <f>VLOOKUP(Table29[[#This Row],[Shortname]], Comp[], 17, FALSE)</f>
        <v>0</v>
      </c>
      <c r="AM558">
        <f>VLOOKUP(Table29[[#This Row],[Shortname]], Comp[], 18, FALSE)</f>
        <v>0</v>
      </c>
      <c r="AN558">
        <f>VLOOKUP(Table29[[#This Row],[Shortname]], Comp[], 19, FALSE)</f>
        <v>0.08</v>
      </c>
      <c r="AO558">
        <f>VLOOKUP(Table29[[#This Row],[Shortname]], Comp[], 20, FALSE)</f>
        <v>0</v>
      </c>
      <c r="AP558">
        <f>VLOOKUP(Table29[[#This Row],[Shortname]], Comp[], 21, FALSE)</f>
        <v>0</v>
      </c>
      <c r="AQ558">
        <f>VLOOKUP(Table29[[#This Row],[Shortname]], Comp[], 22, FALSE)</f>
        <v>0</v>
      </c>
      <c r="AR558">
        <f>VLOOKUP(Table29[[#This Row],[Shortname]], Comp[], 23, FALSE)</f>
        <v>0</v>
      </c>
      <c r="AS558">
        <f>VLOOKUP(Table29[[#This Row],[Shortname]], Comp[], 24, FALSE)</f>
        <v>0</v>
      </c>
      <c r="AT558">
        <f>VLOOKUP(Table29[[#This Row],[Shortname]], Comp[], 25, FALSE)</f>
        <v>0</v>
      </c>
      <c r="AU558">
        <f>VLOOKUP(Table29[[#This Row],[Shortname]], Comp[], 26, FALSE)</f>
        <v>0</v>
      </c>
      <c r="AV558">
        <f>VLOOKUP(Table29[[#This Row],[Shortname]], Comp[], 27, FALSE)</f>
        <v>0</v>
      </c>
      <c r="AW558">
        <f>VLOOKUP(Table29[[#This Row],[Shortname]], Comp[], 28, FALSE)</f>
        <v>0</v>
      </c>
      <c r="AX558">
        <f>VLOOKUP(Table29[[#This Row],[Shortname]], Comp[], 29, FALSE)</f>
        <v>0</v>
      </c>
      <c r="AY558">
        <f>VLOOKUP(Table29[[#This Row],[Shortname]], Comp[], 30, FALSE)</f>
        <v>0</v>
      </c>
      <c r="AZ558">
        <f>VLOOKUP(Table29[[#This Row],[Shortname]], Comp[], 31, FALSE)</f>
        <v>0</v>
      </c>
    </row>
    <row r="559" spans="1:52" x14ac:dyDescent="0.3">
      <c r="A559" t="s">
        <v>6486</v>
      </c>
      <c r="F559" t="s">
        <v>6487</v>
      </c>
      <c r="G559" t="s">
        <v>6478</v>
      </c>
      <c r="H559">
        <v>292</v>
      </c>
      <c r="I559">
        <v>1.06E-7</v>
      </c>
      <c r="J559">
        <f>0.01/Table29[[#This Row],[Strain Rate (min) /s]]</f>
        <v>94339.622641509442</v>
      </c>
      <c r="K559">
        <f>LOG(Table29[[#This Row],[Time to 1% strain (s)]])</f>
        <v>4.9746941347352296</v>
      </c>
      <c r="L559">
        <v>850</v>
      </c>
      <c r="P559" t="s">
        <v>7236</v>
      </c>
      <c r="Q559">
        <v>1200</v>
      </c>
      <c r="R559">
        <v>48</v>
      </c>
      <c r="S559">
        <v>850</v>
      </c>
      <c r="T559">
        <v>168</v>
      </c>
      <c r="W559">
        <v>1</v>
      </c>
      <c r="X559">
        <v>10</v>
      </c>
      <c r="Y559">
        <v>49</v>
      </c>
      <c r="AA559">
        <f>VLOOKUP(Table29[[#This Row],[Shortname]], Comp[], 6, FALSE)</f>
        <v>1084</v>
      </c>
      <c r="AB559" s="14">
        <f>VLOOKUP(Table29[[#This Row],[Shortname]], Comp[], 7, FALSE)</f>
        <v>52.580000000000005</v>
      </c>
      <c r="AC559">
        <f>VLOOKUP(Table29[[#This Row],[Shortname]], Comp[], 8, FALSE)</f>
        <v>29.36</v>
      </c>
      <c r="AD559">
        <f>VLOOKUP(Table29[[#This Row],[Shortname]], Comp[], 9, FALSE)</f>
        <v>5.44</v>
      </c>
      <c r="AE559">
        <f>VLOOKUP(Table29[[#This Row],[Shortname]], Comp[], 10, FALSE)</f>
        <v>4.07</v>
      </c>
      <c r="AF559">
        <f>VLOOKUP(Table29[[#This Row],[Shortname]], Comp[], 11, FALSE)</f>
        <v>0</v>
      </c>
      <c r="AG559">
        <f>VLOOKUP(Table29[[#This Row],[Shortname]], Comp[],12, FALSE)</f>
        <v>2.27</v>
      </c>
      <c r="AH559">
        <f>VLOOKUP(Table29[[#This Row],[Shortname]], Comp[], 13, FALSE)</f>
        <v>1.69</v>
      </c>
      <c r="AI559">
        <f>VLOOKUP(Table29[[#This Row],[Shortname]], Comp[], 14, FALSE)</f>
        <v>1.37</v>
      </c>
      <c r="AJ559">
        <f>VLOOKUP(Table29[[#This Row],[Shortname]], Comp[], 15, FALSE)</f>
        <v>3.14</v>
      </c>
      <c r="AK559">
        <f>VLOOKUP(Table29[[#This Row],[Shortname]], Comp[], 16, FALSE)</f>
        <v>0</v>
      </c>
      <c r="AL559">
        <f>VLOOKUP(Table29[[#This Row],[Shortname]], Comp[], 17, FALSE)</f>
        <v>0</v>
      </c>
      <c r="AM559">
        <f>VLOOKUP(Table29[[#This Row],[Shortname]], Comp[], 18, FALSE)</f>
        <v>0</v>
      </c>
      <c r="AN559">
        <f>VLOOKUP(Table29[[#This Row],[Shortname]], Comp[], 19, FALSE)</f>
        <v>0.08</v>
      </c>
      <c r="AO559">
        <f>VLOOKUP(Table29[[#This Row],[Shortname]], Comp[], 20, FALSE)</f>
        <v>0</v>
      </c>
      <c r="AP559">
        <f>VLOOKUP(Table29[[#This Row],[Shortname]], Comp[], 21, FALSE)</f>
        <v>0</v>
      </c>
      <c r="AQ559">
        <f>VLOOKUP(Table29[[#This Row],[Shortname]], Comp[], 22, FALSE)</f>
        <v>0</v>
      </c>
      <c r="AR559">
        <f>VLOOKUP(Table29[[#This Row],[Shortname]], Comp[], 23, FALSE)</f>
        <v>0</v>
      </c>
      <c r="AS559">
        <f>VLOOKUP(Table29[[#This Row],[Shortname]], Comp[], 24, FALSE)</f>
        <v>0</v>
      </c>
      <c r="AT559">
        <f>VLOOKUP(Table29[[#This Row],[Shortname]], Comp[], 25, FALSE)</f>
        <v>0</v>
      </c>
      <c r="AU559">
        <f>VLOOKUP(Table29[[#This Row],[Shortname]], Comp[], 26, FALSE)</f>
        <v>0</v>
      </c>
      <c r="AV559">
        <f>VLOOKUP(Table29[[#This Row],[Shortname]], Comp[], 27, FALSE)</f>
        <v>0</v>
      </c>
      <c r="AW559">
        <f>VLOOKUP(Table29[[#This Row],[Shortname]], Comp[], 28, FALSE)</f>
        <v>0</v>
      </c>
      <c r="AX559">
        <f>VLOOKUP(Table29[[#This Row],[Shortname]], Comp[], 29, FALSE)</f>
        <v>0</v>
      </c>
      <c r="AY559">
        <f>VLOOKUP(Table29[[#This Row],[Shortname]], Comp[], 30, FALSE)</f>
        <v>0</v>
      </c>
      <c r="AZ559">
        <f>VLOOKUP(Table29[[#This Row],[Shortname]], Comp[], 31, FALSE)</f>
        <v>0</v>
      </c>
    </row>
    <row r="560" spans="1:52" x14ac:dyDescent="0.3">
      <c r="A560" t="s">
        <v>6486</v>
      </c>
      <c r="F560" t="s">
        <v>6487</v>
      </c>
      <c r="G560" t="s">
        <v>6478</v>
      </c>
      <c r="H560">
        <v>318.5</v>
      </c>
      <c r="I560">
        <v>2.4200000000000002E-7</v>
      </c>
      <c r="J560">
        <f>0.01/Table29[[#This Row],[Strain Rate (min) /s]]</f>
        <v>41322.314049586777</v>
      </c>
      <c r="K560">
        <f>LOG(Table29[[#This Row],[Time to 1% strain (s)]])</f>
        <v>4.6161846340195689</v>
      </c>
      <c r="L560">
        <v>850</v>
      </c>
      <c r="P560" t="s">
        <v>7236</v>
      </c>
      <c r="Q560">
        <v>1200</v>
      </c>
      <c r="R560">
        <v>48</v>
      </c>
      <c r="S560">
        <v>850</v>
      </c>
      <c r="T560">
        <v>168</v>
      </c>
      <c r="W560">
        <v>1</v>
      </c>
      <c r="X560">
        <v>10</v>
      </c>
      <c r="Y560">
        <v>49</v>
      </c>
      <c r="AA560">
        <f>VLOOKUP(Table29[[#This Row],[Shortname]], Comp[], 6, FALSE)</f>
        <v>1084</v>
      </c>
      <c r="AB560" s="14">
        <f>VLOOKUP(Table29[[#This Row],[Shortname]], Comp[], 7, FALSE)</f>
        <v>52.580000000000005</v>
      </c>
      <c r="AC560">
        <f>VLOOKUP(Table29[[#This Row],[Shortname]], Comp[], 8, FALSE)</f>
        <v>29.36</v>
      </c>
      <c r="AD560">
        <f>VLOOKUP(Table29[[#This Row],[Shortname]], Comp[], 9, FALSE)</f>
        <v>5.44</v>
      </c>
      <c r="AE560">
        <f>VLOOKUP(Table29[[#This Row],[Shortname]], Comp[], 10, FALSE)</f>
        <v>4.07</v>
      </c>
      <c r="AF560">
        <f>VLOOKUP(Table29[[#This Row],[Shortname]], Comp[], 11, FALSE)</f>
        <v>0</v>
      </c>
      <c r="AG560">
        <f>VLOOKUP(Table29[[#This Row],[Shortname]], Comp[],12, FALSE)</f>
        <v>2.27</v>
      </c>
      <c r="AH560">
        <f>VLOOKUP(Table29[[#This Row],[Shortname]], Comp[], 13, FALSE)</f>
        <v>1.69</v>
      </c>
      <c r="AI560">
        <f>VLOOKUP(Table29[[#This Row],[Shortname]], Comp[], 14, FALSE)</f>
        <v>1.37</v>
      </c>
      <c r="AJ560">
        <f>VLOOKUP(Table29[[#This Row],[Shortname]], Comp[], 15, FALSE)</f>
        <v>3.14</v>
      </c>
      <c r="AK560">
        <f>VLOOKUP(Table29[[#This Row],[Shortname]], Comp[], 16, FALSE)</f>
        <v>0</v>
      </c>
      <c r="AL560">
        <f>VLOOKUP(Table29[[#This Row],[Shortname]], Comp[], 17, FALSE)</f>
        <v>0</v>
      </c>
      <c r="AM560">
        <f>VLOOKUP(Table29[[#This Row],[Shortname]], Comp[], 18, FALSE)</f>
        <v>0</v>
      </c>
      <c r="AN560">
        <f>VLOOKUP(Table29[[#This Row],[Shortname]], Comp[], 19, FALSE)</f>
        <v>0.08</v>
      </c>
      <c r="AO560">
        <f>VLOOKUP(Table29[[#This Row],[Shortname]], Comp[], 20, FALSE)</f>
        <v>0</v>
      </c>
      <c r="AP560">
        <f>VLOOKUP(Table29[[#This Row],[Shortname]], Comp[], 21, FALSE)</f>
        <v>0</v>
      </c>
      <c r="AQ560">
        <f>VLOOKUP(Table29[[#This Row],[Shortname]], Comp[], 22, FALSE)</f>
        <v>0</v>
      </c>
      <c r="AR560">
        <f>VLOOKUP(Table29[[#This Row],[Shortname]], Comp[], 23, FALSE)</f>
        <v>0</v>
      </c>
      <c r="AS560">
        <f>VLOOKUP(Table29[[#This Row],[Shortname]], Comp[], 24, FALSE)</f>
        <v>0</v>
      </c>
      <c r="AT560">
        <f>VLOOKUP(Table29[[#This Row],[Shortname]], Comp[], 25, FALSE)</f>
        <v>0</v>
      </c>
      <c r="AU560">
        <f>VLOOKUP(Table29[[#This Row],[Shortname]], Comp[], 26, FALSE)</f>
        <v>0</v>
      </c>
      <c r="AV560">
        <f>VLOOKUP(Table29[[#This Row],[Shortname]], Comp[], 27, FALSE)</f>
        <v>0</v>
      </c>
      <c r="AW560">
        <f>VLOOKUP(Table29[[#This Row],[Shortname]], Comp[], 28, FALSE)</f>
        <v>0</v>
      </c>
      <c r="AX560">
        <f>VLOOKUP(Table29[[#This Row],[Shortname]], Comp[], 29, FALSE)</f>
        <v>0</v>
      </c>
      <c r="AY560">
        <f>VLOOKUP(Table29[[#This Row],[Shortname]], Comp[], 30, FALSE)</f>
        <v>0</v>
      </c>
      <c r="AZ560">
        <f>VLOOKUP(Table29[[#This Row],[Shortname]], Comp[], 31, FALSE)</f>
        <v>0</v>
      </c>
    </row>
    <row r="561" spans="1:52" x14ac:dyDescent="0.3">
      <c r="A561" t="s">
        <v>6486</v>
      </c>
      <c r="F561" t="s">
        <v>6487</v>
      </c>
      <c r="G561" t="s">
        <v>6478</v>
      </c>
      <c r="H561">
        <v>347.2</v>
      </c>
      <c r="I561">
        <v>8.1900000000000001E-7</v>
      </c>
      <c r="J561">
        <f>0.01/Table29[[#This Row],[Strain Rate (min) /s]]</f>
        <v>12210.01221001221</v>
      </c>
      <c r="K561">
        <f>LOG(Table29[[#This Row],[Time to 1% strain (s)]])</f>
        <v>4.0867160982395818</v>
      </c>
      <c r="L561">
        <v>850</v>
      </c>
      <c r="P561" t="s">
        <v>7236</v>
      </c>
      <c r="Q561">
        <v>1200</v>
      </c>
      <c r="R561">
        <v>48</v>
      </c>
      <c r="S561">
        <v>850</v>
      </c>
      <c r="T561">
        <v>168</v>
      </c>
      <c r="W561">
        <v>1</v>
      </c>
      <c r="X561">
        <v>10</v>
      </c>
      <c r="Y561">
        <v>49</v>
      </c>
      <c r="AA561">
        <f>VLOOKUP(Table29[[#This Row],[Shortname]], Comp[], 6, FALSE)</f>
        <v>1084</v>
      </c>
      <c r="AB561" s="14">
        <f>VLOOKUP(Table29[[#This Row],[Shortname]], Comp[], 7, FALSE)</f>
        <v>52.580000000000005</v>
      </c>
      <c r="AC561">
        <f>VLOOKUP(Table29[[#This Row],[Shortname]], Comp[], 8, FALSE)</f>
        <v>29.36</v>
      </c>
      <c r="AD561">
        <f>VLOOKUP(Table29[[#This Row],[Shortname]], Comp[], 9, FALSE)</f>
        <v>5.44</v>
      </c>
      <c r="AE561">
        <f>VLOOKUP(Table29[[#This Row],[Shortname]], Comp[], 10, FALSE)</f>
        <v>4.07</v>
      </c>
      <c r="AF561">
        <f>VLOOKUP(Table29[[#This Row],[Shortname]], Comp[], 11, FALSE)</f>
        <v>0</v>
      </c>
      <c r="AG561">
        <f>VLOOKUP(Table29[[#This Row],[Shortname]], Comp[],12, FALSE)</f>
        <v>2.27</v>
      </c>
      <c r="AH561">
        <f>VLOOKUP(Table29[[#This Row],[Shortname]], Comp[], 13, FALSE)</f>
        <v>1.69</v>
      </c>
      <c r="AI561">
        <f>VLOOKUP(Table29[[#This Row],[Shortname]], Comp[], 14, FALSE)</f>
        <v>1.37</v>
      </c>
      <c r="AJ561">
        <f>VLOOKUP(Table29[[#This Row],[Shortname]], Comp[], 15, FALSE)</f>
        <v>3.14</v>
      </c>
      <c r="AK561">
        <f>VLOOKUP(Table29[[#This Row],[Shortname]], Comp[], 16, FALSE)</f>
        <v>0</v>
      </c>
      <c r="AL561">
        <f>VLOOKUP(Table29[[#This Row],[Shortname]], Comp[], 17, FALSE)</f>
        <v>0</v>
      </c>
      <c r="AM561">
        <f>VLOOKUP(Table29[[#This Row],[Shortname]], Comp[], 18, FALSE)</f>
        <v>0</v>
      </c>
      <c r="AN561">
        <f>VLOOKUP(Table29[[#This Row],[Shortname]], Comp[], 19, FALSE)</f>
        <v>0.08</v>
      </c>
      <c r="AO561">
        <f>VLOOKUP(Table29[[#This Row],[Shortname]], Comp[], 20, FALSE)</f>
        <v>0</v>
      </c>
      <c r="AP561">
        <f>VLOOKUP(Table29[[#This Row],[Shortname]], Comp[], 21, FALSE)</f>
        <v>0</v>
      </c>
      <c r="AQ561">
        <f>VLOOKUP(Table29[[#This Row],[Shortname]], Comp[], 22, FALSE)</f>
        <v>0</v>
      </c>
      <c r="AR561">
        <f>VLOOKUP(Table29[[#This Row],[Shortname]], Comp[], 23, FALSE)</f>
        <v>0</v>
      </c>
      <c r="AS561">
        <f>VLOOKUP(Table29[[#This Row],[Shortname]], Comp[], 24, FALSE)</f>
        <v>0</v>
      </c>
      <c r="AT561">
        <f>VLOOKUP(Table29[[#This Row],[Shortname]], Comp[], 25, FALSE)</f>
        <v>0</v>
      </c>
      <c r="AU561">
        <f>VLOOKUP(Table29[[#This Row],[Shortname]], Comp[], 26, FALSE)</f>
        <v>0</v>
      </c>
      <c r="AV561">
        <f>VLOOKUP(Table29[[#This Row],[Shortname]], Comp[], 27, FALSE)</f>
        <v>0</v>
      </c>
      <c r="AW561">
        <f>VLOOKUP(Table29[[#This Row],[Shortname]], Comp[], 28, FALSE)</f>
        <v>0</v>
      </c>
      <c r="AX561">
        <f>VLOOKUP(Table29[[#This Row],[Shortname]], Comp[], 29, FALSE)</f>
        <v>0</v>
      </c>
      <c r="AY561">
        <f>VLOOKUP(Table29[[#This Row],[Shortname]], Comp[], 30, FALSE)</f>
        <v>0</v>
      </c>
      <c r="AZ561">
        <f>VLOOKUP(Table29[[#This Row],[Shortname]], Comp[], 31, FALSE)</f>
        <v>0</v>
      </c>
    </row>
    <row r="562" spans="1:52" x14ac:dyDescent="0.3">
      <c r="A562" t="s">
        <v>6486</v>
      </c>
      <c r="F562" t="s">
        <v>6487</v>
      </c>
      <c r="G562" t="s">
        <v>6478</v>
      </c>
      <c r="H562">
        <v>382.8</v>
      </c>
      <c r="I562">
        <v>4.8799999999999999E-6</v>
      </c>
      <c r="J562">
        <f>0.01/Table29[[#This Row],[Strain Rate (min) /s]]</f>
        <v>2049.1803278688526</v>
      </c>
      <c r="K562">
        <f>LOG(Table29[[#This Row],[Time to 1% strain (s)]])</f>
        <v>3.3115801779972895</v>
      </c>
      <c r="L562">
        <v>850</v>
      </c>
      <c r="P562" t="s">
        <v>7236</v>
      </c>
      <c r="Q562">
        <v>1200</v>
      </c>
      <c r="R562">
        <v>48</v>
      </c>
      <c r="S562">
        <v>850</v>
      </c>
      <c r="T562">
        <v>168</v>
      </c>
      <c r="W562">
        <v>1</v>
      </c>
      <c r="X562">
        <v>10</v>
      </c>
      <c r="Y562">
        <v>49</v>
      </c>
      <c r="AA562">
        <f>VLOOKUP(Table29[[#This Row],[Shortname]], Comp[], 6, FALSE)</f>
        <v>1084</v>
      </c>
      <c r="AB562" s="14">
        <f>VLOOKUP(Table29[[#This Row],[Shortname]], Comp[], 7, FALSE)</f>
        <v>52.580000000000005</v>
      </c>
      <c r="AC562">
        <f>VLOOKUP(Table29[[#This Row],[Shortname]], Comp[], 8, FALSE)</f>
        <v>29.36</v>
      </c>
      <c r="AD562">
        <f>VLOOKUP(Table29[[#This Row],[Shortname]], Comp[], 9, FALSE)</f>
        <v>5.44</v>
      </c>
      <c r="AE562">
        <f>VLOOKUP(Table29[[#This Row],[Shortname]], Comp[], 10, FALSE)</f>
        <v>4.07</v>
      </c>
      <c r="AF562">
        <f>VLOOKUP(Table29[[#This Row],[Shortname]], Comp[], 11, FALSE)</f>
        <v>0</v>
      </c>
      <c r="AG562">
        <f>VLOOKUP(Table29[[#This Row],[Shortname]], Comp[],12, FALSE)</f>
        <v>2.27</v>
      </c>
      <c r="AH562">
        <f>VLOOKUP(Table29[[#This Row],[Shortname]], Comp[], 13, FALSE)</f>
        <v>1.69</v>
      </c>
      <c r="AI562">
        <f>VLOOKUP(Table29[[#This Row],[Shortname]], Comp[], 14, FALSE)</f>
        <v>1.37</v>
      </c>
      <c r="AJ562">
        <f>VLOOKUP(Table29[[#This Row],[Shortname]], Comp[], 15, FALSE)</f>
        <v>3.14</v>
      </c>
      <c r="AK562">
        <f>VLOOKUP(Table29[[#This Row],[Shortname]], Comp[], 16, FALSE)</f>
        <v>0</v>
      </c>
      <c r="AL562">
        <f>VLOOKUP(Table29[[#This Row],[Shortname]], Comp[], 17, FALSE)</f>
        <v>0</v>
      </c>
      <c r="AM562">
        <f>VLOOKUP(Table29[[#This Row],[Shortname]], Comp[], 18, FALSE)</f>
        <v>0</v>
      </c>
      <c r="AN562">
        <f>VLOOKUP(Table29[[#This Row],[Shortname]], Comp[], 19, FALSE)</f>
        <v>0.08</v>
      </c>
      <c r="AO562">
        <f>VLOOKUP(Table29[[#This Row],[Shortname]], Comp[], 20, FALSE)</f>
        <v>0</v>
      </c>
      <c r="AP562">
        <f>VLOOKUP(Table29[[#This Row],[Shortname]], Comp[], 21, FALSE)</f>
        <v>0</v>
      </c>
      <c r="AQ562">
        <f>VLOOKUP(Table29[[#This Row],[Shortname]], Comp[], 22, FALSE)</f>
        <v>0</v>
      </c>
      <c r="AR562">
        <f>VLOOKUP(Table29[[#This Row],[Shortname]], Comp[], 23, FALSE)</f>
        <v>0</v>
      </c>
      <c r="AS562">
        <f>VLOOKUP(Table29[[#This Row],[Shortname]], Comp[], 24, FALSE)</f>
        <v>0</v>
      </c>
      <c r="AT562">
        <f>VLOOKUP(Table29[[#This Row],[Shortname]], Comp[], 25, FALSE)</f>
        <v>0</v>
      </c>
      <c r="AU562">
        <f>VLOOKUP(Table29[[#This Row],[Shortname]], Comp[], 26, FALSE)</f>
        <v>0</v>
      </c>
      <c r="AV562">
        <f>VLOOKUP(Table29[[#This Row],[Shortname]], Comp[], 27, FALSE)</f>
        <v>0</v>
      </c>
      <c r="AW562">
        <f>VLOOKUP(Table29[[#This Row],[Shortname]], Comp[], 28, FALSE)</f>
        <v>0</v>
      </c>
      <c r="AX562">
        <f>VLOOKUP(Table29[[#This Row],[Shortname]], Comp[], 29, FALSE)</f>
        <v>0</v>
      </c>
      <c r="AY562">
        <f>VLOOKUP(Table29[[#This Row],[Shortname]], Comp[], 30, FALSE)</f>
        <v>0</v>
      </c>
      <c r="AZ562">
        <f>VLOOKUP(Table29[[#This Row],[Shortname]], Comp[], 31, FALSE)</f>
        <v>0</v>
      </c>
    </row>
    <row r="563" spans="1:52" x14ac:dyDescent="0.3">
      <c r="A563" t="s">
        <v>6486</v>
      </c>
      <c r="F563" t="s">
        <v>6487</v>
      </c>
      <c r="G563" t="s">
        <v>6478</v>
      </c>
      <c r="H563">
        <v>426.7</v>
      </c>
      <c r="I563">
        <v>3.01E-5</v>
      </c>
      <c r="J563">
        <f>0.01/Table29[[#This Row],[Strain Rate (min) /s]]</f>
        <v>332.22591362126246</v>
      </c>
      <c r="K563">
        <f>LOG(Table29[[#This Row],[Time to 1% strain (s)]])</f>
        <v>2.5214335044061564</v>
      </c>
      <c r="L563">
        <v>850</v>
      </c>
      <c r="P563" t="s">
        <v>7236</v>
      </c>
      <c r="Q563">
        <v>1200</v>
      </c>
      <c r="R563">
        <v>48</v>
      </c>
      <c r="S563">
        <v>850</v>
      </c>
      <c r="T563">
        <v>168</v>
      </c>
      <c r="W563">
        <v>1</v>
      </c>
      <c r="X563">
        <v>10</v>
      </c>
      <c r="Y563">
        <v>49</v>
      </c>
      <c r="AA563">
        <f>VLOOKUP(Table29[[#This Row],[Shortname]], Comp[], 6, FALSE)</f>
        <v>1084</v>
      </c>
      <c r="AB563" s="14">
        <f>VLOOKUP(Table29[[#This Row],[Shortname]], Comp[], 7, FALSE)</f>
        <v>52.580000000000005</v>
      </c>
      <c r="AC563">
        <f>VLOOKUP(Table29[[#This Row],[Shortname]], Comp[], 8, FALSE)</f>
        <v>29.36</v>
      </c>
      <c r="AD563">
        <f>VLOOKUP(Table29[[#This Row],[Shortname]], Comp[], 9, FALSE)</f>
        <v>5.44</v>
      </c>
      <c r="AE563">
        <f>VLOOKUP(Table29[[#This Row],[Shortname]], Comp[], 10, FALSE)</f>
        <v>4.07</v>
      </c>
      <c r="AF563">
        <f>VLOOKUP(Table29[[#This Row],[Shortname]], Comp[], 11, FALSE)</f>
        <v>0</v>
      </c>
      <c r="AG563">
        <f>VLOOKUP(Table29[[#This Row],[Shortname]], Comp[],12, FALSE)</f>
        <v>2.27</v>
      </c>
      <c r="AH563">
        <f>VLOOKUP(Table29[[#This Row],[Shortname]], Comp[], 13, FALSE)</f>
        <v>1.69</v>
      </c>
      <c r="AI563">
        <f>VLOOKUP(Table29[[#This Row],[Shortname]], Comp[], 14, FALSE)</f>
        <v>1.37</v>
      </c>
      <c r="AJ563">
        <f>VLOOKUP(Table29[[#This Row],[Shortname]], Comp[], 15, FALSE)</f>
        <v>3.14</v>
      </c>
      <c r="AK563">
        <f>VLOOKUP(Table29[[#This Row],[Shortname]], Comp[], 16, FALSE)</f>
        <v>0</v>
      </c>
      <c r="AL563">
        <f>VLOOKUP(Table29[[#This Row],[Shortname]], Comp[], 17, FALSE)</f>
        <v>0</v>
      </c>
      <c r="AM563">
        <f>VLOOKUP(Table29[[#This Row],[Shortname]], Comp[], 18, FALSE)</f>
        <v>0</v>
      </c>
      <c r="AN563">
        <f>VLOOKUP(Table29[[#This Row],[Shortname]], Comp[], 19, FALSE)</f>
        <v>0.08</v>
      </c>
      <c r="AO563">
        <f>VLOOKUP(Table29[[#This Row],[Shortname]], Comp[], 20, FALSE)</f>
        <v>0</v>
      </c>
      <c r="AP563">
        <f>VLOOKUP(Table29[[#This Row],[Shortname]], Comp[], 21, FALSE)</f>
        <v>0</v>
      </c>
      <c r="AQ563">
        <f>VLOOKUP(Table29[[#This Row],[Shortname]], Comp[], 22, FALSE)</f>
        <v>0</v>
      </c>
      <c r="AR563">
        <f>VLOOKUP(Table29[[#This Row],[Shortname]], Comp[], 23, FALSE)</f>
        <v>0</v>
      </c>
      <c r="AS563">
        <f>VLOOKUP(Table29[[#This Row],[Shortname]], Comp[], 24, FALSE)</f>
        <v>0</v>
      </c>
      <c r="AT563">
        <f>VLOOKUP(Table29[[#This Row],[Shortname]], Comp[], 25, FALSE)</f>
        <v>0</v>
      </c>
      <c r="AU563">
        <f>VLOOKUP(Table29[[#This Row],[Shortname]], Comp[], 26, FALSE)</f>
        <v>0</v>
      </c>
      <c r="AV563">
        <f>VLOOKUP(Table29[[#This Row],[Shortname]], Comp[], 27, FALSE)</f>
        <v>0</v>
      </c>
      <c r="AW563">
        <f>VLOOKUP(Table29[[#This Row],[Shortname]], Comp[], 28, FALSE)</f>
        <v>0</v>
      </c>
      <c r="AX563">
        <f>VLOOKUP(Table29[[#This Row],[Shortname]], Comp[], 29, FALSE)</f>
        <v>0</v>
      </c>
      <c r="AY563">
        <f>VLOOKUP(Table29[[#This Row],[Shortname]], Comp[], 30, FALSE)</f>
        <v>0</v>
      </c>
      <c r="AZ563">
        <f>VLOOKUP(Table29[[#This Row],[Shortname]], Comp[], 31, FALSE)</f>
        <v>0</v>
      </c>
    </row>
    <row r="564" spans="1:52" x14ac:dyDescent="0.3">
      <c r="A564" t="s">
        <v>6490</v>
      </c>
      <c r="F564" t="s">
        <v>6491</v>
      </c>
      <c r="G564" t="s">
        <v>6478</v>
      </c>
      <c r="H564">
        <v>224</v>
      </c>
      <c r="I564">
        <v>5.3599999999999997E-8</v>
      </c>
      <c r="J564">
        <f>0.01/Table29[[#This Row],[Strain Rate (min) /s]]</f>
        <v>186567.1641791045</v>
      </c>
      <c r="K564">
        <f>LOG(Table29[[#This Row],[Time to 1% strain (s)]])</f>
        <v>5.2708352103072302</v>
      </c>
      <c r="L564">
        <v>850</v>
      </c>
      <c r="P564" t="s">
        <v>7237</v>
      </c>
      <c r="Q564">
        <v>1200</v>
      </c>
      <c r="R564">
        <v>48</v>
      </c>
      <c r="S564">
        <v>850</v>
      </c>
      <c r="T564">
        <v>168</v>
      </c>
      <c r="W564">
        <v>1</v>
      </c>
      <c r="X564">
        <v>10</v>
      </c>
      <c r="Y564">
        <v>44</v>
      </c>
      <c r="AA564">
        <f>VLOOKUP(Table29[[#This Row],[Shortname]], Comp[], 6, FALSE)</f>
        <v>1085</v>
      </c>
      <c r="AB564" s="14">
        <f>VLOOKUP(Table29[[#This Row],[Shortname]], Comp[], 7, FALSE)</f>
        <v>68.84</v>
      </c>
      <c r="AC564">
        <f>VLOOKUP(Table29[[#This Row],[Shortname]], Comp[], 8, FALSE)</f>
        <v>9.74</v>
      </c>
      <c r="AD564">
        <f>VLOOKUP(Table29[[#This Row],[Shortname]], Comp[], 9, FALSE)</f>
        <v>5.04</v>
      </c>
      <c r="AE564">
        <f>VLOOKUP(Table29[[#This Row],[Shortname]], Comp[], 10, FALSE)</f>
        <v>8.2200000000000006</v>
      </c>
      <c r="AF564">
        <f>VLOOKUP(Table29[[#This Row],[Shortname]], Comp[], 11, FALSE)</f>
        <v>0</v>
      </c>
      <c r="AG564">
        <f>VLOOKUP(Table29[[#This Row],[Shortname]], Comp[],12, FALSE)</f>
        <v>2.0699999999999998</v>
      </c>
      <c r="AH564">
        <f>VLOOKUP(Table29[[#This Row],[Shortname]], Comp[], 13, FALSE)</f>
        <v>1.58</v>
      </c>
      <c r="AI564">
        <f>VLOOKUP(Table29[[#This Row],[Shortname]], Comp[], 14, FALSE)</f>
        <v>1.41</v>
      </c>
      <c r="AJ564">
        <f>VLOOKUP(Table29[[#This Row],[Shortname]], Comp[], 15, FALSE)</f>
        <v>3.02</v>
      </c>
      <c r="AK564">
        <f>VLOOKUP(Table29[[#This Row],[Shortname]], Comp[], 16, FALSE)</f>
        <v>0</v>
      </c>
      <c r="AL564">
        <f>VLOOKUP(Table29[[#This Row],[Shortname]], Comp[], 17, FALSE)</f>
        <v>0</v>
      </c>
      <c r="AM564">
        <f>VLOOKUP(Table29[[#This Row],[Shortname]], Comp[], 18, FALSE)</f>
        <v>0</v>
      </c>
      <c r="AN564">
        <f>VLOOKUP(Table29[[#This Row],[Shortname]], Comp[], 19, FALSE)</f>
        <v>0.08</v>
      </c>
      <c r="AO564">
        <f>VLOOKUP(Table29[[#This Row],[Shortname]], Comp[], 20, FALSE)</f>
        <v>0</v>
      </c>
      <c r="AP564">
        <f>VLOOKUP(Table29[[#This Row],[Shortname]], Comp[], 21, FALSE)</f>
        <v>0</v>
      </c>
      <c r="AQ564">
        <f>VLOOKUP(Table29[[#This Row],[Shortname]], Comp[], 22, FALSE)</f>
        <v>0</v>
      </c>
      <c r="AR564">
        <f>VLOOKUP(Table29[[#This Row],[Shortname]], Comp[], 23, FALSE)</f>
        <v>0</v>
      </c>
      <c r="AS564">
        <f>VLOOKUP(Table29[[#This Row],[Shortname]], Comp[], 24, FALSE)</f>
        <v>0</v>
      </c>
      <c r="AT564">
        <f>VLOOKUP(Table29[[#This Row],[Shortname]], Comp[], 25, FALSE)</f>
        <v>0</v>
      </c>
      <c r="AU564">
        <f>VLOOKUP(Table29[[#This Row],[Shortname]], Comp[], 26, FALSE)</f>
        <v>0</v>
      </c>
      <c r="AV564">
        <f>VLOOKUP(Table29[[#This Row],[Shortname]], Comp[], 27, FALSE)</f>
        <v>0</v>
      </c>
      <c r="AW564">
        <f>VLOOKUP(Table29[[#This Row],[Shortname]], Comp[], 28, FALSE)</f>
        <v>0</v>
      </c>
      <c r="AX564">
        <f>VLOOKUP(Table29[[#This Row],[Shortname]], Comp[], 29, FALSE)</f>
        <v>0</v>
      </c>
      <c r="AY564">
        <f>VLOOKUP(Table29[[#This Row],[Shortname]], Comp[], 30, FALSE)</f>
        <v>0</v>
      </c>
      <c r="AZ564">
        <f>VLOOKUP(Table29[[#This Row],[Shortname]], Comp[], 31, FALSE)</f>
        <v>0</v>
      </c>
    </row>
    <row r="565" spans="1:52" x14ac:dyDescent="0.3">
      <c r="A565" t="s">
        <v>6490</v>
      </c>
      <c r="F565" t="s">
        <v>6491</v>
      </c>
      <c r="G565" t="s">
        <v>6478</v>
      </c>
      <c r="H565">
        <v>247.4</v>
      </c>
      <c r="I565">
        <v>1.36E-7</v>
      </c>
      <c r="J565">
        <f>0.01/Table29[[#This Row],[Strain Rate (min) /s]]</f>
        <v>73529.411764705888</v>
      </c>
      <c r="K565">
        <f>LOG(Table29[[#This Row],[Time to 1% strain (s)]])</f>
        <v>4.8664610916297821</v>
      </c>
      <c r="L565">
        <v>850</v>
      </c>
      <c r="P565" t="s">
        <v>7237</v>
      </c>
      <c r="Q565">
        <v>1200</v>
      </c>
      <c r="R565">
        <v>48</v>
      </c>
      <c r="S565">
        <v>850</v>
      </c>
      <c r="T565">
        <v>168</v>
      </c>
      <c r="W565">
        <v>1</v>
      </c>
      <c r="X565">
        <v>10</v>
      </c>
      <c r="Y565">
        <v>44</v>
      </c>
      <c r="AA565">
        <f>VLOOKUP(Table29[[#This Row],[Shortname]], Comp[], 6, FALSE)</f>
        <v>1085</v>
      </c>
      <c r="AB565" s="14">
        <f>VLOOKUP(Table29[[#This Row],[Shortname]], Comp[], 7, FALSE)</f>
        <v>68.84</v>
      </c>
      <c r="AC565">
        <f>VLOOKUP(Table29[[#This Row],[Shortname]], Comp[], 8, FALSE)</f>
        <v>9.74</v>
      </c>
      <c r="AD565">
        <f>VLOOKUP(Table29[[#This Row],[Shortname]], Comp[], 9, FALSE)</f>
        <v>5.04</v>
      </c>
      <c r="AE565">
        <f>VLOOKUP(Table29[[#This Row],[Shortname]], Comp[], 10, FALSE)</f>
        <v>8.2200000000000006</v>
      </c>
      <c r="AF565">
        <f>VLOOKUP(Table29[[#This Row],[Shortname]], Comp[], 11, FALSE)</f>
        <v>0</v>
      </c>
      <c r="AG565">
        <f>VLOOKUP(Table29[[#This Row],[Shortname]], Comp[],12, FALSE)</f>
        <v>2.0699999999999998</v>
      </c>
      <c r="AH565">
        <f>VLOOKUP(Table29[[#This Row],[Shortname]], Comp[], 13, FALSE)</f>
        <v>1.58</v>
      </c>
      <c r="AI565">
        <f>VLOOKUP(Table29[[#This Row],[Shortname]], Comp[], 14, FALSE)</f>
        <v>1.41</v>
      </c>
      <c r="AJ565">
        <f>VLOOKUP(Table29[[#This Row],[Shortname]], Comp[], 15, FALSE)</f>
        <v>3.02</v>
      </c>
      <c r="AK565">
        <f>VLOOKUP(Table29[[#This Row],[Shortname]], Comp[], 16, FALSE)</f>
        <v>0</v>
      </c>
      <c r="AL565">
        <f>VLOOKUP(Table29[[#This Row],[Shortname]], Comp[], 17, FALSE)</f>
        <v>0</v>
      </c>
      <c r="AM565">
        <f>VLOOKUP(Table29[[#This Row],[Shortname]], Comp[], 18, FALSE)</f>
        <v>0</v>
      </c>
      <c r="AN565">
        <f>VLOOKUP(Table29[[#This Row],[Shortname]], Comp[], 19, FALSE)</f>
        <v>0.08</v>
      </c>
      <c r="AO565">
        <f>VLOOKUP(Table29[[#This Row],[Shortname]], Comp[], 20, FALSE)</f>
        <v>0</v>
      </c>
      <c r="AP565">
        <f>VLOOKUP(Table29[[#This Row],[Shortname]], Comp[], 21, FALSE)</f>
        <v>0</v>
      </c>
      <c r="AQ565">
        <f>VLOOKUP(Table29[[#This Row],[Shortname]], Comp[], 22, FALSE)</f>
        <v>0</v>
      </c>
      <c r="AR565">
        <f>VLOOKUP(Table29[[#This Row],[Shortname]], Comp[], 23, FALSE)</f>
        <v>0</v>
      </c>
      <c r="AS565">
        <f>VLOOKUP(Table29[[#This Row],[Shortname]], Comp[], 24, FALSE)</f>
        <v>0</v>
      </c>
      <c r="AT565">
        <f>VLOOKUP(Table29[[#This Row],[Shortname]], Comp[], 25, FALSE)</f>
        <v>0</v>
      </c>
      <c r="AU565">
        <f>VLOOKUP(Table29[[#This Row],[Shortname]], Comp[], 26, FALSE)</f>
        <v>0</v>
      </c>
      <c r="AV565">
        <f>VLOOKUP(Table29[[#This Row],[Shortname]], Comp[], 27, FALSE)</f>
        <v>0</v>
      </c>
      <c r="AW565">
        <f>VLOOKUP(Table29[[#This Row],[Shortname]], Comp[], 28, FALSE)</f>
        <v>0</v>
      </c>
      <c r="AX565">
        <f>VLOOKUP(Table29[[#This Row],[Shortname]], Comp[], 29, FALSE)</f>
        <v>0</v>
      </c>
      <c r="AY565">
        <f>VLOOKUP(Table29[[#This Row],[Shortname]], Comp[], 30, FALSE)</f>
        <v>0</v>
      </c>
      <c r="AZ565">
        <f>VLOOKUP(Table29[[#This Row],[Shortname]], Comp[], 31, FALSE)</f>
        <v>0</v>
      </c>
    </row>
    <row r="566" spans="1:52" x14ac:dyDescent="0.3">
      <c r="A566" t="s">
        <v>6490</v>
      </c>
      <c r="F566" t="s">
        <v>6491</v>
      </c>
      <c r="G566" t="s">
        <v>6478</v>
      </c>
      <c r="H566">
        <v>272.60000000000002</v>
      </c>
      <c r="I566">
        <v>4.2300000000000002E-7</v>
      </c>
      <c r="J566">
        <f>0.01/Table29[[#This Row],[Strain Rate (min) /s]]</f>
        <v>23640.661938534278</v>
      </c>
      <c r="K566">
        <f>LOG(Table29[[#This Row],[Time to 1% strain (s)]])</f>
        <v>4.3736596326249577</v>
      </c>
      <c r="L566">
        <v>850</v>
      </c>
      <c r="P566" t="s">
        <v>7237</v>
      </c>
      <c r="Q566">
        <v>1200</v>
      </c>
      <c r="R566">
        <v>48</v>
      </c>
      <c r="S566">
        <v>850</v>
      </c>
      <c r="T566">
        <v>168</v>
      </c>
      <c r="W566">
        <v>1</v>
      </c>
      <c r="X566">
        <v>10</v>
      </c>
      <c r="Y566">
        <v>44</v>
      </c>
      <c r="AA566">
        <f>VLOOKUP(Table29[[#This Row],[Shortname]], Comp[], 6, FALSE)</f>
        <v>1085</v>
      </c>
      <c r="AB566" s="14">
        <f>VLOOKUP(Table29[[#This Row],[Shortname]], Comp[], 7, FALSE)</f>
        <v>68.84</v>
      </c>
      <c r="AC566">
        <f>VLOOKUP(Table29[[#This Row],[Shortname]], Comp[], 8, FALSE)</f>
        <v>9.74</v>
      </c>
      <c r="AD566">
        <f>VLOOKUP(Table29[[#This Row],[Shortname]], Comp[], 9, FALSE)</f>
        <v>5.04</v>
      </c>
      <c r="AE566">
        <f>VLOOKUP(Table29[[#This Row],[Shortname]], Comp[], 10, FALSE)</f>
        <v>8.2200000000000006</v>
      </c>
      <c r="AF566">
        <f>VLOOKUP(Table29[[#This Row],[Shortname]], Comp[], 11, FALSE)</f>
        <v>0</v>
      </c>
      <c r="AG566">
        <f>VLOOKUP(Table29[[#This Row],[Shortname]], Comp[],12, FALSE)</f>
        <v>2.0699999999999998</v>
      </c>
      <c r="AH566">
        <f>VLOOKUP(Table29[[#This Row],[Shortname]], Comp[], 13, FALSE)</f>
        <v>1.58</v>
      </c>
      <c r="AI566">
        <f>VLOOKUP(Table29[[#This Row],[Shortname]], Comp[], 14, FALSE)</f>
        <v>1.41</v>
      </c>
      <c r="AJ566">
        <f>VLOOKUP(Table29[[#This Row],[Shortname]], Comp[], 15, FALSE)</f>
        <v>3.02</v>
      </c>
      <c r="AK566">
        <f>VLOOKUP(Table29[[#This Row],[Shortname]], Comp[], 16, FALSE)</f>
        <v>0</v>
      </c>
      <c r="AL566">
        <f>VLOOKUP(Table29[[#This Row],[Shortname]], Comp[], 17, FALSE)</f>
        <v>0</v>
      </c>
      <c r="AM566">
        <f>VLOOKUP(Table29[[#This Row],[Shortname]], Comp[], 18, FALSE)</f>
        <v>0</v>
      </c>
      <c r="AN566">
        <f>VLOOKUP(Table29[[#This Row],[Shortname]], Comp[], 19, FALSE)</f>
        <v>0.08</v>
      </c>
      <c r="AO566">
        <f>VLOOKUP(Table29[[#This Row],[Shortname]], Comp[], 20, FALSE)</f>
        <v>0</v>
      </c>
      <c r="AP566">
        <f>VLOOKUP(Table29[[#This Row],[Shortname]], Comp[], 21, FALSE)</f>
        <v>0</v>
      </c>
      <c r="AQ566">
        <f>VLOOKUP(Table29[[#This Row],[Shortname]], Comp[], 22, FALSE)</f>
        <v>0</v>
      </c>
      <c r="AR566">
        <f>VLOOKUP(Table29[[#This Row],[Shortname]], Comp[], 23, FALSE)</f>
        <v>0</v>
      </c>
      <c r="AS566">
        <f>VLOOKUP(Table29[[#This Row],[Shortname]], Comp[], 24, FALSE)</f>
        <v>0</v>
      </c>
      <c r="AT566">
        <f>VLOOKUP(Table29[[#This Row],[Shortname]], Comp[], 25, FALSE)</f>
        <v>0</v>
      </c>
      <c r="AU566">
        <f>VLOOKUP(Table29[[#This Row],[Shortname]], Comp[], 26, FALSE)</f>
        <v>0</v>
      </c>
      <c r="AV566">
        <f>VLOOKUP(Table29[[#This Row],[Shortname]], Comp[], 27, FALSE)</f>
        <v>0</v>
      </c>
      <c r="AW566">
        <f>VLOOKUP(Table29[[#This Row],[Shortname]], Comp[], 28, FALSE)</f>
        <v>0</v>
      </c>
      <c r="AX566">
        <f>VLOOKUP(Table29[[#This Row],[Shortname]], Comp[], 29, FALSE)</f>
        <v>0</v>
      </c>
      <c r="AY566">
        <f>VLOOKUP(Table29[[#This Row],[Shortname]], Comp[], 30, FALSE)</f>
        <v>0</v>
      </c>
      <c r="AZ566">
        <f>VLOOKUP(Table29[[#This Row],[Shortname]], Comp[], 31, FALSE)</f>
        <v>0</v>
      </c>
    </row>
    <row r="567" spans="1:52" x14ac:dyDescent="0.3">
      <c r="A567" t="s">
        <v>6490</v>
      </c>
      <c r="F567" t="s">
        <v>6491</v>
      </c>
      <c r="G567" t="s">
        <v>6478</v>
      </c>
      <c r="H567">
        <v>301.2</v>
      </c>
      <c r="I567">
        <v>1.2699999999999999E-6</v>
      </c>
      <c r="J567">
        <f>0.01/Table29[[#This Row],[Strain Rate (min) /s]]</f>
        <v>7874.0157480314965</v>
      </c>
      <c r="K567">
        <f>LOG(Table29[[#This Row],[Time to 1% strain (s)]])</f>
        <v>3.8961962790440432</v>
      </c>
      <c r="L567">
        <v>850</v>
      </c>
      <c r="P567" t="s">
        <v>7237</v>
      </c>
      <c r="Q567">
        <v>1200</v>
      </c>
      <c r="R567">
        <v>48</v>
      </c>
      <c r="S567">
        <v>850</v>
      </c>
      <c r="T567">
        <v>168</v>
      </c>
      <c r="W567">
        <v>1</v>
      </c>
      <c r="X567">
        <v>10</v>
      </c>
      <c r="Y567">
        <v>44</v>
      </c>
      <c r="AA567">
        <f>VLOOKUP(Table29[[#This Row],[Shortname]], Comp[], 6, FALSE)</f>
        <v>1085</v>
      </c>
      <c r="AB567" s="14">
        <f>VLOOKUP(Table29[[#This Row],[Shortname]], Comp[], 7, FALSE)</f>
        <v>68.84</v>
      </c>
      <c r="AC567">
        <f>VLOOKUP(Table29[[#This Row],[Shortname]], Comp[], 8, FALSE)</f>
        <v>9.74</v>
      </c>
      <c r="AD567">
        <f>VLOOKUP(Table29[[#This Row],[Shortname]], Comp[], 9, FALSE)</f>
        <v>5.04</v>
      </c>
      <c r="AE567">
        <f>VLOOKUP(Table29[[#This Row],[Shortname]], Comp[], 10, FALSE)</f>
        <v>8.2200000000000006</v>
      </c>
      <c r="AF567">
        <f>VLOOKUP(Table29[[#This Row],[Shortname]], Comp[], 11, FALSE)</f>
        <v>0</v>
      </c>
      <c r="AG567">
        <f>VLOOKUP(Table29[[#This Row],[Shortname]], Comp[],12, FALSE)</f>
        <v>2.0699999999999998</v>
      </c>
      <c r="AH567">
        <f>VLOOKUP(Table29[[#This Row],[Shortname]], Comp[], 13, FALSE)</f>
        <v>1.58</v>
      </c>
      <c r="AI567">
        <f>VLOOKUP(Table29[[#This Row],[Shortname]], Comp[], 14, FALSE)</f>
        <v>1.41</v>
      </c>
      <c r="AJ567">
        <f>VLOOKUP(Table29[[#This Row],[Shortname]], Comp[], 15, FALSE)</f>
        <v>3.02</v>
      </c>
      <c r="AK567">
        <f>VLOOKUP(Table29[[#This Row],[Shortname]], Comp[], 16, FALSE)</f>
        <v>0</v>
      </c>
      <c r="AL567">
        <f>VLOOKUP(Table29[[#This Row],[Shortname]], Comp[], 17, FALSE)</f>
        <v>0</v>
      </c>
      <c r="AM567">
        <f>VLOOKUP(Table29[[#This Row],[Shortname]], Comp[], 18, FALSE)</f>
        <v>0</v>
      </c>
      <c r="AN567">
        <f>VLOOKUP(Table29[[#This Row],[Shortname]], Comp[], 19, FALSE)</f>
        <v>0.08</v>
      </c>
      <c r="AO567">
        <f>VLOOKUP(Table29[[#This Row],[Shortname]], Comp[], 20, FALSE)</f>
        <v>0</v>
      </c>
      <c r="AP567">
        <f>VLOOKUP(Table29[[#This Row],[Shortname]], Comp[], 21, FALSE)</f>
        <v>0</v>
      </c>
      <c r="AQ567">
        <f>VLOOKUP(Table29[[#This Row],[Shortname]], Comp[], 22, FALSE)</f>
        <v>0</v>
      </c>
      <c r="AR567">
        <f>VLOOKUP(Table29[[#This Row],[Shortname]], Comp[], 23, FALSE)</f>
        <v>0</v>
      </c>
      <c r="AS567">
        <f>VLOOKUP(Table29[[#This Row],[Shortname]], Comp[], 24, FALSE)</f>
        <v>0</v>
      </c>
      <c r="AT567">
        <f>VLOOKUP(Table29[[#This Row],[Shortname]], Comp[], 25, FALSE)</f>
        <v>0</v>
      </c>
      <c r="AU567">
        <f>VLOOKUP(Table29[[#This Row],[Shortname]], Comp[], 26, FALSE)</f>
        <v>0</v>
      </c>
      <c r="AV567">
        <f>VLOOKUP(Table29[[#This Row],[Shortname]], Comp[], 27, FALSE)</f>
        <v>0</v>
      </c>
      <c r="AW567">
        <f>VLOOKUP(Table29[[#This Row],[Shortname]], Comp[], 28, FALSE)</f>
        <v>0</v>
      </c>
      <c r="AX567">
        <f>VLOOKUP(Table29[[#This Row],[Shortname]], Comp[], 29, FALSE)</f>
        <v>0</v>
      </c>
      <c r="AY567">
        <f>VLOOKUP(Table29[[#This Row],[Shortname]], Comp[], 30, FALSE)</f>
        <v>0</v>
      </c>
      <c r="AZ567">
        <f>VLOOKUP(Table29[[#This Row],[Shortname]], Comp[], 31, FALSE)</f>
        <v>0</v>
      </c>
    </row>
    <row r="568" spans="1:52" x14ac:dyDescent="0.3">
      <c r="A568" t="s">
        <v>6490</v>
      </c>
      <c r="F568" t="s">
        <v>6491</v>
      </c>
      <c r="G568" t="s">
        <v>6478</v>
      </c>
      <c r="H568">
        <v>370.3</v>
      </c>
      <c r="I568">
        <v>1.4600000000000001E-5</v>
      </c>
      <c r="J568">
        <f>0.01/Table29[[#This Row],[Strain Rate (min) /s]]</f>
        <v>684.93150684931504</v>
      </c>
      <c r="K568">
        <f>LOG(Table29[[#This Row],[Time to 1% strain (s)]])</f>
        <v>2.8356471442155629</v>
      </c>
      <c r="L568">
        <v>850</v>
      </c>
      <c r="P568" t="s">
        <v>7237</v>
      </c>
      <c r="Q568">
        <v>1200</v>
      </c>
      <c r="R568">
        <v>48</v>
      </c>
      <c r="S568">
        <v>850</v>
      </c>
      <c r="T568">
        <v>168</v>
      </c>
      <c r="W568">
        <v>1</v>
      </c>
      <c r="X568">
        <v>10</v>
      </c>
      <c r="Y568">
        <v>44</v>
      </c>
      <c r="AA568">
        <f>VLOOKUP(Table29[[#This Row],[Shortname]], Comp[], 6, FALSE)</f>
        <v>1085</v>
      </c>
      <c r="AB568" s="14">
        <f>VLOOKUP(Table29[[#This Row],[Shortname]], Comp[], 7, FALSE)</f>
        <v>68.84</v>
      </c>
      <c r="AC568">
        <f>VLOOKUP(Table29[[#This Row],[Shortname]], Comp[], 8, FALSE)</f>
        <v>9.74</v>
      </c>
      <c r="AD568">
        <f>VLOOKUP(Table29[[#This Row],[Shortname]], Comp[], 9, FALSE)</f>
        <v>5.04</v>
      </c>
      <c r="AE568">
        <f>VLOOKUP(Table29[[#This Row],[Shortname]], Comp[], 10, FALSE)</f>
        <v>8.2200000000000006</v>
      </c>
      <c r="AF568">
        <f>VLOOKUP(Table29[[#This Row],[Shortname]], Comp[], 11, FALSE)</f>
        <v>0</v>
      </c>
      <c r="AG568">
        <f>VLOOKUP(Table29[[#This Row],[Shortname]], Comp[],12, FALSE)</f>
        <v>2.0699999999999998</v>
      </c>
      <c r="AH568">
        <f>VLOOKUP(Table29[[#This Row],[Shortname]], Comp[], 13, FALSE)</f>
        <v>1.58</v>
      </c>
      <c r="AI568">
        <f>VLOOKUP(Table29[[#This Row],[Shortname]], Comp[], 14, FALSE)</f>
        <v>1.41</v>
      </c>
      <c r="AJ568">
        <f>VLOOKUP(Table29[[#This Row],[Shortname]], Comp[], 15, FALSE)</f>
        <v>3.02</v>
      </c>
      <c r="AK568">
        <f>VLOOKUP(Table29[[#This Row],[Shortname]], Comp[], 16, FALSE)</f>
        <v>0</v>
      </c>
      <c r="AL568">
        <f>VLOOKUP(Table29[[#This Row],[Shortname]], Comp[], 17, FALSE)</f>
        <v>0</v>
      </c>
      <c r="AM568">
        <f>VLOOKUP(Table29[[#This Row],[Shortname]], Comp[], 18, FALSE)</f>
        <v>0</v>
      </c>
      <c r="AN568">
        <f>VLOOKUP(Table29[[#This Row],[Shortname]], Comp[], 19, FALSE)</f>
        <v>0.08</v>
      </c>
      <c r="AO568">
        <f>VLOOKUP(Table29[[#This Row],[Shortname]], Comp[], 20, FALSE)</f>
        <v>0</v>
      </c>
      <c r="AP568">
        <f>VLOOKUP(Table29[[#This Row],[Shortname]], Comp[], 21, FALSE)</f>
        <v>0</v>
      </c>
      <c r="AQ568">
        <f>VLOOKUP(Table29[[#This Row],[Shortname]], Comp[], 22, FALSE)</f>
        <v>0</v>
      </c>
      <c r="AR568">
        <f>VLOOKUP(Table29[[#This Row],[Shortname]], Comp[], 23, FALSE)</f>
        <v>0</v>
      </c>
      <c r="AS568">
        <f>VLOOKUP(Table29[[#This Row],[Shortname]], Comp[], 24, FALSE)</f>
        <v>0</v>
      </c>
      <c r="AT568">
        <f>VLOOKUP(Table29[[#This Row],[Shortname]], Comp[], 25, FALSE)</f>
        <v>0</v>
      </c>
      <c r="AU568">
        <f>VLOOKUP(Table29[[#This Row],[Shortname]], Comp[], 26, FALSE)</f>
        <v>0</v>
      </c>
      <c r="AV568">
        <f>VLOOKUP(Table29[[#This Row],[Shortname]], Comp[], 27, FALSE)</f>
        <v>0</v>
      </c>
      <c r="AW568">
        <f>VLOOKUP(Table29[[#This Row],[Shortname]], Comp[], 28, FALSE)</f>
        <v>0</v>
      </c>
      <c r="AX568">
        <f>VLOOKUP(Table29[[#This Row],[Shortname]], Comp[], 29, FALSE)</f>
        <v>0</v>
      </c>
      <c r="AY568">
        <f>VLOOKUP(Table29[[#This Row],[Shortname]], Comp[], 30, FALSE)</f>
        <v>0</v>
      </c>
      <c r="AZ568">
        <f>VLOOKUP(Table29[[#This Row],[Shortname]], Comp[], 31, FALSE)</f>
        <v>0</v>
      </c>
    </row>
    <row r="569" spans="1:52" x14ac:dyDescent="0.3">
      <c r="A569" t="s">
        <v>6490</v>
      </c>
      <c r="F569" t="s">
        <v>6491</v>
      </c>
      <c r="G569" t="s">
        <v>6478</v>
      </c>
      <c r="H569">
        <v>406.7</v>
      </c>
      <c r="I569">
        <v>2.3599999999999999E-4</v>
      </c>
      <c r="J569">
        <f>0.01/Table29[[#This Row],[Strain Rate (min) /s]]</f>
        <v>42.372881355932208</v>
      </c>
      <c r="K569">
        <f>LOG(Table29[[#This Row],[Time to 1% strain (s)]])</f>
        <v>1.6270879970298935</v>
      </c>
      <c r="L569">
        <v>850</v>
      </c>
      <c r="P569" t="s">
        <v>7237</v>
      </c>
      <c r="Q569">
        <v>1200</v>
      </c>
      <c r="R569">
        <v>48</v>
      </c>
      <c r="S569">
        <v>850</v>
      </c>
      <c r="T569">
        <v>168</v>
      </c>
      <c r="W569">
        <v>1</v>
      </c>
      <c r="X569">
        <v>10</v>
      </c>
      <c r="Y569">
        <v>44</v>
      </c>
      <c r="AA569">
        <f>VLOOKUP(Table29[[#This Row],[Shortname]], Comp[], 6, FALSE)</f>
        <v>1085</v>
      </c>
      <c r="AB569" s="14">
        <f>VLOOKUP(Table29[[#This Row],[Shortname]], Comp[], 7, FALSE)</f>
        <v>68.84</v>
      </c>
      <c r="AC569">
        <f>VLOOKUP(Table29[[#This Row],[Shortname]], Comp[], 8, FALSE)</f>
        <v>9.74</v>
      </c>
      <c r="AD569">
        <f>VLOOKUP(Table29[[#This Row],[Shortname]], Comp[], 9, FALSE)</f>
        <v>5.04</v>
      </c>
      <c r="AE569">
        <f>VLOOKUP(Table29[[#This Row],[Shortname]], Comp[], 10, FALSE)</f>
        <v>8.2200000000000006</v>
      </c>
      <c r="AF569">
        <f>VLOOKUP(Table29[[#This Row],[Shortname]], Comp[], 11, FALSE)</f>
        <v>0</v>
      </c>
      <c r="AG569">
        <f>VLOOKUP(Table29[[#This Row],[Shortname]], Comp[],12, FALSE)</f>
        <v>2.0699999999999998</v>
      </c>
      <c r="AH569">
        <f>VLOOKUP(Table29[[#This Row],[Shortname]], Comp[], 13, FALSE)</f>
        <v>1.58</v>
      </c>
      <c r="AI569">
        <f>VLOOKUP(Table29[[#This Row],[Shortname]], Comp[], 14, FALSE)</f>
        <v>1.41</v>
      </c>
      <c r="AJ569">
        <f>VLOOKUP(Table29[[#This Row],[Shortname]], Comp[], 15, FALSE)</f>
        <v>3.02</v>
      </c>
      <c r="AK569">
        <f>VLOOKUP(Table29[[#This Row],[Shortname]], Comp[], 16, FALSE)</f>
        <v>0</v>
      </c>
      <c r="AL569">
        <f>VLOOKUP(Table29[[#This Row],[Shortname]], Comp[], 17, FALSE)</f>
        <v>0</v>
      </c>
      <c r="AM569">
        <f>VLOOKUP(Table29[[#This Row],[Shortname]], Comp[], 18, FALSE)</f>
        <v>0</v>
      </c>
      <c r="AN569">
        <f>VLOOKUP(Table29[[#This Row],[Shortname]], Comp[], 19, FALSE)</f>
        <v>0.08</v>
      </c>
      <c r="AO569">
        <f>VLOOKUP(Table29[[#This Row],[Shortname]], Comp[], 20, FALSE)</f>
        <v>0</v>
      </c>
      <c r="AP569">
        <f>VLOOKUP(Table29[[#This Row],[Shortname]], Comp[], 21, FALSE)</f>
        <v>0</v>
      </c>
      <c r="AQ569">
        <f>VLOOKUP(Table29[[#This Row],[Shortname]], Comp[], 22, FALSE)</f>
        <v>0</v>
      </c>
      <c r="AR569">
        <f>VLOOKUP(Table29[[#This Row],[Shortname]], Comp[], 23, FALSE)</f>
        <v>0</v>
      </c>
      <c r="AS569">
        <f>VLOOKUP(Table29[[#This Row],[Shortname]], Comp[], 24, FALSE)</f>
        <v>0</v>
      </c>
      <c r="AT569">
        <f>VLOOKUP(Table29[[#This Row],[Shortname]], Comp[], 25, FALSE)</f>
        <v>0</v>
      </c>
      <c r="AU569">
        <f>VLOOKUP(Table29[[#This Row],[Shortname]], Comp[], 26, FALSE)</f>
        <v>0</v>
      </c>
      <c r="AV569">
        <f>VLOOKUP(Table29[[#This Row],[Shortname]], Comp[], 27, FALSE)</f>
        <v>0</v>
      </c>
      <c r="AW569">
        <f>VLOOKUP(Table29[[#This Row],[Shortname]], Comp[], 28, FALSE)</f>
        <v>0</v>
      </c>
      <c r="AX569">
        <f>VLOOKUP(Table29[[#This Row],[Shortname]], Comp[], 29, FALSE)</f>
        <v>0</v>
      </c>
      <c r="AY569">
        <f>VLOOKUP(Table29[[#This Row],[Shortname]], Comp[], 30, FALSE)</f>
        <v>0</v>
      </c>
      <c r="AZ569">
        <f>VLOOKUP(Table29[[#This Row],[Shortname]], Comp[], 31, FALSE)</f>
        <v>0</v>
      </c>
    </row>
    <row r="570" spans="1:52" x14ac:dyDescent="0.3">
      <c r="A570" t="s">
        <v>6494</v>
      </c>
      <c r="F570" t="s">
        <v>6495</v>
      </c>
      <c r="G570" t="s">
        <v>6478</v>
      </c>
      <c r="H570">
        <v>258.39999999999998</v>
      </c>
      <c r="I570">
        <v>9.9300000000000002E-9</v>
      </c>
      <c r="J570">
        <f>0.01/Table29[[#This Row],[Strain Rate (min) /s]]</f>
        <v>1007049.3454179255</v>
      </c>
      <c r="K570">
        <f>LOG(Table29[[#This Row],[Time to 1% strain (s)]])</f>
        <v>6.0030507515046185</v>
      </c>
      <c r="L570">
        <v>850</v>
      </c>
      <c r="P570" t="s">
        <v>7238</v>
      </c>
      <c r="Q570">
        <v>1200</v>
      </c>
      <c r="R570">
        <v>48</v>
      </c>
      <c r="S570">
        <v>850</v>
      </c>
      <c r="T570">
        <v>168</v>
      </c>
      <c r="W570">
        <v>1</v>
      </c>
      <c r="X570">
        <v>10</v>
      </c>
      <c r="Y570">
        <v>45</v>
      </c>
      <c r="AA570">
        <f>VLOOKUP(Table29[[#This Row],[Shortname]], Comp[], 6, FALSE)</f>
        <v>1086</v>
      </c>
      <c r="AB570" s="14">
        <f>VLOOKUP(Table29[[#This Row],[Shortname]], Comp[], 7, FALSE)</f>
        <v>59.019999999999996</v>
      </c>
      <c r="AC570">
        <f>VLOOKUP(Table29[[#This Row],[Shortname]], Comp[], 8, FALSE)</f>
        <v>19.54</v>
      </c>
      <c r="AD570">
        <f>VLOOKUP(Table29[[#This Row],[Shortname]], Comp[], 9, FALSE)</f>
        <v>4.9800000000000004</v>
      </c>
      <c r="AE570">
        <f>VLOOKUP(Table29[[#This Row],[Shortname]], Comp[], 10, FALSE)</f>
        <v>8.2899999999999991</v>
      </c>
      <c r="AF570">
        <f>VLOOKUP(Table29[[#This Row],[Shortname]], Comp[], 11, FALSE)</f>
        <v>0</v>
      </c>
      <c r="AG570">
        <f>VLOOKUP(Table29[[#This Row],[Shortname]], Comp[],12, FALSE)</f>
        <v>2.0699999999999998</v>
      </c>
      <c r="AH570">
        <f>VLOOKUP(Table29[[#This Row],[Shortname]], Comp[], 13, FALSE)</f>
        <v>1.61</v>
      </c>
      <c r="AI570">
        <f>VLOOKUP(Table29[[#This Row],[Shortname]], Comp[], 14, FALSE)</f>
        <v>1.38</v>
      </c>
      <c r="AJ570">
        <f>VLOOKUP(Table29[[#This Row],[Shortname]], Comp[], 15, FALSE)</f>
        <v>3.03</v>
      </c>
      <c r="AK570">
        <f>VLOOKUP(Table29[[#This Row],[Shortname]], Comp[], 16, FALSE)</f>
        <v>0</v>
      </c>
      <c r="AL570">
        <f>VLOOKUP(Table29[[#This Row],[Shortname]], Comp[], 17, FALSE)</f>
        <v>0</v>
      </c>
      <c r="AM570">
        <f>VLOOKUP(Table29[[#This Row],[Shortname]], Comp[], 18, FALSE)</f>
        <v>0</v>
      </c>
      <c r="AN570">
        <f>VLOOKUP(Table29[[#This Row],[Shortname]], Comp[], 19, FALSE)</f>
        <v>0.08</v>
      </c>
      <c r="AO570">
        <f>VLOOKUP(Table29[[#This Row],[Shortname]], Comp[], 20, FALSE)</f>
        <v>0</v>
      </c>
      <c r="AP570">
        <f>VLOOKUP(Table29[[#This Row],[Shortname]], Comp[], 21, FALSE)</f>
        <v>0</v>
      </c>
      <c r="AQ570">
        <f>VLOOKUP(Table29[[#This Row],[Shortname]], Comp[], 22, FALSE)</f>
        <v>0</v>
      </c>
      <c r="AR570">
        <f>VLOOKUP(Table29[[#This Row],[Shortname]], Comp[], 23, FALSE)</f>
        <v>0</v>
      </c>
      <c r="AS570">
        <f>VLOOKUP(Table29[[#This Row],[Shortname]], Comp[], 24, FALSE)</f>
        <v>0</v>
      </c>
      <c r="AT570">
        <f>VLOOKUP(Table29[[#This Row],[Shortname]], Comp[], 25, FALSE)</f>
        <v>0</v>
      </c>
      <c r="AU570">
        <f>VLOOKUP(Table29[[#This Row],[Shortname]], Comp[], 26, FALSE)</f>
        <v>0</v>
      </c>
      <c r="AV570">
        <f>VLOOKUP(Table29[[#This Row],[Shortname]], Comp[], 27, FALSE)</f>
        <v>0</v>
      </c>
      <c r="AW570">
        <f>VLOOKUP(Table29[[#This Row],[Shortname]], Comp[], 28, FALSE)</f>
        <v>0</v>
      </c>
      <c r="AX570">
        <f>VLOOKUP(Table29[[#This Row],[Shortname]], Comp[], 29, FALSE)</f>
        <v>0</v>
      </c>
      <c r="AY570">
        <f>VLOOKUP(Table29[[#This Row],[Shortname]], Comp[], 30, FALSE)</f>
        <v>0</v>
      </c>
      <c r="AZ570">
        <f>VLOOKUP(Table29[[#This Row],[Shortname]], Comp[], 31, FALSE)</f>
        <v>0</v>
      </c>
    </row>
    <row r="571" spans="1:52" x14ac:dyDescent="0.3">
      <c r="A571" t="s">
        <v>6494</v>
      </c>
      <c r="F571" t="s">
        <v>6495</v>
      </c>
      <c r="G571" t="s">
        <v>6478</v>
      </c>
      <c r="H571">
        <v>281.10000000000002</v>
      </c>
      <c r="I571">
        <v>5.5899999999999998E-8</v>
      </c>
      <c r="J571">
        <f>0.01/Table29[[#This Row],[Strain Rate (min) /s]]</f>
        <v>178890.87656529518</v>
      </c>
      <c r="K571">
        <f>LOG(Table29[[#This Row],[Time to 1% strain (s)]])</f>
        <v>5.2525881921135769</v>
      </c>
      <c r="L571">
        <v>850</v>
      </c>
      <c r="P571" t="s">
        <v>7238</v>
      </c>
      <c r="Q571">
        <v>1200</v>
      </c>
      <c r="R571">
        <v>48</v>
      </c>
      <c r="S571">
        <v>850</v>
      </c>
      <c r="T571">
        <v>168</v>
      </c>
      <c r="W571">
        <v>1</v>
      </c>
      <c r="X571">
        <v>10</v>
      </c>
      <c r="Y571">
        <v>45</v>
      </c>
      <c r="AA571">
        <f>VLOOKUP(Table29[[#This Row],[Shortname]], Comp[], 6, FALSE)</f>
        <v>1086</v>
      </c>
      <c r="AB571" s="14">
        <f>VLOOKUP(Table29[[#This Row],[Shortname]], Comp[], 7, FALSE)</f>
        <v>59.019999999999996</v>
      </c>
      <c r="AC571">
        <f>VLOOKUP(Table29[[#This Row],[Shortname]], Comp[], 8, FALSE)</f>
        <v>19.54</v>
      </c>
      <c r="AD571">
        <f>VLOOKUP(Table29[[#This Row],[Shortname]], Comp[], 9, FALSE)</f>
        <v>4.9800000000000004</v>
      </c>
      <c r="AE571">
        <f>VLOOKUP(Table29[[#This Row],[Shortname]], Comp[], 10, FALSE)</f>
        <v>8.2899999999999991</v>
      </c>
      <c r="AF571">
        <f>VLOOKUP(Table29[[#This Row],[Shortname]], Comp[], 11, FALSE)</f>
        <v>0</v>
      </c>
      <c r="AG571">
        <f>VLOOKUP(Table29[[#This Row],[Shortname]], Comp[],12, FALSE)</f>
        <v>2.0699999999999998</v>
      </c>
      <c r="AH571">
        <f>VLOOKUP(Table29[[#This Row],[Shortname]], Comp[], 13, FALSE)</f>
        <v>1.61</v>
      </c>
      <c r="AI571">
        <f>VLOOKUP(Table29[[#This Row],[Shortname]], Comp[], 14, FALSE)</f>
        <v>1.38</v>
      </c>
      <c r="AJ571">
        <f>VLOOKUP(Table29[[#This Row],[Shortname]], Comp[], 15, FALSE)</f>
        <v>3.03</v>
      </c>
      <c r="AK571">
        <f>VLOOKUP(Table29[[#This Row],[Shortname]], Comp[], 16, FALSE)</f>
        <v>0</v>
      </c>
      <c r="AL571">
        <f>VLOOKUP(Table29[[#This Row],[Shortname]], Comp[], 17, FALSE)</f>
        <v>0</v>
      </c>
      <c r="AM571">
        <f>VLOOKUP(Table29[[#This Row],[Shortname]], Comp[], 18, FALSE)</f>
        <v>0</v>
      </c>
      <c r="AN571">
        <f>VLOOKUP(Table29[[#This Row],[Shortname]], Comp[], 19, FALSE)</f>
        <v>0.08</v>
      </c>
      <c r="AO571">
        <f>VLOOKUP(Table29[[#This Row],[Shortname]], Comp[], 20, FALSE)</f>
        <v>0</v>
      </c>
      <c r="AP571">
        <f>VLOOKUP(Table29[[#This Row],[Shortname]], Comp[], 21, FALSE)</f>
        <v>0</v>
      </c>
      <c r="AQ571">
        <f>VLOOKUP(Table29[[#This Row],[Shortname]], Comp[], 22, FALSE)</f>
        <v>0</v>
      </c>
      <c r="AR571">
        <f>VLOOKUP(Table29[[#This Row],[Shortname]], Comp[], 23, FALSE)</f>
        <v>0</v>
      </c>
      <c r="AS571">
        <f>VLOOKUP(Table29[[#This Row],[Shortname]], Comp[], 24, FALSE)</f>
        <v>0</v>
      </c>
      <c r="AT571">
        <f>VLOOKUP(Table29[[#This Row],[Shortname]], Comp[], 25, FALSE)</f>
        <v>0</v>
      </c>
      <c r="AU571">
        <f>VLOOKUP(Table29[[#This Row],[Shortname]], Comp[], 26, FALSE)</f>
        <v>0</v>
      </c>
      <c r="AV571">
        <f>VLOOKUP(Table29[[#This Row],[Shortname]], Comp[], 27, FALSE)</f>
        <v>0</v>
      </c>
      <c r="AW571">
        <f>VLOOKUP(Table29[[#This Row],[Shortname]], Comp[], 28, FALSE)</f>
        <v>0</v>
      </c>
      <c r="AX571">
        <f>VLOOKUP(Table29[[#This Row],[Shortname]], Comp[], 29, FALSE)</f>
        <v>0</v>
      </c>
      <c r="AY571">
        <f>VLOOKUP(Table29[[#This Row],[Shortname]], Comp[], 30, FALSE)</f>
        <v>0</v>
      </c>
      <c r="AZ571">
        <f>VLOOKUP(Table29[[#This Row],[Shortname]], Comp[], 31, FALSE)</f>
        <v>0</v>
      </c>
    </row>
    <row r="572" spans="1:52" x14ac:dyDescent="0.3">
      <c r="A572" t="s">
        <v>6494</v>
      </c>
      <c r="F572" t="s">
        <v>6495</v>
      </c>
      <c r="G572" t="s">
        <v>6478</v>
      </c>
      <c r="H572">
        <v>308.7</v>
      </c>
      <c r="I572">
        <v>1.11E-7</v>
      </c>
      <c r="J572">
        <f>0.01/Table29[[#This Row],[Strain Rate (min) /s]]</f>
        <v>90090.090090090089</v>
      </c>
      <c r="K572">
        <f>LOG(Table29[[#This Row],[Time to 1% strain (s)]])</f>
        <v>4.9546770212133424</v>
      </c>
      <c r="L572">
        <v>850</v>
      </c>
      <c r="P572" t="s">
        <v>7238</v>
      </c>
      <c r="Q572">
        <v>1200</v>
      </c>
      <c r="R572">
        <v>48</v>
      </c>
      <c r="S572">
        <v>850</v>
      </c>
      <c r="T572">
        <v>168</v>
      </c>
      <c r="W572">
        <v>1</v>
      </c>
      <c r="X572">
        <v>10</v>
      </c>
      <c r="Y572">
        <v>45</v>
      </c>
      <c r="AA572">
        <f>VLOOKUP(Table29[[#This Row],[Shortname]], Comp[], 6, FALSE)</f>
        <v>1086</v>
      </c>
      <c r="AB572" s="14">
        <f>VLOOKUP(Table29[[#This Row],[Shortname]], Comp[], 7, FALSE)</f>
        <v>59.019999999999996</v>
      </c>
      <c r="AC572">
        <f>VLOOKUP(Table29[[#This Row],[Shortname]], Comp[], 8, FALSE)</f>
        <v>19.54</v>
      </c>
      <c r="AD572">
        <f>VLOOKUP(Table29[[#This Row],[Shortname]], Comp[], 9, FALSE)</f>
        <v>4.9800000000000004</v>
      </c>
      <c r="AE572">
        <f>VLOOKUP(Table29[[#This Row],[Shortname]], Comp[], 10, FALSE)</f>
        <v>8.2899999999999991</v>
      </c>
      <c r="AF572">
        <f>VLOOKUP(Table29[[#This Row],[Shortname]], Comp[], 11, FALSE)</f>
        <v>0</v>
      </c>
      <c r="AG572">
        <f>VLOOKUP(Table29[[#This Row],[Shortname]], Comp[],12, FALSE)</f>
        <v>2.0699999999999998</v>
      </c>
      <c r="AH572">
        <f>VLOOKUP(Table29[[#This Row],[Shortname]], Comp[], 13, FALSE)</f>
        <v>1.61</v>
      </c>
      <c r="AI572">
        <f>VLOOKUP(Table29[[#This Row],[Shortname]], Comp[], 14, FALSE)</f>
        <v>1.38</v>
      </c>
      <c r="AJ572">
        <f>VLOOKUP(Table29[[#This Row],[Shortname]], Comp[], 15, FALSE)</f>
        <v>3.03</v>
      </c>
      <c r="AK572">
        <f>VLOOKUP(Table29[[#This Row],[Shortname]], Comp[], 16, FALSE)</f>
        <v>0</v>
      </c>
      <c r="AL572">
        <f>VLOOKUP(Table29[[#This Row],[Shortname]], Comp[], 17, FALSE)</f>
        <v>0</v>
      </c>
      <c r="AM572">
        <f>VLOOKUP(Table29[[#This Row],[Shortname]], Comp[], 18, FALSE)</f>
        <v>0</v>
      </c>
      <c r="AN572">
        <f>VLOOKUP(Table29[[#This Row],[Shortname]], Comp[], 19, FALSE)</f>
        <v>0.08</v>
      </c>
      <c r="AO572">
        <f>VLOOKUP(Table29[[#This Row],[Shortname]], Comp[], 20, FALSE)</f>
        <v>0</v>
      </c>
      <c r="AP572">
        <f>VLOOKUP(Table29[[#This Row],[Shortname]], Comp[], 21, FALSE)</f>
        <v>0</v>
      </c>
      <c r="AQ572">
        <f>VLOOKUP(Table29[[#This Row],[Shortname]], Comp[], 22, FALSE)</f>
        <v>0</v>
      </c>
      <c r="AR572">
        <f>VLOOKUP(Table29[[#This Row],[Shortname]], Comp[], 23, FALSE)</f>
        <v>0</v>
      </c>
      <c r="AS572">
        <f>VLOOKUP(Table29[[#This Row],[Shortname]], Comp[], 24, FALSE)</f>
        <v>0</v>
      </c>
      <c r="AT572">
        <f>VLOOKUP(Table29[[#This Row],[Shortname]], Comp[], 25, FALSE)</f>
        <v>0</v>
      </c>
      <c r="AU572">
        <f>VLOOKUP(Table29[[#This Row],[Shortname]], Comp[], 26, FALSE)</f>
        <v>0</v>
      </c>
      <c r="AV572">
        <f>VLOOKUP(Table29[[#This Row],[Shortname]], Comp[], 27, FALSE)</f>
        <v>0</v>
      </c>
      <c r="AW572">
        <f>VLOOKUP(Table29[[#This Row],[Shortname]], Comp[], 28, FALSE)</f>
        <v>0</v>
      </c>
      <c r="AX572">
        <f>VLOOKUP(Table29[[#This Row],[Shortname]], Comp[], 29, FALSE)</f>
        <v>0</v>
      </c>
      <c r="AY572">
        <f>VLOOKUP(Table29[[#This Row],[Shortname]], Comp[], 30, FALSE)</f>
        <v>0</v>
      </c>
      <c r="AZ572">
        <f>VLOOKUP(Table29[[#This Row],[Shortname]], Comp[], 31, FALSE)</f>
        <v>0</v>
      </c>
    </row>
    <row r="573" spans="1:52" x14ac:dyDescent="0.3">
      <c r="A573" t="s">
        <v>6494</v>
      </c>
      <c r="F573" t="s">
        <v>6495</v>
      </c>
      <c r="G573" t="s">
        <v>6478</v>
      </c>
      <c r="H573">
        <v>336.8</v>
      </c>
      <c r="I573">
        <v>2.0699999999999999E-7</v>
      </c>
      <c r="J573">
        <f>0.01/Table29[[#This Row],[Strain Rate (min) /s]]</f>
        <v>48309.178743961354</v>
      </c>
      <c r="K573">
        <f>LOG(Table29[[#This Row],[Time to 1% strain (s)]])</f>
        <v>4.6840296545430826</v>
      </c>
      <c r="L573">
        <v>850</v>
      </c>
      <c r="P573" t="s">
        <v>7238</v>
      </c>
      <c r="Q573">
        <v>1200</v>
      </c>
      <c r="R573">
        <v>48</v>
      </c>
      <c r="S573">
        <v>850</v>
      </c>
      <c r="T573">
        <v>168</v>
      </c>
      <c r="W573">
        <v>1</v>
      </c>
      <c r="X573">
        <v>10</v>
      </c>
      <c r="Y573">
        <v>45</v>
      </c>
      <c r="AA573">
        <f>VLOOKUP(Table29[[#This Row],[Shortname]], Comp[], 6, FALSE)</f>
        <v>1086</v>
      </c>
      <c r="AB573" s="14">
        <f>VLOOKUP(Table29[[#This Row],[Shortname]], Comp[], 7, FALSE)</f>
        <v>59.019999999999996</v>
      </c>
      <c r="AC573">
        <f>VLOOKUP(Table29[[#This Row],[Shortname]], Comp[], 8, FALSE)</f>
        <v>19.54</v>
      </c>
      <c r="AD573">
        <f>VLOOKUP(Table29[[#This Row],[Shortname]], Comp[], 9, FALSE)</f>
        <v>4.9800000000000004</v>
      </c>
      <c r="AE573">
        <f>VLOOKUP(Table29[[#This Row],[Shortname]], Comp[], 10, FALSE)</f>
        <v>8.2899999999999991</v>
      </c>
      <c r="AF573">
        <f>VLOOKUP(Table29[[#This Row],[Shortname]], Comp[], 11, FALSE)</f>
        <v>0</v>
      </c>
      <c r="AG573">
        <f>VLOOKUP(Table29[[#This Row],[Shortname]], Comp[],12, FALSE)</f>
        <v>2.0699999999999998</v>
      </c>
      <c r="AH573">
        <f>VLOOKUP(Table29[[#This Row],[Shortname]], Comp[], 13, FALSE)</f>
        <v>1.61</v>
      </c>
      <c r="AI573">
        <f>VLOOKUP(Table29[[#This Row],[Shortname]], Comp[], 14, FALSE)</f>
        <v>1.38</v>
      </c>
      <c r="AJ573">
        <f>VLOOKUP(Table29[[#This Row],[Shortname]], Comp[], 15, FALSE)</f>
        <v>3.03</v>
      </c>
      <c r="AK573">
        <f>VLOOKUP(Table29[[#This Row],[Shortname]], Comp[], 16, FALSE)</f>
        <v>0</v>
      </c>
      <c r="AL573">
        <f>VLOOKUP(Table29[[#This Row],[Shortname]], Comp[], 17, FALSE)</f>
        <v>0</v>
      </c>
      <c r="AM573">
        <f>VLOOKUP(Table29[[#This Row],[Shortname]], Comp[], 18, FALSE)</f>
        <v>0</v>
      </c>
      <c r="AN573">
        <f>VLOOKUP(Table29[[#This Row],[Shortname]], Comp[], 19, FALSE)</f>
        <v>0.08</v>
      </c>
      <c r="AO573">
        <f>VLOOKUP(Table29[[#This Row],[Shortname]], Comp[], 20, FALSE)</f>
        <v>0</v>
      </c>
      <c r="AP573">
        <f>VLOOKUP(Table29[[#This Row],[Shortname]], Comp[], 21, FALSE)</f>
        <v>0</v>
      </c>
      <c r="AQ573">
        <f>VLOOKUP(Table29[[#This Row],[Shortname]], Comp[], 22, FALSE)</f>
        <v>0</v>
      </c>
      <c r="AR573">
        <f>VLOOKUP(Table29[[#This Row],[Shortname]], Comp[], 23, FALSE)</f>
        <v>0</v>
      </c>
      <c r="AS573">
        <f>VLOOKUP(Table29[[#This Row],[Shortname]], Comp[], 24, FALSE)</f>
        <v>0</v>
      </c>
      <c r="AT573">
        <f>VLOOKUP(Table29[[#This Row],[Shortname]], Comp[], 25, FALSE)</f>
        <v>0</v>
      </c>
      <c r="AU573">
        <f>VLOOKUP(Table29[[#This Row],[Shortname]], Comp[], 26, FALSE)</f>
        <v>0</v>
      </c>
      <c r="AV573">
        <f>VLOOKUP(Table29[[#This Row],[Shortname]], Comp[], 27, FALSE)</f>
        <v>0</v>
      </c>
      <c r="AW573">
        <f>VLOOKUP(Table29[[#This Row],[Shortname]], Comp[], 28, FALSE)</f>
        <v>0</v>
      </c>
      <c r="AX573">
        <f>VLOOKUP(Table29[[#This Row],[Shortname]], Comp[], 29, FALSE)</f>
        <v>0</v>
      </c>
      <c r="AY573">
        <f>VLOOKUP(Table29[[#This Row],[Shortname]], Comp[], 30, FALSE)</f>
        <v>0</v>
      </c>
      <c r="AZ573">
        <f>VLOOKUP(Table29[[#This Row],[Shortname]], Comp[], 31, FALSE)</f>
        <v>0</v>
      </c>
    </row>
    <row r="574" spans="1:52" x14ac:dyDescent="0.3">
      <c r="A574" t="s">
        <v>6494</v>
      </c>
      <c r="F574" t="s">
        <v>6495</v>
      </c>
      <c r="G574" t="s">
        <v>6478</v>
      </c>
      <c r="H574">
        <v>368.8</v>
      </c>
      <c r="I574">
        <v>4.1899999999999998E-7</v>
      </c>
      <c r="J574">
        <f>0.01/Table29[[#This Row],[Strain Rate (min) /s]]</f>
        <v>23866.348448687353</v>
      </c>
      <c r="K574">
        <f>LOG(Table29[[#This Row],[Time to 1% strain (s)]])</f>
        <v>4.3777859770337049</v>
      </c>
      <c r="L574">
        <v>850</v>
      </c>
      <c r="P574" t="s">
        <v>7238</v>
      </c>
      <c r="Q574">
        <v>1200</v>
      </c>
      <c r="R574">
        <v>48</v>
      </c>
      <c r="S574">
        <v>850</v>
      </c>
      <c r="T574">
        <v>168</v>
      </c>
      <c r="W574">
        <v>1</v>
      </c>
      <c r="X574">
        <v>10</v>
      </c>
      <c r="Y574">
        <v>45</v>
      </c>
      <c r="AA574">
        <f>VLOOKUP(Table29[[#This Row],[Shortname]], Comp[], 6, FALSE)</f>
        <v>1086</v>
      </c>
      <c r="AB574" s="14">
        <f>VLOOKUP(Table29[[#This Row],[Shortname]], Comp[], 7, FALSE)</f>
        <v>59.019999999999996</v>
      </c>
      <c r="AC574">
        <f>VLOOKUP(Table29[[#This Row],[Shortname]], Comp[], 8, FALSE)</f>
        <v>19.54</v>
      </c>
      <c r="AD574">
        <f>VLOOKUP(Table29[[#This Row],[Shortname]], Comp[], 9, FALSE)</f>
        <v>4.9800000000000004</v>
      </c>
      <c r="AE574">
        <f>VLOOKUP(Table29[[#This Row],[Shortname]], Comp[], 10, FALSE)</f>
        <v>8.2899999999999991</v>
      </c>
      <c r="AF574">
        <f>VLOOKUP(Table29[[#This Row],[Shortname]], Comp[], 11, FALSE)</f>
        <v>0</v>
      </c>
      <c r="AG574">
        <f>VLOOKUP(Table29[[#This Row],[Shortname]], Comp[],12, FALSE)</f>
        <v>2.0699999999999998</v>
      </c>
      <c r="AH574">
        <f>VLOOKUP(Table29[[#This Row],[Shortname]], Comp[], 13, FALSE)</f>
        <v>1.61</v>
      </c>
      <c r="AI574">
        <f>VLOOKUP(Table29[[#This Row],[Shortname]], Comp[], 14, FALSE)</f>
        <v>1.38</v>
      </c>
      <c r="AJ574">
        <f>VLOOKUP(Table29[[#This Row],[Shortname]], Comp[], 15, FALSE)</f>
        <v>3.03</v>
      </c>
      <c r="AK574">
        <f>VLOOKUP(Table29[[#This Row],[Shortname]], Comp[], 16, FALSE)</f>
        <v>0</v>
      </c>
      <c r="AL574">
        <f>VLOOKUP(Table29[[#This Row],[Shortname]], Comp[], 17, FALSE)</f>
        <v>0</v>
      </c>
      <c r="AM574">
        <f>VLOOKUP(Table29[[#This Row],[Shortname]], Comp[], 18, FALSE)</f>
        <v>0</v>
      </c>
      <c r="AN574">
        <f>VLOOKUP(Table29[[#This Row],[Shortname]], Comp[], 19, FALSE)</f>
        <v>0.08</v>
      </c>
      <c r="AO574">
        <f>VLOOKUP(Table29[[#This Row],[Shortname]], Comp[], 20, FALSE)</f>
        <v>0</v>
      </c>
      <c r="AP574">
        <f>VLOOKUP(Table29[[#This Row],[Shortname]], Comp[], 21, FALSE)</f>
        <v>0</v>
      </c>
      <c r="AQ574">
        <f>VLOOKUP(Table29[[#This Row],[Shortname]], Comp[], 22, FALSE)</f>
        <v>0</v>
      </c>
      <c r="AR574">
        <f>VLOOKUP(Table29[[#This Row],[Shortname]], Comp[], 23, FALSE)</f>
        <v>0</v>
      </c>
      <c r="AS574">
        <f>VLOOKUP(Table29[[#This Row],[Shortname]], Comp[], 24, FALSE)</f>
        <v>0</v>
      </c>
      <c r="AT574">
        <f>VLOOKUP(Table29[[#This Row],[Shortname]], Comp[], 25, FALSE)</f>
        <v>0</v>
      </c>
      <c r="AU574">
        <f>VLOOKUP(Table29[[#This Row],[Shortname]], Comp[], 26, FALSE)</f>
        <v>0</v>
      </c>
      <c r="AV574">
        <f>VLOOKUP(Table29[[#This Row],[Shortname]], Comp[], 27, FALSE)</f>
        <v>0</v>
      </c>
      <c r="AW574">
        <f>VLOOKUP(Table29[[#This Row],[Shortname]], Comp[], 28, FALSE)</f>
        <v>0</v>
      </c>
      <c r="AX574">
        <f>VLOOKUP(Table29[[#This Row],[Shortname]], Comp[], 29, FALSE)</f>
        <v>0</v>
      </c>
      <c r="AY574">
        <f>VLOOKUP(Table29[[#This Row],[Shortname]], Comp[], 30, FALSE)</f>
        <v>0</v>
      </c>
      <c r="AZ574">
        <f>VLOOKUP(Table29[[#This Row],[Shortname]], Comp[], 31, FALSE)</f>
        <v>0</v>
      </c>
    </row>
    <row r="575" spans="1:52" x14ac:dyDescent="0.3">
      <c r="A575" t="s">
        <v>6494</v>
      </c>
      <c r="F575" t="s">
        <v>6495</v>
      </c>
      <c r="G575" t="s">
        <v>6478</v>
      </c>
      <c r="H575">
        <v>410.1</v>
      </c>
      <c r="I575">
        <v>1.15E-6</v>
      </c>
      <c r="J575">
        <f>0.01/Table29[[#This Row],[Strain Rate (min) /s]]</f>
        <v>8695.652173913044</v>
      </c>
      <c r="K575">
        <f>LOG(Table29[[#This Row],[Time to 1% strain (s)]])</f>
        <v>3.9393021596463882</v>
      </c>
      <c r="L575">
        <v>850</v>
      </c>
      <c r="P575" t="s">
        <v>7238</v>
      </c>
      <c r="Q575">
        <v>1200</v>
      </c>
      <c r="R575">
        <v>48</v>
      </c>
      <c r="S575">
        <v>850</v>
      </c>
      <c r="T575">
        <v>168</v>
      </c>
      <c r="W575">
        <v>1</v>
      </c>
      <c r="X575">
        <v>10</v>
      </c>
      <c r="Y575">
        <v>45</v>
      </c>
      <c r="AA575">
        <f>VLOOKUP(Table29[[#This Row],[Shortname]], Comp[], 6, FALSE)</f>
        <v>1086</v>
      </c>
      <c r="AB575" s="14">
        <f>VLOOKUP(Table29[[#This Row],[Shortname]], Comp[], 7, FALSE)</f>
        <v>59.019999999999996</v>
      </c>
      <c r="AC575">
        <f>VLOOKUP(Table29[[#This Row],[Shortname]], Comp[], 8, FALSE)</f>
        <v>19.54</v>
      </c>
      <c r="AD575">
        <f>VLOOKUP(Table29[[#This Row],[Shortname]], Comp[], 9, FALSE)</f>
        <v>4.9800000000000004</v>
      </c>
      <c r="AE575">
        <f>VLOOKUP(Table29[[#This Row],[Shortname]], Comp[], 10, FALSE)</f>
        <v>8.2899999999999991</v>
      </c>
      <c r="AF575">
        <f>VLOOKUP(Table29[[#This Row],[Shortname]], Comp[], 11, FALSE)</f>
        <v>0</v>
      </c>
      <c r="AG575">
        <f>VLOOKUP(Table29[[#This Row],[Shortname]], Comp[],12, FALSE)</f>
        <v>2.0699999999999998</v>
      </c>
      <c r="AH575">
        <f>VLOOKUP(Table29[[#This Row],[Shortname]], Comp[], 13, FALSE)</f>
        <v>1.61</v>
      </c>
      <c r="AI575">
        <f>VLOOKUP(Table29[[#This Row],[Shortname]], Comp[], 14, FALSE)</f>
        <v>1.38</v>
      </c>
      <c r="AJ575">
        <f>VLOOKUP(Table29[[#This Row],[Shortname]], Comp[], 15, FALSE)</f>
        <v>3.03</v>
      </c>
      <c r="AK575">
        <f>VLOOKUP(Table29[[#This Row],[Shortname]], Comp[], 16, FALSE)</f>
        <v>0</v>
      </c>
      <c r="AL575">
        <f>VLOOKUP(Table29[[#This Row],[Shortname]], Comp[], 17, FALSE)</f>
        <v>0</v>
      </c>
      <c r="AM575">
        <f>VLOOKUP(Table29[[#This Row],[Shortname]], Comp[], 18, FALSE)</f>
        <v>0</v>
      </c>
      <c r="AN575">
        <f>VLOOKUP(Table29[[#This Row],[Shortname]], Comp[], 19, FALSE)</f>
        <v>0.08</v>
      </c>
      <c r="AO575">
        <f>VLOOKUP(Table29[[#This Row],[Shortname]], Comp[], 20, FALSE)</f>
        <v>0</v>
      </c>
      <c r="AP575">
        <f>VLOOKUP(Table29[[#This Row],[Shortname]], Comp[], 21, FALSE)</f>
        <v>0</v>
      </c>
      <c r="AQ575">
        <f>VLOOKUP(Table29[[#This Row],[Shortname]], Comp[], 22, FALSE)</f>
        <v>0</v>
      </c>
      <c r="AR575">
        <f>VLOOKUP(Table29[[#This Row],[Shortname]], Comp[], 23, FALSE)</f>
        <v>0</v>
      </c>
      <c r="AS575">
        <f>VLOOKUP(Table29[[#This Row],[Shortname]], Comp[], 24, FALSE)</f>
        <v>0</v>
      </c>
      <c r="AT575">
        <f>VLOOKUP(Table29[[#This Row],[Shortname]], Comp[], 25, FALSE)</f>
        <v>0</v>
      </c>
      <c r="AU575">
        <f>VLOOKUP(Table29[[#This Row],[Shortname]], Comp[], 26, FALSE)</f>
        <v>0</v>
      </c>
      <c r="AV575">
        <f>VLOOKUP(Table29[[#This Row],[Shortname]], Comp[], 27, FALSE)</f>
        <v>0</v>
      </c>
      <c r="AW575">
        <f>VLOOKUP(Table29[[#This Row],[Shortname]], Comp[], 28, FALSE)</f>
        <v>0</v>
      </c>
      <c r="AX575">
        <f>VLOOKUP(Table29[[#This Row],[Shortname]], Comp[], 29, FALSE)</f>
        <v>0</v>
      </c>
      <c r="AY575">
        <f>VLOOKUP(Table29[[#This Row],[Shortname]], Comp[], 30, FALSE)</f>
        <v>0</v>
      </c>
      <c r="AZ575">
        <f>VLOOKUP(Table29[[#This Row],[Shortname]], Comp[], 31, FALSE)</f>
        <v>0</v>
      </c>
    </row>
    <row r="576" spans="1:52" x14ac:dyDescent="0.3">
      <c r="A576" t="s">
        <v>6494</v>
      </c>
      <c r="F576" t="s">
        <v>6495</v>
      </c>
      <c r="G576" t="s">
        <v>6478</v>
      </c>
      <c r="H576">
        <v>449.5</v>
      </c>
      <c r="I576">
        <v>5.7200000000000003E-6</v>
      </c>
      <c r="J576">
        <f>0.01/Table29[[#This Row],[Strain Rate (min) /s]]</f>
        <v>1748.2517482517483</v>
      </c>
      <c r="K576">
        <f>LOG(Table29[[#This Row],[Time to 1% strain (s)]])</f>
        <v>3.2426039712069756</v>
      </c>
      <c r="L576">
        <v>850</v>
      </c>
      <c r="P576" t="s">
        <v>7238</v>
      </c>
      <c r="Q576">
        <v>1200</v>
      </c>
      <c r="R576">
        <v>48</v>
      </c>
      <c r="S576">
        <v>850</v>
      </c>
      <c r="T576">
        <v>168</v>
      </c>
      <c r="W576">
        <v>1</v>
      </c>
      <c r="X576">
        <v>10</v>
      </c>
      <c r="Y576">
        <v>45</v>
      </c>
      <c r="AA576">
        <f>VLOOKUP(Table29[[#This Row],[Shortname]], Comp[], 6, FALSE)</f>
        <v>1086</v>
      </c>
      <c r="AB576" s="14">
        <f>VLOOKUP(Table29[[#This Row],[Shortname]], Comp[], 7, FALSE)</f>
        <v>59.019999999999996</v>
      </c>
      <c r="AC576">
        <f>VLOOKUP(Table29[[#This Row],[Shortname]], Comp[], 8, FALSE)</f>
        <v>19.54</v>
      </c>
      <c r="AD576">
        <f>VLOOKUP(Table29[[#This Row],[Shortname]], Comp[], 9, FALSE)</f>
        <v>4.9800000000000004</v>
      </c>
      <c r="AE576">
        <f>VLOOKUP(Table29[[#This Row],[Shortname]], Comp[], 10, FALSE)</f>
        <v>8.2899999999999991</v>
      </c>
      <c r="AF576">
        <f>VLOOKUP(Table29[[#This Row],[Shortname]], Comp[], 11, FALSE)</f>
        <v>0</v>
      </c>
      <c r="AG576">
        <f>VLOOKUP(Table29[[#This Row],[Shortname]], Comp[],12, FALSE)</f>
        <v>2.0699999999999998</v>
      </c>
      <c r="AH576">
        <f>VLOOKUP(Table29[[#This Row],[Shortname]], Comp[], 13, FALSE)</f>
        <v>1.61</v>
      </c>
      <c r="AI576">
        <f>VLOOKUP(Table29[[#This Row],[Shortname]], Comp[], 14, FALSE)</f>
        <v>1.38</v>
      </c>
      <c r="AJ576">
        <f>VLOOKUP(Table29[[#This Row],[Shortname]], Comp[], 15, FALSE)</f>
        <v>3.03</v>
      </c>
      <c r="AK576">
        <f>VLOOKUP(Table29[[#This Row],[Shortname]], Comp[], 16, FALSE)</f>
        <v>0</v>
      </c>
      <c r="AL576">
        <f>VLOOKUP(Table29[[#This Row],[Shortname]], Comp[], 17, FALSE)</f>
        <v>0</v>
      </c>
      <c r="AM576">
        <f>VLOOKUP(Table29[[#This Row],[Shortname]], Comp[], 18, FALSE)</f>
        <v>0</v>
      </c>
      <c r="AN576">
        <f>VLOOKUP(Table29[[#This Row],[Shortname]], Comp[], 19, FALSE)</f>
        <v>0.08</v>
      </c>
      <c r="AO576">
        <f>VLOOKUP(Table29[[#This Row],[Shortname]], Comp[], 20, FALSE)</f>
        <v>0</v>
      </c>
      <c r="AP576">
        <f>VLOOKUP(Table29[[#This Row],[Shortname]], Comp[], 21, FALSE)</f>
        <v>0</v>
      </c>
      <c r="AQ576">
        <f>VLOOKUP(Table29[[#This Row],[Shortname]], Comp[], 22, FALSE)</f>
        <v>0</v>
      </c>
      <c r="AR576">
        <f>VLOOKUP(Table29[[#This Row],[Shortname]], Comp[], 23, FALSE)</f>
        <v>0</v>
      </c>
      <c r="AS576">
        <f>VLOOKUP(Table29[[#This Row],[Shortname]], Comp[], 24, FALSE)</f>
        <v>0</v>
      </c>
      <c r="AT576">
        <f>VLOOKUP(Table29[[#This Row],[Shortname]], Comp[], 25, FALSE)</f>
        <v>0</v>
      </c>
      <c r="AU576">
        <f>VLOOKUP(Table29[[#This Row],[Shortname]], Comp[], 26, FALSE)</f>
        <v>0</v>
      </c>
      <c r="AV576">
        <f>VLOOKUP(Table29[[#This Row],[Shortname]], Comp[], 27, FALSE)</f>
        <v>0</v>
      </c>
      <c r="AW576">
        <f>VLOOKUP(Table29[[#This Row],[Shortname]], Comp[], 28, FALSE)</f>
        <v>0</v>
      </c>
      <c r="AX576">
        <f>VLOOKUP(Table29[[#This Row],[Shortname]], Comp[], 29, FALSE)</f>
        <v>0</v>
      </c>
      <c r="AY576">
        <f>VLOOKUP(Table29[[#This Row],[Shortname]], Comp[], 30, FALSE)</f>
        <v>0</v>
      </c>
      <c r="AZ576">
        <f>VLOOKUP(Table29[[#This Row],[Shortname]], Comp[], 31, FALSE)</f>
        <v>0</v>
      </c>
    </row>
    <row r="577" spans="1:52" x14ac:dyDescent="0.3">
      <c r="A577" t="s">
        <v>6494</v>
      </c>
      <c r="F577" t="s">
        <v>6495</v>
      </c>
      <c r="G577" t="s">
        <v>6478</v>
      </c>
      <c r="H577">
        <v>521</v>
      </c>
      <c r="I577">
        <v>1.91E-5</v>
      </c>
      <c r="J577">
        <f>0.01/Table29[[#This Row],[Strain Rate (min) /s]]</f>
        <v>523.56020942408372</v>
      </c>
      <c r="K577">
        <f>LOG(Table29[[#This Row],[Time to 1% strain (s)]])</f>
        <v>2.7189666327522723</v>
      </c>
      <c r="L577">
        <v>850</v>
      </c>
      <c r="P577" t="s">
        <v>7238</v>
      </c>
      <c r="Q577">
        <v>1200</v>
      </c>
      <c r="R577">
        <v>48</v>
      </c>
      <c r="S577">
        <v>850</v>
      </c>
      <c r="T577">
        <v>168</v>
      </c>
      <c r="W577">
        <v>1</v>
      </c>
      <c r="X577">
        <v>10</v>
      </c>
      <c r="Y577">
        <v>45</v>
      </c>
      <c r="AA577">
        <f>VLOOKUP(Table29[[#This Row],[Shortname]], Comp[], 6, FALSE)</f>
        <v>1086</v>
      </c>
      <c r="AB577" s="14">
        <f>VLOOKUP(Table29[[#This Row],[Shortname]], Comp[], 7, FALSE)</f>
        <v>59.019999999999996</v>
      </c>
      <c r="AC577">
        <f>VLOOKUP(Table29[[#This Row],[Shortname]], Comp[], 8, FALSE)</f>
        <v>19.54</v>
      </c>
      <c r="AD577">
        <f>VLOOKUP(Table29[[#This Row],[Shortname]], Comp[], 9, FALSE)</f>
        <v>4.9800000000000004</v>
      </c>
      <c r="AE577">
        <f>VLOOKUP(Table29[[#This Row],[Shortname]], Comp[], 10, FALSE)</f>
        <v>8.2899999999999991</v>
      </c>
      <c r="AF577">
        <f>VLOOKUP(Table29[[#This Row],[Shortname]], Comp[], 11, FALSE)</f>
        <v>0</v>
      </c>
      <c r="AG577">
        <f>VLOOKUP(Table29[[#This Row],[Shortname]], Comp[],12, FALSE)</f>
        <v>2.0699999999999998</v>
      </c>
      <c r="AH577">
        <f>VLOOKUP(Table29[[#This Row],[Shortname]], Comp[], 13, FALSE)</f>
        <v>1.61</v>
      </c>
      <c r="AI577">
        <f>VLOOKUP(Table29[[#This Row],[Shortname]], Comp[], 14, FALSE)</f>
        <v>1.38</v>
      </c>
      <c r="AJ577">
        <f>VLOOKUP(Table29[[#This Row],[Shortname]], Comp[], 15, FALSE)</f>
        <v>3.03</v>
      </c>
      <c r="AK577">
        <f>VLOOKUP(Table29[[#This Row],[Shortname]], Comp[], 16, FALSE)</f>
        <v>0</v>
      </c>
      <c r="AL577">
        <f>VLOOKUP(Table29[[#This Row],[Shortname]], Comp[], 17, FALSE)</f>
        <v>0</v>
      </c>
      <c r="AM577">
        <f>VLOOKUP(Table29[[#This Row],[Shortname]], Comp[], 18, FALSE)</f>
        <v>0</v>
      </c>
      <c r="AN577">
        <f>VLOOKUP(Table29[[#This Row],[Shortname]], Comp[], 19, FALSE)</f>
        <v>0.08</v>
      </c>
      <c r="AO577">
        <f>VLOOKUP(Table29[[#This Row],[Shortname]], Comp[], 20, FALSE)</f>
        <v>0</v>
      </c>
      <c r="AP577">
        <f>VLOOKUP(Table29[[#This Row],[Shortname]], Comp[], 21, FALSE)</f>
        <v>0</v>
      </c>
      <c r="AQ577">
        <f>VLOOKUP(Table29[[#This Row],[Shortname]], Comp[], 22, FALSE)</f>
        <v>0</v>
      </c>
      <c r="AR577">
        <f>VLOOKUP(Table29[[#This Row],[Shortname]], Comp[], 23, FALSE)</f>
        <v>0</v>
      </c>
      <c r="AS577">
        <f>VLOOKUP(Table29[[#This Row],[Shortname]], Comp[], 24, FALSE)</f>
        <v>0</v>
      </c>
      <c r="AT577">
        <f>VLOOKUP(Table29[[#This Row],[Shortname]], Comp[], 25, FALSE)</f>
        <v>0</v>
      </c>
      <c r="AU577">
        <f>VLOOKUP(Table29[[#This Row],[Shortname]], Comp[], 26, FALSE)</f>
        <v>0</v>
      </c>
      <c r="AV577">
        <f>VLOOKUP(Table29[[#This Row],[Shortname]], Comp[], 27, FALSE)</f>
        <v>0</v>
      </c>
      <c r="AW577">
        <f>VLOOKUP(Table29[[#This Row],[Shortname]], Comp[], 28, FALSE)</f>
        <v>0</v>
      </c>
      <c r="AX577">
        <f>VLOOKUP(Table29[[#This Row],[Shortname]], Comp[], 29, FALSE)</f>
        <v>0</v>
      </c>
      <c r="AY577">
        <f>VLOOKUP(Table29[[#This Row],[Shortname]], Comp[], 30, FALSE)</f>
        <v>0</v>
      </c>
      <c r="AZ577">
        <f>VLOOKUP(Table29[[#This Row],[Shortname]], Comp[], 31, FALSE)</f>
        <v>0</v>
      </c>
    </row>
    <row r="578" spans="1:52" x14ac:dyDescent="0.3">
      <c r="A578" t="s">
        <v>6494</v>
      </c>
      <c r="F578" t="s">
        <v>6495</v>
      </c>
      <c r="G578" t="s">
        <v>6478</v>
      </c>
      <c r="H578">
        <v>564.29999999999995</v>
      </c>
      <c r="I578">
        <v>4.6499999999999999E-5</v>
      </c>
      <c r="J578">
        <f>0.01/Table29[[#This Row],[Strain Rate (min) /s]]</f>
        <v>215.05376344086022</v>
      </c>
      <c r="K578">
        <f>LOG(Table29[[#This Row],[Time to 1% strain (s)]])</f>
        <v>2.332547047110046</v>
      </c>
      <c r="L578">
        <v>850</v>
      </c>
      <c r="P578" t="s">
        <v>7238</v>
      </c>
      <c r="Q578">
        <v>1200</v>
      </c>
      <c r="R578">
        <v>48</v>
      </c>
      <c r="S578">
        <v>850</v>
      </c>
      <c r="T578">
        <v>168</v>
      </c>
      <c r="W578">
        <v>1</v>
      </c>
      <c r="X578">
        <v>10</v>
      </c>
      <c r="Y578">
        <v>45</v>
      </c>
      <c r="AA578">
        <f>VLOOKUP(Table29[[#This Row],[Shortname]], Comp[], 6, FALSE)</f>
        <v>1086</v>
      </c>
      <c r="AB578" s="14">
        <f>VLOOKUP(Table29[[#This Row],[Shortname]], Comp[], 7, FALSE)</f>
        <v>59.019999999999996</v>
      </c>
      <c r="AC578">
        <f>VLOOKUP(Table29[[#This Row],[Shortname]], Comp[], 8, FALSE)</f>
        <v>19.54</v>
      </c>
      <c r="AD578">
        <f>VLOOKUP(Table29[[#This Row],[Shortname]], Comp[], 9, FALSE)</f>
        <v>4.9800000000000004</v>
      </c>
      <c r="AE578">
        <f>VLOOKUP(Table29[[#This Row],[Shortname]], Comp[], 10, FALSE)</f>
        <v>8.2899999999999991</v>
      </c>
      <c r="AF578">
        <f>VLOOKUP(Table29[[#This Row],[Shortname]], Comp[], 11, FALSE)</f>
        <v>0</v>
      </c>
      <c r="AG578">
        <f>VLOOKUP(Table29[[#This Row],[Shortname]], Comp[],12, FALSE)</f>
        <v>2.0699999999999998</v>
      </c>
      <c r="AH578">
        <f>VLOOKUP(Table29[[#This Row],[Shortname]], Comp[], 13, FALSE)</f>
        <v>1.61</v>
      </c>
      <c r="AI578">
        <f>VLOOKUP(Table29[[#This Row],[Shortname]], Comp[], 14, FALSE)</f>
        <v>1.38</v>
      </c>
      <c r="AJ578">
        <f>VLOOKUP(Table29[[#This Row],[Shortname]], Comp[], 15, FALSE)</f>
        <v>3.03</v>
      </c>
      <c r="AK578">
        <f>VLOOKUP(Table29[[#This Row],[Shortname]], Comp[], 16, FALSE)</f>
        <v>0</v>
      </c>
      <c r="AL578">
        <f>VLOOKUP(Table29[[#This Row],[Shortname]], Comp[], 17, FALSE)</f>
        <v>0</v>
      </c>
      <c r="AM578">
        <f>VLOOKUP(Table29[[#This Row],[Shortname]], Comp[], 18, FALSE)</f>
        <v>0</v>
      </c>
      <c r="AN578">
        <f>VLOOKUP(Table29[[#This Row],[Shortname]], Comp[], 19, FALSE)</f>
        <v>0.08</v>
      </c>
      <c r="AO578">
        <f>VLOOKUP(Table29[[#This Row],[Shortname]], Comp[], 20, FALSE)</f>
        <v>0</v>
      </c>
      <c r="AP578">
        <f>VLOOKUP(Table29[[#This Row],[Shortname]], Comp[], 21, FALSE)</f>
        <v>0</v>
      </c>
      <c r="AQ578">
        <f>VLOOKUP(Table29[[#This Row],[Shortname]], Comp[], 22, FALSE)</f>
        <v>0</v>
      </c>
      <c r="AR578">
        <f>VLOOKUP(Table29[[#This Row],[Shortname]], Comp[], 23, FALSE)</f>
        <v>0</v>
      </c>
      <c r="AS578">
        <f>VLOOKUP(Table29[[#This Row],[Shortname]], Comp[], 24, FALSE)</f>
        <v>0</v>
      </c>
      <c r="AT578">
        <f>VLOOKUP(Table29[[#This Row],[Shortname]], Comp[], 25, FALSE)</f>
        <v>0</v>
      </c>
      <c r="AU578">
        <f>VLOOKUP(Table29[[#This Row],[Shortname]], Comp[], 26, FALSE)</f>
        <v>0</v>
      </c>
      <c r="AV578">
        <f>VLOOKUP(Table29[[#This Row],[Shortname]], Comp[], 27, FALSE)</f>
        <v>0</v>
      </c>
      <c r="AW578">
        <f>VLOOKUP(Table29[[#This Row],[Shortname]], Comp[], 28, FALSE)</f>
        <v>0</v>
      </c>
      <c r="AX578">
        <f>VLOOKUP(Table29[[#This Row],[Shortname]], Comp[], 29, FALSE)</f>
        <v>0</v>
      </c>
      <c r="AY578">
        <f>VLOOKUP(Table29[[#This Row],[Shortname]], Comp[], 30, FALSE)</f>
        <v>0</v>
      </c>
      <c r="AZ578">
        <f>VLOOKUP(Table29[[#This Row],[Shortname]], Comp[], 31, FALSE)</f>
        <v>0</v>
      </c>
    </row>
    <row r="579" spans="1:52" x14ac:dyDescent="0.3">
      <c r="A579" t="s">
        <v>6498</v>
      </c>
      <c r="F579" t="s">
        <v>6499</v>
      </c>
      <c r="G579" t="s">
        <v>6478</v>
      </c>
      <c r="H579">
        <v>256.39999999999998</v>
      </c>
      <c r="I579">
        <v>4.6199999999999997E-8</v>
      </c>
      <c r="J579">
        <f>0.01/Table29[[#This Row],[Strain Rate (min) /s]]</f>
        <v>216450.21645021648</v>
      </c>
      <c r="K579">
        <f>LOG(Table29[[#This Row],[Time to 1% strain (s)]])</f>
        <v>5.3353580244438747</v>
      </c>
      <c r="L579">
        <v>850</v>
      </c>
      <c r="P579" t="s">
        <v>7239</v>
      </c>
      <c r="Q579">
        <v>1200</v>
      </c>
      <c r="R579">
        <v>48</v>
      </c>
      <c r="S579">
        <v>850</v>
      </c>
      <c r="T579">
        <v>168</v>
      </c>
      <c r="W579">
        <v>1</v>
      </c>
      <c r="X579">
        <v>10</v>
      </c>
      <c r="Y579">
        <v>45</v>
      </c>
      <c r="AA579">
        <f>VLOOKUP(Table29[[#This Row],[Shortname]], Comp[], 6, FALSE)</f>
        <v>1087</v>
      </c>
      <c r="AB579" s="14">
        <f>VLOOKUP(Table29[[#This Row],[Shortname]], Comp[], 7, FALSE)</f>
        <v>48.690000000000005</v>
      </c>
      <c r="AC579">
        <f>VLOOKUP(Table29[[#This Row],[Shortname]], Comp[], 8, FALSE)</f>
        <v>29.66</v>
      </c>
      <c r="AD579">
        <f>VLOOKUP(Table29[[#This Row],[Shortname]], Comp[], 9, FALSE)</f>
        <v>4.9800000000000004</v>
      </c>
      <c r="AE579">
        <f>VLOOKUP(Table29[[#This Row],[Shortname]], Comp[], 10, FALSE)</f>
        <v>8.19</v>
      </c>
      <c r="AF579">
        <f>VLOOKUP(Table29[[#This Row],[Shortname]], Comp[], 11, FALSE)</f>
        <v>0</v>
      </c>
      <c r="AG579">
        <f>VLOOKUP(Table29[[#This Row],[Shortname]], Comp[],12, FALSE)</f>
        <v>2.08</v>
      </c>
      <c r="AH579">
        <f>VLOOKUP(Table29[[#This Row],[Shortname]], Comp[], 13, FALSE)</f>
        <v>1.65</v>
      </c>
      <c r="AI579">
        <f>VLOOKUP(Table29[[#This Row],[Shortname]], Comp[], 14, FALSE)</f>
        <v>1.6</v>
      </c>
      <c r="AJ579">
        <f>VLOOKUP(Table29[[#This Row],[Shortname]], Comp[], 15, FALSE)</f>
        <v>3.07</v>
      </c>
      <c r="AK579">
        <f>VLOOKUP(Table29[[#This Row],[Shortname]], Comp[], 16, FALSE)</f>
        <v>0</v>
      </c>
      <c r="AL579">
        <f>VLOOKUP(Table29[[#This Row],[Shortname]], Comp[], 17, FALSE)</f>
        <v>0</v>
      </c>
      <c r="AM579">
        <f>VLOOKUP(Table29[[#This Row],[Shortname]], Comp[], 18, FALSE)</f>
        <v>0</v>
      </c>
      <c r="AN579">
        <f>VLOOKUP(Table29[[#This Row],[Shortname]], Comp[], 19, FALSE)</f>
        <v>0.08</v>
      </c>
      <c r="AO579">
        <f>VLOOKUP(Table29[[#This Row],[Shortname]], Comp[], 20, FALSE)</f>
        <v>0</v>
      </c>
      <c r="AP579">
        <f>VLOOKUP(Table29[[#This Row],[Shortname]], Comp[], 21, FALSE)</f>
        <v>0</v>
      </c>
      <c r="AQ579">
        <f>VLOOKUP(Table29[[#This Row],[Shortname]], Comp[], 22, FALSE)</f>
        <v>0</v>
      </c>
      <c r="AR579">
        <f>VLOOKUP(Table29[[#This Row],[Shortname]], Comp[], 23, FALSE)</f>
        <v>0</v>
      </c>
      <c r="AS579">
        <f>VLOOKUP(Table29[[#This Row],[Shortname]], Comp[], 24, FALSE)</f>
        <v>0</v>
      </c>
      <c r="AT579">
        <f>VLOOKUP(Table29[[#This Row],[Shortname]], Comp[], 25, FALSE)</f>
        <v>0</v>
      </c>
      <c r="AU579">
        <f>VLOOKUP(Table29[[#This Row],[Shortname]], Comp[], 26, FALSE)</f>
        <v>0</v>
      </c>
      <c r="AV579">
        <f>VLOOKUP(Table29[[#This Row],[Shortname]], Comp[], 27, FALSE)</f>
        <v>0</v>
      </c>
      <c r="AW579">
        <f>VLOOKUP(Table29[[#This Row],[Shortname]], Comp[], 28, FALSE)</f>
        <v>0</v>
      </c>
      <c r="AX579">
        <f>VLOOKUP(Table29[[#This Row],[Shortname]], Comp[], 29, FALSE)</f>
        <v>0</v>
      </c>
      <c r="AY579">
        <f>VLOOKUP(Table29[[#This Row],[Shortname]], Comp[], 30, FALSE)</f>
        <v>0</v>
      </c>
      <c r="AZ579">
        <f>VLOOKUP(Table29[[#This Row],[Shortname]], Comp[], 31, FALSE)</f>
        <v>0</v>
      </c>
    </row>
    <row r="580" spans="1:52" x14ac:dyDescent="0.3">
      <c r="A580" t="s">
        <v>6498</v>
      </c>
      <c r="F580" t="s">
        <v>6499</v>
      </c>
      <c r="G580" t="s">
        <v>6478</v>
      </c>
      <c r="H580">
        <v>278.60000000000002</v>
      </c>
      <c r="I580">
        <v>4.6800000000000002E-8</v>
      </c>
      <c r="J580">
        <f>0.01/Table29[[#This Row],[Strain Rate (min) /s]]</f>
        <v>213675.21367521366</v>
      </c>
      <c r="K580">
        <f>LOG(Table29[[#This Row],[Time to 1% strain (s)]])</f>
        <v>5.3297541469258762</v>
      </c>
      <c r="L580">
        <v>850</v>
      </c>
      <c r="P580" t="s">
        <v>7239</v>
      </c>
      <c r="Q580">
        <v>1200</v>
      </c>
      <c r="R580">
        <v>48</v>
      </c>
      <c r="S580">
        <v>850</v>
      </c>
      <c r="T580">
        <v>168</v>
      </c>
      <c r="W580">
        <v>1</v>
      </c>
      <c r="X580">
        <v>10</v>
      </c>
      <c r="Y580">
        <v>45</v>
      </c>
      <c r="AA580">
        <f>VLOOKUP(Table29[[#This Row],[Shortname]], Comp[], 6, FALSE)</f>
        <v>1087</v>
      </c>
      <c r="AB580" s="14">
        <f>VLOOKUP(Table29[[#This Row],[Shortname]], Comp[], 7, FALSE)</f>
        <v>48.690000000000005</v>
      </c>
      <c r="AC580">
        <f>VLOOKUP(Table29[[#This Row],[Shortname]], Comp[], 8, FALSE)</f>
        <v>29.66</v>
      </c>
      <c r="AD580">
        <f>VLOOKUP(Table29[[#This Row],[Shortname]], Comp[], 9, FALSE)</f>
        <v>4.9800000000000004</v>
      </c>
      <c r="AE580">
        <f>VLOOKUP(Table29[[#This Row],[Shortname]], Comp[], 10, FALSE)</f>
        <v>8.19</v>
      </c>
      <c r="AF580">
        <f>VLOOKUP(Table29[[#This Row],[Shortname]], Comp[], 11, FALSE)</f>
        <v>0</v>
      </c>
      <c r="AG580">
        <f>VLOOKUP(Table29[[#This Row],[Shortname]], Comp[],12, FALSE)</f>
        <v>2.08</v>
      </c>
      <c r="AH580">
        <f>VLOOKUP(Table29[[#This Row],[Shortname]], Comp[], 13, FALSE)</f>
        <v>1.65</v>
      </c>
      <c r="AI580">
        <f>VLOOKUP(Table29[[#This Row],[Shortname]], Comp[], 14, FALSE)</f>
        <v>1.6</v>
      </c>
      <c r="AJ580">
        <f>VLOOKUP(Table29[[#This Row],[Shortname]], Comp[], 15, FALSE)</f>
        <v>3.07</v>
      </c>
      <c r="AK580">
        <f>VLOOKUP(Table29[[#This Row],[Shortname]], Comp[], 16, FALSE)</f>
        <v>0</v>
      </c>
      <c r="AL580">
        <f>VLOOKUP(Table29[[#This Row],[Shortname]], Comp[], 17, FALSE)</f>
        <v>0</v>
      </c>
      <c r="AM580">
        <f>VLOOKUP(Table29[[#This Row],[Shortname]], Comp[], 18, FALSE)</f>
        <v>0</v>
      </c>
      <c r="AN580">
        <f>VLOOKUP(Table29[[#This Row],[Shortname]], Comp[], 19, FALSE)</f>
        <v>0.08</v>
      </c>
      <c r="AO580">
        <f>VLOOKUP(Table29[[#This Row],[Shortname]], Comp[], 20, FALSE)</f>
        <v>0</v>
      </c>
      <c r="AP580">
        <f>VLOOKUP(Table29[[#This Row],[Shortname]], Comp[], 21, FALSE)</f>
        <v>0</v>
      </c>
      <c r="AQ580">
        <f>VLOOKUP(Table29[[#This Row],[Shortname]], Comp[], 22, FALSE)</f>
        <v>0</v>
      </c>
      <c r="AR580">
        <f>VLOOKUP(Table29[[#This Row],[Shortname]], Comp[], 23, FALSE)</f>
        <v>0</v>
      </c>
      <c r="AS580">
        <f>VLOOKUP(Table29[[#This Row],[Shortname]], Comp[], 24, FALSE)</f>
        <v>0</v>
      </c>
      <c r="AT580">
        <f>VLOOKUP(Table29[[#This Row],[Shortname]], Comp[], 25, FALSE)</f>
        <v>0</v>
      </c>
      <c r="AU580">
        <f>VLOOKUP(Table29[[#This Row],[Shortname]], Comp[], 26, FALSE)</f>
        <v>0</v>
      </c>
      <c r="AV580">
        <f>VLOOKUP(Table29[[#This Row],[Shortname]], Comp[], 27, FALSE)</f>
        <v>0</v>
      </c>
      <c r="AW580">
        <f>VLOOKUP(Table29[[#This Row],[Shortname]], Comp[], 28, FALSE)</f>
        <v>0</v>
      </c>
      <c r="AX580">
        <f>VLOOKUP(Table29[[#This Row],[Shortname]], Comp[], 29, FALSE)</f>
        <v>0</v>
      </c>
      <c r="AY580">
        <f>VLOOKUP(Table29[[#This Row],[Shortname]], Comp[], 30, FALSE)</f>
        <v>0</v>
      </c>
      <c r="AZ580">
        <f>VLOOKUP(Table29[[#This Row],[Shortname]], Comp[], 31, FALSE)</f>
        <v>0</v>
      </c>
    </row>
    <row r="581" spans="1:52" x14ac:dyDescent="0.3">
      <c r="A581" t="s">
        <v>6498</v>
      </c>
      <c r="F581" t="s">
        <v>6499</v>
      </c>
      <c r="G581" t="s">
        <v>6478</v>
      </c>
      <c r="H581">
        <v>305.10000000000002</v>
      </c>
      <c r="I581">
        <v>6.2900000000000001E-8</v>
      </c>
      <c r="J581">
        <f>0.01/Table29[[#This Row],[Strain Rate (min) /s]]</f>
        <v>158982.51192368841</v>
      </c>
      <c r="K581">
        <f>LOG(Table29[[#This Row],[Time to 1% strain (s)]])</f>
        <v>5.2013493545547309</v>
      </c>
      <c r="L581">
        <v>850</v>
      </c>
      <c r="P581" t="s">
        <v>7239</v>
      </c>
      <c r="Q581">
        <v>1200</v>
      </c>
      <c r="R581">
        <v>48</v>
      </c>
      <c r="S581">
        <v>850</v>
      </c>
      <c r="T581">
        <v>168</v>
      </c>
      <c r="W581">
        <v>1</v>
      </c>
      <c r="X581">
        <v>10</v>
      </c>
      <c r="Y581">
        <v>45</v>
      </c>
      <c r="AA581">
        <f>VLOOKUP(Table29[[#This Row],[Shortname]], Comp[], 6, FALSE)</f>
        <v>1087</v>
      </c>
      <c r="AB581" s="14">
        <f>VLOOKUP(Table29[[#This Row],[Shortname]], Comp[], 7, FALSE)</f>
        <v>48.690000000000005</v>
      </c>
      <c r="AC581">
        <f>VLOOKUP(Table29[[#This Row],[Shortname]], Comp[], 8, FALSE)</f>
        <v>29.66</v>
      </c>
      <c r="AD581">
        <f>VLOOKUP(Table29[[#This Row],[Shortname]], Comp[], 9, FALSE)</f>
        <v>4.9800000000000004</v>
      </c>
      <c r="AE581">
        <f>VLOOKUP(Table29[[#This Row],[Shortname]], Comp[], 10, FALSE)</f>
        <v>8.19</v>
      </c>
      <c r="AF581">
        <f>VLOOKUP(Table29[[#This Row],[Shortname]], Comp[], 11, FALSE)</f>
        <v>0</v>
      </c>
      <c r="AG581">
        <f>VLOOKUP(Table29[[#This Row],[Shortname]], Comp[],12, FALSE)</f>
        <v>2.08</v>
      </c>
      <c r="AH581">
        <f>VLOOKUP(Table29[[#This Row],[Shortname]], Comp[], 13, FALSE)</f>
        <v>1.65</v>
      </c>
      <c r="AI581">
        <f>VLOOKUP(Table29[[#This Row],[Shortname]], Comp[], 14, FALSE)</f>
        <v>1.6</v>
      </c>
      <c r="AJ581">
        <f>VLOOKUP(Table29[[#This Row],[Shortname]], Comp[], 15, FALSE)</f>
        <v>3.07</v>
      </c>
      <c r="AK581">
        <f>VLOOKUP(Table29[[#This Row],[Shortname]], Comp[], 16, FALSE)</f>
        <v>0</v>
      </c>
      <c r="AL581">
        <f>VLOOKUP(Table29[[#This Row],[Shortname]], Comp[], 17, FALSE)</f>
        <v>0</v>
      </c>
      <c r="AM581">
        <f>VLOOKUP(Table29[[#This Row],[Shortname]], Comp[], 18, FALSE)</f>
        <v>0</v>
      </c>
      <c r="AN581">
        <f>VLOOKUP(Table29[[#This Row],[Shortname]], Comp[], 19, FALSE)</f>
        <v>0.08</v>
      </c>
      <c r="AO581">
        <f>VLOOKUP(Table29[[#This Row],[Shortname]], Comp[], 20, FALSE)</f>
        <v>0</v>
      </c>
      <c r="AP581">
        <f>VLOOKUP(Table29[[#This Row],[Shortname]], Comp[], 21, FALSE)</f>
        <v>0</v>
      </c>
      <c r="AQ581">
        <f>VLOOKUP(Table29[[#This Row],[Shortname]], Comp[], 22, FALSE)</f>
        <v>0</v>
      </c>
      <c r="AR581">
        <f>VLOOKUP(Table29[[#This Row],[Shortname]], Comp[], 23, FALSE)</f>
        <v>0</v>
      </c>
      <c r="AS581">
        <f>VLOOKUP(Table29[[#This Row],[Shortname]], Comp[], 24, FALSE)</f>
        <v>0</v>
      </c>
      <c r="AT581">
        <f>VLOOKUP(Table29[[#This Row],[Shortname]], Comp[], 25, FALSE)</f>
        <v>0</v>
      </c>
      <c r="AU581">
        <f>VLOOKUP(Table29[[#This Row],[Shortname]], Comp[], 26, FALSE)</f>
        <v>0</v>
      </c>
      <c r="AV581">
        <f>VLOOKUP(Table29[[#This Row],[Shortname]], Comp[], 27, FALSE)</f>
        <v>0</v>
      </c>
      <c r="AW581">
        <f>VLOOKUP(Table29[[#This Row],[Shortname]], Comp[], 28, FALSE)</f>
        <v>0</v>
      </c>
      <c r="AX581">
        <f>VLOOKUP(Table29[[#This Row],[Shortname]], Comp[], 29, FALSE)</f>
        <v>0</v>
      </c>
      <c r="AY581">
        <f>VLOOKUP(Table29[[#This Row],[Shortname]], Comp[], 30, FALSE)</f>
        <v>0</v>
      </c>
      <c r="AZ581">
        <f>VLOOKUP(Table29[[#This Row],[Shortname]], Comp[], 31, FALSE)</f>
        <v>0</v>
      </c>
    </row>
    <row r="582" spans="1:52" x14ac:dyDescent="0.3">
      <c r="A582" t="s">
        <v>6498</v>
      </c>
      <c r="F582" t="s">
        <v>6499</v>
      </c>
      <c r="G582" t="s">
        <v>6478</v>
      </c>
      <c r="H582">
        <v>332.6</v>
      </c>
      <c r="I582">
        <v>1.2599999999999999E-7</v>
      </c>
      <c r="J582">
        <f>0.01/Table29[[#This Row],[Strain Rate (min) /s]]</f>
        <v>79365.079365079378</v>
      </c>
      <c r="K582">
        <f>LOG(Table29[[#This Row],[Time to 1% strain (s)]])</f>
        <v>4.8996294548824375</v>
      </c>
      <c r="L582">
        <v>850</v>
      </c>
      <c r="P582" t="s">
        <v>7239</v>
      </c>
      <c r="Q582">
        <v>1200</v>
      </c>
      <c r="R582">
        <v>48</v>
      </c>
      <c r="S582">
        <v>850</v>
      </c>
      <c r="T582">
        <v>168</v>
      </c>
      <c r="W582">
        <v>1</v>
      </c>
      <c r="X582">
        <v>10</v>
      </c>
      <c r="Y582">
        <v>45</v>
      </c>
      <c r="AA582">
        <f>VLOOKUP(Table29[[#This Row],[Shortname]], Comp[], 6, FALSE)</f>
        <v>1087</v>
      </c>
      <c r="AB582" s="14">
        <f>VLOOKUP(Table29[[#This Row],[Shortname]], Comp[], 7, FALSE)</f>
        <v>48.690000000000005</v>
      </c>
      <c r="AC582">
        <f>VLOOKUP(Table29[[#This Row],[Shortname]], Comp[], 8, FALSE)</f>
        <v>29.66</v>
      </c>
      <c r="AD582">
        <f>VLOOKUP(Table29[[#This Row],[Shortname]], Comp[], 9, FALSE)</f>
        <v>4.9800000000000004</v>
      </c>
      <c r="AE582">
        <f>VLOOKUP(Table29[[#This Row],[Shortname]], Comp[], 10, FALSE)</f>
        <v>8.19</v>
      </c>
      <c r="AF582">
        <f>VLOOKUP(Table29[[#This Row],[Shortname]], Comp[], 11, FALSE)</f>
        <v>0</v>
      </c>
      <c r="AG582">
        <f>VLOOKUP(Table29[[#This Row],[Shortname]], Comp[],12, FALSE)</f>
        <v>2.08</v>
      </c>
      <c r="AH582">
        <f>VLOOKUP(Table29[[#This Row],[Shortname]], Comp[], 13, FALSE)</f>
        <v>1.65</v>
      </c>
      <c r="AI582">
        <f>VLOOKUP(Table29[[#This Row],[Shortname]], Comp[], 14, FALSE)</f>
        <v>1.6</v>
      </c>
      <c r="AJ582">
        <f>VLOOKUP(Table29[[#This Row],[Shortname]], Comp[], 15, FALSE)</f>
        <v>3.07</v>
      </c>
      <c r="AK582">
        <f>VLOOKUP(Table29[[#This Row],[Shortname]], Comp[], 16, FALSE)</f>
        <v>0</v>
      </c>
      <c r="AL582">
        <f>VLOOKUP(Table29[[#This Row],[Shortname]], Comp[], 17, FALSE)</f>
        <v>0</v>
      </c>
      <c r="AM582">
        <f>VLOOKUP(Table29[[#This Row],[Shortname]], Comp[], 18, FALSE)</f>
        <v>0</v>
      </c>
      <c r="AN582">
        <f>VLOOKUP(Table29[[#This Row],[Shortname]], Comp[], 19, FALSE)</f>
        <v>0.08</v>
      </c>
      <c r="AO582">
        <f>VLOOKUP(Table29[[#This Row],[Shortname]], Comp[], 20, FALSE)</f>
        <v>0</v>
      </c>
      <c r="AP582">
        <f>VLOOKUP(Table29[[#This Row],[Shortname]], Comp[], 21, FALSE)</f>
        <v>0</v>
      </c>
      <c r="AQ582">
        <f>VLOOKUP(Table29[[#This Row],[Shortname]], Comp[], 22, FALSE)</f>
        <v>0</v>
      </c>
      <c r="AR582">
        <f>VLOOKUP(Table29[[#This Row],[Shortname]], Comp[], 23, FALSE)</f>
        <v>0</v>
      </c>
      <c r="AS582">
        <f>VLOOKUP(Table29[[#This Row],[Shortname]], Comp[], 24, FALSE)</f>
        <v>0</v>
      </c>
      <c r="AT582">
        <f>VLOOKUP(Table29[[#This Row],[Shortname]], Comp[], 25, FALSE)</f>
        <v>0</v>
      </c>
      <c r="AU582">
        <f>VLOOKUP(Table29[[#This Row],[Shortname]], Comp[], 26, FALSE)</f>
        <v>0</v>
      </c>
      <c r="AV582">
        <f>VLOOKUP(Table29[[#This Row],[Shortname]], Comp[], 27, FALSE)</f>
        <v>0</v>
      </c>
      <c r="AW582">
        <f>VLOOKUP(Table29[[#This Row],[Shortname]], Comp[], 28, FALSE)</f>
        <v>0</v>
      </c>
      <c r="AX582">
        <f>VLOOKUP(Table29[[#This Row],[Shortname]], Comp[], 29, FALSE)</f>
        <v>0</v>
      </c>
      <c r="AY582">
        <f>VLOOKUP(Table29[[#This Row],[Shortname]], Comp[], 30, FALSE)</f>
        <v>0</v>
      </c>
      <c r="AZ582">
        <f>VLOOKUP(Table29[[#This Row],[Shortname]], Comp[], 31, FALSE)</f>
        <v>0</v>
      </c>
    </row>
    <row r="583" spans="1:52" x14ac:dyDescent="0.3">
      <c r="A583" t="s">
        <v>6498</v>
      </c>
      <c r="F583" t="s">
        <v>6499</v>
      </c>
      <c r="G583" t="s">
        <v>6478</v>
      </c>
      <c r="H583">
        <v>363.8</v>
      </c>
      <c r="I583">
        <v>2.79E-7</v>
      </c>
      <c r="J583">
        <f>0.01/Table29[[#This Row],[Strain Rate (min) /s]]</f>
        <v>35842.293906810039</v>
      </c>
      <c r="K583">
        <f>LOG(Table29[[#This Row],[Time to 1% strain (s)]])</f>
        <v>4.5543957967264026</v>
      </c>
      <c r="L583">
        <v>850</v>
      </c>
      <c r="P583" t="s">
        <v>7239</v>
      </c>
      <c r="Q583">
        <v>1200</v>
      </c>
      <c r="R583">
        <v>48</v>
      </c>
      <c r="S583">
        <v>850</v>
      </c>
      <c r="T583">
        <v>168</v>
      </c>
      <c r="W583">
        <v>1</v>
      </c>
      <c r="X583">
        <v>10</v>
      </c>
      <c r="Y583">
        <v>45</v>
      </c>
      <c r="AA583">
        <f>VLOOKUP(Table29[[#This Row],[Shortname]], Comp[], 6, FALSE)</f>
        <v>1087</v>
      </c>
      <c r="AB583" s="14">
        <f>VLOOKUP(Table29[[#This Row],[Shortname]], Comp[], 7, FALSE)</f>
        <v>48.690000000000005</v>
      </c>
      <c r="AC583">
        <f>VLOOKUP(Table29[[#This Row],[Shortname]], Comp[], 8, FALSE)</f>
        <v>29.66</v>
      </c>
      <c r="AD583">
        <f>VLOOKUP(Table29[[#This Row],[Shortname]], Comp[], 9, FALSE)</f>
        <v>4.9800000000000004</v>
      </c>
      <c r="AE583">
        <f>VLOOKUP(Table29[[#This Row],[Shortname]], Comp[], 10, FALSE)</f>
        <v>8.19</v>
      </c>
      <c r="AF583">
        <f>VLOOKUP(Table29[[#This Row],[Shortname]], Comp[], 11, FALSE)</f>
        <v>0</v>
      </c>
      <c r="AG583">
        <f>VLOOKUP(Table29[[#This Row],[Shortname]], Comp[],12, FALSE)</f>
        <v>2.08</v>
      </c>
      <c r="AH583">
        <f>VLOOKUP(Table29[[#This Row],[Shortname]], Comp[], 13, FALSE)</f>
        <v>1.65</v>
      </c>
      <c r="AI583">
        <f>VLOOKUP(Table29[[#This Row],[Shortname]], Comp[], 14, FALSE)</f>
        <v>1.6</v>
      </c>
      <c r="AJ583">
        <f>VLOOKUP(Table29[[#This Row],[Shortname]], Comp[], 15, FALSE)</f>
        <v>3.07</v>
      </c>
      <c r="AK583">
        <f>VLOOKUP(Table29[[#This Row],[Shortname]], Comp[], 16, FALSE)</f>
        <v>0</v>
      </c>
      <c r="AL583">
        <f>VLOOKUP(Table29[[#This Row],[Shortname]], Comp[], 17, FALSE)</f>
        <v>0</v>
      </c>
      <c r="AM583">
        <f>VLOOKUP(Table29[[#This Row],[Shortname]], Comp[], 18, FALSE)</f>
        <v>0</v>
      </c>
      <c r="AN583">
        <f>VLOOKUP(Table29[[#This Row],[Shortname]], Comp[], 19, FALSE)</f>
        <v>0.08</v>
      </c>
      <c r="AO583">
        <f>VLOOKUP(Table29[[#This Row],[Shortname]], Comp[], 20, FALSE)</f>
        <v>0</v>
      </c>
      <c r="AP583">
        <f>VLOOKUP(Table29[[#This Row],[Shortname]], Comp[], 21, FALSE)</f>
        <v>0</v>
      </c>
      <c r="AQ583">
        <f>VLOOKUP(Table29[[#This Row],[Shortname]], Comp[], 22, FALSE)</f>
        <v>0</v>
      </c>
      <c r="AR583">
        <f>VLOOKUP(Table29[[#This Row],[Shortname]], Comp[], 23, FALSE)</f>
        <v>0</v>
      </c>
      <c r="AS583">
        <f>VLOOKUP(Table29[[#This Row],[Shortname]], Comp[], 24, FALSE)</f>
        <v>0</v>
      </c>
      <c r="AT583">
        <f>VLOOKUP(Table29[[#This Row],[Shortname]], Comp[], 25, FALSE)</f>
        <v>0</v>
      </c>
      <c r="AU583">
        <f>VLOOKUP(Table29[[#This Row],[Shortname]], Comp[], 26, FALSE)</f>
        <v>0</v>
      </c>
      <c r="AV583">
        <f>VLOOKUP(Table29[[#This Row],[Shortname]], Comp[], 27, FALSE)</f>
        <v>0</v>
      </c>
      <c r="AW583">
        <f>VLOOKUP(Table29[[#This Row],[Shortname]], Comp[], 28, FALSE)</f>
        <v>0</v>
      </c>
      <c r="AX583">
        <f>VLOOKUP(Table29[[#This Row],[Shortname]], Comp[], 29, FALSE)</f>
        <v>0</v>
      </c>
      <c r="AY583">
        <f>VLOOKUP(Table29[[#This Row],[Shortname]], Comp[], 30, FALSE)</f>
        <v>0</v>
      </c>
      <c r="AZ583">
        <f>VLOOKUP(Table29[[#This Row],[Shortname]], Comp[], 31, FALSE)</f>
        <v>0</v>
      </c>
    </row>
    <row r="584" spans="1:52" x14ac:dyDescent="0.3">
      <c r="A584" t="s">
        <v>6498</v>
      </c>
      <c r="F584" t="s">
        <v>6499</v>
      </c>
      <c r="G584" t="s">
        <v>6478</v>
      </c>
      <c r="H584">
        <v>403</v>
      </c>
      <c r="I584">
        <v>9.6800000000000009E-7</v>
      </c>
      <c r="J584">
        <f>0.01/Table29[[#This Row],[Strain Rate (min) /s]]</f>
        <v>10330.578512396694</v>
      </c>
      <c r="K584">
        <f>LOG(Table29[[#This Row],[Time to 1% strain (s)]])</f>
        <v>4.0141246426916064</v>
      </c>
      <c r="L584">
        <v>850</v>
      </c>
      <c r="P584" t="s">
        <v>7239</v>
      </c>
      <c r="Q584">
        <v>1200</v>
      </c>
      <c r="R584">
        <v>48</v>
      </c>
      <c r="S584">
        <v>850</v>
      </c>
      <c r="T584">
        <v>168</v>
      </c>
      <c r="W584">
        <v>1</v>
      </c>
      <c r="X584">
        <v>10</v>
      </c>
      <c r="Y584">
        <v>45</v>
      </c>
      <c r="AA584">
        <f>VLOOKUP(Table29[[#This Row],[Shortname]], Comp[], 6, FALSE)</f>
        <v>1087</v>
      </c>
      <c r="AB584" s="14">
        <f>VLOOKUP(Table29[[#This Row],[Shortname]], Comp[], 7, FALSE)</f>
        <v>48.690000000000005</v>
      </c>
      <c r="AC584">
        <f>VLOOKUP(Table29[[#This Row],[Shortname]], Comp[], 8, FALSE)</f>
        <v>29.66</v>
      </c>
      <c r="AD584">
        <f>VLOOKUP(Table29[[#This Row],[Shortname]], Comp[], 9, FALSE)</f>
        <v>4.9800000000000004</v>
      </c>
      <c r="AE584">
        <f>VLOOKUP(Table29[[#This Row],[Shortname]], Comp[], 10, FALSE)</f>
        <v>8.19</v>
      </c>
      <c r="AF584">
        <f>VLOOKUP(Table29[[#This Row],[Shortname]], Comp[], 11, FALSE)</f>
        <v>0</v>
      </c>
      <c r="AG584">
        <f>VLOOKUP(Table29[[#This Row],[Shortname]], Comp[],12, FALSE)</f>
        <v>2.08</v>
      </c>
      <c r="AH584">
        <f>VLOOKUP(Table29[[#This Row],[Shortname]], Comp[], 13, FALSE)</f>
        <v>1.65</v>
      </c>
      <c r="AI584">
        <f>VLOOKUP(Table29[[#This Row],[Shortname]], Comp[], 14, FALSE)</f>
        <v>1.6</v>
      </c>
      <c r="AJ584">
        <f>VLOOKUP(Table29[[#This Row],[Shortname]], Comp[], 15, FALSE)</f>
        <v>3.07</v>
      </c>
      <c r="AK584">
        <f>VLOOKUP(Table29[[#This Row],[Shortname]], Comp[], 16, FALSE)</f>
        <v>0</v>
      </c>
      <c r="AL584">
        <f>VLOOKUP(Table29[[#This Row],[Shortname]], Comp[], 17, FALSE)</f>
        <v>0</v>
      </c>
      <c r="AM584">
        <f>VLOOKUP(Table29[[#This Row],[Shortname]], Comp[], 18, FALSE)</f>
        <v>0</v>
      </c>
      <c r="AN584">
        <f>VLOOKUP(Table29[[#This Row],[Shortname]], Comp[], 19, FALSE)</f>
        <v>0.08</v>
      </c>
      <c r="AO584">
        <f>VLOOKUP(Table29[[#This Row],[Shortname]], Comp[], 20, FALSE)</f>
        <v>0</v>
      </c>
      <c r="AP584">
        <f>VLOOKUP(Table29[[#This Row],[Shortname]], Comp[], 21, FALSE)</f>
        <v>0</v>
      </c>
      <c r="AQ584">
        <f>VLOOKUP(Table29[[#This Row],[Shortname]], Comp[], 22, FALSE)</f>
        <v>0</v>
      </c>
      <c r="AR584">
        <f>VLOOKUP(Table29[[#This Row],[Shortname]], Comp[], 23, FALSE)</f>
        <v>0</v>
      </c>
      <c r="AS584">
        <f>VLOOKUP(Table29[[#This Row],[Shortname]], Comp[], 24, FALSE)</f>
        <v>0</v>
      </c>
      <c r="AT584">
        <f>VLOOKUP(Table29[[#This Row],[Shortname]], Comp[], 25, FALSE)</f>
        <v>0</v>
      </c>
      <c r="AU584">
        <f>VLOOKUP(Table29[[#This Row],[Shortname]], Comp[], 26, FALSE)</f>
        <v>0</v>
      </c>
      <c r="AV584">
        <f>VLOOKUP(Table29[[#This Row],[Shortname]], Comp[], 27, FALSE)</f>
        <v>0</v>
      </c>
      <c r="AW584">
        <f>VLOOKUP(Table29[[#This Row],[Shortname]], Comp[], 28, FALSE)</f>
        <v>0</v>
      </c>
      <c r="AX584">
        <f>VLOOKUP(Table29[[#This Row],[Shortname]], Comp[], 29, FALSE)</f>
        <v>0</v>
      </c>
      <c r="AY584">
        <f>VLOOKUP(Table29[[#This Row],[Shortname]], Comp[], 30, FALSE)</f>
        <v>0</v>
      </c>
      <c r="AZ584">
        <f>VLOOKUP(Table29[[#This Row],[Shortname]], Comp[], 31, FALSE)</f>
        <v>0</v>
      </c>
    </row>
    <row r="585" spans="1:52" x14ac:dyDescent="0.3">
      <c r="A585" t="s">
        <v>6498</v>
      </c>
      <c r="F585" t="s">
        <v>6499</v>
      </c>
      <c r="G585" t="s">
        <v>6478</v>
      </c>
      <c r="H585">
        <v>450.4</v>
      </c>
      <c r="I585">
        <v>3.6399999999999999E-6</v>
      </c>
      <c r="J585">
        <f>0.01/Table29[[#This Row],[Strain Rate (min) /s]]</f>
        <v>2747.2527472527472</v>
      </c>
      <c r="K585">
        <f>LOG(Table29[[#This Row],[Time to 1% strain (s)]])</f>
        <v>3.4388986163509441</v>
      </c>
      <c r="L585">
        <v>850</v>
      </c>
      <c r="P585" t="s">
        <v>7239</v>
      </c>
      <c r="Q585">
        <v>1200</v>
      </c>
      <c r="R585">
        <v>48</v>
      </c>
      <c r="S585">
        <v>850</v>
      </c>
      <c r="T585">
        <v>168</v>
      </c>
      <c r="W585">
        <v>1</v>
      </c>
      <c r="X585">
        <v>10</v>
      </c>
      <c r="Y585">
        <v>45</v>
      </c>
      <c r="AA585">
        <f>VLOOKUP(Table29[[#This Row],[Shortname]], Comp[], 6, FALSE)</f>
        <v>1087</v>
      </c>
      <c r="AB585" s="14">
        <f>VLOOKUP(Table29[[#This Row],[Shortname]], Comp[], 7, FALSE)</f>
        <v>48.690000000000005</v>
      </c>
      <c r="AC585">
        <f>VLOOKUP(Table29[[#This Row],[Shortname]], Comp[], 8, FALSE)</f>
        <v>29.66</v>
      </c>
      <c r="AD585">
        <f>VLOOKUP(Table29[[#This Row],[Shortname]], Comp[], 9, FALSE)</f>
        <v>4.9800000000000004</v>
      </c>
      <c r="AE585">
        <f>VLOOKUP(Table29[[#This Row],[Shortname]], Comp[], 10, FALSE)</f>
        <v>8.19</v>
      </c>
      <c r="AF585">
        <f>VLOOKUP(Table29[[#This Row],[Shortname]], Comp[], 11, FALSE)</f>
        <v>0</v>
      </c>
      <c r="AG585">
        <f>VLOOKUP(Table29[[#This Row],[Shortname]], Comp[],12, FALSE)</f>
        <v>2.08</v>
      </c>
      <c r="AH585">
        <f>VLOOKUP(Table29[[#This Row],[Shortname]], Comp[], 13, FALSE)</f>
        <v>1.65</v>
      </c>
      <c r="AI585">
        <f>VLOOKUP(Table29[[#This Row],[Shortname]], Comp[], 14, FALSE)</f>
        <v>1.6</v>
      </c>
      <c r="AJ585">
        <f>VLOOKUP(Table29[[#This Row],[Shortname]], Comp[], 15, FALSE)</f>
        <v>3.07</v>
      </c>
      <c r="AK585">
        <f>VLOOKUP(Table29[[#This Row],[Shortname]], Comp[], 16, FALSE)</f>
        <v>0</v>
      </c>
      <c r="AL585">
        <f>VLOOKUP(Table29[[#This Row],[Shortname]], Comp[], 17, FALSE)</f>
        <v>0</v>
      </c>
      <c r="AM585">
        <f>VLOOKUP(Table29[[#This Row],[Shortname]], Comp[], 18, FALSE)</f>
        <v>0</v>
      </c>
      <c r="AN585">
        <f>VLOOKUP(Table29[[#This Row],[Shortname]], Comp[], 19, FALSE)</f>
        <v>0.08</v>
      </c>
      <c r="AO585">
        <f>VLOOKUP(Table29[[#This Row],[Shortname]], Comp[], 20, FALSE)</f>
        <v>0</v>
      </c>
      <c r="AP585">
        <f>VLOOKUP(Table29[[#This Row],[Shortname]], Comp[], 21, FALSE)</f>
        <v>0</v>
      </c>
      <c r="AQ585">
        <f>VLOOKUP(Table29[[#This Row],[Shortname]], Comp[], 22, FALSE)</f>
        <v>0</v>
      </c>
      <c r="AR585">
        <f>VLOOKUP(Table29[[#This Row],[Shortname]], Comp[], 23, FALSE)</f>
        <v>0</v>
      </c>
      <c r="AS585">
        <f>VLOOKUP(Table29[[#This Row],[Shortname]], Comp[], 24, FALSE)</f>
        <v>0</v>
      </c>
      <c r="AT585">
        <f>VLOOKUP(Table29[[#This Row],[Shortname]], Comp[], 25, FALSE)</f>
        <v>0</v>
      </c>
      <c r="AU585">
        <f>VLOOKUP(Table29[[#This Row],[Shortname]], Comp[], 26, FALSE)</f>
        <v>0</v>
      </c>
      <c r="AV585">
        <f>VLOOKUP(Table29[[#This Row],[Shortname]], Comp[], 27, FALSE)</f>
        <v>0</v>
      </c>
      <c r="AW585">
        <f>VLOOKUP(Table29[[#This Row],[Shortname]], Comp[], 28, FALSE)</f>
        <v>0</v>
      </c>
      <c r="AX585">
        <f>VLOOKUP(Table29[[#This Row],[Shortname]], Comp[], 29, FALSE)</f>
        <v>0</v>
      </c>
      <c r="AY585">
        <f>VLOOKUP(Table29[[#This Row],[Shortname]], Comp[], 30, FALSE)</f>
        <v>0</v>
      </c>
      <c r="AZ585">
        <f>VLOOKUP(Table29[[#This Row],[Shortname]], Comp[], 31, FALSE)</f>
        <v>0</v>
      </c>
    </row>
    <row r="586" spans="1:52" x14ac:dyDescent="0.3">
      <c r="A586" t="s">
        <v>6498</v>
      </c>
      <c r="F586" t="s">
        <v>6499</v>
      </c>
      <c r="G586" t="s">
        <v>6478</v>
      </c>
      <c r="H586">
        <v>509.5</v>
      </c>
      <c r="I586">
        <v>1.91E-5</v>
      </c>
      <c r="J586">
        <f>0.01/Table29[[#This Row],[Strain Rate (min) /s]]</f>
        <v>523.56020942408372</v>
      </c>
      <c r="K586">
        <f>LOG(Table29[[#This Row],[Time to 1% strain (s)]])</f>
        <v>2.7189666327522723</v>
      </c>
      <c r="L586">
        <v>850</v>
      </c>
      <c r="P586" t="s">
        <v>7239</v>
      </c>
      <c r="Q586">
        <v>1200</v>
      </c>
      <c r="R586">
        <v>48</v>
      </c>
      <c r="S586">
        <v>850</v>
      </c>
      <c r="T586">
        <v>168</v>
      </c>
      <c r="W586">
        <v>1</v>
      </c>
      <c r="X586">
        <v>10</v>
      </c>
      <c r="Y586">
        <v>45</v>
      </c>
      <c r="AA586">
        <f>VLOOKUP(Table29[[#This Row],[Shortname]], Comp[], 6, FALSE)</f>
        <v>1087</v>
      </c>
      <c r="AB586" s="14">
        <f>VLOOKUP(Table29[[#This Row],[Shortname]], Comp[], 7, FALSE)</f>
        <v>48.690000000000005</v>
      </c>
      <c r="AC586">
        <f>VLOOKUP(Table29[[#This Row],[Shortname]], Comp[], 8, FALSE)</f>
        <v>29.66</v>
      </c>
      <c r="AD586">
        <f>VLOOKUP(Table29[[#This Row],[Shortname]], Comp[], 9, FALSE)</f>
        <v>4.9800000000000004</v>
      </c>
      <c r="AE586">
        <f>VLOOKUP(Table29[[#This Row],[Shortname]], Comp[], 10, FALSE)</f>
        <v>8.19</v>
      </c>
      <c r="AF586">
        <f>VLOOKUP(Table29[[#This Row],[Shortname]], Comp[], 11, FALSE)</f>
        <v>0</v>
      </c>
      <c r="AG586">
        <f>VLOOKUP(Table29[[#This Row],[Shortname]], Comp[],12, FALSE)</f>
        <v>2.08</v>
      </c>
      <c r="AH586">
        <f>VLOOKUP(Table29[[#This Row],[Shortname]], Comp[], 13, FALSE)</f>
        <v>1.65</v>
      </c>
      <c r="AI586">
        <f>VLOOKUP(Table29[[#This Row],[Shortname]], Comp[], 14, FALSE)</f>
        <v>1.6</v>
      </c>
      <c r="AJ586">
        <f>VLOOKUP(Table29[[#This Row],[Shortname]], Comp[], 15, FALSE)</f>
        <v>3.07</v>
      </c>
      <c r="AK586">
        <f>VLOOKUP(Table29[[#This Row],[Shortname]], Comp[], 16, FALSE)</f>
        <v>0</v>
      </c>
      <c r="AL586">
        <f>VLOOKUP(Table29[[#This Row],[Shortname]], Comp[], 17, FALSE)</f>
        <v>0</v>
      </c>
      <c r="AM586">
        <f>VLOOKUP(Table29[[#This Row],[Shortname]], Comp[], 18, FALSE)</f>
        <v>0</v>
      </c>
      <c r="AN586">
        <f>VLOOKUP(Table29[[#This Row],[Shortname]], Comp[], 19, FALSE)</f>
        <v>0.08</v>
      </c>
      <c r="AO586">
        <f>VLOOKUP(Table29[[#This Row],[Shortname]], Comp[], 20, FALSE)</f>
        <v>0</v>
      </c>
      <c r="AP586">
        <f>VLOOKUP(Table29[[#This Row],[Shortname]], Comp[], 21, FALSE)</f>
        <v>0</v>
      </c>
      <c r="AQ586">
        <f>VLOOKUP(Table29[[#This Row],[Shortname]], Comp[], 22, FALSE)</f>
        <v>0</v>
      </c>
      <c r="AR586">
        <f>VLOOKUP(Table29[[#This Row],[Shortname]], Comp[], 23, FALSE)</f>
        <v>0</v>
      </c>
      <c r="AS586">
        <f>VLOOKUP(Table29[[#This Row],[Shortname]], Comp[], 24, FALSE)</f>
        <v>0</v>
      </c>
      <c r="AT586">
        <f>VLOOKUP(Table29[[#This Row],[Shortname]], Comp[], 25, FALSE)</f>
        <v>0</v>
      </c>
      <c r="AU586">
        <f>VLOOKUP(Table29[[#This Row],[Shortname]], Comp[], 26, FALSE)</f>
        <v>0</v>
      </c>
      <c r="AV586">
        <f>VLOOKUP(Table29[[#This Row],[Shortname]], Comp[], 27, FALSE)</f>
        <v>0</v>
      </c>
      <c r="AW586">
        <f>VLOOKUP(Table29[[#This Row],[Shortname]], Comp[], 28, FALSE)</f>
        <v>0</v>
      </c>
      <c r="AX586">
        <f>VLOOKUP(Table29[[#This Row],[Shortname]], Comp[], 29, FALSE)</f>
        <v>0</v>
      </c>
      <c r="AY586">
        <f>VLOOKUP(Table29[[#This Row],[Shortname]], Comp[], 30, FALSE)</f>
        <v>0</v>
      </c>
      <c r="AZ586">
        <f>VLOOKUP(Table29[[#This Row],[Shortname]], Comp[], 31, FALSE)</f>
        <v>0</v>
      </c>
    </row>
    <row r="587" spans="1:52" x14ac:dyDescent="0.3">
      <c r="A587" t="s">
        <v>6498</v>
      </c>
      <c r="F587" t="s">
        <v>6499</v>
      </c>
      <c r="G587" t="s">
        <v>6478</v>
      </c>
      <c r="H587">
        <v>557.5</v>
      </c>
      <c r="I587">
        <v>5.3100000000000003E-5</v>
      </c>
      <c r="J587">
        <f>0.01/Table29[[#This Row],[Strain Rate (min) /s]]</f>
        <v>188.32391713747646</v>
      </c>
      <c r="K587">
        <f>LOG(Table29[[#This Row],[Time to 1% strain (s)]])</f>
        <v>2.274905478918531</v>
      </c>
      <c r="L587">
        <v>850</v>
      </c>
      <c r="P587" t="s">
        <v>7239</v>
      </c>
      <c r="Q587">
        <v>1200</v>
      </c>
      <c r="R587">
        <v>48</v>
      </c>
      <c r="S587">
        <v>850</v>
      </c>
      <c r="T587">
        <v>168</v>
      </c>
      <c r="W587">
        <v>1</v>
      </c>
      <c r="X587">
        <v>10</v>
      </c>
      <c r="Y587">
        <v>45</v>
      </c>
      <c r="AA587">
        <f>VLOOKUP(Table29[[#This Row],[Shortname]], Comp[], 6, FALSE)</f>
        <v>1087</v>
      </c>
      <c r="AB587" s="14">
        <f>VLOOKUP(Table29[[#This Row],[Shortname]], Comp[], 7, FALSE)</f>
        <v>48.690000000000005</v>
      </c>
      <c r="AC587">
        <f>VLOOKUP(Table29[[#This Row],[Shortname]], Comp[], 8, FALSE)</f>
        <v>29.66</v>
      </c>
      <c r="AD587">
        <f>VLOOKUP(Table29[[#This Row],[Shortname]], Comp[], 9, FALSE)</f>
        <v>4.9800000000000004</v>
      </c>
      <c r="AE587">
        <f>VLOOKUP(Table29[[#This Row],[Shortname]], Comp[], 10, FALSE)</f>
        <v>8.19</v>
      </c>
      <c r="AF587">
        <f>VLOOKUP(Table29[[#This Row],[Shortname]], Comp[], 11, FALSE)</f>
        <v>0</v>
      </c>
      <c r="AG587">
        <f>VLOOKUP(Table29[[#This Row],[Shortname]], Comp[],12, FALSE)</f>
        <v>2.08</v>
      </c>
      <c r="AH587">
        <f>VLOOKUP(Table29[[#This Row],[Shortname]], Comp[], 13, FALSE)</f>
        <v>1.65</v>
      </c>
      <c r="AI587">
        <f>VLOOKUP(Table29[[#This Row],[Shortname]], Comp[], 14, FALSE)</f>
        <v>1.6</v>
      </c>
      <c r="AJ587">
        <f>VLOOKUP(Table29[[#This Row],[Shortname]], Comp[], 15, FALSE)</f>
        <v>3.07</v>
      </c>
      <c r="AK587">
        <f>VLOOKUP(Table29[[#This Row],[Shortname]], Comp[], 16, FALSE)</f>
        <v>0</v>
      </c>
      <c r="AL587">
        <f>VLOOKUP(Table29[[#This Row],[Shortname]], Comp[], 17, FALSE)</f>
        <v>0</v>
      </c>
      <c r="AM587">
        <f>VLOOKUP(Table29[[#This Row],[Shortname]], Comp[], 18, FALSE)</f>
        <v>0</v>
      </c>
      <c r="AN587">
        <f>VLOOKUP(Table29[[#This Row],[Shortname]], Comp[], 19, FALSE)</f>
        <v>0.08</v>
      </c>
      <c r="AO587">
        <f>VLOOKUP(Table29[[#This Row],[Shortname]], Comp[], 20, FALSE)</f>
        <v>0</v>
      </c>
      <c r="AP587">
        <f>VLOOKUP(Table29[[#This Row],[Shortname]], Comp[], 21, FALSE)</f>
        <v>0</v>
      </c>
      <c r="AQ587">
        <f>VLOOKUP(Table29[[#This Row],[Shortname]], Comp[], 22, FALSE)</f>
        <v>0</v>
      </c>
      <c r="AR587">
        <f>VLOOKUP(Table29[[#This Row],[Shortname]], Comp[], 23, FALSE)</f>
        <v>0</v>
      </c>
      <c r="AS587">
        <f>VLOOKUP(Table29[[#This Row],[Shortname]], Comp[], 24, FALSE)</f>
        <v>0</v>
      </c>
      <c r="AT587">
        <f>VLOOKUP(Table29[[#This Row],[Shortname]], Comp[], 25, FALSE)</f>
        <v>0</v>
      </c>
      <c r="AU587">
        <f>VLOOKUP(Table29[[#This Row],[Shortname]], Comp[], 26, FALSE)</f>
        <v>0</v>
      </c>
      <c r="AV587">
        <f>VLOOKUP(Table29[[#This Row],[Shortname]], Comp[], 27, FALSE)</f>
        <v>0</v>
      </c>
      <c r="AW587">
        <f>VLOOKUP(Table29[[#This Row],[Shortname]], Comp[], 28, FALSE)</f>
        <v>0</v>
      </c>
      <c r="AX587">
        <f>VLOOKUP(Table29[[#This Row],[Shortname]], Comp[], 29, FALSE)</f>
        <v>0</v>
      </c>
      <c r="AY587">
        <f>VLOOKUP(Table29[[#This Row],[Shortname]], Comp[], 30, FALSE)</f>
        <v>0</v>
      </c>
      <c r="AZ587">
        <f>VLOOKUP(Table29[[#This Row],[Shortname]], Comp[], 31, FALSE)</f>
        <v>0</v>
      </c>
    </row>
    <row r="588" spans="1:52" x14ac:dyDescent="0.3">
      <c r="A588" t="s">
        <v>6429</v>
      </c>
      <c r="F588" t="s">
        <v>6430</v>
      </c>
      <c r="G588" t="s">
        <v>6431</v>
      </c>
      <c r="H588">
        <v>250.9</v>
      </c>
      <c r="I588">
        <v>8.8500000000000005E-8</v>
      </c>
      <c r="J588">
        <f>0.01/Table29[[#This Row],[Strain Rate (min) /s]]</f>
        <v>112994.35028248587</v>
      </c>
      <c r="K588">
        <f>LOG(Table29[[#This Row],[Time to 1% strain (s)]])</f>
        <v>5.0530567293021749</v>
      </c>
      <c r="L588">
        <v>850</v>
      </c>
      <c r="P588" t="s">
        <v>7240</v>
      </c>
      <c r="Q588">
        <v>1200</v>
      </c>
      <c r="R588">
        <v>24</v>
      </c>
      <c r="S588">
        <v>850</v>
      </c>
      <c r="T588">
        <v>168</v>
      </c>
      <c r="W588">
        <v>1</v>
      </c>
      <c r="X588">
        <v>10</v>
      </c>
      <c r="Y588">
        <v>48.1</v>
      </c>
      <c r="AA588">
        <f>VLOOKUP(Table29[[#This Row],[Shortname]], Comp[], 6, FALSE)</f>
        <v>1072</v>
      </c>
      <c r="AB588" s="14">
        <f>VLOOKUP(Table29[[#This Row],[Shortname]], Comp[], 7, FALSE)</f>
        <v>52.410000000000004</v>
      </c>
      <c r="AC588">
        <f>VLOOKUP(Table29[[#This Row],[Shortname]], Comp[], 8, FALSE)</f>
        <v>17.489999999999998</v>
      </c>
      <c r="AD588">
        <f>VLOOKUP(Table29[[#This Row],[Shortname]], Comp[], 9, FALSE)</f>
        <v>5.42</v>
      </c>
      <c r="AE588">
        <f>VLOOKUP(Table29[[#This Row],[Shortname]], Comp[], 10, FALSE)</f>
        <v>4.17</v>
      </c>
      <c r="AF588">
        <f>VLOOKUP(Table29[[#This Row],[Shortname]], Comp[], 11, FALSE)</f>
        <v>0</v>
      </c>
      <c r="AG588">
        <f>VLOOKUP(Table29[[#This Row],[Shortname]], Comp[],12, FALSE)</f>
        <v>2.0299999999999998</v>
      </c>
      <c r="AH588">
        <f>VLOOKUP(Table29[[#This Row],[Shortname]], Comp[], 13, FALSE)</f>
        <v>1.52</v>
      </c>
      <c r="AI588">
        <f>VLOOKUP(Table29[[#This Row],[Shortname]], Comp[], 14, FALSE)</f>
        <v>1.44</v>
      </c>
      <c r="AJ588">
        <f>VLOOKUP(Table29[[#This Row],[Shortname]], Comp[], 15, FALSE)</f>
        <v>3.08</v>
      </c>
      <c r="AK588">
        <f>VLOOKUP(Table29[[#This Row],[Shortname]], Comp[], 16, FALSE)</f>
        <v>0</v>
      </c>
      <c r="AL588">
        <f>VLOOKUP(Table29[[#This Row],[Shortname]], Comp[], 17, FALSE)</f>
        <v>0</v>
      </c>
      <c r="AM588">
        <f>VLOOKUP(Table29[[#This Row],[Shortname]], Comp[], 18, FALSE)</f>
        <v>0</v>
      </c>
      <c r="AN588">
        <f>VLOOKUP(Table29[[#This Row],[Shortname]], Comp[], 19, FALSE)</f>
        <v>0.08</v>
      </c>
      <c r="AO588">
        <f>VLOOKUP(Table29[[#This Row],[Shortname]], Comp[], 20, FALSE)</f>
        <v>0</v>
      </c>
      <c r="AP588">
        <f>VLOOKUP(Table29[[#This Row],[Shortname]], Comp[], 21, FALSE)</f>
        <v>0</v>
      </c>
      <c r="AQ588">
        <f>VLOOKUP(Table29[[#This Row],[Shortname]], Comp[], 22, FALSE)</f>
        <v>0</v>
      </c>
      <c r="AR588">
        <f>VLOOKUP(Table29[[#This Row],[Shortname]], Comp[], 23, FALSE)</f>
        <v>12.36</v>
      </c>
      <c r="AS588">
        <f>VLOOKUP(Table29[[#This Row],[Shortname]], Comp[], 24, FALSE)</f>
        <v>0</v>
      </c>
      <c r="AT588">
        <f>VLOOKUP(Table29[[#This Row],[Shortname]], Comp[], 25, FALSE)</f>
        <v>0</v>
      </c>
      <c r="AU588">
        <f>VLOOKUP(Table29[[#This Row],[Shortname]], Comp[], 26, FALSE)</f>
        <v>0</v>
      </c>
      <c r="AV588">
        <f>VLOOKUP(Table29[[#This Row],[Shortname]], Comp[], 27, FALSE)</f>
        <v>0</v>
      </c>
      <c r="AW588">
        <f>VLOOKUP(Table29[[#This Row],[Shortname]], Comp[], 28, FALSE)</f>
        <v>0</v>
      </c>
      <c r="AX588">
        <f>VLOOKUP(Table29[[#This Row],[Shortname]], Comp[], 29, FALSE)</f>
        <v>0</v>
      </c>
      <c r="AY588">
        <f>VLOOKUP(Table29[[#This Row],[Shortname]], Comp[], 30, FALSE)</f>
        <v>0</v>
      </c>
      <c r="AZ588">
        <f>VLOOKUP(Table29[[#This Row],[Shortname]], Comp[], 31, FALSE)</f>
        <v>0</v>
      </c>
    </row>
    <row r="589" spans="1:52" x14ac:dyDescent="0.3">
      <c r="A589" t="s">
        <v>6429</v>
      </c>
      <c r="F589" t="s">
        <v>6430</v>
      </c>
      <c r="G589" t="s">
        <v>6431</v>
      </c>
      <c r="H589">
        <v>263.7</v>
      </c>
      <c r="I589">
        <v>1.5699999999999999E-7</v>
      </c>
      <c r="J589">
        <f>0.01/Table29[[#This Row],[Strain Rate (min) /s]]</f>
        <v>63694.267515923573</v>
      </c>
      <c r="K589">
        <f>LOG(Table29[[#This Row],[Time to 1% strain (s)]])</f>
        <v>4.804100347590766</v>
      </c>
      <c r="L589">
        <v>850</v>
      </c>
      <c r="P589" t="s">
        <v>7240</v>
      </c>
      <c r="Q589">
        <v>1200</v>
      </c>
      <c r="R589">
        <v>24</v>
      </c>
      <c r="S589">
        <v>850</v>
      </c>
      <c r="T589">
        <v>168</v>
      </c>
      <c r="W589">
        <v>1</v>
      </c>
      <c r="X589">
        <v>10</v>
      </c>
      <c r="Y589">
        <v>48.1</v>
      </c>
      <c r="AA589">
        <f>VLOOKUP(Table29[[#This Row],[Shortname]], Comp[], 6, FALSE)</f>
        <v>1072</v>
      </c>
      <c r="AB589" s="14">
        <f>VLOOKUP(Table29[[#This Row],[Shortname]], Comp[], 7, FALSE)</f>
        <v>52.410000000000004</v>
      </c>
      <c r="AC589">
        <f>VLOOKUP(Table29[[#This Row],[Shortname]], Comp[], 8, FALSE)</f>
        <v>17.489999999999998</v>
      </c>
      <c r="AD589">
        <f>VLOOKUP(Table29[[#This Row],[Shortname]], Comp[], 9, FALSE)</f>
        <v>5.42</v>
      </c>
      <c r="AE589">
        <f>VLOOKUP(Table29[[#This Row],[Shortname]], Comp[], 10, FALSE)</f>
        <v>4.17</v>
      </c>
      <c r="AF589">
        <f>VLOOKUP(Table29[[#This Row],[Shortname]], Comp[], 11, FALSE)</f>
        <v>0</v>
      </c>
      <c r="AG589">
        <f>VLOOKUP(Table29[[#This Row],[Shortname]], Comp[],12, FALSE)</f>
        <v>2.0299999999999998</v>
      </c>
      <c r="AH589">
        <f>VLOOKUP(Table29[[#This Row],[Shortname]], Comp[], 13, FALSE)</f>
        <v>1.52</v>
      </c>
      <c r="AI589">
        <f>VLOOKUP(Table29[[#This Row],[Shortname]], Comp[], 14, FALSE)</f>
        <v>1.44</v>
      </c>
      <c r="AJ589">
        <f>VLOOKUP(Table29[[#This Row],[Shortname]], Comp[], 15, FALSE)</f>
        <v>3.08</v>
      </c>
      <c r="AK589">
        <f>VLOOKUP(Table29[[#This Row],[Shortname]], Comp[], 16, FALSE)</f>
        <v>0</v>
      </c>
      <c r="AL589">
        <f>VLOOKUP(Table29[[#This Row],[Shortname]], Comp[], 17, FALSE)</f>
        <v>0</v>
      </c>
      <c r="AM589">
        <f>VLOOKUP(Table29[[#This Row],[Shortname]], Comp[], 18, FALSE)</f>
        <v>0</v>
      </c>
      <c r="AN589">
        <f>VLOOKUP(Table29[[#This Row],[Shortname]], Comp[], 19, FALSE)</f>
        <v>0.08</v>
      </c>
      <c r="AO589">
        <f>VLOOKUP(Table29[[#This Row],[Shortname]], Comp[], 20, FALSE)</f>
        <v>0</v>
      </c>
      <c r="AP589">
        <f>VLOOKUP(Table29[[#This Row],[Shortname]], Comp[], 21, FALSE)</f>
        <v>0</v>
      </c>
      <c r="AQ589">
        <f>VLOOKUP(Table29[[#This Row],[Shortname]], Comp[], 22, FALSE)</f>
        <v>0</v>
      </c>
      <c r="AR589">
        <f>VLOOKUP(Table29[[#This Row],[Shortname]], Comp[], 23, FALSE)</f>
        <v>12.36</v>
      </c>
      <c r="AS589">
        <f>VLOOKUP(Table29[[#This Row],[Shortname]], Comp[], 24, FALSE)</f>
        <v>0</v>
      </c>
      <c r="AT589">
        <f>VLOOKUP(Table29[[#This Row],[Shortname]], Comp[], 25, FALSE)</f>
        <v>0</v>
      </c>
      <c r="AU589">
        <f>VLOOKUP(Table29[[#This Row],[Shortname]], Comp[], 26, FALSE)</f>
        <v>0</v>
      </c>
      <c r="AV589">
        <f>VLOOKUP(Table29[[#This Row],[Shortname]], Comp[], 27, FALSE)</f>
        <v>0</v>
      </c>
      <c r="AW589">
        <f>VLOOKUP(Table29[[#This Row],[Shortname]], Comp[], 28, FALSE)</f>
        <v>0</v>
      </c>
      <c r="AX589">
        <f>VLOOKUP(Table29[[#This Row],[Shortname]], Comp[], 29, FALSE)</f>
        <v>0</v>
      </c>
      <c r="AY589">
        <f>VLOOKUP(Table29[[#This Row],[Shortname]], Comp[], 30, FALSE)</f>
        <v>0</v>
      </c>
      <c r="AZ589">
        <f>VLOOKUP(Table29[[#This Row],[Shortname]], Comp[], 31, FALSE)</f>
        <v>0</v>
      </c>
    </row>
    <row r="590" spans="1:52" x14ac:dyDescent="0.3">
      <c r="A590" t="s">
        <v>6429</v>
      </c>
      <c r="F590" t="s">
        <v>6430</v>
      </c>
      <c r="G590" t="s">
        <v>6431</v>
      </c>
      <c r="H590">
        <v>273</v>
      </c>
      <c r="I590">
        <v>2.3300000000000001E-7</v>
      </c>
      <c r="J590">
        <f>0.01/Table29[[#This Row],[Strain Rate (min) /s]]</f>
        <v>42918.454935622314</v>
      </c>
      <c r="K590">
        <f>LOG(Table29[[#This Row],[Time to 1% strain (s)]])</f>
        <v>4.6326440789739811</v>
      </c>
      <c r="L590">
        <v>850</v>
      </c>
      <c r="P590" t="s">
        <v>7240</v>
      </c>
      <c r="Q590">
        <v>1200</v>
      </c>
      <c r="R590">
        <v>24</v>
      </c>
      <c r="S590">
        <v>850</v>
      </c>
      <c r="T590">
        <v>168</v>
      </c>
      <c r="W590">
        <v>1</v>
      </c>
      <c r="X590">
        <v>10</v>
      </c>
      <c r="Y590">
        <v>48.1</v>
      </c>
      <c r="AA590">
        <f>VLOOKUP(Table29[[#This Row],[Shortname]], Comp[], 6, FALSE)</f>
        <v>1072</v>
      </c>
      <c r="AB590" s="14">
        <f>VLOOKUP(Table29[[#This Row],[Shortname]], Comp[], 7, FALSE)</f>
        <v>52.410000000000004</v>
      </c>
      <c r="AC590">
        <f>VLOOKUP(Table29[[#This Row],[Shortname]], Comp[], 8, FALSE)</f>
        <v>17.489999999999998</v>
      </c>
      <c r="AD590">
        <f>VLOOKUP(Table29[[#This Row],[Shortname]], Comp[], 9, FALSE)</f>
        <v>5.42</v>
      </c>
      <c r="AE590">
        <f>VLOOKUP(Table29[[#This Row],[Shortname]], Comp[], 10, FALSE)</f>
        <v>4.17</v>
      </c>
      <c r="AF590">
        <f>VLOOKUP(Table29[[#This Row],[Shortname]], Comp[], 11, FALSE)</f>
        <v>0</v>
      </c>
      <c r="AG590">
        <f>VLOOKUP(Table29[[#This Row],[Shortname]], Comp[],12, FALSE)</f>
        <v>2.0299999999999998</v>
      </c>
      <c r="AH590">
        <f>VLOOKUP(Table29[[#This Row],[Shortname]], Comp[], 13, FALSE)</f>
        <v>1.52</v>
      </c>
      <c r="AI590">
        <f>VLOOKUP(Table29[[#This Row],[Shortname]], Comp[], 14, FALSE)</f>
        <v>1.44</v>
      </c>
      <c r="AJ590">
        <f>VLOOKUP(Table29[[#This Row],[Shortname]], Comp[], 15, FALSE)</f>
        <v>3.08</v>
      </c>
      <c r="AK590">
        <f>VLOOKUP(Table29[[#This Row],[Shortname]], Comp[], 16, FALSE)</f>
        <v>0</v>
      </c>
      <c r="AL590">
        <f>VLOOKUP(Table29[[#This Row],[Shortname]], Comp[], 17, FALSE)</f>
        <v>0</v>
      </c>
      <c r="AM590">
        <f>VLOOKUP(Table29[[#This Row],[Shortname]], Comp[], 18, FALSE)</f>
        <v>0</v>
      </c>
      <c r="AN590">
        <f>VLOOKUP(Table29[[#This Row],[Shortname]], Comp[], 19, FALSE)</f>
        <v>0.08</v>
      </c>
      <c r="AO590">
        <f>VLOOKUP(Table29[[#This Row],[Shortname]], Comp[], 20, FALSE)</f>
        <v>0</v>
      </c>
      <c r="AP590">
        <f>VLOOKUP(Table29[[#This Row],[Shortname]], Comp[], 21, FALSE)</f>
        <v>0</v>
      </c>
      <c r="AQ590">
        <f>VLOOKUP(Table29[[#This Row],[Shortname]], Comp[], 22, FALSE)</f>
        <v>0</v>
      </c>
      <c r="AR590">
        <f>VLOOKUP(Table29[[#This Row],[Shortname]], Comp[], 23, FALSE)</f>
        <v>12.36</v>
      </c>
      <c r="AS590">
        <f>VLOOKUP(Table29[[#This Row],[Shortname]], Comp[], 24, FALSE)</f>
        <v>0</v>
      </c>
      <c r="AT590">
        <f>VLOOKUP(Table29[[#This Row],[Shortname]], Comp[], 25, FALSE)</f>
        <v>0</v>
      </c>
      <c r="AU590">
        <f>VLOOKUP(Table29[[#This Row],[Shortname]], Comp[], 26, FALSE)</f>
        <v>0</v>
      </c>
      <c r="AV590">
        <f>VLOOKUP(Table29[[#This Row],[Shortname]], Comp[], 27, FALSE)</f>
        <v>0</v>
      </c>
      <c r="AW590">
        <f>VLOOKUP(Table29[[#This Row],[Shortname]], Comp[], 28, FALSE)</f>
        <v>0</v>
      </c>
      <c r="AX590">
        <f>VLOOKUP(Table29[[#This Row],[Shortname]], Comp[], 29, FALSE)</f>
        <v>0</v>
      </c>
      <c r="AY590">
        <f>VLOOKUP(Table29[[#This Row],[Shortname]], Comp[], 30, FALSE)</f>
        <v>0</v>
      </c>
      <c r="AZ590">
        <f>VLOOKUP(Table29[[#This Row],[Shortname]], Comp[], 31, FALSE)</f>
        <v>0</v>
      </c>
    </row>
    <row r="591" spans="1:52" x14ac:dyDescent="0.3">
      <c r="A591" t="s">
        <v>6429</v>
      </c>
      <c r="F591" t="s">
        <v>6430</v>
      </c>
      <c r="G591" t="s">
        <v>6431</v>
      </c>
      <c r="H591">
        <v>285.2</v>
      </c>
      <c r="I591">
        <v>5.4099999999999999E-7</v>
      </c>
      <c r="J591">
        <f>0.01/Table29[[#This Row],[Strain Rate (min) /s]]</f>
        <v>18484.288354898337</v>
      </c>
      <c r="K591">
        <f>LOG(Table29[[#This Row],[Time to 1% strain (s)]])</f>
        <v>4.2668027348934308</v>
      </c>
      <c r="L591">
        <v>850</v>
      </c>
      <c r="P591" t="s">
        <v>7240</v>
      </c>
      <c r="Q591">
        <v>1200</v>
      </c>
      <c r="R591">
        <v>24</v>
      </c>
      <c r="S591">
        <v>850</v>
      </c>
      <c r="T591">
        <v>168</v>
      </c>
      <c r="W591">
        <v>1</v>
      </c>
      <c r="X591">
        <v>10</v>
      </c>
      <c r="Y591">
        <v>48.1</v>
      </c>
      <c r="AA591">
        <f>VLOOKUP(Table29[[#This Row],[Shortname]], Comp[], 6, FALSE)</f>
        <v>1072</v>
      </c>
      <c r="AB591" s="14">
        <f>VLOOKUP(Table29[[#This Row],[Shortname]], Comp[], 7, FALSE)</f>
        <v>52.410000000000004</v>
      </c>
      <c r="AC591">
        <f>VLOOKUP(Table29[[#This Row],[Shortname]], Comp[], 8, FALSE)</f>
        <v>17.489999999999998</v>
      </c>
      <c r="AD591">
        <f>VLOOKUP(Table29[[#This Row],[Shortname]], Comp[], 9, FALSE)</f>
        <v>5.42</v>
      </c>
      <c r="AE591">
        <f>VLOOKUP(Table29[[#This Row],[Shortname]], Comp[], 10, FALSE)</f>
        <v>4.17</v>
      </c>
      <c r="AF591">
        <f>VLOOKUP(Table29[[#This Row],[Shortname]], Comp[], 11, FALSE)</f>
        <v>0</v>
      </c>
      <c r="AG591">
        <f>VLOOKUP(Table29[[#This Row],[Shortname]], Comp[],12, FALSE)</f>
        <v>2.0299999999999998</v>
      </c>
      <c r="AH591">
        <f>VLOOKUP(Table29[[#This Row],[Shortname]], Comp[], 13, FALSE)</f>
        <v>1.52</v>
      </c>
      <c r="AI591">
        <f>VLOOKUP(Table29[[#This Row],[Shortname]], Comp[], 14, FALSE)</f>
        <v>1.44</v>
      </c>
      <c r="AJ591">
        <f>VLOOKUP(Table29[[#This Row],[Shortname]], Comp[], 15, FALSE)</f>
        <v>3.08</v>
      </c>
      <c r="AK591">
        <f>VLOOKUP(Table29[[#This Row],[Shortname]], Comp[], 16, FALSE)</f>
        <v>0</v>
      </c>
      <c r="AL591">
        <f>VLOOKUP(Table29[[#This Row],[Shortname]], Comp[], 17, FALSE)</f>
        <v>0</v>
      </c>
      <c r="AM591">
        <f>VLOOKUP(Table29[[#This Row],[Shortname]], Comp[], 18, FALSE)</f>
        <v>0</v>
      </c>
      <c r="AN591">
        <f>VLOOKUP(Table29[[#This Row],[Shortname]], Comp[], 19, FALSE)</f>
        <v>0.08</v>
      </c>
      <c r="AO591">
        <f>VLOOKUP(Table29[[#This Row],[Shortname]], Comp[], 20, FALSE)</f>
        <v>0</v>
      </c>
      <c r="AP591">
        <f>VLOOKUP(Table29[[#This Row],[Shortname]], Comp[], 21, FALSE)</f>
        <v>0</v>
      </c>
      <c r="AQ591">
        <f>VLOOKUP(Table29[[#This Row],[Shortname]], Comp[], 22, FALSE)</f>
        <v>0</v>
      </c>
      <c r="AR591">
        <f>VLOOKUP(Table29[[#This Row],[Shortname]], Comp[], 23, FALSE)</f>
        <v>12.36</v>
      </c>
      <c r="AS591">
        <f>VLOOKUP(Table29[[#This Row],[Shortname]], Comp[], 24, FALSE)</f>
        <v>0</v>
      </c>
      <c r="AT591">
        <f>VLOOKUP(Table29[[#This Row],[Shortname]], Comp[], 25, FALSE)</f>
        <v>0</v>
      </c>
      <c r="AU591">
        <f>VLOOKUP(Table29[[#This Row],[Shortname]], Comp[], 26, FALSE)</f>
        <v>0</v>
      </c>
      <c r="AV591">
        <f>VLOOKUP(Table29[[#This Row],[Shortname]], Comp[], 27, FALSE)</f>
        <v>0</v>
      </c>
      <c r="AW591">
        <f>VLOOKUP(Table29[[#This Row],[Shortname]], Comp[], 28, FALSE)</f>
        <v>0</v>
      </c>
      <c r="AX591">
        <f>VLOOKUP(Table29[[#This Row],[Shortname]], Comp[], 29, FALSE)</f>
        <v>0</v>
      </c>
      <c r="AY591">
        <f>VLOOKUP(Table29[[#This Row],[Shortname]], Comp[], 30, FALSE)</f>
        <v>0</v>
      </c>
      <c r="AZ591">
        <f>VLOOKUP(Table29[[#This Row],[Shortname]], Comp[], 31, FALSE)</f>
        <v>0</v>
      </c>
    </row>
    <row r="592" spans="1:52" x14ac:dyDescent="0.3">
      <c r="A592" t="s">
        <v>6429</v>
      </c>
      <c r="F592" t="s">
        <v>6430</v>
      </c>
      <c r="G592" t="s">
        <v>6431</v>
      </c>
      <c r="H592">
        <v>305.8</v>
      </c>
      <c r="I592">
        <v>1.3999999999999999E-6</v>
      </c>
      <c r="J592">
        <f>0.01/Table29[[#This Row],[Strain Rate (min) /s]]</f>
        <v>7142.8571428571431</v>
      </c>
      <c r="K592">
        <f>LOG(Table29[[#This Row],[Time to 1% strain (s)]])</f>
        <v>3.8538719643217618</v>
      </c>
      <c r="L592">
        <v>850</v>
      </c>
      <c r="P592" t="s">
        <v>7240</v>
      </c>
      <c r="Q592">
        <v>1200</v>
      </c>
      <c r="R592">
        <v>24</v>
      </c>
      <c r="S592">
        <v>850</v>
      </c>
      <c r="T592">
        <v>168</v>
      </c>
      <c r="W592">
        <v>1</v>
      </c>
      <c r="X592">
        <v>10</v>
      </c>
      <c r="Y592">
        <v>48.1</v>
      </c>
      <c r="AA592">
        <f>VLOOKUP(Table29[[#This Row],[Shortname]], Comp[], 6, FALSE)</f>
        <v>1072</v>
      </c>
      <c r="AB592" s="14">
        <f>VLOOKUP(Table29[[#This Row],[Shortname]], Comp[], 7, FALSE)</f>
        <v>52.410000000000004</v>
      </c>
      <c r="AC592">
        <f>VLOOKUP(Table29[[#This Row],[Shortname]], Comp[], 8, FALSE)</f>
        <v>17.489999999999998</v>
      </c>
      <c r="AD592">
        <f>VLOOKUP(Table29[[#This Row],[Shortname]], Comp[], 9, FALSE)</f>
        <v>5.42</v>
      </c>
      <c r="AE592">
        <f>VLOOKUP(Table29[[#This Row],[Shortname]], Comp[], 10, FALSE)</f>
        <v>4.17</v>
      </c>
      <c r="AF592">
        <f>VLOOKUP(Table29[[#This Row],[Shortname]], Comp[], 11, FALSE)</f>
        <v>0</v>
      </c>
      <c r="AG592">
        <f>VLOOKUP(Table29[[#This Row],[Shortname]], Comp[],12, FALSE)</f>
        <v>2.0299999999999998</v>
      </c>
      <c r="AH592">
        <f>VLOOKUP(Table29[[#This Row],[Shortname]], Comp[], 13, FALSE)</f>
        <v>1.52</v>
      </c>
      <c r="AI592">
        <f>VLOOKUP(Table29[[#This Row],[Shortname]], Comp[], 14, FALSE)</f>
        <v>1.44</v>
      </c>
      <c r="AJ592">
        <f>VLOOKUP(Table29[[#This Row],[Shortname]], Comp[], 15, FALSE)</f>
        <v>3.08</v>
      </c>
      <c r="AK592">
        <f>VLOOKUP(Table29[[#This Row],[Shortname]], Comp[], 16, FALSE)</f>
        <v>0</v>
      </c>
      <c r="AL592">
        <f>VLOOKUP(Table29[[#This Row],[Shortname]], Comp[], 17, FALSE)</f>
        <v>0</v>
      </c>
      <c r="AM592">
        <f>VLOOKUP(Table29[[#This Row],[Shortname]], Comp[], 18, FALSE)</f>
        <v>0</v>
      </c>
      <c r="AN592">
        <f>VLOOKUP(Table29[[#This Row],[Shortname]], Comp[], 19, FALSE)</f>
        <v>0.08</v>
      </c>
      <c r="AO592">
        <f>VLOOKUP(Table29[[#This Row],[Shortname]], Comp[], 20, FALSE)</f>
        <v>0</v>
      </c>
      <c r="AP592">
        <f>VLOOKUP(Table29[[#This Row],[Shortname]], Comp[], 21, FALSE)</f>
        <v>0</v>
      </c>
      <c r="AQ592">
        <f>VLOOKUP(Table29[[#This Row],[Shortname]], Comp[], 22, FALSE)</f>
        <v>0</v>
      </c>
      <c r="AR592">
        <f>VLOOKUP(Table29[[#This Row],[Shortname]], Comp[], 23, FALSE)</f>
        <v>12.36</v>
      </c>
      <c r="AS592">
        <f>VLOOKUP(Table29[[#This Row],[Shortname]], Comp[], 24, FALSE)</f>
        <v>0</v>
      </c>
      <c r="AT592">
        <f>VLOOKUP(Table29[[#This Row],[Shortname]], Comp[], 25, FALSE)</f>
        <v>0</v>
      </c>
      <c r="AU592">
        <f>VLOOKUP(Table29[[#This Row],[Shortname]], Comp[], 26, FALSE)</f>
        <v>0</v>
      </c>
      <c r="AV592">
        <f>VLOOKUP(Table29[[#This Row],[Shortname]], Comp[], 27, FALSE)</f>
        <v>0</v>
      </c>
      <c r="AW592">
        <f>VLOOKUP(Table29[[#This Row],[Shortname]], Comp[], 28, FALSE)</f>
        <v>0</v>
      </c>
      <c r="AX592">
        <f>VLOOKUP(Table29[[#This Row],[Shortname]], Comp[], 29, FALSE)</f>
        <v>0</v>
      </c>
      <c r="AY592">
        <f>VLOOKUP(Table29[[#This Row],[Shortname]], Comp[], 30, FALSE)</f>
        <v>0</v>
      </c>
      <c r="AZ592">
        <f>VLOOKUP(Table29[[#This Row],[Shortname]], Comp[], 31, FALSE)</f>
        <v>0</v>
      </c>
    </row>
    <row r="593" spans="1:52" x14ac:dyDescent="0.3">
      <c r="A593" t="s">
        <v>6429</v>
      </c>
      <c r="F593" t="s">
        <v>6430</v>
      </c>
      <c r="G593" t="s">
        <v>6431</v>
      </c>
      <c r="H593">
        <v>337.1</v>
      </c>
      <c r="I593">
        <v>5.75E-6</v>
      </c>
      <c r="J593">
        <f>0.01/Table29[[#This Row],[Strain Rate (min) /s]]</f>
        <v>1739.1304347826087</v>
      </c>
      <c r="K593">
        <f>LOG(Table29[[#This Row],[Time to 1% strain (s)]])</f>
        <v>3.2403321553103694</v>
      </c>
      <c r="L593">
        <v>850</v>
      </c>
      <c r="P593" t="s">
        <v>7240</v>
      </c>
      <c r="Q593">
        <v>1200</v>
      </c>
      <c r="R593">
        <v>24</v>
      </c>
      <c r="S593">
        <v>850</v>
      </c>
      <c r="T593">
        <v>168</v>
      </c>
      <c r="W593">
        <v>1</v>
      </c>
      <c r="X593">
        <v>10</v>
      </c>
      <c r="Y593">
        <v>48.1</v>
      </c>
      <c r="AA593">
        <f>VLOOKUP(Table29[[#This Row],[Shortname]], Comp[], 6, FALSE)</f>
        <v>1072</v>
      </c>
      <c r="AB593" s="14">
        <f>VLOOKUP(Table29[[#This Row],[Shortname]], Comp[], 7, FALSE)</f>
        <v>52.410000000000004</v>
      </c>
      <c r="AC593">
        <f>VLOOKUP(Table29[[#This Row],[Shortname]], Comp[], 8, FALSE)</f>
        <v>17.489999999999998</v>
      </c>
      <c r="AD593">
        <f>VLOOKUP(Table29[[#This Row],[Shortname]], Comp[], 9, FALSE)</f>
        <v>5.42</v>
      </c>
      <c r="AE593">
        <f>VLOOKUP(Table29[[#This Row],[Shortname]], Comp[], 10, FALSE)</f>
        <v>4.17</v>
      </c>
      <c r="AF593">
        <f>VLOOKUP(Table29[[#This Row],[Shortname]], Comp[], 11, FALSE)</f>
        <v>0</v>
      </c>
      <c r="AG593">
        <f>VLOOKUP(Table29[[#This Row],[Shortname]], Comp[],12, FALSE)</f>
        <v>2.0299999999999998</v>
      </c>
      <c r="AH593">
        <f>VLOOKUP(Table29[[#This Row],[Shortname]], Comp[], 13, FALSE)</f>
        <v>1.52</v>
      </c>
      <c r="AI593">
        <f>VLOOKUP(Table29[[#This Row],[Shortname]], Comp[], 14, FALSE)</f>
        <v>1.44</v>
      </c>
      <c r="AJ593">
        <f>VLOOKUP(Table29[[#This Row],[Shortname]], Comp[], 15, FALSE)</f>
        <v>3.08</v>
      </c>
      <c r="AK593">
        <f>VLOOKUP(Table29[[#This Row],[Shortname]], Comp[], 16, FALSE)</f>
        <v>0</v>
      </c>
      <c r="AL593">
        <f>VLOOKUP(Table29[[#This Row],[Shortname]], Comp[], 17, FALSE)</f>
        <v>0</v>
      </c>
      <c r="AM593">
        <f>VLOOKUP(Table29[[#This Row],[Shortname]], Comp[], 18, FALSE)</f>
        <v>0</v>
      </c>
      <c r="AN593">
        <f>VLOOKUP(Table29[[#This Row],[Shortname]], Comp[], 19, FALSE)</f>
        <v>0.08</v>
      </c>
      <c r="AO593">
        <f>VLOOKUP(Table29[[#This Row],[Shortname]], Comp[], 20, FALSE)</f>
        <v>0</v>
      </c>
      <c r="AP593">
        <f>VLOOKUP(Table29[[#This Row],[Shortname]], Comp[], 21, FALSE)</f>
        <v>0</v>
      </c>
      <c r="AQ593">
        <f>VLOOKUP(Table29[[#This Row],[Shortname]], Comp[], 22, FALSE)</f>
        <v>0</v>
      </c>
      <c r="AR593">
        <f>VLOOKUP(Table29[[#This Row],[Shortname]], Comp[], 23, FALSE)</f>
        <v>12.36</v>
      </c>
      <c r="AS593">
        <f>VLOOKUP(Table29[[#This Row],[Shortname]], Comp[], 24, FALSE)</f>
        <v>0</v>
      </c>
      <c r="AT593">
        <f>VLOOKUP(Table29[[#This Row],[Shortname]], Comp[], 25, FALSE)</f>
        <v>0</v>
      </c>
      <c r="AU593">
        <f>VLOOKUP(Table29[[#This Row],[Shortname]], Comp[], 26, FALSE)</f>
        <v>0</v>
      </c>
      <c r="AV593">
        <f>VLOOKUP(Table29[[#This Row],[Shortname]], Comp[], 27, FALSE)</f>
        <v>0</v>
      </c>
      <c r="AW593">
        <f>VLOOKUP(Table29[[#This Row],[Shortname]], Comp[], 28, FALSE)</f>
        <v>0</v>
      </c>
      <c r="AX593">
        <f>VLOOKUP(Table29[[#This Row],[Shortname]], Comp[], 29, FALSE)</f>
        <v>0</v>
      </c>
      <c r="AY593">
        <f>VLOOKUP(Table29[[#This Row],[Shortname]], Comp[], 30, FALSE)</f>
        <v>0</v>
      </c>
      <c r="AZ593">
        <f>VLOOKUP(Table29[[#This Row],[Shortname]], Comp[], 31, FALSE)</f>
        <v>0</v>
      </c>
    </row>
    <row r="594" spans="1:52" x14ac:dyDescent="0.3">
      <c r="A594" t="s">
        <v>6429</v>
      </c>
      <c r="F594" t="s">
        <v>6430</v>
      </c>
      <c r="G594" t="s">
        <v>6431</v>
      </c>
      <c r="H594">
        <v>375.1</v>
      </c>
      <c r="I594">
        <v>1.59E-5</v>
      </c>
      <c r="J594">
        <f>0.01/Table29[[#This Row],[Strain Rate (min) /s]]</f>
        <v>628.93081761006295</v>
      </c>
      <c r="K594">
        <f>LOG(Table29[[#This Row],[Time to 1% strain (s)]])</f>
        <v>2.7986028756795487</v>
      </c>
      <c r="L594">
        <v>850</v>
      </c>
      <c r="P594" t="s">
        <v>7240</v>
      </c>
      <c r="Q594">
        <v>1200</v>
      </c>
      <c r="R594">
        <v>24</v>
      </c>
      <c r="S594">
        <v>850</v>
      </c>
      <c r="T594">
        <v>168</v>
      </c>
      <c r="W594">
        <v>1</v>
      </c>
      <c r="X594">
        <v>10</v>
      </c>
      <c r="Y594">
        <v>48.1</v>
      </c>
      <c r="AA594">
        <f>VLOOKUP(Table29[[#This Row],[Shortname]], Comp[], 6, FALSE)</f>
        <v>1072</v>
      </c>
      <c r="AB594" s="14">
        <f>VLOOKUP(Table29[[#This Row],[Shortname]], Comp[], 7, FALSE)</f>
        <v>52.410000000000004</v>
      </c>
      <c r="AC594">
        <f>VLOOKUP(Table29[[#This Row],[Shortname]], Comp[], 8, FALSE)</f>
        <v>17.489999999999998</v>
      </c>
      <c r="AD594">
        <f>VLOOKUP(Table29[[#This Row],[Shortname]], Comp[], 9, FALSE)</f>
        <v>5.42</v>
      </c>
      <c r="AE594">
        <f>VLOOKUP(Table29[[#This Row],[Shortname]], Comp[], 10, FALSE)</f>
        <v>4.17</v>
      </c>
      <c r="AF594">
        <f>VLOOKUP(Table29[[#This Row],[Shortname]], Comp[], 11, FALSE)</f>
        <v>0</v>
      </c>
      <c r="AG594">
        <f>VLOOKUP(Table29[[#This Row],[Shortname]], Comp[],12, FALSE)</f>
        <v>2.0299999999999998</v>
      </c>
      <c r="AH594">
        <f>VLOOKUP(Table29[[#This Row],[Shortname]], Comp[], 13, FALSE)</f>
        <v>1.52</v>
      </c>
      <c r="AI594">
        <f>VLOOKUP(Table29[[#This Row],[Shortname]], Comp[], 14, FALSE)</f>
        <v>1.44</v>
      </c>
      <c r="AJ594">
        <f>VLOOKUP(Table29[[#This Row],[Shortname]], Comp[], 15, FALSE)</f>
        <v>3.08</v>
      </c>
      <c r="AK594">
        <f>VLOOKUP(Table29[[#This Row],[Shortname]], Comp[], 16, FALSE)</f>
        <v>0</v>
      </c>
      <c r="AL594">
        <f>VLOOKUP(Table29[[#This Row],[Shortname]], Comp[], 17, FALSE)</f>
        <v>0</v>
      </c>
      <c r="AM594">
        <f>VLOOKUP(Table29[[#This Row],[Shortname]], Comp[], 18, FALSE)</f>
        <v>0</v>
      </c>
      <c r="AN594">
        <f>VLOOKUP(Table29[[#This Row],[Shortname]], Comp[], 19, FALSE)</f>
        <v>0.08</v>
      </c>
      <c r="AO594">
        <f>VLOOKUP(Table29[[#This Row],[Shortname]], Comp[], 20, FALSE)</f>
        <v>0</v>
      </c>
      <c r="AP594">
        <f>VLOOKUP(Table29[[#This Row],[Shortname]], Comp[], 21, FALSE)</f>
        <v>0</v>
      </c>
      <c r="AQ594">
        <f>VLOOKUP(Table29[[#This Row],[Shortname]], Comp[], 22, FALSE)</f>
        <v>0</v>
      </c>
      <c r="AR594">
        <f>VLOOKUP(Table29[[#This Row],[Shortname]], Comp[], 23, FALSE)</f>
        <v>12.36</v>
      </c>
      <c r="AS594">
        <f>VLOOKUP(Table29[[#This Row],[Shortname]], Comp[], 24, FALSE)</f>
        <v>0</v>
      </c>
      <c r="AT594">
        <f>VLOOKUP(Table29[[#This Row],[Shortname]], Comp[], 25, FALSE)</f>
        <v>0</v>
      </c>
      <c r="AU594">
        <f>VLOOKUP(Table29[[#This Row],[Shortname]], Comp[], 26, FALSE)</f>
        <v>0</v>
      </c>
      <c r="AV594">
        <f>VLOOKUP(Table29[[#This Row],[Shortname]], Comp[], 27, FALSE)</f>
        <v>0</v>
      </c>
      <c r="AW594">
        <f>VLOOKUP(Table29[[#This Row],[Shortname]], Comp[], 28, FALSE)</f>
        <v>0</v>
      </c>
      <c r="AX594">
        <f>VLOOKUP(Table29[[#This Row],[Shortname]], Comp[], 29, FALSE)</f>
        <v>0</v>
      </c>
      <c r="AY594">
        <f>VLOOKUP(Table29[[#This Row],[Shortname]], Comp[], 30, FALSE)</f>
        <v>0</v>
      </c>
      <c r="AZ594">
        <f>VLOOKUP(Table29[[#This Row],[Shortname]], Comp[], 31, FALSE)</f>
        <v>0</v>
      </c>
    </row>
    <row r="595" spans="1:52" x14ac:dyDescent="0.3">
      <c r="A595" t="s">
        <v>6445</v>
      </c>
      <c r="F595" t="s">
        <v>6446</v>
      </c>
      <c r="G595" t="s">
        <v>6431</v>
      </c>
      <c r="H595">
        <v>256</v>
      </c>
      <c r="I595">
        <v>4.1600000000000002E-8</v>
      </c>
      <c r="J595">
        <f>0.01/Table29[[#This Row],[Strain Rate (min) /s]]</f>
        <v>240384.61538461538</v>
      </c>
      <c r="K595">
        <f>LOG(Table29[[#This Row],[Time to 1% strain (s)]])</f>
        <v>5.3809066693732577</v>
      </c>
      <c r="L595">
        <v>850</v>
      </c>
      <c r="P595" t="s">
        <v>7241</v>
      </c>
      <c r="Q595">
        <v>1200</v>
      </c>
      <c r="R595">
        <v>24</v>
      </c>
      <c r="S595">
        <v>850</v>
      </c>
      <c r="T595">
        <v>168</v>
      </c>
      <c r="W595">
        <v>1</v>
      </c>
      <c r="X595">
        <v>10</v>
      </c>
      <c r="Y595">
        <v>43.6</v>
      </c>
      <c r="AA595">
        <f>VLOOKUP(Table29[[#This Row],[Shortname]], Comp[], 6, FALSE)</f>
        <v>1075</v>
      </c>
      <c r="AB595" s="14">
        <f>VLOOKUP(Table29[[#This Row],[Shortname]], Comp[], 7, FALSE)</f>
        <v>48.260000000000005</v>
      </c>
      <c r="AC595">
        <f>VLOOKUP(Table29[[#This Row],[Shortname]], Comp[], 8, FALSE)</f>
        <v>17.440000000000001</v>
      </c>
      <c r="AD595">
        <f>VLOOKUP(Table29[[#This Row],[Shortname]], Comp[], 9, FALSE)</f>
        <v>5.44</v>
      </c>
      <c r="AE595">
        <f>VLOOKUP(Table29[[#This Row],[Shortname]], Comp[], 10, FALSE)</f>
        <v>8.32</v>
      </c>
      <c r="AF595">
        <f>VLOOKUP(Table29[[#This Row],[Shortname]], Comp[], 11, FALSE)</f>
        <v>0</v>
      </c>
      <c r="AG595">
        <f>VLOOKUP(Table29[[#This Row],[Shortname]], Comp[],12, FALSE)</f>
        <v>2.08</v>
      </c>
      <c r="AH595">
        <f>VLOOKUP(Table29[[#This Row],[Shortname]], Comp[], 13, FALSE)</f>
        <v>1.55</v>
      </c>
      <c r="AI595">
        <f>VLOOKUP(Table29[[#This Row],[Shortname]], Comp[], 14, FALSE)</f>
        <v>1.48</v>
      </c>
      <c r="AJ595">
        <f>VLOOKUP(Table29[[#This Row],[Shortname]], Comp[], 15, FALSE)</f>
        <v>3.11</v>
      </c>
      <c r="AK595">
        <f>VLOOKUP(Table29[[#This Row],[Shortname]], Comp[], 16, FALSE)</f>
        <v>0</v>
      </c>
      <c r="AL595">
        <f>VLOOKUP(Table29[[#This Row],[Shortname]], Comp[], 17, FALSE)</f>
        <v>0</v>
      </c>
      <c r="AM595">
        <f>VLOOKUP(Table29[[#This Row],[Shortname]], Comp[], 18, FALSE)</f>
        <v>0</v>
      </c>
      <c r="AN595">
        <f>VLOOKUP(Table29[[#This Row],[Shortname]], Comp[], 19, FALSE)</f>
        <v>0.08</v>
      </c>
      <c r="AO595">
        <f>VLOOKUP(Table29[[#This Row],[Shortname]], Comp[], 20, FALSE)</f>
        <v>0</v>
      </c>
      <c r="AP595">
        <f>VLOOKUP(Table29[[#This Row],[Shortname]], Comp[], 21, FALSE)</f>
        <v>0</v>
      </c>
      <c r="AQ595">
        <f>VLOOKUP(Table29[[#This Row],[Shortname]], Comp[], 22, FALSE)</f>
        <v>0</v>
      </c>
      <c r="AR595">
        <f>VLOOKUP(Table29[[#This Row],[Shortname]], Comp[], 23, FALSE)</f>
        <v>12.24</v>
      </c>
      <c r="AS595">
        <f>VLOOKUP(Table29[[#This Row],[Shortname]], Comp[], 24, FALSE)</f>
        <v>0</v>
      </c>
      <c r="AT595">
        <f>VLOOKUP(Table29[[#This Row],[Shortname]], Comp[], 25, FALSE)</f>
        <v>0</v>
      </c>
      <c r="AU595">
        <f>VLOOKUP(Table29[[#This Row],[Shortname]], Comp[], 26, FALSE)</f>
        <v>0</v>
      </c>
      <c r="AV595">
        <f>VLOOKUP(Table29[[#This Row],[Shortname]], Comp[], 27, FALSE)</f>
        <v>0</v>
      </c>
      <c r="AW595">
        <f>VLOOKUP(Table29[[#This Row],[Shortname]], Comp[], 28, FALSE)</f>
        <v>0</v>
      </c>
      <c r="AX595">
        <f>VLOOKUP(Table29[[#This Row],[Shortname]], Comp[], 29, FALSE)</f>
        <v>0</v>
      </c>
      <c r="AY595">
        <f>VLOOKUP(Table29[[#This Row],[Shortname]], Comp[], 30, FALSE)</f>
        <v>0</v>
      </c>
      <c r="AZ595">
        <f>VLOOKUP(Table29[[#This Row],[Shortname]], Comp[], 31, FALSE)</f>
        <v>0</v>
      </c>
    </row>
    <row r="596" spans="1:52" x14ac:dyDescent="0.3">
      <c r="A596" t="s">
        <v>6445</v>
      </c>
      <c r="F596" t="s">
        <v>6446</v>
      </c>
      <c r="G596" t="s">
        <v>6431</v>
      </c>
      <c r="H596">
        <v>263.3</v>
      </c>
      <c r="I596">
        <v>8.9900000000000004E-8</v>
      </c>
      <c r="J596">
        <f>0.01/Table29[[#This Row],[Strain Rate (min) /s]]</f>
        <v>111234.70522803115</v>
      </c>
      <c r="K596">
        <f>LOG(Table29[[#This Row],[Time to 1% strain (s)]])</f>
        <v>5.0462403082667713</v>
      </c>
      <c r="L596">
        <v>850</v>
      </c>
      <c r="P596" t="s">
        <v>7241</v>
      </c>
      <c r="Q596">
        <v>1200</v>
      </c>
      <c r="R596">
        <v>24</v>
      </c>
      <c r="S596">
        <v>850</v>
      </c>
      <c r="T596">
        <v>168</v>
      </c>
      <c r="W596">
        <v>1</v>
      </c>
      <c r="X596">
        <v>10</v>
      </c>
      <c r="Y596">
        <v>43.6</v>
      </c>
      <c r="AA596">
        <f>VLOOKUP(Table29[[#This Row],[Shortname]], Comp[], 6, FALSE)</f>
        <v>1075</v>
      </c>
      <c r="AB596" s="14">
        <f>VLOOKUP(Table29[[#This Row],[Shortname]], Comp[], 7, FALSE)</f>
        <v>48.260000000000005</v>
      </c>
      <c r="AC596">
        <f>VLOOKUP(Table29[[#This Row],[Shortname]], Comp[], 8, FALSE)</f>
        <v>17.440000000000001</v>
      </c>
      <c r="AD596">
        <f>VLOOKUP(Table29[[#This Row],[Shortname]], Comp[], 9, FALSE)</f>
        <v>5.44</v>
      </c>
      <c r="AE596">
        <f>VLOOKUP(Table29[[#This Row],[Shortname]], Comp[], 10, FALSE)</f>
        <v>8.32</v>
      </c>
      <c r="AF596">
        <f>VLOOKUP(Table29[[#This Row],[Shortname]], Comp[], 11, FALSE)</f>
        <v>0</v>
      </c>
      <c r="AG596">
        <f>VLOOKUP(Table29[[#This Row],[Shortname]], Comp[],12, FALSE)</f>
        <v>2.08</v>
      </c>
      <c r="AH596">
        <f>VLOOKUP(Table29[[#This Row],[Shortname]], Comp[], 13, FALSE)</f>
        <v>1.55</v>
      </c>
      <c r="AI596">
        <f>VLOOKUP(Table29[[#This Row],[Shortname]], Comp[], 14, FALSE)</f>
        <v>1.48</v>
      </c>
      <c r="AJ596">
        <f>VLOOKUP(Table29[[#This Row],[Shortname]], Comp[], 15, FALSE)</f>
        <v>3.11</v>
      </c>
      <c r="AK596">
        <f>VLOOKUP(Table29[[#This Row],[Shortname]], Comp[], 16, FALSE)</f>
        <v>0</v>
      </c>
      <c r="AL596">
        <f>VLOOKUP(Table29[[#This Row],[Shortname]], Comp[], 17, FALSE)</f>
        <v>0</v>
      </c>
      <c r="AM596">
        <f>VLOOKUP(Table29[[#This Row],[Shortname]], Comp[], 18, FALSE)</f>
        <v>0</v>
      </c>
      <c r="AN596">
        <f>VLOOKUP(Table29[[#This Row],[Shortname]], Comp[], 19, FALSE)</f>
        <v>0.08</v>
      </c>
      <c r="AO596">
        <f>VLOOKUP(Table29[[#This Row],[Shortname]], Comp[], 20, FALSE)</f>
        <v>0</v>
      </c>
      <c r="AP596">
        <f>VLOOKUP(Table29[[#This Row],[Shortname]], Comp[], 21, FALSE)</f>
        <v>0</v>
      </c>
      <c r="AQ596">
        <f>VLOOKUP(Table29[[#This Row],[Shortname]], Comp[], 22, FALSE)</f>
        <v>0</v>
      </c>
      <c r="AR596">
        <f>VLOOKUP(Table29[[#This Row],[Shortname]], Comp[], 23, FALSE)</f>
        <v>12.24</v>
      </c>
      <c r="AS596">
        <f>VLOOKUP(Table29[[#This Row],[Shortname]], Comp[], 24, FALSE)</f>
        <v>0</v>
      </c>
      <c r="AT596">
        <f>VLOOKUP(Table29[[#This Row],[Shortname]], Comp[], 25, FALSE)</f>
        <v>0</v>
      </c>
      <c r="AU596">
        <f>VLOOKUP(Table29[[#This Row],[Shortname]], Comp[], 26, FALSE)</f>
        <v>0</v>
      </c>
      <c r="AV596">
        <f>VLOOKUP(Table29[[#This Row],[Shortname]], Comp[], 27, FALSE)</f>
        <v>0</v>
      </c>
      <c r="AW596">
        <f>VLOOKUP(Table29[[#This Row],[Shortname]], Comp[], 28, FALSE)</f>
        <v>0</v>
      </c>
      <c r="AX596">
        <f>VLOOKUP(Table29[[#This Row],[Shortname]], Comp[], 29, FALSE)</f>
        <v>0</v>
      </c>
      <c r="AY596">
        <f>VLOOKUP(Table29[[#This Row],[Shortname]], Comp[], 30, FALSE)</f>
        <v>0</v>
      </c>
      <c r="AZ596">
        <f>VLOOKUP(Table29[[#This Row],[Shortname]], Comp[], 31, FALSE)</f>
        <v>0</v>
      </c>
    </row>
    <row r="597" spans="1:52" x14ac:dyDescent="0.3">
      <c r="A597" t="s">
        <v>6445</v>
      </c>
      <c r="F597" t="s">
        <v>6446</v>
      </c>
      <c r="G597" t="s">
        <v>6431</v>
      </c>
      <c r="H597">
        <v>277.2</v>
      </c>
      <c r="I597">
        <v>1.17E-7</v>
      </c>
      <c r="J597">
        <f>0.01/Table29[[#This Row],[Strain Rate (min) /s]]</f>
        <v>85470.085470085469</v>
      </c>
      <c r="K597">
        <f>LOG(Table29[[#This Row],[Time to 1% strain (s)]])</f>
        <v>4.9318141382538387</v>
      </c>
      <c r="L597">
        <v>850</v>
      </c>
      <c r="P597" t="s">
        <v>7241</v>
      </c>
      <c r="Q597">
        <v>1200</v>
      </c>
      <c r="R597">
        <v>24</v>
      </c>
      <c r="S597">
        <v>850</v>
      </c>
      <c r="T597">
        <v>168</v>
      </c>
      <c r="W597">
        <v>1</v>
      </c>
      <c r="X597">
        <v>10</v>
      </c>
      <c r="Y597">
        <v>43.6</v>
      </c>
      <c r="AA597">
        <f>VLOOKUP(Table29[[#This Row],[Shortname]], Comp[], 6, FALSE)</f>
        <v>1075</v>
      </c>
      <c r="AB597" s="14">
        <f>VLOOKUP(Table29[[#This Row],[Shortname]], Comp[], 7, FALSE)</f>
        <v>48.260000000000005</v>
      </c>
      <c r="AC597">
        <f>VLOOKUP(Table29[[#This Row],[Shortname]], Comp[], 8, FALSE)</f>
        <v>17.440000000000001</v>
      </c>
      <c r="AD597">
        <f>VLOOKUP(Table29[[#This Row],[Shortname]], Comp[], 9, FALSE)</f>
        <v>5.44</v>
      </c>
      <c r="AE597">
        <f>VLOOKUP(Table29[[#This Row],[Shortname]], Comp[], 10, FALSE)</f>
        <v>8.32</v>
      </c>
      <c r="AF597">
        <f>VLOOKUP(Table29[[#This Row],[Shortname]], Comp[], 11, FALSE)</f>
        <v>0</v>
      </c>
      <c r="AG597">
        <f>VLOOKUP(Table29[[#This Row],[Shortname]], Comp[],12, FALSE)</f>
        <v>2.08</v>
      </c>
      <c r="AH597">
        <f>VLOOKUP(Table29[[#This Row],[Shortname]], Comp[], 13, FALSE)</f>
        <v>1.55</v>
      </c>
      <c r="AI597">
        <f>VLOOKUP(Table29[[#This Row],[Shortname]], Comp[], 14, FALSE)</f>
        <v>1.48</v>
      </c>
      <c r="AJ597">
        <f>VLOOKUP(Table29[[#This Row],[Shortname]], Comp[], 15, FALSE)</f>
        <v>3.11</v>
      </c>
      <c r="AK597">
        <f>VLOOKUP(Table29[[#This Row],[Shortname]], Comp[], 16, FALSE)</f>
        <v>0</v>
      </c>
      <c r="AL597">
        <f>VLOOKUP(Table29[[#This Row],[Shortname]], Comp[], 17, FALSE)</f>
        <v>0</v>
      </c>
      <c r="AM597">
        <f>VLOOKUP(Table29[[#This Row],[Shortname]], Comp[], 18, FALSE)</f>
        <v>0</v>
      </c>
      <c r="AN597">
        <f>VLOOKUP(Table29[[#This Row],[Shortname]], Comp[], 19, FALSE)</f>
        <v>0.08</v>
      </c>
      <c r="AO597">
        <f>VLOOKUP(Table29[[#This Row],[Shortname]], Comp[], 20, FALSE)</f>
        <v>0</v>
      </c>
      <c r="AP597">
        <f>VLOOKUP(Table29[[#This Row],[Shortname]], Comp[], 21, FALSE)</f>
        <v>0</v>
      </c>
      <c r="AQ597">
        <f>VLOOKUP(Table29[[#This Row],[Shortname]], Comp[], 22, FALSE)</f>
        <v>0</v>
      </c>
      <c r="AR597">
        <f>VLOOKUP(Table29[[#This Row],[Shortname]], Comp[], 23, FALSE)</f>
        <v>12.24</v>
      </c>
      <c r="AS597">
        <f>VLOOKUP(Table29[[#This Row],[Shortname]], Comp[], 24, FALSE)</f>
        <v>0</v>
      </c>
      <c r="AT597">
        <f>VLOOKUP(Table29[[#This Row],[Shortname]], Comp[], 25, FALSE)</f>
        <v>0</v>
      </c>
      <c r="AU597">
        <f>VLOOKUP(Table29[[#This Row],[Shortname]], Comp[], 26, FALSE)</f>
        <v>0</v>
      </c>
      <c r="AV597">
        <f>VLOOKUP(Table29[[#This Row],[Shortname]], Comp[], 27, FALSE)</f>
        <v>0</v>
      </c>
      <c r="AW597">
        <f>VLOOKUP(Table29[[#This Row],[Shortname]], Comp[], 28, FALSE)</f>
        <v>0</v>
      </c>
      <c r="AX597">
        <f>VLOOKUP(Table29[[#This Row],[Shortname]], Comp[], 29, FALSE)</f>
        <v>0</v>
      </c>
      <c r="AY597">
        <f>VLOOKUP(Table29[[#This Row],[Shortname]], Comp[], 30, FALSE)</f>
        <v>0</v>
      </c>
      <c r="AZ597">
        <f>VLOOKUP(Table29[[#This Row],[Shortname]], Comp[], 31, FALSE)</f>
        <v>0</v>
      </c>
    </row>
    <row r="598" spans="1:52" x14ac:dyDescent="0.3">
      <c r="A598" t="s">
        <v>6445</v>
      </c>
      <c r="F598" t="s">
        <v>6446</v>
      </c>
      <c r="G598" t="s">
        <v>6431</v>
      </c>
      <c r="H598">
        <v>293.7</v>
      </c>
      <c r="I598">
        <v>1.8300000000000001E-7</v>
      </c>
      <c r="J598">
        <f>0.01/Table29[[#This Row],[Strain Rate (min) /s]]</f>
        <v>54644.8087431694</v>
      </c>
      <c r="K598">
        <f>LOG(Table29[[#This Row],[Time to 1% strain (s)]])</f>
        <v>4.7375489102695703</v>
      </c>
      <c r="L598">
        <v>850</v>
      </c>
      <c r="P598" t="s">
        <v>7241</v>
      </c>
      <c r="Q598">
        <v>1200</v>
      </c>
      <c r="R598">
        <v>24</v>
      </c>
      <c r="S598">
        <v>850</v>
      </c>
      <c r="T598">
        <v>168</v>
      </c>
      <c r="W598">
        <v>1</v>
      </c>
      <c r="X598">
        <v>10</v>
      </c>
      <c r="Y598">
        <v>43.6</v>
      </c>
      <c r="AA598">
        <f>VLOOKUP(Table29[[#This Row],[Shortname]], Comp[], 6, FALSE)</f>
        <v>1075</v>
      </c>
      <c r="AB598" s="14">
        <f>VLOOKUP(Table29[[#This Row],[Shortname]], Comp[], 7, FALSE)</f>
        <v>48.260000000000005</v>
      </c>
      <c r="AC598">
        <f>VLOOKUP(Table29[[#This Row],[Shortname]], Comp[], 8, FALSE)</f>
        <v>17.440000000000001</v>
      </c>
      <c r="AD598">
        <f>VLOOKUP(Table29[[#This Row],[Shortname]], Comp[], 9, FALSE)</f>
        <v>5.44</v>
      </c>
      <c r="AE598">
        <f>VLOOKUP(Table29[[#This Row],[Shortname]], Comp[], 10, FALSE)</f>
        <v>8.32</v>
      </c>
      <c r="AF598">
        <f>VLOOKUP(Table29[[#This Row],[Shortname]], Comp[], 11, FALSE)</f>
        <v>0</v>
      </c>
      <c r="AG598">
        <f>VLOOKUP(Table29[[#This Row],[Shortname]], Comp[],12, FALSE)</f>
        <v>2.08</v>
      </c>
      <c r="AH598">
        <f>VLOOKUP(Table29[[#This Row],[Shortname]], Comp[], 13, FALSE)</f>
        <v>1.55</v>
      </c>
      <c r="AI598">
        <f>VLOOKUP(Table29[[#This Row],[Shortname]], Comp[], 14, FALSE)</f>
        <v>1.48</v>
      </c>
      <c r="AJ598">
        <f>VLOOKUP(Table29[[#This Row],[Shortname]], Comp[], 15, FALSE)</f>
        <v>3.11</v>
      </c>
      <c r="AK598">
        <f>VLOOKUP(Table29[[#This Row],[Shortname]], Comp[], 16, FALSE)</f>
        <v>0</v>
      </c>
      <c r="AL598">
        <f>VLOOKUP(Table29[[#This Row],[Shortname]], Comp[], 17, FALSE)</f>
        <v>0</v>
      </c>
      <c r="AM598">
        <f>VLOOKUP(Table29[[#This Row],[Shortname]], Comp[], 18, FALSE)</f>
        <v>0</v>
      </c>
      <c r="AN598">
        <f>VLOOKUP(Table29[[#This Row],[Shortname]], Comp[], 19, FALSE)</f>
        <v>0.08</v>
      </c>
      <c r="AO598">
        <f>VLOOKUP(Table29[[#This Row],[Shortname]], Comp[], 20, FALSE)</f>
        <v>0</v>
      </c>
      <c r="AP598">
        <f>VLOOKUP(Table29[[#This Row],[Shortname]], Comp[], 21, FALSE)</f>
        <v>0</v>
      </c>
      <c r="AQ598">
        <f>VLOOKUP(Table29[[#This Row],[Shortname]], Comp[], 22, FALSE)</f>
        <v>0</v>
      </c>
      <c r="AR598">
        <f>VLOOKUP(Table29[[#This Row],[Shortname]], Comp[], 23, FALSE)</f>
        <v>12.24</v>
      </c>
      <c r="AS598">
        <f>VLOOKUP(Table29[[#This Row],[Shortname]], Comp[], 24, FALSE)</f>
        <v>0</v>
      </c>
      <c r="AT598">
        <f>VLOOKUP(Table29[[#This Row],[Shortname]], Comp[], 25, FALSE)</f>
        <v>0</v>
      </c>
      <c r="AU598">
        <f>VLOOKUP(Table29[[#This Row],[Shortname]], Comp[], 26, FALSE)</f>
        <v>0</v>
      </c>
      <c r="AV598">
        <f>VLOOKUP(Table29[[#This Row],[Shortname]], Comp[], 27, FALSE)</f>
        <v>0</v>
      </c>
      <c r="AW598">
        <f>VLOOKUP(Table29[[#This Row],[Shortname]], Comp[], 28, FALSE)</f>
        <v>0</v>
      </c>
      <c r="AX598">
        <f>VLOOKUP(Table29[[#This Row],[Shortname]], Comp[], 29, FALSE)</f>
        <v>0</v>
      </c>
      <c r="AY598">
        <f>VLOOKUP(Table29[[#This Row],[Shortname]], Comp[], 30, FALSE)</f>
        <v>0</v>
      </c>
      <c r="AZ598">
        <f>VLOOKUP(Table29[[#This Row],[Shortname]], Comp[], 31, FALSE)</f>
        <v>0</v>
      </c>
    </row>
    <row r="599" spans="1:52" x14ac:dyDescent="0.3">
      <c r="A599" t="s">
        <v>6445</v>
      </c>
      <c r="F599" t="s">
        <v>6446</v>
      </c>
      <c r="G599" t="s">
        <v>6431</v>
      </c>
      <c r="H599">
        <v>311.39999999999998</v>
      </c>
      <c r="I599">
        <v>3.1699999999999999E-7</v>
      </c>
      <c r="J599">
        <f>0.01/Table29[[#This Row],[Strain Rate (min) /s]]</f>
        <v>31545.741324921139</v>
      </c>
      <c r="K599">
        <f>LOG(Table29[[#This Row],[Time to 1% strain (s)]])</f>
        <v>4.4989407377822488</v>
      </c>
      <c r="L599">
        <v>850</v>
      </c>
      <c r="P599" t="s">
        <v>7241</v>
      </c>
      <c r="Q599">
        <v>1200</v>
      </c>
      <c r="R599">
        <v>24</v>
      </c>
      <c r="S599">
        <v>850</v>
      </c>
      <c r="T599">
        <v>168</v>
      </c>
      <c r="W599">
        <v>1</v>
      </c>
      <c r="X599">
        <v>10</v>
      </c>
      <c r="Y599">
        <v>43.6</v>
      </c>
      <c r="AA599">
        <f>VLOOKUP(Table29[[#This Row],[Shortname]], Comp[], 6, FALSE)</f>
        <v>1075</v>
      </c>
      <c r="AB599" s="14">
        <f>VLOOKUP(Table29[[#This Row],[Shortname]], Comp[], 7, FALSE)</f>
        <v>48.260000000000005</v>
      </c>
      <c r="AC599">
        <f>VLOOKUP(Table29[[#This Row],[Shortname]], Comp[], 8, FALSE)</f>
        <v>17.440000000000001</v>
      </c>
      <c r="AD599">
        <f>VLOOKUP(Table29[[#This Row],[Shortname]], Comp[], 9, FALSE)</f>
        <v>5.44</v>
      </c>
      <c r="AE599">
        <f>VLOOKUP(Table29[[#This Row],[Shortname]], Comp[], 10, FALSE)</f>
        <v>8.32</v>
      </c>
      <c r="AF599">
        <f>VLOOKUP(Table29[[#This Row],[Shortname]], Comp[], 11, FALSE)</f>
        <v>0</v>
      </c>
      <c r="AG599">
        <f>VLOOKUP(Table29[[#This Row],[Shortname]], Comp[],12, FALSE)</f>
        <v>2.08</v>
      </c>
      <c r="AH599">
        <f>VLOOKUP(Table29[[#This Row],[Shortname]], Comp[], 13, FALSE)</f>
        <v>1.55</v>
      </c>
      <c r="AI599">
        <f>VLOOKUP(Table29[[#This Row],[Shortname]], Comp[], 14, FALSE)</f>
        <v>1.48</v>
      </c>
      <c r="AJ599">
        <f>VLOOKUP(Table29[[#This Row],[Shortname]], Comp[], 15, FALSE)</f>
        <v>3.11</v>
      </c>
      <c r="AK599">
        <f>VLOOKUP(Table29[[#This Row],[Shortname]], Comp[], 16, FALSE)</f>
        <v>0</v>
      </c>
      <c r="AL599">
        <f>VLOOKUP(Table29[[#This Row],[Shortname]], Comp[], 17, FALSE)</f>
        <v>0</v>
      </c>
      <c r="AM599">
        <f>VLOOKUP(Table29[[#This Row],[Shortname]], Comp[], 18, FALSE)</f>
        <v>0</v>
      </c>
      <c r="AN599">
        <f>VLOOKUP(Table29[[#This Row],[Shortname]], Comp[], 19, FALSE)</f>
        <v>0.08</v>
      </c>
      <c r="AO599">
        <f>VLOOKUP(Table29[[#This Row],[Shortname]], Comp[], 20, FALSE)</f>
        <v>0</v>
      </c>
      <c r="AP599">
        <f>VLOOKUP(Table29[[#This Row],[Shortname]], Comp[], 21, FALSE)</f>
        <v>0</v>
      </c>
      <c r="AQ599">
        <f>VLOOKUP(Table29[[#This Row],[Shortname]], Comp[], 22, FALSE)</f>
        <v>0</v>
      </c>
      <c r="AR599">
        <f>VLOOKUP(Table29[[#This Row],[Shortname]], Comp[], 23, FALSE)</f>
        <v>12.24</v>
      </c>
      <c r="AS599">
        <f>VLOOKUP(Table29[[#This Row],[Shortname]], Comp[], 24, FALSE)</f>
        <v>0</v>
      </c>
      <c r="AT599">
        <f>VLOOKUP(Table29[[#This Row],[Shortname]], Comp[], 25, FALSE)</f>
        <v>0</v>
      </c>
      <c r="AU599">
        <f>VLOOKUP(Table29[[#This Row],[Shortname]], Comp[], 26, FALSE)</f>
        <v>0</v>
      </c>
      <c r="AV599">
        <f>VLOOKUP(Table29[[#This Row],[Shortname]], Comp[], 27, FALSE)</f>
        <v>0</v>
      </c>
      <c r="AW599">
        <f>VLOOKUP(Table29[[#This Row],[Shortname]], Comp[], 28, FALSE)</f>
        <v>0</v>
      </c>
      <c r="AX599">
        <f>VLOOKUP(Table29[[#This Row],[Shortname]], Comp[], 29, FALSE)</f>
        <v>0</v>
      </c>
      <c r="AY599">
        <f>VLOOKUP(Table29[[#This Row],[Shortname]], Comp[], 30, FALSE)</f>
        <v>0</v>
      </c>
      <c r="AZ599">
        <f>VLOOKUP(Table29[[#This Row],[Shortname]], Comp[], 31, FALSE)</f>
        <v>0</v>
      </c>
    </row>
    <row r="600" spans="1:52" x14ac:dyDescent="0.3">
      <c r="A600" t="s">
        <v>6445</v>
      </c>
      <c r="F600" t="s">
        <v>6446</v>
      </c>
      <c r="G600" t="s">
        <v>6431</v>
      </c>
      <c r="H600">
        <v>332.2</v>
      </c>
      <c r="I600">
        <v>7.1900000000000002E-7</v>
      </c>
      <c r="J600">
        <f>0.01/Table29[[#This Row],[Strain Rate (min) /s]]</f>
        <v>13908.205841446454</v>
      </c>
      <c r="K600">
        <f>LOG(Table29[[#This Row],[Time to 1% strain (s)]])</f>
        <v>4.1432711096171175</v>
      </c>
      <c r="L600">
        <v>850</v>
      </c>
      <c r="P600" t="s">
        <v>7241</v>
      </c>
      <c r="Q600">
        <v>1200</v>
      </c>
      <c r="R600">
        <v>24</v>
      </c>
      <c r="S600">
        <v>850</v>
      </c>
      <c r="T600">
        <v>168</v>
      </c>
      <c r="W600">
        <v>1</v>
      </c>
      <c r="X600">
        <v>10</v>
      </c>
      <c r="Y600">
        <v>43.6</v>
      </c>
      <c r="AA600">
        <f>VLOOKUP(Table29[[#This Row],[Shortname]], Comp[], 6, FALSE)</f>
        <v>1075</v>
      </c>
      <c r="AB600" s="14">
        <f>VLOOKUP(Table29[[#This Row],[Shortname]], Comp[], 7, FALSE)</f>
        <v>48.260000000000005</v>
      </c>
      <c r="AC600">
        <f>VLOOKUP(Table29[[#This Row],[Shortname]], Comp[], 8, FALSE)</f>
        <v>17.440000000000001</v>
      </c>
      <c r="AD600">
        <f>VLOOKUP(Table29[[#This Row],[Shortname]], Comp[], 9, FALSE)</f>
        <v>5.44</v>
      </c>
      <c r="AE600">
        <f>VLOOKUP(Table29[[#This Row],[Shortname]], Comp[], 10, FALSE)</f>
        <v>8.32</v>
      </c>
      <c r="AF600">
        <f>VLOOKUP(Table29[[#This Row],[Shortname]], Comp[], 11, FALSE)</f>
        <v>0</v>
      </c>
      <c r="AG600">
        <f>VLOOKUP(Table29[[#This Row],[Shortname]], Comp[],12, FALSE)</f>
        <v>2.08</v>
      </c>
      <c r="AH600">
        <f>VLOOKUP(Table29[[#This Row],[Shortname]], Comp[], 13, FALSE)</f>
        <v>1.55</v>
      </c>
      <c r="AI600">
        <f>VLOOKUP(Table29[[#This Row],[Shortname]], Comp[], 14, FALSE)</f>
        <v>1.48</v>
      </c>
      <c r="AJ600">
        <f>VLOOKUP(Table29[[#This Row],[Shortname]], Comp[], 15, FALSE)</f>
        <v>3.11</v>
      </c>
      <c r="AK600">
        <f>VLOOKUP(Table29[[#This Row],[Shortname]], Comp[], 16, FALSE)</f>
        <v>0</v>
      </c>
      <c r="AL600">
        <f>VLOOKUP(Table29[[#This Row],[Shortname]], Comp[], 17, FALSE)</f>
        <v>0</v>
      </c>
      <c r="AM600">
        <f>VLOOKUP(Table29[[#This Row],[Shortname]], Comp[], 18, FALSE)</f>
        <v>0</v>
      </c>
      <c r="AN600">
        <f>VLOOKUP(Table29[[#This Row],[Shortname]], Comp[], 19, FALSE)</f>
        <v>0.08</v>
      </c>
      <c r="AO600">
        <f>VLOOKUP(Table29[[#This Row],[Shortname]], Comp[], 20, FALSE)</f>
        <v>0</v>
      </c>
      <c r="AP600">
        <f>VLOOKUP(Table29[[#This Row],[Shortname]], Comp[], 21, FALSE)</f>
        <v>0</v>
      </c>
      <c r="AQ600">
        <f>VLOOKUP(Table29[[#This Row],[Shortname]], Comp[], 22, FALSE)</f>
        <v>0</v>
      </c>
      <c r="AR600">
        <f>VLOOKUP(Table29[[#This Row],[Shortname]], Comp[], 23, FALSE)</f>
        <v>12.24</v>
      </c>
      <c r="AS600">
        <f>VLOOKUP(Table29[[#This Row],[Shortname]], Comp[], 24, FALSE)</f>
        <v>0</v>
      </c>
      <c r="AT600">
        <f>VLOOKUP(Table29[[#This Row],[Shortname]], Comp[], 25, FALSE)</f>
        <v>0</v>
      </c>
      <c r="AU600">
        <f>VLOOKUP(Table29[[#This Row],[Shortname]], Comp[], 26, FALSE)</f>
        <v>0</v>
      </c>
      <c r="AV600">
        <f>VLOOKUP(Table29[[#This Row],[Shortname]], Comp[], 27, FALSE)</f>
        <v>0</v>
      </c>
      <c r="AW600">
        <f>VLOOKUP(Table29[[#This Row],[Shortname]], Comp[], 28, FALSE)</f>
        <v>0</v>
      </c>
      <c r="AX600">
        <f>VLOOKUP(Table29[[#This Row],[Shortname]], Comp[], 29, FALSE)</f>
        <v>0</v>
      </c>
      <c r="AY600">
        <f>VLOOKUP(Table29[[#This Row],[Shortname]], Comp[], 30, FALSE)</f>
        <v>0</v>
      </c>
      <c r="AZ600">
        <f>VLOOKUP(Table29[[#This Row],[Shortname]], Comp[], 31, FALSE)</f>
        <v>0</v>
      </c>
    </row>
    <row r="601" spans="1:52" x14ac:dyDescent="0.3">
      <c r="A601" t="s">
        <v>6445</v>
      </c>
      <c r="F601" t="s">
        <v>6446</v>
      </c>
      <c r="G601" t="s">
        <v>6431</v>
      </c>
      <c r="H601">
        <v>359.7</v>
      </c>
      <c r="I601">
        <v>2.3300000000000001E-6</v>
      </c>
      <c r="J601">
        <f>0.01/Table29[[#This Row],[Strain Rate (min) /s]]</f>
        <v>4291.8454935622312</v>
      </c>
      <c r="K601">
        <f>LOG(Table29[[#This Row],[Time to 1% strain (s)]])</f>
        <v>3.6326440789739811</v>
      </c>
      <c r="L601">
        <v>850</v>
      </c>
      <c r="P601" t="s">
        <v>7241</v>
      </c>
      <c r="Q601">
        <v>1200</v>
      </c>
      <c r="R601">
        <v>24</v>
      </c>
      <c r="S601">
        <v>850</v>
      </c>
      <c r="T601">
        <v>168</v>
      </c>
      <c r="W601">
        <v>1</v>
      </c>
      <c r="X601">
        <v>10</v>
      </c>
      <c r="Y601">
        <v>43.6</v>
      </c>
      <c r="AA601">
        <f>VLOOKUP(Table29[[#This Row],[Shortname]], Comp[], 6, FALSE)</f>
        <v>1075</v>
      </c>
      <c r="AB601" s="14">
        <f>VLOOKUP(Table29[[#This Row],[Shortname]], Comp[], 7, FALSE)</f>
        <v>48.260000000000005</v>
      </c>
      <c r="AC601">
        <f>VLOOKUP(Table29[[#This Row],[Shortname]], Comp[], 8, FALSE)</f>
        <v>17.440000000000001</v>
      </c>
      <c r="AD601">
        <f>VLOOKUP(Table29[[#This Row],[Shortname]], Comp[], 9, FALSE)</f>
        <v>5.44</v>
      </c>
      <c r="AE601">
        <f>VLOOKUP(Table29[[#This Row],[Shortname]], Comp[], 10, FALSE)</f>
        <v>8.32</v>
      </c>
      <c r="AF601">
        <f>VLOOKUP(Table29[[#This Row],[Shortname]], Comp[], 11, FALSE)</f>
        <v>0</v>
      </c>
      <c r="AG601">
        <f>VLOOKUP(Table29[[#This Row],[Shortname]], Comp[],12, FALSE)</f>
        <v>2.08</v>
      </c>
      <c r="AH601">
        <f>VLOOKUP(Table29[[#This Row],[Shortname]], Comp[], 13, FALSE)</f>
        <v>1.55</v>
      </c>
      <c r="AI601">
        <f>VLOOKUP(Table29[[#This Row],[Shortname]], Comp[], 14, FALSE)</f>
        <v>1.48</v>
      </c>
      <c r="AJ601">
        <f>VLOOKUP(Table29[[#This Row],[Shortname]], Comp[], 15, FALSE)</f>
        <v>3.11</v>
      </c>
      <c r="AK601">
        <f>VLOOKUP(Table29[[#This Row],[Shortname]], Comp[], 16, FALSE)</f>
        <v>0</v>
      </c>
      <c r="AL601">
        <f>VLOOKUP(Table29[[#This Row],[Shortname]], Comp[], 17, FALSE)</f>
        <v>0</v>
      </c>
      <c r="AM601">
        <f>VLOOKUP(Table29[[#This Row],[Shortname]], Comp[], 18, FALSE)</f>
        <v>0</v>
      </c>
      <c r="AN601">
        <f>VLOOKUP(Table29[[#This Row],[Shortname]], Comp[], 19, FALSE)</f>
        <v>0.08</v>
      </c>
      <c r="AO601">
        <f>VLOOKUP(Table29[[#This Row],[Shortname]], Comp[], 20, FALSE)</f>
        <v>0</v>
      </c>
      <c r="AP601">
        <f>VLOOKUP(Table29[[#This Row],[Shortname]], Comp[], 21, FALSE)</f>
        <v>0</v>
      </c>
      <c r="AQ601">
        <f>VLOOKUP(Table29[[#This Row],[Shortname]], Comp[], 22, FALSE)</f>
        <v>0</v>
      </c>
      <c r="AR601">
        <f>VLOOKUP(Table29[[#This Row],[Shortname]], Comp[], 23, FALSE)</f>
        <v>12.24</v>
      </c>
      <c r="AS601">
        <f>VLOOKUP(Table29[[#This Row],[Shortname]], Comp[], 24, FALSE)</f>
        <v>0</v>
      </c>
      <c r="AT601">
        <f>VLOOKUP(Table29[[#This Row],[Shortname]], Comp[], 25, FALSE)</f>
        <v>0</v>
      </c>
      <c r="AU601">
        <f>VLOOKUP(Table29[[#This Row],[Shortname]], Comp[], 26, FALSE)</f>
        <v>0</v>
      </c>
      <c r="AV601">
        <f>VLOOKUP(Table29[[#This Row],[Shortname]], Comp[], 27, FALSE)</f>
        <v>0</v>
      </c>
      <c r="AW601">
        <f>VLOOKUP(Table29[[#This Row],[Shortname]], Comp[], 28, FALSE)</f>
        <v>0</v>
      </c>
      <c r="AX601">
        <f>VLOOKUP(Table29[[#This Row],[Shortname]], Comp[], 29, FALSE)</f>
        <v>0</v>
      </c>
      <c r="AY601">
        <f>VLOOKUP(Table29[[#This Row],[Shortname]], Comp[], 30, FALSE)</f>
        <v>0</v>
      </c>
      <c r="AZ601">
        <f>VLOOKUP(Table29[[#This Row],[Shortname]], Comp[], 31, FALSE)</f>
        <v>0</v>
      </c>
    </row>
    <row r="602" spans="1:52" x14ac:dyDescent="0.3">
      <c r="A602" t="s">
        <v>6445</v>
      </c>
      <c r="F602" t="s">
        <v>6446</v>
      </c>
      <c r="G602" t="s">
        <v>6431</v>
      </c>
      <c r="H602">
        <v>392.1</v>
      </c>
      <c r="I602">
        <v>6.0000000000000002E-6</v>
      </c>
      <c r="J602">
        <f>0.01/Table29[[#This Row],[Strain Rate (min) /s]]</f>
        <v>1666.6666666666667</v>
      </c>
      <c r="K602">
        <f>LOG(Table29[[#This Row],[Time to 1% strain (s)]])</f>
        <v>3.2218487496163566</v>
      </c>
      <c r="L602">
        <v>850</v>
      </c>
      <c r="P602" t="s">
        <v>7241</v>
      </c>
      <c r="Q602">
        <v>1200</v>
      </c>
      <c r="R602">
        <v>24</v>
      </c>
      <c r="S602">
        <v>850</v>
      </c>
      <c r="T602">
        <v>168</v>
      </c>
      <c r="W602">
        <v>1</v>
      </c>
      <c r="X602">
        <v>10</v>
      </c>
      <c r="Y602">
        <v>43.6</v>
      </c>
      <c r="AA602">
        <f>VLOOKUP(Table29[[#This Row],[Shortname]], Comp[], 6, FALSE)</f>
        <v>1075</v>
      </c>
      <c r="AB602" s="14">
        <f>VLOOKUP(Table29[[#This Row],[Shortname]], Comp[], 7, FALSE)</f>
        <v>48.260000000000005</v>
      </c>
      <c r="AC602">
        <f>VLOOKUP(Table29[[#This Row],[Shortname]], Comp[], 8, FALSE)</f>
        <v>17.440000000000001</v>
      </c>
      <c r="AD602">
        <f>VLOOKUP(Table29[[#This Row],[Shortname]], Comp[], 9, FALSE)</f>
        <v>5.44</v>
      </c>
      <c r="AE602">
        <f>VLOOKUP(Table29[[#This Row],[Shortname]], Comp[], 10, FALSE)</f>
        <v>8.32</v>
      </c>
      <c r="AF602">
        <f>VLOOKUP(Table29[[#This Row],[Shortname]], Comp[], 11, FALSE)</f>
        <v>0</v>
      </c>
      <c r="AG602">
        <f>VLOOKUP(Table29[[#This Row],[Shortname]], Comp[],12, FALSE)</f>
        <v>2.08</v>
      </c>
      <c r="AH602">
        <f>VLOOKUP(Table29[[#This Row],[Shortname]], Comp[], 13, FALSE)</f>
        <v>1.55</v>
      </c>
      <c r="AI602">
        <f>VLOOKUP(Table29[[#This Row],[Shortname]], Comp[], 14, FALSE)</f>
        <v>1.48</v>
      </c>
      <c r="AJ602">
        <f>VLOOKUP(Table29[[#This Row],[Shortname]], Comp[], 15, FALSE)</f>
        <v>3.11</v>
      </c>
      <c r="AK602">
        <f>VLOOKUP(Table29[[#This Row],[Shortname]], Comp[], 16, FALSE)</f>
        <v>0</v>
      </c>
      <c r="AL602">
        <f>VLOOKUP(Table29[[#This Row],[Shortname]], Comp[], 17, FALSE)</f>
        <v>0</v>
      </c>
      <c r="AM602">
        <f>VLOOKUP(Table29[[#This Row],[Shortname]], Comp[], 18, FALSE)</f>
        <v>0</v>
      </c>
      <c r="AN602">
        <f>VLOOKUP(Table29[[#This Row],[Shortname]], Comp[], 19, FALSE)</f>
        <v>0.08</v>
      </c>
      <c r="AO602">
        <f>VLOOKUP(Table29[[#This Row],[Shortname]], Comp[], 20, FALSE)</f>
        <v>0</v>
      </c>
      <c r="AP602">
        <f>VLOOKUP(Table29[[#This Row],[Shortname]], Comp[], 21, FALSE)</f>
        <v>0</v>
      </c>
      <c r="AQ602">
        <f>VLOOKUP(Table29[[#This Row],[Shortname]], Comp[], 22, FALSE)</f>
        <v>0</v>
      </c>
      <c r="AR602">
        <f>VLOOKUP(Table29[[#This Row],[Shortname]], Comp[], 23, FALSE)</f>
        <v>12.24</v>
      </c>
      <c r="AS602">
        <f>VLOOKUP(Table29[[#This Row],[Shortname]], Comp[], 24, FALSE)</f>
        <v>0</v>
      </c>
      <c r="AT602">
        <f>VLOOKUP(Table29[[#This Row],[Shortname]], Comp[], 25, FALSE)</f>
        <v>0</v>
      </c>
      <c r="AU602">
        <f>VLOOKUP(Table29[[#This Row],[Shortname]], Comp[], 26, FALSE)</f>
        <v>0</v>
      </c>
      <c r="AV602">
        <f>VLOOKUP(Table29[[#This Row],[Shortname]], Comp[], 27, FALSE)</f>
        <v>0</v>
      </c>
      <c r="AW602">
        <f>VLOOKUP(Table29[[#This Row],[Shortname]], Comp[], 28, FALSE)</f>
        <v>0</v>
      </c>
      <c r="AX602">
        <f>VLOOKUP(Table29[[#This Row],[Shortname]], Comp[], 29, FALSE)</f>
        <v>0</v>
      </c>
      <c r="AY602">
        <f>VLOOKUP(Table29[[#This Row],[Shortname]], Comp[], 30, FALSE)</f>
        <v>0</v>
      </c>
      <c r="AZ602">
        <f>VLOOKUP(Table29[[#This Row],[Shortname]], Comp[], 31, FALSE)</f>
        <v>0</v>
      </c>
    </row>
    <row r="603" spans="1:52" x14ac:dyDescent="0.3">
      <c r="A603" t="s">
        <v>6445</v>
      </c>
      <c r="F603" t="s">
        <v>6446</v>
      </c>
      <c r="G603" t="s">
        <v>6431</v>
      </c>
      <c r="H603">
        <v>434.2</v>
      </c>
      <c r="I603">
        <v>1.77E-5</v>
      </c>
      <c r="J603">
        <f>0.01/Table29[[#This Row],[Strain Rate (min) /s]]</f>
        <v>564.9717514124294</v>
      </c>
      <c r="K603">
        <f>LOG(Table29[[#This Row],[Time to 1% strain (s)]])</f>
        <v>2.7520267336381932</v>
      </c>
      <c r="L603">
        <v>850</v>
      </c>
      <c r="P603" t="s">
        <v>7241</v>
      </c>
      <c r="Q603">
        <v>1200</v>
      </c>
      <c r="R603">
        <v>24</v>
      </c>
      <c r="S603">
        <v>850</v>
      </c>
      <c r="T603">
        <v>168</v>
      </c>
      <c r="W603">
        <v>1</v>
      </c>
      <c r="X603">
        <v>10</v>
      </c>
      <c r="Y603">
        <v>43.6</v>
      </c>
      <c r="AA603">
        <f>VLOOKUP(Table29[[#This Row],[Shortname]], Comp[], 6, FALSE)</f>
        <v>1075</v>
      </c>
      <c r="AB603" s="14">
        <f>VLOOKUP(Table29[[#This Row],[Shortname]], Comp[], 7, FALSE)</f>
        <v>48.260000000000005</v>
      </c>
      <c r="AC603">
        <f>VLOOKUP(Table29[[#This Row],[Shortname]], Comp[], 8, FALSE)</f>
        <v>17.440000000000001</v>
      </c>
      <c r="AD603">
        <f>VLOOKUP(Table29[[#This Row],[Shortname]], Comp[], 9, FALSE)</f>
        <v>5.44</v>
      </c>
      <c r="AE603">
        <f>VLOOKUP(Table29[[#This Row],[Shortname]], Comp[], 10, FALSE)</f>
        <v>8.32</v>
      </c>
      <c r="AF603">
        <f>VLOOKUP(Table29[[#This Row],[Shortname]], Comp[], 11, FALSE)</f>
        <v>0</v>
      </c>
      <c r="AG603">
        <f>VLOOKUP(Table29[[#This Row],[Shortname]], Comp[],12, FALSE)</f>
        <v>2.08</v>
      </c>
      <c r="AH603">
        <f>VLOOKUP(Table29[[#This Row],[Shortname]], Comp[], 13, FALSE)</f>
        <v>1.55</v>
      </c>
      <c r="AI603">
        <f>VLOOKUP(Table29[[#This Row],[Shortname]], Comp[], 14, FALSE)</f>
        <v>1.48</v>
      </c>
      <c r="AJ603">
        <f>VLOOKUP(Table29[[#This Row],[Shortname]], Comp[], 15, FALSE)</f>
        <v>3.11</v>
      </c>
      <c r="AK603">
        <f>VLOOKUP(Table29[[#This Row],[Shortname]], Comp[], 16, FALSE)</f>
        <v>0</v>
      </c>
      <c r="AL603">
        <f>VLOOKUP(Table29[[#This Row],[Shortname]], Comp[], 17, FALSE)</f>
        <v>0</v>
      </c>
      <c r="AM603">
        <f>VLOOKUP(Table29[[#This Row],[Shortname]], Comp[], 18, FALSE)</f>
        <v>0</v>
      </c>
      <c r="AN603">
        <f>VLOOKUP(Table29[[#This Row],[Shortname]], Comp[], 19, FALSE)</f>
        <v>0.08</v>
      </c>
      <c r="AO603">
        <f>VLOOKUP(Table29[[#This Row],[Shortname]], Comp[], 20, FALSE)</f>
        <v>0</v>
      </c>
      <c r="AP603">
        <f>VLOOKUP(Table29[[#This Row],[Shortname]], Comp[], 21, FALSE)</f>
        <v>0</v>
      </c>
      <c r="AQ603">
        <f>VLOOKUP(Table29[[#This Row],[Shortname]], Comp[], 22, FALSE)</f>
        <v>0</v>
      </c>
      <c r="AR603">
        <f>VLOOKUP(Table29[[#This Row],[Shortname]], Comp[], 23, FALSE)</f>
        <v>12.24</v>
      </c>
      <c r="AS603">
        <f>VLOOKUP(Table29[[#This Row],[Shortname]], Comp[], 24, FALSE)</f>
        <v>0</v>
      </c>
      <c r="AT603">
        <f>VLOOKUP(Table29[[#This Row],[Shortname]], Comp[], 25, FALSE)</f>
        <v>0</v>
      </c>
      <c r="AU603">
        <f>VLOOKUP(Table29[[#This Row],[Shortname]], Comp[], 26, FALSE)</f>
        <v>0</v>
      </c>
      <c r="AV603">
        <f>VLOOKUP(Table29[[#This Row],[Shortname]], Comp[], 27, FALSE)</f>
        <v>0</v>
      </c>
      <c r="AW603">
        <f>VLOOKUP(Table29[[#This Row],[Shortname]], Comp[], 28, FALSE)</f>
        <v>0</v>
      </c>
      <c r="AX603">
        <f>VLOOKUP(Table29[[#This Row],[Shortname]], Comp[], 29, FALSE)</f>
        <v>0</v>
      </c>
      <c r="AY603">
        <f>VLOOKUP(Table29[[#This Row],[Shortname]], Comp[], 30, FALSE)</f>
        <v>0</v>
      </c>
      <c r="AZ603">
        <f>VLOOKUP(Table29[[#This Row],[Shortname]], Comp[], 31, FALSE)</f>
        <v>0</v>
      </c>
    </row>
    <row r="604" spans="1:52" x14ac:dyDescent="0.3">
      <c r="A604" t="s">
        <v>6435</v>
      </c>
      <c r="F604" t="s">
        <v>6436</v>
      </c>
      <c r="G604" t="s">
        <v>6431</v>
      </c>
      <c r="H604">
        <v>229.3</v>
      </c>
      <c r="I604">
        <v>2.7000000000000001E-7</v>
      </c>
      <c r="J604">
        <f>0.01/Table29[[#This Row],[Strain Rate (min) /s]]</f>
        <v>37037.037037037036</v>
      </c>
      <c r="K604">
        <f>LOG(Table29[[#This Row],[Time to 1% strain (s)]])</f>
        <v>4.5686362358410131</v>
      </c>
      <c r="L604">
        <v>850</v>
      </c>
      <c r="P604" t="s">
        <v>7242</v>
      </c>
      <c r="Q604">
        <v>1200</v>
      </c>
      <c r="R604">
        <v>24</v>
      </c>
      <c r="S604">
        <v>850</v>
      </c>
      <c r="T604">
        <v>168</v>
      </c>
      <c r="W604">
        <v>1</v>
      </c>
      <c r="X604">
        <v>10</v>
      </c>
      <c r="Y604">
        <v>42.4</v>
      </c>
      <c r="AA604">
        <f>VLOOKUP(Table29[[#This Row],[Shortname]], Comp[], 6, FALSE)</f>
        <v>1073</v>
      </c>
      <c r="AB604" s="14">
        <f>VLOOKUP(Table29[[#This Row],[Shortname]], Comp[], 7, FALSE)</f>
        <v>52.14</v>
      </c>
      <c r="AC604">
        <f>VLOOKUP(Table29[[#This Row],[Shortname]], Comp[], 8, FALSE)</f>
        <v>15.53</v>
      </c>
      <c r="AD604">
        <f>VLOOKUP(Table29[[#This Row],[Shortname]], Comp[], 9, FALSE)</f>
        <v>5.63</v>
      </c>
      <c r="AE604">
        <f>VLOOKUP(Table29[[#This Row],[Shortname]], Comp[], 10, FALSE)</f>
        <v>4.18</v>
      </c>
      <c r="AF604">
        <f>VLOOKUP(Table29[[#This Row],[Shortname]], Comp[], 11, FALSE)</f>
        <v>0</v>
      </c>
      <c r="AG604">
        <f>VLOOKUP(Table29[[#This Row],[Shortname]], Comp[],12, FALSE)</f>
        <v>2.0699999999999998</v>
      </c>
      <c r="AH604">
        <f>VLOOKUP(Table29[[#This Row],[Shortname]], Comp[], 13, FALSE)</f>
        <v>1.49</v>
      </c>
      <c r="AI604">
        <f>VLOOKUP(Table29[[#This Row],[Shortname]], Comp[], 14, FALSE)</f>
        <v>1.5</v>
      </c>
      <c r="AJ604">
        <f>VLOOKUP(Table29[[#This Row],[Shortname]], Comp[], 15, FALSE)</f>
        <v>3.07</v>
      </c>
      <c r="AK604">
        <f>VLOOKUP(Table29[[#This Row],[Shortname]], Comp[], 16, FALSE)</f>
        <v>0</v>
      </c>
      <c r="AL604">
        <f>VLOOKUP(Table29[[#This Row],[Shortname]], Comp[], 17, FALSE)</f>
        <v>0</v>
      </c>
      <c r="AM604">
        <f>VLOOKUP(Table29[[#This Row],[Shortname]], Comp[], 18, FALSE)</f>
        <v>0</v>
      </c>
      <c r="AN604">
        <f>VLOOKUP(Table29[[#This Row],[Shortname]], Comp[], 19, FALSE)</f>
        <v>0.08</v>
      </c>
      <c r="AO604">
        <f>VLOOKUP(Table29[[#This Row],[Shortname]], Comp[], 20, FALSE)</f>
        <v>0</v>
      </c>
      <c r="AP604">
        <f>VLOOKUP(Table29[[#This Row],[Shortname]], Comp[], 21, FALSE)</f>
        <v>0</v>
      </c>
      <c r="AQ604">
        <f>VLOOKUP(Table29[[#This Row],[Shortname]], Comp[], 22, FALSE)</f>
        <v>0</v>
      </c>
      <c r="AR604">
        <f>VLOOKUP(Table29[[#This Row],[Shortname]], Comp[], 23, FALSE)</f>
        <v>14.31</v>
      </c>
      <c r="AS604">
        <f>VLOOKUP(Table29[[#This Row],[Shortname]], Comp[], 24, FALSE)</f>
        <v>0</v>
      </c>
      <c r="AT604">
        <f>VLOOKUP(Table29[[#This Row],[Shortname]], Comp[], 25, FALSE)</f>
        <v>0</v>
      </c>
      <c r="AU604">
        <f>VLOOKUP(Table29[[#This Row],[Shortname]], Comp[], 26, FALSE)</f>
        <v>0</v>
      </c>
      <c r="AV604">
        <f>VLOOKUP(Table29[[#This Row],[Shortname]], Comp[], 27, FALSE)</f>
        <v>0</v>
      </c>
      <c r="AW604">
        <f>VLOOKUP(Table29[[#This Row],[Shortname]], Comp[], 28, FALSE)</f>
        <v>0</v>
      </c>
      <c r="AX604">
        <f>VLOOKUP(Table29[[#This Row],[Shortname]], Comp[], 29, FALSE)</f>
        <v>0</v>
      </c>
      <c r="AY604">
        <f>VLOOKUP(Table29[[#This Row],[Shortname]], Comp[], 30, FALSE)</f>
        <v>0</v>
      </c>
      <c r="AZ604">
        <f>VLOOKUP(Table29[[#This Row],[Shortname]], Comp[], 31, FALSE)</f>
        <v>0</v>
      </c>
    </row>
    <row r="605" spans="1:52" x14ac:dyDescent="0.3">
      <c r="A605" t="s">
        <v>6435</v>
      </c>
      <c r="F605" t="s">
        <v>6436</v>
      </c>
      <c r="G605" t="s">
        <v>6431</v>
      </c>
      <c r="H605">
        <v>240.6</v>
      </c>
      <c r="I605">
        <v>4.75E-7</v>
      </c>
      <c r="J605">
        <f>0.01/Table29[[#This Row],[Strain Rate (min) /s]]</f>
        <v>21052.63157894737</v>
      </c>
      <c r="K605">
        <f>LOG(Table29[[#This Row],[Time to 1% strain (s)]])</f>
        <v>4.3233063903751336</v>
      </c>
      <c r="L605">
        <v>850</v>
      </c>
      <c r="P605" t="s">
        <v>7242</v>
      </c>
      <c r="Q605">
        <v>1200</v>
      </c>
      <c r="R605">
        <v>24</v>
      </c>
      <c r="S605">
        <v>850</v>
      </c>
      <c r="T605">
        <v>168</v>
      </c>
      <c r="W605">
        <v>1</v>
      </c>
      <c r="X605">
        <v>10</v>
      </c>
      <c r="Y605">
        <v>42.4</v>
      </c>
      <c r="AA605">
        <f>VLOOKUP(Table29[[#This Row],[Shortname]], Comp[], 6, FALSE)</f>
        <v>1073</v>
      </c>
      <c r="AB605" s="14">
        <f>VLOOKUP(Table29[[#This Row],[Shortname]], Comp[], 7, FALSE)</f>
        <v>52.14</v>
      </c>
      <c r="AC605">
        <f>VLOOKUP(Table29[[#This Row],[Shortname]], Comp[], 8, FALSE)</f>
        <v>15.53</v>
      </c>
      <c r="AD605">
        <f>VLOOKUP(Table29[[#This Row],[Shortname]], Comp[], 9, FALSE)</f>
        <v>5.63</v>
      </c>
      <c r="AE605">
        <f>VLOOKUP(Table29[[#This Row],[Shortname]], Comp[], 10, FALSE)</f>
        <v>4.18</v>
      </c>
      <c r="AF605">
        <f>VLOOKUP(Table29[[#This Row],[Shortname]], Comp[], 11, FALSE)</f>
        <v>0</v>
      </c>
      <c r="AG605">
        <f>VLOOKUP(Table29[[#This Row],[Shortname]], Comp[],12, FALSE)</f>
        <v>2.0699999999999998</v>
      </c>
      <c r="AH605">
        <f>VLOOKUP(Table29[[#This Row],[Shortname]], Comp[], 13, FALSE)</f>
        <v>1.49</v>
      </c>
      <c r="AI605">
        <f>VLOOKUP(Table29[[#This Row],[Shortname]], Comp[], 14, FALSE)</f>
        <v>1.5</v>
      </c>
      <c r="AJ605">
        <f>VLOOKUP(Table29[[#This Row],[Shortname]], Comp[], 15, FALSE)</f>
        <v>3.07</v>
      </c>
      <c r="AK605">
        <f>VLOOKUP(Table29[[#This Row],[Shortname]], Comp[], 16, FALSE)</f>
        <v>0</v>
      </c>
      <c r="AL605">
        <f>VLOOKUP(Table29[[#This Row],[Shortname]], Comp[], 17, FALSE)</f>
        <v>0</v>
      </c>
      <c r="AM605">
        <f>VLOOKUP(Table29[[#This Row],[Shortname]], Comp[], 18, FALSE)</f>
        <v>0</v>
      </c>
      <c r="AN605">
        <f>VLOOKUP(Table29[[#This Row],[Shortname]], Comp[], 19, FALSE)</f>
        <v>0.08</v>
      </c>
      <c r="AO605">
        <f>VLOOKUP(Table29[[#This Row],[Shortname]], Comp[], 20, FALSE)</f>
        <v>0</v>
      </c>
      <c r="AP605">
        <f>VLOOKUP(Table29[[#This Row],[Shortname]], Comp[], 21, FALSE)</f>
        <v>0</v>
      </c>
      <c r="AQ605">
        <f>VLOOKUP(Table29[[#This Row],[Shortname]], Comp[], 22, FALSE)</f>
        <v>0</v>
      </c>
      <c r="AR605">
        <f>VLOOKUP(Table29[[#This Row],[Shortname]], Comp[], 23, FALSE)</f>
        <v>14.31</v>
      </c>
      <c r="AS605">
        <f>VLOOKUP(Table29[[#This Row],[Shortname]], Comp[], 24, FALSE)</f>
        <v>0</v>
      </c>
      <c r="AT605">
        <f>VLOOKUP(Table29[[#This Row],[Shortname]], Comp[], 25, FALSE)</f>
        <v>0</v>
      </c>
      <c r="AU605">
        <f>VLOOKUP(Table29[[#This Row],[Shortname]], Comp[], 26, FALSE)</f>
        <v>0</v>
      </c>
      <c r="AV605">
        <f>VLOOKUP(Table29[[#This Row],[Shortname]], Comp[], 27, FALSE)</f>
        <v>0</v>
      </c>
      <c r="AW605">
        <f>VLOOKUP(Table29[[#This Row],[Shortname]], Comp[], 28, FALSE)</f>
        <v>0</v>
      </c>
      <c r="AX605">
        <f>VLOOKUP(Table29[[#This Row],[Shortname]], Comp[], 29, FALSE)</f>
        <v>0</v>
      </c>
      <c r="AY605">
        <f>VLOOKUP(Table29[[#This Row],[Shortname]], Comp[], 30, FALSE)</f>
        <v>0</v>
      </c>
      <c r="AZ605">
        <f>VLOOKUP(Table29[[#This Row],[Shortname]], Comp[], 31, FALSE)</f>
        <v>0</v>
      </c>
    </row>
    <row r="606" spans="1:52" x14ac:dyDescent="0.3">
      <c r="A606" t="s">
        <v>6435</v>
      </c>
      <c r="F606" t="s">
        <v>6436</v>
      </c>
      <c r="G606" t="s">
        <v>6431</v>
      </c>
      <c r="H606">
        <v>254.1</v>
      </c>
      <c r="I606">
        <v>8.85E-7</v>
      </c>
      <c r="J606">
        <f>0.01/Table29[[#This Row],[Strain Rate (min) /s]]</f>
        <v>11299.435028248588</v>
      </c>
      <c r="K606">
        <f>LOG(Table29[[#This Row],[Time to 1% strain (s)]])</f>
        <v>4.0530567293021749</v>
      </c>
      <c r="L606">
        <v>850</v>
      </c>
      <c r="P606" t="s">
        <v>7242</v>
      </c>
      <c r="Q606">
        <v>1200</v>
      </c>
      <c r="R606">
        <v>24</v>
      </c>
      <c r="S606">
        <v>850</v>
      </c>
      <c r="T606">
        <v>168</v>
      </c>
      <c r="W606">
        <v>1</v>
      </c>
      <c r="X606">
        <v>10</v>
      </c>
      <c r="Y606">
        <v>42.4</v>
      </c>
      <c r="AA606">
        <f>VLOOKUP(Table29[[#This Row],[Shortname]], Comp[], 6, FALSE)</f>
        <v>1073</v>
      </c>
      <c r="AB606" s="14">
        <f>VLOOKUP(Table29[[#This Row],[Shortname]], Comp[], 7, FALSE)</f>
        <v>52.14</v>
      </c>
      <c r="AC606">
        <f>VLOOKUP(Table29[[#This Row],[Shortname]], Comp[], 8, FALSE)</f>
        <v>15.53</v>
      </c>
      <c r="AD606">
        <f>VLOOKUP(Table29[[#This Row],[Shortname]], Comp[], 9, FALSE)</f>
        <v>5.63</v>
      </c>
      <c r="AE606">
        <f>VLOOKUP(Table29[[#This Row],[Shortname]], Comp[], 10, FALSE)</f>
        <v>4.18</v>
      </c>
      <c r="AF606">
        <f>VLOOKUP(Table29[[#This Row],[Shortname]], Comp[], 11, FALSE)</f>
        <v>0</v>
      </c>
      <c r="AG606">
        <f>VLOOKUP(Table29[[#This Row],[Shortname]], Comp[],12, FALSE)</f>
        <v>2.0699999999999998</v>
      </c>
      <c r="AH606">
        <f>VLOOKUP(Table29[[#This Row],[Shortname]], Comp[], 13, FALSE)</f>
        <v>1.49</v>
      </c>
      <c r="AI606">
        <f>VLOOKUP(Table29[[#This Row],[Shortname]], Comp[], 14, FALSE)</f>
        <v>1.5</v>
      </c>
      <c r="AJ606">
        <f>VLOOKUP(Table29[[#This Row],[Shortname]], Comp[], 15, FALSE)</f>
        <v>3.07</v>
      </c>
      <c r="AK606">
        <f>VLOOKUP(Table29[[#This Row],[Shortname]], Comp[], 16, FALSE)</f>
        <v>0</v>
      </c>
      <c r="AL606">
        <f>VLOOKUP(Table29[[#This Row],[Shortname]], Comp[], 17, FALSE)</f>
        <v>0</v>
      </c>
      <c r="AM606">
        <f>VLOOKUP(Table29[[#This Row],[Shortname]], Comp[], 18, FALSE)</f>
        <v>0</v>
      </c>
      <c r="AN606">
        <f>VLOOKUP(Table29[[#This Row],[Shortname]], Comp[], 19, FALSE)</f>
        <v>0.08</v>
      </c>
      <c r="AO606">
        <f>VLOOKUP(Table29[[#This Row],[Shortname]], Comp[], 20, FALSE)</f>
        <v>0</v>
      </c>
      <c r="AP606">
        <f>VLOOKUP(Table29[[#This Row],[Shortname]], Comp[], 21, FALSE)</f>
        <v>0</v>
      </c>
      <c r="AQ606">
        <f>VLOOKUP(Table29[[#This Row],[Shortname]], Comp[], 22, FALSE)</f>
        <v>0</v>
      </c>
      <c r="AR606">
        <f>VLOOKUP(Table29[[#This Row],[Shortname]], Comp[], 23, FALSE)</f>
        <v>14.31</v>
      </c>
      <c r="AS606">
        <f>VLOOKUP(Table29[[#This Row],[Shortname]], Comp[], 24, FALSE)</f>
        <v>0</v>
      </c>
      <c r="AT606">
        <f>VLOOKUP(Table29[[#This Row],[Shortname]], Comp[], 25, FALSE)</f>
        <v>0</v>
      </c>
      <c r="AU606">
        <f>VLOOKUP(Table29[[#This Row],[Shortname]], Comp[], 26, FALSE)</f>
        <v>0</v>
      </c>
      <c r="AV606">
        <f>VLOOKUP(Table29[[#This Row],[Shortname]], Comp[], 27, FALSE)</f>
        <v>0</v>
      </c>
      <c r="AW606">
        <f>VLOOKUP(Table29[[#This Row],[Shortname]], Comp[], 28, FALSE)</f>
        <v>0</v>
      </c>
      <c r="AX606">
        <f>VLOOKUP(Table29[[#This Row],[Shortname]], Comp[], 29, FALSE)</f>
        <v>0</v>
      </c>
      <c r="AY606">
        <f>VLOOKUP(Table29[[#This Row],[Shortname]], Comp[], 30, FALSE)</f>
        <v>0</v>
      </c>
      <c r="AZ606">
        <f>VLOOKUP(Table29[[#This Row],[Shortname]], Comp[], 31, FALSE)</f>
        <v>0</v>
      </c>
    </row>
    <row r="607" spans="1:52" x14ac:dyDescent="0.3">
      <c r="A607" t="s">
        <v>6435</v>
      </c>
      <c r="F607" t="s">
        <v>6436</v>
      </c>
      <c r="G607" t="s">
        <v>6431</v>
      </c>
      <c r="H607">
        <v>269.8</v>
      </c>
      <c r="I607">
        <v>1.72E-6</v>
      </c>
      <c r="J607">
        <f>0.01/Table29[[#This Row],[Strain Rate (min) /s]]</f>
        <v>5813.9534883720926</v>
      </c>
      <c r="K607">
        <f>LOG(Table29[[#This Row],[Time to 1% strain (s)]])</f>
        <v>3.7644715530924509</v>
      </c>
      <c r="L607">
        <v>850</v>
      </c>
      <c r="P607" t="s">
        <v>7242</v>
      </c>
      <c r="Q607">
        <v>1200</v>
      </c>
      <c r="R607">
        <v>24</v>
      </c>
      <c r="S607">
        <v>850</v>
      </c>
      <c r="T607">
        <v>168</v>
      </c>
      <c r="W607">
        <v>1</v>
      </c>
      <c r="X607">
        <v>10</v>
      </c>
      <c r="Y607">
        <v>42.4</v>
      </c>
      <c r="AA607">
        <f>VLOOKUP(Table29[[#This Row],[Shortname]], Comp[], 6, FALSE)</f>
        <v>1073</v>
      </c>
      <c r="AB607" s="14">
        <f>VLOOKUP(Table29[[#This Row],[Shortname]], Comp[], 7, FALSE)</f>
        <v>52.14</v>
      </c>
      <c r="AC607">
        <f>VLOOKUP(Table29[[#This Row],[Shortname]], Comp[], 8, FALSE)</f>
        <v>15.53</v>
      </c>
      <c r="AD607">
        <f>VLOOKUP(Table29[[#This Row],[Shortname]], Comp[], 9, FALSE)</f>
        <v>5.63</v>
      </c>
      <c r="AE607">
        <f>VLOOKUP(Table29[[#This Row],[Shortname]], Comp[], 10, FALSE)</f>
        <v>4.18</v>
      </c>
      <c r="AF607">
        <f>VLOOKUP(Table29[[#This Row],[Shortname]], Comp[], 11, FALSE)</f>
        <v>0</v>
      </c>
      <c r="AG607">
        <f>VLOOKUP(Table29[[#This Row],[Shortname]], Comp[],12, FALSE)</f>
        <v>2.0699999999999998</v>
      </c>
      <c r="AH607">
        <f>VLOOKUP(Table29[[#This Row],[Shortname]], Comp[], 13, FALSE)</f>
        <v>1.49</v>
      </c>
      <c r="AI607">
        <f>VLOOKUP(Table29[[#This Row],[Shortname]], Comp[], 14, FALSE)</f>
        <v>1.5</v>
      </c>
      <c r="AJ607">
        <f>VLOOKUP(Table29[[#This Row],[Shortname]], Comp[], 15, FALSE)</f>
        <v>3.07</v>
      </c>
      <c r="AK607">
        <f>VLOOKUP(Table29[[#This Row],[Shortname]], Comp[], 16, FALSE)</f>
        <v>0</v>
      </c>
      <c r="AL607">
        <f>VLOOKUP(Table29[[#This Row],[Shortname]], Comp[], 17, FALSE)</f>
        <v>0</v>
      </c>
      <c r="AM607">
        <f>VLOOKUP(Table29[[#This Row],[Shortname]], Comp[], 18, FALSE)</f>
        <v>0</v>
      </c>
      <c r="AN607">
        <f>VLOOKUP(Table29[[#This Row],[Shortname]], Comp[], 19, FALSE)</f>
        <v>0.08</v>
      </c>
      <c r="AO607">
        <f>VLOOKUP(Table29[[#This Row],[Shortname]], Comp[], 20, FALSE)</f>
        <v>0</v>
      </c>
      <c r="AP607">
        <f>VLOOKUP(Table29[[#This Row],[Shortname]], Comp[], 21, FALSE)</f>
        <v>0</v>
      </c>
      <c r="AQ607">
        <f>VLOOKUP(Table29[[#This Row],[Shortname]], Comp[], 22, FALSE)</f>
        <v>0</v>
      </c>
      <c r="AR607">
        <f>VLOOKUP(Table29[[#This Row],[Shortname]], Comp[], 23, FALSE)</f>
        <v>14.31</v>
      </c>
      <c r="AS607">
        <f>VLOOKUP(Table29[[#This Row],[Shortname]], Comp[], 24, FALSE)</f>
        <v>0</v>
      </c>
      <c r="AT607">
        <f>VLOOKUP(Table29[[#This Row],[Shortname]], Comp[], 25, FALSE)</f>
        <v>0</v>
      </c>
      <c r="AU607">
        <f>VLOOKUP(Table29[[#This Row],[Shortname]], Comp[], 26, FALSE)</f>
        <v>0</v>
      </c>
      <c r="AV607">
        <f>VLOOKUP(Table29[[#This Row],[Shortname]], Comp[], 27, FALSE)</f>
        <v>0</v>
      </c>
      <c r="AW607">
        <f>VLOOKUP(Table29[[#This Row],[Shortname]], Comp[], 28, FALSE)</f>
        <v>0</v>
      </c>
      <c r="AX607">
        <f>VLOOKUP(Table29[[#This Row],[Shortname]], Comp[], 29, FALSE)</f>
        <v>0</v>
      </c>
      <c r="AY607">
        <f>VLOOKUP(Table29[[#This Row],[Shortname]], Comp[], 30, FALSE)</f>
        <v>0</v>
      </c>
      <c r="AZ607">
        <f>VLOOKUP(Table29[[#This Row],[Shortname]], Comp[], 31, FALSE)</f>
        <v>0</v>
      </c>
    </row>
    <row r="608" spans="1:52" x14ac:dyDescent="0.3">
      <c r="A608" t="s">
        <v>6435</v>
      </c>
      <c r="F608" t="s">
        <v>6436</v>
      </c>
      <c r="G608" t="s">
        <v>6431</v>
      </c>
      <c r="H608">
        <v>291.10000000000002</v>
      </c>
      <c r="I608">
        <v>5.2499999999999997E-6</v>
      </c>
      <c r="J608">
        <f>0.01/Table29[[#This Row],[Strain Rate (min) /s]]</f>
        <v>1904.7619047619048</v>
      </c>
      <c r="K608">
        <f>LOG(Table29[[#This Row],[Time to 1% strain (s)]])</f>
        <v>3.279840696594043</v>
      </c>
      <c r="L608">
        <v>850</v>
      </c>
      <c r="P608" t="s">
        <v>7242</v>
      </c>
      <c r="Q608">
        <v>1200</v>
      </c>
      <c r="R608">
        <v>24</v>
      </c>
      <c r="S608">
        <v>850</v>
      </c>
      <c r="T608">
        <v>168</v>
      </c>
      <c r="W608">
        <v>1</v>
      </c>
      <c r="X608">
        <v>10</v>
      </c>
      <c r="Y608">
        <v>42.4</v>
      </c>
      <c r="AA608">
        <f>VLOOKUP(Table29[[#This Row],[Shortname]], Comp[], 6, FALSE)</f>
        <v>1073</v>
      </c>
      <c r="AB608" s="14">
        <f>VLOOKUP(Table29[[#This Row],[Shortname]], Comp[], 7, FALSE)</f>
        <v>52.14</v>
      </c>
      <c r="AC608">
        <f>VLOOKUP(Table29[[#This Row],[Shortname]], Comp[], 8, FALSE)</f>
        <v>15.53</v>
      </c>
      <c r="AD608">
        <f>VLOOKUP(Table29[[#This Row],[Shortname]], Comp[], 9, FALSE)</f>
        <v>5.63</v>
      </c>
      <c r="AE608">
        <f>VLOOKUP(Table29[[#This Row],[Shortname]], Comp[], 10, FALSE)</f>
        <v>4.18</v>
      </c>
      <c r="AF608">
        <f>VLOOKUP(Table29[[#This Row],[Shortname]], Comp[], 11, FALSE)</f>
        <v>0</v>
      </c>
      <c r="AG608">
        <f>VLOOKUP(Table29[[#This Row],[Shortname]], Comp[],12, FALSE)</f>
        <v>2.0699999999999998</v>
      </c>
      <c r="AH608">
        <f>VLOOKUP(Table29[[#This Row],[Shortname]], Comp[], 13, FALSE)</f>
        <v>1.49</v>
      </c>
      <c r="AI608">
        <f>VLOOKUP(Table29[[#This Row],[Shortname]], Comp[], 14, FALSE)</f>
        <v>1.5</v>
      </c>
      <c r="AJ608">
        <f>VLOOKUP(Table29[[#This Row],[Shortname]], Comp[], 15, FALSE)</f>
        <v>3.07</v>
      </c>
      <c r="AK608">
        <f>VLOOKUP(Table29[[#This Row],[Shortname]], Comp[], 16, FALSE)</f>
        <v>0</v>
      </c>
      <c r="AL608">
        <f>VLOOKUP(Table29[[#This Row],[Shortname]], Comp[], 17, FALSE)</f>
        <v>0</v>
      </c>
      <c r="AM608">
        <f>VLOOKUP(Table29[[#This Row],[Shortname]], Comp[], 18, FALSE)</f>
        <v>0</v>
      </c>
      <c r="AN608">
        <f>VLOOKUP(Table29[[#This Row],[Shortname]], Comp[], 19, FALSE)</f>
        <v>0.08</v>
      </c>
      <c r="AO608">
        <f>VLOOKUP(Table29[[#This Row],[Shortname]], Comp[], 20, FALSE)</f>
        <v>0</v>
      </c>
      <c r="AP608">
        <f>VLOOKUP(Table29[[#This Row],[Shortname]], Comp[], 21, FALSE)</f>
        <v>0</v>
      </c>
      <c r="AQ608">
        <f>VLOOKUP(Table29[[#This Row],[Shortname]], Comp[], 22, FALSE)</f>
        <v>0</v>
      </c>
      <c r="AR608">
        <f>VLOOKUP(Table29[[#This Row],[Shortname]], Comp[], 23, FALSE)</f>
        <v>14.31</v>
      </c>
      <c r="AS608">
        <f>VLOOKUP(Table29[[#This Row],[Shortname]], Comp[], 24, FALSE)</f>
        <v>0</v>
      </c>
      <c r="AT608">
        <f>VLOOKUP(Table29[[#This Row],[Shortname]], Comp[], 25, FALSE)</f>
        <v>0</v>
      </c>
      <c r="AU608">
        <f>VLOOKUP(Table29[[#This Row],[Shortname]], Comp[], 26, FALSE)</f>
        <v>0</v>
      </c>
      <c r="AV608">
        <f>VLOOKUP(Table29[[#This Row],[Shortname]], Comp[], 27, FALSE)</f>
        <v>0</v>
      </c>
      <c r="AW608">
        <f>VLOOKUP(Table29[[#This Row],[Shortname]], Comp[], 28, FALSE)</f>
        <v>0</v>
      </c>
      <c r="AX608">
        <f>VLOOKUP(Table29[[#This Row],[Shortname]], Comp[], 29, FALSE)</f>
        <v>0</v>
      </c>
      <c r="AY608">
        <f>VLOOKUP(Table29[[#This Row],[Shortname]], Comp[], 30, FALSE)</f>
        <v>0</v>
      </c>
      <c r="AZ608">
        <f>VLOOKUP(Table29[[#This Row],[Shortname]], Comp[], 31, FALSE)</f>
        <v>0</v>
      </c>
    </row>
    <row r="609" spans="1:52" x14ac:dyDescent="0.3">
      <c r="A609" t="s">
        <v>6435</v>
      </c>
      <c r="F609" t="s">
        <v>6436</v>
      </c>
      <c r="G609" t="s">
        <v>6431</v>
      </c>
      <c r="H609">
        <v>317</v>
      </c>
      <c r="I609">
        <v>1.1600000000000001E-5</v>
      </c>
      <c r="J609">
        <f>0.01/Table29[[#This Row],[Strain Rate (min) /s]]</f>
        <v>862.06896551724139</v>
      </c>
      <c r="K609">
        <f>LOG(Table29[[#This Row],[Time to 1% strain (s)]])</f>
        <v>2.9355420107730814</v>
      </c>
      <c r="L609">
        <v>850</v>
      </c>
      <c r="P609" t="s">
        <v>7242</v>
      </c>
      <c r="Q609">
        <v>1200</v>
      </c>
      <c r="R609">
        <v>24</v>
      </c>
      <c r="S609">
        <v>850</v>
      </c>
      <c r="T609">
        <v>168</v>
      </c>
      <c r="W609">
        <v>1</v>
      </c>
      <c r="X609">
        <v>10</v>
      </c>
      <c r="Y609">
        <v>42.4</v>
      </c>
      <c r="AA609">
        <f>VLOOKUP(Table29[[#This Row],[Shortname]], Comp[], 6, FALSE)</f>
        <v>1073</v>
      </c>
      <c r="AB609" s="14">
        <f>VLOOKUP(Table29[[#This Row],[Shortname]], Comp[], 7, FALSE)</f>
        <v>52.14</v>
      </c>
      <c r="AC609">
        <f>VLOOKUP(Table29[[#This Row],[Shortname]], Comp[], 8, FALSE)</f>
        <v>15.53</v>
      </c>
      <c r="AD609">
        <f>VLOOKUP(Table29[[#This Row],[Shortname]], Comp[], 9, FALSE)</f>
        <v>5.63</v>
      </c>
      <c r="AE609">
        <f>VLOOKUP(Table29[[#This Row],[Shortname]], Comp[], 10, FALSE)</f>
        <v>4.18</v>
      </c>
      <c r="AF609">
        <f>VLOOKUP(Table29[[#This Row],[Shortname]], Comp[], 11, FALSE)</f>
        <v>0</v>
      </c>
      <c r="AG609">
        <f>VLOOKUP(Table29[[#This Row],[Shortname]], Comp[],12, FALSE)</f>
        <v>2.0699999999999998</v>
      </c>
      <c r="AH609">
        <f>VLOOKUP(Table29[[#This Row],[Shortname]], Comp[], 13, FALSE)</f>
        <v>1.49</v>
      </c>
      <c r="AI609">
        <f>VLOOKUP(Table29[[#This Row],[Shortname]], Comp[], 14, FALSE)</f>
        <v>1.5</v>
      </c>
      <c r="AJ609">
        <f>VLOOKUP(Table29[[#This Row],[Shortname]], Comp[], 15, FALSE)</f>
        <v>3.07</v>
      </c>
      <c r="AK609">
        <f>VLOOKUP(Table29[[#This Row],[Shortname]], Comp[], 16, FALSE)</f>
        <v>0</v>
      </c>
      <c r="AL609">
        <f>VLOOKUP(Table29[[#This Row],[Shortname]], Comp[], 17, FALSE)</f>
        <v>0</v>
      </c>
      <c r="AM609">
        <f>VLOOKUP(Table29[[#This Row],[Shortname]], Comp[], 18, FALSE)</f>
        <v>0</v>
      </c>
      <c r="AN609">
        <f>VLOOKUP(Table29[[#This Row],[Shortname]], Comp[], 19, FALSE)</f>
        <v>0.08</v>
      </c>
      <c r="AO609">
        <f>VLOOKUP(Table29[[#This Row],[Shortname]], Comp[], 20, FALSE)</f>
        <v>0</v>
      </c>
      <c r="AP609">
        <f>VLOOKUP(Table29[[#This Row],[Shortname]], Comp[], 21, FALSE)</f>
        <v>0</v>
      </c>
      <c r="AQ609">
        <f>VLOOKUP(Table29[[#This Row],[Shortname]], Comp[], 22, FALSE)</f>
        <v>0</v>
      </c>
      <c r="AR609">
        <f>VLOOKUP(Table29[[#This Row],[Shortname]], Comp[], 23, FALSE)</f>
        <v>14.31</v>
      </c>
      <c r="AS609">
        <f>VLOOKUP(Table29[[#This Row],[Shortname]], Comp[], 24, FALSE)</f>
        <v>0</v>
      </c>
      <c r="AT609">
        <f>VLOOKUP(Table29[[#This Row],[Shortname]], Comp[], 25, FALSE)</f>
        <v>0</v>
      </c>
      <c r="AU609">
        <f>VLOOKUP(Table29[[#This Row],[Shortname]], Comp[], 26, FALSE)</f>
        <v>0</v>
      </c>
      <c r="AV609">
        <f>VLOOKUP(Table29[[#This Row],[Shortname]], Comp[], 27, FALSE)</f>
        <v>0</v>
      </c>
      <c r="AW609">
        <f>VLOOKUP(Table29[[#This Row],[Shortname]], Comp[], 28, FALSE)</f>
        <v>0</v>
      </c>
      <c r="AX609">
        <f>VLOOKUP(Table29[[#This Row],[Shortname]], Comp[], 29, FALSE)</f>
        <v>0</v>
      </c>
      <c r="AY609">
        <f>VLOOKUP(Table29[[#This Row],[Shortname]], Comp[], 30, FALSE)</f>
        <v>0</v>
      </c>
      <c r="AZ609">
        <f>VLOOKUP(Table29[[#This Row],[Shortname]], Comp[], 31, FALSE)</f>
        <v>0</v>
      </c>
    </row>
    <row r="610" spans="1:52" x14ac:dyDescent="0.3">
      <c r="A610" t="s">
        <v>6435</v>
      </c>
      <c r="F610" t="s">
        <v>6436</v>
      </c>
      <c r="G610" t="s">
        <v>6431</v>
      </c>
      <c r="H610">
        <v>351.9</v>
      </c>
      <c r="I610">
        <v>2.76E-5</v>
      </c>
      <c r="J610">
        <f>0.01/Table29[[#This Row],[Strain Rate (min) /s]]</f>
        <v>362.31884057971013</v>
      </c>
      <c r="K610">
        <f>LOG(Table29[[#This Row],[Time to 1% strain (s)]])</f>
        <v>2.5590909179347823</v>
      </c>
      <c r="L610">
        <v>850</v>
      </c>
      <c r="P610" t="s">
        <v>7242</v>
      </c>
      <c r="Q610">
        <v>1200</v>
      </c>
      <c r="R610">
        <v>24</v>
      </c>
      <c r="S610">
        <v>850</v>
      </c>
      <c r="T610">
        <v>168</v>
      </c>
      <c r="W610">
        <v>1</v>
      </c>
      <c r="X610">
        <v>10</v>
      </c>
      <c r="Y610">
        <v>42.4</v>
      </c>
      <c r="AA610">
        <f>VLOOKUP(Table29[[#This Row],[Shortname]], Comp[], 6, FALSE)</f>
        <v>1073</v>
      </c>
      <c r="AB610" s="14">
        <f>VLOOKUP(Table29[[#This Row],[Shortname]], Comp[], 7, FALSE)</f>
        <v>52.14</v>
      </c>
      <c r="AC610">
        <f>VLOOKUP(Table29[[#This Row],[Shortname]], Comp[], 8, FALSE)</f>
        <v>15.53</v>
      </c>
      <c r="AD610">
        <f>VLOOKUP(Table29[[#This Row],[Shortname]], Comp[], 9, FALSE)</f>
        <v>5.63</v>
      </c>
      <c r="AE610">
        <f>VLOOKUP(Table29[[#This Row],[Shortname]], Comp[], 10, FALSE)</f>
        <v>4.18</v>
      </c>
      <c r="AF610">
        <f>VLOOKUP(Table29[[#This Row],[Shortname]], Comp[], 11, FALSE)</f>
        <v>0</v>
      </c>
      <c r="AG610">
        <f>VLOOKUP(Table29[[#This Row],[Shortname]], Comp[],12, FALSE)</f>
        <v>2.0699999999999998</v>
      </c>
      <c r="AH610">
        <f>VLOOKUP(Table29[[#This Row],[Shortname]], Comp[], 13, FALSE)</f>
        <v>1.49</v>
      </c>
      <c r="AI610">
        <f>VLOOKUP(Table29[[#This Row],[Shortname]], Comp[], 14, FALSE)</f>
        <v>1.5</v>
      </c>
      <c r="AJ610">
        <f>VLOOKUP(Table29[[#This Row],[Shortname]], Comp[], 15, FALSE)</f>
        <v>3.07</v>
      </c>
      <c r="AK610">
        <f>VLOOKUP(Table29[[#This Row],[Shortname]], Comp[], 16, FALSE)</f>
        <v>0</v>
      </c>
      <c r="AL610">
        <f>VLOOKUP(Table29[[#This Row],[Shortname]], Comp[], 17, FALSE)</f>
        <v>0</v>
      </c>
      <c r="AM610">
        <f>VLOOKUP(Table29[[#This Row],[Shortname]], Comp[], 18, FALSE)</f>
        <v>0</v>
      </c>
      <c r="AN610">
        <f>VLOOKUP(Table29[[#This Row],[Shortname]], Comp[], 19, FALSE)</f>
        <v>0.08</v>
      </c>
      <c r="AO610">
        <f>VLOOKUP(Table29[[#This Row],[Shortname]], Comp[], 20, FALSE)</f>
        <v>0</v>
      </c>
      <c r="AP610">
        <f>VLOOKUP(Table29[[#This Row],[Shortname]], Comp[], 21, FALSE)</f>
        <v>0</v>
      </c>
      <c r="AQ610">
        <f>VLOOKUP(Table29[[#This Row],[Shortname]], Comp[], 22, FALSE)</f>
        <v>0</v>
      </c>
      <c r="AR610">
        <f>VLOOKUP(Table29[[#This Row],[Shortname]], Comp[], 23, FALSE)</f>
        <v>14.31</v>
      </c>
      <c r="AS610">
        <f>VLOOKUP(Table29[[#This Row],[Shortname]], Comp[], 24, FALSE)</f>
        <v>0</v>
      </c>
      <c r="AT610">
        <f>VLOOKUP(Table29[[#This Row],[Shortname]], Comp[], 25, FALSE)</f>
        <v>0</v>
      </c>
      <c r="AU610">
        <f>VLOOKUP(Table29[[#This Row],[Shortname]], Comp[], 26, FALSE)</f>
        <v>0</v>
      </c>
      <c r="AV610">
        <f>VLOOKUP(Table29[[#This Row],[Shortname]], Comp[], 27, FALSE)</f>
        <v>0</v>
      </c>
      <c r="AW610">
        <f>VLOOKUP(Table29[[#This Row],[Shortname]], Comp[], 28, FALSE)</f>
        <v>0</v>
      </c>
      <c r="AX610">
        <f>VLOOKUP(Table29[[#This Row],[Shortname]], Comp[], 29, FALSE)</f>
        <v>0</v>
      </c>
      <c r="AY610">
        <f>VLOOKUP(Table29[[#This Row],[Shortname]], Comp[], 30, FALSE)</f>
        <v>0</v>
      </c>
      <c r="AZ610">
        <f>VLOOKUP(Table29[[#This Row],[Shortname]], Comp[], 31, FALSE)</f>
        <v>0</v>
      </c>
    </row>
    <row r="611" spans="1:52" x14ac:dyDescent="0.3">
      <c r="A611" t="s">
        <v>6451</v>
      </c>
      <c r="F611" t="s">
        <v>6452</v>
      </c>
      <c r="G611" t="s">
        <v>6431</v>
      </c>
      <c r="H611">
        <v>218.3</v>
      </c>
      <c r="I611">
        <v>2.8600000000000001E-8</v>
      </c>
      <c r="J611">
        <f>0.01/Table29[[#This Row],[Strain Rate (min) /s]]</f>
        <v>349650.34965034964</v>
      </c>
      <c r="K611">
        <f>LOG(Table29[[#This Row],[Time to 1% strain (s)]])</f>
        <v>5.5436339668709573</v>
      </c>
      <c r="L611">
        <v>850</v>
      </c>
      <c r="P611" t="s">
        <v>7243</v>
      </c>
      <c r="Q611">
        <v>1200</v>
      </c>
      <c r="R611">
        <v>24</v>
      </c>
      <c r="S611">
        <v>850</v>
      </c>
      <c r="T611">
        <v>168</v>
      </c>
      <c r="W611">
        <v>1</v>
      </c>
      <c r="X611">
        <v>10</v>
      </c>
      <c r="Y611">
        <v>32.799999999999997</v>
      </c>
      <c r="AA611">
        <f>VLOOKUP(Table29[[#This Row],[Shortname]], Comp[], 6, FALSE)</f>
        <v>1076</v>
      </c>
      <c r="AB611" s="14">
        <f>VLOOKUP(Table29[[#This Row],[Shortname]], Comp[], 7, FALSE)</f>
        <v>48.25</v>
      </c>
      <c r="AC611">
        <f>VLOOKUP(Table29[[#This Row],[Shortname]], Comp[], 8, FALSE)</f>
        <v>15.59</v>
      </c>
      <c r="AD611">
        <f>VLOOKUP(Table29[[#This Row],[Shortname]], Comp[], 9, FALSE)</f>
        <v>5.44</v>
      </c>
      <c r="AE611">
        <f>VLOOKUP(Table29[[#This Row],[Shortname]], Comp[], 10, FALSE)</f>
        <v>8.2899999999999991</v>
      </c>
      <c r="AF611">
        <f>VLOOKUP(Table29[[#This Row],[Shortname]], Comp[], 11, FALSE)</f>
        <v>0</v>
      </c>
      <c r="AG611">
        <f>VLOOKUP(Table29[[#This Row],[Shortname]], Comp[],12, FALSE)</f>
        <v>2.0699999999999998</v>
      </c>
      <c r="AH611">
        <f>VLOOKUP(Table29[[#This Row],[Shortname]], Comp[], 13, FALSE)</f>
        <v>1.51</v>
      </c>
      <c r="AI611">
        <f>VLOOKUP(Table29[[#This Row],[Shortname]], Comp[], 14, FALSE)</f>
        <v>1.45</v>
      </c>
      <c r="AJ611">
        <f>VLOOKUP(Table29[[#This Row],[Shortname]], Comp[], 15, FALSE)</f>
        <v>3.1</v>
      </c>
      <c r="AK611">
        <f>VLOOKUP(Table29[[#This Row],[Shortname]], Comp[], 16, FALSE)</f>
        <v>0</v>
      </c>
      <c r="AL611">
        <f>VLOOKUP(Table29[[#This Row],[Shortname]], Comp[], 17, FALSE)</f>
        <v>0</v>
      </c>
      <c r="AM611">
        <f>VLOOKUP(Table29[[#This Row],[Shortname]], Comp[], 18, FALSE)</f>
        <v>0</v>
      </c>
      <c r="AN611">
        <f>VLOOKUP(Table29[[#This Row],[Shortname]], Comp[], 19, FALSE)</f>
        <v>0.08</v>
      </c>
      <c r="AO611">
        <f>VLOOKUP(Table29[[#This Row],[Shortname]], Comp[], 20, FALSE)</f>
        <v>0</v>
      </c>
      <c r="AP611">
        <f>VLOOKUP(Table29[[#This Row],[Shortname]], Comp[], 21, FALSE)</f>
        <v>0</v>
      </c>
      <c r="AQ611">
        <f>VLOOKUP(Table29[[#This Row],[Shortname]], Comp[], 22, FALSE)</f>
        <v>0</v>
      </c>
      <c r="AR611">
        <f>VLOOKUP(Table29[[#This Row],[Shortname]], Comp[], 23, FALSE)</f>
        <v>14.22</v>
      </c>
      <c r="AS611">
        <f>VLOOKUP(Table29[[#This Row],[Shortname]], Comp[], 24, FALSE)</f>
        <v>0</v>
      </c>
      <c r="AT611">
        <f>VLOOKUP(Table29[[#This Row],[Shortname]], Comp[], 25, FALSE)</f>
        <v>0</v>
      </c>
      <c r="AU611">
        <f>VLOOKUP(Table29[[#This Row],[Shortname]], Comp[], 26, FALSE)</f>
        <v>0</v>
      </c>
      <c r="AV611">
        <f>VLOOKUP(Table29[[#This Row],[Shortname]], Comp[], 27, FALSE)</f>
        <v>0</v>
      </c>
      <c r="AW611">
        <f>VLOOKUP(Table29[[#This Row],[Shortname]], Comp[], 28, FALSE)</f>
        <v>0</v>
      </c>
      <c r="AX611">
        <f>VLOOKUP(Table29[[#This Row],[Shortname]], Comp[], 29, FALSE)</f>
        <v>0</v>
      </c>
      <c r="AY611">
        <f>VLOOKUP(Table29[[#This Row],[Shortname]], Comp[], 30, FALSE)</f>
        <v>0</v>
      </c>
      <c r="AZ611">
        <f>VLOOKUP(Table29[[#This Row],[Shortname]], Comp[], 31, FALSE)</f>
        <v>0</v>
      </c>
    </row>
    <row r="612" spans="1:52" x14ac:dyDescent="0.3">
      <c r="A612" t="s">
        <v>6451</v>
      </c>
      <c r="F612" t="s">
        <v>6452</v>
      </c>
      <c r="G612" t="s">
        <v>6431</v>
      </c>
      <c r="H612">
        <v>229.5</v>
      </c>
      <c r="I612">
        <v>5.9999999999999995E-8</v>
      </c>
      <c r="J612">
        <f>0.01/Table29[[#This Row],[Strain Rate (min) /s]]</f>
        <v>166666.66666666669</v>
      </c>
      <c r="K612">
        <f>LOG(Table29[[#This Row],[Time to 1% strain (s)]])</f>
        <v>5.2218487496163561</v>
      </c>
      <c r="L612">
        <v>850</v>
      </c>
      <c r="P612" t="s">
        <v>7243</v>
      </c>
      <c r="Q612">
        <v>1200</v>
      </c>
      <c r="R612">
        <v>24</v>
      </c>
      <c r="S612">
        <v>850</v>
      </c>
      <c r="T612">
        <v>168</v>
      </c>
      <c r="W612">
        <v>1</v>
      </c>
      <c r="X612">
        <v>10</v>
      </c>
      <c r="Y612">
        <v>32.799999999999997</v>
      </c>
      <c r="AA612">
        <f>VLOOKUP(Table29[[#This Row],[Shortname]], Comp[], 6, FALSE)</f>
        <v>1076</v>
      </c>
      <c r="AB612" s="14">
        <f>VLOOKUP(Table29[[#This Row],[Shortname]], Comp[], 7, FALSE)</f>
        <v>48.25</v>
      </c>
      <c r="AC612">
        <f>VLOOKUP(Table29[[#This Row],[Shortname]], Comp[], 8, FALSE)</f>
        <v>15.59</v>
      </c>
      <c r="AD612">
        <f>VLOOKUP(Table29[[#This Row],[Shortname]], Comp[], 9, FALSE)</f>
        <v>5.44</v>
      </c>
      <c r="AE612">
        <f>VLOOKUP(Table29[[#This Row],[Shortname]], Comp[], 10, FALSE)</f>
        <v>8.2899999999999991</v>
      </c>
      <c r="AF612">
        <f>VLOOKUP(Table29[[#This Row],[Shortname]], Comp[], 11, FALSE)</f>
        <v>0</v>
      </c>
      <c r="AG612">
        <f>VLOOKUP(Table29[[#This Row],[Shortname]], Comp[],12, FALSE)</f>
        <v>2.0699999999999998</v>
      </c>
      <c r="AH612">
        <f>VLOOKUP(Table29[[#This Row],[Shortname]], Comp[], 13, FALSE)</f>
        <v>1.51</v>
      </c>
      <c r="AI612">
        <f>VLOOKUP(Table29[[#This Row],[Shortname]], Comp[], 14, FALSE)</f>
        <v>1.45</v>
      </c>
      <c r="AJ612">
        <f>VLOOKUP(Table29[[#This Row],[Shortname]], Comp[], 15, FALSE)</f>
        <v>3.1</v>
      </c>
      <c r="AK612">
        <f>VLOOKUP(Table29[[#This Row],[Shortname]], Comp[], 16, FALSE)</f>
        <v>0</v>
      </c>
      <c r="AL612">
        <f>VLOOKUP(Table29[[#This Row],[Shortname]], Comp[], 17, FALSE)</f>
        <v>0</v>
      </c>
      <c r="AM612">
        <f>VLOOKUP(Table29[[#This Row],[Shortname]], Comp[], 18, FALSE)</f>
        <v>0</v>
      </c>
      <c r="AN612">
        <f>VLOOKUP(Table29[[#This Row],[Shortname]], Comp[], 19, FALSE)</f>
        <v>0.08</v>
      </c>
      <c r="AO612">
        <f>VLOOKUP(Table29[[#This Row],[Shortname]], Comp[], 20, FALSE)</f>
        <v>0</v>
      </c>
      <c r="AP612">
        <f>VLOOKUP(Table29[[#This Row],[Shortname]], Comp[], 21, FALSE)</f>
        <v>0</v>
      </c>
      <c r="AQ612">
        <f>VLOOKUP(Table29[[#This Row],[Shortname]], Comp[], 22, FALSE)</f>
        <v>0</v>
      </c>
      <c r="AR612">
        <f>VLOOKUP(Table29[[#This Row],[Shortname]], Comp[], 23, FALSE)</f>
        <v>14.22</v>
      </c>
      <c r="AS612">
        <f>VLOOKUP(Table29[[#This Row],[Shortname]], Comp[], 24, FALSE)</f>
        <v>0</v>
      </c>
      <c r="AT612">
        <f>VLOOKUP(Table29[[#This Row],[Shortname]], Comp[], 25, FALSE)</f>
        <v>0</v>
      </c>
      <c r="AU612">
        <f>VLOOKUP(Table29[[#This Row],[Shortname]], Comp[], 26, FALSE)</f>
        <v>0</v>
      </c>
      <c r="AV612">
        <f>VLOOKUP(Table29[[#This Row],[Shortname]], Comp[], 27, FALSE)</f>
        <v>0</v>
      </c>
      <c r="AW612">
        <f>VLOOKUP(Table29[[#This Row],[Shortname]], Comp[], 28, FALSE)</f>
        <v>0</v>
      </c>
      <c r="AX612">
        <f>VLOOKUP(Table29[[#This Row],[Shortname]], Comp[], 29, FALSE)</f>
        <v>0</v>
      </c>
      <c r="AY612">
        <f>VLOOKUP(Table29[[#This Row],[Shortname]], Comp[], 30, FALSE)</f>
        <v>0</v>
      </c>
      <c r="AZ612">
        <f>VLOOKUP(Table29[[#This Row],[Shortname]], Comp[], 31, FALSE)</f>
        <v>0</v>
      </c>
    </row>
    <row r="613" spans="1:52" x14ac:dyDescent="0.3">
      <c r="A613" t="s">
        <v>6451</v>
      </c>
      <c r="F613" t="s">
        <v>6452</v>
      </c>
      <c r="G613" t="s">
        <v>6431</v>
      </c>
      <c r="H613">
        <v>243.3</v>
      </c>
      <c r="I613">
        <v>1.18E-7</v>
      </c>
      <c r="J613">
        <f>0.01/Table29[[#This Row],[Strain Rate (min) /s]]</f>
        <v>84745.762711864416</v>
      </c>
      <c r="K613">
        <f>LOG(Table29[[#This Row],[Time to 1% strain (s)]])</f>
        <v>4.928117992693875</v>
      </c>
      <c r="L613">
        <v>850</v>
      </c>
      <c r="P613" t="s">
        <v>7243</v>
      </c>
      <c r="Q613">
        <v>1200</v>
      </c>
      <c r="R613">
        <v>24</v>
      </c>
      <c r="S613">
        <v>850</v>
      </c>
      <c r="T613">
        <v>168</v>
      </c>
      <c r="W613">
        <v>1</v>
      </c>
      <c r="X613">
        <v>10</v>
      </c>
      <c r="Y613">
        <v>32.799999999999997</v>
      </c>
      <c r="AA613">
        <f>VLOOKUP(Table29[[#This Row],[Shortname]], Comp[], 6, FALSE)</f>
        <v>1076</v>
      </c>
      <c r="AB613" s="14">
        <f>VLOOKUP(Table29[[#This Row],[Shortname]], Comp[], 7, FALSE)</f>
        <v>48.25</v>
      </c>
      <c r="AC613">
        <f>VLOOKUP(Table29[[#This Row],[Shortname]], Comp[], 8, FALSE)</f>
        <v>15.59</v>
      </c>
      <c r="AD613">
        <f>VLOOKUP(Table29[[#This Row],[Shortname]], Comp[], 9, FALSE)</f>
        <v>5.44</v>
      </c>
      <c r="AE613">
        <f>VLOOKUP(Table29[[#This Row],[Shortname]], Comp[], 10, FALSE)</f>
        <v>8.2899999999999991</v>
      </c>
      <c r="AF613">
        <f>VLOOKUP(Table29[[#This Row],[Shortname]], Comp[], 11, FALSE)</f>
        <v>0</v>
      </c>
      <c r="AG613">
        <f>VLOOKUP(Table29[[#This Row],[Shortname]], Comp[],12, FALSE)</f>
        <v>2.0699999999999998</v>
      </c>
      <c r="AH613">
        <f>VLOOKUP(Table29[[#This Row],[Shortname]], Comp[], 13, FALSE)</f>
        <v>1.51</v>
      </c>
      <c r="AI613">
        <f>VLOOKUP(Table29[[#This Row],[Shortname]], Comp[], 14, FALSE)</f>
        <v>1.45</v>
      </c>
      <c r="AJ613">
        <f>VLOOKUP(Table29[[#This Row],[Shortname]], Comp[], 15, FALSE)</f>
        <v>3.1</v>
      </c>
      <c r="AK613">
        <f>VLOOKUP(Table29[[#This Row],[Shortname]], Comp[], 16, FALSE)</f>
        <v>0</v>
      </c>
      <c r="AL613">
        <f>VLOOKUP(Table29[[#This Row],[Shortname]], Comp[], 17, FALSE)</f>
        <v>0</v>
      </c>
      <c r="AM613">
        <f>VLOOKUP(Table29[[#This Row],[Shortname]], Comp[], 18, FALSE)</f>
        <v>0</v>
      </c>
      <c r="AN613">
        <f>VLOOKUP(Table29[[#This Row],[Shortname]], Comp[], 19, FALSE)</f>
        <v>0.08</v>
      </c>
      <c r="AO613">
        <f>VLOOKUP(Table29[[#This Row],[Shortname]], Comp[], 20, FALSE)</f>
        <v>0</v>
      </c>
      <c r="AP613">
        <f>VLOOKUP(Table29[[#This Row],[Shortname]], Comp[], 21, FALSE)</f>
        <v>0</v>
      </c>
      <c r="AQ613">
        <f>VLOOKUP(Table29[[#This Row],[Shortname]], Comp[], 22, FALSE)</f>
        <v>0</v>
      </c>
      <c r="AR613">
        <f>VLOOKUP(Table29[[#This Row],[Shortname]], Comp[], 23, FALSE)</f>
        <v>14.22</v>
      </c>
      <c r="AS613">
        <f>VLOOKUP(Table29[[#This Row],[Shortname]], Comp[], 24, FALSE)</f>
        <v>0</v>
      </c>
      <c r="AT613">
        <f>VLOOKUP(Table29[[#This Row],[Shortname]], Comp[], 25, FALSE)</f>
        <v>0</v>
      </c>
      <c r="AU613">
        <f>VLOOKUP(Table29[[#This Row],[Shortname]], Comp[], 26, FALSE)</f>
        <v>0</v>
      </c>
      <c r="AV613">
        <f>VLOOKUP(Table29[[#This Row],[Shortname]], Comp[], 27, FALSE)</f>
        <v>0</v>
      </c>
      <c r="AW613">
        <f>VLOOKUP(Table29[[#This Row],[Shortname]], Comp[], 28, FALSE)</f>
        <v>0</v>
      </c>
      <c r="AX613">
        <f>VLOOKUP(Table29[[#This Row],[Shortname]], Comp[], 29, FALSE)</f>
        <v>0</v>
      </c>
      <c r="AY613">
        <f>VLOOKUP(Table29[[#This Row],[Shortname]], Comp[], 30, FALSE)</f>
        <v>0</v>
      </c>
      <c r="AZ613">
        <f>VLOOKUP(Table29[[#This Row],[Shortname]], Comp[], 31, FALSE)</f>
        <v>0</v>
      </c>
    </row>
    <row r="614" spans="1:52" x14ac:dyDescent="0.3">
      <c r="A614" t="s">
        <v>6451</v>
      </c>
      <c r="F614" t="s">
        <v>6452</v>
      </c>
      <c r="G614" t="s">
        <v>6431</v>
      </c>
      <c r="H614">
        <v>248.1</v>
      </c>
      <c r="I614">
        <v>1.49E-7</v>
      </c>
      <c r="J614">
        <f>0.01/Table29[[#This Row],[Strain Rate (min) /s]]</f>
        <v>67114.093959731545</v>
      </c>
      <c r="K614">
        <f>LOG(Table29[[#This Row],[Time to 1% strain (s)]])</f>
        <v>4.826813731587726</v>
      </c>
      <c r="L614">
        <v>850</v>
      </c>
      <c r="P614" t="s">
        <v>7243</v>
      </c>
      <c r="Q614">
        <v>1200</v>
      </c>
      <c r="R614">
        <v>24</v>
      </c>
      <c r="S614">
        <v>850</v>
      </c>
      <c r="T614">
        <v>168</v>
      </c>
      <c r="W614">
        <v>1</v>
      </c>
      <c r="X614">
        <v>10</v>
      </c>
      <c r="Y614">
        <v>32.799999999999997</v>
      </c>
      <c r="AA614">
        <f>VLOOKUP(Table29[[#This Row],[Shortname]], Comp[], 6, FALSE)</f>
        <v>1076</v>
      </c>
      <c r="AB614" s="14">
        <f>VLOOKUP(Table29[[#This Row],[Shortname]], Comp[], 7, FALSE)</f>
        <v>48.25</v>
      </c>
      <c r="AC614">
        <f>VLOOKUP(Table29[[#This Row],[Shortname]], Comp[], 8, FALSE)</f>
        <v>15.59</v>
      </c>
      <c r="AD614">
        <f>VLOOKUP(Table29[[#This Row],[Shortname]], Comp[], 9, FALSE)</f>
        <v>5.44</v>
      </c>
      <c r="AE614">
        <f>VLOOKUP(Table29[[#This Row],[Shortname]], Comp[], 10, FALSE)</f>
        <v>8.2899999999999991</v>
      </c>
      <c r="AF614">
        <f>VLOOKUP(Table29[[#This Row],[Shortname]], Comp[], 11, FALSE)</f>
        <v>0</v>
      </c>
      <c r="AG614">
        <f>VLOOKUP(Table29[[#This Row],[Shortname]], Comp[],12, FALSE)</f>
        <v>2.0699999999999998</v>
      </c>
      <c r="AH614">
        <f>VLOOKUP(Table29[[#This Row],[Shortname]], Comp[], 13, FALSE)</f>
        <v>1.51</v>
      </c>
      <c r="AI614">
        <f>VLOOKUP(Table29[[#This Row],[Shortname]], Comp[], 14, FALSE)</f>
        <v>1.45</v>
      </c>
      <c r="AJ614">
        <f>VLOOKUP(Table29[[#This Row],[Shortname]], Comp[], 15, FALSE)</f>
        <v>3.1</v>
      </c>
      <c r="AK614">
        <f>VLOOKUP(Table29[[#This Row],[Shortname]], Comp[], 16, FALSE)</f>
        <v>0</v>
      </c>
      <c r="AL614">
        <f>VLOOKUP(Table29[[#This Row],[Shortname]], Comp[], 17, FALSE)</f>
        <v>0</v>
      </c>
      <c r="AM614">
        <f>VLOOKUP(Table29[[#This Row],[Shortname]], Comp[], 18, FALSE)</f>
        <v>0</v>
      </c>
      <c r="AN614">
        <f>VLOOKUP(Table29[[#This Row],[Shortname]], Comp[], 19, FALSE)</f>
        <v>0.08</v>
      </c>
      <c r="AO614">
        <f>VLOOKUP(Table29[[#This Row],[Shortname]], Comp[], 20, FALSE)</f>
        <v>0</v>
      </c>
      <c r="AP614">
        <f>VLOOKUP(Table29[[#This Row],[Shortname]], Comp[], 21, FALSE)</f>
        <v>0</v>
      </c>
      <c r="AQ614">
        <f>VLOOKUP(Table29[[#This Row],[Shortname]], Comp[], 22, FALSE)</f>
        <v>0</v>
      </c>
      <c r="AR614">
        <f>VLOOKUP(Table29[[#This Row],[Shortname]], Comp[], 23, FALSE)</f>
        <v>14.22</v>
      </c>
      <c r="AS614">
        <f>VLOOKUP(Table29[[#This Row],[Shortname]], Comp[], 24, FALSE)</f>
        <v>0</v>
      </c>
      <c r="AT614">
        <f>VLOOKUP(Table29[[#This Row],[Shortname]], Comp[], 25, FALSE)</f>
        <v>0</v>
      </c>
      <c r="AU614">
        <f>VLOOKUP(Table29[[#This Row],[Shortname]], Comp[], 26, FALSE)</f>
        <v>0</v>
      </c>
      <c r="AV614">
        <f>VLOOKUP(Table29[[#This Row],[Shortname]], Comp[], 27, FALSE)</f>
        <v>0</v>
      </c>
      <c r="AW614">
        <f>VLOOKUP(Table29[[#This Row],[Shortname]], Comp[], 28, FALSE)</f>
        <v>0</v>
      </c>
      <c r="AX614">
        <f>VLOOKUP(Table29[[#This Row],[Shortname]], Comp[], 29, FALSE)</f>
        <v>0</v>
      </c>
      <c r="AY614">
        <f>VLOOKUP(Table29[[#This Row],[Shortname]], Comp[], 30, FALSE)</f>
        <v>0</v>
      </c>
      <c r="AZ614">
        <f>VLOOKUP(Table29[[#This Row],[Shortname]], Comp[], 31, FALSE)</f>
        <v>0</v>
      </c>
    </row>
    <row r="615" spans="1:52" x14ac:dyDescent="0.3">
      <c r="A615" t="s">
        <v>6451</v>
      </c>
      <c r="F615" t="s">
        <v>6452</v>
      </c>
      <c r="G615" t="s">
        <v>6431</v>
      </c>
      <c r="H615">
        <v>256.8</v>
      </c>
      <c r="I615">
        <v>2.2100000000000001E-7</v>
      </c>
      <c r="J615">
        <f>0.01/Table29[[#This Row],[Strain Rate (min) /s]]</f>
        <v>45248.868778280543</v>
      </c>
      <c r="K615">
        <f>LOG(Table29[[#This Row],[Time to 1% strain (s)]])</f>
        <v>4.655607726314889</v>
      </c>
      <c r="L615">
        <v>850</v>
      </c>
      <c r="P615" t="s">
        <v>7243</v>
      </c>
      <c r="Q615">
        <v>1200</v>
      </c>
      <c r="R615">
        <v>24</v>
      </c>
      <c r="S615">
        <v>850</v>
      </c>
      <c r="T615">
        <v>168</v>
      </c>
      <c r="W615">
        <v>1</v>
      </c>
      <c r="X615">
        <v>10</v>
      </c>
      <c r="Y615">
        <v>32.799999999999997</v>
      </c>
      <c r="AA615">
        <f>VLOOKUP(Table29[[#This Row],[Shortname]], Comp[], 6, FALSE)</f>
        <v>1076</v>
      </c>
      <c r="AB615" s="14">
        <f>VLOOKUP(Table29[[#This Row],[Shortname]], Comp[], 7, FALSE)</f>
        <v>48.25</v>
      </c>
      <c r="AC615">
        <f>VLOOKUP(Table29[[#This Row],[Shortname]], Comp[], 8, FALSE)</f>
        <v>15.59</v>
      </c>
      <c r="AD615">
        <f>VLOOKUP(Table29[[#This Row],[Shortname]], Comp[], 9, FALSE)</f>
        <v>5.44</v>
      </c>
      <c r="AE615">
        <f>VLOOKUP(Table29[[#This Row],[Shortname]], Comp[], 10, FALSE)</f>
        <v>8.2899999999999991</v>
      </c>
      <c r="AF615">
        <f>VLOOKUP(Table29[[#This Row],[Shortname]], Comp[], 11, FALSE)</f>
        <v>0</v>
      </c>
      <c r="AG615">
        <f>VLOOKUP(Table29[[#This Row],[Shortname]], Comp[],12, FALSE)</f>
        <v>2.0699999999999998</v>
      </c>
      <c r="AH615">
        <f>VLOOKUP(Table29[[#This Row],[Shortname]], Comp[], 13, FALSE)</f>
        <v>1.51</v>
      </c>
      <c r="AI615">
        <f>VLOOKUP(Table29[[#This Row],[Shortname]], Comp[], 14, FALSE)</f>
        <v>1.45</v>
      </c>
      <c r="AJ615">
        <f>VLOOKUP(Table29[[#This Row],[Shortname]], Comp[], 15, FALSE)</f>
        <v>3.1</v>
      </c>
      <c r="AK615">
        <f>VLOOKUP(Table29[[#This Row],[Shortname]], Comp[], 16, FALSE)</f>
        <v>0</v>
      </c>
      <c r="AL615">
        <f>VLOOKUP(Table29[[#This Row],[Shortname]], Comp[], 17, FALSE)</f>
        <v>0</v>
      </c>
      <c r="AM615">
        <f>VLOOKUP(Table29[[#This Row],[Shortname]], Comp[], 18, FALSE)</f>
        <v>0</v>
      </c>
      <c r="AN615">
        <f>VLOOKUP(Table29[[#This Row],[Shortname]], Comp[], 19, FALSE)</f>
        <v>0.08</v>
      </c>
      <c r="AO615">
        <f>VLOOKUP(Table29[[#This Row],[Shortname]], Comp[], 20, FALSE)</f>
        <v>0</v>
      </c>
      <c r="AP615">
        <f>VLOOKUP(Table29[[#This Row],[Shortname]], Comp[], 21, FALSE)</f>
        <v>0</v>
      </c>
      <c r="AQ615">
        <f>VLOOKUP(Table29[[#This Row],[Shortname]], Comp[], 22, FALSE)</f>
        <v>0</v>
      </c>
      <c r="AR615">
        <f>VLOOKUP(Table29[[#This Row],[Shortname]], Comp[], 23, FALSE)</f>
        <v>14.22</v>
      </c>
      <c r="AS615">
        <f>VLOOKUP(Table29[[#This Row],[Shortname]], Comp[], 24, FALSE)</f>
        <v>0</v>
      </c>
      <c r="AT615">
        <f>VLOOKUP(Table29[[#This Row],[Shortname]], Comp[], 25, FALSE)</f>
        <v>0</v>
      </c>
      <c r="AU615">
        <f>VLOOKUP(Table29[[#This Row],[Shortname]], Comp[], 26, FALSE)</f>
        <v>0</v>
      </c>
      <c r="AV615">
        <f>VLOOKUP(Table29[[#This Row],[Shortname]], Comp[], 27, FALSE)</f>
        <v>0</v>
      </c>
      <c r="AW615">
        <f>VLOOKUP(Table29[[#This Row],[Shortname]], Comp[], 28, FALSE)</f>
        <v>0</v>
      </c>
      <c r="AX615">
        <f>VLOOKUP(Table29[[#This Row],[Shortname]], Comp[], 29, FALSE)</f>
        <v>0</v>
      </c>
      <c r="AY615">
        <f>VLOOKUP(Table29[[#This Row],[Shortname]], Comp[], 30, FALSE)</f>
        <v>0</v>
      </c>
      <c r="AZ615">
        <f>VLOOKUP(Table29[[#This Row],[Shortname]], Comp[], 31, FALSE)</f>
        <v>0</v>
      </c>
    </row>
    <row r="616" spans="1:52" x14ac:dyDescent="0.3">
      <c r="A616" t="s">
        <v>6451</v>
      </c>
      <c r="F616" t="s">
        <v>6452</v>
      </c>
      <c r="G616" t="s">
        <v>6431</v>
      </c>
      <c r="H616">
        <v>274.2</v>
      </c>
      <c r="I616">
        <v>4.8100000000000003E-7</v>
      </c>
      <c r="J616">
        <f>0.01/Table29[[#This Row],[Strain Rate (min) /s]]</f>
        <v>20790.02079002079</v>
      </c>
      <c r="K616">
        <f>LOG(Table29[[#This Row],[Time to 1% strain (s)]])</f>
        <v>4.3178549236261681</v>
      </c>
      <c r="L616">
        <v>850</v>
      </c>
      <c r="P616" t="s">
        <v>7243</v>
      </c>
      <c r="Q616">
        <v>1200</v>
      </c>
      <c r="R616">
        <v>24</v>
      </c>
      <c r="S616">
        <v>850</v>
      </c>
      <c r="T616">
        <v>168</v>
      </c>
      <c r="W616">
        <v>1</v>
      </c>
      <c r="X616">
        <v>10</v>
      </c>
      <c r="Y616">
        <v>32.799999999999997</v>
      </c>
      <c r="AA616">
        <f>VLOOKUP(Table29[[#This Row],[Shortname]], Comp[], 6, FALSE)</f>
        <v>1076</v>
      </c>
      <c r="AB616" s="14">
        <f>VLOOKUP(Table29[[#This Row],[Shortname]], Comp[], 7, FALSE)</f>
        <v>48.25</v>
      </c>
      <c r="AC616">
        <f>VLOOKUP(Table29[[#This Row],[Shortname]], Comp[], 8, FALSE)</f>
        <v>15.59</v>
      </c>
      <c r="AD616">
        <f>VLOOKUP(Table29[[#This Row],[Shortname]], Comp[], 9, FALSE)</f>
        <v>5.44</v>
      </c>
      <c r="AE616">
        <f>VLOOKUP(Table29[[#This Row],[Shortname]], Comp[], 10, FALSE)</f>
        <v>8.2899999999999991</v>
      </c>
      <c r="AF616">
        <f>VLOOKUP(Table29[[#This Row],[Shortname]], Comp[], 11, FALSE)</f>
        <v>0</v>
      </c>
      <c r="AG616">
        <f>VLOOKUP(Table29[[#This Row],[Shortname]], Comp[],12, FALSE)</f>
        <v>2.0699999999999998</v>
      </c>
      <c r="AH616">
        <f>VLOOKUP(Table29[[#This Row],[Shortname]], Comp[], 13, FALSE)</f>
        <v>1.51</v>
      </c>
      <c r="AI616">
        <f>VLOOKUP(Table29[[#This Row],[Shortname]], Comp[], 14, FALSE)</f>
        <v>1.45</v>
      </c>
      <c r="AJ616">
        <f>VLOOKUP(Table29[[#This Row],[Shortname]], Comp[], 15, FALSE)</f>
        <v>3.1</v>
      </c>
      <c r="AK616">
        <f>VLOOKUP(Table29[[#This Row],[Shortname]], Comp[], 16, FALSE)</f>
        <v>0</v>
      </c>
      <c r="AL616">
        <f>VLOOKUP(Table29[[#This Row],[Shortname]], Comp[], 17, FALSE)</f>
        <v>0</v>
      </c>
      <c r="AM616">
        <f>VLOOKUP(Table29[[#This Row],[Shortname]], Comp[], 18, FALSE)</f>
        <v>0</v>
      </c>
      <c r="AN616">
        <f>VLOOKUP(Table29[[#This Row],[Shortname]], Comp[], 19, FALSE)</f>
        <v>0.08</v>
      </c>
      <c r="AO616">
        <f>VLOOKUP(Table29[[#This Row],[Shortname]], Comp[], 20, FALSE)</f>
        <v>0</v>
      </c>
      <c r="AP616">
        <f>VLOOKUP(Table29[[#This Row],[Shortname]], Comp[], 21, FALSE)</f>
        <v>0</v>
      </c>
      <c r="AQ616">
        <f>VLOOKUP(Table29[[#This Row],[Shortname]], Comp[], 22, FALSE)</f>
        <v>0</v>
      </c>
      <c r="AR616">
        <f>VLOOKUP(Table29[[#This Row],[Shortname]], Comp[], 23, FALSE)</f>
        <v>14.22</v>
      </c>
      <c r="AS616">
        <f>VLOOKUP(Table29[[#This Row],[Shortname]], Comp[], 24, FALSE)</f>
        <v>0</v>
      </c>
      <c r="AT616">
        <f>VLOOKUP(Table29[[#This Row],[Shortname]], Comp[], 25, FALSE)</f>
        <v>0</v>
      </c>
      <c r="AU616">
        <f>VLOOKUP(Table29[[#This Row],[Shortname]], Comp[], 26, FALSE)</f>
        <v>0</v>
      </c>
      <c r="AV616">
        <f>VLOOKUP(Table29[[#This Row],[Shortname]], Comp[], 27, FALSE)</f>
        <v>0</v>
      </c>
      <c r="AW616">
        <f>VLOOKUP(Table29[[#This Row],[Shortname]], Comp[], 28, FALSE)</f>
        <v>0</v>
      </c>
      <c r="AX616">
        <f>VLOOKUP(Table29[[#This Row],[Shortname]], Comp[], 29, FALSE)</f>
        <v>0</v>
      </c>
      <c r="AY616">
        <f>VLOOKUP(Table29[[#This Row],[Shortname]], Comp[], 30, FALSE)</f>
        <v>0</v>
      </c>
      <c r="AZ616">
        <f>VLOOKUP(Table29[[#This Row],[Shortname]], Comp[], 31, FALSE)</f>
        <v>0</v>
      </c>
    </row>
    <row r="617" spans="1:52" x14ac:dyDescent="0.3">
      <c r="A617" t="s">
        <v>6451</v>
      </c>
      <c r="F617" t="s">
        <v>6452</v>
      </c>
      <c r="G617" t="s">
        <v>6431</v>
      </c>
      <c r="H617">
        <v>296.60000000000002</v>
      </c>
      <c r="I617">
        <v>1.22E-6</v>
      </c>
      <c r="J617">
        <f>0.01/Table29[[#This Row],[Strain Rate (min) /s]]</f>
        <v>8196.7213114754104</v>
      </c>
      <c r="K617">
        <f>LOG(Table29[[#This Row],[Time to 1% strain (s)]])</f>
        <v>3.9136401693252516</v>
      </c>
      <c r="L617">
        <v>850</v>
      </c>
      <c r="P617" t="s">
        <v>7243</v>
      </c>
      <c r="Q617">
        <v>1200</v>
      </c>
      <c r="R617">
        <v>24</v>
      </c>
      <c r="S617">
        <v>850</v>
      </c>
      <c r="T617">
        <v>168</v>
      </c>
      <c r="W617">
        <v>1</v>
      </c>
      <c r="X617">
        <v>10</v>
      </c>
      <c r="Y617">
        <v>32.799999999999997</v>
      </c>
      <c r="AA617">
        <f>VLOOKUP(Table29[[#This Row],[Shortname]], Comp[], 6, FALSE)</f>
        <v>1076</v>
      </c>
      <c r="AB617" s="14">
        <f>VLOOKUP(Table29[[#This Row],[Shortname]], Comp[], 7, FALSE)</f>
        <v>48.25</v>
      </c>
      <c r="AC617">
        <f>VLOOKUP(Table29[[#This Row],[Shortname]], Comp[], 8, FALSE)</f>
        <v>15.59</v>
      </c>
      <c r="AD617">
        <f>VLOOKUP(Table29[[#This Row],[Shortname]], Comp[], 9, FALSE)</f>
        <v>5.44</v>
      </c>
      <c r="AE617">
        <f>VLOOKUP(Table29[[#This Row],[Shortname]], Comp[], 10, FALSE)</f>
        <v>8.2899999999999991</v>
      </c>
      <c r="AF617">
        <f>VLOOKUP(Table29[[#This Row],[Shortname]], Comp[], 11, FALSE)</f>
        <v>0</v>
      </c>
      <c r="AG617">
        <f>VLOOKUP(Table29[[#This Row],[Shortname]], Comp[],12, FALSE)</f>
        <v>2.0699999999999998</v>
      </c>
      <c r="AH617">
        <f>VLOOKUP(Table29[[#This Row],[Shortname]], Comp[], 13, FALSE)</f>
        <v>1.51</v>
      </c>
      <c r="AI617">
        <f>VLOOKUP(Table29[[#This Row],[Shortname]], Comp[], 14, FALSE)</f>
        <v>1.45</v>
      </c>
      <c r="AJ617">
        <f>VLOOKUP(Table29[[#This Row],[Shortname]], Comp[], 15, FALSE)</f>
        <v>3.1</v>
      </c>
      <c r="AK617">
        <f>VLOOKUP(Table29[[#This Row],[Shortname]], Comp[], 16, FALSE)</f>
        <v>0</v>
      </c>
      <c r="AL617">
        <f>VLOOKUP(Table29[[#This Row],[Shortname]], Comp[], 17, FALSE)</f>
        <v>0</v>
      </c>
      <c r="AM617">
        <f>VLOOKUP(Table29[[#This Row],[Shortname]], Comp[], 18, FALSE)</f>
        <v>0</v>
      </c>
      <c r="AN617">
        <f>VLOOKUP(Table29[[#This Row],[Shortname]], Comp[], 19, FALSE)</f>
        <v>0.08</v>
      </c>
      <c r="AO617">
        <f>VLOOKUP(Table29[[#This Row],[Shortname]], Comp[], 20, FALSE)</f>
        <v>0</v>
      </c>
      <c r="AP617">
        <f>VLOOKUP(Table29[[#This Row],[Shortname]], Comp[], 21, FALSE)</f>
        <v>0</v>
      </c>
      <c r="AQ617">
        <f>VLOOKUP(Table29[[#This Row],[Shortname]], Comp[], 22, FALSE)</f>
        <v>0</v>
      </c>
      <c r="AR617">
        <f>VLOOKUP(Table29[[#This Row],[Shortname]], Comp[], 23, FALSE)</f>
        <v>14.22</v>
      </c>
      <c r="AS617">
        <f>VLOOKUP(Table29[[#This Row],[Shortname]], Comp[], 24, FALSE)</f>
        <v>0</v>
      </c>
      <c r="AT617">
        <f>VLOOKUP(Table29[[#This Row],[Shortname]], Comp[], 25, FALSE)</f>
        <v>0</v>
      </c>
      <c r="AU617">
        <f>VLOOKUP(Table29[[#This Row],[Shortname]], Comp[], 26, FALSE)</f>
        <v>0</v>
      </c>
      <c r="AV617">
        <f>VLOOKUP(Table29[[#This Row],[Shortname]], Comp[], 27, FALSE)</f>
        <v>0</v>
      </c>
      <c r="AW617">
        <f>VLOOKUP(Table29[[#This Row],[Shortname]], Comp[], 28, FALSE)</f>
        <v>0</v>
      </c>
      <c r="AX617">
        <f>VLOOKUP(Table29[[#This Row],[Shortname]], Comp[], 29, FALSE)</f>
        <v>0</v>
      </c>
      <c r="AY617">
        <f>VLOOKUP(Table29[[#This Row],[Shortname]], Comp[], 30, FALSE)</f>
        <v>0</v>
      </c>
      <c r="AZ617">
        <f>VLOOKUP(Table29[[#This Row],[Shortname]], Comp[], 31, FALSE)</f>
        <v>0</v>
      </c>
    </row>
    <row r="618" spans="1:52" x14ac:dyDescent="0.3">
      <c r="A618" t="s">
        <v>6451</v>
      </c>
      <c r="F618" t="s">
        <v>6452</v>
      </c>
      <c r="G618" t="s">
        <v>6431</v>
      </c>
      <c r="H618">
        <v>323.8</v>
      </c>
      <c r="I618">
        <v>4.2300000000000002E-6</v>
      </c>
      <c r="J618">
        <f>0.01/Table29[[#This Row],[Strain Rate (min) /s]]</f>
        <v>2364.0661938534276</v>
      </c>
      <c r="K618">
        <f>LOG(Table29[[#This Row],[Time to 1% strain (s)]])</f>
        <v>3.3736596326249577</v>
      </c>
      <c r="L618">
        <v>850</v>
      </c>
      <c r="P618" t="s">
        <v>7243</v>
      </c>
      <c r="Q618">
        <v>1200</v>
      </c>
      <c r="R618">
        <v>24</v>
      </c>
      <c r="S618">
        <v>850</v>
      </c>
      <c r="T618">
        <v>168</v>
      </c>
      <c r="W618">
        <v>1</v>
      </c>
      <c r="X618">
        <v>10</v>
      </c>
      <c r="Y618">
        <v>32.799999999999997</v>
      </c>
      <c r="AA618">
        <f>VLOOKUP(Table29[[#This Row],[Shortname]], Comp[], 6, FALSE)</f>
        <v>1076</v>
      </c>
      <c r="AB618" s="14">
        <f>VLOOKUP(Table29[[#This Row],[Shortname]], Comp[], 7, FALSE)</f>
        <v>48.25</v>
      </c>
      <c r="AC618">
        <f>VLOOKUP(Table29[[#This Row],[Shortname]], Comp[], 8, FALSE)</f>
        <v>15.59</v>
      </c>
      <c r="AD618">
        <f>VLOOKUP(Table29[[#This Row],[Shortname]], Comp[], 9, FALSE)</f>
        <v>5.44</v>
      </c>
      <c r="AE618">
        <f>VLOOKUP(Table29[[#This Row],[Shortname]], Comp[], 10, FALSE)</f>
        <v>8.2899999999999991</v>
      </c>
      <c r="AF618">
        <f>VLOOKUP(Table29[[#This Row],[Shortname]], Comp[], 11, FALSE)</f>
        <v>0</v>
      </c>
      <c r="AG618">
        <f>VLOOKUP(Table29[[#This Row],[Shortname]], Comp[],12, FALSE)</f>
        <v>2.0699999999999998</v>
      </c>
      <c r="AH618">
        <f>VLOOKUP(Table29[[#This Row],[Shortname]], Comp[], 13, FALSE)</f>
        <v>1.51</v>
      </c>
      <c r="AI618">
        <f>VLOOKUP(Table29[[#This Row],[Shortname]], Comp[], 14, FALSE)</f>
        <v>1.45</v>
      </c>
      <c r="AJ618">
        <f>VLOOKUP(Table29[[#This Row],[Shortname]], Comp[], 15, FALSE)</f>
        <v>3.1</v>
      </c>
      <c r="AK618">
        <f>VLOOKUP(Table29[[#This Row],[Shortname]], Comp[], 16, FALSE)</f>
        <v>0</v>
      </c>
      <c r="AL618">
        <f>VLOOKUP(Table29[[#This Row],[Shortname]], Comp[], 17, FALSE)</f>
        <v>0</v>
      </c>
      <c r="AM618">
        <f>VLOOKUP(Table29[[#This Row],[Shortname]], Comp[], 18, FALSE)</f>
        <v>0</v>
      </c>
      <c r="AN618">
        <f>VLOOKUP(Table29[[#This Row],[Shortname]], Comp[], 19, FALSE)</f>
        <v>0.08</v>
      </c>
      <c r="AO618">
        <f>VLOOKUP(Table29[[#This Row],[Shortname]], Comp[], 20, FALSE)</f>
        <v>0</v>
      </c>
      <c r="AP618">
        <f>VLOOKUP(Table29[[#This Row],[Shortname]], Comp[], 21, FALSE)</f>
        <v>0</v>
      </c>
      <c r="AQ618">
        <f>VLOOKUP(Table29[[#This Row],[Shortname]], Comp[], 22, FALSE)</f>
        <v>0</v>
      </c>
      <c r="AR618">
        <f>VLOOKUP(Table29[[#This Row],[Shortname]], Comp[], 23, FALSE)</f>
        <v>14.22</v>
      </c>
      <c r="AS618">
        <f>VLOOKUP(Table29[[#This Row],[Shortname]], Comp[], 24, FALSE)</f>
        <v>0</v>
      </c>
      <c r="AT618">
        <f>VLOOKUP(Table29[[#This Row],[Shortname]], Comp[], 25, FALSE)</f>
        <v>0</v>
      </c>
      <c r="AU618">
        <f>VLOOKUP(Table29[[#This Row],[Shortname]], Comp[], 26, FALSE)</f>
        <v>0</v>
      </c>
      <c r="AV618">
        <f>VLOOKUP(Table29[[#This Row],[Shortname]], Comp[], 27, FALSE)</f>
        <v>0</v>
      </c>
      <c r="AW618">
        <f>VLOOKUP(Table29[[#This Row],[Shortname]], Comp[], 28, FALSE)</f>
        <v>0</v>
      </c>
      <c r="AX618">
        <f>VLOOKUP(Table29[[#This Row],[Shortname]], Comp[], 29, FALSE)</f>
        <v>0</v>
      </c>
      <c r="AY618">
        <f>VLOOKUP(Table29[[#This Row],[Shortname]], Comp[], 30, FALSE)</f>
        <v>0</v>
      </c>
      <c r="AZ618">
        <f>VLOOKUP(Table29[[#This Row],[Shortname]], Comp[], 31, FALSE)</f>
        <v>0</v>
      </c>
    </row>
    <row r="619" spans="1:52" x14ac:dyDescent="0.3">
      <c r="A619" t="s">
        <v>6451</v>
      </c>
      <c r="F619" t="s">
        <v>6452</v>
      </c>
      <c r="G619" t="s">
        <v>6431</v>
      </c>
      <c r="H619">
        <v>359</v>
      </c>
      <c r="I619">
        <v>1.1399999999999999E-5</v>
      </c>
      <c r="J619">
        <f>0.01/Table29[[#This Row],[Strain Rate (min) /s]]</f>
        <v>877.19298245614038</v>
      </c>
      <c r="K619">
        <f>LOG(Table29[[#This Row],[Time to 1% strain (s)]])</f>
        <v>2.9430951486635273</v>
      </c>
      <c r="L619">
        <v>850</v>
      </c>
      <c r="P619" t="s">
        <v>7243</v>
      </c>
      <c r="Q619">
        <v>1200</v>
      </c>
      <c r="R619">
        <v>24</v>
      </c>
      <c r="S619">
        <v>850</v>
      </c>
      <c r="T619">
        <v>168</v>
      </c>
      <c r="W619">
        <v>1</v>
      </c>
      <c r="X619">
        <v>10</v>
      </c>
      <c r="Y619">
        <v>32.799999999999997</v>
      </c>
      <c r="AA619">
        <f>VLOOKUP(Table29[[#This Row],[Shortname]], Comp[], 6, FALSE)</f>
        <v>1076</v>
      </c>
      <c r="AB619" s="14">
        <f>VLOOKUP(Table29[[#This Row],[Shortname]], Comp[], 7, FALSE)</f>
        <v>48.25</v>
      </c>
      <c r="AC619">
        <f>VLOOKUP(Table29[[#This Row],[Shortname]], Comp[], 8, FALSE)</f>
        <v>15.59</v>
      </c>
      <c r="AD619">
        <f>VLOOKUP(Table29[[#This Row],[Shortname]], Comp[], 9, FALSE)</f>
        <v>5.44</v>
      </c>
      <c r="AE619">
        <f>VLOOKUP(Table29[[#This Row],[Shortname]], Comp[], 10, FALSE)</f>
        <v>8.2899999999999991</v>
      </c>
      <c r="AF619">
        <f>VLOOKUP(Table29[[#This Row],[Shortname]], Comp[], 11, FALSE)</f>
        <v>0</v>
      </c>
      <c r="AG619">
        <f>VLOOKUP(Table29[[#This Row],[Shortname]], Comp[],12, FALSE)</f>
        <v>2.0699999999999998</v>
      </c>
      <c r="AH619">
        <f>VLOOKUP(Table29[[#This Row],[Shortname]], Comp[], 13, FALSE)</f>
        <v>1.51</v>
      </c>
      <c r="AI619">
        <f>VLOOKUP(Table29[[#This Row],[Shortname]], Comp[], 14, FALSE)</f>
        <v>1.45</v>
      </c>
      <c r="AJ619">
        <f>VLOOKUP(Table29[[#This Row],[Shortname]], Comp[], 15, FALSE)</f>
        <v>3.1</v>
      </c>
      <c r="AK619">
        <f>VLOOKUP(Table29[[#This Row],[Shortname]], Comp[], 16, FALSE)</f>
        <v>0</v>
      </c>
      <c r="AL619">
        <f>VLOOKUP(Table29[[#This Row],[Shortname]], Comp[], 17, FALSE)</f>
        <v>0</v>
      </c>
      <c r="AM619">
        <f>VLOOKUP(Table29[[#This Row],[Shortname]], Comp[], 18, FALSE)</f>
        <v>0</v>
      </c>
      <c r="AN619">
        <f>VLOOKUP(Table29[[#This Row],[Shortname]], Comp[], 19, FALSE)</f>
        <v>0.08</v>
      </c>
      <c r="AO619">
        <f>VLOOKUP(Table29[[#This Row],[Shortname]], Comp[], 20, FALSE)</f>
        <v>0</v>
      </c>
      <c r="AP619">
        <f>VLOOKUP(Table29[[#This Row],[Shortname]], Comp[], 21, FALSE)</f>
        <v>0</v>
      </c>
      <c r="AQ619">
        <f>VLOOKUP(Table29[[#This Row],[Shortname]], Comp[], 22, FALSE)</f>
        <v>0</v>
      </c>
      <c r="AR619">
        <f>VLOOKUP(Table29[[#This Row],[Shortname]], Comp[], 23, FALSE)</f>
        <v>14.22</v>
      </c>
      <c r="AS619">
        <f>VLOOKUP(Table29[[#This Row],[Shortname]], Comp[], 24, FALSE)</f>
        <v>0</v>
      </c>
      <c r="AT619">
        <f>VLOOKUP(Table29[[#This Row],[Shortname]], Comp[], 25, FALSE)</f>
        <v>0</v>
      </c>
      <c r="AU619">
        <f>VLOOKUP(Table29[[#This Row],[Shortname]], Comp[], 26, FALSE)</f>
        <v>0</v>
      </c>
      <c r="AV619">
        <f>VLOOKUP(Table29[[#This Row],[Shortname]], Comp[], 27, FALSE)</f>
        <v>0</v>
      </c>
      <c r="AW619">
        <f>VLOOKUP(Table29[[#This Row],[Shortname]], Comp[], 28, FALSE)</f>
        <v>0</v>
      </c>
      <c r="AX619">
        <f>VLOOKUP(Table29[[#This Row],[Shortname]], Comp[], 29, FALSE)</f>
        <v>0</v>
      </c>
      <c r="AY619">
        <f>VLOOKUP(Table29[[#This Row],[Shortname]], Comp[], 30, FALSE)</f>
        <v>0</v>
      </c>
      <c r="AZ619">
        <f>VLOOKUP(Table29[[#This Row],[Shortname]], Comp[], 31, FALSE)</f>
        <v>0</v>
      </c>
    </row>
    <row r="620" spans="1:52" x14ac:dyDescent="0.3">
      <c r="A620" t="s">
        <v>6451</v>
      </c>
      <c r="F620" t="s">
        <v>6452</v>
      </c>
      <c r="G620" t="s">
        <v>6431</v>
      </c>
      <c r="H620">
        <v>393.8</v>
      </c>
      <c r="I620">
        <v>2.7500000000000001E-5</v>
      </c>
      <c r="J620">
        <f>0.01/Table29[[#This Row],[Strain Rate (min) /s]]</f>
        <v>363.63636363636363</v>
      </c>
      <c r="K620">
        <f>LOG(Table29[[#This Row],[Time to 1% strain (s)]])</f>
        <v>2.5606673061697371</v>
      </c>
      <c r="L620">
        <v>850</v>
      </c>
      <c r="P620" t="s">
        <v>7243</v>
      </c>
      <c r="Q620">
        <v>1200</v>
      </c>
      <c r="R620">
        <v>24</v>
      </c>
      <c r="S620">
        <v>850</v>
      </c>
      <c r="T620">
        <v>168</v>
      </c>
      <c r="W620">
        <v>1</v>
      </c>
      <c r="X620">
        <v>10</v>
      </c>
      <c r="Y620">
        <v>32.799999999999997</v>
      </c>
      <c r="AA620">
        <f>VLOOKUP(Table29[[#This Row],[Shortname]], Comp[], 6, FALSE)</f>
        <v>1076</v>
      </c>
      <c r="AB620" s="14">
        <f>VLOOKUP(Table29[[#This Row],[Shortname]], Comp[], 7, FALSE)</f>
        <v>48.25</v>
      </c>
      <c r="AC620">
        <f>VLOOKUP(Table29[[#This Row],[Shortname]], Comp[], 8, FALSE)</f>
        <v>15.59</v>
      </c>
      <c r="AD620">
        <f>VLOOKUP(Table29[[#This Row],[Shortname]], Comp[], 9, FALSE)</f>
        <v>5.44</v>
      </c>
      <c r="AE620">
        <f>VLOOKUP(Table29[[#This Row],[Shortname]], Comp[], 10, FALSE)</f>
        <v>8.2899999999999991</v>
      </c>
      <c r="AF620">
        <f>VLOOKUP(Table29[[#This Row],[Shortname]], Comp[], 11, FALSE)</f>
        <v>0</v>
      </c>
      <c r="AG620">
        <f>VLOOKUP(Table29[[#This Row],[Shortname]], Comp[],12, FALSE)</f>
        <v>2.0699999999999998</v>
      </c>
      <c r="AH620">
        <f>VLOOKUP(Table29[[#This Row],[Shortname]], Comp[], 13, FALSE)</f>
        <v>1.51</v>
      </c>
      <c r="AI620">
        <f>VLOOKUP(Table29[[#This Row],[Shortname]], Comp[], 14, FALSE)</f>
        <v>1.45</v>
      </c>
      <c r="AJ620">
        <f>VLOOKUP(Table29[[#This Row],[Shortname]], Comp[], 15, FALSE)</f>
        <v>3.1</v>
      </c>
      <c r="AK620">
        <f>VLOOKUP(Table29[[#This Row],[Shortname]], Comp[], 16, FALSE)</f>
        <v>0</v>
      </c>
      <c r="AL620">
        <f>VLOOKUP(Table29[[#This Row],[Shortname]], Comp[], 17, FALSE)</f>
        <v>0</v>
      </c>
      <c r="AM620">
        <f>VLOOKUP(Table29[[#This Row],[Shortname]], Comp[], 18, FALSE)</f>
        <v>0</v>
      </c>
      <c r="AN620">
        <f>VLOOKUP(Table29[[#This Row],[Shortname]], Comp[], 19, FALSE)</f>
        <v>0.08</v>
      </c>
      <c r="AO620">
        <f>VLOOKUP(Table29[[#This Row],[Shortname]], Comp[], 20, FALSE)</f>
        <v>0</v>
      </c>
      <c r="AP620">
        <f>VLOOKUP(Table29[[#This Row],[Shortname]], Comp[], 21, FALSE)</f>
        <v>0</v>
      </c>
      <c r="AQ620">
        <f>VLOOKUP(Table29[[#This Row],[Shortname]], Comp[], 22, FALSE)</f>
        <v>0</v>
      </c>
      <c r="AR620">
        <f>VLOOKUP(Table29[[#This Row],[Shortname]], Comp[], 23, FALSE)</f>
        <v>14.22</v>
      </c>
      <c r="AS620">
        <f>VLOOKUP(Table29[[#This Row],[Shortname]], Comp[], 24, FALSE)</f>
        <v>0</v>
      </c>
      <c r="AT620">
        <f>VLOOKUP(Table29[[#This Row],[Shortname]], Comp[], 25, FALSE)</f>
        <v>0</v>
      </c>
      <c r="AU620">
        <f>VLOOKUP(Table29[[#This Row],[Shortname]], Comp[], 26, FALSE)</f>
        <v>0</v>
      </c>
      <c r="AV620">
        <f>VLOOKUP(Table29[[#This Row],[Shortname]], Comp[], 27, FALSE)</f>
        <v>0</v>
      </c>
      <c r="AW620">
        <f>VLOOKUP(Table29[[#This Row],[Shortname]], Comp[], 28, FALSE)</f>
        <v>0</v>
      </c>
      <c r="AX620">
        <f>VLOOKUP(Table29[[#This Row],[Shortname]], Comp[], 29, FALSE)</f>
        <v>0</v>
      </c>
      <c r="AY620">
        <f>VLOOKUP(Table29[[#This Row],[Shortname]], Comp[], 30, FALSE)</f>
        <v>0</v>
      </c>
      <c r="AZ620">
        <f>VLOOKUP(Table29[[#This Row],[Shortname]], Comp[], 31, FALSE)</f>
        <v>0</v>
      </c>
    </row>
    <row r="621" spans="1:52" x14ac:dyDescent="0.3">
      <c r="A621" t="s">
        <v>6440</v>
      </c>
      <c r="F621" t="s">
        <v>6441</v>
      </c>
      <c r="G621" t="s">
        <v>6431</v>
      </c>
      <c r="H621">
        <v>226.5</v>
      </c>
      <c r="I621">
        <v>3.6199999999999999E-7</v>
      </c>
      <c r="J621">
        <f>0.01/Table29[[#This Row],[Strain Rate (min) /s]]</f>
        <v>27624.309392265193</v>
      </c>
      <c r="K621">
        <f>LOG(Table29[[#This Row],[Time to 1% strain (s)]])</f>
        <v>4.4412914294668342</v>
      </c>
      <c r="L621">
        <v>850</v>
      </c>
      <c r="P621" t="s">
        <v>7244</v>
      </c>
      <c r="Q621">
        <v>1200</v>
      </c>
      <c r="R621">
        <v>24</v>
      </c>
      <c r="S621">
        <v>850</v>
      </c>
      <c r="T621">
        <v>168</v>
      </c>
      <c r="W621">
        <v>1</v>
      </c>
      <c r="X621">
        <v>10</v>
      </c>
      <c r="Y621">
        <v>40.9</v>
      </c>
      <c r="AA621">
        <f>VLOOKUP(Table29[[#This Row],[Shortname]], Comp[], 6, FALSE)</f>
        <v>1074</v>
      </c>
      <c r="AB621" s="14">
        <f>VLOOKUP(Table29[[#This Row],[Shortname]], Comp[], 7, FALSE)</f>
        <v>52.13</v>
      </c>
      <c r="AC621">
        <f>VLOOKUP(Table29[[#This Row],[Shortname]], Comp[], 8, FALSE)</f>
        <v>11.78</v>
      </c>
      <c r="AD621">
        <f>VLOOKUP(Table29[[#This Row],[Shortname]], Comp[], 9, FALSE)</f>
        <v>5.45</v>
      </c>
      <c r="AE621">
        <f>VLOOKUP(Table29[[#This Row],[Shortname]], Comp[], 10, FALSE)</f>
        <v>4.1399999999999997</v>
      </c>
      <c r="AF621">
        <f>VLOOKUP(Table29[[#This Row],[Shortname]], Comp[], 11, FALSE)</f>
        <v>0</v>
      </c>
      <c r="AG621">
        <f>VLOOKUP(Table29[[#This Row],[Shortname]], Comp[],12, FALSE)</f>
        <v>2.06</v>
      </c>
      <c r="AH621">
        <f>VLOOKUP(Table29[[#This Row],[Shortname]], Comp[], 13, FALSE)</f>
        <v>1.52</v>
      </c>
      <c r="AI621">
        <f>VLOOKUP(Table29[[#This Row],[Shortname]], Comp[], 14, FALSE)</f>
        <v>1.51</v>
      </c>
      <c r="AJ621">
        <f>VLOOKUP(Table29[[#This Row],[Shortname]], Comp[], 15, FALSE)</f>
        <v>3.06</v>
      </c>
      <c r="AK621">
        <f>VLOOKUP(Table29[[#This Row],[Shortname]], Comp[], 16, FALSE)</f>
        <v>0</v>
      </c>
      <c r="AL621">
        <f>VLOOKUP(Table29[[#This Row],[Shortname]], Comp[], 17, FALSE)</f>
        <v>0</v>
      </c>
      <c r="AM621">
        <f>VLOOKUP(Table29[[#This Row],[Shortname]], Comp[], 18, FALSE)</f>
        <v>0</v>
      </c>
      <c r="AN621">
        <f>VLOOKUP(Table29[[#This Row],[Shortname]], Comp[], 19, FALSE)</f>
        <v>0.08</v>
      </c>
      <c r="AO621">
        <f>VLOOKUP(Table29[[#This Row],[Shortname]], Comp[], 20, FALSE)</f>
        <v>0</v>
      </c>
      <c r="AP621">
        <f>VLOOKUP(Table29[[#This Row],[Shortname]], Comp[], 21, FALSE)</f>
        <v>0</v>
      </c>
      <c r="AQ621">
        <f>VLOOKUP(Table29[[#This Row],[Shortname]], Comp[], 22, FALSE)</f>
        <v>0</v>
      </c>
      <c r="AR621">
        <f>VLOOKUP(Table29[[#This Row],[Shortname]], Comp[], 23, FALSE)</f>
        <v>18.27</v>
      </c>
      <c r="AS621">
        <f>VLOOKUP(Table29[[#This Row],[Shortname]], Comp[], 24, FALSE)</f>
        <v>0</v>
      </c>
      <c r="AT621">
        <f>VLOOKUP(Table29[[#This Row],[Shortname]], Comp[], 25, FALSE)</f>
        <v>0</v>
      </c>
      <c r="AU621">
        <f>VLOOKUP(Table29[[#This Row],[Shortname]], Comp[], 26, FALSE)</f>
        <v>0</v>
      </c>
      <c r="AV621">
        <f>VLOOKUP(Table29[[#This Row],[Shortname]], Comp[], 27, FALSE)</f>
        <v>0</v>
      </c>
      <c r="AW621">
        <f>VLOOKUP(Table29[[#This Row],[Shortname]], Comp[], 28, FALSE)</f>
        <v>0</v>
      </c>
      <c r="AX621">
        <f>VLOOKUP(Table29[[#This Row],[Shortname]], Comp[], 29, FALSE)</f>
        <v>0</v>
      </c>
      <c r="AY621">
        <f>VLOOKUP(Table29[[#This Row],[Shortname]], Comp[], 30, FALSE)</f>
        <v>0</v>
      </c>
      <c r="AZ621">
        <f>VLOOKUP(Table29[[#This Row],[Shortname]], Comp[], 31, FALSE)</f>
        <v>0</v>
      </c>
    </row>
    <row r="622" spans="1:52" x14ac:dyDescent="0.3">
      <c r="A622" t="s">
        <v>6440</v>
      </c>
      <c r="F622" t="s">
        <v>6441</v>
      </c>
      <c r="G622" t="s">
        <v>6431</v>
      </c>
      <c r="H622">
        <v>236.6</v>
      </c>
      <c r="I622">
        <v>7.1900000000000002E-7</v>
      </c>
      <c r="J622">
        <f>0.01/Table29[[#This Row],[Strain Rate (min) /s]]</f>
        <v>13908.205841446454</v>
      </c>
      <c r="K622">
        <f>LOG(Table29[[#This Row],[Time to 1% strain (s)]])</f>
        <v>4.1432711096171175</v>
      </c>
      <c r="L622">
        <v>850</v>
      </c>
      <c r="P622" t="s">
        <v>7244</v>
      </c>
      <c r="Q622">
        <v>1200</v>
      </c>
      <c r="R622">
        <v>24</v>
      </c>
      <c r="S622">
        <v>850</v>
      </c>
      <c r="T622">
        <v>168</v>
      </c>
      <c r="W622">
        <v>1</v>
      </c>
      <c r="X622">
        <v>10</v>
      </c>
      <c r="Y622">
        <v>40.9</v>
      </c>
      <c r="AA622">
        <f>VLOOKUP(Table29[[#This Row],[Shortname]], Comp[], 6, FALSE)</f>
        <v>1074</v>
      </c>
      <c r="AB622" s="14">
        <f>VLOOKUP(Table29[[#This Row],[Shortname]], Comp[], 7, FALSE)</f>
        <v>52.13</v>
      </c>
      <c r="AC622">
        <f>VLOOKUP(Table29[[#This Row],[Shortname]], Comp[], 8, FALSE)</f>
        <v>11.78</v>
      </c>
      <c r="AD622">
        <f>VLOOKUP(Table29[[#This Row],[Shortname]], Comp[], 9, FALSE)</f>
        <v>5.45</v>
      </c>
      <c r="AE622">
        <f>VLOOKUP(Table29[[#This Row],[Shortname]], Comp[], 10, FALSE)</f>
        <v>4.1399999999999997</v>
      </c>
      <c r="AF622">
        <f>VLOOKUP(Table29[[#This Row],[Shortname]], Comp[], 11, FALSE)</f>
        <v>0</v>
      </c>
      <c r="AG622">
        <f>VLOOKUP(Table29[[#This Row],[Shortname]], Comp[],12, FALSE)</f>
        <v>2.06</v>
      </c>
      <c r="AH622">
        <f>VLOOKUP(Table29[[#This Row],[Shortname]], Comp[], 13, FALSE)</f>
        <v>1.52</v>
      </c>
      <c r="AI622">
        <f>VLOOKUP(Table29[[#This Row],[Shortname]], Comp[], 14, FALSE)</f>
        <v>1.51</v>
      </c>
      <c r="AJ622">
        <f>VLOOKUP(Table29[[#This Row],[Shortname]], Comp[], 15, FALSE)</f>
        <v>3.06</v>
      </c>
      <c r="AK622">
        <f>VLOOKUP(Table29[[#This Row],[Shortname]], Comp[], 16, FALSE)</f>
        <v>0</v>
      </c>
      <c r="AL622">
        <f>VLOOKUP(Table29[[#This Row],[Shortname]], Comp[], 17, FALSE)</f>
        <v>0</v>
      </c>
      <c r="AM622">
        <f>VLOOKUP(Table29[[#This Row],[Shortname]], Comp[], 18, FALSE)</f>
        <v>0</v>
      </c>
      <c r="AN622">
        <f>VLOOKUP(Table29[[#This Row],[Shortname]], Comp[], 19, FALSE)</f>
        <v>0.08</v>
      </c>
      <c r="AO622">
        <f>VLOOKUP(Table29[[#This Row],[Shortname]], Comp[], 20, FALSE)</f>
        <v>0</v>
      </c>
      <c r="AP622">
        <f>VLOOKUP(Table29[[#This Row],[Shortname]], Comp[], 21, FALSE)</f>
        <v>0</v>
      </c>
      <c r="AQ622">
        <f>VLOOKUP(Table29[[#This Row],[Shortname]], Comp[], 22, FALSE)</f>
        <v>0</v>
      </c>
      <c r="AR622">
        <f>VLOOKUP(Table29[[#This Row],[Shortname]], Comp[], 23, FALSE)</f>
        <v>18.27</v>
      </c>
      <c r="AS622">
        <f>VLOOKUP(Table29[[#This Row],[Shortname]], Comp[], 24, FALSE)</f>
        <v>0</v>
      </c>
      <c r="AT622">
        <f>VLOOKUP(Table29[[#This Row],[Shortname]], Comp[], 25, FALSE)</f>
        <v>0</v>
      </c>
      <c r="AU622">
        <f>VLOOKUP(Table29[[#This Row],[Shortname]], Comp[], 26, FALSE)</f>
        <v>0</v>
      </c>
      <c r="AV622">
        <f>VLOOKUP(Table29[[#This Row],[Shortname]], Comp[], 27, FALSE)</f>
        <v>0</v>
      </c>
      <c r="AW622">
        <f>VLOOKUP(Table29[[#This Row],[Shortname]], Comp[], 28, FALSE)</f>
        <v>0</v>
      </c>
      <c r="AX622">
        <f>VLOOKUP(Table29[[#This Row],[Shortname]], Comp[], 29, FALSE)</f>
        <v>0</v>
      </c>
      <c r="AY622">
        <f>VLOOKUP(Table29[[#This Row],[Shortname]], Comp[], 30, FALSE)</f>
        <v>0</v>
      </c>
      <c r="AZ622">
        <f>VLOOKUP(Table29[[#This Row],[Shortname]], Comp[], 31, FALSE)</f>
        <v>0</v>
      </c>
    </row>
    <row r="623" spans="1:52" x14ac:dyDescent="0.3">
      <c r="A623" t="s">
        <v>6440</v>
      </c>
      <c r="F623" t="s">
        <v>6441</v>
      </c>
      <c r="G623" t="s">
        <v>6431</v>
      </c>
      <c r="H623">
        <v>250.7</v>
      </c>
      <c r="I623">
        <v>2.0499999999999999E-6</v>
      </c>
      <c r="J623">
        <f>0.01/Table29[[#This Row],[Strain Rate (min) /s]]</f>
        <v>4878.0487804878057</v>
      </c>
      <c r="K623">
        <f>LOG(Table29[[#This Row],[Time to 1% strain (s)]])</f>
        <v>3.6882461389442458</v>
      </c>
      <c r="L623">
        <v>850</v>
      </c>
      <c r="P623" t="s">
        <v>7244</v>
      </c>
      <c r="Q623">
        <v>1200</v>
      </c>
      <c r="R623">
        <v>24</v>
      </c>
      <c r="S623">
        <v>850</v>
      </c>
      <c r="T623">
        <v>168</v>
      </c>
      <c r="W623">
        <v>1</v>
      </c>
      <c r="X623">
        <v>10</v>
      </c>
      <c r="Y623">
        <v>40.9</v>
      </c>
      <c r="AA623">
        <f>VLOOKUP(Table29[[#This Row],[Shortname]], Comp[], 6, FALSE)</f>
        <v>1074</v>
      </c>
      <c r="AB623" s="14">
        <f>VLOOKUP(Table29[[#This Row],[Shortname]], Comp[], 7, FALSE)</f>
        <v>52.13</v>
      </c>
      <c r="AC623">
        <f>VLOOKUP(Table29[[#This Row],[Shortname]], Comp[], 8, FALSE)</f>
        <v>11.78</v>
      </c>
      <c r="AD623">
        <f>VLOOKUP(Table29[[#This Row],[Shortname]], Comp[], 9, FALSE)</f>
        <v>5.45</v>
      </c>
      <c r="AE623">
        <f>VLOOKUP(Table29[[#This Row],[Shortname]], Comp[], 10, FALSE)</f>
        <v>4.1399999999999997</v>
      </c>
      <c r="AF623">
        <f>VLOOKUP(Table29[[#This Row],[Shortname]], Comp[], 11, FALSE)</f>
        <v>0</v>
      </c>
      <c r="AG623">
        <f>VLOOKUP(Table29[[#This Row],[Shortname]], Comp[],12, FALSE)</f>
        <v>2.06</v>
      </c>
      <c r="AH623">
        <f>VLOOKUP(Table29[[#This Row],[Shortname]], Comp[], 13, FALSE)</f>
        <v>1.52</v>
      </c>
      <c r="AI623">
        <f>VLOOKUP(Table29[[#This Row],[Shortname]], Comp[], 14, FALSE)</f>
        <v>1.51</v>
      </c>
      <c r="AJ623">
        <f>VLOOKUP(Table29[[#This Row],[Shortname]], Comp[], 15, FALSE)</f>
        <v>3.06</v>
      </c>
      <c r="AK623">
        <f>VLOOKUP(Table29[[#This Row],[Shortname]], Comp[], 16, FALSE)</f>
        <v>0</v>
      </c>
      <c r="AL623">
        <f>VLOOKUP(Table29[[#This Row],[Shortname]], Comp[], 17, FALSE)</f>
        <v>0</v>
      </c>
      <c r="AM623">
        <f>VLOOKUP(Table29[[#This Row],[Shortname]], Comp[], 18, FALSE)</f>
        <v>0</v>
      </c>
      <c r="AN623">
        <f>VLOOKUP(Table29[[#This Row],[Shortname]], Comp[], 19, FALSE)</f>
        <v>0.08</v>
      </c>
      <c r="AO623">
        <f>VLOOKUP(Table29[[#This Row],[Shortname]], Comp[], 20, FALSE)</f>
        <v>0</v>
      </c>
      <c r="AP623">
        <f>VLOOKUP(Table29[[#This Row],[Shortname]], Comp[], 21, FALSE)</f>
        <v>0</v>
      </c>
      <c r="AQ623">
        <f>VLOOKUP(Table29[[#This Row],[Shortname]], Comp[], 22, FALSE)</f>
        <v>0</v>
      </c>
      <c r="AR623">
        <f>VLOOKUP(Table29[[#This Row],[Shortname]], Comp[], 23, FALSE)</f>
        <v>18.27</v>
      </c>
      <c r="AS623">
        <f>VLOOKUP(Table29[[#This Row],[Shortname]], Comp[], 24, FALSE)</f>
        <v>0</v>
      </c>
      <c r="AT623">
        <f>VLOOKUP(Table29[[#This Row],[Shortname]], Comp[], 25, FALSE)</f>
        <v>0</v>
      </c>
      <c r="AU623">
        <f>VLOOKUP(Table29[[#This Row],[Shortname]], Comp[], 26, FALSE)</f>
        <v>0</v>
      </c>
      <c r="AV623">
        <f>VLOOKUP(Table29[[#This Row],[Shortname]], Comp[], 27, FALSE)</f>
        <v>0</v>
      </c>
      <c r="AW623">
        <f>VLOOKUP(Table29[[#This Row],[Shortname]], Comp[], 28, FALSE)</f>
        <v>0</v>
      </c>
      <c r="AX623">
        <f>VLOOKUP(Table29[[#This Row],[Shortname]], Comp[], 29, FALSE)</f>
        <v>0</v>
      </c>
      <c r="AY623">
        <f>VLOOKUP(Table29[[#This Row],[Shortname]], Comp[], 30, FALSE)</f>
        <v>0</v>
      </c>
      <c r="AZ623">
        <f>VLOOKUP(Table29[[#This Row],[Shortname]], Comp[], 31, FALSE)</f>
        <v>0</v>
      </c>
    </row>
    <row r="624" spans="1:52" x14ac:dyDescent="0.3">
      <c r="A624" t="s">
        <v>6440</v>
      </c>
      <c r="F624" t="s">
        <v>6441</v>
      </c>
      <c r="G624" t="s">
        <v>6431</v>
      </c>
      <c r="H624">
        <v>267.60000000000002</v>
      </c>
      <c r="I624">
        <v>3.7400000000000002E-6</v>
      </c>
      <c r="J624">
        <f>0.01/Table29[[#This Row],[Strain Rate (min) /s]]</f>
        <v>2673.79679144385</v>
      </c>
      <c r="K624">
        <f>LOG(Table29[[#This Row],[Time to 1% strain (s)]])</f>
        <v>3.4271283977995197</v>
      </c>
      <c r="L624">
        <v>850</v>
      </c>
      <c r="P624" t="s">
        <v>7244</v>
      </c>
      <c r="Q624">
        <v>1200</v>
      </c>
      <c r="R624">
        <v>24</v>
      </c>
      <c r="S624">
        <v>850</v>
      </c>
      <c r="T624">
        <v>168</v>
      </c>
      <c r="W624">
        <v>1</v>
      </c>
      <c r="X624">
        <v>10</v>
      </c>
      <c r="Y624">
        <v>40.9</v>
      </c>
      <c r="AA624">
        <f>VLOOKUP(Table29[[#This Row],[Shortname]], Comp[], 6, FALSE)</f>
        <v>1074</v>
      </c>
      <c r="AB624" s="14">
        <f>VLOOKUP(Table29[[#This Row],[Shortname]], Comp[], 7, FALSE)</f>
        <v>52.13</v>
      </c>
      <c r="AC624">
        <f>VLOOKUP(Table29[[#This Row],[Shortname]], Comp[], 8, FALSE)</f>
        <v>11.78</v>
      </c>
      <c r="AD624">
        <f>VLOOKUP(Table29[[#This Row],[Shortname]], Comp[], 9, FALSE)</f>
        <v>5.45</v>
      </c>
      <c r="AE624">
        <f>VLOOKUP(Table29[[#This Row],[Shortname]], Comp[], 10, FALSE)</f>
        <v>4.1399999999999997</v>
      </c>
      <c r="AF624">
        <f>VLOOKUP(Table29[[#This Row],[Shortname]], Comp[], 11, FALSE)</f>
        <v>0</v>
      </c>
      <c r="AG624">
        <f>VLOOKUP(Table29[[#This Row],[Shortname]], Comp[],12, FALSE)</f>
        <v>2.06</v>
      </c>
      <c r="AH624">
        <f>VLOOKUP(Table29[[#This Row],[Shortname]], Comp[], 13, FALSE)</f>
        <v>1.52</v>
      </c>
      <c r="AI624">
        <f>VLOOKUP(Table29[[#This Row],[Shortname]], Comp[], 14, FALSE)</f>
        <v>1.51</v>
      </c>
      <c r="AJ624">
        <f>VLOOKUP(Table29[[#This Row],[Shortname]], Comp[], 15, FALSE)</f>
        <v>3.06</v>
      </c>
      <c r="AK624">
        <f>VLOOKUP(Table29[[#This Row],[Shortname]], Comp[], 16, FALSE)</f>
        <v>0</v>
      </c>
      <c r="AL624">
        <f>VLOOKUP(Table29[[#This Row],[Shortname]], Comp[], 17, FALSE)</f>
        <v>0</v>
      </c>
      <c r="AM624">
        <f>VLOOKUP(Table29[[#This Row],[Shortname]], Comp[], 18, FALSE)</f>
        <v>0</v>
      </c>
      <c r="AN624">
        <f>VLOOKUP(Table29[[#This Row],[Shortname]], Comp[], 19, FALSE)</f>
        <v>0.08</v>
      </c>
      <c r="AO624">
        <f>VLOOKUP(Table29[[#This Row],[Shortname]], Comp[], 20, FALSE)</f>
        <v>0</v>
      </c>
      <c r="AP624">
        <f>VLOOKUP(Table29[[#This Row],[Shortname]], Comp[], 21, FALSE)</f>
        <v>0</v>
      </c>
      <c r="AQ624">
        <f>VLOOKUP(Table29[[#This Row],[Shortname]], Comp[], 22, FALSE)</f>
        <v>0</v>
      </c>
      <c r="AR624">
        <f>VLOOKUP(Table29[[#This Row],[Shortname]], Comp[], 23, FALSE)</f>
        <v>18.27</v>
      </c>
      <c r="AS624">
        <f>VLOOKUP(Table29[[#This Row],[Shortname]], Comp[], 24, FALSE)</f>
        <v>0</v>
      </c>
      <c r="AT624">
        <f>VLOOKUP(Table29[[#This Row],[Shortname]], Comp[], 25, FALSE)</f>
        <v>0</v>
      </c>
      <c r="AU624">
        <f>VLOOKUP(Table29[[#This Row],[Shortname]], Comp[], 26, FALSE)</f>
        <v>0</v>
      </c>
      <c r="AV624">
        <f>VLOOKUP(Table29[[#This Row],[Shortname]], Comp[], 27, FALSE)</f>
        <v>0</v>
      </c>
      <c r="AW624">
        <f>VLOOKUP(Table29[[#This Row],[Shortname]], Comp[], 28, FALSE)</f>
        <v>0</v>
      </c>
      <c r="AX624">
        <f>VLOOKUP(Table29[[#This Row],[Shortname]], Comp[], 29, FALSE)</f>
        <v>0</v>
      </c>
      <c r="AY624">
        <f>VLOOKUP(Table29[[#This Row],[Shortname]], Comp[], 30, FALSE)</f>
        <v>0</v>
      </c>
      <c r="AZ624">
        <f>VLOOKUP(Table29[[#This Row],[Shortname]], Comp[], 31, FALSE)</f>
        <v>0</v>
      </c>
    </row>
    <row r="625" spans="1:52" x14ac:dyDescent="0.3">
      <c r="A625" t="s">
        <v>6440</v>
      </c>
      <c r="F625" t="s">
        <v>6441</v>
      </c>
      <c r="G625" t="s">
        <v>6431</v>
      </c>
      <c r="H625">
        <v>289.10000000000002</v>
      </c>
      <c r="I625">
        <v>7.5800000000000003E-6</v>
      </c>
      <c r="J625">
        <f>0.01/Table29[[#This Row],[Strain Rate (min) /s]]</f>
        <v>1319.2612137203166</v>
      </c>
      <c r="K625">
        <f>LOG(Table29[[#This Row],[Time to 1% strain (s)]])</f>
        <v>3.1203307943679466</v>
      </c>
      <c r="L625">
        <v>850</v>
      </c>
      <c r="P625" t="s">
        <v>7244</v>
      </c>
      <c r="Q625">
        <v>1200</v>
      </c>
      <c r="R625">
        <v>24</v>
      </c>
      <c r="S625">
        <v>850</v>
      </c>
      <c r="T625">
        <v>168</v>
      </c>
      <c r="W625">
        <v>1</v>
      </c>
      <c r="X625">
        <v>10</v>
      </c>
      <c r="Y625">
        <v>40.9</v>
      </c>
      <c r="AA625">
        <f>VLOOKUP(Table29[[#This Row],[Shortname]], Comp[], 6, FALSE)</f>
        <v>1074</v>
      </c>
      <c r="AB625" s="14">
        <f>VLOOKUP(Table29[[#This Row],[Shortname]], Comp[], 7, FALSE)</f>
        <v>52.13</v>
      </c>
      <c r="AC625">
        <f>VLOOKUP(Table29[[#This Row],[Shortname]], Comp[], 8, FALSE)</f>
        <v>11.78</v>
      </c>
      <c r="AD625">
        <f>VLOOKUP(Table29[[#This Row],[Shortname]], Comp[], 9, FALSE)</f>
        <v>5.45</v>
      </c>
      <c r="AE625">
        <f>VLOOKUP(Table29[[#This Row],[Shortname]], Comp[], 10, FALSE)</f>
        <v>4.1399999999999997</v>
      </c>
      <c r="AF625">
        <f>VLOOKUP(Table29[[#This Row],[Shortname]], Comp[], 11, FALSE)</f>
        <v>0</v>
      </c>
      <c r="AG625">
        <f>VLOOKUP(Table29[[#This Row],[Shortname]], Comp[],12, FALSE)</f>
        <v>2.06</v>
      </c>
      <c r="AH625">
        <f>VLOOKUP(Table29[[#This Row],[Shortname]], Comp[], 13, FALSE)</f>
        <v>1.52</v>
      </c>
      <c r="AI625">
        <f>VLOOKUP(Table29[[#This Row],[Shortname]], Comp[], 14, FALSE)</f>
        <v>1.51</v>
      </c>
      <c r="AJ625">
        <f>VLOOKUP(Table29[[#This Row],[Shortname]], Comp[], 15, FALSE)</f>
        <v>3.06</v>
      </c>
      <c r="AK625">
        <f>VLOOKUP(Table29[[#This Row],[Shortname]], Comp[], 16, FALSE)</f>
        <v>0</v>
      </c>
      <c r="AL625">
        <f>VLOOKUP(Table29[[#This Row],[Shortname]], Comp[], 17, FALSE)</f>
        <v>0</v>
      </c>
      <c r="AM625">
        <f>VLOOKUP(Table29[[#This Row],[Shortname]], Comp[], 18, FALSE)</f>
        <v>0</v>
      </c>
      <c r="AN625">
        <f>VLOOKUP(Table29[[#This Row],[Shortname]], Comp[], 19, FALSE)</f>
        <v>0.08</v>
      </c>
      <c r="AO625">
        <f>VLOOKUP(Table29[[#This Row],[Shortname]], Comp[], 20, FALSE)</f>
        <v>0</v>
      </c>
      <c r="AP625">
        <f>VLOOKUP(Table29[[#This Row],[Shortname]], Comp[], 21, FALSE)</f>
        <v>0</v>
      </c>
      <c r="AQ625">
        <f>VLOOKUP(Table29[[#This Row],[Shortname]], Comp[], 22, FALSE)</f>
        <v>0</v>
      </c>
      <c r="AR625">
        <f>VLOOKUP(Table29[[#This Row],[Shortname]], Comp[], 23, FALSE)</f>
        <v>18.27</v>
      </c>
      <c r="AS625">
        <f>VLOOKUP(Table29[[#This Row],[Shortname]], Comp[], 24, FALSE)</f>
        <v>0</v>
      </c>
      <c r="AT625">
        <f>VLOOKUP(Table29[[#This Row],[Shortname]], Comp[], 25, FALSE)</f>
        <v>0</v>
      </c>
      <c r="AU625">
        <f>VLOOKUP(Table29[[#This Row],[Shortname]], Comp[], 26, FALSE)</f>
        <v>0</v>
      </c>
      <c r="AV625">
        <f>VLOOKUP(Table29[[#This Row],[Shortname]], Comp[], 27, FALSE)</f>
        <v>0</v>
      </c>
      <c r="AW625">
        <f>VLOOKUP(Table29[[#This Row],[Shortname]], Comp[], 28, FALSE)</f>
        <v>0</v>
      </c>
      <c r="AX625">
        <f>VLOOKUP(Table29[[#This Row],[Shortname]], Comp[], 29, FALSE)</f>
        <v>0</v>
      </c>
      <c r="AY625">
        <f>VLOOKUP(Table29[[#This Row],[Shortname]], Comp[], 30, FALSE)</f>
        <v>0</v>
      </c>
      <c r="AZ625">
        <f>VLOOKUP(Table29[[#This Row],[Shortname]], Comp[], 31, FALSE)</f>
        <v>0</v>
      </c>
    </row>
    <row r="626" spans="1:52" x14ac:dyDescent="0.3">
      <c r="A626" t="s">
        <v>6440</v>
      </c>
      <c r="F626" t="s">
        <v>6441</v>
      </c>
      <c r="G626" t="s">
        <v>6431</v>
      </c>
      <c r="H626">
        <v>313.39999999999998</v>
      </c>
      <c r="I626">
        <v>1.73E-5</v>
      </c>
      <c r="J626">
        <f>0.01/Table29[[#This Row],[Strain Rate (min) /s]]</f>
        <v>578.03468208092488</v>
      </c>
      <c r="K626">
        <f>LOG(Table29[[#This Row],[Time to 1% strain (s)]])</f>
        <v>2.7619538968712045</v>
      </c>
      <c r="L626">
        <v>850</v>
      </c>
      <c r="P626" t="s">
        <v>7244</v>
      </c>
      <c r="Q626">
        <v>1200</v>
      </c>
      <c r="R626">
        <v>24</v>
      </c>
      <c r="S626">
        <v>850</v>
      </c>
      <c r="T626">
        <v>168</v>
      </c>
      <c r="W626">
        <v>1</v>
      </c>
      <c r="X626">
        <v>10</v>
      </c>
      <c r="Y626">
        <v>40.9</v>
      </c>
      <c r="AA626">
        <f>VLOOKUP(Table29[[#This Row],[Shortname]], Comp[], 6, FALSE)</f>
        <v>1074</v>
      </c>
      <c r="AB626" s="14">
        <f>VLOOKUP(Table29[[#This Row],[Shortname]], Comp[], 7, FALSE)</f>
        <v>52.13</v>
      </c>
      <c r="AC626">
        <f>VLOOKUP(Table29[[#This Row],[Shortname]], Comp[], 8, FALSE)</f>
        <v>11.78</v>
      </c>
      <c r="AD626">
        <f>VLOOKUP(Table29[[#This Row],[Shortname]], Comp[], 9, FALSE)</f>
        <v>5.45</v>
      </c>
      <c r="AE626">
        <f>VLOOKUP(Table29[[#This Row],[Shortname]], Comp[], 10, FALSE)</f>
        <v>4.1399999999999997</v>
      </c>
      <c r="AF626">
        <f>VLOOKUP(Table29[[#This Row],[Shortname]], Comp[], 11, FALSE)</f>
        <v>0</v>
      </c>
      <c r="AG626">
        <f>VLOOKUP(Table29[[#This Row],[Shortname]], Comp[],12, FALSE)</f>
        <v>2.06</v>
      </c>
      <c r="AH626">
        <f>VLOOKUP(Table29[[#This Row],[Shortname]], Comp[], 13, FALSE)</f>
        <v>1.52</v>
      </c>
      <c r="AI626">
        <f>VLOOKUP(Table29[[#This Row],[Shortname]], Comp[], 14, FALSE)</f>
        <v>1.51</v>
      </c>
      <c r="AJ626">
        <f>VLOOKUP(Table29[[#This Row],[Shortname]], Comp[], 15, FALSE)</f>
        <v>3.06</v>
      </c>
      <c r="AK626">
        <f>VLOOKUP(Table29[[#This Row],[Shortname]], Comp[], 16, FALSE)</f>
        <v>0</v>
      </c>
      <c r="AL626">
        <f>VLOOKUP(Table29[[#This Row],[Shortname]], Comp[], 17, FALSE)</f>
        <v>0</v>
      </c>
      <c r="AM626">
        <f>VLOOKUP(Table29[[#This Row],[Shortname]], Comp[], 18, FALSE)</f>
        <v>0</v>
      </c>
      <c r="AN626">
        <f>VLOOKUP(Table29[[#This Row],[Shortname]], Comp[], 19, FALSE)</f>
        <v>0.08</v>
      </c>
      <c r="AO626">
        <f>VLOOKUP(Table29[[#This Row],[Shortname]], Comp[], 20, FALSE)</f>
        <v>0</v>
      </c>
      <c r="AP626">
        <f>VLOOKUP(Table29[[#This Row],[Shortname]], Comp[], 21, FALSE)</f>
        <v>0</v>
      </c>
      <c r="AQ626">
        <f>VLOOKUP(Table29[[#This Row],[Shortname]], Comp[], 22, FALSE)</f>
        <v>0</v>
      </c>
      <c r="AR626">
        <f>VLOOKUP(Table29[[#This Row],[Shortname]], Comp[], 23, FALSE)</f>
        <v>18.27</v>
      </c>
      <c r="AS626">
        <f>VLOOKUP(Table29[[#This Row],[Shortname]], Comp[], 24, FALSE)</f>
        <v>0</v>
      </c>
      <c r="AT626">
        <f>VLOOKUP(Table29[[#This Row],[Shortname]], Comp[], 25, FALSE)</f>
        <v>0</v>
      </c>
      <c r="AU626">
        <f>VLOOKUP(Table29[[#This Row],[Shortname]], Comp[], 26, FALSE)</f>
        <v>0</v>
      </c>
      <c r="AV626">
        <f>VLOOKUP(Table29[[#This Row],[Shortname]], Comp[], 27, FALSE)</f>
        <v>0</v>
      </c>
      <c r="AW626">
        <f>VLOOKUP(Table29[[#This Row],[Shortname]], Comp[], 28, FALSE)</f>
        <v>0</v>
      </c>
      <c r="AX626">
        <f>VLOOKUP(Table29[[#This Row],[Shortname]], Comp[], 29, FALSE)</f>
        <v>0</v>
      </c>
      <c r="AY626">
        <f>VLOOKUP(Table29[[#This Row],[Shortname]], Comp[], 30, FALSE)</f>
        <v>0</v>
      </c>
      <c r="AZ626">
        <f>VLOOKUP(Table29[[#This Row],[Shortname]], Comp[], 31, FALSE)</f>
        <v>0</v>
      </c>
    </row>
    <row r="627" spans="1:52" x14ac:dyDescent="0.3">
      <c r="A627" t="s">
        <v>6456</v>
      </c>
      <c r="F627" t="s">
        <v>6457</v>
      </c>
      <c r="G627" t="s">
        <v>6431</v>
      </c>
      <c r="H627">
        <v>212.2</v>
      </c>
      <c r="I627">
        <v>2.2600000000000001E-7</v>
      </c>
      <c r="J627">
        <f>0.01/Table29[[#This Row],[Strain Rate (min) /s]]</f>
        <v>44247.787610619467</v>
      </c>
      <c r="K627">
        <f>LOG(Table29[[#This Row],[Time to 1% strain (s)]])</f>
        <v>4.6458915608525988</v>
      </c>
      <c r="L627">
        <v>850</v>
      </c>
      <c r="P627" t="s">
        <v>7245</v>
      </c>
      <c r="Q627">
        <v>1200</v>
      </c>
      <c r="R627">
        <v>24</v>
      </c>
      <c r="S627">
        <v>850</v>
      </c>
      <c r="T627">
        <v>168</v>
      </c>
      <c r="W627">
        <v>1</v>
      </c>
      <c r="X627">
        <v>10</v>
      </c>
      <c r="Y627">
        <v>20.6</v>
      </c>
      <c r="AA627">
        <f>VLOOKUP(Table29[[#This Row],[Shortname]], Comp[], 6, FALSE)</f>
        <v>1077</v>
      </c>
      <c r="AB627" s="14">
        <f>VLOOKUP(Table29[[#This Row],[Shortname]], Comp[], 7, FALSE)</f>
        <v>48.05</v>
      </c>
      <c r="AC627">
        <f>VLOOKUP(Table29[[#This Row],[Shortname]], Comp[], 8, FALSE)</f>
        <v>11.81</v>
      </c>
      <c r="AD627">
        <f>VLOOKUP(Table29[[#This Row],[Shortname]], Comp[], 9, FALSE)</f>
        <v>5.49</v>
      </c>
      <c r="AE627">
        <f>VLOOKUP(Table29[[#This Row],[Shortname]], Comp[], 10, FALSE)</f>
        <v>8.3000000000000007</v>
      </c>
      <c r="AF627">
        <f>VLOOKUP(Table29[[#This Row],[Shortname]], Comp[], 11, FALSE)</f>
        <v>0</v>
      </c>
      <c r="AG627">
        <f>VLOOKUP(Table29[[#This Row],[Shortname]], Comp[],12, FALSE)</f>
        <v>2.04</v>
      </c>
      <c r="AH627">
        <f>VLOOKUP(Table29[[#This Row],[Shortname]], Comp[], 13, FALSE)</f>
        <v>1.44</v>
      </c>
      <c r="AI627">
        <f>VLOOKUP(Table29[[#This Row],[Shortname]], Comp[], 14, FALSE)</f>
        <v>1.41</v>
      </c>
      <c r="AJ627">
        <f>VLOOKUP(Table29[[#This Row],[Shortname]], Comp[], 15, FALSE)</f>
        <v>3.1</v>
      </c>
      <c r="AK627">
        <f>VLOOKUP(Table29[[#This Row],[Shortname]], Comp[], 16, FALSE)</f>
        <v>0</v>
      </c>
      <c r="AL627">
        <f>VLOOKUP(Table29[[#This Row],[Shortname]], Comp[], 17, FALSE)</f>
        <v>0</v>
      </c>
      <c r="AM627">
        <f>VLOOKUP(Table29[[#This Row],[Shortname]], Comp[], 18, FALSE)</f>
        <v>0</v>
      </c>
      <c r="AN627">
        <f>VLOOKUP(Table29[[#This Row],[Shortname]], Comp[], 19, FALSE)</f>
        <v>0.08</v>
      </c>
      <c r="AO627">
        <f>VLOOKUP(Table29[[#This Row],[Shortname]], Comp[], 20, FALSE)</f>
        <v>0</v>
      </c>
      <c r="AP627">
        <f>VLOOKUP(Table29[[#This Row],[Shortname]], Comp[], 21, FALSE)</f>
        <v>0</v>
      </c>
      <c r="AQ627">
        <f>VLOOKUP(Table29[[#This Row],[Shortname]], Comp[], 22, FALSE)</f>
        <v>0</v>
      </c>
      <c r="AR627">
        <f>VLOOKUP(Table29[[#This Row],[Shortname]], Comp[], 23, FALSE)</f>
        <v>18.28</v>
      </c>
      <c r="AS627">
        <f>VLOOKUP(Table29[[#This Row],[Shortname]], Comp[], 24, FALSE)</f>
        <v>0</v>
      </c>
      <c r="AT627">
        <f>VLOOKUP(Table29[[#This Row],[Shortname]], Comp[], 25, FALSE)</f>
        <v>0</v>
      </c>
      <c r="AU627">
        <f>VLOOKUP(Table29[[#This Row],[Shortname]], Comp[], 26, FALSE)</f>
        <v>0</v>
      </c>
      <c r="AV627">
        <f>VLOOKUP(Table29[[#This Row],[Shortname]], Comp[], 27, FALSE)</f>
        <v>0</v>
      </c>
      <c r="AW627">
        <f>VLOOKUP(Table29[[#This Row],[Shortname]], Comp[], 28, FALSE)</f>
        <v>0</v>
      </c>
      <c r="AX627">
        <f>VLOOKUP(Table29[[#This Row],[Shortname]], Comp[], 29, FALSE)</f>
        <v>0</v>
      </c>
      <c r="AY627">
        <f>VLOOKUP(Table29[[#This Row],[Shortname]], Comp[], 30, FALSE)</f>
        <v>0</v>
      </c>
      <c r="AZ627">
        <f>VLOOKUP(Table29[[#This Row],[Shortname]], Comp[], 31, FALSE)</f>
        <v>0</v>
      </c>
    </row>
    <row r="628" spans="1:52" x14ac:dyDescent="0.3">
      <c r="A628" t="s">
        <v>6456</v>
      </c>
      <c r="F628" t="s">
        <v>6457</v>
      </c>
      <c r="G628" t="s">
        <v>6431</v>
      </c>
      <c r="H628">
        <v>218</v>
      </c>
      <c r="I628">
        <v>4.2100000000000002E-7</v>
      </c>
      <c r="J628">
        <f>0.01/Table29[[#This Row],[Strain Rate (min) /s]]</f>
        <v>23752.96912114014</v>
      </c>
      <c r="K628">
        <f>LOG(Table29[[#This Row],[Time to 1% strain (s)]])</f>
        <v>4.3757179041643317</v>
      </c>
      <c r="L628">
        <v>850</v>
      </c>
      <c r="P628" t="s">
        <v>7245</v>
      </c>
      <c r="Q628">
        <v>1200</v>
      </c>
      <c r="R628">
        <v>24</v>
      </c>
      <c r="S628">
        <v>850</v>
      </c>
      <c r="T628">
        <v>168</v>
      </c>
      <c r="W628">
        <v>1</v>
      </c>
      <c r="X628">
        <v>10</v>
      </c>
      <c r="Y628">
        <v>20.6</v>
      </c>
      <c r="AA628">
        <f>VLOOKUP(Table29[[#This Row],[Shortname]], Comp[], 6, FALSE)</f>
        <v>1077</v>
      </c>
      <c r="AB628" s="14">
        <f>VLOOKUP(Table29[[#This Row],[Shortname]], Comp[], 7, FALSE)</f>
        <v>48.05</v>
      </c>
      <c r="AC628">
        <f>VLOOKUP(Table29[[#This Row],[Shortname]], Comp[], 8, FALSE)</f>
        <v>11.81</v>
      </c>
      <c r="AD628">
        <f>VLOOKUP(Table29[[#This Row],[Shortname]], Comp[], 9, FALSE)</f>
        <v>5.49</v>
      </c>
      <c r="AE628">
        <f>VLOOKUP(Table29[[#This Row],[Shortname]], Comp[], 10, FALSE)</f>
        <v>8.3000000000000007</v>
      </c>
      <c r="AF628">
        <f>VLOOKUP(Table29[[#This Row],[Shortname]], Comp[], 11, FALSE)</f>
        <v>0</v>
      </c>
      <c r="AG628">
        <f>VLOOKUP(Table29[[#This Row],[Shortname]], Comp[],12, FALSE)</f>
        <v>2.04</v>
      </c>
      <c r="AH628">
        <f>VLOOKUP(Table29[[#This Row],[Shortname]], Comp[], 13, FALSE)</f>
        <v>1.44</v>
      </c>
      <c r="AI628">
        <f>VLOOKUP(Table29[[#This Row],[Shortname]], Comp[], 14, FALSE)</f>
        <v>1.41</v>
      </c>
      <c r="AJ628">
        <f>VLOOKUP(Table29[[#This Row],[Shortname]], Comp[], 15, FALSE)</f>
        <v>3.1</v>
      </c>
      <c r="AK628">
        <f>VLOOKUP(Table29[[#This Row],[Shortname]], Comp[], 16, FALSE)</f>
        <v>0</v>
      </c>
      <c r="AL628">
        <f>VLOOKUP(Table29[[#This Row],[Shortname]], Comp[], 17, FALSE)</f>
        <v>0</v>
      </c>
      <c r="AM628">
        <f>VLOOKUP(Table29[[#This Row],[Shortname]], Comp[], 18, FALSE)</f>
        <v>0</v>
      </c>
      <c r="AN628">
        <f>VLOOKUP(Table29[[#This Row],[Shortname]], Comp[], 19, FALSE)</f>
        <v>0.08</v>
      </c>
      <c r="AO628">
        <f>VLOOKUP(Table29[[#This Row],[Shortname]], Comp[], 20, FALSE)</f>
        <v>0</v>
      </c>
      <c r="AP628">
        <f>VLOOKUP(Table29[[#This Row],[Shortname]], Comp[], 21, FALSE)</f>
        <v>0</v>
      </c>
      <c r="AQ628">
        <f>VLOOKUP(Table29[[#This Row],[Shortname]], Comp[], 22, FALSE)</f>
        <v>0</v>
      </c>
      <c r="AR628">
        <f>VLOOKUP(Table29[[#This Row],[Shortname]], Comp[], 23, FALSE)</f>
        <v>18.28</v>
      </c>
      <c r="AS628">
        <f>VLOOKUP(Table29[[#This Row],[Shortname]], Comp[], 24, FALSE)</f>
        <v>0</v>
      </c>
      <c r="AT628">
        <f>VLOOKUP(Table29[[#This Row],[Shortname]], Comp[], 25, FALSE)</f>
        <v>0</v>
      </c>
      <c r="AU628">
        <f>VLOOKUP(Table29[[#This Row],[Shortname]], Comp[], 26, FALSE)</f>
        <v>0</v>
      </c>
      <c r="AV628">
        <f>VLOOKUP(Table29[[#This Row],[Shortname]], Comp[], 27, FALSE)</f>
        <v>0</v>
      </c>
      <c r="AW628">
        <f>VLOOKUP(Table29[[#This Row],[Shortname]], Comp[], 28, FALSE)</f>
        <v>0</v>
      </c>
      <c r="AX628">
        <f>VLOOKUP(Table29[[#This Row],[Shortname]], Comp[], 29, FALSE)</f>
        <v>0</v>
      </c>
      <c r="AY628">
        <f>VLOOKUP(Table29[[#This Row],[Shortname]], Comp[], 30, FALSE)</f>
        <v>0</v>
      </c>
      <c r="AZ628">
        <f>VLOOKUP(Table29[[#This Row],[Shortname]], Comp[], 31, FALSE)</f>
        <v>0</v>
      </c>
    </row>
    <row r="629" spans="1:52" x14ac:dyDescent="0.3">
      <c r="A629" t="s">
        <v>6456</v>
      </c>
      <c r="F629" t="s">
        <v>6457</v>
      </c>
      <c r="G629" t="s">
        <v>6431</v>
      </c>
      <c r="H629">
        <v>228.1</v>
      </c>
      <c r="I629">
        <v>7.3799999999999996E-7</v>
      </c>
      <c r="J629">
        <f>0.01/Table29[[#This Row],[Strain Rate (min) /s]]</f>
        <v>13550.135501355015</v>
      </c>
      <c r="K629">
        <f>LOG(Table29[[#This Row],[Time to 1% strain (s)]])</f>
        <v>4.1319436381769581</v>
      </c>
      <c r="L629">
        <v>850</v>
      </c>
      <c r="P629" t="s">
        <v>7245</v>
      </c>
      <c r="Q629">
        <v>1200</v>
      </c>
      <c r="R629">
        <v>24</v>
      </c>
      <c r="S629">
        <v>850</v>
      </c>
      <c r="T629">
        <v>168</v>
      </c>
      <c r="W629">
        <v>1</v>
      </c>
      <c r="X629">
        <v>10</v>
      </c>
      <c r="Y629">
        <v>20.6</v>
      </c>
      <c r="AA629">
        <f>VLOOKUP(Table29[[#This Row],[Shortname]], Comp[], 6, FALSE)</f>
        <v>1077</v>
      </c>
      <c r="AB629" s="14">
        <f>VLOOKUP(Table29[[#This Row],[Shortname]], Comp[], 7, FALSE)</f>
        <v>48.05</v>
      </c>
      <c r="AC629">
        <f>VLOOKUP(Table29[[#This Row],[Shortname]], Comp[], 8, FALSE)</f>
        <v>11.81</v>
      </c>
      <c r="AD629">
        <f>VLOOKUP(Table29[[#This Row],[Shortname]], Comp[], 9, FALSE)</f>
        <v>5.49</v>
      </c>
      <c r="AE629">
        <f>VLOOKUP(Table29[[#This Row],[Shortname]], Comp[], 10, FALSE)</f>
        <v>8.3000000000000007</v>
      </c>
      <c r="AF629">
        <f>VLOOKUP(Table29[[#This Row],[Shortname]], Comp[], 11, FALSE)</f>
        <v>0</v>
      </c>
      <c r="AG629">
        <f>VLOOKUP(Table29[[#This Row],[Shortname]], Comp[],12, FALSE)</f>
        <v>2.04</v>
      </c>
      <c r="AH629">
        <f>VLOOKUP(Table29[[#This Row],[Shortname]], Comp[], 13, FALSE)</f>
        <v>1.44</v>
      </c>
      <c r="AI629">
        <f>VLOOKUP(Table29[[#This Row],[Shortname]], Comp[], 14, FALSE)</f>
        <v>1.41</v>
      </c>
      <c r="AJ629">
        <f>VLOOKUP(Table29[[#This Row],[Shortname]], Comp[], 15, FALSE)</f>
        <v>3.1</v>
      </c>
      <c r="AK629">
        <f>VLOOKUP(Table29[[#This Row],[Shortname]], Comp[], 16, FALSE)</f>
        <v>0</v>
      </c>
      <c r="AL629">
        <f>VLOOKUP(Table29[[#This Row],[Shortname]], Comp[], 17, FALSE)</f>
        <v>0</v>
      </c>
      <c r="AM629">
        <f>VLOOKUP(Table29[[#This Row],[Shortname]], Comp[], 18, FALSE)</f>
        <v>0</v>
      </c>
      <c r="AN629">
        <f>VLOOKUP(Table29[[#This Row],[Shortname]], Comp[], 19, FALSE)</f>
        <v>0.08</v>
      </c>
      <c r="AO629">
        <f>VLOOKUP(Table29[[#This Row],[Shortname]], Comp[], 20, FALSE)</f>
        <v>0</v>
      </c>
      <c r="AP629">
        <f>VLOOKUP(Table29[[#This Row],[Shortname]], Comp[], 21, FALSE)</f>
        <v>0</v>
      </c>
      <c r="AQ629">
        <f>VLOOKUP(Table29[[#This Row],[Shortname]], Comp[], 22, FALSE)</f>
        <v>0</v>
      </c>
      <c r="AR629">
        <f>VLOOKUP(Table29[[#This Row],[Shortname]], Comp[], 23, FALSE)</f>
        <v>18.28</v>
      </c>
      <c r="AS629">
        <f>VLOOKUP(Table29[[#This Row],[Shortname]], Comp[], 24, FALSE)</f>
        <v>0</v>
      </c>
      <c r="AT629">
        <f>VLOOKUP(Table29[[#This Row],[Shortname]], Comp[], 25, FALSE)</f>
        <v>0</v>
      </c>
      <c r="AU629">
        <f>VLOOKUP(Table29[[#This Row],[Shortname]], Comp[], 26, FALSE)</f>
        <v>0</v>
      </c>
      <c r="AV629">
        <f>VLOOKUP(Table29[[#This Row],[Shortname]], Comp[], 27, FALSE)</f>
        <v>0</v>
      </c>
      <c r="AW629">
        <f>VLOOKUP(Table29[[#This Row],[Shortname]], Comp[], 28, FALSE)</f>
        <v>0</v>
      </c>
      <c r="AX629">
        <f>VLOOKUP(Table29[[#This Row],[Shortname]], Comp[], 29, FALSE)</f>
        <v>0</v>
      </c>
      <c r="AY629">
        <f>VLOOKUP(Table29[[#This Row],[Shortname]], Comp[], 30, FALSE)</f>
        <v>0</v>
      </c>
      <c r="AZ629">
        <f>VLOOKUP(Table29[[#This Row],[Shortname]], Comp[], 31, FALSE)</f>
        <v>0</v>
      </c>
    </row>
    <row r="630" spans="1:52" x14ac:dyDescent="0.3">
      <c r="A630" t="s">
        <v>6456</v>
      </c>
      <c r="F630" t="s">
        <v>6457</v>
      </c>
      <c r="G630" t="s">
        <v>6431</v>
      </c>
      <c r="H630">
        <v>240.2</v>
      </c>
      <c r="I630">
        <v>1.8899999999999999E-6</v>
      </c>
      <c r="J630">
        <f>0.01/Table29[[#This Row],[Strain Rate (min) /s]]</f>
        <v>5291.0052910052918</v>
      </c>
      <c r="K630">
        <f>LOG(Table29[[#This Row],[Time to 1% strain (s)]])</f>
        <v>3.7235381958267557</v>
      </c>
      <c r="L630">
        <v>850</v>
      </c>
      <c r="P630" t="s">
        <v>7245</v>
      </c>
      <c r="Q630">
        <v>1200</v>
      </c>
      <c r="R630">
        <v>24</v>
      </c>
      <c r="S630">
        <v>850</v>
      </c>
      <c r="T630">
        <v>168</v>
      </c>
      <c r="W630">
        <v>1</v>
      </c>
      <c r="X630">
        <v>10</v>
      </c>
      <c r="Y630">
        <v>20.6</v>
      </c>
      <c r="AA630">
        <f>VLOOKUP(Table29[[#This Row],[Shortname]], Comp[], 6, FALSE)</f>
        <v>1077</v>
      </c>
      <c r="AB630" s="14">
        <f>VLOOKUP(Table29[[#This Row],[Shortname]], Comp[], 7, FALSE)</f>
        <v>48.05</v>
      </c>
      <c r="AC630">
        <f>VLOOKUP(Table29[[#This Row],[Shortname]], Comp[], 8, FALSE)</f>
        <v>11.81</v>
      </c>
      <c r="AD630">
        <f>VLOOKUP(Table29[[#This Row],[Shortname]], Comp[], 9, FALSE)</f>
        <v>5.49</v>
      </c>
      <c r="AE630">
        <f>VLOOKUP(Table29[[#This Row],[Shortname]], Comp[], 10, FALSE)</f>
        <v>8.3000000000000007</v>
      </c>
      <c r="AF630">
        <f>VLOOKUP(Table29[[#This Row],[Shortname]], Comp[], 11, FALSE)</f>
        <v>0</v>
      </c>
      <c r="AG630">
        <f>VLOOKUP(Table29[[#This Row],[Shortname]], Comp[],12, FALSE)</f>
        <v>2.04</v>
      </c>
      <c r="AH630">
        <f>VLOOKUP(Table29[[#This Row],[Shortname]], Comp[], 13, FALSE)</f>
        <v>1.44</v>
      </c>
      <c r="AI630">
        <f>VLOOKUP(Table29[[#This Row],[Shortname]], Comp[], 14, FALSE)</f>
        <v>1.41</v>
      </c>
      <c r="AJ630">
        <f>VLOOKUP(Table29[[#This Row],[Shortname]], Comp[], 15, FALSE)</f>
        <v>3.1</v>
      </c>
      <c r="AK630">
        <f>VLOOKUP(Table29[[#This Row],[Shortname]], Comp[], 16, FALSE)</f>
        <v>0</v>
      </c>
      <c r="AL630">
        <f>VLOOKUP(Table29[[#This Row],[Shortname]], Comp[], 17, FALSE)</f>
        <v>0</v>
      </c>
      <c r="AM630">
        <f>VLOOKUP(Table29[[#This Row],[Shortname]], Comp[], 18, FALSE)</f>
        <v>0</v>
      </c>
      <c r="AN630">
        <f>VLOOKUP(Table29[[#This Row],[Shortname]], Comp[], 19, FALSE)</f>
        <v>0.08</v>
      </c>
      <c r="AO630">
        <f>VLOOKUP(Table29[[#This Row],[Shortname]], Comp[], 20, FALSE)</f>
        <v>0</v>
      </c>
      <c r="AP630">
        <f>VLOOKUP(Table29[[#This Row],[Shortname]], Comp[], 21, FALSE)</f>
        <v>0</v>
      </c>
      <c r="AQ630">
        <f>VLOOKUP(Table29[[#This Row],[Shortname]], Comp[], 22, FALSE)</f>
        <v>0</v>
      </c>
      <c r="AR630">
        <f>VLOOKUP(Table29[[#This Row],[Shortname]], Comp[], 23, FALSE)</f>
        <v>18.28</v>
      </c>
      <c r="AS630">
        <f>VLOOKUP(Table29[[#This Row],[Shortname]], Comp[], 24, FALSE)</f>
        <v>0</v>
      </c>
      <c r="AT630">
        <f>VLOOKUP(Table29[[#This Row],[Shortname]], Comp[], 25, FALSE)</f>
        <v>0</v>
      </c>
      <c r="AU630">
        <f>VLOOKUP(Table29[[#This Row],[Shortname]], Comp[], 26, FALSE)</f>
        <v>0</v>
      </c>
      <c r="AV630">
        <f>VLOOKUP(Table29[[#This Row],[Shortname]], Comp[], 27, FALSE)</f>
        <v>0</v>
      </c>
      <c r="AW630">
        <f>VLOOKUP(Table29[[#This Row],[Shortname]], Comp[], 28, FALSE)</f>
        <v>0</v>
      </c>
      <c r="AX630">
        <f>VLOOKUP(Table29[[#This Row],[Shortname]], Comp[], 29, FALSE)</f>
        <v>0</v>
      </c>
      <c r="AY630">
        <f>VLOOKUP(Table29[[#This Row],[Shortname]], Comp[], 30, FALSE)</f>
        <v>0</v>
      </c>
      <c r="AZ630">
        <f>VLOOKUP(Table29[[#This Row],[Shortname]], Comp[], 31, FALSE)</f>
        <v>0</v>
      </c>
    </row>
    <row r="631" spans="1:52" x14ac:dyDescent="0.3">
      <c r="A631" t="s">
        <v>6456</v>
      </c>
      <c r="F631" t="s">
        <v>6457</v>
      </c>
      <c r="G631" t="s">
        <v>6431</v>
      </c>
      <c r="H631">
        <v>253.1</v>
      </c>
      <c r="I631">
        <v>3.8600000000000003E-6</v>
      </c>
      <c r="J631">
        <f>0.01/Table29[[#This Row],[Strain Rate (min) /s]]</f>
        <v>2590.6735751295337</v>
      </c>
      <c r="K631">
        <f>LOG(Table29[[#This Row],[Time to 1% strain (s)]])</f>
        <v>3.4134126953282449</v>
      </c>
      <c r="L631">
        <v>850</v>
      </c>
      <c r="P631" t="s">
        <v>7245</v>
      </c>
      <c r="Q631">
        <v>1200</v>
      </c>
      <c r="R631">
        <v>24</v>
      </c>
      <c r="S631">
        <v>850</v>
      </c>
      <c r="T631">
        <v>168</v>
      </c>
      <c r="W631">
        <v>1</v>
      </c>
      <c r="X631">
        <v>10</v>
      </c>
      <c r="Y631">
        <v>20.6</v>
      </c>
      <c r="AA631">
        <f>VLOOKUP(Table29[[#This Row],[Shortname]], Comp[], 6, FALSE)</f>
        <v>1077</v>
      </c>
      <c r="AB631" s="14">
        <f>VLOOKUP(Table29[[#This Row],[Shortname]], Comp[], 7, FALSE)</f>
        <v>48.05</v>
      </c>
      <c r="AC631">
        <f>VLOOKUP(Table29[[#This Row],[Shortname]], Comp[], 8, FALSE)</f>
        <v>11.81</v>
      </c>
      <c r="AD631">
        <f>VLOOKUP(Table29[[#This Row],[Shortname]], Comp[], 9, FALSE)</f>
        <v>5.49</v>
      </c>
      <c r="AE631">
        <f>VLOOKUP(Table29[[#This Row],[Shortname]], Comp[], 10, FALSE)</f>
        <v>8.3000000000000007</v>
      </c>
      <c r="AF631">
        <f>VLOOKUP(Table29[[#This Row],[Shortname]], Comp[], 11, FALSE)</f>
        <v>0</v>
      </c>
      <c r="AG631">
        <f>VLOOKUP(Table29[[#This Row],[Shortname]], Comp[],12, FALSE)</f>
        <v>2.04</v>
      </c>
      <c r="AH631">
        <f>VLOOKUP(Table29[[#This Row],[Shortname]], Comp[], 13, FALSE)</f>
        <v>1.44</v>
      </c>
      <c r="AI631">
        <f>VLOOKUP(Table29[[#This Row],[Shortname]], Comp[], 14, FALSE)</f>
        <v>1.41</v>
      </c>
      <c r="AJ631">
        <f>VLOOKUP(Table29[[#This Row],[Shortname]], Comp[], 15, FALSE)</f>
        <v>3.1</v>
      </c>
      <c r="AK631">
        <f>VLOOKUP(Table29[[#This Row],[Shortname]], Comp[], 16, FALSE)</f>
        <v>0</v>
      </c>
      <c r="AL631">
        <f>VLOOKUP(Table29[[#This Row],[Shortname]], Comp[], 17, FALSE)</f>
        <v>0</v>
      </c>
      <c r="AM631">
        <f>VLOOKUP(Table29[[#This Row],[Shortname]], Comp[], 18, FALSE)</f>
        <v>0</v>
      </c>
      <c r="AN631">
        <f>VLOOKUP(Table29[[#This Row],[Shortname]], Comp[], 19, FALSE)</f>
        <v>0.08</v>
      </c>
      <c r="AO631">
        <f>VLOOKUP(Table29[[#This Row],[Shortname]], Comp[], 20, FALSE)</f>
        <v>0</v>
      </c>
      <c r="AP631">
        <f>VLOOKUP(Table29[[#This Row],[Shortname]], Comp[], 21, FALSE)</f>
        <v>0</v>
      </c>
      <c r="AQ631">
        <f>VLOOKUP(Table29[[#This Row],[Shortname]], Comp[], 22, FALSE)</f>
        <v>0</v>
      </c>
      <c r="AR631">
        <f>VLOOKUP(Table29[[#This Row],[Shortname]], Comp[], 23, FALSE)</f>
        <v>18.28</v>
      </c>
      <c r="AS631">
        <f>VLOOKUP(Table29[[#This Row],[Shortname]], Comp[], 24, FALSE)</f>
        <v>0</v>
      </c>
      <c r="AT631">
        <f>VLOOKUP(Table29[[#This Row],[Shortname]], Comp[], 25, FALSE)</f>
        <v>0</v>
      </c>
      <c r="AU631">
        <f>VLOOKUP(Table29[[#This Row],[Shortname]], Comp[], 26, FALSE)</f>
        <v>0</v>
      </c>
      <c r="AV631">
        <f>VLOOKUP(Table29[[#This Row],[Shortname]], Comp[], 27, FALSE)</f>
        <v>0</v>
      </c>
      <c r="AW631">
        <f>VLOOKUP(Table29[[#This Row],[Shortname]], Comp[], 28, FALSE)</f>
        <v>0</v>
      </c>
      <c r="AX631">
        <f>VLOOKUP(Table29[[#This Row],[Shortname]], Comp[], 29, FALSE)</f>
        <v>0</v>
      </c>
      <c r="AY631">
        <f>VLOOKUP(Table29[[#This Row],[Shortname]], Comp[], 30, FALSE)</f>
        <v>0</v>
      </c>
      <c r="AZ631">
        <f>VLOOKUP(Table29[[#This Row],[Shortname]], Comp[], 31, FALSE)</f>
        <v>0</v>
      </c>
    </row>
    <row r="632" spans="1:52" x14ac:dyDescent="0.3">
      <c r="A632" t="s">
        <v>6456</v>
      </c>
      <c r="F632" t="s">
        <v>6457</v>
      </c>
      <c r="G632" t="s">
        <v>6431</v>
      </c>
      <c r="H632">
        <v>269.10000000000002</v>
      </c>
      <c r="I632">
        <v>6.3500000000000002E-6</v>
      </c>
      <c r="J632">
        <f>0.01/Table29[[#This Row],[Strain Rate (min) /s]]</f>
        <v>1574.8031496062993</v>
      </c>
      <c r="K632">
        <f>LOG(Table29[[#This Row],[Time to 1% strain (s)]])</f>
        <v>3.1972262747080245</v>
      </c>
      <c r="L632">
        <v>850</v>
      </c>
      <c r="P632" t="s">
        <v>7245</v>
      </c>
      <c r="Q632">
        <v>1200</v>
      </c>
      <c r="R632">
        <v>24</v>
      </c>
      <c r="S632">
        <v>850</v>
      </c>
      <c r="T632">
        <v>168</v>
      </c>
      <c r="W632">
        <v>1</v>
      </c>
      <c r="X632">
        <v>10</v>
      </c>
      <c r="Y632">
        <v>20.6</v>
      </c>
      <c r="AA632">
        <f>VLOOKUP(Table29[[#This Row],[Shortname]], Comp[], 6, FALSE)</f>
        <v>1077</v>
      </c>
      <c r="AB632" s="14">
        <f>VLOOKUP(Table29[[#This Row],[Shortname]], Comp[], 7, FALSE)</f>
        <v>48.05</v>
      </c>
      <c r="AC632">
        <f>VLOOKUP(Table29[[#This Row],[Shortname]], Comp[], 8, FALSE)</f>
        <v>11.81</v>
      </c>
      <c r="AD632">
        <f>VLOOKUP(Table29[[#This Row],[Shortname]], Comp[], 9, FALSE)</f>
        <v>5.49</v>
      </c>
      <c r="AE632">
        <f>VLOOKUP(Table29[[#This Row],[Shortname]], Comp[], 10, FALSE)</f>
        <v>8.3000000000000007</v>
      </c>
      <c r="AF632">
        <f>VLOOKUP(Table29[[#This Row],[Shortname]], Comp[], 11, FALSE)</f>
        <v>0</v>
      </c>
      <c r="AG632">
        <f>VLOOKUP(Table29[[#This Row],[Shortname]], Comp[],12, FALSE)</f>
        <v>2.04</v>
      </c>
      <c r="AH632">
        <f>VLOOKUP(Table29[[#This Row],[Shortname]], Comp[], 13, FALSE)</f>
        <v>1.44</v>
      </c>
      <c r="AI632">
        <f>VLOOKUP(Table29[[#This Row],[Shortname]], Comp[], 14, FALSE)</f>
        <v>1.41</v>
      </c>
      <c r="AJ632">
        <f>VLOOKUP(Table29[[#This Row],[Shortname]], Comp[], 15, FALSE)</f>
        <v>3.1</v>
      </c>
      <c r="AK632">
        <f>VLOOKUP(Table29[[#This Row],[Shortname]], Comp[], 16, FALSE)</f>
        <v>0</v>
      </c>
      <c r="AL632">
        <f>VLOOKUP(Table29[[#This Row],[Shortname]], Comp[], 17, FALSE)</f>
        <v>0</v>
      </c>
      <c r="AM632">
        <f>VLOOKUP(Table29[[#This Row],[Shortname]], Comp[], 18, FALSE)</f>
        <v>0</v>
      </c>
      <c r="AN632">
        <f>VLOOKUP(Table29[[#This Row],[Shortname]], Comp[], 19, FALSE)</f>
        <v>0.08</v>
      </c>
      <c r="AO632">
        <f>VLOOKUP(Table29[[#This Row],[Shortname]], Comp[], 20, FALSE)</f>
        <v>0</v>
      </c>
      <c r="AP632">
        <f>VLOOKUP(Table29[[#This Row],[Shortname]], Comp[], 21, FALSE)</f>
        <v>0</v>
      </c>
      <c r="AQ632">
        <f>VLOOKUP(Table29[[#This Row],[Shortname]], Comp[], 22, FALSE)</f>
        <v>0</v>
      </c>
      <c r="AR632">
        <f>VLOOKUP(Table29[[#This Row],[Shortname]], Comp[], 23, FALSE)</f>
        <v>18.28</v>
      </c>
      <c r="AS632">
        <f>VLOOKUP(Table29[[#This Row],[Shortname]], Comp[], 24, FALSE)</f>
        <v>0</v>
      </c>
      <c r="AT632">
        <f>VLOOKUP(Table29[[#This Row],[Shortname]], Comp[], 25, FALSE)</f>
        <v>0</v>
      </c>
      <c r="AU632">
        <f>VLOOKUP(Table29[[#This Row],[Shortname]], Comp[], 26, FALSE)</f>
        <v>0</v>
      </c>
      <c r="AV632">
        <f>VLOOKUP(Table29[[#This Row],[Shortname]], Comp[], 27, FALSE)</f>
        <v>0</v>
      </c>
      <c r="AW632">
        <f>VLOOKUP(Table29[[#This Row],[Shortname]], Comp[], 28, FALSE)</f>
        <v>0</v>
      </c>
      <c r="AX632">
        <f>VLOOKUP(Table29[[#This Row],[Shortname]], Comp[], 29, FALSE)</f>
        <v>0</v>
      </c>
      <c r="AY632">
        <f>VLOOKUP(Table29[[#This Row],[Shortname]], Comp[], 30, FALSE)</f>
        <v>0</v>
      </c>
      <c r="AZ632">
        <f>VLOOKUP(Table29[[#This Row],[Shortname]], Comp[], 31, FALSE)</f>
        <v>0</v>
      </c>
    </row>
    <row r="633" spans="1:52" x14ac:dyDescent="0.3">
      <c r="A633" t="s">
        <v>6456</v>
      </c>
      <c r="F633" t="s">
        <v>6457</v>
      </c>
      <c r="G633" t="s">
        <v>6431</v>
      </c>
      <c r="H633">
        <v>290.3</v>
      </c>
      <c r="I633">
        <v>1.49E-5</v>
      </c>
      <c r="J633">
        <f>0.01/Table29[[#This Row],[Strain Rate (min) /s]]</f>
        <v>671.14093959731542</v>
      </c>
      <c r="K633">
        <f>LOG(Table29[[#This Row],[Time to 1% strain (s)]])</f>
        <v>2.826813731587726</v>
      </c>
      <c r="L633">
        <v>850</v>
      </c>
      <c r="P633" t="s">
        <v>7245</v>
      </c>
      <c r="Q633">
        <v>1200</v>
      </c>
      <c r="R633">
        <v>24</v>
      </c>
      <c r="S633">
        <v>850</v>
      </c>
      <c r="T633">
        <v>168</v>
      </c>
      <c r="W633">
        <v>1</v>
      </c>
      <c r="X633">
        <v>10</v>
      </c>
      <c r="Y633">
        <v>20.6</v>
      </c>
      <c r="AA633">
        <f>VLOOKUP(Table29[[#This Row],[Shortname]], Comp[], 6, FALSE)</f>
        <v>1077</v>
      </c>
      <c r="AB633" s="14">
        <f>VLOOKUP(Table29[[#This Row],[Shortname]], Comp[], 7, FALSE)</f>
        <v>48.05</v>
      </c>
      <c r="AC633">
        <f>VLOOKUP(Table29[[#This Row],[Shortname]], Comp[], 8, FALSE)</f>
        <v>11.81</v>
      </c>
      <c r="AD633">
        <f>VLOOKUP(Table29[[#This Row],[Shortname]], Comp[], 9, FALSE)</f>
        <v>5.49</v>
      </c>
      <c r="AE633">
        <f>VLOOKUP(Table29[[#This Row],[Shortname]], Comp[], 10, FALSE)</f>
        <v>8.3000000000000007</v>
      </c>
      <c r="AF633">
        <f>VLOOKUP(Table29[[#This Row],[Shortname]], Comp[], 11, FALSE)</f>
        <v>0</v>
      </c>
      <c r="AG633">
        <f>VLOOKUP(Table29[[#This Row],[Shortname]], Comp[],12, FALSE)</f>
        <v>2.04</v>
      </c>
      <c r="AH633">
        <f>VLOOKUP(Table29[[#This Row],[Shortname]], Comp[], 13, FALSE)</f>
        <v>1.44</v>
      </c>
      <c r="AI633">
        <f>VLOOKUP(Table29[[#This Row],[Shortname]], Comp[], 14, FALSE)</f>
        <v>1.41</v>
      </c>
      <c r="AJ633">
        <f>VLOOKUP(Table29[[#This Row],[Shortname]], Comp[], 15, FALSE)</f>
        <v>3.1</v>
      </c>
      <c r="AK633">
        <f>VLOOKUP(Table29[[#This Row],[Shortname]], Comp[], 16, FALSE)</f>
        <v>0</v>
      </c>
      <c r="AL633">
        <f>VLOOKUP(Table29[[#This Row],[Shortname]], Comp[], 17, FALSE)</f>
        <v>0</v>
      </c>
      <c r="AM633">
        <f>VLOOKUP(Table29[[#This Row],[Shortname]], Comp[], 18, FALSE)</f>
        <v>0</v>
      </c>
      <c r="AN633">
        <f>VLOOKUP(Table29[[#This Row],[Shortname]], Comp[], 19, FALSE)</f>
        <v>0.08</v>
      </c>
      <c r="AO633">
        <f>VLOOKUP(Table29[[#This Row],[Shortname]], Comp[], 20, FALSE)</f>
        <v>0</v>
      </c>
      <c r="AP633">
        <f>VLOOKUP(Table29[[#This Row],[Shortname]], Comp[], 21, FALSE)</f>
        <v>0</v>
      </c>
      <c r="AQ633">
        <f>VLOOKUP(Table29[[#This Row],[Shortname]], Comp[], 22, FALSE)</f>
        <v>0</v>
      </c>
      <c r="AR633">
        <f>VLOOKUP(Table29[[#This Row],[Shortname]], Comp[], 23, FALSE)</f>
        <v>18.28</v>
      </c>
      <c r="AS633">
        <f>VLOOKUP(Table29[[#This Row],[Shortname]], Comp[], 24, FALSE)</f>
        <v>0</v>
      </c>
      <c r="AT633">
        <f>VLOOKUP(Table29[[#This Row],[Shortname]], Comp[], 25, FALSE)</f>
        <v>0</v>
      </c>
      <c r="AU633">
        <f>VLOOKUP(Table29[[#This Row],[Shortname]], Comp[], 26, FALSE)</f>
        <v>0</v>
      </c>
      <c r="AV633">
        <f>VLOOKUP(Table29[[#This Row],[Shortname]], Comp[], 27, FALSE)</f>
        <v>0</v>
      </c>
      <c r="AW633">
        <f>VLOOKUP(Table29[[#This Row],[Shortname]], Comp[], 28, FALSE)</f>
        <v>0</v>
      </c>
      <c r="AX633">
        <f>VLOOKUP(Table29[[#This Row],[Shortname]], Comp[], 29, FALSE)</f>
        <v>0</v>
      </c>
      <c r="AY633">
        <f>VLOOKUP(Table29[[#This Row],[Shortname]], Comp[], 30, FALSE)</f>
        <v>0</v>
      </c>
      <c r="AZ633">
        <f>VLOOKUP(Table29[[#This Row],[Shortname]], Comp[], 31, FALSE)</f>
        <v>0</v>
      </c>
    </row>
    <row r="634" spans="1:52" x14ac:dyDescent="0.3">
      <c r="A634" t="s">
        <v>6456</v>
      </c>
      <c r="F634" t="s">
        <v>6457</v>
      </c>
      <c r="G634" t="s">
        <v>6431</v>
      </c>
      <c r="H634">
        <v>315.5</v>
      </c>
      <c r="I634">
        <v>3.1000000000000001E-5</v>
      </c>
      <c r="J634">
        <f>0.01/Table29[[#This Row],[Strain Rate (min) /s]]</f>
        <v>322.58064516129031</v>
      </c>
      <c r="K634">
        <f>LOG(Table29[[#This Row],[Time to 1% strain (s)]])</f>
        <v>2.5086383061657274</v>
      </c>
      <c r="L634">
        <v>850</v>
      </c>
      <c r="P634" t="s">
        <v>7245</v>
      </c>
      <c r="Q634">
        <v>1200</v>
      </c>
      <c r="R634">
        <v>24</v>
      </c>
      <c r="S634">
        <v>850</v>
      </c>
      <c r="T634">
        <v>168</v>
      </c>
      <c r="W634">
        <v>1</v>
      </c>
      <c r="X634">
        <v>10</v>
      </c>
      <c r="Y634">
        <v>20.6</v>
      </c>
      <c r="AA634">
        <f>VLOOKUP(Table29[[#This Row],[Shortname]], Comp[], 6, FALSE)</f>
        <v>1077</v>
      </c>
      <c r="AB634" s="14">
        <f>VLOOKUP(Table29[[#This Row],[Shortname]], Comp[], 7, FALSE)</f>
        <v>48.05</v>
      </c>
      <c r="AC634">
        <f>VLOOKUP(Table29[[#This Row],[Shortname]], Comp[], 8, FALSE)</f>
        <v>11.81</v>
      </c>
      <c r="AD634">
        <f>VLOOKUP(Table29[[#This Row],[Shortname]], Comp[], 9, FALSE)</f>
        <v>5.49</v>
      </c>
      <c r="AE634">
        <f>VLOOKUP(Table29[[#This Row],[Shortname]], Comp[], 10, FALSE)</f>
        <v>8.3000000000000007</v>
      </c>
      <c r="AF634">
        <f>VLOOKUP(Table29[[#This Row],[Shortname]], Comp[], 11, FALSE)</f>
        <v>0</v>
      </c>
      <c r="AG634">
        <f>VLOOKUP(Table29[[#This Row],[Shortname]], Comp[],12, FALSE)</f>
        <v>2.04</v>
      </c>
      <c r="AH634">
        <f>VLOOKUP(Table29[[#This Row],[Shortname]], Comp[], 13, FALSE)</f>
        <v>1.44</v>
      </c>
      <c r="AI634">
        <f>VLOOKUP(Table29[[#This Row],[Shortname]], Comp[], 14, FALSE)</f>
        <v>1.41</v>
      </c>
      <c r="AJ634">
        <f>VLOOKUP(Table29[[#This Row],[Shortname]], Comp[], 15, FALSE)</f>
        <v>3.1</v>
      </c>
      <c r="AK634">
        <f>VLOOKUP(Table29[[#This Row],[Shortname]], Comp[], 16, FALSE)</f>
        <v>0</v>
      </c>
      <c r="AL634">
        <f>VLOOKUP(Table29[[#This Row],[Shortname]], Comp[], 17, FALSE)</f>
        <v>0</v>
      </c>
      <c r="AM634">
        <f>VLOOKUP(Table29[[#This Row],[Shortname]], Comp[], 18, FALSE)</f>
        <v>0</v>
      </c>
      <c r="AN634">
        <f>VLOOKUP(Table29[[#This Row],[Shortname]], Comp[], 19, FALSE)</f>
        <v>0.08</v>
      </c>
      <c r="AO634">
        <f>VLOOKUP(Table29[[#This Row],[Shortname]], Comp[], 20, FALSE)</f>
        <v>0</v>
      </c>
      <c r="AP634">
        <f>VLOOKUP(Table29[[#This Row],[Shortname]], Comp[], 21, FALSE)</f>
        <v>0</v>
      </c>
      <c r="AQ634">
        <f>VLOOKUP(Table29[[#This Row],[Shortname]], Comp[], 22, FALSE)</f>
        <v>0</v>
      </c>
      <c r="AR634">
        <f>VLOOKUP(Table29[[#This Row],[Shortname]], Comp[], 23, FALSE)</f>
        <v>18.28</v>
      </c>
      <c r="AS634">
        <f>VLOOKUP(Table29[[#This Row],[Shortname]], Comp[], 24, FALSE)</f>
        <v>0</v>
      </c>
      <c r="AT634">
        <f>VLOOKUP(Table29[[#This Row],[Shortname]], Comp[], 25, FALSE)</f>
        <v>0</v>
      </c>
      <c r="AU634">
        <f>VLOOKUP(Table29[[#This Row],[Shortname]], Comp[], 26, FALSE)</f>
        <v>0</v>
      </c>
      <c r="AV634">
        <f>VLOOKUP(Table29[[#This Row],[Shortname]], Comp[], 27, FALSE)</f>
        <v>0</v>
      </c>
      <c r="AW634">
        <f>VLOOKUP(Table29[[#This Row],[Shortname]], Comp[], 28, FALSE)</f>
        <v>0</v>
      </c>
      <c r="AX634">
        <f>VLOOKUP(Table29[[#This Row],[Shortname]], Comp[], 29, FALSE)</f>
        <v>0</v>
      </c>
      <c r="AY634">
        <f>VLOOKUP(Table29[[#This Row],[Shortname]], Comp[], 30, FALSE)</f>
        <v>0</v>
      </c>
      <c r="AZ634">
        <f>VLOOKUP(Table29[[#This Row],[Shortname]], Comp[], 31, FALSE)</f>
        <v>0</v>
      </c>
    </row>
    <row r="635" spans="1:52" x14ac:dyDescent="0.3">
      <c r="A635" t="s">
        <v>6502</v>
      </c>
      <c r="F635" t="s">
        <v>6503</v>
      </c>
      <c r="G635" t="s">
        <v>6504</v>
      </c>
      <c r="H635">
        <v>274.57</v>
      </c>
      <c r="I635">
        <v>1.295E-8</v>
      </c>
      <c r="J635">
        <f>0.01/Table29[[#This Row],[Strain Rate (min) /s]]</f>
        <v>772200.77220077219</v>
      </c>
      <c r="K635">
        <f>LOG(Table29[[#This Row],[Time to 1% strain (s)]])</f>
        <v>5.8877302315827293</v>
      </c>
      <c r="L635">
        <v>850</v>
      </c>
      <c r="P635" t="s">
        <v>7246</v>
      </c>
      <c r="Q635">
        <v>1250</v>
      </c>
      <c r="R635">
        <v>48</v>
      </c>
      <c r="S635">
        <v>900</v>
      </c>
      <c r="T635">
        <v>64</v>
      </c>
      <c r="W635">
        <v>1</v>
      </c>
      <c r="X635">
        <v>10</v>
      </c>
      <c r="Y635">
        <v>41.2</v>
      </c>
      <c r="AA635">
        <f>VLOOKUP(Table29[[#This Row],[Shortname]], Comp[], 6, FALSE)</f>
        <v>1088</v>
      </c>
      <c r="AB635" s="14">
        <f>VLOOKUP(Table29[[#This Row],[Shortname]], Comp[], 7, FALSE)</f>
        <v>49.7</v>
      </c>
      <c r="AC635">
        <f>VLOOKUP(Table29[[#This Row],[Shortname]], Comp[], 8, FALSE)</f>
        <v>29.2</v>
      </c>
      <c r="AD635">
        <f>VLOOKUP(Table29[[#This Row],[Shortname]], Comp[], 9, FALSE)</f>
        <v>11.1</v>
      </c>
      <c r="AE635">
        <f>VLOOKUP(Table29[[#This Row],[Shortname]], Comp[], 10, FALSE)</f>
        <v>4.2</v>
      </c>
      <c r="AF635">
        <f>VLOOKUP(Table29[[#This Row],[Shortname]], Comp[], 11, FALSE)</f>
        <v>5.8</v>
      </c>
      <c r="AG635">
        <f>VLOOKUP(Table29[[#This Row],[Shortname]], Comp[],12, FALSE)</f>
        <v>0</v>
      </c>
      <c r="AH635">
        <f>VLOOKUP(Table29[[#This Row],[Shortname]], Comp[], 13, FALSE)</f>
        <v>0</v>
      </c>
      <c r="AI635">
        <f>VLOOKUP(Table29[[#This Row],[Shortname]], Comp[], 14, FALSE)</f>
        <v>0</v>
      </c>
      <c r="AJ635">
        <f>VLOOKUP(Table29[[#This Row],[Shortname]], Comp[], 15, FALSE)</f>
        <v>0</v>
      </c>
      <c r="AK635">
        <f>VLOOKUP(Table29[[#This Row],[Shortname]], Comp[], 16, FALSE)</f>
        <v>0</v>
      </c>
      <c r="AL635">
        <f>VLOOKUP(Table29[[#This Row],[Shortname]], Comp[], 17, FALSE)</f>
        <v>0</v>
      </c>
      <c r="AM635">
        <f>VLOOKUP(Table29[[#This Row],[Shortname]], Comp[], 18, FALSE)</f>
        <v>0</v>
      </c>
      <c r="AN635">
        <f>VLOOKUP(Table29[[#This Row],[Shortname]], Comp[], 19, FALSE)</f>
        <v>0</v>
      </c>
      <c r="AO635">
        <f>VLOOKUP(Table29[[#This Row],[Shortname]], Comp[], 20, FALSE)</f>
        <v>0</v>
      </c>
      <c r="AP635">
        <f>VLOOKUP(Table29[[#This Row],[Shortname]], Comp[], 21, FALSE)</f>
        <v>0</v>
      </c>
      <c r="AQ635">
        <f>VLOOKUP(Table29[[#This Row],[Shortname]], Comp[], 22, FALSE)</f>
        <v>0</v>
      </c>
      <c r="AR635">
        <f>VLOOKUP(Table29[[#This Row],[Shortname]], Comp[], 23, FALSE)</f>
        <v>0</v>
      </c>
      <c r="AS635">
        <f>VLOOKUP(Table29[[#This Row],[Shortname]], Comp[], 24, FALSE)</f>
        <v>0</v>
      </c>
      <c r="AT635">
        <f>VLOOKUP(Table29[[#This Row],[Shortname]], Comp[], 25, FALSE)</f>
        <v>0</v>
      </c>
      <c r="AU635">
        <f>VLOOKUP(Table29[[#This Row],[Shortname]], Comp[], 26, FALSE)</f>
        <v>0</v>
      </c>
      <c r="AV635">
        <f>VLOOKUP(Table29[[#This Row],[Shortname]], Comp[], 27, FALSE)</f>
        <v>0</v>
      </c>
      <c r="AW635">
        <f>VLOOKUP(Table29[[#This Row],[Shortname]], Comp[], 28, FALSE)</f>
        <v>0</v>
      </c>
      <c r="AX635">
        <f>VLOOKUP(Table29[[#This Row],[Shortname]], Comp[], 29, FALSE)</f>
        <v>0</v>
      </c>
      <c r="AY635">
        <f>VLOOKUP(Table29[[#This Row],[Shortname]], Comp[], 30, FALSE)</f>
        <v>0</v>
      </c>
      <c r="AZ635">
        <f>VLOOKUP(Table29[[#This Row],[Shortname]], Comp[], 31, FALSE)</f>
        <v>0</v>
      </c>
    </row>
    <row r="636" spans="1:52" x14ac:dyDescent="0.3">
      <c r="A636" t="s">
        <v>6502</v>
      </c>
      <c r="F636" t="s">
        <v>6503</v>
      </c>
      <c r="G636" t="s">
        <v>6504</v>
      </c>
      <c r="H636">
        <v>298.83999999999997</v>
      </c>
      <c r="I636">
        <v>4.5389999999999998E-8</v>
      </c>
      <c r="J636">
        <f>0.01/Table29[[#This Row],[Strain Rate (min) /s]]</f>
        <v>220312.84423881915</v>
      </c>
      <c r="K636">
        <f>LOG(Table29[[#This Row],[Time to 1% strain (s)]])</f>
        <v>5.3430398172571509</v>
      </c>
      <c r="L636">
        <v>850</v>
      </c>
      <c r="P636" t="s">
        <v>7246</v>
      </c>
      <c r="Q636">
        <v>1250</v>
      </c>
      <c r="R636">
        <v>48</v>
      </c>
      <c r="S636">
        <v>900</v>
      </c>
      <c r="T636">
        <v>64</v>
      </c>
      <c r="W636">
        <v>1</v>
      </c>
      <c r="X636">
        <v>10</v>
      </c>
      <c r="Y636">
        <v>41.2</v>
      </c>
      <c r="AA636">
        <f>VLOOKUP(Table29[[#This Row],[Shortname]], Comp[], 6, FALSE)</f>
        <v>1088</v>
      </c>
      <c r="AB636" s="14">
        <f>VLOOKUP(Table29[[#This Row],[Shortname]], Comp[], 7, FALSE)</f>
        <v>49.7</v>
      </c>
      <c r="AC636">
        <f>VLOOKUP(Table29[[#This Row],[Shortname]], Comp[], 8, FALSE)</f>
        <v>29.2</v>
      </c>
      <c r="AD636">
        <f>VLOOKUP(Table29[[#This Row],[Shortname]], Comp[], 9, FALSE)</f>
        <v>11.1</v>
      </c>
      <c r="AE636">
        <f>VLOOKUP(Table29[[#This Row],[Shortname]], Comp[], 10, FALSE)</f>
        <v>4.2</v>
      </c>
      <c r="AF636">
        <f>VLOOKUP(Table29[[#This Row],[Shortname]], Comp[], 11, FALSE)</f>
        <v>5.8</v>
      </c>
      <c r="AG636">
        <f>VLOOKUP(Table29[[#This Row],[Shortname]], Comp[],12, FALSE)</f>
        <v>0</v>
      </c>
      <c r="AH636">
        <f>VLOOKUP(Table29[[#This Row],[Shortname]], Comp[], 13, FALSE)</f>
        <v>0</v>
      </c>
      <c r="AI636">
        <f>VLOOKUP(Table29[[#This Row],[Shortname]], Comp[], 14, FALSE)</f>
        <v>0</v>
      </c>
      <c r="AJ636">
        <f>VLOOKUP(Table29[[#This Row],[Shortname]], Comp[], 15, FALSE)</f>
        <v>0</v>
      </c>
      <c r="AK636">
        <f>VLOOKUP(Table29[[#This Row],[Shortname]], Comp[], 16, FALSE)</f>
        <v>0</v>
      </c>
      <c r="AL636">
        <f>VLOOKUP(Table29[[#This Row],[Shortname]], Comp[], 17, FALSE)</f>
        <v>0</v>
      </c>
      <c r="AM636">
        <f>VLOOKUP(Table29[[#This Row],[Shortname]], Comp[], 18, FALSE)</f>
        <v>0</v>
      </c>
      <c r="AN636">
        <f>VLOOKUP(Table29[[#This Row],[Shortname]], Comp[], 19, FALSE)</f>
        <v>0</v>
      </c>
      <c r="AO636">
        <f>VLOOKUP(Table29[[#This Row],[Shortname]], Comp[], 20, FALSE)</f>
        <v>0</v>
      </c>
      <c r="AP636">
        <f>VLOOKUP(Table29[[#This Row],[Shortname]], Comp[], 21, FALSE)</f>
        <v>0</v>
      </c>
      <c r="AQ636">
        <f>VLOOKUP(Table29[[#This Row],[Shortname]], Comp[], 22, FALSE)</f>
        <v>0</v>
      </c>
      <c r="AR636">
        <f>VLOOKUP(Table29[[#This Row],[Shortname]], Comp[], 23, FALSE)</f>
        <v>0</v>
      </c>
      <c r="AS636">
        <f>VLOOKUP(Table29[[#This Row],[Shortname]], Comp[], 24, FALSE)</f>
        <v>0</v>
      </c>
      <c r="AT636">
        <f>VLOOKUP(Table29[[#This Row],[Shortname]], Comp[], 25, FALSE)</f>
        <v>0</v>
      </c>
      <c r="AU636">
        <f>VLOOKUP(Table29[[#This Row],[Shortname]], Comp[], 26, FALSE)</f>
        <v>0</v>
      </c>
      <c r="AV636">
        <f>VLOOKUP(Table29[[#This Row],[Shortname]], Comp[], 27, FALSE)</f>
        <v>0</v>
      </c>
      <c r="AW636">
        <f>VLOOKUP(Table29[[#This Row],[Shortname]], Comp[], 28, FALSE)</f>
        <v>0</v>
      </c>
      <c r="AX636">
        <f>VLOOKUP(Table29[[#This Row],[Shortname]], Comp[], 29, FALSE)</f>
        <v>0</v>
      </c>
      <c r="AY636">
        <f>VLOOKUP(Table29[[#This Row],[Shortname]], Comp[], 30, FALSE)</f>
        <v>0</v>
      </c>
      <c r="AZ636">
        <f>VLOOKUP(Table29[[#This Row],[Shortname]], Comp[], 31, FALSE)</f>
        <v>0</v>
      </c>
    </row>
    <row r="637" spans="1:52" x14ac:dyDescent="0.3">
      <c r="A637" t="s">
        <v>6502</v>
      </c>
      <c r="F637" t="s">
        <v>6503</v>
      </c>
      <c r="G637" t="s">
        <v>6504</v>
      </c>
      <c r="H637">
        <v>348.6</v>
      </c>
      <c r="I637">
        <v>3.0217000000000001E-7</v>
      </c>
      <c r="J637">
        <f>0.01/Table29[[#This Row],[Strain Rate (min) /s]]</f>
        <v>33093.953734652678</v>
      </c>
      <c r="K637">
        <f>LOG(Table29[[#This Row],[Time to 1% strain (s)]])</f>
        <v>4.5197486554212132</v>
      </c>
      <c r="L637">
        <v>850</v>
      </c>
      <c r="P637" t="s">
        <v>7246</v>
      </c>
      <c r="Q637">
        <v>1250</v>
      </c>
      <c r="R637">
        <v>48</v>
      </c>
      <c r="S637">
        <v>900</v>
      </c>
      <c r="T637">
        <v>64</v>
      </c>
      <c r="W637">
        <v>1</v>
      </c>
      <c r="X637">
        <v>10</v>
      </c>
      <c r="Y637">
        <v>41.2</v>
      </c>
      <c r="AA637">
        <f>VLOOKUP(Table29[[#This Row],[Shortname]], Comp[], 6, FALSE)</f>
        <v>1088</v>
      </c>
      <c r="AB637" s="14">
        <f>VLOOKUP(Table29[[#This Row],[Shortname]], Comp[], 7, FALSE)</f>
        <v>49.7</v>
      </c>
      <c r="AC637">
        <f>VLOOKUP(Table29[[#This Row],[Shortname]], Comp[], 8, FALSE)</f>
        <v>29.2</v>
      </c>
      <c r="AD637">
        <f>VLOOKUP(Table29[[#This Row],[Shortname]], Comp[], 9, FALSE)</f>
        <v>11.1</v>
      </c>
      <c r="AE637">
        <f>VLOOKUP(Table29[[#This Row],[Shortname]], Comp[], 10, FALSE)</f>
        <v>4.2</v>
      </c>
      <c r="AF637">
        <f>VLOOKUP(Table29[[#This Row],[Shortname]], Comp[], 11, FALSE)</f>
        <v>5.8</v>
      </c>
      <c r="AG637">
        <f>VLOOKUP(Table29[[#This Row],[Shortname]], Comp[],12, FALSE)</f>
        <v>0</v>
      </c>
      <c r="AH637">
        <f>VLOOKUP(Table29[[#This Row],[Shortname]], Comp[], 13, FALSE)</f>
        <v>0</v>
      </c>
      <c r="AI637">
        <f>VLOOKUP(Table29[[#This Row],[Shortname]], Comp[], 14, FALSE)</f>
        <v>0</v>
      </c>
      <c r="AJ637">
        <f>VLOOKUP(Table29[[#This Row],[Shortname]], Comp[], 15, FALSE)</f>
        <v>0</v>
      </c>
      <c r="AK637">
        <f>VLOOKUP(Table29[[#This Row],[Shortname]], Comp[], 16, FALSE)</f>
        <v>0</v>
      </c>
      <c r="AL637">
        <f>VLOOKUP(Table29[[#This Row],[Shortname]], Comp[], 17, FALSE)</f>
        <v>0</v>
      </c>
      <c r="AM637">
        <f>VLOOKUP(Table29[[#This Row],[Shortname]], Comp[], 18, FALSE)</f>
        <v>0</v>
      </c>
      <c r="AN637">
        <f>VLOOKUP(Table29[[#This Row],[Shortname]], Comp[], 19, FALSE)</f>
        <v>0</v>
      </c>
      <c r="AO637">
        <f>VLOOKUP(Table29[[#This Row],[Shortname]], Comp[], 20, FALSE)</f>
        <v>0</v>
      </c>
      <c r="AP637">
        <f>VLOOKUP(Table29[[#This Row],[Shortname]], Comp[], 21, FALSE)</f>
        <v>0</v>
      </c>
      <c r="AQ637">
        <f>VLOOKUP(Table29[[#This Row],[Shortname]], Comp[], 22, FALSE)</f>
        <v>0</v>
      </c>
      <c r="AR637">
        <f>VLOOKUP(Table29[[#This Row],[Shortname]], Comp[], 23, FALSE)</f>
        <v>0</v>
      </c>
      <c r="AS637">
        <f>VLOOKUP(Table29[[#This Row],[Shortname]], Comp[], 24, FALSE)</f>
        <v>0</v>
      </c>
      <c r="AT637">
        <f>VLOOKUP(Table29[[#This Row],[Shortname]], Comp[], 25, FALSE)</f>
        <v>0</v>
      </c>
      <c r="AU637">
        <f>VLOOKUP(Table29[[#This Row],[Shortname]], Comp[], 26, FALSE)</f>
        <v>0</v>
      </c>
      <c r="AV637">
        <f>VLOOKUP(Table29[[#This Row],[Shortname]], Comp[], 27, FALSE)</f>
        <v>0</v>
      </c>
      <c r="AW637">
        <f>VLOOKUP(Table29[[#This Row],[Shortname]], Comp[], 28, FALSE)</f>
        <v>0</v>
      </c>
      <c r="AX637">
        <f>VLOOKUP(Table29[[#This Row],[Shortname]], Comp[], 29, FALSE)</f>
        <v>0</v>
      </c>
      <c r="AY637">
        <f>VLOOKUP(Table29[[#This Row],[Shortname]], Comp[], 30, FALSE)</f>
        <v>0</v>
      </c>
      <c r="AZ637">
        <f>VLOOKUP(Table29[[#This Row],[Shortname]], Comp[], 31, FALSE)</f>
        <v>0</v>
      </c>
    </row>
    <row r="638" spans="1:52" x14ac:dyDescent="0.3">
      <c r="A638" t="s">
        <v>6502</v>
      </c>
      <c r="F638" t="s">
        <v>6503</v>
      </c>
      <c r="G638" t="s">
        <v>6504</v>
      </c>
      <c r="H638">
        <v>399.92</v>
      </c>
      <c r="I638">
        <v>1.5385E-6</v>
      </c>
      <c r="J638">
        <f>0.01/Table29[[#This Row],[Strain Rate (min) /s]]</f>
        <v>6499.8375040623987</v>
      </c>
      <c r="K638">
        <f>LOG(Table29[[#This Row],[Time to 1% strain (s)]])</f>
        <v>3.8129024994165226</v>
      </c>
      <c r="L638">
        <v>850</v>
      </c>
      <c r="P638" t="s">
        <v>7246</v>
      </c>
      <c r="Q638">
        <v>1250</v>
      </c>
      <c r="R638">
        <v>48</v>
      </c>
      <c r="S638">
        <v>900</v>
      </c>
      <c r="T638">
        <v>64</v>
      </c>
      <c r="W638">
        <v>1</v>
      </c>
      <c r="X638">
        <v>10</v>
      </c>
      <c r="Y638">
        <v>41.2</v>
      </c>
      <c r="AA638">
        <f>VLOOKUP(Table29[[#This Row],[Shortname]], Comp[], 6, FALSE)</f>
        <v>1088</v>
      </c>
      <c r="AB638" s="14">
        <f>VLOOKUP(Table29[[#This Row],[Shortname]], Comp[], 7, FALSE)</f>
        <v>49.7</v>
      </c>
      <c r="AC638">
        <f>VLOOKUP(Table29[[#This Row],[Shortname]], Comp[], 8, FALSE)</f>
        <v>29.2</v>
      </c>
      <c r="AD638">
        <f>VLOOKUP(Table29[[#This Row],[Shortname]], Comp[], 9, FALSE)</f>
        <v>11.1</v>
      </c>
      <c r="AE638">
        <f>VLOOKUP(Table29[[#This Row],[Shortname]], Comp[], 10, FALSE)</f>
        <v>4.2</v>
      </c>
      <c r="AF638">
        <f>VLOOKUP(Table29[[#This Row],[Shortname]], Comp[], 11, FALSE)</f>
        <v>5.8</v>
      </c>
      <c r="AG638">
        <f>VLOOKUP(Table29[[#This Row],[Shortname]], Comp[],12, FALSE)</f>
        <v>0</v>
      </c>
      <c r="AH638">
        <f>VLOOKUP(Table29[[#This Row],[Shortname]], Comp[], 13, FALSE)</f>
        <v>0</v>
      </c>
      <c r="AI638">
        <f>VLOOKUP(Table29[[#This Row],[Shortname]], Comp[], 14, FALSE)</f>
        <v>0</v>
      </c>
      <c r="AJ638">
        <f>VLOOKUP(Table29[[#This Row],[Shortname]], Comp[], 15, FALSE)</f>
        <v>0</v>
      </c>
      <c r="AK638">
        <f>VLOOKUP(Table29[[#This Row],[Shortname]], Comp[], 16, FALSE)</f>
        <v>0</v>
      </c>
      <c r="AL638">
        <f>VLOOKUP(Table29[[#This Row],[Shortname]], Comp[], 17, FALSE)</f>
        <v>0</v>
      </c>
      <c r="AM638">
        <f>VLOOKUP(Table29[[#This Row],[Shortname]], Comp[], 18, FALSE)</f>
        <v>0</v>
      </c>
      <c r="AN638">
        <f>VLOOKUP(Table29[[#This Row],[Shortname]], Comp[], 19, FALSE)</f>
        <v>0</v>
      </c>
      <c r="AO638">
        <f>VLOOKUP(Table29[[#This Row],[Shortname]], Comp[], 20, FALSE)</f>
        <v>0</v>
      </c>
      <c r="AP638">
        <f>VLOOKUP(Table29[[#This Row],[Shortname]], Comp[], 21, FALSE)</f>
        <v>0</v>
      </c>
      <c r="AQ638">
        <f>VLOOKUP(Table29[[#This Row],[Shortname]], Comp[], 22, FALSE)</f>
        <v>0</v>
      </c>
      <c r="AR638">
        <f>VLOOKUP(Table29[[#This Row],[Shortname]], Comp[], 23, FALSE)</f>
        <v>0</v>
      </c>
      <c r="AS638">
        <f>VLOOKUP(Table29[[#This Row],[Shortname]], Comp[], 24, FALSE)</f>
        <v>0</v>
      </c>
      <c r="AT638">
        <f>VLOOKUP(Table29[[#This Row],[Shortname]], Comp[], 25, FALSE)</f>
        <v>0</v>
      </c>
      <c r="AU638">
        <f>VLOOKUP(Table29[[#This Row],[Shortname]], Comp[], 26, FALSE)</f>
        <v>0</v>
      </c>
      <c r="AV638">
        <f>VLOOKUP(Table29[[#This Row],[Shortname]], Comp[], 27, FALSE)</f>
        <v>0</v>
      </c>
      <c r="AW638">
        <f>VLOOKUP(Table29[[#This Row],[Shortname]], Comp[], 28, FALSE)</f>
        <v>0</v>
      </c>
      <c r="AX638">
        <f>VLOOKUP(Table29[[#This Row],[Shortname]], Comp[], 29, FALSE)</f>
        <v>0</v>
      </c>
      <c r="AY638">
        <f>VLOOKUP(Table29[[#This Row],[Shortname]], Comp[], 30, FALSE)</f>
        <v>0</v>
      </c>
      <c r="AZ638">
        <f>VLOOKUP(Table29[[#This Row],[Shortname]], Comp[], 31, FALSE)</f>
        <v>0</v>
      </c>
    </row>
    <row r="639" spans="1:52" x14ac:dyDescent="0.3">
      <c r="A639" t="s">
        <v>6502</v>
      </c>
      <c r="F639" t="s">
        <v>6503</v>
      </c>
      <c r="G639" t="s">
        <v>6504</v>
      </c>
      <c r="H639">
        <v>449.47</v>
      </c>
      <c r="I639">
        <v>5.9345999999999999E-6</v>
      </c>
      <c r="J639">
        <f>0.01/Table29[[#This Row],[Strain Rate (min) /s]]</f>
        <v>1685.0335321672901</v>
      </c>
      <c r="K639">
        <f>LOG(Table29[[#This Row],[Time to 1% strain (s)]])</f>
        <v>3.2266085477535409</v>
      </c>
      <c r="L639">
        <v>850</v>
      </c>
      <c r="P639" t="s">
        <v>7246</v>
      </c>
      <c r="Q639">
        <v>1250</v>
      </c>
      <c r="R639">
        <v>48</v>
      </c>
      <c r="S639">
        <v>900</v>
      </c>
      <c r="T639">
        <v>64</v>
      </c>
      <c r="W639">
        <v>1</v>
      </c>
      <c r="X639">
        <v>10</v>
      </c>
      <c r="Y639">
        <v>41.2</v>
      </c>
      <c r="AA639">
        <f>VLOOKUP(Table29[[#This Row],[Shortname]], Comp[], 6, FALSE)</f>
        <v>1088</v>
      </c>
      <c r="AB639" s="14">
        <f>VLOOKUP(Table29[[#This Row],[Shortname]], Comp[], 7, FALSE)</f>
        <v>49.7</v>
      </c>
      <c r="AC639">
        <f>VLOOKUP(Table29[[#This Row],[Shortname]], Comp[], 8, FALSE)</f>
        <v>29.2</v>
      </c>
      <c r="AD639">
        <f>VLOOKUP(Table29[[#This Row],[Shortname]], Comp[], 9, FALSE)</f>
        <v>11.1</v>
      </c>
      <c r="AE639">
        <f>VLOOKUP(Table29[[#This Row],[Shortname]], Comp[], 10, FALSE)</f>
        <v>4.2</v>
      </c>
      <c r="AF639">
        <f>VLOOKUP(Table29[[#This Row],[Shortname]], Comp[], 11, FALSE)</f>
        <v>5.8</v>
      </c>
      <c r="AG639">
        <f>VLOOKUP(Table29[[#This Row],[Shortname]], Comp[],12, FALSE)</f>
        <v>0</v>
      </c>
      <c r="AH639">
        <f>VLOOKUP(Table29[[#This Row],[Shortname]], Comp[], 13, FALSE)</f>
        <v>0</v>
      </c>
      <c r="AI639">
        <f>VLOOKUP(Table29[[#This Row],[Shortname]], Comp[], 14, FALSE)</f>
        <v>0</v>
      </c>
      <c r="AJ639">
        <f>VLOOKUP(Table29[[#This Row],[Shortname]], Comp[], 15, FALSE)</f>
        <v>0</v>
      </c>
      <c r="AK639">
        <f>VLOOKUP(Table29[[#This Row],[Shortname]], Comp[], 16, FALSE)</f>
        <v>0</v>
      </c>
      <c r="AL639">
        <f>VLOOKUP(Table29[[#This Row],[Shortname]], Comp[], 17, FALSE)</f>
        <v>0</v>
      </c>
      <c r="AM639">
        <f>VLOOKUP(Table29[[#This Row],[Shortname]], Comp[], 18, FALSE)</f>
        <v>0</v>
      </c>
      <c r="AN639">
        <f>VLOOKUP(Table29[[#This Row],[Shortname]], Comp[], 19, FALSE)</f>
        <v>0</v>
      </c>
      <c r="AO639">
        <f>VLOOKUP(Table29[[#This Row],[Shortname]], Comp[], 20, FALSE)</f>
        <v>0</v>
      </c>
      <c r="AP639">
        <f>VLOOKUP(Table29[[#This Row],[Shortname]], Comp[], 21, FALSE)</f>
        <v>0</v>
      </c>
      <c r="AQ639">
        <f>VLOOKUP(Table29[[#This Row],[Shortname]], Comp[], 22, FALSE)</f>
        <v>0</v>
      </c>
      <c r="AR639">
        <f>VLOOKUP(Table29[[#This Row],[Shortname]], Comp[], 23, FALSE)</f>
        <v>0</v>
      </c>
      <c r="AS639">
        <f>VLOOKUP(Table29[[#This Row],[Shortname]], Comp[], 24, FALSE)</f>
        <v>0</v>
      </c>
      <c r="AT639">
        <f>VLOOKUP(Table29[[#This Row],[Shortname]], Comp[], 25, FALSE)</f>
        <v>0</v>
      </c>
      <c r="AU639">
        <f>VLOOKUP(Table29[[#This Row],[Shortname]], Comp[], 26, FALSE)</f>
        <v>0</v>
      </c>
      <c r="AV639">
        <f>VLOOKUP(Table29[[#This Row],[Shortname]], Comp[], 27, FALSE)</f>
        <v>0</v>
      </c>
      <c r="AW639">
        <f>VLOOKUP(Table29[[#This Row],[Shortname]], Comp[], 28, FALSE)</f>
        <v>0</v>
      </c>
      <c r="AX639">
        <f>VLOOKUP(Table29[[#This Row],[Shortname]], Comp[], 29, FALSE)</f>
        <v>0</v>
      </c>
      <c r="AY639">
        <f>VLOOKUP(Table29[[#This Row],[Shortname]], Comp[], 30, FALSE)</f>
        <v>0</v>
      </c>
      <c r="AZ639">
        <f>VLOOKUP(Table29[[#This Row],[Shortname]], Comp[], 31, FALSE)</f>
        <v>0</v>
      </c>
    </row>
    <row r="640" spans="1:52" x14ac:dyDescent="0.3">
      <c r="A640" t="s">
        <v>6502</v>
      </c>
      <c r="F640" t="s">
        <v>6503</v>
      </c>
      <c r="G640" t="s">
        <v>6504</v>
      </c>
      <c r="H640">
        <v>499.36</v>
      </c>
      <c r="I640">
        <v>2.1001000000000001E-5</v>
      </c>
      <c r="J640">
        <f>0.01/Table29[[#This Row],[Strain Rate (min) /s]]</f>
        <v>476.16780153326033</v>
      </c>
      <c r="K640">
        <f>LOG(Table29[[#This Row],[Time to 1% strain (s)]])</f>
        <v>2.677760025068848</v>
      </c>
      <c r="L640">
        <v>850</v>
      </c>
      <c r="P640" t="s">
        <v>7246</v>
      </c>
      <c r="Q640">
        <v>1250</v>
      </c>
      <c r="R640">
        <v>48</v>
      </c>
      <c r="S640">
        <v>900</v>
      </c>
      <c r="T640">
        <v>64</v>
      </c>
      <c r="W640">
        <v>1</v>
      </c>
      <c r="X640">
        <v>10</v>
      </c>
      <c r="Y640">
        <v>41.2</v>
      </c>
      <c r="AA640">
        <f>VLOOKUP(Table29[[#This Row],[Shortname]], Comp[], 6, FALSE)</f>
        <v>1088</v>
      </c>
      <c r="AB640" s="14">
        <f>VLOOKUP(Table29[[#This Row],[Shortname]], Comp[], 7, FALSE)</f>
        <v>49.7</v>
      </c>
      <c r="AC640">
        <f>VLOOKUP(Table29[[#This Row],[Shortname]], Comp[], 8, FALSE)</f>
        <v>29.2</v>
      </c>
      <c r="AD640">
        <f>VLOOKUP(Table29[[#This Row],[Shortname]], Comp[], 9, FALSE)</f>
        <v>11.1</v>
      </c>
      <c r="AE640">
        <f>VLOOKUP(Table29[[#This Row],[Shortname]], Comp[], 10, FALSE)</f>
        <v>4.2</v>
      </c>
      <c r="AF640">
        <f>VLOOKUP(Table29[[#This Row],[Shortname]], Comp[], 11, FALSE)</f>
        <v>5.8</v>
      </c>
      <c r="AG640">
        <f>VLOOKUP(Table29[[#This Row],[Shortname]], Comp[],12, FALSE)</f>
        <v>0</v>
      </c>
      <c r="AH640">
        <f>VLOOKUP(Table29[[#This Row],[Shortname]], Comp[], 13, FALSE)</f>
        <v>0</v>
      </c>
      <c r="AI640">
        <f>VLOOKUP(Table29[[#This Row],[Shortname]], Comp[], 14, FALSE)</f>
        <v>0</v>
      </c>
      <c r="AJ640">
        <f>VLOOKUP(Table29[[#This Row],[Shortname]], Comp[], 15, FALSE)</f>
        <v>0</v>
      </c>
      <c r="AK640">
        <f>VLOOKUP(Table29[[#This Row],[Shortname]], Comp[], 16, FALSE)</f>
        <v>0</v>
      </c>
      <c r="AL640">
        <f>VLOOKUP(Table29[[#This Row],[Shortname]], Comp[], 17, FALSE)</f>
        <v>0</v>
      </c>
      <c r="AM640">
        <f>VLOOKUP(Table29[[#This Row],[Shortname]], Comp[], 18, FALSE)</f>
        <v>0</v>
      </c>
      <c r="AN640">
        <f>VLOOKUP(Table29[[#This Row],[Shortname]], Comp[], 19, FALSE)</f>
        <v>0</v>
      </c>
      <c r="AO640">
        <f>VLOOKUP(Table29[[#This Row],[Shortname]], Comp[], 20, FALSE)</f>
        <v>0</v>
      </c>
      <c r="AP640">
        <f>VLOOKUP(Table29[[#This Row],[Shortname]], Comp[], 21, FALSE)</f>
        <v>0</v>
      </c>
      <c r="AQ640">
        <f>VLOOKUP(Table29[[#This Row],[Shortname]], Comp[], 22, FALSE)</f>
        <v>0</v>
      </c>
      <c r="AR640">
        <f>VLOOKUP(Table29[[#This Row],[Shortname]], Comp[], 23, FALSE)</f>
        <v>0</v>
      </c>
      <c r="AS640">
        <f>VLOOKUP(Table29[[#This Row],[Shortname]], Comp[], 24, FALSE)</f>
        <v>0</v>
      </c>
      <c r="AT640">
        <f>VLOOKUP(Table29[[#This Row],[Shortname]], Comp[], 25, FALSE)</f>
        <v>0</v>
      </c>
      <c r="AU640">
        <f>VLOOKUP(Table29[[#This Row],[Shortname]], Comp[], 26, FALSE)</f>
        <v>0</v>
      </c>
      <c r="AV640">
        <f>VLOOKUP(Table29[[#This Row],[Shortname]], Comp[], 27, FALSE)</f>
        <v>0</v>
      </c>
      <c r="AW640">
        <f>VLOOKUP(Table29[[#This Row],[Shortname]], Comp[], 28, FALSE)</f>
        <v>0</v>
      </c>
      <c r="AX640">
        <f>VLOOKUP(Table29[[#This Row],[Shortname]], Comp[], 29, FALSE)</f>
        <v>0</v>
      </c>
      <c r="AY640">
        <f>VLOOKUP(Table29[[#This Row],[Shortname]], Comp[], 30, FALSE)</f>
        <v>0</v>
      </c>
      <c r="AZ640">
        <f>VLOOKUP(Table29[[#This Row],[Shortname]], Comp[], 31, FALSE)</f>
        <v>0</v>
      </c>
    </row>
    <row r="641" spans="1:52" x14ac:dyDescent="0.3">
      <c r="A641" t="s">
        <v>6506</v>
      </c>
      <c r="F641" t="s">
        <v>6507</v>
      </c>
      <c r="G641" t="s">
        <v>6504</v>
      </c>
      <c r="H641">
        <v>250.33</v>
      </c>
      <c r="I641">
        <v>2.6553E-8</v>
      </c>
      <c r="J641">
        <f>0.01/Table29[[#This Row],[Strain Rate (min) /s]]</f>
        <v>376605.28000602568</v>
      </c>
      <c r="K641">
        <f>LOG(Table29[[#This Row],[Time to 1% strain (s)]])</f>
        <v>5.5758864045319649</v>
      </c>
      <c r="L641">
        <v>850</v>
      </c>
      <c r="P641" t="s">
        <v>7247</v>
      </c>
      <c r="Q641">
        <v>1250</v>
      </c>
      <c r="R641">
        <v>48</v>
      </c>
      <c r="S641">
        <v>900</v>
      </c>
      <c r="T641">
        <v>64</v>
      </c>
      <c r="W641">
        <v>1</v>
      </c>
      <c r="X641">
        <v>10</v>
      </c>
      <c r="Y641">
        <v>39.799999999999997</v>
      </c>
      <c r="AA641">
        <f>VLOOKUP(Table29[[#This Row],[Shortname]], Comp[], 6, FALSE)</f>
        <v>1089</v>
      </c>
      <c r="AB641" s="14">
        <f>VLOOKUP(Table29[[#This Row],[Shortname]], Comp[], 7, FALSE)</f>
        <v>45.9</v>
      </c>
      <c r="AC641">
        <f>VLOOKUP(Table29[[#This Row],[Shortname]], Comp[], 8, FALSE)</f>
        <v>29.2</v>
      </c>
      <c r="AD641">
        <f>VLOOKUP(Table29[[#This Row],[Shortname]], Comp[], 9, FALSE)</f>
        <v>10.9</v>
      </c>
      <c r="AE641">
        <f>VLOOKUP(Table29[[#This Row],[Shortname]], Comp[], 10, FALSE)</f>
        <v>4.0999999999999996</v>
      </c>
      <c r="AF641">
        <f>VLOOKUP(Table29[[#This Row],[Shortname]], Comp[], 11, FALSE)</f>
        <v>5.8</v>
      </c>
      <c r="AG641">
        <f>VLOOKUP(Table29[[#This Row],[Shortname]], Comp[],12, FALSE)</f>
        <v>0</v>
      </c>
      <c r="AH641">
        <f>VLOOKUP(Table29[[#This Row],[Shortname]], Comp[], 13, FALSE)</f>
        <v>0</v>
      </c>
      <c r="AI641">
        <f>VLOOKUP(Table29[[#This Row],[Shortname]], Comp[], 14, FALSE)</f>
        <v>0</v>
      </c>
      <c r="AJ641">
        <f>VLOOKUP(Table29[[#This Row],[Shortname]], Comp[], 15, FALSE)</f>
        <v>0</v>
      </c>
      <c r="AK641">
        <f>VLOOKUP(Table29[[#This Row],[Shortname]], Comp[], 16, FALSE)</f>
        <v>0</v>
      </c>
      <c r="AL641">
        <f>VLOOKUP(Table29[[#This Row],[Shortname]], Comp[], 17, FALSE)</f>
        <v>0</v>
      </c>
      <c r="AM641">
        <f>VLOOKUP(Table29[[#This Row],[Shortname]], Comp[], 18, FALSE)</f>
        <v>0</v>
      </c>
      <c r="AN641">
        <f>VLOOKUP(Table29[[#This Row],[Shortname]], Comp[], 19, FALSE)</f>
        <v>0</v>
      </c>
      <c r="AO641">
        <f>VLOOKUP(Table29[[#This Row],[Shortname]], Comp[], 20, FALSE)</f>
        <v>0</v>
      </c>
      <c r="AP641">
        <f>VLOOKUP(Table29[[#This Row],[Shortname]], Comp[], 21, FALSE)</f>
        <v>0</v>
      </c>
      <c r="AQ641">
        <f>VLOOKUP(Table29[[#This Row],[Shortname]], Comp[], 22, FALSE)</f>
        <v>0</v>
      </c>
      <c r="AR641">
        <f>VLOOKUP(Table29[[#This Row],[Shortname]], Comp[], 23, FALSE)</f>
        <v>4.0999999999999996</v>
      </c>
      <c r="AS641">
        <f>VLOOKUP(Table29[[#This Row],[Shortname]], Comp[], 24, FALSE)</f>
        <v>0</v>
      </c>
      <c r="AT641">
        <f>VLOOKUP(Table29[[#This Row],[Shortname]], Comp[], 25, FALSE)</f>
        <v>0</v>
      </c>
      <c r="AU641">
        <f>VLOOKUP(Table29[[#This Row],[Shortname]], Comp[], 26, FALSE)</f>
        <v>0</v>
      </c>
      <c r="AV641">
        <f>VLOOKUP(Table29[[#This Row],[Shortname]], Comp[], 27, FALSE)</f>
        <v>0</v>
      </c>
      <c r="AW641">
        <f>VLOOKUP(Table29[[#This Row],[Shortname]], Comp[], 28, FALSE)</f>
        <v>0</v>
      </c>
      <c r="AX641">
        <f>VLOOKUP(Table29[[#This Row],[Shortname]], Comp[], 29, FALSE)</f>
        <v>0</v>
      </c>
      <c r="AY641">
        <f>VLOOKUP(Table29[[#This Row],[Shortname]], Comp[], 30, FALSE)</f>
        <v>0</v>
      </c>
      <c r="AZ641">
        <f>VLOOKUP(Table29[[#This Row],[Shortname]], Comp[], 31, FALSE)</f>
        <v>0</v>
      </c>
    </row>
    <row r="642" spans="1:52" x14ac:dyDescent="0.3">
      <c r="A642" t="s">
        <v>6506</v>
      </c>
      <c r="F642" t="s">
        <v>6507</v>
      </c>
      <c r="G642" t="s">
        <v>6504</v>
      </c>
      <c r="H642">
        <v>299.22000000000003</v>
      </c>
      <c r="I642">
        <v>1.5312000000000001E-7</v>
      </c>
      <c r="J642">
        <f>0.01/Table29[[#This Row],[Strain Rate (min) /s]]</f>
        <v>65308.254963427375</v>
      </c>
      <c r="K642">
        <f>LOG(Table29[[#This Row],[Time to 1% strain (s)]])</f>
        <v>4.8149680795672314</v>
      </c>
      <c r="L642">
        <v>850</v>
      </c>
      <c r="P642" t="s">
        <v>7247</v>
      </c>
      <c r="Q642">
        <v>1250</v>
      </c>
      <c r="R642">
        <v>48</v>
      </c>
      <c r="S642">
        <v>900</v>
      </c>
      <c r="T642">
        <v>64</v>
      </c>
      <c r="W642">
        <v>1</v>
      </c>
      <c r="X642">
        <v>10</v>
      </c>
      <c r="Y642">
        <v>39.799999999999997</v>
      </c>
      <c r="AA642">
        <f>VLOOKUP(Table29[[#This Row],[Shortname]], Comp[], 6, FALSE)</f>
        <v>1089</v>
      </c>
      <c r="AB642" s="14">
        <f>VLOOKUP(Table29[[#This Row],[Shortname]], Comp[], 7, FALSE)</f>
        <v>45.9</v>
      </c>
      <c r="AC642">
        <f>VLOOKUP(Table29[[#This Row],[Shortname]], Comp[], 8, FALSE)</f>
        <v>29.2</v>
      </c>
      <c r="AD642">
        <f>VLOOKUP(Table29[[#This Row],[Shortname]], Comp[], 9, FALSE)</f>
        <v>10.9</v>
      </c>
      <c r="AE642">
        <f>VLOOKUP(Table29[[#This Row],[Shortname]], Comp[], 10, FALSE)</f>
        <v>4.0999999999999996</v>
      </c>
      <c r="AF642">
        <f>VLOOKUP(Table29[[#This Row],[Shortname]], Comp[], 11, FALSE)</f>
        <v>5.8</v>
      </c>
      <c r="AG642">
        <f>VLOOKUP(Table29[[#This Row],[Shortname]], Comp[],12, FALSE)</f>
        <v>0</v>
      </c>
      <c r="AH642">
        <f>VLOOKUP(Table29[[#This Row],[Shortname]], Comp[], 13, FALSE)</f>
        <v>0</v>
      </c>
      <c r="AI642">
        <f>VLOOKUP(Table29[[#This Row],[Shortname]], Comp[], 14, FALSE)</f>
        <v>0</v>
      </c>
      <c r="AJ642">
        <f>VLOOKUP(Table29[[#This Row],[Shortname]], Comp[], 15, FALSE)</f>
        <v>0</v>
      </c>
      <c r="AK642">
        <f>VLOOKUP(Table29[[#This Row],[Shortname]], Comp[], 16, FALSE)</f>
        <v>0</v>
      </c>
      <c r="AL642">
        <f>VLOOKUP(Table29[[#This Row],[Shortname]], Comp[], 17, FALSE)</f>
        <v>0</v>
      </c>
      <c r="AM642">
        <f>VLOOKUP(Table29[[#This Row],[Shortname]], Comp[], 18, FALSE)</f>
        <v>0</v>
      </c>
      <c r="AN642">
        <f>VLOOKUP(Table29[[#This Row],[Shortname]], Comp[], 19, FALSE)</f>
        <v>0</v>
      </c>
      <c r="AO642">
        <f>VLOOKUP(Table29[[#This Row],[Shortname]], Comp[], 20, FALSE)</f>
        <v>0</v>
      </c>
      <c r="AP642">
        <f>VLOOKUP(Table29[[#This Row],[Shortname]], Comp[], 21, FALSE)</f>
        <v>0</v>
      </c>
      <c r="AQ642">
        <f>VLOOKUP(Table29[[#This Row],[Shortname]], Comp[], 22, FALSE)</f>
        <v>0</v>
      </c>
      <c r="AR642">
        <f>VLOOKUP(Table29[[#This Row],[Shortname]], Comp[], 23, FALSE)</f>
        <v>4.0999999999999996</v>
      </c>
      <c r="AS642">
        <f>VLOOKUP(Table29[[#This Row],[Shortname]], Comp[], 24, FALSE)</f>
        <v>0</v>
      </c>
      <c r="AT642">
        <f>VLOOKUP(Table29[[#This Row],[Shortname]], Comp[], 25, FALSE)</f>
        <v>0</v>
      </c>
      <c r="AU642">
        <f>VLOOKUP(Table29[[#This Row],[Shortname]], Comp[], 26, FALSE)</f>
        <v>0</v>
      </c>
      <c r="AV642">
        <f>VLOOKUP(Table29[[#This Row],[Shortname]], Comp[], 27, FALSE)</f>
        <v>0</v>
      </c>
      <c r="AW642">
        <f>VLOOKUP(Table29[[#This Row],[Shortname]], Comp[], 28, FALSE)</f>
        <v>0</v>
      </c>
      <c r="AX642">
        <f>VLOOKUP(Table29[[#This Row],[Shortname]], Comp[], 29, FALSE)</f>
        <v>0</v>
      </c>
      <c r="AY642">
        <f>VLOOKUP(Table29[[#This Row],[Shortname]], Comp[], 30, FALSE)</f>
        <v>0</v>
      </c>
      <c r="AZ642">
        <f>VLOOKUP(Table29[[#This Row],[Shortname]], Comp[], 31, FALSE)</f>
        <v>0</v>
      </c>
    </row>
    <row r="643" spans="1:52" x14ac:dyDescent="0.3">
      <c r="A643" t="s">
        <v>6506</v>
      </c>
      <c r="F643" t="s">
        <v>6507</v>
      </c>
      <c r="G643" t="s">
        <v>6504</v>
      </c>
      <c r="H643">
        <v>349.95</v>
      </c>
      <c r="I643">
        <v>9.5326E-7</v>
      </c>
      <c r="J643">
        <f>0.01/Table29[[#This Row],[Strain Rate (min) /s]]</f>
        <v>10490.317437005644</v>
      </c>
      <c r="K643">
        <f>LOG(Table29[[#This Row],[Time to 1% strain (s)]])</f>
        <v>4.0207886301434188</v>
      </c>
      <c r="L643">
        <v>850</v>
      </c>
      <c r="P643" t="s">
        <v>7247</v>
      </c>
      <c r="Q643">
        <v>1250</v>
      </c>
      <c r="R643">
        <v>48</v>
      </c>
      <c r="S643">
        <v>900</v>
      </c>
      <c r="T643">
        <v>64</v>
      </c>
      <c r="W643">
        <v>1</v>
      </c>
      <c r="X643">
        <v>10</v>
      </c>
      <c r="Y643">
        <v>39.799999999999997</v>
      </c>
      <c r="AA643">
        <f>VLOOKUP(Table29[[#This Row],[Shortname]], Comp[], 6, FALSE)</f>
        <v>1089</v>
      </c>
      <c r="AB643" s="14">
        <f>VLOOKUP(Table29[[#This Row],[Shortname]], Comp[], 7, FALSE)</f>
        <v>45.9</v>
      </c>
      <c r="AC643">
        <f>VLOOKUP(Table29[[#This Row],[Shortname]], Comp[], 8, FALSE)</f>
        <v>29.2</v>
      </c>
      <c r="AD643">
        <f>VLOOKUP(Table29[[#This Row],[Shortname]], Comp[], 9, FALSE)</f>
        <v>10.9</v>
      </c>
      <c r="AE643">
        <f>VLOOKUP(Table29[[#This Row],[Shortname]], Comp[], 10, FALSE)</f>
        <v>4.0999999999999996</v>
      </c>
      <c r="AF643">
        <f>VLOOKUP(Table29[[#This Row],[Shortname]], Comp[], 11, FALSE)</f>
        <v>5.8</v>
      </c>
      <c r="AG643">
        <f>VLOOKUP(Table29[[#This Row],[Shortname]], Comp[],12, FALSE)</f>
        <v>0</v>
      </c>
      <c r="AH643">
        <f>VLOOKUP(Table29[[#This Row],[Shortname]], Comp[], 13, FALSE)</f>
        <v>0</v>
      </c>
      <c r="AI643">
        <f>VLOOKUP(Table29[[#This Row],[Shortname]], Comp[], 14, FALSE)</f>
        <v>0</v>
      </c>
      <c r="AJ643">
        <f>VLOOKUP(Table29[[#This Row],[Shortname]], Comp[], 15, FALSE)</f>
        <v>0</v>
      </c>
      <c r="AK643">
        <f>VLOOKUP(Table29[[#This Row],[Shortname]], Comp[], 16, FALSE)</f>
        <v>0</v>
      </c>
      <c r="AL643">
        <f>VLOOKUP(Table29[[#This Row],[Shortname]], Comp[], 17, FALSE)</f>
        <v>0</v>
      </c>
      <c r="AM643">
        <f>VLOOKUP(Table29[[#This Row],[Shortname]], Comp[], 18, FALSE)</f>
        <v>0</v>
      </c>
      <c r="AN643">
        <f>VLOOKUP(Table29[[#This Row],[Shortname]], Comp[], 19, FALSE)</f>
        <v>0</v>
      </c>
      <c r="AO643">
        <f>VLOOKUP(Table29[[#This Row],[Shortname]], Comp[], 20, FALSE)</f>
        <v>0</v>
      </c>
      <c r="AP643">
        <f>VLOOKUP(Table29[[#This Row],[Shortname]], Comp[], 21, FALSE)</f>
        <v>0</v>
      </c>
      <c r="AQ643">
        <f>VLOOKUP(Table29[[#This Row],[Shortname]], Comp[], 22, FALSE)</f>
        <v>0</v>
      </c>
      <c r="AR643">
        <f>VLOOKUP(Table29[[#This Row],[Shortname]], Comp[], 23, FALSE)</f>
        <v>4.0999999999999996</v>
      </c>
      <c r="AS643">
        <f>VLOOKUP(Table29[[#This Row],[Shortname]], Comp[], 24, FALSE)</f>
        <v>0</v>
      </c>
      <c r="AT643">
        <f>VLOOKUP(Table29[[#This Row],[Shortname]], Comp[], 25, FALSE)</f>
        <v>0</v>
      </c>
      <c r="AU643">
        <f>VLOOKUP(Table29[[#This Row],[Shortname]], Comp[], 26, FALSE)</f>
        <v>0</v>
      </c>
      <c r="AV643">
        <f>VLOOKUP(Table29[[#This Row],[Shortname]], Comp[], 27, FALSE)</f>
        <v>0</v>
      </c>
      <c r="AW643">
        <f>VLOOKUP(Table29[[#This Row],[Shortname]], Comp[], 28, FALSE)</f>
        <v>0</v>
      </c>
      <c r="AX643">
        <f>VLOOKUP(Table29[[#This Row],[Shortname]], Comp[], 29, FALSE)</f>
        <v>0</v>
      </c>
      <c r="AY643">
        <f>VLOOKUP(Table29[[#This Row],[Shortname]], Comp[], 30, FALSE)</f>
        <v>0</v>
      </c>
      <c r="AZ643">
        <f>VLOOKUP(Table29[[#This Row],[Shortname]], Comp[], 31, FALSE)</f>
        <v>0</v>
      </c>
    </row>
    <row r="644" spans="1:52" x14ac:dyDescent="0.3">
      <c r="A644" t="s">
        <v>6506</v>
      </c>
      <c r="F644" t="s">
        <v>6507</v>
      </c>
      <c r="G644" t="s">
        <v>6504</v>
      </c>
      <c r="H644">
        <v>398.39</v>
      </c>
      <c r="I644">
        <v>4.0852999999999997E-6</v>
      </c>
      <c r="J644">
        <f>0.01/Table29[[#This Row],[Strain Rate (min) /s]]</f>
        <v>2447.8006511149733</v>
      </c>
      <c r="K644">
        <f>LOG(Table29[[#This Row],[Time to 1% strain (s)]])</f>
        <v>3.3887760459710625</v>
      </c>
      <c r="L644">
        <v>850</v>
      </c>
      <c r="P644" t="s">
        <v>7247</v>
      </c>
      <c r="Q644">
        <v>1250</v>
      </c>
      <c r="R644">
        <v>48</v>
      </c>
      <c r="S644">
        <v>900</v>
      </c>
      <c r="T644">
        <v>64</v>
      </c>
      <c r="W644">
        <v>1</v>
      </c>
      <c r="X644">
        <v>10</v>
      </c>
      <c r="Y644">
        <v>39.799999999999997</v>
      </c>
      <c r="AA644">
        <f>VLOOKUP(Table29[[#This Row],[Shortname]], Comp[], 6, FALSE)</f>
        <v>1089</v>
      </c>
      <c r="AB644" s="14">
        <f>VLOOKUP(Table29[[#This Row],[Shortname]], Comp[], 7, FALSE)</f>
        <v>45.9</v>
      </c>
      <c r="AC644">
        <f>VLOOKUP(Table29[[#This Row],[Shortname]], Comp[], 8, FALSE)</f>
        <v>29.2</v>
      </c>
      <c r="AD644">
        <f>VLOOKUP(Table29[[#This Row],[Shortname]], Comp[], 9, FALSE)</f>
        <v>10.9</v>
      </c>
      <c r="AE644">
        <f>VLOOKUP(Table29[[#This Row],[Shortname]], Comp[], 10, FALSE)</f>
        <v>4.0999999999999996</v>
      </c>
      <c r="AF644">
        <f>VLOOKUP(Table29[[#This Row],[Shortname]], Comp[], 11, FALSE)</f>
        <v>5.8</v>
      </c>
      <c r="AG644">
        <f>VLOOKUP(Table29[[#This Row],[Shortname]], Comp[],12, FALSE)</f>
        <v>0</v>
      </c>
      <c r="AH644">
        <f>VLOOKUP(Table29[[#This Row],[Shortname]], Comp[], 13, FALSE)</f>
        <v>0</v>
      </c>
      <c r="AI644">
        <f>VLOOKUP(Table29[[#This Row],[Shortname]], Comp[], 14, FALSE)</f>
        <v>0</v>
      </c>
      <c r="AJ644">
        <f>VLOOKUP(Table29[[#This Row],[Shortname]], Comp[], 15, FALSE)</f>
        <v>0</v>
      </c>
      <c r="AK644">
        <f>VLOOKUP(Table29[[#This Row],[Shortname]], Comp[], 16, FALSE)</f>
        <v>0</v>
      </c>
      <c r="AL644">
        <f>VLOOKUP(Table29[[#This Row],[Shortname]], Comp[], 17, FALSE)</f>
        <v>0</v>
      </c>
      <c r="AM644">
        <f>VLOOKUP(Table29[[#This Row],[Shortname]], Comp[], 18, FALSE)</f>
        <v>0</v>
      </c>
      <c r="AN644">
        <f>VLOOKUP(Table29[[#This Row],[Shortname]], Comp[], 19, FALSE)</f>
        <v>0</v>
      </c>
      <c r="AO644">
        <f>VLOOKUP(Table29[[#This Row],[Shortname]], Comp[], 20, FALSE)</f>
        <v>0</v>
      </c>
      <c r="AP644">
        <f>VLOOKUP(Table29[[#This Row],[Shortname]], Comp[], 21, FALSE)</f>
        <v>0</v>
      </c>
      <c r="AQ644">
        <f>VLOOKUP(Table29[[#This Row],[Shortname]], Comp[], 22, FALSE)</f>
        <v>0</v>
      </c>
      <c r="AR644">
        <f>VLOOKUP(Table29[[#This Row],[Shortname]], Comp[], 23, FALSE)</f>
        <v>4.0999999999999996</v>
      </c>
      <c r="AS644">
        <f>VLOOKUP(Table29[[#This Row],[Shortname]], Comp[], 24, FALSE)</f>
        <v>0</v>
      </c>
      <c r="AT644">
        <f>VLOOKUP(Table29[[#This Row],[Shortname]], Comp[], 25, FALSE)</f>
        <v>0</v>
      </c>
      <c r="AU644">
        <f>VLOOKUP(Table29[[#This Row],[Shortname]], Comp[], 26, FALSE)</f>
        <v>0</v>
      </c>
      <c r="AV644">
        <f>VLOOKUP(Table29[[#This Row],[Shortname]], Comp[], 27, FALSE)</f>
        <v>0</v>
      </c>
      <c r="AW644">
        <f>VLOOKUP(Table29[[#This Row],[Shortname]], Comp[], 28, FALSE)</f>
        <v>0</v>
      </c>
      <c r="AX644">
        <f>VLOOKUP(Table29[[#This Row],[Shortname]], Comp[], 29, FALSE)</f>
        <v>0</v>
      </c>
      <c r="AY644">
        <f>VLOOKUP(Table29[[#This Row],[Shortname]], Comp[], 30, FALSE)</f>
        <v>0</v>
      </c>
      <c r="AZ644">
        <f>VLOOKUP(Table29[[#This Row],[Shortname]], Comp[], 31, FALSE)</f>
        <v>0</v>
      </c>
    </row>
    <row r="645" spans="1:52" x14ac:dyDescent="0.3">
      <c r="A645" t="s">
        <v>6506</v>
      </c>
      <c r="F645" t="s">
        <v>6507</v>
      </c>
      <c r="G645" t="s">
        <v>6504</v>
      </c>
      <c r="H645">
        <v>449.47</v>
      </c>
      <c r="I645">
        <v>1.6531000000000001E-5</v>
      </c>
      <c r="J645">
        <f>0.01/Table29[[#This Row],[Strain Rate (min) /s]]</f>
        <v>604.92408202770548</v>
      </c>
      <c r="K645">
        <f>LOG(Table29[[#This Row],[Time to 1% strain (s)]])</f>
        <v>2.781700874114827</v>
      </c>
      <c r="L645">
        <v>850</v>
      </c>
      <c r="P645" t="s">
        <v>7247</v>
      </c>
      <c r="Q645">
        <v>1250</v>
      </c>
      <c r="R645">
        <v>48</v>
      </c>
      <c r="S645">
        <v>900</v>
      </c>
      <c r="T645">
        <v>64</v>
      </c>
      <c r="W645">
        <v>1</v>
      </c>
      <c r="X645">
        <v>10</v>
      </c>
      <c r="Y645">
        <v>39.799999999999997</v>
      </c>
      <c r="AA645">
        <f>VLOOKUP(Table29[[#This Row],[Shortname]], Comp[], 6, FALSE)</f>
        <v>1089</v>
      </c>
      <c r="AB645" s="14">
        <f>VLOOKUP(Table29[[#This Row],[Shortname]], Comp[], 7, FALSE)</f>
        <v>45.9</v>
      </c>
      <c r="AC645">
        <f>VLOOKUP(Table29[[#This Row],[Shortname]], Comp[], 8, FALSE)</f>
        <v>29.2</v>
      </c>
      <c r="AD645">
        <f>VLOOKUP(Table29[[#This Row],[Shortname]], Comp[], 9, FALSE)</f>
        <v>10.9</v>
      </c>
      <c r="AE645">
        <f>VLOOKUP(Table29[[#This Row],[Shortname]], Comp[], 10, FALSE)</f>
        <v>4.0999999999999996</v>
      </c>
      <c r="AF645">
        <f>VLOOKUP(Table29[[#This Row],[Shortname]], Comp[], 11, FALSE)</f>
        <v>5.8</v>
      </c>
      <c r="AG645">
        <f>VLOOKUP(Table29[[#This Row],[Shortname]], Comp[],12, FALSE)</f>
        <v>0</v>
      </c>
      <c r="AH645">
        <f>VLOOKUP(Table29[[#This Row],[Shortname]], Comp[], 13, FALSE)</f>
        <v>0</v>
      </c>
      <c r="AI645">
        <f>VLOOKUP(Table29[[#This Row],[Shortname]], Comp[], 14, FALSE)</f>
        <v>0</v>
      </c>
      <c r="AJ645">
        <f>VLOOKUP(Table29[[#This Row],[Shortname]], Comp[], 15, FALSE)</f>
        <v>0</v>
      </c>
      <c r="AK645">
        <f>VLOOKUP(Table29[[#This Row],[Shortname]], Comp[], 16, FALSE)</f>
        <v>0</v>
      </c>
      <c r="AL645">
        <f>VLOOKUP(Table29[[#This Row],[Shortname]], Comp[], 17, FALSE)</f>
        <v>0</v>
      </c>
      <c r="AM645">
        <f>VLOOKUP(Table29[[#This Row],[Shortname]], Comp[], 18, FALSE)</f>
        <v>0</v>
      </c>
      <c r="AN645">
        <f>VLOOKUP(Table29[[#This Row],[Shortname]], Comp[], 19, FALSE)</f>
        <v>0</v>
      </c>
      <c r="AO645">
        <f>VLOOKUP(Table29[[#This Row],[Shortname]], Comp[], 20, FALSE)</f>
        <v>0</v>
      </c>
      <c r="AP645">
        <f>VLOOKUP(Table29[[#This Row],[Shortname]], Comp[], 21, FALSE)</f>
        <v>0</v>
      </c>
      <c r="AQ645">
        <f>VLOOKUP(Table29[[#This Row],[Shortname]], Comp[], 22, FALSE)</f>
        <v>0</v>
      </c>
      <c r="AR645">
        <f>VLOOKUP(Table29[[#This Row],[Shortname]], Comp[], 23, FALSE)</f>
        <v>4.0999999999999996</v>
      </c>
      <c r="AS645">
        <f>VLOOKUP(Table29[[#This Row],[Shortname]], Comp[], 24, FALSE)</f>
        <v>0</v>
      </c>
      <c r="AT645">
        <f>VLOOKUP(Table29[[#This Row],[Shortname]], Comp[], 25, FALSE)</f>
        <v>0</v>
      </c>
      <c r="AU645">
        <f>VLOOKUP(Table29[[#This Row],[Shortname]], Comp[], 26, FALSE)</f>
        <v>0</v>
      </c>
      <c r="AV645">
        <f>VLOOKUP(Table29[[#This Row],[Shortname]], Comp[], 27, FALSE)</f>
        <v>0</v>
      </c>
      <c r="AW645">
        <f>VLOOKUP(Table29[[#This Row],[Shortname]], Comp[], 28, FALSE)</f>
        <v>0</v>
      </c>
      <c r="AX645">
        <f>VLOOKUP(Table29[[#This Row],[Shortname]], Comp[], 29, FALSE)</f>
        <v>0</v>
      </c>
      <c r="AY645">
        <f>VLOOKUP(Table29[[#This Row],[Shortname]], Comp[], 30, FALSE)</f>
        <v>0</v>
      </c>
      <c r="AZ645">
        <f>VLOOKUP(Table29[[#This Row],[Shortname]], Comp[], 31, FALSE)</f>
        <v>0</v>
      </c>
    </row>
    <row r="646" spans="1:52" x14ac:dyDescent="0.3">
      <c r="A646" t="s">
        <v>6506</v>
      </c>
      <c r="F646" t="s">
        <v>6507</v>
      </c>
      <c r="G646" t="s">
        <v>6504</v>
      </c>
      <c r="H646">
        <v>497.44</v>
      </c>
      <c r="I646">
        <v>8.0234999999999993E-5</v>
      </c>
      <c r="J646">
        <f>0.01/Table29[[#This Row],[Strain Rate (min) /s]]</f>
        <v>124.63388795413474</v>
      </c>
      <c r="K646">
        <f>LOG(Table29[[#This Row],[Time to 1% strain (s)]])</f>
        <v>2.0956361430493016</v>
      </c>
      <c r="L646">
        <v>850</v>
      </c>
      <c r="P646" t="s">
        <v>7247</v>
      </c>
      <c r="Q646">
        <v>1250</v>
      </c>
      <c r="R646">
        <v>48</v>
      </c>
      <c r="S646">
        <v>900</v>
      </c>
      <c r="T646">
        <v>64</v>
      </c>
      <c r="W646">
        <v>1</v>
      </c>
      <c r="X646">
        <v>10</v>
      </c>
      <c r="Y646">
        <v>39.799999999999997</v>
      </c>
      <c r="AA646">
        <f>VLOOKUP(Table29[[#This Row],[Shortname]], Comp[], 6, FALSE)</f>
        <v>1089</v>
      </c>
      <c r="AB646" s="14">
        <f>VLOOKUP(Table29[[#This Row],[Shortname]], Comp[], 7, FALSE)</f>
        <v>45.9</v>
      </c>
      <c r="AC646">
        <f>VLOOKUP(Table29[[#This Row],[Shortname]], Comp[], 8, FALSE)</f>
        <v>29.2</v>
      </c>
      <c r="AD646">
        <f>VLOOKUP(Table29[[#This Row],[Shortname]], Comp[], 9, FALSE)</f>
        <v>10.9</v>
      </c>
      <c r="AE646">
        <f>VLOOKUP(Table29[[#This Row],[Shortname]], Comp[], 10, FALSE)</f>
        <v>4.0999999999999996</v>
      </c>
      <c r="AF646">
        <f>VLOOKUP(Table29[[#This Row],[Shortname]], Comp[], 11, FALSE)</f>
        <v>5.8</v>
      </c>
      <c r="AG646">
        <f>VLOOKUP(Table29[[#This Row],[Shortname]], Comp[],12, FALSE)</f>
        <v>0</v>
      </c>
      <c r="AH646">
        <f>VLOOKUP(Table29[[#This Row],[Shortname]], Comp[], 13, FALSE)</f>
        <v>0</v>
      </c>
      <c r="AI646">
        <f>VLOOKUP(Table29[[#This Row],[Shortname]], Comp[], 14, FALSE)</f>
        <v>0</v>
      </c>
      <c r="AJ646">
        <f>VLOOKUP(Table29[[#This Row],[Shortname]], Comp[], 15, FALSE)</f>
        <v>0</v>
      </c>
      <c r="AK646">
        <f>VLOOKUP(Table29[[#This Row],[Shortname]], Comp[], 16, FALSE)</f>
        <v>0</v>
      </c>
      <c r="AL646">
        <f>VLOOKUP(Table29[[#This Row],[Shortname]], Comp[], 17, FALSE)</f>
        <v>0</v>
      </c>
      <c r="AM646">
        <f>VLOOKUP(Table29[[#This Row],[Shortname]], Comp[], 18, FALSE)</f>
        <v>0</v>
      </c>
      <c r="AN646">
        <f>VLOOKUP(Table29[[#This Row],[Shortname]], Comp[], 19, FALSE)</f>
        <v>0</v>
      </c>
      <c r="AO646">
        <f>VLOOKUP(Table29[[#This Row],[Shortname]], Comp[], 20, FALSE)</f>
        <v>0</v>
      </c>
      <c r="AP646">
        <f>VLOOKUP(Table29[[#This Row],[Shortname]], Comp[], 21, FALSE)</f>
        <v>0</v>
      </c>
      <c r="AQ646">
        <f>VLOOKUP(Table29[[#This Row],[Shortname]], Comp[], 22, FALSE)</f>
        <v>0</v>
      </c>
      <c r="AR646">
        <f>VLOOKUP(Table29[[#This Row],[Shortname]], Comp[], 23, FALSE)</f>
        <v>4.0999999999999996</v>
      </c>
      <c r="AS646">
        <f>VLOOKUP(Table29[[#This Row],[Shortname]], Comp[], 24, FALSE)</f>
        <v>0</v>
      </c>
      <c r="AT646">
        <f>VLOOKUP(Table29[[#This Row],[Shortname]], Comp[], 25, FALSE)</f>
        <v>0</v>
      </c>
      <c r="AU646">
        <f>VLOOKUP(Table29[[#This Row],[Shortname]], Comp[], 26, FALSE)</f>
        <v>0</v>
      </c>
      <c r="AV646">
        <f>VLOOKUP(Table29[[#This Row],[Shortname]], Comp[], 27, FALSE)</f>
        <v>0</v>
      </c>
      <c r="AW646">
        <f>VLOOKUP(Table29[[#This Row],[Shortname]], Comp[], 28, FALSE)</f>
        <v>0</v>
      </c>
      <c r="AX646">
        <f>VLOOKUP(Table29[[#This Row],[Shortname]], Comp[], 29, FALSE)</f>
        <v>0</v>
      </c>
      <c r="AY646">
        <f>VLOOKUP(Table29[[#This Row],[Shortname]], Comp[], 30, FALSE)</f>
        <v>0</v>
      </c>
      <c r="AZ646">
        <f>VLOOKUP(Table29[[#This Row],[Shortname]], Comp[], 31, FALSE)</f>
        <v>0</v>
      </c>
    </row>
    <row r="647" spans="1:52" x14ac:dyDescent="0.3">
      <c r="A647" t="s">
        <v>6510</v>
      </c>
      <c r="F647" t="s">
        <v>6511</v>
      </c>
      <c r="G647" t="s">
        <v>6504</v>
      </c>
      <c r="H647">
        <v>252.91</v>
      </c>
      <c r="I647">
        <v>2.1612999999999999E-7</v>
      </c>
      <c r="J647">
        <f>0.01/Table29[[#This Row],[Strain Rate (min) /s]]</f>
        <v>46268.449544255775</v>
      </c>
      <c r="K647">
        <f>LOG(Table29[[#This Row],[Time to 1% strain (s)]])</f>
        <v>4.6652849465356416</v>
      </c>
      <c r="L647">
        <v>850</v>
      </c>
      <c r="P647" t="s">
        <v>7248</v>
      </c>
      <c r="Q647">
        <v>1250</v>
      </c>
      <c r="R647">
        <v>48</v>
      </c>
      <c r="S647">
        <v>900</v>
      </c>
      <c r="T647">
        <v>64</v>
      </c>
      <c r="W647">
        <v>1</v>
      </c>
      <c r="X647">
        <v>10</v>
      </c>
      <c r="Y647">
        <v>29.6</v>
      </c>
      <c r="AA647">
        <f>VLOOKUP(Table29[[#This Row],[Shortname]], Comp[], 6, FALSE)</f>
        <v>1090</v>
      </c>
      <c r="AB647" s="14">
        <f>VLOOKUP(Table29[[#This Row],[Shortname]], Comp[], 7, FALSE)</f>
        <v>41.899999999999991</v>
      </c>
      <c r="AC647">
        <f>VLOOKUP(Table29[[#This Row],[Shortname]], Comp[], 8, FALSE)</f>
        <v>29.3</v>
      </c>
      <c r="AD647">
        <f>VLOOKUP(Table29[[#This Row],[Shortname]], Comp[], 9, FALSE)</f>
        <v>10.8</v>
      </c>
      <c r="AE647">
        <f>VLOOKUP(Table29[[#This Row],[Shortname]], Comp[], 10, FALSE)</f>
        <v>4.0999999999999996</v>
      </c>
      <c r="AF647">
        <f>VLOOKUP(Table29[[#This Row],[Shortname]], Comp[], 11, FALSE)</f>
        <v>5.7</v>
      </c>
      <c r="AG647">
        <f>VLOOKUP(Table29[[#This Row],[Shortname]], Comp[],12, FALSE)</f>
        <v>0</v>
      </c>
      <c r="AH647">
        <f>VLOOKUP(Table29[[#This Row],[Shortname]], Comp[], 13, FALSE)</f>
        <v>0</v>
      </c>
      <c r="AI647">
        <f>VLOOKUP(Table29[[#This Row],[Shortname]], Comp[], 14, FALSE)</f>
        <v>0</v>
      </c>
      <c r="AJ647">
        <f>VLOOKUP(Table29[[#This Row],[Shortname]], Comp[], 15, FALSE)</f>
        <v>0</v>
      </c>
      <c r="AK647">
        <f>VLOOKUP(Table29[[#This Row],[Shortname]], Comp[], 16, FALSE)</f>
        <v>0</v>
      </c>
      <c r="AL647">
        <f>VLOOKUP(Table29[[#This Row],[Shortname]], Comp[], 17, FALSE)</f>
        <v>0</v>
      </c>
      <c r="AM647">
        <f>VLOOKUP(Table29[[#This Row],[Shortname]], Comp[], 18, FALSE)</f>
        <v>0</v>
      </c>
      <c r="AN647">
        <f>VLOOKUP(Table29[[#This Row],[Shortname]], Comp[], 19, FALSE)</f>
        <v>0</v>
      </c>
      <c r="AO647">
        <f>VLOOKUP(Table29[[#This Row],[Shortname]], Comp[], 20, FALSE)</f>
        <v>0</v>
      </c>
      <c r="AP647">
        <f>VLOOKUP(Table29[[#This Row],[Shortname]], Comp[], 21, FALSE)</f>
        <v>0</v>
      </c>
      <c r="AQ647">
        <f>VLOOKUP(Table29[[#This Row],[Shortname]], Comp[], 22, FALSE)</f>
        <v>0</v>
      </c>
      <c r="AR647">
        <f>VLOOKUP(Table29[[#This Row],[Shortname]], Comp[], 23, FALSE)</f>
        <v>8.1999999999999993</v>
      </c>
      <c r="AS647">
        <f>VLOOKUP(Table29[[#This Row],[Shortname]], Comp[], 24, FALSE)</f>
        <v>0</v>
      </c>
      <c r="AT647">
        <f>VLOOKUP(Table29[[#This Row],[Shortname]], Comp[], 25, FALSE)</f>
        <v>0</v>
      </c>
      <c r="AU647">
        <f>VLOOKUP(Table29[[#This Row],[Shortname]], Comp[], 26, FALSE)</f>
        <v>0</v>
      </c>
      <c r="AV647">
        <f>VLOOKUP(Table29[[#This Row],[Shortname]], Comp[], 27, FALSE)</f>
        <v>0</v>
      </c>
      <c r="AW647">
        <f>VLOOKUP(Table29[[#This Row],[Shortname]], Comp[], 28, FALSE)</f>
        <v>0</v>
      </c>
      <c r="AX647">
        <f>VLOOKUP(Table29[[#This Row],[Shortname]], Comp[], 29, FALSE)</f>
        <v>0</v>
      </c>
      <c r="AY647">
        <f>VLOOKUP(Table29[[#This Row],[Shortname]], Comp[], 30, FALSE)</f>
        <v>0</v>
      </c>
      <c r="AZ647">
        <f>VLOOKUP(Table29[[#This Row],[Shortname]], Comp[], 31, FALSE)</f>
        <v>0</v>
      </c>
    </row>
    <row r="648" spans="1:52" x14ac:dyDescent="0.3">
      <c r="A648" t="s">
        <v>6510</v>
      </c>
      <c r="F648" t="s">
        <v>6511</v>
      </c>
      <c r="G648" t="s">
        <v>6504</v>
      </c>
      <c r="H648">
        <v>298.83999999999997</v>
      </c>
      <c r="I648">
        <v>1.0192999999999999E-6</v>
      </c>
      <c r="J648">
        <f>0.01/Table29[[#This Row],[Strain Rate (min) /s]]</f>
        <v>9810.6543706465236</v>
      </c>
      <c r="K648">
        <f>LOG(Table29[[#This Row],[Time to 1% strain (s)]])</f>
        <v>3.9916979757879987</v>
      </c>
      <c r="L648">
        <v>850</v>
      </c>
      <c r="P648" t="s">
        <v>7248</v>
      </c>
      <c r="Q648">
        <v>1250</v>
      </c>
      <c r="R648">
        <v>48</v>
      </c>
      <c r="S648">
        <v>900</v>
      </c>
      <c r="T648">
        <v>64</v>
      </c>
      <c r="W648">
        <v>1</v>
      </c>
      <c r="X648">
        <v>10</v>
      </c>
      <c r="Y648">
        <v>29.6</v>
      </c>
      <c r="AA648">
        <f>VLOOKUP(Table29[[#This Row],[Shortname]], Comp[], 6, FALSE)</f>
        <v>1090</v>
      </c>
      <c r="AB648" s="14">
        <f>VLOOKUP(Table29[[#This Row],[Shortname]], Comp[], 7, FALSE)</f>
        <v>41.899999999999991</v>
      </c>
      <c r="AC648">
        <f>VLOOKUP(Table29[[#This Row],[Shortname]], Comp[], 8, FALSE)</f>
        <v>29.3</v>
      </c>
      <c r="AD648">
        <f>VLOOKUP(Table29[[#This Row],[Shortname]], Comp[], 9, FALSE)</f>
        <v>10.8</v>
      </c>
      <c r="AE648">
        <f>VLOOKUP(Table29[[#This Row],[Shortname]], Comp[], 10, FALSE)</f>
        <v>4.0999999999999996</v>
      </c>
      <c r="AF648">
        <f>VLOOKUP(Table29[[#This Row],[Shortname]], Comp[], 11, FALSE)</f>
        <v>5.7</v>
      </c>
      <c r="AG648">
        <f>VLOOKUP(Table29[[#This Row],[Shortname]], Comp[],12, FALSE)</f>
        <v>0</v>
      </c>
      <c r="AH648">
        <f>VLOOKUP(Table29[[#This Row],[Shortname]], Comp[], 13, FALSE)</f>
        <v>0</v>
      </c>
      <c r="AI648">
        <f>VLOOKUP(Table29[[#This Row],[Shortname]], Comp[], 14, FALSE)</f>
        <v>0</v>
      </c>
      <c r="AJ648">
        <f>VLOOKUP(Table29[[#This Row],[Shortname]], Comp[], 15, FALSE)</f>
        <v>0</v>
      </c>
      <c r="AK648">
        <f>VLOOKUP(Table29[[#This Row],[Shortname]], Comp[], 16, FALSE)</f>
        <v>0</v>
      </c>
      <c r="AL648">
        <f>VLOOKUP(Table29[[#This Row],[Shortname]], Comp[], 17, FALSE)</f>
        <v>0</v>
      </c>
      <c r="AM648">
        <f>VLOOKUP(Table29[[#This Row],[Shortname]], Comp[], 18, FALSE)</f>
        <v>0</v>
      </c>
      <c r="AN648">
        <f>VLOOKUP(Table29[[#This Row],[Shortname]], Comp[], 19, FALSE)</f>
        <v>0</v>
      </c>
      <c r="AO648">
        <f>VLOOKUP(Table29[[#This Row],[Shortname]], Comp[], 20, FALSE)</f>
        <v>0</v>
      </c>
      <c r="AP648">
        <f>VLOOKUP(Table29[[#This Row],[Shortname]], Comp[], 21, FALSE)</f>
        <v>0</v>
      </c>
      <c r="AQ648">
        <f>VLOOKUP(Table29[[#This Row],[Shortname]], Comp[], 22, FALSE)</f>
        <v>0</v>
      </c>
      <c r="AR648">
        <f>VLOOKUP(Table29[[#This Row],[Shortname]], Comp[], 23, FALSE)</f>
        <v>8.1999999999999993</v>
      </c>
      <c r="AS648">
        <f>VLOOKUP(Table29[[#This Row],[Shortname]], Comp[], 24, FALSE)</f>
        <v>0</v>
      </c>
      <c r="AT648">
        <f>VLOOKUP(Table29[[#This Row],[Shortname]], Comp[], 25, FALSE)</f>
        <v>0</v>
      </c>
      <c r="AU648">
        <f>VLOOKUP(Table29[[#This Row],[Shortname]], Comp[], 26, FALSE)</f>
        <v>0</v>
      </c>
      <c r="AV648">
        <f>VLOOKUP(Table29[[#This Row],[Shortname]], Comp[], 27, FALSE)</f>
        <v>0</v>
      </c>
      <c r="AW648">
        <f>VLOOKUP(Table29[[#This Row],[Shortname]], Comp[], 28, FALSE)</f>
        <v>0</v>
      </c>
      <c r="AX648">
        <f>VLOOKUP(Table29[[#This Row],[Shortname]], Comp[], 29, FALSE)</f>
        <v>0</v>
      </c>
      <c r="AY648">
        <f>VLOOKUP(Table29[[#This Row],[Shortname]], Comp[], 30, FALSE)</f>
        <v>0</v>
      </c>
      <c r="AZ648">
        <f>VLOOKUP(Table29[[#This Row],[Shortname]], Comp[], 31, FALSE)</f>
        <v>0</v>
      </c>
    </row>
    <row r="649" spans="1:52" x14ac:dyDescent="0.3">
      <c r="A649" t="s">
        <v>6510</v>
      </c>
      <c r="F649" t="s">
        <v>6511</v>
      </c>
      <c r="G649" t="s">
        <v>6504</v>
      </c>
      <c r="H649">
        <v>349.05</v>
      </c>
      <c r="I649">
        <v>4.1643000000000001E-6</v>
      </c>
      <c r="J649">
        <f>0.01/Table29[[#This Row],[Strain Rate (min) /s]]</f>
        <v>2401.363974737651</v>
      </c>
      <c r="K649">
        <f>LOG(Table29[[#This Row],[Time to 1% strain (s)]])</f>
        <v>3.3804579910607782</v>
      </c>
      <c r="L649">
        <v>850</v>
      </c>
      <c r="P649" t="s">
        <v>7248</v>
      </c>
      <c r="Q649">
        <v>1250</v>
      </c>
      <c r="R649">
        <v>48</v>
      </c>
      <c r="S649">
        <v>900</v>
      </c>
      <c r="T649">
        <v>64</v>
      </c>
      <c r="W649">
        <v>1</v>
      </c>
      <c r="X649">
        <v>10</v>
      </c>
      <c r="Y649">
        <v>29.6</v>
      </c>
      <c r="AA649">
        <f>VLOOKUP(Table29[[#This Row],[Shortname]], Comp[], 6, FALSE)</f>
        <v>1090</v>
      </c>
      <c r="AB649" s="14">
        <f>VLOOKUP(Table29[[#This Row],[Shortname]], Comp[], 7, FALSE)</f>
        <v>41.899999999999991</v>
      </c>
      <c r="AC649">
        <f>VLOOKUP(Table29[[#This Row],[Shortname]], Comp[], 8, FALSE)</f>
        <v>29.3</v>
      </c>
      <c r="AD649">
        <f>VLOOKUP(Table29[[#This Row],[Shortname]], Comp[], 9, FALSE)</f>
        <v>10.8</v>
      </c>
      <c r="AE649">
        <f>VLOOKUP(Table29[[#This Row],[Shortname]], Comp[], 10, FALSE)</f>
        <v>4.0999999999999996</v>
      </c>
      <c r="AF649">
        <f>VLOOKUP(Table29[[#This Row],[Shortname]], Comp[], 11, FALSE)</f>
        <v>5.7</v>
      </c>
      <c r="AG649">
        <f>VLOOKUP(Table29[[#This Row],[Shortname]], Comp[],12, FALSE)</f>
        <v>0</v>
      </c>
      <c r="AH649">
        <f>VLOOKUP(Table29[[#This Row],[Shortname]], Comp[], 13, FALSE)</f>
        <v>0</v>
      </c>
      <c r="AI649">
        <f>VLOOKUP(Table29[[#This Row],[Shortname]], Comp[], 14, FALSE)</f>
        <v>0</v>
      </c>
      <c r="AJ649">
        <f>VLOOKUP(Table29[[#This Row],[Shortname]], Comp[], 15, FALSE)</f>
        <v>0</v>
      </c>
      <c r="AK649">
        <f>VLOOKUP(Table29[[#This Row],[Shortname]], Comp[], 16, FALSE)</f>
        <v>0</v>
      </c>
      <c r="AL649">
        <f>VLOOKUP(Table29[[#This Row],[Shortname]], Comp[], 17, FALSE)</f>
        <v>0</v>
      </c>
      <c r="AM649">
        <f>VLOOKUP(Table29[[#This Row],[Shortname]], Comp[], 18, FALSE)</f>
        <v>0</v>
      </c>
      <c r="AN649">
        <f>VLOOKUP(Table29[[#This Row],[Shortname]], Comp[], 19, FALSE)</f>
        <v>0</v>
      </c>
      <c r="AO649">
        <f>VLOOKUP(Table29[[#This Row],[Shortname]], Comp[], 20, FALSE)</f>
        <v>0</v>
      </c>
      <c r="AP649">
        <f>VLOOKUP(Table29[[#This Row],[Shortname]], Comp[], 21, FALSE)</f>
        <v>0</v>
      </c>
      <c r="AQ649">
        <f>VLOOKUP(Table29[[#This Row],[Shortname]], Comp[], 22, FALSE)</f>
        <v>0</v>
      </c>
      <c r="AR649">
        <f>VLOOKUP(Table29[[#This Row],[Shortname]], Comp[], 23, FALSE)</f>
        <v>8.1999999999999993</v>
      </c>
      <c r="AS649">
        <f>VLOOKUP(Table29[[#This Row],[Shortname]], Comp[], 24, FALSE)</f>
        <v>0</v>
      </c>
      <c r="AT649">
        <f>VLOOKUP(Table29[[#This Row],[Shortname]], Comp[], 25, FALSE)</f>
        <v>0</v>
      </c>
      <c r="AU649">
        <f>VLOOKUP(Table29[[#This Row],[Shortname]], Comp[], 26, FALSE)</f>
        <v>0</v>
      </c>
      <c r="AV649">
        <f>VLOOKUP(Table29[[#This Row],[Shortname]], Comp[], 27, FALSE)</f>
        <v>0</v>
      </c>
      <c r="AW649">
        <f>VLOOKUP(Table29[[#This Row],[Shortname]], Comp[], 28, FALSE)</f>
        <v>0</v>
      </c>
      <c r="AX649">
        <f>VLOOKUP(Table29[[#This Row],[Shortname]], Comp[], 29, FALSE)</f>
        <v>0</v>
      </c>
      <c r="AY649">
        <f>VLOOKUP(Table29[[#This Row],[Shortname]], Comp[], 30, FALSE)</f>
        <v>0</v>
      </c>
      <c r="AZ649">
        <f>VLOOKUP(Table29[[#This Row],[Shortname]], Comp[], 31, FALSE)</f>
        <v>0</v>
      </c>
    </row>
    <row r="650" spans="1:52" x14ac:dyDescent="0.3">
      <c r="A650" t="s">
        <v>6510</v>
      </c>
      <c r="F650" t="s">
        <v>6511</v>
      </c>
      <c r="G650" t="s">
        <v>6504</v>
      </c>
      <c r="H650">
        <v>399.92</v>
      </c>
      <c r="I650">
        <v>1.4457000000000001E-5</v>
      </c>
      <c r="J650">
        <f>0.01/Table29[[#This Row],[Strain Rate (min) /s]]</f>
        <v>691.70643978695443</v>
      </c>
      <c r="K650">
        <f>LOG(Table29[[#This Row],[Time to 1% strain (s)]])</f>
        <v>2.8399218189791293</v>
      </c>
      <c r="L650">
        <v>850</v>
      </c>
      <c r="P650" t="s">
        <v>7248</v>
      </c>
      <c r="Q650">
        <v>1250</v>
      </c>
      <c r="R650">
        <v>48</v>
      </c>
      <c r="S650">
        <v>900</v>
      </c>
      <c r="T650">
        <v>64</v>
      </c>
      <c r="W650">
        <v>1</v>
      </c>
      <c r="X650">
        <v>10</v>
      </c>
      <c r="Y650">
        <v>29.6</v>
      </c>
      <c r="AA650">
        <f>VLOOKUP(Table29[[#This Row],[Shortname]], Comp[], 6, FALSE)</f>
        <v>1090</v>
      </c>
      <c r="AB650" s="14">
        <f>VLOOKUP(Table29[[#This Row],[Shortname]], Comp[], 7, FALSE)</f>
        <v>41.899999999999991</v>
      </c>
      <c r="AC650">
        <f>VLOOKUP(Table29[[#This Row],[Shortname]], Comp[], 8, FALSE)</f>
        <v>29.3</v>
      </c>
      <c r="AD650">
        <f>VLOOKUP(Table29[[#This Row],[Shortname]], Comp[], 9, FALSE)</f>
        <v>10.8</v>
      </c>
      <c r="AE650">
        <f>VLOOKUP(Table29[[#This Row],[Shortname]], Comp[], 10, FALSE)</f>
        <v>4.0999999999999996</v>
      </c>
      <c r="AF650">
        <f>VLOOKUP(Table29[[#This Row],[Shortname]], Comp[], 11, FALSE)</f>
        <v>5.7</v>
      </c>
      <c r="AG650">
        <f>VLOOKUP(Table29[[#This Row],[Shortname]], Comp[],12, FALSE)</f>
        <v>0</v>
      </c>
      <c r="AH650">
        <f>VLOOKUP(Table29[[#This Row],[Shortname]], Comp[], 13, FALSE)</f>
        <v>0</v>
      </c>
      <c r="AI650">
        <f>VLOOKUP(Table29[[#This Row],[Shortname]], Comp[], 14, FALSE)</f>
        <v>0</v>
      </c>
      <c r="AJ650">
        <f>VLOOKUP(Table29[[#This Row],[Shortname]], Comp[], 15, FALSE)</f>
        <v>0</v>
      </c>
      <c r="AK650">
        <f>VLOOKUP(Table29[[#This Row],[Shortname]], Comp[], 16, FALSE)</f>
        <v>0</v>
      </c>
      <c r="AL650">
        <f>VLOOKUP(Table29[[#This Row],[Shortname]], Comp[], 17, FALSE)</f>
        <v>0</v>
      </c>
      <c r="AM650">
        <f>VLOOKUP(Table29[[#This Row],[Shortname]], Comp[], 18, FALSE)</f>
        <v>0</v>
      </c>
      <c r="AN650">
        <f>VLOOKUP(Table29[[#This Row],[Shortname]], Comp[], 19, FALSE)</f>
        <v>0</v>
      </c>
      <c r="AO650">
        <f>VLOOKUP(Table29[[#This Row],[Shortname]], Comp[], 20, FALSE)</f>
        <v>0</v>
      </c>
      <c r="AP650">
        <f>VLOOKUP(Table29[[#This Row],[Shortname]], Comp[], 21, FALSE)</f>
        <v>0</v>
      </c>
      <c r="AQ650">
        <f>VLOOKUP(Table29[[#This Row],[Shortname]], Comp[], 22, FALSE)</f>
        <v>0</v>
      </c>
      <c r="AR650">
        <f>VLOOKUP(Table29[[#This Row],[Shortname]], Comp[], 23, FALSE)</f>
        <v>8.1999999999999993</v>
      </c>
      <c r="AS650">
        <f>VLOOKUP(Table29[[#This Row],[Shortname]], Comp[], 24, FALSE)</f>
        <v>0</v>
      </c>
      <c r="AT650">
        <f>VLOOKUP(Table29[[#This Row],[Shortname]], Comp[], 25, FALSE)</f>
        <v>0</v>
      </c>
      <c r="AU650">
        <f>VLOOKUP(Table29[[#This Row],[Shortname]], Comp[], 26, FALSE)</f>
        <v>0</v>
      </c>
      <c r="AV650">
        <f>VLOOKUP(Table29[[#This Row],[Shortname]], Comp[], 27, FALSE)</f>
        <v>0</v>
      </c>
      <c r="AW650">
        <f>VLOOKUP(Table29[[#This Row],[Shortname]], Comp[], 28, FALSE)</f>
        <v>0</v>
      </c>
      <c r="AX650">
        <f>VLOOKUP(Table29[[#This Row],[Shortname]], Comp[], 29, FALSE)</f>
        <v>0</v>
      </c>
      <c r="AY650">
        <f>VLOOKUP(Table29[[#This Row],[Shortname]], Comp[], 30, FALSE)</f>
        <v>0</v>
      </c>
      <c r="AZ650">
        <f>VLOOKUP(Table29[[#This Row],[Shortname]], Comp[], 31, FALSE)</f>
        <v>0</v>
      </c>
    </row>
    <row r="651" spans="1:52" x14ac:dyDescent="0.3">
      <c r="A651" t="s">
        <v>6510</v>
      </c>
      <c r="F651" t="s">
        <v>6511</v>
      </c>
      <c r="G651" t="s">
        <v>6504</v>
      </c>
      <c r="H651">
        <v>447.74</v>
      </c>
      <c r="I651">
        <v>4.2651999999999998E-5</v>
      </c>
      <c r="J651">
        <f>0.01/Table29[[#This Row],[Strain Rate (min) /s]]</f>
        <v>234.45559411047549</v>
      </c>
      <c r="K651">
        <f>LOG(Table29[[#This Row],[Time to 1% strain (s)]])</f>
        <v>2.3700605994648303</v>
      </c>
      <c r="L651">
        <v>850</v>
      </c>
      <c r="P651" t="s">
        <v>7248</v>
      </c>
      <c r="Q651">
        <v>1250</v>
      </c>
      <c r="R651">
        <v>48</v>
      </c>
      <c r="S651">
        <v>900</v>
      </c>
      <c r="T651">
        <v>64</v>
      </c>
      <c r="W651">
        <v>1</v>
      </c>
      <c r="X651">
        <v>10</v>
      </c>
      <c r="Y651">
        <v>29.6</v>
      </c>
      <c r="AA651">
        <f>VLOOKUP(Table29[[#This Row],[Shortname]], Comp[], 6, FALSE)</f>
        <v>1090</v>
      </c>
      <c r="AB651" s="14">
        <f>VLOOKUP(Table29[[#This Row],[Shortname]], Comp[], 7, FALSE)</f>
        <v>41.899999999999991</v>
      </c>
      <c r="AC651">
        <f>VLOOKUP(Table29[[#This Row],[Shortname]], Comp[], 8, FALSE)</f>
        <v>29.3</v>
      </c>
      <c r="AD651">
        <f>VLOOKUP(Table29[[#This Row],[Shortname]], Comp[], 9, FALSE)</f>
        <v>10.8</v>
      </c>
      <c r="AE651">
        <f>VLOOKUP(Table29[[#This Row],[Shortname]], Comp[], 10, FALSE)</f>
        <v>4.0999999999999996</v>
      </c>
      <c r="AF651">
        <f>VLOOKUP(Table29[[#This Row],[Shortname]], Comp[], 11, FALSE)</f>
        <v>5.7</v>
      </c>
      <c r="AG651">
        <f>VLOOKUP(Table29[[#This Row],[Shortname]], Comp[],12, FALSE)</f>
        <v>0</v>
      </c>
      <c r="AH651">
        <f>VLOOKUP(Table29[[#This Row],[Shortname]], Comp[], 13, FALSE)</f>
        <v>0</v>
      </c>
      <c r="AI651">
        <f>VLOOKUP(Table29[[#This Row],[Shortname]], Comp[], 14, FALSE)</f>
        <v>0</v>
      </c>
      <c r="AJ651">
        <f>VLOOKUP(Table29[[#This Row],[Shortname]], Comp[], 15, FALSE)</f>
        <v>0</v>
      </c>
      <c r="AK651">
        <f>VLOOKUP(Table29[[#This Row],[Shortname]], Comp[], 16, FALSE)</f>
        <v>0</v>
      </c>
      <c r="AL651">
        <f>VLOOKUP(Table29[[#This Row],[Shortname]], Comp[], 17, FALSE)</f>
        <v>0</v>
      </c>
      <c r="AM651">
        <f>VLOOKUP(Table29[[#This Row],[Shortname]], Comp[], 18, FALSE)</f>
        <v>0</v>
      </c>
      <c r="AN651">
        <f>VLOOKUP(Table29[[#This Row],[Shortname]], Comp[], 19, FALSE)</f>
        <v>0</v>
      </c>
      <c r="AO651">
        <f>VLOOKUP(Table29[[#This Row],[Shortname]], Comp[], 20, FALSE)</f>
        <v>0</v>
      </c>
      <c r="AP651">
        <f>VLOOKUP(Table29[[#This Row],[Shortname]], Comp[], 21, FALSE)</f>
        <v>0</v>
      </c>
      <c r="AQ651">
        <f>VLOOKUP(Table29[[#This Row],[Shortname]], Comp[], 22, FALSE)</f>
        <v>0</v>
      </c>
      <c r="AR651">
        <f>VLOOKUP(Table29[[#This Row],[Shortname]], Comp[], 23, FALSE)</f>
        <v>8.1999999999999993</v>
      </c>
      <c r="AS651">
        <f>VLOOKUP(Table29[[#This Row],[Shortname]], Comp[], 24, FALSE)</f>
        <v>0</v>
      </c>
      <c r="AT651">
        <f>VLOOKUP(Table29[[#This Row],[Shortname]], Comp[], 25, FALSE)</f>
        <v>0</v>
      </c>
      <c r="AU651">
        <f>VLOOKUP(Table29[[#This Row],[Shortname]], Comp[], 26, FALSE)</f>
        <v>0</v>
      </c>
      <c r="AV651">
        <f>VLOOKUP(Table29[[#This Row],[Shortname]], Comp[], 27, FALSE)</f>
        <v>0</v>
      </c>
      <c r="AW651">
        <f>VLOOKUP(Table29[[#This Row],[Shortname]], Comp[], 28, FALSE)</f>
        <v>0</v>
      </c>
      <c r="AX651">
        <f>VLOOKUP(Table29[[#This Row],[Shortname]], Comp[], 29, FALSE)</f>
        <v>0</v>
      </c>
      <c r="AY651">
        <f>VLOOKUP(Table29[[#This Row],[Shortname]], Comp[], 30, FALSE)</f>
        <v>0</v>
      </c>
      <c r="AZ651">
        <f>VLOOKUP(Table29[[#This Row],[Shortname]], Comp[], 31, FALSE)</f>
        <v>0</v>
      </c>
    </row>
    <row r="652" spans="1:52" x14ac:dyDescent="0.3">
      <c r="A652" t="s">
        <v>6510</v>
      </c>
      <c r="F652" t="s">
        <v>6511</v>
      </c>
      <c r="G652" t="s">
        <v>6504</v>
      </c>
      <c r="H652">
        <v>500</v>
      </c>
      <c r="I652">
        <v>1.3454999999999999E-4</v>
      </c>
      <c r="J652">
        <f>0.01/Table29[[#This Row],[Strain Rate (min) /s]]</f>
        <v>74.321813452248236</v>
      </c>
      <c r="K652">
        <f>LOG(Table29[[#This Row],[Time to 1% strain (s)]])</f>
        <v>1.8711162979002267</v>
      </c>
      <c r="L652">
        <v>850</v>
      </c>
      <c r="P652" t="s">
        <v>7248</v>
      </c>
      <c r="Q652">
        <v>1250</v>
      </c>
      <c r="R652">
        <v>48</v>
      </c>
      <c r="S652">
        <v>900</v>
      </c>
      <c r="T652">
        <v>64</v>
      </c>
      <c r="W652">
        <v>1</v>
      </c>
      <c r="X652">
        <v>10</v>
      </c>
      <c r="Y652">
        <v>29.6</v>
      </c>
      <c r="AA652">
        <f>VLOOKUP(Table29[[#This Row],[Shortname]], Comp[], 6, FALSE)</f>
        <v>1090</v>
      </c>
      <c r="AB652" s="14">
        <f>VLOOKUP(Table29[[#This Row],[Shortname]], Comp[], 7, FALSE)</f>
        <v>41.899999999999991</v>
      </c>
      <c r="AC652">
        <f>VLOOKUP(Table29[[#This Row],[Shortname]], Comp[], 8, FALSE)</f>
        <v>29.3</v>
      </c>
      <c r="AD652">
        <f>VLOOKUP(Table29[[#This Row],[Shortname]], Comp[], 9, FALSE)</f>
        <v>10.8</v>
      </c>
      <c r="AE652">
        <f>VLOOKUP(Table29[[#This Row],[Shortname]], Comp[], 10, FALSE)</f>
        <v>4.0999999999999996</v>
      </c>
      <c r="AF652">
        <f>VLOOKUP(Table29[[#This Row],[Shortname]], Comp[], 11, FALSE)</f>
        <v>5.7</v>
      </c>
      <c r="AG652">
        <f>VLOOKUP(Table29[[#This Row],[Shortname]], Comp[],12, FALSE)</f>
        <v>0</v>
      </c>
      <c r="AH652">
        <f>VLOOKUP(Table29[[#This Row],[Shortname]], Comp[], 13, FALSE)</f>
        <v>0</v>
      </c>
      <c r="AI652">
        <f>VLOOKUP(Table29[[#This Row],[Shortname]], Comp[], 14, FALSE)</f>
        <v>0</v>
      </c>
      <c r="AJ652">
        <f>VLOOKUP(Table29[[#This Row],[Shortname]], Comp[], 15, FALSE)</f>
        <v>0</v>
      </c>
      <c r="AK652">
        <f>VLOOKUP(Table29[[#This Row],[Shortname]], Comp[], 16, FALSE)</f>
        <v>0</v>
      </c>
      <c r="AL652">
        <f>VLOOKUP(Table29[[#This Row],[Shortname]], Comp[], 17, FALSE)</f>
        <v>0</v>
      </c>
      <c r="AM652">
        <f>VLOOKUP(Table29[[#This Row],[Shortname]], Comp[], 18, FALSE)</f>
        <v>0</v>
      </c>
      <c r="AN652">
        <f>VLOOKUP(Table29[[#This Row],[Shortname]], Comp[], 19, FALSE)</f>
        <v>0</v>
      </c>
      <c r="AO652">
        <f>VLOOKUP(Table29[[#This Row],[Shortname]], Comp[], 20, FALSE)</f>
        <v>0</v>
      </c>
      <c r="AP652">
        <f>VLOOKUP(Table29[[#This Row],[Shortname]], Comp[], 21, FALSE)</f>
        <v>0</v>
      </c>
      <c r="AQ652">
        <f>VLOOKUP(Table29[[#This Row],[Shortname]], Comp[], 22, FALSE)</f>
        <v>0</v>
      </c>
      <c r="AR652">
        <f>VLOOKUP(Table29[[#This Row],[Shortname]], Comp[], 23, FALSE)</f>
        <v>8.1999999999999993</v>
      </c>
      <c r="AS652">
        <f>VLOOKUP(Table29[[#This Row],[Shortname]], Comp[], 24, FALSE)</f>
        <v>0</v>
      </c>
      <c r="AT652">
        <f>VLOOKUP(Table29[[#This Row],[Shortname]], Comp[], 25, FALSE)</f>
        <v>0</v>
      </c>
      <c r="AU652">
        <f>VLOOKUP(Table29[[#This Row],[Shortname]], Comp[], 26, FALSE)</f>
        <v>0</v>
      </c>
      <c r="AV652">
        <f>VLOOKUP(Table29[[#This Row],[Shortname]], Comp[], 27, FALSE)</f>
        <v>0</v>
      </c>
      <c r="AW652">
        <f>VLOOKUP(Table29[[#This Row],[Shortname]], Comp[], 28, FALSE)</f>
        <v>0</v>
      </c>
      <c r="AX652">
        <f>VLOOKUP(Table29[[#This Row],[Shortname]], Comp[], 29, FALSE)</f>
        <v>0</v>
      </c>
      <c r="AY652">
        <f>VLOOKUP(Table29[[#This Row],[Shortname]], Comp[], 30, FALSE)</f>
        <v>0</v>
      </c>
      <c r="AZ652">
        <f>VLOOKUP(Table29[[#This Row],[Shortname]], Comp[], 31, FALSE)</f>
        <v>0</v>
      </c>
    </row>
    <row r="653" spans="1:52" x14ac:dyDescent="0.3">
      <c r="A653" t="s">
        <v>6514</v>
      </c>
      <c r="F653" t="s">
        <v>6515</v>
      </c>
      <c r="G653" t="s">
        <v>6504</v>
      </c>
      <c r="H653">
        <v>153.11000000000001</v>
      </c>
      <c r="I653">
        <v>2.3899000000000001E-8</v>
      </c>
      <c r="J653">
        <f>0.01/Table29[[#This Row],[Strain Rate (min) /s]]</f>
        <v>418427.5492698439</v>
      </c>
      <c r="K653">
        <f>LOG(Table29[[#This Row],[Time to 1% strain (s)]])</f>
        <v>5.6216202707492604</v>
      </c>
      <c r="L653">
        <v>850</v>
      </c>
      <c r="P653" t="s">
        <v>7249</v>
      </c>
      <c r="Q653">
        <v>1250</v>
      </c>
      <c r="R653">
        <v>48</v>
      </c>
      <c r="S653">
        <v>900</v>
      </c>
      <c r="T653">
        <v>64</v>
      </c>
      <c r="W653">
        <v>1</v>
      </c>
      <c r="X653">
        <v>10</v>
      </c>
      <c r="Y653">
        <v>25.4</v>
      </c>
      <c r="AA653">
        <f>VLOOKUP(Table29[[#This Row],[Shortname]], Comp[], 6, FALSE)</f>
        <v>1091</v>
      </c>
      <c r="AB653" s="14">
        <f>VLOOKUP(Table29[[#This Row],[Shortname]], Comp[], 7, FALSE)</f>
        <v>38.199999999999989</v>
      </c>
      <c r="AC653">
        <f>VLOOKUP(Table29[[#This Row],[Shortname]], Comp[], 8, FALSE)</f>
        <v>29.3</v>
      </c>
      <c r="AD653">
        <f>VLOOKUP(Table29[[#This Row],[Shortname]], Comp[], 9, FALSE)</f>
        <v>10.4</v>
      </c>
      <c r="AE653">
        <f>VLOOKUP(Table29[[#This Row],[Shortname]], Comp[], 10, FALSE)</f>
        <v>4.0999999999999996</v>
      </c>
      <c r="AF653">
        <f>VLOOKUP(Table29[[#This Row],[Shortname]], Comp[], 11, FALSE)</f>
        <v>5.7</v>
      </c>
      <c r="AG653">
        <f>VLOOKUP(Table29[[#This Row],[Shortname]], Comp[],12, FALSE)</f>
        <v>0</v>
      </c>
      <c r="AH653">
        <f>VLOOKUP(Table29[[#This Row],[Shortname]], Comp[], 13, FALSE)</f>
        <v>0</v>
      </c>
      <c r="AI653">
        <f>VLOOKUP(Table29[[#This Row],[Shortname]], Comp[], 14, FALSE)</f>
        <v>0</v>
      </c>
      <c r="AJ653">
        <f>VLOOKUP(Table29[[#This Row],[Shortname]], Comp[], 15, FALSE)</f>
        <v>0</v>
      </c>
      <c r="AK653">
        <f>VLOOKUP(Table29[[#This Row],[Shortname]], Comp[], 16, FALSE)</f>
        <v>0</v>
      </c>
      <c r="AL653">
        <f>VLOOKUP(Table29[[#This Row],[Shortname]], Comp[], 17, FALSE)</f>
        <v>0</v>
      </c>
      <c r="AM653">
        <f>VLOOKUP(Table29[[#This Row],[Shortname]], Comp[], 18, FALSE)</f>
        <v>0</v>
      </c>
      <c r="AN653">
        <f>VLOOKUP(Table29[[#This Row],[Shortname]], Comp[], 19, FALSE)</f>
        <v>0</v>
      </c>
      <c r="AO653">
        <f>VLOOKUP(Table29[[#This Row],[Shortname]], Comp[], 20, FALSE)</f>
        <v>0</v>
      </c>
      <c r="AP653">
        <f>VLOOKUP(Table29[[#This Row],[Shortname]], Comp[], 21, FALSE)</f>
        <v>0</v>
      </c>
      <c r="AQ653">
        <f>VLOOKUP(Table29[[#This Row],[Shortname]], Comp[], 22, FALSE)</f>
        <v>0</v>
      </c>
      <c r="AR653">
        <f>VLOOKUP(Table29[[#This Row],[Shortname]], Comp[], 23, FALSE)</f>
        <v>12.3</v>
      </c>
      <c r="AS653">
        <f>VLOOKUP(Table29[[#This Row],[Shortname]], Comp[], 24, FALSE)</f>
        <v>0</v>
      </c>
      <c r="AT653">
        <f>VLOOKUP(Table29[[#This Row],[Shortname]], Comp[], 25, FALSE)</f>
        <v>0</v>
      </c>
      <c r="AU653">
        <f>VLOOKUP(Table29[[#This Row],[Shortname]], Comp[], 26, FALSE)</f>
        <v>0</v>
      </c>
      <c r="AV653">
        <f>VLOOKUP(Table29[[#This Row],[Shortname]], Comp[], 27, FALSE)</f>
        <v>0</v>
      </c>
      <c r="AW653">
        <f>VLOOKUP(Table29[[#This Row],[Shortname]], Comp[], 28, FALSE)</f>
        <v>0</v>
      </c>
      <c r="AX653">
        <f>VLOOKUP(Table29[[#This Row],[Shortname]], Comp[], 29, FALSE)</f>
        <v>0</v>
      </c>
      <c r="AY653">
        <f>VLOOKUP(Table29[[#This Row],[Shortname]], Comp[], 30, FALSE)</f>
        <v>0</v>
      </c>
      <c r="AZ653">
        <f>VLOOKUP(Table29[[#This Row],[Shortname]], Comp[], 31, FALSE)</f>
        <v>0</v>
      </c>
    </row>
    <row r="654" spans="1:52" x14ac:dyDescent="0.3">
      <c r="A654" t="s">
        <v>6514</v>
      </c>
      <c r="F654" t="s">
        <v>6515</v>
      </c>
      <c r="G654" t="s">
        <v>6504</v>
      </c>
      <c r="H654">
        <v>207.28</v>
      </c>
      <c r="I654">
        <v>1.4457E-7</v>
      </c>
      <c r="J654">
        <f>0.01/Table29[[#This Row],[Strain Rate (min) /s]]</f>
        <v>69170.643978695443</v>
      </c>
      <c r="K654">
        <f>LOG(Table29[[#This Row],[Time to 1% strain (s)]])</f>
        <v>4.8399218189791293</v>
      </c>
      <c r="L654">
        <v>850</v>
      </c>
      <c r="P654" t="s">
        <v>7249</v>
      </c>
      <c r="Q654">
        <v>1250</v>
      </c>
      <c r="R654">
        <v>48</v>
      </c>
      <c r="S654">
        <v>900</v>
      </c>
      <c r="T654">
        <v>64</v>
      </c>
      <c r="W654">
        <v>1</v>
      </c>
      <c r="X654">
        <v>10</v>
      </c>
      <c r="Y654">
        <v>25.4</v>
      </c>
      <c r="AA654">
        <f>VLOOKUP(Table29[[#This Row],[Shortname]], Comp[], 6, FALSE)</f>
        <v>1091</v>
      </c>
      <c r="AB654" s="14">
        <f>VLOOKUP(Table29[[#This Row],[Shortname]], Comp[], 7, FALSE)</f>
        <v>38.199999999999989</v>
      </c>
      <c r="AC654">
        <f>VLOOKUP(Table29[[#This Row],[Shortname]], Comp[], 8, FALSE)</f>
        <v>29.3</v>
      </c>
      <c r="AD654">
        <f>VLOOKUP(Table29[[#This Row],[Shortname]], Comp[], 9, FALSE)</f>
        <v>10.4</v>
      </c>
      <c r="AE654">
        <f>VLOOKUP(Table29[[#This Row],[Shortname]], Comp[], 10, FALSE)</f>
        <v>4.0999999999999996</v>
      </c>
      <c r="AF654">
        <f>VLOOKUP(Table29[[#This Row],[Shortname]], Comp[], 11, FALSE)</f>
        <v>5.7</v>
      </c>
      <c r="AG654">
        <f>VLOOKUP(Table29[[#This Row],[Shortname]], Comp[],12, FALSE)</f>
        <v>0</v>
      </c>
      <c r="AH654">
        <f>VLOOKUP(Table29[[#This Row],[Shortname]], Comp[], 13, FALSE)</f>
        <v>0</v>
      </c>
      <c r="AI654">
        <f>VLOOKUP(Table29[[#This Row],[Shortname]], Comp[], 14, FALSE)</f>
        <v>0</v>
      </c>
      <c r="AJ654">
        <f>VLOOKUP(Table29[[#This Row],[Shortname]], Comp[], 15, FALSE)</f>
        <v>0</v>
      </c>
      <c r="AK654">
        <f>VLOOKUP(Table29[[#This Row],[Shortname]], Comp[], 16, FALSE)</f>
        <v>0</v>
      </c>
      <c r="AL654">
        <f>VLOOKUP(Table29[[#This Row],[Shortname]], Comp[], 17, FALSE)</f>
        <v>0</v>
      </c>
      <c r="AM654">
        <f>VLOOKUP(Table29[[#This Row],[Shortname]], Comp[], 18, FALSE)</f>
        <v>0</v>
      </c>
      <c r="AN654">
        <f>VLOOKUP(Table29[[#This Row],[Shortname]], Comp[], 19, FALSE)</f>
        <v>0</v>
      </c>
      <c r="AO654">
        <f>VLOOKUP(Table29[[#This Row],[Shortname]], Comp[], 20, FALSE)</f>
        <v>0</v>
      </c>
      <c r="AP654">
        <f>VLOOKUP(Table29[[#This Row],[Shortname]], Comp[], 21, FALSE)</f>
        <v>0</v>
      </c>
      <c r="AQ654">
        <f>VLOOKUP(Table29[[#This Row],[Shortname]], Comp[], 22, FALSE)</f>
        <v>0</v>
      </c>
      <c r="AR654">
        <f>VLOOKUP(Table29[[#This Row],[Shortname]], Comp[], 23, FALSE)</f>
        <v>12.3</v>
      </c>
      <c r="AS654">
        <f>VLOOKUP(Table29[[#This Row],[Shortname]], Comp[], 24, FALSE)</f>
        <v>0</v>
      </c>
      <c r="AT654">
        <f>VLOOKUP(Table29[[#This Row],[Shortname]], Comp[], 25, FALSE)</f>
        <v>0</v>
      </c>
      <c r="AU654">
        <f>VLOOKUP(Table29[[#This Row],[Shortname]], Comp[], 26, FALSE)</f>
        <v>0</v>
      </c>
      <c r="AV654">
        <f>VLOOKUP(Table29[[#This Row],[Shortname]], Comp[], 27, FALSE)</f>
        <v>0</v>
      </c>
      <c r="AW654">
        <f>VLOOKUP(Table29[[#This Row],[Shortname]], Comp[], 28, FALSE)</f>
        <v>0</v>
      </c>
      <c r="AX654">
        <f>VLOOKUP(Table29[[#This Row],[Shortname]], Comp[], 29, FALSE)</f>
        <v>0</v>
      </c>
      <c r="AY654">
        <f>VLOOKUP(Table29[[#This Row],[Shortname]], Comp[], 30, FALSE)</f>
        <v>0</v>
      </c>
      <c r="AZ654">
        <f>VLOOKUP(Table29[[#This Row],[Shortname]], Comp[], 31, FALSE)</f>
        <v>0</v>
      </c>
    </row>
    <row r="655" spans="1:52" x14ac:dyDescent="0.3">
      <c r="A655" t="s">
        <v>6514</v>
      </c>
      <c r="F655" t="s">
        <v>6515</v>
      </c>
      <c r="G655" t="s">
        <v>6504</v>
      </c>
      <c r="H655">
        <v>248.73</v>
      </c>
      <c r="I655">
        <v>6.5621999999999998E-7</v>
      </c>
      <c r="J655">
        <f>0.01/Table29[[#This Row],[Strain Rate (min) /s]]</f>
        <v>15238.79186858066</v>
      </c>
      <c r="K655">
        <f>LOG(Table29[[#This Row],[Time to 1% strain (s)]])</f>
        <v>4.1829505375018234</v>
      </c>
      <c r="L655">
        <v>850</v>
      </c>
      <c r="P655" t="s">
        <v>7249</v>
      </c>
      <c r="Q655">
        <v>1250</v>
      </c>
      <c r="R655">
        <v>48</v>
      </c>
      <c r="S655">
        <v>900</v>
      </c>
      <c r="T655">
        <v>64</v>
      </c>
      <c r="W655">
        <v>1</v>
      </c>
      <c r="X655">
        <v>10</v>
      </c>
      <c r="Y655">
        <v>25.4</v>
      </c>
      <c r="AA655">
        <f>VLOOKUP(Table29[[#This Row],[Shortname]], Comp[], 6, FALSE)</f>
        <v>1091</v>
      </c>
      <c r="AB655" s="14">
        <f>VLOOKUP(Table29[[#This Row],[Shortname]], Comp[], 7, FALSE)</f>
        <v>38.199999999999989</v>
      </c>
      <c r="AC655">
        <f>VLOOKUP(Table29[[#This Row],[Shortname]], Comp[], 8, FALSE)</f>
        <v>29.3</v>
      </c>
      <c r="AD655">
        <f>VLOOKUP(Table29[[#This Row],[Shortname]], Comp[], 9, FALSE)</f>
        <v>10.4</v>
      </c>
      <c r="AE655">
        <f>VLOOKUP(Table29[[#This Row],[Shortname]], Comp[], 10, FALSE)</f>
        <v>4.0999999999999996</v>
      </c>
      <c r="AF655">
        <f>VLOOKUP(Table29[[#This Row],[Shortname]], Comp[], 11, FALSE)</f>
        <v>5.7</v>
      </c>
      <c r="AG655">
        <f>VLOOKUP(Table29[[#This Row],[Shortname]], Comp[],12, FALSE)</f>
        <v>0</v>
      </c>
      <c r="AH655">
        <f>VLOOKUP(Table29[[#This Row],[Shortname]], Comp[], 13, FALSE)</f>
        <v>0</v>
      </c>
      <c r="AI655">
        <f>VLOOKUP(Table29[[#This Row],[Shortname]], Comp[], 14, FALSE)</f>
        <v>0</v>
      </c>
      <c r="AJ655">
        <f>VLOOKUP(Table29[[#This Row],[Shortname]], Comp[], 15, FALSE)</f>
        <v>0</v>
      </c>
      <c r="AK655">
        <f>VLOOKUP(Table29[[#This Row],[Shortname]], Comp[], 16, FALSE)</f>
        <v>0</v>
      </c>
      <c r="AL655">
        <f>VLOOKUP(Table29[[#This Row],[Shortname]], Comp[], 17, FALSE)</f>
        <v>0</v>
      </c>
      <c r="AM655">
        <f>VLOOKUP(Table29[[#This Row],[Shortname]], Comp[], 18, FALSE)</f>
        <v>0</v>
      </c>
      <c r="AN655">
        <f>VLOOKUP(Table29[[#This Row],[Shortname]], Comp[], 19, FALSE)</f>
        <v>0</v>
      </c>
      <c r="AO655">
        <f>VLOOKUP(Table29[[#This Row],[Shortname]], Comp[], 20, FALSE)</f>
        <v>0</v>
      </c>
      <c r="AP655">
        <f>VLOOKUP(Table29[[#This Row],[Shortname]], Comp[], 21, FALSE)</f>
        <v>0</v>
      </c>
      <c r="AQ655">
        <f>VLOOKUP(Table29[[#This Row],[Shortname]], Comp[], 22, FALSE)</f>
        <v>0</v>
      </c>
      <c r="AR655">
        <f>VLOOKUP(Table29[[#This Row],[Shortname]], Comp[], 23, FALSE)</f>
        <v>12.3</v>
      </c>
      <c r="AS655">
        <f>VLOOKUP(Table29[[#This Row],[Shortname]], Comp[], 24, FALSE)</f>
        <v>0</v>
      </c>
      <c r="AT655">
        <f>VLOOKUP(Table29[[#This Row],[Shortname]], Comp[], 25, FALSE)</f>
        <v>0</v>
      </c>
      <c r="AU655">
        <f>VLOOKUP(Table29[[#This Row],[Shortname]], Comp[], 26, FALSE)</f>
        <v>0</v>
      </c>
      <c r="AV655">
        <f>VLOOKUP(Table29[[#This Row],[Shortname]], Comp[], 27, FALSE)</f>
        <v>0</v>
      </c>
      <c r="AW655">
        <f>VLOOKUP(Table29[[#This Row],[Shortname]], Comp[], 28, FALSE)</f>
        <v>0</v>
      </c>
      <c r="AX655">
        <f>VLOOKUP(Table29[[#This Row],[Shortname]], Comp[], 29, FALSE)</f>
        <v>0</v>
      </c>
      <c r="AY655">
        <f>VLOOKUP(Table29[[#This Row],[Shortname]], Comp[], 30, FALSE)</f>
        <v>0</v>
      </c>
      <c r="AZ655">
        <f>VLOOKUP(Table29[[#This Row],[Shortname]], Comp[], 31, FALSE)</f>
        <v>0</v>
      </c>
    </row>
    <row r="656" spans="1:52" x14ac:dyDescent="0.3">
      <c r="A656" t="s">
        <v>6514</v>
      </c>
      <c r="F656" t="s">
        <v>6515</v>
      </c>
      <c r="G656" t="s">
        <v>6504</v>
      </c>
      <c r="H656">
        <v>299.22000000000003</v>
      </c>
      <c r="I656">
        <v>2.8943E-6</v>
      </c>
      <c r="J656">
        <f>0.01/Table29[[#This Row],[Strain Rate (min) /s]]</f>
        <v>3455.066855543655</v>
      </c>
      <c r="K656">
        <f>LOG(Table29[[#This Row],[Time to 1% strain (s)]])</f>
        <v>3.5384564553897477</v>
      </c>
      <c r="L656">
        <v>850</v>
      </c>
      <c r="P656" t="s">
        <v>7249</v>
      </c>
      <c r="Q656">
        <v>1250</v>
      </c>
      <c r="R656">
        <v>48</v>
      </c>
      <c r="S656">
        <v>900</v>
      </c>
      <c r="T656">
        <v>64</v>
      </c>
      <c r="W656">
        <v>1</v>
      </c>
      <c r="X656">
        <v>10</v>
      </c>
      <c r="Y656">
        <v>25.4</v>
      </c>
      <c r="AA656">
        <f>VLOOKUP(Table29[[#This Row],[Shortname]], Comp[], 6, FALSE)</f>
        <v>1091</v>
      </c>
      <c r="AB656" s="14">
        <f>VLOOKUP(Table29[[#This Row],[Shortname]], Comp[], 7, FALSE)</f>
        <v>38.199999999999989</v>
      </c>
      <c r="AC656">
        <f>VLOOKUP(Table29[[#This Row],[Shortname]], Comp[], 8, FALSE)</f>
        <v>29.3</v>
      </c>
      <c r="AD656">
        <f>VLOOKUP(Table29[[#This Row],[Shortname]], Comp[], 9, FALSE)</f>
        <v>10.4</v>
      </c>
      <c r="AE656">
        <f>VLOOKUP(Table29[[#This Row],[Shortname]], Comp[], 10, FALSE)</f>
        <v>4.0999999999999996</v>
      </c>
      <c r="AF656">
        <f>VLOOKUP(Table29[[#This Row],[Shortname]], Comp[], 11, FALSE)</f>
        <v>5.7</v>
      </c>
      <c r="AG656">
        <f>VLOOKUP(Table29[[#This Row],[Shortname]], Comp[],12, FALSE)</f>
        <v>0</v>
      </c>
      <c r="AH656">
        <f>VLOOKUP(Table29[[#This Row],[Shortname]], Comp[], 13, FALSE)</f>
        <v>0</v>
      </c>
      <c r="AI656">
        <f>VLOOKUP(Table29[[#This Row],[Shortname]], Comp[], 14, FALSE)</f>
        <v>0</v>
      </c>
      <c r="AJ656">
        <f>VLOOKUP(Table29[[#This Row],[Shortname]], Comp[], 15, FALSE)</f>
        <v>0</v>
      </c>
      <c r="AK656">
        <f>VLOOKUP(Table29[[#This Row],[Shortname]], Comp[], 16, FALSE)</f>
        <v>0</v>
      </c>
      <c r="AL656">
        <f>VLOOKUP(Table29[[#This Row],[Shortname]], Comp[], 17, FALSE)</f>
        <v>0</v>
      </c>
      <c r="AM656">
        <f>VLOOKUP(Table29[[#This Row],[Shortname]], Comp[], 18, FALSE)</f>
        <v>0</v>
      </c>
      <c r="AN656">
        <f>VLOOKUP(Table29[[#This Row],[Shortname]], Comp[], 19, FALSE)</f>
        <v>0</v>
      </c>
      <c r="AO656">
        <f>VLOOKUP(Table29[[#This Row],[Shortname]], Comp[], 20, FALSE)</f>
        <v>0</v>
      </c>
      <c r="AP656">
        <f>VLOOKUP(Table29[[#This Row],[Shortname]], Comp[], 21, FALSE)</f>
        <v>0</v>
      </c>
      <c r="AQ656">
        <f>VLOOKUP(Table29[[#This Row],[Shortname]], Comp[], 22, FALSE)</f>
        <v>0</v>
      </c>
      <c r="AR656">
        <f>VLOOKUP(Table29[[#This Row],[Shortname]], Comp[], 23, FALSE)</f>
        <v>12.3</v>
      </c>
      <c r="AS656">
        <f>VLOOKUP(Table29[[#This Row],[Shortname]], Comp[], 24, FALSE)</f>
        <v>0</v>
      </c>
      <c r="AT656">
        <f>VLOOKUP(Table29[[#This Row],[Shortname]], Comp[], 25, FALSE)</f>
        <v>0</v>
      </c>
      <c r="AU656">
        <f>VLOOKUP(Table29[[#This Row],[Shortname]], Comp[], 26, FALSE)</f>
        <v>0</v>
      </c>
      <c r="AV656">
        <f>VLOOKUP(Table29[[#This Row],[Shortname]], Comp[], 27, FALSE)</f>
        <v>0</v>
      </c>
      <c r="AW656">
        <f>VLOOKUP(Table29[[#This Row],[Shortname]], Comp[], 28, FALSE)</f>
        <v>0</v>
      </c>
      <c r="AX656">
        <f>VLOOKUP(Table29[[#This Row],[Shortname]], Comp[], 29, FALSE)</f>
        <v>0</v>
      </c>
      <c r="AY656">
        <f>VLOOKUP(Table29[[#This Row],[Shortname]], Comp[], 30, FALSE)</f>
        <v>0</v>
      </c>
      <c r="AZ656">
        <f>VLOOKUP(Table29[[#This Row],[Shortname]], Comp[], 31, FALSE)</f>
        <v>0</v>
      </c>
    </row>
    <row r="657" spans="1:52" x14ac:dyDescent="0.3">
      <c r="A657" t="s">
        <v>6514</v>
      </c>
      <c r="F657" t="s">
        <v>6515</v>
      </c>
      <c r="G657" t="s">
        <v>6504</v>
      </c>
      <c r="H657">
        <v>349.5</v>
      </c>
      <c r="I657">
        <v>9.8573999999999998E-6</v>
      </c>
      <c r="J657">
        <f>0.01/Table29[[#This Row],[Strain Rate (min) /s]]</f>
        <v>1014.466289285207</v>
      </c>
      <c r="K657">
        <f>LOG(Table29[[#This Row],[Time to 1% strain (s)]])</f>
        <v>3.0062376200035068</v>
      </c>
      <c r="L657">
        <v>850</v>
      </c>
      <c r="P657" t="s">
        <v>7249</v>
      </c>
      <c r="Q657">
        <v>1250</v>
      </c>
      <c r="R657">
        <v>48</v>
      </c>
      <c r="S657">
        <v>900</v>
      </c>
      <c r="T657">
        <v>64</v>
      </c>
      <c r="W657">
        <v>1</v>
      </c>
      <c r="X657">
        <v>10</v>
      </c>
      <c r="Y657">
        <v>25.4</v>
      </c>
      <c r="AA657">
        <f>VLOOKUP(Table29[[#This Row],[Shortname]], Comp[], 6, FALSE)</f>
        <v>1091</v>
      </c>
      <c r="AB657" s="14">
        <f>VLOOKUP(Table29[[#This Row],[Shortname]], Comp[], 7, FALSE)</f>
        <v>38.199999999999989</v>
      </c>
      <c r="AC657">
        <f>VLOOKUP(Table29[[#This Row],[Shortname]], Comp[], 8, FALSE)</f>
        <v>29.3</v>
      </c>
      <c r="AD657">
        <f>VLOOKUP(Table29[[#This Row],[Shortname]], Comp[], 9, FALSE)</f>
        <v>10.4</v>
      </c>
      <c r="AE657">
        <f>VLOOKUP(Table29[[#This Row],[Shortname]], Comp[], 10, FALSE)</f>
        <v>4.0999999999999996</v>
      </c>
      <c r="AF657">
        <f>VLOOKUP(Table29[[#This Row],[Shortname]], Comp[], 11, FALSE)</f>
        <v>5.7</v>
      </c>
      <c r="AG657">
        <f>VLOOKUP(Table29[[#This Row],[Shortname]], Comp[],12, FALSE)</f>
        <v>0</v>
      </c>
      <c r="AH657">
        <f>VLOOKUP(Table29[[#This Row],[Shortname]], Comp[], 13, FALSE)</f>
        <v>0</v>
      </c>
      <c r="AI657">
        <f>VLOOKUP(Table29[[#This Row],[Shortname]], Comp[], 14, FALSE)</f>
        <v>0</v>
      </c>
      <c r="AJ657">
        <f>VLOOKUP(Table29[[#This Row],[Shortname]], Comp[], 15, FALSE)</f>
        <v>0</v>
      </c>
      <c r="AK657">
        <f>VLOOKUP(Table29[[#This Row],[Shortname]], Comp[], 16, FALSE)</f>
        <v>0</v>
      </c>
      <c r="AL657">
        <f>VLOOKUP(Table29[[#This Row],[Shortname]], Comp[], 17, FALSE)</f>
        <v>0</v>
      </c>
      <c r="AM657">
        <f>VLOOKUP(Table29[[#This Row],[Shortname]], Comp[], 18, FALSE)</f>
        <v>0</v>
      </c>
      <c r="AN657">
        <f>VLOOKUP(Table29[[#This Row],[Shortname]], Comp[], 19, FALSE)</f>
        <v>0</v>
      </c>
      <c r="AO657">
        <f>VLOOKUP(Table29[[#This Row],[Shortname]], Comp[], 20, FALSE)</f>
        <v>0</v>
      </c>
      <c r="AP657">
        <f>VLOOKUP(Table29[[#This Row],[Shortname]], Comp[], 21, FALSE)</f>
        <v>0</v>
      </c>
      <c r="AQ657">
        <f>VLOOKUP(Table29[[#This Row],[Shortname]], Comp[], 22, FALSE)</f>
        <v>0</v>
      </c>
      <c r="AR657">
        <f>VLOOKUP(Table29[[#This Row],[Shortname]], Comp[], 23, FALSE)</f>
        <v>12.3</v>
      </c>
      <c r="AS657">
        <f>VLOOKUP(Table29[[#This Row],[Shortname]], Comp[], 24, FALSE)</f>
        <v>0</v>
      </c>
      <c r="AT657">
        <f>VLOOKUP(Table29[[#This Row],[Shortname]], Comp[], 25, FALSE)</f>
        <v>0</v>
      </c>
      <c r="AU657">
        <f>VLOOKUP(Table29[[#This Row],[Shortname]], Comp[], 26, FALSE)</f>
        <v>0</v>
      </c>
      <c r="AV657">
        <f>VLOOKUP(Table29[[#This Row],[Shortname]], Comp[], 27, FALSE)</f>
        <v>0</v>
      </c>
      <c r="AW657">
        <f>VLOOKUP(Table29[[#This Row],[Shortname]], Comp[], 28, FALSE)</f>
        <v>0</v>
      </c>
      <c r="AX657">
        <f>VLOOKUP(Table29[[#This Row],[Shortname]], Comp[], 29, FALSE)</f>
        <v>0</v>
      </c>
      <c r="AY657">
        <f>VLOOKUP(Table29[[#This Row],[Shortname]], Comp[], 30, FALSE)</f>
        <v>0</v>
      </c>
      <c r="AZ657">
        <f>VLOOKUP(Table29[[#This Row],[Shortname]], Comp[], 31, FALSE)</f>
        <v>0</v>
      </c>
    </row>
    <row r="658" spans="1:52" x14ac:dyDescent="0.3">
      <c r="A658" t="s">
        <v>6514</v>
      </c>
      <c r="F658" t="s">
        <v>6515</v>
      </c>
      <c r="G658" t="s">
        <v>6504</v>
      </c>
      <c r="H658">
        <v>397.87</v>
      </c>
      <c r="I658">
        <v>3.2004000000000001E-5</v>
      </c>
      <c r="J658">
        <f>0.01/Table29[[#This Row],[Strain Rate (min) /s]]</f>
        <v>312.46094238220223</v>
      </c>
      <c r="K658">
        <f>LOG(Table29[[#This Row],[Time to 1% strain (s)]])</f>
        <v>2.494795738262499</v>
      </c>
      <c r="L658">
        <v>850</v>
      </c>
      <c r="P658" t="s">
        <v>7249</v>
      </c>
      <c r="Q658">
        <v>1250</v>
      </c>
      <c r="R658">
        <v>48</v>
      </c>
      <c r="S658">
        <v>900</v>
      </c>
      <c r="T658">
        <v>64</v>
      </c>
      <c r="W658">
        <v>1</v>
      </c>
      <c r="X658">
        <v>10</v>
      </c>
      <c r="Y658">
        <v>25.4</v>
      </c>
      <c r="AA658">
        <f>VLOOKUP(Table29[[#This Row],[Shortname]], Comp[], 6, FALSE)</f>
        <v>1091</v>
      </c>
      <c r="AB658" s="14">
        <f>VLOOKUP(Table29[[#This Row],[Shortname]], Comp[], 7, FALSE)</f>
        <v>38.199999999999989</v>
      </c>
      <c r="AC658">
        <f>VLOOKUP(Table29[[#This Row],[Shortname]], Comp[], 8, FALSE)</f>
        <v>29.3</v>
      </c>
      <c r="AD658">
        <f>VLOOKUP(Table29[[#This Row],[Shortname]], Comp[], 9, FALSE)</f>
        <v>10.4</v>
      </c>
      <c r="AE658">
        <f>VLOOKUP(Table29[[#This Row],[Shortname]], Comp[], 10, FALSE)</f>
        <v>4.0999999999999996</v>
      </c>
      <c r="AF658">
        <f>VLOOKUP(Table29[[#This Row],[Shortname]], Comp[], 11, FALSE)</f>
        <v>5.7</v>
      </c>
      <c r="AG658">
        <f>VLOOKUP(Table29[[#This Row],[Shortname]], Comp[],12, FALSE)</f>
        <v>0</v>
      </c>
      <c r="AH658">
        <f>VLOOKUP(Table29[[#This Row],[Shortname]], Comp[], 13, FALSE)</f>
        <v>0</v>
      </c>
      <c r="AI658">
        <f>VLOOKUP(Table29[[#This Row],[Shortname]], Comp[], 14, FALSE)</f>
        <v>0</v>
      </c>
      <c r="AJ658">
        <f>VLOOKUP(Table29[[#This Row],[Shortname]], Comp[], 15, FALSE)</f>
        <v>0</v>
      </c>
      <c r="AK658">
        <f>VLOOKUP(Table29[[#This Row],[Shortname]], Comp[], 16, FALSE)</f>
        <v>0</v>
      </c>
      <c r="AL658">
        <f>VLOOKUP(Table29[[#This Row],[Shortname]], Comp[], 17, FALSE)</f>
        <v>0</v>
      </c>
      <c r="AM658">
        <f>VLOOKUP(Table29[[#This Row],[Shortname]], Comp[], 18, FALSE)</f>
        <v>0</v>
      </c>
      <c r="AN658">
        <f>VLOOKUP(Table29[[#This Row],[Shortname]], Comp[], 19, FALSE)</f>
        <v>0</v>
      </c>
      <c r="AO658">
        <f>VLOOKUP(Table29[[#This Row],[Shortname]], Comp[], 20, FALSE)</f>
        <v>0</v>
      </c>
      <c r="AP658">
        <f>VLOOKUP(Table29[[#This Row],[Shortname]], Comp[], 21, FALSE)</f>
        <v>0</v>
      </c>
      <c r="AQ658">
        <f>VLOOKUP(Table29[[#This Row],[Shortname]], Comp[], 22, FALSE)</f>
        <v>0</v>
      </c>
      <c r="AR658">
        <f>VLOOKUP(Table29[[#This Row],[Shortname]], Comp[], 23, FALSE)</f>
        <v>12.3</v>
      </c>
      <c r="AS658">
        <f>VLOOKUP(Table29[[#This Row],[Shortname]], Comp[], 24, FALSE)</f>
        <v>0</v>
      </c>
      <c r="AT658">
        <f>VLOOKUP(Table29[[#This Row],[Shortname]], Comp[], 25, FALSE)</f>
        <v>0</v>
      </c>
      <c r="AU658">
        <f>VLOOKUP(Table29[[#This Row],[Shortname]], Comp[], 26, FALSE)</f>
        <v>0</v>
      </c>
      <c r="AV658">
        <f>VLOOKUP(Table29[[#This Row],[Shortname]], Comp[], 27, FALSE)</f>
        <v>0</v>
      </c>
      <c r="AW658">
        <f>VLOOKUP(Table29[[#This Row],[Shortname]], Comp[], 28, FALSE)</f>
        <v>0</v>
      </c>
      <c r="AX658">
        <f>VLOOKUP(Table29[[#This Row],[Shortname]], Comp[], 29, FALSE)</f>
        <v>0</v>
      </c>
      <c r="AY658">
        <f>VLOOKUP(Table29[[#This Row],[Shortname]], Comp[], 30, FALSE)</f>
        <v>0</v>
      </c>
      <c r="AZ658">
        <f>VLOOKUP(Table29[[#This Row],[Shortname]], Comp[], 31, FALSE)</f>
        <v>0</v>
      </c>
    </row>
    <row r="659" spans="1:52" x14ac:dyDescent="0.3">
      <c r="A659" t="s">
        <v>6514</v>
      </c>
      <c r="F659" t="s">
        <v>6515</v>
      </c>
      <c r="G659" t="s">
        <v>6504</v>
      </c>
      <c r="H659">
        <v>447.74</v>
      </c>
      <c r="I659">
        <v>8.0234999999999993E-5</v>
      </c>
      <c r="J659">
        <f>0.01/Table29[[#This Row],[Strain Rate (min) /s]]</f>
        <v>124.63388795413474</v>
      </c>
      <c r="K659">
        <f>LOG(Table29[[#This Row],[Time to 1% strain (s)]])</f>
        <v>2.0956361430493016</v>
      </c>
      <c r="L659">
        <v>850</v>
      </c>
      <c r="P659" t="s">
        <v>7249</v>
      </c>
      <c r="Q659">
        <v>1250</v>
      </c>
      <c r="R659">
        <v>48</v>
      </c>
      <c r="S659">
        <v>900</v>
      </c>
      <c r="T659">
        <v>64</v>
      </c>
      <c r="W659">
        <v>1</v>
      </c>
      <c r="X659">
        <v>10</v>
      </c>
      <c r="Y659">
        <v>25.4</v>
      </c>
      <c r="AA659">
        <f>VLOOKUP(Table29[[#This Row],[Shortname]], Comp[], 6, FALSE)</f>
        <v>1091</v>
      </c>
      <c r="AB659" s="14">
        <f>VLOOKUP(Table29[[#This Row],[Shortname]], Comp[], 7, FALSE)</f>
        <v>38.199999999999989</v>
      </c>
      <c r="AC659">
        <f>VLOOKUP(Table29[[#This Row],[Shortname]], Comp[], 8, FALSE)</f>
        <v>29.3</v>
      </c>
      <c r="AD659">
        <f>VLOOKUP(Table29[[#This Row],[Shortname]], Comp[], 9, FALSE)</f>
        <v>10.4</v>
      </c>
      <c r="AE659">
        <f>VLOOKUP(Table29[[#This Row],[Shortname]], Comp[], 10, FALSE)</f>
        <v>4.0999999999999996</v>
      </c>
      <c r="AF659">
        <f>VLOOKUP(Table29[[#This Row],[Shortname]], Comp[], 11, FALSE)</f>
        <v>5.7</v>
      </c>
      <c r="AG659">
        <f>VLOOKUP(Table29[[#This Row],[Shortname]], Comp[],12, FALSE)</f>
        <v>0</v>
      </c>
      <c r="AH659">
        <f>VLOOKUP(Table29[[#This Row],[Shortname]], Comp[], 13, FALSE)</f>
        <v>0</v>
      </c>
      <c r="AI659">
        <f>VLOOKUP(Table29[[#This Row],[Shortname]], Comp[], 14, FALSE)</f>
        <v>0</v>
      </c>
      <c r="AJ659">
        <f>VLOOKUP(Table29[[#This Row],[Shortname]], Comp[], 15, FALSE)</f>
        <v>0</v>
      </c>
      <c r="AK659">
        <f>VLOOKUP(Table29[[#This Row],[Shortname]], Comp[], 16, FALSE)</f>
        <v>0</v>
      </c>
      <c r="AL659">
        <f>VLOOKUP(Table29[[#This Row],[Shortname]], Comp[], 17, FALSE)</f>
        <v>0</v>
      </c>
      <c r="AM659">
        <f>VLOOKUP(Table29[[#This Row],[Shortname]], Comp[], 18, FALSE)</f>
        <v>0</v>
      </c>
      <c r="AN659">
        <f>VLOOKUP(Table29[[#This Row],[Shortname]], Comp[], 19, FALSE)</f>
        <v>0</v>
      </c>
      <c r="AO659">
        <f>VLOOKUP(Table29[[#This Row],[Shortname]], Comp[], 20, FALSE)</f>
        <v>0</v>
      </c>
      <c r="AP659">
        <f>VLOOKUP(Table29[[#This Row],[Shortname]], Comp[], 21, FALSE)</f>
        <v>0</v>
      </c>
      <c r="AQ659">
        <f>VLOOKUP(Table29[[#This Row],[Shortname]], Comp[], 22, FALSE)</f>
        <v>0</v>
      </c>
      <c r="AR659">
        <f>VLOOKUP(Table29[[#This Row],[Shortname]], Comp[], 23, FALSE)</f>
        <v>12.3</v>
      </c>
      <c r="AS659">
        <f>VLOOKUP(Table29[[#This Row],[Shortname]], Comp[], 24, FALSE)</f>
        <v>0</v>
      </c>
      <c r="AT659">
        <f>VLOOKUP(Table29[[#This Row],[Shortname]], Comp[], 25, FALSE)</f>
        <v>0</v>
      </c>
      <c r="AU659">
        <f>VLOOKUP(Table29[[#This Row],[Shortname]], Comp[], 26, FALSE)</f>
        <v>0</v>
      </c>
      <c r="AV659">
        <f>VLOOKUP(Table29[[#This Row],[Shortname]], Comp[], 27, FALSE)</f>
        <v>0</v>
      </c>
      <c r="AW659">
        <f>VLOOKUP(Table29[[#This Row],[Shortname]], Comp[], 28, FALSE)</f>
        <v>0</v>
      </c>
      <c r="AX659">
        <f>VLOOKUP(Table29[[#This Row],[Shortname]], Comp[], 29, FALSE)</f>
        <v>0</v>
      </c>
      <c r="AY659">
        <f>VLOOKUP(Table29[[#This Row],[Shortname]], Comp[], 30, FALSE)</f>
        <v>0</v>
      </c>
      <c r="AZ659">
        <f>VLOOKUP(Table29[[#This Row],[Shortname]], Comp[], 31, FALSE)</f>
        <v>0</v>
      </c>
    </row>
    <row r="660" spans="1:52" x14ac:dyDescent="0.3">
      <c r="J660" s="43"/>
      <c r="K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sheetData>
  <phoneticPr fontId="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Comp</vt:lpstr>
      <vt:lpstr>ML-Co-input_lattice misfit</vt:lpstr>
      <vt:lpstr>ML-Co-input_solvus_only</vt:lpstr>
      <vt:lpstr>ML-Co-input_solidus_only</vt:lpstr>
      <vt:lpstr>ML-Co-input_liquidus_only</vt:lpstr>
      <vt:lpstr>ML-Co-input_hardness</vt:lpstr>
      <vt:lpstr>ML-Co-input_YS</vt:lpstr>
      <vt:lpstr>ML-Co-input_FinalProgram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Brandon Eirias</dc:creator>
  <cp:lastModifiedBy>Brandon Eirias</cp:lastModifiedBy>
  <dcterms:created xsi:type="dcterms:W3CDTF">2023-03-04T03:33:15Z</dcterms:created>
  <dcterms:modified xsi:type="dcterms:W3CDTF">2023-08-21T03:24:38Z</dcterms:modified>
</cp:coreProperties>
</file>